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20" windowHeight="11020"/>
  </bookViews>
  <sheets>
    <sheet name="Command Info" sheetId="1" r:id="rId1"/>
  </sheets>
  <calcPr calcId="145621"/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  <c r="G1" i="1"/>
  <c r="H1" i="1"/>
  <c r="I1" i="1"/>
  <c r="J1" i="1"/>
  <c r="K1" i="1"/>
  <c r="L1" i="1"/>
  <c r="A2" i="1"/>
  <c r="B2" i="1"/>
  <c r="C2" i="1"/>
  <c r="D2" i="1"/>
  <c r="E2" i="1"/>
  <c r="F2" i="1"/>
  <c r="G2" i="1"/>
  <c r="H2" i="1"/>
  <c r="I2" i="1"/>
  <c r="J2" i="1"/>
  <c r="K2" i="1"/>
  <c r="L2" i="1"/>
  <c r="A3" i="1"/>
  <c r="B3" i="1"/>
  <c r="C3" i="1"/>
  <c r="D3" i="1"/>
  <c r="E3" i="1"/>
  <c r="F3" i="1"/>
  <c r="G3" i="1"/>
  <c r="H3" i="1"/>
  <c r="I3" i="1"/>
  <c r="J3" i="1"/>
  <c r="K3" i="1"/>
  <c r="L3" i="1"/>
  <c r="A4" i="1"/>
  <c r="B4" i="1"/>
  <c r="C4" i="1"/>
  <c r="D4" i="1"/>
  <c r="E4" i="1"/>
  <c r="F4" i="1"/>
  <c r="G4" i="1"/>
  <c r="H4" i="1"/>
  <c r="I4" i="1"/>
  <c r="J4" i="1"/>
  <c r="K4" i="1"/>
  <c r="L4" i="1"/>
  <c r="A5" i="1"/>
  <c r="B5" i="1"/>
  <c r="C5" i="1"/>
  <c r="D5" i="1"/>
  <c r="E5" i="1"/>
  <c r="F5" i="1"/>
  <c r="G5" i="1"/>
  <c r="H5" i="1"/>
  <c r="I5" i="1"/>
  <c r="J5" i="1"/>
  <c r="K5" i="1"/>
  <c r="L5" i="1"/>
  <c r="A6" i="1"/>
  <c r="B6" i="1"/>
  <c r="C6" i="1"/>
  <c r="D6" i="1"/>
  <c r="E6" i="1"/>
  <c r="F6" i="1"/>
  <c r="G6" i="1"/>
  <c r="H6" i="1"/>
  <c r="I6" i="1"/>
  <c r="J6" i="1"/>
  <c r="K6" i="1"/>
  <c r="L6" i="1"/>
  <c r="A7" i="1"/>
  <c r="B7" i="1"/>
  <c r="C7" i="1"/>
  <c r="D7" i="1"/>
  <c r="E7" i="1"/>
  <c r="F7" i="1"/>
  <c r="G7" i="1"/>
  <c r="H7" i="1"/>
  <c r="I7" i="1"/>
  <c r="J7" i="1"/>
  <c r="K7" i="1"/>
  <c r="L7" i="1"/>
  <c r="A8" i="1"/>
  <c r="B8" i="1"/>
  <c r="C8" i="1"/>
  <c r="D8" i="1"/>
  <c r="E8" i="1"/>
  <c r="F8" i="1"/>
  <c r="G8" i="1"/>
  <c r="H8" i="1"/>
  <c r="I8" i="1"/>
  <c r="J8" i="1"/>
  <c r="K8" i="1"/>
  <c r="L8" i="1"/>
  <c r="A9" i="1"/>
  <c r="B9" i="1"/>
  <c r="C9" i="1"/>
  <c r="D9" i="1"/>
  <c r="E9" i="1"/>
  <c r="F9" i="1"/>
  <c r="G9" i="1"/>
  <c r="H9" i="1"/>
  <c r="I9" i="1"/>
  <c r="J9" i="1"/>
  <c r="K9" i="1"/>
  <c r="L9" i="1"/>
  <c r="A10" i="1"/>
  <c r="B10" i="1"/>
  <c r="C10" i="1"/>
  <c r="D10" i="1"/>
  <c r="E10" i="1"/>
  <c r="F10" i="1"/>
  <c r="G10" i="1"/>
  <c r="H10" i="1"/>
  <c r="I10" i="1"/>
  <c r="J10" i="1"/>
  <c r="K10" i="1"/>
  <c r="L10" i="1"/>
  <c r="A11" i="1"/>
  <c r="B11" i="1"/>
  <c r="C11" i="1"/>
  <c r="D11" i="1"/>
  <c r="E11" i="1"/>
  <c r="F11" i="1"/>
  <c r="G11" i="1"/>
  <c r="H11" i="1"/>
  <c r="I11" i="1"/>
  <c r="J11" i="1"/>
  <c r="K11" i="1"/>
  <c r="L11" i="1"/>
  <c r="A12" i="1"/>
  <c r="B12" i="1"/>
  <c r="C12" i="1"/>
  <c r="D12" i="1"/>
  <c r="E12" i="1"/>
  <c r="F12" i="1"/>
  <c r="G12" i="1"/>
  <c r="H12" i="1"/>
  <c r="I12" i="1"/>
  <c r="J12" i="1"/>
  <c r="K12" i="1"/>
  <c r="L12" i="1"/>
  <c r="A13" i="1"/>
  <c r="B13" i="1"/>
  <c r="C13" i="1"/>
  <c r="D13" i="1"/>
  <c r="E13" i="1"/>
  <c r="F13" i="1"/>
  <c r="G13" i="1"/>
  <c r="H13" i="1"/>
  <c r="I13" i="1"/>
  <c r="J13" i="1"/>
  <c r="K13" i="1"/>
  <c r="L13" i="1"/>
  <c r="A14" i="1"/>
  <c r="B14" i="1"/>
  <c r="C14" i="1"/>
  <c r="D14" i="1"/>
  <c r="E14" i="1"/>
  <c r="F14" i="1"/>
  <c r="G14" i="1"/>
  <c r="H14" i="1"/>
  <c r="I14" i="1"/>
  <c r="J14" i="1"/>
  <c r="K14" i="1"/>
  <c r="L14" i="1"/>
  <c r="A15" i="1"/>
  <c r="B15" i="1"/>
  <c r="C15" i="1"/>
  <c r="D15" i="1"/>
  <c r="E15" i="1"/>
  <c r="F15" i="1"/>
  <c r="G15" i="1"/>
  <c r="H15" i="1"/>
  <c r="I15" i="1"/>
  <c r="J15" i="1"/>
  <c r="K15" i="1"/>
  <c r="L15" i="1"/>
  <c r="A16" i="1"/>
  <c r="B16" i="1"/>
  <c r="C16" i="1"/>
  <c r="D16" i="1"/>
  <c r="E16" i="1"/>
  <c r="F16" i="1"/>
  <c r="G16" i="1"/>
  <c r="H16" i="1"/>
  <c r="I16" i="1"/>
  <c r="J16" i="1"/>
  <c r="K16" i="1"/>
  <c r="L16" i="1"/>
  <c r="A17" i="1"/>
  <c r="B17" i="1"/>
  <c r="C17" i="1"/>
  <c r="D17" i="1"/>
  <c r="E17" i="1"/>
  <c r="F17" i="1"/>
  <c r="G17" i="1"/>
  <c r="H17" i="1"/>
  <c r="I17" i="1"/>
  <c r="J17" i="1"/>
  <c r="K17" i="1"/>
  <c r="L17" i="1"/>
  <c r="A18" i="1"/>
  <c r="B18" i="1"/>
  <c r="C18" i="1"/>
  <c r="D18" i="1"/>
  <c r="E18" i="1"/>
  <c r="F18" i="1"/>
  <c r="G18" i="1"/>
  <c r="H18" i="1"/>
  <c r="I18" i="1"/>
  <c r="J18" i="1"/>
  <c r="K18" i="1"/>
  <c r="L18" i="1"/>
  <c r="A19" i="1"/>
  <c r="B19" i="1"/>
  <c r="C19" i="1"/>
  <c r="D19" i="1"/>
  <c r="E19" i="1"/>
  <c r="F19" i="1"/>
  <c r="G19" i="1"/>
  <c r="H19" i="1"/>
  <c r="I19" i="1"/>
  <c r="J19" i="1"/>
  <c r="K19" i="1"/>
  <c r="L19" i="1"/>
  <c r="A20" i="1"/>
  <c r="B20" i="1"/>
  <c r="C20" i="1"/>
  <c r="D20" i="1"/>
  <c r="E20" i="1"/>
  <c r="F20" i="1"/>
  <c r="G20" i="1"/>
  <c r="H20" i="1"/>
  <c r="I20" i="1"/>
  <c r="J20" i="1"/>
  <c r="K20" i="1"/>
  <c r="L20" i="1"/>
  <c r="A21" i="1"/>
  <c r="B21" i="1"/>
  <c r="C21" i="1"/>
  <c r="D21" i="1"/>
  <c r="E21" i="1"/>
  <c r="F21" i="1"/>
  <c r="G21" i="1"/>
  <c r="H21" i="1"/>
  <c r="I21" i="1"/>
  <c r="J21" i="1"/>
  <c r="K21" i="1"/>
  <c r="L21" i="1"/>
  <c r="A22" i="1"/>
  <c r="B22" i="1"/>
  <c r="C22" i="1"/>
  <c r="D22" i="1"/>
  <c r="E22" i="1"/>
  <c r="F22" i="1"/>
  <c r="G22" i="1"/>
  <c r="H22" i="1"/>
  <c r="I22" i="1"/>
  <c r="J22" i="1"/>
  <c r="K22" i="1"/>
  <c r="L22" i="1"/>
  <c r="A23" i="1"/>
  <c r="B23" i="1"/>
  <c r="C23" i="1"/>
  <c r="D23" i="1"/>
  <c r="E23" i="1"/>
  <c r="F23" i="1"/>
  <c r="G23" i="1"/>
  <c r="H23" i="1"/>
  <c r="I23" i="1"/>
  <c r="J23" i="1"/>
  <c r="K23" i="1"/>
  <c r="L23" i="1"/>
  <c r="A24" i="1"/>
  <c r="B24" i="1"/>
  <c r="C24" i="1"/>
  <c r="D24" i="1"/>
  <c r="E24" i="1"/>
  <c r="F24" i="1"/>
  <c r="G24" i="1"/>
  <c r="H24" i="1"/>
  <c r="I24" i="1"/>
  <c r="J24" i="1"/>
  <c r="K24" i="1"/>
  <c r="L24" i="1"/>
  <c r="A25" i="1"/>
  <c r="B25" i="1"/>
  <c r="C25" i="1"/>
  <c r="D25" i="1"/>
  <c r="E25" i="1"/>
  <c r="F25" i="1"/>
  <c r="G25" i="1"/>
  <c r="H25" i="1"/>
  <c r="I25" i="1"/>
  <c r="J25" i="1"/>
  <c r="K25" i="1"/>
  <c r="L25" i="1"/>
  <c r="A26" i="1"/>
  <c r="B26" i="1"/>
  <c r="C26" i="1"/>
  <c r="D26" i="1"/>
  <c r="E26" i="1"/>
  <c r="F26" i="1"/>
  <c r="G26" i="1"/>
  <c r="H26" i="1"/>
  <c r="I26" i="1"/>
  <c r="J26" i="1"/>
  <c r="K26" i="1"/>
  <c r="L26" i="1"/>
  <c r="A27" i="1"/>
  <c r="B27" i="1"/>
  <c r="C27" i="1"/>
  <c r="D27" i="1"/>
  <c r="E27" i="1"/>
  <c r="F27" i="1"/>
  <c r="G27" i="1"/>
  <c r="H27" i="1"/>
  <c r="I27" i="1"/>
  <c r="J27" i="1"/>
  <c r="K27" i="1"/>
  <c r="L27" i="1"/>
  <c r="A28" i="1"/>
  <c r="B28" i="1"/>
  <c r="C28" i="1"/>
  <c r="D28" i="1"/>
  <c r="E28" i="1"/>
  <c r="F28" i="1"/>
  <c r="G28" i="1"/>
  <c r="H28" i="1"/>
  <c r="I28" i="1"/>
  <c r="J28" i="1"/>
  <c r="K28" i="1"/>
  <c r="L28" i="1"/>
  <c r="A29" i="1"/>
  <c r="B29" i="1"/>
  <c r="C29" i="1"/>
  <c r="D29" i="1"/>
  <c r="E29" i="1"/>
  <c r="F29" i="1"/>
  <c r="G29" i="1"/>
  <c r="H29" i="1"/>
  <c r="I29" i="1"/>
  <c r="J29" i="1"/>
  <c r="K29" i="1"/>
  <c r="L29" i="1"/>
  <c r="A30" i="1"/>
  <c r="B30" i="1"/>
  <c r="C30" i="1"/>
  <c r="D30" i="1"/>
  <c r="E30" i="1"/>
  <c r="F30" i="1"/>
  <c r="G30" i="1"/>
  <c r="H30" i="1"/>
  <c r="I30" i="1"/>
  <c r="J30" i="1"/>
  <c r="K30" i="1"/>
  <c r="L30" i="1"/>
  <c r="A31" i="1"/>
  <c r="B31" i="1"/>
  <c r="C31" i="1"/>
  <c r="D31" i="1"/>
  <c r="E31" i="1"/>
  <c r="F31" i="1"/>
  <c r="G31" i="1"/>
  <c r="H31" i="1"/>
  <c r="I31" i="1"/>
  <c r="J31" i="1"/>
  <c r="K31" i="1"/>
  <c r="L31" i="1"/>
  <c r="A32" i="1"/>
  <c r="B32" i="1"/>
  <c r="C32" i="1"/>
  <c r="D32" i="1"/>
  <c r="E32" i="1"/>
  <c r="F32" i="1"/>
  <c r="G32" i="1"/>
  <c r="H32" i="1"/>
  <c r="I32" i="1"/>
  <c r="J32" i="1"/>
  <c r="K32" i="1"/>
  <c r="L32" i="1"/>
  <c r="A33" i="1"/>
  <c r="B33" i="1"/>
  <c r="C33" i="1"/>
  <c r="D33" i="1"/>
  <c r="E33" i="1"/>
  <c r="F33" i="1"/>
  <c r="G33" i="1"/>
  <c r="H33" i="1"/>
  <c r="I33" i="1"/>
  <c r="J33" i="1"/>
  <c r="K33" i="1"/>
  <c r="L33" i="1"/>
  <c r="A34" i="1"/>
  <c r="B34" i="1"/>
  <c r="C34" i="1"/>
  <c r="D34" i="1"/>
  <c r="E34" i="1"/>
  <c r="F34" i="1"/>
  <c r="G34" i="1"/>
  <c r="H34" i="1"/>
  <c r="I34" i="1"/>
  <c r="J34" i="1"/>
  <c r="K34" i="1"/>
  <c r="L34" i="1"/>
  <c r="A35" i="1"/>
  <c r="B35" i="1"/>
  <c r="C35" i="1"/>
  <c r="D35" i="1"/>
  <c r="E35" i="1"/>
  <c r="F35" i="1"/>
  <c r="G35" i="1"/>
  <c r="H35" i="1"/>
  <c r="I35" i="1"/>
  <c r="J35" i="1"/>
  <c r="K35" i="1"/>
  <c r="L35" i="1"/>
  <c r="A36" i="1"/>
  <c r="B36" i="1"/>
  <c r="C36" i="1"/>
  <c r="D36" i="1"/>
  <c r="E36" i="1"/>
  <c r="F36" i="1"/>
  <c r="G36" i="1"/>
  <c r="H36" i="1"/>
  <c r="I36" i="1"/>
  <c r="J36" i="1"/>
  <c r="K36" i="1"/>
  <c r="L36" i="1"/>
  <c r="A37" i="1"/>
  <c r="B37" i="1"/>
  <c r="C37" i="1"/>
  <c r="D37" i="1"/>
  <c r="E37" i="1"/>
  <c r="F37" i="1"/>
  <c r="G37" i="1"/>
  <c r="H37" i="1"/>
  <c r="I37" i="1"/>
  <c r="J37" i="1"/>
  <c r="K37" i="1"/>
  <c r="L37" i="1"/>
  <c r="A38" i="1"/>
  <c r="B38" i="1"/>
  <c r="C38" i="1"/>
  <c r="D38" i="1"/>
  <c r="E38" i="1"/>
  <c r="F38" i="1"/>
  <c r="G38" i="1"/>
  <c r="H38" i="1"/>
  <c r="I38" i="1"/>
  <c r="J38" i="1"/>
  <c r="K38" i="1"/>
  <c r="L38" i="1"/>
  <c r="A39" i="1"/>
  <c r="B39" i="1"/>
  <c r="C39" i="1"/>
  <c r="D39" i="1"/>
  <c r="E39" i="1"/>
  <c r="F39" i="1"/>
  <c r="G39" i="1"/>
  <c r="H39" i="1"/>
  <c r="I39" i="1"/>
  <c r="J39" i="1"/>
  <c r="K39" i="1"/>
  <c r="L39" i="1"/>
  <c r="A40" i="1"/>
  <c r="B40" i="1"/>
  <c r="C40" i="1"/>
  <c r="D40" i="1"/>
  <c r="E40" i="1"/>
  <c r="F40" i="1"/>
  <c r="G40" i="1"/>
  <c r="H40" i="1"/>
  <c r="I40" i="1"/>
  <c r="J40" i="1"/>
  <c r="K40" i="1"/>
  <c r="L40" i="1"/>
  <c r="A41" i="1"/>
  <c r="B41" i="1"/>
  <c r="C41" i="1"/>
  <c r="D41" i="1"/>
  <c r="E41" i="1"/>
  <c r="F41" i="1"/>
  <c r="G41" i="1"/>
  <c r="H41" i="1"/>
  <c r="I41" i="1"/>
  <c r="J41" i="1"/>
  <c r="K41" i="1"/>
  <c r="L41" i="1"/>
  <c r="A42" i="1"/>
  <c r="B42" i="1"/>
  <c r="C42" i="1"/>
  <c r="D42" i="1"/>
  <c r="E42" i="1"/>
  <c r="F42" i="1"/>
  <c r="G42" i="1"/>
  <c r="H42" i="1"/>
  <c r="I42" i="1"/>
  <c r="J42" i="1"/>
  <c r="K42" i="1"/>
  <c r="L42" i="1"/>
  <c r="A43" i="1"/>
  <c r="B43" i="1"/>
  <c r="C43" i="1"/>
  <c r="D43" i="1"/>
  <c r="E43" i="1"/>
  <c r="F43" i="1"/>
  <c r="G43" i="1"/>
  <c r="H43" i="1"/>
  <c r="I43" i="1"/>
  <c r="J43" i="1"/>
  <c r="K43" i="1"/>
  <c r="L43" i="1"/>
  <c r="A44" i="1"/>
  <c r="B44" i="1"/>
  <c r="C44" i="1"/>
  <c r="D44" i="1"/>
  <c r="E44" i="1"/>
  <c r="F44" i="1"/>
  <c r="G44" i="1"/>
  <c r="H44" i="1"/>
  <c r="I44" i="1"/>
  <c r="J44" i="1"/>
  <c r="K44" i="1"/>
  <c r="L44" i="1"/>
  <c r="A45" i="1"/>
  <c r="B45" i="1"/>
  <c r="C45" i="1"/>
  <c r="D45" i="1"/>
  <c r="E45" i="1"/>
  <c r="F45" i="1"/>
  <c r="G45" i="1"/>
  <c r="H45" i="1"/>
  <c r="I45" i="1"/>
  <c r="J45" i="1"/>
  <c r="K45" i="1"/>
  <c r="L45" i="1"/>
  <c r="A46" i="1"/>
  <c r="B46" i="1"/>
  <c r="C46" i="1"/>
  <c r="D46" i="1"/>
  <c r="E46" i="1"/>
  <c r="F46" i="1"/>
  <c r="G46" i="1"/>
  <c r="H46" i="1"/>
  <c r="I46" i="1"/>
  <c r="J46" i="1"/>
  <c r="K46" i="1"/>
  <c r="L46" i="1"/>
  <c r="A47" i="1"/>
  <c r="B47" i="1"/>
  <c r="C47" i="1"/>
  <c r="D47" i="1"/>
  <c r="E47" i="1"/>
  <c r="F47" i="1"/>
  <c r="G47" i="1"/>
  <c r="H47" i="1"/>
  <c r="I47" i="1"/>
  <c r="J47" i="1"/>
  <c r="K47" i="1"/>
  <c r="L47" i="1"/>
  <c r="A48" i="1"/>
  <c r="B48" i="1"/>
  <c r="C48" i="1"/>
  <c r="D48" i="1"/>
  <c r="E48" i="1"/>
  <c r="F48" i="1"/>
  <c r="G48" i="1"/>
  <c r="H48" i="1"/>
  <c r="I48" i="1"/>
  <c r="J48" i="1"/>
  <c r="K48" i="1"/>
  <c r="L48" i="1"/>
  <c r="A49" i="1"/>
  <c r="B49" i="1"/>
  <c r="C49" i="1"/>
  <c r="D49" i="1"/>
  <c r="E49" i="1"/>
  <c r="F49" i="1"/>
  <c r="G49" i="1"/>
  <c r="H49" i="1"/>
  <c r="I49" i="1"/>
  <c r="J49" i="1"/>
  <c r="K49" i="1"/>
  <c r="L49" i="1"/>
  <c r="A50" i="1"/>
  <c r="B50" i="1"/>
  <c r="C50" i="1"/>
  <c r="D50" i="1"/>
  <c r="E50" i="1"/>
  <c r="F50" i="1"/>
  <c r="G50" i="1"/>
  <c r="H50" i="1"/>
  <c r="I50" i="1"/>
  <c r="J50" i="1"/>
  <c r="K50" i="1"/>
  <c r="L50" i="1"/>
  <c r="A51" i="1"/>
  <c r="B51" i="1"/>
  <c r="C51" i="1"/>
  <c r="D51" i="1"/>
  <c r="E51" i="1"/>
  <c r="F51" i="1"/>
  <c r="G51" i="1"/>
  <c r="H51" i="1"/>
  <c r="I51" i="1"/>
  <c r="J51" i="1"/>
  <c r="K51" i="1"/>
  <c r="L51" i="1"/>
  <c r="A52" i="1"/>
  <c r="B52" i="1"/>
  <c r="C52" i="1"/>
  <c r="D52" i="1"/>
  <c r="E52" i="1"/>
  <c r="F52" i="1"/>
  <c r="G52" i="1"/>
  <c r="H52" i="1"/>
  <c r="I52" i="1"/>
  <c r="J52" i="1"/>
  <c r="K52" i="1"/>
  <c r="L52" i="1"/>
  <c r="A53" i="1"/>
  <c r="B53" i="1"/>
  <c r="C53" i="1"/>
  <c r="D53" i="1"/>
  <c r="E53" i="1"/>
  <c r="F53" i="1"/>
  <c r="G53" i="1"/>
  <c r="H53" i="1"/>
  <c r="I53" i="1"/>
  <c r="J53" i="1"/>
  <c r="K53" i="1"/>
  <c r="L53" i="1"/>
  <c r="A54" i="1"/>
  <c r="B54" i="1"/>
  <c r="C54" i="1"/>
  <c r="D54" i="1"/>
  <c r="E54" i="1"/>
  <c r="F54" i="1"/>
  <c r="G54" i="1"/>
  <c r="H54" i="1"/>
  <c r="I54" i="1"/>
  <c r="J54" i="1"/>
  <c r="K54" i="1"/>
  <c r="L54" i="1"/>
  <c r="A55" i="1"/>
  <c r="B55" i="1"/>
  <c r="C55" i="1"/>
  <c r="D55" i="1"/>
  <c r="E55" i="1"/>
  <c r="F55" i="1"/>
  <c r="G55" i="1"/>
  <c r="H55" i="1"/>
  <c r="I55" i="1"/>
  <c r="J55" i="1"/>
  <c r="K55" i="1"/>
  <c r="L55" i="1"/>
  <c r="A56" i="1"/>
  <c r="B56" i="1"/>
  <c r="C56" i="1"/>
  <c r="D56" i="1"/>
  <c r="E56" i="1"/>
  <c r="F56" i="1"/>
  <c r="G56" i="1"/>
  <c r="H56" i="1"/>
  <c r="I56" i="1"/>
  <c r="J56" i="1"/>
  <c r="K56" i="1"/>
  <c r="L56" i="1"/>
  <c r="A57" i="1"/>
  <c r="B57" i="1"/>
  <c r="C57" i="1"/>
  <c r="D57" i="1"/>
  <c r="E57" i="1"/>
  <c r="F57" i="1"/>
  <c r="G57" i="1"/>
  <c r="H57" i="1"/>
  <c r="I57" i="1"/>
  <c r="J57" i="1"/>
  <c r="K57" i="1"/>
  <c r="L57" i="1"/>
  <c r="A58" i="1"/>
  <c r="B58" i="1"/>
  <c r="C58" i="1"/>
  <c r="D58" i="1"/>
  <c r="E58" i="1"/>
  <c r="F58" i="1"/>
  <c r="G58" i="1"/>
  <c r="H58" i="1"/>
  <c r="I58" i="1"/>
  <c r="J58" i="1"/>
  <c r="K58" i="1"/>
  <c r="L58" i="1"/>
  <c r="A59" i="1"/>
  <c r="B59" i="1"/>
  <c r="C59" i="1"/>
  <c r="D59" i="1"/>
  <c r="E59" i="1"/>
  <c r="F59" i="1"/>
  <c r="G59" i="1"/>
  <c r="H59" i="1"/>
  <c r="I59" i="1"/>
  <c r="J59" i="1"/>
  <c r="K59" i="1"/>
  <c r="L59" i="1"/>
  <c r="A60" i="1"/>
  <c r="B60" i="1"/>
  <c r="C60" i="1"/>
  <c r="D60" i="1"/>
  <c r="E60" i="1"/>
  <c r="F60" i="1"/>
  <c r="G60" i="1"/>
  <c r="H60" i="1"/>
  <c r="I60" i="1"/>
  <c r="J60" i="1"/>
  <c r="K60" i="1"/>
  <c r="L60" i="1"/>
  <c r="A61" i="1"/>
  <c r="B61" i="1"/>
  <c r="C61" i="1"/>
  <c r="D61" i="1"/>
  <c r="E61" i="1"/>
  <c r="F61" i="1"/>
  <c r="G61" i="1"/>
  <c r="H61" i="1"/>
  <c r="I61" i="1"/>
  <c r="J61" i="1"/>
  <c r="K61" i="1"/>
  <c r="L61" i="1"/>
  <c r="A62" i="1"/>
  <c r="B62" i="1"/>
  <c r="C62" i="1"/>
  <c r="D62" i="1"/>
  <c r="E62" i="1"/>
  <c r="F62" i="1"/>
  <c r="G62" i="1"/>
  <c r="H62" i="1"/>
  <c r="I62" i="1"/>
  <c r="J62" i="1"/>
  <c r="K62" i="1"/>
  <c r="L62" i="1"/>
  <c r="A63" i="1"/>
  <c r="B63" i="1"/>
  <c r="C63" i="1"/>
  <c r="D63" i="1"/>
  <c r="E63" i="1"/>
  <c r="F63" i="1"/>
  <c r="G63" i="1"/>
  <c r="H63" i="1"/>
  <c r="I63" i="1"/>
  <c r="J63" i="1"/>
  <c r="K63" i="1"/>
  <c r="L63" i="1"/>
  <c r="A64" i="1"/>
  <c r="B64" i="1"/>
  <c r="C64" i="1"/>
  <c r="D64" i="1"/>
  <c r="E64" i="1"/>
  <c r="F64" i="1"/>
  <c r="G64" i="1"/>
  <c r="H64" i="1"/>
  <c r="I64" i="1"/>
  <c r="J64" i="1"/>
  <c r="K64" i="1"/>
  <c r="L64" i="1"/>
  <c r="A65" i="1"/>
  <c r="B65" i="1"/>
  <c r="C65" i="1"/>
  <c r="D65" i="1"/>
  <c r="E65" i="1"/>
  <c r="F65" i="1"/>
  <c r="G65" i="1"/>
  <c r="H65" i="1"/>
  <c r="I65" i="1"/>
  <c r="J65" i="1"/>
  <c r="K65" i="1"/>
  <c r="L65" i="1"/>
  <c r="A66" i="1"/>
  <c r="B66" i="1"/>
  <c r="C66" i="1"/>
  <c r="D66" i="1"/>
  <c r="E66" i="1"/>
  <c r="F66" i="1"/>
  <c r="G66" i="1"/>
  <c r="H66" i="1"/>
  <c r="I66" i="1"/>
  <c r="J66" i="1"/>
  <c r="K66" i="1"/>
  <c r="L66" i="1"/>
  <c r="A67" i="1"/>
  <c r="B67" i="1"/>
  <c r="C67" i="1"/>
  <c r="D67" i="1"/>
  <c r="E67" i="1"/>
  <c r="F67" i="1"/>
  <c r="G67" i="1"/>
  <c r="H67" i="1"/>
  <c r="I67" i="1"/>
  <c r="J67" i="1"/>
  <c r="K67" i="1"/>
  <c r="L67" i="1"/>
  <c r="A68" i="1"/>
  <c r="B68" i="1"/>
  <c r="C68" i="1"/>
  <c r="D68" i="1"/>
  <c r="E68" i="1"/>
  <c r="F68" i="1"/>
  <c r="G68" i="1"/>
  <c r="H68" i="1"/>
  <c r="I68" i="1"/>
  <c r="J68" i="1"/>
  <c r="K68" i="1"/>
  <c r="L68" i="1"/>
  <c r="A69" i="1"/>
  <c r="B69" i="1"/>
  <c r="C69" i="1"/>
  <c r="D69" i="1"/>
  <c r="E69" i="1"/>
  <c r="F69" i="1"/>
  <c r="G69" i="1"/>
  <c r="H69" i="1"/>
  <c r="I69" i="1"/>
  <c r="J69" i="1"/>
  <c r="K69" i="1"/>
  <c r="L69" i="1"/>
  <c r="A70" i="1"/>
  <c r="B70" i="1"/>
  <c r="C70" i="1"/>
  <c r="D70" i="1"/>
  <c r="E70" i="1"/>
  <c r="F70" i="1"/>
  <c r="G70" i="1"/>
  <c r="H70" i="1"/>
  <c r="I70" i="1"/>
  <c r="J70" i="1"/>
  <c r="K70" i="1"/>
  <c r="L70" i="1"/>
  <c r="A71" i="1"/>
  <c r="B71" i="1"/>
  <c r="C71" i="1"/>
  <c r="D71" i="1"/>
  <c r="E71" i="1"/>
  <c r="F71" i="1"/>
  <c r="G71" i="1"/>
  <c r="H71" i="1"/>
  <c r="I71" i="1"/>
  <c r="J71" i="1"/>
  <c r="K71" i="1"/>
  <c r="L71" i="1"/>
  <c r="A72" i="1"/>
  <c r="B72" i="1"/>
  <c r="C72" i="1"/>
  <c r="D72" i="1"/>
  <c r="E72" i="1"/>
  <c r="F72" i="1"/>
  <c r="G72" i="1"/>
  <c r="H72" i="1"/>
  <c r="I72" i="1"/>
  <c r="J72" i="1"/>
  <c r="K72" i="1"/>
  <c r="L72" i="1"/>
  <c r="A73" i="1"/>
  <c r="B73" i="1"/>
  <c r="C73" i="1"/>
  <c r="D73" i="1"/>
  <c r="E73" i="1"/>
  <c r="F73" i="1"/>
  <c r="G73" i="1"/>
  <c r="H73" i="1"/>
  <c r="I73" i="1"/>
  <c r="J73" i="1"/>
  <c r="K73" i="1"/>
  <c r="L73" i="1"/>
  <c r="A74" i="1"/>
  <c r="B74" i="1"/>
  <c r="C74" i="1"/>
  <c r="D74" i="1"/>
  <c r="E74" i="1"/>
  <c r="F74" i="1"/>
  <c r="G74" i="1"/>
  <c r="H74" i="1"/>
  <c r="I74" i="1"/>
  <c r="J74" i="1"/>
  <c r="K74" i="1"/>
  <c r="L74" i="1"/>
  <c r="A75" i="1"/>
  <c r="B75" i="1"/>
  <c r="C75" i="1"/>
  <c r="D75" i="1"/>
  <c r="E75" i="1"/>
  <c r="F75" i="1"/>
  <c r="G75" i="1"/>
  <c r="H75" i="1"/>
  <c r="I75" i="1"/>
  <c r="J75" i="1"/>
  <c r="K75" i="1"/>
  <c r="L75" i="1"/>
  <c r="A76" i="1"/>
  <c r="B76" i="1"/>
  <c r="C76" i="1"/>
  <c r="D76" i="1"/>
  <c r="E76" i="1"/>
  <c r="F76" i="1"/>
  <c r="G76" i="1"/>
  <c r="H76" i="1"/>
  <c r="I76" i="1"/>
  <c r="J76" i="1"/>
  <c r="K76" i="1"/>
  <c r="L76" i="1"/>
  <c r="A77" i="1"/>
  <c r="B77" i="1"/>
  <c r="C77" i="1"/>
  <c r="D77" i="1"/>
  <c r="E77" i="1"/>
  <c r="F77" i="1"/>
  <c r="G77" i="1"/>
  <c r="H77" i="1"/>
  <c r="I77" i="1"/>
  <c r="J77" i="1"/>
  <c r="K77" i="1"/>
  <c r="L77" i="1"/>
  <c r="A78" i="1"/>
  <c r="B78" i="1"/>
  <c r="C78" i="1"/>
  <c r="D78" i="1"/>
  <c r="E78" i="1"/>
  <c r="F78" i="1"/>
  <c r="G78" i="1"/>
  <c r="H78" i="1"/>
  <c r="I78" i="1"/>
  <c r="J78" i="1"/>
  <c r="K78" i="1"/>
  <c r="L78" i="1"/>
  <c r="A79" i="1"/>
  <c r="B79" i="1"/>
  <c r="C79" i="1"/>
  <c r="D79" i="1"/>
  <c r="E79" i="1"/>
  <c r="F79" i="1"/>
  <c r="G79" i="1"/>
  <c r="H79" i="1"/>
  <c r="I79" i="1"/>
  <c r="J79" i="1"/>
  <c r="K79" i="1"/>
  <c r="L79" i="1"/>
  <c r="A80" i="1"/>
  <c r="B80" i="1"/>
  <c r="C80" i="1"/>
  <c r="D80" i="1"/>
  <c r="E80" i="1"/>
  <c r="F80" i="1"/>
  <c r="G80" i="1"/>
  <c r="H80" i="1"/>
  <c r="I80" i="1"/>
  <c r="J80" i="1"/>
  <c r="K80" i="1"/>
  <c r="L80" i="1"/>
  <c r="A81" i="1"/>
  <c r="B81" i="1"/>
  <c r="C81" i="1"/>
  <c r="D81" i="1"/>
  <c r="E81" i="1"/>
  <c r="F81" i="1"/>
  <c r="G81" i="1"/>
  <c r="H81" i="1"/>
  <c r="I81" i="1"/>
  <c r="J81" i="1"/>
  <c r="K81" i="1"/>
  <c r="L81" i="1"/>
  <c r="A82" i="1"/>
  <c r="B82" i="1"/>
  <c r="C82" i="1"/>
  <c r="D82" i="1"/>
  <c r="E82" i="1"/>
  <c r="F82" i="1"/>
  <c r="G82" i="1"/>
  <c r="H82" i="1"/>
  <c r="I82" i="1"/>
  <c r="J82" i="1"/>
  <c r="K82" i="1"/>
  <c r="L82" i="1"/>
  <c r="A83" i="1"/>
  <c r="B83" i="1"/>
  <c r="C83" i="1"/>
  <c r="D83" i="1"/>
  <c r="E83" i="1"/>
  <c r="F83" i="1"/>
  <c r="G83" i="1"/>
  <c r="H83" i="1"/>
  <c r="I83" i="1"/>
  <c r="J83" i="1"/>
  <c r="K83" i="1"/>
  <c r="L83" i="1"/>
  <c r="A84" i="1"/>
  <c r="B84" i="1"/>
  <c r="C84" i="1"/>
  <c r="D84" i="1"/>
  <c r="E84" i="1"/>
  <c r="F84" i="1"/>
  <c r="G84" i="1"/>
  <c r="H84" i="1"/>
  <c r="I84" i="1"/>
  <c r="J84" i="1"/>
  <c r="K84" i="1"/>
  <c r="L84" i="1"/>
  <c r="A85" i="1"/>
  <c r="B85" i="1"/>
  <c r="C85" i="1"/>
  <c r="D85" i="1"/>
  <c r="E85" i="1"/>
  <c r="F85" i="1"/>
  <c r="G85" i="1"/>
  <c r="H85" i="1"/>
  <c r="I85" i="1"/>
  <c r="J85" i="1"/>
  <c r="K85" i="1"/>
  <c r="L85" i="1"/>
  <c r="A86" i="1"/>
  <c r="B86" i="1"/>
  <c r="C86" i="1"/>
  <c r="D86" i="1"/>
  <c r="E86" i="1"/>
  <c r="F86" i="1"/>
  <c r="G86" i="1"/>
  <c r="H86" i="1"/>
  <c r="I86" i="1"/>
  <c r="J86" i="1"/>
  <c r="K86" i="1"/>
  <c r="L86" i="1"/>
  <c r="A87" i="1"/>
  <c r="B87" i="1"/>
  <c r="C87" i="1"/>
  <c r="D87" i="1"/>
  <c r="E87" i="1"/>
  <c r="F87" i="1"/>
  <c r="G87" i="1"/>
  <c r="H87" i="1"/>
  <c r="I87" i="1"/>
  <c r="J87" i="1"/>
  <c r="K87" i="1"/>
  <c r="L87" i="1"/>
  <c r="A88" i="1"/>
  <c r="B88" i="1"/>
  <c r="C88" i="1"/>
  <c r="D88" i="1"/>
  <c r="E88" i="1"/>
  <c r="F88" i="1"/>
  <c r="G88" i="1"/>
  <c r="H88" i="1"/>
  <c r="I88" i="1"/>
  <c r="J88" i="1"/>
  <c r="K88" i="1"/>
  <c r="L88" i="1"/>
  <c r="A89" i="1"/>
  <c r="B89" i="1"/>
  <c r="C89" i="1"/>
  <c r="D89" i="1"/>
  <c r="E89" i="1"/>
  <c r="F89" i="1"/>
  <c r="G89" i="1"/>
  <c r="H89" i="1"/>
  <c r="I89" i="1"/>
  <c r="J89" i="1"/>
  <c r="K89" i="1"/>
  <c r="L89" i="1"/>
  <c r="A90" i="1"/>
  <c r="B90" i="1"/>
  <c r="C90" i="1"/>
  <c r="D90" i="1"/>
  <c r="E90" i="1"/>
  <c r="F90" i="1"/>
  <c r="G90" i="1"/>
  <c r="H90" i="1"/>
  <c r="I90" i="1"/>
  <c r="J90" i="1"/>
  <c r="K90" i="1"/>
  <c r="L90" i="1"/>
  <c r="A91" i="1"/>
  <c r="B91" i="1"/>
  <c r="C91" i="1"/>
  <c r="D91" i="1"/>
  <c r="E91" i="1"/>
  <c r="F91" i="1"/>
  <c r="G91" i="1"/>
  <c r="H91" i="1"/>
  <c r="I91" i="1"/>
  <c r="J91" i="1"/>
  <c r="K91" i="1"/>
  <c r="L91" i="1"/>
  <c r="A92" i="1"/>
  <c r="B92" i="1"/>
  <c r="C92" i="1"/>
  <c r="D92" i="1"/>
  <c r="E92" i="1"/>
  <c r="F92" i="1"/>
  <c r="G92" i="1"/>
  <c r="H92" i="1"/>
  <c r="I92" i="1"/>
  <c r="J92" i="1"/>
  <c r="K92" i="1"/>
  <c r="L92" i="1"/>
  <c r="A93" i="1"/>
  <c r="B93" i="1"/>
  <c r="C93" i="1"/>
  <c r="D93" i="1"/>
  <c r="E93" i="1"/>
  <c r="F93" i="1"/>
  <c r="G93" i="1"/>
  <c r="H93" i="1"/>
  <c r="I93" i="1"/>
  <c r="J93" i="1"/>
  <c r="K93" i="1"/>
  <c r="L93" i="1"/>
  <c r="A94" i="1"/>
  <c r="B94" i="1"/>
  <c r="C94" i="1"/>
  <c r="D94" i="1"/>
  <c r="E94" i="1"/>
  <c r="F94" i="1"/>
  <c r="G94" i="1"/>
  <c r="H94" i="1"/>
  <c r="I94" i="1"/>
  <c r="J94" i="1"/>
  <c r="K94" i="1"/>
  <c r="L94" i="1"/>
  <c r="A95" i="1"/>
  <c r="B95" i="1"/>
  <c r="C95" i="1"/>
  <c r="D95" i="1"/>
  <c r="E95" i="1"/>
  <c r="F95" i="1"/>
  <c r="G95" i="1"/>
  <c r="H95" i="1"/>
  <c r="I95" i="1"/>
  <c r="J95" i="1"/>
  <c r="K95" i="1"/>
  <c r="L95" i="1"/>
  <c r="A96" i="1"/>
  <c r="B96" i="1"/>
  <c r="C96" i="1"/>
  <c r="D96" i="1"/>
  <c r="E96" i="1"/>
  <c r="F96" i="1"/>
  <c r="G96" i="1"/>
  <c r="H96" i="1"/>
  <c r="I96" i="1"/>
  <c r="J96" i="1"/>
  <c r="K96" i="1"/>
  <c r="L96" i="1"/>
  <c r="A97" i="1"/>
  <c r="B97" i="1"/>
  <c r="C97" i="1"/>
  <c r="D97" i="1"/>
  <c r="E97" i="1"/>
  <c r="F97" i="1"/>
  <c r="G97" i="1"/>
  <c r="H97" i="1"/>
  <c r="I97" i="1"/>
  <c r="J97" i="1"/>
  <c r="K97" i="1"/>
  <c r="L97" i="1"/>
  <c r="A98" i="1"/>
  <c r="B98" i="1"/>
  <c r="C98" i="1"/>
  <c r="D98" i="1"/>
  <c r="E98" i="1"/>
  <c r="F98" i="1"/>
  <c r="G98" i="1"/>
  <c r="H98" i="1"/>
  <c r="I98" i="1"/>
  <c r="J98" i="1"/>
  <c r="K98" i="1"/>
  <c r="L98" i="1"/>
  <c r="A99" i="1"/>
  <c r="B99" i="1"/>
  <c r="C99" i="1"/>
  <c r="D99" i="1"/>
  <c r="E99" i="1"/>
  <c r="F99" i="1"/>
  <c r="G99" i="1"/>
  <c r="H99" i="1"/>
  <c r="I99" i="1"/>
  <c r="J99" i="1"/>
  <c r="K99" i="1"/>
  <c r="L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A273" i="1"/>
  <c r="B273" i="1"/>
  <c r="C273" i="1"/>
  <c r="D273" i="1"/>
  <c r="E273" i="1"/>
  <c r="F273" i="1"/>
  <c r="G273" i="1"/>
  <c r="H273" i="1"/>
  <c r="I273" i="1"/>
  <c r="J273" i="1"/>
  <c r="K273" i="1"/>
  <c r="L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A277" i="1"/>
  <c r="B277" i="1"/>
  <c r="C277" i="1"/>
  <c r="D277" i="1"/>
  <c r="E277" i="1"/>
  <c r="F277" i="1"/>
  <c r="G277" i="1"/>
  <c r="H277" i="1"/>
  <c r="I277" i="1"/>
  <c r="J277" i="1"/>
  <c r="K277" i="1"/>
  <c r="L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A279" i="1"/>
  <c r="B279" i="1"/>
  <c r="C279" i="1"/>
  <c r="D279" i="1"/>
  <c r="E279" i="1"/>
  <c r="F279" i="1"/>
  <c r="G279" i="1"/>
  <c r="H279" i="1"/>
  <c r="I279" i="1"/>
  <c r="J279" i="1"/>
  <c r="K279" i="1"/>
  <c r="L279" i="1"/>
  <c r="A280" i="1"/>
  <c r="B280" i="1"/>
  <c r="C280" i="1"/>
  <c r="D280" i="1"/>
  <c r="E280" i="1"/>
  <c r="F280" i="1"/>
  <c r="G280" i="1"/>
  <c r="H280" i="1"/>
  <c r="I280" i="1"/>
  <c r="J280" i="1"/>
  <c r="K280" i="1"/>
  <c r="L280" i="1"/>
  <c r="A281" i="1"/>
  <c r="B281" i="1"/>
  <c r="C281" i="1"/>
  <c r="D281" i="1"/>
  <c r="E281" i="1"/>
  <c r="F281" i="1"/>
  <c r="G281" i="1"/>
  <c r="H281" i="1"/>
  <c r="I281" i="1"/>
  <c r="J281" i="1"/>
  <c r="K281" i="1"/>
  <c r="L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A284" i="1"/>
  <c r="B284" i="1"/>
  <c r="C284" i="1"/>
  <c r="D284" i="1"/>
  <c r="E284" i="1"/>
  <c r="F284" i="1"/>
  <c r="G284" i="1"/>
  <c r="H284" i="1"/>
  <c r="I284" i="1"/>
  <c r="J284" i="1"/>
  <c r="K284" i="1"/>
  <c r="L284" i="1"/>
  <c r="A285" i="1"/>
  <c r="B285" i="1"/>
  <c r="C285" i="1"/>
  <c r="D285" i="1"/>
  <c r="E285" i="1"/>
  <c r="F285" i="1"/>
  <c r="G285" i="1"/>
  <c r="H285" i="1"/>
  <c r="I285" i="1"/>
  <c r="J285" i="1"/>
  <c r="K285" i="1"/>
  <c r="L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A287" i="1"/>
  <c r="B287" i="1"/>
  <c r="C287" i="1"/>
  <c r="D287" i="1"/>
  <c r="E287" i="1"/>
  <c r="F287" i="1"/>
  <c r="G287" i="1"/>
  <c r="H287" i="1"/>
  <c r="I287" i="1"/>
  <c r="J287" i="1"/>
  <c r="K287" i="1"/>
  <c r="L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A289" i="1"/>
  <c r="B289" i="1"/>
  <c r="C289" i="1"/>
  <c r="D289" i="1"/>
  <c r="E289" i="1"/>
  <c r="F289" i="1"/>
  <c r="G289" i="1"/>
  <c r="H289" i="1"/>
  <c r="I289" i="1"/>
  <c r="J289" i="1"/>
  <c r="K289" i="1"/>
  <c r="L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A293" i="1"/>
  <c r="B293" i="1"/>
  <c r="C293" i="1"/>
  <c r="D293" i="1"/>
  <c r="E293" i="1"/>
  <c r="F293" i="1"/>
  <c r="G293" i="1"/>
  <c r="H293" i="1"/>
  <c r="I293" i="1"/>
  <c r="J293" i="1"/>
  <c r="K293" i="1"/>
  <c r="L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A297" i="1"/>
  <c r="B297" i="1"/>
  <c r="C297" i="1"/>
  <c r="D297" i="1"/>
  <c r="E297" i="1"/>
  <c r="F297" i="1"/>
  <c r="G297" i="1"/>
  <c r="H297" i="1"/>
  <c r="I297" i="1"/>
  <c r="J297" i="1"/>
  <c r="K297" i="1"/>
  <c r="L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A301" i="1"/>
  <c r="B301" i="1"/>
  <c r="C301" i="1"/>
  <c r="D301" i="1"/>
  <c r="E301" i="1"/>
  <c r="F301" i="1"/>
  <c r="G301" i="1"/>
  <c r="H301" i="1"/>
  <c r="I301" i="1"/>
  <c r="J301" i="1"/>
  <c r="K301" i="1"/>
  <c r="L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A303" i="1"/>
  <c r="B303" i="1"/>
  <c r="C303" i="1"/>
  <c r="D303" i="1"/>
  <c r="E303" i="1"/>
  <c r="F303" i="1"/>
  <c r="G303" i="1"/>
  <c r="H303" i="1"/>
  <c r="I303" i="1"/>
  <c r="J303" i="1"/>
  <c r="K303" i="1"/>
  <c r="L303" i="1"/>
  <c r="A304" i="1"/>
  <c r="B304" i="1"/>
  <c r="C304" i="1"/>
  <c r="D304" i="1"/>
  <c r="E304" i="1"/>
  <c r="F304" i="1"/>
  <c r="G304" i="1"/>
  <c r="H304" i="1"/>
  <c r="I304" i="1"/>
  <c r="J304" i="1"/>
  <c r="K304" i="1"/>
  <c r="L304" i="1"/>
  <c r="A305" i="1"/>
  <c r="B305" i="1"/>
  <c r="C305" i="1"/>
  <c r="D305" i="1"/>
  <c r="E305" i="1"/>
  <c r="F305" i="1"/>
  <c r="G305" i="1"/>
  <c r="H305" i="1"/>
  <c r="I305" i="1"/>
  <c r="J305" i="1"/>
  <c r="K305" i="1"/>
  <c r="L305" i="1"/>
  <c r="A306" i="1"/>
  <c r="B306" i="1"/>
  <c r="C306" i="1"/>
  <c r="D306" i="1"/>
  <c r="E306" i="1"/>
  <c r="F306" i="1"/>
  <c r="G306" i="1"/>
  <c r="H306" i="1"/>
  <c r="I306" i="1"/>
  <c r="J306" i="1"/>
  <c r="K306" i="1"/>
  <c r="L306" i="1"/>
  <c r="A307" i="1"/>
  <c r="B307" i="1"/>
  <c r="C307" i="1"/>
  <c r="D307" i="1"/>
  <c r="E307" i="1"/>
  <c r="F307" i="1"/>
  <c r="G307" i="1"/>
  <c r="H307" i="1"/>
  <c r="I307" i="1"/>
  <c r="J307" i="1"/>
  <c r="K307" i="1"/>
  <c r="L307" i="1"/>
  <c r="A308" i="1"/>
  <c r="B308" i="1"/>
  <c r="C308" i="1"/>
  <c r="D308" i="1"/>
  <c r="E308" i="1"/>
  <c r="F308" i="1"/>
  <c r="G308" i="1"/>
  <c r="H308" i="1"/>
  <c r="I308" i="1"/>
  <c r="J308" i="1"/>
  <c r="K308" i="1"/>
  <c r="L308" i="1"/>
  <c r="A309" i="1"/>
  <c r="B309" i="1"/>
  <c r="C309" i="1"/>
  <c r="D309" i="1"/>
  <c r="E309" i="1"/>
  <c r="F309" i="1"/>
  <c r="G309" i="1"/>
  <c r="H309" i="1"/>
  <c r="I309" i="1"/>
  <c r="J309" i="1"/>
  <c r="K309" i="1"/>
  <c r="L309" i="1"/>
  <c r="A310" i="1"/>
  <c r="B310" i="1"/>
  <c r="C310" i="1"/>
  <c r="D310" i="1"/>
  <c r="E310" i="1"/>
  <c r="F310" i="1"/>
  <c r="G310" i="1"/>
  <c r="H310" i="1"/>
  <c r="I310" i="1"/>
  <c r="J310" i="1"/>
  <c r="K310" i="1"/>
  <c r="L310" i="1"/>
  <c r="A311" i="1"/>
  <c r="B311" i="1"/>
  <c r="C311" i="1"/>
  <c r="D311" i="1"/>
  <c r="E311" i="1"/>
  <c r="F311" i="1"/>
  <c r="G311" i="1"/>
  <c r="H311" i="1"/>
  <c r="I311" i="1"/>
  <c r="J311" i="1"/>
  <c r="K311" i="1"/>
  <c r="L311" i="1"/>
  <c r="A312" i="1"/>
  <c r="B312" i="1"/>
  <c r="C312" i="1"/>
  <c r="D312" i="1"/>
  <c r="E312" i="1"/>
  <c r="F312" i="1"/>
  <c r="G312" i="1"/>
  <c r="H312" i="1"/>
  <c r="I312" i="1"/>
  <c r="J312" i="1"/>
  <c r="K312" i="1"/>
  <c r="L312" i="1"/>
  <c r="A313" i="1"/>
  <c r="B313" i="1"/>
  <c r="C313" i="1"/>
  <c r="D313" i="1"/>
  <c r="E313" i="1"/>
  <c r="F313" i="1"/>
  <c r="G313" i="1"/>
  <c r="H313" i="1"/>
  <c r="I313" i="1"/>
  <c r="J313" i="1"/>
  <c r="K313" i="1"/>
  <c r="L313" i="1"/>
  <c r="A314" i="1"/>
  <c r="B314" i="1"/>
  <c r="C314" i="1"/>
  <c r="D314" i="1"/>
  <c r="E314" i="1"/>
  <c r="F314" i="1"/>
  <c r="G314" i="1"/>
  <c r="H314" i="1"/>
  <c r="I314" i="1"/>
  <c r="J314" i="1"/>
  <c r="K314" i="1"/>
  <c r="L314" i="1"/>
  <c r="A315" i="1"/>
  <c r="B315" i="1"/>
  <c r="C315" i="1"/>
  <c r="D315" i="1"/>
  <c r="E315" i="1"/>
  <c r="F315" i="1"/>
  <c r="G315" i="1"/>
  <c r="H315" i="1"/>
  <c r="I315" i="1"/>
  <c r="J315" i="1"/>
  <c r="K315" i="1"/>
  <c r="L315" i="1"/>
  <c r="A316" i="1"/>
  <c r="B316" i="1"/>
  <c r="C316" i="1"/>
  <c r="D316" i="1"/>
  <c r="E316" i="1"/>
  <c r="F316" i="1"/>
  <c r="G316" i="1"/>
  <c r="H316" i="1"/>
  <c r="I316" i="1"/>
  <c r="J316" i="1"/>
  <c r="K316" i="1"/>
  <c r="L316" i="1"/>
  <c r="A317" i="1"/>
  <c r="B317" i="1"/>
  <c r="C317" i="1"/>
  <c r="D317" i="1"/>
  <c r="E317" i="1"/>
  <c r="F317" i="1"/>
  <c r="G317" i="1"/>
  <c r="H317" i="1"/>
  <c r="I317" i="1"/>
  <c r="J317" i="1"/>
  <c r="K317" i="1"/>
  <c r="L317" i="1"/>
  <c r="A318" i="1"/>
  <c r="B318" i="1"/>
  <c r="C318" i="1"/>
  <c r="D318" i="1"/>
  <c r="E318" i="1"/>
  <c r="F318" i="1"/>
  <c r="G318" i="1"/>
  <c r="H318" i="1"/>
  <c r="I318" i="1"/>
  <c r="J318" i="1"/>
  <c r="K318" i="1"/>
  <c r="L318" i="1"/>
  <c r="A319" i="1"/>
  <c r="B319" i="1"/>
  <c r="C319" i="1"/>
  <c r="D319" i="1"/>
  <c r="E319" i="1"/>
  <c r="F319" i="1"/>
  <c r="G319" i="1"/>
  <c r="H319" i="1"/>
  <c r="I319" i="1"/>
  <c r="J319" i="1"/>
  <c r="K319" i="1"/>
  <c r="L319" i="1"/>
  <c r="A320" i="1"/>
  <c r="B320" i="1"/>
  <c r="C320" i="1"/>
  <c r="D320" i="1"/>
  <c r="E320" i="1"/>
  <c r="F320" i="1"/>
  <c r="G320" i="1"/>
  <c r="H320" i="1"/>
  <c r="I320" i="1"/>
  <c r="J320" i="1"/>
  <c r="K320" i="1"/>
  <c r="L320" i="1"/>
  <c r="A321" i="1"/>
  <c r="B321" i="1"/>
  <c r="C321" i="1"/>
  <c r="D321" i="1"/>
  <c r="E321" i="1"/>
  <c r="F321" i="1"/>
  <c r="G321" i="1"/>
  <c r="H321" i="1"/>
  <c r="I321" i="1"/>
  <c r="J321" i="1"/>
  <c r="K321" i="1"/>
  <c r="L321" i="1"/>
  <c r="A322" i="1"/>
  <c r="B322" i="1"/>
  <c r="C322" i="1"/>
  <c r="D322" i="1"/>
  <c r="E322" i="1"/>
  <c r="F322" i="1"/>
  <c r="G322" i="1"/>
  <c r="H322" i="1"/>
  <c r="I322" i="1"/>
  <c r="J322" i="1"/>
  <c r="K322" i="1"/>
  <c r="L322" i="1"/>
  <c r="A323" i="1"/>
  <c r="B323" i="1"/>
  <c r="C323" i="1"/>
  <c r="D323" i="1"/>
  <c r="E323" i="1"/>
  <c r="F323" i="1"/>
  <c r="G323" i="1"/>
  <c r="H323" i="1"/>
  <c r="I323" i="1"/>
  <c r="J323" i="1"/>
  <c r="K323" i="1"/>
  <c r="L323" i="1"/>
  <c r="A324" i="1"/>
  <c r="B324" i="1"/>
  <c r="C324" i="1"/>
  <c r="D324" i="1"/>
  <c r="E324" i="1"/>
  <c r="F324" i="1"/>
  <c r="G324" i="1"/>
  <c r="H324" i="1"/>
  <c r="I324" i="1"/>
  <c r="J324" i="1"/>
  <c r="K324" i="1"/>
  <c r="L324" i="1"/>
  <c r="A325" i="1"/>
  <c r="B325" i="1"/>
  <c r="C325" i="1"/>
  <c r="D325" i="1"/>
  <c r="E325" i="1"/>
  <c r="F325" i="1"/>
  <c r="G325" i="1"/>
  <c r="H325" i="1"/>
  <c r="I325" i="1"/>
  <c r="J325" i="1"/>
  <c r="K325" i="1"/>
  <c r="L325" i="1"/>
  <c r="A326" i="1"/>
  <c r="B326" i="1"/>
  <c r="C326" i="1"/>
  <c r="D326" i="1"/>
  <c r="E326" i="1"/>
  <c r="F326" i="1"/>
  <c r="G326" i="1"/>
  <c r="H326" i="1"/>
  <c r="I326" i="1"/>
  <c r="J326" i="1"/>
  <c r="K326" i="1"/>
  <c r="L326" i="1"/>
  <c r="A327" i="1"/>
  <c r="B327" i="1"/>
  <c r="C327" i="1"/>
  <c r="D327" i="1"/>
  <c r="E327" i="1"/>
  <c r="F327" i="1"/>
  <c r="G327" i="1"/>
  <c r="H327" i="1"/>
  <c r="I327" i="1"/>
  <c r="J327" i="1"/>
  <c r="K327" i="1"/>
  <c r="L327" i="1"/>
  <c r="A328" i="1"/>
  <c r="B328" i="1"/>
  <c r="C328" i="1"/>
  <c r="D328" i="1"/>
  <c r="E328" i="1"/>
  <c r="F328" i="1"/>
  <c r="G328" i="1"/>
  <c r="H328" i="1"/>
  <c r="I328" i="1"/>
  <c r="J328" i="1"/>
  <c r="K328" i="1"/>
  <c r="L328" i="1"/>
  <c r="A329" i="1"/>
  <c r="B329" i="1"/>
  <c r="C329" i="1"/>
  <c r="D329" i="1"/>
  <c r="E329" i="1"/>
  <c r="F329" i="1"/>
  <c r="G329" i="1"/>
  <c r="H329" i="1"/>
  <c r="I329" i="1"/>
  <c r="J329" i="1"/>
  <c r="K329" i="1"/>
  <c r="L329" i="1"/>
  <c r="A330" i="1"/>
  <c r="B330" i="1"/>
  <c r="C330" i="1"/>
  <c r="D330" i="1"/>
  <c r="E330" i="1"/>
  <c r="F330" i="1"/>
  <c r="G330" i="1"/>
  <c r="H330" i="1"/>
  <c r="I330" i="1"/>
  <c r="J330" i="1"/>
  <c r="K330" i="1"/>
  <c r="L330" i="1"/>
  <c r="A331" i="1"/>
  <c r="B331" i="1"/>
  <c r="C331" i="1"/>
  <c r="D331" i="1"/>
  <c r="E331" i="1"/>
  <c r="F331" i="1"/>
  <c r="G331" i="1"/>
  <c r="H331" i="1"/>
  <c r="I331" i="1"/>
  <c r="J331" i="1"/>
  <c r="K331" i="1"/>
  <c r="L331" i="1"/>
  <c r="A332" i="1"/>
  <c r="B332" i="1"/>
  <c r="C332" i="1"/>
  <c r="D332" i="1"/>
  <c r="E332" i="1"/>
  <c r="F332" i="1"/>
  <c r="G332" i="1"/>
  <c r="H332" i="1"/>
  <c r="I332" i="1"/>
  <c r="J332" i="1"/>
  <c r="K332" i="1"/>
  <c r="L332" i="1"/>
  <c r="A333" i="1"/>
  <c r="B333" i="1"/>
  <c r="C333" i="1"/>
  <c r="D333" i="1"/>
  <c r="E333" i="1"/>
  <c r="F333" i="1"/>
  <c r="G333" i="1"/>
  <c r="H333" i="1"/>
  <c r="I333" i="1"/>
  <c r="J333" i="1"/>
  <c r="K333" i="1"/>
  <c r="L333" i="1"/>
  <c r="A334" i="1"/>
  <c r="B334" i="1"/>
  <c r="C334" i="1"/>
  <c r="D334" i="1"/>
  <c r="E334" i="1"/>
  <c r="F334" i="1"/>
  <c r="G334" i="1"/>
  <c r="H334" i="1"/>
  <c r="I334" i="1"/>
  <c r="J334" i="1"/>
  <c r="K334" i="1"/>
  <c r="L334" i="1"/>
  <c r="A335" i="1"/>
  <c r="B335" i="1"/>
  <c r="C335" i="1"/>
  <c r="D335" i="1"/>
  <c r="E335" i="1"/>
  <c r="F335" i="1"/>
  <c r="G335" i="1"/>
  <c r="H335" i="1"/>
  <c r="I335" i="1"/>
  <c r="J335" i="1"/>
  <c r="K335" i="1"/>
  <c r="L335" i="1"/>
  <c r="A336" i="1"/>
  <c r="B336" i="1"/>
  <c r="C336" i="1"/>
  <c r="D336" i="1"/>
  <c r="E336" i="1"/>
  <c r="F336" i="1"/>
  <c r="G336" i="1"/>
  <c r="H336" i="1"/>
  <c r="I336" i="1"/>
  <c r="J336" i="1"/>
  <c r="K336" i="1"/>
  <c r="L336" i="1"/>
  <c r="A337" i="1"/>
  <c r="B337" i="1"/>
  <c r="C337" i="1"/>
  <c r="D337" i="1"/>
  <c r="E337" i="1"/>
  <c r="F337" i="1"/>
  <c r="G337" i="1"/>
  <c r="H337" i="1"/>
  <c r="I337" i="1"/>
  <c r="J337" i="1"/>
  <c r="K337" i="1"/>
  <c r="L337" i="1"/>
  <c r="A338" i="1"/>
  <c r="B338" i="1"/>
  <c r="C338" i="1"/>
  <c r="D338" i="1"/>
  <c r="E338" i="1"/>
  <c r="F338" i="1"/>
  <c r="G338" i="1"/>
  <c r="H338" i="1"/>
  <c r="I338" i="1"/>
  <c r="J338" i="1"/>
  <c r="K338" i="1"/>
  <c r="L338" i="1"/>
  <c r="A339" i="1"/>
  <c r="B339" i="1"/>
  <c r="C339" i="1"/>
  <c r="D339" i="1"/>
  <c r="E339" i="1"/>
  <c r="F339" i="1"/>
  <c r="G339" i="1"/>
  <c r="H339" i="1"/>
  <c r="I339" i="1"/>
  <c r="J339" i="1"/>
  <c r="K339" i="1"/>
  <c r="L339" i="1"/>
  <c r="A340" i="1"/>
  <c r="B340" i="1"/>
  <c r="C340" i="1"/>
  <c r="D340" i="1"/>
  <c r="E340" i="1"/>
  <c r="F340" i="1"/>
  <c r="G340" i="1"/>
  <c r="H340" i="1"/>
  <c r="I340" i="1"/>
  <c r="J340" i="1"/>
  <c r="K340" i="1"/>
  <c r="L340" i="1"/>
  <c r="A341" i="1"/>
  <c r="B341" i="1"/>
  <c r="C341" i="1"/>
  <c r="D341" i="1"/>
  <c r="E341" i="1"/>
  <c r="F341" i="1"/>
  <c r="G341" i="1"/>
  <c r="H341" i="1"/>
  <c r="I341" i="1"/>
  <c r="J341" i="1"/>
  <c r="K341" i="1"/>
  <c r="L341" i="1"/>
  <c r="A342" i="1"/>
  <c r="B342" i="1"/>
  <c r="C342" i="1"/>
  <c r="D342" i="1"/>
  <c r="E342" i="1"/>
  <c r="F342" i="1"/>
  <c r="G342" i="1"/>
  <c r="H342" i="1"/>
  <c r="I342" i="1"/>
  <c r="J342" i="1"/>
  <c r="K342" i="1"/>
  <c r="L342" i="1"/>
  <c r="A343" i="1"/>
  <c r="B343" i="1"/>
  <c r="C343" i="1"/>
  <c r="D343" i="1"/>
  <c r="E343" i="1"/>
  <c r="F343" i="1"/>
  <c r="G343" i="1"/>
  <c r="H343" i="1"/>
  <c r="I343" i="1"/>
  <c r="J343" i="1"/>
  <c r="K343" i="1"/>
  <c r="L343" i="1"/>
  <c r="A344" i="1"/>
  <c r="B344" i="1"/>
  <c r="C344" i="1"/>
  <c r="D344" i="1"/>
  <c r="E344" i="1"/>
  <c r="F344" i="1"/>
  <c r="G344" i="1"/>
  <c r="H344" i="1"/>
  <c r="I344" i="1"/>
  <c r="J344" i="1"/>
  <c r="K344" i="1"/>
  <c r="L344" i="1"/>
  <c r="A345" i="1"/>
  <c r="B345" i="1"/>
  <c r="C345" i="1"/>
  <c r="D345" i="1"/>
  <c r="E345" i="1"/>
  <c r="F345" i="1"/>
  <c r="G345" i="1"/>
  <c r="H345" i="1"/>
  <c r="I345" i="1"/>
  <c r="J345" i="1"/>
  <c r="K345" i="1"/>
  <c r="L345" i="1"/>
  <c r="A346" i="1"/>
  <c r="B346" i="1"/>
  <c r="C346" i="1"/>
  <c r="D346" i="1"/>
  <c r="E346" i="1"/>
  <c r="F346" i="1"/>
  <c r="G346" i="1"/>
  <c r="H346" i="1"/>
  <c r="I346" i="1"/>
  <c r="J346" i="1"/>
  <c r="K346" i="1"/>
  <c r="L346" i="1"/>
  <c r="A347" i="1"/>
  <c r="B347" i="1"/>
  <c r="C347" i="1"/>
  <c r="D347" i="1"/>
  <c r="E347" i="1"/>
  <c r="F347" i="1"/>
  <c r="G347" i="1"/>
  <c r="H347" i="1"/>
  <c r="I347" i="1"/>
  <c r="J347" i="1"/>
  <c r="K347" i="1"/>
  <c r="L347" i="1"/>
  <c r="A348" i="1"/>
  <c r="B348" i="1"/>
  <c r="C348" i="1"/>
  <c r="D348" i="1"/>
  <c r="E348" i="1"/>
  <c r="F348" i="1"/>
  <c r="G348" i="1"/>
  <c r="H348" i="1"/>
  <c r="I348" i="1"/>
  <c r="J348" i="1"/>
  <c r="K348" i="1"/>
  <c r="L348" i="1"/>
  <c r="A349" i="1"/>
  <c r="B349" i="1"/>
  <c r="C349" i="1"/>
  <c r="D349" i="1"/>
  <c r="E349" i="1"/>
  <c r="F349" i="1"/>
  <c r="G349" i="1"/>
  <c r="H349" i="1"/>
  <c r="I349" i="1"/>
  <c r="J349" i="1"/>
  <c r="K349" i="1"/>
  <c r="L349" i="1"/>
  <c r="A350" i="1"/>
  <c r="B350" i="1"/>
  <c r="C350" i="1"/>
  <c r="D350" i="1"/>
  <c r="E350" i="1"/>
  <c r="F350" i="1"/>
  <c r="G350" i="1"/>
  <c r="H350" i="1"/>
  <c r="I350" i="1"/>
  <c r="J350" i="1"/>
  <c r="K350" i="1"/>
  <c r="L350" i="1"/>
  <c r="A351" i="1"/>
  <c r="B351" i="1"/>
  <c r="C351" i="1"/>
  <c r="D351" i="1"/>
  <c r="E351" i="1"/>
  <c r="F351" i="1"/>
  <c r="G351" i="1"/>
  <c r="H351" i="1"/>
  <c r="I351" i="1"/>
  <c r="J351" i="1"/>
  <c r="K351" i="1"/>
  <c r="L351" i="1"/>
  <c r="A352" i="1"/>
  <c r="B352" i="1"/>
  <c r="C352" i="1"/>
  <c r="D352" i="1"/>
  <c r="E352" i="1"/>
  <c r="F352" i="1"/>
  <c r="G352" i="1"/>
  <c r="H352" i="1"/>
  <c r="I352" i="1"/>
  <c r="J352" i="1"/>
  <c r="K352" i="1"/>
  <c r="L352" i="1"/>
  <c r="A353" i="1"/>
  <c r="B353" i="1"/>
  <c r="C353" i="1"/>
  <c r="D353" i="1"/>
  <c r="E353" i="1"/>
  <c r="F353" i="1"/>
  <c r="G353" i="1"/>
  <c r="H353" i="1"/>
  <c r="I353" i="1"/>
  <c r="J353" i="1"/>
  <c r="K353" i="1"/>
  <c r="L353" i="1"/>
  <c r="A354" i="1"/>
  <c r="B354" i="1"/>
  <c r="C354" i="1"/>
  <c r="D354" i="1"/>
  <c r="E354" i="1"/>
  <c r="F354" i="1"/>
  <c r="G354" i="1"/>
  <c r="H354" i="1"/>
  <c r="I354" i="1"/>
  <c r="J354" i="1"/>
  <c r="K354" i="1"/>
  <c r="L354" i="1"/>
  <c r="A355" i="1"/>
  <c r="B355" i="1"/>
  <c r="C355" i="1"/>
  <c r="D355" i="1"/>
  <c r="E355" i="1"/>
  <c r="F355" i="1"/>
  <c r="G355" i="1"/>
  <c r="H355" i="1"/>
  <c r="I355" i="1"/>
  <c r="J355" i="1"/>
  <c r="K355" i="1"/>
  <c r="L355" i="1"/>
  <c r="A356" i="1"/>
  <c r="B356" i="1"/>
  <c r="C356" i="1"/>
  <c r="D356" i="1"/>
  <c r="E356" i="1"/>
  <c r="F356" i="1"/>
  <c r="G356" i="1"/>
  <c r="H356" i="1"/>
  <c r="I356" i="1"/>
  <c r="J356" i="1"/>
  <c r="K356" i="1"/>
  <c r="L356" i="1"/>
  <c r="A357" i="1"/>
  <c r="B357" i="1"/>
  <c r="C357" i="1"/>
  <c r="D357" i="1"/>
  <c r="E357" i="1"/>
  <c r="F357" i="1"/>
  <c r="G357" i="1"/>
  <c r="H357" i="1"/>
  <c r="I357" i="1"/>
  <c r="J357" i="1"/>
  <c r="K357" i="1"/>
  <c r="L357" i="1"/>
  <c r="A358" i="1"/>
  <c r="B358" i="1"/>
  <c r="C358" i="1"/>
  <c r="D358" i="1"/>
  <c r="E358" i="1"/>
  <c r="F358" i="1"/>
  <c r="G358" i="1"/>
  <c r="H358" i="1"/>
  <c r="I358" i="1"/>
  <c r="J358" i="1"/>
  <c r="K358" i="1"/>
  <c r="L358" i="1"/>
  <c r="A359" i="1"/>
  <c r="B359" i="1"/>
  <c r="C359" i="1"/>
  <c r="D359" i="1"/>
  <c r="E359" i="1"/>
  <c r="F359" i="1"/>
  <c r="G359" i="1"/>
  <c r="H359" i="1"/>
  <c r="I359" i="1"/>
  <c r="J359" i="1"/>
  <c r="K359" i="1"/>
  <c r="L359" i="1"/>
  <c r="A360" i="1"/>
  <c r="B360" i="1"/>
  <c r="C360" i="1"/>
  <c r="D360" i="1"/>
  <c r="E360" i="1"/>
  <c r="F360" i="1"/>
  <c r="G360" i="1"/>
  <c r="H360" i="1"/>
  <c r="I360" i="1"/>
  <c r="J360" i="1"/>
  <c r="K360" i="1"/>
  <c r="L360" i="1"/>
  <c r="A361" i="1"/>
  <c r="B361" i="1"/>
  <c r="C361" i="1"/>
  <c r="D361" i="1"/>
  <c r="E361" i="1"/>
  <c r="F361" i="1"/>
  <c r="G361" i="1"/>
  <c r="H361" i="1"/>
  <c r="I361" i="1"/>
  <c r="J361" i="1"/>
  <c r="K361" i="1"/>
  <c r="L361" i="1"/>
  <c r="A362" i="1"/>
  <c r="B362" i="1"/>
  <c r="C362" i="1"/>
  <c r="D362" i="1"/>
  <c r="E362" i="1"/>
  <c r="F362" i="1"/>
  <c r="G362" i="1"/>
  <c r="H362" i="1"/>
  <c r="I362" i="1"/>
  <c r="J362" i="1"/>
  <c r="K362" i="1"/>
  <c r="L362" i="1"/>
  <c r="A363" i="1"/>
  <c r="B363" i="1"/>
  <c r="C363" i="1"/>
  <c r="D363" i="1"/>
  <c r="E363" i="1"/>
  <c r="F363" i="1"/>
  <c r="G363" i="1"/>
  <c r="H363" i="1"/>
  <c r="I363" i="1"/>
  <c r="J363" i="1"/>
  <c r="K363" i="1"/>
  <c r="L363" i="1"/>
  <c r="A364" i="1"/>
  <c r="B364" i="1"/>
  <c r="C364" i="1"/>
  <c r="D364" i="1"/>
  <c r="E364" i="1"/>
  <c r="F364" i="1"/>
  <c r="G364" i="1"/>
  <c r="H364" i="1"/>
  <c r="I364" i="1"/>
  <c r="J364" i="1"/>
  <c r="K364" i="1"/>
  <c r="L364" i="1"/>
  <c r="A365" i="1"/>
  <c r="B365" i="1"/>
  <c r="C365" i="1"/>
  <c r="D365" i="1"/>
  <c r="E365" i="1"/>
  <c r="F365" i="1"/>
  <c r="G365" i="1"/>
  <c r="H365" i="1"/>
  <c r="I365" i="1"/>
  <c r="J365" i="1"/>
  <c r="K365" i="1"/>
  <c r="L365" i="1"/>
  <c r="A366" i="1"/>
  <c r="B366" i="1"/>
  <c r="C366" i="1"/>
  <c r="D366" i="1"/>
  <c r="E366" i="1"/>
  <c r="F366" i="1"/>
  <c r="G366" i="1"/>
  <c r="H366" i="1"/>
  <c r="I366" i="1"/>
  <c r="J366" i="1"/>
  <c r="K366" i="1"/>
  <c r="L366" i="1"/>
  <c r="A367" i="1"/>
  <c r="B367" i="1"/>
  <c r="C367" i="1"/>
  <c r="D367" i="1"/>
  <c r="E367" i="1"/>
  <c r="F367" i="1"/>
  <c r="G367" i="1"/>
  <c r="H367" i="1"/>
  <c r="I367" i="1"/>
  <c r="J367" i="1"/>
  <c r="K367" i="1"/>
  <c r="L367" i="1"/>
  <c r="A368" i="1"/>
  <c r="B368" i="1"/>
  <c r="C368" i="1"/>
  <c r="D368" i="1"/>
  <c r="E368" i="1"/>
  <c r="F368" i="1"/>
  <c r="G368" i="1"/>
  <c r="H368" i="1"/>
  <c r="I368" i="1"/>
  <c r="J368" i="1"/>
  <c r="K368" i="1"/>
  <c r="L368" i="1"/>
  <c r="A369" i="1"/>
  <c r="B369" i="1"/>
  <c r="C369" i="1"/>
  <c r="D369" i="1"/>
  <c r="E369" i="1"/>
  <c r="F369" i="1"/>
  <c r="G369" i="1"/>
  <c r="H369" i="1"/>
  <c r="I369" i="1"/>
  <c r="J369" i="1"/>
  <c r="K369" i="1"/>
  <c r="L369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A371" i="1"/>
  <c r="B371" i="1"/>
  <c r="C371" i="1"/>
  <c r="D371" i="1"/>
  <c r="E371" i="1"/>
  <c r="F371" i="1"/>
  <c r="G371" i="1"/>
  <c r="H371" i="1"/>
  <c r="I371" i="1"/>
  <c r="J371" i="1"/>
  <c r="K371" i="1"/>
  <c r="L371" i="1"/>
  <c r="A372" i="1"/>
  <c r="B372" i="1"/>
  <c r="C372" i="1"/>
  <c r="D372" i="1"/>
  <c r="E372" i="1"/>
  <c r="F372" i="1"/>
  <c r="G372" i="1"/>
  <c r="H372" i="1"/>
  <c r="I372" i="1"/>
  <c r="J372" i="1"/>
  <c r="K372" i="1"/>
  <c r="L372" i="1"/>
  <c r="A373" i="1"/>
  <c r="B373" i="1"/>
  <c r="C373" i="1"/>
  <c r="D373" i="1"/>
  <c r="E373" i="1"/>
  <c r="F373" i="1"/>
  <c r="G373" i="1"/>
  <c r="H373" i="1"/>
  <c r="I373" i="1"/>
  <c r="J373" i="1"/>
  <c r="K373" i="1"/>
  <c r="L373" i="1"/>
  <c r="A374" i="1"/>
  <c r="B374" i="1"/>
  <c r="C374" i="1"/>
  <c r="D374" i="1"/>
  <c r="E374" i="1"/>
  <c r="F374" i="1"/>
  <c r="G374" i="1"/>
  <c r="H374" i="1"/>
  <c r="I374" i="1"/>
  <c r="J374" i="1"/>
  <c r="K374" i="1"/>
  <c r="L374" i="1"/>
  <c r="A375" i="1"/>
  <c r="B375" i="1"/>
  <c r="C375" i="1"/>
  <c r="D375" i="1"/>
  <c r="E375" i="1"/>
  <c r="F375" i="1"/>
  <c r="G375" i="1"/>
  <c r="H375" i="1"/>
  <c r="I375" i="1"/>
  <c r="J375" i="1"/>
  <c r="K375" i="1"/>
  <c r="L375" i="1"/>
  <c r="A376" i="1"/>
  <c r="B376" i="1"/>
  <c r="C376" i="1"/>
  <c r="D376" i="1"/>
  <c r="E376" i="1"/>
  <c r="F376" i="1"/>
  <c r="G376" i="1"/>
  <c r="H376" i="1"/>
  <c r="I376" i="1"/>
  <c r="J376" i="1"/>
  <c r="K376" i="1"/>
  <c r="L376" i="1"/>
  <c r="A377" i="1"/>
  <c r="B377" i="1"/>
  <c r="C377" i="1"/>
  <c r="D377" i="1"/>
  <c r="E377" i="1"/>
  <c r="F377" i="1"/>
  <c r="G377" i="1"/>
  <c r="H377" i="1"/>
  <c r="I377" i="1"/>
  <c r="J377" i="1"/>
  <c r="K377" i="1"/>
  <c r="L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A379" i="1"/>
  <c r="B379" i="1"/>
  <c r="C379" i="1"/>
  <c r="D379" i="1"/>
  <c r="E379" i="1"/>
  <c r="F379" i="1"/>
  <c r="G379" i="1"/>
  <c r="H379" i="1"/>
  <c r="I379" i="1"/>
  <c r="J379" i="1"/>
  <c r="K379" i="1"/>
  <c r="L379" i="1"/>
  <c r="A380" i="1"/>
  <c r="B380" i="1"/>
  <c r="C380" i="1"/>
  <c r="D380" i="1"/>
  <c r="E380" i="1"/>
  <c r="F380" i="1"/>
  <c r="G380" i="1"/>
  <c r="H380" i="1"/>
  <c r="I380" i="1"/>
  <c r="J380" i="1"/>
  <c r="K380" i="1"/>
  <c r="L380" i="1"/>
  <c r="A381" i="1"/>
  <c r="B381" i="1"/>
  <c r="C381" i="1"/>
  <c r="D381" i="1"/>
  <c r="E381" i="1"/>
  <c r="F381" i="1"/>
  <c r="G381" i="1"/>
  <c r="H381" i="1"/>
  <c r="I381" i="1"/>
  <c r="J381" i="1"/>
  <c r="K381" i="1"/>
  <c r="L381" i="1"/>
  <c r="A382" i="1"/>
  <c r="B382" i="1"/>
  <c r="C382" i="1"/>
  <c r="D382" i="1"/>
  <c r="E382" i="1"/>
  <c r="F382" i="1"/>
  <c r="G382" i="1"/>
  <c r="H382" i="1"/>
  <c r="I382" i="1"/>
  <c r="J382" i="1"/>
  <c r="K382" i="1"/>
  <c r="L382" i="1"/>
  <c r="A383" i="1"/>
  <c r="B383" i="1"/>
  <c r="C383" i="1"/>
  <c r="D383" i="1"/>
  <c r="E383" i="1"/>
  <c r="F383" i="1"/>
  <c r="G383" i="1"/>
  <c r="H383" i="1"/>
  <c r="I383" i="1"/>
  <c r="J383" i="1"/>
  <c r="K383" i="1"/>
  <c r="L383" i="1"/>
  <c r="A384" i="1"/>
  <c r="B384" i="1"/>
  <c r="C384" i="1"/>
  <c r="D384" i="1"/>
  <c r="E384" i="1"/>
  <c r="F384" i="1"/>
  <c r="G384" i="1"/>
  <c r="H384" i="1"/>
  <c r="I384" i="1"/>
  <c r="J384" i="1"/>
  <c r="K384" i="1"/>
  <c r="L384" i="1"/>
  <c r="A385" i="1"/>
  <c r="B385" i="1"/>
  <c r="C385" i="1"/>
  <c r="D385" i="1"/>
  <c r="E385" i="1"/>
  <c r="F385" i="1"/>
  <c r="G385" i="1"/>
  <c r="H385" i="1"/>
  <c r="I385" i="1"/>
  <c r="J385" i="1"/>
  <c r="K385" i="1"/>
  <c r="L385" i="1"/>
  <c r="A386" i="1"/>
  <c r="B386" i="1"/>
  <c r="C386" i="1"/>
  <c r="D386" i="1"/>
  <c r="E386" i="1"/>
  <c r="F386" i="1"/>
  <c r="G386" i="1"/>
  <c r="H386" i="1"/>
  <c r="I386" i="1"/>
  <c r="J386" i="1"/>
  <c r="K386" i="1"/>
  <c r="L386" i="1"/>
  <c r="A387" i="1"/>
  <c r="B387" i="1"/>
  <c r="C387" i="1"/>
  <c r="D387" i="1"/>
  <c r="E387" i="1"/>
  <c r="F387" i="1"/>
  <c r="G387" i="1"/>
  <c r="H387" i="1"/>
  <c r="I387" i="1"/>
  <c r="J387" i="1"/>
  <c r="K387" i="1"/>
  <c r="L387" i="1"/>
  <c r="A388" i="1"/>
  <c r="B388" i="1"/>
  <c r="C388" i="1"/>
  <c r="D388" i="1"/>
  <c r="E388" i="1"/>
  <c r="F388" i="1"/>
  <c r="G388" i="1"/>
  <c r="H388" i="1"/>
  <c r="I388" i="1"/>
  <c r="J388" i="1"/>
  <c r="K388" i="1"/>
  <c r="L388" i="1"/>
  <c r="A389" i="1"/>
  <c r="B389" i="1"/>
  <c r="C389" i="1"/>
  <c r="D389" i="1"/>
  <c r="E389" i="1"/>
  <c r="F389" i="1"/>
  <c r="G389" i="1"/>
  <c r="H389" i="1"/>
  <c r="I389" i="1"/>
  <c r="J389" i="1"/>
  <c r="K389" i="1"/>
  <c r="L389" i="1"/>
  <c r="A390" i="1"/>
  <c r="B390" i="1"/>
  <c r="C390" i="1"/>
  <c r="D390" i="1"/>
  <c r="E390" i="1"/>
  <c r="F390" i="1"/>
  <c r="G390" i="1"/>
  <c r="H390" i="1"/>
  <c r="I390" i="1"/>
  <c r="J390" i="1"/>
  <c r="K390" i="1"/>
  <c r="L390" i="1"/>
  <c r="A391" i="1"/>
  <c r="B391" i="1"/>
  <c r="C391" i="1"/>
  <c r="D391" i="1"/>
  <c r="E391" i="1"/>
  <c r="F391" i="1"/>
  <c r="G391" i="1"/>
  <c r="H391" i="1"/>
  <c r="I391" i="1"/>
  <c r="J391" i="1"/>
  <c r="K391" i="1"/>
  <c r="L391" i="1"/>
  <c r="A392" i="1"/>
  <c r="B392" i="1"/>
  <c r="C392" i="1"/>
  <c r="D392" i="1"/>
  <c r="E392" i="1"/>
  <c r="F392" i="1"/>
  <c r="G392" i="1"/>
  <c r="H392" i="1"/>
  <c r="I392" i="1"/>
  <c r="J392" i="1"/>
  <c r="K392" i="1"/>
  <c r="L392" i="1"/>
  <c r="A393" i="1"/>
  <c r="B393" i="1"/>
  <c r="C393" i="1"/>
  <c r="D393" i="1"/>
  <c r="E393" i="1"/>
  <c r="F393" i="1"/>
  <c r="G393" i="1"/>
  <c r="H393" i="1"/>
  <c r="I393" i="1"/>
  <c r="J393" i="1"/>
  <c r="K393" i="1"/>
  <c r="L393" i="1"/>
  <c r="A394" i="1"/>
  <c r="B394" i="1"/>
  <c r="C394" i="1"/>
  <c r="D394" i="1"/>
  <c r="E394" i="1"/>
  <c r="F394" i="1"/>
  <c r="G394" i="1"/>
  <c r="H394" i="1"/>
  <c r="I394" i="1"/>
  <c r="J394" i="1"/>
  <c r="K394" i="1"/>
  <c r="L394" i="1"/>
  <c r="A395" i="1"/>
  <c r="B395" i="1"/>
  <c r="C395" i="1"/>
  <c r="D395" i="1"/>
  <c r="E395" i="1"/>
  <c r="F395" i="1"/>
  <c r="G395" i="1"/>
  <c r="H395" i="1"/>
  <c r="I395" i="1"/>
  <c r="J395" i="1"/>
  <c r="K395" i="1"/>
  <c r="L395" i="1"/>
  <c r="A396" i="1"/>
  <c r="B396" i="1"/>
  <c r="C396" i="1"/>
  <c r="D396" i="1"/>
  <c r="E396" i="1"/>
  <c r="F396" i="1"/>
  <c r="G396" i="1"/>
  <c r="H396" i="1"/>
  <c r="I396" i="1"/>
  <c r="J396" i="1"/>
  <c r="K396" i="1"/>
  <c r="L396" i="1"/>
  <c r="A397" i="1"/>
  <c r="B397" i="1"/>
  <c r="C397" i="1"/>
  <c r="D397" i="1"/>
  <c r="E397" i="1"/>
  <c r="F397" i="1"/>
  <c r="G397" i="1"/>
  <c r="H397" i="1"/>
  <c r="I397" i="1"/>
  <c r="J397" i="1"/>
  <c r="K397" i="1"/>
  <c r="L397" i="1"/>
  <c r="A398" i="1"/>
  <c r="B398" i="1"/>
  <c r="C398" i="1"/>
  <c r="D398" i="1"/>
  <c r="E398" i="1"/>
  <c r="F398" i="1"/>
  <c r="G398" i="1"/>
  <c r="H398" i="1"/>
  <c r="I398" i="1"/>
  <c r="J398" i="1"/>
  <c r="K398" i="1"/>
  <c r="L398" i="1"/>
  <c r="A399" i="1"/>
  <c r="B399" i="1"/>
  <c r="C399" i="1"/>
  <c r="D399" i="1"/>
  <c r="E399" i="1"/>
  <c r="F399" i="1"/>
  <c r="G399" i="1"/>
  <c r="H399" i="1"/>
  <c r="I399" i="1"/>
  <c r="J399" i="1"/>
  <c r="K399" i="1"/>
  <c r="L399" i="1"/>
  <c r="A400" i="1"/>
  <c r="B400" i="1"/>
  <c r="C400" i="1"/>
  <c r="D400" i="1"/>
  <c r="E400" i="1"/>
  <c r="F400" i="1"/>
  <c r="G400" i="1"/>
  <c r="H400" i="1"/>
  <c r="I400" i="1"/>
  <c r="J400" i="1"/>
  <c r="K400" i="1"/>
  <c r="L400" i="1"/>
  <c r="A401" i="1"/>
  <c r="B401" i="1"/>
  <c r="C401" i="1"/>
  <c r="D401" i="1"/>
  <c r="E401" i="1"/>
  <c r="F401" i="1"/>
  <c r="G401" i="1"/>
  <c r="H401" i="1"/>
  <c r="I401" i="1"/>
  <c r="J401" i="1"/>
  <c r="K401" i="1"/>
  <c r="L401" i="1"/>
  <c r="A402" i="1"/>
  <c r="B402" i="1"/>
  <c r="C402" i="1"/>
  <c r="D402" i="1"/>
  <c r="E402" i="1"/>
  <c r="F402" i="1"/>
  <c r="G402" i="1"/>
  <c r="H402" i="1"/>
  <c r="I402" i="1"/>
  <c r="J402" i="1"/>
  <c r="K402" i="1"/>
  <c r="L402" i="1"/>
  <c r="A403" i="1"/>
  <c r="B403" i="1"/>
  <c r="C403" i="1"/>
  <c r="D403" i="1"/>
  <c r="E403" i="1"/>
  <c r="F403" i="1"/>
  <c r="G403" i="1"/>
  <c r="H403" i="1"/>
  <c r="I403" i="1"/>
  <c r="J403" i="1"/>
  <c r="K403" i="1"/>
  <c r="L403" i="1"/>
  <c r="A404" i="1"/>
  <c r="B404" i="1"/>
  <c r="C404" i="1"/>
  <c r="D404" i="1"/>
  <c r="E404" i="1"/>
  <c r="F404" i="1"/>
  <c r="G404" i="1"/>
  <c r="H404" i="1"/>
  <c r="I404" i="1"/>
  <c r="J404" i="1"/>
  <c r="K404" i="1"/>
  <c r="L404" i="1"/>
  <c r="A405" i="1"/>
  <c r="B405" i="1"/>
  <c r="C405" i="1"/>
  <c r="D405" i="1"/>
  <c r="E405" i="1"/>
  <c r="F405" i="1"/>
  <c r="G405" i="1"/>
  <c r="H405" i="1"/>
  <c r="I405" i="1"/>
  <c r="J405" i="1"/>
  <c r="K405" i="1"/>
  <c r="L405" i="1"/>
  <c r="A406" i="1"/>
  <c r="B406" i="1"/>
  <c r="C406" i="1"/>
  <c r="D406" i="1"/>
  <c r="E406" i="1"/>
  <c r="F406" i="1"/>
  <c r="G406" i="1"/>
  <c r="H406" i="1"/>
  <c r="I406" i="1"/>
  <c r="J406" i="1"/>
  <c r="K406" i="1"/>
  <c r="L406" i="1"/>
  <c r="A407" i="1"/>
  <c r="B407" i="1"/>
  <c r="C407" i="1"/>
  <c r="D407" i="1"/>
  <c r="E407" i="1"/>
  <c r="F407" i="1"/>
  <c r="G407" i="1"/>
  <c r="H407" i="1"/>
  <c r="I407" i="1"/>
  <c r="J407" i="1"/>
  <c r="K407" i="1"/>
  <c r="L407" i="1"/>
  <c r="A408" i="1"/>
  <c r="B408" i="1"/>
  <c r="C408" i="1"/>
  <c r="D408" i="1"/>
  <c r="E408" i="1"/>
  <c r="F408" i="1"/>
  <c r="G408" i="1"/>
  <c r="H408" i="1"/>
  <c r="I408" i="1"/>
  <c r="J408" i="1"/>
  <c r="K408" i="1"/>
  <c r="L408" i="1"/>
  <c r="A409" i="1"/>
  <c r="B409" i="1"/>
  <c r="C409" i="1"/>
  <c r="D409" i="1"/>
  <c r="E409" i="1"/>
  <c r="F409" i="1"/>
  <c r="G409" i="1"/>
  <c r="H409" i="1"/>
  <c r="I409" i="1"/>
  <c r="J409" i="1"/>
  <c r="K409" i="1"/>
  <c r="L409" i="1"/>
  <c r="A410" i="1"/>
  <c r="B410" i="1"/>
  <c r="C410" i="1"/>
  <c r="D410" i="1"/>
  <c r="E410" i="1"/>
  <c r="F410" i="1"/>
  <c r="G410" i="1"/>
  <c r="H410" i="1"/>
  <c r="I410" i="1"/>
  <c r="J410" i="1"/>
  <c r="K410" i="1"/>
  <c r="L410" i="1"/>
  <c r="A411" i="1"/>
  <c r="B411" i="1"/>
  <c r="C411" i="1"/>
  <c r="D411" i="1"/>
  <c r="E411" i="1"/>
  <c r="F411" i="1"/>
  <c r="G411" i="1"/>
  <c r="H411" i="1"/>
  <c r="I411" i="1"/>
  <c r="J411" i="1"/>
  <c r="K411" i="1"/>
  <c r="L411" i="1"/>
  <c r="A412" i="1"/>
  <c r="B412" i="1"/>
  <c r="C412" i="1"/>
  <c r="D412" i="1"/>
  <c r="E412" i="1"/>
  <c r="F412" i="1"/>
  <c r="G412" i="1"/>
  <c r="H412" i="1"/>
  <c r="I412" i="1"/>
  <c r="J412" i="1"/>
  <c r="K412" i="1"/>
  <c r="L412" i="1"/>
  <c r="A413" i="1"/>
  <c r="B413" i="1"/>
  <c r="C413" i="1"/>
  <c r="D413" i="1"/>
  <c r="E413" i="1"/>
  <c r="F413" i="1"/>
  <c r="G413" i="1"/>
  <c r="H413" i="1"/>
  <c r="I413" i="1"/>
  <c r="J413" i="1"/>
  <c r="K413" i="1"/>
  <c r="L413" i="1"/>
  <c r="A414" i="1"/>
  <c r="B414" i="1"/>
  <c r="C414" i="1"/>
  <c r="D414" i="1"/>
  <c r="E414" i="1"/>
  <c r="F414" i="1"/>
  <c r="G414" i="1"/>
  <c r="H414" i="1"/>
  <c r="I414" i="1"/>
  <c r="J414" i="1"/>
  <c r="K414" i="1"/>
  <c r="L414" i="1"/>
  <c r="A415" i="1"/>
  <c r="B415" i="1"/>
  <c r="C415" i="1"/>
  <c r="D415" i="1"/>
  <c r="E415" i="1"/>
  <c r="F415" i="1"/>
  <c r="G415" i="1"/>
  <c r="H415" i="1"/>
  <c r="I415" i="1"/>
  <c r="J415" i="1"/>
  <c r="K415" i="1"/>
  <c r="L415" i="1"/>
  <c r="A416" i="1"/>
  <c r="B416" i="1"/>
  <c r="C416" i="1"/>
  <c r="D416" i="1"/>
  <c r="E416" i="1"/>
  <c r="F416" i="1"/>
  <c r="G416" i="1"/>
  <c r="H416" i="1"/>
  <c r="I416" i="1"/>
  <c r="J416" i="1"/>
  <c r="K416" i="1"/>
  <c r="L416" i="1"/>
  <c r="A417" i="1"/>
  <c r="B417" i="1"/>
  <c r="C417" i="1"/>
  <c r="D417" i="1"/>
  <c r="E417" i="1"/>
  <c r="F417" i="1"/>
  <c r="G417" i="1"/>
  <c r="H417" i="1"/>
  <c r="I417" i="1"/>
  <c r="J417" i="1"/>
  <c r="K417" i="1"/>
  <c r="L417" i="1"/>
  <c r="A418" i="1"/>
  <c r="B418" i="1"/>
  <c r="C418" i="1"/>
  <c r="D418" i="1"/>
  <c r="E418" i="1"/>
  <c r="F418" i="1"/>
  <c r="G418" i="1"/>
  <c r="H418" i="1"/>
  <c r="I418" i="1"/>
  <c r="J418" i="1"/>
  <c r="K418" i="1"/>
  <c r="L418" i="1"/>
  <c r="A419" i="1"/>
  <c r="B419" i="1"/>
  <c r="C419" i="1"/>
  <c r="D419" i="1"/>
  <c r="E419" i="1"/>
  <c r="F419" i="1"/>
  <c r="G419" i="1"/>
  <c r="H419" i="1"/>
  <c r="I419" i="1"/>
  <c r="J419" i="1"/>
  <c r="K419" i="1"/>
  <c r="L419" i="1"/>
  <c r="A420" i="1"/>
  <c r="B420" i="1"/>
  <c r="C420" i="1"/>
  <c r="D420" i="1"/>
  <c r="E420" i="1"/>
  <c r="F420" i="1"/>
  <c r="G420" i="1"/>
  <c r="H420" i="1"/>
  <c r="I420" i="1"/>
  <c r="J420" i="1"/>
  <c r="K420" i="1"/>
  <c r="L420" i="1"/>
  <c r="A421" i="1"/>
  <c r="B421" i="1"/>
  <c r="C421" i="1"/>
  <c r="D421" i="1"/>
  <c r="E421" i="1"/>
  <c r="F421" i="1"/>
  <c r="G421" i="1"/>
  <c r="H421" i="1"/>
  <c r="I421" i="1"/>
  <c r="J421" i="1"/>
  <c r="K421" i="1"/>
  <c r="L421" i="1"/>
  <c r="A422" i="1"/>
  <c r="B422" i="1"/>
  <c r="C422" i="1"/>
  <c r="D422" i="1"/>
  <c r="E422" i="1"/>
  <c r="F422" i="1"/>
  <c r="G422" i="1"/>
  <c r="H422" i="1"/>
  <c r="I422" i="1"/>
  <c r="J422" i="1"/>
  <c r="K422" i="1"/>
  <c r="L422" i="1"/>
  <c r="A423" i="1"/>
  <c r="B423" i="1"/>
  <c r="C423" i="1"/>
  <c r="D423" i="1"/>
  <c r="E423" i="1"/>
  <c r="F423" i="1"/>
  <c r="G423" i="1"/>
  <c r="H423" i="1"/>
  <c r="I423" i="1"/>
  <c r="J423" i="1"/>
  <c r="K423" i="1"/>
  <c r="L423" i="1"/>
  <c r="A424" i="1"/>
  <c r="B424" i="1"/>
  <c r="C424" i="1"/>
  <c r="D424" i="1"/>
  <c r="E424" i="1"/>
  <c r="F424" i="1"/>
  <c r="G424" i="1"/>
  <c r="H424" i="1"/>
  <c r="I424" i="1"/>
  <c r="J424" i="1"/>
  <c r="K424" i="1"/>
  <c r="L424" i="1"/>
  <c r="A425" i="1"/>
  <c r="B425" i="1"/>
  <c r="C425" i="1"/>
  <c r="D425" i="1"/>
  <c r="E425" i="1"/>
  <c r="F425" i="1"/>
  <c r="G425" i="1"/>
  <c r="H425" i="1"/>
  <c r="I425" i="1"/>
  <c r="J425" i="1"/>
  <c r="K425" i="1"/>
  <c r="L425" i="1"/>
  <c r="A426" i="1"/>
  <c r="B426" i="1"/>
  <c r="C426" i="1"/>
  <c r="D426" i="1"/>
  <c r="E426" i="1"/>
  <c r="F426" i="1"/>
  <c r="G426" i="1"/>
  <c r="H426" i="1"/>
  <c r="I426" i="1"/>
  <c r="J426" i="1"/>
  <c r="K426" i="1"/>
  <c r="L426" i="1"/>
  <c r="A427" i="1"/>
  <c r="B427" i="1"/>
  <c r="C427" i="1"/>
  <c r="D427" i="1"/>
  <c r="E427" i="1"/>
  <c r="F427" i="1"/>
  <c r="G427" i="1"/>
  <c r="H427" i="1"/>
  <c r="I427" i="1"/>
  <c r="J427" i="1"/>
  <c r="K427" i="1"/>
  <c r="L427" i="1"/>
  <c r="A428" i="1"/>
  <c r="B428" i="1"/>
  <c r="C428" i="1"/>
  <c r="D428" i="1"/>
  <c r="E428" i="1"/>
  <c r="F428" i="1"/>
  <c r="G428" i="1"/>
  <c r="H428" i="1"/>
  <c r="I428" i="1"/>
  <c r="J428" i="1"/>
  <c r="K428" i="1"/>
  <c r="L428" i="1"/>
  <c r="A429" i="1"/>
  <c r="B429" i="1"/>
  <c r="C429" i="1"/>
  <c r="D429" i="1"/>
  <c r="E429" i="1"/>
  <c r="F429" i="1"/>
  <c r="G429" i="1"/>
  <c r="H429" i="1"/>
  <c r="I429" i="1"/>
  <c r="J429" i="1"/>
  <c r="K429" i="1"/>
  <c r="L429" i="1"/>
  <c r="A430" i="1"/>
  <c r="B430" i="1"/>
  <c r="C430" i="1"/>
  <c r="D430" i="1"/>
  <c r="E430" i="1"/>
  <c r="F430" i="1"/>
  <c r="G430" i="1"/>
  <c r="H430" i="1"/>
  <c r="I430" i="1"/>
  <c r="J430" i="1"/>
  <c r="K430" i="1"/>
  <c r="L430" i="1"/>
  <c r="A431" i="1"/>
  <c r="B431" i="1"/>
  <c r="C431" i="1"/>
  <c r="D431" i="1"/>
  <c r="E431" i="1"/>
  <c r="F431" i="1"/>
  <c r="G431" i="1"/>
  <c r="H431" i="1"/>
  <c r="I431" i="1"/>
  <c r="J431" i="1"/>
  <c r="K431" i="1"/>
  <c r="L431" i="1"/>
  <c r="A432" i="1"/>
  <c r="B432" i="1"/>
  <c r="C432" i="1"/>
  <c r="D432" i="1"/>
  <c r="E432" i="1"/>
  <c r="F432" i="1"/>
  <c r="G432" i="1"/>
  <c r="H432" i="1"/>
  <c r="I432" i="1"/>
  <c r="J432" i="1"/>
  <c r="K432" i="1"/>
  <c r="L432" i="1"/>
  <c r="A433" i="1"/>
  <c r="B433" i="1"/>
  <c r="C433" i="1"/>
  <c r="D433" i="1"/>
  <c r="E433" i="1"/>
  <c r="F433" i="1"/>
  <c r="G433" i="1"/>
  <c r="H433" i="1"/>
  <c r="I433" i="1"/>
  <c r="J433" i="1"/>
  <c r="K433" i="1"/>
  <c r="L433" i="1"/>
  <c r="A434" i="1"/>
  <c r="B434" i="1"/>
  <c r="C434" i="1"/>
  <c r="D434" i="1"/>
  <c r="E434" i="1"/>
  <c r="F434" i="1"/>
  <c r="G434" i="1"/>
  <c r="H434" i="1"/>
  <c r="I434" i="1"/>
  <c r="J434" i="1"/>
  <c r="K434" i="1"/>
  <c r="L434" i="1"/>
  <c r="A435" i="1"/>
  <c r="B435" i="1"/>
  <c r="C435" i="1"/>
  <c r="D435" i="1"/>
  <c r="E435" i="1"/>
  <c r="F435" i="1"/>
  <c r="G435" i="1"/>
  <c r="H435" i="1"/>
  <c r="I435" i="1"/>
  <c r="J435" i="1"/>
  <c r="K435" i="1"/>
  <c r="L435" i="1"/>
  <c r="A436" i="1"/>
  <c r="B436" i="1"/>
  <c r="C436" i="1"/>
  <c r="D436" i="1"/>
  <c r="E436" i="1"/>
  <c r="F436" i="1"/>
  <c r="G436" i="1"/>
  <c r="H436" i="1"/>
  <c r="I436" i="1"/>
  <c r="J436" i="1"/>
  <c r="K436" i="1"/>
  <c r="L436" i="1"/>
  <c r="A437" i="1"/>
  <c r="B437" i="1"/>
  <c r="C437" i="1"/>
  <c r="D437" i="1"/>
  <c r="E437" i="1"/>
  <c r="F437" i="1"/>
  <c r="G437" i="1"/>
  <c r="H437" i="1"/>
  <c r="I437" i="1"/>
  <c r="J437" i="1"/>
  <c r="K437" i="1"/>
  <c r="L437" i="1"/>
  <c r="A438" i="1"/>
  <c r="B438" i="1"/>
  <c r="C438" i="1"/>
  <c r="D438" i="1"/>
  <c r="E438" i="1"/>
  <c r="F438" i="1"/>
  <c r="G438" i="1"/>
  <c r="H438" i="1"/>
  <c r="I438" i="1"/>
  <c r="J438" i="1"/>
  <c r="K438" i="1"/>
  <c r="L438" i="1"/>
  <c r="A439" i="1"/>
  <c r="B439" i="1"/>
  <c r="C439" i="1"/>
  <c r="D439" i="1"/>
  <c r="E439" i="1"/>
  <c r="F439" i="1"/>
  <c r="G439" i="1"/>
  <c r="H439" i="1"/>
  <c r="I439" i="1"/>
  <c r="J439" i="1"/>
  <c r="K439" i="1"/>
  <c r="L439" i="1"/>
  <c r="A440" i="1"/>
  <c r="B440" i="1"/>
  <c r="C440" i="1"/>
  <c r="D440" i="1"/>
  <c r="E440" i="1"/>
  <c r="F440" i="1"/>
  <c r="G440" i="1"/>
  <c r="H440" i="1"/>
  <c r="I440" i="1"/>
  <c r="J440" i="1"/>
  <c r="K440" i="1"/>
  <c r="L440" i="1"/>
  <c r="A441" i="1"/>
  <c r="B441" i="1"/>
  <c r="C441" i="1"/>
  <c r="D441" i="1"/>
  <c r="E441" i="1"/>
  <c r="F441" i="1"/>
  <c r="G441" i="1"/>
  <c r="H441" i="1"/>
  <c r="I441" i="1"/>
  <c r="J441" i="1"/>
  <c r="K441" i="1"/>
  <c r="L441" i="1"/>
  <c r="A442" i="1"/>
  <c r="B442" i="1"/>
  <c r="C442" i="1"/>
  <c r="D442" i="1"/>
  <c r="E442" i="1"/>
  <c r="F442" i="1"/>
  <c r="G442" i="1"/>
  <c r="H442" i="1"/>
  <c r="I442" i="1"/>
  <c r="J442" i="1"/>
  <c r="K442" i="1"/>
  <c r="L442" i="1"/>
  <c r="A443" i="1"/>
  <c r="B443" i="1"/>
  <c r="C443" i="1"/>
  <c r="D443" i="1"/>
  <c r="E443" i="1"/>
  <c r="F443" i="1"/>
  <c r="G443" i="1"/>
  <c r="H443" i="1"/>
  <c r="I443" i="1"/>
  <c r="J443" i="1"/>
  <c r="K443" i="1"/>
  <c r="L443" i="1"/>
  <c r="A444" i="1"/>
  <c r="B444" i="1"/>
  <c r="C444" i="1"/>
  <c r="D444" i="1"/>
  <c r="E444" i="1"/>
  <c r="F444" i="1"/>
  <c r="G444" i="1"/>
  <c r="H444" i="1"/>
  <c r="I444" i="1"/>
  <c r="J444" i="1"/>
  <c r="K444" i="1"/>
  <c r="L444" i="1"/>
  <c r="A445" i="1"/>
  <c r="B445" i="1"/>
  <c r="C445" i="1"/>
  <c r="D445" i="1"/>
  <c r="E445" i="1"/>
  <c r="F445" i="1"/>
  <c r="G445" i="1"/>
  <c r="H445" i="1"/>
  <c r="I445" i="1"/>
  <c r="J445" i="1"/>
  <c r="K445" i="1"/>
  <c r="L445" i="1"/>
  <c r="A446" i="1"/>
  <c r="B446" i="1"/>
  <c r="C446" i="1"/>
  <c r="D446" i="1"/>
  <c r="E446" i="1"/>
  <c r="F446" i="1"/>
  <c r="G446" i="1"/>
  <c r="H446" i="1"/>
  <c r="I446" i="1"/>
  <c r="J446" i="1"/>
  <c r="K446" i="1"/>
  <c r="L446" i="1"/>
  <c r="A447" i="1"/>
  <c r="B447" i="1"/>
  <c r="C447" i="1"/>
  <c r="D447" i="1"/>
  <c r="E447" i="1"/>
  <c r="F447" i="1"/>
  <c r="G447" i="1"/>
  <c r="H447" i="1"/>
  <c r="I447" i="1"/>
  <c r="J447" i="1"/>
  <c r="K447" i="1"/>
  <c r="L447" i="1"/>
  <c r="A448" i="1"/>
  <c r="B448" i="1"/>
  <c r="C448" i="1"/>
  <c r="D448" i="1"/>
  <c r="E448" i="1"/>
  <c r="F448" i="1"/>
  <c r="G448" i="1"/>
  <c r="H448" i="1"/>
  <c r="I448" i="1"/>
  <c r="J448" i="1"/>
  <c r="K448" i="1"/>
  <c r="L448" i="1"/>
  <c r="A449" i="1"/>
  <c r="B449" i="1"/>
  <c r="C449" i="1"/>
  <c r="D449" i="1"/>
  <c r="E449" i="1"/>
  <c r="F449" i="1"/>
  <c r="G449" i="1"/>
  <c r="H449" i="1"/>
  <c r="I449" i="1"/>
  <c r="J449" i="1"/>
  <c r="K449" i="1"/>
  <c r="L449" i="1"/>
  <c r="A450" i="1"/>
  <c r="B450" i="1"/>
  <c r="C450" i="1"/>
  <c r="D450" i="1"/>
  <c r="E450" i="1"/>
  <c r="F450" i="1"/>
  <c r="G450" i="1"/>
  <c r="H450" i="1"/>
  <c r="I450" i="1"/>
  <c r="J450" i="1"/>
  <c r="K450" i="1"/>
  <c r="L450" i="1"/>
  <c r="A451" i="1"/>
  <c r="B451" i="1"/>
  <c r="C451" i="1"/>
  <c r="D451" i="1"/>
  <c r="E451" i="1"/>
  <c r="F451" i="1"/>
  <c r="G451" i="1"/>
  <c r="H451" i="1"/>
  <c r="I451" i="1"/>
  <c r="J451" i="1"/>
  <c r="K451" i="1"/>
  <c r="L451" i="1"/>
  <c r="A452" i="1"/>
  <c r="B452" i="1"/>
  <c r="C452" i="1"/>
  <c r="D452" i="1"/>
  <c r="E452" i="1"/>
  <c r="F452" i="1"/>
  <c r="G452" i="1"/>
  <c r="H452" i="1"/>
  <c r="I452" i="1"/>
  <c r="J452" i="1"/>
  <c r="K452" i="1"/>
  <c r="L452" i="1"/>
  <c r="A453" i="1"/>
  <c r="B453" i="1"/>
  <c r="C453" i="1"/>
  <c r="D453" i="1"/>
  <c r="E453" i="1"/>
  <c r="F453" i="1"/>
  <c r="G453" i="1"/>
  <c r="H453" i="1"/>
  <c r="I453" i="1"/>
  <c r="J453" i="1"/>
  <c r="K453" i="1"/>
  <c r="L453" i="1"/>
  <c r="A454" i="1"/>
  <c r="B454" i="1"/>
  <c r="C454" i="1"/>
  <c r="D454" i="1"/>
  <c r="E454" i="1"/>
  <c r="F454" i="1"/>
  <c r="G454" i="1"/>
  <c r="H454" i="1"/>
  <c r="I454" i="1"/>
  <c r="J454" i="1"/>
  <c r="K454" i="1"/>
  <c r="L454" i="1"/>
  <c r="A455" i="1"/>
  <c r="B455" i="1"/>
  <c r="C455" i="1"/>
  <c r="D455" i="1"/>
  <c r="E455" i="1"/>
  <c r="F455" i="1"/>
  <c r="G455" i="1"/>
  <c r="H455" i="1"/>
  <c r="I455" i="1"/>
  <c r="J455" i="1"/>
  <c r="K455" i="1"/>
  <c r="L455" i="1"/>
  <c r="A456" i="1"/>
  <c r="B456" i="1"/>
  <c r="C456" i="1"/>
  <c r="D456" i="1"/>
  <c r="E456" i="1"/>
  <c r="F456" i="1"/>
  <c r="G456" i="1"/>
  <c r="H456" i="1"/>
  <c r="I456" i="1"/>
  <c r="J456" i="1"/>
  <c r="K456" i="1"/>
  <c r="L456" i="1"/>
  <c r="A457" i="1"/>
  <c r="B457" i="1"/>
  <c r="C457" i="1"/>
  <c r="D457" i="1"/>
  <c r="E457" i="1"/>
  <c r="F457" i="1"/>
  <c r="G457" i="1"/>
  <c r="H457" i="1"/>
  <c r="I457" i="1"/>
  <c r="J457" i="1"/>
  <c r="K457" i="1"/>
  <c r="L457" i="1"/>
  <c r="A458" i="1"/>
  <c r="B458" i="1"/>
  <c r="C458" i="1"/>
  <c r="D458" i="1"/>
  <c r="E458" i="1"/>
  <c r="F458" i="1"/>
  <c r="G458" i="1"/>
  <c r="H458" i="1"/>
  <c r="I458" i="1"/>
  <c r="J458" i="1"/>
  <c r="K458" i="1"/>
  <c r="L458" i="1"/>
  <c r="A459" i="1"/>
  <c r="B459" i="1"/>
  <c r="C459" i="1"/>
  <c r="D459" i="1"/>
  <c r="E459" i="1"/>
  <c r="F459" i="1"/>
  <c r="G459" i="1"/>
  <c r="H459" i="1"/>
  <c r="I459" i="1"/>
  <c r="J459" i="1"/>
  <c r="K459" i="1"/>
  <c r="L459" i="1"/>
  <c r="A460" i="1"/>
  <c r="B460" i="1"/>
  <c r="C460" i="1"/>
  <c r="D460" i="1"/>
  <c r="E460" i="1"/>
  <c r="F460" i="1"/>
  <c r="G460" i="1"/>
  <c r="H460" i="1"/>
  <c r="I460" i="1"/>
  <c r="J460" i="1"/>
  <c r="K460" i="1"/>
  <c r="L460" i="1"/>
  <c r="A461" i="1"/>
  <c r="B461" i="1"/>
  <c r="C461" i="1"/>
  <c r="D461" i="1"/>
  <c r="E461" i="1"/>
  <c r="F461" i="1"/>
  <c r="G461" i="1"/>
  <c r="H461" i="1"/>
  <c r="I461" i="1"/>
  <c r="J461" i="1"/>
  <c r="K461" i="1"/>
  <c r="L461" i="1"/>
  <c r="A462" i="1"/>
  <c r="B462" i="1"/>
  <c r="C462" i="1"/>
  <c r="D462" i="1"/>
  <c r="E462" i="1"/>
  <c r="F462" i="1"/>
  <c r="G462" i="1"/>
  <c r="H462" i="1"/>
  <c r="I462" i="1"/>
  <c r="J462" i="1"/>
  <c r="K462" i="1"/>
  <c r="L462" i="1"/>
  <c r="A463" i="1"/>
  <c r="B463" i="1"/>
  <c r="C463" i="1"/>
  <c r="D463" i="1"/>
  <c r="E463" i="1"/>
  <c r="F463" i="1"/>
  <c r="G463" i="1"/>
  <c r="H463" i="1"/>
  <c r="I463" i="1"/>
  <c r="J463" i="1"/>
  <c r="K463" i="1"/>
  <c r="L463" i="1"/>
  <c r="A464" i="1"/>
  <c r="B464" i="1"/>
  <c r="C464" i="1"/>
  <c r="D464" i="1"/>
  <c r="E464" i="1"/>
  <c r="F464" i="1"/>
  <c r="G464" i="1"/>
  <c r="H464" i="1"/>
  <c r="I464" i="1"/>
  <c r="J464" i="1"/>
  <c r="K464" i="1"/>
  <c r="L464" i="1"/>
  <c r="A465" i="1"/>
  <c r="B465" i="1"/>
  <c r="C465" i="1"/>
  <c r="D465" i="1"/>
  <c r="E465" i="1"/>
  <c r="F465" i="1"/>
  <c r="G465" i="1"/>
  <c r="H465" i="1"/>
  <c r="I465" i="1"/>
  <c r="J465" i="1"/>
  <c r="K465" i="1"/>
  <c r="L465" i="1"/>
  <c r="A466" i="1"/>
  <c r="B466" i="1"/>
  <c r="C466" i="1"/>
  <c r="D466" i="1"/>
  <c r="E466" i="1"/>
  <c r="F466" i="1"/>
  <c r="G466" i="1"/>
  <c r="H466" i="1"/>
  <c r="I466" i="1"/>
  <c r="J466" i="1"/>
  <c r="K466" i="1"/>
  <c r="L466" i="1"/>
  <c r="A467" i="1"/>
  <c r="B467" i="1"/>
  <c r="C467" i="1"/>
  <c r="D467" i="1"/>
  <c r="E467" i="1"/>
  <c r="F467" i="1"/>
  <c r="G467" i="1"/>
  <c r="H467" i="1"/>
  <c r="I467" i="1"/>
  <c r="J467" i="1"/>
  <c r="K467" i="1"/>
  <c r="L467" i="1"/>
  <c r="A468" i="1"/>
  <c r="B468" i="1"/>
  <c r="C468" i="1"/>
  <c r="D468" i="1"/>
  <c r="E468" i="1"/>
  <c r="F468" i="1"/>
  <c r="G468" i="1"/>
  <c r="H468" i="1"/>
  <c r="I468" i="1"/>
  <c r="J468" i="1"/>
  <c r="K468" i="1"/>
  <c r="L468" i="1"/>
  <c r="A469" i="1"/>
  <c r="B469" i="1"/>
  <c r="C469" i="1"/>
  <c r="D469" i="1"/>
  <c r="E469" i="1"/>
  <c r="F469" i="1"/>
  <c r="G469" i="1"/>
  <c r="H469" i="1"/>
  <c r="I469" i="1"/>
  <c r="J469" i="1"/>
  <c r="K469" i="1"/>
  <c r="L469" i="1"/>
  <c r="A470" i="1"/>
  <c r="B470" i="1"/>
  <c r="C470" i="1"/>
  <c r="D470" i="1"/>
  <c r="E470" i="1"/>
  <c r="F470" i="1"/>
  <c r="G470" i="1"/>
  <c r="H470" i="1"/>
  <c r="I470" i="1"/>
  <c r="J470" i="1"/>
  <c r="K470" i="1"/>
  <c r="L470" i="1"/>
  <c r="A471" i="1"/>
  <c r="B471" i="1"/>
  <c r="C471" i="1"/>
  <c r="D471" i="1"/>
  <c r="E471" i="1"/>
  <c r="F471" i="1"/>
  <c r="G471" i="1"/>
  <c r="H471" i="1"/>
  <c r="I471" i="1"/>
  <c r="J471" i="1"/>
  <c r="K471" i="1"/>
  <c r="L471" i="1"/>
  <c r="A472" i="1"/>
  <c r="B472" i="1"/>
  <c r="C472" i="1"/>
  <c r="D472" i="1"/>
  <c r="E472" i="1"/>
  <c r="F472" i="1"/>
  <c r="G472" i="1"/>
  <c r="H472" i="1"/>
  <c r="I472" i="1"/>
  <c r="J472" i="1"/>
  <c r="K472" i="1"/>
  <c r="L472" i="1"/>
  <c r="A473" i="1"/>
  <c r="B473" i="1"/>
  <c r="C473" i="1"/>
  <c r="D473" i="1"/>
  <c r="E473" i="1"/>
  <c r="F473" i="1"/>
  <c r="G473" i="1"/>
  <c r="H473" i="1"/>
  <c r="I473" i="1"/>
  <c r="J473" i="1"/>
  <c r="K473" i="1"/>
  <c r="L473" i="1"/>
  <c r="A474" i="1"/>
  <c r="B474" i="1"/>
  <c r="C474" i="1"/>
  <c r="D474" i="1"/>
  <c r="E474" i="1"/>
  <c r="F474" i="1"/>
  <c r="G474" i="1"/>
  <c r="H474" i="1"/>
  <c r="I474" i="1"/>
  <c r="J474" i="1"/>
  <c r="K474" i="1"/>
  <c r="L474" i="1"/>
  <c r="A475" i="1"/>
  <c r="B475" i="1"/>
  <c r="C475" i="1"/>
  <c r="D475" i="1"/>
  <c r="E475" i="1"/>
  <c r="F475" i="1"/>
  <c r="G475" i="1"/>
  <c r="H475" i="1"/>
  <c r="I475" i="1"/>
  <c r="J475" i="1"/>
  <c r="K475" i="1"/>
  <c r="L475" i="1"/>
  <c r="A476" i="1"/>
  <c r="B476" i="1"/>
  <c r="C476" i="1"/>
  <c r="D476" i="1"/>
  <c r="E476" i="1"/>
  <c r="F476" i="1"/>
  <c r="G476" i="1"/>
  <c r="H476" i="1"/>
  <c r="I476" i="1"/>
  <c r="J476" i="1"/>
  <c r="K476" i="1"/>
  <c r="L476" i="1"/>
  <c r="A477" i="1"/>
  <c r="B477" i="1"/>
  <c r="C477" i="1"/>
  <c r="D477" i="1"/>
  <c r="E477" i="1"/>
  <c r="F477" i="1"/>
  <c r="G477" i="1"/>
  <c r="H477" i="1"/>
  <c r="I477" i="1"/>
  <c r="J477" i="1"/>
  <c r="K477" i="1"/>
  <c r="L477" i="1"/>
  <c r="A478" i="1"/>
  <c r="B478" i="1"/>
  <c r="C478" i="1"/>
  <c r="D478" i="1"/>
  <c r="E478" i="1"/>
  <c r="F478" i="1"/>
  <c r="G478" i="1"/>
  <c r="H478" i="1"/>
  <c r="I478" i="1"/>
  <c r="J478" i="1"/>
  <c r="K478" i="1"/>
  <c r="L478" i="1"/>
  <c r="A479" i="1"/>
  <c r="B479" i="1"/>
  <c r="C479" i="1"/>
  <c r="D479" i="1"/>
  <c r="E479" i="1"/>
  <c r="F479" i="1"/>
  <c r="G479" i="1"/>
  <c r="H479" i="1"/>
  <c r="I479" i="1"/>
  <c r="J479" i="1"/>
  <c r="K479" i="1"/>
  <c r="L479" i="1"/>
  <c r="A480" i="1"/>
  <c r="B480" i="1"/>
  <c r="C480" i="1"/>
  <c r="D480" i="1"/>
  <c r="E480" i="1"/>
  <c r="F480" i="1"/>
  <c r="G480" i="1"/>
  <c r="H480" i="1"/>
  <c r="I480" i="1"/>
  <c r="J480" i="1"/>
  <c r="K480" i="1"/>
  <c r="L480" i="1"/>
  <c r="A481" i="1"/>
  <c r="B481" i="1"/>
  <c r="C481" i="1"/>
  <c r="D481" i="1"/>
  <c r="E481" i="1"/>
  <c r="F481" i="1"/>
  <c r="G481" i="1"/>
  <c r="H481" i="1"/>
  <c r="I481" i="1"/>
  <c r="J481" i="1"/>
  <c r="K481" i="1"/>
  <c r="L481" i="1"/>
  <c r="A482" i="1"/>
  <c r="B482" i="1"/>
  <c r="C482" i="1"/>
  <c r="D482" i="1"/>
  <c r="E482" i="1"/>
  <c r="F482" i="1"/>
  <c r="G482" i="1"/>
  <c r="H482" i="1"/>
  <c r="I482" i="1"/>
  <c r="J482" i="1"/>
  <c r="K482" i="1"/>
  <c r="L482" i="1"/>
  <c r="A483" i="1"/>
  <c r="B483" i="1"/>
  <c r="C483" i="1"/>
  <c r="D483" i="1"/>
  <c r="E483" i="1"/>
  <c r="F483" i="1"/>
  <c r="G483" i="1"/>
  <c r="H483" i="1"/>
  <c r="I483" i="1"/>
  <c r="J483" i="1"/>
  <c r="K483" i="1"/>
  <c r="L483" i="1"/>
  <c r="A484" i="1"/>
  <c r="B484" i="1"/>
  <c r="C484" i="1"/>
  <c r="D484" i="1"/>
  <c r="E484" i="1"/>
  <c r="F484" i="1"/>
  <c r="G484" i="1"/>
  <c r="H484" i="1"/>
  <c r="I484" i="1"/>
  <c r="J484" i="1"/>
  <c r="K484" i="1"/>
  <c r="L484" i="1"/>
  <c r="A485" i="1"/>
  <c r="B485" i="1"/>
  <c r="C485" i="1"/>
  <c r="D485" i="1"/>
  <c r="E485" i="1"/>
  <c r="F485" i="1"/>
  <c r="G485" i="1"/>
  <c r="H485" i="1"/>
  <c r="I485" i="1"/>
  <c r="J485" i="1"/>
  <c r="K485" i="1"/>
  <c r="L485" i="1"/>
  <c r="A486" i="1"/>
  <c r="B486" i="1"/>
  <c r="C486" i="1"/>
  <c r="D486" i="1"/>
  <c r="E486" i="1"/>
  <c r="F486" i="1"/>
  <c r="G486" i="1"/>
  <c r="H486" i="1"/>
  <c r="I486" i="1"/>
  <c r="J486" i="1"/>
  <c r="K486" i="1"/>
  <c r="L486" i="1"/>
  <c r="A487" i="1"/>
  <c r="B487" i="1"/>
  <c r="C487" i="1"/>
  <c r="D487" i="1"/>
  <c r="E487" i="1"/>
  <c r="F487" i="1"/>
  <c r="G487" i="1"/>
  <c r="H487" i="1"/>
  <c r="I487" i="1"/>
  <c r="J487" i="1"/>
  <c r="K487" i="1"/>
  <c r="L487" i="1"/>
  <c r="A488" i="1"/>
  <c r="B488" i="1"/>
  <c r="C488" i="1"/>
  <c r="D488" i="1"/>
  <c r="E488" i="1"/>
  <c r="F488" i="1"/>
  <c r="G488" i="1"/>
  <c r="H488" i="1"/>
  <c r="I488" i="1"/>
  <c r="J488" i="1"/>
  <c r="K488" i="1"/>
  <c r="L488" i="1"/>
  <c r="A489" i="1"/>
  <c r="B489" i="1"/>
  <c r="C489" i="1"/>
  <c r="D489" i="1"/>
  <c r="E489" i="1"/>
  <c r="F489" i="1"/>
  <c r="G489" i="1"/>
  <c r="H489" i="1"/>
  <c r="I489" i="1"/>
  <c r="J489" i="1"/>
  <c r="K489" i="1"/>
  <c r="L489" i="1"/>
  <c r="A490" i="1"/>
  <c r="B490" i="1"/>
  <c r="C490" i="1"/>
  <c r="D490" i="1"/>
  <c r="E490" i="1"/>
  <c r="F490" i="1"/>
  <c r="G490" i="1"/>
  <c r="H490" i="1"/>
  <c r="I490" i="1"/>
  <c r="J490" i="1"/>
  <c r="K490" i="1"/>
  <c r="L490" i="1"/>
  <c r="A491" i="1"/>
  <c r="B491" i="1"/>
  <c r="C491" i="1"/>
  <c r="D491" i="1"/>
  <c r="E491" i="1"/>
  <c r="F491" i="1"/>
  <c r="G491" i="1"/>
  <c r="H491" i="1"/>
  <c r="I491" i="1"/>
  <c r="J491" i="1"/>
  <c r="K491" i="1"/>
  <c r="L491" i="1"/>
  <c r="A492" i="1"/>
  <c r="B492" i="1"/>
  <c r="C492" i="1"/>
  <c r="D492" i="1"/>
  <c r="E492" i="1"/>
  <c r="F492" i="1"/>
  <c r="G492" i="1"/>
  <c r="H492" i="1"/>
  <c r="I492" i="1"/>
  <c r="J492" i="1"/>
  <c r="K492" i="1"/>
  <c r="L492" i="1"/>
  <c r="A493" i="1"/>
  <c r="B493" i="1"/>
  <c r="C493" i="1"/>
  <c r="D493" i="1"/>
  <c r="E493" i="1"/>
  <c r="F493" i="1"/>
  <c r="G493" i="1"/>
  <c r="H493" i="1"/>
  <c r="I493" i="1"/>
  <c r="J493" i="1"/>
  <c r="K493" i="1"/>
  <c r="L493" i="1"/>
  <c r="A494" i="1"/>
  <c r="B494" i="1"/>
  <c r="C494" i="1"/>
  <c r="D494" i="1"/>
  <c r="E494" i="1"/>
  <c r="F494" i="1"/>
  <c r="G494" i="1"/>
  <c r="H494" i="1"/>
  <c r="I494" i="1"/>
  <c r="J494" i="1"/>
  <c r="K494" i="1"/>
  <c r="L494" i="1"/>
  <c r="A495" i="1"/>
  <c r="B495" i="1"/>
  <c r="C495" i="1"/>
  <c r="D495" i="1"/>
  <c r="E495" i="1"/>
  <c r="F495" i="1"/>
  <c r="G495" i="1"/>
  <c r="H495" i="1"/>
  <c r="I495" i="1"/>
  <c r="J495" i="1"/>
  <c r="K495" i="1"/>
  <c r="L495" i="1"/>
  <c r="A496" i="1"/>
  <c r="B496" i="1"/>
  <c r="C496" i="1"/>
  <c r="D496" i="1"/>
  <c r="E496" i="1"/>
  <c r="F496" i="1"/>
  <c r="G496" i="1"/>
  <c r="H496" i="1"/>
  <c r="I496" i="1"/>
  <c r="J496" i="1"/>
  <c r="K496" i="1"/>
  <c r="L496" i="1"/>
  <c r="A497" i="1"/>
  <c r="B497" i="1"/>
  <c r="C497" i="1"/>
  <c r="D497" i="1"/>
  <c r="E497" i="1"/>
  <c r="F497" i="1"/>
  <c r="G497" i="1"/>
  <c r="H497" i="1"/>
  <c r="I497" i="1"/>
  <c r="J497" i="1"/>
  <c r="K497" i="1"/>
  <c r="L497" i="1"/>
  <c r="A498" i="1"/>
  <c r="B498" i="1"/>
  <c r="C498" i="1"/>
  <c r="D498" i="1"/>
  <c r="E498" i="1"/>
  <c r="F498" i="1"/>
  <c r="G498" i="1"/>
  <c r="H498" i="1"/>
  <c r="I498" i="1"/>
  <c r="J498" i="1"/>
  <c r="K498" i="1"/>
  <c r="L498" i="1"/>
  <c r="A499" i="1"/>
  <c r="B499" i="1"/>
  <c r="C499" i="1"/>
  <c r="D499" i="1"/>
  <c r="E499" i="1"/>
  <c r="F499" i="1"/>
  <c r="G499" i="1"/>
  <c r="H499" i="1"/>
  <c r="I499" i="1"/>
  <c r="J499" i="1"/>
  <c r="K499" i="1"/>
  <c r="L499" i="1"/>
  <c r="A500" i="1"/>
  <c r="B500" i="1"/>
  <c r="C500" i="1"/>
  <c r="D500" i="1"/>
  <c r="E500" i="1"/>
  <c r="F500" i="1"/>
  <c r="G500" i="1"/>
  <c r="H500" i="1"/>
  <c r="I500" i="1"/>
  <c r="J500" i="1"/>
  <c r="K500" i="1"/>
  <c r="L500" i="1"/>
  <c r="A501" i="1"/>
  <c r="B501" i="1"/>
  <c r="C501" i="1"/>
  <c r="D501" i="1"/>
  <c r="E501" i="1"/>
  <c r="F501" i="1"/>
  <c r="G501" i="1"/>
  <c r="H501" i="1"/>
  <c r="I501" i="1"/>
  <c r="J501" i="1"/>
  <c r="K501" i="1"/>
  <c r="L501" i="1"/>
  <c r="A502" i="1"/>
  <c r="B502" i="1"/>
  <c r="C502" i="1"/>
  <c r="D502" i="1"/>
  <c r="E502" i="1"/>
  <c r="F502" i="1"/>
  <c r="G502" i="1"/>
  <c r="H502" i="1"/>
  <c r="I502" i="1"/>
  <c r="J502" i="1"/>
  <c r="K502" i="1"/>
  <c r="L502" i="1"/>
  <c r="A503" i="1"/>
  <c r="B503" i="1"/>
  <c r="C503" i="1"/>
  <c r="D503" i="1"/>
  <c r="E503" i="1"/>
  <c r="F503" i="1"/>
  <c r="G503" i="1"/>
  <c r="H503" i="1"/>
  <c r="I503" i="1"/>
  <c r="J503" i="1"/>
  <c r="K503" i="1"/>
  <c r="L503" i="1"/>
  <c r="A504" i="1"/>
  <c r="B504" i="1"/>
  <c r="C504" i="1"/>
  <c r="D504" i="1"/>
  <c r="E504" i="1"/>
  <c r="F504" i="1"/>
  <c r="G504" i="1"/>
  <c r="H504" i="1"/>
  <c r="I504" i="1"/>
  <c r="J504" i="1"/>
  <c r="K504" i="1"/>
  <c r="L504" i="1"/>
  <c r="A505" i="1"/>
  <c r="B505" i="1"/>
  <c r="C505" i="1"/>
  <c r="D505" i="1"/>
  <c r="E505" i="1"/>
  <c r="F505" i="1"/>
  <c r="G505" i="1"/>
  <c r="H505" i="1"/>
  <c r="I505" i="1"/>
  <c r="J505" i="1"/>
  <c r="K505" i="1"/>
  <c r="L505" i="1"/>
  <c r="A506" i="1"/>
  <c r="B506" i="1"/>
  <c r="C506" i="1"/>
  <c r="D506" i="1"/>
  <c r="E506" i="1"/>
  <c r="F506" i="1"/>
  <c r="G506" i="1"/>
  <c r="H506" i="1"/>
  <c r="I506" i="1"/>
  <c r="J506" i="1"/>
  <c r="K506" i="1"/>
  <c r="L506" i="1"/>
  <c r="A507" i="1"/>
  <c r="B507" i="1"/>
  <c r="C507" i="1"/>
  <c r="D507" i="1"/>
  <c r="E507" i="1"/>
  <c r="F507" i="1"/>
  <c r="G507" i="1"/>
  <c r="H507" i="1"/>
  <c r="I507" i="1"/>
  <c r="J507" i="1"/>
  <c r="K507" i="1"/>
  <c r="L507" i="1"/>
  <c r="A508" i="1"/>
  <c r="B508" i="1"/>
  <c r="C508" i="1"/>
  <c r="D508" i="1"/>
  <c r="E508" i="1"/>
  <c r="F508" i="1"/>
  <c r="G508" i="1"/>
  <c r="H508" i="1"/>
  <c r="I508" i="1"/>
  <c r="J508" i="1"/>
  <c r="K508" i="1"/>
  <c r="L508" i="1"/>
  <c r="A509" i="1"/>
  <c r="B509" i="1"/>
  <c r="C509" i="1"/>
  <c r="D509" i="1"/>
  <c r="E509" i="1"/>
  <c r="F509" i="1"/>
  <c r="G509" i="1"/>
  <c r="H509" i="1"/>
  <c r="I509" i="1"/>
  <c r="J509" i="1"/>
  <c r="K509" i="1"/>
  <c r="L509" i="1"/>
  <c r="A510" i="1"/>
  <c r="B510" i="1"/>
  <c r="C510" i="1"/>
  <c r="D510" i="1"/>
  <c r="E510" i="1"/>
  <c r="F510" i="1"/>
  <c r="G510" i="1"/>
  <c r="H510" i="1"/>
  <c r="I510" i="1"/>
  <c r="J510" i="1"/>
  <c r="K510" i="1"/>
  <c r="L510" i="1"/>
  <c r="A511" i="1"/>
  <c r="B511" i="1"/>
  <c r="C511" i="1"/>
  <c r="D511" i="1"/>
  <c r="E511" i="1"/>
  <c r="F511" i="1"/>
  <c r="G511" i="1"/>
  <c r="H511" i="1"/>
  <c r="I511" i="1"/>
  <c r="J511" i="1"/>
  <c r="K511" i="1"/>
  <c r="L511" i="1"/>
  <c r="A512" i="1"/>
  <c r="B512" i="1"/>
  <c r="C512" i="1"/>
  <c r="D512" i="1"/>
  <c r="E512" i="1"/>
  <c r="F512" i="1"/>
  <c r="G512" i="1"/>
  <c r="H512" i="1"/>
  <c r="I512" i="1"/>
  <c r="J512" i="1"/>
  <c r="K512" i="1"/>
  <c r="L512" i="1"/>
  <c r="A513" i="1"/>
  <c r="B513" i="1"/>
  <c r="C513" i="1"/>
  <c r="D513" i="1"/>
  <c r="E513" i="1"/>
  <c r="F513" i="1"/>
  <c r="G513" i="1"/>
  <c r="H513" i="1"/>
  <c r="I513" i="1"/>
  <c r="J513" i="1"/>
  <c r="K513" i="1"/>
  <c r="L513" i="1"/>
  <c r="A514" i="1"/>
  <c r="B514" i="1"/>
  <c r="C514" i="1"/>
  <c r="D514" i="1"/>
  <c r="E514" i="1"/>
  <c r="F514" i="1"/>
  <c r="G514" i="1"/>
  <c r="H514" i="1"/>
  <c r="I514" i="1"/>
  <c r="J514" i="1"/>
  <c r="K514" i="1"/>
  <c r="L514" i="1"/>
  <c r="A515" i="1"/>
  <c r="B515" i="1"/>
  <c r="C515" i="1"/>
  <c r="D515" i="1"/>
  <c r="E515" i="1"/>
  <c r="F515" i="1"/>
  <c r="G515" i="1"/>
  <c r="H515" i="1"/>
  <c r="I515" i="1"/>
  <c r="J515" i="1"/>
  <c r="K515" i="1"/>
  <c r="L515" i="1"/>
  <c r="A516" i="1"/>
  <c r="B516" i="1"/>
  <c r="C516" i="1"/>
  <c r="D516" i="1"/>
  <c r="E516" i="1"/>
  <c r="F516" i="1"/>
  <c r="G516" i="1"/>
  <c r="H516" i="1"/>
  <c r="I516" i="1"/>
  <c r="J516" i="1"/>
  <c r="K516" i="1"/>
  <c r="L516" i="1"/>
  <c r="A517" i="1"/>
  <c r="B517" i="1"/>
  <c r="C517" i="1"/>
  <c r="D517" i="1"/>
  <c r="E517" i="1"/>
  <c r="F517" i="1"/>
  <c r="G517" i="1"/>
  <c r="H517" i="1"/>
  <c r="I517" i="1"/>
  <c r="J517" i="1"/>
  <c r="K517" i="1"/>
  <c r="L517" i="1"/>
  <c r="A518" i="1"/>
  <c r="B518" i="1"/>
  <c r="C518" i="1"/>
  <c r="D518" i="1"/>
  <c r="E518" i="1"/>
  <c r="F518" i="1"/>
  <c r="G518" i="1"/>
  <c r="H518" i="1"/>
  <c r="I518" i="1"/>
  <c r="J518" i="1"/>
  <c r="K518" i="1"/>
  <c r="L518" i="1"/>
  <c r="A519" i="1"/>
  <c r="B519" i="1"/>
  <c r="C519" i="1"/>
  <c r="D519" i="1"/>
  <c r="E519" i="1"/>
  <c r="F519" i="1"/>
  <c r="G519" i="1"/>
  <c r="H519" i="1"/>
  <c r="I519" i="1"/>
  <c r="J519" i="1"/>
  <c r="K519" i="1"/>
  <c r="L519" i="1"/>
  <c r="A520" i="1"/>
  <c r="B520" i="1"/>
  <c r="C520" i="1"/>
  <c r="D520" i="1"/>
  <c r="E520" i="1"/>
  <c r="F520" i="1"/>
  <c r="G520" i="1"/>
  <c r="H520" i="1"/>
  <c r="I520" i="1"/>
  <c r="J520" i="1"/>
  <c r="K520" i="1"/>
  <c r="L520" i="1"/>
  <c r="A521" i="1"/>
  <c r="B521" i="1"/>
  <c r="C521" i="1"/>
  <c r="D521" i="1"/>
  <c r="E521" i="1"/>
  <c r="F521" i="1"/>
  <c r="G521" i="1"/>
  <c r="H521" i="1"/>
  <c r="I521" i="1"/>
  <c r="J521" i="1"/>
  <c r="K521" i="1"/>
  <c r="L521" i="1"/>
  <c r="A522" i="1"/>
  <c r="B522" i="1"/>
  <c r="C522" i="1"/>
  <c r="D522" i="1"/>
  <c r="E522" i="1"/>
  <c r="F522" i="1"/>
  <c r="G522" i="1"/>
  <c r="H522" i="1"/>
  <c r="I522" i="1"/>
  <c r="J522" i="1"/>
  <c r="K522" i="1"/>
  <c r="L522" i="1"/>
  <c r="A523" i="1"/>
  <c r="B523" i="1"/>
  <c r="C523" i="1"/>
  <c r="D523" i="1"/>
  <c r="E523" i="1"/>
  <c r="F523" i="1"/>
  <c r="G523" i="1"/>
  <c r="H523" i="1"/>
  <c r="I523" i="1"/>
  <c r="J523" i="1"/>
  <c r="K523" i="1"/>
  <c r="L523" i="1"/>
  <c r="A524" i="1"/>
  <c r="B524" i="1"/>
  <c r="C524" i="1"/>
  <c r="D524" i="1"/>
  <c r="E524" i="1"/>
  <c r="F524" i="1"/>
  <c r="G524" i="1"/>
  <c r="H524" i="1"/>
  <c r="I524" i="1"/>
  <c r="J524" i="1"/>
  <c r="K524" i="1"/>
  <c r="L524" i="1"/>
  <c r="A525" i="1"/>
  <c r="B525" i="1"/>
  <c r="C525" i="1"/>
  <c r="D525" i="1"/>
  <c r="E525" i="1"/>
  <c r="F525" i="1"/>
  <c r="G525" i="1"/>
  <c r="H525" i="1"/>
  <c r="I525" i="1"/>
  <c r="J525" i="1"/>
  <c r="K525" i="1"/>
  <c r="L525" i="1"/>
  <c r="A526" i="1"/>
  <c r="B526" i="1"/>
  <c r="C526" i="1"/>
  <c r="D526" i="1"/>
  <c r="E526" i="1"/>
  <c r="F526" i="1"/>
  <c r="G526" i="1"/>
  <c r="H526" i="1"/>
  <c r="I526" i="1"/>
  <c r="J526" i="1"/>
  <c r="K526" i="1"/>
  <c r="L526" i="1"/>
  <c r="A527" i="1"/>
  <c r="B527" i="1"/>
  <c r="C527" i="1"/>
  <c r="D527" i="1"/>
  <c r="E527" i="1"/>
  <c r="F527" i="1"/>
  <c r="G527" i="1"/>
  <c r="H527" i="1"/>
  <c r="I527" i="1"/>
  <c r="J527" i="1"/>
  <c r="K527" i="1"/>
  <c r="L527" i="1"/>
  <c r="A528" i="1"/>
  <c r="B528" i="1"/>
  <c r="C528" i="1"/>
  <c r="D528" i="1"/>
  <c r="E528" i="1"/>
  <c r="F528" i="1"/>
  <c r="G528" i="1"/>
  <c r="H528" i="1"/>
  <c r="I528" i="1"/>
  <c r="J528" i="1"/>
  <c r="K528" i="1"/>
  <c r="L528" i="1"/>
  <c r="A529" i="1"/>
  <c r="B529" i="1"/>
  <c r="C529" i="1"/>
  <c r="D529" i="1"/>
  <c r="E529" i="1"/>
  <c r="F529" i="1"/>
  <c r="G529" i="1"/>
  <c r="H529" i="1"/>
  <c r="I529" i="1"/>
  <c r="J529" i="1"/>
  <c r="K529" i="1"/>
  <c r="L529" i="1"/>
  <c r="A530" i="1"/>
  <c r="B530" i="1"/>
  <c r="C530" i="1"/>
  <c r="D530" i="1"/>
  <c r="E530" i="1"/>
  <c r="F530" i="1"/>
  <c r="G530" i="1"/>
  <c r="H530" i="1"/>
  <c r="I530" i="1"/>
  <c r="J530" i="1"/>
  <c r="K530" i="1"/>
  <c r="L530" i="1"/>
  <c r="A531" i="1"/>
  <c r="B531" i="1"/>
  <c r="C531" i="1"/>
  <c r="D531" i="1"/>
  <c r="E531" i="1"/>
  <c r="F531" i="1"/>
  <c r="G531" i="1"/>
  <c r="H531" i="1"/>
  <c r="I531" i="1"/>
  <c r="J531" i="1"/>
  <c r="K531" i="1"/>
  <c r="L531" i="1"/>
  <c r="A532" i="1"/>
  <c r="B532" i="1"/>
  <c r="C532" i="1"/>
  <c r="D532" i="1"/>
  <c r="E532" i="1"/>
  <c r="F532" i="1"/>
  <c r="G532" i="1"/>
  <c r="H532" i="1"/>
  <c r="I532" i="1"/>
  <c r="J532" i="1"/>
  <c r="K532" i="1"/>
  <c r="L532" i="1"/>
  <c r="A533" i="1"/>
  <c r="B533" i="1"/>
  <c r="C533" i="1"/>
  <c r="D533" i="1"/>
  <c r="E533" i="1"/>
  <c r="F533" i="1"/>
  <c r="G533" i="1"/>
  <c r="H533" i="1"/>
  <c r="I533" i="1"/>
  <c r="J533" i="1"/>
  <c r="K533" i="1"/>
  <c r="L533" i="1"/>
  <c r="A534" i="1"/>
  <c r="B534" i="1"/>
  <c r="C534" i="1"/>
  <c r="D534" i="1"/>
  <c r="E534" i="1"/>
  <c r="F534" i="1"/>
  <c r="G534" i="1"/>
  <c r="H534" i="1"/>
  <c r="I534" i="1"/>
  <c r="J534" i="1"/>
  <c r="K534" i="1"/>
  <c r="L534" i="1"/>
  <c r="A535" i="1"/>
  <c r="B535" i="1"/>
  <c r="C535" i="1"/>
  <c r="D535" i="1"/>
  <c r="E535" i="1"/>
  <c r="F535" i="1"/>
  <c r="G535" i="1"/>
  <c r="H535" i="1"/>
  <c r="I535" i="1"/>
  <c r="J535" i="1"/>
  <c r="K535" i="1"/>
  <c r="L535" i="1"/>
  <c r="A536" i="1"/>
  <c r="B536" i="1"/>
  <c r="C536" i="1"/>
  <c r="D536" i="1"/>
  <c r="E536" i="1"/>
  <c r="F536" i="1"/>
  <c r="G536" i="1"/>
  <c r="H536" i="1"/>
  <c r="I536" i="1"/>
  <c r="J536" i="1"/>
  <c r="K536" i="1"/>
  <c r="L536" i="1"/>
  <c r="A537" i="1"/>
  <c r="B537" i="1"/>
  <c r="C537" i="1"/>
  <c r="D537" i="1"/>
  <c r="E537" i="1"/>
  <c r="F537" i="1"/>
  <c r="G537" i="1"/>
  <c r="H537" i="1"/>
  <c r="I537" i="1"/>
  <c r="J537" i="1"/>
  <c r="K537" i="1"/>
  <c r="L537" i="1"/>
  <c r="A538" i="1"/>
  <c r="B538" i="1"/>
  <c r="C538" i="1"/>
  <c r="D538" i="1"/>
  <c r="E538" i="1"/>
  <c r="F538" i="1"/>
  <c r="G538" i="1"/>
  <c r="H538" i="1"/>
  <c r="I538" i="1"/>
  <c r="J538" i="1"/>
  <c r="K538" i="1"/>
  <c r="L538" i="1"/>
  <c r="A539" i="1"/>
  <c r="B539" i="1"/>
  <c r="C539" i="1"/>
  <c r="D539" i="1"/>
  <c r="E539" i="1"/>
  <c r="F539" i="1"/>
  <c r="G539" i="1"/>
  <c r="H539" i="1"/>
  <c r="I539" i="1"/>
  <c r="J539" i="1"/>
  <c r="K539" i="1"/>
  <c r="L539" i="1"/>
  <c r="A540" i="1"/>
  <c r="B540" i="1"/>
  <c r="C540" i="1"/>
  <c r="D540" i="1"/>
  <c r="E540" i="1"/>
  <c r="F540" i="1"/>
  <c r="G540" i="1"/>
  <c r="H540" i="1"/>
  <c r="I540" i="1"/>
  <c r="J540" i="1"/>
  <c r="K540" i="1"/>
  <c r="L540" i="1"/>
  <c r="A541" i="1"/>
  <c r="B541" i="1"/>
  <c r="C541" i="1"/>
  <c r="D541" i="1"/>
  <c r="E541" i="1"/>
  <c r="F541" i="1"/>
  <c r="G541" i="1"/>
  <c r="H541" i="1"/>
  <c r="I541" i="1"/>
  <c r="J541" i="1"/>
  <c r="K541" i="1"/>
  <c r="L541" i="1"/>
  <c r="A542" i="1"/>
  <c r="B542" i="1"/>
  <c r="C542" i="1"/>
  <c r="D542" i="1"/>
  <c r="E542" i="1"/>
  <c r="F542" i="1"/>
  <c r="G542" i="1"/>
  <c r="H542" i="1"/>
  <c r="I542" i="1"/>
  <c r="J542" i="1"/>
  <c r="K542" i="1"/>
  <c r="L542" i="1"/>
  <c r="A543" i="1"/>
  <c r="B543" i="1"/>
  <c r="C543" i="1"/>
  <c r="D543" i="1"/>
  <c r="E543" i="1"/>
  <c r="F543" i="1"/>
  <c r="G543" i="1"/>
  <c r="H543" i="1"/>
  <c r="I543" i="1"/>
  <c r="J543" i="1"/>
  <c r="K543" i="1"/>
  <c r="L543" i="1"/>
  <c r="A544" i="1"/>
  <c r="B544" i="1"/>
  <c r="C544" i="1"/>
  <c r="D544" i="1"/>
  <c r="E544" i="1"/>
  <c r="F544" i="1"/>
  <c r="G544" i="1"/>
  <c r="H544" i="1"/>
  <c r="I544" i="1"/>
  <c r="J544" i="1"/>
  <c r="K544" i="1"/>
  <c r="L544" i="1"/>
  <c r="A545" i="1"/>
  <c r="B545" i="1"/>
  <c r="C545" i="1"/>
  <c r="D545" i="1"/>
  <c r="E545" i="1"/>
  <c r="F545" i="1"/>
  <c r="G545" i="1"/>
  <c r="H545" i="1"/>
  <c r="I545" i="1"/>
  <c r="J545" i="1"/>
  <c r="K545" i="1"/>
  <c r="L545" i="1"/>
  <c r="A546" i="1"/>
  <c r="B546" i="1"/>
  <c r="C546" i="1"/>
  <c r="D546" i="1"/>
  <c r="E546" i="1"/>
  <c r="F546" i="1"/>
  <c r="G546" i="1"/>
  <c r="H546" i="1"/>
  <c r="I546" i="1"/>
  <c r="J546" i="1"/>
  <c r="K546" i="1"/>
  <c r="L546" i="1"/>
  <c r="A547" i="1"/>
  <c r="B547" i="1"/>
  <c r="C547" i="1"/>
  <c r="D547" i="1"/>
  <c r="E547" i="1"/>
  <c r="F547" i="1"/>
  <c r="G547" i="1"/>
  <c r="H547" i="1"/>
  <c r="I547" i="1"/>
  <c r="J547" i="1"/>
  <c r="K547" i="1"/>
  <c r="L547" i="1"/>
  <c r="A548" i="1"/>
  <c r="B548" i="1"/>
  <c r="C548" i="1"/>
  <c r="D548" i="1"/>
  <c r="E548" i="1"/>
  <c r="F548" i="1"/>
  <c r="G548" i="1"/>
  <c r="H548" i="1"/>
  <c r="I548" i="1"/>
  <c r="J548" i="1"/>
  <c r="K548" i="1"/>
  <c r="L548" i="1"/>
  <c r="A549" i="1"/>
  <c r="B549" i="1"/>
  <c r="C549" i="1"/>
  <c r="D549" i="1"/>
  <c r="E549" i="1"/>
  <c r="F549" i="1"/>
  <c r="G549" i="1"/>
  <c r="H549" i="1"/>
  <c r="I549" i="1"/>
  <c r="J549" i="1"/>
  <c r="K549" i="1"/>
  <c r="L549" i="1"/>
  <c r="A550" i="1"/>
  <c r="B550" i="1"/>
  <c r="C550" i="1"/>
  <c r="D550" i="1"/>
  <c r="E550" i="1"/>
  <c r="F550" i="1"/>
  <c r="G550" i="1"/>
  <c r="H550" i="1"/>
  <c r="I550" i="1"/>
  <c r="J550" i="1"/>
  <c r="K550" i="1"/>
  <c r="L550" i="1"/>
  <c r="A551" i="1"/>
  <c r="B551" i="1"/>
  <c r="C551" i="1"/>
  <c r="D551" i="1"/>
  <c r="E551" i="1"/>
  <c r="F551" i="1"/>
  <c r="G551" i="1"/>
  <c r="H551" i="1"/>
  <c r="I551" i="1"/>
  <c r="J551" i="1"/>
  <c r="K551" i="1"/>
  <c r="L551" i="1"/>
  <c r="A552" i="1"/>
  <c r="B552" i="1"/>
  <c r="C552" i="1"/>
  <c r="D552" i="1"/>
  <c r="E552" i="1"/>
  <c r="F552" i="1"/>
  <c r="G552" i="1"/>
  <c r="H552" i="1"/>
  <c r="I552" i="1"/>
  <c r="J552" i="1"/>
  <c r="K552" i="1"/>
  <c r="L552" i="1"/>
  <c r="A553" i="1"/>
  <c r="B553" i="1"/>
  <c r="C553" i="1"/>
  <c r="D553" i="1"/>
  <c r="E553" i="1"/>
  <c r="F553" i="1"/>
  <c r="G553" i="1"/>
  <c r="H553" i="1"/>
  <c r="I553" i="1"/>
  <c r="J553" i="1"/>
  <c r="K553" i="1"/>
  <c r="L553" i="1"/>
  <c r="A554" i="1"/>
  <c r="B554" i="1"/>
  <c r="C554" i="1"/>
  <c r="D554" i="1"/>
  <c r="E554" i="1"/>
  <c r="F554" i="1"/>
  <c r="G554" i="1"/>
  <c r="H554" i="1"/>
  <c r="I554" i="1"/>
  <c r="J554" i="1"/>
  <c r="K554" i="1"/>
  <c r="L554" i="1"/>
  <c r="A555" i="1"/>
  <c r="B555" i="1"/>
  <c r="C555" i="1"/>
  <c r="D555" i="1"/>
  <c r="E555" i="1"/>
  <c r="F555" i="1"/>
  <c r="G555" i="1"/>
  <c r="H555" i="1"/>
  <c r="I555" i="1"/>
  <c r="J555" i="1"/>
  <c r="K555" i="1"/>
  <c r="L555" i="1"/>
  <c r="A556" i="1"/>
  <c r="B556" i="1"/>
  <c r="C556" i="1"/>
  <c r="D556" i="1"/>
  <c r="E556" i="1"/>
  <c r="F556" i="1"/>
  <c r="G556" i="1"/>
  <c r="H556" i="1"/>
  <c r="I556" i="1"/>
  <c r="J556" i="1"/>
  <c r="K556" i="1"/>
  <c r="L556" i="1"/>
  <c r="A557" i="1"/>
  <c r="B557" i="1"/>
  <c r="C557" i="1"/>
  <c r="D557" i="1"/>
  <c r="E557" i="1"/>
  <c r="F557" i="1"/>
  <c r="G557" i="1"/>
  <c r="H557" i="1"/>
  <c r="I557" i="1"/>
  <c r="J557" i="1"/>
  <c r="K557" i="1"/>
  <c r="L557" i="1"/>
  <c r="A558" i="1"/>
  <c r="B558" i="1"/>
  <c r="C558" i="1"/>
  <c r="D558" i="1"/>
  <c r="E558" i="1"/>
  <c r="F558" i="1"/>
  <c r="G558" i="1"/>
  <c r="H558" i="1"/>
  <c r="I558" i="1"/>
  <c r="J558" i="1"/>
  <c r="K558" i="1"/>
  <c r="L558" i="1"/>
  <c r="A559" i="1"/>
  <c r="B559" i="1"/>
  <c r="C559" i="1"/>
  <c r="D559" i="1"/>
  <c r="E559" i="1"/>
  <c r="F559" i="1"/>
  <c r="G559" i="1"/>
  <c r="H559" i="1"/>
  <c r="I559" i="1"/>
  <c r="J559" i="1"/>
  <c r="K559" i="1"/>
  <c r="L559" i="1"/>
  <c r="A560" i="1"/>
  <c r="B560" i="1"/>
  <c r="C560" i="1"/>
  <c r="D560" i="1"/>
  <c r="E560" i="1"/>
  <c r="F560" i="1"/>
  <c r="G560" i="1"/>
  <c r="H560" i="1"/>
  <c r="I560" i="1"/>
  <c r="J560" i="1"/>
  <c r="K560" i="1"/>
  <c r="L560" i="1"/>
  <c r="A561" i="1"/>
  <c r="B561" i="1"/>
  <c r="C561" i="1"/>
  <c r="D561" i="1"/>
  <c r="E561" i="1"/>
  <c r="F561" i="1"/>
  <c r="G561" i="1"/>
  <c r="H561" i="1"/>
  <c r="I561" i="1"/>
  <c r="J561" i="1"/>
  <c r="K561" i="1"/>
  <c r="L561" i="1"/>
  <c r="A562" i="1"/>
  <c r="B562" i="1"/>
  <c r="C562" i="1"/>
  <c r="D562" i="1"/>
  <c r="E562" i="1"/>
  <c r="F562" i="1"/>
  <c r="G562" i="1"/>
  <c r="H562" i="1"/>
  <c r="I562" i="1"/>
  <c r="J562" i="1"/>
  <c r="K562" i="1"/>
  <c r="L562" i="1"/>
  <c r="A563" i="1"/>
  <c r="B563" i="1"/>
  <c r="C563" i="1"/>
  <c r="D563" i="1"/>
  <c r="E563" i="1"/>
  <c r="F563" i="1"/>
  <c r="G563" i="1"/>
  <c r="H563" i="1"/>
  <c r="I563" i="1"/>
  <c r="J563" i="1"/>
  <c r="K563" i="1"/>
  <c r="L563" i="1"/>
  <c r="A564" i="1"/>
  <c r="B564" i="1"/>
  <c r="C564" i="1"/>
  <c r="D564" i="1"/>
  <c r="E564" i="1"/>
  <c r="F564" i="1"/>
  <c r="G564" i="1"/>
  <c r="H564" i="1"/>
  <c r="I564" i="1"/>
  <c r="J564" i="1"/>
  <c r="K564" i="1"/>
  <c r="L564" i="1"/>
  <c r="A565" i="1"/>
  <c r="B565" i="1"/>
  <c r="C565" i="1"/>
  <c r="D565" i="1"/>
  <c r="E565" i="1"/>
  <c r="F565" i="1"/>
  <c r="G565" i="1"/>
  <c r="H565" i="1"/>
  <c r="I565" i="1"/>
  <c r="J565" i="1"/>
  <c r="K565" i="1"/>
  <c r="L565" i="1"/>
  <c r="A566" i="1"/>
  <c r="B566" i="1"/>
  <c r="C566" i="1"/>
  <c r="D566" i="1"/>
  <c r="E566" i="1"/>
  <c r="F566" i="1"/>
  <c r="G566" i="1"/>
  <c r="H566" i="1"/>
  <c r="I566" i="1"/>
  <c r="J566" i="1"/>
  <c r="K566" i="1"/>
  <c r="L566" i="1"/>
  <c r="A567" i="1"/>
  <c r="B567" i="1"/>
  <c r="C567" i="1"/>
  <c r="D567" i="1"/>
  <c r="E567" i="1"/>
  <c r="F567" i="1"/>
  <c r="G567" i="1"/>
  <c r="H567" i="1"/>
  <c r="I567" i="1"/>
  <c r="J567" i="1"/>
  <c r="K567" i="1"/>
  <c r="L567" i="1"/>
  <c r="A568" i="1"/>
  <c r="B568" i="1"/>
  <c r="C568" i="1"/>
  <c r="D568" i="1"/>
  <c r="E568" i="1"/>
  <c r="F568" i="1"/>
  <c r="G568" i="1"/>
  <c r="H568" i="1"/>
  <c r="I568" i="1"/>
  <c r="J568" i="1"/>
  <c r="K568" i="1"/>
  <c r="L568" i="1"/>
  <c r="A569" i="1"/>
  <c r="B569" i="1"/>
  <c r="C569" i="1"/>
  <c r="D569" i="1"/>
  <c r="E569" i="1"/>
  <c r="F569" i="1"/>
  <c r="G569" i="1"/>
  <c r="H569" i="1"/>
  <c r="I569" i="1"/>
  <c r="J569" i="1"/>
  <c r="K569" i="1"/>
  <c r="L569" i="1"/>
  <c r="A570" i="1"/>
  <c r="B570" i="1"/>
  <c r="C570" i="1"/>
  <c r="D570" i="1"/>
  <c r="E570" i="1"/>
  <c r="F570" i="1"/>
  <c r="G570" i="1"/>
  <c r="H570" i="1"/>
  <c r="I570" i="1"/>
  <c r="J570" i="1"/>
  <c r="K570" i="1"/>
  <c r="L570" i="1"/>
  <c r="A571" i="1"/>
  <c r="B571" i="1"/>
  <c r="C571" i="1"/>
  <c r="D571" i="1"/>
  <c r="E571" i="1"/>
  <c r="F571" i="1"/>
  <c r="G571" i="1"/>
  <c r="H571" i="1"/>
  <c r="I571" i="1"/>
  <c r="J571" i="1"/>
  <c r="K571" i="1"/>
  <c r="L571" i="1"/>
  <c r="A572" i="1"/>
  <c r="B572" i="1"/>
  <c r="C572" i="1"/>
  <c r="D572" i="1"/>
  <c r="E572" i="1"/>
  <c r="F572" i="1"/>
  <c r="G572" i="1"/>
  <c r="H572" i="1"/>
  <c r="I572" i="1"/>
  <c r="J572" i="1"/>
  <c r="K572" i="1"/>
  <c r="L572" i="1"/>
  <c r="A573" i="1"/>
  <c r="B573" i="1"/>
  <c r="C573" i="1"/>
  <c r="D573" i="1"/>
  <c r="E573" i="1"/>
  <c r="F573" i="1"/>
  <c r="G573" i="1"/>
  <c r="H573" i="1"/>
  <c r="I573" i="1"/>
  <c r="J573" i="1"/>
  <c r="K573" i="1"/>
  <c r="L573" i="1"/>
  <c r="A574" i="1"/>
  <c r="B574" i="1"/>
  <c r="C574" i="1"/>
  <c r="D574" i="1"/>
  <c r="E574" i="1"/>
  <c r="F574" i="1"/>
  <c r="G574" i="1"/>
  <c r="H574" i="1"/>
  <c r="I574" i="1"/>
  <c r="J574" i="1"/>
  <c r="K574" i="1"/>
  <c r="L574" i="1"/>
  <c r="A575" i="1"/>
  <c r="B575" i="1"/>
  <c r="C575" i="1"/>
  <c r="D575" i="1"/>
  <c r="E575" i="1"/>
  <c r="F575" i="1"/>
  <c r="G575" i="1"/>
  <c r="H575" i="1"/>
  <c r="I575" i="1"/>
  <c r="J575" i="1"/>
  <c r="K575" i="1"/>
  <c r="L575" i="1"/>
  <c r="A576" i="1"/>
  <c r="B576" i="1"/>
  <c r="C576" i="1"/>
  <c r="D576" i="1"/>
  <c r="E576" i="1"/>
  <c r="F576" i="1"/>
  <c r="G576" i="1"/>
  <c r="H576" i="1"/>
  <c r="I576" i="1"/>
  <c r="J576" i="1"/>
  <c r="K576" i="1"/>
  <c r="L576" i="1"/>
  <c r="A577" i="1"/>
  <c r="B577" i="1"/>
  <c r="C577" i="1"/>
  <c r="D577" i="1"/>
  <c r="E577" i="1"/>
  <c r="F577" i="1"/>
  <c r="G577" i="1"/>
  <c r="H577" i="1"/>
  <c r="I577" i="1"/>
  <c r="J577" i="1"/>
  <c r="K577" i="1"/>
  <c r="L577" i="1"/>
  <c r="A578" i="1"/>
  <c r="B578" i="1"/>
  <c r="C578" i="1"/>
  <c r="D578" i="1"/>
  <c r="E578" i="1"/>
  <c r="F578" i="1"/>
  <c r="G578" i="1"/>
  <c r="H578" i="1"/>
  <c r="I578" i="1"/>
  <c r="J578" i="1"/>
  <c r="K578" i="1"/>
  <c r="L578" i="1"/>
  <c r="A579" i="1"/>
  <c r="B579" i="1"/>
  <c r="C579" i="1"/>
  <c r="D579" i="1"/>
  <c r="E579" i="1"/>
  <c r="F579" i="1"/>
  <c r="G579" i="1"/>
  <c r="H579" i="1"/>
  <c r="I579" i="1"/>
  <c r="J579" i="1"/>
  <c r="K579" i="1"/>
  <c r="L579" i="1"/>
  <c r="A580" i="1"/>
  <c r="B580" i="1"/>
  <c r="C580" i="1"/>
  <c r="D580" i="1"/>
  <c r="E580" i="1"/>
  <c r="F580" i="1"/>
  <c r="G580" i="1"/>
  <c r="H580" i="1"/>
  <c r="I580" i="1"/>
  <c r="J580" i="1"/>
  <c r="K580" i="1"/>
  <c r="L580" i="1"/>
  <c r="A581" i="1"/>
  <c r="B581" i="1"/>
  <c r="C581" i="1"/>
  <c r="D581" i="1"/>
  <c r="E581" i="1"/>
  <c r="F581" i="1"/>
  <c r="G581" i="1"/>
  <c r="H581" i="1"/>
  <c r="I581" i="1"/>
  <c r="J581" i="1"/>
  <c r="K581" i="1"/>
  <c r="L581" i="1"/>
  <c r="A582" i="1"/>
  <c r="B582" i="1"/>
  <c r="C582" i="1"/>
  <c r="D582" i="1"/>
  <c r="E582" i="1"/>
  <c r="F582" i="1"/>
  <c r="G582" i="1"/>
  <c r="H582" i="1"/>
  <c r="I582" i="1"/>
  <c r="J582" i="1"/>
  <c r="K582" i="1"/>
  <c r="L582" i="1"/>
  <c r="A583" i="1"/>
  <c r="B583" i="1"/>
  <c r="C583" i="1"/>
  <c r="D583" i="1"/>
  <c r="E583" i="1"/>
  <c r="F583" i="1"/>
  <c r="G583" i="1"/>
  <c r="H583" i="1"/>
  <c r="I583" i="1"/>
  <c r="J583" i="1"/>
  <c r="K583" i="1"/>
  <c r="L583" i="1"/>
  <c r="A584" i="1"/>
  <c r="B584" i="1"/>
  <c r="C584" i="1"/>
  <c r="D584" i="1"/>
  <c r="E584" i="1"/>
  <c r="F584" i="1"/>
  <c r="G584" i="1"/>
  <c r="H584" i="1"/>
  <c r="I584" i="1"/>
  <c r="J584" i="1"/>
  <c r="K584" i="1"/>
  <c r="L584" i="1"/>
  <c r="A585" i="1"/>
  <c r="B585" i="1"/>
  <c r="C585" i="1"/>
  <c r="D585" i="1"/>
  <c r="E585" i="1"/>
  <c r="F585" i="1"/>
  <c r="G585" i="1"/>
  <c r="H585" i="1"/>
  <c r="I585" i="1"/>
  <c r="J585" i="1"/>
  <c r="K585" i="1"/>
  <c r="L585" i="1"/>
  <c r="A586" i="1"/>
  <c r="B586" i="1"/>
  <c r="C586" i="1"/>
  <c r="D586" i="1"/>
  <c r="E586" i="1"/>
  <c r="F586" i="1"/>
  <c r="G586" i="1"/>
  <c r="H586" i="1"/>
  <c r="I586" i="1"/>
  <c r="J586" i="1"/>
  <c r="K586" i="1"/>
  <c r="L586" i="1"/>
  <c r="A587" i="1"/>
  <c r="B587" i="1"/>
  <c r="C587" i="1"/>
  <c r="D587" i="1"/>
  <c r="E587" i="1"/>
  <c r="F587" i="1"/>
  <c r="G587" i="1"/>
  <c r="H587" i="1"/>
  <c r="I587" i="1"/>
  <c r="J587" i="1"/>
  <c r="K587" i="1"/>
  <c r="L587" i="1"/>
  <c r="A588" i="1"/>
  <c r="B588" i="1"/>
  <c r="C588" i="1"/>
  <c r="D588" i="1"/>
  <c r="E588" i="1"/>
  <c r="F588" i="1"/>
  <c r="G588" i="1"/>
  <c r="H588" i="1"/>
  <c r="I588" i="1"/>
  <c r="J588" i="1"/>
  <c r="K588" i="1"/>
  <c r="L588" i="1"/>
  <c r="A589" i="1"/>
  <c r="B589" i="1"/>
  <c r="C589" i="1"/>
  <c r="D589" i="1"/>
  <c r="E589" i="1"/>
  <c r="F589" i="1"/>
  <c r="G589" i="1"/>
  <c r="H589" i="1"/>
  <c r="I589" i="1"/>
  <c r="J589" i="1"/>
  <c r="K589" i="1"/>
  <c r="L589" i="1"/>
  <c r="A590" i="1"/>
  <c r="B590" i="1"/>
  <c r="C590" i="1"/>
  <c r="D590" i="1"/>
  <c r="E590" i="1"/>
  <c r="F590" i="1"/>
  <c r="G590" i="1"/>
  <c r="H590" i="1"/>
  <c r="I590" i="1"/>
  <c r="J590" i="1"/>
  <c r="K590" i="1"/>
  <c r="L590" i="1"/>
  <c r="A591" i="1"/>
  <c r="B591" i="1"/>
  <c r="C591" i="1"/>
  <c r="D591" i="1"/>
  <c r="E591" i="1"/>
  <c r="F591" i="1"/>
  <c r="G591" i="1"/>
  <c r="H591" i="1"/>
  <c r="I591" i="1"/>
  <c r="J591" i="1"/>
  <c r="K591" i="1"/>
  <c r="L591" i="1"/>
  <c r="A592" i="1"/>
  <c r="B592" i="1"/>
  <c r="C592" i="1"/>
  <c r="D592" i="1"/>
  <c r="E592" i="1"/>
  <c r="F592" i="1"/>
  <c r="G592" i="1"/>
  <c r="H592" i="1"/>
  <c r="I592" i="1"/>
  <c r="J592" i="1"/>
  <c r="K592" i="1"/>
  <c r="L592" i="1"/>
  <c r="A593" i="1"/>
  <c r="B593" i="1"/>
  <c r="C593" i="1"/>
  <c r="D593" i="1"/>
  <c r="E593" i="1"/>
  <c r="F593" i="1"/>
  <c r="G593" i="1"/>
  <c r="H593" i="1"/>
  <c r="I593" i="1"/>
  <c r="J593" i="1"/>
  <c r="K593" i="1"/>
  <c r="L593" i="1"/>
  <c r="A594" i="1"/>
  <c r="B594" i="1"/>
  <c r="C594" i="1"/>
  <c r="D594" i="1"/>
  <c r="E594" i="1"/>
  <c r="F594" i="1"/>
  <c r="G594" i="1"/>
  <c r="H594" i="1"/>
  <c r="I594" i="1"/>
  <c r="J594" i="1"/>
  <c r="K594" i="1"/>
  <c r="L594" i="1"/>
  <c r="A595" i="1"/>
  <c r="B595" i="1"/>
  <c r="C595" i="1"/>
  <c r="D595" i="1"/>
  <c r="E595" i="1"/>
  <c r="F595" i="1"/>
  <c r="G595" i="1"/>
  <c r="H595" i="1"/>
  <c r="I595" i="1"/>
  <c r="J595" i="1"/>
  <c r="K595" i="1"/>
  <c r="L595" i="1"/>
  <c r="A596" i="1"/>
  <c r="B596" i="1"/>
  <c r="C596" i="1"/>
  <c r="D596" i="1"/>
  <c r="E596" i="1"/>
  <c r="F596" i="1"/>
  <c r="G596" i="1"/>
  <c r="H596" i="1"/>
  <c r="I596" i="1"/>
  <c r="J596" i="1"/>
  <c r="K596" i="1"/>
  <c r="L596" i="1"/>
  <c r="A597" i="1"/>
  <c r="B597" i="1"/>
  <c r="C597" i="1"/>
  <c r="D597" i="1"/>
  <c r="E597" i="1"/>
  <c r="F597" i="1"/>
  <c r="G597" i="1"/>
  <c r="H597" i="1"/>
  <c r="I597" i="1"/>
  <c r="J597" i="1"/>
  <c r="K597" i="1"/>
  <c r="L597" i="1"/>
  <c r="A598" i="1"/>
  <c r="B598" i="1"/>
  <c r="C598" i="1"/>
  <c r="D598" i="1"/>
  <c r="E598" i="1"/>
  <c r="F598" i="1"/>
  <c r="G598" i="1"/>
  <c r="H598" i="1"/>
  <c r="I598" i="1"/>
  <c r="J598" i="1"/>
  <c r="K598" i="1"/>
  <c r="L598" i="1"/>
  <c r="A599" i="1"/>
  <c r="B599" i="1"/>
  <c r="C599" i="1"/>
  <c r="D599" i="1"/>
  <c r="E599" i="1"/>
  <c r="F599" i="1"/>
  <c r="G599" i="1"/>
  <c r="H599" i="1"/>
  <c r="I599" i="1"/>
  <c r="J599" i="1"/>
  <c r="K599" i="1"/>
  <c r="L599" i="1"/>
  <c r="A600" i="1"/>
  <c r="B600" i="1"/>
  <c r="C600" i="1"/>
  <c r="D600" i="1"/>
  <c r="E600" i="1"/>
  <c r="F600" i="1"/>
  <c r="G600" i="1"/>
  <c r="H600" i="1"/>
  <c r="I600" i="1"/>
  <c r="J600" i="1"/>
  <c r="K600" i="1"/>
  <c r="L600" i="1"/>
  <c r="A601" i="1"/>
  <c r="B601" i="1"/>
  <c r="C601" i="1"/>
  <c r="D601" i="1"/>
  <c r="E601" i="1"/>
  <c r="F601" i="1"/>
  <c r="G601" i="1"/>
  <c r="H601" i="1"/>
  <c r="I601" i="1"/>
  <c r="J601" i="1"/>
  <c r="K601" i="1"/>
  <c r="L601" i="1"/>
  <c r="A602" i="1"/>
  <c r="B602" i="1"/>
  <c r="C602" i="1"/>
  <c r="D602" i="1"/>
  <c r="E602" i="1"/>
  <c r="F602" i="1"/>
  <c r="G602" i="1"/>
  <c r="H602" i="1"/>
  <c r="I602" i="1"/>
  <c r="J602" i="1"/>
  <c r="K602" i="1"/>
  <c r="L602" i="1"/>
  <c r="A603" i="1"/>
  <c r="B603" i="1"/>
  <c r="C603" i="1"/>
  <c r="D603" i="1"/>
  <c r="E603" i="1"/>
  <c r="F603" i="1"/>
  <c r="G603" i="1"/>
  <c r="H603" i="1"/>
  <c r="I603" i="1"/>
  <c r="J603" i="1"/>
  <c r="K603" i="1"/>
  <c r="L603" i="1"/>
  <c r="A604" i="1"/>
  <c r="B604" i="1"/>
  <c r="C604" i="1"/>
  <c r="D604" i="1"/>
  <c r="E604" i="1"/>
  <c r="F604" i="1"/>
  <c r="G604" i="1"/>
  <c r="H604" i="1"/>
  <c r="I604" i="1"/>
  <c r="J604" i="1"/>
  <c r="K604" i="1"/>
  <c r="L604" i="1"/>
  <c r="A605" i="1"/>
  <c r="B605" i="1"/>
  <c r="C605" i="1"/>
  <c r="D605" i="1"/>
  <c r="E605" i="1"/>
  <c r="F605" i="1"/>
  <c r="G605" i="1"/>
  <c r="H605" i="1"/>
  <c r="I605" i="1"/>
  <c r="J605" i="1"/>
  <c r="K605" i="1"/>
  <c r="L605" i="1"/>
  <c r="A606" i="1"/>
  <c r="B606" i="1"/>
  <c r="C606" i="1"/>
  <c r="D606" i="1"/>
  <c r="E606" i="1"/>
  <c r="F606" i="1"/>
  <c r="G606" i="1"/>
  <c r="H606" i="1"/>
  <c r="I606" i="1"/>
  <c r="J606" i="1"/>
  <c r="K606" i="1"/>
  <c r="L606" i="1"/>
  <c r="A607" i="1"/>
  <c r="B607" i="1"/>
  <c r="C607" i="1"/>
  <c r="D607" i="1"/>
  <c r="E607" i="1"/>
  <c r="F607" i="1"/>
  <c r="G607" i="1"/>
  <c r="H607" i="1"/>
  <c r="I607" i="1"/>
  <c r="J607" i="1"/>
  <c r="K607" i="1"/>
  <c r="L607" i="1"/>
  <c r="A608" i="1"/>
  <c r="B608" i="1"/>
  <c r="C608" i="1"/>
  <c r="D608" i="1"/>
  <c r="E608" i="1"/>
  <c r="F608" i="1"/>
  <c r="G608" i="1"/>
  <c r="H608" i="1"/>
  <c r="I608" i="1"/>
  <c r="J608" i="1"/>
  <c r="K608" i="1"/>
  <c r="L608" i="1"/>
  <c r="A609" i="1"/>
  <c r="B609" i="1"/>
  <c r="C609" i="1"/>
  <c r="D609" i="1"/>
  <c r="E609" i="1"/>
  <c r="F609" i="1"/>
  <c r="G609" i="1"/>
  <c r="H609" i="1"/>
  <c r="I609" i="1"/>
  <c r="J609" i="1"/>
  <c r="K609" i="1"/>
  <c r="L609" i="1"/>
  <c r="A610" i="1"/>
  <c r="B610" i="1"/>
  <c r="C610" i="1"/>
  <c r="D610" i="1"/>
  <c r="E610" i="1"/>
  <c r="F610" i="1"/>
  <c r="G610" i="1"/>
  <c r="H610" i="1"/>
  <c r="I610" i="1"/>
  <c r="J610" i="1"/>
  <c r="K610" i="1"/>
  <c r="L610" i="1"/>
  <c r="A611" i="1"/>
  <c r="B611" i="1"/>
  <c r="C611" i="1"/>
  <c r="D611" i="1"/>
  <c r="E611" i="1"/>
  <c r="F611" i="1"/>
  <c r="G611" i="1"/>
  <c r="H611" i="1"/>
  <c r="I611" i="1"/>
  <c r="J611" i="1"/>
  <c r="K611" i="1"/>
  <c r="L611" i="1"/>
  <c r="A612" i="1"/>
  <c r="B612" i="1"/>
  <c r="C612" i="1"/>
  <c r="D612" i="1"/>
  <c r="E612" i="1"/>
  <c r="F612" i="1"/>
  <c r="G612" i="1"/>
  <c r="H612" i="1"/>
  <c r="I612" i="1"/>
  <c r="J612" i="1"/>
  <c r="K612" i="1"/>
  <c r="L612" i="1"/>
  <c r="A613" i="1"/>
  <c r="B613" i="1"/>
  <c r="C613" i="1"/>
  <c r="D613" i="1"/>
  <c r="E613" i="1"/>
  <c r="F613" i="1"/>
  <c r="G613" i="1"/>
  <c r="H613" i="1"/>
  <c r="I613" i="1"/>
  <c r="J613" i="1"/>
  <c r="K613" i="1"/>
  <c r="L613" i="1"/>
  <c r="A614" i="1"/>
  <c r="B614" i="1"/>
  <c r="C614" i="1"/>
  <c r="D614" i="1"/>
  <c r="E614" i="1"/>
  <c r="F614" i="1"/>
  <c r="G614" i="1"/>
  <c r="H614" i="1"/>
  <c r="I614" i="1"/>
  <c r="J614" i="1"/>
  <c r="K614" i="1"/>
  <c r="L614" i="1"/>
  <c r="A615" i="1"/>
  <c r="B615" i="1"/>
  <c r="C615" i="1"/>
  <c r="D615" i="1"/>
  <c r="E615" i="1"/>
  <c r="F615" i="1"/>
  <c r="G615" i="1"/>
  <c r="H615" i="1"/>
  <c r="I615" i="1"/>
  <c r="J615" i="1"/>
  <c r="K615" i="1"/>
  <c r="L615" i="1"/>
  <c r="A616" i="1"/>
  <c r="B616" i="1"/>
  <c r="C616" i="1"/>
  <c r="D616" i="1"/>
  <c r="E616" i="1"/>
  <c r="F616" i="1"/>
  <c r="G616" i="1"/>
  <c r="H616" i="1"/>
  <c r="I616" i="1"/>
  <c r="J616" i="1"/>
  <c r="K616" i="1"/>
  <c r="L616" i="1"/>
  <c r="A617" i="1"/>
  <c r="B617" i="1"/>
  <c r="C617" i="1"/>
  <c r="D617" i="1"/>
  <c r="E617" i="1"/>
  <c r="F617" i="1"/>
  <c r="G617" i="1"/>
  <c r="H617" i="1"/>
  <c r="I617" i="1"/>
  <c r="J617" i="1"/>
  <c r="K617" i="1"/>
  <c r="L617" i="1"/>
  <c r="A618" i="1"/>
  <c r="B618" i="1"/>
  <c r="C618" i="1"/>
  <c r="D618" i="1"/>
  <c r="E618" i="1"/>
  <c r="F618" i="1"/>
  <c r="G618" i="1"/>
  <c r="H618" i="1"/>
  <c r="I618" i="1"/>
  <c r="J618" i="1"/>
  <c r="K618" i="1"/>
  <c r="L618" i="1"/>
  <c r="A619" i="1"/>
  <c r="B619" i="1"/>
  <c r="C619" i="1"/>
  <c r="D619" i="1"/>
  <c r="E619" i="1"/>
  <c r="F619" i="1"/>
  <c r="G619" i="1"/>
  <c r="H619" i="1"/>
  <c r="I619" i="1"/>
  <c r="J619" i="1"/>
  <c r="K619" i="1"/>
  <c r="L619" i="1"/>
  <c r="A620" i="1"/>
  <c r="B620" i="1"/>
  <c r="C620" i="1"/>
  <c r="D620" i="1"/>
  <c r="E620" i="1"/>
  <c r="F620" i="1"/>
  <c r="G620" i="1"/>
  <c r="H620" i="1"/>
  <c r="I620" i="1"/>
  <c r="J620" i="1"/>
  <c r="K620" i="1"/>
  <c r="L620" i="1"/>
  <c r="A621" i="1"/>
  <c r="B621" i="1"/>
  <c r="C621" i="1"/>
  <c r="D621" i="1"/>
  <c r="E621" i="1"/>
  <c r="F621" i="1"/>
  <c r="G621" i="1"/>
  <c r="H621" i="1"/>
  <c r="I621" i="1"/>
  <c r="J621" i="1"/>
  <c r="K621" i="1"/>
  <c r="L621" i="1"/>
  <c r="A622" i="1"/>
  <c r="B622" i="1"/>
  <c r="C622" i="1"/>
  <c r="D622" i="1"/>
  <c r="E622" i="1"/>
  <c r="F622" i="1"/>
  <c r="G622" i="1"/>
  <c r="H622" i="1"/>
  <c r="I622" i="1"/>
  <c r="J622" i="1"/>
  <c r="K622" i="1"/>
  <c r="L622" i="1"/>
  <c r="A623" i="1"/>
  <c r="B623" i="1"/>
  <c r="C623" i="1"/>
  <c r="D623" i="1"/>
  <c r="E623" i="1"/>
  <c r="F623" i="1"/>
  <c r="G623" i="1"/>
  <c r="H623" i="1"/>
  <c r="I623" i="1"/>
  <c r="J623" i="1"/>
  <c r="K623" i="1"/>
  <c r="L623" i="1"/>
  <c r="A624" i="1"/>
  <c r="B624" i="1"/>
  <c r="C624" i="1"/>
  <c r="D624" i="1"/>
  <c r="E624" i="1"/>
  <c r="F624" i="1"/>
  <c r="G624" i="1"/>
  <c r="H624" i="1"/>
  <c r="I624" i="1"/>
  <c r="J624" i="1"/>
  <c r="K624" i="1"/>
  <c r="L624" i="1"/>
  <c r="A625" i="1"/>
  <c r="B625" i="1"/>
  <c r="C625" i="1"/>
  <c r="D625" i="1"/>
  <c r="E625" i="1"/>
  <c r="F625" i="1"/>
  <c r="G625" i="1"/>
  <c r="H625" i="1"/>
  <c r="I625" i="1"/>
  <c r="J625" i="1"/>
  <c r="K625" i="1"/>
  <c r="L625" i="1"/>
  <c r="A626" i="1"/>
  <c r="B626" i="1"/>
  <c r="C626" i="1"/>
  <c r="D626" i="1"/>
  <c r="E626" i="1"/>
  <c r="F626" i="1"/>
  <c r="G626" i="1"/>
  <c r="H626" i="1"/>
  <c r="I626" i="1"/>
  <c r="J626" i="1"/>
  <c r="K626" i="1"/>
  <c r="L626" i="1"/>
  <c r="A627" i="1"/>
  <c r="B627" i="1"/>
  <c r="C627" i="1"/>
  <c r="D627" i="1"/>
  <c r="E627" i="1"/>
  <c r="F627" i="1"/>
  <c r="G627" i="1"/>
  <c r="H627" i="1"/>
  <c r="I627" i="1"/>
  <c r="J627" i="1"/>
  <c r="K627" i="1"/>
  <c r="L627" i="1"/>
  <c r="A628" i="1"/>
  <c r="B628" i="1"/>
  <c r="C628" i="1"/>
  <c r="D628" i="1"/>
  <c r="E628" i="1"/>
  <c r="F628" i="1"/>
  <c r="G628" i="1"/>
  <c r="H628" i="1"/>
  <c r="I628" i="1"/>
  <c r="J628" i="1"/>
  <c r="K628" i="1"/>
  <c r="L628" i="1"/>
  <c r="A629" i="1"/>
  <c r="B629" i="1"/>
  <c r="C629" i="1"/>
  <c r="D629" i="1"/>
  <c r="E629" i="1"/>
  <c r="F629" i="1"/>
  <c r="G629" i="1"/>
  <c r="H629" i="1"/>
  <c r="I629" i="1"/>
  <c r="J629" i="1"/>
  <c r="K629" i="1"/>
  <c r="L629" i="1"/>
  <c r="A630" i="1"/>
  <c r="B630" i="1"/>
  <c r="C630" i="1"/>
  <c r="D630" i="1"/>
  <c r="E630" i="1"/>
  <c r="F630" i="1"/>
  <c r="G630" i="1"/>
  <c r="H630" i="1"/>
  <c r="I630" i="1"/>
  <c r="J630" i="1"/>
  <c r="K630" i="1"/>
  <c r="L630" i="1"/>
  <c r="A631" i="1"/>
  <c r="B631" i="1"/>
  <c r="C631" i="1"/>
  <c r="D631" i="1"/>
  <c r="E631" i="1"/>
  <c r="F631" i="1"/>
  <c r="G631" i="1"/>
  <c r="H631" i="1"/>
  <c r="I631" i="1"/>
  <c r="J631" i="1"/>
  <c r="K631" i="1"/>
  <c r="L631" i="1"/>
  <c r="A632" i="1"/>
  <c r="B632" i="1"/>
  <c r="C632" i="1"/>
  <c r="D632" i="1"/>
  <c r="E632" i="1"/>
  <c r="F632" i="1"/>
  <c r="G632" i="1"/>
  <c r="H632" i="1"/>
  <c r="I632" i="1"/>
  <c r="J632" i="1"/>
  <c r="K632" i="1"/>
  <c r="L632" i="1"/>
  <c r="A633" i="1"/>
  <c r="B633" i="1"/>
  <c r="C633" i="1"/>
  <c r="D633" i="1"/>
  <c r="E633" i="1"/>
  <c r="F633" i="1"/>
  <c r="G633" i="1"/>
  <c r="H633" i="1"/>
  <c r="I633" i="1"/>
  <c r="J633" i="1"/>
  <c r="K633" i="1"/>
  <c r="L633" i="1"/>
  <c r="A634" i="1"/>
  <c r="B634" i="1"/>
  <c r="C634" i="1"/>
  <c r="D634" i="1"/>
  <c r="E634" i="1"/>
  <c r="F634" i="1"/>
  <c r="G634" i="1"/>
  <c r="H634" i="1"/>
  <c r="I634" i="1"/>
  <c r="J634" i="1"/>
  <c r="K634" i="1"/>
  <c r="L634" i="1"/>
  <c r="A635" i="1"/>
  <c r="B635" i="1"/>
  <c r="C635" i="1"/>
  <c r="D635" i="1"/>
  <c r="E635" i="1"/>
  <c r="F635" i="1"/>
  <c r="G635" i="1"/>
  <c r="H635" i="1"/>
  <c r="I635" i="1"/>
  <c r="J635" i="1"/>
  <c r="K635" i="1"/>
  <c r="L635" i="1"/>
  <c r="A636" i="1"/>
  <c r="B636" i="1"/>
  <c r="C636" i="1"/>
  <c r="D636" i="1"/>
  <c r="E636" i="1"/>
  <c r="F636" i="1"/>
  <c r="G636" i="1"/>
  <c r="H636" i="1"/>
  <c r="I636" i="1"/>
  <c r="J636" i="1"/>
  <c r="K636" i="1"/>
  <c r="L636" i="1"/>
  <c r="A637" i="1"/>
  <c r="B637" i="1"/>
  <c r="C637" i="1"/>
  <c r="D637" i="1"/>
  <c r="E637" i="1"/>
  <c r="F637" i="1"/>
  <c r="G637" i="1"/>
  <c r="H637" i="1"/>
  <c r="I637" i="1"/>
  <c r="J637" i="1"/>
  <c r="K637" i="1"/>
  <c r="L637" i="1"/>
  <c r="A638" i="1"/>
  <c r="B638" i="1"/>
  <c r="C638" i="1"/>
  <c r="D638" i="1"/>
  <c r="E638" i="1"/>
  <c r="F638" i="1"/>
  <c r="G638" i="1"/>
  <c r="H638" i="1"/>
  <c r="I638" i="1"/>
  <c r="J638" i="1"/>
  <c r="K638" i="1"/>
  <c r="L638" i="1"/>
  <c r="A639" i="1"/>
  <c r="B639" i="1"/>
  <c r="C639" i="1"/>
  <c r="D639" i="1"/>
  <c r="E639" i="1"/>
  <c r="F639" i="1"/>
  <c r="G639" i="1"/>
  <c r="H639" i="1"/>
  <c r="I639" i="1"/>
  <c r="J639" i="1"/>
  <c r="K639" i="1"/>
  <c r="L639" i="1"/>
  <c r="A640" i="1"/>
  <c r="B640" i="1"/>
  <c r="C640" i="1"/>
  <c r="D640" i="1"/>
  <c r="E640" i="1"/>
  <c r="F640" i="1"/>
  <c r="G640" i="1"/>
  <c r="H640" i="1"/>
  <c r="I640" i="1"/>
  <c r="J640" i="1"/>
  <c r="K640" i="1"/>
  <c r="L640" i="1"/>
  <c r="A641" i="1"/>
  <c r="B641" i="1"/>
  <c r="C641" i="1"/>
  <c r="D641" i="1"/>
  <c r="E641" i="1"/>
  <c r="F641" i="1"/>
  <c r="G641" i="1"/>
  <c r="H641" i="1"/>
  <c r="I641" i="1"/>
  <c r="J641" i="1"/>
  <c r="K641" i="1"/>
  <c r="L641" i="1"/>
  <c r="A642" i="1"/>
  <c r="B642" i="1"/>
  <c r="C642" i="1"/>
  <c r="D642" i="1"/>
  <c r="E642" i="1"/>
  <c r="F642" i="1"/>
  <c r="G642" i="1"/>
  <c r="H642" i="1"/>
  <c r="I642" i="1"/>
  <c r="J642" i="1"/>
  <c r="K642" i="1"/>
  <c r="L642" i="1"/>
  <c r="A643" i="1"/>
  <c r="B643" i="1"/>
  <c r="C643" i="1"/>
  <c r="D643" i="1"/>
  <c r="E643" i="1"/>
  <c r="F643" i="1"/>
  <c r="G643" i="1"/>
  <c r="H643" i="1"/>
  <c r="I643" i="1"/>
  <c r="J643" i="1"/>
  <c r="K643" i="1"/>
  <c r="L643" i="1"/>
  <c r="A644" i="1"/>
  <c r="B644" i="1"/>
  <c r="C644" i="1"/>
  <c r="D644" i="1"/>
  <c r="E644" i="1"/>
  <c r="F644" i="1"/>
  <c r="G644" i="1"/>
  <c r="H644" i="1"/>
  <c r="I644" i="1"/>
  <c r="J644" i="1"/>
  <c r="K644" i="1"/>
  <c r="L644" i="1"/>
  <c r="A645" i="1"/>
  <c r="B645" i="1"/>
  <c r="C645" i="1"/>
  <c r="D645" i="1"/>
  <c r="E645" i="1"/>
  <c r="F645" i="1"/>
  <c r="G645" i="1"/>
  <c r="H645" i="1"/>
  <c r="I645" i="1"/>
  <c r="J645" i="1"/>
  <c r="K645" i="1"/>
  <c r="L645" i="1"/>
  <c r="A646" i="1"/>
  <c r="B646" i="1"/>
  <c r="C646" i="1"/>
  <c r="D646" i="1"/>
  <c r="E646" i="1"/>
  <c r="F646" i="1"/>
  <c r="G646" i="1"/>
  <c r="H646" i="1"/>
  <c r="I646" i="1"/>
  <c r="J646" i="1"/>
  <c r="K646" i="1"/>
  <c r="L646" i="1"/>
  <c r="A647" i="1"/>
  <c r="B647" i="1"/>
  <c r="C647" i="1"/>
  <c r="D647" i="1"/>
  <c r="E647" i="1"/>
  <c r="F647" i="1"/>
  <c r="G647" i="1"/>
  <c r="H647" i="1"/>
  <c r="I647" i="1"/>
  <c r="J647" i="1"/>
  <c r="K647" i="1"/>
  <c r="L647" i="1"/>
  <c r="A648" i="1"/>
  <c r="B648" i="1"/>
  <c r="C648" i="1"/>
  <c r="D648" i="1"/>
  <c r="E648" i="1"/>
  <c r="F648" i="1"/>
  <c r="G648" i="1"/>
  <c r="H648" i="1"/>
  <c r="I648" i="1"/>
  <c r="J648" i="1"/>
  <c r="K648" i="1"/>
  <c r="L648" i="1"/>
  <c r="A649" i="1"/>
  <c r="B649" i="1"/>
  <c r="C649" i="1"/>
  <c r="D649" i="1"/>
  <c r="E649" i="1"/>
  <c r="F649" i="1"/>
  <c r="G649" i="1"/>
  <c r="H649" i="1"/>
  <c r="I649" i="1"/>
  <c r="J649" i="1"/>
  <c r="K649" i="1"/>
  <c r="L649" i="1"/>
  <c r="A650" i="1"/>
  <c r="B650" i="1"/>
  <c r="C650" i="1"/>
  <c r="D650" i="1"/>
  <c r="E650" i="1"/>
  <c r="F650" i="1"/>
  <c r="G650" i="1"/>
  <c r="H650" i="1"/>
  <c r="I650" i="1"/>
  <c r="J650" i="1"/>
  <c r="K650" i="1"/>
  <c r="L650" i="1"/>
  <c r="A651" i="1"/>
  <c r="B651" i="1"/>
  <c r="C651" i="1"/>
  <c r="D651" i="1"/>
  <c r="E651" i="1"/>
  <c r="F651" i="1"/>
  <c r="G651" i="1"/>
  <c r="H651" i="1"/>
  <c r="I651" i="1"/>
  <c r="J651" i="1"/>
  <c r="K651" i="1"/>
  <c r="L651" i="1"/>
  <c r="A652" i="1"/>
  <c r="B652" i="1"/>
  <c r="C652" i="1"/>
  <c r="D652" i="1"/>
  <c r="E652" i="1"/>
  <c r="F652" i="1"/>
  <c r="G652" i="1"/>
  <c r="H652" i="1"/>
  <c r="I652" i="1"/>
  <c r="J652" i="1"/>
  <c r="K652" i="1"/>
  <c r="L652" i="1"/>
  <c r="A653" i="1"/>
  <c r="B653" i="1"/>
  <c r="C653" i="1"/>
  <c r="D653" i="1"/>
  <c r="E653" i="1"/>
  <c r="F653" i="1"/>
  <c r="G653" i="1"/>
  <c r="H653" i="1"/>
  <c r="I653" i="1"/>
  <c r="J653" i="1"/>
  <c r="K653" i="1"/>
  <c r="L653" i="1"/>
  <c r="A654" i="1"/>
  <c r="B654" i="1"/>
  <c r="C654" i="1"/>
  <c r="D654" i="1"/>
  <c r="E654" i="1"/>
  <c r="F654" i="1"/>
  <c r="G654" i="1"/>
  <c r="H654" i="1"/>
  <c r="I654" i="1"/>
  <c r="J654" i="1"/>
  <c r="K654" i="1"/>
  <c r="L654" i="1"/>
  <c r="A655" i="1"/>
  <c r="B655" i="1"/>
  <c r="C655" i="1"/>
  <c r="D655" i="1"/>
  <c r="E655" i="1"/>
  <c r="F655" i="1"/>
  <c r="G655" i="1"/>
  <c r="H655" i="1"/>
  <c r="I655" i="1"/>
  <c r="J655" i="1"/>
  <c r="K655" i="1"/>
  <c r="L655" i="1"/>
  <c r="A656" i="1"/>
  <c r="B656" i="1"/>
  <c r="C656" i="1"/>
  <c r="D656" i="1"/>
  <c r="E656" i="1"/>
  <c r="F656" i="1"/>
  <c r="G656" i="1"/>
  <c r="H656" i="1"/>
  <c r="I656" i="1"/>
  <c r="J656" i="1"/>
  <c r="K656" i="1"/>
  <c r="L656" i="1"/>
  <c r="A657" i="1"/>
  <c r="B657" i="1"/>
  <c r="C657" i="1"/>
  <c r="D657" i="1"/>
  <c r="E657" i="1"/>
  <c r="F657" i="1"/>
  <c r="G657" i="1"/>
  <c r="H657" i="1"/>
  <c r="I657" i="1"/>
  <c r="J657" i="1"/>
  <c r="K657" i="1"/>
  <c r="L657" i="1"/>
  <c r="A658" i="1"/>
  <c r="B658" i="1"/>
  <c r="C658" i="1"/>
  <c r="D658" i="1"/>
  <c r="E658" i="1"/>
  <c r="F658" i="1"/>
  <c r="G658" i="1"/>
  <c r="H658" i="1"/>
  <c r="I658" i="1"/>
  <c r="J658" i="1"/>
  <c r="K658" i="1"/>
  <c r="L658" i="1"/>
  <c r="A659" i="1"/>
  <c r="B659" i="1"/>
  <c r="C659" i="1"/>
  <c r="D659" i="1"/>
  <c r="E659" i="1"/>
  <c r="F659" i="1"/>
  <c r="G659" i="1"/>
  <c r="H659" i="1"/>
  <c r="I659" i="1"/>
  <c r="J659" i="1"/>
  <c r="K659" i="1"/>
  <c r="L659" i="1"/>
  <c r="A660" i="1"/>
  <c r="B660" i="1"/>
  <c r="C660" i="1"/>
  <c r="D660" i="1"/>
  <c r="E660" i="1"/>
  <c r="F660" i="1"/>
  <c r="G660" i="1"/>
  <c r="H660" i="1"/>
  <c r="I660" i="1"/>
  <c r="J660" i="1"/>
  <c r="K660" i="1"/>
  <c r="L660" i="1"/>
  <c r="A661" i="1"/>
  <c r="B661" i="1"/>
  <c r="C661" i="1"/>
  <c r="D661" i="1"/>
  <c r="E661" i="1"/>
  <c r="F661" i="1"/>
  <c r="G661" i="1"/>
  <c r="H661" i="1"/>
  <c r="I661" i="1"/>
  <c r="J661" i="1"/>
  <c r="K661" i="1"/>
  <c r="L661" i="1"/>
  <c r="A662" i="1"/>
  <c r="B662" i="1"/>
  <c r="C662" i="1"/>
  <c r="D662" i="1"/>
  <c r="E662" i="1"/>
  <c r="F662" i="1"/>
  <c r="G662" i="1"/>
  <c r="H662" i="1"/>
  <c r="I662" i="1"/>
  <c r="J662" i="1"/>
  <c r="K662" i="1"/>
  <c r="L662" i="1"/>
  <c r="A663" i="1"/>
  <c r="B663" i="1"/>
  <c r="C663" i="1"/>
  <c r="D663" i="1"/>
  <c r="E663" i="1"/>
  <c r="F663" i="1"/>
  <c r="G663" i="1"/>
  <c r="H663" i="1"/>
  <c r="I663" i="1"/>
  <c r="J663" i="1"/>
  <c r="K663" i="1"/>
  <c r="L663" i="1"/>
  <c r="A664" i="1"/>
  <c r="B664" i="1"/>
  <c r="C664" i="1"/>
  <c r="D664" i="1"/>
  <c r="E664" i="1"/>
  <c r="F664" i="1"/>
  <c r="G664" i="1"/>
  <c r="H664" i="1"/>
  <c r="I664" i="1"/>
  <c r="J664" i="1"/>
  <c r="K664" i="1"/>
  <c r="L664" i="1"/>
  <c r="A665" i="1"/>
  <c r="B665" i="1"/>
  <c r="C665" i="1"/>
  <c r="D665" i="1"/>
  <c r="E665" i="1"/>
  <c r="F665" i="1"/>
  <c r="G665" i="1"/>
  <c r="H665" i="1"/>
  <c r="I665" i="1"/>
  <c r="J665" i="1"/>
  <c r="K665" i="1"/>
  <c r="L665" i="1"/>
  <c r="A666" i="1"/>
  <c r="B666" i="1"/>
  <c r="C666" i="1"/>
  <c r="D666" i="1"/>
  <c r="E666" i="1"/>
  <c r="F666" i="1"/>
  <c r="G666" i="1"/>
  <c r="H666" i="1"/>
  <c r="I666" i="1"/>
  <c r="J666" i="1"/>
  <c r="K666" i="1"/>
  <c r="L666" i="1"/>
  <c r="A667" i="1"/>
  <c r="B667" i="1"/>
  <c r="C667" i="1"/>
  <c r="D667" i="1"/>
  <c r="E667" i="1"/>
  <c r="F667" i="1"/>
  <c r="G667" i="1"/>
  <c r="H667" i="1"/>
  <c r="I667" i="1"/>
  <c r="J667" i="1"/>
  <c r="K667" i="1"/>
  <c r="L667" i="1"/>
  <c r="A668" i="1"/>
  <c r="B668" i="1"/>
  <c r="C668" i="1"/>
  <c r="D668" i="1"/>
  <c r="E668" i="1"/>
  <c r="F668" i="1"/>
  <c r="G668" i="1"/>
  <c r="H668" i="1"/>
  <c r="I668" i="1"/>
  <c r="J668" i="1"/>
  <c r="K668" i="1"/>
  <c r="L668" i="1"/>
  <c r="A669" i="1"/>
  <c r="B669" i="1"/>
  <c r="C669" i="1"/>
  <c r="D669" i="1"/>
  <c r="E669" i="1"/>
  <c r="F669" i="1"/>
  <c r="G669" i="1"/>
  <c r="H669" i="1"/>
  <c r="I669" i="1"/>
  <c r="J669" i="1"/>
  <c r="K669" i="1"/>
  <c r="L669" i="1"/>
  <c r="A670" i="1"/>
  <c r="B670" i="1"/>
  <c r="C670" i="1"/>
  <c r="D670" i="1"/>
  <c r="E670" i="1"/>
  <c r="F670" i="1"/>
  <c r="G670" i="1"/>
  <c r="H670" i="1"/>
  <c r="I670" i="1"/>
  <c r="J670" i="1"/>
  <c r="K670" i="1"/>
  <c r="L670" i="1"/>
  <c r="A671" i="1"/>
  <c r="B671" i="1"/>
  <c r="C671" i="1"/>
  <c r="D671" i="1"/>
  <c r="E671" i="1"/>
  <c r="F671" i="1"/>
  <c r="G671" i="1"/>
  <c r="H671" i="1"/>
  <c r="I671" i="1"/>
  <c r="J671" i="1"/>
  <c r="K671" i="1"/>
  <c r="L671" i="1"/>
  <c r="A672" i="1"/>
  <c r="B672" i="1"/>
  <c r="C672" i="1"/>
  <c r="D672" i="1"/>
  <c r="E672" i="1"/>
  <c r="F672" i="1"/>
  <c r="G672" i="1"/>
  <c r="H672" i="1"/>
  <c r="I672" i="1"/>
  <c r="J672" i="1"/>
  <c r="K672" i="1"/>
  <c r="L672" i="1"/>
  <c r="A673" i="1"/>
  <c r="B673" i="1"/>
  <c r="C673" i="1"/>
  <c r="D673" i="1"/>
  <c r="E673" i="1"/>
  <c r="F673" i="1"/>
  <c r="G673" i="1"/>
  <c r="H673" i="1"/>
  <c r="I673" i="1"/>
  <c r="J673" i="1"/>
  <c r="K673" i="1"/>
  <c r="L673" i="1"/>
  <c r="A674" i="1"/>
  <c r="B674" i="1"/>
  <c r="C674" i="1"/>
  <c r="D674" i="1"/>
  <c r="E674" i="1"/>
  <c r="F674" i="1"/>
  <c r="G674" i="1"/>
  <c r="H674" i="1"/>
  <c r="I674" i="1"/>
  <c r="J674" i="1"/>
  <c r="K674" i="1"/>
  <c r="L674" i="1"/>
  <c r="A675" i="1"/>
  <c r="B675" i="1"/>
  <c r="C675" i="1"/>
  <c r="D675" i="1"/>
  <c r="E675" i="1"/>
  <c r="F675" i="1"/>
  <c r="G675" i="1"/>
  <c r="H675" i="1"/>
  <c r="I675" i="1"/>
  <c r="J675" i="1"/>
  <c r="K675" i="1"/>
  <c r="L675" i="1"/>
  <c r="A676" i="1"/>
  <c r="B676" i="1"/>
  <c r="C676" i="1"/>
  <c r="D676" i="1"/>
  <c r="E676" i="1"/>
  <c r="F676" i="1"/>
  <c r="G676" i="1"/>
  <c r="H676" i="1"/>
  <c r="I676" i="1"/>
  <c r="J676" i="1"/>
  <c r="K676" i="1"/>
  <c r="L676" i="1"/>
  <c r="A677" i="1"/>
  <c r="B677" i="1"/>
  <c r="C677" i="1"/>
  <c r="D677" i="1"/>
  <c r="E677" i="1"/>
  <c r="F677" i="1"/>
  <c r="G677" i="1"/>
  <c r="H677" i="1"/>
  <c r="I677" i="1"/>
  <c r="J677" i="1"/>
  <c r="K677" i="1"/>
  <c r="L677" i="1"/>
  <c r="A678" i="1"/>
  <c r="B678" i="1"/>
  <c r="C678" i="1"/>
  <c r="D678" i="1"/>
  <c r="E678" i="1"/>
  <c r="F678" i="1"/>
  <c r="G678" i="1"/>
  <c r="H678" i="1"/>
  <c r="I678" i="1"/>
  <c r="J678" i="1"/>
  <c r="K678" i="1"/>
  <c r="L678" i="1"/>
  <c r="A679" i="1"/>
  <c r="B679" i="1"/>
  <c r="C679" i="1"/>
  <c r="D679" i="1"/>
  <c r="E679" i="1"/>
  <c r="F679" i="1"/>
  <c r="G679" i="1"/>
  <c r="H679" i="1"/>
  <c r="I679" i="1"/>
  <c r="J679" i="1"/>
  <c r="K679" i="1"/>
  <c r="L679" i="1"/>
  <c r="A680" i="1"/>
  <c r="B680" i="1"/>
  <c r="C680" i="1"/>
  <c r="D680" i="1"/>
  <c r="E680" i="1"/>
  <c r="F680" i="1"/>
  <c r="G680" i="1"/>
  <c r="H680" i="1"/>
  <c r="I680" i="1"/>
  <c r="J680" i="1"/>
  <c r="K680" i="1"/>
  <c r="L680" i="1"/>
  <c r="A681" i="1"/>
  <c r="B681" i="1"/>
  <c r="C681" i="1"/>
  <c r="D681" i="1"/>
  <c r="E681" i="1"/>
  <c r="F681" i="1"/>
  <c r="G681" i="1"/>
  <c r="H681" i="1"/>
  <c r="I681" i="1"/>
  <c r="J681" i="1"/>
  <c r="K681" i="1"/>
  <c r="L681" i="1"/>
  <c r="A682" i="1"/>
  <c r="B682" i="1"/>
  <c r="C682" i="1"/>
  <c r="D682" i="1"/>
  <c r="E682" i="1"/>
  <c r="F682" i="1"/>
  <c r="G682" i="1"/>
  <c r="H682" i="1"/>
  <c r="I682" i="1"/>
  <c r="J682" i="1"/>
  <c r="K682" i="1"/>
  <c r="L682" i="1"/>
  <c r="A683" i="1"/>
  <c r="B683" i="1"/>
  <c r="C683" i="1"/>
  <c r="D683" i="1"/>
  <c r="E683" i="1"/>
  <c r="F683" i="1"/>
  <c r="G683" i="1"/>
  <c r="H683" i="1"/>
  <c r="I683" i="1"/>
  <c r="J683" i="1"/>
  <c r="K683" i="1"/>
  <c r="L683" i="1"/>
  <c r="A684" i="1"/>
  <c r="B684" i="1"/>
  <c r="C684" i="1"/>
  <c r="D684" i="1"/>
  <c r="E684" i="1"/>
  <c r="F684" i="1"/>
  <c r="G684" i="1"/>
  <c r="H684" i="1"/>
  <c r="I684" i="1"/>
  <c r="J684" i="1"/>
  <c r="K684" i="1"/>
  <c r="L684" i="1"/>
  <c r="A685" i="1"/>
  <c r="B685" i="1"/>
  <c r="C685" i="1"/>
  <c r="D685" i="1"/>
  <c r="E685" i="1"/>
  <c r="F685" i="1"/>
  <c r="G685" i="1"/>
  <c r="H685" i="1"/>
  <c r="I685" i="1"/>
  <c r="J685" i="1"/>
  <c r="K685" i="1"/>
  <c r="L685" i="1"/>
  <c r="A686" i="1"/>
  <c r="B686" i="1"/>
  <c r="C686" i="1"/>
  <c r="D686" i="1"/>
  <c r="E686" i="1"/>
  <c r="F686" i="1"/>
  <c r="G686" i="1"/>
  <c r="H686" i="1"/>
  <c r="I686" i="1"/>
  <c r="J686" i="1"/>
  <c r="K686" i="1"/>
  <c r="L686" i="1"/>
  <c r="A687" i="1"/>
  <c r="B687" i="1"/>
  <c r="C687" i="1"/>
  <c r="D687" i="1"/>
  <c r="E687" i="1"/>
  <c r="F687" i="1"/>
  <c r="G687" i="1"/>
  <c r="H687" i="1"/>
  <c r="I687" i="1"/>
  <c r="J687" i="1"/>
  <c r="K687" i="1"/>
  <c r="L687" i="1"/>
  <c r="A688" i="1"/>
  <c r="B688" i="1"/>
  <c r="C688" i="1"/>
  <c r="D688" i="1"/>
  <c r="E688" i="1"/>
  <c r="F688" i="1"/>
  <c r="G688" i="1"/>
  <c r="H688" i="1"/>
  <c r="I688" i="1"/>
  <c r="J688" i="1"/>
  <c r="K688" i="1"/>
  <c r="L688" i="1"/>
  <c r="A689" i="1"/>
  <c r="B689" i="1"/>
  <c r="C689" i="1"/>
  <c r="D689" i="1"/>
  <c r="E689" i="1"/>
  <c r="F689" i="1"/>
  <c r="G689" i="1"/>
  <c r="H689" i="1"/>
  <c r="I689" i="1"/>
  <c r="J689" i="1"/>
  <c r="K689" i="1"/>
  <c r="L689" i="1"/>
  <c r="A690" i="1"/>
  <c r="B690" i="1"/>
  <c r="C690" i="1"/>
  <c r="D690" i="1"/>
  <c r="E690" i="1"/>
  <c r="F690" i="1"/>
  <c r="G690" i="1"/>
  <c r="H690" i="1"/>
  <c r="I690" i="1"/>
  <c r="J690" i="1"/>
  <c r="K690" i="1"/>
  <c r="L690" i="1"/>
  <c r="A691" i="1"/>
  <c r="B691" i="1"/>
  <c r="C691" i="1"/>
  <c r="D691" i="1"/>
  <c r="E691" i="1"/>
  <c r="F691" i="1"/>
  <c r="G691" i="1"/>
  <c r="H691" i="1"/>
  <c r="I691" i="1"/>
  <c r="J691" i="1"/>
  <c r="K691" i="1"/>
  <c r="L691" i="1"/>
  <c r="A692" i="1"/>
  <c r="B692" i="1"/>
  <c r="C692" i="1"/>
  <c r="D692" i="1"/>
  <c r="E692" i="1"/>
  <c r="F692" i="1"/>
  <c r="G692" i="1"/>
  <c r="H692" i="1"/>
  <c r="I692" i="1"/>
  <c r="J692" i="1"/>
  <c r="K692" i="1"/>
  <c r="L692" i="1"/>
  <c r="A693" i="1"/>
  <c r="B693" i="1"/>
  <c r="C693" i="1"/>
  <c r="D693" i="1"/>
  <c r="E693" i="1"/>
  <c r="F693" i="1"/>
  <c r="G693" i="1"/>
  <c r="H693" i="1"/>
  <c r="I693" i="1"/>
  <c r="J693" i="1"/>
  <c r="K693" i="1"/>
  <c r="L693" i="1"/>
  <c r="A694" i="1"/>
  <c r="B694" i="1"/>
  <c r="C694" i="1"/>
  <c r="D694" i="1"/>
  <c r="E694" i="1"/>
  <c r="F694" i="1"/>
  <c r="G694" i="1"/>
  <c r="H694" i="1"/>
  <c r="I694" i="1"/>
  <c r="J694" i="1"/>
  <c r="K694" i="1"/>
  <c r="L694" i="1"/>
  <c r="A695" i="1"/>
  <c r="B695" i="1"/>
  <c r="C695" i="1"/>
  <c r="D695" i="1"/>
  <c r="E695" i="1"/>
  <c r="F695" i="1"/>
  <c r="G695" i="1"/>
  <c r="H695" i="1"/>
  <c r="I695" i="1"/>
  <c r="J695" i="1"/>
  <c r="K695" i="1"/>
  <c r="L695" i="1"/>
  <c r="A696" i="1"/>
  <c r="B696" i="1"/>
  <c r="C696" i="1"/>
  <c r="D696" i="1"/>
  <c r="E696" i="1"/>
  <c r="F696" i="1"/>
  <c r="G696" i="1"/>
  <c r="H696" i="1"/>
  <c r="I696" i="1"/>
  <c r="J696" i="1"/>
  <c r="K696" i="1"/>
  <c r="L696" i="1"/>
  <c r="A697" i="1"/>
  <c r="B697" i="1"/>
  <c r="C697" i="1"/>
  <c r="D697" i="1"/>
  <c r="E697" i="1"/>
  <c r="F697" i="1"/>
  <c r="G697" i="1"/>
  <c r="H697" i="1"/>
  <c r="I697" i="1"/>
  <c r="J697" i="1"/>
  <c r="K697" i="1"/>
  <c r="L697" i="1"/>
  <c r="A698" i="1"/>
  <c r="B698" i="1"/>
  <c r="C698" i="1"/>
  <c r="D698" i="1"/>
  <c r="E698" i="1"/>
  <c r="F698" i="1"/>
  <c r="G698" i="1"/>
  <c r="H698" i="1"/>
  <c r="I698" i="1"/>
  <c r="J698" i="1"/>
  <c r="K698" i="1"/>
  <c r="L698" i="1"/>
  <c r="A699" i="1"/>
  <c r="B699" i="1"/>
  <c r="C699" i="1"/>
  <c r="D699" i="1"/>
  <c r="E699" i="1"/>
  <c r="F699" i="1"/>
  <c r="G699" i="1"/>
  <c r="H699" i="1"/>
  <c r="I699" i="1"/>
  <c r="J699" i="1"/>
  <c r="K699" i="1"/>
  <c r="L699" i="1"/>
  <c r="A700" i="1"/>
  <c r="B700" i="1"/>
  <c r="C700" i="1"/>
  <c r="D700" i="1"/>
  <c r="E700" i="1"/>
  <c r="F700" i="1"/>
  <c r="G700" i="1"/>
  <c r="H700" i="1"/>
  <c r="I700" i="1"/>
  <c r="J700" i="1"/>
  <c r="K700" i="1"/>
  <c r="L700" i="1"/>
  <c r="A701" i="1"/>
  <c r="B701" i="1"/>
  <c r="C701" i="1"/>
  <c r="D701" i="1"/>
  <c r="E701" i="1"/>
  <c r="F701" i="1"/>
  <c r="G701" i="1"/>
  <c r="H701" i="1"/>
  <c r="I701" i="1"/>
  <c r="J701" i="1"/>
  <c r="K701" i="1"/>
  <c r="L701" i="1"/>
  <c r="A702" i="1"/>
  <c r="B702" i="1"/>
  <c r="C702" i="1"/>
  <c r="D702" i="1"/>
  <c r="E702" i="1"/>
  <c r="F702" i="1"/>
  <c r="G702" i="1"/>
  <c r="H702" i="1"/>
  <c r="I702" i="1"/>
  <c r="J702" i="1"/>
  <c r="K702" i="1"/>
  <c r="L702" i="1"/>
  <c r="A703" i="1"/>
  <c r="B703" i="1"/>
  <c r="C703" i="1"/>
  <c r="D703" i="1"/>
  <c r="E703" i="1"/>
  <c r="F703" i="1"/>
  <c r="G703" i="1"/>
  <c r="H703" i="1"/>
  <c r="I703" i="1"/>
  <c r="J703" i="1"/>
  <c r="K703" i="1"/>
  <c r="L703" i="1"/>
  <c r="A704" i="1"/>
  <c r="B704" i="1"/>
  <c r="C704" i="1"/>
  <c r="D704" i="1"/>
  <c r="E704" i="1"/>
  <c r="F704" i="1"/>
  <c r="G704" i="1"/>
  <c r="H704" i="1"/>
  <c r="I704" i="1"/>
  <c r="J704" i="1"/>
  <c r="K704" i="1"/>
  <c r="L704" i="1"/>
  <c r="A705" i="1"/>
  <c r="B705" i="1"/>
  <c r="C705" i="1"/>
  <c r="D705" i="1"/>
  <c r="E705" i="1"/>
  <c r="F705" i="1"/>
  <c r="G705" i="1"/>
  <c r="H705" i="1"/>
  <c r="I705" i="1"/>
  <c r="J705" i="1"/>
  <c r="K705" i="1"/>
  <c r="L705" i="1"/>
  <c r="A706" i="1"/>
  <c r="B706" i="1"/>
  <c r="C706" i="1"/>
  <c r="D706" i="1"/>
  <c r="E706" i="1"/>
  <c r="F706" i="1"/>
  <c r="G706" i="1"/>
  <c r="H706" i="1"/>
  <c r="I706" i="1"/>
  <c r="J706" i="1"/>
  <c r="K706" i="1"/>
  <c r="L706" i="1"/>
  <c r="A707" i="1"/>
  <c r="B707" i="1"/>
  <c r="C707" i="1"/>
  <c r="D707" i="1"/>
  <c r="E707" i="1"/>
  <c r="F707" i="1"/>
  <c r="G707" i="1"/>
  <c r="H707" i="1"/>
  <c r="I707" i="1"/>
  <c r="J707" i="1"/>
  <c r="K707" i="1"/>
  <c r="L707" i="1"/>
  <c r="A708" i="1"/>
  <c r="B708" i="1"/>
  <c r="C708" i="1"/>
  <c r="D708" i="1"/>
  <c r="E708" i="1"/>
  <c r="F708" i="1"/>
  <c r="G708" i="1"/>
  <c r="H708" i="1"/>
  <c r="I708" i="1"/>
  <c r="J708" i="1"/>
  <c r="K708" i="1"/>
  <c r="L708" i="1"/>
  <c r="A709" i="1"/>
  <c r="B709" i="1"/>
  <c r="C709" i="1"/>
  <c r="D709" i="1"/>
  <c r="E709" i="1"/>
  <c r="F709" i="1"/>
  <c r="G709" i="1"/>
  <c r="H709" i="1"/>
  <c r="I709" i="1"/>
  <c r="J709" i="1"/>
  <c r="K709" i="1"/>
  <c r="L709" i="1"/>
  <c r="A710" i="1"/>
  <c r="B710" i="1"/>
  <c r="C710" i="1"/>
  <c r="D710" i="1"/>
  <c r="E710" i="1"/>
  <c r="F710" i="1"/>
  <c r="G710" i="1"/>
  <c r="H710" i="1"/>
  <c r="I710" i="1"/>
  <c r="J710" i="1"/>
  <c r="K710" i="1"/>
  <c r="L710" i="1"/>
  <c r="A711" i="1"/>
  <c r="B711" i="1"/>
  <c r="C711" i="1"/>
  <c r="D711" i="1"/>
  <c r="E711" i="1"/>
  <c r="F711" i="1"/>
  <c r="G711" i="1"/>
  <c r="H711" i="1"/>
  <c r="I711" i="1"/>
  <c r="J711" i="1"/>
  <c r="K711" i="1"/>
  <c r="L711" i="1"/>
  <c r="A712" i="1"/>
  <c r="B712" i="1"/>
  <c r="C712" i="1"/>
  <c r="D712" i="1"/>
  <c r="E712" i="1"/>
  <c r="F712" i="1"/>
  <c r="G712" i="1"/>
  <c r="H712" i="1"/>
  <c r="I712" i="1"/>
  <c r="J712" i="1"/>
  <c r="K712" i="1"/>
  <c r="L712" i="1"/>
  <c r="A713" i="1"/>
  <c r="B713" i="1"/>
  <c r="C713" i="1"/>
  <c r="D713" i="1"/>
  <c r="E713" i="1"/>
  <c r="F713" i="1"/>
  <c r="G713" i="1"/>
  <c r="H713" i="1"/>
  <c r="I713" i="1"/>
  <c r="J713" i="1"/>
  <c r="K713" i="1"/>
  <c r="L713" i="1"/>
  <c r="A714" i="1"/>
  <c r="B714" i="1"/>
  <c r="C714" i="1"/>
  <c r="D714" i="1"/>
  <c r="E714" i="1"/>
  <c r="F714" i="1"/>
  <c r="G714" i="1"/>
  <c r="H714" i="1"/>
  <c r="I714" i="1"/>
  <c r="J714" i="1"/>
  <c r="K714" i="1"/>
  <c r="L714" i="1"/>
  <c r="A715" i="1"/>
  <c r="B715" i="1"/>
  <c r="C715" i="1"/>
  <c r="D715" i="1"/>
  <c r="E715" i="1"/>
  <c r="F715" i="1"/>
  <c r="G715" i="1"/>
  <c r="H715" i="1"/>
  <c r="I715" i="1"/>
  <c r="J715" i="1"/>
  <c r="K715" i="1"/>
  <c r="L715" i="1"/>
  <c r="A716" i="1"/>
  <c r="B716" i="1"/>
  <c r="C716" i="1"/>
  <c r="D716" i="1"/>
  <c r="E716" i="1"/>
  <c r="F716" i="1"/>
  <c r="G716" i="1"/>
  <c r="H716" i="1"/>
  <c r="I716" i="1"/>
  <c r="J716" i="1"/>
  <c r="K716" i="1"/>
  <c r="L716" i="1"/>
  <c r="A717" i="1"/>
  <c r="B717" i="1"/>
  <c r="C717" i="1"/>
  <c r="D717" i="1"/>
  <c r="E717" i="1"/>
  <c r="F717" i="1"/>
  <c r="G717" i="1"/>
  <c r="H717" i="1"/>
  <c r="I717" i="1"/>
  <c r="J717" i="1"/>
  <c r="K717" i="1"/>
  <c r="L717" i="1"/>
  <c r="A718" i="1"/>
  <c r="B718" i="1"/>
  <c r="C718" i="1"/>
  <c r="D718" i="1"/>
  <c r="E718" i="1"/>
  <c r="F718" i="1"/>
  <c r="G718" i="1"/>
  <c r="H718" i="1"/>
  <c r="I718" i="1"/>
  <c r="J718" i="1"/>
  <c r="K718" i="1"/>
  <c r="L718" i="1"/>
  <c r="A719" i="1"/>
  <c r="B719" i="1"/>
  <c r="C719" i="1"/>
  <c r="D719" i="1"/>
  <c r="E719" i="1"/>
  <c r="F719" i="1"/>
  <c r="G719" i="1"/>
  <c r="H719" i="1"/>
  <c r="I719" i="1"/>
  <c r="J719" i="1"/>
  <c r="K719" i="1"/>
  <c r="L719" i="1"/>
  <c r="A720" i="1"/>
  <c r="B720" i="1"/>
  <c r="C720" i="1"/>
  <c r="D720" i="1"/>
  <c r="E720" i="1"/>
  <c r="F720" i="1"/>
  <c r="G720" i="1"/>
  <c r="H720" i="1"/>
  <c r="I720" i="1"/>
  <c r="J720" i="1"/>
  <c r="K720" i="1"/>
  <c r="L720" i="1"/>
  <c r="A721" i="1"/>
  <c r="B721" i="1"/>
  <c r="C721" i="1"/>
  <c r="D721" i="1"/>
  <c r="E721" i="1"/>
  <c r="F721" i="1"/>
  <c r="G721" i="1"/>
  <c r="H721" i="1"/>
  <c r="I721" i="1"/>
  <c r="J721" i="1"/>
  <c r="K721" i="1"/>
  <c r="L721" i="1"/>
  <c r="A722" i="1"/>
  <c r="B722" i="1"/>
  <c r="C722" i="1"/>
  <c r="D722" i="1"/>
  <c r="E722" i="1"/>
  <c r="F722" i="1"/>
  <c r="G722" i="1"/>
  <c r="H722" i="1"/>
  <c r="I722" i="1"/>
  <c r="J722" i="1"/>
  <c r="K722" i="1"/>
  <c r="L722" i="1"/>
  <c r="A723" i="1"/>
  <c r="B723" i="1"/>
  <c r="C723" i="1"/>
  <c r="D723" i="1"/>
  <c r="E723" i="1"/>
  <c r="F723" i="1"/>
  <c r="G723" i="1"/>
  <c r="H723" i="1"/>
  <c r="I723" i="1"/>
  <c r="J723" i="1"/>
  <c r="K723" i="1"/>
  <c r="L723" i="1"/>
  <c r="A724" i="1"/>
  <c r="B724" i="1"/>
  <c r="C724" i="1"/>
  <c r="D724" i="1"/>
  <c r="E724" i="1"/>
  <c r="F724" i="1"/>
  <c r="G724" i="1"/>
  <c r="H724" i="1"/>
  <c r="I724" i="1"/>
  <c r="J724" i="1"/>
  <c r="K724" i="1"/>
  <c r="L724" i="1"/>
  <c r="A725" i="1"/>
  <c r="B725" i="1"/>
  <c r="C725" i="1"/>
  <c r="D725" i="1"/>
  <c r="E725" i="1"/>
  <c r="F725" i="1"/>
  <c r="G725" i="1"/>
  <c r="H725" i="1"/>
  <c r="I725" i="1"/>
  <c r="J725" i="1"/>
  <c r="K725" i="1"/>
  <c r="L725" i="1"/>
  <c r="A726" i="1"/>
  <c r="B726" i="1"/>
  <c r="C726" i="1"/>
  <c r="D726" i="1"/>
  <c r="E726" i="1"/>
  <c r="F726" i="1"/>
  <c r="G726" i="1"/>
  <c r="H726" i="1"/>
  <c r="I726" i="1"/>
  <c r="J726" i="1"/>
  <c r="K726" i="1"/>
  <c r="L726" i="1"/>
  <c r="A727" i="1"/>
  <c r="B727" i="1"/>
  <c r="C727" i="1"/>
  <c r="D727" i="1"/>
  <c r="E727" i="1"/>
  <c r="F727" i="1"/>
  <c r="G727" i="1"/>
  <c r="H727" i="1"/>
  <c r="I727" i="1"/>
  <c r="J727" i="1"/>
  <c r="K727" i="1"/>
  <c r="L727" i="1"/>
  <c r="A728" i="1"/>
  <c r="B728" i="1"/>
  <c r="C728" i="1"/>
  <c r="D728" i="1"/>
  <c r="E728" i="1"/>
  <c r="F728" i="1"/>
  <c r="G728" i="1"/>
  <c r="H728" i="1"/>
  <c r="I728" i="1"/>
  <c r="J728" i="1"/>
  <c r="K728" i="1"/>
  <c r="L728" i="1"/>
  <c r="A729" i="1"/>
  <c r="B729" i="1"/>
  <c r="C729" i="1"/>
  <c r="D729" i="1"/>
  <c r="E729" i="1"/>
  <c r="F729" i="1"/>
  <c r="G729" i="1"/>
  <c r="H729" i="1"/>
  <c r="I729" i="1"/>
  <c r="J729" i="1"/>
  <c r="K729" i="1"/>
  <c r="L729" i="1"/>
  <c r="A730" i="1"/>
  <c r="B730" i="1"/>
  <c r="C730" i="1"/>
  <c r="D730" i="1"/>
  <c r="E730" i="1"/>
  <c r="F730" i="1"/>
  <c r="G730" i="1"/>
  <c r="H730" i="1"/>
  <c r="I730" i="1"/>
  <c r="J730" i="1"/>
  <c r="K730" i="1"/>
  <c r="L730" i="1"/>
  <c r="A731" i="1"/>
  <c r="B731" i="1"/>
  <c r="C731" i="1"/>
  <c r="D731" i="1"/>
  <c r="E731" i="1"/>
  <c r="F731" i="1"/>
  <c r="G731" i="1"/>
  <c r="H731" i="1"/>
  <c r="I731" i="1"/>
  <c r="J731" i="1"/>
  <c r="K731" i="1"/>
  <c r="L731" i="1"/>
  <c r="A732" i="1"/>
  <c r="B732" i="1"/>
  <c r="C732" i="1"/>
  <c r="D732" i="1"/>
  <c r="E732" i="1"/>
  <c r="F732" i="1"/>
  <c r="G732" i="1"/>
  <c r="H732" i="1"/>
  <c r="I732" i="1"/>
  <c r="J732" i="1"/>
  <c r="K732" i="1"/>
  <c r="L732" i="1"/>
  <c r="A733" i="1"/>
  <c r="B733" i="1"/>
  <c r="C733" i="1"/>
  <c r="D733" i="1"/>
  <c r="E733" i="1"/>
  <c r="F733" i="1"/>
  <c r="G733" i="1"/>
  <c r="H733" i="1"/>
  <c r="I733" i="1"/>
  <c r="J733" i="1"/>
  <c r="K733" i="1"/>
  <c r="L733" i="1"/>
  <c r="A734" i="1"/>
  <c r="B734" i="1"/>
  <c r="C734" i="1"/>
  <c r="D734" i="1"/>
  <c r="E734" i="1"/>
  <c r="F734" i="1"/>
  <c r="G734" i="1"/>
  <c r="H734" i="1"/>
  <c r="I734" i="1"/>
  <c r="J734" i="1"/>
  <c r="K734" i="1"/>
  <c r="L734" i="1"/>
  <c r="A735" i="1"/>
  <c r="B735" i="1"/>
  <c r="C735" i="1"/>
  <c r="D735" i="1"/>
  <c r="E735" i="1"/>
  <c r="F735" i="1"/>
  <c r="G735" i="1"/>
  <c r="H735" i="1"/>
  <c r="I735" i="1"/>
  <c r="J735" i="1"/>
  <c r="K735" i="1"/>
  <c r="L735" i="1"/>
  <c r="A736" i="1"/>
  <c r="B736" i="1"/>
  <c r="C736" i="1"/>
  <c r="D736" i="1"/>
  <c r="E736" i="1"/>
  <c r="F736" i="1"/>
  <c r="G736" i="1"/>
  <c r="H736" i="1"/>
  <c r="I736" i="1"/>
  <c r="J736" i="1"/>
  <c r="K736" i="1"/>
  <c r="L736" i="1"/>
  <c r="A737" i="1"/>
  <c r="B737" i="1"/>
  <c r="C737" i="1"/>
  <c r="D737" i="1"/>
  <c r="E737" i="1"/>
  <c r="F737" i="1"/>
  <c r="G737" i="1"/>
  <c r="H737" i="1"/>
  <c r="I737" i="1"/>
  <c r="J737" i="1"/>
  <c r="K737" i="1"/>
  <c r="L737" i="1"/>
  <c r="A738" i="1"/>
  <c r="B738" i="1"/>
  <c r="C738" i="1"/>
  <c r="D738" i="1"/>
  <c r="E738" i="1"/>
  <c r="F738" i="1"/>
  <c r="G738" i="1"/>
  <c r="H738" i="1"/>
  <c r="I738" i="1"/>
  <c r="J738" i="1"/>
  <c r="K738" i="1"/>
  <c r="L738" i="1"/>
  <c r="A739" i="1"/>
  <c r="B739" i="1"/>
  <c r="C739" i="1"/>
  <c r="D739" i="1"/>
  <c r="E739" i="1"/>
  <c r="F739" i="1"/>
  <c r="G739" i="1"/>
  <c r="H739" i="1"/>
  <c r="I739" i="1"/>
  <c r="J739" i="1"/>
  <c r="K739" i="1"/>
  <c r="L739" i="1"/>
  <c r="A740" i="1"/>
  <c r="B740" i="1"/>
  <c r="C740" i="1"/>
  <c r="D740" i="1"/>
  <c r="E740" i="1"/>
  <c r="F740" i="1"/>
  <c r="G740" i="1"/>
  <c r="H740" i="1"/>
  <c r="I740" i="1"/>
  <c r="J740" i="1"/>
  <c r="K740" i="1"/>
  <c r="L740" i="1"/>
  <c r="A741" i="1"/>
  <c r="B741" i="1"/>
  <c r="C741" i="1"/>
  <c r="D741" i="1"/>
  <c r="E741" i="1"/>
  <c r="F741" i="1"/>
  <c r="G741" i="1"/>
  <c r="H741" i="1"/>
  <c r="I741" i="1"/>
  <c r="J741" i="1"/>
  <c r="K741" i="1"/>
  <c r="L741" i="1"/>
  <c r="A742" i="1"/>
  <c r="B742" i="1"/>
  <c r="C742" i="1"/>
  <c r="D742" i="1"/>
  <c r="E742" i="1"/>
  <c r="F742" i="1"/>
  <c r="G742" i="1"/>
  <c r="H742" i="1"/>
  <c r="I742" i="1"/>
  <c r="J742" i="1"/>
  <c r="K742" i="1"/>
  <c r="L742" i="1"/>
  <c r="A743" i="1"/>
  <c r="B743" i="1"/>
  <c r="C743" i="1"/>
  <c r="D743" i="1"/>
  <c r="E743" i="1"/>
  <c r="F743" i="1"/>
  <c r="G743" i="1"/>
  <c r="H743" i="1"/>
  <c r="I743" i="1"/>
  <c r="J743" i="1"/>
  <c r="K743" i="1"/>
  <c r="L743" i="1"/>
  <c r="A744" i="1"/>
  <c r="B744" i="1"/>
  <c r="C744" i="1"/>
  <c r="D744" i="1"/>
  <c r="E744" i="1"/>
  <c r="F744" i="1"/>
  <c r="G744" i="1"/>
  <c r="H744" i="1"/>
  <c r="I744" i="1"/>
  <c r="J744" i="1"/>
  <c r="K744" i="1"/>
  <c r="L744" i="1"/>
  <c r="A745" i="1"/>
  <c r="B745" i="1"/>
  <c r="C745" i="1"/>
  <c r="D745" i="1"/>
  <c r="E745" i="1"/>
  <c r="F745" i="1"/>
  <c r="G745" i="1"/>
  <c r="H745" i="1"/>
  <c r="I745" i="1"/>
  <c r="J745" i="1"/>
  <c r="K745" i="1"/>
  <c r="L745" i="1"/>
  <c r="A746" i="1"/>
  <c r="B746" i="1"/>
  <c r="C746" i="1"/>
  <c r="D746" i="1"/>
  <c r="E746" i="1"/>
  <c r="F746" i="1"/>
  <c r="G746" i="1"/>
  <c r="H746" i="1"/>
  <c r="I746" i="1"/>
  <c r="J746" i="1"/>
  <c r="K746" i="1"/>
  <c r="L746" i="1"/>
  <c r="A747" i="1"/>
  <c r="B747" i="1"/>
  <c r="C747" i="1"/>
  <c r="D747" i="1"/>
  <c r="E747" i="1"/>
  <c r="F747" i="1"/>
  <c r="G747" i="1"/>
  <c r="H747" i="1"/>
  <c r="I747" i="1"/>
  <c r="J747" i="1"/>
  <c r="K747" i="1"/>
  <c r="L747" i="1"/>
  <c r="A748" i="1"/>
  <c r="B748" i="1"/>
  <c r="C748" i="1"/>
  <c r="D748" i="1"/>
  <c r="E748" i="1"/>
  <c r="F748" i="1"/>
  <c r="G748" i="1"/>
  <c r="H748" i="1"/>
  <c r="I748" i="1"/>
  <c r="J748" i="1"/>
  <c r="K748" i="1"/>
  <c r="L748" i="1"/>
  <c r="A749" i="1"/>
  <c r="B749" i="1"/>
  <c r="C749" i="1"/>
  <c r="D749" i="1"/>
  <c r="E749" i="1"/>
  <c r="F749" i="1"/>
  <c r="G749" i="1"/>
  <c r="H749" i="1"/>
  <c r="I749" i="1"/>
  <c r="J749" i="1"/>
  <c r="K749" i="1"/>
  <c r="L749" i="1"/>
  <c r="A750" i="1"/>
  <c r="B750" i="1"/>
  <c r="C750" i="1"/>
  <c r="D750" i="1"/>
  <c r="E750" i="1"/>
  <c r="F750" i="1"/>
  <c r="G750" i="1"/>
  <c r="H750" i="1"/>
  <c r="I750" i="1"/>
  <c r="J750" i="1"/>
  <c r="K750" i="1"/>
  <c r="L750" i="1"/>
  <c r="A751" i="1"/>
  <c r="B751" i="1"/>
  <c r="C751" i="1"/>
  <c r="D751" i="1"/>
  <c r="E751" i="1"/>
  <c r="F751" i="1"/>
  <c r="G751" i="1"/>
  <c r="H751" i="1"/>
  <c r="I751" i="1"/>
  <c r="J751" i="1"/>
  <c r="K751" i="1"/>
  <c r="L751" i="1"/>
  <c r="A752" i="1"/>
  <c r="B752" i="1"/>
  <c r="C752" i="1"/>
  <c r="D752" i="1"/>
  <c r="E752" i="1"/>
  <c r="F752" i="1"/>
  <c r="G752" i="1"/>
  <c r="H752" i="1"/>
  <c r="I752" i="1"/>
  <c r="J752" i="1"/>
  <c r="K752" i="1"/>
  <c r="L752" i="1"/>
  <c r="A753" i="1"/>
  <c r="B753" i="1"/>
  <c r="C753" i="1"/>
  <c r="D753" i="1"/>
  <c r="E753" i="1"/>
  <c r="F753" i="1"/>
  <c r="G753" i="1"/>
  <c r="H753" i="1"/>
  <c r="I753" i="1"/>
  <c r="J753" i="1"/>
  <c r="K753" i="1"/>
  <c r="L753" i="1"/>
  <c r="A754" i="1"/>
  <c r="B754" i="1"/>
  <c r="C754" i="1"/>
  <c r="D754" i="1"/>
  <c r="E754" i="1"/>
  <c r="F754" i="1"/>
  <c r="G754" i="1"/>
  <c r="H754" i="1"/>
  <c r="I754" i="1"/>
  <c r="J754" i="1"/>
  <c r="K754" i="1"/>
  <c r="L754" i="1"/>
  <c r="A755" i="1"/>
  <c r="B755" i="1"/>
  <c r="C755" i="1"/>
  <c r="D755" i="1"/>
  <c r="E755" i="1"/>
  <c r="F755" i="1"/>
  <c r="G755" i="1"/>
  <c r="H755" i="1"/>
  <c r="I755" i="1"/>
  <c r="J755" i="1"/>
  <c r="K755" i="1"/>
  <c r="L755" i="1"/>
  <c r="A756" i="1"/>
  <c r="B756" i="1"/>
  <c r="C756" i="1"/>
  <c r="D756" i="1"/>
  <c r="E756" i="1"/>
  <c r="F756" i="1"/>
  <c r="G756" i="1"/>
  <c r="H756" i="1"/>
  <c r="I756" i="1"/>
  <c r="J756" i="1"/>
  <c r="K756" i="1"/>
  <c r="L756" i="1"/>
  <c r="A757" i="1"/>
  <c r="B757" i="1"/>
  <c r="C757" i="1"/>
  <c r="D757" i="1"/>
  <c r="E757" i="1"/>
  <c r="F757" i="1"/>
  <c r="G757" i="1"/>
  <c r="H757" i="1"/>
  <c r="I757" i="1"/>
  <c r="J757" i="1"/>
  <c r="K757" i="1"/>
  <c r="L757" i="1"/>
  <c r="A758" i="1"/>
  <c r="B758" i="1"/>
  <c r="C758" i="1"/>
  <c r="D758" i="1"/>
  <c r="E758" i="1"/>
  <c r="F758" i="1"/>
  <c r="G758" i="1"/>
  <c r="H758" i="1"/>
  <c r="I758" i="1"/>
  <c r="J758" i="1"/>
  <c r="K758" i="1"/>
  <c r="L758" i="1"/>
  <c r="A759" i="1"/>
  <c r="B759" i="1"/>
  <c r="C759" i="1"/>
  <c r="D759" i="1"/>
  <c r="E759" i="1"/>
  <c r="F759" i="1"/>
  <c r="G759" i="1"/>
  <c r="H759" i="1"/>
  <c r="I759" i="1"/>
  <c r="J759" i="1"/>
  <c r="K759" i="1"/>
  <c r="L759" i="1"/>
  <c r="A760" i="1"/>
  <c r="B760" i="1"/>
  <c r="C760" i="1"/>
  <c r="D760" i="1"/>
  <c r="E760" i="1"/>
  <c r="F760" i="1"/>
  <c r="G760" i="1"/>
  <c r="H760" i="1"/>
  <c r="I760" i="1"/>
  <c r="J760" i="1"/>
  <c r="K760" i="1"/>
  <c r="L760" i="1"/>
  <c r="A761" i="1"/>
  <c r="B761" i="1"/>
  <c r="C761" i="1"/>
  <c r="D761" i="1"/>
  <c r="E761" i="1"/>
  <c r="F761" i="1"/>
  <c r="G761" i="1"/>
  <c r="H761" i="1"/>
  <c r="I761" i="1"/>
  <c r="J761" i="1"/>
  <c r="K761" i="1"/>
  <c r="L761" i="1"/>
  <c r="A762" i="1"/>
  <c r="B762" i="1"/>
  <c r="C762" i="1"/>
  <c r="D762" i="1"/>
  <c r="E762" i="1"/>
  <c r="F762" i="1"/>
  <c r="G762" i="1"/>
  <c r="H762" i="1"/>
  <c r="I762" i="1"/>
  <c r="J762" i="1"/>
  <c r="K762" i="1"/>
  <c r="L762" i="1"/>
  <c r="A763" i="1"/>
  <c r="B763" i="1"/>
  <c r="C763" i="1"/>
  <c r="D763" i="1"/>
  <c r="E763" i="1"/>
  <c r="F763" i="1"/>
  <c r="G763" i="1"/>
  <c r="H763" i="1"/>
  <c r="I763" i="1"/>
  <c r="J763" i="1"/>
  <c r="K763" i="1"/>
  <c r="L763" i="1"/>
  <c r="A764" i="1"/>
  <c r="B764" i="1"/>
  <c r="C764" i="1"/>
  <c r="D764" i="1"/>
  <c r="E764" i="1"/>
  <c r="F764" i="1"/>
  <c r="G764" i="1"/>
  <c r="H764" i="1"/>
  <c r="I764" i="1"/>
  <c r="J764" i="1"/>
  <c r="K764" i="1"/>
  <c r="L764" i="1"/>
  <c r="A765" i="1"/>
  <c r="B765" i="1"/>
  <c r="C765" i="1"/>
  <c r="D765" i="1"/>
  <c r="E765" i="1"/>
  <c r="F765" i="1"/>
  <c r="G765" i="1"/>
  <c r="H765" i="1"/>
  <c r="I765" i="1"/>
  <c r="J765" i="1"/>
  <c r="K765" i="1"/>
  <c r="L765" i="1"/>
  <c r="A766" i="1"/>
  <c r="B766" i="1"/>
  <c r="C766" i="1"/>
  <c r="D766" i="1"/>
  <c r="E766" i="1"/>
  <c r="F766" i="1"/>
  <c r="G766" i="1"/>
  <c r="H766" i="1"/>
  <c r="I766" i="1"/>
  <c r="J766" i="1"/>
  <c r="K766" i="1"/>
  <c r="L766" i="1"/>
  <c r="A767" i="1"/>
  <c r="B767" i="1"/>
  <c r="C767" i="1"/>
  <c r="D767" i="1"/>
  <c r="E767" i="1"/>
  <c r="F767" i="1"/>
  <c r="G767" i="1"/>
  <c r="H767" i="1"/>
  <c r="I767" i="1"/>
  <c r="J767" i="1"/>
  <c r="K767" i="1"/>
  <c r="L767" i="1"/>
  <c r="A768" i="1"/>
  <c r="B768" i="1"/>
  <c r="C768" i="1"/>
  <c r="D768" i="1"/>
  <c r="E768" i="1"/>
  <c r="F768" i="1"/>
  <c r="G768" i="1"/>
  <c r="H768" i="1"/>
  <c r="I768" i="1"/>
  <c r="J768" i="1"/>
  <c r="K768" i="1"/>
  <c r="L768" i="1"/>
  <c r="A769" i="1"/>
  <c r="B769" i="1"/>
  <c r="C769" i="1"/>
  <c r="D769" i="1"/>
  <c r="E769" i="1"/>
  <c r="F769" i="1"/>
  <c r="G769" i="1"/>
  <c r="H769" i="1"/>
  <c r="I769" i="1"/>
  <c r="J769" i="1"/>
  <c r="K769" i="1"/>
  <c r="L769" i="1"/>
  <c r="A770" i="1"/>
  <c r="B770" i="1"/>
  <c r="C770" i="1"/>
  <c r="D770" i="1"/>
  <c r="E770" i="1"/>
  <c r="F770" i="1"/>
  <c r="G770" i="1"/>
  <c r="H770" i="1"/>
  <c r="I770" i="1"/>
  <c r="J770" i="1"/>
  <c r="K770" i="1"/>
  <c r="L770" i="1"/>
  <c r="A771" i="1"/>
  <c r="B771" i="1"/>
  <c r="C771" i="1"/>
  <c r="D771" i="1"/>
  <c r="E771" i="1"/>
  <c r="F771" i="1"/>
  <c r="G771" i="1"/>
  <c r="H771" i="1"/>
  <c r="I771" i="1"/>
  <c r="J771" i="1"/>
  <c r="K771" i="1"/>
  <c r="L771" i="1"/>
  <c r="A772" i="1"/>
  <c r="B772" i="1"/>
  <c r="C772" i="1"/>
  <c r="D772" i="1"/>
  <c r="E772" i="1"/>
  <c r="F772" i="1"/>
  <c r="G772" i="1"/>
  <c r="H772" i="1"/>
  <c r="I772" i="1"/>
  <c r="J772" i="1"/>
  <c r="K772" i="1"/>
  <c r="L772" i="1"/>
  <c r="A773" i="1"/>
  <c r="B773" i="1"/>
  <c r="C773" i="1"/>
  <c r="D773" i="1"/>
  <c r="E773" i="1"/>
  <c r="F773" i="1"/>
  <c r="G773" i="1"/>
  <c r="H773" i="1"/>
  <c r="I773" i="1"/>
  <c r="J773" i="1"/>
  <c r="K773" i="1"/>
  <c r="L773" i="1"/>
  <c r="A774" i="1"/>
  <c r="B774" i="1"/>
  <c r="C774" i="1"/>
  <c r="D774" i="1"/>
  <c r="E774" i="1"/>
  <c r="F774" i="1"/>
  <c r="G774" i="1"/>
  <c r="H774" i="1"/>
  <c r="I774" i="1"/>
  <c r="J774" i="1"/>
  <c r="K774" i="1"/>
  <c r="L774" i="1"/>
  <c r="A775" i="1"/>
  <c r="B775" i="1"/>
  <c r="C775" i="1"/>
  <c r="D775" i="1"/>
  <c r="E775" i="1"/>
  <c r="F775" i="1"/>
  <c r="G775" i="1"/>
  <c r="H775" i="1"/>
  <c r="I775" i="1"/>
  <c r="J775" i="1"/>
  <c r="K775" i="1"/>
  <c r="L775" i="1"/>
  <c r="A776" i="1"/>
  <c r="B776" i="1"/>
  <c r="C776" i="1"/>
  <c r="D776" i="1"/>
  <c r="E776" i="1"/>
  <c r="F776" i="1"/>
  <c r="G776" i="1"/>
  <c r="H776" i="1"/>
  <c r="I776" i="1"/>
  <c r="J776" i="1"/>
  <c r="K776" i="1"/>
  <c r="L776" i="1"/>
  <c r="A777" i="1"/>
  <c r="B777" i="1"/>
  <c r="C777" i="1"/>
  <c r="D777" i="1"/>
  <c r="E777" i="1"/>
  <c r="F777" i="1"/>
  <c r="G777" i="1"/>
  <c r="H777" i="1"/>
  <c r="I777" i="1"/>
  <c r="J777" i="1"/>
  <c r="K777" i="1"/>
  <c r="L777" i="1"/>
  <c r="A778" i="1"/>
  <c r="B778" i="1"/>
  <c r="C778" i="1"/>
  <c r="D778" i="1"/>
  <c r="E778" i="1"/>
  <c r="F778" i="1"/>
  <c r="G778" i="1"/>
  <c r="H778" i="1"/>
  <c r="I778" i="1"/>
  <c r="J778" i="1"/>
  <c r="K778" i="1"/>
  <c r="L778" i="1"/>
  <c r="A779" i="1"/>
  <c r="B779" i="1"/>
  <c r="C779" i="1"/>
  <c r="D779" i="1"/>
  <c r="E779" i="1"/>
  <c r="F779" i="1"/>
  <c r="G779" i="1"/>
  <c r="H779" i="1"/>
  <c r="I779" i="1"/>
  <c r="J779" i="1"/>
  <c r="K779" i="1"/>
  <c r="L779" i="1"/>
  <c r="A780" i="1"/>
  <c r="B780" i="1"/>
  <c r="C780" i="1"/>
  <c r="D780" i="1"/>
  <c r="E780" i="1"/>
  <c r="F780" i="1"/>
  <c r="G780" i="1"/>
  <c r="H780" i="1"/>
  <c r="I780" i="1"/>
  <c r="J780" i="1"/>
  <c r="K780" i="1"/>
  <c r="L780" i="1"/>
  <c r="A781" i="1"/>
  <c r="B781" i="1"/>
  <c r="C781" i="1"/>
  <c r="D781" i="1"/>
  <c r="E781" i="1"/>
  <c r="F781" i="1"/>
  <c r="G781" i="1"/>
  <c r="H781" i="1"/>
  <c r="I781" i="1"/>
  <c r="J781" i="1"/>
  <c r="K781" i="1"/>
  <c r="L781" i="1"/>
  <c r="A782" i="1"/>
  <c r="B782" i="1"/>
  <c r="C782" i="1"/>
  <c r="D782" i="1"/>
  <c r="E782" i="1"/>
  <c r="F782" i="1"/>
  <c r="G782" i="1"/>
  <c r="H782" i="1"/>
  <c r="I782" i="1"/>
  <c r="J782" i="1"/>
  <c r="K782" i="1"/>
  <c r="L782" i="1"/>
  <c r="A783" i="1"/>
  <c r="B783" i="1"/>
  <c r="C783" i="1"/>
  <c r="D783" i="1"/>
  <c r="E783" i="1"/>
  <c r="F783" i="1"/>
  <c r="G783" i="1"/>
  <c r="H783" i="1"/>
  <c r="I783" i="1"/>
  <c r="J783" i="1"/>
  <c r="K783" i="1"/>
  <c r="L783" i="1"/>
  <c r="A784" i="1"/>
  <c r="B784" i="1"/>
  <c r="C784" i="1"/>
  <c r="D784" i="1"/>
  <c r="E784" i="1"/>
  <c r="F784" i="1"/>
  <c r="G784" i="1"/>
  <c r="H784" i="1"/>
  <c r="I784" i="1"/>
  <c r="J784" i="1"/>
  <c r="K784" i="1"/>
  <c r="L784" i="1"/>
  <c r="A785" i="1"/>
  <c r="B785" i="1"/>
  <c r="C785" i="1"/>
  <c r="D785" i="1"/>
  <c r="E785" i="1"/>
  <c r="F785" i="1"/>
  <c r="G785" i="1"/>
  <c r="H785" i="1"/>
  <c r="I785" i="1"/>
  <c r="J785" i="1"/>
  <c r="K785" i="1"/>
  <c r="L785" i="1"/>
  <c r="A786" i="1"/>
  <c r="B786" i="1"/>
  <c r="C786" i="1"/>
  <c r="D786" i="1"/>
  <c r="E786" i="1"/>
  <c r="F786" i="1"/>
  <c r="G786" i="1"/>
  <c r="H786" i="1"/>
  <c r="I786" i="1"/>
  <c r="J786" i="1"/>
  <c r="K786" i="1"/>
  <c r="L786" i="1"/>
  <c r="A787" i="1"/>
  <c r="B787" i="1"/>
  <c r="C787" i="1"/>
  <c r="D787" i="1"/>
  <c r="E787" i="1"/>
  <c r="F787" i="1"/>
  <c r="G787" i="1"/>
  <c r="H787" i="1"/>
  <c r="I787" i="1"/>
  <c r="J787" i="1"/>
  <c r="K787" i="1"/>
  <c r="L787" i="1"/>
  <c r="A788" i="1"/>
  <c r="B788" i="1"/>
  <c r="C788" i="1"/>
  <c r="D788" i="1"/>
  <c r="E788" i="1"/>
  <c r="F788" i="1"/>
  <c r="G788" i="1"/>
  <c r="H788" i="1"/>
  <c r="I788" i="1"/>
  <c r="J788" i="1"/>
  <c r="K788" i="1"/>
  <c r="L788" i="1"/>
  <c r="A789" i="1"/>
  <c r="B789" i="1"/>
  <c r="C789" i="1"/>
  <c r="D789" i="1"/>
  <c r="E789" i="1"/>
  <c r="F789" i="1"/>
  <c r="G789" i="1"/>
  <c r="H789" i="1"/>
  <c r="I789" i="1"/>
  <c r="J789" i="1"/>
  <c r="K789" i="1"/>
  <c r="L789" i="1"/>
  <c r="A790" i="1"/>
  <c r="B790" i="1"/>
  <c r="C790" i="1"/>
  <c r="D790" i="1"/>
  <c r="E790" i="1"/>
  <c r="F790" i="1"/>
  <c r="G790" i="1"/>
  <c r="H790" i="1"/>
  <c r="I790" i="1"/>
  <c r="J790" i="1"/>
  <c r="K790" i="1"/>
  <c r="L790" i="1"/>
  <c r="A791" i="1"/>
  <c r="B791" i="1"/>
  <c r="C791" i="1"/>
  <c r="D791" i="1"/>
  <c r="E791" i="1"/>
  <c r="F791" i="1"/>
  <c r="G791" i="1"/>
  <c r="H791" i="1"/>
  <c r="I791" i="1"/>
  <c r="J791" i="1"/>
  <c r="K791" i="1"/>
  <c r="L791" i="1"/>
  <c r="A792" i="1"/>
  <c r="B792" i="1"/>
  <c r="C792" i="1"/>
  <c r="D792" i="1"/>
  <c r="E792" i="1"/>
  <c r="F792" i="1"/>
  <c r="G792" i="1"/>
  <c r="H792" i="1"/>
  <c r="I792" i="1"/>
  <c r="J792" i="1"/>
  <c r="K792" i="1"/>
  <c r="L792" i="1"/>
  <c r="A793" i="1"/>
  <c r="B793" i="1"/>
  <c r="C793" i="1"/>
  <c r="D793" i="1"/>
  <c r="E793" i="1"/>
  <c r="F793" i="1"/>
  <c r="G793" i="1"/>
  <c r="H793" i="1"/>
  <c r="I793" i="1"/>
  <c r="J793" i="1"/>
  <c r="K793" i="1"/>
  <c r="L793" i="1"/>
  <c r="A794" i="1"/>
  <c r="B794" i="1"/>
  <c r="C794" i="1"/>
  <c r="D794" i="1"/>
  <c r="E794" i="1"/>
  <c r="F794" i="1"/>
  <c r="G794" i="1"/>
  <c r="H794" i="1"/>
  <c r="I794" i="1"/>
  <c r="J794" i="1"/>
  <c r="K794" i="1"/>
  <c r="L794" i="1"/>
  <c r="A795" i="1"/>
  <c r="B795" i="1"/>
  <c r="C795" i="1"/>
  <c r="D795" i="1"/>
  <c r="E795" i="1"/>
  <c r="F795" i="1"/>
  <c r="G795" i="1"/>
  <c r="H795" i="1"/>
  <c r="I795" i="1"/>
  <c r="J795" i="1"/>
  <c r="K795" i="1"/>
  <c r="L795" i="1"/>
  <c r="A796" i="1"/>
  <c r="B796" i="1"/>
  <c r="C796" i="1"/>
  <c r="D796" i="1"/>
  <c r="E796" i="1"/>
  <c r="F796" i="1"/>
  <c r="G796" i="1"/>
  <c r="H796" i="1"/>
  <c r="I796" i="1"/>
  <c r="J796" i="1"/>
  <c r="K796" i="1"/>
  <c r="L796" i="1"/>
  <c r="A797" i="1"/>
  <c r="B797" i="1"/>
  <c r="C797" i="1"/>
  <c r="D797" i="1"/>
  <c r="E797" i="1"/>
  <c r="F797" i="1"/>
  <c r="G797" i="1"/>
  <c r="H797" i="1"/>
  <c r="I797" i="1"/>
  <c r="J797" i="1"/>
  <c r="K797" i="1"/>
  <c r="L797" i="1"/>
  <c r="A798" i="1"/>
  <c r="B798" i="1"/>
  <c r="C798" i="1"/>
  <c r="D798" i="1"/>
  <c r="E798" i="1"/>
  <c r="F798" i="1"/>
  <c r="G798" i="1"/>
  <c r="H798" i="1"/>
  <c r="I798" i="1"/>
  <c r="J798" i="1"/>
  <c r="K798" i="1"/>
  <c r="L798" i="1"/>
  <c r="A799" i="1"/>
  <c r="B799" i="1"/>
  <c r="C799" i="1"/>
  <c r="D799" i="1"/>
  <c r="E799" i="1"/>
  <c r="F799" i="1"/>
  <c r="G799" i="1"/>
  <c r="H799" i="1"/>
  <c r="I799" i="1"/>
  <c r="J799" i="1"/>
  <c r="K799" i="1"/>
  <c r="L799" i="1"/>
  <c r="A800" i="1"/>
  <c r="B800" i="1"/>
  <c r="C800" i="1"/>
  <c r="D800" i="1"/>
  <c r="E800" i="1"/>
  <c r="F800" i="1"/>
  <c r="G800" i="1"/>
  <c r="H800" i="1"/>
  <c r="I800" i="1"/>
  <c r="J800" i="1"/>
  <c r="K800" i="1"/>
  <c r="L800" i="1"/>
  <c r="A801" i="1"/>
  <c r="B801" i="1"/>
  <c r="C801" i="1"/>
  <c r="D801" i="1"/>
  <c r="E801" i="1"/>
  <c r="F801" i="1"/>
  <c r="G801" i="1"/>
  <c r="H801" i="1"/>
  <c r="I801" i="1"/>
  <c r="J801" i="1"/>
  <c r="K801" i="1"/>
  <c r="L801" i="1"/>
  <c r="A802" i="1"/>
  <c r="B802" i="1"/>
  <c r="C802" i="1"/>
  <c r="D802" i="1"/>
  <c r="E802" i="1"/>
  <c r="F802" i="1"/>
  <c r="G802" i="1"/>
  <c r="H802" i="1"/>
  <c r="I802" i="1"/>
  <c r="J802" i="1"/>
  <c r="K802" i="1"/>
  <c r="L802" i="1"/>
  <c r="A803" i="1"/>
  <c r="B803" i="1"/>
  <c r="C803" i="1"/>
  <c r="D803" i="1"/>
  <c r="E803" i="1"/>
  <c r="F803" i="1"/>
  <c r="G803" i="1"/>
  <c r="H803" i="1"/>
  <c r="I803" i="1"/>
  <c r="J803" i="1"/>
  <c r="K803" i="1"/>
  <c r="L803" i="1"/>
  <c r="A804" i="1"/>
  <c r="B804" i="1"/>
  <c r="C804" i="1"/>
  <c r="D804" i="1"/>
  <c r="E804" i="1"/>
  <c r="F804" i="1"/>
  <c r="G804" i="1"/>
  <c r="H804" i="1"/>
  <c r="I804" i="1"/>
  <c r="J804" i="1"/>
  <c r="K804" i="1"/>
  <c r="L804" i="1"/>
  <c r="A805" i="1"/>
  <c r="B805" i="1"/>
  <c r="C805" i="1"/>
  <c r="D805" i="1"/>
  <c r="E805" i="1"/>
  <c r="F805" i="1"/>
  <c r="G805" i="1"/>
  <c r="H805" i="1"/>
  <c r="I805" i="1"/>
  <c r="J805" i="1"/>
  <c r="K805" i="1"/>
  <c r="L805" i="1"/>
  <c r="A806" i="1"/>
  <c r="B806" i="1"/>
  <c r="C806" i="1"/>
  <c r="D806" i="1"/>
  <c r="E806" i="1"/>
  <c r="F806" i="1"/>
  <c r="G806" i="1"/>
  <c r="H806" i="1"/>
  <c r="I806" i="1"/>
  <c r="J806" i="1"/>
  <c r="K806" i="1"/>
  <c r="L806" i="1"/>
  <c r="A807" i="1"/>
  <c r="B807" i="1"/>
  <c r="C807" i="1"/>
  <c r="D807" i="1"/>
  <c r="E807" i="1"/>
  <c r="F807" i="1"/>
  <c r="G807" i="1"/>
  <c r="H807" i="1"/>
  <c r="I807" i="1"/>
  <c r="J807" i="1"/>
  <c r="K807" i="1"/>
  <c r="L807" i="1"/>
  <c r="A808" i="1"/>
  <c r="B808" i="1"/>
  <c r="C808" i="1"/>
  <c r="D808" i="1"/>
  <c r="E808" i="1"/>
  <c r="F808" i="1"/>
  <c r="G808" i="1"/>
  <c r="H808" i="1"/>
  <c r="I808" i="1"/>
  <c r="J808" i="1"/>
  <c r="K808" i="1"/>
  <c r="L808" i="1"/>
  <c r="A809" i="1"/>
  <c r="B809" i="1"/>
  <c r="C809" i="1"/>
  <c r="D809" i="1"/>
  <c r="E809" i="1"/>
  <c r="F809" i="1"/>
  <c r="G809" i="1"/>
  <c r="H809" i="1"/>
  <c r="I809" i="1"/>
  <c r="J809" i="1"/>
  <c r="K809" i="1"/>
  <c r="L809" i="1"/>
  <c r="A810" i="1"/>
  <c r="B810" i="1"/>
  <c r="C810" i="1"/>
  <c r="D810" i="1"/>
  <c r="E810" i="1"/>
  <c r="F810" i="1"/>
  <c r="G810" i="1"/>
  <c r="H810" i="1"/>
  <c r="I810" i="1"/>
  <c r="J810" i="1"/>
  <c r="K810" i="1"/>
  <c r="L810" i="1"/>
  <c r="A811" i="1"/>
  <c r="B811" i="1"/>
  <c r="C811" i="1"/>
  <c r="D811" i="1"/>
  <c r="E811" i="1"/>
  <c r="F811" i="1"/>
  <c r="G811" i="1"/>
  <c r="H811" i="1"/>
  <c r="I811" i="1"/>
  <c r="J811" i="1"/>
  <c r="K811" i="1"/>
  <c r="L811" i="1"/>
  <c r="A812" i="1"/>
  <c r="B812" i="1"/>
  <c r="C812" i="1"/>
  <c r="D812" i="1"/>
  <c r="E812" i="1"/>
  <c r="F812" i="1"/>
  <c r="G812" i="1"/>
  <c r="H812" i="1"/>
  <c r="I812" i="1"/>
  <c r="J812" i="1"/>
  <c r="K812" i="1"/>
  <c r="L812" i="1"/>
  <c r="A813" i="1"/>
  <c r="B813" i="1"/>
  <c r="C813" i="1"/>
  <c r="D813" i="1"/>
  <c r="E813" i="1"/>
  <c r="F813" i="1"/>
  <c r="G813" i="1"/>
  <c r="H813" i="1"/>
  <c r="I813" i="1"/>
  <c r="J813" i="1"/>
  <c r="K813" i="1"/>
  <c r="L813" i="1"/>
  <c r="A814" i="1"/>
  <c r="B814" i="1"/>
  <c r="C814" i="1"/>
  <c r="D814" i="1"/>
  <c r="E814" i="1"/>
  <c r="F814" i="1"/>
  <c r="G814" i="1"/>
  <c r="H814" i="1"/>
  <c r="I814" i="1"/>
  <c r="J814" i="1"/>
  <c r="K814" i="1"/>
  <c r="L814" i="1"/>
  <c r="A815" i="1"/>
  <c r="B815" i="1"/>
  <c r="C815" i="1"/>
  <c r="D815" i="1"/>
  <c r="E815" i="1"/>
  <c r="F815" i="1"/>
  <c r="G815" i="1"/>
  <c r="H815" i="1"/>
  <c r="I815" i="1"/>
  <c r="J815" i="1"/>
  <c r="K815" i="1"/>
  <c r="L815" i="1"/>
  <c r="A816" i="1"/>
  <c r="B816" i="1"/>
  <c r="C816" i="1"/>
  <c r="D816" i="1"/>
  <c r="E816" i="1"/>
  <c r="F816" i="1"/>
  <c r="G816" i="1"/>
  <c r="H816" i="1"/>
  <c r="I816" i="1"/>
  <c r="J816" i="1"/>
  <c r="K816" i="1"/>
  <c r="L816" i="1"/>
  <c r="A817" i="1"/>
  <c r="B817" i="1"/>
  <c r="C817" i="1"/>
  <c r="D817" i="1"/>
  <c r="E817" i="1"/>
  <c r="F817" i="1"/>
  <c r="G817" i="1"/>
  <c r="H817" i="1"/>
  <c r="I817" i="1"/>
  <c r="J817" i="1"/>
  <c r="K817" i="1"/>
  <c r="L817" i="1"/>
  <c r="A818" i="1"/>
  <c r="B818" i="1"/>
  <c r="C818" i="1"/>
  <c r="D818" i="1"/>
  <c r="E818" i="1"/>
  <c r="F818" i="1"/>
  <c r="G818" i="1"/>
  <c r="H818" i="1"/>
  <c r="I818" i="1"/>
  <c r="J818" i="1"/>
  <c r="K818" i="1"/>
  <c r="L818" i="1"/>
  <c r="A819" i="1"/>
  <c r="B819" i="1"/>
  <c r="C819" i="1"/>
  <c r="D819" i="1"/>
  <c r="E819" i="1"/>
  <c r="F819" i="1"/>
  <c r="G819" i="1"/>
  <c r="H819" i="1"/>
  <c r="I819" i="1"/>
  <c r="J819" i="1"/>
  <c r="K819" i="1"/>
  <c r="L819" i="1"/>
  <c r="A820" i="1"/>
  <c r="B820" i="1"/>
  <c r="C820" i="1"/>
  <c r="D820" i="1"/>
  <c r="E820" i="1"/>
  <c r="F820" i="1"/>
  <c r="G820" i="1"/>
  <c r="H820" i="1"/>
  <c r="I820" i="1"/>
  <c r="J820" i="1"/>
  <c r="K820" i="1"/>
  <c r="L820" i="1"/>
  <c r="A821" i="1"/>
  <c r="B821" i="1"/>
  <c r="C821" i="1"/>
  <c r="D821" i="1"/>
  <c r="E821" i="1"/>
  <c r="F821" i="1"/>
  <c r="G821" i="1"/>
  <c r="H821" i="1"/>
  <c r="I821" i="1"/>
  <c r="J821" i="1"/>
  <c r="K821" i="1"/>
  <c r="L821" i="1"/>
  <c r="A822" i="1"/>
  <c r="B822" i="1"/>
  <c r="C822" i="1"/>
  <c r="D822" i="1"/>
  <c r="E822" i="1"/>
  <c r="F822" i="1"/>
  <c r="G822" i="1"/>
  <c r="H822" i="1"/>
  <c r="I822" i="1"/>
  <c r="J822" i="1"/>
  <c r="K822" i="1"/>
  <c r="L822" i="1"/>
  <c r="A823" i="1"/>
  <c r="B823" i="1"/>
  <c r="C823" i="1"/>
  <c r="D823" i="1"/>
  <c r="E823" i="1"/>
  <c r="F823" i="1"/>
  <c r="G823" i="1"/>
  <c r="H823" i="1"/>
  <c r="I823" i="1"/>
  <c r="J823" i="1"/>
  <c r="K823" i="1"/>
  <c r="L823" i="1"/>
  <c r="A824" i="1"/>
  <c r="B824" i="1"/>
  <c r="C824" i="1"/>
  <c r="D824" i="1"/>
  <c r="E824" i="1"/>
  <c r="F824" i="1"/>
  <c r="G824" i="1"/>
  <c r="H824" i="1"/>
  <c r="I824" i="1"/>
  <c r="J824" i="1"/>
  <c r="K824" i="1"/>
  <c r="L824" i="1"/>
  <c r="A825" i="1"/>
  <c r="B825" i="1"/>
  <c r="C825" i="1"/>
  <c r="D825" i="1"/>
  <c r="E825" i="1"/>
  <c r="F825" i="1"/>
  <c r="G825" i="1"/>
  <c r="H825" i="1"/>
  <c r="I825" i="1"/>
  <c r="J825" i="1"/>
  <c r="K825" i="1"/>
  <c r="L825" i="1"/>
  <c r="A826" i="1"/>
  <c r="B826" i="1"/>
  <c r="C826" i="1"/>
  <c r="D826" i="1"/>
  <c r="E826" i="1"/>
  <c r="F826" i="1"/>
  <c r="G826" i="1"/>
  <c r="H826" i="1"/>
  <c r="I826" i="1"/>
  <c r="J826" i="1"/>
  <c r="K826" i="1"/>
  <c r="L826" i="1"/>
  <c r="A827" i="1"/>
  <c r="B827" i="1"/>
  <c r="C827" i="1"/>
  <c r="D827" i="1"/>
  <c r="E827" i="1"/>
  <c r="F827" i="1"/>
  <c r="G827" i="1"/>
  <c r="H827" i="1"/>
  <c r="I827" i="1"/>
  <c r="J827" i="1"/>
  <c r="K827" i="1"/>
  <c r="L827" i="1"/>
  <c r="A828" i="1"/>
  <c r="B828" i="1"/>
  <c r="C828" i="1"/>
  <c r="D828" i="1"/>
  <c r="E828" i="1"/>
  <c r="F828" i="1"/>
  <c r="G828" i="1"/>
  <c r="H828" i="1"/>
  <c r="I828" i="1"/>
  <c r="J828" i="1"/>
  <c r="K828" i="1"/>
  <c r="L828" i="1"/>
  <c r="A829" i="1"/>
  <c r="B829" i="1"/>
  <c r="C829" i="1"/>
  <c r="D829" i="1"/>
  <c r="E829" i="1"/>
  <c r="F829" i="1"/>
  <c r="G829" i="1"/>
  <c r="H829" i="1"/>
  <c r="I829" i="1"/>
  <c r="J829" i="1"/>
  <c r="K829" i="1"/>
  <c r="L829" i="1"/>
  <c r="A830" i="1"/>
  <c r="B830" i="1"/>
  <c r="C830" i="1"/>
  <c r="D830" i="1"/>
  <c r="E830" i="1"/>
  <c r="F830" i="1"/>
  <c r="G830" i="1"/>
  <c r="H830" i="1"/>
  <c r="I830" i="1"/>
  <c r="J830" i="1"/>
  <c r="K830" i="1"/>
  <c r="L830" i="1"/>
  <c r="A831" i="1"/>
  <c r="B831" i="1"/>
  <c r="C831" i="1"/>
  <c r="D831" i="1"/>
  <c r="E831" i="1"/>
  <c r="F831" i="1"/>
  <c r="G831" i="1"/>
  <c r="H831" i="1"/>
  <c r="I831" i="1"/>
  <c r="J831" i="1"/>
  <c r="K831" i="1"/>
  <c r="L831" i="1"/>
  <c r="A832" i="1"/>
  <c r="B832" i="1"/>
  <c r="C832" i="1"/>
  <c r="D832" i="1"/>
  <c r="E832" i="1"/>
  <c r="F832" i="1"/>
  <c r="G832" i="1"/>
  <c r="H832" i="1"/>
  <c r="I832" i="1"/>
  <c r="J832" i="1"/>
  <c r="K832" i="1"/>
  <c r="L832" i="1"/>
  <c r="A833" i="1"/>
  <c r="B833" i="1"/>
  <c r="C833" i="1"/>
  <c r="D833" i="1"/>
  <c r="E833" i="1"/>
  <c r="F833" i="1"/>
  <c r="G833" i="1"/>
  <c r="H833" i="1"/>
  <c r="I833" i="1"/>
  <c r="J833" i="1"/>
  <c r="K833" i="1"/>
  <c r="L833" i="1"/>
  <c r="A834" i="1"/>
  <c r="B834" i="1"/>
  <c r="C834" i="1"/>
  <c r="D834" i="1"/>
  <c r="E834" i="1"/>
  <c r="F834" i="1"/>
  <c r="G834" i="1"/>
  <c r="H834" i="1"/>
  <c r="I834" i="1"/>
  <c r="J834" i="1"/>
  <c r="K834" i="1"/>
  <c r="L834" i="1"/>
  <c r="A835" i="1"/>
  <c r="B835" i="1"/>
  <c r="C835" i="1"/>
  <c r="D835" i="1"/>
  <c r="E835" i="1"/>
  <c r="F835" i="1"/>
  <c r="G835" i="1"/>
  <c r="H835" i="1"/>
  <c r="I835" i="1"/>
  <c r="J835" i="1"/>
  <c r="K835" i="1"/>
  <c r="L835" i="1"/>
  <c r="A836" i="1"/>
  <c r="B836" i="1"/>
  <c r="C836" i="1"/>
  <c r="D836" i="1"/>
  <c r="E836" i="1"/>
  <c r="F836" i="1"/>
  <c r="G836" i="1"/>
  <c r="H836" i="1"/>
  <c r="I836" i="1"/>
  <c r="J836" i="1"/>
  <c r="K836" i="1"/>
  <c r="L836" i="1"/>
  <c r="A837" i="1"/>
  <c r="B837" i="1"/>
  <c r="C837" i="1"/>
  <c r="D837" i="1"/>
  <c r="E837" i="1"/>
  <c r="F837" i="1"/>
  <c r="G837" i="1"/>
  <c r="H837" i="1"/>
  <c r="I837" i="1"/>
  <c r="J837" i="1"/>
  <c r="K837" i="1"/>
  <c r="L837" i="1"/>
  <c r="A838" i="1"/>
  <c r="B838" i="1"/>
  <c r="C838" i="1"/>
  <c r="D838" i="1"/>
  <c r="E838" i="1"/>
  <c r="F838" i="1"/>
  <c r="G838" i="1"/>
  <c r="H838" i="1"/>
  <c r="I838" i="1"/>
  <c r="J838" i="1"/>
  <c r="K838" i="1"/>
  <c r="L838" i="1"/>
  <c r="A839" i="1"/>
  <c r="B839" i="1"/>
  <c r="C839" i="1"/>
  <c r="D839" i="1"/>
  <c r="E839" i="1"/>
  <c r="F839" i="1"/>
  <c r="G839" i="1"/>
  <c r="H839" i="1"/>
  <c r="I839" i="1"/>
  <c r="J839" i="1"/>
  <c r="K839" i="1"/>
  <c r="L839" i="1"/>
  <c r="A840" i="1"/>
  <c r="B840" i="1"/>
  <c r="C840" i="1"/>
  <c r="D840" i="1"/>
  <c r="E840" i="1"/>
  <c r="F840" i="1"/>
  <c r="G840" i="1"/>
  <c r="H840" i="1"/>
  <c r="I840" i="1"/>
  <c r="J840" i="1"/>
  <c r="K840" i="1"/>
  <c r="L840" i="1"/>
  <c r="A841" i="1"/>
  <c r="B841" i="1"/>
  <c r="C841" i="1"/>
  <c r="D841" i="1"/>
  <c r="E841" i="1"/>
  <c r="F841" i="1"/>
  <c r="G841" i="1"/>
  <c r="H841" i="1"/>
  <c r="I841" i="1"/>
  <c r="J841" i="1"/>
  <c r="K841" i="1"/>
  <c r="L841" i="1"/>
  <c r="A842" i="1"/>
  <c r="B842" i="1"/>
  <c r="C842" i="1"/>
  <c r="D842" i="1"/>
  <c r="E842" i="1"/>
  <c r="F842" i="1"/>
  <c r="G842" i="1"/>
  <c r="H842" i="1"/>
  <c r="I842" i="1"/>
  <c r="J842" i="1"/>
  <c r="K842" i="1"/>
  <c r="L842" i="1"/>
  <c r="A843" i="1"/>
  <c r="B843" i="1"/>
  <c r="C843" i="1"/>
  <c r="D843" i="1"/>
  <c r="E843" i="1"/>
  <c r="F843" i="1"/>
  <c r="G843" i="1"/>
  <c r="H843" i="1"/>
  <c r="I843" i="1"/>
  <c r="J843" i="1"/>
  <c r="K843" i="1"/>
  <c r="L843" i="1"/>
  <c r="A844" i="1"/>
  <c r="B844" i="1"/>
  <c r="C844" i="1"/>
  <c r="D844" i="1"/>
  <c r="E844" i="1"/>
  <c r="F844" i="1"/>
  <c r="G844" i="1"/>
  <c r="H844" i="1"/>
  <c r="I844" i="1"/>
  <c r="J844" i="1"/>
  <c r="K844" i="1"/>
  <c r="L844" i="1"/>
  <c r="A845" i="1"/>
  <c r="B845" i="1"/>
  <c r="C845" i="1"/>
  <c r="D845" i="1"/>
  <c r="E845" i="1"/>
  <c r="F845" i="1"/>
  <c r="G845" i="1"/>
  <c r="H845" i="1"/>
  <c r="I845" i="1"/>
  <c r="J845" i="1"/>
  <c r="K845" i="1"/>
  <c r="L845" i="1"/>
  <c r="A846" i="1"/>
  <c r="B846" i="1"/>
  <c r="C846" i="1"/>
  <c r="D846" i="1"/>
  <c r="E846" i="1"/>
  <c r="F846" i="1"/>
  <c r="G846" i="1"/>
  <c r="H846" i="1"/>
  <c r="I846" i="1"/>
  <c r="J846" i="1"/>
  <c r="K846" i="1"/>
  <c r="L846" i="1"/>
  <c r="A847" i="1"/>
  <c r="B847" i="1"/>
  <c r="C847" i="1"/>
  <c r="D847" i="1"/>
  <c r="E847" i="1"/>
  <c r="F847" i="1"/>
  <c r="G847" i="1"/>
  <c r="H847" i="1"/>
  <c r="I847" i="1"/>
  <c r="J847" i="1"/>
  <c r="K847" i="1"/>
  <c r="L847" i="1"/>
  <c r="A848" i="1"/>
  <c r="B848" i="1"/>
  <c r="C848" i="1"/>
  <c r="D848" i="1"/>
  <c r="E848" i="1"/>
  <c r="F848" i="1"/>
  <c r="G848" i="1"/>
  <c r="H848" i="1"/>
  <c r="I848" i="1"/>
  <c r="J848" i="1"/>
  <c r="K848" i="1"/>
  <c r="L848" i="1"/>
  <c r="A849" i="1"/>
  <c r="B849" i="1"/>
  <c r="C849" i="1"/>
  <c r="D849" i="1"/>
  <c r="E849" i="1"/>
  <c r="F849" i="1"/>
  <c r="G849" i="1"/>
  <c r="H849" i="1"/>
  <c r="I849" i="1"/>
  <c r="J849" i="1"/>
  <c r="K849" i="1"/>
  <c r="L849" i="1"/>
  <c r="A850" i="1"/>
  <c r="B850" i="1"/>
  <c r="C850" i="1"/>
  <c r="D850" i="1"/>
  <c r="E850" i="1"/>
  <c r="F850" i="1"/>
  <c r="G850" i="1"/>
  <c r="H850" i="1"/>
  <c r="I850" i="1"/>
  <c r="J850" i="1"/>
  <c r="K850" i="1"/>
  <c r="L850" i="1"/>
  <c r="A851" i="1"/>
  <c r="B851" i="1"/>
  <c r="C851" i="1"/>
  <c r="D851" i="1"/>
  <c r="E851" i="1"/>
  <c r="F851" i="1"/>
  <c r="G851" i="1"/>
  <c r="H851" i="1"/>
  <c r="I851" i="1"/>
  <c r="J851" i="1"/>
  <c r="K851" i="1"/>
  <c r="L851" i="1"/>
  <c r="A852" i="1"/>
  <c r="B852" i="1"/>
  <c r="C852" i="1"/>
  <c r="D852" i="1"/>
  <c r="E852" i="1"/>
  <c r="F852" i="1"/>
  <c r="G852" i="1"/>
  <c r="H852" i="1"/>
  <c r="I852" i="1"/>
  <c r="J852" i="1"/>
  <c r="K852" i="1"/>
  <c r="L852" i="1"/>
  <c r="A853" i="1"/>
  <c r="B853" i="1"/>
  <c r="C853" i="1"/>
  <c r="D853" i="1"/>
  <c r="E853" i="1"/>
  <c r="F853" i="1"/>
  <c r="G853" i="1"/>
  <c r="H853" i="1"/>
  <c r="I853" i="1"/>
  <c r="J853" i="1"/>
  <c r="K853" i="1"/>
  <c r="L853" i="1"/>
  <c r="A854" i="1"/>
  <c r="B854" i="1"/>
  <c r="C854" i="1"/>
  <c r="D854" i="1"/>
  <c r="E854" i="1"/>
  <c r="F854" i="1"/>
  <c r="G854" i="1"/>
  <c r="H854" i="1"/>
  <c r="I854" i="1"/>
  <c r="J854" i="1"/>
  <c r="K854" i="1"/>
  <c r="L854" i="1"/>
  <c r="A855" i="1"/>
  <c r="B855" i="1"/>
  <c r="C855" i="1"/>
  <c r="D855" i="1"/>
  <c r="E855" i="1"/>
  <c r="F855" i="1"/>
  <c r="G855" i="1"/>
  <c r="H855" i="1"/>
  <c r="I855" i="1"/>
  <c r="J855" i="1"/>
  <c r="K855" i="1"/>
  <c r="L855" i="1"/>
  <c r="A856" i="1"/>
  <c r="B856" i="1"/>
  <c r="C856" i="1"/>
  <c r="D856" i="1"/>
  <c r="E856" i="1"/>
  <c r="F856" i="1"/>
  <c r="G856" i="1"/>
  <c r="H856" i="1"/>
  <c r="I856" i="1"/>
  <c r="J856" i="1"/>
  <c r="K856" i="1"/>
  <c r="L856" i="1"/>
  <c r="A857" i="1"/>
  <c r="B857" i="1"/>
  <c r="C857" i="1"/>
  <c r="D857" i="1"/>
  <c r="E857" i="1"/>
  <c r="F857" i="1"/>
  <c r="G857" i="1"/>
  <c r="H857" i="1"/>
  <c r="I857" i="1"/>
  <c r="J857" i="1"/>
  <c r="K857" i="1"/>
  <c r="L857" i="1"/>
  <c r="A858" i="1"/>
  <c r="B858" i="1"/>
  <c r="C858" i="1"/>
  <c r="D858" i="1"/>
  <c r="E858" i="1"/>
  <c r="F858" i="1"/>
  <c r="G858" i="1"/>
  <c r="H858" i="1"/>
  <c r="I858" i="1"/>
  <c r="J858" i="1"/>
  <c r="K858" i="1"/>
  <c r="L858" i="1"/>
  <c r="A859" i="1"/>
  <c r="B859" i="1"/>
  <c r="C859" i="1"/>
  <c r="D859" i="1"/>
  <c r="E859" i="1"/>
  <c r="F859" i="1"/>
  <c r="G859" i="1"/>
  <c r="H859" i="1"/>
  <c r="I859" i="1"/>
  <c r="J859" i="1"/>
  <c r="K859" i="1"/>
  <c r="L859" i="1"/>
  <c r="A860" i="1"/>
  <c r="B860" i="1"/>
  <c r="C860" i="1"/>
  <c r="D860" i="1"/>
  <c r="E860" i="1"/>
  <c r="F860" i="1"/>
  <c r="G860" i="1"/>
  <c r="H860" i="1"/>
  <c r="I860" i="1"/>
  <c r="J860" i="1"/>
  <c r="K860" i="1"/>
  <c r="L860" i="1"/>
  <c r="A861" i="1"/>
  <c r="B861" i="1"/>
  <c r="C861" i="1"/>
  <c r="D861" i="1"/>
  <c r="E861" i="1"/>
  <c r="F861" i="1"/>
  <c r="G861" i="1"/>
  <c r="H861" i="1"/>
  <c r="I861" i="1"/>
  <c r="J861" i="1"/>
  <c r="K861" i="1"/>
  <c r="L861" i="1"/>
  <c r="A862" i="1"/>
  <c r="B862" i="1"/>
  <c r="C862" i="1"/>
  <c r="D862" i="1"/>
  <c r="E862" i="1"/>
  <c r="F862" i="1"/>
  <c r="G862" i="1"/>
  <c r="H862" i="1"/>
  <c r="I862" i="1"/>
  <c r="J862" i="1"/>
  <c r="K862" i="1"/>
  <c r="L862" i="1"/>
  <c r="A863" i="1"/>
  <c r="B863" i="1"/>
  <c r="C863" i="1"/>
  <c r="D863" i="1"/>
  <c r="E863" i="1"/>
  <c r="F863" i="1"/>
  <c r="G863" i="1"/>
  <c r="H863" i="1"/>
  <c r="I863" i="1"/>
  <c r="J863" i="1"/>
  <c r="K863" i="1"/>
  <c r="L863" i="1"/>
  <c r="A864" i="1"/>
  <c r="B864" i="1"/>
  <c r="C864" i="1"/>
  <c r="D864" i="1"/>
  <c r="E864" i="1"/>
  <c r="F864" i="1"/>
  <c r="G864" i="1"/>
  <c r="H864" i="1"/>
  <c r="I864" i="1"/>
  <c r="J864" i="1"/>
  <c r="K864" i="1"/>
  <c r="L864" i="1"/>
  <c r="A865" i="1"/>
  <c r="B865" i="1"/>
  <c r="C865" i="1"/>
  <c r="D865" i="1"/>
  <c r="E865" i="1"/>
  <c r="F865" i="1"/>
  <c r="G865" i="1"/>
  <c r="H865" i="1"/>
  <c r="I865" i="1"/>
  <c r="J865" i="1"/>
  <c r="K865" i="1"/>
  <c r="L865" i="1"/>
  <c r="A866" i="1"/>
  <c r="B866" i="1"/>
  <c r="C866" i="1"/>
  <c r="D866" i="1"/>
  <c r="E866" i="1"/>
  <c r="F866" i="1"/>
  <c r="G866" i="1"/>
  <c r="H866" i="1"/>
  <c r="I866" i="1"/>
  <c r="J866" i="1"/>
  <c r="K866" i="1"/>
  <c r="L866" i="1"/>
  <c r="A867" i="1"/>
  <c r="B867" i="1"/>
  <c r="C867" i="1"/>
  <c r="D867" i="1"/>
  <c r="E867" i="1"/>
  <c r="F867" i="1"/>
  <c r="G867" i="1"/>
  <c r="H867" i="1"/>
  <c r="I867" i="1"/>
  <c r="J867" i="1"/>
  <c r="K867" i="1"/>
  <c r="L867" i="1"/>
  <c r="A868" i="1"/>
  <c r="B868" i="1"/>
  <c r="C868" i="1"/>
  <c r="D868" i="1"/>
  <c r="E868" i="1"/>
  <c r="F868" i="1"/>
  <c r="G868" i="1"/>
  <c r="H868" i="1"/>
  <c r="I868" i="1"/>
  <c r="J868" i="1"/>
  <c r="K868" i="1"/>
  <c r="L868" i="1"/>
  <c r="A869" i="1"/>
  <c r="B869" i="1"/>
  <c r="C869" i="1"/>
  <c r="D869" i="1"/>
  <c r="E869" i="1"/>
  <c r="F869" i="1"/>
  <c r="G869" i="1"/>
  <c r="H869" i="1"/>
  <c r="I869" i="1"/>
  <c r="J869" i="1"/>
  <c r="K869" i="1"/>
  <c r="L869" i="1"/>
  <c r="A870" i="1"/>
  <c r="B870" i="1"/>
  <c r="C870" i="1"/>
  <c r="D870" i="1"/>
  <c r="E870" i="1"/>
  <c r="F870" i="1"/>
  <c r="G870" i="1"/>
  <c r="H870" i="1"/>
  <c r="I870" i="1"/>
  <c r="J870" i="1"/>
  <c r="K870" i="1"/>
  <c r="L870" i="1"/>
  <c r="A871" i="1"/>
  <c r="B871" i="1"/>
  <c r="C871" i="1"/>
  <c r="D871" i="1"/>
  <c r="E871" i="1"/>
  <c r="F871" i="1"/>
  <c r="G871" i="1"/>
  <c r="H871" i="1"/>
  <c r="I871" i="1"/>
  <c r="J871" i="1"/>
  <c r="K871" i="1"/>
  <c r="L871" i="1"/>
  <c r="A872" i="1"/>
  <c r="B872" i="1"/>
  <c r="C872" i="1"/>
  <c r="D872" i="1"/>
  <c r="E872" i="1"/>
  <c r="F872" i="1"/>
  <c r="G872" i="1"/>
  <c r="H872" i="1"/>
  <c r="I872" i="1"/>
  <c r="J872" i="1"/>
  <c r="K872" i="1"/>
  <c r="L872" i="1"/>
  <c r="A873" i="1"/>
  <c r="B873" i="1"/>
  <c r="C873" i="1"/>
  <c r="D873" i="1"/>
  <c r="E873" i="1"/>
  <c r="F873" i="1"/>
  <c r="G873" i="1"/>
  <c r="H873" i="1"/>
  <c r="I873" i="1"/>
  <c r="J873" i="1"/>
  <c r="K873" i="1"/>
  <c r="L873" i="1"/>
  <c r="A874" i="1"/>
  <c r="B874" i="1"/>
  <c r="C874" i="1"/>
  <c r="D874" i="1"/>
  <c r="E874" i="1"/>
  <c r="F874" i="1"/>
  <c r="G874" i="1"/>
  <c r="H874" i="1"/>
  <c r="I874" i="1"/>
  <c r="J874" i="1"/>
  <c r="K874" i="1"/>
  <c r="L874" i="1"/>
  <c r="A875" i="1"/>
  <c r="B875" i="1"/>
  <c r="C875" i="1"/>
  <c r="D875" i="1"/>
  <c r="E875" i="1"/>
  <c r="F875" i="1"/>
  <c r="G875" i="1"/>
  <c r="H875" i="1"/>
  <c r="I875" i="1"/>
  <c r="J875" i="1"/>
  <c r="K875" i="1"/>
  <c r="L875" i="1"/>
  <c r="A876" i="1"/>
  <c r="B876" i="1"/>
  <c r="C876" i="1"/>
  <c r="D876" i="1"/>
  <c r="E876" i="1"/>
  <c r="F876" i="1"/>
  <c r="G876" i="1"/>
  <c r="H876" i="1"/>
  <c r="I876" i="1"/>
  <c r="J876" i="1"/>
  <c r="K876" i="1"/>
  <c r="L876" i="1"/>
  <c r="A877" i="1"/>
  <c r="B877" i="1"/>
  <c r="C877" i="1"/>
  <c r="D877" i="1"/>
  <c r="E877" i="1"/>
  <c r="F877" i="1"/>
  <c r="G877" i="1"/>
  <c r="H877" i="1"/>
  <c r="I877" i="1"/>
  <c r="J877" i="1"/>
  <c r="K877" i="1"/>
  <c r="L877" i="1"/>
  <c r="A878" i="1"/>
  <c r="B878" i="1"/>
  <c r="C878" i="1"/>
  <c r="D878" i="1"/>
  <c r="E878" i="1"/>
  <c r="F878" i="1"/>
  <c r="G878" i="1"/>
  <c r="H878" i="1"/>
  <c r="I878" i="1"/>
  <c r="J878" i="1"/>
  <c r="K878" i="1"/>
  <c r="L878" i="1"/>
  <c r="A879" i="1"/>
  <c r="B879" i="1"/>
  <c r="C879" i="1"/>
  <c r="D879" i="1"/>
  <c r="E879" i="1"/>
  <c r="F879" i="1"/>
  <c r="G879" i="1"/>
  <c r="H879" i="1"/>
  <c r="I879" i="1"/>
  <c r="J879" i="1"/>
  <c r="K879" i="1"/>
  <c r="L879" i="1"/>
  <c r="A880" i="1"/>
  <c r="B880" i="1"/>
  <c r="C880" i="1"/>
  <c r="D880" i="1"/>
  <c r="E880" i="1"/>
  <c r="F880" i="1"/>
  <c r="G880" i="1"/>
  <c r="H880" i="1"/>
  <c r="I880" i="1"/>
  <c r="J880" i="1"/>
  <c r="K880" i="1"/>
  <c r="L880" i="1"/>
  <c r="A881" i="1"/>
  <c r="B881" i="1"/>
  <c r="C881" i="1"/>
  <c r="D881" i="1"/>
  <c r="E881" i="1"/>
  <c r="F881" i="1"/>
  <c r="G881" i="1"/>
  <c r="H881" i="1"/>
  <c r="I881" i="1"/>
  <c r="J881" i="1"/>
  <c r="K881" i="1"/>
  <c r="L881" i="1"/>
  <c r="A882" i="1"/>
  <c r="B882" i="1"/>
  <c r="C882" i="1"/>
  <c r="D882" i="1"/>
  <c r="E882" i="1"/>
  <c r="F882" i="1"/>
  <c r="G882" i="1"/>
  <c r="H882" i="1"/>
  <c r="I882" i="1"/>
  <c r="J882" i="1"/>
  <c r="K882" i="1"/>
  <c r="L882" i="1"/>
  <c r="A883" i="1"/>
  <c r="B883" i="1"/>
  <c r="C883" i="1"/>
  <c r="D883" i="1"/>
  <c r="E883" i="1"/>
  <c r="F883" i="1"/>
  <c r="G883" i="1"/>
  <c r="H883" i="1"/>
  <c r="I883" i="1"/>
  <c r="J883" i="1"/>
  <c r="K883" i="1"/>
  <c r="L883" i="1"/>
  <c r="A884" i="1"/>
  <c r="B884" i="1"/>
  <c r="C884" i="1"/>
  <c r="D884" i="1"/>
  <c r="E884" i="1"/>
  <c r="F884" i="1"/>
  <c r="G884" i="1"/>
  <c r="H884" i="1"/>
  <c r="I884" i="1"/>
  <c r="J884" i="1"/>
  <c r="K884" i="1"/>
  <c r="L884" i="1"/>
  <c r="A885" i="1"/>
  <c r="B885" i="1"/>
  <c r="C885" i="1"/>
  <c r="D885" i="1"/>
  <c r="E885" i="1"/>
  <c r="F885" i="1"/>
  <c r="G885" i="1"/>
  <c r="H885" i="1"/>
  <c r="I885" i="1"/>
  <c r="J885" i="1"/>
  <c r="K885" i="1"/>
  <c r="L885" i="1"/>
  <c r="A886" i="1"/>
  <c r="B886" i="1"/>
  <c r="C886" i="1"/>
  <c r="D886" i="1"/>
  <c r="E886" i="1"/>
  <c r="F886" i="1"/>
  <c r="G886" i="1"/>
  <c r="H886" i="1"/>
  <c r="I886" i="1"/>
  <c r="J886" i="1"/>
  <c r="K886" i="1"/>
  <c r="L886" i="1"/>
  <c r="A887" i="1"/>
  <c r="B887" i="1"/>
  <c r="C887" i="1"/>
  <c r="D887" i="1"/>
  <c r="E887" i="1"/>
  <c r="F887" i="1"/>
  <c r="G887" i="1"/>
  <c r="H887" i="1"/>
  <c r="I887" i="1"/>
  <c r="J887" i="1"/>
  <c r="K887" i="1"/>
  <c r="L887" i="1"/>
  <c r="A888" i="1"/>
  <c r="B888" i="1"/>
  <c r="C888" i="1"/>
  <c r="D888" i="1"/>
  <c r="E888" i="1"/>
  <c r="F888" i="1"/>
  <c r="G888" i="1"/>
  <c r="H888" i="1"/>
  <c r="I888" i="1"/>
  <c r="J888" i="1"/>
  <c r="K888" i="1"/>
  <c r="L888" i="1"/>
  <c r="A889" i="1"/>
  <c r="B889" i="1"/>
  <c r="C889" i="1"/>
  <c r="D889" i="1"/>
  <c r="E889" i="1"/>
  <c r="F889" i="1"/>
  <c r="G889" i="1"/>
  <c r="H889" i="1"/>
  <c r="I889" i="1"/>
  <c r="J889" i="1"/>
  <c r="K889" i="1"/>
  <c r="L889" i="1"/>
  <c r="A890" i="1"/>
  <c r="B890" i="1"/>
  <c r="C890" i="1"/>
  <c r="D890" i="1"/>
  <c r="E890" i="1"/>
  <c r="F890" i="1"/>
  <c r="G890" i="1"/>
  <c r="H890" i="1"/>
  <c r="I890" i="1"/>
  <c r="J890" i="1"/>
  <c r="K890" i="1"/>
  <c r="L890" i="1"/>
  <c r="A891" i="1"/>
  <c r="B891" i="1"/>
  <c r="C891" i="1"/>
  <c r="D891" i="1"/>
  <c r="E891" i="1"/>
  <c r="F891" i="1"/>
  <c r="G891" i="1"/>
  <c r="H891" i="1"/>
  <c r="I891" i="1"/>
  <c r="J891" i="1"/>
  <c r="K891" i="1"/>
  <c r="L891" i="1"/>
  <c r="A892" i="1"/>
  <c r="B892" i="1"/>
  <c r="C892" i="1"/>
  <c r="D892" i="1"/>
  <c r="E892" i="1"/>
  <c r="F892" i="1"/>
  <c r="G892" i="1"/>
  <c r="H892" i="1"/>
  <c r="I892" i="1"/>
  <c r="J892" i="1"/>
  <c r="K892" i="1"/>
  <c r="L892" i="1"/>
  <c r="A893" i="1"/>
  <c r="B893" i="1"/>
  <c r="C893" i="1"/>
  <c r="D893" i="1"/>
  <c r="E893" i="1"/>
  <c r="F893" i="1"/>
  <c r="G893" i="1"/>
  <c r="H893" i="1"/>
  <c r="I893" i="1"/>
  <c r="J893" i="1"/>
  <c r="K893" i="1"/>
  <c r="L893" i="1"/>
  <c r="A894" i="1"/>
  <c r="B894" i="1"/>
  <c r="C894" i="1"/>
  <c r="D894" i="1"/>
  <c r="E894" i="1"/>
  <c r="F894" i="1"/>
  <c r="G894" i="1"/>
  <c r="H894" i="1"/>
  <c r="I894" i="1"/>
  <c r="J894" i="1"/>
  <c r="K894" i="1"/>
  <c r="L894" i="1"/>
  <c r="A895" i="1"/>
  <c r="B895" i="1"/>
  <c r="C895" i="1"/>
  <c r="D895" i="1"/>
  <c r="E895" i="1"/>
  <c r="F895" i="1"/>
  <c r="G895" i="1"/>
  <c r="H895" i="1"/>
  <c r="I895" i="1"/>
  <c r="J895" i="1"/>
  <c r="K895" i="1"/>
  <c r="L895" i="1"/>
  <c r="A896" i="1"/>
  <c r="B896" i="1"/>
  <c r="C896" i="1"/>
  <c r="D896" i="1"/>
  <c r="E896" i="1"/>
  <c r="F896" i="1"/>
  <c r="G896" i="1"/>
  <c r="H896" i="1"/>
  <c r="I896" i="1"/>
  <c r="J896" i="1"/>
  <c r="K896" i="1"/>
  <c r="L896" i="1"/>
  <c r="A897" i="1"/>
  <c r="B897" i="1"/>
  <c r="C897" i="1"/>
  <c r="D897" i="1"/>
  <c r="E897" i="1"/>
  <c r="F897" i="1"/>
  <c r="G897" i="1"/>
  <c r="H897" i="1"/>
  <c r="I897" i="1"/>
  <c r="J897" i="1"/>
  <c r="K897" i="1"/>
  <c r="L897" i="1"/>
  <c r="A898" i="1"/>
  <c r="B898" i="1"/>
  <c r="C898" i="1"/>
  <c r="D898" i="1"/>
  <c r="E898" i="1"/>
  <c r="F898" i="1"/>
  <c r="G898" i="1"/>
  <c r="H898" i="1"/>
  <c r="I898" i="1"/>
  <c r="J898" i="1"/>
  <c r="K898" i="1"/>
  <c r="L898" i="1"/>
  <c r="A899" i="1"/>
  <c r="B899" i="1"/>
  <c r="C899" i="1"/>
  <c r="D899" i="1"/>
  <c r="E899" i="1"/>
  <c r="F899" i="1"/>
  <c r="G899" i="1"/>
  <c r="H899" i="1"/>
  <c r="I899" i="1"/>
  <c r="J899" i="1"/>
  <c r="K899" i="1"/>
  <c r="L899" i="1"/>
  <c r="A900" i="1"/>
  <c r="B900" i="1"/>
  <c r="C900" i="1"/>
  <c r="D900" i="1"/>
  <c r="E900" i="1"/>
  <c r="F900" i="1"/>
  <c r="G900" i="1"/>
  <c r="H900" i="1"/>
  <c r="I900" i="1"/>
  <c r="J900" i="1"/>
  <c r="K900" i="1"/>
  <c r="L900" i="1"/>
  <c r="A901" i="1"/>
  <c r="B901" i="1"/>
  <c r="C901" i="1"/>
  <c r="D901" i="1"/>
  <c r="E901" i="1"/>
  <c r="F901" i="1"/>
  <c r="G901" i="1"/>
  <c r="H901" i="1"/>
  <c r="I901" i="1"/>
  <c r="J901" i="1"/>
  <c r="K901" i="1"/>
  <c r="L901" i="1"/>
  <c r="A902" i="1"/>
  <c r="B902" i="1"/>
  <c r="C902" i="1"/>
  <c r="D902" i="1"/>
  <c r="E902" i="1"/>
  <c r="F902" i="1"/>
  <c r="G902" i="1"/>
  <c r="H902" i="1"/>
  <c r="I902" i="1"/>
  <c r="J902" i="1"/>
  <c r="K902" i="1"/>
  <c r="L902" i="1"/>
  <c r="A903" i="1"/>
  <c r="B903" i="1"/>
  <c r="C903" i="1"/>
  <c r="D903" i="1"/>
  <c r="E903" i="1"/>
  <c r="F903" i="1"/>
  <c r="G903" i="1"/>
  <c r="H903" i="1"/>
  <c r="I903" i="1"/>
  <c r="J903" i="1"/>
  <c r="K903" i="1"/>
  <c r="L903" i="1"/>
  <c r="A904" i="1"/>
  <c r="B904" i="1"/>
  <c r="C904" i="1"/>
  <c r="D904" i="1"/>
  <c r="E904" i="1"/>
  <c r="F904" i="1"/>
  <c r="G904" i="1"/>
  <c r="H904" i="1"/>
  <c r="I904" i="1"/>
  <c r="J904" i="1"/>
  <c r="K904" i="1"/>
  <c r="L904" i="1"/>
  <c r="A905" i="1"/>
  <c r="B905" i="1"/>
  <c r="C905" i="1"/>
  <c r="D905" i="1"/>
  <c r="E905" i="1"/>
  <c r="F905" i="1"/>
  <c r="G905" i="1"/>
  <c r="H905" i="1"/>
  <c r="I905" i="1"/>
  <c r="J905" i="1"/>
  <c r="K905" i="1"/>
  <c r="L905" i="1"/>
  <c r="A906" i="1"/>
  <c r="B906" i="1"/>
  <c r="C906" i="1"/>
  <c r="D906" i="1"/>
  <c r="E906" i="1"/>
  <c r="F906" i="1"/>
  <c r="G906" i="1"/>
  <c r="H906" i="1"/>
  <c r="I906" i="1"/>
  <c r="J906" i="1"/>
  <c r="K906" i="1"/>
  <c r="L906" i="1"/>
  <c r="A907" i="1"/>
  <c r="B907" i="1"/>
  <c r="C907" i="1"/>
  <c r="D907" i="1"/>
  <c r="E907" i="1"/>
  <c r="F907" i="1"/>
  <c r="G907" i="1"/>
  <c r="H907" i="1"/>
  <c r="I907" i="1"/>
  <c r="J907" i="1"/>
  <c r="K907" i="1"/>
  <c r="L907" i="1"/>
  <c r="A908" i="1"/>
  <c r="B908" i="1"/>
  <c r="C908" i="1"/>
  <c r="D908" i="1"/>
  <c r="E908" i="1"/>
  <c r="F908" i="1"/>
  <c r="G908" i="1"/>
  <c r="H908" i="1"/>
  <c r="I908" i="1"/>
  <c r="J908" i="1"/>
  <c r="K908" i="1"/>
  <c r="L908" i="1"/>
  <c r="A909" i="1"/>
  <c r="B909" i="1"/>
  <c r="C909" i="1"/>
  <c r="D909" i="1"/>
  <c r="E909" i="1"/>
  <c r="F909" i="1"/>
  <c r="G909" i="1"/>
  <c r="H909" i="1"/>
  <c r="I909" i="1"/>
  <c r="J909" i="1"/>
  <c r="K909" i="1"/>
  <c r="L909" i="1"/>
  <c r="A910" i="1"/>
  <c r="B910" i="1"/>
  <c r="C910" i="1"/>
  <c r="D910" i="1"/>
  <c r="E910" i="1"/>
  <c r="F910" i="1"/>
  <c r="G910" i="1"/>
  <c r="H910" i="1"/>
  <c r="I910" i="1"/>
  <c r="J910" i="1"/>
  <c r="K910" i="1"/>
  <c r="L910" i="1"/>
  <c r="A911" i="1"/>
  <c r="B911" i="1"/>
  <c r="C911" i="1"/>
  <c r="D911" i="1"/>
  <c r="E911" i="1"/>
  <c r="F911" i="1"/>
  <c r="G911" i="1"/>
  <c r="H911" i="1"/>
  <c r="I911" i="1"/>
  <c r="J911" i="1"/>
  <c r="K911" i="1"/>
  <c r="L911" i="1"/>
  <c r="A912" i="1"/>
  <c r="B912" i="1"/>
  <c r="C912" i="1"/>
  <c r="D912" i="1"/>
  <c r="E912" i="1"/>
  <c r="F912" i="1"/>
  <c r="G912" i="1"/>
  <c r="H912" i="1"/>
  <c r="I912" i="1"/>
  <c r="J912" i="1"/>
  <c r="K912" i="1"/>
  <c r="L912" i="1"/>
  <c r="A913" i="1"/>
  <c r="B913" i="1"/>
  <c r="C913" i="1"/>
  <c r="D913" i="1"/>
  <c r="E913" i="1"/>
  <c r="F913" i="1"/>
  <c r="G913" i="1"/>
  <c r="H913" i="1"/>
  <c r="I913" i="1"/>
  <c r="J913" i="1"/>
  <c r="K913" i="1"/>
  <c r="L913" i="1"/>
  <c r="A914" i="1"/>
  <c r="B914" i="1"/>
  <c r="C914" i="1"/>
  <c r="D914" i="1"/>
  <c r="E914" i="1"/>
  <c r="F914" i="1"/>
  <c r="G914" i="1"/>
  <c r="H914" i="1"/>
  <c r="I914" i="1"/>
  <c r="J914" i="1"/>
  <c r="K914" i="1"/>
  <c r="L914" i="1"/>
  <c r="A915" i="1"/>
  <c r="B915" i="1"/>
  <c r="C915" i="1"/>
  <c r="D915" i="1"/>
  <c r="E915" i="1"/>
  <c r="F915" i="1"/>
  <c r="G915" i="1"/>
  <c r="H915" i="1"/>
  <c r="I915" i="1"/>
  <c r="J915" i="1"/>
  <c r="K915" i="1"/>
  <c r="L915" i="1"/>
  <c r="A916" i="1"/>
  <c r="B916" i="1"/>
  <c r="C916" i="1"/>
  <c r="D916" i="1"/>
  <c r="E916" i="1"/>
  <c r="F916" i="1"/>
  <c r="G916" i="1"/>
  <c r="H916" i="1"/>
  <c r="I916" i="1"/>
  <c r="J916" i="1"/>
  <c r="K916" i="1"/>
  <c r="L916" i="1"/>
  <c r="A917" i="1"/>
  <c r="B917" i="1"/>
  <c r="C917" i="1"/>
  <c r="D917" i="1"/>
  <c r="E917" i="1"/>
  <c r="F917" i="1"/>
  <c r="G917" i="1"/>
  <c r="H917" i="1"/>
  <c r="I917" i="1"/>
  <c r="J917" i="1"/>
  <c r="K917" i="1"/>
  <c r="L917" i="1"/>
  <c r="A918" i="1"/>
  <c r="B918" i="1"/>
  <c r="C918" i="1"/>
  <c r="D918" i="1"/>
  <c r="E918" i="1"/>
  <c r="F918" i="1"/>
  <c r="G918" i="1"/>
  <c r="H918" i="1"/>
  <c r="I918" i="1"/>
  <c r="J918" i="1"/>
  <c r="K918" i="1"/>
  <c r="L918" i="1"/>
  <c r="A919" i="1"/>
  <c r="B919" i="1"/>
  <c r="C919" i="1"/>
  <c r="D919" i="1"/>
  <c r="E919" i="1"/>
  <c r="F919" i="1"/>
  <c r="G919" i="1"/>
  <c r="H919" i="1"/>
  <c r="I919" i="1"/>
  <c r="J919" i="1"/>
  <c r="K919" i="1"/>
  <c r="L919" i="1"/>
  <c r="A920" i="1"/>
  <c r="B920" i="1"/>
  <c r="C920" i="1"/>
  <c r="D920" i="1"/>
  <c r="E920" i="1"/>
  <c r="F920" i="1"/>
  <c r="G920" i="1"/>
  <c r="H920" i="1"/>
  <c r="I920" i="1"/>
  <c r="J920" i="1"/>
  <c r="K920" i="1"/>
  <c r="L920" i="1"/>
  <c r="A921" i="1"/>
  <c r="B921" i="1"/>
  <c r="C921" i="1"/>
  <c r="D921" i="1"/>
  <c r="E921" i="1"/>
  <c r="F921" i="1"/>
  <c r="G921" i="1"/>
  <c r="H921" i="1"/>
  <c r="I921" i="1"/>
  <c r="J921" i="1"/>
  <c r="K921" i="1"/>
  <c r="L921" i="1"/>
  <c r="A922" i="1"/>
  <c r="B922" i="1"/>
  <c r="C922" i="1"/>
  <c r="D922" i="1"/>
  <c r="E922" i="1"/>
  <c r="F922" i="1"/>
  <c r="G922" i="1"/>
  <c r="H922" i="1"/>
  <c r="I922" i="1"/>
  <c r="J922" i="1"/>
  <c r="K922" i="1"/>
  <c r="L922" i="1"/>
  <c r="A923" i="1"/>
  <c r="B923" i="1"/>
  <c r="C923" i="1"/>
  <c r="D923" i="1"/>
  <c r="E923" i="1"/>
  <c r="F923" i="1"/>
  <c r="G923" i="1"/>
  <c r="H923" i="1"/>
  <c r="I923" i="1"/>
  <c r="J923" i="1"/>
  <c r="K923" i="1"/>
  <c r="L923" i="1"/>
  <c r="A924" i="1"/>
  <c r="B924" i="1"/>
  <c r="C924" i="1"/>
  <c r="D924" i="1"/>
  <c r="E924" i="1"/>
  <c r="F924" i="1"/>
  <c r="G924" i="1"/>
  <c r="H924" i="1"/>
  <c r="I924" i="1"/>
  <c r="J924" i="1"/>
  <c r="K924" i="1"/>
  <c r="L924" i="1"/>
  <c r="A925" i="1"/>
  <c r="B925" i="1"/>
  <c r="C925" i="1"/>
  <c r="D925" i="1"/>
  <c r="E925" i="1"/>
  <c r="F925" i="1"/>
  <c r="G925" i="1"/>
  <c r="H925" i="1"/>
  <c r="I925" i="1"/>
  <c r="J925" i="1"/>
  <c r="K925" i="1"/>
  <c r="L925" i="1"/>
  <c r="A926" i="1"/>
  <c r="B926" i="1"/>
  <c r="C926" i="1"/>
  <c r="D926" i="1"/>
  <c r="E926" i="1"/>
  <c r="F926" i="1"/>
  <c r="G926" i="1"/>
  <c r="H926" i="1"/>
  <c r="I926" i="1"/>
  <c r="J926" i="1"/>
  <c r="K926" i="1"/>
  <c r="L926" i="1"/>
  <c r="A927" i="1"/>
  <c r="B927" i="1"/>
  <c r="C927" i="1"/>
  <c r="D927" i="1"/>
  <c r="E927" i="1"/>
  <c r="F927" i="1"/>
  <c r="G927" i="1"/>
  <c r="H927" i="1"/>
  <c r="I927" i="1"/>
  <c r="J927" i="1"/>
  <c r="K927" i="1"/>
  <c r="L927" i="1"/>
  <c r="A928" i="1"/>
  <c r="B928" i="1"/>
  <c r="C928" i="1"/>
  <c r="D928" i="1"/>
  <c r="E928" i="1"/>
  <c r="F928" i="1"/>
  <c r="G928" i="1"/>
  <c r="H928" i="1"/>
  <c r="I928" i="1"/>
  <c r="J928" i="1"/>
  <c r="K928" i="1"/>
  <c r="L928" i="1"/>
  <c r="A929" i="1"/>
  <c r="B929" i="1"/>
  <c r="C929" i="1"/>
  <c r="D929" i="1"/>
  <c r="E929" i="1"/>
  <c r="F929" i="1"/>
  <c r="G929" i="1"/>
  <c r="H929" i="1"/>
  <c r="I929" i="1"/>
  <c r="J929" i="1"/>
  <c r="K929" i="1"/>
  <c r="L929" i="1"/>
  <c r="A930" i="1"/>
  <c r="B930" i="1"/>
  <c r="C930" i="1"/>
  <c r="D930" i="1"/>
  <c r="E930" i="1"/>
  <c r="F930" i="1"/>
  <c r="G930" i="1"/>
  <c r="H930" i="1"/>
  <c r="I930" i="1"/>
  <c r="J930" i="1"/>
  <c r="K930" i="1"/>
  <c r="L930" i="1"/>
  <c r="A931" i="1"/>
  <c r="B931" i="1"/>
  <c r="C931" i="1"/>
  <c r="D931" i="1"/>
  <c r="E931" i="1"/>
  <c r="F931" i="1"/>
  <c r="G931" i="1"/>
  <c r="H931" i="1"/>
  <c r="I931" i="1"/>
  <c r="J931" i="1"/>
  <c r="K931" i="1"/>
  <c r="L931" i="1"/>
  <c r="A932" i="1"/>
  <c r="B932" i="1"/>
  <c r="C932" i="1"/>
  <c r="D932" i="1"/>
  <c r="E932" i="1"/>
  <c r="F932" i="1"/>
  <c r="G932" i="1"/>
  <c r="H932" i="1"/>
  <c r="I932" i="1"/>
  <c r="J932" i="1"/>
  <c r="K932" i="1"/>
  <c r="L932" i="1"/>
  <c r="A933" i="1"/>
  <c r="B933" i="1"/>
  <c r="C933" i="1"/>
  <c r="D933" i="1"/>
  <c r="E933" i="1"/>
  <c r="F933" i="1"/>
  <c r="G933" i="1"/>
  <c r="H933" i="1"/>
  <c r="I933" i="1"/>
  <c r="J933" i="1"/>
  <c r="K933" i="1"/>
  <c r="L933" i="1"/>
  <c r="A934" i="1"/>
  <c r="B934" i="1"/>
  <c r="C934" i="1"/>
  <c r="D934" i="1"/>
  <c r="E934" i="1"/>
  <c r="F934" i="1"/>
  <c r="G934" i="1"/>
  <c r="H934" i="1"/>
  <c r="I934" i="1"/>
  <c r="J934" i="1"/>
  <c r="K934" i="1"/>
  <c r="L934" i="1"/>
  <c r="A935" i="1"/>
  <c r="B935" i="1"/>
  <c r="C935" i="1"/>
  <c r="D935" i="1"/>
  <c r="E935" i="1"/>
  <c r="F935" i="1"/>
  <c r="G935" i="1"/>
  <c r="H935" i="1"/>
  <c r="I935" i="1"/>
  <c r="J935" i="1"/>
  <c r="K935" i="1"/>
  <c r="L935" i="1"/>
  <c r="A936" i="1"/>
  <c r="B936" i="1"/>
  <c r="C936" i="1"/>
  <c r="D936" i="1"/>
  <c r="E936" i="1"/>
  <c r="F936" i="1"/>
  <c r="G936" i="1"/>
  <c r="H936" i="1"/>
  <c r="I936" i="1"/>
  <c r="J936" i="1"/>
  <c r="K936" i="1"/>
  <c r="L936" i="1"/>
  <c r="A937" i="1"/>
  <c r="B937" i="1"/>
  <c r="C937" i="1"/>
  <c r="D937" i="1"/>
  <c r="E937" i="1"/>
  <c r="F937" i="1"/>
  <c r="G937" i="1"/>
  <c r="H937" i="1"/>
  <c r="I937" i="1"/>
  <c r="J937" i="1"/>
  <c r="K937" i="1"/>
  <c r="L937" i="1"/>
  <c r="A938" i="1"/>
  <c r="B938" i="1"/>
  <c r="C938" i="1"/>
  <c r="D938" i="1"/>
  <c r="E938" i="1"/>
  <c r="F938" i="1"/>
  <c r="G938" i="1"/>
  <c r="H938" i="1"/>
  <c r="I938" i="1"/>
  <c r="J938" i="1"/>
  <c r="K938" i="1"/>
  <c r="L938" i="1"/>
  <c r="A939" i="1"/>
  <c r="B939" i="1"/>
  <c r="C939" i="1"/>
  <c r="D939" i="1"/>
  <c r="E939" i="1"/>
  <c r="F939" i="1"/>
  <c r="G939" i="1"/>
  <c r="H939" i="1"/>
  <c r="I939" i="1"/>
  <c r="J939" i="1"/>
  <c r="K939" i="1"/>
  <c r="L939" i="1"/>
  <c r="A940" i="1"/>
  <c r="B940" i="1"/>
  <c r="C940" i="1"/>
  <c r="D940" i="1"/>
  <c r="E940" i="1"/>
  <c r="F940" i="1"/>
  <c r="G940" i="1"/>
  <c r="H940" i="1"/>
  <c r="I940" i="1"/>
  <c r="J940" i="1"/>
  <c r="K940" i="1"/>
  <c r="L940" i="1"/>
  <c r="A941" i="1"/>
  <c r="B941" i="1"/>
  <c r="C941" i="1"/>
  <c r="D941" i="1"/>
  <c r="E941" i="1"/>
  <c r="F941" i="1"/>
  <c r="G941" i="1"/>
  <c r="H941" i="1"/>
  <c r="I941" i="1"/>
  <c r="J941" i="1"/>
  <c r="K941" i="1"/>
  <c r="L941" i="1"/>
  <c r="A942" i="1"/>
  <c r="B942" i="1"/>
  <c r="C942" i="1"/>
  <c r="D942" i="1"/>
  <c r="E942" i="1"/>
  <c r="F942" i="1"/>
  <c r="G942" i="1"/>
  <c r="H942" i="1"/>
  <c r="I942" i="1"/>
  <c r="J942" i="1"/>
  <c r="K942" i="1"/>
  <c r="L942" i="1"/>
  <c r="A943" i="1"/>
  <c r="B943" i="1"/>
  <c r="C943" i="1"/>
  <c r="D943" i="1"/>
  <c r="E943" i="1"/>
  <c r="F943" i="1"/>
  <c r="G943" i="1"/>
  <c r="H943" i="1"/>
  <c r="I943" i="1"/>
  <c r="J943" i="1"/>
  <c r="K943" i="1"/>
  <c r="L943" i="1"/>
  <c r="A944" i="1"/>
  <c r="B944" i="1"/>
  <c r="C944" i="1"/>
  <c r="D944" i="1"/>
  <c r="E944" i="1"/>
  <c r="F944" i="1"/>
  <c r="G944" i="1"/>
  <c r="H944" i="1"/>
  <c r="I944" i="1"/>
  <c r="J944" i="1"/>
  <c r="K944" i="1"/>
  <c r="L944" i="1"/>
  <c r="A945" i="1"/>
  <c r="B945" i="1"/>
  <c r="C945" i="1"/>
  <c r="D945" i="1"/>
  <c r="E945" i="1"/>
  <c r="F945" i="1"/>
  <c r="G945" i="1"/>
  <c r="H945" i="1"/>
  <c r="I945" i="1"/>
  <c r="J945" i="1"/>
  <c r="K945" i="1"/>
  <c r="L945" i="1"/>
  <c r="A946" i="1"/>
  <c r="B946" i="1"/>
  <c r="C946" i="1"/>
  <c r="D946" i="1"/>
  <c r="E946" i="1"/>
  <c r="F946" i="1"/>
  <c r="G946" i="1"/>
  <c r="H946" i="1"/>
  <c r="I946" i="1"/>
  <c r="J946" i="1"/>
  <c r="K946" i="1"/>
  <c r="L946" i="1"/>
  <c r="A947" i="1"/>
  <c r="B947" i="1"/>
  <c r="C947" i="1"/>
  <c r="D947" i="1"/>
  <c r="E947" i="1"/>
  <c r="F947" i="1"/>
  <c r="G947" i="1"/>
  <c r="H947" i="1"/>
  <c r="I947" i="1"/>
  <c r="J947" i="1"/>
  <c r="K947" i="1"/>
  <c r="L947" i="1"/>
  <c r="A948" i="1"/>
  <c r="B948" i="1"/>
  <c r="C948" i="1"/>
  <c r="D948" i="1"/>
  <c r="E948" i="1"/>
  <c r="F948" i="1"/>
  <c r="G948" i="1"/>
  <c r="H948" i="1"/>
  <c r="I948" i="1"/>
  <c r="J948" i="1"/>
  <c r="K948" i="1"/>
  <c r="L948" i="1"/>
  <c r="A949" i="1"/>
  <c r="B949" i="1"/>
  <c r="C949" i="1"/>
  <c r="D949" i="1"/>
  <c r="E949" i="1"/>
  <c r="F949" i="1"/>
  <c r="G949" i="1"/>
  <c r="H949" i="1"/>
  <c r="I949" i="1"/>
  <c r="J949" i="1"/>
  <c r="K949" i="1"/>
  <c r="L949" i="1"/>
  <c r="A950" i="1"/>
  <c r="B950" i="1"/>
  <c r="C950" i="1"/>
  <c r="D950" i="1"/>
  <c r="E950" i="1"/>
  <c r="F950" i="1"/>
  <c r="G950" i="1"/>
  <c r="H950" i="1"/>
  <c r="I950" i="1"/>
  <c r="J950" i="1"/>
  <c r="K950" i="1"/>
  <c r="L950" i="1"/>
  <c r="A951" i="1"/>
  <c r="B951" i="1"/>
  <c r="C951" i="1"/>
  <c r="D951" i="1"/>
  <c r="E951" i="1"/>
  <c r="F951" i="1"/>
  <c r="G951" i="1"/>
  <c r="H951" i="1"/>
  <c r="I951" i="1"/>
  <c r="J951" i="1"/>
  <c r="K951" i="1"/>
  <c r="L951" i="1"/>
  <c r="A952" i="1"/>
  <c r="B952" i="1"/>
  <c r="C952" i="1"/>
  <c r="D952" i="1"/>
  <c r="E952" i="1"/>
  <c r="F952" i="1"/>
  <c r="G952" i="1"/>
  <c r="H952" i="1"/>
  <c r="I952" i="1"/>
  <c r="J952" i="1"/>
  <c r="K952" i="1"/>
  <c r="L952" i="1"/>
  <c r="A953" i="1"/>
  <c r="B953" i="1"/>
  <c r="C953" i="1"/>
  <c r="D953" i="1"/>
  <c r="E953" i="1"/>
  <c r="F953" i="1"/>
  <c r="G953" i="1"/>
  <c r="H953" i="1"/>
  <c r="I953" i="1"/>
  <c r="J953" i="1"/>
  <c r="K953" i="1"/>
  <c r="L953" i="1"/>
  <c r="A954" i="1"/>
  <c r="B954" i="1"/>
  <c r="C954" i="1"/>
  <c r="D954" i="1"/>
  <c r="E954" i="1"/>
  <c r="F954" i="1"/>
  <c r="G954" i="1"/>
  <c r="H954" i="1"/>
  <c r="I954" i="1"/>
  <c r="J954" i="1"/>
  <c r="K954" i="1"/>
  <c r="L954" i="1"/>
  <c r="A955" i="1"/>
  <c r="B955" i="1"/>
  <c r="C955" i="1"/>
  <c r="D955" i="1"/>
  <c r="E955" i="1"/>
  <c r="F955" i="1"/>
  <c r="G955" i="1"/>
  <c r="H955" i="1"/>
  <c r="I955" i="1"/>
  <c r="J955" i="1"/>
  <c r="K955" i="1"/>
  <c r="L955" i="1"/>
  <c r="A956" i="1"/>
  <c r="B956" i="1"/>
  <c r="C956" i="1"/>
  <c r="D956" i="1"/>
  <c r="E956" i="1"/>
  <c r="F956" i="1"/>
  <c r="G956" i="1"/>
  <c r="H956" i="1"/>
  <c r="I956" i="1"/>
  <c r="J956" i="1"/>
  <c r="K956" i="1"/>
  <c r="L956" i="1"/>
  <c r="A957" i="1"/>
  <c r="B957" i="1"/>
  <c r="C957" i="1"/>
  <c r="D957" i="1"/>
  <c r="E957" i="1"/>
  <c r="F957" i="1"/>
  <c r="G957" i="1"/>
  <c r="H957" i="1"/>
  <c r="I957" i="1"/>
  <c r="J957" i="1"/>
  <c r="K957" i="1"/>
  <c r="L957" i="1"/>
  <c r="A958" i="1"/>
  <c r="B958" i="1"/>
  <c r="C958" i="1"/>
  <c r="D958" i="1"/>
  <c r="E958" i="1"/>
  <c r="F958" i="1"/>
  <c r="G958" i="1"/>
  <c r="H958" i="1"/>
  <c r="I958" i="1"/>
  <c r="J958" i="1"/>
  <c r="K958" i="1"/>
  <c r="L958" i="1"/>
  <c r="A959" i="1"/>
  <c r="B959" i="1"/>
  <c r="C959" i="1"/>
  <c r="D959" i="1"/>
  <c r="E959" i="1"/>
  <c r="F959" i="1"/>
  <c r="G959" i="1"/>
  <c r="H959" i="1"/>
  <c r="I959" i="1"/>
  <c r="J959" i="1"/>
  <c r="K959" i="1"/>
  <c r="L959" i="1"/>
  <c r="A960" i="1"/>
  <c r="B960" i="1"/>
  <c r="C960" i="1"/>
  <c r="D960" i="1"/>
  <c r="E960" i="1"/>
  <c r="F960" i="1"/>
  <c r="G960" i="1"/>
  <c r="H960" i="1"/>
  <c r="I960" i="1"/>
  <c r="J960" i="1"/>
  <c r="K960" i="1"/>
  <c r="L960" i="1"/>
  <c r="A961" i="1"/>
  <c r="B961" i="1"/>
  <c r="C961" i="1"/>
  <c r="D961" i="1"/>
  <c r="E961" i="1"/>
  <c r="F961" i="1"/>
  <c r="G961" i="1"/>
  <c r="H961" i="1"/>
  <c r="I961" i="1"/>
  <c r="J961" i="1"/>
  <c r="K961" i="1"/>
  <c r="L961" i="1"/>
  <c r="A962" i="1"/>
  <c r="B962" i="1"/>
  <c r="C962" i="1"/>
  <c r="D962" i="1"/>
  <c r="E962" i="1"/>
  <c r="F962" i="1"/>
  <c r="G962" i="1"/>
  <c r="H962" i="1"/>
  <c r="I962" i="1"/>
  <c r="J962" i="1"/>
  <c r="K962" i="1"/>
  <c r="L962" i="1"/>
  <c r="A963" i="1"/>
  <c r="B963" i="1"/>
  <c r="C963" i="1"/>
  <c r="D963" i="1"/>
  <c r="E963" i="1"/>
  <c r="F963" i="1"/>
  <c r="G963" i="1"/>
  <c r="H963" i="1"/>
  <c r="I963" i="1"/>
  <c r="J963" i="1"/>
  <c r="K963" i="1"/>
  <c r="L963" i="1"/>
  <c r="A964" i="1"/>
  <c r="B964" i="1"/>
  <c r="C964" i="1"/>
  <c r="D964" i="1"/>
  <c r="E964" i="1"/>
  <c r="F964" i="1"/>
  <c r="G964" i="1"/>
  <c r="H964" i="1"/>
  <c r="I964" i="1"/>
  <c r="J964" i="1"/>
  <c r="K964" i="1"/>
  <c r="L964" i="1"/>
  <c r="A965" i="1"/>
  <c r="B965" i="1"/>
  <c r="C965" i="1"/>
  <c r="D965" i="1"/>
  <c r="E965" i="1"/>
  <c r="F965" i="1"/>
  <c r="G965" i="1"/>
  <c r="H965" i="1"/>
  <c r="I965" i="1"/>
  <c r="J965" i="1"/>
  <c r="K965" i="1"/>
  <c r="L965" i="1"/>
  <c r="A966" i="1"/>
  <c r="B966" i="1"/>
  <c r="C966" i="1"/>
  <c r="D966" i="1"/>
  <c r="E966" i="1"/>
  <c r="F966" i="1"/>
  <c r="G966" i="1"/>
  <c r="H966" i="1"/>
  <c r="I966" i="1"/>
  <c r="J966" i="1"/>
  <c r="K966" i="1"/>
  <c r="L966" i="1"/>
  <c r="A967" i="1"/>
  <c r="B967" i="1"/>
  <c r="C967" i="1"/>
  <c r="D967" i="1"/>
  <c r="E967" i="1"/>
  <c r="F967" i="1"/>
  <c r="G967" i="1"/>
  <c r="H967" i="1"/>
  <c r="I967" i="1"/>
  <c r="J967" i="1"/>
  <c r="K967" i="1"/>
  <c r="L967" i="1"/>
  <c r="A968" i="1"/>
  <c r="B968" i="1"/>
  <c r="C968" i="1"/>
  <c r="D968" i="1"/>
  <c r="E968" i="1"/>
  <c r="F968" i="1"/>
  <c r="G968" i="1"/>
  <c r="H968" i="1"/>
  <c r="I968" i="1"/>
  <c r="J968" i="1"/>
  <c r="K968" i="1"/>
  <c r="L968" i="1"/>
  <c r="A969" i="1"/>
  <c r="B969" i="1"/>
  <c r="C969" i="1"/>
  <c r="D969" i="1"/>
  <c r="E969" i="1"/>
  <c r="F969" i="1"/>
  <c r="G969" i="1"/>
  <c r="H969" i="1"/>
  <c r="I969" i="1"/>
  <c r="J969" i="1"/>
  <c r="K969" i="1"/>
  <c r="L969" i="1"/>
  <c r="A970" i="1"/>
  <c r="B970" i="1"/>
  <c r="C970" i="1"/>
  <c r="D970" i="1"/>
  <c r="E970" i="1"/>
  <c r="F970" i="1"/>
  <c r="G970" i="1"/>
  <c r="H970" i="1"/>
  <c r="I970" i="1"/>
  <c r="J970" i="1"/>
  <c r="K970" i="1"/>
  <c r="L970" i="1"/>
  <c r="A971" i="1"/>
  <c r="B971" i="1"/>
  <c r="C971" i="1"/>
  <c r="D971" i="1"/>
  <c r="E971" i="1"/>
  <c r="F971" i="1"/>
  <c r="G971" i="1"/>
  <c r="H971" i="1"/>
  <c r="I971" i="1"/>
  <c r="J971" i="1"/>
  <c r="K971" i="1"/>
  <c r="L971" i="1"/>
  <c r="A972" i="1"/>
  <c r="B972" i="1"/>
  <c r="C972" i="1"/>
  <c r="D972" i="1"/>
  <c r="E972" i="1"/>
  <c r="F972" i="1"/>
  <c r="G972" i="1"/>
  <c r="H972" i="1"/>
  <c r="I972" i="1"/>
  <c r="J972" i="1"/>
  <c r="K972" i="1"/>
  <c r="L972" i="1"/>
  <c r="A973" i="1"/>
  <c r="B973" i="1"/>
  <c r="C973" i="1"/>
  <c r="D973" i="1"/>
  <c r="E973" i="1"/>
  <c r="F973" i="1"/>
  <c r="G973" i="1"/>
  <c r="H973" i="1"/>
  <c r="I973" i="1"/>
  <c r="J973" i="1"/>
  <c r="K973" i="1"/>
  <c r="L973" i="1"/>
  <c r="A974" i="1"/>
  <c r="B974" i="1"/>
  <c r="C974" i="1"/>
  <c r="D974" i="1"/>
  <c r="E974" i="1"/>
  <c r="F974" i="1"/>
  <c r="G974" i="1"/>
  <c r="H974" i="1"/>
  <c r="I974" i="1"/>
  <c r="J974" i="1"/>
  <c r="K974" i="1"/>
  <c r="L974" i="1"/>
  <c r="A975" i="1"/>
  <c r="B975" i="1"/>
  <c r="C975" i="1"/>
  <c r="D975" i="1"/>
  <c r="E975" i="1"/>
  <c r="F975" i="1"/>
  <c r="G975" i="1"/>
  <c r="H975" i="1"/>
  <c r="I975" i="1"/>
  <c r="J975" i="1"/>
  <c r="K975" i="1"/>
  <c r="L975" i="1"/>
  <c r="A976" i="1"/>
  <c r="B976" i="1"/>
  <c r="C976" i="1"/>
  <c r="D976" i="1"/>
  <c r="E976" i="1"/>
  <c r="F976" i="1"/>
  <c r="G976" i="1"/>
  <c r="H976" i="1"/>
  <c r="I976" i="1"/>
  <c r="J976" i="1"/>
  <c r="K976" i="1"/>
  <c r="L976" i="1"/>
  <c r="A977" i="1"/>
  <c r="B977" i="1"/>
  <c r="C977" i="1"/>
  <c r="D977" i="1"/>
  <c r="E977" i="1"/>
  <c r="F977" i="1"/>
  <c r="G977" i="1"/>
  <c r="H977" i="1"/>
  <c r="I977" i="1"/>
  <c r="J977" i="1"/>
  <c r="K977" i="1"/>
  <c r="L977" i="1"/>
  <c r="A978" i="1"/>
  <c r="B978" i="1"/>
  <c r="C978" i="1"/>
  <c r="D978" i="1"/>
  <c r="E978" i="1"/>
  <c r="F978" i="1"/>
  <c r="G978" i="1"/>
  <c r="H978" i="1"/>
  <c r="I978" i="1"/>
  <c r="J978" i="1"/>
  <c r="K978" i="1"/>
  <c r="L978" i="1"/>
  <c r="A979" i="1"/>
  <c r="B979" i="1"/>
  <c r="C979" i="1"/>
  <c r="D979" i="1"/>
  <c r="E979" i="1"/>
  <c r="F979" i="1"/>
  <c r="G979" i="1"/>
  <c r="H979" i="1"/>
  <c r="I979" i="1"/>
  <c r="J979" i="1"/>
  <c r="K979" i="1"/>
  <c r="L979" i="1"/>
  <c r="A980" i="1"/>
  <c r="B980" i="1"/>
  <c r="C980" i="1"/>
  <c r="D980" i="1"/>
  <c r="E980" i="1"/>
  <c r="F980" i="1"/>
  <c r="G980" i="1"/>
  <c r="H980" i="1"/>
  <c r="I980" i="1"/>
  <c r="J980" i="1"/>
  <c r="K980" i="1"/>
  <c r="L980" i="1"/>
  <c r="A981" i="1"/>
  <c r="B981" i="1"/>
  <c r="C981" i="1"/>
  <c r="D981" i="1"/>
  <c r="E981" i="1"/>
  <c r="F981" i="1"/>
  <c r="G981" i="1"/>
  <c r="H981" i="1"/>
  <c r="I981" i="1"/>
  <c r="J981" i="1"/>
  <c r="K981" i="1"/>
  <c r="L981" i="1"/>
  <c r="A982" i="1"/>
  <c r="B982" i="1"/>
  <c r="C982" i="1"/>
  <c r="D982" i="1"/>
  <c r="E982" i="1"/>
  <c r="F982" i="1"/>
  <c r="G982" i="1"/>
  <c r="H982" i="1"/>
  <c r="I982" i="1"/>
  <c r="J982" i="1"/>
  <c r="K982" i="1"/>
  <c r="L982" i="1"/>
  <c r="A983" i="1"/>
  <c r="B983" i="1"/>
  <c r="C983" i="1"/>
  <c r="D983" i="1"/>
  <c r="E983" i="1"/>
  <c r="F983" i="1"/>
  <c r="G983" i="1"/>
  <c r="H983" i="1"/>
  <c r="I983" i="1"/>
  <c r="J983" i="1"/>
  <c r="K983" i="1"/>
  <c r="L983" i="1"/>
  <c r="A984" i="1"/>
  <c r="B984" i="1"/>
  <c r="C984" i="1"/>
  <c r="D984" i="1"/>
  <c r="E984" i="1"/>
  <c r="F984" i="1"/>
  <c r="G984" i="1"/>
  <c r="H984" i="1"/>
  <c r="I984" i="1"/>
  <c r="J984" i="1"/>
  <c r="K984" i="1"/>
  <c r="L984" i="1"/>
  <c r="A985" i="1"/>
  <c r="B985" i="1"/>
  <c r="C985" i="1"/>
  <c r="D985" i="1"/>
  <c r="E985" i="1"/>
  <c r="F985" i="1"/>
  <c r="G985" i="1"/>
  <c r="H985" i="1"/>
  <c r="I985" i="1"/>
  <c r="J985" i="1"/>
  <c r="K985" i="1"/>
  <c r="L985" i="1"/>
  <c r="A986" i="1"/>
  <c r="B986" i="1"/>
  <c r="C986" i="1"/>
  <c r="D986" i="1"/>
  <c r="E986" i="1"/>
  <c r="F986" i="1"/>
  <c r="G986" i="1"/>
  <c r="H986" i="1"/>
  <c r="I986" i="1"/>
  <c r="J986" i="1"/>
  <c r="K986" i="1"/>
  <c r="L986" i="1"/>
  <c r="A987" i="1"/>
  <c r="B987" i="1"/>
  <c r="C987" i="1"/>
  <c r="D987" i="1"/>
  <c r="E987" i="1"/>
  <c r="F987" i="1"/>
  <c r="G987" i="1"/>
  <c r="H987" i="1"/>
  <c r="I987" i="1"/>
  <c r="J987" i="1"/>
  <c r="K987" i="1"/>
  <c r="L987" i="1"/>
  <c r="A988" i="1"/>
  <c r="B988" i="1"/>
  <c r="C988" i="1"/>
  <c r="D988" i="1"/>
  <c r="E988" i="1"/>
  <c r="F988" i="1"/>
  <c r="G988" i="1"/>
  <c r="H988" i="1"/>
  <c r="I988" i="1"/>
  <c r="J988" i="1"/>
  <c r="K988" i="1"/>
  <c r="L988" i="1"/>
  <c r="A989" i="1"/>
  <c r="B989" i="1"/>
  <c r="C989" i="1"/>
  <c r="D989" i="1"/>
  <c r="E989" i="1"/>
  <c r="F989" i="1"/>
  <c r="G989" i="1"/>
  <c r="H989" i="1"/>
  <c r="I989" i="1"/>
  <c r="J989" i="1"/>
  <c r="K989" i="1"/>
  <c r="L989" i="1"/>
  <c r="A990" i="1"/>
  <c r="B990" i="1"/>
  <c r="C990" i="1"/>
  <c r="D990" i="1"/>
  <c r="E990" i="1"/>
  <c r="F990" i="1"/>
  <c r="G990" i="1"/>
  <c r="H990" i="1"/>
  <c r="I990" i="1"/>
  <c r="J990" i="1"/>
  <c r="K990" i="1"/>
  <c r="L990" i="1"/>
  <c r="A991" i="1"/>
  <c r="B991" i="1"/>
  <c r="C991" i="1"/>
  <c r="D991" i="1"/>
  <c r="E991" i="1"/>
  <c r="F991" i="1"/>
  <c r="G991" i="1"/>
  <c r="H991" i="1"/>
  <c r="I991" i="1"/>
  <c r="J991" i="1"/>
  <c r="K991" i="1"/>
  <c r="L991" i="1"/>
  <c r="A992" i="1"/>
  <c r="B992" i="1"/>
  <c r="C992" i="1"/>
  <c r="D992" i="1"/>
  <c r="E992" i="1"/>
  <c r="F992" i="1"/>
  <c r="G992" i="1"/>
  <c r="H992" i="1"/>
  <c r="I992" i="1"/>
  <c r="J992" i="1"/>
  <c r="K992" i="1"/>
  <c r="L992" i="1"/>
  <c r="A993" i="1"/>
  <c r="B993" i="1"/>
  <c r="C993" i="1"/>
  <c r="D993" i="1"/>
  <c r="E993" i="1"/>
  <c r="F993" i="1"/>
  <c r="G993" i="1"/>
  <c r="H993" i="1"/>
  <c r="I993" i="1"/>
  <c r="J993" i="1"/>
  <c r="K993" i="1"/>
  <c r="L993" i="1"/>
  <c r="A994" i="1"/>
  <c r="B994" i="1"/>
  <c r="C994" i="1"/>
  <c r="D994" i="1"/>
  <c r="E994" i="1"/>
  <c r="F994" i="1"/>
  <c r="G994" i="1"/>
  <c r="H994" i="1"/>
  <c r="I994" i="1"/>
  <c r="J994" i="1"/>
  <c r="K994" i="1"/>
  <c r="L994" i="1"/>
  <c r="A995" i="1"/>
  <c r="B995" i="1"/>
  <c r="C995" i="1"/>
  <c r="D995" i="1"/>
  <c r="E995" i="1"/>
  <c r="F995" i="1"/>
  <c r="G995" i="1"/>
  <c r="H995" i="1"/>
  <c r="I995" i="1"/>
  <c r="J995" i="1"/>
  <c r="K995" i="1"/>
  <c r="L995" i="1"/>
  <c r="A996" i="1"/>
  <c r="B996" i="1"/>
  <c r="C996" i="1"/>
  <c r="D996" i="1"/>
  <c r="E996" i="1"/>
  <c r="F996" i="1"/>
  <c r="G996" i="1"/>
  <c r="H996" i="1"/>
  <c r="I996" i="1"/>
  <c r="J996" i="1"/>
  <c r="K996" i="1"/>
  <c r="L996" i="1"/>
  <c r="A997" i="1"/>
  <c r="B997" i="1"/>
  <c r="C997" i="1"/>
  <c r="D997" i="1"/>
  <c r="E997" i="1"/>
  <c r="F997" i="1"/>
  <c r="G997" i="1"/>
  <c r="H997" i="1"/>
  <c r="I997" i="1"/>
  <c r="J997" i="1"/>
  <c r="K997" i="1"/>
  <c r="L997" i="1"/>
  <c r="A998" i="1"/>
  <c r="B998" i="1"/>
  <c r="C998" i="1"/>
  <c r="D998" i="1"/>
  <c r="E998" i="1"/>
  <c r="F998" i="1"/>
  <c r="G998" i="1"/>
  <c r="H998" i="1"/>
  <c r="I998" i="1"/>
  <c r="J998" i="1"/>
  <c r="K998" i="1"/>
  <c r="L998" i="1"/>
  <c r="A999" i="1"/>
  <c r="B999" i="1"/>
  <c r="C999" i="1"/>
  <c r="D999" i="1"/>
  <c r="E999" i="1"/>
  <c r="F999" i="1"/>
  <c r="G999" i="1"/>
  <c r="H999" i="1"/>
  <c r="I999" i="1"/>
  <c r="J999" i="1"/>
  <c r="K999" i="1"/>
  <c r="L999" i="1"/>
  <c r="A1000" i="1"/>
  <c r="B1000" i="1"/>
  <c r="C1000" i="1"/>
  <c r="D1000" i="1"/>
  <c r="E1000" i="1"/>
  <c r="F1000" i="1"/>
  <c r="G1000" i="1"/>
  <c r="H1000" i="1"/>
  <c r="I1000" i="1"/>
  <c r="J1000" i="1"/>
  <c r="K1000" i="1"/>
  <c r="L1000" i="1"/>
  <c r="A1001" i="1"/>
  <c r="B1001" i="1"/>
  <c r="C1001" i="1"/>
  <c r="D1001" i="1"/>
  <c r="E1001" i="1"/>
  <c r="F1001" i="1"/>
  <c r="G1001" i="1"/>
  <c r="H1001" i="1"/>
  <c r="I1001" i="1"/>
  <c r="J1001" i="1"/>
  <c r="K1001" i="1"/>
  <c r="L1001" i="1"/>
  <c r="A1002" i="1"/>
  <c r="B1002" i="1"/>
  <c r="C1002" i="1"/>
  <c r="D1002" i="1"/>
  <c r="E1002" i="1"/>
  <c r="F1002" i="1"/>
  <c r="G1002" i="1"/>
  <c r="H1002" i="1"/>
  <c r="I1002" i="1"/>
  <c r="J1002" i="1"/>
  <c r="K1002" i="1"/>
  <c r="L1002" i="1"/>
  <c r="A1003" i="1"/>
  <c r="B1003" i="1"/>
  <c r="C1003" i="1"/>
  <c r="D1003" i="1"/>
  <c r="E1003" i="1"/>
  <c r="F1003" i="1"/>
  <c r="G1003" i="1"/>
  <c r="H1003" i="1"/>
  <c r="I1003" i="1"/>
  <c r="J1003" i="1"/>
  <c r="K1003" i="1"/>
  <c r="L1003" i="1"/>
  <c r="A1004" i="1"/>
  <c r="B1004" i="1"/>
  <c r="C1004" i="1"/>
  <c r="D1004" i="1"/>
  <c r="E1004" i="1"/>
  <c r="F1004" i="1"/>
  <c r="G1004" i="1"/>
  <c r="H1004" i="1"/>
  <c r="I1004" i="1"/>
  <c r="J1004" i="1"/>
  <c r="K1004" i="1"/>
  <c r="L1004" i="1"/>
  <c r="A1005" i="1"/>
  <c r="B1005" i="1"/>
  <c r="C1005" i="1"/>
  <c r="D1005" i="1"/>
  <c r="E1005" i="1"/>
  <c r="F1005" i="1"/>
  <c r="G1005" i="1"/>
  <c r="H1005" i="1"/>
  <c r="I1005" i="1"/>
  <c r="J1005" i="1"/>
  <c r="K1005" i="1"/>
  <c r="L1005" i="1"/>
  <c r="A1006" i="1"/>
  <c r="B1006" i="1"/>
  <c r="C1006" i="1"/>
  <c r="D1006" i="1"/>
  <c r="E1006" i="1"/>
  <c r="F1006" i="1"/>
  <c r="G1006" i="1"/>
  <c r="H1006" i="1"/>
  <c r="I1006" i="1"/>
  <c r="J1006" i="1"/>
  <c r="K1006" i="1"/>
  <c r="L1006" i="1"/>
  <c r="A1007" i="1"/>
  <c r="B1007" i="1"/>
  <c r="C1007" i="1"/>
  <c r="D1007" i="1"/>
  <c r="E1007" i="1"/>
  <c r="F1007" i="1"/>
  <c r="G1007" i="1"/>
  <c r="H1007" i="1"/>
  <c r="I1007" i="1"/>
  <c r="J1007" i="1"/>
  <c r="K1007" i="1"/>
  <c r="L1007" i="1"/>
  <c r="A1008" i="1"/>
  <c r="B1008" i="1"/>
  <c r="C1008" i="1"/>
  <c r="D1008" i="1"/>
  <c r="E1008" i="1"/>
  <c r="F1008" i="1"/>
  <c r="G1008" i="1"/>
  <c r="H1008" i="1"/>
  <c r="I1008" i="1"/>
  <c r="J1008" i="1"/>
  <c r="K1008" i="1"/>
  <c r="L1008" i="1"/>
  <c r="A1009" i="1"/>
  <c r="B1009" i="1"/>
  <c r="C1009" i="1"/>
  <c r="D1009" i="1"/>
  <c r="E1009" i="1"/>
  <c r="F1009" i="1"/>
  <c r="G1009" i="1"/>
  <c r="H1009" i="1"/>
  <c r="I1009" i="1"/>
  <c r="J1009" i="1"/>
  <c r="K1009" i="1"/>
  <c r="L1009" i="1"/>
  <c r="A1010" i="1"/>
  <c r="B1010" i="1"/>
  <c r="C1010" i="1"/>
  <c r="D1010" i="1"/>
  <c r="E1010" i="1"/>
  <c r="F1010" i="1"/>
  <c r="G1010" i="1"/>
  <c r="H1010" i="1"/>
  <c r="I1010" i="1"/>
  <c r="J1010" i="1"/>
  <c r="K1010" i="1"/>
  <c r="L1010" i="1"/>
  <c r="A1011" i="1"/>
  <c r="B1011" i="1"/>
  <c r="C1011" i="1"/>
  <c r="D1011" i="1"/>
  <c r="E1011" i="1"/>
  <c r="F1011" i="1"/>
  <c r="G1011" i="1"/>
  <c r="H1011" i="1"/>
  <c r="I1011" i="1"/>
  <c r="J1011" i="1"/>
  <c r="K1011" i="1"/>
  <c r="L1011" i="1"/>
  <c r="A1012" i="1"/>
  <c r="B1012" i="1"/>
  <c r="C1012" i="1"/>
  <c r="D1012" i="1"/>
  <c r="E1012" i="1"/>
  <c r="F1012" i="1"/>
  <c r="G1012" i="1"/>
  <c r="H1012" i="1"/>
  <c r="I1012" i="1"/>
  <c r="J1012" i="1"/>
  <c r="K1012" i="1"/>
  <c r="L1012" i="1"/>
  <c r="A1013" i="1"/>
  <c r="B1013" i="1"/>
  <c r="C1013" i="1"/>
  <c r="D1013" i="1"/>
  <c r="E1013" i="1"/>
  <c r="F1013" i="1"/>
  <c r="G1013" i="1"/>
  <c r="H1013" i="1"/>
  <c r="I1013" i="1"/>
  <c r="J1013" i="1"/>
  <c r="K1013" i="1"/>
  <c r="L1013" i="1"/>
  <c r="A1014" i="1"/>
  <c r="B1014" i="1"/>
  <c r="C1014" i="1"/>
  <c r="D1014" i="1"/>
  <c r="E1014" i="1"/>
  <c r="F1014" i="1"/>
  <c r="G1014" i="1"/>
  <c r="H1014" i="1"/>
  <c r="I1014" i="1"/>
  <c r="J1014" i="1"/>
  <c r="K1014" i="1"/>
  <c r="L1014" i="1"/>
  <c r="A1015" i="1"/>
  <c r="B1015" i="1"/>
  <c r="C1015" i="1"/>
  <c r="D1015" i="1"/>
  <c r="E1015" i="1"/>
  <c r="F1015" i="1"/>
  <c r="G1015" i="1"/>
  <c r="H1015" i="1"/>
  <c r="I1015" i="1"/>
  <c r="J1015" i="1"/>
  <c r="K1015" i="1"/>
  <c r="L1015" i="1"/>
  <c r="A1016" i="1"/>
  <c r="B1016" i="1"/>
  <c r="C1016" i="1"/>
  <c r="D1016" i="1"/>
  <c r="E1016" i="1"/>
  <c r="F1016" i="1"/>
  <c r="G1016" i="1"/>
  <c r="H1016" i="1"/>
  <c r="I1016" i="1"/>
  <c r="J1016" i="1"/>
  <c r="K1016" i="1"/>
  <c r="L1016" i="1"/>
  <c r="A1017" i="1"/>
  <c r="B1017" i="1"/>
  <c r="C1017" i="1"/>
  <c r="D1017" i="1"/>
  <c r="E1017" i="1"/>
  <c r="F1017" i="1"/>
  <c r="G1017" i="1"/>
  <c r="H1017" i="1"/>
  <c r="I1017" i="1"/>
  <c r="J1017" i="1"/>
  <c r="K1017" i="1"/>
  <c r="L1017" i="1"/>
  <c r="A1018" i="1"/>
  <c r="B1018" i="1"/>
  <c r="C1018" i="1"/>
  <c r="D1018" i="1"/>
  <c r="E1018" i="1"/>
  <c r="F1018" i="1"/>
  <c r="G1018" i="1"/>
  <c r="H1018" i="1"/>
  <c r="I1018" i="1"/>
  <c r="J1018" i="1"/>
  <c r="K1018" i="1"/>
  <c r="L1018" i="1"/>
  <c r="A1019" i="1"/>
  <c r="B1019" i="1"/>
  <c r="C1019" i="1"/>
  <c r="D1019" i="1"/>
  <c r="E1019" i="1"/>
  <c r="F1019" i="1"/>
  <c r="G1019" i="1"/>
  <c r="H1019" i="1"/>
  <c r="I1019" i="1"/>
  <c r="J1019" i="1"/>
  <c r="K1019" i="1"/>
  <c r="L1019" i="1"/>
  <c r="A1020" i="1"/>
  <c r="B1020" i="1"/>
  <c r="C1020" i="1"/>
  <c r="D1020" i="1"/>
  <c r="E1020" i="1"/>
  <c r="F1020" i="1"/>
  <c r="G1020" i="1"/>
  <c r="H1020" i="1"/>
  <c r="I1020" i="1"/>
  <c r="J1020" i="1"/>
  <c r="K1020" i="1"/>
  <c r="L1020" i="1"/>
  <c r="A1021" i="1"/>
  <c r="B1021" i="1"/>
  <c r="C1021" i="1"/>
  <c r="D1021" i="1"/>
  <c r="E1021" i="1"/>
  <c r="F1021" i="1"/>
  <c r="G1021" i="1"/>
  <c r="H1021" i="1"/>
  <c r="I1021" i="1"/>
  <c r="J1021" i="1"/>
  <c r="K1021" i="1"/>
  <c r="L1021" i="1"/>
  <c r="A1022" i="1"/>
  <c r="B1022" i="1"/>
  <c r="C1022" i="1"/>
  <c r="D1022" i="1"/>
  <c r="E1022" i="1"/>
  <c r="F1022" i="1"/>
  <c r="G1022" i="1"/>
  <c r="H1022" i="1"/>
  <c r="I1022" i="1"/>
  <c r="J1022" i="1"/>
  <c r="K1022" i="1"/>
  <c r="L1022" i="1"/>
  <c r="A1023" i="1"/>
  <c r="B1023" i="1"/>
  <c r="C1023" i="1"/>
  <c r="D1023" i="1"/>
  <c r="E1023" i="1"/>
  <c r="F1023" i="1"/>
  <c r="G1023" i="1"/>
  <c r="H1023" i="1"/>
  <c r="I1023" i="1"/>
  <c r="J1023" i="1"/>
  <c r="K1023" i="1"/>
  <c r="L1023" i="1"/>
  <c r="A1024" i="1"/>
  <c r="B1024" i="1"/>
  <c r="C1024" i="1"/>
  <c r="D1024" i="1"/>
  <c r="E1024" i="1"/>
  <c r="F1024" i="1"/>
  <c r="G1024" i="1"/>
  <c r="H1024" i="1"/>
  <c r="I1024" i="1"/>
  <c r="J1024" i="1"/>
  <c r="K1024" i="1"/>
  <c r="L1024" i="1"/>
  <c r="A1025" i="1"/>
  <c r="B1025" i="1"/>
  <c r="C1025" i="1"/>
  <c r="D1025" i="1"/>
  <c r="E1025" i="1"/>
  <c r="F1025" i="1"/>
  <c r="G1025" i="1"/>
  <c r="H1025" i="1"/>
  <c r="I1025" i="1"/>
  <c r="J1025" i="1"/>
  <c r="K1025" i="1"/>
  <c r="L1025" i="1"/>
  <c r="A1026" i="1"/>
  <c r="B1026" i="1"/>
  <c r="C1026" i="1"/>
  <c r="D1026" i="1"/>
  <c r="E1026" i="1"/>
  <c r="F1026" i="1"/>
  <c r="G1026" i="1"/>
  <c r="H1026" i="1"/>
  <c r="I1026" i="1"/>
  <c r="J1026" i="1"/>
  <c r="K1026" i="1"/>
  <c r="L1026" i="1"/>
  <c r="A1027" i="1"/>
  <c r="B1027" i="1"/>
  <c r="C1027" i="1"/>
  <c r="D1027" i="1"/>
  <c r="E1027" i="1"/>
  <c r="F1027" i="1"/>
  <c r="G1027" i="1"/>
  <c r="H1027" i="1"/>
  <c r="I1027" i="1"/>
  <c r="J1027" i="1"/>
  <c r="K1027" i="1"/>
  <c r="L1027" i="1"/>
  <c r="A1028" i="1"/>
  <c r="B1028" i="1"/>
  <c r="C1028" i="1"/>
  <c r="D1028" i="1"/>
  <c r="E1028" i="1"/>
  <c r="F1028" i="1"/>
  <c r="G1028" i="1"/>
  <c r="H1028" i="1"/>
  <c r="I1028" i="1"/>
  <c r="J1028" i="1"/>
  <c r="K1028" i="1"/>
  <c r="L1028" i="1"/>
  <c r="A1029" i="1"/>
  <c r="B1029" i="1"/>
  <c r="C1029" i="1"/>
  <c r="D1029" i="1"/>
  <c r="E1029" i="1"/>
  <c r="F1029" i="1"/>
  <c r="G1029" i="1"/>
  <c r="H1029" i="1"/>
  <c r="I1029" i="1"/>
  <c r="J1029" i="1"/>
  <c r="K1029" i="1"/>
  <c r="L1029" i="1"/>
  <c r="A1030" i="1"/>
  <c r="B1030" i="1"/>
  <c r="C1030" i="1"/>
  <c r="D1030" i="1"/>
  <c r="E1030" i="1"/>
  <c r="F1030" i="1"/>
  <c r="G1030" i="1"/>
  <c r="H1030" i="1"/>
  <c r="I1030" i="1"/>
  <c r="J1030" i="1"/>
  <c r="K1030" i="1"/>
  <c r="L1030" i="1"/>
  <c r="A1031" i="1"/>
  <c r="B1031" i="1"/>
  <c r="C1031" i="1"/>
  <c r="D1031" i="1"/>
  <c r="E1031" i="1"/>
  <c r="F1031" i="1"/>
  <c r="G1031" i="1"/>
  <c r="H1031" i="1"/>
  <c r="I1031" i="1"/>
  <c r="J1031" i="1"/>
  <c r="K1031" i="1"/>
  <c r="L1031" i="1"/>
  <c r="A1032" i="1"/>
  <c r="B1032" i="1"/>
  <c r="C1032" i="1"/>
  <c r="D1032" i="1"/>
  <c r="E1032" i="1"/>
  <c r="F1032" i="1"/>
  <c r="G1032" i="1"/>
  <c r="H1032" i="1"/>
  <c r="I1032" i="1"/>
  <c r="J1032" i="1"/>
  <c r="K1032" i="1"/>
  <c r="L1032" i="1"/>
  <c r="A1033" i="1"/>
  <c r="B1033" i="1"/>
  <c r="C1033" i="1"/>
  <c r="D1033" i="1"/>
  <c r="E1033" i="1"/>
  <c r="F1033" i="1"/>
  <c r="G1033" i="1"/>
  <c r="H1033" i="1"/>
  <c r="I1033" i="1"/>
  <c r="J1033" i="1"/>
  <c r="K1033" i="1"/>
  <c r="L1033" i="1"/>
  <c r="A1034" i="1"/>
  <c r="B1034" i="1"/>
  <c r="C1034" i="1"/>
  <c r="D1034" i="1"/>
  <c r="E1034" i="1"/>
  <c r="F1034" i="1"/>
  <c r="G1034" i="1"/>
  <c r="H1034" i="1"/>
  <c r="I1034" i="1"/>
  <c r="J1034" i="1"/>
  <c r="K1034" i="1"/>
  <c r="L1034" i="1"/>
  <c r="A1035" i="1"/>
  <c r="B1035" i="1"/>
  <c r="C1035" i="1"/>
  <c r="D1035" i="1"/>
  <c r="E1035" i="1"/>
  <c r="F1035" i="1"/>
  <c r="G1035" i="1"/>
  <c r="H1035" i="1"/>
  <c r="I1035" i="1"/>
  <c r="J1035" i="1"/>
  <c r="K1035" i="1"/>
  <c r="L1035" i="1"/>
  <c r="A1036" i="1"/>
  <c r="B1036" i="1"/>
  <c r="C1036" i="1"/>
  <c r="D1036" i="1"/>
  <c r="E1036" i="1"/>
  <c r="F1036" i="1"/>
  <c r="G1036" i="1"/>
  <c r="H1036" i="1"/>
  <c r="I1036" i="1"/>
  <c r="J1036" i="1"/>
  <c r="K1036" i="1"/>
  <c r="L1036" i="1"/>
  <c r="A1037" i="1"/>
  <c r="B1037" i="1"/>
  <c r="C1037" i="1"/>
  <c r="D1037" i="1"/>
  <c r="E1037" i="1"/>
  <c r="F1037" i="1"/>
  <c r="G1037" i="1"/>
  <c r="H1037" i="1"/>
  <c r="I1037" i="1"/>
  <c r="J1037" i="1"/>
  <c r="K1037" i="1"/>
  <c r="L1037" i="1"/>
  <c r="A1038" i="1"/>
  <c r="B1038" i="1"/>
  <c r="C1038" i="1"/>
  <c r="D1038" i="1"/>
  <c r="E1038" i="1"/>
  <c r="F1038" i="1"/>
  <c r="G1038" i="1"/>
  <c r="H1038" i="1"/>
  <c r="I1038" i="1"/>
  <c r="J1038" i="1"/>
  <c r="K1038" i="1"/>
  <c r="L1038" i="1"/>
  <c r="A1039" i="1"/>
  <c r="B1039" i="1"/>
  <c r="C1039" i="1"/>
  <c r="D1039" i="1"/>
  <c r="E1039" i="1"/>
  <c r="F1039" i="1"/>
  <c r="G1039" i="1"/>
  <c r="H1039" i="1"/>
  <c r="I1039" i="1"/>
  <c r="J1039" i="1"/>
  <c r="K1039" i="1"/>
  <c r="L1039" i="1"/>
  <c r="A1040" i="1"/>
  <c r="B1040" i="1"/>
  <c r="C1040" i="1"/>
  <c r="D1040" i="1"/>
  <c r="E1040" i="1"/>
  <c r="F1040" i="1"/>
  <c r="G1040" i="1"/>
  <c r="H1040" i="1"/>
  <c r="I1040" i="1"/>
  <c r="J1040" i="1"/>
  <c r="K1040" i="1"/>
  <c r="L1040" i="1"/>
  <c r="A1041" i="1"/>
  <c r="B1041" i="1"/>
  <c r="C1041" i="1"/>
  <c r="D1041" i="1"/>
  <c r="E1041" i="1"/>
  <c r="F1041" i="1"/>
  <c r="G1041" i="1"/>
  <c r="H1041" i="1"/>
  <c r="I1041" i="1"/>
  <c r="J1041" i="1"/>
  <c r="K1041" i="1"/>
  <c r="L1041" i="1"/>
  <c r="A1042" i="1"/>
  <c r="B1042" i="1"/>
  <c r="C1042" i="1"/>
  <c r="D1042" i="1"/>
  <c r="E1042" i="1"/>
  <c r="F1042" i="1"/>
  <c r="G1042" i="1"/>
  <c r="H1042" i="1"/>
  <c r="I1042" i="1"/>
  <c r="J1042" i="1"/>
  <c r="K1042" i="1"/>
  <c r="L1042" i="1"/>
  <c r="A1043" i="1"/>
  <c r="B1043" i="1"/>
  <c r="C1043" i="1"/>
  <c r="D1043" i="1"/>
  <c r="E1043" i="1"/>
  <c r="F1043" i="1"/>
  <c r="G1043" i="1"/>
  <c r="H1043" i="1"/>
  <c r="I1043" i="1"/>
  <c r="J1043" i="1"/>
  <c r="K1043" i="1"/>
  <c r="L1043" i="1"/>
  <c r="A1044" i="1"/>
  <c r="B1044" i="1"/>
  <c r="C1044" i="1"/>
  <c r="D1044" i="1"/>
  <c r="E1044" i="1"/>
  <c r="F1044" i="1"/>
  <c r="G1044" i="1"/>
  <c r="H1044" i="1"/>
  <c r="I1044" i="1"/>
  <c r="J1044" i="1"/>
  <c r="K1044" i="1"/>
  <c r="L1044" i="1"/>
  <c r="A1045" i="1"/>
  <c r="B1045" i="1"/>
  <c r="C1045" i="1"/>
  <c r="D1045" i="1"/>
  <c r="E1045" i="1"/>
  <c r="F1045" i="1"/>
  <c r="G1045" i="1"/>
  <c r="H1045" i="1"/>
  <c r="I1045" i="1"/>
  <c r="J1045" i="1"/>
  <c r="K1045" i="1"/>
  <c r="L1045" i="1"/>
  <c r="A1046" i="1"/>
  <c r="B1046" i="1"/>
  <c r="C1046" i="1"/>
  <c r="D1046" i="1"/>
  <c r="E1046" i="1"/>
  <c r="F1046" i="1"/>
  <c r="G1046" i="1"/>
  <c r="H1046" i="1"/>
  <c r="I1046" i="1"/>
  <c r="J1046" i="1"/>
  <c r="K1046" i="1"/>
  <c r="L1046" i="1"/>
  <c r="A1047" i="1"/>
  <c r="B1047" i="1"/>
  <c r="C1047" i="1"/>
  <c r="D1047" i="1"/>
  <c r="E1047" i="1"/>
  <c r="F1047" i="1"/>
  <c r="G1047" i="1"/>
  <c r="H1047" i="1"/>
  <c r="I1047" i="1"/>
  <c r="J1047" i="1"/>
  <c r="K1047" i="1"/>
  <c r="L1047" i="1"/>
  <c r="A1048" i="1"/>
  <c r="B1048" i="1"/>
  <c r="C1048" i="1"/>
  <c r="D1048" i="1"/>
  <c r="E1048" i="1"/>
  <c r="F1048" i="1"/>
  <c r="G1048" i="1"/>
  <c r="H1048" i="1"/>
  <c r="I1048" i="1"/>
  <c r="J1048" i="1"/>
  <c r="K1048" i="1"/>
  <c r="L1048" i="1"/>
  <c r="A1049" i="1"/>
  <c r="B1049" i="1"/>
  <c r="C1049" i="1"/>
  <c r="D1049" i="1"/>
  <c r="E1049" i="1"/>
  <c r="F1049" i="1"/>
  <c r="G1049" i="1"/>
  <c r="H1049" i="1"/>
  <c r="I1049" i="1"/>
  <c r="J1049" i="1"/>
  <c r="K1049" i="1"/>
  <c r="L1049" i="1"/>
  <c r="A1050" i="1"/>
  <c r="B1050" i="1"/>
  <c r="C1050" i="1"/>
  <c r="D1050" i="1"/>
  <c r="E1050" i="1"/>
  <c r="F1050" i="1"/>
  <c r="G1050" i="1"/>
  <c r="H1050" i="1"/>
  <c r="I1050" i="1"/>
  <c r="J1050" i="1"/>
  <c r="K1050" i="1"/>
  <c r="L1050" i="1"/>
  <c r="A1051" i="1"/>
  <c r="B1051" i="1"/>
  <c r="C1051" i="1"/>
  <c r="D1051" i="1"/>
  <c r="E1051" i="1"/>
  <c r="F1051" i="1"/>
  <c r="G1051" i="1"/>
  <c r="H1051" i="1"/>
  <c r="I1051" i="1"/>
  <c r="J1051" i="1"/>
  <c r="K1051" i="1"/>
  <c r="L1051" i="1"/>
  <c r="A1052" i="1"/>
  <c r="B1052" i="1"/>
  <c r="C1052" i="1"/>
  <c r="D1052" i="1"/>
  <c r="E1052" i="1"/>
  <c r="F1052" i="1"/>
  <c r="G1052" i="1"/>
  <c r="H1052" i="1"/>
  <c r="I1052" i="1"/>
  <c r="J1052" i="1"/>
  <c r="K1052" i="1"/>
  <c r="L1052" i="1"/>
  <c r="A1053" i="1"/>
  <c r="B1053" i="1"/>
  <c r="C1053" i="1"/>
  <c r="D1053" i="1"/>
  <c r="E1053" i="1"/>
  <c r="F1053" i="1"/>
  <c r="G1053" i="1"/>
  <c r="H1053" i="1"/>
  <c r="I1053" i="1"/>
  <c r="J1053" i="1"/>
  <c r="K1053" i="1"/>
  <c r="L1053" i="1"/>
  <c r="A1054" i="1"/>
  <c r="B1054" i="1"/>
  <c r="C1054" i="1"/>
  <c r="D1054" i="1"/>
  <c r="E1054" i="1"/>
  <c r="F1054" i="1"/>
  <c r="G1054" i="1"/>
  <c r="H1054" i="1"/>
  <c r="I1054" i="1"/>
  <c r="J1054" i="1"/>
  <c r="K1054" i="1"/>
  <c r="L1054" i="1"/>
  <c r="A1055" i="1"/>
  <c r="B1055" i="1"/>
  <c r="C1055" i="1"/>
  <c r="D1055" i="1"/>
  <c r="E1055" i="1"/>
  <c r="F1055" i="1"/>
  <c r="G1055" i="1"/>
  <c r="H1055" i="1"/>
  <c r="I1055" i="1"/>
  <c r="J1055" i="1"/>
  <c r="K1055" i="1"/>
  <c r="L1055" i="1"/>
  <c r="A1056" i="1"/>
  <c r="B1056" i="1"/>
  <c r="C1056" i="1"/>
  <c r="D1056" i="1"/>
  <c r="E1056" i="1"/>
  <c r="F1056" i="1"/>
  <c r="G1056" i="1"/>
  <c r="H1056" i="1"/>
  <c r="I1056" i="1"/>
  <c r="J1056" i="1"/>
  <c r="K1056" i="1"/>
  <c r="L1056" i="1"/>
  <c r="A1057" i="1"/>
  <c r="B1057" i="1"/>
  <c r="C1057" i="1"/>
  <c r="D1057" i="1"/>
  <c r="E1057" i="1"/>
  <c r="F1057" i="1"/>
  <c r="G1057" i="1"/>
  <c r="H1057" i="1"/>
  <c r="I1057" i="1"/>
  <c r="J1057" i="1"/>
  <c r="K1057" i="1"/>
  <c r="L1057" i="1"/>
  <c r="A1058" i="1"/>
  <c r="B1058" i="1"/>
  <c r="C1058" i="1"/>
  <c r="D1058" i="1"/>
  <c r="E1058" i="1"/>
  <c r="F1058" i="1"/>
  <c r="G1058" i="1"/>
  <c r="H1058" i="1"/>
  <c r="I1058" i="1"/>
  <c r="J1058" i="1"/>
  <c r="K1058" i="1"/>
  <c r="L1058" i="1"/>
  <c r="A1059" i="1"/>
  <c r="B1059" i="1"/>
  <c r="C1059" i="1"/>
  <c r="D1059" i="1"/>
  <c r="E1059" i="1"/>
  <c r="F1059" i="1"/>
  <c r="G1059" i="1"/>
  <c r="H1059" i="1"/>
  <c r="I1059" i="1"/>
  <c r="J1059" i="1"/>
  <c r="K1059" i="1"/>
  <c r="L1059" i="1"/>
  <c r="A1060" i="1"/>
  <c r="B1060" i="1"/>
  <c r="C1060" i="1"/>
  <c r="D1060" i="1"/>
  <c r="E1060" i="1"/>
  <c r="F1060" i="1"/>
  <c r="G1060" i="1"/>
  <c r="H1060" i="1"/>
  <c r="I1060" i="1"/>
  <c r="J1060" i="1"/>
  <c r="K1060" i="1"/>
  <c r="L1060" i="1"/>
  <c r="A1061" i="1"/>
  <c r="B1061" i="1"/>
  <c r="C1061" i="1"/>
  <c r="D1061" i="1"/>
  <c r="E1061" i="1"/>
  <c r="F1061" i="1"/>
  <c r="G1061" i="1"/>
  <c r="H1061" i="1"/>
  <c r="I1061" i="1"/>
  <c r="J1061" i="1"/>
  <c r="K1061" i="1"/>
  <c r="L1061" i="1"/>
  <c r="A1062" i="1"/>
  <c r="B1062" i="1"/>
  <c r="C1062" i="1"/>
  <c r="D1062" i="1"/>
  <c r="E1062" i="1"/>
  <c r="F1062" i="1"/>
  <c r="G1062" i="1"/>
  <c r="H1062" i="1"/>
  <c r="I1062" i="1"/>
  <c r="J1062" i="1"/>
  <c r="K1062" i="1"/>
  <c r="L1062" i="1"/>
  <c r="A1063" i="1"/>
  <c r="B1063" i="1"/>
  <c r="C1063" i="1"/>
  <c r="D1063" i="1"/>
  <c r="E1063" i="1"/>
  <c r="F1063" i="1"/>
  <c r="G1063" i="1"/>
  <c r="H1063" i="1"/>
  <c r="I1063" i="1"/>
  <c r="J1063" i="1"/>
  <c r="K1063" i="1"/>
  <c r="L1063" i="1"/>
  <c r="A1064" i="1"/>
  <c r="B1064" i="1"/>
  <c r="C1064" i="1"/>
  <c r="D1064" i="1"/>
  <c r="E1064" i="1"/>
  <c r="F1064" i="1"/>
  <c r="G1064" i="1"/>
  <c r="H1064" i="1"/>
  <c r="I1064" i="1"/>
  <c r="J1064" i="1"/>
  <c r="K1064" i="1"/>
  <c r="L1064" i="1"/>
  <c r="A1065" i="1"/>
  <c r="B1065" i="1"/>
  <c r="C1065" i="1"/>
  <c r="D1065" i="1"/>
  <c r="E1065" i="1"/>
  <c r="F1065" i="1"/>
  <c r="G1065" i="1"/>
  <c r="H1065" i="1"/>
  <c r="I1065" i="1"/>
  <c r="J1065" i="1"/>
  <c r="K1065" i="1"/>
  <c r="L1065" i="1"/>
  <c r="A1066" i="1"/>
  <c r="B1066" i="1"/>
  <c r="C1066" i="1"/>
  <c r="D1066" i="1"/>
  <c r="E1066" i="1"/>
  <c r="F1066" i="1"/>
  <c r="G1066" i="1"/>
  <c r="H1066" i="1"/>
  <c r="I1066" i="1"/>
  <c r="J1066" i="1"/>
  <c r="K1066" i="1"/>
  <c r="L1066" i="1"/>
  <c r="A1067" i="1"/>
  <c r="B1067" i="1"/>
  <c r="C1067" i="1"/>
  <c r="D1067" i="1"/>
  <c r="E1067" i="1"/>
  <c r="F1067" i="1"/>
  <c r="G1067" i="1"/>
  <c r="H1067" i="1"/>
  <c r="I1067" i="1"/>
  <c r="J1067" i="1"/>
  <c r="K1067" i="1"/>
  <c r="L1067" i="1"/>
  <c r="A1068" i="1"/>
  <c r="B1068" i="1"/>
  <c r="C1068" i="1"/>
  <c r="D1068" i="1"/>
  <c r="E1068" i="1"/>
  <c r="F1068" i="1"/>
  <c r="G1068" i="1"/>
  <c r="H1068" i="1"/>
  <c r="I1068" i="1"/>
  <c r="J1068" i="1"/>
  <c r="K1068" i="1"/>
  <c r="L1068" i="1"/>
  <c r="A1069" i="1"/>
  <c r="B1069" i="1"/>
  <c r="C1069" i="1"/>
  <c r="D1069" i="1"/>
  <c r="E1069" i="1"/>
  <c r="F1069" i="1"/>
  <c r="G1069" i="1"/>
  <c r="H1069" i="1"/>
  <c r="I1069" i="1"/>
  <c r="J1069" i="1"/>
  <c r="K1069" i="1"/>
  <c r="L1069" i="1"/>
  <c r="A1070" i="1"/>
  <c r="B1070" i="1"/>
  <c r="C1070" i="1"/>
  <c r="D1070" i="1"/>
  <c r="E1070" i="1"/>
  <c r="F1070" i="1"/>
  <c r="G1070" i="1"/>
  <c r="H1070" i="1"/>
  <c r="I1070" i="1"/>
  <c r="J1070" i="1"/>
  <c r="K1070" i="1"/>
  <c r="L1070" i="1"/>
  <c r="A1071" i="1"/>
  <c r="B1071" i="1"/>
  <c r="C1071" i="1"/>
  <c r="D1071" i="1"/>
  <c r="E1071" i="1"/>
  <c r="F1071" i="1"/>
  <c r="G1071" i="1"/>
  <c r="H1071" i="1"/>
  <c r="I1071" i="1"/>
  <c r="J1071" i="1"/>
  <c r="K1071" i="1"/>
  <c r="L1071" i="1"/>
  <c r="A1072" i="1"/>
  <c r="B1072" i="1"/>
  <c r="C1072" i="1"/>
  <c r="D1072" i="1"/>
  <c r="E1072" i="1"/>
  <c r="F1072" i="1"/>
  <c r="G1072" i="1"/>
  <c r="H1072" i="1"/>
  <c r="I1072" i="1"/>
  <c r="J1072" i="1"/>
  <c r="K1072" i="1"/>
  <c r="L1072" i="1"/>
  <c r="A1073" i="1"/>
  <c r="B1073" i="1"/>
  <c r="C1073" i="1"/>
  <c r="D1073" i="1"/>
  <c r="E1073" i="1"/>
  <c r="F1073" i="1"/>
  <c r="G1073" i="1"/>
  <c r="H1073" i="1"/>
  <c r="I1073" i="1"/>
  <c r="J1073" i="1"/>
  <c r="K1073" i="1"/>
  <c r="L1073" i="1"/>
  <c r="A1074" i="1"/>
  <c r="B1074" i="1"/>
  <c r="C1074" i="1"/>
  <c r="D1074" i="1"/>
  <c r="E1074" i="1"/>
  <c r="F1074" i="1"/>
  <c r="G1074" i="1"/>
  <c r="H1074" i="1"/>
  <c r="I1074" i="1"/>
  <c r="J1074" i="1"/>
  <c r="K1074" i="1"/>
  <c r="L1074" i="1"/>
  <c r="A1075" i="1"/>
  <c r="B1075" i="1"/>
  <c r="C1075" i="1"/>
  <c r="D1075" i="1"/>
  <c r="E1075" i="1"/>
  <c r="F1075" i="1"/>
  <c r="G1075" i="1"/>
  <c r="H1075" i="1"/>
  <c r="I1075" i="1"/>
  <c r="J1075" i="1"/>
  <c r="K1075" i="1"/>
  <c r="L1075" i="1"/>
  <c r="A1076" i="1"/>
  <c r="B1076" i="1"/>
  <c r="C1076" i="1"/>
  <c r="D1076" i="1"/>
  <c r="E1076" i="1"/>
  <c r="F1076" i="1"/>
  <c r="G1076" i="1"/>
  <c r="H1076" i="1"/>
  <c r="I1076" i="1"/>
  <c r="J1076" i="1"/>
  <c r="K1076" i="1"/>
  <c r="L1076" i="1"/>
  <c r="A1077" i="1"/>
  <c r="B1077" i="1"/>
  <c r="C1077" i="1"/>
  <c r="D1077" i="1"/>
  <c r="E1077" i="1"/>
  <c r="F1077" i="1"/>
  <c r="G1077" i="1"/>
  <c r="H1077" i="1"/>
  <c r="I1077" i="1"/>
  <c r="J1077" i="1"/>
  <c r="K1077" i="1"/>
  <c r="L1077" i="1"/>
  <c r="A1078" i="1"/>
  <c r="B1078" i="1"/>
  <c r="C1078" i="1"/>
  <c r="D1078" i="1"/>
  <c r="E1078" i="1"/>
  <c r="F1078" i="1"/>
  <c r="G1078" i="1"/>
  <c r="H1078" i="1"/>
  <c r="I1078" i="1"/>
  <c r="J1078" i="1"/>
  <c r="K1078" i="1"/>
  <c r="L1078" i="1"/>
  <c r="A1079" i="1"/>
  <c r="B1079" i="1"/>
  <c r="C1079" i="1"/>
  <c r="D1079" i="1"/>
  <c r="E1079" i="1"/>
  <c r="F1079" i="1"/>
  <c r="G1079" i="1"/>
  <c r="H1079" i="1"/>
  <c r="I1079" i="1"/>
  <c r="J1079" i="1"/>
  <c r="K1079" i="1"/>
  <c r="L1079" i="1"/>
  <c r="A1080" i="1"/>
  <c r="B1080" i="1"/>
  <c r="C1080" i="1"/>
  <c r="D1080" i="1"/>
  <c r="E1080" i="1"/>
  <c r="F1080" i="1"/>
  <c r="G1080" i="1"/>
  <c r="H1080" i="1"/>
  <c r="I1080" i="1"/>
  <c r="J1080" i="1"/>
  <c r="K1080" i="1"/>
  <c r="L1080" i="1"/>
  <c r="A1081" i="1"/>
  <c r="B1081" i="1"/>
  <c r="C1081" i="1"/>
  <c r="D1081" i="1"/>
  <c r="E1081" i="1"/>
  <c r="F1081" i="1"/>
  <c r="G1081" i="1"/>
  <c r="H1081" i="1"/>
  <c r="I1081" i="1"/>
  <c r="J1081" i="1"/>
  <c r="K1081" i="1"/>
  <c r="L1081" i="1"/>
  <c r="A1082" i="1"/>
  <c r="B1082" i="1"/>
  <c r="C1082" i="1"/>
  <c r="D1082" i="1"/>
  <c r="E1082" i="1"/>
  <c r="F1082" i="1"/>
  <c r="G1082" i="1"/>
  <c r="H1082" i="1"/>
  <c r="I1082" i="1"/>
  <c r="J1082" i="1"/>
  <c r="K1082" i="1"/>
  <c r="L1082" i="1"/>
  <c r="A1083" i="1"/>
  <c r="B1083" i="1"/>
  <c r="C1083" i="1"/>
  <c r="D1083" i="1"/>
  <c r="E1083" i="1"/>
  <c r="F1083" i="1"/>
  <c r="G1083" i="1"/>
  <c r="H1083" i="1"/>
  <c r="I1083" i="1"/>
  <c r="J1083" i="1"/>
  <c r="K1083" i="1"/>
  <c r="L1083" i="1"/>
  <c r="A1084" i="1"/>
  <c r="B1084" i="1"/>
  <c r="C1084" i="1"/>
  <c r="D1084" i="1"/>
  <c r="E1084" i="1"/>
  <c r="F1084" i="1"/>
  <c r="G1084" i="1"/>
  <c r="H1084" i="1"/>
  <c r="I1084" i="1"/>
  <c r="J1084" i="1"/>
  <c r="K1084" i="1"/>
  <c r="L1084" i="1"/>
  <c r="A1085" i="1"/>
  <c r="B1085" i="1"/>
  <c r="C1085" i="1"/>
  <c r="D1085" i="1"/>
  <c r="E1085" i="1"/>
  <c r="F1085" i="1"/>
  <c r="G1085" i="1"/>
  <c r="H1085" i="1"/>
  <c r="I1085" i="1"/>
  <c r="J1085" i="1"/>
  <c r="K1085" i="1"/>
  <c r="L1085" i="1"/>
  <c r="A1086" i="1"/>
  <c r="B1086" i="1"/>
  <c r="C1086" i="1"/>
  <c r="D1086" i="1"/>
  <c r="E1086" i="1"/>
  <c r="F1086" i="1"/>
  <c r="G1086" i="1"/>
  <c r="H1086" i="1"/>
  <c r="I1086" i="1"/>
  <c r="J1086" i="1"/>
  <c r="K1086" i="1"/>
  <c r="L1086" i="1"/>
  <c r="A1087" i="1"/>
  <c r="B1087" i="1"/>
  <c r="C1087" i="1"/>
  <c r="D1087" i="1"/>
  <c r="E1087" i="1"/>
  <c r="F1087" i="1"/>
  <c r="G1087" i="1"/>
  <c r="H1087" i="1"/>
  <c r="I1087" i="1"/>
  <c r="J1087" i="1"/>
  <c r="K1087" i="1"/>
  <c r="L1087" i="1"/>
  <c r="A1088" i="1"/>
  <c r="B1088" i="1"/>
  <c r="C1088" i="1"/>
  <c r="D1088" i="1"/>
  <c r="E1088" i="1"/>
  <c r="F1088" i="1"/>
  <c r="G1088" i="1"/>
  <c r="H1088" i="1"/>
  <c r="I1088" i="1"/>
  <c r="J1088" i="1"/>
  <c r="K1088" i="1"/>
  <c r="L1088" i="1"/>
  <c r="A1089" i="1"/>
  <c r="B1089" i="1"/>
  <c r="C1089" i="1"/>
  <c r="D1089" i="1"/>
  <c r="E1089" i="1"/>
  <c r="F1089" i="1"/>
  <c r="G1089" i="1"/>
  <c r="H1089" i="1"/>
  <c r="I1089" i="1"/>
  <c r="J1089" i="1"/>
  <c r="K1089" i="1"/>
  <c r="L1089" i="1"/>
  <c r="A1090" i="1"/>
  <c r="B1090" i="1"/>
  <c r="C1090" i="1"/>
  <c r="D1090" i="1"/>
  <c r="E1090" i="1"/>
  <c r="F1090" i="1"/>
  <c r="G1090" i="1"/>
  <c r="H1090" i="1"/>
  <c r="I1090" i="1"/>
  <c r="J1090" i="1"/>
  <c r="K1090" i="1"/>
  <c r="L1090" i="1"/>
  <c r="A1091" i="1"/>
  <c r="B1091" i="1"/>
  <c r="C1091" i="1"/>
  <c r="D1091" i="1"/>
  <c r="E1091" i="1"/>
  <c r="F1091" i="1"/>
  <c r="G1091" i="1"/>
  <c r="H1091" i="1"/>
  <c r="I1091" i="1"/>
  <c r="J1091" i="1"/>
  <c r="K1091" i="1"/>
  <c r="L1091" i="1"/>
  <c r="A1092" i="1"/>
  <c r="B1092" i="1"/>
  <c r="C1092" i="1"/>
  <c r="D1092" i="1"/>
  <c r="E1092" i="1"/>
  <c r="F1092" i="1"/>
  <c r="G1092" i="1"/>
  <c r="H1092" i="1"/>
  <c r="I1092" i="1"/>
  <c r="J1092" i="1"/>
  <c r="K1092" i="1"/>
  <c r="L1092" i="1"/>
  <c r="A1093" i="1"/>
  <c r="B1093" i="1"/>
  <c r="C1093" i="1"/>
  <c r="D1093" i="1"/>
  <c r="E1093" i="1"/>
  <c r="F1093" i="1"/>
  <c r="G1093" i="1"/>
  <c r="H1093" i="1"/>
  <c r="I1093" i="1"/>
  <c r="J1093" i="1"/>
  <c r="K1093" i="1"/>
  <c r="L1093" i="1"/>
  <c r="A1094" i="1"/>
  <c r="B1094" i="1"/>
  <c r="C1094" i="1"/>
  <c r="D1094" i="1"/>
  <c r="E1094" i="1"/>
  <c r="F1094" i="1"/>
  <c r="G1094" i="1"/>
  <c r="H1094" i="1"/>
  <c r="I1094" i="1"/>
  <c r="J1094" i="1"/>
  <c r="K1094" i="1"/>
  <c r="L1094" i="1"/>
  <c r="A1095" i="1"/>
  <c r="B1095" i="1"/>
  <c r="C1095" i="1"/>
  <c r="D1095" i="1"/>
  <c r="E1095" i="1"/>
  <c r="F1095" i="1"/>
  <c r="G1095" i="1"/>
  <c r="H1095" i="1"/>
  <c r="I1095" i="1"/>
  <c r="J1095" i="1"/>
  <c r="K1095" i="1"/>
  <c r="L1095" i="1"/>
  <c r="A1096" i="1"/>
  <c r="B1096" i="1"/>
  <c r="C1096" i="1"/>
  <c r="D1096" i="1"/>
  <c r="E1096" i="1"/>
  <c r="F1096" i="1"/>
  <c r="G1096" i="1"/>
  <c r="H1096" i="1"/>
  <c r="I1096" i="1"/>
  <c r="J1096" i="1"/>
  <c r="K1096" i="1"/>
  <c r="L1096" i="1"/>
  <c r="A1097" i="1"/>
  <c r="B1097" i="1"/>
  <c r="C1097" i="1"/>
  <c r="D1097" i="1"/>
  <c r="E1097" i="1"/>
  <c r="F1097" i="1"/>
  <c r="G1097" i="1"/>
  <c r="H1097" i="1"/>
  <c r="I1097" i="1"/>
  <c r="J1097" i="1"/>
  <c r="K1097" i="1"/>
  <c r="L1097" i="1"/>
  <c r="A1098" i="1"/>
  <c r="B1098" i="1"/>
  <c r="C1098" i="1"/>
  <c r="D1098" i="1"/>
  <c r="E1098" i="1"/>
  <c r="F1098" i="1"/>
  <c r="G1098" i="1"/>
  <c r="H1098" i="1"/>
  <c r="I1098" i="1"/>
  <c r="J1098" i="1"/>
  <c r="K1098" i="1"/>
  <c r="L1098" i="1"/>
  <c r="A1099" i="1"/>
  <c r="B1099" i="1"/>
  <c r="C1099" i="1"/>
  <c r="D1099" i="1"/>
  <c r="E1099" i="1"/>
  <c r="F1099" i="1"/>
  <c r="G1099" i="1"/>
  <c r="H1099" i="1"/>
  <c r="I1099" i="1"/>
  <c r="J1099" i="1"/>
  <c r="K1099" i="1"/>
  <c r="L1099" i="1"/>
  <c r="A1100" i="1"/>
  <c r="B1100" i="1"/>
  <c r="C1100" i="1"/>
  <c r="D1100" i="1"/>
  <c r="E1100" i="1"/>
  <c r="F1100" i="1"/>
  <c r="G1100" i="1"/>
  <c r="H1100" i="1"/>
  <c r="I1100" i="1"/>
  <c r="J1100" i="1"/>
  <c r="K1100" i="1"/>
  <c r="L1100" i="1"/>
  <c r="A1101" i="1"/>
  <c r="B1101" i="1"/>
  <c r="C1101" i="1"/>
  <c r="D1101" i="1"/>
  <c r="E1101" i="1"/>
  <c r="F1101" i="1"/>
  <c r="G1101" i="1"/>
  <c r="H1101" i="1"/>
  <c r="I1101" i="1"/>
  <c r="J1101" i="1"/>
  <c r="K1101" i="1"/>
  <c r="L1101" i="1"/>
  <c r="A1102" i="1"/>
  <c r="B1102" i="1"/>
  <c r="C1102" i="1"/>
  <c r="D1102" i="1"/>
  <c r="E1102" i="1"/>
  <c r="F1102" i="1"/>
  <c r="G1102" i="1"/>
  <c r="H1102" i="1"/>
  <c r="I1102" i="1"/>
  <c r="J1102" i="1"/>
  <c r="K1102" i="1"/>
  <c r="L1102" i="1"/>
  <c r="A1103" i="1"/>
  <c r="B1103" i="1"/>
  <c r="C1103" i="1"/>
  <c r="D1103" i="1"/>
  <c r="E1103" i="1"/>
  <c r="F1103" i="1"/>
  <c r="G1103" i="1"/>
  <c r="H1103" i="1"/>
  <c r="I1103" i="1"/>
  <c r="J1103" i="1"/>
  <c r="K1103" i="1"/>
  <c r="L1103" i="1"/>
  <c r="A1104" i="1"/>
  <c r="B1104" i="1"/>
  <c r="C1104" i="1"/>
  <c r="D1104" i="1"/>
  <c r="E1104" i="1"/>
  <c r="F1104" i="1"/>
  <c r="G1104" i="1"/>
  <c r="H1104" i="1"/>
  <c r="I1104" i="1"/>
  <c r="J1104" i="1"/>
  <c r="K1104" i="1"/>
  <c r="L1104" i="1"/>
  <c r="A1105" i="1"/>
  <c r="B1105" i="1"/>
  <c r="C1105" i="1"/>
  <c r="D1105" i="1"/>
  <c r="E1105" i="1"/>
  <c r="F1105" i="1"/>
  <c r="G1105" i="1"/>
  <c r="H1105" i="1"/>
  <c r="I1105" i="1"/>
  <c r="J1105" i="1"/>
  <c r="K1105" i="1"/>
  <c r="L1105" i="1"/>
  <c r="A1106" i="1"/>
  <c r="B1106" i="1"/>
  <c r="C1106" i="1"/>
  <c r="D1106" i="1"/>
  <c r="E1106" i="1"/>
  <c r="F1106" i="1"/>
  <c r="G1106" i="1"/>
  <c r="H1106" i="1"/>
  <c r="I1106" i="1"/>
  <c r="J1106" i="1"/>
  <c r="K1106" i="1"/>
  <c r="L1106" i="1"/>
  <c r="A1107" i="1"/>
  <c r="B1107" i="1"/>
  <c r="C1107" i="1"/>
  <c r="D1107" i="1"/>
  <c r="E1107" i="1"/>
  <c r="F1107" i="1"/>
  <c r="G1107" i="1"/>
  <c r="H1107" i="1"/>
  <c r="I1107" i="1"/>
  <c r="J1107" i="1"/>
  <c r="K1107" i="1"/>
  <c r="L1107" i="1"/>
  <c r="A1108" i="1"/>
  <c r="B1108" i="1"/>
  <c r="C1108" i="1"/>
  <c r="D1108" i="1"/>
  <c r="E1108" i="1"/>
  <c r="F1108" i="1"/>
  <c r="G1108" i="1"/>
  <c r="H1108" i="1"/>
  <c r="I1108" i="1"/>
  <c r="J1108" i="1"/>
  <c r="K1108" i="1"/>
  <c r="L1108" i="1"/>
  <c r="A1109" i="1"/>
  <c r="B1109" i="1"/>
  <c r="C1109" i="1"/>
  <c r="D1109" i="1"/>
  <c r="E1109" i="1"/>
  <c r="F1109" i="1"/>
  <c r="G1109" i="1"/>
  <c r="H1109" i="1"/>
  <c r="I1109" i="1"/>
  <c r="J1109" i="1"/>
  <c r="K1109" i="1"/>
  <c r="L1109" i="1"/>
  <c r="A1110" i="1"/>
  <c r="B1110" i="1"/>
  <c r="C1110" i="1"/>
  <c r="D1110" i="1"/>
  <c r="E1110" i="1"/>
  <c r="F1110" i="1"/>
  <c r="G1110" i="1"/>
  <c r="H1110" i="1"/>
  <c r="I1110" i="1"/>
  <c r="J1110" i="1"/>
  <c r="K1110" i="1"/>
  <c r="L1110" i="1"/>
  <c r="A1111" i="1"/>
  <c r="B1111" i="1"/>
  <c r="C1111" i="1"/>
  <c r="D1111" i="1"/>
  <c r="E1111" i="1"/>
  <c r="F1111" i="1"/>
  <c r="G1111" i="1"/>
  <c r="H1111" i="1"/>
  <c r="I1111" i="1"/>
  <c r="J1111" i="1"/>
  <c r="K1111" i="1"/>
  <c r="L1111" i="1"/>
  <c r="A1112" i="1"/>
  <c r="B1112" i="1"/>
  <c r="C1112" i="1"/>
  <c r="D1112" i="1"/>
  <c r="E1112" i="1"/>
  <c r="F1112" i="1"/>
  <c r="G1112" i="1"/>
  <c r="H1112" i="1"/>
  <c r="I1112" i="1"/>
  <c r="J1112" i="1"/>
  <c r="K1112" i="1"/>
  <c r="L1112" i="1"/>
  <c r="A1113" i="1"/>
  <c r="B1113" i="1"/>
  <c r="C1113" i="1"/>
  <c r="D1113" i="1"/>
  <c r="E1113" i="1"/>
  <c r="F1113" i="1"/>
  <c r="G1113" i="1"/>
  <c r="H1113" i="1"/>
  <c r="I1113" i="1"/>
  <c r="J1113" i="1"/>
  <c r="K1113" i="1"/>
  <c r="L1113" i="1"/>
  <c r="A1114" i="1"/>
  <c r="B1114" i="1"/>
  <c r="C1114" i="1"/>
  <c r="D1114" i="1"/>
  <c r="E1114" i="1"/>
  <c r="F1114" i="1"/>
  <c r="G1114" i="1"/>
  <c r="H1114" i="1"/>
  <c r="I1114" i="1"/>
  <c r="J1114" i="1"/>
  <c r="K1114" i="1"/>
  <c r="L1114" i="1"/>
  <c r="A1115" i="1"/>
  <c r="B1115" i="1"/>
  <c r="C1115" i="1"/>
  <c r="D1115" i="1"/>
  <c r="E1115" i="1"/>
  <c r="F1115" i="1"/>
  <c r="G1115" i="1"/>
  <c r="H1115" i="1"/>
  <c r="I1115" i="1"/>
  <c r="J1115" i="1"/>
  <c r="K1115" i="1"/>
  <c r="L1115" i="1"/>
  <c r="A1116" i="1"/>
  <c r="B1116" i="1"/>
  <c r="C1116" i="1"/>
  <c r="D1116" i="1"/>
  <c r="E1116" i="1"/>
  <c r="F1116" i="1"/>
  <c r="G1116" i="1"/>
  <c r="H1116" i="1"/>
  <c r="I1116" i="1"/>
  <c r="J1116" i="1"/>
  <c r="K1116" i="1"/>
  <c r="L1116" i="1"/>
  <c r="A1117" i="1"/>
  <c r="B1117" i="1"/>
  <c r="C1117" i="1"/>
  <c r="D1117" i="1"/>
  <c r="E1117" i="1"/>
  <c r="F1117" i="1"/>
  <c r="G1117" i="1"/>
  <c r="H1117" i="1"/>
  <c r="I1117" i="1"/>
  <c r="J1117" i="1"/>
  <c r="K1117" i="1"/>
  <c r="L1117" i="1"/>
  <c r="A1118" i="1"/>
  <c r="B1118" i="1"/>
  <c r="C1118" i="1"/>
  <c r="D1118" i="1"/>
  <c r="E1118" i="1"/>
  <c r="F1118" i="1"/>
  <c r="G1118" i="1"/>
  <c r="H1118" i="1"/>
  <c r="I1118" i="1"/>
  <c r="J1118" i="1"/>
  <c r="K1118" i="1"/>
  <c r="L1118" i="1"/>
  <c r="A1119" i="1"/>
  <c r="B1119" i="1"/>
  <c r="C1119" i="1"/>
  <c r="D1119" i="1"/>
  <c r="E1119" i="1"/>
  <c r="F1119" i="1"/>
  <c r="G1119" i="1"/>
  <c r="H1119" i="1"/>
  <c r="I1119" i="1"/>
  <c r="J1119" i="1"/>
  <c r="K1119" i="1"/>
  <c r="L1119" i="1"/>
  <c r="A1120" i="1"/>
  <c r="B1120" i="1"/>
  <c r="C1120" i="1"/>
  <c r="D1120" i="1"/>
  <c r="E1120" i="1"/>
  <c r="F1120" i="1"/>
  <c r="G1120" i="1"/>
  <c r="H1120" i="1"/>
  <c r="I1120" i="1"/>
  <c r="J1120" i="1"/>
  <c r="K1120" i="1"/>
  <c r="L1120" i="1"/>
  <c r="A1121" i="1"/>
  <c r="B1121" i="1"/>
  <c r="C1121" i="1"/>
  <c r="D1121" i="1"/>
  <c r="E1121" i="1"/>
  <c r="F1121" i="1"/>
  <c r="G1121" i="1"/>
  <c r="H1121" i="1"/>
  <c r="I1121" i="1"/>
  <c r="J1121" i="1"/>
  <c r="K1121" i="1"/>
  <c r="L1121" i="1"/>
  <c r="A1122" i="1"/>
  <c r="B1122" i="1"/>
  <c r="C1122" i="1"/>
  <c r="D1122" i="1"/>
  <c r="E1122" i="1"/>
  <c r="F1122" i="1"/>
  <c r="G1122" i="1"/>
  <c r="H1122" i="1"/>
  <c r="I1122" i="1"/>
  <c r="J1122" i="1"/>
  <c r="K1122" i="1"/>
  <c r="L1122" i="1"/>
  <c r="A1123" i="1"/>
  <c r="B1123" i="1"/>
  <c r="C1123" i="1"/>
  <c r="D1123" i="1"/>
  <c r="E1123" i="1"/>
  <c r="F1123" i="1"/>
  <c r="G1123" i="1"/>
  <c r="H1123" i="1"/>
  <c r="I1123" i="1"/>
  <c r="J1123" i="1"/>
  <c r="K1123" i="1"/>
  <c r="L1123" i="1"/>
  <c r="A1124" i="1"/>
  <c r="B1124" i="1"/>
  <c r="C1124" i="1"/>
  <c r="D1124" i="1"/>
  <c r="E1124" i="1"/>
  <c r="F1124" i="1"/>
  <c r="G1124" i="1"/>
  <c r="H1124" i="1"/>
  <c r="I1124" i="1"/>
  <c r="J1124" i="1"/>
  <c r="K1124" i="1"/>
  <c r="L1124" i="1"/>
  <c r="A1125" i="1"/>
  <c r="B1125" i="1"/>
  <c r="C1125" i="1"/>
  <c r="D1125" i="1"/>
  <c r="E1125" i="1"/>
  <c r="F1125" i="1"/>
  <c r="G1125" i="1"/>
  <c r="H1125" i="1"/>
  <c r="I1125" i="1"/>
  <c r="J1125" i="1"/>
  <c r="K1125" i="1"/>
  <c r="L1125" i="1"/>
  <c r="A1126" i="1"/>
  <c r="B1126" i="1"/>
  <c r="C1126" i="1"/>
  <c r="D1126" i="1"/>
  <c r="E1126" i="1"/>
  <c r="F1126" i="1"/>
  <c r="G1126" i="1"/>
  <c r="H1126" i="1"/>
  <c r="I1126" i="1"/>
  <c r="J1126" i="1"/>
  <c r="K1126" i="1"/>
  <c r="L1126" i="1"/>
  <c r="A1127" i="1"/>
  <c r="B1127" i="1"/>
  <c r="C1127" i="1"/>
  <c r="D1127" i="1"/>
  <c r="E1127" i="1"/>
  <c r="F1127" i="1"/>
  <c r="G1127" i="1"/>
  <c r="H1127" i="1"/>
  <c r="I1127" i="1"/>
  <c r="J1127" i="1"/>
  <c r="K1127" i="1"/>
  <c r="L1127" i="1"/>
  <c r="A1128" i="1"/>
  <c r="B1128" i="1"/>
  <c r="C1128" i="1"/>
  <c r="D1128" i="1"/>
  <c r="E1128" i="1"/>
  <c r="F1128" i="1"/>
  <c r="G1128" i="1"/>
  <c r="H1128" i="1"/>
  <c r="I1128" i="1"/>
  <c r="J1128" i="1"/>
  <c r="K1128" i="1"/>
  <c r="L1128" i="1"/>
  <c r="A1129" i="1"/>
  <c r="B1129" i="1"/>
  <c r="C1129" i="1"/>
  <c r="D1129" i="1"/>
  <c r="E1129" i="1"/>
  <c r="F1129" i="1"/>
  <c r="G1129" i="1"/>
  <c r="H1129" i="1"/>
  <c r="I1129" i="1"/>
  <c r="J1129" i="1"/>
  <c r="K1129" i="1"/>
  <c r="L1129" i="1"/>
  <c r="A1130" i="1"/>
  <c r="B1130" i="1"/>
  <c r="C1130" i="1"/>
  <c r="D1130" i="1"/>
  <c r="E1130" i="1"/>
  <c r="F1130" i="1"/>
  <c r="G1130" i="1"/>
  <c r="H1130" i="1"/>
  <c r="I1130" i="1"/>
  <c r="J1130" i="1"/>
  <c r="K1130" i="1"/>
  <c r="L1130" i="1"/>
  <c r="A1131" i="1"/>
  <c r="B1131" i="1"/>
  <c r="C1131" i="1"/>
  <c r="D1131" i="1"/>
  <c r="E1131" i="1"/>
  <c r="F1131" i="1"/>
  <c r="G1131" i="1"/>
  <c r="H1131" i="1"/>
  <c r="I1131" i="1"/>
  <c r="J1131" i="1"/>
  <c r="K1131" i="1"/>
  <c r="L1131" i="1"/>
  <c r="A1132" i="1"/>
  <c r="B1132" i="1"/>
  <c r="C1132" i="1"/>
  <c r="D1132" i="1"/>
  <c r="E1132" i="1"/>
  <c r="F1132" i="1"/>
  <c r="G1132" i="1"/>
  <c r="H1132" i="1"/>
  <c r="I1132" i="1"/>
  <c r="J1132" i="1"/>
  <c r="K1132" i="1"/>
  <c r="L1132" i="1"/>
  <c r="A1133" i="1"/>
  <c r="B1133" i="1"/>
  <c r="C1133" i="1"/>
  <c r="D1133" i="1"/>
  <c r="E1133" i="1"/>
  <c r="F1133" i="1"/>
  <c r="G1133" i="1"/>
  <c r="H1133" i="1"/>
  <c r="I1133" i="1"/>
  <c r="J1133" i="1"/>
  <c r="K1133" i="1"/>
  <c r="L1133" i="1"/>
  <c r="A1134" i="1"/>
  <c r="B1134" i="1"/>
  <c r="C1134" i="1"/>
  <c r="D1134" i="1"/>
  <c r="E1134" i="1"/>
  <c r="F1134" i="1"/>
  <c r="G1134" i="1"/>
  <c r="H1134" i="1"/>
  <c r="I1134" i="1"/>
  <c r="J1134" i="1"/>
  <c r="K1134" i="1"/>
  <c r="L1134" i="1"/>
  <c r="A1135" i="1"/>
  <c r="B1135" i="1"/>
  <c r="C1135" i="1"/>
  <c r="D1135" i="1"/>
  <c r="E1135" i="1"/>
  <c r="F1135" i="1"/>
  <c r="G1135" i="1"/>
  <c r="H1135" i="1"/>
  <c r="I1135" i="1"/>
  <c r="J1135" i="1"/>
  <c r="K1135" i="1"/>
  <c r="L1135" i="1"/>
  <c r="A1136" i="1"/>
  <c r="B1136" i="1"/>
  <c r="C1136" i="1"/>
  <c r="D1136" i="1"/>
  <c r="E1136" i="1"/>
  <c r="F1136" i="1"/>
  <c r="G1136" i="1"/>
  <c r="H1136" i="1"/>
  <c r="I1136" i="1"/>
  <c r="J1136" i="1"/>
  <c r="K1136" i="1"/>
  <c r="L1136" i="1"/>
  <c r="A1137" i="1"/>
  <c r="B1137" i="1"/>
  <c r="C1137" i="1"/>
  <c r="D1137" i="1"/>
  <c r="E1137" i="1"/>
  <c r="F1137" i="1"/>
  <c r="G1137" i="1"/>
  <c r="H1137" i="1"/>
  <c r="I1137" i="1"/>
  <c r="J1137" i="1"/>
  <c r="K1137" i="1"/>
  <c r="L1137" i="1"/>
  <c r="A1138" i="1"/>
  <c r="B1138" i="1"/>
  <c r="C1138" i="1"/>
  <c r="D1138" i="1"/>
  <c r="E1138" i="1"/>
  <c r="F1138" i="1"/>
  <c r="G1138" i="1"/>
  <c r="H1138" i="1"/>
  <c r="I1138" i="1"/>
  <c r="J1138" i="1"/>
  <c r="K1138" i="1"/>
  <c r="L1138" i="1"/>
  <c r="A1139" i="1"/>
  <c r="B1139" i="1"/>
  <c r="C1139" i="1"/>
  <c r="D1139" i="1"/>
  <c r="E1139" i="1"/>
  <c r="F1139" i="1"/>
  <c r="G1139" i="1"/>
  <c r="H1139" i="1"/>
  <c r="I1139" i="1"/>
  <c r="J1139" i="1"/>
  <c r="K1139" i="1"/>
  <c r="L1139" i="1"/>
  <c r="A1140" i="1"/>
  <c r="B1140" i="1"/>
  <c r="C1140" i="1"/>
  <c r="D1140" i="1"/>
  <c r="E1140" i="1"/>
  <c r="F1140" i="1"/>
  <c r="G1140" i="1"/>
  <c r="H1140" i="1"/>
  <c r="I1140" i="1"/>
  <c r="J1140" i="1"/>
  <c r="K1140" i="1"/>
  <c r="L1140" i="1"/>
  <c r="A1141" i="1"/>
  <c r="B1141" i="1"/>
  <c r="C1141" i="1"/>
  <c r="D1141" i="1"/>
  <c r="E1141" i="1"/>
  <c r="F1141" i="1"/>
  <c r="G1141" i="1"/>
  <c r="H1141" i="1"/>
  <c r="I1141" i="1"/>
  <c r="J1141" i="1"/>
  <c r="K1141" i="1"/>
  <c r="L1141" i="1"/>
  <c r="A1142" i="1"/>
  <c r="B1142" i="1"/>
  <c r="C1142" i="1"/>
  <c r="D1142" i="1"/>
  <c r="E1142" i="1"/>
  <c r="F1142" i="1"/>
  <c r="G1142" i="1"/>
  <c r="H1142" i="1"/>
  <c r="I1142" i="1"/>
  <c r="J1142" i="1"/>
  <c r="K1142" i="1"/>
  <c r="L1142" i="1"/>
  <c r="A1143" i="1"/>
  <c r="B1143" i="1"/>
  <c r="C1143" i="1"/>
  <c r="D1143" i="1"/>
  <c r="E1143" i="1"/>
  <c r="F1143" i="1"/>
  <c r="G1143" i="1"/>
  <c r="H1143" i="1"/>
  <c r="I1143" i="1"/>
  <c r="J1143" i="1"/>
  <c r="K1143" i="1"/>
  <c r="L1143" i="1"/>
  <c r="A1144" i="1"/>
  <c r="B1144" i="1"/>
  <c r="C1144" i="1"/>
  <c r="D1144" i="1"/>
  <c r="E1144" i="1"/>
  <c r="F1144" i="1"/>
  <c r="G1144" i="1"/>
  <c r="H1144" i="1"/>
  <c r="I1144" i="1"/>
  <c r="J1144" i="1"/>
  <c r="K1144" i="1"/>
  <c r="L1144" i="1"/>
  <c r="A1145" i="1"/>
  <c r="B1145" i="1"/>
  <c r="C1145" i="1"/>
  <c r="D1145" i="1"/>
  <c r="E1145" i="1"/>
  <c r="F1145" i="1"/>
  <c r="G1145" i="1"/>
  <c r="H1145" i="1"/>
  <c r="I1145" i="1"/>
  <c r="J1145" i="1"/>
  <c r="K1145" i="1"/>
  <c r="L1145" i="1"/>
  <c r="A1146" i="1"/>
  <c r="B1146" i="1"/>
  <c r="C1146" i="1"/>
  <c r="D1146" i="1"/>
  <c r="E1146" i="1"/>
  <c r="F1146" i="1"/>
  <c r="G1146" i="1"/>
  <c r="H1146" i="1"/>
  <c r="I1146" i="1"/>
  <c r="J1146" i="1"/>
  <c r="K1146" i="1"/>
  <c r="L1146" i="1"/>
  <c r="A1147" i="1"/>
  <c r="B1147" i="1"/>
  <c r="C1147" i="1"/>
  <c r="D1147" i="1"/>
  <c r="E1147" i="1"/>
  <c r="F1147" i="1"/>
  <c r="G1147" i="1"/>
  <c r="H1147" i="1"/>
  <c r="I1147" i="1"/>
  <c r="J1147" i="1"/>
  <c r="K1147" i="1"/>
  <c r="L1147" i="1"/>
  <c r="A1148" i="1"/>
  <c r="B1148" i="1"/>
  <c r="C1148" i="1"/>
  <c r="D1148" i="1"/>
  <c r="E1148" i="1"/>
  <c r="F1148" i="1"/>
  <c r="G1148" i="1"/>
  <c r="H1148" i="1"/>
  <c r="I1148" i="1"/>
  <c r="J1148" i="1"/>
  <c r="K1148" i="1"/>
  <c r="L1148" i="1"/>
  <c r="A1149" i="1"/>
  <c r="B1149" i="1"/>
  <c r="C1149" i="1"/>
  <c r="D1149" i="1"/>
  <c r="E1149" i="1"/>
  <c r="F1149" i="1"/>
  <c r="G1149" i="1"/>
  <c r="H1149" i="1"/>
  <c r="I1149" i="1"/>
  <c r="J1149" i="1"/>
  <c r="K1149" i="1"/>
  <c r="L1149" i="1"/>
  <c r="A1150" i="1"/>
  <c r="B1150" i="1"/>
  <c r="C1150" i="1"/>
  <c r="D1150" i="1"/>
  <c r="E1150" i="1"/>
  <c r="F1150" i="1"/>
  <c r="G1150" i="1"/>
  <c r="H1150" i="1"/>
  <c r="I1150" i="1"/>
  <c r="J1150" i="1"/>
  <c r="K1150" i="1"/>
  <c r="L1150" i="1"/>
  <c r="A1151" i="1"/>
  <c r="B1151" i="1"/>
  <c r="C1151" i="1"/>
  <c r="D1151" i="1"/>
  <c r="E1151" i="1"/>
  <c r="F1151" i="1"/>
  <c r="G1151" i="1"/>
  <c r="H1151" i="1"/>
  <c r="I1151" i="1"/>
  <c r="J1151" i="1"/>
  <c r="K1151" i="1"/>
  <c r="L1151" i="1"/>
  <c r="A1152" i="1"/>
  <c r="B1152" i="1"/>
  <c r="C1152" i="1"/>
  <c r="D1152" i="1"/>
  <c r="E1152" i="1"/>
  <c r="F1152" i="1"/>
  <c r="G1152" i="1"/>
  <c r="H1152" i="1"/>
  <c r="I1152" i="1"/>
  <c r="J1152" i="1"/>
  <c r="K1152" i="1"/>
  <c r="L1152" i="1"/>
  <c r="A1153" i="1"/>
  <c r="B1153" i="1"/>
  <c r="C1153" i="1"/>
  <c r="D1153" i="1"/>
  <c r="E1153" i="1"/>
  <c r="F1153" i="1"/>
  <c r="G1153" i="1"/>
  <c r="H1153" i="1"/>
  <c r="I1153" i="1"/>
  <c r="J1153" i="1"/>
  <c r="K1153" i="1"/>
  <c r="L1153" i="1"/>
  <c r="A1154" i="1"/>
  <c r="B1154" i="1"/>
  <c r="C1154" i="1"/>
  <c r="D1154" i="1"/>
  <c r="E1154" i="1"/>
  <c r="F1154" i="1"/>
  <c r="G1154" i="1"/>
  <c r="H1154" i="1"/>
  <c r="I1154" i="1"/>
  <c r="J1154" i="1"/>
  <c r="K1154" i="1"/>
  <c r="L1154" i="1"/>
  <c r="A1155" i="1"/>
  <c r="B1155" i="1"/>
  <c r="C1155" i="1"/>
  <c r="D1155" i="1"/>
  <c r="E1155" i="1"/>
  <c r="F1155" i="1"/>
  <c r="G1155" i="1"/>
  <c r="H1155" i="1"/>
  <c r="I1155" i="1"/>
  <c r="J1155" i="1"/>
  <c r="K1155" i="1"/>
  <c r="L1155" i="1"/>
  <c r="A1156" i="1"/>
  <c r="B1156" i="1"/>
  <c r="C1156" i="1"/>
  <c r="D1156" i="1"/>
  <c r="E1156" i="1"/>
  <c r="F1156" i="1"/>
  <c r="G1156" i="1"/>
  <c r="H1156" i="1"/>
  <c r="I1156" i="1"/>
  <c r="J1156" i="1"/>
  <c r="K1156" i="1"/>
  <c r="L1156" i="1"/>
  <c r="A1157" i="1"/>
  <c r="B1157" i="1"/>
  <c r="C1157" i="1"/>
  <c r="D1157" i="1"/>
  <c r="E1157" i="1"/>
  <c r="F1157" i="1"/>
  <c r="G1157" i="1"/>
  <c r="H1157" i="1"/>
  <c r="I1157" i="1"/>
  <c r="J1157" i="1"/>
  <c r="K1157" i="1"/>
  <c r="L1157" i="1"/>
  <c r="A1158" i="1"/>
  <c r="B1158" i="1"/>
  <c r="C1158" i="1"/>
  <c r="D1158" i="1"/>
  <c r="E1158" i="1"/>
  <c r="F1158" i="1"/>
  <c r="G1158" i="1"/>
  <c r="H1158" i="1"/>
  <c r="I1158" i="1"/>
  <c r="J1158" i="1"/>
  <c r="K1158" i="1"/>
  <c r="L1158" i="1"/>
  <c r="A1159" i="1"/>
  <c r="B1159" i="1"/>
  <c r="C1159" i="1"/>
  <c r="D1159" i="1"/>
  <c r="E1159" i="1"/>
  <c r="F1159" i="1"/>
  <c r="G1159" i="1"/>
  <c r="H1159" i="1"/>
  <c r="I1159" i="1"/>
  <c r="J1159" i="1"/>
  <c r="K1159" i="1"/>
  <c r="L1159" i="1"/>
  <c r="A1160" i="1"/>
  <c r="B1160" i="1"/>
  <c r="C1160" i="1"/>
  <c r="D1160" i="1"/>
  <c r="E1160" i="1"/>
  <c r="F1160" i="1"/>
  <c r="G1160" i="1"/>
  <c r="H1160" i="1"/>
  <c r="I1160" i="1"/>
  <c r="J1160" i="1"/>
  <c r="K1160" i="1"/>
  <c r="L1160" i="1"/>
  <c r="A1161" i="1"/>
  <c r="B1161" i="1"/>
  <c r="C1161" i="1"/>
  <c r="D1161" i="1"/>
  <c r="E1161" i="1"/>
  <c r="F1161" i="1"/>
  <c r="G1161" i="1"/>
  <c r="H1161" i="1"/>
  <c r="I1161" i="1"/>
  <c r="J1161" i="1"/>
  <c r="K1161" i="1"/>
  <c r="L1161" i="1"/>
  <c r="A1162" i="1"/>
  <c r="B1162" i="1"/>
  <c r="C1162" i="1"/>
  <c r="D1162" i="1"/>
  <c r="E1162" i="1"/>
  <c r="F1162" i="1"/>
  <c r="G1162" i="1"/>
  <c r="H1162" i="1"/>
  <c r="I1162" i="1"/>
  <c r="J1162" i="1"/>
  <c r="K1162" i="1"/>
  <c r="L1162" i="1"/>
  <c r="A1163" i="1"/>
  <c r="B1163" i="1"/>
  <c r="C1163" i="1"/>
  <c r="D1163" i="1"/>
  <c r="E1163" i="1"/>
  <c r="F1163" i="1"/>
  <c r="G1163" i="1"/>
  <c r="H1163" i="1"/>
  <c r="I1163" i="1"/>
  <c r="J1163" i="1"/>
  <c r="K1163" i="1"/>
  <c r="L1163" i="1"/>
  <c r="A1164" i="1"/>
  <c r="B1164" i="1"/>
  <c r="C1164" i="1"/>
  <c r="D1164" i="1"/>
  <c r="E1164" i="1"/>
  <c r="F1164" i="1"/>
  <c r="G1164" i="1"/>
  <c r="H1164" i="1"/>
  <c r="I1164" i="1"/>
  <c r="J1164" i="1"/>
  <c r="K1164" i="1"/>
  <c r="L1164" i="1"/>
  <c r="A1165" i="1"/>
  <c r="B1165" i="1"/>
  <c r="C1165" i="1"/>
  <c r="D1165" i="1"/>
  <c r="E1165" i="1"/>
  <c r="F1165" i="1"/>
  <c r="G1165" i="1"/>
  <c r="H1165" i="1"/>
  <c r="I1165" i="1"/>
  <c r="J1165" i="1"/>
  <c r="K1165" i="1"/>
  <c r="L1165" i="1"/>
  <c r="A1166" i="1"/>
  <c r="B1166" i="1"/>
  <c r="C1166" i="1"/>
  <c r="D1166" i="1"/>
  <c r="E1166" i="1"/>
  <c r="F1166" i="1"/>
  <c r="G1166" i="1"/>
  <c r="H1166" i="1"/>
  <c r="I1166" i="1"/>
  <c r="J1166" i="1"/>
  <c r="K1166" i="1"/>
  <c r="L1166" i="1"/>
  <c r="A1167" i="1"/>
  <c r="B1167" i="1"/>
  <c r="C1167" i="1"/>
  <c r="D1167" i="1"/>
  <c r="E1167" i="1"/>
  <c r="F1167" i="1"/>
  <c r="G1167" i="1"/>
  <c r="H1167" i="1"/>
  <c r="I1167" i="1"/>
  <c r="J1167" i="1"/>
  <c r="K1167" i="1"/>
  <c r="L1167" i="1"/>
  <c r="A1168" i="1"/>
  <c r="B1168" i="1"/>
  <c r="C1168" i="1"/>
  <c r="D1168" i="1"/>
  <c r="E1168" i="1"/>
  <c r="F1168" i="1"/>
  <c r="G1168" i="1"/>
  <c r="H1168" i="1"/>
  <c r="I1168" i="1"/>
  <c r="J1168" i="1"/>
  <c r="K1168" i="1"/>
  <c r="L1168" i="1"/>
  <c r="A1169" i="1"/>
  <c r="B1169" i="1"/>
  <c r="C1169" i="1"/>
  <c r="D1169" i="1"/>
  <c r="E1169" i="1"/>
  <c r="F1169" i="1"/>
  <c r="G1169" i="1"/>
  <c r="H1169" i="1"/>
  <c r="I1169" i="1"/>
  <c r="J1169" i="1"/>
  <c r="K1169" i="1"/>
  <c r="L1169" i="1"/>
  <c r="A1170" i="1"/>
  <c r="B1170" i="1"/>
  <c r="C1170" i="1"/>
  <c r="D1170" i="1"/>
  <c r="E1170" i="1"/>
  <c r="F1170" i="1"/>
  <c r="G1170" i="1"/>
  <c r="H1170" i="1"/>
  <c r="I1170" i="1"/>
  <c r="J1170" i="1"/>
  <c r="K1170" i="1"/>
  <c r="L1170" i="1"/>
  <c r="A1171" i="1"/>
  <c r="B1171" i="1"/>
  <c r="C1171" i="1"/>
  <c r="D1171" i="1"/>
  <c r="E1171" i="1"/>
  <c r="F1171" i="1"/>
  <c r="G1171" i="1"/>
  <c r="H1171" i="1"/>
  <c r="I1171" i="1"/>
  <c r="J1171" i="1"/>
  <c r="K1171" i="1"/>
  <c r="L1171" i="1"/>
  <c r="A1172" i="1"/>
  <c r="B1172" i="1"/>
  <c r="C1172" i="1"/>
  <c r="D1172" i="1"/>
  <c r="E1172" i="1"/>
  <c r="F1172" i="1"/>
  <c r="G1172" i="1"/>
  <c r="H1172" i="1"/>
  <c r="I1172" i="1"/>
  <c r="J1172" i="1"/>
  <c r="K1172" i="1"/>
  <c r="L1172" i="1"/>
  <c r="A1173" i="1"/>
  <c r="B1173" i="1"/>
  <c r="C1173" i="1"/>
  <c r="D1173" i="1"/>
  <c r="E1173" i="1"/>
  <c r="F1173" i="1"/>
  <c r="G1173" i="1"/>
  <c r="H1173" i="1"/>
  <c r="I1173" i="1"/>
  <c r="J1173" i="1"/>
  <c r="K1173" i="1"/>
  <c r="L1173" i="1"/>
  <c r="A1174" i="1"/>
  <c r="B1174" i="1"/>
  <c r="C1174" i="1"/>
  <c r="D1174" i="1"/>
  <c r="E1174" i="1"/>
  <c r="F1174" i="1"/>
  <c r="G1174" i="1"/>
  <c r="H1174" i="1"/>
  <c r="I1174" i="1"/>
  <c r="J1174" i="1"/>
  <c r="K1174" i="1"/>
  <c r="L1174" i="1"/>
  <c r="A1175" i="1"/>
  <c r="B1175" i="1"/>
  <c r="C1175" i="1"/>
  <c r="D1175" i="1"/>
  <c r="E1175" i="1"/>
  <c r="F1175" i="1"/>
  <c r="G1175" i="1"/>
  <c r="H1175" i="1"/>
  <c r="I1175" i="1"/>
  <c r="J1175" i="1"/>
  <c r="K1175" i="1"/>
  <c r="L1175" i="1"/>
  <c r="A1176" i="1"/>
  <c r="B1176" i="1"/>
  <c r="C1176" i="1"/>
  <c r="D1176" i="1"/>
  <c r="E1176" i="1"/>
  <c r="F1176" i="1"/>
  <c r="G1176" i="1"/>
  <c r="H1176" i="1"/>
  <c r="I1176" i="1"/>
  <c r="J1176" i="1"/>
  <c r="K1176" i="1"/>
  <c r="L1176" i="1"/>
  <c r="A1177" i="1"/>
  <c r="B1177" i="1"/>
  <c r="C1177" i="1"/>
  <c r="D1177" i="1"/>
  <c r="E1177" i="1"/>
  <c r="F1177" i="1"/>
  <c r="G1177" i="1"/>
  <c r="H1177" i="1"/>
  <c r="I1177" i="1"/>
  <c r="J1177" i="1"/>
  <c r="K1177" i="1"/>
  <c r="L1177" i="1"/>
  <c r="A1178" i="1"/>
  <c r="B1178" i="1"/>
  <c r="C1178" i="1"/>
  <c r="D1178" i="1"/>
  <c r="E1178" i="1"/>
  <c r="F1178" i="1"/>
  <c r="G1178" i="1"/>
  <c r="H1178" i="1"/>
  <c r="I1178" i="1"/>
  <c r="J1178" i="1"/>
  <c r="K1178" i="1"/>
  <c r="L1178" i="1"/>
  <c r="A1179" i="1"/>
  <c r="B1179" i="1"/>
  <c r="C1179" i="1"/>
  <c r="D1179" i="1"/>
  <c r="E1179" i="1"/>
  <c r="F1179" i="1"/>
  <c r="G1179" i="1"/>
  <c r="H1179" i="1"/>
  <c r="I1179" i="1"/>
  <c r="J1179" i="1"/>
  <c r="K1179" i="1"/>
  <c r="L1179" i="1"/>
  <c r="A1180" i="1"/>
  <c r="B1180" i="1"/>
  <c r="C1180" i="1"/>
  <c r="D1180" i="1"/>
  <c r="E1180" i="1"/>
  <c r="F1180" i="1"/>
  <c r="G1180" i="1"/>
  <c r="H1180" i="1"/>
  <c r="I1180" i="1"/>
  <c r="J1180" i="1"/>
  <c r="K1180" i="1"/>
  <c r="L1180" i="1"/>
  <c r="A1181" i="1"/>
  <c r="B1181" i="1"/>
  <c r="C1181" i="1"/>
  <c r="D1181" i="1"/>
  <c r="E1181" i="1"/>
  <c r="F1181" i="1"/>
  <c r="G1181" i="1"/>
  <c r="H1181" i="1"/>
  <c r="I1181" i="1"/>
  <c r="J1181" i="1"/>
  <c r="K1181" i="1"/>
  <c r="L1181" i="1"/>
  <c r="A1182" i="1"/>
  <c r="B1182" i="1"/>
  <c r="C1182" i="1"/>
  <c r="D1182" i="1"/>
  <c r="E1182" i="1"/>
  <c r="F1182" i="1"/>
  <c r="G1182" i="1"/>
  <c r="H1182" i="1"/>
  <c r="I1182" i="1"/>
  <c r="J1182" i="1"/>
  <c r="K1182" i="1"/>
  <c r="L1182" i="1"/>
  <c r="A1183" i="1"/>
  <c r="B1183" i="1"/>
  <c r="C1183" i="1"/>
  <c r="D1183" i="1"/>
  <c r="E1183" i="1"/>
  <c r="F1183" i="1"/>
  <c r="G1183" i="1"/>
  <c r="H1183" i="1"/>
  <c r="I1183" i="1"/>
  <c r="J1183" i="1"/>
  <c r="K1183" i="1"/>
  <c r="L1183" i="1"/>
  <c r="A1184" i="1"/>
  <c r="B1184" i="1"/>
  <c r="C1184" i="1"/>
  <c r="D1184" i="1"/>
  <c r="E1184" i="1"/>
  <c r="F1184" i="1"/>
  <c r="G1184" i="1"/>
  <c r="H1184" i="1"/>
  <c r="I1184" i="1"/>
  <c r="J1184" i="1"/>
  <c r="K1184" i="1"/>
  <c r="L1184" i="1"/>
  <c r="A1185" i="1"/>
  <c r="B1185" i="1"/>
  <c r="C1185" i="1"/>
  <c r="D1185" i="1"/>
  <c r="E1185" i="1"/>
  <c r="F1185" i="1"/>
  <c r="G1185" i="1"/>
  <c r="H1185" i="1"/>
  <c r="I1185" i="1"/>
  <c r="J1185" i="1"/>
  <c r="K1185" i="1"/>
  <c r="L1185" i="1"/>
  <c r="A1186" i="1"/>
  <c r="B1186" i="1"/>
  <c r="C1186" i="1"/>
  <c r="D1186" i="1"/>
  <c r="E1186" i="1"/>
  <c r="F1186" i="1"/>
  <c r="G1186" i="1"/>
  <c r="H1186" i="1"/>
  <c r="I1186" i="1"/>
  <c r="J1186" i="1"/>
  <c r="K1186" i="1"/>
  <c r="L1186" i="1"/>
  <c r="A1187" i="1"/>
  <c r="B1187" i="1"/>
  <c r="C1187" i="1"/>
  <c r="D1187" i="1"/>
  <c r="E1187" i="1"/>
  <c r="F1187" i="1"/>
  <c r="G1187" i="1"/>
  <c r="H1187" i="1"/>
  <c r="I1187" i="1"/>
  <c r="J1187" i="1"/>
  <c r="K1187" i="1"/>
  <c r="L1187" i="1"/>
  <c r="A1188" i="1"/>
  <c r="B1188" i="1"/>
  <c r="C1188" i="1"/>
  <c r="D1188" i="1"/>
  <c r="E1188" i="1"/>
  <c r="F1188" i="1"/>
  <c r="G1188" i="1"/>
  <c r="H1188" i="1"/>
  <c r="I1188" i="1"/>
  <c r="J1188" i="1"/>
  <c r="K1188" i="1"/>
  <c r="L1188" i="1"/>
  <c r="A1189" i="1"/>
  <c r="B1189" i="1"/>
  <c r="C1189" i="1"/>
  <c r="D1189" i="1"/>
  <c r="E1189" i="1"/>
  <c r="F1189" i="1"/>
  <c r="G1189" i="1"/>
  <c r="H1189" i="1"/>
  <c r="I1189" i="1"/>
  <c r="J1189" i="1"/>
  <c r="K1189" i="1"/>
  <c r="L1189" i="1"/>
  <c r="A1190" i="1"/>
  <c r="B1190" i="1"/>
  <c r="C1190" i="1"/>
  <c r="D1190" i="1"/>
  <c r="E1190" i="1"/>
  <c r="F1190" i="1"/>
  <c r="G1190" i="1"/>
  <c r="H1190" i="1"/>
  <c r="I1190" i="1"/>
  <c r="J1190" i="1"/>
  <c r="K1190" i="1"/>
  <c r="L1190" i="1"/>
  <c r="A1191" i="1"/>
  <c r="B1191" i="1"/>
  <c r="C1191" i="1"/>
  <c r="D1191" i="1"/>
  <c r="E1191" i="1"/>
  <c r="F1191" i="1"/>
  <c r="G1191" i="1"/>
  <c r="H1191" i="1"/>
  <c r="I1191" i="1"/>
  <c r="J1191" i="1"/>
  <c r="K1191" i="1"/>
  <c r="L1191" i="1"/>
  <c r="A1192" i="1"/>
  <c r="B1192" i="1"/>
  <c r="C1192" i="1"/>
  <c r="D1192" i="1"/>
  <c r="E1192" i="1"/>
  <c r="F1192" i="1"/>
  <c r="G1192" i="1"/>
  <c r="H1192" i="1"/>
  <c r="I1192" i="1"/>
  <c r="J1192" i="1"/>
  <c r="K1192" i="1"/>
  <c r="L1192" i="1"/>
  <c r="A1193" i="1"/>
  <c r="B1193" i="1"/>
  <c r="C1193" i="1"/>
  <c r="D1193" i="1"/>
  <c r="E1193" i="1"/>
  <c r="F1193" i="1"/>
  <c r="G1193" i="1"/>
  <c r="H1193" i="1"/>
  <c r="I1193" i="1"/>
  <c r="J1193" i="1"/>
  <c r="K1193" i="1"/>
  <c r="L1193" i="1"/>
  <c r="A1194" i="1"/>
  <c r="B1194" i="1"/>
  <c r="C1194" i="1"/>
  <c r="D1194" i="1"/>
  <c r="E1194" i="1"/>
  <c r="F1194" i="1"/>
  <c r="G1194" i="1"/>
  <c r="H1194" i="1"/>
  <c r="I1194" i="1"/>
  <c r="J1194" i="1"/>
  <c r="K1194" i="1"/>
  <c r="L1194" i="1"/>
  <c r="A1195" i="1"/>
  <c r="B1195" i="1"/>
  <c r="C1195" i="1"/>
  <c r="D1195" i="1"/>
  <c r="E1195" i="1"/>
  <c r="F1195" i="1"/>
  <c r="G1195" i="1"/>
  <c r="H1195" i="1"/>
  <c r="I1195" i="1"/>
  <c r="J1195" i="1"/>
  <c r="K1195" i="1"/>
  <c r="L1195" i="1"/>
  <c r="A1196" i="1"/>
  <c r="B1196" i="1"/>
  <c r="C1196" i="1"/>
  <c r="D1196" i="1"/>
  <c r="E1196" i="1"/>
  <c r="F1196" i="1"/>
  <c r="G1196" i="1"/>
  <c r="H1196" i="1"/>
  <c r="I1196" i="1"/>
  <c r="J1196" i="1"/>
  <c r="K1196" i="1"/>
  <c r="L1196" i="1"/>
  <c r="A1197" i="1"/>
  <c r="B1197" i="1"/>
  <c r="C1197" i="1"/>
  <c r="D1197" i="1"/>
  <c r="E1197" i="1"/>
  <c r="F1197" i="1"/>
  <c r="G1197" i="1"/>
  <c r="H1197" i="1"/>
  <c r="I1197" i="1"/>
  <c r="J1197" i="1"/>
  <c r="K1197" i="1"/>
  <c r="L1197" i="1"/>
  <c r="A1198" i="1"/>
  <c r="B1198" i="1"/>
  <c r="C1198" i="1"/>
  <c r="D1198" i="1"/>
  <c r="E1198" i="1"/>
  <c r="F1198" i="1"/>
  <c r="G1198" i="1"/>
  <c r="H1198" i="1"/>
  <c r="I1198" i="1"/>
  <c r="J1198" i="1"/>
  <c r="K1198" i="1"/>
  <c r="L1198" i="1"/>
  <c r="A1199" i="1"/>
  <c r="B1199" i="1"/>
  <c r="C1199" i="1"/>
  <c r="D1199" i="1"/>
  <c r="E1199" i="1"/>
  <c r="F1199" i="1"/>
  <c r="G1199" i="1"/>
  <c r="H1199" i="1"/>
  <c r="I1199" i="1"/>
  <c r="J1199" i="1"/>
  <c r="K1199" i="1"/>
  <c r="L1199" i="1"/>
  <c r="A1200" i="1"/>
  <c r="B1200" i="1"/>
  <c r="C1200" i="1"/>
  <c r="D1200" i="1"/>
  <c r="E1200" i="1"/>
  <c r="F1200" i="1"/>
  <c r="G1200" i="1"/>
  <c r="H1200" i="1"/>
  <c r="I1200" i="1"/>
  <c r="J1200" i="1"/>
  <c r="K1200" i="1"/>
  <c r="L1200" i="1"/>
  <c r="A1201" i="1"/>
  <c r="B1201" i="1"/>
  <c r="C1201" i="1"/>
  <c r="D1201" i="1"/>
  <c r="E1201" i="1"/>
  <c r="F1201" i="1"/>
  <c r="G1201" i="1"/>
  <c r="H1201" i="1"/>
  <c r="I1201" i="1"/>
  <c r="J1201" i="1"/>
  <c r="K1201" i="1"/>
  <c r="L1201" i="1"/>
  <c r="A1202" i="1"/>
  <c r="B1202" i="1"/>
  <c r="C1202" i="1"/>
  <c r="D1202" i="1"/>
  <c r="E1202" i="1"/>
  <c r="F1202" i="1"/>
  <c r="G1202" i="1"/>
  <c r="H1202" i="1"/>
  <c r="I1202" i="1"/>
  <c r="J1202" i="1"/>
  <c r="K1202" i="1"/>
  <c r="L1202" i="1"/>
  <c r="A1203" i="1"/>
  <c r="B1203" i="1"/>
  <c r="C1203" i="1"/>
  <c r="D1203" i="1"/>
  <c r="E1203" i="1"/>
  <c r="F1203" i="1"/>
  <c r="G1203" i="1"/>
  <c r="H1203" i="1"/>
  <c r="I1203" i="1"/>
  <c r="J1203" i="1"/>
  <c r="K1203" i="1"/>
  <c r="L1203" i="1"/>
  <c r="A1204" i="1"/>
  <c r="B1204" i="1"/>
  <c r="C1204" i="1"/>
  <c r="D1204" i="1"/>
  <c r="E1204" i="1"/>
  <c r="F1204" i="1"/>
  <c r="G1204" i="1"/>
  <c r="H1204" i="1"/>
  <c r="I1204" i="1"/>
  <c r="J1204" i="1"/>
  <c r="K1204" i="1"/>
  <c r="L1204" i="1"/>
  <c r="A1205" i="1"/>
  <c r="B1205" i="1"/>
  <c r="C1205" i="1"/>
  <c r="D1205" i="1"/>
  <c r="E1205" i="1"/>
  <c r="F1205" i="1"/>
  <c r="G1205" i="1"/>
  <c r="H1205" i="1"/>
  <c r="I1205" i="1"/>
  <c r="J1205" i="1"/>
  <c r="K1205" i="1"/>
  <c r="L1205" i="1"/>
  <c r="A1206" i="1"/>
  <c r="B1206" i="1"/>
  <c r="C1206" i="1"/>
  <c r="D1206" i="1"/>
  <c r="E1206" i="1"/>
  <c r="F1206" i="1"/>
  <c r="G1206" i="1"/>
  <c r="H1206" i="1"/>
  <c r="I1206" i="1"/>
  <c r="J1206" i="1"/>
  <c r="K1206" i="1"/>
  <c r="L1206" i="1"/>
  <c r="A1207" i="1"/>
  <c r="B1207" i="1"/>
  <c r="C1207" i="1"/>
  <c r="D1207" i="1"/>
  <c r="E1207" i="1"/>
  <c r="F1207" i="1"/>
  <c r="G1207" i="1"/>
  <c r="H1207" i="1"/>
  <c r="I1207" i="1"/>
  <c r="J1207" i="1"/>
  <c r="K1207" i="1"/>
  <c r="L1207" i="1"/>
  <c r="A1208" i="1"/>
  <c r="B1208" i="1"/>
  <c r="C1208" i="1"/>
  <c r="D1208" i="1"/>
  <c r="E1208" i="1"/>
  <c r="F1208" i="1"/>
  <c r="G1208" i="1"/>
  <c r="H1208" i="1"/>
  <c r="I1208" i="1"/>
  <c r="J1208" i="1"/>
  <c r="K1208" i="1"/>
  <c r="L1208" i="1"/>
  <c r="A1209" i="1"/>
  <c r="B1209" i="1"/>
  <c r="C1209" i="1"/>
  <c r="D1209" i="1"/>
  <c r="E1209" i="1"/>
  <c r="F1209" i="1"/>
  <c r="G1209" i="1"/>
  <c r="H1209" i="1"/>
  <c r="I1209" i="1"/>
  <c r="J1209" i="1"/>
  <c r="K1209" i="1"/>
  <c r="L1209" i="1"/>
  <c r="A1210" i="1"/>
  <c r="B1210" i="1"/>
  <c r="C1210" i="1"/>
  <c r="D1210" i="1"/>
  <c r="E1210" i="1"/>
  <c r="F1210" i="1"/>
  <c r="G1210" i="1"/>
  <c r="H1210" i="1"/>
  <c r="I1210" i="1"/>
  <c r="J1210" i="1"/>
  <c r="K1210" i="1"/>
  <c r="L1210" i="1"/>
  <c r="A1211" i="1"/>
  <c r="B1211" i="1"/>
  <c r="C1211" i="1"/>
  <c r="D1211" i="1"/>
  <c r="E1211" i="1"/>
  <c r="F1211" i="1"/>
  <c r="G1211" i="1"/>
  <c r="H1211" i="1"/>
  <c r="I1211" i="1"/>
  <c r="J1211" i="1"/>
  <c r="K1211" i="1"/>
  <c r="L1211" i="1"/>
  <c r="A1212" i="1"/>
  <c r="B1212" i="1"/>
  <c r="C1212" i="1"/>
  <c r="D1212" i="1"/>
  <c r="E1212" i="1"/>
  <c r="F1212" i="1"/>
  <c r="G1212" i="1"/>
  <c r="H1212" i="1"/>
  <c r="I1212" i="1"/>
  <c r="J1212" i="1"/>
  <c r="K1212" i="1"/>
  <c r="L1212" i="1"/>
  <c r="A1213" i="1"/>
  <c r="B1213" i="1"/>
  <c r="C1213" i="1"/>
  <c r="D1213" i="1"/>
  <c r="E1213" i="1"/>
  <c r="F1213" i="1"/>
  <c r="G1213" i="1"/>
  <c r="H1213" i="1"/>
  <c r="I1213" i="1"/>
  <c r="J1213" i="1"/>
  <c r="K1213" i="1"/>
  <c r="L1213" i="1"/>
  <c r="A1214" i="1"/>
  <c r="B1214" i="1"/>
  <c r="C1214" i="1"/>
  <c r="D1214" i="1"/>
  <c r="E1214" i="1"/>
  <c r="F1214" i="1"/>
  <c r="G1214" i="1"/>
  <c r="H1214" i="1"/>
  <c r="I1214" i="1"/>
  <c r="J1214" i="1"/>
  <c r="K1214" i="1"/>
  <c r="L1214" i="1"/>
  <c r="A1215" i="1"/>
  <c r="B1215" i="1"/>
  <c r="C1215" i="1"/>
  <c r="D1215" i="1"/>
  <c r="E1215" i="1"/>
  <c r="F1215" i="1"/>
  <c r="G1215" i="1"/>
  <c r="H1215" i="1"/>
  <c r="I1215" i="1"/>
  <c r="J1215" i="1"/>
  <c r="K1215" i="1"/>
  <c r="L1215" i="1"/>
  <c r="A1216" i="1"/>
  <c r="B1216" i="1"/>
  <c r="C1216" i="1"/>
  <c r="D1216" i="1"/>
  <c r="E1216" i="1"/>
  <c r="F1216" i="1"/>
  <c r="G1216" i="1"/>
  <c r="H1216" i="1"/>
  <c r="I1216" i="1"/>
  <c r="J1216" i="1"/>
  <c r="K1216" i="1"/>
  <c r="L1216" i="1"/>
  <c r="A1217" i="1"/>
  <c r="B1217" i="1"/>
  <c r="C1217" i="1"/>
  <c r="D1217" i="1"/>
  <c r="E1217" i="1"/>
  <c r="F1217" i="1"/>
  <c r="G1217" i="1"/>
  <c r="H1217" i="1"/>
  <c r="I1217" i="1"/>
  <c r="J1217" i="1"/>
  <c r="K1217" i="1"/>
  <c r="L1217" i="1"/>
  <c r="A1218" i="1"/>
  <c r="B1218" i="1"/>
  <c r="C1218" i="1"/>
  <c r="D1218" i="1"/>
  <c r="E1218" i="1"/>
  <c r="F1218" i="1"/>
  <c r="G1218" i="1"/>
  <c r="H1218" i="1"/>
  <c r="I1218" i="1"/>
  <c r="J1218" i="1"/>
  <c r="K1218" i="1"/>
  <c r="L1218" i="1"/>
  <c r="A1219" i="1"/>
  <c r="B1219" i="1"/>
  <c r="C1219" i="1"/>
  <c r="D1219" i="1"/>
  <c r="E1219" i="1"/>
  <c r="F1219" i="1"/>
  <c r="G1219" i="1"/>
  <c r="H1219" i="1"/>
  <c r="I1219" i="1"/>
  <c r="J1219" i="1"/>
  <c r="K1219" i="1"/>
  <c r="L1219" i="1"/>
  <c r="A1220" i="1"/>
  <c r="B1220" i="1"/>
  <c r="C1220" i="1"/>
  <c r="D1220" i="1"/>
  <c r="E1220" i="1"/>
  <c r="F1220" i="1"/>
  <c r="G1220" i="1"/>
  <c r="H1220" i="1"/>
  <c r="I1220" i="1"/>
  <c r="J1220" i="1"/>
  <c r="K1220" i="1"/>
  <c r="L1220" i="1"/>
  <c r="A1221" i="1"/>
  <c r="B1221" i="1"/>
  <c r="C1221" i="1"/>
  <c r="D1221" i="1"/>
  <c r="E1221" i="1"/>
  <c r="F1221" i="1"/>
  <c r="G1221" i="1"/>
  <c r="H1221" i="1"/>
  <c r="I1221" i="1"/>
  <c r="J1221" i="1"/>
  <c r="K1221" i="1"/>
  <c r="L1221" i="1"/>
  <c r="A1222" i="1"/>
  <c r="B1222" i="1"/>
  <c r="C1222" i="1"/>
  <c r="D1222" i="1"/>
  <c r="E1222" i="1"/>
  <c r="F1222" i="1"/>
  <c r="G1222" i="1"/>
  <c r="H1222" i="1"/>
  <c r="I1222" i="1"/>
  <c r="J1222" i="1"/>
  <c r="K1222" i="1"/>
  <c r="L1222" i="1"/>
  <c r="A1223" i="1"/>
  <c r="B1223" i="1"/>
  <c r="C1223" i="1"/>
  <c r="D1223" i="1"/>
  <c r="E1223" i="1"/>
  <c r="F1223" i="1"/>
  <c r="G1223" i="1"/>
  <c r="H1223" i="1"/>
  <c r="I1223" i="1"/>
  <c r="J1223" i="1"/>
  <c r="K1223" i="1"/>
  <c r="L1223" i="1"/>
  <c r="A1224" i="1"/>
  <c r="B1224" i="1"/>
  <c r="C1224" i="1"/>
  <c r="D1224" i="1"/>
  <c r="E1224" i="1"/>
  <c r="F1224" i="1"/>
  <c r="G1224" i="1"/>
  <c r="H1224" i="1"/>
  <c r="I1224" i="1"/>
  <c r="J1224" i="1"/>
  <c r="K1224" i="1"/>
  <c r="L1224" i="1"/>
  <c r="A1225" i="1"/>
  <c r="B1225" i="1"/>
  <c r="C1225" i="1"/>
  <c r="D1225" i="1"/>
  <c r="E1225" i="1"/>
  <c r="F1225" i="1"/>
  <c r="G1225" i="1"/>
  <c r="H1225" i="1"/>
  <c r="I1225" i="1"/>
  <c r="J1225" i="1"/>
  <c r="K1225" i="1"/>
  <c r="L1225" i="1"/>
  <c r="A1226" i="1"/>
  <c r="B1226" i="1"/>
  <c r="C1226" i="1"/>
  <c r="D1226" i="1"/>
  <c r="E1226" i="1"/>
  <c r="F1226" i="1"/>
  <c r="G1226" i="1"/>
  <c r="H1226" i="1"/>
  <c r="I1226" i="1"/>
  <c r="J1226" i="1"/>
  <c r="K1226" i="1"/>
  <c r="L1226" i="1"/>
  <c r="A1227" i="1"/>
  <c r="B1227" i="1"/>
  <c r="C1227" i="1"/>
  <c r="D1227" i="1"/>
  <c r="E1227" i="1"/>
  <c r="F1227" i="1"/>
  <c r="G1227" i="1"/>
  <c r="H1227" i="1"/>
  <c r="I1227" i="1"/>
  <c r="J1227" i="1"/>
  <c r="K1227" i="1"/>
  <c r="L1227" i="1"/>
  <c r="A1228" i="1"/>
  <c r="B1228" i="1"/>
  <c r="C1228" i="1"/>
  <c r="D1228" i="1"/>
  <c r="E1228" i="1"/>
  <c r="F1228" i="1"/>
  <c r="G1228" i="1"/>
  <c r="H1228" i="1"/>
  <c r="I1228" i="1"/>
  <c r="J1228" i="1"/>
  <c r="K1228" i="1"/>
  <c r="L1228" i="1"/>
  <c r="A1229" i="1"/>
  <c r="B1229" i="1"/>
  <c r="C1229" i="1"/>
  <c r="D1229" i="1"/>
  <c r="E1229" i="1"/>
  <c r="F1229" i="1"/>
  <c r="G1229" i="1"/>
  <c r="H1229" i="1"/>
  <c r="I1229" i="1"/>
  <c r="J1229" i="1"/>
  <c r="K1229" i="1"/>
  <c r="L1229" i="1"/>
  <c r="A1230" i="1"/>
  <c r="B1230" i="1"/>
  <c r="C1230" i="1"/>
  <c r="D1230" i="1"/>
  <c r="E1230" i="1"/>
  <c r="F1230" i="1"/>
  <c r="G1230" i="1"/>
  <c r="H1230" i="1"/>
  <c r="I1230" i="1"/>
  <c r="J1230" i="1"/>
  <c r="K1230" i="1"/>
  <c r="L1230" i="1"/>
  <c r="A1231" i="1"/>
  <c r="B1231" i="1"/>
  <c r="C1231" i="1"/>
  <c r="D1231" i="1"/>
  <c r="E1231" i="1"/>
  <c r="F1231" i="1"/>
  <c r="G1231" i="1"/>
  <c r="H1231" i="1"/>
  <c r="I1231" i="1"/>
  <c r="J1231" i="1"/>
  <c r="K1231" i="1"/>
  <c r="L1231" i="1"/>
  <c r="A1232" i="1"/>
  <c r="B1232" i="1"/>
  <c r="C1232" i="1"/>
  <c r="D1232" i="1"/>
  <c r="E1232" i="1"/>
  <c r="F1232" i="1"/>
  <c r="G1232" i="1"/>
  <c r="H1232" i="1"/>
  <c r="I1232" i="1"/>
  <c r="J1232" i="1"/>
  <c r="K1232" i="1"/>
  <c r="L1232" i="1"/>
  <c r="A1233" i="1"/>
  <c r="B1233" i="1"/>
  <c r="C1233" i="1"/>
  <c r="D1233" i="1"/>
  <c r="E1233" i="1"/>
  <c r="F1233" i="1"/>
  <c r="G1233" i="1"/>
  <c r="H1233" i="1"/>
  <c r="I1233" i="1"/>
  <c r="J1233" i="1"/>
  <c r="K1233" i="1"/>
  <c r="L1233" i="1"/>
  <c r="A1234" i="1"/>
  <c r="B1234" i="1"/>
  <c r="C1234" i="1"/>
  <c r="D1234" i="1"/>
  <c r="E1234" i="1"/>
  <c r="F1234" i="1"/>
  <c r="G1234" i="1"/>
  <c r="H1234" i="1"/>
  <c r="I1234" i="1"/>
  <c r="J1234" i="1"/>
  <c r="K1234" i="1"/>
  <c r="L1234" i="1"/>
  <c r="A1235" i="1"/>
  <c r="B1235" i="1"/>
  <c r="C1235" i="1"/>
  <c r="D1235" i="1"/>
  <c r="E1235" i="1"/>
  <c r="F1235" i="1"/>
  <c r="G1235" i="1"/>
  <c r="H1235" i="1"/>
  <c r="I1235" i="1"/>
  <c r="J1235" i="1"/>
  <c r="K1235" i="1"/>
  <c r="L1235" i="1"/>
  <c r="A1236" i="1"/>
  <c r="B1236" i="1"/>
  <c r="C1236" i="1"/>
  <c r="D1236" i="1"/>
  <c r="E1236" i="1"/>
  <c r="F1236" i="1"/>
  <c r="G1236" i="1"/>
  <c r="H1236" i="1"/>
  <c r="I1236" i="1"/>
  <c r="J1236" i="1"/>
  <c r="K1236" i="1"/>
  <c r="L1236" i="1"/>
  <c r="A1237" i="1"/>
  <c r="B1237" i="1"/>
  <c r="C1237" i="1"/>
  <c r="D1237" i="1"/>
  <c r="E1237" i="1"/>
  <c r="F1237" i="1"/>
  <c r="G1237" i="1"/>
  <c r="H1237" i="1"/>
  <c r="I1237" i="1"/>
  <c r="J1237" i="1"/>
  <c r="K1237" i="1"/>
  <c r="L1237" i="1"/>
  <c r="A1238" i="1"/>
  <c r="B1238" i="1"/>
  <c r="C1238" i="1"/>
  <c r="D1238" i="1"/>
  <c r="E1238" i="1"/>
  <c r="F1238" i="1"/>
  <c r="G1238" i="1"/>
  <c r="H1238" i="1"/>
  <c r="I1238" i="1"/>
  <c r="J1238" i="1"/>
  <c r="K1238" i="1"/>
  <c r="L1238" i="1"/>
  <c r="A1239" i="1"/>
  <c r="B1239" i="1"/>
  <c r="C1239" i="1"/>
  <c r="D1239" i="1"/>
  <c r="E1239" i="1"/>
  <c r="F1239" i="1"/>
  <c r="G1239" i="1"/>
  <c r="H1239" i="1"/>
  <c r="I1239" i="1"/>
  <c r="J1239" i="1"/>
  <c r="K1239" i="1"/>
  <c r="L1239" i="1"/>
  <c r="A1240" i="1"/>
  <c r="B1240" i="1"/>
  <c r="C1240" i="1"/>
  <c r="D1240" i="1"/>
  <c r="E1240" i="1"/>
  <c r="F1240" i="1"/>
  <c r="G1240" i="1"/>
  <c r="H1240" i="1"/>
  <c r="I1240" i="1"/>
  <c r="J1240" i="1"/>
  <c r="K1240" i="1"/>
  <c r="L1240" i="1"/>
  <c r="A1241" i="1"/>
  <c r="B1241" i="1"/>
  <c r="C1241" i="1"/>
  <c r="D1241" i="1"/>
  <c r="E1241" i="1"/>
  <c r="F1241" i="1"/>
  <c r="G1241" i="1"/>
  <c r="H1241" i="1"/>
  <c r="I1241" i="1"/>
  <c r="J1241" i="1"/>
  <c r="K1241" i="1"/>
  <c r="L1241" i="1"/>
  <c r="A1242" i="1"/>
  <c r="B1242" i="1"/>
  <c r="C1242" i="1"/>
  <c r="D1242" i="1"/>
  <c r="E1242" i="1"/>
  <c r="F1242" i="1"/>
  <c r="G1242" i="1"/>
  <c r="H1242" i="1"/>
  <c r="I1242" i="1"/>
  <c r="J1242" i="1"/>
  <c r="K1242" i="1"/>
  <c r="L1242" i="1"/>
  <c r="A1243" i="1"/>
  <c r="B1243" i="1"/>
  <c r="C1243" i="1"/>
  <c r="D1243" i="1"/>
  <c r="E1243" i="1"/>
  <c r="F1243" i="1"/>
  <c r="G1243" i="1"/>
  <c r="H1243" i="1"/>
  <c r="I1243" i="1"/>
  <c r="J1243" i="1"/>
  <c r="K1243" i="1"/>
  <c r="L1243" i="1"/>
  <c r="A1244" i="1"/>
  <c r="B1244" i="1"/>
  <c r="C1244" i="1"/>
  <c r="D1244" i="1"/>
  <c r="E1244" i="1"/>
  <c r="F1244" i="1"/>
  <c r="G1244" i="1"/>
  <c r="H1244" i="1"/>
  <c r="I1244" i="1"/>
  <c r="J1244" i="1"/>
  <c r="K1244" i="1"/>
  <c r="L1244" i="1"/>
  <c r="A1245" i="1"/>
  <c r="B1245" i="1"/>
  <c r="C1245" i="1"/>
  <c r="D1245" i="1"/>
  <c r="E1245" i="1"/>
  <c r="F1245" i="1"/>
  <c r="G1245" i="1"/>
  <c r="H1245" i="1"/>
  <c r="I1245" i="1"/>
  <c r="J1245" i="1"/>
  <c r="K1245" i="1"/>
  <c r="L1245" i="1"/>
  <c r="A1246" i="1"/>
  <c r="B1246" i="1"/>
  <c r="C1246" i="1"/>
  <c r="D1246" i="1"/>
  <c r="E1246" i="1"/>
  <c r="F1246" i="1"/>
  <c r="G1246" i="1"/>
  <c r="H1246" i="1"/>
  <c r="I1246" i="1"/>
  <c r="J1246" i="1"/>
  <c r="K1246" i="1"/>
  <c r="L1246" i="1"/>
  <c r="A1247" i="1"/>
  <c r="B1247" i="1"/>
  <c r="C1247" i="1"/>
  <c r="D1247" i="1"/>
  <c r="E1247" i="1"/>
  <c r="F1247" i="1"/>
  <c r="G1247" i="1"/>
  <c r="H1247" i="1"/>
  <c r="I1247" i="1"/>
  <c r="J1247" i="1"/>
  <c r="K1247" i="1"/>
  <c r="L1247" i="1"/>
  <c r="A1248" i="1"/>
  <c r="B1248" i="1"/>
  <c r="C1248" i="1"/>
  <c r="D1248" i="1"/>
  <c r="E1248" i="1"/>
  <c r="F1248" i="1"/>
  <c r="G1248" i="1"/>
  <c r="H1248" i="1"/>
  <c r="I1248" i="1"/>
  <c r="J1248" i="1"/>
  <c r="K1248" i="1"/>
  <c r="L1248" i="1"/>
  <c r="A1249" i="1"/>
  <c r="B1249" i="1"/>
  <c r="C1249" i="1"/>
  <c r="D1249" i="1"/>
  <c r="E1249" i="1"/>
  <c r="F1249" i="1"/>
  <c r="G1249" i="1"/>
  <c r="H1249" i="1"/>
  <c r="I1249" i="1"/>
  <c r="J1249" i="1"/>
  <c r="K1249" i="1"/>
  <c r="L1249" i="1"/>
  <c r="A1250" i="1"/>
  <c r="B1250" i="1"/>
  <c r="C1250" i="1"/>
  <c r="D1250" i="1"/>
  <c r="E1250" i="1"/>
  <c r="F1250" i="1"/>
  <c r="G1250" i="1"/>
  <c r="H1250" i="1"/>
  <c r="I1250" i="1"/>
  <c r="J1250" i="1"/>
  <c r="K1250" i="1"/>
  <c r="L1250" i="1"/>
  <c r="A1251" i="1"/>
  <c r="B1251" i="1"/>
  <c r="C1251" i="1"/>
  <c r="D1251" i="1"/>
  <c r="E1251" i="1"/>
  <c r="F1251" i="1"/>
  <c r="G1251" i="1"/>
  <c r="H1251" i="1"/>
  <c r="I1251" i="1"/>
  <c r="J1251" i="1"/>
  <c r="K1251" i="1"/>
  <c r="L1251" i="1"/>
  <c r="A1252" i="1"/>
  <c r="B1252" i="1"/>
  <c r="C1252" i="1"/>
  <c r="D1252" i="1"/>
  <c r="E1252" i="1"/>
  <c r="F1252" i="1"/>
  <c r="G1252" i="1"/>
  <c r="H1252" i="1"/>
  <c r="I1252" i="1"/>
  <c r="J1252" i="1"/>
  <c r="K1252" i="1"/>
  <c r="L1252" i="1"/>
  <c r="A1253" i="1"/>
  <c r="B1253" i="1"/>
  <c r="C1253" i="1"/>
  <c r="D1253" i="1"/>
  <c r="E1253" i="1"/>
  <c r="F1253" i="1"/>
  <c r="G1253" i="1"/>
  <c r="H1253" i="1"/>
  <c r="I1253" i="1"/>
  <c r="J1253" i="1"/>
  <c r="K1253" i="1"/>
  <c r="L1253" i="1"/>
  <c r="A1254" i="1"/>
  <c r="B1254" i="1"/>
  <c r="C1254" i="1"/>
  <c r="D1254" i="1"/>
  <c r="E1254" i="1"/>
  <c r="F1254" i="1"/>
  <c r="G1254" i="1"/>
  <c r="H1254" i="1"/>
  <c r="I1254" i="1"/>
  <c r="J1254" i="1"/>
  <c r="K1254" i="1"/>
  <c r="L1254" i="1"/>
  <c r="A1255" i="1"/>
  <c r="B1255" i="1"/>
  <c r="C1255" i="1"/>
  <c r="D1255" i="1"/>
  <c r="E1255" i="1"/>
  <c r="F1255" i="1"/>
  <c r="G1255" i="1"/>
  <c r="H1255" i="1"/>
  <c r="I1255" i="1"/>
  <c r="J1255" i="1"/>
  <c r="K1255" i="1"/>
  <c r="L1255" i="1"/>
  <c r="A1256" i="1"/>
  <c r="B1256" i="1"/>
  <c r="C1256" i="1"/>
  <c r="D1256" i="1"/>
  <c r="E1256" i="1"/>
  <c r="F1256" i="1"/>
  <c r="G1256" i="1"/>
  <c r="H1256" i="1"/>
  <c r="I1256" i="1"/>
  <c r="J1256" i="1"/>
  <c r="K1256" i="1"/>
  <c r="L1256" i="1"/>
  <c r="A1257" i="1"/>
  <c r="B1257" i="1"/>
  <c r="C1257" i="1"/>
  <c r="D1257" i="1"/>
  <c r="E1257" i="1"/>
  <c r="F1257" i="1"/>
  <c r="G1257" i="1"/>
  <c r="H1257" i="1"/>
  <c r="I1257" i="1"/>
  <c r="J1257" i="1"/>
  <c r="K1257" i="1"/>
  <c r="L1257" i="1"/>
  <c r="A1258" i="1"/>
  <c r="B1258" i="1"/>
  <c r="C1258" i="1"/>
  <c r="D1258" i="1"/>
  <c r="E1258" i="1"/>
  <c r="F1258" i="1"/>
  <c r="G1258" i="1"/>
  <c r="H1258" i="1"/>
  <c r="I1258" i="1"/>
  <c r="J1258" i="1"/>
  <c r="K1258" i="1"/>
  <c r="L1258" i="1"/>
  <c r="A1259" i="1"/>
  <c r="B1259" i="1"/>
  <c r="C1259" i="1"/>
  <c r="D1259" i="1"/>
  <c r="E1259" i="1"/>
  <c r="F1259" i="1"/>
  <c r="G1259" i="1"/>
  <c r="H1259" i="1"/>
  <c r="I1259" i="1"/>
  <c r="J1259" i="1"/>
  <c r="K1259" i="1"/>
  <c r="L1259" i="1"/>
  <c r="A1260" i="1"/>
  <c r="B1260" i="1"/>
  <c r="C1260" i="1"/>
  <c r="D1260" i="1"/>
  <c r="E1260" i="1"/>
  <c r="F1260" i="1"/>
  <c r="G1260" i="1"/>
  <c r="H1260" i="1"/>
  <c r="I1260" i="1"/>
  <c r="J1260" i="1"/>
  <c r="K1260" i="1"/>
  <c r="L1260" i="1"/>
  <c r="A1261" i="1"/>
  <c r="B1261" i="1"/>
  <c r="C1261" i="1"/>
  <c r="D1261" i="1"/>
  <c r="E1261" i="1"/>
  <c r="F1261" i="1"/>
  <c r="G1261" i="1"/>
  <c r="H1261" i="1"/>
  <c r="I1261" i="1"/>
  <c r="J1261" i="1"/>
  <c r="K1261" i="1"/>
  <c r="L1261" i="1"/>
  <c r="A1262" i="1"/>
  <c r="B1262" i="1"/>
  <c r="C1262" i="1"/>
  <c r="D1262" i="1"/>
  <c r="E1262" i="1"/>
  <c r="F1262" i="1"/>
  <c r="G1262" i="1"/>
  <c r="H1262" i="1"/>
  <c r="I1262" i="1"/>
  <c r="J1262" i="1"/>
  <c r="K1262" i="1"/>
  <c r="L1262" i="1"/>
  <c r="A1263" i="1"/>
  <c r="B1263" i="1"/>
  <c r="C1263" i="1"/>
  <c r="D1263" i="1"/>
  <c r="E1263" i="1"/>
  <c r="F1263" i="1"/>
  <c r="G1263" i="1"/>
  <c r="H1263" i="1"/>
  <c r="I1263" i="1"/>
  <c r="J1263" i="1"/>
  <c r="K1263" i="1"/>
  <c r="L1263" i="1"/>
  <c r="A1264" i="1"/>
  <c r="B1264" i="1"/>
  <c r="C1264" i="1"/>
  <c r="D1264" i="1"/>
  <c r="E1264" i="1"/>
  <c r="F1264" i="1"/>
  <c r="G1264" i="1"/>
  <c r="H1264" i="1"/>
  <c r="I1264" i="1"/>
  <c r="J1264" i="1"/>
  <c r="K1264" i="1"/>
  <c r="L1264" i="1"/>
  <c r="A1265" i="1"/>
  <c r="B1265" i="1"/>
  <c r="C1265" i="1"/>
  <c r="D1265" i="1"/>
  <c r="E1265" i="1"/>
  <c r="F1265" i="1"/>
  <c r="G1265" i="1"/>
  <c r="H1265" i="1"/>
  <c r="I1265" i="1"/>
  <c r="J1265" i="1"/>
  <c r="K1265" i="1"/>
  <c r="L1265" i="1"/>
  <c r="A1266" i="1"/>
  <c r="B1266" i="1"/>
  <c r="C1266" i="1"/>
  <c r="D1266" i="1"/>
  <c r="E1266" i="1"/>
  <c r="F1266" i="1"/>
  <c r="G1266" i="1"/>
  <c r="H1266" i="1"/>
  <c r="I1266" i="1"/>
  <c r="J1266" i="1"/>
  <c r="K1266" i="1"/>
  <c r="L1266" i="1"/>
  <c r="A1267" i="1"/>
  <c r="B1267" i="1"/>
  <c r="C1267" i="1"/>
  <c r="D1267" i="1"/>
  <c r="E1267" i="1"/>
  <c r="F1267" i="1"/>
  <c r="G1267" i="1"/>
  <c r="H1267" i="1"/>
  <c r="I1267" i="1"/>
  <c r="J1267" i="1"/>
  <c r="K1267" i="1"/>
  <c r="L1267" i="1"/>
  <c r="A1268" i="1"/>
  <c r="B1268" i="1"/>
  <c r="C1268" i="1"/>
  <c r="D1268" i="1"/>
  <c r="E1268" i="1"/>
  <c r="F1268" i="1"/>
  <c r="G1268" i="1"/>
  <c r="H1268" i="1"/>
  <c r="I1268" i="1"/>
  <c r="J1268" i="1"/>
  <c r="K1268" i="1"/>
  <c r="L1268" i="1"/>
  <c r="A1269" i="1"/>
  <c r="B1269" i="1"/>
  <c r="C1269" i="1"/>
  <c r="D1269" i="1"/>
  <c r="E1269" i="1"/>
  <c r="F1269" i="1"/>
  <c r="G1269" i="1"/>
  <c r="H1269" i="1"/>
  <c r="I1269" i="1"/>
  <c r="J1269" i="1"/>
  <c r="K1269" i="1"/>
  <c r="L1269" i="1"/>
  <c r="A1270" i="1"/>
  <c r="B1270" i="1"/>
  <c r="C1270" i="1"/>
  <c r="D1270" i="1"/>
  <c r="E1270" i="1"/>
  <c r="F1270" i="1"/>
  <c r="G1270" i="1"/>
  <c r="H1270" i="1"/>
  <c r="I1270" i="1"/>
  <c r="J1270" i="1"/>
  <c r="K1270" i="1"/>
  <c r="L1270" i="1"/>
  <c r="A1271" i="1"/>
  <c r="B1271" i="1"/>
  <c r="C1271" i="1"/>
  <c r="D1271" i="1"/>
  <c r="E1271" i="1"/>
  <c r="F1271" i="1"/>
  <c r="G1271" i="1"/>
  <c r="H1271" i="1"/>
  <c r="I1271" i="1"/>
  <c r="J1271" i="1"/>
  <c r="K1271" i="1"/>
  <c r="L1271" i="1"/>
  <c r="A1272" i="1"/>
  <c r="B1272" i="1"/>
  <c r="C1272" i="1"/>
  <c r="D1272" i="1"/>
  <c r="E1272" i="1"/>
  <c r="F1272" i="1"/>
  <c r="G1272" i="1"/>
  <c r="H1272" i="1"/>
  <c r="I1272" i="1"/>
  <c r="J1272" i="1"/>
  <c r="K1272" i="1"/>
  <c r="L1272" i="1"/>
  <c r="A1273" i="1"/>
  <c r="B1273" i="1"/>
  <c r="C1273" i="1"/>
  <c r="D1273" i="1"/>
  <c r="E1273" i="1"/>
  <c r="F1273" i="1"/>
  <c r="G1273" i="1"/>
  <c r="H1273" i="1"/>
  <c r="I1273" i="1"/>
  <c r="J1273" i="1"/>
  <c r="K1273" i="1"/>
  <c r="L1273" i="1"/>
  <c r="A1274" i="1"/>
  <c r="B1274" i="1"/>
  <c r="C1274" i="1"/>
  <c r="D1274" i="1"/>
  <c r="E1274" i="1"/>
  <c r="F1274" i="1"/>
  <c r="G1274" i="1"/>
  <c r="H1274" i="1"/>
  <c r="I1274" i="1"/>
  <c r="J1274" i="1"/>
  <c r="K1274" i="1"/>
  <c r="L1274" i="1"/>
  <c r="A1275" i="1"/>
  <c r="B1275" i="1"/>
  <c r="C1275" i="1"/>
  <c r="D1275" i="1"/>
  <c r="E1275" i="1"/>
  <c r="F1275" i="1"/>
  <c r="G1275" i="1"/>
  <c r="H1275" i="1"/>
  <c r="I1275" i="1"/>
  <c r="J1275" i="1"/>
  <c r="K1275" i="1"/>
  <c r="L1275" i="1"/>
  <c r="A1276" i="1"/>
  <c r="B1276" i="1"/>
  <c r="C1276" i="1"/>
  <c r="D1276" i="1"/>
  <c r="E1276" i="1"/>
  <c r="F1276" i="1"/>
  <c r="G1276" i="1"/>
  <c r="H1276" i="1"/>
  <c r="I1276" i="1"/>
  <c r="J1276" i="1"/>
  <c r="K1276" i="1"/>
  <c r="L1276" i="1"/>
  <c r="A1277" i="1"/>
  <c r="B1277" i="1"/>
  <c r="C1277" i="1"/>
  <c r="D1277" i="1"/>
  <c r="E1277" i="1"/>
  <c r="F1277" i="1"/>
  <c r="G1277" i="1"/>
  <c r="H1277" i="1"/>
  <c r="I1277" i="1"/>
  <c r="J1277" i="1"/>
  <c r="K1277" i="1"/>
  <c r="L1277" i="1"/>
  <c r="A1278" i="1"/>
  <c r="B1278" i="1"/>
  <c r="C1278" i="1"/>
  <c r="D1278" i="1"/>
  <c r="E1278" i="1"/>
  <c r="F1278" i="1"/>
  <c r="G1278" i="1"/>
  <c r="H1278" i="1"/>
  <c r="I1278" i="1"/>
  <c r="J1278" i="1"/>
  <c r="K1278" i="1"/>
  <c r="L1278" i="1"/>
  <c r="A1279" i="1"/>
  <c r="B1279" i="1"/>
  <c r="C1279" i="1"/>
  <c r="D1279" i="1"/>
  <c r="E1279" i="1"/>
  <c r="F1279" i="1"/>
  <c r="G1279" i="1"/>
  <c r="H1279" i="1"/>
  <c r="I1279" i="1"/>
  <c r="J1279" i="1"/>
  <c r="K1279" i="1"/>
  <c r="L1279" i="1"/>
  <c r="A1280" i="1"/>
  <c r="B1280" i="1"/>
  <c r="C1280" i="1"/>
  <c r="D1280" i="1"/>
  <c r="E1280" i="1"/>
  <c r="F1280" i="1"/>
  <c r="G1280" i="1"/>
  <c r="H1280" i="1"/>
  <c r="I1280" i="1"/>
  <c r="J1280" i="1"/>
  <c r="K1280" i="1"/>
  <c r="L1280" i="1"/>
  <c r="A1281" i="1"/>
  <c r="B1281" i="1"/>
  <c r="C1281" i="1"/>
  <c r="D1281" i="1"/>
  <c r="E1281" i="1"/>
  <c r="F1281" i="1"/>
  <c r="G1281" i="1"/>
  <c r="H1281" i="1"/>
  <c r="I1281" i="1"/>
  <c r="J1281" i="1"/>
  <c r="K1281" i="1"/>
  <c r="L1281" i="1"/>
  <c r="A1282" i="1"/>
  <c r="B1282" i="1"/>
  <c r="C1282" i="1"/>
  <c r="D1282" i="1"/>
  <c r="E1282" i="1"/>
  <c r="F1282" i="1"/>
  <c r="G1282" i="1"/>
  <c r="H1282" i="1"/>
  <c r="I1282" i="1"/>
  <c r="J1282" i="1"/>
  <c r="K1282" i="1"/>
  <c r="L1282" i="1"/>
  <c r="A1283" i="1"/>
  <c r="B1283" i="1"/>
  <c r="C1283" i="1"/>
  <c r="D1283" i="1"/>
  <c r="E1283" i="1"/>
  <c r="F1283" i="1"/>
  <c r="G1283" i="1"/>
  <c r="H1283" i="1"/>
  <c r="I1283" i="1"/>
  <c r="J1283" i="1"/>
  <c r="K1283" i="1"/>
  <c r="L1283" i="1"/>
  <c r="A1284" i="1"/>
  <c r="B1284" i="1"/>
  <c r="C1284" i="1"/>
  <c r="D1284" i="1"/>
  <c r="E1284" i="1"/>
  <c r="F1284" i="1"/>
  <c r="G1284" i="1"/>
  <c r="H1284" i="1"/>
  <c r="I1284" i="1"/>
  <c r="J1284" i="1"/>
  <c r="K1284" i="1"/>
  <c r="L1284" i="1"/>
  <c r="A1285" i="1"/>
  <c r="B1285" i="1"/>
  <c r="C1285" i="1"/>
  <c r="D1285" i="1"/>
  <c r="E1285" i="1"/>
  <c r="F1285" i="1"/>
  <c r="G1285" i="1"/>
  <c r="H1285" i="1"/>
  <c r="I1285" i="1"/>
  <c r="J1285" i="1"/>
  <c r="K1285" i="1"/>
  <c r="L1285" i="1"/>
  <c r="A1286" i="1"/>
  <c r="B1286" i="1"/>
  <c r="C1286" i="1"/>
  <c r="D1286" i="1"/>
  <c r="E1286" i="1"/>
  <c r="F1286" i="1"/>
  <c r="G1286" i="1"/>
  <c r="H1286" i="1"/>
  <c r="I1286" i="1"/>
  <c r="J1286" i="1"/>
  <c r="K1286" i="1"/>
  <c r="L1286" i="1"/>
  <c r="A1287" i="1"/>
  <c r="B1287" i="1"/>
  <c r="C1287" i="1"/>
  <c r="D1287" i="1"/>
  <c r="E1287" i="1"/>
  <c r="F1287" i="1"/>
  <c r="G1287" i="1"/>
  <c r="H1287" i="1"/>
  <c r="I1287" i="1"/>
  <c r="J1287" i="1"/>
  <c r="K1287" i="1"/>
  <c r="L1287" i="1"/>
  <c r="A1288" i="1"/>
  <c r="B1288" i="1"/>
  <c r="C1288" i="1"/>
  <c r="D1288" i="1"/>
  <c r="E1288" i="1"/>
  <c r="F1288" i="1"/>
  <c r="G1288" i="1"/>
  <c r="H1288" i="1"/>
  <c r="I1288" i="1"/>
  <c r="J1288" i="1"/>
  <c r="K1288" i="1"/>
  <c r="L1288" i="1"/>
  <c r="A1289" i="1"/>
  <c r="B1289" i="1"/>
  <c r="C1289" i="1"/>
  <c r="D1289" i="1"/>
  <c r="E1289" i="1"/>
  <c r="F1289" i="1"/>
  <c r="G1289" i="1"/>
  <c r="H1289" i="1"/>
  <c r="I1289" i="1"/>
  <c r="J1289" i="1"/>
  <c r="K1289" i="1"/>
  <c r="L1289" i="1"/>
  <c r="A1290" i="1"/>
  <c r="B1290" i="1"/>
  <c r="C1290" i="1"/>
  <c r="D1290" i="1"/>
  <c r="E1290" i="1"/>
  <c r="F1290" i="1"/>
  <c r="G1290" i="1"/>
  <c r="H1290" i="1"/>
  <c r="I1290" i="1"/>
  <c r="J1290" i="1"/>
  <c r="K1290" i="1"/>
  <c r="L1290" i="1"/>
  <c r="A1291" i="1"/>
  <c r="B1291" i="1"/>
  <c r="C1291" i="1"/>
  <c r="D1291" i="1"/>
  <c r="E1291" i="1"/>
  <c r="F1291" i="1"/>
  <c r="G1291" i="1"/>
  <c r="H1291" i="1"/>
  <c r="I1291" i="1"/>
  <c r="J1291" i="1"/>
  <c r="K1291" i="1"/>
  <c r="L1291" i="1"/>
  <c r="A1292" i="1"/>
  <c r="B1292" i="1"/>
  <c r="C1292" i="1"/>
  <c r="D1292" i="1"/>
  <c r="E1292" i="1"/>
  <c r="F1292" i="1"/>
  <c r="G1292" i="1"/>
  <c r="H1292" i="1"/>
  <c r="I1292" i="1"/>
  <c r="J1292" i="1"/>
  <c r="K1292" i="1"/>
  <c r="L1292" i="1"/>
  <c r="A1293" i="1"/>
  <c r="B1293" i="1"/>
  <c r="C1293" i="1"/>
  <c r="D1293" i="1"/>
  <c r="E1293" i="1"/>
  <c r="F1293" i="1"/>
  <c r="G1293" i="1"/>
  <c r="H1293" i="1"/>
  <c r="I1293" i="1"/>
  <c r="J1293" i="1"/>
  <c r="K1293" i="1"/>
  <c r="L1293" i="1"/>
  <c r="A1294" i="1"/>
  <c r="B1294" i="1"/>
  <c r="C1294" i="1"/>
  <c r="D1294" i="1"/>
  <c r="E1294" i="1"/>
  <c r="F1294" i="1"/>
  <c r="G1294" i="1"/>
  <c r="H1294" i="1"/>
  <c r="I1294" i="1"/>
  <c r="J1294" i="1"/>
  <c r="K1294" i="1"/>
  <c r="L1294" i="1"/>
  <c r="A1295" i="1"/>
  <c r="B1295" i="1"/>
  <c r="C1295" i="1"/>
  <c r="D1295" i="1"/>
  <c r="E1295" i="1"/>
  <c r="F1295" i="1"/>
  <c r="G1295" i="1"/>
  <c r="H1295" i="1"/>
  <c r="I1295" i="1"/>
  <c r="J1295" i="1"/>
  <c r="K1295" i="1"/>
  <c r="L1295" i="1"/>
  <c r="A1296" i="1"/>
  <c r="B1296" i="1"/>
  <c r="C1296" i="1"/>
  <c r="D1296" i="1"/>
  <c r="E1296" i="1"/>
  <c r="F1296" i="1"/>
  <c r="G1296" i="1"/>
  <c r="H1296" i="1"/>
  <c r="I1296" i="1"/>
  <c r="J1296" i="1"/>
  <c r="K1296" i="1"/>
  <c r="L1296" i="1"/>
  <c r="A1297" i="1"/>
  <c r="B1297" i="1"/>
  <c r="C1297" i="1"/>
  <c r="D1297" i="1"/>
  <c r="E1297" i="1"/>
  <c r="F1297" i="1"/>
  <c r="G1297" i="1"/>
  <c r="H1297" i="1"/>
  <c r="I1297" i="1"/>
  <c r="J1297" i="1"/>
  <c r="K1297" i="1"/>
  <c r="L1297" i="1"/>
  <c r="A1298" i="1"/>
  <c r="B1298" i="1"/>
  <c r="C1298" i="1"/>
  <c r="D1298" i="1"/>
  <c r="E1298" i="1"/>
  <c r="F1298" i="1"/>
  <c r="G1298" i="1"/>
  <c r="H1298" i="1"/>
  <c r="I1298" i="1"/>
  <c r="J1298" i="1"/>
  <c r="K1298" i="1"/>
  <c r="L1298" i="1"/>
  <c r="A1299" i="1"/>
  <c r="B1299" i="1"/>
  <c r="C1299" i="1"/>
  <c r="D1299" i="1"/>
  <c r="E1299" i="1"/>
  <c r="F1299" i="1"/>
  <c r="G1299" i="1"/>
  <c r="H1299" i="1"/>
  <c r="I1299" i="1"/>
  <c r="J1299" i="1"/>
  <c r="K1299" i="1"/>
  <c r="L1299" i="1"/>
  <c r="A1300" i="1"/>
  <c r="B1300" i="1"/>
  <c r="C1300" i="1"/>
  <c r="D1300" i="1"/>
  <c r="E1300" i="1"/>
  <c r="F1300" i="1"/>
  <c r="G1300" i="1"/>
  <c r="H1300" i="1"/>
  <c r="I1300" i="1"/>
  <c r="J1300" i="1"/>
  <c r="K1300" i="1"/>
  <c r="L1300" i="1"/>
  <c r="A1301" i="1"/>
  <c r="B1301" i="1"/>
  <c r="C1301" i="1"/>
  <c r="D1301" i="1"/>
  <c r="E1301" i="1"/>
  <c r="F1301" i="1"/>
  <c r="G1301" i="1"/>
  <c r="H1301" i="1"/>
  <c r="I1301" i="1"/>
  <c r="J1301" i="1"/>
  <c r="K1301" i="1"/>
  <c r="L1301" i="1"/>
  <c r="A1302" i="1"/>
  <c r="B1302" i="1"/>
  <c r="C1302" i="1"/>
  <c r="D1302" i="1"/>
  <c r="E1302" i="1"/>
  <c r="F1302" i="1"/>
  <c r="G1302" i="1"/>
  <c r="H1302" i="1"/>
  <c r="I1302" i="1"/>
  <c r="J1302" i="1"/>
  <c r="K1302" i="1"/>
  <c r="L1302" i="1"/>
  <c r="A1303" i="1"/>
  <c r="B1303" i="1"/>
  <c r="C1303" i="1"/>
  <c r="D1303" i="1"/>
  <c r="E1303" i="1"/>
  <c r="F1303" i="1"/>
  <c r="G1303" i="1"/>
  <c r="H1303" i="1"/>
  <c r="I1303" i="1"/>
  <c r="J1303" i="1"/>
  <c r="K1303" i="1"/>
  <c r="L1303" i="1"/>
  <c r="A1304" i="1"/>
  <c r="B1304" i="1"/>
  <c r="C1304" i="1"/>
  <c r="D1304" i="1"/>
  <c r="E1304" i="1"/>
  <c r="F1304" i="1"/>
  <c r="G1304" i="1"/>
  <c r="H1304" i="1"/>
  <c r="I1304" i="1"/>
  <c r="J1304" i="1"/>
  <c r="K1304" i="1"/>
  <c r="L1304" i="1"/>
  <c r="A1305" i="1"/>
  <c r="B1305" i="1"/>
  <c r="C1305" i="1"/>
  <c r="D1305" i="1"/>
  <c r="E1305" i="1"/>
  <c r="F1305" i="1"/>
  <c r="G1305" i="1"/>
  <c r="H1305" i="1"/>
  <c r="I1305" i="1"/>
  <c r="J1305" i="1"/>
  <c r="K1305" i="1"/>
  <c r="L1305" i="1"/>
  <c r="A1306" i="1"/>
  <c r="B1306" i="1"/>
  <c r="C1306" i="1"/>
  <c r="D1306" i="1"/>
  <c r="E1306" i="1"/>
  <c r="F1306" i="1"/>
  <c r="G1306" i="1"/>
  <c r="H1306" i="1"/>
  <c r="I1306" i="1"/>
  <c r="J1306" i="1"/>
  <c r="K1306" i="1"/>
  <c r="L1306" i="1"/>
  <c r="A1307" i="1"/>
  <c r="B1307" i="1"/>
  <c r="C1307" i="1"/>
  <c r="D1307" i="1"/>
  <c r="E1307" i="1"/>
  <c r="F1307" i="1"/>
  <c r="G1307" i="1"/>
  <c r="H1307" i="1"/>
  <c r="I1307" i="1"/>
  <c r="J1307" i="1"/>
  <c r="K1307" i="1"/>
  <c r="L1307" i="1"/>
  <c r="A1308" i="1"/>
  <c r="B1308" i="1"/>
  <c r="C1308" i="1"/>
  <c r="D1308" i="1"/>
  <c r="E1308" i="1"/>
  <c r="F1308" i="1"/>
  <c r="G1308" i="1"/>
  <c r="H1308" i="1"/>
  <c r="I1308" i="1"/>
  <c r="J1308" i="1"/>
  <c r="K1308" i="1"/>
  <c r="L1308" i="1"/>
  <c r="A1309" i="1"/>
  <c r="B1309" i="1"/>
  <c r="C1309" i="1"/>
  <c r="D1309" i="1"/>
  <c r="E1309" i="1"/>
  <c r="F1309" i="1"/>
  <c r="G1309" i="1"/>
  <c r="H1309" i="1"/>
  <c r="I1309" i="1"/>
  <c r="J1309" i="1"/>
  <c r="K1309" i="1"/>
  <c r="L1309" i="1"/>
  <c r="A1310" i="1"/>
  <c r="B1310" i="1"/>
  <c r="C1310" i="1"/>
  <c r="D1310" i="1"/>
  <c r="E1310" i="1"/>
  <c r="F1310" i="1"/>
  <c r="G1310" i="1"/>
  <c r="H1310" i="1"/>
  <c r="I1310" i="1"/>
  <c r="J1310" i="1"/>
  <c r="K1310" i="1"/>
  <c r="L1310" i="1"/>
  <c r="A1311" i="1"/>
  <c r="B1311" i="1"/>
  <c r="C1311" i="1"/>
  <c r="D1311" i="1"/>
  <c r="E1311" i="1"/>
  <c r="F1311" i="1"/>
  <c r="G1311" i="1"/>
  <c r="H1311" i="1"/>
  <c r="I1311" i="1"/>
  <c r="J1311" i="1"/>
  <c r="K1311" i="1"/>
  <c r="L1311" i="1"/>
  <c r="A1312" i="1"/>
  <c r="B1312" i="1"/>
  <c r="C1312" i="1"/>
  <c r="D1312" i="1"/>
  <c r="E1312" i="1"/>
  <c r="F1312" i="1"/>
  <c r="G1312" i="1"/>
  <c r="H1312" i="1"/>
  <c r="I1312" i="1"/>
  <c r="J1312" i="1"/>
  <c r="K1312" i="1"/>
  <c r="L1312" i="1"/>
  <c r="A1313" i="1"/>
  <c r="B1313" i="1"/>
  <c r="C1313" i="1"/>
  <c r="D1313" i="1"/>
  <c r="E1313" i="1"/>
  <c r="F1313" i="1"/>
  <c r="G1313" i="1"/>
  <c r="H1313" i="1"/>
  <c r="I1313" i="1"/>
  <c r="J1313" i="1"/>
  <c r="K1313" i="1"/>
  <c r="L1313" i="1"/>
  <c r="A1314" i="1"/>
  <c r="B1314" i="1"/>
  <c r="C1314" i="1"/>
  <c r="D1314" i="1"/>
  <c r="E1314" i="1"/>
  <c r="F1314" i="1"/>
  <c r="G1314" i="1"/>
  <c r="H1314" i="1"/>
  <c r="I1314" i="1"/>
  <c r="J1314" i="1"/>
  <c r="K1314" i="1"/>
  <c r="L1314" i="1"/>
  <c r="A1315" i="1"/>
  <c r="B1315" i="1"/>
  <c r="C1315" i="1"/>
  <c r="D1315" i="1"/>
  <c r="E1315" i="1"/>
  <c r="F1315" i="1"/>
  <c r="G1315" i="1"/>
  <c r="H1315" i="1"/>
  <c r="I1315" i="1"/>
  <c r="J1315" i="1"/>
  <c r="K1315" i="1"/>
  <c r="L1315" i="1"/>
  <c r="A1316" i="1"/>
  <c r="B1316" i="1"/>
  <c r="C1316" i="1"/>
  <c r="D1316" i="1"/>
  <c r="E1316" i="1"/>
  <c r="F1316" i="1"/>
  <c r="G1316" i="1"/>
  <c r="H1316" i="1"/>
  <c r="I1316" i="1"/>
  <c r="J1316" i="1"/>
  <c r="K1316" i="1"/>
  <c r="L1316" i="1"/>
  <c r="A1317" i="1"/>
  <c r="B1317" i="1"/>
  <c r="C1317" i="1"/>
  <c r="D1317" i="1"/>
  <c r="E1317" i="1"/>
  <c r="F1317" i="1"/>
  <c r="G1317" i="1"/>
  <c r="H1317" i="1"/>
  <c r="I1317" i="1"/>
  <c r="J1317" i="1"/>
  <c r="K1317" i="1"/>
  <c r="L1317" i="1"/>
  <c r="A1318" i="1"/>
  <c r="B1318" i="1"/>
  <c r="C1318" i="1"/>
  <c r="D1318" i="1"/>
  <c r="E1318" i="1"/>
  <c r="F1318" i="1"/>
  <c r="G1318" i="1"/>
  <c r="H1318" i="1"/>
  <c r="I1318" i="1"/>
  <c r="J1318" i="1"/>
  <c r="K1318" i="1"/>
  <c r="L1318" i="1"/>
  <c r="A1319" i="1"/>
  <c r="B1319" i="1"/>
  <c r="C1319" i="1"/>
  <c r="D1319" i="1"/>
  <c r="E1319" i="1"/>
  <c r="F1319" i="1"/>
  <c r="G1319" i="1"/>
  <c r="H1319" i="1"/>
  <c r="I1319" i="1"/>
  <c r="J1319" i="1"/>
  <c r="K1319" i="1"/>
  <c r="L1319" i="1"/>
  <c r="A1320" i="1"/>
  <c r="B1320" i="1"/>
  <c r="C1320" i="1"/>
  <c r="D1320" i="1"/>
  <c r="E1320" i="1"/>
  <c r="F1320" i="1"/>
  <c r="G1320" i="1"/>
  <c r="H1320" i="1"/>
  <c r="I1320" i="1"/>
  <c r="J1320" i="1"/>
  <c r="K1320" i="1"/>
  <c r="L1320" i="1"/>
  <c r="A1321" i="1"/>
  <c r="B1321" i="1"/>
  <c r="C1321" i="1"/>
  <c r="D1321" i="1"/>
  <c r="E1321" i="1"/>
  <c r="F1321" i="1"/>
  <c r="G1321" i="1"/>
  <c r="H1321" i="1"/>
  <c r="I1321" i="1"/>
  <c r="J1321" i="1"/>
  <c r="K1321" i="1"/>
  <c r="L1321" i="1"/>
  <c r="A1322" i="1"/>
  <c r="B1322" i="1"/>
  <c r="C1322" i="1"/>
  <c r="D1322" i="1"/>
  <c r="E1322" i="1"/>
  <c r="F1322" i="1"/>
  <c r="G1322" i="1"/>
  <c r="H1322" i="1"/>
  <c r="I1322" i="1"/>
  <c r="J1322" i="1"/>
  <c r="K1322" i="1"/>
  <c r="L1322" i="1"/>
  <c r="A1323" i="1"/>
  <c r="B1323" i="1"/>
  <c r="C1323" i="1"/>
  <c r="D1323" i="1"/>
  <c r="E1323" i="1"/>
  <c r="F1323" i="1"/>
  <c r="G1323" i="1"/>
  <c r="H1323" i="1"/>
  <c r="I1323" i="1"/>
  <c r="J1323" i="1"/>
  <c r="K1323" i="1"/>
  <c r="L1323" i="1"/>
  <c r="A1324" i="1"/>
  <c r="B1324" i="1"/>
  <c r="C1324" i="1"/>
  <c r="D1324" i="1"/>
  <c r="E1324" i="1"/>
  <c r="F1324" i="1"/>
  <c r="G1324" i="1"/>
  <c r="H1324" i="1"/>
  <c r="I1324" i="1"/>
  <c r="J1324" i="1"/>
  <c r="K1324" i="1"/>
  <c r="L1324" i="1"/>
  <c r="A1325" i="1"/>
  <c r="B1325" i="1"/>
  <c r="C1325" i="1"/>
  <c r="D1325" i="1"/>
  <c r="E1325" i="1"/>
  <c r="F1325" i="1"/>
  <c r="G1325" i="1"/>
  <c r="H1325" i="1"/>
  <c r="I1325" i="1"/>
  <c r="J1325" i="1"/>
  <c r="K1325" i="1"/>
  <c r="L1325" i="1"/>
  <c r="A1326" i="1"/>
  <c r="B1326" i="1"/>
  <c r="C1326" i="1"/>
  <c r="D1326" i="1"/>
  <c r="E1326" i="1"/>
  <c r="F1326" i="1"/>
  <c r="G1326" i="1"/>
  <c r="H1326" i="1"/>
  <c r="I1326" i="1"/>
  <c r="J1326" i="1"/>
  <c r="K1326" i="1"/>
  <c r="L1326" i="1"/>
  <c r="A1327" i="1"/>
  <c r="B1327" i="1"/>
  <c r="C1327" i="1"/>
  <c r="D1327" i="1"/>
  <c r="E1327" i="1"/>
  <c r="F1327" i="1"/>
  <c r="G1327" i="1"/>
  <c r="H1327" i="1"/>
  <c r="I1327" i="1"/>
  <c r="J1327" i="1"/>
  <c r="K1327" i="1"/>
  <c r="L1327" i="1"/>
  <c r="A1328" i="1"/>
  <c r="B1328" i="1"/>
  <c r="C1328" i="1"/>
  <c r="D1328" i="1"/>
  <c r="E1328" i="1"/>
  <c r="F1328" i="1"/>
  <c r="G1328" i="1"/>
  <c r="H1328" i="1"/>
  <c r="I1328" i="1"/>
  <c r="J1328" i="1"/>
  <c r="K1328" i="1"/>
  <c r="L1328" i="1"/>
  <c r="A1329" i="1"/>
  <c r="B1329" i="1"/>
  <c r="C1329" i="1"/>
  <c r="D1329" i="1"/>
  <c r="E1329" i="1"/>
  <c r="F1329" i="1"/>
  <c r="G1329" i="1"/>
  <c r="H1329" i="1"/>
  <c r="I1329" i="1"/>
  <c r="J1329" i="1"/>
  <c r="K1329" i="1"/>
  <c r="L1329" i="1"/>
  <c r="A1330" i="1"/>
  <c r="B1330" i="1"/>
  <c r="C1330" i="1"/>
  <c r="D1330" i="1"/>
  <c r="E1330" i="1"/>
  <c r="F1330" i="1"/>
  <c r="G1330" i="1"/>
  <c r="H1330" i="1"/>
  <c r="I1330" i="1"/>
  <c r="J1330" i="1"/>
  <c r="K1330" i="1"/>
  <c r="L1330" i="1"/>
  <c r="A1331" i="1"/>
  <c r="B1331" i="1"/>
  <c r="C1331" i="1"/>
  <c r="D1331" i="1"/>
  <c r="E1331" i="1"/>
  <c r="F1331" i="1"/>
  <c r="G1331" i="1"/>
  <c r="H1331" i="1"/>
  <c r="I1331" i="1"/>
  <c r="J1331" i="1"/>
  <c r="K1331" i="1"/>
  <c r="L1331" i="1"/>
  <c r="A1332" i="1"/>
  <c r="B1332" i="1"/>
  <c r="C1332" i="1"/>
  <c r="D1332" i="1"/>
  <c r="E1332" i="1"/>
  <c r="F1332" i="1"/>
  <c r="G1332" i="1"/>
  <c r="H1332" i="1"/>
  <c r="I1332" i="1"/>
  <c r="J1332" i="1"/>
  <c r="K1332" i="1"/>
  <c r="L1332" i="1"/>
  <c r="A1333" i="1"/>
  <c r="B1333" i="1"/>
  <c r="C1333" i="1"/>
  <c r="D1333" i="1"/>
  <c r="E1333" i="1"/>
  <c r="F1333" i="1"/>
  <c r="G1333" i="1"/>
  <c r="H1333" i="1"/>
  <c r="I1333" i="1"/>
  <c r="J1333" i="1"/>
  <c r="K1333" i="1"/>
  <c r="L1333" i="1"/>
  <c r="A1334" i="1"/>
  <c r="B1334" i="1"/>
  <c r="C1334" i="1"/>
  <c r="D1334" i="1"/>
  <c r="E1334" i="1"/>
  <c r="F1334" i="1"/>
  <c r="G1334" i="1"/>
  <c r="H1334" i="1"/>
  <c r="I1334" i="1"/>
  <c r="J1334" i="1"/>
  <c r="K1334" i="1"/>
  <c r="L1334" i="1"/>
  <c r="A1335" i="1"/>
  <c r="B1335" i="1"/>
  <c r="C1335" i="1"/>
  <c r="D1335" i="1"/>
  <c r="E1335" i="1"/>
  <c r="F1335" i="1"/>
  <c r="G1335" i="1"/>
  <c r="H1335" i="1"/>
  <c r="I1335" i="1"/>
  <c r="J1335" i="1"/>
  <c r="K1335" i="1"/>
  <c r="L1335" i="1"/>
  <c r="A1336" i="1"/>
  <c r="B1336" i="1"/>
  <c r="C1336" i="1"/>
  <c r="D1336" i="1"/>
  <c r="E1336" i="1"/>
  <c r="F1336" i="1"/>
  <c r="G1336" i="1"/>
  <c r="H1336" i="1"/>
  <c r="I1336" i="1"/>
  <c r="J1336" i="1"/>
  <c r="K1336" i="1"/>
  <c r="L1336" i="1"/>
  <c r="A1337" i="1"/>
  <c r="B1337" i="1"/>
  <c r="C1337" i="1"/>
  <c r="D1337" i="1"/>
  <c r="E1337" i="1"/>
  <c r="F1337" i="1"/>
  <c r="G1337" i="1"/>
  <c r="H1337" i="1"/>
  <c r="I1337" i="1"/>
  <c r="J1337" i="1"/>
  <c r="K1337" i="1"/>
  <c r="L1337" i="1"/>
  <c r="A1338" i="1"/>
  <c r="B1338" i="1"/>
  <c r="C1338" i="1"/>
  <c r="D1338" i="1"/>
  <c r="E1338" i="1"/>
  <c r="F1338" i="1"/>
  <c r="G1338" i="1"/>
  <c r="H1338" i="1"/>
  <c r="I1338" i="1"/>
  <c r="J1338" i="1"/>
  <c r="K1338" i="1"/>
  <c r="L1338" i="1"/>
  <c r="A1339" i="1"/>
  <c r="B1339" i="1"/>
  <c r="C1339" i="1"/>
  <c r="D1339" i="1"/>
  <c r="E1339" i="1"/>
  <c r="F1339" i="1"/>
  <c r="G1339" i="1"/>
  <c r="H1339" i="1"/>
  <c r="I1339" i="1"/>
  <c r="J1339" i="1"/>
  <c r="K1339" i="1"/>
  <c r="L1339" i="1"/>
  <c r="A1340" i="1"/>
  <c r="B1340" i="1"/>
  <c r="C1340" i="1"/>
  <c r="D1340" i="1"/>
  <c r="E1340" i="1"/>
  <c r="F1340" i="1"/>
  <c r="G1340" i="1"/>
  <c r="H1340" i="1"/>
  <c r="I1340" i="1"/>
  <c r="J1340" i="1"/>
  <c r="K1340" i="1"/>
  <c r="L1340" i="1"/>
  <c r="A1341" i="1"/>
  <c r="B1341" i="1"/>
  <c r="C1341" i="1"/>
  <c r="D1341" i="1"/>
  <c r="E1341" i="1"/>
  <c r="F1341" i="1"/>
  <c r="G1341" i="1"/>
  <c r="H1341" i="1"/>
  <c r="I1341" i="1"/>
  <c r="J1341" i="1"/>
  <c r="K1341" i="1"/>
  <c r="L1341" i="1"/>
  <c r="A1342" i="1"/>
  <c r="B1342" i="1"/>
  <c r="C1342" i="1"/>
  <c r="D1342" i="1"/>
  <c r="E1342" i="1"/>
  <c r="F1342" i="1"/>
  <c r="G1342" i="1"/>
  <c r="H1342" i="1"/>
  <c r="I1342" i="1"/>
  <c r="J1342" i="1"/>
  <c r="K1342" i="1"/>
  <c r="L1342" i="1"/>
  <c r="A1343" i="1"/>
  <c r="B1343" i="1"/>
  <c r="C1343" i="1"/>
  <c r="D1343" i="1"/>
  <c r="E1343" i="1"/>
  <c r="F1343" i="1"/>
  <c r="G1343" i="1"/>
  <c r="H1343" i="1"/>
  <c r="I1343" i="1"/>
  <c r="J1343" i="1"/>
  <c r="K1343" i="1"/>
  <c r="L1343" i="1"/>
  <c r="A1344" i="1"/>
  <c r="B1344" i="1"/>
  <c r="C1344" i="1"/>
  <c r="D1344" i="1"/>
  <c r="E1344" i="1"/>
  <c r="F1344" i="1"/>
  <c r="G1344" i="1"/>
  <c r="H1344" i="1"/>
  <c r="I1344" i="1"/>
  <c r="J1344" i="1"/>
  <c r="K1344" i="1"/>
  <c r="L1344" i="1"/>
  <c r="A1345" i="1"/>
  <c r="B1345" i="1"/>
  <c r="C1345" i="1"/>
  <c r="D1345" i="1"/>
  <c r="E1345" i="1"/>
  <c r="F1345" i="1"/>
  <c r="G1345" i="1"/>
  <c r="H1345" i="1"/>
  <c r="I1345" i="1"/>
  <c r="J1345" i="1"/>
  <c r="K1345" i="1"/>
  <c r="L1345" i="1"/>
  <c r="A1346" i="1"/>
  <c r="B1346" i="1"/>
  <c r="C1346" i="1"/>
  <c r="D1346" i="1"/>
  <c r="E1346" i="1"/>
  <c r="F1346" i="1"/>
  <c r="G1346" i="1"/>
  <c r="H1346" i="1"/>
  <c r="I1346" i="1"/>
  <c r="J1346" i="1"/>
  <c r="K1346" i="1"/>
  <c r="L1346" i="1"/>
  <c r="A1347" i="1"/>
  <c r="B1347" i="1"/>
  <c r="C1347" i="1"/>
  <c r="D1347" i="1"/>
  <c r="E1347" i="1"/>
  <c r="F1347" i="1"/>
  <c r="G1347" i="1"/>
  <c r="H1347" i="1"/>
  <c r="I1347" i="1"/>
  <c r="J1347" i="1"/>
  <c r="K1347" i="1"/>
  <c r="L1347" i="1"/>
  <c r="A1348" i="1"/>
  <c r="B1348" i="1"/>
  <c r="C1348" i="1"/>
  <c r="D1348" i="1"/>
  <c r="E1348" i="1"/>
  <c r="F1348" i="1"/>
  <c r="G1348" i="1"/>
  <c r="H1348" i="1"/>
  <c r="I1348" i="1"/>
  <c r="J1348" i="1"/>
  <c r="K1348" i="1"/>
  <c r="L1348" i="1"/>
  <c r="A1349" i="1"/>
  <c r="B1349" i="1"/>
  <c r="C1349" i="1"/>
  <c r="D1349" i="1"/>
  <c r="E1349" i="1"/>
  <c r="F1349" i="1"/>
  <c r="G1349" i="1"/>
  <c r="H1349" i="1"/>
  <c r="I1349" i="1"/>
  <c r="J1349" i="1"/>
  <c r="K1349" i="1"/>
  <c r="L1349" i="1"/>
  <c r="A1350" i="1"/>
  <c r="B1350" i="1"/>
  <c r="C1350" i="1"/>
  <c r="D1350" i="1"/>
  <c r="E1350" i="1"/>
  <c r="F1350" i="1"/>
  <c r="G1350" i="1"/>
  <c r="H1350" i="1"/>
  <c r="I1350" i="1"/>
  <c r="J1350" i="1"/>
  <c r="K1350" i="1"/>
  <c r="L1350" i="1"/>
  <c r="A1351" i="1"/>
  <c r="B1351" i="1"/>
  <c r="C1351" i="1"/>
  <c r="D1351" i="1"/>
  <c r="E1351" i="1"/>
  <c r="F1351" i="1"/>
  <c r="G1351" i="1"/>
  <c r="H1351" i="1"/>
  <c r="I1351" i="1"/>
  <c r="J1351" i="1"/>
  <c r="K1351" i="1"/>
  <c r="L1351" i="1"/>
  <c r="A1352" i="1"/>
  <c r="B1352" i="1"/>
  <c r="C1352" i="1"/>
  <c r="D1352" i="1"/>
  <c r="E1352" i="1"/>
  <c r="F1352" i="1"/>
  <c r="G1352" i="1"/>
  <c r="H1352" i="1"/>
  <c r="I1352" i="1"/>
  <c r="J1352" i="1"/>
  <c r="K1352" i="1"/>
  <c r="L1352" i="1"/>
  <c r="A1353" i="1"/>
  <c r="B1353" i="1"/>
  <c r="C1353" i="1"/>
  <c r="D1353" i="1"/>
  <c r="E1353" i="1"/>
  <c r="F1353" i="1"/>
  <c r="G1353" i="1"/>
  <c r="H1353" i="1"/>
  <c r="I1353" i="1"/>
  <c r="J1353" i="1"/>
  <c r="K1353" i="1"/>
  <c r="L1353" i="1"/>
  <c r="A1354" i="1"/>
  <c r="B1354" i="1"/>
  <c r="C1354" i="1"/>
  <c r="D1354" i="1"/>
  <c r="E1354" i="1"/>
  <c r="F1354" i="1"/>
  <c r="G1354" i="1"/>
  <c r="H1354" i="1"/>
  <c r="I1354" i="1"/>
  <c r="J1354" i="1"/>
  <c r="K1354" i="1"/>
  <c r="L1354" i="1"/>
  <c r="A1355" i="1"/>
  <c r="B1355" i="1"/>
  <c r="C1355" i="1"/>
  <c r="D1355" i="1"/>
  <c r="E1355" i="1"/>
  <c r="F1355" i="1"/>
  <c r="G1355" i="1"/>
  <c r="H1355" i="1"/>
  <c r="I1355" i="1"/>
  <c r="J1355" i="1"/>
  <c r="K1355" i="1"/>
  <c r="L1355" i="1"/>
  <c r="A1356" i="1"/>
  <c r="B1356" i="1"/>
  <c r="C1356" i="1"/>
  <c r="D1356" i="1"/>
  <c r="E1356" i="1"/>
  <c r="F1356" i="1"/>
  <c r="G1356" i="1"/>
  <c r="H1356" i="1"/>
  <c r="I1356" i="1"/>
  <c r="J1356" i="1"/>
  <c r="K1356" i="1"/>
  <c r="L1356" i="1"/>
  <c r="A1357" i="1"/>
  <c r="B1357" i="1"/>
  <c r="C1357" i="1"/>
  <c r="D1357" i="1"/>
  <c r="E1357" i="1"/>
  <c r="F1357" i="1"/>
  <c r="G1357" i="1"/>
  <c r="H1357" i="1"/>
  <c r="I1357" i="1"/>
  <c r="J1357" i="1"/>
  <c r="K1357" i="1"/>
  <c r="L1357" i="1"/>
  <c r="A1358" i="1"/>
  <c r="B1358" i="1"/>
  <c r="C1358" i="1"/>
  <c r="D1358" i="1"/>
  <c r="E1358" i="1"/>
  <c r="F1358" i="1"/>
  <c r="G1358" i="1"/>
  <c r="H1358" i="1"/>
  <c r="I1358" i="1"/>
  <c r="J1358" i="1"/>
  <c r="K1358" i="1"/>
  <c r="L1358" i="1"/>
  <c r="A1359" i="1"/>
  <c r="B1359" i="1"/>
  <c r="C1359" i="1"/>
  <c r="D1359" i="1"/>
  <c r="E1359" i="1"/>
  <c r="F1359" i="1"/>
  <c r="G1359" i="1"/>
  <c r="H1359" i="1"/>
  <c r="I1359" i="1"/>
  <c r="J1359" i="1"/>
  <c r="K1359" i="1"/>
  <c r="L1359" i="1"/>
  <c r="A1360" i="1"/>
  <c r="B1360" i="1"/>
  <c r="C1360" i="1"/>
  <c r="D1360" i="1"/>
  <c r="E1360" i="1"/>
  <c r="F1360" i="1"/>
  <c r="G1360" i="1"/>
  <c r="H1360" i="1"/>
  <c r="I1360" i="1"/>
  <c r="J1360" i="1"/>
  <c r="K1360" i="1"/>
  <c r="L1360" i="1"/>
  <c r="A1361" i="1"/>
  <c r="B1361" i="1"/>
  <c r="C1361" i="1"/>
  <c r="D1361" i="1"/>
  <c r="E1361" i="1"/>
  <c r="F1361" i="1"/>
  <c r="G1361" i="1"/>
  <c r="H1361" i="1"/>
  <c r="I1361" i="1"/>
  <c r="J1361" i="1"/>
  <c r="K1361" i="1"/>
  <c r="L1361" i="1"/>
  <c r="A1362" i="1"/>
  <c r="B1362" i="1"/>
  <c r="C1362" i="1"/>
  <c r="D1362" i="1"/>
  <c r="E1362" i="1"/>
  <c r="F1362" i="1"/>
  <c r="G1362" i="1"/>
  <c r="H1362" i="1"/>
  <c r="I1362" i="1"/>
  <c r="J1362" i="1"/>
  <c r="K1362" i="1"/>
  <c r="L1362" i="1"/>
  <c r="A1363" i="1"/>
  <c r="B1363" i="1"/>
  <c r="C1363" i="1"/>
  <c r="D1363" i="1"/>
  <c r="E1363" i="1"/>
  <c r="F1363" i="1"/>
  <c r="G1363" i="1"/>
  <c r="H1363" i="1"/>
  <c r="I1363" i="1"/>
  <c r="J1363" i="1"/>
  <c r="K1363" i="1"/>
  <c r="L1363" i="1"/>
  <c r="A1364" i="1"/>
  <c r="B1364" i="1"/>
  <c r="C1364" i="1"/>
  <c r="D1364" i="1"/>
  <c r="E1364" i="1"/>
  <c r="F1364" i="1"/>
  <c r="G1364" i="1"/>
  <c r="H1364" i="1"/>
  <c r="I1364" i="1"/>
  <c r="J1364" i="1"/>
  <c r="K1364" i="1"/>
  <c r="L1364" i="1"/>
  <c r="A1365" i="1"/>
  <c r="B1365" i="1"/>
  <c r="C1365" i="1"/>
  <c r="D1365" i="1"/>
  <c r="E1365" i="1"/>
  <c r="F1365" i="1"/>
  <c r="G1365" i="1"/>
  <c r="H1365" i="1"/>
  <c r="I1365" i="1"/>
  <c r="J1365" i="1"/>
  <c r="K1365" i="1"/>
  <c r="L1365" i="1"/>
  <c r="A1366" i="1"/>
  <c r="B1366" i="1"/>
  <c r="C1366" i="1"/>
  <c r="D1366" i="1"/>
  <c r="E1366" i="1"/>
  <c r="F1366" i="1"/>
  <c r="G1366" i="1"/>
  <c r="H1366" i="1"/>
  <c r="I1366" i="1"/>
  <c r="J1366" i="1"/>
  <c r="K1366" i="1"/>
  <c r="L1366" i="1"/>
  <c r="A1367" i="1"/>
  <c r="B1367" i="1"/>
  <c r="C1367" i="1"/>
  <c r="D1367" i="1"/>
  <c r="E1367" i="1"/>
  <c r="F1367" i="1"/>
  <c r="G1367" i="1"/>
  <c r="H1367" i="1"/>
  <c r="I1367" i="1"/>
  <c r="J1367" i="1"/>
  <c r="K1367" i="1"/>
  <c r="L1367" i="1"/>
  <c r="A1368" i="1"/>
  <c r="B1368" i="1"/>
  <c r="C1368" i="1"/>
  <c r="D1368" i="1"/>
  <c r="E1368" i="1"/>
  <c r="F1368" i="1"/>
  <c r="G1368" i="1"/>
  <c r="H1368" i="1"/>
  <c r="I1368" i="1"/>
  <c r="J1368" i="1"/>
  <c r="K1368" i="1"/>
  <c r="L1368" i="1"/>
  <c r="A1369" i="1"/>
  <c r="B1369" i="1"/>
  <c r="C1369" i="1"/>
  <c r="D1369" i="1"/>
  <c r="E1369" i="1"/>
  <c r="F1369" i="1"/>
  <c r="G1369" i="1"/>
  <c r="H1369" i="1"/>
  <c r="I1369" i="1"/>
  <c r="J1369" i="1"/>
  <c r="K1369" i="1"/>
  <c r="L1369" i="1"/>
  <c r="A1370" i="1"/>
  <c r="B1370" i="1"/>
  <c r="C1370" i="1"/>
  <c r="D1370" i="1"/>
  <c r="E1370" i="1"/>
  <c r="F1370" i="1"/>
  <c r="G1370" i="1"/>
  <c r="H1370" i="1"/>
  <c r="I1370" i="1"/>
  <c r="J1370" i="1"/>
  <c r="K1370" i="1"/>
  <c r="L1370" i="1"/>
  <c r="A1371" i="1"/>
  <c r="B1371" i="1"/>
  <c r="C1371" i="1"/>
  <c r="D1371" i="1"/>
  <c r="E1371" i="1"/>
  <c r="F1371" i="1"/>
  <c r="G1371" i="1"/>
  <c r="H1371" i="1"/>
  <c r="I1371" i="1"/>
  <c r="J1371" i="1"/>
  <c r="K1371" i="1"/>
  <c r="L1371" i="1"/>
  <c r="A1372" i="1"/>
  <c r="B1372" i="1"/>
  <c r="C1372" i="1"/>
  <c r="D1372" i="1"/>
  <c r="E1372" i="1"/>
  <c r="F1372" i="1"/>
  <c r="G1372" i="1"/>
  <c r="H1372" i="1"/>
  <c r="I1372" i="1"/>
  <c r="J1372" i="1"/>
  <c r="K1372" i="1"/>
  <c r="L1372" i="1"/>
  <c r="A1373" i="1"/>
  <c r="B1373" i="1"/>
  <c r="C1373" i="1"/>
  <c r="D1373" i="1"/>
  <c r="E1373" i="1"/>
  <c r="F1373" i="1"/>
  <c r="G1373" i="1"/>
  <c r="H1373" i="1"/>
  <c r="I1373" i="1"/>
  <c r="J1373" i="1"/>
  <c r="K1373" i="1"/>
  <c r="L1373" i="1"/>
  <c r="A1374" i="1"/>
  <c r="B1374" i="1"/>
  <c r="C1374" i="1"/>
  <c r="D1374" i="1"/>
  <c r="E1374" i="1"/>
  <c r="F1374" i="1"/>
  <c r="G1374" i="1"/>
  <c r="H1374" i="1"/>
  <c r="I1374" i="1"/>
  <c r="J1374" i="1"/>
  <c r="K1374" i="1"/>
  <c r="L1374" i="1"/>
  <c r="A1375" i="1"/>
  <c r="B1375" i="1"/>
  <c r="C1375" i="1"/>
  <c r="D1375" i="1"/>
  <c r="E1375" i="1"/>
  <c r="F1375" i="1"/>
  <c r="G1375" i="1"/>
  <c r="H1375" i="1"/>
  <c r="I1375" i="1"/>
  <c r="J1375" i="1"/>
  <c r="K1375" i="1"/>
  <c r="L1375" i="1"/>
  <c r="A1376" i="1"/>
  <c r="B1376" i="1"/>
  <c r="C1376" i="1"/>
  <c r="D1376" i="1"/>
  <c r="E1376" i="1"/>
  <c r="F1376" i="1"/>
  <c r="G1376" i="1"/>
  <c r="H1376" i="1"/>
  <c r="I1376" i="1"/>
  <c r="J1376" i="1"/>
  <c r="K1376" i="1"/>
  <c r="L1376" i="1"/>
  <c r="A1377" i="1"/>
  <c r="B1377" i="1"/>
  <c r="C1377" i="1"/>
  <c r="D1377" i="1"/>
  <c r="E1377" i="1"/>
  <c r="F1377" i="1"/>
  <c r="G1377" i="1"/>
  <c r="H1377" i="1"/>
  <c r="I1377" i="1"/>
  <c r="J1377" i="1"/>
  <c r="K1377" i="1"/>
  <c r="L1377" i="1"/>
  <c r="A1378" i="1"/>
  <c r="B1378" i="1"/>
  <c r="C1378" i="1"/>
  <c r="D1378" i="1"/>
  <c r="E1378" i="1"/>
  <c r="F1378" i="1"/>
  <c r="G1378" i="1"/>
  <c r="H1378" i="1"/>
  <c r="I1378" i="1"/>
  <c r="J1378" i="1"/>
  <c r="K1378" i="1"/>
  <c r="L1378" i="1"/>
  <c r="A1379" i="1"/>
  <c r="B1379" i="1"/>
  <c r="C1379" i="1"/>
  <c r="D1379" i="1"/>
  <c r="E1379" i="1"/>
  <c r="F1379" i="1"/>
  <c r="G1379" i="1"/>
  <c r="H1379" i="1"/>
  <c r="I1379" i="1"/>
  <c r="J1379" i="1"/>
  <c r="K1379" i="1"/>
  <c r="L1379" i="1"/>
  <c r="A1380" i="1"/>
  <c r="B1380" i="1"/>
  <c r="C1380" i="1"/>
  <c r="D1380" i="1"/>
  <c r="E1380" i="1"/>
  <c r="F1380" i="1"/>
  <c r="G1380" i="1"/>
  <c r="H1380" i="1"/>
  <c r="I1380" i="1"/>
  <c r="J1380" i="1"/>
  <c r="K1380" i="1"/>
  <c r="L1380" i="1"/>
  <c r="A1381" i="1"/>
  <c r="B1381" i="1"/>
  <c r="C1381" i="1"/>
  <c r="D1381" i="1"/>
  <c r="E1381" i="1"/>
  <c r="F1381" i="1"/>
  <c r="G1381" i="1"/>
  <c r="H1381" i="1"/>
  <c r="I1381" i="1"/>
  <c r="J1381" i="1"/>
  <c r="K1381" i="1"/>
  <c r="L1381" i="1"/>
  <c r="A1382" i="1"/>
  <c r="B1382" i="1"/>
  <c r="C1382" i="1"/>
  <c r="D1382" i="1"/>
  <c r="E1382" i="1"/>
  <c r="F1382" i="1"/>
  <c r="G1382" i="1"/>
  <c r="H1382" i="1"/>
  <c r="I1382" i="1"/>
  <c r="J1382" i="1"/>
  <c r="K1382" i="1"/>
  <c r="L1382" i="1"/>
  <c r="A1383" i="1"/>
  <c r="B1383" i="1"/>
  <c r="C1383" i="1"/>
  <c r="D1383" i="1"/>
  <c r="E1383" i="1"/>
  <c r="F1383" i="1"/>
  <c r="G1383" i="1"/>
  <c r="H1383" i="1"/>
  <c r="I1383" i="1"/>
  <c r="J1383" i="1"/>
  <c r="K1383" i="1"/>
  <c r="L1383" i="1"/>
  <c r="A1384" i="1"/>
  <c r="B1384" i="1"/>
  <c r="C1384" i="1"/>
  <c r="D1384" i="1"/>
  <c r="E1384" i="1"/>
  <c r="F1384" i="1"/>
  <c r="G1384" i="1"/>
  <c r="H1384" i="1"/>
  <c r="I1384" i="1"/>
  <c r="J1384" i="1"/>
  <c r="K1384" i="1"/>
  <c r="L1384" i="1"/>
  <c r="A1385" i="1"/>
  <c r="B1385" i="1"/>
  <c r="C1385" i="1"/>
  <c r="D1385" i="1"/>
  <c r="E1385" i="1"/>
  <c r="F1385" i="1"/>
  <c r="G1385" i="1"/>
  <c r="H1385" i="1"/>
  <c r="I1385" i="1"/>
  <c r="J1385" i="1"/>
  <c r="K1385" i="1"/>
  <c r="L1385" i="1"/>
  <c r="A1386" i="1"/>
  <c r="B1386" i="1"/>
  <c r="C1386" i="1"/>
  <c r="D1386" i="1"/>
  <c r="E1386" i="1"/>
  <c r="F1386" i="1"/>
  <c r="G1386" i="1"/>
  <c r="H1386" i="1"/>
  <c r="I1386" i="1"/>
  <c r="J1386" i="1"/>
  <c r="K1386" i="1"/>
  <c r="L1386" i="1"/>
  <c r="A1387" i="1"/>
  <c r="B1387" i="1"/>
  <c r="C1387" i="1"/>
  <c r="D1387" i="1"/>
  <c r="E1387" i="1"/>
  <c r="F1387" i="1"/>
  <c r="G1387" i="1"/>
  <c r="H1387" i="1"/>
  <c r="I1387" i="1"/>
  <c r="J1387" i="1"/>
  <c r="K1387" i="1"/>
  <c r="L1387" i="1"/>
  <c r="A1388" i="1"/>
  <c r="B1388" i="1"/>
  <c r="C1388" i="1"/>
  <c r="D1388" i="1"/>
  <c r="E1388" i="1"/>
  <c r="F1388" i="1"/>
  <c r="G1388" i="1"/>
  <c r="H1388" i="1"/>
  <c r="I1388" i="1"/>
  <c r="J1388" i="1"/>
  <c r="K1388" i="1"/>
  <c r="L1388" i="1"/>
  <c r="A1389" i="1"/>
  <c r="B1389" i="1"/>
  <c r="C1389" i="1"/>
  <c r="D1389" i="1"/>
  <c r="E1389" i="1"/>
  <c r="F1389" i="1"/>
  <c r="G1389" i="1"/>
  <c r="H1389" i="1"/>
  <c r="I1389" i="1"/>
  <c r="J1389" i="1"/>
  <c r="K1389" i="1"/>
  <c r="L1389" i="1"/>
  <c r="A1390" i="1"/>
  <c r="B1390" i="1"/>
  <c r="C1390" i="1"/>
  <c r="D1390" i="1"/>
  <c r="E1390" i="1"/>
  <c r="F1390" i="1"/>
  <c r="G1390" i="1"/>
  <c r="H1390" i="1"/>
  <c r="I1390" i="1"/>
  <c r="J1390" i="1"/>
  <c r="K1390" i="1"/>
  <c r="L1390" i="1"/>
  <c r="A1391" i="1"/>
  <c r="B1391" i="1"/>
  <c r="C1391" i="1"/>
  <c r="D1391" i="1"/>
  <c r="E1391" i="1"/>
  <c r="F1391" i="1"/>
  <c r="G1391" i="1"/>
  <c r="H1391" i="1"/>
  <c r="I1391" i="1"/>
  <c r="J1391" i="1"/>
  <c r="K1391" i="1"/>
  <c r="L1391" i="1"/>
  <c r="A1392" i="1"/>
  <c r="B1392" i="1"/>
  <c r="C1392" i="1"/>
  <c r="D1392" i="1"/>
  <c r="E1392" i="1"/>
  <c r="F1392" i="1"/>
  <c r="G1392" i="1"/>
  <c r="H1392" i="1"/>
  <c r="I1392" i="1"/>
  <c r="J1392" i="1"/>
  <c r="K1392" i="1"/>
  <c r="L1392" i="1"/>
  <c r="A1393" i="1"/>
  <c r="B1393" i="1"/>
  <c r="C1393" i="1"/>
  <c r="D1393" i="1"/>
  <c r="E1393" i="1"/>
  <c r="F1393" i="1"/>
  <c r="G1393" i="1"/>
  <c r="H1393" i="1"/>
  <c r="I1393" i="1"/>
  <c r="J1393" i="1"/>
  <c r="K1393" i="1"/>
  <c r="L1393" i="1"/>
  <c r="A1394" i="1"/>
  <c r="B1394" i="1"/>
  <c r="C1394" i="1"/>
  <c r="D1394" i="1"/>
  <c r="E1394" i="1"/>
  <c r="F1394" i="1"/>
  <c r="G1394" i="1"/>
  <c r="H1394" i="1"/>
  <c r="I1394" i="1"/>
  <c r="J1394" i="1"/>
  <c r="K1394" i="1"/>
  <c r="L1394" i="1"/>
  <c r="A1395" i="1"/>
  <c r="B1395" i="1"/>
  <c r="C1395" i="1"/>
  <c r="D1395" i="1"/>
  <c r="E1395" i="1"/>
  <c r="F1395" i="1"/>
  <c r="G1395" i="1"/>
  <c r="H1395" i="1"/>
  <c r="I1395" i="1"/>
  <c r="J1395" i="1"/>
  <c r="K1395" i="1"/>
  <c r="L1395" i="1"/>
  <c r="A1396" i="1"/>
  <c r="B1396" i="1"/>
  <c r="C1396" i="1"/>
  <c r="D1396" i="1"/>
  <c r="E1396" i="1"/>
  <c r="F1396" i="1"/>
  <c r="G1396" i="1"/>
  <c r="H1396" i="1"/>
  <c r="I1396" i="1"/>
  <c r="J1396" i="1"/>
  <c r="K1396" i="1"/>
  <c r="L1396" i="1"/>
  <c r="A1397" i="1"/>
  <c r="B1397" i="1"/>
  <c r="C1397" i="1"/>
  <c r="D1397" i="1"/>
  <c r="E1397" i="1"/>
  <c r="F1397" i="1"/>
  <c r="G1397" i="1"/>
  <c r="H1397" i="1"/>
  <c r="I1397" i="1"/>
  <c r="J1397" i="1"/>
  <c r="K1397" i="1"/>
  <c r="L1397" i="1"/>
  <c r="A1398" i="1"/>
  <c r="B1398" i="1"/>
  <c r="C1398" i="1"/>
  <c r="D1398" i="1"/>
  <c r="E1398" i="1"/>
  <c r="F1398" i="1"/>
  <c r="G1398" i="1"/>
  <c r="H1398" i="1"/>
  <c r="I1398" i="1"/>
  <c r="J1398" i="1"/>
  <c r="K1398" i="1"/>
  <c r="L1398" i="1"/>
  <c r="A1399" i="1"/>
  <c r="B1399" i="1"/>
  <c r="C1399" i="1"/>
  <c r="D1399" i="1"/>
  <c r="E1399" i="1"/>
  <c r="F1399" i="1"/>
  <c r="G1399" i="1"/>
  <c r="H1399" i="1"/>
  <c r="I1399" i="1"/>
  <c r="J1399" i="1"/>
  <c r="K1399" i="1"/>
  <c r="L1399" i="1"/>
  <c r="A1400" i="1"/>
  <c r="B1400" i="1"/>
  <c r="C1400" i="1"/>
  <c r="D1400" i="1"/>
  <c r="E1400" i="1"/>
  <c r="F1400" i="1"/>
  <c r="G1400" i="1"/>
  <c r="H1400" i="1"/>
  <c r="I1400" i="1"/>
  <c r="J1400" i="1"/>
  <c r="K1400" i="1"/>
  <c r="L1400" i="1"/>
  <c r="A1401" i="1"/>
  <c r="B1401" i="1"/>
  <c r="C1401" i="1"/>
  <c r="D1401" i="1"/>
  <c r="E1401" i="1"/>
  <c r="F1401" i="1"/>
  <c r="G1401" i="1"/>
  <c r="H1401" i="1"/>
  <c r="I1401" i="1"/>
  <c r="J1401" i="1"/>
  <c r="K1401" i="1"/>
  <c r="L1401" i="1"/>
  <c r="A1402" i="1"/>
  <c r="B1402" i="1"/>
  <c r="C1402" i="1"/>
  <c r="D1402" i="1"/>
  <c r="E1402" i="1"/>
  <c r="F1402" i="1"/>
  <c r="G1402" i="1"/>
  <c r="H1402" i="1"/>
  <c r="I1402" i="1"/>
  <c r="J1402" i="1"/>
  <c r="K1402" i="1"/>
  <c r="L1402" i="1"/>
  <c r="A1403" i="1"/>
  <c r="B1403" i="1"/>
  <c r="C1403" i="1"/>
  <c r="D1403" i="1"/>
  <c r="E1403" i="1"/>
  <c r="F1403" i="1"/>
  <c r="G1403" i="1"/>
  <c r="H1403" i="1"/>
  <c r="I1403" i="1"/>
  <c r="J1403" i="1"/>
  <c r="K1403" i="1"/>
  <c r="L1403" i="1"/>
  <c r="A1404" i="1"/>
  <c r="B1404" i="1"/>
  <c r="C1404" i="1"/>
  <c r="D1404" i="1"/>
  <c r="E1404" i="1"/>
  <c r="F1404" i="1"/>
  <c r="G1404" i="1"/>
  <c r="H1404" i="1"/>
  <c r="I1404" i="1"/>
  <c r="J1404" i="1"/>
  <c r="K1404" i="1"/>
  <c r="L1404" i="1"/>
  <c r="A1405" i="1"/>
  <c r="B1405" i="1"/>
  <c r="C1405" i="1"/>
  <c r="D1405" i="1"/>
  <c r="E1405" i="1"/>
  <c r="F1405" i="1"/>
  <c r="G1405" i="1"/>
  <c r="H1405" i="1"/>
  <c r="I1405" i="1"/>
  <c r="J1405" i="1"/>
  <c r="K1405" i="1"/>
  <c r="L1405" i="1"/>
  <c r="A1406" i="1"/>
  <c r="B1406" i="1"/>
  <c r="C1406" i="1"/>
  <c r="D1406" i="1"/>
  <c r="E1406" i="1"/>
  <c r="F1406" i="1"/>
  <c r="G1406" i="1"/>
  <c r="H1406" i="1"/>
  <c r="I1406" i="1"/>
  <c r="J1406" i="1"/>
  <c r="K1406" i="1"/>
  <c r="L1406" i="1"/>
  <c r="A1407" i="1"/>
  <c r="B1407" i="1"/>
  <c r="C1407" i="1"/>
  <c r="D1407" i="1"/>
  <c r="E1407" i="1"/>
  <c r="F1407" i="1"/>
  <c r="G1407" i="1"/>
  <c r="H1407" i="1"/>
  <c r="I1407" i="1"/>
  <c r="J1407" i="1"/>
  <c r="K1407" i="1"/>
  <c r="L1407" i="1"/>
  <c r="A1408" i="1"/>
  <c r="B1408" i="1"/>
  <c r="C1408" i="1"/>
  <c r="D1408" i="1"/>
  <c r="E1408" i="1"/>
  <c r="F1408" i="1"/>
  <c r="G1408" i="1"/>
  <c r="H1408" i="1"/>
  <c r="I1408" i="1"/>
  <c r="J1408" i="1"/>
  <c r="K1408" i="1"/>
  <c r="L1408" i="1"/>
  <c r="A1409" i="1"/>
  <c r="B1409" i="1"/>
  <c r="C1409" i="1"/>
  <c r="D1409" i="1"/>
  <c r="E1409" i="1"/>
  <c r="F1409" i="1"/>
  <c r="G1409" i="1"/>
  <c r="H1409" i="1"/>
  <c r="I1409" i="1"/>
  <c r="J1409" i="1"/>
  <c r="K1409" i="1"/>
  <c r="L1409" i="1"/>
  <c r="A1410" i="1"/>
  <c r="B1410" i="1"/>
  <c r="C1410" i="1"/>
  <c r="D1410" i="1"/>
  <c r="E1410" i="1"/>
  <c r="F1410" i="1"/>
  <c r="G1410" i="1"/>
  <c r="H1410" i="1"/>
  <c r="I1410" i="1"/>
  <c r="J1410" i="1"/>
  <c r="K1410" i="1"/>
  <c r="L1410" i="1"/>
  <c r="A1411" i="1"/>
  <c r="B1411" i="1"/>
  <c r="C1411" i="1"/>
  <c r="D1411" i="1"/>
  <c r="E1411" i="1"/>
  <c r="F1411" i="1"/>
  <c r="G1411" i="1"/>
  <c r="H1411" i="1"/>
  <c r="I1411" i="1"/>
  <c r="J1411" i="1"/>
  <c r="K1411" i="1"/>
  <c r="L1411" i="1"/>
  <c r="A1412" i="1"/>
  <c r="B1412" i="1"/>
  <c r="C1412" i="1"/>
  <c r="D1412" i="1"/>
  <c r="E1412" i="1"/>
  <c r="F1412" i="1"/>
  <c r="G1412" i="1"/>
  <c r="H1412" i="1"/>
  <c r="I1412" i="1"/>
  <c r="J1412" i="1"/>
  <c r="K1412" i="1"/>
  <c r="L1412" i="1"/>
  <c r="A1413" i="1"/>
  <c r="B1413" i="1"/>
  <c r="C1413" i="1"/>
  <c r="D1413" i="1"/>
  <c r="E1413" i="1"/>
  <c r="F1413" i="1"/>
  <c r="G1413" i="1"/>
  <c r="H1413" i="1"/>
  <c r="I1413" i="1"/>
  <c r="J1413" i="1"/>
  <c r="K1413" i="1"/>
  <c r="L1413" i="1"/>
  <c r="A1414" i="1"/>
  <c r="B1414" i="1"/>
  <c r="C1414" i="1"/>
  <c r="D1414" i="1"/>
  <c r="E1414" i="1"/>
  <c r="F1414" i="1"/>
  <c r="G1414" i="1"/>
  <c r="H1414" i="1"/>
  <c r="I1414" i="1"/>
  <c r="J1414" i="1"/>
  <c r="K1414" i="1"/>
  <c r="L1414" i="1"/>
  <c r="A1415" i="1"/>
  <c r="B1415" i="1"/>
  <c r="C1415" i="1"/>
  <c r="D1415" i="1"/>
  <c r="E1415" i="1"/>
  <c r="F1415" i="1"/>
  <c r="G1415" i="1"/>
  <c r="H1415" i="1"/>
  <c r="I1415" i="1"/>
  <c r="J1415" i="1"/>
  <c r="K1415" i="1"/>
  <c r="L1415" i="1"/>
  <c r="A1416" i="1"/>
  <c r="B1416" i="1"/>
  <c r="C1416" i="1"/>
  <c r="D1416" i="1"/>
  <c r="E1416" i="1"/>
  <c r="F1416" i="1"/>
  <c r="G1416" i="1"/>
  <c r="H1416" i="1"/>
  <c r="I1416" i="1"/>
  <c r="J1416" i="1"/>
  <c r="K1416" i="1"/>
  <c r="L1416" i="1"/>
  <c r="A1417" i="1"/>
  <c r="B1417" i="1"/>
  <c r="C1417" i="1"/>
  <c r="D1417" i="1"/>
  <c r="E1417" i="1"/>
  <c r="F1417" i="1"/>
  <c r="G1417" i="1"/>
  <c r="H1417" i="1"/>
  <c r="I1417" i="1"/>
  <c r="J1417" i="1"/>
  <c r="K1417" i="1"/>
  <c r="L1417" i="1"/>
  <c r="A1418" i="1"/>
  <c r="B1418" i="1"/>
  <c r="C1418" i="1"/>
  <c r="D1418" i="1"/>
  <c r="E1418" i="1"/>
  <c r="F1418" i="1"/>
  <c r="G1418" i="1"/>
  <c r="H1418" i="1"/>
  <c r="I1418" i="1"/>
  <c r="J1418" i="1"/>
  <c r="K1418" i="1"/>
  <c r="L1418" i="1"/>
  <c r="A1419" i="1"/>
  <c r="B1419" i="1"/>
  <c r="C1419" i="1"/>
  <c r="D1419" i="1"/>
  <c r="E1419" i="1"/>
  <c r="F1419" i="1"/>
  <c r="G1419" i="1"/>
  <c r="H1419" i="1"/>
  <c r="I1419" i="1"/>
  <c r="J1419" i="1"/>
  <c r="K1419" i="1"/>
  <c r="L1419" i="1"/>
  <c r="A1420" i="1"/>
  <c r="B1420" i="1"/>
  <c r="C1420" i="1"/>
  <c r="D1420" i="1"/>
  <c r="E1420" i="1"/>
  <c r="F1420" i="1"/>
  <c r="G1420" i="1"/>
  <c r="H1420" i="1"/>
  <c r="I1420" i="1"/>
  <c r="J1420" i="1"/>
  <c r="K1420" i="1"/>
  <c r="L1420" i="1"/>
  <c r="A1421" i="1"/>
  <c r="B1421" i="1"/>
  <c r="C1421" i="1"/>
  <c r="D1421" i="1"/>
  <c r="E1421" i="1"/>
  <c r="F1421" i="1"/>
  <c r="G1421" i="1"/>
  <c r="H1421" i="1"/>
  <c r="I1421" i="1"/>
  <c r="J1421" i="1"/>
  <c r="K1421" i="1"/>
  <c r="L1421" i="1"/>
  <c r="A1422" i="1"/>
  <c r="B1422" i="1"/>
  <c r="C1422" i="1"/>
  <c r="D1422" i="1"/>
  <c r="E1422" i="1"/>
  <c r="F1422" i="1"/>
  <c r="G1422" i="1"/>
  <c r="H1422" i="1"/>
  <c r="I1422" i="1"/>
  <c r="J1422" i="1"/>
  <c r="K1422" i="1"/>
  <c r="L1422" i="1"/>
  <c r="A1423" i="1"/>
  <c r="B1423" i="1"/>
  <c r="C1423" i="1"/>
  <c r="D1423" i="1"/>
  <c r="E1423" i="1"/>
  <c r="F1423" i="1"/>
  <c r="G1423" i="1"/>
  <c r="H1423" i="1"/>
  <c r="I1423" i="1"/>
  <c r="J1423" i="1"/>
  <c r="K1423" i="1"/>
  <c r="L1423" i="1"/>
  <c r="A1424" i="1"/>
  <c r="B1424" i="1"/>
  <c r="C1424" i="1"/>
  <c r="D1424" i="1"/>
  <c r="E1424" i="1"/>
  <c r="F1424" i="1"/>
  <c r="G1424" i="1"/>
  <c r="H1424" i="1"/>
  <c r="I1424" i="1"/>
  <c r="J1424" i="1"/>
  <c r="K1424" i="1"/>
  <c r="L1424" i="1"/>
  <c r="A1425" i="1"/>
  <c r="B1425" i="1"/>
  <c r="C1425" i="1"/>
  <c r="D1425" i="1"/>
  <c r="E1425" i="1"/>
  <c r="F1425" i="1"/>
  <c r="G1425" i="1"/>
  <c r="H1425" i="1"/>
  <c r="I1425" i="1"/>
  <c r="J1425" i="1"/>
  <c r="K1425" i="1"/>
  <c r="L1425" i="1"/>
  <c r="A1426" i="1"/>
  <c r="B1426" i="1"/>
  <c r="C1426" i="1"/>
  <c r="D1426" i="1"/>
  <c r="E1426" i="1"/>
  <c r="F1426" i="1"/>
  <c r="G1426" i="1"/>
  <c r="H1426" i="1"/>
  <c r="I1426" i="1"/>
  <c r="J1426" i="1"/>
  <c r="K1426" i="1"/>
  <c r="L1426" i="1"/>
  <c r="A1427" i="1"/>
  <c r="B1427" i="1"/>
  <c r="C1427" i="1"/>
  <c r="D1427" i="1"/>
  <c r="E1427" i="1"/>
  <c r="F1427" i="1"/>
  <c r="G1427" i="1"/>
  <c r="H1427" i="1"/>
  <c r="I1427" i="1"/>
  <c r="J1427" i="1"/>
  <c r="K1427" i="1"/>
  <c r="L1427" i="1"/>
  <c r="A1428" i="1"/>
  <c r="B1428" i="1"/>
  <c r="C1428" i="1"/>
  <c r="D1428" i="1"/>
  <c r="E1428" i="1"/>
  <c r="F1428" i="1"/>
  <c r="G1428" i="1"/>
  <c r="H1428" i="1"/>
  <c r="I1428" i="1"/>
  <c r="J1428" i="1"/>
  <c r="K1428" i="1"/>
  <c r="L1428" i="1"/>
  <c r="A1429" i="1"/>
  <c r="B1429" i="1"/>
  <c r="C1429" i="1"/>
  <c r="D1429" i="1"/>
  <c r="E1429" i="1"/>
  <c r="F1429" i="1"/>
  <c r="G1429" i="1"/>
  <c r="H1429" i="1"/>
  <c r="I1429" i="1"/>
  <c r="J1429" i="1"/>
  <c r="K1429" i="1"/>
  <c r="L1429" i="1"/>
  <c r="A1430" i="1"/>
  <c r="B1430" i="1"/>
  <c r="C1430" i="1"/>
  <c r="D1430" i="1"/>
  <c r="E1430" i="1"/>
  <c r="F1430" i="1"/>
  <c r="G1430" i="1"/>
  <c r="H1430" i="1"/>
  <c r="I1430" i="1"/>
  <c r="J1430" i="1"/>
  <c r="K1430" i="1"/>
  <c r="L1430" i="1"/>
  <c r="A1431" i="1"/>
  <c r="B1431" i="1"/>
  <c r="C1431" i="1"/>
  <c r="D1431" i="1"/>
  <c r="E1431" i="1"/>
  <c r="F1431" i="1"/>
  <c r="G1431" i="1"/>
  <c r="H1431" i="1"/>
  <c r="I1431" i="1"/>
  <c r="J1431" i="1"/>
  <c r="K1431" i="1"/>
  <c r="L1431" i="1"/>
  <c r="A1432" i="1"/>
  <c r="B1432" i="1"/>
  <c r="C1432" i="1"/>
  <c r="D1432" i="1"/>
  <c r="E1432" i="1"/>
  <c r="F1432" i="1"/>
  <c r="G1432" i="1"/>
  <c r="H1432" i="1"/>
  <c r="I1432" i="1"/>
  <c r="J1432" i="1"/>
  <c r="K1432" i="1"/>
  <c r="L1432" i="1"/>
  <c r="A1433" i="1"/>
  <c r="B1433" i="1"/>
  <c r="C1433" i="1"/>
  <c r="D1433" i="1"/>
  <c r="E1433" i="1"/>
  <c r="F1433" i="1"/>
  <c r="G1433" i="1"/>
  <c r="H1433" i="1"/>
  <c r="I1433" i="1"/>
  <c r="J1433" i="1"/>
  <c r="K1433" i="1"/>
  <c r="L1433" i="1"/>
  <c r="A1434" i="1"/>
  <c r="B1434" i="1"/>
  <c r="C1434" i="1"/>
  <c r="D1434" i="1"/>
  <c r="E1434" i="1"/>
  <c r="F1434" i="1"/>
  <c r="G1434" i="1"/>
  <c r="H1434" i="1"/>
  <c r="I1434" i="1"/>
  <c r="J1434" i="1"/>
  <c r="K1434" i="1"/>
  <c r="L1434" i="1"/>
  <c r="A1435" i="1"/>
  <c r="B1435" i="1"/>
  <c r="C1435" i="1"/>
  <c r="D1435" i="1"/>
  <c r="E1435" i="1"/>
  <c r="F1435" i="1"/>
  <c r="G1435" i="1"/>
  <c r="H1435" i="1"/>
  <c r="I1435" i="1"/>
  <c r="J1435" i="1"/>
  <c r="K1435" i="1"/>
  <c r="L1435" i="1"/>
  <c r="A1436" i="1"/>
  <c r="B1436" i="1"/>
  <c r="C1436" i="1"/>
  <c r="D1436" i="1"/>
  <c r="E1436" i="1"/>
  <c r="F1436" i="1"/>
  <c r="G1436" i="1"/>
  <c r="H1436" i="1"/>
  <c r="I1436" i="1"/>
  <c r="J1436" i="1"/>
  <c r="K1436" i="1"/>
  <c r="L1436" i="1"/>
  <c r="A1437" i="1"/>
  <c r="B1437" i="1"/>
  <c r="C1437" i="1"/>
  <c r="D1437" i="1"/>
  <c r="E1437" i="1"/>
  <c r="F1437" i="1"/>
  <c r="G1437" i="1"/>
  <c r="H1437" i="1"/>
  <c r="I1437" i="1"/>
  <c r="J1437" i="1"/>
  <c r="K1437" i="1"/>
  <c r="L1437" i="1"/>
  <c r="A1438" i="1"/>
  <c r="B1438" i="1"/>
  <c r="C1438" i="1"/>
  <c r="D1438" i="1"/>
  <c r="E1438" i="1"/>
  <c r="F1438" i="1"/>
  <c r="G1438" i="1"/>
  <c r="H1438" i="1"/>
  <c r="I1438" i="1"/>
  <c r="J1438" i="1"/>
  <c r="K1438" i="1"/>
  <c r="L1438" i="1"/>
  <c r="A1439" i="1"/>
  <c r="B1439" i="1"/>
  <c r="C1439" i="1"/>
  <c r="D1439" i="1"/>
  <c r="E1439" i="1"/>
  <c r="F1439" i="1"/>
  <c r="G1439" i="1"/>
  <c r="H1439" i="1"/>
  <c r="I1439" i="1"/>
  <c r="J1439" i="1"/>
  <c r="K1439" i="1"/>
  <c r="L1439" i="1"/>
  <c r="A1440" i="1"/>
  <c r="B1440" i="1"/>
  <c r="C1440" i="1"/>
  <c r="D1440" i="1"/>
  <c r="E1440" i="1"/>
  <c r="F1440" i="1"/>
  <c r="G1440" i="1"/>
  <c r="H1440" i="1"/>
  <c r="I1440" i="1"/>
  <c r="J1440" i="1"/>
  <c r="K1440" i="1"/>
  <c r="L1440" i="1"/>
  <c r="A1441" i="1"/>
  <c r="B1441" i="1"/>
  <c r="C1441" i="1"/>
  <c r="D1441" i="1"/>
  <c r="E1441" i="1"/>
  <c r="F1441" i="1"/>
  <c r="G1441" i="1"/>
  <c r="H1441" i="1"/>
  <c r="I1441" i="1"/>
  <c r="J1441" i="1"/>
  <c r="K1441" i="1"/>
  <c r="L1441" i="1"/>
  <c r="A1442" i="1"/>
  <c r="B1442" i="1"/>
  <c r="C1442" i="1"/>
  <c r="D1442" i="1"/>
  <c r="E1442" i="1"/>
  <c r="F1442" i="1"/>
  <c r="G1442" i="1"/>
  <c r="H1442" i="1"/>
  <c r="I1442" i="1"/>
  <c r="J1442" i="1"/>
  <c r="K1442" i="1"/>
  <c r="L1442" i="1"/>
  <c r="A1443" i="1"/>
  <c r="B1443" i="1"/>
  <c r="C1443" i="1"/>
  <c r="D1443" i="1"/>
  <c r="E1443" i="1"/>
  <c r="F1443" i="1"/>
  <c r="G1443" i="1"/>
  <c r="H1443" i="1"/>
  <c r="I1443" i="1"/>
  <c r="J1443" i="1"/>
  <c r="K1443" i="1"/>
  <c r="L1443" i="1"/>
  <c r="A1444" i="1"/>
  <c r="B1444" i="1"/>
  <c r="C1444" i="1"/>
  <c r="D1444" i="1"/>
  <c r="E1444" i="1"/>
  <c r="F1444" i="1"/>
  <c r="G1444" i="1"/>
  <c r="H1444" i="1"/>
  <c r="I1444" i="1"/>
  <c r="J1444" i="1"/>
  <c r="K1444" i="1"/>
  <c r="L1444" i="1"/>
  <c r="A1445" i="1"/>
  <c r="B1445" i="1"/>
  <c r="C1445" i="1"/>
  <c r="D1445" i="1"/>
  <c r="E1445" i="1"/>
  <c r="F1445" i="1"/>
  <c r="G1445" i="1"/>
  <c r="H1445" i="1"/>
  <c r="I1445" i="1"/>
  <c r="J1445" i="1"/>
  <c r="K1445" i="1"/>
  <c r="L1445" i="1"/>
  <c r="A1446" i="1"/>
  <c r="B1446" i="1"/>
  <c r="C1446" i="1"/>
  <c r="D1446" i="1"/>
  <c r="E1446" i="1"/>
  <c r="F1446" i="1"/>
  <c r="G1446" i="1"/>
  <c r="H1446" i="1"/>
  <c r="I1446" i="1"/>
  <c r="J1446" i="1"/>
  <c r="K1446" i="1"/>
  <c r="L1446" i="1"/>
  <c r="A1447" i="1"/>
  <c r="B1447" i="1"/>
  <c r="C1447" i="1"/>
  <c r="D1447" i="1"/>
  <c r="E1447" i="1"/>
  <c r="F1447" i="1"/>
  <c r="G1447" i="1"/>
  <c r="H1447" i="1"/>
  <c r="I1447" i="1"/>
  <c r="J1447" i="1"/>
  <c r="K1447" i="1"/>
  <c r="L1447" i="1"/>
  <c r="A1448" i="1"/>
  <c r="B1448" i="1"/>
  <c r="C1448" i="1"/>
  <c r="D1448" i="1"/>
  <c r="E1448" i="1"/>
  <c r="F1448" i="1"/>
  <c r="G1448" i="1"/>
  <c r="H1448" i="1"/>
  <c r="I1448" i="1"/>
  <c r="J1448" i="1"/>
  <c r="K1448" i="1"/>
  <c r="L1448" i="1"/>
  <c r="A1449" i="1"/>
  <c r="B1449" i="1"/>
  <c r="C1449" i="1"/>
  <c r="D1449" i="1"/>
  <c r="E1449" i="1"/>
  <c r="F1449" i="1"/>
  <c r="G1449" i="1"/>
  <c r="H1449" i="1"/>
  <c r="I1449" i="1"/>
  <c r="J1449" i="1"/>
  <c r="K1449" i="1"/>
  <c r="L1449" i="1"/>
  <c r="A1450" i="1"/>
  <c r="B1450" i="1"/>
  <c r="C1450" i="1"/>
  <c r="D1450" i="1"/>
  <c r="E1450" i="1"/>
  <c r="F1450" i="1"/>
  <c r="G1450" i="1"/>
  <c r="H1450" i="1"/>
  <c r="I1450" i="1"/>
  <c r="J1450" i="1"/>
  <c r="K1450" i="1"/>
  <c r="L1450" i="1"/>
  <c r="A1451" i="1"/>
  <c r="B1451" i="1"/>
  <c r="C1451" i="1"/>
  <c r="D1451" i="1"/>
  <c r="E1451" i="1"/>
  <c r="F1451" i="1"/>
  <c r="G1451" i="1"/>
  <c r="H1451" i="1"/>
  <c r="I1451" i="1"/>
  <c r="J1451" i="1"/>
  <c r="K1451" i="1"/>
  <c r="L1451" i="1"/>
  <c r="A1452" i="1"/>
  <c r="B1452" i="1"/>
  <c r="C1452" i="1"/>
  <c r="D1452" i="1"/>
  <c r="E1452" i="1"/>
  <c r="F1452" i="1"/>
  <c r="G1452" i="1"/>
  <c r="H1452" i="1"/>
  <c r="I1452" i="1"/>
  <c r="J1452" i="1"/>
  <c r="K1452" i="1"/>
  <c r="L1452" i="1"/>
  <c r="A1453" i="1"/>
  <c r="B1453" i="1"/>
  <c r="C1453" i="1"/>
  <c r="D1453" i="1"/>
  <c r="E1453" i="1"/>
  <c r="F1453" i="1"/>
  <c r="G1453" i="1"/>
  <c r="H1453" i="1"/>
  <c r="I1453" i="1"/>
  <c r="J1453" i="1"/>
  <c r="K1453" i="1"/>
  <c r="L1453" i="1"/>
  <c r="A1454" i="1"/>
  <c r="B1454" i="1"/>
  <c r="C1454" i="1"/>
  <c r="D1454" i="1"/>
  <c r="E1454" i="1"/>
  <c r="F1454" i="1"/>
  <c r="G1454" i="1"/>
  <c r="H1454" i="1"/>
  <c r="I1454" i="1"/>
  <c r="J1454" i="1"/>
  <c r="K1454" i="1"/>
  <c r="L1454" i="1"/>
  <c r="A1455" i="1"/>
  <c r="B1455" i="1"/>
  <c r="C1455" i="1"/>
  <c r="D1455" i="1"/>
  <c r="E1455" i="1"/>
  <c r="F1455" i="1"/>
  <c r="G1455" i="1"/>
  <c r="H1455" i="1"/>
  <c r="I1455" i="1"/>
  <c r="J1455" i="1"/>
  <c r="K1455" i="1"/>
  <c r="L1455" i="1"/>
  <c r="A1456" i="1"/>
  <c r="B1456" i="1"/>
  <c r="C1456" i="1"/>
  <c r="D1456" i="1"/>
  <c r="E1456" i="1"/>
  <c r="F1456" i="1"/>
  <c r="G1456" i="1"/>
  <c r="H1456" i="1"/>
  <c r="I1456" i="1"/>
  <c r="J1456" i="1"/>
  <c r="K1456" i="1"/>
  <c r="L1456" i="1"/>
  <c r="A1457" i="1"/>
  <c r="B1457" i="1"/>
  <c r="C1457" i="1"/>
  <c r="D1457" i="1"/>
  <c r="E1457" i="1"/>
  <c r="F1457" i="1"/>
  <c r="G1457" i="1"/>
  <c r="H1457" i="1"/>
  <c r="I1457" i="1"/>
  <c r="J1457" i="1"/>
  <c r="K1457" i="1"/>
  <c r="L1457" i="1"/>
  <c r="A1458" i="1"/>
  <c r="B1458" i="1"/>
  <c r="C1458" i="1"/>
  <c r="D1458" i="1"/>
  <c r="E1458" i="1"/>
  <c r="F1458" i="1"/>
  <c r="G1458" i="1"/>
  <c r="H1458" i="1"/>
  <c r="I1458" i="1"/>
  <c r="J1458" i="1"/>
  <c r="K1458" i="1"/>
  <c r="L1458" i="1"/>
  <c r="A1459" i="1"/>
  <c r="B1459" i="1"/>
  <c r="C1459" i="1"/>
  <c r="D1459" i="1"/>
  <c r="E1459" i="1"/>
  <c r="F1459" i="1"/>
  <c r="G1459" i="1"/>
  <c r="H1459" i="1"/>
  <c r="I1459" i="1"/>
  <c r="J1459" i="1"/>
  <c r="K1459" i="1"/>
  <c r="L1459" i="1"/>
  <c r="A1460" i="1"/>
  <c r="B1460" i="1"/>
  <c r="C1460" i="1"/>
  <c r="D1460" i="1"/>
  <c r="E1460" i="1"/>
  <c r="F1460" i="1"/>
  <c r="G1460" i="1"/>
  <c r="H1460" i="1"/>
  <c r="I1460" i="1"/>
  <c r="J1460" i="1"/>
  <c r="K1460" i="1"/>
  <c r="L1460" i="1"/>
  <c r="A1461" i="1"/>
  <c r="B1461" i="1"/>
  <c r="C1461" i="1"/>
  <c r="D1461" i="1"/>
  <c r="E1461" i="1"/>
  <c r="F1461" i="1"/>
  <c r="G1461" i="1"/>
  <c r="H1461" i="1"/>
  <c r="I1461" i="1"/>
  <c r="J1461" i="1"/>
  <c r="K1461" i="1"/>
  <c r="L1461" i="1"/>
  <c r="A1462" i="1"/>
  <c r="B1462" i="1"/>
  <c r="C1462" i="1"/>
  <c r="D1462" i="1"/>
  <c r="E1462" i="1"/>
  <c r="F1462" i="1"/>
  <c r="G1462" i="1"/>
  <c r="H1462" i="1"/>
  <c r="I1462" i="1"/>
  <c r="J1462" i="1"/>
  <c r="K1462" i="1"/>
  <c r="L1462" i="1"/>
  <c r="A1463" i="1"/>
  <c r="B1463" i="1"/>
  <c r="C1463" i="1"/>
  <c r="D1463" i="1"/>
  <c r="E1463" i="1"/>
  <c r="F1463" i="1"/>
  <c r="G1463" i="1"/>
  <c r="H1463" i="1"/>
  <c r="I1463" i="1"/>
  <c r="J1463" i="1"/>
  <c r="K1463" i="1"/>
  <c r="L1463" i="1"/>
  <c r="A1464" i="1"/>
  <c r="B1464" i="1"/>
  <c r="C1464" i="1"/>
  <c r="D1464" i="1"/>
  <c r="E1464" i="1"/>
  <c r="F1464" i="1"/>
  <c r="G1464" i="1"/>
  <c r="H1464" i="1"/>
  <c r="I1464" i="1"/>
  <c r="J1464" i="1"/>
  <c r="K1464" i="1"/>
  <c r="L1464" i="1"/>
  <c r="A1465" i="1"/>
  <c r="B1465" i="1"/>
  <c r="C1465" i="1"/>
  <c r="D1465" i="1"/>
  <c r="E1465" i="1"/>
  <c r="F1465" i="1"/>
  <c r="G1465" i="1"/>
  <c r="H1465" i="1"/>
  <c r="I1465" i="1"/>
  <c r="J1465" i="1"/>
  <c r="K1465" i="1"/>
  <c r="L1465" i="1"/>
  <c r="A1466" i="1"/>
  <c r="B1466" i="1"/>
  <c r="C1466" i="1"/>
  <c r="D1466" i="1"/>
  <c r="E1466" i="1"/>
  <c r="F1466" i="1"/>
  <c r="G1466" i="1"/>
  <c r="H1466" i="1"/>
  <c r="I1466" i="1"/>
  <c r="J1466" i="1"/>
  <c r="K1466" i="1"/>
  <c r="L1466" i="1"/>
  <c r="A1467" i="1"/>
  <c r="B1467" i="1"/>
  <c r="C1467" i="1"/>
  <c r="D1467" i="1"/>
  <c r="E1467" i="1"/>
  <c r="F1467" i="1"/>
  <c r="G1467" i="1"/>
  <c r="H1467" i="1"/>
  <c r="I1467" i="1"/>
  <c r="J1467" i="1"/>
  <c r="K1467" i="1"/>
  <c r="L1467" i="1"/>
  <c r="A1468" i="1"/>
  <c r="B1468" i="1"/>
  <c r="C1468" i="1"/>
  <c r="D1468" i="1"/>
  <c r="E1468" i="1"/>
  <c r="F1468" i="1"/>
  <c r="G1468" i="1"/>
  <c r="H1468" i="1"/>
  <c r="I1468" i="1"/>
  <c r="J1468" i="1"/>
  <c r="K1468" i="1"/>
  <c r="L1468" i="1"/>
  <c r="A1469" i="1"/>
  <c r="B1469" i="1"/>
  <c r="C1469" i="1"/>
  <c r="D1469" i="1"/>
  <c r="E1469" i="1"/>
  <c r="F1469" i="1"/>
  <c r="G1469" i="1"/>
  <c r="H1469" i="1"/>
  <c r="I1469" i="1"/>
  <c r="J1469" i="1"/>
  <c r="K1469" i="1"/>
  <c r="L1469" i="1"/>
  <c r="A1470" i="1"/>
  <c r="B1470" i="1"/>
  <c r="C1470" i="1"/>
  <c r="D1470" i="1"/>
  <c r="E1470" i="1"/>
  <c r="F1470" i="1"/>
  <c r="G1470" i="1"/>
  <c r="H1470" i="1"/>
  <c r="I1470" i="1"/>
  <c r="J1470" i="1"/>
  <c r="K1470" i="1"/>
  <c r="L1470" i="1"/>
  <c r="A1471" i="1"/>
  <c r="B1471" i="1"/>
  <c r="C1471" i="1"/>
  <c r="D1471" i="1"/>
  <c r="E1471" i="1"/>
  <c r="F1471" i="1"/>
  <c r="G1471" i="1"/>
  <c r="H1471" i="1"/>
  <c r="I1471" i="1"/>
  <c r="J1471" i="1"/>
  <c r="K1471" i="1"/>
  <c r="L1471" i="1"/>
  <c r="A1472" i="1"/>
  <c r="B1472" i="1"/>
  <c r="C1472" i="1"/>
  <c r="D1472" i="1"/>
  <c r="E1472" i="1"/>
  <c r="F1472" i="1"/>
  <c r="G1472" i="1"/>
  <c r="H1472" i="1"/>
  <c r="I1472" i="1"/>
  <c r="J1472" i="1"/>
  <c r="K1472" i="1"/>
  <c r="L1472" i="1"/>
  <c r="A1473" i="1"/>
  <c r="B1473" i="1"/>
  <c r="C1473" i="1"/>
  <c r="D1473" i="1"/>
  <c r="E1473" i="1"/>
  <c r="F1473" i="1"/>
  <c r="G1473" i="1"/>
  <c r="H1473" i="1"/>
  <c r="I1473" i="1"/>
  <c r="J1473" i="1"/>
  <c r="K1473" i="1"/>
  <c r="L1473" i="1"/>
  <c r="A1474" i="1"/>
  <c r="B1474" i="1"/>
  <c r="C1474" i="1"/>
  <c r="D1474" i="1"/>
  <c r="E1474" i="1"/>
  <c r="F1474" i="1"/>
  <c r="G1474" i="1"/>
  <c r="H1474" i="1"/>
  <c r="I1474" i="1"/>
  <c r="J1474" i="1"/>
  <c r="K1474" i="1"/>
  <c r="L1474" i="1"/>
  <c r="A1475" i="1"/>
  <c r="B1475" i="1"/>
  <c r="C1475" i="1"/>
  <c r="D1475" i="1"/>
  <c r="E1475" i="1"/>
  <c r="F1475" i="1"/>
  <c r="G1475" i="1"/>
  <c r="H1475" i="1"/>
  <c r="I1475" i="1"/>
  <c r="J1475" i="1"/>
  <c r="K1475" i="1"/>
  <c r="L1475" i="1"/>
  <c r="A1476" i="1"/>
  <c r="B1476" i="1"/>
  <c r="C1476" i="1"/>
  <c r="D1476" i="1"/>
  <c r="E1476" i="1"/>
  <c r="F1476" i="1"/>
  <c r="G1476" i="1"/>
  <c r="H1476" i="1"/>
  <c r="I1476" i="1"/>
  <c r="J1476" i="1"/>
  <c r="K1476" i="1"/>
  <c r="L1476" i="1"/>
  <c r="A1477" i="1"/>
  <c r="B1477" i="1"/>
  <c r="C1477" i="1"/>
  <c r="D1477" i="1"/>
  <c r="E1477" i="1"/>
  <c r="F1477" i="1"/>
  <c r="G1477" i="1"/>
  <c r="H1477" i="1"/>
  <c r="I1477" i="1"/>
  <c r="J1477" i="1"/>
  <c r="K1477" i="1"/>
  <c r="L1477" i="1"/>
  <c r="A1478" i="1"/>
  <c r="B1478" i="1"/>
  <c r="C1478" i="1"/>
  <c r="D1478" i="1"/>
  <c r="E1478" i="1"/>
  <c r="F1478" i="1"/>
  <c r="G1478" i="1"/>
  <c r="H1478" i="1"/>
  <c r="I1478" i="1"/>
  <c r="J1478" i="1"/>
  <c r="K1478" i="1"/>
  <c r="L1478" i="1"/>
  <c r="A1479" i="1"/>
  <c r="B1479" i="1"/>
  <c r="C1479" i="1"/>
  <c r="D1479" i="1"/>
  <c r="E1479" i="1"/>
  <c r="F1479" i="1"/>
  <c r="G1479" i="1"/>
  <c r="H1479" i="1"/>
  <c r="I1479" i="1"/>
  <c r="J1479" i="1"/>
  <c r="K1479" i="1"/>
  <c r="L1479" i="1"/>
  <c r="A1480" i="1"/>
  <c r="B1480" i="1"/>
  <c r="C1480" i="1"/>
  <c r="D1480" i="1"/>
  <c r="E1480" i="1"/>
  <c r="F1480" i="1"/>
  <c r="G1480" i="1"/>
  <c r="H1480" i="1"/>
  <c r="I1480" i="1"/>
  <c r="J1480" i="1"/>
  <c r="K1480" i="1"/>
  <c r="L1480" i="1"/>
  <c r="A1481" i="1"/>
  <c r="B1481" i="1"/>
  <c r="C1481" i="1"/>
  <c r="D1481" i="1"/>
  <c r="E1481" i="1"/>
  <c r="F1481" i="1"/>
  <c r="G1481" i="1"/>
  <c r="H1481" i="1"/>
  <c r="I1481" i="1"/>
  <c r="J1481" i="1"/>
  <c r="K1481" i="1"/>
  <c r="L1481" i="1"/>
  <c r="A1482" i="1"/>
  <c r="B1482" i="1"/>
  <c r="C1482" i="1"/>
  <c r="D1482" i="1"/>
  <c r="E1482" i="1"/>
  <c r="F1482" i="1"/>
  <c r="G1482" i="1"/>
  <c r="H1482" i="1"/>
  <c r="I1482" i="1"/>
  <c r="J1482" i="1"/>
  <c r="K1482" i="1"/>
  <c r="L1482" i="1"/>
  <c r="A1483" i="1"/>
  <c r="B1483" i="1"/>
  <c r="C1483" i="1"/>
  <c r="D1483" i="1"/>
  <c r="E1483" i="1"/>
  <c r="F1483" i="1"/>
  <c r="G1483" i="1"/>
  <c r="H1483" i="1"/>
  <c r="I1483" i="1"/>
  <c r="J1483" i="1"/>
  <c r="K1483" i="1"/>
  <c r="L1483" i="1"/>
  <c r="A1484" i="1"/>
  <c r="B1484" i="1"/>
  <c r="C1484" i="1"/>
  <c r="D1484" i="1"/>
  <c r="E1484" i="1"/>
  <c r="F1484" i="1"/>
  <c r="G1484" i="1"/>
  <c r="H1484" i="1"/>
  <c r="I1484" i="1"/>
  <c r="J1484" i="1"/>
  <c r="K1484" i="1"/>
  <c r="L1484" i="1"/>
  <c r="A1485" i="1"/>
  <c r="B1485" i="1"/>
  <c r="C1485" i="1"/>
  <c r="D1485" i="1"/>
  <c r="E1485" i="1"/>
  <c r="F1485" i="1"/>
  <c r="G1485" i="1"/>
  <c r="H1485" i="1"/>
  <c r="I1485" i="1"/>
  <c r="J1485" i="1"/>
  <c r="K1485" i="1"/>
  <c r="L1485" i="1"/>
  <c r="A1486" i="1"/>
  <c r="B1486" i="1"/>
  <c r="C1486" i="1"/>
  <c r="D1486" i="1"/>
  <c r="E1486" i="1"/>
  <c r="F1486" i="1"/>
  <c r="G1486" i="1"/>
  <c r="H1486" i="1"/>
  <c r="I1486" i="1"/>
  <c r="J1486" i="1"/>
  <c r="K1486" i="1"/>
  <c r="L1486" i="1"/>
  <c r="A1487" i="1"/>
  <c r="B1487" i="1"/>
  <c r="C1487" i="1"/>
  <c r="D1487" i="1"/>
  <c r="E1487" i="1"/>
  <c r="F1487" i="1"/>
  <c r="G1487" i="1"/>
  <c r="H1487" i="1"/>
  <c r="I1487" i="1"/>
  <c r="J1487" i="1"/>
  <c r="K1487" i="1"/>
  <c r="L1487" i="1"/>
  <c r="A1488" i="1"/>
  <c r="B1488" i="1"/>
  <c r="C1488" i="1"/>
  <c r="D1488" i="1"/>
  <c r="E1488" i="1"/>
  <c r="F1488" i="1"/>
  <c r="G1488" i="1"/>
  <c r="H1488" i="1"/>
  <c r="I1488" i="1"/>
  <c r="J1488" i="1"/>
  <c r="K1488" i="1"/>
  <c r="L1488" i="1"/>
  <c r="A1489" i="1"/>
  <c r="B1489" i="1"/>
  <c r="C1489" i="1"/>
  <c r="D1489" i="1"/>
  <c r="E1489" i="1"/>
  <c r="F1489" i="1"/>
  <c r="G1489" i="1"/>
  <c r="H1489" i="1"/>
  <c r="I1489" i="1"/>
  <c r="J1489" i="1"/>
  <c r="K1489" i="1"/>
  <c r="L1489" i="1"/>
  <c r="A1490" i="1"/>
  <c r="B1490" i="1"/>
  <c r="C1490" i="1"/>
  <c r="D1490" i="1"/>
  <c r="E1490" i="1"/>
  <c r="F1490" i="1"/>
  <c r="G1490" i="1"/>
  <c r="H1490" i="1"/>
  <c r="I1490" i="1"/>
  <c r="J1490" i="1"/>
  <c r="K1490" i="1"/>
  <c r="L1490" i="1"/>
  <c r="A1491" i="1"/>
  <c r="B1491" i="1"/>
  <c r="C1491" i="1"/>
  <c r="D1491" i="1"/>
  <c r="E1491" i="1"/>
  <c r="F1491" i="1"/>
  <c r="G1491" i="1"/>
  <c r="H1491" i="1"/>
  <c r="I1491" i="1"/>
  <c r="J1491" i="1"/>
  <c r="K1491" i="1"/>
  <c r="L1491" i="1"/>
  <c r="A1492" i="1"/>
  <c r="B1492" i="1"/>
  <c r="C1492" i="1"/>
  <c r="D1492" i="1"/>
  <c r="E1492" i="1"/>
  <c r="F1492" i="1"/>
  <c r="G1492" i="1"/>
  <c r="H1492" i="1"/>
  <c r="I1492" i="1"/>
  <c r="J1492" i="1"/>
  <c r="K1492" i="1"/>
  <c r="L1492" i="1"/>
  <c r="A1493" i="1"/>
  <c r="B1493" i="1"/>
  <c r="C1493" i="1"/>
  <c r="D1493" i="1"/>
  <c r="E1493" i="1"/>
  <c r="F1493" i="1"/>
  <c r="G1493" i="1"/>
  <c r="H1493" i="1"/>
  <c r="I1493" i="1"/>
  <c r="J1493" i="1"/>
  <c r="K1493" i="1"/>
  <c r="L1493" i="1"/>
  <c r="A1494" i="1"/>
  <c r="B1494" i="1"/>
  <c r="C1494" i="1"/>
  <c r="D1494" i="1"/>
  <c r="E1494" i="1"/>
  <c r="F1494" i="1"/>
  <c r="G1494" i="1"/>
  <c r="H1494" i="1"/>
  <c r="I1494" i="1"/>
  <c r="J1494" i="1"/>
  <c r="K1494" i="1"/>
  <c r="L1494" i="1"/>
  <c r="A1495" i="1"/>
  <c r="B1495" i="1"/>
  <c r="C1495" i="1"/>
  <c r="D1495" i="1"/>
  <c r="E1495" i="1"/>
  <c r="F1495" i="1"/>
  <c r="G1495" i="1"/>
  <c r="H1495" i="1"/>
  <c r="I1495" i="1"/>
  <c r="J1495" i="1"/>
  <c r="K1495" i="1"/>
  <c r="L1495" i="1"/>
  <c r="A1496" i="1"/>
  <c r="B1496" i="1"/>
  <c r="C1496" i="1"/>
  <c r="D1496" i="1"/>
  <c r="E1496" i="1"/>
  <c r="F1496" i="1"/>
  <c r="G1496" i="1"/>
  <c r="H1496" i="1"/>
  <c r="I1496" i="1"/>
  <c r="J1496" i="1"/>
  <c r="K1496" i="1"/>
  <c r="L1496" i="1"/>
  <c r="A1497" i="1"/>
  <c r="B1497" i="1"/>
  <c r="C1497" i="1"/>
  <c r="D1497" i="1"/>
  <c r="E1497" i="1"/>
  <c r="F1497" i="1"/>
  <c r="G1497" i="1"/>
  <c r="H1497" i="1"/>
  <c r="I1497" i="1"/>
  <c r="J1497" i="1"/>
  <c r="K1497" i="1"/>
  <c r="L1497" i="1"/>
  <c r="A1498" i="1"/>
  <c r="B1498" i="1"/>
  <c r="C1498" i="1"/>
  <c r="D1498" i="1"/>
  <c r="E1498" i="1"/>
  <c r="F1498" i="1"/>
  <c r="G1498" i="1"/>
  <c r="H1498" i="1"/>
  <c r="I1498" i="1"/>
  <c r="J1498" i="1"/>
  <c r="K1498" i="1"/>
  <c r="L1498" i="1"/>
  <c r="A1499" i="1"/>
  <c r="B1499" i="1"/>
  <c r="C1499" i="1"/>
  <c r="D1499" i="1"/>
  <c r="E1499" i="1"/>
  <c r="F1499" i="1"/>
  <c r="G1499" i="1"/>
  <c r="H1499" i="1"/>
  <c r="I1499" i="1"/>
  <c r="J1499" i="1"/>
  <c r="K1499" i="1"/>
  <c r="L1499" i="1"/>
  <c r="A1500" i="1"/>
  <c r="B1500" i="1"/>
  <c r="C1500" i="1"/>
  <c r="D1500" i="1"/>
  <c r="E1500" i="1"/>
  <c r="F1500" i="1"/>
  <c r="G1500" i="1"/>
  <c r="H1500" i="1"/>
  <c r="I1500" i="1"/>
  <c r="J1500" i="1"/>
  <c r="K1500" i="1"/>
  <c r="L1500" i="1"/>
  <c r="A1501" i="1"/>
  <c r="B1501" i="1"/>
  <c r="C1501" i="1"/>
  <c r="D1501" i="1"/>
  <c r="E1501" i="1"/>
  <c r="F1501" i="1"/>
  <c r="G1501" i="1"/>
  <c r="H1501" i="1"/>
  <c r="I1501" i="1"/>
  <c r="J1501" i="1"/>
  <c r="K1501" i="1"/>
  <c r="L1501" i="1"/>
  <c r="A1502" i="1"/>
  <c r="B1502" i="1"/>
  <c r="C1502" i="1"/>
  <c r="D1502" i="1"/>
  <c r="E1502" i="1"/>
  <c r="F1502" i="1"/>
  <c r="G1502" i="1"/>
  <c r="H1502" i="1"/>
  <c r="I1502" i="1"/>
  <c r="J1502" i="1"/>
  <c r="K1502" i="1"/>
  <c r="L1502" i="1"/>
  <c r="A1503" i="1"/>
  <c r="B1503" i="1"/>
  <c r="C1503" i="1"/>
  <c r="D1503" i="1"/>
  <c r="E1503" i="1"/>
  <c r="F1503" i="1"/>
  <c r="G1503" i="1"/>
  <c r="H1503" i="1"/>
  <c r="I1503" i="1"/>
  <c r="J1503" i="1"/>
  <c r="K1503" i="1"/>
  <c r="L1503" i="1"/>
  <c r="A1504" i="1"/>
  <c r="B1504" i="1"/>
  <c r="C1504" i="1"/>
  <c r="D1504" i="1"/>
  <c r="E1504" i="1"/>
  <c r="F1504" i="1"/>
  <c r="G1504" i="1"/>
  <c r="H1504" i="1"/>
  <c r="I1504" i="1"/>
  <c r="J1504" i="1"/>
  <c r="K1504" i="1"/>
  <c r="L1504" i="1"/>
  <c r="A1505" i="1"/>
  <c r="B1505" i="1"/>
  <c r="C1505" i="1"/>
  <c r="D1505" i="1"/>
  <c r="E1505" i="1"/>
  <c r="F1505" i="1"/>
  <c r="G1505" i="1"/>
  <c r="H1505" i="1"/>
  <c r="I1505" i="1"/>
  <c r="J1505" i="1"/>
  <c r="K1505" i="1"/>
  <c r="L1505" i="1"/>
  <c r="A1506" i="1"/>
  <c r="B1506" i="1"/>
  <c r="C1506" i="1"/>
  <c r="D1506" i="1"/>
  <c r="E1506" i="1"/>
  <c r="F1506" i="1"/>
  <c r="G1506" i="1"/>
  <c r="H1506" i="1"/>
  <c r="I1506" i="1"/>
  <c r="J1506" i="1"/>
  <c r="K1506" i="1"/>
  <c r="L1506" i="1"/>
  <c r="A1507" i="1"/>
  <c r="B1507" i="1"/>
  <c r="C1507" i="1"/>
  <c r="D1507" i="1"/>
  <c r="E1507" i="1"/>
  <c r="F1507" i="1"/>
  <c r="G1507" i="1"/>
  <c r="H1507" i="1"/>
  <c r="I1507" i="1"/>
  <c r="J1507" i="1"/>
  <c r="K1507" i="1"/>
  <c r="L1507" i="1"/>
  <c r="A1508" i="1"/>
  <c r="B1508" i="1"/>
  <c r="C1508" i="1"/>
  <c r="D1508" i="1"/>
  <c r="E1508" i="1"/>
  <c r="F1508" i="1"/>
  <c r="G1508" i="1"/>
  <c r="H1508" i="1"/>
  <c r="I1508" i="1"/>
  <c r="J1508" i="1"/>
  <c r="K1508" i="1"/>
  <c r="L1508" i="1"/>
  <c r="A1509" i="1"/>
  <c r="B1509" i="1"/>
  <c r="C1509" i="1"/>
  <c r="D1509" i="1"/>
  <c r="E1509" i="1"/>
  <c r="F1509" i="1"/>
  <c r="G1509" i="1"/>
  <c r="H1509" i="1"/>
  <c r="I1509" i="1"/>
  <c r="J1509" i="1"/>
  <c r="K1509" i="1"/>
  <c r="L1509" i="1"/>
  <c r="A1510" i="1"/>
  <c r="B1510" i="1"/>
  <c r="C1510" i="1"/>
  <c r="D1510" i="1"/>
  <c r="E1510" i="1"/>
  <c r="F1510" i="1"/>
  <c r="G1510" i="1"/>
  <c r="H1510" i="1"/>
  <c r="I1510" i="1"/>
  <c r="J1510" i="1"/>
  <c r="K1510" i="1"/>
  <c r="L1510" i="1"/>
  <c r="A1511" i="1"/>
  <c r="B1511" i="1"/>
  <c r="C1511" i="1"/>
  <c r="D1511" i="1"/>
  <c r="E1511" i="1"/>
  <c r="F1511" i="1"/>
  <c r="G1511" i="1"/>
  <c r="H1511" i="1"/>
  <c r="I1511" i="1"/>
  <c r="J1511" i="1"/>
  <c r="K1511" i="1"/>
  <c r="L1511" i="1"/>
  <c r="A1512" i="1"/>
  <c r="B1512" i="1"/>
  <c r="C1512" i="1"/>
  <c r="D1512" i="1"/>
  <c r="E1512" i="1"/>
  <c r="F1512" i="1"/>
  <c r="G1512" i="1"/>
  <c r="H1512" i="1"/>
  <c r="I1512" i="1"/>
  <c r="J1512" i="1"/>
  <c r="K1512" i="1"/>
  <c r="L1512" i="1"/>
  <c r="A1513" i="1"/>
  <c r="B1513" i="1"/>
  <c r="C1513" i="1"/>
  <c r="D1513" i="1"/>
  <c r="E1513" i="1"/>
  <c r="F1513" i="1"/>
  <c r="G1513" i="1"/>
  <c r="H1513" i="1"/>
  <c r="I1513" i="1"/>
  <c r="J1513" i="1"/>
  <c r="K1513" i="1"/>
  <c r="L1513" i="1"/>
  <c r="A1514" i="1"/>
  <c r="B1514" i="1"/>
  <c r="C1514" i="1"/>
  <c r="D1514" i="1"/>
  <c r="E1514" i="1"/>
  <c r="F1514" i="1"/>
  <c r="G1514" i="1"/>
  <c r="H1514" i="1"/>
  <c r="I1514" i="1"/>
  <c r="J1514" i="1"/>
  <c r="K1514" i="1"/>
  <c r="L1514" i="1"/>
  <c r="A1515" i="1"/>
  <c r="B1515" i="1"/>
  <c r="C1515" i="1"/>
  <c r="D1515" i="1"/>
  <c r="E1515" i="1"/>
  <c r="F1515" i="1"/>
  <c r="G1515" i="1"/>
  <c r="H1515" i="1"/>
  <c r="I1515" i="1"/>
  <c r="J1515" i="1"/>
  <c r="K1515" i="1"/>
  <c r="L1515" i="1"/>
  <c r="A1516" i="1"/>
  <c r="B1516" i="1"/>
  <c r="C1516" i="1"/>
  <c r="D1516" i="1"/>
  <c r="E1516" i="1"/>
  <c r="F1516" i="1"/>
  <c r="G1516" i="1"/>
  <c r="H1516" i="1"/>
  <c r="I1516" i="1"/>
  <c r="J1516" i="1"/>
  <c r="K1516" i="1"/>
  <c r="L1516" i="1"/>
  <c r="A1517" i="1"/>
  <c r="B1517" i="1"/>
  <c r="C1517" i="1"/>
  <c r="D1517" i="1"/>
  <c r="E1517" i="1"/>
  <c r="F1517" i="1"/>
  <c r="G1517" i="1"/>
  <c r="H1517" i="1"/>
  <c r="I1517" i="1"/>
  <c r="J1517" i="1"/>
  <c r="K1517" i="1"/>
  <c r="L1517" i="1"/>
  <c r="A1518" i="1"/>
  <c r="B1518" i="1"/>
  <c r="C1518" i="1"/>
  <c r="D1518" i="1"/>
  <c r="E1518" i="1"/>
  <c r="F1518" i="1"/>
  <c r="G1518" i="1"/>
  <c r="H1518" i="1"/>
  <c r="I1518" i="1"/>
  <c r="J1518" i="1"/>
  <c r="K1518" i="1"/>
  <c r="L1518" i="1"/>
  <c r="A1519" i="1"/>
  <c r="B1519" i="1"/>
  <c r="C1519" i="1"/>
  <c r="D1519" i="1"/>
  <c r="E1519" i="1"/>
  <c r="F1519" i="1"/>
  <c r="G1519" i="1"/>
  <c r="H1519" i="1"/>
  <c r="I1519" i="1"/>
  <c r="J1519" i="1"/>
  <c r="K1519" i="1"/>
  <c r="L1519" i="1"/>
  <c r="A1520" i="1"/>
  <c r="B1520" i="1"/>
  <c r="C1520" i="1"/>
  <c r="D1520" i="1"/>
  <c r="E1520" i="1"/>
  <c r="F1520" i="1"/>
  <c r="G1520" i="1"/>
  <c r="H1520" i="1"/>
  <c r="I1520" i="1"/>
  <c r="J1520" i="1"/>
  <c r="K1520" i="1"/>
  <c r="L1520" i="1"/>
  <c r="A1521" i="1"/>
  <c r="B1521" i="1"/>
  <c r="C1521" i="1"/>
  <c r="D1521" i="1"/>
  <c r="E1521" i="1"/>
  <c r="F1521" i="1"/>
  <c r="G1521" i="1"/>
  <c r="H1521" i="1"/>
  <c r="I1521" i="1"/>
  <c r="J1521" i="1"/>
  <c r="K1521" i="1"/>
  <c r="L1521" i="1"/>
  <c r="A1522" i="1"/>
  <c r="B1522" i="1"/>
  <c r="C1522" i="1"/>
  <c r="D1522" i="1"/>
  <c r="E1522" i="1"/>
  <c r="F1522" i="1"/>
  <c r="G1522" i="1"/>
  <c r="H1522" i="1"/>
  <c r="I1522" i="1"/>
  <c r="J1522" i="1"/>
  <c r="K1522" i="1"/>
  <c r="L1522" i="1"/>
  <c r="A1523" i="1"/>
  <c r="B1523" i="1"/>
  <c r="C1523" i="1"/>
  <c r="D1523" i="1"/>
  <c r="E1523" i="1"/>
  <c r="F1523" i="1"/>
  <c r="G1523" i="1"/>
  <c r="H1523" i="1"/>
  <c r="I1523" i="1"/>
  <c r="J1523" i="1"/>
  <c r="K1523" i="1"/>
  <c r="L1523" i="1"/>
  <c r="A1524" i="1"/>
  <c r="B1524" i="1"/>
  <c r="C1524" i="1"/>
  <c r="D1524" i="1"/>
  <c r="E1524" i="1"/>
  <c r="F1524" i="1"/>
  <c r="G1524" i="1"/>
  <c r="H1524" i="1"/>
  <c r="I1524" i="1"/>
  <c r="J1524" i="1"/>
  <c r="K1524" i="1"/>
  <c r="L1524" i="1"/>
  <c r="A1525" i="1"/>
  <c r="B1525" i="1"/>
  <c r="C1525" i="1"/>
  <c r="D1525" i="1"/>
  <c r="E1525" i="1"/>
  <c r="F1525" i="1"/>
  <c r="G1525" i="1"/>
  <c r="H1525" i="1"/>
  <c r="I1525" i="1"/>
  <c r="J1525" i="1"/>
  <c r="K1525" i="1"/>
  <c r="L1525" i="1"/>
  <c r="A1526" i="1"/>
  <c r="B1526" i="1"/>
  <c r="C1526" i="1"/>
  <c r="D1526" i="1"/>
  <c r="E1526" i="1"/>
  <c r="F1526" i="1"/>
  <c r="G1526" i="1"/>
  <c r="H1526" i="1"/>
  <c r="I1526" i="1"/>
  <c r="J1526" i="1"/>
  <c r="K1526" i="1"/>
  <c r="L1526" i="1"/>
  <c r="A1527" i="1"/>
  <c r="B1527" i="1"/>
  <c r="C1527" i="1"/>
  <c r="D1527" i="1"/>
  <c r="E1527" i="1"/>
  <c r="F1527" i="1"/>
  <c r="G1527" i="1"/>
  <c r="H1527" i="1"/>
  <c r="I1527" i="1"/>
  <c r="J1527" i="1"/>
  <c r="K1527" i="1"/>
  <c r="L1527" i="1"/>
  <c r="A1528" i="1"/>
  <c r="B1528" i="1"/>
  <c r="C1528" i="1"/>
  <c r="D1528" i="1"/>
  <c r="E1528" i="1"/>
  <c r="F1528" i="1"/>
  <c r="G1528" i="1"/>
  <c r="H1528" i="1"/>
  <c r="I1528" i="1"/>
  <c r="J1528" i="1"/>
  <c r="K1528" i="1"/>
  <c r="L1528" i="1"/>
  <c r="A1529" i="1"/>
  <c r="B1529" i="1"/>
  <c r="C1529" i="1"/>
  <c r="D1529" i="1"/>
  <c r="E1529" i="1"/>
  <c r="F1529" i="1"/>
  <c r="G1529" i="1"/>
  <c r="H1529" i="1"/>
  <c r="I1529" i="1"/>
  <c r="J1529" i="1"/>
  <c r="K1529" i="1"/>
  <c r="L1529" i="1"/>
  <c r="A1530" i="1"/>
  <c r="B1530" i="1"/>
  <c r="C1530" i="1"/>
  <c r="D1530" i="1"/>
  <c r="E1530" i="1"/>
  <c r="F1530" i="1"/>
  <c r="G1530" i="1"/>
  <c r="H1530" i="1"/>
  <c r="I1530" i="1"/>
  <c r="J1530" i="1"/>
  <c r="K1530" i="1"/>
  <c r="L1530" i="1"/>
  <c r="A1531" i="1"/>
  <c r="B1531" i="1"/>
  <c r="C1531" i="1"/>
  <c r="D1531" i="1"/>
  <c r="E1531" i="1"/>
  <c r="F1531" i="1"/>
  <c r="G1531" i="1"/>
  <c r="H1531" i="1"/>
  <c r="I1531" i="1"/>
  <c r="J1531" i="1"/>
  <c r="K1531" i="1"/>
  <c r="L1531" i="1"/>
  <c r="A1532" i="1"/>
  <c r="B1532" i="1"/>
  <c r="C1532" i="1"/>
  <c r="D1532" i="1"/>
  <c r="E1532" i="1"/>
  <c r="F1532" i="1"/>
  <c r="G1532" i="1"/>
  <c r="H1532" i="1"/>
  <c r="I1532" i="1"/>
  <c r="J1532" i="1"/>
  <c r="K1532" i="1"/>
  <c r="L1532" i="1"/>
  <c r="A1533" i="1"/>
  <c r="B1533" i="1"/>
  <c r="C1533" i="1"/>
  <c r="D1533" i="1"/>
  <c r="E1533" i="1"/>
  <c r="F1533" i="1"/>
  <c r="G1533" i="1"/>
  <c r="H1533" i="1"/>
  <c r="I1533" i="1"/>
  <c r="J1533" i="1"/>
  <c r="K1533" i="1"/>
  <c r="L1533" i="1"/>
  <c r="A1534" i="1"/>
  <c r="B1534" i="1"/>
  <c r="C1534" i="1"/>
  <c r="D1534" i="1"/>
  <c r="E1534" i="1"/>
  <c r="F1534" i="1"/>
  <c r="G1534" i="1"/>
  <c r="H1534" i="1"/>
  <c r="I1534" i="1"/>
  <c r="J1534" i="1"/>
  <c r="K1534" i="1"/>
  <c r="L1534" i="1"/>
  <c r="A1535" i="1"/>
  <c r="B1535" i="1"/>
  <c r="C1535" i="1"/>
  <c r="D1535" i="1"/>
  <c r="E1535" i="1"/>
  <c r="F1535" i="1"/>
  <c r="G1535" i="1"/>
  <c r="H1535" i="1"/>
  <c r="I1535" i="1"/>
  <c r="J1535" i="1"/>
  <c r="K1535" i="1"/>
  <c r="L1535" i="1"/>
  <c r="A1536" i="1"/>
  <c r="B1536" i="1"/>
  <c r="C1536" i="1"/>
  <c r="D1536" i="1"/>
  <c r="E1536" i="1"/>
  <c r="F1536" i="1"/>
  <c r="G1536" i="1"/>
  <c r="H1536" i="1"/>
  <c r="I1536" i="1"/>
  <c r="J1536" i="1"/>
  <c r="K1536" i="1"/>
  <c r="L1536" i="1"/>
  <c r="A1537" i="1"/>
  <c r="B1537" i="1"/>
  <c r="C1537" i="1"/>
  <c r="D1537" i="1"/>
  <c r="E1537" i="1"/>
  <c r="F1537" i="1"/>
  <c r="G1537" i="1"/>
  <c r="H1537" i="1"/>
  <c r="I1537" i="1"/>
  <c r="J1537" i="1"/>
  <c r="K1537" i="1"/>
  <c r="L1537" i="1"/>
  <c r="A1538" i="1"/>
  <c r="B1538" i="1"/>
  <c r="C1538" i="1"/>
  <c r="D1538" i="1"/>
  <c r="E1538" i="1"/>
  <c r="F1538" i="1"/>
  <c r="G1538" i="1"/>
  <c r="H1538" i="1"/>
  <c r="I1538" i="1"/>
  <c r="J1538" i="1"/>
  <c r="K1538" i="1"/>
  <c r="L1538" i="1"/>
  <c r="A1539" i="1"/>
  <c r="B1539" i="1"/>
  <c r="C1539" i="1"/>
  <c r="D1539" i="1"/>
  <c r="E1539" i="1"/>
  <c r="F1539" i="1"/>
  <c r="G1539" i="1"/>
  <c r="H1539" i="1"/>
  <c r="I1539" i="1"/>
  <c r="J1539" i="1"/>
  <c r="K1539" i="1"/>
  <c r="L1539" i="1"/>
  <c r="A1540" i="1"/>
  <c r="B1540" i="1"/>
  <c r="C1540" i="1"/>
  <c r="D1540" i="1"/>
  <c r="E1540" i="1"/>
  <c r="F1540" i="1"/>
  <c r="G1540" i="1"/>
  <c r="H1540" i="1"/>
  <c r="I1540" i="1"/>
  <c r="J1540" i="1"/>
  <c r="K1540" i="1"/>
  <c r="L1540" i="1"/>
  <c r="A1541" i="1"/>
  <c r="B1541" i="1"/>
  <c r="C1541" i="1"/>
  <c r="D1541" i="1"/>
  <c r="E1541" i="1"/>
  <c r="F1541" i="1"/>
  <c r="G1541" i="1"/>
  <c r="H1541" i="1"/>
  <c r="I1541" i="1"/>
  <c r="J1541" i="1"/>
  <c r="K1541" i="1"/>
  <c r="L1541" i="1"/>
  <c r="A1542" i="1"/>
  <c r="B1542" i="1"/>
  <c r="C1542" i="1"/>
  <c r="D1542" i="1"/>
  <c r="E1542" i="1"/>
  <c r="F1542" i="1"/>
  <c r="G1542" i="1"/>
  <c r="H1542" i="1"/>
  <c r="I1542" i="1"/>
  <c r="J1542" i="1"/>
  <c r="K1542" i="1"/>
  <c r="L1542" i="1"/>
  <c r="A1543" i="1"/>
  <c r="B1543" i="1"/>
  <c r="C1543" i="1"/>
  <c r="D1543" i="1"/>
  <c r="E1543" i="1"/>
  <c r="F1543" i="1"/>
  <c r="G1543" i="1"/>
  <c r="H1543" i="1"/>
  <c r="I1543" i="1"/>
  <c r="J1543" i="1"/>
  <c r="K1543" i="1"/>
  <c r="L1543" i="1"/>
  <c r="A1544" i="1"/>
  <c r="B1544" i="1"/>
  <c r="C1544" i="1"/>
  <c r="D1544" i="1"/>
  <c r="E1544" i="1"/>
  <c r="F1544" i="1"/>
  <c r="G1544" i="1"/>
  <c r="H1544" i="1"/>
  <c r="I1544" i="1"/>
  <c r="J1544" i="1"/>
  <c r="K1544" i="1"/>
  <c r="L1544" i="1"/>
  <c r="A1545" i="1"/>
  <c r="B1545" i="1"/>
  <c r="C1545" i="1"/>
  <c r="D1545" i="1"/>
  <c r="E1545" i="1"/>
  <c r="F1545" i="1"/>
  <c r="G1545" i="1"/>
  <c r="H1545" i="1"/>
  <c r="I1545" i="1"/>
  <c r="J1545" i="1"/>
  <c r="K1545" i="1"/>
  <c r="L1545" i="1"/>
  <c r="A1546" i="1"/>
  <c r="B1546" i="1"/>
  <c r="C1546" i="1"/>
  <c r="D1546" i="1"/>
  <c r="E1546" i="1"/>
  <c r="F1546" i="1"/>
  <c r="G1546" i="1"/>
  <c r="H1546" i="1"/>
  <c r="I1546" i="1"/>
  <c r="J1546" i="1"/>
  <c r="K1546" i="1"/>
  <c r="L1546" i="1"/>
  <c r="A1547" i="1"/>
  <c r="B1547" i="1"/>
  <c r="C1547" i="1"/>
  <c r="D1547" i="1"/>
  <c r="E1547" i="1"/>
  <c r="F1547" i="1"/>
  <c r="G1547" i="1"/>
  <c r="H1547" i="1"/>
  <c r="I1547" i="1"/>
  <c r="J1547" i="1"/>
  <c r="K1547" i="1"/>
  <c r="L1547" i="1"/>
  <c r="A1548" i="1"/>
  <c r="B1548" i="1"/>
  <c r="C1548" i="1"/>
  <c r="D1548" i="1"/>
  <c r="E1548" i="1"/>
  <c r="F1548" i="1"/>
  <c r="G1548" i="1"/>
  <c r="H1548" i="1"/>
  <c r="I1548" i="1"/>
  <c r="J1548" i="1"/>
  <c r="K1548" i="1"/>
  <c r="L1548" i="1"/>
  <c r="A1549" i="1"/>
  <c r="B1549" i="1"/>
  <c r="C1549" i="1"/>
  <c r="D1549" i="1"/>
  <c r="E1549" i="1"/>
  <c r="F1549" i="1"/>
  <c r="G1549" i="1"/>
  <c r="H1549" i="1"/>
  <c r="I1549" i="1"/>
  <c r="J1549" i="1"/>
  <c r="K1549" i="1"/>
  <c r="L1549" i="1"/>
  <c r="A1550" i="1"/>
  <c r="B1550" i="1"/>
  <c r="C1550" i="1"/>
  <c r="D1550" i="1"/>
  <c r="E1550" i="1"/>
  <c r="F1550" i="1"/>
  <c r="G1550" i="1"/>
  <c r="H1550" i="1"/>
  <c r="I1550" i="1"/>
  <c r="J1550" i="1"/>
  <c r="K1550" i="1"/>
  <c r="L1550" i="1"/>
  <c r="A1551" i="1"/>
  <c r="B1551" i="1"/>
  <c r="C1551" i="1"/>
  <c r="D1551" i="1"/>
  <c r="E1551" i="1"/>
  <c r="F1551" i="1"/>
  <c r="G1551" i="1"/>
  <c r="H1551" i="1"/>
  <c r="I1551" i="1"/>
  <c r="J1551" i="1"/>
  <c r="K1551" i="1"/>
  <c r="L1551" i="1"/>
  <c r="A1552" i="1"/>
  <c r="B1552" i="1"/>
  <c r="C1552" i="1"/>
  <c r="D1552" i="1"/>
  <c r="E1552" i="1"/>
  <c r="F1552" i="1"/>
  <c r="G1552" i="1"/>
  <c r="H1552" i="1"/>
  <c r="I1552" i="1"/>
  <c r="J1552" i="1"/>
  <c r="K1552" i="1"/>
  <c r="L1552" i="1"/>
  <c r="A1553" i="1"/>
  <c r="B1553" i="1"/>
  <c r="C1553" i="1"/>
  <c r="D1553" i="1"/>
  <c r="E1553" i="1"/>
  <c r="F1553" i="1"/>
  <c r="G1553" i="1"/>
  <c r="H1553" i="1"/>
  <c r="I1553" i="1"/>
  <c r="J1553" i="1"/>
  <c r="K1553" i="1"/>
  <c r="L1553" i="1"/>
  <c r="A1554" i="1"/>
  <c r="B1554" i="1"/>
  <c r="C1554" i="1"/>
  <c r="D1554" i="1"/>
  <c r="E1554" i="1"/>
  <c r="F1554" i="1"/>
  <c r="G1554" i="1"/>
  <c r="H1554" i="1"/>
  <c r="I1554" i="1"/>
  <c r="J1554" i="1"/>
  <c r="K1554" i="1"/>
  <c r="L1554" i="1"/>
  <c r="A1555" i="1"/>
  <c r="B1555" i="1"/>
  <c r="C1555" i="1"/>
  <c r="D1555" i="1"/>
  <c r="E1555" i="1"/>
  <c r="F1555" i="1"/>
  <c r="G1555" i="1"/>
  <c r="H1555" i="1"/>
  <c r="I1555" i="1"/>
  <c r="J1555" i="1"/>
  <c r="K1555" i="1"/>
  <c r="L1555" i="1"/>
  <c r="A1556" i="1"/>
  <c r="B1556" i="1"/>
  <c r="C1556" i="1"/>
  <c r="D1556" i="1"/>
  <c r="E1556" i="1"/>
  <c r="F1556" i="1"/>
  <c r="G1556" i="1"/>
  <c r="H1556" i="1"/>
  <c r="I1556" i="1"/>
  <c r="J1556" i="1"/>
  <c r="K1556" i="1"/>
  <c r="L1556" i="1"/>
  <c r="A1557" i="1"/>
  <c r="B1557" i="1"/>
  <c r="C1557" i="1"/>
  <c r="D1557" i="1"/>
  <c r="E1557" i="1"/>
  <c r="F1557" i="1"/>
  <c r="G1557" i="1"/>
  <c r="H1557" i="1"/>
  <c r="I1557" i="1"/>
  <c r="J1557" i="1"/>
  <c r="K1557" i="1"/>
  <c r="L1557" i="1"/>
  <c r="A1558" i="1"/>
  <c r="B1558" i="1"/>
  <c r="C1558" i="1"/>
  <c r="D1558" i="1"/>
  <c r="E1558" i="1"/>
  <c r="F1558" i="1"/>
  <c r="G1558" i="1"/>
  <c r="H1558" i="1"/>
  <c r="I1558" i="1"/>
  <c r="J1558" i="1"/>
  <c r="K1558" i="1"/>
  <c r="L1558" i="1"/>
  <c r="A1559" i="1"/>
  <c r="B1559" i="1"/>
  <c r="C1559" i="1"/>
  <c r="D1559" i="1"/>
  <c r="E1559" i="1"/>
  <c r="F1559" i="1"/>
  <c r="G1559" i="1"/>
  <c r="H1559" i="1"/>
  <c r="I1559" i="1"/>
  <c r="J1559" i="1"/>
  <c r="K1559" i="1"/>
  <c r="L1559" i="1"/>
  <c r="A1560" i="1"/>
  <c r="B1560" i="1"/>
  <c r="C1560" i="1"/>
  <c r="D1560" i="1"/>
  <c r="E1560" i="1"/>
  <c r="F1560" i="1"/>
  <c r="G1560" i="1"/>
  <c r="H1560" i="1"/>
  <c r="I1560" i="1"/>
  <c r="J1560" i="1"/>
  <c r="K1560" i="1"/>
  <c r="L1560" i="1"/>
  <c r="A1561" i="1"/>
  <c r="B1561" i="1"/>
  <c r="C1561" i="1"/>
  <c r="D1561" i="1"/>
  <c r="E1561" i="1"/>
  <c r="F1561" i="1"/>
  <c r="G1561" i="1"/>
  <c r="H1561" i="1"/>
  <c r="I1561" i="1"/>
  <c r="J1561" i="1"/>
  <c r="K1561" i="1"/>
  <c r="L1561" i="1"/>
  <c r="A1562" i="1"/>
  <c r="B1562" i="1"/>
  <c r="C1562" i="1"/>
  <c r="D1562" i="1"/>
  <c r="E1562" i="1"/>
  <c r="F1562" i="1"/>
  <c r="G1562" i="1"/>
  <c r="H1562" i="1"/>
  <c r="I1562" i="1"/>
  <c r="J1562" i="1"/>
  <c r="K1562" i="1"/>
  <c r="L1562" i="1"/>
  <c r="A1563" i="1"/>
  <c r="B1563" i="1"/>
  <c r="C1563" i="1"/>
  <c r="D1563" i="1"/>
  <c r="E1563" i="1"/>
  <c r="F1563" i="1"/>
  <c r="G1563" i="1"/>
  <c r="H1563" i="1"/>
  <c r="I1563" i="1"/>
  <c r="J1563" i="1"/>
  <c r="K1563" i="1"/>
  <c r="L1563" i="1"/>
  <c r="A1564" i="1"/>
  <c r="B1564" i="1"/>
  <c r="C1564" i="1"/>
  <c r="D1564" i="1"/>
  <c r="E1564" i="1"/>
  <c r="F1564" i="1"/>
  <c r="G1564" i="1"/>
  <c r="H1564" i="1"/>
  <c r="I1564" i="1"/>
  <c r="J1564" i="1"/>
  <c r="K1564" i="1"/>
  <c r="L1564" i="1"/>
  <c r="A1565" i="1"/>
  <c r="B1565" i="1"/>
  <c r="C1565" i="1"/>
  <c r="D1565" i="1"/>
  <c r="E1565" i="1"/>
  <c r="F1565" i="1"/>
  <c r="G1565" i="1"/>
  <c r="H1565" i="1"/>
  <c r="I1565" i="1"/>
  <c r="J1565" i="1"/>
  <c r="K1565" i="1"/>
  <c r="L1565" i="1"/>
  <c r="A1566" i="1"/>
  <c r="B1566" i="1"/>
  <c r="C1566" i="1"/>
  <c r="D1566" i="1"/>
  <c r="E1566" i="1"/>
  <c r="F1566" i="1"/>
  <c r="G1566" i="1"/>
  <c r="H1566" i="1"/>
  <c r="I1566" i="1"/>
  <c r="J1566" i="1"/>
  <c r="K1566" i="1"/>
  <c r="L1566" i="1"/>
  <c r="A1567" i="1"/>
  <c r="B1567" i="1"/>
  <c r="C1567" i="1"/>
  <c r="D1567" i="1"/>
  <c r="E1567" i="1"/>
  <c r="F1567" i="1"/>
  <c r="G1567" i="1"/>
  <c r="H1567" i="1"/>
  <c r="I1567" i="1"/>
  <c r="J1567" i="1"/>
  <c r="K1567" i="1"/>
  <c r="L1567" i="1"/>
  <c r="A1568" i="1"/>
  <c r="B1568" i="1"/>
  <c r="C1568" i="1"/>
  <c r="D1568" i="1"/>
  <c r="E1568" i="1"/>
  <c r="F1568" i="1"/>
  <c r="G1568" i="1"/>
  <c r="H1568" i="1"/>
  <c r="I1568" i="1"/>
  <c r="J1568" i="1"/>
  <c r="K1568" i="1"/>
  <c r="L1568" i="1"/>
  <c r="A1569" i="1"/>
  <c r="B1569" i="1"/>
  <c r="C1569" i="1"/>
  <c r="D1569" i="1"/>
  <c r="E1569" i="1"/>
  <c r="F1569" i="1"/>
  <c r="G1569" i="1"/>
  <c r="H1569" i="1"/>
  <c r="I1569" i="1"/>
  <c r="J1569" i="1"/>
  <c r="K1569" i="1"/>
  <c r="L1569" i="1"/>
  <c r="A1570" i="1"/>
  <c r="B1570" i="1"/>
  <c r="C1570" i="1"/>
  <c r="D1570" i="1"/>
  <c r="E1570" i="1"/>
  <c r="F1570" i="1"/>
  <c r="G1570" i="1"/>
  <c r="H1570" i="1"/>
  <c r="I1570" i="1"/>
  <c r="J1570" i="1"/>
  <c r="K1570" i="1"/>
  <c r="L1570" i="1"/>
  <c r="A1571" i="1"/>
  <c r="B1571" i="1"/>
  <c r="C1571" i="1"/>
  <c r="D1571" i="1"/>
  <c r="E1571" i="1"/>
  <c r="F1571" i="1"/>
  <c r="G1571" i="1"/>
  <c r="H1571" i="1"/>
  <c r="I1571" i="1"/>
  <c r="J1571" i="1"/>
  <c r="K1571" i="1"/>
  <c r="L1571" i="1"/>
  <c r="A1572" i="1"/>
  <c r="B1572" i="1"/>
  <c r="C1572" i="1"/>
  <c r="D1572" i="1"/>
  <c r="E1572" i="1"/>
  <c r="F1572" i="1"/>
  <c r="G1572" i="1"/>
  <c r="H1572" i="1"/>
  <c r="I1572" i="1"/>
  <c r="J1572" i="1"/>
  <c r="K1572" i="1"/>
  <c r="L1572" i="1"/>
  <c r="A1573" i="1"/>
  <c r="B1573" i="1"/>
  <c r="C1573" i="1"/>
  <c r="D1573" i="1"/>
  <c r="E1573" i="1"/>
  <c r="F1573" i="1"/>
  <c r="G1573" i="1"/>
  <c r="H1573" i="1"/>
  <c r="I1573" i="1"/>
  <c r="J1573" i="1"/>
  <c r="K1573" i="1"/>
  <c r="L1573" i="1"/>
  <c r="A1574" i="1"/>
  <c r="B1574" i="1"/>
  <c r="C1574" i="1"/>
  <c r="D1574" i="1"/>
  <c r="E1574" i="1"/>
  <c r="F1574" i="1"/>
  <c r="G1574" i="1"/>
  <c r="H1574" i="1"/>
  <c r="I1574" i="1"/>
  <c r="J1574" i="1"/>
  <c r="K1574" i="1"/>
  <c r="L1574" i="1"/>
  <c r="A1575" i="1"/>
  <c r="B1575" i="1"/>
  <c r="C1575" i="1"/>
  <c r="D1575" i="1"/>
  <c r="E1575" i="1"/>
  <c r="F1575" i="1"/>
  <c r="G1575" i="1"/>
  <c r="H1575" i="1"/>
  <c r="I1575" i="1"/>
  <c r="J1575" i="1"/>
  <c r="K1575" i="1"/>
  <c r="L1575" i="1"/>
  <c r="A1576" i="1"/>
  <c r="B1576" i="1"/>
  <c r="C1576" i="1"/>
  <c r="D1576" i="1"/>
  <c r="E1576" i="1"/>
  <c r="F1576" i="1"/>
  <c r="G1576" i="1"/>
  <c r="H1576" i="1"/>
  <c r="I1576" i="1"/>
  <c r="J1576" i="1"/>
  <c r="K1576" i="1"/>
  <c r="L1576" i="1"/>
  <c r="A1577" i="1"/>
  <c r="B1577" i="1"/>
  <c r="C1577" i="1"/>
  <c r="D1577" i="1"/>
  <c r="E1577" i="1"/>
  <c r="F1577" i="1"/>
  <c r="G1577" i="1"/>
  <c r="H1577" i="1"/>
  <c r="I1577" i="1"/>
  <c r="J1577" i="1"/>
  <c r="K1577" i="1"/>
  <c r="L1577" i="1"/>
  <c r="A1578" i="1"/>
  <c r="B1578" i="1"/>
  <c r="C1578" i="1"/>
  <c r="D1578" i="1"/>
  <c r="E1578" i="1"/>
  <c r="F1578" i="1"/>
  <c r="G1578" i="1"/>
  <c r="H1578" i="1"/>
  <c r="I1578" i="1"/>
  <c r="J1578" i="1"/>
  <c r="K1578" i="1"/>
  <c r="L1578" i="1"/>
  <c r="A1579" i="1"/>
  <c r="B1579" i="1"/>
  <c r="C1579" i="1"/>
  <c r="D1579" i="1"/>
  <c r="E1579" i="1"/>
  <c r="F1579" i="1"/>
  <c r="G1579" i="1"/>
  <c r="H1579" i="1"/>
  <c r="I1579" i="1"/>
  <c r="J1579" i="1"/>
  <c r="K1579" i="1"/>
  <c r="L1579" i="1"/>
  <c r="A1580" i="1"/>
  <c r="B1580" i="1"/>
  <c r="C1580" i="1"/>
  <c r="D1580" i="1"/>
  <c r="E1580" i="1"/>
  <c r="F1580" i="1"/>
  <c r="G1580" i="1"/>
  <c r="H1580" i="1"/>
  <c r="I1580" i="1"/>
  <c r="J1580" i="1"/>
  <c r="K1580" i="1"/>
  <c r="L1580" i="1"/>
  <c r="A1581" i="1"/>
  <c r="B1581" i="1"/>
  <c r="C1581" i="1"/>
  <c r="D1581" i="1"/>
  <c r="E1581" i="1"/>
  <c r="F1581" i="1"/>
  <c r="G1581" i="1"/>
  <c r="H1581" i="1"/>
  <c r="I1581" i="1"/>
  <c r="J1581" i="1"/>
  <c r="K1581" i="1"/>
  <c r="L1581" i="1"/>
  <c r="A1582" i="1"/>
  <c r="B1582" i="1"/>
  <c r="C1582" i="1"/>
  <c r="D1582" i="1"/>
  <c r="E1582" i="1"/>
  <c r="F1582" i="1"/>
  <c r="G1582" i="1"/>
  <c r="H1582" i="1"/>
  <c r="I1582" i="1"/>
  <c r="J1582" i="1"/>
  <c r="K1582" i="1"/>
  <c r="L1582" i="1"/>
  <c r="A1583" i="1"/>
  <c r="B1583" i="1"/>
  <c r="C1583" i="1"/>
  <c r="D1583" i="1"/>
  <c r="E1583" i="1"/>
  <c r="F1583" i="1"/>
  <c r="G1583" i="1"/>
  <c r="H1583" i="1"/>
  <c r="I1583" i="1"/>
  <c r="J1583" i="1"/>
  <c r="K1583" i="1"/>
  <c r="L1583" i="1"/>
  <c r="A1584" i="1"/>
  <c r="B1584" i="1"/>
  <c r="C1584" i="1"/>
  <c r="D1584" i="1"/>
  <c r="E1584" i="1"/>
  <c r="F1584" i="1"/>
  <c r="G1584" i="1"/>
  <c r="H1584" i="1"/>
  <c r="I1584" i="1"/>
  <c r="J1584" i="1"/>
  <c r="K1584" i="1"/>
  <c r="L1584" i="1"/>
  <c r="A1585" i="1"/>
  <c r="B1585" i="1"/>
  <c r="C1585" i="1"/>
  <c r="D1585" i="1"/>
  <c r="E1585" i="1"/>
  <c r="F1585" i="1"/>
  <c r="G1585" i="1"/>
  <c r="H1585" i="1"/>
  <c r="I1585" i="1"/>
  <c r="J1585" i="1"/>
  <c r="K1585" i="1"/>
  <c r="L1585" i="1"/>
  <c r="A1586" i="1"/>
  <c r="B1586" i="1"/>
  <c r="C1586" i="1"/>
  <c r="D1586" i="1"/>
  <c r="E1586" i="1"/>
  <c r="F1586" i="1"/>
  <c r="G1586" i="1"/>
  <c r="H1586" i="1"/>
  <c r="I1586" i="1"/>
  <c r="J1586" i="1"/>
  <c r="K1586" i="1"/>
  <c r="L1586" i="1"/>
  <c r="A1587" i="1"/>
  <c r="B1587" i="1"/>
  <c r="C1587" i="1"/>
  <c r="D1587" i="1"/>
  <c r="E1587" i="1"/>
  <c r="F1587" i="1"/>
  <c r="G1587" i="1"/>
  <c r="H1587" i="1"/>
  <c r="I1587" i="1"/>
  <c r="J1587" i="1"/>
  <c r="K1587" i="1"/>
  <c r="L1587" i="1"/>
  <c r="A1588" i="1"/>
  <c r="B1588" i="1"/>
  <c r="C1588" i="1"/>
  <c r="D1588" i="1"/>
  <c r="E1588" i="1"/>
  <c r="F1588" i="1"/>
  <c r="G1588" i="1"/>
  <c r="H1588" i="1"/>
  <c r="I1588" i="1"/>
  <c r="J1588" i="1"/>
  <c r="K1588" i="1"/>
  <c r="L1588" i="1"/>
  <c r="A1589" i="1"/>
  <c r="B1589" i="1"/>
  <c r="C1589" i="1"/>
  <c r="D1589" i="1"/>
  <c r="E1589" i="1"/>
  <c r="F1589" i="1"/>
  <c r="G1589" i="1"/>
  <c r="H1589" i="1"/>
  <c r="I1589" i="1"/>
  <c r="J1589" i="1"/>
  <c r="K1589" i="1"/>
  <c r="L1589" i="1"/>
  <c r="A1590" i="1"/>
  <c r="B1590" i="1"/>
  <c r="C1590" i="1"/>
  <c r="D1590" i="1"/>
  <c r="E1590" i="1"/>
  <c r="F1590" i="1"/>
  <c r="G1590" i="1"/>
  <c r="H1590" i="1"/>
  <c r="I1590" i="1"/>
  <c r="J1590" i="1"/>
  <c r="K1590" i="1"/>
  <c r="L1590" i="1"/>
  <c r="A1591" i="1"/>
  <c r="B1591" i="1"/>
  <c r="C1591" i="1"/>
  <c r="D1591" i="1"/>
  <c r="E1591" i="1"/>
  <c r="F1591" i="1"/>
  <c r="G1591" i="1"/>
  <c r="H1591" i="1"/>
  <c r="I1591" i="1"/>
  <c r="J1591" i="1"/>
  <c r="K1591" i="1"/>
  <c r="L1591" i="1"/>
  <c r="A1592" i="1"/>
  <c r="B1592" i="1"/>
  <c r="C1592" i="1"/>
  <c r="D1592" i="1"/>
  <c r="E1592" i="1"/>
  <c r="F1592" i="1"/>
  <c r="G1592" i="1"/>
  <c r="H1592" i="1"/>
  <c r="I1592" i="1"/>
  <c r="J1592" i="1"/>
  <c r="K1592" i="1"/>
  <c r="L1592" i="1"/>
  <c r="A1593" i="1"/>
  <c r="B1593" i="1"/>
  <c r="C1593" i="1"/>
  <c r="D1593" i="1"/>
  <c r="E1593" i="1"/>
  <c r="F1593" i="1"/>
  <c r="G1593" i="1"/>
  <c r="H1593" i="1"/>
  <c r="I1593" i="1"/>
  <c r="J1593" i="1"/>
  <c r="K1593" i="1"/>
  <c r="L1593" i="1"/>
  <c r="A1594" i="1"/>
  <c r="B1594" i="1"/>
  <c r="C1594" i="1"/>
  <c r="D1594" i="1"/>
  <c r="E1594" i="1"/>
  <c r="F1594" i="1"/>
  <c r="G1594" i="1"/>
  <c r="H1594" i="1"/>
  <c r="I1594" i="1"/>
  <c r="J1594" i="1"/>
  <c r="K1594" i="1"/>
  <c r="L1594" i="1"/>
  <c r="A1595" i="1"/>
  <c r="B1595" i="1"/>
  <c r="C1595" i="1"/>
  <c r="D1595" i="1"/>
  <c r="E1595" i="1"/>
  <c r="F1595" i="1"/>
  <c r="G1595" i="1"/>
  <c r="H1595" i="1"/>
  <c r="I1595" i="1"/>
  <c r="J1595" i="1"/>
  <c r="K1595" i="1"/>
  <c r="L1595" i="1"/>
  <c r="A1596" i="1"/>
  <c r="B1596" i="1"/>
  <c r="C1596" i="1"/>
  <c r="D1596" i="1"/>
  <c r="E1596" i="1"/>
  <c r="F1596" i="1"/>
  <c r="G1596" i="1"/>
  <c r="H1596" i="1"/>
  <c r="I1596" i="1"/>
  <c r="J1596" i="1"/>
  <c r="K1596" i="1"/>
  <c r="L1596" i="1"/>
  <c r="A1597" i="1"/>
  <c r="B1597" i="1"/>
  <c r="C1597" i="1"/>
  <c r="D1597" i="1"/>
  <c r="E1597" i="1"/>
  <c r="F1597" i="1"/>
  <c r="G1597" i="1"/>
  <c r="H1597" i="1"/>
  <c r="I1597" i="1"/>
  <c r="J1597" i="1"/>
  <c r="K1597" i="1"/>
  <c r="L1597" i="1"/>
  <c r="A1598" i="1"/>
  <c r="B1598" i="1"/>
  <c r="C1598" i="1"/>
  <c r="D1598" i="1"/>
  <c r="E1598" i="1"/>
  <c r="F1598" i="1"/>
  <c r="G1598" i="1"/>
  <c r="H1598" i="1"/>
  <c r="I1598" i="1"/>
  <c r="J1598" i="1"/>
  <c r="K1598" i="1"/>
  <c r="L1598" i="1"/>
  <c r="A1599" i="1"/>
  <c r="B1599" i="1"/>
  <c r="C1599" i="1"/>
  <c r="D1599" i="1"/>
  <c r="E1599" i="1"/>
  <c r="F1599" i="1"/>
  <c r="G1599" i="1"/>
  <c r="H1599" i="1"/>
  <c r="I1599" i="1"/>
  <c r="J1599" i="1"/>
  <c r="K1599" i="1"/>
  <c r="L1599" i="1"/>
  <c r="A1600" i="1"/>
  <c r="B1600" i="1"/>
  <c r="C1600" i="1"/>
  <c r="D1600" i="1"/>
  <c r="E1600" i="1"/>
  <c r="F1600" i="1"/>
  <c r="G1600" i="1"/>
  <c r="H1600" i="1"/>
  <c r="I1600" i="1"/>
  <c r="J1600" i="1"/>
  <c r="K1600" i="1"/>
  <c r="L1600" i="1"/>
  <c r="A1601" i="1"/>
  <c r="B1601" i="1"/>
  <c r="C1601" i="1"/>
  <c r="D1601" i="1"/>
  <c r="E1601" i="1"/>
  <c r="F1601" i="1"/>
  <c r="G1601" i="1"/>
  <c r="H1601" i="1"/>
  <c r="I1601" i="1"/>
  <c r="J1601" i="1"/>
  <c r="K1601" i="1"/>
  <c r="L1601" i="1"/>
  <c r="A1602" i="1"/>
  <c r="B1602" i="1"/>
  <c r="C1602" i="1"/>
  <c r="D1602" i="1"/>
  <c r="E1602" i="1"/>
  <c r="F1602" i="1"/>
  <c r="G1602" i="1"/>
  <c r="H1602" i="1"/>
  <c r="I1602" i="1"/>
  <c r="J1602" i="1"/>
  <c r="K1602" i="1"/>
  <c r="L1602" i="1"/>
  <c r="A1603" i="1"/>
  <c r="B1603" i="1"/>
  <c r="C1603" i="1"/>
  <c r="D1603" i="1"/>
  <c r="E1603" i="1"/>
  <c r="F1603" i="1"/>
  <c r="G1603" i="1"/>
  <c r="H1603" i="1"/>
  <c r="I1603" i="1"/>
  <c r="J1603" i="1"/>
  <c r="K1603" i="1"/>
  <c r="L1603" i="1"/>
  <c r="A1604" i="1"/>
  <c r="B1604" i="1"/>
  <c r="C1604" i="1"/>
  <c r="D1604" i="1"/>
  <c r="E1604" i="1"/>
  <c r="F1604" i="1"/>
  <c r="G1604" i="1"/>
  <c r="H1604" i="1"/>
  <c r="I1604" i="1"/>
  <c r="J1604" i="1"/>
  <c r="K1604" i="1"/>
  <c r="L1604" i="1"/>
  <c r="A1605" i="1"/>
  <c r="B1605" i="1"/>
  <c r="C1605" i="1"/>
  <c r="D1605" i="1"/>
  <c r="E1605" i="1"/>
  <c r="F1605" i="1"/>
  <c r="G1605" i="1"/>
  <c r="H1605" i="1"/>
  <c r="I1605" i="1"/>
  <c r="J1605" i="1"/>
  <c r="K1605" i="1"/>
  <c r="L1605" i="1"/>
  <c r="A1606" i="1"/>
  <c r="B1606" i="1"/>
  <c r="C1606" i="1"/>
  <c r="D1606" i="1"/>
  <c r="E1606" i="1"/>
  <c r="F1606" i="1"/>
  <c r="G1606" i="1"/>
  <c r="H1606" i="1"/>
  <c r="I1606" i="1"/>
  <c r="J1606" i="1"/>
  <c r="K1606" i="1"/>
  <c r="L1606" i="1"/>
  <c r="A1607" i="1"/>
  <c r="B1607" i="1"/>
  <c r="C1607" i="1"/>
  <c r="D1607" i="1"/>
  <c r="E1607" i="1"/>
  <c r="F1607" i="1"/>
  <c r="G1607" i="1"/>
  <c r="H1607" i="1"/>
  <c r="I1607" i="1"/>
  <c r="J1607" i="1"/>
  <c r="K1607" i="1"/>
  <c r="L1607" i="1"/>
  <c r="A1608" i="1"/>
  <c r="B1608" i="1"/>
  <c r="C1608" i="1"/>
  <c r="D1608" i="1"/>
  <c r="E1608" i="1"/>
  <c r="F1608" i="1"/>
  <c r="G1608" i="1"/>
  <c r="H1608" i="1"/>
  <c r="I1608" i="1"/>
  <c r="J1608" i="1"/>
  <c r="K1608" i="1"/>
  <c r="L1608" i="1"/>
  <c r="A1609" i="1"/>
  <c r="B1609" i="1"/>
  <c r="C1609" i="1"/>
  <c r="D1609" i="1"/>
  <c r="E1609" i="1"/>
  <c r="F1609" i="1"/>
  <c r="G1609" i="1"/>
  <c r="H1609" i="1"/>
  <c r="I1609" i="1"/>
  <c r="J1609" i="1"/>
  <c r="K1609" i="1"/>
  <c r="L1609" i="1"/>
  <c r="A1610" i="1"/>
  <c r="B1610" i="1"/>
  <c r="C1610" i="1"/>
  <c r="D1610" i="1"/>
  <c r="E1610" i="1"/>
  <c r="F1610" i="1"/>
  <c r="G1610" i="1"/>
  <c r="H1610" i="1"/>
  <c r="I1610" i="1"/>
  <c r="J1610" i="1"/>
  <c r="K1610" i="1"/>
  <c r="L1610" i="1"/>
  <c r="A1611" i="1"/>
  <c r="B1611" i="1"/>
  <c r="C1611" i="1"/>
  <c r="D1611" i="1"/>
  <c r="E1611" i="1"/>
  <c r="F1611" i="1"/>
  <c r="G1611" i="1"/>
  <c r="H1611" i="1"/>
  <c r="I1611" i="1"/>
  <c r="J1611" i="1"/>
  <c r="K1611" i="1"/>
  <c r="L1611" i="1"/>
  <c r="A1612" i="1"/>
  <c r="B1612" i="1"/>
  <c r="C1612" i="1"/>
  <c r="D1612" i="1"/>
  <c r="E1612" i="1"/>
  <c r="F1612" i="1"/>
  <c r="G1612" i="1"/>
  <c r="H1612" i="1"/>
  <c r="I1612" i="1"/>
  <c r="J1612" i="1"/>
  <c r="K1612" i="1"/>
  <c r="L1612" i="1"/>
  <c r="A1613" i="1"/>
  <c r="B1613" i="1"/>
  <c r="C1613" i="1"/>
  <c r="D1613" i="1"/>
  <c r="E1613" i="1"/>
  <c r="F1613" i="1"/>
  <c r="G1613" i="1"/>
  <c r="H1613" i="1"/>
  <c r="I1613" i="1"/>
  <c r="J1613" i="1"/>
  <c r="K1613" i="1"/>
  <c r="L1613" i="1"/>
  <c r="A1614" i="1"/>
  <c r="B1614" i="1"/>
  <c r="C1614" i="1"/>
  <c r="D1614" i="1"/>
  <c r="E1614" i="1"/>
  <c r="F1614" i="1"/>
  <c r="G1614" i="1"/>
  <c r="H1614" i="1"/>
  <c r="I1614" i="1"/>
  <c r="J1614" i="1"/>
  <c r="K1614" i="1"/>
  <c r="L1614" i="1"/>
  <c r="A1615" i="1"/>
  <c r="B1615" i="1"/>
  <c r="C1615" i="1"/>
  <c r="D1615" i="1"/>
  <c r="E1615" i="1"/>
  <c r="F1615" i="1"/>
  <c r="G1615" i="1"/>
  <c r="H1615" i="1"/>
  <c r="I1615" i="1"/>
  <c r="J1615" i="1"/>
  <c r="K1615" i="1"/>
  <c r="L1615" i="1"/>
  <c r="A1616" i="1"/>
  <c r="B1616" i="1"/>
  <c r="C1616" i="1"/>
  <c r="D1616" i="1"/>
  <c r="E1616" i="1"/>
  <c r="F1616" i="1"/>
  <c r="G1616" i="1"/>
  <c r="H1616" i="1"/>
  <c r="I1616" i="1"/>
  <c r="J1616" i="1"/>
  <c r="K1616" i="1"/>
  <c r="L1616" i="1"/>
  <c r="A1617" i="1"/>
  <c r="B1617" i="1"/>
  <c r="C1617" i="1"/>
  <c r="D1617" i="1"/>
  <c r="E1617" i="1"/>
  <c r="F1617" i="1"/>
  <c r="G1617" i="1"/>
  <c r="H1617" i="1"/>
  <c r="I1617" i="1"/>
  <c r="J1617" i="1"/>
  <c r="K1617" i="1"/>
  <c r="L1617" i="1"/>
  <c r="A1618" i="1"/>
  <c r="B1618" i="1"/>
  <c r="C1618" i="1"/>
  <c r="D1618" i="1"/>
  <c r="E1618" i="1"/>
  <c r="F1618" i="1"/>
  <c r="G1618" i="1"/>
  <c r="H1618" i="1"/>
  <c r="I1618" i="1"/>
  <c r="J1618" i="1"/>
  <c r="K1618" i="1"/>
  <c r="L1618" i="1"/>
  <c r="A1619" i="1"/>
  <c r="B1619" i="1"/>
  <c r="C1619" i="1"/>
  <c r="D1619" i="1"/>
  <c r="E1619" i="1"/>
  <c r="F1619" i="1"/>
  <c r="G1619" i="1"/>
  <c r="H1619" i="1"/>
  <c r="I1619" i="1"/>
  <c r="J1619" i="1"/>
  <c r="K1619" i="1"/>
  <c r="L1619" i="1"/>
  <c r="A1620" i="1"/>
  <c r="B1620" i="1"/>
  <c r="C1620" i="1"/>
  <c r="D1620" i="1"/>
  <c r="E1620" i="1"/>
  <c r="F1620" i="1"/>
  <c r="G1620" i="1"/>
  <c r="H1620" i="1"/>
  <c r="I1620" i="1"/>
  <c r="J1620" i="1"/>
  <c r="K1620" i="1"/>
  <c r="L1620" i="1"/>
  <c r="A1621" i="1"/>
  <c r="B1621" i="1"/>
  <c r="C1621" i="1"/>
  <c r="D1621" i="1"/>
  <c r="E1621" i="1"/>
  <c r="F1621" i="1"/>
  <c r="G1621" i="1"/>
  <c r="H1621" i="1"/>
  <c r="I1621" i="1"/>
  <c r="J1621" i="1"/>
  <c r="K1621" i="1"/>
  <c r="L1621" i="1"/>
  <c r="A1622" i="1"/>
  <c r="B1622" i="1"/>
  <c r="C1622" i="1"/>
  <c r="D1622" i="1"/>
  <c r="E1622" i="1"/>
  <c r="F1622" i="1"/>
  <c r="G1622" i="1"/>
  <c r="H1622" i="1"/>
  <c r="I1622" i="1"/>
  <c r="J1622" i="1"/>
  <c r="K1622" i="1"/>
  <c r="L1622" i="1"/>
  <c r="A1623" i="1"/>
  <c r="B1623" i="1"/>
  <c r="C1623" i="1"/>
  <c r="D1623" i="1"/>
  <c r="E1623" i="1"/>
  <c r="F1623" i="1"/>
  <c r="G1623" i="1"/>
  <c r="H1623" i="1"/>
  <c r="I1623" i="1"/>
  <c r="J1623" i="1"/>
  <c r="K1623" i="1"/>
  <c r="L1623" i="1"/>
  <c r="A1624" i="1"/>
  <c r="B1624" i="1"/>
  <c r="C1624" i="1"/>
  <c r="D1624" i="1"/>
  <c r="E1624" i="1"/>
  <c r="F1624" i="1"/>
  <c r="G1624" i="1"/>
  <c r="H1624" i="1"/>
  <c r="I1624" i="1"/>
  <c r="J1624" i="1"/>
  <c r="K1624" i="1"/>
  <c r="L1624" i="1"/>
  <c r="A1625" i="1"/>
  <c r="B1625" i="1"/>
  <c r="C1625" i="1"/>
  <c r="D1625" i="1"/>
  <c r="E1625" i="1"/>
  <c r="F1625" i="1"/>
  <c r="G1625" i="1"/>
  <c r="H1625" i="1"/>
  <c r="I1625" i="1"/>
  <c r="J1625" i="1"/>
  <c r="K1625" i="1"/>
  <c r="L1625" i="1"/>
  <c r="A1626" i="1"/>
  <c r="B1626" i="1"/>
  <c r="C1626" i="1"/>
  <c r="D1626" i="1"/>
  <c r="E1626" i="1"/>
  <c r="F1626" i="1"/>
  <c r="G1626" i="1"/>
  <c r="H1626" i="1"/>
  <c r="I1626" i="1"/>
  <c r="J1626" i="1"/>
  <c r="K1626" i="1"/>
  <c r="L1626" i="1"/>
  <c r="A1627" i="1"/>
  <c r="B1627" i="1"/>
  <c r="C1627" i="1"/>
  <c r="D1627" i="1"/>
  <c r="E1627" i="1"/>
  <c r="F1627" i="1"/>
  <c r="G1627" i="1"/>
  <c r="H1627" i="1"/>
  <c r="I1627" i="1"/>
  <c r="J1627" i="1"/>
  <c r="K1627" i="1"/>
  <c r="L1627" i="1"/>
  <c r="A1628" i="1"/>
  <c r="B1628" i="1"/>
  <c r="C1628" i="1"/>
  <c r="D1628" i="1"/>
  <c r="E1628" i="1"/>
  <c r="F1628" i="1"/>
  <c r="G1628" i="1"/>
  <c r="H1628" i="1"/>
  <c r="I1628" i="1"/>
  <c r="J1628" i="1"/>
  <c r="K1628" i="1"/>
  <c r="L1628" i="1"/>
  <c r="A1629" i="1"/>
  <c r="B1629" i="1"/>
  <c r="C1629" i="1"/>
  <c r="D1629" i="1"/>
  <c r="E1629" i="1"/>
  <c r="F1629" i="1"/>
  <c r="G1629" i="1"/>
  <c r="H1629" i="1"/>
  <c r="I1629" i="1"/>
  <c r="J1629" i="1"/>
  <c r="K1629" i="1"/>
  <c r="L1629" i="1"/>
  <c r="A1630" i="1"/>
  <c r="B1630" i="1"/>
  <c r="C1630" i="1"/>
  <c r="D1630" i="1"/>
  <c r="E1630" i="1"/>
  <c r="F1630" i="1"/>
  <c r="G1630" i="1"/>
  <c r="H1630" i="1"/>
  <c r="I1630" i="1"/>
  <c r="J1630" i="1"/>
  <c r="K1630" i="1"/>
  <c r="L1630" i="1"/>
  <c r="A1631" i="1"/>
  <c r="B1631" i="1"/>
  <c r="C1631" i="1"/>
  <c r="D1631" i="1"/>
  <c r="E1631" i="1"/>
  <c r="F1631" i="1"/>
  <c r="G1631" i="1"/>
  <c r="H1631" i="1"/>
  <c r="I1631" i="1"/>
  <c r="J1631" i="1"/>
  <c r="K1631" i="1"/>
  <c r="L1631" i="1"/>
  <c r="A1632" i="1"/>
  <c r="B1632" i="1"/>
  <c r="C1632" i="1"/>
  <c r="D1632" i="1"/>
  <c r="E1632" i="1"/>
  <c r="F1632" i="1"/>
  <c r="G1632" i="1"/>
  <c r="H1632" i="1"/>
  <c r="I1632" i="1"/>
  <c r="J1632" i="1"/>
  <c r="K1632" i="1"/>
  <c r="L1632" i="1"/>
  <c r="A1633" i="1"/>
  <c r="B1633" i="1"/>
  <c r="C1633" i="1"/>
  <c r="D1633" i="1"/>
  <c r="E1633" i="1"/>
  <c r="F1633" i="1"/>
  <c r="G1633" i="1"/>
  <c r="H1633" i="1"/>
  <c r="I1633" i="1"/>
  <c r="J1633" i="1"/>
  <c r="K1633" i="1"/>
  <c r="L1633" i="1"/>
  <c r="A1634" i="1"/>
  <c r="B1634" i="1"/>
  <c r="C1634" i="1"/>
  <c r="D1634" i="1"/>
  <c r="E1634" i="1"/>
  <c r="F1634" i="1"/>
  <c r="G1634" i="1"/>
  <c r="H1634" i="1"/>
  <c r="I1634" i="1"/>
  <c r="J1634" i="1"/>
  <c r="K1634" i="1"/>
  <c r="L1634" i="1"/>
  <c r="A1635" i="1"/>
  <c r="B1635" i="1"/>
  <c r="C1635" i="1"/>
  <c r="D1635" i="1"/>
  <c r="E1635" i="1"/>
  <c r="F1635" i="1"/>
  <c r="G1635" i="1"/>
  <c r="H1635" i="1"/>
  <c r="I1635" i="1"/>
  <c r="J1635" i="1"/>
  <c r="K1635" i="1"/>
  <c r="L1635" i="1"/>
  <c r="A1636" i="1"/>
  <c r="B1636" i="1"/>
  <c r="C1636" i="1"/>
  <c r="D1636" i="1"/>
  <c r="E1636" i="1"/>
  <c r="F1636" i="1"/>
  <c r="G1636" i="1"/>
  <c r="H1636" i="1"/>
  <c r="I1636" i="1"/>
  <c r="J1636" i="1"/>
  <c r="K1636" i="1"/>
  <c r="L1636" i="1"/>
  <c r="A1637" i="1"/>
  <c r="B1637" i="1"/>
  <c r="C1637" i="1"/>
  <c r="D1637" i="1"/>
  <c r="E1637" i="1"/>
  <c r="F1637" i="1"/>
  <c r="G1637" i="1"/>
  <c r="H1637" i="1"/>
  <c r="I1637" i="1"/>
  <c r="J1637" i="1"/>
  <c r="K1637" i="1"/>
  <c r="L1637" i="1"/>
  <c r="A1638" i="1"/>
  <c r="B1638" i="1"/>
  <c r="C1638" i="1"/>
  <c r="D1638" i="1"/>
  <c r="E1638" i="1"/>
  <c r="F1638" i="1"/>
  <c r="G1638" i="1"/>
  <c r="H1638" i="1"/>
  <c r="I1638" i="1"/>
  <c r="J1638" i="1"/>
  <c r="K1638" i="1"/>
  <c r="L1638" i="1"/>
  <c r="A1639" i="1"/>
  <c r="B1639" i="1"/>
  <c r="C1639" i="1"/>
  <c r="D1639" i="1"/>
  <c r="E1639" i="1"/>
  <c r="F1639" i="1"/>
  <c r="G1639" i="1"/>
  <c r="H1639" i="1"/>
  <c r="I1639" i="1"/>
  <c r="J1639" i="1"/>
  <c r="K1639" i="1"/>
  <c r="L1639" i="1"/>
  <c r="A1640" i="1"/>
  <c r="B1640" i="1"/>
  <c r="C1640" i="1"/>
  <c r="D1640" i="1"/>
  <c r="E1640" i="1"/>
  <c r="F1640" i="1"/>
  <c r="G1640" i="1"/>
  <c r="H1640" i="1"/>
  <c r="I1640" i="1"/>
  <c r="J1640" i="1"/>
  <c r="K1640" i="1"/>
  <c r="L1640" i="1"/>
  <c r="A1641" i="1"/>
  <c r="B1641" i="1"/>
  <c r="C1641" i="1"/>
  <c r="D1641" i="1"/>
  <c r="E1641" i="1"/>
  <c r="F1641" i="1"/>
  <c r="G1641" i="1"/>
  <c r="H1641" i="1"/>
  <c r="I1641" i="1"/>
  <c r="J1641" i="1"/>
  <c r="K1641" i="1"/>
  <c r="L1641" i="1"/>
  <c r="A1642" i="1"/>
  <c r="B1642" i="1"/>
  <c r="C1642" i="1"/>
  <c r="D1642" i="1"/>
  <c r="E1642" i="1"/>
  <c r="F1642" i="1"/>
  <c r="G1642" i="1"/>
  <c r="H1642" i="1"/>
  <c r="I1642" i="1"/>
  <c r="J1642" i="1"/>
  <c r="K1642" i="1"/>
  <c r="L1642" i="1"/>
  <c r="A1643" i="1"/>
  <c r="B1643" i="1"/>
  <c r="C1643" i="1"/>
  <c r="D1643" i="1"/>
  <c r="E1643" i="1"/>
  <c r="F1643" i="1"/>
  <c r="G1643" i="1"/>
  <c r="H1643" i="1"/>
  <c r="I1643" i="1"/>
  <c r="J1643" i="1"/>
  <c r="K1643" i="1"/>
  <c r="L1643" i="1"/>
  <c r="A1644" i="1"/>
  <c r="B1644" i="1"/>
  <c r="C1644" i="1"/>
  <c r="D1644" i="1"/>
  <c r="E1644" i="1"/>
  <c r="F1644" i="1"/>
  <c r="G1644" i="1"/>
  <c r="H1644" i="1"/>
  <c r="I1644" i="1"/>
  <c r="J1644" i="1"/>
  <c r="K1644" i="1"/>
  <c r="L1644" i="1"/>
  <c r="A1645" i="1"/>
  <c r="B1645" i="1"/>
  <c r="C1645" i="1"/>
  <c r="D1645" i="1"/>
  <c r="E1645" i="1"/>
  <c r="F1645" i="1"/>
  <c r="G1645" i="1"/>
  <c r="H1645" i="1"/>
  <c r="I1645" i="1"/>
  <c r="J1645" i="1"/>
  <c r="K1645" i="1"/>
  <c r="L1645" i="1"/>
  <c r="A1646" i="1"/>
  <c r="B1646" i="1"/>
  <c r="C1646" i="1"/>
  <c r="D1646" i="1"/>
  <c r="E1646" i="1"/>
  <c r="F1646" i="1"/>
  <c r="G1646" i="1"/>
  <c r="H1646" i="1"/>
  <c r="I1646" i="1"/>
  <c r="J1646" i="1"/>
  <c r="K1646" i="1"/>
  <c r="L1646" i="1"/>
  <c r="A1647" i="1"/>
  <c r="B1647" i="1"/>
  <c r="C1647" i="1"/>
  <c r="D1647" i="1"/>
  <c r="E1647" i="1"/>
  <c r="F1647" i="1"/>
  <c r="G1647" i="1"/>
  <c r="H1647" i="1"/>
  <c r="I1647" i="1"/>
  <c r="J1647" i="1"/>
  <c r="K1647" i="1"/>
  <c r="L1647" i="1"/>
  <c r="A1648" i="1"/>
  <c r="B1648" i="1"/>
  <c r="C1648" i="1"/>
  <c r="D1648" i="1"/>
  <c r="E1648" i="1"/>
  <c r="F1648" i="1"/>
  <c r="G1648" i="1"/>
  <c r="H1648" i="1"/>
  <c r="I1648" i="1"/>
  <c r="J1648" i="1"/>
  <c r="K1648" i="1"/>
  <c r="L1648" i="1"/>
  <c r="A1649" i="1"/>
  <c r="B1649" i="1"/>
  <c r="C1649" i="1"/>
  <c r="D1649" i="1"/>
  <c r="E1649" i="1"/>
  <c r="F1649" i="1"/>
  <c r="G1649" i="1"/>
  <c r="H1649" i="1"/>
  <c r="I1649" i="1"/>
  <c r="J1649" i="1"/>
  <c r="K1649" i="1"/>
  <c r="L1649" i="1"/>
  <c r="A1650" i="1"/>
  <c r="B1650" i="1"/>
  <c r="C1650" i="1"/>
  <c r="D1650" i="1"/>
  <c r="E1650" i="1"/>
  <c r="F1650" i="1"/>
  <c r="G1650" i="1"/>
  <c r="H1650" i="1"/>
  <c r="I1650" i="1"/>
  <c r="J1650" i="1"/>
  <c r="K1650" i="1"/>
  <c r="L1650" i="1"/>
  <c r="A1651" i="1"/>
  <c r="B1651" i="1"/>
  <c r="C1651" i="1"/>
  <c r="D1651" i="1"/>
  <c r="E1651" i="1"/>
  <c r="F1651" i="1"/>
  <c r="G1651" i="1"/>
  <c r="H1651" i="1"/>
  <c r="I1651" i="1"/>
  <c r="J1651" i="1"/>
  <c r="K1651" i="1"/>
  <c r="L1651" i="1"/>
  <c r="A1652" i="1"/>
  <c r="B1652" i="1"/>
  <c r="C1652" i="1"/>
  <c r="D1652" i="1"/>
  <c r="E1652" i="1"/>
  <c r="F1652" i="1"/>
  <c r="G1652" i="1"/>
  <c r="H1652" i="1"/>
  <c r="I1652" i="1"/>
  <c r="J1652" i="1"/>
  <c r="K1652" i="1"/>
  <c r="L1652" i="1"/>
  <c r="A1653" i="1"/>
  <c r="B1653" i="1"/>
  <c r="C1653" i="1"/>
  <c r="D1653" i="1"/>
  <c r="E1653" i="1"/>
  <c r="F1653" i="1"/>
  <c r="G1653" i="1"/>
  <c r="H1653" i="1"/>
  <c r="I1653" i="1"/>
  <c r="J1653" i="1"/>
  <c r="K1653" i="1"/>
  <c r="L1653" i="1"/>
  <c r="A1654" i="1"/>
  <c r="B1654" i="1"/>
  <c r="C1654" i="1"/>
  <c r="D1654" i="1"/>
  <c r="E1654" i="1"/>
  <c r="F1654" i="1"/>
  <c r="G1654" i="1"/>
  <c r="H1654" i="1"/>
  <c r="I1654" i="1"/>
  <c r="J1654" i="1"/>
  <c r="K1654" i="1"/>
  <c r="L1654" i="1"/>
  <c r="A1655" i="1"/>
  <c r="B1655" i="1"/>
  <c r="C1655" i="1"/>
  <c r="D1655" i="1"/>
  <c r="E1655" i="1"/>
  <c r="F1655" i="1"/>
  <c r="G1655" i="1"/>
  <c r="H1655" i="1"/>
  <c r="I1655" i="1"/>
  <c r="J1655" i="1"/>
  <c r="K1655" i="1"/>
  <c r="L1655" i="1"/>
  <c r="A1656" i="1"/>
  <c r="B1656" i="1"/>
  <c r="C1656" i="1"/>
  <c r="D1656" i="1"/>
  <c r="E1656" i="1"/>
  <c r="F1656" i="1"/>
  <c r="G1656" i="1"/>
  <c r="H1656" i="1"/>
  <c r="I1656" i="1"/>
  <c r="J1656" i="1"/>
  <c r="K1656" i="1"/>
  <c r="L1656" i="1"/>
  <c r="A1657" i="1"/>
  <c r="B1657" i="1"/>
  <c r="C1657" i="1"/>
  <c r="D1657" i="1"/>
  <c r="E1657" i="1"/>
  <c r="F1657" i="1"/>
  <c r="G1657" i="1"/>
  <c r="H1657" i="1"/>
  <c r="I1657" i="1"/>
  <c r="J1657" i="1"/>
  <c r="K1657" i="1"/>
  <c r="L1657" i="1"/>
  <c r="A1658" i="1"/>
  <c r="B1658" i="1"/>
  <c r="C1658" i="1"/>
  <c r="D1658" i="1"/>
  <c r="E1658" i="1"/>
  <c r="F1658" i="1"/>
  <c r="G1658" i="1"/>
  <c r="H1658" i="1"/>
  <c r="I1658" i="1"/>
  <c r="J1658" i="1"/>
  <c r="K1658" i="1"/>
  <c r="L1658" i="1"/>
  <c r="A1659" i="1"/>
  <c r="B1659" i="1"/>
  <c r="C1659" i="1"/>
  <c r="D1659" i="1"/>
  <c r="E1659" i="1"/>
  <c r="F1659" i="1"/>
  <c r="G1659" i="1"/>
  <c r="H1659" i="1"/>
  <c r="I1659" i="1"/>
  <c r="J1659" i="1"/>
  <c r="K1659" i="1"/>
  <c r="L1659" i="1"/>
  <c r="A1660" i="1"/>
  <c r="B1660" i="1"/>
  <c r="C1660" i="1"/>
  <c r="D1660" i="1"/>
  <c r="E1660" i="1"/>
  <c r="F1660" i="1"/>
  <c r="G1660" i="1"/>
  <c r="H1660" i="1"/>
  <c r="I1660" i="1"/>
  <c r="J1660" i="1"/>
  <c r="K1660" i="1"/>
  <c r="L1660" i="1"/>
  <c r="A1661" i="1"/>
  <c r="B1661" i="1"/>
  <c r="C1661" i="1"/>
  <c r="D1661" i="1"/>
  <c r="E1661" i="1"/>
  <c r="F1661" i="1"/>
  <c r="G1661" i="1"/>
  <c r="H1661" i="1"/>
  <c r="I1661" i="1"/>
  <c r="J1661" i="1"/>
  <c r="K1661" i="1"/>
  <c r="L1661" i="1"/>
  <c r="A1662" i="1"/>
  <c r="B1662" i="1"/>
  <c r="C1662" i="1"/>
  <c r="D1662" i="1"/>
  <c r="E1662" i="1"/>
  <c r="F1662" i="1"/>
  <c r="G1662" i="1"/>
  <c r="H1662" i="1"/>
  <c r="I1662" i="1"/>
  <c r="J1662" i="1"/>
  <c r="K1662" i="1"/>
  <c r="L1662" i="1"/>
  <c r="A1663" i="1"/>
  <c r="B1663" i="1"/>
  <c r="C1663" i="1"/>
  <c r="D1663" i="1"/>
  <c r="E1663" i="1"/>
  <c r="F1663" i="1"/>
  <c r="G1663" i="1"/>
  <c r="H1663" i="1"/>
  <c r="I1663" i="1"/>
  <c r="J1663" i="1"/>
  <c r="K1663" i="1"/>
  <c r="L1663" i="1"/>
  <c r="A1664" i="1"/>
  <c r="B1664" i="1"/>
  <c r="C1664" i="1"/>
  <c r="D1664" i="1"/>
  <c r="E1664" i="1"/>
  <c r="F1664" i="1"/>
  <c r="G1664" i="1"/>
  <c r="H1664" i="1"/>
  <c r="I1664" i="1"/>
  <c r="J1664" i="1"/>
  <c r="K1664" i="1"/>
  <c r="L1664" i="1"/>
  <c r="A1665" i="1"/>
  <c r="B1665" i="1"/>
  <c r="C1665" i="1"/>
  <c r="D1665" i="1"/>
  <c r="E1665" i="1"/>
  <c r="F1665" i="1"/>
  <c r="G1665" i="1"/>
  <c r="H1665" i="1"/>
  <c r="I1665" i="1"/>
  <c r="J1665" i="1"/>
  <c r="K1665" i="1"/>
  <c r="L1665" i="1"/>
  <c r="A1666" i="1"/>
  <c r="B1666" i="1"/>
  <c r="C1666" i="1"/>
  <c r="D1666" i="1"/>
  <c r="E1666" i="1"/>
  <c r="F1666" i="1"/>
  <c r="G1666" i="1"/>
  <c r="H1666" i="1"/>
  <c r="I1666" i="1"/>
  <c r="J1666" i="1"/>
  <c r="K1666" i="1"/>
  <c r="L1666" i="1"/>
  <c r="A1667" i="1"/>
  <c r="B1667" i="1"/>
  <c r="C1667" i="1"/>
  <c r="D1667" i="1"/>
  <c r="E1667" i="1"/>
  <c r="F1667" i="1"/>
  <c r="G1667" i="1"/>
  <c r="H1667" i="1"/>
  <c r="I1667" i="1"/>
  <c r="J1667" i="1"/>
  <c r="K1667" i="1"/>
  <c r="L1667" i="1"/>
  <c r="A1668" i="1"/>
  <c r="B1668" i="1"/>
  <c r="C1668" i="1"/>
  <c r="D1668" i="1"/>
  <c r="E1668" i="1"/>
  <c r="F1668" i="1"/>
  <c r="G1668" i="1"/>
  <c r="H1668" i="1"/>
  <c r="I1668" i="1"/>
  <c r="J1668" i="1"/>
  <c r="K1668" i="1"/>
  <c r="L1668" i="1"/>
  <c r="A1669" i="1"/>
  <c r="B1669" i="1"/>
  <c r="C1669" i="1"/>
  <c r="D1669" i="1"/>
  <c r="E1669" i="1"/>
  <c r="F1669" i="1"/>
  <c r="G1669" i="1"/>
  <c r="H1669" i="1"/>
  <c r="I1669" i="1"/>
  <c r="J1669" i="1"/>
  <c r="K1669" i="1"/>
  <c r="L1669" i="1"/>
  <c r="A1670" i="1"/>
  <c r="B1670" i="1"/>
  <c r="C1670" i="1"/>
  <c r="D1670" i="1"/>
  <c r="E1670" i="1"/>
  <c r="F1670" i="1"/>
  <c r="G1670" i="1"/>
  <c r="H1670" i="1"/>
  <c r="I1670" i="1"/>
  <c r="J1670" i="1"/>
  <c r="K1670" i="1"/>
  <c r="L1670" i="1"/>
  <c r="A1671" i="1"/>
  <c r="B1671" i="1"/>
  <c r="C1671" i="1"/>
  <c r="D1671" i="1"/>
  <c r="E1671" i="1"/>
  <c r="F1671" i="1"/>
  <c r="G1671" i="1"/>
  <c r="H1671" i="1"/>
  <c r="I1671" i="1"/>
  <c r="J1671" i="1"/>
  <c r="K1671" i="1"/>
  <c r="L1671" i="1"/>
  <c r="A1672" i="1"/>
  <c r="B1672" i="1"/>
  <c r="C1672" i="1"/>
  <c r="D1672" i="1"/>
  <c r="E1672" i="1"/>
  <c r="F1672" i="1"/>
  <c r="G1672" i="1"/>
  <c r="H1672" i="1"/>
  <c r="I1672" i="1"/>
  <c r="J1672" i="1"/>
  <c r="K1672" i="1"/>
  <c r="L1672" i="1"/>
  <c r="A1673" i="1"/>
  <c r="B1673" i="1"/>
  <c r="C1673" i="1"/>
  <c r="D1673" i="1"/>
  <c r="E1673" i="1"/>
  <c r="F1673" i="1"/>
  <c r="G1673" i="1"/>
  <c r="H1673" i="1"/>
  <c r="I1673" i="1"/>
  <c r="J1673" i="1"/>
  <c r="K1673" i="1"/>
  <c r="L1673" i="1"/>
  <c r="A1674" i="1"/>
  <c r="B1674" i="1"/>
  <c r="C1674" i="1"/>
  <c r="D1674" i="1"/>
  <c r="E1674" i="1"/>
  <c r="F1674" i="1"/>
  <c r="G1674" i="1"/>
  <c r="H1674" i="1"/>
  <c r="I1674" i="1"/>
  <c r="J1674" i="1"/>
  <c r="K1674" i="1"/>
  <c r="L1674" i="1"/>
  <c r="A1675" i="1"/>
  <c r="B1675" i="1"/>
  <c r="C1675" i="1"/>
  <c r="D1675" i="1"/>
  <c r="E1675" i="1"/>
  <c r="F1675" i="1"/>
  <c r="G1675" i="1"/>
  <c r="H1675" i="1"/>
  <c r="I1675" i="1"/>
  <c r="J1675" i="1"/>
  <c r="K1675" i="1"/>
  <c r="L1675" i="1"/>
  <c r="A1676" i="1"/>
  <c r="B1676" i="1"/>
  <c r="C1676" i="1"/>
  <c r="D1676" i="1"/>
  <c r="E1676" i="1"/>
  <c r="F1676" i="1"/>
  <c r="G1676" i="1"/>
  <c r="H1676" i="1"/>
  <c r="I1676" i="1"/>
  <c r="J1676" i="1"/>
  <c r="K1676" i="1"/>
  <c r="L1676" i="1"/>
  <c r="A1677" i="1"/>
  <c r="B1677" i="1"/>
  <c r="C1677" i="1"/>
  <c r="D1677" i="1"/>
  <c r="E1677" i="1"/>
  <c r="F1677" i="1"/>
  <c r="G1677" i="1"/>
  <c r="H1677" i="1"/>
  <c r="I1677" i="1"/>
  <c r="J1677" i="1"/>
  <c r="K1677" i="1"/>
  <c r="L1677" i="1"/>
  <c r="A1678" i="1"/>
  <c r="B1678" i="1"/>
  <c r="C1678" i="1"/>
  <c r="D1678" i="1"/>
  <c r="E1678" i="1"/>
  <c r="F1678" i="1"/>
  <c r="G1678" i="1"/>
  <c r="H1678" i="1"/>
  <c r="I1678" i="1"/>
  <c r="J1678" i="1"/>
  <c r="K1678" i="1"/>
  <c r="L1678" i="1"/>
  <c r="A1679" i="1"/>
  <c r="B1679" i="1"/>
  <c r="C1679" i="1"/>
  <c r="D1679" i="1"/>
  <c r="E1679" i="1"/>
  <c r="F1679" i="1"/>
  <c r="G1679" i="1"/>
  <c r="H1679" i="1"/>
  <c r="I1679" i="1"/>
  <c r="J1679" i="1"/>
  <c r="K1679" i="1"/>
  <c r="L1679" i="1"/>
  <c r="A1680" i="1"/>
  <c r="B1680" i="1"/>
  <c r="C1680" i="1"/>
  <c r="D1680" i="1"/>
  <c r="E1680" i="1"/>
  <c r="F1680" i="1"/>
  <c r="G1680" i="1"/>
  <c r="H1680" i="1"/>
  <c r="I1680" i="1"/>
  <c r="J1680" i="1"/>
  <c r="K1680" i="1"/>
  <c r="L1680" i="1"/>
  <c r="A1681" i="1"/>
  <c r="B1681" i="1"/>
  <c r="C1681" i="1"/>
  <c r="D1681" i="1"/>
  <c r="E1681" i="1"/>
  <c r="F1681" i="1"/>
  <c r="G1681" i="1"/>
  <c r="H1681" i="1"/>
  <c r="I1681" i="1"/>
  <c r="J1681" i="1"/>
  <c r="K1681" i="1"/>
  <c r="L1681" i="1"/>
  <c r="A1682" i="1"/>
  <c r="B1682" i="1"/>
  <c r="C1682" i="1"/>
  <c r="D1682" i="1"/>
  <c r="E1682" i="1"/>
  <c r="F1682" i="1"/>
  <c r="G1682" i="1"/>
  <c r="H1682" i="1"/>
  <c r="I1682" i="1"/>
  <c r="J1682" i="1"/>
  <c r="K1682" i="1"/>
  <c r="L1682" i="1"/>
  <c r="A1683" i="1"/>
  <c r="B1683" i="1"/>
  <c r="C1683" i="1"/>
  <c r="D1683" i="1"/>
  <c r="E1683" i="1"/>
  <c r="F1683" i="1"/>
  <c r="G1683" i="1"/>
  <c r="H1683" i="1"/>
  <c r="I1683" i="1"/>
  <c r="J1683" i="1"/>
  <c r="K1683" i="1"/>
  <c r="L1683" i="1"/>
  <c r="A1684" i="1"/>
  <c r="B1684" i="1"/>
  <c r="C1684" i="1"/>
  <c r="D1684" i="1"/>
  <c r="E1684" i="1"/>
  <c r="F1684" i="1"/>
  <c r="G1684" i="1"/>
  <c r="H1684" i="1"/>
  <c r="I1684" i="1"/>
  <c r="J1684" i="1"/>
  <c r="K1684" i="1"/>
  <c r="L1684" i="1"/>
  <c r="A1685" i="1"/>
  <c r="B1685" i="1"/>
  <c r="C1685" i="1"/>
  <c r="D1685" i="1"/>
  <c r="E1685" i="1"/>
  <c r="F1685" i="1"/>
  <c r="G1685" i="1"/>
  <c r="H1685" i="1"/>
  <c r="I1685" i="1"/>
  <c r="J1685" i="1"/>
  <c r="K1685" i="1"/>
  <c r="L1685" i="1"/>
  <c r="A1686" i="1"/>
  <c r="B1686" i="1"/>
  <c r="C1686" i="1"/>
  <c r="D1686" i="1"/>
  <c r="E1686" i="1"/>
  <c r="F1686" i="1"/>
  <c r="G1686" i="1"/>
  <c r="H1686" i="1"/>
  <c r="I1686" i="1"/>
  <c r="J1686" i="1"/>
  <c r="K1686" i="1"/>
  <c r="L1686" i="1"/>
  <c r="A1687" i="1"/>
  <c r="B1687" i="1"/>
  <c r="C1687" i="1"/>
  <c r="D1687" i="1"/>
  <c r="E1687" i="1"/>
  <c r="F1687" i="1"/>
  <c r="G1687" i="1"/>
  <c r="H1687" i="1"/>
  <c r="I1687" i="1"/>
  <c r="J1687" i="1"/>
  <c r="K1687" i="1"/>
  <c r="L1687" i="1"/>
  <c r="A1688" i="1"/>
  <c r="B1688" i="1"/>
  <c r="C1688" i="1"/>
  <c r="D1688" i="1"/>
  <c r="E1688" i="1"/>
  <c r="F1688" i="1"/>
  <c r="G1688" i="1"/>
  <c r="H1688" i="1"/>
  <c r="I1688" i="1"/>
  <c r="J1688" i="1"/>
  <c r="K1688" i="1"/>
  <c r="L1688" i="1"/>
  <c r="A1689" i="1"/>
  <c r="B1689" i="1"/>
  <c r="C1689" i="1"/>
  <c r="D1689" i="1"/>
  <c r="E1689" i="1"/>
  <c r="F1689" i="1"/>
  <c r="G1689" i="1"/>
  <c r="H1689" i="1"/>
  <c r="I1689" i="1"/>
  <c r="J1689" i="1"/>
  <c r="K1689" i="1"/>
  <c r="L1689" i="1"/>
  <c r="A1690" i="1"/>
  <c r="B1690" i="1"/>
  <c r="C1690" i="1"/>
  <c r="D1690" i="1"/>
  <c r="E1690" i="1"/>
  <c r="F1690" i="1"/>
  <c r="G1690" i="1"/>
  <c r="H1690" i="1"/>
  <c r="I1690" i="1"/>
  <c r="J1690" i="1"/>
  <c r="K1690" i="1"/>
  <c r="L1690" i="1"/>
  <c r="A1691" i="1"/>
  <c r="B1691" i="1"/>
  <c r="C1691" i="1"/>
  <c r="D1691" i="1"/>
  <c r="E1691" i="1"/>
  <c r="F1691" i="1"/>
  <c r="G1691" i="1"/>
  <c r="H1691" i="1"/>
  <c r="I1691" i="1"/>
  <c r="J1691" i="1"/>
  <c r="K1691" i="1"/>
  <c r="L1691" i="1"/>
  <c r="A1692" i="1"/>
  <c r="B1692" i="1"/>
  <c r="C1692" i="1"/>
  <c r="D1692" i="1"/>
  <c r="E1692" i="1"/>
  <c r="F1692" i="1"/>
  <c r="G1692" i="1"/>
  <c r="H1692" i="1"/>
  <c r="I1692" i="1"/>
  <c r="J1692" i="1"/>
  <c r="K1692" i="1"/>
  <c r="L1692" i="1"/>
  <c r="A1693" i="1"/>
  <c r="B1693" i="1"/>
  <c r="C1693" i="1"/>
  <c r="D1693" i="1"/>
  <c r="E1693" i="1"/>
  <c r="F1693" i="1"/>
  <c r="G1693" i="1"/>
  <c r="H1693" i="1"/>
  <c r="I1693" i="1"/>
  <c r="J1693" i="1"/>
  <c r="K1693" i="1"/>
  <c r="L1693" i="1"/>
  <c r="A1694" i="1"/>
  <c r="B1694" i="1"/>
  <c r="C1694" i="1"/>
  <c r="D1694" i="1"/>
  <c r="E1694" i="1"/>
  <c r="F1694" i="1"/>
  <c r="G1694" i="1"/>
  <c r="H1694" i="1"/>
  <c r="I1694" i="1"/>
  <c r="J1694" i="1"/>
  <c r="K1694" i="1"/>
  <c r="L1694" i="1"/>
  <c r="A1695" i="1"/>
  <c r="B1695" i="1"/>
  <c r="C1695" i="1"/>
  <c r="D1695" i="1"/>
  <c r="E1695" i="1"/>
  <c r="F1695" i="1"/>
  <c r="G1695" i="1"/>
  <c r="H1695" i="1"/>
  <c r="I1695" i="1"/>
  <c r="J1695" i="1"/>
  <c r="K1695" i="1"/>
  <c r="L1695" i="1"/>
  <c r="A1696" i="1"/>
  <c r="B1696" i="1"/>
  <c r="C1696" i="1"/>
  <c r="D1696" i="1"/>
  <c r="E1696" i="1"/>
  <c r="F1696" i="1"/>
  <c r="G1696" i="1"/>
  <c r="H1696" i="1"/>
  <c r="I1696" i="1"/>
  <c r="J1696" i="1"/>
  <c r="K1696" i="1"/>
  <c r="L1696" i="1"/>
  <c r="A1697" i="1"/>
  <c r="B1697" i="1"/>
  <c r="C1697" i="1"/>
  <c r="D1697" i="1"/>
  <c r="E1697" i="1"/>
  <c r="F1697" i="1"/>
  <c r="G1697" i="1"/>
  <c r="H1697" i="1"/>
  <c r="I1697" i="1"/>
  <c r="J1697" i="1"/>
  <c r="K1697" i="1"/>
  <c r="L1697" i="1"/>
  <c r="A1698" i="1"/>
  <c r="B1698" i="1"/>
  <c r="C1698" i="1"/>
  <c r="D1698" i="1"/>
  <c r="E1698" i="1"/>
  <c r="F1698" i="1"/>
  <c r="G1698" i="1"/>
  <c r="H1698" i="1"/>
  <c r="I1698" i="1"/>
  <c r="J1698" i="1"/>
  <c r="K1698" i="1"/>
  <c r="L1698" i="1"/>
  <c r="A1699" i="1"/>
  <c r="B1699" i="1"/>
  <c r="C1699" i="1"/>
  <c r="D1699" i="1"/>
  <c r="E1699" i="1"/>
  <c r="F1699" i="1"/>
  <c r="G1699" i="1"/>
  <c r="H1699" i="1"/>
  <c r="I1699" i="1"/>
  <c r="J1699" i="1"/>
  <c r="K1699" i="1"/>
  <c r="L1699" i="1"/>
  <c r="A1700" i="1"/>
  <c r="B1700" i="1"/>
  <c r="C1700" i="1"/>
  <c r="D1700" i="1"/>
  <c r="E1700" i="1"/>
  <c r="F1700" i="1"/>
  <c r="G1700" i="1"/>
  <c r="H1700" i="1"/>
  <c r="I1700" i="1"/>
  <c r="J1700" i="1"/>
  <c r="K1700" i="1"/>
  <c r="L1700" i="1"/>
  <c r="A1701" i="1"/>
  <c r="B1701" i="1"/>
  <c r="C1701" i="1"/>
  <c r="D1701" i="1"/>
  <c r="E1701" i="1"/>
  <c r="F1701" i="1"/>
  <c r="G1701" i="1"/>
  <c r="H1701" i="1"/>
  <c r="I1701" i="1"/>
  <c r="J1701" i="1"/>
  <c r="K1701" i="1"/>
  <c r="L1701" i="1"/>
  <c r="A1702" i="1"/>
  <c r="B1702" i="1"/>
  <c r="C1702" i="1"/>
  <c r="D1702" i="1"/>
  <c r="E1702" i="1"/>
  <c r="F1702" i="1"/>
  <c r="G1702" i="1"/>
  <c r="H1702" i="1"/>
  <c r="I1702" i="1"/>
  <c r="J1702" i="1"/>
  <c r="K1702" i="1"/>
  <c r="L1702" i="1"/>
  <c r="A1703" i="1"/>
  <c r="B1703" i="1"/>
  <c r="C1703" i="1"/>
  <c r="D1703" i="1"/>
  <c r="E1703" i="1"/>
  <c r="F1703" i="1"/>
  <c r="G1703" i="1"/>
  <c r="H1703" i="1"/>
  <c r="I1703" i="1"/>
  <c r="J1703" i="1"/>
  <c r="K1703" i="1"/>
  <c r="L1703" i="1"/>
  <c r="A1704" i="1"/>
  <c r="B1704" i="1"/>
  <c r="C1704" i="1"/>
  <c r="D1704" i="1"/>
  <c r="E1704" i="1"/>
  <c r="F1704" i="1"/>
  <c r="G1704" i="1"/>
  <c r="H1704" i="1"/>
  <c r="I1704" i="1"/>
  <c r="J1704" i="1"/>
  <c r="K1704" i="1"/>
  <c r="L1704" i="1"/>
  <c r="A1705" i="1"/>
  <c r="B1705" i="1"/>
  <c r="C1705" i="1"/>
  <c r="D1705" i="1"/>
  <c r="E1705" i="1"/>
  <c r="F1705" i="1"/>
  <c r="G1705" i="1"/>
  <c r="H1705" i="1"/>
  <c r="I1705" i="1"/>
  <c r="J1705" i="1"/>
  <c r="K1705" i="1"/>
  <c r="L1705" i="1"/>
  <c r="A1706" i="1"/>
  <c r="B1706" i="1"/>
  <c r="C1706" i="1"/>
  <c r="D1706" i="1"/>
  <c r="E1706" i="1"/>
  <c r="F1706" i="1"/>
  <c r="G1706" i="1"/>
  <c r="H1706" i="1"/>
  <c r="I1706" i="1"/>
  <c r="J1706" i="1"/>
  <c r="K1706" i="1"/>
  <c r="L1706" i="1"/>
  <c r="A1707" i="1"/>
  <c r="B1707" i="1"/>
  <c r="C1707" i="1"/>
  <c r="D1707" i="1"/>
  <c r="E1707" i="1"/>
  <c r="F1707" i="1"/>
  <c r="G1707" i="1"/>
  <c r="H1707" i="1"/>
  <c r="I1707" i="1"/>
  <c r="J1707" i="1"/>
  <c r="K1707" i="1"/>
  <c r="L1707" i="1"/>
  <c r="A1708" i="1"/>
  <c r="B1708" i="1"/>
  <c r="C1708" i="1"/>
  <c r="D1708" i="1"/>
  <c r="E1708" i="1"/>
  <c r="F1708" i="1"/>
  <c r="G1708" i="1"/>
  <c r="H1708" i="1"/>
  <c r="I1708" i="1"/>
  <c r="J1708" i="1"/>
  <c r="K1708" i="1"/>
  <c r="L1708" i="1"/>
  <c r="A1709" i="1"/>
  <c r="B1709" i="1"/>
  <c r="C1709" i="1"/>
  <c r="D1709" i="1"/>
  <c r="E1709" i="1"/>
  <c r="F1709" i="1"/>
  <c r="G1709" i="1"/>
  <c r="H1709" i="1"/>
  <c r="I1709" i="1"/>
  <c r="J1709" i="1"/>
  <c r="K1709" i="1"/>
  <c r="L1709" i="1"/>
  <c r="A1710" i="1"/>
  <c r="B1710" i="1"/>
  <c r="C1710" i="1"/>
  <c r="D1710" i="1"/>
  <c r="E1710" i="1"/>
  <c r="F1710" i="1"/>
  <c r="G1710" i="1"/>
  <c r="H1710" i="1"/>
  <c r="I1710" i="1"/>
  <c r="J1710" i="1"/>
  <c r="K1710" i="1"/>
  <c r="L1710" i="1"/>
  <c r="A1711" i="1"/>
  <c r="B1711" i="1"/>
  <c r="C1711" i="1"/>
  <c r="D1711" i="1"/>
  <c r="E1711" i="1"/>
  <c r="F1711" i="1"/>
  <c r="G1711" i="1"/>
  <c r="H1711" i="1"/>
  <c r="I1711" i="1"/>
  <c r="J1711" i="1"/>
  <c r="K1711" i="1"/>
  <c r="L1711" i="1"/>
  <c r="A1712" i="1"/>
  <c r="B1712" i="1"/>
  <c r="C1712" i="1"/>
  <c r="D1712" i="1"/>
  <c r="E1712" i="1"/>
  <c r="F1712" i="1"/>
  <c r="G1712" i="1"/>
  <c r="H1712" i="1"/>
  <c r="I1712" i="1"/>
  <c r="J1712" i="1"/>
  <c r="K1712" i="1"/>
  <c r="L1712" i="1"/>
  <c r="A1713" i="1"/>
  <c r="B1713" i="1"/>
  <c r="C1713" i="1"/>
  <c r="D1713" i="1"/>
  <c r="E1713" i="1"/>
  <c r="F1713" i="1"/>
  <c r="G1713" i="1"/>
  <c r="H1713" i="1"/>
  <c r="I1713" i="1"/>
  <c r="J1713" i="1"/>
  <c r="K1713" i="1"/>
  <c r="L1713" i="1"/>
  <c r="A1714" i="1"/>
  <c r="B1714" i="1"/>
  <c r="C1714" i="1"/>
  <c r="D1714" i="1"/>
  <c r="E1714" i="1"/>
  <c r="F1714" i="1"/>
  <c r="G1714" i="1"/>
  <c r="H1714" i="1"/>
  <c r="I1714" i="1"/>
  <c r="J1714" i="1"/>
  <c r="K1714" i="1"/>
  <c r="L1714" i="1"/>
  <c r="A1715" i="1"/>
  <c r="B1715" i="1"/>
  <c r="C1715" i="1"/>
  <c r="D1715" i="1"/>
  <c r="E1715" i="1"/>
  <c r="F1715" i="1"/>
  <c r="G1715" i="1"/>
  <c r="H1715" i="1"/>
  <c r="I1715" i="1"/>
  <c r="J1715" i="1"/>
  <c r="K1715" i="1"/>
  <c r="L1715" i="1"/>
  <c r="A1716" i="1"/>
  <c r="B1716" i="1"/>
  <c r="C1716" i="1"/>
  <c r="D1716" i="1"/>
  <c r="E1716" i="1"/>
  <c r="F1716" i="1"/>
  <c r="G1716" i="1"/>
  <c r="H1716" i="1"/>
  <c r="I1716" i="1"/>
  <c r="J1716" i="1"/>
  <c r="K1716" i="1"/>
  <c r="L1716" i="1"/>
  <c r="A1717" i="1"/>
  <c r="B1717" i="1"/>
  <c r="C1717" i="1"/>
  <c r="D1717" i="1"/>
  <c r="E1717" i="1"/>
  <c r="F1717" i="1"/>
  <c r="G1717" i="1"/>
  <c r="H1717" i="1"/>
  <c r="I1717" i="1"/>
  <c r="J1717" i="1"/>
  <c r="K1717" i="1"/>
  <c r="L1717" i="1"/>
  <c r="A1718" i="1"/>
  <c r="B1718" i="1"/>
  <c r="C1718" i="1"/>
  <c r="D1718" i="1"/>
  <c r="E1718" i="1"/>
  <c r="F1718" i="1"/>
  <c r="G1718" i="1"/>
  <c r="H1718" i="1"/>
  <c r="I1718" i="1"/>
  <c r="J1718" i="1"/>
  <c r="K1718" i="1"/>
  <c r="L1718" i="1"/>
  <c r="A1719" i="1"/>
  <c r="B1719" i="1"/>
  <c r="C1719" i="1"/>
  <c r="D1719" i="1"/>
  <c r="E1719" i="1"/>
  <c r="F1719" i="1"/>
  <c r="G1719" i="1"/>
  <c r="H1719" i="1"/>
  <c r="I1719" i="1"/>
  <c r="J1719" i="1"/>
  <c r="K1719" i="1"/>
  <c r="L1719" i="1"/>
  <c r="A1720" i="1"/>
  <c r="B1720" i="1"/>
  <c r="C1720" i="1"/>
  <c r="D1720" i="1"/>
  <c r="E1720" i="1"/>
  <c r="F1720" i="1"/>
  <c r="G1720" i="1"/>
  <c r="H1720" i="1"/>
  <c r="I1720" i="1"/>
  <c r="J1720" i="1"/>
  <c r="K1720" i="1"/>
  <c r="L1720" i="1"/>
  <c r="A1721" i="1"/>
  <c r="B1721" i="1"/>
  <c r="C1721" i="1"/>
  <c r="D1721" i="1"/>
  <c r="E1721" i="1"/>
  <c r="F1721" i="1"/>
  <c r="G1721" i="1"/>
  <c r="H1721" i="1"/>
  <c r="I1721" i="1"/>
  <c r="J1721" i="1"/>
  <c r="K1721" i="1"/>
  <c r="L1721" i="1"/>
  <c r="A1722" i="1"/>
  <c r="B1722" i="1"/>
  <c r="C1722" i="1"/>
  <c r="D1722" i="1"/>
  <c r="E1722" i="1"/>
  <c r="F1722" i="1"/>
  <c r="G1722" i="1"/>
  <c r="H1722" i="1"/>
  <c r="I1722" i="1"/>
  <c r="J1722" i="1"/>
  <c r="K1722" i="1"/>
  <c r="L1722" i="1"/>
  <c r="A1723" i="1"/>
  <c r="B1723" i="1"/>
  <c r="C1723" i="1"/>
  <c r="D1723" i="1"/>
  <c r="E1723" i="1"/>
  <c r="F1723" i="1"/>
  <c r="G1723" i="1"/>
  <c r="H1723" i="1"/>
  <c r="I1723" i="1"/>
  <c r="J1723" i="1"/>
  <c r="K1723" i="1"/>
  <c r="L1723" i="1"/>
  <c r="A1724" i="1"/>
  <c r="B1724" i="1"/>
  <c r="C1724" i="1"/>
  <c r="D1724" i="1"/>
  <c r="E1724" i="1"/>
  <c r="F1724" i="1"/>
  <c r="G1724" i="1"/>
  <c r="H1724" i="1"/>
  <c r="I1724" i="1"/>
  <c r="J1724" i="1"/>
  <c r="K1724" i="1"/>
  <c r="L1724" i="1"/>
  <c r="A1725" i="1"/>
  <c r="B1725" i="1"/>
  <c r="C1725" i="1"/>
  <c r="D1725" i="1"/>
  <c r="E1725" i="1"/>
  <c r="F1725" i="1"/>
  <c r="G1725" i="1"/>
  <c r="H1725" i="1"/>
  <c r="I1725" i="1"/>
  <c r="J1725" i="1"/>
  <c r="K1725" i="1"/>
  <c r="L1725" i="1"/>
  <c r="A1726" i="1"/>
  <c r="B1726" i="1"/>
  <c r="C1726" i="1"/>
  <c r="D1726" i="1"/>
  <c r="E1726" i="1"/>
  <c r="F1726" i="1"/>
  <c r="G1726" i="1"/>
  <c r="H1726" i="1"/>
  <c r="I1726" i="1"/>
  <c r="J1726" i="1"/>
  <c r="K1726" i="1"/>
  <c r="L1726" i="1"/>
  <c r="A1727" i="1"/>
  <c r="B1727" i="1"/>
  <c r="C1727" i="1"/>
  <c r="D1727" i="1"/>
  <c r="E1727" i="1"/>
  <c r="F1727" i="1"/>
  <c r="G1727" i="1"/>
  <c r="H1727" i="1"/>
  <c r="I1727" i="1"/>
  <c r="J1727" i="1"/>
  <c r="K1727" i="1"/>
  <c r="L1727" i="1"/>
  <c r="A1728" i="1"/>
  <c r="B1728" i="1"/>
  <c r="C1728" i="1"/>
  <c r="D1728" i="1"/>
  <c r="E1728" i="1"/>
  <c r="F1728" i="1"/>
  <c r="G1728" i="1"/>
  <c r="H1728" i="1"/>
  <c r="I1728" i="1"/>
  <c r="J1728" i="1"/>
  <c r="K1728" i="1"/>
  <c r="L1728" i="1"/>
  <c r="A1729" i="1"/>
  <c r="B1729" i="1"/>
  <c r="C1729" i="1"/>
  <c r="D1729" i="1"/>
  <c r="E1729" i="1"/>
  <c r="F1729" i="1"/>
  <c r="G1729" i="1"/>
  <c r="H1729" i="1"/>
  <c r="I1729" i="1"/>
  <c r="J1729" i="1"/>
  <c r="K1729" i="1"/>
  <c r="L1729" i="1"/>
  <c r="A1730" i="1"/>
  <c r="B1730" i="1"/>
  <c r="C1730" i="1"/>
  <c r="D1730" i="1"/>
  <c r="E1730" i="1"/>
  <c r="F1730" i="1"/>
  <c r="G1730" i="1"/>
  <c r="H1730" i="1"/>
  <c r="I1730" i="1"/>
  <c r="J1730" i="1"/>
  <c r="K1730" i="1"/>
  <c r="L1730" i="1"/>
  <c r="A1731" i="1"/>
  <c r="B1731" i="1"/>
  <c r="C1731" i="1"/>
  <c r="D1731" i="1"/>
  <c r="E1731" i="1"/>
  <c r="F1731" i="1"/>
  <c r="G1731" i="1"/>
  <c r="H1731" i="1"/>
  <c r="I1731" i="1"/>
  <c r="J1731" i="1"/>
  <c r="K1731" i="1"/>
  <c r="L1731" i="1"/>
  <c r="A1732" i="1"/>
  <c r="B1732" i="1"/>
  <c r="C1732" i="1"/>
  <c r="D1732" i="1"/>
  <c r="E1732" i="1"/>
  <c r="F1732" i="1"/>
  <c r="G1732" i="1"/>
  <c r="H1732" i="1"/>
  <c r="I1732" i="1"/>
  <c r="J1732" i="1"/>
  <c r="K1732" i="1"/>
  <c r="L1732" i="1"/>
  <c r="A1733" i="1"/>
  <c r="B1733" i="1"/>
  <c r="C1733" i="1"/>
  <c r="D1733" i="1"/>
  <c r="E1733" i="1"/>
  <c r="F1733" i="1"/>
  <c r="G1733" i="1"/>
  <c r="H1733" i="1"/>
  <c r="I1733" i="1"/>
  <c r="J1733" i="1"/>
  <c r="K1733" i="1"/>
  <c r="L1733" i="1"/>
  <c r="A1734" i="1"/>
  <c r="B1734" i="1"/>
  <c r="C1734" i="1"/>
  <c r="D1734" i="1"/>
  <c r="E1734" i="1"/>
  <c r="F1734" i="1"/>
  <c r="G1734" i="1"/>
  <c r="H1734" i="1"/>
  <c r="I1734" i="1"/>
  <c r="J1734" i="1"/>
  <c r="K1734" i="1"/>
  <c r="L1734" i="1"/>
  <c r="A1735" i="1"/>
  <c r="B1735" i="1"/>
  <c r="C1735" i="1"/>
  <c r="D1735" i="1"/>
  <c r="E1735" i="1"/>
  <c r="F1735" i="1"/>
  <c r="G1735" i="1"/>
  <c r="H1735" i="1"/>
  <c r="I1735" i="1"/>
  <c r="J1735" i="1"/>
  <c r="K1735" i="1"/>
  <c r="L1735" i="1"/>
  <c r="A1736" i="1"/>
  <c r="B1736" i="1"/>
  <c r="C1736" i="1"/>
  <c r="D1736" i="1"/>
  <c r="E1736" i="1"/>
  <c r="F1736" i="1"/>
  <c r="G1736" i="1"/>
  <c r="H1736" i="1"/>
  <c r="I1736" i="1"/>
  <c r="J1736" i="1"/>
  <c r="K1736" i="1"/>
  <c r="L1736" i="1"/>
  <c r="A1737" i="1"/>
  <c r="B1737" i="1"/>
  <c r="C1737" i="1"/>
  <c r="D1737" i="1"/>
  <c r="E1737" i="1"/>
  <c r="F1737" i="1"/>
  <c r="G1737" i="1"/>
  <c r="H1737" i="1"/>
  <c r="I1737" i="1"/>
  <c r="J1737" i="1"/>
  <c r="K1737" i="1"/>
  <c r="L1737" i="1"/>
  <c r="A1738" i="1"/>
  <c r="B1738" i="1"/>
  <c r="C1738" i="1"/>
  <c r="D1738" i="1"/>
  <c r="E1738" i="1"/>
  <c r="F1738" i="1"/>
  <c r="G1738" i="1"/>
  <c r="H1738" i="1"/>
  <c r="I1738" i="1"/>
  <c r="J1738" i="1"/>
  <c r="K1738" i="1"/>
  <c r="L1738" i="1"/>
  <c r="A1739" i="1"/>
  <c r="B1739" i="1"/>
  <c r="C1739" i="1"/>
  <c r="D1739" i="1"/>
  <c r="E1739" i="1"/>
  <c r="F1739" i="1"/>
  <c r="G1739" i="1"/>
  <c r="H1739" i="1"/>
  <c r="I1739" i="1"/>
  <c r="J1739" i="1"/>
  <c r="K1739" i="1"/>
  <c r="L1739" i="1"/>
  <c r="A1740" i="1"/>
  <c r="B1740" i="1"/>
  <c r="C1740" i="1"/>
  <c r="D1740" i="1"/>
  <c r="E1740" i="1"/>
  <c r="F1740" i="1"/>
  <c r="G1740" i="1"/>
  <c r="H1740" i="1"/>
  <c r="I1740" i="1"/>
  <c r="J1740" i="1"/>
  <c r="K1740" i="1"/>
  <c r="L1740" i="1"/>
  <c r="A1741" i="1"/>
  <c r="B1741" i="1"/>
  <c r="C1741" i="1"/>
  <c r="D1741" i="1"/>
  <c r="E1741" i="1"/>
  <c r="F1741" i="1"/>
  <c r="G1741" i="1"/>
  <c r="H1741" i="1"/>
  <c r="I1741" i="1"/>
  <c r="J1741" i="1"/>
  <c r="K1741" i="1"/>
  <c r="L1741" i="1"/>
  <c r="A1742" i="1"/>
  <c r="B1742" i="1"/>
  <c r="C1742" i="1"/>
  <c r="D1742" i="1"/>
  <c r="E1742" i="1"/>
  <c r="F1742" i="1"/>
  <c r="G1742" i="1"/>
  <c r="H1742" i="1"/>
  <c r="I1742" i="1"/>
  <c r="J1742" i="1"/>
  <c r="K1742" i="1"/>
  <c r="L1742" i="1"/>
  <c r="A1743" i="1"/>
  <c r="B1743" i="1"/>
  <c r="C1743" i="1"/>
  <c r="D1743" i="1"/>
  <c r="E1743" i="1"/>
  <c r="F1743" i="1"/>
  <c r="G1743" i="1"/>
  <c r="H1743" i="1"/>
  <c r="I1743" i="1"/>
  <c r="J1743" i="1"/>
  <c r="K1743" i="1"/>
  <c r="L1743" i="1"/>
  <c r="A1744" i="1"/>
  <c r="B1744" i="1"/>
  <c r="C1744" i="1"/>
  <c r="D1744" i="1"/>
  <c r="E1744" i="1"/>
  <c r="F1744" i="1"/>
  <c r="G1744" i="1"/>
  <c r="H1744" i="1"/>
  <c r="I1744" i="1"/>
  <c r="J1744" i="1"/>
  <c r="K1744" i="1"/>
  <c r="L1744" i="1"/>
  <c r="A1745" i="1"/>
  <c r="B1745" i="1"/>
  <c r="C1745" i="1"/>
  <c r="D1745" i="1"/>
  <c r="E1745" i="1"/>
  <c r="F1745" i="1"/>
  <c r="G1745" i="1"/>
  <c r="H1745" i="1"/>
  <c r="I1745" i="1"/>
  <c r="J1745" i="1"/>
  <c r="K1745" i="1"/>
  <c r="L1745" i="1"/>
  <c r="A1746" i="1"/>
  <c r="B1746" i="1"/>
  <c r="C1746" i="1"/>
  <c r="D1746" i="1"/>
  <c r="E1746" i="1"/>
  <c r="F1746" i="1"/>
  <c r="G1746" i="1"/>
  <c r="H1746" i="1"/>
  <c r="I1746" i="1"/>
  <c r="J1746" i="1"/>
  <c r="K1746" i="1"/>
  <c r="L1746" i="1"/>
  <c r="A1747" i="1"/>
  <c r="B1747" i="1"/>
  <c r="C1747" i="1"/>
  <c r="D1747" i="1"/>
  <c r="E1747" i="1"/>
  <c r="F1747" i="1"/>
  <c r="G1747" i="1"/>
  <c r="H1747" i="1"/>
  <c r="I1747" i="1"/>
  <c r="J1747" i="1"/>
  <c r="K1747" i="1"/>
  <c r="L1747" i="1"/>
  <c r="A1748" i="1"/>
  <c r="B1748" i="1"/>
  <c r="C1748" i="1"/>
  <c r="D1748" i="1"/>
  <c r="E1748" i="1"/>
  <c r="F1748" i="1"/>
  <c r="G1748" i="1"/>
  <c r="H1748" i="1"/>
  <c r="I1748" i="1"/>
  <c r="J1748" i="1"/>
  <c r="K1748" i="1"/>
  <c r="L1748" i="1"/>
  <c r="A1749" i="1"/>
  <c r="B1749" i="1"/>
  <c r="C1749" i="1"/>
  <c r="D1749" i="1"/>
  <c r="E1749" i="1"/>
  <c r="F1749" i="1"/>
  <c r="G1749" i="1"/>
  <c r="H1749" i="1"/>
  <c r="I1749" i="1"/>
  <c r="J1749" i="1"/>
  <c r="K1749" i="1"/>
  <c r="L1749" i="1"/>
  <c r="A1750" i="1"/>
  <c r="B1750" i="1"/>
  <c r="C1750" i="1"/>
  <c r="D1750" i="1"/>
  <c r="E1750" i="1"/>
  <c r="F1750" i="1"/>
  <c r="G1750" i="1"/>
  <c r="H1750" i="1"/>
  <c r="I1750" i="1"/>
  <c r="J1750" i="1"/>
  <c r="K1750" i="1"/>
  <c r="L1750" i="1"/>
  <c r="A1751" i="1"/>
  <c r="B1751" i="1"/>
  <c r="C1751" i="1"/>
  <c r="D1751" i="1"/>
  <c r="E1751" i="1"/>
  <c r="F1751" i="1"/>
  <c r="G1751" i="1"/>
  <c r="H1751" i="1"/>
  <c r="I1751" i="1"/>
  <c r="J1751" i="1"/>
  <c r="K1751" i="1"/>
  <c r="L1751" i="1"/>
  <c r="A1752" i="1"/>
  <c r="B1752" i="1"/>
  <c r="C1752" i="1"/>
  <c r="D1752" i="1"/>
  <c r="E1752" i="1"/>
  <c r="F1752" i="1"/>
  <c r="G1752" i="1"/>
  <c r="H1752" i="1"/>
  <c r="I1752" i="1"/>
  <c r="J1752" i="1"/>
  <c r="K1752" i="1"/>
  <c r="L1752" i="1"/>
  <c r="A1753" i="1"/>
  <c r="B1753" i="1"/>
  <c r="C1753" i="1"/>
  <c r="D1753" i="1"/>
  <c r="E1753" i="1"/>
  <c r="F1753" i="1"/>
  <c r="G1753" i="1"/>
  <c r="H1753" i="1"/>
  <c r="I1753" i="1"/>
  <c r="J1753" i="1"/>
  <c r="K1753" i="1"/>
  <c r="L1753" i="1"/>
  <c r="A1754" i="1"/>
  <c r="B1754" i="1"/>
  <c r="C1754" i="1"/>
  <c r="D1754" i="1"/>
  <c r="E1754" i="1"/>
  <c r="F1754" i="1"/>
  <c r="G1754" i="1"/>
  <c r="H1754" i="1"/>
  <c r="I1754" i="1"/>
  <c r="J1754" i="1"/>
  <c r="K1754" i="1"/>
  <c r="L1754" i="1"/>
  <c r="A1755" i="1"/>
  <c r="B1755" i="1"/>
  <c r="C1755" i="1"/>
  <c r="D1755" i="1"/>
  <c r="E1755" i="1"/>
  <c r="F1755" i="1"/>
  <c r="G1755" i="1"/>
  <c r="H1755" i="1"/>
  <c r="I1755" i="1"/>
  <c r="J1755" i="1"/>
  <c r="K1755" i="1"/>
  <c r="L1755" i="1"/>
  <c r="A1756" i="1"/>
  <c r="B1756" i="1"/>
  <c r="C1756" i="1"/>
  <c r="D1756" i="1"/>
  <c r="E1756" i="1"/>
  <c r="F1756" i="1"/>
  <c r="G1756" i="1"/>
  <c r="H1756" i="1"/>
  <c r="I1756" i="1"/>
  <c r="J1756" i="1"/>
  <c r="K1756" i="1"/>
  <c r="L1756" i="1"/>
  <c r="A1757" i="1"/>
  <c r="B1757" i="1"/>
  <c r="C1757" i="1"/>
  <c r="D1757" i="1"/>
  <c r="E1757" i="1"/>
  <c r="F1757" i="1"/>
  <c r="G1757" i="1"/>
  <c r="H1757" i="1"/>
  <c r="I1757" i="1"/>
  <c r="J1757" i="1"/>
  <c r="K1757" i="1"/>
  <c r="L1757" i="1"/>
  <c r="A1758" i="1"/>
  <c r="B1758" i="1"/>
  <c r="C1758" i="1"/>
  <c r="D1758" i="1"/>
  <c r="E1758" i="1"/>
  <c r="F1758" i="1"/>
  <c r="G1758" i="1"/>
  <c r="H1758" i="1"/>
  <c r="I1758" i="1"/>
  <c r="J1758" i="1"/>
  <c r="K1758" i="1"/>
  <c r="L1758" i="1"/>
  <c r="A1759" i="1"/>
  <c r="B1759" i="1"/>
  <c r="C1759" i="1"/>
  <c r="D1759" i="1"/>
  <c r="E1759" i="1"/>
  <c r="F1759" i="1"/>
  <c r="G1759" i="1"/>
  <c r="H1759" i="1"/>
  <c r="I1759" i="1"/>
  <c r="J1759" i="1"/>
  <c r="K1759" i="1"/>
  <c r="L1759" i="1"/>
  <c r="A1760" i="1"/>
  <c r="B1760" i="1"/>
  <c r="C1760" i="1"/>
  <c r="D1760" i="1"/>
  <c r="E1760" i="1"/>
  <c r="F1760" i="1"/>
  <c r="G1760" i="1"/>
  <c r="H1760" i="1"/>
  <c r="I1760" i="1"/>
  <c r="J1760" i="1"/>
  <c r="K1760" i="1"/>
  <c r="L1760" i="1"/>
  <c r="A1761" i="1"/>
  <c r="B1761" i="1"/>
  <c r="C1761" i="1"/>
  <c r="D1761" i="1"/>
  <c r="E1761" i="1"/>
  <c r="F1761" i="1"/>
  <c r="G1761" i="1"/>
  <c r="H1761" i="1"/>
  <c r="I1761" i="1"/>
  <c r="J1761" i="1"/>
  <c r="K1761" i="1"/>
  <c r="L1761" i="1"/>
  <c r="A1762" i="1"/>
  <c r="B1762" i="1"/>
  <c r="C1762" i="1"/>
  <c r="D1762" i="1"/>
  <c r="E1762" i="1"/>
  <c r="F1762" i="1"/>
  <c r="G1762" i="1"/>
  <c r="H1762" i="1"/>
  <c r="I1762" i="1"/>
  <c r="J1762" i="1"/>
  <c r="K1762" i="1"/>
  <c r="L1762" i="1"/>
  <c r="A1763" i="1"/>
  <c r="B1763" i="1"/>
  <c r="C1763" i="1"/>
  <c r="D1763" i="1"/>
  <c r="E1763" i="1"/>
  <c r="F1763" i="1"/>
  <c r="G1763" i="1"/>
  <c r="H1763" i="1"/>
  <c r="I1763" i="1"/>
  <c r="J1763" i="1"/>
  <c r="K1763" i="1"/>
  <c r="L1763" i="1"/>
  <c r="A1764" i="1"/>
  <c r="B1764" i="1"/>
  <c r="C1764" i="1"/>
  <c r="D1764" i="1"/>
  <c r="E1764" i="1"/>
  <c r="F1764" i="1"/>
  <c r="G1764" i="1"/>
  <c r="H1764" i="1"/>
  <c r="I1764" i="1"/>
  <c r="J1764" i="1"/>
  <c r="K1764" i="1"/>
  <c r="L1764" i="1"/>
  <c r="A1765" i="1"/>
  <c r="B1765" i="1"/>
  <c r="C1765" i="1"/>
  <c r="D1765" i="1"/>
  <c r="E1765" i="1"/>
  <c r="F1765" i="1"/>
  <c r="G1765" i="1"/>
  <c r="H1765" i="1"/>
  <c r="I1765" i="1"/>
  <c r="J1765" i="1"/>
  <c r="K1765" i="1"/>
  <c r="L1765" i="1"/>
  <c r="A1766" i="1"/>
  <c r="B1766" i="1"/>
  <c r="C1766" i="1"/>
  <c r="D1766" i="1"/>
  <c r="E1766" i="1"/>
  <c r="F1766" i="1"/>
  <c r="G1766" i="1"/>
  <c r="H1766" i="1"/>
  <c r="I1766" i="1"/>
  <c r="J1766" i="1"/>
  <c r="K1766" i="1"/>
  <c r="L1766" i="1"/>
  <c r="A1767" i="1"/>
  <c r="B1767" i="1"/>
  <c r="C1767" i="1"/>
  <c r="D1767" i="1"/>
  <c r="E1767" i="1"/>
  <c r="F1767" i="1"/>
  <c r="G1767" i="1"/>
  <c r="H1767" i="1"/>
  <c r="I1767" i="1"/>
  <c r="J1767" i="1"/>
  <c r="K1767" i="1"/>
  <c r="L1767" i="1"/>
  <c r="A1768" i="1"/>
  <c r="B1768" i="1"/>
  <c r="C1768" i="1"/>
  <c r="D1768" i="1"/>
  <c r="E1768" i="1"/>
  <c r="F1768" i="1"/>
  <c r="G1768" i="1"/>
  <c r="H1768" i="1"/>
  <c r="I1768" i="1"/>
  <c r="J1768" i="1"/>
  <c r="K1768" i="1"/>
  <c r="L1768" i="1"/>
  <c r="A1769" i="1"/>
  <c r="B1769" i="1"/>
  <c r="C1769" i="1"/>
  <c r="D1769" i="1"/>
  <c r="E1769" i="1"/>
  <c r="F1769" i="1"/>
  <c r="G1769" i="1"/>
  <c r="H1769" i="1"/>
  <c r="I1769" i="1"/>
  <c r="J1769" i="1"/>
  <c r="K1769" i="1"/>
  <c r="L1769" i="1"/>
  <c r="A1770" i="1"/>
  <c r="B1770" i="1"/>
  <c r="C1770" i="1"/>
  <c r="D1770" i="1"/>
  <c r="E1770" i="1"/>
  <c r="F1770" i="1"/>
  <c r="G1770" i="1"/>
  <c r="H1770" i="1"/>
  <c r="I1770" i="1"/>
  <c r="J1770" i="1"/>
  <c r="K1770" i="1"/>
  <c r="L1770" i="1"/>
  <c r="A1771" i="1"/>
  <c r="B1771" i="1"/>
  <c r="C1771" i="1"/>
  <c r="D1771" i="1"/>
  <c r="E1771" i="1"/>
  <c r="F1771" i="1"/>
  <c r="G1771" i="1"/>
  <c r="H1771" i="1"/>
  <c r="I1771" i="1"/>
  <c r="J1771" i="1"/>
  <c r="K1771" i="1"/>
  <c r="L1771" i="1"/>
  <c r="A1772" i="1"/>
  <c r="B1772" i="1"/>
  <c r="C1772" i="1"/>
  <c r="D1772" i="1"/>
  <c r="E1772" i="1"/>
  <c r="F1772" i="1"/>
  <c r="G1772" i="1"/>
  <c r="H1772" i="1"/>
  <c r="I1772" i="1"/>
  <c r="J1772" i="1"/>
  <c r="K1772" i="1"/>
  <c r="L1772" i="1"/>
  <c r="A1773" i="1"/>
  <c r="B1773" i="1"/>
  <c r="C1773" i="1"/>
  <c r="D1773" i="1"/>
  <c r="E1773" i="1"/>
  <c r="F1773" i="1"/>
  <c r="G1773" i="1"/>
  <c r="H1773" i="1"/>
  <c r="I1773" i="1"/>
  <c r="J1773" i="1"/>
  <c r="K1773" i="1"/>
  <c r="L1773" i="1"/>
  <c r="A1774" i="1"/>
  <c r="B1774" i="1"/>
  <c r="C1774" i="1"/>
  <c r="D1774" i="1"/>
  <c r="E1774" i="1"/>
  <c r="F1774" i="1"/>
  <c r="G1774" i="1"/>
  <c r="H1774" i="1"/>
  <c r="I1774" i="1"/>
  <c r="J1774" i="1"/>
  <c r="K1774" i="1"/>
  <c r="L1774" i="1"/>
  <c r="A1775" i="1"/>
  <c r="B1775" i="1"/>
  <c r="C1775" i="1"/>
  <c r="D1775" i="1"/>
  <c r="E1775" i="1"/>
  <c r="F1775" i="1"/>
  <c r="G1775" i="1"/>
  <c r="H1775" i="1"/>
  <c r="I1775" i="1"/>
  <c r="J1775" i="1"/>
  <c r="K1775" i="1"/>
  <c r="L1775" i="1"/>
  <c r="A1776" i="1"/>
  <c r="B1776" i="1"/>
  <c r="C1776" i="1"/>
  <c r="D1776" i="1"/>
  <c r="E1776" i="1"/>
  <c r="F1776" i="1"/>
  <c r="G1776" i="1"/>
  <c r="H1776" i="1"/>
  <c r="I1776" i="1"/>
  <c r="J1776" i="1"/>
  <c r="K1776" i="1"/>
  <c r="L1776" i="1"/>
  <c r="A1777" i="1"/>
  <c r="B1777" i="1"/>
  <c r="C1777" i="1"/>
  <c r="D1777" i="1"/>
  <c r="E1777" i="1"/>
  <c r="F1777" i="1"/>
  <c r="G1777" i="1"/>
  <c r="H1777" i="1"/>
  <c r="I1777" i="1"/>
  <c r="J1777" i="1"/>
  <c r="K1777" i="1"/>
  <c r="L1777" i="1"/>
  <c r="A1778" i="1"/>
  <c r="B1778" i="1"/>
  <c r="C1778" i="1"/>
  <c r="D1778" i="1"/>
  <c r="E1778" i="1"/>
  <c r="F1778" i="1"/>
  <c r="G1778" i="1"/>
  <c r="H1778" i="1"/>
  <c r="I1778" i="1"/>
  <c r="J1778" i="1"/>
  <c r="K1778" i="1"/>
  <c r="L1778" i="1"/>
  <c r="A1779" i="1"/>
  <c r="B1779" i="1"/>
  <c r="C1779" i="1"/>
  <c r="D1779" i="1"/>
  <c r="E1779" i="1"/>
  <c r="F1779" i="1"/>
  <c r="G1779" i="1"/>
  <c r="H1779" i="1"/>
  <c r="I1779" i="1"/>
  <c r="J1779" i="1"/>
  <c r="K1779" i="1"/>
  <c r="L1779" i="1"/>
  <c r="A1780" i="1"/>
  <c r="B1780" i="1"/>
  <c r="C1780" i="1"/>
  <c r="D1780" i="1"/>
  <c r="E1780" i="1"/>
  <c r="F1780" i="1"/>
  <c r="G1780" i="1"/>
  <c r="H1780" i="1"/>
  <c r="I1780" i="1"/>
  <c r="J1780" i="1"/>
  <c r="K1780" i="1"/>
  <c r="L1780" i="1"/>
  <c r="A1781" i="1"/>
  <c r="B1781" i="1"/>
  <c r="C1781" i="1"/>
  <c r="D1781" i="1"/>
  <c r="E1781" i="1"/>
  <c r="F1781" i="1"/>
  <c r="G1781" i="1"/>
  <c r="H1781" i="1"/>
  <c r="I1781" i="1"/>
  <c r="J1781" i="1"/>
  <c r="K1781" i="1"/>
  <c r="L1781" i="1"/>
  <c r="A1782" i="1"/>
  <c r="B1782" i="1"/>
  <c r="C1782" i="1"/>
  <c r="D1782" i="1"/>
  <c r="E1782" i="1"/>
  <c r="F1782" i="1"/>
  <c r="G1782" i="1"/>
  <c r="H1782" i="1"/>
  <c r="I1782" i="1"/>
  <c r="J1782" i="1"/>
  <c r="K1782" i="1"/>
  <c r="L1782" i="1"/>
  <c r="A1783" i="1"/>
  <c r="B1783" i="1"/>
  <c r="C1783" i="1"/>
  <c r="D1783" i="1"/>
  <c r="E1783" i="1"/>
  <c r="F1783" i="1"/>
  <c r="G1783" i="1"/>
  <c r="H1783" i="1"/>
  <c r="I1783" i="1"/>
  <c r="J1783" i="1"/>
  <c r="K1783" i="1"/>
  <c r="L1783" i="1"/>
  <c r="A1784" i="1"/>
  <c r="B1784" i="1"/>
  <c r="C1784" i="1"/>
  <c r="D1784" i="1"/>
  <c r="E1784" i="1"/>
  <c r="F1784" i="1"/>
  <c r="G1784" i="1"/>
  <c r="H1784" i="1"/>
  <c r="I1784" i="1"/>
  <c r="J1784" i="1"/>
  <c r="K1784" i="1"/>
  <c r="L1784" i="1"/>
  <c r="A1785" i="1"/>
  <c r="B1785" i="1"/>
  <c r="C1785" i="1"/>
  <c r="D1785" i="1"/>
  <c r="E1785" i="1"/>
  <c r="F1785" i="1"/>
  <c r="G1785" i="1"/>
  <c r="H1785" i="1"/>
  <c r="I1785" i="1"/>
  <c r="J1785" i="1"/>
  <c r="K1785" i="1"/>
  <c r="L1785" i="1"/>
  <c r="A1786" i="1"/>
  <c r="B1786" i="1"/>
  <c r="C1786" i="1"/>
  <c r="D1786" i="1"/>
  <c r="E1786" i="1"/>
  <c r="F1786" i="1"/>
  <c r="G1786" i="1"/>
  <c r="H1786" i="1"/>
  <c r="I1786" i="1"/>
  <c r="J1786" i="1"/>
  <c r="K1786" i="1"/>
  <c r="L1786" i="1"/>
  <c r="A1787" i="1"/>
  <c r="B1787" i="1"/>
  <c r="C1787" i="1"/>
  <c r="D1787" i="1"/>
  <c r="E1787" i="1"/>
  <c r="F1787" i="1"/>
  <c r="G1787" i="1"/>
  <c r="H1787" i="1"/>
  <c r="I1787" i="1"/>
  <c r="J1787" i="1"/>
  <c r="K1787" i="1"/>
  <c r="L1787" i="1"/>
  <c r="A1788" i="1"/>
  <c r="B1788" i="1"/>
  <c r="C1788" i="1"/>
  <c r="D1788" i="1"/>
  <c r="E1788" i="1"/>
  <c r="F1788" i="1"/>
  <c r="G1788" i="1"/>
  <c r="H1788" i="1"/>
  <c r="I1788" i="1"/>
  <c r="J1788" i="1"/>
  <c r="K1788" i="1"/>
  <c r="L1788" i="1"/>
  <c r="A1789" i="1"/>
  <c r="B1789" i="1"/>
  <c r="C1789" i="1"/>
  <c r="D1789" i="1"/>
  <c r="E1789" i="1"/>
  <c r="F1789" i="1"/>
  <c r="G1789" i="1"/>
  <c r="H1789" i="1"/>
  <c r="I1789" i="1"/>
  <c r="J1789" i="1"/>
  <c r="K1789" i="1"/>
  <c r="L1789" i="1"/>
  <c r="A1790" i="1"/>
  <c r="B1790" i="1"/>
  <c r="C1790" i="1"/>
  <c r="D1790" i="1"/>
  <c r="E1790" i="1"/>
  <c r="F1790" i="1"/>
  <c r="G1790" i="1"/>
  <c r="H1790" i="1"/>
  <c r="I1790" i="1"/>
  <c r="J1790" i="1"/>
  <c r="K1790" i="1"/>
  <c r="L1790" i="1"/>
  <c r="A1791" i="1"/>
  <c r="B1791" i="1"/>
  <c r="C1791" i="1"/>
  <c r="D1791" i="1"/>
  <c r="E1791" i="1"/>
  <c r="F1791" i="1"/>
  <c r="G1791" i="1"/>
  <c r="H1791" i="1"/>
  <c r="I1791" i="1"/>
  <c r="J1791" i="1"/>
  <c r="K1791" i="1"/>
  <c r="L1791" i="1"/>
  <c r="A1792" i="1"/>
  <c r="B1792" i="1"/>
  <c r="C1792" i="1"/>
  <c r="D1792" i="1"/>
  <c r="E1792" i="1"/>
  <c r="F1792" i="1"/>
  <c r="G1792" i="1"/>
  <c r="H1792" i="1"/>
  <c r="I1792" i="1"/>
  <c r="J1792" i="1"/>
  <c r="K1792" i="1"/>
  <c r="L1792" i="1"/>
  <c r="A1793" i="1"/>
  <c r="B1793" i="1"/>
  <c r="C1793" i="1"/>
  <c r="D1793" i="1"/>
  <c r="E1793" i="1"/>
  <c r="F1793" i="1"/>
  <c r="G1793" i="1"/>
  <c r="H1793" i="1"/>
  <c r="I1793" i="1"/>
  <c r="J1793" i="1"/>
  <c r="K1793" i="1"/>
  <c r="L1793" i="1"/>
  <c r="A1794" i="1"/>
  <c r="B1794" i="1"/>
  <c r="C1794" i="1"/>
  <c r="D1794" i="1"/>
  <c r="E1794" i="1"/>
  <c r="F1794" i="1"/>
  <c r="G1794" i="1"/>
  <c r="H1794" i="1"/>
  <c r="I1794" i="1"/>
  <c r="J1794" i="1"/>
  <c r="K1794" i="1"/>
  <c r="L1794" i="1"/>
  <c r="A1795" i="1"/>
  <c r="B1795" i="1"/>
  <c r="C1795" i="1"/>
  <c r="D1795" i="1"/>
  <c r="E1795" i="1"/>
  <c r="F1795" i="1"/>
  <c r="G1795" i="1"/>
  <c r="H1795" i="1"/>
  <c r="I1795" i="1"/>
  <c r="J1795" i="1"/>
  <c r="K1795" i="1"/>
  <c r="L1795" i="1"/>
  <c r="A1796" i="1"/>
  <c r="B1796" i="1"/>
  <c r="C1796" i="1"/>
  <c r="D1796" i="1"/>
  <c r="E1796" i="1"/>
  <c r="F1796" i="1"/>
  <c r="G1796" i="1"/>
  <c r="H1796" i="1"/>
  <c r="I1796" i="1"/>
  <c r="J1796" i="1"/>
  <c r="K1796" i="1"/>
  <c r="L1796" i="1"/>
  <c r="A1797" i="1"/>
  <c r="B1797" i="1"/>
  <c r="C1797" i="1"/>
  <c r="D1797" i="1"/>
  <c r="E1797" i="1"/>
  <c r="F1797" i="1"/>
  <c r="G1797" i="1"/>
  <c r="H1797" i="1"/>
  <c r="I1797" i="1"/>
  <c r="J1797" i="1"/>
  <c r="K1797" i="1"/>
  <c r="L1797" i="1"/>
  <c r="A1798" i="1"/>
  <c r="B1798" i="1"/>
  <c r="C1798" i="1"/>
  <c r="D1798" i="1"/>
  <c r="E1798" i="1"/>
  <c r="F1798" i="1"/>
  <c r="G1798" i="1"/>
  <c r="H1798" i="1"/>
  <c r="I1798" i="1"/>
  <c r="J1798" i="1"/>
  <c r="K1798" i="1"/>
  <c r="L1798" i="1"/>
  <c r="A1799" i="1"/>
  <c r="B1799" i="1"/>
  <c r="C1799" i="1"/>
  <c r="D1799" i="1"/>
  <c r="E1799" i="1"/>
  <c r="F1799" i="1"/>
  <c r="G1799" i="1"/>
  <c r="H1799" i="1"/>
  <c r="I1799" i="1"/>
  <c r="J1799" i="1"/>
  <c r="K1799" i="1"/>
  <c r="L1799" i="1"/>
  <c r="A1800" i="1"/>
  <c r="B1800" i="1"/>
  <c r="C1800" i="1"/>
  <c r="D1800" i="1"/>
  <c r="E1800" i="1"/>
  <c r="F1800" i="1"/>
  <c r="G1800" i="1"/>
  <c r="H1800" i="1"/>
  <c r="I1800" i="1"/>
  <c r="J1800" i="1"/>
  <c r="K1800" i="1"/>
  <c r="L1800" i="1"/>
  <c r="A1801" i="1"/>
  <c r="B1801" i="1"/>
  <c r="C1801" i="1"/>
  <c r="D1801" i="1"/>
  <c r="E1801" i="1"/>
  <c r="F1801" i="1"/>
  <c r="G1801" i="1"/>
  <c r="H1801" i="1"/>
  <c r="I1801" i="1"/>
  <c r="J1801" i="1"/>
  <c r="K1801" i="1"/>
  <c r="L1801" i="1"/>
  <c r="A1802" i="1"/>
  <c r="B1802" i="1"/>
  <c r="C1802" i="1"/>
  <c r="D1802" i="1"/>
  <c r="E1802" i="1"/>
  <c r="F1802" i="1"/>
  <c r="G1802" i="1"/>
  <c r="H1802" i="1"/>
  <c r="I1802" i="1"/>
  <c r="J1802" i="1"/>
  <c r="K1802" i="1"/>
  <c r="L1802" i="1"/>
  <c r="A1803" i="1"/>
  <c r="B1803" i="1"/>
  <c r="C1803" i="1"/>
  <c r="D1803" i="1"/>
  <c r="E1803" i="1"/>
  <c r="F1803" i="1"/>
  <c r="G1803" i="1"/>
  <c r="H1803" i="1"/>
  <c r="I1803" i="1"/>
  <c r="J1803" i="1"/>
  <c r="K1803" i="1"/>
  <c r="L1803" i="1"/>
  <c r="A1804" i="1"/>
  <c r="B1804" i="1"/>
  <c r="C1804" i="1"/>
  <c r="D1804" i="1"/>
  <c r="E1804" i="1"/>
  <c r="F1804" i="1"/>
  <c r="G1804" i="1"/>
  <c r="H1804" i="1"/>
  <c r="I1804" i="1"/>
  <c r="J1804" i="1"/>
  <c r="K1804" i="1"/>
  <c r="L1804" i="1"/>
  <c r="A1805" i="1"/>
  <c r="B1805" i="1"/>
  <c r="C1805" i="1"/>
  <c r="D1805" i="1"/>
  <c r="E1805" i="1"/>
  <c r="F1805" i="1"/>
  <c r="G1805" i="1"/>
  <c r="H1805" i="1"/>
  <c r="I1805" i="1"/>
  <c r="J1805" i="1"/>
  <c r="K1805" i="1"/>
  <c r="L1805" i="1"/>
  <c r="A1806" i="1"/>
  <c r="B1806" i="1"/>
  <c r="C1806" i="1"/>
  <c r="D1806" i="1"/>
  <c r="E1806" i="1"/>
  <c r="F1806" i="1"/>
  <c r="G1806" i="1"/>
  <c r="H1806" i="1"/>
  <c r="I1806" i="1"/>
  <c r="J1806" i="1"/>
  <c r="K1806" i="1"/>
  <c r="L1806" i="1"/>
  <c r="A1807" i="1"/>
  <c r="B1807" i="1"/>
  <c r="C1807" i="1"/>
  <c r="D1807" i="1"/>
  <c r="E1807" i="1"/>
  <c r="F1807" i="1"/>
  <c r="G1807" i="1"/>
  <c r="H1807" i="1"/>
  <c r="I1807" i="1"/>
  <c r="J1807" i="1"/>
  <c r="K1807" i="1"/>
  <c r="L1807" i="1"/>
  <c r="A1808" i="1"/>
  <c r="B1808" i="1"/>
  <c r="C1808" i="1"/>
  <c r="D1808" i="1"/>
  <c r="E1808" i="1"/>
  <c r="F1808" i="1"/>
  <c r="G1808" i="1"/>
  <c r="H1808" i="1"/>
  <c r="I1808" i="1"/>
  <c r="J1808" i="1"/>
  <c r="K1808" i="1"/>
  <c r="L1808" i="1"/>
  <c r="A1809" i="1"/>
  <c r="B1809" i="1"/>
  <c r="C1809" i="1"/>
  <c r="D1809" i="1"/>
  <c r="E1809" i="1"/>
  <c r="F1809" i="1"/>
  <c r="G1809" i="1"/>
  <c r="H1809" i="1"/>
  <c r="I1809" i="1"/>
  <c r="J1809" i="1"/>
  <c r="K1809" i="1"/>
  <c r="L1809" i="1"/>
  <c r="A1810" i="1"/>
  <c r="B1810" i="1"/>
  <c r="C1810" i="1"/>
  <c r="D1810" i="1"/>
  <c r="E1810" i="1"/>
  <c r="F1810" i="1"/>
  <c r="G1810" i="1"/>
  <c r="H1810" i="1"/>
  <c r="I1810" i="1"/>
  <c r="J1810" i="1"/>
  <c r="K1810" i="1"/>
  <c r="L1810" i="1"/>
  <c r="A1811" i="1"/>
  <c r="B1811" i="1"/>
  <c r="C1811" i="1"/>
  <c r="D1811" i="1"/>
  <c r="E1811" i="1"/>
  <c r="F1811" i="1"/>
  <c r="G1811" i="1"/>
  <c r="H1811" i="1"/>
  <c r="I1811" i="1"/>
  <c r="J1811" i="1"/>
  <c r="K1811" i="1"/>
  <c r="L1811" i="1"/>
  <c r="A1812" i="1"/>
  <c r="B1812" i="1"/>
  <c r="C1812" i="1"/>
  <c r="D1812" i="1"/>
  <c r="E1812" i="1"/>
  <c r="F1812" i="1"/>
  <c r="G1812" i="1"/>
  <c r="H1812" i="1"/>
  <c r="I1812" i="1"/>
  <c r="J1812" i="1"/>
  <c r="K1812" i="1"/>
  <c r="L1812" i="1"/>
  <c r="A1813" i="1"/>
  <c r="B1813" i="1"/>
  <c r="C1813" i="1"/>
  <c r="D1813" i="1"/>
  <c r="E1813" i="1"/>
  <c r="F1813" i="1"/>
  <c r="G1813" i="1"/>
  <c r="H1813" i="1"/>
  <c r="I1813" i="1"/>
  <c r="J1813" i="1"/>
  <c r="K1813" i="1"/>
  <c r="L1813" i="1"/>
  <c r="A1814" i="1"/>
  <c r="B1814" i="1"/>
  <c r="C1814" i="1"/>
  <c r="D1814" i="1"/>
  <c r="E1814" i="1"/>
  <c r="F1814" i="1"/>
  <c r="G1814" i="1"/>
  <c r="H1814" i="1"/>
  <c r="I1814" i="1"/>
  <c r="J1814" i="1"/>
  <c r="K1814" i="1"/>
  <c r="L1814" i="1"/>
  <c r="A1815" i="1"/>
  <c r="B1815" i="1"/>
  <c r="C1815" i="1"/>
  <c r="D1815" i="1"/>
  <c r="E1815" i="1"/>
  <c r="F1815" i="1"/>
  <c r="G1815" i="1"/>
  <c r="H1815" i="1"/>
  <c r="I1815" i="1"/>
  <c r="J1815" i="1"/>
  <c r="K1815" i="1"/>
  <c r="L1815" i="1"/>
  <c r="A1816" i="1"/>
  <c r="B1816" i="1"/>
  <c r="C1816" i="1"/>
  <c r="D1816" i="1"/>
  <c r="E1816" i="1"/>
  <c r="F1816" i="1"/>
  <c r="G1816" i="1"/>
  <c r="H1816" i="1"/>
  <c r="I1816" i="1"/>
  <c r="J1816" i="1"/>
  <c r="K1816" i="1"/>
  <c r="L1816" i="1"/>
  <c r="A1817" i="1"/>
  <c r="B1817" i="1"/>
  <c r="C1817" i="1"/>
  <c r="D1817" i="1"/>
  <c r="E1817" i="1"/>
  <c r="F1817" i="1"/>
  <c r="G1817" i="1"/>
  <c r="H1817" i="1"/>
  <c r="I1817" i="1"/>
  <c r="J1817" i="1"/>
  <c r="K1817" i="1"/>
  <c r="L1817" i="1"/>
  <c r="A1818" i="1"/>
  <c r="B1818" i="1"/>
  <c r="C1818" i="1"/>
  <c r="D1818" i="1"/>
  <c r="E1818" i="1"/>
  <c r="F1818" i="1"/>
  <c r="G1818" i="1"/>
  <c r="H1818" i="1"/>
  <c r="I1818" i="1"/>
  <c r="J1818" i="1"/>
  <c r="K1818" i="1"/>
  <c r="L1818" i="1"/>
  <c r="A1819" i="1"/>
  <c r="B1819" i="1"/>
  <c r="C1819" i="1"/>
  <c r="D1819" i="1"/>
  <c r="E1819" i="1"/>
  <c r="F1819" i="1"/>
  <c r="G1819" i="1"/>
  <c r="H1819" i="1"/>
  <c r="I1819" i="1"/>
  <c r="J1819" i="1"/>
  <c r="K1819" i="1"/>
  <c r="L1819" i="1"/>
  <c r="A1820" i="1"/>
  <c r="B1820" i="1"/>
  <c r="C1820" i="1"/>
  <c r="D1820" i="1"/>
  <c r="E1820" i="1"/>
  <c r="F1820" i="1"/>
  <c r="G1820" i="1"/>
  <c r="H1820" i="1"/>
  <c r="I1820" i="1"/>
  <c r="J1820" i="1"/>
  <c r="K1820" i="1"/>
  <c r="L1820" i="1"/>
  <c r="A1821" i="1"/>
  <c r="B1821" i="1"/>
  <c r="C1821" i="1"/>
  <c r="D1821" i="1"/>
  <c r="E1821" i="1"/>
  <c r="F1821" i="1"/>
  <c r="G1821" i="1"/>
  <c r="H1821" i="1"/>
  <c r="I1821" i="1"/>
  <c r="J1821" i="1"/>
  <c r="K1821" i="1"/>
  <c r="L1821" i="1"/>
  <c r="A1822" i="1"/>
  <c r="B1822" i="1"/>
  <c r="C1822" i="1"/>
  <c r="D1822" i="1"/>
  <c r="E1822" i="1"/>
  <c r="F1822" i="1"/>
  <c r="G1822" i="1"/>
  <c r="H1822" i="1"/>
  <c r="I1822" i="1"/>
  <c r="J1822" i="1"/>
  <c r="K1822" i="1"/>
  <c r="L1822" i="1"/>
  <c r="A1823" i="1"/>
  <c r="B1823" i="1"/>
  <c r="C1823" i="1"/>
  <c r="D1823" i="1"/>
  <c r="E1823" i="1"/>
  <c r="F1823" i="1"/>
  <c r="G1823" i="1"/>
  <c r="H1823" i="1"/>
  <c r="I1823" i="1"/>
  <c r="J1823" i="1"/>
  <c r="K1823" i="1"/>
  <c r="L1823" i="1"/>
  <c r="A1824" i="1"/>
  <c r="B1824" i="1"/>
  <c r="C1824" i="1"/>
  <c r="D1824" i="1"/>
  <c r="E1824" i="1"/>
  <c r="F1824" i="1"/>
  <c r="G1824" i="1"/>
  <c r="H1824" i="1"/>
  <c r="I1824" i="1"/>
  <c r="J1824" i="1"/>
  <c r="K1824" i="1"/>
  <c r="L1824" i="1"/>
  <c r="A1825" i="1"/>
  <c r="B1825" i="1"/>
  <c r="C1825" i="1"/>
  <c r="D1825" i="1"/>
  <c r="E1825" i="1"/>
  <c r="F1825" i="1"/>
  <c r="G1825" i="1"/>
  <c r="H1825" i="1"/>
  <c r="I1825" i="1"/>
  <c r="J1825" i="1"/>
  <c r="K1825" i="1"/>
  <c r="L1825" i="1"/>
  <c r="A1826" i="1"/>
  <c r="B1826" i="1"/>
  <c r="C1826" i="1"/>
  <c r="D1826" i="1"/>
  <c r="E1826" i="1"/>
  <c r="F1826" i="1"/>
  <c r="G1826" i="1"/>
  <c r="H1826" i="1"/>
  <c r="I1826" i="1"/>
  <c r="J1826" i="1"/>
  <c r="K1826" i="1"/>
  <c r="L1826" i="1"/>
  <c r="A1827" i="1"/>
  <c r="B1827" i="1"/>
  <c r="C1827" i="1"/>
  <c r="D1827" i="1"/>
  <c r="E1827" i="1"/>
  <c r="F1827" i="1"/>
  <c r="G1827" i="1"/>
  <c r="H1827" i="1"/>
  <c r="I1827" i="1"/>
  <c r="J1827" i="1"/>
  <c r="K1827" i="1"/>
  <c r="L1827" i="1"/>
  <c r="A1828" i="1"/>
  <c r="B1828" i="1"/>
  <c r="C1828" i="1"/>
  <c r="D1828" i="1"/>
  <c r="E1828" i="1"/>
  <c r="F1828" i="1"/>
  <c r="G1828" i="1"/>
  <c r="H1828" i="1"/>
  <c r="I1828" i="1"/>
  <c r="J1828" i="1"/>
  <c r="K1828" i="1"/>
  <c r="L1828" i="1"/>
  <c r="A1829" i="1"/>
  <c r="B1829" i="1"/>
  <c r="C1829" i="1"/>
  <c r="D1829" i="1"/>
  <c r="E1829" i="1"/>
  <c r="F1829" i="1"/>
  <c r="G1829" i="1"/>
  <c r="H1829" i="1"/>
  <c r="I1829" i="1"/>
  <c r="J1829" i="1"/>
  <c r="K1829" i="1"/>
  <c r="L1829" i="1"/>
  <c r="A1830" i="1"/>
  <c r="B1830" i="1"/>
  <c r="C1830" i="1"/>
  <c r="D1830" i="1"/>
  <c r="E1830" i="1"/>
  <c r="F1830" i="1"/>
  <c r="G1830" i="1"/>
  <c r="H1830" i="1"/>
  <c r="I1830" i="1"/>
  <c r="J1830" i="1"/>
  <c r="K1830" i="1"/>
  <c r="L1830" i="1"/>
  <c r="A1831" i="1"/>
  <c r="B1831" i="1"/>
  <c r="C1831" i="1"/>
  <c r="D1831" i="1"/>
  <c r="E1831" i="1"/>
  <c r="F1831" i="1"/>
  <c r="G1831" i="1"/>
  <c r="H1831" i="1"/>
  <c r="I1831" i="1"/>
  <c r="J1831" i="1"/>
  <c r="K1831" i="1"/>
  <c r="L1831" i="1"/>
  <c r="A1832" i="1"/>
  <c r="B1832" i="1"/>
  <c r="C1832" i="1"/>
  <c r="D1832" i="1"/>
  <c r="E1832" i="1"/>
  <c r="F1832" i="1"/>
  <c r="G1832" i="1"/>
  <c r="H1832" i="1"/>
  <c r="I1832" i="1"/>
  <c r="J1832" i="1"/>
  <c r="K1832" i="1"/>
  <c r="L1832" i="1"/>
  <c r="A1833" i="1"/>
  <c r="B1833" i="1"/>
  <c r="C1833" i="1"/>
  <c r="D1833" i="1"/>
  <c r="E1833" i="1"/>
  <c r="F1833" i="1"/>
  <c r="G1833" i="1"/>
  <c r="H1833" i="1"/>
  <c r="I1833" i="1"/>
  <c r="J1833" i="1"/>
  <c r="K1833" i="1"/>
  <c r="L1833" i="1"/>
  <c r="A1834" i="1"/>
  <c r="B1834" i="1"/>
  <c r="C1834" i="1"/>
  <c r="D1834" i="1"/>
  <c r="E1834" i="1"/>
  <c r="F1834" i="1"/>
  <c r="G1834" i="1"/>
  <c r="H1834" i="1"/>
  <c r="I1834" i="1"/>
  <c r="J1834" i="1"/>
  <c r="K1834" i="1"/>
  <c r="L1834" i="1"/>
  <c r="A1835" i="1"/>
  <c r="B1835" i="1"/>
  <c r="C1835" i="1"/>
  <c r="D1835" i="1"/>
  <c r="E1835" i="1"/>
  <c r="F1835" i="1"/>
  <c r="G1835" i="1"/>
  <c r="H1835" i="1"/>
  <c r="I1835" i="1"/>
  <c r="J1835" i="1"/>
  <c r="K1835" i="1"/>
  <c r="L1835" i="1"/>
  <c r="A1836" i="1"/>
  <c r="B1836" i="1"/>
  <c r="C1836" i="1"/>
  <c r="D1836" i="1"/>
  <c r="E1836" i="1"/>
  <c r="F1836" i="1"/>
  <c r="G1836" i="1"/>
  <c r="H1836" i="1"/>
  <c r="I1836" i="1"/>
  <c r="J1836" i="1"/>
  <c r="K1836" i="1"/>
  <c r="L1836" i="1"/>
  <c r="A1837" i="1"/>
  <c r="B1837" i="1"/>
  <c r="C1837" i="1"/>
  <c r="D1837" i="1"/>
  <c r="E1837" i="1"/>
  <c r="F1837" i="1"/>
  <c r="G1837" i="1"/>
  <c r="H1837" i="1"/>
  <c r="I1837" i="1"/>
  <c r="J1837" i="1"/>
  <c r="K1837" i="1"/>
  <c r="L1837" i="1"/>
  <c r="A1838" i="1"/>
  <c r="B1838" i="1"/>
  <c r="C1838" i="1"/>
  <c r="D1838" i="1"/>
  <c r="E1838" i="1"/>
  <c r="F1838" i="1"/>
  <c r="G1838" i="1"/>
  <c r="H1838" i="1"/>
  <c r="I1838" i="1"/>
  <c r="J1838" i="1"/>
  <c r="K1838" i="1"/>
  <c r="L1838" i="1"/>
  <c r="A1839" i="1"/>
  <c r="B1839" i="1"/>
  <c r="C1839" i="1"/>
  <c r="D1839" i="1"/>
  <c r="E1839" i="1"/>
  <c r="F1839" i="1"/>
  <c r="G1839" i="1"/>
  <c r="H1839" i="1"/>
  <c r="I1839" i="1"/>
  <c r="J1839" i="1"/>
  <c r="K1839" i="1"/>
  <c r="L1839" i="1"/>
  <c r="A1840" i="1"/>
  <c r="B1840" i="1"/>
  <c r="C1840" i="1"/>
  <c r="D1840" i="1"/>
  <c r="E1840" i="1"/>
  <c r="F1840" i="1"/>
  <c r="G1840" i="1"/>
  <c r="H1840" i="1"/>
  <c r="I1840" i="1"/>
  <c r="J1840" i="1"/>
  <c r="K1840" i="1"/>
  <c r="L1840" i="1"/>
  <c r="A1841" i="1"/>
  <c r="B1841" i="1"/>
  <c r="C1841" i="1"/>
  <c r="D1841" i="1"/>
  <c r="E1841" i="1"/>
  <c r="F1841" i="1"/>
  <c r="G1841" i="1"/>
  <c r="H1841" i="1"/>
  <c r="I1841" i="1"/>
  <c r="J1841" i="1"/>
  <c r="K1841" i="1"/>
  <c r="L1841" i="1"/>
  <c r="A1842" i="1"/>
  <c r="B1842" i="1"/>
  <c r="C1842" i="1"/>
  <c r="D1842" i="1"/>
  <c r="E1842" i="1"/>
  <c r="F1842" i="1"/>
  <c r="G1842" i="1"/>
  <c r="H1842" i="1"/>
  <c r="I1842" i="1"/>
  <c r="J1842" i="1"/>
  <c r="K1842" i="1"/>
  <c r="L1842" i="1"/>
  <c r="A1843" i="1"/>
  <c r="B1843" i="1"/>
  <c r="C1843" i="1"/>
  <c r="D1843" i="1"/>
  <c r="E1843" i="1"/>
  <c r="F1843" i="1"/>
  <c r="G1843" i="1"/>
  <c r="H1843" i="1"/>
  <c r="I1843" i="1"/>
  <c r="J1843" i="1"/>
  <c r="K1843" i="1"/>
  <c r="L1843" i="1"/>
  <c r="A1844" i="1"/>
  <c r="B1844" i="1"/>
  <c r="C1844" i="1"/>
  <c r="D1844" i="1"/>
  <c r="E1844" i="1"/>
  <c r="F1844" i="1"/>
  <c r="G1844" i="1"/>
  <c r="H1844" i="1"/>
  <c r="I1844" i="1"/>
  <c r="J1844" i="1"/>
  <c r="K1844" i="1"/>
  <c r="L1844" i="1"/>
  <c r="A1845" i="1"/>
  <c r="B1845" i="1"/>
  <c r="C1845" i="1"/>
  <c r="D1845" i="1"/>
  <c r="E1845" i="1"/>
  <c r="F1845" i="1"/>
  <c r="G1845" i="1"/>
  <c r="H1845" i="1"/>
  <c r="I1845" i="1"/>
  <c r="J1845" i="1"/>
  <c r="K1845" i="1"/>
  <c r="L1845" i="1"/>
  <c r="A1846" i="1"/>
  <c r="B1846" i="1"/>
  <c r="C1846" i="1"/>
  <c r="D1846" i="1"/>
  <c r="E1846" i="1"/>
  <c r="F1846" i="1"/>
  <c r="G1846" i="1"/>
  <c r="H1846" i="1"/>
  <c r="I1846" i="1"/>
  <c r="J1846" i="1"/>
  <c r="K1846" i="1"/>
  <c r="L1846" i="1"/>
  <c r="A1847" i="1"/>
  <c r="B1847" i="1"/>
  <c r="C1847" i="1"/>
  <c r="D1847" i="1"/>
  <c r="E1847" i="1"/>
  <c r="F1847" i="1"/>
  <c r="G1847" i="1"/>
  <c r="H1847" i="1"/>
  <c r="I1847" i="1"/>
  <c r="J1847" i="1"/>
  <c r="K1847" i="1"/>
  <c r="L1847" i="1"/>
  <c r="A1848" i="1"/>
  <c r="B1848" i="1"/>
  <c r="C1848" i="1"/>
  <c r="D1848" i="1"/>
  <c r="E1848" i="1"/>
  <c r="F1848" i="1"/>
  <c r="G1848" i="1"/>
  <c r="H1848" i="1"/>
  <c r="I1848" i="1"/>
  <c r="J1848" i="1"/>
  <c r="K1848" i="1"/>
  <c r="L1848" i="1"/>
  <c r="A1849" i="1"/>
  <c r="B1849" i="1"/>
  <c r="C1849" i="1"/>
  <c r="D1849" i="1"/>
  <c r="E1849" i="1"/>
  <c r="F1849" i="1"/>
  <c r="G1849" i="1"/>
  <c r="H1849" i="1"/>
  <c r="I1849" i="1"/>
  <c r="J1849" i="1"/>
  <c r="K1849" i="1"/>
  <c r="L1849" i="1"/>
  <c r="A1850" i="1"/>
  <c r="B1850" i="1"/>
  <c r="C1850" i="1"/>
  <c r="D1850" i="1"/>
  <c r="E1850" i="1"/>
  <c r="F1850" i="1"/>
  <c r="G1850" i="1"/>
  <c r="H1850" i="1"/>
  <c r="I1850" i="1"/>
  <c r="J1850" i="1"/>
  <c r="K1850" i="1"/>
  <c r="L1850" i="1"/>
  <c r="A1851" i="1"/>
  <c r="B1851" i="1"/>
  <c r="C1851" i="1"/>
  <c r="D1851" i="1"/>
  <c r="E1851" i="1"/>
  <c r="F1851" i="1"/>
  <c r="G1851" i="1"/>
  <c r="H1851" i="1"/>
  <c r="I1851" i="1"/>
  <c r="J1851" i="1"/>
  <c r="K1851" i="1"/>
  <c r="L1851" i="1"/>
  <c r="A1852" i="1"/>
  <c r="B1852" i="1"/>
  <c r="C1852" i="1"/>
  <c r="D1852" i="1"/>
  <c r="E1852" i="1"/>
  <c r="F1852" i="1"/>
  <c r="G1852" i="1"/>
  <c r="H1852" i="1"/>
  <c r="I1852" i="1"/>
  <c r="J1852" i="1"/>
  <c r="K1852" i="1"/>
  <c r="L1852" i="1"/>
  <c r="A1853" i="1"/>
  <c r="B1853" i="1"/>
  <c r="C1853" i="1"/>
  <c r="D1853" i="1"/>
  <c r="E1853" i="1"/>
  <c r="F1853" i="1"/>
  <c r="G1853" i="1"/>
  <c r="H1853" i="1"/>
  <c r="I1853" i="1"/>
  <c r="J1853" i="1"/>
  <c r="K1853" i="1"/>
  <c r="L1853" i="1"/>
  <c r="A1854" i="1"/>
  <c r="B1854" i="1"/>
  <c r="C1854" i="1"/>
  <c r="D1854" i="1"/>
  <c r="E1854" i="1"/>
  <c r="F1854" i="1"/>
  <c r="G1854" i="1"/>
  <c r="H1854" i="1"/>
  <c r="I1854" i="1"/>
  <c r="J1854" i="1"/>
  <c r="K1854" i="1"/>
  <c r="L1854" i="1"/>
  <c r="A1855" i="1"/>
  <c r="B1855" i="1"/>
  <c r="C1855" i="1"/>
  <c r="D1855" i="1"/>
  <c r="E1855" i="1"/>
  <c r="F1855" i="1"/>
  <c r="G1855" i="1"/>
  <c r="H1855" i="1"/>
  <c r="I1855" i="1"/>
  <c r="J1855" i="1"/>
  <c r="K1855" i="1"/>
  <c r="L1855" i="1"/>
  <c r="A1856" i="1"/>
  <c r="B1856" i="1"/>
  <c r="C1856" i="1"/>
  <c r="D1856" i="1"/>
  <c r="E1856" i="1"/>
  <c r="F1856" i="1"/>
  <c r="G1856" i="1"/>
  <c r="H1856" i="1"/>
  <c r="I1856" i="1"/>
  <c r="J1856" i="1"/>
  <c r="K1856" i="1"/>
  <c r="L1856" i="1"/>
  <c r="A1857" i="1"/>
  <c r="B1857" i="1"/>
  <c r="C1857" i="1"/>
  <c r="D1857" i="1"/>
  <c r="E1857" i="1"/>
  <c r="F1857" i="1"/>
  <c r="G1857" i="1"/>
  <c r="H1857" i="1"/>
  <c r="I1857" i="1"/>
  <c r="J1857" i="1"/>
  <c r="K1857" i="1"/>
  <c r="L1857" i="1"/>
  <c r="A1858" i="1"/>
  <c r="B1858" i="1"/>
  <c r="C1858" i="1"/>
  <c r="D1858" i="1"/>
  <c r="E1858" i="1"/>
  <c r="F1858" i="1"/>
  <c r="G1858" i="1"/>
  <c r="H1858" i="1"/>
  <c r="I1858" i="1"/>
  <c r="J1858" i="1"/>
  <c r="K1858" i="1"/>
  <c r="L1858" i="1"/>
  <c r="A1859" i="1"/>
  <c r="B1859" i="1"/>
  <c r="C1859" i="1"/>
  <c r="D1859" i="1"/>
  <c r="E1859" i="1"/>
  <c r="F1859" i="1"/>
  <c r="G1859" i="1"/>
  <c r="H1859" i="1"/>
  <c r="I1859" i="1"/>
  <c r="J1859" i="1"/>
  <c r="K1859" i="1"/>
  <c r="L1859" i="1"/>
  <c r="A1860" i="1"/>
  <c r="B1860" i="1"/>
  <c r="C1860" i="1"/>
  <c r="D1860" i="1"/>
  <c r="E1860" i="1"/>
  <c r="F1860" i="1"/>
  <c r="G1860" i="1"/>
  <c r="H1860" i="1"/>
  <c r="I1860" i="1"/>
  <c r="J1860" i="1"/>
  <c r="K1860" i="1"/>
  <c r="L1860" i="1"/>
  <c r="A1861" i="1"/>
  <c r="B1861" i="1"/>
  <c r="C1861" i="1"/>
  <c r="D1861" i="1"/>
  <c r="E1861" i="1"/>
  <c r="F1861" i="1"/>
  <c r="G1861" i="1"/>
  <c r="H1861" i="1"/>
  <c r="I1861" i="1"/>
  <c r="J1861" i="1"/>
  <c r="K1861" i="1"/>
  <c r="L1861" i="1"/>
  <c r="A1862" i="1"/>
  <c r="B1862" i="1"/>
  <c r="C1862" i="1"/>
  <c r="D1862" i="1"/>
  <c r="E1862" i="1"/>
  <c r="F1862" i="1"/>
  <c r="G1862" i="1"/>
  <c r="H1862" i="1"/>
  <c r="I1862" i="1"/>
  <c r="J1862" i="1"/>
  <c r="K1862" i="1"/>
  <c r="L1862" i="1"/>
  <c r="A1863" i="1"/>
  <c r="B1863" i="1"/>
  <c r="C1863" i="1"/>
  <c r="D1863" i="1"/>
  <c r="E1863" i="1"/>
  <c r="F1863" i="1"/>
  <c r="G1863" i="1"/>
  <c r="H1863" i="1"/>
  <c r="I1863" i="1"/>
  <c r="J1863" i="1"/>
  <c r="K1863" i="1"/>
  <c r="L1863" i="1"/>
  <c r="A1864" i="1"/>
  <c r="B1864" i="1"/>
  <c r="C1864" i="1"/>
  <c r="D1864" i="1"/>
  <c r="E1864" i="1"/>
  <c r="F1864" i="1"/>
  <c r="G1864" i="1"/>
  <c r="H1864" i="1"/>
  <c r="I1864" i="1"/>
  <c r="J1864" i="1"/>
  <c r="K1864" i="1"/>
  <c r="L1864" i="1"/>
  <c r="A1865" i="1"/>
  <c r="B1865" i="1"/>
  <c r="C1865" i="1"/>
  <c r="D1865" i="1"/>
  <c r="E1865" i="1"/>
  <c r="F1865" i="1"/>
  <c r="G1865" i="1"/>
  <c r="H1865" i="1"/>
  <c r="I1865" i="1"/>
  <c r="J1865" i="1"/>
  <c r="K1865" i="1"/>
  <c r="L1865" i="1"/>
  <c r="A1866" i="1"/>
  <c r="B1866" i="1"/>
  <c r="C1866" i="1"/>
  <c r="D1866" i="1"/>
  <c r="E1866" i="1"/>
  <c r="F1866" i="1"/>
  <c r="G1866" i="1"/>
  <c r="H1866" i="1"/>
  <c r="I1866" i="1"/>
  <c r="J1866" i="1"/>
  <c r="K1866" i="1"/>
  <c r="L1866" i="1"/>
  <c r="A1867" i="1"/>
  <c r="B1867" i="1"/>
  <c r="C1867" i="1"/>
  <c r="D1867" i="1"/>
  <c r="E1867" i="1"/>
  <c r="F1867" i="1"/>
  <c r="G1867" i="1"/>
  <c r="H1867" i="1"/>
  <c r="I1867" i="1"/>
  <c r="J1867" i="1"/>
  <c r="K1867" i="1"/>
  <c r="L1867" i="1"/>
  <c r="A1868" i="1"/>
  <c r="B1868" i="1"/>
  <c r="C1868" i="1"/>
  <c r="D1868" i="1"/>
  <c r="E1868" i="1"/>
  <c r="F1868" i="1"/>
  <c r="G1868" i="1"/>
  <c r="H1868" i="1"/>
  <c r="I1868" i="1"/>
  <c r="J1868" i="1"/>
  <c r="K1868" i="1"/>
  <c r="L1868" i="1"/>
  <c r="A1869" i="1"/>
  <c r="B1869" i="1"/>
  <c r="C1869" i="1"/>
  <c r="D1869" i="1"/>
  <c r="E1869" i="1"/>
  <c r="F1869" i="1"/>
  <c r="G1869" i="1"/>
  <c r="H1869" i="1"/>
  <c r="I1869" i="1"/>
  <c r="J1869" i="1"/>
  <c r="K1869" i="1"/>
  <c r="L1869" i="1"/>
  <c r="A1870" i="1"/>
  <c r="B1870" i="1"/>
  <c r="C1870" i="1"/>
  <c r="D1870" i="1"/>
  <c r="E1870" i="1"/>
  <c r="F1870" i="1"/>
  <c r="G1870" i="1"/>
  <c r="H1870" i="1"/>
  <c r="I1870" i="1"/>
  <c r="J1870" i="1"/>
  <c r="K1870" i="1"/>
  <c r="L1870" i="1"/>
  <c r="A1871" i="1"/>
  <c r="B1871" i="1"/>
  <c r="C1871" i="1"/>
  <c r="D1871" i="1"/>
  <c r="E1871" i="1"/>
  <c r="F1871" i="1"/>
  <c r="G1871" i="1"/>
  <c r="H1871" i="1"/>
  <c r="I1871" i="1"/>
  <c r="J1871" i="1"/>
  <c r="K1871" i="1"/>
  <c r="L1871" i="1"/>
  <c r="A1872" i="1"/>
  <c r="B1872" i="1"/>
  <c r="C1872" i="1"/>
  <c r="D1872" i="1"/>
  <c r="E1872" i="1"/>
  <c r="F1872" i="1"/>
  <c r="G1872" i="1"/>
  <c r="H1872" i="1"/>
  <c r="I1872" i="1"/>
  <c r="J1872" i="1"/>
  <c r="K1872" i="1"/>
  <c r="L1872" i="1"/>
  <c r="A1873" i="1"/>
  <c r="B1873" i="1"/>
  <c r="C1873" i="1"/>
  <c r="D1873" i="1"/>
  <c r="E1873" i="1"/>
  <c r="F1873" i="1"/>
  <c r="G1873" i="1"/>
  <c r="H1873" i="1"/>
  <c r="I1873" i="1"/>
  <c r="J1873" i="1"/>
  <c r="K1873" i="1"/>
  <c r="L1873" i="1"/>
  <c r="A1874" i="1"/>
  <c r="B1874" i="1"/>
  <c r="C1874" i="1"/>
  <c r="D1874" i="1"/>
  <c r="E1874" i="1"/>
  <c r="F1874" i="1"/>
  <c r="G1874" i="1"/>
  <c r="H1874" i="1"/>
  <c r="I1874" i="1"/>
  <c r="J1874" i="1"/>
  <c r="K1874" i="1"/>
  <c r="L1874" i="1"/>
  <c r="A1875" i="1"/>
  <c r="B1875" i="1"/>
  <c r="C1875" i="1"/>
  <c r="D1875" i="1"/>
  <c r="E1875" i="1"/>
  <c r="F1875" i="1"/>
  <c r="G1875" i="1"/>
  <c r="H1875" i="1"/>
  <c r="I1875" i="1"/>
  <c r="J1875" i="1"/>
  <c r="K1875" i="1"/>
  <c r="L1875" i="1"/>
  <c r="A1876" i="1"/>
  <c r="B1876" i="1"/>
  <c r="C1876" i="1"/>
  <c r="D1876" i="1"/>
  <c r="E1876" i="1"/>
  <c r="F1876" i="1"/>
  <c r="G1876" i="1"/>
  <c r="H1876" i="1"/>
  <c r="I1876" i="1"/>
  <c r="J1876" i="1"/>
  <c r="K1876" i="1"/>
  <c r="L1876" i="1"/>
  <c r="A1877" i="1"/>
  <c r="B1877" i="1"/>
  <c r="C1877" i="1"/>
  <c r="D1877" i="1"/>
  <c r="E1877" i="1"/>
  <c r="F1877" i="1"/>
  <c r="G1877" i="1"/>
  <c r="H1877" i="1"/>
  <c r="I1877" i="1"/>
  <c r="J1877" i="1"/>
  <c r="K1877" i="1"/>
  <c r="L1877" i="1"/>
  <c r="A1878" i="1"/>
  <c r="B1878" i="1"/>
  <c r="C1878" i="1"/>
  <c r="D1878" i="1"/>
  <c r="E1878" i="1"/>
  <c r="F1878" i="1"/>
  <c r="G1878" i="1"/>
  <c r="H1878" i="1"/>
  <c r="I1878" i="1"/>
  <c r="J1878" i="1"/>
  <c r="K1878" i="1"/>
  <c r="L1878" i="1"/>
  <c r="A1879" i="1"/>
  <c r="B1879" i="1"/>
  <c r="C1879" i="1"/>
  <c r="D1879" i="1"/>
  <c r="E1879" i="1"/>
  <c r="F1879" i="1"/>
  <c r="G1879" i="1"/>
  <c r="H1879" i="1"/>
  <c r="I1879" i="1"/>
  <c r="J1879" i="1"/>
  <c r="K1879" i="1"/>
  <c r="L1879" i="1"/>
  <c r="A1880" i="1"/>
  <c r="B1880" i="1"/>
  <c r="C1880" i="1"/>
  <c r="D1880" i="1"/>
  <c r="E1880" i="1"/>
  <c r="F1880" i="1"/>
  <c r="G1880" i="1"/>
  <c r="H1880" i="1"/>
  <c r="I1880" i="1"/>
  <c r="J1880" i="1"/>
  <c r="K1880" i="1"/>
  <c r="L1880" i="1"/>
  <c r="A1881" i="1"/>
  <c r="B1881" i="1"/>
  <c r="C1881" i="1"/>
  <c r="D1881" i="1"/>
  <c r="E1881" i="1"/>
  <c r="F1881" i="1"/>
  <c r="G1881" i="1"/>
  <c r="H1881" i="1"/>
  <c r="I1881" i="1"/>
  <c r="J1881" i="1"/>
  <c r="K1881" i="1"/>
  <c r="L1881" i="1"/>
  <c r="A1882" i="1"/>
  <c r="B1882" i="1"/>
  <c r="C1882" i="1"/>
  <c r="D1882" i="1"/>
  <c r="E1882" i="1"/>
  <c r="F1882" i="1"/>
  <c r="G1882" i="1"/>
  <c r="H1882" i="1"/>
  <c r="I1882" i="1"/>
  <c r="J1882" i="1"/>
  <c r="K1882" i="1"/>
  <c r="L1882" i="1"/>
  <c r="A1883" i="1"/>
  <c r="B1883" i="1"/>
  <c r="C1883" i="1"/>
  <c r="D1883" i="1"/>
  <c r="E1883" i="1"/>
  <c r="F1883" i="1"/>
  <c r="G1883" i="1"/>
  <c r="H1883" i="1"/>
  <c r="I1883" i="1"/>
  <c r="J1883" i="1"/>
  <c r="K1883" i="1"/>
  <c r="L1883" i="1"/>
  <c r="A1884" i="1"/>
  <c r="B1884" i="1"/>
  <c r="C1884" i="1"/>
  <c r="D1884" i="1"/>
  <c r="E1884" i="1"/>
  <c r="F1884" i="1"/>
  <c r="G1884" i="1"/>
  <c r="H1884" i="1"/>
  <c r="I1884" i="1"/>
  <c r="J1884" i="1"/>
  <c r="K1884" i="1"/>
  <c r="L1884" i="1"/>
  <c r="A1885" i="1"/>
  <c r="B1885" i="1"/>
  <c r="C1885" i="1"/>
  <c r="D1885" i="1"/>
  <c r="E1885" i="1"/>
  <c r="F1885" i="1"/>
  <c r="G1885" i="1"/>
  <c r="H1885" i="1"/>
  <c r="I1885" i="1"/>
  <c r="J1885" i="1"/>
  <c r="K1885" i="1"/>
  <c r="L1885" i="1"/>
  <c r="A1886" i="1"/>
  <c r="B1886" i="1"/>
  <c r="C1886" i="1"/>
  <c r="D1886" i="1"/>
  <c r="E1886" i="1"/>
  <c r="F1886" i="1"/>
  <c r="G1886" i="1"/>
  <c r="H1886" i="1"/>
  <c r="I1886" i="1"/>
  <c r="J1886" i="1"/>
  <c r="K1886" i="1"/>
  <c r="L1886" i="1"/>
  <c r="A1887" i="1"/>
  <c r="B1887" i="1"/>
  <c r="C1887" i="1"/>
  <c r="D1887" i="1"/>
  <c r="E1887" i="1"/>
  <c r="F1887" i="1"/>
  <c r="G1887" i="1"/>
  <c r="H1887" i="1"/>
  <c r="I1887" i="1"/>
  <c r="J1887" i="1"/>
  <c r="K1887" i="1"/>
  <c r="L1887" i="1"/>
  <c r="A1888" i="1"/>
  <c r="B1888" i="1"/>
  <c r="C1888" i="1"/>
  <c r="D1888" i="1"/>
  <c r="E1888" i="1"/>
  <c r="F1888" i="1"/>
  <c r="G1888" i="1"/>
  <c r="H1888" i="1"/>
  <c r="I1888" i="1"/>
  <c r="J1888" i="1"/>
  <c r="K1888" i="1"/>
  <c r="L1888" i="1"/>
  <c r="A1889" i="1"/>
  <c r="B1889" i="1"/>
  <c r="C1889" i="1"/>
  <c r="D1889" i="1"/>
  <c r="E1889" i="1"/>
  <c r="F1889" i="1"/>
  <c r="G1889" i="1"/>
  <c r="H1889" i="1"/>
  <c r="I1889" i="1"/>
  <c r="J1889" i="1"/>
  <c r="K1889" i="1"/>
  <c r="L1889" i="1"/>
  <c r="A1890" i="1"/>
  <c r="B1890" i="1"/>
  <c r="C1890" i="1"/>
  <c r="D1890" i="1"/>
  <c r="E1890" i="1"/>
  <c r="F1890" i="1"/>
  <c r="G1890" i="1"/>
  <c r="H1890" i="1"/>
  <c r="I1890" i="1"/>
  <c r="J1890" i="1"/>
  <c r="K1890" i="1"/>
  <c r="L1890" i="1"/>
  <c r="A1891" i="1"/>
  <c r="B1891" i="1"/>
  <c r="C1891" i="1"/>
  <c r="D1891" i="1"/>
  <c r="E1891" i="1"/>
  <c r="F1891" i="1"/>
  <c r="G1891" i="1"/>
  <c r="H1891" i="1"/>
  <c r="I1891" i="1"/>
  <c r="J1891" i="1"/>
  <c r="K1891" i="1"/>
  <c r="L1891" i="1"/>
  <c r="A1892" i="1"/>
  <c r="B1892" i="1"/>
  <c r="C1892" i="1"/>
  <c r="D1892" i="1"/>
  <c r="E1892" i="1"/>
  <c r="F1892" i="1"/>
  <c r="G1892" i="1"/>
  <c r="H1892" i="1"/>
  <c r="I1892" i="1"/>
  <c r="J1892" i="1"/>
  <c r="K1892" i="1"/>
  <c r="L1892" i="1"/>
  <c r="A1893" i="1"/>
  <c r="B1893" i="1"/>
  <c r="C1893" i="1"/>
  <c r="D1893" i="1"/>
  <c r="E1893" i="1"/>
  <c r="F1893" i="1"/>
  <c r="G1893" i="1"/>
  <c r="H1893" i="1"/>
  <c r="I1893" i="1"/>
  <c r="J1893" i="1"/>
  <c r="K1893" i="1"/>
  <c r="L1893" i="1"/>
  <c r="A1894" i="1"/>
  <c r="B1894" i="1"/>
  <c r="C1894" i="1"/>
  <c r="D1894" i="1"/>
  <c r="E1894" i="1"/>
  <c r="F1894" i="1"/>
  <c r="G1894" i="1"/>
  <c r="H1894" i="1"/>
  <c r="I1894" i="1"/>
  <c r="J1894" i="1"/>
  <c r="K1894" i="1"/>
  <c r="L1894" i="1"/>
  <c r="A1895" i="1"/>
  <c r="B1895" i="1"/>
  <c r="C1895" i="1"/>
  <c r="D1895" i="1"/>
  <c r="E1895" i="1"/>
  <c r="F1895" i="1"/>
  <c r="G1895" i="1"/>
  <c r="H1895" i="1"/>
  <c r="I1895" i="1"/>
  <c r="J1895" i="1"/>
  <c r="K1895" i="1"/>
  <c r="L1895" i="1"/>
  <c r="A1896" i="1"/>
  <c r="B1896" i="1"/>
  <c r="C1896" i="1"/>
  <c r="D1896" i="1"/>
  <c r="E1896" i="1"/>
  <c r="F1896" i="1"/>
  <c r="G1896" i="1"/>
  <c r="H1896" i="1"/>
  <c r="I1896" i="1"/>
  <c r="J1896" i="1"/>
  <c r="K1896" i="1"/>
  <c r="L1896" i="1"/>
  <c r="A1897" i="1"/>
  <c r="B1897" i="1"/>
  <c r="C1897" i="1"/>
  <c r="D1897" i="1"/>
  <c r="E1897" i="1"/>
  <c r="F1897" i="1"/>
  <c r="G1897" i="1"/>
  <c r="H1897" i="1"/>
  <c r="I1897" i="1"/>
  <c r="J1897" i="1"/>
  <c r="K1897" i="1"/>
  <c r="L1897" i="1"/>
  <c r="A1898" i="1"/>
  <c r="B1898" i="1"/>
  <c r="C1898" i="1"/>
  <c r="D1898" i="1"/>
  <c r="E1898" i="1"/>
  <c r="F1898" i="1"/>
  <c r="G1898" i="1"/>
  <c r="H1898" i="1"/>
  <c r="I1898" i="1"/>
  <c r="J1898" i="1"/>
  <c r="K1898" i="1"/>
  <c r="L1898" i="1"/>
  <c r="A1899" i="1"/>
  <c r="B1899" i="1"/>
  <c r="C1899" i="1"/>
  <c r="D1899" i="1"/>
  <c r="E1899" i="1"/>
  <c r="F1899" i="1"/>
  <c r="G1899" i="1"/>
  <c r="H1899" i="1"/>
  <c r="I1899" i="1"/>
  <c r="J1899" i="1"/>
  <c r="K1899" i="1"/>
  <c r="L1899" i="1"/>
  <c r="A1900" i="1"/>
  <c r="B1900" i="1"/>
  <c r="C1900" i="1"/>
  <c r="D1900" i="1"/>
  <c r="E1900" i="1"/>
  <c r="F1900" i="1"/>
  <c r="G1900" i="1"/>
  <c r="H1900" i="1"/>
  <c r="I1900" i="1"/>
  <c r="J1900" i="1"/>
  <c r="K1900" i="1"/>
  <c r="L1900" i="1"/>
  <c r="A1901" i="1"/>
  <c r="B1901" i="1"/>
  <c r="C1901" i="1"/>
  <c r="D1901" i="1"/>
  <c r="E1901" i="1"/>
  <c r="F1901" i="1"/>
  <c r="G1901" i="1"/>
  <c r="H1901" i="1"/>
  <c r="I1901" i="1"/>
  <c r="J1901" i="1"/>
  <c r="K1901" i="1"/>
  <c r="L1901" i="1"/>
  <c r="A1902" i="1"/>
  <c r="B1902" i="1"/>
  <c r="C1902" i="1"/>
  <c r="D1902" i="1"/>
  <c r="E1902" i="1"/>
  <c r="F1902" i="1"/>
  <c r="G1902" i="1"/>
  <c r="H1902" i="1"/>
  <c r="I1902" i="1"/>
  <c r="J1902" i="1"/>
  <c r="K1902" i="1"/>
  <c r="L1902" i="1"/>
  <c r="A1903" i="1"/>
  <c r="B1903" i="1"/>
  <c r="C1903" i="1"/>
  <c r="D1903" i="1"/>
  <c r="E1903" i="1"/>
  <c r="F1903" i="1"/>
  <c r="G1903" i="1"/>
  <c r="H1903" i="1"/>
  <c r="I1903" i="1"/>
  <c r="J1903" i="1"/>
  <c r="K1903" i="1"/>
  <c r="L1903" i="1"/>
  <c r="A1904" i="1"/>
  <c r="B1904" i="1"/>
  <c r="C1904" i="1"/>
  <c r="D1904" i="1"/>
  <c r="E1904" i="1"/>
  <c r="F1904" i="1"/>
  <c r="G1904" i="1"/>
  <c r="H1904" i="1"/>
  <c r="I1904" i="1"/>
  <c r="J1904" i="1"/>
  <c r="K1904" i="1"/>
  <c r="L1904" i="1"/>
  <c r="A1905" i="1"/>
  <c r="B1905" i="1"/>
  <c r="C1905" i="1"/>
  <c r="D1905" i="1"/>
  <c r="E1905" i="1"/>
  <c r="F1905" i="1"/>
  <c r="G1905" i="1"/>
  <c r="H1905" i="1"/>
  <c r="I1905" i="1"/>
  <c r="J1905" i="1"/>
  <c r="K1905" i="1"/>
  <c r="L1905" i="1"/>
  <c r="A1906" i="1"/>
  <c r="B1906" i="1"/>
  <c r="C1906" i="1"/>
  <c r="D1906" i="1"/>
  <c r="E1906" i="1"/>
  <c r="F1906" i="1"/>
  <c r="G1906" i="1"/>
  <c r="H1906" i="1"/>
  <c r="I1906" i="1"/>
  <c r="J1906" i="1"/>
  <c r="K1906" i="1"/>
  <c r="L1906" i="1"/>
  <c r="A1907" i="1"/>
  <c r="B1907" i="1"/>
  <c r="C1907" i="1"/>
  <c r="D1907" i="1"/>
  <c r="E1907" i="1"/>
  <c r="F1907" i="1"/>
  <c r="G1907" i="1"/>
  <c r="H1907" i="1"/>
  <c r="I1907" i="1"/>
  <c r="J1907" i="1"/>
  <c r="K1907" i="1"/>
  <c r="L1907" i="1"/>
  <c r="A1908" i="1"/>
  <c r="B1908" i="1"/>
  <c r="C1908" i="1"/>
  <c r="D1908" i="1"/>
  <c r="E1908" i="1"/>
  <c r="F1908" i="1"/>
  <c r="G1908" i="1"/>
  <c r="H1908" i="1"/>
  <c r="I1908" i="1"/>
  <c r="J1908" i="1"/>
  <c r="K1908" i="1"/>
  <c r="L1908" i="1"/>
  <c r="A1909" i="1"/>
  <c r="B1909" i="1"/>
  <c r="C1909" i="1"/>
  <c r="D1909" i="1"/>
  <c r="E1909" i="1"/>
  <c r="F1909" i="1"/>
  <c r="G1909" i="1"/>
  <c r="H1909" i="1"/>
  <c r="I1909" i="1"/>
  <c r="J1909" i="1"/>
  <c r="K1909" i="1"/>
  <c r="L1909" i="1"/>
  <c r="A1910" i="1"/>
  <c r="B1910" i="1"/>
  <c r="C1910" i="1"/>
  <c r="D1910" i="1"/>
  <c r="E1910" i="1"/>
  <c r="F1910" i="1"/>
  <c r="G1910" i="1"/>
  <c r="H1910" i="1"/>
  <c r="I1910" i="1"/>
  <c r="J1910" i="1"/>
  <c r="K1910" i="1"/>
  <c r="L1910" i="1"/>
  <c r="A1911" i="1"/>
  <c r="B1911" i="1"/>
  <c r="C1911" i="1"/>
  <c r="D1911" i="1"/>
  <c r="E1911" i="1"/>
  <c r="F1911" i="1"/>
  <c r="G1911" i="1"/>
  <c r="H1911" i="1"/>
  <c r="I1911" i="1"/>
  <c r="J1911" i="1"/>
  <c r="K1911" i="1"/>
  <c r="L1911" i="1"/>
  <c r="A1912" i="1"/>
  <c r="B1912" i="1"/>
  <c r="C1912" i="1"/>
  <c r="D1912" i="1"/>
  <c r="E1912" i="1"/>
  <c r="F1912" i="1"/>
  <c r="G1912" i="1"/>
  <c r="H1912" i="1"/>
  <c r="I1912" i="1"/>
  <c r="J1912" i="1"/>
  <c r="K1912" i="1"/>
  <c r="L1912" i="1"/>
  <c r="A1913" i="1"/>
  <c r="B1913" i="1"/>
  <c r="C1913" i="1"/>
  <c r="D1913" i="1"/>
  <c r="E1913" i="1"/>
  <c r="F1913" i="1"/>
  <c r="G1913" i="1"/>
  <c r="H1913" i="1"/>
  <c r="I1913" i="1"/>
  <c r="J1913" i="1"/>
  <c r="K1913" i="1"/>
  <c r="L1913" i="1"/>
  <c r="A1914" i="1"/>
  <c r="B1914" i="1"/>
  <c r="C1914" i="1"/>
  <c r="D1914" i="1"/>
  <c r="E1914" i="1"/>
  <c r="F1914" i="1"/>
  <c r="G1914" i="1"/>
  <c r="H1914" i="1"/>
  <c r="I1914" i="1"/>
  <c r="J1914" i="1"/>
  <c r="K1914" i="1"/>
  <c r="L1914" i="1"/>
  <c r="A1915" i="1"/>
  <c r="B1915" i="1"/>
  <c r="C1915" i="1"/>
  <c r="D1915" i="1"/>
  <c r="E1915" i="1"/>
  <c r="F1915" i="1"/>
  <c r="G1915" i="1"/>
  <c r="H1915" i="1"/>
  <c r="I1915" i="1"/>
  <c r="J1915" i="1"/>
  <c r="K1915" i="1"/>
  <c r="L1915" i="1"/>
  <c r="A1916" i="1"/>
  <c r="B1916" i="1"/>
  <c r="C1916" i="1"/>
  <c r="D1916" i="1"/>
  <c r="E1916" i="1"/>
  <c r="F1916" i="1"/>
  <c r="G1916" i="1"/>
  <c r="H1916" i="1"/>
  <c r="I1916" i="1"/>
  <c r="J1916" i="1"/>
  <c r="K1916" i="1"/>
  <c r="L1916" i="1"/>
  <c r="A1917" i="1"/>
  <c r="B1917" i="1"/>
  <c r="C1917" i="1"/>
  <c r="D1917" i="1"/>
  <c r="E1917" i="1"/>
  <c r="F1917" i="1"/>
  <c r="G1917" i="1"/>
  <c r="H1917" i="1"/>
  <c r="I1917" i="1"/>
  <c r="J1917" i="1"/>
  <c r="K1917" i="1"/>
  <c r="L1917" i="1"/>
  <c r="A1918" i="1"/>
  <c r="B1918" i="1"/>
  <c r="C1918" i="1"/>
  <c r="D1918" i="1"/>
  <c r="E1918" i="1"/>
  <c r="F1918" i="1"/>
  <c r="G1918" i="1"/>
  <c r="H1918" i="1"/>
  <c r="I1918" i="1"/>
  <c r="J1918" i="1"/>
  <c r="K1918" i="1"/>
  <c r="L1918" i="1"/>
  <c r="A1919" i="1"/>
  <c r="B1919" i="1"/>
  <c r="C1919" i="1"/>
  <c r="D1919" i="1"/>
  <c r="E1919" i="1"/>
  <c r="F1919" i="1"/>
  <c r="G1919" i="1"/>
  <c r="H1919" i="1"/>
  <c r="I1919" i="1"/>
  <c r="J1919" i="1"/>
  <c r="K1919" i="1"/>
  <c r="L1919" i="1"/>
  <c r="A1920" i="1"/>
  <c r="B1920" i="1"/>
  <c r="C1920" i="1"/>
  <c r="D1920" i="1"/>
  <c r="E1920" i="1"/>
  <c r="F1920" i="1"/>
  <c r="G1920" i="1"/>
  <c r="H1920" i="1"/>
  <c r="I1920" i="1"/>
  <c r="J1920" i="1"/>
  <c r="K1920" i="1"/>
  <c r="L1920" i="1"/>
  <c r="A1921" i="1"/>
  <c r="B1921" i="1"/>
  <c r="C1921" i="1"/>
  <c r="D1921" i="1"/>
  <c r="E1921" i="1"/>
  <c r="F1921" i="1"/>
  <c r="G1921" i="1"/>
  <c r="H1921" i="1"/>
  <c r="I1921" i="1"/>
  <c r="J1921" i="1"/>
  <c r="K1921" i="1"/>
  <c r="L1921" i="1"/>
  <c r="A1922" i="1"/>
  <c r="B1922" i="1"/>
  <c r="C1922" i="1"/>
  <c r="D1922" i="1"/>
  <c r="E1922" i="1"/>
  <c r="F1922" i="1"/>
  <c r="G1922" i="1"/>
  <c r="H1922" i="1"/>
  <c r="I1922" i="1"/>
  <c r="J1922" i="1"/>
  <c r="K1922" i="1"/>
  <c r="L1922" i="1"/>
  <c r="A1923" i="1"/>
  <c r="B1923" i="1"/>
  <c r="C1923" i="1"/>
  <c r="D1923" i="1"/>
  <c r="E1923" i="1"/>
  <c r="F1923" i="1"/>
  <c r="G1923" i="1"/>
  <c r="H1923" i="1"/>
  <c r="I1923" i="1"/>
  <c r="J1923" i="1"/>
  <c r="K1923" i="1"/>
  <c r="L1923" i="1"/>
  <c r="A1924" i="1"/>
  <c r="B1924" i="1"/>
  <c r="C1924" i="1"/>
  <c r="D1924" i="1"/>
  <c r="E1924" i="1"/>
  <c r="F1924" i="1"/>
  <c r="G1924" i="1"/>
  <c r="H1924" i="1"/>
  <c r="I1924" i="1"/>
  <c r="J1924" i="1"/>
  <c r="K1924" i="1"/>
  <c r="L1924" i="1"/>
  <c r="A1925" i="1"/>
  <c r="B1925" i="1"/>
  <c r="C1925" i="1"/>
  <c r="D1925" i="1"/>
  <c r="E1925" i="1"/>
  <c r="F1925" i="1"/>
  <c r="G1925" i="1"/>
  <c r="H1925" i="1"/>
  <c r="I1925" i="1"/>
  <c r="J1925" i="1"/>
  <c r="K1925" i="1"/>
  <c r="L1925" i="1"/>
  <c r="A1926" i="1"/>
  <c r="B1926" i="1"/>
  <c r="C1926" i="1"/>
  <c r="D1926" i="1"/>
  <c r="E1926" i="1"/>
  <c r="F1926" i="1"/>
  <c r="G1926" i="1"/>
  <c r="H1926" i="1"/>
  <c r="I1926" i="1"/>
  <c r="J1926" i="1"/>
  <c r="K1926" i="1"/>
  <c r="L1926" i="1"/>
  <c r="A1927" i="1"/>
  <c r="B1927" i="1"/>
  <c r="C1927" i="1"/>
  <c r="D1927" i="1"/>
  <c r="E1927" i="1"/>
  <c r="F1927" i="1"/>
  <c r="G1927" i="1"/>
  <c r="H1927" i="1"/>
  <c r="I1927" i="1"/>
  <c r="J1927" i="1"/>
  <c r="K1927" i="1"/>
  <c r="L1927" i="1"/>
  <c r="A1928" i="1"/>
  <c r="B1928" i="1"/>
  <c r="C1928" i="1"/>
  <c r="D1928" i="1"/>
  <c r="E1928" i="1"/>
  <c r="F1928" i="1"/>
  <c r="G1928" i="1"/>
  <c r="H1928" i="1"/>
  <c r="I1928" i="1"/>
  <c r="J1928" i="1"/>
  <c r="K1928" i="1"/>
  <c r="L1928" i="1"/>
  <c r="A1929" i="1"/>
  <c r="B1929" i="1"/>
  <c r="C1929" i="1"/>
  <c r="D1929" i="1"/>
  <c r="E1929" i="1"/>
  <c r="F1929" i="1"/>
  <c r="G1929" i="1"/>
  <c r="H1929" i="1"/>
  <c r="I1929" i="1"/>
  <c r="J1929" i="1"/>
  <c r="K1929" i="1"/>
  <c r="L1929" i="1"/>
  <c r="A1930" i="1"/>
  <c r="B1930" i="1"/>
  <c r="C1930" i="1"/>
  <c r="D1930" i="1"/>
  <c r="E1930" i="1"/>
  <c r="F1930" i="1"/>
  <c r="G1930" i="1"/>
  <c r="H1930" i="1"/>
  <c r="I1930" i="1"/>
  <c r="J1930" i="1"/>
  <c r="K1930" i="1"/>
  <c r="L1930" i="1"/>
  <c r="A1931" i="1"/>
  <c r="B1931" i="1"/>
  <c r="C1931" i="1"/>
  <c r="D1931" i="1"/>
  <c r="E1931" i="1"/>
  <c r="F1931" i="1"/>
  <c r="G1931" i="1"/>
  <c r="H1931" i="1"/>
  <c r="I1931" i="1"/>
  <c r="J1931" i="1"/>
  <c r="K1931" i="1"/>
  <c r="L1931" i="1"/>
  <c r="A1932" i="1"/>
  <c r="B1932" i="1"/>
  <c r="C1932" i="1"/>
  <c r="D1932" i="1"/>
  <c r="E1932" i="1"/>
  <c r="F1932" i="1"/>
  <c r="G1932" i="1"/>
  <c r="H1932" i="1"/>
  <c r="I1932" i="1"/>
  <c r="J1932" i="1"/>
  <c r="K1932" i="1"/>
  <c r="L1932" i="1"/>
  <c r="A1933" i="1"/>
  <c r="B1933" i="1"/>
  <c r="C1933" i="1"/>
  <c r="D1933" i="1"/>
  <c r="E1933" i="1"/>
  <c r="F1933" i="1"/>
  <c r="G1933" i="1"/>
  <c r="H1933" i="1"/>
  <c r="I1933" i="1"/>
  <c r="J1933" i="1"/>
  <c r="K1933" i="1"/>
  <c r="L1933" i="1"/>
  <c r="A1934" i="1"/>
  <c r="B1934" i="1"/>
  <c r="C1934" i="1"/>
  <c r="D1934" i="1"/>
  <c r="E1934" i="1"/>
  <c r="F1934" i="1"/>
  <c r="G1934" i="1"/>
  <c r="H1934" i="1"/>
  <c r="I1934" i="1"/>
  <c r="J1934" i="1"/>
  <c r="K1934" i="1"/>
  <c r="L1934" i="1"/>
  <c r="A1935" i="1"/>
  <c r="B1935" i="1"/>
  <c r="C1935" i="1"/>
  <c r="D1935" i="1"/>
  <c r="E1935" i="1"/>
  <c r="F1935" i="1"/>
  <c r="G1935" i="1"/>
  <c r="H1935" i="1"/>
  <c r="I1935" i="1"/>
  <c r="J1935" i="1"/>
  <c r="K1935" i="1"/>
  <c r="L1935" i="1"/>
  <c r="A1936" i="1"/>
  <c r="B1936" i="1"/>
  <c r="C1936" i="1"/>
  <c r="D1936" i="1"/>
  <c r="E1936" i="1"/>
  <c r="F1936" i="1"/>
  <c r="G1936" i="1"/>
  <c r="H1936" i="1"/>
  <c r="I1936" i="1"/>
  <c r="J1936" i="1"/>
  <c r="K1936" i="1"/>
  <c r="L1936" i="1"/>
  <c r="A1937" i="1"/>
  <c r="B1937" i="1"/>
  <c r="C1937" i="1"/>
  <c r="D1937" i="1"/>
  <c r="E1937" i="1"/>
  <c r="F1937" i="1"/>
  <c r="G1937" i="1"/>
  <c r="H1937" i="1"/>
  <c r="I1937" i="1"/>
  <c r="J1937" i="1"/>
  <c r="K1937" i="1"/>
  <c r="L1937" i="1"/>
  <c r="A1938" i="1"/>
  <c r="B1938" i="1"/>
  <c r="C1938" i="1"/>
  <c r="D1938" i="1"/>
  <c r="E1938" i="1"/>
  <c r="F1938" i="1"/>
  <c r="G1938" i="1"/>
  <c r="H1938" i="1"/>
  <c r="I1938" i="1"/>
  <c r="J1938" i="1"/>
  <c r="K1938" i="1"/>
  <c r="L1938" i="1"/>
  <c r="A1939" i="1"/>
  <c r="B1939" i="1"/>
  <c r="C1939" i="1"/>
  <c r="D1939" i="1"/>
  <c r="E1939" i="1"/>
  <c r="F1939" i="1"/>
  <c r="G1939" i="1"/>
  <c r="H1939" i="1"/>
  <c r="I1939" i="1"/>
  <c r="J1939" i="1"/>
  <c r="K1939" i="1"/>
  <c r="L1939" i="1"/>
  <c r="A1940" i="1"/>
  <c r="B1940" i="1"/>
  <c r="C1940" i="1"/>
  <c r="D1940" i="1"/>
  <c r="E1940" i="1"/>
  <c r="F1940" i="1"/>
  <c r="G1940" i="1"/>
  <c r="H1940" i="1"/>
  <c r="I1940" i="1"/>
  <c r="J1940" i="1"/>
  <c r="K1940" i="1"/>
  <c r="L1940" i="1"/>
  <c r="A1941" i="1"/>
  <c r="B1941" i="1"/>
  <c r="C1941" i="1"/>
  <c r="D1941" i="1"/>
  <c r="E1941" i="1"/>
  <c r="F1941" i="1"/>
  <c r="G1941" i="1"/>
  <c r="H1941" i="1"/>
  <c r="I1941" i="1"/>
  <c r="J1941" i="1"/>
  <c r="K1941" i="1"/>
  <c r="L1941" i="1"/>
  <c r="A1942" i="1"/>
  <c r="B1942" i="1"/>
  <c r="C1942" i="1"/>
  <c r="D1942" i="1"/>
  <c r="E1942" i="1"/>
  <c r="F1942" i="1"/>
  <c r="G1942" i="1"/>
  <c r="H1942" i="1"/>
  <c r="I1942" i="1"/>
  <c r="J1942" i="1"/>
  <c r="K1942" i="1"/>
  <c r="L1942" i="1"/>
  <c r="A1943" i="1"/>
  <c r="B1943" i="1"/>
  <c r="C1943" i="1"/>
  <c r="D1943" i="1"/>
  <c r="E1943" i="1"/>
  <c r="F1943" i="1"/>
  <c r="G1943" i="1"/>
  <c r="H1943" i="1"/>
  <c r="I1943" i="1"/>
  <c r="J1943" i="1"/>
  <c r="K1943" i="1"/>
  <c r="L1943" i="1"/>
  <c r="A1944" i="1"/>
  <c r="B1944" i="1"/>
  <c r="C1944" i="1"/>
  <c r="D1944" i="1"/>
  <c r="E1944" i="1"/>
  <c r="F1944" i="1"/>
  <c r="G1944" i="1"/>
  <c r="H1944" i="1"/>
  <c r="I1944" i="1"/>
  <c r="J1944" i="1"/>
  <c r="K1944" i="1"/>
  <c r="L1944" i="1"/>
  <c r="A1945" i="1"/>
  <c r="B1945" i="1"/>
  <c r="C1945" i="1"/>
  <c r="D1945" i="1"/>
  <c r="E1945" i="1"/>
  <c r="F1945" i="1"/>
  <c r="G1945" i="1"/>
  <c r="H1945" i="1"/>
  <c r="I1945" i="1"/>
  <c r="J1945" i="1"/>
  <c r="K1945" i="1"/>
  <c r="L1945" i="1"/>
  <c r="A1946" i="1"/>
  <c r="B1946" i="1"/>
  <c r="C1946" i="1"/>
  <c r="D1946" i="1"/>
  <c r="E1946" i="1"/>
  <c r="F1946" i="1"/>
  <c r="G1946" i="1"/>
  <c r="H1946" i="1"/>
  <c r="I1946" i="1"/>
  <c r="J1946" i="1"/>
  <c r="K1946" i="1"/>
  <c r="L1946" i="1"/>
  <c r="A1947" i="1"/>
  <c r="B1947" i="1"/>
  <c r="C1947" i="1"/>
  <c r="D1947" i="1"/>
  <c r="E1947" i="1"/>
  <c r="F1947" i="1"/>
  <c r="G1947" i="1"/>
  <c r="H1947" i="1"/>
  <c r="I1947" i="1"/>
  <c r="J1947" i="1"/>
  <c r="K1947" i="1"/>
  <c r="L1947" i="1"/>
  <c r="A1948" i="1"/>
  <c r="B1948" i="1"/>
  <c r="C1948" i="1"/>
  <c r="D1948" i="1"/>
  <c r="E1948" i="1"/>
  <c r="F1948" i="1"/>
  <c r="G1948" i="1"/>
  <c r="H1948" i="1"/>
  <c r="I1948" i="1"/>
  <c r="J1948" i="1"/>
  <c r="K1948" i="1"/>
  <c r="L1948" i="1"/>
  <c r="A1949" i="1"/>
  <c r="B1949" i="1"/>
  <c r="C1949" i="1"/>
  <c r="D1949" i="1"/>
  <c r="E1949" i="1"/>
  <c r="F1949" i="1"/>
  <c r="G1949" i="1"/>
  <c r="H1949" i="1"/>
  <c r="I1949" i="1"/>
  <c r="J1949" i="1"/>
  <c r="K1949" i="1"/>
  <c r="L1949" i="1"/>
  <c r="A1950" i="1"/>
  <c r="B1950" i="1"/>
  <c r="C1950" i="1"/>
  <c r="D1950" i="1"/>
  <c r="E1950" i="1"/>
  <c r="F1950" i="1"/>
  <c r="G1950" i="1"/>
  <c r="H1950" i="1"/>
  <c r="I1950" i="1"/>
  <c r="J1950" i="1"/>
  <c r="K1950" i="1"/>
  <c r="L1950" i="1"/>
  <c r="A1951" i="1"/>
  <c r="B1951" i="1"/>
  <c r="C1951" i="1"/>
  <c r="D1951" i="1"/>
  <c r="E1951" i="1"/>
  <c r="F1951" i="1"/>
  <c r="G1951" i="1"/>
  <c r="H1951" i="1"/>
  <c r="I1951" i="1"/>
  <c r="J1951" i="1"/>
  <c r="K1951" i="1"/>
  <c r="L1951" i="1"/>
  <c r="A1952" i="1"/>
  <c r="B1952" i="1"/>
  <c r="C1952" i="1"/>
  <c r="D1952" i="1"/>
  <c r="E1952" i="1"/>
  <c r="F1952" i="1"/>
  <c r="G1952" i="1"/>
  <c r="H1952" i="1"/>
  <c r="I1952" i="1"/>
  <c r="J1952" i="1"/>
  <c r="K1952" i="1"/>
  <c r="L1952" i="1"/>
  <c r="A1953" i="1"/>
  <c r="B1953" i="1"/>
  <c r="C1953" i="1"/>
  <c r="D1953" i="1"/>
  <c r="E1953" i="1"/>
  <c r="F1953" i="1"/>
  <c r="G1953" i="1"/>
  <c r="H1953" i="1"/>
  <c r="I1953" i="1"/>
  <c r="J1953" i="1"/>
  <c r="K1953" i="1"/>
  <c r="L1953" i="1"/>
  <c r="A1954" i="1"/>
  <c r="B1954" i="1"/>
  <c r="C1954" i="1"/>
  <c r="D1954" i="1"/>
  <c r="E1954" i="1"/>
  <c r="F1954" i="1"/>
  <c r="G1954" i="1"/>
  <c r="H1954" i="1"/>
  <c r="I1954" i="1"/>
  <c r="J1954" i="1"/>
  <c r="K1954" i="1"/>
  <c r="L1954" i="1"/>
  <c r="A1955" i="1"/>
  <c r="B1955" i="1"/>
  <c r="C1955" i="1"/>
  <c r="D1955" i="1"/>
  <c r="E1955" i="1"/>
  <c r="F1955" i="1"/>
  <c r="G1955" i="1"/>
  <c r="H1955" i="1"/>
  <c r="I1955" i="1"/>
  <c r="J1955" i="1"/>
  <c r="K1955" i="1"/>
  <c r="L1955" i="1"/>
  <c r="A1956" i="1"/>
  <c r="B1956" i="1"/>
  <c r="C1956" i="1"/>
  <c r="D1956" i="1"/>
  <c r="E1956" i="1"/>
  <c r="F1956" i="1"/>
  <c r="G1956" i="1"/>
  <c r="H1956" i="1"/>
  <c r="I1956" i="1"/>
  <c r="J1956" i="1"/>
  <c r="K1956" i="1"/>
  <c r="L1956" i="1"/>
  <c r="A1957" i="1"/>
  <c r="B1957" i="1"/>
  <c r="C1957" i="1"/>
  <c r="D1957" i="1"/>
  <c r="E1957" i="1"/>
  <c r="F1957" i="1"/>
  <c r="G1957" i="1"/>
  <c r="H1957" i="1"/>
  <c r="I1957" i="1"/>
  <c r="J1957" i="1"/>
  <c r="K1957" i="1"/>
  <c r="L1957" i="1"/>
  <c r="A1958" i="1"/>
  <c r="B1958" i="1"/>
  <c r="C1958" i="1"/>
  <c r="D1958" i="1"/>
  <c r="E1958" i="1"/>
  <c r="F1958" i="1"/>
  <c r="G1958" i="1"/>
  <c r="H1958" i="1"/>
  <c r="I1958" i="1"/>
  <c r="J1958" i="1"/>
  <c r="K1958" i="1"/>
  <c r="L1958" i="1"/>
  <c r="A1959" i="1"/>
  <c r="B1959" i="1"/>
  <c r="C1959" i="1"/>
  <c r="D1959" i="1"/>
  <c r="E1959" i="1"/>
  <c r="F1959" i="1"/>
  <c r="G1959" i="1"/>
  <c r="H1959" i="1"/>
  <c r="I1959" i="1"/>
  <c r="J1959" i="1"/>
  <c r="K1959" i="1"/>
  <c r="L1959" i="1"/>
  <c r="A1960" i="1"/>
  <c r="B1960" i="1"/>
  <c r="C1960" i="1"/>
  <c r="D1960" i="1"/>
  <c r="E1960" i="1"/>
  <c r="F1960" i="1"/>
  <c r="G1960" i="1"/>
  <c r="H1960" i="1"/>
  <c r="I1960" i="1"/>
  <c r="J1960" i="1"/>
  <c r="K1960" i="1"/>
  <c r="L1960" i="1"/>
  <c r="A1961" i="1"/>
  <c r="B1961" i="1"/>
  <c r="C1961" i="1"/>
  <c r="D1961" i="1"/>
  <c r="E1961" i="1"/>
  <c r="F1961" i="1"/>
  <c r="G1961" i="1"/>
  <c r="H1961" i="1"/>
  <c r="I1961" i="1"/>
  <c r="J1961" i="1"/>
  <c r="K1961" i="1"/>
  <c r="L1961" i="1"/>
  <c r="A1962" i="1"/>
  <c r="B1962" i="1"/>
  <c r="C1962" i="1"/>
  <c r="D1962" i="1"/>
  <c r="E1962" i="1"/>
  <c r="F1962" i="1"/>
  <c r="G1962" i="1"/>
  <c r="H1962" i="1"/>
  <c r="I1962" i="1"/>
  <c r="J1962" i="1"/>
  <c r="K1962" i="1"/>
  <c r="L1962" i="1"/>
  <c r="A1963" i="1"/>
  <c r="B1963" i="1"/>
  <c r="C1963" i="1"/>
  <c r="D1963" i="1"/>
  <c r="E1963" i="1"/>
  <c r="F1963" i="1"/>
  <c r="G1963" i="1"/>
  <c r="H1963" i="1"/>
  <c r="I1963" i="1"/>
  <c r="J1963" i="1"/>
  <c r="K1963" i="1"/>
  <c r="L1963" i="1"/>
  <c r="A1964" i="1"/>
  <c r="B1964" i="1"/>
  <c r="C1964" i="1"/>
  <c r="D1964" i="1"/>
  <c r="E1964" i="1"/>
  <c r="F1964" i="1"/>
  <c r="G1964" i="1"/>
  <c r="H1964" i="1"/>
  <c r="I1964" i="1"/>
  <c r="J1964" i="1"/>
  <c r="K1964" i="1"/>
  <c r="L1964" i="1"/>
  <c r="A1965" i="1"/>
  <c r="B1965" i="1"/>
  <c r="C1965" i="1"/>
  <c r="D1965" i="1"/>
  <c r="E1965" i="1"/>
  <c r="F1965" i="1"/>
  <c r="G1965" i="1"/>
  <c r="H1965" i="1"/>
  <c r="I1965" i="1"/>
  <c r="J1965" i="1"/>
  <c r="K1965" i="1"/>
  <c r="L1965" i="1"/>
  <c r="A1966" i="1"/>
  <c r="B1966" i="1"/>
  <c r="C1966" i="1"/>
  <c r="D1966" i="1"/>
  <c r="E1966" i="1"/>
  <c r="F1966" i="1"/>
  <c r="G1966" i="1"/>
  <c r="H1966" i="1"/>
  <c r="I1966" i="1"/>
  <c r="J1966" i="1"/>
  <c r="K1966" i="1"/>
  <c r="L1966" i="1"/>
  <c r="A1967" i="1"/>
  <c r="B1967" i="1"/>
  <c r="C1967" i="1"/>
  <c r="D1967" i="1"/>
  <c r="E1967" i="1"/>
  <c r="F1967" i="1"/>
  <c r="G1967" i="1"/>
  <c r="H1967" i="1"/>
  <c r="I1967" i="1"/>
  <c r="J1967" i="1"/>
  <c r="K1967" i="1"/>
  <c r="L1967" i="1"/>
  <c r="A1968" i="1"/>
  <c r="B1968" i="1"/>
  <c r="C1968" i="1"/>
  <c r="D1968" i="1"/>
  <c r="E1968" i="1"/>
  <c r="F1968" i="1"/>
  <c r="G1968" i="1"/>
  <c r="H1968" i="1"/>
  <c r="I1968" i="1"/>
  <c r="J1968" i="1"/>
  <c r="K1968" i="1"/>
  <c r="L1968" i="1"/>
  <c r="A1969" i="1"/>
  <c r="B1969" i="1"/>
  <c r="C1969" i="1"/>
  <c r="D1969" i="1"/>
  <c r="E1969" i="1"/>
  <c r="F1969" i="1"/>
  <c r="G1969" i="1"/>
  <c r="H1969" i="1"/>
  <c r="I1969" i="1"/>
  <c r="J1969" i="1"/>
  <c r="K1969" i="1"/>
  <c r="L1969" i="1"/>
  <c r="A1970" i="1"/>
  <c r="B1970" i="1"/>
  <c r="C1970" i="1"/>
  <c r="D1970" i="1"/>
  <c r="E1970" i="1"/>
  <c r="F1970" i="1"/>
  <c r="G1970" i="1"/>
  <c r="H1970" i="1"/>
  <c r="I1970" i="1"/>
  <c r="J1970" i="1"/>
  <c r="K1970" i="1"/>
  <c r="L1970" i="1"/>
  <c r="A1971" i="1"/>
  <c r="B1971" i="1"/>
  <c r="C1971" i="1"/>
  <c r="D1971" i="1"/>
  <c r="E1971" i="1"/>
  <c r="F1971" i="1"/>
  <c r="G1971" i="1"/>
  <c r="H1971" i="1"/>
  <c r="I1971" i="1"/>
  <c r="J1971" i="1"/>
  <c r="K1971" i="1"/>
  <c r="L1971" i="1"/>
  <c r="A1972" i="1"/>
  <c r="B1972" i="1"/>
  <c r="C1972" i="1"/>
  <c r="D1972" i="1"/>
  <c r="E1972" i="1"/>
  <c r="F1972" i="1"/>
  <c r="G1972" i="1"/>
  <c r="H1972" i="1"/>
  <c r="I1972" i="1"/>
  <c r="J1972" i="1"/>
  <c r="K1972" i="1"/>
  <c r="L1972" i="1"/>
  <c r="A1973" i="1"/>
  <c r="B1973" i="1"/>
  <c r="C1973" i="1"/>
  <c r="D1973" i="1"/>
  <c r="E1973" i="1"/>
  <c r="F1973" i="1"/>
  <c r="G1973" i="1"/>
  <c r="H1973" i="1"/>
  <c r="I1973" i="1"/>
  <c r="J1973" i="1"/>
  <c r="K1973" i="1"/>
  <c r="L1973" i="1"/>
  <c r="A1974" i="1"/>
  <c r="B1974" i="1"/>
  <c r="C1974" i="1"/>
  <c r="D1974" i="1"/>
  <c r="E1974" i="1"/>
  <c r="F1974" i="1"/>
  <c r="G1974" i="1"/>
  <c r="H1974" i="1"/>
  <c r="I1974" i="1"/>
  <c r="J1974" i="1"/>
  <c r="K1974" i="1"/>
  <c r="L1974" i="1"/>
  <c r="A1975" i="1"/>
  <c r="B1975" i="1"/>
  <c r="C1975" i="1"/>
  <c r="D1975" i="1"/>
  <c r="E1975" i="1"/>
  <c r="F1975" i="1"/>
  <c r="G1975" i="1"/>
  <c r="H1975" i="1"/>
  <c r="I1975" i="1"/>
  <c r="J1975" i="1"/>
  <c r="K1975" i="1"/>
  <c r="L1975" i="1"/>
  <c r="A1976" i="1"/>
  <c r="B1976" i="1"/>
  <c r="C1976" i="1"/>
  <c r="D1976" i="1"/>
  <c r="E1976" i="1"/>
  <c r="F1976" i="1"/>
  <c r="G1976" i="1"/>
  <c r="H1976" i="1"/>
  <c r="I1976" i="1"/>
  <c r="J1976" i="1"/>
  <c r="K1976" i="1"/>
  <c r="L1976" i="1"/>
  <c r="A1977" i="1"/>
  <c r="B1977" i="1"/>
  <c r="C1977" i="1"/>
  <c r="D1977" i="1"/>
  <c r="E1977" i="1"/>
  <c r="F1977" i="1"/>
  <c r="G1977" i="1"/>
  <c r="H1977" i="1"/>
  <c r="I1977" i="1"/>
  <c r="J1977" i="1"/>
  <c r="K1977" i="1"/>
  <c r="L1977" i="1"/>
  <c r="A1978" i="1"/>
  <c r="B1978" i="1"/>
  <c r="C1978" i="1"/>
  <c r="D1978" i="1"/>
  <c r="E1978" i="1"/>
  <c r="F1978" i="1"/>
  <c r="G1978" i="1"/>
  <c r="H1978" i="1"/>
  <c r="I1978" i="1"/>
  <c r="J1978" i="1"/>
  <c r="K1978" i="1"/>
  <c r="L1978" i="1"/>
  <c r="A1979" i="1"/>
  <c r="B1979" i="1"/>
  <c r="C1979" i="1"/>
  <c r="D1979" i="1"/>
  <c r="E1979" i="1"/>
  <c r="F1979" i="1"/>
  <c r="G1979" i="1"/>
  <c r="H1979" i="1"/>
  <c r="I1979" i="1"/>
  <c r="J1979" i="1"/>
  <c r="K1979" i="1"/>
  <c r="L1979" i="1"/>
  <c r="A1980" i="1"/>
  <c r="B1980" i="1"/>
  <c r="C1980" i="1"/>
  <c r="D1980" i="1"/>
  <c r="E1980" i="1"/>
  <c r="F1980" i="1"/>
  <c r="G1980" i="1"/>
  <c r="H1980" i="1"/>
  <c r="I1980" i="1"/>
  <c r="J1980" i="1"/>
  <c r="K1980" i="1"/>
  <c r="L1980" i="1"/>
  <c r="A1981" i="1"/>
  <c r="B1981" i="1"/>
  <c r="C1981" i="1"/>
  <c r="D1981" i="1"/>
  <c r="E1981" i="1"/>
  <c r="F1981" i="1"/>
  <c r="G1981" i="1"/>
  <c r="H1981" i="1"/>
  <c r="I1981" i="1"/>
  <c r="J1981" i="1"/>
  <c r="K1981" i="1"/>
  <c r="L1981" i="1"/>
  <c r="A1982" i="1"/>
  <c r="B1982" i="1"/>
  <c r="C1982" i="1"/>
  <c r="D1982" i="1"/>
  <c r="E1982" i="1"/>
  <c r="F1982" i="1"/>
  <c r="G1982" i="1"/>
  <c r="H1982" i="1"/>
  <c r="I1982" i="1"/>
  <c r="J1982" i="1"/>
  <c r="K1982" i="1"/>
  <c r="L1982" i="1"/>
  <c r="A1983" i="1"/>
  <c r="B1983" i="1"/>
  <c r="C1983" i="1"/>
  <c r="D1983" i="1"/>
  <c r="E1983" i="1"/>
  <c r="F1983" i="1"/>
  <c r="G1983" i="1"/>
  <c r="H1983" i="1"/>
  <c r="I1983" i="1"/>
  <c r="J1983" i="1"/>
  <c r="K1983" i="1"/>
  <c r="L1983" i="1"/>
  <c r="A1984" i="1"/>
  <c r="B1984" i="1"/>
  <c r="C1984" i="1"/>
  <c r="D1984" i="1"/>
  <c r="E1984" i="1"/>
  <c r="F1984" i="1"/>
  <c r="G1984" i="1"/>
  <c r="H1984" i="1"/>
  <c r="I1984" i="1"/>
  <c r="J1984" i="1"/>
  <c r="K1984" i="1"/>
  <c r="L1984" i="1"/>
  <c r="A1985" i="1"/>
  <c r="B1985" i="1"/>
  <c r="C1985" i="1"/>
  <c r="D1985" i="1"/>
  <c r="E1985" i="1"/>
  <c r="F1985" i="1"/>
  <c r="G1985" i="1"/>
  <c r="H1985" i="1"/>
  <c r="I1985" i="1"/>
  <c r="J1985" i="1"/>
  <c r="K1985" i="1"/>
  <c r="L1985" i="1"/>
  <c r="A1986" i="1"/>
  <c r="B1986" i="1"/>
  <c r="C1986" i="1"/>
  <c r="D1986" i="1"/>
  <c r="E1986" i="1"/>
  <c r="F1986" i="1"/>
  <c r="G1986" i="1"/>
  <c r="H1986" i="1"/>
  <c r="I1986" i="1"/>
  <c r="J1986" i="1"/>
  <c r="K1986" i="1"/>
  <c r="L1986" i="1"/>
  <c r="A1987" i="1"/>
  <c r="B1987" i="1"/>
  <c r="C1987" i="1"/>
  <c r="D1987" i="1"/>
  <c r="E1987" i="1"/>
  <c r="F1987" i="1"/>
  <c r="G1987" i="1"/>
  <c r="H1987" i="1"/>
  <c r="I1987" i="1"/>
  <c r="J1987" i="1"/>
  <c r="K1987" i="1"/>
  <c r="L1987" i="1"/>
  <c r="A1988" i="1"/>
  <c r="B1988" i="1"/>
  <c r="C1988" i="1"/>
  <c r="D1988" i="1"/>
  <c r="E1988" i="1"/>
  <c r="F1988" i="1"/>
  <c r="G1988" i="1"/>
  <c r="H1988" i="1"/>
  <c r="I1988" i="1"/>
  <c r="J1988" i="1"/>
  <c r="K1988" i="1"/>
  <c r="L1988" i="1"/>
  <c r="A1989" i="1"/>
  <c r="B1989" i="1"/>
  <c r="C1989" i="1"/>
  <c r="D1989" i="1"/>
  <c r="E1989" i="1"/>
  <c r="F1989" i="1"/>
  <c r="G1989" i="1"/>
  <c r="H1989" i="1"/>
  <c r="I1989" i="1"/>
  <c r="J1989" i="1"/>
  <c r="K1989" i="1"/>
  <c r="L1989" i="1"/>
  <c r="A1990" i="1"/>
  <c r="B1990" i="1"/>
  <c r="C1990" i="1"/>
  <c r="D1990" i="1"/>
  <c r="E1990" i="1"/>
  <c r="F1990" i="1"/>
  <c r="G1990" i="1"/>
  <c r="H1990" i="1"/>
  <c r="I1990" i="1"/>
  <c r="J1990" i="1"/>
  <c r="K1990" i="1"/>
  <c r="L1990" i="1"/>
  <c r="A1991" i="1"/>
  <c r="B1991" i="1"/>
  <c r="C1991" i="1"/>
  <c r="D1991" i="1"/>
  <c r="E1991" i="1"/>
  <c r="F1991" i="1"/>
  <c r="G1991" i="1"/>
  <c r="H1991" i="1"/>
  <c r="I1991" i="1"/>
  <c r="J1991" i="1"/>
  <c r="K1991" i="1"/>
  <c r="L1991" i="1"/>
  <c r="A1992" i="1"/>
  <c r="B1992" i="1"/>
  <c r="C1992" i="1"/>
  <c r="D1992" i="1"/>
  <c r="E1992" i="1"/>
  <c r="F1992" i="1"/>
  <c r="G1992" i="1"/>
  <c r="H1992" i="1"/>
  <c r="I1992" i="1"/>
  <c r="J1992" i="1"/>
  <c r="K1992" i="1"/>
  <c r="L1992" i="1"/>
  <c r="A1993" i="1"/>
  <c r="B1993" i="1"/>
  <c r="C1993" i="1"/>
  <c r="D1993" i="1"/>
  <c r="E1993" i="1"/>
  <c r="F1993" i="1"/>
  <c r="G1993" i="1"/>
  <c r="H1993" i="1"/>
  <c r="I1993" i="1"/>
  <c r="J1993" i="1"/>
  <c r="K1993" i="1"/>
  <c r="L1993" i="1"/>
  <c r="A1994" i="1"/>
  <c r="B1994" i="1"/>
  <c r="C1994" i="1"/>
  <c r="D1994" i="1"/>
  <c r="E1994" i="1"/>
  <c r="F1994" i="1"/>
  <c r="G1994" i="1"/>
  <c r="H1994" i="1"/>
  <c r="I1994" i="1"/>
  <c r="J1994" i="1"/>
  <c r="K1994" i="1"/>
  <c r="L1994" i="1"/>
  <c r="A1995" i="1"/>
  <c r="B1995" i="1"/>
  <c r="C1995" i="1"/>
  <c r="D1995" i="1"/>
  <c r="E1995" i="1"/>
  <c r="F1995" i="1"/>
  <c r="G1995" i="1"/>
  <c r="H1995" i="1"/>
  <c r="I1995" i="1"/>
  <c r="J1995" i="1"/>
  <c r="K1995" i="1"/>
  <c r="L1995" i="1"/>
  <c r="A1996" i="1"/>
  <c r="B1996" i="1"/>
  <c r="C1996" i="1"/>
  <c r="D1996" i="1"/>
  <c r="E1996" i="1"/>
  <c r="F1996" i="1"/>
  <c r="G1996" i="1"/>
  <c r="H1996" i="1"/>
  <c r="I1996" i="1"/>
  <c r="J1996" i="1"/>
  <c r="K1996" i="1"/>
  <c r="L1996" i="1"/>
  <c r="A1997" i="1"/>
  <c r="B1997" i="1"/>
  <c r="C1997" i="1"/>
  <c r="D1997" i="1"/>
  <c r="E1997" i="1"/>
  <c r="F1997" i="1"/>
  <c r="G1997" i="1"/>
  <c r="H1997" i="1"/>
  <c r="I1997" i="1"/>
  <c r="J1997" i="1"/>
  <c r="K1997" i="1"/>
  <c r="L1997" i="1"/>
  <c r="A1998" i="1"/>
  <c r="B1998" i="1"/>
  <c r="C1998" i="1"/>
  <c r="D1998" i="1"/>
  <c r="E1998" i="1"/>
  <c r="F1998" i="1"/>
  <c r="G1998" i="1"/>
  <c r="H1998" i="1"/>
  <c r="I1998" i="1"/>
  <c r="J1998" i="1"/>
  <c r="K1998" i="1"/>
  <c r="L1998" i="1"/>
  <c r="A1999" i="1"/>
  <c r="B1999" i="1"/>
  <c r="C1999" i="1"/>
  <c r="D1999" i="1"/>
  <c r="E1999" i="1"/>
  <c r="F1999" i="1"/>
  <c r="G1999" i="1"/>
  <c r="H1999" i="1"/>
  <c r="I1999" i="1"/>
  <c r="J1999" i="1"/>
  <c r="K1999" i="1"/>
  <c r="L1999" i="1"/>
  <c r="A2000" i="1"/>
  <c r="B2000" i="1"/>
  <c r="C2000" i="1"/>
  <c r="D2000" i="1"/>
  <c r="E2000" i="1"/>
  <c r="F2000" i="1"/>
  <c r="G2000" i="1"/>
  <c r="H2000" i="1"/>
  <c r="I2000" i="1"/>
  <c r="J2000" i="1"/>
  <c r="K2000" i="1"/>
  <c r="L2000" i="1"/>
  <c r="A2001" i="1"/>
  <c r="B2001" i="1"/>
  <c r="C2001" i="1"/>
  <c r="D2001" i="1"/>
  <c r="E2001" i="1"/>
  <c r="F2001" i="1"/>
  <c r="G2001" i="1"/>
  <c r="H2001" i="1"/>
  <c r="I2001" i="1"/>
  <c r="J2001" i="1"/>
  <c r="K2001" i="1"/>
  <c r="L2001" i="1"/>
  <c r="A2002" i="1"/>
  <c r="B2002" i="1"/>
  <c r="C2002" i="1"/>
  <c r="D2002" i="1"/>
  <c r="E2002" i="1"/>
  <c r="F2002" i="1"/>
  <c r="G2002" i="1"/>
  <c r="H2002" i="1"/>
  <c r="I2002" i="1"/>
  <c r="J2002" i="1"/>
  <c r="K2002" i="1"/>
  <c r="L2002" i="1"/>
  <c r="A2003" i="1"/>
  <c r="B2003" i="1"/>
  <c r="C2003" i="1"/>
  <c r="D2003" i="1"/>
  <c r="E2003" i="1"/>
  <c r="F2003" i="1"/>
  <c r="G2003" i="1"/>
  <c r="H2003" i="1"/>
  <c r="I2003" i="1"/>
  <c r="J2003" i="1"/>
  <c r="K2003" i="1"/>
  <c r="L2003" i="1"/>
  <c r="A2004" i="1"/>
  <c r="B2004" i="1"/>
  <c r="C2004" i="1"/>
  <c r="D2004" i="1"/>
  <c r="E2004" i="1"/>
  <c r="F2004" i="1"/>
  <c r="G2004" i="1"/>
  <c r="H2004" i="1"/>
  <c r="I2004" i="1"/>
  <c r="J2004" i="1"/>
  <c r="K2004" i="1"/>
  <c r="L2004" i="1"/>
  <c r="A2005" i="1"/>
  <c r="B2005" i="1"/>
  <c r="C2005" i="1"/>
  <c r="D2005" i="1"/>
  <c r="E2005" i="1"/>
  <c r="F2005" i="1"/>
  <c r="G2005" i="1"/>
  <c r="H2005" i="1"/>
  <c r="I2005" i="1"/>
  <c r="J2005" i="1"/>
  <c r="K2005" i="1"/>
  <c r="L2005" i="1"/>
  <c r="A2006" i="1"/>
  <c r="B2006" i="1"/>
  <c r="C2006" i="1"/>
  <c r="D2006" i="1"/>
  <c r="E2006" i="1"/>
  <c r="F2006" i="1"/>
  <c r="G2006" i="1"/>
  <c r="H2006" i="1"/>
  <c r="I2006" i="1"/>
  <c r="J2006" i="1"/>
  <c r="K2006" i="1"/>
  <c r="L2006" i="1"/>
  <c r="A2007" i="1"/>
  <c r="B2007" i="1"/>
  <c r="C2007" i="1"/>
  <c r="D2007" i="1"/>
  <c r="E2007" i="1"/>
  <c r="F2007" i="1"/>
  <c r="G2007" i="1"/>
  <c r="H2007" i="1"/>
  <c r="I2007" i="1"/>
  <c r="J2007" i="1"/>
  <c r="K2007" i="1"/>
  <c r="L2007" i="1"/>
  <c r="A2008" i="1"/>
  <c r="B2008" i="1"/>
  <c r="C2008" i="1"/>
  <c r="D2008" i="1"/>
  <c r="E2008" i="1"/>
  <c r="F2008" i="1"/>
  <c r="G2008" i="1"/>
  <c r="H2008" i="1"/>
  <c r="I2008" i="1"/>
  <c r="J2008" i="1"/>
  <c r="K2008" i="1"/>
  <c r="L2008" i="1"/>
  <c r="A2009" i="1"/>
  <c r="B2009" i="1"/>
  <c r="C2009" i="1"/>
  <c r="D2009" i="1"/>
  <c r="E2009" i="1"/>
  <c r="F2009" i="1"/>
  <c r="G2009" i="1"/>
  <c r="H2009" i="1"/>
  <c r="I2009" i="1"/>
  <c r="J2009" i="1"/>
  <c r="K2009" i="1"/>
  <c r="L2009" i="1"/>
  <c r="A2010" i="1"/>
  <c r="B2010" i="1"/>
  <c r="C2010" i="1"/>
  <c r="D2010" i="1"/>
  <c r="E2010" i="1"/>
  <c r="F2010" i="1"/>
  <c r="G2010" i="1"/>
  <c r="H2010" i="1"/>
  <c r="I2010" i="1"/>
  <c r="J2010" i="1"/>
  <c r="K2010" i="1"/>
  <c r="L2010" i="1"/>
  <c r="A2011" i="1"/>
  <c r="B2011" i="1"/>
  <c r="C2011" i="1"/>
  <c r="D2011" i="1"/>
  <c r="E2011" i="1"/>
  <c r="F2011" i="1"/>
  <c r="G2011" i="1"/>
  <c r="H2011" i="1"/>
  <c r="I2011" i="1"/>
  <c r="J2011" i="1"/>
  <c r="K2011" i="1"/>
  <c r="L2011" i="1"/>
  <c r="A2012" i="1"/>
  <c r="B2012" i="1"/>
  <c r="C2012" i="1"/>
  <c r="D2012" i="1"/>
  <c r="E2012" i="1"/>
  <c r="F2012" i="1"/>
  <c r="G2012" i="1"/>
  <c r="H2012" i="1"/>
  <c r="I2012" i="1"/>
  <c r="J2012" i="1"/>
  <c r="K2012" i="1"/>
  <c r="L2012" i="1"/>
  <c r="A2013" i="1"/>
  <c r="B2013" i="1"/>
  <c r="C2013" i="1"/>
  <c r="D2013" i="1"/>
  <c r="E2013" i="1"/>
  <c r="F2013" i="1"/>
  <c r="G2013" i="1"/>
  <c r="H2013" i="1"/>
  <c r="I2013" i="1"/>
  <c r="J2013" i="1"/>
  <c r="K2013" i="1"/>
  <c r="L2013" i="1"/>
  <c r="A2014" i="1"/>
  <c r="B2014" i="1"/>
  <c r="C2014" i="1"/>
  <c r="D2014" i="1"/>
  <c r="E2014" i="1"/>
  <c r="F2014" i="1"/>
  <c r="G2014" i="1"/>
  <c r="H2014" i="1"/>
  <c r="I2014" i="1"/>
  <c r="J2014" i="1"/>
  <c r="K2014" i="1"/>
  <c r="L2014" i="1"/>
  <c r="A2015" i="1"/>
  <c r="B2015" i="1"/>
  <c r="C2015" i="1"/>
  <c r="D2015" i="1"/>
  <c r="E2015" i="1"/>
  <c r="F2015" i="1"/>
  <c r="G2015" i="1"/>
  <c r="H2015" i="1"/>
  <c r="I2015" i="1"/>
  <c r="J2015" i="1"/>
  <c r="K2015" i="1"/>
  <c r="L2015" i="1"/>
  <c r="A2016" i="1"/>
  <c r="B2016" i="1"/>
  <c r="C2016" i="1"/>
  <c r="D2016" i="1"/>
  <c r="E2016" i="1"/>
  <c r="F2016" i="1"/>
  <c r="G2016" i="1"/>
  <c r="H2016" i="1"/>
  <c r="I2016" i="1"/>
  <c r="J2016" i="1"/>
  <c r="K2016" i="1"/>
  <c r="L2016" i="1"/>
  <c r="A2017" i="1"/>
  <c r="B2017" i="1"/>
  <c r="C2017" i="1"/>
  <c r="D2017" i="1"/>
  <c r="E2017" i="1"/>
  <c r="F2017" i="1"/>
  <c r="G2017" i="1"/>
  <c r="H2017" i="1"/>
  <c r="I2017" i="1"/>
  <c r="J2017" i="1"/>
  <c r="K2017" i="1"/>
  <c r="L2017" i="1"/>
  <c r="A2018" i="1"/>
  <c r="B2018" i="1"/>
  <c r="C2018" i="1"/>
  <c r="D2018" i="1"/>
  <c r="E2018" i="1"/>
  <c r="F2018" i="1"/>
  <c r="G2018" i="1"/>
  <c r="H2018" i="1"/>
  <c r="I2018" i="1"/>
  <c r="J2018" i="1"/>
  <c r="K2018" i="1"/>
  <c r="L2018" i="1"/>
  <c r="A2019" i="1"/>
  <c r="B2019" i="1"/>
  <c r="C2019" i="1"/>
  <c r="D2019" i="1"/>
  <c r="E2019" i="1"/>
  <c r="F2019" i="1"/>
  <c r="G2019" i="1"/>
  <c r="H2019" i="1"/>
  <c r="I2019" i="1"/>
  <c r="J2019" i="1"/>
  <c r="K2019" i="1"/>
  <c r="L2019" i="1"/>
  <c r="A2020" i="1"/>
  <c r="B2020" i="1"/>
  <c r="C2020" i="1"/>
  <c r="D2020" i="1"/>
  <c r="E2020" i="1"/>
  <c r="F2020" i="1"/>
  <c r="G2020" i="1"/>
  <c r="H2020" i="1"/>
  <c r="I2020" i="1"/>
  <c r="J2020" i="1"/>
  <c r="K2020" i="1"/>
  <c r="L2020" i="1"/>
  <c r="A2021" i="1"/>
  <c r="B2021" i="1"/>
  <c r="C2021" i="1"/>
  <c r="D2021" i="1"/>
  <c r="E2021" i="1"/>
  <c r="F2021" i="1"/>
  <c r="G2021" i="1"/>
  <c r="H2021" i="1"/>
  <c r="I2021" i="1"/>
  <c r="J2021" i="1"/>
  <c r="K2021" i="1"/>
  <c r="L2021" i="1"/>
  <c r="A2022" i="1"/>
  <c r="B2022" i="1"/>
  <c r="C2022" i="1"/>
  <c r="D2022" i="1"/>
  <c r="E2022" i="1"/>
  <c r="F2022" i="1"/>
  <c r="G2022" i="1"/>
  <c r="H2022" i="1"/>
  <c r="I2022" i="1"/>
  <c r="J2022" i="1"/>
  <c r="K2022" i="1"/>
  <c r="L2022" i="1"/>
  <c r="A2023" i="1"/>
  <c r="B2023" i="1"/>
  <c r="C2023" i="1"/>
  <c r="D2023" i="1"/>
  <c r="E2023" i="1"/>
  <c r="F2023" i="1"/>
  <c r="G2023" i="1"/>
  <c r="H2023" i="1"/>
  <c r="I2023" i="1"/>
  <c r="J2023" i="1"/>
  <c r="K2023" i="1"/>
  <c r="L2023" i="1"/>
  <c r="A2024" i="1"/>
  <c r="B2024" i="1"/>
  <c r="C2024" i="1"/>
  <c r="D2024" i="1"/>
  <c r="E2024" i="1"/>
  <c r="F2024" i="1"/>
  <c r="G2024" i="1"/>
  <c r="H2024" i="1"/>
  <c r="I2024" i="1"/>
  <c r="J2024" i="1"/>
  <c r="K2024" i="1"/>
  <c r="L2024" i="1"/>
  <c r="A2025" i="1"/>
  <c r="B2025" i="1"/>
  <c r="C2025" i="1"/>
  <c r="D2025" i="1"/>
  <c r="E2025" i="1"/>
  <c r="F2025" i="1"/>
  <c r="G2025" i="1"/>
  <c r="H2025" i="1"/>
  <c r="I2025" i="1"/>
  <c r="J2025" i="1"/>
  <c r="K2025" i="1"/>
  <c r="L2025" i="1"/>
  <c r="A2026" i="1"/>
  <c r="B2026" i="1"/>
  <c r="C2026" i="1"/>
  <c r="D2026" i="1"/>
  <c r="E2026" i="1"/>
  <c r="F2026" i="1"/>
  <c r="G2026" i="1"/>
  <c r="H2026" i="1"/>
  <c r="I2026" i="1"/>
  <c r="J2026" i="1"/>
  <c r="K2026" i="1"/>
  <c r="L2026" i="1"/>
  <c r="A2027" i="1"/>
  <c r="B2027" i="1"/>
  <c r="C2027" i="1"/>
  <c r="D2027" i="1"/>
  <c r="E2027" i="1"/>
  <c r="F2027" i="1"/>
  <c r="G2027" i="1"/>
  <c r="H2027" i="1"/>
  <c r="I2027" i="1"/>
  <c r="J2027" i="1"/>
  <c r="K2027" i="1"/>
  <c r="L2027" i="1"/>
  <c r="A2028" i="1"/>
  <c r="B2028" i="1"/>
  <c r="C2028" i="1"/>
  <c r="D2028" i="1"/>
  <c r="E2028" i="1"/>
  <c r="F2028" i="1"/>
  <c r="G2028" i="1"/>
  <c r="H2028" i="1"/>
  <c r="I2028" i="1"/>
  <c r="J2028" i="1"/>
  <c r="K2028" i="1"/>
  <c r="L2028" i="1"/>
  <c r="A2029" i="1"/>
  <c r="B2029" i="1"/>
  <c r="C2029" i="1"/>
  <c r="D2029" i="1"/>
  <c r="E2029" i="1"/>
  <c r="F2029" i="1"/>
  <c r="G2029" i="1"/>
  <c r="H2029" i="1"/>
  <c r="I2029" i="1"/>
  <c r="J2029" i="1"/>
  <c r="K2029" i="1"/>
  <c r="L2029" i="1"/>
  <c r="A2030" i="1"/>
  <c r="B2030" i="1"/>
  <c r="C2030" i="1"/>
  <c r="D2030" i="1"/>
  <c r="E2030" i="1"/>
  <c r="F2030" i="1"/>
  <c r="G2030" i="1"/>
  <c r="H2030" i="1"/>
  <c r="I2030" i="1"/>
  <c r="J2030" i="1"/>
  <c r="K2030" i="1"/>
  <c r="L2030" i="1"/>
  <c r="A2031" i="1"/>
  <c r="B2031" i="1"/>
  <c r="C2031" i="1"/>
  <c r="D2031" i="1"/>
  <c r="E2031" i="1"/>
  <c r="F2031" i="1"/>
  <c r="G2031" i="1"/>
  <c r="H2031" i="1"/>
  <c r="I2031" i="1"/>
  <c r="J2031" i="1"/>
  <c r="K2031" i="1"/>
  <c r="L2031" i="1"/>
  <c r="A2032" i="1"/>
  <c r="B2032" i="1"/>
  <c r="C2032" i="1"/>
  <c r="D2032" i="1"/>
  <c r="E2032" i="1"/>
  <c r="F2032" i="1"/>
  <c r="G2032" i="1"/>
  <c r="H2032" i="1"/>
  <c r="I2032" i="1"/>
  <c r="J2032" i="1"/>
  <c r="K2032" i="1"/>
  <c r="L2032" i="1"/>
  <c r="A2033" i="1"/>
  <c r="B2033" i="1"/>
  <c r="C2033" i="1"/>
  <c r="D2033" i="1"/>
  <c r="E2033" i="1"/>
  <c r="F2033" i="1"/>
  <c r="G2033" i="1"/>
  <c r="H2033" i="1"/>
  <c r="I2033" i="1"/>
  <c r="J2033" i="1"/>
  <c r="K2033" i="1"/>
  <c r="L2033" i="1"/>
  <c r="A2034" i="1"/>
  <c r="B2034" i="1"/>
  <c r="C2034" i="1"/>
  <c r="D2034" i="1"/>
  <c r="E2034" i="1"/>
  <c r="F2034" i="1"/>
  <c r="G2034" i="1"/>
  <c r="H2034" i="1"/>
  <c r="I2034" i="1"/>
  <c r="J2034" i="1"/>
  <c r="K2034" i="1"/>
  <c r="L2034" i="1"/>
  <c r="A2035" i="1"/>
  <c r="B2035" i="1"/>
  <c r="C2035" i="1"/>
  <c r="D2035" i="1"/>
  <c r="E2035" i="1"/>
  <c r="F2035" i="1"/>
  <c r="G2035" i="1"/>
  <c r="H2035" i="1"/>
  <c r="I2035" i="1"/>
  <c r="J2035" i="1"/>
  <c r="K2035" i="1"/>
  <c r="L2035" i="1"/>
  <c r="A2036" i="1"/>
  <c r="B2036" i="1"/>
  <c r="C2036" i="1"/>
  <c r="D2036" i="1"/>
  <c r="E2036" i="1"/>
  <c r="F2036" i="1"/>
  <c r="G2036" i="1"/>
  <c r="H2036" i="1"/>
  <c r="I2036" i="1"/>
  <c r="J2036" i="1"/>
  <c r="K2036" i="1"/>
  <c r="L2036" i="1"/>
  <c r="A2037" i="1"/>
  <c r="B2037" i="1"/>
  <c r="C2037" i="1"/>
  <c r="D2037" i="1"/>
  <c r="E2037" i="1"/>
  <c r="F2037" i="1"/>
  <c r="G2037" i="1"/>
  <c r="H2037" i="1"/>
  <c r="I2037" i="1"/>
  <c r="J2037" i="1"/>
  <c r="K2037" i="1"/>
  <c r="L2037" i="1"/>
  <c r="A2038" i="1"/>
  <c r="B2038" i="1"/>
  <c r="C2038" i="1"/>
  <c r="D2038" i="1"/>
  <c r="E2038" i="1"/>
  <c r="F2038" i="1"/>
  <c r="G2038" i="1"/>
  <c r="H2038" i="1"/>
  <c r="I2038" i="1"/>
  <c r="J2038" i="1"/>
  <c r="K2038" i="1"/>
  <c r="L2038" i="1"/>
  <c r="A2039" i="1"/>
  <c r="B2039" i="1"/>
  <c r="C2039" i="1"/>
  <c r="D2039" i="1"/>
  <c r="E2039" i="1"/>
  <c r="F2039" i="1"/>
  <c r="G2039" i="1"/>
  <c r="H2039" i="1"/>
  <c r="I2039" i="1"/>
  <c r="J2039" i="1"/>
  <c r="K2039" i="1"/>
  <c r="L2039" i="1"/>
  <c r="A2040" i="1"/>
  <c r="B2040" i="1"/>
  <c r="C2040" i="1"/>
  <c r="D2040" i="1"/>
  <c r="E2040" i="1"/>
  <c r="F2040" i="1"/>
  <c r="G2040" i="1"/>
  <c r="H2040" i="1"/>
  <c r="I2040" i="1"/>
  <c r="J2040" i="1"/>
  <c r="K2040" i="1"/>
  <c r="L2040" i="1"/>
  <c r="A2041" i="1"/>
  <c r="B2041" i="1"/>
  <c r="C2041" i="1"/>
  <c r="D2041" i="1"/>
  <c r="E2041" i="1"/>
  <c r="F2041" i="1"/>
  <c r="G2041" i="1"/>
  <c r="H2041" i="1"/>
  <c r="I2041" i="1"/>
  <c r="J2041" i="1"/>
  <c r="K2041" i="1"/>
  <c r="L2041" i="1"/>
  <c r="A2042" i="1"/>
  <c r="B2042" i="1"/>
  <c r="C2042" i="1"/>
  <c r="D2042" i="1"/>
  <c r="E2042" i="1"/>
  <c r="F2042" i="1"/>
  <c r="G2042" i="1"/>
  <c r="H2042" i="1"/>
  <c r="I2042" i="1"/>
  <c r="J2042" i="1"/>
  <c r="K2042" i="1"/>
  <c r="L2042" i="1"/>
  <c r="A2043" i="1"/>
  <c r="B2043" i="1"/>
  <c r="C2043" i="1"/>
  <c r="D2043" i="1"/>
  <c r="E2043" i="1"/>
  <c r="F2043" i="1"/>
  <c r="G2043" i="1"/>
  <c r="H2043" i="1"/>
  <c r="I2043" i="1"/>
  <c r="J2043" i="1"/>
  <c r="K2043" i="1"/>
  <c r="L2043" i="1"/>
  <c r="A2044" i="1"/>
  <c r="B2044" i="1"/>
  <c r="C2044" i="1"/>
  <c r="D2044" i="1"/>
  <c r="E2044" i="1"/>
  <c r="F2044" i="1"/>
  <c r="G2044" i="1"/>
  <c r="H2044" i="1"/>
  <c r="I2044" i="1"/>
  <c r="J2044" i="1"/>
  <c r="K2044" i="1"/>
  <c r="L2044" i="1"/>
  <c r="A2045" i="1"/>
  <c r="B2045" i="1"/>
  <c r="C2045" i="1"/>
  <c r="D2045" i="1"/>
  <c r="E2045" i="1"/>
  <c r="F2045" i="1"/>
  <c r="G2045" i="1"/>
  <c r="H2045" i="1"/>
  <c r="I2045" i="1"/>
  <c r="J2045" i="1"/>
  <c r="K2045" i="1"/>
  <c r="L2045" i="1"/>
  <c r="A2046" i="1"/>
  <c r="B2046" i="1"/>
  <c r="C2046" i="1"/>
  <c r="D2046" i="1"/>
  <c r="E2046" i="1"/>
  <c r="F2046" i="1"/>
  <c r="G2046" i="1"/>
  <c r="H2046" i="1"/>
  <c r="I2046" i="1"/>
  <c r="J2046" i="1"/>
  <c r="K2046" i="1"/>
  <c r="L2046" i="1"/>
  <c r="A2047" i="1"/>
  <c r="B2047" i="1"/>
  <c r="C2047" i="1"/>
  <c r="D2047" i="1"/>
  <c r="E2047" i="1"/>
  <c r="F2047" i="1"/>
  <c r="G2047" i="1"/>
  <c r="H2047" i="1"/>
  <c r="I2047" i="1"/>
  <c r="J2047" i="1"/>
  <c r="K2047" i="1"/>
  <c r="L2047" i="1"/>
  <c r="A2048" i="1"/>
  <c r="B2048" i="1"/>
  <c r="C2048" i="1"/>
  <c r="D2048" i="1"/>
  <c r="E2048" i="1"/>
  <c r="F2048" i="1"/>
  <c r="G2048" i="1"/>
  <c r="H2048" i="1"/>
  <c r="I2048" i="1"/>
  <c r="J2048" i="1"/>
  <c r="K2048" i="1"/>
  <c r="L2048" i="1"/>
  <c r="A2049" i="1"/>
  <c r="B2049" i="1"/>
  <c r="C2049" i="1"/>
  <c r="D2049" i="1"/>
  <c r="E2049" i="1"/>
  <c r="F2049" i="1"/>
  <c r="G2049" i="1"/>
  <c r="H2049" i="1"/>
  <c r="I2049" i="1"/>
  <c r="J2049" i="1"/>
  <c r="K2049" i="1"/>
  <c r="L2049" i="1"/>
  <c r="A2050" i="1"/>
  <c r="B2050" i="1"/>
  <c r="C2050" i="1"/>
  <c r="D2050" i="1"/>
  <c r="E2050" i="1"/>
  <c r="F2050" i="1"/>
  <c r="G2050" i="1"/>
  <c r="H2050" i="1"/>
  <c r="I2050" i="1"/>
  <c r="J2050" i="1"/>
  <c r="K2050" i="1"/>
  <c r="L2050" i="1"/>
  <c r="A2051" i="1"/>
  <c r="B2051" i="1"/>
  <c r="C2051" i="1"/>
  <c r="D2051" i="1"/>
  <c r="E2051" i="1"/>
  <c r="F2051" i="1"/>
  <c r="G2051" i="1"/>
  <c r="H2051" i="1"/>
  <c r="I2051" i="1"/>
  <c r="J2051" i="1"/>
  <c r="K2051" i="1"/>
  <c r="L2051" i="1"/>
  <c r="A2052" i="1"/>
  <c r="B2052" i="1"/>
  <c r="C2052" i="1"/>
  <c r="D2052" i="1"/>
  <c r="E2052" i="1"/>
  <c r="F2052" i="1"/>
  <c r="G2052" i="1"/>
  <c r="H2052" i="1"/>
  <c r="I2052" i="1"/>
  <c r="J2052" i="1"/>
  <c r="K2052" i="1"/>
  <c r="L2052" i="1"/>
  <c r="A2053" i="1"/>
  <c r="B2053" i="1"/>
  <c r="C2053" i="1"/>
  <c r="D2053" i="1"/>
  <c r="E2053" i="1"/>
  <c r="F2053" i="1"/>
  <c r="G2053" i="1"/>
  <c r="H2053" i="1"/>
  <c r="I2053" i="1"/>
  <c r="J2053" i="1"/>
  <c r="K2053" i="1"/>
  <c r="L2053" i="1"/>
  <c r="A2054" i="1"/>
  <c r="B2054" i="1"/>
  <c r="C2054" i="1"/>
  <c r="D2054" i="1"/>
  <c r="E2054" i="1"/>
  <c r="F2054" i="1"/>
  <c r="G2054" i="1"/>
  <c r="H2054" i="1"/>
  <c r="I2054" i="1"/>
  <c r="J2054" i="1"/>
  <c r="K2054" i="1"/>
  <c r="L2054" i="1"/>
  <c r="A2055" i="1"/>
  <c r="B2055" i="1"/>
  <c r="C2055" i="1"/>
  <c r="D2055" i="1"/>
  <c r="E2055" i="1"/>
  <c r="F2055" i="1"/>
  <c r="G2055" i="1"/>
  <c r="H2055" i="1"/>
  <c r="I2055" i="1"/>
  <c r="J2055" i="1"/>
  <c r="K2055" i="1"/>
  <c r="L2055" i="1"/>
  <c r="A2056" i="1"/>
  <c r="B2056" i="1"/>
  <c r="C2056" i="1"/>
  <c r="D2056" i="1"/>
  <c r="E2056" i="1"/>
  <c r="F2056" i="1"/>
  <c r="G2056" i="1"/>
  <c r="H2056" i="1"/>
  <c r="I2056" i="1"/>
  <c r="J2056" i="1"/>
  <c r="K2056" i="1"/>
  <c r="L2056" i="1"/>
  <c r="A2057" i="1"/>
  <c r="B2057" i="1"/>
  <c r="C2057" i="1"/>
  <c r="D2057" i="1"/>
  <c r="E2057" i="1"/>
  <c r="F2057" i="1"/>
  <c r="G2057" i="1"/>
  <c r="H2057" i="1"/>
  <c r="I2057" i="1"/>
  <c r="J2057" i="1"/>
  <c r="K2057" i="1"/>
  <c r="L2057" i="1"/>
  <c r="A2058" i="1"/>
  <c r="B2058" i="1"/>
  <c r="C2058" i="1"/>
  <c r="D2058" i="1"/>
  <c r="E2058" i="1"/>
  <c r="F2058" i="1"/>
  <c r="G2058" i="1"/>
  <c r="H2058" i="1"/>
  <c r="I2058" i="1"/>
  <c r="J2058" i="1"/>
  <c r="K2058" i="1"/>
  <c r="L2058" i="1"/>
  <c r="A2059" i="1"/>
  <c r="B2059" i="1"/>
  <c r="C2059" i="1"/>
  <c r="D2059" i="1"/>
  <c r="E2059" i="1"/>
  <c r="F2059" i="1"/>
  <c r="G2059" i="1"/>
  <c r="H2059" i="1"/>
  <c r="I2059" i="1"/>
  <c r="J2059" i="1"/>
  <c r="K2059" i="1"/>
  <c r="L2059" i="1"/>
  <c r="A2060" i="1"/>
  <c r="B2060" i="1"/>
  <c r="C2060" i="1"/>
  <c r="D2060" i="1"/>
  <c r="E2060" i="1"/>
  <c r="F2060" i="1"/>
  <c r="G2060" i="1"/>
  <c r="H2060" i="1"/>
  <c r="I2060" i="1"/>
  <c r="J2060" i="1"/>
  <c r="K2060" i="1"/>
  <c r="L2060" i="1"/>
  <c r="A2061" i="1"/>
  <c r="B2061" i="1"/>
  <c r="C2061" i="1"/>
  <c r="D2061" i="1"/>
  <c r="E2061" i="1"/>
  <c r="F2061" i="1"/>
  <c r="G2061" i="1"/>
  <c r="H2061" i="1"/>
  <c r="I2061" i="1"/>
  <c r="J2061" i="1"/>
  <c r="K2061" i="1"/>
  <c r="L2061" i="1"/>
  <c r="A2062" i="1"/>
  <c r="B2062" i="1"/>
  <c r="C2062" i="1"/>
  <c r="D2062" i="1"/>
  <c r="E2062" i="1"/>
  <c r="F2062" i="1"/>
  <c r="G2062" i="1"/>
  <c r="H2062" i="1"/>
  <c r="I2062" i="1"/>
  <c r="J2062" i="1"/>
  <c r="K2062" i="1"/>
  <c r="L2062" i="1"/>
  <c r="A2063" i="1"/>
  <c r="B2063" i="1"/>
  <c r="C2063" i="1"/>
  <c r="D2063" i="1"/>
  <c r="E2063" i="1"/>
  <c r="F2063" i="1"/>
  <c r="G2063" i="1"/>
  <c r="H2063" i="1"/>
  <c r="I2063" i="1"/>
  <c r="J2063" i="1"/>
  <c r="K2063" i="1"/>
  <c r="L2063" i="1"/>
  <c r="A2064" i="1"/>
  <c r="B2064" i="1"/>
  <c r="C2064" i="1"/>
  <c r="D2064" i="1"/>
  <c r="E2064" i="1"/>
  <c r="F2064" i="1"/>
  <c r="G2064" i="1"/>
  <c r="H2064" i="1"/>
  <c r="I2064" i="1"/>
  <c r="J2064" i="1"/>
  <c r="K2064" i="1"/>
  <c r="L2064" i="1"/>
  <c r="A2065" i="1"/>
  <c r="B2065" i="1"/>
  <c r="C2065" i="1"/>
  <c r="D2065" i="1"/>
  <c r="E2065" i="1"/>
  <c r="F2065" i="1"/>
  <c r="G2065" i="1"/>
  <c r="H2065" i="1"/>
  <c r="I2065" i="1"/>
  <c r="J2065" i="1"/>
  <c r="K2065" i="1"/>
  <c r="L2065" i="1"/>
  <c r="A2066" i="1"/>
  <c r="B2066" i="1"/>
  <c r="C2066" i="1"/>
  <c r="D2066" i="1"/>
  <c r="E2066" i="1"/>
  <c r="F2066" i="1"/>
  <c r="G2066" i="1"/>
  <c r="H2066" i="1"/>
  <c r="I2066" i="1"/>
  <c r="J2066" i="1"/>
  <c r="K2066" i="1"/>
  <c r="L2066" i="1"/>
  <c r="A2067" i="1"/>
  <c r="B2067" i="1"/>
  <c r="C2067" i="1"/>
  <c r="D2067" i="1"/>
  <c r="E2067" i="1"/>
  <c r="F2067" i="1"/>
  <c r="G2067" i="1"/>
  <c r="H2067" i="1"/>
  <c r="I2067" i="1"/>
  <c r="J2067" i="1"/>
  <c r="K2067" i="1"/>
  <c r="L2067" i="1"/>
  <c r="A2068" i="1"/>
  <c r="B2068" i="1"/>
  <c r="C2068" i="1"/>
  <c r="D2068" i="1"/>
  <c r="E2068" i="1"/>
  <c r="F2068" i="1"/>
  <c r="G2068" i="1"/>
  <c r="H2068" i="1"/>
  <c r="I2068" i="1"/>
  <c r="J2068" i="1"/>
  <c r="K2068" i="1"/>
  <c r="L2068" i="1"/>
  <c r="A2069" i="1"/>
  <c r="B2069" i="1"/>
  <c r="C2069" i="1"/>
  <c r="D2069" i="1"/>
  <c r="E2069" i="1"/>
  <c r="F2069" i="1"/>
  <c r="G2069" i="1"/>
  <c r="H2069" i="1"/>
  <c r="I2069" i="1"/>
  <c r="J2069" i="1"/>
  <c r="K2069" i="1"/>
  <c r="L2069" i="1"/>
  <c r="A2070" i="1"/>
  <c r="B2070" i="1"/>
  <c r="C2070" i="1"/>
  <c r="D2070" i="1"/>
  <c r="E2070" i="1"/>
  <c r="F2070" i="1"/>
  <c r="G2070" i="1"/>
  <c r="H2070" i="1"/>
  <c r="I2070" i="1"/>
  <c r="J2070" i="1"/>
  <c r="K2070" i="1"/>
  <c r="L2070" i="1"/>
  <c r="A2071" i="1"/>
  <c r="B2071" i="1"/>
  <c r="C2071" i="1"/>
  <c r="D2071" i="1"/>
  <c r="E2071" i="1"/>
  <c r="F2071" i="1"/>
  <c r="G2071" i="1"/>
  <c r="H2071" i="1"/>
  <c r="I2071" i="1"/>
  <c r="J2071" i="1"/>
  <c r="K2071" i="1"/>
  <c r="L2071" i="1"/>
  <c r="A2072" i="1"/>
  <c r="B2072" i="1"/>
  <c r="C2072" i="1"/>
  <c r="D2072" i="1"/>
  <c r="E2072" i="1"/>
  <c r="F2072" i="1"/>
  <c r="G2072" i="1"/>
  <c r="H2072" i="1"/>
  <c r="I2072" i="1"/>
  <c r="J2072" i="1"/>
  <c r="K2072" i="1"/>
  <c r="L2072" i="1"/>
  <c r="A2073" i="1"/>
  <c r="B2073" i="1"/>
  <c r="C2073" i="1"/>
  <c r="D2073" i="1"/>
  <c r="E2073" i="1"/>
  <c r="F2073" i="1"/>
  <c r="G2073" i="1"/>
  <c r="H2073" i="1"/>
  <c r="I2073" i="1"/>
  <c r="J2073" i="1"/>
  <c r="K2073" i="1"/>
  <c r="L2073" i="1"/>
  <c r="A2074" i="1"/>
  <c r="B2074" i="1"/>
  <c r="C2074" i="1"/>
  <c r="D2074" i="1"/>
  <c r="E2074" i="1"/>
  <c r="F2074" i="1"/>
  <c r="G2074" i="1"/>
  <c r="H2074" i="1"/>
  <c r="I2074" i="1"/>
  <c r="J2074" i="1"/>
  <c r="K2074" i="1"/>
  <c r="L2074" i="1"/>
  <c r="A2075" i="1"/>
  <c r="B2075" i="1"/>
  <c r="C2075" i="1"/>
  <c r="D2075" i="1"/>
  <c r="E2075" i="1"/>
  <c r="F2075" i="1"/>
  <c r="G2075" i="1"/>
  <c r="H2075" i="1"/>
  <c r="I2075" i="1"/>
  <c r="J2075" i="1"/>
  <c r="K2075" i="1"/>
  <c r="L2075" i="1"/>
  <c r="A2076" i="1"/>
  <c r="B2076" i="1"/>
  <c r="C2076" i="1"/>
  <c r="D2076" i="1"/>
  <c r="E2076" i="1"/>
  <c r="F2076" i="1"/>
  <c r="G2076" i="1"/>
  <c r="H2076" i="1"/>
  <c r="I2076" i="1"/>
  <c r="J2076" i="1"/>
  <c r="K2076" i="1"/>
  <c r="L2076" i="1"/>
  <c r="A2077" i="1"/>
  <c r="B2077" i="1"/>
  <c r="C2077" i="1"/>
  <c r="D2077" i="1"/>
  <c r="E2077" i="1"/>
  <c r="F2077" i="1"/>
  <c r="G2077" i="1"/>
  <c r="H2077" i="1"/>
  <c r="I2077" i="1"/>
  <c r="J2077" i="1"/>
  <c r="K2077" i="1"/>
  <c r="L2077" i="1"/>
  <c r="A2078" i="1"/>
  <c r="B2078" i="1"/>
  <c r="C2078" i="1"/>
  <c r="D2078" i="1"/>
  <c r="E2078" i="1"/>
  <c r="F2078" i="1"/>
  <c r="G2078" i="1"/>
  <c r="H2078" i="1"/>
  <c r="I2078" i="1"/>
  <c r="J2078" i="1"/>
  <c r="K2078" i="1"/>
  <c r="L2078" i="1"/>
  <c r="A2079" i="1"/>
  <c r="B2079" i="1"/>
  <c r="C2079" i="1"/>
  <c r="D2079" i="1"/>
  <c r="E2079" i="1"/>
  <c r="F2079" i="1"/>
  <c r="G2079" i="1"/>
  <c r="H2079" i="1"/>
  <c r="I2079" i="1"/>
  <c r="J2079" i="1"/>
  <c r="K2079" i="1"/>
  <c r="L2079" i="1"/>
  <c r="A2080" i="1"/>
  <c r="B2080" i="1"/>
  <c r="C2080" i="1"/>
  <c r="D2080" i="1"/>
  <c r="E2080" i="1"/>
  <c r="F2080" i="1"/>
  <c r="G2080" i="1"/>
  <c r="H2080" i="1"/>
  <c r="I2080" i="1"/>
  <c r="J2080" i="1"/>
  <c r="K2080" i="1"/>
  <c r="L2080" i="1"/>
  <c r="A2081" i="1"/>
  <c r="B2081" i="1"/>
  <c r="C2081" i="1"/>
  <c r="D2081" i="1"/>
  <c r="E2081" i="1"/>
  <c r="F2081" i="1"/>
  <c r="G2081" i="1"/>
  <c r="H2081" i="1"/>
  <c r="I2081" i="1"/>
  <c r="J2081" i="1"/>
  <c r="K2081" i="1"/>
  <c r="L2081" i="1"/>
  <c r="A2082" i="1"/>
  <c r="B2082" i="1"/>
  <c r="C2082" i="1"/>
  <c r="D2082" i="1"/>
  <c r="E2082" i="1"/>
  <c r="F2082" i="1"/>
  <c r="G2082" i="1"/>
  <c r="H2082" i="1"/>
  <c r="I2082" i="1"/>
  <c r="J2082" i="1"/>
  <c r="K2082" i="1"/>
  <c r="L2082" i="1"/>
  <c r="A2083" i="1"/>
  <c r="B2083" i="1"/>
  <c r="C2083" i="1"/>
  <c r="D2083" i="1"/>
  <c r="E2083" i="1"/>
  <c r="F2083" i="1"/>
  <c r="G2083" i="1"/>
  <c r="H2083" i="1"/>
  <c r="I2083" i="1"/>
  <c r="J2083" i="1"/>
  <c r="K2083" i="1"/>
  <c r="L2083" i="1"/>
  <c r="A2084" i="1"/>
  <c r="B2084" i="1"/>
  <c r="C2084" i="1"/>
  <c r="D2084" i="1"/>
  <c r="E2084" i="1"/>
  <c r="F2084" i="1"/>
  <c r="G2084" i="1"/>
  <c r="H2084" i="1"/>
  <c r="I2084" i="1"/>
  <c r="J2084" i="1"/>
  <c r="K2084" i="1"/>
  <c r="L2084" i="1"/>
  <c r="A2085" i="1"/>
  <c r="B2085" i="1"/>
  <c r="C2085" i="1"/>
  <c r="D2085" i="1"/>
  <c r="E2085" i="1"/>
  <c r="F2085" i="1"/>
  <c r="G2085" i="1"/>
  <c r="H2085" i="1"/>
  <c r="I2085" i="1"/>
  <c r="J2085" i="1"/>
  <c r="K2085" i="1"/>
  <c r="L2085" i="1"/>
  <c r="A2086" i="1"/>
  <c r="B2086" i="1"/>
  <c r="C2086" i="1"/>
  <c r="D2086" i="1"/>
  <c r="E2086" i="1"/>
  <c r="F2086" i="1"/>
  <c r="G2086" i="1"/>
  <c r="H2086" i="1"/>
  <c r="I2086" i="1"/>
  <c r="J2086" i="1"/>
  <c r="K2086" i="1"/>
  <c r="L2086" i="1"/>
  <c r="A2087" i="1"/>
  <c r="B2087" i="1"/>
  <c r="C2087" i="1"/>
  <c r="D2087" i="1"/>
  <c r="E2087" i="1"/>
  <c r="F2087" i="1"/>
  <c r="G2087" i="1"/>
  <c r="H2087" i="1"/>
  <c r="I2087" i="1"/>
  <c r="J2087" i="1"/>
  <c r="K2087" i="1"/>
  <c r="L2087" i="1"/>
  <c r="A2088" i="1"/>
  <c r="B2088" i="1"/>
  <c r="C2088" i="1"/>
  <c r="D2088" i="1"/>
  <c r="E2088" i="1"/>
  <c r="F2088" i="1"/>
  <c r="G2088" i="1"/>
  <c r="H2088" i="1"/>
  <c r="I2088" i="1"/>
  <c r="J2088" i="1"/>
  <c r="K2088" i="1"/>
  <c r="L2088" i="1"/>
  <c r="A2089" i="1"/>
  <c r="B2089" i="1"/>
  <c r="C2089" i="1"/>
  <c r="D2089" i="1"/>
  <c r="E2089" i="1"/>
  <c r="F2089" i="1"/>
  <c r="G2089" i="1"/>
  <c r="H2089" i="1"/>
  <c r="I2089" i="1"/>
  <c r="J2089" i="1"/>
  <c r="K2089" i="1"/>
  <c r="L2089" i="1"/>
  <c r="A2090" i="1"/>
  <c r="B2090" i="1"/>
  <c r="C2090" i="1"/>
  <c r="D2090" i="1"/>
  <c r="E2090" i="1"/>
  <c r="F2090" i="1"/>
  <c r="G2090" i="1"/>
  <c r="H2090" i="1"/>
  <c r="I2090" i="1"/>
  <c r="J2090" i="1"/>
  <c r="K2090" i="1"/>
  <c r="L2090" i="1"/>
  <c r="A2091" i="1"/>
  <c r="B2091" i="1"/>
  <c r="C2091" i="1"/>
  <c r="D2091" i="1"/>
  <c r="E2091" i="1"/>
  <c r="F2091" i="1"/>
  <c r="G2091" i="1"/>
  <c r="H2091" i="1"/>
  <c r="I2091" i="1"/>
  <c r="J2091" i="1"/>
  <c r="K2091" i="1"/>
  <c r="L2091" i="1"/>
  <c r="A2092" i="1"/>
  <c r="B2092" i="1"/>
  <c r="C2092" i="1"/>
  <c r="D2092" i="1"/>
  <c r="E2092" i="1"/>
  <c r="F2092" i="1"/>
  <c r="G2092" i="1"/>
  <c r="H2092" i="1"/>
  <c r="I2092" i="1"/>
  <c r="J2092" i="1"/>
  <c r="K2092" i="1"/>
  <c r="L2092" i="1"/>
  <c r="A2093" i="1"/>
  <c r="B2093" i="1"/>
  <c r="C2093" i="1"/>
  <c r="D2093" i="1"/>
  <c r="E2093" i="1"/>
  <c r="F2093" i="1"/>
  <c r="G2093" i="1"/>
  <c r="H2093" i="1"/>
  <c r="I2093" i="1"/>
  <c r="J2093" i="1"/>
  <c r="K2093" i="1"/>
  <c r="L2093" i="1"/>
  <c r="A2094" i="1"/>
  <c r="B2094" i="1"/>
  <c r="C2094" i="1"/>
  <c r="D2094" i="1"/>
  <c r="E2094" i="1"/>
  <c r="F2094" i="1"/>
  <c r="G2094" i="1"/>
  <c r="H2094" i="1"/>
  <c r="I2094" i="1"/>
  <c r="J2094" i="1"/>
  <c r="K2094" i="1"/>
  <c r="L2094" i="1"/>
  <c r="A2095" i="1"/>
  <c r="B2095" i="1"/>
  <c r="C2095" i="1"/>
  <c r="D2095" i="1"/>
  <c r="E2095" i="1"/>
  <c r="F2095" i="1"/>
  <c r="G2095" i="1"/>
  <c r="H2095" i="1"/>
  <c r="I2095" i="1"/>
  <c r="J2095" i="1"/>
  <c r="K2095" i="1"/>
  <c r="L2095" i="1"/>
  <c r="A2096" i="1"/>
  <c r="B2096" i="1"/>
  <c r="C2096" i="1"/>
  <c r="D2096" i="1"/>
  <c r="E2096" i="1"/>
  <c r="F2096" i="1"/>
  <c r="G2096" i="1"/>
  <c r="H2096" i="1"/>
  <c r="I2096" i="1"/>
  <c r="J2096" i="1"/>
  <c r="K2096" i="1"/>
  <c r="L2096" i="1"/>
  <c r="A2097" i="1"/>
  <c r="B2097" i="1"/>
  <c r="C2097" i="1"/>
  <c r="D2097" i="1"/>
  <c r="E2097" i="1"/>
  <c r="F2097" i="1"/>
  <c r="G2097" i="1"/>
  <c r="H2097" i="1"/>
  <c r="I2097" i="1"/>
  <c r="J2097" i="1"/>
  <c r="K2097" i="1"/>
  <c r="L2097" i="1"/>
  <c r="A2098" i="1"/>
  <c r="B2098" i="1"/>
  <c r="C2098" i="1"/>
  <c r="D2098" i="1"/>
  <c r="E2098" i="1"/>
  <c r="F2098" i="1"/>
  <c r="G2098" i="1"/>
  <c r="H2098" i="1"/>
  <c r="I2098" i="1"/>
  <c r="J2098" i="1"/>
  <c r="K2098" i="1"/>
  <c r="L2098" i="1"/>
  <c r="A2099" i="1"/>
  <c r="B2099" i="1"/>
  <c r="C2099" i="1"/>
  <c r="D2099" i="1"/>
  <c r="E2099" i="1"/>
  <c r="F2099" i="1"/>
  <c r="G2099" i="1"/>
  <c r="H2099" i="1"/>
  <c r="I2099" i="1"/>
  <c r="J2099" i="1"/>
  <c r="K2099" i="1"/>
  <c r="L2099" i="1"/>
  <c r="A2100" i="1"/>
  <c r="B2100" i="1"/>
  <c r="C2100" i="1"/>
  <c r="D2100" i="1"/>
  <c r="E2100" i="1"/>
  <c r="F2100" i="1"/>
  <c r="G2100" i="1"/>
  <c r="H2100" i="1"/>
  <c r="I2100" i="1"/>
  <c r="J2100" i="1"/>
  <c r="K2100" i="1"/>
  <c r="L2100" i="1"/>
  <c r="A2101" i="1"/>
  <c r="B2101" i="1"/>
  <c r="C2101" i="1"/>
  <c r="D2101" i="1"/>
  <c r="E2101" i="1"/>
  <c r="F2101" i="1"/>
  <c r="G2101" i="1"/>
  <c r="H2101" i="1"/>
  <c r="I2101" i="1"/>
  <c r="J2101" i="1"/>
  <c r="K2101" i="1"/>
  <c r="L2101" i="1"/>
  <c r="A2102" i="1"/>
  <c r="B2102" i="1"/>
  <c r="C2102" i="1"/>
  <c r="D2102" i="1"/>
  <c r="E2102" i="1"/>
  <c r="F2102" i="1"/>
  <c r="G2102" i="1"/>
  <c r="H2102" i="1"/>
  <c r="I2102" i="1"/>
  <c r="J2102" i="1"/>
  <c r="K2102" i="1"/>
  <c r="L2102" i="1"/>
  <c r="A2103" i="1"/>
  <c r="B2103" i="1"/>
  <c r="C2103" i="1"/>
  <c r="D2103" i="1"/>
  <c r="E2103" i="1"/>
  <c r="F2103" i="1"/>
  <c r="G2103" i="1"/>
  <c r="H2103" i="1"/>
  <c r="I2103" i="1"/>
  <c r="J2103" i="1"/>
  <c r="K2103" i="1"/>
  <c r="L2103" i="1"/>
  <c r="A2104" i="1"/>
  <c r="B2104" i="1"/>
  <c r="C2104" i="1"/>
  <c r="D2104" i="1"/>
  <c r="E2104" i="1"/>
  <c r="F2104" i="1"/>
  <c r="G2104" i="1"/>
  <c r="H2104" i="1"/>
  <c r="I2104" i="1"/>
  <c r="J2104" i="1"/>
  <c r="K2104" i="1"/>
  <c r="L2104" i="1"/>
  <c r="A2105" i="1"/>
  <c r="B2105" i="1"/>
  <c r="C2105" i="1"/>
  <c r="D2105" i="1"/>
  <c r="E2105" i="1"/>
  <c r="F2105" i="1"/>
  <c r="G2105" i="1"/>
  <c r="H2105" i="1"/>
  <c r="I2105" i="1"/>
  <c r="J2105" i="1"/>
  <c r="K2105" i="1"/>
  <c r="L2105" i="1"/>
  <c r="A2106" i="1"/>
  <c r="B2106" i="1"/>
  <c r="C2106" i="1"/>
  <c r="D2106" i="1"/>
  <c r="E2106" i="1"/>
  <c r="F2106" i="1"/>
  <c r="G2106" i="1"/>
  <c r="H2106" i="1"/>
  <c r="I2106" i="1"/>
  <c r="J2106" i="1"/>
  <c r="K2106" i="1"/>
  <c r="L2106" i="1"/>
  <c r="A2107" i="1"/>
  <c r="B2107" i="1"/>
  <c r="C2107" i="1"/>
  <c r="D2107" i="1"/>
  <c r="E2107" i="1"/>
  <c r="F2107" i="1"/>
  <c r="G2107" i="1"/>
  <c r="H2107" i="1"/>
  <c r="I2107" i="1"/>
  <c r="J2107" i="1"/>
  <c r="K2107" i="1"/>
  <c r="L2107" i="1"/>
  <c r="A2108" i="1"/>
  <c r="B2108" i="1"/>
  <c r="C2108" i="1"/>
  <c r="D2108" i="1"/>
  <c r="E2108" i="1"/>
  <c r="F2108" i="1"/>
  <c r="G2108" i="1"/>
  <c r="H2108" i="1"/>
  <c r="I2108" i="1"/>
  <c r="J2108" i="1"/>
  <c r="K2108" i="1"/>
  <c r="L2108" i="1"/>
  <c r="A2109" i="1"/>
  <c r="B2109" i="1"/>
  <c r="C2109" i="1"/>
  <c r="D2109" i="1"/>
  <c r="E2109" i="1"/>
  <c r="F2109" i="1"/>
  <c r="G2109" i="1"/>
  <c r="H2109" i="1"/>
  <c r="I2109" i="1"/>
  <c r="J2109" i="1"/>
  <c r="K2109" i="1"/>
  <c r="L2109" i="1"/>
  <c r="A2110" i="1"/>
  <c r="B2110" i="1"/>
  <c r="C2110" i="1"/>
  <c r="D2110" i="1"/>
  <c r="E2110" i="1"/>
  <c r="F2110" i="1"/>
  <c r="G2110" i="1"/>
  <c r="H2110" i="1"/>
  <c r="I2110" i="1"/>
  <c r="J2110" i="1"/>
  <c r="K2110" i="1"/>
  <c r="L2110" i="1"/>
  <c r="A2111" i="1"/>
  <c r="B2111" i="1"/>
  <c r="C2111" i="1"/>
  <c r="D2111" i="1"/>
  <c r="E2111" i="1"/>
  <c r="F2111" i="1"/>
  <c r="G2111" i="1"/>
  <c r="H2111" i="1"/>
  <c r="I2111" i="1"/>
  <c r="J2111" i="1"/>
  <c r="K2111" i="1"/>
  <c r="L2111" i="1"/>
  <c r="A2112" i="1"/>
  <c r="B2112" i="1"/>
  <c r="C2112" i="1"/>
  <c r="D2112" i="1"/>
  <c r="E2112" i="1"/>
  <c r="F2112" i="1"/>
  <c r="G2112" i="1"/>
  <c r="H2112" i="1"/>
  <c r="I2112" i="1"/>
  <c r="J2112" i="1"/>
  <c r="K2112" i="1"/>
  <c r="L2112" i="1"/>
  <c r="A2113" i="1"/>
  <c r="B2113" i="1"/>
  <c r="C2113" i="1"/>
  <c r="D2113" i="1"/>
  <c r="E2113" i="1"/>
  <c r="F2113" i="1"/>
  <c r="G2113" i="1"/>
  <c r="H2113" i="1"/>
  <c r="I2113" i="1"/>
  <c r="J2113" i="1"/>
  <c r="K2113" i="1"/>
  <c r="L2113" i="1"/>
  <c r="A2114" i="1"/>
  <c r="B2114" i="1"/>
  <c r="C2114" i="1"/>
  <c r="D2114" i="1"/>
  <c r="E2114" i="1"/>
  <c r="F2114" i="1"/>
  <c r="G2114" i="1"/>
  <c r="H2114" i="1"/>
  <c r="I2114" i="1"/>
  <c r="J2114" i="1"/>
  <c r="K2114" i="1"/>
  <c r="L2114" i="1"/>
  <c r="A2115" i="1"/>
  <c r="B2115" i="1"/>
  <c r="C2115" i="1"/>
  <c r="D2115" i="1"/>
  <c r="E2115" i="1"/>
  <c r="F2115" i="1"/>
  <c r="G2115" i="1"/>
  <c r="H2115" i="1"/>
  <c r="I2115" i="1"/>
  <c r="J2115" i="1"/>
  <c r="K2115" i="1"/>
  <c r="L2115" i="1"/>
  <c r="A2116" i="1"/>
  <c r="B2116" i="1"/>
  <c r="C2116" i="1"/>
  <c r="D2116" i="1"/>
  <c r="E2116" i="1"/>
  <c r="F2116" i="1"/>
  <c r="G2116" i="1"/>
  <c r="H2116" i="1"/>
  <c r="I2116" i="1"/>
  <c r="J2116" i="1"/>
  <c r="K2116" i="1"/>
  <c r="L2116" i="1"/>
  <c r="A2117" i="1"/>
  <c r="B2117" i="1"/>
  <c r="C2117" i="1"/>
  <c r="D2117" i="1"/>
  <c r="E2117" i="1"/>
  <c r="F2117" i="1"/>
  <c r="G2117" i="1"/>
  <c r="H2117" i="1"/>
  <c r="I2117" i="1"/>
  <c r="J2117" i="1"/>
  <c r="K2117" i="1"/>
  <c r="L2117" i="1"/>
  <c r="A2118" i="1"/>
  <c r="B2118" i="1"/>
  <c r="C2118" i="1"/>
  <c r="D2118" i="1"/>
  <c r="E2118" i="1"/>
  <c r="F2118" i="1"/>
  <c r="G2118" i="1"/>
  <c r="H2118" i="1"/>
  <c r="I2118" i="1"/>
  <c r="J2118" i="1"/>
  <c r="K2118" i="1"/>
  <c r="L2118" i="1"/>
  <c r="A2119" i="1"/>
  <c r="B2119" i="1"/>
  <c r="C2119" i="1"/>
  <c r="D2119" i="1"/>
  <c r="E2119" i="1"/>
  <c r="F2119" i="1"/>
  <c r="G2119" i="1"/>
  <c r="H2119" i="1"/>
  <c r="I2119" i="1"/>
  <c r="J2119" i="1"/>
  <c r="K2119" i="1"/>
  <c r="L2119" i="1"/>
  <c r="A2120" i="1"/>
  <c r="B2120" i="1"/>
  <c r="C2120" i="1"/>
  <c r="D2120" i="1"/>
  <c r="E2120" i="1"/>
  <c r="F2120" i="1"/>
  <c r="G2120" i="1"/>
  <c r="H2120" i="1"/>
  <c r="I2120" i="1"/>
  <c r="J2120" i="1"/>
  <c r="K2120" i="1"/>
  <c r="L2120" i="1"/>
  <c r="A2121" i="1"/>
  <c r="B2121" i="1"/>
  <c r="C2121" i="1"/>
  <c r="D2121" i="1"/>
  <c r="E2121" i="1"/>
  <c r="F2121" i="1"/>
  <c r="G2121" i="1"/>
  <c r="H2121" i="1"/>
  <c r="I2121" i="1"/>
  <c r="J2121" i="1"/>
  <c r="K2121" i="1"/>
  <c r="L2121" i="1"/>
  <c r="A2122" i="1"/>
  <c r="B2122" i="1"/>
  <c r="C2122" i="1"/>
  <c r="D2122" i="1"/>
  <c r="E2122" i="1"/>
  <c r="F2122" i="1"/>
  <c r="G2122" i="1"/>
  <c r="H2122" i="1"/>
  <c r="I2122" i="1"/>
  <c r="J2122" i="1"/>
  <c r="K2122" i="1"/>
  <c r="L2122" i="1"/>
  <c r="A2123" i="1"/>
  <c r="B2123" i="1"/>
  <c r="C2123" i="1"/>
  <c r="D2123" i="1"/>
  <c r="E2123" i="1"/>
  <c r="F2123" i="1"/>
  <c r="G2123" i="1"/>
  <c r="H2123" i="1"/>
  <c r="I2123" i="1"/>
  <c r="J2123" i="1"/>
  <c r="K2123" i="1"/>
  <c r="L2123" i="1"/>
  <c r="A2124" i="1"/>
  <c r="B2124" i="1"/>
  <c r="C2124" i="1"/>
  <c r="D2124" i="1"/>
  <c r="E2124" i="1"/>
  <c r="F2124" i="1"/>
  <c r="G2124" i="1"/>
  <c r="H2124" i="1"/>
  <c r="I2124" i="1"/>
  <c r="J2124" i="1"/>
  <c r="K2124" i="1"/>
  <c r="L2124" i="1"/>
  <c r="A2125" i="1"/>
  <c r="B2125" i="1"/>
  <c r="C2125" i="1"/>
  <c r="D2125" i="1"/>
  <c r="E2125" i="1"/>
  <c r="F2125" i="1"/>
  <c r="G2125" i="1"/>
  <c r="H2125" i="1"/>
  <c r="I2125" i="1"/>
  <c r="J2125" i="1"/>
  <c r="K2125" i="1"/>
  <c r="L2125" i="1"/>
  <c r="A2126" i="1"/>
  <c r="B2126" i="1"/>
  <c r="C2126" i="1"/>
  <c r="D2126" i="1"/>
  <c r="E2126" i="1"/>
  <c r="F2126" i="1"/>
  <c r="G2126" i="1"/>
  <c r="H2126" i="1"/>
  <c r="I2126" i="1"/>
  <c r="J2126" i="1"/>
  <c r="K2126" i="1"/>
  <c r="L2126" i="1"/>
  <c r="A2127" i="1"/>
  <c r="B2127" i="1"/>
  <c r="C2127" i="1"/>
  <c r="D2127" i="1"/>
  <c r="E2127" i="1"/>
  <c r="F2127" i="1"/>
  <c r="G2127" i="1"/>
  <c r="H2127" i="1"/>
  <c r="I2127" i="1"/>
  <c r="J2127" i="1"/>
  <c r="K2127" i="1"/>
  <c r="L2127" i="1"/>
  <c r="A2128" i="1"/>
  <c r="B2128" i="1"/>
  <c r="C2128" i="1"/>
  <c r="D2128" i="1"/>
  <c r="E2128" i="1"/>
  <c r="F2128" i="1"/>
  <c r="G2128" i="1"/>
  <c r="H2128" i="1"/>
  <c r="I2128" i="1"/>
  <c r="J2128" i="1"/>
  <c r="K2128" i="1"/>
  <c r="L2128" i="1"/>
  <c r="A2129" i="1"/>
  <c r="B2129" i="1"/>
  <c r="C2129" i="1"/>
  <c r="D2129" i="1"/>
  <c r="E2129" i="1"/>
  <c r="F2129" i="1"/>
  <c r="G2129" i="1"/>
  <c r="H2129" i="1"/>
  <c r="I2129" i="1"/>
  <c r="J2129" i="1"/>
  <c r="K2129" i="1"/>
  <c r="L2129" i="1"/>
  <c r="A2130" i="1"/>
  <c r="B2130" i="1"/>
  <c r="C2130" i="1"/>
  <c r="D2130" i="1"/>
  <c r="E2130" i="1"/>
  <c r="F2130" i="1"/>
  <c r="G2130" i="1"/>
  <c r="H2130" i="1"/>
  <c r="I2130" i="1"/>
  <c r="J2130" i="1"/>
  <c r="K2130" i="1"/>
  <c r="L2130" i="1"/>
  <c r="A2131" i="1"/>
  <c r="B2131" i="1"/>
  <c r="C2131" i="1"/>
  <c r="D2131" i="1"/>
  <c r="E2131" i="1"/>
  <c r="F2131" i="1"/>
  <c r="G2131" i="1"/>
  <c r="H2131" i="1"/>
  <c r="I2131" i="1"/>
  <c r="J2131" i="1"/>
  <c r="K2131" i="1"/>
  <c r="L2131" i="1"/>
  <c r="A2132" i="1"/>
  <c r="B2132" i="1"/>
  <c r="C2132" i="1"/>
  <c r="D2132" i="1"/>
  <c r="E2132" i="1"/>
  <c r="F2132" i="1"/>
  <c r="G2132" i="1"/>
  <c r="H2132" i="1"/>
  <c r="I2132" i="1"/>
  <c r="J2132" i="1"/>
  <c r="K2132" i="1"/>
  <c r="L2132" i="1"/>
  <c r="A2133" i="1"/>
  <c r="B2133" i="1"/>
  <c r="C2133" i="1"/>
  <c r="D2133" i="1"/>
  <c r="E2133" i="1"/>
  <c r="F2133" i="1"/>
  <c r="G2133" i="1"/>
  <c r="H2133" i="1"/>
  <c r="I2133" i="1"/>
  <c r="J2133" i="1"/>
  <c r="K2133" i="1"/>
  <c r="L2133" i="1"/>
  <c r="A2134" i="1"/>
  <c r="B2134" i="1"/>
  <c r="C2134" i="1"/>
  <c r="D2134" i="1"/>
  <c r="E2134" i="1"/>
  <c r="F2134" i="1"/>
  <c r="G2134" i="1"/>
  <c r="H2134" i="1"/>
  <c r="I2134" i="1"/>
  <c r="J2134" i="1"/>
  <c r="K2134" i="1"/>
  <c r="L2134" i="1"/>
  <c r="A2135" i="1"/>
  <c r="B2135" i="1"/>
  <c r="C2135" i="1"/>
  <c r="D2135" i="1"/>
  <c r="E2135" i="1"/>
  <c r="F2135" i="1"/>
  <c r="G2135" i="1"/>
  <c r="H2135" i="1"/>
  <c r="I2135" i="1"/>
  <c r="J2135" i="1"/>
  <c r="K2135" i="1"/>
  <c r="L2135" i="1"/>
  <c r="A2136" i="1"/>
  <c r="B2136" i="1"/>
  <c r="C2136" i="1"/>
  <c r="D2136" i="1"/>
  <c r="E2136" i="1"/>
  <c r="F2136" i="1"/>
  <c r="G2136" i="1"/>
  <c r="H2136" i="1"/>
  <c r="I2136" i="1"/>
  <c r="J2136" i="1"/>
  <c r="K2136" i="1"/>
  <c r="L2136" i="1"/>
  <c r="A2137" i="1"/>
  <c r="B2137" i="1"/>
  <c r="C2137" i="1"/>
  <c r="D2137" i="1"/>
  <c r="E2137" i="1"/>
  <c r="F2137" i="1"/>
  <c r="G2137" i="1"/>
  <c r="H2137" i="1"/>
  <c r="I2137" i="1"/>
  <c r="J2137" i="1"/>
  <c r="K2137" i="1"/>
  <c r="L2137" i="1"/>
  <c r="A2138" i="1"/>
  <c r="B2138" i="1"/>
  <c r="C2138" i="1"/>
  <c r="D2138" i="1"/>
  <c r="E2138" i="1"/>
  <c r="F2138" i="1"/>
  <c r="G2138" i="1"/>
  <c r="H2138" i="1"/>
  <c r="I2138" i="1"/>
  <c r="J2138" i="1"/>
  <c r="K2138" i="1"/>
  <c r="L2138" i="1"/>
  <c r="A2139" i="1"/>
  <c r="B2139" i="1"/>
  <c r="C2139" i="1"/>
  <c r="D2139" i="1"/>
  <c r="E2139" i="1"/>
  <c r="F2139" i="1"/>
  <c r="G2139" i="1"/>
  <c r="H2139" i="1"/>
  <c r="I2139" i="1"/>
  <c r="J2139" i="1"/>
  <c r="K2139" i="1"/>
  <c r="L2139" i="1"/>
  <c r="A2140" i="1"/>
  <c r="B2140" i="1"/>
  <c r="C2140" i="1"/>
  <c r="D2140" i="1"/>
  <c r="E2140" i="1"/>
  <c r="F2140" i="1"/>
  <c r="G2140" i="1"/>
  <c r="H2140" i="1"/>
  <c r="I2140" i="1"/>
  <c r="J2140" i="1"/>
  <c r="K2140" i="1"/>
  <c r="L2140" i="1"/>
  <c r="A2141" i="1"/>
  <c r="B2141" i="1"/>
  <c r="C2141" i="1"/>
  <c r="D2141" i="1"/>
  <c r="E2141" i="1"/>
  <c r="F2141" i="1"/>
  <c r="G2141" i="1"/>
  <c r="H2141" i="1"/>
  <c r="I2141" i="1"/>
  <c r="J2141" i="1"/>
  <c r="K2141" i="1"/>
  <c r="L2141" i="1"/>
  <c r="A2142" i="1"/>
  <c r="B2142" i="1"/>
  <c r="C2142" i="1"/>
  <c r="D2142" i="1"/>
  <c r="E2142" i="1"/>
  <c r="F2142" i="1"/>
  <c r="G2142" i="1"/>
  <c r="H2142" i="1"/>
  <c r="I2142" i="1"/>
  <c r="J2142" i="1"/>
  <c r="K2142" i="1"/>
  <c r="L2142" i="1"/>
  <c r="A2143" i="1"/>
  <c r="B2143" i="1"/>
  <c r="C2143" i="1"/>
  <c r="D2143" i="1"/>
  <c r="E2143" i="1"/>
  <c r="F2143" i="1"/>
  <c r="G2143" i="1"/>
  <c r="H2143" i="1"/>
  <c r="I2143" i="1"/>
  <c r="J2143" i="1"/>
  <c r="K2143" i="1"/>
  <c r="L2143" i="1"/>
  <c r="A2144" i="1"/>
  <c r="B2144" i="1"/>
  <c r="C2144" i="1"/>
  <c r="D2144" i="1"/>
  <c r="E2144" i="1"/>
  <c r="F2144" i="1"/>
  <c r="G2144" i="1"/>
  <c r="H2144" i="1"/>
  <c r="I2144" i="1"/>
  <c r="J2144" i="1"/>
  <c r="K2144" i="1"/>
  <c r="L2144" i="1"/>
  <c r="A2145" i="1"/>
  <c r="B2145" i="1"/>
  <c r="C2145" i="1"/>
  <c r="D2145" i="1"/>
  <c r="E2145" i="1"/>
  <c r="F2145" i="1"/>
  <c r="G2145" i="1"/>
  <c r="H2145" i="1"/>
  <c r="I2145" i="1"/>
  <c r="J2145" i="1"/>
  <c r="K2145" i="1"/>
  <c r="L2145" i="1"/>
  <c r="A2146" i="1"/>
  <c r="B2146" i="1"/>
  <c r="C2146" i="1"/>
  <c r="D2146" i="1"/>
  <c r="E2146" i="1"/>
  <c r="F2146" i="1"/>
  <c r="G2146" i="1"/>
  <c r="H2146" i="1"/>
  <c r="I2146" i="1"/>
  <c r="J2146" i="1"/>
  <c r="K2146" i="1"/>
  <c r="L2146" i="1"/>
  <c r="A2147" i="1"/>
  <c r="B2147" i="1"/>
  <c r="C2147" i="1"/>
  <c r="D2147" i="1"/>
  <c r="E2147" i="1"/>
  <c r="F2147" i="1"/>
  <c r="G2147" i="1"/>
  <c r="H2147" i="1"/>
  <c r="I2147" i="1"/>
  <c r="J2147" i="1"/>
  <c r="K2147" i="1"/>
  <c r="L2147" i="1"/>
  <c r="A2148" i="1"/>
  <c r="B2148" i="1"/>
  <c r="C2148" i="1"/>
  <c r="D2148" i="1"/>
  <c r="E2148" i="1"/>
  <c r="F2148" i="1"/>
  <c r="G2148" i="1"/>
  <c r="H2148" i="1"/>
  <c r="I2148" i="1"/>
  <c r="J2148" i="1"/>
  <c r="K2148" i="1"/>
  <c r="L2148" i="1"/>
  <c r="A2149" i="1"/>
  <c r="B2149" i="1"/>
  <c r="C2149" i="1"/>
  <c r="D2149" i="1"/>
  <c r="E2149" i="1"/>
  <c r="F2149" i="1"/>
  <c r="G2149" i="1"/>
  <c r="H2149" i="1"/>
  <c r="I2149" i="1"/>
  <c r="J2149" i="1"/>
  <c r="K2149" i="1"/>
  <c r="L2149" i="1"/>
  <c r="A2150" i="1"/>
  <c r="B2150" i="1"/>
  <c r="C2150" i="1"/>
  <c r="D2150" i="1"/>
  <c r="E2150" i="1"/>
  <c r="F2150" i="1"/>
  <c r="G2150" i="1"/>
  <c r="H2150" i="1"/>
  <c r="I2150" i="1"/>
  <c r="J2150" i="1"/>
  <c r="K2150" i="1"/>
  <c r="L2150" i="1"/>
  <c r="A2151" i="1"/>
  <c r="B2151" i="1"/>
  <c r="C2151" i="1"/>
  <c r="D2151" i="1"/>
  <c r="E2151" i="1"/>
  <c r="F2151" i="1"/>
  <c r="G2151" i="1"/>
  <c r="H2151" i="1"/>
  <c r="I2151" i="1"/>
  <c r="J2151" i="1"/>
  <c r="K2151" i="1"/>
  <c r="L2151" i="1"/>
  <c r="A2152" i="1"/>
  <c r="B2152" i="1"/>
  <c r="C2152" i="1"/>
  <c r="D2152" i="1"/>
  <c r="E2152" i="1"/>
  <c r="F2152" i="1"/>
  <c r="G2152" i="1"/>
  <c r="H2152" i="1"/>
  <c r="I2152" i="1"/>
  <c r="J2152" i="1"/>
  <c r="K2152" i="1"/>
  <c r="L2152" i="1"/>
  <c r="A2153" i="1"/>
  <c r="B2153" i="1"/>
  <c r="C2153" i="1"/>
  <c r="D2153" i="1"/>
  <c r="E2153" i="1"/>
  <c r="F2153" i="1"/>
  <c r="G2153" i="1"/>
  <c r="H2153" i="1"/>
  <c r="I2153" i="1"/>
  <c r="J2153" i="1"/>
  <c r="K2153" i="1"/>
  <c r="L2153" i="1"/>
  <c r="A2154" i="1"/>
  <c r="B2154" i="1"/>
  <c r="C2154" i="1"/>
  <c r="D2154" i="1"/>
  <c r="E2154" i="1"/>
  <c r="F2154" i="1"/>
  <c r="G2154" i="1"/>
  <c r="H2154" i="1"/>
  <c r="I2154" i="1"/>
  <c r="J2154" i="1"/>
  <c r="K2154" i="1"/>
  <c r="L2154" i="1"/>
  <c r="A2155" i="1"/>
  <c r="B2155" i="1"/>
  <c r="C2155" i="1"/>
  <c r="D2155" i="1"/>
  <c r="E2155" i="1"/>
  <c r="F2155" i="1"/>
  <c r="G2155" i="1"/>
  <c r="H2155" i="1"/>
  <c r="I2155" i="1"/>
  <c r="J2155" i="1"/>
  <c r="K2155" i="1"/>
  <c r="L2155" i="1"/>
  <c r="A2156" i="1"/>
  <c r="B2156" i="1"/>
  <c r="C2156" i="1"/>
  <c r="D2156" i="1"/>
  <c r="E2156" i="1"/>
  <c r="F2156" i="1"/>
  <c r="G2156" i="1"/>
  <c r="H2156" i="1"/>
  <c r="I2156" i="1"/>
  <c r="J2156" i="1"/>
  <c r="K2156" i="1"/>
  <c r="L2156" i="1"/>
  <c r="A2157" i="1"/>
  <c r="B2157" i="1"/>
  <c r="C2157" i="1"/>
  <c r="D2157" i="1"/>
  <c r="E2157" i="1"/>
  <c r="F2157" i="1"/>
  <c r="G2157" i="1"/>
  <c r="H2157" i="1"/>
  <c r="I2157" i="1"/>
  <c r="J2157" i="1"/>
  <c r="K2157" i="1"/>
  <c r="L2157" i="1"/>
  <c r="A2158" i="1"/>
  <c r="B2158" i="1"/>
  <c r="C2158" i="1"/>
  <c r="D2158" i="1"/>
  <c r="E2158" i="1"/>
  <c r="F2158" i="1"/>
  <c r="G2158" i="1"/>
  <c r="H2158" i="1"/>
  <c r="I2158" i="1"/>
  <c r="J2158" i="1"/>
  <c r="K2158" i="1"/>
  <c r="L2158" i="1"/>
  <c r="A2159" i="1"/>
  <c r="B2159" i="1"/>
  <c r="C2159" i="1"/>
  <c r="D2159" i="1"/>
  <c r="E2159" i="1"/>
  <c r="F2159" i="1"/>
  <c r="G2159" i="1"/>
  <c r="H2159" i="1"/>
  <c r="I2159" i="1"/>
  <c r="J2159" i="1"/>
  <c r="K2159" i="1"/>
  <c r="L2159" i="1"/>
  <c r="A2160" i="1"/>
  <c r="B2160" i="1"/>
  <c r="C2160" i="1"/>
  <c r="D2160" i="1"/>
  <c r="E2160" i="1"/>
  <c r="F2160" i="1"/>
  <c r="G2160" i="1"/>
  <c r="H2160" i="1"/>
  <c r="I2160" i="1"/>
  <c r="J2160" i="1"/>
  <c r="K2160" i="1"/>
  <c r="L2160" i="1"/>
  <c r="A2161" i="1"/>
  <c r="B2161" i="1"/>
  <c r="C2161" i="1"/>
  <c r="D2161" i="1"/>
  <c r="E2161" i="1"/>
  <c r="F2161" i="1"/>
  <c r="G2161" i="1"/>
  <c r="H2161" i="1"/>
  <c r="I2161" i="1"/>
  <c r="J2161" i="1"/>
  <c r="K2161" i="1"/>
  <c r="L2161" i="1"/>
  <c r="A2162" i="1"/>
  <c r="B2162" i="1"/>
  <c r="C2162" i="1"/>
  <c r="D2162" i="1"/>
  <c r="E2162" i="1"/>
  <c r="F2162" i="1"/>
  <c r="G2162" i="1"/>
  <c r="H2162" i="1"/>
  <c r="I2162" i="1"/>
  <c r="J2162" i="1"/>
  <c r="K2162" i="1"/>
  <c r="L2162" i="1"/>
  <c r="A2163" i="1"/>
  <c r="B2163" i="1"/>
  <c r="C2163" i="1"/>
  <c r="D2163" i="1"/>
  <c r="E2163" i="1"/>
  <c r="F2163" i="1"/>
  <c r="G2163" i="1"/>
  <c r="H2163" i="1"/>
  <c r="I2163" i="1"/>
  <c r="J2163" i="1"/>
  <c r="K2163" i="1"/>
  <c r="L2163" i="1"/>
  <c r="A2164" i="1"/>
  <c r="B2164" i="1"/>
  <c r="C2164" i="1"/>
  <c r="D2164" i="1"/>
  <c r="E2164" i="1"/>
  <c r="F2164" i="1"/>
  <c r="G2164" i="1"/>
  <c r="H2164" i="1"/>
  <c r="I2164" i="1"/>
  <c r="J2164" i="1"/>
  <c r="K2164" i="1"/>
  <c r="L2164" i="1"/>
  <c r="A2165" i="1"/>
  <c r="B2165" i="1"/>
  <c r="C2165" i="1"/>
  <c r="D2165" i="1"/>
  <c r="E2165" i="1"/>
  <c r="F2165" i="1"/>
  <c r="G2165" i="1"/>
  <c r="H2165" i="1"/>
  <c r="I2165" i="1"/>
  <c r="J2165" i="1"/>
  <c r="K2165" i="1"/>
  <c r="L2165" i="1"/>
  <c r="A2166" i="1"/>
  <c r="B2166" i="1"/>
  <c r="C2166" i="1"/>
  <c r="D2166" i="1"/>
  <c r="E2166" i="1"/>
  <c r="F2166" i="1"/>
  <c r="G2166" i="1"/>
  <c r="H2166" i="1"/>
  <c r="I2166" i="1"/>
  <c r="J2166" i="1"/>
  <c r="K2166" i="1"/>
  <c r="L2166" i="1"/>
  <c r="A2167" i="1"/>
  <c r="B2167" i="1"/>
  <c r="C2167" i="1"/>
  <c r="D2167" i="1"/>
  <c r="E2167" i="1"/>
  <c r="F2167" i="1"/>
  <c r="G2167" i="1"/>
  <c r="H2167" i="1"/>
  <c r="I2167" i="1"/>
  <c r="J2167" i="1"/>
  <c r="K2167" i="1"/>
  <c r="L2167" i="1"/>
  <c r="A2168" i="1"/>
  <c r="B2168" i="1"/>
  <c r="C2168" i="1"/>
  <c r="D2168" i="1"/>
  <c r="E2168" i="1"/>
  <c r="F2168" i="1"/>
  <c r="G2168" i="1"/>
  <c r="H2168" i="1"/>
  <c r="I2168" i="1"/>
  <c r="J2168" i="1"/>
  <c r="K2168" i="1"/>
  <c r="L2168" i="1"/>
  <c r="A2169" i="1"/>
  <c r="B2169" i="1"/>
  <c r="C2169" i="1"/>
  <c r="D2169" i="1"/>
  <c r="E2169" i="1"/>
  <c r="F2169" i="1"/>
  <c r="G2169" i="1"/>
  <c r="H2169" i="1"/>
  <c r="I2169" i="1"/>
  <c r="J2169" i="1"/>
  <c r="K2169" i="1"/>
  <c r="L2169" i="1"/>
  <c r="A2170" i="1"/>
  <c r="B2170" i="1"/>
  <c r="C2170" i="1"/>
  <c r="D2170" i="1"/>
  <c r="E2170" i="1"/>
  <c r="F2170" i="1"/>
  <c r="G2170" i="1"/>
  <c r="H2170" i="1"/>
  <c r="I2170" i="1"/>
  <c r="J2170" i="1"/>
  <c r="K2170" i="1"/>
  <c r="L2170" i="1"/>
  <c r="A2171" i="1"/>
  <c r="B2171" i="1"/>
  <c r="C2171" i="1"/>
  <c r="D2171" i="1"/>
  <c r="E2171" i="1"/>
  <c r="F2171" i="1"/>
  <c r="G2171" i="1"/>
  <c r="H2171" i="1"/>
  <c r="I2171" i="1"/>
  <c r="J2171" i="1"/>
  <c r="K2171" i="1"/>
  <c r="L2171" i="1"/>
  <c r="A2172" i="1"/>
  <c r="B2172" i="1"/>
  <c r="C2172" i="1"/>
  <c r="D2172" i="1"/>
  <c r="E2172" i="1"/>
  <c r="F2172" i="1"/>
  <c r="G2172" i="1"/>
  <c r="H2172" i="1"/>
  <c r="I2172" i="1"/>
  <c r="J2172" i="1"/>
  <c r="K2172" i="1"/>
  <c r="L2172" i="1"/>
  <c r="A2173" i="1"/>
  <c r="B2173" i="1"/>
  <c r="C2173" i="1"/>
  <c r="D2173" i="1"/>
  <c r="E2173" i="1"/>
  <c r="F2173" i="1"/>
  <c r="G2173" i="1"/>
  <c r="H2173" i="1"/>
  <c r="I2173" i="1"/>
  <c r="J2173" i="1"/>
  <c r="K2173" i="1"/>
  <c r="L2173" i="1"/>
  <c r="A2174" i="1"/>
  <c r="B2174" i="1"/>
  <c r="C2174" i="1"/>
  <c r="D2174" i="1"/>
  <c r="E2174" i="1"/>
  <c r="F2174" i="1"/>
  <c r="G2174" i="1"/>
  <c r="H2174" i="1"/>
  <c r="I2174" i="1"/>
  <c r="J2174" i="1"/>
  <c r="K2174" i="1"/>
  <c r="L2174" i="1"/>
  <c r="A2175" i="1"/>
  <c r="B2175" i="1"/>
  <c r="C2175" i="1"/>
  <c r="D2175" i="1"/>
  <c r="E2175" i="1"/>
  <c r="F2175" i="1"/>
  <c r="G2175" i="1"/>
  <c r="H2175" i="1"/>
  <c r="I2175" i="1"/>
  <c r="J2175" i="1"/>
  <c r="K2175" i="1"/>
  <c r="L2175" i="1"/>
  <c r="A2176" i="1"/>
  <c r="B2176" i="1"/>
  <c r="C2176" i="1"/>
  <c r="D2176" i="1"/>
  <c r="E2176" i="1"/>
  <c r="F2176" i="1"/>
  <c r="G2176" i="1"/>
  <c r="H2176" i="1"/>
  <c r="I2176" i="1"/>
  <c r="J2176" i="1"/>
  <c r="K2176" i="1"/>
  <c r="L2176" i="1"/>
  <c r="A2177" i="1"/>
  <c r="B2177" i="1"/>
  <c r="C2177" i="1"/>
  <c r="D2177" i="1"/>
  <c r="E2177" i="1"/>
  <c r="F2177" i="1"/>
  <c r="G2177" i="1"/>
  <c r="H2177" i="1"/>
  <c r="I2177" i="1"/>
  <c r="J2177" i="1"/>
  <c r="K2177" i="1"/>
  <c r="L2177" i="1"/>
  <c r="A2178" i="1"/>
  <c r="B2178" i="1"/>
  <c r="C2178" i="1"/>
  <c r="D2178" i="1"/>
  <c r="E2178" i="1"/>
  <c r="F2178" i="1"/>
  <c r="G2178" i="1"/>
  <c r="H2178" i="1"/>
  <c r="I2178" i="1"/>
  <c r="J2178" i="1"/>
  <c r="K2178" i="1"/>
  <c r="L2178" i="1"/>
  <c r="A2179" i="1"/>
  <c r="B2179" i="1"/>
  <c r="C2179" i="1"/>
  <c r="D2179" i="1"/>
  <c r="E2179" i="1"/>
  <c r="F2179" i="1"/>
  <c r="G2179" i="1"/>
  <c r="H2179" i="1"/>
  <c r="I2179" i="1"/>
  <c r="J2179" i="1"/>
  <c r="K2179" i="1"/>
  <c r="L2179" i="1"/>
  <c r="A2180" i="1"/>
  <c r="B2180" i="1"/>
  <c r="C2180" i="1"/>
  <c r="D2180" i="1"/>
  <c r="E2180" i="1"/>
  <c r="F2180" i="1"/>
  <c r="G2180" i="1"/>
  <c r="H2180" i="1"/>
  <c r="I2180" i="1"/>
  <c r="J2180" i="1"/>
  <c r="K2180" i="1"/>
  <c r="L2180" i="1"/>
  <c r="A2181" i="1"/>
  <c r="B2181" i="1"/>
  <c r="C2181" i="1"/>
  <c r="D2181" i="1"/>
  <c r="E2181" i="1"/>
  <c r="F2181" i="1"/>
  <c r="G2181" i="1"/>
  <c r="H2181" i="1"/>
  <c r="I2181" i="1"/>
  <c r="J2181" i="1"/>
  <c r="K2181" i="1"/>
  <c r="L2181" i="1"/>
  <c r="A2182" i="1"/>
  <c r="B2182" i="1"/>
  <c r="C2182" i="1"/>
  <c r="D2182" i="1"/>
  <c r="E2182" i="1"/>
  <c r="F2182" i="1"/>
  <c r="G2182" i="1"/>
  <c r="H2182" i="1"/>
  <c r="I2182" i="1"/>
  <c r="J2182" i="1"/>
  <c r="K2182" i="1"/>
  <c r="L2182" i="1"/>
  <c r="A2183" i="1"/>
  <c r="B2183" i="1"/>
  <c r="C2183" i="1"/>
  <c r="D2183" i="1"/>
  <c r="E2183" i="1"/>
  <c r="F2183" i="1"/>
  <c r="G2183" i="1"/>
  <c r="H2183" i="1"/>
  <c r="I2183" i="1"/>
  <c r="J2183" i="1"/>
  <c r="K2183" i="1"/>
  <c r="L2183" i="1"/>
  <c r="A2184" i="1"/>
  <c r="B2184" i="1"/>
  <c r="C2184" i="1"/>
  <c r="D2184" i="1"/>
  <c r="E2184" i="1"/>
  <c r="F2184" i="1"/>
  <c r="G2184" i="1"/>
  <c r="H2184" i="1"/>
  <c r="I2184" i="1"/>
  <c r="J2184" i="1"/>
  <c r="K2184" i="1"/>
  <c r="L2184" i="1"/>
  <c r="A2185" i="1"/>
  <c r="B2185" i="1"/>
  <c r="C2185" i="1"/>
  <c r="D2185" i="1"/>
  <c r="E2185" i="1"/>
  <c r="F2185" i="1"/>
  <c r="G2185" i="1"/>
  <c r="H2185" i="1"/>
  <c r="I2185" i="1"/>
  <c r="J2185" i="1"/>
  <c r="K2185" i="1"/>
  <c r="L2185" i="1"/>
  <c r="A2186" i="1"/>
  <c r="B2186" i="1"/>
  <c r="C2186" i="1"/>
  <c r="D2186" i="1"/>
  <c r="E2186" i="1"/>
  <c r="F2186" i="1"/>
  <c r="G2186" i="1"/>
  <c r="H2186" i="1"/>
  <c r="I2186" i="1"/>
  <c r="J2186" i="1"/>
  <c r="K2186" i="1"/>
  <c r="L2186" i="1"/>
  <c r="A2187" i="1"/>
  <c r="B2187" i="1"/>
  <c r="C2187" i="1"/>
  <c r="D2187" i="1"/>
  <c r="E2187" i="1"/>
  <c r="F2187" i="1"/>
  <c r="G2187" i="1"/>
  <c r="H2187" i="1"/>
  <c r="I2187" i="1"/>
  <c r="J2187" i="1"/>
  <c r="K2187" i="1"/>
  <c r="L2187" i="1"/>
  <c r="A2188" i="1"/>
  <c r="B2188" i="1"/>
  <c r="C2188" i="1"/>
  <c r="D2188" i="1"/>
  <c r="E2188" i="1"/>
  <c r="F2188" i="1"/>
  <c r="G2188" i="1"/>
  <c r="H2188" i="1"/>
  <c r="I2188" i="1"/>
  <c r="J2188" i="1"/>
  <c r="K2188" i="1"/>
  <c r="L2188" i="1"/>
  <c r="A2189" i="1"/>
  <c r="B2189" i="1"/>
  <c r="C2189" i="1"/>
  <c r="D2189" i="1"/>
  <c r="E2189" i="1"/>
  <c r="F2189" i="1"/>
  <c r="G2189" i="1"/>
  <c r="H2189" i="1"/>
  <c r="I2189" i="1"/>
  <c r="J2189" i="1"/>
  <c r="K2189" i="1"/>
  <c r="L2189" i="1"/>
  <c r="A2190" i="1"/>
  <c r="B2190" i="1"/>
  <c r="C2190" i="1"/>
  <c r="D2190" i="1"/>
  <c r="E2190" i="1"/>
  <c r="F2190" i="1"/>
  <c r="G2190" i="1"/>
  <c r="H2190" i="1"/>
  <c r="I2190" i="1"/>
  <c r="J2190" i="1"/>
  <c r="K2190" i="1"/>
  <c r="L2190" i="1"/>
  <c r="A2191" i="1"/>
  <c r="B2191" i="1"/>
  <c r="C2191" i="1"/>
  <c r="D2191" i="1"/>
  <c r="E2191" i="1"/>
  <c r="F2191" i="1"/>
  <c r="G2191" i="1"/>
  <c r="H2191" i="1"/>
  <c r="I2191" i="1"/>
  <c r="J2191" i="1"/>
  <c r="K2191" i="1"/>
  <c r="L2191" i="1"/>
  <c r="A2192" i="1"/>
  <c r="B2192" i="1"/>
  <c r="C2192" i="1"/>
  <c r="D2192" i="1"/>
  <c r="E2192" i="1"/>
  <c r="F2192" i="1"/>
  <c r="G2192" i="1"/>
  <c r="H2192" i="1"/>
  <c r="I2192" i="1"/>
  <c r="J2192" i="1"/>
  <c r="K2192" i="1"/>
  <c r="L2192" i="1"/>
  <c r="A2193" i="1"/>
  <c r="B2193" i="1"/>
  <c r="C2193" i="1"/>
  <c r="D2193" i="1"/>
  <c r="E2193" i="1"/>
  <c r="F2193" i="1"/>
  <c r="G2193" i="1"/>
  <c r="H2193" i="1"/>
  <c r="I2193" i="1"/>
  <c r="J2193" i="1"/>
  <c r="K2193" i="1"/>
  <c r="L2193" i="1"/>
  <c r="A2194" i="1"/>
  <c r="B2194" i="1"/>
  <c r="C2194" i="1"/>
  <c r="D2194" i="1"/>
  <c r="E2194" i="1"/>
  <c r="F2194" i="1"/>
  <c r="G2194" i="1"/>
  <c r="H2194" i="1"/>
  <c r="I2194" i="1"/>
  <c r="J2194" i="1"/>
  <c r="K2194" i="1"/>
  <c r="L2194" i="1"/>
  <c r="A2195" i="1"/>
  <c r="B2195" i="1"/>
  <c r="C2195" i="1"/>
  <c r="D2195" i="1"/>
  <c r="E2195" i="1"/>
  <c r="F2195" i="1"/>
  <c r="G2195" i="1"/>
  <c r="H2195" i="1"/>
  <c r="I2195" i="1"/>
  <c r="J2195" i="1"/>
  <c r="K2195" i="1"/>
  <c r="L2195" i="1"/>
  <c r="A2196" i="1"/>
  <c r="B2196" i="1"/>
  <c r="C2196" i="1"/>
  <c r="D2196" i="1"/>
  <c r="E2196" i="1"/>
  <c r="F2196" i="1"/>
  <c r="G2196" i="1"/>
  <c r="H2196" i="1"/>
  <c r="I2196" i="1"/>
  <c r="J2196" i="1"/>
  <c r="K2196" i="1"/>
  <c r="L2196" i="1"/>
  <c r="A2197" i="1"/>
  <c r="B2197" i="1"/>
  <c r="C2197" i="1"/>
  <c r="D2197" i="1"/>
  <c r="E2197" i="1"/>
  <c r="F2197" i="1"/>
  <c r="G2197" i="1"/>
  <c r="H2197" i="1"/>
  <c r="I2197" i="1"/>
  <c r="J2197" i="1"/>
  <c r="K2197" i="1"/>
  <c r="L2197" i="1"/>
  <c r="A2198" i="1"/>
  <c r="B2198" i="1"/>
  <c r="C2198" i="1"/>
  <c r="D2198" i="1"/>
  <c r="E2198" i="1"/>
  <c r="F2198" i="1"/>
  <c r="G2198" i="1"/>
  <c r="H2198" i="1"/>
  <c r="I2198" i="1"/>
  <c r="J2198" i="1"/>
  <c r="K2198" i="1"/>
  <c r="L2198" i="1"/>
  <c r="A2199" i="1"/>
  <c r="B2199" i="1"/>
  <c r="C2199" i="1"/>
  <c r="D2199" i="1"/>
  <c r="E2199" i="1"/>
  <c r="F2199" i="1"/>
  <c r="G2199" i="1"/>
  <c r="H2199" i="1"/>
  <c r="I2199" i="1"/>
  <c r="J2199" i="1"/>
  <c r="K2199" i="1"/>
  <c r="L2199" i="1"/>
  <c r="A2200" i="1"/>
  <c r="B2200" i="1"/>
  <c r="C2200" i="1"/>
  <c r="D2200" i="1"/>
  <c r="E2200" i="1"/>
  <c r="F2200" i="1"/>
  <c r="G2200" i="1"/>
  <c r="H2200" i="1"/>
  <c r="I2200" i="1"/>
  <c r="J2200" i="1"/>
  <c r="K2200" i="1"/>
  <c r="L2200" i="1"/>
  <c r="A2201" i="1"/>
  <c r="B2201" i="1"/>
  <c r="C2201" i="1"/>
  <c r="D2201" i="1"/>
  <c r="E2201" i="1"/>
  <c r="F2201" i="1"/>
  <c r="G2201" i="1"/>
  <c r="H2201" i="1"/>
  <c r="I2201" i="1"/>
  <c r="J2201" i="1"/>
  <c r="K2201" i="1"/>
  <c r="L2201" i="1"/>
  <c r="A2202" i="1"/>
  <c r="B2202" i="1"/>
  <c r="C2202" i="1"/>
  <c r="D2202" i="1"/>
  <c r="E2202" i="1"/>
  <c r="F2202" i="1"/>
  <c r="G2202" i="1"/>
  <c r="H2202" i="1"/>
  <c r="I2202" i="1"/>
  <c r="J2202" i="1"/>
  <c r="K2202" i="1"/>
  <c r="L2202" i="1"/>
  <c r="A2203" i="1"/>
  <c r="B2203" i="1"/>
  <c r="C2203" i="1"/>
  <c r="D2203" i="1"/>
  <c r="E2203" i="1"/>
  <c r="F2203" i="1"/>
  <c r="G2203" i="1"/>
  <c r="H2203" i="1"/>
  <c r="I2203" i="1"/>
  <c r="J2203" i="1"/>
  <c r="K2203" i="1"/>
  <c r="L2203" i="1"/>
  <c r="A2204" i="1"/>
  <c r="B2204" i="1"/>
  <c r="C2204" i="1"/>
  <c r="D2204" i="1"/>
  <c r="E2204" i="1"/>
  <c r="F2204" i="1"/>
  <c r="G2204" i="1"/>
  <c r="H2204" i="1"/>
  <c r="I2204" i="1"/>
  <c r="J2204" i="1"/>
  <c r="K2204" i="1"/>
  <c r="L2204" i="1"/>
  <c r="A2205" i="1"/>
  <c r="B2205" i="1"/>
  <c r="C2205" i="1"/>
  <c r="D2205" i="1"/>
  <c r="E2205" i="1"/>
  <c r="F2205" i="1"/>
  <c r="G2205" i="1"/>
  <c r="H2205" i="1"/>
  <c r="I2205" i="1"/>
  <c r="J2205" i="1"/>
  <c r="K2205" i="1"/>
  <c r="L2205" i="1"/>
  <c r="A2206" i="1"/>
  <c r="B2206" i="1"/>
  <c r="C2206" i="1"/>
  <c r="D2206" i="1"/>
  <c r="E2206" i="1"/>
  <c r="F2206" i="1"/>
  <c r="G2206" i="1"/>
  <c r="H2206" i="1"/>
  <c r="I2206" i="1"/>
  <c r="J2206" i="1"/>
  <c r="K2206" i="1"/>
  <c r="L2206" i="1"/>
  <c r="A2207" i="1"/>
  <c r="B2207" i="1"/>
  <c r="C2207" i="1"/>
  <c r="D2207" i="1"/>
  <c r="E2207" i="1"/>
  <c r="F2207" i="1"/>
  <c r="G2207" i="1"/>
  <c r="H2207" i="1"/>
  <c r="I2207" i="1"/>
  <c r="J2207" i="1"/>
  <c r="K2207" i="1"/>
  <c r="L2207" i="1"/>
  <c r="A2208" i="1"/>
  <c r="B2208" i="1"/>
  <c r="C2208" i="1"/>
  <c r="D2208" i="1"/>
  <c r="E2208" i="1"/>
  <c r="F2208" i="1"/>
  <c r="G2208" i="1"/>
  <c r="H2208" i="1"/>
  <c r="I2208" i="1"/>
  <c r="J2208" i="1"/>
  <c r="K2208" i="1"/>
  <c r="L2208" i="1"/>
  <c r="A2209" i="1"/>
  <c r="B2209" i="1"/>
  <c r="C2209" i="1"/>
  <c r="D2209" i="1"/>
  <c r="E2209" i="1"/>
  <c r="F2209" i="1"/>
  <c r="G2209" i="1"/>
  <c r="H2209" i="1"/>
  <c r="I2209" i="1"/>
  <c r="J2209" i="1"/>
  <c r="K2209" i="1"/>
  <c r="L2209" i="1"/>
  <c r="A2210" i="1"/>
  <c r="B2210" i="1"/>
  <c r="C2210" i="1"/>
  <c r="D2210" i="1"/>
  <c r="E2210" i="1"/>
  <c r="F2210" i="1"/>
  <c r="G2210" i="1"/>
  <c r="H2210" i="1"/>
  <c r="I2210" i="1"/>
  <c r="J2210" i="1"/>
  <c r="K2210" i="1"/>
  <c r="L2210" i="1"/>
  <c r="A2211" i="1"/>
  <c r="B2211" i="1"/>
  <c r="C2211" i="1"/>
  <c r="D2211" i="1"/>
  <c r="E2211" i="1"/>
  <c r="F2211" i="1"/>
  <c r="G2211" i="1"/>
  <c r="H2211" i="1"/>
  <c r="I2211" i="1"/>
  <c r="J2211" i="1"/>
  <c r="K2211" i="1"/>
  <c r="L2211" i="1"/>
  <c r="A2212" i="1"/>
  <c r="B2212" i="1"/>
  <c r="C2212" i="1"/>
  <c r="D2212" i="1"/>
  <c r="E2212" i="1"/>
  <c r="F2212" i="1"/>
  <c r="G2212" i="1"/>
  <c r="H2212" i="1"/>
  <c r="I2212" i="1"/>
  <c r="J2212" i="1"/>
  <c r="K2212" i="1"/>
  <c r="L2212" i="1"/>
  <c r="A2213" i="1"/>
  <c r="B2213" i="1"/>
  <c r="C2213" i="1"/>
  <c r="D2213" i="1"/>
  <c r="E2213" i="1"/>
  <c r="F2213" i="1"/>
  <c r="G2213" i="1"/>
  <c r="H2213" i="1"/>
  <c r="I2213" i="1"/>
  <c r="J2213" i="1"/>
  <c r="K2213" i="1"/>
  <c r="L2213" i="1"/>
  <c r="A2214" i="1"/>
  <c r="B2214" i="1"/>
  <c r="C2214" i="1"/>
  <c r="D2214" i="1"/>
  <c r="E2214" i="1"/>
  <c r="F2214" i="1"/>
  <c r="G2214" i="1"/>
  <c r="H2214" i="1"/>
  <c r="I2214" i="1"/>
  <c r="J2214" i="1"/>
  <c r="K2214" i="1"/>
  <c r="L2214" i="1"/>
  <c r="A2215" i="1"/>
  <c r="B2215" i="1"/>
  <c r="C2215" i="1"/>
  <c r="D2215" i="1"/>
  <c r="E2215" i="1"/>
  <c r="F2215" i="1"/>
  <c r="G2215" i="1"/>
  <c r="H2215" i="1"/>
  <c r="I2215" i="1"/>
  <c r="J2215" i="1"/>
  <c r="K2215" i="1"/>
  <c r="L2215" i="1"/>
  <c r="A2216" i="1"/>
  <c r="B2216" i="1"/>
  <c r="C2216" i="1"/>
  <c r="D2216" i="1"/>
  <c r="E2216" i="1"/>
  <c r="F2216" i="1"/>
  <c r="G2216" i="1"/>
  <c r="H2216" i="1"/>
  <c r="I2216" i="1"/>
  <c r="J2216" i="1"/>
  <c r="K2216" i="1"/>
  <c r="L2216" i="1"/>
  <c r="A2217" i="1"/>
  <c r="B2217" i="1"/>
  <c r="C2217" i="1"/>
  <c r="D2217" i="1"/>
  <c r="E2217" i="1"/>
  <c r="F2217" i="1"/>
  <c r="G2217" i="1"/>
  <c r="H2217" i="1"/>
  <c r="I2217" i="1"/>
  <c r="J2217" i="1"/>
  <c r="K2217" i="1"/>
  <c r="L2217" i="1"/>
  <c r="A2218" i="1"/>
  <c r="B2218" i="1"/>
  <c r="C2218" i="1"/>
  <c r="D2218" i="1"/>
  <c r="E2218" i="1"/>
  <c r="F2218" i="1"/>
  <c r="G2218" i="1"/>
  <c r="H2218" i="1"/>
  <c r="I2218" i="1"/>
  <c r="J2218" i="1"/>
  <c r="K2218" i="1"/>
  <c r="L2218" i="1"/>
  <c r="A2219" i="1"/>
  <c r="B2219" i="1"/>
  <c r="C2219" i="1"/>
  <c r="D2219" i="1"/>
  <c r="E2219" i="1"/>
  <c r="F2219" i="1"/>
  <c r="G2219" i="1"/>
  <c r="H2219" i="1"/>
  <c r="I2219" i="1"/>
  <c r="J2219" i="1"/>
  <c r="K2219" i="1"/>
  <c r="L2219" i="1"/>
  <c r="A2220" i="1"/>
  <c r="B2220" i="1"/>
  <c r="C2220" i="1"/>
  <c r="D2220" i="1"/>
  <c r="E2220" i="1"/>
  <c r="F2220" i="1"/>
  <c r="G2220" i="1"/>
  <c r="H2220" i="1"/>
  <c r="I2220" i="1"/>
  <c r="J2220" i="1"/>
  <c r="K2220" i="1"/>
  <c r="L2220" i="1"/>
  <c r="A2221" i="1"/>
  <c r="B2221" i="1"/>
  <c r="C2221" i="1"/>
  <c r="D2221" i="1"/>
  <c r="E2221" i="1"/>
  <c r="F2221" i="1"/>
  <c r="G2221" i="1"/>
  <c r="H2221" i="1"/>
  <c r="I2221" i="1"/>
  <c r="J2221" i="1"/>
  <c r="K2221" i="1"/>
  <c r="L2221" i="1"/>
  <c r="A2222" i="1"/>
  <c r="B2222" i="1"/>
  <c r="C2222" i="1"/>
  <c r="D2222" i="1"/>
  <c r="E2222" i="1"/>
  <c r="F2222" i="1"/>
  <c r="G2222" i="1"/>
  <c r="H2222" i="1"/>
  <c r="I2222" i="1"/>
  <c r="J2222" i="1"/>
  <c r="K2222" i="1"/>
  <c r="L2222" i="1"/>
  <c r="A2223" i="1"/>
  <c r="B2223" i="1"/>
  <c r="C2223" i="1"/>
  <c r="D2223" i="1"/>
  <c r="E2223" i="1"/>
  <c r="F2223" i="1"/>
  <c r="G2223" i="1"/>
  <c r="H2223" i="1"/>
  <c r="I2223" i="1"/>
  <c r="J2223" i="1"/>
  <c r="K2223" i="1"/>
  <c r="L2223" i="1"/>
  <c r="A2224" i="1"/>
  <c r="B2224" i="1"/>
  <c r="C2224" i="1"/>
  <c r="D2224" i="1"/>
  <c r="E2224" i="1"/>
  <c r="F2224" i="1"/>
  <c r="G2224" i="1"/>
  <c r="H2224" i="1"/>
  <c r="I2224" i="1"/>
  <c r="J2224" i="1"/>
  <c r="K2224" i="1"/>
  <c r="L2224" i="1"/>
  <c r="A2225" i="1"/>
  <c r="B2225" i="1"/>
  <c r="C2225" i="1"/>
  <c r="D2225" i="1"/>
  <c r="E2225" i="1"/>
  <c r="F2225" i="1"/>
  <c r="G2225" i="1"/>
  <c r="H2225" i="1"/>
  <c r="I2225" i="1"/>
  <c r="J2225" i="1"/>
  <c r="K2225" i="1"/>
  <c r="L2225" i="1"/>
  <c r="A2226" i="1"/>
  <c r="B2226" i="1"/>
  <c r="C2226" i="1"/>
  <c r="D2226" i="1"/>
  <c r="E2226" i="1"/>
  <c r="F2226" i="1"/>
  <c r="G2226" i="1"/>
  <c r="H2226" i="1"/>
  <c r="I2226" i="1"/>
  <c r="J2226" i="1"/>
  <c r="K2226" i="1"/>
  <c r="L2226" i="1"/>
  <c r="A2227" i="1"/>
  <c r="B2227" i="1"/>
  <c r="C2227" i="1"/>
  <c r="D2227" i="1"/>
  <c r="E2227" i="1"/>
  <c r="F2227" i="1"/>
  <c r="G2227" i="1"/>
  <c r="H2227" i="1"/>
  <c r="I2227" i="1"/>
  <c r="J2227" i="1"/>
  <c r="K2227" i="1"/>
  <c r="L2227" i="1"/>
  <c r="A2228" i="1"/>
  <c r="B2228" i="1"/>
  <c r="C2228" i="1"/>
  <c r="D2228" i="1"/>
  <c r="E2228" i="1"/>
  <c r="F2228" i="1"/>
  <c r="G2228" i="1"/>
  <c r="H2228" i="1"/>
  <c r="I2228" i="1"/>
  <c r="J2228" i="1"/>
  <c r="K2228" i="1"/>
  <c r="L2228" i="1"/>
  <c r="A2229" i="1"/>
  <c r="B2229" i="1"/>
  <c r="C2229" i="1"/>
  <c r="D2229" i="1"/>
  <c r="E2229" i="1"/>
  <c r="F2229" i="1"/>
  <c r="G2229" i="1"/>
  <c r="H2229" i="1"/>
  <c r="I2229" i="1"/>
  <c r="J2229" i="1"/>
  <c r="K2229" i="1"/>
  <c r="L2229" i="1"/>
  <c r="A2230" i="1"/>
  <c r="B2230" i="1"/>
  <c r="C2230" i="1"/>
  <c r="D2230" i="1"/>
  <c r="E2230" i="1"/>
  <c r="F2230" i="1"/>
  <c r="G2230" i="1"/>
  <c r="H2230" i="1"/>
  <c r="I2230" i="1"/>
  <c r="J2230" i="1"/>
  <c r="K2230" i="1"/>
  <c r="L2230" i="1"/>
  <c r="A2231" i="1"/>
  <c r="B2231" i="1"/>
  <c r="C2231" i="1"/>
  <c r="D2231" i="1"/>
  <c r="E2231" i="1"/>
  <c r="F2231" i="1"/>
  <c r="G2231" i="1"/>
  <c r="H2231" i="1"/>
  <c r="I2231" i="1"/>
  <c r="J2231" i="1"/>
  <c r="K2231" i="1"/>
  <c r="L2231" i="1"/>
  <c r="A2232" i="1"/>
  <c r="B2232" i="1"/>
  <c r="C2232" i="1"/>
  <c r="D2232" i="1"/>
  <c r="E2232" i="1"/>
  <c r="F2232" i="1"/>
  <c r="G2232" i="1"/>
  <c r="H2232" i="1"/>
  <c r="I2232" i="1"/>
  <c r="J2232" i="1"/>
  <c r="K2232" i="1"/>
  <c r="L2232" i="1"/>
  <c r="A2233" i="1"/>
  <c r="B2233" i="1"/>
  <c r="C2233" i="1"/>
  <c r="D2233" i="1"/>
  <c r="E2233" i="1"/>
  <c r="F2233" i="1"/>
  <c r="G2233" i="1"/>
  <c r="H2233" i="1"/>
  <c r="I2233" i="1"/>
  <c r="J2233" i="1"/>
  <c r="K2233" i="1"/>
  <c r="L2233" i="1"/>
  <c r="A2234" i="1"/>
  <c r="B2234" i="1"/>
  <c r="C2234" i="1"/>
  <c r="D2234" i="1"/>
  <c r="E2234" i="1"/>
  <c r="F2234" i="1"/>
  <c r="G2234" i="1"/>
  <c r="H2234" i="1"/>
  <c r="I2234" i="1"/>
  <c r="J2234" i="1"/>
  <c r="K2234" i="1"/>
  <c r="L2234" i="1"/>
  <c r="A2235" i="1"/>
  <c r="B2235" i="1"/>
  <c r="C2235" i="1"/>
  <c r="D2235" i="1"/>
  <c r="E2235" i="1"/>
  <c r="F2235" i="1"/>
  <c r="G2235" i="1"/>
  <c r="H2235" i="1"/>
  <c r="I2235" i="1"/>
  <c r="J2235" i="1"/>
  <c r="K2235" i="1"/>
  <c r="L2235" i="1"/>
  <c r="A2236" i="1"/>
  <c r="B2236" i="1"/>
  <c r="C2236" i="1"/>
  <c r="D2236" i="1"/>
  <c r="E2236" i="1"/>
  <c r="F2236" i="1"/>
  <c r="G2236" i="1"/>
  <c r="H2236" i="1"/>
  <c r="I2236" i="1"/>
  <c r="J2236" i="1"/>
  <c r="K2236" i="1"/>
  <c r="L2236" i="1"/>
  <c r="A2237" i="1"/>
  <c r="B2237" i="1"/>
  <c r="C2237" i="1"/>
  <c r="D2237" i="1"/>
  <c r="E2237" i="1"/>
  <c r="F2237" i="1"/>
  <c r="G2237" i="1"/>
  <c r="H2237" i="1"/>
  <c r="I2237" i="1"/>
  <c r="J2237" i="1"/>
  <c r="K2237" i="1"/>
  <c r="L2237" i="1"/>
  <c r="A2238" i="1"/>
  <c r="B2238" i="1"/>
  <c r="C2238" i="1"/>
  <c r="D2238" i="1"/>
  <c r="E2238" i="1"/>
  <c r="F2238" i="1"/>
  <c r="G2238" i="1"/>
  <c r="H2238" i="1"/>
  <c r="I2238" i="1"/>
  <c r="J2238" i="1"/>
  <c r="K2238" i="1"/>
  <c r="L2238" i="1"/>
  <c r="A2239" i="1"/>
  <c r="B2239" i="1"/>
  <c r="C2239" i="1"/>
  <c r="D2239" i="1"/>
  <c r="E2239" i="1"/>
  <c r="F2239" i="1"/>
  <c r="G2239" i="1"/>
  <c r="H2239" i="1"/>
  <c r="I2239" i="1"/>
  <c r="J2239" i="1"/>
  <c r="K2239" i="1"/>
  <c r="L2239" i="1"/>
  <c r="A2240" i="1"/>
  <c r="B2240" i="1"/>
  <c r="C2240" i="1"/>
  <c r="D2240" i="1"/>
  <c r="E2240" i="1"/>
  <c r="F2240" i="1"/>
  <c r="G2240" i="1"/>
  <c r="H2240" i="1"/>
  <c r="I2240" i="1"/>
  <c r="J2240" i="1"/>
  <c r="K2240" i="1"/>
  <c r="L2240" i="1"/>
  <c r="A2241" i="1"/>
  <c r="B2241" i="1"/>
  <c r="C2241" i="1"/>
  <c r="D2241" i="1"/>
  <c r="E2241" i="1"/>
  <c r="F2241" i="1"/>
  <c r="G2241" i="1"/>
  <c r="H2241" i="1"/>
  <c r="I2241" i="1"/>
  <c r="J2241" i="1"/>
  <c r="K2241" i="1"/>
  <c r="L2241" i="1"/>
  <c r="A2242" i="1"/>
  <c r="B2242" i="1"/>
  <c r="C2242" i="1"/>
  <c r="D2242" i="1"/>
  <c r="E2242" i="1"/>
  <c r="F2242" i="1"/>
  <c r="G2242" i="1"/>
  <c r="H2242" i="1"/>
  <c r="I2242" i="1"/>
  <c r="J2242" i="1"/>
  <c r="K2242" i="1"/>
  <c r="L2242" i="1"/>
  <c r="A2243" i="1"/>
  <c r="B2243" i="1"/>
  <c r="C2243" i="1"/>
  <c r="D2243" i="1"/>
  <c r="E2243" i="1"/>
  <c r="F2243" i="1"/>
  <c r="G2243" i="1"/>
  <c r="H2243" i="1"/>
  <c r="I2243" i="1"/>
  <c r="J2243" i="1"/>
  <c r="K2243" i="1"/>
  <c r="L2243" i="1"/>
  <c r="A2244" i="1"/>
  <c r="B2244" i="1"/>
  <c r="C2244" i="1"/>
  <c r="D2244" i="1"/>
  <c r="E2244" i="1"/>
  <c r="F2244" i="1"/>
  <c r="G2244" i="1"/>
  <c r="H2244" i="1"/>
  <c r="I2244" i="1"/>
  <c r="J2244" i="1"/>
  <c r="K2244" i="1"/>
  <c r="L2244" i="1"/>
  <c r="A2245" i="1"/>
  <c r="B2245" i="1"/>
  <c r="C2245" i="1"/>
  <c r="D2245" i="1"/>
  <c r="E2245" i="1"/>
  <c r="F2245" i="1"/>
  <c r="G2245" i="1"/>
  <c r="H2245" i="1"/>
  <c r="I2245" i="1"/>
  <c r="J2245" i="1"/>
  <c r="K2245" i="1"/>
  <c r="L2245" i="1"/>
  <c r="A2246" i="1"/>
  <c r="B2246" i="1"/>
  <c r="C2246" i="1"/>
  <c r="D2246" i="1"/>
  <c r="E2246" i="1"/>
  <c r="F2246" i="1"/>
  <c r="G2246" i="1"/>
  <c r="H2246" i="1"/>
  <c r="I2246" i="1"/>
  <c r="J2246" i="1"/>
  <c r="K2246" i="1"/>
  <c r="L2246" i="1"/>
  <c r="A2247" i="1"/>
  <c r="B2247" i="1"/>
  <c r="C2247" i="1"/>
  <c r="D2247" i="1"/>
  <c r="E2247" i="1"/>
  <c r="F2247" i="1"/>
  <c r="G2247" i="1"/>
  <c r="H2247" i="1"/>
  <c r="I2247" i="1"/>
  <c r="J2247" i="1"/>
  <c r="K2247" i="1"/>
  <c r="L2247" i="1"/>
  <c r="A2248" i="1"/>
  <c r="B2248" i="1"/>
  <c r="C2248" i="1"/>
  <c r="D2248" i="1"/>
  <c r="E2248" i="1"/>
  <c r="F2248" i="1"/>
  <c r="G2248" i="1"/>
  <c r="H2248" i="1"/>
  <c r="I2248" i="1"/>
  <c r="J2248" i="1"/>
  <c r="K2248" i="1"/>
  <c r="L2248" i="1"/>
  <c r="A2249" i="1"/>
  <c r="B2249" i="1"/>
  <c r="C2249" i="1"/>
  <c r="D2249" i="1"/>
  <c r="E2249" i="1"/>
  <c r="F2249" i="1"/>
  <c r="G2249" i="1"/>
  <c r="H2249" i="1"/>
  <c r="I2249" i="1"/>
  <c r="J2249" i="1"/>
  <c r="K2249" i="1"/>
  <c r="L2249" i="1"/>
  <c r="A2250" i="1"/>
  <c r="B2250" i="1"/>
  <c r="C2250" i="1"/>
  <c r="D2250" i="1"/>
  <c r="E2250" i="1"/>
  <c r="F2250" i="1"/>
  <c r="G2250" i="1"/>
  <c r="H2250" i="1"/>
  <c r="I2250" i="1"/>
  <c r="J2250" i="1"/>
  <c r="K2250" i="1"/>
  <c r="L2250" i="1"/>
  <c r="A2251" i="1"/>
  <c r="B2251" i="1"/>
  <c r="C2251" i="1"/>
  <c r="D2251" i="1"/>
  <c r="E2251" i="1"/>
  <c r="F2251" i="1"/>
  <c r="G2251" i="1"/>
  <c r="H2251" i="1"/>
  <c r="I2251" i="1"/>
  <c r="J2251" i="1"/>
  <c r="K2251" i="1"/>
  <c r="L2251" i="1"/>
  <c r="A2252" i="1"/>
  <c r="B2252" i="1"/>
  <c r="C2252" i="1"/>
  <c r="D2252" i="1"/>
  <c r="E2252" i="1"/>
  <c r="F2252" i="1"/>
  <c r="G2252" i="1"/>
  <c r="H2252" i="1"/>
  <c r="I2252" i="1"/>
  <c r="J2252" i="1"/>
  <c r="K2252" i="1"/>
  <c r="L2252" i="1"/>
  <c r="A2253" i="1"/>
  <c r="B2253" i="1"/>
  <c r="C2253" i="1"/>
  <c r="D2253" i="1"/>
  <c r="E2253" i="1"/>
  <c r="F2253" i="1"/>
  <c r="G2253" i="1"/>
  <c r="H2253" i="1"/>
  <c r="I2253" i="1"/>
  <c r="J2253" i="1"/>
  <c r="K2253" i="1"/>
  <c r="L2253" i="1"/>
  <c r="A2254" i="1"/>
  <c r="B2254" i="1"/>
  <c r="C2254" i="1"/>
  <c r="D2254" i="1"/>
  <c r="E2254" i="1"/>
  <c r="F2254" i="1"/>
  <c r="G2254" i="1"/>
  <c r="H2254" i="1"/>
  <c r="I2254" i="1"/>
  <c r="J2254" i="1"/>
  <c r="K2254" i="1"/>
  <c r="L2254" i="1"/>
  <c r="A2255" i="1"/>
  <c r="B2255" i="1"/>
  <c r="C2255" i="1"/>
  <c r="D2255" i="1"/>
  <c r="E2255" i="1"/>
  <c r="F2255" i="1"/>
  <c r="G2255" i="1"/>
  <c r="H2255" i="1"/>
  <c r="I2255" i="1"/>
  <c r="J2255" i="1"/>
  <c r="K2255" i="1"/>
  <c r="L2255" i="1"/>
  <c r="A2256" i="1"/>
  <c r="B2256" i="1"/>
  <c r="C2256" i="1"/>
  <c r="D2256" i="1"/>
  <c r="E2256" i="1"/>
  <c r="F2256" i="1"/>
  <c r="G2256" i="1"/>
  <c r="H2256" i="1"/>
  <c r="I2256" i="1"/>
  <c r="J2256" i="1"/>
  <c r="K2256" i="1"/>
  <c r="L2256" i="1"/>
  <c r="A2257" i="1"/>
  <c r="B2257" i="1"/>
  <c r="C2257" i="1"/>
  <c r="D2257" i="1"/>
  <c r="E2257" i="1"/>
  <c r="F2257" i="1"/>
  <c r="G2257" i="1"/>
  <c r="H2257" i="1"/>
  <c r="I2257" i="1"/>
  <c r="J2257" i="1"/>
  <c r="K2257" i="1"/>
  <c r="L2257" i="1"/>
  <c r="A2258" i="1"/>
  <c r="B2258" i="1"/>
  <c r="C2258" i="1"/>
  <c r="D2258" i="1"/>
  <c r="E2258" i="1"/>
  <c r="F2258" i="1"/>
  <c r="G2258" i="1"/>
  <c r="H2258" i="1"/>
  <c r="I2258" i="1"/>
  <c r="J2258" i="1"/>
  <c r="K2258" i="1"/>
  <c r="L2258" i="1"/>
  <c r="A2259" i="1"/>
  <c r="B2259" i="1"/>
  <c r="C2259" i="1"/>
  <c r="D2259" i="1"/>
  <c r="E2259" i="1"/>
  <c r="F2259" i="1"/>
  <c r="G2259" i="1"/>
  <c r="H2259" i="1"/>
  <c r="I2259" i="1"/>
  <c r="J2259" i="1"/>
  <c r="K2259" i="1"/>
  <c r="L2259" i="1"/>
  <c r="A2260" i="1"/>
  <c r="B2260" i="1"/>
  <c r="C2260" i="1"/>
  <c r="D2260" i="1"/>
  <c r="E2260" i="1"/>
  <c r="F2260" i="1"/>
  <c r="G2260" i="1"/>
  <c r="H2260" i="1"/>
  <c r="I2260" i="1"/>
  <c r="J2260" i="1"/>
  <c r="K2260" i="1"/>
  <c r="L2260" i="1"/>
  <c r="A2261" i="1"/>
  <c r="B2261" i="1"/>
  <c r="C2261" i="1"/>
  <c r="D2261" i="1"/>
  <c r="E2261" i="1"/>
  <c r="F2261" i="1"/>
  <c r="G2261" i="1"/>
  <c r="H2261" i="1"/>
  <c r="I2261" i="1"/>
  <c r="J2261" i="1"/>
  <c r="K2261" i="1"/>
  <c r="L2261" i="1"/>
  <c r="A2262" i="1"/>
  <c r="B2262" i="1"/>
  <c r="C2262" i="1"/>
  <c r="D2262" i="1"/>
  <c r="E2262" i="1"/>
  <c r="F2262" i="1"/>
  <c r="G2262" i="1"/>
  <c r="H2262" i="1"/>
  <c r="I2262" i="1"/>
  <c r="J2262" i="1"/>
  <c r="K2262" i="1"/>
  <c r="L2262" i="1"/>
  <c r="A2263" i="1"/>
  <c r="B2263" i="1"/>
  <c r="C2263" i="1"/>
  <c r="D2263" i="1"/>
  <c r="E2263" i="1"/>
  <c r="F2263" i="1"/>
  <c r="G2263" i="1"/>
  <c r="H2263" i="1"/>
  <c r="I2263" i="1"/>
  <c r="J2263" i="1"/>
  <c r="K2263" i="1"/>
  <c r="L2263" i="1"/>
  <c r="A2264" i="1"/>
  <c r="B2264" i="1"/>
  <c r="C2264" i="1"/>
  <c r="D2264" i="1"/>
  <c r="E2264" i="1"/>
  <c r="F2264" i="1"/>
  <c r="G2264" i="1"/>
  <c r="H2264" i="1"/>
  <c r="I2264" i="1"/>
  <c r="J2264" i="1"/>
  <c r="K2264" i="1"/>
  <c r="L2264" i="1"/>
  <c r="A2265" i="1"/>
  <c r="B2265" i="1"/>
  <c r="C2265" i="1"/>
  <c r="D2265" i="1"/>
  <c r="E2265" i="1"/>
  <c r="F2265" i="1"/>
  <c r="G2265" i="1"/>
  <c r="H2265" i="1"/>
  <c r="I2265" i="1"/>
  <c r="J2265" i="1"/>
  <c r="K2265" i="1"/>
  <c r="L2265" i="1"/>
  <c r="A2266" i="1"/>
  <c r="B2266" i="1"/>
  <c r="C2266" i="1"/>
  <c r="D2266" i="1"/>
  <c r="E2266" i="1"/>
  <c r="F2266" i="1"/>
  <c r="G2266" i="1"/>
  <c r="H2266" i="1"/>
  <c r="I2266" i="1"/>
  <c r="J2266" i="1"/>
  <c r="K2266" i="1"/>
  <c r="L2266" i="1"/>
  <c r="A2267" i="1"/>
  <c r="B2267" i="1"/>
  <c r="C2267" i="1"/>
  <c r="D2267" i="1"/>
  <c r="E2267" i="1"/>
  <c r="F2267" i="1"/>
  <c r="G2267" i="1"/>
  <c r="H2267" i="1"/>
  <c r="I2267" i="1"/>
  <c r="J2267" i="1"/>
  <c r="K2267" i="1"/>
  <c r="L2267" i="1"/>
  <c r="A2268" i="1"/>
  <c r="B2268" i="1"/>
  <c r="C2268" i="1"/>
  <c r="D2268" i="1"/>
  <c r="E2268" i="1"/>
  <c r="F2268" i="1"/>
  <c r="G2268" i="1"/>
  <c r="H2268" i="1"/>
  <c r="I2268" i="1"/>
  <c r="J2268" i="1"/>
  <c r="K2268" i="1"/>
  <c r="L2268" i="1"/>
  <c r="A2269" i="1"/>
  <c r="B2269" i="1"/>
  <c r="C2269" i="1"/>
  <c r="D2269" i="1"/>
  <c r="E2269" i="1"/>
  <c r="F2269" i="1"/>
  <c r="G2269" i="1"/>
  <c r="H2269" i="1"/>
  <c r="I2269" i="1"/>
  <c r="J2269" i="1"/>
  <c r="K2269" i="1"/>
  <c r="L2269" i="1"/>
  <c r="A2270" i="1"/>
  <c r="B2270" i="1"/>
  <c r="C2270" i="1"/>
  <c r="D2270" i="1"/>
  <c r="E2270" i="1"/>
  <c r="F2270" i="1"/>
  <c r="G2270" i="1"/>
  <c r="H2270" i="1"/>
  <c r="I2270" i="1"/>
  <c r="J2270" i="1"/>
  <c r="K2270" i="1"/>
  <c r="L2270" i="1"/>
  <c r="A2271" i="1"/>
  <c r="B2271" i="1"/>
  <c r="C2271" i="1"/>
  <c r="D2271" i="1"/>
  <c r="E2271" i="1"/>
  <c r="F2271" i="1"/>
  <c r="G2271" i="1"/>
  <c r="H2271" i="1"/>
  <c r="I2271" i="1"/>
  <c r="J2271" i="1"/>
  <c r="K2271" i="1"/>
  <c r="L2271" i="1"/>
  <c r="A2272" i="1"/>
  <c r="B2272" i="1"/>
  <c r="C2272" i="1"/>
  <c r="D2272" i="1"/>
  <c r="E2272" i="1"/>
  <c r="F2272" i="1"/>
  <c r="G2272" i="1"/>
  <c r="H2272" i="1"/>
  <c r="I2272" i="1"/>
  <c r="J2272" i="1"/>
  <c r="K2272" i="1"/>
  <c r="L2272" i="1"/>
  <c r="A2273" i="1"/>
  <c r="B2273" i="1"/>
  <c r="C2273" i="1"/>
  <c r="D2273" i="1"/>
  <c r="E2273" i="1"/>
  <c r="F2273" i="1"/>
  <c r="G2273" i="1"/>
  <c r="H2273" i="1"/>
  <c r="I2273" i="1"/>
  <c r="J2273" i="1"/>
  <c r="K2273" i="1"/>
  <c r="L2273" i="1"/>
  <c r="A2274" i="1"/>
  <c r="B2274" i="1"/>
  <c r="C2274" i="1"/>
  <c r="D2274" i="1"/>
  <c r="E2274" i="1"/>
  <c r="F2274" i="1"/>
  <c r="G2274" i="1"/>
  <c r="H2274" i="1"/>
  <c r="I2274" i="1"/>
  <c r="J2274" i="1"/>
  <c r="K2274" i="1"/>
  <c r="L2274" i="1"/>
  <c r="A2275" i="1"/>
  <c r="B2275" i="1"/>
  <c r="C2275" i="1"/>
  <c r="D2275" i="1"/>
  <c r="E2275" i="1"/>
  <c r="F2275" i="1"/>
  <c r="G2275" i="1"/>
  <c r="H2275" i="1"/>
  <c r="I2275" i="1"/>
  <c r="J2275" i="1"/>
  <c r="K2275" i="1"/>
  <c r="L2275" i="1"/>
  <c r="A2276" i="1"/>
  <c r="B2276" i="1"/>
  <c r="C2276" i="1"/>
  <c r="D2276" i="1"/>
  <c r="E2276" i="1"/>
  <c r="F2276" i="1"/>
  <c r="G2276" i="1"/>
  <c r="H2276" i="1"/>
  <c r="I2276" i="1"/>
  <c r="J2276" i="1"/>
  <c r="K2276" i="1"/>
  <c r="L2276" i="1"/>
  <c r="A2277" i="1"/>
  <c r="B2277" i="1"/>
  <c r="C2277" i="1"/>
  <c r="D2277" i="1"/>
  <c r="E2277" i="1"/>
  <c r="F2277" i="1"/>
  <c r="G2277" i="1"/>
  <c r="H2277" i="1"/>
  <c r="I2277" i="1"/>
  <c r="J2277" i="1"/>
  <c r="K2277" i="1"/>
  <c r="L2277" i="1"/>
  <c r="A2278" i="1"/>
  <c r="B2278" i="1"/>
  <c r="C2278" i="1"/>
  <c r="D2278" i="1"/>
  <c r="E2278" i="1"/>
  <c r="F2278" i="1"/>
  <c r="G2278" i="1"/>
  <c r="H2278" i="1"/>
  <c r="I2278" i="1"/>
  <c r="J2278" i="1"/>
  <c r="K2278" i="1"/>
  <c r="L2278" i="1"/>
  <c r="A2279" i="1"/>
  <c r="B2279" i="1"/>
  <c r="C2279" i="1"/>
  <c r="D2279" i="1"/>
  <c r="E2279" i="1"/>
  <c r="F2279" i="1"/>
  <c r="G2279" i="1"/>
  <c r="H2279" i="1"/>
  <c r="I2279" i="1"/>
  <c r="J2279" i="1"/>
  <c r="K2279" i="1"/>
  <c r="L2279" i="1"/>
  <c r="A2280" i="1"/>
  <c r="B2280" i="1"/>
  <c r="C2280" i="1"/>
  <c r="D2280" i="1"/>
  <c r="E2280" i="1"/>
  <c r="F2280" i="1"/>
  <c r="G2280" i="1"/>
  <c r="H2280" i="1"/>
  <c r="I2280" i="1"/>
  <c r="J2280" i="1"/>
  <c r="K2280" i="1"/>
  <c r="L2280" i="1"/>
  <c r="A2281" i="1"/>
  <c r="B2281" i="1"/>
  <c r="C2281" i="1"/>
  <c r="D2281" i="1"/>
  <c r="E2281" i="1"/>
  <c r="F2281" i="1"/>
  <c r="G2281" i="1"/>
  <c r="H2281" i="1"/>
  <c r="I2281" i="1"/>
  <c r="J2281" i="1"/>
  <c r="K2281" i="1"/>
  <c r="L2281" i="1"/>
  <c r="A2282" i="1"/>
  <c r="B2282" i="1"/>
  <c r="C2282" i="1"/>
  <c r="D2282" i="1"/>
  <c r="E2282" i="1"/>
  <c r="F2282" i="1"/>
  <c r="G2282" i="1"/>
  <c r="H2282" i="1"/>
  <c r="I2282" i="1"/>
  <c r="J2282" i="1"/>
  <c r="K2282" i="1"/>
  <c r="L2282" i="1"/>
  <c r="A2283" i="1"/>
  <c r="B2283" i="1"/>
  <c r="C2283" i="1"/>
  <c r="D2283" i="1"/>
  <c r="E2283" i="1"/>
  <c r="F2283" i="1"/>
  <c r="G2283" i="1"/>
  <c r="H2283" i="1"/>
  <c r="I2283" i="1"/>
  <c r="J2283" i="1"/>
  <c r="K2283" i="1"/>
  <c r="L2283" i="1"/>
  <c r="A2284" i="1"/>
  <c r="B2284" i="1"/>
  <c r="C2284" i="1"/>
  <c r="D2284" i="1"/>
  <c r="E2284" i="1"/>
  <c r="F2284" i="1"/>
  <c r="G2284" i="1"/>
  <c r="H2284" i="1"/>
  <c r="I2284" i="1"/>
  <c r="J2284" i="1"/>
  <c r="K2284" i="1"/>
  <c r="L2284" i="1"/>
  <c r="A2285" i="1"/>
  <c r="B2285" i="1"/>
  <c r="C2285" i="1"/>
  <c r="D2285" i="1"/>
  <c r="E2285" i="1"/>
  <c r="F2285" i="1"/>
  <c r="G2285" i="1"/>
  <c r="H2285" i="1"/>
  <c r="I2285" i="1"/>
  <c r="J2285" i="1"/>
  <c r="K2285" i="1"/>
  <c r="L2285" i="1"/>
  <c r="A2286" i="1"/>
  <c r="B2286" i="1"/>
  <c r="C2286" i="1"/>
  <c r="D2286" i="1"/>
  <c r="E2286" i="1"/>
  <c r="F2286" i="1"/>
  <c r="G2286" i="1"/>
  <c r="H2286" i="1"/>
  <c r="I2286" i="1"/>
  <c r="J2286" i="1"/>
  <c r="K2286" i="1"/>
  <c r="L2286" i="1"/>
  <c r="A2287" i="1"/>
  <c r="B2287" i="1"/>
  <c r="C2287" i="1"/>
  <c r="D2287" i="1"/>
  <c r="E2287" i="1"/>
  <c r="F2287" i="1"/>
  <c r="G2287" i="1"/>
  <c r="H2287" i="1"/>
  <c r="I2287" i="1"/>
  <c r="J2287" i="1"/>
  <c r="K2287" i="1"/>
  <c r="L2287" i="1"/>
  <c r="A2288" i="1"/>
  <c r="B2288" i="1"/>
  <c r="C2288" i="1"/>
  <c r="D2288" i="1"/>
  <c r="E2288" i="1"/>
  <c r="F2288" i="1"/>
  <c r="G2288" i="1"/>
  <c r="H2288" i="1"/>
  <c r="I2288" i="1"/>
  <c r="J2288" i="1"/>
  <c r="K2288" i="1"/>
  <c r="L2288" i="1"/>
  <c r="A2289" i="1"/>
  <c r="B2289" i="1"/>
  <c r="C2289" i="1"/>
  <c r="D2289" i="1"/>
  <c r="E2289" i="1"/>
  <c r="F2289" i="1"/>
  <c r="G2289" i="1"/>
  <c r="H2289" i="1"/>
  <c r="I2289" i="1"/>
  <c r="J2289" i="1"/>
  <c r="K2289" i="1"/>
  <c r="L2289" i="1"/>
  <c r="A2290" i="1"/>
  <c r="B2290" i="1"/>
  <c r="C2290" i="1"/>
  <c r="D2290" i="1"/>
  <c r="E2290" i="1"/>
  <c r="F2290" i="1"/>
  <c r="G2290" i="1"/>
  <c r="H2290" i="1"/>
  <c r="I2290" i="1"/>
  <c r="J2290" i="1"/>
  <c r="K2290" i="1"/>
  <c r="L2290" i="1"/>
  <c r="A2291" i="1"/>
  <c r="B2291" i="1"/>
  <c r="C2291" i="1"/>
  <c r="D2291" i="1"/>
  <c r="E2291" i="1"/>
  <c r="F2291" i="1"/>
  <c r="G2291" i="1"/>
  <c r="H2291" i="1"/>
  <c r="I2291" i="1"/>
  <c r="J2291" i="1"/>
  <c r="K2291" i="1"/>
  <c r="L2291" i="1"/>
  <c r="A2292" i="1"/>
  <c r="B2292" i="1"/>
  <c r="C2292" i="1"/>
  <c r="D2292" i="1"/>
  <c r="E2292" i="1"/>
  <c r="F2292" i="1"/>
  <c r="G2292" i="1"/>
  <c r="H2292" i="1"/>
  <c r="I2292" i="1"/>
  <c r="J2292" i="1"/>
  <c r="K2292" i="1"/>
  <c r="L2292" i="1"/>
  <c r="A2293" i="1"/>
  <c r="B2293" i="1"/>
  <c r="C2293" i="1"/>
  <c r="D2293" i="1"/>
  <c r="E2293" i="1"/>
  <c r="F2293" i="1"/>
  <c r="G2293" i="1"/>
  <c r="H2293" i="1"/>
  <c r="I2293" i="1"/>
  <c r="J2293" i="1"/>
  <c r="K2293" i="1"/>
  <c r="L2293" i="1"/>
  <c r="A2294" i="1"/>
  <c r="B2294" i="1"/>
  <c r="C2294" i="1"/>
  <c r="D2294" i="1"/>
  <c r="E2294" i="1"/>
  <c r="F2294" i="1"/>
  <c r="G2294" i="1"/>
  <c r="H2294" i="1"/>
  <c r="I2294" i="1"/>
  <c r="J2294" i="1"/>
  <c r="K2294" i="1"/>
  <c r="L2294" i="1"/>
  <c r="A2295" i="1"/>
  <c r="B2295" i="1"/>
  <c r="C2295" i="1"/>
  <c r="D2295" i="1"/>
  <c r="E2295" i="1"/>
  <c r="F2295" i="1"/>
  <c r="G2295" i="1"/>
  <c r="H2295" i="1"/>
  <c r="I2295" i="1"/>
  <c r="J2295" i="1"/>
  <c r="K2295" i="1"/>
  <c r="L2295" i="1"/>
  <c r="A2296" i="1"/>
  <c r="B2296" i="1"/>
  <c r="C2296" i="1"/>
  <c r="D2296" i="1"/>
  <c r="E2296" i="1"/>
  <c r="F2296" i="1"/>
  <c r="G2296" i="1"/>
  <c r="H2296" i="1"/>
  <c r="I2296" i="1"/>
  <c r="J2296" i="1"/>
  <c r="K2296" i="1"/>
  <c r="L2296" i="1"/>
  <c r="A2297" i="1"/>
  <c r="B2297" i="1"/>
  <c r="C2297" i="1"/>
  <c r="D2297" i="1"/>
  <c r="E2297" i="1"/>
  <c r="F2297" i="1"/>
  <c r="G2297" i="1"/>
  <c r="H2297" i="1"/>
  <c r="I2297" i="1"/>
  <c r="J2297" i="1"/>
  <c r="K2297" i="1"/>
  <c r="L2297" i="1"/>
  <c r="A2298" i="1"/>
  <c r="B2298" i="1"/>
  <c r="C2298" i="1"/>
  <c r="D2298" i="1"/>
  <c r="E2298" i="1"/>
  <c r="F2298" i="1"/>
  <c r="G2298" i="1"/>
  <c r="H2298" i="1"/>
  <c r="I2298" i="1"/>
  <c r="J2298" i="1"/>
  <c r="K2298" i="1"/>
  <c r="L2298" i="1"/>
  <c r="A2299" i="1"/>
  <c r="B2299" i="1"/>
  <c r="C2299" i="1"/>
  <c r="D2299" i="1"/>
  <c r="E2299" i="1"/>
  <c r="F2299" i="1"/>
  <c r="G2299" i="1"/>
  <c r="H2299" i="1"/>
  <c r="I2299" i="1"/>
  <c r="J2299" i="1"/>
  <c r="K2299" i="1"/>
  <c r="L2299" i="1"/>
  <c r="A2300" i="1"/>
  <c r="B2300" i="1"/>
  <c r="C2300" i="1"/>
  <c r="D2300" i="1"/>
  <c r="E2300" i="1"/>
  <c r="F2300" i="1"/>
  <c r="G2300" i="1"/>
  <c r="H2300" i="1"/>
  <c r="I2300" i="1"/>
  <c r="J2300" i="1"/>
  <c r="K2300" i="1"/>
  <c r="L2300" i="1"/>
  <c r="A2301" i="1"/>
  <c r="B2301" i="1"/>
  <c r="C2301" i="1"/>
  <c r="D2301" i="1"/>
  <c r="E2301" i="1"/>
  <c r="F2301" i="1"/>
  <c r="G2301" i="1"/>
  <c r="H2301" i="1"/>
  <c r="I2301" i="1"/>
  <c r="J2301" i="1"/>
  <c r="K2301" i="1"/>
  <c r="L2301" i="1"/>
  <c r="A2302" i="1"/>
  <c r="B2302" i="1"/>
  <c r="C2302" i="1"/>
  <c r="D2302" i="1"/>
  <c r="E2302" i="1"/>
  <c r="F2302" i="1"/>
  <c r="G2302" i="1"/>
  <c r="H2302" i="1"/>
  <c r="I2302" i="1"/>
  <c r="J2302" i="1"/>
  <c r="K2302" i="1"/>
  <c r="L2302" i="1"/>
  <c r="A2303" i="1"/>
  <c r="B2303" i="1"/>
  <c r="C2303" i="1"/>
  <c r="D2303" i="1"/>
  <c r="E2303" i="1"/>
  <c r="F2303" i="1"/>
  <c r="G2303" i="1"/>
  <c r="H2303" i="1"/>
  <c r="I2303" i="1"/>
  <c r="J2303" i="1"/>
  <c r="K2303" i="1"/>
  <c r="L2303" i="1"/>
  <c r="A2304" i="1"/>
  <c r="B2304" i="1"/>
  <c r="C2304" i="1"/>
  <c r="D2304" i="1"/>
  <c r="E2304" i="1"/>
  <c r="F2304" i="1"/>
  <c r="G2304" i="1"/>
  <c r="H2304" i="1"/>
  <c r="I2304" i="1"/>
  <c r="J2304" i="1"/>
  <c r="K2304" i="1"/>
  <c r="L2304" i="1"/>
  <c r="A2305" i="1"/>
  <c r="B2305" i="1"/>
  <c r="C2305" i="1"/>
  <c r="D2305" i="1"/>
  <c r="E2305" i="1"/>
  <c r="F2305" i="1"/>
  <c r="G2305" i="1"/>
  <c r="H2305" i="1"/>
  <c r="I2305" i="1"/>
  <c r="J2305" i="1"/>
  <c r="K2305" i="1"/>
  <c r="L2305" i="1"/>
  <c r="A2306" i="1"/>
  <c r="B2306" i="1"/>
  <c r="C2306" i="1"/>
  <c r="D2306" i="1"/>
  <c r="E2306" i="1"/>
  <c r="F2306" i="1"/>
  <c r="G2306" i="1"/>
  <c r="H2306" i="1"/>
  <c r="I2306" i="1"/>
  <c r="J2306" i="1"/>
  <c r="K2306" i="1"/>
  <c r="L2306" i="1"/>
  <c r="A2307" i="1"/>
  <c r="B2307" i="1"/>
  <c r="C2307" i="1"/>
  <c r="D2307" i="1"/>
  <c r="E2307" i="1"/>
  <c r="F2307" i="1"/>
  <c r="G2307" i="1"/>
  <c r="H2307" i="1"/>
  <c r="I2307" i="1"/>
  <c r="J2307" i="1"/>
  <c r="K2307" i="1"/>
  <c r="L2307" i="1"/>
  <c r="A2308" i="1"/>
  <c r="B2308" i="1"/>
  <c r="C2308" i="1"/>
  <c r="D2308" i="1"/>
  <c r="E2308" i="1"/>
  <c r="F2308" i="1"/>
  <c r="G2308" i="1"/>
  <c r="H2308" i="1"/>
  <c r="I2308" i="1"/>
  <c r="J2308" i="1"/>
  <c r="K2308" i="1"/>
  <c r="L2308" i="1"/>
  <c r="A2309" i="1"/>
  <c r="B2309" i="1"/>
  <c r="C2309" i="1"/>
  <c r="D2309" i="1"/>
  <c r="E2309" i="1"/>
  <c r="F2309" i="1"/>
  <c r="G2309" i="1"/>
  <c r="H2309" i="1"/>
  <c r="I2309" i="1"/>
  <c r="J2309" i="1"/>
  <c r="K2309" i="1"/>
  <c r="L2309" i="1"/>
  <c r="A2310" i="1"/>
  <c r="B2310" i="1"/>
  <c r="C2310" i="1"/>
  <c r="D2310" i="1"/>
  <c r="E2310" i="1"/>
  <c r="F2310" i="1"/>
  <c r="G2310" i="1"/>
  <c r="H2310" i="1"/>
  <c r="I2310" i="1"/>
  <c r="J2310" i="1"/>
  <c r="K2310" i="1"/>
  <c r="L2310" i="1"/>
  <c r="A2311" i="1"/>
  <c r="B2311" i="1"/>
  <c r="C2311" i="1"/>
  <c r="D2311" i="1"/>
  <c r="E2311" i="1"/>
  <c r="F2311" i="1"/>
  <c r="G2311" i="1"/>
  <c r="H2311" i="1"/>
  <c r="I2311" i="1"/>
  <c r="J2311" i="1"/>
  <c r="K2311" i="1"/>
  <c r="L2311" i="1"/>
  <c r="A2312" i="1"/>
  <c r="B2312" i="1"/>
  <c r="C2312" i="1"/>
  <c r="D2312" i="1"/>
  <c r="E2312" i="1"/>
  <c r="F2312" i="1"/>
  <c r="G2312" i="1"/>
  <c r="H2312" i="1"/>
  <c r="I2312" i="1"/>
  <c r="J2312" i="1"/>
  <c r="K2312" i="1"/>
  <c r="L2312" i="1"/>
  <c r="A2313" i="1"/>
  <c r="B2313" i="1"/>
  <c r="C2313" i="1"/>
  <c r="D2313" i="1"/>
  <c r="E2313" i="1"/>
  <c r="F2313" i="1"/>
  <c r="G2313" i="1"/>
  <c r="H2313" i="1"/>
  <c r="I2313" i="1"/>
  <c r="J2313" i="1"/>
  <c r="K2313" i="1"/>
  <c r="L2313" i="1"/>
  <c r="A2314" i="1"/>
  <c r="B2314" i="1"/>
  <c r="C2314" i="1"/>
  <c r="D2314" i="1"/>
  <c r="E2314" i="1"/>
  <c r="F2314" i="1"/>
  <c r="G2314" i="1"/>
  <c r="H2314" i="1"/>
  <c r="I2314" i="1"/>
  <c r="J2314" i="1"/>
  <c r="K2314" i="1"/>
  <c r="L2314" i="1"/>
  <c r="A2315" i="1"/>
  <c r="B2315" i="1"/>
  <c r="C2315" i="1"/>
  <c r="D2315" i="1"/>
  <c r="E2315" i="1"/>
  <c r="F2315" i="1"/>
  <c r="G2315" i="1"/>
  <c r="H2315" i="1"/>
  <c r="I2315" i="1"/>
  <c r="J2315" i="1"/>
  <c r="K2315" i="1"/>
  <c r="L2315" i="1"/>
  <c r="A2316" i="1"/>
  <c r="B2316" i="1"/>
  <c r="C2316" i="1"/>
  <c r="D2316" i="1"/>
  <c r="E2316" i="1"/>
  <c r="F2316" i="1"/>
  <c r="G2316" i="1"/>
  <c r="H2316" i="1"/>
  <c r="I2316" i="1"/>
  <c r="J2316" i="1"/>
  <c r="K2316" i="1"/>
  <c r="L2316" i="1"/>
  <c r="A2317" i="1"/>
  <c r="B2317" i="1"/>
  <c r="C2317" i="1"/>
  <c r="D2317" i="1"/>
  <c r="E2317" i="1"/>
  <c r="F2317" i="1"/>
  <c r="G2317" i="1"/>
  <c r="H2317" i="1"/>
  <c r="I2317" i="1"/>
  <c r="J2317" i="1"/>
  <c r="K2317" i="1"/>
  <c r="L2317" i="1"/>
  <c r="A2318" i="1"/>
  <c r="B2318" i="1"/>
  <c r="C2318" i="1"/>
  <c r="D2318" i="1"/>
  <c r="E2318" i="1"/>
  <c r="F2318" i="1"/>
  <c r="G2318" i="1"/>
  <c r="H2318" i="1"/>
  <c r="I2318" i="1"/>
  <c r="J2318" i="1"/>
  <c r="K2318" i="1"/>
  <c r="L2318" i="1"/>
  <c r="A2319" i="1"/>
  <c r="B2319" i="1"/>
  <c r="C2319" i="1"/>
  <c r="D2319" i="1"/>
  <c r="E2319" i="1"/>
  <c r="F2319" i="1"/>
  <c r="G2319" i="1"/>
  <c r="H2319" i="1"/>
  <c r="I2319" i="1"/>
  <c r="J2319" i="1"/>
  <c r="K2319" i="1"/>
  <c r="L2319" i="1"/>
  <c r="A2320" i="1"/>
  <c r="B2320" i="1"/>
  <c r="C2320" i="1"/>
  <c r="D2320" i="1"/>
  <c r="E2320" i="1"/>
  <c r="F2320" i="1"/>
  <c r="G2320" i="1"/>
  <c r="H2320" i="1"/>
  <c r="I2320" i="1"/>
  <c r="J2320" i="1"/>
  <c r="K2320" i="1"/>
  <c r="L2320" i="1"/>
  <c r="A2321" i="1"/>
  <c r="B2321" i="1"/>
  <c r="C2321" i="1"/>
  <c r="D2321" i="1"/>
  <c r="E2321" i="1"/>
  <c r="F2321" i="1"/>
  <c r="G2321" i="1"/>
  <c r="H2321" i="1"/>
  <c r="I2321" i="1"/>
  <c r="J2321" i="1"/>
  <c r="K2321" i="1"/>
  <c r="L2321" i="1"/>
  <c r="A2322" i="1"/>
  <c r="B2322" i="1"/>
  <c r="C2322" i="1"/>
  <c r="D2322" i="1"/>
  <c r="E2322" i="1"/>
  <c r="F2322" i="1"/>
  <c r="G2322" i="1"/>
  <c r="H2322" i="1"/>
  <c r="I2322" i="1"/>
  <c r="J2322" i="1"/>
  <c r="K2322" i="1"/>
  <c r="L2322" i="1"/>
  <c r="A2323" i="1"/>
  <c r="B2323" i="1"/>
  <c r="C2323" i="1"/>
  <c r="D2323" i="1"/>
  <c r="E2323" i="1"/>
  <c r="F2323" i="1"/>
  <c r="G2323" i="1"/>
  <c r="H2323" i="1"/>
  <c r="I2323" i="1"/>
  <c r="J2323" i="1"/>
  <c r="K2323" i="1"/>
  <c r="L2323" i="1"/>
  <c r="A2324" i="1"/>
  <c r="B2324" i="1"/>
  <c r="C2324" i="1"/>
  <c r="D2324" i="1"/>
  <c r="E2324" i="1"/>
  <c r="F2324" i="1"/>
  <c r="G2324" i="1"/>
  <c r="H2324" i="1"/>
  <c r="I2324" i="1"/>
  <c r="J2324" i="1"/>
  <c r="K2324" i="1"/>
  <c r="L2324" i="1"/>
  <c r="A2325" i="1"/>
  <c r="B2325" i="1"/>
  <c r="C2325" i="1"/>
  <c r="D2325" i="1"/>
  <c r="E2325" i="1"/>
  <c r="F2325" i="1"/>
  <c r="G2325" i="1"/>
  <c r="H2325" i="1"/>
  <c r="I2325" i="1"/>
  <c r="J2325" i="1"/>
  <c r="K2325" i="1"/>
  <c r="L2325" i="1"/>
  <c r="A2326" i="1"/>
  <c r="B2326" i="1"/>
  <c r="C2326" i="1"/>
  <c r="D2326" i="1"/>
  <c r="E2326" i="1"/>
  <c r="F2326" i="1"/>
  <c r="G2326" i="1"/>
  <c r="H2326" i="1"/>
  <c r="I2326" i="1"/>
  <c r="J2326" i="1"/>
  <c r="K2326" i="1"/>
  <c r="L2326" i="1"/>
  <c r="A2327" i="1"/>
  <c r="B2327" i="1"/>
  <c r="C2327" i="1"/>
  <c r="D2327" i="1"/>
  <c r="E2327" i="1"/>
  <c r="F2327" i="1"/>
  <c r="G2327" i="1"/>
  <c r="H2327" i="1"/>
  <c r="I2327" i="1"/>
  <c r="J2327" i="1"/>
  <c r="K2327" i="1"/>
  <c r="L2327" i="1"/>
  <c r="A2328" i="1"/>
  <c r="B2328" i="1"/>
  <c r="C2328" i="1"/>
  <c r="D2328" i="1"/>
  <c r="E2328" i="1"/>
  <c r="F2328" i="1"/>
  <c r="G2328" i="1"/>
  <c r="H2328" i="1"/>
  <c r="I2328" i="1"/>
  <c r="J2328" i="1"/>
  <c r="K2328" i="1"/>
  <c r="L2328" i="1"/>
  <c r="A2329" i="1"/>
  <c r="B2329" i="1"/>
  <c r="C2329" i="1"/>
  <c r="D2329" i="1"/>
  <c r="E2329" i="1"/>
  <c r="F2329" i="1"/>
  <c r="G2329" i="1"/>
  <c r="H2329" i="1"/>
  <c r="I2329" i="1"/>
  <c r="J2329" i="1"/>
  <c r="K2329" i="1"/>
  <c r="L2329" i="1"/>
  <c r="A2330" i="1"/>
  <c r="B2330" i="1"/>
  <c r="C2330" i="1"/>
  <c r="D2330" i="1"/>
  <c r="E2330" i="1"/>
  <c r="F2330" i="1"/>
  <c r="G2330" i="1"/>
  <c r="H2330" i="1"/>
  <c r="I2330" i="1"/>
  <c r="J2330" i="1"/>
  <c r="K2330" i="1"/>
  <c r="L2330" i="1"/>
  <c r="A2331" i="1"/>
  <c r="B2331" i="1"/>
  <c r="C2331" i="1"/>
  <c r="D2331" i="1"/>
  <c r="E2331" i="1"/>
  <c r="F2331" i="1"/>
  <c r="G2331" i="1"/>
  <c r="H2331" i="1"/>
  <c r="I2331" i="1"/>
  <c r="J2331" i="1"/>
  <c r="K2331" i="1"/>
  <c r="L2331" i="1"/>
  <c r="A2332" i="1"/>
  <c r="B2332" i="1"/>
  <c r="C2332" i="1"/>
  <c r="D2332" i="1"/>
  <c r="E2332" i="1"/>
  <c r="F2332" i="1"/>
  <c r="G2332" i="1"/>
  <c r="H2332" i="1"/>
  <c r="I2332" i="1"/>
  <c r="J2332" i="1"/>
  <c r="K2332" i="1"/>
  <c r="L2332" i="1"/>
  <c r="A2333" i="1"/>
  <c r="B2333" i="1"/>
  <c r="C2333" i="1"/>
  <c r="D2333" i="1"/>
  <c r="E2333" i="1"/>
  <c r="F2333" i="1"/>
  <c r="G2333" i="1"/>
  <c r="H2333" i="1"/>
  <c r="I2333" i="1"/>
  <c r="J2333" i="1"/>
  <c r="K2333" i="1"/>
  <c r="L2333" i="1"/>
  <c r="A2334" i="1"/>
  <c r="B2334" i="1"/>
  <c r="C2334" i="1"/>
  <c r="D2334" i="1"/>
  <c r="E2334" i="1"/>
  <c r="F2334" i="1"/>
  <c r="G2334" i="1"/>
  <c r="H2334" i="1"/>
  <c r="I2334" i="1"/>
  <c r="J2334" i="1"/>
  <c r="K2334" i="1"/>
  <c r="L2334" i="1"/>
  <c r="A2335" i="1"/>
  <c r="B2335" i="1"/>
  <c r="C2335" i="1"/>
  <c r="D2335" i="1"/>
  <c r="E2335" i="1"/>
  <c r="F2335" i="1"/>
  <c r="G2335" i="1"/>
  <c r="H2335" i="1"/>
  <c r="I2335" i="1"/>
  <c r="J2335" i="1"/>
  <c r="K2335" i="1"/>
  <c r="L2335" i="1"/>
  <c r="A2336" i="1"/>
  <c r="B2336" i="1"/>
  <c r="C2336" i="1"/>
  <c r="D2336" i="1"/>
  <c r="E2336" i="1"/>
  <c r="F2336" i="1"/>
  <c r="G2336" i="1"/>
  <c r="H2336" i="1"/>
  <c r="I2336" i="1"/>
  <c r="J2336" i="1"/>
  <c r="K2336" i="1"/>
  <c r="L2336" i="1"/>
  <c r="A2337" i="1"/>
  <c r="B2337" i="1"/>
  <c r="C2337" i="1"/>
  <c r="D2337" i="1"/>
  <c r="E2337" i="1"/>
  <c r="F2337" i="1"/>
  <c r="G2337" i="1"/>
  <c r="H2337" i="1"/>
  <c r="I2337" i="1"/>
  <c r="J2337" i="1"/>
  <c r="K2337" i="1"/>
  <c r="L2337" i="1"/>
  <c r="A2338" i="1"/>
  <c r="B2338" i="1"/>
  <c r="C2338" i="1"/>
  <c r="D2338" i="1"/>
  <c r="E2338" i="1"/>
  <c r="F2338" i="1"/>
  <c r="G2338" i="1"/>
  <c r="H2338" i="1"/>
  <c r="I2338" i="1"/>
  <c r="J2338" i="1"/>
  <c r="K2338" i="1"/>
  <c r="L2338" i="1"/>
  <c r="A2339" i="1"/>
  <c r="B2339" i="1"/>
  <c r="C2339" i="1"/>
  <c r="D2339" i="1"/>
  <c r="E2339" i="1"/>
  <c r="F2339" i="1"/>
  <c r="G2339" i="1"/>
  <c r="H2339" i="1"/>
  <c r="I2339" i="1"/>
  <c r="J2339" i="1"/>
  <c r="K2339" i="1"/>
  <c r="L2339" i="1"/>
  <c r="A2340" i="1"/>
  <c r="B2340" i="1"/>
  <c r="C2340" i="1"/>
  <c r="D2340" i="1"/>
  <c r="E2340" i="1"/>
  <c r="F2340" i="1"/>
  <c r="G2340" i="1"/>
  <c r="H2340" i="1"/>
  <c r="I2340" i="1"/>
  <c r="J2340" i="1"/>
  <c r="K2340" i="1"/>
  <c r="L2340" i="1"/>
  <c r="A2341" i="1"/>
  <c r="B2341" i="1"/>
  <c r="C2341" i="1"/>
  <c r="D2341" i="1"/>
  <c r="E2341" i="1"/>
  <c r="F2341" i="1"/>
  <c r="G2341" i="1"/>
  <c r="H2341" i="1"/>
  <c r="I2341" i="1"/>
  <c r="J2341" i="1"/>
  <c r="K2341" i="1"/>
  <c r="L2341" i="1"/>
  <c r="A2342" i="1"/>
  <c r="B2342" i="1"/>
  <c r="C2342" i="1"/>
  <c r="D2342" i="1"/>
  <c r="E2342" i="1"/>
  <c r="F2342" i="1"/>
  <c r="G2342" i="1"/>
  <c r="H2342" i="1"/>
  <c r="I2342" i="1"/>
  <c r="J2342" i="1"/>
  <c r="K2342" i="1"/>
  <c r="L2342" i="1"/>
  <c r="A2343" i="1"/>
  <c r="B2343" i="1"/>
  <c r="C2343" i="1"/>
  <c r="D2343" i="1"/>
  <c r="E2343" i="1"/>
  <c r="F2343" i="1"/>
  <c r="G2343" i="1"/>
  <c r="H2343" i="1"/>
  <c r="I2343" i="1"/>
  <c r="J2343" i="1"/>
  <c r="K2343" i="1"/>
  <c r="L2343" i="1"/>
  <c r="A2344" i="1"/>
  <c r="B2344" i="1"/>
  <c r="C2344" i="1"/>
  <c r="D2344" i="1"/>
  <c r="E2344" i="1"/>
  <c r="F2344" i="1"/>
  <c r="G2344" i="1"/>
  <c r="H2344" i="1"/>
  <c r="I2344" i="1"/>
  <c r="J2344" i="1"/>
  <c r="K2344" i="1"/>
  <c r="L2344" i="1"/>
  <c r="A2345" i="1"/>
  <c r="B2345" i="1"/>
  <c r="C2345" i="1"/>
  <c r="D2345" i="1"/>
  <c r="E2345" i="1"/>
  <c r="F2345" i="1"/>
  <c r="G2345" i="1"/>
  <c r="H2345" i="1"/>
  <c r="I2345" i="1"/>
  <c r="J2345" i="1"/>
  <c r="K2345" i="1"/>
  <c r="L2345" i="1"/>
  <c r="A2346" i="1"/>
  <c r="B2346" i="1"/>
  <c r="C2346" i="1"/>
  <c r="D2346" i="1"/>
  <c r="E2346" i="1"/>
  <c r="F2346" i="1"/>
  <c r="G2346" i="1"/>
  <c r="H2346" i="1"/>
  <c r="I2346" i="1"/>
  <c r="J2346" i="1"/>
  <c r="K2346" i="1"/>
  <c r="L2346" i="1"/>
  <c r="A2347" i="1"/>
  <c r="B2347" i="1"/>
  <c r="C2347" i="1"/>
  <c r="D2347" i="1"/>
  <c r="E2347" i="1"/>
  <c r="F2347" i="1"/>
  <c r="G2347" i="1"/>
  <c r="H2347" i="1"/>
  <c r="I2347" i="1"/>
  <c r="J2347" i="1"/>
  <c r="K2347" i="1"/>
  <c r="L2347" i="1"/>
  <c r="A2348" i="1"/>
  <c r="B2348" i="1"/>
  <c r="C2348" i="1"/>
  <c r="D2348" i="1"/>
  <c r="E2348" i="1"/>
  <c r="F2348" i="1"/>
  <c r="G2348" i="1"/>
  <c r="H2348" i="1"/>
  <c r="I2348" i="1"/>
  <c r="J2348" i="1"/>
  <c r="K2348" i="1"/>
  <c r="L2348" i="1"/>
  <c r="A2349" i="1"/>
  <c r="B2349" i="1"/>
  <c r="C2349" i="1"/>
  <c r="D2349" i="1"/>
  <c r="E2349" i="1"/>
  <c r="F2349" i="1"/>
  <c r="G2349" i="1"/>
  <c r="H2349" i="1"/>
  <c r="I2349" i="1"/>
  <c r="J2349" i="1"/>
  <c r="K2349" i="1"/>
  <c r="L2349" i="1"/>
  <c r="A2350" i="1"/>
  <c r="B2350" i="1"/>
  <c r="C2350" i="1"/>
  <c r="D2350" i="1"/>
  <c r="E2350" i="1"/>
  <c r="F2350" i="1"/>
  <c r="G2350" i="1"/>
  <c r="H2350" i="1"/>
  <c r="I2350" i="1"/>
  <c r="J2350" i="1"/>
  <c r="K2350" i="1"/>
  <c r="L2350" i="1"/>
  <c r="A2351" i="1"/>
  <c r="B2351" i="1"/>
  <c r="C2351" i="1"/>
  <c r="D2351" i="1"/>
  <c r="E2351" i="1"/>
  <c r="F2351" i="1"/>
  <c r="G2351" i="1"/>
  <c r="H2351" i="1"/>
  <c r="I2351" i="1"/>
  <c r="J2351" i="1"/>
  <c r="K2351" i="1"/>
  <c r="L2351" i="1"/>
  <c r="A2352" i="1"/>
  <c r="B2352" i="1"/>
  <c r="C2352" i="1"/>
  <c r="D2352" i="1"/>
  <c r="E2352" i="1"/>
  <c r="F2352" i="1"/>
  <c r="G2352" i="1"/>
  <c r="H2352" i="1"/>
  <c r="I2352" i="1"/>
  <c r="J2352" i="1"/>
  <c r="K2352" i="1"/>
  <c r="L2352" i="1"/>
  <c r="A2353" i="1"/>
  <c r="B2353" i="1"/>
  <c r="C2353" i="1"/>
  <c r="D2353" i="1"/>
  <c r="E2353" i="1"/>
  <c r="F2353" i="1"/>
  <c r="G2353" i="1"/>
  <c r="H2353" i="1"/>
  <c r="I2353" i="1"/>
  <c r="J2353" i="1"/>
  <c r="K2353" i="1"/>
  <c r="L2353" i="1"/>
  <c r="A2354" i="1"/>
  <c r="B2354" i="1"/>
  <c r="C2354" i="1"/>
  <c r="D2354" i="1"/>
  <c r="E2354" i="1"/>
  <c r="F2354" i="1"/>
  <c r="G2354" i="1"/>
  <c r="H2354" i="1"/>
  <c r="I2354" i="1"/>
  <c r="J2354" i="1"/>
  <c r="K2354" i="1"/>
  <c r="L2354" i="1"/>
  <c r="A2355" i="1"/>
  <c r="B2355" i="1"/>
  <c r="C2355" i="1"/>
  <c r="D2355" i="1"/>
  <c r="E2355" i="1"/>
  <c r="F2355" i="1"/>
  <c r="G2355" i="1"/>
  <c r="H2355" i="1"/>
  <c r="I2355" i="1"/>
  <c r="J2355" i="1"/>
  <c r="K2355" i="1"/>
  <c r="L2355" i="1"/>
  <c r="A2356" i="1"/>
  <c r="B2356" i="1"/>
  <c r="C2356" i="1"/>
  <c r="D2356" i="1"/>
  <c r="E2356" i="1"/>
  <c r="F2356" i="1"/>
  <c r="G2356" i="1"/>
  <c r="H2356" i="1"/>
  <c r="I2356" i="1"/>
  <c r="J2356" i="1"/>
  <c r="K2356" i="1"/>
  <c r="L2356" i="1"/>
  <c r="A2357" i="1"/>
  <c r="B2357" i="1"/>
  <c r="C2357" i="1"/>
  <c r="D2357" i="1"/>
  <c r="E2357" i="1"/>
  <c r="F2357" i="1"/>
  <c r="G2357" i="1"/>
  <c r="H2357" i="1"/>
  <c r="I2357" i="1"/>
  <c r="J2357" i="1"/>
  <c r="K2357" i="1"/>
  <c r="L2357" i="1"/>
  <c r="A2358" i="1"/>
  <c r="B2358" i="1"/>
  <c r="C2358" i="1"/>
  <c r="D2358" i="1"/>
  <c r="E2358" i="1"/>
  <c r="F2358" i="1"/>
  <c r="G2358" i="1"/>
  <c r="H2358" i="1"/>
  <c r="I2358" i="1"/>
  <c r="J2358" i="1"/>
  <c r="K2358" i="1"/>
  <c r="L2358" i="1"/>
  <c r="A2359" i="1"/>
  <c r="B2359" i="1"/>
  <c r="C2359" i="1"/>
  <c r="D2359" i="1"/>
  <c r="E2359" i="1"/>
  <c r="F2359" i="1"/>
  <c r="G2359" i="1"/>
  <c r="H2359" i="1"/>
  <c r="I2359" i="1"/>
  <c r="J2359" i="1"/>
  <c r="K2359" i="1"/>
  <c r="L2359" i="1"/>
  <c r="A2360" i="1"/>
  <c r="B2360" i="1"/>
  <c r="C2360" i="1"/>
  <c r="D2360" i="1"/>
  <c r="E2360" i="1"/>
  <c r="F2360" i="1"/>
  <c r="G2360" i="1"/>
  <c r="H2360" i="1"/>
  <c r="I2360" i="1"/>
  <c r="J2360" i="1"/>
  <c r="K2360" i="1"/>
  <c r="L2360" i="1"/>
  <c r="A2361" i="1"/>
  <c r="B2361" i="1"/>
  <c r="C2361" i="1"/>
  <c r="D2361" i="1"/>
  <c r="E2361" i="1"/>
  <c r="F2361" i="1"/>
  <c r="G2361" i="1"/>
  <c r="H2361" i="1"/>
  <c r="I2361" i="1"/>
  <c r="J2361" i="1"/>
  <c r="K2361" i="1"/>
  <c r="L2361" i="1"/>
  <c r="A2362" i="1"/>
  <c r="B2362" i="1"/>
  <c r="C2362" i="1"/>
  <c r="D2362" i="1"/>
  <c r="E2362" i="1"/>
  <c r="F2362" i="1"/>
  <c r="G2362" i="1"/>
  <c r="H2362" i="1"/>
  <c r="I2362" i="1"/>
  <c r="J2362" i="1"/>
  <c r="K2362" i="1"/>
  <c r="L2362" i="1"/>
  <c r="A2363" i="1"/>
  <c r="B2363" i="1"/>
  <c r="C2363" i="1"/>
  <c r="D2363" i="1"/>
  <c r="E2363" i="1"/>
  <c r="F2363" i="1"/>
  <c r="G2363" i="1"/>
  <c r="H2363" i="1"/>
  <c r="I2363" i="1"/>
  <c r="J2363" i="1"/>
  <c r="K2363" i="1"/>
  <c r="L2363" i="1"/>
  <c r="A2364" i="1"/>
  <c r="B2364" i="1"/>
  <c r="C2364" i="1"/>
  <c r="D2364" i="1"/>
  <c r="E2364" i="1"/>
  <c r="F2364" i="1"/>
  <c r="G2364" i="1"/>
  <c r="H2364" i="1"/>
  <c r="I2364" i="1"/>
  <c r="J2364" i="1"/>
  <c r="K2364" i="1"/>
  <c r="L2364" i="1"/>
  <c r="A2365" i="1"/>
  <c r="B2365" i="1"/>
  <c r="C2365" i="1"/>
  <c r="D2365" i="1"/>
  <c r="E2365" i="1"/>
  <c r="F2365" i="1"/>
  <c r="G2365" i="1"/>
  <c r="H2365" i="1"/>
  <c r="I2365" i="1"/>
  <c r="J2365" i="1"/>
  <c r="K2365" i="1"/>
  <c r="L2365" i="1"/>
  <c r="A2366" i="1"/>
  <c r="B2366" i="1"/>
  <c r="C2366" i="1"/>
  <c r="D2366" i="1"/>
  <c r="E2366" i="1"/>
  <c r="F2366" i="1"/>
  <c r="G2366" i="1"/>
  <c r="H2366" i="1"/>
  <c r="I2366" i="1"/>
  <c r="J2366" i="1"/>
  <c r="K2366" i="1"/>
  <c r="L2366" i="1"/>
  <c r="A2367" i="1"/>
  <c r="B2367" i="1"/>
  <c r="C2367" i="1"/>
  <c r="D2367" i="1"/>
  <c r="E2367" i="1"/>
  <c r="F2367" i="1"/>
  <c r="G2367" i="1"/>
  <c r="H2367" i="1"/>
  <c r="I2367" i="1"/>
  <c r="J2367" i="1"/>
  <c r="K2367" i="1"/>
  <c r="L2367" i="1"/>
  <c r="A2368" i="1"/>
  <c r="B2368" i="1"/>
  <c r="C2368" i="1"/>
  <c r="D2368" i="1"/>
  <c r="E2368" i="1"/>
  <c r="F2368" i="1"/>
  <c r="G2368" i="1"/>
  <c r="H2368" i="1"/>
  <c r="I2368" i="1"/>
  <c r="J2368" i="1"/>
  <c r="K2368" i="1"/>
  <c r="L2368" i="1"/>
  <c r="A2369" i="1"/>
  <c r="B2369" i="1"/>
  <c r="C2369" i="1"/>
  <c r="D2369" i="1"/>
  <c r="E2369" i="1"/>
  <c r="F2369" i="1"/>
  <c r="G2369" i="1"/>
  <c r="H2369" i="1"/>
  <c r="I2369" i="1"/>
  <c r="J2369" i="1"/>
  <c r="K2369" i="1"/>
  <c r="L2369" i="1"/>
  <c r="A2370" i="1"/>
  <c r="B2370" i="1"/>
  <c r="C2370" i="1"/>
  <c r="D2370" i="1"/>
  <c r="E2370" i="1"/>
  <c r="F2370" i="1"/>
  <c r="G2370" i="1"/>
  <c r="H2370" i="1"/>
  <c r="I2370" i="1"/>
  <c r="J2370" i="1"/>
  <c r="K2370" i="1"/>
  <c r="L2370" i="1"/>
  <c r="A2371" i="1"/>
  <c r="B2371" i="1"/>
  <c r="C2371" i="1"/>
  <c r="D2371" i="1"/>
  <c r="E2371" i="1"/>
  <c r="F2371" i="1"/>
  <c r="G2371" i="1"/>
  <c r="H2371" i="1"/>
  <c r="I2371" i="1"/>
  <c r="J2371" i="1"/>
  <c r="K2371" i="1"/>
  <c r="L2371" i="1"/>
  <c r="A2372" i="1"/>
  <c r="B2372" i="1"/>
  <c r="C2372" i="1"/>
  <c r="D2372" i="1"/>
  <c r="E2372" i="1"/>
  <c r="F2372" i="1"/>
  <c r="G2372" i="1"/>
  <c r="H2372" i="1"/>
  <c r="I2372" i="1"/>
  <c r="J2372" i="1"/>
  <c r="K2372" i="1"/>
  <c r="L2372" i="1"/>
  <c r="A2373" i="1"/>
  <c r="B2373" i="1"/>
  <c r="C2373" i="1"/>
  <c r="D2373" i="1"/>
  <c r="E2373" i="1"/>
  <c r="F2373" i="1"/>
  <c r="G2373" i="1"/>
  <c r="H2373" i="1"/>
  <c r="I2373" i="1"/>
  <c r="J2373" i="1"/>
  <c r="K2373" i="1"/>
  <c r="L2373" i="1"/>
  <c r="A2374" i="1"/>
  <c r="B2374" i="1"/>
  <c r="C2374" i="1"/>
  <c r="D2374" i="1"/>
  <c r="E2374" i="1"/>
  <c r="F2374" i="1"/>
  <c r="G2374" i="1"/>
  <c r="H2374" i="1"/>
  <c r="I2374" i="1"/>
  <c r="J2374" i="1"/>
  <c r="K2374" i="1"/>
  <c r="L2374" i="1"/>
  <c r="A2375" i="1"/>
  <c r="B2375" i="1"/>
  <c r="C2375" i="1"/>
  <c r="D2375" i="1"/>
  <c r="E2375" i="1"/>
  <c r="F2375" i="1"/>
  <c r="G2375" i="1"/>
  <c r="H2375" i="1"/>
  <c r="I2375" i="1"/>
  <c r="J2375" i="1"/>
  <c r="K2375" i="1"/>
  <c r="L2375" i="1"/>
  <c r="A2376" i="1"/>
  <c r="B2376" i="1"/>
  <c r="C2376" i="1"/>
  <c r="D2376" i="1"/>
  <c r="E2376" i="1"/>
  <c r="F2376" i="1"/>
  <c r="G2376" i="1"/>
  <c r="H2376" i="1"/>
  <c r="I2376" i="1"/>
  <c r="J2376" i="1"/>
  <c r="K2376" i="1"/>
  <c r="L2376" i="1"/>
  <c r="A2377" i="1"/>
  <c r="B2377" i="1"/>
  <c r="C2377" i="1"/>
  <c r="D2377" i="1"/>
  <c r="E2377" i="1"/>
  <c r="F2377" i="1"/>
  <c r="G2377" i="1"/>
  <c r="H2377" i="1"/>
  <c r="I2377" i="1"/>
  <c r="J2377" i="1"/>
  <c r="K2377" i="1"/>
  <c r="L2377" i="1"/>
  <c r="A2378" i="1"/>
  <c r="B2378" i="1"/>
  <c r="C2378" i="1"/>
  <c r="D2378" i="1"/>
  <c r="E2378" i="1"/>
  <c r="F2378" i="1"/>
  <c r="G2378" i="1"/>
  <c r="H2378" i="1"/>
  <c r="I2378" i="1"/>
  <c r="J2378" i="1"/>
  <c r="K2378" i="1"/>
  <c r="L2378" i="1"/>
  <c r="A2379" i="1"/>
  <c r="B2379" i="1"/>
  <c r="C2379" i="1"/>
  <c r="D2379" i="1"/>
  <c r="E2379" i="1"/>
  <c r="F2379" i="1"/>
  <c r="G2379" i="1"/>
  <c r="H2379" i="1"/>
  <c r="I2379" i="1"/>
  <c r="J2379" i="1"/>
  <c r="K2379" i="1"/>
  <c r="L2379" i="1"/>
  <c r="A2380" i="1"/>
  <c r="B2380" i="1"/>
  <c r="C2380" i="1"/>
  <c r="D2380" i="1"/>
  <c r="E2380" i="1"/>
  <c r="F2380" i="1"/>
  <c r="G2380" i="1"/>
  <c r="H2380" i="1"/>
  <c r="I2380" i="1"/>
  <c r="J2380" i="1"/>
  <c r="K2380" i="1"/>
  <c r="L2380" i="1"/>
  <c r="A2381" i="1"/>
  <c r="B2381" i="1"/>
  <c r="C2381" i="1"/>
  <c r="D2381" i="1"/>
  <c r="E2381" i="1"/>
  <c r="F2381" i="1"/>
  <c r="G2381" i="1"/>
  <c r="H2381" i="1"/>
  <c r="I2381" i="1"/>
  <c r="J2381" i="1"/>
  <c r="K2381" i="1"/>
  <c r="L2381" i="1"/>
  <c r="A2382" i="1"/>
  <c r="B2382" i="1"/>
  <c r="C2382" i="1"/>
  <c r="D2382" i="1"/>
  <c r="E2382" i="1"/>
  <c r="F2382" i="1"/>
  <c r="G2382" i="1"/>
  <c r="H2382" i="1"/>
  <c r="I2382" i="1"/>
  <c r="J2382" i="1"/>
  <c r="K2382" i="1"/>
  <c r="L2382" i="1"/>
  <c r="A2383" i="1"/>
  <c r="B2383" i="1"/>
  <c r="C2383" i="1"/>
  <c r="D2383" i="1"/>
  <c r="E2383" i="1"/>
  <c r="F2383" i="1"/>
  <c r="G2383" i="1"/>
  <c r="H2383" i="1"/>
  <c r="I2383" i="1"/>
  <c r="J2383" i="1"/>
  <c r="K2383" i="1"/>
  <c r="L2383" i="1"/>
  <c r="A2384" i="1"/>
  <c r="B2384" i="1"/>
  <c r="C2384" i="1"/>
  <c r="D2384" i="1"/>
  <c r="E2384" i="1"/>
  <c r="F2384" i="1"/>
  <c r="G2384" i="1"/>
  <c r="H2384" i="1"/>
  <c r="I2384" i="1"/>
  <c r="J2384" i="1"/>
  <c r="K2384" i="1"/>
  <c r="L2384" i="1"/>
  <c r="A2385" i="1"/>
  <c r="B2385" i="1"/>
  <c r="C2385" i="1"/>
  <c r="D2385" i="1"/>
  <c r="E2385" i="1"/>
  <c r="F2385" i="1"/>
  <c r="G2385" i="1"/>
  <c r="H2385" i="1"/>
  <c r="I2385" i="1"/>
  <c r="J2385" i="1"/>
  <c r="K2385" i="1"/>
  <c r="L2385" i="1"/>
  <c r="A2386" i="1"/>
  <c r="B2386" i="1"/>
  <c r="C2386" i="1"/>
  <c r="D2386" i="1"/>
  <c r="E2386" i="1"/>
  <c r="F2386" i="1"/>
  <c r="G2386" i="1"/>
  <c r="H2386" i="1"/>
  <c r="I2386" i="1"/>
  <c r="J2386" i="1"/>
  <c r="K2386" i="1"/>
  <c r="L2386" i="1"/>
  <c r="A2387" i="1"/>
  <c r="B2387" i="1"/>
  <c r="C2387" i="1"/>
  <c r="D2387" i="1"/>
  <c r="E2387" i="1"/>
  <c r="F2387" i="1"/>
  <c r="G2387" i="1"/>
  <c r="H2387" i="1"/>
  <c r="I2387" i="1"/>
  <c r="J2387" i="1"/>
  <c r="K2387" i="1"/>
  <c r="L2387" i="1"/>
  <c r="A2388" i="1"/>
  <c r="B2388" i="1"/>
  <c r="C2388" i="1"/>
  <c r="D2388" i="1"/>
  <c r="E2388" i="1"/>
  <c r="F2388" i="1"/>
  <c r="G2388" i="1"/>
  <c r="H2388" i="1"/>
  <c r="I2388" i="1"/>
  <c r="J2388" i="1"/>
  <c r="K2388" i="1"/>
  <c r="L2388" i="1"/>
  <c r="A2389" i="1"/>
  <c r="B2389" i="1"/>
  <c r="C2389" i="1"/>
  <c r="D2389" i="1"/>
  <c r="E2389" i="1"/>
  <c r="F2389" i="1"/>
  <c r="G2389" i="1"/>
  <c r="H2389" i="1"/>
  <c r="I2389" i="1"/>
  <c r="J2389" i="1"/>
  <c r="K2389" i="1"/>
  <c r="L2389" i="1"/>
  <c r="A2390" i="1"/>
  <c r="B2390" i="1"/>
  <c r="C2390" i="1"/>
  <c r="D2390" i="1"/>
  <c r="E2390" i="1"/>
  <c r="F2390" i="1"/>
  <c r="G2390" i="1"/>
  <c r="H2390" i="1"/>
  <c r="I2390" i="1"/>
  <c r="J2390" i="1"/>
  <c r="K2390" i="1"/>
  <c r="L2390" i="1"/>
  <c r="A2391" i="1"/>
  <c r="B2391" i="1"/>
  <c r="C2391" i="1"/>
  <c r="D2391" i="1"/>
  <c r="E2391" i="1"/>
  <c r="F2391" i="1"/>
  <c r="G2391" i="1"/>
  <c r="H2391" i="1"/>
  <c r="I2391" i="1"/>
  <c r="J2391" i="1"/>
  <c r="K2391" i="1"/>
  <c r="L2391" i="1"/>
  <c r="A2392" i="1"/>
  <c r="B2392" i="1"/>
  <c r="C2392" i="1"/>
  <c r="D2392" i="1"/>
  <c r="E2392" i="1"/>
  <c r="F2392" i="1"/>
  <c r="G2392" i="1"/>
  <c r="H2392" i="1"/>
  <c r="I2392" i="1"/>
  <c r="J2392" i="1"/>
  <c r="K2392" i="1"/>
  <c r="L2392" i="1"/>
  <c r="A2393" i="1"/>
  <c r="B2393" i="1"/>
  <c r="C2393" i="1"/>
  <c r="D2393" i="1"/>
  <c r="E2393" i="1"/>
  <c r="F2393" i="1"/>
  <c r="G2393" i="1"/>
  <c r="H2393" i="1"/>
  <c r="I2393" i="1"/>
  <c r="J2393" i="1"/>
  <c r="K2393" i="1"/>
  <c r="L2393" i="1"/>
  <c r="A2394" i="1"/>
  <c r="B2394" i="1"/>
  <c r="C2394" i="1"/>
  <c r="D2394" i="1"/>
  <c r="E2394" i="1"/>
  <c r="F2394" i="1"/>
  <c r="G2394" i="1"/>
  <c r="H2394" i="1"/>
  <c r="I2394" i="1"/>
  <c r="J2394" i="1"/>
  <c r="K2394" i="1"/>
  <c r="L2394" i="1"/>
  <c r="A2395" i="1"/>
  <c r="B2395" i="1"/>
  <c r="C2395" i="1"/>
  <c r="D2395" i="1"/>
  <c r="E2395" i="1"/>
  <c r="F2395" i="1"/>
  <c r="G2395" i="1"/>
  <c r="H2395" i="1"/>
  <c r="I2395" i="1"/>
  <c r="J2395" i="1"/>
  <c r="K2395" i="1"/>
  <c r="L2395" i="1"/>
  <c r="A2396" i="1"/>
  <c r="B2396" i="1"/>
  <c r="C2396" i="1"/>
  <c r="D2396" i="1"/>
  <c r="E2396" i="1"/>
  <c r="F2396" i="1"/>
  <c r="G2396" i="1"/>
  <c r="H2396" i="1"/>
  <c r="I2396" i="1"/>
  <c r="J2396" i="1"/>
  <c r="K2396" i="1"/>
  <c r="L2396" i="1"/>
  <c r="A2397" i="1"/>
  <c r="B2397" i="1"/>
  <c r="C2397" i="1"/>
  <c r="D2397" i="1"/>
  <c r="E2397" i="1"/>
  <c r="F2397" i="1"/>
  <c r="G2397" i="1"/>
  <c r="H2397" i="1"/>
  <c r="I2397" i="1"/>
  <c r="J2397" i="1"/>
  <c r="K2397" i="1"/>
  <c r="L2397" i="1"/>
  <c r="A2398" i="1"/>
  <c r="B2398" i="1"/>
  <c r="C2398" i="1"/>
  <c r="D2398" i="1"/>
  <c r="E2398" i="1"/>
  <c r="F2398" i="1"/>
  <c r="G2398" i="1"/>
  <c r="H2398" i="1"/>
  <c r="I2398" i="1"/>
  <c r="J2398" i="1"/>
  <c r="K2398" i="1"/>
  <c r="L2398" i="1"/>
  <c r="A2399" i="1"/>
  <c r="B2399" i="1"/>
  <c r="C2399" i="1"/>
  <c r="D2399" i="1"/>
  <c r="E2399" i="1"/>
  <c r="F2399" i="1"/>
  <c r="G2399" i="1"/>
  <c r="H2399" i="1"/>
  <c r="I2399" i="1"/>
  <c r="J2399" i="1"/>
  <c r="K2399" i="1"/>
  <c r="L2399" i="1"/>
  <c r="A2400" i="1"/>
  <c r="B2400" i="1"/>
  <c r="C2400" i="1"/>
  <c r="D2400" i="1"/>
  <c r="E2400" i="1"/>
  <c r="F2400" i="1"/>
  <c r="G2400" i="1"/>
  <c r="H2400" i="1"/>
  <c r="I2400" i="1"/>
  <c r="J2400" i="1"/>
  <c r="K2400" i="1"/>
  <c r="L2400" i="1"/>
  <c r="A2401" i="1"/>
  <c r="B2401" i="1"/>
  <c r="C2401" i="1"/>
  <c r="D2401" i="1"/>
  <c r="E2401" i="1"/>
  <c r="F2401" i="1"/>
  <c r="G2401" i="1"/>
  <c r="H2401" i="1"/>
  <c r="I2401" i="1"/>
  <c r="J2401" i="1"/>
  <c r="K2401" i="1"/>
  <c r="L2401" i="1"/>
  <c r="A2402" i="1"/>
  <c r="B2402" i="1"/>
  <c r="C2402" i="1"/>
  <c r="D2402" i="1"/>
  <c r="E2402" i="1"/>
  <c r="F2402" i="1"/>
  <c r="G2402" i="1"/>
  <c r="H2402" i="1"/>
  <c r="I2402" i="1"/>
  <c r="J2402" i="1"/>
  <c r="K2402" i="1"/>
  <c r="L2402" i="1"/>
  <c r="A2403" i="1"/>
  <c r="B2403" i="1"/>
  <c r="C2403" i="1"/>
  <c r="D2403" i="1"/>
  <c r="E2403" i="1"/>
  <c r="F2403" i="1"/>
  <c r="G2403" i="1"/>
  <c r="H2403" i="1"/>
  <c r="I2403" i="1"/>
  <c r="J2403" i="1"/>
  <c r="K2403" i="1"/>
  <c r="L2403" i="1"/>
  <c r="A2404" i="1"/>
  <c r="B2404" i="1"/>
  <c r="C2404" i="1"/>
  <c r="D2404" i="1"/>
  <c r="E2404" i="1"/>
  <c r="F2404" i="1"/>
  <c r="G2404" i="1"/>
  <c r="H2404" i="1"/>
  <c r="I2404" i="1"/>
  <c r="J2404" i="1"/>
  <c r="K2404" i="1"/>
  <c r="L2404" i="1"/>
  <c r="A2405" i="1"/>
  <c r="B2405" i="1"/>
  <c r="C2405" i="1"/>
  <c r="D2405" i="1"/>
  <c r="E2405" i="1"/>
  <c r="F2405" i="1"/>
  <c r="G2405" i="1"/>
  <c r="H2405" i="1"/>
  <c r="I2405" i="1"/>
  <c r="J2405" i="1"/>
  <c r="K2405" i="1"/>
  <c r="L2405" i="1"/>
  <c r="A2406" i="1"/>
  <c r="B2406" i="1"/>
  <c r="C2406" i="1"/>
  <c r="D2406" i="1"/>
  <c r="E2406" i="1"/>
  <c r="F2406" i="1"/>
  <c r="G2406" i="1"/>
  <c r="H2406" i="1"/>
  <c r="I2406" i="1"/>
  <c r="J2406" i="1"/>
  <c r="K2406" i="1"/>
  <c r="L2406" i="1"/>
  <c r="A2407" i="1"/>
  <c r="B2407" i="1"/>
  <c r="C2407" i="1"/>
  <c r="D2407" i="1"/>
  <c r="E2407" i="1"/>
  <c r="F2407" i="1"/>
  <c r="G2407" i="1"/>
  <c r="H2407" i="1"/>
  <c r="I2407" i="1"/>
  <c r="J2407" i="1"/>
  <c r="K2407" i="1"/>
  <c r="L2407" i="1"/>
  <c r="A2408" i="1"/>
  <c r="B2408" i="1"/>
  <c r="C2408" i="1"/>
  <c r="D2408" i="1"/>
  <c r="E2408" i="1"/>
  <c r="F2408" i="1"/>
  <c r="G2408" i="1"/>
  <c r="H2408" i="1"/>
  <c r="I2408" i="1"/>
  <c r="J2408" i="1"/>
  <c r="K2408" i="1"/>
  <c r="L2408" i="1"/>
  <c r="A2409" i="1"/>
  <c r="B2409" i="1"/>
  <c r="C2409" i="1"/>
  <c r="D2409" i="1"/>
  <c r="E2409" i="1"/>
  <c r="F2409" i="1"/>
  <c r="G2409" i="1"/>
  <c r="H2409" i="1"/>
  <c r="I2409" i="1"/>
  <c r="J2409" i="1"/>
  <c r="K2409" i="1"/>
  <c r="L2409" i="1"/>
  <c r="A2410" i="1"/>
  <c r="B2410" i="1"/>
  <c r="C2410" i="1"/>
  <c r="D2410" i="1"/>
  <c r="E2410" i="1"/>
  <c r="F2410" i="1"/>
  <c r="G2410" i="1"/>
  <c r="H2410" i="1"/>
  <c r="I2410" i="1"/>
  <c r="J2410" i="1"/>
  <c r="K2410" i="1"/>
  <c r="L2410" i="1"/>
  <c r="A2411" i="1"/>
  <c r="B2411" i="1"/>
  <c r="C2411" i="1"/>
  <c r="D2411" i="1"/>
  <c r="E2411" i="1"/>
  <c r="F2411" i="1"/>
  <c r="G2411" i="1"/>
  <c r="H2411" i="1"/>
  <c r="I2411" i="1"/>
  <c r="J2411" i="1"/>
  <c r="K2411" i="1"/>
  <c r="L2411" i="1"/>
  <c r="A2412" i="1"/>
  <c r="B2412" i="1"/>
  <c r="C2412" i="1"/>
  <c r="D2412" i="1"/>
  <c r="E2412" i="1"/>
  <c r="F2412" i="1"/>
  <c r="G2412" i="1"/>
  <c r="H2412" i="1"/>
  <c r="I2412" i="1"/>
  <c r="J2412" i="1"/>
  <c r="K2412" i="1"/>
  <c r="L2412" i="1"/>
  <c r="A2413" i="1"/>
  <c r="B2413" i="1"/>
  <c r="C2413" i="1"/>
  <c r="D2413" i="1"/>
  <c r="E2413" i="1"/>
  <c r="F2413" i="1"/>
  <c r="G2413" i="1"/>
  <c r="H2413" i="1"/>
  <c r="I2413" i="1"/>
  <c r="J2413" i="1"/>
  <c r="K2413" i="1"/>
  <c r="L2413" i="1"/>
  <c r="A2414" i="1"/>
  <c r="B2414" i="1"/>
  <c r="C2414" i="1"/>
  <c r="D2414" i="1"/>
  <c r="E2414" i="1"/>
  <c r="F2414" i="1"/>
  <c r="G2414" i="1"/>
  <c r="H2414" i="1"/>
  <c r="I2414" i="1"/>
  <c r="J2414" i="1"/>
  <c r="K2414" i="1"/>
  <c r="L2414" i="1"/>
  <c r="A2415" i="1"/>
  <c r="B2415" i="1"/>
  <c r="C2415" i="1"/>
  <c r="D2415" i="1"/>
  <c r="E2415" i="1"/>
  <c r="F2415" i="1"/>
  <c r="G2415" i="1"/>
  <c r="H2415" i="1"/>
  <c r="I2415" i="1"/>
  <c r="J2415" i="1"/>
  <c r="K2415" i="1"/>
  <c r="L2415" i="1"/>
  <c r="A2416" i="1"/>
  <c r="B2416" i="1"/>
  <c r="C2416" i="1"/>
  <c r="D2416" i="1"/>
  <c r="E2416" i="1"/>
  <c r="F2416" i="1"/>
  <c r="G2416" i="1"/>
  <c r="H2416" i="1"/>
  <c r="I2416" i="1"/>
  <c r="J2416" i="1"/>
  <c r="K2416" i="1"/>
  <c r="L2416" i="1"/>
  <c r="A2417" i="1"/>
  <c r="B2417" i="1"/>
  <c r="C2417" i="1"/>
  <c r="D2417" i="1"/>
  <c r="E2417" i="1"/>
  <c r="F2417" i="1"/>
  <c r="G2417" i="1"/>
  <c r="H2417" i="1"/>
  <c r="I2417" i="1"/>
  <c r="J2417" i="1"/>
  <c r="K2417" i="1"/>
  <c r="L2417" i="1"/>
  <c r="A2418" i="1"/>
  <c r="B2418" i="1"/>
  <c r="C2418" i="1"/>
  <c r="D2418" i="1"/>
  <c r="E2418" i="1"/>
  <c r="F2418" i="1"/>
  <c r="G2418" i="1"/>
  <c r="H2418" i="1"/>
  <c r="I2418" i="1"/>
  <c r="J2418" i="1"/>
  <c r="K2418" i="1"/>
  <c r="L2418" i="1"/>
  <c r="A2419" i="1"/>
  <c r="B2419" i="1"/>
  <c r="C2419" i="1"/>
  <c r="D2419" i="1"/>
  <c r="E2419" i="1"/>
  <c r="F2419" i="1"/>
  <c r="G2419" i="1"/>
  <c r="H2419" i="1"/>
  <c r="I2419" i="1"/>
  <c r="J2419" i="1"/>
  <c r="K2419" i="1"/>
  <c r="L2419" i="1"/>
  <c r="A2420" i="1"/>
  <c r="B2420" i="1"/>
  <c r="C2420" i="1"/>
  <c r="D2420" i="1"/>
  <c r="E2420" i="1"/>
  <c r="F2420" i="1"/>
  <c r="G2420" i="1"/>
  <c r="H2420" i="1"/>
  <c r="I2420" i="1"/>
  <c r="J2420" i="1"/>
  <c r="K2420" i="1"/>
  <c r="L2420" i="1"/>
  <c r="A2421" i="1"/>
  <c r="B2421" i="1"/>
  <c r="C2421" i="1"/>
  <c r="D2421" i="1"/>
  <c r="E2421" i="1"/>
  <c r="F2421" i="1"/>
  <c r="G2421" i="1"/>
  <c r="H2421" i="1"/>
  <c r="I2421" i="1"/>
  <c r="J2421" i="1"/>
  <c r="K2421" i="1"/>
  <c r="L2421" i="1"/>
  <c r="A2422" i="1"/>
  <c r="B2422" i="1"/>
  <c r="C2422" i="1"/>
  <c r="D2422" i="1"/>
  <c r="E2422" i="1"/>
  <c r="F2422" i="1"/>
  <c r="G2422" i="1"/>
  <c r="H2422" i="1"/>
  <c r="I2422" i="1"/>
  <c r="J2422" i="1"/>
  <c r="K2422" i="1"/>
  <c r="L2422" i="1"/>
  <c r="A2423" i="1"/>
  <c r="B2423" i="1"/>
  <c r="C2423" i="1"/>
  <c r="D2423" i="1"/>
  <c r="E2423" i="1"/>
  <c r="F2423" i="1"/>
  <c r="G2423" i="1"/>
  <c r="H2423" i="1"/>
  <c r="I2423" i="1"/>
  <c r="J2423" i="1"/>
  <c r="K2423" i="1"/>
  <c r="L2423" i="1"/>
  <c r="A2424" i="1"/>
  <c r="B2424" i="1"/>
  <c r="C2424" i="1"/>
  <c r="D2424" i="1"/>
  <c r="E2424" i="1"/>
  <c r="F2424" i="1"/>
  <c r="G2424" i="1"/>
  <c r="H2424" i="1"/>
  <c r="I2424" i="1"/>
  <c r="J2424" i="1"/>
  <c r="K2424" i="1"/>
  <c r="L2424" i="1"/>
  <c r="A2425" i="1"/>
  <c r="B2425" i="1"/>
  <c r="C2425" i="1"/>
  <c r="D2425" i="1"/>
  <c r="E2425" i="1"/>
  <c r="F2425" i="1"/>
  <c r="G2425" i="1"/>
  <c r="H2425" i="1"/>
  <c r="I2425" i="1"/>
  <c r="J2425" i="1"/>
  <c r="K2425" i="1"/>
  <c r="L2425" i="1"/>
  <c r="A2426" i="1"/>
  <c r="B2426" i="1"/>
  <c r="C2426" i="1"/>
  <c r="D2426" i="1"/>
  <c r="E2426" i="1"/>
  <c r="F2426" i="1"/>
  <c r="G2426" i="1"/>
  <c r="H2426" i="1"/>
  <c r="I2426" i="1"/>
  <c r="J2426" i="1"/>
  <c r="K2426" i="1"/>
  <c r="L2426" i="1"/>
  <c r="A2427" i="1"/>
  <c r="B2427" i="1"/>
  <c r="C2427" i="1"/>
  <c r="D2427" i="1"/>
  <c r="E2427" i="1"/>
  <c r="F2427" i="1"/>
  <c r="G2427" i="1"/>
  <c r="H2427" i="1"/>
  <c r="I2427" i="1"/>
  <c r="J2427" i="1"/>
  <c r="K2427" i="1"/>
  <c r="L2427" i="1"/>
  <c r="A2428" i="1"/>
  <c r="B2428" i="1"/>
  <c r="C2428" i="1"/>
  <c r="D2428" i="1"/>
  <c r="E2428" i="1"/>
  <c r="F2428" i="1"/>
  <c r="G2428" i="1"/>
  <c r="H2428" i="1"/>
  <c r="I2428" i="1"/>
  <c r="J2428" i="1"/>
  <c r="K2428" i="1"/>
  <c r="L2428" i="1"/>
  <c r="A2429" i="1"/>
  <c r="B2429" i="1"/>
  <c r="C2429" i="1"/>
  <c r="D2429" i="1"/>
  <c r="E2429" i="1"/>
  <c r="F2429" i="1"/>
  <c r="G2429" i="1"/>
  <c r="H2429" i="1"/>
  <c r="I2429" i="1"/>
  <c r="J2429" i="1"/>
  <c r="K2429" i="1"/>
  <c r="L2429" i="1"/>
  <c r="A2430" i="1"/>
  <c r="B2430" i="1"/>
  <c r="C2430" i="1"/>
  <c r="D2430" i="1"/>
  <c r="E2430" i="1"/>
  <c r="F2430" i="1"/>
  <c r="G2430" i="1"/>
  <c r="H2430" i="1"/>
  <c r="I2430" i="1"/>
  <c r="J2430" i="1"/>
  <c r="K2430" i="1"/>
  <c r="L2430" i="1"/>
  <c r="A2431" i="1"/>
  <c r="B2431" i="1"/>
  <c r="C2431" i="1"/>
  <c r="D2431" i="1"/>
  <c r="E2431" i="1"/>
  <c r="F2431" i="1"/>
  <c r="G2431" i="1"/>
  <c r="H2431" i="1"/>
  <c r="I2431" i="1"/>
  <c r="J2431" i="1"/>
  <c r="K2431" i="1"/>
  <c r="L2431" i="1"/>
  <c r="A2432" i="1"/>
  <c r="B2432" i="1"/>
  <c r="C2432" i="1"/>
  <c r="D2432" i="1"/>
  <c r="E2432" i="1"/>
  <c r="F2432" i="1"/>
  <c r="G2432" i="1"/>
  <c r="H2432" i="1"/>
  <c r="I2432" i="1"/>
  <c r="J2432" i="1"/>
  <c r="K2432" i="1"/>
  <c r="L2432" i="1"/>
  <c r="A2433" i="1"/>
  <c r="B2433" i="1"/>
  <c r="C2433" i="1"/>
  <c r="D2433" i="1"/>
  <c r="E2433" i="1"/>
  <c r="F2433" i="1"/>
  <c r="G2433" i="1"/>
  <c r="H2433" i="1"/>
  <c r="I2433" i="1"/>
  <c r="J2433" i="1"/>
  <c r="K2433" i="1"/>
  <c r="L2433" i="1"/>
  <c r="A2434" i="1"/>
  <c r="B2434" i="1"/>
  <c r="C2434" i="1"/>
  <c r="D2434" i="1"/>
  <c r="E2434" i="1"/>
  <c r="F2434" i="1"/>
  <c r="G2434" i="1"/>
  <c r="H2434" i="1"/>
  <c r="I2434" i="1"/>
  <c r="J2434" i="1"/>
  <c r="K2434" i="1"/>
  <c r="L2434" i="1"/>
  <c r="A2435" i="1"/>
  <c r="B2435" i="1"/>
  <c r="C2435" i="1"/>
  <c r="D2435" i="1"/>
  <c r="E2435" i="1"/>
  <c r="F2435" i="1"/>
  <c r="G2435" i="1"/>
  <c r="H2435" i="1"/>
  <c r="I2435" i="1"/>
  <c r="J2435" i="1"/>
  <c r="K2435" i="1"/>
  <c r="L2435" i="1"/>
  <c r="A2436" i="1"/>
  <c r="B2436" i="1"/>
  <c r="C2436" i="1"/>
  <c r="D2436" i="1"/>
  <c r="E2436" i="1"/>
  <c r="F2436" i="1"/>
  <c r="G2436" i="1"/>
  <c r="H2436" i="1"/>
  <c r="I2436" i="1"/>
  <c r="J2436" i="1"/>
  <c r="K2436" i="1"/>
  <c r="L2436" i="1"/>
  <c r="A2437" i="1"/>
  <c r="B2437" i="1"/>
  <c r="C2437" i="1"/>
  <c r="D2437" i="1"/>
  <c r="E2437" i="1"/>
  <c r="F2437" i="1"/>
  <c r="G2437" i="1"/>
  <c r="H2437" i="1"/>
  <c r="I2437" i="1"/>
  <c r="J2437" i="1"/>
  <c r="K2437" i="1"/>
  <c r="L2437" i="1"/>
  <c r="A2438" i="1"/>
  <c r="B2438" i="1"/>
  <c r="C2438" i="1"/>
  <c r="D2438" i="1"/>
  <c r="E2438" i="1"/>
  <c r="F2438" i="1"/>
  <c r="G2438" i="1"/>
  <c r="H2438" i="1"/>
  <c r="I2438" i="1"/>
  <c r="J2438" i="1"/>
  <c r="K2438" i="1"/>
  <c r="L2438" i="1"/>
  <c r="A2439" i="1"/>
  <c r="B2439" i="1"/>
  <c r="C2439" i="1"/>
  <c r="D2439" i="1"/>
  <c r="E2439" i="1"/>
  <c r="F2439" i="1"/>
  <c r="G2439" i="1"/>
  <c r="H2439" i="1"/>
  <c r="I2439" i="1"/>
  <c r="J2439" i="1"/>
  <c r="K2439" i="1"/>
  <c r="L2439" i="1"/>
  <c r="A2440" i="1"/>
  <c r="B2440" i="1"/>
  <c r="C2440" i="1"/>
  <c r="D2440" i="1"/>
  <c r="E2440" i="1"/>
  <c r="F2440" i="1"/>
  <c r="G2440" i="1"/>
  <c r="H2440" i="1"/>
  <c r="I2440" i="1"/>
  <c r="J2440" i="1"/>
  <c r="K2440" i="1"/>
  <c r="L2440" i="1"/>
  <c r="A2441" i="1"/>
  <c r="B2441" i="1"/>
  <c r="C2441" i="1"/>
  <c r="D2441" i="1"/>
  <c r="E2441" i="1"/>
  <c r="F2441" i="1"/>
  <c r="G2441" i="1"/>
  <c r="H2441" i="1"/>
  <c r="I2441" i="1"/>
  <c r="J2441" i="1"/>
  <c r="K2441" i="1"/>
  <c r="L2441" i="1"/>
  <c r="A2442" i="1"/>
  <c r="B2442" i="1"/>
  <c r="C2442" i="1"/>
  <c r="D2442" i="1"/>
  <c r="E2442" i="1"/>
  <c r="F2442" i="1"/>
  <c r="G2442" i="1"/>
  <c r="H2442" i="1"/>
  <c r="I2442" i="1"/>
  <c r="J2442" i="1"/>
  <c r="K2442" i="1"/>
  <c r="L2442" i="1"/>
  <c r="A2443" i="1"/>
  <c r="B2443" i="1"/>
  <c r="C2443" i="1"/>
  <c r="D2443" i="1"/>
  <c r="E2443" i="1"/>
  <c r="F2443" i="1"/>
  <c r="G2443" i="1"/>
  <c r="H2443" i="1"/>
  <c r="I2443" i="1"/>
  <c r="J2443" i="1"/>
  <c r="K2443" i="1"/>
  <c r="L2443" i="1"/>
  <c r="A2444" i="1"/>
  <c r="B2444" i="1"/>
  <c r="C2444" i="1"/>
  <c r="D2444" i="1"/>
  <c r="E2444" i="1"/>
  <c r="F2444" i="1"/>
  <c r="G2444" i="1"/>
  <c r="H2444" i="1"/>
  <c r="I2444" i="1"/>
  <c r="J2444" i="1"/>
  <c r="K2444" i="1"/>
  <c r="L2444" i="1"/>
  <c r="A2445" i="1"/>
  <c r="B2445" i="1"/>
  <c r="C2445" i="1"/>
  <c r="D2445" i="1"/>
  <c r="E2445" i="1"/>
  <c r="F2445" i="1"/>
  <c r="G2445" i="1"/>
  <c r="H2445" i="1"/>
  <c r="I2445" i="1"/>
  <c r="J2445" i="1"/>
  <c r="K2445" i="1"/>
  <c r="L2445" i="1"/>
  <c r="A2446" i="1"/>
  <c r="B2446" i="1"/>
  <c r="C2446" i="1"/>
  <c r="D2446" i="1"/>
  <c r="E2446" i="1"/>
  <c r="F2446" i="1"/>
  <c r="G2446" i="1"/>
  <c r="H2446" i="1"/>
  <c r="I2446" i="1"/>
  <c r="J2446" i="1"/>
  <c r="K2446" i="1"/>
  <c r="L2446" i="1"/>
  <c r="A2447" i="1"/>
  <c r="B2447" i="1"/>
  <c r="C2447" i="1"/>
  <c r="D2447" i="1"/>
  <c r="E2447" i="1"/>
  <c r="F2447" i="1"/>
  <c r="G2447" i="1"/>
  <c r="H2447" i="1"/>
  <c r="I2447" i="1"/>
  <c r="J2447" i="1"/>
  <c r="K2447" i="1"/>
  <c r="L2447" i="1"/>
  <c r="A2448" i="1"/>
  <c r="B2448" i="1"/>
  <c r="C2448" i="1"/>
  <c r="D2448" i="1"/>
  <c r="E2448" i="1"/>
  <c r="F2448" i="1"/>
  <c r="G2448" i="1"/>
  <c r="H2448" i="1"/>
  <c r="I2448" i="1"/>
  <c r="J2448" i="1"/>
  <c r="K2448" i="1"/>
  <c r="L2448" i="1"/>
  <c r="A2449" i="1"/>
  <c r="B2449" i="1"/>
  <c r="C2449" i="1"/>
  <c r="D2449" i="1"/>
  <c r="E2449" i="1"/>
  <c r="F2449" i="1"/>
  <c r="G2449" i="1"/>
  <c r="H2449" i="1"/>
  <c r="I2449" i="1"/>
  <c r="J2449" i="1"/>
  <c r="K2449" i="1"/>
  <c r="L2449" i="1"/>
  <c r="A2450" i="1"/>
  <c r="B2450" i="1"/>
  <c r="C2450" i="1"/>
  <c r="D2450" i="1"/>
  <c r="E2450" i="1"/>
  <c r="F2450" i="1"/>
  <c r="G2450" i="1"/>
  <c r="H2450" i="1"/>
  <c r="I2450" i="1"/>
  <c r="J2450" i="1"/>
  <c r="K2450" i="1"/>
  <c r="L2450" i="1"/>
  <c r="A2451" i="1"/>
  <c r="B2451" i="1"/>
  <c r="C2451" i="1"/>
  <c r="D2451" i="1"/>
  <c r="E2451" i="1"/>
  <c r="F2451" i="1"/>
  <c r="G2451" i="1"/>
  <c r="H2451" i="1"/>
  <c r="I2451" i="1"/>
  <c r="J2451" i="1"/>
  <c r="K2451" i="1"/>
  <c r="L2451" i="1"/>
  <c r="A2452" i="1"/>
  <c r="B2452" i="1"/>
  <c r="C2452" i="1"/>
  <c r="D2452" i="1"/>
  <c r="E2452" i="1"/>
  <c r="F2452" i="1"/>
  <c r="G2452" i="1"/>
  <c r="H2452" i="1"/>
  <c r="I2452" i="1"/>
  <c r="J2452" i="1"/>
  <c r="K2452" i="1"/>
  <c r="L2452" i="1"/>
  <c r="A2453" i="1"/>
  <c r="B2453" i="1"/>
  <c r="C2453" i="1"/>
  <c r="D2453" i="1"/>
  <c r="E2453" i="1"/>
  <c r="F2453" i="1"/>
  <c r="G2453" i="1"/>
  <c r="H2453" i="1"/>
  <c r="I2453" i="1"/>
  <c r="J2453" i="1"/>
  <c r="K2453" i="1"/>
  <c r="L2453" i="1"/>
  <c r="A2454" i="1"/>
  <c r="B2454" i="1"/>
  <c r="C2454" i="1"/>
  <c r="D2454" i="1"/>
  <c r="E2454" i="1"/>
  <c r="F2454" i="1"/>
  <c r="G2454" i="1"/>
  <c r="H2454" i="1"/>
  <c r="I2454" i="1"/>
  <c r="J2454" i="1"/>
  <c r="K2454" i="1"/>
  <c r="L2454" i="1"/>
  <c r="A2455" i="1"/>
  <c r="B2455" i="1"/>
  <c r="C2455" i="1"/>
  <c r="D2455" i="1"/>
  <c r="E2455" i="1"/>
  <c r="F2455" i="1"/>
  <c r="G2455" i="1"/>
  <c r="H2455" i="1"/>
  <c r="I2455" i="1"/>
  <c r="J2455" i="1"/>
  <c r="K2455" i="1"/>
  <c r="L2455" i="1"/>
  <c r="A2456" i="1"/>
  <c r="B2456" i="1"/>
  <c r="C2456" i="1"/>
  <c r="D2456" i="1"/>
  <c r="E2456" i="1"/>
  <c r="F2456" i="1"/>
  <c r="G2456" i="1"/>
  <c r="H2456" i="1"/>
  <c r="I2456" i="1"/>
  <c r="J2456" i="1"/>
  <c r="K2456" i="1"/>
  <c r="L2456" i="1"/>
  <c r="A2457" i="1"/>
  <c r="B2457" i="1"/>
  <c r="C2457" i="1"/>
  <c r="D2457" i="1"/>
  <c r="E2457" i="1"/>
  <c r="F2457" i="1"/>
  <c r="G2457" i="1"/>
  <c r="H2457" i="1"/>
  <c r="I2457" i="1"/>
  <c r="J2457" i="1"/>
  <c r="K2457" i="1"/>
  <c r="L2457" i="1"/>
  <c r="A2458" i="1"/>
  <c r="B2458" i="1"/>
  <c r="C2458" i="1"/>
  <c r="D2458" i="1"/>
  <c r="E2458" i="1"/>
  <c r="F2458" i="1"/>
  <c r="G2458" i="1"/>
  <c r="H2458" i="1"/>
  <c r="I2458" i="1"/>
  <c r="J2458" i="1"/>
  <c r="K2458" i="1"/>
  <c r="L2458" i="1"/>
  <c r="A2459" i="1"/>
  <c r="B2459" i="1"/>
  <c r="C2459" i="1"/>
  <c r="D2459" i="1"/>
  <c r="E2459" i="1"/>
  <c r="F2459" i="1"/>
  <c r="G2459" i="1"/>
  <c r="H2459" i="1"/>
  <c r="I2459" i="1"/>
  <c r="J2459" i="1"/>
  <c r="K2459" i="1"/>
  <c r="L2459" i="1"/>
  <c r="A2460" i="1"/>
  <c r="B2460" i="1"/>
  <c r="C2460" i="1"/>
  <c r="D2460" i="1"/>
  <c r="E2460" i="1"/>
  <c r="F2460" i="1"/>
  <c r="G2460" i="1"/>
  <c r="H2460" i="1"/>
  <c r="I2460" i="1"/>
  <c r="J2460" i="1"/>
  <c r="K2460" i="1"/>
  <c r="L2460" i="1"/>
  <c r="A2461" i="1"/>
  <c r="B2461" i="1"/>
  <c r="C2461" i="1"/>
  <c r="D2461" i="1"/>
  <c r="E2461" i="1"/>
  <c r="F2461" i="1"/>
  <c r="G2461" i="1"/>
  <c r="H2461" i="1"/>
  <c r="I2461" i="1"/>
  <c r="J2461" i="1"/>
  <c r="K2461" i="1"/>
  <c r="L2461" i="1"/>
  <c r="A2462" i="1"/>
  <c r="B2462" i="1"/>
  <c r="C2462" i="1"/>
  <c r="D2462" i="1"/>
  <c r="E2462" i="1"/>
  <c r="F2462" i="1"/>
  <c r="G2462" i="1"/>
  <c r="H2462" i="1"/>
  <c r="I2462" i="1"/>
  <c r="J2462" i="1"/>
  <c r="K2462" i="1"/>
  <c r="L2462" i="1"/>
  <c r="A2463" i="1"/>
  <c r="B2463" i="1"/>
  <c r="C2463" i="1"/>
  <c r="D2463" i="1"/>
  <c r="E2463" i="1"/>
  <c r="F2463" i="1"/>
  <c r="G2463" i="1"/>
  <c r="H2463" i="1"/>
  <c r="I2463" i="1"/>
  <c r="J2463" i="1"/>
  <c r="K2463" i="1"/>
  <c r="L2463" i="1"/>
  <c r="A2464" i="1"/>
  <c r="B2464" i="1"/>
  <c r="C2464" i="1"/>
  <c r="D2464" i="1"/>
  <c r="E2464" i="1"/>
  <c r="F2464" i="1"/>
  <c r="G2464" i="1"/>
  <c r="H2464" i="1"/>
  <c r="I2464" i="1"/>
  <c r="J2464" i="1"/>
  <c r="K2464" i="1"/>
  <c r="L2464" i="1"/>
  <c r="A2465" i="1"/>
  <c r="B2465" i="1"/>
  <c r="C2465" i="1"/>
  <c r="D2465" i="1"/>
  <c r="E2465" i="1"/>
  <c r="F2465" i="1"/>
  <c r="G2465" i="1"/>
  <c r="H2465" i="1"/>
  <c r="I2465" i="1"/>
  <c r="J2465" i="1"/>
  <c r="K2465" i="1"/>
  <c r="L2465" i="1"/>
  <c r="A2466" i="1"/>
  <c r="B2466" i="1"/>
  <c r="C2466" i="1"/>
  <c r="D2466" i="1"/>
  <c r="E2466" i="1"/>
  <c r="F2466" i="1"/>
  <c r="G2466" i="1"/>
  <c r="H2466" i="1"/>
  <c r="I2466" i="1"/>
  <c r="J2466" i="1"/>
  <c r="K2466" i="1"/>
  <c r="L2466" i="1"/>
  <c r="A2467" i="1"/>
  <c r="B2467" i="1"/>
  <c r="C2467" i="1"/>
  <c r="D2467" i="1"/>
  <c r="E2467" i="1"/>
  <c r="F2467" i="1"/>
  <c r="G2467" i="1"/>
  <c r="H2467" i="1"/>
  <c r="I2467" i="1"/>
  <c r="J2467" i="1"/>
  <c r="K2467" i="1"/>
  <c r="L2467" i="1"/>
  <c r="A2468" i="1"/>
  <c r="B2468" i="1"/>
  <c r="C2468" i="1"/>
  <c r="D2468" i="1"/>
  <c r="E2468" i="1"/>
  <c r="F2468" i="1"/>
  <c r="G2468" i="1"/>
  <c r="H2468" i="1"/>
  <c r="I2468" i="1"/>
  <c r="J2468" i="1"/>
  <c r="K2468" i="1"/>
  <c r="L2468" i="1"/>
  <c r="A2469" i="1"/>
  <c r="B2469" i="1"/>
  <c r="C2469" i="1"/>
  <c r="D2469" i="1"/>
  <c r="E2469" i="1"/>
  <c r="F2469" i="1"/>
  <c r="G2469" i="1"/>
  <c r="H2469" i="1"/>
  <c r="I2469" i="1"/>
  <c r="J2469" i="1"/>
  <c r="K2469" i="1"/>
  <c r="L2469" i="1"/>
  <c r="A2470" i="1"/>
  <c r="B2470" i="1"/>
  <c r="C2470" i="1"/>
  <c r="D2470" i="1"/>
  <c r="E2470" i="1"/>
  <c r="F2470" i="1"/>
  <c r="G2470" i="1"/>
  <c r="H2470" i="1"/>
  <c r="I2470" i="1"/>
  <c r="J2470" i="1"/>
  <c r="K2470" i="1"/>
  <c r="L2470" i="1"/>
  <c r="A2471" i="1"/>
  <c r="B2471" i="1"/>
  <c r="C2471" i="1"/>
  <c r="D2471" i="1"/>
  <c r="E2471" i="1"/>
  <c r="F2471" i="1"/>
  <c r="G2471" i="1"/>
  <c r="H2471" i="1"/>
  <c r="I2471" i="1"/>
  <c r="J2471" i="1"/>
  <c r="K2471" i="1"/>
  <c r="L2471" i="1"/>
  <c r="A2472" i="1"/>
  <c r="B2472" i="1"/>
  <c r="C2472" i="1"/>
  <c r="D2472" i="1"/>
  <c r="E2472" i="1"/>
  <c r="F2472" i="1"/>
  <c r="G2472" i="1"/>
  <c r="H2472" i="1"/>
  <c r="I2472" i="1"/>
  <c r="J2472" i="1"/>
  <c r="K2472" i="1"/>
  <c r="L2472" i="1"/>
  <c r="A2473" i="1"/>
  <c r="B2473" i="1"/>
  <c r="C2473" i="1"/>
  <c r="D2473" i="1"/>
  <c r="E2473" i="1"/>
  <c r="F2473" i="1"/>
  <c r="G2473" i="1"/>
  <c r="H2473" i="1"/>
  <c r="I2473" i="1"/>
  <c r="J2473" i="1"/>
  <c r="K2473" i="1"/>
  <c r="L2473" i="1"/>
  <c r="A2474" i="1"/>
  <c r="B2474" i="1"/>
  <c r="C2474" i="1"/>
  <c r="D2474" i="1"/>
  <c r="E2474" i="1"/>
  <c r="F2474" i="1"/>
  <c r="G2474" i="1"/>
  <c r="H2474" i="1"/>
  <c r="I2474" i="1"/>
  <c r="J2474" i="1"/>
  <c r="K2474" i="1"/>
  <c r="L2474" i="1"/>
  <c r="A2475" i="1"/>
  <c r="B2475" i="1"/>
  <c r="C2475" i="1"/>
  <c r="D2475" i="1"/>
  <c r="E2475" i="1"/>
  <c r="F2475" i="1"/>
  <c r="G2475" i="1"/>
  <c r="H2475" i="1"/>
  <c r="I2475" i="1"/>
  <c r="J2475" i="1"/>
  <c r="K2475" i="1"/>
  <c r="L2475" i="1"/>
  <c r="A2476" i="1"/>
  <c r="B2476" i="1"/>
  <c r="C2476" i="1"/>
  <c r="D2476" i="1"/>
  <c r="E2476" i="1"/>
  <c r="F2476" i="1"/>
  <c r="G2476" i="1"/>
  <c r="H2476" i="1"/>
  <c r="I2476" i="1"/>
  <c r="J2476" i="1"/>
  <c r="K2476" i="1"/>
  <c r="L2476" i="1"/>
  <c r="A2477" i="1"/>
  <c r="B2477" i="1"/>
  <c r="C2477" i="1"/>
  <c r="D2477" i="1"/>
  <c r="E2477" i="1"/>
  <c r="F2477" i="1"/>
  <c r="G2477" i="1"/>
  <c r="H2477" i="1"/>
  <c r="I2477" i="1"/>
  <c r="J2477" i="1"/>
  <c r="K2477" i="1"/>
  <c r="L2477" i="1"/>
  <c r="A2478" i="1"/>
  <c r="B2478" i="1"/>
  <c r="C2478" i="1"/>
  <c r="D2478" i="1"/>
  <c r="E2478" i="1"/>
  <c r="F2478" i="1"/>
  <c r="G2478" i="1"/>
  <c r="H2478" i="1"/>
  <c r="I2478" i="1"/>
  <c r="J2478" i="1"/>
  <c r="K2478" i="1"/>
  <c r="L2478" i="1"/>
  <c r="A2479" i="1"/>
  <c r="B2479" i="1"/>
  <c r="C2479" i="1"/>
  <c r="D2479" i="1"/>
  <c r="E2479" i="1"/>
  <c r="F2479" i="1"/>
  <c r="G2479" i="1"/>
  <c r="H2479" i="1"/>
  <c r="I2479" i="1"/>
  <c r="J2479" i="1"/>
  <c r="K2479" i="1"/>
  <c r="L2479" i="1"/>
  <c r="A2480" i="1"/>
  <c r="B2480" i="1"/>
  <c r="C2480" i="1"/>
  <c r="D2480" i="1"/>
  <c r="E2480" i="1"/>
  <c r="F2480" i="1"/>
  <c r="G2480" i="1"/>
  <c r="H2480" i="1"/>
  <c r="I2480" i="1"/>
  <c r="J2480" i="1"/>
  <c r="K2480" i="1"/>
  <c r="L2480" i="1"/>
  <c r="A2481" i="1"/>
  <c r="B2481" i="1"/>
  <c r="C2481" i="1"/>
  <c r="D2481" i="1"/>
  <c r="E2481" i="1"/>
  <c r="F2481" i="1"/>
  <c r="G2481" i="1"/>
  <c r="H2481" i="1"/>
  <c r="I2481" i="1"/>
  <c r="J2481" i="1"/>
  <c r="K2481" i="1"/>
  <c r="L2481" i="1"/>
  <c r="A2482" i="1"/>
  <c r="B2482" i="1"/>
  <c r="C2482" i="1"/>
  <c r="D2482" i="1"/>
  <c r="E2482" i="1"/>
  <c r="F2482" i="1"/>
  <c r="G2482" i="1"/>
  <c r="H2482" i="1"/>
  <c r="I2482" i="1"/>
  <c r="J2482" i="1"/>
  <c r="K2482" i="1"/>
  <c r="L2482" i="1"/>
  <c r="A2483" i="1"/>
  <c r="B2483" i="1"/>
  <c r="C2483" i="1"/>
  <c r="D2483" i="1"/>
  <c r="E2483" i="1"/>
  <c r="F2483" i="1"/>
  <c r="G2483" i="1"/>
  <c r="H2483" i="1"/>
  <c r="I2483" i="1"/>
  <c r="J2483" i="1"/>
  <c r="K2483" i="1"/>
  <c r="L2483" i="1"/>
  <c r="A2484" i="1"/>
  <c r="B2484" i="1"/>
  <c r="C2484" i="1"/>
  <c r="D2484" i="1"/>
  <c r="E2484" i="1"/>
  <c r="F2484" i="1"/>
  <c r="G2484" i="1"/>
  <c r="H2484" i="1"/>
  <c r="I2484" i="1"/>
  <c r="J2484" i="1"/>
  <c r="K2484" i="1"/>
  <c r="L2484" i="1"/>
  <c r="A2485" i="1"/>
  <c r="B2485" i="1"/>
  <c r="C2485" i="1"/>
  <c r="D2485" i="1"/>
  <c r="E2485" i="1"/>
  <c r="F2485" i="1"/>
  <c r="G2485" i="1"/>
  <c r="H2485" i="1"/>
  <c r="I2485" i="1"/>
  <c r="J2485" i="1"/>
  <c r="K2485" i="1"/>
  <c r="L2485" i="1"/>
  <c r="A2486" i="1"/>
  <c r="B2486" i="1"/>
  <c r="C2486" i="1"/>
  <c r="D2486" i="1"/>
  <c r="E2486" i="1"/>
  <c r="F2486" i="1"/>
  <c r="G2486" i="1"/>
  <c r="H2486" i="1"/>
  <c r="I2486" i="1"/>
  <c r="J2486" i="1"/>
  <c r="K2486" i="1"/>
  <c r="L2486" i="1"/>
  <c r="A2487" i="1"/>
  <c r="B2487" i="1"/>
  <c r="C2487" i="1"/>
  <c r="D2487" i="1"/>
  <c r="E2487" i="1"/>
  <c r="F2487" i="1"/>
  <c r="G2487" i="1"/>
  <c r="H2487" i="1"/>
  <c r="I2487" i="1"/>
  <c r="J2487" i="1"/>
  <c r="K2487" i="1"/>
  <c r="L2487" i="1"/>
  <c r="A2488" i="1"/>
  <c r="B2488" i="1"/>
  <c r="C2488" i="1"/>
  <c r="D2488" i="1"/>
  <c r="E2488" i="1"/>
  <c r="F2488" i="1"/>
  <c r="G2488" i="1"/>
  <c r="H2488" i="1"/>
  <c r="I2488" i="1"/>
  <c r="J2488" i="1"/>
  <c r="K2488" i="1"/>
  <c r="L2488" i="1"/>
  <c r="A2489" i="1"/>
  <c r="B2489" i="1"/>
  <c r="C2489" i="1"/>
  <c r="D2489" i="1"/>
  <c r="E2489" i="1"/>
  <c r="F2489" i="1"/>
  <c r="G2489" i="1"/>
  <c r="H2489" i="1"/>
  <c r="I2489" i="1"/>
  <c r="J2489" i="1"/>
  <c r="K2489" i="1"/>
  <c r="L2489" i="1"/>
  <c r="A2490" i="1"/>
  <c r="B2490" i="1"/>
  <c r="C2490" i="1"/>
  <c r="D2490" i="1"/>
  <c r="E2490" i="1"/>
  <c r="F2490" i="1"/>
  <c r="G2490" i="1"/>
  <c r="H2490" i="1"/>
  <c r="I2490" i="1"/>
  <c r="J2490" i="1"/>
  <c r="K2490" i="1"/>
  <c r="L2490" i="1"/>
  <c r="A2491" i="1"/>
  <c r="B2491" i="1"/>
  <c r="C2491" i="1"/>
  <c r="D2491" i="1"/>
  <c r="E2491" i="1"/>
  <c r="F2491" i="1"/>
  <c r="G2491" i="1"/>
  <c r="H2491" i="1"/>
  <c r="I2491" i="1"/>
  <c r="J2491" i="1"/>
  <c r="K2491" i="1"/>
  <c r="L2491" i="1"/>
  <c r="A2492" i="1"/>
  <c r="B2492" i="1"/>
  <c r="C2492" i="1"/>
  <c r="D2492" i="1"/>
  <c r="E2492" i="1"/>
  <c r="F2492" i="1"/>
  <c r="G2492" i="1"/>
  <c r="H2492" i="1"/>
  <c r="I2492" i="1"/>
  <c r="J2492" i="1"/>
  <c r="K2492" i="1"/>
  <c r="L2492" i="1"/>
  <c r="A2493" i="1"/>
  <c r="B2493" i="1"/>
  <c r="C2493" i="1"/>
  <c r="D2493" i="1"/>
  <c r="E2493" i="1"/>
  <c r="F2493" i="1"/>
  <c r="G2493" i="1"/>
  <c r="H2493" i="1"/>
  <c r="I2493" i="1"/>
  <c r="J2493" i="1"/>
  <c r="K2493" i="1"/>
  <c r="L2493" i="1"/>
  <c r="A2494" i="1"/>
  <c r="B2494" i="1"/>
  <c r="C2494" i="1"/>
  <c r="D2494" i="1"/>
  <c r="E2494" i="1"/>
  <c r="F2494" i="1"/>
  <c r="G2494" i="1"/>
  <c r="H2494" i="1"/>
  <c r="I2494" i="1"/>
  <c r="J2494" i="1"/>
  <c r="K2494" i="1"/>
  <c r="L2494" i="1"/>
  <c r="A2495" i="1"/>
  <c r="B2495" i="1"/>
  <c r="C2495" i="1"/>
  <c r="D2495" i="1"/>
  <c r="E2495" i="1"/>
  <c r="F2495" i="1"/>
  <c r="G2495" i="1"/>
  <c r="H2495" i="1"/>
  <c r="I2495" i="1"/>
  <c r="J2495" i="1"/>
  <c r="K2495" i="1"/>
  <c r="L2495" i="1"/>
  <c r="A2496" i="1"/>
  <c r="B2496" i="1"/>
  <c r="C2496" i="1"/>
  <c r="D2496" i="1"/>
  <c r="E2496" i="1"/>
  <c r="F2496" i="1"/>
  <c r="G2496" i="1"/>
  <c r="H2496" i="1"/>
  <c r="I2496" i="1"/>
  <c r="J2496" i="1"/>
  <c r="K2496" i="1"/>
  <c r="L2496" i="1"/>
  <c r="A2497" i="1"/>
  <c r="B2497" i="1"/>
  <c r="C2497" i="1"/>
  <c r="D2497" i="1"/>
  <c r="E2497" i="1"/>
  <c r="F2497" i="1"/>
  <c r="G2497" i="1"/>
  <c r="H2497" i="1"/>
  <c r="I2497" i="1"/>
  <c r="J2497" i="1"/>
  <c r="K2497" i="1"/>
  <c r="L2497" i="1"/>
  <c r="A2498" i="1"/>
  <c r="B2498" i="1"/>
  <c r="C2498" i="1"/>
  <c r="D2498" i="1"/>
  <c r="E2498" i="1"/>
  <c r="F2498" i="1"/>
  <c r="G2498" i="1"/>
  <c r="H2498" i="1"/>
  <c r="I2498" i="1"/>
  <c r="J2498" i="1"/>
  <c r="K2498" i="1"/>
  <c r="L2498" i="1"/>
  <c r="A2499" i="1"/>
  <c r="B2499" i="1"/>
  <c r="C2499" i="1"/>
  <c r="D2499" i="1"/>
  <c r="E2499" i="1"/>
  <c r="F2499" i="1"/>
  <c r="G2499" i="1"/>
  <c r="H2499" i="1"/>
  <c r="I2499" i="1"/>
  <c r="J2499" i="1"/>
  <c r="K2499" i="1"/>
  <c r="L2499" i="1"/>
  <c r="A2500" i="1"/>
  <c r="B2500" i="1"/>
  <c r="C2500" i="1"/>
  <c r="D2500" i="1"/>
  <c r="E2500" i="1"/>
  <c r="F2500" i="1"/>
  <c r="G2500" i="1"/>
  <c r="H2500" i="1"/>
  <c r="I2500" i="1"/>
  <c r="J2500" i="1"/>
  <c r="K2500" i="1"/>
  <c r="L2500" i="1"/>
  <c r="A2501" i="1"/>
  <c r="B2501" i="1"/>
  <c r="C2501" i="1"/>
  <c r="D2501" i="1"/>
  <c r="E2501" i="1"/>
  <c r="F2501" i="1"/>
  <c r="G2501" i="1"/>
  <c r="H2501" i="1"/>
  <c r="I2501" i="1"/>
  <c r="J2501" i="1"/>
  <c r="K2501" i="1"/>
  <c r="L2501" i="1"/>
  <c r="A2502" i="1"/>
  <c r="B2502" i="1"/>
  <c r="C2502" i="1"/>
  <c r="D2502" i="1"/>
  <c r="E2502" i="1"/>
  <c r="F2502" i="1"/>
  <c r="G2502" i="1"/>
  <c r="H2502" i="1"/>
  <c r="I2502" i="1"/>
  <c r="J2502" i="1"/>
  <c r="K2502" i="1"/>
  <c r="L2502" i="1"/>
  <c r="A2503" i="1"/>
  <c r="B2503" i="1"/>
  <c r="C2503" i="1"/>
  <c r="D2503" i="1"/>
  <c r="E2503" i="1"/>
  <c r="F2503" i="1"/>
  <c r="G2503" i="1"/>
  <c r="H2503" i="1"/>
  <c r="I2503" i="1"/>
  <c r="J2503" i="1"/>
  <c r="K2503" i="1"/>
  <c r="L2503" i="1"/>
  <c r="A2504" i="1"/>
  <c r="B2504" i="1"/>
  <c r="C2504" i="1"/>
  <c r="D2504" i="1"/>
  <c r="E2504" i="1"/>
  <c r="F2504" i="1"/>
  <c r="G2504" i="1"/>
  <c r="H2504" i="1"/>
  <c r="I2504" i="1"/>
  <c r="J2504" i="1"/>
  <c r="K2504" i="1"/>
  <c r="L2504" i="1"/>
  <c r="A2505" i="1"/>
  <c r="B2505" i="1"/>
  <c r="C2505" i="1"/>
  <c r="D2505" i="1"/>
  <c r="E2505" i="1"/>
  <c r="F2505" i="1"/>
  <c r="G2505" i="1"/>
  <c r="H2505" i="1"/>
  <c r="I2505" i="1"/>
  <c r="J2505" i="1"/>
  <c r="K2505" i="1"/>
  <c r="L2505" i="1"/>
  <c r="A2506" i="1"/>
  <c r="B2506" i="1"/>
  <c r="C2506" i="1"/>
  <c r="D2506" i="1"/>
  <c r="E2506" i="1"/>
  <c r="F2506" i="1"/>
  <c r="G2506" i="1"/>
  <c r="H2506" i="1"/>
  <c r="I2506" i="1"/>
  <c r="J2506" i="1"/>
  <c r="K2506" i="1"/>
  <c r="L2506" i="1"/>
  <c r="A2507" i="1"/>
  <c r="B2507" i="1"/>
  <c r="C2507" i="1"/>
  <c r="D2507" i="1"/>
  <c r="E2507" i="1"/>
  <c r="F2507" i="1"/>
  <c r="G2507" i="1"/>
  <c r="H2507" i="1"/>
  <c r="I2507" i="1"/>
  <c r="J2507" i="1"/>
  <c r="K2507" i="1"/>
  <c r="L2507" i="1"/>
  <c r="A2508" i="1"/>
  <c r="B2508" i="1"/>
  <c r="C2508" i="1"/>
  <c r="D2508" i="1"/>
  <c r="E2508" i="1"/>
  <c r="F2508" i="1"/>
  <c r="G2508" i="1"/>
  <c r="H2508" i="1"/>
  <c r="I2508" i="1"/>
  <c r="J2508" i="1"/>
  <c r="K2508" i="1"/>
  <c r="L2508" i="1"/>
  <c r="A2509" i="1"/>
  <c r="B2509" i="1"/>
  <c r="C2509" i="1"/>
  <c r="D2509" i="1"/>
  <c r="E2509" i="1"/>
  <c r="F2509" i="1"/>
  <c r="G2509" i="1"/>
  <c r="H2509" i="1"/>
  <c r="I2509" i="1"/>
  <c r="J2509" i="1"/>
  <c r="K2509" i="1"/>
  <c r="L2509" i="1"/>
  <c r="A2510" i="1"/>
  <c r="B2510" i="1"/>
  <c r="C2510" i="1"/>
  <c r="D2510" i="1"/>
  <c r="E2510" i="1"/>
  <c r="F2510" i="1"/>
  <c r="G2510" i="1"/>
  <c r="H2510" i="1"/>
  <c r="I2510" i="1"/>
  <c r="J2510" i="1"/>
  <c r="K2510" i="1"/>
  <c r="L2510" i="1"/>
  <c r="A2511" i="1"/>
  <c r="B2511" i="1"/>
  <c r="C2511" i="1"/>
  <c r="D2511" i="1"/>
  <c r="E2511" i="1"/>
  <c r="F2511" i="1"/>
  <c r="G2511" i="1"/>
  <c r="H2511" i="1"/>
  <c r="I2511" i="1"/>
  <c r="J2511" i="1"/>
  <c r="K2511" i="1"/>
  <c r="L2511" i="1"/>
  <c r="A2512" i="1"/>
  <c r="B2512" i="1"/>
  <c r="C2512" i="1"/>
  <c r="D2512" i="1"/>
  <c r="E2512" i="1"/>
  <c r="F2512" i="1"/>
  <c r="G2512" i="1"/>
  <c r="H2512" i="1"/>
  <c r="I2512" i="1"/>
  <c r="J2512" i="1"/>
  <c r="K2512" i="1"/>
  <c r="L2512" i="1"/>
  <c r="A2513" i="1"/>
  <c r="B2513" i="1"/>
  <c r="C2513" i="1"/>
  <c r="D2513" i="1"/>
  <c r="E2513" i="1"/>
  <c r="F2513" i="1"/>
  <c r="G2513" i="1"/>
  <c r="H2513" i="1"/>
  <c r="I2513" i="1"/>
  <c r="J2513" i="1"/>
  <c r="K2513" i="1"/>
  <c r="L2513" i="1"/>
  <c r="A2514" i="1"/>
  <c r="B2514" i="1"/>
  <c r="C2514" i="1"/>
  <c r="D2514" i="1"/>
  <c r="E2514" i="1"/>
  <c r="F2514" i="1"/>
  <c r="G2514" i="1"/>
  <c r="H2514" i="1"/>
  <c r="I2514" i="1"/>
  <c r="J2514" i="1"/>
  <c r="K2514" i="1"/>
  <c r="L2514" i="1"/>
  <c r="A2515" i="1"/>
  <c r="B2515" i="1"/>
  <c r="C2515" i="1"/>
  <c r="D2515" i="1"/>
  <c r="E2515" i="1"/>
  <c r="F2515" i="1"/>
  <c r="G2515" i="1"/>
  <c r="H2515" i="1"/>
  <c r="I2515" i="1"/>
  <c r="J2515" i="1"/>
  <c r="K2515" i="1"/>
  <c r="L2515" i="1"/>
  <c r="A2516" i="1"/>
  <c r="B2516" i="1"/>
  <c r="C2516" i="1"/>
  <c r="D2516" i="1"/>
  <c r="E2516" i="1"/>
  <c r="F2516" i="1"/>
  <c r="G2516" i="1"/>
  <c r="H2516" i="1"/>
  <c r="I2516" i="1"/>
  <c r="J2516" i="1"/>
  <c r="K2516" i="1"/>
  <c r="L2516" i="1"/>
  <c r="A2517" i="1"/>
  <c r="B2517" i="1"/>
  <c r="C2517" i="1"/>
  <c r="D2517" i="1"/>
  <c r="E2517" i="1"/>
  <c r="F2517" i="1"/>
  <c r="G2517" i="1"/>
  <c r="H2517" i="1"/>
  <c r="I2517" i="1"/>
  <c r="J2517" i="1"/>
  <c r="K2517" i="1"/>
  <c r="L2517" i="1"/>
  <c r="A2518" i="1"/>
  <c r="B2518" i="1"/>
  <c r="C2518" i="1"/>
  <c r="D2518" i="1"/>
  <c r="E2518" i="1"/>
  <c r="F2518" i="1"/>
  <c r="G2518" i="1"/>
  <c r="H2518" i="1"/>
  <c r="I2518" i="1"/>
  <c r="J2518" i="1"/>
  <c r="K2518" i="1"/>
  <c r="L2518" i="1"/>
  <c r="A2519" i="1"/>
  <c r="B2519" i="1"/>
  <c r="C2519" i="1"/>
  <c r="D2519" i="1"/>
  <c r="E2519" i="1"/>
  <c r="F2519" i="1"/>
  <c r="G2519" i="1"/>
  <c r="H2519" i="1"/>
  <c r="I2519" i="1"/>
  <c r="J2519" i="1"/>
  <c r="K2519" i="1"/>
  <c r="L2519" i="1"/>
  <c r="A2520" i="1"/>
  <c r="B2520" i="1"/>
  <c r="C2520" i="1"/>
  <c r="D2520" i="1"/>
  <c r="E2520" i="1"/>
  <c r="F2520" i="1"/>
  <c r="G2520" i="1"/>
  <c r="H2520" i="1"/>
  <c r="I2520" i="1"/>
  <c r="J2520" i="1"/>
  <c r="K2520" i="1"/>
  <c r="L2520" i="1"/>
  <c r="A2521" i="1"/>
  <c r="B2521" i="1"/>
  <c r="C2521" i="1"/>
  <c r="D2521" i="1"/>
  <c r="E2521" i="1"/>
  <c r="F2521" i="1"/>
  <c r="G2521" i="1"/>
  <c r="H2521" i="1"/>
  <c r="I2521" i="1"/>
  <c r="J2521" i="1"/>
  <c r="K2521" i="1"/>
  <c r="L2521" i="1"/>
  <c r="A2522" i="1"/>
  <c r="B2522" i="1"/>
  <c r="C2522" i="1"/>
  <c r="D2522" i="1"/>
  <c r="E2522" i="1"/>
  <c r="F2522" i="1"/>
  <c r="G2522" i="1"/>
  <c r="H2522" i="1"/>
  <c r="I2522" i="1"/>
  <c r="J2522" i="1"/>
  <c r="K2522" i="1"/>
  <c r="L2522" i="1"/>
  <c r="A2523" i="1"/>
  <c r="B2523" i="1"/>
  <c r="C2523" i="1"/>
  <c r="D2523" i="1"/>
  <c r="E2523" i="1"/>
  <c r="F2523" i="1"/>
  <c r="G2523" i="1"/>
  <c r="H2523" i="1"/>
  <c r="I2523" i="1"/>
  <c r="J2523" i="1"/>
  <c r="K2523" i="1"/>
  <c r="L2523" i="1"/>
  <c r="A2524" i="1"/>
  <c r="B2524" i="1"/>
  <c r="C2524" i="1"/>
  <c r="D2524" i="1"/>
  <c r="E2524" i="1"/>
  <c r="F2524" i="1"/>
  <c r="G2524" i="1"/>
  <c r="H2524" i="1"/>
  <c r="I2524" i="1"/>
  <c r="J2524" i="1"/>
  <c r="K2524" i="1"/>
  <c r="L2524" i="1"/>
  <c r="A2525" i="1"/>
  <c r="B2525" i="1"/>
  <c r="C2525" i="1"/>
  <c r="D2525" i="1"/>
  <c r="E2525" i="1"/>
  <c r="F2525" i="1"/>
  <c r="G2525" i="1"/>
  <c r="H2525" i="1"/>
  <c r="I2525" i="1"/>
  <c r="J2525" i="1"/>
  <c r="K2525" i="1"/>
  <c r="L2525" i="1"/>
  <c r="A2526" i="1"/>
  <c r="B2526" i="1"/>
  <c r="C2526" i="1"/>
  <c r="D2526" i="1"/>
  <c r="E2526" i="1"/>
  <c r="F2526" i="1"/>
  <c r="G2526" i="1"/>
  <c r="H2526" i="1"/>
  <c r="I2526" i="1"/>
  <c r="J2526" i="1"/>
  <c r="K2526" i="1"/>
  <c r="L2526" i="1"/>
  <c r="A2527" i="1"/>
  <c r="B2527" i="1"/>
  <c r="C2527" i="1"/>
  <c r="D2527" i="1"/>
  <c r="E2527" i="1"/>
  <c r="F2527" i="1"/>
  <c r="G2527" i="1"/>
  <c r="H2527" i="1"/>
  <c r="I2527" i="1"/>
  <c r="J2527" i="1"/>
  <c r="K2527" i="1"/>
  <c r="L2527" i="1"/>
  <c r="A2528" i="1"/>
  <c r="B2528" i="1"/>
  <c r="C2528" i="1"/>
  <c r="D2528" i="1"/>
  <c r="E2528" i="1"/>
  <c r="F2528" i="1"/>
  <c r="G2528" i="1"/>
  <c r="H2528" i="1"/>
  <c r="I2528" i="1"/>
  <c r="J2528" i="1"/>
  <c r="K2528" i="1"/>
  <c r="L2528" i="1"/>
  <c r="A2529" i="1"/>
  <c r="B2529" i="1"/>
  <c r="C2529" i="1"/>
  <c r="D2529" i="1"/>
  <c r="E2529" i="1"/>
  <c r="F2529" i="1"/>
  <c r="G2529" i="1"/>
  <c r="H2529" i="1"/>
  <c r="I2529" i="1"/>
  <c r="J2529" i="1"/>
  <c r="K2529" i="1"/>
  <c r="L2529" i="1"/>
  <c r="A2530" i="1"/>
  <c r="B2530" i="1"/>
  <c r="C2530" i="1"/>
  <c r="D2530" i="1"/>
  <c r="E2530" i="1"/>
  <c r="F2530" i="1"/>
  <c r="G2530" i="1"/>
  <c r="H2530" i="1"/>
  <c r="I2530" i="1"/>
  <c r="J2530" i="1"/>
  <c r="K2530" i="1"/>
  <c r="L2530" i="1"/>
  <c r="A2531" i="1"/>
  <c r="B2531" i="1"/>
  <c r="C2531" i="1"/>
  <c r="D2531" i="1"/>
  <c r="E2531" i="1"/>
  <c r="F2531" i="1"/>
  <c r="G2531" i="1"/>
  <c r="H2531" i="1"/>
  <c r="I2531" i="1"/>
  <c r="J2531" i="1"/>
  <c r="K2531" i="1"/>
  <c r="L2531" i="1"/>
  <c r="A2532" i="1"/>
  <c r="B2532" i="1"/>
  <c r="C2532" i="1"/>
  <c r="D2532" i="1"/>
  <c r="E2532" i="1"/>
  <c r="F2532" i="1"/>
  <c r="G2532" i="1"/>
  <c r="H2532" i="1"/>
  <c r="I2532" i="1"/>
  <c r="J2532" i="1"/>
  <c r="K2532" i="1"/>
  <c r="L2532" i="1"/>
  <c r="A2533" i="1"/>
  <c r="B2533" i="1"/>
  <c r="C2533" i="1"/>
  <c r="D2533" i="1"/>
  <c r="E2533" i="1"/>
  <c r="F2533" i="1"/>
  <c r="G2533" i="1"/>
  <c r="H2533" i="1"/>
  <c r="I2533" i="1"/>
  <c r="J2533" i="1"/>
  <c r="K2533" i="1"/>
  <c r="L2533" i="1"/>
  <c r="A2534" i="1"/>
  <c r="B2534" i="1"/>
  <c r="C2534" i="1"/>
  <c r="D2534" i="1"/>
  <c r="E2534" i="1"/>
  <c r="F2534" i="1"/>
  <c r="G2534" i="1"/>
  <c r="H2534" i="1"/>
  <c r="I2534" i="1"/>
  <c r="J2534" i="1"/>
  <c r="K2534" i="1"/>
  <c r="L2534" i="1"/>
  <c r="A2535" i="1"/>
  <c r="B2535" i="1"/>
  <c r="C2535" i="1"/>
  <c r="D2535" i="1"/>
  <c r="E2535" i="1"/>
  <c r="F2535" i="1"/>
  <c r="G2535" i="1"/>
  <c r="H2535" i="1"/>
  <c r="I2535" i="1"/>
  <c r="J2535" i="1"/>
  <c r="K2535" i="1"/>
  <c r="L2535" i="1"/>
  <c r="A2536" i="1"/>
  <c r="B2536" i="1"/>
  <c r="C2536" i="1"/>
  <c r="D2536" i="1"/>
  <c r="E2536" i="1"/>
  <c r="F2536" i="1"/>
  <c r="G2536" i="1"/>
  <c r="H2536" i="1"/>
  <c r="I2536" i="1"/>
  <c r="J2536" i="1"/>
  <c r="K2536" i="1"/>
  <c r="L2536" i="1"/>
  <c r="A2537" i="1"/>
  <c r="B2537" i="1"/>
  <c r="C2537" i="1"/>
  <c r="D2537" i="1"/>
  <c r="E2537" i="1"/>
  <c r="F2537" i="1"/>
  <c r="G2537" i="1"/>
  <c r="H2537" i="1"/>
  <c r="I2537" i="1"/>
  <c r="J2537" i="1"/>
  <c r="K2537" i="1"/>
  <c r="L2537" i="1"/>
  <c r="A2538" i="1"/>
  <c r="B2538" i="1"/>
  <c r="C2538" i="1"/>
  <c r="D2538" i="1"/>
  <c r="E2538" i="1"/>
  <c r="F2538" i="1"/>
  <c r="G2538" i="1"/>
  <c r="H2538" i="1"/>
  <c r="I2538" i="1"/>
  <c r="J2538" i="1"/>
  <c r="K2538" i="1"/>
  <c r="L2538" i="1"/>
  <c r="A2539" i="1"/>
  <c r="B2539" i="1"/>
  <c r="C2539" i="1"/>
  <c r="D2539" i="1"/>
  <c r="E2539" i="1"/>
  <c r="F2539" i="1"/>
  <c r="G2539" i="1"/>
  <c r="H2539" i="1"/>
  <c r="I2539" i="1"/>
  <c r="J2539" i="1"/>
  <c r="K2539" i="1"/>
  <c r="L2539" i="1"/>
  <c r="A2540" i="1"/>
  <c r="B2540" i="1"/>
  <c r="C2540" i="1"/>
  <c r="D2540" i="1"/>
  <c r="E2540" i="1"/>
  <c r="F2540" i="1"/>
  <c r="G2540" i="1"/>
  <c r="H2540" i="1"/>
  <c r="I2540" i="1"/>
  <c r="J2540" i="1"/>
  <c r="K2540" i="1"/>
  <c r="L2540" i="1"/>
  <c r="A2541" i="1"/>
  <c r="B2541" i="1"/>
  <c r="C2541" i="1"/>
  <c r="D2541" i="1"/>
  <c r="E2541" i="1"/>
  <c r="F2541" i="1"/>
  <c r="G2541" i="1"/>
  <c r="H2541" i="1"/>
  <c r="I2541" i="1"/>
  <c r="J2541" i="1"/>
  <c r="K2541" i="1"/>
  <c r="L2541" i="1"/>
  <c r="A2542" i="1"/>
  <c r="B2542" i="1"/>
  <c r="C2542" i="1"/>
  <c r="D2542" i="1"/>
  <c r="E2542" i="1"/>
  <c r="F2542" i="1"/>
  <c r="G2542" i="1"/>
  <c r="H2542" i="1"/>
  <c r="I2542" i="1"/>
  <c r="J2542" i="1"/>
  <c r="K2542" i="1"/>
  <c r="L2542" i="1"/>
  <c r="A2543" i="1"/>
  <c r="B2543" i="1"/>
  <c r="C2543" i="1"/>
  <c r="D2543" i="1"/>
  <c r="E2543" i="1"/>
  <c r="F2543" i="1"/>
  <c r="G2543" i="1"/>
  <c r="H2543" i="1"/>
  <c r="I2543" i="1"/>
  <c r="J2543" i="1"/>
  <c r="K2543" i="1"/>
  <c r="L2543" i="1"/>
  <c r="A2544" i="1"/>
  <c r="B2544" i="1"/>
  <c r="C2544" i="1"/>
  <c r="D2544" i="1"/>
  <c r="E2544" i="1"/>
  <c r="F2544" i="1"/>
  <c r="G2544" i="1"/>
  <c r="H2544" i="1"/>
  <c r="I2544" i="1"/>
  <c r="J2544" i="1"/>
  <c r="K2544" i="1"/>
  <c r="L2544" i="1"/>
  <c r="A2545" i="1"/>
  <c r="B2545" i="1"/>
  <c r="C2545" i="1"/>
  <c r="D2545" i="1"/>
  <c r="E2545" i="1"/>
  <c r="F2545" i="1"/>
  <c r="G2545" i="1"/>
  <c r="H2545" i="1"/>
  <c r="I2545" i="1"/>
  <c r="J2545" i="1"/>
  <c r="K2545" i="1"/>
  <c r="L2545" i="1"/>
  <c r="A2546" i="1"/>
  <c r="B2546" i="1"/>
  <c r="C2546" i="1"/>
  <c r="D2546" i="1"/>
  <c r="E2546" i="1"/>
  <c r="F2546" i="1"/>
  <c r="G2546" i="1"/>
  <c r="H2546" i="1"/>
  <c r="I2546" i="1"/>
  <c r="J2546" i="1"/>
  <c r="K2546" i="1"/>
  <c r="L2546" i="1"/>
  <c r="A2547" i="1"/>
  <c r="B2547" i="1"/>
  <c r="C2547" i="1"/>
  <c r="D2547" i="1"/>
  <c r="E2547" i="1"/>
  <c r="F2547" i="1"/>
  <c r="G2547" i="1"/>
  <c r="H2547" i="1"/>
  <c r="I2547" i="1"/>
  <c r="J2547" i="1"/>
  <c r="K2547" i="1"/>
  <c r="L2547" i="1"/>
  <c r="A2548" i="1"/>
  <c r="B2548" i="1"/>
  <c r="C2548" i="1"/>
  <c r="D2548" i="1"/>
  <c r="E2548" i="1"/>
  <c r="F2548" i="1"/>
  <c r="G2548" i="1"/>
  <c r="H2548" i="1"/>
  <c r="I2548" i="1"/>
  <c r="J2548" i="1"/>
  <c r="K2548" i="1"/>
  <c r="L2548" i="1"/>
  <c r="A2549" i="1"/>
  <c r="B2549" i="1"/>
  <c r="C2549" i="1"/>
  <c r="D2549" i="1"/>
  <c r="E2549" i="1"/>
  <c r="F2549" i="1"/>
  <c r="G2549" i="1"/>
  <c r="H2549" i="1"/>
  <c r="I2549" i="1"/>
  <c r="J2549" i="1"/>
  <c r="K2549" i="1"/>
  <c r="L2549" i="1"/>
  <c r="A2550" i="1"/>
  <c r="B2550" i="1"/>
  <c r="C2550" i="1"/>
  <c r="D2550" i="1"/>
  <c r="E2550" i="1"/>
  <c r="F2550" i="1"/>
  <c r="G2550" i="1"/>
  <c r="H2550" i="1"/>
  <c r="I2550" i="1"/>
  <c r="J2550" i="1"/>
  <c r="K2550" i="1"/>
  <c r="L2550" i="1"/>
  <c r="A2551" i="1"/>
  <c r="B2551" i="1"/>
  <c r="C2551" i="1"/>
  <c r="D2551" i="1"/>
  <c r="E2551" i="1"/>
  <c r="F2551" i="1"/>
  <c r="G2551" i="1"/>
  <c r="H2551" i="1"/>
  <c r="I2551" i="1"/>
  <c r="J2551" i="1"/>
  <c r="K2551" i="1"/>
  <c r="L2551" i="1"/>
  <c r="A2552" i="1"/>
  <c r="B2552" i="1"/>
  <c r="C2552" i="1"/>
  <c r="D2552" i="1"/>
  <c r="E2552" i="1"/>
  <c r="F2552" i="1"/>
  <c r="G2552" i="1"/>
  <c r="H2552" i="1"/>
  <c r="I2552" i="1"/>
  <c r="J2552" i="1"/>
  <c r="K2552" i="1"/>
  <c r="L2552" i="1"/>
  <c r="A2553" i="1"/>
  <c r="B2553" i="1"/>
  <c r="C2553" i="1"/>
  <c r="D2553" i="1"/>
  <c r="E2553" i="1"/>
  <c r="F2553" i="1"/>
  <c r="G2553" i="1"/>
  <c r="H2553" i="1"/>
  <c r="I2553" i="1"/>
  <c r="J2553" i="1"/>
  <c r="K2553" i="1"/>
  <c r="L2553" i="1"/>
  <c r="A2554" i="1"/>
  <c r="B2554" i="1"/>
  <c r="C2554" i="1"/>
  <c r="D2554" i="1"/>
  <c r="E2554" i="1"/>
  <c r="F2554" i="1"/>
  <c r="G2554" i="1"/>
  <c r="H2554" i="1"/>
  <c r="I2554" i="1"/>
  <c r="J2554" i="1"/>
  <c r="K2554" i="1"/>
  <c r="L2554" i="1"/>
  <c r="A2555" i="1"/>
  <c r="B2555" i="1"/>
  <c r="C2555" i="1"/>
  <c r="D2555" i="1"/>
  <c r="E2555" i="1"/>
  <c r="F2555" i="1"/>
  <c r="G2555" i="1"/>
  <c r="H2555" i="1"/>
  <c r="I2555" i="1"/>
  <c r="J2555" i="1"/>
  <c r="K2555" i="1"/>
  <c r="L2555" i="1"/>
  <c r="A2556" i="1"/>
  <c r="B2556" i="1"/>
  <c r="C2556" i="1"/>
  <c r="D2556" i="1"/>
  <c r="E2556" i="1"/>
  <c r="F2556" i="1"/>
  <c r="G2556" i="1"/>
  <c r="H2556" i="1"/>
  <c r="I2556" i="1"/>
  <c r="J2556" i="1"/>
  <c r="K2556" i="1"/>
  <c r="L2556" i="1"/>
  <c r="A2557" i="1"/>
  <c r="B2557" i="1"/>
  <c r="C2557" i="1"/>
  <c r="D2557" i="1"/>
  <c r="E2557" i="1"/>
  <c r="F2557" i="1"/>
  <c r="G2557" i="1"/>
  <c r="H2557" i="1"/>
  <c r="I2557" i="1"/>
  <c r="J2557" i="1"/>
  <c r="K2557" i="1"/>
  <c r="L2557" i="1"/>
  <c r="A2558" i="1"/>
  <c r="B2558" i="1"/>
  <c r="C2558" i="1"/>
  <c r="D2558" i="1"/>
  <c r="E2558" i="1"/>
  <c r="F2558" i="1"/>
  <c r="G2558" i="1"/>
  <c r="H2558" i="1"/>
  <c r="I2558" i="1"/>
  <c r="J2558" i="1"/>
  <c r="K2558" i="1"/>
  <c r="L2558" i="1"/>
  <c r="A2559" i="1"/>
  <c r="B2559" i="1"/>
  <c r="C2559" i="1"/>
  <c r="D2559" i="1"/>
  <c r="E2559" i="1"/>
  <c r="F2559" i="1"/>
  <c r="G2559" i="1"/>
  <c r="H2559" i="1"/>
  <c r="I2559" i="1"/>
  <c r="J2559" i="1"/>
  <c r="K2559" i="1"/>
  <c r="L2559" i="1"/>
  <c r="A2560" i="1"/>
  <c r="B2560" i="1"/>
  <c r="C2560" i="1"/>
  <c r="D2560" i="1"/>
  <c r="E2560" i="1"/>
  <c r="F2560" i="1"/>
  <c r="G2560" i="1"/>
  <c r="H2560" i="1"/>
  <c r="I2560" i="1"/>
  <c r="J2560" i="1"/>
  <c r="K2560" i="1"/>
  <c r="L2560" i="1"/>
  <c r="A2561" i="1"/>
  <c r="B2561" i="1"/>
  <c r="C2561" i="1"/>
  <c r="D2561" i="1"/>
  <c r="E2561" i="1"/>
  <c r="F2561" i="1"/>
  <c r="G2561" i="1"/>
  <c r="H2561" i="1"/>
  <c r="I2561" i="1"/>
  <c r="J2561" i="1"/>
  <c r="K2561" i="1"/>
  <c r="L2561" i="1"/>
  <c r="A2562" i="1"/>
  <c r="B2562" i="1"/>
  <c r="C2562" i="1"/>
  <c r="D2562" i="1"/>
  <c r="E2562" i="1"/>
  <c r="F2562" i="1"/>
  <c r="G2562" i="1"/>
  <c r="H2562" i="1"/>
  <c r="I2562" i="1"/>
  <c r="J2562" i="1"/>
  <c r="K2562" i="1"/>
  <c r="L2562" i="1"/>
  <c r="A2563" i="1"/>
  <c r="B2563" i="1"/>
  <c r="C2563" i="1"/>
  <c r="D2563" i="1"/>
  <c r="E2563" i="1"/>
  <c r="F2563" i="1"/>
  <c r="G2563" i="1"/>
  <c r="H2563" i="1"/>
  <c r="I2563" i="1"/>
  <c r="J2563" i="1"/>
  <c r="K2563" i="1"/>
  <c r="L2563" i="1"/>
  <c r="A2564" i="1"/>
  <c r="B2564" i="1"/>
  <c r="C2564" i="1"/>
  <c r="D2564" i="1"/>
  <c r="E2564" i="1"/>
  <c r="F2564" i="1"/>
  <c r="G2564" i="1"/>
  <c r="H2564" i="1"/>
  <c r="I2564" i="1"/>
  <c r="J2564" i="1"/>
  <c r="K2564" i="1"/>
  <c r="L2564" i="1"/>
  <c r="A2565" i="1"/>
  <c r="B2565" i="1"/>
  <c r="C2565" i="1"/>
  <c r="D2565" i="1"/>
  <c r="E2565" i="1"/>
  <c r="F2565" i="1"/>
  <c r="G2565" i="1"/>
  <c r="H2565" i="1"/>
  <c r="I2565" i="1"/>
  <c r="J2565" i="1"/>
  <c r="K2565" i="1"/>
  <c r="L2565" i="1"/>
  <c r="A2566" i="1"/>
  <c r="B2566" i="1"/>
  <c r="C2566" i="1"/>
  <c r="D2566" i="1"/>
  <c r="E2566" i="1"/>
  <c r="F2566" i="1"/>
  <c r="G2566" i="1"/>
  <c r="H2566" i="1"/>
  <c r="I2566" i="1"/>
  <c r="J2566" i="1"/>
  <c r="K2566" i="1"/>
  <c r="L2566" i="1"/>
  <c r="A2567" i="1"/>
  <c r="B2567" i="1"/>
  <c r="C2567" i="1"/>
  <c r="D2567" i="1"/>
  <c r="E2567" i="1"/>
  <c r="F2567" i="1"/>
  <c r="G2567" i="1"/>
  <c r="H2567" i="1"/>
  <c r="I2567" i="1"/>
  <c r="J2567" i="1"/>
  <c r="K2567" i="1"/>
  <c r="L2567" i="1"/>
  <c r="A2568" i="1"/>
  <c r="B2568" i="1"/>
  <c r="C2568" i="1"/>
  <c r="D2568" i="1"/>
  <c r="E2568" i="1"/>
  <c r="F2568" i="1"/>
  <c r="G2568" i="1"/>
  <c r="H2568" i="1"/>
  <c r="I2568" i="1"/>
  <c r="J2568" i="1"/>
  <c r="K2568" i="1"/>
  <c r="L2568" i="1"/>
  <c r="A2569" i="1"/>
  <c r="B2569" i="1"/>
  <c r="C2569" i="1"/>
  <c r="D2569" i="1"/>
  <c r="E2569" i="1"/>
  <c r="F2569" i="1"/>
  <c r="G2569" i="1"/>
  <c r="H2569" i="1"/>
  <c r="I2569" i="1"/>
  <c r="J2569" i="1"/>
  <c r="K2569" i="1"/>
  <c r="L2569" i="1"/>
  <c r="A2570" i="1"/>
  <c r="B2570" i="1"/>
  <c r="C2570" i="1"/>
  <c r="D2570" i="1"/>
  <c r="E2570" i="1"/>
  <c r="F2570" i="1"/>
  <c r="G2570" i="1"/>
  <c r="H2570" i="1"/>
  <c r="I2570" i="1"/>
  <c r="J2570" i="1"/>
  <c r="K2570" i="1"/>
  <c r="L2570" i="1"/>
  <c r="A2571" i="1"/>
  <c r="B2571" i="1"/>
  <c r="C2571" i="1"/>
  <c r="D2571" i="1"/>
  <c r="E2571" i="1"/>
  <c r="F2571" i="1"/>
  <c r="G2571" i="1"/>
  <c r="H2571" i="1"/>
  <c r="I2571" i="1"/>
  <c r="J2571" i="1"/>
  <c r="K2571" i="1"/>
  <c r="L2571" i="1"/>
  <c r="A2572" i="1"/>
  <c r="B2572" i="1"/>
  <c r="C2572" i="1"/>
  <c r="D2572" i="1"/>
  <c r="E2572" i="1"/>
  <c r="F2572" i="1"/>
  <c r="G2572" i="1"/>
  <c r="H2572" i="1"/>
  <c r="I2572" i="1"/>
  <c r="J2572" i="1"/>
  <c r="K2572" i="1"/>
  <c r="L2572" i="1"/>
  <c r="A2573" i="1"/>
  <c r="B2573" i="1"/>
  <c r="C2573" i="1"/>
  <c r="D2573" i="1"/>
  <c r="E2573" i="1"/>
  <c r="F2573" i="1"/>
  <c r="G2573" i="1"/>
  <c r="H2573" i="1"/>
  <c r="I2573" i="1"/>
  <c r="J2573" i="1"/>
  <c r="K2573" i="1"/>
  <c r="L2573" i="1"/>
  <c r="A2574" i="1"/>
  <c r="B2574" i="1"/>
  <c r="C2574" i="1"/>
  <c r="D2574" i="1"/>
  <c r="E2574" i="1"/>
  <c r="F2574" i="1"/>
  <c r="G2574" i="1"/>
  <c r="H2574" i="1"/>
  <c r="I2574" i="1"/>
  <c r="J2574" i="1"/>
  <c r="K2574" i="1"/>
  <c r="L2574" i="1"/>
  <c r="A2575" i="1"/>
  <c r="B2575" i="1"/>
  <c r="C2575" i="1"/>
  <c r="D2575" i="1"/>
  <c r="E2575" i="1"/>
  <c r="F2575" i="1"/>
  <c r="G2575" i="1"/>
  <c r="H2575" i="1"/>
  <c r="I2575" i="1"/>
  <c r="J2575" i="1"/>
  <c r="K2575" i="1"/>
  <c r="L2575" i="1"/>
  <c r="A2576" i="1"/>
  <c r="B2576" i="1"/>
  <c r="C2576" i="1"/>
  <c r="D2576" i="1"/>
  <c r="E2576" i="1"/>
  <c r="F2576" i="1"/>
  <c r="G2576" i="1"/>
  <c r="H2576" i="1"/>
  <c r="I2576" i="1"/>
  <c r="J2576" i="1"/>
  <c r="K2576" i="1"/>
  <c r="L2576" i="1"/>
  <c r="A2577" i="1"/>
  <c r="B2577" i="1"/>
  <c r="C2577" i="1"/>
  <c r="D2577" i="1"/>
  <c r="E2577" i="1"/>
  <c r="F2577" i="1"/>
  <c r="G2577" i="1"/>
  <c r="H2577" i="1"/>
  <c r="I2577" i="1"/>
  <c r="J2577" i="1"/>
  <c r="K2577" i="1"/>
  <c r="L2577" i="1"/>
  <c r="A2578" i="1"/>
  <c r="B2578" i="1"/>
  <c r="C2578" i="1"/>
  <c r="D2578" i="1"/>
  <c r="E2578" i="1"/>
  <c r="F2578" i="1"/>
  <c r="G2578" i="1"/>
  <c r="H2578" i="1"/>
  <c r="I2578" i="1"/>
  <c r="J2578" i="1"/>
  <c r="K2578" i="1"/>
  <c r="L2578" i="1"/>
  <c r="A2579" i="1"/>
  <c r="B2579" i="1"/>
  <c r="C2579" i="1"/>
  <c r="D2579" i="1"/>
  <c r="E2579" i="1"/>
  <c r="F2579" i="1"/>
  <c r="G2579" i="1"/>
  <c r="H2579" i="1"/>
  <c r="I2579" i="1"/>
  <c r="J2579" i="1"/>
  <c r="K2579" i="1"/>
  <c r="L2579" i="1"/>
  <c r="A2580" i="1"/>
  <c r="B2580" i="1"/>
  <c r="C2580" i="1"/>
  <c r="D2580" i="1"/>
  <c r="E2580" i="1"/>
  <c r="F2580" i="1"/>
  <c r="G2580" i="1"/>
  <c r="H2580" i="1"/>
  <c r="I2580" i="1"/>
  <c r="J2580" i="1"/>
  <c r="K2580" i="1"/>
  <c r="L2580" i="1"/>
  <c r="A2581" i="1"/>
  <c r="B2581" i="1"/>
  <c r="C2581" i="1"/>
  <c r="D2581" i="1"/>
  <c r="E2581" i="1"/>
  <c r="F2581" i="1"/>
  <c r="G2581" i="1"/>
  <c r="H2581" i="1"/>
  <c r="I2581" i="1"/>
  <c r="J2581" i="1"/>
  <c r="K2581" i="1"/>
  <c r="L2581" i="1"/>
  <c r="A2582" i="1"/>
  <c r="B2582" i="1"/>
  <c r="C2582" i="1"/>
  <c r="D2582" i="1"/>
  <c r="E2582" i="1"/>
  <c r="F2582" i="1"/>
  <c r="G2582" i="1"/>
  <c r="H2582" i="1"/>
  <c r="I2582" i="1"/>
  <c r="J2582" i="1"/>
  <c r="K2582" i="1"/>
  <c r="L2582" i="1"/>
  <c r="A2583" i="1"/>
  <c r="B2583" i="1"/>
  <c r="C2583" i="1"/>
  <c r="D2583" i="1"/>
  <c r="E2583" i="1"/>
  <c r="F2583" i="1"/>
  <c r="G2583" i="1"/>
  <c r="H2583" i="1"/>
  <c r="I2583" i="1"/>
  <c r="J2583" i="1"/>
  <c r="K2583" i="1"/>
  <c r="L2583" i="1"/>
  <c r="A2584" i="1"/>
  <c r="B2584" i="1"/>
  <c r="C2584" i="1"/>
  <c r="D2584" i="1"/>
  <c r="E2584" i="1"/>
  <c r="F2584" i="1"/>
  <c r="G2584" i="1"/>
  <c r="H2584" i="1"/>
  <c r="I2584" i="1"/>
  <c r="J2584" i="1"/>
  <c r="K2584" i="1"/>
  <c r="L2584" i="1"/>
  <c r="A2585" i="1"/>
  <c r="B2585" i="1"/>
  <c r="C2585" i="1"/>
  <c r="D2585" i="1"/>
  <c r="E2585" i="1"/>
  <c r="F2585" i="1"/>
  <c r="G2585" i="1"/>
  <c r="H2585" i="1"/>
  <c r="I2585" i="1"/>
  <c r="J2585" i="1"/>
  <c r="K2585" i="1"/>
  <c r="L2585" i="1"/>
  <c r="A2586" i="1"/>
  <c r="B2586" i="1"/>
  <c r="C2586" i="1"/>
  <c r="D2586" i="1"/>
  <c r="E2586" i="1"/>
  <c r="F2586" i="1"/>
  <c r="G2586" i="1"/>
  <c r="H2586" i="1"/>
  <c r="I2586" i="1"/>
  <c r="J2586" i="1"/>
  <c r="K2586" i="1"/>
  <c r="L2586" i="1"/>
  <c r="A2587" i="1"/>
  <c r="B2587" i="1"/>
  <c r="C2587" i="1"/>
  <c r="D2587" i="1"/>
  <c r="E2587" i="1"/>
  <c r="F2587" i="1"/>
  <c r="G2587" i="1"/>
  <c r="H2587" i="1"/>
  <c r="I2587" i="1"/>
  <c r="J2587" i="1"/>
  <c r="K2587" i="1"/>
  <c r="L2587" i="1"/>
  <c r="A2588" i="1"/>
  <c r="B2588" i="1"/>
  <c r="C2588" i="1"/>
  <c r="D2588" i="1"/>
  <c r="E2588" i="1"/>
  <c r="F2588" i="1"/>
  <c r="G2588" i="1"/>
  <c r="H2588" i="1"/>
  <c r="I2588" i="1"/>
  <c r="J2588" i="1"/>
  <c r="K2588" i="1"/>
  <c r="L2588" i="1"/>
  <c r="A2589" i="1"/>
  <c r="B2589" i="1"/>
  <c r="C2589" i="1"/>
  <c r="D2589" i="1"/>
  <c r="E2589" i="1"/>
  <c r="F2589" i="1"/>
  <c r="G2589" i="1"/>
  <c r="H2589" i="1"/>
  <c r="I2589" i="1"/>
  <c r="J2589" i="1"/>
  <c r="K2589" i="1"/>
  <c r="L2589" i="1"/>
  <c r="A2590" i="1"/>
  <c r="B2590" i="1"/>
  <c r="C2590" i="1"/>
  <c r="D2590" i="1"/>
  <c r="E2590" i="1"/>
  <c r="F2590" i="1"/>
  <c r="G2590" i="1"/>
  <c r="H2590" i="1"/>
  <c r="I2590" i="1"/>
  <c r="J2590" i="1"/>
  <c r="K2590" i="1"/>
  <c r="L2590" i="1"/>
  <c r="A2591" i="1"/>
  <c r="B2591" i="1"/>
  <c r="C2591" i="1"/>
  <c r="D2591" i="1"/>
  <c r="E2591" i="1"/>
  <c r="F2591" i="1"/>
  <c r="G2591" i="1"/>
  <c r="H2591" i="1"/>
  <c r="I2591" i="1"/>
  <c r="J2591" i="1"/>
  <c r="K2591" i="1"/>
  <c r="L2591" i="1"/>
  <c r="A2592" i="1"/>
  <c r="B2592" i="1"/>
  <c r="C2592" i="1"/>
  <c r="D2592" i="1"/>
  <c r="E2592" i="1"/>
  <c r="F2592" i="1"/>
  <c r="G2592" i="1"/>
  <c r="H2592" i="1"/>
  <c r="I2592" i="1"/>
  <c r="J2592" i="1"/>
  <c r="K2592" i="1"/>
  <c r="L2592" i="1"/>
  <c r="A2593" i="1"/>
  <c r="B2593" i="1"/>
  <c r="C2593" i="1"/>
  <c r="D2593" i="1"/>
  <c r="E2593" i="1"/>
  <c r="F2593" i="1"/>
  <c r="G2593" i="1"/>
  <c r="H2593" i="1"/>
  <c r="I2593" i="1"/>
  <c r="J2593" i="1"/>
  <c r="K2593" i="1"/>
  <c r="L2593" i="1"/>
  <c r="A2594" i="1"/>
  <c r="B2594" i="1"/>
  <c r="C2594" i="1"/>
  <c r="D2594" i="1"/>
  <c r="E2594" i="1"/>
  <c r="F2594" i="1"/>
  <c r="G2594" i="1"/>
  <c r="H2594" i="1"/>
  <c r="I2594" i="1"/>
  <c r="J2594" i="1"/>
  <c r="K2594" i="1"/>
  <c r="L2594" i="1"/>
  <c r="A2595" i="1"/>
  <c r="B2595" i="1"/>
  <c r="C2595" i="1"/>
  <c r="D2595" i="1"/>
  <c r="E2595" i="1"/>
  <c r="F2595" i="1"/>
  <c r="G2595" i="1"/>
  <c r="H2595" i="1"/>
  <c r="I2595" i="1"/>
  <c r="J2595" i="1"/>
  <c r="K2595" i="1"/>
  <c r="L2595" i="1"/>
  <c r="A2596" i="1"/>
  <c r="B2596" i="1"/>
  <c r="C2596" i="1"/>
  <c r="D2596" i="1"/>
  <c r="E2596" i="1"/>
  <c r="F2596" i="1"/>
  <c r="G2596" i="1"/>
  <c r="H2596" i="1"/>
  <c r="I2596" i="1"/>
  <c r="J2596" i="1"/>
  <c r="K2596" i="1"/>
  <c r="L2596" i="1"/>
  <c r="A2597" i="1"/>
  <c r="B2597" i="1"/>
  <c r="C2597" i="1"/>
  <c r="D2597" i="1"/>
  <c r="E2597" i="1"/>
  <c r="F2597" i="1"/>
  <c r="G2597" i="1"/>
  <c r="H2597" i="1"/>
  <c r="I2597" i="1"/>
  <c r="J2597" i="1"/>
  <c r="K2597" i="1"/>
  <c r="L2597" i="1"/>
  <c r="A2598" i="1"/>
  <c r="B2598" i="1"/>
  <c r="C2598" i="1"/>
  <c r="D2598" i="1"/>
  <c r="E2598" i="1"/>
  <c r="F2598" i="1"/>
  <c r="G2598" i="1"/>
  <c r="H2598" i="1"/>
  <c r="I2598" i="1"/>
  <c r="J2598" i="1"/>
  <c r="K2598" i="1"/>
  <c r="L2598" i="1"/>
  <c r="A2599" i="1"/>
  <c r="B2599" i="1"/>
  <c r="C2599" i="1"/>
  <c r="D2599" i="1"/>
  <c r="E2599" i="1"/>
  <c r="F2599" i="1"/>
  <c r="G2599" i="1"/>
  <c r="H2599" i="1"/>
  <c r="I2599" i="1"/>
  <c r="J2599" i="1"/>
  <c r="K2599" i="1"/>
  <c r="L2599" i="1"/>
  <c r="A2600" i="1"/>
  <c r="B2600" i="1"/>
  <c r="C2600" i="1"/>
  <c r="D2600" i="1"/>
  <c r="E2600" i="1"/>
  <c r="F2600" i="1"/>
  <c r="G2600" i="1"/>
  <c r="H2600" i="1"/>
  <c r="I2600" i="1"/>
  <c r="J2600" i="1"/>
  <c r="K2600" i="1"/>
  <c r="L2600" i="1"/>
  <c r="A2601" i="1"/>
  <c r="B2601" i="1"/>
  <c r="C2601" i="1"/>
  <c r="D2601" i="1"/>
  <c r="E2601" i="1"/>
  <c r="F2601" i="1"/>
  <c r="G2601" i="1"/>
  <c r="H2601" i="1"/>
  <c r="I2601" i="1"/>
  <c r="J2601" i="1"/>
  <c r="K2601" i="1"/>
  <c r="L2601" i="1"/>
  <c r="A2602" i="1"/>
  <c r="B2602" i="1"/>
  <c r="C2602" i="1"/>
  <c r="D2602" i="1"/>
  <c r="E2602" i="1"/>
  <c r="F2602" i="1"/>
  <c r="G2602" i="1"/>
  <c r="H2602" i="1"/>
  <c r="I2602" i="1"/>
  <c r="J2602" i="1"/>
  <c r="K2602" i="1"/>
  <c r="L2602" i="1"/>
  <c r="A2603" i="1"/>
  <c r="B2603" i="1"/>
  <c r="C2603" i="1"/>
  <c r="D2603" i="1"/>
  <c r="E2603" i="1"/>
  <c r="F2603" i="1"/>
  <c r="G2603" i="1"/>
  <c r="H2603" i="1"/>
  <c r="I2603" i="1"/>
  <c r="J2603" i="1"/>
  <c r="K2603" i="1"/>
  <c r="L2603" i="1"/>
  <c r="A2604" i="1"/>
  <c r="B2604" i="1"/>
  <c r="C2604" i="1"/>
  <c r="D2604" i="1"/>
  <c r="E2604" i="1"/>
  <c r="F2604" i="1"/>
  <c r="G2604" i="1"/>
  <c r="H2604" i="1"/>
  <c r="I2604" i="1"/>
  <c r="J2604" i="1"/>
  <c r="K2604" i="1"/>
  <c r="L2604" i="1"/>
  <c r="A2605" i="1"/>
  <c r="B2605" i="1"/>
  <c r="C2605" i="1"/>
  <c r="D2605" i="1"/>
  <c r="E2605" i="1"/>
  <c r="F2605" i="1"/>
  <c r="G2605" i="1"/>
  <c r="H2605" i="1"/>
  <c r="I2605" i="1"/>
  <c r="J2605" i="1"/>
  <c r="K2605" i="1"/>
  <c r="L2605" i="1"/>
  <c r="A2606" i="1"/>
  <c r="B2606" i="1"/>
  <c r="C2606" i="1"/>
  <c r="D2606" i="1"/>
  <c r="E2606" i="1"/>
  <c r="F2606" i="1"/>
  <c r="G2606" i="1"/>
  <c r="H2606" i="1"/>
  <c r="I2606" i="1"/>
  <c r="J2606" i="1"/>
  <c r="K2606" i="1"/>
  <c r="L2606" i="1"/>
  <c r="A2607" i="1"/>
  <c r="B2607" i="1"/>
  <c r="C2607" i="1"/>
  <c r="D2607" i="1"/>
  <c r="E2607" i="1"/>
  <c r="F2607" i="1"/>
  <c r="G2607" i="1"/>
  <c r="H2607" i="1"/>
  <c r="I2607" i="1"/>
  <c r="J2607" i="1"/>
  <c r="K2607" i="1"/>
  <c r="L2607" i="1"/>
  <c r="A2608" i="1"/>
  <c r="B2608" i="1"/>
  <c r="C2608" i="1"/>
  <c r="D2608" i="1"/>
  <c r="E2608" i="1"/>
  <c r="F2608" i="1"/>
  <c r="G2608" i="1"/>
  <c r="H2608" i="1"/>
  <c r="I2608" i="1"/>
  <c r="J2608" i="1"/>
  <c r="K2608" i="1"/>
  <c r="L2608" i="1"/>
  <c r="A2609" i="1"/>
  <c r="B2609" i="1"/>
  <c r="C2609" i="1"/>
  <c r="D2609" i="1"/>
  <c r="E2609" i="1"/>
  <c r="F2609" i="1"/>
  <c r="G2609" i="1"/>
  <c r="H2609" i="1"/>
  <c r="I2609" i="1"/>
  <c r="J2609" i="1"/>
  <c r="K2609" i="1"/>
  <c r="L2609" i="1"/>
  <c r="A2610" i="1"/>
  <c r="B2610" i="1"/>
  <c r="C2610" i="1"/>
  <c r="D2610" i="1"/>
  <c r="E2610" i="1"/>
  <c r="F2610" i="1"/>
  <c r="G2610" i="1"/>
  <c r="H2610" i="1"/>
  <c r="I2610" i="1"/>
  <c r="J2610" i="1"/>
  <c r="K2610" i="1"/>
  <c r="L2610" i="1"/>
  <c r="A2611" i="1"/>
  <c r="B2611" i="1"/>
  <c r="C2611" i="1"/>
  <c r="D2611" i="1"/>
  <c r="E2611" i="1"/>
  <c r="F2611" i="1"/>
  <c r="G2611" i="1"/>
  <c r="H2611" i="1"/>
  <c r="I2611" i="1"/>
  <c r="J2611" i="1"/>
  <c r="K2611" i="1"/>
  <c r="L2611" i="1"/>
  <c r="A2612" i="1"/>
  <c r="B2612" i="1"/>
  <c r="C2612" i="1"/>
  <c r="D2612" i="1"/>
  <c r="E2612" i="1"/>
  <c r="F2612" i="1"/>
  <c r="G2612" i="1"/>
  <c r="H2612" i="1"/>
  <c r="I2612" i="1"/>
  <c r="J2612" i="1"/>
  <c r="K2612" i="1"/>
  <c r="L2612" i="1"/>
  <c r="A2613" i="1"/>
  <c r="B2613" i="1"/>
  <c r="C2613" i="1"/>
  <c r="D2613" i="1"/>
  <c r="E2613" i="1"/>
  <c r="F2613" i="1"/>
  <c r="G2613" i="1"/>
  <c r="H2613" i="1"/>
  <c r="I2613" i="1"/>
  <c r="J2613" i="1"/>
  <c r="K2613" i="1"/>
  <c r="L2613" i="1"/>
  <c r="A2614" i="1"/>
  <c r="B2614" i="1"/>
  <c r="C2614" i="1"/>
  <c r="D2614" i="1"/>
  <c r="E2614" i="1"/>
  <c r="F2614" i="1"/>
  <c r="G2614" i="1"/>
  <c r="H2614" i="1"/>
  <c r="I2614" i="1"/>
  <c r="J2614" i="1"/>
  <c r="K2614" i="1"/>
  <c r="L2614" i="1"/>
  <c r="A2615" i="1"/>
  <c r="B2615" i="1"/>
  <c r="C2615" i="1"/>
  <c r="D2615" i="1"/>
  <c r="E2615" i="1"/>
  <c r="F2615" i="1"/>
  <c r="G2615" i="1"/>
  <c r="H2615" i="1"/>
  <c r="I2615" i="1"/>
  <c r="J2615" i="1"/>
  <c r="K2615" i="1"/>
  <c r="L2615" i="1"/>
  <c r="A2616" i="1"/>
  <c r="B2616" i="1"/>
  <c r="C2616" i="1"/>
  <c r="D2616" i="1"/>
  <c r="E2616" i="1"/>
  <c r="F2616" i="1"/>
  <c r="G2616" i="1"/>
  <c r="H2616" i="1"/>
  <c r="I2616" i="1"/>
  <c r="J2616" i="1"/>
  <c r="K2616" i="1"/>
  <c r="L2616" i="1"/>
  <c r="A2617" i="1"/>
  <c r="B2617" i="1"/>
  <c r="C2617" i="1"/>
  <c r="D2617" i="1"/>
  <c r="E2617" i="1"/>
  <c r="F2617" i="1"/>
  <c r="G2617" i="1"/>
  <c r="H2617" i="1"/>
  <c r="I2617" i="1"/>
  <c r="J2617" i="1"/>
  <c r="K2617" i="1"/>
  <c r="L2617" i="1"/>
  <c r="A2618" i="1"/>
  <c r="B2618" i="1"/>
  <c r="C2618" i="1"/>
  <c r="D2618" i="1"/>
  <c r="E2618" i="1"/>
  <c r="F2618" i="1"/>
  <c r="G2618" i="1"/>
  <c r="H2618" i="1"/>
  <c r="I2618" i="1"/>
  <c r="J2618" i="1"/>
  <c r="K2618" i="1"/>
  <c r="L2618" i="1"/>
  <c r="A2619" i="1"/>
  <c r="B2619" i="1"/>
  <c r="C2619" i="1"/>
  <c r="D2619" i="1"/>
  <c r="E2619" i="1"/>
  <c r="F2619" i="1"/>
  <c r="G2619" i="1"/>
  <c r="H2619" i="1"/>
  <c r="I2619" i="1"/>
  <c r="J2619" i="1"/>
  <c r="K2619" i="1"/>
  <c r="L2619" i="1"/>
  <c r="A2620" i="1"/>
  <c r="B2620" i="1"/>
  <c r="C2620" i="1"/>
  <c r="D2620" i="1"/>
  <c r="E2620" i="1"/>
  <c r="F2620" i="1"/>
  <c r="G2620" i="1"/>
  <c r="H2620" i="1"/>
  <c r="I2620" i="1"/>
  <c r="J2620" i="1"/>
  <c r="K2620" i="1"/>
  <c r="L2620" i="1"/>
  <c r="A2621" i="1"/>
  <c r="B2621" i="1"/>
  <c r="C2621" i="1"/>
  <c r="D2621" i="1"/>
  <c r="E2621" i="1"/>
  <c r="F2621" i="1"/>
  <c r="G2621" i="1"/>
  <c r="H2621" i="1"/>
  <c r="I2621" i="1"/>
  <c r="J2621" i="1"/>
  <c r="K2621" i="1"/>
  <c r="L2621" i="1"/>
  <c r="A2622" i="1"/>
  <c r="B2622" i="1"/>
  <c r="C2622" i="1"/>
  <c r="D2622" i="1"/>
  <c r="E2622" i="1"/>
  <c r="F2622" i="1"/>
  <c r="G2622" i="1"/>
  <c r="H2622" i="1"/>
  <c r="I2622" i="1"/>
  <c r="J2622" i="1"/>
  <c r="K2622" i="1"/>
  <c r="L2622" i="1"/>
  <c r="A2623" i="1"/>
  <c r="B2623" i="1"/>
  <c r="C2623" i="1"/>
  <c r="D2623" i="1"/>
  <c r="E2623" i="1"/>
  <c r="F2623" i="1"/>
  <c r="G2623" i="1"/>
  <c r="H2623" i="1"/>
  <c r="I2623" i="1"/>
  <c r="J2623" i="1"/>
  <c r="K2623" i="1"/>
  <c r="L2623" i="1"/>
  <c r="A2624" i="1"/>
  <c r="B2624" i="1"/>
  <c r="C2624" i="1"/>
  <c r="D2624" i="1"/>
  <c r="E2624" i="1"/>
  <c r="F2624" i="1"/>
  <c r="G2624" i="1"/>
  <c r="H2624" i="1"/>
  <c r="I2624" i="1"/>
  <c r="J2624" i="1"/>
  <c r="K2624" i="1"/>
  <c r="L2624" i="1"/>
  <c r="A2625" i="1"/>
  <c r="B2625" i="1"/>
  <c r="C2625" i="1"/>
  <c r="D2625" i="1"/>
  <c r="E2625" i="1"/>
  <c r="F2625" i="1"/>
  <c r="G2625" i="1"/>
  <c r="H2625" i="1"/>
  <c r="I2625" i="1"/>
  <c r="J2625" i="1"/>
  <c r="K2625" i="1"/>
  <c r="L2625" i="1"/>
  <c r="A2626" i="1"/>
  <c r="B2626" i="1"/>
  <c r="C2626" i="1"/>
  <c r="D2626" i="1"/>
  <c r="E2626" i="1"/>
  <c r="F2626" i="1"/>
  <c r="G2626" i="1"/>
  <c r="H2626" i="1"/>
  <c r="I2626" i="1"/>
  <c r="J2626" i="1"/>
  <c r="K2626" i="1"/>
  <c r="L2626" i="1"/>
  <c r="A2627" i="1"/>
  <c r="B2627" i="1"/>
  <c r="C2627" i="1"/>
  <c r="D2627" i="1"/>
  <c r="E2627" i="1"/>
  <c r="F2627" i="1"/>
  <c r="G2627" i="1"/>
  <c r="H2627" i="1"/>
  <c r="I2627" i="1"/>
  <c r="J2627" i="1"/>
  <c r="K2627" i="1"/>
  <c r="L2627" i="1"/>
  <c r="A2628" i="1"/>
  <c r="B2628" i="1"/>
  <c r="C2628" i="1"/>
  <c r="D2628" i="1"/>
  <c r="E2628" i="1"/>
  <c r="F2628" i="1"/>
  <c r="G2628" i="1"/>
  <c r="H2628" i="1"/>
  <c r="I2628" i="1"/>
  <c r="J2628" i="1"/>
  <c r="K2628" i="1"/>
  <c r="L2628" i="1"/>
  <c r="A2629" i="1"/>
  <c r="B2629" i="1"/>
  <c r="C2629" i="1"/>
  <c r="D2629" i="1"/>
  <c r="E2629" i="1"/>
  <c r="F2629" i="1"/>
  <c r="G2629" i="1"/>
  <c r="H2629" i="1"/>
  <c r="I2629" i="1"/>
  <c r="J2629" i="1"/>
  <c r="K2629" i="1"/>
  <c r="L2629" i="1"/>
  <c r="A2630" i="1"/>
  <c r="B2630" i="1"/>
  <c r="C2630" i="1"/>
  <c r="D2630" i="1"/>
  <c r="E2630" i="1"/>
  <c r="F2630" i="1"/>
  <c r="G2630" i="1"/>
  <c r="H2630" i="1"/>
  <c r="I2630" i="1"/>
  <c r="J2630" i="1"/>
  <c r="K2630" i="1"/>
  <c r="L2630" i="1"/>
  <c r="A2631" i="1"/>
  <c r="B2631" i="1"/>
  <c r="C2631" i="1"/>
  <c r="D2631" i="1"/>
  <c r="E2631" i="1"/>
  <c r="F2631" i="1"/>
  <c r="G2631" i="1"/>
  <c r="H2631" i="1"/>
  <c r="I2631" i="1"/>
  <c r="J2631" i="1"/>
  <c r="K2631" i="1"/>
  <c r="L2631" i="1"/>
  <c r="A2632" i="1"/>
  <c r="B2632" i="1"/>
  <c r="C2632" i="1"/>
  <c r="D2632" i="1"/>
  <c r="E2632" i="1"/>
  <c r="F2632" i="1"/>
  <c r="G2632" i="1"/>
  <c r="H2632" i="1"/>
  <c r="I2632" i="1"/>
  <c r="J2632" i="1"/>
  <c r="K2632" i="1"/>
  <c r="L2632" i="1"/>
  <c r="A2633" i="1"/>
  <c r="B2633" i="1"/>
  <c r="C2633" i="1"/>
  <c r="D2633" i="1"/>
  <c r="E2633" i="1"/>
  <c r="F2633" i="1"/>
  <c r="G2633" i="1"/>
  <c r="H2633" i="1"/>
  <c r="I2633" i="1"/>
  <c r="J2633" i="1"/>
  <c r="K2633" i="1"/>
  <c r="L2633" i="1"/>
  <c r="A2634" i="1"/>
  <c r="B2634" i="1"/>
  <c r="C2634" i="1"/>
  <c r="D2634" i="1"/>
  <c r="E2634" i="1"/>
  <c r="F2634" i="1"/>
  <c r="G2634" i="1"/>
  <c r="H2634" i="1"/>
  <c r="I2634" i="1"/>
  <c r="J2634" i="1"/>
  <c r="K2634" i="1"/>
  <c r="L2634" i="1"/>
  <c r="A2635" i="1"/>
  <c r="B2635" i="1"/>
  <c r="C2635" i="1"/>
  <c r="D2635" i="1"/>
  <c r="E2635" i="1"/>
  <c r="F2635" i="1"/>
  <c r="G2635" i="1"/>
  <c r="H2635" i="1"/>
  <c r="I2635" i="1"/>
  <c r="J2635" i="1"/>
  <c r="K2635" i="1"/>
  <c r="L2635" i="1"/>
  <c r="A2636" i="1"/>
  <c r="B2636" i="1"/>
  <c r="C2636" i="1"/>
  <c r="D2636" i="1"/>
  <c r="E2636" i="1"/>
  <c r="F2636" i="1"/>
  <c r="G2636" i="1"/>
  <c r="H2636" i="1"/>
  <c r="I2636" i="1"/>
  <c r="J2636" i="1"/>
  <c r="K2636" i="1"/>
  <c r="L2636" i="1"/>
  <c r="A2637" i="1"/>
  <c r="B2637" i="1"/>
  <c r="C2637" i="1"/>
  <c r="D2637" i="1"/>
  <c r="E2637" i="1"/>
  <c r="F2637" i="1"/>
  <c r="G2637" i="1"/>
  <c r="H2637" i="1"/>
  <c r="I2637" i="1"/>
  <c r="J2637" i="1"/>
  <c r="K2637" i="1"/>
  <c r="L2637" i="1"/>
  <c r="A2638" i="1"/>
  <c r="B2638" i="1"/>
  <c r="C2638" i="1"/>
  <c r="D2638" i="1"/>
  <c r="E2638" i="1"/>
  <c r="F2638" i="1"/>
  <c r="G2638" i="1"/>
  <c r="H2638" i="1"/>
  <c r="I2638" i="1"/>
  <c r="J2638" i="1"/>
  <c r="K2638" i="1"/>
  <c r="L2638" i="1"/>
  <c r="A2639" i="1"/>
  <c r="B2639" i="1"/>
  <c r="C2639" i="1"/>
  <c r="D2639" i="1"/>
  <c r="E2639" i="1"/>
  <c r="F2639" i="1"/>
  <c r="G2639" i="1"/>
  <c r="H2639" i="1"/>
  <c r="I2639" i="1"/>
  <c r="J2639" i="1"/>
  <c r="K2639" i="1"/>
  <c r="L2639" i="1"/>
  <c r="A2640" i="1"/>
  <c r="B2640" i="1"/>
  <c r="C2640" i="1"/>
  <c r="D2640" i="1"/>
  <c r="E2640" i="1"/>
  <c r="F2640" i="1"/>
  <c r="G2640" i="1"/>
  <c r="H2640" i="1"/>
  <c r="I2640" i="1"/>
  <c r="J2640" i="1"/>
  <c r="K2640" i="1"/>
  <c r="L2640" i="1"/>
  <c r="A2641" i="1"/>
  <c r="B2641" i="1"/>
  <c r="C2641" i="1"/>
  <c r="D2641" i="1"/>
  <c r="E2641" i="1"/>
  <c r="F2641" i="1"/>
  <c r="G2641" i="1"/>
  <c r="H2641" i="1"/>
  <c r="I2641" i="1"/>
  <c r="J2641" i="1"/>
  <c r="K2641" i="1"/>
  <c r="L2641" i="1"/>
  <c r="A2642" i="1"/>
  <c r="B2642" i="1"/>
  <c r="C2642" i="1"/>
  <c r="D2642" i="1"/>
  <c r="E2642" i="1"/>
  <c r="F2642" i="1"/>
  <c r="G2642" i="1"/>
  <c r="H2642" i="1"/>
  <c r="I2642" i="1"/>
  <c r="J2642" i="1"/>
  <c r="K2642" i="1"/>
  <c r="L2642" i="1"/>
  <c r="A2643" i="1"/>
  <c r="B2643" i="1"/>
  <c r="C2643" i="1"/>
  <c r="D2643" i="1"/>
  <c r="E2643" i="1"/>
  <c r="F2643" i="1"/>
  <c r="G2643" i="1"/>
  <c r="H2643" i="1"/>
  <c r="I2643" i="1"/>
  <c r="J2643" i="1"/>
  <c r="K2643" i="1"/>
  <c r="L2643" i="1"/>
  <c r="A2644" i="1"/>
  <c r="B2644" i="1"/>
  <c r="C2644" i="1"/>
  <c r="D2644" i="1"/>
  <c r="E2644" i="1"/>
  <c r="F2644" i="1"/>
  <c r="G2644" i="1"/>
  <c r="H2644" i="1"/>
  <c r="I2644" i="1"/>
  <c r="J2644" i="1"/>
  <c r="K2644" i="1"/>
  <c r="L2644" i="1"/>
  <c r="A2645" i="1"/>
  <c r="B2645" i="1"/>
  <c r="C2645" i="1"/>
  <c r="D2645" i="1"/>
  <c r="E2645" i="1"/>
  <c r="F2645" i="1"/>
  <c r="G2645" i="1"/>
  <c r="H2645" i="1"/>
  <c r="I2645" i="1"/>
  <c r="J2645" i="1"/>
  <c r="K2645" i="1"/>
  <c r="L2645" i="1"/>
  <c r="A2646" i="1"/>
  <c r="B2646" i="1"/>
  <c r="C2646" i="1"/>
  <c r="D2646" i="1"/>
  <c r="E2646" i="1"/>
  <c r="F2646" i="1"/>
  <c r="G2646" i="1"/>
  <c r="H2646" i="1"/>
  <c r="I2646" i="1"/>
  <c r="J2646" i="1"/>
  <c r="K2646" i="1"/>
  <c r="L2646" i="1"/>
  <c r="A2647" i="1"/>
  <c r="B2647" i="1"/>
  <c r="C2647" i="1"/>
  <c r="D2647" i="1"/>
  <c r="E2647" i="1"/>
  <c r="F2647" i="1"/>
  <c r="G2647" i="1"/>
  <c r="H2647" i="1"/>
  <c r="I2647" i="1"/>
  <c r="J2647" i="1"/>
  <c r="K2647" i="1"/>
  <c r="L2647" i="1"/>
  <c r="A2648" i="1"/>
  <c r="B2648" i="1"/>
  <c r="C2648" i="1"/>
  <c r="D2648" i="1"/>
  <c r="E2648" i="1"/>
  <c r="F2648" i="1"/>
  <c r="G2648" i="1"/>
  <c r="H2648" i="1"/>
  <c r="I2648" i="1"/>
  <c r="J2648" i="1"/>
  <c r="K2648" i="1"/>
  <c r="L2648" i="1"/>
  <c r="A2649" i="1"/>
  <c r="B2649" i="1"/>
  <c r="C2649" i="1"/>
  <c r="D2649" i="1"/>
  <c r="E2649" i="1"/>
  <c r="F2649" i="1"/>
  <c r="G2649" i="1"/>
  <c r="H2649" i="1"/>
  <c r="I2649" i="1"/>
  <c r="J2649" i="1"/>
  <c r="K2649" i="1"/>
  <c r="L2649" i="1"/>
  <c r="A2650" i="1"/>
  <c r="B2650" i="1"/>
  <c r="C2650" i="1"/>
  <c r="D2650" i="1"/>
  <c r="E2650" i="1"/>
  <c r="F2650" i="1"/>
  <c r="G2650" i="1"/>
  <c r="H2650" i="1"/>
  <c r="I2650" i="1"/>
  <c r="J2650" i="1"/>
  <c r="K2650" i="1"/>
  <c r="L2650" i="1"/>
  <c r="A2651" i="1"/>
  <c r="B2651" i="1"/>
  <c r="C2651" i="1"/>
  <c r="D2651" i="1"/>
  <c r="E2651" i="1"/>
  <c r="F2651" i="1"/>
  <c r="G2651" i="1"/>
  <c r="H2651" i="1"/>
  <c r="I2651" i="1"/>
  <c r="J2651" i="1"/>
  <c r="K2651" i="1"/>
  <c r="L2651" i="1"/>
  <c r="A2652" i="1"/>
  <c r="B2652" i="1"/>
  <c r="C2652" i="1"/>
  <c r="D2652" i="1"/>
  <c r="E2652" i="1"/>
  <c r="F2652" i="1"/>
  <c r="G2652" i="1"/>
  <c r="H2652" i="1"/>
  <c r="I2652" i="1"/>
  <c r="J2652" i="1"/>
  <c r="K2652" i="1"/>
  <c r="L2652" i="1"/>
  <c r="A2653" i="1"/>
  <c r="B2653" i="1"/>
  <c r="C2653" i="1"/>
  <c r="D2653" i="1"/>
  <c r="E2653" i="1"/>
  <c r="F2653" i="1"/>
  <c r="G2653" i="1"/>
  <c r="H2653" i="1"/>
  <c r="I2653" i="1"/>
  <c r="J2653" i="1"/>
  <c r="K2653" i="1"/>
  <c r="L2653" i="1"/>
  <c r="A2654" i="1"/>
  <c r="B2654" i="1"/>
  <c r="C2654" i="1"/>
  <c r="D2654" i="1"/>
  <c r="E2654" i="1"/>
  <c r="F2654" i="1"/>
  <c r="G2654" i="1"/>
  <c r="H2654" i="1"/>
  <c r="I2654" i="1"/>
  <c r="J2654" i="1"/>
  <c r="K2654" i="1"/>
  <c r="L2654" i="1"/>
  <c r="A2655" i="1"/>
  <c r="B2655" i="1"/>
  <c r="C2655" i="1"/>
  <c r="D2655" i="1"/>
  <c r="E2655" i="1"/>
  <c r="F2655" i="1"/>
  <c r="G2655" i="1"/>
  <c r="H2655" i="1"/>
  <c r="I2655" i="1"/>
  <c r="J2655" i="1"/>
  <c r="K2655" i="1"/>
  <c r="L2655" i="1"/>
  <c r="A2656" i="1"/>
  <c r="B2656" i="1"/>
  <c r="C2656" i="1"/>
  <c r="D2656" i="1"/>
  <c r="E2656" i="1"/>
  <c r="F2656" i="1"/>
  <c r="G2656" i="1"/>
  <c r="H2656" i="1"/>
  <c r="I2656" i="1"/>
  <c r="J2656" i="1"/>
  <c r="K2656" i="1"/>
  <c r="L2656" i="1"/>
  <c r="A2657" i="1"/>
  <c r="B2657" i="1"/>
  <c r="C2657" i="1"/>
  <c r="D2657" i="1"/>
  <c r="E2657" i="1"/>
  <c r="F2657" i="1"/>
  <c r="G2657" i="1"/>
  <c r="H2657" i="1"/>
  <c r="I2657" i="1"/>
  <c r="J2657" i="1"/>
  <c r="K2657" i="1"/>
  <c r="L2657" i="1"/>
  <c r="A2658" i="1"/>
  <c r="B2658" i="1"/>
  <c r="C2658" i="1"/>
  <c r="D2658" i="1"/>
  <c r="E2658" i="1"/>
  <c r="F2658" i="1"/>
  <c r="G2658" i="1"/>
  <c r="H2658" i="1"/>
  <c r="I2658" i="1"/>
  <c r="J2658" i="1"/>
  <c r="K2658" i="1"/>
  <c r="L2658" i="1"/>
  <c r="A2659" i="1"/>
  <c r="B2659" i="1"/>
  <c r="C2659" i="1"/>
  <c r="D2659" i="1"/>
  <c r="E2659" i="1"/>
  <c r="F2659" i="1"/>
  <c r="G2659" i="1"/>
  <c r="H2659" i="1"/>
  <c r="I2659" i="1"/>
  <c r="J2659" i="1"/>
  <c r="K2659" i="1"/>
  <c r="L2659" i="1"/>
  <c r="A2660" i="1"/>
  <c r="B2660" i="1"/>
  <c r="C2660" i="1"/>
  <c r="D2660" i="1"/>
  <c r="E2660" i="1"/>
  <c r="F2660" i="1"/>
  <c r="G2660" i="1"/>
  <c r="H2660" i="1"/>
  <c r="I2660" i="1"/>
  <c r="J2660" i="1"/>
  <c r="K2660" i="1"/>
  <c r="L2660" i="1"/>
  <c r="A2661" i="1"/>
  <c r="B2661" i="1"/>
  <c r="C2661" i="1"/>
  <c r="D2661" i="1"/>
  <c r="E2661" i="1"/>
  <c r="F2661" i="1"/>
  <c r="G2661" i="1"/>
  <c r="H2661" i="1"/>
  <c r="I2661" i="1"/>
  <c r="J2661" i="1"/>
  <c r="K2661" i="1"/>
  <c r="L2661" i="1"/>
  <c r="A2662" i="1"/>
  <c r="B2662" i="1"/>
  <c r="C2662" i="1"/>
  <c r="D2662" i="1"/>
  <c r="E2662" i="1"/>
  <c r="F2662" i="1"/>
  <c r="G2662" i="1"/>
  <c r="H2662" i="1"/>
  <c r="I2662" i="1"/>
  <c r="J2662" i="1"/>
  <c r="K2662" i="1"/>
  <c r="L2662" i="1"/>
  <c r="A2663" i="1"/>
  <c r="B2663" i="1"/>
  <c r="C2663" i="1"/>
  <c r="D2663" i="1"/>
  <c r="E2663" i="1"/>
  <c r="F2663" i="1"/>
  <c r="G2663" i="1"/>
  <c r="H2663" i="1"/>
  <c r="I2663" i="1"/>
  <c r="J2663" i="1"/>
  <c r="K2663" i="1"/>
  <c r="L2663" i="1"/>
  <c r="A2664" i="1"/>
  <c r="B2664" i="1"/>
  <c r="C2664" i="1"/>
  <c r="D2664" i="1"/>
  <c r="E2664" i="1"/>
  <c r="F2664" i="1"/>
  <c r="G2664" i="1"/>
  <c r="H2664" i="1"/>
  <c r="I2664" i="1"/>
  <c r="J2664" i="1"/>
  <c r="K2664" i="1"/>
  <c r="L2664" i="1"/>
  <c r="A2665" i="1"/>
  <c r="B2665" i="1"/>
  <c r="C2665" i="1"/>
  <c r="D2665" i="1"/>
  <c r="E2665" i="1"/>
  <c r="F2665" i="1"/>
  <c r="G2665" i="1"/>
  <c r="H2665" i="1"/>
  <c r="I2665" i="1"/>
  <c r="J2665" i="1"/>
  <c r="K2665" i="1"/>
  <c r="L2665" i="1"/>
  <c r="A2666" i="1"/>
  <c r="B2666" i="1"/>
  <c r="C2666" i="1"/>
  <c r="D2666" i="1"/>
  <c r="E2666" i="1"/>
  <c r="F2666" i="1"/>
  <c r="G2666" i="1"/>
  <c r="H2666" i="1"/>
  <c r="I2666" i="1"/>
  <c r="J2666" i="1"/>
  <c r="K2666" i="1"/>
  <c r="L2666" i="1"/>
  <c r="A2667" i="1"/>
  <c r="B2667" i="1"/>
  <c r="C2667" i="1"/>
  <c r="D2667" i="1"/>
  <c r="E2667" i="1"/>
  <c r="F2667" i="1"/>
  <c r="G2667" i="1"/>
  <c r="H2667" i="1"/>
  <c r="I2667" i="1"/>
  <c r="J2667" i="1"/>
  <c r="K2667" i="1"/>
  <c r="L2667" i="1"/>
  <c r="A2668" i="1"/>
  <c r="B2668" i="1"/>
  <c r="C2668" i="1"/>
  <c r="D2668" i="1"/>
  <c r="E2668" i="1"/>
  <c r="F2668" i="1"/>
  <c r="G2668" i="1"/>
  <c r="H2668" i="1"/>
  <c r="I2668" i="1"/>
  <c r="J2668" i="1"/>
  <c r="K2668" i="1"/>
  <c r="L2668" i="1"/>
  <c r="A2669" i="1"/>
  <c r="B2669" i="1"/>
  <c r="C2669" i="1"/>
  <c r="D2669" i="1"/>
  <c r="E2669" i="1"/>
  <c r="F2669" i="1"/>
  <c r="G2669" i="1"/>
  <c r="H2669" i="1"/>
  <c r="I2669" i="1"/>
  <c r="J2669" i="1"/>
  <c r="K2669" i="1"/>
  <c r="L2669" i="1"/>
  <c r="A2670" i="1"/>
  <c r="B2670" i="1"/>
  <c r="C2670" i="1"/>
  <c r="D2670" i="1"/>
  <c r="E2670" i="1"/>
  <c r="F2670" i="1"/>
  <c r="G2670" i="1"/>
  <c r="H2670" i="1"/>
  <c r="I2670" i="1"/>
  <c r="J2670" i="1"/>
  <c r="K2670" i="1"/>
  <c r="L2670" i="1"/>
  <c r="A2671" i="1"/>
  <c r="B2671" i="1"/>
  <c r="C2671" i="1"/>
  <c r="D2671" i="1"/>
  <c r="E2671" i="1"/>
  <c r="F2671" i="1"/>
  <c r="G2671" i="1"/>
  <c r="H2671" i="1"/>
  <c r="I2671" i="1"/>
  <c r="J2671" i="1"/>
  <c r="K2671" i="1"/>
  <c r="L2671" i="1"/>
  <c r="A2672" i="1"/>
  <c r="B2672" i="1"/>
  <c r="C2672" i="1"/>
  <c r="D2672" i="1"/>
  <c r="E2672" i="1"/>
  <c r="F2672" i="1"/>
  <c r="G2672" i="1"/>
  <c r="H2672" i="1"/>
  <c r="I2672" i="1"/>
  <c r="J2672" i="1"/>
  <c r="K2672" i="1"/>
  <c r="L2672" i="1"/>
  <c r="A2673" i="1"/>
  <c r="B2673" i="1"/>
  <c r="C2673" i="1"/>
  <c r="D2673" i="1"/>
  <c r="E2673" i="1"/>
  <c r="F2673" i="1"/>
  <c r="G2673" i="1"/>
  <c r="H2673" i="1"/>
  <c r="I2673" i="1"/>
  <c r="J2673" i="1"/>
  <c r="K2673" i="1"/>
  <c r="L2673" i="1"/>
  <c r="A2674" i="1"/>
  <c r="B2674" i="1"/>
  <c r="C2674" i="1"/>
  <c r="D2674" i="1"/>
  <c r="E2674" i="1"/>
  <c r="F2674" i="1"/>
  <c r="G2674" i="1"/>
  <c r="H2674" i="1"/>
  <c r="I2674" i="1"/>
  <c r="J2674" i="1"/>
  <c r="K2674" i="1"/>
  <c r="L2674" i="1"/>
  <c r="A2675" i="1"/>
  <c r="B2675" i="1"/>
  <c r="C2675" i="1"/>
  <c r="D2675" i="1"/>
  <c r="E2675" i="1"/>
  <c r="F2675" i="1"/>
  <c r="G2675" i="1"/>
  <c r="H2675" i="1"/>
  <c r="I2675" i="1"/>
  <c r="J2675" i="1"/>
  <c r="K2675" i="1"/>
  <c r="L2675" i="1"/>
  <c r="A2676" i="1"/>
  <c r="B2676" i="1"/>
  <c r="C2676" i="1"/>
  <c r="D2676" i="1"/>
  <c r="E2676" i="1"/>
  <c r="F2676" i="1"/>
  <c r="G2676" i="1"/>
  <c r="H2676" i="1"/>
  <c r="I2676" i="1"/>
  <c r="J2676" i="1"/>
  <c r="K2676" i="1"/>
  <c r="L2676" i="1"/>
  <c r="A2677" i="1"/>
  <c r="B2677" i="1"/>
  <c r="C2677" i="1"/>
  <c r="D2677" i="1"/>
  <c r="E2677" i="1"/>
  <c r="F2677" i="1"/>
  <c r="G2677" i="1"/>
  <c r="H2677" i="1"/>
  <c r="I2677" i="1"/>
  <c r="J2677" i="1"/>
  <c r="K2677" i="1"/>
  <c r="L2677" i="1"/>
  <c r="A2678" i="1"/>
  <c r="B2678" i="1"/>
  <c r="C2678" i="1"/>
  <c r="D2678" i="1"/>
  <c r="E2678" i="1"/>
  <c r="F2678" i="1"/>
  <c r="G2678" i="1"/>
  <c r="H2678" i="1"/>
  <c r="I2678" i="1"/>
  <c r="J2678" i="1"/>
  <c r="K2678" i="1"/>
  <c r="L2678" i="1"/>
  <c r="A2679" i="1"/>
  <c r="B2679" i="1"/>
  <c r="C2679" i="1"/>
  <c r="D2679" i="1"/>
  <c r="E2679" i="1"/>
  <c r="F2679" i="1"/>
  <c r="G2679" i="1"/>
  <c r="H2679" i="1"/>
  <c r="I2679" i="1"/>
  <c r="J2679" i="1"/>
  <c r="K2679" i="1"/>
  <c r="L2679" i="1"/>
  <c r="A2680" i="1"/>
  <c r="B2680" i="1"/>
  <c r="C2680" i="1"/>
  <c r="D2680" i="1"/>
  <c r="E2680" i="1"/>
  <c r="F2680" i="1"/>
  <c r="G2680" i="1"/>
  <c r="H2680" i="1"/>
  <c r="I2680" i="1"/>
  <c r="J2680" i="1"/>
  <c r="K2680" i="1"/>
  <c r="L2680" i="1"/>
  <c r="A2681" i="1"/>
  <c r="B2681" i="1"/>
  <c r="C2681" i="1"/>
  <c r="D2681" i="1"/>
  <c r="E2681" i="1"/>
  <c r="F2681" i="1"/>
  <c r="G2681" i="1"/>
  <c r="H2681" i="1"/>
  <c r="I2681" i="1"/>
  <c r="J2681" i="1"/>
  <c r="K2681" i="1"/>
  <c r="L2681" i="1"/>
  <c r="A2682" i="1"/>
  <c r="B2682" i="1"/>
  <c r="C2682" i="1"/>
  <c r="D2682" i="1"/>
  <c r="E2682" i="1"/>
  <c r="F2682" i="1"/>
  <c r="G2682" i="1"/>
  <c r="H2682" i="1"/>
  <c r="I2682" i="1"/>
  <c r="J2682" i="1"/>
  <c r="K2682" i="1"/>
  <c r="L2682" i="1"/>
  <c r="A2683" i="1"/>
  <c r="B2683" i="1"/>
  <c r="C2683" i="1"/>
  <c r="D2683" i="1"/>
  <c r="E2683" i="1"/>
  <c r="F2683" i="1"/>
  <c r="G2683" i="1"/>
  <c r="H2683" i="1"/>
  <c r="I2683" i="1"/>
  <c r="J2683" i="1"/>
  <c r="K2683" i="1"/>
  <c r="L2683" i="1"/>
  <c r="A2684" i="1"/>
  <c r="B2684" i="1"/>
  <c r="C2684" i="1"/>
  <c r="D2684" i="1"/>
  <c r="E2684" i="1"/>
  <c r="F2684" i="1"/>
  <c r="G2684" i="1"/>
  <c r="H2684" i="1"/>
  <c r="I2684" i="1"/>
  <c r="J2684" i="1"/>
  <c r="K2684" i="1"/>
  <c r="L2684" i="1"/>
  <c r="A2685" i="1"/>
  <c r="B2685" i="1"/>
  <c r="C2685" i="1"/>
  <c r="D2685" i="1"/>
  <c r="E2685" i="1"/>
  <c r="F2685" i="1"/>
  <c r="G2685" i="1"/>
  <c r="H2685" i="1"/>
  <c r="I2685" i="1"/>
  <c r="J2685" i="1"/>
  <c r="K2685" i="1"/>
  <c r="L2685" i="1"/>
  <c r="A2686" i="1"/>
  <c r="B2686" i="1"/>
  <c r="C2686" i="1"/>
  <c r="D2686" i="1"/>
  <c r="E2686" i="1"/>
  <c r="F2686" i="1"/>
  <c r="G2686" i="1"/>
  <c r="H2686" i="1"/>
  <c r="I2686" i="1"/>
  <c r="J2686" i="1"/>
  <c r="K2686" i="1"/>
  <c r="L2686" i="1"/>
  <c r="A2687" i="1"/>
  <c r="B2687" i="1"/>
  <c r="C2687" i="1"/>
  <c r="D2687" i="1"/>
  <c r="E2687" i="1"/>
  <c r="F2687" i="1"/>
  <c r="G2687" i="1"/>
  <c r="H2687" i="1"/>
  <c r="I2687" i="1"/>
  <c r="J2687" i="1"/>
  <c r="K2687" i="1"/>
  <c r="L2687" i="1"/>
  <c r="A2688" i="1"/>
  <c r="B2688" i="1"/>
  <c r="C2688" i="1"/>
  <c r="D2688" i="1"/>
  <c r="E2688" i="1"/>
  <c r="F2688" i="1"/>
  <c r="G2688" i="1"/>
  <c r="H2688" i="1"/>
  <c r="I2688" i="1"/>
  <c r="J2688" i="1"/>
  <c r="K2688" i="1"/>
  <c r="L2688" i="1"/>
  <c r="A2689" i="1"/>
  <c r="B2689" i="1"/>
  <c r="C2689" i="1"/>
  <c r="D2689" i="1"/>
  <c r="E2689" i="1"/>
  <c r="F2689" i="1"/>
  <c r="G2689" i="1"/>
  <c r="H2689" i="1"/>
  <c r="I2689" i="1"/>
  <c r="J2689" i="1"/>
  <c r="K2689" i="1"/>
  <c r="L2689" i="1"/>
  <c r="A2690" i="1"/>
  <c r="B2690" i="1"/>
  <c r="C2690" i="1"/>
  <c r="D2690" i="1"/>
  <c r="E2690" i="1"/>
  <c r="F2690" i="1"/>
  <c r="G2690" i="1"/>
  <c r="H2690" i="1"/>
  <c r="I2690" i="1"/>
  <c r="J2690" i="1"/>
  <c r="K2690" i="1"/>
  <c r="L2690" i="1"/>
  <c r="A2691" i="1"/>
  <c r="B2691" i="1"/>
  <c r="C2691" i="1"/>
  <c r="D2691" i="1"/>
  <c r="E2691" i="1"/>
  <c r="F2691" i="1"/>
  <c r="G2691" i="1"/>
  <c r="H2691" i="1"/>
  <c r="I2691" i="1"/>
  <c r="J2691" i="1"/>
  <c r="K2691" i="1"/>
  <c r="L2691" i="1"/>
  <c r="A2692" i="1"/>
  <c r="B2692" i="1"/>
  <c r="C2692" i="1"/>
  <c r="D2692" i="1"/>
  <c r="E2692" i="1"/>
  <c r="F2692" i="1"/>
  <c r="G2692" i="1"/>
  <c r="H2692" i="1"/>
  <c r="I2692" i="1"/>
  <c r="J2692" i="1"/>
  <c r="K2692" i="1"/>
  <c r="L2692" i="1"/>
  <c r="A2693" i="1"/>
  <c r="B2693" i="1"/>
  <c r="C2693" i="1"/>
  <c r="D2693" i="1"/>
  <c r="E2693" i="1"/>
  <c r="F2693" i="1"/>
  <c r="G2693" i="1"/>
  <c r="H2693" i="1"/>
  <c r="I2693" i="1"/>
  <c r="J2693" i="1"/>
  <c r="K2693" i="1"/>
  <c r="L2693" i="1"/>
  <c r="A2694" i="1"/>
  <c r="B2694" i="1"/>
  <c r="C2694" i="1"/>
  <c r="D2694" i="1"/>
  <c r="E2694" i="1"/>
  <c r="F2694" i="1"/>
  <c r="G2694" i="1"/>
  <c r="H2694" i="1"/>
  <c r="I2694" i="1"/>
  <c r="J2694" i="1"/>
  <c r="K2694" i="1"/>
  <c r="L2694" i="1"/>
  <c r="A2695" i="1"/>
  <c r="B2695" i="1"/>
  <c r="C2695" i="1"/>
  <c r="D2695" i="1"/>
  <c r="E2695" i="1"/>
  <c r="F2695" i="1"/>
  <c r="G2695" i="1"/>
  <c r="H2695" i="1"/>
  <c r="I2695" i="1"/>
  <c r="J2695" i="1"/>
  <c r="K2695" i="1"/>
  <c r="L2695" i="1"/>
  <c r="A2696" i="1"/>
  <c r="B2696" i="1"/>
  <c r="C2696" i="1"/>
  <c r="D2696" i="1"/>
  <c r="E2696" i="1"/>
  <c r="F2696" i="1"/>
  <c r="G2696" i="1"/>
  <c r="H2696" i="1"/>
  <c r="I2696" i="1"/>
  <c r="J2696" i="1"/>
  <c r="K2696" i="1"/>
  <c r="L2696" i="1"/>
  <c r="A2697" i="1"/>
  <c r="B2697" i="1"/>
  <c r="C2697" i="1"/>
  <c r="D2697" i="1"/>
  <c r="E2697" i="1"/>
  <c r="F2697" i="1"/>
  <c r="G2697" i="1"/>
  <c r="H2697" i="1"/>
  <c r="I2697" i="1"/>
  <c r="J2697" i="1"/>
  <c r="K2697" i="1"/>
  <c r="L2697" i="1"/>
  <c r="A2698" i="1"/>
  <c r="B2698" i="1"/>
  <c r="C2698" i="1"/>
  <c r="D2698" i="1"/>
  <c r="E2698" i="1"/>
  <c r="F2698" i="1"/>
  <c r="G2698" i="1"/>
  <c r="H2698" i="1"/>
  <c r="I2698" i="1"/>
  <c r="J2698" i="1"/>
  <c r="K2698" i="1"/>
  <c r="L2698" i="1"/>
  <c r="A2699" i="1"/>
  <c r="B2699" i="1"/>
  <c r="C2699" i="1"/>
  <c r="D2699" i="1"/>
  <c r="E2699" i="1"/>
  <c r="F2699" i="1"/>
  <c r="G2699" i="1"/>
  <c r="H2699" i="1"/>
  <c r="I2699" i="1"/>
  <c r="J2699" i="1"/>
  <c r="K2699" i="1"/>
  <c r="L2699" i="1"/>
  <c r="A2700" i="1"/>
  <c r="B2700" i="1"/>
  <c r="C2700" i="1"/>
  <c r="D2700" i="1"/>
  <c r="E2700" i="1"/>
  <c r="F2700" i="1"/>
  <c r="G2700" i="1"/>
  <c r="H2700" i="1"/>
  <c r="I2700" i="1"/>
  <c r="J2700" i="1"/>
  <c r="K2700" i="1"/>
  <c r="L2700" i="1"/>
  <c r="A2701" i="1"/>
  <c r="B2701" i="1"/>
  <c r="C2701" i="1"/>
  <c r="D2701" i="1"/>
  <c r="E2701" i="1"/>
  <c r="F2701" i="1"/>
  <c r="G2701" i="1"/>
  <c r="H2701" i="1"/>
  <c r="I2701" i="1"/>
  <c r="J2701" i="1"/>
  <c r="K2701" i="1"/>
  <c r="L2701" i="1"/>
  <c r="A2702" i="1"/>
  <c r="B2702" i="1"/>
  <c r="C2702" i="1"/>
  <c r="D2702" i="1"/>
  <c r="E2702" i="1"/>
  <c r="F2702" i="1"/>
  <c r="G2702" i="1"/>
  <c r="H2702" i="1"/>
  <c r="I2702" i="1"/>
  <c r="J2702" i="1"/>
  <c r="K2702" i="1"/>
  <c r="L2702" i="1"/>
  <c r="A2703" i="1"/>
  <c r="B2703" i="1"/>
  <c r="C2703" i="1"/>
  <c r="D2703" i="1"/>
  <c r="E2703" i="1"/>
  <c r="F2703" i="1"/>
  <c r="G2703" i="1"/>
  <c r="H2703" i="1"/>
  <c r="I2703" i="1"/>
  <c r="J2703" i="1"/>
  <c r="K2703" i="1"/>
  <c r="L2703" i="1"/>
  <c r="A2704" i="1"/>
  <c r="B2704" i="1"/>
  <c r="C2704" i="1"/>
  <c r="D2704" i="1"/>
  <c r="E2704" i="1"/>
  <c r="F2704" i="1"/>
  <c r="G2704" i="1"/>
  <c r="H2704" i="1"/>
  <c r="I2704" i="1"/>
  <c r="J2704" i="1"/>
  <c r="K2704" i="1"/>
  <c r="L2704" i="1"/>
  <c r="A2705" i="1"/>
  <c r="B2705" i="1"/>
  <c r="C2705" i="1"/>
  <c r="D2705" i="1"/>
  <c r="E2705" i="1"/>
  <c r="F2705" i="1"/>
  <c r="G2705" i="1"/>
  <c r="H2705" i="1"/>
  <c r="I2705" i="1"/>
  <c r="J2705" i="1"/>
  <c r="K2705" i="1"/>
  <c r="L2705" i="1"/>
  <c r="A2706" i="1"/>
  <c r="B2706" i="1"/>
  <c r="C2706" i="1"/>
  <c r="D2706" i="1"/>
  <c r="E2706" i="1"/>
  <c r="F2706" i="1"/>
  <c r="G2706" i="1"/>
  <c r="H2706" i="1"/>
  <c r="I2706" i="1"/>
  <c r="J2706" i="1"/>
  <c r="K2706" i="1"/>
  <c r="L2706" i="1"/>
  <c r="A2707" i="1"/>
  <c r="B2707" i="1"/>
  <c r="C2707" i="1"/>
  <c r="D2707" i="1"/>
  <c r="E2707" i="1"/>
  <c r="F2707" i="1"/>
  <c r="G2707" i="1"/>
  <c r="H2707" i="1"/>
  <c r="I2707" i="1"/>
  <c r="J2707" i="1"/>
  <c r="K2707" i="1"/>
  <c r="L2707" i="1"/>
  <c r="A2708" i="1"/>
  <c r="B2708" i="1"/>
  <c r="C2708" i="1"/>
  <c r="D2708" i="1"/>
  <c r="E2708" i="1"/>
  <c r="F2708" i="1"/>
  <c r="G2708" i="1"/>
  <c r="H2708" i="1"/>
  <c r="I2708" i="1"/>
  <c r="J2708" i="1"/>
  <c r="K2708" i="1"/>
  <c r="L2708" i="1"/>
  <c r="A2709" i="1"/>
  <c r="B2709" i="1"/>
  <c r="C2709" i="1"/>
  <c r="D2709" i="1"/>
  <c r="E2709" i="1"/>
  <c r="F2709" i="1"/>
  <c r="G2709" i="1"/>
  <c r="H2709" i="1"/>
  <c r="I2709" i="1"/>
  <c r="J2709" i="1"/>
  <c r="K2709" i="1"/>
  <c r="L2709" i="1"/>
  <c r="A2710" i="1"/>
  <c r="B2710" i="1"/>
  <c r="C2710" i="1"/>
  <c r="D2710" i="1"/>
  <c r="E2710" i="1"/>
  <c r="F2710" i="1"/>
  <c r="G2710" i="1"/>
  <c r="H2710" i="1"/>
  <c r="I2710" i="1"/>
  <c r="J2710" i="1"/>
  <c r="K2710" i="1"/>
  <c r="L2710" i="1"/>
  <c r="A2711" i="1"/>
  <c r="B2711" i="1"/>
  <c r="C2711" i="1"/>
  <c r="D2711" i="1"/>
  <c r="E2711" i="1"/>
  <c r="F2711" i="1"/>
  <c r="G2711" i="1"/>
  <c r="H2711" i="1"/>
  <c r="I2711" i="1"/>
  <c r="J2711" i="1"/>
  <c r="K2711" i="1"/>
  <c r="L2711" i="1"/>
  <c r="A2712" i="1"/>
  <c r="B2712" i="1"/>
  <c r="C2712" i="1"/>
  <c r="D2712" i="1"/>
  <c r="E2712" i="1"/>
  <c r="F2712" i="1"/>
  <c r="G2712" i="1"/>
  <c r="H2712" i="1"/>
  <c r="I2712" i="1"/>
  <c r="J2712" i="1"/>
  <c r="K2712" i="1"/>
  <c r="L2712" i="1"/>
  <c r="A2713" i="1"/>
  <c r="B2713" i="1"/>
  <c r="C2713" i="1"/>
  <c r="D2713" i="1"/>
  <c r="E2713" i="1"/>
  <c r="F2713" i="1"/>
  <c r="G2713" i="1"/>
  <c r="H2713" i="1"/>
  <c r="I2713" i="1"/>
  <c r="J2713" i="1"/>
  <c r="K2713" i="1"/>
  <c r="L2713" i="1"/>
  <c r="A2714" i="1"/>
  <c r="B2714" i="1"/>
  <c r="C2714" i="1"/>
  <c r="D2714" i="1"/>
  <c r="E2714" i="1"/>
  <c r="F2714" i="1"/>
  <c r="G2714" i="1"/>
  <c r="H2714" i="1"/>
  <c r="I2714" i="1"/>
  <c r="J2714" i="1"/>
  <c r="K2714" i="1"/>
  <c r="L2714" i="1"/>
  <c r="A2715" i="1"/>
  <c r="B2715" i="1"/>
  <c r="C2715" i="1"/>
  <c r="D2715" i="1"/>
  <c r="E2715" i="1"/>
  <c r="F2715" i="1"/>
  <c r="G2715" i="1"/>
  <c r="H2715" i="1"/>
  <c r="I2715" i="1"/>
  <c r="J2715" i="1"/>
  <c r="K2715" i="1"/>
  <c r="L2715" i="1"/>
  <c r="A2716" i="1"/>
  <c r="B2716" i="1"/>
  <c r="C2716" i="1"/>
  <c r="D2716" i="1"/>
  <c r="E2716" i="1"/>
  <c r="F2716" i="1"/>
  <c r="G2716" i="1"/>
  <c r="H2716" i="1"/>
  <c r="I2716" i="1"/>
  <c r="J2716" i="1"/>
  <c r="K2716" i="1"/>
  <c r="L2716" i="1"/>
  <c r="A2717" i="1"/>
  <c r="B2717" i="1"/>
  <c r="C2717" i="1"/>
  <c r="D2717" i="1"/>
  <c r="E2717" i="1"/>
  <c r="F2717" i="1"/>
  <c r="G2717" i="1"/>
  <c r="H2717" i="1"/>
  <c r="I2717" i="1"/>
  <c r="J2717" i="1"/>
  <c r="K2717" i="1"/>
  <c r="L2717" i="1"/>
  <c r="A2718" i="1"/>
  <c r="B2718" i="1"/>
  <c r="C2718" i="1"/>
  <c r="D2718" i="1"/>
  <c r="E2718" i="1"/>
  <c r="F2718" i="1"/>
  <c r="G2718" i="1"/>
  <c r="H2718" i="1"/>
  <c r="I2718" i="1"/>
  <c r="J2718" i="1"/>
  <c r="K2718" i="1"/>
  <c r="L2718" i="1"/>
  <c r="A2719" i="1"/>
  <c r="B2719" i="1"/>
  <c r="C2719" i="1"/>
  <c r="D2719" i="1"/>
  <c r="E2719" i="1"/>
  <c r="F2719" i="1"/>
  <c r="G2719" i="1"/>
  <c r="H2719" i="1"/>
  <c r="I2719" i="1"/>
  <c r="J2719" i="1"/>
  <c r="K2719" i="1"/>
  <c r="L2719" i="1"/>
  <c r="A2720" i="1"/>
  <c r="B2720" i="1"/>
  <c r="C2720" i="1"/>
  <c r="D2720" i="1"/>
  <c r="E2720" i="1"/>
  <c r="F2720" i="1"/>
  <c r="G2720" i="1"/>
  <c r="H2720" i="1"/>
  <c r="I2720" i="1"/>
  <c r="J2720" i="1"/>
  <c r="K2720" i="1"/>
  <c r="L2720" i="1"/>
  <c r="A2721" i="1"/>
  <c r="B2721" i="1"/>
  <c r="C2721" i="1"/>
  <c r="D2721" i="1"/>
  <c r="E2721" i="1"/>
  <c r="F2721" i="1"/>
  <c r="G2721" i="1"/>
  <c r="H2721" i="1"/>
  <c r="I2721" i="1"/>
  <c r="J2721" i="1"/>
  <c r="K2721" i="1"/>
  <c r="L2721" i="1"/>
  <c r="A2722" i="1"/>
  <c r="B2722" i="1"/>
  <c r="C2722" i="1"/>
  <c r="D2722" i="1"/>
  <c r="E2722" i="1"/>
  <c r="F2722" i="1"/>
  <c r="G2722" i="1"/>
  <c r="H2722" i="1"/>
  <c r="I2722" i="1"/>
  <c r="J2722" i="1"/>
  <c r="K2722" i="1"/>
  <c r="L2722" i="1"/>
  <c r="A2723" i="1"/>
  <c r="B2723" i="1"/>
  <c r="C2723" i="1"/>
  <c r="D2723" i="1"/>
  <c r="E2723" i="1"/>
  <c r="F2723" i="1"/>
  <c r="G2723" i="1"/>
  <c r="H2723" i="1"/>
  <c r="I2723" i="1"/>
  <c r="J2723" i="1"/>
  <c r="K2723" i="1"/>
  <c r="L2723" i="1"/>
  <c r="A2724" i="1"/>
  <c r="B2724" i="1"/>
  <c r="C2724" i="1"/>
  <c r="D2724" i="1"/>
  <c r="E2724" i="1"/>
  <c r="F2724" i="1"/>
  <c r="G2724" i="1"/>
  <c r="H2724" i="1"/>
  <c r="I2724" i="1"/>
  <c r="J2724" i="1"/>
  <c r="K2724" i="1"/>
  <c r="L2724" i="1"/>
  <c r="A2725" i="1"/>
  <c r="B2725" i="1"/>
  <c r="C2725" i="1"/>
  <c r="D2725" i="1"/>
  <c r="E2725" i="1"/>
  <c r="F2725" i="1"/>
  <c r="G2725" i="1"/>
  <c r="H2725" i="1"/>
  <c r="I2725" i="1"/>
  <c r="J2725" i="1"/>
  <c r="K2725" i="1"/>
  <c r="L2725" i="1"/>
  <c r="A2726" i="1"/>
  <c r="B2726" i="1"/>
  <c r="C2726" i="1"/>
  <c r="D2726" i="1"/>
  <c r="E2726" i="1"/>
  <c r="F2726" i="1"/>
  <c r="G2726" i="1"/>
  <c r="H2726" i="1"/>
  <c r="I2726" i="1"/>
  <c r="J2726" i="1"/>
  <c r="K2726" i="1"/>
  <c r="L2726" i="1"/>
  <c r="A2727" i="1"/>
  <c r="B2727" i="1"/>
  <c r="C2727" i="1"/>
  <c r="D2727" i="1"/>
  <c r="E2727" i="1"/>
  <c r="F2727" i="1"/>
  <c r="G2727" i="1"/>
  <c r="H2727" i="1"/>
  <c r="I2727" i="1"/>
  <c r="J2727" i="1"/>
  <c r="K2727" i="1"/>
  <c r="L2727" i="1"/>
  <c r="A2728" i="1"/>
  <c r="B2728" i="1"/>
  <c r="C2728" i="1"/>
  <c r="D2728" i="1"/>
  <c r="E2728" i="1"/>
  <c r="F2728" i="1"/>
  <c r="G2728" i="1"/>
  <c r="H2728" i="1"/>
  <c r="I2728" i="1"/>
  <c r="J2728" i="1"/>
  <c r="K2728" i="1"/>
  <c r="L2728" i="1"/>
  <c r="A2729" i="1"/>
  <c r="B2729" i="1"/>
  <c r="C2729" i="1"/>
  <c r="D2729" i="1"/>
  <c r="E2729" i="1"/>
  <c r="F2729" i="1"/>
  <c r="G2729" i="1"/>
  <c r="H2729" i="1"/>
  <c r="I2729" i="1"/>
  <c r="J2729" i="1"/>
  <c r="K2729" i="1"/>
  <c r="L2729" i="1"/>
  <c r="A2730" i="1"/>
  <c r="B2730" i="1"/>
  <c r="C2730" i="1"/>
  <c r="D2730" i="1"/>
  <c r="E2730" i="1"/>
  <c r="F2730" i="1"/>
  <c r="G2730" i="1"/>
  <c r="H2730" i="1"/>
  <c r="I2730" i="1"/>
  <c r="J2730" i="1"/>
  <c r="K2730" i="1"/>
  <c r="L2730" i="1"/>
  <c r="A2731" i="1"/>
  <c r="B2731" i="1"/>
  <c r="C2731" i="1"/>
  <c r="D2731" i="1"/>
  <c r="E2731" i="1"/>
  <c r="F2731" i="1"/>
  <c r="G2731" i="1"/>
  <c r="H2731" i="1"/>
  <c r="I2731" i="1"/>
  <c r="J2731" i="1"/>
  <c r="K2731" i="1"/>
  <c r="L2731" i="1"/>
  <c r="A2732" i="1"/>
  <c r="B2732" i="1"/>
  <c r="C2732" i="1"/>
  <c r="D2732" i="1"/>
  <c r="E2732" i="1"/>
  <c r="F2732" i="1"/>
  <c r="G2732" i="1"/>
  <c r="H2732" i="1"/>
  <c r="I2732" i="1"/>
  <c r="J2732" i="1"/>
  <c r="K2732" i="1"/>
  <c r="L2732" i="1"/>
  <c r="A2733" i="1"/>
  <c r="B2733" i="1"/>
  <c r="C2733" i="1"/>
  <c r="D2733" i="1"/>
  <c r="E2733" i="1"/>
  <c r="F2733" i="1"/>
  <c r="G2733" i="1"/>
  <c r="H2733" i="1"/>
  <c r="I2733" i="1"/>
  <c r="J2733" i="1"/>
  <c r="K2733" i="1"/>
  <c r="L2733" i="1"/>
  <c r="A2734" i="1"/>
  <c r="B2734" i="1"/>
  <c r="C2734" i="1"/>
  <c r="D2734" i="1"/>
  <c r="E2734" i="1"/>
  <c r="F2734" i="1"/>
  <c r="G2734" i="1"/>
  <c r="H2734" i="1"/>
  <c r="I2734" i="1"/>
  <c r="J2734" i="1"/>
  <c r="K2734" i="1"/>
  <c r="L2734" i="1"/>
  <c r="A2735" i="1"/>
  <c r="B2735" i="1"/>
  <c r="C2735" i="1"/>
  <c r="D2735" i="1"/>
  <c r="E2735" i="1"/>
  <c r="F2735" i="1"/>
  <c r="G2735" i="1"/>
  <c r="H2735" i="1"/>
  <c r="I2735" i="1"/>
  <c r="J2735" i="1"/>
  <c r="K2735" i="1"/>
  <c r="L2735" i="1"/>
  <c r="A2736" i="1"/>
  <c r="B2736" i="1"/>
  <c r="C2736" i="1"/>
  <c r="D2736" i="1"/>
  <c r="E2736" i="1"/>
  <c r="F2736" i="1"/>
  <c r="G2736" i="1"/>
  <c r="H2736" i="1"/>
  <c r="I2736" i="1"/>
  <c r="J2736" i="1"/>
  <c r="K2736" i="1"/>
  <c r="L2736" i="1"/>
  <c r="A2737" i="1"/>
  <c r="B2737" i="1"/>
  <c r="C2737" i="1"/>
  <c r="D2737" i="1"/>
  <c r="E2737" i="1"/>
  <c r="F2737" i="1"/>
  <c r="G2737" i="1"/>
  <c r="H2737" i="1"/>
  <c r="I2737" i="1"/>
  <c r="J2737" i="1"/>
  <c r="K2737" i="1"/>
  <c r="L2737" i="1"/>
  <c r="A2738" i="1"/>
  <c r="B2738" i="1"/>
  <c r="C2738" i="1"/>
  <c r="D2738" i="1"/>
  <c r="E2738" i="1"/>
  <c r="F2738" i="1"/>
  <c r="G2738" i="1"/>
  <c r="H2738" i="1"/>
  <c r="I2738" i="1"/>
  <c r="J2738" i="1"/>
  <c r="K2738" i="1"/>
  <c r="L2738" i="1"/>
  <c r="A2739" i="1"/>
  <c r="B2739" i="1"/>
  <c r="C2739" i="1"/>
  <c r="D2739" i="1"/>
  <c r="E2739" i="1"/>
  <c r="F2739" i="1"/>
  <c r="G2739" i="1"/>
  <c r="H2739" i="1"/>
  <c r="I2739" i="1"/>
  <c r="J2739" i="1"/>
  <c r="K2739" i="1"/>
  <c r="L2739" i="1"/>
  <c r="A2740" i="1"/>
  <c r="B2740" i="1"/>
  <c r="C2740" i="1"/>
  <c r="D2740" i="1"/>
  <c r="E2740" i="1"/>
  <c r="F2740" i="1"/>
  <c r="G2740" i="1"/>
  <c r="H2740" i="1"/>
  <c r="I2740" i="1"/>
  <c r="J2740" i="1"/>
  <c r="K2740" i="1"/>
  <c r="L2740" i="1"/>
  <c r="A2741" i="1"/>
  <c r="B2741" i="1"/>
  <c r="C2741" i="1"/>
  <c r="D2741" i="1"/>
  <c r="E2741" i="1"/>
  <c r="F2741" i="1"/>
  <c r="G2741" i="1"/>
  <c r="H2741" i="1"/>
  <c r="I2741" i="1"/>
  <c r="J2741" i="1"/>
  <c r="K2741" i="1"/>
  <c r="L2741" i="1"/>
  <c r="A2742" i="1"/>
  <c r="B2742" i="1"/>
  <c r="C2742" i="1"/>
  <c r="D2742" i="1"/>
  <c r="E2742" i="1"/>
  <c r="F2742" i="1"/>
  <c r="G2742" i="1"/>
  <c r="H2742" i="1"/>
  <c r="I2742" i="1"/>
  <c r="J2742" i="1"/>
  <c r="K2742" i="1"/>
  <c r="L2742" i="1"/>
  <c r="A2743" i="1"/>
  <c r="B2743" i="1"/>
  <c r="C2743" i="1"/>
  <c r="D2743" i="1"/>
  <c r="E2743" i="1"/>
  <c r="F2743" i="1"/>
  <c r="G2743" i="1"/>
  <c r="H2743" i="1"/>
  <c r="I2743" i="1"/>
  <c r="J2743" i="1"/>
  <c r="K2743" i="1"/>
  <c r="L2743" i="1"/>
  <c r="A2744" i="1"/>
  <c r="B2744" i="1"/>
  <c r="C2744" i="1"/>
  <c r="D2744" i="1"/>
  <c r="E2744" i="1"/>
  <c r="F2744" i="1"/>
  <c r="G2744" i="1"/>
  <c r="H2744" i="1"/>
  <c r="I2744" i="1"/>
  <c r="J2744" i="1"/>
  <c r="K2744" i="1"/>
  <c r="L2744" i="1"/>
  <c r="A2745" i="1"/>
  <c r="B2745" i="1"/>
  <c r="C2745" i="1"/>
  <c r="D2745" i="1"/>
  <c r="E2745" i="1"/>
  <c r="F2745" i="1"/>
  <c r="G2745" i="1"/>
  <c r="H2745" i="1"/>
  <c r="I2745" i="1"/>
  <c r="J2745" i="1"/>
  <c r="K2745" i="1"/>
  <c r="L2745" i="1"/>
  <c r="A2746" i="1"/>
  <c r="B2746" i="1"/>
  <c r="C2746" i="1"/>
  <c r="D2746" i="1"/>
  <c r="E2746" i="1"/>
  <c r="F2746" i="1"/>
  <c r="G2746" i="1"/>
  <c r="H2746" i="1"/>
  <c r="I2746" i="1"/>
  <c r="J2746" i="1"/>
  <c r="K2746" i="1"/>
  <c r="L2746" i="1"/>
  <c r="A2747" i="1"/>
  <c r="B2747" i="1"/>
  <c r="C2747" i="1"/>
  <c r="D2747" i="1"/>
  <c r="E2747" i="1"/>
  <c r="F2747" i="1"/>
  <c r="G2747" i="1"/>
  <c r="H2747" i="1"/>
  <c r="I2747" i="1"/>
  <c r="J2747" i="1"/>
  <c r="K2747" i="1"/>
  <c r="L2747" i="1"/>
  <c r="A2748" i="1"/>
  <c r="B2748" i="1"/>
  <c r="C2748" i="1"/>
  <c r="D2748" i="1"/>
  <c r="E2748" i="1"/>
  <c r="F2748" i="1"/>
  <c r="G2748" i="1"/>
  <c r="H2748" i="1"/>
  <c r="I2748" i="1"/>
  <c r="J2748" i="1"/>
  <c r="K2748" i="1"/>
  <c r="L2748" i="1"/>
  <c r="A2749" i="1"/>
  <c r="B2749" i="1"/>
  <c r="C2749" i="1"/>
  <c r="D2749" i="1"/>
  <c r="E2749" i="1"/>
  <c r="F2749" i="1"/>
  <c r="G2749" i="1"/>
  <c r="H2749" i="1"/>
  <c r="I2749" i="1"/>
  <c r="J2749" i="1"/>
  <c r="K2749" i="1"/>
  <c r="L2749" i="1"/>
  <c r="A2750" i="1"/>
  <c r="B2750" i="1"/>
  <c r="C2750" i="1"/>
  <c r="D2750" i="1"/>
  <c r="E2750" i="1"/>
  <c r="F2750" i="1"/>
  <c r="G2750" i="1"/>
  <c r="H2750" i="1"/>
  <c r="I2750" i="1"/>
  <c r="J2750" i="1"/>
  <c r="K2750" i="1"/>
  <c r="L2750" i="1"/>
  <c r="A2751" i="1"/>
  <c r="B2751" i="1"/>
  <c r="C2751" i="1"/>
  <c r="D2751" i="1"/>
  <c r="E2751" i="1"/>
  <c r="F2751" i="1"/>
  <c r="G2751" i="1"/>
  <c r="H2751" i="1"/>
  <c r="I2751" i="1"/>
  <c r="J2751" i="1"/>
  <c r="K2751" i="1"/>
  <c r="L2751" i="1"/>
  <c r="A2752" i="1"/>
  <c r="B2752" i="1"/>
  <c r="C2752" i="1"/>
  <c r="D2752" i="1"/>
  <c r="E2752" i="1"/>
  <c r="F2752" i="1"/>
  <c r="G2752" i="1"/>
  <c r="H2752" i="1"/>
  <c r="I2752" i="1"/>
  <c r="J2752" i="1"/>
  <c r="K2752" i="1"/>
  <c r="L2752" i="1"/>
  <c r="A2753" i="1"/>
  <c r="B2753" i="1"/>
  <c r="C2753" i="1"/>
  <c r="D2753" i="1"/>
  <c r="E2753" i="1"/>
  <c r="F2753" i="1"/>
  <c r="G2753" i="1"/>
  <c r="H2753" i="1"/>
  <c r="I2753" i="1"/>
  <c r="J2753" i="1"/>
  <c r="K2753" i="1"/>
  <c r="L2753" i="1"/>
  <c r="A2754" i="1"/>
  <c r="B2754" i="1"/>
  <c r="C2754" i="1"/>
  <c r="D2754" i="1"/>
  <c r="E2754" i="1"/>
  <c r="F2754" i="1"/>
  <c r="G2754" i="1"/>
  <c r="H2754" i="1"/>
  <c r="I2754" i="1"/>
  <c r="J2754" i="1"/>
  <c r="K2754" i="1"/>
  <c r="L2754" i="1"/>
  <c r="A2755" i="1"/>
  <c r="B2755" i="1"/>
  <c r="C2755" i="1"/>
  <c r="D2755" i="1"/>
  <c r="E2755" i="1"/>
  <c r="F2755" i="1"/>
  <c r="G2755" i="1"/>
  <c r="H2755" i="1"/>
  <c r="I2755" i="1"/>
  <c r="J2755" i="1"/>
  <c r="K2755" i="1"/>
  <c r="L2755" i="1"/>
  <c r="A2756" i="1"/>
  <c r="B2756" i="1"/>
  <c r="C2756" i="1"/>
  <c r="D2756" i="1"/>
  <c r="E2756" i="1"/>
  <c r="F2756" i="1"/>
  <c r="G2756" i="1"/>
  <c r="H2756" i="1"/>
  <c r="I2756" i="1"/>
  <c r="J2756" i="1"/>
  <c r="K2756" i="1"/>
  <c r="L2756" i="1"/>
  <c r="A2757" i="1"/>
  <c r="B2757" i="1"/>
  <c r="C2757" i="1"/>
  <c r="D2757" i="1"/>
  <c r="E2757" i="1"/>
  <c r="F2757" i="1"/>
  <c r="G2757" i="1"/>
  <c r="H2757" i="1"/>
  <c r="I2757" i="1"/>
  <c r="J2757" i="1"/>
  <c r="K2757" i="1"/>
  <c r="L2757" i="1"/>
  <c r="A2758" i="1"/>
  <c r="B2758" i="1"/>
  <c r="C2758" i="1"/>
  <c r="D2758" i="1"/>
  <c r="E2758" i="1"/>
  <c r="F2758" i="1"/>
  <c r="G2758" i="1"/>
  <c r="H2758" i="1"/>
  <c r="I2758" i="1"/>
  <c r="J2758" i="1"/>
  <c r="K2758" i="1"/>
  <c r="L2758" i="1"/>
  <c r="A2759" i="1"/>
  <c r="B2759" i="1"/>
  <c r="C2759" i="1"/>
  <c r="D2759" i="1"/>
  <c r="E2759" i="1"/>
  <c r="F2759" i="1"/>
  <c r="G2759" i="1"/>
  <c r="H2759" i="1"/>
  <c r="I2759" i="1"/>
  <c r="J2759" i="1"/>
  <c r="K2759" i="1"/>
  <c r="L2759" i="1"/>
  <c r="A2760" i="1"/>
  <c r="B2760" i="1"/>
  <c r="C2760" i="1"/>
  <c r="D2760" i="1"/>
  <c r="E2760" i="1"/>
  <c r="F2760" i="1"/>
  <c r="G2760" i="1"/>
  <c r="H2760" i="1"/>
  <c r="I2760" i="1"/>
  <c r="J2760" i="1"/>
  <c r="K2760" i="1"/>
  <c r="L2760" i="1"/>
  <c r="A2761" i="1"/>
  <c r="B2761" i="1"/>
  <c r="C2761" i="1"/>
  <c r="D2761" i="1"/>
  <c r="E2761" i="1"/>
  <c r="F2761" i="1"/>
  <c r="G2761" i="1"/>
  <c r="H2761" i="1"/>
  <c r="I2761" i="1"/>
  <c r="J2761" i="1"/>
  <c r="K2761" i="1"/>
  <c r="L2761" i="1"/>
  <c r="A2762" i="1"/>
  <c r="B2762" i="1"/>
  <c r="C2762" i="1"/>
  <c r="D2762" i="1"/>
  <c r="E2762" i="1"/>
  <c r="F2762" i="1"/>
  <c r="G2762" i="1"/>
  <c r="H2762" i="1"/>
  <c r="I2762" i="1"/>
  <c r="J2762" i="1"/>
  <c r="K2762" i="1"/>
  <c r="L2762" i="1"/>
  <c r="A2763" i="1"/>
  <c r="B2763" i="1"/>
  <c r="C2763" i="1"/>
  <c r="D2763" i="1"/>
  <c r="E2763" i="1"/>
  <c r="F2763" i="1"/>
  <c r="G2763" i="1"/>
  <c r="H2763" i="1"/>
  <c r="I2763" i="1"/>
  <c r="J2763" i="1"/>
  <c r="K2763" i="1"/>
  <c r="L2763" i="1"/>
  <c r="A2764" i="1"/>
  <c r="B2764" i="1"/>
  <c r="C2764" i="1"/>
  <c r="D2764" i="1"/>
  <c r="E2764" i="1"/>
  <c r="F2764" i="1"/>
  <c r="G2764" i="1"/>
  <c r="H2764" i="1"/>
  <c r="I2764" i="1"/>
  <c r="J2764" i="1"/>
  <c r="K2764" i="1"/>
  <c r="L2764" i="1"/>
  <c r="A2765" i="1"/>
  <c r="B2765" i="1"/>
  <c r="C2765" i="1"/>
  <c r="D2765" i="1"/>
  <c r="E2765" i="1"/>
  <c r="F2765" i="1"/>
  <c r="G2765" i="1"/>
  <c r="H2765" i="1"/>
  <c r="I2765" i="1"/>
  <c r="J2765" i="1"/>
  <c r="K2765" i="1"/>
  <c r="L2765" i="1"/>
  <c r="A2766" i="1"/>
  <c r="B2766" i="1"/>
  <c r="C2766" i="1"/>
  <c r="D2766" i="1"/>
  <c r="E2766" i="1"/>
  <c r="F2766" i="1"/>
  <c r="G2766" i="1"/>
  <c r="H2766" i="1"/>
  <c r="I2766" i="1"/>
  <c r="J2766" i="1"/>
  <c r="K2766" i="1"/>
  <c r="L2766" i="1"/>
  <c r="A2767" i="1"/>
  <c r="B2767" i="1"/>
  <c r="C2767" i="1"/>
  <c r="D2767" i="1"/>
  <c r="E2767" i="1"/>
  <c r="F2767" i="1"/>
  <c r="G2767" i="1"/>
  <c r="H2767" i="1"/>
  <c r="I2767" i="1"/>
  <c r="J2767" i="1"/>
  <c r="K2767" i="1"/>
  <c r="L2767" i="1"/>
  <c r="A2768" i="1"/>
  <c r="B2768" i="1"/>
  <c r="C2768" i="1"/>
  <c r="D2768" i="1"/>
  <c r="E2768" i="1"/>
  <c r="F2768" i="1"/>
  <c r="G2768" i="1"/>
  <c r="H2768" i="1"/>
  <c r="I2768" i="1"/>
  <c r="J2768" i="1"/>
  <c r="K2768" i="1"/>
  <c r="L2768" i="1"/>
  <c r="A2769" i="1"/>
  <c r="B2769" i="1"/>
  <c r="C2769" i="1"/>
  <c r="D2769" i="1"/>
  <c r="E2769" i="1"/>
  <c r="F2769" i="1"/>
  <c r="G2769" i="1"/>
  <c r="H2769" i="1"/>
  <c r="I2769" i="1"/>
  <c r="J2769" i="1"/>
  <c r="K2769" i="1"/>
  <c r="L2769" i="1"/>
  <c r="A2770" i="1"/>
  <c r="B2770" i="1"/>
  <c r="C2770" i="1"/>
  <c r="D2770" i="1"/>
  <c r="E2770" i="1"/>
  <c r="F2770" i="1"/>
  <c r="G2770" i="1"/>
  <c r="H2770" i="1"/>
  <c r="I2770" i="1"/>
  <c r="J2770" i="1"/>
  <c r="K2770" i="1"/>
  <c r="L2770" i="1"/>
  <c r="A2771" i="1"/>
  <c r="B2771" i="1"/>
  <c r="C2771" i="1"/>
  <c r="D2771" i="1"/>
  <c r="E2771" i="1"/>
  <c r="F2771" i="1"/>
  <c r="G2771" i="1"/>
  <c r="H2771" i="1"/>
  <c r="I2771" i="1"/>
  <c r="J2771" i="1"/>
  <c r="K2771" i="1"/>
  <c r="L2771" i="1"/>
  <c r="A2772" i="1"/>
  <c r="B2772" i="1"/>
  <c r="C2772" i="1"/>
  <c r="D2772" i="1"/>
  <c r="E2772" i="1"/>
  <c r="F2772" i="1"/>
  <c r="G2772" i="1"/>
  <c r="H2772" i="1"/>
  <c r="I2772" i="1"/>
  <c r="J2772" i="1"/>
  <c r="K2772" i="1"/>
  <c r="L2772" i="1"/>
  <c r="A2773" i="1"/>
  <c r="B2773" i="1"/>
  <c r="C2773" i="1"/>
  <c r="D2773" i="1"/>
  <c r="E2773" i="1"/>
  <c r="F2773" i="1"/>
  <c r="G2773" i="1"/>
  <c r="H2773" i="1"/>
  <c r="I2773" i="1"/>
  <c r="J2773" i="1"/>
  <c r="K2773" i="1"/>
  <c r="L2773" i="1"/>
  <c r="A2774" i="1"/>
  <c r="B2774" i="1"/>
  <c r="C2774" i="1"/>
  <c r="D2774" i="1"/>
  <c r="E2774" i="1"/>
  <c r="F2774" i="1"/>
  <c r="G2774" i="1"/>
  <c r="H2774" i="1"/>
  <c r="I2774" i="1"/>
  <c r="J2774" i="1"/>
  <c r="K2774" i="1"/>
  <c r="L2774" i="1"/>
  <c r="A2775" i="1"/>
  <c r="B2775" i="1"/>
  <c r="C2775" i="1"/>
  <c r="D2775" i="1"/>
  <c r="E2775" i="1"/>
  <c r="F2775" i="1"/>
  <c r="G2775" i="1"/>
  <c r="H2775" i="1"/>
  <c r="I2775" i="1"/>
  <c r="J2775" i="1"/>
  <c r="K2775" i="1"/>
  <c r="L2775" i="1"/>
  <c r="A2776" i="1"/>
  <c r="B2776" i="1"/>
  <c r="C2776" i="1"/>
  <c r="D2776" i="1"/>
  <c r="E2776" i="1"/>
  <c r="F2776" i="1"/>
  <c r="G2776" i="1"/>
  <c r="H2776" i="1"/>
  <c r="I2776" i="1"/>
  <c r="J2776" i="1"/>
  <c r="K2776" i="1"/>
  <c r="L2776" i="1"/>
  <c r="A2777" i="1"/>
  <c r="B2777" i="1"/>
  <c r="C2777" i="1"/>
  <c r="D2777" i="1"/>
  <c r="E2777" i="1"/>
  <c r="F2777" i="1"/>
  <c r="G2777" i="1"/>
  <c r="H2777" i="1"/>
  <c r="I2777" i="1"/>
  <c r="J2777" i="1"/>
  <c r="K2777" i="1"/>
  <c r="L2777" i="1"/>
  <c r="A2778" i="1"/>
  <c r="B2778" i="1"/>
  <c r="C2778" i="1"/>
  <c r="D2778" i="1"/>
  <c r="E2778" i="1"/>
  <c r="F2778" i="1"/>
  <c r="G2778" i="1"/>
  <c r="H2778" i="1"/>
  <c r="I2778" i="1"/>
  <c r="J2778" i="1"/>
  <c r="K2778" i="1"/>
  <c r="L2778" i="1"/>
  <c r="A2779" i="1"/>
  <c r="B2779" i="1"/>
  <c r="C2779" i="1"/>
  <c r="D2779" i="1"/>
  <c r="E2779" i="1"/>
  <c r="F2779" i="1"/>
  <c r="G2779" i="1"/>
  <c r="H2779" i="1"/>
  <c r="I2779" i="1"/>
  <c r="J2779" i="1"/>
  <c r="K2779" i="1"/>
  <c r="L2779" i="1"/>
  <c r="A2780" i="1"/>
  <c r="B2780" i="1"/>
  <c r="C2780" i="1"/>
  <c r="D2780" i="1"/>
  <c r="E2780" i="1"/>
  <c r="F2780" i="1"/>
  <c r="G2780" i="1"/>
  <c r="H2780" i="1"/>
  <c r="I2780" i="1"/>
  <c r="J2780" i="1"/>
  <c r="K2780" i="1"/>
  <c r="L2780" i="1"/>
  <c r="A2781" i="1"/>
  <c r="B2781" i="1"/>
  <c r="C2781" i="1"/>
  <c r="D2781" i="1"/>
  <c r="E2781" i="1"/>
  <c r="F2781" i="1"/>
  <c r="G2781" i="1"/>
  <c r="H2781" i="1"/>
  <c r="I2781" i="1"/>
  <c r="J2781" i="1"/>
  <c r="K2781" i="1"/>
  <c r="L2781" i="1"/>
  <c r="A2782" i="1"/>
  <c r="B2782" i="1"/>
  <c r="C2782" i="1"/>
  <c r="D2782" i="1"/>
  <c r="E2782" i="1"/>
  <c r="F2782" i="1"/>
  <c r="G2782" i="1"/>
  <c r="H2782" i="1"/>
  <c r="I2782" i="1"/>
  <c r="J2782" i="1"/>
  <c r="K2782" i="1"/>
  <c r="L2782" i="1"/>
  <c r="A2783" i="1"/>
  <c r="B2783" i="1"/>
  <c r="C2783" i="1"/>
  <c r="D2783" i="1"/>
  <c r="E2783" i="1"/>
  <c r="F2783" i="1"/>
  <c r="G2783" i="1"/>
  <c r="H2783" i="1"/>
  <c r="I2783" i="1"/>
  <c r="J2783" i="1"/>
  <c r="K2783" i="1"/>
  <c r="L2783" i="1"/>
  <c r="A2784" i="1"/>
  <c r="B2784" i="1"/>
  <c r="C2784" i="1"/>
  <c r="D2784" i="1"/>
  <c r="E2784" i="1"/>
  <c r="F2784" i="1"/>
  <c r="G2784" i="1"/>
  <c r="H2784" i="1"/>
  <c r="I2784" i="1"/>
  <c r="J2784" i="1"/>
  <c r="K2784" i="1"/>
  <c r="L2784" i="1"/>
  <c r="A2785" i="1"/>
  <c r="B2785" i="1"/>
  <c r="C2785" i="1"/>
  <c r="D2785" i="1"/>
  <c r="E2785" i="1"/>
  <c r="F2785" i="1"/>
  <c r="G2785" i="1"/>
  <c r="H2785" i="1"/>
  <c r="I2785" i="1"/>
  <c r="J2785" i="1"/>
  <c r="K2785" i="1"/>
  <c r="L2785" i="1"/>
  <c r="A2786" i="1"/>
  <c r="B2786" i="1"/>
  <c r="C2786" i="1"/>
  <c r="D2786" i="1"/>
  <c r="E2786" i="1"/>
  <c r="F2786" i="1"/>
  <c r="G2786" i="1"/>
  <c r="H2786" i="1"/>
  <c r="I2786" i="1"/>
  <c r="J2786" i="1"/>
  <c r="K2786" i="1"/>
  <c r="L2786" i="1"/>
  <c r="A2787" i="1"/>
  <c r="B2787" i="1"/>
  <c r="C2787" i="1"/>
  <c r="D2787" i="1"/>
  <c r="E2787" i="1"/>
  <c r="F2787" i="1"/>
  <c r="G2787" i="1"/>
  <c r="H2787" i="1"/>
  <c r="I2787" i="1"/>
  <c r="J2787" i="1"/>
  <c r="K2787" i="1"/>
  <c r="L2787" i="1"/>
  <c r="A2788" i="1"/>
  <c r="B2788" i="1"/>
  <c r="C2788" i="1"/>
  <c r="D2788" i="1"/>
  <c r="E2788" i="1"/>
  <c r="F2788" i="1"/>
  <c r="G2788" i="1"/>
  <c r="H2788" i="1"/>
  <c r="I2788" i="1"/>
  <c r="J2788" i="1"/>
  <c r="K2788" i="1"/>
  <c r="L2788" i="1"/>
  <c r="A2789" i="1"/>
  <c r="B2789" i="1"/>
  <c r="C2789" i="1"/>
  <c r="D2789" i="1"/>
  <c r="E2789" i="1"/>
  <c r="F2789" i="1"/>
  <c r="G2789" i="1"/>
  <c r="H2789" i="1"/>
  <c r="I2789" i="1"/>
  <c r="J2789" i="1"/>
  <c r="K2789" i="1"/>
  <c r="L2789" i="1"/>
  <c r="A2790" i="1"/>
  <c r="B2790" i="1"/>
  <c r="C2790" i="1"/>
  <c r="D2790" i="1"/>
  <c r="E2790" i="1"/>
  <c r="F2790" i="1"/>
  <c r="G2790" i="1"/>
  <c r="H2790" i="1"/>
  <c r="I2790" i="1"/>
  <c r="J2790" i="1"/>
  <c r="K2790" i="1"/>
  <c r="L2790" i="1"/>
  <c r="A2791" i="1"/>
  <c r="B2791" i="1"/>
  <c r="C2791" i="1"/>
  <c r="D2791" i="1"/>
  <c r="E2791" i="1"/>
  <c r="F2791" i="1"/>
  <c r="G2791" i="1"/>
  <c r="H2791" i="1"/>
  <c r="I2791" i="1"/>
  <c r="J2791" i="1"/>
  <c r="K2791" i="1"/>
  <c r="L2791" i="1"/>
  <c r="A2792" i="1"/>
  <c r="B2792" i="1"/>
  <c r="C2792" i="1"/>
  <c r="D2792" i="1"/>
  <c r="E2792" i="1"/>
  <c r="F2792" i="1"/>
  <c r="G2792" i="1"/>
  <c r="H2792" i="1"/>
  <c r="I2792" i="1"/>
  <c r="J2792" i="1"/>
  <c r="K2792" i="1"/>
  <c r="L2792" i="1"/>
  <c r="A2793" i="1"/>
  <c r="B2793" i="1"/>
  <c r="C2793" i="1"/>
  <c r="D2793" i="1"/>
  <c r="E2793" i="1"/>
  <c r="F2793" i="1"/>
  <c r="G2793" i="1"/>
  <c r="H2793" i="1"/>
  <c r="I2793" i="1"/>
  <c r="J2793" i="1"/>
  <c r="K2793" i="1"/>
  <c r="L2793" i="1"/>
  <c r="A2794" i="1"/>
  <c r="B2794" i="1"/>
  <c r="C2794" i="1"/>
  <c r="D2794" i="1"/>
  <c r="E2794" i="1"/>
  <c r="F2794" i="1"/>
  <c r="G2794" i="1"/>
  <c r="H2794" i="1"/>
  <c r="I2794" i="1"/>
  <c r="J2794" i="1"/>
  <c r="K2794" i="1"/>
  <c r="L2794" i="1"/>
  <c r="A2795" i="1"/>
  <c r="B2795" i="1"/>
  <c r="C2795" i="1"/>
  <c r="D2795" i="1"/>
  <c r="E2795" i="1"/>
  <c r="F2795" i="1"/>
  <c r="G2795" i="1"/>
  <c r="H2795" i="1"/>
  <c r="I2795" i="1"/>
  <c r="J2795" i="1"/>
  <c r="K2795" i="1"/>
  <c r="L2795" i="1"/>
  <c r="A2796" i="1"/>
  <c r="B2796" i="1"/>
  <c r="C2796" i="1"/>
  <c r="D2796" i="1"/>
  <c r="E2796" i="1"/>
  <c r="F2796" i="1"/>
  <c r="G2796" i="1"/>
  <c r="H2796" i="1"/>
  <c r="I2796" i="1"/>
  <c r="J2796" i="1"/>
  <c r="K2796" i="1"/>
  <c r="L2796" i="1"/>
  <c r="A2797" i="1"/>
  <c r="B2797" i="1"/>
  <c r="C2797" i="1"/>
  <c r="D2797" i="1"/>
  <c r="E2797" i="1"/>
  <c r="F2797" i="1"/>
  <c r="G2797" i="1"/>
  <c r="H2797" i="1"/>
  <c r="I2797" i="1"/>
  <c r="J2797" i="1"/>
  <c r="K2797" i="1"/>
  <c r="L2797" i="1"/>
  <c r="A2798" i="1"/>
  <c r="B2798" i="1"/>
  <c r="C2798" i="1"/>
  <c r="D2798" i="1"/>
  <c r="E2798" i="1"/>
  <c r="F2798" i="1"/>
  <c r="G2798" i="1"/>
  <c r="H2798" i="1"/>
  <c r="I2798" i="1"/>
  <c r="J2798" i="1"/>
  <c r="K2798" i="1"/>
  <c r="L2798" i="1"/>
  <c r="A2799" i="1"/>
  <c r="B2799" i="1"/>
  <c r="C2799" i="1"/>
  <c r="D2799" i="1"/>
  <c r="E2799" i="1"/>
  <c r="F2799" i="1"/>
  <c r="G2799" i="1"/>
  <c r="H2799" i="1"/>
  <c r="I2799" i="1"/>
  <c r="J2799" i="1"/>
  <c r="K2799" i="1"/>
  <c r="L2799" i="1"/>
  <c r="A2800" i="1"/>
  <c r="B2800" i="1"/>
  <c r="C2800" i="1"/>
  <c r="D2800" i="1"/>
  <c r="E2800" i="1"/>
  <c r="F2800" i="1"/>
  <c r="G2800" i="1"/>
  <c r="H2800" i="1"/>
  <c r="I2800" i="1"/>
  <c r="J2800" i="1"/>
  <c r="K2800" i="1"/>
  <c r="L2800" i="1"/>
  <c r="A2801" i="1"/>
  <c r="B2801" i="1"/>
  <c r="C2801" i="1"/>
  <c r="D2801" i="1"/>
  <c r="E2801" i="1"/>
  <c r="F2801" i="1"/>
  <c r="G2801" i="1"/>
  <c r="H2801" i="1"/>
  <c r="I2801" i="1"/>
  <c r="J2801" i="1"/>
  <c r="K2801" i="1"/>
  <c r="L2801" i="1"/>
  <c r="A2802" i="1"/>
  <c r="B2802" i="1"/>
  <c r="C2802" i="1"/>
  <c r="D2802" i="1"/>
  <c r="E2802" i="1"/>
  <c r="F2802" i="1"/>
  <c r="G2802" i="1"/>
  <c r="H2802" i="1"/>
  <c r="I2802" i="1"/>
  <c r="J2802" i="1"/>
  <c r="K2802" i="1"/>
  <c r="L2802" i="1"/>
  <c r="A2803" i="1"/>
  <c r="B2803" i="1"/>
  <c r="C2803" i="1"/>
  <c r="D2803" i="1"/>
  <c r="E2803" i="1"/>
  <c r="F2803" i="1"/>
  <c r="G2803" i="1"/>
  <c r="H2803" i="1"/>
  <c r="I2803" i="1"/>
  <c r="J2803" i="1"/>
  <c r="K2803" i="1"/>
  <c r="L2803" i="1"/>
  <c r="A2804" i="1"/>
  <c r="B2804" i="1"/>
  <c r="C2804" i="1"/>
  <c r="D2804" i="1"/>
  <c r="E2804" i="1"/>
  <c r="F2804" i="1"/>
  <c r="G2804" i="1"/>
  <c r="H2804" i="1"/>
  <c r="I2804" i="1"/>
  <c r="J2804" i="1"/>
  <c r="K2804" i="1"/>
  <c r="L2804" i="1"/>
  <c r="A2805" i="1"/>
  <c r="B2805" i="1"/>
  <c r="C2805" i="1"/>
  <c r="D2805" i="1"/>
  <c r="E2805" i="1"/>
  <c r="F2805" i="1"/>
  <c r="G2805" i="1"/>
  <c r="H2805" i="1"/>
  <c r="I2805" i="1"/>
  <c r="J2805" i="1"/>
  <c r="K2805" i="1"/>
  <c r="L2805" i="1"/>
  <c r="A2806" i="1"/>
  <c r="B2806" i="1"/>
  <c r="C2806" i="1"/>
  <c r="D2806" i="1"/>
  <c r="E2806" i="1"/>
  <c r="F2806" i="1"/>
  <c r="G2806" i="1"/>
  <c r="H2806" i="1"/>
  <c r="I2806" i="1"/>
  <c r="J2806" i="1"/>
  <c r="K2806" i="1"/>
  <c r="L2806" i="1"/>
  <c r="A2807" i="1"/>
  <c r="B2807" i="1"/>
  <c r="C2807" i="1"/>
  <c r="D2807" i="1"/>
  <c r="E2807" i="1"/>
  <c r="F2807" i="1"/>
  <c r="G2807" i="1"/>
  <c r="H2807" i="1"/>
  <c r="I2807" i="1"/>
  <c r="J2807" i="1"/>
  <c r="K2807" i="1"/>
  <c r="L2807" i="1"/>
  <c r="A2808" i="1"/>
  <c r="B2808" i="1"/>
  <c r="C2808" i="1"/>
  <c r="D2808" i="1"/>
  <c r="E2808" i="1"/>
  <c r="F2808" i="1"/>
  <c r="G2808" i="1"/>
  <c r="H2808" i="1"/>
  <c r="I2808" i="1"/>
  <c r="J2808" i="1"/>
  <c r="K2808" i="1"/>
  <c r="L2808" i="1"/>
  <c r="A2809" i="1"/>
  <c r="B2809" i="1"/>
  <c r="C2809" i="1"/>
  <c r="D2809" i="1"/>
  <c r="E2809" i="1"/>
  <c r="F2809" i="1"/>
  <c r="G2809" i="1"/>
  <c r="H2809" i="1"/>
  <c r="I2809" i="1"/>
  <c r="J2809" i="1"/>
  <c r="K2809" i="1"/>
  <c r="L2809" i="1"/>
  <c r="A2810" i="1"/>
  <c r="B2810" i="1"/>
  <c r="C2810" i="1"/>
  <c r="D2810" i="1"/>
  <c r="E2810" i="1"/>
  <c r="F2810" i="1"/>
  <c r="G2810" i="1"/>
  <c r="H2810" i="1"/>
  <c r="I2810" i="1"/>
  <c r="J2810" i="1"/>
  <c r="K2810" i="1"/>
  <c r="L2810" i="1"/>
  <c r="A2811" i="1"/>
  <c r="B2811" i="1"/>
  <c r="C2811" i="1"/>
  <c r="D2811" i="1"/>
  <c r="E2811" i="1"/>
  <c r="F2811" i="1"/>
  <c r="G2811" i="1"/>
  <c r="H2811" i="1"/>
  <c r="I2811" i="1"/>
  <c r="J2811" i="1"/>
  <c r="K2811" i="1"/>
  <c r="L2811" i="1"/>
  <c r="A2812" i="1"/>
  <c r="B2812" i="1"/>
  <c r="C2812" i="1"/>
  <c r="D2812" i="1"/>
  <c r="E2812" i="1"/>
  <c r="F2812" i="1"/>
  <c r="G2812" i="1"/>
  <c r="H2812" i="1"/>
  <c r="I2812" i="1"/>
  <c r="J2812" i="1"/>
  <c r="K2812" i="1"/>
  <c r="L2812" i="1"/>
  <c r="A2813" i="1"/>
  <c r="B2813" i="1"/>
  <c r="C2813" i="1"/>
  <c r="D2813" i="1"/>
  <c r="E2813" i="1"/>
  <c r="F2813" i="1"/>
  <c r="G2813" i="1"/>
  <c r="H2813" i="1"/>
  <c r="I2813" i="1"/>
  <c r="J2813" i="1"/>
  <c r="K2813" i="1"/>
  <c r="L2813" i="1"/>
  <c r="A2814" i="1"/>
  <c r="B2814" i="1"/>
  <c r="C2814" i="1"/>
  <c r="D2814" i="1"/>
  <c r="E2814" i="1"/>
  <c r="F2814" i="1"/>
  <c r="G2814" i="1"/>
  <c r="H2814" i="1"/>
  <c r="I2814" i="1"/>
  <c r="J2814" i="1"/>
  <c r="K2814" i="1"/>
  <c r="L2814" i="1"/>
  <c r="A2815" i="1"/>
  <c r="B2815" i="1"/>
  <c r="C2815" i="1"/>
  <c r="D2815" i="1"/>
  <c r="E2815" i="1"/>
  <c r="F2815" i="1"/>
  <c r="G2815" i="1"/>
  <c r="H2815" i="1"/>
  <c r="I2815" i="1"/>
  <c r="J2815" i="1"/>
  <c r="K2815" i="1"/>
  <c r="L2815" i="1"/>
  <c r="A2816" i="1"/>
  <c r="B2816" i="1"/>
  <c r="C2816" i="1"/>
  <c r="D2816" i="1"/>
  <c r="E2816" i="1"/>
  <c r="F2816" i="1"/>
  <c r="G2816" i="1"/>
  <c r="H2816" i="1"/>
  <c r="I2816" i="1"/>
  <c r="J2816" i="1"/>
  <c r="K2816" i="1"/>
  <c r="L2816" i="1"/>
  <c r="A2817" i="1"/>
  <c r="B2817" i="1"/>
  <c r="C2817" i="1"/>
  <c r="D2817" i="1"/>
  <c r="E2817" i="1"/>
  <c r="F2817" i="1"/>
  <c r="G2817" i="1"/>
  <c r="H2817" i="1"/>
  <c r="I2817" i="1"/>
  <c r="J2817" i="1"/>
  <c r="K2817" i="1"/>
  <c r="L2817" i="1"/>
  <c r="A2818" i="1"/>
  <c r="B2818" i="1"/>
  <c r="C2818" i="1"/>
  <c r="D2818" i="1"/>
  <c r="E2818" i="1"/>
  <c r="F2818" i="1"/>
  <c r="G2818" i="1"/>
  <c r="H2818" i="1"/>
  <c r="I2818" i="1"/>
  <c r="J2818" i="1"/>
  <c r="K2818" i="1"/>
  <c r="L2818" i="1"/>
  <c r="A2819" i="1"/>
  <c r="B2819" i="1"/>
  <c r="C2819" i="1"/>
  <c r="D2819" i="1"/>
  <c r="E2819" i="1"/>
  <c r="F2819" i="1"/>
  <c r="G2819" i="1"/>
  <c r="H2819" i="1"/>
  <c r="I2819" i="1"/>
  <c r="J2819" i="1"/>
  <c r="K2819" i="1"/>
  <c r="L2819" i="1"/>
  <c r="A2820" i="1"/>
  <c r="B2820" i="1"/>
  <c r="C2820" i="1"/>
  <c r="D2820" i="1"/>
  <c r="E2820" i="1"/>
  <c r="F2820" i="1"/>
  <c r="G2820" i="1"/>
  <c r="H2820" i="1"/>
  <c r="I2820" i="1"/>
  <c r="J2820" i="1"/>
  <c r="K2820" i="1"/>
  <c r="L2820" i="1"/>
  <c r="A2821" i="1"/>
  <c r="B2821" i="1"/>
  <c r="C2821" i="1"/>
  <c r="D2821" i="1"/>
  <c r="E2821" i="1"/>
  <c r="F2821" i="1"/>
  <c r="G2821" i="1"/>
  <c r="H2821" i="1"/>
  <c r="I2821" i="1"/>
  <c r="J2821" i="1"/>
  <c r="K2821" i="1"/>
  <c r="L2821" i="1"/>
  <c r="A2822" i="1"/>
  <c r="B2822" i="1"/>
  <c r="C2822" i="1"/>
  <c r="D2822" i="1"/>
  <c r="E2822" i="1"/>
  <c r="F2822" i="1"/>
  <c r="G2822" i="1"/>
  <c r="H2822" i="1"/>
  <c r="I2822" i="1"/>
  <c r="J2822" i="1"/>
  <c r="K2822" i="1"/>
  <c r="L2822" i="1"/>
  <c r="A2823" i="1"/>
  <c r="B2823" i="1"/>
  <c r="C2823" i="1"/>
  <c r="D2823" i="1"/>
  <c r="E2823" i="1"/>
  <c r="F2823" i="1"/>
  <c r="G2823" i="1"/>
  <c r="H2823" i="1"/>
  <c r="I2823" i="1"/>
  <c r="J2823" i="1"/>
  <c r="K2823" i="1"/>
  <c r="L2823" i="1"/>
  <c r="A2824" i="1"/>
  <c r="B2824" i="1"/>
  <c r="C2824" i="1"/>
  <c r="D2824" i="1"/>
  <c r="E2824" i="1"/>
  <c r="F2824" i="1"/>
  <c r="G2824" i="1"/>
  <c r="H2824" i="1"/>
  <c r="I2824" i="1"/>
  <c r="J2824" i="1"/>
  <c r="K2824" i="1"/>
  <c r="L2824" i="1"/>
  <c r="A2825" i="1"/>
  <c r="B2825" i="1"/>
  <c r="C2825" i="1"/>
  <c r="D2825" i="1"/>
  <c r="E2825" i="1"/>
  <c r="F2825" i="1"/>
  <c r="G2825" i="1"/>
  <c r="H2825" i="1"/>
  <c r="I2825" i="1"/>
  <c r="J2825" i="1"/>
  <c r="K2825" i="1"/>
  <c r="L2825" i="1"/>
  <c r="A2826" i="1"/>
  <c r="B2826" i="1"/>
  <c r="C2826" i="1"/>
  <c r="D2826" i="1"/>
  <c r="E2826" i="1"/>
  <c r="F2826" i="1"/>
  <c r="G2826" i="1"/>
  <c r="H2826" i="1"/>
  <c r="I2826" i="1"/>
  <c r="J2826" i="1"/>
  <c r="K2826" i="1"/>
  <c r="L2826" i="1"/>
  <c r="A2827" i="1"/>
  <c r="B2827" i="1"/>
  <c r="C2827" i="1"/>
  <c r="D2827" i="1"/>
  <c r="E2827" i="1"/>
  <c r="F2827" i="1"/>
  <c r="G2827" i="1"/>
  <c r="H2827" i="1"/>
  <c r="I2827" i="1"/>
  <c r="J2827" i="1"/>
  <c r="K2827" i="1"/>
  <c r="L2827" i="1"/>
  <c r="A2828" i="1"/>
  <c r="B2828" i="1"/>
  <c r="C2828" i="1"/>
  <c r="D2828" i="1"/>
  <c r="E2828" i="1"/>
  <c r="F2828" i="1"/>
  <c r="G2828" i="1"/>
  <c r="H2828" i="1"/>
  <c r="I2828" i="1"/>
  <c r="J2828" i="1"/>
  <c r="K2828" i="1"/>
  <c r="L2828" i="1"/>
  <c r="A2829" i="1"/>
  <c r="B2829" i="1"/>
  <c r="C2829" i="1"/>
  <c r="D2829" i="1"/>
  <c r="E2829" i="1"/>
  <c r="F2829" i="1"/>
  <c r="G2829" i="1"/>
  <c r="H2829" i="1"/>
  <c r="I2829" i="1"/>
  <c r="J2829" i="1"/>
  <c r="K2829" i="1"/>
  <c r="L2829" i="1"/>
  <c r="A2830" i="1"/>
  <c r="B2830" i="1"/>
  <c r="C2830" i="1"/>
  <c r="D2830" i="1"/>
  <c r="E2830" i="1"/>
  <c r="F2830" i="1"/>
  <c r="G2830" i="1"/>
  <c r="H2830" i="1"/>
  <c r="I2830" i="1"/>
  <c r="J2830" i="1"/>
  <c r="K2830" i="1"/>
  <c r="L2830" i="1"/>
  <c r="A2831" i="1"/>
  <c r="B2831" i="1"/>
  <c r="C2831" i="1"/>
  <c r="D2831" i="1"/>
  <c r="E2831" i="1"/>
  <c r="F2831" i="1"/>
  <c r="G2831" i="1"/>
  <c r="H2831" i="1"/>
  <c r="I2831" i="1"/>
  <c r="J2831" i="1"/>
  <c r="K2831" i="1"/>
  <c r="L2831" i="1"/>
  <c r="A2832" i="1"/>
  <c r="B2832" i="1"/>
  <c r="C2832" i="1"/>
  <c r="D2832" i="1"/>
  <c r="E2832" i="1"/>
  <c r="F2832" i="1"/>
  <c r="G2832" i="1"/>
  <c r="H2832" i="1"/>
  <c r="I2832" i="1"/>
  <c r="J2832" i="1"/>
  <c r="K2832" i="1"/>
  <c r="L2832" i="1"/>
  <c r="A2833" i="1"/>
  <c r="B2833" i="1"/>
  <c r="C2833" i="1"/>
  <c r="D2833" i="1"/>
  <c r="E2833" i="1"/>
  <c r="F2833" i="1"/>
  <c r="G2833" i="1"/>
  <c r="H2833" i="1"/>
  <c r="I2833" i="1"/>
  <c r="J2833" i="1"/>
  <c r="K2833" i="1"/>
  <c r="L2833" i="1"/>
  <c r="A2834" i="1"/>
  <c r="B2834" i="1"/>
  <c r="C2834" i="1"/>
  <c r="D2834" i="1"/>
  <c r="E2834" i="1"/>
  <c r="F2834" i="1"/>
  <c r="G2834" i="1"/>
  <c r="H2834" i="1"/>
  <c r="I2834" i="1"/>
  <c r="J2834" i="1"/>
  <c r="K2834" i="1"/>
  <c r="L2834" i="1"/>
  <c r="A2835" i="1"/>
  <c r="B2835" i="1"/>
  <c r="C2835" i="1"/>
  <c r="D2835" i="1"/>
  <c r="E2835" i="1"/>
  <c r="F2835" i="1"/>
  <c r="G2835" i="1"/>
  <c r="H2835" i="1"/>
  <c r="I2835" i="1"/>
  <c r="J2835" i="1"/>
  <c r="K2835" i="1"/>
  <c r="L2835" i="1"/>
  <c r="A2836" i="1"/>
  <c r="B2836" i="1"/>
  <c r="C2836" i="1"/>
  <c r="D2836" i="1"/>
  <c r="E2836" i="1"/>
  <c r="F2836" i="1"/>
  <c r="G2836" i="1"/>
  <c r="H2836" i="1"/>
  <c r="I2836" i="1"/>
  <c r="J2836" i="1"/>
  <c r="K2836" i="1"/>
  <c r="L2836" i="1"/>
  <c r="A2837" i="1"/>
  <c r="B2837" i="1"/>
  <c r="C2837" i="1"/>
  <c r="D2837" i="1"/>
  <c r="E2837" i="1"/>
  <c r="F2837" i="1"/>
  <c r="G2837" i="1"/>
  <c r="H2837" i="1"/>
  <c r="I2837" i="1"/>
  <c r="J2837" i="1"/>
  <c r="K2837" i="1"/>
  <c r="L2837" i="1"/>
  <c r="A2838" i="1"/>
  <c r="B2838" i="1"/>
  <c r="C2838" i="1"/>
  <c r="D2838" i="1"/>
  <c r="E2838" i="1"/>
  <c r="F2838" i="1"/>
  <c r="G2838" i="1"/>
  <c r="H2838" i="1"/>
  <c r="I2838" i="1"/>
  <c r="J2838" i="1"/>
  <c r="K2838" i="1"/>
  <c r="L2838" i="1"/>
  <c r="A2839" i="1"/>
  <c r="B2839" i="1"/>
  <c r="C2839" i="1"/>
  <c r="D2839" i="1"/>
  <c r="E2839" i="1"/>
  <c r="F2839" i="1"/>
  <c r="G2839" i="1"/>
  <c r="H2839" i="1"/>
  <c r="I2839" i="1"/>
  <c r="J2839" i="1"/>
  <c r="K2839" i="1"/>
  <c r="L2839" i="1"/>
  <c r="A2840" i="1"/>
  <c r="B2840" i="1"/>
  <c r="C2840" i="1"/>
  <c r="D2840" i="1"/>
  <c r="E2840" i="1"/>
  <c r="F2840" i="1"/>
  <c r="G2840" i="1"/>
  <c r="H2840" i="1"/>
  <c r="I2840" i="1"/>
  <c r="J2840" i="1"/>
  <c r="K2840" i="1"/>
  <c r="L2840" i="1"/>
  <c r="A2841" i="1"/>
  <c r="B2841" i="1"/>
  <c r="C2841" i="1"/>
  <c r="D2841" i="1"/>
  <c r="E2841" i="1"/>
  <c r="F2841" i="1"/>
  <c r="G2841" i="1"/>
  <c r="H2841" i="1"/>
  <c r="I2841" i="1"/>
  <c r="J2841" i="1"/>
  <c r="K2841" i="1"/>
  <c r="L2841" i="1"/>
  <c r="A2842" i="1"/>
  <c r="B2842" i="1"/>
  <c r="C2842" i="1"/>
  <c r="D2842" i="1"/>
  <c r="E2842" i="1"/>
  <c r="F2842" i="1"/>
  <c r="G2842" i="1"/>
  <c r="H2842" i="1"/>
  <c r="I2842" i="1"/>
  <c r="J2842" i="1"/>
  <c r="K2842" i="1"/>
  <c r="L2842" i="1"/>
  <c r="A2843" i="1"/>
  <c r="B2843" i="1"/>
  <c r="C2843" i="1"/>
  <c r="D2843" i="1"/>
  <c r="E2843" i="1"/>
  <c r="F2843" i="1"/>
  <c r="G2843" i="1"/>
  <c r="H2843" i="1"/>
  <c r="I2843" i="1"/>
  <c r="J2843" i="1"/>
  <c r="K2843" i="1"/>
  <c r="L2843" i="1"/>
  <c r="A2844" i="1"/>
  <c r="B2844" i="1"/>
  <c r="C2844" i="1"/>
  <c r="D2844" i="1"/>
  <c r="E2844" i="1"/>
  <c r="F2844" i="1"/>
  <c r="G2844" i="1"/>
  <c r="H2844" i="1"/>
  <c r="I2844" i="1"/>
  <c r="J2844" i="1"/>
  <c r="K2844" i="1"/>
  <c r="L2844" i="1"/>
  <c r="A2845" i="1"/>
  <c r="B2845" i="1"/>
  <c r="C2845" i="1"/>
  <c r="D2845" i="1"/>
  <c r="E2845" i="1"/>
  <c r="F2845" i="1"/>
  <c r="G2845" i="1"/>
  <c r="H2845" i="1"/>
  <c r="I2845" i="1"/>
  <c r="J2845" i="1"/>
  <c r="K2845" i="1"/>
  <c r="L2845" i="1"/>
  <c r="A2846" i="1"/>
  <c r="B2846" i="1"/>
  <c r="C2846" i="1"/>
  <c r="D2846" i="1"/>
  <c r="E2846" i="1"/>
  <c r="F2846" i="1"/>
  <c r="G2846" i="1"/>
  <c r="H2846" i="1"/>
  <c r="I2846" i="1"/>
  <c r="J2846" i="1"/>
  <c r="K2846" i="1"/>
  <c r="L2846" i="1"/>
  <c r="A2847" i="1"/>
  <c r="B2847" i="1"/>
  <c r="C2847" i="1"/>
  <c r="D2847" i="1"/>
  <c r="E2847" i="1"/>
  <c r="F2847" i="1"/>
  <c r="G2847" i="1"/>
  <c r="H2847" i="1"/>
  <c r="I2847" i="1"/>
  <c r="J2847" i="1"/>
  <c r="K2847" i="1"/>
  <c r="L2847" i="1"/>
  <c r="A2848" i="1"/>
  <c r="B2848" i="1"/>
  <c r="C2848" i="1"/>
  <c r="D2848" i="1"/>
  <c r="E2848" i="1"/>
  <c r="F2848" i="1"/>
  <c r="G2848" i="1"/>
  <c r="H2848" i="1"/>
  <c r="I2848" i="1"/>
  <c r="J2848" i="1"/>
  <c r="K2848" i="1"/>
  <c r="L2848" i="1"/>
  <c r="A2849" i="1"/>
  <c r="B2849" i="1"/>
  <c r="C2849" i="1"/>
  <c r="D2849" i="1"/>
  <c r="E2849" i="1"/>
  <c r="F2849" i="1"/>
  <c r="G2849" i="1"/>
  <c r="H2849" i="1"/>
  <c r="I2849" i="1"/>
  <c r="J2849" i="1"/>
  <c r="K2849" i="1"/>
  <c r="L2849" i="1"/>
  <c r="A2850" i="1"/>
  <c r="B2850" i="1"/>
  <c r="C2850" i="1"/>
  <c r="D2850" i="1"/>
  <c r="E2850" i="1"/>
  <c r="F2850" i="1"/>
  <c r="G2850" i="1"/>
  <c r="H2850" i="1"/>
  <c r="I2850" i="1"/>
  <c r="J2850" i="1"/>
  <c r="K2850" i="1"/>
  <c r="L2850" i="1"/>
  <c r="A2851" i="1"/>
  <c r="B2851" i="1"/>
  <c r="C2851" i="1"/>
  <c r="D2851" i="1"/>
  <c r="E2851" i="1"/>
  <c r="F2851" i="1"/>
  <c r="G2851" i="1"/>
  <c r="H2851" i="1"/>
  <c r="I2851" i="1"/>
  <c r="J2851" i="1"/>
  <c r="K2851" i="1"/>
  <c r="L2851" i="1"/>
  <c r="A2852" i="1"/>
  <c r="B2852" i="1"/>
  <c r="C2852" i="1"/>
  <c r="D2852" i="1"/>
  <c r="E2852" i="1"/>
  <c r="F2852" i="1"/>
  <c r="G2852" i="1"/>
  <c r="H2852" i="1"/>
  <c r="I2852" i="1"/>
  <c r="J2852" i="1"/>
  <c r="K2852" i="1"/>
  <c r="L2852" i="1"/>
  <c r="A2853" i="1"/>
  <c r="B2853" i="1"/>
  <c r="C2853" i="1"/>
  <c r="D2853" i="1"/>
  <c r="E2853" i="1"/>
  <c r="F2853" i="1"/>
  <c r="G2853" i="1"/>
  <c r="H2853" i="1"/>
  <c r="I2853" i="1"/>
  <c r="J2853" i="1"/>
  <c r="K2853" i="1"/>
  <c r="L2853" i="1"/>
  <c r="A2854" i="1"/>
  <c r="B2854" i="1"/>
  <c r="C2854" i="1"/>
  <c r="D2854" i="1"/>
  <c r="E2854" i="1"/>
  <c r="F2854" i="1"/>
  <c r="G2854" i="1"/>
  <c r="H2854" i="1"/>
  <c r="I2854" i="1"/>
  <c r="J2854" i="1"/>
  <c r="K2854" i="1"/>
  <c r="L2854" i="1"/>
  <c r="A2855" i="1"/>
  <c r="B2855" i="1"/>
  <c r="C2855" i="1"/>
  <c r="D2855" i="1"/>
  <c r="E2855" i="1"/>
  <c r="F2855" i="1"/>
  <c r="G2855" i="1"/>
  <c r="H2855" i="1"/>
  <c r="I2855" i="1"/>
  <c r="J2855" i="1"/>
  <c r="K2855" i="1"/>
  <c r="L2855" i="1"/>
  <c r="A2856" i="1"/>
  <c r="B2856" i="1"/>
  <c r="C2856" i="1"/>
  <c r="D2856" i="1"/>
  <c r="E2856" i="1"/>
  <c r="F2856" i="1"/>
  <c r="G2856" i="1"/>
  <c r="H2856" i="1"/>
  <c r="I2856" i="1"/>
  <c r="J2856" i="1"/>
  <c r="K2856" i="1"/>
  <c r="L2856" i="1"/>
  <c r="A2857" i="1"/>
  <c r="B2857" i="1"/>
  <c r="C2857" i="1"/>
  <c r="D2857" i="1"/>
  <c r="E2857" i="1"/>
  <c r="F2857" i="1"/>
  <c r="G2857" i="1"/>
  <c r="H2857" i="1"/>
  <c r="I2857" i="1"/>
  <c r="J2857" i="1"/>
  <c r="K2857" i="1"/>
  <c r="L2857" i="1"/>
  <c r="A2858" i="1"/>
  <c r="B2858" i="1"/>
  <c r="C2858" i="1"/>
  <c r="D2858" i="1"/>
  <c r="E2858" i="1"/>
  <c r="F2858" i="1"/>
  <c r="G2858" i="1"/>
  <c r="H2858" i="1"/>
  <c r="I2858" i="1"/>
  <c r="J2858" i="1"/>
  <c r="K2858" i="1"/>
  <c r="L2858" i="1"/>
  <c r="A2859" i="1"/>
  <c r="B2859" i="1"/>
  <c r="C2859" i="1"/>
  <c r="D2859" i="1"/>
  <c r="E2859" i="1"/>
  <c r="F2859" i="1"/>
  <c r="G2859" i="1"/>
  <c r="H2859" i="1"/>
  <c r="I2859" i="1"/>
  <c r="J2859" i="1"/>
  <c r="K2859" i="1"/>
  <c r="L2859" i="1"/>
  <c r="A2860" i="1"/>
  <c r="B2860" i="1"/>
  <c r="C2860" i="1"/>
  <c r="D2860" i="1"/>
  <c r="E2860" i="1"/>
  <c r="F2860" i="1"/>
  <c r="G2860" i="1"/>
  <c r="H2860" i="1"/>
  <c r="I2860" i="1"/>
  <c r="J2860" i="1"/>
  <c r="K2860" i="1"/>
  <c r="L2860" i="1"/>
  <c r="A2861" i="1"/>
  <c r="B2861" i="1"/>
  <c r="C2861" i="1"/>
  <c r="D2861" i="1"/>
  <c r="E2861" i="1"/>
  <c r="F2861" i="1"/>
  <c r="G2861" i="1"/>
  <c r="H2861" i="1"/>
  <c r="I2861" i="1"/>
  <c r="J2861" i="1"/>
  <c r="K2861" i="1"/>
  <c r="L2861" i="1"/>
  <c r="A2862" i="1"/>
  <c r="B2862" i="1"/>
  <c r="C2862" i="1"/>
  <c r="D2862" i="1"/>
  <c r="E2862" i="1"/>
  <c r="F2862" i="1"/>
  <c r="G2862" i="1"/>
  <c r="H2862" i="1"/>
  <c r="I2862" i="1"/>
  <c r="J2862" i="1"/>
  <c r="K2862" i="1"/>
  <c r="L2862" i="1"/>
  <c r="A2863" i="1"/>
  <c r="B2863" i="1"/>
  <c r="C2863" i="1"/>
  <c r="D2863" i="1"/>
  <c r="E2863" i="1"/>
  <c r="F2863" i="1"/>
  <c r="G2863" i="1"/>
  <c r="H2863" i="1"/>
  <c r="I2863" i="1"/>
  <c r="J2863" i="1"/>
  <c r="K2863" i="1"/>
  <c r="L2863" i="1"/>
  <c r="A2864" i="1"/>
  <c r="B2864" i="1"/>
  <c r="C2864" i="1"/>
  <c r="D2864" i="1"/>
  <c r="E2864" i="1"/>
  <c r="F2864" i="1"/>
  <c r="G2864" i="1"/>
  <c r="H2864" i="1"/>
  <c r="I2864" i="1"/>
  <c r="J2864" i="1"/>
  <c r="K2864" i="1"/>
  <c r="L2864" i="1"/>
  <c r="A2865" i="1"/>
  <c r="B2865" i="1"/>
  <c r="C2865" i="1"/>
  <c r="D2865" i="1"/>
  <c r="E2865" i="1"/>
  <c r="F2865" i="1"/>
  <c r="G2865" i="1"/>
  <c r="H2865" i="1"/>
  <c r="I2865" i="1"/>
  <c r="J2865" i="1"/>
  <c r="K2865" i="1"/>
  <c r="L2865" i="1"/>
  <c r="A2866" i="1"/>
  <c r="B2866" i="1"/>
  <c r="C2866" i="1"/>
  <c r="D2866" i="1"/>
  <c r="E2866" i="1"/>
  <c r="F2866" i="1"/>
  <c r="G2866" i="1"/>
  <c r="H2866" i="1"/>
  <c r="I2866" i="1"/>
  <c r="J2866" i="1"/>
  <c r="K2866" i="1"/>
  <c r="L2866" i="1"/>
  <c r="A2867" i="1"/>
  <c r="B2867" i="1"/>
  <c r="C2867" i="1"/>
  <c r="D2867" i="1"/>
  <c r="E2867" i="1"/>
  <c r="F2867" i="1"/>
  <c r="G2867" i="1"/>
  <c r="H2867" i="1"/>
  <c r="I2867" i="1"/>
  <c r="J2867" i="1"/>
  <c r="K2867" i="1"/>
  <c r="L2867" i="1"/>
  <c r="A2868" i="1"/>
  <c r="B2868" i="1"/>
  <c r="C2868" i="1"/>
  <c r="D2868" i="1"/>
  <c r="E2868" i="1"/>
  <c r="F2868" i="1"/>
  <c r="G2868" i="1"/>
  <c r="H2868" i="1"/>
  <c r="I2868" i="1"/>
  <c r="J2868" i="1"/>
  <c r="K2868" i="1"/>
  <c r="L2868" i="1"/>
  <c r="A2869" i="1"/>
  <c r="B2869" i="1"/>
  <c r="C2869" i="1"/>
  <c r="D2869" i="1"/>
  <c r="E2869" i="1"/>
  <c r="F2869" i="1"/>
  <c r="G2869" i="1"/>
  <c r="H2869" i="1"/>
  <c r="I2869" i="1"/>
  <c r="J2869" i="1"/>
  <c r="K2869" i="1"/>
  <c r="L2869" i="1"/>
  <c r="A2870" i="1"/>
  <c r="B2870" i="1"/>
  <c r="C2870" i="1"/>
  <c r="D2870" i="1"/>
  <c r="E2870" i="1"/>
  <c r="F2870" i="1"/>
  <c r="G2870" i="1"/>
  <c r="H2870" i="1"/>
  <c r="I2870" i="1"/>
  <c r="J2870" i="1"/>
  <c r="K2870" i="1"/>
  <c r="L2870" i="1"/>
  <c r="A2871" i="1"/>
  <c r="B2871" i="1"/>
  <c r="C2871" i="1"/>
  <c r="D2871" i="1"/>
  <c r="E2871" i="1"/>
  <c r="F2871" i="1"/>
  <c r="G2871" i="1"/>
  <c r="H2871" i="1"/>
  <c r="I2871" i="1"/>
  <c r="J2871" i="1"/>
  <c r="K2871" i="1"/>
  <c r="L2871" i="1"/>
  <c r="A2872" i="1"/>
  <c r="B2872" i="1"/>
  <c r="C2872" i="1"/>
  <c r="D2872" i="1"/>
  <c r="E2872" i="1"/>
  <c r="F2872" i="1"/>
  <c r="G2872" i="1"/>
  <c r="H2872" i="1"/>
  <c r="I2872" i="1"/>
  <c r="J2872" i="1"/>
  <c r="K2872" i="1"/>
  <c r="L2872" i="1"/>
  <c r="A2873" i="1"/>
  <c r="B2873" i="1"/>
  <c r="C2873" i="1"/>
  <c r="D2873" i="1"/>
  <c r="E2873" i="1"/>
  <c r="F2873" i="1"/>
  <c r="G2873" i="1"/>
  <c r="H2873" i="1"/>
  <c r="I2873" i="1"/>
  <c r="J2873" i="1"/>
  <c r="K2873" i="1"/>
  <c r="L2873" i="1"/>
  <c r="A2874" i="1"/>
  <c r="B2874" i="1"/>
  <c r="C2874" i="1"/>
  <c r="D2874" i="1"/>
  <c r="E2874" i="1"/>
  <c r="F2874" i="1"/>
  <c r="G2874" i="1"/>
  <c r="H2874" i="1"/>
  <c r="I2874" i="1"/>
  <c r="J2874" i="1"/>
  <c r="K2874" i="1"/>
  <c r="L2874" i="1"/>
  <c r="A2875" i="1"/>
  <c r="B2875" i="1"/>
  <c r="C2875" i="1"/>
  <c r="D2875" i="1"/>
  <c r="E2875" i="1"/>
  <c r="F2875" i="1"/>
  <c r="G2875" i="1"/>
  <c r="H2875" i="1"/>
  <c r="I2875" i="1"/>
  <c r="J2875" i="1"/>
  <c r="K2875" i="1"/>
  <c r="L2875" i="1"/>
  <c r="A2876" i="1"/>
  <c r="B2876" i="1"/>
  <c r="C2876" i="1"/>
  <c r="D2876" i="1"/>
  <c r="E2876" i="1"/>
  <c r="F2876" i="1"/>
  <c r="G2876" i="1"/>
  <c r="H2876" i="1"/>
  <c r="I2876" i="1"/>
  <c r="J2876" i="1"/>
  <c r="K2876" i="1"/>
  <c r="L2876" i="1"/>
  <c r="A2877" i="1"/>
  <c r="B2877" i="1"/>
  <c r="C2877" i="1"/>
  <c r="D2877" i="1"/>
  <c r="E2877" i="1"/>
  <c r="F2877" i="1"/>
  <c r="G2877" i="1"/>
  <c r="H2877" i="1"/>
  <c r="I2877" i="1"/>
  <c r="J2877" i="1"/>
  <c r="K2877" i="1"/>
  <c r="L2877" i="1"/>
  <c r="A2878" i="1"/>
  <c r="B2878" i="1"/>
  <c r="C2878" i="1"/>
  <c r="D2878" i="1"/>
  <c r="E2878" i="1"/>
  <c r="F2878" i="1"/>
  <c r="G2878" i="1"/>
  <c r="H2878" i="1"/>
  <c r="I2878" i="1"/>
  <c r="J2878" i="1"/>
  <c r="K2878" i="1"/>
  <c r="L2878" i="1"/>
  <c r="A2879" i="1"/>
  <c r="B2879" i="1"/>
  <c r="C2879" i="1"/>
  <c r="D2879" i="1"/>
  <c r="E2879" i="1"/>
  <c r="F2879" i="1"/>
  <c r="G2879" i="1"/>
  <c r="H2879" i="1"/>
  <c r="I2879" i="1"/>
  <c r="J2879" i="1"/>
  <c r="K2879" i="1"/>
  <c r="L2879" i="1"/>
  <c r="A2880" i="1"/>
  <c r="B2880" i="1"/>
  <c r="C2880" i="1"/>
  <c r="D2880" i="1"/>
  <c r="E2880" i="1"/>
  <c r="F2880" i="1"/>
  <c r="G2880" i="1"/>
  <c r="H2880" i="1"/>
  <c r="I2880" i="1"/>
  <c r="J2880" i="1"/>
  <c r="K2880" i="1"/>
  <c r="L2880" i="1"/>
  <c r="A2881" i="1"/>
  <c r="B2881" i="1"/>
  <c r="C2881" i="1"/>
  <c r="D2881" i="1"/>
  <c r="E2881" i="1"/>
  <c r="F2881" i="1"/>
  <c r="G2881" i="1"/>
  <c r="H2881" i="1"/>
  <c r="I2881" i="1"/>
  <c r="J2881" i="1"/>
  <c r="K2881" i="1"/>
  <c r="L2881" i="1"/>
  <c r="A2882" i="1"/>
  <c r="B2882" i="1"/>
  <c r="C2882" i="1"/>
  <c r="D2882" i="1"/>
  <c r="E2882" i="1"/>
  <c r="F2882" i="1"/>
  <c r="G2882" i="1"/>
  <c r="H2882" i="1"/>
  <c r="I2882" i="1"/>
  <c r="J2882" i="1"/>
  <c r="K2882" i="1"/>
  <c r="L2882" i="1"/>
  <c r="A2883" i="1"/>
  <c r="B2883" i="1"/>
  <c r="C2883" i="1"/>
  <c r="D2883" i="1"/>
  <c r="E2883" i="1"/>
  <c r="F2883" i="1"/>
  <c r="G2883" i="1"/>
  <c r="H2883" i="1"/>
  <c r="I2883" i="1"/>
  <c r="J2883" i="1"/>
  <c r="K2883" i="1"/>
  <c r="L2883" i="1"/>
  <c r="A2884" i="1"/>
  <c r="B2884" i="1"/>
  <c r="C2884" i="1"/>
  <c r="D2884" i="1"/>
  <c r="E2884" i="1"/>
  <c r="F2884" i="1"/>
  <c r="G2884" i="1"/>
  <c r="H2884" i="1"/>
  <c r="I2884" i="1"/>
  <c r="J2884" i="1"/>
  <c r="K2884" i="1"/>
  <c r="L2884" i="1"/>
  <c r="A2885" i="1"/>
  <c r="B2885" i="1"/>
  <c r="C2885" i="1"/>
  <c r="D2885" i="1"/>
  <c r="E2885" i="1"/>
  <c r="F2885" i="1"/>
  <c r="G2885" i="1"/>
  <c r="H2885" i="1"/>
  <c r="I2885" i="1"/>
  <c r="J2885" i="1"/>
  <c r="K2885" i="1"/>
  <c r="L2885" i="1"/>
  <c r="A2886" i="1"/>
  <c r="B2886" i="1"/>
  <c r="C2886" i="1"/>
  <c r="D2886" i="1"/>
  <c r="E2886" i="1"/>
  <c r="F2886" i="1"/>
  <c r="G2886" i="1"/>
  <c r="H2886" i="1"/>
  <c r="I2886" i="1"/>
  <c r="J2886" i="1"/>
  <c r="K2886" i="1"/>
  <c r="L2886" i="1"/>
  <c r="A2887" i="1"/>
  <c r="B2887" i="1"/>
  <c r="C2887" i="1"/>
  <c r="D2887" i="1"/>
  <c r="E2887" i="1"/>
  <c r="F2887" i="1"/>
  <c r="G2887" i="1"/>
  <c r="H2887" i="1"/>
  <c r="I2887" i="1"/>
  <c r="J2887" i="1"/>
  <c r="K2887" i="1"/>
  <c r="L2887" i="1"/>
  <c r="A2888" i="1"/>
  <c r="B2888" i="1"/>
  <c r="C2888" i="1"/>
  <c r="D2888" i="1"/>
  <c r="E2888" i="1"/>
  <c r="F2888" i="1"/>
  <c r="G2888" i="1"/>
  <c r="H2888" i="1"/>
  <c r="I2888" i="1"/>
  <c r="J2888" i="1"/>
  <c r="K2888" i="1"/>
  <c r="L2888" i="1"/>
  <c r="A2889" i="1"/>
  <c r="B2889" i="1"/>
  <c r="C2889" i="1"/>
  <c r="D2889" i="1"/>
  <c r="E2889" i="1"/>
  <c r="F2889" i="1"/>
  <c r="G2889" i="1"/>
  <c r="H2889" i="1"/>
  <c r="I2889" i="1"/>
  <c r="J2889" i="1"/>
  <c r="K2889" i="1"/>
  <c r="L2889" i="1"/>
  <c r="A2890" i="1"/>
  <c r="B2890" i="1"/>
  <c r="C2890" i="1"/>
  <c r="D2890" i="1"/>
  <c r="E2890" i="1"/>
  <c r="F2890" i="1"/>
  <c r="G2890" i="1"/>
  <c r="H2890" i="1"/>
  <c r="I2890" i="1"/>
  <c r="J2890" i="1"/>
  <c r="K2890" i="1"/>
  <c r="L2890" i="1"/>
  <c r="A2891" i="1"/>
  <c r="B2891" i="1"/>
  <c r="C2891" i="1"/>
  <c r="D2891" i="1"/>
  <c r="E2891" i="1"/>
  <c r="F2891" i="1"/>
  <c r="G2891" i="1"/>
  <c r="H2891" i="1"/>
  <c r="I2891" i="1"/>
  <c r="J2891" i="1"/>
  <c r="K2891" i="1"/>
  <c r="L2891" i="1"/>
  <c r="A2892" i="1"/>
  <c r="B2892" i="1"/>
  <c r="C2892" i="1"/>
  <c r="D2892" i="1"/>
  <c r="E2892" i="1"/>
  <c r="F2892" i="1"/>
  <c r="G2892" i="1"/>
  <c r="H2892" i="1"/>
  <c r="I2892" i="1"/>
  <c r="J2892" i="1"/>
  <c r="K2892" i="1"/>
  <c r="L2892" i="1"/>
  <c r="A2893" i="1"/>
  <c r="B2893" i="1"/>
  <c r="C2893" i="1"/>
  <c r="D2893" i="1"/>
  <c r="E2893" i="1"/>
  <c r="F2893" i="1"/>
  <c r="G2893" i="1"/>
  <c r="H2893" i="1"/>
  <c r="I2893" i="1"/>
  <c r="J2893" i="1"/>
  <c r="K2893" i="1"/>
  <c r="L2893" i="1"/>
  <c r="A2894" i="1"/>
  <c r="B2894" i="1"/>
  <c r="C2894" i="1"/>
  <c r="D2894" i="1"/>
  <c r="E2894" i="1"/>
  <c r="F2894" i="1"/>
  <c r="G2894" i="1"/>
  <c r="H2894" i="1"/>
  <c r="I2894" i="1"/>
  <c r="J2894" i="1"/>
  <c r="K2894" i="1"/>
  <c r="L2894" i="1"/>
  <c r="A2895" i="1"/>
  <c r="B2895" i="1"/>
  <c r="C2895" i="1"/>
  <c r="D2895" i="1"/>
  <c r="E2895" i="1"/>
  <c r="F2895" i="1"/>
  <c r="G2895" i="1"/>
  <c r="H2895" i="1"/>
  <c r="I2895" i="1"/>
  <c r="J2895" i="1"/>
  <c r="K2895" i="1"/>
  <c r="L2895" i="1"/>
  <c r="A2896" i="1"/>
  <c r="B2896" i="1"/>
  <c r="C2896" i="1"/>
  <c r="D2896" i="1"/>
  <c r="E2896" i="1"/>
  <c r="F2896" i="1"/>
  <c r="G2896" i="1"/>
  <c r="H2896" i="1"/>
  <c r="I2896" i="1"/>
  <c r="J2896" i="1"/>
  <c r="K2896" i="1"/>
  <c r="L2896" i="1"/>
  <c r="A2897" i="1"/>
  <c r="B2897" i="1"/>
  <c r="C2897" i="1"/>
  <c r="D2897" i="1"/>
  <c r="E2897" i="1"/>
  <c r="F2897" i="1"/>
  <c r="G2897" i="1"/>
  <c r="H2897" i="1"/>
  <c r="I2897" i="1"/>
  <c r="J2897" i="1"/>
  <c r="K2897" i="1"/>
  <c r="L2897" i="1"/>
  <c r="A2898" i="1"/>
  <c r="B2898" i="1"/>
  <c r="C2898" i="1"/>
  <c r="D2898" i="1"/>
  <c r="E2898" i="1"/>
  <c r="F2898" i="1"/>
  <c r="G2898" i="1"/>
  <c r="H2898" i="1"/>
  <c r="I2898" i="1"/>
  <c r="J2898" i="1"/>
  <c r="K2898" i="1"/>
  <c r="L2898" i="1"/>
  <c r="A2899" i="1"/>
  <c r="B2899" i="1"/>
  <c r="C2899" i="1"/>
  <c r="D2899" i="1"/>
  <c r="E2899" i="1"/>
  <c r="F2899" i="1"/>
  <c r="G2899" i="1"/>
  <c r="H2899" i="1"/>
  <c r="I2899" i="1"/>
  <c r="J2899" i="1"/>
  <c r="K2899" i="1"/>
  <c r="L2899" i="1"/>
  <c r="A2900" i="1"/>
  <c r="B2900" i="1"/>
  <c r="C2900" i="1"/>
  <c r="D2900" i="1"/>
  <c r="E2900" i="1"/>
  <c r="F2900" i="1"/>
  <c r="G2900" i="1"/>
  <c r="H2900" i="1"/>
  <c r="I2900" i="1"/>
  <c r="J2900" i="1"/>
  <c r="K2900" i="1"/>
  <c r="L2900" i="1"/>
  <c r="A2901" i="1"/>
  <c r="B2901" i="1"/>
  <c r="C2901" i="1"/>
  <c r="D2901" i="1"/>
  <c r="E2901" i="1"/>
  <c r="F2901" i="1"/>
  <c r="G2901" i="1"/>
  <c r="H2901" i="1"/>
  <c r="I2901" i="1"/>
  <c r="J2901" i="1"/>
  <c r="K2901" i="1"/>
  <c r="L2901" i="1"/>
  <c r="A2902" i="1"/>
  <c r="B2902" i="1"/>
  <c r="C2902" i="1"/>
  <c r="D2902" i="1"/>
  <c r="E2902" i="1"/>
  <c r="F2902" i="1"/>
  <c r="G2902" i="1"/>
  <c r="H2902" i="1"/>
  <c r="I2902" i="1"/>
  <c r="J2902" i="1"/>
  <c r="K2902" i="1"/>
  <c r="L2902" i="1"/>
  <c r="A2903" i="1"/>
  <c r="B2903" i="1"/>
  <c r="C2903" i="1"/>
  <c r="D2903" i="1"/>
  <c r="E2903" i="1"/>
  <c r="F2903" i="1"/>
  <c r="G2903" i="1"/>
  <c r="H2903" i="1"/>
  <c r="I2903" i="1"/>
  <c r="J2903" i="1"/>
  <c r="K2903" i="1"/>
  <c r="L2903" i="1"/>
  <c r="A2904" i="1"/>
  <c r="B2904" i="1"/>
  <c r="C2904" i="1"/>
  <c r="D2904" i="1"/>
  <c r="E2904" i="1"/>
  <c r="F2904" i="1"/>
  <c r="G2904" i="1"/>
  <c r="H2904" i="1"/>
  <c r="I2904" i="1"/>
  <c r="J2904" i="1"/>
  <c r="K2904" i="1"/>
  <c r="L2904" i="1"/>
  <c r="A2905" i="1"/>
  <c r="B2905" i="1"/>
  <c r="C2905" i="1"/>
  <c r="D2905" i="1"/>
  <c r="E2905" i="1"/>
  <c r="F2905" i="1"/>
  <c r="G2905" i="1"/>
  <c r="H2905" i="1"/>
  <c r="I2905" i="1"/>
  <c r="J2905" i="1"/>
  <c r="K2905" i="1"/>
  <c r="L2905" i="1"/>
  <c r="A2906" i="1"/>
  <c r="B2906" i="1"/>
  <c r="C2906" i="1"/>
  <c r="D2906" i="1"/>
  <c r="E2906" i="1"/>
  <c r="F2906" i="1"/>
  <c r="G2906" i="1"/>
  <c r="H2906" i="1"/>
  <c r="I2906" i="1"/>
  <c r="J2906" i="1"/>
  <c r="K2906" i="1"/>
  <c r="L2906" i="1"/>
  <c r="A2907" i="1"/>
  <c r="B2907" i="1"/>
  <c r="C2907" i="1"/>
  <c r="D2907" i="1"/>
  <c r="E2907" i="1"/>
  <c r="F2907" i="1"/>
  <c r="G2907" i="1"/>
  <c r="H2907" i="1"/>
  <c r="I2907" i="1"/>
  <c r="J2907" i="1"/>
  <c r="K2907" i="1"/>
  <c r="L2907" i="1"/>
  <c r="A2908" i="1"/>
  <c r="B2908" i="1"/>
  <c r="C2908" i="1"/>
  <c r="D2908" i="1"/>
  <c r="E2908" i="1"/>
  <c r="F2908" i="1"/>
  <c r="G2908" i="1"/>
  <c r="H2908" i="1"/>
  <c r="I2908" i="1"/>
  <c r="J2908" i="1"/>
  <c r="K2908" i="1"/>
  <c r="L2908" i="1"/>
  <c r="A2909" i="1"/>
  <c r="B2909" i="1"/>
  <c r="C2909" i="1"/>
  <c r="D2909" i="1"/>
  <c r="E2909" i="1"/>
  <c r="F2909" i="1"/>
  <c r="G2909" i="1"/>
  <c r="H2909" i="1"/>
  <c r="I2909" i="1"/>
  <c r="J2909" i="1"/>
  <c r="K2909" i="1"/>
  <c r="L2909" i="1"/>
  <c r="A2910" i="1"/>
  <c r="B2910" i="1"/>
  <c r="C2910" i="1"/>
  <c r="D2910" i="1"/>
  <c r="E2910" i="1"/>
  <c r="F2910" i="1"/>
  <c r="G2910" i="1"/>
  <c r="H2910" i="1"/>
  <c r="I2910" i="1"/>
  <c r="J2910" i="1"/>
  <c r="K2910" i="1"/>
  <c r="L2910" i="1"/>
  <c r="A2911" i="1"/>
  <c r="B2911" i="1"/>
  <c r="C2911" i="1"/>
  <c r="D2911" i="1"/>
  <c r="E2911" i="1"/>
  <c r="F2911" i="1"/>
  <c r="G2911" i="1"/>
  <c r="H2911" i="1"/>
  <c r="I2911" i="1"/>
  <c r="J2911" i="1"/>
  <c r="K2911" i="1"/>
  <c r="L2911" i="1"/>
  <c r="A2912" i="1"/>
  <c r="B2912" i="1"/>
  <c r="C2912" i="1"/>
  <c r="D2912" i="1"/>
  <c r="E2912" i="1"/>
  <c r="F2912" i="1"/>
  <c r="G2912" i="1"/>
  <c r="H2912" i="1"/>
  <c r="I2912" i="1"/>
  <c r="J2912" i="1"/>
  <c r="K2912" i="1"/>
  <c r="L2912" i="1"/>
  <c r="A2913" i="1"/>
  <c r="B2913" i="1"/>
  <c r="C2913" i="1"/>
  <c r="D2913" i="1"/>
  <c r="E2913" i="1"/>
  <c r="F2913" i="1"/>
  <c r="G2913" i="1"/>
  <c r="H2913" i="1"/>
  <c r="I2913" i="1"/>
  <c r="J2913" i="1"/>
  <c r="K2913" i="1"/>
  <c r="L2913" i="1"/>
  <c r="A2914" i="1"/>
  <c r="B2914" i="1"/>
  <c r="C2914" i="1"/>
  <c r="D2914" i="1"/>
  <c r="E2914" i="1"/>
  <c r="F2914" i="1"/>
  <c r="G2914" i="1"/>
  <c r="H2914" i="1"/>
  <c r="I2914" i="1"/>
  <c r="J2914" i="1"/>
  <c r="K2914" i="1"/>
  <c r="L2914" i="1"/>
  <c r="A2915" i="1"/>
  <c r="B2915" i="1"/>
  <c r="C2915" i="1"/>
  <c r="D2915" i="1"/>
  <c r="E2915" i="1"/>
  <c r="F2915" i="1"/>
  <c r="G2915" i="1"/>
  <c r="H2915" i="1"/>
  <c r="I2915" i="1"/>
  <c r="J2915" i="1"/>
  <c r="K2915" i="1"/>
  <c r="L2915" i="1"/>
  <c r="A2916" i="1"/>
  <c r="B2916" i="1"/>
  <c r="C2916" i="1"/>
  <c r="D2916" i="1"/>
  <c r="E2916" i="1"/>
  <c r="F2916" i="1"/>
  <c r="G2916" i="1"/>
  <c r="H2916" i="1"/>
  <c r="I2916" i="1"/>
  <c r="J2916" i="1"/>
  <c r="K2916" i="1"/>
  <c r="L2916" i="1"/>
  <c r="A2917" i="1"/>
  <c r="B2917" i="1"/>
  <c r="C2917" i="1"/>
  <c r="D2917" i="1"/>
  <c r="E2917" i="1"/>
  <c r="F2917" i="1"/>
  <c r="G2917" i="1"/>
  <c r="H2917" i="1"/>
  <c r="I2917" i="1"/>
  <c r="J2917" i="1"/>
  <c r="K2917" i="1"/>
  <c r="L2917" i="1"/>
  <c r="A2918" i="1"/>
  <c r="B2918" i="1"/>
  <c r="C2918" i="1"/>
  <c r="D2918" i="1"/>
  <c r="E2918" i="1"/>
  <c r="F2918" i="1"/>
  <c r="G2918" i="1"/>
  <c r="H2918" i="1"/>
  <c r="I2918" i="1"/>
  <c r="J2918" i="1"/>
  <c r="K2918" i="1"/>
  <c r="L2918" i="1"/>
  <c r="A2919" i="1"/>
  <c r="B2919" i="1"/>
  <c r="C2919" i="1"/>
  <c r="D2919" i="1"/>
  <c r="E2919" i="1"/>
  <c r="F2919" i="1"/>
  <c r="G2919" i="1"/>
  <c r="H2919" i="1"/>
  <c r="I2919" i="1"/>
  <c r="J2919" i="1"/>
  <c r="K2919" i="1"/>
  <c r="L2919" i="1"/>
  <c r="A2920" i="1"/>
  <c r="B2920" i="1"/>
  <c r="C2920" i="1"/>
  <c r="D2920" i="1"/>
  <c r="E2920" i="1"/>
  <c r="F2920" i="1"/>
  <c r="G2920" i="1"/>
  <c r="H2920" i="1"/>
  <c r="I2920" i="1"/>
  <c r="J2920" i="1"/>
  <c r="K2920" i="1"/>
  <c r="L2920" i="1"/>
  <c r="A2921" i="1"/>
  <c r="B2921" i="1"/>
  <c r="C2921" i="1"/>
  <c r="D2921" i="1"/>
  <c r="E2921" i="1"/>
  <c r="F2921" i="1"/>
  <c r="G2921" i="1"/>
  <c r="H2921" i="1"/>
  <c r="I2921" i="1"/>
  <c r="J2921" i="1"/>
  <c r="K2921" i="1"/>
  <c r="L2921" i="1"/>
  <c r="A2922" i="1"/>
  <c r="B2922" i="1"/>
  <c r="C2922" i="1"/>
  <c r="D2922" i="1"/>
  <c r="E2922" i="1"/>
  <c r="F2922" i="1"/>
  <c r="G2922" i="1"/>
  <c r="H2922" i="1"/>
  <c r="I2922" i="1"/>
  <c r="J2922" i="1"/>
  <c r="K2922" i="1"/>
  <c r="L2922" i="1"/>
  <c r="A2923" i="1"/>
  <c r="B2923" i="1"/>
  <c r="C2923" i="1"/>
  <c r="D2923" i="1"/>
  <c r="E2923" i="1"/>
  <c r="F2923" i="1"/>
  <c r="G2923" i="1"/>
  <c r="H2923" i="1"/>
  <c r="I2923" i="1"/>
  <c r="J2923" i="1"/>
  <c r="K2923" i="1"/>
  <c r="L2923" i="1"/>
  <c r="A2924" i="1"/>
  <c r="B2924" i="1"/>
  <c r="C2924" i="1"/>
  <c r="D2924" i="1"/>
  <c r="E2924" i="1"/>
  <c r="F2924" i="1"/>
  <c r="G2924" i="1"/>
  <c r="H2924" i="1"/>
  <c r="I2924" i="1"/>
  <c r="J2924" i="1"/>
  <c r="K2924" i="1"/>
  <c r="L2924" i="1"/>
  <c r="A2925" i="1"/>
  <c r="B2925" i="1"/>
  <c r="C2925" i="1"/>
  <c r="D2925" i="1"/>
  <c r="E2925" i="1"/>
  <c r="F2925" i="1"/>
  <c r="G2925" i="1"/>
  <c r="H2925" i="1"/>
  <c r="I2925" i="1"/>
  <c r="J2925" i="1"/>
  <c r="K2925" i="1"/>
  <c r="L2925" i="1"/>
  <c r="A2926" i="1"/>
  <c r="B2926" i="1"/>
  <c r="C2926" i="1"/>
  <c r="D2926" i="1"/>
  <c r="E2926" i="1"/>
  <c r="F2926" i="1"/>
  <c r="G2926" i="1"/>
  <c r="H2926" i="1"/>
  <c r="I2926" i="1"/>
  <c r="J2926" i="1"/>
  <c r="K2926" i="1"/>
  <c r="L2926" i="1"/>
  <c r="A2927" i="1"/>
  <c r="B2927" i="1"/>
  <c r="C2927" i="1"/>
  <c r="D2927" i="1"/>
  <c r="E2927" i="1"/>
  <c r="F2927" i="1"/>
  <c r="G2927" i="1"/>
  <c r="H2927" i="1"/>
  <c r="I2927" i="1"/>
  <c r="J2927" i="1"/>
  <c r="K2927" i="1"/>
  <c r="L2927" i="1"/>
  <c r="A2928" i="1"/>
  <c r="B2928" i="1"/>
  <c r="C2928" i="1"/>
  <c r="D2928" i="1"/>
  <c r="E2928" i="1"/>
  <c r="F2928" i="1"/>
  <c r="G2928" i="1"/>
  <c r="H2928" i="1"/>
  <c r="I2928" i="1"/>
  <c r="J2928" i="1"/>
  <c r="K2928" i="1"/>
  <c r="L2928" i="1"/>
  <c r="A2929" i="1"/>
  <c r="B2929" i="1"/>
  <c r="C2929" i="1"/>
  <c r="D2929" i="1"/>
  <c r="E2929" i="1"/>
  <c r="F2929" i="1"/>
  <c r="G2929" i="1"/>
  <c r="H2929" i="1"/>
  <c r="I2929" i="1"/>
  <c r="J2929" i="1"/>
  <c r="K2929" i="1"/>
  <c r="L2929" i="1"/>
  <c r="A2930" i="1"/>
  <c r="B2930" i="1"/>
  <c r="C2930" i="1"/>
  <c r="D2930" i="1"/>
  <c r="E2930" i="1"/>
  <c r="F2930" i="1"/>
  <c r="G2930" i="1"/>
  <c r="H2930" i="1"/>
  <c r="I2930" i="1"/>
  <c r="J2930" i="1"/>
  <c r="K2930" i="1"/>
  <c r="L2930" i="1"/>
  <c r="A2931" i="1"/>
  <c r="B2931" i="1"/>
  <c r="C2931" i="1"/>
  <c r="D2931" i="1"/>
  <c r="E2931" i="1"/>
  <c r="F2931" i="1"/>
  <c r="G2931" i="1"/>
  <c r="H2931" i="1"/>
  <c r="I2931" i="1"/>
  <c r="J2931" i="1"/>
  <c r="K2931" i="1"/>
  <c r="L2931" i="1"/>
  <c r="A2932" i="1"/>
  <c r="B2932" i="1"/>
  <c r="C2932" i="1"/>
  <c r="D2932" i="1"/>
  <c r="E2932" i="1"/>
  <c r="F2932" i="1"/>
  <c r="G2932" i="1"/>
  <c r="H2932" i="1"/>
  <c r="I2932" i="1"/>
  <c r="J2932" i="1"/>
  <c r="K2932" i="1"/>
  <c r="L2932" i="1"/>
  <c r="A2933" i="1"/>
  <c r="B2933" i="1"/>
  <c r="C2933" i="1"/>
  <c r="D2933" i="1"/>
  <c r="E2933" i="1"/>
  <c r="F2933" i="1"/>
  <c r="G2933" i="1"/>
  <c r="H2933" i="1"/>
  <c r="I2933" i="1"/>
  <c r="J2933" i="1"/>
  <c r="K2933" i="1"/>
  <c r="L2933" i="1"/>
  <c r="A2934" i="1"/>
  <c r="B2934" i="1"/>
  <c r="C2934" i="1"/>
  <c r="D2934" i="1"/>
  <c r="E2934" i="1"/>
  <c r="F2934" i="1"/>
  <c r="G2934" i="1"/>
  <c r="H2934" i="1"/>
  <c r="I2934" i="1"/>
  <c r="J2934" i="1"/>
  <c r="K2934" i="1"/>
  <c r="L2934" i="1"/>
  <c r="A2935" i="1"/>
  <c r="B2935" i="1"/>
  <c r="C2935" i="1"/>
  <c r="D2935" i="1"/>
  <c r="E2935" i="1"/>
  <c r="F2935" i="1"/>
  <c r="G2935" i="1"/>
  <c r="H2935" i="1"/>
  <c r="I2935" i="1"/>
  <c r="J2935" i="1"/>
  <c r="K2935" i="1"/>
  <c r="L2935" i="1"/>
  <c r="A2936" i="1"/>
  <c r="B2936" i="1"/>
  <c r="C2936" i="1"/>
  <c r="D2936" i="1"/>
  <c r="E2936" i="1"/>
  <c r="F2936" i="1"/>
  <c r="G2936" i="1"/>
  <c r="H2936" i="1"/>
  <c r="I2936" i="1"/>
  <c r="J2936" i="1"/>
  <c r="K2936" i="1"/>
  <c r="L2936" i="1"/>
  <c r="A2937" i="1"/>
  <c r="B2937" i="1"/>
  <c r="C2937" i="1"/>
  <c r="D2937" i="1"/>
  <c r="E2937" i="1"/>
  <c r="F2937" i="1"/>
  <c r="G2937" i="1"/>
  <c r="H2937" i="1"/>
  <c r="I2937" i="1"/>
  <c r="J2937" i="1"/>
  <c r="K2937" i="1"/>
  <c r="L2937" i="1"/>
  <c r="A2938" i="1"/>
  <c r="B2938" i="1"/>
  <c r="C2938" i="1"/>
  <c r="D2938" i="1"/>
  <c r="E2938" i="1"/>
  <c r="F2938" i="1"/>
  <c r="G2938" i="1"/>
  <c r="H2938" i="1"/>
  <c r="I2938" i="1"/>
  <c r="J2938" i="1"/>
  <c r="K2938" i="1"/>
  <c r="L2938" i="1"/>
  <c r="A2939" i="1"/>
  <c r="B2939" i="1"/>
  <c r="C2939" i="1"/>
  <c r="D2939" i="1"/>
  <c r="E2939" i="1"/>
  <c r="F2939" i="1"/>
  <c r="G2939" i="1"/>
  <c r="H2939" i="1"/>
  <c r="I2939" i="1"/>
  <c r="J2939" i="1"/>
  <c r="K2939" i="1"/>
  <c r="L2939" i="1"/>
  <c r="A2940" i="1"/>
  <c r="B2940" i="1"/>
  <c r="C2940" i="1"/>
  <c r="D2940" i="1"/>
  <c r="E2940" i="1"/>
  <c r="F2940" i="1"/>
  <c r="G2940" i="1"/>
  <c r="H2940" i="1"/>
  <c r="I2940" i="1"/>
  <c r="J2940" i="1"/>
  <c r="K2940" i="1"/>
  <c r="L2940" i="1"/>
  <c r="A2941" i="1"/>
  <c r="B2941" i="1"/>
  <c r="C2941" i="1"/>
  <c r="D2941" i="1"/>
  <c r="E2941" i="1"/>
  <c r="F2941" i="1"/>
  <c r="G2941" i="1"/>
  <c r="H2941" i="1"/>
  <c r="I2941" i="1"/>
  <c r="J2941" i="1"/>
  <c r="K2941" i="1"/>
  <c r="L2941" i="1"/>
  <c r="A2942" i="1"/>
  <c r="B2942" i="1"/>
  <c r="C2942" i="1"/>
  <c r="D2942" i="1"/>
  <c r="E2942" i="1"/>
  <c r="F2942" i="1"/>
  <c r="G2942" i="1"/>
  <c r="H2942" i="1"/>
  <c r="I2942" i="1"/>
  <c r="J2942" i="1"/>
  <c r="K2942" i="1"/>
  <c r="L2942" i="1"/>
  <c r="A2943" i="1"/>
  <c r="B2943" i="1"/>
  <c r="C2943" i="1"/>
  <c r="D2943" i="1"/>
  <c r="E2943" i="1"/>
  <c r="F2943" i="1"/>
  <c r="G2943" i="1"/>
  <c r="H2943" i="1"/>
  <c r="I2943" i="1"/>
  <c r="J2943" i="1"/>
  <c r="K2943" i="1"/>
  <c r="L2943" i="1"/>
  <c r="A2944" i="1"/>
  <c r="B2944" i="1"/>
  <c r="C2944" i="1"/>
  <c r="D2944" i="1"/>
  <c r="E2944" i="1"/>
  <c r="F2944" i="1"/>
  <c r="G2944" i="1"/>
  <c r="H2944" i="1"/>
  <c r="I2944" i="1"/>
  <c r="J2944" i="1"/>
  <c r="K2944" i="1"/>
  <c r="L2944" i="1"/>
  <c r="A2945" i="1"/>
  <c r="B2945" i="1"/>
  <c r="C2945" i="1"/>
  <c r="D2945" i="1"/>
  <c r="E2945" i="1"/>
  <c r="F2945" i="1"/>
  <c r="G2945" i="1"/>
  <c r="H2945" i="1"/>
  <c r="I2945" i="1"/>
  <c r="J2945" i="1"/>
  <c r="K2945" i="1"/>
  <c r="L2945" i="1"/>
  <c r="A2946" i="1"/>
  <c r="B2946" i="1"/>
  <c r="C2946" i="1"/>
  <c r="D2946" i="1"/>
  <c r="E2946" i="1"/>
  <c r="F2946" i="1"/>
  <c r="G2946" i="1"/>
  <c r="H2946" i="1"/>
  <c r="I2946" i="1"/>
  <c r="J2946" i="1"/>
  <c r="K2946" i="1"/>
  <c r="L2946" i="1"/>
  <c r="A2947" i="1"/>
  <c r="B2947" i="1"/>
  <c r="C2947" i="1"/>
  <c r="D2947" i="1"/>
  <c r="E2947" i="1"/>
  <c r="F2947" i="1"/>
  <c r="G2947" i="1"/>
  <c r="H2947" i="1"/>
  <c r="I2947" i="1"/>
  <c r="J2947" i="1"/>
  <c r="K2947" i="1"/>
  <c r="L2947" i="1"/>
  <c r="A2948" i="1"/>
  <c r="B2948" i="1"/>
  <c r="C2948" i="1"/>
  <c r="D2948" i="1"/>
  <c r="E2948" i="1"/>
  <c r="F2948" i="1"/>
  <c r="G2948" i="1"/>
  <c r="H2948" i="1"/>
  <c r="I2948" i="1"/>
  <c r="J2948" i="1"/>
  <c r="K2948" i="1"/>
  <c r="L2948" i="1"/>
  <c r="A2949" i="1"/>
  <c r="B2949" i="1"/>
  <c r="C2949" i="1"/>
  <c r="D2949" i="1"/>
  <c r="E2949" i="1"/>
  <c r="F2949" i="1"/>
  <c r="G2949" i="1"/>
  <c r="H2949" i="1"/>
  <c r="I2949" i="1"/>
  <c r="J2949" i="1"/>
  <c r="K2949" i="1"/>
  <c r="L2949" i="1"/>
  <c r="A2950" i="1"/>
  <c r="B2950" i="1"/>
  <c r="C2950" i="1"/>
  <c r="D2950" i="1"/>
  <c r="E2950" i="1"/>
  <c r="F2950" i="1"/>
  <c r="G2950" i="1"/>
  <c r="H2950" i="1"/>
  <c r="I2950" i="1"/>
  <c r="J2950" i="1"/>
  <c r="K2950" i="1"/>
  <c r="L2950" i="1"/>
  <c r="A2951" i="1"/>
  <c r="B2951" i="1"/>
  <c r="C2951" i="1"/>
  <c r="D2951" i="1"/>
  <c r="E2951" i="1"/>
  <c r="F2951" i="1"/>
  <c r="G2951" i="1"/>
  <c r="H2951" i="1"/>
  <c r="I2951" i="1"/>
  <c r="J2951" i="1"/>
  <c r="K2951" i="1"/>
  <c r="L2951" i="1"/>
  <c r="A2952" i="1"/>
  <c r="B2952" i="1"/>
  <c r="C2952" i="1"/>
  <c r="D2952" i="1"/>
  <c r="E2952" i="1"/>
  <c r="F2952" i="1"/>
  <c r="G2952" i="1"/>
  <c r="H2952" i="1"/>
  <c r="I2952" i="1"/>
  <c r="J2952" i="1"/>
  <c r="K2952" i="1"/>
  <c r="L2952" i="1"/>
  <c r="A2953" i="1"/>
  <c r="B2953" i="1"/>
  <c r="C2953" i="1"/>
  <c r="D2953" i="1"/>
  <c r="E2953" i="1"/>
  <c r="F2953" i="1"/>
  <c r="G2953" i="1"/>
  <c r="H2953" i="1"/>
  <c r="I2953" i="1"/>
  <c r="J2953" i="1"/>
  <c r="K2953" i="1"/>
  <c r="L2953" i="1"/>
  <c r="A2954" i="1"/>
  <c r="B2954" i="1"/>
  <c r="C2954" i="1"/>
  <c r="D2954" i="1"/>
  <c r="E2954" i="1"/>
  <c r="F2954" i="1"/>
  <c r="G2954" i="1"/>
  <c r="H2954" i="1"/>
  <c r="I2954" i="1"/>
  <c r="J2954" i="1"/>
  <c r="K2954" i="1"/>
  <c r="L2954" i="1"/>
  <c r="A2955" i="1"/>
  <c r="B2955" i="1"/>
  <c r="C2955" i="1"/>
  <c r="D2955" i="1"/>
  <c r="E2955" i="1"/>
  <c r="F2955" i="1"/>
  <c r="G2955" i="1"/>
  <c r="H2955" i="1"/>
  <c r="I2955" i="1"/>
  <c r="J2955" i="1"/>
  <c r="K2955" i="1"/>
  <c r="L2955" i="1"/>
  <c r="A2956" i="1"/>
  <c r="B2956" i="1"/>
  <c r="C2956" i="1"/>
  <c r="D2956" i="1"/>
  <c r="E2956" i="1"/>
  <c r="F2956" i="1"/>
  <c r="G2956" i="1"/>
  <c r="H2956" i="1"/>
  <c r="I2956" i="1"/>
  <c r="J2956" i="1"/>
  <c r="K2956" i="1"/>
  <c r="L2956" i="1"/>
  <c r="A2957" i="1"/>
  <c r="B2957" i="1"/>
  <c r="C2957" i="1"/>
  <c r="D2957" i="1"/>
  <c r="E2957" i="1"/>
  <c r="F2957" i="1"/>
  <c r="G2957" i="1"/>
  <c r="H2957" i="1"/>
  <c r="I2957" i="1"/>
  <c r="J2957" i="1"/>
  <c r="K2957" i="1"/>
  <c r="L2957" i="1"/>
  <c r="A2958" i="1"/>
  <c r="B2958" i="1"/>
  <c r="C2958" i="1"/>
  <c r="D2958" i="1"/>
  <c r="E2958" i="1"/>
  <c r="F2958" i="1"/>
  <c r="G2958" i="1"/>
  <c r="H2958" i="1"/>
  <c r="I2958" i="1"/>
  <c r="J2958" i="1"/>
  <c r="K2958" i="1"/>
  <c r="L2958" i="1"/>
  <c r="A2959" i="1"/>
  <c r="B2959" i="1"/>
  <c r="C2959" i="1"/>
  <c r="D2959" i="1"/>
  <c r="E2959" i="1"/>
  <c r="F2959" i="1"/>
  <c r="G2959" i="1"/>
  <c r="H2959" i="1"/>
  <c r="I2959" i="1"/>
  <c r="J2959" i="1"/>
  <c r="K2959" i="1"/>
  <c r="L2959" i="1"/>
  <c r="A2960" i="1"/>
  <c r="B2960" i="1"/>
  <c r="C2960" i="1"/>
  <c r="D2960" i="1"/>
  <c r="E2960" i="1"/>
  <c r="F2960" i="1"/>
  <c r="G2960" i="1"/>
  <c r="H2960" i="1"/>
  <c r="I2960" i="1"/>
  <c r="J2960" i="1"/>
  <c r="K2960" i="1"/>
  <c r="L2960" i="1"/>
  <c r="A2961" i="1"/>
  <c r="B2961" i="1"/>
  <c r="C2961" i="1"/>
  <c r="D2961" i="1"/>
  <c r="E2961" i="1"/>
  <c r="F2961" i="1"/>
  <c r="G2961" i="1"/>
  <c r="H2961" i="1"/>
  <c r="I2961" i="1"/>
  <c r="J2961" i="1"/>
  <c r="K2961" i="1"/>
  <c r="L2961" i="1"/>
  <c r="A2962" i="1"/>
  <c r="B2962" i="1"/>
  <c r="C2962" i="1"/>
  <c r="D2962" i="1"/>
  <c r="E2962" i="1"/>
  <c r="F2962" i="1"/>
  <c r="G2962" i="1"/>
  <c r="H2962" i="1"/>
  <c r="I2962" i="1"/>
  <c r="J2962" i="1"/>
  <c r="K2962" i="1"/>
  <c r="L2962" i="1"/>
  <c r="A2963" i="1"/>
  <c r="B2963" i="1"/>
  <c r="C2963" i="1"/>
  <c r="D2963" i="1"/>
  <c r="E2963" i="1"/>
  <c r="F2963" i="1"/>
  <c r="G2963" i="1"/>
  <c r="H2963" i="1"/>
  <c r="I2963" i="1"/>
  <c r="J2963" i="1"/>
  <c r="K2963" i="1"/>
  <c r="L2963" i="1"/>
  <c r="A2964" i="1"/>
  <c r="B2964" i="1"/>
  <c r="C2964" i="1"/>
  <c r="D2964" i="1"/>
  <c r="E2964" i="1"/>
  <c r="F2964" i="1"/>
  <c r="G2964" i="1"/>
  <c r="H2964" i="1"/>
  <c r="I2964" i="1"/>
  <c r="J2964" i="1"/>
  <c r="K2964" i="1"/>
  <c r="L2964" i="1"/>
  <c r="A2965" i="1"/>
  <c r="B2965" i="1"/>
  <c r="C2965" i="1"/>
  <c r="D2965" i="1"/>
  <c r="E2965" i="1"/>
  <c r="F2965" i="1"/>
  <c r="G2965" i="1"/>
  <c r="H2965" i="1"/>
  <c r="I2965" i="1"/>
  <c r="J2965" i="1"/>
  <c r="K2965" i="1"/>
  <c r="L2965" i="1"/>
  <c r="A2966" i="1"/>
  <c r="B2966" i="1"/>
  <c r="C2966" i="1"/>
  <c r="D2966" i="1"/>
  <c r="E2966" i="1"/>
  <c r="F2966" i="1"/>
  <c r="G2966" i="1"/>
  <c r="H2966" i="1"/>
  <c r="I2966" i="1"/>
  <c r="J2966" i="1"/>
  <c r="K2966" i="1"/>
  <c r="L2966" i="1"/>
  <c r="A2967" i="1"/>
  <c r="B2967" i="1"/>
  <c r="C2967" i="1"/>
  <c r="D2967" i="1"/>
  <c r="E2967" i="1"/>
  <c r="F2967" i="1"/>
  <c r="G2967" i="1"/>
  <c r="H2967" i="1"/>
  <c r="I2967" i="1"/>
  <c r="J2967" i="1"/>
  <c r="K2967" i="1"/>
  <c r="L2967" i="1"/>
  <c r="A2968" i="1"/>
  <c r="B2968" i="1"/>
  <c r="C2968" i="1"/>
  <c r="D2968" i="1"/>
  <c r="E2968" i="1"/>
  <c r="F2968" i="1"/>
  <c r="G2968" i="1"/>
  <c r="H2968" i="1"/>
  <c r="I2968" i="1"/>
  <c r="J2968" i="1"/>
  <c r="K2968" i="1"/>
  <c r="L2968" i="1"/>
  <c r="A2969" i="1"/>
  <c r="B2969" i="1"/>
  <c r="C2969" i="1"/>
  <c r="D2969" i="1"/>
  <c r="E2969" i="1"/>
  <c r="F2969" i="1"/>
  <c r="G2969" i="1"/>
  <c r="H2969" i="1"/>
  <c r="I2969" i="1"/>
  <c r="J2969" i="1"/>
  <c r="K2969" i="1"/>
  <c r="L2969" i="1"/>
  <c r="A2970" i="1"/>
  <c r="B2970" i="1"/>
  <c r="C2970" i="1"/>
  <c r="D2970" i="1"/>
  <c r="E2970" i="1"/>
  <c r="F2970" i="1"/>
  <c r="G2970" i="1"/>
  <c r="H2970" i="1"/>
  <c r="I2970" i="1"/>
  <c r="J2970" i="1"/>
  <c r="K2970" i="1"/>
  <c r="L2970" i="1"/>
  <c r="A2971" i="1"/>
  <c r="B2971" i="1"/>
  <c r="C2971" i="1"/>
  <c r="D2971" i="1"/>
  <c r="E2971" i="1"/>
  <c r="F2971" i="1"/>
  <c r="G2971" i="1"/>
  <c r="H2971" i="1"/>
  <c r="I2971" i="1"/>
  <c r="J2971" i="1"/>
  <c r="K2971" i="1"/>
  <c r="L2971" i="1"/>
  <c r="A2972" i="1"/>
  <c r="B2972" i="1"/>
  <c r="C2972" i="1"/>
  <c r="D2972" i="1"/>
  <c r="E2972" i="1"/>
  <c r="F2972" i="1"/>
  <c r="G2972" i="1"/>
  <c r="H2972" i="1"/>
  <c r="I2972" i="1"/>
  <c r="J2972" i="1"/>
  <c r="K2972" i="1"/>
  <c r="L2972" i="1"/>
  <c r="A2973" i="1"/>
  <c r="B2973" i="1"/>
  <c r="C2973" i="1"/>
  <c r="D2973" i="1"/>
  <c r="E2973" i="1"/>
  <c r="F2973" i="1"/>
  <c r="G2973" i="1"/>
  <c r="H2973" i="1"/>
  <c r="I2973" i="1"/>
  <c r="J2973" i="1"/>
  <c r="K2973" i="1"/>
  <c r="L2973" i="1"/>
  <c r="A2974" i="1"/>
  <c r="B2974" i="1"/>
  <c r="C2974" i="1"/>
  <c r="D2974" i="1"/>
  <c r="E2974" i="1"/>
  <c r="F2974" i="1"/>
  <c r="G2974" i="1"/>
  <c r="H2974" i="1"/>
  <c r="I2974" i="1"/>
  <c r="J2974" i="1"/>
  <c r="K2974" i="1"/>
  <c r="L2974" i="1"/>
  <c r="A2975" i="1"/>
  <c r="B2975" i="1"/>
  <c r="C2975" i="1"/>
  <c r="D2975" i="1"/>
  <c r="E2975" i="1"/>
  <c r="F2975" i="1"/>
  <c r="G2975" i="1"/>
  <c r="H2975" i="1"/>
  <c r="I2975" i="1"/>
  <c r="J2975" i="1"/>
  <c r="K2975" i="1"/>
  <c r="L2975" i="1"/>
  <c r="A2976" i="1"/>
  <c r="B2976" i="1"/>
  <c r="C2976" i="1"/>
  <c r="D2976" i="1"/>
  <c r="E2976" i="1"/>
  <c r="F2976" i="1"/>
  <c r="G2976" i="1"/>
  <c r="H2976" i="1"/>
  <c r="I2976" i="1"/>
  <c r="J2976" i="1"/>
  <c r="K2976" i="1"/>
  <c r="L2976" i="1"/>
  <c r="A2977" i="1"/>
  <c r="B2977" i="1"/>
  <c r="C2977" i="1"/>
  <c r="D2977" i="1"/>
  <c r="E2977" i="1"/>
  <c r="F2977" i="1"/>
  <c r="G2977" i="1"/>
  <c r="H2977" i="1"/>
  <c r="I2977" i="1"/>
  <c r="J2977" i="1"/>
  <c r="K2977" i="1"/>
  <c r="L2977" i="1"/>
  <c r="A2978" i="1"/>
  <c r="B2978" i="1"/>
  <c r="C2978" i="1"/>
  <c r="D2978" i="1"/>
  <c r="E2978" i="1"/>
  <c r="F2978" i="1"/>
  <c r="G2978" i="1"/>
  <c r="H2978" i="1"/>
  <c r="I2978" i="1"/>
  <c r="J2978" i="1"/>
  <c r="K2978" i="1"/>
  <c r="L2978" i="1"/>
  <c r="A2979" i="1"/>
  <c r="B2979" i="1"/>
  <c r="C2979" i="1"/>
  <c r="D2979" i="1"/>
  <c r="E2979" i="1"/>
  <c r="F2979" i="1"/>
  <c r="G2979" i="1"/>
  <c r="H2979" i="1"/>
  <c r="I2979" i="1"/>
  <c r="J2979" i="1"/>
  <c r="K2979" i="1"/>
  <c r="L2979" i="1"/>
  <c r="A2980" i="1"/>
  <c r="B2980" i="1"/>
  <c r="C2980" i="1"/>
  <c r="D2980" i="1"/>
  <c r="E2980" i="1"/>
  <c r="F2980" i="1"/>
  <c r="G2980" i="1"/>
  <c r="H2980" i="1"/>
  <c r="I2980" i="1"/>
  <c r="J2980" i="1"/>
  <c r="K2980" i="1"/>
  <c r="L2980" i="1"/>
  <c r="A2981" i="1"/>
  <c r="B2981" i="1"/>
  <c r="C2981" i="1"/>
  <c r="D2981" i="1"/>
  <c r="E2981" i="1"/>
  <c r="F2981" i="1"/>
  <c r="G2981" i="1"/>
  <c r="H2981" i="1"/>
  <c r="I2981" i="1"/>
  <c r="J2981" i="1"/>
  <c r="K2981" i="1"/>
  <c r="L2981" i="1"/>
  <c r="A2982" i="1"/>
  <c r="B2982" i="1"/>
  <c r="C2982" i="1"/>
  <c r="D2982" i="1"/>
  <c r="E2982" i="1"/>
  <c r="F2982" i="1"/>
  <c r="G2982" i="1"/>
  <c r="H2982" i="1"/>
  <c r="I2982" i="1"/>
  <c r="J2982" i="1"/>
  <c r="K2982" i="1"/>
  <c r="L2982" i="1"/>
  <c r="A2983" i="1"/>
  <c r="B2983" i="1"/>
  <c r="C2983" i="1"/>
  <c r="D2983" i="1"/>
  <c r="E2983" i="1"/>
  <c r="F2983" i="1"/>
  <c r="G2983" i="1"/>
  <c r="H2983" i="1"/>
  <c r="I2983" i="1"/>
  <c r="J2983" i="1"/>
  <c r="K2983" i="1"/>
  <c r="L2983" i="1"/>
  <c r="A2984" i="1"/>
  <c r="B2984" i="1"/>
  <c r="C2984" i="1"/>
  <c r="D2984" i="1"/>
  <c r="E2984" i="1"/>
  <c r="F2984" i="1"/>
  <c r="G2984" i="1"/>
  <c r="H2984" i="1"/>
  <c r="I2984" i="1"/>
  <c r="J2984" i="1"/>
  <c r="K2984" i="1"/>
  <c r="L2984" i="1"/>
  <c r="A2985" i="1"/>
  <c r="B2985" i="1"/>
  <c r="C2985" i="1"/>
  <c r="D2985" i="1"/>
  <c r="E2985" i="1"/>
  <c r="F2985" i="1"/>
  <c r="G2985" i="1"/>
  <c r="H2985" i="1"/>
  <c r="I2985" i="1"/>
  <c r="J2985" i="1"/>
  <c r="K2985" i="1"/>
  <c r="L2985" i="1"/>
  <c r="A2986" i="1"/>
  <c r="B2986" i="1"/>
  <c r="C2986" i="1"/>
  <c r="D2986" i="1"/>
  <c r="E2986" i="1"/>
  <c r="F2986" i="1"/>
  <c r="G2986" i="1"/>
  <c r="H2986" i="1"/>
  <c r="I2986" i="1"/>
  <c r="J2986" i="1"/>
  <c r="K2986" i="1"/>
  <c r="L2986" i="1"/>
  <c r="A2987" i="1"/>
  <c r="B2987" i="1"/>
  <c r="C2987" i="1"/>
  <c r="D2987" i="1"/>
  <c r="E2987" i="1"/>
  <c r="F2987" i="1"/>
  <c r="G2987" i="1"/>
  <c r="H2987" i="1"/>
  <c r="I2987" i="1"/>
  <c r="J2987" i="1"/>
  <c r="K2987" i="1"/>
  <c r="L2987" i="1"/>
  <c r="A2988" i="1"/>
  <c r="B2988" i="1"/>
  <c r="C2988" i="1"/>
  <c r="D2988" i="1"/>
  <c r="E2988" i="1"/>
  <c r="F2988" i="1"/>
  <c r="G2988" i="1"/>
  <c r="H2988" i="1"/>
  <c r="I2988" i="1"/>
  <c r="J2988" i="1"/>
  <c r="K2988" i="1"/>
  <c r="L2988" i="1"/>
  <c r="A2989" i="1"/>
  <c r="B2989" i="1"/>
  <c r="C2989" i="1"/>
  <c r="D2989" i="1"/>
  <c r="E2989" i="1"/>
  <c r="F2989" i="1"/>
  <c r="G2989" i="1"/>
  <c r="H2989" i="1"/>
  <c r="I2989" i="1"/>
  <c r="J2989" i="1"/>
  <c r="K2989" i="1"/>
  <c r="L2989" i="1"/>
  <c r="A2990" i="1"/>
  <c r="B2990" i="1"/>
  <c r="C2990" i="1"/>
  <c r="D2990" i="1"/>
  <c r="E2990" i="1"/>
  <c r="F2990" i="1"/>
  <c r="G2990" i="1"/>
  <c r="H2990" i="1"/>
  <c r="I2990" i="1"/>
  <c r="J2990" i="1"/>
  <c r="K2990" i="1"/>
  <c r="L2990" i="1"/>
  <c r="A2991" i="1"/>
  <c r="B2991" i="1"/>
  <c r="C2991" i="1"/>
  <c r="D2991" i="1"/>
  <c r="E2991" i="1"/>
  <c r="F2991" i="1"/>
  <c r="G2991" i="1"/>
  <c r="H2991" i="1"/>
  <c r="I2991" i="1"/>
  <c r="J2991" i="1"/>
  <c r="K2991" i="1"/>
  <c r="L2991" i="1"/>
  <c r="A2992" i="1"/>
  <c r="B2992" i="1"/>
  <c r="C2992" i="1"/>
  <c r="D2992" i="1"/>
  <c r="E2992" i="1"/>
  <c r="F2992" i="1"/>
  <c r="G2992" i="1"/>
  <c r="H2992" i="1"/>
  <c r="I2992" i="1"/>
  <c r="J2992" i="1"/>
  <c r="K2992" i="1"/>
  <c r="L2992" i="1"/>
  <c r="A2993" i="1"/>
  <c r="B2993" i="1"/>
  <c r="C2993" i="1"/>
  <c r="D2993" i="1"/>
  <c r="E2993" i="1"/>
  <c r="F2993" i="1"/>
  <c r="G2993" i="1"/>
  <c r="H2993" i="1"/>
  <c r="I2993" i="1"/>
  <c r="J2993" i="1"/>
  <c r="K2993" i="1"/>
  <c r="L2993" i="1"/>
  <c r="A2994" i="1"/>
  <c r="B2994" i="1"/>
  <c r="C2994" i="1"/>
  <c r="D2994" i="1"/>
  <c r="E2994" i="1"/>
  <c r="F2994" i="1"/>
  <c r="G2994" i="1"/>
  <c r="H2994" i="1"/>
  <c r="I2994" i="1"/>
  <c r="J2994" i="1"/>
  <c r="K2994" i="1"/>
  <c r="L2994" i="1"/>
  <c r="A2995" i="1"/>
  <c r="B2995" i="1"/>
  <c r="C2995" i="1"/>
  <c r="D2995" i="1"/>
  <c r="E2995" i="1"/>
  <c r="F2995" i="1"/>
  <c r="G2995" i="1"/>
  <c r="H2995" i="1"/>
  <c r="I2995" i="1"/>
  <c r="J2995" i="1"/>
  <c r="K2995" i="1"/>
  <c r="L2995" i="1"/>
  <c r="A2996" i="1"/>
  <c r="B2996" i="1"/>
  <c r="C2996" i="1"/>
  <c r="D2996" i="1"/>
  <c r="E2996" i="1"/>
  <c r="F2996" i="1"/>
  <c r="G2996" i="1"/>
  <c r="H2996" i="1"/>
  <c r="I2996" i="1"/>
  <c r="J2996" i="1"/>
  <c r="K2996" i="1"/>
  <c r="L2996" i="1"/>
  <c r="A2997" i="1"/>
  <c r="B2997" i="1"/>
  <c r="C2997" i="1"/>
  <c r="D2997" i="1"/>
  <c r="E2997" i="1"/>
  <c r="F2997" i="1"/>
  <c r="G2997" i="1"/>
  <c r="H2997" i="1"/>
  <c r="I2997" i="1"/>
  <c r="J2997" i="1"/>
  <c r="K2997" i="1"/>
  <c r="L2997" i="1"/>
  <c r="A2998" i="1"/>
  <c r="B2998" i="1"/>
  <c r="C2998" i="1"/>
  <c r="D2998" i="1"/>
  <c r="E2998" i="1"/>
  <c r="F2998" i="1"/>
  <c r="G2998" i="1"/>
  <c r="H2998" i="1"/>
  <c r="I2998" i="1"/>
  <c r="J2998" i="1"/>
  <c r="K2998" i="1"/>
  <c r="L2998" i="1"/>
  <c r="A2999" i="1"/>
  <c r="B2999" i="1"/>
  <c r="C2999" i="1"/>
  <c r="D2999" i="1"/>
  <c r="E2999" i="1"/>
  <c r="F2999" i="1"/>
  <c r="G2999" i="1"/>
  <c r="H2999" i="1"/>
  <c r="I2999" i="1"/>
  <c r="J2999" i="1"/>
  <c r="K2999" i="1"/>
  <c r="L2999" i="1"/>
  <c r="A3000" i="1"/>
  <c r="B3000" i="1"/>
  <c r="C3000" i="1"/>
  <c r="D3000" i="1"/>
  <c r="E3000" i="1"/>
  <c r="F3000" i="1"/>
  <c r="G3000" i="1"/>
  <c r="H3000" i="1"/>
  <c r="I3000" i="1"/>
  <c r="J3000" i="1"/>
  <c r="K3000" i="1"/>
  <c r="L3000" i="1"/>
  <c r="A3001" i="1"/>
  <c r="B3001" i="1"/>
  <c r="C3001" i="1"/>
  <c r="D3001" i="1"/>
  <c r="E3001" i="1"/>
  <c r="F3001" i="1"/>
  <c r="G3001" i="1"/>
  <c r="H3001" i="1"/>
  <c r="I3001" i="1"/>
  <c r="J3001" i="1"/>
  <c r="K3001" i="1"/>
  <c r="L3001" i="1"/>
  <c r="A3002" i="1"/>
  <c r="B3002" i="1"/>
  <c r="C3002" i="1"/>
  <c r="D3002" i="1"/>
  <c r="E3002" i="1"/>
  <c r="F3002" i="1"/>
  <c r="G3002" i="1"/>
  <c r="H3002" i="1"/>
  <c r="I3002" i="1"/>
  <c r="J3002" i="1"/>
  <c r="K3002" i="1"/>
  <c r="L3002" i="1"/>
  <c r="A3003" i="1"/>
  <c r="B3003" i="1"/>
  <c r="C3003" i="1"/>
  <c r="D3003" i="1"/>
  <c r="E3003" i="1"/>
  <c r="F3003" i="1"/>
  <c r="G3003" i="1"/>
  <c r="H3003" i="1"/>
  <c r="I3003" i="1"/>
  <c r="J3003" i="1"/>
  <c r="K3003" i="1"/>
  <c r="L3003" i="1"/>
  <c r="A3004" i="1"/>
  <c r="B3004" i="1"/>
  <c r="C3004" i="1"/>
  <c r="D3004" i="1"/>
  <c r="E3004" i="1"/>
  <c r="F3004" i="1"/>
  <c r="G3004" i="1"/>
  <c r="H3004" i="1"/>
  <c r="I3004" i="1"/>
  <c r="J3004" i="1"/>
  <c r="K3004" i="1"/>
  <c r="L3004" i="1"/>
  <c r="A3005" i="1"/>
  <c r="B3005" i="1"/>
  <c r="C3005" i="1"/>
  <c r="D3005" i="1"/>
  <c r="E3005" i="1"/>
  <c r="F3005" i="1"/>
  <c r="G3005" i="1"/>
  <c r="H3005" i="1"/>
  <c r="I3005" i="1"/>
  <c r="J3005" i="1"/>
  <c r="K3005" i="1"/>
  <c r="L3005" i="1"/>
  <c r="A3006" i="1"/>
  <c r="B3006" i="1"/>
  <c r="C3006" i="1"/>
  <c r="D3006" i="1"/>
  <c r="E3006" i="1"/>
  <c r="F3006" i="1"/>
  <c r="G3006" i="1"/>
  <c r="H3006" i="1"/>
  <c r="I3006" i="1"/>
  <c r="J3006" i="1"/>
  <c r="K3006" i="1"/>
  <c r="L3006" i="1"/>
  <c r="A3007" i="1"/>
  <c r="B3007" i="1"/>
  <c r="C3007" i="1"/>
  <c r="D3007" i="1"/>
  <c r="E3007" i="1"/>
  <c r="F3007" i="1"/>
  <c r="G3007" i="1"/>
  <c r="H3007" i="1"/>
  <c r="I3007" i="1"/>
  <c r="J3007" i="1"/>
  <c r="K3007" i="1"/>
  <c r="L3007" i="1"/>
  <c r="A3008" i="1"/>
  <c r="B3008" i="1"/>
  <c r="C3008" i="1"/>
  <c r="D3008" i="1"/>
  <c r="E3008" i="1"/>
  <c r="F3008" i="1"/>
  <c r="G3008" i="1"/>
  <c r="H3008" i="1"/>
  <c r="I3008" i="1"/>
  <c r="J3008" i="1"/>
  <c r="K3008" i="1"/>
  <c r="L3008" i="1"/>
  <c r="A3009" i="1"/>
  <c r="B3009" i="1"/>
  <c r="C3009" i="1"/>
  <c r="D3009" i="1"/>
  <c r="E3009" i="1"/>
  <c r="F3009" i="1"/>
  <c r="G3009" i="1"/>
  <c r="H3009" i="1"/>
  <c r="I3009" i="1"/>
  <c r="J3009" i="1"/>
  <c r="K3009" i="1"/>
  <c r="L3009" i="1"/>
  <c r="A3010" i="1"/>
  <c r="B3010" i="1"/>
  <c r="C3010" i="1"/>
  <c r="D3010" i="1"/>
  <c r="E3010" i="1"/>
  <c r="F3010" i="1"/>
  <c r="G3010" i="1"/>
  <c r="H3010" i="1"/>
  <c r="I3010" i="1"/>
  <c r="J3010" i="1"/>
  <c r="K3010" i="1"/>
  <c r="L3010" i="1"/>
  <c r="A3011" i="1"/>
  <c r="B3011" i="1"/>
  <c r="C3011" i="1"/>
  <c r="D3011" i="1"/>
  <c r="E3011" i="1"/>
  <c r="F3011" i="1"/>
  <c r="G3011" i="1"/>
  <c r="H3011" i="1"/>
  <c r="I3011" i="1"/>
  <c r="J3011" i="1"/>
  <c r="K3011" i="1"/>
  <c r="L3011" i="1"/>
  <c r="A3012" i="1"/>
  <c r="B3012" i="1"/>
  <c r="C3012" i="1"/>
  <c r="D3012" i="1"/>
  <c r="E3012" i="1"/>
  <c r="F3012" i="1"/>
  <c r="G3012" i="1"/>
  <c r="H3012" i="1"/>
  <c r="I3012" i="1"/>
  <c r="J3012" i="1"/>
  <c r="K3012" i="1"/>
  <c r="L3012" i="1"/>
  <c r="A3013" i="1"/>
  <c r="B3013" i="1"/>
  <c r="C3013" i="1"/>
  <c r="D3013" i="1"/>
  <c r="E3013" i="1"/>
  <c r="F3013" i="1"/>
  <c r="G3013" i="1"/>
  <c r="H3013" i="1"/>
  <c r="I3013" i="1"/>
  <c r="J3013" i="1"/>
  <c r="K3013" i="1"/>
  <c r="L3013" i="1"/>
  <c r="A3014" i="1"/>
  <c r="B3014" i="1"/>
  <c r="C3014" i="1"/>
  <c r="D3014" i="1"/>
  <c r="E3014" i="1"/>
  <c r="F3014" i="1"/>
  <c r="G3014" i="1"/>
  <c r="H3014" i="1"/>
  <c r="I3014" i="1"/>
  <c r="J3014" i="1"/>
  <c r="K3014" i="1"/>
  <c r="L3014" i="1"/>
  <c r="A3015" i="1"/>
  <c r="B3015" i="1"/>
  <c r="C3015" i="1"/>
  <c r="D3015" i="1"/>
  <c r="E3015" i="1"/>
  <c r="F3015" i="1"/>
  <c r="G3015" i="1"/>
  <c r="H3015" i="1"/>
  <c r="I3015" i="1"/>
  <c r="J3015" i="1"/>
  <c r="K3015" i="1"/>
  <c r="L3015" i="1"/>
  <c r="A3016" i="1"/>
  <c r="B3016" i="1"/>
  <c r="C3016" i="1"/>
  <c r="D3016" i="1"/>
  <c r="E3016" i="1"/>
  <c r="F3016" i="1"/>
  <c r="G3016" i="1"/>
  <c r="H3016" i="1"/>
  <c r="I3016" i="1"/>
  <c r="J3016" i="1"/>
  <c r="K3016" i="1"/>
  <c r="L3016" i="1"/>
  <c r="A3017" i="1"/>
  <c r="B3017" i="1"/>
  <c r="C3017" i="1"/>
  <c r="D3017" i="1"/>
  <c r="E3017" i="1"/>
  <c r="F3017" i="1"/>
  <c r="G3017" i="1"/>
  <c r="H3017" i="1"/>
  <c r="I3017" i="1"/>
  <c r="J3017" i="1"/>
  <c r="K3017" i="1"/>
  <c r="L3017" i="1"/>
  <c r="A3018" i="1"/>
  <c r="B3018" i="1"/>
  <c r="C3018" i="1"/>
  <c r="D3018" i="1"/>
  <c r="E3018" i="1"/>
  <c r="F3018" i="1"/>
  <c r="G3018" i="1"/>
  <c r="H3018" i="1"/>
  <c r="I3018" i="1"/>
  <c r="J3018" i="1"/>
  <c r="K3018" i="1"/>
  <c r="L3018" i="1"/>
  <c r="A3019" i="1"/>
  <c r="B3019" i="1"/>
  <c r="C3019" i="1"/>
  <c r="D3019" i="1"/>
  <c r="E3019" i="1"/>
  <c r="F3019" i="1"/>
  <c r="G3019" i="1"/>
  <c r="H3019" i="1"/>
  <c r="I3019" i="1"/>
  <c r="J3019" i="1"/>
  <c r="K3019" i="1"/>
  <c r="L3019" i="1"/>
  <c r="A3020" i="1"/>
  <c r="B3020" i="1"/>
  <c r="C3020" i="1"/>
  <c r="D3020" i="1"/>
  <c r="E3020" i="1"/>
  <c r="F3020" i="1"/>
  <c r="G3020" i="1"/>
  <c r="H3020" i="1"/>
  <c r="I3020" i="1"/>
  <c r="J3020" i="1"/>
  <c r="K3020" i="1"/>
  <c r="L3020" i="1"/>
  <c r="A3021" i="1"/>
  <c r="B3021" i="1"/>
  <c r="C3021" i="1"/>
  <c r="D3021" i="1"/>
  <c r="E3021" i="1"/>
  <c r="F3021" i="1"/>
  <c r="G3021" i="1"/>
  <c r="H3021" i="1"/>
  <c r="I3021" i="1"/>
  <c r="J3021" i="1"/>
  <c r="K3021" i="1"/>
  <c r="L3021" i="1"/>
  <c r="A3022" i="1"/>
  <c r="B3022" i="1"/>
  <c r="C3022" i="1"/>
  <c r="D3022" i="1"/>
  <c r="E3022" i="1"/>
  <c r="F3022" i="1"/>
  <c r="G3022" i="1"/>
  <c r="H3022" i="1"/>
  <c r="I3022" i="1"/>
  <c r="J3022" i="1"/>
  <c r="K3022" i="1"/>
  <c r="L3022" i="1"/>
  <c r="A3023" i="1"/>
  <c r="B3023" i="1"/>
  <c r="C3023" i="1"/>
  <c r="D3023" i="1"/>
  <c r="E3023" i="1"/>
  <c r="F3023" i="1"/>
  <c r="G3023" i="1"/>
  <c r="H3023" i="1"/>
  <c r="I3023" i="1"/>
  <c r="J3023" i="1"/>
  <c r="K3023" i="1"/>
  <c r="L3023" i="1"/>
  <c r="A3024" i="1"/>
  <c r="B3024" i="1"/>
  <c r="C3024" i="1"/>
  <c r="D3024" i="1"/>
  <c r="E3024" i="1"/>
  <c r="F3024" i="1"/>
  <c r="G3024" i="1"/>
  <c r="H3024" i="1"/>
  <c r="I3024" i="1"/>
  <c r="J3024" i="1"/>
  <c r="K3024" i="1"/>
  <c r="L3024" i="1"/>
  <c r="A3025" i="1"/>
  <c r="B3025" i="1"/>
  <c r="C3025" i="1"/>
  <c r="D3025" i="1"/>
  <c r="E3025" i="1"/>
  <c r="F3025" i="1"/>
  <c r="G3025" i="1"/>
  <c r="H3025" i="1"/>
  <c r="I3025" i="1"/>
  <c r="J3025" i="1"/>
  <c r="K3025" i="1"/>
  <c r="L3025" i="1"/>
  <c r="A3026" i="1"/>
  <c r="B3026" i="1"/>
  <c r="C3026" i="1"/>
  <c r="D3026" i="1"/>
  <c r="E3026" i="1"/>
  <c r="F3026" i="1"/>
  <c r="G3026" i="1"/>
  <c r="H3026" i="1"/>
  <c r="I3026" i="1"/>
  <c r="J3026" i="1"/>
  <c r="K3026" i="1"/>
  <c r="L3026" i="1"/>
  <c r="A3027" i="1"/>
  <c r="B3027" i="1"/>
  <c r="C3027" i="1"/>
  <c r="D3027" i="1"/>
  <c r="E3027" i="1"/>
  <c r="F3027" i="1"/>
  <c r="G3027" i="1"/>
  <c r="H3027" i="1"/>
  <c r="I3027" i="1"/>
  <c r="J3027" i="1"/>
  <c r="K3027" i="1"/>
  <c r="L3027" i="1"/>
  <c r="A3028" i="1"/>
  <c r="B3028" i="1"/>
  <c r="C3028" i="1"/>
  <c r="D3028" i="1"/>
  <c r="E3028" i="1"/>
  <c r="F3028" i="1"/>
  <c r="G3028" i="1"/>
  <c r="H3028" i="1"/>
  <c r="I3028" i="1"/>
  <c r="J3028" i="1"/>
  <c r="K3028" i="1"/>
  <c r="L3028" i="1"/>
  <c r="A3029" i="1"/>
  <c r="B3029" i="1"/>
  <c r="C3029" i="1"/>
  <c r="D3029" i="1"/>
  <c r="E3029" i="1"/>
  <c r="F3029" i="1"/>
  <c r="G3029" i="1"/>
  <c r="H3029" i="1"/>
  <c r="I3029" i="1"/>
  <c r="J3029" i="1"/>
  <c r="K3029" i="1"/>
  <c r="L3029" i="1"/>
  <c r="A3030" i="1"/>
  <c r="B3030" i="1"/>
  <c r="C3030" i="1"/>
  <c r="D3030" i="1"/>
  <c r="E3030" i="1"/>
  <c r="F3030" i="1"/>
  <c r="G3030" i="1"/>
  <c r="H3030" i="1"/>
  <c r="I3030" i="1"/>
  <c r="J3030" i="1"/>
  <c r="K3030" i="1"/>
  <c r="L3030" i="1"/>
  <c r="A3031" i="1"/>
  <c r="B3031" i="1"/>
  <c r="C3031" i="1"/>
  <c r="D3031" i="1"/>
  <c r="E3031" i="1"/>
  <c r="F3031" i="1"/>
  <c r="G3031" i="1"/>
  <c r="H3031" i="1"/>
  <c r="I3031" i="1"/>
  <c r="J3031" i="1"/>
  <c r="K3031" i="1"/>
  <c r="L3031" i="1"/>
  <c r="A3032" i="1"/>
  <c r="B3032" i="1"/>
  <c r="C3032" i="1"/>
  <c r="D3032" i="1"/>
  <c r="E3032" i="1"/>
  <c r="F3032" i="1"/>
  <c r="G3032" i="1"/>
  <c r="H3032" i="1"/>
  <c r="I3032" i="1"/>
  <c r="J3032" i="1"/>
  <c r="K3032" i="1"/>
  <c r="L3032" i="1"/>
  <c r="A3033" i="1"/>
  <c r="B3033" i="1"/>
  <c r="C3033" i="1"/>
  <c r="D3033" i="1"/>
  <c r="E3033" i="1"/>
  <c r="F3033" i="1"/>
  <c r="G3033" i="1"/>
  <c r="H3033" i="1"/>
  <c r="I3033" i="1"/>
  <c r="J3033" i="1"/>
  <c r="K3033" i="1"/>
  <c r="L3033" i="1"/>
  <c r="A3034" i="1"/>
  <c r="B3034" i="1"/>
  <c r="C3034" i="1"/>
  <c r="D3034" i="1"/>
  <c r="E3034" i="1"/>
  <c r="F3034" i="1"/>
  <c r="G3034" i="1"/>
  <c r="H3034" i="1"/>
  <c r="I3034" i="1"/>
  <c r="J3034" i="1"/>
  <c r="K3034" i="1"/>
  <c r="L3034" i="1"/>
  <c r="A3035" i="1"/>
  <c r="B3035" i="1"/>
  <c r="C3035" i="1"/>
  <c r="D3035" i="1"/>
  <c r="E3035" i="1"/>
  <c r="F3035" i="1"/>
  <c r="G3035" i="1"/>
  <c r="H3035" i="1"/>
  <c r="I3035" i="1"/>
  <c r="J3035" i="1"/>
  <c r="K3035" i="1"/>
  <c r="L3035" i="1"/>
  <c r="A3036" i="1"/>
  <c r="B3036" i="1"/>
  <c r="C3036" i="1"/>
  <c r="D3036" i="1"/>
  <c r="E3036" i="1"/>
  <c r="F3036" i="1"/>
  <c r="G3036" i="1"/>
  <c r="H3036" i="1"/>
  <c r="I3036" i="1"/>
  <c r="J3036" i="1"/>
  <c r="K3036" i="1"/>
  <c r="L3036" i="1"/>
  <c r="A3037" i="1"/>
  <c r="B3037" i="1"/>
  <c r="C3037" i="1"/>
  <c r="D3037" i="1"/>
  <c r="E3037" i="1"/>
  <c r="F3037" i="1"/>
  <c r="G3037" i="1"/>
  <c r="H3037" i="1"/>
  <c r="I3037" i="1"/>
  <c r="J3037" i="1"/>
  <c r="K3037" i="1"/>
  <c r="L3037" i="1"/>
  <c r="A3038" i="1"/>
  <c r="B3038" i="1"/>
  <c r="C3038" i="1"/>
  <c r="D3038" i="1"/>
  <c r="E3038" i="1"/>
  <c r="F3038" i="1"/>
  <c r="G3038" i="1"/>
  <c r="H3038" i="1"/>
  <c r="I3038" i="1"/>
  <c r="J3038" i="1"/>
  <c r="K3038" i="1"/>
  <c r="L3038" i="1"/>
  <c r="A3039" i="1"/>
  <c r="B3039" i="1"/>
  <c r="C3039" i="1"/>
  <c r="D3039" i="1"/>
  <c r="E3039" i="1"/>
  <c r="F3039" i="1"/>
  <c r="G3039" i="1"/>
  <c r="H3039" i="1"/>
  <c r="I3039" i="1"/>
  <c r="J3039" i="1"/>
  <c r="K3039" i="1"/>
  <c r="L3039" i="1"/>
  <c r="A3040" i="1"/>
  <c r="B3040" i="1"/>
  <c r="C3040" i="1"/>
  <c r="D3040" i="1"/>
  <c r="E3040" i="1"/>
  <c r="F3040" i="1"/>
  <c r="G3040" i="1"/>
  <c r="H3040" i="1"/>
  <c r="I3040" i="1"/>
  <c r="J3040" i="1"/>
  <c r="K3040" i="1"/>
  <c r="L3040" i="1"/>
  <c r="A3041" i="1"/>
  <c r="B3041" i="1"/>
  <c r="C3041" i="1"/>
  <c r="D3041" i="1"/>
  <c r="E3041" i="1"/>
  <c r="F3041" i="1"/>
  <c r="G3041" i="1"/>
  <c r="H3041" i="1"/>
  <c r="I3041" i="1"/>
  <c r="J3041" i="1"/>
  <c r="K3041" i="1"/>
  <c r="L3041" i="1"/>
  <c r="A3042" i="1"/>
  <c r="B3042" i="1"/>
  <c r="C3042" i="1"/>
  <c r="D3042" i="1"/>
  <c r="E3042" i="1"/>
  <c r="F3042" i="1"/>
  <c r="G3042" i="1"/>
  <c r="H3042" i="1"/>
  <c r="I3042" i="1"/>
  <c r="J3042" i="1"/>
  <c r="K3042" i="1"/>
  <c r="L3042" i="1"/>
  <c r="A3043" i="1"/>
  <c r="B3043" i="1"/>
  <c r="C3043" i="1"/>
  <c r="D3043" i="1"/>
  <c r="E3043" i="1"/>
  <c r="F3043" i="1"/>
  <c r="G3043" i="1"/>
  <c r="H3043" i="1"/>
  <c r="I3043" i="1"/>
  <c r="J3043" i="1"/>
  <c r="K3043" i="1"/>
  <c r="L3043" i="1"/>
  <c r="A3044" i="1"/>
  <c r="B3044" i="1"/>
  <c r="C3044" i="1"/>
  <c r="D3044" i="1"/>
  <c r="E3044" i="1"/>
  <c r="F3044" i="1"/>
  <c r="G3044" i="1"/>
  <c r="H3044" i="1"/>
  <c r="I3044" i="1"/>
  <c r="J3044" i="1"/>
  <c r="K3044" i="1"/>
  <c r="L3044" i="1"/>
  <c r="A3045" i="1"/>
  <c r="B3045" i="1"/>
  <c r="C3045" i="1"/>
  <c r="D3045" i="1"/>
  <c r="E3045" i="1"/>
  <c r="F3045" i="1"/>
  <c r="G3045" i="1"/>
  <c r="H3045" i="1"/>
  <c r="I3045" i="1"/>
  <c r="J3045" i="1"/>
  <c r="K3045" i="1"/>
  <c r="L3045" i="1"/>
  <c r="A3046" i="1"/>
  <c r="B3046" i="1"/>
  <c r="C3046" i="1"/>
  <c r="D3046" i="1"/>
  <c r="E3046" i="1"/>
  <c r="F3046" i="1"/>
  <c r="G3046" i="1"/>
  <c r="H3046" i="1"/>
  <c r="I3046" i="1"/>
  <c r="J3046" i="1"/>
  <c r="K3046" i="1"/>
  <c r="L3046" i="1"/>
  <c r="A3047" i="1"/>
  <c r="B3047" i="1"/>
  <c r="C3047" i="1"/>
  <c r="D3047" i="1"/>
  <c r="E3047" i="1"/>
  <c r="F3047" i="1"/>
  <c r="G3047" i="1"/>
  <c r="H3047" i="1"/>
  <c r="I3047" i="1"/>
  <c r="J3047" i="1"/>
  <c r="K3047" i="1"/>
  <c r="L3047" i="1"/>
  <c r="A3048" i="1"/>
  <c r="B3048" i="1"/>
  <c r="C3048" i="1"/>
  <c r="D3048" i="1"/>
  <c r="E3048" i="1"/>
  <c r="F3048" i="1"/>
  <c r="G3048" i="1"/>
  <c r="H3048" i="1"/>
  <c r="I3048" i="1"/>
  <c r="J3048" i="1"/>
  <c r="K3048" i="1"/>
  <c r="L3048" i="1"/>
  <c r="A3049" i="1"/>
  <c r="B3049" i="1"/>
  <c r="C3049" i="1"/>
  <c r="D3049" i="1"/>
  <c r="E3049" i="1"/>
  <c r="F3049" i="1"/>
  <c r="G3049" i="1"/>
  <c r="H3049" i="1"/>
  <c r="I3049" i="1"/>
  <c r="J3049" i="1"/>
  <c r="K3049" i="1"/>
  <c r="L3049" i="1"/>
  <c r="A3050" i="1"/>
  <c r="B3050" i="1"/>
  <c r="C3050" i="1"/>
  <c r="D3050" i="1"/>
  <c r="E3050" i="1"/>
  <c r="F3050" i="1"/>
  <c r="G3050" i="1"/>
  <c r="H3050" i="1"/>
  <c r="I3050" i="1"/>
  <c r="J3050" i="1"/>
  <c r="K3050" i="1"/>
  <c r="L3050" i="1"/>
  <c r="A3051" i="1"/>
  <c r="B3051" i="1"/>
  <c r="C3051" i="1"/>
  <c r="D3051" i="1"/>
  <c r="E3051" i="1"/>
  <c r="F3051" i="1"/>
  <c r="G3051" i="1"/>
  <c r="H3051" i="1"/>
  <c r="I3051" i="1"/>
  <c r="J3051" i="1"/>
  <c r="K3051" i="1"/>
  <c r="L3051" i="1"/>
  <c r="A3052" i="1"/>
  <c r="B3052" i="1"/>
  <c r="C3052" i="1"/>
  <c r="D3052" i="1"/>
  <c r="E3052" i="1"/>
  <c r="F3052" i="1"/>
  <c r="G3052" i="1"/>
  <c r="H3052" i="1"/>
  <c r="I3052" i="1"/>
  <c r="J3052" i="1"/>
  <c r="K3052" i="1"/>
  <c r="L3052" i="1"/>
  <c r="A3053" i="1"/>
  <c r="B3053" i="1"/>
  <c r="C3053" i="1"/>
  <c r="D3053" i="1"/>
  <c r="E3053" i="1"/>
  <c r="F3053" i="1"/>
  <c r="G3053" i="1"/>
  <c r="H3053" i="1"/>
  <c r="I3053" i="1"/>
  <c r="J3053" i="1"/>
  <c r="K3053" i="1"/>
  <c r="L3053" i="1"/>
  <c r="A3054" i="1"/>
  <c r="B3054" i="1"/>
  <c r="C3054" i="1"/>
  <c r="D3054" i="1"/>
  <c r="E3054" i="1"/>
  <c r="F3054" i="1"/>
  <c r="G3054" i="1"/>
  <c r="H3054" i="1"/>
  <c r="I3054" i="1"/>
  <c r="J3054" i="1"/>
  <c r="K3054" i="1"/>
  <c r="L3054" i="1"/>
  <c r="A3055" i="1"/>
  <c r="B3055" i="1"/>
  <c r="C3055" i="1"/>
  <c r="D3055" i="1"/>
  <c r="E3055" i="1"/>
  <c r="F3055" i="1"/>
  <c r="G3055" i="1"/>
  <c r="H3055" i="1"/>
  <c r="I3055" i="1"/>
  <c r="J3055" i="1"/>
  <c r="K3055" i="1"/>
  <c r="L3055" i="1"/>
  <c r="A3056" i="1"/>
  <c r="B3056" i="1"/>
  <c r="C3056" i="1"/>
  <c r="D3056" i="1"/>
  <c r="E3056" i="1"/>
  <c r="F3056" i="1"/>
  <c r="G3056" i="1"/>
  <c r="H3056" i="1"/>
  <c r="I3056" i="1"/>
  <c r="J3056" i="1"/>
  <c r="K3056" i="1"/>
  <c r="L3056" i="1"/>
  <c r="A3057" i="1"/>
  <c r="B3057" i="1"/>
  <c r="C3057" i="1"/>
  <c r="D3057" i="1"/>
  <c r="E3057" i="1"/>
  <c r="F3057" i="1"/>
  <c r="G3057" i="1"/>
  <c r="H3057" i="1"/>
  <c r="I3057" i="1"/>
  <c r="J3057" i="1"/>
  <c r="K3057" i="1"/>
  <c r="L3057" i="1"/>
  <c r="A3058" i="1"/>
  <c r="B3058" i="1"/>
  <c r="C3058" i="1"/>
  <c r="D3058" i="1"/>
  <c r="E3058" i="1"/>
  <c r="F3058" i="1"/>
  <c r="G3058" i="1"/>
  <c r="H3058" i="1"/>
  <c r="I3058" i="1"/>
  <c r="J3058" i="1"/>
  <c r="K3058" i="1"/>
  <c r="L3058" i="1"/>
  <c r="A3059" i="1"/>
  <c r="B3059" i="1"/>
  <c r="C3059" i="1"/>
  <c r="D3059" i="1"/>
  <c r="E3059" i="1"/>
  <c r="F3059" i="1"/>
  <c r="G3059" i="1"/>
  <c r="H3059" i="1"/>
  <c r="I3059" i="1"/>
  <c r="J3059" i="1"/>
  <c r="K3059" i="1"/>
  <c r="L3059" i="1"/>
  <c r="A3060" i="1"/>
  <c r="B3060" i="1"/>
  <c r="C3060" i="1"/>
  <c r="D3060" i="1"/>
  <c r="E3060" i="1"/>
  <c r="F3060" i="1"/>
  <c r="G3060" i="1"/>
  <c r="H3060" i="1"/>
  <c r="I3060" i="1"/>
  <c r="J3060" i="1"/>
  <c r="K3060" i="1"/>
  <c r="L3060" i="1"/>
  <c r="A3061" i="1"/>
  <c r="B3061" i="1"/>
  <c r="C3061" i="1"/>
  <c r="D3061" i="1"/>
  <c r="E3061" i="1"/>
  <c r="F3061" i="1"/>
  <c r="G3061" i="1"/>
  <c r="H3061" i="1"/>
  <c r="I3061" i="1"/>
  <c r="J3061" i="1"/>
  <c r="K3061" i="1"/>
  <c r="L3061" i="1"/>
  <c r="A3062" i="1"/>
  <c r="B3062" i="1"/>
  <c r="C3062" i="1"/>
  <c r="D3062" i="1"/>
  <c r="E3062" i="1"/>
  <c r="F3062" i="1"/>
  <c r="G3062" i="1"/>
  <c r="H3062" i="1"/>
  <c r="I3062" i="1"/>
  <c r="J3062" i="1"/>
  <c r="K3062" i="1"/>
  <c r="L3062" i="1"/>
  <c r="A3063" i="1"/>
  <c r="B3063" i="1"/>
  <c r="C3063" i="1"/>
  <c r="D3063" i="1"/>
  <c r="E3063" i="1"/>
  <c r="F3063" i="1"/>
  <c r="G3063" i="1"/>
  <c r="H3063" i="1"/>
  <c r="I3063" i="1"/>
  <c r="J3063" i="1"/>
  <c r="K3063" i="1"/>
  <c r="L3063" i="1"/>
  <c r="A3064" i="1"/>
  <c r="B3064" i="1"/>
  <c r="C3064" i="1"/>
  <c r="D3064" i="1"/>
  <c r="E3064" i="1"/>
  <c r="F3064" i="1"/>
  <c r="G3064" i="1"/>
  <c r="H3064" i="1"/>
  <c r="I3064" i="1"/>
  <c r="J3064" i="1"/>
  <c r="K3064" i="1"/>
  <c r="L3064" i="1"/>
  <c r="A3065" i="1"/>
  <c r="B3065" i="1"/>
  <c r="C3065" i="1"/>
  <c r="D3065" i="1"/>
  <c r="E3065" i="1"/>
  <c r="F3065" i="1"/>
  <c r="G3065" i="1"/>
  <c r="H3065" i="1"/>
  <c r="I3065" i="1"/>
  <c r="J3065" i="1"/>
  <c r="K3065" i="1"/>
  <c r="L3065" i="1"/>
  <c r="A3066" i="1"/>
  <c r="B3066" i="1"/>
  <c r="C3066" i="1"/>
  <c r="D3066" i="1"/>
  <c r="E3066" i="1"/>
  <c r="F3066" i="1"/>
  <c r="G3066" i="1"/>
  <c r="H3066" i="1"/>
  <c r="I3066" i="1"/>
  <c r="J3066" i="1"/>
  <c r="K3066" i="1"/>
  <c r="L3066" i="1"/>
  <c r="A3067" i="1"/>
  <c r="B3067" i="1"/>
  <c r="C3067" i="1"/>
  <c r="D3067" i="1"/>
  <c r="E3067" i="1"/>
  <c r="F3067" i="1"/>
  <c r="G3067" i="1"/>
  <c r="H3067" i="1"/>
  <c r="I3067" i="1"/>
  <c r="J3067" i="1"/>
  <c r="K3067" i="1"/>
  <c r="L3067" i="1"/>
  <c r="A3068" i="1"/>
  <c r="B3068" i="1"/>
  <c r="C3068" i="1"/>
  <c r="D3068" i="1"/>
  <c r="E3068" i="1"/>
  <c r="F3068" i="1"/>
  <c r="G3068" i="1"/>
  <c r="H3068" i="1"/>
  <c r="I3068" i="1"/>
  <c r="J3068" i="1"/>
  <c r="K3068" i="1"/>
  <c r="L3068" i="1"/>
  <c r="A3069" i="1"/>
  <c r="B3069" i="1"/>
  <c r="C3069" i="1"/>
  <c r="D3069" i="1"/>
  <c r="E3069" i="1"/>
  <c r="F3069" i="1"/>
  <c r="G3069" i="1"/>
  <c r="H3069" i="1"/>
  <c r="I3069" i="1"/>
  <c r="J3069" i="1"/>
  <c r="K3069" i="1"/>
  <c r="L3069" i="1"/>
  <c r="A3070" i="1"/>
  <c r="B3070" i="1"/>
  <c r="C3070" i="1"/>
  <c r="D3070" i="1"/>
  <c r="E3070" i="1"/>
  <c r="F3070" i="1"/>
  <c r="G3070" i="1"/>
  <c r="H3070" i="1"/>
  <c r="I3070" i="1"/>
  <c r="J3070" i="1"/>
  <c r="K3070" i="1"/>
  <c r="L3070" i="1"/>
  <c r="A3071" i="1"/>
  <c r="B3071" i="1"/>
  <c r="C3071" i="1"/>
  <c r="D3071" i="1"/>
  <c r="E3071" i="1"/>
  <c r="F3071" i="1"/>
  <c r="G3071" i="1"/>
  <c r="H3071" i="1"/>
  <c r="I3071" i="1"/>
  <c r="J3071" i="1"/>
  <c r="K3071" i="1"/>
  <c r="L3071" i="1"/>
  <c r="A3072" i="1"/>
  <c r="B3072" i="1"/>
  <c r="C3072" i="1"/>
  <c r="D3072" i="1"/>
  <c r="E3072" i="1"/>
  <c r="F3072" i="1"/>
  <c r="G3072" i="1"/>
  <c r="H3072" i="1"/>
  <c r="I3072" i="1"/>
  <c r="J3072" i="1"/>
  <c r="K3072" i="1"/>
  <c r="L3072" i="1"/>
  <c r="A3073" i="1"/>
  <c r="B3073" i="1"/>
  <c r="C3073" i="1"/>
  <c r="D3073" i="1"/>
  <c r="E3073" i="1"/>
  <c r="F3073" i="1"/>
  <c r="G3073" i="1"/>
  <c r="H3073" i="1"/>
  <c r="I3073" i="1"/>
  <c r="J3073" i="1"/>
  <c r="K3073" i="1"/>
  <c r="L3073" i="1"/>
  <c r="A3074" i="1"/>
  <c r="B3074" i="1"/>
  <c r="C3074" i="1"/>
  <c r="D3074" i="1"/>
  <c r="E3074" i="1"/>
  <c r="F3074" i="1"/>
  <c r="G3074" i="1"/>
  <c r="H3074" i="1"/>
  <c r="I3074" i="1"/>
  <c r="J3074" i="1"/>
  <c r="K3074" i="1"/>
  <c r="L3074" i="1"/>
  <c r="A3075" i="1"/>
  <c r="B3075" i="1"/>
  <c r="C3075" i="1"/>
  <c r="D3075" i="1"/>
  <c r="E3075" i="1"/>
  <c r="F3075" i="1"/>
  <c r="G3075" i="1"/>
  <c r="H3075" i="1"/>
  <c r="I3075" i="1"/>
  <c r="J3075" i="1"/>
  <c r="K3075" i="1"/>
  <c r="L3075" i="1"/>
  <c r="A3076" i="1"/>
  <c r="B3076" i="1"/>
  <c r="C3076" i="1"/>
  <c r="D3076" i="1"/>
  <c r="E3076" i="1"/>
  <c r="F3076" i="1"/>
  <c r="G3076" i="1"/>
  <c r="H3076" i="1"/>
  <c r="I3076" i="1"/>
  <c r="J3076" i="1"/>
  <c r="K3076" i="1"/>
  <c r="L3076" i="1"/>
  <c r="A3077" i="1"/>
  <c r="B3077" i="1"/>
  <c r="C3077" i="1"/>
  <c r="D3077" i="1"/>
  <c r="E3077" i="1"/>
  <c r="F3077" i="1"/>
  <c r="G3077" i="1"/>
  <c r="H3077" i="1"/>
  <c r="I3077" i="1"/>
  <c r="J3077" i="1"/>
  <c r="K3077" i="1"/>
  <c r="L3077" i="1"/>
  <c r="A3078" i="1"/>
  <c r="B3078" i="1"/>
  <c r="C3078" i="1"/>
  <c r="D3078" i="1"/>
  <c r="E3078" i="1"/>
  <c r="F3078" i="1"/>
  <c r="G3078" i="1"/>
  <c r="H3078" i="1"/>
  <c r="I3078" i="1"/>
  <c r="J3078" i="1"/>
  <c r="K3078" i="1"/>
  <c r="L3078" i="1"/>
  <c r="A3079" i="1"/>
  <c r="B3079" i="1"/>
  <c r="C3079" i="1"/>
  <c r="D3079" i="1"/>
  <c r="E3079" i="1"/>
  <c r="F3079" i="1"/>
  <c r="G3079" i="1"/>
  <c r="H3079" i="1"/>
  <c r="I3079" i="1"/>
  <c r="J3079" i="1"/>
  <c r="K3079" i="1"/>
  <c r="L3079" i="1"/>
  <c r="A3080" i="1"/>
  <c r="B3080" i="1"/>
  <c r="C3080" i="1"/>
  <c r="D3080" i="1"/>
  <c r="E3080" i="1"/>
  <c r="F3080" i="1"/>
  <c r="G3080" i="1"/>
  <c r="H3080" i="1"/>
  <c r="I3080" i="1"/>
  <c r="J3080" i="1"/>
  <c r="K3080" i="1"/>
  <c r="L3080" i="1"/>
  <c r="A3081" i="1"/>
  <c r="B3081" i="1"/>
  <c r="C3081" i="1"/>
  <c r="D3081" i="1"/>
  <c r="E3081" i="1"/>
  <c r="F3081" i="1"/>
  <c r="G3081" i="1"/>
  <c r="H3081" i="1"/>
  <c r="I3081" i="1"/>
  <c r="J3081" i="1"/>
  <c r="K3081" i="1"/>
  <c r="L3081" i="1"/>
  <c r="A3082" i="1"/>
  <c r="B3082" i="1"/>
  <c r="C3082" i="1"/>
  <c r="D3082" i="1"/>
  <c r="E3082" i="1"/>
  <c r="F3082" i="1"/>
  <c r="G3082" i="1"/>
  <c r="H3082" i="1"/>
  <c r="I3082" i="1"/>
  <c r="J3082" i="1"/>
  <c r="K3082" i="1"/>
  <c r="L3082" i="1"/>
  <c r="A3083" i="1"/>
  <c r="B3083" i="1"/>
  <c r="C3083" i="1"/>
  <c r="D3083" i="1"/>
  <c r="E3083" i="1"/>
  <c r="F3083" i="1"/>
  <c r="G3083" i="1"/>
  <c r="H3083" i="1"/>
  <c r="I3083" i="1"/>
  <c r="J3083" i="1"/>
  <c r="K3083" i="1"/>
  <c r="L3083" i="1"/>
  <c r="A3084" i="1"/>
  <c r="B3084" i="1"/>
  <c r="C3084" i="1"/>
  <c r="D3084" i="1"/>
  <c r="E3084" i="1"/>
  <c r="F3084" i="1"/>
  <c r="G3084" i="1"/>
  <c r="H3084" i="1"/>
  <c r="I3084" i="1"/>
  <c r="J3084" i="1"/>
  <c r="K3084" i="1"/>
  <c r="L3084" i="1"/>
  <c r="A3085" i="1"/>
  <c r="B3085" i="1"/>
  <c r="C3085" i="1"/>
  <c r="D3085" i="1"/>
  <c r="E3085" i="1"/>
  <c r="F3085" i="1"/>
  <c r="G3085" i="1"/>
  <c r="H3085" i="1"/>
  <c r="I3085" i="1"/>
  <c r="J3085" i="1"/>
  <c r="K3085" i="1"/>
  <c r="L3085" i="1"/>
  <c r="A3086" i="1"/>
  <c r="B3086" i="1"/>
  <c r="C3086" i="1"/>
  <c r="D3086" i="1"/>
  <c r="E3086" i="1"/>
  <c r="F3086" i="1"/>
  <c r="G3086" i="1"/>
  <c r="H3086" i="1"/>
  <c r="I3086" i="1"/>
  <c r="J3086" i="1"/>
  <c r="K3086" i="1"/>
  <c r="L3086" i="1"/>
  <c r="A3087" i="1"/>
  <c r="B3087" i="1"/>
  <c r="C3087" i="1"/>
  <c r="D3087" i="1"/>
  <c r="E3087" i="1"/>
  <c r="F3087" i="1"/>
  <c r="G3087" i="1"/>
  <c r="H3087" i="1"/>
  <c r="I3087" i="1"/>
  <c r="J3087" i="1"/>
  <c r="K3087" i="1"/>
  <c r="L3087" i="1"/>
  <c r="A3088" i="1"/>
  <c r="B3088" i="1"/>
  <c r="C3088" i="1"/>
  <c r="D3088" i="1"/>
  <c r="E3088" i="1"/>
  <c r="F3088" i="1"/>
  <c r="G3088" i="1"/>
  <c r="H3088" i="1"/>
  <c r="I3088" i="1"/>
  <c r="J3088" i="1"/>
  <c r="K3088" i="1"/>
  <c r="L3088" i="1"/>
  <c r="A3089" i="1"/>
  <c r="B3089" i="1"/>
  <c r="C3089" i="1"/>
  <c r="D3089" i="1"/>
  <c r="E3089" i="1"/>
  <c r="F3089" i="1"/>
  <c r="G3089" i="1"/>
  <c r="H3089" i="1"/>
  <c r="I3089" i="1"/>
  <c r="J3089" i="1"/>
  <c r="K3089" i="1"/>
  <c r="L3089" i="1"/>
  <c r="A3090" i="1"/>
  <c r="B3090" i="1"/>
  <c r="C3090" i="1"/>
  <c r="D3090" i="1"/>
  <c r="E3090" i="1"/>
  <c r="F3090" i="1"/>
  <c r="G3090" i="1"/>
  <c r="H3090" i="1"/>
  <c r="I3090" i="1"/>
  <c r="J3090" i="1"/>
  <c r="K3090" i="1"/>
  <c r="L3090" i="1"/>
  <c r="A3091" i="1"/>
  <c r="B3091" i="1"/>
  <c r="C3091" i="1"/>
  <c r="D3091" i="1"/>
  <c r="E3091" i="1"/>
  <c r="F3091" i="1"/>
  <c r="G3091" i="1"/>
  <c r="H3091" i="1"/>
  <c r="I3091" i="1"/>
  <c r="J3091" i="1"/>
  <c r="K3091" i="1"/>
  <c r="L3091" i="1"/>
  <c r="A3092" i="1"/>
  <c r="B3092" i="1"/>
  <c r="C3092" i="1"/>
  <c r="D3092" i="1"/>
  <c r="E3092" i="1"/>
  <c r="F3092" i="1"/>
  <c r="G3092" i="1"/>
  <c r="H3092" i="1"/>
  <c r="I3092" i="1"/>
  <c r="J3092" i="1"/>
  <c r="K3092" i="1"/>
  <c r="L3092" i="1"/>
  <c r="A3093" i="1"/>
  <c r="B3093" i="1"/>
  <c r="C3093" i="1"/>
  <c r="D3093" i="1"/>
  <c r="E3093" i="1"/>
  <c r="F3093" i="1"/>
  <c r="G3093" i="1"/>
  <c r="H3093" i="1"/>
  <c r="I3093" i="1"/>
  <c r="J3093" i="1"/>
  <c r="K3093" i="1"/>
  <c r="L3093" i="1"/>
  <c r="A3094" i="1"/>
  <c r="B3094" i="1"/>
  <c r="C3094" i="1"/>
  <c r="D3094" i="1"/>
  <c r="E3094" i="1"/>
  <c r="F3094" i="1"/>
  <c r="G3094" i="1"/>
  <c r="H3094" i="1"/>
  <c r="I3094" i="1"/>
  <c r="J3094" i="1"/>
  <c r="K3094" i="1"/>
  <c r="L3094" i="1"/>
  <c r="A3095" i="1"/>
  <c r="B3095" i="1"/>
  <c r="C3095" i="1"/>
  <c r="D3095" i="1"/>
  <c r="E3095" i="1"/>
  <c r="F3095" i="1"/>
  <c r="G3095" i="1"/>
  <c r="H3095" i="1"/>
  <c r="I3095" i="1"/>
  <c r="J3095" i="1"/>
  <c r="K3095" i="1"/>
  <c r="L3095" i="1"/>
  <c r="A3096" i="1"/>
  <c r="B3096" i="1"/>
  <c r="C3096" i="1"/>
  <c r="D3096" i="1"/>
  <c r="E3096" i="1"/>
  <c r="F3096" i="1"/>
  <c r="G3096" i="1"/>
  <c r="H3096" i="1"/>
  <c r="I3096" i="1"/>
  <c r="J3096" i="1"/>
  <c r="K3096" i="1"/>
  <c r="L3096" i="1"/>
  <c r="A3097" i="1"/>
  <c r="B3097" i="1"/>
  <c r="C3097" i="1"/>
  <c r="D3097" i="1"/>
  <c r="E3097" i="1"/>
  <c r="F3097" i="1"/>
  <c r="G3097" i="1"/>
  <c r="H3097" i="1"/>
  <c r="I3097" i="1"/>
  <c r="J3097" i="1"/>
  <c r="K3097" i="1"/>
  <c r="L3097" i="1"/>
  <c r="A3098" i="1"/>
  <c r="B3098" i="1"/>
  <c r="C3098" i="1"/>
  <c r="D3098" i="1"/>
  <c r="E3098" i="1"/>
  <c r="F3098" i="1"/>
  <c r="G3098" i="1"/>
  <c r="H3098" i="1"/>
  <c r="I3098" i="1"/>
  <c r="J3098" i="1"/>
  <c r="K3098" i="1"/>
  <c r="L3098" i="1"/>
  <c r="A3099" i="1"/>
  <c r="B3099" i="1"/>
  <c r="C3099" i="1"/>
  <c r="D3099" i="1"/>
  <c r="E3099" i="1"/>
  <c r="F3099" i="1"/>
  <c r="G3099" i="1"/>
  <c r="H3099" i="1"/>
  <c r="I3099" i="1"/>
  <c r="J3099" i="1"/>
  <c r="K3099" i="1"/>
  <c r="L3099" i="1"/>
  <c r="A3100" i="1"/>
  <c r="B3100" i="1"/>
  <c r="C3100" i="1"/>
  <c r="D3100" i="1"/>
  <c r="E3100" i="1"/>
  <c r="F3100" i="1"/>
  <c r="G3100" i="1"/>
  <c r="H3100" i="1"/>
  <c r="I3100" i="1"/>
  <c r="J3100" i="1"/>
  <c r="K3100" i="1"/>
  <c r="L3100" i="1"/>
  <c r="A3101" i="1"/>
  <c r="B3101" i="1"/>
  <c r="C3101" i="1"/>
  <c r="D3101" i="1"/>
  <c r="E3101" i="1"/>
  <c r="F3101" i="1"/>
  <c r="G3101" i="1"/>
  <c r="H3101" i="1"/>
  <c r="I3101" i="1"/>
  <c r="J3101" i="1"/>
  <c r="K3101" i="1"/>
  <c r="L3101" i="1"/>
  <c r="A3102" i="1"/>
  <c r="B3102" i="1"/>
  <c r="C3102" i="1"/>
  <c r="D3102" i="1"/>
  <c r="E3102" i="1"/>
  <c r="F3102" i="1"/>
  <c r="G3102" i="1"/>
  <c r="H3102" i="1"/>
  <c r="I3102" i="1"/>
  <c r="J3102" i="1"/>
  <c r="K3102" i="1"/>
  <c r="L3102" i="1"/>
  <c r="A3103" i="1"/>
  <c r="B3103" i="1"/>
  <c r="C3103" i="1"/>
  <c r="D3103" i="1"/>
  <c r="E3103" i="1"/>
  <c r="F3103" i="1"/>
  <c r="G3103" i="1"/>
  <c r="H3103" i="1"/>
  <c r="I3103" i="1"/>
  <c r="J3103" i="1"/>
  <c r="K3103" i="1"/>
  <c r="L3103" i="1"/>
  <c r="A3104" i="1"/>
  <c r="B3104" i="1"/>
  <c r="C3104" i="1"/>
  <c r="D3104" i="1"/>
  <c r="E3104" i="1"/>
  <c r="F3104" i="1"/>
  <c r="G3104" i="1"/>
  <c r="H3104" i="1"/>
  <c r="I3104" i="1"/>
  <c r="J3104" i="1"/>
  <c r="K3104" i="1"/>
  <c r="L3104" i="1"/>
  <c r="A3105" i="1"/>
  <c r="B3105" i="1"/>
  <c r="C3105" i="1"/>
  <c r="D3105" i="1"/>
  <c r="E3105" i="1"/>
  <c r="F3105" i="1"/>
  <c r="G3105" i="1"/>
  <c r="H3105" i="1"/>
  <c r="I3105" i="1"/>
  <c r="J3105" i="1"/>
  <c r="K3105" i="1"/>
  <c r="L3105" i="1"/>
  <c r="A3106" i="1"/>
  <c r="B3106" i="1"/>
  <c r="C3106" i="1"/>
  <c r="D3106" i="1"/>
  <c r="E3106" i="1"/>
  <c r="F3106" i="1"/>
  <c r="G3106" i="1"/>
  <c r="H3106" i="1"/>
  <c r="I3106" i="1"/>
  <c r="J3106" i="1"/>
  <c r="K3106" i="1"/>
  <c r="L3106" i="1"/>
  <c r="A3107" i="1"/>
  <c r="B3107" i="1"/>
  <c r="C3107" i="1"/>
  <c r="D3107" i="1"/>
  <c r="E3107" i="1"/>
  <c r="F3107" i="1"/>
  <c r="G3107" i="1"/>
  <c r="H3107" i="1"/>
  <c r="I3107" i="1"/>
  <c r="J3107" i="1"/>
  <c r="K3107" i="1"/>
  <c r="L3107" i="1"/>
  <c r="A3108" i="1"/>
  <c r="B3108" i="1"/>
  <c r="C3108" i="1"/>
  <c r="D3108" i="1"/>
  <c r="E3108" i="1"/>
  <c r="F3108" i="1"/>
  <c r="G3108" i="1"/>
  <c r="H3108" i="1"/>
  <c r="I3108" i="1"/>
  <c r="J3108" i="1"/>
  <c r="K3108" i="1"/>
  <c r="L3108" i="1"/>
  <c r="A3109" i="1"/>
  <c r="B3109" i="1"/>
  <c r="C3109" i="1"/>
  <c r="D3109" i="1"/>
  <c r="E3109" i="1"/>
  <c r="F3109" i="1"/>
  <c r="G3109" i="1"/>
  <c r="H3109" i="1"/>
  <c r="I3109" i="1"/>
  <c r="J3109" i="1"/>
  <c r="K3109" i="1"/>
  <c r="L3109" i="1"/>
  <c r="A3110" i="1"/>
  <c r="B3110" i="1"/>
  <c r="C3110" i="1"/>
  <c r="D3110" i="1"/>
  <c r="E3110" i="1"/>
  <c r="F3110" i="1"/>
  <c r="G3110" i="1"/>
  <c r="H3110" i="1"/>
  <c r="I3110" i="1"/>
  <c r="J3110" i="1"/>
  <c r="K3110" i="1"/>
  <c r="L3110" i="1"/>
  <c r="A3111" i="1"/>
  <c r="B3111" i="1"/>
  <c r="C3111" i="1"/>
  <c r="D3111" i="1"/>
  <c r="E3111" i="1"/>
  <c r="F3111" i="1"/>
  <c r="G3111" i="1"/>
  <c r="H3111" i="1"/>
  <c r="I3111" i="1"/>
  <c r="J3111" i="1"/>
  <c r="K3111" i="1"/>
  <c r="L3111" i="1"/>
  <c r="A3112" i="1"/>
  <c r="B3112" i="1"/>
  <c r="C3112" i="1"/>
  <c r="D3112" i="1"/>
  <c r="E3112" i="1"/>
  <c r="F3112" i="1"/>
  <c r="G3112" i="1"/>
  <c r="H3112" i="1"/>
  <c r="I3112" i="1"/>
  <c r="J3112" i="1"/>
  <c r="K3112" i="1"/>
  <c r="L3112" i="1"/>
  <c r="A3113" i="1"/>
  <c r="B3113" i="1"/>
  <c r="C3113" i="1"/>
  <c r="D3113" i="1"/>
  <c r="E3113" i="1"/>
  <c r="F3113" i="1"/>
  <c r="G3113" i="1"/>
  <c r="H3113" i="1"/>
  <c r="I3113" i="1"/>
  <c r="J3113" i="1"/>
  <c r="K3113" i="1"/>
  <c r="L3113" i="1"/>
  <c r="A3114" i="1"/>
  <c r="B3114" i="1"/>
  <c r="C3114" i="1"/>
  <c r="D3114" i="1"/>
  <c r="E3114" i="1"/>
  <c r="F3114" i="1"/>
  <c r="G3114" i="1"/>
  <c r="H3114" i="1"/>
  <c r="I3114" i="1"/>
  <c r="J3114" i="1"/>
  <c r="K3114" i="1"/>
  <c r="L3114" i="1"/>
  <c r="A3115" i="1"/>
  <c r="B3115" i="1"/>
  <c r="C3115" i="1"/>
  <c r="D3115" i="1"/>
  <c r="E3115" i="1"/>
  <c r="F3115" i="1"/>
  <c r="G3115" i="1"/>
  <c r="H3115" i="1"/>
  <c r="I3115" i="1"/>
  <c r="J3115" i="1"/>
  <c r="K3115" i="1"/>
  <c r="L3115" i="1"/>
  <c r="A3116" i="1"/>
  <c r="B3116" i="1"/>
  <c r="C3116" i="1"/>
  <c r="D3116" i="1"/>
  <c r="E3116" i="1"/>
  <c r="F3116" i="1"/>
  <c r="G3116" i="1"/>
  <c r="H3116" i="1"/>
  <c r="I3116" i="1"/>
  <c r="J3116" i="1"/>
  <c r="K3116" i="1"/>
  <c r="L3116" i="1"/>
  <c r="A3117" i="1"/>
  <c r="B3117" i="1"/>
  <c r="C3117" i="1"/>
  <c r="D3117" i="1"/>
  <c r="E3117" i="1"/>
  <c r="F3117" i="1"/>
  <c r="G3117" i="1"/>
  <c r="H3117" i="1"/>
  <c r="I3117" i="1"/>
  <c r="J3117" i="1"/>
  <c r="K3117" i="1"/>
  <c r="L3117" i="1"/>
  <c r="A3118" i="1"/>
  <c r="B3118" i="1"/>
  <c r="C3118" i="1"/>
  <c r="D3118" i="1"/>
  <c r="E3118" i="1"/>
  <c r="F3118" i="1"/>
  <c r="G3118" i="1"/>
  <c r="H3118" i="1"/>
  <c r="I3118" i="1"/>
  <c r="J3118" i="1"/>
  <c r="K3118" i="1"/>
  <c r="L3118" i="1"/>
  <c r="A3119" i="1"/>
  <c r="B3119" i="1"/>
  <c r="C3119" i="1"/>
  <c r="D3119" i="1"/>
  <c r="E3119" i="1"/>
  <c r="F3119" i="1"/>
  <c r="G3119" i="1"/>
  <c r="H3119" i="1"/>
  <c r="I3119" i="1"/>
  <c r="J3119" i="1"/>
  <c r="K3119" i="1"/>
  <c r="L3119" i="1"/>
  <c r="A3120" i="1"/>
  <c r="B3120" i="1"/>
  <c r="C3120" i="1"/>
  <c r="D3120" i="1"/>
  <c r="E3120" i="1"/>
  <c r="F3120" i="1"/>
  <c r="G3120" i="1"/>
  <c r="H3120" i="1"/>
  <c r="I3120" i="1"/>
  <c r="J3120" i="1"/>
  <c r="K3120" i="1"/>
  <c r="L3120" i="1"/>
  <c r="A3121" i="1"/>
  <c r="B3121" i="1"/>
  <c r="C3121" i="1"/>
  <c r="D3121" i="1"/>
  <c r="E3121" i="1"/>
  <c r="F3121" i="1"/>
  <c r="G3121" i="1"/>
  <c r="H3121" i="1"/>
  <c r="I3121" i="1"/>
  <c r="J3121" i="1"/>
  <c r="K3121" i="1"/>
  <c r="L3121" i="1"/>
  <c r="A3122" i="1"/>
  <c r="B3122" i="1"/>
  <c r="C3122" i="1"/>
  <c r="D3122" i="1"/>
  <c r="E3122" i="1"/>
  <c r="F3122" i="1"/>
  <c r="G3122" i="1"/>
  <c r="H3122" i="1"/>
  <c r="I3122" i="1"/>
  <c r="J3122" i="1"/>
  <c r="K3122" i="1"/>
  <c r="L3122" i="1"/>
  <c r="A3123" i="1"/>
  <c r="B3123" i="1"/>
  <c r="C3123" i="1"/>
  <c r="D3123" i="1"/>
  <c r="E3123" i="1"/>
  <c r="F3123" i="1"/>
  <c r="G3123" i="1"/>
  <c r="H3123" i="1"/>
  <c r="I3123" i="1"/>
  <c r="J3123" i="1"/>
  <c r="K3123" i="1"/>
  <c r="L3123" i="1"/>
  <c r="A3124" i="1"/>
  <c r="B3124" i="1"/>
  <c r="C3124" i="1"/>
  <c r="D3124" i="1"/>
  <c r="E3124" i="1"/>
  <c r="F3124" i="1"/>
  <c r="G3124" i="1"/>
  <c r="H3124" i="1"/>
  <c r="I3124" i="1"/>
  <c r="J3124" i="1"/>
  <c r="K3124" i="1"/>
  <c r="L3124" i="1"/>
  <c r="A3125" i="1"/>
  <c r="B3125" i="1"/>
  <c r="C3125" i="1"/>
  <c r="D3125" i="1"/>
  <c r="E3125" i="1"/>
  <c r="F3125" i="1"/>
  <c r="G3125" i="1"/>
  <c r="H3125" i="1"/>
  <c r="I3125" i="1"/>
  <c r="J3125" i="1"/>
  <c r="K3125" i="1"/>
  <c r="L3125" i="1"/>
  <c r="A3126" i="1"/>
  <c r="B3126" i="1"/>
  <c r="C3126" i="1"/>
  <c r="D3126" i="1"/>
  <c r="E3126" i="1"/>
  <c r="F3126" i="1"/>
  <c r="G3126" i="1"/>
  <c r="H3126" i="1"/>
  <c r="I3126" i="1"/>
  <c r="J3126" i="1"/>
  <c r="K3126" i="1"/>
  <c r="L3126" i="1"/>
  <c r="A3127" i="1"/>
  <c r="B3127" i="1"/>
  <c r="C3127" i="1"/>
  <c r="D3127" i="1"/>
  <c r="E3127" i="1"/>
  <c r="F3127" i="1"/>
  <c r="G3127" i="1"/>
  <c r="H3127" i="1"/>
  <c r="I3127" i="1"/>
  <c r="J3127" i="1"/>
  <c r="K3127" i="1"/>
  <c r="L3127" i="1"/>
  <c r="A3128" i="1"/>
  <c r="B3128" i="1"/>
  <c r="C3128" i="1"/>
  <c r="D3128" i="1"/>
  <c r="E3128" i="1"/>
  <c r="F3128" i="1"/>
  <c r="G3128" i="1"/>
  <c r="H3128" i="1"/>
  <c r="I3128" i="1"/>
  <c r="J3128" i="1"/>
  <c r="K3128" i="1"/>
  <c r="L3128" i="1"/>
  <c r="A3129" i="1"/>
  <c r="B3129" i="1"/>
  <c r="C3129" i="1"/>
  <c r="D3129" i="1"/>
  <c r="E3129" i="1"/>
  <c r="F3129" i="1"/>
  <c r="G3129" i="1"/>
  <c r="H3129" i="1"/>
  <c r="I3129" i="1"/>
  <c r="J3129" i="1"/>
  <c r="K3129" i="1"/>
  <c r="L3129" i="1"/>
  <c r="A3130" i="1"/>
  <c r="B3130" i="1"/>
  <c r="C3130" i="1"/>
  <c r="D3130" i="1"/>
  <c r="E3130" i="1"/>
  <c r="F3130" i="1"/>
  <c r="G3130" i="1"/>
  <c r="H3130" i="1"/>
  <c r="I3130" i="1"/>
  <c r="J3130" i="1"/>
  <c r="K3130" i="1"/>
  <c r="L3130" i="1"/>
  <c r="A3131" i="1"/>
  <c r="B3131" i="1"/>
  <c r="C3131" i="1"/>
  <c r="D3131" i="1"/>
  <c r="E3131" i="1"/>
  <c r="F3131" i="1"/>
  <c r="G3131" i="1"/>
  <c r="H3131" i="1"/>
  <c r="I3131" i="1"/>
  <c r="J3131" i="1"/>
  <c r="K3131" i="1"/>
  <c r="L3131" i="1"/>
  <c r="A3132" i="1"/>
  <c r="B3132" i="1"/>
  <c r="C3132" i="1"/>
  <c r="D3132" i="1"/>
  <c r="E3132" i="1"/>
  <c r="F3132" i="1"/>
  <c r="G3132" i="1"/>
  <c r="H3132" i="1"/>
  <c r="I3132" i="1"/>
  <c r="J3132" i="1"/>
  <c r="K3132" i="1"/>
  <c r="L3132" i="1"/>
  <c r="A3133" i="1"/>
  <c r="B3133" i="1"/>
  <c r="C3133" i="1"/>
  <c r="D3133" i="1"/>
  <c r="E3133" i="1"/>
  <c r="F3133" i="1"/>
  <c r="G3133" i="1"/>
  <c r="H3133" i="1"/>
  <c r="I3133" i="1"/>
  <c r="J3133" i="1"/>
  <c r="K3133" i="1"/>
  <c r="L3133" i="1"/>
  <c r="A3134" i="1"/>
  <c r="B3134" i="1"/>
  <c r="C3134" i="1"/>
  <c r="D3134" i="1"/>
  <c r="E3134" i="1"/>
  <c r="F3134" i="1"/>
  <c r="G3134" i="1"/>
  <c r="H3134" i="1"/>
  <c r="I3134" i="1"/>
  <c r="J3134" i="1"/>
  <c r="K3134" i="1"/>
  <c r="L3134" i="1"/>
  <c r="A3135" i="1"/>
  <c r="B3135" i="1"/>
  <c r="C3135" i="1"/>
  <c r="D3135" i="1"/>
  <c r="E3135" i="1"/>
  <c r="F3135" i="1"/>
  <c r="G3135" i="1"/>
  <c r="H3135" i="1"/>
  <c r="I3135" i="1"/>
  <c r="J3135" i="1"/>
  <c r="K3135" i="1"/>
  <c r="L3135" i="1"/>
  <c r="A3136" i="1"/>
  <c r="B3136" i="1"/>
  <c r="C3136" i="1"/>
  <c r="D3136" i="1"/>
  <c r="E3136" i="1"/>
  <c r="F3136" i="1"/>
  <c r="G3136" i="1"/>
  <c r="H3136" i="1"/>
  <c r="I3136" i="1"/>
  <c r="J3136" i="1"/>
  <c r="K3136" i="1"/>
  <c r="L3136" i="1"/>
  <c r="A3137" i="1"/>
  <c r="B3137" i="1"/>
  <c r="C3137" i="1"/>
  <c r="D3137" i="1"/>
  <c r="E3137" i="1"/>
  <c r="F3137" i="1"/>
  <c r="G3137" i="1"/>
  <c r="H3137" i="1"/>
  <c r="I3137" i="1"/>
  <c r="J3137" i="1"/>
  <c r="K3137" i="1"/>
  <c r="L3137" i="1"/>
  <c r="A3138" i="1"/>
  <c r="B3138" i="1"/>
  <c r="C3138" i="1"/>
  <c r="D3138" i="1"/>
  <c r="E3138" i="1"/>
  <c r="F3138" i="1"/>
  <c r="G3138" i="1"/>
  <c r="H3138" i="1"/>
  <c r="I3138" i="1"/>
  <c r="J3138" i="1"/>
  <c r="K3138" i="1"/>
  <c r="L3138" i="1"/>
  <c r="A3139" i="1"/>
  <c r="B3139" i="1"/>
  <c r="C3139" i="1"/>
  <c r="D3139" i="1"/>
  <c r="E3139" i="1"/>
  <c r="F3139" i="1"/>
  <c r="G3139" i="1"/>
  <c r="H3139" i="1"/>
  <c r="I3139" i="1"/>
  <c r="J3139" i="1"/>
  <c r="K3139" i="1"/>
  <c r="L3139" i="1"/>
  <c r="A3140" i="1"/>
  <c r="B3140" i="1"/>
  <c r="C3140" i="1"/>
  <c r="D3140" i="1"/>
  <c r="E3140" i="1"/>
  <c r="F3140" i="1"/>
  <c r="G3140" i="1"/>
  <c r="H3140" i="1"/>
  <c r="I3140" i="1"/>
  <c r="J3140" i="1"/>
  <c r="K3140" i="1"/>
  <c r="L3140" i="1"/>
  <c r="A3141" i="1"/>
  <c r="B3141" i="1"/>
  <c r="C3141" i="1"/>
  <c r="D3141" i="1"/>
  <c r="E3141" i="1"/>
  <c r="F3141" i="1"/>
  <c r="G3141" i="1"/>
  <c r="H3141" i="1"/>
  <c r="I3141" i="1"/>
  <c r="J3141" i="1"/>
  <c r="K3141" i="1"/>
  <c r="L3141" i="1"/>
  <c r="A3142" i="1"/>
  <c r="B3142" i="1"/>
  <c r="C3142" i="1"/>
  <c r="D3142" i="1"/>
  <c r="E3142" i="1"/>
  <c r="F3142" i="1"/>
  <c r="G3142" i="1"/>
  <c r="H3142" i="1"/>
  <c r="I3142" i="1"/>
  <c r="J3142" i="1"/>
  <c r="K3142" i="1"/>
  <c r="L3142" i="1"/>
  <c r="A3143" i="1"/>
  <c r="B3143" i="1"/>
  <c r="C3143" i="1"/>
  <c r="D3143" i="1"/>
  <c r="E3143" i="1"/>
  <c r="F3143" i="1"/>
  <c r="G3143" i="1"/>
  <c r="H3143" i="1"/>
  <c r="I3143" i="1"/>
  <c r="J3143" i="1"/>
  <c r="K3143" i="1"/>
  <c r="L3143" i="1"/>
  <c r="A3144" i="1"/>
  <c r="B3144" i="1"/>
  <c r="C3144" i="1"/>
  <c r="D3144" i="1"/>
  <c r="E3144" i="1"/>
  <c r="F3144" i="1"/>
  <c r="G3144" i="1"/>
  <c r="H3144" i="1"/>
  <c r="I3144" i="1"/>
  <c r="J3144" i="1"/>
  <c r="K3144" i="1"/>
  <c r="L3144" i="1"/>
  <c r="A3145" i="1"/>
  <c r="B3145" i="1"/>
  <c r="C3145" i="1"/>
  <c r="D3145" i="1"/>
  <c r="E3145" i="1"/>
  <c r="F3145" i="1"/>
  <c r="G3145" i="1"/>
  <c r="H3145" i="1"/>
  <c r="I3145" i="1"/>
  <c r="J3145" i="1"/>
  <c r="K3145" i="1"/>
  <c r="L3145" i="1"/>
  <c r="A3146" i="1"/>
  <c r="B3146" i="1"/>
  <c r="C3146" i="1"/>
  <c r="D3146" i="1"/>
  <c r="E3146" i="1"/>
  <c r="F3146" i="1"/>
  <c r="G3146" i="1"/>
  <c r="H3146" i="1"/>
  <c r="I3146" i="1"/>
  <c r="J3146" i="1"/>
  <c r="K3146" i="1"/>
  <c r="L3146" i="1"/>
  <c r="A3147" i="1"/>
  <c r="B3147" i="1"/>
  <c r="C3147" i="1"/>
  <c r="D3147" i="1"/>
  <c r="E3147" i="1"/>
  <c r="F3147" i="1"/>
  <c r="G3147" i="1"/>
  <c r="H3147" i="1"/>
  <c r="I3147" i="1"/>
  <c r="J3147" i="1"/>
  <c r="K3147" i="1"/>
  <c r="L3147" i="1"/>
  <c r="A3148" i="1"/>
  <c r="B3148" i="1"/>
  <c r="C3148" i="1"/>
  <c r="D3148" i="1"/>
  <c r="E3148" i="1"/>
  <c r="F3148" i="1"/>
  <c r="G3148" i="1"/>
  <c r="H3148" i="1"/>
  <c r="I3148" i="1"/>
  <c r="J3148" i="1"/>
  <c r="K3148" i="1"/>
  <c r="L3148" i="1"/>
  <c r="A3149" i="1"/>
  <c r="B3149" i="1"/>
  <c r="C3149" i="1"/>
  <c r="D3149" i="1"/>
  <c r="E3149" i="1"/>
  <c r="F3149" i="1"/>
  <c r="G3149" i="1"/>
  <c r="H3149" i="1"/>
  <c r="I3149" i="1"/>
  <c r="J3149" i="1"/>
  <c r="K3149" i="1"/>
  <c r="L3149" i="1"/>
  <c r="A3150" i="1"/>
  <c r="B3150" i="1"/>
  <c r="C3150" i="1"/>
  <c r="D3150" i="1"/>
  <c r="E3150" i="1"/>
  <c r="F3150" i="1"/>
  <c r="G3150" i="1"/>
  <c r="H3150" i="1"/>
  <c r="I3150" i="1"/>
  <c r="J3150" i="1"/>
  <c r="K3150" i="1"/>
  <c r="L3150" i="1"/>
  <c r="A3151" i="1"/>
  <c r="B3151" i="1"/>
  <c r="C3151" i="1"/>
  <c r="D3151" i="1"/>
  <c r="E3151" i="1"/>
  <c r="F3151" i="1"/>
  <c r="G3151" i="1"/>
  <c r="H3151" i="1"/>
  <c r="I3151" i="1"/>
  <c r="J3151" i="1"/>
  <c r="K3151" i="1"/>
  <c r="L3151" i="1"/>
  <c r="A3152" i="1"/>
  <c r="B3152" i="1"/>
  <c r="C3152" i="1"/>
  <c r="D3152" i="1"/>
  <c r="E3152" i="1"/>
  <c r="F3152" i="1"/>
  <c r="G3152" i="1"/>
  <c r="H3152" i="1"/>
  <c r="I3152" i="1"/>
  <c r="J3152" i="1"/>
  <c r="K3152" i="1"/>
  <c r="L3152" i="1"/>
  <c r="A3153" i="1"/>
  <c r="B3153" i="1"/>
  <c r="C3153" i="1"/>
  <c r="D3153" i="1"/>
  <c r="E3153" i="1"/>
  <c r="F3153" i="1"/>
  <c r="G3153" i="1"/>
  <c r="H3153" i="1"/>
  <c r="I3153" i="1"/>
  <c r="J3153" i="1"/>
  <c r="K3153" i="1"/>
  <c r="L3153" i="1"/>
  <c r="A3154" i="1"/>
  <c r="B3154" i="1"/>
  <c r="C3154" i="1"/>
  <c r="D3154" i="1"/>
  <c r="E3154" i="1"/>
  <c r="F3154" i="1"/>
  <c r="G3154" i="1"/>
  <c r="H3154" i="1"/>
  <c r="I3154" i="1"/>
  <c r="J3154" i="1"/>
  <c r="K3154" i="1"/>
  <c r="L3154" i="1"/>
  <c r="A3155" i="1"/>
  <c r="B3155" i="1"/>
  <c r="C3155" i="1"/>
  <c r="D3155" i="1"/>
  <c r="E3155" i="1"/>
  <c r="F3155" i="1"/>
  <c r="G3155" i="1"/>
  <c r="H3155" i="1"/>
  <c r="I3155" i="1"/>
  <c r="J3155" i="1"/>
  <c r="K3155" i="1"/>
  <c r="L3155" i="1"/>
  <c r="A3156" i="1"/>
  <c r="B3156" i="1"/>
  <c r="C3156" i="1"/>
  <c r="D3156" i="1"/>
  <c r="E3156" i="1"/>
  <c r="F3156" i="1"/>
  <c r="G3156" i="1"/>
  <c r="H3156" i="1"/>
  <c r="I3156" i="1"/>
  <c r="J3156" i="1"/>
  <c r="K3156" i="1"/>
  <c r="L3156" i="1"/>
  <c r="A3157" i="1"/>
  <c r="B3157" i="1"/>
  <c r="C3157" i="1"/>
  <c r="D3157" i="1"/>
  <c r="E3157" i="1"/>
  <c r="F3157" i="1"/>
  <c r="G3157" i="1"/>
  <c r="H3157" i="1"/>
  <c r="I3157" i="1"/>
  <c r="J3157" i="1"/>
  <c r="K3157" i="1"/>
  <c r="L3157" i="1"/>
  <c r="A3158" i="1"/>
  <c r="B3158" i="1"/>
  <c r="C3158" i="1"/>
  <c r="D3158" i="1"/>
  <c r="E3158" i="1"/>
  <c r="F3158" i="1"/>
  <c r="G3158" i="1"/>
  <c r="H3158" i="1"/>
  <c r="I3158" i="1"/>
  <c r="J3158" i="1"/>
  <c r="K3158" i="1"/>
  <c r="L3158" i="1"/>
  <c r="A3159" i="1"/>
  <c r="B3159" i="1"/>
  <c r="C3159" i="1"/>
  <c r="D3159" i="1"/>
  <c r="E3159" i="1"/>
  <c r="F3159" i="1"/>
  <c r="G3159" i="1"/>
  <c r="H3159" i="1"/>
  <c r="I3159" i="1"/>
  <c r="J3159" i="1"/>
  <c r="K3159" i="1"/>
  <c r="L3159" i="1"/>
  <c r="A3160" i="1"/>
  <c r="B3160" i="1"/>
  <c r="C3160" i="1"/>
  <c r="D3160" i="1"/>
  <c r="E3160" i="1"/>
  <c r="F3160" i="1"/>
  <c r="G3160" i="1"/>
  <c r="H3160" i="1"/>
  <c r="I3160" i="1"/>
  <c r="J3160" i="1"/>
  <c r="K3160" i="1"/>
  <c r="L3160" i="1"/>
  <c r="A3161" i="1"/>
  <c r="B3161" i="1"/>
  <c r="C3161" i="1"/>
  <c r="D3161" i="1"/>
  <c r="E3161" i="1"/>
  <c r="F3161" i="1"/>
  <c r="G3161" i="1"/>
  <c r="H3161" i="1"/>
  <c r="I3161" i="1"/>
  <c r="J3161" i="1"/>
  <c r="K3161" i="1"/>
  <c r="L3161" i="1"/>
  <c r="A3162" i="1"/>
  <c r="B3162" i="1"/>
  <c r="C3162" i="1"/>
  <c r="D3162" i="1"/>
  <c r="E3162" i="1"/>
  <c r="F3162" i="1"/>
  <c r="G3162" i="1"/>
  <c r="H3162" i="1"/>
  <c r="I3162" i="1"/>
  <c r="J3162" i="1"/>
  <c r="K3162" i="1"/>
  <c r="L3162" i="1"/>
  <c r="A3163" i="1"/>
  <c r="B3163" i="1"/>
  <c r="C3163" i="1"/>
  <c r="D3163" i="1"/>
  <c r="E3163" i="1"/>
  <c r="F3163" i="1"/>
  <c r="G3163" i="1"/>
  <c r="H3163" i="1"/>
  <c r="I3163" i="1"/>
  <c r="J3163" i="1"/>
  <c r="K3163" i="1"/>
  <c r="L3163" i="1"/>
  <c r="A3164" i="1"/>
  <c r="B3164" i="1"/>
  <c r="C3164" i="1"/>
  <c r="D3164" i="1"/>
  <c r="E3164" i="1"/>
  <c r="F3164" i="1"/>
  <c r="G3164" i="1"/>
  <c r="H3164" i="1"/>
  <c r="I3164" i="1"/>
  <c r="J3164" i="1"/>
  <c r="K3164" i="1"/>
  <c r="L3164" i="1"/>
  <c r="A3165" i="1"/>
  <c r="B3165" i="1"/>
  <c r="C3165" i="1"/>
  <c r="D3165" i="1"/>
  <c r="E3165" i="1"/>
  <c r="F3165" i="1"/>
  <c r="G3165" i="1"/>
  <c r="H3165" i="1"/>
  <c r="I3165" i="1"/>
  <c r="J3165" i="1"/>
  <c r="K3165" i="1"/>
  <c r="L3165" i="1"/>
  <c r="A3166" i="1"/>
  <c r="B3166" i="1"/>
  <c r="C3166" i="1"/>
  <c r="D3166" i="1"/>
  <c r="E3166" i="1"/>
  <c r="F3166" i="1"/>
  <c r="G3166" i="1"/>
  <c r="H3166" i="1"/>
  <c r="I3166" i="1"/>
  <c r="J3166" i="1"/>
  <c r="K3166" i="1"/>
  <c r="L3166" i="1"/>
  <c r="A3167" i="1"/>
  <c r="B3167" i="1"/>
  <c r="C3167" i="1"/>
  <c r="D3167" i="1"/>
  <c r="E3167" i="1"/>
  <c r="F3167" i="1"/>
  <c r="G3167" i="1"/>
  <c r="H3167" i="1"/>
  <c r="I3167" i="1"/>
  <c r="J3167" i="1"/>
  <c r="K3167" i="1"/>
  <c r="L3167" i="1"/>
  <c r="A3168" i="1"/>
  <c r="B3168" i="1"/>
  <c r="C3168" i="1"/>
  <c r="D3168" i="1"/>
  <c r="E3168" i="1"/>
  <c r="F3168" i="1"/>
  <c r="G3168" i="1"/>
  <c r="H3168" i="1"/>
  <c r="I3168" i="1"/>
  <c r="J3168" i="1"/>
  <c r="K3168" i="1"/>
  <c r="L3168" i="1"/>
  <c r="A3169" i="1"/>
  <c r="B3169" i="1"/>
  <c r="C3169" i="1"/>
  <c r="D3169" i="1"/>
  <c r="E3169" i="1"/>
  <c r="F3169" i="1"/>
  <c r="G3169" i="1"/>
  <c r="H3169" i="1"/>
  <c r="I3169" i="1"/>
  <c r="J3169" i="1"/>
  <c r="K3169" i="1"/>
  <c r="L3169" i="1"/>
  <c r="A3170" i="1"/>
  <c r="B3170" i="1"/>
  <c r="C3170" i="1"/>
  <c r="D3170" i="1"/>
  <c r="E3170" i="1"/>
  <c r="F3170" i="1"/>
  <c r="G3170" i="1"/>
  <c r="H3170" i="1"/>
  <c r="I3170" i="1"/>
  <c r="J3170" i="1"/>
  <c r="K3170" i="1"/>
  <c r="L3170" i="1"/>
  <c r="A3171" i="1"/>
  <c r="B3171" i="1"/>
  <c r="C3171" i="1"/>
  <c r="D3171" i="1"/>
  <c r="E3171" i="1"/>
  <c r="F3171" i="1"/>
  <c r="G3171" i="1"/>
  <c r="H3171" i="1"/>
  <c r="I3171" i="1"/>
  <c r="J3171" i="1"/>
  <c r="K3171" i="1"/>
  <c r="L3171" i="1"/>
  <c r="A3172" i="1"/>
  <c r="B3172" i="1"/>
  <c r="C3172" i="1"/>
  <c r="D3172" i="1"/>
  <c r="E3172" i="1"/>
  <c r="F3172" i="1"/>
  <c r="G3172" i="1"/>
  <c r="H3172" i="1"/>
  <c r="I3172" i="1"/>
  <c r="J3172" i="1"/>
  <c r="K3172" i="1"/>
  <c r="L3172" i="1"/>
  <c r="A3173" i="1"/>
  <c r="B3173" i="1"/>
  <c r="C3173" i="1"/>
  <c r="D3173" i="1"/>
  <c r="E3173" i="1"/>
  <c r="F3173" i="1"/>
  <c r="G3173" i="1"/>
  <c r="H3173" i="1"/>
  <c r="I3173" i="1"/>
  <c r="J3173" i="1"/>
  <c r="K3173" i="1"/>
  <c r="L3173" i="1"/>
  <c r="A3174" i="1"/>
  <c r="B3174" i="1"/>
  <c r="C3174" i="1"/>
  <c r="D3174" i="1"/>
  <c r="E3174" i="1"/>
  <c r="F3174" i="1"/>
  <c r="G3174" i="1"/>
  <c r="H3174" i="1"/>
  <c r="I3174" i="1"/>
  <c r="J3174" i="1"/>
  <c r="K3174" i="1"/>
  <c r="L3174" i="1"/>
  <c r="A3175" i="1"/>
  <c r="B3175" i="1"/>
  <c r="C3175" i="1"/>
  <c r="D3175" i="1"/>
  <c r="E3175" i="1"/>
  <c r="F3175" i="1"/>
  <c r="G3175" i="1"/>
  <c r="H3175" i="1"/>
  <c r="I3175" i="1"/>
  <c r="J3175" i="1"/>
  <c r="K3175" i="1"/>
  <c r="L3175" i="1"/>
  <c r="A3176" i="1"/>
  <c r="B3176" i="1"/>
  <c r="C3176" i="1"/>
  <c r="D3176" i="1"/>
  <c r="E3176" i="1"/>
  <c r="F3176" i="1"/>
  <c r="G3176" i="1"/>
  <c r="H3176" i="1"/>
  <c r="I3176" i="1"/>
  <c r="J3176" i="1"/>
  <c r="K3176" i="1"/>
  <c r="L3176" i="1"/>
  <c r="A3177" i="1"/>
  <c r="B3177" i="1"/>
  <c r="C3177" i="1"/>
  <c r="D3177" i="1"/>
  <c r="E3177" i="1"/>
  <c r="F3177" i="1"/>
  <c r="G3177" i="1"/>
  <c r="H3177" i="1"/>
  <c r="I3177" i="1"/>
  <c r="J3177" i="1"/>
  <c r="K3177" i="1"/>
  <c r="L3177" i="1"/>
  <c r="A3178" i="1"/>
  <c r="B3178" i="1"/>
  <c r="C3178" i="1"/>
  <c r="D3178" i="1"/>
  <c r="E3178" i="1"/>
  <c r="F3178" i="1"/>
  <c r="G3178" i="1"/>
  <c r="H3178" i="1"/>
  <c r="I3178" i="1"/>
  <c r="J3178" i="1"/>
  <c r="K3178" i="1"/>
  <c r="L3178" i="1"/>
  <c r="A3179" i="1"/>
  <c r="B3179" i="1"/>
  <c r="C3179" i="1"/>
  <c r="D3179" i="1"/>
  <c r="E3179" i="1"/>
  <c r="F3179" i="1"/>
  <c r="G3179" i="1"/>
  <c r="H3179" i="1"/>
  <c r="I3179" i="1"/>
  <c r="J3179" i="1"/>
  <c r="K3179" i="1"/>
  <c r="L3179" i="1"/>
  <c r="A3180" i="1"/>
  <c r="B3180" i="1"/>
  <c r="C3180" i="1"/>
  <c r="D3180" i="1"/>
  <c r="E3180" i="1"/>
  <c r="F3180" i="1"/>
  <c r="G3180" i="1"/>
  <c r="H3180" i="1"/>
  <c r="I3180" i="1"/>
  <c r="J3180" i="1"/>
  <c r="K3180" i="1"/>
  <c r="L3180" i="1"/>
  <c r="A3181" i="1"/>
  <c r="B3181" i="1"/>
  <c r="C3181" i="1"/>
  <c r="D3181" i="1"/>
  <c r="E3181" i="1"/>
  <c r="F3181" i="1"/>
  <c r="G3181" i="1"/>
  <c r="H3181" i="1"/>
  <c r="I3181" i="1"/>
  <c r="J3181" i="1"/>
  <c r="K3181" i="1"/>
  <c r="L3181" i="1"/>
  <c r="A3182" i="1"/>
  <c r="B3182" i="1"/>
  <c r="C3182" i="1"/>
  <c r="D3182" i="1"/>
  <c r="E3182" i="1"/>
  <c r="F3182" i="1"/>
  <c r="G3182" i="1"/>
  <c r="H3182" i="1"/>
  <c r="I3182" i="1"/>
  <c r="J3182" i="1"/>
  <c r="K3182" i="1"/>
  <c r="L3182" i="1"/>
  <c r="A3183" i="1"/>
  <c r="B3183" i="1"/>
  <c r="C3183" i="1"/>
  <c r="D3183" i="1"/>
  <c r="E3183" i="1"/>
  <c r="F3183" i="1"/>
  <c r="G3183" i="1"/>
  <c r="H3183" i="1"/>
  <c r="I3183" i="1"/>
  <c r="J3183" i="1"/>
  <c r="K3183" i="1"/>
  <c r="L3183" i="1"/>
  <c r="A3184" i="1"/>
  <c r="B3184" i="1"/>
  <c r="C3184" i="1"/>
  <c r="D3184" i="1"/>
  <c r="E3184" i="1"/>
  <c r="F3184" i="1"/>
  <c r="G3184" i="1"/>
  <c r="H3184" i="1"/>
  <c r="I3184" i="1"/>
  <c r="J3184" i="1"/>
  <c r="K3184" i="1"/>
  <c r="L3184" i="1"/>
  <c r="A3185" i="1"/>
  <c r="B3185" i="1"/>
  <c r="C3185" i="1"/>
  <c r="D3185" i="1"/>
  <c r="E3185" i="1"/>
  <c r="F3185" i="1"/>
  <c r="G3185" i="1"/>
  <c r="H3185" i="1"/>
  <c r="I3185" i="1"/>
  <c r="J3185" i="1"/>
  <c r="K3185" i="1"/>
  <c r="L3185" i="1"/>
  <c r="A3186" i="1"/>
  <c r="B3186" i="1"/>
  <c r="C3186" i="1"/>
  <c r="D3186" i="1"/>
  <c r="E3186" i="1"/>
  <c r="F3186" i="1"/>
  <c r="G3186" i="1"/>
  <c r="H3186" i="1"/>
  <c r="I3186" i="1"/>
  <c r="J3186" i="1"/>
  <c r="K3186" i="1"/>
  <c r="L3186" i="1"/>
  <c r="A3187" i="1"/>
  <c r="B3187" i="1"/>
  <c r="C3187" i="1"/>
  <c r="D3187" i="1"/>
  <c r="E3187" i="1"/>
  <c r="F3187" i="1"/>
  <c r="G3187" i="1"/>
  <c r="H3187" i="1"/>
  <c r="I3187" i="1"/>
  <c r="J3187" i="1"/>
  <c r="K3187" i="1"/>
  <c r="L3187" i="1"/>
  <c r="A3188" i="1"/>
  <c r="B3188" i="1"/>
  <c r="C3188" i="1"/>
  <c r="D3188" i="1"/>
  <c r="E3188" i="1"/>
  <c r="F3188" i="1"/>
  <c r="G3188" i="1"/>
  <c r="H3188" i="1"/>
  <c r="I3188" i="1"/>
  <c r="J3188" i="1"/>
  <c r="K3188" i="1"/>
  <c r="L3188" i="1"/>
  <c r="A3189" i="1"/>
  <c r="B3189" i="1"/>
  <c r="C3189" i="1"/>
  <c r="D3189" i="1"/>
  <c r="E3189" i="1"/>
  <c r="F3189" i="1"/>
  <c r="G3189" i="1"/>
  <c r="H3189" i="1"/>
  <c r="I3189" i="1"/>
  <c r="J3189" i="1"/>
  <c r="K3189" i="1"/>
  <c r="L3189" i="1"/>
  <c r="A3190" i="1"/>
  <c r="B3190" i="1"/>
  <c r="C3190" i="1"/>
  <c r="D3190" i="1"/>
  <c r="E3190" i="1"/>
  <c r="F3190" i="1"/>
  <c r="G3190" i="1"/>
  <c r="H3190" i="1"/>
  <c r="I3190" i="1"/>
  <c r="J3190" i="1"/>
  <c r="K3190" i="1"/>
  <c r="L3190" i="1"/>
  <c r="A3191" i="1"/>
  <c r="B3191" i="1"/>
  <c r="C3191" i="1"/>
  <c r="D3191" i="1"/>
  <c r="E3191" i="1"/>
  <c r="F3191" i="1"/>
  <c r="G3191" i="1"/>
  <c r="H3191" i="1"/>
  <c r="I3191" i="1"/>
  <c r="J3191" i="1"/>
  <c r="K3191" i="1"/>
  <c r="L3191" i="1"/>
  <c r="A3192" i="1"/>
  <c r="B3192" i="1"/>
  <c r="C3192" i="1"/>
  <c r="D3192" i="1"/>
  <c r="E3192" i="1"/>
  <c r="F3192" i="1"/>
  <c r="G3192" i="1"/>
  <c r="H3192" i="1"/>
  <c r="I3192" i="1"/>
  <c r="J3192" i="1"/>
  <c r="K3192" i="1"/>
  <c r="L3192" i="1"/>
  <c r="A3193" i="1"/>
  <c r="B3193" i="1"/>
  <c r="C3193" i="1"/>
  <c r="D3193" i="1"/>
  <c r="E3193" i="1"/>
  <c r="F3193" i="1"/>
  <c r="G3193" i="1"/>
  <c r="H3193" i="1"/>
  <c r="I3193" i="1"/>
  <c r="J3193" i="1"/>
  <c r="K3193" i="1"/>
  <c r="L3193" i="1"/>
  <c r="A3194" i="1"/>
  <c r="B3194" i="1"/>
  <c r="C3194" i="1"/>
  <c r="D3194" i="1"/>
  <c r="E3194" i="1"/>
  <c r="F3194" i="1"/>
  <c r="G3194" i="1"/>
  <c r="H3194" i="1"/>
  <c r="I3194" i="1"/>
  <c r="J3194" i="1"/>
  <c r="K3194" i="1"/>
  <c r="L3194" i="1"/>
  <c r="A3195" i="1"/>
  <c r="B3195" i="1"/>
  <c r="C3195" i="1"/>
  <c r="D3195" i="1"/>
  <c r="E3195" i="1"/>
  <c r="F3195" i="1"/>
  <c r="G3195" i="1"/>
  <c r="H3195" i="1"/>
  <c r="I3195" i="1"/>
  <c r="J3195" i="1"/>
  <c r="K3195" i="1"/>
  <c r="L3195" i="1"/>
  <c r="A3196" i="1"/>
  <c r="B3196" i="1"/>
  <c r="C3196" i="1"/>
  <c r="D3196" i="1"/>
  <c r="E3196" i="1"/>
  <c r="F3196" i="1"/>
  <c r="G3196" i="1"/>
  <c r="H3196" i="1"/>
  <c r="I3196" i="1"/>
  <c r="J3196" i="1"/>
  <c r="K3196" i="1"/>
  <c r="L3196" i="1"/>
  <c r="A3197" i="1"/>
  <c r="B3197" i="1"/>
  <c r="C3197" i="1"/>
  <c r="D3197" i="1"/>
  <c r="E3197" i="1"/>
  <c r="F3197" i="1"/>
  <c r="G3197" i="1"/>
  <c r="H3197" i="1"/>
  <c r="I3197" i="1"/>
  <c r="J3197" i="1"/>
  <c r="K3197" i="1"/>
  <c r="L3197" i="1"/>
  <c r="A3198" i="1"/>
  <c r="B3198" i="1"/>
  <c r="C3198" i="1"/>
  <c r="D3198" i="1"/>
  <c r="E3198" i="1"/>
  <c r="F3198" i="1"/>
  <c r="G3198" i="1"/>
  <c r="H3198" i="1"/>
  <c r="I3198" i="1"/>
  <c r="J3198" i="1"/>
  <c r="K3198" i="1"/>
  <c r="L3198" i="1"/>
  <c r="A3199" i="1"/>
  <c r="B3199" i="1"/>
  <c r="C3199" i="1"/>
  <c r="D3199" i="1"/>
  <c r="E3199" i="1"/>
  <c r="F3199" i="1"/>
  <c r="G3199" i="1"/>
  <c r="H3199" i="1"/>
  <c r="I3199" i="1"/>
  <c r="J3199" i="1"/>
  <c r="K3199" i="1"/>
  <c r="L3199" i="1"/>
  <c r="A3200" i="1"/>
  <c r="B3200" i="1"/>
  <c r="C3200" i="1"/>
  <c r="D3200" i="1"/>
  <c r="E3200" i="1"/>
  <c r="F3200" i="1"/>
  <c r="G3200" i="1"/>
  <c r="H3200" i="1"/>
  <c r="I3200" i="1"/>
  <c r="J3200" i="1"/>
  <c r="K3200" i="1"/>
  <c r="L3200" i="1"/>
  <c r="A3201" i="1"/>
  <c r="B3201" i="1"/>
  <c r="C3201" i="1"/>
  <c r="D3201" i="1"/>
  <c r="E3201" i="1"/>
  <c r="F3201" i="1"/>
  <c r="G3201" i="1"/>
  <c r="H3201" i="1"/>
  <c r="I3201" i="1"/>
  <c r="J3201" i="1"/>
  <c r="K3201" i="1"/>
  <c r="L3201" i="1"/>
  <c r="A3202" i="1"/>
  <c r="B3202" i="1"/>
  <c r="C3202" i="1"/>
  <c r="D3202" i="1"/>
  <c r="E3202" i="1"/>
  <c r="F3202" i="1"/>
  <c r="G3202" i="1"/>
  <c r="H3202" i="1"/>
  <c r="I3202" i="1"/>
  <c r="J3202" i="1"/>
  <c r="K3202" i="1"/>
  <c r="L3202" i="1"/>
  <c r="A3203" i="1"/>
  <c r="B3203" i="1"/>
  <c r="C3203" i="1"/>
  <c r="D3203" i="1"/>
  <c r="E3203" i="1"/>
  <c r="F3203" i="1"/>
  <c r="G3203" i="1"/>
  <c r="H3203" i="1"/>
  <c r="I3203" i="1"/>
  <c r="J3203" i="1"/>
  <c r="K3203" i="1"/>
  <c r="L3203" i="1"/>
  <c r="A3204" i="1"/>
  <c r="B3204" i="1"/>
  <c r="C3204" i="1"/>
  <c r="D3204" i="1"/>
  <c r="E3204" i="1"/>
  <c r="F3204" i="1"/>
  <c r="G3204" i="1"/>
  <c r="H3204" i="1"/>
  <c r="I3204" i="1"/>
  <c r="J3204" i="1"/>
  <c r="K3204" i="1"/>
  <c r="L3204" i="1"/>
  <c r="A3205" i="1"/>
  <c r="B3205" i="1"/>
  <c r="C3205" i="1"/>
  <c r="D3205" i="1"/>
  <c r="E3205" i="1"/>
  <c r="F3205" i="1"/>
  <c r="G3205" i="1"/>
  <c r="H3205" i="1"/>
  <c r="I3205" i="1"/>
  <c r="J3205" i="1"/>
  <c r="K3205" i="1"/>
  <c r="L3205" i="1"/>
  <c r="A3206" i="1"/>
  <c r="B3206" i="1"/>
  <c r="C3206" i="1"/>
  <c r="D3206" i="1"/>
  <c r="E3206" i="1"/>
  <c r="F3206" i="1"/>
  <c r="G3206" i="1"/>
  <c r="H3206" i="1"/>
  <c r="I3206" i="1"/>
  <c r="J3206" i="1"/>
  <c r="K3206" i="1"/>
  <c r="L3206" i="1"/>
  <c r="A3207" i="1"/>
  <c r="B3207" i="1"/>
  <c r="C3207" i="1"/>
  <c r="D3207" i="1"/>
  <c r="E3207" i="1"/>
  <c r="F3207" i="1"/>
  <c r="G3207" i="1"/>
  <c r="H3207" i="1"/>
  <c r="I3207" i="1"/>
  <c r="J3207" i="1"/>
  <c r="K3207" i="1"/>
  <c r="L3207" i="1"/>
  <c r="A3208" i="1"/>
  <c r="B3208" i="1"/>
  <c r="C3208" i="1"/>
  <c r="D3208" i="1"/>
  <c r="E3208" i="1"/>
  <c r="F3208" i="1"/>
  <c r="G3208" i="1"/>
  <c r="H3208" i="1"/>
  <c r="I3208" i="1"/>
  <c r="J3208" i="1"/>
  <c r="K3208" i="1"/>
  <c r="L3208" i="1"/>
  <c r="A3209" i="1"/>
  <c r="B3209" i="1"/>
  <c r="C3209" i="1"/>
  <c r="D3209" i="1"/>
  <c r="E3209" i="1"/>
  <c r="F3209" i="1"/>
  <c r="G3209" i="1"/>
  <c r="H3209" i="1"/>
  <c r="I3209" i="1"/>
  <c r="J3209" i="1"/>
  <c r="K3209" i="1"/>
  <c r="L3209" i="1"/>
  <c r="A3210" i="1"/>
  <c r="B3210" i="1"/>
  <c r="C3210" i="1"/>
  <c r="D3210" i="1"/>
  <c r="E3210" i="1"/>
  <c r="F3210" i="1"/>
  <c r="G3210" i="1"/>
  <c r="H3210" i="1"/>
  <c r="I3210" i="1"/>
  <c r="J3210" i="1"/>
  <c r="K3210" i="1"/>
  <c r="L3210" i="1"/>
  <c r="A3211" i="1"/>
  <c r="B3211" i="1"/>
  <c r="C3211" i="1"/>
  <c r="D3211" i="1"/>
  <c r="E3211" i="1"/>
  <c r="F3211" i="1"/>
  <c r="G3211" i="1"/>
  <c r="H3211" i="1"/>
  <c r="I3211" i="1"/>
  <c r="J3211" i="1"/>
  <c r="K3211" i="1"/>
  <c r="L3211" i="1"/>
  <c r="A3212" i="1"/>
  <c r="B3212" i="1"/>
  <c r="C3212" i="1"/>
  <c r="D3212" i="1"/>
  <c r="E3212" i="1"/>
  <c r="F3212" i="1"/>
  <c r="G3212" i="1"/>
  <c r="H3212" i="1"/>
  <c r="I3212" i="1"/>
  <c r="J3212" i="1"/>
  <c r="K3212" i="1"/>
  <c r="L3212" i="1"/>
  <c r="A3213" i="1"/>
  <c r="B3213" i="1"/>
  <c r="C3213" i="1"/>
  <c r="D3213" i="1"/>
  <c r="E3213" i="1"/>
  <c r="F3213" i="1"/>
  <c r="G3213" i="1"/>
  <c r="H3213" i="1"/>
  <c r="I3213" i="1"/>
  <c r="J3213" i="1"/>
  <c r="K3213" i="1"/>
  <c r="L3213" i="1"/>
  <c r="A3214" i="1"/>
  <c r="B3214" i="1"/>
  <c r="C3214" i="1"/>
  <c r="D3214" i="1"/>
  <c r="E3214" i="1"/>
  <c r="F3214" i="1"/>
  <c r="G3214" i="1"/>
  <c r="H3214" i="1"/>
  <c r="I3214" i="1"/>
  <c r="J3214" i="1"/>
  <c r="K3214" i="1"/>
  <c r="L3214" i="1"/>
  <c r="A3215" i="1"/>
  <c r="B3215" i="1"/>
  <c r="C3215" i="1"/>
  <c r="D3215" i="1"/>
  <c r="E3215" i="1"/>
  <c r="F3215" i="1"/>
  <c r="G3215" i="1"/>
  <c r="H3215" i="1"/>
  <c r="I3215" i="1"/>
  <c r="J3215" i="1"/>
  <c r="K3215" i="1"/>
  <c r="L3215" i="1"/>
  <c r="A3216" i="1"/>
  <c r="B3216" i="1"/>
  <c r="C3216" i="1"/>
  <c r="D3216" i="1"/>
  <c r="E3216" i="1"/>
  <c r="F3216" i="1"/>
  <c r="G3216" i="1"/>
  <c r="H3216" i="1"/>
  <c r="I3216" i="1"/>
  <c r="J3216" i="1"/>
  <c r="K3216" i="1"/>
  <c r="L3216" i="1"/>
  <c r="A3217" i="1"/>
  <c r="B3217" i="1"/>
  <c r="C3217" i="1"/>
  <c r="D3217" i="1"/>
  <c r="E3217" i="1"/>
  <c r="F3217" i="1"/>
  <c r="G3217" i="1"/>
  <c r="H3217" i="1"/>
  <c r="I3217" i="1"/>
  <c r="J3217" i="1"/>
  <c r="K3217" i="1"/>
  <c r="L3217" i="1"/>
  <c r="A3218" i="1"/>
  <c r="B3218" i="1"/>
  <c r="C3218" i="1"/>
  <c r="D3218" i="1"/>
  <c r="E3218" i="1"/>
  <c r="F3218" i="1"/>
  <c r="G3218" i="1"/>
  <c r="H3218" i="1"/>
  <c r="I3218" i="1"/>
  <c r="J3218" i="1"/>
  <c r="K3218" i="1"/>
  <c r="L3218" i="1"/>
  <c r="A3219" i="1"/>
  <c r="B3219" i="1"/>
  <c r="C3219" i="1"/>
  <c r="D3219" i="1"/>
  <c r="E3219" i="1"/>
  <c r="F3219" i="1"/>
  <c r="G3219" i="1"/>
  <c r="H3219" i="1"/>
  <c r="I3219" i="1"/>
  <c r="J3219" i="1"/>
  <c r="K3219" i="1"/>
  <c r="L3219" i="1"/>
  <c r="A3220" i="1"/>
  <c r="B3220" i="1"/>
  <c r="C3220" i="1"/>
  <c r="D3220" i="1"/>
  <c r="E3220" i="1"/>
  <c r="F3220" i="1"/>
  <c r="G3220" i="1"/>
  <c r="H3220" i="1"/>
  <c r="I3220" i="1"/>
  <c r="J3220" i="1"/>
  <c r="K3220" i="1"/>
  <c r="L3220" i="1"/>
  <c r="A3221" i="1"/>
  <c r="B3221" i="1"/>
  <c r="C3221" i="1"/>
  <c r="D3221" i="1"/>
  <c r="E3221" i="1"/>
  <c r="F3221" i="1"/>
  <c r="G3221" i="1"/>
  <c r="H3221" i="1"/>
  <c r="I3221" i="1"/>
  <c r="J3221" i="1"/>
  <c r="K3221" i="1"/>
  <c r="L3221" i="1"/>
  <c r="A3222" i="1"/>
  <c r="B3222" i="1"/>
  <c r="C3222" i="1"/>
  <c r="D3222" i="1"/>
  <c r="E3222" i="1"/>
  <c r="F3222" i="1"/>
  <c r="G3222" i="1"/>
  <c r="H3222" i="1"/>
  <c r="I3222" i="1"/>
  <c r="J3222" i="1"/>
  <c r="K3222" i="1"/>
  <c r="L3222" i="1"/>
  <c r="A3223" i="1"/>
  <c r="B3223" i="1"/>
  <c r="C3223" i="1"/>
  <c r="D3223" i="1"/>
  <c r="E3223" i="1"/>
  <c r="F3223" i="1"/>
  <c r="G3223" i="1"/>
  <c r="H3223" i="1"/>
  <c r="I3223" i="1"/>
  <c r="J3223" i="1"/>
  <c r="K3223" i="1"/>
  <c r="L3223" i="1"/>
  <c r="A3224" i="1"/>
  <c r="B3224" i="1"/>
  <c r="C3224" i="1"/>
  <c r="D3224" i="1"/>
  <c r="E3224" i="1"/>
  <c r="F3224" i="1"/>
  <c r="G3224" i="1"/>
  <c r="H3224" i="1"/>
  <c r="I3224" i="1"/>
  <c r="J3224" i="1"/>
  <c r="K3224" i="1"/>
  <c r="L3224" i="1"/>
  <c r="A3225" i="1"/>
  <c r="B3225" i="1"/>
  <c r="C3225" i="1"/>
  <c r="D3225" i="1"/>
  <c r="E3225" i="1"/>
  <c r="F3225" i="1"/>
  <c r="G3225" i="1"/>
  <c r="H3225" i="1"/>
  <c r="I3225" i="1"/>
  <c r="J3225" i="1"/>
  <c r="K3225" i="1"/>
  <c r="L3225" i="1"/>
  <c r="A3226" i="1"/>
  <c r="B3226" i="1"/>
  <c r="C3226" i="1"/>
  <c r="D3226" i="1"/>
  <c r="E3226" i="1"/>
  <c r="F3226" i="1"/>
  <c r="G3226" i="1"/>
  <c r="H3226" i="1"/>
  <c r="I3226" i="1"/>
  <c r="J3226" i="1"/>
  <c r="K3226" i="1"/>
  <c r="L3226" i="1"/>
  <c r="A3227" i="1"/>
  <c r="B3227" i="1"/>
  <c r="C3227" i="1"/>
  <c r="D3227" i="1"/>
  <c r="E3227" i="1"/>
  <c r="F3227" i="1"/>
  <c r="G3227" i="1"/>
  <c r="H3227" i="1"/>
  <c r="I3227" i="1"/>
  <c r="J3227" i="1"/>
  <c r="K3227" i="1"/>
  <c r="L3227" i="1"/>
  <c r="A3228" i="1"/>
  <c r="B3228" i="1"/>
  <c r="C3228" i="1"/>
  <c r="D3228" i="1"/>
  <c r="E3228" i="1"/>
  <c r="F3228" i="1"/>
  <c r="G3228" i="1"/>
  <c r="H3228" i="1"/>
  <c r="I3228" i="1"/>
  <c r="J3228" i="1"/>
  <c r="K3228" i="1"/>
  <c r="L3228" i="1"/>
  <c r="A3229" i="1"/>
  <c r="B3229" i="1"/>
  <c r="C3229" i="1"/>
  <c r="D3229" i="1"/>
  <c r="E3229" i="1"/>
  <c r="F3229" i="1"/>
  <c r="G3229" i="1"/>
  <c r="H3229" i="1"/>
  <c r="I3229" i="1"/>
  <c r="J3229" i="1"/>
  <c r="K3229" i="1"/>
  <c r="L3229" i="1"/>
  <c r="A3230" i="1"/>
  <c r="B3230" i="1"/>
  <c r="C3230" i="1"/>
  <c r="D3230" i="1"/>
  <c r="E3230" i="1"/>
  <c r="F3230" i="1"/>
  <c r="G3230" i="1"/>
  <c r="H3230" i="1"/>
  <c r="I3230" i="1"/>
  <c r="J3230" i="1"/>
  <c r="K3230" i="1"/>
  <c r="L3230" i="1"/>
  <c r="A3231" i="1"/>
  <c r="B3231" i="1"/>
  <c r="C3231" i="1"/>
  <c r="D3231" i="1"/>
  <c r="E3231" i="1"/>
  <c r="F3231" i="1"/>
  <c r="G3231" i="1"/>
  <c r="H3231" i="1"/>
  <c r="I3231" i="1"/>
  <c r="J3231" i="1"/>
  <c r="K3231" i="1"/>
  <c r="L3231" i="1"/>
  <c r="A3232" i="1"/>
  <c r="B3232" i="1"/>
  <c r="C3232" i="1"/>
  <c r="D3232" i="1"/>
  <c r="E3232" i="1"/>
  <c r="F3232" i="1"/>
  <c r="G3232" i="1"/>
  <c r="H3232" i="1"/>
  <c r="I3232" i="1"/>
  <c r="J3232" i="1"/>
  <c r="K3232" i="1"/>
  <c r="L3232" i="1"/>
  <c r="A3233" i="1"/>
  <c r="B3233" i="1"/>
  <c r="C3233" i="1"/>
  <c r="D3233" i="1"/>
  <c r="E3233" i="1"/>
  <c r="F3233" i="1"/>
  <c r="G3233" i="1"/>
  <c r="H3233" i="1"/>
  <c r="I3233" i="1"/>
  <c r="J3233" i="1"/>
  <c r="K3233" i="1"/>
  <c r="L3233" i="1"/>
  <c r="A3234" i="1"/>
  <c r="B3234" i="1"/>
  <c r="C3234" i="1"/>
  <c r="D3234" i="1"/>
  <c r="E3234" i="1"/>
  <c r="F3234" i="1"/>
  <c r="G3234" i="1"/>
  <c r="H3234" i="1"/>
  <c r="I3234" i="1"/>
  <c r="J3234" i="1"/>
  <c r="K3234" i="1"/>
  <c r="L3234" i="1"/>
  <c r="A3235" i="1"/>
  <c r="B3235" i="1"/>
  <c r="C3235" i="1"/>
  <c r="D3235" i="1"/>
  <c r="E3235" i="1"/>
  <c r="F3235" i="1"/>
  <c r="G3235" i="1"/>
  <c r="H3235" i="1"/>
  <c r="I3235" i="1"/>
  <c r="J3235" i="1"/>
  <c r="K3235" i="1"/>
  <c r="L3235" i="1"/>
  <c r="A3236" i="1"/>
  <c r="B3236" i="1"/>
  <c r="C3236" i="1"/>
  <c r="D3236" i="1"/>
  <c r="E3236" i="1"/>
  <c r="F3236" i="1"/>
  <c r="G3236" i="1"/>
  <c r="H3236" i="1"/>
  <c r="I3236" i="1"/>
  <c r="J3236" i="1"/>
  <c r="K3236" i="1"/>
  <c r="L3236" i="1"/>
  <c r="A3237" i="1"/>
  <c r="B3237" i="1"/>
  <c r="C3237" i="1"/>
  <c r="D3237" i="1"/>
  <c r="E3237" i="1"/>
  <c r="F3237" i="1"/>
  <c r="G3237" i="1"/>
  <c r="H3237" i="1"/>
  <c r="I3237" i="1"/>
  <c r="J3237" i="1"/>
  <c r="K3237" i="1"/>
  <c r="L3237" i="1"/>
  <c r="A3238" i="1"/>
  <c r="B3238" i="1"/>
  <c r="C3238" i="1"/>
  <c r="D3238" i="1"/>
  <c r="E3238" i="1"/>
  <c r="F3238" i="1"/>
  <c r="G3238" i="1"/>
  <c r="H3238" i="1"/>
  <c r="I3238" i="1"/>
  <c r="J3238" i="1"/>
  <c r="K3238" i="1"/>
  <c r="L3238" i="1"/>
  <c r="A3239" i="1"/>
  <c r="B3239" i="1"/>
  <c r="C3239" i="1"/>
  <c r="D3239" i="1"/>
  <c r="E3239" i="1"/>
  <c r="F3239" i="1"/>
  <c r="G3239" i="1"/>
  <c r="H3239" i="1"/>
  <c r="I3239" i="1"/>
  <c r="J3239" i="1"/>
  <c r="K3239" i="1"/>
  <c r="L3239" i="1"/>
  <c r="A3240" i="1"/>
  <c r="B3240" i="1"/>
  <c r="C3240" i="1"/>
  <c r="D3240" i="1"/>
  <c r="E3240" i="1"/>
  <c r="F3240" i="1"/>
  <c r="G3240" i="1"/>
  <c r="H3240" i="1"/>
  <c r="I3240" i="1"/>
  <c r="J3240" i="1"/>
  <c r="K3240" i="1"/>
  <c r="L3240" i="1"/>
  <c r="A3241" i="1"/>
  <c r="B3241" i="1"/>
  <c r="C3241" i="1"/>
  <c r="D3241" i="1"/>
  <c r="E3241" i="1"/>
  <c r="F3241" i="1"/>
  <c r="G3241" i="1"/>
  <c r="H3241" i="1"/>
  <c r="I3241" i="1"/>
  <c r="J3241" i="1"/>
  <c r="K3241" i="1"/>
  <c r="L3241" i="1"/>
  <c r="A3242" i="1"/>
  <c r="B3242" i="1"/>
  <c r="C3242" i="1"/>
  <c r="D3242" i="1"/>
  <c r="E3242" i="1"/>
  <c r="F3242" i="1"/>
  <c r="G3242" i="1"/>
  <c r="H3242" i="1"/>
  <c r="I3242" i="1"/>
  <c r="J3242" i="1"/>
  <c r="K3242" i="1"/>
  <c r="L3242" i="1"/>
  <c r="A3243" i="1"/>
  <c r="B3243" i="1"/>
  <c r="C3243" i="1"/>
  <c r="D3243" i="1"/>
  <c r="E3243" i="1"/>
  <c r="F3243" i="1"/>
  <c r="G3243" i="1"/>
  <c r="H3243" i="1"/>
  <c r="I3243" i="1"/>
  <c r="J3243" i="1"/>
  <c r="K3243" i="1"/>
  <c r="L3243" i="1"/>
  <c r="A3244" i="1"/>
  <c r="B3244" i="1"/>
  <c r="C3244" i="1"/>
  <c r="D3244" i="1"/>
  <c r="E3244" i="1"/>
  <c r="F3244" i="1"/>
  <c r="G3244" i="1"/>
  <c r="H3244" i="1"/>
  <c r="I3244" i="1"/>
  <c r="J3244" i="1"/>
  <c r="K3244" i="1"/>
  <c r="L3244" i="1"/>
  <c r="A3245" i="1"/>
  <c r="B3245" i="1"/>
  <c r="C3245" i="1"/>
  <c r="D3245" i="1"/>
  <c r="E3245" i="1"/>
  <c r="F3245" i="1"/>
  <c r="G3245" i="1"/>
  <c r="H3245" i="1"/>
  <c r="I3245" i="1"/>
  <c r="J3245" i="1"/>
  <c r="K3245" i="1"/>
  <c r="L3245" i="1"/>
  <c r="A3246" i="1"/>
  <c r="B3246" i="1"/>
  <c r="C3246" i="1"/>
  <c r="D3246" i="1"/>
  <c r="E3246" i="1"/>
  <c r="F3246" i="1"/>
  <c r="G3246" i="1"/>
  <c r="H3246" i="1"/>
  <c r="I3246" i="1"/>
  <c r="J3246" i="1"/>
  <c r="K3246" i="1"/>
  <c r="L3246" i="1"/>
  <c r="A3247" i="1"/>
  <c r="B3247" i="1"/>
  <c r="C3247" i="1"/>
  <c r="D3247" i="1"/>
  <c r="E3247" i="1"/>
  <c r="F3247" i="1"/>
  <c r="G3247" i="1"/>
  <c r="H3247" i="1"/>
  <c r="I3247" i="1"/>
  <c r="J3247" i="1"/>
  <c r="K3247" i="1"/>
  <c r="L3247" i="1"/>
  <c r="A3248" i="1"/>
  <c r="B3248" i="1"/>
  <c r="C3248" i="1"/>
  <c r="D3248" i="1"/>
  <c r="E3248" i="1"/>
  <c r="F3248" i="1"/>
  <c r="G3248" i="1"/>
  <c r="H3248" i="1"/>
  <c r="I3248" i="1"/>
  <c r="J3248" i="1"/>
  <c r="K3248" i="1"/>
  <c r="L3248" i="1"/>
  <c r="A3249" i="1"/>
  <c r="B3249" i="1"/>
  <c r="C3249" i="1"/>
  <c r="D3249" i="1"/>
  <c r="E3249" i="1"/>
  <c r="F3249" i="1"/>
  <c r="G3249" i="1"/>
  <c r="H3249" i="1"/>
  <c r="I3249" i="1"/>
  <c r="J3249" i="1"/>
  <c r="K3249" i="1"/>
  <c r="L3249" i="1"/>
  <c r="A3250" i="1"/>
  <c r="B3250" i="1"/>
  <c r="C3250" i="1"/>
  <c r="D3250" i="1"/>
  <c r="E3250" i="1"/>
  <c r="F3250" i="1"/>
  <c r="G3250" i="1"/>
  <c r="H3250" i="1"/>
  <c r="I3250" i="1"/>
  <c r="J3250" i="1"/>
  <c r="K3250" i="1"/>
  <c r="L3250" i="1"/>
  <c r="A3251" i="1"/>
  <c r="B3251" i="1"/>
  <c r="C3251" i="1"/>
  <c r="D3251" i="1"/>
  <c r="E3251" i="1"/>
  <c r="F3251" i="1"/>
  <c r="G3251" i="1"/>
  <c r="H3251" i="1"/>
  <c r="I3251" i="1"/>
  <c r="J3251" i="1"/>
  <c r="K3251" i="1"/>
  <c r="L3251" i="1"/>
  <c r="A3252" i="1"/>
  <c r="B3252" i="1"/>
  <c r="C3252" i="1"/>
  <c r="D3252" i="1"/>
  <c r="E3252" i="1"/>
  <c r="F3252" i="1"/>
  <c r="G3252" i="1"/>
  <c r="H3252" i="1"/>
  <c r="I3252" i="1"/>
  <c r="J3252" i="1"/>
  <c r="K3252" i="1"/>
  <c r="L3252" i="1"/>
  <c r="A3253" i="1"/>
  <c r="B3253" i="1"/>
  <c r="C3253" i="1"/>
  <c r="D3253" i="1"/>
  <c r="E3253" i="1"/>
  <c r="F3253" i="1"/>
  <c r="G3253" i="1"/>
  <c r="H3253" i="1"/>
  <c r="I3253" i="1"/>
  <c r="J3253" i="1"/>
  <c r="K3253" i="1"/>
  <c r="L3253" i="1"/>
  <c r="A3254" i="1"/>
  <c r="B3254" i="1"/>
  <c r="C3254" i="1"/>
  <c r="D3254" i="1"/>
  <c r="E3254" i="1"/>
  <c r="F3254" i="1"/>
  <c r="G3254" i="1"/>
  <c r="H3254" i="1"/>
  <c r="I3254" i="1"/>
  <c r="J3254" i="1"/>
  <c r="K3254" i="1"/>
  <c r="L3254" i="1"/>
  <c r="A3255" i="1"/>
  <c r="B3255" i="1"/>
  <c r="C3255" i="1"/>
  <c r="D3255" i="1"/>
  <c r="E3255" i="1"/>
  <c r="F3255" i="1"/>
  <c r="G3255" i="1"/>
  <c r="H3255" i="1"/>
  <c r="I3255" i="1"/>
  <c r="J3255" i="1"/>
  <c r="K3255" i="1"/>
  <c r="L3255" i="1"/>
  <c r="A3256" i="1"/>
  <c r="B3256" i="1"/>
  <c r="C3256" i="1"/>
  <c r="D3256" i="1"/>
  <c r="E3256" i="1"/>
  <c r="F3256" i="1"/>
  <c r="G3256" i="1"/>
  <c r="H3256" i="1"/>
  <c r="I3256" i="1"/>
  <c r="J3256" i="1"/>
  <c r="K3256" i="1"/>
  <c r="L3256" i="1"/>
  <c r="A3257" i="1"/>
  <c r="B3257" i="1"/>
  <c r="C3257" i="1"/>
  <c r="D3257" i="1"/>
  <c r="E3257" i="1"/>
  <c r="F3257" i="1"/>
  <c r="G3257" i="1"/>
  <c r="H3257" i="1"/>
  <c r="I3257" i="1"/>
  <c r="J3257" i="1"/>
  <c r="K3257" i="1"/>
  <c r="L3257" i="1"/>
  <c r="A3258" i="1"/>
  <c r="B3258" i="1"/>
  <c r="C3258" i="1"/>
  <c r="D3258" i="1"/>
  <c r="E3258" i="1"/>
  <c r="F3258" i="1"/>
  <c r="G3258" i="1"/>
  <c r="H3258" i="1"/>
  <c r="I3258" i="1"/>
  <c r="J3258" i="1"/>
  <c r="K3258" i="1"/>
  <c r="L3258" i="1"/>
  <c r="A3259" i="1"/>
  <c r="B3259" i="1"/>
  <c r="C3259" i="1"/>
  <c r="D3259" i="1"/>
  <c r="E3259" i="1"/>
  <c r="F3259" i="1"/>
  <c r="G3259" i="1"/>
  <c r="H3259" i="1"/>
  <c r="I3259" i="1"/>
  <c r="J3259" i="1"/>
  <c r="K3259" i="1"/>
  <c r="L3259" i="1"/>
  <c r="A3260" i="1"/>
  <c r="B3260" i="1"/>
  <c r="C3260" i="1"/>
  <c r="D3260" i="1"/>
  <c r="E3260" i="1"/>
  <c r="F3260" i="1"/>
  <c r="G3260" i="1"/>
  <c r="H3260" i="1"/>
  <c r="I3260" i="1"/>
  <c r="J3260" i="1"/>
  <c r="K3260" i="1"/>
  <c r="L3260" i="1"/>
  <c r="A3261" i="1"/>
  <c r="B3261" i="1"/>
  <c r="C3261" i="1"/>
  <c r="D3261" i="1"/>
  <c r="E3261" i="1"/>
  <c r="F3261" i="1"/>
  <c r="G3261" i="1"/>
  <c r="H3261" i="1"/>
  <c r="I3261" i="1"/>
  <c r="J3261" i="1"/>
  <c r="K3261" i="1"/>
  <c r="L3261" i="1"/>
  <c r="A3262" i="1"/>
  <c r="B3262" i="1"/>
  <c r="C3262" i="1"/>
  <c r="D3262" i="1"/>
  <c r="E3262" i="1"/>
  <c r="F3262" i="1"/>
  <c r="G3262" i="1"/>
  <c r="H3262" i="1"/>
  <c r="I3262" i="1"/>
  <c r="J3262" i="1"/>
  <c r="K3262" i="1"/>
  <c r="L3262" i="1"/>
  <c r="A3263" i="1"/>
  <c r="B3263" i="1"/>
  <c r="C3263" i="1"/>
  <c r="D3263" i="1"/>
  <c r="E3263" i="1"/>
  <c r="F3263" i="1"/>
  <c r="G3263" i="1"/>
  <c r="H3263" i="1"/>
  <c r="I3263" i="1"/>
  <c r="J3263" i="1"/>
  <c r="K3263" i="1"/>
  <c r="L3263" i="1"/>
  <c r="A3264" i="1"/>
  <c r="B3264" i="1"/>
  <c r="C3264" i="1"/>
  <c r="D3264" i="1"/>
  <c r="E3264" i="1"/>
  <c r="F3264" i="1"/>
  <c r="G3264" i="1"/>
  <c r="H3264" i="1"/>
  <c r="I3264" i="1"/>
  <c r="J3264" i="1"/>
  <c r="K3264" i="1"/>
  <c r="L3264" i="1"/>
  <c r="A3265" i="1"/>
  <c r="B3265" i="1"/>
  <c r="C3265" i="1"/>
  <c r="D3265" i="1"/>
  <c r="E3265" i="1"/>
  <c r="F3265" i="1"/>
  <c r="G3265" i="1"/>
  <c r="H3265" i="1"/>
  <c r="I3265" i="1"/>
  <c r="J3265" i="1"/>
  <c r="K3265" i="1"/>
  <c r="L3265" i="1"/>
  <c r="A3266" i="1"/>
  <c r="B3266" i="1"/>
  <c r="C3266" i="1"/>
  <c r="D3266" i="1"/>
  <c r="E3266" i="1"/>
  <c r="F3266" i="1"/>
  <c r="G3266" i="1"/>
  <c r="H3266" i="1"/>
  <c r="I3266" i="1"/>
  <c r="J3266" i="1"/>
  <c r="K3266" i="1"/>
  <c r="L3266" i="1"/>
  <c r="A3267" i="1"/>
  <c r="B3267" i="1"/>
  <c r="C3267" i="1"/>
  <c r="D3267" i="1"/>
  <c r="E3267" i="1"/>
  <c r="F3267" i="1"/>
  <c r="G3267" i="1"/>
  <c r="H3267" i="1"/>
  <c r="I3267" i="1"/>
  <c r="J3267" i="1"/>
  <c r="K3267" i="1"/>
  <c r="L3267" i="1"/>
  <c r="A3268" i="1"/>
  <c r="B3268" i="1"/>
  <c r="C3268" i="1"/>
  <c r="D3268" i="1"/>
  <c r="E3268" i="1"/>
  <c r="F3268" i="1"/>
  <c r="G3268" i="1"/>
  <c r="H3268" i="1"/>
  <c r="I3268" i="1"/>
  <c r="J3268" i="1"/>
  <c r="K3268" i="1"/>
  <c r="L3268" i="1"/>
  <c r="A3269" i="1"/>
  <c r="B3269" i="1"/>
  <c r="C3269" i="1"/>
  <c r="D3269" i="1"/>
  <c r="E3269" i="1"/>
  <c r="F3269" i="1"/>
  <c r="G3269" i="1"/>
  <c r="H3269" i="1"/>
  <c r="I3269" i="1"/>
  <c r="J3269" i="1"/>
  <c r="K3269" i="1"/>
  <c r="L3269" i="1"/>
  <c r="A3270" i="1"/>
  <c r="B3270" i="1"/>
  <c r="C3270" i="1"/>
  <c r="D3270" i="1"/>
  <c r="E3270" i="1"/>
  <c r="F3270" i="1"/>
  <c r="G3270" i="1"/>
  <c r="H3270" i="1"/>
  <c r="I3270" i="1"/>
  <c r="J3270" i="1"/>
  <c r="K3270" i="1"/>
  <c r="L3270" i="1"/>
  <c r="A3271" i="1"/>
  <c r="B3271" i="1"/>
  <c r="C3271" i="1"/>
  <c r="D3271" i="1"/>
  <c r="E3271" i="1"/>
  <c r="F3271" i="1"/>
  <c r="G3271" i="1"/>
  <c r="H3271" i="1"/>
  <c r="I3271" i="1"/>
  <c r="J3271" i="1"/>
  <c r="K3271" i="1"/>
  <c r="L3271" i="1"/>
  <c r="A3272" i="1"/>
  <c r="B3272" i="1"/>
  <c r="C3272" i="1"/>
  <c r="D3272" i="1"/>
  <c r="E3272" i="1"/>
  <c r="F3272" i="1"/>
  <c r="G3272" i="1"/>
  <c r="H3272" i="1"/>
  <c r="I3272" i="1"/>
  <c r="J3272" i="1"/>
  <c r="K3272" i="1"/>
  <c r="L3272" i="1"/>
  <c r="A3273" i="1"/>
  <c r="B3273" i="1"/>
  <c r="C3273" i="1"/>
  <c r="D3273" i="1"/>
  <c r="E3273" i="1"/>
  <c r="F3273" i="1"/>
  <c r="G3273" i="1"/>
  <c r="H3273" i="1"/>
  <c r="I3273" i="1"/>
  <c r="J3273" i="1"/>
  <c r="K3273" i="1"/>
  <c r="L3273" i="1"/>
  <c r="A3274" i="1"/>
  <c r="B3274" i="1"/>
  <c r="C3274" i="1"/>
  <c r="D3274" i="1"/>
  <c r="E3274" i="1"/>
  <c r="F3274" i="1"/>
  <c r="G3274" i="1"/>
  <c r="H3274" i="1"/>
  <c r="I3274" i="1"/>
  <c r="J3274" i="1"/>
  <c r="K3274" i="1"/>
  <c r="L3274" i="1"/>
  <c r="A3275" i="1"/>
  <c r="B3275" i="1"/>
  <c r="C3275" i="1"/>
  <c r="D3275" i="1"/>
  <c r="E3275" i="1"/>
  <c r="F3275" i="1"/>
  <c r="G3275" i="1"/>
  <c r="H3275" i="1"/>
  <c r="I3275" i="1"/>
  <c r="J3275" i="1"/>
  <c r="K3275" i="1"/>
  <c r="L3275" i="1"/>
  <c r="A3276" i="1"/>
  <c r="B3276" i="1"/>
  <c r="C3276" i="1"/>
  <c r="D3276" i="1"/>
  <c r="E3276" i="1"/>
  <c r="F3276" i="1"/>
  <c r="G3276" i="1"/>
  <c r="H3276" i="1"/>
  <c r="I3276" i="1"/>
  <c r="J3276" i="1"/>
  <c r="K3276" i="1"/>
  <c r="L3276" i="1"/>
  <c r="A3277" i="1"/>
  <c r="B3277" i="1"/>
  <c r="C3277" i="1"/>
  <c r="D3277" i="1"/>
  <c r="E3277" i="1"/>
  <c r="F3277" i="1"/>
  <c r="G3277" i="1"/>
  <c r="H3277" i="1"/>
  <c r="I3277" i="1"/>
  <c r="J3277" i="1"/>
  <c r="K3277" i="1"/>
  <c r="L3277" i="1"/>
  <c r="A3278" i="1"/>
  <c r="B3278" i="1"/>
  <c r="C3278" i="1"/>
  <c r="D3278" i="1"/>
  <c r="E3278" i="1"/>
  <c r="F3278" i="1"/>
  <c r="G3278" i="1"/>
  <c r="H3278" i="1"/>
  <c r="I3278" i="1"/>
  <c r="J3278" i="1"/>
  <c r="K3278" i="1"/>
  <c r="L3278" i="1"/>
  <c r="A3279" i="1"/>
  <c r="B3279" i="1"/>
  <c r="C3279" i="1"/>
  <c r="D3279" i="1"/>
  <c r="E3279" i="1"/>
  <c r="F3279" i="1"/>
  <c r="G3279" i="1"/>
  <c r="H3279" i="1"/>
  <c r="I3279" i="1"/>
  <c r="J3279" i="1"/>
  <c r="K3279" i="1"/>
  <c r="L3279" i="1"/>
  <c r="A3280" i="1"/>
  <c r="B3280" i="1"/>
  <c r="C3280" i="1"/>
  <c r="D3280" i="1"/>
  <c r="E3280" i="1"/>
  <c r="F3280" i="1"/>
  <c r="G3280" i="1"/>
  <c r="H3280" i="1"/>
  <c r="I3280" i="1"/>
  <c r="J3280" i="1"/>
  <c r="K3280" i="1"/>
  <c r="L3280" i="1"/>
  <c r="A3281" i="1"/>
  <c r="B3281" i="1"/>
  <c r="C3281" i="1"/>
  <c r="D3281" i="1"/>
  <c r="E3281" i="1"/>
  <c r="F3281" i="1"/>
  <c r="G3281" i="1"/>
  <c r="H3281" i="1"/>
  <c r="I3281" i="1"/>
  <c r="J3281" i="1"/>
  <c r="K3281" i="1"/>
  <c r="L3281" i="1"/>
  <c r="A3282" i="1"/>
  <c r="B3282" i="1"/>
  <c r="C3282" i="1"/>
  <c r="D3282" i="1"/>
  <c r="E3282" i="1"/>
  <c r="F3282" i="1"/>
  <c r="G3282" i="1"/>
  <c r="H3282" i="1"/>
  <c r="I3282" i="1"/>
  <c r="J3282" i="1"/>
  <c r="K3282" i="1"/>
  <c r="L3282" i="1"/>
  <c r="A3283" i="1"/>
  <c r="B3283" i="1"/>
  <c r="C3283" i="1"/>
  <c r="D3283" i="1"/>
  <c r="E3283" i="1"/>
  <c r="F3283" i="1"/>
  <c r="G3283" i="1"/>
  <c r="H3283" i="1"/>
  <c r="I3283" i="1"/>
  <c r="J3283" i="1"/>
  <c r="K3283" i="1"/>
  <c r="L3283" i="1"/>
  <c r="A3284" i="1"/>
  <c r="B3284" i="1"/>
  <c r="C3284" i="1"/>
  <c r="D3284" i="1"/>
  <c r="E3284" i="1"/>
  <c r="F3284" i="1"/>
  <c r="G3284" i="1"/>
  <c r="H3284" i="1"/>
  <c r="I3284" i="1"/>
  <c r="J3284" i="1"/>
  <c r="K3284" i="1"/>
  <c r="L3284" i="1"/>
  <c r="A3285" i="1"/>
  <c r="B3285" i="1"/>
  <c r="C3285" i="1"/>
  <c r="D3285" i="1"/>
  <c r="E3285" i="1"/>
  <c r="F3285" i="1"/>
  <c r="G3285" i="1"/>
  <c r="H3285" i="1"/>
  <c r="I3285" i="1"/>
  <c r="J3285" i="1"/>
  <c r="K3285" i="1"/>
  <c r="L3285" i="1"/>
  <c r="A3286" i="1"/>
  <c r="B3286" i="1"/>
  <c r="C3286" i="1"/>
  <c r="D3286" i="1"/>
  <c r="E3286" i="1"/>
  <c r="F3286" i="1"/>
  <c r="G3286" i="1"/>
  <c r="H3286" i="1"/>
  <c r="I3286" i="1"/>
  <c r="J3286" i="1"/>
  <c r="K3286" i="1"/>
  <c r="L3286" i="1"/>
  <c r="A3287" i="1"/>
  <c r="B3287" i="1"/>
  <c r="C3287" i="1"/>
  <c r="D3287" i="1"/>
  <c r="E3287" i="1"/>
  <c r="F3287" i="1"/>
  <c r="G3287" i="1"/>
  <c r="H3287" i="1"/>
  <c r="I3287" i="1"/>
  <c r="J3287" i="1"/>
  <c r="K3287" i="1"/>
  <c r="L3287" i="1"/>
  <c r="A3288" i="1"/>
  <c r="B3288" i="1"/>
  <c r="C3288" i="1"/>
  <c r="D3288" i="1"/>
  <c r="E3288" i="1"/>
  <c r="F3288" i="1"/>
  <c r="G3288" i="1"/>
  <c r="H3288" i="1"/>
  <c r="I3288" i="1"/>
  <c r="J3288" i="1"/>
  <c r="K3288" i="1"/>
  <c r="L3288" i="1"/>
  <c r="A3289" i="1"/>
  <c r="B3289" i="1"/>
  <c r="C3289" i="1"/>
  <c r="D3289" i="1"/>
  <c r="E3289" i="1"/>
  <c r="F3289" i="1"/>
  <c r="G3289" i="1"/>
  <c r="H3289" i="1"/>
  <c r="I3289" i="1"/>
  <c r="J3289" i="1"/>
  <c r="K3289" i="1"/>
  <c r="L3289" i="1"/>
  <c r="A3290" i="1"/>
  <c r="B3290" i="1"/>
  <c r="C3290" i="1"/>
  <c r="D3290" i="1"/>
  <c r="E3290" i="1"/>
  <c r="F3290" i="1"/>
  <c r="G3290" i="1"/>
  <c r="H3290" i="1"/>
  <c r="I3290" i="1"/>
  <c r="J3290" i="1"/>
  <c r="K3290" i="1"/>
  <c r="L3290" i="1"/>
  <c r="A3291" i="1"/>
  <c r="B3291" i="1"/>
  <c r="C3291" i="1"/>
  <c r="D3291" i="1"/>
  <c r="E3291" i="1"/>
  <c r="F3291" i="1"/>
  <c r="G3291" i="1"/>
  <c r="H3291" i="1"/>
  <c r="I3291" i="1"/>
  <c r="J3291" i="1"/>
  <c r="K3291" i="1"/>
  <c r="L3291" i="1"/>
  <c r="A3292" i="1"/>
  <c r="B3292" i="1"/>
  <c r="C3292" i="1"/>
  <c r="D3292" i="1"/>
  <c r="E3292" i="1"/>
  <c r="F3292" i="1"/>
  <c r="G3292" i="1"/>
  <c r="H3292" i="1"/>
  <c r="I3292" i="1"/>
  <c r="J3292" i="1"/>
  <c r="K3292" i="1"/>
  <c r="L3292" i="1"/>
  <c r="A3293" i="1"/>
  <c r="B3293" i="1"/>
  <c r="C3293" i="1"/>
  <c r="D3293" i="1"/>
  <c r="E3293" i="1"/>
  <c r="F3293" i="1"/>
  <c r="G3293" i="1"/>
  <c r="H3293" i="1"/>
  <c r="I3293" i="1"/>
  <c r="J3293" i="1"/>
  <c r="K3293" i="1"/>
  <c r="L3293" i="1"/>
  <c r="A3294" i="1"/>
  <c r="B3294" i="1"/>
  <c r="C3294" i="1"/>
  <c r="D3294" i="1"/>
  <c r="E3294" i="1"/>
  <c r="F3294" i="1"/>
  <c r="G3294" i="1"/>
  <c r="H3294" i="1"/>
  <c r="I3294" i="1"/>
  <c r="J3294" i="1"/>
  <c r="K3294" i="1"/>
  <c r="L3294" i="1"/>
  <c r="A3295" i="1"/>
  <c r="B3295" i="1"/>
  <c r="C3295" i="1"/>
  <c r="D3295" i="1"/>
  <c r="E3295" i="1"/>
  <c r="F3295" i="1"/>
  <c r="G3295" i="1"/>
  <c r="H3295" i="1"/>
  <c r="I3295" i="1"/>
  <c r="J3295" i="1"/>
  <c r="K3295" i="1"/>
  <c r="L3295" i="1"/>
  <c r="A3296" i="1"/>
  <c r="B3296" i="1"/>
  <c r="C3296" i="1"/>
  <c r="D3296" i="1"/>
  <c r="E3296" i="1"/>
  <c r="F3296" i="1"/>
  <c r="G3296" i="1"/>
  <c r="H3296" i="1"/>
  <c r="I3296" i="1"/>
  <c r="J3296" i="1"/>
  <c r="K3296" i="1"/>
  <c r="L3296" i="1"/>
  <c r="A3297" i="1"/>
  <c r="B3297" i="1"/>
  <c r="C3297" i="1"/>
  <c r="D3297" i="1"/>
  <c r="E3297" i="1"/>
  <c r="F3297" i="1"/>
  <c r="G3297" i="1"/>
  <c r="H3297" i="1"/>
  <c r="I3297" i="1"/>
  <c r="J3297" i="1"/>
  <c r="K3297" i="1"/>
  <c r="L3297" i="1"/>
  <c r="A3298" i="1"/>
  <c r="B3298" i="1"/>
  <c r="C3298" i="1"/>
  <c r="D3298" i="1"/>
  <c r="E3298" i="1"/>
  <c r="F3298" i="1"/>
  <c r="G3298" i="1"/>
  <c r="H3298" i="1"/>
  <c r="I3298" i="1"/>
  <c r="J3298" i="1"/>
  <c r="K3298" i="1"/>
  <c r="L3298" i="1"/>
  <c r="A3299" i="1"/>
  <c r="B3299" i="1"/>
  <c r="C3299" i="1"/>
  <c r="D3299" i="1"/>
  <c r="E3299" i="1"/>
  <c r="F3299" i="1"/>
  <c r="G3299" i="1"/>
  <c r="H3299" i="1"/>
  <c r="I3299" i="1"/>
  <c r="J3299" i="1"/>
  <c r="K3299" i="1"/>
  <c r="L3299" i="1"/>
  <c r="A3300" i="1"/>
  <c r="B3300" i="1"/>
  <c r="C3300" i="1"/>
  <c r="D3300" i="1"/>
  <c r="E3300" i="1"/>
  <c r="F3300" i="1"/>
  <c r="G3300" i="1"/>
  <c r="H3300" i="1"/>
  <c r="I3300" i="1"/>
  <c r="J3300" i="1"/>
  <c r="K3300" i="1"/>
  <c r="L3300" i="1"/>
  <c r="A3301" i="1"/>
  <c r="B3301" i="1"/>
  <c r="C3301" i="1"/>
  <c r="D3301" i="1"/>
  <c r="E3301" i="1"/>
  <c r="F3301" i="1"/>
  <c r="G3301" i="1"/>
  <c r="H3301" i="1"/>
  <c r="I3301" i="1"/>
  <c r="J3301" i="1"/>
  <c r="K3301" i="1"/>
  <c r="L3301" i="1"/>
  <c r="A3302" i="1"/>
  <c r="B3302" i="1"/>
  <c r="C3302" i="1"/>
  <c r="D3302" i="1"/>
  <c r="E3302" i="1"/>
  <c r="F3302" i="1"/>
  <c r="G3302" i="1"/>
  <c r="H3302" i="1"/>
  <c r="I3302" i="1"/>
  <c r="J3302" i="1"/>
  <c r="K3302" i="1"/>
  <c r="L3302" i="1"/>
  <c r="A3303" i="1"/>
  <c r="B3303" i="1"/>
  <c r="C3303" i="1"/>
  <c r="D3303" i="1"/>
  <c r="E3303" i="1"/>
  <c r="F3303" i="1"/>
  <c r="G3303" i="1"/>
  <c r="H3303" i="1"/>
  <c r="I3303" i="1"/>
  <c r="J3303" i="1"/>
  <c r="K3303" i="1"/>
  <c r="L3303" i="1"/>
  <c r="A3304" i="1"/>
  <c r="B3304" i="1"/>
  <c r="C3304" i="1"/>
  <c r="D3304" i="1"/>
  <c r="E3304" i="1"/>
  <c r="F3304" i="1"/>
  <c r="G3304" i="1"/>
  <c r="H3304" i="1"/>
  <c r="I3304" i="1"/>
  <c r="J3304" i="1"/>
  <c r="K3304" i="1"/>
  <c r="L3304" i="1"/>
  <c r="A3305" i="1"/>
  <c r="B3305" i="1"/>
  <c r="C3305" i="1"/>
  <c r="D3305" i="1"/>
  <c r="E3305" i="1"/>
  <c r="F3305" i="1"/>
  <c r="G3305" i="1"/>
  <c r="H3305" i="1"/>
  <c r="I3305" i="1"/>
  <c r="J3305" i="1"/>
  <c r="K3305" i="1"/>
  <c r="L3305" i="1"/>
  <c r="A3306" i="1"/>
  <c r="B3306" i="1"/>
  <c r="C3306" i="1"/>
  <c r="D3306" i="1"/>
  <c r="E3306" i="1"/>
  <c r="F3306" i="1"/>
  <c r="G3306" i="1"/>
  <c r="H3306" i="1"/>
  <c r="I3306" i="1"/>
  <c r="J3306" i="1"/>
  <c r="K3306" i="1"/>
  <c r="L3306" i="1"/>
  <c r="A3307" i="1"/>
  <c r="B3307" i="1"/>
  <c r="C3307" i="1"/>
  <c r="D3307" i="1"/>
  <c r="E3307" i="1"/>
  <c r="F3307" i="1"/>
  <c r="G3307" i="1"/>
  <c r="H3307" i="1"/>
  <c r="I3307" i="1"/>
  <c r="J3307" i="1"/>
  <c r="K3307" i="1"/>
  <c r="L3307" i="1"/>
  <c r="A3308" i="1"/>
  <c r="B3308" i="1"/>
  <c r="C3308" i="1"/>
  <c r="D3308" i="1"/>
  <c r="E3308" i="1"/>
  <c r="F3308" i="1"/>
  <c r="G3308" i="1"/>
  <c r="H3308" i="1"/>
  <c r="I3308" i="1"/>
  <c r="J3308" i="1"/>
  <c r="K3308" i="1"/>
  <c r="L3308" i="1"/>
  <c r="A3309" i="1"/>
  <c r="B3309" i="1"/>
  <c r="C3309" i="1"/>
  <c r="D3309" i="1"/>
  <c r="E3309" i="1"/>
  <c r="F3309" i="1"/>
  <c r="G3309" i="1"/>
  <c r="H3309" i="1"/>
  <c r="I3309" i="1"/>
  <c r="J3309" i="1"/>
  <c r="K3309" i="1"/>
  <c r="L3309" i="1"/>
  <c r="A3310" i="1"/>
  <c r="B3310" i="1"/>
  <c r="C3310" i="1"/>
  <c r="D3310" i="1"/>
  <c r="E3310" i="1"/>
  <c r="F3310" i="1"/>
  <c r="G3310" i="1"/>
  <c r="H3310" i="1"/>
  <c r="I3310" i="1"/>
  <c r="J3310" i="1"/>
  <c r="K3310" i="1"/>
  <c r="L3310" i="1"/>
  <c r="A3311" i="1"/>
  <c r="B3311" i="1"/>
  <c r="C3311" i="1"/>
  <c r="D3311" i="1"/>
  <c r="E3311" i="1"/>
  <c r="F3311" i="1"/>
  <c r="G3311" i="1"/>
  <c r="H3311" i="1"/>
  <c r="I3311" i="1"/>
  <c r="J3311" i="1"/>
  <c r="K3311" i="1"/>
  <c r="L3311" i="1"/>
  <c r="A3312" i="1"/>
  <c r="B3312" i="1"/>
  <c r="C3312" i="1"/>
  <c r="D3312" i="1"/>
  <c r="E3312" i="1"/>
  <c r="F3312" i="1"/>
  <c r="G3312" i="1"/>
  <c r="H3312" i="1"/>
  <c r="I3312" i="1"/>
  <c r="J3312" i="1"/>
  <c r="K3312" i="1"/>
  <c r="L3312" i="1"/>
  <c r="A3313" i="1"/>
  <c r="B3313" i="1"/>
  <c r="C3313" i="1"/>
  <c r="D3313" i="1"/>
  <c r="E3313" i="1"/>
  <c r="F3313" i="1"/>
  <c r="G3313" i="1"/>
  <c r="H3313" i="1"/>
  <c r="I3313" i="1"/>
  <c r="J3313" i="1"/>
  <c r="K3313" i="1"/>
  <c r="L3313" i="1"/>
  <c r="A3314" i="1"/>
  <c r="B3314" i="1"/>
  <c r="C3314" i="1"/>
  <c r="D3314" i="1"/>
  <c r="E3314" i="1"/>
  <c r="F3314" i="1"/>
  <c r="G3314" i="1"/>
  <c r="H3314" i="1"/>
  <c r="I3314" i="1"/>
  <c r="J3314" i="1"/>
  <c r="K3314" i="1"/>
  <c r="L3314" i="1"/>
  <c r="A3315" i="1"/>
  <c r="B3315" i="1"/>
  <c r="C3315" i="1"/>
  <c r="D3315" i="1"/>
  <c r="E3315" i="1"/>
  <c r="F3315" i="1"/>
  <c r="G3315" i="1"/>
  <c r="H3315" i="1"/>
  <c r="I3315" i="1"/>
  <c r="J3315" i="1"/>
  <c r="K3315" i="1"/>
  <c r="L3315" i="1"/>
  <c r="A3316" i="1"/>
  <c r="B3316" i="1"/>
  <c r="C3316" i="1"/>
  <c r="D3316" i="1"/>
  <c r="E3316" i="1"/>
  <c r="F3316" i="1"/>
  <c r="G3316" i="1"/>
  <c r="H3316" i="1"/>
  <c r="I3316" i="1"/>
  <c r="J3316" i="1"/>
  <c r="K3316" i="1"/>
  <c r="L3316" i="1"/>
  <c r="A3317" i="1"/>
  <c r="B3317" i="1"/>
  <c r="C3317" i="1"/>
  <c r="D3317" i="1"/>
  <c r="E3317" i="1"/>
  <c r="F3317" i="1"/>
  <c r="G3317" i="1"/>
  <c r="H3317" i="1"/>
  <c r="I3317" i="1"/>
  <c r="J3317" i="1"/>
  <c r="K3317" i="1"/>
  <c r="L3317" i="1"/>
  <c r="A3318" i="1"/>
  <c r="B3318" i="1"/>
  <c r="C3318" i="1"/>
  <c r="D3318" i="1"/>
  <c r="E3318" i="1"/>
  <c r="F3318" i="1"/>
  <c r="G3318" i="1"/>
  <c r="H3318" i="1"/>
  <c r="I3318" i="1"/>
  <c r="J3318" i="1"/>
  <c r="K3318" i="1"/>
  <c r="L3318" i="1"/>
  <c r="A3319" i="1"/>
  <c r="B3319" i="1"/>
  <c r="C3319" i="1"/>
  <c r="D3319" i="1"/>
  <c r="E3319" i="1"/>
  <c r="F3319" i="1"/>
  <c r="G3319" i="1"/>
  <c r="H3319" i="1"/>
  <c r="I3319" i="1"/>
  <c r="J3319" i="1"/>
  <c r="K3319" i="1"/>
  <c r="L3319" i="1"/>
  <c r="A3320" i="1"/>
  <c r="B3320" i="1"/>
  <c r="C3320" i="1"/>
  <c r="D3320" i="1"/>
  <c r="E3320" i="1"/>
  <c r="F3320" i="1"/>
  <c r="G3320" i="1"/>
  <c r="H3320" i="1"/>
  <c r="I3320" i="1"/>
  <c r="J3320" i="1"/>
  <c r="K3320" i="1"/>
  <c r="L3320" i="1"/>
  <c r="A3321" i="1"/>
  <c r="B3321" i="1"/>
  <c r="C3321" i="1"/>
  <c r="D3321" i="1"/>
  <c r="E3321" i="1"/>
  <c r="F3321" i="1"/>
  <c r="G3321" i="1"/>
  <c r="H3321" i="1"/>
  <c r="I3321" i="1"/>
  <c r="J3321" i="1"/>
  <c r="K3321" i="1"/>
  <c r="L3321" i="1"/>
  <c r="A3322" i="1"/>
  <c r="B3322" i="1"/>
  <c r="C3322" i="1"/>
  <c r="D3322" i="1"/>
  <c r="E3322" i="1"/>
  <c r="F3322" i="1"/>
  <c r="G3322" i="1"/>
  <c r="H3322" i="1"/>
  <c r="I3322" i="1"/>
  <c r="J3322" i="1"/>
  <c r="K3322" i="1"/>
  <c r="L3322" i="1"/>
  <c r="A3323" i="1"/>
  <c r="B3323" i="1"/>
  <c r="C3323" i="1"/>
  <c r="D3323" i="1"/>
  <c r="E3323" i="1"/>
  <c r="F3323" i="1"/>
  <c r="G3323" i="1"/>
  <c r="H3323" i="1"/>
  <c r="I3323" i="1"/>
  <c r="J3323" i="1"/>
  <c r="K3323" i="1"/>
  <c r="L3323" i="1"/>
  <c r="A3324" i="1"/>
  <c r="B3324" i="1"/>
  <c r="C3324" i="1"/>
  <c r="D3324" i="1"/>
  <c r="E3324" i="1"/>
  <c r="F3324" i="1"/>
  <c r="G3324" i="1"/>
  <c r="H3324" i="1"/>
  <c r="I3324" i="1"/>
  <c r="J3324" i="1"/>
  <c r="K3324" i="1"/>
  <c r="L3324" i="1"/>
  <c r="A3325" i="1"/>
  <c r="B3325" i="1"/>
  <c r="C3325" i="1"/>
  <c r="D3325" i="1"/>
  <c r="E3325" i="1"/>
  <c r="F3325" i="1"/>
  <c r="G3325" i="1"/>
  <c r="H3325" i="1"/>
  <c r="I3325" i="1"/>
  <c r="J3325" i="1"/>
  <c r="K3325" i="1"/>
  <c r="L3325" i="1"/>
  <c r="A3326" i="1"/>
  <c r="B3326" i="1"/>
  <c r="C3326" i="1"/>
  <c r="D3326" i="1"/>
  <c r="E3326" i="1"/>
  <c r="F3326" i="1"/>
  <c r="G3326" i="1"/>
  <c r="H3326" i="1"/>
  <c r="I3326" i="1"/>
  <c r="J3326" i="1"/>
  <c r="K3326" i="1"/>
  <c r="L3326" i="1"/>
  <c r="A3327" i="1"/>
  <c r="B3327" i="1"/>
  <c r="C3327" i="1"/>
  <c r="D3327" i="1"/>
  <c r="E3327" i="1"/>
  <c r="F3327" i="1"/>
  <c r="G3327" i="1"/>
  <c r="H3327" i="1"/>
  <c r="I3327" i="1"/>
  <c r="J3327" i="1"/>
  <c r="K3327" i="1"/>
  <c r="L3327" i="1"/>
  <c r="A3328" i="1"/>
  <c r="B3328" i="1"/>
  <c r="C3328" i="1"/>
  <c r="D3328" i="1"/>
  <c r="E3328" i="1"/>
  <c r="F3328" i="1"/>
  <c r="G3328" i="1"/>
  <c r="H3328" i="1"/>
  <c r="I3328" i="1"/>
  <c r="J3328" i="1"/>
  <c r="K3328" i="1"/>
  <c r="L3328" i="1"/>
  <c r="A3329" i="1"/>
  <c r="B3329" i="1"/>
  <c r="C3329" i="1"/>
  <c r="D3329" i="1"/>
  <c r="E3329" i="1"/>
  <c r="F3329" i="1"/>
  <c r="G3329" i="1"/>
  <c r="H3329" i="1"/>
  <c r="I3329" i="1"/>
  <c r="J3329" i="1"/>
  <c r="K3329" i="1"/>
  <c r="L3329" i="1"/>
  <c r="A3330" i="1"/>
  <c r="B3330" i="1"/>
  <c r="C3330" i="1"/>
  <c r="D3330" i="1"/>
  <c r="E3330" i="1"/>
  <c r="F3330" i="1"/>
  <c r="G3330" i="1"/>
  <c r="H3330" i="1"/>
  <c r="I3330" i="1"/>
  <c r="J3330" i="1"/>
  <c r="K3330" i="1"/>
  <c r="L3330" i="1"/>
  <c r="A3331" i="1"/>
  <c r="B3331" i="1"/>
  <c r="C3331" i="1"/>
  <c r="D3331" i="1"/>
  <c r="E3331" i="1"/>
  <c r="F3331" i="1"/>
  <c r="G3331" i="1"/>
  <c r="H3331" i="1"/>
  <c r="I3331" i="1"/>
  <c r="J3331" i="1"/>
  <c r="K3331" i="1"/>
  <c r="L3331" i="1"/>
  <c r="A3332" i="1"/>
  <c r="B3332" i="1"/>
  <c r="C3332" i="1"/>
  <c r="D3332" i="1"/>
  <c r="E3332" i="1"/>
  <c r="F3332" i="1"/>
  <c r="G3332" i="1"/>
  <c r="H3332" i="1"/>
  <c r="I3332" i="1"/>
  <c r="J3332" i="1"/>
  <c r="K3332" i="1"/>
  <c r="L3332" i="1"/>
  <c r="A3333" i="1"/>
  <c r="B3333" i="1"/>
  <c r="C3333" i="1"/>
  <c r="D3333" i="1"/>
  <c r="E3333" i="1"/>
  <c r="F3333" i="1"/>
  <c r="G3333" i="1"/>
  <c r="H3333" i="1"/>
  <c r="I3333" i="1"/>
  <c r="J3333" i="1"/>
  <c r="K3333" i="1"/>
  <c r="L3333" i="1"/>
  <c r="A3334" i="1"/>
  <c r="B3334" i="1"/>
  <c r="C3334" i="1"/>
  <c r="D3334" i="1"/>
  <c r="E3334" i="1"/>
  <c r="F3334" i="1"/>
  <c r="G3334" i="1"/>
  <c r="H3334" i="1"/>
  <c r="I3334" i="1"/>
  <c r="J3334" i="1"/>
  <c r="K3334" i="1"/>
  <c r="L3334" i="1"/>
  <c r="A3335" i="1"/>
  <c r="B3335" i="1"/>
  <c r="C3335" i="1"/>
  <c r="D3335" i="1"/>
  <c r="E3335" i="1"/>
  <c r="F3335" i="1"/>
  <c r="G3335" i="1"/>
  <c r="H3335" i="1"/>
  <c r="I3335" i="1"/>
  <c r="J3335" i="1"/>
  <c r="K3335" i="1"/>
  <c r="L3335" i="1"/>
  <c r="A3336" i="1"/>
  <c r="B3336" i="1"/>
  <c r="C3336" i="1"/>
  <c r="D3336" i="1"/>
  <c r="E3336" i="1"/>
  <c r="F3336" i="1"/>
  <c r="G3336" i="1"/>
  <c r="H3336" i="1"/>
  <c r="I3336" i="1"/>
  <c r="J3336" i="1"/>
  <c r="K3336" i="1"/>
  <c r="L3336" i="1"/>
  <c r="A3337" i="1"/>
  <c r="B3337" i="1"/>
  <c r="C3337" i="1"/>
  <c r="D3337" i="1"/>
  <c r="E3337" i="1"/>
  <c r="F3337" i="1"/>
  <c r="G3337" i="1"/>
  <c r="H3337" i="1"/>
  <c r="I3337" i="1"/>
  <c r="J3337" i="1"/>
  <c r="K3337" i="1"/>
  <c r="L3337" i="1"/>
  <c r="A3338" i="1"/>
  <c r="B3338" i="1"/>
  <c r="C3338" i="1"/>
  <c r="D3338" i="1"/>
  <c r="E3338" i="1"/>
  <c r="F3338" i="1"/>
  <c r="G3338" i="1"/>
  <c r="H3338" i="1"/>
  <c r="I3338" i="1"/>
  <c r="J3338" i="1"/>
  <c r="K3338" i="1"/>
  <c r="L3338" i="1"/>
  <c r="A3339" i="1"/>
  <c r="B3339" i="1"/>
  <c r="C3339" i="1"/>
  <c r="D3339" i="1"/>
  <c r="E3339" i="1"/>
  <c r="F3339" i="1"/>
  <c r="G3339" i="1"/>
  <c r="H3339" i="1"/>
  <c r="I3339" i="1"/>
  <c r="J3339" i="1"/>
  <c r="K3339" i="1"/>
  <c r="L3339" i="1"/>
  <c r="A3340" i="1"/>
  <c r="B3340" i="1"/>
  <c r="C3340" i="1"/>
  <c r="D3340" i="1"/>
  <c r="E3340" i="1"/>
  <c r="F3340" i="1"/>
  <c r="G3340" i="1"/>
  <c r="H3340" i="1"/>
  <c r="I3340" i="1"/>
  <c r="J3340" i="1"/>
  <c r="K3340" i="1"/>
  <c r="L3340" i="1"/>
  <c r="A3341" i="1"/>
  <c r="B3341" i="1"/>
  <c r="C3341" i="1"/>
  <c r="D3341" i="1"/>
  <c r="E3341" i="1"/>
  <c r="F3341" i="1"/>
  <c r="G3341" i="1"/>
  <c r="H3341" i="1"/>
  <c r="I3341" i="1"/>
  <c r="J3341" i="1"/>
  <c r="K3341" i="1"/>
  <c r="L3341" i="1"/>
  <c r="A3342" i="1"/>
  <c r="B3342" i="1"/>
  <c r="C3342" i="1"/>
  <c r="D3342" i="1"/>
  <c r="E3342" i="1"/>
  <c r="F3342" i="1"/>
  <c r="G3342" i="1"/>
  <c r="H3342" i="1"/>
  <c r="I3342" i="1"/>
  <c r="J3342" i="1"/>
  <c r="K3342" i="1"/>
  <c r="L3342" i="1"/>
  <c r="A3343" i="1"/>
  <c r="B3343" i="1"/>
  <c r="C3343" i="1"/>
  <c r="D3343" i="1"/>
  <c r="E3343" i="1"/>
  <c r="F3343" i="1"/>
  <c r="G3343" i="1"/>
  <c r="H3343" i="1"/>
  <c r="I3343" i="1"/>
  <c r="J3343" i="1"/>
  <c r="K3343" i="1"/>
  <c r="L3343" i="1"/>
  <c r="A3344" i="1"/>
  <c r="B3344" i="1"/>
  <c r="C3344" i="1"/>
  <c r="D3344" i="1"/>
  <c r="E3344" i="1"/>
  <c r="F3344" i="1"/>
  <c r="G3344" i="1"/>
  <c r="H3344" i="1"/>
  <c r="I3344" i="1"/>
  <c r="J3344" i="1"/>
  <c r="K3344" i="1"/>
  <c r="L3344" i="1"/>
  <c r="A3345" i="1"/>
  <c r="B3345" i="1"/>
  <c r="C3345" i="1"/>
  <c r="D3345" i="1"/>
  <c r="E3345" i="1"/>
  <c r="F3345" i="1"/>
  <c r="G3345" i="1"/>
  <c r="H3345" i="1"/>
  <c r="I3345" i="1"/>
  <c r="J3345" i="1"/>
  <c r="K3345" i="1"/>
  <c r="L3345" i="1"/>
  <c r="A3346" i="1"/>
  <c r="B3346" i="1"/>
  <c r="C3346" i="1"/>
  <c r="D3346" i="1"/>
  <c r="E3346" i="1"/>
  <c r="F3346" i="1"/>
  <c r="G3346" i="1"/>
  <c r="H3346" i="1"/>
  <c r="I3346" i="1"/>
  <c r="J3346" i="1"/>
  <c r="K3346" i="1"/>
  <c r="L3346" i="1"/>
  <c r="A3347" i="1"/>
  <c r="B3347" i="1"/>
  <c r="C3347" i="1"/>
  <c r="D3347" i="1"/>
  <c r="E3347" i="1"/>
  <c r="F3347" i="1"/>
  <c r="G3347" i="1"/>
  <c r="H3347" i="1"/>
  <c r="I3347" i="1"/>
  <c r="J3347" i="1"/>
  <c r="K3347" i="1"/>
  <c r="L3347" i="1"/>
  <c r="A3348" i="1"/>
  <c r="B3348" i="1"/>
  <c r="C3348" i="1"/>
  <c r="D3348" i="1"/>
  <c r="E3348" i="1"/>
  <c r="F3348" i="1"/>
  <c r="G3348" i="1"/>
  <c r="H3348" i="1"/>
  <c r="I3348" i="1"/>
  <c r="J3348" i="1"/>
  <c r="K3348" i="1"/>
  <c r="L3348" i="1"/>
  <c r="A3349" i="1"/>
  <c r="B3349" i="1"/>
  <c r="C3349" i="1"/>
  <c r="D3349" i="1"/>
  <c r="E3349" i="1"/>
  <c r="F3349" i="1"/>
  <c r="G3349" i="1"/>
  <c r="H3349" i="1"/>
  <c r="I3349" i="1"/>
  <c r="J3349" i="1"/>
  <c r="K3349" i="1"/>
  <c r="L3349" i="1"/>
  <c r="A3350" i="1"/>
  <c r="B3350" i="1"/>
  <c r="C3350" i="1"/>
  <c r="D3350" i="1"/>
  <c r="E3350" i="1"/>
  <c r="F3350" i="1"/>
  <c r="G3350" i="1"/>
  <c r="H3350" i="1"/>
  <c r="I3350" i="1"/>
  <c r="J3350" i="1"/>
  <c r="K3350" i="1"/>
  <c r="L3350" i="1"/>
  <c r="A3351" i="1"/>
  <c r="B3351" i="1"/>
  <c r="C3351" i="1"/>
  <c r="D3351" i="1"/>
  <c r="E3351" i="1"/>
  <c r="F3351" i="1"/>
  <c r="G3351" i="1"/>
  <c r="H3351" i="1"/>
  <c r="I3351" i="1"/>
  <c r="J3351" i="1"/>
  <c r="K3351" i="1"/>
  <c r="L3351" i="1"/>
  <c r="A3352" i="1"/>
  <c r="B3352" i="1"/>
  <c r="C3352" i="1"/>
  <c r="D3352" i="1"/>
  <c r="E3352" i="1"/>
  <c r="F3352" i="1"/>
  <c r="G3352" i="1"/>
  <c r="H3352" i="1"/>
  <c r="I3352" i="1"/>
  <c r="J3352" i="1"/>
  <c r="K3352" i="1"/>
  <c r="L3352" i="1"/>
  <c r="A3353" i="1"/>
  <c r="B3353" i="1"/>
  <c r="C3353" i="1"/>
  <c r="D3353" i="1"/>
  <c r="E3353" i="1"/>
  <c r="F3353" i="1"/>
  <c r="G3353" i="1"/>
  <c r="H3353" i="1"/>
  <c r="I3353" i="1"/>
  <c r="J3353" i="1"/>
  <c r="K3353" i="1"/>
  <c r="L3353" i="1"/>
  <c r="A3354" i="1"/>
  <c r="B3354" i="1"/>
  <c r="C3354" i="1"/>
  <c r="D3354" i="1"/>
  <c r="E3354" i="1"/>
  <c r="F3354" i="1"/>
  <c r="G3354" i="1"/>
  <c r="H3354" i="1"/>
  <c r="I3354" i="1"/>
  <c r="J3354" i="1"/>
  <c r="K3354" i="1"/>
  <c r="L3354" i="1"/>
  <c r="A3355" i="1"/>
  <c r="B3355" i="1"/>
  <c r="C3355" i="1"/>
  <c r="D3355" i="1"/>
  <c r="E3355" i="1"/>
  <c r="F3355" i="1"/>
  <c r="G3355" i="1"/>
  <c r="H3355" i="1"/>
  <c r="I3355" i="1"/>
  <c r="J3355" i="1"/>
  <c r="K3355" i="1"/>
  <c r="L3355" i="1"/>
  <c r="A3356" i="1"/>
  <c r="B3356" i="1"/>
  <c r="C3356" i="1"/>
  <c r="D3356" i="1"/>
  <c r="E3356" i="1"/>
  <c r="F3356" i="1"/>
  <c r="G3356" i="1"/>
  <c r="H3356" i="1"/>
  <c r="I3356" i="1"/>
  <c r="J3356" i="1"/>
  <c r="K3356" i="1"/>
  <c r="L3356" i="1"/>
  <c r="A3357" i="1"/>
  <c r="B3357" i="1"/>
  <c r="C3357" i="1"/>
  <c r="D3357" i="1"/>
  <c r="E3357" i="1"/>
  <c r="F3357" i="1"/>
  <c r="G3357" i="1"/>
  <c r="H3357" i="1"/>
  <c r="I3357" i="1"/>
  <c r="J3357" i="1"/>
  <c r="K3357" i="1"/>
  <c r="L3357" i="1"/>
  <c r="A3358" i="1"/>
  <c r="B3358" i="1"/>
  <c r="C3358" i="1"/>
  <c r="D3358" i="1"/>
  <c r="E3358" i="1"/>
  <c r="F3358" i="1"/>
  <c r="G3358" i="1"/>
  <c r="H3358" i="1"/>
  <c r="I3358" i="1"/>
  <c r="J3358" i="1"/>
  <c r="K3358" i="1"/>
  <c r="L3358" i="1"/>
  <c r="A3359" i="1"/>
  <c r="B3359" i="1"/>
  <c r="C3359" i="1"/>
  <c r="D3359" i="1"/>
  <c r="E3359" i="1"/>
  <c r="F3359" i="1"/>
  <c r="G3359" i="1"/>
  <c r="H3359" i="1"/>
  <c r="I3359" i="1"/>
  <c r="J3359" i="1"/>
  <c r="K3359" i="1"/>
  <c r="L3359" i="1"/>
  <c r="A3360" i="1"/>
  <c r="B3360" i="1"/>
  <c r="C3360" i="1"/>
  <c r="D3360" i="1"/>
  <c r="E3360" i="1"/>
  <c r="F3360" i="1"/>
  <c r="G3360" i="1"/>
  <c r="H3360" i="1"/>
  <c r="I3360" i="1"/>
  <c r="J3360" i="1"/>
  <c r="K3360" i="1"/>
  <c r="L3360" i="1"/>
  <c r="A3361" i="1"/>
  <c r="B3361" i="1"/>
  <c r="C3361" i="1"/>
  <c r="D3361" i="1"/>
  <c r="E3361" i="1"/>
  <c r="F3361" i="1"/>
  <c r="G3361" i="1"/>
  <c r="H3361" i="1"/>
  <c r="I3361" i="1"/>
  <c r="J3361" i="1"/>
  <c r="K3361" i="1"/>
  <c r="L3361" i="1"/>
  <c r="A3362" i="1"/>
  <c r="B3362" i="1"/>
  <c r="C3362" i="1"/>
  <c r="D3362" i="1"/>
  <c r="E3362" i="1"/>
  <c r="F3362" i="1"/>
  <c r="G3362" i="1"/>
  <c r="H3362" i="1"/>
  <c r="I3362" i="1"/>
  <c r="J3362" i="1"/>
  <c r="K3362" i="1"/>
  <c r="L3362" i="1"/>
  <c r="A3363" i="1"/>
  <c r="B3363" i="1"/>
  <c r="C3363" i="1"/>
  <c r="D3363" i="1"/>
  <c r="E3363" i="1"/>
  <c r="F3363" i="1"/>
  <c r="G3363" i="1"/>
  <c r="H3363" i="1"/>
  <c r="I3363" i="1"/>
  <c r="J3363" i="1"/>
  <c r="K3363" i="1"/>
  <c r="L3363" i="1"/>
  <c r="A3364" i="1"/>
  <c r="B3364" i="1"/>
  <c r="C3364" i="1"/>
  <c r="D3364" i="1"/>
  <c r="E3364" i="1"/>
  <c r="F3364" i="1"/>
  <c r="G3364" i="1"/>
  <c r="H3364" i="1"/>
  <c r="I3364" i="1"/>
  <c r="J3364" i="1"/>
  <c r="K3364" i="1"/>
  <c r="L3364" i="1"/>
  <c r="A3365" i="1"/>
  <c r="B3365" i="1"/>
  <c r="C3365" i="1"/>
  <c r="D3365" i="1"/>
  <c r="E3365" i="1"/>
  <c r="F3365" i="1"/>
  <c r="G3365" i="1"/>
  <c r="H3365" i="1"/>
  <c r="I3365" i="1"/>
  <c r="J3365" i="1"/>
  <c r="K3365" i="1"/>
  <c r="L3365" i="1"/>
  <c r="A3366" i="1"/>
  <c r="B3366" i="1"/>
  <c r="C3366" i="1"/>
  <c r="D3366" i="1"/>
  <c r="E3366" i="1"/>
  <c r="F3366" i="1"/>
  <c r="G3366" i="1"/>
  <c r="H3366" i="1"/>
  <c r="I3366" i="1"/>
  <c r="J3366" i="1"/>
  <c r="K3366" i="1"/>
  <c r="L3366" i="1"/>
  <c r="A3367" i="1"/>
  <c r="B3367" i="1"/>
  <c r="C3367" i="1"/>
  <c r="D3367" i="1"/>
  <c r="E3367" i="1"/>
  <c r="F3367" i="1"/>
  <c r="G3367" i="1"/>
  <c r="H3367" i="1"/>
  <c r="I3367" i="1"/>
  <c r="J3367" i="1"/>
  <c r="K3367" i="1"/>
  <c r="L3367" i="1"/>
  <c r="A3368" i="1"/>
  <c r="B3368" i="1"/>
  <c r="C3368" i="1"/>
  <c r="D3368" i="1"/>
  <c r="E3368" i="1"/>
  <c r="F3368" i="1"/>
  <c r="G3368" i="1"/>
  <c r="H3368" i="1"/>
  <c r="I3368" i="1"/>
  <c r="J3368" i="1"/>
  <c r="K3368" i="1"/>
  <c r="L3368" i="1"/>
  <c r="A3369" i="1"/>
  <c r="B3369" i="1"/>
  <c r="C3369" i="1"/>
  <c r="D3369" i="1"/>
  <c r="E3369" i="1"/>
  <c r="F3369" i="1"/>
  <c r="G3369" i="1"/>
  <c r="H3369" i="1"/>
  <c r="I3369" i="1"/>
  <c r="J3369" i="1"/>
  <c r="K3369" i="1"/>
  <c r="L3369" i="1"/>
  <c r="A3370" i="1"/>
  <c r="B3370" i="1"/>
  <c r="C3370" i="1"/>
  <c r="D3370" i="1"/>
  <c r="E3370" i="1"/>
  <c r="F3370" i="1"/>
  <c r="G3370" i="1"/>
  <c r="H3370" i="1"/>
  <c r="I3370" i="1"/>
  <c r="J3370" i="1"/>
  <c r="K3370" i="1"/>
  <c r="L3370" i="1"/>
  <c r="A3371" i="1"/>
  <c r="B3371" i="1"/>
  <c r="C3371" i="1"/>
  <c r="D3371" i="1"/>
  <c r="E3371" i="1"/>
  <c r="F3371" i="1"/>
  <c r="G3371" i="1"/>
  <c r="H3371" i="1"/>
  <c r="I3371" i="1"/>
  <c r="J3371" i="1"/>
  <c r="K3371" i="1"/>
  <c r="L3371" i="1"/>
  <c r="A3372" i="1"/>
  <c r="B3372" i="1"/>
  <c r="C3372" i="1"/>
  <c r="D3372" i="1"/>
  <c r="E3372" i="1"/>
  <c r="F3372" i="1"/>
  <c r="G3372" i="1"/>
  <c r="H3372" i="1"/>
  <c r="I3372" i="1"/>
  <c r="J3372" i="1"/>
  <c r="K3372" i="1"/>
  <c r="L3372" i="1"/>
  <c r="A3373" i="1"/>
  <c r="B3373" i="1"/>
  <c r="C3373" i="1"/>
  <c r="D3373" i="1"/>
  <c r="E3373" i="1"/>
  <c r="F3373" i="1"/>
  <c r="G3373" i="1"/>
  <c r="H3373" i="1"/>
  <c r="I3373" i="1"/>
  <c r="J3373" i="1"/>
  <c r="K3373" i="1"/>
  <c r="L3373" i="1"/>
  <c r="A3374" i="1"/>
  <c r="B3374" i="1"/>
  <c r="C3374" i="1"/>
  <c r="D3374" i="1"/>
  <c r="E3374" i="1"/>
  <c r="F3374" i="1"/>
  <c r="G3374" i="1"/>
  <c r="H3374" i="1"/>
  <c r="I3374" i="1"/>
  <c r="J3374" i="1"/>
  <c r="K3374" i="1"/>
  <c r="L3374" i="1"/>
  <c r="A3375" i="1"/>
  <c r="B3375" i="1"/>
  <c r="C3375" i="1"/>
  <c r="D3375" i="1"/>
  <c r="E3375" i="1"/>
  <c r="F3375" i="1"/>
  <c r="G3375" i="1"/>
  <c r="H3375" i="1"/>
  <c r="I3375" i="1"/>
  <c r="J3375" i="1"/>
  <c r="K3375" i="1"/>
  <c r="L3375" i="1"/>
  <c r="A3376" i="1"/>
  <c r="B3376" i="1"/>
  <c r="C3376" i="1"/>
  <c r="D3376" i="1"/>
  <c r="E3376" i="1"/>
  <c r="F3376" i="1"/>
  <c r="G3376" i="1"/>
  <c r="H3376" i="1"/>
  <c r="I3376" i="1"/>
  <c r="J3376" i="1"/>
  <c r="K3376" i="1"/>
  <c r="L3376" i="1"/>
  <c r="A3377" i="1"/>
  <c r="B3377" i="1"/>
  <c r="C3377" i="1"/>
  <c r="D3377" i="1"/>
  <c r="E3377" i="1"/>
  <c r="F3377" i="1"/>
  <c r="G3377" i="1"/>
  <c r="H3377" i="1"/>
  <c r="I3377" i="1"/>
  <c r="J3377" i="1"/>
  <c r="K3377" i="1"/>
  <c r="L3377" i="1"/>
  <c r="A3378" i="1"/>
  <c r="B3378" i="1"/>
  <c r="C3378" i="1"/>
  <c r="D3378" i="1"/>
  <c r="E3378" i="1"/>
  <c r="F3378" i="1"/>
  <c r="G3378" i="1"/>
  <c r="H3378" i="1"/>
  <c r="I3378" i="1"/>
  <c r="J3378" i="1"/>
  <c r="K3378" i="1"/>
  <c r="L3378" i="1"/>
  <c r="A3379" i="1"/>
  <c r="B3379" i="1"/>
  <c r="C3379" i="1"/>
  <c r="D3379" i="1"/>
  <c r="E3379" i="1"/>
  <c r="F3379" i="1"/>
  <c r="G3379" i="1"/>
  <c r="H3379" i="1"/>
  <c r="I3379" i="1"/>
  <c r="J3379" i="1"/>
  <c r="K3379" i="1"/>
  <c r="L3379" i="1"/>
  <c r="A3380" i="1"/>
  <c r="B3380" i="1"/>
  <c r="C3380" i="1"/>
  <c r="D3380" i="1"/>
  <c r="E3380" i="1"/>
  <c r="F3380" i="1"/>
  <c r="G3380" i="1"/>
  <c r="H3380" i="1"/>
  <c r="I3380" i="1"/>
  <c r="J3380" i="1"/>
  <c r="K3380" i="1"/>
  <c r="L3380" i="1"/>
  <c r="A3381" i="1"/>
  <c r="B3381" i="1"/>
  <c r="C3381" i="1"/>
  <c r="D3381" i="1"/>
  <c r="E3381" i="1"/>
  <c r="F3381" i="1"/>
  <c r="G3381" i="1"/>
  <c r="H3381" i="1"/>
  <c r="I3381" i="1"/>
  <c r="J3381" i="1"/>
  <c r="K3381" i="1"/>
  <c r="L3381" i="1"/>
  <c r="A3382" i="1"/>
  <c r="B3382" i="1"/>
  <c r="C3382" i="1"/>
  <c r="D3382" i="1"/>
  <c r="E3382" i="1"/>
  <c r="F3382" i="1"/>
  <c r="G3382" i="1"/>
  <c r="H3382" i="1"/>
  <c r="I3382" i="1"/>
  <c r="J3382" i="1"/>
  <c r="K3382" i="1"/>
  <c r="L3382" i="1"/>
  <c r="A3383" i="1"/>
  <c r="B3383" i="1"/>
  <c r="C3383" i="1"/>
  <c r="D3383" i="1"/>
  <c r="E3383" i="1"/>
  <c r="F3383" i="1"/>
  <c r="G3383" i="1"/>
  <c r="H3383" i="1"/>
  <c r="I3383" i="1"/>
  <c r="J3383" i="1"/>
  <c r="K3383" i="1"/>
  <c r="L3383" i="1"/>
  <c r="A3384" i="1"/>
  <c r="B3384" i="1"/>
  <c r="C3384" i="1"/>
  <c r="D3384" i="1"/>
  <c r="E3384" i="1"/>
  <c r="F3384" i="1"/>
  <c r="G3384" i="1"/>
  <c r="H3384" i="1"/>
  <c r="I3384" i="1"/>
  <c r="J3384" i="1"/>
  <c r="K3384" i="1"/>
  <c r="L3384" i="1"/>
  <c r="A3385" i="1"/>
  <c r="B3385" i="1"/>
  <c r="C3385" i="1"/>
  <c r="D3385" i="1"/>
  <c r="E3385" i="1"/>
  <c r="F3385" i="1"/>
  <c r="G3385" i="1"/>
  <c r="H3385" i="1"/>
  <c r="I3385" i="1"/>
  <c r="J3385" i="1"/>
  <c r="K3385" i="1"/>
  <c r="L3385" i="1"/>
  <c r="A3386" i="1"/>
  <c r="B3386" i="1"/>
  <c r="C3386" i="1"/>
  <c r="D3386" i="1"/>
  <c r="E3386" i="1"/>
  <c r="F3386" i="1"/>
  <c r="G3386" i="1"/>
  <c r="H3386" i="1"/>
  <c r="I3386" i="1"/>
  <c r="J3386" i="1"/>
  <c r="K3386" i="1"/>
  <c r="L3386" i="1"/>
  <c r="A3387" i="1"/>
  <c r="B3387" i="1"/>
  <c r="C3387" i="1"/>
  <c r="D3387" i="1"/>
  <c r="E3387" i="1"/>
  <c r="F3387" i="1"/>
  <c r="G3387" i="1"/>
  <c r="H3387" i="1"/>
  <c r="I3387" i="1"/>
  <c r="J3387" i="1"/>
  <c r="K3387" i="1"/>
  <c r="L3387" i="1"/>
  <c r="A3388" i="1"/>
  <c r="B3388" i="1"/>
  <c r="C3388" i="1"/>
  <c r="D3388" i="1"/>
  <c r="E3388" i="1"/>
  <c r="F3388" i="1"/>
  <c r="G3388" i="1"/>
  <c r="H3388" i="1"/>
  <c r="I3388" i="1"/>
  <c r="J3388" i="1"/>
  <c r="K3388" i="1"/>
  <c r="L3388" i="1"/>
  <c r="A3389" i="1"/>
  <c r="B3389" i="1"/>
  <c r="C3389" i="1"/>
  <c r="D3389" i="1"/>
  <c r="E3389" i="1"/>
  <c r="F3389" i="1"/>
  <c r="G3389" i="1"/>
  <c r="H3389" i="1"/>
  <c r="I3389" i="1"/>
  <c r="J3389" i="1"/>
  <c r="K3389" i="1"/>
  <c r="L3389" i="1"/>
  <c r="A3390" i="1"/>
  <c r="B3390" i="1"/>
  <c r="C3390" i="1"/>
  <c r="D3390" i="1"/>
  <c r="E3390" i="1"/>
  <c r="F3390" i="1"/>
  <c r="G3390" i="1"/>
  <c r="H3390" i="1"/>
  <c r="I3390" i="1"/>
  <c r="J3390" i="1"/>
  <c r="K3390" i="1"/>
  <c r="L3390" i="1"/>
  <c r="A3391" i="1"/>
  <c r="B3391" i="1"/>
  <c r="C3391" i="1"/>
  <c r="D3391" i="1"/>
  <c r="E3391" i="1"/>
  <c r="F3391" i="1"/>
  <c r="G3391" i="1"/>
  <c r="H3391" i="1"/>
  <c r="I3391" i="1"/>
  <c r="J3391" i="1"/>
  <c r="K3391" i="1"/>
  <c r="L3391" i="1"/>
  <c r="A3392" i="1"/>
  <c r="B3392" i="1"/>
  <c r="C3392" i="1"/>
  <c r="D3392" i="1"/>
  <c r="E3392" i="1"/>
  <c r="F3392" i="1"/>
  <c r="G3392" i="1"/>
  <c r="H3392" i="1"/>
  <c r="I3392" i="1"/>
  <c r="J3392" i="1"/>
  <c r="K3392" i="1"/>
  <c r="L3392" i="1"/>
  <c r="A3393" i="1"/>
  <c r="B3393" i="1"/>
  <c r="C3393" i="1"/>
  <c r="D3393" i="1"/>
  <c r="E3393" i="1"/>
  <c r="F3393" i="1"/>
  <c r="G3393" i="1"/>
  <c r="H3393" i="1"/>
  <c r="I3393" i="1"/>
  <c r="J3393" i="1"/>
  <c r="K3393" i="1"/>
  <c r="L3393" i="1"/>
  <c r="A3394" i="1"/>
  <c r="B3394" i="1"/>
  <c r="C3394" i="1"/>
  <c r="D3394" i="1"/>
  <c r="E3394" i="1"/>
  <c r="F3394" i="1"/>
  <c r="G3394" i="1"/>
  <c r="H3394" i="1"/>
  <c r="I3394" i="1"/>
  <c r="J3394" i="1"/>
  <c r="K3394" i="1"/>
  <c r="L3394" i="1"/>
  <c r="A3395" i="1"/>
  <c r="B3395" i="1"/>
  <c r="C3395" i="1"/>
  <c r="D3395" i="1"/>
  <c r="E3395" i="1"/>
  <c r="F3395" i="1"/>
  <c r="G3395" i="1"/>
  <c r="H3395" i="1"/>
  <c r="I3395" i="1"/>
  <c r="J3395" i="1"/>
  <c r="K3395" i="1"/>
  <c r="L3395" i="1"/>
  <c r="A3396" i="1"/>
  <c r="B3396" i="1"/>
  <c r="C3396" i="1"/>
  <c r="D3396" i="1"/>
  <c r="E3396" i="1"/>
  <c r="F3396" i="1"/>
  <c r="G3396" i="1"/>
  <c r="H3396" i="1"/>
  <c r="I3396" i="1"/>
  <c r="J3396" i="1"/>
  <c r="K3396" i="1"/>
  <c r="L3396" i="1"/>
  <c r="A3397" i="1"/>
  <c r="B3397" i="1"/>
  <c r="C3397" i="1"/>
  <c r="D3397" i="1"/>
  <c r="E3397" i="1"/>
  <c r="F3397" i="1"/>
  <c r="G3397" i="1"/>
  <c r="H3397" i="1"/>
  <c r="I3397" i="1"/>
  <c r="J3397" i="1"/>
  <c r="K3397" i="1"/>
  <c r="L3397" i="1"/>
  <c r="A3398" i="1"/>
  <c r="B3398" i="1"/>
  <c r="C3398" i="1"/>
  <c r="D3398" i="1"/>
  <c r="E3398" i="1"/>
  <c r="F3398" i="1"/>
  <c r="G3398" i="1"/>
  <c r="H3398" i="1"/>
  <c r="I3398" i="1"/>
  <c r="J3398" i="1"/>
  <c r="K3398" i="1"/>
  <c r="L3398" i="1"/>
  <c r="A3399" i="1"/>
  <c r="B3399" i="1"/>
  <c r="C3399" i="1"/>
  <c r="D3399" i="1"/>
  <c r="E3399" i="1"/>
  <c r="F3399" i="1"/>
  <c r="G3399" i="1"/>
  <c r="H3399" i="1"/>
  <c r="I3399" i="1"/>
  <c r="J3399" i="1"/>
  <c r="K3399" i="1"/>
  <c r="L3399" i="1"/>
  <c r="A3400" i="1"/>
  <c r="B3400" i="1"/>
  <c r="C3400" i="1"/>
  <c r="D3400" i="1"/>
  <c r="E3400" i="1"/>
  <c r="F3400" i="1"/>
  <c r="G3400" i="1"/>
  <c r="H3400" i="1"/>
  <c r="I3400" i="1"/>
  <c r="J3400" i="1"/>
  <c r="K3400" i="1"/>
  <c r="L3400" i="1"/>
  <c r="A3401" i="1"/>
  <c r="B3401" i="1"/>
  <c r="C3401" i="1"/>
  <c r="D3401" i="1"/>
  <c r="E3401" i="1"/>
  <c r="F3401" i="1"/>
  <c r="G3401" i="1"/>
  <c r="H3401" i="1"/>
  <c r="I3401" i="1"/>
  <c r="J3401" i="1"/>
  <c r="K3401" i="1"/>
  <c r="L3401" i="1"/>
  <c r="A3402" i="1"/>
  <c r="B3402" i="1"/>
  <c r="C3402" i="1"/>
  <c r="D3402" i="1"/>
  <c r="E3402" i="1"/>
  <c r="F3402" i="1"/>
  <c r="G3402" i="1"/>
  <c r="H3402" i="1"/>
  <c r="I3402" i="1"/>
  <c r="J3402" i="1"/>
  <c r="K3402" i="1"/>
  <c r="L3402" i="1"/>
  <c r="A3403" i="1"/>
  <c r="B3403" i="1"/>
  <c r="C3403" i="1"/>
  <c r="D3403" i="1"/>
  <c r="E3403" i="1"/>
  <c r="F3403" i="1"/>
  <c r="G3403" i="1"/>
  <c r="H3403" i="1"/>
  <c r="I3403" i="1"/>
  <c r="J3403" i="1"/>
  <c r="K3403" i="1"/>
  <c r="L3403" i="1"/>
  <c r="A3404" i="1"/>
  <c r="B3404" i="1"/>
  <c r="C3404" i="1"/>
  <c r="D3404" i="1"/>
  <c r="E3404" i="1"/>
  <c r="F3404" i="1"/>
  <c r="G3404" i="1"/>
  <c r="H3404" i="1"/>
  <c r="I3404" i="1"/>
  <c r="J3404" i="1"/>
  <c r="K3404" i="1"/>
  <c r="L3404" i="1"/>
  <c r="A3405" i="1"/>
  <c r="B3405" i="1"/>
  <c r="C3405" i="1"/>
  <c r="D3405" i="1"/>
  <c r="E3405" i="1"/>
  <c r="F3405" i="1"/>
  <c r="G3405" i="1"/>
  <c r="H3405" i="1"/>
  <c r="I3405" i="1"/>
  <c r="J3405" i="1"/>
  <c r="K3405" i="1"/>
  <c r="L3405" i="1"/>
  <c r="A3406" i="1"/>
  <c r="B3406" i="1"/>
  <c r="C3406" i="1"/>
  <c r="D3406" i="1"/>
  <c r="E3406" i="1"/>
  <c r="F3406" i="1"/>
  <c r="G3406" i="1"/>
  <c r="H3406" i="1"/>
  <c r="I3406" i="1"/>
  <c r="J3406" i="1"/>
  <c r="K3406" i="1"/>
  <c r="L3406" i="1"/>
  <c r="A3407" i="1"/>
  <c r="B3407" i="1"/>
  <c r="C3407" i="1"/>
  <c r="D3407" i="1"/>
  <c r="E3407" i="1"/>
  <c r="F3407" i="1"/>
  <c r="G3407" i="1"/>
  <c r="H3407" i="1"/>
  <c r="I3407" i="1"/>
  <c r="J3407" i="1"/>
  <c r="K3407" i="1"/>
  <c r="L3407" i="1"/>
  <c r="A3408" i="1"/>
  <c r="B3408" i="1"/>
  <c r="C3408" i="1"/>
  <c r="D3408" i="1"/>
  <c r="E3408" i="1"/>
  <c r="F3408" i="1"/>
  <c r="G3408" i="1"/>
  <c r="H3408" i="1"/>
  <c r="I3408" i="1"/>
  <c r="J3408" i="1"/>
  <c r="K3408" i="1"/>
  <c r="L3408" i="1"/>
  <c r="A3409" i="1"/>
  <c r="B3409" i="1"/>
  <c r="C3409" i="1"/>
  <c r="D3409" i="1"/>
  <c r="E3409" i="1"/>
  <c r="F3409" i="1"/>
  <c r="G3409" i="1"/>
  <c r="H3409" i="1"/>
  <c r="I3409" i="1"/>
  <c r="J3409" i="1"/>
  <c r="K3409" i="1"/>
  <c r="L3409" i="1"/>
  <c r="A3410" i="1"/>
  <c r="B3410" i="1"/>
  <c r="C3410" i="1"/>
  <c r="D3410" i="1"/>
  <c r="E3410" i="1"/>
  <c r="F3410" i="1"/>
  <c r="G3410" i="1"/>
  <c r="H3410" i="1"/>
  <c r="I3410" i="1"/>
  <c r="J3410" i="1"/>
  <c r="K3410" i="1"/>
  <c r="L3410" i="1"/>
  <c r="A3411" i="1"/>
  <c r="B3411" i="1"/>
  <c r="C3411" i="1"/>
  <c r="D3411" i="1"/>
  <c r="E3411" i="1"/>
  <c r="F3411" i="1"/>
  <c r="G3411" i="1"/>
  <c r="H3411" i="1"/>
  <c r="I3411" i="1"/>
  <c r="J3411" i="1"/>
  <c r="K3411" i="1"/>
  <c r="L3411" i="1"/>
  <c r="A3412" i="1"/>
  <c r="B3412" i="1"/>
  <c r="C3412" i="1"/>
  <c r="D3412" i="1"/>
  <c r="E3412" i="1"/>
  <c r="F3412" i="1"/>
  <c r="G3412" i="1"/>
  <c r="H3412" i="1"/>
  <c r="I3412" i="1"/>
  <c r="J3412" i="1"/>
  <c r="K3412" i="1"/>
  <c r="L3412" i="1"/>
  <c r="A3413" i="1"/>
  <c r="B3413" i="1"/>
  <c r="C3413" i="1"/>
  <c r="D3413" i="1"/>
  <c r="E3413" i="1"/>
  <c r="F3413" i="1"/>
  <c r="G3413" i="1"/>
  <c r="H3413" i="1"/>
  <c r="I3413" i="1"/>
  <c r="J3413" i="1"/>
  <c r="K3413" i="1"/>
  <c r="L3413" i="1"/>
  <c r="A3414" i="1"/>
  <c r="B3414" i="1"/>
  <c r="C3414" i="1"/>
  <c r="D3414" i="1"/>
  <c r="E3414" i="1"/>
  <c r="F3414" i="1"/>
  <c r="G3414" i="1"/>
  <c r="H3414" i="1"/>
  <c r="I3414" i="1"/>
  <c r="J3414" i="1"/>
  <c r="K3414" i="1"/>
  <c r="L3414" i="1"/>
  <c r="A3415" i="1"/>
  <c r="B3415" i="1"/>
  <c r="C3415" i="1"/>
  <c r="D3415" i="1"/>
  <c r="E3415" i="1"/>
  <c r="F3415" i="1"/>
  <c r="G3415" i="1"/>
  <c r="H3415" i="1"/>
  <c r="I3415" i="1"/>
  <c r="J3415" i="1"/>
  <c r="K3415" i="1"/>
  <c r="L3415" i="1"/>
  <c r="A3416" i="1"/>
  <c r="B3416" i="1"/>
  <c r="C3416" i="1"/>
  <c r="D3416" i="1"/>
  <c r="E3416" i="1"/>
  <c r="F3416" i="1"/>
  <c r="G3416" i="1"/>
  <c r="H3416" i="1"/>
  <c r="I3416" i="1"/>
  <c r="J3416" i="1"/>
  <c r="K3416" i="1"/>
  <c r="L3416" i="1"/>
  <c r="A3417" i="1"/>
  <c r="B3417" i="1"/>
  <c r="C3417" i="1"/>
  <c r="D3417" i="1"/>
  <c r="E3417" i="1"/>
  <c r="F3417" i="1"/>
  <c r="G3417" i="1"/>
  <c r="H3417" i="1"/>
  <c r="I3417" i="1"/>
  <c r="J3417" i="1"/>
  <c r="K3417" i="1"/>
  <c r="L3417" i="1"/>
  <c r="A3418" i="1"/>
  <c r="B3418" i="1"/>
  <c r="C3418" i="1"/>
  <c r="D3418" i="1"/>
  <c r="E3418" i="1"/>
  <c r="F3418" i="1"/>
  <c r="G3418" i="1"/>
  <c r="H3418" i="1"/>
  <c r="I3418" i="1"/>
  <c r="J3418" i="1"/>
  <c r="K3418" i="1"/>
  <c r="L3418" i="1"/>
  <c r="A3419" i="1"/>
  <c r="B3419" i="1"/>
  <c r="C3419" i="1"/>
  <c r="D3419" i="1"/>
  <c r="E3419" i="1"/>
  <c r="F3419" i="1"/>
  <c r="G3419" i="1"/>
  <c r="H3419" i="1"/>
  <c r="I3419" i="1"/>
  <c r="J3419" i="1"/>
  <c r="K3419" i="1"/>
  <c r="L3419" i="1"/>
  <c r="A3420" i="1"/>
  <c r="B3420" i="1"/>
  <c r="C3420" i="1"/>
  <c r="D3420" i="1"/>
  <c r="E3420" i="1"/>
  <c r="F3420" i="1"/>
  <c r="G3420" i="1"/>
  <c r="H3420" i="1"/>
  <c r="I3420" i="1"/>
  <c r="J3420" i="1"/>
  <c r="K3420" i="1"/>
  <c r="L3420" i="1"/>
  <c r="A3421" i="1"/>
  <c r="B3421" i="1"/>
  <c r="C3421" i="1"/>
  <c r="D3421" i="1"/>
  <c r="E3421" i="1"/>
  <c r="F3421" i="1"/>
  <c r="G3421" i="1"/>
  <c r="H3421" i="1"/>
  <c r="I3421" i="1"/>
  <c r="J3421" i="1"/>
  <c r="K3421" i="1"/>
  <c r="L3421" i="1"/>
  <c r="A3422" i="1"/>
  <c r="B3422" i="1"/>
  <c r="C3422" i="1"/>
  <c r="D3422" i="1"/>
  <c r="E3422" i="1"/>
  <c r="F3422" i="1"/>
  <c r="G3422" i="1"/>
  <c r="H3422" i="1"/>
  <c r="I3422" i="1"/>
  <c r="J3422" i="1"/>
  <c r="K3422" i="1"/>
  <c r="L3422" i="1"/>
  <c r="A3423" i="1"/>
  <c r="B3423" i="1"/>
  <c r="C3423" i="1"/>
  <c r="D3423" i="1"/>
  <c r="E3423" i="1"/>
  <c r="F3423" i="1"/>
  <c r="G3423" i="1"/>
  <c r="H3423" i="1"/>
  <c r="I3423" i="1"/>
  <c r="J3423" i="1"/>
  <c r="K3423" i="1"/>
  <c r="L3423" i="1"/>
  <c r="A3424" i="1"/>
  <c r="B3424" i="1"/>
  <c r="C3424" i="1"/>
  <c r="D3424" i="1"/>
  <c r="E3424" i="1"/>
  <c r="F3424" i="1"/>
  <c r="G3424" i="1"/>
  <c r="H3424" i="1"/>
  <c r="I3424" i="1"/>
  <c r="J3424" i="1"/>
  <c r="K3424" i="1"/>
  <c r="L3424" i="1"/>
  <c r="A3425" i="1"/>
  <c r="B3425" i="1"/>
  <c r="C3425" i="1"/>
  <c r="D3425" i="1"/>
  <c r="E3425" i="1"/>
  <c r="F3425" i="1"/>
  <c r="G3425" i="1"/>
  <c r="H3425" i="1"/>
  <c r="I3425" i="1"/>
  <c r="J3425" i="1"/>
  <c r="K3425" i="1"/>
  <c r="L3425" i="1"/>
  <c r="A3426" i="1"/>
  <c r="B3426" i="1"/>
  <c r="C3426" i="1"/>
  <c r="D3426" i="1"/>
  <c r="E3426" i="1"/>
  <c r="F3426" i="1"/>
  <c r="G3426" i="1"/>
  <c r="H3426" i="1"/>
  <c r="I3426" i="1"/>
  <c r="J3426" i="1"/>
  <c r="K3426" i="1"/>
  <c r="L3426" i="1"/>
  <c r="A3427" i="1"/>
  <c r="B3427" i="1"/>
  <c r="C3427" i="1"/>
  <c r="D3427" i="1"/>
  <c r="E3427" i="1"/>
  <c r="F3427" i="1"/>
  <c r="G3427" i="1"/>
  <c r="H3427" i="1"/>
  <c r="I3427" i="1"/>
  <c r="J3427" i="1"/>
  <c r="K3427" i="1"/>
  <c r="L3427" i="1"/>
  <c r="A3428" i="1"/>
  <c r="B3428" i="1"/>
  <c r="C3428" i="1"/>
  <c r="D3428" i="1"/>
  <c r="E3428" i="1"/>
  <c r="F3428" i="1"/>
  <c r="G3428" i="1"/>
  <c r="H3428" i="1"/>
  <c r="I3428" i="1"/>
  <c r="J3428" i="1"/>
  <c r="K3428" i="1"/>
  <c r="L3428" i="1"/>
  <c r="A3429" i="1"/>
  <c r="B3429" i="1"/>
  <c r="C3429" i="1"/>
  <c r="D3429" i="1"/>
  <c r="E3429" i="1"/>
  <c r="F3429" i="1"/>
  <c r="G3429" i="1"/>
  <c r="H3429" i="1"/>
  <c r="I3429" i="1"/>
  <c r="J3429" i="1"/>
  <c r="K3429" i="1"/>
  <c r="L3429" i="1"/>
  <c r="A3430" i="1"/>
  <c r="B3430" i="1"/>
  <c r="C3430" i="1"/>
  <c r="D3430" i="1"/>
  <c r="E3430" i="1"/>
  <c r="F3430" i="1"/>
  <c r="G3430" i="1"/>
  <c r="H3430" i="1"/>
  <c r="I3430" i="1"/>
  <c r="J3430" i="1"/>
  <c r="K3430" i="1"/>
  <c r="L3430" i="1"/>
  <c r="A3431" i="1"/>
  <c r="B3431" i="1"/>
  <c r="C3431" i="1"/>
  <c r="D3431" i="1"/>
  <c r="E3431" i="1"/>
  <c r="F3431" i="1"/>
  <c r="G3431" i="1"/>
  <c r="H3431" i="1"/>
  <c r="I3431" i="1"/>
  <c r="J3431" i="1"/>
  <c r="K3431" i="1"/>
  <c r="L3431" i="1"/>
  <c r="A3432" i="1"/>
  <c r="B3432" i="1"/>
  <c r="C3432" i="1"/>
  <c r="D3432" i="1"/>
  <c r="E3432" i="1"/>
  <c r="F3432" i="1"/>
  <c r="G3432" i="1"/>
  <c r="H3432" i="1"/>
  <c r="I3432" i="1"/>
  <c r="J3432" i="1"/>
  <c r="K3432" i="1"/>
  <c r="L3432" i="1"/>
  <c r="A3433" i="1"/>
  <c r="B3433" i="1"/>
  <c r="C3433" i="1"/>
  <c r="D3433" i="1"/>
  <c r="E3433" i="1"/>
  <c r="F3433" i="1"/>
  <c r="G3433" i="1"/>
  <c r="H3433" i="1"/>
  <c r="I3433" i="1"/>
  <c r="J3433" i="1"/>
  <c r="K3433" i="1"/>
  <c r="L3433" i="1"/>
  <c r="A3434" i="1"/>
  <c r="B3434" i="1"/>
  <c r="C3434" i="1"/>
  <c r="D3434" i="1"/>
  <c r="E3434" i="1"/>
  <c r="F3434" i="1"/>
  <c r="G3434" i="1"/>
  <c r="H3434" i="1"/>
  <c r="I3434" i="1"/>
  <c r="J3434" i="1"/>
  <c r="K3434" i="1"/>
  <c r="L3434" i="1"/>
  <c r="A3435" i="1"/>
  <c r="B3435" i="1"/>
  <c r="C3435" i="1"/>
  <c r="D3435" i="1"/>
  <c r="E3435" i="1"/>
  <c r="F3435" i="1"/>
  <c r="G3435" i="1"/>
  <c r="H3435" i="1"/>
  <c r="I3435" i="1"/>
  <c r="J3435" i="1"/>
  <c r="K3435" i="1"/>
  <c r="L3435" i="1"/>
  <c r="A3436" i="1"/>
  <c r="B3436" i="1"/>
  <c r="C3436" i="1"/>
  <c r="D3436" i="1"/>
  <c r="E3436" i="1"/>
  <c r="F3436" i="1"/>
  <c r="G3436" i="1"/>
  <c r="H3436" i="1"/>
  <c r="I3436" i="1"/>
  <c r="J3436" i="1"/>
  <c r="K3436" i="1"/>
  <c r="L3436" i="1"/>
  <c r="A3437" i="1"/>
  <c r="B3437" i="1"/>
  <c r="C3437" i="1"/>
  <c r="D3437" i="1"/>
  <c r="E3437" i="1"/>
  <c r="F3437" i="1"/>
  <c r="G3437" i="1"/>
  <c r="H3437" i="1"/>
  <c r="I3437" i="1"/>
  <c r="J3437" i="1"/>
  <c r="K3437" i="1"/>
  <c r="L3437" i="1"/>
  <c r="A3438" i="1"/>
  <c r="B3438" i="1"/>
  <c r="C3438" i="1"/>
  <c r="D3438" i="1"/>
  <c r="E3438" i="1"/>
  <c r="F3438" i="1"/>
  <c r="G3438" i="1"/>
  <c r="H3438" i="1"/>
  <c r="I3438" i="1"/>
  <c r="J3438" i="1"/>
  <c r="K3438" i="1"/>
  <c r="L3438" i="1"/>
  <c r="A3439" i="1"/>
  <c r="B3439" i="1"/>
  <c r="C3439" i="1"/>
  <c r="D3439" i="1"/>
  <c r="E3439" i="1"/>
  <c r="F3439" i="1"/>
  <c r="G3439" i="1"/>
  <c r="H3439" i="1"/>
  <c r="I3439" i="1"/>
  <c r="J3439" i="1"/>
  <c r="K3439" i="1"/>
  <c r="L3439" i="1"/>
  <c r="A3440" i="1"/>
  <c r="B3440" i="1"/>
  <c r="C3440" i="1"/>
  <c r="D3440" i="1"/>
  <c r="E3440" i="1"/>
  <c r="F3440" i="1"/>
  <c r="G3440" i="1"/>
  <c r="H3440" i="1"/>
  <c r="I3440" i="1"/>
  <c r="J3440" i="1"/>
  <c r="K3440" i="1"/>
  <c r="L3440" i="1"/>
  <c r="A3441" i="1"/>
  <c r="B3441" i="1"/>
  <c r="C3441" i="1"/>
  <c r="D3441" i="1"/>
  <c r="E3441" i="1"/>
  <c r="F3441" i="1"/>
  <c r="G3441" i="1"/>
  <c r="H3441" i="1"/>
  <c r="I3441" i="1"/>
  <c r="J3441" i="1"/>
  <c r="K3441" i="1"/>
  <c r="L3441" i="1"/>
  <c r="A3442" i="1"/>
  <c r="B3442" i="1"/>
  <c r="C3442" i="1"/>
  <c r="D3442" i="1"/>
  <c r="E3442" i="1"/>
  <c r="F3442" i="1"/>
  <c r="G3442" i="1"/>
  <c r="H3442" i="1"/>
  <c r="I3442" i="1"/>
  <c r="J3442" i="1"/>
  <c r="K3442" i="1"/>
  <c r="L3442" i="1"/>
  <c r="A3443" i="1"/>
  <c r="B3443" i="1"/>
  <c r="C3443" i="1"/>
  <c r="D3443" i="1"/>
  <c r="E3443" i="1"/>
  <c r="F3443" i="1"/>
  <c r="G3443" i="1"/>
  <c r="H3443" i="1"/>
  <c r="I3443" i="1"/>
  <c r="J3443" i="1"/>
  <c r="K3443" i="1"/>
  <c r="L3443" i="1"/>
  <c r="A3444" i="1"/>
  <c r="B3444" i="1"/>
  <c r="C3444" i="1"/>
  <c r="D3444" i="1"/>
  <c r="E3444" i="1"/>
  <c r="F3444" i="1"/>
  <c r="G3444" i="1"/>
  <c r="H3444" i="1"/>
  <c r="I3444" i="1"/>
  <c r="J3444" i="1"/>
  <c r="K3444" i="1"/>
  <c r="L3444" i="1"/>
  <c r="A3445" i="1"/>
  <c r="B3445" i="1"/>
  <c r="C3445" i="1"/>
  <c r="D3445" i="1"/>
  <c r="E3445" i="1"/>
  <c r="F3445" i="1"/>
  <c r="G3445" i="1"/>
  <c r="H3445" i="1"/>
  <c r="I3445" i="1"/>
  <c r="J3445" i="1"/>
  <c r="K3445" i="1"/>
  <c r="L3445" i="1"/>
  <c r="A3446" i="1"/>
  <c r="B3446" i="1"/>
  <c r="C3446" i="1"/>
  <c r="D3446" i="1"/>
  <c r="E3446" i="1"/>
  <c r="F3446" i="1"/>
  <c r="G3446" i="1"/>
  <c r="H3446" i="1"/>
  <c r="I3446" i="1"/>
  <c r="J3446" i="1"/>
  <c r="K3446" i="1"/>
  <c r="L3446" i="1"/>
  <c r="A3447" i="1"/>
  <c r="B3447" i="1"/>
  <c r="C3447" i="1"/>
  <c r="D3447" i="1"/>
  <c r="E3447" i="1"/>
  <c r="F3447" i="1"/>
  <c r="G3447" i="1"/>
  <c r="H3447" i="1"/>
  <c r="I3447" i="1"/>
  <c r="J3447" i="1"/>
  <c r="K3447" i="1"/>
  <c r="L3447" i="1"/>
  <c r="A3448" i="1"/>
  <c r="B3448" i="1"/>
  <c r="C3448" i="1"/>
  <c r="D3448" i="1"/>
  <c r="E3448" i="1"/>
  <c r="F3448" i="1"/>
  <c r="G3448" i="1"/>
  <c r="H3448" i="1"/>
  <c r="I3448" i="1"/>
  <c r="J3448" i="1"/>
  <c r="K3448" i="1"/>
  <c r="L3448" i="1"/>
  <c r="A3449" i="1"/>
  <c r="B3449" i="1"/>
  <c r="C3449" i="1"/>
  <c r="D3449" i="1"/>
  <c r="E3449" i="1"/>
  <c r="F3449" i="1"/>
  <c r="G3449" i="1"/>
  <c r="H3449" i="1"/>
  <c r="I3449" i="1"/>
  <c r="J3449" i="1"/>
  <c r="K3449" i="1"/>
  <c r="L3449" i="1"/>
  <c r="A3450" i="1"/>
  <c r="B3450" i="1"/>
  <c r="C3450" i="1"/>
  <c r="D3450" i="1"/>
  <c r="E3450" i="1"/>
  <c r="F3450" i="1"/>
  <c r="G3450" i="1"/>
  <c r="H3450" i="1"/>
  <c r="I3450" i="1"/>
  <c r="J3450" i="1"/>
  <c r="K3450" i="1"/>
  <c r="L3450" i="1"/>
  <c r="A3451" i="1"/>
  <c r="B3451" i="1"/>
  <c r="C3451" i="1"/>
  <c r="D3451" i="1"/>
  <c r="E3451" i="1"/>
  <c r="F3451" i="1"/>
  <c r="G3451" i="1"/>
  <c r="H3451" i="1"/>
  <c r="I3451" i="1"/>
  <c r="J3451" i="1"/>
  <c r="K3451" i="1"/>
  <c r="L3451" i="1"/>
  <c r="A3452" i="1"/>
  <c r="B3452" i="1"/>
  <c r="C3452" i="1"/>
  <c r="D3452" i="1"/>
  <c r="E3452" i="1"/>
  <c r="F3452" i="1"/>
  <c r="G3452" i="1"/>
  <c r="H3452" i="1"/>
  <c r="I3452" i="1"/>
  <c r="J3452" i="1"/>
  <c r="K3452" i="1"/>
  <c r="L3452" i="1"/>
  <c r="A3453" i="1"/>
  <c r="B3453" i="1"/>
  <c r="C3453" i="1"/>
  <c r="D3453" i="1"/>
  <c r="E3453" i="1"/>
  <c r="F3453" i="1"/>
  <c r="G3453" i="1"/>
  <c r="H3453" i="1"/>
  <c r="I3453" i="1"/>
  <c r="J3453" i="1"/>
  <c r="K3453" i="1"/>
  <c r="L3453" i="1"/>
  <c r="A3454" i="1"/>
  <c r="B3454" i="1"/>
  <c r="C3454" i="1"/>
  <c r="D3454" i="1"/>
  <c r="E3454" i="1"/>
  <c r="F3454" i="1"/>
  <c r="G3454" i="1"/>
  <c r="H3454" i="1"/>
  <c r="I3454" i="1"/>
  <c r="J3454" i="1"/>
  <c r="K3454" i="1"/>
  <c r="L3454" i="1"/>
  <c r="A3455" i="1"/>
  <c r="B3455" i="1"/>
  <c r="C3455" i="1"/>
  <c r="D3455" i="1"/>
  <c r="E3455" i="1"/>
  <c r="F3455" i="1"/>
  <c r="G3455" i="1"/>
  <c r="H3455" i="1"/>
  <c r="I3455" i="1"/>
  <c r="J3455" i="1"/>
  <c r="K3455" i="1"/>
  <c r="L3455" i="1"/>
  <c r="A3456" i="1"/>
  <c r="B3456" i="1"/>
  <c r="C3456" i="1"/>
  <c r="D3456" i="1"/>
  <c r="E3456" i="1"/>
  <c r="F3456" i="1"/>
  <c r="G3456" i="1"/>
  <c r="H3456" i="1"/>
  <c r="I3456" i="1"/>
  <c r="J3456" i="1"/>
  <c r="K3456" i="1"/>
  <c r="L3456" i="1"/>
  <c r="A3457" i="1"/>
  <c r="B3457" i="1"/>
  <c r="C3457" i="1"/>
  <c r="D3457" i="1"/>
  <c r="E3457" i="1"/>
  <c r="F3457" i="1"/>
  <c r="G3457" i="1"/>
  <c r="H3457" i="1"/>
  <c r="I3457" i="1"/>
  <c r="J3457" i="1"/>
  <c r="K3457" i="1"/>
  <c r="L3457" i="1"/>
  <c r="A3458" i="1"/>
  <c r="B3458" i="1"/>
  <c r="C3458" i="1"/>
  <c r="D3458" i="1"/>
  <c r="E3458" i="1"/>
  <c r="F3458" i="1"/>
  <c r="G3458" i="1"/>
  <c r="H3458" i="1"/>
  <c r="I3458" i="1"/>
  <c r="J3458" i="1"/>
  <c r="K3458" i="1"/>
  <c r="L3458" i="1"/>
  <c r="A3459" i="1"/>
  <c r="B3459" i="1"/>
  <c r="C3459" i="1"/>
  <c r="D3459" i="1"/>
  <c r="E3459" i="1"/>
  <c r="F3459" i="1"/>
  <c r="G3459" i="1"/>
  <c r="H3459" i="1"/>
  <c r="I3459" i="1"/>
  <c r="J3459" i="1"/>
  <c r="K3459" i="1"/>
  <c r="L3459" i="1"/>
  <c r="A3460" i="1"/>
  <c r="B3460" i="1"/>
  <c r="C3460" i="1"/>
  <c r="D3460" i="1"/>
  <c r="E3460" i="1"/>
  <c r="F3460" i="1"/>
  <c r="G3460" i="1"/>
  <c r="H3460" i="1"/>
  <c r="I3460" i="1"/>
  <c r="J3460" i="1"/>
  <c r="K3460" i="1"/>
  <c r="L3460" i="1"/>
  <c r="A3461" i="1"/>
  <c r="B3461" i="1"/>
  <c r="C3461" i="1"/>
  <c r="D3461" i="1"/>
  <c r="E3461" i="1"/>
  <c r="F3461" i="1"/>
  <c r="G3461" i="1"/>
  <c r="H3461" i="1"/>
  <c r="I3461" i="1"/>
  <c r="J3461" i="1"/>
  <c r="K3461" i="1"/>
  <c r="L3461" i="1"/>
  <c r="A3462" i="1"/>
  <c r="B3462" i="1"/>
  <c r="C3462" i="1"/>
  <c r="D3462" i="1"/>
  <c r="E3462" i="1"/>
  <c r="F3462" i="1"/>
  <c r="G3462" i="1"/>
  <c r="H3462" i="1"/>
  <c r="I3462" i="1"/>
  <c r="J3462" i="1"/>
  <c r="K3462" i="1"/>
  <c r="L3462" i="1"/>
  <c r="A3463" i="1"/>
  <c r="B3463" i="1"/>
  <c r="C3463" i="1"/>
  <c r="D3463" i="1"/>
  <c r="E3463" i="1"/>
  <c r="F3463" i="1"/>
  <c r="G3463" i="1"/>
  <c r="H3463" i="1"/>
  <c r="I3463" i="1"/>
  <c r="J3463" i="1"/>
  <c r="K3463" i="1"/>
  <c r="L3463" i="1"/>
  <c r="A3464" i="1"/>
  <c r="B3464" i="1"/>
  <c r="C3464" i="1"/>
  <c r="D3464" i="1"/>
  <c r="E3464" i="1"/>
  <c r="F3464" i="1"/>
  <c r="G3464" i="1"/>
  <c r="H3464" i="1"/>
  <c r="I3464" i="1"/>
  <c r="J3464" i="1"/>
  <c r="K3464" i="1"/>
  <c r="L3464" i="1"/>
  <c r="A3465" i="1"/>
  <c r="B3465" i="1"/>
  <c r="C3465" i="1"/>
  <c r="D3465" i="1"/>
  <c r="E3465" i="1"/>
  <c r="F3465" i="1"/>
  <c r="G3465" i="1"/>
  <c r="H3465" i="1"/>
  <c r="I3465" i="1"/>
  <c r="J3465" i="1"/>
  <c r="K3465" i="1"/>
  <c r="L3465" i="1"/>
  <c r="A3466" i="1"/>
  <c r="B3466" i="1"/>
  <c r="C3466" i="1"/>
  <c r="D3466" i="1"/>
  <c r="E3466" i="1"/>
  <c r="F3466" i="1"/>
  <c r="G3466" i="1"/>
  <c r="H3466" i="1"/>
  <c r="I3466" i="1"/>
  <c r="J3466" i="1"/>
  <c r="K3466" i="1"/>
  <c r="L3466" i="1"/>
  <c r="A3467" i="1"/>
  <c r="B3467" i="1"/>
  <c r="C3467" i="1"/>
  <c r="D3467" i="1"/>
  <c r="E3467" i="1"/>
  <c r="F3467" i="1"/>
  <c r="G3467" i="1"/>
  <c r="H3467" i="1"/>
  <c r="I3467" i="1"/>
  <c r="J3467" i="1"/>
  <c r="K3467" i="1"/>
  <c r="L3467" i="1"/>
  <c r="A3468" i="1"/>
  <c r="B3468" i="1"/>
  <c r="C3468" i="1"/>
  <c r="D3468" i="1"/>
  <c r="E3468" i="1"/>
  <c r="F3468" i="1"/>
  <c r="G3468" i="1"/>
  <c r="H3468" i="1"/>
  <c r="I3468" i="1"/>
  <c r="J3468" i="1"/>
  <c r="K3468" i="1"/>
  <c r="L3468" i="1"/>
  <c r="A3469" i="1"/>
  <c r="B3469" i="1"/>
  <c r="C3469" i="1"/>
  <c r="D3469" i="1"/>
  <c r="E3469" i="1"/>
  <c r="F3469" i="1"/>
  <c r="G3469" i="1"/>
  <c r="H3469" i="1"/>
  <c r="I3469" i="1"/>
  <c r="J3469" i="1"/>
  <c r="K3469" i="1"/>
  <c r="L3469" i="1"/>
  <c r="A3470" i="1"/>
  <c r="B3470" i="1"/>
  <c r="C3470" i="1"/>
  <c r="D3470" i="1"/>
  <c r="E3470" i="1"/>
  <c r="F3470" i="1"/>
  <c r="G3470" i="1"/>
  <c r="H3470" i="1"/>
  <c r="I3470" i="1"/>
  <c r="J3470" i="1"/>
  <c r="K3470" i="1"/>
  <c r="L3470" i="1"/>
  <c r="A3471" i="1"/>
  <c r="B3471" i="1"/>
  <c r="C3471" i="1"/>
  <c r="D3471" i="1"/>
  <c r="E3471" i="1"/>
  <c r="F3471" i="1"/>
  <c r="G3471" i="1"/>
  <c r="H3471" i="1"/>
  <c r="I3471" i="1"/>
  <c r="J3471" i="1"/>
  <c r="K3471" i="1"/>
  <c r="L3471" i="1"/>
  <c r="A3472" i="1"/>
  <c r="B3472" i="1"/>
  <c r="C3472" i="1"/>
  <c r="D3472" i="1"/>
  <c r="E3472" i="1"/>
  <c r="F3472" i="1"/>
  <c r="G3472" i="1"/>
  <c r="H3472" i="1"/>
  <c r="I3472" i="1"/>
  <c r="J3472" i="1"/>
  <c r="K3472" i="1"/>
  <c r="L3472" i="1"/>
  <c r="A3473" i="1"/>
  <c r="B3473" i="1"/>
  <c r="C3473" i="1"/>
  <c r="D3473" i="1"/>
  <c r="E3473" i="1"/>
  <c r="F3473" i="1"/>
  <c r="G3473" i="1"/>
  <c r="H3473" i="1"/>
  <c r="I3473" i="1"/>
  <c r="J3473" i="1"/>
  <c r="K3473" i="1"/>
  <c r="L3473" i="1"/>
  <c r="A3474" i="1"/>
  <c r="B3474" i="1"/>
  <c r="C3474" i="1"/>
  <c r="D3474" i="1"/>
  <c r="E3474" i="1"/>
  <c r="F3474" i="1"/>
  <c r="G3474" i="1"/>
  <c r="H3474" i="1"/>
  <c r="I3474" i="1"/>
  <c r="J3474" i="1"/>
  <c r="K3474" i="1"/>
  <c r="L3474" i="1"/>
  <c r="A3475" i="1"/>
  <c r="B3475" i="1"/>
  <c r="C3475" i="1"/>
  <c r="D3475" i="1"/>
  <c r="E3475" i="1"/>
  <c r="F3475" i="1"/>
  <c r="G3475" i="1"/>
  <c r="H3475" i="1"/>
  <c r="I3475" i="1"/>
  <c r="J3475" i="1"/>
  <c r="K3475" i="1"/>
  <c r="L3475" i="1"/>
  <c r="A3476" i="1"/>
  <c r="B3476" i="1"/>
  <c r="C3476" i="1"/>
  <c r="D3476" i="1"/>
  <c r="E3476" i="1"/>
  <c r="F3476" i="1"/>
  <c r="G3476" i="1"/>
  <c r="H3476" i="1"/>
  <c r="I3476" i="1"/>
  <c r="J3476" i="1"/>
  <c r="K3476" i="1"/>
  <c r="L3476" i="1"/>
  <c r="A3477" i="1"/>
  <c r="B3477" i="1"/>
  <c r="C3477" i="1"/>
  <c r="D3477" i="1"/>
  <c r="E3477" i="1"/>
  <c r="F3477" i="1"/>
  <c r="G3477" i="1"/>
  <c r="H3477" i="1"/>
  <c r="I3477" i="1"/>
  <c r="J3477" i="1"/>
  <c r="K3477" i="1"/>
  <c r="L3477" i="1"/>
  <c r="A3478" i="1"/>
  <c r="B3478" i="1"/>
  <c r="C3478" i="1"/>
  <c r="D3478" i="1"/>
  <c r="E3478" i="1"/>
  <c r="F3478" i="1"/>
  <c r="G3478" i="1"/>
  <c r="H3478" i="1"/>
  <c r="I3478" i="1"/>
  <c r="J3478" i="1"/>
  <c r="K3478" i="1"/>
  <c r="L3478" i="1"/>
  <c r="A3479" i="1"/>
  <c r="B3479" i="1"/>
  <c r="C3479" i="1"/>
  <c r="D3479" i="1"/>
  <c r="E3479" i="1"/>
  <c r="F3479" i="1"/>
  <c r="G3479" i="1"/>
  <c r="H3479" i="1"/>
  <c r="I3479" i="1"/>
  <c r="J3479" i="1"/>
  <c r="K3479" i="1"/>
  <c r="L3479" i="1"/>
  <c r="A3480" i="1"/>
  <c r="B3480" i="1"/>
  <c r="C3480" i="1"/>
  <c r="D3480" i="1"/>
  <c r="E3480" i="1"/>
  <c r="F3480" i="1"/>
  <c r="G3480" i="1"/>
  <c r="H3480" i="1"/>
  <c r="I3480" i="1"/>
  <c r="J3480" i="1"/>
  <c r="K3480" i="1"/>
  <c r="L3480" i="1"/>
  <c r="A3481" i="1"/>
  <c r="B3481" i="1"/>
  <c r="C3481" i="1"/>
  <c r="D3481" i="1"/>
  <c r="E3481" i="1"/>
  <c r="F3481" i="1"/>
  <c r="G3481" i="1"/>
  <c r="H3481" i="1"/>
  <c r="I3481" i="1"/>
  <c r="J3481" i="1"/>
  <c r="K3481" i="1"/>
  <c r="L3481" i="1"/>
  <c r="A3482" i="1"/>
  <c r="B3482" i="1"/>
  <c r="C3482" i="1"/>
  <c r="D3482" i="1"/>
  <c r="E3482" i="1"/>
  <c r="F3482" i="1"/>
  <c r="G3482" i="1"/>
  <c r="H3482" i="1"/>
  <c r="I3482" i="1"/>
  <c r="J3482" i="1"/>
  <c r="K3482" i="1"/>
  <c r="L3482" i="1"/>
  <c r="A3483" i="1"/>
  <c r="B3483" i="1"/>
  <c r="C3483" i="1"/>
  <c r="D3483" i="1"/>
  <c r="E3483" i="1"/>
  <c r="F3483" i="1"/>
  <c r="G3483" i="1"/>
  <c r="H3483" i="1"/>
  <c r="I3483" i="1"/>
  <c r="J3483" i="1"/>
  <c r="K3483" i="1"/>
  <c r="L3483" i="1"/>
  <c r="A3484" i="1"/>
  <c r="B3484" i="1"/>
  <c r="C3484" i="1"/>
  <c r="D3484" i="1"/>
  <c r="E3484" i="1"/>
  <c r="F3484" i="1"/>
  <c r="G3484" i="1"/>
  <c r="H3484" i="1"/>
  <c r="I3484" i="1"/>
  <c r="J3484" i="1"/>
  <c r="K3484" i="1"/>
  <c r="L3484" i="1"/>
  <c r="A3485" i="1"/>
  <c r="B3485" i="1"/>
  <c r="C3485" i="1"/>
  <c r="D3485" i="1"/>
  <c r="E3485" i="1"/>
  <c r="F3485" i="1"/>
  <c r="G3485" i="1"/>
  <c r="H3485" i="1"/>
  <c r="I3485" i="1"/>
  <c r="J3485" i="1"/>
  <c r="K3485" i="1"/>
  <c r="L3485" i="1"/>
  <c r="A3486" i="1"/>
  <c r="B3486" i="1"/>
  <c r="C3486" i="1"/>
  <c r="D3486" i="1"/>
  <c r="E3486" i="1"/>
  <c r="F3486" i="1"/>
  <c r="G3486" i="1"/>
  <c r="H3486" i="1"/>
  <c r="I3486" i="1"/>
  <c r="J3486" i="1"/>
  <c r="K3486" i="1"/>
  <c r="L3486" i="1"/>
  <c r="A3487" i="1"/>
  <c r="B3487" i="1"/>
  <c r="C3487" i="1"/>
  <c r="D3487" i="1"/>
  <c r="E3487" i="1"/>
  <c r="F3487" i="1"/>
  <c r="G3487" i="1"/>
  <c r="H3487" i="1"/>
  <c r="I3487" i="1"/>
  <c r="J3487" i="1"/>
  <c r="K3487" i="1"/>
  <c r="L3487" i="1"/>
  <c r="A3488" i="1"/>
  <c r="B3488" i="1"/>
  <c r="C3488" i="1"/>
  <c r="D3488" i="1"/>
  <c r="E3488" i="1"/>
  <c r="F3488" i="1"/>
  <c r="G3488" i="1"/>
  <c r="H3488" i="1"/>
  <c r="I3488" i="1"/>
  <c r="J3488" i="1"/>
  <c r="K3488" i="1"/>
  <c r="L3488" i="1"/>
  <c r="A3489" i="1"/>
  <c r="B3489" i="1"/>
  <c r="C3489" i="1"/>
  <c r="D3489" i="1"/>
  <c r="E3489" i="1"/>
  <c r="F3489" i="1"/>
  <c r="G3489" i="1"/>
  <c r="H3489" i="1"/>
  <c r="I3489" i="1"/>
  <c r="J3489" i="1"/>
  <c r="K3489" i="1"/>
  <c r="L3489" i="1"/>
  <c r="A3490" i="1"/>
  <c r="B3490" i="1"/>
  <c r="C3490" i="1"/>
  <c r="D3490" i="1"/>
  <c r="E3490" i="1"/>
  <c r="F3490" i="1"/>
  <c r="G3490" i="1"/>
  <c r="H3490" i="1"/>
  <c r="I3490" i="1"/>
  <c r="J3490" i="1"/>
  <c r="K3490" i="1"/>
  <c r="L3490" i="1"/>
  <c r="A3491" i="1"/>
  <c r="B3491" i="1"/>
  <c r="C3491" i="1"/>
  <c r="D3491" i="1"/>
  <c r="E3491" i="1"/>
  <c r="F3491" i="1"/>
  <c r="G3491" i="1"/>
  <c r="H3491" i="1"/>
  <c r="I3491" i="1"/>
  <c r="J3491" i="1"/>
  <c r="K3491" i="1"/>
  <c r="L3491" i="1"/>
  <c r="A3492" i="1"/>
  <c r="B3492" i="1"/>
  <c r="C3492" i="1"/>
  <c r="D3492" i="1"/>
  <c r="E3492" i="1"/>
  <c r="F3492" i="1"/>
  <c r="G3492" i="1"/>
  <c r="H3492" i="1"/>
  <c r="I3492" i="1"/>
  <c r="J3492" i="1"/>
  <c r="K3492" i="1"/>
  <c r="L3492" i="1"/>
  <c r="A3493" i="1"/>
  <c r="B3493" i="1"/>
  <c r="C3493" i="1"/>
  <c r="D3493" i="1"/>
  <c r="E3493" i="1"/>
  <c r="F3493" i="1"/>
  <c r="G3493" i="1"/>
  <c r="H3493" i="1"/>
  <c r="I3493" i="1"/>
  <c r="J3493" i="1"/>
  <c r="K3493" i="1"/>
  <c r="L3493" i="1"/>
  <c r="A3494" i="1"/>
  <c r="B3494" i="1"/>
  <c r="C3494" i="1"/>
  <c r="D3494" i="1"/>
  <c r="E3494" i="1"/>
  <c r="F3494" i="1"/>
  <c r="G3494" i="1"/>
  <c r="H3494" i="1"/>
  <c r="I3494" i="1"/>
  <c r="J3494" i="1"/>
  <c r="K3494" i="1"/>
  <c r="L3494" i="1"/>
  <c r="A3495" i="1"/>
  <c r="B3495" i="1"/>
  <c r="C3495" i="1"/>
  <c r="D3495" i="1"/>
  <c r="E3495" i="1"/>
  <c r="F3495" i="1"/>
  <c r="G3495" i="1"/>
  <c r="H3495" i="1"/>
  <c r="I3495" i="1"/>
  <c r="J3495" i="1"/>
  <c r="K3495" i="1"/>
  <c r="L3495" i="1"/>
  <c r="A3496" i="1"/>
  <c r="B3496" i="1"/>
  <c r="C3496" i="1"/>
  <c r="D3496" i="1"/>
  <c r="E3496" i="1"/>
  <c r="F3496" i="1"/>
  <c r="G3496" i="1"/>
  <c r="H3496" i="1"/>
  <c r="I3496" i="1"/>
  <c r="J3496" i="1"/>
  <c r="K3496" i="1"/>
  <c r="L3496" i="1"/>
  <c r="A3497" i="1"/>
  <c r="B3497" i="1"/>
  <c r="C3497" i="1"/>
  <c r="D3497" i="1"/>
  <c r="E3497" i="1"/>
  <c r="F3497" i="1"/>
  <c r="G3497" i="1"/>
  <c r="H3497" i="1"/>
  <c r="I3497" i="1"/>
  <c r="J3497" i="1"/>
  <c r="K3497" i="1"/>
  <c r="L3497" i="1"/>
  <c r="A3498" i="1"/>
  <c r="B3498" i="1"/>
  <c r="C3498" i="1"/>
  <c r="D3498" i="1"/>
  <c r="E3498" i="1"/>
  <c r="F3498" i="1"/>
  <c r="G3498" i="1"/>
  <c r="H3498" i="1"/>
  <c r="I3498" i="1"/>
  <c r="J3498" i="1"/>
  <c r="K3498" i="1"/>
  <c r="L3498" i="1"/>
  <c r="A3499" i="1"/>
  <c r="B3499" i="1"/>
  <c r="C3499" i="1"/>
  <c r="D3499" i="1"/>
  <c r="E3499" i="1"/>
  <c r="F3499" i="1"/>
  <c r="G3499" i="1"/>
  <c r="H3499" i="1"/>
  <c r="I3499" i="1"/>
  <c r="J3499" i="1"/>
  <c r="K3499" i="1"/>
  <c r="L3499" i="1"/>
  <c r="A3500" i="1"/>
  <c r="B3500" i="1"/>
  <c r="C3500" i="1"/>
  <c r="D3500" i="1"/>
  <c r="E3500" i="1"/>
  <c r="F3500" i="1"/>
  <c r="G3500" i="1"/>
  <c r="H3500" i="1"/>
  <c r="I3500" i="1"/>
  <c r="J3500" i="1"/>
  <c r="K3500" i="1"/>
  <c r="L3500" i="1"/>
  <c r="A3501" i="1"/>
  <c r="B3501" i="1"/>
  <c r="C3501" i="1"/>
  <c r="D3501" i="1"/>
  <c r="E3501" i="1"/>
  <c r="F3501" i="1"/>
  <c r="G3501" i="1"/>
  <c r="H3501" i="1"/>
  <c r="I3501" i="1"/>
  <c r="J3501" i="1"/>
  <c r="K3501" i="1"/>
  <c r="L3501" i="1"/>
  <c r="A3502" i="1"/>
  <c r="B3502" i="1"/>
  <c r="C3502" i="1"/>
  <c r="D3502" i="1"/>
  <c r="E3502" i="1"/>
  <c r="F3502" i="1"/>
  <c r="G3502" i="1"/>
  <c r="H3502" i="1"/>
  <c r="I3502" i="1"/>
  <c r="J3502" i="1"/>
  <c r="K3502" i="1"/>
  <c r="L3502" i="1"/>
  <c r="A3503" i="1"/>
  <c r="B3503" i="1"/>
  <c r="C3503" i="1"/>
  <c r="D3503" i="1"/>
  <c r="E3503" i="1"/>
  <c r="F3503" i="1"/>
  <c r="G3503" i="1"/>
  <c r="H3503" i="1"/>
  <c r="I3503" i="1"/>
  <c r="J3503" i="1"/>
  <c r="K3503" i="1"/>
  <c r="L3503" i="1"/>
  <c r="A3504" i="1"/>
  <c r="B3504" i="1"/>
  <c r="C3504" i="1"/>
  <c r="D3504" i="1"/>
  <c r="E3504" i="1"/>
  <c r="F3504" i="1"/>
  <c r="G3504" i="1"/>
  <c r="H3504" i="1"/>
  <c r="I3504" i="1"/>
  <c r="J3504" i="1"/>
  <c r="K3504" i="1"/>
  <c r="L3504" i="1"/>
  <c r="A3505" i="1"/>
  <c r="B3505" i="1"/>
  <c r="C3505" i="1"/>
  <c r="D3505" i="1"/>
  <c r="E3505" i="1"/>
  <c r="F3505" i="1"/>
  <c r="G3505" i="1"/>
  <c r="H3505" i="1"/>
  <c r="I3505" i="1"/>
  <c r="J3505" i="1"/>
  <c r="K3505" i="1"/>
  <c r="L3505" i="1"/>
  <c r="A3506" i="1"/>
  <c r="B3506" i="1"/>
  <c r="C3506" i="1"/>
  <c r="D3506" i="1"/>
  <c r="E3506" i="1"/>
  <c r="F3506" i="1"/>
  <c r="G3506" i="1"/>
  <c r="H3506" i="1"/>
  <c r="I3506" i="1"/>
  <c r="J3506" i="1"/>
  <c r="K3506" i="1"/>
  <c r="L3506" i="1"/>
  <c r="A3507" i="1"/>
  <c r="B3507" i="1"/>
  <c r="C3507" i="1"/>
  <c r="D3507" i="1"/>
  <c r="E3507" i="1"/>
  <c r="F3507" i="1"/>
  <c r="G3507" i="1"/>
  <c r="H3507" i="1"/>
  <c r="I3507" i="1"/>
  <c r="J3507" i="1"/>
  <c r="K3507" i="1"/>
  <c r="L3507" i="1"/>
  <c r="A3508" i="1"/>
  <c r="B3508" i="1"/>
  <c r="C3508" i="1"/>
  <c r="D3508" i="1"/>
  <c r="E3508" i="1"/>
  <c r="F3508" i="1"/>
  <c r="G3508" i="1"/>
  <c r="H3508" i="1"/>
  <c r="I3508" i="1"/>
  <c r="J3508" i="1"/>
  <c r="K3508" i="1"/>
  <c r="L3508" i="1"/>
  <c r="A3509" i="1"/>
  <c r="B3509" i="1"/>
  <c r="C3509" i="1"/>
  <c r="D3509" i="1"/>
  <c r="E3509" i="1"/>
  <c r="F3509" i="1"/>
  <c r="G3509" i="1"/>
  <c r="H3509" i="1"/>
  <c r="I3509" i="1"/>
  <c r="J3509" i="1"/>
  <c r="K3509" i="1"/>
  <c r="L3509" i="1"/>
  <c r="A3510" i="1"/>
  <c r="B3510" i="1"/>
  <c r="C3510" i="1"/>
  <c r="D3510" i="1"/>
  <c r="E3510" i="1"/>
  <c r="F3510" i="1"/>
  <c r="G3510" i="1"/>
  <c r="H3510" i="1"/>
  <c r="I3510" i="1"/>
  <c r="J3510" i="1"/>
  <c r="K3510" i="1"/>
  <c r="L3510" i="1"/>
  <c r="A3511" i="1"/>
  <c r="B3511" i="1"/>
  <c r="C3511" i="1"/>
  <c r="D3511" i="1"/>
  <c r="E3511" i="1"/>
  <c r="F3511" i="1"/>
  <c r="G3511" i="1"/>
  <c r="H3511" i="1"/>
  <c r="I3511" i="1"/>
  <c r="J3511" i="1"/>
  <c r="K3511" i="1"/>
  <c r="L3511" i="1"/>
  <c r="A3512" i="1"/>
  <c r="B3512" i="1"/>
  <c r="C3512" i="1"/>
  <c r="D3512" i="1"/>
  <c r="E3512" i="1"/>
  <c r="F3512" i="1"/>
  <c r="G3512" i="1"/>
  <c r="H3512" i="1"/>
  <c r="I3512" i="1"/>
  <c r="J3512" i="1"/>
  <c r="K3512" i="1"/>
  <c r="L3512" i="1"/>
  <c r="A3513" i="1"/>
  <c r="B3513" i="1"/>
  <c r="C3513" i="1"/>
  <c r="D3513" i="1"/>
  <c r="E3513" i="1"/>
  <c r="F3513" i="1"/>
  <c r="G3513" i="1"/>
  <c r="H3513" i="1"/>
  <c r="I3513" i="1"/>
  <c r="J3513" i="1"/>
  <c r="K3513" i="1"/>
  <c r="L3513" i="1"/>
  <c r="A3514" i="1"/>
  <c r="B3514" i="1"/>
  <c r="C3514" i="1"/>
  <c r="D3514" i="1"/>
  <c r="E3514" i="1"/>
  <c r="F3514" i="1"/>
  <c r="G3514" i="1"/>
  <c r="H3514" i="1"/>
  <c r="I3514" i="1"/>
  <c r="J3514" i="1"/>
  <c r="K3514" i="1"/>
  <c r="L3514" i="1"/>
  <c r="A3515" i="1"/>
  <c r="B3515" i="1"/>
  <c r="C3515" i="1"/>
  <c r="D3515" i="1"/>
  <c r="E3515" i="1"/>
  <c r="F3515" i="1"/>
  <c r="G3515" i="1"/>
  <c r="H3515" i="1"/>
  <c r="I3515" i="1"/>
  <c r="J3515" i="1"/>
  <c r="K3515" i="1"/>
  <c r="L3515" i="1"/>
  <c r="A3516" i="1"/>
  <c r="B3516" i="1"/>
  <c r="C3516" i="1"/>
  <c r="D3516" i="1"/>
  <c r="E3516" i="1"/>
  <c r="F3516" i="1"/>
  <c r="G3516" i="1"/>
  <c r="H3516" i="1"/>
  <c r="I3516" i="1"/>
  <c r="J3516" i="1"/>
  <c r="K3516" i="1"/>
  <c r="L3516" i="1"/>
  <c r="A3517" i="1"/>
  <c r="B3517" i="1"/>
  <c r="C3517" i="1"/>
  <c r="D3517" i="1"/>
  <c r="E3517" i="1"/>
  <c r="F3517" i="1"/>
  <c r="G3517" i="1"/>
  <c r="H3517" i="1"/>
  <c r="I3517" i="1"/>
  <c r="J3517" i="1"/>
  <c r="K3517" i="1"/>
  <c r="L3517" i="1"/>
  <c r="A3518" i="1"/>
  <c r="B3518" i="1"/>
  <c r="C3518" i="1"/>
  <c r="D3518" i="1"/>
  <c r="E3518" i="1"/>
  <c r="F3518" i="1"/>
  <c r="G3518" i="1"/>
  <c r="H3518" i="1"/>
  <c r="I3518" i="1"/>
  <c r="J3518" i="1"/>
  <c r="K3518" i="1"/>
  <c r="L3518" i="1"/>
  <c r="A3519" i="1"/>
  <c r="B3519" i="1"/>
  <c r="C3519" i="1"/>
  <c r="D3519" i="1"/>
  <c r="E3519" i="1"/>
  <c r="F3519" i="1"/>
  <c r="G3519" i="1"/>
  <c r="H3519" i="1"/>
  <c r="I3519" i="1"/>
  <c r="J3519" i="1"/>
  <c r="K3519" i="1"/>
  <c r="L3519" i="1"/>
  <c r="A3520" i="1"/>
  <c r="B3520" i="1"/>
  <c r="C3520" i="1"/>
  <c r="D3520" i="1"/>
  <c r="E3520" i="1"/>
  <c r="F3520" i="1"/>
  <c r="G3520" i="1"/>
  <c r="H3520" i="1"/>
  <c r="I3520" i="1"/>
  <c r="J3520" i="1"/>
  <c r="K3520" i="1"/>
  <c r="L3520" i="1"/>
  <c r="A3521" i="1"/>
  <c r="B3521" i="1"/>
  <c r="C3521" i="1"/>
  <c r="D3521" i="1"/>
  <c r="E3521" i="1"/>
  <c r="F3521" i="1"/>
  <c r="G3521" i="1"/>
  <c r="H3521" i="1"/>
  <c r="I3521" i="1"/>
  <c r="J3521" i="1"/>
  <c r="K3521" i="1"/>
  <c r="L3521" i="1"/>
  <c r="A3522" i="1"/>
  <c r="B3522" i="1"/>
  <c r="C3522" i="1"/>
  <c r="D3522" i="1"/>
  <c r="E3522" i="1"/>
  <c r="F3522" i="1"/>
  <c r="G3522" i="1"/>
  <c r="H3522" i="1"/>
  <c r="I3522" i="1"/>
  <c r="J3522" i="1"/>
  <c r="K3522" i="1"/>
  <c r="L3522" i="1"/>
  <c r="A3523" i="1"/>
  <c r="B3523" i="1"/>
  <c r="C3523" i="1"/>
  <c r="D3523" i="1"/>
  <c r="E3523" i="1"/>
  <c r="F3523" i="1"/>
  <c r="G3523" i="1"/>
  <c r="H3523" i="1"/>
  <c r="I3523" i="1"/>
  <c r="J3523" i="1"/>
  <c r="K3523" i="1"/>
  <c r="L3523" i="1"/>
  <c r="A3524" i="1"/>
  <c r="B3524" i="1"/>
  <c r="C3524" i="1"/>
  <c r="D3524" i="1"/>
  <c r="E3524" i="1"/>
  <c r="F3524" i="1"/>
  <c r="G3524" i="1"/>
  <c r="H3524" i="1"/>
  <c r="I3524" i="1"/>
  <c r="J3524" i="1"/>
  <c r="K3524" i="1"/>
  <c r="L3524" i="1"/>
  <c r="A3525" i="1"/>
  <c r="B3525" i="1"/>
  <c r="C3525" i="1"/>
  <c r="D3525" i="1"/>
  <c r="E3525" i="1"/>
  <c r="F3525" i="1"/>
  <c r="G3525" i="1"/>
  <c r="H3525" i="1"/>
  <c r="I3525" i="1"/>
  <c r="J3525" i="1"/>
  <c r="K3525" i="1"/>
  <c r="L3525" i="1"/>
  <c r="A3526" i="1"/>
  <c r="B3526" i="1"/>
  <c r="C3526" i="1"/>
  <c r="D3526" i="1"/>
  <c r="E3526" i="1"/>
  <c r="F3526" i="1"/>
  <c r="G3526" i="1"/>
  <c r="H3526" i="1"/>
  <c r="I3526" i="1"/>
  <c r="J3526" i="1"/>
  <c r="K3526" i="1"/>
  <c r="L3526" i="1"/>
  <c r="A3527" i="1"/>
  <c r="B3527" i="1"/>
  <c r="C3527" i="1"/>
  <c r="D3527" i="1"/>
  <c r="E3527" i="1"/>
  <c r="F3527" i="1"/>
  <c r="G3527" i="1"/>
  <c r="H3527" i="1"/>
  <c r="I3527" i="1"/>
  <c r="J3527" i="1"/>
  <c r="K3527" i="1"/>
  <c r="L3527" i="1"/>
  <c r="A3528" i="1"/>
  <c r="B3528" i="1"/>
  <c r="C3528" i="1"/>
  <c r="D3528" i="1"/>
  <c r="E3528" i="1"/>
  <c r="F3528" i="1"/>
  <c r="G3528" i="1"/>
  <c r="H3528" i="1"/>
  <c r="I3528" i="1"/>
  <c r="J3528" i="1"/>
  <c r="K3528" i="1"/>
  <c r="L3528" i="1"/>
  <c r="A3529" i="1"/>
  <c r="B3529" i="1"/>
  <c r="C3529" i="1"/>
  <c r="D3529" i="1"/>
  <c r="E3529" i="1"/>
  <c r="F3529" i="1"/>
  <c r="G3529" i="1"/>
  <c r="H3529" i="1"/>
  <c r="I3529" i="1"/>
  <c r="J3529" i="1"/>
  <c r="K3529" i="1"/>
  <c r="L3529" i="1"/>
  <c r="A3530" i="1"/>
  <c r="B3530" i="1"/>
  <c r="C3530" i="1"/>
  <c r="D3530" i="1"/>
  <c r="E3530" i="1"/>
  <c r="F3530" i="1"/>
  <c r="G3530" i="1"/>
  <c r="H3530" i="1"/>
  <c r="I3530" i="1"/>
  <c r="J3530" i="1"/>
  <c r="K3530" i="1"/>
  <c r="L3530" i="1"/>
  <c r="A3531" i="1"/>
  <c r="B3531" i="1"/>
  <c r="C3531" i="1"/>
  <c r="D3531" i="1"/>
  <c r="E3531" i="1"/>
  <c r="F3531" i="1"/>
  <c r="G3531" i="1"/>
  <c r="H3531" i="1"/>
  <c r="I3531" i="1"/>
  <c r="J3531" i="1"/>
  <c r="K3531" i="1"/>
  <c r="L3531" i="1"/>
  <c r="A3532" i="1"/>
  <c r="B3532" i="1"/>
  <c r="C3532" i="1"/>
  <c r="D3532" i="1"/>
  <c r="E3532" i="1"/>
  <c r="F3532" i="1"/>
  <c r="G3532" i="1"/>
  <c r="H3532" i="1"/>
  <c r="I3532" i="1"/>
  <c r="J3532" i="1"/>
  <c r="K3532" i="1"/>
  <c r="L3532" i="1"/>
  <c r="A3533" i="1"/>
  <c r="B3533" i="1"/>
  <c r="C3533" i="1"/>
  <c r="D3533" i="1"/>
  <c r="E3533" i="1"/>
  <c r="F3533" i="1"/>
  <c r="G3533" i="1"/>
  <c r="H3533" i="1"/>
  <c r="I3533" i="1"/>
  <c r="J3533" i="1"/>
  <c r="K3533" i="1"/>
  <c r="L3533" i="1"/>
  <c r="A3534" i="1"/>
  <c r="B3534" i="1"/>
  <c r="C3534" i="1"/>
  <c r="D3534" i="1"/>
  <c r="E3534" i="1"/>
  <c r="F3534" i="1"/>
  <c r="G3534" i="1"/>
  <c r="H3534" i="1"/>
  <c r="I3534" i="1"/>
  <c r="J3534" i="1"/>
  <c r="K3534" i="1"/>
  <c r="L3534" i="1"/>
  <c r="A3535" i="1"/>
  <c r="B3535" i="1"/>
  <c r="C3535" i="1"/>
  <c r="D3535" i="1"/>
  <c r="E3535" i="1"/>
  <c r="F3535" i="1"/>
  <c r="G3535" i="1"/>
  <c r="H3535" i="1"/>
  <c r="I3535" i="1"/>
  <c r="J3535" i="1"/>
  <c r="K3535" i="1"/>
  <c r="L3535" i="1"/>
  <c r="A3536" i="1"/>
  <c r="B3536" i="1"/>
  <c r="C3536" i="1"/>
  <c r="D3536" i="1"/>
  <c r="E3536" i="1"/>
  <c r="F3536" i="1"/>
  <c r="G3536" i="1"/>
  <c r="H3536" i="1"/>
  <c r="I3536" i="1"/>
  <c r="J3536" i="1"/>
  <c r="K3536" i="1"/>
  <c r="L3536" i="1"/>
  <c r="A3537" i="1"/>
  <c r="B3537" i="1"/>
  <c r="C3537" i="1"/>
  <c r="D3537" i="1"/>
  <c r="E3537" i="1"/>
  <c r="F3537" i="1"/>
  <c r="G3537" i="1"/>
  <c r="H3537" i="1"/>
  <c r="I3537" i="1"/>
  <c r="J3537" i="1"/>
  <c r="K3537" i="1"/>
  <c r="L3537" i="1"/>
  <c r="A3538" i="1"/>
  <c r="B3538" i="1"/>
  <c r="C3538" i="1"/>
  <c r="D3538" i="1"/>
  <c r="E3538" i="1"/>
  <c r="F3538" i="1"/>
  <c r="G3538" i="1"/>
  <c r="H3538" i="1"/>
  <c r="I3538" i="1"/>
  <c r="J3538" i="1"/>
  <c r="K3538" i="1"/>
  <c r="L3538" i="1"/>
  <c r="A3539" i="1"/>
  <c r="B3539" i="1"/>
  <c r="C3539" i="1"/>
  <c r="D3539" i="1"/>
  <c r="E3539" i="1"/>
  <c r="F3539" i="1"/>
  <c r="G3539" i="1"/>
  <c r="H3539" i="1"/>
  <c r="I3539" i="1"/>
  <c r="J3539" i="1"/>
  <c r="K3539" i="1"/>
  <c r="L3539" i="1"/>
  <c r="A3540" i="1"/>
  <c r="B3540" i="1"/>
  <c r="C3540" i="1"/>
  <c r="D3540" i="1"/>
  <c r="E3540" i="1"/>
  <c r="F3540" i="1"/>
  <c r="G3540" i="1"/>
  <c r="H3540" i="1"/>
  <c r="I3540" i="1"/>
  <c r="J3540" i="1"/>
  <c r="K3540" i="1"/>
  <c r="L3540" i="1"/>
  <c r="A3541" i="1"/>
  <c r="B3541" i="1"/>
  <c r="C3541" i="1"/>
  <c r="D3541" i="1"/>
  <c r="E3541" i="1"/>
  <c r="F3541" i="1"/>
  <c r="G3541" i="1"/>
  <c r="H3541" i="1"/>
  <c r="I3541" i="1"/>
  <c r="J3541" i="1"/>
  <c r="K3541" i="1"/>
  <c r="L3541" i="1"/>
  <c r="A3542" i="1"/>
  <c r="B3542" i="1"/>
  <c r="C3542" i="1"/>
  <c r="D3542" i="1"/>
  <c r="E3542" i="1"/>
  <c r="F3542" i="1"/>
  <c r="G3542" i="1"/>
  <c r="H3542" i="1"/>
  <c r="I3542" i="1"/>
  <c r="J3542" i="1"/>
  <c r="K3542" i="1"/>
  <c r="L3542" i="1"/>
  <c r="A3543" i="1"/>
  <c r="B3543" i="1"/>
  <c r="C3543" i="1"/>
  <c r="D3543" i="1"/>
  <c r="E3543" i="1"/>
  <c r="F3543" i="1"/>
  <c r="G3543" i="1"/>
  <c r="H3543" i="1"/>
  <c r="I3543" i="1"/>
  <c r="J3543" i="1"/>
  <c r="K3543" i="1"/>
  <c r="L3543" i="1"/>
  <c r="A3544" i="1"/>
  <c r="B3544" i="1"/>
  <c r="C3544" i="1"/>
  <c r="D3544" i="1"/>
  <c r="E3544" i="1"/>
  <c r="F3544" i="1"/>
  <c r="G3544" i="1"/>
  <c r="H3544" i="1"/>
  <c r="I3544" i="1"/>
  <c r="J3544" i="1"/>
  <c r="K3544" i="1"/>
  <c r="L3544" i="1"/>
  <c r="A3545" i="1"/>
  <c r="B3545" i="1"/>
  <c r="C3545" i="1"/>
  <c r="D3545" i="1"/>
  <c r="E3545" i="1"/>
  <c r="F3545" i="1"/>
  <c r="G3545" i="1"/>
  <c r="H3545" i="1"/>
  <c r="I3545" i="1"/>
  <c r="J3545" i="1"/>
  <c r="K3545" i="1"/>
  <c r="L3545" i="1"/>
  <c r="A3546" i="1"/>
  <c r="B3546" i="1"/>
  <c r="C3546" i="1"/>
  <c r="D3546" i="1"/>
  <c r="E3546" i="1"/>
  <c r="F3546" i="1"/>
  <c r="G3546" i="1"/>
  <c r="H3546" i="1"/>
  <c r="I3546" i="1"/>
  <c r="J3546" i="1"/>
  <c r="K3546" i="1"/>
  <c r="L3546" i="1"/>
  <c r="A3547" i="1"/>
  <c r="B3547" i="1"/>
  <c r="C3547" i="1"/>
  <c r="D3547" i="1"/>
  <c r="E3547" i="1"/>
  <c r="F3547" i="1"/>
  <c r="G3547" i="1"/>
  <c r="H3547" i="1"/>
  <c r="I3547" i="1"/>
  <c r="J3547" i="1"/>
  <c r="K3547" i="1"/>
  <c r="L3547" i="1"/>
  <c r="A3548" i="1"/>
  <c r="B3548" i="1"/>
  <c r="C3548" i="1"/>
  <c r="D3548" i="1"/>
  <c r="E3548" i="1"/>
  <c r="F3548" i="1"/>
  <c r="G3548" i="1"/>
  <c r="H3548" i="1"/>
  <c r="I3548" i="1"/>
  <c r="J3548" i="1"/>
  <c r="K3548" i="1"/>
  <c r="L3548" i="1"/>
  <c r="A3549" i="1"/>
  <c r="B3549" i="1"/>
  <c r="C3549" i="1"/>
  <c r="D3549" i="1"/>
  <c r="E3549" i="1"/>
  <c r="F3549" i="1"/>
  <c r="G3549" i="1"/>
  <c r="H3549" i="1"/>
  <c r="I3549" i="1"/>
  <c r="J3549" i="1"/>
  <c r="K3549" i="1"/>
  <c r="L3549" i="1"/>
  <c r="A3550" i="1"/>
  <c r="B3550" i="1"/>
  <c r="C3550" i="1"/>
  <c r="D3550" i="1"/>
  <c r="E3550" i="1"/>
  <c r="F3550" i="1"/>
  <c r="G3550" i="1"/>
  <c r="H3550" i="1"/>
  <c r="I3550" i="1"/>
  <c r="J3550" i="1"/>
  <c r="K3550" i="1"/>
  <c r="L3550" i="1"/>
  <c r="A3551" i="1"/>
  <c r="B3551" i="1"/>
  <c r="C3551" i="1"/>
  <c r="D3551" i="1"/>
  <c r="E3551" i="1"/>
  <c r="F3551" i="1"/>
  <c r="G3551" i="1"/>
  <c r="H3551" i="1"/>
  <c r="I3551" i="1"/>
  <c r="J3551" i="1"/>
  <c r="K3551" i="1"/>
  <c r="L3551" i="1"/>
  <c r="A3552" i="1"/>
  <c r="B3552" i="1"/>
  <c r="C3552" i="1"/>
  <c r="D3552" i="1"/>
  <c r="E3552" i="1"/>
  <c r="F3552" i="1"/>
  <c r="G3552" i="1"/>
  <c r="H3552" i="1"/>
  <c r="I3552" i="1"/>
  <c r="J3552" i="1"/>
  <c r="K3552" i="1"/>
  <c r="L3552" i="1"/>
  <c r="A3553" i="1"/>
  <c r="B3553" i="1"/>
  <c r="C3553" i="1"/>
  <c r="D3553" i="1"/>
  <c r="E3553" i="1"/>
  <c r="F3553" i="1"/>
  <c r="G3553" i="1"/>
  <c r="H3553" i="1"/>
  <c r="I3553" i="1"/>
  <c r="J3553" i="1"/>
  <c r="K3553" i="1"/>
  <c r="L3553" i="1"/>
  <c r="A3554" i="1"/>
  <c r="B3554" i="1"/>
  <c r="C3554" i="1"/>
  <c r="D3554" i="1"/>
  <c r="E3554" i="1"/>
  <c r="F3554" i="1"/>
  <c r="G3554" i="1"/>
  <c r="H3554" i="1"/>
  <c r="I3554" i="1"/>
  <c r="J3554" i="1"/>
  <c r="K3554" i="1"/>
  <c r="L3554" i="1"/>
  <c r="A3555" i="1"/>
  <c r="B3555" i="1"/>
  <c r="C3555" i="1"/>
  <c r="D3555" i="1"/>
  <c r="E3555" i="1"/>
  <c r="F3555" i="1"/>
  <c r="G3555" i="1"/>
  <c r="H3555" i="1"/>
  <c r="I3555" i="1"/>
  <c r="J3555" i="1"/>
  <c r="K3555" i="1"/>
  <c r="L3555" i="1"/>
  <c r="A3556" i="1"/>
  <c r="B3556" i="1"/>
  <c r="C3556" i="1"/>
  <c r="D3556" i="1"/>
  <c r="E3556" i="1"/>
  <c r="F3556" i="1"/>
  <c r="G3556" i="1"/>
  <c r="H3556" i="1"/>
  <c r="I3556" i="1"/>
  <c r="J3556" i="1"/>
  <c r="K3556" i="1"/>
  <c r="L3556" i="1"/>
  <c r="A3557" i="1"/>
  <c r="B3557" i="1"/>
  <c r="C3557" i="1"/>
  <c r="D3557" i="1"/>
  <c r="E3557" i="1"/>
  <c r="F3557" i="1"/>
  <c r="G3557" i="1"/>
  <c r="H3557" i="1"/>
  <c r="I3557" i="1"/>
  <c r="J3557" i="1"/>
  <c r="K3557" i="1"/>
  <c r="L3557" i="1"/>
  <c r="A3558" i="1"/>
  <c r="B3558" i="1"/>
  <c r="C3558" i="1"/>
  <c r="D3558" i="1"/>
  <c r="E3558" i="1"/>
  <c r="F3558" i="1"/>
  <c r="G3558" i="1"/>
  <c r="H3558" i="1"/>
  <c r="I3558" i="1"/>
  <c r="J3558" i="1"/>
  <c r="K3558" i="1"/>
  <c r="L3558" i="1"/>
  <c r="A3559" i="1"/>
  <c r="B3559" i="1"/>
  <c r="C3559" i="1"/>
  <c r="D3559" i="1"/>
  <c r="E3559" i="1"/>
  <c r="F3559" i="1"/>
  <c r="G3559" i="1"/>
  <c r="H3559" i="1"/>
  <c r="I3559" i="1"/>
  <c r="J3559" i="1"/>
  <c r="K3559" i="1"/>
  <c r="L3559" i="1"/>
  <c r="A3560" i="1"/>
  <c r="B3560" i="1"/>
  <c r="C3560" i="1"/>
  <c r="D3560" i="1"/>
  <c r="E3560" i="1"/>
  <c r="F3560" i="1"/>
  <c r="G3560" i="1"/>
  <c r="H3560" i="1"/>
  <c r="I3560" i="1"/>
  <c r="J3560" i="1"/>
  <c r="K3560" i="1"/>
  <c r="L3560" i="1"/>
  <c r="A3561" i="1"/>
  <c r="B3561" i="1"/>
  <c r="C3561" i="1"/>
  <c r="D3561" i="1"/>
  <c r="E3561" i="1"/>
  <c r="F3561" i="1"/>
  <c r="G3561" i="1"/>
  <c r="H3561" i="1"/>
  <c r="I3561" i="1"/>
  <c r="J3561" i="1"/>
  <c r="K3561" i="1"/>
  <c r="L3561" i="1"/>
  <c r="A3562" i="1"/>
  <c r="B3562" i="1"/>
  <c r="C3562" i="1"/>
  <c r="D3562" i="1"/>
  <c r="E3562" i="1"/>
  <c r="F3562" i="1"/>
  <c r="G3562" i="1"/>
  <c r="H3562" i="1"/>
  <c r="I3562" i="1"/>
  <c r="J3562" i="1"/>
  <c r="K3562" i="1"/>
  <c r="L3562" i="1"/>
  <c r="A3563" i="1"/>
  <c r="B3563" i="1"/>
  <c r="C3563" i="1"/>
  <c r="D3563" i="1"/>
  <c r="E3563" i="1"/>
  <c r="F3563" i="1"/>
  <c r="G3563" i="1"/>
  <c r="H3563" i="1"/>
  <c r="I3563" i="1"/>
  <c r="J3563" i="1"/>
  <c r="K3563" i="1"/>
  <c r="L3563" i="1"/>
  <c r="A3564" i="1"/>
  <c r="B3564" i="1"/>
  <c r="C3564" i="1"/>
  <c r="D3564" i="1"/>
  <c r="E3564" i="1"/>
  <c r="F3564" i="1"/>
  <c r="G3564" i="1"/>
  <c r="H3564" i="1"/>
  <c r="I3564" i="1"/>
  <c r="J3564" i="1"/>
  <c r="K3564" i="1"/>
  <c r="L3564" i="1"/>
  <c r="A3565" i="1"/>
  <c r="B3565" i="1"/>
  <c r="C3565" i="1"/>
  <c r="D3565" i="1"/>
  <c r="E3565" i="1"/>
  <c r="F3565" i="1"/>
  <c r="G3565" i="1"/>
  <c r="H3565" i="1"/>
  <c r="I3565" i="1"/>
  <c r="J3565" i="1"/>
  <c r="K3565" i="1"/>
  <c r="L3565" i="1"/>
  <c r="A3566" i="1"/>
  <c r="B3566" i="1"/>
  <c r="C3566" i="1"/>
  <c r="D3566" i="1"/>
  <c r="E3566" i="1"/>
  <c r="F3566" i="1"/>
  <c r="G3566" i="1"/>
  <c r="H3566" i="1"/>
  <c r="I3566" i="1"/>
  <c r="J3566" i="1"/>
  <c r="K3566" i="1"/>
  <c r="L3566" i="1"/>
  <c r="A3567" i="1"/>
  <c r="B3567" i="1"/>
  <c r="C3567" i="1"/>
  <c r="D3567" i="1"/>
  <c r="E3567" i="1"/>
  <c r="F3567" i="1"/>
  <c r="G3567" i="1"/>
  <c r="H3567" i="1"/>
  <c r="I3567" i="1"/>
  <c r="J3567" i="1"/>
  <c r="K3567" i="1"/>
  <c r="L3567" i="1"/>
  <c r="A3568" i="1"/>
  <c r="B3568" i="1"/>
  <c r="C3568" i="1"/>
  <c r="D3568" i="1"/>
  <c r="E3568" i="1"/>
  <c r="F3568" i="1"/>
  <c r="G3568" i="1"/>
  <c r="H3568" i="1"/>
  <c r="I3568" i="1"/>
  <c r="J3568" i="1"/>
  <c r="K3568" i="1"/>
  <c r="L3568" i="1"/>
  <c r="A3569" i="1"/>
  <c r="B3569" i="1"/>
  <c r="C3569" i="1"/>
  <c r="D3569" i="1"/>
  <c r="E3569" i="1"/>
  <c r="F3569" i="1"/>
  <c r="G3569" i="1"/>
  <c r="H3569" i="1"/>
  <c r="I3569" i="1"/>
  <c r="J3569" i="1"/>
  <c r="K3569" i="1"/>
  <c r="L3569" i="1"/>
  <c r="A3570" i="1"/>
  <c r="B3570" i="1"/>
  <c r="C3570" i="1"/>
  <c r="D3570" i="1"/>
  <c r="E3570" i="1"/>
  <c r="F3570" i="1"/>
  <c r="G3570" i="1"/>
  <c r="H3570" i="1"/>
  <c r="I3570" i="1"/>
  <c r="J3570" i="1"/>
  <c r="K3570" i="1"/>
  <c r="L3570" i="1"/>
  <c r="A3571" i="1"/>
  <c r="B3571" i="1"/>
  <c r="C3571" i="1"/>
  <c r="D3571" i="1"/>
  <c r="E3571" i="1"/>
  <c r="F3571" i="1"/>
  <c r="G3571" i="1"/>
  <c r="H3571" i="1"/>
  <c r="I3571" i="1"/>
  <c r="J3571" i="1"/>
  <c r="K3571" i="1"/>
  <c r="L3571" i="1"/>
  <c r="A3572" i="1"/>
  <c r="B3572" i="1"/>
  <c r="C3572" i="1"/>
  <c r="D3572" i="1"/>
  <c r="E3572" i="1"/>
  <c r="F3572" i="1"/>
  <c r="G3572" i="1"/>
  <c r="H3572" i="1"/>
  <c r="I3572" i="1"/>
  <c r="J3572" i="1"/>
  <c r="K3572" i="1"/>
  <c r="L3572" i="1"/>
  <c r="A3573" i="1"/>
  <c r="B3573" i="1"/>
  <c r="C3573" i="1"/>
  <c r="D3573" i="1"/>
  <c r="E3573" i="1"/>
  <c r="F3573" i="1"/>
  <c r="G3573" i="1"/>
  <c r="H3573" i="1"/>
  <c r="I3573" i="1"/>
  <c r="J3573" i="1"/>
  <c r="K3573" i="1"/>
  <c r="L3573" i="1"/>
  <c r="A3574" i="1"/>
  <c r="B3574" i="1"/>
  <c r="C3574" i="1"/>
  <c r="D3574" i="1"/>
  <c r="E3574" i="1"/>
  <c r="F3574" i="1"/>
  <c r="G3574" i="1"/>
  <c r="H3574" i="1"/>
  <c r="I3574" i="1"/>
  <c r="J3574" i="1"/>
  <c r="K3574" i="1"/>
  <c r="L3574" i="1"/>
  <c r="A3575" i="1"/>
  <c r="B3575" i="1"/>
  <c r="C3575" i="1"/>
  <c r="D3575" i="1"/>
  <c r="E3575" i="1"/>
  <c r="F3575" i="1"/>
  <c r="G3575" i="1"/>
  <c r="H3575" i="1"/>
  <c r="I3575" i="1"/>
  <c r="J3575" i="1"/>
  <c r="K3575" i="1"/>
  <c r="L3575" i="1"/>
  <c r="A3576" i="1"/>
  <c r="B3576" i="1"/>
  <c r="C3576" i="1"/>
  <c r="D3576" i="1"/>
  <c r="E3576" i="1"/>
  <c r="F3576" i="1"/>
  <c r="G3576" i="1"/>
  <c r="H3576" i="1"/>
  <c r="I3576" i="1"/>
  <c r="J3576" i="1"/>
  <c r="K3576" i="1"/>
  <c r="L3576" i="1"/>
  <c r="A3577" i="1"/>
  <c r="B3577" i="1"/>
  <c r="C3577" i="1"/>
  <c r="D3577" i="1"/>
  <c r="E3577" i="1"/>
  <c r="F3577" i="1"/>
  <c r="G3577" i="1"/>
  <c r="H3577" i="1"/>
  <c r="I3577" i="1"/>
  <c r="J3577" i="1"/>
  <c r="K3577" i="1"/>
  <c r="L3577" i="1"/>
  <c r="A3578" i="1"/>
  <c r="B3578" i="1"/>
  <c r="C3578" i="1"/>
  <c r="D3578" i="1"/>
  <c r="E3578" i="1"/>
  <c r="F3578" i="1"/>
  <c r="G3578" i="1"/>
  <c r="H3578" i="1"/>
  <c r="I3578" i="1"/>
  <c r="J3578" i="1"/>
  <c r="K3578" i="1"/>
  <c r="L3578" i="1"/>
  <c r="A3579" i="1"/>
  <c r="B3579" i="1"/>
  <c r="C3579" i="1"/>
  <c r="D3579" i="1"/>
  <c r="E3579" i="1"/>
  <c r="F3579" i="1"/>
  <c r="G3579" i="1"/>
  <c r="H3579" i="1"/>
  <c r="I3579" i="1"/>
  <c r="J3579" i="1"/>
  <c r="K3579" i="1"/>
  <c r="L3579" i="1"/>
  <c r="A3580" i="1"/>
  <c r="B3580" i="1"/>
  <c r="C3580" i="1"/>
  <c r="D3580" i="1"/>
  <c r="E3580" i="1"/>
  <c r="F3580" i="1"/>
  <c r="G3580" i="1"/>
  <c r="H3580" i="1"/>
  <c r="I3580" i="1"/>
  <c r="J3580" i="1"/>
  <c r="K3580" i="1"/>
  <c r="L3580" i="1"/>
  <c r="A3581" i="1"/>
  <c r="B3581" i="1"/>
  <c r="C3581" i="1"/>
  <c r="D3581" i="1"/>
  <c r="E3581" i="1"/>
  <c r="F3581" i="1"/>
  <c r="G3581" i="1"/>
  <c r="H3581" i="1"/>
  <c r="I3581" i="1"/>
  <c r="J3581" i="1"/>
  <c r="K3581" i="1"/>
  <c r="L3581" i="1"/>
  <c r="A3582" i="1"/>
  <c r="B3582" i="1"/>
  <c r="C3582" i="1"/>
  <c r="D3582" i="1"/>
  <c r="E3582" i="1"/>
  <c r="F3582" i="1"/>
  <c r="G3582" i="1"/>
  <c r="H3582" i="1"/>
  <c r="I3582" i="1"/>
  <c r="J3582" i="1"/>
  <c r="K3582" i="1"/>
  <c r="L3582" i="1"/>
  <c r="A3583" i="1"/>
  <c r="B3583" i="1"/>
  <c r="C3583" i="1"/>
  <c r="D3583" i="1"/>
  <c r="E3583" i="1"/>
  <c r="F3583" i="1"/>
  <c r="G3583" i="1"/>
  <c r="H3583" i="1"/>
  <c r="I3583" i="1"/>
  <c r="J3583" i="1"/>
  <c r="K3583" i="1"/>
  <c r="L3583" i="1"/>
  <c r="A3584" i="1"/>
  <c r="B3584" i="1"/>
  <c r="C3584" i="1"/>
  <c r="D3584" i="1"/>
  <c r="E3584" i="1"/>
  <c r="F3584" i="1"/>
  <c r="G3584" i="1"/>
  <c r="H3584" i="1"/>
  <c r="I3584" i="1"/>
  <c r="J3584" i="1"/>
  <c r="K3584" i="1"/>
  <c r="L3584" i="1"/>
  <c r="A3585" i="1"/>
  <c r="B3585" i="1"/>
  <c r="C3585" i="1"/>
  <c r="D3585" i="1"/>
  <c r="E3585" i="1"/>
  <c r="F3585" i="1"/>
  <c r="G3585" i="1"/>
  <c r="H3585" i="1"/>
  <c r="I3585" i="1"/>
  <c r="J3585" i="1"/>
  <c r="K3585" i="1"/>
  <c r="L3585" i="1"/>
  <c r="A3586" i="1"/>
  <c r="B3586" i="1"/>
  <c r="C3586" i="1"/>
  <c r="D3586" i="1"/>
  <c r="E3586" i="1"/>
  <c r="F3586" i="1"/>
  <c r="G3586" i="1"/>
  <c r="H3586" i="1"/>
  <c r="I3586" i="1"/>
  <c r="J3586" i="1"/>
  <c r="K3586" i="1"/>
  <c r="L3586" i="1"/>
  <c r="A3587" i="1"/>
  <c r="B3587" i="1"/>
  <c r="C3587" i="1"/>
  <c r="D3587" i="1"/>
  <c r="E3587" i="1"/>
  <c r="F3587" i="1"/>
  <c r="G3587" i="1"/>
  <c r="H3587" i="1"/>
  <c r="I3587" i="1"/>
  <c r="J3587" i="1"/>
  <c r="K3587" i="1"/>
  <c r="L3587" i="1"/>
  <c r="A3588" i="1"/>
  <c r="B3588" i="1"/>
  <c r="C3588" i="1"/>
  <c r="D3588" i="1"/>
  <c r="E3588" i="1"/>
  <c r="F3588" i="1"/>
  <c r="G3588" i="1"/>
  <c r="H3588" i="1"/>
  <c r="I3588" i="1"/>
  <c r="J3588" i="1"/>
  <c r="K3588" i="1"/>
  <c r="L3588" i="1"/>
  <c r="A3589" i="1"/>
  <c r="B3589" i="1"/>
  <c r="C3589" i="1"/>
  <c r="D3589" i="1"/>
  <c r="E3589" i="1"/>
  <c r="F3589" i="1"/>
  <c r="G3589" i="1"/>
  <c r="H3589" i="1"/>
  <c r="I3589" i="1"/>
  <c r="J3589" i="1"/>
  <c r="K3589" i="1"/>
  <c r="L3589" i="1"/>
  <c r="A3590" i="1"/>
  <c r="B3590" i="1"/>
  <c r="C3590" i="1"/>
  <c r="D3590" i="1"/>
  <c r="E3590" i="1"/>
  <c r="F3590" i="1"/>
  <c r="G3590" i="1"/>
  <c r="H3590" i="1"/>
  <c r="I3590" i="1"/>
  <c r="J3590" i="1"/>
  <c r="K3590" i="1"/>
  <c r="L3590" i="1"/>
  <c r="A3591" i="1"/>
  <c r="B3591" i="1"/>
  <c r="C3591" i="1"/>
  <c r="D3591" i="1"/>
  <c r="E3591" i="1"/>
  <c r="F3591" i="1"/>
  <c r="G3591" i="1"/>
  <c r="H3591" i="1"/>
  <c r="I3591" i="1"/>
  <c r="J3591" i="1"/>
  <c r="K3591" i="1"/>
  <c r="L3591" i="1"/>
  <c r="A3592" i="1"/>
  <c r="B3592" i="1"/>
  <c r="C3592" i="1"/>
  <c r="D3592" i="1"/>
  <c r="E3592" i="1"/>
  <c r="F3592" i="1"/>
  <c r="G3592" i="1"/>
  <c r="H3592" i="1"/>
  <c r="I3592" i="1"/>
  <c r="J3592" i="1"/>
  <c r="K3592" i="1"/>
  <c r="L3592" i="1"/>
  <c r="A3593" i="1"/>
  <c r="B3593" i="1"/>
  <c r="C3593" i="1"/>
  <c r="D3593" i="1"/>
  <c r="E3593" i="1"/>
  <c r="F3593" i="1"/>
  <c r="G3593" i="1"/>
  <c r="H3593" i="1"/>
  <c r="I3593" i="1"/>
  <c r="J3593" i="1"/>
  <c r="K3593" i="1"/>
  <c r="L3593" i="1"/>
  <c r="A3594" i="1"/>
  <c r="B3594" i="1"/>
  <c r="C3594" i="1"/>
  <c r="D3594" i="1"/>
  <c r="E3594" i="1"/>
  <c r="F3594" i="1"/>
  <c r="G3594" i="1"/>
  <c r="H3594" i="1"/>
  <c r="I3594" i="1"/>
  <c r="J3594" i="1"/>
  <c r="K3594" i="1"/>
  <c r="L3594" i="1"/>
  <c r="A3595" i="1"/>
  <c r="B3595" i="1"/>
  <c r="C3595" i="1"/>
  <c r="D3595" i="1"/>
  <c r="E3595" i="1"/>
  <c r="F3595" i="1"/>
  <c r="G3595" i="1"/>
  <c r="H3595" i="1"/>
  <c r="I3595" i="1"/>
  <c r="J3595" i="1"/>
  <c r="K3595" i="1"/>
  <c r="L3595" i="1"/>
  <c r="A3596" i="1"/>
  <c r="B3596" i="1"/>
  <c r="C3596" i="1"/>
  <c r="D3596" i="1"/>
  <c r="E3596" i="1"/>
  <c r="F3596" i="1"/>
  <c r="G3596" i="1"/>
  <c r="H3596" i="1"/>
  <c r="I3596" i="1"/>
  <c r="J3596" i="1"/>
  <c r="K3596" i="1"/>
  <c r="L3596" i="1"/>
  <c r="A3597" i="1"/>
  <c r="B3597" i="1"/>
  <c r="C3597" i="1"/>
  <c r="D3597" i="1"/>
  <c r="E3597" i="1"/>
  <c r="F3597" i="1"/>
  <c r="G3597" i="1"/>
  <c r="H3597" i="1"/>
  <c r="I3597" i="1"/>
  <c r="J3597" i="1"/>
  <c r="K3597" i="1"/>
  <c r="L3597" i="1"/>
  <c r="A3598" i="1"/>
  <c r="B3598" i="1"/>
  <c r="C3598" i="1"/>
  <c r="D3598" i="1"/>
  <c r="E3598" i="1"/>
  <c r="F3598" i="1"/>
  <c r="G3598" i="1"/>
  <c r="H3598" i="1"/>
  <c r="I3598" i="1"/>
  <c r="J3598" i="1"/>
  <c r="K3598" i="1"/>
  <c r="L3598" i="1"/>
  <c r="A3599" i="1"/>
  <c r="B3599" i="1"/>
  <c r="C3599" i="1"/>
  <c r="D3599" i="1"/>
  <c r="E3599" i="1"/>
  <c r="F3599" i="1"/>
  <c r="G3599" i="1"/>
  <c r="H3599" i="1"/>
  <c r="I3599" i="1"/>
  <c r="J3599" i="1"/>
  <c r="K3599" i="1"/>
  <c r="L3599" i="1"/>
  <c r="A3600" i="1"/>
  <c r="B3600" i="1"/>
  <c r="C3600" i="1"/>
  <c r="D3600" i="1"/>
  <c r="E3600" i="1"/>
  <c r="F3600" i="1"/>
  <c r="G3600" i="1"/>
  <c r="H3600" i="1"/>
  <c r="I3600" i="1"/>
  <c r="J3600" i="1"/>
  <c r="K3600" i="1"/>
  <c r="L3600" i="1"/>
  <c r="A3601" i="1"/>
  <c r="B3601" i="1"/>
  <c r="C3601" i="1"/>
  <c r="D3601" i="1"/>
  <c r="E3601" i="1"/>
  <c r="F3601" i="1"/>
  <c r="G3601" i="1"/>
  <c r="H3601" i="1"/>
  <c r="I3601" i="1"/>
  <c r="J3601" i="1"/>
  <c r="K3601" i="1"/>
  <c r="L3601" i="1"/>
  <c r="A3602" i="1"/>
  <c r="B3602" i="1"/>
  <c r="C3602" i="1"/>
  <c r="D3602" i="1"/>
  <c r="E3602" i="1"/>
  <c r="F3602" i="1"/>
  <c r="G3602" i="1"/>
  <c r="H3602" i="1"/>
  <c r="I3602" i="1"/>
  <c r="J3602" i="1"/>
  <c r="K3602" i="1"/>
  <c r="L3602" i="1"/>
  <c r="A3603" i="1"/>
  <c r="B3603" i="1"/>
  <c r="C3603" i="1"/>
  <c r="D3603" i="1"/>
  <c r="E3603" i="1"/>
  <c r="F3603" i="1"/>
  <c r="G3603" i="1"/>
  <c r="H3603" i="1"/>
  <c r="I3603" i="1"/>
  <c r="J3603" i="1"/>
  <c r="K3603" i="1"/>
  <c r="L3603" i="1"/>
  <c r="A3604" i="1"/>
  <c r="B3604" i="1"/>
  <c r="C3604" i="1"/>
  <c r="D3604" i="1"/>
  <c r="E3604" i="1"/>
  <c r="F3604" i="1"/>
  <c r="G3604" i="1"/>
  <c r="H3604" i="1"/>
  <c r="I3604" i="1"/>
  <c r="J3604" i="1"/>
  <c r="K3604" i="1"/>
  <c r="L3604" i="1"/>
  <c r="A3605" i="1"/>
  <c r="B3605" i="1"/>
  <c r="C3605" i="1"/>
  <c r="D3605" i="1"/>
  <c r="E3605" i="1"/>
  <c r="F3605" i="1"/>
  <c r="G3605" i="1"/>
  <c r="H3605" i="1"/>
  <c r="I3605" i="1"/>
  <c r="J3605" i="1"/>
  <c r="K3605" i="1"/>
  <c r="L3605" i="1"/>
  <c r="A3606" i="1"/>
  <c r="B3606" i="1"/>
  <c r="C3606" i="1"/>
  <c r="D3606" i="1"/>
  <c r="E3606" i="1"/>
  <c r="F3606" i="1"/>
  <c r="G3606" i="1"/>
  <c r="H3606" i="1"/>
  <c r="I3606" i="1"/>
  <c r="J3606" i="1"/>
  <c r="K3606" i="1"/>
  <c r="L3606" i="1"/>
  <c r="A3607" i="1"/>
  <c r="B3607" i="1"/>
  <c r="C3607" i="1"/>
  <c r="D3607" i="1"/>
  <c r="E3607" i="1"/>
  <c r="F3607" i="1"/>
  <c r="G3607" i="1"/>
  <c r="H3607" i="1"/>
  <c r="I3607" i="1"/>
  <c r="J3607" i="1"/>
  <c r="K3607" i="1"/>
  <c r="L3607" i="1"/>
  <c r="A3608" i="1"/>
  <c r="B3608" i="1"/>
  <c r="C3608" i="1"/>
  <c r="D3608" i="1"/>
  <c r="E3608" i="1"/>
  <c r="F3608" i="1"/>
  <c r="G3608" i="1"/>
  <c r="H3608" i="1"/>
  <c r="I3608" i="1"/>
  <c r="J3608" i="1"/>
  <c r="K3608" i="1"/>
  <c r="L3608" i="1"/>
  <c r="A3609" i="1"/>
  <c r="B3609" i="1"/>
  <c r="C3609" i="1"/>
  <c r="D3609" i="1"/>
  <c r="E3609" i="1"/>
  <c r="F3609" i="1"/>
  <c r="G3609" i="1"/>
  <c r="H3609" i="1"/>
  <c r="I3609" i="1"/>
  <c r="J3609" i="1"/>
  <c r="K3609" i="1"/>
  <c r="L3609" i="1"/>
  <c r="A3610" i="1"/>
  <c r="B3610" i="1"/>
  <c r="C3610" i="1"/>
  <c r="D3610" i="1"/>
  <c r="E3610" i="1"/>
  <c r="F3610" i="1"/>
  <c r="G3610" i="1"/>
  <c r="H3610" i="1"/>
  <c r="I3610" i="1"/>
  <c r="J3610" i="1"/>
  <c r="K3610" i="1"/>
  <c r="L3610" i="1"/>
  <c r="A3611" i="1"/>
  <c r="B3611" i="1"/>
  <c r="C3611" i="1"/>
  <c r="D3611" i="1"/>
  <c r="E3611" i="1"/>
  <c r="F3611" i="1"/>
  <c r="G3611" i="1"/>
  <c r="H3611" i="1"/>
  <c r="I3611" i="1"/>
  <c r="J3611" i="1"/>
  <c r="K3611" i="1"/>
  <c r="L3611" i="1"/>
  <c r="A3612" i="1"/>
  <c r="B3612" i="1"/>
  <c r="C3612" i="1"/>
  <c r="D3612" i="1"/>
  <c r="E3612" i="1"/>
  <c r="F3612" i="1"/>
  <c r="G3612" i="1"/>
  <c r="H3612" i="1"/>
  <c r="I3612" i="1"/>
  <c r="J3612" i="1"/>
  <c r="K3612" i="1"/>
  <c r="L3612" i="1"/>
  <c r="A3613" i="1"/>
  <c r="B3613" i="1"/>
  <c r="C3613" i="1"/>
  <c r="D3613" i="1"/>
  <c r="E3613" i="1"/>
  <c r="F3613" i="1"/>
  <c r="G3613" i="1"/>
  <c r="H3613" i="1"/>
  <c r="I3613" i="1"/>
  <c r="J3613" i="1"/>
  <c r="K3613" i="1"/>
  <c r="L3613" i="1"/>
  <c r="A3614" i="1"/>
  <c r="B3614" i="1"/>
  <c r="C3614" i="1"/>
  <c r="D3614" i="1"/>
  <c r="E3614" i="1"/>
  <c r="F3614" i="1"/>
  <c r="G3614" i="1"/>
  <c r="H3614" i="1"/>
  <c r="I3614" i="1"/>
  <c r="J3614" i="1"/>
  <c r="K3614" i="1"/>
  <c r="L3614" i="1"/>
  <c r="A3615" i="1"/>
  <c r="B3615" i="1"/>
  <c r="C3615" i="1"/>
  <c r="D3615" i="1"/>
  <c r="E3615" i="1"/>
  <c r="F3615" i="1"/>
  <c r="G3615" i="1"/>
  <c r="H3615" i="1"/>
  <c r="I3615" i="1"/>
  <c r="J3615" i="1"/>
  <c r="K3615" i="1"/>
  <c r="L3615" i="1"/>
  <c r="A3616" i="1"/>
  <c r="B3616" i="1"/>
  <c r="C3616" i="1"/>
  <c r="D3616" i="1"/>
  <c r="E3616" i="1"/>
  <c r="F3616" i="1"/>
  <c r="G3616" i="1"/>
  <c r="H3616" i="1"/>
  <c r="I3616" i="1"/>
  <c r="J3616" i="1"/>
  <c r="K3616" i="1"/>
  <c r="L3616" i="1"/>
  <c r="A3617" i="1"/>
  <c r="B3617" i="1"/>
  <c r="C3617" i="1"/>
  <c r="D3617" i="1"/>
  <c r="E3617" i="1"/>
  <c r="F3617" i="1"/>
  <c r="G3617" i="1"/>
  <c r="H3617" i="1"/>
  <c r="I3617" i="1"/>
  <c r="J3617" i="1"/>
  <c r="K3617" i="1"/>
  <c r="L3617" i="1"/>
  <c r="A3618" i="1"/>
  <c r="B3618" i="1"/>
  <c r="C3618" i="1"/>
  <c r="D3618" i="1"/>
  <c r="E3618" i="1"/>
  <c r="F3618" i="1"/>
  <c r="G3618" i="1"/>
  <c r="H3618" i="1"/>
  <c r="I3618" i="1"/>
  <c r="J3618" i="1"/>
  <c r="K3618" i="1"/>
  <c r="L3618" i="1"/>
  <c r="A3619" i="1"/>
  <c r="B3619" i="1"/>
  <c r="C3619" i="1"/>
  <c r="D3619" i="1"/>
  <c r="E3619" i="1"/>
  <c r="F3619" i="1"/>
  <c r="G3619" i="1"/>
  <c r="H3619" i="1"/>
  <c r="I3619" i="1"/>
  <c r="J3619" i="1"/>
  <c r="K3619" i="1"/>
  <c r="L3619" i="1"/>
  <c r="A3620" i="1"/>
  <c r="B3620" i="1"/>
  <c r="C3620" i="1"/>
  <c r="D3620" i="1"/>
  <c r="E3620" i="1"/>
  <c r="F3620" i="1"/>
  <c r="G3620" i="1"/>
  <c r="H3620" i="1"/>
  <c r="I3620" i="1"/>
  <c r="J3620" i="1"/>
  <c r="K3620" i="1"/>
  <c r="L3620" i="1"/>
  <c r="A3621" i="1"/>
  <c r="B3621" i="1"/>
  <c r="C3621" i="1"/>
  <c r="D3621" i="1"/>
  <c r="E3621" i="1"/>
  <c r="F3621" i="1"/>
  <c r="G3621" i="1"/>
  <c r="H3621" i="1"/>
  <c r="I3621" i="1"/>
  <c r="J3621" i="1"/>
  <c r="K3621" i="1"/>
  <c r="L3621" i="1"/>
  <c r="A3622" i="1"/>
  <c r="B3622" i="1"/>
  <c r="C3622" i="1"/>
  <c r="D3622" i="1"/>
  <c r="E3622" i="1"/>
  <c r="F3622" i="1"/>
  <c r="G3622" i="1"/>
  <c r="H3622" i="1"/>
  <c r="I3622" i="1"/>
  <c r="J3622" i="1"/>
  <c r="K3622" i="1"/>
  <c r="L3622" i="1"/>
  <c r="A3623" i="1"/>
  <c r="B3623" i="1"/>
  <c r="C3623" i="1"/>
  <c r="D3623" i="1"/>
  <c r="E3623" i="1"/>
  <c r="F3623" i="1"/>
  <c r="G3623" i="1"/>
  <c r="H3623" i="1"/>
  <c r="I3623" i="1"/>
  <c r="J3623" i="1"/>
  <c r="K3623" i="1"/>
  <c r="L3623" i="1"/>
  <c r="A3624" i="1"/>
  <c r="B3624" i="1"/>
  <c r="C3624" i="1"/>
  <c r="D3624" i="1"/>
  <c r="E3624" i="1"/>
  <c r="F3624" i="1"/>
  <c r="G3624" i="1"/>
  <c r="H3624" i="1"/>
  <c r="I3624" i="1"/>
  <c r="J3624" i="1"/>
  <c r="K3624" i="1"/>
  <c r="L3624" i="1"/>
  <c r="A3625" i="1"/>
  <c r="B3625" i="1"/>
  <c r="C3625" i="1"/>
  <c r="D3625" i="1"/>
  <c r="E3625" i="1"/>
  <c r="F3625" i="1"/>
  <c r="G3625" i="1"/>
  <c r="H3625" i="1"/>
  <c r="I3625" i="1"/>
  <c r="J3625" i="1"/>
  <c r="K3625" i="1"/>
  <c r="L3625" i="1"/>
  <c r="A3626" i="1"/>
  <c r="B3626" i="1"/>
  <c r="C3626" i="1"/>
  <c r="D3626" i="1"/>
  <c r="E3626" i="1"/>
  <c r="F3626" i="1"/>
  <c r="G3626" i="1"/>
  <c r="H3626" i="1"/>
  <c r="I3626" i="1"/>
  <c r="J3626" i="1"/>
  <c r="K3626" i="1"/>
  <c r="L3626" i="1"/>
  <c r="A3627" i="1"/>
  <c r="B3627" i="1"/>
  <c r="C3627" i="1"/>
  <c r="D3627" i="1"/>
  <c r="E3627" i="1"/>
  <c r="F3627" i="1"/>
  <c r="G3627" i="1"/>
  <c r="H3627" i="1"/>
  <c r="I3627" i="1"/>
  <c r="J3627" i="1"/>
  <c r="K3627" i="1"/>
  <c r="L3627" i="1"/>
  <c r="A3628" i="1"/>
  <c r="B3628" i="1"/>
  <c r="C3628" i="1"/>
  <c r="D3628" i="1"/>
  <c r="E3628" i="1"/>
  <c r="F3628" i="1"/>
  <c r="G3628" i="1"/>
  <c r="H3628" i="1"/>
  <c r="I3628" i="1"/>
  <c r="J3628" i="1"/>
  <c r="K3628" i="1"/>
  <c r="L3628" i="1"/>
  <c r="A3629" i="1"/>
  <c r="B3629" i="1"/>
  <c r="C3629" i="1"/>
  <c r="D3629" i="1"/>
  <c r="E3629" i="1"/>
  <c r="F3629" i="1"/>
  <c r="G3629" i="1"/>
  <c r="H3629" i="1"/>
  <c r="I3629" i="1"/>
  <c r="J3629" i="1"/>
  <c r="K3629" i="1"/>
  <c r="L3629" i="1"/>
  <c r="A3630" i="1"/>
  <c r="B3630" i="1"/>
  <c r="C3630" i="1"/>
  <c r="D3630" i="1"/>
  <c r="E3630" i="1"/>
  <c r="F3630" i="1"/>
  <c r="G3630" i="1"/>
  <c r="H3630" i="1"/>
  <c r="I3630" i="1"/>
  <c r="J3630" i="1"/>
  <c r="K3630" i="1"/>
  <c r="L3630" i="1"/>
  <c r="A3631" i="1"/>
  <c r="B3631" i="1"/>
  <c r="C3631" i="1"/>
  <c r="D3631" i="1"/>
  <c r="E3631" i="1"/>
  <c r="F3631" i="1"/>
  <c r="G3631" i="1"/>
  <c r="H3631" i="1"/>
  <c r="I3631" i="1"/>
  <c r="J3631" i="1"/>
  <c r="K3631" i="1"/>
  <c r="L3631" i="1"/>
  <c r="A3632" i="1"/>
  <c r="B3632" i="1"/>
  <c r="C3632" i="1"/>
  <c r="D3632" i="1"/>
  <c r="E3632" i="1"/>
  <c r="F3632" i="1"/>
  <c r="G3632" i="1"/>
  <c r="H3632" i="1"/>
  <c r="I3632" i="1"/>
  <c r="J3632" i="1"/>
  <c r="K3632" i="1"/>
  <c r="L3632" i="1"/>
  <c r="A3633" i="1"/>
  <c r="B3633" i="1"/>
  <c r="C3633" i="1"/>
  <c r="D3633" i="1"/>
  <c r="E3633" i="1"/>
  <c r="F3633" i="1"/>
  <c r="G3633" i="1"/>
  <c r="H3633" i="1"/>
  <c r="I3633" i="1"/>
  <c r="J3633" i="1"/>
  <c r="K3633" i="1"/>
  <c r="L3633" i="1"/>
  <c r="A3634" i="1"/>
  <c r="B3634" i="1"/>
  <c r="C3634" i="1"/>
  <c r="D3634" i="1"/>
  <c r="E3634" i="1"/>
  <c r="F3634" i="1"/>
  <c r="G3634" i="1"/>
  <c r="H3634" i="1"/>
  <c r="I3634" i="1"/>
  <c r="J3634" i="1"/>
  <c r="K3634" i="1"/>
  <c r="L3634" i="1"/>
  <c r="A3635" i="1"/>
  <c r="B3635" i="1"/>
  <c r="C3635" i="1"/>
  <c r="D3635" i="1"/>
  <c r="E3635" i="1"/>
  <c r="F3635" i="1"/>
  <c r="G3635" i="1"/>
  <c r="H3635" i="1"/>
  <c r="I3635" i="1"/>
  <c r="J3635" i="1"/>
  <c r="K3635" i="1"/>
  <c r="L3635" i="1"/>
  <c r="A3636" i="1"/>
  <c r="B3636" i="1"/>
  <c r="C3636" i="1"/>
  <c r="D3636" i="1"/>
  <c r="E3636" i="1"/>
  <c r="F3636" i="1"/>
  <c r="G3636" i="1"/>
  <c r="H3636" i="1"/>
  <c r="I3636" i="1"/>
  <c r="J3636" i="1"/>
  <c r="K3636" i="1"/>
  <c r="L3636" i="1"/>
  <c r="A3637" i="1"/>
  <c r="B3637" i="1"/>
  <c r="C3637" i="1"/>
  <c r="D3637" i="1"/>
  <c r="E3637" i="1"/>
  <c r="F3637" i="1"/>
  <c r="G3637" i="1"/>
  <c r="H3637" i="1"/>
  <c r="I3637" i="1"/>
  <c r="J3637" i="1"/>
  <c r="K3637" i="1"/>
  <c r="L3637" i="1"/>
  <c r="A3638" i="1"/>
  <c r="B3638" i="1"/>
  <c r="C3638" i="1"/>
  <c r="D3638" i="1"/>
  <c r="E3638" i="1"/>
  <c r="F3638" i="1"/>
  <c r="G3638" i="1"/>
  <c r="H3638" i="1"/>
  <c r="I3638" i="1"/>
  <c r="J3638" i="1"/>
  <c r="K3638" i="1"/>
  <c r="L3638" i="1"/>
  <c r="A3639" i="1"/>
  <c r="B3639" i="1"/>
  <c r="C3639" i="1"/>
  <c r="D3639" i="1"/>
  <c r="E3639" i="1"/>
  <c r="F3639" i="1"/>
  <c r="G3639" i="1"/>
  <c r="H3639" i="1"/>
  <c r="I3639" i="1"/>
  <c r="J3639" i="1"/>
  <c r="K3639" i="1"/>
  <c r="L3639" i="1"/>
  <c r="A3640" i="1"/>
  <c r="B3640" i="1"/>
  <c r="C3640" i="1"/>
  <c r="D3640" i="1"/>
  <c r="E3640" i="1"/>
  <c r="F3640" i="1"/>
  <c r="G3640" i="1"/>
  <c r="H3640" i="1"/>
  <c r="I3640" i="1"/>
  <c r="J3640" i="1"/>
  <c r="K3640" i="1"/>
  <c r="L3640" i="1"/>
  <c r="A3641" i="1"/>
  <c r="B3641" i="1"/>
  <c r="C3641" i="1"/>
  <c r="D3641" i="1"/>
  <c r="E3641" i="1"/>
  <c r="F3641" i="1"/>
  <c r="G3641" i="1"/>
  <c r="H3641" i="1"/>
  <c r="I3641" i="1"/>
  <c r="J3641" i="1"/>
  <c r="K3641" i="1"/>
  <c r="L3641" i="1"/>
  <c r="A3642" i="1"/>
  <c r="B3642" i="1"/>
  <c r="C3642" i="1"/>
  <c r="D3642" i="1"/>
  <c r="E3642" i="1"/>
  <c r="F3642" i="1"/>
  <c r="G3642" i="1"/>
  <c r="H3642" i="1"/>
  <c r="I3642" i="1"/>
  <c r="J3642" i="1"/>
  <c r="K3642" i="1"/>
  <c r="L3642" i="1"/>
  <c r="A3643" i="1"/>
  <c r="B3643" i="1"/>
  <c r="C3643" i="1"/>
  <c r="D3643" i="1"/>
  <c r="E3643" i="1"/>
  <c r="F3643" i="1"/>
  <c r="G3643" i="1"/>
  <c r="H3643" i="1"/>
  <c r="I3643" i="1"/>
  <c r="J3643" i="1"/>
  <c r="K3643" i="1"/>
  <c r="L3643" i="1"/>
  <c r="A3644" i="1"/>
  <c r="B3644" i="1"/>
  <c r="C3644" i="1"/>
  <c r="D3644" i="1"/>
  <c r="E3644" i="1"/>
  <c r="F3644" i="1"/>
  <c r="G3644" i="1"/>
  <c r="H3644" i="1"/>
  <c r="I3644" i="1"/>
  <c r="J3644" i="1"/>
  <c r="K3644" i="1"/>
  <c r="L3644" i="1"/>
  <c r="A3645" i="1"/>
  <c r="B3645" i="1"/>
  <c r="C3645" i="1"/>
  <c r="D3645" i="1"/>
  <c r="E3645" i="1"/>
  <c r="F3645" i="1"/>
  <c r="G3645" i="1"/>
  <c r="H3645" i="1"/>
  <c r="I3645" i="1"/>
  <c r="J3645" i="1"/>
  <c r="K3645" i="1"/>
  <c r="L3645" i="1"/>
  <c r="A3646" i="1"/>
  <c r="B3646" i="1"/>
  <c r="C3646" i="1"/>
  <c r="D3646" i="1"/>
  <c r="E3646" i="1"/>
  <c r="F3646" i="1"/>
  <c r="G3646" i="1"/>
  <c r="H3646" i="1"/>
  <c r="I3646" i="1"/>
  <c r="J3646" i="1"/>
  <c r="K3646" i="1"/>
  <c r="L3646" i="1"/>
  <c r="A3647" i="1"/>
  <c r="B3647" i="1"/>
  <c r="C3647" i="1"/>
  <c r="D3647" i="1"/>
  <c r="E3647" i="1"/>
  <c r="F3647" i="1"/>
  <c r="G3647" i="1"/>
  <c r="H3647" i="1"/>
  <c r="I3647" i="1"/>
  <c r="J3647" i="1"/>
  <c r="K3647" i="1"/>
  <c r="L3647" i="1"/>
  <c r="A3648" i="1"/>
  <c r="B3648" i="1"/>
  <c r="C3648" i="1"/>
  <c r="D3648" i="1"/>
  <c r="E3648" i="1"/>
  <c r="F3648" i="1"/>
  <c r="G3648" i="1"/>
  <c r="H3648" i="1"/>
  <c r="I3648" i="1"/>
  <c r="J3648" i="1"/>
  <c r="K3648" i="1"/>
  <c r="L3648" i="1"/>
  <c r="A3649" i="1"/>
  <c r="B3649" i="1"/>
  <c r="C3649" i="1"/>
  <c r="D3649" i="1"/>
  <c r="E3649" i="1"/>
  <c r="F3649" i="1"/>
  <c r="G3649" i="1"/>
  <c r="H3649" i="1"/>
  <c r="I3649" i="1"/>
  <c r="J3649" i="1"/>
  <c r="K3649" i="1"/>
  <c r="L3649" i="1"/>
  <c r="A3650" i="1"/>
  <c r="B3650" i="1"/>
  <c r="C3650" i="1"/>
  <c r="D3650" i="1"/>
  <c r="E3650" i="1"/>
  <c r="F3650" i="1"/>
  <c r="G3650" i="1"/>
  <c r="H3650" i="1"/>
  <c r="I3650" i="1"/>
  <c r="J3650" i="1"/>
  <c r="K3650" i="1"/>
  <c r="L3650" i="1"/>
  <c r="A3651" i="1"/>
  <c r="B3651" i="1"/>
  <c r="C3651" i="1"/>
  <c r="D3651" i="1"/>
  <c r="E3651" i="1"/>
  <c r="F3651" i="1"/>
  <c r="G3651" i="1"/>
  <c r="H3651" i="1"/>
  <c r="I3651" i="1"/>
  <c r="J3651" i="1"/>
  <c r="K3651" i="1"/>
  <c r="L3651" i="1"/>
  <c r="A3652" i="1"/>
  <c r="B3652" i="1"/>
  <c r="C3652" i="1"/>
  <c r="D3652" i="1"/>
  <c r="E3652" i="1"/>
  <c r="F3652" i="1"/>
  <c r="G3652" i="1"/>
  <c r="H3652" i="1"/>
  <c r="I3652" i="1"/>
  <c r="J3652" i="1"/>
  <c r="K3652" i="1"/>
  <c r="L3652" i="1"/>
  <c r="A3653" i="1"/>
  <c r="B3653" i="1"/>
  <c r="C3653" i="1"/>
  <c r="D3653" i="1"/>
  <c r="E3653" i="1"/>
  <c r="F3653" i="1"/>
  <c r="G3653" i="1"/>
  <c r="H3653" i="1"/>
  <c r="I3653" i="1"/>
  <c r="J3653" i="1"/>
  <c r="K3653" i="1"/>
  <c r="L3653" i="1"/>
  <c r="A3654" i="1"/>
  <c r="B3654" i="1"/>
  <c r="C3654" i="1"/>
  <c r="D3654" i="1"/>
  <c r="E3654" i="1"/>
  <c r="F3654" i="1"/>
  <c r="G3654" i="1"/>
  <c r="H3654" i="1"/>
  <c r="I3654" i="1"/>
  <c r="J3654" i="1"/>
  <c r="K3654" i="1"/>
  <c r="L3654" i="1"/>
  <c r="A3655" i="1"/>
  <c r="B3655" i="1"/>
  <c r="C3655" i="1"/>
  <c r="D3655" i="1"/>
  <c r="E3655" i="1"/>
  <c r="F3655" i="1"/>
  <c r="G3655" i="1"/>
  <c r="H3655" i="1"/>
  <c r="I3655" i="1"/>
  <c r="J3655" i="1"/>
  <c r="K3655" i="1"/>
  <c r="L3655" i="1"/>
  <c r="A3656" i="1"/>
  <c r="B3656" i="1"/>
  <c r="C3656" i="1"/>
  <c r="D3656" i="1"/>
  <c r="E3656" i="1"/>
  <c r="F3656" i="1"/>
  <c r="G3656" i="1"/>
  <c r="H3656" i="1"/>
  <c r="I3656" i="1"/>
  <c r="J3656" i="1"/>
  <c r="K3656" i="1"/>
  <c r="L3656" i="1"/>
  <c r="A3657" i="1"/>
  <c r="B3657" i="1"/>
  <c r="C3657" i="1"/>
  <c r="D3657" i="1"/>
  <c r="E3657" i="1"/>
  <c r="F3657" i="1"/>
  <c r="G3657" i="1"/>
  <c r="H3657" i="1"/>
  <c r="I3657" i="1"/>
  <c r="J3657" i="1"/>
  <c r="K3657" i="1"/>
  <c r="L3657" i="1"/>
  <c r="A3658" i="1"/>
  <c r="B3658" i="1"/>
  <c r="C3658" i="1"/>
  <c r="D3658" i="1"/>
  <c r="E3658" i="1"/>
  <c r="F3658" i="1"/>
  <c r="G3658" i="1"/>
  <c r="H3658" i="1"/>
  <c r="I3658" i="1"/>
  <c r="J3658" i="1"/>
  <c r="K3658" i="1"/>
  <c r="L3658" i="1"/>
  <c r="A3659" i="1"/>
  <c r="B3659" i="1"/>
  <c r="C3659" i="1"/>
  <c r="D3659" i="1"/>
  <c r="E3659" i="1"/>
  <c r="F3659" i="1"/>
  <c r="G3659" i="1"/>
  <c r="H3659" i="1"/>
  <c r="I3659" i="1"/>
  <c r="J3659" i="1"/>
  <c r="K3659" i="1"/>
  <c r="L3659" i="1"/>
  <c r="A3660" i="1"/>
  <c r="B3660" i="1"/>
  <c r="C3660" i="1"/>
  <c r="D3660" i="1"/>
  <c r="E3660" i="1"/>
  <c r="F3660" i="1"/>
  <c r="G3660" i="1"/>
  <c r="H3660" i="1"/>
  <c r="I3660" i="1"/>
  <c r="J3660" i="1"/>
  <c r="K3660" i="1"/>
  <c r="L3660" i="1"/>
  <c r="A3661" i="1"/>
  <c r="B3661" i="1"/>
  <c r="C3661" i="1"/>
  <c r="D3661" i="1"/>
  <c r="E3661" i="1"/>
  <c r="F3661" i="1"/>
  <c r="G3661" i="1"/>
  <c r="H3661" i="1"/>
  <c r="I3661" i="1"/>
  <c r="J3661" i="1"/>
  <c r="K3661" i="1"/>
  <c r="L3661" i="1"/>
  <c r="A3662" i="1"/>
  <c r="B3662" i="1"/>
  <c r="C3662" i="1"/>
  <c r="D3662" i="1"/>
  <c r="E3662" i="1"/>
  <c r="F3662" i="1"/>
  <c r="G3662" i="1"/>
  <c r="H3662" i="1"/>
  <c r="I3662" i="1"/>
  <c r="J3662" i="1"/>
  <c r="K3662" i="1"/>
  <c r="L3662" i="1"/>
  <c r="A3663" i="1"/>
  <c r="B3663" i="1"/>
  <c r="C3663" i="1"/>
  <c r="D3663" i="1"/>
  <c r="E3663" i="1"/>
  <c r="F3663" i="1"/>
  <c r="G3663" i="1"/>
  <c r="H3663" i="1"/>
  <c r="I3663" i="1"/>
  <c r="J3663" i="1"/>
  <c r="K3663" i="1"/>
  <c r="L3663" i="1"/>
  <c r="A3664" i="1"/>
  <c r="B3664" i="1"/>
  <c r="C3664" i="1"/>
  <c r="D3664" i="1"/>
  <c r="E3664" i="1"/>
  <c r="F3664" i="1"/>
  <c r="G3664" i="1"/>
  <c r="H3664" i="1"/>
  <c r="I3664" i="1"/>
  <c r="J3664" i="1"/>
  <c r="K3664" i="1"/>
  <c r="L3664" i="1"/>
  <c r="A3665" i="1"/>
  <c r="B3665" i="1"/>
  <c r="C3665" i="1"/>
  <c r="D3665" i="1"/>
  <c r="E3665" i="1"/>
  <c r="F3665" i="1"/>
  <c r="G3665" i="1"/>
  <c r="H3665" i="1"/>
  <c r="I3665" i="1"/>
  <c r="J3665" i="1"/>
  <c r="K3665" i="1"/>
  <c r="L3665" i="1"/>
  <c r="A3666" i="1"/>
  <c r="B3666" i="1"/>
  <c r="C3666" i="1"/>
  <c r="D3666" i="1"/>
  <c r="E3666" i="1"/>
  <c r="F3666" i="1"/>
  <c r="G3666" i="1"/>
  <c r="H3666" i="1"/>
  <c r="I3666" i="1"/>
  <c r="J3666" i="1"/>
  <c r="K3666" i="1"/>
  <c r="L3666" i="1"/>
  <c r="A3667" i="1"/>
  <c r="B3667" i="1"/>
  <c r="C3667" i="1"/>
  <c r="D3667" i="1"/>
  <c r="E3667" i="1"/>
  <c r="F3667" i="1"/>
  <c r="G3667" i="1"/>
  <c r="H3667" i="1"/>
  <c r="I3667" i="1"/>
  <c r="J3667" i="1"/>
  <c r="K3667" i="1"/>
  <c r="L3667" i="1"/>
  <c r="A3668" i="1"/>
  <c r="B3668" i="1"/>
  <c r="C3668" i="1"/>
  <c r="D3668" i="1"/>
  <c r="E3668" i="1"/>
  <c r="F3668" i="1"/>
  <c r="G3668" i="1"/>
  <c r="H3668" i="1"/>
  <c r="I3668" i="1"/>
  <c r="J3668" i="1"/>
  <c r="K3668" i="1"/>
  <c r="L3668" i="1"/>
  <c r="A3669" i="1"/>
  <c r="B3669" i="1"/>
  <c r="C3669" i="1"/>
  <c r="D3669" i="1"/>
  <c r="E3669" i="1"/>
  <c r="F3669" i="1"/>
  <c r="G3669" i="1"/>
  <c r="H3669" i="1"/>
  <c r="I3669" i="1"/>
  <c r="J3669" i="1"/>
  <c r="K3669" i="1"/>
  <c r="L3669" i="1"/>
  <c r="A3670" i="1"/>
  <c r="B3670" i="1"/>
  <c r="C3670" i="1"/>
  <c r="D3670" i="1"/>
  <c r="E3670" i="1"/>
  <c r="F3670" i="1"/>
  <c r="G3670" i="1"/>
  <c r="H3670" i="1"/>
  <c r="I3670" i="1"/>
  <c r="J3670" i="1"/>
  <c r="K3670" i="1"/>
  <c r="L3670" i="1"/>
  <c r="A3671" i="1"/>
  <c r="B3671" i="1"/>
  <c r="C3671" i="1"/>
  <c r="D3671" i="1"/>
  <c r="E3671" i="1"/>
  <c r="F3671" i="1"/>
  <c r="G3671" i="1"/>
  <c r="H3671" i="1"/>
  <c r="I3671" i="1"/>
  <c r="J3671" i="1"/>
  <c r="K3671" i="1"/>
  <c r="L3671" i="1"/>
  <c r="A3672" i="1"/>
  <c r="B3672" i="1"/>
  <c r="C3672" i="1"/>
  <c r="D3672" i="1"/>
  <c r="E3672" i="1"/>
  <c r="F3672" i="1"/>
  <c r="G3672" i="1"/>
  <c r="H3672" i="1"/>
  <c r="I3672" i="1"/>
  <c r="J3672" i="1"/>
  <c r="K3672" i="1"/>
  <c r="L3672" i="1"/>
  <c r="A3673" i="1"/>
  <c r="B3673" i="1"/>
  <c r="C3673" i="1"/>
  <c r="D3673" i="1"/>
  <c r="E3673" i="1"/>
  <c r="F3673" i="1"/>
  <c r="G3673" i="1"/>
  <c r="H3673" i="1"/>
  <c r="I3673" i="1"/>
  <c r="J3673" i="1"/>
  <c r="K3673" i="1"/>
  <c r="L3673" i="1"/>
  <c r="A3674" i="1"/>
  <c r="B3674" i="1"/>
  <c r="C3674" i="1"/>
  <c r="D3674" i="1"/>
  <c r="E3674" i="1"/>
  <c r="F3674" i="1"/>
  <c r="G3674" i="1"/>
  <c r="H3674" i="1"/>
  <c r="I3674" i="1"/>
  <c r="J3674" i="1"/>
  <c r="K3674" i="1"/>
  <c r="L3674" i="1"/>
  <c r="A3675" i="1"/>
  <c r="B3675" i="1"/>
  <c r="C3675" i="1"/>
  <c r="D3675" i="1"/>
  <c r="E3675" i="1"/>
  <c r="F3675" i="1"/>
  <c r="G3675" i="1"/>
  <c r="H3675" i="1"/>
  <c r="I3675" i="1"/>
  <c r="J3675" i="1"/>
  <c r="K3675" i="1"/>
  <c r="L3675" i="1"/>
  <c r="A3676" i="1"/>
  <c r="B3676" i="1"/>
  <c r="C3676" i="1"/>
  <c r="D3676" i="1"/>
  <c r="E3676" i="1"/>
  <c r="F3676" i="1"/>
  <c r="G3676" i="1"/>
  <c r="H3676" i="1"/>
  <c r="I3676" i="1"/>
  <c r="J3676" i="1"/>
  <c r="K3676" i="1"/>
  <c r="L3676" i="1"/>
  <c r="A3677" i="1"/>
  <c r="B3677" i="1"/>
  <c r="C3677" i="1"/>
  <c r="D3677" i="1"/>
  <c r="E3677" i="1"/>
  <c r="F3677" i="1"/>
  <c r="G3677" i="1"/>
  <c r="H3677" i="1"/>
  <c r="I3677" i="1"/>
  <c r="J3677" i="1"/>
  <c r="K3677" i="1"/>
  <c r="L3677" i="1"/>
  <c r="A3678" i="1"/>
  <c r="B3678" i="1"/>
  <c r="C3678" i="1"/>
  <c r="D3678" i="1"/>
  <c r="E3678" i="1"/>
  <c r="F3678" i="1"/>
  <c r="G3678" i="1"/>
  <c r="H3678" i="1"/>
  <c r="I3678" i="1"/>
  <c r="J3678" i="1"/>
  <c r="K3678" i="1"/>
  <c r="L3678" i="1"/>
  <c r="A3679" i="1"/>
  <c r="B3679" i="1"/>
  <c r="C3679" i="1"/>
  <c r="D3679" i="1"/>
  <c r="E3679" i="1"/>
  <c r="F3679" i="1"/>
  <c r="G3679" i="1"/>
  <c r="H3679" i="1"/>
  <c r="I3679" i="1"/>
  <c r="J3679" i="1"/>
  <c r="K3679" i="1"/>
  <c r="L3679" i="1"/>
  <c r="A3680" i="1"/>
  <c r="B3680" i="1"/>
  <c r="C3680" i="1"/>
  <c r="D3680" i="1"/>
  <c r="E3680" i="1"/>
  <c r="F3680" i="1"/>
  <c r="G3680" i="1"/>
  <c r="H3680" i="1"/>
  <c r="I3680" i="1"/>
  <c r="J3680" i="1"/>
  <c r="K3680" i="1"/>
  <c r="L3680" i="1"/>
  <c r="A3681" i="1"/>
  <c r="B3681" i="1"/>
  <c r="C3681" i="1"/>
  <c r="D3681" i="1"/>
  <c r="E3681" i="1"/>
  <c r="F3681" i="1"/>
  <c r="G3681" i="1"/>
  <c r="H3681" i="1"/>
  <c r="I3681" i="1"/>
  <c r="J3681" i="1"/>
  <c r="K3681" i="1"/>
  <c r="L3681" i="1"/>
  <c r="A3682" i="1"/>
  <c r="B3682" i="1"/>
  <c r="C3682" i="1"/>
  <c r="D3682" i="1"/>
  <c r="E3682" i="1"/>
  <c r="F3682" i="1"/>
  <c r="G3682" i="1"/>
  <c r="H3682" i="1"/>
  <c r="I3682" i="1"/>
  <c r="J3682" i="1"/>
  <c r="K3682" i="1"/>
  <c r="L3682" i="1"/>
  <c r="A3683" i="1"/>
  <c r="B3683" i="1"/>
  <c r="C3683" i="1"/>
  <c r="D3683" i="1"/>
  <c r="E3683" i="1"/>
  <c r="F3683" i="1"/>
  <c r="G3683" i="1"/>
  <c r="H3683" i="1"/>
  <c r="I3683" i="1"/>
  <c r="J3683" i="1"/>
  <c r="K3683" i="1"/>
  <c r="L3683" i="1"/>
  <c r="A3684" i="1"/>
  <c r="B3684" i="1"/>
  <c r="C3684" i="1"/>
  <c r="D3684" i="1"/>
  <c r="E3684" i="1"/>
  <c r="F3684" i="1"/>
  <c r="G3684" i="1"/>
  <c r="H3684" i="1"/>
  <c r="I3684" i="1"/>
  <c r="J3684" i="1"/>
  <c r="K3684" i="1"/>
  <c r="L3684" i="1"/>
  <c r="A3685" i="1"/>
  <c r="B3685" i="1"/>
  <c r="C3685" i="1"/>
  <c r="D3685" i="1"/>
  <c r="E3685" i="1"/>
  <c r="F3685" i="1"/>
  <c r="G3685" i="1"/>
  <c r="H3685" i="1"/>
  <c r="I3685" i="1"/>
  <c r="J3685" i="1"/>
  <c r="K3685" i="1"/>
  <c r="L3685" i="1"/>
  <c r="A3686" i="1"/>
  <c r="B3686" i="1"/>
  <c r="C3686" i="1"/>
  <c r="D3686" i="1"/>
  <c r="E3686" i="1"/>
  <c r="F3686" i="1"/>
  <c r="G3686" i="1"/>
  <c r="H3686" i="1"/>
  <c r="I3686" i="1"/>
  <c r="J3686" i="1"/>
  <c r="K3686" i="1"/>
  <c r="L3686" i="1"/>
  <c r="A3687" i="1"/>
  <c r="B3687" i="1"/>
  <c r="C3687" i="1"/>
  <c r="D3687" i="1"/>
  <c r="E3687" i="1"/>
  <c r="F3687" i="1"/>
  <c r="G3687" i="1"/>
  <c r="H3687" i="1"/>
  <c r="I3687" i="1"/>
  <c r="J3687" i="1"/>
  <c r="K3687" i="1"/>
  <c r="L3687" i="1"/>
  <c r="A3688" i="1"/>
  <c r="B3688" i="1"/>
  <c r="C3688" i="1"/>
  <c r="D3688" i="1"/>
  <c r="E3688" i="1"/>
  <c r="F3688" i="1"/>
  <c r="G3688" i="1"/>
  <c r="H3688" i="1"/>
  <c r="I3688" i="1"/>
  <c r="J3688" i="1"/>
  <c r="K3688" i="1"/>
  <c r="L3688" i="1"/>
  <c r="A3689" i="1"/>
  <c r="B3689" i="1"/>
  <c r="C3689" i="1"/>
  <c r="D3689" i="1"/>
  <c r="E3689" i="1"/>
  <c r="F3689" i="1"/>
  <c r="G3689" i="1"/>
  <c r="H3689" i="1"/>
  <c r="I3689" i="1"/>
  <c r="J3689" i="1"/>
  <c r="K3689" i="1"/>
  <c r="L3689" i="1"/>
  <c r="A3690" i="1"/>
  <c r="B3690" i="1"/>
  <c r="C3690" i="1"/>
  <c r="D3690" i="1"/>
  <c r="E3690" i="1"/>
  <c r="F3690" i="1"/>
  <c r="G3690" i="1"/>
  <c r="H3690" i="1"/>
  <c r="I3690" i="1"/>
  <c r="J3690" i="1"/>
  <c r="K3690" i="1"/>
  <c r="L3690" i="1"/>
  <c r="A3691" i="1"/>
  <c r="B3691" i="1"/>
  <c r="C3691" i="1"/>
  <c r="D3691" i="1"/>
  <c r="E3691" i="1"/>
  <c r="F3691" i="1"/>
  <c r="G3691" i="1"/>
  <c r="H3691" i="1"/>
  <c r="I3691" i="1"/>
  <c r="J3691" i="1"/>
  <c r="K3691" i="1"/>
  <c r="L3691" i="1"/>
  <c r="A3692" i="1"/>
  <c r="B3692" i="1"/>
  <c r="C3692" i="1"/>
  <c r="D3692" i="1"/>
  <c r="E3692" i="1"/>
  <c r="F3692" i="1"/>
  <c r="G3692" i="1"/>
  <c r="H3692" i="1"/>
  <c r="I3692" i="1"/>
  <c r="J3692" i="1"/>
  <c r="K3692" i="1"/>
  <c r="L3692" i="1"/>
  <c r="A3693" i="1"/>
  <c r="B3693" i="1"/>
  <c r="C3693" i="1"/>
  <c r="D3693" i="1"/>
  <c r="E3693" i="1"/>
  <c r="F3693" i="1"/>
  <c r="G3693" i="1"/>
  <c r="H3693" i="1"/>
  <c r="I3693" i="1"/>
  <c r="J3693" i="1"/>
  <c r="K3693" i="1"/>
  <c r="L3693" i="1"/>
  <c r="A3694" i="1"/>
  <c r="B3694" i="1"/>
  <c r="C3694" i="1"/>
  <c r="D3694" i="1"/>
  <c r="E3694" i="1"/>
  <c r="F3694" i="1"/>
  <c r="G3694" i="1"/>
  <c r="H3694" i="1"/>
  <c r="I3694" i="1"/>
  <c r="J3694" i="1"/>
  <c r="K3694" i="1"/>
  <c r="L3694" i="1"/>
  <c r="A3695" i="1"/>
  <c r="B3695" i="1"/>
  <c r="C3695" i="1"/>
  <c r="D3695" i="1"/>
  <c r="E3695" i="1"/>
  <c r="F3695" i="1"/>
  <c r="G3695" i="1"/>
  <c r="H3695" i="1"/>
  <c r="I3695" i="1"/>
  <c r="J3695" i="1"/>
  <c r="K3695" i="1"/>
  <c r="L3695" i="1"/>
  <c r="A3696" i="1"/>
  <c r="B3696" i="1"/>
  <c r="C3696" i="1"/>
  <c r="D3696" i="1"/>
  <c r="E3696" i="1"/>
  <c r="F3696" i="1"/>
  <c r="G3696" i="1"/>
  <c r="H3696" i="1"/>
  <c r="I3696" i="1"/>
  <c r="J3696" i="1"/>
  <c r="K3696" i="1"/>
  <c r="L3696" i="1"/>
  <c r="A3697" i="1"/>
  <c r="B3697" i="1"/>
  <c r="C3697" i="1"/>
  <c r="D3697" i="1"/>
  <c r="E3697" i="1"/>
  <c r="F3697" i="1"/>
  <c r="G3697" i="1"/>
  <c r="H3697" i="1"/>
  <c r="I3697" i="1"/>
  <c r="J3697" i="1"/>
  <c r="K3697" i="1"/>
  <c r="L3697" i="1"/>
  <c r="A3698" i="1"/>
  <c r="B3698" i="1"/>
  <c r="C3698" i="1"/>
  <c r="D3698" i="1"/>
  <c r="E3698" i="1"/>
  <c r="F3698" i="1"/>
  <c r="G3698" i="1"/>
  <c r="H3698" i="1"/>
  <c r="I3698" i="1"/>
  <c r="J3698" i="1"/>
  <c r="K3698" i="1"/>
  <c r="L3698" i="1"/>
  <c r="A3699" i="1"/>
  <c r="B3699" i="1"/>
  <c r="C3699" i="1"/>
  <c r="D3699" i="1"/>
  <c r="E3699" i="1"/>
  <c r="F3699" i="1"/>
  <c r="G3699" i="1"/>
  <c r="H3699" i="1"/>
  <c r="I3699" i="1"/>
  <c r="J3699" i="1"/>
  <c r="K3699" i="1"/>
  <c r="L3699" i="1"/>
  <c r="A3700" i="1"/>
  <c r="B3700" i="1"/>
  <c r="C3700" i="1"/>
  <c r="D3700" i="1"/>
  <c r="E3700" i="1"/>
  <c r="F3700" i="1"/>
  <c r="G3700" i="1"/>
  <c r="H3700" i="1"/>
  <c r="I3700" i="1"/>
  <c r="J3700" i="1"/>
  <c r="K3700" i="1"/>
  <c r="L3700" i="1"/>
  <c r="A3701" i="1"/>
  <c r="B3701" i="1"/>
  <c r="C3701" i="1"/>
  <c r="D3701" i="1"/>
  <c r="E3701" i="1"/>
  <c r="F3701" i="1"/>
  <c r="G3701" i="1"/>
  <c r="H3701" i="1"/>
  <c r="I3701" i="1"/>
  <c r="J3701" i="1"/>
  <c r="K3701" i="1"/>
  <c r="L3701" i="1"/>
  <c r="A3702" i="1"/>
  <c r="B3702" i="1"/>
  <c r="C3702" i="1"/>
  <c r="D3702" i="1"/>
  <c r="E3702" i="1"/>
  <c r="F3702" i="1"/>
  <c r="G3702" i="1"/>
  <c r="H3702" i="1"/>
  <c r="I3702" i="1"/>
  <c r="J3702" i="1"/>
  <c r="K3702" i="1"/>
  <c r="L3702" i="1"/>
  <c r="A3703" i="1"/>
  <c r="B3703" i="1"/>
  <c r="C3703" i="1"/>
  <c r="D3703" i="1"/>
  <c r="E3703" i="1"/>
  <c r="F3703" i="1"/>
  <c r="G3703" i="1"/>
  <c r="H3703" i="1"/>
  <c r="I3703" i="1"/>
  <c r="J3703" i="1"/>
  <c r="K3703" i="1"/>
  <c r="L3703" i="1"/>
  <c r="A3704" i="1"/>
  <c r="B3704" i="1"/>
  <c r="C3704" i="1"/>
  <c r="D3704" i="1"/>
  <c r="E3704" i="1"/>
  <c r="F3704" i="1"/>
  <c r="G3704" i="1"/>
  <c r="H3704" i="1"/>
  <c r="I3704" i="1"/>
  <c r="J3704" i="1"/>
  <c r="K3704" i="1"/>
  <c r="L3704" i="1"/>
  <c r="A3705" i="1"/>
  <c r="B3705" i="1"/>
  <c r="C3705" i="1"/>
  <c r="D3705" i="1"/>
  <c r="E3705" i="1"/>
  <c r="F3705" i="1"/>
  <c r="G3705" i="1"/>
  <c r="H3705" i="1"/>
  <c r="I3705" i="1"/>
  <c r="J3705" i="1"/>
  <c r="K3705" i="1"/>
  <c r="L3705" i="1"/>
  <c r="A3706" i="1"/>
  <c r="B3706" i="1"/>
  <c r="C3706" i="1"/>
  <c r="D3706" i="1"/>
  <c r="E3706" i="1"/>
  <c r="F3706" i="1"/>
  <c r="G3706" i="1"/>
  <c r="H3706" i="1"/>
  <c r="I3706" i="1"/>
  <c r="J3706" i="1"/>
  <c r="K3706" i="1"/>
  <c r="L3706" i="1"/>
  <c r="A3707" i="1"/>
  <c r="B3707" i="1"/>
  <c r="C3707" i="1"/>
  <c r="D3707" i="1"/>
  <c r="E3707" i="1"/>
  <c r="F3707" i="1"/>
  <c r="G3707" i="1"/>
  <c r="H3707" i="1"/>
  <c r="I3707" i="1"/>
  <c r="J3707" i="1"/>
  <c r="K3707" i="1"/>
  <c r="L3707" i="1"/>
  <c r="A3708" i="1"/>
  <c r="B3708" i="1"/>
  <c r="C3708" i="1"/>
  <c r="D3708" i="1"/>
  <c r="E3708" i="1"/>
  <c r="F3708" i="1"/>
  <c r="G3708" i="1"/>
  <c r="H3708" i="1"/>
  <c r="I3708" i="1"/>
  <c r="J3708" i="1"/>
  <c r="K3708" i="1"/>
  <c r="L3708" i="1"/>
  <c r="A3709" i="1"/>
  <c r="B3709" i="1"/>
  <c r="C3709" i="1"/>
  <c r="D3709" i="1"/>
  <c r="E3709" i="1"/>
  <c r="F3709" i="1"/>
  <c r="G3709" i="1"/>
  <c r="H3709" i="1"/>
  <c r="I3709" i="1"/>
  <c r="J3709" i="1"/>
  <c r="K3709" i="1"/>
  <c r="L3709" i="1"/>
  <c r="A3710" i="1"/>
  <c r="B3710" i="1"/>
  <c r="C3710" i="1"/>
  <c r="D3710" i="1"/>
  <c r="E3710" i="1"/>
  <c r="F3710" i="1"/>
  <c r="G3710" i="1"/>
  <c r="H3710" i="1"/>
  <c r="I3710" i="1"/>
  <c r="J3710" i="1"/>
  <c r="K3710" i="1"/>
  <c r="L3710" i="1"/>
  <c r="A3711" i="1"/>
  <c r="B3711" i="1"/>
  <c r="C3711" i="1"/>
  <c r="D3711" i="1"/>
  <c r="E3711" i="1"/>
  <c r="F3711" i="1"/>
  <c r="G3711" i="1"/>
  <c r="H3711" i="1"/>
  <c r="I3711" i="1"/>
  <c r="J3711" i="1"/>
  <c r="K3711" i="1"/>
  <c r="L3711" i="1"/>
  <c r="A3712" i="1"/>
  <c r="B3712" i="1"/>
  <c r="C3712" i="1"/>
  <c r="D3712" i="1"/>
  <c r="E3712" i="1"/>
  <c r="F3712" i="1"/>
  <c r="G3712" i="1"/>
  <c r="H3712" i="1"/>
  <c r="I3712" i="1"/>
  <c r="J3712" i="1"/>
  <c r="K3712" i="1"/>
  <c r="L3712" i="1"/>
  <c r="A3713" i="1"/>
  <c r="B3713" i="1"/>
  <c r="C3713" i="1"/>
  <c r="D3713" i="1"/>
  <c r="E3713" i="1"/>
  <c r="F3713" i="1"/>
  <c r="G3713" i="1"/>
  <c r="H3713" i="1"/>
  <c r="I3713" i="1"/>
  <c r="J3713" i="1"/>
  <c r="K3713" i="1"/>
  <c r="L3713" i="1"/>
  <c r="A3714" i="1"/>
  <c r="B3714" i="1"/>
  <c r="C3714" i="1"/>
  <c r="D3714" i="1"/>
  <c r="E3714" i="1"/>
  <c r="F3714" i="1"/>
  <c r="G3714" i="1"/>
  <c r="H3714" i="1"/>
  <c r="I3714" i="1"/>
  <c r="J3714" i="1"/>
  <c r="K3714" i="1"/>
  <c r="L3714" i="1"/>
  <c r="A3715" i="1"/>
  <c r="B3715" i="1"/>
  <c r="C3715" i="1"/>
  <c r="D3715" i="1"/>
  <c r="E3715" i="1"/>
  <c r="F3715" i="1"/>
  <c r="G3715" i="1"/>
  <c r="H3715" i="1"/>
  <c r="I3715" i="1"/>
  <c r="J3715" i="1"/>
  <c r="K3715" i="1"/>
  <c r="L3715" i="1"/>
  <c r="A3716" i="1"/>
  <c r="B3716" i="1"/>
  <c r="C3716" i="1"/>
  <c r="D3716" i="1"/>
  <c r="E3716" i="1"/>
  <c r="F3716" i="1"/>
  <c r="G3716" i="1"/>
  <c r="H3716" i="1"/>
  <c r="I3716" i="1"/>
  <c r="J3716" i="1"/>
  <c r="K3716" i="1"/>
  <c r="L3716" i="1"/>
  <c r="A3717" i="1"/>
  <c r="B3717" i="1"/>
  <c r="C3717" i="1"/>
  <c r="D3717" i="1"/>
  <c r="E3717" i="1"/>
  <c r="F3717" i="1"/>
  <c r="G3717" i="1"/>
  <c r="H3717" i="1"/>
  <c r="I3717" i="1"/>
  <c r="J3717" i="1"/>
  <c r="K3717" i="1"/>
  <c r="L3717" i="1"/>
  <c r="A3718" i="1"/>
  <c r="B3718" i="1"/>
  <c r="C3718" i="1"/>
  <c r="D3718" i="1"/>
  <c r="E3718" i="1"/>
  <c r="F3718" i="1"/>
  <c r="G3718" i="1"/>
  <c r="H3718" i="1"/>
  <c r="I3718" i="1"/>
  <c r="J3718" i="1"/>
  <c r="K3718" i="1"/>
  <c r="L3718" i="1"/>
  <c r="A3719" i="1"/>
  <c r="B3719" i="1"/>
  <c r="C3719" i="1"/>
  <c r="D3719" i="1"/>
  <c r="E3719" i="1"/>
  <c r="F3719" i="1"/>
  <c r="G3719" i="1"/>
  <c r="H3719" i="1"/>
  <c r="I3719" i="1"/>
  <c r="J3719" i="1"/>
  <c r="K3719" i="1"/>
  <c r="L3719" i="1"/>
  <c r="A3720" i="1"/>
  <c r="B3720" i="1"/>
  <c r="C3720" i="1"/>
  <c r="D3720" i="1"/>
  <c r="E3720" i="1"/>
  <c r="F3720" i="1"/>
  <c r="G3720" i="1"/>
  <c r="H3720" i="1"/>
  <c r="I3720" i="1"/>
  <c r="J3720" i="1"/>
  <c r="K3720" i="1"/>
  <c r="L3720" i="1"/>
  <c r="A3721" i="1"/>
  <c r="B3721" i="1"/>
  <c r="C3721" i="1"/>
  <c r="D3721" i="1"/>
  <c r="E3721" i="1"/>
  <c r="F3721" i="1"/>
  <c r="G3721" i="1"/>
  <c r="H3721" i="1"/>
  <c r="I3721" i="1"/>
  <c r="J3721" i="1"/>
  <c r="K3721" i="1"/>
  <c r="L3721" i="1"/>
  <c r="A3722" i="1"/>
  <c r="B3722" i="1"/>
  <c r="C3722" i="1"/>
  <c r="D3722" i="1"/>
  <c r="E3722" i="1"/>
  <c r="F3722" i="1"/>
  <c r="G3722" i="1"/>
  <c r="H3722" i="1"/>
  <c r="I3722" i="1"/>
  <c r="J3722" i="1"/>
  <c r="K3722" i="1"/>
  <c r="L3722" i="1"/>
  <c r="A3723" i="1"/>
  <c r="B3723" i="1"/>
  <c r="C3723" i="1"/>
  <c r="D3723" i="1"/>
  <c r="E3723" i="1"/>
  <c r="F3723" i="1"/>
  <c r="G3723" i="1"/>
  <c r="H3723" i="1"/>
  <c r="I3723" i="1"/>
  <c r="J3723" i="1"/>
  <c r="K3723" i="1"/>
  <c r="L3723" i="1"/>
  <c r="A3724" i="1"/>
  <c r="B3724" i="1"/>
  <c r="C3724" i="1"/>
  <c r="D3724" i="1"/>
  <c r="E3724" i="1"/>
  <c r="F3724" i="1"/>
  <c r="G3724" i="1"/>
  <c r="H3724" i="1"/>
  <c r="I3724" i="1"/>
  <c r="J3724" i="1"/>
  <c r="K3724" i="1"/>
  <c r="L3724" i="1"/>
  <c r="A3725" i="1"/>
  <c r="B3725" i="1"/>
  <c r="C3725" i="1"/>
  <c r="D3725" i="1"/>
  <c r="E3725" i="1"/>
  <c r="F3725" i="1"/>
  <c r="G3725" i="1"/>
  <c r="H3725" i="1"/>
  <c r="I3725" i="1"/>
  <c r="J3725" i="1"/>
  <c r="K3725" i="1"/>
  <c r="L3725" i="1"/>
  <c r="A3726" i="1"/>
  <c r="B3726" i="1"/>
  <c r="C3726" i="1"/>
  <c r="D3726" i="1"/>
  <c r="E3726" i="1"/>
  <c r="F3726" i="1"/>
  <c r="G3726" i="1"/>
  <c r="H3726" i="1"/>
  <c r="I3726" i="1"/>
  <c r="J3726" i="1"/>
  <c r="K3726" i="1"/>
  <c r="L3726" i="1"/>
  <c r="A3727" i="1"/>
  <c r="B3727" i="1"/>
  <c r="C3727" i="1"/>
  <c r="D3727" i="1"/>
  <c r="E3727" i="1"/>
  <c r="F3727" i="1"/>
  <c r="G3727" i="1"/>
  <c r="H3727" i="1"/>
  <c r="I3727" i="1"/>
  <c r="J3727" i="1"/>
  <c r="K3727" i="1"/>
  <c r="L3727" i="1"/>
  <c r="A3728" i="1"/>
  <c r="B3728" i="1"/>
  <c r="C3728" i="1"/>
  <c r="D3728" i="1"/>
  <c r="E3728" i="1"/>
  <c r="F3728" i="1"/>
  <c r="G3728" i="1"/>
  <c r="H3728" i="1"/>
  <c r="I3728" i="1"/>
  <c r="J3728" i="1"/>
  <c r="K3728" i="1"/>
  <c r="L3728" i="1"/>
  <c r="A3729" i="1"/>
  <c r="B3729" i="1"/>
  <c r="C3729" i="1"/>
  <c r="D3729" i="1"/>
  <c r="E3729" i="1"/>
  <c r="F3729" i="1"/>
  <c r="G3729" i="1"/>
  <c r="H3729" i="1"/>
  <c r="I3729" i="1"/>
  <c r="J3729" i="1"/>
  <c r="K3729" i="1"/>
  <c r="L3729" i="1"/>
  <c r="A3730" i="1"/>
  <c r="B3730" i="1"/>
  <c r="C3730" i="1"/>
  <c r="D3730" i="1"/>
  <c r="E3730" i="1"/>
  <c r="F3730" i="1"/>
  <c r="G3730" i="1"/>
  <c r="H3730" i="1"/>
  <c r="I3730" i="1"/>
  <c r="J3730" i="1"/>
  <c r="K3730" i="1"/>
  <c r="L3730" i="1"/>
  <c r="A3731" i="1"/>
  <c r="B3731" i="1"/>
  <c r="C3731" i="1"/>
  <c r="D3731" i="1"/>
  <c r="E3731" i="1"/>
  <c r="F3731" i="1"/>
  <c r="G3731" i="1"/>
  <c r="H3731" i="1"/>
  <c r="I3731" i="1"/>
  <c r="J3731" i="1"/>
  <c r="K3731" i="1"/>
  <c r="L3731" i="1"/>
  <c r="A3732" i="1"/>
  <c r="B3732" i="1"/>
  <c r="C3732" i="1"/>
  <c r="D3732" i="1"/>
  <c r="E3732" i="1"/>
  <c r="F3732" i="1"/>
  <c r="G3732" i="1"/>
  <c r="H3732" i="1"/>
  <c r="I3732" i="1"/>
  <c r="J3732" i="1"/>
  <c r="K3732" i="1"/>
  <c r="L3732" i="1"/>
  <c r="A3733" i="1"/>
  <c r="B3733" i="1"/>
  <c r="C3733" i="1"/>
  <c r="D3733" i="1"/>
  <c r="E3733" i="1"/>
  <c r="F3733" i="1"/>
  <c r="G3733" i="1"/>
  <c r="H3733" i="1"/>
  <c r="I3733" i="1"/>
  <c r="J3733" i="1"/>
  <c r="K3733" i="1"/>
  <c r="L3733" i="1"/>
  <c r="A3734" i="1"/>
  <c r="B3734" i="1"/>
  <c r="C3734" i="1"/>
  <c r="D3734" i="1"/>
  <c r="E3734" i="1"/>
  <c r="F3734" i="1"/>
  <c r="G3734" i="1"/>
  <c r="H3734" i="1"/>
  <c r="I3734" i="1"/>
  <c r="J3734" i="1"/>
  <c r="K3734" i="1"/>
  <c r="L3734" i="1"/>
  <c r="A3735" i="1"/>
  <c r="B3735" i="1"/>
  <c r="C3735" i="1"/>
  <c r="D3735" i="1"/>
  <c r="E3735" i="1"/>
  <c r="F3735" i="1"/>
  <c r="G3735" i="1"/>
  <c r="H3735" i="1"/>
  <c r="I3735" i="1"/>
  <c r="J3735" i="1"/>
  <c r="K3735" i="1"/>
  <c r="L3735" i="1"/>
  <c r="A3736" i="1"/>
  <c r="B3736" i="1"/>
  <c r="C3736" i="1"/>
  <c r="D3736" i="1"/>
  <c r="E3736" i="1"/>
  <c r="F3736" i="1"/>
  <c r="G3736" i="1"/>
  <c r="H3736" i="1"/>
  <c r="I3736" i="1"/>
  <c r="J3736" i="1"/>
  <c r="K3736" i="1"/>
  <c r="L3736" i="1"/>
  <c r="A3737" i="1"/>
  <c r="B3737" i="1"/>
  <c r="C3737" i="1"/>
  <c r="D3737" i="1"/>
  <c r="E3737" i="1"/>
  <c r="F3737" i="1"/>
  <c r="G3737" i="1"/>
  <c r="H3737" i="1"/>
  <c r="I3737" i="1"/>
  <c r="J3737" i="1"/>
  <c r="K3737" i="1"/>
  <c r="L3737" i="1"/>
  <c r="A3738" i="1"/>
  <c r="B3738" i="1"/>
  <c r="C3738" i="1"/>
  <c r="D3738" i="1"/>
  <c r="E3738" i="1"/>
  <c r="F3738" i="1"/>
  <c r="G3738" i="1"/>
  <c r="H3738" i="1"/>
  <c r="I3738" i="1"/>
  <c r="J3738" i="1"/>
  <c r="K3738" i="1"/>
  <c r="L3738" i="1"/>
  <c r="A3739" i="1"/>
  <c r="B3739" i="1"/>
  <c r="C3739" i="1"/>
  <c r="D3739" i="1"/>
  <c r="E3739" i="1"/>
  <c r="F3739" i="1"/>
  <c r="G3739" i="1"/>
  <c r="H3739" i="1"/>
  <c r="I3739" i="1"/>
  <c r="J3739" i="1"/>
  <c r="K3739" i="1"/>
  <c r="L3739" i="1"/>
  <c r="A3740" i="1"/>
  <c r="B3740" i="1"/>
  <c r="C3740" i="1"/>
  <c r="D3740" i="1"/>
  <c r="E3740" i="1"/>
  <c r="F3740" i="1"/>
  <c r="G3740" i="1"/>
  <c r="H3740" i="1"/>
  <c r="I3740" i="1"/>
  <c r="J3740" i="1"/>
  <c r="K3740" i="1"/>
  <c r="L3740" i="1"/>
  <c r="A3741" i="1"/>
  <c r="B3741" i="1"/>
  <c r="C3741" i="1"/>
  <c r="D3741" i="1"/>
  <c r="E3741" i="1"/>
  <c r="F3741" i="1"/>
  <c r="G3741" i="1"/>
  <c r="H3741" i="1"/>
  <c r="I3741" i="1"/>
  <c r="J3741" i="1"/>
  <c r="K3741" i="1"/>
  <c r="L3741" i="1"/>
  <c r="A3742" i="1"/>
  <c r="B3742" i="1"/>
  <c r="C3742" i="1"/>
  <c r="D3742" i="1"/>
  <c r="E3742" i="1"/>
  <c r="F3742" i="1"/>
  <c r="G3742" i="1"/>
  <c r="H3742" i="1"/>
  <c r="I3742" i="1"/>
  <c r="J3742" i="1"/>
  <c r="K3742" i="1"/>
  <c r="L3742" i="1"/>
  <c r="A3743" i="1"/>
  <c r="B3743" i="1"/>
  <c r="C3743" i="1"/>
  <c r="D3743" i="1"/>
  <c r="E3743" i="1"/>
  <c r="F3743" i="1"/>
  <c r="G3743" i="1"/>
  <c r="H3743" i="1"/>
  <c r="I3743" i="1"/>
  <c r="J3743" i="1"/>
  <c r="K3743" i="1"/>
  <c r="L3743" i="1"/>
  <c r="A3744" i="1"/>
  <c r="B3744" i="1"/>
  <c r="C3744" i="1"/>
  <c r="D3744" i="1"/>
  <c r="E3744" i="1"/>
  <c r="F3744" i="1"/>
  <c r="G3744" i="1"/>
  <c r="H3744" i="1"/>
  <c r="I3744" i="1"/>
  <c r="J3744" i="1"/>
  <c r="K3744" i="1"/>
  <c r="L3744" i="1"/>
  <c r="A3745" i="1"/>
  <c r="B3745" i="1"/>
  <c r="C3745" i="1"/>
  <c r="D3745" i="1"/>
  <c r="E3745" i="1"/>
  <c r="F3745" i="1"/>
  <c r="G3745" i="1"/>
  <c r="H3745" i="1"/>
  <c r="I3745" i="1"/>
  <c r="J3745" i="1"/>
  <c r="K3745" i="1"/>
  <c r="L3745" i="1"/>
  <c r="A3746" i="1"/>
  <c r="B3746" i="1"/>
  <c r="C3746" i="1"/>
  <c r="D3746" i="1"/>
  <c r="E3746" i="1"/>
  <c r="F3746" i="1"/>
  <c r="G3746" i="1"/>
  <c r="H3746" i="1"/>
  <c r="I3746" i="1"/>
  <c r="J3746" i="1"/>
  <c r="K3746" i="1"/>
  <c r="L3746" i="1"/>
  <c r="A3747" i="1"/>
  <c r="B3747" i="1"/>
  <c r="C3747" i="1"/>
  <c r="D3747" i="1"/>
  <c r="E3747" i="1"/>
  <c r="F3747" i="1"/>
  <c r="G3747" i="1"/>
  <c r="H3747" i="1"/>
  <c r="I3747" i="1"/>
  <c r="J3747" i="1"/>
  <c r="K3747" i="1"/>
  <c r="L3747" i="1"/>
  <c r="A3748" i="1"/>
  <c r="B3748" i="1"/>
  <c r="C3748" i="1"/>
  <c r="D3748" i="1"/>
  <c r="E3748" i="1"/>
  <c r="F3748" i="1"/>
  <c r="G3748" i="1"/>
  <c r="H3748" i="1"/>
  <c r="I3748" i="1"/>
  <c r="J3748" i="1"/>
  <c r="K3748" i="1"/>
  <c r="L3748" i="1"/>
  <c r="A3749" i="1"/>
  <c r="B3749" i="1"/>
  <c r="C3749" i="1"/>
  <c r="D3749" i="1"/>
  <c r="E3749" i="1"/>
  <c r="F3749" i="1"/>
  <c r="G3749" i="1"/>
  <c r="H3749" i="1"/>
  <c r="I3749" i="1"/>
  <c r="J3749" i="1"/>
  <c r="K3749" i="1"/>
  <c r="L3749" i="1"/>
  <c r="A3750" i="1"/>
  <c r="B3750" i="1"/>
  <c r="C3750" i="1"/>
  <c r="D3750" i="1"/>
  <c r="E3750" i="1"/>
  <c r="F3750" i="1"/>
  <c r="G3750" i="1"/>
  <c r="H3750" i="1"/>
  <c r="I3750" i="1"/>
  <c r="J3750" i="1"/>
  <c r="K3750" i="1"/>
  <c r="L3750" i="1"/>
  <c r="A3751" i="1"/>
  <c r="B3751" i="1"/>
  <c r="C3751" i="1"/>
  <c r="D3751" i="1"/>
  <c r="E3751" i="1"/>
  <c r="F3751" i="1"/>
  <c r="G3751" i="1"/>
  <c r="H3751" i="1"/>
  <c r="I3751" i="1"/>
  <c r="J3751" i="1"/>
  <c r="K3751" i="1"/>
  <c r="L3751" i="1"/>
  <c r="A3752" i="1"/>
  <c r="B3752" i="1"/>
  <c r="C3752" i="1"/>
  <c r="D3752" i="1"/>
  <c r="E3752" i="1"/>
  <c r="F3752" i="1"/>
  <c r="G3752" i="1"/>
  <c r="H3752" i="1"/>
  <c r="I3752" i="1"/>
  <c r="J3752" i="1"/>
  <c r="K3752" i="1"/>
  <c r="L3752" i="1"/>
  <c r="A3753" i="1"/>
  <c r="B3753" i="1"/>
  <c r="C3753" i="1"/>
  <c r="D3753" i="1"/>
  <c r="E3753" i="1"/>
  <c r="F3753" i="1"/>
  <c r="G3753" i="1"/>
  <c r="H3753" i="1"/>
  <c r="I3753" i="1"/>
  <c r="J3753" i="1"/>
  <c r="K3753" i="1"/>
  <c r="L3753" i="1"/>
  <c r="A3754" i="1"/>
  <c r="B3754" i="1"/>
  <c r="C3754" i="1"/>
  <c r="D3754" i="1"/>
  <c r="E3754" i="1"/>
  <c r="F3754" i="1"/>
  <c r="G3754" i="1"/>
  <c r="H3754" i="1"/>
  <c r="I3754" i="1"/>
  <c r="J3754" i="1"/>
  <c r="K3754" i="1"/>
  <c r="L3754" i="1"/>
  <c r="A3755" i="1"/>
  <c r="B3755" i="1"/>
  <c r="C3755" i="1"/>
  <c r="D3755" i="1"/>
  <c r="E3755" i="1"/>
  <c r="F3755" i="1"/>
  <c r="G3755" i="1"/>
  <c r="H3755" i="1"/>
  <c r="I3755" i="1"/>
  <c r="J3755" i="1"/>
  <c r="K3755" i="1"/>
  <c r="L3755" i="1"/>
  <c r="A3756" i="1"/>
  <c r="B3756" i="1"/>
  <c r="C3756" i="1"/>
  <c r="D3756" i="1"/>
  <c r="E3756" i="1"/>
  <c r="F3756" i="1"/>
  <c r="G3756" i="1"/>
  <c r="H3756" i="1"/>
  <c r="I3756" i="1"/>
  <c r="J3756" i="1"/>
  <c r="K3756" i="1"/>
  <c r="L3756" i="1"/>
  <c r="A3757" i="1"/>
  <c r="B3757" i="1"/>
  <c r="C3757" i="1"/>
  <c r="D3757" i="1"/>
  <c r="E3757" i="1"/>
  <c r="F3757" i="1"/>
  <c r="G3757" i="1"/>
  <c r="H3757" i="1"/>
  <c r="I3757" i="1"/>
  <c r="J3757" i="1"/>
  <c r="K3757" i="1"/>
  <c r="L3757" i="1"/>
  <c r="A3758" i="1"/>
  <c r="B3758" i="1"/>
  <c r="C3758" i="1"/>
  <c r="D3758" i="1"/>
  <c r="E3758" i="1"/>
  <c r="F3758" i="1"/>
  <c r="G3758" i="1"/>
  <c r="H3758" i="1"/>
  <c r="I3758" i="1"/>
  <c r="J3758" i="1"/>
  <c r="K3758" i="1"/>
  <c r="L3758" i="1"/>
  <c r="A3759" i="1"/>
  <c r="B3759" i="1"/>
  <c r="C3759" i="1"/>
  <c r="D3759" i="1"/>
  <c r="E3759" i="1"/>
  <c r="F3759" i="1"/>
  <c r="G3759" i="1"/>
  <c r="H3759" i="1"/>
  <c r="I3759" i="1"/>
  <c r="J3759" i="1"/>
  <c r="K3759" i="1"/>
  <c r="L3759" i="1"/>
  <c r="A3760" i="1"/>
  <c r="B3760" i="1"/>
  <c r="C3760" i="1"/>
  <c r="D3760" i="1"/>
  <c r="E3760" i="1"/>
  <c r="F3760" i="1"/>
  <c r="G3760" i="1"/>
  <c r="H3760" i="1"/>
  <c r="I3760" i="1"/>
  <c r="J3760" i="1"/>
  <c r="K3760" i="1"/>
  <c r="L3760" i="1"/>
  <c r="A3761" i="1"/>
  <c r="B3761" i="1"/>
  <c r="C3761" i="1"/>
  <c r="D3761" i="1"/>
  <c r="E3761" i="1"/>
  <c r="F3761" i="1"/>
  <c r="G3761" i="1"/>
  <c r="H3761" i="1"/>
  <c r="I3761" i="1"/>
  <c r="J3761" i="1"/>
  <c r="K3761" i="1"/>
  <c r="L3761" i="1"/>
  <c r="A3762" i="1"/>
  <c r="B3762" i="1"/>
  <c r="C3762" i="1"/>
  <c r="D3762" i="1"/>
  <c r="E3762" i="1"/>
  <c r="F3762" i="1"/>
  <c r="G3762" i="1"/>
  <c r="H3762" i="1"/>
  <c r="I3762" i="1"/>
  <c r="J3762" i="1"/>
  <c r="K3762" i="1"/>
  <c r="L3762" i="1"/>
  <c r="A3763" i="1"/>
  <c r="B3763" i="1"/>
  <c r="C3763" i="1"/>
  <c r="D3763" i="1"/>
  <c r="E3763" i="1"/>
  <c r="F3763" i="1"/>
  <c r="G3763" i="1"/>
  <c r="H3763" i="1"/>
  <c r="I3763" i="1"/>
  <c r="J3763" i="1"/>
  <c r="K3763" i="1"/>
  <c r="L3763" i="1"/>
  <c r="A3764" i="1"/>
  <c r="B3764" i="1"/>
  <c r="C3764" i="1"/>
  <c r="D3764" i="1"/>
  <c r="E3764" i="1"/>
  <c r="F3764" i="1"/>
  <c r="G3764" i="1"/>
  <c r="H3764" i="1"/>
  <c r="I3764" i="1"/>
  <c r="J3764" i="1"/>
  <c r="K3764" i="1"/>
  <c r="L3764" i="1"/>
  <c r="A3765" i="1"/>
  <c r="B3765" i="1"/>
  <c r="C3765" i="1"/>
  <c r="D3765" i="1"/>
  <c r="E3765" i="1"/>
  <c r="F3765" i="1"/>
  <c r="G3765" i="1"/>
  <c r="H3765" i="1"/>
  <c r="I3765" i="1"/>
  <c r="J3765" i="1"/>
  <c r="K3765" i="1"/>
  <c r="L3765" i="1"/>
  <c r="A3766" i="1"/>
  <c r="B3766" i="1"/>
  <c r="C3766" i="1"/>
  <c r="D3766" i="1"/>
  <c r="E3766" i="1"/>
  <c r="F3766" i="1"/>
  <c r="G3766" i="1"/>
  <c r="H3766" i="1"/>
  <c r="I3766" i="1"/>
  <c r="J3766" i="1"/>
  <c r="K3766" i="1"/>
  <c r="L3766" i="1"/>
  <c r="A3767" i="1"/>
  <c r="B3767" i="1"/>
  <c r="C3767" i="1"/>
  <c r="D3767" i="1"/>
  <c r="E3767" i="1"/>
  <c r="F3767" i="1"/>
  <c r="G3767" i="1"/>
  <c r="H3767" i="1"/>
  <c r="I3767" i="1"/>
  <c r="J3767" i="1"/>
  <c r="K3767" i="1"/>
  <c r="L3767" i="1"/>
  <c r="A3768" i="1"/>
  <c r="B3768" i="1"/>
  <c r="C3768" i="1"/>
  <c r="D3768" i="1"/>
  <c r="E3768" i="1"/>
  <c r="F3768" i="1"/>
  <c r="G3768" i="1"/>
  <c r="H3768" i="1"/>
  <c r="I3768" i="1"/>
  <c r="J3768" i="1"/>
  <c r="K3768" i="1"/>
  <c r="L3768" i="1"/>
  <c r="A3769" i="1"/>
  <c r="B3769" i="1"/>
  <c r="C3769" i="1"/>
  <c r="D3769" i="1"/>
  <c r="E3769" i="1"/>
  <c r="F3769" i="1"/>
  <c r="G3769" i="1"/>
  <c r="H3769" i="1"/>
  <c r="I3769" i="1"/>
  <c r="J3769" i="1"/>
  <c r="K3769" i="1"/>
  <c r="L3769" i="1"/>
  <c r="A3770" i="1"/>
  <c r="B3770" i="1"/>
  <c r="C3770" i="1"/>
  <c r="D3770" i="1"/>
  <c r="E3770" i="1"/>
  <c r="F3770" i="1"/>
  <c r="G3770" i="1"/>
  <c r="H3770" i="1"/>
  <c r="I3770" i="1"/>
  <c r="J3770" i="1"/>
  <c r="K3770" i="1"/>
  <c r="L3770" i="1"/>
  <c r="A3771" i="1"/>
  <c r="B3771" i="1"/>
  <c r="C3771" i="1"/>
  <c r="D3771" i="1"/>
  <c r="E3771" i="1"/>
  <c r="F3771" i="1"/>
  <c r="G3771" i="1"/>
  <c r="H3771" i="1"/>
  <c r="I3771" i="1"/>
  <c r="J3771" i="1"/>
  <c r="K3771" i="1"/>
  <c r="L3771" i="1"/>
  <c r="A3772" i="1"/>
  <c r="B3772" i="1"/>
  <c r="C3772" i="1"/>
  <c r="D3772" i="1"/>
  <c r="E3772" i="1"/>
  <c r="F3772" i="1"/>
  <c r="G3772" i="1"/>
  <c r="H3772" i="1"/>
  <c r="I3772" i="1"/>
  <c r="J3772" i="1"/>
  <c r="K3772" i="1"/>
  <c r="L3772" i="1"/>
  <c r="A3773" i="1"/>
  <c r="B3773" i="1"/>
  <c r="C3773" i="1"/>
  <c r="D3773" i="1"/>
  <c r="E3773" i="1"/>
  <c r="F3773" i="1"/>
  <c r="G3773" i="1"/>
  <c r="H3773" i="1"/>
  <c r="I3773" i="1"/>
  <c r="J3773" i="1"/>
  <c r="K3773" i="1"/>
  <c r="L3773" i="1"/>
  <c r="A3774" i="1"/>
  <c r="B3774" i="1"/>
  <c r="C3774" i="1"/>
  <c r="D3774" i="1"/>
  <c r="E3774" i="1"/>
  <c r="F3774" i="1"/>
  <c r="G3774" i="1"/>
  <c r="H3774" i="1"/>
  <c r="I3774" i="1"/>
  <c r="J3774" i="1"/>
  <c r="K3774" i="1"/>
  <c r="L3774" i="1"/>
  <c r="A3775" i="1"/>
  <c r="B3775" i="1"/>
  <c r="C3775" i="1"/>
  <c r="D3775" i="1"/>
  <c r="E3775" i="1"/>
  <c r="F3775" i="1"/>
  <c r="G3775" i="1"/>
  <c r="H3775" i="1"/>
  <c r="I3775" i="1"/>
  <c r="J3775" i="1"/>
  <c r="K3775" i="1"/>
  <c r="L3775" i="1"/>
  <c r="A3776" i="1"/>
  <c r="B3776" i="1"/>
  <c r="C3776" i="1"/>
  <c r="D3776" i="1"/>
  <c r="E3776" i="1"/>
  <c r="F3776" i="1"/>
  <c r="G3776" i="1"/>
  <c r="H3776" i="1"/>
  <c r="I3776" i="1"/>
  <c r="J3776" i="1"/>
  <c r="K3776" i="1"/>
  <c r="L3776" i="1"/>
  <c r="A3777" i="1"/>
  <c r="B3777" i="1"/>
  <c r="C3777" i="1"/>
  <c r="D3777" i="1"/>
  <c r="E3777" i="1"/>
  <c r="F3777" i="1"/>
  <c r="G3777" i="1"/>
  <c r="H3777" i="1"/>
  <c r="I3777" i="1"/>
  <c r="J3777" i="1"/>
  <c r="K3777" i="1"/>
  <c r="L3777" i="1"/>
  <c r="A3778" i="1"/>
  <c r="B3778" i="1"/>
  <c r="C3778" i="1"/>
  <c r="D3778" i="1"/>
  <c r="E3778" i="1"/>
  <c r="F3778" i="1"/>
  <c r="G3778" i="1"/>
  <c r="H3778" i="1"/>
  <c r="I3778" i="1"/>
  <c r="J3778" i="1"/>
  <c r="K3778" i="1"/>
  <c r="L3778" i="1"/>
  <c r="A3779" i="1"/>
  <c r="B3779" i="1"/>
  <c r="C3779" i="1"/>
  <c r="D3779" i="1"/>
  <c r="E3779" i="1"/>
  <c r="F3779" i="1"/>
  <c r="G3779" i="1"/>
  <c r="H3779" i="1"/>
  <c r="I3779" i="1"/>
  <c r="J3779" i="1"/>
  <c r="K3779" i="1"/>
  <c r="L3779" i="1"/>
  <c r="A3780" i="1"/>
  <c r="B3780" i="1"/>
  <c r="C3780" i="1"/>
  <c r="D3780" i="1"/>
  <c r="E3780" i="1"/>
  <c r="F3780" i="1"/>
  <c r="G3780" i="1"/>
  <c r="H3780" i="1"/>
  <c r="I3780" i="1"/>
  <c r="J3780" i="1"/>
  <c r="K3780" i="1"/>
  <c r="L3780" i="1"/>
  <c r="A3781" i="1"/>
  <c r="B3781" i="1"/>
  <c r="C3781" i="1"/>
  <c r="D3781" i="1"/>
  <c r="E3781" i="1"/>
  <c r="F3781" i="1"/>
  <c r="G3781" i="1"/>
  <c r="H3781" i="1"/>
  <c r="I3781" i="1"/>
  <c r="J3781" i="1"/>
  <c r="K3781" i="1"/>
  <c r="L3781" i="1"/>
  <c r="A3782" i="1"/>
  <c r="B3782" i="1"/>
  <c r="C3782" i="1"/>
  <c r="D3782" i="1"/>
  <c r="E3782" i="1"/>
  <c r="F3782" i="1"/>
  <c r="G3782" i="1"/>
  <c r="H3782" i="1"/>
  <c r="I3782" i="1"/>
  <c r="J3782" i="1"/>
  <c r="K3782" i="1"/>
  <c r="L3782" i="1"/>
  <c r="A3783" i="1"/>
  <c r="B3783" i="1"/>
  <c r="C3783" i="1"/>
  <c r="D3783" i="1"/>
  <c r="E3783" i="1"/>
  <c r="F3783" i="1"/>
  <c r="G3783" i="1"/>
  <c r="H3783" i="1"/>
  <c r="I3783" i="1"/>
  <c r="J3783" i="1"/>
  <c r="K3783" i="1"/>
  <c r="L3783" i="1"/>
  <c r="A3784" i="1"/>
  <c r="B3784" i="1"/>
  <c r="C3784" i="1"/>
  <c r="D3784" i="1"/>
  <c r="E3784" i="1"/>
  <c r="F3784" i="1"/>
  <c r="G3784" i="1"/>
  <c r="H3784" i="1"/>
  <c r="I3784" i="1"/>
  <c r="J3784" i="1"/>
  <c r="K3784" i="1"/>
  <c r="L3784" i="1"/>
  <c r="A3785" i="1"/>
  <c r="B3785" i="1"/>
  <c r="C3785" i="1"/>
  <c r="D3785" i="1"/>
  <c r="E3785" i="1"/>
  <c r="F3785" i="1"/>
  <c r="G3785" i="1"/>
  <c r="H3785" i="1"/>
  <c r="I3785" i="1"/>
  <c r="J3785" i="1"/>
  <c r="K3785" i="1"/>
  <c r="L3785" i="1"/>
  <c r="A3786" i="1"/>
  <c r="B3786" i="1"/>
  <c r="C3786" i="1"/>
  <c r="D3786" i="1"/>
  <c r="E3786" i="1"/>
  <c r="F3786" i="1"/>
  <c r="G3786" i="1"/>
  <c r="H3786" i="1"/>
  <c r="I3786" i="1"/>
  <c r="J3786" i="1"/>
  <c r="K3786" i="1"/>
  <c r="L3786" i="1"/>
  <c r="A3787" i="1"/>
  <c r="B3787" i="1"/>
  <c r="C3787" i="1"/>
  <c r="D3787" i="1"/>
  <c r="E3787" i="1"/>
  <c r="F3787" i="1"/>
  <c r="G3787" i="1"/>
  <c r="H3787" i="1"/>
  <c r="I3787" i="1"/>
  <c r="J3787" i="1"/>
  <c r="K3787" i="1"/>
  <c r="L3787" i="1"/>
  <c r="A3788" i="1"/>
  <c r="B3788" i="1"/>
  <c r="C3788" i="1"/>
  <c r="D3788" i="1"/>
  <c r="E3788" i="1"/>
  <c r="F3788" i="1"/>
  <c r="G3788" i="1"/>
  <c r="H3788" i="1"/>
  <c r="I3788" i="1"/>
  <c r="J3788" i="1"/>
  <c r="K3788" i="1"/>
  <c r="L3788" i="1"/>
  <c r="A3789" i="1"/>
  <c r="B3789" i="1"/>
  <c r="C3789" i="1"/>
  <c r="D3789" i="1"/>
  <c r="E3789" i="1"/>
  <c r="F3789" i="1"/>
  <c r="G3789" i="1"/>
  <c r="H3789" i="1"/>
  <c r="I3789" i="1"/>
  <c r="J3789" i="1"/>
  <c r="K3789" i="1"/>
  <c r="L3789" i="1"/>
  <c r="A3790" i="1"/>
  <c r="B3790" i="1"/>
  <c r="C3790" i="1"/>
  <c r="D3790" i="1"/>
  <c r="E3790" i="1"/>
  <c r="F3790" i="1"/>
  <c r="G3790" i="1"/>
  <c r="H3790" i="1"/>
  <c r="I3790" i="1"/>
  <c r="J3790" i="1"/>
  <c r="K3790" i="1"/>
  <c r="L3790" i="1"/>
  <c r="A3791" i="1"/>
  <c r="B3791" i="1"/>
  <c r="C3791" i="1"/>
  <c r="D3791" i="1"/>
  <c r="E3791" i="1"/>
  <c r="F3791" i="1"/>
  <c r="G3791" i="1"/>
  <c r="H3791" i="1"/>
  <c r="I3791" i="1"/>
  <c r="J3791" i="1"/>
  <c r="K3791" i="1"/>
  <c r="L3791" i="1"/>
  <c r="A3792" i="1"/>
  <c r="B3792" i="1"/>
  <c r="C3792" i="1"/>
  <c r="D3792" i="1"/>
  <c r="E3792" i="1"/>
  <c r="F3792" i="1"/>
  <c r="G3792" i="1"/>
  <c r="H3792" i="1"/>
  <c r="I3792" i="1"/>
  <c r="J3792" i="1"/>
  <c r="K3792" i="1"/>
  <c r="L3792" i="1"/>
  <c r="A3793" i="1"/>
  <c r="B3793" i="1"/>
  <c r="C3793" i="1"/>
  <c r="D3793" i="1"/>
  <c r="E3793" i="1"/>
  <c r="F3793" i="1"/>
  <c r="G3793" i="1"/>
  <c r="H3793" i="1"/>
  <c r="I3793" i="1"/>
  <c r="J3793" i="1"/>
  <c r="K3793" i="1"/>
  <c r="L3793" i="1"/>
  <c r="A3794" i="1"/>
  <c r="B3794" i="1"/>
  <c r="C3794" i="1"/>
  <c r="D3794" i="1"/>
  <c r="E3794" i="1"/>
  <c r="F3794" i="1"/>
  <c r="G3794" i="1"/>
  <c r="H3794" i="1"/>
  <c r="I3794" i="1"/>
  <c r="J3794" i="1"/>
  <c r="K3794" i="1"/>
  <c r="L3794" i="1"/>
  <c r="A3795" i="1"/>
  <c r="B3795" i="1"/>
  <c r="C3795" i="1"/>
  <c r="D3795" i="1"/>
  <c r="E3795" i="1"/>
  <c r="F3795" i="1"/>
  <c r="G3795" i="1"/>
  <c r="H3795" i="1"/>
  <c r="I3795" i="1"/>
  <c r="J3795" i="1"/>
  <c r="K3795" i="1"/>
  <c r="L3795" i="1"/>
  <c r="A3796" i="1"/>
  <c r="B3796" i="1"/>
  <c r="C3796" i="1"/>
  <c r="D3796" i="1"/>
  <c r="E3796" i="1"/>
  <c r="F3796" i="1"/>
  <c r="G3796" i="1"/>
  <c r="H3796" i="1"/>
  <c r="I3796" i="1"/>
  <c r="J3796" i="1"/>
  <c r="K3796" i="1"/>
  <c r="L3796" i="1"/>
  <c r="A3797" i="1"/>
  <c r="B3797" i="1"/>
  <c r="C3797" i="1"/>
  <c r="D3797" i="1"/>
  <c r="E3797" i="1"/>
  <c r="F3797" i="1"/>
  <c r="G3797" i="1"/>
  <c r="H3797" i="1"/>
  <c r="I3797" i="1"/>
  <c r="J3797" i="1"/>
  <c r="K3797" i="1"/>
  <c r="L3797" i="1"/>
  <c r="A3798" i="1"/>
  <c r="B3798" i="1"/>
  <c r="C3798" i="1"/>
  <c r="D3798" i="1"/>
  <c r="E3798" i="1"/>
  <c r="F3798" i="1"/>
  <c r="G3798" i="1"/>
  <c r="H3798" i="1"/>
  <c r="I3798" i="1"/>
  <c r="J3798" i="1"/>
  <c r="K3798" i="1"/>
  <c r="L3798" i="1"/>
  <c r="A3799" i="1"/>
  <c r="B3799" i="1"/>
  <c r="C3799" i="1"/>
  <c r="D3799" i="1"/>
  <c r="E3799" i="1"/>
  <c r="F3799" i="1"/>
  <c r="G3799" i="1"/>
  <c r="H3799" i="1"/>
  <c r="I3799" i="1"/>
  <c r="J3799" i="1"/>
  <c r="K3799" i="1"/>
  <c r="L3799" i="1"/>
  <c r="A3800" i="1"/>
  <c r="B3800" i="1"/>
  <c r="C3800" i="1"/>
  <c r="D3800" i="1"/>
  <c r="E3800" i="1"/>
  <c r="F3800" i="1"/>
  <c r="G3800" i="1"/>
  <c r="H3800" i="1"/>
  <c r="I3800" i="1"/>
  <c r="J3800" i="1"/>
  <c r="K3800" i="1"/>
  <c r="L3800" i="1"/>
  <c r="A3801" i="1"/>
  <c r="B3801" i="1"/>
  <c r="C3801" i="1"/>
  <c r="D3801" i="1"/>
  <c r="E3801" i="1"/>
  <c r="F3801" i="1"/>
  <c r="G3801" i="1"/>
  <c r="H3801" i="1"/>
  <c r="I3801" i="1"/>
  <c r="J3801" i="1"/>
  <c r="K3801" i="1"/>
  <c r="L3801" i="1"/>
  <c r="A3802" i="1"/>
  <c r="B3802" i="1"/>
  <c r="C3802" i="1"/>
  <c r="D3802" i="1"/>
  <c r="E3802" i="1"/>
  <c r="F3802" i="1"/>
  <c r="G3802" i="1"/>
  <c r="H3802" i="1"/>
  <c r="I3802" i="1"/>
  <c r="J3802" i="1"/>
  <c r="K3802" i="1"/>
  <c r="L3802" i="1"/>
  <c r="A3803" i="1"/>
  <c r="B3803" i="1"/>
  <c r="C3803" i="1"/>
  <c r="D3803" i="1"/>
  <c r="E3803" i="1"/>
  <c r="F3803" i="1"/>
  <c r="G3803" i="1"/>
  <c r="H3803" i="1"/>
  <c r="I3803" i="1"/>
  <c r="J3803" i="1"/>
  <c r="K3803" i="1"/>
  <c r="L3803" i="1"/>
  <c r="A3804" i="1"/>
  <c r="B3804" i="1"/>
  <c r="C3804" i="1"/>
  <c r="D3804" i="1"/>
  <c r="E3804" i="1"/>
  <c r="F3804" i="1"/>
  <c r="G3804" i="1"/>
  <c r="H3804" i="1"/>
  <c r="I3804" i="1"/>
  <c r="J3804" i="1"/>
  <c r="K3804" i="1"/>
  <c r="L3804" i="1"/>
  <c r="A3805" i="1"/>
  <c r="B3805" i="1"/>
  <c r="C3805" i="1"/>
  <c r="D3805" i="1"/>
  <c r="E3805" i="1"/>
  <c r="F3805" i="1"/>
  <c r="G3805" i="1"/>
  <c r="H3805" i="1"/>
  <c r="I3805" i="1"/>
  <c r="J3805" i="1"/>
  <c r="K3805" i="1"/>
  <c r="L3805" i="1"/>
  <c r="A3806" i="1"/>
  <c r="B3806" i="1"/>
  <c r="C3806" i="1"/>
  <c r="D3806" i="1"/>
  <c r="E3806" i="1"/>
  <c r="F3806" i="1"/>
  <c r="G3806" i="1"/>
  <c r="H3806" i="1"/>
  <c r="I3806" i="1"/>
  <c r="J3806" i="1"/>
  <c r="K3806" i="1"/>
  <c r="L3806" i="1"/>
  <c r="A3807" i="1"/>
  <c r="B3807" i="1"/>
  <c r="C3807" i="1"/>
  <c r="D3807" i="1"/>
  <c r="E3807" i="1"/>
  <c r="F3807" i="1"/>
  <c r="G3807" i="1"/>
  <c r="H3807" i="1"/>
  <c r="I3807" i="1"/>
  <c r="J3807" i="1"/>
  <c r="K3807" i="1"/>
  <c r="L3807" i="1"/>
  <c r="A3808" i="1"/>
  <c r="B3808" i="1"/>
  <c r="C3808" i="1"/>
  <c r="D3808" i="1"/>
  <c r="E3808" i="1"/>
  <c r="F3808" i="1"/>
  <c r="G3808" i="1"/>
  <c r="H3808" i="1"/>
  <c r="I3808" i="1"/>
  <c r="J3808" i="1"/>
  <c r="K3808" i="1"/>
  <c r="L3808" i="1"/>
  <c r="A3809" i="1"/>
  <c r="B3809" i="1"/>
  <c r="C3809" i="1"/>
  <c r="D3809" i="1"/>
  <c r="E3809" i="1"/>
  <c r="F3809" i="1"/>
  <c r="G3809" i="1"/>
  <c r="H3809" i="1"/>
  <c r="I3809" i="1"/>
  <c r="J3809" i="1"/>
  <c r="K3809" i="1"/>
  <c r="L3809" i="1"/>
  <c r="A3810" i="1"/>
  <c r="B3810" i="1"/>
  <c r="C3810" i="1"/>
  <c r="D3810" i="1"/>
  <c r="E3810" i="1"/>
  <c r="F3810" i="1"/>
  <c r="G3810" i="1"/>
  <c r="H3810" i="1"/>
  <c r="I3810" i="1"/>
  <c r="J3810" i="1"/>
  <c r="K3810" i="1"/>
  <c r="L3810" i="1"/>
  <c r="A3811" i="1"/>
  <c r="B3811" i="1"/>
  <c r="C3811" i="1"/>
  <c r="D3811" i="1"/>
  <c r="E3811" i="1"/>
  <c r="F3811" i="1"/>
  <c r="G3811" i="1"/>
  <c r="H3811" i="1"/>
  <c r="I3811" i="1"/>
  <c r="J3811" i="1"/>
  <c r="K3811" i="1"/>
  <c r="L3811" i="1"/>
  <c r="A3812" i="1"/>
  <c r="B3812" i="1"/>
  <c r="C3812" i="1"/>
  <c r="D3812" i="1"/>
  <c r="E3812" i="1"/>
  <c r="F3812" i="1"/>
  <c r="G3812" i="1"/>
  <c r="H3812" i="1"/>
  <c r="I3812" i="1"/>
  <c r="J3812" i="1"/>
  <c r="K3812" i="1"/>
  <c r="L3812" i="1"/>
  <c r="A3813" i="1"/>
  <c r="B3813" i="1"/>
  <c r="C3813" i="1"/>
  <c r="D3813" i="1"/>
  <c r="E3813" i="1"/>
  <c r="F3813" i="1"/>
  <c r="G3813" i="1"/>
  <c r="H3813" i="1"/>
  <c r="I3813" i="1"/>
  <c r="J3813" i="1"/>
  <c r="K3813" i="1"/>
  <c r="L3813" i="1"/>
  <c r="A3814" i="1"/>
  <c r="B3814" i="1"/>
  <c r="C3814" i="1"/>
  <c r="D3814" i="1"/>
  <c r="E3814" i="1"/>
  <c r="F3814" i="1"/>
  <c r="G3814" i="1"/>
  <c r="H3814" i="1"/>
  <c r="I3814" i="1"/>
  <c r="J3814" i="1"/>
  <c r="K3814" i="1"/>
  <c r="L3814" i="1"/>
  <c r="A3815" i="1"/>
  <c r="B3815" i="1"/>
  <c r="C3815" i="1"/>
  <c r="D3815" i="1"/>
  <c r="E3815" i="1"/>
  <c r="F3815" i="1"/>
  <c r="G3815" i="1"/>
  <c r="H3815" i="1"/>
  <c r="I3815" i="1"/>
  <c r="J3815" i="1"/>
  <c r="K3815" i="1"/>
  <c r="L3815" i="1"/>
  <c r="A3816" i="1"/>
  <c r="B3816" i="1"/>
  <c r="C3816" i="1"/>
  <c r="D3816" i="1"/>
  <c r="E3816" i="1"/>
  <c r="F3816" i="1"/>
  <c r="G3816" i="1"/>
  <c r="H3816" i="1"/>
  <c r="I3816" i="1"/>
  <c r="J3816" i="1"/>
  <c r="K3816" i="1"/>
  <c r="L3816" i="1"/>
  <c r="A3817" i="1"/>
  <c r="B3817" i="1"/>
  <c r="C3817" i="1"/>
  <c r="D3817" i="1"/>
  <c r="E3817" i="1"/>
  <c r="F3817" i="1"/>
  <c r="G3817" i="1"/>
  <c r="H3817" i="1"/>
  <c r="I3817" i="1"/>
  <c r="J3817" i="1"/>
  <c r="K3817" i="1"/>
  <c r="L3817" i="1"/>
  <c r="A3818" i="1"/>
  <c r="B3818" i="1"/>
  <c r="C3818" i="1"/>
  <c r="D3818" i="1"/>
  <c r="E3818" i="1"/>
  <c r="F3818" i="1"/>
  <c r="G3818" i="1"/>
  <c r="H3818" i="1"/>
  <c r="I3818" i="1"/>
  <c r="J3818" i="1"/>
  <c r="K3818" i="1"/>
  <c r="L3818" i="1"/>
  <c r="A3819" i="1"/>
  <c r="B3819" i="1"/>
  <c r="C3819" i="1"/>
  <c r="D3819" i="1"/>
  <c r="E3819" i="1"/>
  <c r="F3819" i="1"/>
  <c r="G3819" i="1"/>
  <c r="H3819" i="1"/>
  <c r="I3819" i="1"/>
  <c r="J3819" i="1"/>
  <c r="K3819" i="1"/>
  <c r="L3819" i="1"/>
  <c r="A3820" i="1"/>
  <c r="B3820" i="1"/>
  <c r="C3820" i="1"/>
  <c r="D3820" i="1"/>
  <c r="E3820" i="1"/>
  <c r="F3820" i="1"/>
  <c r="G3820" i="1"/>
  <c r="H3820" i="1"/>
  <c r="I3820" i="1"/>
  <c r="J3820" i="1"/>
  <c r="K3820" i="1"/>
  <c r="L3820" i="1"/>
  <c r="A3821" i="1"/>
  <c r="B3821" i="1"/>
  <c r="C3821" i="1"/>
  <c r="D3821" i="1"/>
  <c r="E3821" i="1"/>
  <c r="F3821" i="1"/>
  <c r="G3821" i="1"/>
  <c r="H3821" i="1"/>
  <c r="I3821" i="1"/>
  <c r="J3821" i="1"/>
  <c r="K3821" i="1"/>
  <c r="L3821" i="1"/>
  <c r="A3822" i="1"/>
  <c r="B3822" i="1"/>
  <c r="C3822" i="1"/>
  <c r="D3822" i="1"/>
  <c r="E3822" i="1"/>
  <c r="F3822" i="1"/>
  <c r="G3822" i="1"/>
  <c r="H3822" i="1"/>
  <c r="I3822" i="1"/>
  <c r="J3822" i="1"/>
  <c r="K3822" i="1"/>
  <c r="L3822" i="1"/>
  <c r="A3823" i="1"/>
  <c r="B3823" i="1"/>
  <c r="C3823" i="1"/>
  <c r="D3823" i="1"/>
  <c r="E3823" i="1"/>
  <c r="F3823" i="1"/>
  <c r="G3823" i="1"/>
  <c r="H3823" i="1"/>
  <c r="I3823" i="1"/>
  <c r="J3823" i="1"/>
  <c r="K3823" i="1"/>
  <c r="L3823" i="1"/>
  <c r="A3824" i="1"/>
  <c r="B3824" i="1"/>
  <c r="C3824" i="1"/>
  <c r="D3824" i="1"/>
  <c r="E3824" i="1"/>
  <c r="F3824" i="1"/>
  <c r="G3824" i="1"/>
  <c r="H3824" i="1"/>
  <c r="I3824" i="1"/>
  <c r="J3824" i="1"/>
  <c r="K3824" i="1"/>
  <c r="L3824" i="1"/>
  <c r="A3825" i="1"/>
  <c r="B3825" i="1"/>
  <c r="C3825" i="1"/>
  <c r="D3825" i="1"/>
  <c r="E3825" i="1"/>
  <c r="F3825" i="1"/>
  <c r="G3825" i="1"/>
  <c r="H3825" i="1"/>
  <c r="I3825" i="1"/>
  <c r="J3825" i="1"/>
  <c r="K3825" i="1"/>
  <c r="L3825" i="1"/>
  <c r="A3826" i="1"/>
  <c r="B3826" i="1"/>
  <c r="C3826" i="1"/>
  <c r="D3826" i="1"/>
  <c r="E3826" i="1"/>
  <c r="F3826" i="1"/>
  <c r="G3826" i="1"/>
  <c r="H3826" i="1"/>
  <c r="I3826" i="1"/>
  <c r="J3826" i="1"/>
  <c r="K3826" i="1"/>
  <c r="L3826" i="1"/>
  <c r="A3827" i="1"/>
  <c r="B3827" i="1"/>
  <c r="C3827" i="1"/>
  <c r="D3827" i="1"/>
  <c r="E3827" i="1"/>
  <c r="F3827" i="1"/>
  <c r="G3827" i="1"/>
  <c r="H3827" i="1"/>
  <c r="I3827" i="1"/>
  <c r="J3827" i="1"/>
  <c r="K3827" i="1"/>
  <c r="L3827" i="1"/>
  <c r="A3828" i="1"/>
  <c r="B3828" i="1"/>
  <c r="C3828" i="1"/>
  <c r="D3828" i="1"/>
  <c r="E3828" i="1"/>
  <c r="F3828" i="1"/>
  <c r="G3828" i="1"/>
  <c r="H3828" i="1"/>
  <c r="I3828" i="1"/>
  <c r="J3828" i="1"/>
  <c r="K3828" i="1"/>
  <c r="L3828" i="1"/>
  <c r="A3829" i="1"/>
  <c r="B3829" i="1"/>
  <c r="C3829" i="1"/>
  <c r="D3829" i="1"/>
  <c r="E3829" i="1"/>
  <c r="F3829" i="1"/>
  <c r="G3829" i="1"/>
  <c r="H3829" i="1"/>
  <c r="I3829" i="1"/>
  <c r="J3829" i="1"/>
  <c r="K3829" i="1"/>
  <c r="L3829" i="1"/>
  <c r="A3830" i="1"/>
  <c r="B3830" i="1"/>
  <c r="C3830" i="1"/>
  <c r="D3830" i="1"/>
  <c r="E3830" i="1"/>
  <c r="F3830" i="1"/>
  <c r="G3830" i="1"/>
  <c r="H3830" i="1"/>
  <c r="I3830" i="1"/>
  <c r="J3830" i="1"/>
  <c r="K3830" i="1"/>
  <c r="L3830" i="1"/>
  <c r="A3831" i="1"/>
  <c r="B3831" i="1"/>
  <c r="C3831" i="1"/>
  <c r="D3831" i="1"/>
  <c r="E3831" i="1"/>
  <c r="F3831" i="1"/>
  <c r="G3831" i="1"/>
  <c r="H3831" i="1"/>
  <c r="I3831" i="1"/>
  <c r="J3831" i="1"/>
  <c r="K3831" i="1"/>
  <c r="L3831" i="1"/>
  <c r="A3832" i="1"/>
  <c r="B3832" i="1"/>
  <c r="C3832" i="1"/>
  <c r="D3832" i="1"/>
  <c r="E3832" i="1"/>
  <c r="F3832" i="1"/>
  <c r="G3832" i="1"/>
  <c r="H3832" i="1"/>
  <c r="I3832" i="1"/>
  <c r="J3832" i="1"/>
  <c r="K3832" i="1"/>
  <c r="L3832" i="1"/>
  <c r="A3833" i="1"/>
  <c r="B3833" i="1"/>
  <c r="C3833" i="1"/>
  <c r="D3833" i="1"/>
  <c r="E3833" i="1"/>
  <c r="F3833" i="1"/>
  <c r="G3833" i="1"/>
  <c r="H3833" i="1"/>
  <c r="I3833" i="1"/>
  <c r="J3833" i="1"/>
  <c r="K3833" i="1"/>
  <c r="L3833" i="1"/>
  <c r="A3834" i="1"/>
  <c r="B3834" i="1"/>
  <c r="C3834" i="1"/>
  <c r="D3834" i="1"/>
  <c r="E3834" i="1"/>
  <c r="F3834" i="1"/>
  <c r="G3834" i="1"/>
  <c r="H3834" i="1"/>
  <c r="I3834" i="1"/>
  <c r="J3834" i="1"/>
  <c r="K3834" i="1"/>
  <c r="L3834" i="1"/>
  <c r="A3835" i="1"/>
  <c r="B3835" i="1"/>
  <c r="C3835" i="1"/>
  <c r="D3835" i="1"/>
  <c r="E3835" i="1"/>
  <c r="F3835" i="1"/>
  <c r="G3835" i="1"/>
  <c r="H3835" i="1"/>
  <c r="I3835" i="1"/>
  <c r="J3835" i="1"/>
  <c r="K3835" i="1"/>
  <c r="L3835" i="1"/>
  <c r="A3836" i="1"/>
  <c r="B3836" i="1"/>
  <c r="C3836" i="1"/>
  <c r="D3836" i="1"/>
  <c r="E3836" i="1"/>
  <c r="F3836" i="1"/>
  <c r="G3836" i="1"/>
  <c r="H3836" i="1"/>
  <c r="I3836" i="1"/>
  <c r="J3836" i="1"/>
  <c r="K3836" i="1"/>
  <c r="L3836" i="1"/>
  <c r="A3837" i="1"/>
  <c r="B3837" i="1"/>
  <c r="C3837" i="1"/>
  <c r="D3837" i="1"/>
  <c r="E3837" i="1"/>
  <c r="F3837" i="1"/>
  <c r="G3837" i="1"/>
  <c r="H3837" i="1"/>
  <c r="I3837" i="1"/>
  <c r="J3837" i="1"/>
  <c r="K3837" i="1"/>
  <c r="L3837" i="1"/>
  <c r="A3838" i="1"/>
  <c r="B3838" i="1"/>
  <c r="C3838" i="1"/>
  <c r="D3838" i="1"/>
  <c r="E3838" i="1"/>
  <c r="F3838" i="1"/>
  <c r="G3838" i="1"/>
  <c r="H3838" i="1"/>
  <c r="I3838" i="1"/>
  <c r="J3838" i="1"/>
  <c r="K3838" i="1"/>
  <c r="L3838" i="1"/>
  <c r="A3839" i="1"/>
  <c r="B3839" i="1"/>
  <c r="C3839" i="1"/>
  <c r="D3839" i="1"/>
  <c r="E3839" i="1"/>
  <c r="F3839" i="1"/>
  <c r="G3839" i="1"/>
  <c r="H3839" i="1"/>
  <c r="I3839" i="1"/>
  <c r="J3839" i="1"/>
  <c r="K3839" i="1"/>
  <c r="L3839" i="1"/>
  <c r="A3840" i="1"/>
  <c r="B3840" i="1"/>
  <c r="C3840" i="1"/>
  <c r="D3840" i="1"/>
  <c r="E3840" i="1"/>
  <c r="F3840" i="1"/>
  <c r="G3840" i="1"/>
  <c r="H3840" i="1"/>
  <c r="I3840" i="1"/>
  <c r="J3840" i="1"/>
  <c r="K3840" i="1"/>
  <c r="L3840" i="1"/>
  <c r="A3841" i="1"/>
  <c r="B3841" i="1"/>
  <c r="C3841" i="1"/>
  <c r="D3841" i="1"/>
  <c r="E3841" i="1"/>
  <c r="F3841" i="1"/>
  <c r="G3841" i="1"/>
  <c r="H3841" i="1"/>
  <c r="I3841" i="1"/>
  <c r="J3841" i="1"/>
  <c r="K3841" i="1"/>
  <c r="L3841" i="1"/>
  <c r="A3842" i="1"/>
  <c r="B3842" i="1"/>
  <c r="C3842" i="1"/>
  <c r="D3842" i="1"/>
  <c r="E3842" i="1"/>
  <c r="F3842" i="1"/>
  <c r="G3842" i="1"/>
  <c r="H3842" i="1"/>
  <c r="I3842" i="1"/>
  <c r="J3842" i="1"/>
  <c r="K3842" i="1"/>
  <c r="L3842" i="1"/>
  <c r="A3843" i="1"/>
  <c r="B3843" i="1"/>
  <c r="C3843" i="1"/>
  <c r="D3843" i="1"/>
  <c r="E3843" i="1"/>
  <c r="F3843" i="1"/>
  <c r="G3843" i="1"/>
  <c r="H3843" i="1"/>
  <c r="I3843" i="1"/>
  <c r="J3843" i="1"/>
  <c r="K3843" i="1"/>
  <c r="L3843" i="1"/>
  <c r="A3844" i="1"/>
  <c r="B3844" i="1"/>
  <c r="C3844" i="1"/>
  <c r="D3844" i="1"/>
  <c r="E3844" i="1"/>
  <c r="F3844" i="1"/>
  <c r="G3844" i="1"/>
  <c r="H3844" i="1"/>
  <c r="I3844" i="1"/>
  <c r="J3844" i="1"/>
  <c r="K3844" i="1"/>
  <c r="L3844" i="1"/>
  <c r="A3845" i="1"/>
  <c r="B3845" i="1"/>
  <c r="C3845" i="1"/>
  <c r="D3845" i="1"/>
  <c r="E3845" i="1"/>
  <c r="F3845" i="1"/>
  <c r="G3845" i="1"/>
  <c r="H3845" i="1"/>
  <c r="I3845" i="1"/>
  <c r="J3845" i="1"/>
  <c r="K3845" i="1"/>
  <c r="L3845" i="1"/>
  <c r="A3846" i="1"/>
  <c r="B3846" i="1"/>
  <c r="C3846" i="1"/>
  <c r="D3846" i="1"/>
  <c r="E3846" i="1"/>
  <c r="F3846" i="1"/>
  <c r="G3846" i="1"/>
  <c r="H3846" i="1"/>
  <c r="I3846" i="1"/>
  <c r="J3846" i="1"/>
  <c r="K3846" i="1"/>
  <c r="L3846" i="1"/>
  <c r="A3847" i="1"/>
  <c r="B3847" i="1"/>
  <c r="C3847" i="1"/>
  <c r="D3847" i="1"/>
  <c r="E3847" i="1"/>
  <c r="F3847" i="1"/>
  <c r="G3847" i="1"/>
  <c r="H3847" i="1"/>
  <c r="I3847" i="1"/>
  <c r="J3847" i="1"/>
  <c r="K3847" i="1"/>
  <c r="L3847" i="1"/>
  <c r="A3848" i="1"/>
  <c r="B3848" i="1"/>
  <c r="C3848" i="1"/>
  <c r="D3848" i="1"/>
  <c r="E3848" i="1"/>
  <c r="F3848" i="1"/>
  <c r="G3848" i="1"/>
  <c r="H3848" i="1"/>
  <c r="I3848" i="1"/>
  <c r="J3848" i="1"/>
  <c r="K3848" i="1"/>
  <c r="L3848" i="1"/>
  <c r="A3849" i="1"/>
  <c r="B3849" i="1"/>
  <c r="C3849" i="1"/>
  <c r="D3849" i="1"/>
  <c r="E3849" i="1"/>
  <c r="F3849" i="1"/>
  <c r="G3849" i="1"/>
  <c r="H3849" i="1"/>
  <c r="I3849" i="1"/>
  <c r="J3849" i="1"/>
  <c r="K3849" i="1"/>
  <c r="L3849" i="1"/>
  <c r="A3850" i="1"/>
  <c r="B3850" i="1"/>
  <c r="C3850" i="1"/>
  <c r="D3850" i="1"/>
  <c r="E3850" i="1"/>
  <c r="F3850" i="1"/>
  <c r="G3850" i="1"/>
  <c r="H3850" i="1"/>
  <c r="I3850" i="1"/>
  <c r="J3850" i="1"/>
  <c r="K3850" i="1"/>
  <c r="L3850" i="1"/>
  <c r="A3851" i="1"/>
  <c r="B3851" i="1"/>
  <c r="C3851" i="1"/>
  <c r="D3851" i="1"/>
  <c r="E3851" i="1"/>
  <c r="F3851" i="1"/>
  <c r="G3851" i="1"/>
  <c r="H3851" i="1"/>
  <c r="I3851" i="1"/>
  <c r="J3851" i="1"/>
  <c r="K3851" i="1"/>
  <c r="L3851" i="1"/>
  <c r="A3852" i="1"/>
  <c r="B3852" i="1"/>
  <c r="C3852" i="1"/>
  <c r="D3852" i="1"/>
  <c r="E3852" i="1"/>
  <c r="F3852" i="1"/>
  <c r="G3852" i="1"/>
  <c r="H3852" i="1"/>
  <c r="I3852" i="1"/>
  <c r="J3852" i="1"/>
  <c r="K3852" i="1"/>
  <c r="L3852" i="1"/>
  <c r="A3853" i="1"/>
  <c r="B3853" i="1"/>
  <c r="C3853" i="1"/>
  <c r="D3853" i="1"/>
  <c r="E3853" i="1"/>
  <c r="F3853" i="1"/>
  <c r="G3853" i="1"/>
  <c r="H3853" i="1"/>
  <c r="I3853" i="1"/>
  <c r="J3853" i="1"/>
  <c r="K3853" i="1"/>
  <c r="L3853" i="1"/>
  <c r="A3854" i="1"/>
  <c r="B3854" i="1"/>
  <c r="C3854" i="1"/>
  <c r="D3854" i="1"/>
  <c r="E3854" i="1"/>
  <c r="F3854" i="1"/>
  <c r="G3854" i="1"/>
  <c r="H3854" i="1"/>
  <c r="I3854" i="1"/>
  <c r="J3854" i="1"/>
  <c r="K3854" i="1"/>
  <c r="L3854" i="1"/>
  <c r="A3855" i="1"/>
  <c r="B3855" i="1"/>
  <c r="C3855" i="1"/>
  <c r="D3855" i="1"/>
  <c r="E3855" i="1"/>
  <c r="F3855" i="1"/>
  <c r="G3855" i="1"/>
  <c r="H3855" i="1"/>
  <c r="I3855" i="1"/>
  <c r="J3855" i="1"/>
  <c r="K3855" i="1"/>
  <c r="L3855" i="1"/>
  <c r="A3856" i="1"/>
  <c r="B3856" i="1"/>
  <c r="C3856" i="1"/>
  <c r="D3856" i="1"/>
  <c r="E3856" i="1"/>
  <c r="F3856" i="1"/>
  <c r="G3856" i="1"/>
  <c r="H3856" i="1"/>
  <c r="I3856" i="1"/>
  <c r="J3856" i="1"/>
  <c r="K3856" i="1"/>
  <c r="L3856" i="1"/>
  <c r="A3857" i="1"/>
  <c r="B3857" i="1"/>
  <c r="C3857" i="1"/>
  <c r="D3857" i="1"/>
  <c r="E3857" i="1"/>
  <c r="F3857" i="1"/>
  <c r="G3857" i="1"/>
  <c r="H3857" i="1"/>
  <c r="I3857" i="1"/>
  <c r="J3857" i="1"/>
  <c r="K3857" i="1"/>
  <c r="L3857" i="1"/>
  <c r="A3858" i="1"/>
  <c r="B3858" i="1"/>
  <c r="C3858" i="1"/>
  <c r="D3858" i="1"/>
  <c r="E3858" i="1"/>
  <c r="F3858" i="1"/>
  <c r="G3858" i="1"/>
  <c r="H3858" i="1"/>
  <c r="I3858" i="1"/>
  <c r="J3858" i="1"/>
  <c r="K3858" i="1"/>
  <c r="L3858" i="1"/>
  <c r="A3859" i="1"/>
  <c r="B3859" i="1"/>
  <c r="C3859" i="1"/>
  <c r="D3859" i="1"/>
  <c r="E3859" i="1"/>
  <c r="F3859" i="1"/>
  <c r="G3859" i="1"/>
  <c r="H3859" i="1"/>
  <c r="I3859" i="1"/>
  <c r="J3859" i="1"/>
  <c r="K3859" i="1"/>
  <c r="L3859" i="1"/>
  <c r="A3860" i="1"/>
  <c r="B3860" i="1"/>
  <c r="C3860" i="1"/>
  <c r="D3860" i="1"/>
  <c r="E3860" i="1"/>
  <c r="F3860" i="1"/>
  <c r="G3860" i="1"/>
  <c r="H3860" i="1"/>
  <c r="I3860" i="1"/>
  <c r="J3860" i="1"/>
  <c r="K3860" i="1"/>
  <c r="L3860" i="1"/>
  <c r="A3861" i="1"/>
  <c r="B3861" i="1"/>
  <c r="C3861" i="1"/>
  <c r="D3861" i="1"/>
  <c r="E3861" i="1"/>
  <c r="F3861" i="1"/>
  <c r="G3861" i="1"/>
  <c r="H3861" i="1"/>
  <c r="I3861" i="1"/>
  <c r="J3861" i="1"/>
  <c r="K3861" i="1"/>
  <c r="L3861" i="1"/>
  <c r="A3862" i="1"/>
  <c r="B3862" i="1"/>
  <c r="C3862" i="1"/>
  <c r="D3862" i="1"/>
  <c r="E3862" i="1"/>
  <c r="F3862" i="1"/>
  <c r="G3862" i="1"/>
  <c r="H3862" i="1"/>
  <c r="I3862" i="1"/>
  <c r="J3862" i="1"/>
  <c r="K3862" i="1"/>
  <c r="L3862" i="1"/>
  <c r="A3863" i="1"/>
  <c r="B3863" i="1"/>
  <c r="C3863" i="1"/>
  <c r="D3863" i="1"/>
  <c r="E3863" i="1"/>
  <c r="F3863" i="1"/>
  <c r="G3863" i="1"/>
  <c r="H3863" i="1"/>
  <c r="I3863" i="1"/>
  <c r="J3863" i="1"/>
  <c r="K3863" i="1"/>
  <c r="L3863" i="1"/>
  <c r="A3864" i="1"/>
  <c r="B3864" i="1"/>
  <c r="C3864" i="1"/>
  <c r="D3864" i="1"/>
  <c r="E3864" i="1"/>
  <c r="F3864" i="1"/>
  <c r="G3864" i="1"/>
  <c r="H3864" i="1"/>
  <c r="I3864" i="1"/>
  <c r="J3864" i="1"/>
  <c r="K3864" i="1"/>
  <c r="L3864" i="1"/>
  <c r="A3865" i="1"/>
  <c r="B3865" i="1"/>
  <c r="C3865" i="1"/>
  <c r="D3865" i="1"/>
  <c r="E3865" i="1"/>
  <c r="F3865" i="1"/>
  <c r="G3865" i="1"/>
  <c r="H3865" i="1"/>
  <c r="I3865" i="1"/>
  <c r="J3865" i="1"/>
  <c r="K3865" i="1"/>
  <c r="L3865" i="1"/>
  <c r="A3866" i="1"/>
  <c r="B3866" i="1"/>
  <c r="C3866" i="1"/>
  <c r="D3866" i="1"/>
  <c r="E3866" i="1"/>
  <c r="F3866" i="1"/>
  <c r="G3866" i="1"/>
  <c r="H3866" i="1"/>
  <c r="I3866" i="1"/>
  <c r="J3866" i="1"/>
  <c r="K3866" i="1"/>
  <c r="L3866" i="1"/>
  <c r="A3867" i="1"/>
  <c r="B3867" i="1"/>
  <c r="C3867" i="1"/>
  <c r="D3867" i="1"/>
  <c r="E3867" i="1"/>
  <c r="F3867" i="1"/>
  <c r="G3867" i="1"/>
  <c r="H3867" i="1"/>
  <c r="I3867" i="1"/>
  <c r="J3867" i="1"/>
  <c r="K3867" i="1"/>
  <c r="L3867" i="1"/>
  <c r="A3868" i="1"/>
  <c r="B3868" i="1"/>
  <c r="C3868" i="1"/>
  <c r="D3868" i="1"/>
  <c r="E3868" i="1"/>
  <c r="F3868" i="1"/>
  <c r="G3868" i="1"/>
  <c r="H3868" i="1"/>
  <c r="I3868" i="1"/>
  <c r="J3868" i="1"/>
  <c r="K3868" i="1"/>
  <c r="L3868" i="1"/>
  <c r="A3869" i="1"/>
  <c r="B3869" i="1"/>
  <c r="C3869" i="1"/>
  <c r="D3869" i="1"/>
  <c r="E3869" i="1"/>
  <c r="F3869" i="1"/>
  <c r="G3869" i="1"/>
  <c r="H3869" i="1"/>
  <c r="I3869" i="1"/>
  <c r="J3869" i="1"/>
  <c r="K3869" i="1"/>
  <c r="L3869" i="1"/>
  <c r="A3870" i="1"/>
  <c r="B3870" i="1"/>
  <c r="C3870" i="1"/>
  <c r="D3870" i="1"/>
  <c r="E3870" i="1"/>
  <c r="F3870" i="1"/>
  <c r="G3870" i="1"/>
  <c r="H3870" i="1"/>
  <c r="I3870" i="1"/>
  <c r="J3870" i="1"/>
  <c r="K3870" i="1"/>
  <c r="L3870" i="1"/>
  <c r="A3871" i="1"/>
  <c r="B3871" i="1"/>
  <c r="C3871" i="1"/>
  <c r="D3871" i="1"/>
  <c r="E3871" i="1"/>
  <c r="F3871" i="1"/>
  <c r="G3871" i="1"/>
  <c r="H3871" i="1"/>
  <c r="I3871" i="1"/>
  <c r="J3871" i="1"/>
  <c r="K3871" i="1"/>
  <c r="L3871" i="1"/>
  <c r="A3872" i="1"/>
  <c r="B3872" i="1"/>
  <c r="C3872" i="1"/>
  <c r="D3872" i="1"/>
  <c r="E3872" i="1"/>
  <c r="F3872" i="1"/>
  <c r="G3872" i="1"/>
  <c r="H3872" i="1"/>
  <c r="I3872" i="1"/>
  <c r="J3872" i="1"/>
  <c r="K3872" i="1"/>
  <c r="L3872" i="1"/>
  <c r="A3873" i="1"/>
  <c r="B3873" i="1"/>
  <c r="C3873" i="1"/>
  <c r="D3873" i="1"/>
  <c r="E3873" i="1"/>
  <c r="F3873" i="1"/>
  <c r="G3873" i="1"/>
  <c r="H3873" i="1"/>
  <c r="I3873" i="1"/>
  <c r="J3873" i="1"/>
  <c r="K3873" i="1"/>
  <c r="L3873" i="1"/>
  <c r="A3874" i="1"/>
  <c r="B3874" i="1"/>
  <c r="C3874" i="1"/>
  <c r="D3874" i="1"/>
  <c r="E3874" i="1"/>
  <c r="F3874" i="1"/>
  <c r="G3874" i="1"/>
  <c r="H3874" i="1"/>
  <c r="I3874" i="1"/>
  <c r="J3874" i="1"/>
  <c r="K3874" i="1"/>
  <c r="L3874" i="1"/>
  <c r="A3875" i="1"/>
  <c r="B3875" i="1"/>
  <c r="C3875" i="1"/>
  <c r="D3875" i="1"/>
  <c r="E3875" i="1"/>
  <c r="F3875" i="1"/>
  <c r="G3875" i="1"/>
  <c r="H3875" i="1"/>
  <c r="I3875" i="1"/>
  <c r="J3875" i="1"/>
  <c r="K3875" i="1"/>
  <c r="L3875" i="1"/>
  <c r="A3876" i="1"/>
  <c r="B3876" i="1"/>
  <c r="C3876" i="1"/>
  <c r="D3876" i="1"/>
  <c r="E3876" i="1"/>
  <c r="F3876" i="1"/>
  <c r="G3876" i="1"/>
  <c r="H3876" i="1"/>
  <c r="I3876" i="1"/>
  <c r="J3876" i="1"/>
  <c r="K3876" i="1"/>
  <c r="L3876" i="1"/>
  <c r="A3877" i="1"/>
  <c r="B3877" i="1"/>
  <c r="C3877" i="1"/>
  <c r="D3877" i="1"/>
  <c r="E3877" i="1"/>
  <c r="F3877" i="1"/>
  <c r="G3877" i="1"/>
  <c r="H3877" i="1"/>
  <c r="I3877" i="1"/>
  <c r="J3877" i="1"/>
  <c r="K3877" i="1"/>
  <c r="L3877" i="1"/>
  <c r="A3878" i="1"/>
  <c r="B3878" i="1"/>
  <c r="C3878" i="1"/>
  <c r="D3878" i="1"/>
  <c r="E3878" i="1"/>
  <c r="F3878" i="1"/>
  <c r="G3878" i="1"/>
  <c r="H3878" i="1"/>
  <c r="I3878" i="1"/>
  <c r="J3878" i="1"/>
  <c r="K3878" i="1"/>
  <c r="L3878" i="1"/>
  <c r="A3879" i="1"/>
  <c r="B3879" i="1"/>
  <c r="C3879" i="1"/>
  <c r="D3879" i="1"/>
  <c r="E3879" i="1"/>
  <c r="F3879" i="1"/>
  <c r="G3879" i="1"/>
  <c r="H3879" i="1"/>
  <c r="I3879" i="1"/>
  <c r="J3879" i="1"/>
  <c r="K3879" i="1"/>
  <c r="L3879" i="1"/>
  <c r="A3880" i="1"/>
  <c r="B3880" i="1"/>
  <c r="C3880" i="1"/>
  <c r="D3880" i="1"/>
  <c r="E3880" i="1"/>
  <c r="F3880" i="1"/>
  <c r="G3880" i="1"/>
  <c r="H3880" i="1"/>
  <c r="I3880" i="1"/>
  <c r="J3880" i="1"/>
  <c r="K3880" i="1"/>
  <c r="L3880" i="1"/>
  <c r="A3881" i="1"/>
  <c r="B3881" i="1"/>
  <c r="C3881" i="1"/>
  <c r="D3881" i="1"/>
  <c r="E3881" i="1"/>
  <c r="F3881" i="1"/>
  <c r="G3881" i="1"/>
  <c r="H3881" i="1"/>
  <c r="I3881" i="1"/>
  <c r="J3881" i="1"/>
  <c r="K3881" i="1"/>
  <c r="L3881" i="1"/>
  <c r="A3882" i="1"/>
  <c r="B3882" i="1"/>
  <c r="C3882" i="1"/>
  <c r="D3882" i="1"/>
  <c r="E3882" i="1"/>
  <c r="F3882" i="1"/>
  <c r="G3882" i="1"/>
  <c r="H3882" i="1"/>
  <c r="I3882" i="1"/>
  <c r="J3882" i="1"/>
  <c r="K3882" i="1"/>
  <c r="L3882" i="1"/>
  <c r="A3883" i="1"/>
  <c r="B3883" i="1"/>
  <c r="C3883" i="1"/>
  <c r="D3883" i="1"/>
  <c r="E3883" i="1"/>
  <c r="F3883" i="1"/>
  <c r="G3883" i="1"/>
  <c r="H3883" i="1"/>
  <c r="I3883" i="1"/>
  <c r="J3883" i="1"/>
  <c r="K3883" i="1"/>
  <c r="L3883" i="1"/>
  <c r="A3884" i="1"/>
  <c r="B3884" i="1"/>
  <c r="C3884" i="1"/>
  <c r="D3884" i="1"/>
  <c r="E3884" i="1"/>
  <c r="F3884" i="1"/>
  <c r="G3884" i="1"/>
  <c r="H3884" i="1"/>
  <c r="I3884" i="1"/>
  <c r="J3884" i="1"/>
  <c r="K3884" i="1"/>
  <c r="L3884" i="1"/>
  <c r="A3885" i="1"/>
  <c r="B3885" i="1"/>
  <c r="C3885" i="1"/>
  <c r="D3885" i="1"/>
  <c r="E3885" i="1"/>
  <c r="F3885" i="1"/>
  <c r="G3885" i="1"/>
  <c r="H3885" i="1"/>
  <c r="I3885" i="1"/>
  <c r="J3885" i="1"/>
  <c r="K3885" i="1"/>
  <c r="L3885" i="1"/>
  <c r="A3886" i="1"/>
  <c r="B3886" i="1"/>
  <c r="C3886" i="1"/>
  <c r="D3886" i="1"/>
  <c r="E3886" i="1"/>
  <c r="F3886" i="1"/>
  <c r="G3886" i="1"/>
  <c r="H3886" i="1"/>
  <c r="I3886" i="1"/>
  <c r="J3886" i="1"/>
  <c r="K3886" i="1"/>
  <c r="L3886" i="1"/>
  <c r="A3887" i="1"/>
  <c r="B3887" i="1"/>
  <c r="C3887" i="1"/>
  <c r="D3887" i="1"/>
  <c r="E3887" i="1"/>
  <c r="F3887" i="1"/>
  <c r="G3887" i="1"/>
  <c r="H3887" i="1"/>
  <c r="I3887" i="1"/>
  <c r="J3887" i="1"/>
  <c r="K3887" i="1"/>
  <c r="L3887" i="1"/>
  <c r="A3888" i="1"/>
  <c r="B3888" i="1"/>
  <c r="C3888" i="1"/>
  <c r="D3888" i="1"/>
  <c r="E3888" i="1"/>
  <c r="F3888" i="1"/>
  <c r="G3888" i="1"/>
  <c r="H3888" i="1"/>
  <c r="I3888" i="1"/>
  <c r="J3888" i="1"/>
  <c r="K3888" i="1"/>
  <c r="L3888" i="1"/>
  <c r="A3889" i="1"/>
  <c r="B3889" i="1"/>
  <c r="C3889" i="1"/>
  <c r="D3889" i="1"/>
  <c r="E3889" i="1"/>
  <c r="F3889" i="1"/>
  <c r="G3889" i="1"/>
  <c r="H3889" i="1"/>
  <c r="I3889" i="1"/>
  <c r="J3889" i="1"/>
  <c r="K3889" i="1"/>
  <c r="L3889" i="1"/>
  <c r="A3890" i="1"/>
  <c r="B3890" i="1"/>
  <c r="C3890" i="1"/>
  <c r="D3890" i="1"/>
  <c r="E3890" i="1"/>
  <c r="F3890" i="1"/>
  <c r="G3890" i="1"/>
  <c r="H3890" i="1"/>
  <c r="I3890" i="1"/>
  <c r="J3890" i="1"/>
  <c r="K3890" i="1"/>
  <c r="L3890" i="1"/>
  <c r="A3891" i="1"/>
  <c r="B3891" i="1"/>
  <c r="C3891" i="1"/>
  <c r="D3891" i="1"/>
  <c r="E3891" i="1"/>
  <c r="F3891" i="1"/>
  <c r="G3891" i="1"/>
  <c r="H3891" i="1"/>
  <c r="I3891" i="1"/>
  <c r="J3891" i="1"/>
  <c r="K3891" i="1"/>
  <c r="L3891" i="1"/>
  <c r="A3892" i="1"/>
  <c r="B3892" i="1"/>
  <c r="C3892" i="1"/>
  <c r="D3892" i="1"/>
  <c r="E3892" i="1"/>
  <c r="F3892" i="1"/>
  <c r="G3892" i="1"/>
  <c r="H3892" i="1"/>
  <c r="I3892" i="1"/>
  <c r="J3892" i="1"/>
  <c r="K3892" i="1"/>
  <c r="L3892" i="1"/>
  <c r="A3893" i="1"/>
  <c r="B3893" i="1"/>
  <c r="C3893" i="1"/>
  <c r="D3893" i="1"/>
  <c r="E3893" i="1"/>
  <c r="F3893" i="1"/>
  <c r="G3893" i="1"/>
  <c r="H3893" i="1"/>
  <c r="I3893" i="1"/>
  <c r="J3893" i="1"/>
  <c r="K3893" i="1"/>
  <c r="L3893" i="1"/>
  <c r="A3894" i="1"/>
  <c r="B3894" i="1"/>
  <c r="C3894" i="1"/>
  <c r="D3894" i="1"/>
  <c r="E3894" i="1"/>
  <c r="F3894" i="1"/>
  <c r="G3894" i="1"/>
  <c r="H3894" i="1"/>
  <c r="I3894" i="1"/>
  <c r="J3894" i="1"/>
  <c r="K3894" i="1"/>
  <c r="L3894" i="1"/>
  <c r="A3895" i="1"/>
  <c r="B3895" i="1"/>
  <c r="C3895" i="1"/>
  <c r="D3895" i="1"/>
  <c r="E3895" i="1"/>
  <c r="F3895" i="1"/>
  <c r="G3895" i="1"/>
  <c r="H3895" i="1"/>
  <c r="I3895" i="1"/>
  <c r="J3895" i="1"/>
  <c r="K3895" i="1"/>
  <c r="L3895" i="1"/>
  <c r="A3896" i="1"/>
  <c r="B3896" i="1"/>
  <c r="C3896" i="1"/>
  <c r="D3896" i="1"/>
  <c r="E3896" i="1"/>
  <c r="F3896" i="1"/>
  <c r="G3896" i="1"/>
  <c r="H3896" i="1"/>
  <c r="I3896" i="1"/>
  <c r="J3896" i="1"/>
  <c r="K3896" i="1"/>
  <c r="L3896" i="1"/>
  <c r="A3897" i="1"/>
  <c r="B3897" i="1"/>
  <c r="C3897" i="1"/>
  <c r="D3897" i="1"/>
  <c r="E3897" i="1"/>
  <c r="F3897" i="1"/>
  <c r="G3897" i="1"/>
  <c r="H3897" i="1"/>
  <c r="I3897" i="1"/>
  <c r="J3897" i="1"/>
  <c r="K3897" i="1"/>
  <c r="L3897" i="1"/>
  <c r="A3898" i="1"/>
  <c r="B3898" i="1"/>
  <c r="C3898" i="1"/>
  <c r="D3898" i="1"/>
  <c r="E3898" i="1"/>
  <c r="F3898" i="1"/>
  <c r="G3898" i="1"/>
  <c r="H3898" i="1"/>
  <c r="I3898" i="1"/>
  <c r="J3898" i="1"/>
  <c r="K3898" i="1"/>
  <c r="L3898" i="1"/>
  <c r="A3899" i="1"/>
  <c r="B3899" i="1"/>
  <c r="C3899" i="1"/>
  <c r="D3899" i="1"/>
  <c r="E3899" i="1"/>
  <c r="F3899" i="1"/>
  <c r="G3899" i="1"/>
  <c r="H3899" i="1"/>
  <c r="I3899" i="1"/>
  <c r="J3899" i="1"/>
  <c r="K3899" i="1"/>
  <c r="L3899" i="1"/>
  <c r="A3900" i="1"/>
  <c r="B3900" i="1"/>
  <c r="C3900" i="1"/>
  <c r="D3900" i="1"/>
  <c r="E3900" i="1"/>
  <c r="F3900" i="1"/>
  <c r="G3900" i="1"/>
  <c r="H3900" i="1"/>
  <c r="I3900" i="1"/>
  <c r="J3900" i="1"/>
  <c r="K3900" i="1"/>
  <c r="L3900" i="1"/>
  <c r="A3901" i="1"/>
  <c r="B3901" i="1"/>
  <c r="C3901" i="1"/>
  <c r="D3901" i="1"/>
  <c r="E3901" i="1"/>
  <c r="F3901" i="1"/>
  <c r="G3901" i="1"/>
  <c r="H3901" i="1"/>
  <c r="I3901" i="1"/>
  <c r="J3901" i="1"/>
  <c r="K3901" i="1"/>
  <c r="L3901" i="1"/>
  <c r="A3902" i="1"/>
  <c r="B3902" i="1"/>
  <c r="C3902" i="1"/>
  <c r="D3902" i="1"/>
  <c r="E3902" i="1"/>
  <c r="F3902" i="1"/>
  <c r="G3902" i="1"/>
  <c r="H3902" i="1"/>
  <c r="I3902" i="1"/>
  <c r="J3902" i="1"/>
  <c r="K3902" i="1"/>
  <c r="L3902" i="1"/>
  <c r="A3903" i="1"/>
  <c r="B3903" i="1"/>
  <c r="C3903" i="1"/>
  <c r="D3903" i="1"/>
  <c r="E3903" i="1"/>
  <c r="F3903" i="1"/>
  <c r="G3903" i="1"/>
  <c r="H3903" i="1"/>
  <c r="I3903" i="1"/>
  <c r="J3903" i="1"/>
  <c r="K3903" i="1"/>
  <c r="L3903" i="1"/>
  <c r="A3904" i="1"/>
  <c r="B3904" i="1"/>
  <c r="C3904" i="1"/>
  <c r="D3904" i="1"/>
  <c r="E3904" i="1"/>
  <c r="F3904" i="1"/>
  <c r="G3904" i="1"/>
  <c r="H3904" i="1"/>
  <c r="I3904" i="1"/>
  <c r="J3904" i="1"/>
  <c r="K3904" i="1"/>
  <c r="L3904" i="1"/>
  <c r="A3905" i="1"/>
  <c r="B3905" i="1"/>
  <c r="C3905" i="1"/>
  <c r="D3905" i="1"/>
  <c r="E3905" i="1"/>
  <c r="F3905" i="1"/>
  <c r="G3905" i="1"/>
  <c r="H3905" i="1"/>
  <c r="I3905" i="1"/>
  <c r="J3905" i="1"/>
  <c r="K3905" i="1"/>
  <c r="L3905" i="1"/>
  <c r="A3906" i="1"/>
  <c r="B3906" i="1"/>
  <c r="C3906" i="1"/>
  <c r="D3906" i="1"/>
  <c r="E3906" i="1"/>
  <c r="F3906" i="1"/>
  <c r="G3906" i="1"/>
  <c r="H3906" i="1"/>
  <c r="I3906" i="1"/>
  <c r="J3906" i="1"/>
  <c r="K3906" i="1"/>
  <c r="L3906" i="1"/>
  <c r="A3907" i="1"/>
  <c r="B3907" i="1"/>
  <c r="C3907" i="1"/>
  <c r="D3907" i="1"/>
  <c r="E3907" i="1"/>
  <c r="F3907" i="1"/>
  <c r="G3907" i="1"/>
  <c r="H3907" i="1"/>
  <c r="I3907" i="1"/>
  <c r="J3907" i="1"/>
  <c r="K3907" i="1"/>
  <c r="L3907" i="1"/>
  <c r="A3908" i="1"/>
  <c r="B3908" i="1"/>
  <c r="C3908" i="1"/>
  <c r="D3908" i="1"/>
  <c r="E3908" i="1"/>
  <c r="F3908" i="1"/>
  <c r="G3908" i="1"/>
  <c r="H3908" i="1"/>
  <c r="I3908" i="1"/>
  <c r="J3908" i="1"/>
  <c r="K3908" i="1"/>
  <c r="L3908" i="1"/>
  <c r="A3909" i="1"/>
  <c r="B3909" i="1"/>
  <c r="C3909" i="1"/>
  <c r="D3909" i="1"/>
  <c r="E3909" i="1"/>
  <c r="F3909" i="1"/>
  <c r="G3909" i="1"/>
  <c r="H3909" i="1"/>
  <c r="I3909" i="1"/>
  <c r="J3909" i="1"/>
  <c r="K3909" i="1"/>
  <c r="L3909" i="1"/>
  <c r="A3910" i="1"/>
  <c r="B3910" i="1"/>
  <c r="C3910" i="1"/>
  <c r="D3910" i="1"/>
  <c r="E3910" i="1"/>
  <c r="F3910" i="1"/>
  <c r="G3910" i="1"/>
  <c r="H3910" i="1"/>
  <c r="I3910" i="1"/>
  <c r="J3910" i="1"/>
  <c r="K3910" i="1"/>
  <c r="L3910" i="1"/>
  <c r="A3911" i="1"/>
  <c r="B3911" i="1"/>
  <c r="C3911" i="1"/>
  <c r="D3911" i="1"/>
  <c r="E3911" i="1"/>
  <c r="F3911" i="1"/>
  <c r="G3911" i="1"/>
  <c r="H3911" i="1"/>
  <c r="I3911" i="1"/>
  <c r="J3911" i="1"/>
  <c r="K3911" i="1"/>
  <c r="L3911" i="1"/>
  <c r="A3912" i="1"/>
  <c r="B3912" i="1"/>
  <c r="C3912" i="1"/>
  <c r="D3912" i="1"/>
  <c r="E3912" i="1"/>
  <c r="F3912" i="1"/>
  <c r="G3912" i="1"/>
  <c r="H3912" i="1"/>
  <c r="I3912" i="1"/>
  <c r="J3912" i="1"/>
  <c r="K3912" i="1"/>
  <c r="L3912" i="1"/>
  <c r="A3913" i="1"/>
  <c r="B3913" i="1"/>
  <c r="C3913" i="1"/>
  <c r="D3913" i="1"/>
  <c r="E3913" i="1"/>
  <c r="F3913" i="1"/>
  <c r="G3913" i="1"/>
  <c r="H3913" i="1"/>
  <c r="I3913" i="1"/>
  <c r="J3913" i="1"/>
  <c r="K3913" i="1"/>
  <c r="L3913" i="1"/>
  <c r="A3914" i="1"/>
  <c r="B3914" i="1"/>
  <c r="C3914" i="1"/>
  <c r="D3914" i="1"/>
  <c r="E3914" i="1"/>
  <c r="F3914" i="1"/>
  <c r="G3914" i="1"/>
  <c r="H3914" i="1"/>
  <c r="I3914" i="1"/>
  <c r="J3914" i="1"/>
  <c r="K3914" i="1"/>
  <c r="L3914" i="1"/>
  <c r="A3915" i="1"/>
  <c r="B3915" i="1"/>
  <c r="C3915" i="1"/>
  <c r="D3915" i="1"/>
  <c r="E3915" i="1"/>
  <c r="F3915" i="1"/>
  <c r="G3915" i="1"/>
  <c r="H3915" i="1"/>
  <c r="I3915" i="1"/>
  <c r="J3915" i="1"/>
  <c r="K3915" i="1"/>
  <c r="L3915" i="1"/>
  <c r="A3916" i="1"/>
  <c r="B3916" i="1"/>
  <c r="C3916" i="1"/>
  <c r="D3916" i="1"/>
  <c r="E3916" i="1"/>
  <c r="F3916" i="1"/>
  <c r="G3916" i="1"/>
  <c r="H3916" i="1"/>
  <c r="I3916" i="1"/>
  <c r="J3916" i="1"/>
  <c r="K3916" i="1"/>
  <c r="L3916" i="1"/>
  <c r="A3917" i="1"/>
  <c r="B3917" i="1"/>
  <c r="C3917" i="1"/>
  <c r="D3917" i="1"/>
  <c r="E3917" i="1"/>
  <c r="F3917" i="1"/>
  <c r="G3917" i="1"/>
  <c r="H3917" i="1"/>
  <c r="I3917" i="1"/>
  <c r="J3917" i="1"/>
  <c r="K3917" i="1"/>
  <c r="L3917" i="1"/>
  <c r="A3918" i="1"/>
  <c r="B3918" i="1"/>
  <c r="C3918" i="1"/>
  <c r="D3918" i="1"/>
  <c r="E3918" i="1"/>
  <c r="F3918" i="1"/>
  <c r="G3918" i="1"/>
  <c r="H3918" i="1"/>
  <c r="I3918" i="1"/>
  <c r="J3918" i="1"/>
  <c r="K3918" i="1"/>
  <c r="L3918" i="1"/>
  <c r="A3919" i="1"/>
  <c r="B3919" i="1"/>
  <c r="C3919" i="1"/>
  <c r="D3919" i="1"/>
  <c r="E3919" i="1"/>
  <c r="F3919" i="1"/>
  <c r="G3919" i="1"/>
  <c r="H3919" i="1"/>
  <c r="I3919" i="1"/>
  <c r="J3919" i="1"/>
  <c r="K3919" i="1"/>
  <c r="L3919" i="1"/>
  <c r="A3920" i="1"/>
  <c r="B3920" i="1"/>
  <c r="C3920" i="1"/>
  <c r="D3920" i="1"/>
  <c r="E3920" i="1"/>
  <c r="F3920" i="1"/>
  <c r="G3920" i="1"/>
  <c r="H3920" i="1"/>
  <c r="I3920" i="1"/>
  <c r="J3920" i="1"/>
  <c r="K3920" i="1"/>
  <c r="L3920" i="1"/>
  <c r="A3921" i="1"/>
  <c r="B3921" i="1"/>
  <c r="C3921" i="1"/>
  <c r="D3921" i="1"/>
  <c r="E3921" i="1"/>
  <c r="F3921" i="1"/>
  <c r="G3921" i="1"/>
  <c r="H3921" i="1"/>
  <c r="I3921" i="1"/>
  <c r="J3921" i="1"/>
  <c r="K3921" i="1"/>
  <c r="L3921" i="1"/>
  <c r="A3922" i="1"/>
  <c r="B3922" i="1"/>
  <c r="C3922" i="1"/>
  <c r="D3922" i="1"/>
  <c r="E3922" i="1"/>
  <c r="F3922" i="1"/>
  <c r="G3922" i="1"/>
  <c r="H3922" i="1"/>
  <c r="I3922" i="1"/>
  <c r="J3922" i="1"/>
  <c r="K3922" i="1"/>
  <c r="L3922" i="1"/>
  <c r="A3923" i="1"/>
  <c r="B3923" i="1"/>
  <c r="C3923" i="1"/>
  <c r="D3923" i="1"/>
  <c r="E3923" i="1"/>
  <c r="F3923" i="1"/>
  <c r="G3923" i="1"/>
  <c r="H3923" i="1"/>
  <c r="I3923" i="1"/>
  <c r="J3923" i="1"/>
  <c r="K3923" i="1"/>
  <c r="L3923" i="1"/>
  <c r="A3924" i="1"/>
  <c r="B3924" i="1"/>
  <c r="C3924" i="1"/>
  <c r="D3924" i="1"/>
  <c r="E3924" i="1"/>
  <c r="F3924" i="1"/>
  <c r="G3924" i="1"/>
  <c r="H3924" i="1"/>
  <c r="I3924" i="1"/>
  <c r="J3924" i="1"/>
  <c r="K3924" i="1"/>
  <c r="L3924" i="1"/>
  <c r="A3925" i="1"/>
  <c r="B3925" i="1"/>
  <c r="C3925" i="1"/>
  <c r="D3925" i="1"/>
  <c r="E3925" i="1"/>
  <c r="F3925" i="1"/>
  <c r="G3925" i="1"/>
  <c r="H3925" i="1"/>
  <c r="I3925" i="1"/>
  <c r="J3925" i="1"/>
  <c r="K3925" i="1"/>
  <c r="L3925" i="1"/>
  <c r="A3926" i="1"/>
  <c r="B3926" i="1"/>
  <c r="C3926" i="1"/>
  <c r="D3926" i="1"/>
  <c r="E3926" i="1"/>
  <c r="F3926" i="1"/>
  <c r="G3926" i="1"/>
  <c r="H3926" i="1"/>
  <c r="I3926" i="1"/>
  <c r="J3926" i="1"/>
  <c r="K3926" i="1"/>
  <c r="L3926" i="1"/>
  <c r="A3927" i="1"/>
  <c r="B3927" i="1"/>
  <c r="C3927" i="1"/>
  <c r="D3927" i="1"/>
  <c r="E3927" i="1"/>
  <c r="F3927" i="1"/>
  <c r="G3927" i="1"/>
  <c r="H3927" i="1"/>
  <c r="I3927" i="1"/>
  <c r="J3927" i="1"/>
  <c r="K3927" i="1"/>
  <c r="L3927" i="1"/>
  <c r="A3928" i="1"/>
  <c r="B3928" i="1"/>
  <c r="C3928" i="1"/>
  <c r="D3928" i="1"/>
  <c r="E3928" i="1"/>
  <c r="F3928" i="1"/>
  <c r="G3928" i="1"/>
  <c r="H3928" i="1"/>
  <c r="I3928" i="1"/>
  <c r="J3928" i="1"/>
  <c r="K3928" i="1"/>
  <c r="L3928" i="1"/>
  <c r="A3929" i="1"/>
  <c r="B3929" i="1"/>
  <c r="C3929" i="1"/>
  <c r="D3929" i="1"/>
  <c r="E3929" i="1"/>
  <c r="F3929" i="1"/>
  <c r="G3929" i="1"/>
  <c r="H3929" i="1"/>
  <c r="I3929" i="1"/>
  <c r="J3929" i="1"/>
  <c r="K3929" i="1"/>
  <c r="L3929" i="1"/>
  <c r="A3930" i="1"/>
  <c r="B3930" i="1"/>
  <c r="C3930" i="1"/>
  <c r="D3930" i="1"/>
  <c r="E3930" i="1"/>
  <c r="F3930" i="1"/>
  <c r="G3930" i="1"/>
  <c r="H3930" i="1"/>
  <c r="I3930" i="1"/>
  <c r="J3930" i="1"/>
  <c r="K3930" i="1"/>
  <c r="L3930" i="1"/>
  <c r="A3931" i="1"/>
  <c r="B3931" i="1"/>
  <c r="C3931" i="1"/>
  <c r="D3931" i="1"/>
  <c r="E3931" i="1"/>
  <c r="F3931" i="1"/>
  <c r="G3931" i="1"/>
  <c r="H3931" i="1"/>
  <c r="I3931" i="1"/>
  <c r="J3931" i="1"/>
  <c r="K3931" i="1"/>
  <c r="L3931" i="1"/>
  <c r="A3932" i="1"/>
  <c r="B3932" i="1"/>
  <c r="C3932" i="1"/>
  <c r="D3932" i="1"/>
  <c r="E3932" i="1"/>
  <c r="F3932" i="1"/>
  <c r="G3932" i="1"/>
  <c r="H3932" i="1"/>
  <c r="I3932" i="1"/>
  <c r="J3932" i="1"/>
  <c r="K3932" i="1"/>
  <c r="L3932" i="1"/>
  <c r="A3933" i="1"/>
  <c r="B3933" i="1"/>
  <c r="C3933" i="1"/>
  <c r="D3933" i="1"/>
  <c r="E3933" i="1"/>
  <c r="F3933" i="1"/>
  <c r="G3933" i="1"/>
  <c r="H3933" i="1"/>
  <c r="I3933" i="1"/>
  <c r="J3933" i="1"/>
  <c r="K3933" i="1"/>
  <c r="L3933" i="1"/>
  <c r="A3934" i="1"/>
  <c r="B3934" i="1"/>
  <c r="C3934" i="1"/>
  <c r="D3934" i="1"/>
  <c r="E3934" i="1"/>
  <c r="F3934" i="1"/>
  <c r="G3934" i="1"/>
  <c r="H3934" i="1"/>
  <c r="I3934" i="1"/>
  <c r="J3934" i="1"/>
  <c r="K3934" i="1"/>
  <c r="L3934" i="1"/>
  <c r="A3935" i="1"/>
  <c r="B3935" i="1"/>
  <c r="C3935" i="1"/>
  <c r="D3935" i="1"/>
  <c r="E3935" i="1"/>
  <c r="F3935" i="1"/>
  <c r="G3935" i="1"/>
  <c r="H3935" i="1"/>
  <c r="I3935" i="1"/>
  <c r="J3935" i="1"/>
  <c r="K3935" i="1"/>
  <c r="L3935" i="1"/>
  <c r="A3936" i="1"/>
  <c r="B3936" i="1"/>
  <c r="C3936" i="1"/>
  <c r="D3936" i="1"/>
  <c r="E3936" i="1"/>
  <c r="F3936" i="1"/>
  <c r="G3936" i="1"/>
  <c r="H3936" i="1"/>
  <c r="I3936" i="1"/>
  <c r="J3936" i="1"/>
  <c r="K3936" i="1"/>
  <c r="L3936" i="1"/>
  <c r="A3937" i="1"/>
  <c r="B3937" i="1"/>
  <c r="C3937" i="1"/>
  <c r="D3937" i="1"/>
  <c r="E3937" i="1"/>
  <c r="F3937" i="1"/>
  <c r="G3937" i="1"/>
  <c r="H3937" i="1"/>
  <c r="I3937" i="1"/>
  <c r="J3937" i="1"/>
  <c r="K3937" i="1"/>
  <c r="L3937" i="1"/>
  <c r="A3938" i="1"/>
  <c r="B3938" i="1"/>
  <c r="C3938" i="1"/>
  <c r="D3938" i="1"/>
  <c r="E3938" i="1"/>
  <c r="F3938" i="1"/>
  <c r="G3938" i="1"/>
  <c r="H3938" i="1"/>
  <c r="I3938" i="1"/>
  <c r="J3938" i="1"/>
  <c r="K3938" i="1"/>
  <c r="L3938" i="1"/>
  <c r="A3939" i="1"/>
  <c r="B3939" i="1"/>
  <c r="C3939" i="1"/>
  <c r="D3939" i="1"/>
  <c r="E3939" i="1"/>
  <c r="F3939" i="1"/>
  <c r="G3939" i="1"/>
  <c r="H3939" i="1"/>
  <c r="I3939" i="1"/>
  <c r="J3939" i="1"/>
  <c r="K3939" i="1"/>
  <c r="L3939" i="1"/>
  <c r="A3940" i="1"/>
  <c r="B3940" i="1"/>
  <c r="C3940" i="1"/>
  <c r="D3940" i="1"/>
  <c r="E3940" i="1"/>
  <c r="F3940" i="1"/>
  <c r="G3940" i="1"/>
  <c r="H3940" i="1"/>
  <c r="I3940" i="1"/>
  <c r="J3940" i="1"/>
  <c r="K3940" i="1"/>
  <c r="L3940" i="1"/>
  <c r="A3941" i="1"/>
  <c r="B3941" i="1"/>
  <c r="C3941" i="1"/>
  <c r="D3941" i="1"/>
  <c r="E3941" i="1"/>
  <c r="F3941" i="1"/>
  <c r="G3941" i="1"/>
  <c r="H3941" i="1"/>
  <c r="I3941" i="1"/>
  <c r="J3941" i="1"/>
  <c r="K3941" i="1"/>
  <c r="L3941" i="1"/>
  <c r="A3942" i="1"/>
  <c r="B3942" i="1"/>
  <c r="C3942" i="1"/>
  <c r="D3942" i="1"/>
  <c r="E3942" i="1"/>
  <c r="F3942" i="1"/>
  <c r="G3942" i="1"/>
  <c r="H3942" i="1"/>
  <c r="I3942" i="1"/>
  <c r="J3942" i="1"/>
  <c r="K3942" i="1"/>
  <c r="L3942" i="1"/>
  <c r="A3943" i="1"/>
  <c r="B3943" i="1"/>
  <c r="C3943" i="1"/>
  <c r="D3943" i="1"/>
  <c r="E3943" i="1"/>
  <c r="F3943" i="1"/>
  <c r="G3943" i="1"/>
  <c r="H3943" i="1"/>
  <c r="I3943" i="1"/>
  <c r="J3943" i="1"/>
  <c r="K3943" i="1"/>
  <c r="L3943" i="1"/>
  <c r="A3944" i="1"/>
  <c r="B3944" i="1"/>
  <c r="C3944" i="1"/>
  <c r="D3944" i="1"/>
  <c r="E3944" i="1"/>
  <c r="F3944" i="1"/>
  <c r="G3944" i="1"/>
  <c r="H3944" i="1"/>
  <c r="I3944" i="1"/>
  <c r="J3944" i="1"/>
  <c r="K3944" i="1"/>
  <c r="L3944" i="1"/>
  <c r="A3945" i="1"/>
  <c r="B3945" i="1"/>
  <c r="C3945" i="1"/>
  <c r="D3945" i="1"/>
  <c r="E3945" i="1"/>
  <c r="F3945" i="1"/>
  <c r="G3945" i="1"/>
  <c r="H3945" i="1"/>
  <c r="I3945" i="1"/>
  <c r="J3945" i="1"/>
  <c r="K3945" i="1"/>
  <c r="L3945" i="1"/>
  <c r="A3946" i="1"/>
  <c r="B3946" i="1"/>
  <c r="C3946" i="1"/>
  <c r="D3946" i="1"/>
  <c r="E3946" i="1"/>
  <c r="F3946" i="1"/>
  <c r="G3946" i="1"/>
  <c r="H3946" i="1"/>
  <c r="I3946" i="1"/>
  <c r="J3946" i="1"/>
  <c r="K3946" i="1"/>
  <c r="L3946" i="1"/>
  <c r="A3947" i="1"/>
  <c r="B3947" i="1"/>
  <c r="C3947" i="1"/>
  <c r="D3947" i="1"/>
  <c r="E3947" i="1"/>
  <c r="F3947" i="1"/>
  <c r="G3947" i="1"/>
  <c r="H3947" i="1"/>
  <c r="I3947" i="1"/>
  <c r="J3947" i="1"/>
  <c r="K3947" i="1"/>
  <c r="L3947" i="1"/>
  <c r="A3948" i="1"/>
  <c r="B3948" i="1"/>
  <c r="C3948" i="1"/>
  <c r="D3948" i="1"/>
  <c r="E3948" i="1"/>
  <c r="F3948" i="1"/>
  <c r="G3948" i="1"/>
  <c r="H3948" i="1"/>
  <c r="I3948" i="1"/>
  <c r="J3948" i="1"/>
  <c r="K3948" i="1"/>
  <c r="L3948" i="1"/>
  <c r="A3949" i="1"/>
  <c r="B3949" i="1"/>
  <c r="C3949" i="1"/>
  <c r="D3949" i="1"/>
  <c r="E3949" i="1"/>
  <c r="F3949" i="1"/>
  <c r="G3949" i="1"/>
  <c r="H3949" i="1"/>
  <c r="I3949" i="1"/>
  <c r="J3949" i="1"/>
  <c r="K3949" i="1"/>
  <c r="L3949" i="1"/>
  <c r="A3950" i="1"/>
  <c r="B3950" i="1"/>
  <c r="C3950" i="1"/>
  <c r="D3950" i="1"/>
  <c r="E3950" i="1"/>
  <c r="F3950" i="1"/>
  <c r="G3950" i="1"/>
  <c r="H3950" i="1"/>
  <c r="I3950" i="1"/>
  <c r="J3950" i="1"/>
  <c r="K3950" i="1"/>
  <c r="L3950" i="1"/>
  <c r="A3951" i="1"/>
  <c r="B3951" i="1"/>
  <c r="C3951" i="1"/>
  <c r="D3951" i="1"/>
  <c r="E3951" i="1"/>
  <c r="F3951" i="1"/>
  <c r="G3951" i="1"/>
  <c r="H3951" i="1"/>
  <c r="I3951" i="1"/>
  <c r="J3951" i="1"/>
  <c r="K3951" i="1"/>
  <c r="L3951" i="1"/>
  <c r="A3952" i="1"/>
  <c r="B3952" i="1"/>
  <c r="C3952" i="1"/>
  <c r="D3952" i="1"/>
  <c r="E3952" i="1"/>
  <c r="F3952" i="1"/>
  <c r="G3952" i="1"/>
  <c r="H3952" i="1"/>
  <c r="I3952" i="1"/>
  <c r="J3952" i="1"/>
  <c r="K3952" i="1"/>
  <c r="L3952" i="1"/>
  <c r="A3953" i="1"/>
  <c r="B3953" i="1"/>
  <c r="C3953" i="1"/>
  <c r="D3953" i="1"/>
  <c r="E3953" i="1"/>
  <c r="F3953" i="1"/>
  <c r="G3953" i="1"/>
  <c r="H3953" i="1"/>
  <c r="I3953" i="1"/>
  <c r="J3953" i="1"/>
  <c r="K3953" i="1"/>
  <c r="L3953" i="1"/>
  <c r="A3954" i="1"/>
  <c r="B3954" i="1"/>
  <c r="C3954" i="1"/>
  <c r="D3954" i="1"/>
  <c r="E3954" i="1"/>
  <c r="F3954" i="1"/>
  <c r="G3954" i="1"/>
  <c r="H3954" i="1"/>
  <c r="I3954" i="1"/>
  <c r="J3954" i="1"/>
  <c r="K3954" i="1"/>
  <c r="L3954" i="1"/>
  <c r="A3955" i="1"/>
  <c r="B3955" i="1"/>
  <c r="C3955" i="1"/>
  <c r="D3955" i="1"/>
  <c r="E3955" i="1"/>
  <c r="F3955" i="1"/>
  <c r="G3955" i="1"/>
  <c r="H3955" i="1"/>
  <c r="I3955" i="1"/>
  <c r="J3955" i="1"/>
  <c r="K3955" i="1"/>
  <c r="L3955" i="1"/>
  <c r="A3956" i="1"/>
  <c r="B3956" i="1"/>
  <c r="C3956" i="1"/>
  <c r="D3956" i="1"/>
  <c r="E3956" i="1"/>
  <c r="F3956" i="1"/>
  <c r="G3956" i="1"/>
  <c r="H3956" i="1"/>
  <c r="I3956" i="1"/>
  <c r="J3956" i="1"/>
  <c r="K3956" i="1"/>
  <c r="L3956" i="1"/>
  <c r="A3957" i="1"/>
  <c r="B3957" i="1"/>
  <c r="C3957" i="1"/>
  <c r="D3957" i="1"/>
  <c r="E3957" i="1"/>
  <c r="F3957" i="1"/>
  <c r="G3957" i="1"/>
  <c r="H3957" i="1"/>
  <c r="I3957" i="1"/>
  <c r="J3957" i="1"/>
  <c r="K3957" i="1"/>
  <c r="L3957" i="1"/>
  <c r="A3958" i="1"/>
  <c r="B3958" i="1"/>
  <c r="C3958" i="1"/>
  <c r="D3958" i="1"/>
  <c r="E3958" i="1"/>
  <c r="F3958" i="1"/>
  <c r="G3958" i="1"/>
  <c r="H3958" i="1"/>
  <c r="I3958" i="1"/>
  <c r="J3958" i="1"/>
  <c r="K3958" i="1"/>
  <c r="L3958" i="1"/>
  <c r="A3959" i="1"/>
  <c r="B3959" i="1"/>
  <c r="C3959" i="1"/>
  <c r="D3959" i="1"/>
  <c r="E3959" i="1"/>
  <c r="F3959" i="1"/>
  <c r="G3959" i="1"/>
  <c r="H3959" i="1"/>
  <c r="I3959" i="1"/>
  <c r="J3959" i="1"/>
  <c r="K3959" i="1"/>
  <c r="L3959" i="1"/>
  <c r="A3960" i="1"/>
  <c r="B3960" i="1"/>
  <c r="C3960" i="1"/>
  <c r="D3960" i="1"/>
  <c r="E3960" i="1"/>
  <c r="F3960" i="1"/>
  <c r="G3960" i="1"/>
  <c r="H3960" i="1"/>
  <c r="I3960" i="1"/>
  <c r="J3960" i="1"/>
  <c r="K3960" i="1"/>
  <c r="L3960" i="1"/>
  <c r="A3961" i="1"/>
  <c r="B3961" i="1"/>
  <c r="C3961" i="1"/>
  <c r="D3961" i="1"/>
  <c r="E3961" i="1"/>
  <c r="F3961" i="1"/>
  <c r="G3961" i="1"/>
  <c r="H3961" i="1"/>
  <c r="I3961" i="1"/>
  <c r="J3961" i="1"/>
  <c r="K3961" i="1"/>
  <c r="L3961" i="1"/>
  <c r="A3962" i="1"/>
  <c r="B3962" i="1"/>
  <c r="C3962" i="1"/>
  <c r="D3962" i="1"/>
  <c r="E3962" i="1"/>
  <c r="F3962" i="1"/>
  <c r="G3962" i="1"/>
  <c r="H3962" i="1"/>
  <c r="I3962" i="1"/>
  <c r="J3962" i="1"/>
  <c r="K3962" i="1"/>
  <c r="L3962" i="1"/>
  <c r="A3963" i="1"/>
  <c r="B3963" i="1"/>
  <c r="C3963" i="1"/>
  <c r="D3963" i="1"/>
  <c r="E3963" i="1"/>
  <c r="F3963" i="1"/>
  <c r="G3963" i="1"/>
  <c r="H3963" i="1"/>
  <c r="I3963" i="1"/>
  <c r="J3963" i="1"/>
  <c r="K3963" i="1"/>
  <c r="L3963" i="1"/>
  <c r="A3964" i="1"/>
  <c r="B3964" i="1"/>
  <c r="C3964" i="1"/>
  <c r="D3964" i="1"/>
  <c r="E3964" i="1"/>
  <c r="F3964" i="1"/>
  <c r="G3964" i="1"/>
  <c r="H3964" i="1"/>
  <c r="I3964" i="1"/>
  <c r="J3964" i="1"/>
  <c r="K3964" i="1"/>
  <c r="L3964" i="1"/>
  <c r="A3965" i="1"/>
  <c r="B3965" i="1"/>
  <c r="C3965" i="1"/>
  <c r="D3965" i="1"/>
  <c r="E3965" i="1"/>
  <c r="F3965" i="1"/>
  <c r="G3965" i="1"/>
  <c r="H3965" i="1"/>
  <c r="I3965" i="1"/>
  <c r="J3965" i="1"/>
  <c r="K3965" i="1"/>
  <c r="L3965" i="1"/>
  <c r="A3966" i="1"/>
  <c r="B3966" i="1"/>
  <c r="C3966" i="1"/>
  <c r="D3966" i="1"/>
  <c r="E3966" i="1"/>
  <c r="F3966" i="1"/>
  <c r="G3966" i="1"/>
  <c r="H3966" i="1"/>
  <c r="I3966" i="1"/>
  <c r="J3966" i="1"/>
  <c r="K3966" i="1"/>
  <c r="L3966" i="1"/>
  <c r="A3967" i="1"/>
  <c r="B3967" i="1"/>
  <c r="C3967" i="1"/>
  <c r="D3967" i="1"/>
  <c r="E3967" i="1"/>
  <c r="F3967" i="1"/>
  <c r="G3967" i="1"/>
  <c r="H3967" i="1"/>
  <c r="I3967" i="1"/>
  <c r="J3967" i="1"/>
  <c r="K3967" i="1"/>
  <c r="L3967" i="1"/>
  <c r="A3968" i="1"/>
  <c r="B3968" i="1"/>
  <c r="C3968" i="1"/>
  <c r="D3968" i="1"/>
  <c r="E3968" i="1"/>
  <c r="F3968" i="1"/>
  <c r="G3968" i="1"/>
  <c r="H3968" i="1"/>
  <c r="I3968" i="1"/>
  <c r="J3968" i="1"/>
  <c r="K3968" i="1"/>
  <c r="L3968" i="1"/>
  <c r="A3969" i="1"/>
  <c r="B3969" i="1"/>
  <c r="C3969" i="1"/>
  <c r="D3969" i="1"/>
  <c r="E3969" i="1"/>
  <c r="F3969" i="1"/>
  <c r="G3969" i="1"/>
  <c r="H3969" i="1"/>
  <c r="I3969" i="1"/>
  <c r="J3969" i="1"/>
  <c r="K3969" i="1"/>
  <c r="L3969" i="1"/>
  <c r="A3970" i="1"/>
  <c r="B3970" i="1"/>
  <c r="C3970" i="1"/>
  <c r="D3970" i="1"/>
  <c r="E3970" i="1"/>
  <c r="F3970" i="1"/>
  <c r="G3970" i="1"/>
  <c r="H3970" i="1"/>
  <c r="I3970" i="1"/>
  <c r="J3970" i="1"/>
  <c r="K3970" i="1"/>
  <c r="L3970" i="1"/>
  <c r="A3971" i="1"/>
  <c r="B3971" i="1"/>
  <c r="C3971" i="1"/>
  <c r="D3971" i="1"/>
  <c r="E3971" i="1"/>
  <c r="F3971" i="1"/>
  <c r="G3971" i="1"/>
  <c r="H3971" i="1"/>
  <c r="I3971" i="1"/>
  <c r="J3971" i="1"/>
  <c r="K3971" i="1"/>
  <c r="L3971" i="1"/>
  <c r="A3972" i="1"/>
  <c r="B3972" i="1"/>
  <c r="C3972" i="1"/>
  <c r="D3972" i="1"/>
  <c r="E3972" i="1"/>
  <c r="F3972" i="1"/>
  <c r="G3972" i="1"/>
  <c r="H3972" i="1"/>
  <c r="I3972" i="1"/>
  <c r="J3972" i="1"/>
  <c r="K3972" i="1"/>
  <c r="L3972" i="1"/>
  <c r="A3973" i="1"/>
  <c r="B3973" i="1"/>
  <c r="C3973" i="1"/>
  <c r="D3973" i="1"/>
  <c r="E3973" i="1"/>
  <c r="F3973" i="1"/>
  <c r="G3973" i="1"/>
  <c r="H3973" i="1"/>
  <c r="I3973" i="1"/>
  <c r="J3973" i="1"/>
  <c r="K3973" i="1"/>
  <c r="L3973" i="1"/>
  <c r="A3974" i="1"/>
  <c r="B3974" i="1"/>
  <c r="C3974" i="1"/>
  <c r="D3974" i="1"/>
  <c r="E3974" i="1"/>
  <c r="F3974" i="1"/>
  <c r="G3974" i="1"/>
  <c r="H3974" i="1"/>
  <c r="I3974" i="1"/>
  <c r="J3974" i="1"/>
  <c r="K3974" i="1"/>
  <c r="L3974" i="1"/>
  <c r="A3975" i="1"/>
  <c r="B3975" i="1"/>
  <c r="C3975" i="1"/>
  <c r="D3975" i="1"/>
  <c r="E3975" i="1"/>
  <c r="F3975" i="1"/>
  <c r="G3975" i="1"/>
  <c r="H3975" i="1"/>
  <c r="I3975" i="1"/>
  <c r="J3975" i="1"/>
  <c r="K3975" i="1"/>
  <c r="L3975" i="1"/>
  <c r="A3976" i="1"/>
  <c r="B3976" i="1"/>
  <c r="C3976" i="1"/>
  <c r="D3976" i="1"/>
  <c r="E3976" i="1"/>
  <c r="F3976" i="1"/>
  <c r="G3976" i="1"/>
  <c r="H3976" i="1"/>
  <c r="I3976" i="1"/>
  <c r="J3976" i="1"/>
  <c r="K3976" i="1"/>
  <c r="L3976" i="1"/>
  <c r="A3977" i="1"/>
  <c r="B3977" i="1"/>
  <c r="C3977" i="1"/>
  <c r="D3977" i="1"/>
  <c r="E3977" i="1"/>
  <c r="F3977" i="1"/>
  <c r="G3977" i="1"/>
  <c r="H3977" i="1"/>
  <c r="I3977" i="1"/>
  <c r="J3977" i="1"/>
  <c r="K3977" i="1"/>
  <c r="L3977" i="1"/>
  <c r="A3978" i="1"/>
  <c r="B3978" i="1"/>
  <c r="C3978" i="1"/>
  <c r="D3978" i="1"/>
  <c r="E3978" i="1"/>
  <c r="F3978" i="1"/>
  <c r="G3978" i="1"/>
  <c r="H3978" i="1"/>
  <c r="I3978" i="1"/>
  <c r="J3978" i="1"/>
  <c r="K3978" i="1"/>
  <c r="L3978" i="1"/>
  <c r="A3979" i="1"/>
  <c r="B3979" i="1"/>
  <c r="C3979" i="1"/>
  <c r="D3979" i="1"/>
  <c r="E3979" i="1"/>
  <c r="F3979" i="1"/>
  <c r="G3979" i="1"/>
  <c r="H3979" i="1"/>
  <c r="I3979" i="1"/>
  <c r="J3979" i="1"/>
  <c r="K3979" i="1"/>
  <c r="L3979" i="1"/>
  <c r="A3980" i="1"/>
  <c r="B3980" i="1"/>
  <c r="C3980" i="1"/>
  <c r="D3980" i="1"/>
  <c r="E3980" i="1"/>
  <c r="F3980" i="1"/>
  <c r="G3980" i="1"/>
  <c r="H3980" i="1"/>
  <c r="I3980" i="1"/>
  <c r="J3980" i="1"/>
  <c r="K3980" i="1"/>
  <c r="L3980" i="1"/>
  <c r="A3981" i="1"/>
  <c r="B3981" i="1"/>
  <c r="C3981" i="1"/>
  <c r="D3981" i="1"/>
  <c r="E3981" i="1"/>
  <c r="F3981" i="1"/>
  <c r="G3981" i="1"/>
  <c r="H3981" i="1"/>
  <c r="I3981" i="1"/>
  <c r="J3981" i="1"/>
  <c r="K3981" i="1"/>
  <c r="L3981" i="1"/>
  <c r="A3982" i="1"/>
  <c r="B3982" i="1"/>
  <c r="C3982" i="1"/>
  <c r="D3982" i="1"/>
  <c r="E3982" i="1"/>
  <c r="F3982" i="1"/>
  <c r="G3982" i="1"/>
  <c r="H3982" i="1"/>
  <c r="I3982" i="1"/>
  <c r="J3982" i="1"/>
  <c r="K3982" i="1"/>
  <c r="L3982" i="1"/>
  <c r="A3983" i="1"/>
  <c r="B3983" i="1"/>
  <c r="C3983" i="1"/>
  <c r="D3983" i="1"/>
  <c r="E3983" i="1"/>
  <c r="F3983" i="1"/>
  <c r="G3983" i="1"/>
  <c r="H3983" i="1"/>
  <c r="I3983" i="1"/>
  <c r="J3983" i="1"/>
  <c r="K3983" i="1"/>
  <c r="L3983" i="1"/>
  <c r="A3984" i="1"/>
  <c r="B3984" i="1"/>
  <c r="C3984" i="1"/>
  <c r="D3984" i="1"/>
  <c r="E3984" i="1"/>
  <c r="F3984" i="1"/>
  <c r="G3984" i="1"/>
  <c r="H3984" i="1"/>
  <c r="I3984" i="1"/>
  <c r="J3984" i="1"/>
  <c r="K3984" i="1"/>
  <c r="L3984" i="1"/>
  <c r="A3985" i="1"/>
  <c r="B3985" i="1"/>
  <c r="C3985" i="1"/>
  <c r="D3985" i="1"/>
  <c r="E3985" i="1"/>
  <c r="F3985" i="1"/>
  <c r="G3985" i="1"/>
  <c r="H3985" i="1"/>
  <c r="I3985" i="1"/>
  <c r="J3985" i="1"/>
  <c r="K3985" i="1"/>
  <c r="L3985" i="1"/>
  <c r="A3986" i="1"/>
  <c r="B3986" i="1"/>
  <c r="C3986" i="1"/>
  <c r="D3986" i="1"/>
  <c r="E3986" i="1"/>
  <c r="F3986" i="1"/>
  <c r="G3986" i="1"/>
  <c r="H3986" i="1"/>
  <c r="I3986" i="1"/>
  <c r="J3986" i="1"/>
  <c r="K3986" i="1"/>
  <c r="L3986" i="1"/>
  <c r="A3987" i="1"/>
  <c r="B3987" i="1"/>
  <c r="C3987" i="1"/>
  <c r="D3987" i="1"/>
  <c r="E3987" i="1"/>
  <c r="F3987" i="1"/>
  <c r="G3987" i="1"/>
  <c r="H3987" i="1"/>
  <c r="I3987" i="1"/>
  <c r="J3987" i="1"/>
  <c r="K3987" i="1"/>
  <c r="L3987" i="1"/>
  <c r="A3988" i="1"/>
  <c r="B3988" i="1"/>
  <c r="C3988" i="1"/>
  <c r="D3988" i="1"/>
  <c r="E3988" i="1"/>
  <c r="F3988" i="1"/>
  <c r="G3988" i="1"/>
  <c r="H3988" i="1"/>
  <c r="I3988" i="1"/>
  <c r="J3988" i="1"/>
  <c r="K3988" i="1"/>
  <c r="L3988" i="1"/>
  <c r="A3989" i="1"/>
  <c r="B3989" i="1"/>
  <c r="C3989" i="1"/>
  <c r="D3989" i="1"/>
  <c r="E3989" i="1"/>
  <c r="F3989" i="1"/>
  <c r="G3989" i="1"/>
  <c r="H3989" i="1"/>
  <c r="I3989" i="1"/>
  <c r="J3989" i="1"/>
  <c r="K3989" i="1"/>
  <c r="L3989" i="1"/>
  <c r="A3990" i="1"/>
  <c r="B3990" i="1"/>
  <c r="C3990" i="1"/>
  <c r="D3990" i="1"/>
  <c r="E3990" i="1"/>
  <c r="F3990" i="1"/>
  <c r="G3990" i="1"/>
  <c r="H3990" i="1"/>
  <c r="I3990" i="1"/>
  <c r="J3990" i="1"/>
  <c r="K3990" i="1"/>
  <c r="L3990" i="1"/>
  <c r="A3991" i="1"/>
  <c r="B3991" i="1"/>
  <c r="C3991" i="1"/>
  <c r="D3991" i="1"/>
  <c r="E3991" i="1"/>
  <c r="F3991" i="1"/>
  <c r="G3991" i="1"/>
  <c r="H3991" i="1"/>
  <c r="I3991" i="1"/>
  <c r="J3991" i="1"/>
  <c r="K3991" i="1"/>
  <c r="L3991" i="1"/>
  <c r="A3992" i="1"/>
  <c r="B3992" i="1"/>
  <c r="C3992" i="1"/>
  <c r="D3992" i="1"/>
  <c r="E3992" i="1"/>
  <c r="F3992" i="1"/>
  <c r="G3992" i="1"/>
  <c r="H3992" i="1"/>
  <c r="I3992" i="1"/>
  <c r="J3992" i="1"/>
  <c r="K3992" i="1"/>
  <c r="L3992" i="1"/>
  <c r="A3993" i="1"/>
  <c r="B3993" i="1"/>
  <c r="C3993" i="1"/>
  <c r="D3993" i="1"/>
  <c r="E3993" i="1"/>
  <c r="F3993" i="1"/>
  <c r="G3993" i="1"/>
  <c r="H3993" i="1"/>
  <c r="I3993" i="1"/>
  <c r="J3993" i="1"/>
  <c r="K3993" i="1"/>
  <c r="L3993" i="1"/>
  <c r="A3994" i="1"/>
  <c r="B3994" i="1"/>
  <c r="C3994" i="1"/>
  <c r="D3994" i="1"/>
  <c r="E3994" i="1"/>
  <c r="F3994" i="1"/>
  <c r="G3994" i="1"/>
  <c r="H3994" i="1"/>
  <c r="I3994" i="1"/>
  <c r="J3994" i="1"/>
  <c r="K3994" i="1"/>
  <c r="L3994" i="1"/>
  <c r="A3995" i="1"/>
  <c r="B3995" i="1"/>
  <c r="C3995" i="1"/>
  <c r="D3995" i="1"/>
  <c r="E3995" i="1"/>
  <c r="F3995" i="1"/>
  <c r="G3995" i="1"/>
  <c r="H3995" i="1"/>
  <c r="I3995" i="1"/>
  <c r="J3995" i="1"/>
  <c r="K3995" i="1"/>
  <c r="L3995" i="1"/>
  <c r="A3996" i="1"/>
  <c r="B3996" i="1"/>
  <c r="C3996" i="1"/>
  <c r="D3996" i="1"/>
  <c r="E3996" i="1"/>
  <c r="F3996" i="1"/>
  <c r="G3996" i="1"/>
  <c r="H3996" i="1"/>
  <c r="I3996" i="1"/>
  <c r="J3996" i="1"/>
  <c r="K3996" i="1"/>
  <c r="L3996" i="1"/>
  <c r="A3997" i="1"/>
  <c r="B3997" i="1"/>
  <c r="C3997" i="1"/>
  <c r="D3997" i="1"/>
  <c r="E3997" i="1"/>
  <c r="F3997" i="1"/>
  <c r="G3997" i="1"/>
  <c r="H3997" i="1"/>
  <c r="I3997" i="1"/>
  <c r="J3997" i="1"/>
  <c r="K3997" i="1"/>
  <c r="L3997" i="1"/>
  <c r="A3998" i="1"/>
  <c r="B3998" i="1"/>
  <c r="C3998" i="1"/>
  <c r="D3998" i="1"/>
  <c r="E3998" i="1"/>
  <c r="F3998" i="1"/>
  <c r="G3998" i="1"/>
  <c r="H3998" i="1"/>
  <c r="I3998" i="1"/>
  <c r="J3998" i="1"/>
  <c r="K3998" i="1"/>
  <c r="L3998" i="1"/>
  <c r="A3999" i="1"/>
  <c r="B3999" i="1"/>
  <c r="C3999" i="1"/>
  <c r="D3999" i="1"/>
  <c r="E3999" i="1"/>
  <c r="F3999" i="1"/>
  <c r="G3999" i="1"/>
  <c r="H3999" i="1"/>
  <c r="I3999" i="1"/>
  <c r="J3999" i="1"/>
  <c r="K3999" i="1"/>
  <c r="L3999" i="1"/>
  <c r="A4000" i="1"/>
  <c r="B4000" i="1"/>
  <c r="C4000" i="1"/>
  <c r="D4000" i="1"/>
  <c r="E4000" i="1"/>
  <c r="F4000" i="1"/>
  <c r="G4000" i="1"/>
  <c r="H4000" i="1"/>
  <c r="I4000" i="1"/>
  <c r="J4000" i="1"/>
  <c r="K4000" i="1"/>
  <c r="L4000" i="1"/>
  <c r="A4001" i="1"/>
  <c r="B4001" i="1"/>
  <c r="C4001" i="1"/>
  <c r="D4001" i="1"/>
  <c r="E4001" i="1"/>
  <c r="F4001" i="1"/>
  <c r="G4001" i="1"/>
  <c r="H4001" i="1"/>
  <c r="I4001" i="1"/>
  <c r="J4001" i="1"/>
  <c r="K4001" i="1"/>
  <c r="L4001" i="1"/>
  <c r="A4002" i="1"/>
  <c r="B4002" i="1"/>
  <c r="C4002" i="1"/>
  <c r="D4002" i="1"/>
  <c r="E4002" i="1"/>
  <c r="F4002" i="1"/>
  <c r="G4002" i="1"/>
  <c r="H4002" i="1"/>
  <c r="I4002" i="1"/>
  <c r="J4002" i="1"/>
  <c r="K4002" i="1"/>
  <c r="L4002" i="1"/>
  <c r="A4003" i="1"/>
  <c r="B4003" i="1"/>
  <c r="C4003" i="1"/>
  <c r="D4003" i="1"/>
  <c r="E4003" i="1"/>
  <c r="F4003" i="1"/>
  <c r="G4003" i="1"/>
  <c r="H4003" i="1"/>
  <c r="I4003" i="1"/>
  <c r="J4003" i="1"/>
  <c r="K4003" i="1"/>
  <c r="L4003" i="1"/>
  <c r="A4004" i="1"/>
  <c r="B4004" i="1"/>
  <c r="C4004" i="1"/>
  <c r="D4004" i="1"/>
  <c r="E4004" i="1"/>
  <c r="F4004" i="1"/>
  <c r="G4004" i="1"/>
  <c r="H4004" i="1"/>
  <c r="I4004" i="1"/>
  <c r="J4004" i="1"/>
  <c r="K4004" i="1"/>
  <c r="L4004" i="1"/>
  <c r="A4005" i="1"/>
  <c r="B4005" i="1"/>
  <c r="C4005" i="1"/>
  <c r="D4005" i="1"/>
  <c r="E4005" i="1"/>
  <c r="F4005" i="1"/>
  <c r="G4005" i="1"/>
  <c r="H4005" i="1"/>
  <c r="I4005" i="1"/>
  <c r="J4005" i="1"/>
  <c r="K4005" i="1"/>
  <c r="L4005" i="1"/>
  <c r="A4006" i="1"/>
  <c r="B4006" i="1"/>
  <c r="C4006" i="1"/>
  <c r="D4006" i="1"/>
  <c r="E4006" i="1"/>
  <c r="F4006" i="1"/>
  <c r="G4006" i="1"/>
  <c r="H4006" i="1"/>
  <c r="I4006" i="1"/>
  <c r="J4006" i="1"/>
  <c r="K4006" i="1"/>
  <c r="L4006" i="1"/>
  <c r="A4007" i="1"/>
  <c r="B4007" i="1"/>
  <c r="C4007" i="1"/>
  <c r="D4007" i="1"/>
  <c r="E4007" i="1"/>
  <c r="F4007" i="1"/>
  <c r="G4007" i="1"/>
  <c r="H4007" i="1"/>
  <c r="I4007" i="1"/>
  <c r="J4007" i="1"/>
  <c r="K4007" i="1"/>
  <c r="L4007" i="1"/>
  <c r="A4008" i="1"/>
  <c r="B4008" i="1"/>
  <c r="C4008" i="1"/>
  <c r="D4008" i="1"/>
  <c r="E4008" i="1"/>
  <c r="F4008" i="1"/>
  <c r="G4008" i="1"/>
  <c r="H4008" i="1"/>
  <c r="I4008" i="1"/>
  <c r="J4008" i="1"/>
  <c r="K4008" i="1"/>
  <c r="L4008" i="1"/>
  <c r="A4009" i="1"/>
  <c r="B4009" i="1"/>
  <c r="C4009" i="1"/>
  <c r="D4009" i="1"/>
  <c r="E4009" i="1"/>
  <c r="F4009" i="1"/>
  <c r="G4009" i="1"/>
  <c r="H4009" i="1"/>
  <c r="I4009" i="1"/>
  <c r="J4009" i="1"/>
  <c r="K4009" i="1"/>
  <c r="L4009" i="1"/>
  <c r="A4010" i="1"/>
  <c r="B4010" i="1"/>
  <c r="C4010" i="1"/>
  <c r="D4010" i="1"/>
  <c r="E4010" i="1"/>
  <c r="F4010" i="1"/>
  <c r="G4010" i="1"/>
  <c r="H4010" i="1"/>
  <c r="I4010" i="1"/>
  <c r="J4010" i="1"/>
  <c r="K4010" i="1"/>
  <c r="L4010" i="1"/>
  <c r="A4011" i="1"/>
  <c r="B4011" i="1"/>
  <c r="C4011" i="1"/>
  <c r="D4011" i="1"/>
  <c r="E4011" i="1"/>
  <c r="F4011" i="1"/>
  <c r="G4011" i="1"/>
  <c r="H4011" i="1"/>
  <c r="I4011" i="1"/>
  <c r="J4011" i="1"/>
  <c r="K4011" i="1"/>
  <c r="L4011" i="1"/>
  <c r="A4012" i="1"/>
  <c r="B4012" i="1"/>
  <c r="C4012" i="1"/>
  <c r="D4012" i="1"/>
  <c r="E4012" i="1"/>
  <c r="F4012" i="1"/>
  <c r="G4012" i="1"/>
  <c r="H4012" i="1"/>
  <c r="I4012" i="1"/>
  <c r="J4012" i="1"/>
  <c r="K4012" i="1"/>
  <c r="L4012" i="1"/>
  <c r="A4013" i="1"/>
  <c r="B4013" i="1"/>
  <c r="C4013" i="1"/>
  <c r="D4013" i="1"/>
  <c r="E4013" i="1"/>
  <c r="F4013" i="1"/>
  <c r="G4013" i="1"/>
  <c r="H4013" i="1"/>
  <c r="I4013" i="1"/>
  <c r="J4013" i="1"/>
  <c r="K4013" i="1"/>
  <c r="L4013" i="1"/>
  <c r="A4014" i="1"/>
  <c r="B4014" i="1"/>
  <c r="C4014" i="1"/>
  <c r="D4014" i="1"/>
  <c r="E4014" i="1"/>
  <c r="F4014" i="1"/>
  <c r="G4014" i="1"/>
  <c r="H4014" i="1"/>
  <c r="I4014" i="1"/>
  <c r="J4014" i="1"/>
  <c r="K4014" i="1"/>
  <c r="L4014" i="1"/>
  <c r="A4015" i="1"/>
  <c r="B4015" i="1"/>
  <c r="C4015" i="1"/>
  <c r="D4015" i="1"/>
  <c r="E4015" i="1"/>
  <c r="F4015" i="1"/>
  <c r="G4015" i="1"/>
  <c r="H4015" i="1"/>
  <c r="I4015" i="1"/>
  <c r="J4015" i="1"/>
  <c r="K4015" i="1"/>
  <c r="L4015" i="1"/>
  <c r="A4016" i="1"/>
  <c r="B4016" i="1"/>
  <c r="C4016" i="1"/>
  <c r="D4016" i="1"/>
  <c r="E4016" i="1"/>
  <c r="F4016" i="1"/>
  <c r="G4016" i="1"/>
  <c r="H4016" i="1"/>
  <c r="I4016" i="1"/>
  <c r="J4016" i="1"/>
  <c r="K4016" i="1"/>
  <c r="L4016" i="1"/>
  <c r="A4017" i="1"/>
  <c r="B4017" i="1"/>
  <c r="C4017" i="1"/>
  <c r="D4017" i="1"/>
  <c r="E4017" i="1"/>
  <c r="F4017" i="1"/>
  <c r="G4017" i="1"/>
  <c r="H4017" i="1"/>
  <c r="I4017" i="1"/>
  <c r="J4017" i="1"/>
  <c r="K4017" i="1"/>
  <c r="L4017" i="1"/>
  <c r="A4018" i="1"/>
  <c r="B4018" i="1"/>
  <c r="C4018" i="1"/>
  <c r="D4018" i="1"/>
  <c r="E4018" i="1"/>
  <c r="F4018" i="1"/>
  <c r="G4018" i="1"/>
  <c r="H4018" i="1"/>
  <c r="I4018" i="1"/>
  <c r="J4018" i="1"/>
  <c r="K4018" i="1"/>
  <c r="L4018" i="1"/>
  <c r="A4019" i="1"/>
  <c r="B4019" i="1"/>
  <c r="C4019" i="1"/>
  <c r="D4019" i="1"/>
  <c r="E4019" i="1"/>
  <c r="F4019" i="1"/>
  <c r="G4019" i="1"/>
  <c r="H4019" i="1"/>
  <c r="I4019" i="1"/>
  <c r="J4019" i="1"/>
  <c r="K4019" i="1"/>
  <c r="L4019" i="1"/>
  <c r="A4020" i="1"/>
  <c r="B4020" i="1"/>
  <c r="C4020" i="1"/>
  <c r="D4020" i="1"/>
  <c r="E4020" i="1"/>
  <c r="F4020" i="1"/>
  <c r="G4020" i="1"/>
  <c r="H4020" i="1"/>
  <c r="I4020" i="1"/>
  <c r="J4020" i="1"/>
  <c r="K4020" i="1"/>
  <c r="L4020" i="1"/>
  <c r="A4021" i="1"/>
  <c r="B4021" i="1"/>
  <c r="C4021" i="1"/>
  <c r="D4021" i="1"/>
  <c r="E4021" i="1"/>
  <c r="F4021" i="1"/>
  <c r="G4021" i="1"/>
  <c r="H4021" i="1"/>
  <c r="I4021" i="1"/>
  <c r="J4021" i="1"/>
  <c r="K4021" i="1"/>
  <c r="L4021" i="1"/>
  <c r="A4022" i="1"/>
  <c r="B4022" i="1"/>
  <c r="C4022" i="1"/>
  <c r="D4022" i="1"/>
  <c r="E4022" i="1"/>
  <c r="F4022" i="1"/>
  <c r="G4022" i="1"/>
  <c r="H4022" i="1"/>
  <c r="I4022" i="1"/>
  <c r="J4022" i="1"/>
  <c r="K4022" i="1"/>
  <c r="L4022" i="1"/>
  <c r="A4023" i="1"/>
  <c r="B4023" i="1"/>
  <c r="C4023" i="1"/>
  <c r="D4023" i="1"/>
  <c r="E4023" i="1"/>
  <c r="F4023" i="1"/>
  <c r="G4023" i="1"/>
  <c r="H4023" i="1"/>
  <c r="I4023" i="1"/>
  <c r="J4023" i="1"/>
  <c r="K4023" i="1"/>
  <c r="L4023" i="1"/>
  <c r="A4024" i="1"/>
  <c r="B4024" i="1"/>
  <c r="C4024" i="1"/>
  <c r="D4024" i="1"/>
  <c r="E4024" i="1"/>
  <c r="F4024" i="1"/>
  <c r="G4024" i="1"/>
  <c r="H4024" i="1"/>
  <c r="I4024" i="1"/>
  <c r="J4024" i="1"/>
  <c r="K4024" i="1"/>
  <c r="L4024" i="1"/>
  <c r="A4025" i="1"/>
  <c r="B4025" i="1"/>
  <c r="C4025" i="1"/>
  <c r="D4025" i="1"/>
  <c r="E4025" i="1"/>
  <c r="F4025" i="1"/>
  <c r="G4025" i="1"/>
  <c r="H4025" i="1"/>
  <c r="I4025" i="1"/>
  <c r="J4025" i="1"/>
  <c r="K4025" i="1"/>
  <c r="L4025" i="1"/>
  <c r="A4026" i="1"/>
  <c r="B4026" i="1"/>
  <c r="C4026" i="1"/>
  <c r="D4026" i="1"/>
  <c r="E4026" i="1"/>
  <c r="F4026" i="1"/>
  <c r="G4026" i="1"/>
  <c r="H4026" i="1"/>
  <c r="I4026" i="1"/>
  <c r="J4026" i="1"/>
  <c r="K4026" i="1"/>
  <c r="L4026" i="1"/>
  <c r="A4027" i="1"/>
  <c r="B4027" i="1"/>
  <c r="C4027" i="1"/>
  <c r="D4027" i="1"/>
  <c r="E4027" i="1"/>
  <c r="F4027" i="1"/>
  <c r="G4027" i="1"/>
  <c r="H4027" i="1"/>
  <c r="I4027" i="1"/>
  <c r="J4027" i="1"/>
  <c r="K4027" i="1"/>
  <c r="L4027" i="1"/>
  <c r="A4028" i="1"/>
  <c r="B4028" i="1"/>
  <c r="C4028" i="1"/>
  <c r="D4028" i="1"/>
  <c r="E4028" i="1"/>
  <c r="F4028" i="1"/>
  <c r="G4028" i="1"/>
  <c r="H4028" i="1"/>
  <c r="I4028" i="1"/>
  <c r="J4028" i="1"/>
  <c r="K4028" i="1"/>
  <c r="L4028" i="1"/>
  <c r="A4029" i="1"/>
  <c r="B4029" i="1"/>
  <c r="C4029" i="1"/>
  <c r="D4029" i="1"/>
  <c r="E4029" i="1"/>
  <c r="F4029" i="1"/>
  <c r="G4029" i="1"/>
  <c r="H4029" i="1"/>
  <c r="I4029" i="1"/>
  <c r="J4029" i="1"/>
  <c r="K4029" i="1"/>
  <c r="L4029" i="1"/>
  <c r="A4030" i="1"/>
  <c r="B4030" i="1"/>
  <c r="C4030" i="1"/>
  <c r="D4030" i="1"/>
  <c r="E4030" i="1"/>
  <c r="F4030" i="1"/>
  <c r="G4030" i="1"/>
  <c r="H4030" i="1"/>
  <c r="I4030" i="1"/>
  <c r="J4030" i="1"/>
  <c r="K4030" i="1"/>
  <c r="L4030" i="1"/>
  <c r="A4031" i="1"/>
  <c r="B4031" i="1"/>
  <c r="C4031" i="1"/>
  <c r="D4031" i="1"/>
  <c r="E4031" i="1"/>
  <c r="F4031" i="1"/>
  <c r="G4031" i="1"/>
  <c r="H4031" i="1"/>
  <c r="I4031" i="1"/>
  <c r="J4031" i="1"/>
  <c r="K4031" i="1"/>
  <c r="L4031" i="1"/>
  <c r="A4032" i="1"/>
  <c r="B4032" i="1"/>
  <c r="C4032" i="1"/>
  <c r="D4032" i="1"/>
  <c r="E4032" i="1"/>
  <c r="F4032" i="1"/>
  <c r="G4032" i="1"/>
  <c r="H4032" i="1"/>
  <c r="I4032" i="1"/>
  <c r="J4032" i="1"/>
  <c r="K4032" i="1"/>
  <c r="L4032" i="1"/>
  <c r="A4033" i="1"/>
  <c r="B4033" i="1"/>
  <c r="C4033" i="1"/>
  <c r="D4033" i="1"/>
  <c r="E4033" i="1"/>
  <c r="F4033" i="1"/>
  <c r="G4033" i="1"/>
  <c r="H4033" i="1"/>
  <c r="I4033" i="1"/>
  <c r="J4033" i="1"/>
  <c r="K4033" i="1"/>
  <c r="L4033" i="1"/>
  <c r="A4034" i="1"/>
  <c r="B4034" i="1"/>
  <c r="C4034" i="1"/>
  <c r="D4034" i="1"/>
  <c r="E4034" i="1"/>
  <c r="F4034" i="1"/>
  <c r="G4034" i="1"/>
  <c r="H4034" i="1"/>
  <c r="I4034" i="1"/>
  <c r="J4034" i="1"/>
  <c r="K4034" i="1"/>
  <c r="L4034" i="1"/>
  <c r="A4035" i="1"/>
  <c r="B4035" i="1"/>
  <c r="C4035" i="1"/>
  <c r="D4035" i="1"/>
  <c r="E4035" i="1"/>
  <c r="F4035" i="1"/>
  <c r="G4035" i="1"/>
  <c r="H4035" i="1"/>
  <c r="I4035" i="1"/>
  <c r="J4035" i="1"/>
  <c r="K4035" i="1"/>
  <c r="L4035" i="1"/>
  <c r="A4036" i="1"/>
  <c r="B4036" i="1"/>
  <c r="C4036" i="1"/>
  <c r="D4036" i="1"/>
  <c r="E4036" i="1"/>
  <c r="F4036" i="1"/>
  <c r="G4036" i="1"/>
  <c r="H4036" i="1"/>
  <c r="I4036" i="1"/>
  <c r="J4036" i="1"/>
  <c r="K4036" i="1"/>
  <c r="L4036" i="1"/>
  <c r="A4037" i="1"/>
  <c r="B4037" i="1"/>
  <c r="C4037" i="1"/>
  <c r="D4037" i="1"/>
  <c r="E4037" i="1"/>
  <c r="F4037" i="1"/>
  <c r="G4037" i="1"/>
  <c r="H4037" i="1"/>
  <c r="I4037" i="1"/>
  <c r="J4037" i="1"/>
  <c r="K4037" i="1"/>
  <c r="L4037" i="1"/>
  <c r="A4038" i="1"/>
  <c r="B4038" i="1"/>
  <c r="C4038" i="1"/>
  <c r="D4038" i="1"/>
  <c r="E4038" i="1"/>
  <c r="F4038" i="1"/>
  <c r="G4038" i="1"/>
  <c r="H4038" i="1"/>
  <c r="I4038" i="1"/>
  <c r="J4038" i="1"/>
  <c r="K4038" i="1"/>
  <c r="L4038" i="1"/>
  <c r="A4039" i="1"/>
  <c r="B4039" i="1"/>
  <c r="C4039" i="1"/>
  <c r="D4039" i="1"/>
  <c r="E4039" i="1"/>
  <c r="F4039" i="1"/>
  <c r="G4039" i="1"/>
  <c r="H4039" i="1"/>
  <c r="I4039" i="1"/>
  <c r="J4039" i="1"/>
  <c r="K4039" i="1"/>
  <c r="L4039" i="1"/>
  <c r="A4040" i="1"/>
  <c r="B4040" i="1"/>
  <c r="C4040" i="1"/>
  <c r="D4040" i="1"/>
  <c r="E4040" i="1"/>
  <c r="F4040" i="1"/>
  <c r="G4040" i="1"/>
  <c r="H4040" i="1"/>
  <c r="I4040" i="1"/>
  <c r="J4040" i="1"/>
  <c r="K4040" i="1"/>
  <c r="L4040" i="1"/>
  <c r="A4041" i="1"/>
  <c r="B4041" i="1"/>
  <c r="C4041" i="1"/>
  <c r="D4041" i="1"/>
  <c r="E4041" i="1"/>
  <c r="F4041" i="1"/>
  <c r="G4041" i="1"/>
  <c r="H4041" i="1"/>
  <c r="I4041" i="1"/>
  <c r="J4041" i="1"/>
  <c r="K4041" i="1"/>
  <c r="L4041" i="1"/>
  <c r="A4042" i="1"/>
  <c r="B4042" i="1"/>
  <c r="C4042" i="1"/>
  <c r="D4042" i="1"/>
  <c r="E4042" i="1"/>
  <c r="F4042" i="1"/>
  <c r="G4042" i="1"/>
  <c r="H4042" i="1"/>
  <c r="I4042" i="1"/>
  <c r="J4042" i="1"/>
  <c r="K4042" i="1"/>
  <c r="L4042" i="1"/>
  <c r="A4043" i="1"/>
  <c r="B4043" i="1"/>
  <c r="C4043" i="1"/>
  <c r="D4043" i="1"/>
  <c r="E4043" i="1"/>
  <c r="F4043" i="1"/>
  <c r="G4043" i="1"/>
  <c r="H4043" i="1"/>
  <c r="I4043" i="1"/>
  <c r="J4043" i="1"/>
  <c r="K4043" i="1"/>
  <c r="L4043" i="1"/>
  <c r="A4044" i="1"/>
  <c r="B4044" i="1"/>
  <c r="C4044" i="1"/>
  <c r="D4044" i="1"/>
  <c r="E4044" i="1"/>
  <c r="F4044" i="1"/>
  <c r="G4044" i="1"/>
  <c r="H4044" i="1"/>
  <c r="I4044" i="1"/>
  <c r="J4044" i="1"/>
  <c r="K4044" i="1"/>
  <c r="L4044" i="1"/>
  <c r="A4045" i="1"/>
  <c r="B4045" i="1"/>
  <c r="C4045" i="1"/>
  <c r="D4045" i="1"/>
  <c r="E4045" i="1"/>
  <c r="F4045" i="1"/>
  <c r="G4045" i="1"/>
  <c r="H4045" i="1"/>
  <c r="I4045" i="1"/>
  <c r="J4045" i="1"/>
  <c r="K4045" i="1"/>
  <c r="L4045" i="1"/>
  <c r="A4046" i="1"/>
  <c r="B4046" i="1"/>
  <c r="C4046" i="1"/>
  <c r="D4046" i="1"/>
  <c r="E4046" i="1"/>
  <c r="F4046" i="1"/>
  <c r="G4046" i="1"/>
  <c r="H4046" i="1"/>
  <c r="I4046" i="1"/>
  <c r="J4046" i="1"/>
  <c r="K4046" i="1"/>
  <c r="L4046" i="1"/>
  <c r="A4047" i="1"/>
  <c r="B4047" i="1"/>
  <c r="C4047" i="1"/>
  <c r="D4047" i="1"/>
  <c r="E4047" i="1"/>
  <c r="F4047" i="1"/>
  <c r="G4047" i="1"/>
  <c r="H4047" i="1"/>
  <c r="I4047" i="1"/>
  <c r="J4047" i="1"/>
  <c r="K4047" i="1"/>
  <c r="L4047" i="1"/>
  <c r="A4048" i="1"/>
  <c r="B4048" i="1"/>
  <c r="C4048" i="1"/>
  <c r="D4048" i="1"/>
  <c r="E4048" i="1"/>
  <c r="F4048" i="1"/>
  <c r="G4048" i="1"/>
  <c r="H4048" i="1"/>
  <c r="I4048" i="1"/>
  <c r="J4048" i="1"/>
  <c r="K4048" i="1"/>
  <c r="L4048" i="1"/>
  <c r="A4049" i="1"/>
  <c r="B4049" i="1"/>
  <c r="C4049" i="1"/>
  <c r="D4049" i="1"/>
  <c r="E4049" i="1"/>
  <c r="F4049" i="1"/>
  <c r="G4049" i="1"/>
  <c r="H4049" i="1"/>
  <c r="I4049" i="1"/>
  <c r="J4049" i="1"/>
  <c r="K4049" i="1"/>
  <c r="L4049" i="1"/>
  <c r="A4050" i="1"/>
  <c r="B4050" i="1"/>
  <c r="C4050" i="1"/>
  <c r="D4050" i="1"/>
  <c r="E4050" i="1"/>
  <c r="F4050" i="1"/>
  <c r="G4050" i="1"/>
  <c r="H4050" i="1"/>
  <c r="I4050" i="1"/>
  <c r="J4050" i="1"/>
  <c r="K4050" i="1"/>
  <c r="L4050" i="1"/>
  <c r="A4051" i="1"/>
  <c r="B4051" i="1"/>
  <c r="C4051" i="1"/>
  <c r="D4051" i="1"/>
  <c r="E4051" i="1"/>
  <c r="F4051" i="1"/>
  <c r="G4051" i="1"/>
  <c r="H4051" i="1"/>
  <c r="I4051" i="1"/>
  <c r="J4051" i="1"/>
  <c r="K4051" i="1"/>
  <c r="L4051" i="1"/>
  <c r="A4052" i="1"/>
  <c r="B4052" i="1"/>
  <c r="C4052" i="1"/>
  <c r="D4052" i="1"/>
  <c r="E4052" i="1"/>
  <c r="F4052" i="1"/>
  <c r="G4052" i="1"/>
  <c r="H4052" i="1"/>
  <c r="I4052" i="1"/>
  <c r="J4052" i="1"/>
  <c r="K4052" i="1"/>
  <c r="L4052" i="1"/>
  <c r="A4053" i="1"/>
  <c r="B4053" i="1"/>
  <c r="C4053" i="1"/>
  <c r="D4053" i="1"/>
  <c r="E4053" i="1"/>
  <c r="F4053" i="1"/>
  <c r="G4053" i="1"/>
  <c r="H4053" i="1"/>
  <c r="I4053" i="1"/>
  <c r="J4053" i="1"/>
  <c r="K4053" i="1"/>
  <c r="L4053" i="1"/>
  <c r="A4054" i="1"/>
  <c r="B4054" i="1"/>
  <c r="C4054" i="1"/>
  <c r="D4054" i="1"/>
  <c r="E4054" i="1"/>
  <c r="F4054" i="1"/>
  <c r="G4054" i="1"/>
  <c r="H4054" i="1"/>
  <c r="I4054" i="1"/>
  <c r="J4054" i="1"/>
  <c r="K4054" i="1"/>
  <c r="L4054" i="1"/>
  <c r="A4055" i="1"/>
  <c r="B4055" i="1"/>
  <c r="C4055" i="1"/>
  <c r="D4055" i="1"/>
  <c r="E4055" i="1"/>
  <c r="F4055" i="1"/>
  <c r="G4055" i="1"/>
  <c r="H4055" i="1"/>
  <c r="I4055" i="1"/>
  <c r="J4055" i="1"/>
  <c r="K4055" i="1"/>
  <c r="L4055" i="1"/>
  <c r="A4056" i="1"/>
  <c r="B4056" i="1"/>
  <c r="C4056" i="1"/>
  <c r="D4056" i="1"/>
  <c r="E4056" i="1"/>
  <c r="F4056" i="1"/>
  <c r="G4056" i="1"/>
  <c r="H4056" i="1"/>
  <c r="I4056" i="1"/>
  <c r="J4056" i="1"/>
  <c r="K4056" i="1"/>
  <c r="L4056" i="1"/>
  <c r="A4057" i="1"/>
  <c r="B4057" i="1"/>
  <c r="C4057" i="1"/>
  <c r="D4057" i="1"/>
  <c r="E4057" i="1"/>
  <c r="F4057" i="1"/>
  <c r="G4057" i="1"/>
  <c r="H4057" i="1"/>
  <c r="I4057" i="1"/>
  <c r="J4057" i="1"/>
  <c r="K4057" i="1"/>
  <c r="L4057" i="1"/>
  <c r="A4058" i="1"/>
  <c r="B4058" i="1"/>
  <c r="C4058" i="1"/>
  <c r="D4058" i="1"/>
  <c r="E4058" i="1"/>
  <c r="F4058" i="1"/>
  <c r="G4058" i="1"/>
  <c r="H4058" i="1"/>
  <c r="I4058" i="1"/>
  <c r="J4058" i="1"/>
  <c r="K4058" i="1"/>
  <c r="L4058" i="1"/>
  <c r="A4059" i="1"/>
  <c r="B4059" i="1"/>
  <c r="C4059" i="1"/>
  <c r="D4059" i="1"/>
  <c r="E4059" i="1"/>
  <c r="F4059" i="1"/>
  <c r="G4059" i="1"/>
  <c r="H4059" i="1"/>
  <c r="I4059" i="1"/>
  <c r="J4059" i="1"/>
  <c r="K4059" i="1"/>
  <c r="L4059" i="1"/>
  <c r="A4060" i="1"/>
  <c r="B4060" i="1"/>
  <c r="C4060" i="1"/>
  <c r="D4060" i="1"/>
  <c r="E4060" i="1"/>
  <c r="F4060" i="1"/>
  <c r="G4060" i="1"/>
  <c r="H4060" i="1"/>
  <c r="I4060" i="1"/>
  <c r="J4060" i="1"/>
  <c r="K4060" i="1"/>
  <c r="L4060" i="1"/>
  <c r="A4061" i="1"/>
  <c r="B4061" i="1"/>
  <c r="C4061" i="1"/>
  <c r="D4061" i="1"/>
  <c r="E4061" i="1"/>
  <c r="F4061" i="1"/>
  <c r="G4061" i="1"/>
  <c r="H4061" i="1"/>
  <c r="I4061" i="1"/>
  <c r="J4061" i="1"/>
  <c r="K4061" i="1"/>
  <c r="L4061" i="1"/>
  <c r="A4062" i="1"/>
  <c r="B4062" i="1"/>
  <c r="C4062" i="1"/>
  <c r="D4062" i="1"/>
  <c r="E4062" i="1"/>
  <c r="F4062" i="1"/>
  <c r="G4062" i="1"/>
  <c r="H4062" i="1"/>
  <c r="I4062" i="1"/>
  <c r="J4062" i="1"/>
  <c r="K4062" i="1"/>
  <c r="L4062" i="1"/>
  <c r="A4063" i="1"/>
  <c r="B4063" i="1"/>
  <c r="C4063" i="1"/>
  <c r="D4063" i="1"/>
  <c r="E4063" i="1"/>
  <c r="F4063" i="1"/>
  <c r="G4063" i="1"/>
  <c r="H4063" i="1"/>
  <c r="I4063" i="1"/>
  <c r="J4063" i="1"/>
  <c r="K4063" i="1"/>
  <c r="L4063" i="1"/>
  <c r="A4064" i="1"/>
  <c r="B4064" i="1"/>
  <c r="C4064" i="1"/>
  <c r="D4064" i="1"/>
  <c r="E4064" i="1"/>
  <c r="F4064" i="1"/>
  <c r="G4064" i="1"/>
  <c r="H4064" i="1"/>
  <c r="I4064" i="1"/>
  <c r="J4064" i="1"/>
  <c r="K4064" i="1"/>
  <c r="L4064" i="1"/>
  <c r="A4065" i="1"/>
  <c r="B4065" i="1"/>
  <c r="C4065" i="1"/>
  <c r="D4065" i="1"/>
  <c r="E4065" i="1"/>
  <c r="F4065" i="1"/>
  <c r="G4065" i="1"/>
  <c r="H4065" i="1"/>
  <c r="I4065" i="1"/>
  <c r="J4065" i="1"/>
  <c r="K4065" i="1"/>
  <c r="L4065" i="1"/>
  <c r="A4066" i="1"/>
  <c r="B4066" i="1"/>
  <c r="C4066" i="1"/>
  <c r="D4066" i="1"/>
  <c r="E4066" i="1"/>
  <c r="F4066" i="1"/>
  <c r="G4066" i="1"/>
  <c r="H4066" i="1"/>
  <c r="I4066" i="1"/>
  <c r="J4066" i="1"/>
  <c r="K4066" i="1"/>
  <c r="L4066" i="1"/>
  <c r="A4067" i="1"/>
  <c r="B4067" i="1"/>
  <c r="C4067" i="1"/>
  <c r="D4067" i="1"/>
  <c r="E4067" i="1"/>
  <c r="F4067" i="1"/>
  <c r="G4067" i="1"/>
  <c r="H4067" i="1"/>
  <c r="I4067" i="1"/>
  <c r="J4067" i="1"/>
  <c r="K4067" i="1"/>
  <c r="L4067" i="1"/>
  <c r="A4068" i="1"/>
  <c r="B4068" i="1"/>
  <c r="C4068" i="1"/>
  <c r="D4068" i="1"/>
  <c r="E4068" i="1"/>
  <c r="F4068" i="1"/>
  <c r="G4068" i="1"/>
  <c r="H4068" i="1"/>
  <c r="I4068" i="1"/>
  <c r="J4068" i="1"/>
  <c r="K4068" i="1"/>
  <c r="L4068" i="1"/>
  <c r="A4069" i="1"/>
  <c r="B4069" i="1"/>
  <c r="C4069" i="1"/>
  <c r="D4069" i="1"/>
  <c r="E4069" i="1"/>
  <c r="F4069" i="1"/>
  <c r="G4069" i="1"/>
  <c r="H4069" i="1"/>
  <c r="I4069" i="1"/>
  <c r="J4069" i="1"/>
  <c r="K4069" i="1"/>
  <c r="L4069" i="1"/>
  <c r="A4070" i="1"/>
  <c r="B4070" i="1"/>
  <c r="C4070" i="1"/>
  <c r="D4070" i="1"/>
  <c r="E4070" i="1"/>
  <c r="F4070" i="1"/>
  <c r="G4070" i="1"/>
  <c r="H4070" i="1"/>
  <c r="I4070" i="1"/>
  <c r="J4070" i="1"/>
  <c r="K4070" i="1"/>
  <c r="L4070" i="1"/>
  <c r="A4071" i="1"/>
  <c r="B4071" i="1"/>
  <c r="C4071" i="1"/>
  <c r="D4071" i="1"/>
  <c r="E4071" i="1"/>
  <c r="F4071" i="1"/>
  <c r="G4071" i="1"/>
  <c r="H4071" i="1"/>
  <c r="I4071" i="1"/>
  <c r="J4071" i="1"/>
  <c r="K4071" i="1"/>
  <c r="L4071" i="1"/>
  <c r="A4072" i="1"/>
  <c r="B4072" i="1"/>
  <c r="C4072" i="1"/>
  <c r="D4072" i="1"/>
  <c r="E4072" i="1"/>
  <c r="F4072" i="1"/>
  <c r="G4072" i="1"/>
  <c r="H4072" i="1"/>
  <c r="I4072" i="1"/>
  <c r="J4072" i="1"/>
  <c r="K4072" i="1"/>
  <c r="L4072" i="1"/>
  <c r="A4073" i="1"/>
  <c r="B4073" i="1"/>
  <c r="C4073" i="1"/>
  <c r="D4073" i="1"/>
  <c r="E4073" i="1"/>
  <c r="F4073" i="1"/>
  <c r="G4073" i="1"/>
  <c r="H4073" i="1"/>
  <c r="I4073" i="1"/>
  <c r="J4073" i="1"/>
  <c r="K4073" i="1"/>
  <c r="L4073" i="1"/>
  <c r="A4074" i="1"/>
  <c r="B4074" i="1"/>
  <c r="C4074" i="1"/>
  <c r="D4074" i="1"/>
  <c r="E4074" i="1"/>
  <c r="F4074" i="1"/>
  <c r="G4074" i="1"/>
  <c r="H4074" i="1"/>
  <c r="I4074" i="1"/>
  <c r="J4074" i="1"/>
  <c r="K4074" i="1"/>
  <c r="L4074" i="1"/>
  <c r="A4075" i="1"/>
  <c r="B4075" i="1"/>
  <c r="C4075" i="1"/>
  <c r="D4075" i="1"/>
  <c r="E4075" i="1"/>
  <c r="F4075" i="1"/>
  <c r="G4075" i="1"/>
  <c r="H4075" i="1"/>
  <c r="I4075" i="1"/>
  <c r="J4075" i="1"/>
  <c r="K4075" i="1"/>
  <c r="L4075" i="1"/>
  <c r="A4076" i="1"/>
  <c r="B4076" i="1"/>
  <c r="C4076" i="1"/>
  <c r="D4076" i="1"/>
  <c r="E4076" i="1"/>
  <c r="F4076" i="1"/>
  <c r="G4076" i="1"/>
  <c r="H4076" i="1"/>
  <c r="I4076" i="1"/>
  <c r="J4076" i="1"/>
  <c r="K4076" i="1"/>
  <c r="L4076" i="1"/>
  <c r="A4077" i="1"/>
  <c r="B4077" i="1"/>
  <c r="C4077" i="1"/>
  <c r="D4077" i="1"/>
  <c r="E4077" i="1"/>
  <c r="F4077" i="1"/>
  <c r="G4077" i="1"/>
  <c r="H4077" i="1"/>
  <c r="I4077" i="1"/>
  <c r="J4077" i="1"/>
  <c r="K4077" i="1"/>
  <c r="L4077" i="1"/>
  <c r="A4078" i="1"/>
  <c r="B4078" i="1"/>
  <c r="C4078" i="1"/>
  <c r="D4078" i="1"/>
  <c r="E4078" i="1"/>
  <c r="F4078" i="1"/>
  <c r="G4078" i="1"/>
  <c r="H4078" i="1"/>
  <c r="I4078" i="1"/>
  <c r="J4078" i="1"/>
  <c r="K4078" i="1"/>
  <c r="L4078" i="1"/>
  <c r="A4079" i="1"/>
  <c r="B4079" i="1"/>
  <c r="C4079" i="1"/>
  <c r="D4079" i="1"/>
  <c r="E4079" i="1"/>
  <c r="F4079" i="1"/>
  <c r="G4079" i="1"/>
  <c r="H4079" i="1"/>
  <c r="I4079" i="1"/>
  <c r="J4079" i="1"/>
  <c r="K4079" i="1"/>
  <c r="L4079" i="1"/>
  <c r="A4080" i="1"/>
  <c r="B4080" i="1"/>
  <c r="C4080" i="1"/>
  <c r="D4080" i="1"/>
  <c r="E4080" i="1"/>
  <c r="F4080" i="1"/>
  <c r="G4080" i="1"/>
  <c r="H4080" i="1"/>
  <c r="I4080" i="1"/>
  <c r="J4080" i="1"/>
  <c r="K4080" i="1"/>
  <c r="L4080" i="1"/>
  <c r="A4081" i="1"/>
  <c r="B4081" i="1"/>
  <c r="C4081" i="1"/>
  <c r="D4081" i="1"/>
  <c r="E4081" i="1"/>
  <c r="F4081" i="1"/>
  <c r="G4081" i="1"/>
  <c r="H4081" i="1"/>
  <c r="I4081" i="1"/>
  <c r="J4081" i="1"/>
  <c r="K4081" i="1"/>
  <c r="L4081" i="1"/>
  <c r="A4082" i="1"/>
  <c r="B4082" i="1"/>
  <c r="C4082" i="1"/>
  <c r="D4082" i="1"/>
  <c r="E4082" i="1"/>
  <c r="F4082" i="1"/>
  <c r="G4082" i="1"/>
  <c r="H4082" i="1"/>
  <c r="I4082" i="1"/>
  <c r="J4082" i="1"/>
  <c r="K4082" i="1"/>
  <c r="L4082" i="1"/>
  <c r="A4083" i="1"/>
  <c r="B4083" i="1"/>
  <c r="C4083" i="1"/>
  <c r="D4083" i="1"/>
  <c r="E4083" i="1"/>
  <c r="F4083" i="1"/>
  <c r="G4083" i="1"/>
  <c r="H4083" i="1"/>
  <c r="I4083" i="1"/>
  <c r="J4083" i="1"/>
  <c r="K4083" i="1"/>
  <c r="L4083" i="1"/>
  <c r="A4084" i="1"/>
  <c r="B4084" i="1"/>
  <c r="C4084" i="1"/>
  <c r="D4084" i="1"/>
  <c r="E4084" i="1"/>
  <c r="F4084" i="1"/>
  <c r="G4084" i="1"/>
  <c r="H4084" i="1"/>
  <c r="I4084" i="1"/>
  <c r="J4084" i="1"/>
  <c r="K4084" i="1"/>
  <c r="L4084" i="1"/>
  <c r="A4085" i="1"/>
  <c r="B4085" i="1"/>
  <c r="C4085" i="1"/>
  <c r="D4085" i="1"/>
  <c r="E4085" i="1"/>
  <c r="F4085" i="1"/>
  <c r="G4085" i="1"/>
  <c r="H4085" i="1"/>
  <c r="I4085" i="1"/>
  <c r="J4085" i="1"/>
  <c r="K4085" i="1"/>
  <c r="L4085" i="1"/>
  <c r="A4086" i="1"/>
  <c r="B4086" i="1"/>
  <c r="C4086" i="1"/>
  <c r="D4086" i="1"/>
  <c r="E4086" i="1"/>
  <c r="F4086" i="1"/>
  <c r="G4086" i="1"/>
  <c r="H4086" i="1"/>
  <c r="I4086" i="1"/>
  <c r="J4086" i="1"/>
  <c r="K4086" i="1"/>
  <c r="L4086" i="1"/>
  <c r="A4087" i="1"/>
  <c r="B4087" i="1"/>
  <c r="C4087" i="1"/>
  <c r="D4087" i="1"/>
  <c r="E4087" i="1"/>
  <c r="F4087" i="1"/>
  <c r="G4087" i="1"/>
  <c r="H4087" i="1"/>
  <c r="I4087" i="1"/>
  <c r="J4087" i="1"/>
  <c r="K4087" i="1"/>
  <c r="L4087" i="1"/>
  <c r="A4088" i="1"/>
  <c r="B4088" i="1"/>
  <c r="C4088" i="1"/>
  <c r="D4088" i="1"/>
  <c r="E4088" i="1"/>
  <c r="F4088" i="1"/>
  <c r="G4088" i="1"/>
  <c r="H4088" i="1"/>
  <c r="I4088" i="1"/>
  <c r="J4088" i="1"/>
  <c r="K4088" i="1"/>
  <c r="L4088" i="1"/>
  <c r="A4089" i="1"/>
  <c r="B4089" i="1"/>
  <c r="C4089" i="1"/>
  <c r="D4089" i="1"/>
  <c r="E4089" i="1"/>
  <c r="F4089" i="1"/>
  <c r="G4089" i="1"/>
  <c r="H4089" i="1"/>
  <c r="I4089" i="1"/>
  <c r="J4089" i="1"/>
  <c r="K4089" i="1"/>
  <c r="L4089" i="1"/>
  <c r="A4090" i="1"/>
  <c r="B4090" i="1"/>
  <c r="C4090" i="1"/>
  <c r="D4090" i="1"/>
  <c r="E4090" i="1"/>
  <c r="F4090" i="1"/>
  <c r="G4090" i="1"/>
  <c r="H4090" i="1"/>
  <c r="I4090" i="1"/>
  <c r="J4090" i="1"/>
  <c r="K4090" i="1"/>
  <c r="L4090" i="1"/>
  <c r="A4091" i="1"/>
  <c r="B4091" i="1"/>
  <c r="C4091" i="1"/>
  <c r="D4091" i="1"/>
  <c r="E4091" i="1"/>
  <c r="F4091" i="1"/>
  <c r="G4091" i="1"/>
  <c r="H4091" i="1"/>
  <c r="I4091" i="1"/>
  <c r="J4091" i="1"/>
  <c r="K4091" i="1"/>
  <c r="L4091" i="1"/>
  <c r="A4092" i="1"/>
  <c r="B4092" i="1"/>
  <c r="C4092" i="1"/>
  <c r="D4092" i="1"/>
  <c r="E4092" i="1"/>
  <c r="F4092" i="1"/>
  <c r="G4092" i="1"/>
  <c r="H4092" i="1"/>
  <c r="I4092" i="1"/>
  <c r="J4092" i="1"/>
  <c r="K4092" i="1"/>
  <c r="L4092" i="1"/>
  <c r="A4093" i="1"/>
  <c r="B4093" i="1"/>
  <c r="C4093" i="1"/>
  <c r="D4093" i="1"/>
  <c r="E4093" i="1"/>
  <c r="F4093" i="1"/>
  <c r="G4093" i="1"/>
  <c r="H4093" i="1"/>
  <c r="I4093" i="1"/>
  <c r="J4093" i="1"/>
  <c r="K4093" i="1"/>
  <c r="L4093" i="1"/>
  <c r="A4094" i="1"/>
  <c r="B4094" i="1"/>
  <c r="C4094" i="1"/>
  <c r="D4094" i="1"/>
  <c r="E4094" i="1"/>
  <c r="F4094" i="1"/>
  <c r="G4094" i="1"/>
  <c r="H4094" i="1"/>
  <c r="I4094" i="1"/>
  <c r="J4094" i="1"/>
  <c r="K4094" i="1"/>
  <c r="L4094" i="1"/>
  <c r="A4095" i="1"/>
  <c r="B4095" i="1"/>
  <c r="C4095" i="1"/>
  <c r="D4095" i="1"/>
  <c r="E4095" i="1"/>
  <c r="F4095" i="1"/>
  <c r="G4095" i="1"/>
  <c r="H4095" i="1"/>
  <c r="I4095" i="1"/>
  <c r="J4095" i="1"/>
  <c r="K4095" i="1"/>
  <c r="L4095" i="1"/>
  <c r="A4096" i="1"/>
  <c r="B4096" i="1"/>
  <c r="C4096" i="1"/>
  <c r="D4096" i="1"/>
  <c r="E4096" i="1"/>
  <c r="F4096" i="1"/>
  <c r="G4096" i="1"/>
  <c r="H4096" i="1"/>
  <c r="I4096" i="1"/>
  <c r="J4096" i="1"/>
  <c r="K4096" i="1"/>
  <c r="L4096" i="1"/>
  <c r="A4097" i="1"/>
  <c r="B4097" i="1"/>
  <c r="C4097" i="1"/>
  <c r="D4097" i="1"/>
  <c r="E4097" i="1"/>
  <c r="F4097" i="1"/>
  <c r="G4097" i="1"/>
  <c r="H4097" i="1"/>
  <c r="I4097" i="1"/>
  <c r="J4097" i="1"/>
  <c r="K4097" i="1"/>
  <c r="L4097" i="1"/>
  <c r="A4098" i="1"/>
  <c r="B4098" i="1"/>
  <c r="C4098" i="1"/>
  <c r="D4098" i="1"/>
  <c r="E4098" i="1"/>
  <c r="F4098" i="1"/>
  <c r="G4098" i="1"/>
  <c r="H4098" i="1"/>
  <c r="I4098" i="1"/>
  <c r="J4098" i="1"/>
  <c r="K4098" i="1"/>
  <c r="L4098" i="1"/>
  <c r="A4099" i="1"/>
  <c r="B4099" i="1"/>
  <c r="C4099" i="1"/>
  <c r="D4099" i="1"/>
  <c r="E4099" i="1"/>
  <c r="F4099" i="1"/>
  <c r="G4099" i="1"/>
  <c r="H4099" i="1"/>
  <c r="I4099" i="1"/>
  <c r="J4099" i="1"/>
  <c r="K4099" i="1"/>
  <c r="L4099" i="1"/>
  <c r="A4100" i="1"/>
  <c r="B4100" i="1"/>
  <c r="C4100" i="1"/>
  <c r="D4100" i="1"/>
  <c r="E4100" i="1"/>
  <c r="F4100" i="1"/>
  <c r="G4100" i="1"/>
  <c r="H4100" i="1"/>
  <c r="I4100" i="1"/>
  <c r="J4100" i="1"/>
  <c r="K4100" i="1"/>
  <c r="L4100" i="1"/>
  <c r="A4101" i="1"/>
  <c r="B4101" i="1"/>
  <c r="C4101" i="1"/>
  <c r="D4101" i="1"/>
  <c r="E4101" i="1"/>
  <c r="F4101" i="1"/>
  <c r="G4101" i="1"/>
  <c r="H4101" i="1"/>
  <c r="I4101" i="1"/>
  <c r="J4101" i="1"/>
  <c r="K4101" i="1"/>
  <c r="L4101" i="1"/>
  <c r="A4102" i="1"/>
  <c r="B4102" i="1"/>
  <c r="C4102" i="1"/>
  <c r="D4102" i="1"/>
  <c r="E4102" i="1"/>
  <c r="F4102" i="1"/>
  <c r="G4102" i="1"/>
  <c r="H4102" i="1"/>
  <c r="I4102" i="1"/>
  <c r="J4102" i="1"/>
  <c r="K4102" i="1"/>
  <c r="L4102" i="1"/>
  <c r="A4103" i="1"/>
  <c r="B4103" i="1"/>
  <c r="C4103" i="1"/>
  <c r="D4103" i="1"/>
  <c r="E4103" i="1"/>
  <c r="F4103" i="1"/>
  <c r="G4103" i="1"/>
  <c r="H4103" i="1"/>
  <c r="I4103" i="1"/>
  <c r="J4103" i="1"/>
  <c r="K4103" i="1"/>
  <c r="L4103" i="1"/>
  <c r="A4104" i="1"/>
  <c r="B4104" i="1"/>
  <c r="C4104" i="1"/>
  <c r="D4104" i="1"/>
  <c r="E4104" i="1"/>
  <c r="F4104" i="1"/>
  <c r="G4104" i="1"/>
  <c r="H4104" i="1"/>
  <c r="I4104" i="1"/>
  <c r="J4104" i="1"/>
  <c r="K4104" i="1"/>
  <c r="L4104" i="1"/>
  <c r="A4105" i="1"/>
  <c r="B4105" i="1"/>
  <c r="C4105" i="1"/>
  <c r="D4105" i="1"/>
  <c r="E4105" i="1"/>
  <c r="F4105" i="1"/>
  <c r="G4105" i="1"/>
  <c r="H4105" i="1"/>
  <c r="I4105" i="1"/>
  <c r="J4105" i="1"/>
  <c r="K4105" i="1"/>
  <c r="L4105" i="1"/>
  <c r="A4106" i="1"/>
  <c r="B4106" i="1"/>
  <c r="C4106" i="1"/>
  <c r="D4106" i="1"/>
  <c r="E4106" i="1"/>
  <c r="F4106" i="1"/>
  <c r="G4106" i="1"/>
  <c r="H4106" i="1"/>
  <c r="I4106" i="1"/>
  <c r="J4106" i="1"/>
  <c r="K4106" i="1"/>
  <c r="L4106" i="1"/>
  <c r="A4107" i="1"/>
  <c r="B4107" i="1"/>
  <c r="C4107" i="1"/>
  <c r="D4107" i="1"/>
  <c r="E4107" i="1"/>
  <c r="F4107" i="1"/>
  <c r="G4107" i="1"/>
  <c r="H4107" i="1"/>
  <c r="I4107" i="1"/>
  <c r="J4107" i="1"/>
  <c r="K4107" i="1"/>
  <c r="L4107" i="1"/>
  <c r="A4108" i="1"/>
  <c r="B4108" i="1"/>
  <c r="C4108" i="1"/>
  <c r="D4108" i="1"/>
  <c r="E4108" i="1"/>
  <c r="F4108" i="1"/>
  <c r="G4108" i="1"/>
  <c r="H4108" i="1"/>
  <c r="I4108" i="1"/>
  <c r="J4108" i="1"/>
  <c r="K4108" i="1"/>
  <c r="L4108" i="1"/>
  <c r="A4109" i="1"/>
  <c r="B4109" i="1"/>
  <c r="C4109" i="1"/>
  <c r="D4109" i="1"/>
  <c r="E4109" i="1"/>
  <c r="F4109" i="1"/>
  <c r="G4109" i="1"/>
  <c r="H4109" i="1"/>
  <c r="I4109" i="1"/>
  <c r="J4109" i="1"/>
  <c r="K4109" i="1"/>
  <c r="L4109" i="1"/>
  <c r="A4110" i="1"/>
  <c r="B4110" i="1"/>
  <c r="C4110" i="1"/>
  <c r="D4110" i="1"/>
  <c r="E4110" i="1"/>
  <c r="F4110" i="1"/>
  <c r="G4110" i="1"/>
  <c r="H4110" i="1"/>
  <c r="I4110" i="1"/>
  <c r="J4110" i="1"/>
  <c r="K4110" i="1"/>
  <c r="L4110" i="1"/>
  <c r="A4111" i="1"/>
  <c r="B4111" i="1"/>
  <c r="C4111" i="1"/>
  <c r="D4111" i="1"/>
  <c r="E4111" i="1"/>
  <c r="F4111" i="1"/>
  <c r="G4111" i="1"/>
  <c r="H4111" i="1"/>
  <c r="I4111" i="1"/>
  <c r="J4111" i="1"/>
  <c r="K4111" i="1"/>
  <c r="L4111" i="1"/>
  <c r="A4112" i="1"/>
  <c r="B4112" i="1"/>
  <c r="C4112" i="1"/>
  <c r="D4112" i="1"/>
  <c r="E4112" i="1"/>
  <c r="F4112" i="1"/>
  <c r="G4112" i="1"/>
  <c r="H4112" i="1"/>
  <c r="I4112" i="1"/>
  <c r="J4112" i="1"/>
  <c r="K4112" i="1"/>
  <c r="L4112" i="1"/>
  <c r="A4113" i="1"/>
  <c r="B4113" i="1"/>
  <c r="C4113" i="1"/>
  <c r="D4113" i="1"/>
  <c r="E4113" i="1"/>
  <c r="F4113" i="1"/>
  <c r="G4113" i="1"/>
  <c r="H4113" i="1"/>
  <c r="I4113" i="1"/>
  <c r="J4113" i="1"/>
  <c r="K4113" i="1"/>
  <c r="L4113" i="1"/>
  <c r="A4114" i="1"/>
  <c r="B4114" i="1"/>
  <c r="C4114" i="1"/>
  <c r="D4114" i="1"/>
  <c r="E4114" i="1"/>
  <c r="F4114" i="1"/>
  <c r="G4114" i="1"/>
  <c r="H4114" i="1"/>
  <c r="I4114" i="1"/>
  <c r="J4114" i="1"/>
  <c r="K4114" i="1"/>
  <c r="L4114" i="1"/>
  <c r="A4115" i="1"/>
  <c r="B4115" i="1"/>
  <c r="C4115" i="1"/>
  <c r="D4115" i="1"/>
  <c r="E4115" i="1"/>
  <c r="F4115" i="1"/>
  <c r="G4115" i="1"/>
  <c r="H4115" i="1"/>
  <c r="I4115" i="1"/>
  <c r="J4115" i="1"/>
  <c r="K4115" i="1"/>
  <c r="L4115" i="1"/>
  <c r="A4116" i="1"/>
  <c r="B4116" i="1"/>
  <c r="C4116" i="1"/>
  <c r="D4116" i="1"/>
  <c r="E4116" i="1"/>
  <c r="F4116" i="1"/>
  <c r="G4116" i="1"/>
  <c r="H4116" i="1"/>
  <c r="I4116" i="1"/>
  <c r="J4116" i="1"/>
  <c r="K4116" i="1"/>
  <c r="L4116" i="1"/>
  <c r="A4117" i="1"/>
  <c r="B4117" i="1"/>
  <c r="C4117" i="1"/>
  <c r="D4117" i="1"/>
  <c r="E4117" i="1"/>
  <c r="F4117" i="1"/>
  <c r="G4117" i="1"/>
  <c r="H4117" i="1"/>
  <c r="I4117" i="1"/>
  <c r="J4117" i="1"/>
  <c r="K4117" i="1"/>
  <c r="L4117" i="1"/>
  <c r="A4118" i="1"/>
  <c r="B4118" i="1"/>
  <c r="C4118" i="1"/>
  <c r="D4118" i="1"/>
  <c r="E4118" i="1"/>
  <c r="F4118" i="1"/>
  <c r="G4118" i="1"/>
  <c r="H4118" i="1"/>
  <c r="I4118" i="1"/>
  <c r="J4118" i="1"/>
  <c r="K4118" i="1"/>
  <c r="L4118" i="1"/>
  <c r="A4119" i="1"/>
  <c r="B4119" i="1"/>
  <c r="C4119" i="1"/>
  <c r="D4119" i="1"/>
  <c r="E4119" i="1"/>
  <c r="F4119" i="1"/>
  <c r="G4119" i="1"/>
  <c r="H4119" i="1"/>
  <c r="I4119" i="1"/>
  <c r="J4119" i="1"/>
  <c r="K4119" i="1"/>
  <c r="L4119" i="1"/>
  <c r="A4120" i="1"/>
  <c r="B4120" i="1"/>
  <c r="C4120" i="1"/>
  <c r="D4120" i="1"/>
  <c r="E4120" i="1"/>
  <c r="F4120" i="1"/>
  <c r="G4120" i="1"/>
  <c r="H4120" i="1"/>
  <c r="I4120" i="1"/>
  <c r="J4120" i="1"/>
  <c r="K4120" i="1"/>
  <c r="L4120" i="1"/>
  <c r="A4121" i="1"/>
  <c r="B4121" i="1"/>
  <c r="C4121" i="1"/>
  <c r="D4121" i="1"/>
  <c r="E4121" i="1"/>
  <c r="F4121" i="1"/>
  <c r="G4121" i="1"/>
  <c r="H4121" i="1"/>
  <c r="I4121" i="1"/>
  <c r="J4121" i="1"/>
  <c r="K4121" i="1"/>
  <c r="L4121" i="1"/>
  <c r="A4122" i="1"/>
  <c r="B4122" i="1"/>
  <c r="C4122" i="1"/>
  <c r="D4122" i="1"/>
  <c r="E4122" i="1"/>
  <c r="F4122" i="1"/>
  <c r="G4122" i="1"/>
  <c r="H4122" i="1"/>
  <c r="I4122" i="1"/>
  <c r="J4122" i="1"/>
  <c r="K4122" i="1"/>
  <c r="L4122" i="1"/>
  <c r="A4123" i="1"/>
  <c r="B4123" i="1"/>
  <c r="C4123" i="1"/>
  <c r="D4123" i="1"/>
  <c r="E4123" i="1"/>
  <c r="F4123" i="1"/>
  <c r="G4123" i="1"/>
  <c r="H4123" i="1"/>
  <c r="I4123" i="1"/>
  <c r="J4123" i="1"/>
  <c r="K4123" i="1"/>
  <c r="L4123" i="1"/>
  <c r="A4124" i="1"/>
  <c r="B4124" i="1"/>
  <c r="C4124" i="1"/>
  <c r="D4124" i="1"/>
  <c r="E4124" i="1"/>
  <c r="F4124" i="1"/>
  <c r="G4124" i="1"/>
  <c r="H4124" i="1"/>
  <c r="I4124" i="1"/>
  <c r="J4124" i="1"/>
  <c r="K4124" i="1"/>
  <c r="L4124" i="1"/>
  <c r="A4125" i="1"/>
  <c r="B4125" i="1"/>
  <c r="C4125" i="1"/>
  <c r="D4125" i="1"/>
  <c r="E4125" i="1"/>
  <c r="F4125" i="1"/>
  <c r="G4125" i="1"/>
  <c r="H4125" i="1"/>
  <c r="I4125" i="1"/>
  <c r="J4125" i="1"/>
  <c r="K4125" i="1"/>
  <c r="L4125" i="1"/>
  <c r="A4126" i="1"/>
  <c r="B4126" i="1"/>
  <c r="C4126" i="1"/>
  <c r="D4126" i="1"/>
  <c r="E4126" i="1"/>
  <c r="F4126" i="1"/>
  <c r="G4126" i="1"/>
  <c r="H4126" i="1"/>
  <c r="I4126" i="1"/>
  <c r="J4126" i="1"/>
  <c r="K4126" i="1"/>
  <c r="L4126" i="1"/>
  <c r="A4127" i="1"/>
  <c r="B4127" i="1"/>
  <c r="C4127" i="1"/>
  <c r="D4127" i="1"/>
  <c r="E4127" i="1"/>
  <c r="F4127" i="1"/>
  <c r="G4127" i="1"/>
  <c r="H4127" i="1"/>
  <c r="I4127" i="1"/>
  <c r="J4127" i="1"/>
  <c r="K4127" i="1"/>
  <c r="L4127" i="1"/>
  <c r="A4128" i="1"/>
  <c r="B4128" i="1"/>
  <c r="C4128" i="1"/>
  <c r="D4128" i="1"/>
  <c r="E4128" i="1"/>
  <c r="F4128" i="1"/>
  <c r="G4128" i="1"/>
  <c r="H4128" i="1"/>
  <c r="I4128" i="1"/>
  <c r="J4128" i="1"/>
  <c r="K4128" i="1"/>
  <c r="L4128" i="1"/>
  <c r="A4129" i="1"/>
  <c r="B4129" i="1"/>
  <c r="C4129" i="1"/>
  <c r="D4129" i="1"/>
  <c r="E4129" i="1"/>
  <c r="F4129" i="1"/>
  <c r="G4129" i="1"/>
  <c r="H4129" i="1"/>
  <c r="I4129" i="1"/>
  <c r="J4129" i="1"/>
  <c r="K4129" i="1"/>
  <c r="L4129" i="1"/>
  <c r="A4130" i="1"/>
  <c r="B4130" i="1"/>
  <c r="C4130" i="1"/>
  <c r="D4130" i="1"/>
  <c r="E4130" i="1"/>
  <c r="F4130" i="1"/>
  <c r="G4130" i="1"/>
  <c r="H4130" i="1"/>
  <c r="I4130" i="1"/>
  <c r="J4130" i="1"/>
  <c r="K4130" i="1"/>
  <c r="L4130" i="1"/>
  <c r="A4131" i="1"/>
  <c r="B4131" i="1"/>
  <c r="C4131" i="1"/>
  <c r="D4131" i="1"/>
  <c r="E4131" i="1"/>
  <c r="F4131" i="1"/>
  <c r="G4131" i="1"/>
  <c r="H4131" i="1"/>
  <c r="I4131" i="1"/>
  <c r="J4131" i="1"/>
  <c r="K4131" i="1"/>
  <c r="L4131" i="1"/>
  <c r="A4132" i="1"/>
  <c r="B4132" i="1"/>
  <c r="C4132" i="1"/>
  <c r="D4132" i="1"/>
  <c r="E4132" i="1"/>
  <c r="F4132" i="1"/>
  <c r="G4132" i="1"/>
  <c r="H4132" i="1"/>
  <c r="I4132" i="1"/>
  <c r="J4132" i="1"/>
  <c r="K4132" i="1"/>
  <c r="L4132" i="1"/>
  <c r="A4133" i="1"/>
  <c r="B4133" i="1"/>
  <c r="C4133" i="1"/>
  <c r="D4133" i="1"/>
  <c r="E4133" i="1"/>
  <c r="F4133" i="1"/>
  <c r="G4133" i="1"/>
  <c r="H4133" i="1"/>
  <c r="I4133" i="1"/>
  <c r="J4133" i="1"/>
  <c r="K4133" i="1"/>
  <c r="L4133" i="1"/>
  <c r="A4134" i="1"/>
  <c r="B4134" i="1"/>
  <c r="C4134" i="1"/>
  <c r="D4134" i="1"/>
  <c r="E4134" i="1"/>
  <c r="F4134" i="1"/>
  <c r="G4134" i="1"/>
  <c r="H4134" i="1"/>
  <c r="I4134" i="1"/>
  <c r="J4134" i="1"/>
  <c r="K4134" i="1"/>
  <c r="L4134" i="1"/>
  <c r="A4135" i="1"/>
  <c r="B4135" i="1"/>
  <c r="C4135" i="1"/>
  <c r="D4135" i="1"/>
  <c r="E4135" i="1"/>
  <c r="F4135" i="1"/>
  <c r="G4135" i="1"/>
  <c r="H4135" i="1"/>
  <c r="I4135" i="1"/>
  <c r="J4135" i="1"/>
  <c r="K4135" i="1"/>
  <c r="L4135" i="1"/>
  <c r="A4136" i="1"/>
  <c r="B4136" i="1"/>
  <c r="C4136" i="1"/>
  <c r="D4136" i="1"/>
  <c r="E4136" i="1"/>
  <c r="F4136" i="1"/>
  <c r="G4136" i="1"/>
  <c r="H4136" i="1"/>
  <c r="I4136" i="1"/>
  <c r="J4136" i="1"/>
  <c r="K4136" i="1"/>
  <c r="L4136" i="1"/>
  <c r="A4137" i="1"/>
  <c r="B4137" i="1"/>
  <c r="C4137" i="1"/>
  <c r="D4137" i="1"/>
  <c r="E4137" i="1"/>
  <c r="F4137" i="1"/>
  <c r="G4137" i="1"/>
  <c r="H4137" i="1"/>
  <c r="I4137" i="1"/>
  <c r="J4137" i="1"/>
  <c r="K4137" i="1"/>
  <c r="L4137" i="1"/>
  <c r="A4138" i="1"/>
  <c r="B4138" i="1"/>
  <c r="C4138" i="1"/>
  <c r="D4138" i="1"/>
  <c r="E4138" i="1"/>
  <c r="F4138" i="1"/>
  <c r="G4138" i="1"/>
  <c r="H4138" i="1"/>
  <c r="I4138" i="1"/>
  <c r="J4138" i="1"/>
  <c r="K4138" i="1"/>
  <c r="L4138" i="1"/>
  <c r="A4139" i="1"/>
  <c r="B4139" i="1"/>
  <c r="C4139" i="1"/>
  <c r="D4139" i="1"/>
  <c r="E4139" i="1"/>
  <c r="F4139" i="1"/>
  <c r="G4139" i="1"/>
  <c r="H4139" i="1"/>
  <c r="I4139" i="1"/>
  <c r="J4139" i="1"/>
  <c r="K4139" i="1"/>
  <c r="L4139" i="1"/>
  <c r="A4140" i="1"/>
  <c r="B4140" i="1"/>
  <c r="C4140" i="1"/>
  <c r="D4140" i="1"/>
  <c r="E4140" i="1"/>
  <c r="F4140" i="1"/>
  <c r="G4140" i="1"/>
  <c r="H4140" i="1"/>
  <c r="I4140" i="1"/>
  <c r="J4140" i="1"/>
  <c r="K4140" i="1"/>
  <c r="L4140" i="1"/>
  <c r="A4141" i="1"/>
  <c r="B4141" i="1"/>
  <c r="C4141" i="1"/>
  <c r="D4141" i="1"/>
  <c r="E4141" i="1"/>
  <c r="F4141" i="1"/>
  <c r="G4141" i="1"/>
  <c r="H4141" i="1"/>
  <c r="I4141" i="1"/>
  <c r="J4141" i="1"/>
  <c r="K4141" i="1"/>
  <c r="L4141" i="1"/>
  <c r="A4142" i="1"/>
  <c r="B4142" i="1"/>
  <c r="C4142" i="1"/>
  <c r="D4142" i="1"/>
  <c r="E4142" i="1"/>
  <c r="F4142" i="1"/>
  <c r="G4142" i="1"/>
  <c r="H4142" i="1"/>
  <c r="I4142" i="1"/>
  <c r="J4142" i="1"/>
  <c r="K4142" i="1"/>
  <c r="L4142" i="1"/>
  <c r="A4143" i="1"/>
  <c r="B4143" i="1"/>
  <c r="C4143" i="1"/>
  <c r="D4143" i="1"/>
  <c r="E4143" i="1"/>
  <c r="F4143" i="1"/>
  <c r="G4143" i="1"/>
  <c r="H4143" i="1"/>
  <c r="I4143" i="1"/>
  <c r="J4143" i="1"/>
  <c r="K4143" i="1"/>
  <c r="L4143" i="1"/>
  <c r="A4144" i="1"/>
  <c r="B4144" i="1"/>
  <c r="C4144" i="1"/>
  <c r="D4144" i="1"/>
  <c r="E4144" i="1"/>
  <c r="F4144" i="1"/>
  <c r="G4144" i="1"/>
  <c r="H4144" i="1"/>
  <c r="I4144" i="1"/>
  <c r="J4144" i="1"/>
  <c r="K4144" i="1"/>
  <c r="L4144" i="1"/>
  <c r="A4145" i="1"/>
  <c r="B4145" i="1"/>
  <c r="C4145" i="1"/>
  <c r="D4145" i="1"/>
  <c r="E4145" i="1"/>
  <c r="F4145" i="1"/>
  <c r="G4145" i="1"/>
  <c r="H4145" i="1"/>
  <c r="I4145" i="1"/>
  <c r="J4145" i="1"/>
  <c r="K4145" i="1"/>
  <c r="L4145" i="1"/>
  <c r="A4146" i="1"/>
  <c r="B4146" i="1"/>
  <c r="C4146" i="1"/>
  <c r="D4146" i="1"/>
  <c r="E4146" i="1"/>
  <c r="F4146" i="1"/>
  <c r="G4146" i="1"/>
  <c r="H4146" i="1"/>
  <c r="I4146" i="1"/>
  <c r="J4146" i="1"/>
  <c r="K4146" i="1"/>
  <c r="L4146" i="1"/>
  <c r="A4147" i="1"/>
  <c r="B4147" i="1"/>
  <c r="C4147" i="1"/>
  <c r="D4147" i="1"/>
  <c r="E4147" i="1"/>
  <c r="F4147" i="1"/>
  <c r="G4147" i="1"/>
  <c r="H4147" i="1"/>
  <c r="I4147" i="1"/>
  <c r="J4147" i="1"/>
  <c r="K4147" i="1"/>
  <c r="L4147" i="1"/>
  <c r="A4148" i="1"/>
  <c r="B4148" i="1"/>
  <c r="C4148" i="1"/>
  <c r="D4148" i="1"/>
  <c r="E4148" i="1"/>
  <c r="F4148" i="1"/>
  <c r="G4148" i="1"/>
  <c r="H4148" i="1"/>
  <c r="I4148" i="1"/>
  <c r="J4148" i="1"/>
  <c r="K4148" i="1"/>
  <c r="L4148" i="1"/>
  <c r="A4149" i="1"/>
  <c r="B4149" i="1"/>
  <c r="C4149" i="1"/>
  <c r="D4149" i="1"/>
  <c r="E4149" i="1"/>
  <c r="F4149" i="1"/>
  <c r="G4149" i="1"/>
  <c r="H4149" i="1"/>
  <c r="I4149" i="1"/>
  <c r="J4149" i="1"/>
  <c r="K4149" i="1"/>
  <c r="L4149" i="1"/>
  <c r="A4150" i="1"/>
  <c r="B4150" i="1"/>
  <c r="C4150" i="1"/>
  <c r="D4150" i="1"/>
  <c r="E4150" i="1"/>
  <c r="F4150" i="1"/>
  <c r="G4150" i="1"/>
  <c r="H4150" i="1"/>
  <c r="I4150" i="1"/>
  <c r="J4150" i="1"/>
  <c r="K4150" i="1"/>
  <c r="L4150" i="1"/>
  <c r="A4151" i="1"/>
  <c r="B4151" i="1"/>
  <c r="C4151" i="1"/>
  <c r="D4151" i="1"/>
  <c r="E4151" i="1"/>
  <c r="F4151" i="1"/>
  <c r="G4151" i="1"/>
  <c r="H4151" i="1"/>
  <c r="I4151" i="1"/>
  <c r="J4151" i="1"/>
  <c r="K4151" i="1"/>
  <c r="L4151" i="1"/>
  <c r="A4152" i="1"/>
  <c r="B4152" i="1"/>
  <c r="C4152" i="1"/>
  <c r="D4152" i="1"/>
  <c r="E4152" i="1"/>
  <c r="F4152" i="1"/>
  <c r="G4152" i="1"/>
  <c r="H4152" i="1"/>
  <c r="I4152" i="1"/>
  <c r="J4152" i="1"/>
  <c r="K4152" i="1"/>
  <c r="L4152" i="1"/>
  <c r="A4153" i="1"/>
  <c r="B4153" i="1"/>
  <c r="C4153" i="1"/>
  <c r="D4153" i="1"/>
  <c r="E4153" i="1"/>
  <c r="F4153" i="1"/>
  <c r="G4153" i="1"/>
  <c r="H4153" i="1"/>
  <c r="I4153" i="1"/>
  <c r="J4153" i="1"/>
  <c r="K4153" i="1"/>
  <c r="L4153" i="1"/>
  <c r="A4154" i="1"/>
  <c r="B4154" i="1"/>
  <c r="C4154" i="1"/>
  <c r="D4154" i="1"/>
  <c r="E4154" i="1"/>
  <c r="F4154" i="1"/>
  <c r="G4154" i="1"/>
  <c r="H4154" i="1"/>
  <c r="I4154" i="1"/>
  <c r="J4154" i="1"/>
  <c r="K4154" i="1"/>
  <c r="L4154" i="1"/>
  <c r="A4155" i="1"/>
  <c r="B4155" i="1"/>
  <c r="C4155" i="1"/>
  <c r="D4155" i="1"/>
  <c r="E4155" i="1"/>
  <c r="F4155" i="1"/>
  <c r="G4155" i="1"/>
  <c r="H4155" i="1"/>
  <c r="I4155" i="1"/>
  <c r="J4155" i="1"/>
  <c r="K4155" i="1"/>
  <c r="L4155" i="1"/>
  <c r="A4156" i="1"/>
  <c r="B4156" i="1"/>
  <c r="C4156" i="1"/>
  <c r="D4156" i="1"/>
  <c r="E4156" i="1"/>
  <c r="F4156" i="1"/>
  <c r="G4156" i="1"/>
  <c r="H4156" i="1"/>
  <c r="I4156" i="1"/>
  <c r="J4156" i="1"/>
  <c r="K4156" i="1"/>
  <c r="L4156" i="1"/>
  <c r="A4157" i="1"/>
  <c r="B4157" i="1"/>
  <c r="C4157" i="1"/>
  <c r="D4157" i="1"/>
  <c r="E4157" i="1"/>
  <c r="F4157" i="1"/>
  <c r="G4157" i="1"/>
  <c r="H4157" i="1"/>
  <c r="I4157" i="1"/>
  <c r="J4157" i="1"/>
  <c r="K4157" i="1"/>
  <c r="L4157" i="1"/>
  <c r="A4158" i="1"/>
  <c r="B4158" i="1"/>
  <c r="C4158" i="1"/>
  <c r="D4158" i="1"/>
  <c r="E4158" i="1"/>
  <c r="F4158" i="1"/>
  <c r="G4158" i="1"/>
  <c r="H4158" i="1"/>
  <c r="I4158" i="1"/>
  <c r="J4158" i="1"/>
  <c r="K4158" i="1"/>
  <c r="L4158" i="1"/>
  <c r="A4159" i="1"/>
  <c r="B4159" i="1"/>
  <c r="C4159" i="1"/>
  <c r="D4159" i="1"/>
  <c r="E4159" i="1"/>
  <c r="F4159" i="1"/>
  <c r="G4159" i="1"/>
  <c r="H4159" i="1"/>
  <c r="I4159" i="1"/>
  <c r="J4159" i="1"/>
  <c r="K4159" i="1"/>
  <c r="L4159" i="1"/>
  <c r="A4160" i="1"/>
  <c r="B4160" i="1"/>
  <c r="C4160" i="1"/>
  <c r="D4160" i="1"/>
  <c r="E4160" i="1"/>
  <c r="F4160" i="1"/>
  <c r="G4160" i="1"/>
  <c r="H4160" i="1"/>
  <c r="I4160" i="1"/>
  <c r="J4160" i="1"/>
  <c r="K4160" i="1"/>
  <c r="L4160" i="1"/>
  <c r="A4161" i="1"/>
  <c r="B4161" i="1"/>
  <c r="C4161" i="1"/>
  <c r="D4161" i="1"/>
  <c r="E4161" i="1"/>
  <c r="F4161" i="1"/>
  <c r="G4161" i="1"/>
  <c r="H4161" i="1"/>
  <c r="I4161" i="1"/>
  <c r="J4161" i="1"/>
  <c r="K4161" i="1"/>
  <c r="L4161" i="1"/>
  <c r="A4162" i="1"/>
  <c r="B4162" i="1"/>
  <c r="C4162" i="1"/>
  <c r="D4162" i="1"/>
  <c r="E4162" i="1"/>
  <c r="F4162" i="1"/>
  <c r="G4162" i="1"/>
  <c r="H4162" i="1"/>
  <c r="I4162" i="1"/>
  <c r="J4162" i="1"/>
  <c r="K4162" i="1"/>
  <c r="L4162" i="1"/>
  <c r="A4163" i="1"/>
  <c r="B4163" i="1"/>
  <c r="C4163" i="1"/>
  <c r="D4163" i="1"/>
  <c r="E4163" i="1"/>
  <c r="F4163" i="1"/>
  <c r="G4163" i="1"/>
  <c r="H4163" i="1"/>
  <c r="I4163" i="1"/>
  <c r="J4163" i="1"/>
  <c r="K4163" i="1"/>
  <c r="L4163" i="1"/>
  <c r="A4164" i="1"/>
  <c r="B4164" i="1"/>
  <c r="C4164" i="1"/>
  <c r="D4164" i="1"/>
  <c r="E4164" i="1"/>
  <c r="F4164" i="1"/>
  <c r="G4164" i="1"/>
  <c r="H4164" i="1"/>
  <c r="I4164" i="1"/>
  <c r="J4164" i="1"/>
  <c r="K4164" i="1"/>
  <c r="L4164" i="1"/>
  <c r="A4165" i="1"/>
  <c r="B4165" i="1"/>
  <c r="C4165" i="1"/>
  <c r="D4165" i="1"/>
  <c r="E4165" i="1"/>
  <c r="F4165" i="1"/>
  <c r="G4165" i="1"/>
  <c r="H4165" i="1"/>
  <c r="I4165" i="1"/>
  <c r="J4165" i="1"/>
  <c r="K4165" i="1"/>
  <c r="L4165" i="1"/>
  <c r="A4166" i="1"/>
  <c r="B4166" i="1"/>
  <c r="C4166" i="1"/>
  <c r="D4166" i="1"/>
  <c r="E4166" i="1"/>
  <c r="F4166" i="1"/>
  <c r="G4166" i="1"/>
  <c r="H4166" i="1"/>
  <c r="I4166" i="1"/>
  <c r="J4166" i="1"/>
  <c r="K4166" i="1"/>
  <c r="L4166" i="1"/>
  <c r="A4167" i="1"/>
  <c r="B4167" i="1"/>
  <c r="C4167" i="1"/>
  <c r="D4167" i="1"/>
  <c r="E4167" i="1"/>
  <c r="F4167" i="1"/>
  <c r="G4167" i="1"/>
  <c r="H4167" i="1"/>
  <c r="I4167" i="1"/>
  <c r="J4167" i="1"/>
  <c r="K4167" i="1"/>
  <c r="L4167" i="1"/>
  <c r="A4168" i="1"/>
  <c r="B4168" i="1"/>
  <c r="C4168" i="1"/>
  <c r="D4168" i="1"/>
  <c r="E4168" i="1"/>
  <c r="F4168" i="1"/>
  <c r="G4168" i="1"/>
  <c r="H4168" i="1"/>
  <c r="I4168" i="1"/>
  <c r="J4168" i="1"/>
  <c r="K4168" i="1"/>
  <c r="L4168" i="1"/>
  <c r="A4169" i="1"/>
  <c r="B4169" i="1"/>
  <c r="C4169" i="1"/>
  <c r="D4169" i="1"/>
  <c r="E4169" i="1"/>
  <c r="F4169" i="1"/>
  <c r="G4169" i="1"/>
  <c r="H4169" i="1"/>
  <c r="I4169" i="1"/>
  <c r="J4169" i="1"/>
  <c r="K4169" i="1"/>
  <c r="L4169" i="1"/>
  <c r="A4170" i="1"/>
  <c r="B4170" i="1"/>
  <c r="C4170" i="1"/>
  <c r="D4170" i="1"/>
  <c r="E4170" i="1"/>
  <c r="F4170" i="1"/>
  <c r="G4170" i="1"/>
  <c r="H4170" i="1"/>
  <c r="I4170" i="1"/>
  <c r="J4170" i="1"/>
  <c r="K4170" i="1"/>
  <c r="L4170" i="1"/>
  <c r="A4171" i="1"/>
  <c r="B4171" i="1"/>
  <c r="C4171" i="1"/>
  <c r="D4171" i="1"/>
  <c r="E4171" i="1"/>
  <c r="F4171" i="1"/>
  <c r="G4171" i="1"/>
  <c r="H4171" i="1"/>
  <c r="I4171" i="1"/>
  <c r="J4171" i="1"/>
  <c r="K4171" i="1"/>
  <c r="L4171" i="1"/>
  <c r="A4172" i="1"/>
  <c r="B4172" i="1"/>
  <c r="C4172" i="1"/>
  <c r="D4172" i="1"/>
  <c r="E4172" i="1"/>
  <c r="F4172" i="1"/>
  <c r="G4172" i="1"/>
  <c r="H4172" i="1"/>
  <c r="I4172" i="1"/>
  <c r="J4172" i="1"/>
  <c r="K4172" i="1"/>
  <c r="L4172" i="1"/>
  <c r="A4173" i="1"/>
  <c r="B4173" i="1"/>
  <c r="C4173" i="1"/>
  <c r="D4173" i="1"/>
  <c r="E4173" i="1"/>
  <c r="F4173" i="1"/>
  <c r="G4173" i="1"/>
  <c r="H4173" i="1"/>
  <c r="I4173" i="1"/>
  <c r="J4173" i="1"/>
  <c r="K4173" i="1"/>
  <c r="L4173" i="1"/>
  <c r="A4174" i="1"/>
  <c r="B4174" i="1"/>
  <c r="C4174" i="1"/>
  <c r="D4174" i="1"/>
  <c r="E4174" i="1"/>
  <c r="F4174" i="1"/>
  <c r="G4174" i="1"/>
  <c r="H4174" i="1"/>
  <c r="I4174" i="1"/>
  <c r="J4174" i="1"/>
  <c r="K4174" i="1"/>
  <c r="L4174" i="1"/>
  <c r="A4175" i="1"/>
  <c r="B4175" i="1"/>
  <c r="C4175" i="1"/>
  <c r="D4175" i="1"/>
  <c r="E4175" i="1"/>
  <c r="F4175" i="1"/>
  <c r="G4175" i="1"/>
  <c r="H4175" i="1"/>
  <c r="I4175" i="1"/>
  <c r="J4175" i="1"/>
  <c r="K4175" i="1"/>
  <c r="L4175" i="1"/>
  <c r="A4176" i="1"/>
  <c r="B4176" i="1"/>
  <c r="C4176" i="1"/>
  <c r="D4176" i="1"/>
  <c r="E4176" i="1"/>
  <c r="F4176" i="1"/>
  <c r="G4176" i="1"/>
  <c r="H4176" i="1"/>
  <c r="I4176" i="1"/>
  <c r="J4176" i="1"/>
  <c r="K4176" i="1"/>
  <c r="L4176" i="1"/>
  <c r="A4177" i="1"/>
  <c r="B4177" i="1"/>
  <c r="C4177" i="1"/>
  <c r="D4177" i="1"/>
  <c r="E4177" i="1"/>
  <c r="F4177" i="1"/>
  <c r="G4177" i="1"/>
  <c r="H4177" i="1"/>
  <c r="I4177" i="1"/>
  <c r="J4177" i="1"/>
  <c r="K4177" i="1"/>
  <c r="L4177" i="1"/>
  <c r="A4178" i="1"/>
  <c r="B4178" i="1"/>
  <c r="C4178" i="1"/>
  <c r="D4178" i="1"/>
  <c r="E4178" i="1"/>
  <c r="F4178" i="1"/>
  <c r="G4178" i="1"/>
  <c r="H4178" i="1"/>
  <c r="I4178" i="1"/>
  <c r="J4178" i="1"/>
  <c r="K4178" i="1"/>
  <c r="L4178" i="1"/>
  <c r="A4179" i="1"/>
  <c r="B4179" i="1"/>
  <c r="C4179" i="1"/>
  <c r="D4179" i="1"/>
  <c r="E4179" i="1"/>
  <c r="F4179" i="1"/>
  <c r="G4179" i="1"/>
  <c r="H4179" i="1"/>
  <c r="I4179" i="1"/>
  <c r="J4179" i="1"/>
  <c r="K4179" i="1"/>
  <c r="L4179" i="1"/>
  <c r="A4180" i="1"/>
  <c r="B4180" i="1"/>
  <c r="C4180" i="1"/>
  <c r="D4180" i="1"/>
  <c r="E4180" i="1"/>
  <c r="F4180" i="1"/>
  <c r="G4180" i="1"/>
  <c r="H4180" i="1"/>
  <c r="I4180" i="1"/>
  <c r="J4180" i="1"/>
  <c r="K4180" i="1"/>
  <c r="L4180" i="1"/>
  <c r="A4181" i="1"/>
  <c r="B4181" i="1"/>
  <c r="C4181" i="1"/>
  <c r="D4181" i="1"/>
  <c r="E4181" i="1"/>
  <c r="F4181" i="1"/>
  <c r="G4181" i="1"/>
  <c r="H4181" i="1"/>
  <c r="I4181" i="1"/>
  <c r="J4181" i="1"/>
  <c r="K4181" i="1"/>
  <c r="L4181" i="1"/>
  <c r="A4182" i="1"/>
  <c r="B4182" i="1"/>
  <c r="C4182" i="1"/>
  <c r="D4182" i="1"/>
  <c r="E4182" i="1"/>
  <c r="F4182" i="1"/>
  <c r="G4182" i="1"/>
  <c r="H4182" i="1"/>
  <c r="I4182" i="1"/>
  <c r="J4182" i="1"/>
  <c r="K4182" i="1"/>
  <c r="L4182" i="1"/>
  <c r="A4183" i="1"/>
  <c r="B4183" i="1"/>
  <c r="C4183" i="1"/>
  <c r="D4183" i="1"/>
  <c r="E4183" i="1"/>
  <c r="F4183" i="1"/>
  <c r="G4183" i="1"/>
  <c r="H4183" i="1"/>
  <c r="I4183" i="1"/>
  <c r="J4183" i="1"/>
  <c r="K4183" i="1"/>
  <c r="L4183" i="1"/>
  <c r="A4184" i="1"/>
  <c r="B4184" i="1"/>
  <c r="C4184" i="1"/>
  <c r="D4184" i="1"/>
  <c r="E4184" i="1"/>
  <c r="F4184" i="1"/>
  <c r="G4184" i="1"/>
  <c r="H4184" i="1"/>
  <c r="I4184" i="1"/>
  <c r="J4184" i="1"/>
  <c r="K4184" i="1"/>
  <c r="L4184" i="1"/>
  <c r="A4185" i="1"/>
  <c r="B4185" i="1"/>
  <c r="C4185" i="1"/>
  <c r="D4185" i="1"/>
  <c r="E4185" i="1"/>
  <c r="F4185" i="1"/>
  <c r="G4185" i="1"/>
  <c r="H4185" i="1"/>
  <c r="I4185" i="1"/>
  <c r="J4185" i="1"/>
  <c r="K4185" i="1"/>
  <c r="L4185" i="1"/>
  <c r="A4186" i="1"/>
  <c r="B4186" i="1"/>
  <c r="C4186" i="1"/>
  <c r="D4186" i="1"/>
  <c r="E4186" i="1"/>
  <c r="F4186" i="1"/>
  <c r="G4186" i="1"/>
  <c r="H4186" i="1"/>
  <c r="I4186" i="1"/>
  <c r="J4186" i="1"/>
  <c r="K4186" i="1"/>
  <c r="L4186" i="1"/>
  <c r="A4187" i="1"/>
  <c r="B4187" i="1"/>
  <c r="C4187" i="1"/>
  <c r="D4187" i="1"/>
  <c r="E4187" i="1"/>
  <c r="F4187" i="1"/>
  <c r="G4187" i="1"/>
  <c r="H4187" i="1"/>
  <c r="I4187" i="1"/>
  <c r="J4187" i="1"/>
  <c r="K4187" i="1"/>
  <c r="L4187" i="1"/>
  <c r="A4188" i="1"/>
  <c r="B4188" i="1"/>
  <c r="C4188" i="1"/>
  <c r="D4188" i="1"/>
  <c r="E4188" i="1"/>
  <c r="F4188" i="1"/>
  <c r="G4188" i="1"/>
  <c r="H4188" i="1"/>
  <c r="I4188" i="1"/>
  <c r="J4188" i="1"/>
  <c r="K4188" i="1"/>
  <c r="L4188" i="1"/>
  <c r="A4189" i="1"/>
  <c r="B4189" i="1"/>
  <c r="C4189" i="1"/>
  <c r="D4189" i="1"/>
  <c r="E4189" i="1"/>
  <c r="F4189" i="1"/>
  <c r="G4189" i="1"/>
  <c r="H4189" i="1"/>
  <c r="I4189" i="1"/>
  <c r="J4189" i="1"/>
  <c r="K4189" i="1"/>
  <c r="L4189" i="1"/>
  <c r="A4190" i="1"/>
  <c r="B4190" i="1"/>
  <c r="C4190" i="1"/>
  <c r="D4190" i="1"/>
  <c r="E4190" i="1"/>
  <c r="F4190" i="1"/>
  <c r="G4190" i="1"/>
  <c r="H4190" i="1"/>
  <c r="I4190" i="1"/>
  <c r="J4190" i="1"/>
  <c r="K4190" i="1"/>
  <c r="L4190" i="1"/>
  <c r="A4191" i="1"/>
  <c r="B4191" i="1"/>
  <c r="C4191" i="1"/>
  <c r="D4191" i="1"/>
  <c r="E4191" i="1"/>
  <c r="F4191" i="1"/>
  <c r="G4191" i="1"/>
  <c r="H4191" i="1"/>
  <c r="I4191" i="1"/>
  <c r="J4191" i="1"/>
  <c r="K4191" i="1"/>
  <c r="L4191" i="1"/>
  <c r="A4192" i="1"/>
  <c r="B4192" i="1"/>
  <c r="C4192" i="1"/>
  <c r="D4192" i="1"/>
  <c r="E4192" i="1"/>
  <c r="F4192" i="1"/>
  <c r="G4192" i="1"/>
  <c r="H4192" i="1"/>
  <c r="I4192" i="1"/>
  <c r="J4192" i="1"/>
  <c r="K4192" i="1"/>
  <c r="L4192" i="1"/>
  <c r="A4193" i="1"/>
  <c r="B4193" i="1"/>
  <c r="C4193" i="1"/>
  <c r="D4193" i="1"/>
  <c r="E4193" i="1"/>
  <c r="F4193" i="1"/>
  <c r="G4193" i="1"/>
  <c r="H4193" i="1"/>
  <c r="I4193" i="1"/>
  <c r="J4193" i="1"/>
  <c r="K4193" i="1"/>
  <c r="L4193" i="1"/>
  <c r="A4194" i="1"/>
  <c r="B4194" i="1"/>
  <c r="C4194" i="1"/>
  <c r="D4194" i="1"/>
  <c r="E4194" i="1"/>
  <c r="F4194" i="1"/>
  <c r="G4194" i="1"/>
  <c r="H4194" i="1"/>
  <c r="I4194" i="1"/>
  <c r="J4194" i="1"/>
  <c r="K4194" i="1"/>
  <c r="L4194" i="1"/>
  <c r="A4195" i="1"/>
  <c r="B4195" i="1"/>
  <c r="C4195" i="1"/>
  <c r="D4195" i="1"/>
  <c r="E4195" i="1"/>
  <c r="F4195" i="1"/>
  <c r="G4195" i="1"/>
  <c r="H4195" i="1"/>
  <c r="I4195" i="1"/>
  <c r="J4195" i="1"/>
  <c r="K4195" i="1"/>
  <c r="L4195" i="1"/>
  <c r="A4196" i="1"/>
  <c r="B4196" i="1"/>
  <c r="C4196" i="1"/>
  <c r="D4196" i="1"/>
  <c r="E4196" i="1"/>
  <c r="F4196" i="1"/>
  <c r="G4196" i="1"/>
  <c r="H4196" i="1"/>
  <c r="I4196" i="1"/>
  <c r="J4196" i="1"/>
  <c r="K4196" i="1"/>
  <c r="L4196" i="1"/>
  <c r="A4197" i="1"/>
  <c r="B4197" i="1"/>
  <c r="C4197" i="1"/>
  <c r="D4197" i="1"/>
  <c r="E4197" i="1"/>
  <c r="F4197" i="1"/>
  <c r="G4197" i="1"/>
  <c r="H4197" i="1"/>
  <c r="I4197" i="1"/>
  <c r="J4197" i="1"/>
  <c r="K4197" i="1"/>
  <c r="L4197" i="1"/>
  <c r="A4198" i="1"/>
  <c r="B4198" i="1"/>
  <c r="C4198" i="1"/>
  <c r="D4198" i="1"/>
  <c r="E4198" i="1"/>
  <c r="F4198" i="1"/>
  <c r="G4198" i="1"/>
  <c r="H4198" i="1"/>
  <c r="I4198" i="1"/>
  <c r="J4198" i="1"/>
  <c r="K4198" i="1"/>
  <c r="L4198" i="1"/>
  <c r="A4199" i="1"/>
  <c r="B4199" i="1"/>
  <c r="C4199" i="1"/>
  <c r="D4199" i="1"/>
  <c r="E4199" i="1"/>
  <c r="F4199" i="1"/>
  <c r="G4199" i="1"/>
  <c r="H4199" i="1"/>
  <c r="I4199" i="1"/>
  <c r="J4199" i="1"/>
  <c r="K4199" i="1"/>
  <c r="L4199" i="1"/>
  <c r="A4200" i="1"/>
  <c r="B4200" i="1"/>
  <c r="C4200" i="1"/>
  <c r="D4200" i="1"/>
  <c r="E4200" i="1"/>
  <c r="F4200" i="1"/>
  <c r="G4200" i="1"/>
  <c r="H4200" i="1"/>
  <c r="I4200" i="1"/>
  <c r="J4200" i="1"/>
  <c r="K4200" i="1"/>
  <c r="L4200" i="1"/>
  <c r="A4201" i="1"/>
  <c r="B4201" i="1"/>
  <c r="C4201" i="1"/>
  <c r="D4201" i="1"/>
  <c r="E4201" i="1"/>
  <c r="F4201" i="1"/>
  <c r="G4201" i="1"/>
  <c r="H4201" i="1"/>
  <c r="I4201" i="1"/>
  <c r="J4201" i="1"/>
  <c r="K4201" i="1"/>
  <c r="L4201" i="1"/>
  <c r="A4202" i="1"/>
  <c r="B4202" i="1"/>
  <c r="C4202" i="1"/>
  <c r="D4202" i="1"/>
  <c r="E4202" i="1"/>
  <c r="F4202" i="1"/>
  <c r="G4202" i="1"/>
  <c r="H4202" i="1"/>
  <c r="I4202" i="1"/>
  <c r="J4202" i="1"/>
  <c r="K4202" i="1"/>
  <c r="L4202" i="1"/>
  <c r="A4203" i="1"/>
  <c r="B4203" i="1"/>
  <c r="C4203" i="1"/>
  <c r="D4203" i="1"/>
  <c r="E4203" i="1"/>
  <c r="F4203" i="1"/>
  <c r="G4203" i="1"/>
  <c r="H4203" i="1"/>
  <c r="I4203" i="1"/>
  <c r="J4203" i="1"/>
  <c r="K4203" i="1"/>
  <c r="L4203" i="1"/>
  <c r="A4204" i="1"/>
  <c r="B4204" i="1"/>
  <c r="C4204" i="1"/>
  <c r="D4204" i="1"/>
  <c r="E4204" i="1"/>
  <c r="F4204" i="1"/>
  <c r="G4204" i="1"/>
  <c r="H4204" i="1"/>
  <c r="I4204" i="1"/>
  <c r="J4204" i="1"/>
  <c r="K4204" i="1"/>
  <c r="L4204" i="1"/>
  <c r="A4205" i="1"/>
  <c r="B4205" i="1"/>
  <c r="C4205" i="1"/>
  <c r="D4205" i="1"/>
  <c r="E4205" i="1"/>
  <c r="F4205" i="1"/>
  <c r="G4205" i="1"/>
  <c r="H4205" i="1"/>
  <c r="I4205" i="1"/>
  <c r="J4205" i="1"/>
  <c r="K4205" i="1"/>
  <c r="L4205" i="1"/>
  <c r="A4206" i="1"/>
  <c r="B4206" i="1"/>
  <c r="C4206" i="1"/>
  <c r="D4206" i="1"/>
  <c r="E4206" i="1"/>
  <c r="F4206" i="1"/>
  <c r="G4206" i="1"/>
  <c r="H4206" i="1"/>
  <c r="I4206" i="1"/>
  <c r="J4206" i="1"/>
  <c r="K4206" i="1"/>
  <c r="L4206" i="1"/>
  <c r="A4207" i="1"/>
  <c r="B4207" i="1"/>
  <c r="C4207" i="1"/>
  <c r="D4207" i="1"/>
  <c r="E4207" i="1"/>
  <c r="F4207" i="1"/>
  <c r="G4207" i="1"/>
  <c r="H4207" i="1"/>
  <c r="I4207" i="1"/>
  <c r="J4207" i="1"/>
  <c r="K4207" i="1"/>
  <c r="L4207" i="1"/>
  <c r="A4208" i="1"/>
  <c r="B4208" i="1"/>
  <c r="C4208" i="1"/>
  <c r="D4208" i="1"/>
  <c r="E4208" i="1"/>
  <c r="F4208" i="1"/>
  <c r="G4208" i="1"/>
  <c r="H4208" i="1"/>
  <c r="I4208" i="1"/>
  <c r="J4208" i="1"/>
  <c r="K4208" i="1"/>
  <c r="L4208" i="1"/>
  <c r="A4209" i="1"/>
  <c r="B4209" i="1"/>
  <c r="C4209" i="1"/>
  <c r="D4209" i="1"/>
  <c r="E4209" i="1"/>
  <c r="F4209" i="1"/>
  <c r="G4209" i="1"/>
  <c r="H4209" i="1"/>
  <c r="I4209" i="1"/>
  <c r="J4209" i="1"/>
  <c r="K4209" i="1"/>
  <c r="L4209" i="1"/>
  <c r="A4210" i="1"/>
  <c r="B4210" i="1"/>
  <c r="C4210" i="1"/>
  <c r="D4210" i="1"/>
  <c r="E4210" i="1"/>
  <c r="F4210" i="1"/>
  <c r="G4210" i="1"/>
  <c r="H4210" i="1"/>
  <c r="I4210" i="1"/>
  <c r="J4210" i="1"/>
  <c r="K4210" i="1"/>
  <c r="L4210" i="1"/>
  <c r="A4211" i="1"/>
  <c r="B4211" i="1"/>
  <c r="C4211" i="1"/>
  <c r="D4211" i="1"/>
  <c r="E4211" i="1"/>
  <c r="F4211" i="1"/>
  <c r="G4211" i="1"/>
  <c r="H4211" i="1"/>
  <c r="I4211" i="1"/>
  <c r="J4211" i="1"/>
  <c r="K4211" i="1"/>
  <c r="L4211" i="1"/>
  <c r="A4212" i="1"/>
  <c r="B4212" i="1"/>
  <c r="C4212" i="1"/>
  <c r="D4212" i="1"/>
  <c r="E4212" i="1"/>
  <c r="F4212" i="1"/>
  <c r="G4212" i="1"/>
  <c r="H4212" i="1"/>
  <c r="I4212" i="1"/>
  <c r="J4212" i="1"/>
  <c r="K4212" i="1"/>
  <c r="L4212" i="1"/>
  <c r="A4213" i="1"/>
  <c r="B4213" i="1"/>
  <c r="C4213" i="1"/>
  <c r="D4213" i="1"/>
  <c r="E4213" i="1"/>
  <c r="F4213" i="1"/>
  <c r="G4213" i="1"/>
  <c r="H4213" i="1"/>
  <c r="I4213" i="1"/>
  <c r="J4213" i="1"/>
  <c r="K4213" i="1"/>
  <c r="L4213" i="1"/>
  <c r="A4214" i="1"/>
  <c r="B4214" i="1"/>
  <c r="C4214" i="1"/>
  <c r="D4214" i="1"/>
  <c r="E4214" i="1"/>
  <c r="F4214" i="1"/>
  <c r="G4214" i="1"/>
  <c r="H4214" i="1"/>
  <c r="I4214" i="1"/>
  <c r="J4214" i="1"/>
  <c r="K4214" i="1"/>
  <c r="L4214" i="1"/>
  <c r="A4215" i="1"/>
  <c r="B4215" i="1"/>
  <c r="C4215" i="1"/>
  <c r="D4215" i="1"/>
  <c r="E4215" i="1"/>
  <c r="F4215" i="1"/>
  <c r="G4215" i="1"/>
  <c r="H4215" i="1"/>
  <c r="I4215" i="1"/>
  <c r="J4215" i="1"/>
  <c r="K4215" i="1"/>
  <c r="L4215" i="1"/>
  <c r="A4216" i="1"/>
  <c r="B4216" i="1"/>
  <c r="C4216" i="1"/>
  <c r="D4216" i="1"/>
  <c r="E4216" i="1"/>
  <c r="F4216" i="1"/>
  <c r="G4216" i="1"/>
  <c r="H4216" i="1"/>
  <c r="I4216" i="1"/>
  <c r="J4216" i="1"/>
  <c r="K4216" i="1"/>
  <c r="L4216" i="1"/>
  <c r="A4217" i="1"/>
  <c r="B4217" i="1"/>
  <c r="C4217" i="1"/>
  <c r="D4217" i="1"/>
  <c r="E4217" i="1"/>
  <c r="F4217" i="1"/>
  <c r="G4217" i="1"/>
  <c r="H4217" i="1"/>
  <c r="I4217" i="1"/>
  <c r="J4217" i="1"/>
  <c r="K4217" i="1"/>
  <c r="L4217" i="1"/>
  <c r="A4218" i="1"/>
  <c r="B4218" i="1"/>
  <c r="C4218" i="1"/>
  <c r="D4218" i="1"/>
  <c r="E4218" i="1"/>
  <c r="F4218" i="1"/>
  <c r="G4218" i="1"/>
  <c r="H4218" i="1"/>
  <c r="I4218" i="1"/>
  <c r="J4218" i="1"/>
  <c r="K4218" i="1"/>
  <c r="L4218" i="1"/>
  <c r="A4219" i="1"/>
  <c r="B4219" i="1"/>
  <c r="C4219" i="1"/>
  <c r="D4219" i="1"/>
  <c r="E4219" i="1"/>
  <c r="F4219" i="1"/>
  <c r="G4219" i="1"/>
  <c r="H4219" i="1"/>
  <c r="I4219" i="1"/>
  <c r="J4219" i="1"/>
  <c r="K4219" i="1"/>
  <c r="L4219" i="1"/>
  <c r="A4220" i="1"/>
  <c r="B4220" i="1"/>
  <c r="C4220" i="1"/>
  <c r="D4220" i="1"/>
  <c r="E4220" i="1"/>
  <c r="F4220" i="1"/>
  <c r="G4220" i="1"/>
  <c r="H4220" i="1"/>
  <c r="I4220" i="1"/>
  <c r="J4220" i="1"/>
  <c r="K4220" i="1"/>
  <c r="L4220" i="1"/>
  <c r="A4221" i="1"/>
  <c r="B4221" i="1"/>
  <c r="C4221" i="1"/>
  <c r="D4221" i="1"/>
  <c r="E4221" i="1"/>
  <c r="F4221" i="1"/>
  <c r="G4221" i="1"/>
  <c r="H4221" i="1"/>
  <c r="I4221" i="1"/>
  <c r="J4221" i="1"/>
  <c r="K4221" i="1"/>
  <c r="L4221" i="1"/>
  <c r="A4222" i="1"/>
  <c r="B4222" i="1"/>
  <c r="C4222" i="1"/>
  <c r="D4222" i="1"/>
  <c r="E4222" i="1"/>
  <c r="F4222" i="1"/>
  <c r="G4222" i="1"/>
  <c r="H4222" i="1"/>
  <c r="I4222" i="1"/>
  <c r="J4222" i="1"/>
  <c r="K4222" i="1"/>
  <c r="L4222" i="1"/>
  <c r="A4223" i="1"/>
  <c r="B4223" i="1"/>
  <c r="C4223" i="1"/>
  <c r="D4223" i="1"/>
  <c r="E4223" i="1"/>
  <c r="F4223" i="1"/>
  <c r="G4223" i="1"/>
  <c r="H4223" i="1"/>
  <c r="I4223" i="1"/>
  <c r="J4223" i="1"/>
  <c r="K4223" i="1"/>
  <c r="L4223" i="1"/>
  <c r="A4224" i="1"/>
  <c r="B4224" i="1"/>
  <c r="C4224" i="1"/>
  <c r="D4224" i="1"/>
  <c r="E4224" i="1"/>
  <c r="F4224" i="1"/>
  <c r="G4224" i="1"/>
  <c r="H4224" i="1"/>
  <c r="I4224" i="1"/>
  <c r="J4224" i="1"/>
  <c r="K4224" i="1"/>
  <c r="L4224" i="1"/>
  <c r="A4225" i="1"/>
  <c r="B4225" i="1"/>
  <c r="C4225" i="1"/>
  <c r="D4225" i="1"/>
  <c r="E4225" i="1"/>
  <c r="F4225" i="1"/>
  <c r="G4225" i="1"/>
  <c r="H4225" i="1"/>
  <c r="I4225" i="1"/>
  <c r="J4225" i="1"/>
  <c r="K4225" i="1"/>
  <c r="L4225" i="1"/>
  <c r="A4226" i="1"/>
  <c r="B4226" i="1"/>
  <c r="C4226" i="1"/>
  <c r="D4226" i="1"/>
  <c r="E4226" i="1"/>
  <c r="F4226" i="1"/>
  <c r="G4226" i="1"/>
  <c r="H4226" i="1"/>
  <c r="I4226" i="1"/>
  <c r="J4226" i="1"/>
  <c r="K4226" i="1"/>
  <c r="L4226" i="1"/>
  <c r="A4227" i="1"/>
  <c r="B4227" i="1"/>
  <c r="C4227" i="1"/>
  <c r="D4227" i="1"/>
  <c r="E4227" i="1"/>
  <c r="F4227" i="1"/>
  <c r="G4227" i="1"/>
  <c r="H4227" i="1"/>
  <c r="I4227" i="1"/>
  <c r="J4227" i="1"/>
  <c r="K4227" i="1"/>
  <c r="L4227" i="1"/>
  <c r="A4228" i="1"/>
  <c r="B4228" i="1"/>
  <c r="C4228" i="1"/>
  <c r="D4228" i="1"/>
  <c r="E4228" i="1"/>
  <c r="F4228" i="1"/>
  <c r="G4228" i="1"/>
  <c r="H4228" i="1"/>
  <c r="I4228" i="1"/>
  <c r="J4228" i="1"/>
  <c r="K4228" i="1"/>
  <c r="L4228" i="1"/>
  <c r="A4229" i="1"/>
  <c r="B4229" i="1"/>
  <c r="C4229" i="1"/>
  <c r="D4229" i="1"/>
  <c r="E4229" i="1"/>
  <c r="F4229" i="1"/>
  <c r="G4229" i="1"/>
  <c r="H4229" i="1"/>
  <c r="I4229" i="1"/>
  <c r="J4229" i="1"/>
  <c r="K4229" i="1"/>
  <c r="L4229" i="1"/>
  <c r="A4230" i="1"/>
  <c r="B4230" i="1"/>
  <c r="C4230" i="1"/>
  <c r="D4230" i="1"/>
  <c r="E4230" i="1"/>
  <c r="F4230" i="1"/>
  <c r="G4230" i="1"/>
  <c r="H4230" i="1"/>
  <c r="I4230" i="1"/>
  <c r="J4230" i="1"/>
  <c r="K4230" i="1"/>
  <c r="L4230" i="1"/>
  <c r="A4231" i="1"/>
  <c r="B4231" i="1"/>
  <c r="C4231" i="1"/>
  <c r="D4231" i="1"/>
  <c r="E4231" i="1"/>
  <c r="F4231" i="1"/>
  <c r="G4231" i="1"/>
  <c r="H4231" i="1"/>
  <c r="I4231" i="1"/>
  <c r="J4231" i="1"/>
  <c r="K4231" i="1"/>
  <c r="L4231" i="1"/>
  <c r="A4232" i="1"/>
  <c r="B4232" i="1"/>
  <c r="C4232" i="1"/>
  <c r="D4232" i="1"/>
  <c r="E4232" i="1"/>
  <c r="F4232" i="1"/>
  <c r="G4232" i="1"/>
  <c r="H4232" i="1"/>
  <c r="I4232" i="1"/>
  <c r="J4232" i="1"/>
  <c r="K4232" i="1"/>
  <c r="L4232" i="1"/>
  <c r="A4233" i="1"/>
  <c r="B4233" i="1"/>
  <c r="C4233" i="1"/>
  <c r="D4233" i="1"/>
  <c r="E4233" i="1"/>
  <c r="F4233" i="1"/>
  <c r="G4233" i="1"/>
  <c r="H4233" i="1"/>
  <c r="I4233" i="1"/>
  <c r="J4233" i="1"/>
  <c r="K4233" i="1"/>
  <c r="L4233" i="1"/>
  <c r="A4234" i="1"/>
  <c r="B4234" i="1"/>
  <c r="C4234" i="1"/>
  <c r="D4234" i="1"/>
  <c r="E4234" i="1"/>
  <c r="F4234" i="1"/>
  <c r="G4234" i="1"/>
  <c r="H4234" i="1"/>
  <c r="I4234" i="1"/>
  <c r="J4234" i="1"/>
  <c r="K4234" i="1"/>
  <c r="L4234" i="1"/>
  <c r="A4235" i="1"/>
  <c r="B4235" i="1"/>
  <c r="C4235" i="1"/>
  <c r="D4235" i="1"/>
  <c r="E4235" i="1"/>
  <c r="F4235" i="1"/>
  <c r="G4235" i="1"/>
  <c r="H4235" i="1"/>
  <c r="I4235" i="1"/>
  <c r="J4235" i="1"/>
  <c r="K4235" i="1"/>
  <c r="L4235" i="1"/>
  <c r="A4236" i="1"/>
  <c r="B4236" i="1"/>
  <c r="C4236" i="1"/>
  <c r="D4236" i="1"/>
  <c r="E4236" i="1"/>
  <c r="F4236" i="1"/>
  <c r="G4236" i="1"/>
  <c r="H4236" i="1"/>
  <c r="I4236" i="1"/>
  <c r="J4236" i="1"/>
  <c r="K4236" i="1"/>
  <c r="L4236" i="1"/>
  <c r="A4237" i="1"/>
  <c r="B4237" i="1"/>
  <c r="C4237" i="1"/>
  <c r="D4237" i="1"/>
  <c r="E4237" i="1"/>
  <c r="F4237" i="1"/>
  <c r="G4237" i="1"/>
  <c r="H4237" i="1"/>
  <c r="I4237" i="1"/>
  <c r="J4237" i="1"/>
  <c r="K4237" i="1"/>
  <c r="L4237" i="1"/>
  <c r="A4238" i="1"/>
  <c r="B4238" i="1"/>
  <c r="C4238" i="1"/>
  <c r="D4238" i="1"/>
  <c r="E4238" i="1"/>
  <c r="F4238" i="1"/>
  <c r="G4238" i="1"/>
  <c r="H4238" i="1"/>
  <c r="I4238" i="1"/>
  <c r="J4238" i="1"/>
  <c r="K4238" i="1"/>
  <c r="L4238" i="1"/>
  <c r="A4239" i="1"/>
  <c r="B4239" i="1"/>
  <c r="C4239" i="1"/>
  <c r="D4239" i="1"/>
  <c r="E4239" i="1"/>
  <c r="F4239" i="1"/>
  <c r="G4239" i="1"/>
  <c r="H4239" i="1"/>
  <c r="I4239" i="1"/>
  <c r="J4239" i="1"/>
  <c r="K4239" i="1"/>
  <c r="L4239" i="1"/>
  <c r="A4240" i="1"/>
  <c r="B4240" i="1"/>
  <c r="C4240" i="1"/>
  <c r="D4240" i="1"/>
  <c r="E4240" i="1"/>
  <c r="F4240" i="1"/>
  <c r="G4240" i="1"/>
  <c r="H4240" i="1"/>
  <c r="I4240" i="1"/>
  <c r="J4240" i="1"/>
  <c r="K4240" i="1"/>
  <c r="L4240" i="1"/>
  <c r="A4241" i="1"/>
  <c r="B4241" i="1"/>
  <c r="C4241" i="1"/>
  <c r="D4241" i="1"/>
  <c r="E4241" i="1"/>
  <c r="F4241" i="1"/>
  <c r="G4241" i="1"/>
  <c r="H4241" i="1"/>
  <c r="I4241" i="1"/>
  <c r="J4241" i="1"/>
  <c r="K4241" i="1"/>
  <c r="L4241" i="1"/>
  <c r="A4242" i="1"/>
  <c r="B4242" i="1"/>
  <c r="C4242" i="1"/>
  <c r="D4242" i="1"/>
  <c r="E4242" i="1"/>
  <c r="F4242" i="1"/>
  <c r="G4242" i="1"/>
  <c r="H4242" i="1"/>
  <c r="I4242" i="1"/>
  <c r="J4242" i="1"/>
  <c r="K4242" i="1"/>
  <c r="L4242" i="1"/>
  <c r="A4243" i="1"/>
  <c r="B4243" i="1"/>
  <c r="C4243" i="1"/>
  <c r="D4243" i="1"/>
  <c r="E4243" i="1"/>
  <c r="F4243" i="1"/>
  <c r="G4243" i="1"/>
  <c r="H4243" i="1"/>
  <c r="I4243" i="1"/>
  <c r="J4243" i="1"/>
  <c r="K4243" i="1"/>
  <c r="L4243" i="1"/>
  <c r="A4244" i="1"/>
  <c r="B4244" i="1"/>
  <c r="C4244" i="1"/>
  <c r="D4244" i="1"/>
  <c r="E4244" i="1"/>
  <c r="F4244" i="1"/>
  <c r="G4244" i="1"/>
  <c r="H4244" i="1"/>
  <c r="I4244" i="1"/>
  <c r="J4244" i="1"/>
  <c r="K4244" i="1"/>
  <c r="L4244" i="1"/>
  <c r="A4245" i="1"/>
  <c r="B4245" i="1"/>
  <c r="C4245" i="1"/>
  <c r="D4245" i="1"/>
  <c r="E4245" i="1"/>
  <c r="F4245" i="1"/>
  <c r="G4245" i="1"/>
  <c r="H4245" i="1"/>
  <c r="I4245" i="1"/>
  <c r="J4245" i="1"/>
  <c r="K4245" i="1"/>
  <c r="L4245" i="1"/>
  <c r="A4246" i="1"/>
  <c r="B4246" i="1"/>
  <c r="C4246" i="1"/>
  <c r="D4246" i="1"/>
  <c r="E4246" i="1"/>
  <c r="F4246" i="1"/>
  <c r="G4246" i="1"/>
  <c r="H4246" i="1"/>
  <c r="I4246" i="1"/>
  <c r="J4246" i="1"/>
  <c r="K4246" i="1"/>
  <c r="L4246" i="1"/>
  <c r="A4247" i="1"/>
  <c r="B4247" i="1"/>
  <c r="C4247" i="1"/>
  <c r="D4247" i="1"/>
  <c r="E4247" i="1"/>
  <c r="F4247" i="1"/>
  <c r="G4247" i="1"/>
  <c r="H4247" i="1"/>
  <c r="I4247" i="1"/>
  <c r="J4247" i="1"/>
  <c r="K4247" i="1"/>
  <c r="L4247" i="1"/>
  <c r="A4248" i="1"/>
  <c r="B4248" i="1"/>
  <c r="C4248" i="1"/>
  <c r="D4248" i="1"/>
  <c r="E4248" i="1"/>
  <c r="F4248" i="1"/>
  <c r="G4248" i="1"/>
  <c r="H4248" i="1"/>
  <c r="I4248" i="1"/>
  <c r="J4248" i="1"/>
  <c r="K4248" i="1"/>
  <c r="L4248" i="1"/>
  <c r="A4249" i="1"/>
  <c r="B4249" i="1"/>
  <c r="C4249" i="1"/>
  <c r="D4249" i="1"/>
  <c r="E4249" i="1"/>
  <c r="F4249" i="1"/>
  <c r="G4249" i="1"/>
  <c r="H4249" i="1"/>
  <c r="I4249" i="1"/>
  <c r="J4249" i="1"/>
  <c r="K4249" i="1"/>
  <c r="L4249" i="1"/>
  <c r="A4250" i="1"/>
  <c r="B4250" i="1"/>
  <c r="C4250" i="1"/>
  <c r="D4250" i="1"/>
  <c r="E4250" i="1"/>
  <c r="F4250" i="1"/>
  <c r="G4250" i="1"/>
  <c r="H4250" i="1"/>
  <c r="I4250" i="1"/>
  <c r="J4250" i="1"/>
  <c r="K4250" i="1"/>
  <c r="L4250" i="1"/>
  <c r="A4251" i="1"/>
  <c r="B4251" i="1"/>
  <c r="C4251" i="1"/>
  <c r="D4251" i="1"/>
  <c r="E4251" i="1"/>
  <c r="F4251" i="1"/>
  <c r="G4251" i="1"/>
  <c r="H4251" i="1"/>
  <c r="I4251" i="1"/>
  <c r="J4251" i="1"/>
  <c r="K4251" i="1"/>
  <c r="L4251" i="1"/>
  <c r="A4252" i="1"/>
  <c r="B4252" i="1"/>
  <c r="C4252" i="1"/>
  <c r="D4252" i="1"/>
  <c r="E4252" i="1"/>
  <c r="F4252" i="1"/>
  <c r="G4252" i="1"/>
  <c r="H4252" i="1"/>
  <c r="I4252" i="1"/>
  <c r="J4252" i="1"/>
  <c r="K4252" i="1"/>
  <c r="L4252" i="1"/>
  <c r="A4253" i="1"/>
  <c r="B4253" i="1"/>
  <c r="C4253" i="1"/>
  <c r="D4253" i="1"/>
  <c r="E4253" i="1"/>
  <c r="F4253" i="1"/>
  <c r="G4253" i="1"/>
  <c r="H4253" i="1"/>
  <c r="I4253" i="1"/>
  <c r="J4253" i="1"/>
  <c r="K4253" i="1"/>
  <c r="L4253" i="1"/>
  <c r="A4254" i="1"/>
  <c r="B4254" i="1"/>
  <c r="C4254" i="1"/>
  <c r="D4254" i="1"/>
  <c r="E4254" i="1"/>
  <c r="F4254" i="1"/>
  <c r="G4254" i="1"/>
  <c r="H4254" i="1"/>
  <c r="I4254" i="1"/>
  <c r="J4254" i="1"/>
  <c r="K4254" i="1"/>
  <c r="L4254" i="1"/>
  <c r="A4255" i="1"/>
  <c r="B4255" i="1"/>
  <c r="C4255" i="1"/>
  <c r="D4255" i="1"/>
  <c r="E4255" i="1"/>
  <c r="F4255" i="1"/>
  <c r="G4255" i="1"/>
  <c r="H4255" i="1"/>
  <c r="I4255" i="1"/>
  <c r="J4255" i="1"/>
  <c r="K4255" i="1"/>
  <c r="L4255" i="1"/>
  <c r="A4256" i="1"/>
  <c r="B4256" i="1"/>
  <c r="C4256" i="1"/>
  <c r="D4256" i="1"/>
  <c r="E4256" i="1"/>
  <c r="F4256" i="1"/>
  <c r="G4256" i="1"/>
  <c r="H4256" i="1"/>
  <c r="I4256" i="1"/>
  <c r="J4256" i="1"/>
  <c r="K4256" i="1"/>
  <c r="L4256" i="1"/>
  <c r="A4257" i="1"/>
  <c r="B4257" i="1"/>
  <c r="C4257" i="1"/>
  <c r="D4257" i="1"/>
  <c r="E4257" i="1"/>
  <c r="F4257" i="1"/>
  <c r="G4257" i="1"/>
  <c r="H4257" i="1"/>
  <c r="I4257" i="1"/>
  <c r="J4257" i="1"/>
  <c r="K4257" i="1"/>
  <c r="L4257" i="1"/>
  <c r="A4258" i="1"/>
  <c r="B4258" i="1"/>
  <c r="C4258" i="1"/>
  <c r="D4258" i="1"/>
  <c r="E4258" i="1"/>
  <c r="F4258" i="1"/>
  <c r="G4258" i="1"/>
  <c r="H4258" i="1"/>
  <c r="I4258" i="1"/>
  <c r="J4258" i="1"/>
  <c r="K4258" i="1"/>
  <c r="L4258" i="1"/>
  <c r="A4259" i="1"/>
  <c r="B4259" i="1"/>
  <c r="C4259" i="1"/>
  <c r="D4259" i="1"/>
  <c r="E4259" i="1"/>
  <c r="F4259" i="1"/>
  <c r="G4259" i="1"/>
  <c r="H4259" i="1"/>
  <c r="I4259" i="1"/>
  <c r="J4259" i="1"/>
  <c r="K4259" i="1"/>
  <c r="L4259" i="1"/>
  <c r="A4260" i="1"/>
  <c r="B4260" i="1"/>
  <c r="C4260" i="1"/>
  <c r="D4260" i="1"/>
  <c r="E4260" i="1"/>
  <c r="F4260" i="1"/>
  <c r="G4260" i="1"/>
  <c r="H4260" i="1"/>
  <c r="I4260" i="1"/>
  <c r="J4260" i="1"/>
  <c r="K4260" i="1"/>
  <c r="L4260" i="1"/>
  <c r="A4261" i="1"/>
  <c r="B4261" i="1"/>
  <c r="C4261" i="1"/>
  <c r="D4261" i="1"/>
  <c r="E4261" i="1"/>
  <c r="F4261" i="1"/>
  <c r="G4261" i="1"/>
  <c r="H4261" i="1"/>
  <c r="I4261" i="1"/>
  <c r="J4261" i="1"/>
  <c r="K4261" i="1"/>
  <c r="L4261" i="1"/>
  <c r="A4262" i="1"/>
  <c r="B4262" i="1"/>
  <c r="C4262" i="1"/>
  <c r="D4262" i="1"/>
  <c r="E4262" i="1"/>
  <c r="F4262" i="1"/>
  <c r="G4262" i="1"/>
  <c r="H4262" i="1"/>
  <c r="I4262" i="1"/>
  <c r="J4262" i="1"/>
  <c r="K4262" i="1"/>
  <c r="L4262" i="1"/>
  <c r="A4263" i="1"/>
  <c r="B4263" i="1"/>
  <c r="C4263" i="1"/>
  <c r="D4263" i="1"/>
  <c r="E4263" i="1"/>
  <c r="F4263" i="1"/>
  <c r="G4263" i="1"/>
  <c r="H4263" i="1"/>
  <c r="I4263" i="1"/>
  <c r="J4263" i="1"/>
  <c r="K4263" i="1"/>
  <c r="L4263" i="1"/>
  <c r="A4264" i="1"/>
  <c r="B4264" i="1"/>
  <c r="C4264" i="1"/>
  <c r="D4264" i="1"/>
  <c r="E4264" i="1"/>
  <c r="F4264" i="1"/>
  <c r="G4264" i="1"/>
  <c r="H4264" i="1"/>
  <c r="I4264" i="1"/>
  <c r="J4264" i="1"/>
  <c r="K4264" i="1"/>
  <c r="L4264" i="1"/>
  <c r="A4265" i="1"/>
  <c r="B4265" i="1"/>
  <c r="C4265" i="1"/>
  <c r="D4265" i="1"/>
  <c r="E4265" i="1"/>
  <c r="F4265" i="1"/>
  <c r="G4265" i="1"/>
  <c r="H4265" i="1"/>
  <c r="I4265" i="1"/>
  <c r="J4265" i="1"/>
  <c r="K4265" i="1"/>
  <c r="L4265" i="1"/>
  <c r="A4266" i="1"/>
  <c r="B4266" i="1"/>
  <c r="C4266" i="1"/>
  <c r="D4266" i="1"/>
  <c r="E4266" i="1"/>
  <c r="F4266" i="1"/>
  <c r="G4266" i="1"/>
  <c r="H4266" i="1"/>
  <c r="I4266" i="1"/>
  <c r="J4266" i="1"/>
  <c r="K4266" i="1"/>
  <c r="L4266" i="1"/>
  <c r="A4267" i="1"/>
  <c r="B4267" i="1"/>
  <c r="C4267" i="1"/>
  <c r="D4267" i="1"/>
  <c r="E4267" i="1"/>
  <c r="F4267" i="1"/>
  <c r="G4267" i="1"/>
  <c r="H4267" i="1"/>
  <c r="I4267" i="1"/>
  <c r="J4267" i="1"/>
  <c r="K4267" i="1"/>
  <c r="L4267" i="1"/>
  <c r="A4268" i="1"/>
  <c r="B4268" i="1"/>
  <c r="C4268" i="1"/>
  <c r="D4268" i="1"/>
  <c r="E4268" i="1"/>
  <c r="F4268" i="1"/>
  <c r="G4268" i="1"/>
  <c r="H4268" i="1"/>
  <c r="I4268" i="1"/>
  <c r="J4268" i="1"/>
  <c r="K4268" i="1"/>
  <c r="L4268" i="1"/>
  <c r="A4269" i="1"/>
  <c r="B4269" i="1"/>
  <c r="C4269" i="1"/>
  <c r="D4269" i="1"/>
  <c r="E4269" i="1"/>
  <c r="F4269" i="1"/>
  <c r="G4269" i="1"/>
  <c r="H4269" i="1"/>
  <c r="I4269" i="1"/>
  <c r="J4269" i="1"/>
  <c r="K4269" i="1"/>
  <c r="L4269" i="1"/>
  <c r="A4270" i="1"/>
  <c r="B4270" i="1"/>
  <c r="C4270" i="1"/>
  <c r="D4270" i="1"/>
  <c r="E4270" i="1"/>
  <c r="F4270" i="1"/>
  <c r="G4270" i="1"/>
  <c r="H4270" i="1"/>
  <c r="I4270" i="1"/>
  <c r="J4270" i="1"/>
  <c r="K4270" i="1"/>
  <c r="L4270" i="1"/>
  <c r="A4271" i="1"/>
  <c r="B4271" i="1"/>
  <c r="C4271" i="1"/>
  <c r="D4271" i="1"/>
  <c r="E4271" i="1"/>
  <c r="F4271" i="1"/>
  <c r="G4271" i="1"/>
  <c r="H4271" i="1"/>
  <c r="I4271" i="1"/>
  <c r="J4271" i="1"/>
  <c r="K4271" i="1"/>
  <c r="L4271" i="1"/>
  <c r="A4272" i="1"/>
  <c r="B4272" i="1"/>
  <c r="C4272" i="1"/>
  <c r="D4272" i="1"/>
  <c r="E4272" i="1"/>
  <c r="F4272" i="1"/>
  <c r="G4272" i="1"/>
  <c r="H4272" i="1"/>
  <c r="I4272" i="1"/>
  <c r="J4272" i="1"/>
  <c r="K4272" i="1"/>
  <c r="L4272" i="1"/>
  <c r="A4273" i="1"/>
  <c r="B4273" i="1"/>
  <c r="C4273" i="1"/>
  <c r="D4273" i="1"/>
  <c r="E4273" i="1"/>
  <c r="F4273" i="1"/>
  <c r="G4273" i="1"/>
  <c r="H4273" i="1"/>
  <c r="I4273" i="1"/>
  <c r="J4273" i="1"/>
  <c r="K4273" i="1"/>
  <c r="L4273" i="1"/>
  <c r="A4274" i="1"/>
  <c r="B4274" i="1"/>
  <c r="C4274" i="1"/>
  <c r="D4274" i="1"/>
  <c r="E4274" i="1"/>
  <c r="F4274" i="1"/>
  <c r="G4274" i="1"/>
  <c r="H4274" i="1"/>
  <c r="I4274" i="1"/>
  <c r="J4274" i="1"/>
  <c r="K4274" i="1"/>
  <c r="L4274" i="1"/>
  <c r="A4275" i="1"/>
  <c r="B4275" i="1"/>
  <c r="C4275" i="1"/>
  <c r="D4275" i="1"/>
  <c r="E4275" i="1"/>
  <c r="F4275" i="1"/>
  <c r="G4275" i="1"/>
  <c r="H4275" i="1"/>
  <c r="I4275" i="1"/>
  <c r="J4275" i="1"/>
  <c r="K4275" i="1"/>
  <c r="L4275" i="1"/>
  <c r="A4276" i="1"/>
  <c r="B4276" i="1"/>
  <c r="C4276" i="1"/>
  <c r="D4276" i="1"/>
  <c r="E4276" i="1"/>
  <c r="F4276" i="1"/>
  <c r="G4276" i="1"/>
  <c r="H4276" i="1"/>
  <c r="I4276" i="1"/>
  <c r="J4276" i="1"/>
  <c r="K4276" i="1"/>
  <c r="L4276" i="1"/>
  <c r="A4277" i="1"/>
  <c r="B4277" i="1"/>
  <c r="C4277" i="1"/>
  <c r="D4277" i="1"/>
  <c r="E4277" i="1"/>
  <c r="F4277" i="1"/>
  <c r="G4277" i="1"/>
  <c r="H4277" i="1"/>
  <c r="I4277" i="1"/>
  <c r="J4277" i="1"/>
  <c r="K4277" i="1"/>
  <c r="L4277" i="1"/>
  <c r="A4278" i="1"/>
  <c r="B4278" i="1"/>
  <c r="C4278" i="1"/>
  <c r="D4278" i="1"/>
  <c r="E4278" i="1"/>
  <c r="F4278" i="1"/>
  <c r="G4278" i="1"/>
  <c r="H4278" i="1"/>
  <c r="I4278" i="1"/>
  <c r="J4278" i="1"/>
  <c r="K4278" i="1"/>
  <c r="L4278" i="1"/>
  <c r="A4279" i="1"/>
  <c r="B4279" i="1"/>
  <c r="C4279" i="1"/>
  <c r="D4279" i="1"/>
  <c r="E4279" i="1"/>
  <c r="F4279" i="1"/>
  <c r="G4279" i="1"/>
  <c r="H4279" i="1"/>
  <c r="I4279" i="1"/>
  <c r="J4279" i="1"/>
  <c r="K4279" i="1"/>
  <c r="L4279" i="1"/>
  <c r="A4280" i="1"/>
  <c r="B4280" i="1"/>
  <c r="C4280" i="1"/>
  <c r="D4280" i="1"/>
  <c r="E4280" i="1"/>
  <c r="F4280" i="1"/>
  <c r="G4280" i="1"/>
  <c r="H4280" i="1"/>
  <c r="I4280" i="1"/>
  <c r="J4280" i="1"/>
  <c r="K4280" i="1"/>
  <c r="L4280" i="1"/>
  <c r="A4281" i="1"/>
  <c r="B4281" i="1"/>
  <c r="C4281" i="1"/>
  <c r="D4281" i="1"/>
  <c r="E4281" i="1"/>
  <c r="F4281" i="1"/>
  <c r="G4281" i="1"/>
  <c r="H4281" i="1"/>
  <c r="I4281" i="1"/>
  <c r="J4281" i="1"/>
  <c r="K4281" i="1"/>
  <c r="L4281" i="1"/>
  <c r="A4282" i="1"/>
  <c r="B4282" i="1"/>
  <c r="C4282" i="1"/>
  <c r="D4282" i="1"/>
  <c r="E4282" i="1"/>
  <c r="F4282" i="1"/>
  <c r="G4282" i="1"/>
  <c r="H4282" i="1"/>
  <c r="I4282" i="1"/>
  <c r="J4282" i="1"/>
  <c r="K4282" i="1"/>
  <c r="L4282" i="1"/>
  <c r="A4283" i="1"/>
  <c r="B4283" i="1"/>
  <c r="C4283" i="1"/>
  <c r="D4283" i="1"/>
  <c r="E4283" i="1"/>
  <c r="F4283" i="1"/>
  <c r="G4283" i="1"/>
  <c r="H4283" i="1"/>
  <c r="I4283" i="1"/>
  <c r="J4283" i="1"/>
  <c r="K4283" i="1"/>
  <c r="L4283" i="1"/>
  <c r="A4284" i="1"/>
  <c r="B4284" i="1"/>
  <c r="C4284" i="1"/>
  <c r="D4284" i="1"/>
  <c r="E4284" i="1"/>
  <c r="F4284" i="1"/>
  <c r="G4284" i="1"/>
  <c r="H4284" i="1"/>
  <c r="I4284" i="1"/>
  <c r="J4284" i="1"/>
  <c r="K4284" i="1"/>
  <c r="L4284" i="1"/>
  <c r="A4285" i="1"/>
  <c r="B4285" i="1"/>
  <c r="C4285" i="1"/>
  <c r="D4285" i="1"/>
  <c r="E4285" i="1"/>
  <c r="F4285" i="1"/>
  <c r="G4285" i="1"/>
  <c r="H4285" i="1"/>
  <c r="I4285" i="1"/>
  <c r="J4285" i="1"/>
  <c r="K4285" i="1"/>
  <c r="L4285" i="1"/>
  <c r="A4286" i="1"/>
  <c r="B4286" i="1"/>
  <c r="C4286" i="1"/>
  <c r="D4286" i="1"/>
  <c r="E4286" i="1"/>
  <c r="F4286" i="1"/>
  <c r="G4286" i="1"/>
  <c r="H4286" i="1"/>
  <c r="I4286" i="1"/>
  <c r="J4286" i="1"/>
  <c r="K4286" i="1"/>
  <c r="L4286" i="1"/>
  <c r="A4287" i="1"/>
  <c r="B4287" i="1"/>
  <c r="C4287" i="1"/>
  <c r="D4287" i="1"/>
  <c r="E4287" i="1"/>
  <c r="F4287" i="1"/>
  <c r="G4287" i="1"/>
  <c r="H4287" i="1"/>
  <c r="I4287" i="1"/>
  <c r="J4287" i="1"/>
  <c r="K4287" i="1"/>
  <c r="L4287" i="1"/>
  <c r="A4288" i="1"/>
  <c r="B4288" i="1"/>
  <c r="C4288" i="1"/>
  <c r="D4288" i="1"/>
  <c r="E4288" i="1"/>
  <c r="F4288" i="1"/>
  <c r="G4288" i="1"/>
  <c r="H4288" i="1"/>
  <c r="I4288" i="1"/>
  <c r="J4288" i="1"/>
  <c r="K4288" i="1"/>
  <c r="L4288" i="1"/>
  <c r="A4289" i="1"/>
  <c r="B4289" i="1"/>
  <c r="C4289" i="1"/>
  <c r="D4289" i="1"/>
  <c r="E4289" i="1"/>
  <c r="F4289" i="1"/>
  <c r="G4289" i="1"/>
  <c r="H4289" i="1"/>
  <c r="I4289" i="1"/>
  <c r="J4289" i="1"/>
  <c r="K4289" i="1"/>
  <c r="L4289" i="1"/>
  <c r="A4290" i="1"/>
  <c r="B4290" i="1"/>
  <c r="C4290" i="1"/>
  <c r="D4290" i="1"/>
  <c r="E4290" i="1"/>
  <c r="F4290" i="1"/>
  <c r="G4290" i="1"/>
  <c r="H4290" i="1"/>
  <c r="I4290" i="1"/>
  <c r="J4290" i="1"/>
  <c r="K4290" i="1"/>
  <c r="L4290" i="1"/>
  <c r="A4291" i="1"/>
  <c r="B4291" i="1"/>
  <c r="C4291" i="1"/>
  <c r="D4291" i="1"/>
  <c r="E4291" i="1"/>
  <c r="F4291" i="1"/>
  <c r="G4291" i="1"/>
  <c r="H4291" i="1"/>
  <c r="I4291" i="1"/>
  <c r="J4291" i="1"/>
  <c r="K4291" i="1"/>
  <c r="L4291" i="1"/>
  <c r="A4292" i="1"/>
  <c r="B4292" i="1"/>
  <c r="C4292" i="1"/>
  <c r="D4292" i="1"/>
  <c r="E4292" i="1"/>
  <c r="F4292" i="1"/>
  <c r="G4292" i="1"/>
  <c r="H4292" i="1"/>
  <c r="I4292" i="1"/>
  <c r="J4292" i="1"/>
  <c r="K4292" i="1"/>
  <c r="L4292" i="1"/>
  <c r="A4293" i="1"/>
  <c r="B4293" i="1"/>
  <c r="C4293" i="1"/>
  <c r="D4293" i="1"/>
  <c r="E4293" i="1"/>
  <c r="F4293" i="1"/>
  <c r="G4293" i="1"/>
  <c r="H4293" i="1"/>
  <c r="I4293" i="1"/>
  <c r="J4293" i="1"/>
  <c r="K4293" i="1"/>
  <c r="L4293" i="1"/>
  <c r="A4294" i="1"/>
  <c r="B4294" i="1"/>
  <c r="C4294" i="1"/>
  <c r="D4294" i="1"/>
  <c r="E4294" i="1"/>
  <c r="F4294" i="1"/>
  <c r="G4294" i="1"/>
  <c r="H4294" i="1"/>
  <c r="I4294" i="1"/>
  <c r="J4294" i="1"/>
  <c r="K4294" i="1"/>
  <c r="L4294" i="1"/>
  <c r="A4295" i="1"/>
  <c r="B4295" i="1"/>
  <c r="C4295" i="1"/>
  <c r="D4295" i="1"/>
  <c r="E4295" i="1"/>
  <c r="F4295" i="1"/>
  <c r="G4295" i="1"/>
  <c r="H4295" i="1"/>
  <c r="I4295" i="1"/>
  <c r="J4295" i="1"/>
  <c r="K4295" i="1"/>
  <c r="L4295" i="1"/>
  <c r="A4296" i="1"/>
  <c r="B4296" i="1"/>
  <c r="C4296" i="1"/>
  <c r="D4296" i="1"/>
  <c r="E4296" i="1"/>
  <c r="F4296" i="1"/>
  <c r="G4296" i="1"/>
  <c r="H4296" i="1"/>
  <c r="I4296" i="1"/>
  <c r="J4296" i="1"/>
  <c r="K4296" i="1"/>
  <c r="L4296" i="1"/>
  <c r="A4297" i="1"/>
  <c r="B4297" i="1"/>
  <c r="C4297" i="1"/>
  <c r="D4297" i="1"/>
  <c r="E4297" i="1"/>
  <c r="F4297" i="1"/>
  <c r="G4297" i="1"/>
  <c r="H4297" i="1"/>
  <c r="I4297" i="1"/>
  <c r="J4297" i="1"/>
  <c r="K4297" i="1"/>
  <c r="L4297" i="1"/>
  <c r="A4298" i="1"/>
  <c r="B4298" i="1"/>
  <c r="C4298" i="1"/>
  <c r="D4298" i="1"/>
  <c r="E4298" i="1"/>
  <c r="F4298" i="1"/>
  <c r="G4298" i="1"/>
  <c r="H4298" i="1"/>
  <c r="I4298" i="1"/>
  <c r="J4298" i="1"/>
  <c r="K4298" i="1"/>
  <c r="L4298" i="1"/>
  <c r="A4299" i="1"/>
  <c r="B4299" i="1"/>
  <c r="C4299" i="1"/>
  <c r="D4299" i="1"/>
  <c r="E4299" i="1"/>
  <c r="F4299" i="1"/>
  <c r="G4299" i="1"/>
  <c r="H4299" i="1"/>
  <c r="I4299" i="1"/>
  <c r="J4299" i="1"/>
  <c r="K4299" i="1"/>
  <c r="L4299" i="1"/>
  <c r="A4300" i="1"/>
  <c r="B4300" i="1"/>
  <c r="C4300" i="1"/>
  <c r="D4300" i="1"/>
  <c r="E4300" i="1"/>
  <c r="F4300" i="1"/>
  <c r="G4300" i="1"/>
  <c r="H4300" i="1"/>
  <c r="I4300" i="1"/>
  <c r="J4300" i="1"/>
  <c r="K4300" i="1"/>
  <c r="L4300" i="1"/>
  <c r="A4301" i="1"/>
  <c r="B4301" i="1"/>
  <c r="C4301" i="1"/>
  <c r="D4301" i="1"/>
  <c r="E4301" i="1"/>
  <c r="F4301" i="1"/>
  <c r="G4301" i="1"/>
  <c r="H4301" i="1"/>
  <c r="I4301" i="1"/>
  <c r="J4301" i="1"/>
  <c r="K4301" i="1"/>
  <c r="L4301" i="1"/>
  <c r="A4302" i="1"/>
  <c r="B4302" i="1"/>
  <c r="C4302" i="1"/>
  <c r="D4302" i="1"/>
  <c r="E4302" i="1"/>
  <c r="F4302" i="1"/>
  <c r="G4302" i="1"/>
  <c r="H4302" i="1"/>
  <c r="I4302" i="1"/>
  <c r="J4302" i="1"/>
  <c r="K4302" i="1"/>
  <c r="L4302" i="1"/>
  <c r="A4303" i="1"/>
  <c r="B4303" i="1"/>
  <c r="C4303" i="1"/>
  <c r="D4303" i="1"/>
  <c r="E4303" i="1"/>
  <c r="F4303" i="1"/>
  <c r="G4303" i="1"/>
  <c r="H4303" i="1"/>
  <c r="I4303" i="1"/>
  <c r="J4303" i="1"/>
  <c r="K4303" i="1"/>
  <c r="L4303" i="1"/>
  <c r="A4304" i="1"/>
  <c r="B4304" i="1"/>
  <c r="C4304" i="1"/>
  <c r="D4304" i="1"/>
  <c r="E4304" i="1"/>
  <c r="F4304" i="1"/>
  <c r="G4304" i="1"/>
  <c r="H4304" i="1"/>
  <c r="I4304" i="1"/>
  <c r="J4304" i="1"/>
  <c r="K4304" i="1"/>
  <c r="L4304" i="1"/>
  <c r="A4305" i="1"/>
  <c r="B4305" i="1"/>
  <c r="C4305" i="1"/>
  <c r="D4305" i="1"/>
  <c r="E4305" i="1"/>
  <c r="F4305" i="1"/>
  <c r="G4305" i="1"/>
  <c r="H4305" i="1"/>
  <c r="I4305" i="1"/>
  <c r="J4305" i="1"/>
  <c r="K4305" i="1"/>
  <c r="L4305" i="1"/>
  <c r="A4306" i="1"/>
  <c r="B4306" i="1"/>
  <c r="C4306" i="1"/>
  <c r="D4306" i="1"/>
  <c r="E4306" i="1"/>
  <c r="F4306" i="1"/>
  <c r="G4306" i="1"/>
  <c r="H4306" i="1"/>
  <c r="I4306" i="1"/>
  <c r="J4306" i="1"/>
  <c r="K4306" i="1"/>
  <c r="L4306" i="1"/>
  <c r="A4307" i="1"/>
  <c r="B4307" i="1"/>
  <c r="C4307" i="1"/>
  <c r="D4307" i="1"/>
  <c r="E4307" i="1"/>
  <c r="F4307" i="1"/>
  <c r="G4307" i="1"/>
  <c r="H4307" i="1"/>
  <c r="I4307" i="1"/>
  <c r="J4307" i="1"/>
  <c r="K4307" i="1"/>
  <c r="L4307" i="1"/>
  <c r="A4308" i="1"/>
  <c r="B4308" i="1"/>
  <c r="C4308" i="1"/>
  <c r="D4308" i="1"/>
  <c r="E4308" i="1"/>
  <c r="F4308" i="1"/>
  <c r="G4308" i="1"/>
  <c r="H4308" i="1"/>
  <c r="I4308" i="1"/>
  <c r="J4308" i="1"/>
  <c r="K4308" i="1"/>
  <c r="L4308" i="1"/>
  <c r="A4309" i="1"/>
  <c r="B4309" i="1"/>
  <c r="C4309" i="1"/>
  <c r="D4309" i="1"/>
  <c r="E4309" i="1"/>
  <c r="F4309" i="1"/>
  <c r="G4309" i="1"/>
  <c r="H4309" i="1"/>
  <c r="I4309" i="1"/>
  <c r="J4309" i="1"/>
  <c r="K4309" i="1"/>
  <c r="L4309" i="1"/>
  <c r="A4310" i="1"/>
  <c r="B4310" i="1"/>
  <c r="C4310" i="1"/>
  <c r="D4310" i="1"/>
  <c r="E4310" i="1"/>
  <c r="F4310" i="1"/>
  <c r="G4310" i="1"/>
  <c r="H4310" i="1"/>
  <c r="I4310" i="1"/>
  <c r="J4310" i="1"/>
  <c r="K4310" i="1"/>
  <c r="L4310" i="1"/>
  <c r="A4311" i="1"/>
  <c r="B4311" i="1"/>
  <c r="C4311" i="1"/>
  <c r="D4311" i="1"/>
  <c r="E4311" i="1"/>
  <c r="F4311" i="1"/>
  <c r="G4311" i="1"/>
  <c r="H4311" i="1"/>
  <c r="I4311" i="1"/>
  <c r="J4311" i="1"/>
  <c r="K4311" i="1"/>
  <c r="L4311" i="1"/>
  <c r="A4312" i="1"/>
  <c r="B4312" i="1"/>
  <c r="C4312" i="1"/>
  <c r="D4312" i="1"/>
  <c r="E4312" i="1"/>
  <c r="F4312" i="1"/>
  <c r="G4312" i="1"/>
  <c r="H4312" i="1"/>
  <c r="I4312" i="1"/>
  <c r="J4312" i="1"/>
  <c r="K4312" i="1"/>
  <c r="L4312" i="1"/>
  <c r="A4313" i="1"/>
  <c r="B4313" i="1"/>
  <c r="C4313" i="1"/>
  <c r="D4313" i="1"/>
  <c r="E4313" i="1"/>
  <c r="F4313" i="1"/>
  <c r="G4313" i="1"/>
  <c r="H4313" i="1"/>
  <c r="I4313" i="1"/>
  <c r="J4313" i="1"/>
  <c r="K4313" i="1"/>
  <c r="L4313" i="1"/>
  <c r="A4314" i="1"/>
  <c r="B4314" i="1"/>
  <c r="C4314" i="1"/>
  <c r="D4314" i="1"/>
  <c r="E4314" i="1"/>
  <c r="F4314" i="1"/>
  <c r="G4314" i="1"/>
  <c r="H4314" i="1"/>
  <c r="I4314" i="1"/>
  <c r="J4314" i="1"/>
  <c r="K4314" i="1"/>
  <c r="L4314" i="1"/>
  <c r="A4315" i="1"/>
  <c r="B4315" i="1"/>
  <c r="C4315" i="1"/>
  <c r="D4315" i="1"/>
  <c r="E4315" i="1"/>
  <c r="F4315" i="1"/>
  <c r="G4315" i="1"/>
  <c r="H4315" i="1"/>
  <c r="I4315" i="1"/>
  <c r="J4315" i="1"/>
  <c r="K4315" i="1"/>
  <c r="L4315" i="1"/>
  <c r="A4316" i="1"/>
  <c r="B4316" i="1"/>
  <c r="C4316" i="1"/>
  <c r="D4316" i="1"/>
  <c r="E4316" i="1"/>
  <c r="F4316" i="1"/>
  <c r="G4316" i="1"/>
  <c r="H4316" i="1"/>
  <c r="I4316" i="1"/>
  <c r="J4316" i="1"/>
  <c r="K4316" i="1"/>
  <c r="L4316" i="1"/>
  <c r="A4317" i="1"/>
  <c r="B4317" i="1"/>
  <c r="C4317" i="1"/>
  <c r="D4317" i="1"/>
  <c r="E4317" i="1"/>
  <c r="F4317" i="1"/>
  <c r="G4317" i="1"/>
  <c r="H4317" i="1"/>
  <c r="I4317" i="1"/>
  <c r="J4317" i="1"/>
  <c r="K4317" i="1"/>
  <c r="L4317" i="1"/>
  <c r="A4318" i="1"/>
  <c r="B4318" i="1"/>
  <c r="C4318" i="1"/>
  <c r="D4318" i="1"/>
  <c r="E4318" i="1"/>
  <c r="F4318" i="1"/>
  <c r="G4318" i="1"/>
  <c r="H4318" i="1"/>
  <c r="I4318" i="1"/>
  <c r="J4318" i="1"/>
  <c r="K4318" i="1"/>
  <c r="L4318" i="1"/>
  <c r="A4319" i="1"/>
  <c r="B4319" i="1"/>
  <c r="C4319" i="1"/>
  <c r="D4319" i="1"/>
  <c r="E4319" i="1"/>
  <c r="F4319" i="1"/>
  <c r="G4319" i="1"/>
  <c r="H4319" i="1"/>
  <c r="I4319" i="1"/>
  <c r="J4319" i="1"/>
  <c r="K4319" i="1"/>
  <c r="L4319" i="1"/>
  <c r="A4320" i="1"/>
  <c r="B4320" i="1"/>
  <c r="C4320" i="1"/>
  <c r="D4320" i="1"/>
  <c r="E4320" i="1"/>
  <c r="F4320" i="1"/>
  <c r="G4320" i="1"/>
  <c r="H4320" i="1"/>
  <c r="I4320" i="1"/>
  <c r="J4320" i="1"/>
  <c r="K4320" i="1"/>
  <c r="L4320" i="1"/>
  <c r="A4321" i="1"/>
  <c r="B4321" i="1"/>
  <c r="C4321" i="1"/>
  <c r="D4321" i="1"/>
  <c r="E4321" i="1"/>
  <c r="F4321" i="1"/>
  <c r="G4321" i="1"/>
  <c r="H4321" i="1"/>
  <c r="I4321" i="1"/>
  <c r="J4321" i="1"/>
  <c r="K4321" i="1"/>
  <c r="L4321" i="1"/>
  <c r="A4322" i="1"/>
  <c r="B4322" i="1"/>
  <c r="C4322" i="1"/>
  <c r="D4322" i="1"/>
  <c r="E4322" i="1"/>
  <c r="F4322" i="1"/>
  <c r="G4322" i="1"/>
  <c r="H4322" i="1"/>
  <c r="I4322" i="1"/>
  <c r="J4322" i="1"/>
  <c r="K4322" i="1"/>
  <c r="L4322" i="1"/>
  <c r="A4323" i="1"/>
  <c r="B4323" i="1"/>
  <c r="C4323" i="1"/>
  <c r="D4323" i="1"/>
  <c r="E4323" i="1"/>
  <c r="F4323" i="1"/>
  <c r="G4323" i="1"/>
  <c r="H4323" i="1"/>
  <c r="I4323" i="1"/>
  <c r="J4323" i="1"/>
  <c r="K4323" i="1"/>
  <c r="L4323" i="1"/>
  <c r="A4324" i="1"/>
  <c r="B4324" i="1"/>
  <c r="C4324" i="1"/>
  <c r="D4324" i="1"/>
  <c r="E4324" i="1"/>
  <c r="F4324" i="1"/>
  <c r="G4324" i="1"/>
  <c r="H4324" i="1"/>
  <c r="I4324" i="1"/>
  <c r="J4324" i="1"/>
  <c r="K4324" i="1"/>
  <c r="L4324" i="1"/>
  <c r="A4325" i="1"/>
  <c r="B4325" i="1"/>
  <c r="C4325" i="1"/>
  <c r="D4325" i="1"/>
  <c r="E4325" i="1"/>
  <c r="F4325" i="1"/>
  <c r="G4325" i="1"/>
  <c r="H4325" i="1"/>
  <c r="I4325" i="1"/>
  <c r="J4325" i="1"/>
  <c r="K4325" i="1"/>
  <c r="L4325" i="1"/>
  <c r="A4326" i="1"/>
  <c r="B4326" i="1"/>
  <c r="C4326" i="1"/>
  <c r="D4326" i="1"/>
  <c r="E4326" i="1"/>
  <c r="F4326" i="1"/>
  <c r="G4326" i="1"/>
  <c r="H4326" i="1"/>
  <c r="I4326" i="1"/>
  <c r="J4326" i="1"/>
  <c r="K4326" i="1"/>
  <c r="L4326" i="1"/>
  <c r="A4327" i="1"/>
  <c r="B4327" i="1"/>
  <c r="C4327" i="1"/>
  <c r="D4327" i="1"/>
  <c r="E4327" i="1"/>
  <c r="F4327" i="1"/>
  <c r="G4327" i="1"/>
  <c r="H4327" i="1"/>
  <c r="I4327" i="1"/>
  <c r="J4327" i="1"/>
  <c r="K4327" i="1"/>
  <c r="L4327" i="1"/>
  <c r="A4328" i="1"/>
  <c r="B4328" i="1"/>
  <c r="C4328" i="1"/>
  <c r="D4328" i="1"/>
  <c r="E4328" i="1"/>
  <c r="F4328" i="1"/>
  <c r="G4328" i="1"/>
  <c r="H4328" i="1"/>
  <c r="I4328" i="1"/>
  <c r="J4328" i="1"/>
  <c r="K4328" i="1"/>
  <c r="L4328" i="1"/>
  <c r="A4329" i="1"/>
  <c r="B4329" i="1"/>
  <c r="C4329" i="1"/>
  <c r="D4329" i="1"/>
  <c r="E4329" i="1"/>
  <c r="F4329" i="1"/>
  <c r="G4329" i="1"/>
  <c r="H4329" i="1"/>
  <c r="I4329" i="1"/>
  <c r="J4329" i="1"/>
  <c r="K4329" i="1"/>
  <c r="L4329" i="1"/>
  <c r="A4330" i="1"/>
  <c r="B4330" i="1"/>
  <c r="C4330" i="1"/>
  <c r="D4330" i="1"/>
  <c r="E4330" i="1"/>
  <c r="F4330" i="1"/>
  <c r="G4330" i="1"/>
  <c r="H4330" i="1"/>
  <c r="I4330" i="1"/>
  <c r="J4330" i="1"/>
  <c r="K4330" i="1"/>
  <c r="L4330" i="1"/>
  <c r="A4331" i="1"/>
  <c r="B4331" i="1"/>
  <c r="C4331" i="1"/>
  <c r="D4331" i="1"/>
  <c r="E4331" i="1"/>
  <c r="F4331" i="1"/>
  <c r="G4331" i="1"/>
  <c r="H4331" i="1"/>
  <c r="I4331" i="1"/>
  <c r="J4331" i="1"/>
  <c r="K4331" i="1"/>
  <c r="L4331" i="1"/>
  <c r="A4332" i="1"/>
  <c r="B4332" i="1"/>
  <c r="C4332" i="1"/>
  <c r="D4332" i="1"/>
  <c r="E4332" i="1"/>
  <c r="F4332" i="1"/>
  <c r="G4332" i="1"/>
  <c r="H4332" i="1"/>
  <c r="I4332" i="1"/>
  <c r="J4332" i="1"/>
  <c r="K4332" i="1"/>
  <c r="L4332" i="1"/>
  <c r="A4333" i="1"/>
  <c r="B4333" i="1"/>
  <c r="C4333" i="1"/>
  <c r="D4333" i="1"/>
  <c r="E4333" i="1"/>
  <c r="F4333" i="1"/>
  <c r="G4333" i="1"/>
  <c r="H4333" i="1"/>
  <c r="I4333" i="1"/>
  <c r="J4333" i="1"/>
  <c r="K4333" i="1"/>
  <c r="L4333" i="1"/>
  <c r="A4334" i="1"/>
  <c r="B4334" i="1"/>
  <c r="C4334" i="1"/>
  <c r="D4334" i="1"/>
  <c r="E4334" i="1"/>
  <c r="F4334" i="1"/>
  <c r="G4334" i="1"/>
  <c r="H4334" i="1"/>
  <c r="I4334" i="1"/>
  <c r="J4334" i="1"/>
  <c r="K4334" i="1"/>
  <c r="L4334" i="1"/>
  <c r="A4335" i="1"/>
  <c r="B4335" i="1"/>
  <c r="C4335" i="1"/>
  <c r="D4335" i="1"/>
  <c r="E4335" i="1"/>
  <c r="F4335" i="1"/>
  <c r="G4335" i="1"/>
  <c r="H4335" i="1"/>
  <c r="I4335" i="1"/>
  <c r="J4335" i="1"/>
  <c r="K4335" i="1"/>
  <c r="L4335" i="1"/>
  <c r="A4336" i="1"/>
  <c r="B4336" i="1"/>
  <c r="C4336" i="1"/>
  <c r="D4336" i="1"/>
  <c r="E4336" i="1"/>
  <c r="F4336" i="1"/>
  <c r="G4336" i="1"/>
  <c r="H4336" i="1"/>
  <c r="I4336" i="1"/>
  <c r="J4336" i="1"/>
  <c r="K4336" i="1"/>
  <c r="L4336" i="1"/>
  <c r="A4337" i="1"/>
  <c r="B4337" i="1"/>
  <c r="C4337" i="1"/>
  <c r="D4337" i="1"/>
  <c r="E4337" i="1"/>
  <c r="F4337" i="1"/>
  <c r="G4337" i="1"/>
  <c r="H4337" i="1"/>
  <c r="I4337" i="1"/>
  <c r="J4337" i="1"/>
  <c r="K4337" i="1"/>
  <c r="L4337" i="1"/>
  <c r="A4338" i="1"/>
  <c r="B4338" i="1"/>
  <c r="C4338" i="1"/>
  <c r="D4338" i="1"/>
  <c r="E4338" i="1"/>
  <c r="F4338" i="1"/>
  <c r="G4338" i="1"/>
  <c r="H4338" i="1"/>
  <c r="I4338" i="1"/>
  <c r="J4338" i="1"/>
  <c r="K4338" i="1"/>
  <c r="L4338" i="1"/>
  <c r="A4339" i="1"/>
  <c r="B4339" i="1"/>
  <c r="C4339" i="1"/>
  <c r="D4339" i="1"/>
  <c r="E4339" i="1"/>
  <c r="F4339" i="1"/>
  <c r="G4339" i="1"/>
  <c r="H4339" i="1"/>
  <c r="I4339" i="1"/>
  <c r="J4339" i="1"/>
  <c r="K4339" i="1"/>
  <c r="L4339" i="1"/>
  <c r="A4340" i="1"/>
  <c r="B4340" i="1"/>
  <c r="C4340" i="1"/>
  <c r="D4340" i="1"/>
  <c r="E4340" i="1"/>
  <c r="F4340" i="1"/>
  <c r="G4340" i="1"/>
  <c r="H4340" i="1"/>
  <c r="I4340" i="1"/>
  <c r="J4340" i="1"/>
  <c r="K4340" i="1"/>
  <c r="L4340" i="1"/>
  <c r="A4341" i="1"/>
  <c r="B4341" i="1"/>
  <c r="C4341" i="1"/>
  <c r="D4341" i="1"/>
  <c r="E4341" i="1"/>
  <c r="F4341" i="1"/>
  <c r="G4341" i="1"/>
  <c r="H4341" i="1"/>
  <c r="I4341" i="1"/>
  <c r="J4341" i="1"/>
  <c r="K4341" i="1"/>
  <c r="L4341" i="1"/>
  <c r="A4342" i="1"/>
  <c r="B4342" i="1"/>
  <c r="C4342" i="1"/>
  <c r="D4342" i="1"/>
  <c r="E4342" i="1"/>
  <c r="F4342" i="1"/>
  <c r="G4342" i="1"/>
  <c r="H4342" i="1"/>
  <c r="I4342" i="1"/>
  <c r="J4342" i="1"/>
  <c r="K4342" i="1"/>
  <c r="L4342" i="1"/>
  <c r="A4343" i="1"/>
  <c r="B4343" i="1"/>
  <c r="C4343" i="1"/>
  <c r="D4343" i="1"/>
  <c r="E4343" i="1"/>
  <c r="F4343" i="1"/>
  <c r="G4343" i="1"/>
  <c r="H4343" i="1"/>
  <c r="I4343" i="1"/>
  <c r="J4343" i="1"/>
  <c r="K4343" i="1"/>
  <c r="L4343" i="1"/>
  <c r="A4344" i="1"/>
  <c r="B4344" i="1"/>
  <c r="C4344" i="1"/>
  <c r="D4344" i="1"/>
  <c r="E4344" i="1"/>
  <c r="F4344" i="1"/>
  <c r="G4344" i="1"/>
  <c r="H4344" i="1"/>
  <c r="I4344" i="1"/>
  <c r="J4344" i="1"/>
  <c r="K4344" i="1"/>
  <c r="L4344" i="1"/>
  <c r="A4345" i="1"/>
  <c r="B4345" i="1"/>
  <c r="C4345" i="1"/>
  <c r="D4345" i="1"/>
  <c r="E4345" i="1"/>
  <c r="F4345" i="1"/>
  <c r="G4345" i="1"/>
  <c r="H4345" i="1"/>
  <c r="I4345" i="1"/>
  <c r="J4345" i="1"/>
  <c r="K4345" i="1"/>
  <c r="L4345" i="1"/>
  <c r="A4346" i="1"/>
  <c r="B4346" i="1"/>
  <c r="C4346" i="1"/>
  <c r="D4346" i="1"/>
  <c r="E4346" i="1"/>
  <c r="F4346" i="1"/>
  <c r="G4346" i="1"/>
  <c r="H4346" i="1"/>
  <c r="I4346" i="1"/>
  <c r="J4346" i="1"/>
  <c r="K4346" i="1"/>
  <c r="L4346" i="1"/>
  <c r="A4347" i="1"/>
  <c r="B4347" i="1"/>
  <c r="C4347" i="1"/>
  <c r="D4347" i="1"/>
  <c r="E4347" i="1"/>
  <c r="F4347" i="1"/>
  <c r="G4347" i="1"/>
  <c r="H4347" i="1"/>
  <c r="I4347" i="1"/>
  <c r="J4347" i="1"/>
  <c r="K4347" i="1"/>
  <c r="L4347" i="1"/>
  <c r="A4348" i="1"/>
  <c r="B4348" i="1"/>
  <c r="C4348" i="1"/>
  <c r="D4348" i="1"/>
  <c r="E4348" i="1"/>
  <c r="F4348" i="1"/>
  <c r="G4348" i="1"/>
  <c r="H4348" i="1"/>
  <c r="I4348" i="1"/>
  <c r="J4348" i="1"/>
  <c r="K4348" i="1"/>
  <c r="L4348" i="1"/>
  <c r="A4349" i="1"/>
  <c r="B4349" i="1"/>
  <c r="C4349" i="1"/>
  <c r="D4349" i="1"/>
  <c r="E4349" i="1"/>
  <c r="F4349" i="1"/>
  <c r="G4349" i="1"/>
  <c r="H4349" i="1"/>
  <c r="I4349" i="1"/>
  <c r="J4349" i="1"/>
  <c r="K4349" i="1"/>
  <c r="L4349" i="1"/>
  <c r="A4350" i="1"/>
  <c r="B4350" i="1"/>
  <c r="C4350" i="1"/>
  <c r="D4350" i="1"/>
  <c r="E4350" i="1"/>
  <c r="F4350" i="1"/>
  <c r="G4350" i="1"/>
  <c r="H4350" i="1"/>
  <c r="I4350" i="1"/>
  <c r="J4350" i="1"/>
  <c r="K4350" i="1"/>
  <c r="L4350" i="1"/>
  <c r="A4351" i="1"/>
  <c r="B4351" i="1"/>
  <c r="C4351" i="1"/>
  <c r="D4351" i="1"/>
  <c r="E4351" i="1"/>
  <c r="F4351" i="1"/>
  <c r="G4351" i="1"/>
  <c r="H4351" i="1"/>
  <c r="I4351" i="1"/>
  <c r="J4351" i="1"/>
  <c r="K4351" i="1"/>
  <c r="L4351" i="1"/>
  <c r="A4352" i="1"/>
  <c r="B4352" i="1"/>
  <c r="C4352" i="1"/>
  <c r="D4352" i="1"/>
  <c r="E4352" i="1"/>
  <c r="F4352" i="1"/>
  <c r="G4352" i="1"/>
  <c r="H4352" i="1"/>
  <c r="I4352" i="1"/>
  <c r="J4352" i="1"/>
  <c r="K4352" i="1"/>
  <c r="L4352" i="1"/>
  <c r="A4353" i="1"/>
  <c r="B4353" i="1"/>
  <c r="C4353" i="1"/>
  <c r="D4353" i="1"/>
  <c r="E4353" i="1"/>
  <c r="F4353" i="1"/>
  <c r="G4353" i="1"/>
  <c r="H4353" i="1"/>
  <c r="I4353" i="1"/>
  <c r="J4353" i="1"/>
  <c r="K4353" i="1"/>
  <c r="L4353" i="1"/>
  <c r="A4354" i="1"/>
  <c r="B4354" i="1"/>
  <c r="C4354" i="1"/>
  <c r="D4354" i="1"/>
  <c r="E4354" i="1"/>
  <c r="F4354" i="1"/>
  <c r="G4354" i="1"/>
  <c r="H4354" i="1"/>
  <c r="I4354" i="1"/>
  <c r="J4354" i="1"/>
  <c r="K4354" i="1"/>
  <c r="L4354" i="1"/>
  <c r="A4355" i="1"/>
  <c r="B4355" i="1"/>
  <c r="C4355" i="1"/>
  <c r="D4355" i="1"/>
  <c r="E4355" i="1"/>
  <c r="F4355" i="1"/>
  <c r="G4355" i="1"/>
  <c r="H4355" i="1"/>
  <c r="I4355" i="1"/>
  <c r="J4355" i="1"/>
  <c r="K4355" i="1"/>
  <c r="L4355" i="1"/>
  <c r="A4356" i="1"/>
  <c r="B4356" i="1"/>
  <c r="C4356" i="1"/>
  <c r="D4356" i="1"/>
  <c r="E4356" i="1"/>
  <c r="F4356" i="1"/>
  <c r="G4356" i="1"/>
  <c r="H4356" i="1"/>
  <c r="I4356" i="1"/>
  <c r="J4356" i="1"/>
  <c r="K4356" i="1"/>
  <c r="L4356" i="1"/>
  <c r="A4357" i="1"/>
  <c r="B4357" i="1"/>
  <c r="C4357" i="1"/>
  <c r="D4357" i="1"/>
  <c r="E4357" i="1"/>
  <c r="F4357" i="1"/>
  <c r="G4357" i="1"/>
  <c r="H4357" i="1"/>
  <c r="I4357" i="1"/>
  <c r="J4357" i="1"/>
  <c r="K4357" i="1"/>
  <c r="L4357" i="1"/>
  <c r="A4358" i="1"/>
  <c r="B4358" i="1"/>
  <c r="C4358" i="1"/>
  <c r="D4358" i="1"/>
  <c r="E4358" i="1"/>
  <c r="F4358" i="1"/>
  <c r="G4358" i="1"/>
  <c r="H4358" i="1"/>
  <c r="I4358" i="1"/>
  <c r="J4358" i="1"/>
  <c r="K4358" i="1"/>
  <c r="L4358" i="1"/>
  <c r="A4359" i="1"/>
  <c r="B4359" i="1"/>
  <c r="C4359" i="1"/>
  <c r="D4359" i="1"/>
  <c r="E4359" i="1"/>
  <c r="F4359" i="1"/>
  <c r="G4359" i="1"/>
  <c r="H4359" i="1"/>
  <c r="I4359" i="1"/>
  <c r="J4359" i="1"/>
  <c r="K4359" i="1"/>
  <c r="L4359" i="1"/>
  <c r="A4360" i="1"/>
  <c r="B4360" i="1"/>
  <c r="C4360" i="1"/>
  <c r="D4360" i="1"/>
  <c r="E4360" i="1"/>
  <c r="F4360" i="1"/>
  <c r="G4360" i="1"/>
  <c r="H4360" i="1"/>
  <c r="I4360" i="1"/>
  <c r="J4360" i="1"/>
  <c r="K4360" i="1"/>
  <c r="L4360" i="1"/>
  <c r="A4361" i="1"/>
  <c r="B4361" i="1"/>
  <c r="C4361" i="1"/>
  <c r="D4361" i="1"/>
  <c r="E4361" i="1"/>
  <c r="F4361" i="1"/>
  <c r="G4361" i="1"/>
  <c r="H4361" i="1"/>
  <c r="I4361" i="1"/>
  <c r="J4361" i="1"/>
  <c r="K4361" i="1"/>
  <c r="L4361" i="1"/>
  <c r="A4362" i="1"/>
  <c r="B4362" i="1"/>
  <c r="C4362" i="1"/>
  <c r="D4362" i="1"/>
  <c r="E4362" i="1"/>
  <c r="F4362" i="1"/>
  <c r="G4362" i="1"/>
  <c r="H4362" i="1"/>
  <c r="I4362" i="1"/>
  <c r="J4362" i="1"/>
  <c r="K4362" i="1"/>
  <c r="L4362" i="1"/>
  <c r="A4363" i="1"/>
  <c r="B4363" i="1"/>
  <c r="C4363" i="1"/>
  <c r="D4363" i="1"/>
  <c r="E4363" i="1"/>
  <c r="F4363" i="1"/>
  <c r="G4363" i="1"/>
  <c r="H4363" i="1"/>
  <c r="I4363" i="1"/>
  <c r="J4363" i="1"/>
  <c r="K4363" i="1"/>
  <c r="L4363" i="1"/>
  <c r="A4364" i="1"/>
  <c r="B4364" i="1"/>
  <c r="C4364" i="1"/>
  <c r="D4364" i="1"/>
  <c r="E4364" i="1"/>
  <c r="F4364" i="1"/>
  <c r="G4364" i="1"/>
  <c r="H4364" i="1"/>
  <c r="I4364" i="1"/>
  <c r="J4364" i="1"/>
  <c r="K4364" i="1"/>
  <c r="L4364" i="1"/>
  <c r="A4365" i="1"/>
  <c r="B4365" i="1"/>
  <c r="C4365" i="1"/>
  <c r="D4365" i="1"/>
  <c r="E4365" i="1"/>
  <c r="F4365" i="1"/>
  <c r="G4365" i="1"/>
  <c r="H4365" i="1"/>
  <c r="I4365" i="1"/>
  <c r="J4365" i="1"/>
  <c r="K4365" i="1"/>
  <c r="L4365" i="1"/>
  <c r="A4366" i="1"/>
  <c r="B4366" i="1"/>
  <c r="C4366" i="1"/>
  <c r="D4366" i="1"/>
  <c r="E4366" i="1"/>
  <c r="F4366" i="1"/>
  <c r="G4366" i="1"/>
  <c r="H4366" i="1"/>
  <c r="I4366" i="1"/>
  <c r="J4366" i="1"/>
  <c r="K4366" i="1"/>
  <c r="L4366" i="1"/>
  <c r="A4367" i="1"/>
  <c r="B4367" i="1"/>
  <c r="C4367" i="1"/>
  <c r="D4367" i="1"/>
  <c r="E4367" i="1"/>
  <c r="F4367" i="1"/>
  <c r="G4367" i="1"/>
  <c r="H4367" i="1"/>
  <c r="I4367" i="1"/>
  <c r="J4367" i="1"/>
  <c r="K4367" i="1"/>
  <c r="L4367" i="1"/>
  <c r="A4368" i="1"/>
  <c r="B4368" i="1"/>
  <c r="C4368" i="1"/>
  <c r="D4368" i="1"/>
  <c r="E4368" i="1"/>
  <c r="F4368" i="1"/>
  <c r="G4368" i="1"/>
  <c r="H4368" i="1"/>
  <c r="I4368" i="1"/>
  <c r="J4368" i="1"/>
  <c r="K4368" i="1"/>
  <c r="L4368" i="1"/>
  <c r="A4369" i="1"/>
  <c r="B4369" i="1"/>
  <c r="C4369" i="1"/>
  <c r="D4369" i="1"/>
  <c r="E4369" i="1"/>
  <c r="F4369" i="1"/>
  <c r="G4369" i="1"/>
  <c r="H4369" i="1"/>
  <c r="I4369" i="1"/>
  <c r="J4369" i="1"/>
  <c r="K4369" i="1"/>
  <c r="L4369" i="1"/>
  <c r="A4370" i="1"/>
  <c r="B4370" i="1"/>
  <c r="C4370" i="1"/>
  <c r="D4370" i="1"/>
  <c r="E4370" i="1"/>
  <c r="F4370" i="1"/>
  <c r="G4370" i="1"/>
  <c r="H4370" i="1"/>
  <c r="I4370" i="1"/>
  <c r="J4370" i="1"/>
  <c r="K4370" i="1"/>
  <c r="L4370" i="1"/>
  <c r="A4371" i="1"/>
  <c r="B4371" i="1"/>
  <c r="C4371" i="1"/>
  <c r="D4371" i="1"/>
  <c r="E4371" i="1"/>
  <c r="F4371" i="1"/>
  <c r="G4371" i="1"/>
  <c r="H4371" i="1"/>
  <c r="I4371" i="1"/>
  <c r="J4371" i="1"/>
  <c r="K4371" i="1"/>
  <c r="L4371" i="1"/>
  <c r="A4372" i="1"/>
  <c r="B4372" i="1"/>
  <c r="C4372" i="1"/>
  <c r="D4372" i="1"/>
  <c r="E4372" i="1"/>
  <c r="F4372" i="1"/>
  <c r="G4372" i="1"/>
  <c r="H4372" i="1"/>
  <c r="I4372" i="1"/>
  <c r="J4372" i="1"/>
  <c r="K4372" i="1"/>
  <c r="L4372" i="1"/>
  <c r="A4373" i="1"/>
  <c r="B4373" i="1"/>
  <c r="C4373" i="1"/>
  <c r="D4373" i="1"/>
  <c r="E4373" i="1"/>
  <c r="F4373" i="1"/>
  <c r="G4373" i="1"/>
  <c r="H4373" i="1"/>
  <c r="I4373" i="1"/>
  <c r="J4373" i="1"/>
  <c r="K4373" i="1"/>
  <c r="L4373" i="1"/>
  <c r="A4374" i="1"/>
  <c r="B4374" i="1"/>
  <c r="C4374" i="1"/>
  <c r="D4374" i="1"/>
  <c r="E4374" i="1"/>
  <c r="F4374" i="1"/>
  <c r="G4374" i="1"/>
  <c r="H4374" i="1"/>
  <c r="I4374" i="1"/>
  <c r="J4374" i="1"/>
  <c r="K4374" i="1"/>
  <c r="L4374" i="1"/>
  <c r="A4375" i="1"/>
  <c r="B4375" i="1"/>
  <c r="C4375" i="1"/>
  <c r="D4375" i="1"/>
  <c r="E4375" i="1"/>
  <c r="F4375" i="1"/>
  <c r="G4375" i="1"/>
  <c r="H4375" i="1"/>
  <c r="I4375" i="1"/>
  <c r="J4375" i="1"/>
  <c r="K4375" i="1"/>
  <c r="L4375" i="1"/>
  <c r="A4376" i="1"/>
  <c r="B4376" i="1"/>
  <c r="C4376" i="1"/>
  <c r="D4376" i="1"/>
  <c r="E4376" i="1"/>
  <c r="F4376" i="1"/>
  <c r="G4376" i="1"/>
  <c r="H4376" i="1"/>
  <c r="I4376" i="1"/>
  <c r="J4376" i="1"/>
  <c r="K4376" i="1"/>
  <c r="L4376" i="1"/>
  <c r="A4377" i="1"/>
  <c r="B4377" i="1"/>
  <c r="C4377" i="1"/>
  <c r="D4377" i="1"/>
  <c r="E4377" i="1"/>
  <c r="F4377" i="1"/>
  <c r="G4377" i="1"/>
  <c r="H4377" i="1"/>
  <c r="I4377" i="1"/>
  <c r="J4377" i="1"/>
  <c r="K4377" i="1"/>
  <c r="L4377" i="1"/>
  <c r="A4378" i="1"/>
  <c r="B4378" i="1"/>
  <c r="C4378" i="1"/>
  <c r="D4378" i="1"/>
  <c r="E4378" i="1"/>
  <c r="F4378" i="1"/>
  <c r="G4378" i="1"/>
  <c r="H4378" i="1"/>
  <c r="I4378" i="1"/>
  <c r="J4378" i="1"/>
  <c r="K4378" i="1"/>
  <c r="L4378" i="1"/>
  <c r="A4379" i="1"/>
  <c r="B4379" i="1"/>
  <c r="C4379" i="1"/>
  <c r="D4379" i="1"/>
  <c r="E4379" i="1"/>
  <c r="F4379" i="1"/>
  <c r="G4379" i="1"/>
  <c r="H4379" i="1"/>
  <c r="I4379" i="1"/>
  <c r="J4379" i="1"/>
  <c r="K4379" i="1"/>
  <c r="L4379" i="1"/>
  <c r="A4380" i="1"/>
  <c r="B4380" i="1"/>
  <c r="C4380" i="1"/>
  <c r="D4380" i="1"/>
  <c r="E4380" i="1"/>
  <c r="F4380" i="1"/>
  <c r="G4380" i="1"/>
  <c r="H4380" i="1"/>
  <c r="I4380" i="1"/>
  <c r="J4380" i="1"/>
  <c r="K4380" i="1"/>
  <c r="L4380" i="1"/>
  <c r="A4381" i="1"/>
  <c r="B4381" i="1"/>
  <c r="C4381" i="1"/>
  <c r="D4381" i="1"/>
  <c r="E4381" i="1"/>
  <c r="F4381" i="1"/>
  <c r="G4381" i="1"/>
  <c r="H4381" i="1"/>
  <c r="I4381" i="1"/>
  <c r="J4381" i="1"/>
  <c r="K4381" i="1"/>
  <c r="L4381" i="1"/>
  <c r="A4382" i="1"/>
  <c r="B4382" i="1"/>
  <c r="C4382" i="1"/>
  <c r="D4382" i="1"/>
  <c r="E4382" i="1"/>
  <c r="F4382" i="1"/>
  <c r="G4382" i="1"/>
  <c r="H4382" i="1"/>
  <c r="I4382" i="1"/>
  <c r="J4382" i="1"/>
  <c r="K4382" i="1"/>
  <c r="L4382" i="1"/>
  <c r="A4383" i="1"/>
  <c r="B4383" i="1"/>
  <c r="C4383" i="1"/>
  <c r="D4383" i="1"/>
  <c r="E4383" i="1"/>
  <c r="F4383" i="1"/>
  <c r="G4383" i="1"/>
  <c r="H4383" i="1"/>
  <c r="I4383" i="1"/>
  <c r="J4383" i="1"/>
  <c r="K4383" i="1"/>
  <c r="L4383" i="1"/>
  <c r="A4384" i="1"/>
  <c r="B4384" i="1"/>
  <c r="C4384" i="1"/>
  <c r="D4384" i="1"/>
  <c r="E4384" i="1"/>
  <c r="F4384" i="1"/>
  <c r="G4384" i="1"/>
  <c r="H4384" i="1"/>
  <c r="I4384" i="1"/>
  <c r="J4384" i="1"/>
  <c r="K4384" i="1"/>
  <c r="L4384" i="1"/>
  <c r="A4385" i="1"/>
  <c r="B4385" i="1"/>
  <c r="C4385" i="1"/>
  <c r="D4385" i="1"/>
  <c r="E4385" i="1"/>
  <c r="F4385" i="1"/>
  <c r="G4385" i="1"/>
  <c r="H4385" i="1"/>
  <c r="I4385" i="1"/>
  <c r="J4385" i="1"/>
  <c r="K4385" i="1"/>
  <c r="L4385" i="1"/>
  <c r="A4386" i="1"/>
  <c r="B4386" i="1"/>
  <c r="C4386" i="1"/>
  <c r="D4386" i="1"/>
  <c r="E4386" i="1"/>
  <c r="F4386" i="1"/>
  <c r="G4386" i="1"/>
  <c r="H4386" i="1"/>
  <c r="I4386" i="1"/>
  <c r="J4386" i="1"/>
  <c r="K4386" i="1"/>
  <c r="L4386" i="1"/>
  <c r="A4387" i="1"/>
  <c r="B4387" i="1"/>
  <c r="C4387" i="1"/>
  <c r="D4387" i="1"/>
  <c r="E4387" i="1"/>
  <c r="F4387" i="1"/>
  <c r="G4387" i="1"/>
  <c r="H4387" i="1"/>
  <c r="I4387" i="1"/>
  <c r="J4387" i="1"/>
  <c r="K4387" i="1"/>
  <c r="L4387" i="1"/>
  <c r="A4388" i="1"/>
  <c r="B4388" i="1"/>
  <c r="C4388" i="1"/>
  <c r="D4388" i="1"/>
  <c r="E4388" i="1"/>
  <c r="F4388" i="1"/>
  <c r="G4388" i="1"/>
  <c r="H4388" i="1"/>
  <c r="I4388" i="1"/>
  <c r="J4388" i="1"/>
  <c r="K4388" i="1"/>
  <c r="L4388" i="1"/>
  <c r="A4389" i="1"/>
  <c r="B4389" i="1"/>
  <c r="C4389" i="1"/>
  <c r="D4389" i="1"/>
  <c r="E4389" i="1"/>
  <c r="F4389" i="1"/>
  <c r="G4389" i="1"/>
  <c r="H4389" i="1"/>
  <c r="I4389" i="1"/>
  <c r="J4389" i="1"/>
  <c r="K4389" i="1"/>
  <c r="L4389" i="1"/>
  <c r="A4390" i="1"/>
  <c r="B4390" i="1"/>
  <c r="C4390" i="1"/>
  <c r="D4390" i="1"/>
  <c r="E4390" i="1"/>
  <c r="F4390" i="1"/>
  <c r="G4390" i="1"/>
  <c r="H4390" i="1"/>
  <c r="I4390" i="1"/>
  <c r="J4390" i="1"/>
  <c r="K4390" i="1"/>
  <c r="L4390" i="1"/>
  <c r="A4391" i="1"/>
  <c r="B4391" i="1"/>
  <c r="C4391" i="1"/>
  <c r="D4391" i="1"/>
  <c r="E4391" i="1"/>
  <c r="F4391" i="1"/>
  <c r="G4391" i="1"/>
  <c r="H4391" i="1"/>
  <c r="I4391" i="1"/>
  <c r="J4391" i="1"/>
  <c r="K4391" i="1"/>
  <c r="L4391" i="1"/>
  <c r="A4392" i="1"/>
  <c r="B4392" i="1"/>
  <c r="C4392" i="1"/>
  <c r="D4392" i="1"/>
  <c r="E4392" i="1"/>
  <c r="F4392" i="1"/>
  <c r="G4392" i="1"/>
  <c r="H4392" i="1"/>
  <c r="I4392" i="1"/>
  <c r="J4392" i="1"/>
  <c r="K4392" i="1"/>
  <c r="L4392" i="1"/>
  <c r="A4393" i="1"/>
  <c r="B4393" i="1"/>
  <c r="C4393" i="1"/>
  <c r="D4393" i="1"/>
  <c r="E4393" i="1"/>
  <c r="F4393" i="1"/>
  <c r="G4393" i="1"/>
  <c r="H4393" i="1"/>
  <c r="I4393" i="1"/>
  <c r="J4393" i="1"/>
  <c r="K4393" i="1"/>
  <c r="L4393" i="1"/>
  <c r="A4394" i="1"/>
  <c r="B4394" i="1"/>
  <c r="C4394" i="1"/>
  <c r="D4394" i="1"/>
  <c r="E4394" i="1"/>
  <c r="F4394" i="1"/>
  <c r="G4394" i="1"/>
  <c r="H4394" i="1"/>
  <c r="I4394" i="1"/>
  <c r="J4394" i="1"/>
  <c r="K4394" i="1"/>
  <c r="L4394" i="1"/>
  <c r="A4395" i="1"/>
  <c r="B4395" i="1"/>
  <c r="C4395" i="1"/>
  <c r="D4395" i="1"/>
  <c r="E4395" i="1"/>
  <c r="F4395" i="1"/>
  <c r="G4395" i="1"/>
  <c r="H4395" i="1"/>
  <c r="I4395" i="1"/>
  <c r="J4395" i="1"/>
  <c r="K4395" i="1"/>
  <c r="L4395" i="1"/>
  <c r="A4396" i="1"/>
  <c r="B4396" i="1"/>
  <c r="C4396" i="1"/>
  <c r="D4396" i="1"/>
  <c r="E4396" i="1"/>
  <c r="F4396" i="1"/>
  <c r="G4396" i="1"/>
  <c r="H4396" i="1"/>
  <c r="I4396" i="1"/>
  <c r="J4396" i="1"/>
  <c r="K4396" i="1"/>
  <c r="L4396" i="1"/>
  <c r="A4397" i="1"/>
  <c r="B4397" i="1"/>
  <c r="C4397" i="1"/>
  <c r="D4397" i="1"/>
  <c r="E4397" i="1"/>
  <c r="F4397" i="1"/>
  <c r="G4397" i="1"/>
  <c r="H4397" i="1"/>
  <c r="I4397" i="1"/>
  <c r="J4397" i="1"/>
  <c r="K4397" i="1"/>
  <c r="L4397" i="1"/>
  <c r="A4398" i="1"/>
  <c r="B4398" i="1"/>
  <c r="C4398" i="1"/>
  <c r="D4398" i="1"/>
  <c r="E4398" i="1"/>
  <c r="F4398" i="1"/>
  <c r="G4398" i="1"/>
  <c r="H4398" i="1"/>
  <c r="I4398" i="1"/>
  <c r="J4398" i="1"/>
  <c r="K4398" i="1"/>
  <c r="L4398" i="1"/>
  <c r="A4399" i="1"/>
  <c r="B4399" i="1"/>
  <c r="C4399" i="1"/>
  <c r="D4399" i="1"/>
  <c r="E4399" i="1"/>
  <c r="F4399" i="1"/>
  <c r="G4399" i="1"/>
  <c r="H4399" i="1"/>
  <c r="I4399" i="1"/>
  <c r="J4399" i="1"/>
  <c r="K4399" i="1"/>
  <c r="L4399" i="1"/>
  <c r="A4400" i="1"/>
  <c r="B4400" i="1"/>
  <c r="C4400" i="1"/>
  <c r="D4400" i="1"/>
  <c r="E4400" i="1"/>
  <c r="F4400" i="1"/>
  <c r="G4400" i="1"/>
  <c r="H4400" i="1"/>
  <c r="I4400" i="1"/>
  <c r="J4400" i="1"/>
  <c r="K4400" i="1"/>
  <c r="L4400" i="1"/>
  <c r="A4401" i="1"/>
  <c r="B4401" i="1"/>
  <c r="C4401" i="1"/>
  <c r="D4401" i="1"/>
  <c r="E4401" i="1"/>
  <c r="F4401" i="1"/>
  <c r="G4401" i="1"/>
  <c r="H4401" i="1"/>
  <c r="I4401" i="1"/>
  <c r="J4401" i="1"/>
  <c r="K4401" i="1"/>
  <c r="L4401" i="1"/>
  <c r="A4402" i="1"/>
  <c r="B4402" i="1"/>
  <c r="C4402" i="1"/>
  <c r="D4402" i="1"/>
  <c r="E4402" i="1"/>
  <c r="F4402" i="1"/>
  <c r="G4402" i="1"/>
  <c r="H4402" i="1"/>
  <c r="I4402" i="1"/>
  <c r="J4402" i="1"/>
  <c r="K4402" i="1"/>
  <c r="L4402" i="1"/>
  <c r="A4403" i="1"/>
  <c r="B4403" i="1"/>
  <c r="C4403" i="1"/>
  <c r="D4403" i="1"/>
  <c r="E4403" i="1"/>
  <c r="F4403" i="1"/>
  <c r="G4403" i="1"/>
  <c r="H4403" i="1"/>
  <c r="I4403" i="1"/>
  <c r="J4403" i="1"/>
  <c r="K4403" i="1"/>
  <c r="L4403" i="1"/>
  <c r="A4404" i="1"/>
  <c r="B4404" i="1"/>
  <c r="C4404" i="1"/>
  <c r="D4404" i="1"/>
  <c r="E4404" i="1"/>
  <c r="F4404" i="1"/>
  <c r="G4404" i="1"/>
  <c r="H4404" i="1"/>
  <c r="I4404" i="1"/>
  <c r="J4404" i="1"/>
  <c r="K4404" i="1"/>
  <c r="L4404" i="1"/>
  <c r="A4405" i="1"/>
  <c r="B4405" i="1"/>
  <c r="C4405" i="1"/>
  <c r="D4405" i="1"/>
  <c r="E4405" i="1"/>
  <c r="F4405" i="1"/>
  <c r="G4405" i="1"/>
  <c r="H4405" i="1"/>
  <c r="I4405" i="1"/>
  <c r="J4405" i="1"/>
  <c r="K4405" i="1"/>
  <c r="L4405" i="1"/>
  <c r="A4406" i="1"/>
  <c r="B4406" i="1"/>
  <c r="C4406" i="1"/>
  <c r="D4406" i="1"/>
  <c r="E4406" i="1"/>
  <c r="F4406" i="1"/>
  <c r="G4406" i="1"/>
  <c r="H4406" i="1"/>
  <c r="I4406" i="1"/>
  <c r="J4406" i="1"/>
  <c r="K4406" i="1"/>
  <c r="L4406" i="1"/>
  <c r="A4407" i="1"/>
  <c r="B4407" i="1"/>
  <c r="C4407" i="1"/>
  <c r="D4407" i="1"/>
  <c r="E4407" i="1"/>
  <c r="F4407" i="1"/>
  <c r="G4407" i="1"/>
  <c r="H4407" i="1"/>
  <c r="I4407" i="1"/>
  <c r="J4407" i="1"/>
  <c r="K4407" i="1"/>
  <c r="L4407" i="1"/>
  <c r="A4408" i="1"/>
  <c r="B4408" i="1"/>
  <c r="C4408" i="1"/>
  <c r="D4408" i="1"/>
  <c r="E4408" i="1"/>
  <c r="F4408" i="1"/>
  <c r="G4408" i="1"/>
  <c r="H4408" i="1"/>
  <c r="I4408" i="1"/>
  <c r="J4408" i="1"/>
  <c r="K4408" i="1"/>
  <c r="L4408" i="1"/>
  <c r="A4409" i="1"/>
  <c r="B4409" i="1"/>
  <c r="C4409" i="1"/>
  <c r="D4409" i="1"/>
  <c r="E4409" i="1"/>
  <c r="F4409" i="1"/>
  <c r="G4409" i="1"/>
  <c r="H4409" i="1"/>
  <c r="I4409" i="1"/>
  <c r="J4409" i="1"/>
  <c r="K4409" i="1"/>
  <c r="L4409" i="1"/>
  <c r="A4410" i="1"/>
  <c r="B4410" i="1"/>
  <c r="C4410" i="1"/>
  <c r="D4410" i="1"/>
  <c r="E4410" i="1"/>
  <c r="F4410" i="1"/>
  <c r="G4410" i="1"/>
  <c r="H4410" i="1"/>
  <c r="I4410" i="1"/>
  <c r="J4410" i="1"/>
  <c r="K4410" i="1"/>
  <c r="L4410" i="1"/>
  <c r="A4411" i="1"/>
  <c r="B4411" i="1"/>
  <c r="C4411" i="1"/>
  <c r="D4411" i="1"/>
  <c r="E4411" i="1"/>
  <c r="F4411" i="1"/>
  <c r="G4411" i="1"/>
  <c r="H4411" i="1"/>
  <c r="I4411" i="1"/>
  <c r="J4411" i="1"/>
  <c r="K4411" i="1"/>
  <c r="L4411" i="1"/>
  <c r="A4412" i="1"/>
  <c r="B4412" i="1"/>
  <c r="C4412" i="1"/>
  <c r="D4412" i="1"/>
  <c r="E4412" i="1"/>
  <c r="F4412" i="1"/>
  <c r="G4412" i="1"/>
  <c r="H4412" i="1"/>
  <c r="I4412" i="1"/>
  <c r="J4412" i="1"/>
  <c r="K4412" i="1"/>
  <c r="L4412" i="1"/>
  <c r="A4413" i="1"/>
  <c r="B4413" i="1"/>
  <c r="C4413" i="1"/>
  <c r="D4413" i="1"/>
  <c r="E4413" i="1"/>
  <c r="F4413" i="1"/>
  <c r="G4413" i="1"/>
  <c r="H4413" i="1"/>
  <c r="I4413" i="1"/>
  <c r="J4413" i="1"/>
  <c r="K4413" i="1"/>
  <c r="L4413" i="1"/>
  <c r="A4414" i="1"/>
  <c r="B4414" i="1"/>
  <c r="C4414" i="1"/>
  <c r="D4414" i="1"/>
  <c r="E4414" i="1"/>
  <c r="F4414" i="1"/>
  <c r="G4414" i="1"/>
  <c r="H4414" i="1"/>
  <c r="I4414" i="1"/>
  <c r="J4414" i="1"/>
  <c r="K4414" i="1"/>
  <c r="L4414" i="1"/>
  <c r="A4415" i="1"/>
  <c r="B4415" i="1"/>
  <c r="C4415" i="1"/>
  <c r="D4415" i="1"/>
  <c r="E4415" i="1"/>
  <c r="F4415" i="1"/>
  <c r="G4415" i="1"/>
  <c r="H4415" i="1"/>
  <c r="I4415" i="1"/>
  <c r="J4415" i="1"/>
  <c r="K4415" i="1"/>
  <c r="L4415" i="1"/>
  <c r="A4416" i="1"/>
  <c r="B4416" i="1"/>
  <c r="C4416" i="1"/>
  <c r="D4416" i="1"/>
  <c r="E4416" i="1"/>
  <c r="F4416" i="1"/>
  <c r="G4416" i="1"/>
  <c r="H4416" i="1"/>
  <c r="I4416" i="1"/>
  <c r="J4416" i="1"/>
  <c r="K4416" i="1"/>
  <c r="L4416" i="1"/>
  <c r="A4417" i="1"/>
  <c r="B4417" i="1"/>
  <c r="C4417" i="1"/>
  <c r="D4417" i="1"/>
  <c r="E4417" i="1"/>
  <c r="F4417" i="1"/>
  <c r="G4417" i="1"/>
  <c r="H4417" i="1"/>
  <c r="I4417" i="1"/>
  <c r="J4417" i="1"/>
  <c r="K4417" i="1"/>
  <c r="L4417" i="1"/>
  <c r="A4418" i="1"/>
  <c r="B4418" i="1"/>
  <c r="C4418" i="1"/>
  <c r="D4418" i="1"/>
  <c r="E4418" i="1"/>
  <c r="F4418" i="1"/>
  <c r="G4418" i="1"/>
  <c r="H4418" i="1"/>
  <c r="I4418" i="1"/>
  <c r="J4418" i="1"/>
  <c r="K4418" i="1"/>
  <c r="L4418" i="1"/>
  <c r="A4419" i="1"/>
  <c r="B4419" i="1"/>
  <c r="C4419" i="1"/>
  <c r="D4419" i="1"/>
  <c r="E4419" i="1"/>
  <c r="F4419" i="1"/>
  <c r="G4419" i="1"/>
  <c r="H4419" i="1"/>
  <c r="I4419" i="1"/>
  <c r="J4419" i="1"/>
  <c r="K4419" i="1"/>
  <c r="L4419" i="1"/>
  <c r="A4420" i="1"/>
  <c r="B4420" i="1"/>
  <c r="C4420" i="1"/>
  <c r="D4420" i="1"/>
  <c r="E4420" i="1"/>
  <c r="F4420" i="1"/>
  <c r="G4420" i="1"/>
  <c r="H4420" i="1"/>
  <c r="I4420" i="1"/>
  <c r="J4420" i="1"/>
  <c r="K4420" i="1"/>
  <c r="L4420" i="1"/>
  <c r="A4421" i="1"/>
  <c r="B4421" i="1"/>
  <c r="C4421" i="1"/>
  <c r="D4421" i="1"/>
  <c r="E4421" i="1"/>
  <c r="F4421" i="1"/>
  <c r="G4421" i="1"/>
  <c r="H4421" i="1"/>
  <c r="I4421" i="1"/>
  <c r="J4421" i="1"/>
  <c r="K4421" i="1"/>
  <c r="L4421" i="1"/>
  <c r="A4422" i="1"/>
  <c r="B4422" i="1"/>
  <c r="C4422" i="1"/>
  <c r="D4422" i="1"/>
  <c r="E4422" i="1"/>
  <c r="F4422" i="1"/>
  <c r="G4422" i="1"/>
  <c r="H4422" i="1"/>
  <c r="I4422" i="1"/>
  <c r="J4422" i="1"/>
  <c r="K4422" i="1"/>
  <c r="L4422" i="1"/>
  <c r="A4423" i="1"/>
  <c r="B4423" i="1"/>
  <c r="C4423" i="1"/>
  <c r="D4423" i="1"/>
  <c r="E4423" i="1"/>
  <c r="F4423" i="1"/>
  <c r="G4423" i="1"/>
  <c r="H4423" i="1"/>
  <c r="I4423" i="1"/>
  <c r="J4423" i="1"/>
  <c r="K4423" i="1"/>
  <c r="L4423" i="1"/>
  <c r="A4424" i="1"/>
  <c r="B4424" i="1"/>
  <c r="C4424" i="1"/>
  <c r="D4424" i="1"/>
  <c r="E4424" i="1"/>
  <c r="F4424" i="1"/>
  <c r="G4424" i="1"/>
  <c r="H4424" i="1"/>
  <c r="I4424" i="1"/>
  <c r="J4424" i="1"/>
  <c r="K4424" i="1"/>
  <c r="L4424" i="1"/>
  <c r="A4425" i="1"/>
  <c r="B4425" i="1"/>
  <c r="C4425" i="1"/>
  <c r="D4425" i="1"/>
  <c r="E4425" i="1"/>
  <c r="F4425" i="1"/>
  <c r="G4425" i="1"/>
  <c r="H4425" i="1"/>
  <c r="I4425" i="1"/>
  <c r="J4425" i="1"/>
  <c r="K4425" i="1"/>
  <c r="L4425" i="1"/>
  <c r="A4426" i="1"/>
  <c r="B4426" i="1"/>
  <c r="C4426" i="1"/>
  <c r="D4426" i="1"/>
  <c r="E4426" i="1"/>
  <c r="F4426" i="1"/>
  <c r="G4426" i="1"/>
  <c r="H4426" i="1"/>
  <c r="I4426" i="1"/>
  <c r="J4426" i="1"/>
  <c r="K4426" i="1"/>
  <c r="L4426" i="1"/>
  <c r="A4427" i="1"/>
  <c r="B4427" i="1"/>
  <c r="C4427" i="1"/>
  <c r="D4427" i="1"/>
  <c r="E4427" i="1"/>
  <c r="F4427" i="1"/>
  <c r="G4427" i="1"/>
  <c r="H4427" i="1"/>
  <c r="I4427" i="1"/>
  <c r="J4427" i="1"/>
  <c r="K4427" i="1"/>
  <c r="L4427" i="1"/>
  <c r="A4428" i="1"/>
  <c r="B4428" i="1"/>
  <c r="C4428" i="1"/>
  <c r="D4428" i="1"/>
  <c r="E4428" i="1"/>
  <c r="F4428" i="1"/>
  <c r="G4428" i="1"/>
  <c r="H4428" i="1"/>
  <c r="I4428" i="1"/>
  <c r="J4428" i="1"/>
  <c r="K4428" i="1"/>
  <c r="L4428" i="1"/>
  <c r="A4429" i="1"/>
  <c r="B4429" i="1"/>
  <c r="C4429" i="1"/>
  <c r="D4429" i="1"/>
  <c r="E4429" i="1"/>
  <c r="F4429" i="1"/>
  <c r="G4429" i="1"/>
  <c r="H4429" i="1"/>
  <c r="I4429" i="1"/>
  <c r="J4429" i="1"/>
  <c r="K4429" i="1"/>
  <c r="L4429" i="1"/>
  <c r="A4430" i="1"/>
  <c r="B4430" i="1"/>
  <c r="C4430" i="1"/>
  <c r="D4430" i="1"/>
  <c r="E4430" i="1"/>
  <c r="F4430" i="1"/>
  <c r="G4430" i="1"/>
  <c r="H4430" i="1"/>
  <c r="I4430" i="1"/>
  <c r="J4430" i="1"/>
  <c r="K4430" i="1"/>
  <c r="L4430" i="1"/>
  <c r="A4431" i="1"/>
  <c r="B4431" i="1"/>
  <c r="C4431" i="1"/>
  <c r="D4431" i="1"/>
  <c r="E4431" i="1"/>
  <c r="F4431" i="1"/>
  <c r="G4431" i="1"/>
  <c r="H4431" i="1"/>
  <c r="I4431" i="1"/>
  <c r="J4431" i="1"/>
  <c r="K4431" i="1"/>
  <c r="L4431" i="1"/>
  <c r="A4432" i="1"/>
  <c r="B4432" i="1"/>
  <c r="C4432" i="1"/>
  <c r="D4432" i="1"/>
  <c r="E4432" i="1"/>
  <c r="F4432" i="1"/>
  <c r="G4432" i="1"/>
  <c r="H4432" i="1"/>
  <c r="I4432" i="1"/>
  <c r="J4432" i="1"/>
  <c r="K4432" i="1"/>
  <c r="L4432" i="1"/>
  <c r="A4433" i="1"/>
  <c r="B4433" i="1"/>
  <c r="C4433" i="1"/>
  <c r="D4433" i="1"/>
  <c r="E4433" i="1"/>
  <c r="F4433" i="1"/>
  <c r="G4433" i="1"/>
  <c r="H4433" i="1"/>
  <c r="I4433" i="1"/>
  <c r="J4433" i="1"/>
  <c r="K4433" i="1"/>
  <c r="L4433" i="1"/>
  <c r="A4434" i="1"/>
  <c r="B4434" i="1"/>
  <c r="C4434" i="1"/>
  <c r="D4434" i="1"/>
  <c r="E4434" i="1"/>
  <c r="F4434" i="1"/>
  <c r="G4434" i="1"/>
  <c r="H4434" i="1"/>
  <c r="I4434" i="1"/>
  <c r="J4434" i="1"/>
  <c r="K4434" i="1"/>
  <c r="L4434" i="1"/>
  <c r="A4435" i="1"/>
  <c r="B4435" i="1"/>
  <c r="C4435" i="1"/>
  <c r="D4435" i="1"/>
  <c r="E4435" i="1"/>
  <c r="F4435" i="1"/>
  <c r="G4435" i="1"/>
  <c r="H4435" i="1"/>
  <c r="I4435" i="1"/>
  <c r="J4435" i="1"/>
  <c r="K4435" i="1"/>
  <c r="L4435" i="1"/>
  <c r="A4436" i="1"/>
  <c r="B4436" i="1"/>
  <c r="C4436" i="1"/>
  <c r="D4436" i="1"/>
  <c r="E4436" i="1"/>
  <c r="F4436" i="1"/>
  <c r="G4436" i="1"/>
  <c r="H4436" i="1"/>
  <c r="I4436" i="1"/>
  <c r="J4436" i="1"/>
  <c r="K4436" i="1"/>
  <c r="L4436" i="1"/>
  <c r="A4437" i="1"/>
  <c r="B4437" i="1"/>
  <c r="C4437" i="1"/>
  <c r="D4437" i="1"/>
  <c r="E4437" i="1"/>
  <c r="F4437" i="1"/>
  <c r="G4437" i="1"/>
  <c r="H4437" i="1"/>
  <c r="I4437" i="1"/>
  <c r="J4437" i="1"/>
  <c r="K4437" i="1"/>
  <c r="L4437" i="1"/>
  <c r="A4438" i="1"/>
  <c r="B4438" i="1"/>
  <c r="C4438" i="1"/>
  <c r="D4438" i="1"/>
  <c r="E4438" i="1"/>
  <c r="F4438" i="1"/>
  <c r="G4438" i="1"/>
  <c r="H4438" i="1"/>
  <c r="I4438" i="1"/>
  <c r="J4438" i="1"/>
  <c r="K4438" i="1"/>
  <c r="L4438" i="1"/>
  <c r="A4439" i="1"/>
  <c r="B4439" i="1"/>
  <c r="C4439" i="1"/>
  <c r="D4439" i="1"/>
  <c r="E4439" i="1"/>
  <c r="F4439" i="1"/>
  <c r="G4439" i="1"/>
  <c r="H4439" i="1"/>
  <c r="I4439" i="1"/>
  <c r="J4439" i="1"/>
  <c r="K4439" i="1"/>
  <c r="L4439" i="1"/>
  <c r="A4440" i="1"/>
  <c r="B4440" i="1"/>
  <c r="C4440" i="1"/>
  <c r="D4440" i="1"/>
  <c r="E4440" i="1"/>
  <c r="F4440" i="1"/>
  <c r="G4440" i="1"/>
  <c r="H4440" i="1"/>
  <c r="I4440" i="1"/>
  <c r="J4440" i="1"/>
  <c r="K4440" i="1"/>
  <c r="L4440" i="1"/>
  <c r="A4441" i="1"/>
  <c r="B4441" i="1"/>
  <c r="C4441" i="1"/>
  <c r="D4441" i="1"/>
  <c r="E4441" i="1"/>
  <c r="F4441" i="1"/>
  <c r="G4441" i="1"/>
  <c r="H4441" i="1"/>
  <c r="I4441" i="1"/>
  <c r="J4441" i="1"/>
  <c r="K4441" i="1"/>
  <c r="L4441" i="1"/>
  <c r="A4442" i="1"/>
  <c r="B4442" i="1"/>
  <c r="C4442" i="1"/>
  <c r="D4442" i="1"/>
  <c r="E4442" i="1"/>
  <c r="F4442" i="1"/>
  <c r="G4442" i="1"/>
  <c r="H4442" i="1"/>
  <c r="I4442" i="1"/>
  <c r="J4442" i="1"/>
  <c r="K4442" i="1"/>
  <c r="L4442" i="1"/>
  <c r="A4443" i="1"/>
  <c r="B4443" i="1"/>
  <c r="C4443" i="1"/>
  <c r="D4443" i="1"/>
  <c r="E4443" i="1"/>
  <c r="F4443" i="1"/>
  <c r="G4443" i="1"/>
  <c r="H4443" i="1"/>
  <c r="I4443" i="1"/>
  <c r="J4443" i="1"/>
  <c r="K4443" i="1"/>
  <c r="L4443" i="1"/>
  <c r="A4444" i="1"/>
  <c r="B4444" i="1"/>
  <c r="C4444" i="1"/>
  <c r="D4444" i="1"/>
  <c r="E4444" i="1"/>
  <c r="F4444" i="1"/>
  <c r="G4444" i="1"/>
  <c r="H4444" i="1"/>
  <c r="I4444" i="1"/>
  <c r="J4444" i="1"/>
  <c r="K4444" i="1"/>
  <c r="L4444" i="1"/>
  <c r="A4445" i="1"/>
  <c r="B4445" i="1"/>
  <c r="C4445" i="1"/>
  <c r="D4445" i="1"/>
  <c r="E4445" i="1"/>
  <c r="F4445" i="1"/>
  <c r="G4445" i="1"/>
  <c r="H4445" i="1"/>
  <c r="I4445" i="1"/>
  <c r="J4445" i="1"/>
  <c r="K4445" i="1"/>
  <c r="L4445" i="1"/>
  <c r="A4446" i="1"/>
  <c r="B4446" i="1"/>
  <c r="C4446" i="1"/>
  <c r="D4446" i="1"/>
  <c r="E4446" i="1"/>
  <c r="F4446" i="1"/>
  <c r="G4446" i="1"/>
  <c r="H4446" i="1"/>
  <c r="I4446" i="1"/>
  <c r="J4446" i="1"/>
  <c r="K4446" i="1"/>
  <c r="L4446" i="1"/>
  <c r="A4447" i="1"/>
  <c r="B4447" i="1"/>
  <c r="C4447" i="1"/>
  <c r="D4447" i="1"/>
  <c r="E4447" i="1"/>
  <c r="F4447" i="1"/>
  <c r="G4447" i="1"/>
  <c r="H4447" i="1"/>
  <c r="I4447" i="1"/>
  <c r="J4447" i="1"/>
  <c r="K4447" i="1"/>
  <c r="L4447" i="1"/>
  <c r="A4448" i="1"/>
  <c r="B4448" i="1"/>
  <c r="C4448" i="1"/>
  <c r="D4448" i="1"/>
  <c r="E4448" i="1"/>
  <c r="F4448" i="1"/>
  <c r="G4448" i="1"/>
  <c r="H4448" i="1"/>
  <c r="I4448" i="1"/>
  <c r="J4448" i="1"/>
  <c r="K4448" i="1"/>
  <c r="L4448" i="1"/>
  <c r="A4449" i="1"/>
  <c r="B4449" i="1"/>
  <c r="C4449" i="1"/>
  <c r="D4449" i="1"/>
  <c r="E4449" i="1"/>
  <c r="F4449" i="1"/>
  <c r="G4449" i="1"/>
  <c r="H4449" i="1"/>
  <c r="I4449" i="1"/>
  <c r="J4449" i="1"/>
  <c r="K4449" i="1"/>
  <c r="L4449" i="1"/>
  <c r="A4450" i="1"/>
  <c r="B4450" i="1"/>
  <c r="C4450" i="1"/>
  <c r="D4450" i="1"/>
  <c r="E4450" i="1"/>
  <c r="F4450" i="1"/>
  <c r="G4450" i="1"/>
  <c r="H4450" i="1"/>
  <c r="I4450" i="1"/>
  <c r="J4450" i="1"/>
  <c r="K4450" i="1"/>
  <c r="L4450" i="1"/>
  <c r="A4451" i="1"/>
  <c r="B4451" i="1"/>
  <c r="C4451" i="1"/>
  <c r="D4451" i="1"/>
  <c r="E4451" i="1"/>
  <c r="F4451" i="1"/>
  <c r="G4451" i="1"/>
  <c r="H4451" i="1"/>
  <c r="I4451" i="1"/>
  <c r="J4451" i="1"/>
  <c r="K4451" i="1"/>
  <c r="L4451" i="1"/>
  <c r="A4452" i="1"/>
  <c r="B4452" i="1"/>
  <c r="C4452" i="1"/>
  <c r="D4452" i="1"/>
  <c r="E4452" i="1"/>
  <c r="F4452" i="1"/>
  <c r="G4452" i="1"/>
  <c r="H4452" i="1"/>
  <c r="I4452" i="1"/>
  <c r="J4452" i="1"/>
  <c r="K4452" i="1"/>
  <c r="L4452" i="1"/>
  <c r="A4453" i="1"/>
  <c r="B4453" i="1"/>
  <c r="C4453" i="1"/>
  <c r="D4453" i="1"/>
  <c r="E4453" i="1"/>
  <c r="F4453" i="1"/>
  <c r="G4453" i="1"/>
  <c r="H4453" i="1"/>
  <c r="I4453" i="1"/>
  <c r="J4453" i="1"/>
  <c r="K4453" i="1"/>
  <c r="L4453" i="1"/>
  <c r="A4454" i="1"/>
  <c r="B4454" i="1"/>
  <c r="C4454" i="1"/>
  <c r="D4454" i="1"/>
  <c r="E4454" i="1"/>
  <c r="F4454" i="1"/>
  <c r="G4454" i="1"/>
  <c r="H4454" i="1"/>
  <c r="I4454" i="1"/>
  <c r="J4454" i="1"/>
  <c r="K4454" i="1"/>
  <c r="L4454" i="1"/>
  <c r="A4455" i="1"/>
  <c r="B4455" i="1"/>
  <c r="C4455" i="1"/>
  <c r="D4455" i="1"/>
  <c r="E4455" i="1"/>
  <c r="F4455" i="1"/>
  <c r="G4455" i="1"/>
  <c r="H4455" i="1"/>
  <c r="I4455" i="1"/>
  <c r="J4455" i="1"/>
  <c r="K4455" i="1"/>
  <c r="L4455" i="1"/>
  <c r="A4456" i="1"/>
  <c r="B4456" i="1"/>
  <c r="C4456" i="1"/>
  <c r="D4456" i="1"/>
  <c r="E4456" i="1"/>
  <c r="F4456" i="1"/>
  <c r="G4456" i="1"/>
  <c r="H4456" i="1"/>
  <c r="I4456" i="1"/>
  <c r="J4456" i="1"/>
  <c r="K4456" i="1"/>
  <c r="L4456" i="1"/>
  <c r="A4457" i="1"/>
  <c r="B4457" i="1"/>
  <c r="C4457" i="1"/>
  <c r="D4457" i="1"/>
  <c r="E4457" i="1"/>
  <c r="F4457" i="1"/>
  <c r="G4457" i="1"/>
  <c r="H4457" i="1"/>
  <c r="I4457" i="1"/>
  <c r="J4457" i="1"/>
  <c r="K4457" i="1"/>
  <c r="L4457" i="1"/>
  <c r="A4458" i="1"/>
  <c r="B4458" i="1"/>
  <c r="C4458" i="1"/>
  <c r="D4458" i="1"/>
  <c r="E4458" i="1"/>
  <c r="F4458" i="1"/>
  <c r="G4458" i="1"/>
  <c r="H4458" i="1"/>
  <c r="I4458" i="1"/>
  <c r="J4458" i="1"/>
  <c r="K4458" i="1"/>
  <c r="L4458" i="1"/>
  <c r="A4459" i="1"/>
  <c r="B4459" i="1"/>
  <c r="C4459" i="1"/>
  <c r="D4459" i="1"/>
  <c r="E4459" i="1"/>
  <c r="F4459" i="1"/>
  <c r="G4459" i="1"/>
  <c r="H4459" i="1"/>
  <c r="I4459" i="1"/>
  <c r="J4459" i="1"/>
  <c r="K4459" i="1"/>
  <c r="L4459" i="1"/>
  <c r="A4460" i="1"/>
  <c r="B4460" i="1"/>
  <c r="C4460" i="1"/>
  <c r="D4460" i="1"/>
  <c r="E4460" i="1"/>
  <c r="F4460" i="1"/>
  <c r="G4460" i="1"/>
  <c r="H4460" i="1"/>
  <c r="I4460" i="1"/>
  <c r="J4460" i="1"/>
  <c r="K4460" i="1"/>
  <c r="L4460" i="1"/>
  <c r="A4461" i="1"/>
  <c r="B4461" i="1"/>
  <c r="C4461" i="1"/>
  <c r="D4461" i="1"/>
  <c r="E4461" i="1"/>
  <c r="F4461" i="1"/>
  <c r="G4461" i="1"/>
  <c r="H4461" i="1"/>
  <c r="I4461" i="1"/>
  <c r="J4461" i="1"/>
  <c r="K4461" i="1"/>
  <c r="L4461" i="1"/>
  <c r="A4462" i="1"/>
  <c r="B4462" i="1"/>
  <c r="C4462" i="1"/>
  <c r="D4462" i="1"/>
  <c r="E4462" i="1"/>
  <c r="F4462" i="1"/>
  <c r="G4462" i="1"/>
  <c r="H4462" i="1"/>
  <c r="I4462" i="1"/>
  <c r="J4462" i="1"/>
  <c r="K4462" i="1"/>
  <c r="L4462" i="1"/>
  <c r="A4463" i="1"/>
  <c r="B4463" i="1"/>
  <c r="C4463" i="1"/>
  <c r="D4463" i="1"/>
  <c r="E4463" i="1"/>
  <c r="F4463" i="1"/>
  <c r="G4463" i="1"/>
  <c r="H4463" i="1"/>
  <c r="I4463" i="1"/>
  <c r="J4463" i="1"/>
  <c r="K4463" i="1"/>
  <c r="L4463" i="1"/>
  <c r="A4464" i="1"/>
  <c r="B4464" i="1"/>
  <c r="C4464" i="1"/>
  <c r="D4464" i="1"/>
  <c r="E4464" i="1"/>
  <c r="F4464" i="1"/>
  <c r="G4464" i="1"/>
  <c r="H4464" i="1"/>
  <c r="I4464" i="1"/>
  <c r="J4464" i="1"/>
  <c r="K4464" i="1"/>
  <c r="L4464" i="1"/>
  <c r="A4465" i="1"/>
  <c r="B4465" i="1"/>
  <c r="C4465" i="1"/>
  <c r="D4465" i="1"/>
  <c r="E4465" i="1"/>
  <c r="F4465" i="1"/>
  <c r="G4465" i="1"/>
  <c r="H4465" i="1"/>
  <c r="I4465" i="1"/>
  <c r="J4465" i="1"/>
  <c r="K4465" i="1"/>
  <c r="L4465" i="1"/>
  <c r="A4466" i="1"/>
  <c r="B4466" i="1"/>
  <c r="C4466" i="1"/>
  <c r="D4466" i="1"/>
  <c r="E4466" i="1"/>
  <c r="F4466" i="1"/>
  <c r="G4466" i="1"/>
  <c r="H4466" i="1"/>
  <c r="I4466" i="1"/>
  <c r="J4466" i="1"/>
  <c r="K4466" i="1"/>
  <c r="L4466" i="1"/>
  <c r="A4467" i="1"/>
  <c r="B4467" i="1"/>
  <c r="C4467" i="1"/>
  <c r="D4467" i="1"/>
  <c r="E4467" i="1"/>
  <c r="F4467" i="1"/>
  <c r="G4467" i="1"/>
  <c r="H4467" i="1"/>
  <c r="I4467" i="1"/>
  <c r="J4467" i="1"/>
  <c r="K4467" i="1"/>
  <c r="L4467" i="1"/>
  <c r="A4468" i="1"/>
  <c r="B4468" i="1"/>
  <c r="C4468" i="1"/>
  <c r="D4468" i="1"/>
  <c r="E4468" i="1"/>
  <c r="F4468" i="1"/>
  <c r="G4468" i="1"/>
  <c r="H4468" i="1"/>
  <c r="I4468" i="1"/>
  <c r="J4468" i="1"/>
  <c r="K4468" i="1"/>
  <c r="L4468" i="1"/>
  <c r="A4469" i="1"/>
  <c r="B4469" i="1"/>
  <c r="C4469" i="1"/>
  <c r="D4469" i="1"/>
  <c r="E4469" i="1"/>
  <c r="F4469" i="1"/>
  <c r="G4469" i="1"/>
  <c r="H4469" i="1"/>
  <c r="I4469" i="1"/>
  <c r="J4469" i="1"/>
  <c r="K4469" i="1"/>
  <c r="L4469" i="1"/>
  <c r="A4470" i="1"/>
  <c r="B4470" i="1"/>
  <c r="C4470" i="1"/>
  <c r="D4470" i="1"/>
  <c r="E4470" i="1"/>
  <c r="F4470" i="1"/>
  <c r="G4470" i="1"/>
  <c r="H4470" i="1"/>
  <c r="I4470" i="1"/>
  <c r="J4470" i="1"/>
  <c r="K4470" i="1"/>
  <c r="L4470" i="1"/>
  <c r="A4471" i="1"/>
  <c r="B4471" i="1"/>
  <c r="C4471" i="1"/>
  <c r="D4471" i="1"/>
  <c r="E4471" i="1"/>
  <c r="F4471" i="1"/>
  <c r="G4471" i="1"/>
  <c r="H4471" i="1"/>
  <c r="I4471" i="1"/>
  <c r="J4471" i="1"/>
  <c r="K4471" i="1"/>
  <c r="L4471" i="1"/>
  <c r="A4472" i="1"/>
  <c r="B4472" i="1"/>
  <c r="C4472" i="1"/>
  <c r="D4472" i="1"/>
  <c r="E4472" i="1"/>
  <c r="F4472" i="1"/>
  <c r="G4472" i="1"/>
  <c r="H4472" i="1"/>
  <c r="I4472" i="1"/>
  <c r="J4472" i="1"/>
  <c r="K4472" i="1"/>
  <c r="L4472" i="1"/>
  <c r="A4473" i="1"/>
  <c r="B4473" i="1"/>
  <c r="C4473" i="1"/>
  <c r="D4473" i="1"/>
  <c r="E4473" i="1"/>
  <c r="F4473" i="1"/>
  <c r="G4473" i="1"/>
  <c r="H4473" i="1"/>
  <c r="I4473" i="1"/>
  <c r="J4473" i="1"/>
  <c r="K4473" i="1"/>
  <c r="L4473" i="1"/>
  <c r="A4474" i="1"/>
  <c r="B4474" i="1"/>
  <c r="C4474" i="1"/>
  <c r="D4474" i="1"/>
  <c r="E4474" i="1"/>
  <c r="F4474" i="1"/>
  <c r="G4474" i="1"/>
  <c r="H4474" i="1"/>
  <c r="I4474" i="1"/>
  <c r="J4474" i="1"/>
  <c r="K4474" i="1"/>
  <c r="L4474" i="1"/>
  <c r="A4475" i="1"/>
  <c r="B4475" i="1"/>
  <c r="C4475" i="1"/>
  <c r="D4475" i="1"/>
  <c r="E4475" i="1"/>
  <c r="F4475" i="1"/>
  <c r="G4475" i="1"/>
  <c r="H4475" i="1"/>
  <c r="I4475" i="1"/>
  <c r="J4475" i="1"/>
  <c r="K4475" i="1"/>
  <c r="L4475" i="1"/>
  <c r="A4476" i="1"/>
  <c r="B4476" i="1"/>
  <c r="C4476" i="1"/>
  <c r="D4476" i="1"/>
  <c r="E4476" i="1"/>
  <c r="F4476" i="1"/>
  <c r="G4476" i="1"/>
  <c r="H4476" i="1"/>
  <c r="I4476" i="1"/>
  <c r="J4476" i="1"/>
  <c r="K4476" i="1"/>
  <c r="L4476" i="1"/>
  <c r="A4477" i="1"/>
  <c r="B4477" i="1"/>
  <c r="C4477" i="1"/>
  <c r="D4477" i="1"/>
  <c r="E4477" i="1"/>
  <c r="F4477" i="1"/>
  <c r="G4477" i="1"/>
  <c r="H4477" i="1"/>
  <c r="I4477" i="1"/>
  <c r="J4477" i="1"/>
  <c r="K4477" i="1"/>
  <c r="L4477" i="1"/>
  <c r="A4478" i="1"/>
  <c r="B4478" i="1"/>
  <c r="C4478" i="1"/>
  <c r="D4478" i="1"/>
  <c r="E4478" i="1"/>
  <c r="F4478" i="1"/>
  <c r="G4478" i="1"/>
  <c r="H4478" i="1"/>
  <c r="I4478" i="1"/>
  <c r="J4478" i="1"/>
  <c r="K4478" i="1"/>
  <c r="L4478" i="1"/>
  <c r="A4479" i="1"/>
  <c r="B4479" i="1"/>
  <c r="C4479" i="1"/>
  <c r="D4479" i="1"/>
  <c r="E4479" i="1"/>
  <c r="F4479" i="1"/>
  <c r="G4479" i="1"/>
  <c r="H4479" i="1"/>
  <c r="I4479" i="1"/>
  <c r="J4479" i="1"/>
  <c r="K4479" i="1"/>
  <c r="L4479" i="1"/>
  <c r="A4480" i="1"/>
  <c r="B4480" i="1"/>
  <c r="C4480" i="1"/>
  <c r="D4480" i="1"/>
  <c r="E4480" i="1"/>
  <c r="F4480" i="1"/>
  <c r="G4480" i="1"/>
  <c r="H4480" i="1"/>
  <c r="I4480" i="1"/>
  <c r="J4480" i="1"/>
  <c r="K4480" i="1"/>
  <c r="L4480" i="1"/>
  <c r="A4481" i="1"/>
  <c r="B4481" i="1"/>
  <c r="C4481" i="1"/>
  <c r="D4481" i="1"/>
  <c r="E4481" i="1"/>
  <c r="F4481" i="1"/>
  <c r="G4481" i="1"/>
  <c r="H4481" i="1"/>
  <c r="I4481" i="1"/>
  <c r="J4481" i="1"/>
  <c r="K4481" i="1"/>
  <c r="L4481" i="1"/>
  <c r="A4482" i="1"/>
  <c r="B4482" i="1"/>
  <c r="C4482" i="1"/>
  <c r="D4482" i="1"/>
  <c r="E4482" i="1"/>
  <c r="F4482" i="1"/>
  <c r="G4482" i="1"/>
  <c r="H4482" i="1"/>
  <c r="I4482" i="1"/>
  <c r="J4482" i="1"/>
  <c r="K4482" i="1"/>
  <c r="L4482" i="1"/>
  <c r="A4483" i="1"/>
  <c r="B4483" i="1"/>
  <c r="C4483" i="1"/>
  <c r="D4483" i="1"/>
  <c r="E4483" i="1"/>
  <c r="F4483" i="1"/>
  <c r="G4483" i="1"/>
  <c r="H4483" i="1"/>
  <c r="I4483" i="1"/>
  <c r="J4483" i="1"/>
  <c r="K4483" i="1"/>
  <c r="L4483" i="1"/>
  <c r="A4484" i="1"/>
  <c r="B4484" i="1"/>
  <c r="C4484" i="1"/>
  <c r="D4484" i="1"/>
  <c r="E4484" i="1"/>
  <c r="F4484" i="1"/>
  <c r="G4484" i="1"/>
  <c r="H4484" i="1"/>
  <c r="I4484" i="1"/>
  <c r="J4484" i="1"/>
  <c r="K4484" i="1"/>
  <c r="L4484" i="1"/>
  <c r="A4485" i="1"/>
  <c r="B4485" i="1"/>
  <c r="C4485" i="1"/>
  <c r="D4485" i="1"/>
  <c r="E4485" i="1"/>
  <c r="F4485" i="1"/>
  <c r="G4485" i="1"/>
  <c r="H4485" i="1"/>
  <c r="I4485" i="1"/>
  <c r="J4485" i="1"/>
  <c r="K4485" i="1"/>
  <c r="L4485" i="1"/>
  <c r="A4486" i="1"/>
  <c r="B4486" i="1"/>
  <c r="C4486" i="1"/>
  <c r="D4486" i="1"/>
  <c r="E4486" i="1"/>
  <c r="F4486" i="1"/>
  <c r="G4486" i="1"/>
  <c r="H4486" i="1"/>
  <c r="I4486" i="1"/>
  <c r="J4486" i="1"/>
  <c r="K4486" i="1"/>
  <c r="L4486" i="1"/>
  <c r="A4487" i="1"/>
  <c r="B4487" i="1"/>
  <c r="C4487" i="1"/>
  <c r="D4487" i="1"/>
  <c r="E4487" i="1"/>
  <c r="F4487" i="1"/>
  <c r="G4487" i="1"/>
  <c r="H4487" i="1"/>
  <c r="I4487" i="1"/>
  <c r="J4487" i="1"/>
  <c r="K4487" i="1"/>
  <c r="L4487" i="1"/>
  <c r="A4488" i="1"/>
  <c r="B4488" i="1"/>
  <c r="C4488" i="1"/>
  <c r="D4488" i="1"/>
  <c r="E4488" i="1"/>
  <c r="F4488" i="1"/>
  <c r="G4488" i="1"/>
  <c r="H4488" i="1"/>
  <c r="I4488" i="1"/>
  <c r="J4488" i="1"/>
  <c r="K4488" i="1"/>
  <c r="L4488" i="1"/>
  <c r="A4489" i="1"/>
  <c r="B4489" i="1"/>
  <c r="C4489" i="1"/>
  <c r="D4489" i="1"/>
  <c r="E4489" i="1"/>
  <c r="F4489" i="1"/>
  <c r="G4489" i="1"/>
  <c r="H4489" i="1"/>
  <c r="I4489" i="1"/>
  <c r="J4489" i="1"/>
  <c r="K4489" i="1"/>
  <c r="L4489" i="1"/>
  <c r="A4490" i="1"/>
  <c r="B4490" i="1"/>
  <c r="C4490" i="1"/>
  <c r="D4490" i="1"/>
  <c r="E4490" i="1"/>
  <c r="F4490" i="1"/>
  <c r="G4490" i="1"/>
  <c r="H4490" i="1"/>
  <c r="I4490" i="1"/>
  <c r="J4490" i="1"/>
  <c r="K4490" i="1"/>
  <c r="L4490" i="1"/>
  <c r="A4491" i="1"/>
  <c r="B4491" i="1"/>
  <c r="C4491" i="1"/>
  <c r="D4491" i="1"/>
  <c r="E4491" i="1"/>
  <c r="F4491" i="1"/>
  <c r="G4491" i="1"/>
  <c r="H4491" i="1"/>
  <c r="I4491" i="1"/>
  <c r="J4491" i="1"/>
  <c r="K4491" i="1"/>
  <c r="L4491" i="1"/>
  <c r="A4492" i="1"/>
  <c r="B4492" i="1"/>
  <c r="C4492" i="1"/>
  <c r="D4492" i="1"/>
  <c r="E4492" i="1"/>
  <c r="F4492" i="1"/>
  <c r="G4492" i="1"/>
  <c r="H4492" i="1"/>
  <c r="I4492" i="1"/>
  <c r="J4492" i="1"/>
  <c r="K4492" i="1"/>
  <c r="L4492" i="1"/>
  <c r="A4493" i="1"/>
  <c r="B4493" i="1"/>
  <c r="C4493" i="1"/>
  <c r="D4493" i="1"/>
  <c r="E4493" i="1"/>
  <c r="F4493" i="1"/>
  <c r="G4493" i="1"/>
  <c r="H4493" i="1"/>
  <c r="I4493" i="1"/>
  <c r="J4493" i="1"/>
  <c r="K4493" i="1"/>
  <c r="L4493" i="1"/>
  <c r="A4494" i="1"/>
  <c r="B4494" i="1"/>
  <c r="C4494" i="1"/>
  <c r="D4494" i="1"/>
  <c r="E4494" i="1"/>
  <c r="F4494" i="1"/>
  <c r="G4494" i="1"/>
  <c r="H4494" i="1"/>
  <c r="I4494" i="1"/>
  <c r="J4494" i="1"/>
  <c r="K4494" i="1"/>
  <c r="L4494" i="1"/>
  <c r="A4495" i="1"/>
  <c r="B4495" i="1"/>
  <c r="C4495" i="1"/>
  <c r="D4495" i="1"/>
  <c r="E4495" i="1"/>
  <c r="F4495" i="1"/>
  <c r="G4495" i="1"/>
  <c r="H4495" i="1"/>
  <c r="I4495" i="1"/>
  <c r="J4495" i="1"/>
  <c r="K4495" i="1"/>
  <c r="L4495" i="1"/>
  <c r="A4496" i="1"/>
  <c r="B4496" i="1"/>
  <c r="C4496" i="1"/>
  <c r="D4496" i="1"/>
  <c r="E4496" i="1"/>
  <c r="F4496" i="1"/>
  <c r="G4496" i="1"/>
  <c r="H4496" i="1"/>
  <c r="I4496" i="1"/>
  <c r="J4496" i="1"/>
  <c r="K4496" i="1"/>
  <c r="L4496" i="1"/>
  <c r="A4497" i="1"/>
  <c r="B4497" i="1"/>
  <c r="C4497" i="1"/>
  <c r="D4497" i="1"/>
  <c r="E4497" i="1"/>
  <c r="F4497" i="1"/>
  <c r="G4497" i="1"/>
  <c r="H4497" i="1"/>
  <c r="I4497" i="1"/>
  <c r="J4497" i="1"/>
  <c r="K4497" i="1"/>
  <c r="L4497" i="1"/>
  <c r="A4498" i="1"/>
  <c r="B4498" i="1"/>
  <c r="C4498" i="1"/>
  <c r="D4498" i="1"/>
  <c r="E4498" i="1"/>
  <c r="F4498" i="1"/>
  <c r="G4498" i="1"/>
  <c r="H4498" i="1"/>
  <c r="I4498" i="1"/>
  <c r="J4498" i="1"/>
  <c r="K4498" i="1"/>
  <c r="L4498" i="1"/>
  <c r="A4499" i="1"/>
  <c r="B4499" i="1"/>
  <c r="C4499" i="1"/>
  <c r="D4499" i="1"/>
  <c r="E4499" i="1"/>
  <c r="F4499" i="1"/>
  <c r="G4499" i="1"/>
  <c r="H4499" i="1"/>
  <c r="I4499" i="1"/>
  <c r="J4499" i="1"/>
  <c r="K4499" i="1"/>
  <c r="L4499" i="1"/>
  <c r="A4500" i="1"/>
  <c r="B4500" i="1"/>
  <c r="C4500" i="1"/>
  <c r="D4500" i="1"/>
  <c r="E4500" i="1"/>
  <c r="F4500" i="1"/>
  <c r="G4500" i="1"/>
  <c r="H4500" i="1"/>
  <c r="I4500" i="1"/>
  <c r="J4500" i="1"/>
  <c r="K4500" i="1"/>
  <c r="L4500" i="1"/>
  <c r="A4501" i="1"/>
  <c r="B4501" i="1"/>
  <c r="C4501" i="1"/>
  <c r="D4501" i="1"/>
  <c r="E4501" i="1"/>
  <c r="F4501" i="1"/>
  <c r="G4501" i="1"/>
  <c r="H4501" i="1"/>
  <c r="I4501" i="1"/>
  <c r="J4501" i="1"/>
  <c r="K4501" i="1"/>
  <c r="L4501" i="1"/>
  <c r="A4502" i="1"/>
  <c r="B4502" i="1"/>
  <c r="C4502" i="1"/>
  <c r="D4502" i="1"/>
  <c r="E4502" i="1"/>
  <c r="F4502" i="1"/>
  <c r="G4502" i="1"/>
  <c r="H4502" i="1"/>
  <c r="I4502" i="1"/>
  <c r="J4502" i="1"/>
  <c r="K4502" i="1"/>
  <c r="L4502" i="1"/>
  <c r="A4503" i="1"/>
  <c r="B4503" i="1"/>
  <c r="C4503" i="1"/>
  <c r="D4503" i="1"/>
  <c r="E4503" i="1"/>
  <c r="F4503" i="1"/>
  <c r="G4503" i="1"/>
  <c r="H4503" i="1"/>
  <c r="I4503" i="1"/>
  <c r="J4503" i="1"/>
  <c r="K4503" i="1"/>
  <c r="L4503" i="1"/>
  <c r="A4504" i="1"/>
  <c r="B4504" i="1"/>
  <c r="C4504" i="1"/>
  <c r="D4504" i="1"/>
  <c r="E4504" i="1"/>
  <c r="F4504" i="1"/>
  <c r="G4504" i="1"/>
  <c r="H4504" i="1"/>
  <c r="I4504" i="1"/>
  <c r="J4504" i="1"/>
  <c r="K4504" i="1"/>
  <c r="L4504" i="1"/>
  <c r="A4505" i="1"/>
  <c r="B4505" i="1"/>
  <c r="C4505" i="1"/>
  <c r="D4505" i="1"/>
  <c r="E4505" i="1"/>
  <c r="F4505" i="1"/>
  <c r="G4505" i="1"/>
  <c r="H4505" i="1"/>
  <c r="I4505" i="1"/>
  <c r="J4505" i="1"/>
  <c r="K4505" i="1"/>
  <c r="L4505" i="1"/>
  <c r="A4506" i="1"/>
  <c r="B4506" i="1"/>
  <c r="C4506" i="1"/>
  <c r="D4506" i="1"/>
  <c r="E4506" i="1"/>
  <c r="F4506" i="1"/>
  <c r="G4506" i="1"/>
  <c r="H4506" i="1"/>
  <c r="I4506" i="1"/>
  <c r="J4506" i="1"/>
  <c r="K4506" i="1"/>
  <c r="L4506" i="1"/>
  <c r="A4507" i="1"/>
  <c r="B4507" i="1"/>
  <c r="C4507" i="1"/>
  <c r="D4507" i="1"/>
  <c r="E4507" i="1"/>
  <c r="F4507" i="1"/>
  <c r="G4507" i="1"/>
  <c r="H4507" i="1"/>
  <c r="I4507" i="1"/>
  <c r="J4507" i="1"/>
  <c r="K4507" i="1"/>
  <c r="L4507" i="1"/>
  <c r="A4508" i="1"/>
  <c r="B4508" i="1"/>
  <c r="C4508" i="1"/>
  <c r="D4508" i="1"/>
  <c r="E4508" i="1"/>
  <c r="F4508" i="1"/>
  <c r="G4508" i="1"/>
  <c r="H4508" i="1"/>
  <c r="I4508" i="1"/>
  <c r="J4508" i="1"/>
  <c r="K4508" i="1"/>
  <c r="L4508" i="1"/>
  <c r="A4509" i="1"/>
  <c r="B4509" i="1"/>
  <c r="C4509" i="1"/>
  <c r="D4509" i="1"/>
  <c r="E4509" i="1"/>
  <c r="F4509" i="1"/>
  <c r="G4509" i="1"/>
  <c r="H4509" i="1"/>
  <c r="I4509" i="1"/>
  <c r="J4509" i="1"/>
  <c r="K4509" i="1"/>
  <c r="L4509" i="1"/>
  <c r="A4510" i="1"/>
  <c r="B4510" i="1"/>
  <c r="C4510" i="1"/>
  <c r="D4510" i="1"/>
  <c r="E4510" i="1"/>
  <c r="F4510" i="1"/>
  <c r="G4510" i="1"/>
  <c r="H4510" i="1"/>
  <c r="I4510" i="1"/>
  <c r="J4510" i="1"/>
  <c r="K4510" i="1"/>
  <c r="L4510" i="1"/>
  <c r="A4511" i="1"/>
  <c r="B4511" i="1"/>
  <c r="C4511" i="1"/>
  <c r="D4511" i="1"/>
  <c r="E4511" i="1"/>
  <c r="F4511" i="1"/>
  <c r="G4511" i="1"/>
  <c r="H4511" i="1"/>
  <c r="I4511" i="1"/>
  <c r="J4511" i="1"/>
  <c r="K4511" i="1"/>
  <c r="L4511" i="1"/>
  <c r="A4512" i="1"/>
  <c r="B4512" i="1"/>
  <c r="C4512" i="1"/>
  <c r="D4512" i="1"/>
  <c r="E4512" i="1"/>
  <c r="F4512" i="1"/>
  <c r="G4512" i="1"/>
  <c r="H4512" i="1"/>
  <c r="I4512" i="1"/>
  <c r="J4512" i="1"/>
  <c r="K4512" i="1"/>
  <c r="L4512" i="1"/>
  <c r="A4513" i="1"/>
  <c r="B4513" i="1"/>
  <c r="C4513" i="1"/>
  <c r="D4513" i="1"/>
  <c r="E4513" i="1"/>
  <c r="F4513" i="1"/>
  <c r="G4513" i="1"/>
  <c r="H4513" i="1"/>
  <c r="I4513" i="1"/>
  <c r="J4513" i="1"/>
  <c r="K4513" i="1"/>
  <c r="L4513" i="1"/>
  <c r="A4514" i="1"/>
  <c r="B4514" i="1"/>
  <c r="C4514" i="1"/>
  <c r="D4514" i="1"/>
  <c r="E4514" i="1"/>
  <c r="F4514" i="1"/>
  <c r="G4514" i="1"/>
  <c r="H4514" i="1"/>
  <c r="I4514" i="1"/>
  <c r="J4514" i="1"/>
  <c r="K4514" i="1"/>
  <c r="L4514" i="1"/>
  <c r="A4515" i="1"/>
  <c r="B4515" i="1"/>
  <c r="C4515" i="1"/>
  <c r="D4515" i="1"/>
  <c r="E4515" i="1"/>
  <c r="F4515" i="1"/>
  <c r="G4515" i="1"/>
  <c r="H4515" i="1"/>
  <c r="I4515" i="1"/>
  <c r="J4515" i="1"/>
  <c r="K4515" i="1"/>
  <c r="L4515" i="1"/>
  <c r="A4516" i="1"/>
  <c r="B4516" i="1"/>
  <c r="C4516" i="1"/>
  <c r="D4516" i="1"/>
  <c r="E4516" i="1"/>
  <c r="F4516" i="1"/>
  <c r="G4516" i="1"/>
  <c r="H4516" i="1"/>
  <c r="I4516" i="1"/>
  <c r="J4516" i="1"/>
  <c r="K4516" i="1"/>
  <c r="L4516" i="1"/>
  <c r="A4517" i="1"/>
  <c r="B4517" i="1"/>
  <c r="C4517" i="1"/>
  <c r="D4517" i="1"/>
  <c r="E4517" i="1"/>
  <c r="F4517" i="1"/>
  <c r="G4517" i="1"/>
  <c r="H4517" i="1"/>
  <c r="I4517" i="1"/>
  <c r="J4517" i="1"/>
  <c r="K4517" i="1"/>
  <c r="L4517" i="1"/>
  <c r="A4518" i="1"/>
  <c r="B4518" i="1"/>
  <c r="C4518" i="1"/>
  <c r="D4518" i="1"/>
  <c r="E4518" i="1"/>
  <c r="F4518" i="1"/>
  <c r="G4518" i="1"/>
  <c r="H4518" i="1"/>
  <c r="I4518" i="1"/>
  <c r="J4518" i="1"/>
  <c r="K4518" i="1"/>
  <c r="L4518" i="1"/>
  <c r="A4519" i="1"/>
  <c r="B4519" i="1"/>
  <c r="C4519" i="1"/>
  <c r="D4519" i="1"/>
  <c r="E4519" i="1"/>
  <c r="F4519" i="1"/>
  <c r="G4519" i="1"/>
  <c r="H4519" i="1"/>
  <c r="I4519" i="1"/>
  <c r="J4519" i="1"/>
  <c r="K4519" i="1"/>
  <c r="L4519" i="1"/>
  <c r="A4520" i="1"/>
  <c r="B4520" i="1"/>
  <c r="C4520" i="1"/>
  <c r="D4520" i="1"/>
  <c r="E4520" i="1"/>
  <c r="F4520" i="1"/>
  <c r="G4520" i="1"/>
  <c r="H4520" i="1"/>
  <c r="I4520" i="1"/>
  <c r="J4520" i="1"/>
  <c r="K4520" i="1"/>
  <c r="L4520" i="1"/>
  <c r="A4521" i="1"/>
  <c r="B4521" i="1"/>
  <c r="C4521" i="1"/>
  <c r="D4521" i="1"/>
  <c r="E4521" i="1"/>
  <c r="F4521" i="1"/>
  <c r="G4521" i="1"/>
  <c r="H4521" i="1"/>
  <c r="I4521" i="1"/>
  <c r="J4521" i="1"/>
  <c r="K4521" i="1"/>
  <c r="L4521" i="1"/>
  <c r="A4522" i="1"/>
  <c r="B4522" i="1"/>
  <c r="C4522" i="1"/>
  <c r="D4522" i="1"/>
  <c r="E4522" i="1"/>
  <c r="F4522" i="1"/>
  <c r="G4522" i="1"/>
  <c r="H4522" i="1"/>
  <c r="I4522" i="1"/>
  <c r="J4522" i="1"/>
  <c r="K4522" i="1"/>
  <c r="L4522" i="1"/>
  <c r="A4523" i="1"/>
  <c r="B4523" i="1"/>
  <c r="C4523" i="1"/>
  <c r="D4523" i="1"/>
  <c r="E4523" i="1"/>
  <c r="F4523" i="1"/>
  <c r="G4523" i="1"/>
  <c r="H4523" i="1"/>
  <c r="I4523" i="1"/>
  <c r="J4523" i="1"/>
  <c r="K4523" i="1"/>
  <c r="L4523" i="1"/>
  <c r="A4524" i="1"/>
  <c r="B4524" i="1"/>
  <c r="C4524" i="1"/>
  <c r="D4524" i="1"/>
  <c r="E4524" i="1"/>
  <c r="F4524" i="1"/>
  <c r="G4524" i="1"/>
  <c r="H4524" i="1"/>
  <c r="I4524" i="1"/>
  <c r="J4524" i="1"/>
  <c r="K4524" i="1"/>
  <c r="L4524" i="1"/>
  <c r="A4525" i="1"/>
  <c r="B4525" i="1"/>
  <c r="C4525" i="1"/>
  <c r="D4525" i="1"/>
  <c r="E4525" i="1"/>
  <c r="F4525" i="1"/>
  <c r="G4525" i="1"/>
  <c r="H4525" i="1"/>
  <c r="I4525" i="1"/>
  <c r="J4525" i="1"/>
  <c r="K4525" i="1"/>
  <c r="L4525" i="1"/>
  <c r="A4526" i="1"/>
  <c r="B4526" i="1"/>
  <c r="C4526" i="1"/>
  <c r="D4526" i="1"/>
  <c r="E4526" i="1"/>
  <c r="F4526" i="1"/>
  <c r="G4526" i="1"/>
  <c r="H4526" i="1"/>
  <c r="I4526" i="1"/>
  <c r="J4526" i="1"/>
  <c r="K4526" i="1"/>
  <c r="L4526" i="1"/>
  <c r="A4527" i="1"/>
  <c r="B4527" i="1"/>
  <c r="C4527" i="1"/>
  <c r="D4527" i="1"/>
  <c r="E4527" i="1"/>
  <c r="F4527" i="1"/>
  <c r="G4527" i="1"/>
  <c r="H4527" i="1"/>
  <c r="I4527" i="1"/>
  <c r="J4527" i="1"/>
  <c r="K4527" i="1"/>
  <c r="L4527" i="1"/>
  <c r="A4528" i="1"/>
  <c r="B4528" i="1"/>
  <c r="C4528" i="1"/>
  <c r="D4528" i="1"/>
  <c r="E4528" i="1"/>
  <c r="F4528" i="1"/>
  <c r="G4528" i="1"/>
  <c r="H4528" i="1"/>
  <c r="I4528" i="1"/>
  <c r="J4528" i="1"/>
  <c r="K4528" i="1"/>
  <c r="L4528" i="1"/>
  <c r="A4529" i="1"/>
  <c r="B4529" i="1"/>
  <c r="C4529" i="1"/>
  <c r="D4529" i="1"/>
  <c r="E4529" i="1"/>
  <c r="F4529" i="1"/>
  <c r="G4529" i="1"/>
  <c r="H4529" i="1"/>
  <c r="I4529" i="1"/>
  <c r="J4529" i="1"/>
  <c r="K4529" i="1"/>
  <c r="L4529" i="1"/>
  <c r="A4530" i="1"/>
  <c r="B4530" i="1"/>
  <c r="C4530" i="1"/>
  <c r="D4530" i="1"/>
  <c r="E4530" i="1"/>
  <c r="F4530" i="1"/>
  <c r="G4530" i="1"/>
  <c r="H4530" i="1"/>
  <c r="I4530" i="1"/>
  <c r="J4530" i="1"/>
  <c r="K4530" i="1"/>
  <c r="L4530" i="1"/>
  <c r="A4531" i="1"/>
  <c r="B4531" i="1"/>
  <c r="C4531" i="1"/>
  <c r="D4531" i="1"/>
  <c r="E4531" i="1"/>
  <c r="F4531" i="1"/>
  <c r="G4531" i="1"/>
  <c r="H4531" i="1"/>
  <c r="I4531" i="1"/>
  <c r="J4531" i="1"/>
  <c r="K4531" i="1"/>
  <c r="L4531" i="1"/>
  <c r="A4532" i="1"/>
  <c r="B4532" i="1"/>
  <c r="C4532" i="1"/>
  <c r="D4532" i="1"/>
  <c r="E4532" i="1"/>
  <c r="F4532" i="1"/>
  <c r="G4532" i="1"/>
  <c r="H4532" i="1"/>
  <c r="I4532" i="1"/>
  <c r="J4532" i="1"/>
  <c r="K4532" i="1"/>
  <c r="L4532" i="1"/>
  <c r="A4533" i="1"/>
  <c r="B4533" i="1"/>
  <c r="C4533" i="1"/>
  <c r="D4533" i="1"/>
  <c r="E4533" i="1"/>
  <c r="F4533" i="1"/>
  <c r="G4533" i="1"/>
  <c r="H4533" i="1"/>
  <c r="I4533" i="1"/>
  <c r="J4533" i="1"/>
  <c r="K4533" i="1"/>
  <c r="L4533" i="1"/>
  <c r="A4534" i="1"/>
  <c r="B4534" i="1"/>
  <c r="C4534" i="1"/>
  <c r="D4534" i="1"/>
  <c r="E4534" i="1"/>
  <c r="F4534" i="1"/>
  <c r="G4534" i="1"/>
  <c r="H4534" i="1"/>
  <c r="I4534" i="1"/>
  <c r="J4534" i="1"/>
  <c r="K4534" i="1"/>
  <c r="L4534" i="1"/>
  <c r="A4535" i="1"/>
  <c r="B4535" i="1"/>
  <c r="C4535" i="1"/>
  <c r="D4535" i="1"/>
  <c r="E4535" i="1"/>
  <c r="F4535" i="1"/>
  <c r="G4535" i="1"/>
  <c r="H4535" i="1"/>
  <c r="I4535" i="1"/>
  <c r="J4535" i="1"/>
  <c r="K4535" i="1"/>
  <c r="L4535" i="1"/>
  <c r="A4536" i="1"/>
  <c r="B4536" i="1"/>
  <c r="C4536" i="1"/>
  <c r="D4536" i="1"/>
  <c r="E4536" i="1"/>
  <c r="F4536" i="1"/>
  <c r="G4536" i="1"/>
  <c r="H4536" i="1"/>
  <c r="I4536" i="1"/>
  <c r="J4536" i="1"/>
  <c r="K4536" i="1"/>
  <c r="L4536" i="1"/>
  <c r="A4537" i="1"/>
  <c r="B4537" i="1"/>
  <c r="C4537" i="1"/>
  <c r="D4537" i="1"/>
  <c r="E4537" i="1"/>
  <c r="F4537" i="1"/>
  <c r="G4537" i="1"/>
  <c r="H4537" i="1"/>
  <c r="I4537" i="1"/>
  <c r="J4537" i="1"/>
  <c r="K4537" i="1"/>
  <c r="L4537" i="1"/>
  <c r="A4538" i="1"/>
  <c r="B4538" i="1"/>
  <c r="C4538" i="1"/>
  <c r="D4538" i="1"/>
  <c r="E4538" i="1"/>
  <c r="F4538" i="1"/>
  <c r="G4538" i="1"/>
  <c r="H4538" i="1"/>
  <c r="I4538" i="1"/>
  <c r="J4538" i="1"/>
  <c r="K4538" i="1"/>
  <c r="L4538" i="1"/>
  <c r="A4539" i="1"/>
  <c r="B4539" i="1"/>
  <c r="C4539" i="1"/>
  <c r="D4539" i="1"/>
  <c r="E4539" i="1"/>
  <c r="F4539" i="1"/>
  <c r="G4539" i="1"/>
  <c r="H4539" i="1"/>
  <c r="I4539" i="1"/>
  <c r="J4539" i="1"/>
  <c r="K4539" i="1"/>
  <c r="L4539" i="1"/>
  <c r="A4540" i="1"/>
  <c r="B4540" i="1"/>
  <c r="C4540" i="1"/>
  <c r="D4540" i="1"/>
  <c r="E4540" i="1"/>
  <c r="F4540" i="1"/>
  <c r="G4540" i="1"/>
  <c r="H4540" i="1"/>
  <c r="I4540" i="1"/>
  <c r="J4540" i="1"/>
  <c r="K4540" i="1"/>
  <c r="L4540" i="1"/>
  <c r="A4541" i="1"/>
  <c r="B4541" i="1"/>
  <c r="C4541" i="1"/>
  <c r="D4541" i="1"/>
  <c r="E4541" i="1"/>
  <c r="F4541" i="1"/>
  <c r="G4541" i="1"/>
  <c r="H4541" i="1"/>
  <c r="I4541" i="1"/>
  <c r="J4541" i="1"/>
  <c r="K4541" i="1"/>
  <c r="L4541" i="1"/>
  <c r="A4542" i="1"/>
  <c r="B4542" i="1"/>
  <c r="C4542" i="1"/>
  <c r="D4542" i="1"/>
  <c r="E4542" i="1"/>
  <c r="F4542" i="1"/>
  <c r="G4542" i="1"/>
  <c r="H4542" i="1"/>
  <c r="I4542" i="1"/>
  <c r="J4542" i="1"/>
  <c r="K4542" i="1"/>
  <c r="L4542" i="1"/>
  <c r="A4543" i="1"/>
  <c r="B4543" i="1"/>
  <c r="C4543" i="1"/>
  <c r="D4543" i="1"/>
  <c r="E4543" i="1"/>
  <c r="F4543" i="1"/>
  <c r="G4543" i="1"/>
  <c r="H4543" i="1"/>
  <c r="I4543" i="1"/>
  <c r="J4543" i="1"/>
  <c r="K4543" i="1"/>
  <c r="L4543" i="1"/>
  <c r="A4544" i="1"/>
  <c r="B4544" i="1"/>
  <c r="C4544" i="1"/>
  <c r="D4544" i="1"/>
  <c r="E4544" i="1"/>
  <c r="F4544" i="1"/>
  <c r="G4544" i="1"/>
  <c r="H4544" i="1"/>
  <c r="I4544" i="1"/>
  <c r="J4544" i="1"/>
  <c r="K4544" i="1"/>
  <c r="L4544" i="1"/>
  <c r="A4545" i="1"/>
  <c r="B4545" i="1"/>
  <c r="C4545" i="1"/>
  <c r="D4545" i="1"/>
  <c r="E4545" i="1"/>
  <c r="F4545" i="1"/>
  <c r="G4545" i="1"/>
  <c r="H4545" i="1"/>
  <c r="I4545" i="1"/>
  <c r="J4545" i="1"/>
  <c r="K4545" i="1"/>
  <c r="L4545" i="1"/>
  <c r="A4546" i="1"/>
  <c r="B4546" i="1"/>
  <c r="C4546" i="1"/>
  <c r="D4546" i="1"/>
  <c r="E4546" i="1"/>
  <c r="F4546" i="1"/>
  <c r="G4546" i="1"/>
  <c r="H4546" i="1"/>
  <c r="I4546" i="1"/>
  <c r="J4546" i="1"/>
  <c r="K4546" i="1"/>
  <c r="L4546" i="1"/>
  <c r="A4547" i="1"/>
  <c r="B4547" i="1"/>
  <c r="C4547" i="1"/>
  <c r="D4547" i="1"/>
  <c r="E4547" i="1"/>
  <c r="F4547" i="1"/>
  <c r="G4547" i="1"/>
  <c r="H4547" i="1"/>
  <c r="I4547" i="1"/>
  <c r="J4547" i="1"/>
  <c r="K4547" i="1"/>
  <c r="L4547" i="1"/>
  <c r="A4548" i="1"/>
  <c r="B4548" i="1"/>
  <c r="C4548" i="1"/>
  <c r="D4548" i="1"/>
  <c r="E4548" i="1"/>
  <c r="F4548" i="1"/>
  <c r="G4548" i="1"/>
  <c r="H4548" i="1"/>
  <c r="I4548" i="1"/>
  <c r="J4548" i="1"/>
  <c r="K4548" i="1"/>
  <c r="L4548" i="1"/>
  <c r="A4549" i="1"/>
  <c r="B4549" i="1"/>
  <c r="C4549" i="1"/>
  <c r="D4549" i="1"/>
  <c r="E4549" i="1"/>
  <c r="F4549" i="1"/>
  <c r="G4549" i="1"/>
  <c r="H4549" i="1"/>
  <c r="I4549" i="1"/>
  <c r="J4549" i="1"/>
  <c r="K4549" i="1"/>
  <c r="L4549" i="1"/>
  <c r="A4550" i="1"/>
  <c r="B4550" i="1"/>
  <c r="C4550" i="1"/>
  <c r="D4550" i="1"/>
  <c r="E4550" i="1"/>
  <c r="F4550" i="1"/>
  <c r="G4550" i="1"/>
  <c r="H4550" i="1"/>
  <c r="I4550" i="1"/>
  <c r="J4550" i="1"/>
  <c r="K4550" i="1"/>
  <c r="L4550" i="1"/>
  <c r="A4551" i="1"/>
  <c r="B4551" i="1"/>
  <c r="C4551" i="1"/>
  <c r="D4551" i="1"/>
  <c r="E4551" i="1"/>
  <c r="F4551" i="1"/>
  <c r="G4551" i="1"/>
  <c r="H4551" i="1"/>
  <c r="I4551" i="1"/>
  <c r="J4551" i="1"/>
  <c r="K4551" i="1"/>
  <c r="L4551" i="1"/>
  <c r="A4552" i="1"/>
  <c r="B4552" i="1"/>
  <c r="C4552" i="1"/>
  <c r="D4552" i="1"/>
  <c r="E4552" i="1"/>
  <c r="F4552" i="1"/>
  <c r="G4552" i="1"/>
  <c r="H4552" i="1"/>
  <c r="I4552" i="1"/>
  <c r="J4552" i="1"/>
  <c r="K4552" i="1"/>
  <c r="L4552" i="1"/>
  <c r="A4553" i="1"/>
  <c r="B4553" i="1"/>
  <c r="C4553" i="1"/>
  <c r="D4553" i="1"/>
  <c r="E4553" i="1"/>
  <c r="F4553" i="1"/>
  <c r="G4553" i="1"/>
  <c r="H4553" i="1"/>
  <c r="I4553" i="1"/>
  <c r="J4553" i="1"/>
  <c r="K4553" i="1"/>
  <c r="L4553" i="1"/>
  <c r="A4554" i="1"/>
  <c r="B4554" i="1"/>
  <c r="C4554" i="1"/>
  <c r="D4554" i="1"/>
  <c r="E4554" i="1"/>
  <c r="F4554" i="1"/>
  <c r="G4554" i="1"/>
  <c r="H4554" i="1"/>
  <c r="I4554" i="1"/>
  <c r="J4554" i="1"/>
  <c r="K4554" i="1"/>
  <c r="L4554" i="1"/>
  <c r="A4555" i="1"/>
  <c r="B4555" i="1"/>
  <c r="C4555" i="1"/>
  <c r="D4555" i="1"/>
  <c r="E4555" i="1"/>
  <c r="F4555" i="1"/>
  <c r="G4555" i="1"/>
  <c r="H4555" i="1"/>
  <c r="I4555" i="1"/>
  <c r="J4555" i="1"/>
  <c r="K4555" i="1"/>
  <c r="L4555" i="1"/>
  <c r="A4556" i="1"/>
  <c r="B4556" i="1"/>
  <c r="C4556" i="1"/>
  <c r="D4556" i="1"/>
  <c r="E4556" i="1"/>
  <c r="F4556" i="1"/>
  <c r="G4556" i="1"/>
  <c r="H4556" i="1"/>
  <c r="I4556" i="1"/>
  <c r="J4556" i="1"/>
  <c r="K4556" i="1"/>
  <c r="L4556" i="1"/>
  <c r="A4557" i="1"/>
  <c r="B4557" i="1"/>
  <c r="C4557" i="1"/>
  <c r="D4557" i="1"/>
  <c r="E4557" i="1"/>
  <c r="F4557" i="1"/>
  <c r="G4557" i="1"/>
  <c r="H4557" i="1"/>
  <c r="I4557" i="1"/>
  <c r="J4557" i="1"/>
  <c r="K4557" i="1"/>
  <c r="L4557" i="1"/>
  <c r="A4558" i="1"/>
  <c r="B4558" i="1"/>
  <c r="C4558" i="1"/>
  <c r="D4558" i="1"/>
  <c r="E4558" i="1"/>
  <c r="F4558" i="1"/>
  <c r="G4558" i="1"/>
  <c r="H4558" i="1"/>
  <c r="I4558" i="1"/>
  <c r="J4558" i="1"/>
  <c r="K4558" i="1"/>
  <c r="L4558" i="1"/>
  <c r="A4559" i="1"/>
  <c r="B4559" i="1"/>
  <c r="C4559" i="1"/>
  <c r="D4559" i="1"/>
  <c r="E4559" i="1"/>
  <c r="F4559" i="1"/>
  <c r="G4559" i="1"/>
  <c r="H4559" i="1"/>
  <c r="I4559" i="1"/>
  <c r="J4559" i="1"/>
  <c r="K4559" i="1"/>
  <c r="L4559" i="1"/>
  <c r="A4560" i="1"/>
  <c r="B4560" i="1"/>
  <c r="C4560" i="1"/>
  <c r="D4560" i="1"/>
  <c r="E4560" i="1"/>
  <c r="F4560" i="1"/>
  <c r="G4560" i="1"/>
  <c r="H4560" i="1"/>
  <c r="I4560" i="1"/>
  <c r="J4560" i="1"/>
  <c r="K4560" i="1"/>
  <c r="L4560" i="1"/>
  <c r="A4561" i="1"/>
  <c r="B4561" i="1"/>
  <c r="C4561" i="1"/>
  <c r="D4561" i="1"/>
  <c r="E4561" i="1"/>
  <c r="F4561" i="1"/>
  <c r="G4561" i="1"/>
  <c r="H4561" i="1"/>
  <c r="I4561" i="1"/>
  <c r="J4561" i="1"/>
  <c r="K4561" i="1"/>
  <c r="L4561" i="1"/>
  <c r="A4562" i="1"/>
  <c r="B4562" i="1"/>
  <c r="C4562" i="1"/>
  <c r="D4562" i="1"/>
  <c r="E4562" i="1"/>
  <c r="F4562" i="1"/>
  <c r="G4562" i="1"/>
  <c r="H4562" i="1"/>
  <c r="I4562" i="1"/>
  <c r="J4562" i="1"/>
  <c r="K4562" i="1"/>
  <c r="L4562" i="1"/>
  <c r="A4563" i="1"/>
  <c r="B4563" i="1"/>
  <c r="C4563" i="1"/>
  <c r="D4563" i="1"/>
  <c r="E4563" i="1"/>
  <c r="F4563" i="1"/>
  <c r="G4563" i="1"/>
  <c r="H4563" i="1"/>
  <c r="I4563" i="1"/>
  <c r="J4563" i="1"/>
  <c r="K4563" i="1"/>
  <c r="L4563" i="1"/>
  <c r="A4564" i="1"/>
  <c r="B4564" i="1"/>
  <c r="C4564" i="1"/>
  <c r="D4564" i="1"/>
  <c r="E4564" i="1"/>
  <c r="F4564" i="1"/>
  <c r="G4564" i="1"/>
  <c r="H4564" i="1"/>
  <c r="I4564" i="1"/>
  <c r="J4564" i="1"/>
  <c r="K4564" i="1"/>
  <c r="L4564" i="1"/>
  <c r="A4565" i="1"/>
  <c r="B4565" i="1"/>
  <c r="C4565" i="1"/>
  <c r="D4565" i="1"/>
  <c r="E4565" i="1"/>
  <c r="F4565" i="1"/>
  <c r="G4565" i="1"/>
  <c r="H4565" i="1"/>
  <c r="I4565" i="1"/>
  <c r="J4565" i="1"/>
  <c r="K4565" i="1"/>
  <c r="L4565" i="1"/>
  <c r="A4566" i="1"/>
  <c r="B4566" i="1"/>
  <c r="C4566" i="1"/>
  <c r="D4566" i="1"/>
  <c r="E4566" i="1"/>
  <c r="F4566" i="1"/>
  <c r="G4566" i="1"/>
  <c r="H4566" i="1"/>
  <c r="I4566" i="1"/>
  <c r="J4566" i="1"/>
  <c r="K4566" i="1"/>
  <c r="L4566" i="1"/>
  <c r="A4567" i="1"/>
  <c r="B4567" i="1"/>
  <c r="C4567" i="1"/>
  <c r="D4567" i="1"/>
  <c r="E4567" i="1"/>
  <c r="F4567" i="1"/>
  <c r="G4567" i="1"/>
  <c r="H4567" i="1"/>
  <c r="I4567" i="1"/>
  <c r="J4567" i="1"/>
  <c r="K4567" i="1"/>
  <c r="L4567" i="1"/>
  <c r="A4568" i="1"/>
  <c r="B4568" i="1"/>
  <c r="C4568" i="1"/>
  <c r="D4568" i="1"/>
  <c r="E4568" i="1"/>
  <c r="F4568" i="1"/>
  <c r="G4568" i="1"/>
  <c r="H4568" i="1"/>
  <c r="I4568" i="1"/>
  <c r="J4568" i="1"/>
  <c r="K4568" i="1"/>
  <c r="L4568" i="1"/>
  <c r="A4569" i="1"/>
  <c r="B4569" i="1"/>
  <c r="C4569" i="1"/>
  <c r="D4569" i="1"/>
  <c r="E4569" i="1"/>
  <c r="F4569" i="1"/>
  <c r="G4569" i="1"/>
  <c r="H4569" i="1"/>
  <c r="I4569" i="1"/>
  <c r="J4569" i="1"/>
  <c r="K4569" i="1"/>
  <c r="L4569" i="1"/>
  <c r="A4570" i="1"/>
  <c r="B4570" i="1"/>
  <c r="C4570" i="1"/>
  <c r="D4570" i="1"/>
  <c r="E4570" i="1"/>
  <c r="F4570" i="1"/>
  <c r="G4570" i="1"/>
  <c r="H4570" i="1"/>
  <c r="I4570" i="1"/>
  <c r="J4570" i="1"/>
  <c r="K4570" i="1"/>
  <c r="L4570" i="1"/>
  <c r="A4571" i="1"/>
  <c r="B4571" i="1"/>
  <c r="C4571" i="1"/>
  <c r="D4571" i="1"/>
  <c r="E4571" i="1"/>
  <c r="F4571" i="1"/>
  <c r="G4571" i="1"/>
  <c r="H4571" i="1"/>
  <c r="I4571" i="1"/>
  <c r="J4571" i="1"/>
  <c r="K4571" i="1"/>
  <c r="L4571" i="1"/>
  <c r="A4572" i="1"/>
  <c r="B4572" i="1"/>
  <c r="C4572" i="1"/>
  <c r="D4572" i="1"/>
  <c r="E4572" i="1"/>
  <c r="F4572" i="1"/>
  <c r="G4572" i="1"/>
  <c r="H4572" i="1"/>
  <c r="I4572" i="1"/>
  <c r="J4572" i="1"/>
  <c r="K4572" i="1"/>
  <c r="L4572" i="1"/>
  <c r="A4573" i="1"/>
  <c r="B4573" i="1"/>
  <c r="C4573" i="1"/>
  <c r="D4573" i="1"/>
  <c r="E4573" i="1"/>
  <c r="F4573" i="1"/>
  <c r="G4573" i="1"/>
  <c r="H4573" i="1"/>
  <c r="I4573" i="1"/>
  <c r="J4573" i="1"/>
  <c r="K4573" i="1"/>
  <c r="L4573" i="1"/>
  <c r="A4574" i="1"/>
  <c r="B4574" i="1"/>
  <c r="C4574" i="1"/>
  <c r="D4574" i="1"/>
  <c r="E4574" i="1"/>
  <c r="F4574" i="1"/>
  <c r="G4574" i="1"/>
  <c r="H4574" i="1"/>
  <c r="I4574" i="1"/>
  <c r="J4574" i="1"/>
  <c r="K4574" i="1"/>
  <c r="L4574" i="1"/>
  <c r="A4575" i="1"/>
  <c r="B4575" i="1"/>
  <c r="C4575" i="1"/>
  <c r="D4575" i="1"/>
  <c r="E4575" i="1"/>
  <c r="F4575" i="1"/>
  <c r="G4575" i="1"/>
  <c r="H4575" i="1"/>
  <c r="I4575" i="1"/>
  <c r="J4575" i="1"/>
  <c r="K4575" i="1"/>
  <c r="L4575" i="1"/>
  <c r="A4576" i="1"/>
  <c r="B4576" i="1"/>
  <c r="C4576" i="1"/>
  <c r="D4576" i="1"/>
  <c r="E4576" i="1"/>
  <c r="F4576" i="1"/>
  <c r="G4576" i="1"/>
  <c r="H4576" i="1"/>
  <c r="I4576" i="1"/>
  <c r="J4576" i="1"/>
  <c r="K4576" i="1"/>
  <c r="L4576" i="1"/>
  <c r="A4577" i="1"/>
  <c r="B4577" i="1"/>
  <c r="C4577" i="1"/>
  <c r="D4577" i="1"/>
  <c r="E4577" i="1"/>
  <c r="F4577" i="1"/>
  <c r="G4577" i="1"/>
  <c r="H4577" i="1"/>
  <c r="I4577" i="1"/>
  <c r="J4577" i="1"/>
  <c r="K4577" i="1"/>
  <c r="L4577" i="1"/>
  <c r="A4578" i="1"/>
  <c r="B4578" i="1"/>
  <c r="C4578" i="1"/>
  <c r="D4578" i="1"/>
  <c r="E4578" i="1"/>
  <c r="F4578" i="1"/>
  <c r="G4578" i="1"/>
  <c r="H4578" i="1"/>
  <c r="I4578" i="1"/>
  <c r="J4578" i="1"/>
  <c r="K4578" i="1"/>
  <c r="L4578" i="1"/>
  <c r="A4579" i="1"/>
  <c r="B4579" i="1"/>
  <c r="C4579" i="1"/>
  <c r="D4579" i="1"/>
  <c r="E4579" i="1"/>
  <c r="F4579" i="1"/>
  <c r="G4579" i="1"/>
  <c r="H4579" i="1"/>
  <c r="I4579" i="1"/>
  <c r="J4579" i="1"/>
  <c r="K4579" i="1"/>
  <c r="L4579" i="1"/>
  <c r="A4580" i="1"/>
  <c r="B4580" i="1"/>
  <c r="C4580" i="1"/>
  <c r="D4580" i="1"/>
  <c r="E4580" i="1"/>
  <c r="F4580" i="1"/>
  <c r="G4580" i="1"/>
  <c r="H4580" i="1"/>
  <c r="I4580" i="1"/>
  <c r="J4580" i="1"/>
  <c r="K4580" i="1"/>
  <c r="L4580" i="1"/>
  <c r="A4581" i="1"/>
  <c r="B4581" i="1"/>
  <c r="C4581" i="1"/>
  <c r="D4581" i="1"/>
  <c r="E4581" i="1"/>
  <c r="F4581" i="1"/>
  <c r="G4581" i="1"/>
  <c r="H4581" i="1"/>
  <c r="I4581" i="1"/>
  <c r="J4581" i="1"/>
  <c r="K4581" i="1"/>
  <c r="L4581" i="1"/>
  <c r="A4582" i="1"/>
  <c r="B4582" i="1"/>
  <c r="C4582" i="1"/>
  <c r="D4582" i="1"/>
  <c r="E4582" i="1"/>
  <c r="F4582" i="1"/>
  <c r="G4582" i="1"/>
  <c r="H4582" i="1"/>
  <c r="I4582" i="1"/>
  <c r="J4582" i="1"/>
  <c r="K4582" i="1"/>
  <c r="L4582" i="1"/>
  <c r="A4583" i="1"/>
  <c r="B4583" i="1"/>
  <c r="C4583" i="1"/>
  <c r="D4583" i="1"/>
  <c r="E4583" i="1"/>
  <c r="F4583" i="1"/>
  <c r="G4583" i="1"/>
  <c r="H4583" i="1"/>
  <c r="I4583" i="1"/>
  <c r="J4583" i="1"/>
  <c r="K4583" i="1"/>
  <c r="L4583" i="1"/>
  <c r="A4584" i="1"/>
  <c r="B4584" i="1"/>
  <c r="C4584" i="1"/>
  <c r="D4584" i="1"/>
  <c r="E4584" i="1"/>
  <c r="F4584" i="1"/>
  <c r="G4584" i="1"/>
  <c r="H4584" i="1"/>
  <c r="I4584" i="1"/>
  <c r="J4584" i="1"/>
  <c r="K4584" i="1"/>
  <c r="L4584" i="1"/>
  <c r="A4585" i="1"/>
  <c r="B4585" i="1"/>
  <c r="C4585" i="1"/>
  <c r="D4585" i="1"/>
  <c r="E4585" i="1"/>
  <c r="F4585" i="1"/>
  <c r="G4585" i="1"/>
  <c r="H4585" i="1"/>
  <c r="I4585" i="1"/>
  <c r="J4585" i="1"/>
  <c r="K4585" i="1"/>
  <c r="L4585" i="1"/>
  <c r="A4586" i="1"/>
  <c r="B4586" i="1"/>
  <c r="C4586" i="1"/>
  <c r="D4586" i="1"/>
  <c r="E4586" i="1"/>
  <c r="F4586" i="1"/>
  <c r="G4586" i="1"/>
  <c r="H4586" i="1"/>
  <c r="I4586" i="1"/>
  <c r="J4586" i="1"/>
  <c r="K4586" i="1"/>
  <c r="L4586" i="1"/>
  <c r="A4587" i="1"/>
  <c r="B4587" i="1"/>
  <c r="C4587" i="1"/>
  <c r="D4587" i="1"/>
  <c r="E4587" i="1"/>
  <c r="F4587" i="1"/>
  <c r="G4587" i="1"/>
  <c r="H4587" i="1"/>
  <c r="I4587" i="1"/>
  <c r="J4587" i="1"/>
  <c r="K4587" i="1"/>
  <c r="L4587" i="1"/>
  <c r="A4588" i="1"/>
  <c r="B4588" i="1"/>
  <c r="C4588" i="1"/>
  <c r="D4588" i="1"/>
  <c r="E4588" i="1"/>
  <c r="F4588" i="1"/>
  <c r="G4588" i="1"/>
  <c r="H4588" i="1"/>
  <c r="I4588" i="1"/>
  <c r="J4588" i="1"/>
  <c r="K4588" i="1"/>
  <c r="L4588" i="1"/>
  <c r="A4589" i="1"/>
  <c r="B4589" i="1"/>
  <c r="C4589" i="1"/>
  <c r="D4589" i="1"/>
  <c r="E4589" i="1"/>
  <c r="F4589" i="1"/>
  <c r="G4589" i="1"/>
  <c r="H4589" i="1"/>
  <c r="I4589" i="1"/>
  <c r="J4589" i="1"/>
  <c r="K4589" i="1"/>
  <c r="L4589" i="1"/>
  <c r="A4590" i="1"/>
  <c r="B4590" i="1"/>
  <c r="C4590" i="1"/>
  <c r="D4590" i="1"/>
  <c r="E4590" i="1"/>
  <c r="F4590" i="1"/>
  <c r="G4590" i="1"/>
  <c r="H4590" i="1"/>
  <c r="I4590" i="1"/>
  <c r="J4590" i="1"/>
  <c r="K4590" i="1"/>
  <c r="L4590" i="1"/>
  <c r="A4591" i="1"/>
  <c r="B4591" i="1"/>
  <c r="C4591" i="1"/>
  <c r="D4591" i="1"/>
  <c r="E4591" i="1"/>
  <c r="F4591" i="1"/>
  <c r="G4591" i="1"/>
  <c r="H4591" i="1"/>
  <c r="I4591" i="1"/>
  <c r="J4591" i="1"/>
  <c r="K4591" i="1"/>
  <c r="L4591" i="1"/>
  <c r="A4592" i="1"/>
  <c r="B4592" i="1"/>
  <c r="C4592" i="1"/>
  <c r="D4592" i="1"/>
  <c r="E4592" i="1"/>
  <c r="F4592" i="1"/>
  <c r="G4592" i="1"/>
  <c r="H4592" i="1"/>
  <c r="I4592" i="1"/>
  <c r="J4592" i="1"/>
  <c r="K4592" i="1"/>
  <c r="L4592" i="1"/>
  <c r="A4593" i="1"/>
  <c r="B4593" i="1"/>
  <c r="C4593" i="1"/>
  <c r="D4593" i="1"/>
  <c r="E4593" i="1"/>
  <c r="F4593" i="1"/>
  <c r="G4593" i="1"/>
  <c r="H4593" i="1"/>
  <c r="I4593" i="1"/>
  <c r="J4593" i="1"/>
  <c r="K4593" i="1"/>
  <c r="L4593" i="1"/>
  <c r="A4594" i="1"/>
  <c r="B4594" i="1"/>
  <c r="C4594" i="1"/>
  <c r="D4594" i="1"/>
  <c r="E4594" i="1"/>
  <c r="F4594" i="1"/>
  <c r="G4594" i="1"/>
  <c r="H4594" i="1"/>
  <c r="I4594" i="1"/>
  <c r="J4594" i="1"/>
  <c r="K4594" i="1"/>
  <c r="L4594" i="1"/>
  <c r="A4595" i="1"/>
  <c r="B4595" i="1"/>
  <c r="C4595" i="1"/>
  <c r="D4595" i="1"/>
  <c r="E4595" i="1"/>
  <c r="F4595" i="1"/>
  <c r="G4595" i="1"/>
  <c r="H4595" i="1"/>
  <c r="I4595" i="1"/>
  <c r="J4595" i="1"/>
  <c r="K4595" i="1"/>
  <c r="L4595" i="1"/>
  <c r="A4596" i="1"/>
  <c r="B4596" i="1"/>
  <c r="C4596" i="1"/>
  <c r="D4596" i="1"/>
  <c r="E4596" i="1"/>
  <c r="F4596" i="1"/>
  <c r="G4596" i="1"/>
  <c r="H4596" i="1"/>
  <c r="I4596" i="1"/>
  <c r="J4596" i="1"/>
  <c r="K4596" i="1"/>
  <c r="L4596" i="1"/>
  <c r="A4597" i="1"/>
  <c r="B4597" i="1"/>
  <c r="C4597" i="1"/>
  <c r="D4597" i="1"/>
  <c r="E4597" i="1"/>
  <c r="F4597" i="1"/>
  <c r="G4597" i="1"/>
  <c r="H4597" i="1"/>
  <c r="I4597" i="1"/>
  <c r="J4597" i="1"/>
  <c r="K4597" i="1"/>
  <c r="L4597" i="1"/>
  <c r="A4598" i="1"/>
  <c r="B4598" i="1"/>
  <c r="C4598" i="1"/>
  <c r="D4598" i="1"/>
  <c r="E4598" i="1"/>
  <c r="F4598" i="1"/>
  <c r="G4598" i="1"/>
  <c r="H4598" i="1"/>
  <c r="I4598" i="1"/>
  <c r="J4598" i="1"/>
  <c r="K4598" i="1"/>
  <c r="L4598" i="1"/>
  <c r="A4599" i="1"/>
  <c r="B4599" i="1"/>
  <c r="C4599" i="1"/>
  <c r="D4599" i="1"/>
  <c r="E4599" i="1"/>
  <c r="F4599" i="1"/>
  <c r="G4599" i="1"/>
  <c r="H4599" i="1"/>
  <c r="I4599" i="1"/>
  <c r="J4599" i="1"/>
  <c r="K4599" i="1"/>
  <c r="L4599" i="1"/>
  <c r="A4600" i="1"/>
  <c r="B4600" i="1"/>
  <c r="C4600" i="1"/>
  <c r="D4600" i="1"/>
  <c r="E4600" i="1"/>
  <c r="F4600" i="1"/>
  <c r="G4600" i="1"/>
  <c r="H4600" i="1"/>
  <c r="I4600" i="1"/>
  <c r="J4600" i="1"/>
  <c r="K4600" i="1"/>
  <c r="L4600" i="1"/>
  <c r="A4601" i="1"/>
  <c r="B4601" i="1"/>
  <c r="C4601" i="1"/>
  <c r="D4601" i="1"/>
  <c r="E4601" i="1"/>
  <c r="F4601" i="1"/>
  <c r="G4601" i="1"/>
  <c r="H4601" i="1"/>
  <c r="I4601" i="1"/>
  <c r="J4601" i="1"/>
  <c r="K4601" i="1"/>
  <c r="L4601" i="1"/>
  <c r="A4602" i="1"/>
  <c r="B4602" i="1"/>
  <c r="C4602" i="1"/>
  <c r="D4602" i="1"/>
  <c r="E4602" i="1"/>
  <c r="F4602" i="1"/>
  <c r="G4602" i="1"/>
  <c r="H4602" i="1"/>
  <c r="I4602" i="1"/>
  <c r="J4602" i="1"/>
  <c r="K4602" i="1"/>
  <c r="L4602" i="1"/>
  <c r="A4603" i="1"/>
  <c r="B4603" i="1"/>
  <c r="C4603" i="1"/>
  <c r="D4603" i="1"/>
  <c r="E4603" i="1"/>
  <c r="F4603" i="1"/>
  <c r="G4603" i="1"/>
  <c r="H4603" i="1"/>
  <c r="I4603" i="1"/>
  <c r="J4603" i="1"/>
  <c r="K4603" i="1"/>
  <c r="L4603" i="1"/>
  <c r="A4604" i="1"/>
  <c r="B4604" i="1"/>
  <c r="C4604" i="1"/>
  <c r="D4604" i="1"/>
  <c r="E4604" i="1"/>
  <c r="F4604" i="1"/>
  <c r="G4604" i="1"/>
  <c r="H4604" i="1"/>
  <c r="I4604" i="1"/>
  <c r="J4604" i="1"/>
  <c r="K4604" i="1"/>
  <c r="L4604" i="1"/>
  <c r="A4605" i="1"/>
  <c r="B4605" i="1"/>
  <c r="C4605" i="1"/>
  <c r="D4605" i="1"/>
  <c r="E4605" i="1"/>
  <c r="F4605" i="1"/>
  <c r="G4605" i="1"/>
  <c r="H4605" i="1"/>
  <c r="I4605" i="1"/>
  <c r="J4605" i="1"/>
  <c r="K4605" i="1"/>
  <c r="L4605" i="1"/>
  <c r="A4606" i="1"/>
  <c r="B4606" i="1"/>
  <c r="C4606" i="1"/>
  <c r="D4606" i="1"/>
  <c r="E4606" i="1"/>
  <c r="F4606" i="1"/>
  <c r="G4606" i="1"/>
  <c r="H4606" i="1"/>
  <c r="I4606" i="1"/>
  <c r="J4606" i="1"/>
  <c r="K4606" i="1"/>
  <c r="L4606" i="1"/>
  <c r="A4607" i="1"/>
  <c r="B4607" i="1"/>
  <c r="C4607" i="1"/>
  <c r="D4607" i="1"/>
  <c r="E4607" i="1"/>
  <c r="F4607" i="1"/>
  <c r="G4607" i="1"/>
  <c r="H4607" i="1"/>
  <c r="I4607" i="1"/>
  <c r="J4607" i="1"/>
  <c r="K4607" i="1"/>
  <c r="L4607" i="1"/>
  <c r="A4608" i="1"/>
  <c r="B4608" i="1"/>
  <c r="C4608" i="1"/>
  <c r="D4608" i="1"/>
  <c r="E4608" i="1"/>
  <c r="F4608" i="1"/>
  <c r="G4608" i="1"/>
  <c r="H4608" i="1"/>
  <c r="I4608" i="1"/>
  <c r="J4608" i="1"/>
  <c r="K4608" i="1"/>
  <c r="L4608" i="1"/>
  <c r="A4609" i="1"/>
  <c r="B4609" i="1"/>
  <c r="C4609" i="1"/>
  <c r="D4609" i="1"/>
  <c r="E4609" i="1"/>
  <c r="F4609" i="1"/>
  <c r="G4609" i="1"/>
  <c r="H4609" i="1"/>
  <c r="I4609" i="1"/>
  <c r="J4609" i="1"/>
  <c r="K4609" i="1"/>
  <c r="L4609" i="1"/>
  <c r="A4610" i="1"/>
  <c r="B4610" i="1"/>
  <c r="C4610" i="1"/>
  <c r="D4610" i="1"/>
  <c r="E4610" i="1"/>
  <c r="F4610" i="1"/>
  <c r="G4610" i="1"/>
  <c r="H4610" i="1"/>
  <c r="I4610" i="1"/>
  <c r="J4610" i="1"/>
  <c r="K4610" i="1"/>
  <c r="L4610" i="1"/>
  <c r="A4611" i="1"/>
  <c r="B4611" i="1"/>
  <c r="C4611" i="1"/>
  <c r="D4611" i="1"/>
  <c r="E4611" i="1"/>
  <c r="F4611" i="1"/>
  <c r="G4611" i="1"/>
  <c r="H4611" i="1"/>
  <c r="I4611" i="1"/>
  <c r="J4611" i="1"/>
  <c r="K4611" i="1"/>
  <c r="L4611" i="1"/>
  <c r="A4612" i="1"/>
  <c r="B4612" i="1"/>
  <c r="C4612" i="1"/>
  <c r="D4612" i="1"/>
  <c r="E4612" i="1"/>
  <c r="F4612" i="1"/>
  <c r="G4612" i="1"/>
  <c r="H4612" i="1"/>
  <c r="I4612" i="1"/>
  <c r="J4612" i="1"/>
  <c r="K4612" i="1"/>
  <c r="L4612" i="1"/>
  <c r="A4613" i="1"/>
  <c r="B4613" i="1"/>
  <c r="C4613" i="1"/>
  <c r="D4613" i="1"/>
  <c r="E4613" i="1"/>
  <c r="F4613" i="1"/>
  <c r="G4613" i="1"/>
  <c r="H4613" i="1"/>
  <c r="I4613" i="1"/>
  <c r="J4613" i="1"/>
  <c r="K4613" i="1"/>
  <c r="L4613" i="1"/>
  <c r="A4614" i="1"/>
  <c r="B4614" i="1"/>
  <c r="C4614" i="1"/>
  <c r="D4614" i="1"/>
  <c r="E4614" i="1"/>
  <c r="F4614" i="1"/>
  <c r="G4614" i="1"/>
  <c r="H4614" i="1"/>
  <c r="I4614" i="1"/>
  <c r="J4614" i="1"/>
  <c r="K4614" i="1"/>
  <c r="L4614" i="1"/>
  <c r="A4615" i="1"/>
  <c r="B4615" i="1"/>
  <c r="C4615" i="1"/>
  <c r="D4615" i="1"/>
  <c r="E4615" i="1"/>
  <c r="F4615" i="1"/>
  <c r="G4615" i="1"/>
  <c r="H4615" i="1"/>
  <c r="I4615" i="1"/>
  <c r="J4615" i="1"/>
  <c r="K4615" i="1"/>
  <c r="L4615" i="1"/>
  <c r="A4616" i="1"/>
  <c r="B4616" i="1"/>
  <c r="C4616" i="1"/>
  <c r="D4616" i="1"/>
  <c r="E4616" i="1"/>
  <c r="F4616" i="1"/>
  <c r="G4616" i="1"/>
  <c r="H4616" i="1"/>
  <c r="I4616" i="1"/>
  <c r="J4616" i="1"/>
  <c r="K4616" i="1"/>
  <c r="L4616" i="1"/>
  <c r="A4617" i="1"/>
  <c r="B4617" i="1"/>
  <c r="C4617" i="1"/>
  <c r="D4617" i="1"/>
  <c r="E4617" i="1"/>
  <c r="F4617" i="1"/>
  <c r="G4617" i="1"/>
  <c r="H4617" i="1"/>
  <c r="I4617" i="1"/>
  <c r="J4617" i="1"/>
  <c r="K4617" i="1"/>
  <c r="L4617" i="1"/>
  <c r="A4618" i="1"/>
  <c r="B4618" i="1"/>
  <c r="C4618" i="1"/>
  <c r="D4618" i="1"/>
  <c r="E4618" i="1"/>
  <c r="F4618" i="1"/>
  <c r="G4618" i="1"/>
  <c r="H4618" i="1"/>
  <c r="I4618" i="1"/>
  <c r="J4618" i="1"/>
  <c r="K4618" i="1"/>
  <c r="L4618" i="1"/>
  <c r="A4619" i="1"/>
  <c r="B4619" i="1"/>
  <c r="C4619" i="1"/>
  <c r="D4619" i="1"/>
  <c r="E4619" i="1"/>
  <c r="F4619" i="1"/>
  <c r="G4619" i="1"/>
  <c r="H4619" i="1"/>
  <c r="I4619" i="1"/>
  <c r="J4619" i="1"/>
  <c r="K4619" i="1"/>
  <c r="L4619" i="1"/>
  <c r="A4620" i="1"/>
  <c r="B4620" i="1"/>
  <c r="C4620" i="1"/>
  <c r="D4620" i="1"/>
  <c r="E4620" i="1"/>
  <c r="F4620" i="1"/>
  <c r="G4620" i="1"/>
  <c r="H4620" i="1"/>
  <c r="I4620" i="1"/>
  <c r="J4620" i="1"/>
  <c r="K4620" i="1"/>
  <c r="L4620" i="1"/>
  <c r="A4621" i="1"/>
  <c r="B4621" i="1"/>
  <c r="C4621" i="1"/>
  <c r="D4621" i="1"/>
  <c r="E4621" i="1"/>
  <c r="F4621" i="1"/>
  <c r="G4621" i="1"/>
  <c r="H4621" i="1"/>
  <c r="I4621" i="1"/>
  <c r="J4621" i="1"/>
  <c r="K4621" i="1"/>
  <c r="L4621" i="1"/>
  <c r="A4622" i="1"/>
  <c r="B4622" i="1"/>
  <c r="C4622" i="1"/>
  <c r="D4622" i="1"/>
  <c r="E4622" i="1"/>
  <c r="F4622" i="1"/>
  <c r="G4622" i="1"/>
  <c r="H4622" i="1"/>
  <c r="I4622" i="1"/>
  <c r="J4622" i="1"/>
  <c r="K4622" i="1"/>
  <c r="L4622" i="1"/>
  <c r="A4623" i="1"/>
  <c r="B4623" i="1"/>
  <c r="C4623" i="1"/>
  <c r="D4623" i="1"/>
  <c r="E4623" i="1"/>
  <c r="F4623" i="1"/>
  <c r="G4623" i="1"/>
  <c r="H4623" i="1"/>
  <c r="I4623" i="1"/>
  <c r="J4623" i="1"/>
  <c r="K4623" i="1"/>
  <c r="L4623" i="1"/>
  <c r="A4624" i="1"/>
  <c r="B4624" i="1"/>
  <c r="C4624" i="1"/>
  <c r="D4624" i="1"/>
  <c r="E4624" i="1"/>
  <c r="F4624" i="1"/>
  <c r="G4624" i="1"/>
  <c r="H4624" i="1"/>
  <c r="I4624" i="1"/>
  <c r="J4624" i="1"/>
  <c r="K4624" i="1"/>
  <c r="L4624" i="1"/>
  <c r="A4625" i="1"/>
  <c r="B4625" i="1"/>
  <c r="C4625" i="1"/>
  <c r="D4625" i="1"/>
  <c r="E4625" i="1"/>
  <c r="F4625" i="1"/>
  <c r="G4625" i="1"/>
  <c r="H4625" i="1"/>
  <c r="I4625" i="1"/>
  <c r="J4625" i="1"/>
  <c r="K4625" i="1"/>
  <c r="L4625" i="1"/>
  <c r="A4626" i="1"/>
  <c r="B4626" i="1"/>
  <c r="C4626" i="1"/>
  <c r="D4626" i="1"/>
  <c r="E4626" i="1"/>
  <c r="F4626" i="1"/>
  <c r="G4626" i="1"/>
  <c r="H4626" i="1"/>
  <c r="I4626" i="1"/>
  <c r="J4626" i="1"/>
  <c r="K4626" i="1"/>
  <c r="L4626" i="1"/>
  <c r="A4627" i="1"/>
  <c r="B4627" i="1"/>
  <c r="C4627" i="1"/>
  <c r="D4627" i="1"/>
  <c r="E4627" i="1"/>
  <c r="F4627" i="1"/>
  <c r="G4627" i="1"/>
  <c r="H4627" i="1"/>
  <c r="I4627" i="1"/>
  <c r="J4627" i="1"/>
  <c r="K4627" i="1"/>
  <c r="L4627" i="1"/>
  <c r="A4628" i="1"/>
  <c r="B4628" i="1"/>
  <c r="C4628" i="1"/>
  <c r="D4628" i="1"/>
  <c r="E4628" i="1"/>
  <c r="F4628" i="1"/>
  <c r="G4628" i="1"/>
  <c r="H4628" i="1"/>
  <c r="I4628" i="1"/>
  <c r="J4628" i="1"/>
  <c r="K4628" i="1"/>
  <c r="L4628" i="1"/>
  <c r="A4629" i="1"/>
  <c r="B4629" i="1"/>
  <c r="C4629" i="1"/>
  <c r="D4629" i="1"/>
  <c r="E4629" i="1"/>
  <c r="F4629" i="1"/>
  <c r="G4629" i="1"/>
  <c r="H4629" i="1"/>
  <c r="I4629" i="1"/>
  <c r="J4629" i="1"/>
  <c r="K4629" i="1"/>
  <c r="L4629" i="1"/>
  <c r="A4630" i="1"/>
  <c r="B4630" i="1"/>
  <c r="C4630" i="1"/>
  <c r="D4630" i="1"/>
  <c r="E4630" i="1"/>
  <c r="F4630" i="1"/>
  <c r="G4630" i="1"/>
  <c r="H4630" i="1"/>
  <c r="I4630" i="1"/>
  <c r="J4630" i="1"/>
  <c r="K4630" i="1"/>
  <c r="L4630" i="1"/>
  <c r="A4631" i="1"/>
  <c r="B4631" i="1"/>
  <c r="C4631" i="1"/>
  <c r="D4631" i="1"/>
  <c r="E4631" i="1"/>
  <c r="F4631" i="1"/>
  <c r="G4631" i="1"/>
  <c r="H4631" i="1"/>
  <c r="I4631" i="1"/>
  <c r="J4631" i="1"/>
  <c r="K4631" i="1"/>
  <c r="L4631" i="1"/>
  <c r="A4632" i="1"/>
  <c r="B4632" i="1"/>
  <c r="C4632" i="1"/>
  <c r="D4632" i="1"/>
  <c r="E4632" i="1"/>
  <c r="F4632" i="1"/>
  <c r="G4632" i="1"/>
  <c r="H4632" i="1"/>
  <c r="I4632" i="1"/>
  <c r="J4632" i="1"/>
  <c r="K4632" i="1"/>
  <c r="L4632" i="1"/>
  <c r="A4633" i="1"/>
  <c r="B4633" i="1"/>
  <c r="C4633" i="1"/>
  <c r="D4633" i="1"/>
  <c r="E4633" i="1"/>
  <c r="F4633" i="1"/>
  <c r="G4633" i="1"/>
  <c r="H4633" i="1"/>
  <c r="I4633" i="1"/>
  <c r="J4633" i="1"/>
  <c r="K4633" i="1"/>
  <c r="L4633" i="1"/>
  <c r="A4634" i="1"/>
  <c r="B4634" i="1"/>
  <c r="C4634" i="1"/>
  <c r="D4634" i="1"/>
  <c r="E4634" i="1"/>
  <c r="F4634" i="1"/>
  <c r="G4634" i="1"/>
  <c r="H4634" i="1"/>
  <c r="I4634" i="1"/>
  <c r="J4634" i="1"/>
  <c r="K4634" i="1"/>
  <c r="L4634" i="1"/>
  <c r="A4635" i="1"/>
  <c r="B4635" i="1"/>
  <c r="C4635" i="1"/>
  <c r="D4635" i="1"/>
  <c r="E4635" i="1"/>
  <c r="F4635" i="1"/>
  <c r="G4635" i="1"/>
  <c r="H4635" i="1"/>
  <c r="I4635" i="1"/>
  <c r="J4635" i="1"/>
  <c r="K4635" i="1"/>
  <c r="L4635" i="1"/>
  <c r="A4636" i="1"/>
  <c r="B4636" i="1"/>
  <c r="C4636" i="1"/>
  <c r="D4636" i="1"/>
  <c r="E4636" i="1"/>
  <c r="F4636" i="1"/>
  <c r="G4636" i="1"/>
  <c r="H4636" i="1"/>
  <c r="I4636" i="1"/>
  <c r="J4636" i="1"/>
  <c r="K4636" i="1"/>
  <c r="L4636" i="1"/>
  <c r="A4637" i="1"/>
  <c r="B4637" i="1"/>
  <c r="C4637" i="1"/>
  <c r="D4637" i="1"/>
  <c r="E4637" i="1"/>
  <c r="F4637" i="1"/>
  <c r="G4637" i="1"/>
  <c r="H4637" i="1"/>
  <c r="I4637" i="1"/>
  <c r="J4637" i="1"/>
  <c r="K4637" i="1"/>
  <c r="L4637" i="1"/>
  <c r="A4638" i="1"/>
  <c r="B4638" i="1"/>
  <c r="C4638" i="1"/>
  <c r="D4638" i="1"/>
  <c r="E4638" i="1"/>
  <c r="F4638" i="1"/>
  <c r="G4638" i="1"/>
  <c r="H4638" i="1"/>
  <c r="I4638" i="1"/>
  <c r="J4638" i="1"/>
  <c r="K4638" i="1"/>
  <c r="L4638" i="1"/>
  <c r="A4639" i="1"/>
  <c r="B4639" i="1"/>
  <c r="C4639" i="1"/>
  <c r="D4639" i="1"/>
  <c r="E4639" i="1"/>
  <c r="F4639" i="1"/>
  <c r="G4639" i="1"/>
  <c r="H4639" i="1"/>
  <c r="I4639" i="1"/>
  <c r="J4639" i="1"/>
  <c r="K4639" i="1"/>
  <c r="L4639" i="1"/>
  <c r="A4640" i="1"/>
  <c r="B4640" i="1"/>
  <c r="C4640" i="1"/>
  <c r="D4640" i="1"/>
  <c r="E4640" i="1"/>
  <c r="F4640" i="1"/>
  <c r="G4640" i="1"/>
  <c r="H4640" i="1"/>
  <c r="I4640" i="1"/>
  <c r="J4640" i="1"/>
  <c r="K4640" i="1"/>
  <c r="L4640" i="1"/>
  <c r="A4641" i="1"/>
  <c r="B4641" i="1"/>
  <c r="C4641" i="1"/>
  <c r="D4641" i="1"/>
  <c r="E4641" i="1"/>
  <c r="F4641" i="1"/>
  <c r="G4641" i="1"/>
  <c r="H4641" i="1"/>
  <c r="I4641" i="1"/>
  <c r="J4641" i="1"/>
  <c r="K4641" i="1"/>
  <c r="L4641" i="1"/>
  <c r="A4642" i="1"/>
  <c r="B4642" i="1"/>
  <c r="C4642" i="1"/>
  <c r="D4642" i="1"/>
  <c r="E4642" i="1"/>
  <c r="F4642" i="1"/>
  <c r="G4642" i="1"/>
  <c r="H4642" i="1"/>
  <c r="I4642" i="1"/>
  <c r="J4642" i="1"/>
  <c r="K4642" i="1"/>
  <c r="L4642" i="1"/>
  <c r="A4643" i="1"/>
  <c r="B4643" i="1"/>
  <c r="C4643" i="1"/>
  <c r="D4643" i="1"/>
  <c r="E4643" i="1"/>
  <c r="F4643" i="1"/>
  <c r="G4643" i="1"/>
  <c r="H4643" i="1"/>
  <c r="I4643" i="1"/>
  <c r="J4643" i="1"/>
  <c r="K4643" i="1"/>
  <c r="L4643" i="1"/>
  <c r="A4644" i="1"/>
  <c r="B4644" i="1"/>
  <c r="C4644" i="1"/>
  <c r="D4644" i="1"/>
  <c r="E4644" i="1"/>
  <c r="F4644" i="1"/>
  <c r="G4644" i="1"/>
  <c r="H4644" i="1"/>
  <c r="I4644" i="1"/>
  <c r="J4644" i="1"/>
  <c r="K4644" i="1"/>
  <c r="L4644" i="1"/>
  <c r="A4645" i="1"/>
  <c r="B4645" i="1"/>
  <c r="C4645" i="1"/>
  <c r="D4645" i="1"/>
  <c r="E4645" i="1"/>
  <c r="F4645" i="1"/>
  <c r="G4645" i="1"/>
  <c r="H4645" i="1"/>
  <c r="I4645" i="1"/>
  <c r="J4645" i="1"/>
  <c r="K4645" i="1"/>
  <c r="L4645" i="1"/>
  <c r="A4646" i="1"/>
  <c r="B4646" i="1"/>
  <c r="C4646" i="1"/>
  <c r="D4646" i="1"/>
  <c r="E4646" i="1"/>
  <c r="F4646" i="1"/>
  <c r="G4646" i="1"/>
  <c r="H4646" i="1"/>
  <c r="I4646" i="1"/>
  <c r="J4646" i="1"/>
  <c r="K4646" i="1"/>
  <c r="L4646" i="1"/>
  <c r="A4647" i="1"/>
  <c r="B4647" i="1"/>
  <c r="C4647" i="1"/>
  <c r="D4647" i="1"/>
  <c r="E4647" i="1"/>
  <c r="F4647" i="1"/>
  <c r="G4647" i="1"/>
  <c r="H4647" i="1"/>
  <c r="I4647" i="1"/>
  <c r="J4647" i="1"/>
  <c r="K4647" i="1"/>
  <c r="L4647" i="1"/>
  <c r="A4648" i="1"/>
  <c r="B4648" i="1"/>
  <c r="C4648" i="1"/>
  <c r="D4648" i="1"/>
  <c r="E4648" i="1"/>
  <c r="F4648" i="1"/>
  <c r="G4648" i="1"/>
  <c r="H4648" i="1"/>
  <c r="I4648" i="1"/>
  <c r="J4648" i="1"/>
  <c r="K4648" i="1"/>
  <c r="L4648" i="1"/>
  <c r="A4649" i="1"/>
  <c r="B4649" i="1"/>
  <c r="C4649" i="1"/>
  <c r="D4649" i="1"/>
  <c r="E4649" i="1"/>
  <c r="F4649" i="1"/>
  <c r="G4649" i="1"/>
  <c r="H4649" i="1"/>
  <c r="I4649" i="1"/>
  <c r="J4649" i="1"/>
  <c r="K4649" i="1"/>
  <c r="L4649" i="1"/>
  <c r="A4650" i="1"/>
  <c r="B4650" i="1"/>
  <c r="C4650" i="1"/>
  <c r="D4650" i="1"/>
  <c r="E4650" i="1"/>
  <c r="F4650" i="1"/>
  <c r="G4650" i="1"/>
  <c r="H4650" i="1"/>
  <c r="I4650" i="1"/>
  <c r="J4650" i="1"/>
  <c r="K4650" i="1"/>
  <c r="L4650" i="1"/>
  <c r="A4651" i="1"/>
  <c r="B4651" i="1"/>
  <c r="C4651" i="1"/>
  <c r="D4651" i="1"/>
  <c r="E4651" i="1"/>
  <c r="F4651" i="1"/>
  <c r="G4651" i="1"/>
  <c r="H4651" i="1"/>
  <c r="I4651" i="1"/>
  <c r="J4651" i="1"/>
  <c r="K4651" i="1"/>
  <c r="L4651" i="1"/>
  <c r="A4652" i="1"/>
  <c r="B4652" i="1"/>
  <c r="C4652" i="1"/>
  <c r="D4652" i="1"/>
  <c r="E4652" i="1"/>
  <c r="F4652" i="1"/>
  <c r="G4652" i="1"/>
  <c r="H4652" i="1"/>
  <c r="I4652" i="1"/>
  <c r="J4652" i="1"/>
  <c r="K4652" i="1"/>
  <c r="L4652" i="1"/>
  <c r="A4653" i="1"/>
  <c r="B4653" i="1"/>
  <c r="C4653" i="1"/>
  <c r="D4653" i="1"/>
  <c r="E4653" i="1"/>
  <c r="F4653" i="1"/>
  <c r="G4653" i="1"/>
  <c r="H4653" i="1"/>
  <c r="I4653" i="1"/>
  <c r="J4653" i="1"/>
  <c r="K4653" i="1"/>
  <c r="L4653" i="1"/>
  <c r="A4654" i="1"/>
  <c r="B4654" i="1"/>
  <c r="C4654" i="1"/>
  <c r="D4654" i="1"/>
  <c r="E4654" i="1"/>
  <c r="F4654" i="1"/>
  <c r="G4654" i="1"/>
  <c r="H4654" i="1"/>
  <c r="I4654" i="1"/>
  <c r="J4654" i="1"/>
  <c r="K4654" i="1"/>
  <c r="L4654" i="1"/>
  <c r="A4655" i="1"/>
  <c r="B4655" i="1"/>
  <c r="C4655" i="1"/>
  <c r="D4655" i="1"/>
  <c r="E4655" i="1"/>
  <c r="F4655" i="1"/>
  <c r="G4655" i="1"/>
  <c r="H4655" i="1"/>
  <c r="I4655" i="1"/>
  <c r="J4655" i="1"/>
  <c r="K4655" i="1"/>
  <c r="L4655" i="1"/>
  <c r="A4656" i="1"/>
  <c r="B4656" i="1"/>
  <c r="C4656" i="1"/>
  <c r="D4656" i="1"/>
  <c r="E4656" i="1"/>
  <c r="F4656" i="1"/>
  <c r="G4656" i="1"/>
  <c r="H4656" i="1"/>
  <c r="I4656" i="1"/>
  <c r="J4656" i="1"/>
  <c r="K4656" i="1"/>
  <c r="L4656" i="1"/>
  <c r="A4657" i="1"/>
  <c r="B4657" i="1"/>
  <c r="C4657" i="1"/>
  <c r="D4657" i="1"/>
  <c r="E4657" i="1"/>
  <c r="F4657" i="1"/>
  <c r="G4657" i="1"/>
  <c r="H4657" i="1"/>
  <c r="I4657" i="1"/>
  <c r="J4657" i="1"/>
  <c r="K4657" i="1"/>
  <c r="L4657" i="1"/>
  <c r="A4658" i="1"/>
  <c r="B4658" i="1"/>
  <c r="C4658" i="1"/>
  <c r="D4658" i="1"/>
  <c r="E4658" i="1"/>
  <c r="F4658" i="1"/>
  <c r="G4658" i="1"/>
  <c r="H4658" i="1"/>
  <c r="I4658" i="1"/>
  <c r="J4658" i="1"/>
  <c r="K4658" i="1"/>
  <c r="L4658" i="1"/>
  <c r="A4659" i="1"/>
  <c r="B4659" i="1"/>
  <c r="C4659" i="1"/>
  <c r="D4659" i="1"/>
  <c r="E4659" i="1"/>
  <c r="F4659" i="1"/>
  <c r="G4659" i="1"/>
  <c r="H4659" i="1"/>
  <c r="I4659" i="1"/>
  <c r="J4659" i="1"/>
  <c r="K4659" i="1"/>
  <c r="L4659" i="1"/>
  <c r="A4660" i="1"/>
  <c r="B4660" i="1"/>
  <c r="C4660" i="1"/>
  <c r="D4660" i="1"/>
  <c r="E4660" i="1"/>
  <c r="F4660" i="1"/>
  <c r="G4660" i="1"/>
  <c r="H4660" i="1"/>
  <c r="I4660" i="1"/>
  <c r="J4660" i="1"/>
  <c r="K4660" i="1"/>
  <c r="L4660" i="1"/>
  <c r="A4661" i="1"/>
  <c r="B4661" i="1"/>
  <c r="C4661" i="1"/>
  <c r="D4661" i="1"/>
  <c r="E4661" i="1"/>
  <c r="F4661" i="1"/>
  <c r="G4661" i="1"/>
  <c r="H4661" i="1"/>
  <c r="I4661" i="1"/>
  <c r="J4661" i="1"/>
  <c r="K4661" i="1"/>
  <c r="L4661" i="1"/>
  <c r="A4662" i="1"/>
  <c r="B4662" i="1"/>
  <c r="C4662" i="1"/>
  <c r="D4662" i="1"/>
  <c r="E4662" i="1"/>
  <c r="F4662" i="1"/>
  <c r="G4662" i="1"/>
  <c r="H4662" i="1"/>
  <c r="I4662" i="1"/>
  <c r="J4662" i="1"/>
  <c r="K4662" i="1"/>
  <c r="L4662" i="1"/>
  <c r="A4663" i="1"/>
  <c r="B4663" i="1"/>
  <c r="C4663" i="1"/>
  <c r="D4663" i="1"/>
  <c r="E4663" i="1"/>
  <c r="F4663" i="1"/>
  <c r="G4663" i="1"/>
  <c r="H4663" i="1"/>
  <c r="I4663" i="1"/>
  <c r="J4663" i="1"/>
  <c r="K4663" i="1"/>
  <c r="L4663" i="1"/>
  <c r="A4664" i="1"/>
  <c r="B4664" i="1"/>
  <c r="C4664" i="1"/>
  <c r="D4664" i="1"/>
  <c r="E4664" i="1"/>
  <c r="F4664" i="1"/>
  <c r="G4664" i="1"/>
  <c r="H4664" i="1"/>
  <c r="I4664" i="1"/>
  <c r="J4664" i="1"/>
  <c r="K4664" i="1"/>
  <c r="L4664" i="1"/>
  <c r="A4665" i="1"/>
  <c r="B4665" i="1"/>
  <c r="C4665" i="1"/>
  <c r="D4665" i="1"/>
  <c r="E4665" i="1"/>
  <c r="F4665" i="1"/>
  <c r="G4665" i="1"/>
  <c r="H4665" i="1"/>
  <c r="I4665" i="1"/>
  <c r="J4665" i="1"/>
  <c r="K4665" i="1"/>
  <c r="L4665" i="1"/>
  <c r="A4666" i="1"/>
  <c r="B4666" i="1"/>
  <c r="C4666" i="1"/>
  <c r="D4666" i="1"/>
  <c r="E4666" i="1"/>
  <c r="F4666" i="1"/>
  <c r="G4666" i="1"/>
  <c r="H4666" i="1"/>
  <c r="I4666" i="1"/>
  <c r="J4666" i="1"/>
  <c r="K4666" i="1"/>
  <c r="L4666" i="1"/>
  <c r="A4667" i="1"/>
  <c r="B4667" i="1"/>
  <c r="C4667" i="1"/>
  <c r="D4667" i="1"/>
  <c r="E4667" i="1"/>
  <c r="F4667" i="1"/>
  <c r="G4667" i="1"/>
  <c r="H4667" i="1"/>
  <c r="I4667" i="1"/>
  <c r="J4667" i="1"/>
  <c r="K4667" i="1"/>
  <c r="L4667" i="1"/>
  <c r="A4668" i="1"/>
  <c r="B4668" i="1"/>
  <c r="C4668" i="1"/>
  <c r="D4668" i="1"/>
  <c r="E4668" i="1"/>
  <c r="F4668" i="1"/>
  <c r="G4668" i="1"/>
  <c r="H4668" i="1"/>
  <c r="I4668" i="1"/>
  <c r="J4668" i="1"/>
  <c r="K4668" i="1"/>
  <c r="L4668" i="1"/>
  <c r="A4669" i="1"/>
  <c r="B4669" i="1"/>
  <c r="C4669" i="1"/>
  <c r="D4669" i="1"/>
  <c r="E4669" i="1"/>
  <c r="F4669" i="1"/>
  <c r="G4669" i="1"/>
  <c r="H4669" i="1"/>
  <c r="I4669" i="1"/>
  <c r="J4669" i="1"/>
  <c r="K4669" i="1"/>
  <c r="L4669" i="1"/>
  <c r="A4670" i="1"/>
  <c r="B4670" i="1"/>
  <c r="C4670" i="1"/>
  <c r="D4670" i="1"/>
  <c r="E4670" i="1"/>
  <c r="F4670" i="1"/>
  <c r="G4670" i="1"/>
  <c r="H4670" i="1"/>
  <c r="I4670" i="1"/>
  <c r="J4670" i="1"/>
  <c r="K4670" i="1"/>
  <c r="L4670" i="1"/>
  <c r="A4671" i="1"/>
  <c r="B4671" i="1"/>
  <c r="C4671" i="1"/>
  <c r="D4671" i="1"/>
  <c r="E4671" i="1"/>
  <c r="F4671" i="1"/>
  <c r="G4671" i="1"/>
  <c r="H4671" i="1"/>
  <c r="I4671" i="1"/>
  <c r="J4671" i="1"/>
  <c r="K4671" i="1"/>
  <c r="L4671" i="1"/>
  <c r="A4672" i="1"/>
  <c r="B4672" i="1"/>
  <c r="C4672" i="1"/>
  <c r="D4672" i="1"/>
  <c r="E4672" i="1"/>
  <c r="F4672" i="1"/>
  <c r="G4672" i="1"/>
  <c r="H4672" i="1"/>
  <c r="I4672" i="1"/>
  <c r="J4672" i="1"/>
  <c r="K4672" i="1"/>
  <c r="L4672" i="1"/>
  <c r="A4673" i="1"/>
  <c r="B4673" i="1"/>
  <c r="C4673" i="1"/>
  <c r="D4673" i="1"/>
  <c r="E4673" i="1"/>
  <c r="F4673" i="1"/>
  <c r="G4673" i="1"/>
  <c r="H4673" i="1"/>
  <c r="I4673" i="1"/>
  <c r="J4673" i="1"/>
  <c r="K4673" i="1"/>
  <c r="L4673" i="1"/>
  <c r="A4674" i="1"/>
  <c r="B4674" i="1"/>
  <c r="C4674" i="1"/>
  <c r="D4674" i="1"/>
  <c r="E4674" i="1"/>
  <c r="F4674" i="1"/>
  <c r="G4674" i="1"/>
  <c r="H4674" i="1"/>
  <c r="I4674" i="1"/>
  <c r="J4674" i="1"/>
  <c r="K4674" i="1"/>
  <c r="L4674" i="1"/>
  <c r="A4675" i="1"/>
  <c r="B4675" i="1"/>
  <c r="C4675" i="1"/>
  <c r="D4675" i="1"/>
  <c r="E4675" i="1"/>
  <c r="F4675" i="1"/>
  <c r="G4675" i="1"/>
  <c r="H4675" i="1"/>
  <c r="I4675" i="1"/>
  <c r="J4675" i="1"/>
  <c r="K4675" i="1"/>
  <c r="L4675" i="1"/>
  <c r="A4676" i="1"/>
  <c r="B4676" i="1"/>
  <c r="C4676" i="1"/>
  <c r="D4676" i="1"/>
  <c r="E4676" i="1"/>
  <c r="F4676" i="1"/>
  <c r="G4676" i="1"/>
  <c r="H4676" i="1"/>
  <c r="I4676" i="1"/>
  <c r="J4676" i="1"/>
  <c r="K4676" i="1"/>
  <c r="L4676" i="1"/>
  <c r="A4677" i="1"/>
  <c r="B4677" i="1"/>
  <c r="C4677" i="1"/>
  <c r="D4677" i="1"/>
  <c r="E4677" i="1"/>
  <c r="F4677" i="1"/>
  <c r="G4677" i="1"/>
  <c r="H4677" i="1"/>
  <c r="I4677" i="1"/>
  <c r="J4677" i="1"/>
  <c r="K4677" i="1"/>
  <c r="L4677" i="1"/>
  <c r="A4678" i="1"/>
  <c r="B4678" i="1"/>
  <c r="C4678" i="1"/>
  <c r="D4678" i="1"/>
  <c r="E4678" i="1"/>
  <c r="F4678" i="1"/>
  <c r="G4678" i="1"/>
  <c r="H4678" i="1"/>
  <c r="I4678" i="1"/>
  <c r="J4678" i="1"/>
  <c r="K4678" i="1"/>
  <c r="L4678" i="1"/>
  <c r="A4679" i="1"/>
  <c r="B4679" i="1"/>
  <c r="C4679" i="1"/>
  <c r="D4679" i="1"/>
  <c r="E4679" i="1"/>
  <c r="F4679" i="1"/>
  <c r="G4679" i="1"/>
  <c r="H4679" i="1"/>
  <c r="I4679" i="1"/>
  <c r="J4679" i="1"/>
  <c r="K4679" i="1"/>
  <c r="L4679" i="1"/>
  <c r="A4680" i="1"/>
  <c r="B4680" i="1"/>
  <c r="C4680" i="1"/>
  <c r="D4680" i="1"/>
  <c r="E4680" i="1"/>
  <c r="F4680" i="1"/>
  <c r="G4680" i="1"/>
  <c r="H4680" i="1"/>
  <c r="I4680" i="1"/>
  <c r="J4680" i="1"/>
  <c r="K4680" i="1"/>
  <c r="L4680" i="1"/>
  <c r="A4681" i="1"/>
  <c r="B4681" i="1"/>
  <c r="C4681" i="1"/>
  <c r="D4681" i="1"/>
  <c r="E4681" i="1"/>
  <c r="F4681" i="1"/>
  <c r="G4681" i="1"/>
  <c r="H4681" i="1"/>
  <c r="I4681" i="1"/>
  <c r="J4681" i="1"/>
  <c r="K4681" i="1"/>
  <c r="L4681" i="1"/>
  <c r="A4682" i="1"/>
  <c r="B4682" i="1"/>
  <c r="C4682" i="1"/>
  <c r="D4682" i="1"/>
  <c r="E4682" i="1"/>
  <c r="F4682" i="1"/>
  <c r="G4682" i="1"/>
  <c r="H4682" i="1"/>
  <c r="I4682" i="1"/>
  <c r="J4682" i="1"/>
  <c r="K4682" i="1"/>
  <c r="L4682" i="1"/>
  <c r="A4683" i="1"/>
  <c r="B4683" i="1"/>
  <c r="C4683" i="1"/>
  <c r="D4683" i="1"/>
  <c r="E4683" i="1"/>
  <c r="F4683" i="1"/>
  <c r="G4683" i="1"/>
  <c r="H4683" i="1"/>
  <c r="I4683" i="1"/>
  <c r="J4683" i="1"/>
  <c r="K4683" i="1"/>
  <c r="L4683" i="1"/>
  <c r="A4684" i="1"/>
  <c r="B4684" i="1"/>
  <c r="C4684" i="1"/>
  <c r="D4684" i="1"/>
  <c r="E4684" i="1"/>
  <c r="F4684" i="1"/>
  <c r="G4684" i="1"/>
  <c r="H4684" i="1"/>
  <c r="I4684" i="1"/>
  <c r="J4684" i="1"/>
  <c r="K4684" i="1"/>
  <c r="L4684" i="1"/>
  <c r="A4685" i="1"/>
  <c r="B4685" i="1"/>
  <c r="C4685" i="1"/>
  <c r="D4685" i="1"/>
  <c r="E4685" i="1"/>
  <c r="F4685" i="1"/>
  <c r="G4685" i="1"/>
  <c r="H4685" i="1"/>
  <c r="I4685" i="1"/>
  <c r="J4685" i="1"/>
  <c r="K4685" i="1"/>
  <c r="L4685" i="1"/>
  <c r="A4686" i="1"/>
  <c r="B4686" i="1"/>
  <c r="C4686" i="1"/>
  <c r="D4686" i="1"/>
  <c r="E4686" i="1"/>
  <c r="F4686" i="1"/>
  <c r="G4686" i="1"/>
  <c r="H4686" i="1"/>
  <c r="I4686" i="1"/>
  <c r="J4686" i="1"/>
  <c r="K4686" i="1"/>
  <c r="L4686" i="1"/>
  <c r="A4687" i="1"/>
  <c r="B4687" i="1"/>
  <c r="C4687" i="1"/>
  <c r="D4687" i="1"/>
  <c r="E4687" i="1"/>
  <c r="F4687" i="1"/>
  <c r="G4687" i="1"/>
  <c r="H4687" i="1"/>
  <c r="I4687" i="1"/>
  <c r="J4687" i="1"/>
  <c r="K4687" i="1"/>
  <c r="L4687" i="1"/>
  <c r="A4688" i="1"/>
  <c r="B4688" i="1"/>
  <c r="C4688" i="1"/>
  <c r="D4688" i="1"/>
  <c r="E4688" i="1"/>
  <c r="F4688" i="1"/>
  <c r="G4688" i="1"/>
  <c r="H4688" i="1"/>
  <c r="I4688" i="1"/>
  <c r="J4688" i="1"/>
  <c r="K4688" i="1"/>
  <c r="L4688" i="1"/>
  <c r="A4689" i="1"/>
  <c r="B4689" i="1"/>
  <c r="C4689" i="1"/>
  <c r="D4689" i="1"/>
  <c r="E4689" i="1"/>
  <c r="F4689" i="1"/>
  <c r="G4689" i="1"/>
  <c r="H4689" i="1"/>
  <c r="I4689" i="1"/>
  <c r="J4689" i="1"/>
  <c r="K4689" i="1"/>
  <c r="L4689" i="1"/>
  <c r="A4690" i="1"/>
  <c r="B4690" i="1"/>
  <c r="C4690" i="1"/>
  <c r="D4690" i="1"/>
  <c r="E4690" i="1"/>
  <c r="F4690" i="1"/>
  <c r="G4690" i="1"/>
  <c r="H4690" i="1"/>
  <c r="I4690" i="1"/>
  <c r="J4690" i="1"/>
  <c r="K4690" i="1"/>
  <c r="L4690" i="1"/>
  <c r="A4691" i="1"/>
  <c r="B4691" i="1"/>
  <c r="C4691" i="1"/>
  <c r="D4691" i="1"/>
  <c r="E4691" i="1"/>
  <c r="F4691" i="1"/>
  <c r="G4691" i="1"/>
  <c r="H4691" i="1"/>
  <c r="I4691" i="1"/>
  <c r="J4691" i="1"/>
  <c r="K4691" i="1"/>
  <c r="L4691" i="1"/>
  <c r="A4692" i="1"/>
  <c r="B4692" i="1"/>
  <c r="C4692" i="1"/>
  <c r="D4692" i="1"/>
  <c r="E4692" i="1"/>
  <c r="F4692" i="1"/>
  <c r="G4692" i="1"/>
  <c r="H4692" i="1"/>
  <c r="I4692" i="1"/>
  <c r="J4692" i="1"/>
  <c r="K4692" i="1"/>
  <c r="L4692" i="1"/>
  <c r="A4693" i="1"/>
  <c r="B4693" i="1"/>
  <c r="C4693" i="1"/>
  <c r="D4693" i="1"/>
  <c r="E4693" i="1"/>
  <c r="F4693" i="1"/>
  <c r="G4693" i="1"/>
  <c r="H4693" i="1"/>
  <c r="I4693" i="1"/>
  <c r="J4693" i="1"/>
  <c r="K4693" i="1"/>
  <c r="L4693" i="1"/>
  <c r="A4694" i="1"/>
  <c r="B4694" i="1"/>
  <c r="C4694" i="1"/>
  <c r="D4694" i="1"/>
  <c r="E4694" i="1"/>
  <c r="F4694" i="1"/>
  <c r="G4694" i="1"/>
  <c r="H4694" i="1"/>
  <c r="I4694" i="1"/>
  <c r="J4694" i="1"/>
  <c r="K4694" i="1"/>
  <c r="L4694" i="1"/>
  <c r="A4695" i="1"/>
  <c r="B4695" i="1"/>
  <c r="C4695" i="1"/>
  <c r="D4695" i="1"/>
  <c r="E4695" i="1"/>
  <c r="F4695" i="1"/>
  <c r="G4695" i="1"/>
  <c r="H4695" i="1"/>
  <c r="I4695" i="1"/>
  <c r="J4695" i="1"/>
  <c r="K4695" i="1"/>
  <c r="L4695" i="1"/>
  <c r="A4696" i="1"/>
  <c r="B4696" i="1"/>
  <c r="C4696" i="1"/>
  <c r="D4696" i="1"/>
  <c r="E4696" i="1"/>
  <c r="F4696" i="1"/>
  <c r="G4696" i="1"/>
  <c r="H4696" i="1"/>
  <c r="I4696" i="1"/>
  <c r="J4696" i="1"/>
  <c r="K4696" i="1"/>
  <c r="L4696" i="1"/>
  <c r="A4697" i="1"/>
  <c r="B4697" i="1"/>
  <c r="C4697" i="1"/>
  <c r="D4697" i="1"/>
  <c r="E4697" i="1"/>
  <c r="F4697" i="1"/>
  <c r="G4697" i="1"/>
  <c r="H4697" i="1"/>
  <c r="I4697" i="1"/>
  <c r="J4697" i="1"/>
  <c r="K4697" i="1"/>
  <c r="L4697" i="1"/>
  <c r="A4698" i="1"/>
  <c r="B4698" i="1"/>
  <c r="C4698" i="1"/>
  <c r="D4698" i="1"/>
  <c r="E4698" i="1"/>
  <c r="F4698" i="1"/>
  <c r="G4698" i="1"/>
  <c r="H4698" i="1"/>
  <c r="I4698" i="1"/>
  <c r="J4698" i="1"/>
  <c r="K4698" i="1"/>
  <c r="L4698" i="1"/>
  <c r="A4699" i="1"/>
  <c r="B4699" i="1"/>
  <c r="C4699" i="1"/>
  <c r="D4699" i="1"/>
  <c r="E4699" i="1"/>
  <c r="F4699" i="1"/>
  <c r="G4699" i="1"/>
  <c r="H4699" i="1"/>
  <c r="I4699" i="1"/>
  <c r="J4699" i="1"/>
  <c r="K4699" i="1"/>
  <c r="L4699" i="1"/>
  <c r="A4700" i="1"/>
  <c r="B4700" i="1"/>
  <c r="C4700" i="1"/>
  <c r="D4700" i="1"/>
  <c r="E4700" i="1"/>
  <c r="F4700" i="1"/>
  <c r="G4700" i="1"/>
  <c r="H4700" i="1"/>
  <c r="I4700" i="1"/>
  <c r="J4700" i="1"/>
  <c r="K4700" i="1"/>
  <c r="L4700" i="1"/>
  <c r="A4701" i="1"/>
  <c r="B4701" i="1"/>
  <c r="C4701" i="1"/>
  <c r="D4701" i="1"/>
  <c r="E4701" i="1"/>
  <c r="F4701" i="1"/>
  <c r="G4701" i="1"/>
  <c r="H4701" i="1"/>
  <c r="I4701" i="1"/>
  <c r="J4701" i="1"/>
  <c r="K4701" i="1"/>
  <c r="L4701" i="1"/>
  <c r="A4702" i="1"/>
  <c r="B4702" i="1"/>
  <c r="C4702" i="1"/>
  <c r="D4702" i="1"/>
  <c r="E4702" i="1"/>
  <c r="F4702" i="1"/>
  <c r="G4702" i="1"/>
  <c r="H4702" i="1"/>
  <c r="I4702" i="1"/>
  <c r="J4702" i="1"/>
  <c r="K4702" i="1"/>
  <c r="L4702" i="1"/>
  <c r="A4703" i="1"/>
  <c r="B4703" i="1"/>
  <c r="C4703" i="1"/>
  <c r="D4703" i="1"/>
  <c r="E4703" i="1"/>
  <c r="F4703" i="1"/>
  <c r="G4703" i="1"/>
  <c r="H4703" i="1"/>
  <c r="I4703" i="1"/>
  <c r="J4703" i="1"/>
  <c r="K4703" i="1"/>
  <c r="L4703" i="1"/>
  <c r="A4704" i="1"/>
  <c r="B4704" i="1"/>
  <c r="C4704" i="1"/>
  <c r="D4704" i="1"/>
  <c r="E4704" i="1"/>
  <c r="F4704" i="1"/>
  <c r="G4704" i="1"/>
  <c r="H4704" i="1"/>
  <c r="I4704" i="1"/>
  <c r="J4704" i="1"/>
  <c r="K4704" i="1"/>
  <c r="L4704" i="1"/>
  <c r="A4705" i="1"/>
  <c r="B4705" i="1"/>
  <c r="C4705" i="1"/>
  <c r="D4705" i="1"/>
  <c r="E4705" i="1"/>
  <c r="F4705" i="1"/>
  <c r="G4705" i="1"/>
  <c r="H4705" i="1"/>
  <c r="I4705" i="1"/>
  <c r="J4705" i="1"/>
  <c r="K4705" i="1"/>
  <c r="L4705" i="1"/>
  <c r="A4706" i="1"/>
  <c r="B4706" i="1"/>
  <c r="C4706" i="1"/>
  <c r="D4706" i="1"/>
  <c r="E4706" i="1"/>
  <c r="F4706" i="1"/>
  <c r="G4706" i="1"/>
  <c r="H4706" i="1"/>
  <c r="I4706" i="1"/>
  <c r="J4706" i="1"/>
  <c r="K4706" i="1"/>
  <c r="L4706" i="1"/>
  <c r="A4707" i="1"/>
  <c r="B4707" i="1"/>
  <c r="C4707" i="1"/>
  <c r="D4707" i="1"/>
  <c r="E4707" i="1"/>
  <c r="F4707" i="1"/>
  <c r="G4707" i="1"/>
  <c r="H4707" i="1"/>
  <c r="I4707" i="1"/>
  <c r="J4707" i="1"/>
  <c r="K4707" i="1"/>
  <c r="L4707" i="1"/>
  <c r="A4708" i="1"/>
  <c r="B4708" i="1"/>
  <c r="C4708" i="1"/>
  <c r="D4708" i="1"/>
  <c r="E4708" i="1"/>
  <c r="F4708" i="1"/>
  <c r="G4708" i="1"/>
  <c r="H4708" i="1"/>
  <c r="I4708" i="1"/>
  <c r="J4708" i="1"/>
  <c r="K4708" i="1"/>
  <c r="L4708" i="1"/>
  <c r="A4709" i="1"/>
  <c r="B4709" i="1"/>
  <c r="C4709" i="1"/>
  <c r="D4709" i="1"/>
  <c r="E4709" i="1"/>
  <c r="F4709" i="1"/>
  <c r="G4709" i="1"/>
  <c r="H4709" i="1"/>
  <c r="I4709" i="1"/>
  <c r="J4709" i="1"/>
  <c r="K4709" i="1"/>
  <c r="L4709" i="1"/>
  <c r="A4710" i="1"/>
  <c r="B4710" i="1"/>
  <c r="C4710" i="1"/>
  <c r="D4710" i="1"/>
  <c r="E4710" i="1"/>
  <c r="F4710" i="1"/>
  <c r="G4710" i="1"/>
  <c r="H4710" i="1"/>
  <c r="I4710" i="1"/>
  <c r="J4710" i="1"/>
  <c r="K4710" i="1"/>
  <c r="L4710" i="1"/>
  <c r="A4711" i="1"/>
  <c r="B4711" i="1"/>
  <c r="C4711" i="1"/>
  <c r="D4711" i="1"/>
  <c r="E4711" i="1"/>
  <c r="F4711" i="1"/>
  <c r="G4711" i="1"/>
  <c r="H4711" i="1"/>
  <c r="I4711" i="1"/>
  <c r="J4711" i="1"/>
  <c r="K4711" i="1"/>
  <c r="L4711" i="1"/>
  <c r="A4712" i="1"/>
  <c r="B4712" i="1"/>
  <c r="C4712" i="1"/>
  <c r="D4712" i="1"/>
  <c r="E4712" i="1"/>
  <c r="F4712" i="1"/>
  <c r="G4712" i="1"/>
  <c r="H4712" i="1"/>
  <c r="I4712" i="1"/>
  <c r="J4712" i="1"/>
  <c r="K4712" i="1"/>
  <c r="L4712" i="1"/>
  <c r="A4713" i="1"/>
  <c r="B4713" i="1"/>
  <c r="C4713" i="1"/>
  <c r="D4713" i="1"/>
  <c r="E4713" i="1"/>
  <c r="F4713" i="1"/>
  <c r="G4713" i="1"/>
  <c r="H4713" i="1"/>
  <c r="I4713" i="1"/>
  <c r="J4713" i="1"/>
  <c r="K4713" i="1"/>
  <c r="L4713" i="1"/>
  <c r="A4714" i="1"/>
  <c r="B4714" i="1"/>
  <c r="C4714" i="1"/>
  <c r="D4714" i="1"/>
  <c r="E4714" i="1"/>
  <c r="F4714" i="1"/>
  <c r="G4714" i="1"/>
  <c r="H4714" i="1"/>
  <c r="I4714" i="1"/>
  <c r="J4714" i="1"/>
  <c r="K4714" i="1"/>
  <c r="L4714" i="1"/>
  <c r="A4715" i="1"/>
  <c r="B4715" i="1"/>
  <c r="C4715" i="1"/>
  <c r="D4715" i="1"/>
  <c r="E4715" i="1"/>
  <c r="F4715" i="1"/>
  <c r="G4715" i="1"/>
  <c r="H4715" i="1"/>
  <c r="I4715" i="1"/>
  <c r="J4715" i="1"/>
  <c r="K4715" i="1"/>
  <c r="L4715" i="1"/>
  <c r="A4716" i="1"/>
  <c r="B4716" i="1"/>
  <c r="C4716" i="1"/>
  <c r="D4716" i="1"/>
  <c r="E4716" i="1"/>
  <c r="F4716" i="1"/>
  <c r="G4716" i="1"/>
  <c r="H4716" i="1"/>
  <c r="I4716" i="1"/>
  <c r="J4716" i="1"/>
  <c r="K4716" i="1"/>
  <c r="L4716" i="1"/>
  <c r="A4717" i="1"/>
  <c r="B4717" i="1"/>
  <c r="C4717" i="1"/>
  <c r="D4717" i="1"/>
  <c r="E4717" i="1"/>
  <c r="F4717" i="1"/>
  <c r="G4717" i="1"/>
  <c r="H4717" i="1"/>
  <c r="I4717" i="1"/>
  <c r="J4717" i="1"/>
  <c r="K4717" i="1"/>
  <c r="L4717" i="1"/>
  <c r="A4718" i="1"/>
  <c r="B4718" i="1"/>
  <c r="C4718" i="1"/>
  <c r="D4718" i="1"/>
  <c r="E4718" i="1"/>
  <c r="F4718" i="1"/>
  <c r="G4718" i="1"/>
  <c r="H4718" i="1"/>
  <c r="I4718" i="1"/>
  <c r="J4718" i="1"/>
  <c r="K4718" i="1"/>
  <c r="L4718" i="1"/>
  <c r="A4719" i="1"/>
  <c r="B4719" i="1"/>
  <c r="C4719" i="1"/>
  <c r="D4719" i="1"/>
  <c r="E4719" i="1"/>
  <c r="F4719" i="1"/>
  <c r="G4719" i="1"/>
  <c r="H4719" i="1"/>
  <c r="I4719" i="1"/>
  <c r="J4719" i="1"/>
  <c r="K4719" i="1"/>
  <c r="L4719" i="1"/>
  <c r="A4720" i="1"/>
  <c r="B4720" i="1"/>
  <c r="C4720" i="1"/>
  <c r="D4720" i="1"/>
  <c r="E4720" i="1"/>
  <c r="F4720" i="1"/>
  <c r="G4720" i="1"/>
  <c r="H4720" i="1"/>
  <c r="I4720" i="1"/>
  <c r="J4720" i="1"/>
  <c r="K4720" i="1"/>
  <c r="L4720" i="1"/>
  <c r="A4721" i="1"/>
  <c r="B4721" i="1"/>
  <c r="C4721" i="1"/>
  <c r="D4721" i="1"/>
  <c r="E4721" i="1"/>
  <c r="F4721" i="1"/>
  <c r="G4721" i="1"/>
  <c r="H4721" i="1"/>
  <c r="I4721" i="1"/>
  <c r="J4721" i="1"/>
  <c r="K4721" i="1"/>
  <c r="L4721" i="1"/>
  <c r="A4722" i="1"/>
  <c r="B4722" i="1"/>
  <c r="C4722" i="1"/>
  <c r="D4722" i="1"/>
  <c r="E4722" i="1"/>
  <c r="F4722" i="1"/>
  <c r="G4722" i="1"/>
  <c r="H4722" i="1"/>
  <c r="I4722" i="1"/>
  <c r="J4722" i="1"/>
  <c r="K4722" i="1"/>
  <c r="L4722" i="1"/>
  <c r="A4723" i="1"/>
  <c r="B4723" i="1"/>
  <c r="C4723" i="1"/>
  <c r="D4723" i="1"/>
  <c r="E4723" i="1"/>
  <c r="F4723" i="1"/>
  <c r="G4723" i="1"/>
  <c r="H4723" i="1"/>
  <c r="I4723" i="1"/>
  <c r="J4723" i="1"/>
  <c r="K4723" i="1"/>
  <c r="L4723" i="1"/>
  <c r="A4724" i="1"/>
  <c r="B4724" i="1"/>
  <c r="C4724" i="1"/>
  <c r="D4724" i="1"/>
  <c r="E4724" i="1"/>
  <c r="F4724" i="1"/>
  <c r="G4724" i="1"/>
  <c r="H4724" i="1"/>
  <c r="I4724" i="1"/>
  <c r="J4724" i="1"/>
  <c r="K4724" i="1"/>
  <c r="L4724" i="1"/>
  <c r="A4725" i="1"/>
  <c r="B4725" i="1"/>
  <c r="C4725" i="1"/>
  <c r="D4725" i="1"/>
  <c r="E4725" i="1"/>
  <c r="F4725" i="1"/>
  <c r="G4725" i="1"/>
  <c r="H4725" i="1"/>
  <c r="I4725" i="1"/>
  <c r="J4725" i="1"/>
  <c r="K4725" i="1"/>
  <c r="L4725" i="1"/>
  <c r="A4726" i="1"/>
  <c r="B4726" i="1"/>
  <c r="C4726" i="1"/>
  <c r="D4726" i="1"/>
  <c r="E4726" i="1"/>
  <c r="F4726" i="1"/>
  <c r="G4726" i="1"/>
  <c r="H4726" i="1"/>
  <c r="I4726" i="1"/>
  <c r="J4726" i="1"/>
  <c r="K4726" i="1"/>
  <c r="L4726" i="1"/>
  <c r="A4727" i="1"/>
  <c r="B4727" i="1"/>
  <c r="C4727" i="1"/>
  <c r="D4727" i="1"/>
  <c r="E4727" i="1"/>
  <c r="F4727" i="1"/>
  <c r="G4727" i="1"/>
  <c r="H4727" i="1"/>
  <c r="I4727" i="1"/>
  <c r="J4727" i="1"/>
  <c r="K4727" i="1"/>
  <c r="L4727" i="1"/>
  <c r="A4728" i="1"/>
  <c r="B4728" i="1"/>
  <c r="C4728" i="1"/>
  <c r="D4728" i="1"/>
  <c r="E4728" i="1"/>
  <c r="F4728" i="1"/>
  <c r="G4728" i="1"/>
  <c r="H4728" i="1"/>
  <c r="I4728" i="1"/>
  <c r="J4728" i="1"/>
  <c r="K4728" i="1"/>
  <c r="L4728" i="1"/>
  <c r="A4729" i="1"/>
  <c r="B4729" i="1"/>
  <c r="C4729" i="1"/>
  <c r="D4729" i="1"/>
  <c r="E4729" i="1"/>
  <c r="F4729" i="1"/>
  <c r="G4729" i="1"/>
  <c r="H4729" i="1"/>
  <c r="I4729" i="1"/>
  <c r="J4729" i="1"/>
  <c r="K4729" i="1"/>
  <c r="L4729" i="1"/>
  <c r="A4730" i="1"/>
  <c r="B4730" i="1"/>
  <c r="C4730" i="1"/>
  <c r="D4730" i="1"/>
  <c r="E4730" i="1"/>
  <c r="F4730" i="1"/>
  <c r="G4730" i="1"/>
  <c r="H4730" i="1"/>
  <c r="I4730" i="1"/>
  <c r="J4730" i="1"/>
  <c r="K4730" i="1"/>
  <c r="L4730" i="1"/>
  <c r="A4731" i="1"/>
  <c r="B4731" i="1"/>
  <c r="C4731" i="1"/>
  <c r="D4731" i="1"/>
  <c r="E4731" i="1"/>
  <c r="F4731" i="1"/>
  <c r="G4731" i="1"/>
  <c r="H4731" i="1"/>
  <c r="I4731" i="1"/>
  <c r="J4731" i="1"/>
  <c r="K4731" i="1"/>
  <c r="L4731" i="1"/>
  <c r="A4732" i="1"/>
  <c r="B4732" i="1"/>
  <c r="C4732" i="1"/>
  <c r="D4732" i="1"/>
  <c r="E4732" i="1"/>
  <c r="F4732" i="1"/>
  <c r="G4732" i="1"/>
  <c r="H4732" i="1"/>
  <c r="I4732" i="1"/>
  <c r="J4732" i="1"/>
  <c r="K4732" i="1"/>
  <c r="L4732" i="1"/>
  <c r="A4733" i="1"/>
  <c r="B4733" i="1"/>
  <c r="C4733" i="1"/>
  <c r="D4733" i="1"/>
  <c r="E4733" i="1"/>
  <c r="F4733" i="1"/>
  <c r="G4733" i="1"/>
  <c r="H4733" i="1"/>
  <c r="I4733" i="1"/>
  <c r="J4733" i="1"/>
  <c r="K4733" i="1"/>
  <c r="L4733" i="1"/>
  <c r="A4734" i="1"/>
  <c r="B4734" i="1"/>
  <c r="C4734" i="1"/>
  <c r="D4734" i="1"/>
  <c r="E4734" i="1"/>
  <c r="F4734" i="1"/>
  <c r="G4734" i="1"/>
  <c r="H4734" i="1"/>
  <c r="I4734" i="1"/>
  <c r="J4734" i="1"/>
  <c r="K4734" i="1"/>
  <c r="L4734" i="1"/>
  <c r="A4735" i="1"/>
  <c r="B4735" i="1"/>
  <c r="C4735" i="1"/>
  <c r="D4735" i="1"/>
  <c r="E4735" i="1"/>
  <c r="F4735" i="1"/>
  <c r="G4735" i="1"/>
  <c r="H4735" i="1"/>
  <c r="I4735" i="1"/>
  <c r="J4735" i="1"/>
  <c r="K4735" i="1"/>
  <c r="L4735" i="1"/>
  <c r="A4736" i="1"/>
  <c r="B4736" i="1"/>
  <c r="C4736" i="1"/>
  <c r="D4736" i="1"/>
  <c r="E4736" i="1"/>
  <c r="F4736" i="1"/>
  <c r="G4736" i="1"/>
  <c r="H4736" i="1"/>
  <c r="I4736" i="1"/>
  <c r="J4736" i="1"/>
  <c r="K4736" i="1"/>
  <c r="L4736" i="1"/>
  <c r="A4737" i="1"/>
  <c r="B4737" i="1"/>
  <c r="C4737" i="1"/>
  <c r="D4737" i="1"/>
  <c r="E4737" i="1"/>
  <c r="F4737" i="1"/>
  <c r="G4737" i="1"/>
  <c r="H4737" i="1"/>
  <c r="I4737" i="1"/>
  <c r="J4737" i="1"/>
  <c r="K4737" i="1"/>
  <c r="L4737" i="1"/>
  <c r="A4738" i="1"/>
  <c r="B4738" i="1"/>
  <c r="C4738" i="1"/>
  <c r="D4738" i="1"/>
  <c r="E4738" i="1"/>
  <c r="F4738" i="1"/>
  <c r="G4738" i="1"/>
  <c r="H4738" i="1"/>
  <c r="I4738" i="1"/>
  <c r="J4738" i="1"/>
  <c r="K4738" i="1"/>
  <c r="L4738" i="1"/>
  <c r="A4739" i="1"/>
  <c r="B4739" i="1"/>
  <c r="C4739" i="1"/>
  <c r="D4739" i="1"/>
  <c r="E4739" i="1"/>
  <c r="F4739" i="1"/>
  <c r="G4739" i="1"/>
  <c r="H4739" i="1"/>
  <c r="I4739" i="1"/>
  <c r="J4739" i="1"/>
  <c r="K4739" i="1"/>
  <c r="L4739" i="1"/>
  <c r="A4740" i="1"/>
  <c r="B4740" i="1"/>
  <c r="C4740" i="1"/>
  <c r="D4740" i="1"/>
  <c r="E4740" i="1"/>
  <c r="F4740" i="1"/>
  <c r="G4740" i="1"/>
  <c r="H4740" i="1"/>
  <c r="I4740" i="1"/>
  <c r="J4740" i="1"/>
  <c r="K4740" i="1"/>
  <c r="L4740" i="1"/>
  <c r="A4741" i="1"/>
  <c r="B4741" i="1"/>
  <c r="C4741" i="1"/>
  <c r="D4741" i="1"/>
  <c r="E4741" i="1"/>
  <c r="F4741" i="1"/>
  <c r="G4741" i="1"/>
  <c r="H4741" i="1"/>
  <c r="I4741" i="1"/>
  <c r="J4741" i="1"/>
  <c r="K4741" i="1"/>
  <c r="L4741" i="1"/>
  <c r="A4742" i="1"/>
  <c r="B4742" i="1"/>
  <c r="C4742" i="1"/>
  <c r="D4742" i="1"/>
  <c r="E4742" i="1"/>
  <c r="F4742" i="1"/>
  <c r="G4742" i="1"/>
  <c r="H4742" i="1"/>
  <c r="I4742" i="1"/>
  <c r="J4742" i="1"/>
  <c r="K4742" i="1"/>
  <c r="L4742" i="1"/>
  <c r="A4743" i="1"/>
  <c r="B4743" i="1"/>
  <c r="C4743" i="1"/>
  <c r="D4743" i="1"/>
  <c r="E4743" i="1"/>
  <c r="F4743" i="1"/>
  <c r="G4743" i="1"/>
  <c r="H4743" i="1"/>
  <c r="I4743" i="1"/>
  <c r="J4743" i="1"/>
  <c r="K4743" i="1"/>
  <c r="L4743" i="1"/>
  <c r="A4744" i="1"/>
  <c r="B4744" i="1"/>
  <c r="C4744" i="1"/>
  <c r="D4744" i="1"/>
  <c r="E4744" i="1"/>
  <c r="F4744" i="1"/>
  <c r="G4744" i="1"/>
  <c r="H4744" i="1"/>
  <c r="I4744" i="1"/>
  <c r="J4744" i="1"/>
  <c r="K4744" i="1"/>
  <c r="L4744" i="1"/>
  <c r="A4745" i="1"/>
  <c r="B4745" i="1"/>
  <c r="C4745" i="1"/>
  <c r="D4745" i="1"/>
  <c r="E4745" i="1"/>
  <c r="F4745" i="1"/>
  <c r="G4745" i="1"/>
  <c r="H4745" i="1"/>
  <c r="I4745" i="1"/>
  <c r="J4745" i="1"/>
  <c r="K4745" i="1"/>
  <c r="L4745" i="1"/>
  <c r="A4746" i="1"/>
  <c r="B4746" i="1"/>
  <c r="C4746" i="1"/>
  <c r="D4746" i="1"/>
  <c r="E4746" i="1"/>
  <c r="F4746" i="1"/>
  <c r="G4746" i="1"/>
  <c r="H4746" i="1"/>
  <c r="I4746" i="1"/>
  <c r="J4746" i="1"/>
  <c r="K4746" i="1"/>
  <c r="L4746" i="1"/>
  <c r="A4747" i="1"/>
  <c r="B4747" i="1"/>
  <c r="C4747" i="1"/>
  <c r="D4747" i="1"/>
  <c r="E4747" i="1"/>
  <c r="F4747" i="1"/>
  <c r="G4747" i="1"/>
  <c r="H4747" i="1"/>
  <c r="I4747" i="1"/>
  <c r="J4747" i="1"/>
  <c r="K4747" i="1"/>
  <c r="L4747" i="1"/>
  <c r="A4748" i="1"/>
  <c r="B4748" i="1"/>
  <c r="C4748" i="1"/>
  <c r="D4748" i="1"/>
  <c r="E4748" i="1"/>
  <c r="F4748" i="1"/>
  <c r="G4748" i="1"/>
  <c r="H4748" i="1"/>
  <c r="I4748" i="1"/>
  <c r="J4748" i="1"/>
  <c r="K4748" i="1"/>
  <c r="L4748" i="1"/>
  <c r="A4749" i="1"/>
  <c r="B4749" i="1"/>
  <c r="C4749" i="1"/>
  <c r="D4749" i="1"/>
  <c r="E4749" i="1"/>
  <c r="F4749" i="1"/>
  <c r="G4749" i="1"/>
  <c r="H4749" i="1"/>
  <c r="I4749" i="1"/>
  <c r="J4749" i="1"/>
  <c r="K4749" i="1"/>
  <c r="L4749" i="1"/>
  <c r="A4750" i="1"/>
  <c r="B4750" i="1"/>
  <c r="C4750" i="1"/>
  <c r="D4750" i="1"/>
  <c r="E4750" i="1"/>
  <c r="F4750" i="1"/>
  <c r="G4750" i="1"/>
  <c r="H4750" i="1"/>
  <c r="I4750" i="1"/>
  <c r="J4750" i="1"/>
  <c r="K4750" i="1"/>
  <c r="L4750" i="1"/>
  <c r="A4751" i="1"/>
  <c r="B4751" i="1"/>
  <c r="C4751" i="1"/>
  <c r="D4751" i="1"/>
  <c r="E4751" i="1"/>
  <c r="F4751" i="1"/>
  <c r="G4751" i="1"/>
  <c r="H4751" i="1"/>
  <c r="I4751" i="1"/>
  <c r="J4751" i="1"/>
  <c r="K4751" i="1"/>
  <c r="L4751" i="1"/>
  <c r="A4752" i="1"/>
  <c r="B4752" i="1"/>
  <c r="C4752" i="1"/>
  <c r="D4752" i="1"/>
  <c r="E4752" i="1"/>
  <c r="F4752" i="1"/>
  <c r="G4752" i="1"/>
  <c r="H4752" i="1"/>
  <c r="I4752" i="1"/>
  <c r="J4752" i="1"/>
  <c r="K4752" i="1"/>
  <c r="L4752" i="1"/>
  <c r="A4753" i="1"/>
  <c r="B4753" i="1"/>
  <c r="C4753" i="1"/>
  <c r="D4753" i="1"/>
  <c r="E4753" i="1"/>
  <c r="F4753" i="1"/>
  <c r="G4753" i="1"/>
  <c r="H4753" i="1"/>
  <c r="I4753" i="1"/>
  <c r="J4753" i="1"/>
  <c r="K4753" i="1"/>
  <c r="L4753" i="1"/>
  <c r="A4754" i="1"/>
  <c r="B4754" i="1"/>
  <c r="C4754" i="1"/>
  <c r="D4754" i="1"/>
  <c r="E4754" i="1"/>
  <c r="F4754" i="1"/>
  <c r="G4754" i="1"/>
  <c r="H4754" i="1"/>
  <c r="I4754" i="1"/>
  <c r="J4754" i="1"/>
  <c r="K4754" i="1"/>
  <c r="L4754" i="1"/>
  <c r="A4755" i="1"/>
  <c r="B4755" i="1"/>
  <c r="C4755" i="1"/>
  <c r="D4755" i="1"/>
  <c r="E4755" i="1"/>
  <c r="F4755" i="1"/>
  <c r="G4755" i="1"/>
  <c r="H4755" i="1"/>
  <c r="I4755" i="1"/>
  <c r="J4755" i="1"/>
  <c r="K4755" i="1"/>
  <c r="L4755" i="1"/>
  <c r="A4756" i="1"/>
  <c r="B4756" i="1"/>
  <c r="C4756" i="1"/>
  <c r="D4756" i="1"/>
  <c r="E4756" i="1"/>
  <c r="F4756" i="1"/>
  <c r="G4756" i="1"/>
  <c r="H4756" i="1"/>
  <c r="I4756" i="1"/>
  <c r="J4756" i="1"/>
  <c r="K4756" i="1"/>
  <c r="L4756" i="1"/>
  <c r="A4757" i="1"/>
  <c r="B4757" i="1"/>
  <c r="C4757" i="1"/>
  <c r="D4757" i="1"/>
  <c r="E4757" i="1"/>
  <c r="F4757" i="1"/>
  <c r="G4757" i="1"/>
  <c r="H4757" i="1"/>
  <c r="I4757" i="1"/>
  <c r="J4757" i="1"/>
  <c r="K4757" i="1"/>
  <c r="L4757" i="1"/>
  <c r="A4758" i="1"/>
  <c r="B4758" i="1"/>
  <c r="C4758" i="1"/>
  <c r="D4758" i="1"/>
  <c r="E4758" i="1"/>
  <c r="F4758" i="1"/>
  <c r="G4758" i="1"/>
  <c r="H4758" i="1"/>
  <c r="I4758" i="1"/>
  <c r="J4758" i="1"/>
  <c r="K4758" i="1"/>
  <c r="L4758" i="1"/>
  <c r="A4759" i="1"/>
  <c r="B4759" i="1"/>
  <c r="C4759" i="1"/>
  <c r="D4759" i="1"/>
  <c r="E4759" i="1"/>
  <c r="F4759" i="1"/>
  <c r="G4759" i="1"/>
  <c r="H4759" i="1"/>
  <c r="I4759" i="1"/>
  <c r="J4759" i="1"/>
  <c r="K4759" i="1"/>
  <c r="L4759" i="1"/>
  <c r="A4760" i="1"/>
  <c r="B4760" i="1"/>
  <c r="C4760" i="1"/>
  <c r="D4760" i="1"/>
  <c r="E4760" i="1"/>
  <c r="F4760" i="1"/>
  <c r="G4760" i="1"/>
  <c r="H4760" i="1"/>
  <c r="I4760" i="1"/>
  <c r="J4760" i="1"/>
  <c r="K4760" i="1"/>
  <c r="L4760" i="1"/>
  <c r="A4761" i="1"/>
  <c r="B4761" i="1"/>
  <c r="C4761" i="1"/>
  <c r="D4761" i="1"/>
  <c r="E4761" i="1"/>
  <c r="F4761" i="1"/>
  <c r="G4761" i="1"/>
  <c r="H4761" i="1"/>
  <c r="I4761" i="1"/>
  <c r="J4761" i="1"/>
  <c r="K4761" i="1"/>
  <c r="L4761" i="1"/>
  <c r="A4762" i="1"/>
  <c r="B4762" i="1"/>
  <c r="C4762" i="1"/>
  <c r="D4762" i="1"/>
  <c r="E4762" i="1"/>
  <c r="F4762" i="1"/>
  <c r="G4762" i="1"/>
  <c r="H4762" i="1"/>
  <c r="I4762" i="1"/>
  <c r="J4762" i="1"/>
  <c r="K4762" i="1"/>
  <c r="L4762" i="1"/>
  <c r="A4763" i="1"/>
  <c r="B4763" i="1"/>
  <c r="C4763" i="1"/>
  <c r="D4763" i="1"/>
  <c r="E4763" i="1"/>
  <c r="F4763" i="1"/>
  <c r="G4763" i="1"/>
  <c r="H4763" i="1"/>
  <c r="I4763" i="1"/>
  <c r="J4763" i="1"/>
  <c r="K4763" i="1"/>
  <c r="L4763" i="1"/>
  <c r="A4764" i="1"/>
  <c r="B4764" i="1"/>
  <c r="C4764" i="1"/>
  <c r="D4764" i="1"/>
  <c r="E4764" i="1"/>
  <c r="F4764" i="1"/>
  <c r="G4764" i="1"/>
  <c r="H4764" i="1"/>
  <c r="I4764" i="1"/>
  <c r="J4764" i="1"/>
  <c r="K4764" i="1"/>
  <c r="L4764" i="1"/>
  <c r="A4765" i="1"/>
  <c r="B4765" i="1"/>
  <c r="C4765" i="1"/>
  <c r="D4765" i="1"/>
  <c r="E4765" i="1"/>
  <c r="F4765" i="1"/>
  <c r="G4765" i="1"/>
  <c r="H4765" i="1"/>
  <c r="I4765" i="1"/>
  <c r="J4765" i="1"/>
  <c r="K4765" i="1"/>
  <c r="L4765" i="1"/>
  <c r="A4766" i="1"/>
  <c r="B4766" i="1"/>
  <c r="C4766" i="1"/>
  <c r="D4766" i="1"/>
  <c r="E4766" i="1"/>
  <c r="F4766" i="1"/>
  <c r="G4766" i="1"/>
  <c r="H4766" i="1"/>
  <c r="I4766" i="1"/>
  <c r="J4766" i="1"/>
  <c r="K4766" i="1"/>
  <c r="L4766" i="1"/>
  <c r="A4767" i="1"/>
  <c r="B4767" i="1"/>
  <c r="C4767" i="1"/>
  <c r="D4767" i="1"/>
  <c r="E4767" i="1"/>
  <c r="F4767" i="1"/>
  <c r="G4767" i="1"/>
  <c r="H4767" i="1"/>
  <c r="I4767" i="1"/>
  <c r="J4767" i="1"/>
  <c r="K4767" i="1"/>
  <c r="L4767" i="1"/>
  <c r="A4768" i="1"/>
  <c r="B4768" i="1"/>
  <c r="C4768" i="1"/>
  <c r="D4768" i="1"/>
  <c r="E4768" i="1"/>
  <c r="F4768" i="1"/>
  <c r="G4768" i="1"/>
  <c r="H4768" i="1"/>
  <c r="I4768" i="1"/>
  <c r="J4768" i="1"/>
  <c r="K4768" i="1"/>
  <c r="L4768" i="1"/>
  <c r="A4769" i="1"/>
  <c r="B4769" i="1"/>
  <c r="C4769" i="1"/>
  <c r="D4769" i="1"/>
  <c r="E4769" i="1"/>
  <c r="F4769" i="1"/>
  <c r="G4769" i="1"/>
  <c r="H4769" i="1"/>
  <c r="I4769" i="1"/>
  <c r="J4769" i="1"/>
  <c r="K4769" i="1"/>
  <c r="L4769" i="1"/>
  <c r="A4770" i="1"/>
  <c r="B4770" i="1"/>
  <c r="C4770" i="1"/>
  <c r="D4770" i="1"/>
  <c r="E4770" i="1"/>
  <c r="F4770" i="1"/>
  <c r="G4770" i="1"/>
  <c r="H4770" i="1"/>
  <c r="I4770" i="1"/>
  <c r="J4770" i="1"/>
  <c r="K4770" i="1"/>
  <c r="L4770" i="1"/>
  <c r="A4771" i="1"/>
  <c r="B4771" i="1"/>
  <c r="C4771" i="1"/>
  <c r="D4771" i="1"/>
  <c r="E4771" i="1"/>
  <c r="F4771" i="1"/>
  <c r="G4771" i="1"/>
  <c r="H4771" i="1"/>
  <c r="I4771" i="1"/>
  <c r="J4771" i="1"/>
  <c r="K4771" i="1"/>
  <c r="L4771" i="1"/>
  <c r="A4772" i="1"/>
  <c r="B4772" i="1"/>
  <c r="C4772" i="1"/>
  <c r="D4772" i="1"/>
  <c r="E4772" i="1"/>
  <c r="F4772" i="1"/>
  <c r="G4772" i="1"/>
  <c r="H4772" i="1"/>
  <c r="I4772" i="1"/>
  <c r="J4772" i="1"/>
  <c r="K4772" i="1"/>
  <c r="L4772" i="1"/>
  <c r="A4773" i="1"/>
  <c r="B4773" i="1"/>
  <c r="C4773" i="1"/>
  <c r="D4773" i="1"/>
  <c r="E4773" i="1"/>
  <c r="F4773" i="1"/>
  <c r="G4773" i="1"/>
  <c r="H4773" i="1"/>
  <c r="I4773" i="1"/>
  <c r="J4773" i="1"/>
  <c r="K4773" i="1"/>
  <c r="L4773" i="1"/>
  <c r="A4774" i="1"/>
  <c r="B4774" i="1"/>
  <c r="C4774" i="1"/>
  <c r="D4774" i="1"/>
  <c r="E4774" i="1"/>
  <c r="F4774" i="1"/>
  <c r="G4774" i="1"/>
  <c r="H4774" i="1"/>
  <c r="I4774" i="1"/>
  <c r="J4774" i="1"/>
  <c r="K4774" i="1"/>
  <c r="L4774" i="1"/>
  <c r="A4775" i="1"/>
  <c r="B4775" i="1"/>
  <c r="C4775" i="1"/>
  <c r="D4775" i="1"/>
  <c r="E4775" i="1"/>
  <c r="F4775" i="1"/>
  <c r="G4775" i="1"/>
  <c r="H4775" i="1"/>
  <c r="I4775" i="1"/>
  <c r="J4775" i="1"/>
  <c r="K4775" i="1"/>
  <c r="L4775" i="1"/>
  <c r="A4776" i="1"/>
  <c r="B4776" i="1"/>
  <c r="C4776" i="1"/>
  <c r="D4776" i="1"/>
  <c r="E4776" i="1"/>
  <c r="F4776" i="1"/>
  <c r="G4776" i="1"/>
  <c r="H4776" i="1"/>
  <c r="I4776" i="1"/>
  <c r="J4776" i="1"/>
  <c r="K4776" i="1"/>
  <c r="L4776" i="1"/>
  <c r="A4777" i="1"/>
  <c r="B4777" i="1"/>
  <c r="C4777" i="1"/>
  <c r="D4777" i="1"/>
  <c r="E4777" i="1"/>
  <c r="F4777" i="1"/>
  <c r="G4777" i="1"/>
  <c r="H4777" i="1"/>
  <c r="I4777" i="1"/>
  <c r="J4777" i="1"/>
  <c r="K4777" i="1"/>
  <c r="L4777" i="1"/>
  <c r="A4778" i="1"/>
  <c r="B4778" i="1"/>
  <c r="C4778" i="1"/>
  <c r="D4778" i="1"/>
  <c r="E4778" i="1"/>
  <c r="F4778" i="1"/>
  <c r="G4778" i="1"/>
  <c r="H4778" i="1"/>
  <c r="I4778" i="1"/>
  <c r="J4778" i="1"/>
  <c r="K4778" i="1"/>
  <c r="L4778" i="1"/>
  <c r="A4779" i="1"/>
  <c r="B4779" i="1"/>
  <c r="C4779" i="1"/>
  <c r="D4779" i="1"/>
  <c r="E4779" i="1"/>
  <c r="F4779" i="1"/>
  <c r="G4779" i="1"/>
  <c r="H4779" i="1"/>
  <c r="I4779" i="1"/>
  <c r="J4779" i="1"/>
  <c r="K4779" i="1"/>
  <c r="L4779" i="1"/>
  <c r="A4780" i="1"/>
  <c r="B4780" i="1"/>
  <c r="C4780" i="1"/>
  <c r="D4780" i="1"/>
  <c r="E4780" i="1"/>
  <c r="F4780" i="1"/>
  <c r="G4780" i="1"/>
  <c r="H4780" i="1"/>
  <c r="I4780" i="1"/>
  <c r="J4780" i="1"/>
  <c r="K4780" i="1"/>
  <c r="L4780" i="1"/>
  <c r="A4781" i="1"/>
  <c r="B4781" i="1"/>
  <c r="C4781" i="1"/>
  <c r="D4781" i="1"/>
  <c r="E4781" i="1"/>
  <c r="F4781" i="1"/>
  <c r="G4781" i="1"/>
  <c r="H4781" i="1"/>
  <c r="I4781" i="1"/>
  <c r="J4781" i="1"/>
  <c r="K4781" i="1"/>
  <c r="L4781" i="1"/>
  <c r="A4782" i="1"/>
  <c r="B4782" i="1"/>
  <c r="C4782" i="1"/>
  <c r="D4782" i="1"/>
  <c r="E4782" i="1"/>
  <c r="F4782" i="1"/>
  <c r="G4782" i="1"/>
  <c r="H4782" i="1"/>
  <c r="I4782" i="1"/>
  <c r="J4782" i="1"/>
  <c r="K4782" i="1"/>
  <c r="L4782" i="1"/>
  <c r="A4783" i="1"/>
  <c r="B4783" i="1"/>
  <c r="C4783" i="1"/>
  <c r="D4783" i="1"/>
  <c r="E4783" i="1"/>
  <c r="F4783" i="1"/>
  <c r="G4783" i="1"/>
  <c r="H4783" i="1"/>
  <c r="I4783" i="1"/>
  <c r="J4783" i="1"/>
  <c r="K4783" i="1"/>
  <c r="L4783" i="1"/>
  <c r="A4784" i="1"/>
  <c r="B4784" i="1"/>
  <c r="C4784" i="1"/>
  <c r="D4784" i="1"/>
  <c r="E4784" i="1"/>
  <c r="F4784" i="1"/>
  <c r="G4784" i="1"/>
  <c r="H4784" i="1"/>
  <c r="I4784" i="1"/>
  <c r="J4784" i="1"/>
  <c r="K4784" i="1"/>
  <c r="L4784" i="1"/>
  <c r="A4785" i="1"/>
  <c r="B4785" i="1"/>
  <c r="C4785" i="1"/>
  <c r="D4785" i="1"/>
  <c r="E4785" i="1"/>
  <c r="F4785" i="1"/>
  <c r="G4785" i="1"/>
  <c r="H4785" i="1"/>
  <c r="I4785" i="1"/>
  <c r="J4785" i="1"/>
  <c r="K4785" i="1"/>
  <c r="L4785" i="1"/>
  <c r="A4786" i="1"/>
  <c r="B4786" i="1"/>
  <c r="C4786" i="1"/>
  <c r="D4786" i="1"/>
  <c r="E4786" i="1"/>
  <c r="F4786" i="1"/>
  <c r="G4786" i="1"/>
  <c r="H4786" i="1"/>
  <c r="I4786" i="1"/>
  <c r="J4786" i="1"/>
  <c r="K4786" i="1"/>
  <c r="L4786" i="1"/>
  <c r="A4787" i="1"/>
  <c r="B4787" i="1"/>
  <c r="C4787" i="1"/>
  <c r="D4787" i="1"/>
  <c r="E4787" i="1"/>
  <c r="F4787" i="1"/>
  <c r="G4787" i="1"/>
  <c r="H4787" i="1"/>
  <c r="I4787" i="1"/>
  <c r="J4787" i="1"/>
  <c r="K4787" i="1"/>
  <c r="L4787" i="1"/>
  <c r="A4788" i="1"/>
  <c r="B4788" i="1"/>
  <c r="C4788" i="1"/>
  <c r="D4788" i="1"/>
  <c r="E4788" i="1"/>
  <c r="F4788" i="1"/>
  <c r="G4788" i="1"/>
  <c r="H4788" i="1"/>
  <c r="I4788" i="1"/>
  <c r="J4788" i="1"/>
  <c r="K4788" i="1"/>
  <c r="L4788" i="1"/>
  <c r="A4789" i="1"/>
  <c r="B4789" i="1"/>
  <c r="C4789" i="1"/>
  <c r="D4789" i="1"/>
  <c r="E4789" i="1"/>
  <c r="F4789" i="1"/>
  <c r="G4789" i="1"/>
  <c r="H4789" i="1"/>
  <c r="I4789" i="1"/>
  <c r="J4789" i="1"/>
  <c r="K4789" i="1"/>
  <c r="L4789" i="1"/>
  <c r="A4790" i="1"/>
  <c r="B4790" i="1"/>
  <c r="C4790" i="1"/>
  <c r="D4790" i="1"/>
  <c r="E4790" i="1"/>
  <c r="F4790" i="1"/>
  <c r="G4790" i="1"/>
  <c r="H4790" i="1"/>
  <c r="I4790" i="1"/>
  <c r="J4790" i="1"/>
  <c r="K4790" i="1"/>
  <c r="L4790" i="1"/>
  <c r="A4791" i="1"/>
  <c r="B4791" i="1"/>
  <c r="C4791" i="1"/>
  <c r="D4791" i="1"/>
  <c r="E4791" i="1"/>
  <c r="F4791" i="1"/>
  <c r="G4791" i="1"/>
  <c r="H4791" i="1"/>
  <c r="I4791" i="1"/>
  <c r="J4791" i="1"/>
  <c r="K4791" i="1"/>
  <c r="L4791" i="1"/>
  <c r="A4792" i="1"/>
  <c r="B4792" i="1"/>
  <c r="C4792" i="1"/>
  <c r="D4792" i="1"/>
  <c r="E4792" i="1"/>
  <c r="F4792" i="1"/>
  <c r="G4792" i="1"/>
  <c r="H4792" i="1"/>
  <c r="I4792" i="1"/>
  <c r="J4792" i="1"/>
  <c r="K4792" i="1"/>
  <c r="L4792" i="1"/>
  <c r="A4793" i="1"/>
  <c r="B4793" i="1"/>
  <c r="C4793" i="1"/>
  <c r="D4793" i="1"/>
  <c r="E4793" i="1"/>
  <c r="F4793" i="1"/>
  <c r="G4793" i="1"/>
  <c r="H4793" i="1"/>
  <c r="I4793" i="1"/>
  <c r="J4793" i="1"/>
  <c r="K4793" i="1"/>
  <c r="L4793" i="1"/>
  <c r="A4794" i="1"/>
  <c r="B4794" i="1"/>
  <c r="C4794" i="1"/>
  <c r="D4794" i="1"/>
  <c r="E4794" i="1"/>
  <c r="F4794" i="1"/>
  <c r="G4794" i="1"/>
  <c r="H4794" i="1"/>
  <c r="I4794" i="1"/>
  <c r="J4794" i="1"/>
  <c r="K4794" i="1"/>
  <c r="L4794" i="1"/>
  <c r="A4795" i="1"/>
  <c r="B4795" i="1"/>
  <c r="C4795" i="1"/>
  <c r="D4795" i="1"/>
  <c r="E4795" i="1"/>
  <c r="F4795" i="1"/>
  <c r="G4795" i="1"/>
  <c r="H4795" i="1"/>
  <c r="I4795" i="1"/>
  <c r="J4795" i="1"/>
  <c r="K4795" i="1"/>
  <c r="L4795" i="1"/>
  <c r="A4796" i="1"/>
  <c r="B4796" i="1"/>
  <c r="C4796" i="1"/>
  <c r="D4796" i="1"/>
  <c r="E4796" i="1"/>
  <c r="F4796" i="1"/>
  <c r="G4796" i="1"/>
  <c r="H4796" i="1"/>
  <c r="I4796" i="1"/>
  <c r="J4796" i="1"/>
  <c r="K4796" i="1"/>
  <c r="L4796" i="1"/>
  <c r="A4797" i="1"/>
  <c r="B4797" i="1"/>
  <c r="C4797" i="1"/>
  <c r="D4797" i="1"/>
  <c r="E4797" i="1"/>
  <c r="F4797" i="1"/>
  <c r="G4797" i="1"/>
  <c r="H4797" i="1"/>
  <c r="I4797" i="1"/>
  <c r="J4797" i="1"/>
  <c r="K4797" i="1"/>
  <c r="L4797" i="1"/>
  <c r="A4798" i="1"/>
  <c r="B4798" i="1"/>
  <c r="C4798" i="1"/>
  <c r="D4798" i="1"/>
  <c r="E4798" i="1"/>
  <c r="F4798" i="1"/>
  <c r="G4798" i="1"/>
  <c r="H4798" i="1"/>
  <c r="I4798" i="1"/>
  <c r="J4798" i="1"/>
  <c r="K4798" i="1"/>
  <c r="L4798" i="1"/>
  <c r="A4799" i="1"/>
  <c r="B4799" i="1"/>
  <c r="C4799" i="1"/>
  <c r="D4799" i="1"/>
  <c r="E4799" i="1"/>
  <c r="F4799" i="1"/>
  <c r="G4799" i="1"/>
  <c r="H4799" i="1"/>
  <c r="I4799" i="1"/>
  <c r="J4799" i="1"/>
  <c r="K4799" i="1"/>
  <c r="L4799" i="1"/>
  <c r="A4800" i="1"/>
  <c r="B4800" i="1"/>
  <c r="C4800" i="1"/>
  <c r="D4800" i="1"/>
  <c r="E4800" i="1"/>
  <c r="F4800" i="1"/>
  <c r="G4800" i="1"/>
  <c r="H4800" i="1"/>
  <c r="I4800" i="1"/>
  <c r="J4800" i="1"/>
  <c r="K4800" i="1"/>
  <c r="L4800" i="1"/>
  <c r="A4801" i="1"/>
  <c r="B4801" i="1"/>
  <c r="C4801" i="1"/>
  <c r="D4801" i="1"/>
  <c r="E4801" i="1"/>
  <c r="F4801" i="1"/>
  <c r="G4801" i="1"/>
  <c r="H4801" i="1"/>
  <c r="I4801" i="1"/>
  <c r="J4801" i="1"/>
  <c r="K4801" i="1"/>
  <c r="L4801" i="1"/>
  <c r="A4802" i="1"/>
  <c r="B4802" i="1"/>
  <c r="C4802" i="1"/>
  <c r="D4802" i="1"/>
  <c r="E4802" i="1"/>
  <c r="F4802" i="1"/>
  <c r="G4802" i="1"/>
  <c r="H4802" i="1"/>
  <c r="I4802" i="1"/>
  <c r="J4802" i="1"/>
  <c r="K4802" i="1"/>
  <c r="L4802" i="1"/>
  <c r="A4803" i="1"/>
  <c r="B4803" i="1"/>
  <c r="C4803" i="1"/>
  <c r="D4803" i="1"/>
  <c r="E4803" i="1"/>
  <c r="F4803" i="1"/>
  <c r="G4803" i="1"/>
  <c r="H4803" i="1"/>
  <c r="I4803" i="1"/>
  <c r="J4803" i="1"/>
  <c r="K4803" i="1"/>
  <c r="L4803" i="1"/>
  <c r="A4804" i="1"/>
  <c r="B4804" i="1"/>
  <c r="C4804" i="1"/>
  <c r="D4804" i="1"/>
  <c r="E4804" i="1"/>
  <c r="F4804" i="1"/>
  <c r="G4804" i="1"/>
  <c r="H4804" i="1"/>
  <c r="I4804" i="1"/>
  <c r="J4804" i="1"/>
  <c r="K4804" i="1"/>
  <c r="L4804" i="1"/>
  <c r="A4805" i="1"/>
  <c r="B4805" i="1"/>
  <c r="C4805" i="1"/>
  <c r="D4805" i="1"/>
  <c r="E4805" i="1"/>
  <c r="F4805" i="1"/>
  <c r="G4805" i="1"/>
  <c r="H4805" i="1"/>
  <c r="I4805" i="1"/>
  <c r="J4805" i="1"/>
  <c r="K4805" i="1"/>
  <c r="L4805" i="1"/>
  <c r="A4806" i="1"/>
  <c r="B4806" i="1"/>
  <c r="C4806" i="1"/>
  <c r="D4806" i="1"/>
  <c r="E4806" i="1"/>
  <c r="F4806" i="1"/>
  <c r="G4806" i="1"/>
  <c r="H4806" i="1"/>
  <c r="I4806" i="1"/>
  <c r="J4806" i="1"/>
  <c r="K4806" i="1"/>
  <c r="L4806" i="1"/>
  <c r="A4807" i="1"/>
  <c r="B4807" i="1"/>
  <c r="C4807" i="1"/>
  <c r="D4807" i="1"/>
  <c r="E4807" i="1"/>
  <c r="F4807" i="1"/>
  <c r="G4807" i="1"/>
  <c r="H4807" i="1"/>
  <c r="I4807" i="1"/>
  <c r="J4807" i="1"/>
  <c r="K4807" i="1"/>
  <c r="L4807" i="1"/>
  <c r="A4808" i="1"/>
  <c r="B4808" i="1"/>
  <c r="C4808" i="1"/>
  <c r="D4808" i="1"/>
  <c r="E4808" i="1"/>
  <c r="F4808" i="1"/>
  <c r="G4808" i="1"/>
  <c r="H4808" i="1"/>
  <c r="I4808" i="1"/>
  <c r="J4808" i="1"/>
  <c r="K4808" i="1"/>
  <c r="L4808" i="1"/>
  <c r="A4809" i="1"/>
  <c r="B4809" i="1"/>
  <c r="C4809" i="1"/>
  <c r="D4809" i="1"/>
  <c r="E4809" i="1"/>
  <c r="F4809" i="1"/>
  <c r="G4809" i="1"/>
  <c r="H4809" i="1"/>
  <c r="I4809" i="1"/>
  <c r="J4809" i="1"/>
  <c r="K4809" i="1"/>
  <c r="L4809" i="1"/>
  <c r="A4810" i="1"/>
  <c r="B4810" i="1"/>
  <c r="C4810" i="1"/>
  <c r="D4810" i="1"/>
  <c r="E4810" i="1"/>
  <c r="F4810" i="1"/>
  <c r="G4810" i="1"/>
  <c r="H4810" i="1"/>
  <c r="I4810" i="1"/>
  <c r="J4810" i="1"/>
  <c r="K4810" i="1"/>
  <c r="L4810" i="1"/>
  <c r="A4811" i="1"/>
  <c r="B4811" i="1"/>
  <c r="C4811" i="1"/>
  <c r="D4811" i="1"/>
  <c r="E4811" i="1"/>
  <c r="F4811" i="1"/>
  <c r="G4811" i="1"/>
  <c r="H4811" i="1"/>
  <c r="I4811" i="1"/>
  <c r="J4811" i="1"/>
  <c r="K4811" i="1"/>
  <c r="L4811" i="1"/>
  <c r="A4812" i="1"/>
  <c r="B4812" i="1"/>
  <c r="C4812" i="1"/>
  <c r="D4812" i="1"/>
  <c r="E4812" i="1"/>
  <c r="F4812" i="1"/>
  <c r="G4812" i="1"/>
  <c r="H4812" i="1"/>
  <c r="I4812" i="1"/>
  <c r="J4812" i="1"/>
  <c r="K4812" i="1"/>
  <c r="L4812" i="1"/>
  <c r="A4813" i="1"/>
  <c r="B4813" i="1"/>
  <c r="C4813" i="1"/>
  <c r="D4813" i="1"/>
  <c r="E4813" i="1"/>
  <c r="F4813" i="1"/>
  <c r="G4813" i="1"/>
  <c r="H4813" i="1"/>
  <c r="I4813" i="1"/>
  <c r="J4813" i="1"/>
  <c r="K4813" i="1"/>
  <c r="L4813" i="1"/>
  <c r="A4814" i="1"/>
  <c r="B4814" i="1"/>
  <c r="C4814" i="1"/>
  <c r="D4814" i="1"/>
  <c r="E4814" i="1"/>
  <c r="F4814" i="1"/>
  <c r="G4814" i="1"/>
  <c r="H4814" i="1"/>
  <c r="I4814" i="1"/>
  <c r="J4814" i="1"/>
  <c r="K4814" i="1"/>
  <c r="L4814" i="1"/>
  <c r="A4815" i="1"/>
  <c r="B4815" i="1"/>
  <c r="C4815" i="1"/>
  <c r="D4815" i="1"/>
  <c r="E4815" i="1"/>
  <c r="F4815" i="1"/>
  <c r="G4815" i="1"/>
  <c r="H4815" i="1"/>
  <c r="I4815" i="1"/>
  <c r="J4815" i="1"/>
  <c r="K4815" i="1"/>
  <c r="L4815" i="1"/>
  <c r="A4816" i="1"/>
  <c r="B4816" i="1"/>
  <c r="C4816" i="1"/>
  <c r="D4816" i="1"/>
  <c r="E4816" i="1"/>
  <c r="F4816" i="1"/>
  <c r="G4816" i="1"/>
  <c r="H4816" i="1"/>
  <c r="I4816" i="1"/>
  <c r="J4816" i="1"/>
  <c r="K4816" i="1"/>
  <c r="L4816" i="1"/>
  <c r="A4817" i="1"/>
  <c r="B4817" i="1"/>
  <c r="C4817" i="1"/>
  <c r="D4817" i="1"/>
  <c r="E4817" i="1"/>
  <c r="F4817" i="1"/>
  <c r="G4817" i="1"/>
  <c r="H4817" i="1"/>
  <c r="I4817" i="1"/>
  <c r="J4817" i="1"/>
  <c r="K4817" i="1"/>
  <c r="L4817" i="1"/>
  <c r="A4818" i="1"/>
  <c r="B4818" i="1"/>
  <c r="C4818" i="1"/>
  <c r="D4818" i="1"/>
  <c r="E4818" i="1"/>
  <c r="F4818" i="1"/>
  <c r="G4818" i="1"/>
  <c r="H4818" i="1"/>
  <c r="I4818" i="1"/>
  <c r="J4818" i="1"/>
  <c r="K4818" i="1"/>
  <c r="L4818" i="1"/>
  <c r="A4819" i="1"/>
  <c r="B4819" i="1"/>
  <c r="C4819" i="1"/>
  <c r="D4819" i="1"/>
  <c r="E4819" i="1"/>
  <c r="F4819" i="1"/>
  <c r="G4819" i="1"/>
  <c r="H4819" i="1"/>
  <c r="I4819" i="1"/>
  <c r="J4819" i="1"/>
  <c r="K4819" i="1"/>
  <c r="L4819" i="1"/>
  <c r="A4820" i="1"/>
  <c r="B4820" i="1"/>
  <c r="C4820" i="1"/>
  <c r="D4820" i="1"/>
  <c r="E4820" i="1"/>
  <c r="F4820" i="1"/>
  <c r="G4820" i="1"/>
  <c r="H4820" i="1"/>
  <c r="I4820" i="1"/>
  <c r="J4820" i="1"/>
  <c r="K4820" i="1"/>
  <c r="L4820" i="1"/>
  <c r="A4821" i="1"/>
  <c r="B4821" i="1"/>
  <c r="C4821" i="1"/>
  <c r="D4821" i="1"/>
  <c r="E4821" i="1"/>
  <c r="F4821" i="1"/>
  <c r="G4821" i="1"/>
  <c r="H4821" i="1"/>
  <c r="I4821" i="1"/>
  <c r="J4821" i="1"/>
  <c r="K4821" i="1"/>
  <c r="L4821" i="1"/>
  <c r="A4822" i="1"/>
  <c r="B4822" i="1"/>
  <c r="C4822" i="1"/>
  <c r="D4822" i="1"/>
  <c r="E4822" i="1"/>
  <c r="F4822" i="1"/>
  <c r="G4822" i="1"/>
  <c r="H4822" i="1"/>
  <c r="I4822" i="1"/>
  <c r="J4822" i="1"/>
  <c r="K4822" i="1"/>
  <c r="L4822" i="1"/>
  <c r="A4823" i="1"/>
  <c r="B4823" i="1"/>
  <c r="C4823" i="1"/>
  <c r="D4823" i="1"/>
  <c r="E4823" i="1"/>
  <c r="F4823" i="1"/>
  <c r="G4823" i="1"/>
  <c r="H4823" i="1"/>
  <c r="I4823" i="1"/>
  <c r="J4823" i="1"/>
  <c r="K4823" i="1"/>
  <c r="L4823" i="1"/>
  <c r="A4824" i="1"/>
  <c r="B4824" i="1"/>
  <c r="C4824" i="1"/>
  <c r="D4824" i="1"/>
  <c r="E4824" i="1"/>
  <c r="F4824" i="1"/>
  <c r="G4824" i="1"/>
  <c r="H4824" i="1"/>
  <c r="I4824" i="1"/>
  <c r="J4824" i="1"/>
  <c r="K4824" i="1"/>
  <c r="L4824" i="1"/>
  <c r="A4825" i="1"/>
  <c r="B4825" i="1"/>
  <c r="C4825" i="1"/>
  <c r="D4825" i="1"/>
  <c r="E4825" i="1"/>
  <c r="F4825" i="1"/>
  <c r="G4825" i="1"/>
  <c r="H4825" i="1"/>
  <c r="I4825" i="1"/>
  <c r="J4825" i="1"/>
  <c r="K4825" i="1"/>
  <c r="L4825" i="1"/>
  <c r="A4826" i="1"/>
  <c r="B4826" i="1"/>
  <c r="C4826" i="1"/>
  <c r="D4826" i="1"/>
  <c r="E4826" i="1"/>
  <c r="F4826" i="1"/>
  <c r="G4826" i="1"/>
  <c r="H4826" i="1"/>
  <c r="I4826" i="1"/>
  <c r="J4826" i="1"/>
  <c r="K4826" i="1"/>
  <c r="L4826" i="1"/>
  <c r="A4827" i="1"/>
  <c r="B4827" i="1"/>
  <c r="C4827" i="1"/>
  <c r="D4827" i="1"/>
  <c r="E4827" i="1"/>
  <c r="F4827" i="1"/>
  <c r="G4827" i="1"/>
  <c r="H4827" i="1"/>
  <c r="I4827" i="1"/>
  <c r="J4827" i="1"/>
  <c r="K4827" i="1"/>
  <c r="L4827" i="1"/>
  <c r="A4828" i="1"/>
  <c r="B4828" i="1"/>
  <c r="C4828" i="1"/>
  <c r="D4828" i="1"/>
  <c r="E4828" i="1"/>
  <c r="F4828" i="1"/>
  <c r="G4828" i="1"/>
  <c r="H4828" i="1"/>
  <c r="I4828" i="1"/>
  <c r="J4828" i="1"/>
  <c r="K4828" i="1"/>
  <c r="L4828" i="1"/>
  <c r="A4829" i="1"/>
  <c r="B4829" i="1"/>
  <c r="C4829" i="1"/>
  <c r="D4829" i="1"/>
  <c r="E4829" i="1"/>
  <c r="F4829" i="1"/>
  <c r="G4829" i="1"/>
  <c r="H4829" i="1"/>
  <c r="I4829" i="1"/>
  <c r="J4829" i="1"/>
  <c r="K4829" i="1"/>
  <c r="L4829" i="1"/>
  <c r="A4830" i="1"/>
  <c r="B4830" i="1"/>
  <c r="C4830" i="1"/>
  <c r="D4830" i="1"/>
  <c r="E4830" i="1"/>
  <c r="F4830" i="1"/>
  <c r="G4830" i="1"/>
  <c r="H4830" i="1"/>
  <c r="I4830" i="1"/>
  <c r="J4830" i="1"/>
  <c r="K4830" i="1"/>
  <c r="L4830" i="1"/>
  <c r="A4831" i="1"/>
  <c r="B4831" i="1"/>
  <c r="C4831" i="1"/>
  <c r="D4831" i="1"/>
  <c r="E4831" i="1"/>
  <c r="F4831" i="1"/>
  <c r="G4831" i="1"/>
  <c r="H4831" i="1"/>
  <c r="I4831" i="1"/>
  <c r="J4831" i="1"/>
  <c r="K4831" i="1"/>
  <c r="L4831" i="1"/>
  <c r="A4832" i="1"/>
  <c r="B4832" i="1"/>
  <c r="C4832" i="1"/>
  <c r="D4832" i="1"/>
  <c r="E4832" i="1"/>
  <c r="F4832" i="1"/>
  <c r="G4832" i="1"/>
  <c r="H4832" i="1"/>
  <c r="I4832" i="1"/>
  <c r="J4832" i="1"/>
  <c r="K4832" i="1"/>
  <c r="L4832" i="1"/>
  <c r="A4833" i="1"/>
  <c r="B4833" i="1"/>
  <c r="C4833" i="1"/>
  <c r="D4833" i="1"/>
  <c r="E4833" i="1"/>
  <c r="F4833" i="1"/>
  <c r="G4833" i="1"/>
  <c r="H4833" i="1"/>
  <c r="I4833" i="1"/>
  <c r="J4833" i="1"/>
  <c r="K4833" i="1"/>
  <c r="L4833" i="1"/>
  <c r="A4834" i="1"/>
  <c r="B4834" i="1"/>
  <c r="C4834" i="1"/>
  <c r="D4834" i="1"/>
  <c r="E4834" i="1"/>
  <c r="F4834" i="1"/>
  <c r="G4834" i="1"/>
  <c r="H4834" i="1"/>
  <c r="I4834" i="1"/>
  <c r="J4834" i="1"/>
  <c r="K4834" i="1"/>
  <c r="L4834" i="1"/>
  <c r="A4835" i="1"/>
  <c r="B4835" i="1"/>
  <c r="C4835" i="1"/>
  <c r="D4835" i="1"/>
  <c r="E4835" i="1"/>
  <c r="F4835" i="1"/>
  <c r="G4835" i="1"/>
  <c r="H4835" i="1"/>
  <c r="I4835" i="1"/>
  <c r="J4835" i="1"/>
  <c r="K4835" i="1"/>
  <c r="L4835" i="1"/>
  <c r="A4836" i="1"/>
  <c r="B4836" i="1"/>
  <c r="C4836" i="1"/>
  <c r="D4836" i="1"/>
  <c r="E4836" i="1"/>
  <c r="F4836" i="1"/>
  <c r="G4836" i="1"/>
  <c r="H4836" i="1"/>
  <c r="I4836" i="1"/>
  <c r="J4836" i="1"/>
  <c r="K4836" i="1"/>
  <c r="L4836" i="1"/>
  <c r="A4837" i="1"/>
  <c r="B4837" i="1"/>
  <c r="C4837" i="1"/>
  <c r="D4837" i="1"/>
  <c r="E4837" i="1"/>
  <c r="F4837" i="1"/>
  <c r="G4837" i="1"/>
  <c r="H4837" i="1"/>
  <c r="I4837" i="1"/>
  <c r="J4837" i="1"/>
  <c r="K4837" i="1"/>
  <c r="L4837" i="1"/>
  <c r="A4838" i="1"/>
  <c r="B4838" i="1"/>
  <c r="C4838" i="1"/>
  <c r="D4838" i="1"/>
  <c r="E4838" i="1"/>
  <c r="F4838" i="1"/>
  <c r="G4838" i="1"/>
  <c r="H4838" i="1"/>
  <c r="I4838" i="1"/>
  <c r="J4838" i="1"/>
  <c r="K4838" i="1"/>
  <c r="L4838" i="1"/>
  <c r="A4839" i="1"/>
  <c r="B4839" i="1"/>
  <c r="C4839" i="1"/>
  <c r="D4839" i="1"/>
  <c r="E4839" i="1"/>
  <c r="F4839" i="1"/>
  <c r="G4839" i="1"/>
  <c r="H4839" i="1"/>
  <c r="I4839" i="1"/>
  <c r="J4839" i="1"/>
  <c r="K4839" i="1"/>
  <c r="L4839" i="1"/>
  <c r="A4840" i="1"/>
  <c r="B4840" i="1"/>
  <c r="C4840" i="1"/>
  <c r="D4840" i="1"/>
  <c r="E4840" i="1"/>
  <c r="F4840" i="1"/>
  <c r="G4840" i="1"/>
  <c r="H4840" i="1"/>
  <c r="I4840" i="1"/>
  <c r="J4840" i="1"/>
  <c r="K4840" i="1"/>
  <c r="L4840" i="1"/>
  <c r="A4841" i="1"/>
  <c r="B4841" i="1"/>
  <c r="C4841" i="1"/>
  <c r="D4841" i="1"/>
  <c r="E4841" i="1"/>
  <c r="F4841" i="1"/>
  <c r="G4841" i="1"/>
  <c r="H4841" i="1"/>
  <c r="I4841" i="1"/>
  <c r="J4841" i="1"/>
  <c r="K4841" i="1"/>
  <c r="L4841" i="1"/>
  <c r="A4842" i="1"/>
  <c r="B4842" i="1"/>
  <c r="C4842" i="1"/>
  <c r="D4842" i="1"/>
  <c r="E4842" i="1"/>
  <c r="F4842" i="1"/>
  <c r="G4842" i="1"/>
  <c r="H4842" i="1"/>
  <c r="I4842" i="1"/>
  <c r="J4842" i="1"/>
  <c r="K4842" i="1"/>
  <c r="L4842" i="1"/>
  <c r="A4843" i="1"/>
  <c r="B4843" i="1"/>
  <c r="C4843" i="1"/>
  <c r="D4843" i="1"/>
  <c r="E4843" i="1"/>
  <c r="F4843" i="1"/>
  <c r="G4843" i="1"/>
  <c r="H4843" i="1"/>
  <c r="I4843" i="1"/>
  <c r="J4843" i="1"/>
  <c r="K4843" i="1"/>
  <c r="L4843" i="1"/>
  <c r="A4844" i="1"/>
  <c r="B4844" i="1"/>
  <c r="C4844" i="1"/>
  <c r="D4844" i="1"/>
  <c r="E4844" i="1"/>
  <c r="F4844" i="1"/>
  <c r="G4844" i="1"/>
  <c r="H4844" i="1"/>
  <c r="I4844" i="1"/>
  <c r="J4844" i="1"/>
  <c r="K4844" i="1"/>
  <c r="L4844" i="1"/>
  <c r="A4845" i="1"/>
  <c r="B4845" i="1"/>
  <c r="C4845" i="1"/>
  <c r="D4845" i="1"/>
  <c r="E4845" i="1"/>
  <c r="F4845" i="1"/>
  <c r="G4845" i="1"/>
  <c r="H4845" i="1"/>
  <c r="I4845" i="1"/>
  <c r="J4845" i="1"/>
  <c r="K4845" i="1"/>
  <c r="L4845" i="1"/>
  <c r="A4846" i="1"/>
  <c r="B4846" i="1"/>
  <c r="C4846" i="1"/>
  <c r="D4846" i="1"/>
  <c r="E4846" i="1"/>
  <c r="F4846" i="1"/>
  <c r="G4846" i="1"/>
  <c r="H4846" i="1"/>
  <c r="I4846" i="1"/>
  <c r="J4846" i="1"/>
  <c r="K4846" i="1"/>
  <c r="L4846" i="1"/>
  <c r="A4847" i="1"/>
  <c r="B4847" i="1"/>
  <c r="C4847" i="1"/>
  <c r="D4847" i="1"/>
  <c r="E4847" i="1"/>
  <c r="F4847" i="1"/>
  <c r="G4847" i="1"/>
  <c r="H4847" i="1"/>
  <c r="I4847" i="1"/>
  <c r="J4847" i="1"/>
  <c r="K4847" i="1"/>
  <c r="L4847" i="1"/>
  <c r="A4848" i="1"/>
  <c r="B4848" i="1"/>
  <c r="C4848" i="1"/>
  <c r="D4848" i="1"/>
  <c r="E4848" i="1"/>
  <c r="F4848" i="1"/>
  <c r="G4848" i="1"/>
  <c r="H4848" i="1"/>
  <c r="I4848" i="1"/>
  <c r="J4848" i="1"/>
  <c r="K4848" i="1"/>
  <c r="L4848" i="1"/>
  <c r="A4849" i="1"/>
  <c r="B4849" i="1"/>
  <c r="C4849" i="1"/>
  <c r="D4849" i="1"/>
  <c r="E4849" i="1"/>
  <c r="F4849" i="1"/>
  <c r="G4849" i="1"/>
  <c r="H4849" i="1"/>
  <c r="I4849" i="1"/>
  <c r="J4849" i="1"/>
  <c r="K4849" i="1"/>
  <c r="L4849" i="1"/>
  <c r="A4850" i="1"/>
  <c r="B4850" i="1"/>
  <c r="C4850" i="1"/>
  <c r="D4850" i="1"/>
  <c r="E4850" i="1"/>
  <c r="F4850" i="1"/>
  <c r="G4850" i="1"/>
  <c r="H4850" i="1"/>
  <c r="I4850" i="1"/>
  <c r="J4850" i="1"/>
  <c r="K4850" i="1"/>
  <c r="L4850" i="1"/>
  <c r="A4851" i="1"/>
  <c r="B4851" i="1"/>
  <c r="C4851" i="1"/>
  <c r="D4851" i="1"/>
  <c r="E4851" i="1"/>
  <c r="F4851" i="1"/>
  <c r="G4851" i="1"/>
  <c r="H4851" i="1"/>
  <c r="I4851" i="1"/>
  <c r="J4851" i="1"/>
  <c r="K4851" i="1"/>
  <c r="L4851" i="1"/>
  <c r="A4852" i="1"/>
  <c r="B4852" i="1"/>
  <c r="C4852" i="1"/>
  <c r="D4852" i="1"/>
  <c r="E4852" i="1"/>
  <c r="F4852" i="1"/>
  <c r="G4852" i="1"/>
  <c r="H4852" i="1"/>
  <c r="I4852" i="1"/>
  <c r="J4852" i="1"/>
  <c r="K4852" i="1"/>
  <c r="L4852" i="1"/>
  <c r="A4853" i="1"/>
  <c r="B4853" i="1"/>
  <c r="C4853" i="1"/>
  <c r="D4853" i="1"/>
  <c r="E4853" i="1"/>
  <c r="F4853" i="1"/>
  <c r="G4853" i="1"/>
  <c r="H4853" i="1"/>
  <c r="I4853" i="1"/>
  <c r="J4853" i="1"/>
  <c r="K4853" i="1"/>
  <c r="L4853" i="1"/>
  <c r="A4854" i="1"/>
  <c r="B4854" i="1"/>
  <c r="C4854" i="1"/>
  <c r="D4854" i="1"/>
  <c r="E4854" i="1"/>
  <c r="F4854" i="1"/>
  <c r="G4854" i="1"/>
  <c r="H4854" i="1"/>
  <c r="I4854" i="1"/>
  <c r="J4854" i="1"/>
  <c r="K4854" i="1"/>
  <c r="L4854" i="1"/>
  <c r="A4855" i="1"/>
  <c r="B4855" i="1"/>
  <c r="C4855" i="1"/>
  <c r="D4855" i="1"/>
  <c r="E4855" i="1"/>
  <c r="F4855" i="1"/>
  <c r="G4855" i="1"/>
  <c r="H4855" i="1"/>
  <c r="I4855" i="1"/>
  <c r="J4855" i="1"/>
  <c r="K4855" i="1"/>
  <c r="L4855" i="1"/>
  <c r="A4856" i="1"/>
  <c r="B4856" i="1"/>
  <c r="C4856" i="1"/>
  <c r="D4856" i="1"/>
  <c r="E4856" i="1"/>
  <c r="F4856" i="1"/>
  <c r="G4856" i="1"/>
  <c r="H4856" i="1"/>
  <c r="I4856" i="1"/>
  <c r="J4856" i="1"/>
  <c r="K4856" i="1"/>
  <c r="L4856" i="1"/>
  <c r="A4857" i="1"/>
  <c r="B4857" i="1"/>
  <c r="C4857" i="1"/>
  <c r="D4857" i="1"/>
  <c r="E4857" i="1"/>
  <c r="F4857" i="1"/>
  <c r="G4857" i="1"/>
  <c r="H4857" i="1"/>
  <c r="I4857" i="1"/>
  <c r="J4857" i="1"/>
  <c r="K4857" i="1"/>
  <c r="L4857" i="1"/>
  <c r="A4858" i="1"/>
  <c r="B4858" i="1"/>
  <c r="C4858" i="1"/>
  <c r="D4858" i="1"/>
  <c r="E4858" i="1"/>
  <c r="F4858" i="1"/>
  <c r="G4858" i="1"/>
  <c r="H4858" i="1"/>
  <c r="I4858" i="1"/>
  <c r="J4858" i="1"/>
  <c r="K4858" i="1"/>
  <c r="L4858" i="1"/>
  <c r="A4859" i="1"/>
  <c r="B4859" i="1"/>
  <c r="C4859" i="1"/>
  <c r="D4859" i="1"/>
  <c r="E4859" i="1"/>
  <c r="F4859" i="1"/>
  <c r="G4859" i="1"/>
  <c r="H4859" i="1"/>
  <c r="I4859" i="1"/>
  <c r="J4859" i="1"/>
  <c r="K4859" i="1"/>
  <c r="L4859" i="1"/>
  <c r="A4860" i="1"/>
  <c r="B4860" i="1"/>
  <c r="C4860" i="1"/>
  <c r="D4860" i="1"/>
  <c r="E4860" i="1"/>
  <c r="F4860" i="1"/>
  <c r="G4860" i="1"/>
  <c r="H4860" i="1"/>
  <c r="I4860" i="1"/>
  <c r="J4860" i="1"/>
  <c r="K4860" i="1"/>
  <c r="L4860" i="1"/>
  <c r="A4861" i="1"/>
  <c r="B4861" i="1"/>
  <c r="C4861" i="1"/>
  <c r="D4861" i="1"/>
  <c r="E4861" i="1"/>
  <c r="F4861" i="1"/>
  <c r="G4861" i="1"/>
  <c r="H4861" i="1"/>
  <c r="I4861" i="1"/>
  <c r="J4861" i="1"/>
  <c r="K4861" i="1"/>
  <c r="L4861" i="1"/>
  <c r="A4862" i="1"/>
  <c r="B4862" i="1"/>
  <c r="C4862" i="1"/>
  <c r="D4862" i="1"/>
  <c r="E4862" i="1"/>
  <c r="F4862" i="1"/>
  <c r="G4862" i="1"/>
  <c r="H4862" i="1"/>
  <c r="I4862" i="1"/>
  <c r="J4862" i="1"/>
  <c r="K4862" i="1"/>
  <c r="L4862" i="1"/>
  <c r="A4863" i="1"/>
  <c r="B4863" i="1"/>
  <c r="C4863" i="1"/>
  <c r="D4863" i="1"/>
  <c r="E4863" i="1"/>
  <c r="F4863" i="1"/>
  <c r="G4863" i="1"/>
  <c r="H4863" i="1"/>
  <c r="I4863" i="1"/>
  <c r="J4863" i="1"/>
  <c r="K4863" i="1"/>
  <c r="L4863" i="1"/>
  <c r="A4864" i="1"/>
  <c r="B4864" i="1"/>
  <c r="C4864" i="1"/>
  <c r="D4864" i="1"/>
  <c r="E4864" i="1"/>
  <c r="F4864" i="1"/>
  <c r="G4864" i="1"/>
  <c r="H4864" i="1"/>
  <c r="I4864" i="1"/>
  <c r="J4864" i="1"/>
  <c r="K4864" i="1"/>
  <c r="L4864" i="1"/>
  <c r="A4865" i="1"/>
  <c r="B4865" i="1"/>
  <c r="C4865" i="1"/>
  <c r="D4865" i="1"/>
  <c r="E4865" i="1"/>
  <c r="F4865" i="1"/>
  <c r="G4865" i="1"/>
  <c r="H4865" i="1"/>
  <c r="I4865" i="1"/>
  <c r="J4865" i="1"/>
  <c r="K4865" i="1"/>
  <c r="L4865" i="1"/>
  <c r="A4866" i="1"/>
  <c r="B4866" i="1"/>
  <c r="C4866" i="1"/>
  <c r="D4866" i="1"/>
  <c r="E4866" i="1"/>
  <c r="F4866" i="1"/>
  <c r="G4866" i="1"/>
  <c r="H4866" i="1"/>
  <c r="I4866" i="1"/>
  <c r="J4866" i="1"/>
  <c r="K4866" i="1"/>
  <c r="L4866" i="1"/>
  <c r="A4867" i="1"/>
  <c r="B4867" i="1"/>
  <c r="C4867" i="1"/>
  <c r="D4867" i="1"/>
  <c r="E4867" i="1"/>
  <c r="F4867" i="1"/>
  <c r="G4867" i="1"/>
  <c r="H4867" i="1"/>
  <c r="I4867" i="1"/>
  <c r="J4867" i="1"/>
  <c r="K4867" i="1"/>
  <c r="L4867" i="1"/>
  <c r="A4868" i="1"/>
  <c r="B4868" i="1"/>
  <c r="C4868" i="1"/>
  <c r="D4868" i="1"/>
  <c r="E4868" i="1"/>
  <c r="F4868" i="1"/>
  <c r="G4868" i="1"/>
  <c r="H4868" i="1"/>
  <c r="I4868" i="1"/>
  <c r="J4868" i="1"/>
  <c r="K4868" i="1"/>
  <c r="L4868" i="1"/>
  <c r="A4869" i="1"/>
  <c r="B4869" i="1"/>
  <c r="C4869" i="1"/>
  <c r="D4869" i="1"/>
  <c r="E4869" i="1"/>
  <c r="F4869" i="1"/>
  <c r="G4869" i="1"/>
  <c r="H4869" i="1"/>
  <c r="I4869" i="1"/>
  <c r="J4869" i="1"/>
  <c r="K4869" i="1"/>
  <c r="L4869" i="1"/>
  <c r="A4870" i="1"/>
  <c r="B4870" i="1"/>
  <c r="C4870" i="1"/>
  <c r="D4870" i="1"/>
  <c r="E4870" i="1"/>
  <c r="F4870" i="1"/>
  <c r="G4870" i="1"/>
  <c r="H4870" i="1"/>
  <c r="I4870" i="1"/>
  <c r="J4870" i="1"/>
  <c r="K4870" i="1"/>
  <c r="L4870" i="1"/>
  <c r="A4871" i="1"/>
  <c r="B4871" i="1"/>
  <c r="C4871" i="1"/>
  <c r="D4871" i="1"/>
  <c r="E4871" i="1"/>
  <c r="F4871" i="1"/>
  <c r="G4871" i="1"/>
  <c r="H4871" i="1"/>
  <c r="I4871" i="1"/>
  <c r="J4871" i="1"/>
  <c r="K4871" i="1"/>
  <c r="L4871" i="1"/>
  <c r="A4872" i="1"/>
  <c r="B4872" i="1"/>
  <c r="C4872" i="1"/>
  <c r="D4872" i="1"/>
  <c r="E4872" i="1"/>
  <c r="F4872" i="1"/>
  <c r="G4872" i="1"/>
  <c r="H4872" i="1"/>
  <c r="I4872" i="1"/>
  <c r="J4872" i="1"/>
  <c r="K4872" i="1"/>
  <c r="L4872" i="1"/>
  <c r="A4873" i="1"/>
  <c r="B4873" i="1"/>
  <c r="C4873" i="1"/>
  <c r="D4873" i="1"/>
  <c r="E4873" i="1"/>
  <c r="F4873" i="1"/>
  <c r="G4873" i="1"/>
  <c r="H4873" i="1"/>
  <c r="I4873" i="1"/>
  <c r="J4873" i="1"/>
  <c r="K4873" i="1"/>
  <c r="L4873" i="1"/>
  <c r="A4874" i="1"/>
  <c r="B4874" i="1"/>
  <c r="C4874" i="1"/>
  <c r="D4874" i="1"/>
  <c r="E4874" i="1"/>
  <c r="F4874" i="1"/>
  <c r="G4874" i="1"/>
  <c r="H4874" i="1"/>
  <c r="I4874" i="1"/>
  <c r="J4874" i="1"/>
  <c r="K4874" i="1"/>
  <c r="L4874" i="1"/>
  <c r="A4875" i="1"/>
  <c r="B4875" i="1"/>
  <c r="C4875" i="1"/>
  <c r="D4875" i="1"/>
  <c r="E4875" i="1"/>
  <c r="F4875" i="1"/>
  <c r="G4875" i="1"/>
  <c r="H4875" i="1"/>
  <c r="I4875" i="1"/>
  <c r="J4875" i="1"/>
  <c r="K4875" i="1"/>
  <c r="L4875" i="1"/>
  <c r="A4876" i="1"/>
  <c r="B4876" i="1"/>
  <c r="C4876" i="1"/>
  <c r="D4876" i="1"/>
  <c r="E4876" i="1"/>
  <c r="F4876" i="1"/>
  <c r="G4876" i="1"/>
  <c r="H4876" i="1"/>
  <c r="I4876" i="1"/>
  <c r="J4876" i="1"/>
  <c r="K4876" i="1"/>
  <c r="L4876" i="1"/>
  <c r="A4877" i="1"/>
  <c r="B4877" i="1"/>
  <c r="C4877" i="1"/>
  <c r="D4877" i="1"/>
  <c r="E4877" i="1"/>
  <c r="F4877" i="1"/>
  <c r="G4877" i="1"/>
  <c r="H4877" i="1"/>
  <c r="I4877" i="1"/>
  <c r="J4877" i="1"/>
  <c r="K4877" i="1"/>
  <c r="L4877" i="1"/>
  <c r="A4878" i="1"/>
  <c r="B4878" i="1"/>
  <c r="C4878" i="1"/>
  <c r="D4878" i="1"/>
  <c r="E4878" i="1"/>
  <c r="F4878" i="1"/>
  <c r="G4878" i="1"/>
  <c r="H4878" i="1"/>
  <c r="I4878" i="1"/>
  <c r="J4878" i="1"/>
  <c r="K4878" i="1"/>
  <c r="L4878" i="1"/>
  <c r="A4879" i="1"/>
  <c r="B4879" i="1"/>
  <c r="C4879" i="1"/>
  <c r="D4879" i="1"/>
  <c r="E4879" i="1"/>
  <c r="F4879" i="1"/>
  <c r="G4879" i="1"/>
  <c r="H4879" i="1"/>
  <c r="I4879" i="1"/>
  <c r="J4879" i="1"/>
  <c r="K4879" i="1"/>
  <c r="L4879" i="1"/>
  <c r="A4880" i="1"/>
  <c r="B4880" i="1"/>
  <c r="C4880" i="1"/>
  <c r="D4880" i="1"/>
  <c r="E4880" i="1"/>
  <c r="F4880" i="1"/>
  <c r="G4880" i="1"/>
  <c r="H4880" i="1"/>
  <c r="I4880" i="1"/>
  <c r="J4880" i="1"/>
  <c r="K4880" i="1"/>
  <c r="L4880" i="1"/>
  <c r="A4881" i="1"/>
  <c r="B4881" i="1"/>
  <c r="C4881" i="1"/>
  <c r="D4881" i="1"/>
  <c r="E4881" i="1"/>
  <c r="F4881" i="1"/>
  <c r="G4881" i="1"/>
  <c r="H4881" i="1"/>
  <c r="I4881" i="1"/>
  <c r="J4881" i="1"/>
  <c r="K4881" i="1"/>
  <c r="L4881" i="1"/>
  <c r="A4882" i="1"/>
  <c r="B4882" i="1"/>
  <c r="C4882" i="1"/>
  <c r="D4882" i="1"/>
  <c r="E4882" i="1"/>
  <c r="F4882" i="1"/>
  <c r="G4882" i="1"/>
  <c r="H4882" i="1"/>
  <c r="I4882" i="1"/>
  <c r="J4882" i="1"/>
  <c r="K4882" i="1"/>
  <c r="L4882" i="1"/>
  <c r="A4883" i="1"/>
  <c r="B4883" i="1"/>
  <c r="C4883" i="1"/>
  <c r="D4883" i="1"/>
  <c r="E4883" i="1"/>
  <c r="F4883" i="1"/>
  <c r="G4883" i="1"/>
  <c r="H4883" i="1"/>
  <c r="I4883" i="1"/>
  <c r="J4883" i="1"/>
  <c r="K4883" i="1"/>
  <c r="L4883" i="1"/>
  <c r="A4884" i="1"/>
  <c r="B4884" i="1"/>
  <c r="C4884" i="1"/>
  <c r="D4884" i="1"/>
  <c r="E4884" i="1"/>
  <c r="F4884" i="1"/>
  <c r="G4884" i="1"/>
  <c r="H4884" i="1"/>
  <c r="I4884" i="1"/>
  <c r="J4884" i="1"/>
  <c r="K4884" i="1"/>
  <c r="L4884" i="1"/>
  <c r="A4885" i="1"/>
  <c r="B4885" i="1"/>
  <c r="C4885" i="1"/>
  <c r="D4885" i="1"/>
  <c r="E4885" i="1"/>
  <c r="F4885" i="1"/>
  <c r="G4885" i="1"/>
  <c r="H4885" i="1"/>
  <c r="I4885" i="1"/>
  <c r="J4885" i="1"/>
  <c r="K4885" i="1"/>
  <c r="L4885" i="1"/>
  <c r="A4886" i="1"/>
  <c r="B4886" i="1"/>
  <c r="C4886" i="1"/>
  <c r="D4886" i="1"/>
  <c r="E4886" i="1"/>
  <c r="F4886" i="1"/>
  <c r="G4886" i="1"/>
  <c r="H4886" i="1"/>
  <c r="I4886" i="1"/>
  <c r="J4886" i="1"/>
  <c r="K4886" i="1"/>
  <c r="L4886" i="1"/>
  <c r="A4887" i="1"/>
  <c r="B4887" i="1"/>
  <c r="C4887" i="1"/>
  <c r="D4887" i="1"/>
  <c r="E4887" i="1"/>
  <c r="F4887" i="1"/>
  <c r="G4887" i="1"/>
  <c r="H4887" i="1"/>
  <c r="I4887" i="1"/>
  <c r="J4887" i="1"/>
  <c r="K4887" i="1"/>
  <c r="L4887" i="1"/>
  <c r="A4888" i="1"/>
  <c r="B4888" i="1"/>
  <c r="C4888" i="1"/>
  <c r="D4888" i="1"/>
  <c r="E4888" i="1"/>
  <c r="F4888" i="1"/>
  <c r="G4888" i="1"/>
  <c r="H4888" i="1"/>
  <c r="I4888" i="1"/>
  <c r="J4888" i="1"/>
  <c r="K4888" i="1"/>
  <c r="L4888" i="1"/>
  <c r="A4889" i="1"/>
  <c r="B4889" i="1"/>
  <c r="C4889" i="1"/>
  <c r="D4889" i="1"/>
  <c r="E4889" i="1"/>
  <c r="F4889" i="1"/>
  <c r="G4889" i="1"/>
  <c r="H4889" i="1"/>
  <c r="I4889" i="1"/>
  <c r="J4889" i="1"/>
  <c r="K4889" i="1"/>
  <c r="L4889" i="1"/>
  <c r="A4890" i="1"/>
  <c r="B4890" i="1"/>
  <c r="C4890" i="1"/>
  <c r="D4890" i="1"/>
  <c r="E4890" i="1"/>
  <c r="F4890" i="1"/>
  <c r="G4890" i="1"/>
  <c r="H4890" i="1"/>
  <c r="I4890" i="1"/>
  <c r="J4890" i="1"/>
  <c r="K4890" i="1"/>
  <c r="L4890" i="1"/>
  <c r="A4891" i="1"/>
  <c r="B4891" i="1"/>
  <c r="C4891" i="1"/>
  <c r="D4891" i="1"/>
  <c r="E4891" i="1"/>
  <c r="F4891" i="1"/>
  <c r="G4891" i="1"/>
  <c r="H4891" i="1"/>
  <c r="I4891" i="1"/>
  <c r="J4891" i="1"/>
  <c r="K4891" i="1"/>
  <c r="L4891" i="1"/>
  <c r="A4892" i="1"/>
  <c r="B4892" i="1"/>
  <c r="C4892" i="1"/>
  <c r="D4892" i="1"/>
  <c r="E4892" i="1"/>
  <c r="F4892" i="1"/>
  <c r="G4892" i="1"/>
  <c r="H4892" i="1"/>
  <c r="I4892" i="1"/>
  <c r="J4892" i="1"/>
  <c r="K4892" i="1"/>
  <c r="L4892" i="1"/>
  <c r="A4893" i="1"/>
  <c r="B4893" i="1"/>
  <c r="C4893" i="1"/>
  <c r="D4893" i="1"/>
  <c r="E4893" i="1"/>
  <c r="F4893" i="1"/>
  <c r="G4893" i="1"/>
  <c r="H4893" i="1"/>
  <c r="I4893" i="1"/>
  <c r="J4893" i="1"/>
  <c r="K4893" i="1"/>
  <c r="L4893" i="1"/>
  <c r="A4894" i="1"/>
  <c r="B4894" i="1"/>
  <c r="C4894" i="1"/>
  <c r="D4894" i="1"/>
  <c r="E4894" i="1"/>
  <c r="F4894" i="1"/>
  <c r="G4894" i="1"/>
  <c r="H4894" i="1"/>
  <c r="I4894" i="1"/>
  <c r="J4894" i="1"/>
  <c r="K4894" i="1"/>
  <c r="L4894" i="1"/>
  <c r="A4895" i="1"/>
  <c r="B4895" i="1"/>
  <c r="C4895" i="1"/>
  <c r="D4895" i="1"/>
  <c r="E4895" i="1"/>
  <c r="F4895" i="1"/>
  <c r="G4895" i="1"/>
  <c r="H4895" i="1"/>
  <c r="I4895" i="1"/>
  <c r="J4895" i="1"/>
  <c r="K4895" i="1"/>
  <c r="L4895" i="1"/>
  <c r="A4896" i="1"/>
  <c r="B4896" i="1"/>
  <c r="C4896" i="1"/>
  <c r="D4896" i="1"/>
  <c r="E4896" i="1"/>
  <c r="F4896" i="1"/>
  <c r="G4896" i="1"/>
  <c r="H4896" i="1"/>
  <c r="I4896" i="1"/>
  <c r="J4896" i="1"/>
  <c r="K4896" i="1"/>
  <c r="L4896" i="1"/>
  <c r="A4897" i="1"/>
  <c r="B4897" i="1"/>
  <c r="C4897" i="1"/>
  <c r="D4897" i="1"/>
  <c r="E4897" i="1"/>
  <c r="F4897" i="1"/>
  <c r="G4897" i="1"/>
  <c r="H4897" i="1"/>
  <c r="I4897" i="1"/>
  <c r="J4897" i="1"/>
  <c r="K4897" i="1"/>
  <c r="L4897" i="1"/>
  <c r="A4898" i="1"/>
  <c r="B4898" i="1"/>
  <c r="C4898" i="1"/>
  <c r="D4898" i="1"/>
  <c r="E4898" i="1"/>
  <c r="F4898" i="1"/>
  <c r="G4898" i="1"/>
  <c r="H4898" i="1"/>
  <c r="I4898" i="1"/>
  <c r="J4898" i="1"/>
  <c r="K4898" i="1"/>
  <c r="L4898" i="1"/>
  <c r="A4899" i="1"/>
  <c r="B4899" i="1"/>
  <c r="C4899" i="1"/>
  <c r="D4899" i="1"/>
  <c r="E4899" i="1"/>
  <c r="F4899" i="1"/>
  <c r="G4899" i="1"/>
  <c r="H4899" i="1"/>
  <c r="I4899" i="1"/>
  <c r="J4899" i="1"/>
  <c r="K4899" i="1"/>
  <c r="L4899" i="1"/>
  <c r="A4900" i="1"/>
  <c r="B4900" i="1"/>
  <c r="C4900" i="1"/>
  <c r="D4900" i="1"/>
  <c r="E4900" i="1"/>
  <c r="F4900" i="1"/>
  <c r="G4900" i="1"/>
  <c r="H4900" i="1"/>
  <c r="I4900" i="1"/>
  <c r="J4900" i="1"/>
  <c r="K4900" i="1"/>
  <c r="L4900" i="1"/>
  <c r="A4901" i="1"/>
  <c r="B4901" i="1"/>
  <c r="C4901" i="1"/>
  <c r="D4901" i="1"/>
  <c r="E4901" i="1"/>
  <c r="F4901" i="1"/>
  <c r="G4901" i="1"/>
  <c r="H4901" i="1"/>
  <c r="I4901" i="1"/>
  <c r="J4901" i="1"/>
  <c r="K4901" i="1"/>
  <c r="L4901" i="1"/>
  <c r="A4902" i="1"/>
  <c r="B4902" i="1"/>
  <c r="C4902" i="1"/>
  <c r="D4902" i="1"/>
  <c r="E4902" i="1"/>
  <c r="F4902" i="1"/>
  <c r="G4902" i="1"/>
  <c r="H4902" i="1"/>
  <c r="I4902" i="1"/>
  <c r="J4902" i="1"/>
  <c r="K4902" i="1"/>
  <c r="L4902" i="1"/>
  <c r="A4903" i="1"/>
  <c r="B4903" i="1"/>
  <c r="C4903" i="1"/>
  <c r="D4903" i="1"/>
  <c r="E4903" i="1"/>
  <c r="F4903" i="1"/>
  <c r="G4903" i="1"/>
  <c r="H4903" i="1"/>
  <c r="I4903" i="1"/>
  <c r="J4903" i="1"/>
  <c r="K4903" i="1"/>
  <c r="L4903" i="1"/>
  <c r="A4904" i="1"/>
  <c r="B4904" i="1"/>
  <c r="C4904" i="1"/>
  <c r="D4904" i="1"/>
  <c r="E4904" i="1"/>
  <c r="F4904" i="1"/>
  <c r="G4904" i="1"/>
  <c r="H4904" i="1"/>
  <c r="I4904" i="1"/>
  <c r="J4904" i="1"/>
  <c r="K4904" i="1"/>
  <c r="L4904" i="1"/>
  <c r="A4905" i="1"/>
  <c r="B4905" i="1"/>
  <c r="C4905" i="1"/>
  <c r="D4905" i="1"/>
  <c r="E4905" i="1"/>
  <c r="F4905" i="1"/>
  <c r="G4905" i="1"/>
  <c r="H4905" i="1"/>
  <c r="I4905" i="1"/>
  <c r="J4905" i="1"/>
  <c r="K4905" i="1"/>
  <c r="L4905" i="1"/>
  <c r="A4906" i="1"/>
  <c r="B4906" i="1"/>
  <c r="C4906" i="1"/>
  <c r="D4906" i="1"/>
  <c r="E4906" i="1"/>
  <c r="F4906" i="1"/>
  <c r="G4906" i="1"/>
  <c r="H4906" i="1"/>
  <c r="I4906" i="1"/>
  <c r="J4906" i="1"/>
  <c r="K4906" i="1"/>
  <c r="L4906" i="1"/>
  <c r="A4907" i="1"/>
  <c r="B4907" i="1"/>
  <c r="C4907" i="1"/>
  <c r="D4907" i="1"/>
  <c r="E4907" i="1"/>
  <c r="F4907" i="1"/>
  <c r="G4907" i="1"/>
  <c r="H4907" i="1"/>
  <c r="I4907" i="1"/>
  <c r="J4907" i="1"/>
  <c r="K4907" i="1"/>
  <c r="L4907" i="1"/>
  <c r="A4908" i="1"/>
  <c r="B4908" i="1"/>
  <c r="C4908" i="1"/>
  <c r="D4908" i="1"/>
  <c r="E4908" i="1"/>
  <c r="F4908" i="1"/>
  <c r="G4908" i="1"/>
  <c r="H4908" i="1"/>
  <c r="I4908" i="1"/>
  <c r="J4908" i="1"/>
  <c r="K4908" i="1"/>
  <c r="L4908" i="1"/>
  <c r="A4909" i="1"/>
  <c r="B4909" i="1"/>
  <c r="C4909" i="1"/>
  <c r="D4909" i="1"/>
  <c r="E4909" i="1"/>
  <c r="F4909" i="1"/>
  <c r="G4909" i="1"/>
  <c r="H4909" i="1"/>
  <c r="I4909" i="1"/>
  <c r="J4909" i="1"/>
  <c r="K4909" i="1"/>
  <c r="L4909" i="1"/>
  <c r="A4910" i="1"/>
  <c r="B4910" i="1"/>
  <c r="C4910" i="1"/>
  <c r="D4910" i="1"/>
  <c r="E4910" i="1"/>
  <c r="F4910" i="1"/>
  <c r="G4910" i="1"/>
  <c r="H4910" i="1"/>
  <c r="I4910" i="1"/>
  <c r="J4910" i="1"/>
  <c r="K4910" i="1"/>
  <c r="L4910" i="1"/>
  <c r="A4911" i="1"/>
  <c r="B4911" i="1"/>
  <c r="C4911" i="1"/>
  <c r="D4911" i="1"/>
  <c r="E4911" i="1"/>
  <c r="F4911" i="1"/>
  <c r="G4911" i="1"/>
  <c r="H4911" i="1"/>
  <c r="I4911" i="1"/>
  <c r="J4911" i="1"/>
  <c r="K4911" i="1"/>
  <c r="L4911" i="1"/>
  <c r="A4912" i="1"/>
  <c r="B4912" i="1"/>
  <c r="C4912" i="1"/>
  <c r="D4912" i="1"/>
  <c r="E4912" i="1"/>
  <c r="F4912" i="1"/>
  <c r="G4912" i="1"/>
  <c r="H4912" i="1"/>
  <c r="I4912" i="1"/>
  <c r="J4912" i="1"/>
  <c r="K4912" i="1"/>
  <c r="L4912" i="1"/>
  <c r="A4913" i="1"/>
  <c r="B4913" i="1"/>
  <c r="C4913" i="1"/>
  <c r="D4913" i="1"/>
  <c r="E4913" i="1"/>
  <c r="F4913" i="1"/>
  <c r="G4913" i="1"/>
  <c r="H4913" i="1"/>
  <c r="I4913" i="1"/>
  <c r="J4913" i="1"/>
  <c r="K4913" i="1"/>
  <c r="L4913" i="1"/>
  <c r="A4914" i="1"/>
  <c r="B4914" i="1"/>
  <c r="C4914" i="1"/>
  <c r="D4914" i="1"/>
  <c r="E4914" i="1"/>
  <c r="F4914" i="1"/>
  <c r="G4914" i="1"/>
  <c r="H4914" i="1"/>
  <c r="I4914" i="1"/>
  <c r="J4914" i="1"/>
  <c r="K4914" i="1"/>
  <c r="L4914" i="1"/>
  <c r="A4915" i="1"/>
  <c r="B4915" i="1"/>
  <c r="C4915" i="1"/>
  <c r="D4915" i="1"/>
  <c r="E4915" i="1"/>
  <c r="F4915" i="1"/>
  <c r="G4915" i="1"/>
  <c r="H4915" i="1"/>
  <c r="I4915" i="1"/>
  <c r="J4915" i="1"/>
  <c r="K4915" i="1"/>
  <c r="L4915" i="1"/>
  <c r="A4916" i="1"/>
  <c r="B4916" i="1"/>
  <c r="C4916" i="1"/>
  <c r="D4916" i="1"/>
  <c r="E4916" i="1"/>
  <c r="F4916" i="1"/>
  <c r="G4916" i="1"/>
  <c r="H4916" i="1"/>
  <c r="I4916" i="1"/>
  <c r="J4916" i="1"/>
  <c r="K4916" i="1"/>
  <c r="L4916" i="1"/>
  <c r="A4917" i="1"/>
  <c r="B4917" i="1"/>
  <c r="C4917" i="1"/>
  <c r="D4917" i="1"/>
  <c r="E4917" i="1"/>
  <c r="F4917" i="1"/>
  <c r="G4917" i="1"/>
  <c r="H4917" i="1"/>
  <c r="I4917" i="1"/>
  <c r="J4917" i="1"/>
  <c r="K4917" i="1"/>
  <c r="L4917" i="1"/>
  <c r="A4918" i="1"/>
  <c r="B4918" i="1"/>
  <c r="C4918" i="1"/>
  <c r="D4918" i="1"/>
  <c r="E4918" i="1"/>
  <c r="F4918" i="1"/>
  <c r="G4918" i="1"/>
  <c r="H4918" i="1"/>
  <c r="I4918" i="1"/>
  <c r="J4918" i="1"/>
  <c r="K4918" i="1"/>
  <c r="L4918" i="1"/>
  <c r="A4919" i="1"/>
  <c r="B4919" i="1"/>
  <c r="C4919" i="1"/>
  <c r="D4919" i="1"/>
  <c r="E4919" i="1"/>
  <c r="F4919" i="1"/>
  <c r="G4919" i="1"/>
  <c r="H4919" i="1"/>
  <c r="I4919" i="1"/>
  <c r="J4919" i="1"/>
  <c r="K4919" i="1"/>
  <c r="L4919" i="1"/>
  <c r="A4920" i="1"/>
  <c r="B4920" i="1"/>
  <c r="C4920" i="1"/>
  <c r="D4920" i="1"/>
  <c r="E4920" i="1"/>
  <c r="F4920" i="1"/>
  <c r="G4920" i="1"/>
  <c r="H4920" i="1"/>
  <c r="I4920" i="1"/>
  <c r="J4920" i="1"/>
  <c r="K4920" i="1"/>
  <c r="L4920" i="1"/>
  <c r="A4921" i="1"/>
  <c r="B4921" i="1"/>
  <c r="C4921" i="1"/>
  <c r="D4921" i="1"/>
  <c r="E4921" i="1"/>
  <c r="F4921" i="1"/>
  <c r="G4921" i="1"/>
  <c r="H4921" i="1"/>
  <c r="I4921" i="1"/>
  <c r="J4921" i="1"/>
  <c r="K4921" i="1"/>
  <c r="L4921" i="1"/>
  <c r="A4922" i="1"/>
  <c r="B4922" i="1"/>
  <c r="C4922" i="1"/>
  <c r="D4922" i="1"/>
  <c r="E4922" i="1"/>
  <c r="F4922" i="1"/>
  <c r="G4922" i="1"/>
  <c r="H4922" i="1"/>
  <c r="I4922" i="1"/>
  <c r="J4922" i="1"/>
  <c r="K4922" i="1"/>
  <c r="L4922" i="1"/>
  <c r="A4923" i="1"/>
  <c r="B4923" i="1"/>
  <c r="C4923" i="1"/>
  <c r="D4923" i="1"/>
  <c r="E4923" i="1"/>
  <c r="F4923" i="1"/>
  <c r="G4923" i="1"/>
  <c r="H4923" i="1"/>
  <c r="I4923" i="1"/>
  <c r="J4923" i="1"/>
  <c r="K4923" i="1"/>
  <c r="L4923" i="1"/>
  <c r="A4924" i="1"/>
  <c r="B4924" i="1"/>
  <c r="C4924" i="1"/>
  <c r="D4924" i="1"/>
  <c r="E4924" i="1"/>
  <c r="F4924" i="1"/>
  <c r="G4924" i="1"/>
  <c r="H4924" i="1"/>
  <c r="I4924" i="1"/>
  <c r="J4924" i="1"/>
  <c r="K4924" i="1"/>
  <c r="L4924" i="1"/>
  <c r="A4925" i="1"/>
  <c r="B4925" i="1"/>
  <c r="C4925" i="1"/>
  <c r="D4925" i="1"/>
  <c r="E4925" i="1"/>
  <c r="F4925" i="1"/>
  <c r="G4925" i="1"/>
  <c r="H4925" i="1"/>
  <c r="I4925" i="1"/>
  <c r="J4925" i="1"/>
  <c r="K4925" i="1"/>
  <c r="L4925" i="1"/>
  <c r="A4926" i="1"/>
  <c r="B4926" i="1"/>
  <c r="C4926" i="1"/>
  <c r="D4926" i="1"/>
  <c r="E4926" i="1"/>
  <c r="F4926" i="1"/>
  <c r="G4926" i="1"/>
  <c r="H4926" i="1"/>
  <c r="I4926" i="1"/>
  <c r="J4926" i="1"/>
  <c r="K4926" i="1"/>
  <c r="L4926" i="1"/>
  <c r="A4927" i="1"/>
  <c r="B4927" i="1"/>
  <c r="C4927" i="1"/>
  <c r="D4927" i="1"/>
  <c r="E4927" i="1"/>
  <c r="F4927" i="1"/>
  <c r="G4927" i="1"/>
  <c r="H4927" i="1"/>
  <c r="I4927" i="1"/>
  <c r="J4927" i="1"/>
  <c r="K4927" i="1"/>
  <c r="L4927" i="1"/>
  <c r="A4928" i="1"/>
  <c r="B4928" i="1"/>
  <c r="C4928" i="1"/>
  <c r="D4928" i="1"/>
  <c r="E4928" i="1"/>
  <c r="F4928" i="1"/>
  <c r="G4928" i="1"/>
  <c r="H4928" i="1"/>
  <c r="I4928" i="1"/>
  <c r="J4928" i="1"/>
  <c r="K4928" i="1"/>
  <c r="L4928" i="1"/>
  <c r="A4929" i="1"/>
  <c r="B4929" i="1"/>
  <c r="C4929" i="1"/>
  <c r="D4929" i="1"/>
  <c r="E4929" i="1"/>
  <c r="F4929" i="1"/>
  <c r="G4929" i="1"/>
  <c r="H4929" i="1"/>
  <c r="I4929" i="1"/>
  <c r="J4929" i="1"/>
  <c r="K4929" i="1"/>
  <c r="L4929" i="1"/>
  <c r="A4930" i="1"/>
  <c r="B4930" i="1"/>
  <c r="C4930" i="1"/>
  <c r="D4930" i="1"/>
  <c r="E4930" i="1"/>
  <c r="F4930" i="1"/>
  <c r="G4930" i="1"/>
  <c r="H4930" i="1"/>
  <c r="I4930" i="1"/>
  <c r="J4930" i="1"/>
  <c r="K4930" i="1"/>
  <c r="L4930" i="1"/>
  <c r="A4931" i="1"/>
  <c r="B4931" i="1"/>
  <c r="C4931" i="1"/>
  <c r="D4931" i="1"/>
  <c r="E4931" i="1"/>
  <c r="F4931" i="1"/>
  <c r="G4931" i="1"/>
  <c r="H4931" i="1"/>
  <c r="I4931" i="1"/>
  <c r="J4931" i="1"/>
  <c r="K4931" i="1"/>
  <c r="L4931" i="1"/>
  <c r="A4932" i="1"/>
  <c r="B4932" i="1"/>
  <c r="C4932" i="1"/>
  <c r="D4932" i="1"/>
  <c r="E4932" i="1"/>
  <c r="F4932" i="1"/>
  <c r="G4932" i="1"/>
  <c r="H4932" i="1"/>
  <c r="I4932" i="1"/>
  <c r="J4932" i="1"/>
  <c r="K4932" i="1"/>
  <c r="L4932" i="1"/>
  <c r="A4933" i="1"/>
  <c r="B4933" i="1"/>
  <c r="C4933" i="1"/>
  <c r="D4933" i="1"/>
  <c r="E4933" i="1"/>
  <c r="F4933" i="1"/>
  <c r="G4933" i="1"/>
  <c r="H4933" i="1"/>
  <c r="I4933" i="1"/>
  <c r="J4933" i="1"/>
  <c r="K4933" i="1"/>
  <c r="L4933" i="1"/>
  <c r="A4934" i="1"/>
  <c r="B4934" i="1"/>
  <c r="C4934" i="1"/>
  <c r="D4934" i="1"/>
  <c r="E4934" i="1"/>
  <c r="F4934" i="1"/>
  <c r="G4934" i="1"/>
  <c r="H4934" i="1"/>
  <c r="I4934" i="1"/>
  <c r="J4934" i="1"/>
  <c r="K4934" i="1"/>
  <c r="L4934" i="1"/>
  <c r="A4935" i="1"/>
  <c r="B4935" i="1"/>
  <c r="C4935" i="1"/>
  <c r="D4935" i="1"/>
  <c r="E4935" i="1"/>
  <c r="F4935" i="1"/>
  <c r="G4935" i="1"/>
  <c r="H4935" i="1"/>
  <c r="I4935" i="1"/>
  <c r="J4935" i="1"/>
  <c r="K4935" i="1"/>
  <c r="L4935" i="1"/>
  <c r="A4936" i="1"/>
  <c r="B4936" i="1"/>
  <c r="C4936" i="1"/>
  <c r="D4936" i="1"/>
  <c r="E4936" i="1"/>
  <c r="F4936" i="1"/>
  <c r="G4936" i="1"/>
  <c r="H4936" i="1"/>
  <c r="I4936" i="1"/>
  <c r="J4936" i="1"/>
  <c r="K4936" i="1"/>
  <c r="L4936" i="1"/>
  <c r="A4937" i="1"/>
  <c r="B4937" i="1"/>
  <c r="C4937" i="1"/>
  <c r="D4937" i="1"/>
  <c r="E4937" i="1"/>
  <c r="F4937" i="1"/>
  <c r="G4937" i="1"/>
  <c r="H4937" i="1"/>
  <c r="I4937" i="1"/>
  <c r="J4937" i="1"/>
  <c r="K4937" i="1"/>
  <c r="L4937" i="1"/>
  <c r="A4938" i="1"/>
  <c r="B4938" i="1"/>
  <c r="C4938" i="1"/>
  <c r="D4938" i="1"/>
  <c r="E4938" i="1"/>
  <c r="F4938" i="1"/>
  <c r="G4938" i="1"/>
  <c r="H4938" i="1"/>
  <c r="I4938" i="1"/>
  <c r="J4938" i="1"/>
  <c r="K4938" i="1"/>
  <c r="L4938" i="1"/>
  <c r="A4939" i="1"/>
  <c r="B4939" i="1"/>
  <c r="C4939" i="1"/>
  <c r="D4939" i="1"/>
  <c r="E4939" i="1"/>
  <c r="F4939" i="1"/>
  <c r="G4939" i="1"/>
  <c r="H4939" i="1"/>
  <c r="I4939" i="1"/>
  <c r="J4939" i="1"/>
  <c r="K4939" i="1"/>
  <c r="L4939" i="1"/>
  <c r="A4940" i="1"/>
  <c r="B4940" i="1"/>
  <c r="C4940" i="1"/>
  <c r="D4940" i="1"/>
  <c r="E4940" i="1"/>
  <c r="F4940" i="1"/>
  <c r="G4940" i="1"/>
  <c r="H4940" i="1"/>
  <c r="I4940" i="1"/>
  <c r="J4940" i="1"/>
  <c r="K4940" i="1"/>
  <c r="L4940" i="1"/>
  <c r="A4941" i="1"/>
  <c r="B4941" i="1"/>
  <c r="C4941" i="1"/>
  <c r="D4941" i="1"/>
  <c r="E4941" i="1"/>
  <c r="F4941" i="1"/>
  <c r="G4941" i="1"/>
  <c r="H4941" i="1"/>
  <c r="I4941" i="1"/>
  <c r="J4941" i="1"/>
  <c r="K4941" i="1"/>
  <c r="L4941" i="1"/>
  <c r="A4942" i="1"/>
  <c r="B4942" i="1"/>
  <c r="C4942" i="1"/>
  <c r="D4942" i="1"/>
  <c r="E4942" i="1"/>
  <c r="F4942" i="1"/>
  <c r="G4942" i="1"/>
  <c r="H4942" i="1"/>
  <c r="I4942" i="1"/>
  <c r="J4942" i="1"/>
  <c r="K4942" i="1"/>
  <c r="L4942" i="1"/>
  <c r="A4943" i="1"/>
  <c r="B4943" i="1"/>
  <c r="C4943" i="1"/>
  <c r="D4943" i="1"/>
  <c r="E4943" i="1"/>
  <c r="F4943" i="1"/>
  <c r="G4943" i="1"/>
  <c r="H4943" i="1"/>
  <c r="I4943" i="1"/>
  <c r="J4943" i="1"/>
  <c r="K4943" i="1"/>
  <c r="L4943" i="1"/>
  <c r="A4944" i="1"/>
  <c r="B4944" i="1"/>
  <c r="C4944" i="1"/>
  <c r="D4944" i="1"/>
  <c r="E4944" i="1"/>
  <c r="F4944" i="1"/>
  <c r="G4944" i="1"/>
  <c r="H4944" i="1"/>
  <c r="I4944" i="1"/>
  <c r="J4944" i="1"/>
  <c r="K4944" i="1"/>
  <c r="L4944" i="1"/>
  <c r="A4945" i="1"/>
  <c r="B4945" i="1"/>
  <c r="C4945" i="1"/>
  <c r="D4945" i="1"/>
  <c r="E4945" i="1"/>
  <c r="F4945" i="1"/>
  <c r="G4945" i="1"/>
  <c r="H4945" i="1"/>
  <c r="I4945" i="1"/>
  <c r="J4945" i="1"/>
  <c r="K4945" i="1"/>
  <c r="L4945" i="1"/>
  <c r="A4946" i="1"/>
  <c r="B4946" i="1"/>
  <c r="C4946" i="1"/>
  <c r="D4946" i="1"/>
  <c r="E4946" i="1"/>
  <c r="F4946" i="1"/>
  <c r="G4946" i="1"/>
  <c r="H4946" i="1"/>
  <c r="I4946" i="1"/>
  <c r="J4946" i="1"/>
  <c r="K4946" i="1"/>
  <c r="L4946" i="1"/>
  <c r="A4947" i="1"/>
  <c r="B4947" i="1"/>
  <c r="C4947" i="1"/>
  <c r="D4947" i="1"/>
  <c r="E4947" i="1"/>
  <c r="F4947" i="1"/>
  <c r="G4947" i="1"/>
  <c r="H4947" i="1"/>
  <c r="I4947" i="1"/>
  <c r="J4947" i="1"/>
  <c r="K4947" i="1"/>
  <c r="L4947" i="1"/>
  <c r="A4948" i="1"/>
  <c r="B4948" i="1"/>
  <c r="C4948" i="1"/>
  <c r="D4948" i="1"/>
  <c r="E4948" i="1"/>
  <c r="F4948" i="1"/>
  <c r="G4948" i="1"/>
  <c r="H4948" i="1"/>
  <c r="I4948" i="1"/>
  <c r="J4948" i="1"/>
  <c r="K4948" i="1"/>
  <c r="L4948" i="1"/>
  <c r="A4949" i="1"/>
  <c r="B4949" i="1"/>
  <c r="C4949" i="1"/>
  <c r="D4949" i="1"/>
  <c r="E4949" i="1"/>
  <c r="F4949" i="1"/>
  <c r="G4949" i="1"/>
  <c r="H4949" i="1"/>
  <c r="I4949" i="1"/>
  <c r="J4949" i="1"/>
  <c r="K4949" i="1"/>
  <c r="L4949" i="1"/>
  <c r="A4950" i="1"/>
  <c r="B4950" i="1"/>
  <c r="C4950" i="1"/>
  <c r="D4950" i="1"/>
  <c r="E4950" i="1"/>
  <c r="F4950" i="1"/>
  <c r="G4950" i="1"/>
  <c r="H4950" i="1"/>
  <c r="I4950" i="1"/>
  <c r="J4950" i="1"/>
  <c r="K4950" i="1"/>
  <c r="L4950" i="1"/>
  <c r="A4951" i="1"/>
  <c r="B4951" i="1"/>
  <c r="C4951" i="1"/>
  <c r="D4951" i="1"/>
  <c r="E4951" i="1"/>
  <c r="F4951" i="1"/>
  <c r="G4951" i="1"/>
  <c r="H4951" i="1"/>
  <c r="I4951" i="1"/>
  <c r="J4951" i="1"/>
  <c r="K4951" i="1"/>
  <c r="L4951" i="1"/>
  <c r="A4952" i="1"/>
  <c r="B4952" i="1"/>
  <c r="C4952" i="1"/>
  <c r="D4952" i="1"/>
  <c r="E4952" i="1"/>
  <c r="F4952" i="1"/>
  <c r="G4952" i="1"/>
  <c r="H4952" i="1"/>
  <c r="I4952" i="1"/>
  <c r="J4952" i="1"/>
  <c r="K4952" i="1"/>
  <c r="L4952" i="1"/>
  <c r="A4953" i="1"/>
  <c r="B4953" i="1"/>
  <c r="C4953" i="1"/>
  <c r="D4953" i="1"/>
  <c r="E4953" i="1"/>
  <c r="F4953" i="1"/>
  <c r="G4953" i="1"/>
  <c r="H4953" i="1"/>
  <c r="I4953" i="1"/>
  <c r="J4953" i="1"/>
  <c r="K4953" i="1"/>
  <c r="L4953" i="1"/>
  <c r="A4954" i="1"/>
  <c r="B4954" i="1"/>
  <c r="C4954" i="1"/>
  <c r="D4954" i="1"/>
  <c r="E4954" i="1"/>
  <c r="F4954" i="1"/>
  <c r="G4954" i="1"/>
  <c r="H4954" i="1"/>
  <c r="I4954" i="1"/>
  <c r="J4954" i="1"/>
  <c r="K4954" i="1"/>
  <c r="L4954" i="1"/>
  <c r="A4955" i="1"/>
  <c r="B4955" i="1"/>
  <c r="C4955" i="1"/>
  <c r="D4955" i="1"/>
  <c r="E4955" i="1"/>
  <c r="F4955" i="1"/>
  <c r="G4955" i="1"/>
  <c r="H4955" i="1"/>
  <c r="I4955" i="1"/>
  <c r="J4955" i="1"/>
  <c r="K4955" i="1"/>
  <c r="L4955" i="1"/>
  <c r="A4956" i="1"/>
  <c r="B4956" i="1"/>
  <c r="C4956" i="1"/>
  <c r="D4956" i="1"/>
  <c r="E4956" i="1"/>
  <c r="F4956" i="1"/>
  <c r="G4956" i="1"/>
  <c r="H4956" i="1"/>
  <c r="I4956" i="1"/>
  <c r="J4956" i="1"/>
  <c r="K4956" i="1"/>
  <c r="L4956" i="1"/>
  <c r="A4957" i="1"/>
  <c r="B4957" i="1"/>
  <c r="C4957" i="1"/>
  <c r="D4957" i="1"/>
  <c r="E4957" i="1"/>
  <c r="F4957" i="1"/>
  <c r="G4957" i="1"/>
  <c r="H4957" i="1"/>
  <c r="I4957" i="1"/>
  <c r="J4957" i="1"/>
  <c r="K4957" i="1"/>
  <c r="L4957" i="1"/>
  <c r="A4958" i="1"/>
  <c r="B4958" i="1"/>
  <c r="C4958" i="1"/>
  <c r="D4958" i="1"/>
  <c r="E4958" i="1"/>
  <c r="F4958" i="1"/>
  <c r="G4958" i="1"/>
  <c r="H4958" i="1"/>
  <c r="I4958" i="1"/>
  <c r="J4958" i="1"/>
  <c r="K4958" i="1"/>
  <c r="L4958" i="1"/>
  <c r="A4959" i="1"/>
  <c r="B4959" i="1"/>
  <c r="C4959" i="1"/>
  <c r="D4959" i="1"/>
  <c r="E4959" i="1"/>
  <c r="F4959" i="1"/>
  <c r="G4959" i="1"/>
  <c r="H4959" i="1"/>
  <c r="I4959" i="1"/>
  <c r="J4959" i="1"/>
  <c r="K4959" i="1"/>
  <c r="L4959" i="1"/>
  <c r="A4960" i="1"/>
  <c r="B4960" i="1"/>
  <c r="C4960" i="1"/>
  <c r="D4960" i="1"/>
  <c r="E4960" i="1"/>
  <c r="F4960" i="1"/>
  <c r="G4960" i="1"/>
  <c r="H4960" i="1"/>
  <c r="I4960" i="1"/>
  <c r="J4960" i="1"/>
  <c r="K4960" i="1"/>
  <c r="L4960" i="1"/>
  <c r="A4961" i="1"/>
  <c r="B4961" i="1"/>
  <c r="C4961" i="1"/>
  <c r="D4961" i="1"/>
  <c r="E4961" i="1"/>
  <c r="F4961" i="1"/>
  <c r="G4961" i="1"/>
  <c r="H4961" i="1"/>
  <c r="I4961" i="1"/>
  <c r="J4961" i="1"/>
  <c r="K4961" i="1"/>
  <c r="L4961" i="1"/>
  <c r="A4962" i="1"/>
  <c r="B4962" i="1"/>
  <c r="C4962" i="1"/>
  <c r="D4962" i="1"/>
  <c r="E4962" i="1"/>
  <c r="F4962" i="1"/>
  <c r="G4962" i="1"/>
  <c r="H4962" i="1"/>
  <c r="I4962" i="1"/>
  <c r="J4962" i="1"/>
  <c r="K4962" i="1"/>
  <c r="L4962" i="1"/>
  <c r="A4963" i="1"/>
  <c r="B4963" i="1"/>
  <c r="C4963" i="1"/>
  <c r="D4963" i="1"/>
  <c r="E4963" i="1"/>
  <c r="F4963" i="1"/>
  <c r="G4963" i="1"/>
  <c r="H4963" i="1"/>
  <c r="I4963" i="1"/>
  <c r="J4963" i="1"/>
  <c r="K4963" i="1"/>
  <c r="L4963" i="1"/>
  <c r="A4964" i="1"/>
  <c r="B4964" i="1"/>
  <c r="C4964" i="1"/>
  <c r="D4964" i="1"/>
  <c r="E4964" i="1"/>
  <c r="F4964" i="1"/>
  <c r="G4964" i="1"/>
  <c r="H4964" i="1"/>
  <c r="I4964" i="1"/>
  <c r="J4964" i="1"/>
  <c r="K4964" i="1"/>
  <c r="L4964" i="1"/>
  <c r="A4965" i="1"/>
  <c r="B4965" i="1"/>
  <c r="C4965" i="1"/>
  <c r="D4965" i="1"/>
  <c r="E4965" i="1"/>
  <c r="F4965" i="1"/>
  <c r="G4965" i="1"/>
  <c r="H4965" i="1"/>
  <c r="I4965" i="1"/>
  <c r="J4965" i="1"/>
  <c r="K4965" i="1"/>
  <c r="L4965" i="1"/>
  <c r="A4966" i="1"/>
  <c r="B4966" i="1"/>
  <c r="C4966" i="1"/>
  <c r="D4966" i="1"/>
  <c r="E4966" i="1"/>
  <c r="F4966" i="1"/>
  <c r="G4966" i="1"/>
  <c r="H4966" i="1"/>
  <c r="I4966" i="1"/>
  <c r="J4966" i="1"/>
  <c r="K4966" i="1"/>
  <c r="L4966" i="1"/>
  <c r="A4967" i="1"/>
  <c r="B4967" i="1"/>
  <c r="C4967" i="1"/>
  <c r="D4967" i="1"/>
  <c r="E4967" i="1"/>
  <c r="F4967" i="1"/>
  <c r="G4967" i="1"/>
  <c r="H4967" i="1"/>
  <c r="I4967" i="1"/>
  <c r="J4967" i="1"/>
  <c r="K4967" i="1"/>
  <c r="L4967" i="1"/>
  <c r="A4968" i="1"/>
  <c r="B4968" i="1"/>
  <c r="C4968" i="1"/>
  <c r="D4968" i="1"/>
  <c r="E4968" i="1"/>
  <c r="F4968" i="1"/>
  <c r="G4968" i="1"/>
  <c r="H4968" i="1"/>
  <c r="I4968" i="1"/>
  <c r="J4968" i="1"/>
  <c r="K4968" i="1"/>
  <c r="L4968" i="1"/>
  <c r="A4969" i="1"/>
  <c r="B4969" i="1"/>
  <c r="C4969" i="1"/>
  <c r="D4969" i="1"/>
  <c r="E4969" i="1"/>
  <c r="F4969" i="1"/>
  <c r="G4969" i="1"/>
  <c r="H4969" i="1"/>
  <c r="I4969" i="1"/>
  <c r="J4969" i="1"/>
  <c r="K4969" i="1"/>
  <c r="L4969" i="1"/>
  <c r="A4970" i="1"/>
  <c r="B4970" i="1"/>
  <c r="C4970" i="1"/>
  <c r="D4970" i="1"/>
  <c r="E4970" i="1"/>
  <c r="F4970" i="1"/>
  <c r="G4970" i="1"/>
  <c r="H4970" i="1"/>
  <c r="I4970" i="1"/>
  <c r="J4970" i="1"/>
  <c r="K4970" i="1"/>
  <c r="L4970" i="1"/>
  <c r="A4971" i="1"/>
  <c r="B4971" i="1"/>
  <c r="C4971" i="1"/>
  <c r="D4971" i="1"/>
  <c r="E4971" i="1"/>
  <c r="F4971" i="1"/>
  <c r="G4971" i="1"/>
  <c r="H4971" i="1"/>
  <c r="I4971" i="1"/>
  <c r="J4971" i="1"/>
  <c r="K4971" i="1"/>
  <c r="L4971" i="1"/>
  <c r="A4972" i="1"/>
  <c r="B4972" i="1"/>
  <c r="C4972" i="1"/>
  <c r="D4972" i="1"/>
  <c r="E4972" i="1"/>
  <c r="F4972" i="1"/>
  <c r="G4972" i="1"/>
  <c r="H4972" i="1"/>
  <c r="I4972" i="1"/>
  <c r="J4972" i="1"/>
  <c r="K4972" i="1"/>
  <c r="L4972" i="1"/>
  <c r="A4973" i="1"/>
  <c r="B4973" i="1"/>
  <c r="C4973" i="1"/>
  <c r="D4973" i="1"/>
  <c r="E4973" i="1"/>
  <c r="F4973" i="1"/>
  <c r="G4973" i="1"/>
  <c r="H4973" i="1"/>
  <c r="I4973" i="1"/>
  <c r="J4973" i="1"/>
  <c r="K4973" i="1"/>
  <c r="L4973" i="1"/>
  <c r="A4974" i="1"/>
  <c r="B4974" i="1"/>
  <c r="C4974" i="1"/>
  <c r="D4974" i="1"/>
  <c r="E4974" i="1"/>
  <c r="F4974" i="1"/>
  <c r="G4974" i="1"/>
  <c r="H4974" i="1"/>
  <c r="I4974" i="1"/>
  <c r="J4974" i="1"/>
  <c r="K4974" i="1"/>
  <c r="L4974" i="1"/>
  <c r="A4975" i="1"/>
  <c r="B4975" i="1"/>
  <c r="C4975" i="1"/>
  <c r="D4975" i="1"/>
  <c r="E4975" i="1"/>
  <c r="F4975" i="1"/>
  <c r="G4975" i="1"/>
  <c r="H4975" i="1"/>
  <c r="I4975" i="1"/>
  <c r="J4975" i="1"/>
  <c r="K4975" i="1"/>
  <c r="L4975" i="1"/>
  <c r="A4976" i="1"/>
  <c r="B4976" i="1"/>
  <c r="C4976" i="1"/>
  <c r="D4976" i="1"/>
  <c r="E4976" i="1"/>
  <c r="F4976" i="1"/>
  <c r="G4976" i="1"/>
  <c r="H4976" i="1"/>
  <c r="I4976" i="1"/>
  <c r="J4976" i="1"/>
  <c r="K4976" i="1"/>
  <c r="L4976" i="1"/>
  <c r="A4977" i="1"/>
  <c r="B4977" i="1"/>
  <c r="C4977" i="1"/>
  <c r="D4977" i="1"/>
  <c r="E4977" i="1"/>
  <c r="F4977" i="1"/>
  <c r="G4977" i="1"/>
  <c r="H4977" i="1"/>
  <c r="I4977" i="1"/>
  <c r="J4977" i="1"/>
  <c r="K4977" i="1"/>
  <c r="L4977" i="1"/>
  <c r="A4978" i="1"/>
  <c r="B4978" i="1"/>
  <c r="C4978" i="1"/>
  <c r="D4978" i="1"/>
  <c r="E4978" i="1"/>
  <c r="F4978" i="1"/>
  <c r="G4978" i="1"/>
  <c r="H4978" i="1"/>
  <c r="I4978" i="1"/>
  <c r="J4978" i="1"/>
  <c r="K4978" i="1"/>
  <c r="L4978" i="1"/>
  <c r="A4979" i="1"/>
  <c r="B4979" i="1"/>
  <c r="C4979" i="1"/>
  <c r="D4979" i="1"/>
  <c r="E4979" i="1"/>
  <c r="F4979" i="1"/>
  <c r="G4979" i="1"/>
  <c r="H4979" i="1"/>
  <c r="I4979" i="1"/>
  <c r="J4979" i="1"/>
  <c r="K4979" i="1"/>
  <c r="L4979" i="1"/>
  <c r="A4980" i="1"/>
  <c r="B4980" i="1"/>
  <c r="C4980" i="1"/>
  <c r="D4980" i="1"/>
  <c r="E4980" i="1"/>
  <c r="F4980" i="1"/>
  <c r="G4980" i="1"/>
  <c r="H4980" i="1"/>
  <c r="I4980" i="1"/>
  <c r="J4980" i="1"/>
  <c r="K4980" i="1"/>
  <c r="L4980" i="1"/>
  <c r="A4981" i="1"/>
  <c r="B4981" i="1"/>
  <c r="C4981" i="1"/>
  <c r="D4981" i="1"/>
  <c r="E4981" i="1"/>
  <c r="F4981" i="1"/>
  <c r="G4981" i="1"/>
  <c r="H4981" i="1"/>
  <c r="I4981" i="1"/>
  <c r="J4981" i="1"/>
  <c r="K4981" i="1"/>
  <c r="L4981" i="1"/>
  <c r="A4982" i="1"/>
  <c r="B4982" i="1"/>
  <c r="C4982" i="1"/>
  <c r="D4982" i="1"/>
  <c r="E4982" i="1"/>
  <c r="F4982" i="1"/>
  <c r="G4982" i="1"/>
  <c r="H4982" i="1"/>
  <c r="I4982" i="1"/>
  <c r="J4982" i="1"/>
  <c r="K4982" i="1"/>
  <c r="L4982" i="1"/>
  <c r="A4983" i="1"/>
  <c r="B4983" i="1"/>
  <c r="C4983" i="1"/>
  <c r="D4983" i="1"/>
  <c r="E4983" i="1"/>
  <c r="F4983" i="1"/>
  <c r="G4983" i="1"/>
  <c r="H4983" i="1"/>
  <c r="I4983" i="1"/>
  <c r="J4983" i="1"/>
  <c r="K4983" i="1"/>
  <c r="L4983" i="1"/>
  <c r="A4984" i="1"/>
  <c r="B4984" i="1"/>
  <c r="C4984" i="1"/>
  <c r="D4984" i="1"/>
  <c r="E4984" i="1"/>
  <c r="F4984" i="1"/>
  <c r="G4984" i="1"/>
  <c r="H4984" i="1"/>
  <c r="I4984" i="1"/>
  <c r="J4984" i="1"/>
  <c r="K4984" i="1"/>
  <c r="L4984" i="1"/>
  <c r="A4985" i="1"/>
  <c r="B4985" i="1"/>
  <c r="C4985" i="1"/>
  <c r="D4985" i="1"/>
  <c r="E4985" i="1"/>
  <c r="F4985" i="1"/>
  <c r="G4985" i="1"/>
  <c r="H4985" i="1"/>
  <c r="I4985" i="1"/>
  <c r="J4985" i="1"/>
  <c r="K4985" i="1"/>
  <c r="L4985" i="1"/>
  <c r="A4986" i="1"/>
  <c r="B4986" i="1"/>
  <c r="C4986" i="1"/>
  <c r="D4986" i="1"/>
  <c r="E4986" i="1"/>
  <c r="F4986" i="1"/>
  <c r="G4986" i="1"/>
  <c r="H4986" i="1"/>
  <c r="I4986" i="1"/>
  <c r="J4986" i="1"/>
  <c r="K4986" i="1"/>
  <c r="L4986" i="1"/>
  <c r="A4987" i="1"/>
  <c r="B4987" i="1"/>
  <c r="C4987" i="1"/>
  <c r="D4987" i="1"/>
  <c r="E4987" i="1"/>
  <c r="F4987" i="1"/>
  <c r="G4987" i="1"/>
  <c r="H4987" i="1"/>
  <c r="I4987" i="1"/>
  <c r="J4987" i="1"/>
  <c r="K4987" i="1"/>
  <c r="L4987" i="1"/>
  <c r="A4988" i="1"/>
  <c r="B4988" i="1"/>
  <c r="C4988" i="1"/>
  <c r="D4988" i="1"/>
  <c r="E4988" i="1"/>
  <c r="F4988" i="1"/>
  <c r="G4988" i="1"/>
  <c r="H4988" i="1"/>
  <c r="I4988" i="1"/>
  <c r="J4988" i="1"/>
  <c r="K4988" i="1"/>
  <c r="L4988" i="1"/>
  <c r="A4989" i="1"/>
  <c r="B4989" i="1"/>
  <c r="C4989" i="1"/>
  <c r="D4989" i="1"/>
  <c r="E4989" i="1"/>
  <c r="F4989" i="1"/>
  <c r="G4989" i="1"/>
  <c r="H4989" i="1"/>
  <c r="I4989" i="1"/>
  <c r="J4989" i="1"/>
  <c r="K4989" i="1"/>
  <c r="L4989" i="1"/>
  <c r="A4990" i="1"/>
  <c r="B4990" i="1"/>
  <c r="C4990" i="1"/>
  <c r="D4990" i="1"/>
  <c r="E4990" i="1"/>
  <c r="F4990" i="1"/>
  <c r="G4990" i="1"/>
  <c r="H4990" i="1"/>
  <c r="I4990" i="1"/>
  <c r="J4990" i="1"/>
  <c r="K4990" i="1"/>
  <c r="L4990" i="1"/>
  <c r="A4991" i="1"/>
  <c r="B4991" i="1"/>
  <c r="C4991" i="1"/>
  <c r="D4991" i="1"/>
  <c r="E4991" i="1"/>
  <c r="F4991" i="1"/>
  <c r="G4991" i="1"/>
  <c r="H4991" i="1"/>
  <c r="I4991" i="1"/>
  <c r="J4991" i="1"/>
  <c r="K4991" i="1"/>
  <c r="L4991" i="1"/>
  <c r="A4992" i="1"/>
  <c r="B4992" i="1"/>
  <c r="C4992" i="1"/>
  <c r="D4992" i="1"/>
  <c r="E4992" i="1"/>
  <c r="F4992" i="1"/>
  <c r="G4992" i="1"/>
  <c r="H4992" i="1"/>
  <c r="I4992" i="1"/>
  <c r="J4992" i="1"/>
  <c r="K4992" i="1"/>
  <c r="L4992" i="1"/>
  <c r="A4993" i="1"/>
  <c r="B4993" i="1"/>
  <c r="C4993" i="1"/>
  <c r="D4993" i="1"/>
  <c r="E4993" i="1"/>
  <c r="F4993" i="1"/>
  <c r="G4993" i="1"/>
  <c r="H4993" i="1"/>
  <c r="I4993" i="1"/>
  <c r="J4993" i="1"/>
  <c r="K4993" i="1"/>
  <c r="L4993" i="1"/>
  <c r="A4994" i="1"/>
  <c r="B4994" i="1"/>
  <c r="C4994" i="1"/>
  <c r="D4994" i="1"/>
  <c r="E4994" i="1"/>
  <c r="F4994" i="1"/>
  <c r="G4994" i="1"/>
  <c r="H4994" i="1"/>
  <c r="I4994" i="1"/>
  <c r="J4994" i="1"/>
  <c r="K4994" i="1"/>
  <c r="L4994" i="1"/>
  <c r="A4995" i="1"/>
  <c r="B4995" i="1"/>
  <c r="C4995" i="1"/>
  <c r="D4995" i="1"/>
  <c r="E4995" i="1"/>
  <c r="F4995" i="1"/>
  <c r="G4995" i="1"/>
  <c r="H4995" i="1"/>
  <c r="I4995" i="1"/>
  <c r="J4995" i="1"/>
  <c r="K4995" i="1"/>
  <c r="L4995" i="1"/>
  <c r="A4996" i="1"/>
  <c r="B4996" i="1"/>
  <c r="C4996" i="1"/>
  <c r="D4996" i="1"/>
  <c r="E4996" i="1"/>
  <c r="F4996" i="1"/>
  <c r="G4996" i="1"/>
  <c r="H4996" i="1"/>
  <c r="I4996" i="1"/>
  <c r="J4996" i="1"/>
  <c r="K4996" i="1"/>
  <c r="L4996" i="1"/>
  <c r="A4997" i="1"/>
  <c r="B4997" i="1"/>
  <c r="C4997" i="1"/>
  <c r="D4997" i="1"/>
  <c r="E4997" i="1"/>
  <c r="F4997" i="1"/>
  <c r="G4997" i="1"/>
  <c r="H4997" i="1"/>
  <c r="I4997" i="1"/>
  <c r="J4997" i="1"/>
  <c r="K4997" i="1"/>
  <c r="L4997" i="1"/>
  <c r="A4998" i="1"/>
  <c r="B4998" i="1"/>
  <c r="C4998" i="1"/>
  <c r="D4998" i="1"/>
  <c r="E4998" i="1"/>
  <c r="F4998" i="1"/>
  <c r="G4998" i="1"/>
  <c r="H4998" i="1"/>
  <c r="I4998" i="1"/>
  <c r="J4998" i="1"/>
  <c r="K4998" i="1"/>
  <c r="L4998" i="1"/>
  <c r="A4999" i="1"/>
  <c r="B4999" i="1"/>
  <c r="C4999" i="1"/>
  <c r="D4999" i="1"/>
  <c r="E4999" i="1"/>
  <c r="F4999" i="1"/>
  <c r="G4999" i="1"/>
  <c r="H4999" i="1"/>
  <c r="I4999" i="1"/>
  <c r="J4999" i="1"/>
  <c r="K4999" i="1"/>
  <c r="L4999" i="1"/>
  <c r="A5000" i="1"/>
  <c r="B5000" i="1"/>
  <c r="C5000" i="1"/>
  <c r="D5000" i="1"/>
  <c r="E5000" i="1"/>
  <c r="F5000" i="1"/>
  <c r="G5000" i="1"/>
  <c r="H5000" i="1"/>
  <c r="I5000" i="1"/>
  <c r="J5000" i="1"/>
  <c r="K5000" i="1"/>
  <c r="L5000" i="1"/>
  <c r="A5001" i="1"/>
  <c r="B5001" i="1"/>
  <c r="C5001" i="1"/>
  <c r="D5001" i="1"/>
  <c r="E5001" i="1"/>
  <c r="F5001" i="1"/>
  <c r="G5001" i="1"/>
  <c r="H5001" i="1"/>
  <c r="I5001" i="1"/>
  <c r="J5001" i="1"/>
  <c r="K5001" i="1"/>
  <c r="L5001" i="1"/>
  <c r="A5002" i="1"/>
  <c r="B5002" i="1"/>
  <c r="C5002" i="1"/>
  <c r="D5002" i="1"/>
  <c r="E5002" i="1"/>
  <c r="F5002" i="1"/>
  <c r="G5002" i="1"/>
  <c r="H5002" i="1"/>
  <c r="I5002" i="1"/>
  <c r="J5002" i="1"/>
  <c r="K5002" i="1"/>
  <c r="L5002" i="1"/>
  <c r="A5003" i="1"/>
  <c r="B5003" i="1"/>
  <c r="C5003" i="1"/>
  <c r="D5003" i="1"/>
  <c r="E5003" i="1"/>
  <c r="F5003" i="1"/>
  <c r="G5003" i="1"/>
  <c r="H5003" i="1"/>
  <c r="I5003" i="1"/>
  <c r="J5003" i="1"/>
  <c r="K5003" i="1"/>
  <c r="L5003" i="1"/>
  <c r="A5004" i="1"/>
  <c r="B5004" i="1"/>
  <c r="C5004" i="1"/>
  <c r="D5004" i="1"/>
  <c r="E5004" i="1"/>
  <c r="F5004" i="1"/>
  <c r="G5004" i="1"/>
  <c r="H5004" i="1"/>
  <c r="I5004" i="1"/>
  <c r="J5004" i="1"/>
  <c r="K5004" i="1"/>
  <c r="L5004" i="1"/>
  <c r="A5005" i="1"/>
  <c r="B5005" i="1"/>
  <c r="C5005" i="1"/>
  <c r="D5005" i="1"/>
  <c r="E5005" i="1"/>
  <c r="F5005" i="1"/>
  <c r="G5005" i="1"/>
  <c r="H5005" i="1"/>
  <c r="I5005" i="1"/>
  <c r="J5005" i="1"/>
  <c r="K5005" i="1"/>
  <c r="L5005" i="1"/>
  <c r="A5006" i="1"/>
  <c r="B5006" i="1"/>
  <c r="C5006" i="1"/>
  <c r="D5006" i="1"/>
  <c r="E5006" i="1"/>
  <c r="F5006" i="1"/>
  <c r="G5006" i="1"/>
  <c r="H5006" i="1"/>
  <c r="I5006" i="1"/>
  <c r="J5006" i="1"/>
  <c r="K5006" i="1"/>
  <c r="L5006" i="1"/>
  <c r="A5007" i="1"/>
  <c r="B5007" i="1"/>
  <c r="C5007" i="1"/>
  <c r="D5007" i="1"/>
  <c r="E5007" i="1"/>
  <c r="F5007" i="1"/>
  <c r="G5007" i="1"/>
  <c r="H5007" i="1"/>
  <c r="I5007" i="1"/>
  <c r="J5007" i="1"/>
  <c r="K5007" i="1"/>
  <c r="L5007" i="1"/>
  <c r="A5008" i="1"/>
  <c r="B5008" i="1"/>
  <c r="C5008" i="1"/>
  <c r="D5008" i="1"/>
  <c r="E5008" i="1"/>
  <c r="F5008" i="1"/>
  <c r="G5008" i="1"/>
  <c r="H5008" i="1"/>
  <c r="I5008" i="1"/>
  <c r="J5008" i="1"/>
  <c r="K5008" i="1"/>
  <c r="L5008" i="1"/>
  <c r="A5009" i="1"/>
  <c r="B5009" i="1"/>
  <c r="C5009" i="1"/>
  <c r="D5009" i="1"/>
  <c r="E5009" i="1"/>
  <c r="F5009" i="1"/>
  <c r="G5009" i="1"/>
  <c r="H5009" i="1"/>
  <c r="I5009" i="1"/>
  <c r="J5009" i="1"/>
  <c r="K5009" i="1"/>
  <c r="L5009" i="1"/>
  <c r="A5010" i="1"/>
  <c r="B5010" i="1"/>
  <c r="C5010" i="1"/>
  <c r="D5010" i="1"/>
  <c r="E5010" i="1"/>
  <c r="F5010" i="1"/>
  <c r="G5010" i="1"/>
  <c r="H5010" i="1"/>
  <c r="I5010" i="1"/>
  <c r="J5010" i="1"/>
  <c r="K5010" i="1"/>
  <c r="L5010" i="1"/>
  <c r="A5011" i="1"/>
  <c r="B5011" i="1"/>
  <c r="C5011" i="1"/>
  <c r="D5011" i="1"/>
  <c r="E5011" i="1"/>
  <c r="F5011" i="1"/>
  <c r="G5011" i="1"/>
  <c r="H5011" i="1"/>
  <c r="I5011" i="1"/>
  <c r="J5011" i="1"/>
  <c r="K5011" i="1"/>
  <c r="L5011" i="1"/>
  <c r="A5012" i="1"/>
  <c r="B5012" i="1"/>
  <c r="C5012" i="1"/>
  <c r="D5012" i="1"/>
  <c r="E5012" i="1"/>
  <c r="F5012" i="1"/>
  <c r="G5012" i="1"/>
  <c r="H5012" i="1"/>
  <c r="I5012" i="1"/>
  <c r="J5012" i="1"/>
  <c r="K5012" i="1"/>
  <c r="L5012" i="1"/>
  <c r="A5013" i="1"/>
  <c r="B5013" i="1"/>
  <c r="C5013" i="1"/>
  <c r="D5013" i="1"/>
  <c r="E5013" i="1"/>
  <c r="F5013" i="1"/>
  <c r="G5013" i="1"/>
  <c r="H5013" i="1"/>
  <c r="I5013" i="1"/>
  <c r="J5013" i="1"/>
  <c r="K5013" i="1"/>
  <c r="L5013" i="1"/>
  <c r="A5014" i="1"/>
  <c r="B5014" i="1"/>
  <c r="C5014" i="1"/>
  <c r="D5014" i="1"/>
  <c r="E5014" i="1"/>
  <c r="F5014" i="1"/>
  <c r="G5014" i="1"/>
  <c r="H5014" i="1"/>
  <c r="I5014" i="1"/>
  <c r="J5014" i="1"/>
  <c r="K5014" i="1"/>
  <c r="L5014" i="1"/>
  <c r="A5015" i="1"/>
  <c r="B5015" i="1"/>
  <c r="C5015" i="1"/>
  <c r="D5015" i="1"/>
  <c r="E5015" i="1"/>
  <c r="F5015" i="1"/>
  <c r="G5015" i="1"/>
  <c r="H5015" i="1"/>
  <c r="I5015" i="1"/>
  <c r="J5015" i="1"/>
  <c r="K5015" i="1"/>
  <c r="L5015" i="1"/>
  <c r="A5016" i="1"/>
  <c r="B5016" i="1"/>
  <c r="C5016" i="1"/>
  <c r="D5016" i="1"/>
  <c r="E5016" i="1"/>
  <c r="F5016" i="1"/>
  <c r="G5016" i="1"/>
  <c r="H5016" i="1"/>
  <c r="I5016" i="1"/>
  <c r="J5016" i="1"/>
  <c r="K5016" i="1"/>
  <c r="L5016" i="1"/>
  <c r="A5017" i="1"/>
  <c r="B5017" i="1"/>
  <c r="C5017" i="1"/>
  <c r="D5017" i="1"/>
  <c r="E5017" i="1"/>
  <c r="F5017" i="1"/>
  <c r="G5017" i="1"/>
  <c r="H5017" i="1"/>
  <c r="I5017" i="1"/>
  <c r="J5017" i="1"/>
  <c r="K5017" i="1"/>
  <c r="L5017" i="1"/>
  <c r="A5018" i="1"/>
  <c r="B5018" i="1"/>
  <c r="C5018" i="1"/>
  <c r="D5018" i="1"/>
  <c r="E5018" i="1"/>
  <c r="F5018" i="1"/>
  <c r="G5018" i="1"/>
  <c r="H5018" i="1"/>
  <c r="I5018" i="1"/>
  <c r="J5018" i="1"/>
  <c r="K5018" i="1"/>
  <c r="L5018" i="1"/>
  <c r="A5019" i="1"/>
  <c r="B5019" i="1"/>
  <c r="C5019" i="1"/>
  <c r="D5019" i="1"/>
  <c r="E5019" i="1"/>
  <c r="F5019" i="1"/>
  <c r="G5019" i="1"/>
  <c r="H5019" i="1"/>
  <c r="I5019" i="1"/>
  <c r="J5019" i="1"/>
  <c r="K5019" i="1"/>
  <c r="L5019" i="1"/>
  <c r="A5020" i="1"/>
  <c r="B5020" i="1"/>
  <c r="C5020" i="1"/>
  <c r="D5020" i="1"/>
  <c r="E5020" i="1"/>
  <c r="F5020" i="1"/>
  <c r="G5020" i="1"/>
  <c r="H5020" i="1"/>
  <c r="I5020" i="1"/>
  <c r="J5020" i="1"/>
  <c r="K5020" i="1"/>
  <c r="L5020" i="1"/>
  <c r="A5021" i="1"/>
  <c r="B5021" i="1"/>
  <c r="C5021" i="1"/>
  <c r="D5021" i="1"/>
  <c r="E5021" i="1"/>
  <c r="F5021" i="1"/>
  <c r="G5021" i="1"/>
  <c r="H5021" i="1"/>
  <c r="I5021" i="1"/>
  <c r="J5021" i="1"/>
  <c r="K5021" i="1"/>
  <c r="L5021" i="1"/>
  <c r="A5022" i="1"/>
  <c r="B5022" i="1"/>
  <c r="C5022" i="1"/>
  <c r="D5022" i="1"/>
  <c r="E5022" i="1"/>
  <c r="F5022" i="1"/>
  <c r="G5022" i="1"/>
  <c r="H5022" i="1"/>
  <c r="I5022" i="1"/>
  <c r="J5022" i="1"/>
  <c r="K5022" i="1"/>
  <c r="L5022" i="1"/>
  <c r="A5023" i="1"/>
  <c r="B5023" i="1"/>
  <c r="C5023" i="1"/>
  <c r="D5023" i="1"/>
  <c r="E5023" i="1"/>
  <c r="F5023" i="1"/>
  <c r="G5023" i="1"/>
  <c r="H5023" i="1"/>
  <c r="I5023" i="1"/>
  <c r="J5023" i="1"/>
  <c r="K5023" i="1"/>
  <c r="L5023" i="1"/>
  <c r="A5024" i="1"/>
  <c r="B5024" i="1"/>
  <c r="C5024" i="1"/>
  <c r="D5024" i="1"/>
  <c r="E5024" i="1"/>
  <c r="F5024" i="1"/>
  <c r="G5024" i="1"/>
  <c r="H5024" i="1"/>
  <c r="I5024" i="1"/>
  <c r="J5024" i="1"/>
  <c r="K5024" i="1"/>
  <c r="L5024" i="1"/>
  <c r="A5025" i="1"/>
  <c r="B5025" i="1"/>
  <c r="C5025" i="1"/>
  <c r="D5025" i="1"/>
  <c r="E5025" i="1"/>
  <c r="F5025" i="1"/>
  <c r="G5025" i="1"/>
  <c r="H5025" i="1"/>
  <c r="I5025" i="1"/>
  <c r="J5025" i="1"/>
  <c r="K5025" i="1"/>
  <c r="L5025" i="1"/>
  <c r="A5026" i="1"/>
  <c r="B5026" i="1"/>
  <c r="C5026" i="1"/>
  <c r="D5026" i="1"/>
  <c r="E5026" i="1"/>
  <c r="F5026" i="1"/>
  <c r="G5026" i="1"/>
  <c r="H5026" i="1"/>
  <c r="I5026" i="1"/>
  <c r="J5026" i="1"/>
  <c r="K5026" i="1"/>
  <c r="L5026" i="1"/>
  <c r="A5027" i="1"/>
  <c r="B5027" i="1"/>
  <c r="C5027" i="1"/>
  <c r="D5027" i="1"/>
  <c r="E5027" i="1"/>
  <c r="F5027" i="1"/>
  <c r="G5027" i="1"/>
  <c r="H5027" i="1"/>
  <c r="I5027" i="1"/>
  <c r="J5027" i="1"/>
  <c r="K5027" i="1"/>
  <c r="L5027" i="1"/>
  <c r="A5028" i="1"/>
  <c r="B5028" i="1"/>
  <c r="C5028" i="1"/>
  <c r="D5028" i="1"/>
  <c r="E5028" i="1"/>
  <c r="F5028" i="1"/>
  <c r="G5028" i="1"/>
  <c r="H5028" i="1"/>
  <c r="I5028" i="1"/>
  <c r="J5028" i="1"/>
  <c r="K5028" i="1"/>
  <c r="L5028" i="1"/>
  <c r="A5029" i="1"/>
  <c r="B5029" i="1"/>
  <c r="C5029" i="1"/>
  <c r="D5029" i="1"/>
  <c r="E5029" i="1"/>
  <c r="F5029" i="1"/>
  <c r="G5029" i="1"/>
  <c r="H5029" i="1"/>
  <c r="I5029" i="1"/>
  <c r="J5029" i="1"/>
  <c r="K5029" i="1"/>
  <c r="L5029" i="1"/>
  <c r="A5030" i="1"/>
  <c r="B5030" i="1"/>
  <c r="C5030" i="1"/>
  <c r="D5030" i="1"/>
  <c r="E5030" i="1"/>
  <c r="F5030" i="1"/>
  <c r="G5030" i="1"/>
  <c r="H5030" i="1"/>
  <c r="I5030" i="1"/>
  <c r="J5030" i="1"/>
  <c r="K5030" i="1"/>
  <c r="L5030" i="1"/>
  <c r="A5031" i="1"/>
  <c r="B5031" i="1"/>
  <c r="C5031" i="1"/>
  <c r="D5031" i="1"/>
  <c r="E5031" i="1"/>
  <c r="F5031" i="1"/>
  <c r="G5031" i="1"/>
  <c r="H5031" i="1"/>
  <c r="I5031" i="1"/>
  <c r="J5031" i="1"/>
  <c r="K5031" i="1"/>
  <c r="L5031" i="1"/>
  <c r="A5032" i="1"/>
  <c r="B5032" i="1"/>
  <c r="C5032" i="1"/>
  <c r="D5032" i="1"/>
  <c r="E5032" i="1"/>
  <c r="F5032" i="1"/>
  <c r="G5032" i="1"/>
  <c r="H5032" i="1"/>
  <c r="I5032" i="1"/>
  <c r="J5032" i="1"/>
  <c r="K5032" i="1"/>
  <c r="L5032" i="1"/>
  <c r="A5033" i="1"/>
  <c r="B5033" i="1"/>
  <c r="C5033" i="1"/>
  <c r="D5033" i="1"/>
  <c r="E5033" i="1"/>
  <c r="F5033" i="1"/>
  <c r="G5033" i="1"/>
  <c r="H5033" i="1"/>
  <c r="I5033" i="1"/>
  <c r="J5033" i="1"/>
  <c r="K5033" i="1"/>
  <c r="L5033" i="1"/>
  <c r="A5034" i="1"/>
  <c r="B5034" i="1"/>
  <c r="C5034" i="1"/>
  <c r="D5034" i="1"/>
  <c r="E5034" i="1"/>
  <c r="F5034" i="1"/>
  <c r="G5034" i="1"/>
  <c r="H5034" i="1"/>
  <c r="I5034" i="1"/>
  <c r="J5034" i="1"/>
  <c r="K5034" i="1"/>
  <c r="L5034" i="1"/>
  <c r="A5035" i="1"/>
  <c r="B5035" i="1"/>
  <c r="C5035" i="1"/>
  <c r="D5035" i="1"/>
  <c r="E5035" i="1"/>
  <c r="F5035" i="1"/>
  <c r="G5035" i="1"/>
  <c r="H5035" i="1"/>
  <c r="I5035" i="1"/>
  <c r="J5035" i="1"/>
  <c r="K5035" i="1"/>
  <c r="L5035" i="1"/>
  <c r="A5036" i="1"/>
  <c r="B5036" i="1"/>
  <c r="C5036" i="1"/>
  <c r="D5036" i="1"/>
  <c r="E5036" i="1"/>
  <c r="F5036" i="1"/>
  <c r="G5036" i="1"/>
  <c r="H5036" i="1"/>
  <c r="I5036" i="1"/>
  <c r="J5036" i="1"/>
  <c r="K5036" i="1"/>
  <c r="L5036" i="1"/>
  <c r="A5037" i="1"/>
  <c r="B5037" i="1"/>
  <c r="C5037" i="1"/>
  <c r="D5037" i="1"/>
  <c r="E5037" i="1"/>
  <c r="F5037" i="1"/>
  <c r="G5037" i="1"/>
  <c r="H5037" i="1"/>
  <c r="I5037" i="1"/>
  <c r="J5037" i="1"/>
  <c r="K5037" i="1"/>
  <c r="L5037" i="1"/>
  <c r="A5038" i="1"/>
  <c r="B5038" i="1"/>
  <c r="C5038" i="1"/>
  <c r="D5038" i="1"/>
  <c r="E5038" i="1"/>
  <c r="F5038" i="1"/>
  <c r="G5038" i="1"/>
  <c r="H5038" i="1"/>
  <c r="I5038" i="1"/>
  <c r="J5038" i="1"/>
  <c r="K5038" i="1"/>
  <c r="L5038" i="1"/>
  <c r="A5039" i="1"/>
  <c r="B5039" i="1"/>
  <c r="C5039" i="1"/>
  <c r="D5039" i="1"/>
  <c r="E5039" i="1"/>
  <c r="F5039" i="1"/>
  <c r="G5039" i="1"/>
  <c r="H5039" i="1"/>
  <c r="I5039" i="1"/>
  <c r="J5039" i="1"/>
  <c r="K5039" i="1"/>
  <c r="L5039" i="1"/>
  <c r="A5040" i="1"/>
  <c r="B5040" i="1"/>
  <c r="C5040" i="1"/>
  <c r="D5040" i="1"/>
  <c r="E5040" i="1"/>
  <c r="F5040" i="1"/>
  <c r="G5040" i="1"/>
  <c r="H5040" i="1"/>
  <c r="I5040" i="1"/>
  <c r="J5040" i="1"/>
  <c r="K5040" i="1"/>
  <c r="L5040" i="1"/>
  <c r="A5041" i="1"/>
  <c r="B5041" i="1"/>
  <c r="C5041" i="1"/>
  <c r="D5041" i="1"/>
  <c r="E5041" i="1"/>
  <c r="F5041" i="1"/>
  <c r="G5041" i="1"/>
  <c r="H5041" i="1"/>
  <c r="I5041" i="1"/>
  <c r="J5041" i="1"/>
  <c r="K5041" i="1"/>
  <c r="L5041" i="1"/>
  <c r="A5042" i="1"/>
  <c r="B5042" i="1"/>
  <c r="C5042" i="1"/>
  <c r="D5042" i="1"/>
  <c r="E5042" i="1"/>
  <c r="F5042" i="1"/>
  <c r="G5042" i="1"/>
  <c r="H5042" i="1"/>
  <c r="I5042" i="1"/>
  <c r="J5042" i="1"/>
  <c r="K5042" i="1"/>
  <c r="L5042" i="1"/>
  <c r="A5043" i="1"/>
  <c r="B5043" i="1"/>
  <c r="C5043" i="1"/>
  <c r="D5043" i="1"/>
  <c r="E5043" i="1"/>
  <c r="F5043" i="1"/>
  <c r="G5043" i="1"/>
  <c r="H5043" i="1"/>
  <c r="I5043" i="1"/>
  <c r="J5043" i="1"/>
  <c r="K5043" i="1"/>
  <c r="L5043" i="1"/>
  <c r="A5044" i="1"/>
  <c r="B5044" i="1"/>
  <c r="C5044" i="1"/>
  <c r="D5044" i="1"/>
  <c r="E5044" i="1"/>
  <c r="F5044" i="1"/>
  <c r="G5044" i="1"/>
  <c r="H5044" i="1"/>
  <c r="I5044" i="1"/>
  <c r="J5044" i="1"/>
  <c r="K5044" i="1"/>
  <c r="L5044" i="1"/>
  <c r="A5045" i="1"/>
  <c r="B5045" i="1"/>
  <c r="C5045" i="1"/>
  <c r="D5045" i="1"/>
  <c r="E5045" i="1"/>
  <c r="F5045" i="1"/>
  <c r="G5045" i="1"/>
  <c r="H5045" i="1"/>
  <c r="I5045" i="1"/>
  <c r="J5045" i="1"/>
  <c r="K5045" i="1"/>
  <c r="L5045" i="1"/>
  <c r="A5046" i="1"/>
  <c r="B5046" i="1"/>
  <c r="C5046" i="1"/>
  <c r="D5046" i="1"/>
  <c r="E5046" i="1"/>
  <c r="F5046" i="1"/>
  <c r="G5046" i="1"/>
  <c r="H5046" i="1"/>
  <c r="I5046" i="1"/>
  <c r="J5046" i="1"/>
  <c r="K5046" i="1"/>
  <c r="L5046" i="1"/>
  <c r="A5047" i="1"/>
  <c r="B5047" i="1"/>
  <c r="C5047" i="1"/>
  <c r="D5047" i="1"/>
  <c r="E5047" i="1"/>
  <c r="F5047" i="1"/>
  <c r="G5047" i="1"/>
  <c r="H5047" i="1"/>
  <c r="I5047" i="1"/>
  <c r="J5047" i="1"/>
  <c r="K5047" i="1"/>
  <c r="L5047" i="1"/>
  <c r="A5048" i="1"/>
  <c r="B5048" i="1"/>
  <c r="C5048" i="1"/>
  <c r="D5048" i="1"/>
  <c r="E5048" i="1"/>
  <c r="F5048" i="1"/>
  <c r="G5048" i="1"/>
  <c r="H5048" i="1"/>
  <c r="I5048" i="1"/>
  <c r="J5048" i="1"/>
  <c r="K5048" i="1"/>
  <c r="L5048" i="1"/>
  <c r="A5049" i="1"/>
  <c r="B5049" i="1"/>
  <c r="C5049" i="1"/>
  <c r="D5049" i="1"/>
  <c r="E5049" i="1"/>
  <c r="F5049" i="1"/>
  <c r="G5049" i="1"/>
  <c r="H5049" i="1"/>
  <c r="I5049" i="1"/>
  <c r="J5049" i="1"/>
  <c r="K5049" i="1"/>
  <c r="L5049" i="1"/>
  <c r="A5050" i="1"/>
  <c r="B5050" i="1"/>
  <c r="C5050" i="1"/>
  <c r="D5050" i="1"/>
  <c r="E5050" i="1"/>
  <c r="F5050" i="1"/>
  <c r="G5050" i="1"/>
  <c r="H5050" i="1"/>
  <c r="I5050" i="1"/>
  <c r="J5050" i="1"/>
  <c r="K5050" i="1"/>
  <c r="L5050" i="1"/>
  <c r="A5051" i="1"/>
  <c r="B5051" i="1"/>
  <c r="C5051" i="1"/>
  <c r="D5051" i="1"/>
  <c r="E5051" i="1"/>
  <c r="F5051" i="1"/>
  <c r="G5051" i="1"/>
  <c r="H5051" i="1"/>
  <c r="I5051" i="1"/>
  <c r="J5051" i="1"/>
  <c r="K5051" i="1"/>
  <c r="L5051" i="1"/>
  <c r="A5052" i="1"/>
  <c r="B5052" i="1"/>
  <c r="C5052" i="1"/>
  <c r="D5052" i="1"/>
  <c r="E5052" i="1"/>
  <c r="F5052" i="1"/>
  <c r="G5052" i="1"/>
  <c r="H5052" i="1"/>
  <c r="I5052" i="1"/>
  <c r="J5052" i="1"/>
  <c r="K5052" i="1"/>
  <c r="L5052" i="1"/>
  <c r="A5053" i="1"/>
  <c r="B5053" i="1"/>
  <c r="C5053" i="1"/>
  <c r="D5053" i="1"/>
  <c r="E5053" i="1"/>
  <c r="F5053" i="1"/>
  <c r="G5053" i="1"/>
  <c r="H5053" i="1"/>
  <c r="I5053" i="1"/>
  <c r="J5053" i="1"/>
  <c r="K5053" i="1"/>
  <c r="L5053" i="1"/>
  <c r="A5054" i="1"/>
  <c r="B5054" i="1"/>
  <c r="C5054" i="1"/>
  <c r="D5054" i="1"/>
  <c r="E5054" i="1"/>
  <c r="F5054" i="1"/>
  <c r="G5054" i="1"/>
  <c r="H5054" i="1"/>
  <c r="I5054" i="1"/>
  <c r="J5054" i="1"/>
  <c r="K5054" i="1"/>
  <c r="L5054" i="1"/>
  <c r="A5055" i="1"/>
  <c r="B5055" i="1"/>
  <c r="C5055" i="1"/>
  <c r="D5055" i="1"/>
  <c r="E5055" i="1"/>
  <c r="F5055" i="1"/>
  <c r="G5055" i="1"/>
  <c r="H5055" i="1"/>
  <c r="I5055" i="1"/>
  <c r="J5055" i="1"/>
  <c r="K5055" i="1"/>
  <c r="L5055" i="1"/>
  <c r="A5056" i="1"/>
  <c r="B5056" i="1"/>
  <c r="C5056" i="1"/>
  <c r="D5056" i="1"/>
  <c r="E5056" i="1"/>
  <c r="F5056" i="1"/>
  <c r="G5056" i="1"/>
  <c r="H5056" i="1"/>
  <c r="I5056" i="1"/>
  <c r="J5056" i="1"/>
  <c r="K5056" i="1"/>
  <c r="L5056" i="1"/>
  <c r="A5057" i="1"/>
  <c r="B5057" i="1"/>
  <c r="C5057" i="1"/>
  <c r="D5057" i="1"/>
  <c r="E5057" i="1"/>
  <c r="F5057" i="1"/>
  <c r="G5057" i="1"/>
  <c r="H5057" i="1"/>
  <c r="I5057" i="1"/>
  <c r="J5057" i="1"/>
  <c r="K5057" i="1"/>
  <c r="L5057" i="1"/>
  <c r="A5058" i="1"/>
  <c r="B5058" i="1"/>
  <c r="C5058" i="1"/>
  <c r="D5058" i="1"/>
  <c r="E5058" i="1"/>
  <c r="F5058" i="1"/>
  <c r="G5058" i="1"/>
  <c r="H5058" i="1"/>
  <c r="I5058" i="1"/>
  <c r="J5058" i="1"/>
  <c r="K5058" i="1"/>
  <c r="L5058" i="1"/>
  <c r="A5059" i="1"/>
  <c r="B5059" i="1"/>
  <c r="C5059" i="1"/>
  <c r="D5059" i="1"/>
  <c r="E5059" i="1"/>
  <c r="F5059" i="1"/>
  <c r="G5059" i="1"/>
  <c r="H5059" i="1"/>
  <c r="I5059" i="1"/>
  <c r="J5059" i="1"/>
  <c r="K5059" i="1"/>
  <c r="L5059" i="1"/>
  <c r="A5060" i="1"/>
  <c r="B5060" i="1"/>
  <c r="C5060" i="1"/>
  <c r="D5060" i="1"/>
  <c r="E5060" i="1"/>
  <c r="F5060" i="1"/>
  <c r="G5060" i="1"/>
  <c r="H5060" i="1"/>
  <c r="I5060" i="1"/>
  <c r="J5060" i="1"/>
  <c r="K5060" i="1"/>
  <c r="L5060" i="1"/>
  <c r="A5061" i="1"/>
  <c r="B5061" i="1"/>
  <c r="C5061" i="1"/>
  <c r="D5061" i="1"/>
  <c r="E5061" i="1"/>
  <c r="F5061" i="1"/>
  <c r="G5061" i="1"/>
  <c r="H5061" i="1"/>
  <c r="I5061" i="1"/>
  <c r="J5061" i="1"/>
  <c r="K5061" i="1"/>
  <c r="L5061" i="1"/>
  <c r="A5062" i="1"/>
  <c r="B5062" i="1"/>
  <c r="C5062" i="1"/>
  <c r="D5062" i="1"/>
  <c r="E5062" i="1"/>
  <c r="F5062" i="1"/>
  <c r="G5062" i="1"/>
  <c r="H5062" i="1"/>
  <c r="I5062" i="1"/>
  <c r="J5062" i="1"/>
  <c r="K5062" i="1"/>
  <c r="L5062" i="1"/>
  <c r="A5063" i="1"/>
  <c r="B5063" i="1"/>
  <c r="C5063" i="1"/>
  <c r="D5063" i="1"/>
  <c r="E5063" i="1"/>
  <c r="F5063" i="1"/>
  <c r="G5063" i="1"/>
  <c r="H5063" i="1"/>
  <c r="I5063" i="1"/>
  <c r="J5063" i="1"/>
  <c r="K5063" i="1"/>
  <c r="L5063" i="1"/>
  <c r="A5064" i="1"/>
  <c r="B5064" i="1"/>
  <c r="C5064" i="1"/>
  <c r="D5064" i="1"/>
  <c r="E5064" i="1"/>
  <c r="F5064" i="1"/>
  <c r="G5064" i="1"/>
  <c r="H5064" i="1"/>
  <c r="I5064" i="1"/>
  <c r="J5064" i="1"/>
  <c r="K5064" i="1"/>
  <c r="L5064" i="1"/>
  <c r="A5065" i="1"/>
  <c r="B5065" i="1"/>
  <c r="C5065" i="1"/>
  <c r="D5065" i="1"/>
  <c r="E5065" i="1"/>
  <c r="F5065" i="1"/>
  <c r="G5065" i="1"/>
  <c r="H5065" i="1"/>
  <c r="I5065" i="1"/>
  <c r="J5065" i="1"/>
  <c r="K5065" i="1"/>
  <c r="L5065" i="1"/>
  <c r="A5066" i="1"/>
  <c r="B5066" i="1"/>
  <c r="C5066" i="1"/>
  <c r="D5066" i="1"/>
  <c r="E5066" i="1"/>
  <c r="F5066" i="1"/>
  <c r="G5066" i="1"/>
  <c r="H5066" i="1"/>
  <c r="I5066" i="1"/>
  <c r="J5066" i="1"/>
  <c r="K5066" i="1"/>
  <c r="L5066" i="1"/>
  <c r="A5067" i="1"/>
  <c r="B5067" i="1"/>
  <c r="C5067" i="1"/>
  <c r="D5067" i="1"/>
  <c r="E5067" i="1"/>
  <c r="F5067" i="1"/>
  <c r="G5067" i="1"/>
  <c r="H5067" i="1"/>
  <c r="I5067" i="1"/>
  <c r="J5067" i="1"/>
  <c r="K5067" i="1"/>
  <c r="L5067" i="1"/>
  <c r="A5068" i="1"/>
  <c r="B5068" i="1"/>
  <c r="C5068" i="1"/>
  <c r="D5068" i="1"/>
  <c r="E5068" i="1"/>
  <c r="F5068" i="1"/>
  <c r="G5068" i="1"/>
  <c r="H5068" i="1"/>
  <c r="I5068" i="1"/>
  <c r="J5068" i="1"/>
  <c r="K5068" i="1"/>
  <c r="L5068" i="1"/>
  <c r="A5069" i="1"/>
  <c r="B5069" i="1"/>
  <c r="C5069" i="1"/>
  <c r="D5069" i="1"/>
  <c r="E5069" i="1"/>
  <c r="F5069" i="1"/>
  <c r="G5069" i="1"/>
  <c r="H5069" i="1"/>
  <c r="I5069" i="1"/>
  <c r="J5069" i="1"/>
  <c r="K5069" i="1"/>
  <c r="L5069" i="1"/>
  <c r="A5070" i="1"/>
  <c r="B5070" i="1"/>
  <c r="C5070" i="1"/>
  <c r="D5070" i="1"/>
  <c r="E5070" i="1"/>
  <c r="F5070" i="1"/>
  <c r="G5070" i="1"/>
  <c r="H5070" i="1"/>
  <c r="I5070" i="1"/>
  <c r="J5070" i="1"/>
  <c r="K5070" i="1"/>
  <c r="L5070" i="1"/>
  <c r="A5071" i="1"/>
  <c r="B5071" i="1"/>
  <c r="C5071" i="1"/>
  <c r="D5071" i="1"/>
  <c r="E5071" i="1"/>
  <c r="F5071" i="1"/>
  <c r="G5071" i="1"/>
  <c r="H5071" i="1"/>
  <c r="I5071" i="1"/>
  <c r="J5071" i="1"/>
  <c r="K5071" i="1"/>
  <c r="L5071" i="1"/>
  <c r="A5072" i="1"/>
  <c r="B5072" i="1"/>
  <c r="C5072" i="1"/>
  <c r="D5072" i="1"/>
  <c r="E5072" i="1"/>
  <c r="F5072" i="1"/>
  <c r="G5072" i="1"/>
  <c r="H5072" i="1"/>
  <c r="I5072" i="1"/>
  <c r="J5072" i="1"/>
  <c r="K5072" i="1"/>
  <c r="L5072" i="1"/>
  <c r="A5073" i="1"/>
  <c r="B5073" i="1"/>
  <c r="C5073" i="1"/>
  <c r="D5073" i="1"/>
  <c r="E5073" i="1"/>
  <c r="F5073" i="1"/>
  <c r="G5073" i="1"/>
  <c r="H5073" i="1"/>
  <c r="I5073" i="1"/>
  <c r="J5073" i="1"/>
  <c r="K5073" i="1"/>
  <c r="L5073" i="1"/>
  <c r="A5074" i="1"/>
  <c r="B5074" i="1"/>
  <c r="C5074" i="1"/>
  <c r="D5074" i="1"/>
  <c r="E5074" i="1"/>
  <c r="F5074" i="1"/>
  <c r="G5074" i="1"/>
  <c r="H5074" i="1"/>
  <c r="I5074" i="1"/>
  <c r="J5074" i="1"/>
  <c r="K5074" i="1"/>
  <c r="L5074" i="1"/>
  <c r="A5075" i="1"/>
  <c r="B5075" i="1"/>
  <c r="C5075" i="1"/>
  <c r="D5075" i="1"/>
  <c r="E5075" i="1"/>
  <c r="F5075" i="1"/>
  <c r="G5075" i="1"/>
  <c r="H5075" i="1"/>
  <c r="I5075" i="1"/>
  <c r="J5075" i="1"/>
  <c r="K5075" i="1"/>
  <c r="L5075" i="1"/>
  <c r="A5076" i="1"/>
  <c r="B5076" i="1"/>
  <c r="C5076" i="1"/>
  <c r="D5076" i="1"/>
  <c r="E5076" i="1"/>
  <c r="F5076" i="1"/>
  <c r="G5076" i="1"/>
  <c r="H5076" i="1"/>
  <c r="I5076" i="1"/>
  <c r="J5076" i="1"/>
  <c r="K5076" i="1"/>
  <c r="L5076" i="1"/>
  <c r="A5077" i="1"/>
  <c r="B5077" i="1"/>
  <c r="C5077" i="1"/>
  <c r="D5077" i="1"/>
  <c r="E5077" i="1"/>
  <c r="F5077" i="1"/>
  <c r="G5077" i="1"/>
  <c r="H5077" i="1"/>
  <c r="I5077" i="1"/>
  <c r="J5077" i="1"/>
  <c r="K5077" i="1"/>
  <c r="L5077" i="1"/>
  <c r="A5078" i="1"/>
  <c r="B5078" i="1"/>
  <c r="C5078" i="1"/>
  <c r="D5078" i="1"/>
  <c r="E5078" i="1"/>
  <c r="F5078" i="1"/>
  <c r="G5078" i="1"/>
  <c r="H5078" i="1"/>
  <c r="I5078" i="1"/>
  <c r="J5078" i="1"/>
  <c r="K5078" i="1"/>
  <c r="L5078" i="1"/>
  <c r="A5079" i="1"/>
  <c r="B5079" i="1"/>
  <c r="C5079" i="1"/>
  <c r="D5079" i="1"/>
  <c r="E5079" i="1"/>
  <c r="F5079" i="1"/>
  <c r="G5079" i="1"/>
  <c r="H5079" i="1"/>
  <c r="I5079" i="1"/>
  <c r="J5079" i="1"/>
  <c r="K5079" i="1"/>
  <c r="L5079" i="1"/>
  <c r="A5080" i="1"/>
  <c r="B5080" i="1"/>
  <c r="C5080" i="1"/>
  <c r="D5080" i="1"/>
  <c r="E5080" i="1"/>
  <c r="F5080" i="1"/>
  <c r="G5080" i="1"/>
  <c r="H5080" i="1"/>
  <c r="I5080" i="1"/>
  <c r="J5080" i="1"/>
  <c r="K5080" i="1"/>
  <c r="L5080" i="1"/>
  <c r="A5081" i="1"/>
  <c r="B5081" i="1"/>
  <c r="C5081" i="1"/>
  <c r="D5081" i="1"/>
  <c r="E5081" i="1"/>
  <c r="F5081" i="1"/>
  <c r="G5081" i="1"/>
  <c r="H5081" i="1"/>
  <c r="I5081" i="1"/>
  <c r="J5081" i="1"/>
  <c r="K5081" i="1"/>
  <c r="L5081" i="1"/>
  <c r="A5082" i="1"/>
  <c r="B5082" i="1"/>
  <c r="C5082" i="1"/>
  <c r="D5082" i="1"/>
  <c r="E5082" i="1"/>
  <c r="F5082" i="1"/>
  <c r="G5082" i="1"/>
  <c r="H5082" i="1"/>
  <c r="I5082" i="1"/>
  <c r="J5082" i="1"/>
  <c r="K5082" i="1"/>
  <c r="L5082" i="1"/>
  <c r="A5083" i="1"/>
  <c r="B5083" i="1"/>
  <c r="C5083" i="1"/>
  <c r="D5083" i="1"/>
  <c r="E5083" i="1"/>
  <c r="F5083" i="1"/>
  <c r="G5083" i="1"/>
  <c r="H5083" i="1"/>
  <c r="I5083" i="1"/>
  <c r="J5083" i="1"/>
  <c r="K5083" i="1"/>
  <c r="L5083" i="1"/>
  <c r="A5084" i="1"/>
  <c r="B5084" i="1"/>
  <c r="C5084" i="1"/>
  <c r="D5084" i="1"/>
  <c r="E5084" i="1"/>
  <c r="F5084" i="1"/>
  <c r="G5084" i="1"/>
  <c r="H5084" i="1"/>
  <c r="I5084" i="1"/>
  <c r="J5084" i="1"/>
  <c r="K5084" i="1"/>
  <c r="L5084" i="1"/>
  <c r="A5085" i="1"/>
  <c r="B5085" i="1"/>
  <c r="C5085" i="1"/>
  <c r="D5085" i="1"/>
  <c r="E5085" i="1"/>
  <c r="F5085" i="1"/>
  <c r="G5085" i="1"/>
  <c r="H5085" i="1"/>
  <c r="I5085" i="1"/>
  <c r="J5085" i="1"/>
  <c r="K5085" i="1"/>
  <c r="L5085" i="1"/>
  <c r="A5086" i="1"/>
  <c r="B5086" i="1"/>
  <c r="C5086" i="1"/>
  <c r="D5086" i="1"/>
  <c r="E5086" i="1"/>
  <c r="F5086" i="1"/>
  <c r="G5086" i="1"/>
  <c r="H5086" i="1"/>
  <c r="I5086" i="1"/>
  <c r="J5086" i="1"/>
  <c r="K5086" i="1"/>
  <c r="L5086" i="1"/>
  <c r="A5087" i="1"/>
  <c r="B5087" i="1"/>
  <c r="C5087" i="1"/>
  <c r="D5087" i="1"/>
  <c r="E5087" i="1"/>
  <c r="F5087" i="1"/>
  <c r="G5087" i="1"/>
  <c r="H5087" i="1"/>
  <c r="I5087" i="1"/>
  <c r="J5087" i="1"/>
  <c r="K5087" i="1"/>
  <c r="L5087" i="1"/>
  <c r="A5088" i="1"/>
  <c r="B5088" i="1"/>
  <c r="C5088" i="1"/>
  <c r="D5088" i="1"/>
  <c r="E5088" i="1"/>
  <c r="F5088" i="1"/>
  <c r="G5088" i="1"/>
  <c r="H5088" i="1"/>
  <c r="I5088" i="1"/>
  <c r="J5088" i="1"/>
  <c r="K5088" i="1"/>
  <c r="L5088" i="1"/>
  <c r="A5089" i="1"/>
  <c r="B5089" i="1"/>
  <c r="C5089" i="1"/>
  <c r="D5089" i="1"/>
  <c r="E5089" i="1"/>
  <c r="F5089" i="1"/>
  <c r="G5089" i="1"/>
  <c r="H5089" i="1"/>
  <c r="I5089" i="1"/>
  <c r="J5089" i="1"/>
  <c r="K5089" i="1"/>
  <c r="L5089" i="1"/>
  <c r="A5090" i="1"/>
  <c r="B5090" i="1"/>
  <c r="C5090" i="1"/>
  <c r="D5090" i="1"/>
  <c r="E5090" i="1"/>
  <c r="F5090" i="1"/>
  <c r="G5090" i="1"/>
  <c r="H5090" i="1"/>
  <c r="I5090" i="1"/>
  <c r="J5090" i="1"/>
  <c r="K5090" i="1"/>
  <c r="L5090" i="1"/>
  <c r="A5091" i="1"/>
  <c r="B5091" i="1"/>
  <c r="C5091" i="1"/>
  <c r="D5091" i="1"/>
  <c r="E5091" i="1"/>
  <c r="F5091" i="1"/>
  <c r="G5091" i="1"/>
  <c r="H5091" i="1"/>
  <c r="I5091" i="1"/>
  <c r="J5091" i="1"/>
  <c r="K5091" i="1"/>
  <c r="L5091" i="1"/>
  <c r="A5092" i="1"/>
  <c r="B5092" i="1"/>
  <c r="C5092" i="1"/>
  <c r="D5092" i="1"/>
  <c r="E5092" i="1"/>
  <c r="F5092" i="1"/>
  <c r="G5092" i="1"/>
  <c r="H5092" i="1"/>
  <c r="I5092" i="1"/>
  <c r="J5092" i="1"/>
  <c r="K5092" i="1"/>
  <c r="L5092" i="1"/>
  <c r="A5093" i="1"/>
  <c r="B5093" i="1"/>
  <c r="C5093" i="1"/>
  <c r="D5093" i="1"/>
  <c r="E5093" i="1"/>
  <c r="F5093" i="1"/>
  <c r="G5093" i="1"/>
  <c r="H5093" i="1"/>
  <c r="I5093" i="1"/>
  <c r="J5093" i="1"/>
  <c r="K5093" i="1"/>
  <c r="L5093" i="1"/>
  <c r="A5094" i="1"/>
  <c r="B5094" i="1"/>
  <c r="C5094" i="1"/>
  <c r="D5094" i="1"/>
  <c r="E5094" i="1"/>
  <c r="F5094" i="1"/>
  <c r="G5094" i="1"/>
  <c r="H5094" i="1"/>
  <c r="I5094" i="1"/>
  <c r="J5094" i="1"/>
  <c r="K5094" i="1"/>
  <c r="L5094" i="1"/>
  <c r="A5095" i="1"/>
  <c r="B5095" i="1"/>
  <c r="C5095" i="1"/>
  <c r="D5095" i="1"/>
  <c r="E5095" i="1"/>
  <c r="F5095" i="1"/>
  <c r="G5095" i="1"/>
  <c r="H5095" i="1"/>
  <c r="I5095" i="1"/>
  <c r="J5095" i="1"/>
  <c r="K5095" i="1"/>
  <c r="L5095" i="1"/>
  <c r="A5096" i="1"/>
  <c r="B5096" i="1"/>
  <c r="C5096" i="1"/>
  <c r="D5096" i="1"/>
  <c r="E5096" i="1"/>
  <c r="F5096" i="1"/>
  <c r="G5096" i="1"/>
  <c r="H5096" i="1"/>
  <c r="I5096" i="1"/>
  <c r="J5096" i="1"/>
  <c r="K5096" i="1"/>
  <c r="L5096" i="1"/>
  <c r="A5097" i="1"/>
  <c r="B5097" i="1"/>
  <c r="C5097" i="1"/>
  <c r="D5097" i="1"/>
  <c r="E5097" i="1"/>
  <c r="F5097" i="1"/>
  <c r="G5097" i="1"/>
  <c r="H5097" i="1"/>
  <c r="I5097" i="1"/>
  <c r="J5097" i="1"/>
  <c r="K5097" i="1"/>
  <c r="L5097" i="1"/>
  <c r="A5098" i="1"/>
  <c r="B5098" i="1"/>
  <c r="C5098" i="1"/>
  <c r="D5098" i="1"/>
  <c r="E5098" i="1"/>
  <c r="F5098" i="1"/>
  <c r="G5098" i="1"/>
  <c r="H5098" i="1"/>
  <c r="I5098" i="1"/>
  <c r="J5098" i="1"/>
  <c r="K5098" i="1"/>
  <c r="L5098" i="1"/>
  <c r="A5099" i="1"/>
  <c r="B5099" i="1"/>
  <c r="C5099" i="1"/>
  <c r="D5099" i="1"/>
  <c r="E5099" i="1"/>
  <c r="F5099" i="1"/>
  <c r="G5099" i="1"/>
  <c r="H5099" i="1"/>
  <c r="I5099" i="1"/>
  <c r="J5099" i="1"/>
  <c r="K5099" i="1"/>
  <c r="L5099" i="1"/>
  <c r="A5100" i="1"/>
  <c r="B5100" i="1"/>
  <c r="C5100" i="1"/>
  <c r="D5100" i="1"/>
  <c r="E5100" i="1"/>
  <c r="F5100" i="1"/>
  <c r="G5100" i="1"/>
  <c r="H5100" i="1"/>
  <c r="I5100" i="1"/>
  <c r="J5100" i="1"/>
  <c r="K5100" i="1"/>
  <c r="L5100" i="1"/>
  <c r="A5101" i="1"/>
  <c r="B5101" i="1"/>
  <c r="C5101" i="1"/>
  <c r="D5101" i="1"/>
  <c r="E5101" i="1"/>
  <c r="F5101" i="1"/>
  <c r="G5101" i="1"/>
  <c r="H5101" i="1"/>
  <c r="I5101" i="1"/>
  <c r="J5101" i="1"/>
  <c r="K5101" i="1"/>
  <c r="L5101" i="1"/>
  <c r="A5102" i="1"/>
  <c r="B5102" i="1"/>
  <c r="C5102" i="1"/>
  <c r="D5102" i="1"/>
  <c r="E5102" i="1"/>
  <c r="F5102" i="1"/>
  <c r="G5102" i="1"/>
  <c r="H5102" i="1"/>
  <c r="I5102" i="1"/>
  <c r="J5102" i="1"/>
  <c r="K5102" i="1"/>
  <c r="L5102" i="1"/>
  <c r="A5103" i="1"/>
  <c r="B5103" i="1"/>
  <c r="C5103" i="1"/>
  <c r="D5103" i="1"/>
  <c r="E5103" i="1"/>
  <c r="F5103" i="1"/>
  <c r="G5103" i="1"/>
  <c r="H5103" i="1"/>
  <c r="I5103" i="1"/>
  <c r="J5103" i="1"/>
  <c r="K5103" i="1"/>
  <c r="L5103" i="1"/>
  <c r="A5104" i="1"/>
  <c r="B5104" i="1"/>
  <c r="C5104" i="1"/>
  <c r="D5104" i="1"/>
  <c r="E5104" i="1"/>
  <c r="F5104" i="1"/>
  <c r="G5104" i="1"/>
  <c r="H5104" i="1"/>
  <c r="I5104" i="1"/>
  <c r="J5104" i="1"/>
  <c r="K5104" i="1"/>
  <c r="L5104" i="1"/>
  <c r="A5105" i="1"/>
  <c r="B5105" i="1"/>
  <c r="C5105" i="1"/>
  <c r="D5105" i="1"/>
  <c r="E5105" i="1"/>
  <c r="F5105" i="1"/>
  <c r="G5105" i="1"/>
  <c r="H5105" i="1"/>
  <c r="I5105" i="1"/>
  <c r="J5105" i="1"/>
  <c r="K5105" i="1"/>
  <c r="L5105" i="1"/>
  <c r="A5106" i="1"/>
  <c r="B5106" i="1"/>
  <c r="C5106" i="1"/>
  <c r="D5106" i="1"/>
  <c r="E5106" i="1"/>
  <c r="F5106" i="1"/>
  <c r="G5106" i="1"/>
  <c r="H5106" i="1"/>
  <c r="I5106" i="1"/>
  <c r="J5106" i="1"/>
  <c r="K5106" i="1"/>
  <c r="L5106" i="1"/>
  <c r="A5107" i="1"/>
  <c r="B5107" i="1"/>
  <c r="C5107" i="1"/>
  <c r="D5107" i="1"/>
  <c r="E5107" i="1"/>
  <c r="F5107" i="1"/>
  <c r="G5107" i="1"/>
  <c r="H5107" i="1"/>
  <c r="I5107" i="1"/>
  <c r="J5107" i="1"/>
  <c r="K5107" i="1"/>
  <c r="L5107" i="1"/>
  <c r="A5108" i="1"/>
  <c r="B5108" i="1"/>
  <c r="C5108" i="1"/>
  <c r="D5108" i="1"/>
  <c r="E5108" i="1"/>
  <c r="F5108" i="1"/>
  <c r="G5108" i="1"/>
  <c r="H5108" i="1"/>
  <c r="I5108" i="1"/>
  <c r="J5108" i="1"/>
  <c r="K5108" i="1"/>
  <c r="L5108" i="1"/>
  <c r="A5109" i="1"/>
  <c r="B5109" i="1"/>
  <c r="C5109" i="1"/>
  <c r="D5109" i="1"/>
  <c r="E5109" i="1"/>
  <c r="F5109" i="1"/>
  <c r="G5109" i="1"/>
  <c r="H5109" i="1"/>
  <c r="I5109" i="1"/>
  <c r="J5109" i="1"/>
  <c r="K5109" i="1"/>
  <c r="L5109" i="1"/>
  <c r="A5110" i="1"/>
  <c r="B5110" i="1"/>
  <c r="C5110" i="1"/>
  <c r="D5110" i="1"/>
  <c r="E5110" i="1"/>
  <c r="F5110" i="1"/>
  <c r="G5110" i="1"/>
  <c r="H5110" i="1"/>
  <c r="I5110" i="1"/>
  <c r="J5110" i="1"/>
  <c r="K5110" i="1"/>
  <c r="L5110" i="1"/>
  <c r="A5111" i="1"/>
  <c r="B5111" i="1"/>
  <c r="C5111" i="1"/>
  <c r="D5111" i="1"/>
  <c r="E5111" i="1"/>
  <c r="F5111" i="1"/>
  <c r="G5111" i="1"/>
  <c r="H5111" i="1"/>
  <c r="I5111" i="1"/>
  <c r="J5111" i="1"/>
  <c r="K5111" i="1"/>
  <c r="L5111" i="1"/>
  <c r="A5112" i="1"/>
  <c r="B5112" i="1"/>
  <c r="C5112" i="1"/>
  <c r="D5112" i="1"/>
  <c r="E5112" i="1"/>
  <c r="F5112" i="1"/>
  <c r="G5112" i="1"/>
  <c r="H5112" i="1"/>
  <c r="I5112" i="1"/>
  <c r="J5112" i="1"/>
  <c r="K5112" i="1"/>
  <c r="L5112" i="1"/>
  <c r="A5113" i="1"/>
  <c r="B5113" i="1"/>
  <c r="C5113" i="1"/>
  <c r="D5113" i="1"/>
  <c r="E5113" i="1"/>
  <c r="F5113" i="1"/>
  <c r="G5113" i="1"/>
  <c r="H5113" i="1"/>
  <c r="I5113" i="1"/>
  <c r="J5113" i="1"/>
  <c r="K5113" i="1"/>
  <c r="L5113" i="1"/>
  <c r="A5114" i="1"/>
  <c r="B5114" i="1"/>
  <c r="C5114" i="1"/>
  <c r="D5114" i="1"/>
  <c r="E5114" i="1"/>
  <c r="F5114" i="1"/>
  <c r="G5114" i="1"/>
  <c r="H5114" i="1"/>
  <c r="I5114" i="1"/>
  <c r="J5114" i="1"/>
  <c r="K5114" i="1"/>
  <c r="L5114" i="1"/>
  <c r="A5115" i="1"/>
  <c r="B5115" i="1"/>
  <c r="C5115" i="1"/>
  <c r="D5115" i="1"/>
  <c r="E5115" i="1"/>
  <c r="F5115" i="1"/>
  <c r="G5115" i="1"/>
  <c r="H5115" i="1"/>
  <c r="I5115" i="1"/>
  <c r="J5115" i="1"/>
  <c r="K5115" i="1"/>
  <c r="L5115" i="1"/>
  <c r="A5116" i="1"/>
  <c r="B5116" i="1"/>
  <c r="C5116" i="1"/>
  <c r="D5116" i="1"/>
  <c r="E5116" i="1"/>
  <c r="F5116" i="1"/>
  <c r="G5116" i="1"/>
  <c r="H5116" i="1"/>
  <c r="I5116" i="1"/>
  <c r="J5116" i="1"/>
  <c r="K5116" i="1"/>
  <c r="L5116" i="1"/>
  <c r="A5117" i="1"/>
  <c r="B5117" i="1"/>
  <c r="C5117" i="1"/>
  <c r="D5117" i="1"/>
  <c r="E5117" i="1"/>
  <c r="F5117" i="1"/>
  <c r="G5117" i="1"/>
  <c r="H5117" i="1"/>
  <c r="I5117" i="1"/>
  <c r="J5117" i="1"/>
  <c r="K5117" i="1"/>
  <c r="L5117" i="1"/>
  <c r="A5118" i="1"/>
  <c r="B5118" i="1"/>
  <c r="C5118" i="1"/>
  <c r="D5118" i="1"/>
  <c r="E5118" i="1"/>
  <c r="F5118" i="1"/>
  <c r="G5118" i="1"/>
  <c r="H5118" i="1"/>
  <c r="I5118" i="1"/>
  <c r="J5118" i="1"/>
  <c r="K5118" i="1"/>
  <c r="L5118" i="1"/>
  <c r="A5119" i="1"/>
  <c r="B5119" i="1"/>
  <c r="C5119" i="1"/>
  <c r="D5119" i="1"/>
  <c r="E5119" i="1"/>
  <c r="F5119" i="1"/>
  <c r="G5119" i="1"/>
  <c r="H5119" i="1"/>
  <c r="I5119" i="1"/>
  <c r="J5119" i="1"/>
  <c r="K5119" i="1"/>
  <c r="L5119" i="1"/>
  <c r="A5120" i="1"/>
  <c r="B5120" i="1"/>
  <c r="C5120" i="1"/>
  <c r="D5120" i="1"/>
  <c r="E5120" i="1"/>
  <c r="F5120" i="1"/>
  <c r="G5120" i="1"/>
  <c r="H5120" i="1"/>
  <c r="I5120" i="1"/>
  <c r="J5120" i="1"/>
  <c r="K5120" i="1"/>
  <c r="L5120" i="1"/>
  <c r="A5121" i="1"/>
  <c r="B5121" i="1"/>
  <c r="C5121" i="1"/>
  <c r="D5121" i="1"/>
  <c r="E5121" i="1"/>
  <c r="F5121" i="1"/>
  <c r="G5121" i="1"/>
  <c r="H5121" i="1"/>
  <c r="I5121" i="1"/>
  <c r="J5121" i="1"/>
  <c r="K5121" i="1"/>
  <c r="L5121" i="1"/>
  <c r="A5122" i="1"/>
  <c r="B5122" i="1"/>
  <c r="C5122" i="1"/>
  <c r="D5122" i="1"/>
  <c r="E5122" i="1"/>
  <c r="F5122" i="1"/>
  <c r="G5122" i="1"/>
  <c r="H5122" i="1"/>
  <c r="I5122" i="1"/>
  <c r="J5122" i="1"/>
  <c r="K5122" i="1"/>
  <c r="L5122" i="1"/>
  <c r="A5123" i="1"/>
  <c r="B5123" i="1"/>
  <c r="C5123" i="1"/>
  <c r="D5123" i="1"/>
  <c r="E5123" i="1"/>
  <c r="F5123" i="1"/>
  <c r="G5123" i="1"/>
  <c r="H5123" i="1"/>
  <c r="I5123" i="1"/>
  <c r="J5123" i="1"/>
  <c r="K5123" i="1"/>
  <c r="L5123" i="1"/>
  <c r="A5124" i="1"/>
  <c r="B5124" i="1"/>
  <c r="C5124" i="1"/>
  <c r="D5124" i="1"/>
  <c r="E5124" i="1"/>
  <c r="F5124" i="1"/>
  <c r="G5124" i="1"/>
  <c r="H5124" i="1"/>
  <c r="I5124" i="1"/>
  <c r="J5124" i="1"/>
  <c r="K5124" i="1"/>
  <c r="L5124" i="1"/>
  <c r="A5125" i="1"/>
  <c r="B5125" i="1"/>
  <c r="C5125" i="1"/>
  <c r="D5125" i="1"/>
  <c r="E5125" i="1"/>
  <c r="F5125" i="1"/>
  <c r="G5125" i="1"/>
  <c r="H5125" i="1"/>
  <c r="I5125" i="1"/>
  <c r="J5125" i="1"/>
  <c r="K5125" i="1"/>
  <c r="L5125" i="1"/>
  <c r="A5126" i="1"/>
  <c r="B5126" i="1"/>
  <c r="C5126" i="1"/>
  <c r="D5126" i="1"/>
  <c r="E5126" i="1"/>
  <c r="F5126" i="1"/>
  <c r="G5126" i="1"/>
  <c r="H5126" i="1"/>
  <c r="I5126" i="1"/>
  <c r="J5126" i="1"/>
  <c r="K5126" i="1"/>
  <c r="L5126" i="1"/>
  <c r="A5127" i="1"/>
  <c r="B5127" i="1"/>
  <c r="C5127" i="1"/>
  <c r="D5127" i="1"/>
  <c r="E5127" i="1"/>
  <c r="F5127" i="1"/>
  <c r="G5127" i="1"/>
  <c r="H5127" i="1"/>
  <c r="I5127" i="1"/>
  <c r="J5127" i="1"/>
  <c r="K5127" i="1"/>
  <c r="L5127" i="1"/>
  <c r="A5128" i="1"/>
  <c r="B5128" i="1"/>
  <c r="C5128" i="1"/>
  <c r="D5128" i="1"/>
  <c r="E5128" i="1"/>
  <c r="F5128" i="1"/>
  <c r="G5128" i="1"/>
  <c r="H5128" i="1"/>
  <c r="I5128" i="1"/>
  <c r="J5128" i="1"/>
  <c r="K5128" i="1"/>
  <c r="L5128" i="1"/>
  <c r="A5129" i="1"/>
  <c r="B5129" i="1"/>
  <c r="C5129" i="1"/>
  <c r="D5129" i="1"/>
  <c r="E5129" i="1"/>
  <c r="F5129" i="1"/>
  <c r="G5129" i="1"/>
  <c r="H5129" i="1"/>
  <c r="I5129" i="1"/>
  <c r="J5129" i="1"/>
  <c r="K5129" i="1"/>
  <c r="L5129" i="1"/>
  <c r="A5130" i="1"/>
  <c r="B5130" i="1"/>
  <c r="C5130" i="1"/>
  <c r="D5130" i="1"/>
  <c r="E5130" i="1"/>
  <c r="F5130" i="1"/>
  <c r="G5130" i="1"/>
  <c r="H5130" i="1"/>
  <c r="I5130" i="1"/>
  <c r="J5130" i="1"/>
  <c r="K5130" i="1"/>
  <c r="L5130" i="1"/>
  <c r="A5131" i="1"/>
  <c r="B5131" i="1"/>
  <c r="C5131" i="1"/>
  <c r="D5131" i="1"/>
  <c r="E5131" i="1"/>
  <c r="F5131" i="1"/>
  <c r="G5131" i="1"/>
  <c r="H5131" i="1"/>
  <c r="I5131" i="1"/>
  <c r="J5131" i="1"/>
  <c r="K5131" i="1"/>
  <c r="L5131" i="1"/>
  <c r="A5132" i="1"/>
  <c r="B5132" i="1"/>
  <c r="C5132" i="1"/>
  <c r="D5132" i="1"/>
  <c r="E5132" i="1"/>
  <c r="F5132" i="1"/>
  <c r="G5132" i="1"/>
  <c r="H5132" i="1"/>
  <c r="I5132" i="1"/>
  <c r="J5132" i="1"/>
  <c r="K5132" i="1"/>
  <c r="L5132" i="1"/>
  <c r="A5133" i="1"/>
  <c r="B5133" i="1"/>
  <c r="C5133" i="1"/>
  <c r="D5133" i="1"/>
  <c r="E5133" i="1"/>
  <c r="F5133" i="1"/>
  <c r="G5133" i="1"/>
  <c r="H5133" i="1"/>
  <c r="I5133" i="1"/>
  <c r="J5133" i="1"/>
  <c r="K5133" i="1"/>
  <c r="L5133" i="1"/>
  <c r="A5134" i="1"/>
  <c r="B5134" i="1"/>
  <c r="C5134" i="1"/>
  <c r="D5134" i="1"/>
  <c r="E5134" i="1"/>
  <c r="F5134" i="1"/>
  <c r="G5134" i="1"/>
  <c r="H5134" i="1"/>
  <c r="I5134" i="1"/>
  <c r="J5134" i="1"/>
  <c r="K5134" i="1"/>
  <c r="L5134" i="1"/>
  <c r="A5135" i="1"/>
  <c r="B5135" i="1"/>
  <c r="C5135" i="1"/>
  <c r="D5135" i="1"/>
  <c r="E5135" i="1"/>
  <c r="F5135" i="1"/>
  <c r="G5135" i="1"/>
  <c r="H5135" i="1"/>
  <c r="I5135" i="1"/>
  <c r="J5135" i="1"/>
  <c r="K5135" i="1"/>
  <c r="L5135" i="1"/>
  <c r="A5136" i="1"/>
  <c r="B5136" i="1"/>
  <c r="C5136" i="1"/>
  <c r="D5136" i="1"/>
  <c r="E5136" i="1"/>
  <c r="F5136" i="1"/>
  <c r="G5136" i="1"/>
  <c r="H5136" i="1"/>
  <c r="I5136" i="1"/>
  <c r="J5136" i="1"/>
  <c r="K5136" i="1"/>
  <c r="L5136" i="1"/>
  <c r="A5137" i="1"/>
  <c r="B5137" i="1"/>
  <c r="C5137" i="1"/>
  <c r="D5137" i="1"/>
  <c r="E5137" i="1"/>
  <c r="F5137" i="1"/>
  <c r="G5137" i="1"/>
  <c r="H5137" i="1"/>
  <c r="I5137" i="1"/>
  <c r="J5137" i="1"/>
  <c r="K5137" i="1"/>
  <c r="L5137" i="1"/>
  <c r="A5138" i="1"/>
  <c r="B5138" i="1"/>
  <c r="C5138" i="1"/>
  <c r="D5138" i="1"/>
  <c r="E5138" i="1"/>
  <c r="F5138" i="1"/>
  <c r="G5138" i="1"/>
  <c r="H5138" i="1"/>
  <c r="I5138" i="1"/>
  <c r="J5138" i="1"/>
  <c r="K5138" i="1"/>
  <c r="L5138" i="1"/>
  <c r="A5139" i="1"/>
  <c r="B5139" i="1"/>
  <c r="C5139" i="1"/>
  <c r="D5139" i="1"/>
  <c r="E5139" i="1"/>
  <c r="F5139" i="1"/>
  <c r="G5139" i="1"/>
  <c r="H5139" i="1"/>
  <c r="I5139" i="1"/>
  <c r="J5139" i="1"/>
  <c r="K5139" i="1"/>
  <c r="L5139" i="1"/>
  <c r="A5140" i="1"/>
  <c r="B5140" i="1"/>
  <c r="C5140" i="1"/>
  <c r="D5140" i="1"/>
  <c r="E5140" i="1"/>
  <c r="F5140" i="1"/>
  <c r="G5140" i="1"/>
  <c r="H5140" i="1"/>
  <c r="I5140" i="1"/>
  <c r="J5140" i="1"/>
  <c r="K5140" i="1"/>
  <c r="L5140" i="1"/>
  <c r="A5141" i="1"/>
  <c r="B5141" i="1"/>
  <c r="C5141" i="1"/>
  <c r="D5141" i="1"/>
  <c r="E5141" i="1"/>
  <c r="F5141" i="1"/>
  <c r="G5141" i="1"/>
  <c r="H5141" i="1"/>
  <c r="I5141" i="1"/>
  <c r="J5141" i="1"/>
  <c r="K5141" i="1"/>
  <c r="L5141" i="1"/>
  <c r="A5142" i="1"/>
  <c r="B5142" i="1"/>
  <c r="C5142" i="1"/>
  <c r="D5142" i="1"/>
  <c r="E5142" i="1"/>
  <c r="F5142" i="1"/>
  <c r="G5142" i="1"/>
  <c r="H5142" i="1"/>
  <c r="I5142" i="1"/>
  <c r="J5142" i="1"/>
  <c r="K5142" i="1"/>
  <c r="L5142" i="1"/>
  <c r="A5143" i="1"/>
  <c r="B5143" i="1"/>
  <c r="C5143" i="1"/>
  <c r="D5143" i="1"/>
  <c r="E5143" i="1"/>
  <c r="F5143" i="1"/>
  <c r="G5143" i="1"/>
  <c r="H5143" i="1"/>
  <c r="I5143" i="1"/>
  <c r="J5143" i="1"/>
  <c r="K5143" i="1"/>
  <c r="L5143" i="1"/>
  <c r="A5144" i="1"/>
  <c r="B5144" i="1"/>
  <c r="C5144" i="1"/>
  <c r="D5144" i="1"/>
  <c r="E5144" i="1"/>
  <c r="F5144" i="1"/>
  <c r="G5144" i="1"/>
  <c r="H5144" i="1"/>
  <c r="I5144" i="1"/>
  <c r="J5144" i="1"/>
  <c r="K5144" i="1"/>
  <c r="L5144" i="1"/>
  <c r="A5145" i="1"/>
  <c r="B5145" i="1"/>
  <c r="C5145" i="1"/>
  <c r="D5145" i="1"/>
  <c r="E5145" i="1"/>
  <c r="F5145" i="1"/>
  <c r="G5145" i="1"/>
  <c r="H5145" i="1"/>
  <c r="I5145" i="1"/>
  <c r="J5145" i="1"/>
  <c r="K5145" i="1"/>
  <c r="L5145" i="1"/>
  <c r="A5146" i="1"/>
  <c r="B5146" i="1"/>
  <c r="C5146" i="1"/>
  <c r="D5146" i="1"/>
  <c r="E5146" i="1"/>
  <c r="F5146" i="1"/>
  <c r="G5146" i="1"/>
  <c r="H5146" i="1"/>
  <c r="I5146" i="1"/>
  <c r="J5146" i="1"/>
  <c r="K5146" i="1"/>
  <c r="L5146" i="1"/>
  <c r="A5147" i="1"/>
  <c r="B5147" i="1"/>
  <c r="C5147" i="1"/>
  <c r="D5147" i="1"/>
  <c r="E5147" i="1"/>
  <c r="F5147" i="1"/>
  <c r="G5147" i="1"/>
  <c r="H5147" i="1"/>
  <c r="I5147" i="1"/>
  <c r="J5147" i="1"/>
  <c r="K5147" i="1"/>
  <c r="L5147" i="1"/>
  <c r="A5148" i="1"/>
  <c r="B5148" i="1"/>
  <c r="C5148" i="1"/>
  <c r="D5148" i="1"/>
  <c r="E5148" i="1"/>
  <c r="F5148" i="1"/>
  <c r="G5148" i="1"/>
  <c r="H5148" i="1"/>
  <c r="I5148" i="1"/>
  <c r="J5148" i="1"/>
  <c r="K5148" i="1"/>
  <c r="L5148" i="1"/>
  <c r="A5149" i="1"/>
  <c r="B5149" i="1"/>
  <c r="C5149" i="1"/>
  <c r="D5149" i="1"/>
  <c r="E5149" i="1"/>
  <c r="F5149" i="1"/>
  <c r="G5149" i="1"/>
  <c r="H5149" i="1"/>
  <c r="I5149" i="1"/>
  <c r="J5149" i="1"/>
  <c r="K5149" i="1"/>
  <c r="L5149" i="1"/>
  <c r="A5150" i="1"/>
  <c r="B5150" i="1"/>
  <c r="C5150" i="1"/>
  <c r="D5150" i="1"/>
  <c r="E5150" i="1"/>
  <c r="F5150" i="1"/>
  <c r="G5150" i="1"/>
  <c r="H5150" i="1"/>
  <c r="I5150" i="1"/>
  <c r="J5150" i="1"/>
  <c r="K5150" i="1"/>
  <c r="L5150" i="1"/>
  <c r="A5151" i="1"/>
  <c r="B5151" i="1"/>
  <c r="C5151" i="1"/>
  <c r="D5151" i="1"/>
  <c r="E5151" i="1"/>
  <c r="F5151" i="1"/>
  <c r="G5151" i="1"/>
  <c r="H5151" i="1"/>
  <c r="I5151" i="1"/>
  <c r="J5151" i="1"/>
  <c r="K5151" i="1"/>
  <c r="L5151" i="1"/>
  <c r="A5152" i="1"/>
  <c r="B5152" i="1"/>
  <c r="C5152" i="1"/>
  <c r="D5152" i="1"/>
  <c r="E5152" i="1"/>
  <c r="F5152" i="1"/>
  <c r="G5152" i="1"/>
  <c r="H5152" i="1"/>
  <c r="I5152" i="1"/>
  <c r="J5152" i="1"/>
  <c r="K5152" i="1"/>
  <c r="L5152" i="1"/>
  <c r="A5153" i="1"/>
  <c r="B5153" i="1"/>
  <c r="C5153" i="1"/>
  <c r="D5153" i="1"/>
  <c r="E5153" i="1"/>
  <c r="F5153" i="1"/>
  <c r="G5153" i="1"/>
  <c r="H5153" i="1"/>
  <c r="I5153" i="1"/>
  <c r="J5153" i="1"/>
  <c r="K5153" i="1"/>
  <c r="L5153" i="1"/>
  <c r="A5154" i="1"/>
  <c r="B5154" i="1"/>
  <c r="C5154" i="1"/>
  <c r="D5154" i="1"/>
  <c r="E5154" i="1"/>
  <c r="F5154" i="1"/>
  <c r="G5154" i="1"/>
  <c r="H5154" i="1"/>
  <c r="I5154" i="1"/>
  <c r="J5154" i="1"/>
  <c r="K5154" i="1"/>
  <c r="L5154" i="1"/>
  <c r="A5155" i="1"/>
  <c r="B5155" i="1"/>
  <c r="C5155" i="1"/>
  <c r="D5155" i="1"/>
  <c r="E5155" i="1"/>
  <c r="F5155" i="1"/>
  <c r="G5155" i="1"/>
  <c r="H5155" i="1"/>
  <c r="I5155" i="1"/>
  <c r="J5155" i="1"/>
  <c r="K5155" i="1"/>
  <c r="L5155" i="1"/>
  <c r="A5156" i="1"/>
  <c r="B5156" i="1"/>
  <c r="C5156" i="1"/>
  <c r="D5156" i="1"/>
  <c r="E5156" i="1"/>
  <c r="F5156" i="1"/>
  <c r="G5156" i="1"/>
  <c r="H5156" i="1"/>
  <c r="I5156" i="1"/>
  <c r="J5156" i="1"/>
  <c r="K5156" i="1"/>
  <c r="L5156" i="1"/>
  <c r="A5157" i="1"/>
  <c r="B5157" i="1"/>
  <c r="C5157" i="1"/>
  <c r="D5157" i="1"/>
  <c r="E5157" i="1"/>
  <c r="F5157" i="1"/>
  <c r="G5157" i="1"/>
  <c r="H5157" i="1"/>
  <c r="I5157" i="1"/>
  <c r="J5157" i="1"/>
  <c r="K5157" i="1"/>
  <c r="L5157" i="1"/>
  <c r="A5158" i="1"/>
  <c r="B5158" i="1"/>
  <c r="C5158" i="1"/>
  <c r="D5158" i="1"/>
  <c r="E5158" i="1"/>
  <c r="F5158" i="1"/>
  <c r="G5158" i="1"/>
  <c r="H5158" i="1"/>
  <c r="I5158" i="1"/>
  <c r="J5158" i="1"/>
  <c r="K5158" i="1"/>
  <c r="L5158" i="1"/>
  <c r="A5159" i="1"/>
  <c r="B5159" i="1"/>
  <c r="C5159" i="1"/>
  <c r="D5159" i="1"/>
  <c r="E5159" i="1"/>
  <c r="F5159" i="1"/>
  <c r="G5159" i="1"/>
  <c r="H5159" i="1"/>
  <c r="I5159" i="1"/>
  <c r="J5159" i="1"/>
  <c r="K5159" i="1"/>
  <c r="L5159" i="1"/>
  <c r="A5160" i="1"/>
  <c r="B5160" i="1"/>
  <c r="C5160" i="1"/>
  <c r="D5160" i="1"/>
  <c r="E5160" i="1"/>
  <c r="F5160" i="1"/>
  <c r="G5160" i="1"/>
  <c r="H5160" i="1"/>
  <c r="I5160" i="1"/>
  <c r="J5160" i="1"/>
  <c r="K5160" i="1"/>
  <c r="L5160" i="1"/>
  <c r="A5161" i="1"/>
  <c r="B5161" i="1"/>
  <c r="C5161" i="1"/>
  <c r="D5161" i="1"/>
  <c r="E5161" i="1"/>
  <c r="F5161" i="1"/>
  <c r="G5161" i="1"/>
  <c r="H5161" i="1"/>
  <c r="I5161" i="1"/>
  <c r="J5161" i="1"/>
  <c r="K5161" i="1"/>
  <c r="L5161" i="1"/>
  <c r="A5162" i="1"/>
  <c r="B5162" i="1"/>
  <c r="C5162" i="1"/>
  <c r="D5162" i="1"/>
  <c r="E5162" i="1"/>
  <c r="F5162" i="1"/>
  <c r="G5162" i="1"/>
  <c r="H5162" i="1"/>
  <c r="I5162" i="1"/>
  <c r="J5162" i="1"/>
  <c r="K5162" i="1"/>
  <c r="L5162" i="1"/>
  <c r="A5163" i="1"/>
  <c r="B5163" i="1"/>
  <c r="C5163" i="1"/>
  <c r="D5163" i="1"/>
  <c r="E5163" i="1"/>
  <c r="F5163" i="1"/>
  <c r="G5163" i="1"/>
  <c r="H5163" i="1"/>
  <c r="I5163" i="1"/>
  <c r="J5163" i="1"/>
  <c r="K5163" i="1"/>
  <c r="L5163" i="1"/>
  <c r="A5164" i="1"/>
  <c r="B5164" i="1"/>
  <c r="C5164" i="1"/>
  <c r="D5164" i="1"/>
  <c r="E5164" i="1"/>
  <c r="F5164" i="1"/>
  <c r="G5164" i="1"/>
  <c r="H5164" i="1"/>
  <c r="I5164" i="1"/>
  <c r="J5164" i="1"/>
  <c r="K5164" i="1"/>
  <c r="L5164" i="1"/>
  <c r="A5165" i="1"/>
  <c r="B5165" i="1"/>
  <c r="C5165" i="1"/>
  <c r="D5165" i="1"/>
  <c r="E5165" i="1"/>
  <c r="F5165" i="1"/>
  <c r="G5165" i="1"/>
  <c r="H5165" i="1"/>
  <c r="I5165" i="1"/>
  <c r="J5165" i="1"/>
  <c r="K5165" i="1"/>
  <c r="L5165" i="1"/>
  <c r="A5166" i="1"/>
  <c r="B5166" i="1"/>
  <c r="C5166" i="1"/>
  <c r="D5166" i="1"/>
  <c r="E5166" i="1"/>
  <c r="F5166" i="1"/>
  <c r="G5166" i="1"/>
  <c r="H5166" i="1"/>
  <c r="I5166" i="1"/>
  <c r="J5166" i="1"/>
  <c r="K5166" i="1"/>
  <c r="L5166" i="1"/>
  <c r="A5167" i="1"/>
  <c r="B5167" i="1"/>
  <c r="C5167" i="1"/>
  <c r="D5167" i="1"/>
  <c r="E5167" i="1"/>
  <c r="F5167" i="1"/>
  <c r="G5167" i="1"/>
  <c r="H5167" i="1"/>
  <c r="I5167" i="1"/>
  <c r="J5167" i="1"/>
  <c r="K5167" i="1"/>
  <c r="L5167" i="1"/>
  <c r="A5168" i="1"/>
  <c r="B5168" i="1"/>
  <c r="C5168" i="1"/>
  <c r="D5168" i="1"/>
  <c r="E5168" i="1"/>
  <c r="F5168" i="1"/>
  <c r="G5168" i="1"/>
  <c r="H5168" i="1"/>
  <c r="I5168" i="1"/>
  <c r="J5168" i="1"/>
  <c r="K5168" i="1"/>
  <c r="L5168" i="1"/>
  <c r="A5169" i="1"/>
  <c r="B5169" i="1"/>
  <c r="C5169" i="1"/>
  <c r="D5169" i="1"/>
  <c r="E5169" i="1"/>
  <c r="F5169" i="1"/>
  <c r="G5169" i="1"/>
  <c r="H5169" i="1"/>
  <c r="I5169" i="1"/>
  <c r="J5169" i="1"/>
  <c r="K5169" i="1"/>
  <c r="L5169" i="1"/>
  <c r="A5170" i="1"/>
  <c r="B5170" i="1"/>
  <c r="C5170" i="1"/>
  <c r="D5170" i="1"/>
  <c r="E5170" i="1"/>
  <c r="F5170" i="1"/>
  <c r="G5170" i="1"/>
  <c r="H5170" i="1"/>
  <c r="I5170" i="1"/>
  <c r="J5170" i="1"/>
  <c r="K5170" i="1"/>
  <c r="L5170" i="1"/>
  <c r="A5171" i="1"/>
  <c r="B5171" i="1"/>
  <c r="C5171" i="1"/>
  <c r="D5171" i="1"/>
  <c r="E5171" i="1"/>
  <c r="F5171" i="1"/>
  <c r="G5171" i="1"/>
  <c r="H5171" i="1"/>
  <c r="I5171" i="1"/>
  <c r="J5171" i="1"/>
  <c r="K5171" i="1"/>
  <c r="L5171" i="1"/>
  <c r="A5172" i="1"/>
  <c r="B5172" i="1"/>
  <c r="C5172" i="1"/>
  <c r="D5172" i="1"/>
  <c r="E5172" i="1"/>
  <c r="F5172" i="1"/>
  <c r="G5172" i="1"/>
  <c r="H5172" i="1"/>
  <c r="I5172" i="1"/>
  <c r="J5172" i="1"/>
  <c r="K5172" i="1"/>
  <c r="L5172" i="1"/>
  <c r="A5173" i="1"/>
  <c r="B5173" i="1"/>
  <c r="C5173" i="1"/>
  <c r="D5173" i="1"/>
  <c r="E5173" i="1"/>
  <c r="F5173" i="1"/>
  <c r="G5173" i="1"/>
  <c r="H5173" i="1"/>
  <c r="I5173" i="1"/>
  <c r="J5173" i="1"/>
  <c r="K5173" i="1"/>
  <c r="L5173" i="1"/>
  <c r="A5174" i="1"/>
  <c r="B5174" i="1"/>
  <c r="C5174" i="1"/>
  <c r="D5174" i="1"/>
  <c r="E5174" i="1"/>
  <c r="F5174" i="1"/>
  <c r="G5174" i="1"/>
  <c r="H5174" i="1"/>
  <c r="I5174" i="1"/>
  <c r="J5174" i="1"/>
  <c r="K5174" i="1"/>
  <c r="L5174" i="1"/>
  <c r="A5175" i="1"/>
  <c r="B5175" i="1"/>
  <c r="C5175" i="1"/>
  <c r="D5175" i="1"/>
  <c r="E5175" i="1"/>
  <c r="F5175" i="1"/>
  <c r="G5175" i="1"/>
  <c r="H5175" i="1"/>
  <c r="I5175" i="1"/>
  <c r="J5175" i="1"/>
  <c r="K5175" i="1"/>
  <c r="L5175" i="1"/>
  <c r="A5176" i="1"/>
  <c r="B5176" i="1"/>
  <c r="C5176" i="1"/>
  <c r="D5176" i="1"/>
  <c r="E5176" i="1"/>
  <c r="F5176" i="1"/>
  <c r="G5176" i="1"/>
  <c r="H5176" i="1"/>
  <c r="I5176" i="1"/>
  <c r="J5176" i="1"/>
  <c r="K5176" i="1"/>
  <c r="L5176" i="1"/>
  <c r="A5177" i="1"/>
  <c r="B5177" i="1"/>
  <c r="C5177" i="1"/>
  <c r="D5177" i="1"/>
  <c r="E5177" i="1"/>
  <c r="F5177" i="1"/>
  <c r="G5177" i="1"/>
  <c r="H5177" i="1"/>
  <c r="I5177" i="1"/>
  <c r="J5177" i="1"/>
  <c r="K5177" i="1"/>
  <c r="L5177" i="1"/>
  <c r="A5178" i="1"/>
  <c r="B5178" i="1"/>
  <c r="C5178" i="1"/>
  <c r="D5178" i="1"/>
  <c r="E5178" i="1"/>
  <c r="F5178" i="1"/>
  <c r="G5178" i="1"/>
  <c r="H5178" i="1"/>
  <c r="I5178" i="1"/>
  <c r="J5178" i="1"/>
  <c r="K5178" i="1"/>
  <c r="L5178" i="1"/>
  <c r="A5179" i="1"/>
  <c r="B5179" i="1"/>
  <c r="C5179" i="1"/>
  <c r="D5179" i="1"/>
  <c r="E5179" i="1"/>
  <c r="F5179" i="1"/>
  <c r="G5179" i="1"/>
  <c r="H5179" i="1"/>
  <c r="I5179" i="1"/>
  <c r="J5179" i="1"/>
  <c r="K5179" i="1"/>
  <c r="L5179" i="1"/>
  <c r="A5180" i="1"/>
  <c r="B5180" i="1"/>
  <c r="C5180" i="1"/>
  <c r="D5180" i="1"/>
  <c r="E5180" i="1"/>
  <c r="F5180" i="1"/>
  <c r="G5180" i="1"/>
  <c r="H5180" i="1"/>
  <c r="I5180" i="1"/>
  <c r="J5180" i="1"/>
  <c r="K5180" i="1"/>
  <c r="L5180" i="1"/>
  <c r="A5181" i="1"/>
  <c r="B5181" i="1"/>
  <c r="C5181" i="1"/>
  <c r="D5181" i="1"/>
  <c r="E5181" i="1"/>
  <c r="F5181" i="1"/>
  <c r="G5181" i="1"/>
  <c r="H5181" i="1"/>
  <c r="I5181" i="1"/>
  <c r="J5181" i="1"/>
  <c r="K5181" i="1"/>
  <c r="L5181" i="1"/>
  <c r="A5182" i="1"/>
  <c r="B5182" i="1"/>
  <c r="C5182" i="1"/>
  <c r="D5182" i="1"/>
  <c r="E5182" i="1"/>
  <c r="F5182" i="1"/>
  <c r="G5182" i="1"/>
  <c r="H5182" i="1"/>
  <c r="I5182" i="1"/>
  <c r="J5182" i="1"/>
  <c r="K5182" i="1"/>
  <c r="L5182" i="1"/>
  <c r="A5183" i="1"/>
  <c r="B5183" i="1"/>
  <c r="C5183" i="1"/>
  <c r="D5183" i="1"/>
  <c r="E5183" i="1"/>
  <c r="F5183" i="1"/>
  <c r="G5183" i="1"/>
  <c r="H5183" i="1"/>
  <c r="I5183" i="1"/>
  <c r="J5183" i="1"/>
  <c r="K5183" i="1"/>
  <c r="L5183" i="1"/>
  <c r="A5184" i="1"/>
  <c r="B5184" i="1"/>
  <c r="C5184" i="1"/>
  <c r="D5184" i="1"/>
  <c r="E5184" i="1"/>
  <c r="F5184" i="1"/>
  <c r="G5184" i="1"/>
  <c r="H5184" i="1"/>
  <c r="I5184" i="1"/>
  <c r="J5184" i="1"/>
  <c r="K5184" i="1"/>
  <c r="L5184" i="1"/>
  <c r="A5185" i="1"/>
  <c r="B5185" i="1"/>
  <c r="C5185" i="1"/>
  <c r="D5185" i="1"/>
  <c r="E5185" i="1"/>
  <c r="F5185" i="1"/>
  <c r="G5185" i="1"/>
  <c r="H5185" i="1"/>
  <c r="I5185" i="1"/>
  <c r="J5185" i="1"/>
  <c r="K5185" i="1"/>
  <c r="L5185" i="1"/>
  <c r="A5186" i="1"/>
  <c r="B5186" i="1"/>
  <c r="C5186" i="1"/>
  <c r="D5186" i="1"/>
  <c r="E5186" i="1"/>
  <c r="F5186" i="1"/>
  <c r="G5186" i="1"/>
  <c r="H5186" i="1"/>
  <c r="I5186" i="1"/>
  <c r="J5186" i="1"/>
  <c r="K5186" i="1"/>
  <c r="L5186" i="1"/>
  <c r="A5187" i="1"/>
  <c r="B5187" i="1"/>
  <c r="C5187" i="1"/>
  <c r="D5187" i="1"/>
  <c r="E5187" i="1"/>
  <c r="F5187" i="1"/>
  <c r="G5187" i="1"/>
  <c r="H5187" i="1"/>
  <c r="I5187" i="1"/>
  <c r="J5187" i="1"/>
  <c r="K5187" i="1"/>
  <c r="L5187" i="1"/>
  <c r="A5188" i="1"/>
  <c r="B5188" i="1"/>
  <c r="C5188" i="1"/>
  <c r="D5188" i="1"/>
  <c r="E5188" i="1"/>
  <c r="F5188" i="1"/>
  <c r="G5188" i="1"/>
  <c r="H5188" i="1"/>
  <c r="I5188" i="1"/>
  <c r="J5188" i="1"/>
  <c r="K5188" i="1"/>
  <c r="L5188" i="1"/>
  <c r="A5189" i="1"/>
  <c r="B5189" i="1"/>
  <c r="C5189" i="1"/>
  <c r="D5189" i="1"/>
  <c r="E5189" i="1"/>
  <c r="F5189" i="1"/>
  <c r="G5189" i="1"/>
  <c r="H5189" i="1"/>
  <c r="I5189" i="1"/>
  <c r="J5189" i="1"/>
  <c r="K5189" i="1"/>
  <c r="L5189" i="1"/>
  <c r="A5190" i="1"/>
  <c r="B5190" i="1"/>
  <c r="C5190" i="1"/>
  <c r="D5190" i="1"/>
  <c r="E5190" i="1"/>
  <c r="F5190" i="1"/>
  <c r="G5190" i="1"/>
  <c r="H5190" i="1"/>
  <c r="I5190" i="1"/>
  <c r="J5190" i="1"/>
  <c r="K5190" i="1"/>
  <c r="L5190" i="1"/>
  <c r="A5191" i="1"/>
  <c r="B5191" i="1"/>
  <c r="C5191" i="1"/>
  <c r="D5191" i="1"/>
  <c r="E5191" i="1"/>
  <c r="F5191" i="1"/>
  <c r="G5191" i="1"/>
  <c r="H5191" i="1"/>
  <c r="I5191" i="1"/>
  <c r="J5191" i="1"/>
  <c r="K5191" i="1"/>
  <c r="L5191" i="1"/>
  <c r="A5192" i="1"/>
  <c r="B5192" i="1"/>
  <c r="C5192" i="1"/>
  <c r="D5192" i="1"/>
  <c r="E5192" i="1"/>
  <c r="F5192" i="1"/>
  <c r="G5192" i="1"/>
  <c r="H5192" i="1"/>
  <c r="I5192" i="1"/>
  <c r="J5192" i="1"/>
  <c r="K5192" i="1"/>
  <c r="L5192" i="1"/>
  <c r="A5193" i="1"/>
  <c r="B5193" i="1"/>
  <c r="C5193" i="1"/>
  <c r="D5193" i="1"/>
  <c r="E5193" i="1"/>
  <c r="F5193" i="1"/>
  <c r="G5193" i="1"/>
  <c r="H5193" i="1"/>
  <c r="I5193" i="1"/>
  <c r="J5193" i="1"/>
  <c r="K5193" i="1"/>
  <c r="L5193" i="1"/>
  <c r="A5194" i="1"/>
  <c r="B5194" i="1"/>
  <c r="C5194" i="1"/>
  <c r="D5194" i="1"/>
  <c r="E5194" i="1"/>
  <c r="F5194" i="1"/>
  <c r="G5194" i="1"/>
  <c r="H5194" i="1"/>
  <c r="I5194" i="1"/>
  <c r="J5194" i="1"/>
  <c r="K5194" i="1"/>
  <c r="L5194" i="1"/>
  <c r="A5195" i="1"/>
  <c r="B5195" i="1"/>
  <c r="C5195" i="1"/>
  <c r="D5195" i="1"/>
  <c r="E5195" i="1"/>
  <c r="F5195" i="1"/>
  <c r="G5195" i="1"/>
  <c r="H5195" i="1"/>
  <c r="I5195" i="1"/>
  <c r="J5195" i="1"/>
  <c r="K5195" i="1"/>
  <c r="L5195" i="1"/>
  <c r="A5196" i="1"/>
  <c r="B5196" i="1"/>
  <c r="C5196" i="1"/>
  <c r="D5196" i="1"/>
  <c r="E5196" i="1"/>
  <c r="F5196" i="1"/>
  <c r="G5196" i="1"/>
  <c r="H5196" i="1"/>
  <c r="I5196" i="1"/>
  <c r="J5196" i="1"/>
  <c r="K5196" i="1"/>
  <c r="L5196" i="1"/>
  <c r="A5197" i="1"/>
  <c r="B5197" i="1"/>
  <c r="C5197" i="1"/>
  <c r="D5197" i="1"/>
  <c r="E5197" i="1"/>
  <c r="F5197" i="1"/>
  <c r="G5197" i="1"/>
  <c r="H5197" i="1"/>
  <c r="I5197" i="1"/>
  <c r="J5197" i="1"/>
  <c r="K5197" i="1"/>
  <c r="L5197" i="1"/>
  <c r="A5198" i="1"/>
  <c r="B5198" i="1"/>
  <c r="C5198" i="1"/>
  <c r="D5198" i="1"/>
  <c r="E5198" i="1"/>
  <c r="F5198" i="1"/>
  <c r="G5198" i="1"/>
  <c r="H5198" i="1"/>
  <c r="I5198" i="1"/>
  <c r="J5198" i="1"/>
  <c r="K5198" i="1"/>
  <c r="L5198" i="1"/>
  <c r="A5199" i="1"/>
  <c r="B5199" i="1"/>
  <c r="C5199" i="1"/>
  <c r="D5199" i="1"/>
  <c r="E5199" i="1"/>
  <c r="F5199" i="1"/>
  <c r="G5199" i="1"/>
  <c r="H5199" i="1"/>
  <c r="I5199" i="1"/>
  <c r="J5199" i="1"/>
  <c r="K5199" i="1"/>
  <c r="L5199" i="1"/>
  <c r="A5200" i="1"/>
  <c r="B5200" i="1"/>
  <c r="C5200" i="1"/>
  <c r="D5200" i="1"/>
  <c r="E5200" i="1"/>
  <c r="F5200" i="1"/>
  <c r="G5200" i="1"/>
  <c r="H5200" i="1"/>
  <c r="I5200" i="1"/>
  <c r="J5200" i="1"/>
  <c r="K5200" i="1"/>
  <c r="L5200" i="1"/>
  <c r="A5201" i="1"/>
  <c r="B5201" i="1"/>
  <c r="C5201" i="1"/>
  <c r="D5201" i="1"/>
  <c r="E5201" i="1"/>
  <c r="F5201" i="1"/>
  <c r="G5201" i="1"/>
  <c r="H5201" i="1"/>
  <c r="I5201" i="1"/>
  <c r="J5201" i="1"/>
  <c r="K5201" i="1"/>
  <c r="L5201" i="1"/>
  <c r="A5202" i="1"/>
  <c r="B5202" i="1"/>
  <c r="C5202" i="1"/>
  <c r="D5202" i="1"/>
  <c r="E5202" i="1"/>
  <c r="F5202" i="1"/>
  <c r="G5202" i="1"/>
  <c r="H5202" i="1"/>
  <c r="I5202" i="1"/>
  <c r="J5202" i="1"/>
  <c r="K5202" i="1"/>
  <c r="L5202" i="1"/>
  <c r="A5203" i="1"/>
  <c r="B5203" i="1"/>
  <c r="C5203" i="1"/>
  <c r="D5203" i="1"/>
  <c r="E5203" i="1"/>
  <c r="F5203" i="1"/>
  <c r="G5203" i="1"/>
  <c r="H5203" i="1"/>
  <c r="I5203" i="1"/>
  <c r="J5203" i="1"/>
  <c r="K5203" i="1"/>
  <c r="L5203" i="1"/>
  <c r="A5204" i="1"/>
  <c r="B5204" i="1"/>
  <c r="C5204" i="1"/>
  <c r="D5204" i="1"/>
  <c r="E5204" i="1"/>
  <c r="F5204" i="1"/>
  <c r="G5204" i="1"/>
  <c r="H5204" i="1"/>
  <c r="I5204" i="1"/>
  <c r="J5204" i="1"/>
  <c r="K5204" i="1"/>
  <c r="L5204" i="1"/>
  <c r="A5205" i="1"/>
  <c r="B5205" i="1"/>
  <c r="C5205" i="1"/>
  <c r="D5205" i="1"/>
  <c r="E5205" i="1"/>
  <c r="F5205" i="1"/>
  <c r="G5205" i="1"/>
  <c r="H5205" i="1"/>
  <c r="I5205" i="1"/>
  <c r="J5205" i="1"/>
  <c r="K5205" i="1"/>
  <c r="L5205" i="1"/>
  <c r="A5206" i="1"/>
  <c r="B5206" i="1"/>
  <c r="C5206" i="1"/>
  <c r="D5206" i="1"/>
  <c r="E5206" i="1"/>
  <c r="F5206" i="1"/>
  <c r="G5206" i="1"/>
  <c r="H5206" i="1"/>
  <c r="I5206" i="1"/>
  <c r="J5206" i="1"/>
  <c r="K5206" i="1"/>
  <c r="L5206" i="1"/>
  <c r="A5207" i="1"/>
  <c r="B5207" i="1"/>
  <c r="C5207" i="1"/>
  <c r="D5207" i="1"/>
  <c r="E5207" i="1"/>
  <c r="F5207" i="1"/>
  <c r="G5207" i="1"/>
  <c r="H5207" i="1"/>
  <c r="I5207" i="1"/>
  <c r="J5207" i="1"/>
  <c r="K5207" i="1"/>
  <c r="L5207" i="1"/>
  <c r="A5208" i="1"/>
  <c r="B5208" i="1"/>
  <c r="C5208" i="1"/>
  <c r="D5208" i="1"/>
  <c r="E5208" i="1"/>
  <c r="F5208" i="1"/>
  <c r="G5208" i="1"/>
  <c r="H5208" i="1"/>
  <c r="I5208" i="1"/>
  <c r="J5208" i="1"/>
  <c r="K5208" i="1"/>
  <c r="L5208" i="1"/>
  <c r="A5209" i="1"/>
  <c r="B5209" i="1"/>
  <c r="C5209" i="1"/>
  <c r="D5209" i="1"/>
  <c r="E5209" i="1"/>
  <c r="F5209" i="1"/>
  <c r="G5209" i="1"/>
  <c r="H5209" i="1"/>
  <c r="I5209" i="1"/>
  <c r="J5209" i="1"/>
  <c r="K5209" i="1"/>
  <c r="L5209" i="1"/>
  <c r="A5210" i="1"/>
  <c r="B5210" i="1"/>
  <c r="C5210" i="1"/>
  <c r="D5210" i="1"/>
  <c r="E5210" i="1"/>
  <c r="F5210" i="1"/>
  <c r="G5210" i="1"/>
  <c r="H5210" i="1"/>
  <c r="I5210" i="1"/>
  <c r="J5210" i="1"/>
  <c r="K5210" i="1"/>
  <c r="L5210" i="1"/>
  <c r="A5211" i="1"/>
  <c r="B5211" i="1"/>
  <c r="C5211" i="1"/>
  <c r="D5211" i="1"/>
  <c r="E5211" i="1"/>
  <c r="F5211" i="1"/>
  <c r="G5211" i="1"/>
  <c r="H5211" i="1"/>
  <c r="I5211" i="1"/>
  <c r="J5211" i="1"/>
  <c r="K5211" i="1"/>
  <c r="L5211" i="1"/>
  <c r="A5212" i="1"/>
  <c r="B5212" i="1"/>
  <c r="C5212" i="1"/>
  <c r="D5212" i="1"/>
  <c r="E5212" i="1"/>
  <c r="F5212" i="1"/>
  <c r="G5212" i="1"/>
  <c r="H5212" i="1"/>
  <c r="I5212" i="1"/>
  <c r="J5212" i="1"/>
  <c r="K5212" i="1"/>
  <c r="L5212" i="1"/>
  <c r="A5213" i="1"/>
  <c r="B5213" i="1"/>
  <c r="C5213" i="1"/>
  <c r="D5213" i="1"/>
  <c r="E5213" i="1"/>
  <c r="F5213" i="1"/>
  <c r="G5213" i="1"/>
  <c r="H5213" i="1"/>
  <c r="I5213" i="1"/>
  <c r="J5213" i="1"/>
  <c r="K5213" i="1"/>
  <c r="L5213" i="1"/>
  <c r="A5214" i="1"/>
  <c r="B5214" i="1"/>
  <c r="C5214" i="1"/>
  <c r="D5214" i="1"/>
  <c r="E5214" i="1"/>
  <c r="F5214" i="1"/>
  <c r="G5214" i="1"/>
  <c r="H5214" i="1"/>
  <c r="I5214" i="1"/>
  <c r="J5214" i="1"/>
  <c r="K5214" i="1"/>
  <c r="L5214" i="1"/>
  <c r="A5215" i="1"/>
  <c r="B5215" i="1"/>
  <c r="C5215" i="1"/>
  <c r="D5215" i="1"/>
  <c r="E5215" i="1"/>
  <c r="F5215" i="1"/>
  <c r="G5215" i="1"/>
  <c r="H5215" i="1"/>
  <c r="I5215" i="1"/>
  <c r="J5215" i="1"/>
  <c r="K5215" i="1"/>
  <c r="L5215" i="1"/>
  <c r="A5216" i="1"/>
  <c r="B5216" i="1"/>
  <c r="C5216" i="1"/>
  <c r="D5216" i="1"/>
  <c r="E5216" i="1"/>
  <c r="F5216" i="1"/>
  <c r="G5216" i="1"/>
  <c r="H5216" i="1"/>
  <c r="I5216" i="1"/>
  <c r="J5216" i="1"/>
  <c r="K5216" i="1"/>
  <c r="L5216" i="1"/>
  <c r="A5217" i="1"/>
  <c r="B5217" i="1"/>
  <c r="C5217" i="1"/>
  <c r="D5217" i="1"/>
  <c r="E5217" i="1"/>
  <c r="F5217" i="1"/>
  <c r="G5217" i="1"/>
  <c r="H5217" i="1"/>
  <c r="I5217" i="1"/>
  <c r="J5217" i="1"/>
  <c r="K5217" i="1"/>
  <c r="L5217" i="1"/>
  <c r="A5218" i="1"/>
  <c r="B5218" i="1"/>
  <c r="C5218" i="1"/>
  <c r="D5218" i="1"/>
  <c r="E5218" i="1"/>
  <c r="F5218" i="1"/>
  <c r="G5218" i="1"/>
  <c r="H5218" i="1"/>
  <c r="I5218" i="1"/>
  <c r="J5218" i="1"/>
  <c r="K5218" i="1"/>
  <c r="L5218" i="1"/>
  <c r="A5219" i="1"/>
  <c r="B5219" i="1"/>
  <c r="C5219" i="1"/>
  <c r="D5219" i="1"/>
  <c r="E5219" i="1"/>
  <c r="F5219" i="1"/>
  <c r="G5219" i="1"/>
  <c r="H5219" i="1"/>
  <c r="I5219" i="1"/>
  <c r="J5219" i="1"/>
  <c r="K5219" i="1"/>
  <c r="L5219" i="1"/>
  <c r="A5220" i="1"/>
  <c r="B5220" i="1"/>
  <c r="C5220" i="1"/>
  <c r="D5220" i="1"/>
  <c r="E5220" i="1"/>
  <c r="F5220" i="1"/>
  <c r="G5220" i="1"/>
  <c r="H5220" i="1"/>
  <c r="I5220" i="1"/>
  <c r="J5220" i="1"/>
  <c r="K5220" i="1"/>
  <c r="L5220" i="1"/>
  <c r="A5221" i="1"/>
  <c r="B5221" i="1"/>
  <c r="C5221" i="1"/>
  <c r="D5221" i="1"/>
  <c r="E5221" i="1"/>
  <c r="F5221" i="1"/>
  <c r="G5221" i="1"/>
  <c r="H5221" i="1"/>
  <c r="I5221" i="1"/>
  <c r="J5221" i="1"/>
  <c r="K5221" i="1"/>
  <c r="L5221" i="1"/>
  <c r="A5222" i="1"/>
  <c r="B5222" i="1"/>
  <c r="C5222" i="1"/>
  <c r="D5222" i="1"/>
  <c r="E5222" i="1"/>
  <c r="F5222" i="1"/>
  <c r="G5222" i="1"/>
  <c r="H5222" i="1"/>
  <c r="I5222" i="1"/>
  <c r="J5222" i="1"/>
  <c r="K5222" i="1"/>
  <c r="L5222" i="1"/>
  <c r="A5223" i="1"/>
  <c r="B5223" i="1"/>
  <c r="C5223" i="1"/>
  <c r="D5223" i="1"/>
  <c r="E5223" i="1"/>
  <c r="F5223" i="1"/>
  <c r="G5223" i="1"/>
  <c r="H5223" i="1"/>
  <c r="I5223" i="1"/>
  <c r="J5223" i="1"/>
  <c r="K5223" i="1"/>
  <c r="L5223" i="1"/>
  <c r="A5224" i="1"/>
  <c r="B5224" i="1"/>
  <c r="C5224" i="1"/>
  <c r="D5224" i="1"/>
  <c r="E5224" i="1"/>
  <c r="F5224" i="1"/>
  <c r="G5224" i="1"/>
  <c r="H5224" i="1"/>
  <c r="I5224" i="1"/>
  <c r="J5224" i="1"/>
  <c r="K5224" i="1"/>
  <c r="L5224" i="1"/>
  <c r="A5225" i="1"/>
  <c r="B5225" i="1"/>
  <c r="C5225" i="1"/>
  <c r="D5225" i="1"/>
  <c r="E5225" i="1"/>
  <c r="F5225" i="1"/>
  <c r="G5225" i="1"/>
  <c r="H5225" i="1"/>
  <c r="I5225" i="1"/>
  <c r="J5225" i="1"/>
  <c r="K5225" i="1"/>
  <c r="L5225" i="1"/>
  <c r="A5226" i="1"/>
  <c r="B5226" i="1"/>
  <c r="C5226" i="1"/>
  <c r="D5226" i="1"/>
  <c r="E5226" i="1"/>
  <c r="F5226" i="1"/>
  <c r="G5226" i="1"/>
  <c r="H5226" i="1"/>
  <c r="I5226" i="1"/>
  <c r="J5226" i="1"/>
  <c r="K5226" i="1"/>
  <c r="L5226" i="1"/>
  <c r="A5227" i="1"/>
  <c r="B5227" i="1"/>
  <c r="C5227" i="1"/>
  <c r="D5227" i="1"/>
  <c r="E5227" i="1"/>
  <c r="F5227" i="1"/>
  <c r="G5227" i="1"/>
  <c r="H5227" i="1"/>
  <c r="I5227" i="1"/>
  <c r="J5227" i="1"/>
  <c r="K5227" i="1"/>
  <c r="L5227" i="1"/>
  <c r="A5228" i="1"/>
  <c r="B5228" i="1"/>
  <c r="C5228" i="1"/>
  <c r="D5228" i="1"/>
  <c r="E5228" i="1"/>
  <c r="F5228" i="1"/>
  <c r="G5228" i="1"/>
  <c r="H5228" i="1"/>
  <c r="I5228" i="1"/>
  <c r="J5228" i="1"/>
  <c r="K5228" i="1"/>
  <c r="L5228" i="1"/>
  <c r="A5229" i="1"/>
  <c r="B5229" i="1"/>
  <c r="C5229" i="1"/>
  <c r="D5229" i="1"/>
  <c r="E5229" i="1"/>
  <c r="F5229" i="1"/>
  <c r="G5229" i="1"/>
  <c r="H5229" i="1"/>
  <c r="I5229" i="1"/>
  <c r="J5229" i="1"/>
  <c r="K5229" i="1"/>
  <c r="L5229" i="1"/>
  <c r="A5230" i="1"/>
  <c r="B5230" i="1"/>
  <c r="C5230" i="1"/>
  <c r="D5230" i="1"/>
  <c r="E5230" i="1"/>
  <c r="F5230" i="1"/>
  <c r="G5230" i="1"/>
  <c r="H5230" i="1"/>
  <c r="I5230" i="1"/>
  <c r="J5230" i="1"/>
  <c r="K5230" i="1"/>
  <c r="L5230" i="1"/>
  <c r="A5231" i="1"/>
  <c r="B5231" i="1"/>
  <c r="C5231" i="1"/>
  <c r="D5231" i="1"/>
  <c r="E5231" i="1"/>
  <c r="F5231" i="1"/>
  <c r="G5231" i="1"/>
  <c r="H5231" i="1"/>
  <c r="I5231" i="1"/>
  <c r="J5231" i="1"/>
  <c r="K5231" i="1"/>
  <c r="L5231" i="1"/>
  <c r="A5232" i="1"/>
  <c r="B5232" i="1"/>
  <c r="C5232" i="1"/>
  <c r="D5232" i="1"/>
  <c r="E5232" i="1"/>
  <c r="F5232" i="1"/>
  <c r="G5232" i="1"/>
  <c r="H5232" i="1"/>
  <c r="I5232" i="1"/>
  <c r="J5232" i="1"/>
  <c r="K5232" i="1"/>
  <c r="L5232" i="1"/>
  <c r="A5233" i="1"/>
  <c r="B5233" i="1"/>
  <c r="C5233" i="1"/>
  <c r="D5233" i="1"/>
  <c r="E5233" i="1"/>
  <c r="F5233" i="1"/>
  <c r="G5233" i="1"/>
  <c r="H5233" i="1"/>
  <c r="I5233" i="1"/>
  <c r="J5233" i="1"/>
  <c r="K5233" i="1"/>
  <c r="L5233" i="1"/>
  <c r="A5234" i="1"/>
  <c r="B5234" i="1"/>
  <c r="C5234" i="1"/>
  <c r="D5234" i="1"/>
  <c r="E5234" i="1"/>
  <c r="F5234" i="1"/>
  <c r="G5234" i="1"/>
  <c r="H5234" i="1"/>
  <c r="I5234" i="1"/>
  <c r="J5234" i="1"/>
  <c r="K5234" i="1"/>
  <c r="L5234" i="1"/>
  <c r="A5235" i="1"/>
  <c r="B5235" i="1"/>
  <c r="C5235" i="1"/>
  <c r="D5235" i="1"/>
  <c r="E5235" i="1"/>
  <c r="F5235" i="1"/>
  <c r="G5235" i="1"/>
  <c r="H5235" i="1"/>
  <c r="I5235" i="1"/>
  <c r="J5235" i="1"/>
  <c r="K5235" i="1"/>
  <c r="L5235" i="1"/>
  <c r="A5236" i="1"/>
  <c r="B5236" i="1"/>
  <c r="C5236" i="1"/>
  <c r="D5236" i="1"/>
  <c r="E5236" i="1"/>
  <c r="F5236" i="1"/>
  <c r="G5236" i="1"/>
  <c r="H5236" i="1"/>
  <c r="I5236" i="1"/>
  <c r="J5236" i="1"/>
  <c r="K5236" i="1"/>
  <c r="L5236" i="1"/>
  <c r="A5237" i="1"/>
  <c r="B5237" i="1"/>
  <c r="C5237" i="1"/>
  <c r="D5237" i="1"/>
  <c r="E5237" i="1"/>
  <c r="F5237" i="1"/>
  <c r="G5237" i="1"/>
  <c r="H5237" i="1"/>
  <c r="I5237" i="1"/>
  <c r="J5237" i="1"/>
  <c r="K5237" i="1"/>
  <c r="L5237" i="1"/>
  <c r="A5238" i="1"/>
  <c r="B5238" i="1"/>
  <c r="C5238" i="1"/>
  <c r="D5238" i="1"/>
  <c r="E5238" i="1"/>
  <c r="F5238" i="1"/>
  <c r="G5238" i="1"/>
  <c r="H5238" i="1"/>
  <c r="I5238" i="1"/>
  <c r="J5238" i="1"/>
  <c r="K5238" i="1"/>
  <c r="L5238" i="1"/>
  <c r="A5239" i="1"/>
  <c r="B5239" i="1"/>
  <c r="C5239" i="1"/>
  <c r="D5239" i="1"/>
  <c r="E5239" i="1"/>
  <c r="F5239" i="1"/>
  <c r="G5239" i="1"/>
  <c r="H5239" i="1"/>
  <c r="I5239" i="1"/>
  <c r="J5239" i="1"/>
  <c r="K5239" i="1"/>
  <c r="L5239" i="1"/>
  <c r="A5240" i="1"/>
  <c r="B5240" i="1"/>
  <c r="C5240" i="1"/>
  <c r="D5240" i="1"/>
  <c r="E5240" i="1"/>
  <c r="F5240" i="1"/>
  <c r="G5240" i="1"/>
  <c r="H5240" i="1"/>
  <c r="I5240" i="1"/>
  <c r="J5240" i="1"/>
  <c r="K5240" i="1"/>
  <c r="L5240" i="1"/>
  <c r="A5241" i="1"/>
  <c r="B5241" i="1"/>
  <c r="C5241" i="1"/>
  <c r="D5241" i="1"/>
  <c r="E5241" i="1"/>
  <c r="F5241" i="1"/>
  <c r="G5241" i="1"/>
  <c r="H5241" i="1"/>
  <c r="I5241" i="1"/>
  <c r="J5241" i="1"/>
  <c r="K5241" i="1"/>
  <c r="L5241" i="1"/>
  <c r="A5242" i="1"/>
  <c r="B5242" i="1"/>
  <c r="C5242" i="1"/>
  <c r="D5242" i="1"/>
  <c r="E5242" i="1"/>
  <c r="F5242" i="1"/>
  <c r="G5242" i="1"/>
  <c r="H5242" i="1"/>
  <c r="I5242" i="1"/>
  <c r="J5242" i="1"/>
  <c r="K5242" i="1"/>
  <c r="L5242" i="1"/>
  <c r="A5243" i="1"/>
  <c r="B5243" i="1"/>
  <c r="C5243" i="1"/>
  <c r="D5243" i="1"/>
  <c r="E5243" i="1"/>
  <c r="F5243" i="1"/>
  <c r="G5243" i="1"/>
  <c r="H5243" i="1"/>
  <c r="I5243" i="1"/>
  <c r="J5243" i="1"/>
  <c r="K5243" i="1"/>
  <c r="L5243" i="1"/>
  <c r="A5244" i="1"/>
  <c r="B5244" i="1"/>
  <c r="C5244" i="1"/>
  <c r="D5244" i="1"/>
  <c r="E5244" i="1"/>
  <c r="F5244" i="1"/>
  <c r="G5244" i="1"/>
  <c r="H5244" i="1"/>
  <c r="I5244" i="1"/>
  <c r="J5244" i="1"/>
  <c r="K5244" i="1"/>
  <c r="L5244" i="1"/>
  <c r="A5245" i="1"/>
  <c r="B5245" i="1"/>
  <c r="C5245" i="1"/>
  <c r="D5245" i="1"/>
  <c r="E5245" i="1"/>
  <c r="F5245" i="1"/>
  <c r="G5245" i="1"/>
  <c r="H5245" i="1"/>
  <c r="I5245" i="1"/>
  <c r="J5245" i="1"/>
  <c r="K5245" i="1"/>
  <c r="L5245" i="1"/>
  <c r="A5246" i="1"/>
  <c r="B5246" i="1"/>
  <c r="C5246" i="1"/>
  <c r="D5246" i="1"/>
  <c r="E5246" i="1"/>
  <c r="F5246" i="1"/>
  <c r="G5246" i="1"/>
  <c r="H5246" i="1"/>
  <c r="I5246" i="1"/>
  <c r="J5246" i="1"/>
  <c r="K5246" i="1"/>
  <c r="L5246" i="1"/>
  <c r="A5247" i="1"/>
  <c r="B5247" i="1"/>
  <c r="C5247" i="1"/>
  <c r="D5247" i="1"/>
  <c r="E5247" i="1"/>
  <c r="F5247" i="1"/>
  <c r="G5247" i="1"/>
  <c r="H5247" i="1"/>
  <c r="I5247" i="1"/>
  <c r="J5247" i="1"/>
  <c r="K5247" i="1"/>
  <c r="L5247" i="1"/>
  <c r="A5248" i="1"/>
  <c r="B5248" i="1"/>
  <c r="C5248" i="1"/>
  <c r="D5248" i="1"/>
  <c r="E5248" i="1"/>
  <c r="F5248" i="1"/>
  <c r="G5248" i="1"/>
  <c r="H5248" i="1"/>
  <c r="I5248" i="1"/>
  <c r="J5248" i="1"/>
  <c r="K5248" i="1"/>
  <c r="L5248" i="1"/>
  <c r="A5249" i="1"/>
  <c r="B5249" i="1"/>
  <c r="C5249" i="1"/>
  <c r="D5249" i="1"/>
  <c r="E5249" i="1"/>
  <c r="F5249" i="1"/>
  <c r="G5249" i="1"/>
  <c r="H5249" i="1"/>
  <c r="I5249" i="1"/>
  <c r="J5249" i="1"/>
  <c r="K5249" i="1"/>
  <c r="L5249" i="1"/>
  <c r="A5250" i="1"/>
  <c r="B5250" i="1"/>
  <c r="C5250" i="1"/>
  <c r="D5250" i="1"/>
  <c r="E5250" i="1"/>
  <c r="F5250" i="1"/>
  <c r="G5250" i="1"/>
  <c r="H5250" i="1"/>
  <c r="I5250" i="1"/>
  <c r="J5250" i="1"/>
  <c r="K5250" i="1"/>
  <c r="L5250" i="1"/>
  <c r="A5251" i="1"/>
  <c r="B5251" i="1"/>
  <c r="C5251" i="1"/>
  <c r="D5251" i="1"/>
  <c r="E5251" i="1"/>
  <c r="F5251" i="1"/>
  <c r="G5251" i="1"/>
  <c r="H5251" i="1"/>
  <c r="I5251" i="1"/>
  <c r="J5251" i="1"/>
  <c r="K5251" i="1"/>
  <c r="L5251" i="1"/>
  <c r="A5252" i="1"/>
  <c r="B5252" i="1"/>
  <c r="C5252" i="1"/>
  <c r="D5252" i="1"/>
  <c r="E5252" i="1"/>
  <c r="F5252" i="1"/>
  <c r="G5252" i="1"/>
  <c r="H5252" i="1"/>
  <c r="I5252" i="1"/>
  <c r="J5252" i="1"/>
  <c r="K5252" i="1"/>
  <c r="L5252" i="1"/>
  <c r="A5253" i="1"/>
  <c r="B5253" i="1"/>
  <c r="C5253" i="1"/>
  <c r="D5253" i="1"/>
  <c r="E5253" i="1"/>
  <c r="F5253" i="1"/>
  <c r="G5253" i="1"/>
  <c r="H5253" i="1"/>
  <c r="I5253" i="1"/>
  <c r="J5253" i="1"/>
  <c r="K5253" i="1"/>
  <c r="L5253" i="1"/>
  <c r="A5254" i="1"/>
  <c r="B5254" i="1"/>
  <c r="C5254" i="1"/>
  <c r="D5254" i="1"/>
  <c r="E5254" i="1"/>
  <c r="F5254" i="1"/>
  <c r="G5254" i="1"/>
  <c r="H5254" i="1"/>
  <c r="I5254" i="1"/>
  <c r="J5254" i="1"/>
  <c r="K5254" i="1"/>
  <c r="L5254" i="1"/>
  <c r="A5255" i="1"/>
  <c r="B5255" i="1"/>
  <c r="C5255" i="1"/>
  <c r="D5255" i="1"/>
  <c r="E5255" i="1"/>
  <c r="F5255" i="1"/>
  <c r="G5255" i="1"/>
  <c r="H5255" i="1"/>
  <c r="I5255" i="1"/>
  <c r="J5255" i="1"/>
  <c r="K5255" i="1"/>
  <c r="L5255" i="1"/>
  <c r="A5256" i="1"/>
  <c r="B5256" i="1"/>
  <c r="C5256" i="1"/>
  <c r="D5256" i="1"/>
  <c r="E5256" i="1"/>
  <c r="F5256" i="1"/>
  <c r="G5256" i="1"/>
  <c r="H5256" i="1"/>
  <c r="I5256" i="1"/>
  <c r="J5256" i="1"/>
  <c r="K5256" i="1"/>
  <c r="L5256" i="1"/>
  <c r="A5257" i="1"/>
  <c r="B5257" i="1"/>
  <c r="C5257" i="1"/>
  <c r="D5257" i="1"/>
  <c r="E5257" i="1"/>
  <c r="F5257" i="1"/>
  <c r="G5257" i="1"/>
  <c r="H5257" i="1"/>
  <c r="I5257" i="1"/>
  <c r="J5257" i="1"/>
  <c r="K5257" i="1"/>
  <c r="L5257" i="1"/>
  <c r="A5258" i="1"/>
  <c r="B5258" i="1"/>
  <c r="C5258" i="1"/>
  <c r="D5258" i="1"/>
  <c r="E5258" i="1"/>
  <c r="F5258" i="1"/>
  <c r="G5258" i="1"/>
  <c r="H5258" i="1"/>
  <c r="I5258" i="1"/>
  <c r="J5258" i="1"/>
  <c r="K5258" i="1"/>
  <c r="L5258" i="1"/>
  <c r="A5259" i="1"/>
  <c r="B5259" i="1"/>
  <c r="C5259" i="1"/>
  <c r="D5259" i="1"/>
  <c r="E5259" i="1"/>
  <c r="F5259" i="1"/>
  <c r="G5259" i="1"/>
  <c r="H5259" i="1"/>
  <c r="I5259" i="1"/>
  <c r="J5259" i="1"/>
  <c r="K5259" i="1"/>
  <c r="L5259" i="1"/>
  <c r="A5260" i="1"/>
  <c r="B5260" i="1"/>
  <c r="C5260" i="1"/>
  <c r="D5260" i="1"/>
  <c r="E5260" i="1"/>
  <c r="F5260" i="1"/>
  <c r="G5260" i="1"/>
  <c r="H5260" i="1"/>
  <c r="I5260" i="1"/>
  <c r="J5260" i="1"/>
  <c r="K5260" i="1"/>
  <c r="L5260" i="1"/>
  <c r="A5261" i="1"/>
  <c r="B5261" i="1"/>
  <c r="C5261" i="1"/>
  <c r="D5261" i="1"/>
  <c r="E5261" i="1"/>
  <c r="F5261" i="1"/>
  <c r="G5261" i="1"/>
  <c r="H5261" i="1"/>
  <c r="I5261" i="1"/>
  <c r="J5261" i="1"/>
  <c r="K5261" i="1"/>
  <c r="L5261" i="1"/>
  <c r="A5262" i="1"/>
  <c r="B5262" i="1"/>
  <c r="C5262" i="1"/>
  <c r="D5262" i="1"/>
  <c r="E5262" i="1"/>
  <c r="F5262" i="1"/>
  <c r="G5262" i="1"/>
  <c r="H5262" i="1"/>
  <c r="I5262" i="1"/>
  <c r="J5262" i="1"/>
  <c r="K5262" i="1"/>
  <c r="L5262" i="1"/>
  <c r="A5263" i="1"/>
  <c r="B5263" i="1"/>
  <c r="C5263" i="1"/>
  <c r="D5263" i="1"/>
  <c r="E5263" i="1"/>
  <c r="F5263" i="1"/>
  <c r="G5263" i="1"/>
  <c r="H5263" i="1"/>
  <c r="I5263" i="1"/>
  <c r="J5263" i="1"/>
  <c r="K5263" i="1"/>
  <c r="L5263" i="1"/>
  <c r="A5264" i="1"/>
  <c r="B5264" i="1"/>
  <c r="C5264" i="1"/>
  <c r="D5264" i="1"/>
  <c r="E5264" i="1"/>
  <c r="F5264" i="1"/>
  <c r="G5264" i="1"/>
  <c r="H5264" i="1"/>
  <c r="I5264" i="1"/>
  <c r="J5264" i="1"/>
  <c r="K5264" i="1"/>
  <c r="L5264" i="1"/>
  <c r="A5265" i="1"/>
  <c r="B5265" i="1"/>
  <c r="C5265" i="1"/>
  <c r="D5265" i="1"/>
  <c r="E5265" i="1"/>
  <c r="F5265" i="1"/>
  <c r="G5265" i="1"/>
  <c r="H5265" i="1"/>
  <c r="I5265" i="1"/>
  <c r="J5265" i="1"/>
  <c r="K5265" i="1"/>
  <c r="L5265" i="1"/>
  <c r="A5266" i="1"/>
  <c r="B5266" i="1"/>
  <c r="C5266" i="1"/>
  <c r="D5266" i="1"/>
  <c r="E5266" i="1"/>
  <c r="F5266" i="1"/>
  <c r="G5266" i="1"/>
  <c r="H5266" i="1"/>
  <c r="I5266" i="1"/>
  <c r="J5266" i="1"/>
  <c r="K5266" i="1"/>
  <c r="L5266" i="1"/>
  <c r="A5267" i="1"/>
  <c r="B5267" i="1"/>
  <c r="C5267" i="1"/>
  <c r="D5267" i="1"/>
  <c r="E5267" i="1"/>
  <c r="F5267" i="1"/>
  <c r="G5267" i="1"/>
  <c r="H5267" i="1"/>
  <c r="I5267" i="1"/>
  <c r="J5267" i="1"/>
  <c r="K5267" i="1"/>
  <c r="L5267" i="1"/>
  <c r="A5268" i="1"/>
  <c r="B5268" i="1"/>
  <c r="C5268" i="1"/>
  <c r="D5268" i="1"/>
  <c r="E5268" i="1"/>
  <c r="F5268" i="1"/>
  <c r="G5268" i="1"/>
  <c r="H5268" i="1"/>
  <c r="I5268" i="1"/>
  <c r="J5268" i="1"/>
  <c r="K5268" i="1"/>
  <c r="L5268" i="1"/>
  <c r="A5269" i="1"/>
  <c r="B5269" i="1"/>
  <c r="C5269" i="1"/>
  <c r="D5269" i="1"/>
  <c r="E5269" i="1"/>
  <c r="F5269" i="1"/>
  <c r="G5269" i="1"/>
  <c r="H5269" i="1"/>
  <c r="I5269" i="1"/>
  <c r="J5269" i="1"/>
  <c r="K5269" i="1"/>
  <c r="L5269" i="1"/>
  <c r="A5270" i="1"/>
  <c r="B5270" i="1"/>
  <c r="C5270" i="1"/>
  <c r="D5270" i="1"/>
  <c r="E5270" i="1"/>
  <c r="F5270" i="1"/>
  <c r="G5270" i="1"/>
  <c r="H5270" i="1"/>
  <c r="I5270" i="1"/>
  <c r="J5270" i="1"/>
  <c r="K5270" i="1"/>
  <c r="L5270" i="1"/>
  <c r="A5271" i="1"/>
  <c r="B5271" i="1"/>
  <c r="C5271" i="1"/>
  <c r="D5271" i="1"/>
  <c r="E5271" i="1"/>
  <c r="F5271" i="1"/>
  <c r="G5271" i="1"/>
  <c r="H5271" i="1"/>
  <c r="I5271" i="1"/>
  <c r="J5271" i="1"/>
  <c r="K5271" i="1"/>
  <c r="L5271" i="1"/>
  <c r="A5272" i="1"/>
  <c r="B5272" i="1"/>
  <c r="C5272" i="1"/>
  <c r="D5272" i="1"/>
  <c r="E5272" i="1"/>
  <c r="F5272" i="1"/>
  <c r="G5272" i="1"/>
  <c r="H5272" i="1"/>
  <c r="I5272" i="1"/>
  <c r="J5272" i="1"/>
  <c r="K5272" i="1"/>
  <c r="L5272" i="1"/>
  <c r="A5273" i="1"/>
  <c r="B5273" i="1"/>
  <c r="C5273" i="1"/>
  <c r="D5273" i="1"/>
  <c r="E5273" i="1"/>
  <c r="F5273" i="1"/>
  <c r="G5273" i="1"/>
  <c r="H5273" i="1"/>
  <c r="I5273" i="1"/>
  <c r="J5273" i="1"/>
  <c r="K5273" i="1"/>
  <c r="L5273" i="1"/>
  <c r="A5274" i="1"/>
  <c r="B5274" i="1"/>
  <c r="C5274" i="1"/>
  <c r="D5274" i="1"/>
  <c r="E5274" i="1"/>
  <c r="F5274" i="1"/>
  <c r="G5274" i="1"/>
  <c r="H5274" i="1"/>
  <c r="I5274" i="1"/>
  <c r="J5274" i="1"/>
  <c r="K5274" i="1"/>
  <c r="L5274" i="1"/>
  <c r="A5275" i="1"/>
  <c r="B5275" i="1"/>
  <c r="C5275" i="1"/>
  <c r="D5275" i="1"/>
  <c r="E5275" i="1"/>
  <c r="F5275" i="1"/>
  <c r="G5275" i="1"/>
  <c r="H5275" i="1"/>
  <c r="I5275" i="1"/>
  <c r="J5275" i="1"/>
  <c r="K5275" i="1"/>
  <c r="L5275" i="1"/>
  <c r="A5276" i="1"/>
  <c r="B5276" i="1"/>
  <c r="C5276" i="1"/>
  <c r="D5276" i="1"/>
  <c r="E5276" i="1"/>
  <c r="F5276" i="1"/>
  <c r="G5276" i="1"/>
  <c r="H5276" i="1"/>
  <c r="I5276" i="1"/>
  <c r="J5276" i="1"/>
  <c r="K5276" i="1"/>
  <c r="L5276" i="1"/>
  <c r="A5277" i="1"/>
  <c r="B5277" i="1"/>
  <c r="C5277" i="1"/>
  <c r="D5277" i="1"/>
  <c r="E5277" i="1"/>
  <c r="F5277" i="1"/>
  <c r="G5277" i="1"/>
  <c r="H5277" i="1"/>
  <c r="I5277" i="1"/>
  <c r="J5277" i="1"/>
  <c r="K5277" i="1"/>
  <c r="L5277" i="1"/>
  <c r="A5278" i="1"/>
  <c r="B5278" i="1"/>
  <c r="C5278" i="1"/>
  <c r="D5278" i="1"/>
  <c r="E5278" i="1"/>
  <c r="F5278" i="1"/>
  <c r="G5278" i="1"/>
  <c r="H5278" i="1"/>
  <c r="I5278" i="1"/>
  <c r="J5278" i="1"/>
  <c r="K5278" i="1"/>
  <c r="L5278" i="1"/>
  <c r="A5279" i="1"/>
  <c r="B5279" i="1"/>
  <c r="C5279" i="1"/>
  <c r="D5279" i="1"/>
  <c r="E5279" i="1"/>
  <c r="F5279" i="1"/>
  <c r="G5279" i="1"/>
  <c r="H5279" i="1"/>
  <c r="I5279" i="1"/>
  <c r="J5279" i="1"/>
  <c r="K5279" i="1"/>
  <c r="L5279" i="1"/>
  <c r="A5280" i="1"/>
  <c r="B5280" i="1"/>
  <c r="C5280" i="1"/>
  <c r="D5280" i="1"/>
  <c r="E5280" i="1"/>
  <c r="F5280" i="1"/>
  <c r="G5280" i="1"/>
  <c r="H5280" i="1"/>
  <c r="I5280" i="1"/>
  <c r="J5280" i="1"/>
  <c r="K5280" i="1"/>
  <c r="L5280" i="1"/>
  <c r="A5281" i="1"/>
  <c r="B5281" i="1"/>
  <c r="C5281" i="1"/>
  <c r="D5281" i="1"/>
  <c r="E5281" i="1"/>
  <c r="F5281" i="1"/>
  <c r="G5281" i="1"/>
  <c r="H5281" i="1"/>
  <c r="I5281" i="1"/>
  <c r="J5281" i="1"/>
  <c r="K5281" i="1"/>
  <c r="L5281" i="1"/>
  <c r="A5282" i="1"/>
  <c r="B5282" i="1"/>
  <c r="C5282" i="1"/>
  <c r="D5282" i="1"/>
  <c r="E5282" i="1"/>
  <c r="F5282" i="1"/>
  <c r="G5282" i="1"/>
  <c r="H5282" i="1"/>
  <c r="I5282" i="1"/>
  <c r="J5282" i="1"/>
  <c r="K5282" i="1"/>
  <c r="L5282" i="1"/>
  <c r="A5283" i="1"/>
  <c r="B5283" i="1"/>
  <c r="C5283" i="1"/>
  <c r="D5283" i="1"/>
  <c r="E5283" i="1"/>
  <c r="F5283" i="1"/>
  <c r="G5283" i="1"/>
  <c r="H5283" i="1"/>
  <c r="I5283" i="1"/>
  <c r="J5283" i="1"/>
  <c r="K5283" i="1"/>
  <c r="L5283" i="1"/>
  <c r="A5284" i="1"/>
  <c r="B5284" i="1"/>
  <c r="C5284" i="1"/>
  <c r="D5284" i="1"/>
  <c r="E5284" i="1"/>
  <c r="F5284" i="1"/>
  <c r="G5284" i="1"/>
  <c r="H5284" i="1"/>
  <c r="I5284" i="1"/>
  <c r="J5284" i="1"/>
  <c r="K5284" i="1"/>
  <c r="L5284" i="1"/>
  <c r="A5285" i="1"/>
  <c r="B5285" i="1"/>
  <c r="C5285" i="1"/>
  <c r="D5285" i="1"/>
  <c r="E5285" i="1"/>
  <c r="F5285" i="1"/>
  <c r="G5285" i="1"/>
  <c r="H5285" i="1"/>
  <c r="I5285" i="1"/>
  <c r="J5285" i="1"/>
  <c r="K5285" i="1"/>
  <c r="L5285" i="1"/>
  <c r="A5286" i="1"/>
  <c r="B5286" i="1"/>
  <c r="C5286" i="1"/>
  <c r="D5286" i="1"/>
  <c r="E5286" i="1"/>
  <c r="F5286" i="1"/>
  <c r="G5286" i="1"/>
  <c r="H5286" i="1"/>
  <c r="I5286" i="1"/>
  <c r="J5286" i="1"/>
  <c r="K5286" i="1"/>
  <c r="L5286" i="1"/>
  <c r="A5287" i="1"/>
  <c r="B5287" i="1"/>
  <c r="C5287" i="1"/>
  <c r="D5287" i="1"/>
  <c r="E5287" i="1"/>
  <c r="F5287" i="1"/>
  <c r="G5287" i="1"/>
  <c r="H5287" i="1"/>
  <c r="I5287" i="1"/>
  <c r="J5287" i="1"/>
  <c r="K5287" i="1"/>
  <c r="L5287" i="1"/>
  <c r="A5288" i="1"/>
  <c r="B5288" i="1"/>
  <c r="C5288" i="1"/>
  <c r="D5288" i="1"/>
  <c r="E5288" i="1"/>
  <c r="F5288" i="1"/>
  <c r="G5288" i="1"/>
  <c r="H5288" i="1"/>
  <c r="I5288" i="1"/>
  <c r="J5288" i="1"/>
  <c r="K5288" i="1"/>
  <c r="L5288" i="1"/>
  <c r="A5289" i="1"/>
  <c r="B5289" i="1"/>
  <c r="C5289" i="1"/>
  <c r="D5289" i="1"/>
  <c r="E5289" i="1"/>
  <c r="F5289" i="1"/>
  <c r="G5289" i="1"/>
  <c r="H5289" i="1"/>
  <c r="I5289" i="1"/>
  <c r="J5289" i="1"/>
  <c r="K5289" i="1"/>
  <c r="L5289" i="1"/>
  <c r="A5290" i="1"/>
  <c r="B5290" i="1"/>
  <c r="C5290" i="1"/>
  <c r="D5290" i="1"/>
  <c r="E5290" i="1"/>
  <c r="F5290" i="1"/>
  <c r="G5290" i="1"/>
  <c r="H5290" i="1"/>
  <c r="I5290" i="1"/>
  <c r="J5290" i="1"/>
  <c r="K5290" i="1"/>
  <c r="L5290" i="1"/>
  <c r="A5291" i="1"/>
  <c r="B5291" i="1"/>
  <c r="C5291" i="1"/>
  <c r="D5291" i="1"/>
  <c r="E5291" i="1"/>
  <c r="F5291" i="1"/>
  <c r="G5291" i="1"/>
  <c r="H5291" i="1"/>
  <c r="I5291" i="1"/>
  <c r="J5291" i="1"/>
  <c r="K5291" i="1"/>
  <c r="L5291" i="1"/>
  <c r="A5292" i="1"/>
  <c r="B5292" i="1"/>
  <c r="C5292" i="1"/>
  <c r="D5292" i="1"/>
  <c r="E5292" i="1"/>
  <c r="F5292" i="1"/>
  <c r="G5292" i="1"/>
  <c r="H5292" i="1"/>
  <c r="I5292" i="1"/>
  <c r="J5292" i="1"/>
  <c r="K5292" i="1"/>
  <c r="L5292" i="1"/>
  <c r="A5293" i="1"/>
  <c r="B5293" i="1"/>
  <c r="C5293" i="1"/>
  <c r="D5293" i="1"/>
  <c r="E5293" i="1"/>
  <c r="F5293" i="1"/>
  <c r="G5293" i="1"/>
  <c r="H5293" i="1"/>
  <c r="I5293" i="1"/>
  <c r="J5293" i="1"/>
  <c r="K5293" i="1"/>
  <c r="L5293" i="1"/>
  <c r="A5294" i="1"/>
  <c r="B5294" i="1"/>
  <c r="C5294" i="1"/>
  <c r="D5294" i="1"/>
  <c r="E5294" i="1"/>
  <c r="F5294" i="1"/>
  <c r="G5294" i="1"/>
  <c r="H5294" i="1"/>
  <c r="I5294" i="1"/>
  <c r="J5294" i="1"/>
  <c r="K5294" i="1"/>
  <c r="L5294" i="1"/>
  <c r="A5295" i="1"/>
  <c r="B5295" i="1"/>
  <c r="C5295" i="1"/>
  <c r="D5295" i="1"/>
  <c r="E5295" i="1"/>
  <c r="F5295" i="1"/>
  <c r="G5295" i="1"/>
  <c r="H5295" i="1"/>
  <c r="I5295" i="1"/>
  <c r="J5295" i="1"/>
  <c r="K5295" i="1"/>
  <c r="L5295" i="1"/>
  <c r="A5296" i="1"/>
  <c r="B5296" i="1"/>
  <c r="C5296" i="1"/>
  <c r="D5296" i="1"/>
  <c r="E5296" i="1"/>
  <c r="F5296" i="1"/>
  <c r="G5296" i="1"/>
  <c r="H5296" i="1"/>
  <c r="I5296" i="1"/>
  <c r="J5296" i="1"/>
  <c r="K5296" i="1"/>
  <c r="L5296" i="1"/>
  <c r="A5297" i="1"/>
  <c r="B5297" i="1"/>
  <c r="C5297" i="1"/>
  <c r="D5297" i="1"/>
  <c r="E5297" i="1"/>
  <c r="F5297" i="1"/>
  <c r="G5297" i="1"/>
  <c r="H5297" i="1"/>
  <c r="I5297" i="1"/>
  <c r="J5297" i="1"/>
  <c r="K5297" i="1"/>
  <c r="L5297" i="1"/>
  <c r="A5298" i="1"/>
  <c r="B5298" i="1"/>
  <c r="C5298" i="1"/>
  <c r="D5298" i="1"/>
  <c r="E5298" i="1"/>
  <c r="F5298" i="1"/>
  <c r="G5298" i="1"/>
  <c r="H5298" i="1"/>
  <c r="I5298" i="1"/>
  <c r="J5298" i="1"/>
  <c r="K5298" i="1"/>
  <c r="L5298" i="1"/>
  <c r="A5299" i="1"/>
  <c r="B5299" i="1"/>
  <c r="C5299" i="1"/>
  <c r="D5299" i="1"/>
  <c r="E5299" i="1"/>
  <c r="F5299" i="1"/>
  <c r="G5299" i="1"/>
  <c r="H5299" i="1"/>
  <c r="I5299" i="1"/>
  <c r="J5299" i="1"/>
  <c r="K5299" i="1"/>
  <c r="L5299" i="1"/>
  <c r="A5300" i="1"/>
  <c r="B5300" i="1"/>
  <c r="C5300" i="1"/>
  <c r="D5300" i="1"/>
  <c r="E5300" i="1"/>
  <c r="F5300" i="1"/>
  <c r="G5300" i="1"/>
  <c r="H5300" i="1"/>
  <c r="I5300" i="1"/>
  <c r="J5300" i="1"/>
  <c r="K5300" i="1"/>
  <c r="L5300" i="1"/>
  <c r="A5301" i="1"/>
  <c r="B5301" i="1"/>
  <c r="C5301" i="1"/>
  <c r="D5301" i="1"/>
  <c r="E5301" i="1"/>
  <c r="F5301" i="1"/>
  <c r="G5301" i="1"/>
  <c r="H5301" i="1"/>
  <c r="I5301" i="1"/>
  <c r="J5301" i="1"/>
  <c r="K5301" i="1"/>
  <c r="L5301" i="1"/>
  <c r="A5302" i="1"/>
  <c r="B5302" i="1"/>
  <c r="C5302" i="1"/>
  <c r="D5302" i="1"/>
  <c r="E5302" i="1"/>
  <c r="F5302" i="1"/>
  <c r="G5302" i="1"/>
  <c r="H5302" i="1"/>
  <c r="I5302" i="1"/>
  <c r="J5302" i="1"/>
  <c r="K5302" i="1"/>
  <c r="L5302" i="1"/>
  <c r="A5303" i="1"/>
  <c r="B5303" i="1"/>
  <c r="C5303" i="1"/>
  <c r="D5303" i="1"/>
  <c r="E5303" i="1"/>
  <c r="F5303" i="1"/>
  <c r="G5303" i="1"/>
  <c r="H5303" i="1"/>
  <c r="I5303" i="1"/>
  <c r="J5303" i="1"/>
  <c r="K5303" i="1"/>
  <c r="L5303" i="1"/>
  <c r="A5304" i="1"/>
  <c r="B5304" i="1"/>
  <c r="C5304" i="1"/>
  <c r="D5304" i="1"/>
  <c r="E5304" i="1"/>
  <c r="F5304" i="1"/>
  <c r="G5304" i="1"/>
  <c r="H5304" i="1"/>
  <c r="I5304" i="1"/>
  <c r="J5304" i="1"/>
  <c r="K5304" i="1"/>
  <c r="L5304" i="1"/>
  <c r="A5305" i="1"/>
  <c r="B5305" i="1"/>
  <c r="C5305" i="1"/>
  <c r="D5305" i="1"/>
  <c r="E5305" i="1"/>
  <c r="F5305" i="1"/>
  <c r="G5305" i="1"/>
  <c r="H5305" i="1"/>
  <c r="I5305" i="1"/>
  <c r="J5305" i="1"/>
  <c r="K5305" i="1"/>
  <c r="L5305" i="1"/>
  <c r="A5306" i="1"/>
  <c r="B5306" i="1"/>
  <c r="C5306" i="1"/>
  <c r="D5306" i="1"/>
  <c r="E5306" i="1"/>
  <c r="F5306" i="1"/>
  <c r="G5306" i="1"/>
  <c r="H5306" i="1"/>
  <c r="I5306" i="1"/>
  <c r="J5306" i="1"/>
  <c r="K5306" i="1"/>
  <c r="L5306" i="1"/>
  <c r="A5307" i="1"/>
  <c r="B5307" i="1"/>
  <c r="C5307" i="1"/>
  <c r="D5307" i="1"/>
  <c r="E5307" i="1"/>
  <c r="F5307" i="1"/>
  <c r="G5307" i="1"/>
  <c r="H5307" i="1"/>
  <c r="I5307" i="1"/>
  <c r="J5307" i="1"/>
  <c r="K5307" i="1"/>
  <c r="L5307" i="1"/>
  <c r="A5308" i="1"/>
  <c r="B5308" i="1"/>
  <c r="C5308" i="1"/>
  <c r="D5308" i="1"/>
  <c r="E5308" i="1"/>
  <c r="F5308" i="1"/>
  <c r="G5308" i="1"/>
  <c r="H5308" i="1"/>
  <c r="I5308" i="1"/>
  <c r="J5308" i="1"/>
  <c r="K5308" i="1"/>
  <c r="L5308" i="1"/>
  <c r="A5309" i="1"/>
  <c r="B5309" i="1"/>
  <c r="C5309" i="1"/>
  <c r="D5309" i="1"/>
  <c r="E5309" i="1"/>
  <c r="F5309" i="1"/>
  <c r="G5309" i="1"/>
  <c r="H5309" i="1"/>
  <c r="I5309" i="1"/>
  <c r="J5309" i="1"/>
  <c r="K5309" i="1"/>
  <c r="L5309" i="1"/>
  <c r="A5310" i="1"/>
  <c r="B5310" i="1"/>
  <c r="C5310" i="1"/>
  <c r="D5310" i="1"/>
  <c r="E5310" i="1"/>
  <c r="F5310" i="1"/>
  <c r="G5310" i="1"/>
  <c r="H5310" i="1"/>
  <c r="I5310" i="1"/>
  <c r="J5310" i="1"/>
  <c r="K5310" i="1"/>
  <c r="L5310" i="1"/>
  <c r="A5311" i="1"/>
  <c r="B5311" i="1"/>
  <c r="C5311" i="1"/>
  <c r="D5311" i="1"/>
  <c r="E5311" i="1"/>
  <c r="F5311" i="1"/>
  <c r="G5311" i="1"/>
  <c r="H5311" i="1"/>
  <c r="I5311" i="1"/>
  <c r="J5311" i="1"/>
  <c r="K5311" i="1"/>
  <c r="L5311" i="1"/>
  <c r="A5312" i="1"/>
  <c r="B5312" i="1"/>
  <c r="C5312" i="1"/>
  <c r="D5312" i="1"/>
  <c r="E5312" i="1"/>
  <c r="F5312" i="1"/>
  <c r="G5312" i="1"/>
  <c r="H5312" i="1"/>
  <c r="I5312" i="1"/>
  <c r="J5312" i="1"/>
  <c r="K5312" i="1"/>
  <c r="L5312" i="1"/>
  <c r="A5313" i="1"/>
  <c r="B5313" i="1"/>
  <c r="C5313" i="1"/>
  <c r="D5313" i="1"/>
  <c r="E5313" i="1"/>
  <c r="F5313" i="1"/>
  <c r="G5313" i="1"/>
  <c r="H5313" i="1"/>
  <c r="I5313" i="1"/>
  <c r="J5313" i="1"/>
  <c r="K5313" i="1"/>
  <c r="L5313" i="1"/>
  <c r="A5314" i="1"/>
  <c r="B5314" i="1"/>
  <c r="C5314" i="1"/>
  <c r="D5314" i="1"/>
  <c r="E5314" i="1"/>
  <c r="F5314" i="1"/>
  <c r="G5314" i="1"/>
  <c r="H5314" i="1"/>
  <c r="I5314" i="1"/>
  <c r="J5314" i="1"/>
  <c r="K5314" i="1"/>
  <c r="L5314" i="1"/>
  <c r="A5315" i="1"/>
  <c r="B5315" i="1"/>
  <c r="C5315" i="1"/>
  <c r="D5315" i="1"/>
  <c r="E5315" i="1"/>
  <c r="F5315" i="1"/>
  <c r="G5315" i="1"/>
  <c r="H5315" i="1"/>
  <c r="I5315" i="1"/>
  <c r="J5315" i="1"/>
  <c r="K5315" i="1"/>
  <c r="L5315" i="1"/>
  <c r="A5316" i="1"/>
  <c r="B5316" i="1"/>
  <c r="C5316" i="1"/>
  <c r="D5316" i="1"/>
  <c r="E5316" i="1"/>
  <c r="F5316" i="1"/>
  <c r="G5316" i="1"/>
  <c r="H5316" i="1"/>
  <c r="I5316" i="1"/>
  <c r="J5316" i="1"/>
  <c r="K5316" i="1"/>
  <c r="L5316" i="1"/>
  <c r="A5317" i="1"/>
  <c r="B5317" i="1"/>
  <c r="C5317" i="1"/>
  <c r="D5317" i="1"/>
  <c r="E5317" i="1"/>
  <c r="F5317" i="1"/>
  <c r="G5317" i="1"/>
  <c r="H5317" i="1"/>
  <c r="I5317" i="1"/>
  <c r="J5317" i="1"/>
  <c r="K5317" i="1"/>
  <c r="L5317" i="1"/>
  <c r="A5318" i="1"/>
  <c r="B5318" i="1"/>
  <c r="C5318" i="1"/>
  <c r="D5318" i="1"/>
  <c r="E5318" i="1"/>
  <c r="F5318" i="1"/>
  <c r="G5318" i="1"/>
  <c r="H5318" i="1"/>
  <c r="I5318" i="1"/>
  <c r="J5318" i="1"/>
  <c r="K5318" i="1"/>
  <c r="L5318" i="1"/>
  <c r="A5319" i="1"/>
  <c r="B5319" i="1"/>
  <c r="C5319" i="1"/>
  <c r="D5319" i="1"/>
  <c r="E5319" i="1"/>
  <c r="F5319" i="1"/>
  <c r="G5319" i="1"/>
  <c r="H5319" i="1"/>
  <c r="I5319" i="1"/>
  <c r="J5319" i="1"/>
  <c r="K5319" i="1"/>
  <c r="L5319" i="1"/>
  <c r="A5320" i="1"/>
  <c r="B5320" i="1"/>
  <c r="C5320" i="1"/>
  <c r="D5320" i="1"/>
  <c r="E5320" i="1"/>
  <c r="F5320" i="1"/>
  <c r="G5320" i="1"/>
  <c r="H5320" i="1"/>
  <c r="I5320" i="1"/>
  <c r="J5320" i="1"/>
  <c r="K5320" i="1"/>
  <c r="L5320" i="1"/>
  <c r="A5321" i="1"/>
  <c r="B5321" i="1"/>
  <c r="C5321" i="1"/>
  <c r="D5321" i="1"/>
  <c r="E5321" i="1"/>
  <c r="F5321" i="1"/>
  <c r="G5321" i="1"/>
  <c r="H5321" i="1"/>
  <c r="I5321" i="1"/>
  <c r="J5321" i="1"/>
  <c r="K5321" i="1"/>
  <c r="L5321" i="1"/>
  <c r="A5322" i="1"/>
  <c r="B5322" i="1"/>
  <c r="C5322" i="1"/>
  <c r="D5322" i="1"/>
  <c r="E5322" i="1"/>
  <c r="F5322" i="1"/>
  <c r="G5322" i="1"/>
  <c r="H5322" i="1"/>
  <c r="I5322" i="1"/>
  <c r="J5322" i="1"/>
  <c r="K5322" i="1"/>
  <c r="L5322" i="1"/>
  <c r="A5323" i="1"/>
  <c r="B5323" i="1"/>
  <c r="C5323" i="1"/>
  <c r="D5323" i="1"/>
  <c r="E5323" i="1"/>
  <c r="F5323" i="1"/>
  <c r="G5323" i="1"/>
  <c r="H5323" i="1"/>
  <c r="I5323" i="1"/>
  <c r="J5323" i="1"/>
  <c r="K5323" i="1"/>
  <c r="L5323" i="1"/>
  <c r="A5324" i="1"/>
  <c r="B5324" i="1"/>
  <c r="C5324" i="1"/>
  <c r="D5324" i="1"/>
  <c r="E5324" i="1"/>
  <c r="F5324" i="1"/>
  <c r="G5324" i="1"/>
  <c r="H5324" i="1"/>
  <c r="I5324" i="1"/>
  <c r="J5324" i="1"/>
  <c r="K5324" i="1"/>
  <c r="L5324" i="1"/>
  <c r="A5325" i="1"/>
  <c r="B5325" i="1"/>
  <c r="C5325" i="1"/>
  <c r="D5325" i="1"/>
  <c r="E5325" i="1"/>
  <c r="F5325" i="1"/>
  <c r="G5325" i="1"/>
  <c r="H5325" i="1"/>
  <c r="I5325" i="1"/>
  <c r="J5325" i="1"/>
  <c r="K5325" i="1"/>
  <c r="L5325" i="1"/>
  <c r="A5326" i="1"/>
  <c r="B5326" i="1"/>
  <c r="C5326" i="1"/>
  <c r="D5326" i="1"/>
  <c r="E5326" i="1"/>
  <c r="F5326" i="1"/>
  <c r="G5326" i="1"/>
  <c r="H5326" i="1"/>
  <c r="I5326" i="1"/>
  <c r="J5326" i="1"/>
  <c r="K5326" i="1"/>
  <c r="L5326" i="1"/>
  <c r="A5327" i="1"/>
  <c r="B5327" i="1"/>
  <c r="C5327" i="1"/>
  <c r="D5327" i="1"/>
  <c r="E5327" i="1"/>
  <c r="F5327" i="1"/>
  <c r="G5327" i="1"/>
  <c r="H5327" i="1"/>
  <c r="I5327" i="1"/>
  <c r="J5327" i="1"/>
  <c r="K5327" i="1"/>
  <c r="L5327" i="1"/>
  <c r="A5328" i="1"/>
  <c r="B5328" i="1"/>
  <c r="C5328" i="1"/>
  <c r="D5328" i="1"/>
  <c r="E5328" i="1"/>
  <c r="F5328" i="1"/>
  <c r="G5328" i="1"/>
  <c r="H5328" i="1"/>
  <c r="I5328" i="1"/>
  <c r="J5328" i="1"/>
  <c r="K5328" i="1"/>
  <c r="L5328" i="1"/>
  <c r="A5329" i="1"/>
  <c r="B5329" i="1"/>
  <c r="C5329" i="1"/>
  <c r="D5329" i="1"/>
  <c r="E5329" i="1"/>
  <c r="F5329" i="1"/>
  <c r="G5329" i="1"/>
  <c r="H5329" i="1"/>
  <c r="I5329" i="1"/>
  <c r="J5329" i="1"/>
  <c r="K5329" i="1"/>
  <c r="L5329" i="1"/>
  <c r="A5330" i="1"/>
  <c r="B5330" i="1"/>
  <c r="C5330" i="1"/>
  <c r="D5330" i="1"/>
  <c r="E5330" i="1"/>
  <c r="F5330" i="1"/>
  <c r="G5330" i="1"/>
  <c r="H5330" i="1"/>
  <c r="I5330" i="1"/>
  <c r="J5330" i="1"/>
  <c r="K5330" i="1"/>
  <c r="L5330" i="1"/>
  <c r="A5331" i="1"/>
  <c r="B5331" i="1"/>
  <c r="C5331" i="1"/>
  <c r="D5331" i="1"/>
  <c r="E5331" i="1"/>
  <c r="F5331" i="1"/>
  <c r="G5331" i="1"/>
  <c r="H5331" i="1"/>
  <c r="I5331" i="1"/>
  <c r="J5331" i="1"/>
  <c r="K5331" i="1"/>
  <c r="L5331" i="1"/>
  <c r="A5332" i="1"/>
  <c r="B5332" i="1"/>
  <c r="C5332" i="1"/>
  <c r="D5332" i="1"/>
  <c r="E5332" i="1"/>
  <c r="F5332" i="1"/>
  <c r="G5332" i="1"/>
  <c r="H5332" i="1"/>
  <c r="I5332" i="1"/>
  <c r="J5332" i="1"/>
  <c r="K5332" i="1"/>
  <c r="L5332" i="1"/>
  <c r="A5333" i="1"/>
  <c r="B5333" i="1"/>
  <c r="C5333" i="1"/>
  <c r="D5333" i="1"/>
  <c r="E5333" i="1"/>
  <c r="F5333" i="1"/>
  <c r="G5333" i="1"/>
  <c r="H5333" i="1"/>
  <c r="I5333" i="1"/>
  <c r="J5333" i="1"/>
  <c r="K5333" i="1"/>
  <c r="L5333" i="1"/>
  <c r="A5334" i="1"/>
  <c r="B5334" i="1"/>
  <c r="C5334" i="1"/>
  <c r="D5334" i="1"/>
  <c r="E5334" i="1"/>
  <c r="F5334" i="1"/>
  <c r="G5334" i="1"/>
  <c r="H5334" i="1"/>
  <c r="I5334" i="1"/>
  <c r="J5334" i="1"/>
  <c r="K5334" i="1"/>
  <c r="L5334" i="1"/>
  <c r="A5335" i="1"/>
  <c r="B5335" i="1"/>
  <c r="C5335" i="1"/>
  <c r="D5335" i="1"/>
  <c r="E5335" i="1"/>
  <c r="F5335" i="1"/>
  <c r="G5335" i="1"/>
  <c r="H5335" i="1"/>
  <c r="I5335" i="1"/>
  <c r="J5335" i="1"/>
  <c r="K5335" i="1"/>
  <c r="L5335" i="1"/>
  <c r="A5336" i="1"/>
  <c r="B5336" i="1"/>
  <c r="C5336" i="1"/>
  <c r="D5336" i="1"/>
  <c r="E5336" i="1"/>
  <c r="F5336" i="1"/>
  <c r="G5336" i="1"/>
  <c r="H5336" i="1"/>
  <c r="I5336" i="1"/>
  <c r="J5336" i="1"/>
  <c r="K5336" i="1"/>
  <c r="L5336" i="1"/>
  <c r="A5337" i="1"/>
  <c r="B5337" i="1"/>
  <c r="C5337" i="1"/>
  <c r="D5337" i="1"/>
  <c r="E5337" i="1"/>
  <c r="F5337" i="1"/>
  <c r="G5337" i="1"/>
  <c r="H5337" i="1"/>
  <c r="I5337" i="1"/>
  <c r="J5337" i="1"/>
  <c r="K5337" i="1"/>
  <c r="L5337" i="1"/>
  <c r="A5338" i="1"/>
  <c r="B5338" i="1"/>
  <c r="C5338" i="1"/>
  <c r="D5338" i="1"/>
  <c r="E5338" i="1"/>
  <c r="F5338" i="1"/>
  <c r="G5338" i="1"/>
  <c r="H5338" i="1"/>
  <c r="I5338" i="1"/>
  <c r="J5338" i="1"/>
  <c r="K5338" i="1"/>
  <c r="L5338" i="1"/>
  <c r="A5339" i="1"/>
  <c r="B5339" i="1"/>
  <c r="C5339" i="1"/>
  <c r="D5339" i="1"/>
  <c r="E5339" i="1"/>
  <c r="F5339" i="1"/>
  <c r="G5339" i="1"/>
  <c r="H5339" i="1"/>
  <c r="I5339" i="1"/>
  <c r="J5339" i="1"/>
  <c r="K5339" i="1"/>
  <c r="L5339" i="1"/>
  <c r="A5340" i="1"/>
  <c r="B5340" i="1"/>
  <c r="C5340" i="1"/>
  <c r="D5340" i="1"/>
  <c r="E5340" i="1"/>
  <c r="F5340" i="1"/>
  <c r="G5340" i="1"/>
  <c r="H5340" i="1"/>
  <c r="I5340" i="1"/>
  <c r="J5340" i="1"/>
  <c r="K5340" i="1"/>
  <c r="L5340" i="1"/>
  <c r="A5341" i="1"/>
  <c r="B5341" i="1"/>
  <c r="C5341" i="1"/>
  <c r="D5341" i="1"/>
  <c r="E5341" i="1"/>
  <c r="F5341" i="1"/>
  <c r="G5341" i="1"/>
  <c r="H5341" i="1"/>
  <c r="I5341" i="1"/>
  <c r="J5341" i="1"/>
  <c r="K5341" i="1"/>
  <c r="L5341" i="1"/>
  <c r="A5342" i="1"/>
  <c r="B5342" i="1"/>
  <c r="C5342" i="1"/>
  <c r="D5342" i="1"/>
  <c r="E5342" i="1"/>
  <c r="F5342" i="1"/>
  <c r="G5342" i="1"/>
  <c r="H5342" i="1"/>
  <c r="I5342" i="1"/>
  <c r="J5342" i="1"/>
  <c r="K5342" i="1"/>
  <c r="L5342" i="1"/>
  <c r="A5343" i="1"/>
  <c r="B5343" i="1"/>
  <c r="C5343" i="1"/>
  <c r="D5343" i="1"/>
  <c r="E5343" i="1"/>
  <c r="F5343" i="1"/>
  <c r="G5343" i="1"/>
  <c r="H5343" i="1"/>
  <c r="I5343" i="1"/>
  <c r="J5343" i="1"/>
  <c r="K5343" i="1"/>
  <c r="L5343" i="1"/>
  <c r="A5344" i="1"/>
  <c r="B5344" i="1"/>
  <c r="C5344" i="1"/>
  <c r="D5344" i="1"/>
  <c r="E5344" i="1"/>
  <c r="F5344" i="1"/>
  <c r="G5344" i="1"/>
  <c r="H5344" i="1"/>
  <c r="I5344" i="1"/>
  <c r="J5344" i="1"/>
  <c r="K5344" i="1"/>
  <c r="L5344" i="1"/>
  <c r="A5345" i="1"/>
  <c r="B5345" i="1"/>
  <c r="C5345" i="1"/>
  <c r="D5345" i="1"/>
  <c r="E5345" i="1"/>
  <c r="F5345" i="1"/>
  <c r="G5345" i="1"/>
  <c r="H5345" i="1"/>
  <c r="I5345" i="1"/>
  <c r="J5345" i="1"/>
  <c r="K5345" i="1"/>
  <c r="L5345" i="1"/>
  <c r="A5346" i="1"/>
  <c r="B5346" i="1"/>
  <c r="C5346" i="1"/>
  <c r="D5346" i="1"/>
  <c r="E5346" i="1"/>
  <c r="F5346" i="1"/>
  <c r="G5346" i="1"/>
  <c r="H5346" i="1"/>
  <c r="I5346" i="1"/>
  <c r="J5346" i="1"/>
  <c r="K5346" i="1"/>
  <c r="L5346" i="1"/>
  <c r="A5347" i="1"/>
  <c r="B5347" i="1"/>
  <c r="C5347" i="1"/>
  <c r="D5347" i="1"/>
  <c r="E5347" i="1"/>
  <c r="F5347" i="1"/>
  <c r="G5347" i="1"/>
  <c r="H5347" i="1"/>
  <c r="I5347" i="1"/>
  <c r="J5347" i="1"/>
  <c r="K5347" i="1"/>
  <c r="L5347" i="1"/>
  <c r="A5348" i="1"/>
  <c r="B5348" i="1"/>
  <c r="C5348" i="1"/>
  <c r="D5348" i="1"/>
  <c r="E5348" i="1"/>
  <c r="F5348" i="1"/>
  <c r="G5348" i="1"/>
  <c r="H5348" i="1"/>
  <c r="I5348" i="1"/>
  <c r="J5348" i="1"/>
  <c r="K5348" i="1"/>
  <c r="L5348" i="1"/>
  <c r="A5349" i="1"/>
  <c r="B5349" i="1"/>
  <c r="C5349" i="1"/>
  <c r="D5349" i="1"/>
  <c r="E5349" i="1"/>
  <c r="F5349" i="1"/>
  <c r="G5349" i="1"/>
  <c r="H5349" i="1"/>
  <c r="I5349" i="1"/>
  <c r="J5349" i="1"/>
  <c r="K5349" i="1"/>
  <c r="L5349" i="1"/>
  <c r="A5350" i="1"/>
  <c r="B5350" i="1"/>
  <c r="C5350" i="1"/>
  <c r="D5350" i="1"/>
  <c r="E5350" i="1"/>
  <c r="F5350" i="1"/>
  <c r="G5350" i="1"/>
  <c r="H5350" i="1"/>
  <c r="I5350" i="1"/>
  <c r="J5350" i="1"/>
  <c r="K5350" i="1"/>
  <c r="L5350" i="1"/>
  <c r="A5351" i="1"/>
  <c r="B5351" i="1"/>
  <c r="C5351" i="1"/>
  <c r="D5351" i="1"/>
  <c r="E5351" i="1"/>
  <c r="F5351" i="1"/>
  <c r="G5351" i="1"/>
  <c r="H5351" i="1"/>
  <c r="I5351" i="1"/>
  <c r="J5351" i="1"/>
  <c r="K5351" i="1"/>
  <c r="L5351" i="1"/>
  <c r="A5352" i="1"/>
  <c r="B5352" i="1"/>
  <c r="C5352" i="1"/>
  <c r="D5352" i="1"/>
  <c r="E5352" i="1"/>
  <c r="F5352" i="1"/>
  <c r="G5352" i="1"/>
  <c r="H5352" i="1"/>
  <c r="I5352" i="1"/>
  <c r="J5352" i="1"/>
  <c r="K5352" i="1"/>
  <c r="L5352" i="1"/>
  <c r="A5353" i="1"/>
  <c r="B5353" i="1"/>
  <c r="C5353" i="1"/>
  <c r="D5353" i="1"/>
  <c r="E5353" i="1"/>
  <c r="F5353" i="1"/>
  <c r="G5353" i="1"/>
  <c r="H5353" i="1"/>
  <c r="I5353" i="1"/>
  <c r="J5353" i="1"/>
  <c r="K5353" i="1"/>
  <c r="L5353" i="1"/>
  <c r="A5354" i="1"/>
  <c r="B5354" i="1"/>
  <c r="C5354" i="1"/>
  <c r="D5354" i="1"/>
  <c r="E5354" i="1"/>
  <c r="F5354" i="1"/>
  <c r="G5354" i="1"/>
  <c r="H5354" i="1"/>
  <c r="I5354" i="1"/>
  <c r="J5354" i="1"/>
  <c r="K5354" i="1"/>
  <c r="L5354" i="1"/>
  <c r="A5355" i="1"/>
  <c r="B5355" i="1"/>
  <c r="C5355" i="1"/>
  <c r="D5355" i="1"/>
  <c r="E5355" i="1"/>
  <c r="F5355" i="1"/>
  <c r="G5355" i="1"/>
  <c r="H5355" i="1"/>
  <c r="I5355" i="1"/>
  <c r="J5355" i="1"/>
  <c r="K5355" i="1"/>
  <c r="L5355" i="1"/>
  <c r="A5356" i="1"/>
  <c r="B5356" i="1"/>
  <c r="C5356" i="1"/>
  <c r="D5356" i="1"/>
  <c r="E5356" i="1"/>
  <c r="F5356" i="1"/>
  <c r="G5356" i="1"/>
  <c r="H5356" i="1"/>
  <c r="I5356" i="1"/>
  <c r="J5356" i="1"/>
  <c r="K5356" i="1"/>
  <c r="L5356" i="1"/>
  <c r="A5357" i="1"/>
  <c r="B5357" i="1"/>
  <c r="C5357" i="1"/>
  <c r="D5357" i="1"/>
  <c r="E5357" i="1"/>
  <c r="F5357" i="1"/>
  <c r="G5357" i="1"/>
  <c r="H5357" i="1"/>
  <c r="I5357" i="1"/>
  <c r="J5357" i="1"/>
  <c r="K5357" i="1"/>
  <c r="L5357" i="1"/>
  <c r="A5358" i="1"/>
  <c r="B5358" i="1"/>
  <c r="C5358" i="1"/>
  <c r="D5358" i="1"/>
  <c r="E5358" i="1"/>
  <c r="F5358" i="1"/>
  <c r="G5358" i="1"/>
  <c r="H5358" i="1"/>
  <c r="I5358" i="1"/>
  <c r="J5358" i="1"/>
  <c r="K5358" i="1"/>
  <c r="L5358" i="1"/>
  <c r="A5359" i="1"/>
  <c r="B5359" i="1"/>
  <c r="C5359" i="1"/>
  <c r="D5359" i="1"/>
  <c r="E5359" i="1"/>
  <c r="F5359" i="1"/>
  <c r="G5359" i="1"/>
  <c r="H5359" i="1"/>
  <c r="I5359" i="1"/>
  <c r="J5359" i="1"/>
  <c r="K5359" i="1"/>
  <c r="L5359" i="1"/>
  <c r="A5360" i="1"/>
  <c r="B5360" i="1"/>
  <c r="C5360" i="1"/>
  <c r="D5360" i="1"/>
  <c r="E5360" i="1"/>
  <c r="F5360" i="1"/>
  <c r="G5360" i="1"/>
  <c r="H5360" i="1"/>
  <c r="I5360" i="1"/>
  <c r="J5360" i="1"/>
  <c r="K5360" i="1"/>
  <c r="L5360" i="1"/>
  <c r="A5361" i="1"/>
  <c r="B5361" i="1"/>
  <c r="C5361" i="1"/>
  <c r="D5361" i="1"/>
  <c r="E5361" i="1"/>
  <c r="F5361" i="1"/>
  <c r="G5361" i="1"/>
  <c r="H5361" i="1"/>
  <c r="I5361" i="1"/>
  <c r="J5361" i="1"/>
  <c r="K5361" i="1"/>
  <c r="L5361" i="1"/>
  <c r="A5362" i="1"/>
  <c r="B5362" i="1"/>
  <c r="C5362" i="1"/>
  <c r="D5362" i="1"/>
  <c r="E5362" i="1"/>
  <c r="F5362" i="1"/>
  <c r="G5362" i="1"/>
  <c r="H5362" i="1"/>
  <c r="I5362" i="1"/>
  <c r="J5362" i="1"/>
  <c r="K5362" i="1"/>
  <c r="L5362" i="1"/>
  <c r="A5363" i="1"/>
  <c r="B5363" i="1"/>
  <c r="C5363" i="1"/>
  <c r="D5363" i="1"/>
  <c r="E5363" i="1"/>
  <c r="F5363" i="1"/>
  <c r="G5363" i="1"/>
  <c r="H5363" i="1"/>
  <c r="I5363" i="1"/>
  <c r="J5363" i="1"/>
  <c r="K5363" i="1"/>
  <c r="L5363" i="1"/>
  <c r="A5364" i="1"/>
  <c r="B5364" i="1"/>
  <c r="C5364" i="1"/>
  <c r="D5364" i="1"/>
  <c r="E5364" i="1"/>
  <c r="F5364" i="1"/>
  <c r="G5364" i="1"/>
  <c r="H5364" i="1"/>
  <c r="I5364" i="1"/>
  <c r="J5364" i="1"/>
  <c r="K5364" i="1"/>
  <c r="L5364" i="1"/>
  <c r="A5365" i="1"/>
  <c r="B5365" i="1"/>
  <c r="C5365" i="1"/>
  <c r="D5365" i="1"/>
  <c r="E5365" i="1"/>
  <c r="F5365" i="1"/>
  <c r="G5365" i="1"/>
  <c r="H5365" i="1"/>
  <c r="I5365" i="1"/>
  <c r="J5365" i="1"/>
  <c r="K5365" i="1"/>
  <c r="L5365" i="1"/>
  <c r="A5366" i="1"/>
  <c r="B5366" i="1"/>
  <c r="C5366" i="1"/>
  <c r="D5366" i="1"/>
  <c r="E5366" i="1"/>
  <c r="F5366" i="1"/>
  <c r="G5366" i="1"/>
  <c r="H5366" i="1"/>
  <c r="I5366" i="1"/>
  <c r="J5366" i="1"/>
  <c r="K5366" i="1"/>
  <c r="L5366" i="1"/>
  <c r="A5367" i="1"/>
  <c r="B5367" i="1"/>
  <c r="C5367" i="1"/>
  <c r="D5367" i="1"/>
  <c r="E5367" i="1"/>
  <c r="F5367" i="1"/>
  <c r="G5367" i="1"/>
  <c r="H5367" i="1"/>
  <c r="I5367" i="1"/>
  <c r="J5367" i="1"/>
  <c r="K5367" i="1"/>
  <c r="L5367" i="1"/>
  <c r="A5368" i="1"/>
  <c r="B5368" i="1"/>
  <c r="C5368" i="1"/>
  <c r="D5368" i="1"/>
  <c r="E5368" i="1"/>
  <c r="F5368" i="1"/>
  <c r="G5368" i="1"/>
  <c r="H5368" i="1"/>
  <c r="I5368" i="1"/>
  <c r="J5368" i="1"/>
  <c r="K5368" i="1"/>
  <c r="L5368" i="1"/>
  <c r="A5369" i="1"/>
  <c r="B5369" i="1"/>
  <c r="C5369" i="1"/>
  <c r="D5369" i="1"/>
  <c r="E5369" i="1"/>
  <c r="F5369" i="1"/>
  <c r="G5369" i="1"/>
  <c r="H5369" i="1"/>
  <c r="I5369" i="1"/>
  <c r="J5369" i="1"/>
  <c r="K5369" i="1"/>
  <c r="L5369" i="1"/>
  <c r="A5370" i="1"/>
  <c r="B5370" i="1"/>
  <c r="C5370" i="1"/>
  <c r="D5370" i="1"/>
  <c r="E5370" i="1"/>
  <c r="F5370" i="1"/>
  <c r="G5370" i="1"/>
  <c r="H5370" i="1"/>
  <c r="I5370" i="1"/>
  <c r="J5370" i="1"/>
  <c r="K5370" i="1"/>
  <c r="L5370" i="1"/>
  <c r="A5371" i="1"/>
  <c r="B5371" i="1"/>
  <c r="C5371" i="1"/>
  <c r="D5371" i="1"/>
  <c r="E5371" i="1"/>
  <c r="F5371" i="1"/>
  <c r="G5371" i="1"/>
  <c r="H5371" i="1"/>
  <c r="I5371" i="1"/>
  <c r="J5371" i="1"/>
  <c r="K5371" i="1"/>
  <c r="L5371" i="1"/>
  <c r="A5372" i="1"/>
  <c r="B5372" i="1"/>
  <c r="C5372" i="1"/>
  <c r="D5372" i="1"/>
  <c r="E5372" i="1"/>
  <c r="F5372" i="1"/>
  <c r="G5372" i="1"/>
  <c r="H5372" i="1"/>
  <c r="I5372" i="1"/>
  <c r="J5372" i="1"/>
  <c r="K5372" i="1"/>
  <c r="L5372" i="1"/>
  <c r="A5373" i="1"/>
  <c r="B5373" i="1"/>
  <c r="C5373" i="1"/>
  <c r="D5373" i="1"/>
  <c r="E5373" i="1"/>
  <c r="F5373" i="1"/>
  <c r="G5373" i="1"/>
  <c r="H5373" i="1"/>
  <c r="I5373" i="1"/>
  <c r="J5373" i="1"/>
  <c r="K5373" i="1"/>
  <c r="L5373" i="1"/>
  <c r="A5374" i="1"/>
  <c r="B5374" i="1"/>
  <c r="C5374" i="1"/>
  <c r="D5374" i="1"/>
  <c r="E5374" i="1"/>
  <c r="F5374" i="1"/>
  <c r="G5374" i="1"/>
  <c r="H5374" i="1"/>
  <c r="I5374" i="1"/>
  <c r="J5374" i="1"/>
  <c r="K5374" i="1"/>
  <c r="L5374" i="1"/>
  <c r="A5375" i="1"/>
  <c r="B5375" i="1"/>
  <c r="C5375" i="1"/>
  <c r="D5375" i="1"/>
  <c r="E5375" i="1"/>
  <c r="F5375" i="1"/>
  <c r="G5375" i="1"/>
  <c r="H5375" i="1"/>
  <c r="I5375" i="1"/>
  <c r="J5375" i="1"/>
  <c r="K5375" i="1"/>
  <c r="L5375" i="1"/>
  <c r="A5376" i="1"/>
  <c r="B5376" i="1"/>
  <c r="C5376" i="1"/>
  <c r="D5376" i="1"/>
  <c r="E5376" i="1"/>
  <c r="F5376" i="1"/>
  <c r="G5376" i="1"/>
  <c r="H5376" i="1"/>
  <c r="I5376" i="1"/>
  <c r="J5376" i="1"/>
  <c r="K5376" i="1"/>
  <c r="L5376" i="1"/>
  <c r="A5377" i="1"/>
  <c r="B5377" i="1"/>
  <c r="C5377" i="1"/>
  <c r="D5377" i="1"/>
  <c r="E5377" i="1"/>
  <c r="F5377" i="1"/>
  <c r="G5377" i="1"/>
  <c r="H5377" i="1"/>
  <c r="I5377" i="1"/>
  <c r="J5377" i="1"/>
  <c r="K5377" i="1"/>
  <c r="L5377" i="1"/>
  <c r="A5378" i="1"/>
  <c r="B5378" i="1"/>
  <c r="C5378" i="1"/>
  <c r="D5378" i="1"/>
  <c r="E5378" i="1"/>
  <c r="F5378" i="1"/>
  <c r="G5378" i="1"/>
  <c r="H5378" i="1"/>
  <c r="I5378" i="1"/>
  <c r="J5378" i="1"/>
  <c r="K5378" i="1"/>
  <c r="L5378" i="1"/>
  <c r="A5379" i="1"/>
  <c r="B5379" i="1"/>
  <c r="C5379" i="1"/>
  <c r="D5379" i="1"/>
  <c r="E5379" i="1"/>
  <c r="F5379" i="1"/>
  <c r="G5379" i="1"/>
  <c r="H5379" i="1"/>
  <c r="I5379" i="1"/>
  <c r="J5379" i="1"/>
  <c r="K5379" i="1"/>
  <c r="L5379" i="1"/>
  <c r="A5380" i="1"/>
  <c r="B5380" i="1"/>
  <c r="C5380" i="1"/>
  <c r="D5380" i="1"/>
  <c r="E5380" i="1"/>
  <c r="F5380" i="1"/>
  <c r="G5380" i="1"/>
  <c r="H5380" i="1"/>
  <c r="I5380" i="1"/>
  <c r="J5380" i="1"/>
  <c r="K5380" i="1"/>
  <c r="L5380" i="1"/>
  <c r="A5381" i="1"/>
  <c r="B5381" i="1"/>
  <c r="C5381" i="1"/>
  <c r="D5381" i="1"/>
  <c r="E5381" i="1"/>
  <c r="F5381" i="1"/>
  <c r="G5381" i="1"/>
  <c r="H5381" i="1"/>
  <c r="I5381" i="1"/>
  <c r="J5381" i="1"/>
  <c r="K5381" i="1"/>
  <c r="L5381" i="1"/>
  <c r="A5382" i="1"/>
  <c r="B5382" i="1"/>
  <c r="C5382" i="1"/>
  <c r="D5382" i="1"/>
  <c r="E5382" i="1"/>
  <c r="F5382" i="1"/>
  <c r="G5382" i="1"/>
  <c r="H5382" i="1"/>
  <c r="I5382" i="1"/>
  <c r="J5382" i="1"/>
  <c r="K5382" i="1"/>
  <c r="L5382" i="1"/>
  <c r="A5383" i="1"/>
  <c r="B5383" i="1"/>
  <c r="C5383" i="1"/>
  <c r="D5383" i="1"/>
  <c r="E5383" i="1"/>
  <c r="F5383" i="1"/>
  <c r="G5383" i="1"/>
  <c r="H5383" i="1"/>
  <c r="I5383" i="1"/>
  <c r="J5383" i="1"/>
  <c r="K5383" i="1"/>
  <c r="L5383" i="1"/>
  <c r="A5384" i="1"/>
  <c r="B5384" i="1"/>
  <c r="C5384" i="1"/>
  <c r="D5384" i="1"/>
  <c r="E5384" i="1"/>
  <c r="F5384" i="1"/>
  <c r="G5384" i="1"/>
  <c r="H5384" i="1"/>
  <c r="I5384" i="1"/>
  <c r="J5384" i="1"/>
  <c r="K5384" i="1"/>
  <c r="L5384" i="1"/>
  <c r="A5385" i="1"/>
  <c r="B5385" i="1"/>
  <c r="C5385" i="1"/>
  <c r="D5385" i="1"/>
  <c r="E5385" i="1"/>
  <c r="F5385" i="1"/>
  <c r="G5385" i="1"/>
  <c r="H5385" i="1"/>
  <c r="I5385" i="1"/>
  <c r="J5385" i="1"/>
  <c r="K5385" i="1"/>
  <c r="L5385" i="1"/>
  <c r="A5386" i="1"/>
  <c r="B5386" i="1"/>
  <c r="C5386" i="1"/>
  <c r="D5386" i="1"/>
  <c r="E5386" i="1"/>
  <c r="F5386" i="1"/>
  <c r="G5386" i="1"/>
  <c r="H5386" i="1"/>
  <c r="I5386" i="1"/>
  <c r="J5386" i="1"/>
  <c r="K5386" i="1"/>
  <c r="L5386" i="1"/>
  <c r="A5387" i="1"/>
  <c r="B5387" i="1"/>
  <c r="C5387" i="1"/>
  <c r="D5387" i="1"/>
  <c r="E5387" i="1"/>
  <c r="F5387" i="1"/>
  <c r="G5387" i="1"/>
  <c r="H5387" i="1"/>
  <c r="I5387" i="1"/>
  <c r="J5387" i="1"/>
  <c r="K5387" i="1"/>
  <c r="L5387" i="1"/>
  <c r="A5388" i="1"/>
  <c r="B5388" i="1"/>
  <c r="C5388" i="1"/>
  <c r="D5388" i="1"/>
  <c r="E5388" i="1"/>
  <c r="F5388" i="1"/>
  <c r="G5388" i="1"/>
  <c r="H5388" i="1"/>
  <c r="I5388" i="1"/>
  <c r="J5388" i="1"/>
  <c r="K5388" i="1"/>
  <c r="L5388" i="1"/>
  <c r="A5389" i="1"/>
  <c r="B5389" i="1"/>
  <c r="C5389" i="1"/>
  <c r="D5389" i="1"/>
  <c r="E5389" i="1"/>
  <c r="F5389" i="1"/>
  <c r="G5389" i="1"/>
  <c r="H5389" i="1"/>
  <c r="I5389" i="1"/>
  <c r="J5389" i="1"/>
  <c r="K5389" i="1"/>
  <c r="L5389" i="1"/>
  <c r="A5390" i="1"/>
  <c r="B5390" i="1"/>
  <c r="C5390" i="1"/>
  <c r="D5390" i="1"/>
  <c r="E5390" i="1"/>
  <c r="F5390" i="1"/>
  <c r="G5390" i="1"/>
  <c r="H5390" i="1"/>
  <c r="I5390" i="1"/>
  <c r="J5390" i="1"/>
  <c r="K5390" i="1"/>
  <c r="L5390" i="1"/>
  <c r="A5391" i="1"/>
  <c r="B5391" i="1"/>
  <c r="C5391" i="1"/>
  <c r="D5391" i="1"/>
  <c r="E5391" i="1"/>
  <c r="F5391" i="1"/>
  <c r="G5391" i="1"/>
  <c r="H5391" i="1"/>
  <c r="I5391" i="1"/>
  <c r="J5391" i="1"/>
  <c r="K5391" i="1"/>
  <c r="L5391" i="1"/>
  <c r="A5392" i="1"/>
  <c r="B5392" i="1"/>
  <c r="C5392" i="1"/>
  <c r="D5392" i="1"/>
  <c r="E5392" i="1"/>
  <c r="F5392" i="1"/>
  <c r="G5392" i="1"/>
  <c r="H5392" i="1"/>
  <c r="I5392" i="1"/>
  <c r="J5392" i="1"/>
  <c r="K5392" i="1"/>
  <c r="L5392" i="1"/>
  <c r="A5393" i="1"/>
  <c r="B5393" i="1"/>
  <c r="C5393" i="1"/>
  <c r="D5393" i="1"/>
  <c r="E5393" i="1"/>
  <c r="F5393" i="1"/>
  <c r="G5393" i="1"/>
  <c r="H5393" i="1"/>
  <c r="I5393" i="1"/>
  <c r="J5393" i="1"/>
  <c r="K5393" i="1"/>
  <c r="L5393" i="1"/>
  <c r="A5394" i="1"/>
  <c r="B5394" i="1"/>
  <c r="C5394" i="1"/>
  <c r="D5394" i="1"/>
  <c r="E5394" i="1"/>
  <c r="F5394" i="1"/>
  <c r="G5394" i="1"/>
  <c r="H5394" i="1"/>
  <c r="I5394" i="1"/>
  <c r="J5394" i="1"/>
  <c r="K5394" i="1"/>
  <c r="L5394" i="1"/>
  <c r="A5395" i="1"/>
  <c r="B5395" i="1"/>
  <c r="C5395" i="1"/>
  <c r="D5395" i="1"/>
  <c r="E5395" i="1"/>
  <c r="F5395" i="1"/>
  <c r="G5395" i="1"/>
  <c r="H5395" i="1"/>
  <c r="I5395" i="1"/>
  <c r="J5395" i="1"/>
  <c r="K5395" i="1"/>
  <c r="L5395" i="1"/>
  <c r="A5396" i="1"/>
  <c r="B5396" i="1"/>
  <c r="C5396" i="1"/>
  <c r="D5396" i="1"/>
  <c r="E5396" i="1"/>
  <c r="F5396" i="1"/>
  <c r="G5396" i="1"/>
  <c r="H5396" i="1"/>
  <c r="I5396" i="1"/>
  <c r="J5396" i="1"/>
  <c r="K5396" i="1"/>
  <c r="L5396" i="1"/>
  <c r="A5397" i="1"/>
  <c r="B5397" i="1"/>
  <c r="C5397" i="1"/>
  <c r="D5397" i="1"/>
  <c r="E5397" i="1"/>
  <c r="F5397" i="1"/>
  <c r="G5397" i="1"/>
  <c r="H5397" i="1"/>
  <c r="I5397" i="1"/>
  <c r="J5397" i="1"/>
  <c r="K5397" i="1"/>
  <c r="L5397" i="1"/>
  <c r="A5398" i="1"/>
  <c r="B5398" i="1"/>
  <c r="C5398" i="1"/>
  <c r="D5398" i="1"/>
  <c r="E5398" i="1"/>
  <c r="F5398" i="1"/>
  <c r="G5398" i="1"/>
  <c r="H5398" i="1"/>
  <c r="I5398" i="1"/>
  <c r="J5398" i="1"/>
  <c r="K5398" i="1"/>
  <c r="L5398" i="1"/>
  <c r="A5399" i="1"/>
  <c r="B5399" i="1"/>
  <c r="C5399" i="1"/>
  <c r="D5399" i="1"/>
  <c r="E5399" i="1"/>
  <c r="F5399" i="1"/>
  <c r="G5399" i="1"/>
  <c r="H5399" i="1"/>
  <c r="I5399" i="1"/>
  <c r="J5399" i="1"/>
  <c r="K5399" i="1"/>
  <c r="L5399" i="1"/>
  <c r="A5400" i="1"/>
  <c r="B5400" i="1"/>
  <c r="C5400" i="1"/>
  <c r="D5400" i="1"/>
  <c r="E5400" i="1"/>
  <c r="F5400" i="1"/>
  <c r="G5400" i="1"/>
  <c r="H5400" i="1"/>
  <c r="I5400" i="1"/>
  <c r="J5400" i="1"/>
  <c r="K5400" i="1"/>
  <c r="L5400" i="1"/>
  <c r="A5401" i="1"/>
  <c r="B5401" i="1"/>
  <c r="C5401" i="1"/>
  <c r="D5401" i="1"/>
  <c r="E5401" i="1"/>
  <c r="F5401" i="1"/>
  <c r="G5401" i="1"/>
  <c r="H5401" i="1"/>
  <c r="I5401" i="1"/>
  <c r="J5401" i="1"/>
  <c r="K5401" i="1"/>
  <c r="L5401" i="1"/>
  <c r="A5402" i="1"/>
  <c r="B5402" i="1"/>
  <c r="C5402" i="1"/>
  <c r="D5402" i="1"/>
  <c r="E5402" i="1"/>
  <c r="F5402" i="1"/>
  <c r="G5402" i="1"/>
  <c r="H5402" i="1"/>
  <c r="I5402" i="1"/>
  <c r="J5402" i="1"/>
  <c r="K5402" i="1"/>
  <c r="L5402" i="1"/>
  <c r="A5403" i="1"/>
  <c r="B5403" i="1"/>
  <c r="C5403" i="1"/>
  <c r="D5403" i="1"/>
  <c r="E5403" i="1"/>
  <c r="F5403" i="1"/>
  <c r="G5403" i="1"/>
  <c r="H5403" i="1"/>
  <c r="I5403" i="1"/>
  <c r="J5403" i="1"/>
  <c r="K5403" i="1"/>
  <c r="L5403" i="1"/>
  <c r="A5404" i="1"/>
  <c r="B5404" i="1"/>
  <c r="C5404" i="1"/>
  <c r="D5404" i="1"/>
  <c r="E5404" i="1"/>
  <c r="F5404" i="1"/>
  <c r="G5404" i="1"/>
  <c r="H5404" i="1"/>
  <c r="I5404" i="1"/>
  <c r="J5404" i="1"/>
  <c r="K5404" i="1"/>
  <c r="L5404" i="1"/>
  <c r="A5405" i="1"/>
  <c r="B5405" i="1"/>
  <c r="C5405" i="1"/>
  <c r="D5405" i="1"/>
  <c r="E5405" i="1"/>
  <c r="F5405" i="1"/>
  <c r="G5405" i="1"/>
  <c r="H5405" i="1"/>
  <c r="I5405" i="1"/>
  <c r="J5405" i="1"/>
  <c r="K5405" i="1"/>
  <c r="L5405" i="1"/>
  <c r="A5406" i="1"/>
  <c r="B5406" i="1"/>
  <c r="C5406" i="1"/>
  <c r="D5406" i="1"/>
  <c r="E5406" i="1"/>
  <c r="F5406" i="1"/>
  <c r="G5406" i="1"/>
  <c r="H5406" i="1"/>
  <c r="I5406" i="1"/>
  <c r="J5406" i="1"/>
  <c r="K5406" i="1"/>
  <c r="L5406" i="1"/>
  <c r="A5407" i="1"/>
  <c r="B5407" i="1"/>
  <c r="C5407" i="1"/>
  <c r="D5407" i="1"/>
  <c r="E5407" i="1"/>
  <c r="F5407" i="1"/>
  <c r="G5407" i="1"/>
  <c r="H5407" i="1"/>
  <c r="I5407" i="1"/>
  <c r="J5407" i="1"/>
  <c r="K5407" i="1"/>
  <c r="L5407" i="1"/>
  <c r="A5408" i="1"/>
  <c r="B5408" i="1"/>
  <c r="C5408" i="1"/>
  <c r="D5408" i="1"/>
  <c r="E5408" i="1"/>
  <c r="F5408" i="1"/>
  <c r="G5408" i="1"/>
  <c r="H5408" i="1"/>
  <c r="I5408" i="1"/>
  <c r="J5408" i="1"/>
  <c r="K5408" i="1"/>
  <c r="L5408" i="1"/>
  <c r="A5409" i="1"/>
  <c r="B5409" i="1"/>
  <c r="C5409" i="1"/>
  <c r="D5409" i="1"/>
  <c r="E5409" i="1"/>
  <c r="F5409" i="1"/>
  <c r="G5409" i="1"/>
  <c r="H5409" i="1"/>
  <c r="I5409" i="1"/>
  <c r="J5409" i="1"/>
  <c r="K5409" i="1"/>
  <c r="L5409" i="1"/>
  <c r="A5410" i="1"/>
  <c r="B5410" i="1"/>
  <c r="C5410" i="1"/>
  <c r="D5410" i="1"/>
  <c r="E5410" i="1"/>
  <c r="F5410" i="1"/>
  <c r="G5410" i="1"/>
  <c r="H5410" i="1"/>
  <c r="I5410" i="1"/>
  <c r="J5410" i="1"/>
  <c r="K5410" i="1"/>
  <c r="L5410" i="1"/>
  <c r="A5411" i="1"/>
  <c r="B5411" i="1"/>
  <c r="C5411" i="1"/>
  <c r="D5411" i="1"/>
  <c r="E5411" i="1"/>
  <c r="F5411" i="1"/>
  <c r="G5411" i="1"/>
  <c r="H5411" i="1"/>
  <c r="I5411" i="1"/>
  <c r="J5411" i="1"/>
  <c r="K5411" i="1"/>
  <c r="L5411" i="1"/>
  <c r="A5412" i="1"/>
  <c r="B5412" i="1"/>
  <c r="C5412" i="1"/>
  <c r="D5412" i="1"/>
  <c r="E5412" i="1"/>
  <c r="F5412" i="1"/>
  <c r="G5412" i="1"/>
  <c r="H5412" i="1"/>
  <c r="I5412" i="1"/>
  <c r="J5412" i="1"/>
  <c r="K5412" i="1"/>
  <c r="L5412" i="1"/>
  <c r="A5413" i="1"/>
  <c r="B5413" i="1"/>
  <c r="C5413" i="1"/>
  <c r="D5413" i="1"/>
  <c r="E5413" i="1"/>
  <c r="F5413" i="1"/>
  <c r="G5413" i="1"/>
  <c r="H5413" i="1"/>
  <c r="I5413" i="1"/>
  <c r="J5413" i="1"/>
  <c r="K5413" i="1"/>
  <c r="L5413" i="1"/>
  <c r="A5414" i="1"/>
  <c r="B5414" i="1"/>
  <c r="C5414" i="1"/>
  <c r="D5414" i="1"/>
  <c r="E5414" i="1"/>
  <c r="F5414" i="1"/>
  <c r="G5414" i="1"/>
  <c r="H5414" i="1"/>
  <c r="I5414" i="1"/>
  <c r="J5414" i="1"/>
  <c r="K5414" i="1"/>
  <c r="L5414" i="1"/>
  <c r="A5415" i="1"/>
  <c r="B5415" i="1"/>
  <c r="C5415" i="1"/>
  <c r="D5415" i="1"/>
  <c r="E5415" i="1"/>
  <c r="F5415" i="1"/>
  <c r="G5415" i="1"/>
  <c r="H5415" i="1"/>
  <c r="I5415" i="1"/>
  <c r="J5415" i="1"/>
  <c r="K5415" i="1"/>
  <c r="L5415" i="1"/>
  <c r="A5416" i="1"/>
  <c r="B5416" i="1"/>
  <c r="C5416" i="1"/>
  <c r="D5416" i="1"/>
  <c r="E5416" i="1"/>
  <c r="F5416" i="1"/>
  <c r="G5416" i="1"/>
  <c r="H5416" i="1"/>
  <c r="I5416" i="1"/>
  <c r="J5416" i="1"/>
  <c r="K5416" i="1"/>
  <c r="L5416" i="1"/>
  <c r="A5417" i="1"/>
  <c r="B5417" i="1"/>
  <c r="C5417" i="1"/>
  <c r="D5417" i="1"/>
  <c r="E5417" i="1"/>
  <c r="F5417" i="1"/>
  <c r="G5417" i="1"/>
  <c r="H5417" i="1"/>
  <c r="I5417" i="1"/>
  <c r="J5417" i="1"/>
  <c r="K5417" i="1"/>
  <c r="L5417" i="1"/>
  <c r="A5418" i="1"/>
  <c r="B5418" i="1"/>
  <c r="C5418" i="1"/>
  <c r="D5418" i="1"/>
  <c r="E5418" i="1"/>
  <c r="F5418" i="1"/>
  <c r="G5418" i="1"/>
  <c r="H5418" i="1"/>
  <c r="I5418" i="1"/>
  <c r="J5418" i="1"/>
  <c r="K5418" i="1"/>
  <c r="L5418" i="1"/>
  <c r="A5419" i="1"/>
  <c r="B5419" i="1"/>
  <c r="C5419" i="1"/>
  <c r="D5419" i="1"/>
  <c r="E5419" i="1"/>
  <c r="F5419" i="1"/>
  <c r="G5419" i="1"/>
  <c r="H5419" i="1"/>
  <c r="I5419" i="1"/>
  <c r="J5419" i="1"/>
  <c r="K5419" i="1"/>
  <c r="L5419" i="1"/>
  <c r="A5420" i="1"/>
  <c r="B5420" i="1"/>
  <c r="C5420" i="1"/>
  <c r="D5420" i="1"/>
  <c r="E5420" i="1"/>
  <c r="F5420" i="1"/>
  <c r="G5420" i="1"/>
  <c r="H5420" i="1"/>
  <c r="I5420" i="1"/>
  <c r="J5420" i="1"/>
  <c r="K5420" i="1"/>
  <c r="L5420" i="1"/>
  <c r="A5421" i="1"/>
  <c r="B5421" i="1"/>
  <c r="C5421" i="1"/>
  <c r="D5421" i="1"/>
  <c r="E5421" i="1"/>
  <c r="F5421" i="1"/>
  <c r="G5421" i="1"/>
  <c r="H5421" i="1"/>
  <c r="I5421" i="1"/>
  <c r="J5421" i="1"/>
  <c r="K5421" i="1"/>
  <c r="L5421" i="1"/>
  <c r="A5422" i="1"/>
  <c r="B5422" i="1"/>
  <c r="C5422" i="1"/>
  <c r="D5422" i="1"/>
  <c r="E5422" i="1"/>
  <c r="F5422" i="1"/>
  <c r="G5422" i="1"/>
  <c r="H5422" i="1"/>
  <c r="I5422" i="1"/>
  <c r="J5422" i="1"/>
  <c r="K5422" i="1"/>
  <c r="L5422" i="1"/>
  <c r="A5423" i="1"/>
  <c r="B5423" i="1"/>
  <c r="C5423" i="1"/>
  <c r="D5423" i="1"/>
  <c r="E5423" i="1"/>
  <c r="F5423" i="1"/>
  <c r="G5423" i="1"/>
  <c r="H5423" i="1"/>
  <c r="I5423" i="1"/>
  <c r="J5423" i="1"/>
  <c r="K5423" i="1"/>
  <c r="L5423" i="1"/>
  <c r="A5424" i="1"/>
  <c r="B5424" i="1"/>
  <c r="C5424" i="1"/>
  <c r="D5424" i="1"/>
  <c r="E5424" i="1"/>
  <c r="F5424" i="1"/>
  <c r="G5424" i="1"/>
  <c r="H5424" i="1"/>
  <c r="I5424" i="1"/>
  <c r="J5424" i="1"/>
  <c r="K5424" i="1"/>
  <c r="L5424" i="1"/>
  <c r="A5425" i="1"/>
  <c r="B5425" i="1"/>
  <c r="C5425" i="1"/>
  <c r="D5425" i="1"/>
  <c r="E5425" i="1"/>
  <c r="F5425" i="1"/>
  <c r="G5425" i="1"/>
  <c r="H5425" i="1"/>
  <c r="I5425" i="1"/>
  <c r="J5425" i="1"/>
  <c r="K5425" i="1"/>
  <c r="L5425" i="1"/>
  <c r="A5426" i="1"/>
  <c r="B5426" i="1"/>
  <c r="C5426" i="1"/>
  <c r="D5426" i="1"/>
  <c r="E5426" i="1"/>
  <c r="F5426" i="1"/>
  <c r="G5426" i="1"/>
  <c r="H5426" i="1"/>
  <c r="I5426" i="1"/>
  <c r="J5426" i="1"/>
  <c r="K5426" i="1"/>
  <c r="L5426" i="1"/>
  <c r="A5427" i="1"/>
  <c r="B5427" i="1"/>
  <c r="C5427" i="1"/>
  <c r="D5427" i="1"/>
  <c r="E5427" i="1"/>
  <c r="F5427" i="1"/>
  <c r="G5427" i="1"/>
  <c r="H5427" i="1"/>
  <c r="I5427" i="1"/>
  <c r="J5427" i="1"/>
  <c r="K5427" i="1"/>
  <c r="L5427" i="1"/>
  <c r="A5428" i="1"/>
  <c r="B5428" i="1"/>
  <c r="C5428" i="1"/>
  <c r="D5428" i="1"/>
  <c r="E5428" i="1"/>
  <c r="F5428" i="1"/>
  <c r="G5428" i="1"/>
  <c r="H5428" i="1"/>
  <c r="I5428" i="1"/>
  <c r="J5428" i="1"/>
  <c r="K5428" i="1"/>
  <c r="L5428" i="1"/>
  <c r="A5429" i="1"/>
  <c r="B5429" i="1"/>
  <c r="C5429" i="1"/>
  <c r="D5429" i="1"/>
  <c r="E5429" i="1"/>
  <c r="F5429" i="1"/>
  <c r="G5429" i="1"/>
  <c r="H5429" i="1"/>
  <c r="I5429" i="1"/>
  <c r="J5429" i="1"/>
  <c r="K5429" i="1"/>
  <c r="L5429" i="1"/>
  <c r="A5430" i="1"/>
  <c r="B5430" i="1"/>
  <c r="C5430" i="1"/>
  <c r="D5430" i="1"/>
  <c r="E5430" i="1"/>
  <c r="F5430" i="1"/>
  <c r="G5430" i="1"/>
  <c r="H5430" i="1"/>
  <c r="I5430" i="1"/>
  <c r="J5430" i="1"/>
  <c r="K5430" i="1"/>
  <c r="L5430" i="1"/>
  <c r="A5431" i="1"/>
  <c r="B5431" i="1"/>
  <c r="C5431" i="1"/>
  <c r="D5431" i="1"/>
  <c r="E5431" i="1"/>
  <c r="F5431" i="1"/>
  <c r="G5431" i="1"/>
  <c r="H5431" i="1"/>
  <c r="I5431" i="1"/>
  <c r="J5431" i="1"/>
  <c r="K5431" i="1"/>
  <c r="L5431" i="1"/>
  <c r="A5432" i="1"/>
  <c r="B5432" i="1"/>
  <c r="C5432" i="1"/>
  <c r="D5432" i="1"/>
  <c r="E5432" i="1"/>
  <c r="F5432" i="1"/>
  <c r="G5432" i="1"/>
  <c r="H5432" i="1"/>
  <c r="I5432" i="1"/>
  <c r="J5432" i="1"/>
  <c r="K5432" i="1"/>
  <c r="L5432" i="1"/>
  <c r="A5433" i="1"/>
  <c r="B5433" i="1"/>
  <c r="C5433" i="1"/>
  <c r="D5433" i="1"/>
  <c r="E5433" i="1"/>
  <c r="F5433" i="1"/>
  <c r="G5433" i="1"/>
  <c r="H5433" i="1"/>
  <c r="I5433" i="1"/>
  <c r="J5433" i="1"/>
  <c r="K5433" i="1"/>
  <c r="L5433" i="1"/>
  <c r="A5434" i="1"/>
  <c r="B5434" i="1"/>
  <c r="C5434" i="1"/>
  <c r="D5434" i="1"/>
  <c r="E5434" i="1"/>
  <c r="F5434" i="1"/>
  <c r="G5434" i="1"/>
  <c r="H5434" i="1"/>
  <c r="I5434" i="1"/>
  <c r="J5434" i="1"/>
  <c r="K5434" i="1"/>
  <c r="L5434" i="1"/>
  <c r="A5435" i="1"/>
  <c r="B5435" i="1"/>
  <c r="C5435" i="1"/>
  <c r="D5435" i="1"/>
  <c r="E5435" i="1"/>
  <c r="F5435" i="1"/>
  <c r="G5435" i="1"/>
  <c r="H5435" i="1"/>
  <c r="I5435" i="1"/>
  <c r="J5435" i="1"/>
  <c r="K5435" i="1"/>
  <c r="L5435" i="1"/>
  <c r="A5436" i="1"/>
  <c r="B5436" i="1"/>
  <c r="C5436" i="1"/>
  <c r="D5436" i="1"/>
  <c r="E5436" i="1"/>
  <c r="F5436" i="1"/>
  <c r="G5436" i="1"/>
  <c r="H5436" i="1"/>
  <c r="I5436" i="1"/>
  <c r="J5436" i="1"/>
  <c r="K5436" i="1"/>
  <c r="L5436" i="1"/>
  <c r="A5437" i="1"/>
  <c r="B5437" i="1"/>
  <c r="C5437" i="1"/>
  <c r="D5437" i="1"/>
  <c r="E5437" i="1"/>
  <c r="F5437" i="1"/>
  <c r="G5437" i="1"/>
  <c r="H5437" i="1"/>
  <c r="I5437" i="1"/>
  <c r="J5437" i="1"/>
  <c r="K5437" i="1"/>
  <c r="L5437" i="1"/>
  <c r="A5438" i="1"/>
  <c r="B5438" i="1"/>
  <c r="C5438" i="1"/>
  <c r="D5438" i="1"/>
  <c r="E5438" i="1"/>
  <c r="F5438" i="1"/>
  <c r="G5438" i="1"/>
  <c r="H5438" i="1"/>
  <c r="I5438" i="1"/>
  <c r="J5438" i="1"/>
  <c r="K5438" i="1"/>
  <c r="L5438" i="1"/>
  <c r="A5439" i="1"/>
  <c r="B5439" i="1"/>
  <c r="C5439" i="1"/>
  <c r="D5439" i="1"/>
  <c r="E5439" i="1"/>
  <c r="F5439" i="1"/>
  <c r="G5439" i="1"/>
  <c r="H5439" i="1"/>
  <c r="I5439" i="1"/>
  <c r="J5439" i="1"/>
  <c r="K5439" i="1"/>
  <c r="L5439" i="1"/>
  <c r="A5440" i="1"/>
  <c r="B5440" i="1"/>
  <c r="C5440" i="1"/>
  <c r="D5440" i="1"/>
  <c r="E5440" i="1"/>
  <c r="F5440" i="1"/>
  <c r="G5440" i="1"/>
  <c r="H5440" i="1"/>
  <c r="I5440" i="1"/>
  <c r="J5440" i="1"/>
  <c r="K5440" i="1"/>
  <c r="L5440" i="1"/>
  <c r="A5441" i="1"/>
  <c r="B5441" i="1"/>
  <c r="C5441" i="1"/>
  <c r="D5441" i="1"/>
  <c r="E5441" i="1"/>
  <c r="F5441" i="1"/>
  <c r="G5441" i="1"/>
  <c r="H5441" i="1"/>
  <c r="I5441" i="1"/>
  <c r="J5441" i="1"/>
  <c r="K5441" i="1"/>
  <c r="L5441" i="1"/>
  <c r="A5442" i="1"/>
  <c r="B5442" i="1"/>
  <c r="C5442" i="1"/>
  <c r="D5442" i="1"/>
  <c r="E5442" i="1"/>
  <c r="F5442" i="1"/>
  <c r="G5442" i="1"/>
  <c r="H5442" i="1"/>
  <c r="I5442" i="1"/>
  <c r="J5442" i="1"/>
  <c r="K5442" i="1"/>
  <c r="L5442" i="1"/>
  <c r="A5443" i="1"/>
  <c r="B5443" i="1"/>
  <c r="C5443" i="1"/>
  <c r="D5443" i="1"/>
  <c r="E5443" i="1"/>
  <c r="F5443" i="1"/>
  <c r="G5443" i="1"/>
  <c r="H5443" i="1"/>
  <c r="I5443" i="1"/>
  <c r="J5443" i="1"/>
  <c r="K5443" i="1"/>
  <c r="L5443" i="1"/>
  <c r="A5444" i="1"/>
  <c r="B5444" i="1"/>
  <c r="C5444" i="1"/>
  <c r="D5444" i="1"/>
  <c r="E5444" i="1"/>
  <c r="F5444" i="1"/>
  <c r="G5444" i="1"/>
  <c r="H5444" i="1"/>
  <c r="I5444" i="1"/>
  <c r="J5444" i="1"/>
  <c r="K5444" i="1"/>
  <c r="L5444" i="1"/>
  <c r="A5445" i="1"/>
  <c r="B5445" i="1"/>
  <c r="C5445" i="1"/>
  <c r="D5445" i="1"/>
  <c r="E5445" i="1"/>
  <c r="F5445" i="1"/>
  <c r="G5445" i="1"/>
  <c r="H5445" i="1"/>
  <c r="I5445" i="1"/>
  <c r="J5445" i="1"/>
  <c r="K5445" i="1"/>
  <c r="L5445" i="1"/>
  <c r="A5446" i="1"/>
  <c r="B5446" i="1"/>
  <c r="C5446" i="1"/>
  <c r="D5446" i="1"/>
  <c r="E5446" i="1"/>
  <c r="F5446" i="1"/>
  <c r="G5446" i="1"/>
  <c r="H5446" i="1"/>
  <c r="I5446" i="1"/>
  <c r="J5446" i="1"/>
  <c r="K5446" i="1"/>
  <c r="L5446" i="1"/>
  <c r="A5447" i="1"/>
  <c r="B5447" i="1"/>
  <c r="C5447" i="1"/>
  <c r="D5447" i="1"/>
  <c r="E5447" i="1"/>
  <c r="F5447" i="1"/>
  <c r="G5447" i="1"/>
  <c r="H5447" i="1"/>
  <c r="I5447" i="1"/>
  <c r="J5447" i="1"/>
  <c r="K5447" i="1"/>
  <c r="L5447" i="1"/>
  <c r="A5448" i="1"/>
  <c r="B5448" i="1"/>
  <c r="C5448" i="1"/>
  <c r="D5448" i="1"/>
  <c r="E5448" i="1"/>
  <c r="F5448" i="1"/>
  <c r="G5448" i="1"/>
  <c r="H5448" i="1"/>
  <c r="I5448" i="1"/>
  <c r="J5448" i="1"/>
  <c r="K5448" i="1"/>
  <c r="L5448" i="1"/>
  <c r="A5449" i="1"/>
  <c r="B5449" i="1"/>
  <c r="C5449" i="1"/>
  <c r="D5449" i="1"/>
  <c r="E5449" i="1"/>
  <c r="F5449" i="1"/>
  <c r="G5449" i="1"/>
  <c r="H5449" i="1"/>
  <c r="I5449" i="1"/>
  <c r="J5449" i="1"/>
  <c r="K5449" i="1"/>
  <c r="L5449" i="1"/>
  <c r="A5450" i="1"/>
  <c r="B5450" i="1"/>
  <c r="C5450" i="1"/>
  <c r="D5450" i="1"/>
  <c r="E5450" i="1"/>
  <c r="F5450" i="1"/>
  <c r="G5450" i="1"/>
  <c r="H5450" i="1"/>
  <c r="I5450" i="1"/>
  <c r="J5450" i="1"/>
  <c r="K5450" i="1"/>
  <c r="L5450" i="1"/>
  <c r="A5451" i="1"/>
  <c r="B5451" i="1"/>
  <c r="C5451" i="1"/>
  <c r="D5451" i="1"/>
  <c r="E5451" i="1"/>
  <c r="F5451" i="1"/>
  <c r="G5451" i="1"/>
  <c r="H5451" i="1"/>
  <c r="I5451" i="1"/>
  <c r="J5451" i="1"/>
  <c r="K5451" i="1"/>
  <c r="L5451" i="1"/>
  <c r="A5452" i="1"/>
  <c r="B5452" i="1"/>
  <c r="C5452" i="1"/>
  <c r="D5452" i="1"/>
  <c r="E5452" i="1"/>
  <c r="F5452" i="1"/>
  <c r="G5452" i="1"/>
  <c r="H5452" i="1"/>
  <c r="I5452" i="1"/>
  <c r="J5452" i="1"/>
  <c r="K5452" i="1"/>
  <c r="L5452" i="1"/>
  <c r="A5453" i="1"/>
  <c r="B5453" i="1"/>
  <c r="C5453" i="1"/>
  <c r="D5453" i="1"/>
  <c r="E5453" i="1"/>
  <c r="F5453" i="1"/>
  <c r="G5453" i="1"/>
  <c r="H5453" i="1"/>
  <c r="I5453" i="1"/>
  <c r="J5453" i="1"/>
  <c r="K5453" i="1"/>
  <c r="L5453" i="1"/>
  <c r="A5454" i="1"/>
  <c r="B5454" i="1"/>
  <c r="C5454" i="1"/>
  <c r="D5454" i="1"/>
  <c r="E5454" i="1"/>
  <c r="F5454" i="1"/>
  <c r="G5454" i="1"/>
  <c r="H5454" i="1"/>
  <c r="I5454" i="1"/>
  <c r="J5454" i="1"/>
  <c r="K5454" i="1"/>
  <c r="L5454" i="1"/>
  <c r="A5455" i="1"/>
  <c r="B5455" i="1"/>
  <c r="C5455" i="1"/>
  <c r="D5455" i="1"/>
  <c r="E5455" i="1"/>
  <c r="F5455" i="1"/>
  <c r="G5455" i="1"/>
  <c r="H5455" i="1"/>
  <c r="I5455" i="1"/>
  <c r="J5455" i="1"/>
  <c r="K5455" i="1"/>
  <c r="L5455" i="1"/>
  <c r="A5456" i="1"/>
  <c r="B5456" i="1"/>
  <c r="C5456" i="1"/>
  <c r="D5456" i="1"/>
  <c r="E5456" i="1"/>
  <c r="F5456" i="1"/>
  <c r="G5456" i="1"/>
  <c r="H5456" i="1"/>
  <c r="I5456" i="1"/>
  <c r="J5456" i="1"/>
  <c r="K5456" i="1"/>
  <c r="L5456" i="1"/>
  <c r="A5457" i="1"/>
  <c r="B5457" i="1"/>
  <c r="C5457" i="1"/>
  <c r="D5457" i="1"/>
  <c r="E5457" i="1"/>
  <c r="F5457" i="1"/>
  <c r="G5457" i="1"/>
  <c r="H5457" i="1"/>
  <c r="I5457" i="1"/>
  <c r="J5457" i="1"/>
  <c r="K5457" i="1"/>
  <c r="L5457" i="1"/>
  <c r="A5458" i="1"/>
  <c r="B5458" i="1"/>
  <c r="C5458" i="1"/>
  <c r="D5458" i="1"/>
  <c r="E5458" i="1"/>
  <c r="F5458" i="1"/>
  <c r="G5458" i="1"/>
  <c r="H5458" i="1"/>
  <c r="I5458" i="1"/>
  <c r="J5458" i="1"/>
  <c r="K5458" i="1"/>
  <c r="L5458" i="1"/>
  <c r="A5459" i="1"/>
  <c r="B5459" i="1"/>
  <c r="C5459" i="1"/>
  <c r="D5459" i="1"/>
  <c r="E5459" i="1"/>
  <c r="F5459" i="1"/>
  <c r="G5459" i="1"/>
  <c r="H5459" i="1"/>
  <c r="I5459" i="1"/>
  <c r="J5459" i="1"/>
  <c r="K5459" i="1"/>
  <c r="L5459" i="1"/>
  <c r="A5460" i="1"/>
  <c r="B5460" i="1"/>
  <c r="C5460" i="1"/>
  <c r="D5460" i="1"/>
  <c r="E5460" i="1"/>
  <c r="F5460" i="1"/>
  <c r="G5460" i="1"/>
  <c r="H5460" i="1"/>
  <c r="I5460" i="1"/>
  <c r="J5460" i="1"/>
  <c r="K5460" i="1"/>
  <c r="L5460" i="1"/>
  <c r="A5461" i="1"/>
  <c r="B5461" i="1"/>
  <c r="C5461" i="1"/>
  <c r="D5461" i="1"/>
  <c r="E5461" i="1"/>
  <c r="F5461" i="1"/>
  <c r="G5461" i="1"/>
  <c r="H5461" i="1"/>
  <c r="I5461" i="1"/>
  <c r="J5461" i="1"/>
  <c r="K5461" i="1"/>
  <c r="L5461" i="1"/>
  <c r="A5462" i="1"/>
  <c r="B5462" i="1"/>
  <c r="C5462" i="1"/>
  <c r="D5462" i="1"/>
  <c r="E5462" i="1"/>
  <c r="F5462" i="1"/>
  <c r="G5462" i="1"/>
  <c r="H5462" i="1"/>
  <c r="I5462" i="1"/>
  <c r="J5462" i="1"/>
  <c r="K5462" i="1"/>
  <c r="L5462" i="1"/>
  <c r="A5463" i="1"/>
  <c r="B5463" i="1"/>
  <c r="C5463" i="1"/>
  <c r="D5463" i="1"/>
  <c r="E5463" i="1"/>
  <c r="F5463" i="1"/>
  <c r="G5463" i="1"/>
  <c r="H5463" i="1"/>
  <c r="I5463" i="1"/>
  <c r="J5463" i="1"/>
  <c r="K5463" i="1"/>
  <c r="L5463" i="1"/>
  <c r="A5464" i="1"/>
  <c r="B5464" i="1"/>
  <c r="C5464" i="1"/>
  <c r="D5464" i="1"/>
  <c r="E5464" i="1"/>
  <c r="F5464" i="1"/>
  <c r="G5464" i="1"/>
  <c r="H5464" i="1"/>
  <c r="I5464" i="1"/>
  <c r="J5464" i="1"/>
  <c r="K5464" i="1"/>
  <c r="L5464" i="1"/>
  <c r="A5465" i="1"/>
  <c r="B5465" i="1"/>
  <c r="C5465" i="1"/>
  <c r="D5465" i="1"/>
  <c r="E5465" i="1"/>
  <c r="F5465" i="1"/>
  <c r="G5465" i="1"/>
  <c r="H5465" i="1"/>
  <c r="I5465" i="1"/>
  <c r="J5465" i="1"/>
  <c r="K5465" i="1"/>
  <c r="L5465" i="1"/>
  <c r="A5466" i="1"/>
  <c r="B5466" i="1"/>
  <c r="C5466" i="1"/>
  <c r="D5466" i="1"/>
  <c r="E5466" i="1"/>
  <c r="F5466" i="1"/>
  <c r="G5466" i="1"/>
  <c r="H5466" i="1"/>
  <c r="I5466" i="1"/>
  <c r="J5466" i="1"/>
  <c r="K5466" i="1"/>
  <c r="L5466" i="1"/>
  <c r="A5467" i="1"/>
  <c r="B5467" i="1"/>
  <c r="C5467" i="1"/>
  <c r="D5467" i="1"/>
  <c r="E5467" i="1"/>
  <c r="F5467" i="1"/>
  <c r="G5467" i="1"/>
  <c r="H5467" i="1"/>
  <c r="I5467" i="1"/>
  <c r="J5467" i="1"/>
  <c r="K5467" i="1"/>
  <c r="L5467" i="1"/>
  <c r="A5468" i="1"/>
  <c r="B5468" i="1"/>
  <c r="C5468" i="1"/>
  <c r="D5468" i="1"/>
  <c r="E5468" i="1"/>
  <c r="F5468" i="1"/>
  <c r="G5468" i="1"/>
  <c r="H5468" i="1"/>
  <c r="I5468" i="1"/>
  <c r="J5468" i="1"/>
  <c r="K5468" i="1"/>
  <c r="L5468" i="1"/>
  <c r="A5469" i="1"/>
  <c r="B5469" i="1"/>
  <c r="C5469" i="1"/>
  <c r="D5469" i="1"/>
  <c r="E5469" i="1"/>
  <c r="F5469" i="1"/>
  <c r="G5469" i="1"/>
  <c r="H5469" i="1"/>
  <c r="I5469" i="1"/>
  <c r="J5469" i="1"/>
  <c r="K5469" i="1"/>
  <c r="L5469" i="1"/>
  <c r="A5470" i="1"/>
  <c r="B5470" i="1"/>
  <c r="C5470" i="1"/>
  <c r="D5470" i="1"/>
  <c r="E5470" i="1"/>
  <c r="F5470" i="1"/>
  <c r="G5470" i="1"/>
  <c r="H5470" i="1"/>
  <c r="I5470" i="1"/>
  <c r="J5470" i="1"/>
  <c r="K5470" i="1"/>
  <c r="L5470" i="1"/>
  <c r="A5471" i="1"/>
  <c r="B5471" i="1"/>
  <c r="C5471" i="1"/>
  <c r="D5471" i="1"/>
  <c r="E5471" i="1"/>
  <c r="F5471" i="1"/>
  <c r="G5471" i="1"/>
  <c r="H5471" i="1"/>
  <c r="I5471" i="1"/>
  <c r="J5471" i="1"/>
  <c r="K5471" i="1"/>
  <c r="L5471" i="1"/>
  <c r="A5472" i="1"/>
  <c r="B5472" i="1"/>
  <c r="C5472" i="1"/>
  <c r="D5472" i="1"/>
  <c r="E5472" i="1"/>
  <c r="F5472" i="1"/>
  <c r="G5472" i="1"/>
  <c r="H5472" i="1"/>
  <c r="I5472" i="1"/>
  <c r="J5472" i="1"/>
  <c r="K5472" i="1"/>
  <c r="L5472" i="1"/>
  <c r="A5473" i="1"/>
  <c r="B5473" i="1"/>
  <c r="C5473" i="1"/>
  <c r="D5473" i="1"/>
  <c r="E5473" i="1"/>
  <c r="F5473" i="1"/>
  <c r="G5473" i="1"/>
  <c r="H5473" i="1"/>
  <c r="I5473" i="1"/>
  <c r="J5473" i="1"/>
  <c r="K5473" i="1"/>
  <c r="L5473" i="1"/>
  <c r="A5474" i="1"/>
  <c r="B5474" i="1"/>
  <c r="C5474" i="1"/>
  <c r="D5474" i="1"/>
  <c r="E5474" i="1"/>
  <c r="F5474" i="1"/>
  <c r="G5474" i="1"/>
  <c r="H5474" i="1"/>
  <c r="I5474" i="1"/>
  <c r="J5474" i="1"/>
  <c r="K5474" i="1"/>
  <c r="L5474" i="1"/>
  <c r="A5475" i="1"/>
  <c r="B5475" i="1"/>
  <c r="C5475" i="1"/>
  <c r="D5475" i="1"/>
  <c r="E5475" i="1"/>
  <c r="F5475" i="1"/>
  <c r="G5475" i="1"/>
  <c r="H5475" i="1"/>
  <c r="I5475" i="1"/>
  <c r="J5475" i="1"/>
  <c r="K5475" i="1"/>
  <c r="L5475" i="1"/>
  <c r="A5476" i="1"/>
  <c r="B5476" i="1"/>
  <c r="C5476" i="1"/>
  <c r="D5476" i="1"/>
  <c r="E5476" i="1"/>
  <c r="F5476" i="1"/>
  <c r="G5476" i="1"/>
  <c r="H5476" i="1"/>
  <c r="I5476" i="1"/>
  <c r="J5476" i="1"/>
  <c r="K5476" i="1"/>
  <c r="L5476" i="1"/>
  <c r="A5477" i="1"/>
  <c r="B5477" i="1"/>
  <c r="C5477" i="1"/>
  <c r="D5477" i="1"/>
  <c r="E5477" i="1"/>
  <c r="F5477" i="1"/>
  <c r="G5477" i="1"/>
  <c r="H5477" i="1"/>
  <c r="I5477" i="1"/>
  <c r="J5477" i="1"/>
  <c r="K5477" i="1"/>
  <c r="L5477" i="1"/>
  <c r="A5478" i="1"/>
  <c r="B5478" i="1"/>
  <c r="C5478" i="1"/>
  <c r="D5478" i="1"/>
  <c r="E5478" i="1"/>
  <c r="F5478" i="1"/>
  <c r="G5478" i="1"/>
  <c r="H5478" i="1"/>
  <c r="I5478" i="1"/>
  <c r="J5478" i="1"/>
  <c r="K5478" i="1"/>
  <c r="L5478" i="1"/>
  <c r="A5479" i="1"/>
  <c r="B5479" i="1"/>
  <c r="C5479" i="1"/>
  <c r="D5479" i="1"/>
  <c r="E5479" i="1"/>
  <c r="F5479" i="1"/>
  <c r="G5479" i="1"/>
  <c r="H5479" i="1"/>
  <c r="I5479" i="1"/>
  <c r="J5479" i="1"/>
  <c r="K5479" i="1"/>
  <c r="L5479" i="1"/>
  <c r="A5480" i="1"/>
  <c r="B5480" i="1"/>
  <c r="C5480" i="1"/>
  <c r="D5480" i="1"/>
  <c r="E5480" i="1"/>
  <c r="F5480" i="1"/>
  <c r="G5480" i="1"/>
  <c r="H5480" i="1"/>
  <c r="I5480" i="1"/>
  <c r="J5480" i="1"/>
  <c r="K5480" i="1"/>
  <c r="L5480" i="1"/>
  <c r="A5481" i="1"/>
  <c r="B5481" i="1"/>
  <c r="C5481" i="1"/>
  <c r="D5481" i="1"/>
  <c r="E5481" i="1"/>
  <c r="F5481" i="1"/>
  <c r="G5481" i="1"/>
  <c r="H5481" i="1"/>
  <c r="I5481" i="1"/>
  <c r="J5481" i="1"/>
  <c r="K5481" i="1"/>
  <c r="L5481" i="1"/>
  <c r="A5482" i="1"/>
  <c r="B5482" i="1"/>
  <c r="C5482" i="1"/>
  <c r="D5482" i="1"/>
  <c r="E5482" i="1"/>
  <c r="F5482" i="1"/>
  <c r="G5482" i="1"/>
  <c r="H5482" i="1"/>
  <c r="I5482" i="1"/>
  <c r="J5482" i="1"/>
  <c r="K5482" i="1"/>
  <c r="L5482" i="1"/>
  <c r="A5483" i="1"/>
  <c r="B5483" i="1"/>
  <c r="C5483" i="1"/>
  <c r="D5483" i="1"/>
  <c r="E5483" i="1"/>
  <c r="F5483" i="1"/>
  <c r="G5483" i="1"/>
  <c r="H5483" i="1"/>
  <c r="I5483" i="1"/>
  <c r="J5483" i="1"/>
  <c r="K5483" i="1"/>
  <c r="L5483" i="1"/>
  <c r="A5484" i="1"/>
  <c r="B5484" i="1"/>
  <c r="C5484" i="1"/>
  <c r="D5484" i="1"/>
  <c r="E5484" i="1"/>
  <c r="F5484" i="1"/>
  <c r="G5484" i="1"/>
  <c r="H5484" i="1"/>
  <c r="I5484" i="1"/>
  <c r="J5484" i="1"/>
  <c r="K5484" i="1"/>
  <c r="L5484" i="1"/>
  <c r="A5485" i="1"/>
  <c r="B5485" i="1"/>
  <c r="C5485" i="1"/>
  <c r="D5485" i="1"/>
  <c r="E5485" i="1"/>
  <c r="F5485" i="1"/>
  <c r="G5485" i="1"/>
  <c r="H5485" i="1"/>
  <c r="I5485" i="1"/>
  <c r="J5485" i="1"/>
  <c r="K5485" i="1"/>
  <c r="L5485" i="1"/>
  <c r="A5486" i="1"/>
  <c r="B5486" i="1"/>
  <c r="C5486" i="1"/>
  <c r="D5486" i="1"/>
  <c r="E5486" i="1"/>
  <c r="F5486" i="1"/>
  <c r="G5486" i="1"/>
  <c r="H5486" i="1"/>
  <c r="I5486" i="1"/>
  <c r="J5486" i="1"/>
  <c r="K5486" i="1"/>
  <c r="L5486" i="1"/>
  <c r="A5487" i="1"/>
  <c r="B5487" i="1"/>
  <c r="C5487" i="1"/>
  <c r="D5487" i="1"/>
  <c r="E5487" i="1"/>
  <c r="F5487" i="1"/>
  <c r="G5487" i="1"/>
  <c r="H5487" i="1"/>
  <c r="I5487" i="1"/>
  <c r="J5487" i="1"/>
  <c r="K5487" i="1"/>
  <c r="L5487" i="1"/>
  <c r="A5488" i="1"/>
  <c r="B5488" i="1"/>
  <c r="C5488" i="1"/>
  <c r="D5488" i="1"/>
  <c r="E5488" i="1"/>
  <c r="F5488" i="1"/>
  <c r="G5488" i="1"/>
  <c r="H5488" i="1"/>
  <c r="I5488" i="1"/>
  <c r="J5488" i="1"/>
  <c r="K5488" i="1"/>
  <c r="L5488" i="1"/>
  <c r="A5489" i="1"/>
  <c r="B5489" i="1"/>
  <c r="C5489" i="1"/>
  <c r="D5489" i="1"/>
  <c r="E5489" i="1"/>
  <c r="F5489" i="1"/>
  <c r="G5489" i="1"/>
  <c r="H5489" i="1"/>
  <c r="I5489" i="1"/>
  <c r="J5489" i="1"/>
  <c r="K5489" i="1"/>
  <c r="L5489" i="1"/>
  <c r="A5490" i="1"/>
  <c r="B5490" i="1"/>
  <c r="C5490" i="1"/>
  <c r="D5490" i="1"/>
  <c r="E5490" i="1"/>
  <c r="F5490" i="1"/>
  <c r="G5490" i="1"/>
  <c r="H5490" i="1"/>
  <c r="I5490" i="1"/>
  <c r="J5490" i="1"/>
  <c r="K5490" i="1"/>
  <c r="L5490" i="1"/>
  <c r="A5491" i="1"/>
  <c r="B5491" i="1"/>
  <c r="C5491" i="1"/>
  <c r="D5491" i="1"/>
  <c r="E5491" i="1"/>
  <c r="F5491" i="1"/>
  <c r="G5491" i="1"/>
  <c r="H5491" i="1"/>
  <c r="I5491" i="1"/>
  <c r="J5491" i="1"/>
  <c r="K5491" i="1"/>
  <c r="L5491" i="1"/>
  <c r="A5492" i="1"/>
  <c r="B5492" i="1"/>
  <c r="C5492" i="1"/>
  <c r="D5492" i="1"/>
  <c r="E5492" i="1"/>
  <c r="F5492" i="1"/>
  <c r="G5492" i="1"/>
  <c r="H5492" i="1"/>
  <c r="I5492" i="1"/>
  <c r="J5492" i="1"/>
  <c r="K5492" i="1"/>
  <c r="L5492" i="1"/>
  <c r="A5493" i="1"/>
  <c r="B5493" i="1"/>
  <c r="C5493" i="1"/>
  <c r="D5493" i="1"/>
  <c r="E5493" i="1"/>
  <c r="F5493" i="1"/>
  <c r="G5493" i="1"/>
  <c r="H5493" i="1"/>
  <c r="I5493" i="1"/>
  <c r="J5493" i="1"/>
  <c r="K5493" i="1"/>
  <c r="L5493" i="1"/>
  <c r="A5494" i="1"/>
  <c r="B5494" i="1"/>
  <c r="C5494" i="1"/>
  <c r="D5494" i="1"/>
  <c r="E5494" i="1"/>
  <c r="F5494" i="1"/>
  <c r="G5494" i="1"/>
  <c r="H5494" i="1"/>
  <c r="I5494" i="1"/>
  <c r="J5494" i="1"/>
  <c r="K5494" i="1"/>
  <c r="L5494" i="1"/>
  <c r="A5495" i="1"/>
  <c r="B5495" i="1"/>
  <c r="C5495" i="1"/>
  <c r="D5495" i="1"/>
  <c r="E5495" i="1"/>
  <c r="F5495" i="1"/>
  <c r="G5495" i="1"/>
  <c r="H5495" i="1"/>
  <c r="I5495" i="1"/>
  <c r="J5495" i="1"/>
  <c r="K5495" i="1"/>
  <c r="L5495" i="1"/>
  <c r="A5496" i="1"/>
  <c r="B5496" i="1"/>
  <c r="C5496" i="1"/>
  <c r="D5496" i="1"/>
  <c r="E5496" i="1"/>
  <c r="F5496" i="1"/>
  <c r="G5496" i="1"/>
  <c r="H5496" i="1"/>
  <c r="I5496" i="1"/>
  <c r="J5496" i="1"/>
  <c r="K5496" i="1"/>
  <c r="L5496" i="1"/>
  <c r="A5497" i="1"/>
  <c r="B5497" i="1"/>
  <c r="C5497" i="1"/>
  <c r="D5497" i="1"/>
  <c r="E5497" i="1"/>
  <c r="F5497" i="1"/>
  <c r="G5497" i="1"/>
  <c r="H5497" i="1"/>
  <c r="I5497" i="1"/>
  <c r="J5497" i="1"/>
  <c r="K5497" i="1"/>
  <c r="L5497" i="1"/>
  <c r="A5498" i="1"/>
  <c r="B5498" i="1"/>
  <c r="C5498" i="1"/>
  <c r="D5498" i="1"/>
  <c r="E5498" i="1"/>
  <c r="F5498" i="1"/>
  <c r="G5498" i="1"/>
  <c r="H5498" i="1"/>
  <c r="I5498" i="1"/>
  <c r="J5498" i="1"/>
  <c r="K5498" i="1"/>
  <c r="L5498" i="1"/>
  <c r="A5499" i="1"/>
  <c r="B5499" i="1"/>
  <c r="C5499" i="1"/>
  <c r="D5499" i="1"/>
  <c r="E5499" i="1"/>
  <c r="F5499" i="1"/>
  <c r="G5499" i="1"/>
  <c r="H5499" i="1"/>
  <c r="I5499" i="1"/>
  <c r="J5499" i="1"/>
  <c r="K5499" i="1"/>
  <c r="L5499" i="1"/>
  <c r="A5500" i="1"/>
  <c r="B5500" i="1"/>
  <c r="C5500" i="1"/>
  <c r="D5500" i="1"/>
  <c r="E5500" i="1"/>
  <c r="F5500" i="1"/>
  <c r="G5500" i="1"/>
  <c r="H5500" i="1"/>
  <c r="I5500" i="1"/>
  <c r="J5500" i="1"/>
  <c r="K5500" i="1"/>
  <c r="L5500" i="1"/>
  <c r="A5501" i="1"/>
  <c r="B5501" i="1"/>
  <c r="C5501" i="1"/>
  <c r="D5501" i="1"/>
  <c r="E5501" i="1"/>
  <c r="F5501" i="1"/>
  <c r="G5501" i="1"/>
  <c r="H5501" i="1"/>
  <c r="I5501" i="1"/>
  <c r="J5501" i="1"/>
  <c r="K5501" i="1"/>
  <c r="L5501" i="1"/>
  <c r="A5502" i="1"/>
  <c r="B5502" i="1"/>
  <c r="C5502" i="1"/>
  <c r="D5502" i="1"/>
  <c r="E5502" i="1"/>
  <c r="F5502" i="1"/>
  <c r="G5502" i="1"/>
  <c r="H5502" i="1"/>
  <c r="I5502" i="1"/>
  <c r="J5502" i="1"/>
  <c r="K5502" i="1"/>
  <c r="L5502" i="1"/>
  <c r="A5503" i="1"/>
  <c r="B5503" i="1"/>
  <c r="C5503" i="1"/>
  <c r="D5503" i="1"/>
  <c r="E5503" i="1"/>
  <c r="F5503" i="1"/>
  <c r="G5503" i="1"/>
  <c r="H5503" i="1"/>
  <c r="I5503" i="1"/>
  <c r="J5503" i="1"/>
  <c r="K5503" i="1"/>
  <c r="L5503" i="1"/>
  <c r="A5504" i="1"/>
  <c r="B5504" i="1"/>
  <c r="C5504" i="1"/>
  <c r="D5504" i="1"/>
  <c r="E5504" i="1"/>
  <c r="F5504" i="1"/>
  <c r="G5504" i="1"/>
  <c r="H5504" i="1"/>
  <c r="I5504" i="1"/>
  <c r="J5504" i="1"/>
  <c r="K5504" i="1"/>
  <c r="L5504" i="1"/>
  <c r="A5505" i="1"/>
  <c r="B5505" i="1"/>
  <c r="C5505" i="1"/>
  <c r="D5505" i="1"/>
  <c r="E5505" i="1"/>
  <c r="F5505" i="1"/>
  <c r="G5505" i="1"/>
  <c r="H5505" i="1"/>
  <c r="I5505" i="1"/>
  <c r="J5505" i="1"/>
  <c r="K5505" i="1"/>
  <c r="L5505" i="1"/>
  <c r="A5506" i="1"/>
  <c r="B5506" i="1"/>
  <c r="C5506" i="1"/>
  <c r="D5506" i="1"/>
  <c r="E5506" i="1"/>
  <c r="F5506" i="1"/>
  <c r="G5506" i="1"/>
  <c r="H5506" i="1"/>
  <c r="I5506" i="1"/>
  <c r="J5506" i="1"/>
  <c r="K5506" i="1"/>
  <c r="L5506" i="1"/>
  <c r="A5507" i="1"/>
  <c r="B5507" i="1"/>
  <c r="C5507" i="1"/>
  <c r="D5507" i="1"/>
  <c r="E5507" i="1"/>
  <c r="F5507" i="1"/>
  <c r="G5507" i="1"/>
  <c r="H5507" i="1"/>
  <c r="I5507" i="1"/>
  <c r="J5507" i="1"/>
  <c r="K5507" i="1"/>
  <c r="L5507" i="1"/>
  <c r="A5508" i="1"/>
  <c r="B5508" i="1"/>
  <c r="C5508" i="1"/>
  <c r="D5508" i="1"/>
  <c r="E5508" i="1"/>
  <c r="F5508" i="1"/>
  <c r="G5508" i="1"/>
  <c r="H5508" i="1"/>
  <c r="I5508" i="1"/>
  <c r="J5508" i="1"/>
  <c r="K5508" i="1"/>
  <c r="L5508" i="1"/>
  <c r="A5509" i="1"/>
  <c r="B5509" i="1"/>
  <c r="C5509" i="1"/>
  <c r="D5509" i="1"/>
  <c r="E5509" i="1"/>
  <c r="F5509" i="1"/>
  <c r="G5509" i="1"/>
  <c r="H5509" i="1"/>
  <c r="I5509" i="1"/>
  <c r="J5509" i="1"/>
  <c r="K5509" i="1"/>
  <c r="L5509" i="1"/>
  <c r="A5510" i="1"/>
  <c r="B5510" i="1"/>
  <c r="C5510" i="1"/>
  <c r="D5510" i="1"/>
  <c r="E5510" i="1"/>
  <c r="F5510" i="1"/>
  <c r="G5510" i="1"/>
  <c r="H5510" i="1"/>
  <c r="I5510" i="1"/>
  <c r="J5510" i="1"/>
  <c r="K5510" i="1"/>
  <c r="L5510" i="1"/>
  <c r="A5511" i="1"/>
  <c r="B5511" i="1"/>
  <c r="C5511" i="1"/>
  <c r="D5511" i="1"/>
  <c r="E5511" i="1"/>
  <c r="F5511" i="1"/>
  <c r="G5511" i="1"/>
  <c r="H5511" i="1"/>
  <c r="I5511" i="1"/>
  <c r="J5511" i="1"/>
  <c r="K5511" i="1"/>
  <c r="L5511" i="1"/>
  <c r="A5512" i="1"/>
  <c r="B5512" i="1"/>
  <c r="C5512" i="1"/>
  <c r="D5512" i="1"/>
  <c r="E5512" i="1"/>
  <c r="F5512" i="1"/>
  <c r="G5512" i="1"/>
  <c r="H5512" i="1"/>
  <c r="I5512" i="1"/>
  <c r="J5512" i="1"/>
  <c r="K5512" i="1"/>
  <c r="L5512" i="1"/>
  <c r="A5513" i="1"/>
  <c r="B5513" i="1"/>
  <c r="C5513" i="1"/>
  <c r="D5513" i="1"/>
  <c r="E5513" i="1"/>
  <c r="F5513" i="1"/>
  <c r="G5513" i="1"/>
  <c r="H5513" i="1"/>
  <c r="I5513" i="1"/>
  <c r="J5513" i="1"/>
  <c r="K5513" i="1"/>
  <c r="L5513" i="1"/>
  <c r="A5514" i="1"/>
  <c r="B5514" i="1"/>
  <c r="C5514" i="1"/>
  <c r="D5514" i="1"/>
  <c r="E5514" i="1"/>
  <c r="F5514" i="1"/>
  <c r="G5514" i="1"/>
  <c r="H5514" i="1"/>
  <c r="I5514" i="1"/>
  <c r="J5514" i="1"/>
  <c r="K5514" i="1"/>
  <c r="L5514" i="1"/>
  <c r="A5515" i="1"/>
  <c r="B5515" i="1"/>
  <c r="C5515" i="1"/>
  <c r="D5515" i="1"/>
  <c r="E5515" i="1"/>
  <c r="F5515" i="1"/>
  <c r="G5515" i="1"/>
  <c r="H5515" i="1"/>
  <c r="I5515" i="1"/>
  <c r="J5515" i="1"/>
  <c r="K5515" i="1"/>
  <c r="L5515" i="1"/>
  <c r="A5516" i="1"/>
  <c r="B5516" i="1"/>
  <c r="C5516" i="1"/>
  <c r="D5516" i="1"/>
  <c r="E5516" i="1"/>
  <c r="F5516" i="1"/>
  <c r="G5516" i="1"/>
  <c r="H5516" i="1"/>
  <c r="I5516" i="1"/>
  <c r="J5516" i="1"/>
  <c r="K5516" i="1"/>
  <c r="L5516" i="1"/>
  <c r="A5517" i="1"/>
  <c r="B5517" i="1"/>
  <c r="C5517" i="1"/>
  <c r="D5517" i="1"/>
  <c r="E5517" i="1"/>
  <c r="F5517" i="1"/>
  <c r="G5517" i="1"/>
  <c r="H5517" i="1"/>
  <c r="I5517" i="1"/>
  <c r="J5517" i="1"/>
  <c r="K5517" i="1"/>
  <c r="L5517" i="1"/>
  <c r="A5518" i="1"/>
  <c r="B5518" i="1"/>
  <c r="C5518" i="1"/>
  <c r="D5518" i="1"/>
  <c r="E5518" i="1"/>
  <c r="F5518" i="1"/>
  <c r="G5518" i="1"/>
  <c r="H5518" i="1"/>
  <c r="I5518" i="1"/>
  <c r="J5518" i="1"/>
  <c r="K5518" i="1"/>
  <c r="L5518" i="1"/>
  <c r="A5519" i="1"/>
  <c r="B5519" i="1"/>
  <c r="C5519" i="1"/>
  <c r="D5519" i="1"/>
  <c r="E5519" i="1"/>
  <c r="F5519" i="1"/>
  <c r="G5519" i="1"/>
  <c r="H5519" i="1"/>
  <c r="I5519" i="1"/>
  <c r="J5519" i="1"/>
  <c r="K5519" i="1"/>
  <c r="L5519" i="1"/>
  <c r="A5520" i="1"/>
  <c r="B5520" i="1"/>
  <c r="C5520" i="1"/>
  <c r="D5520" i="1"/>
  <c r="E5520" i="1"/>
  <c r="F5520" i="1"/>
  <c r="G5520" i="1"/>
  <c r="H5520" i="1"/>
  <c r="I5520" i="1"/>
  <c r="J5520" i="1"/>
  <c r="K5520" i="1"/>
  <c r="L5520" i="1"/>
  <c r="A5521" i="1"/>
  <c r="B5521" i="1"/>
  <c r="C5521" i="1"/>
  <c r="D5521" i="1"/>
  <c r="E5521" i="1"/>
  <c r="F5521" i="1"/>
  <c r="G5521" i="1"/>
  <c r="H5521" i="1"/>
  <c r="I5521" i="1"/>
  <c r="J5521" i="1"/>
  <c r="K5521" i="1"/>
  <c r="L5521" i="1"/>
  <c r="A5522" i="1"/>
  <c r="B5522" i="1"/>
  <c r="C5522" i="1"/>
  <c r="D5522" i="1"/>
  <c r="E5522" i="1"/>
  <c r="F5522" i="1"/>
  <c r="G5522" i="1"/>
  <c r="H5522" i="1"/>
  <c r="I5522" i="1"/>
  <c r="J5522" i="1"/>
  <c r="K5522" i="1"/>
  <c r="L5522" i="1"/>
  <c r="A5523" i="1"/>
  <c r="B5523" i="1"/>
  <c r="C5523" i="1"/>
  <c r="D5523" i="1"/>
  <c r="E5523" i="1"/>
  <c r="F5523" i="1"/>
  <c r="G5523" i="1"/>
  <c r="H5523" i="1"/>
  <c r="I5523" i="1"/>
  <c r="J5523" i="1"/>
  <c r="K5523" i="1"/>
  <c r="L5523" i="1"/>
  <c r="A5524" i="1"/>
  <c r="B5524" i="1"/>
  <c r="C5524" i="1"/>
  <c r="D5524" i="1"/>
  <c r="E5524" i="1"/>
  <c r="F5524" i="1"/>
  <c r="G5524" i="1"/>
  <c r="H5524" i="1"/>
  <c r="I5524" i="1"/>
  <c r="J5524" i="1"/>
  <c r="K5524" i="1"/>
  <c r="L5524" i="1"/>
  <c r="A5525" i="1"/>
  <c r="B5525" i="1"/>
  <c r="C5525" i="1"/>
  <c r="D5525" i="1"/>
  <c r="E5525" i="1"/>
  <c r="F5525" i="1"/>
  <c r="G5525" i="1"/>
  <c r="H5525" i="1"/>
  <c r="I5525" i="1"/>
  <c r="J5525" i="1"/>
  <c r="K5525" i="1"/>
  <c r="L5525" i="1"/>
  <c r="A5526" i="1"/>
  <c r="B5526" i="1"/>
  <c r="C5526" i="1"/>
  <c r="D5526" i="1"/>
  <c r="E5526" i="1"/>
  <c r="F5526" i="1"/>
  <c r="G5526" i="1"/>
  <c r="H5526" i="1"/>
  <c r="I5526" i="1"/>
  <c r="J5526" i="1"/>
  <c r="K5526" i="1"/>
  <c r="L5526" i="1"/>
  <c r="A5527" i="1"/>
  <c r="B5527" i="1"/>
  <c r="C5527" i="1"/>
  <c r="D5527" i="1"/>
  <c r="E5527" i="1"/>
  <c r="F5527" i="1"/>
  <c r="G5527" i="1"/>
  <c r="H5527" i="1"/>
  <c r="I5527" i="1"/>
  <c r="J5527" i="1"/>
  <c r="K5527" i="1"/>
  <c r="L5527" i="1"/>
  <c r="A5528" i="1"/>
  <c r="B5528" i="1"/>
  <c r="C5528" i="1"/>
  <c r="D5528" i="1"/>
  <c r="E5528" i="1"/>
  <c r="F5528" i="1"/>
  <c r="G5528" i="1"/>
  <c r="H5528" i="1"/>
  <c r="I5528" i="1"/>
  <c r="J5528" i="1"/>
  <c r="K5528" i="1"/>
  <c r="L5528" i="1"/>
  <c r="A5529" i="1"/>
  <c r="B5529" i="1"/>
  <c r="C5529" i="1"/>
  <c r="D5529" i="1"/>
  <c r="E5529" i="1"/>
  <c r="F5529" i="1"/>
  <c r="G5529" i="1"/>
  <c r="H5529" i="1"/>
  <c r="I5529" i="1"/>
  <c r="J5529" i="1"/>
  <c r="K5529" i="1"/>
  <c r="L5529" i="1"/>
  <c r="A5530" i="1"/>
  <c r="B5530" i="1"/>
  <c r="C5530" i="1"/>
  <c r="D5530" i="1"/>
  <c r="E5530" i="1"/>
  <c r="F5530" i="1"/>
  <c r="G5530" i="1"/>
  <c r="H5530" i="1"/>
  <c r="I5530" i="1"/>
  <c r="J5530" i="1"/>
  <c r="K5530" i="1"/>
  <c r="L5530" i="1"/>
  <c r="A5531" i="1"/>
  <c r="B5531" i="1"/>
  <c r="C5531" i="1"/>
  <c r="D5531" i="1"/>
  <c r="E5531" i="1"/>
  <c r="F5531" i="1"/>
  <c r="G5531" i="1"/>
  <c r="H5531" i="1"/>
  <c r="I5531" i="1"/>
  <c r="J5531" i="1"/>
  <c r="K5531" i="1"/>
  <c r="L5531" i="1"/>
  <c r="A5532" i="1"/>
  <c r="B5532" i="1"/>
  <c r="C5532" i="1"/>
  <c r="D5532" i="1"/>
  <c r="E5532" i="1"/>
  <c r="F5532" i="1"/>
  <c r="G5532" i="1"/>
  <c r="H5532" i="1"/>
  <c r="I5532" i="1"/>
  <c r="J5532" i="1"/>
  <c r="K5532" i="1"/>
  <c r="L5532" i="1"/>
  <c r="A5533" i="1"/>
  <c r="B5533" i="1"/>
  <c r="C5533" i="1"/>
  <c r="D5533" i="1"/>
  <c r="E5533" i="1"/>
  <c r="F5533" i="1"/>
  <c r="G5533" i="1"/>
  <c r="H5533" i="1"/>
  <c r="I5533" i="1"/>
  <c r="J5533" i="1"/>
  <c r="K5533" i="1"/>
  <c r="L5533" i="1"/>
  <c r="A5534" i="1"/>
  <c r="B5534" i="1"/>
  <c r="C5534" i="1"/>
  <c r="D5534" i="1"/>
  <c r="E5534" i="1"/>
  <c r="F5534" i="1"/>
  <c r="G5534" i="1"/>
  <c r="H5534" i="1"/>
  <c r="I5534" i="1"/>
  <c r="J5534" i="1"/>
  <c r="K5534" i="1"/>
  <c r="L5534" i="1"/>
  <c r="A5535" i="1"/>
  <c r="B5535" i="1"/>
  <c r="C5535" i="1"/>
  <c r="D5535" i="1"/>
  <c r="E5535" i="1"/>
  <c r="F5535" i="1"/>
  <c r="G5535" i="1"/>
  <c r="H5535" i="1"/>
  <c r="I5535" i="1"/>
  <c r="J5535" i="1"/>
  <c r="K5535" i="1"/>
  <c r="L5535" i="1"/>
  <c r="A5536" i="1"/>
  <c r="B5536" i="1"/>
  <c r="C5536" i="1"/>
  <c r="D5536" i="1"/>
  <c r="E5536" i="1"/>
  <c r="F5536" i="1"/>
  <c r="G5536" i="1"/>
  <c r="H5536" i="1"/>
  <c r="I5536" i="1"/>
  <c r="J5536" i="1"/>
  <c r="K5536" i="1"/>
  <c r="L5536" i="1"/>
  <c r="A5537" i="1"/>
  <c r="B5537" i="1"/>
  <c r="C5537" i="1"/>
  <c r="D5537" i="1"/>
  <c r="E5537" i="1"/>
  <c r="F5537" i="1"/>
  <c r="G5537" i="1"/>
  <c r="H5537" i="1"/>
  <c r="I5537" i="1"/>
  <c r="J5537" i="1"/>
  <c r="K5537" i="1"/>
  <c r="L5537" i="1"/>
  <c r="A5538" i="1"/>
  <c r="B5538" i="1"/>
  <c r="C5538" i="1"/>
  <c r="D5538" i="1"/>
  <c r="E5538" i="1"/>
  <c r="F5538" i="1"/>
  <c r="G5538" i="1"/>
  <c r="H5538" i="1"/>
  <c r="I5538" i="1"/>
  <c r="J5538" i="1"/>
  <c r="K5538" i="1"/>
  <c r="L5538" i="1"/>
  <c r="A5539" i="1"/>
  <c r="B5539" i="1"/>
  <c r="C5539" i="1"/>
  <c r="D5539" i="1"/>
  <c r="E5539" i="1"/>
  <c r="F5539" i="1"/>
  <c r="G5539" i="1"/>
  <c r="H5539" i="1"/>
  <c r="I5539" i="1"/>
  <c r="J5539" i="1"/>
  <c r="K5539" i="1"/>
  <c r="L5539" i="1"/>
  <c r="A5540" i="1"/>
  <c r="B5540" i="1"/>
  <c r="C5540" i="1"/>
  <c r="D5540" i="1"/>
  <c r="E5540" i="1"/>
  <c r="F5540" i="1"/>
  <c r="G5540" i="1"/>
  <c r="H5540" i="1"/>
  <c r="I5540" i="1"/>
  <c r="J5540" i="1"/>
  <c r="K5540" i="1"/>
  <c r="L5540" i="1"/>
  <c r="A5541" i="1"/>
  <c r="B5541" i="1"/>
  <c r="C5541" i="1"/>
  <c r="D5541" i="1"/>
  <c r="E5541" i="1"/>
  <c r="F5541" i="1"/>
  <c r="G5541" i="1"/>
  <c r="H5541" i="1"/>
  <c r="I5541" i="1"/>
  <c r="J5541" i="1"/>
  <c r="K5541" i="1"/>
  <c r="L5541" i="1"/>
  <c r="A5542" i="1"/>
  <c r="B5542" i="1"/>
  <c r="C5542" i="1"/>
  <c r="D5542" i="1"/>
  <c r="E5542" i="1"/>
  <c r="F5542" i="1"/>
  <c r="G5542" i="1"/>
  <c r="H5542" i="1"/>
  <c r="I5542" i="1"/>
  <c r="J5542" i="1"/>
  <c r="K5542" i="1"/>
  <c r="L5542" i="1"/>
  <c r="A5543" i="1"/>
  <c r="B5543" i="1"/>
  <c r="C5543" i="1"/>
  <c r="D5543" i="1"/>
  <c r="E5543" i="1"/>
  <c r="F5543" i="1"/>
  <c r="G5543" i="1"/>
  <c r="H5543" i="1"/>
  <c r="I5543" i="1"/>
  <c r="J5543" i="1"/>
  <c r="K5543" i="1"/>
  <c r="L5543" i="1"/>
  <c r="A5544" i="1"/>
  <c r="B5544" i="1"/>
  <c r="C5544" i="1"/>
  <c r="D5544" i="1"/>
  <c r="E5544" i="1"/>
  <c r="F5544" i="1"/>
  <c r="G5544" i="1"/>
  <c r="H5544" i="1"/>
  <c r="I5544" i="1"/>
  <c r="J5544" i="1"/>
  <c r="K5544" i="1"/>
  <c r="L5544" i="1"/>
  <c r="A5545" i="1"/>
  <c r="B5545" i="1"/>
  <c r="C5545" i="1"/>
  <c r="D5545" i="1"/>
  <c r="E5545" i="1"/>
  <c r="F5545" i="1"/>
  <c r="G5545" i="1"/>
  <c r="H5545" i="1"/>
  <c r="I5545" i="1"/>
  <c r="J5545" i="1"/>
  <c r="K5545" i="1"/>
  <c r="L5545" i="1"/>
  <c r="A5546" i="1"/>
  <c r="B5546" i="1"/>
  <c r="C5546" i="1"/>
  <c r="D5546" i="1"/>
  <c r="E5546" i="1"/>
  <c r="F5546" i="1"/>
  <c r="G5546" i="1"/>
  <c r="H5546" i="1"/>
  <c r="I5546" i="1"/>
  <c r="J5546" i="1"/>
  <c r="K5546" i="1"/>
  <c r="L5546" i="1"/>
  <c r="A5547" i="1"/>
  <c r="B5547" i="1"/>
  <c r="C5547" i="1"/>
  <c r="D5547" i="1"/>
  <c r="E5547" i="1"/>
  <c r="F5547" i="1"/>
  <c r="G5547" i="1"/>
  <c r="H5547" i="1"/>
  <c r="I5547" i="1"/>
  <c r="J5547" i="1"/>
  <c r="K5547" i="1"/>
  <c r="L5547" i="1"/>
  <c r="A5548" i="1"/>
  <c r="B5548" i="1"/>
  <c r="C5548" i="1"/>
  <c r="D5548" i="1"/>
  <c r="E5548" i="1"/>
  <c r="F5548" i="1"/>
  <c r="G5548" i="1"/>
  <c r="H5548" i="1"/>
  <c r="I5548" i="1"/>
  <c r="J5548" i="1"/>
  <c r="K5548" i="1"/>
  <c r="L5548" i="1"/>
  <c r="A5549" i="1"/>
  <c r="B5549" i="1"/>
  <c r="C5549" i="1"/>
  <c r="D5549" i="1"/>
  <c r="E5549" i="1"/>
  <c r="F5549" i="1"/>
  <c r="G5549" i="1"/>
  <c r="H5549" i="1"/>
  <c r="I5549" i="1"/>
  <c r="J5549" i="1"/>
  <c r="K5549" i="1"/>
  <c r="L5549" i="1"/>
  <c r="A5550" i="1"/>
  <c r="B5550" i="1"/>
  <c r="C5550" i="1"/>
  <c r="D5550" i="1"/>
  <c r="E5550" i="1"/>
  <c r="F5550" i="1"/>
  <c r="G5550" i="1"/>
  <c r="H5550" i="1"/>
  <c r="I5550" i="1"/>
  <c r="J5550" i="1"/>
  <c r="K5550" i="1"/>
  <c r="L5550" i="1"/>
  <c r="A5551" i="1"/>
  <c r="B5551" i="1"/>
  <c r="C5551" i="1"/>
  <c r="D5551" i="1"/>
  <c r="E5551" i="1"/>
  <c r="F5551" i="1"/>
  <c r="G5551" i="1"/>
  <c r="H5551" i="1"/>
  <c r="I5551" i="1"/>
  <c r="J5551" i="1"/>
  <c r="K5551" i="1"/>
  <c r="L5551" i="1"/>
  <c r="A5552" i="1"/>
  <c r="B5552" i="1"/>
  <c r="C5552" i="1"/>
  <c r="D5552" i="1"/>
  <c r="E5552" i="1"/>
  <c r="F5552" i="1"/>
  <c r="G5552" i="1"/>
  <c r="H5552" i="1"/>
  <c r="I5552" i="1"/>
  <c r="J5552" i="1"/>
  <c r="K5552" i="1"/>
  <c r="L5552" i="1"/>
  <c r="A5553" i="1"/>
  <c r="B5553" i="1"/>
  <c r="C5553" i="1"/>
  <c r="D5553" i="1"/>
  <c r="E5553" i="1"/>
  <c r="F5553" i="1"/>
  <c r="G5553" i="1"/>
  <c r="H5553" i="1"/>
  <c r="I5553" i="1"/>
  <c r="J5553" i="1"/>
  <c r="K5553" i="1"/>
  <c r="L5553" i="1"/>
  <c r="A5554" i="1"/>
  <c r="B5554" i="1"/>
  <c r="C5554" i="1"/>
  <c r="D5554" i="1"/>
  <c r="E5554" i="1"/>
  <c r="F5554" i="1"/>
  <c r="G5554" i="1"/>
  <c r="H5554" i="1"/>
  <c r="I5554" i="1"/>
  <c r="J5554" i="1"/>
  <c r="K5554" i="1"/>
  <c r="L5554" i="1"/>
  <c r="A5555" i="1"/>
  <c r="B5555" i="1"/>
  <c r="C5555" i="1"/>
  <c r="D5555" i="1"/>
  <c r="E5555" i="1"/>
  <c r="F5555" i="1"/>
  <c r="G5555" i="1"/>
  <c r="H5555" i="1"/>
  <c r="I5555" i="1"/>
  <c r="J5555" i="1"/>
  <c r="K5555" i="1"/>
  <c r="L5555" i="1"/>
  <c r="A5556" i="1"/>
  <c r="B5556" i="1"/>
  <c r="C5556" i="1"/>
  <c r="D5556" i="1"/>
  <c r="E5556" i="1"/>
  <c r="F5556" i="1"/>
  <c r="G5556" i="1"/>
  <c r="H5556" i="1"/>
  <c r="I5556" i="1"/>
  <c r="J5556" i="1"/>
  <c r="K5556" i="1"/>
  <c r="L5556" i="1"/>
  <c r="A5557" i="1"/>
  <c r="B5557" i="1"/>
  <c r="C5557" i="1"/>
  <c r="D5557" i="1"/>
  <c r="E5557" i="1"/>
  <c r="F5557" i="1"/>
  <c r="G5557" i="1"/>
  <c r="H5557" i="1"/>
  <c r="I5557" i="1"/>
  <c r="J5557" i="1"/>
  <c r="K5557" i="1"/>
  <c r="L5557" i="1"/>
  <c r="A5558" i="1"/>
  <c r="B5558" i="1"/>
  <c r="C5558" i="1"/>
  <c r="D5558" i="1"/>
  <c r="E5558" i="1"/>
  <c r="F5558" i="1"/>
  <c r="G5558" i="1"/>
  <c r="H5558" i="1"/>
  <c r="I5558" i="1"/>
  <c r="J5558" i="1"/>
  <c r="K5558" i="1"/>
  <c r="L5558" i="1"/>
  <c r="A5559" i="1"/>
  <c r="B5559" i="1"/>
  <c r="C5559" i="1"/>
  <c r="D5559" i="1"/>
  <c r="E5559" i="1"/>
  <c r="F5559" i="1"/>
  <c r="G5559" i="1"/>
  <c r="H5559" i="1"/>
  <c r="I5559" i="1"/>
  <c r="J5559" i="1"/>
  <c r="K5559" i="1"/>
  <c r="L5559" i="1"/>
  <c r="A5560" i="1"/>
  <c r="B5560" i="1"/>
  <c r="C5560" i="1"/>
  <c r="D5560" i="1"/>
  <c r="E5560" i="1"/>
  <c r="F5560" i="1"/>
  <c r="G5560" i="1"/>
  <c r="H5560" i="1"/>
  <c r="I5560" i="1"/>
  <c r="J5560" i="1"/>
  <c r="K5560" i="1"/>
  <c r="L5560" i="1"/>
  <c r="A5561" i="1"/>
  <c r="B5561" i="1"/>
  <c r="C5561" i="1"/>
  <c r="D5561" i="1"/>
  <c r="E5561" i="1"/>
  <c r="F5561" i="1"/>
  <c r="G5561" i="1"/>
  <c r="H5561" i="1"/>
  <c r="I5561" i="1"/>
  <c r="J5561" i="1"/>
  <c r="K5561" i="1"/>
  <c r="L5561" i="1"/>
  <c r="A5562" i="1"/>
  <c r="B5562" i="1"/>
  <c r="C5562" i="1"/>
  <c r="D5562" i="1"/>
  <c r="E5562" i="1"/>
  <c r="F5562" i="1"/>
  <c r="G5562" i="1"/>
  <c r="H5562" i="1"/>
  <c r="I5562" i="1"/>
  <c r="J5562" i="1"/>
  <c r="K5562" i="1"/>
  <c r="L5562" i="1"/>
  <c r="A5563" i="1"/>
  <c r="B5563" i="1"/>
  <c r="C5563" i="1"/>
  <c r="D5563" i="1"/>
  <c r="E5563" i="1"/>
  <c r="F5563" i="1"/>
  <c r="G5563" i="1"/>
  <c r="H5563" i="1"/>
  <c r="I5563" i="1"/>
  <c r="J5563" i="1"/>
  <c r="K5563" i="1"/>
  <c r="L5563" i="1"/>
  <c r="A5564" i="1"/>
  <c r="B5564" i="1"/>
  <c r="C5564" i="1"/>
  <c r="D5564" i="1"/>
  <c r="E5564" i="1"/>
  <c r="F5564" i="1"/>
  <c r="G5564" i="1"/>
  <c r="H5564" i="1"/>
  <c r="I5564" i="1"/>
  <c r="J5564" i="1"/>
  <c r="K5564" i="1"/>
  <c r="L5564" i="1"/>
  <c r="A5565" i="1"/>
  <c r="B5565" i="1"/>
  <c r="C5565" i="1"/>
  <c r="D5565" i="1"/>
  <c r="E5565" i="1"/>
  <c r="F5565" i="1"/>
  <c r="G5565" i="1"/>
  <c r="H5565" i="1"/>
  <c r="I5565" i="1"/>
  <c r="J5565" i="1"/>
  <c r="K5565" i="1"/>
  <c r="L5565" i="1"/>
  <c r="A5566" i="1"/>
  <c r="B5566" i="1"/>
  <c r="C5566" i="1"/>
  <c r="D5566" i="1"/>
  <c r="E5566" i="1"/>
  <c r="F5566" i="1"/>
  <c r="G5566" i="1"/>
  <c r="H5566" i="1"/>
  <c r="I5566" i="1"/>
  <c r="J5566" i="1"/>
  <c r="K5566" i="1"/>
  <c r="L5566" i="1"/>
  <c r="A5567" i="1"/>
  <c r="B5567" i="1"/>
  <c r="C5567" i="1"/>
  <c r="D5567" i="1"/>
  <c r="E5567" i="1"/>
  <c r="F5567" i="1"/>
  <c r="G5567" i="1"/>
  <c r="H5567" i="1"/>
  <c r="I5567" i="1"/>
  <c r="J5567" i="1"/>
  <c r="K5567" i="1"/>
  <c r="L5567" i="1"/>
  <c r="A5568" i="1"/>
  <c r="B5568" i="1"/>
  <c r="C5568" i="1"/>
  <c r="D5568" i="1"/>
  <c r="E5568" i="1"/>
  <c r="F5568" i="1"/>
  <c r="G5568" i="1"/>
  <c r="H5568" i="1"/>
  <c r="I5568" i="1"/>
  <c r="J5568" i="1"/>
  <c r="K5568" i="1"/>
  <c r="L5568" i="1"/>
  <c r="A5569" i="1"/>
  <c r="B5569" i="1"/>
  <c r="C5569" i="1"/>
  <c r="D5569" i="1"/>
  <c r="E5569" i="1"/>
  <c r="F5569" i="1"/>
  <c r="G5569" i="1"/>
  <c r="H5569" i="1"/>
  <c r="I5569" i="1"/>
  <c r="J5569" i="1"/>
  <c r="K5569" i="1"/>
  <c r="L5569" i="1"/>
  <c r="A5570" i="1"/>
  <c r="B5570" i="1"/>
  <c r="C5570" i="1"/>
  <c r="D5570" i="1"/>
  <c r="E5570" i="1"/>
  <c r="F5570" i="1"/>
  <c r="G5570" i="1"/>
  <c r="H5570" i="1"/>
  <c r="I5570" i="1"/>
  <c r="J5570" i="1"/>
  <c r="K5570" i="1"/>
  <c r="L5570" i="1"/>
  <c r="A5571" i="1"/>
  <c r="B5571" i="1"/>
  <c r="C5571" i="1"/>
  <c r="D5571" i="1"/>
  <c r="E5571" i="1"/>
  <c r="F5571" i="1"/>
  <c r="G5571" i="1"/>
  <c r="H5571" i="1"/>
  <c r="I5571" i="1"/>
  <c r="J5571" i="1"/>
  <c r="K5571" i="1"/>
  <c r="L5571" i="1"/>
  <c r="A5572" i="1"/>
  <c r="B5572" i="1"/>
  <c r="C5572" i="1"/>
  <c r="D5572" i="1"/>
  <c r="E5572" i="1"/>
  <c r="F5572" i="1"/>
  <c r="G5572" i="1"/>
  <c r="H5572" i="1"/>
  <c r="I5572" i="1"/>
  <c r="J5572" i="1"/>
  <c r="K5572" i="1"/>
  <c r="L5572" i="1"/>
  <c r="A5573" i="1"/>
  <c r="B5573" i="1"/>
  <c r="C5573" i="1"/>
  <c r="D5573" i="1"/>
  <c r="E5573" i="1"/>
  <c r="F5573" i="1"/>
  <c r="G5573" i="1"/>
  <c r="H5573" i="1"/>
  <c r="I5573" i="1"/>
  <c r="J5573" i="1"/>
  <c r="K5573" i="1"/>
  <c r="L5573" i="1"/>
  <c r="A5574" i="1"/>
  <c r="B5574" i="1"/>
  <c r="C5574" i="1"/>
  <c r="D5574" i="1"/>
  <c r="E5574" i="1"/>
  <c r="F5574" i="1"/>
  <c r="G5574" i="1"/>
  <c r="H5574" i="1"/>
  <c r="I5574" i="1"/>
  <c r="J5574" i="1"/>
  <c r="K5574" i="1"/>
  <c r="L5574" i="1"/>
  <c r="A5575" i="1"/>
  <c r="B5575" i="1"/>
  <c r="C5575" i="1"/>
  <c r="D5575" i="1"/>
  <c r="E5575" i="1"/>
  <c r="F5575" i="1"/>
  <c r="G5575" i="1"/>
  <c r="H5575" i="1"/>
  <c r="I5575" i="1"/>
  <c r="J5575" i="1"/>
  <c r="K5575" i="1"/>
  <c r="L5575" i="1"/>
  <c r="A5576" i="1"/>
  <c r="B5576" i="1"/>
  <c r="C5576" i="1"/>
  <c r="D5576" i="1"/>
  <c r="E5576" i="1"/>
  <c r="F5576" i="1"/>
  <c r="G5576" i="1"/>
  <c r="H5576" i="1"/>
  <c r="I5576" i="1"/>
  <c r="J5576" i="1"/>
  <c r="K5576" i="1"/>
  <c r="L5576" i="1"/>
  <c r="A5577" i="1"/>
  <c r="B5577" i="1"/>
  <c r="C5577" i="1"/>
  <c r="D5577" i="1"/>
  <c r="E5577" i="1"/>
  <c r="F5577" i="1"/>
  <c r="G5577" i="1"/>
  <c r="H5577" i="1"/>
  <c r="I5577" i="1"/>
  <c r="J5577" i="1"/>
  <c r="K5577" i="1"/>
  <c r="L5577" i="1"/>
  <c r="A5578" i="1"/>
  <c r="B5578" i="1"/>
  <c r="C5578" i="1"/>
  <c r="D5578" i="1"/>
  <c r="E5578" i="1"/>
  <c r="F5578" i="1"/>
  <c r="G5578" i="1"/>
  <c r="H5578" i="1"/>
  <c r="I5578" i="1"/>
  <c r="J5578" i="1"/>
  <c r="K5578" i="1"/>
  <c r="L5578" i="1"/>
  <c r="A5579" i="1"/>
  <c r="B5579" i="1"/>
  <c r="C5579" i="1"/>
  <c r="D5579" i="1"/>
  <c r="E5579" i="1"/>
  <c r="F5579" i="1"/>
  <c r="G5579" i="1"/>
  <c r="H5579" i="1"/>
  <c r="I5579" i="1"/>
  <c r="J5579" i="1"/>
  <c r="K5579" i="1"/>
  <c r="L5579" i="1"/>
  <c r="A5580" i="1"/>
  <c r="B5580" i="1"/>
  <c r="C5580" i="1"/>
  <c r="D5580" i="1"/>
  <c r="E5580" i="1"/>
  <c r="F5580" i="1"/>
  <c r="G5580" i="1"/>
  <c r="H5580" i="1"/>
  <c r="I5580" i="1"/>
  <c r="J5580" i="1"/>
  <c r="K5580" i="1"/>
  <c r="L5580" i="1"/>
  <c r="A5581" i="1"/>
  <c r="B5581" i="1"/>
  <c r="C5581" i="1"/>
  <c r="D5581" i="1"/>
  <c r="E5581" i="1"/>
  <c r="F5581" i="1"/>
  <c r="G5581" i="1"/>
  <c r="H5581" i="1"/>
  <c r="I5581" i="1"/>
  <c r="J5581" i="1"/>
  <c r="K5581" i="1"/>
  <c r="L5581" i="1"/>
  <c r="A5582" i="1"/>
  <c r="B5582" i="1"/>
  <c r="C5582" i="1"/>
  <c r="D5582" i="1"/>
  <c r="E5582" i="1"/>
  <c r="F5582" i="1"/>
  <c r="G5582" i="1"/>
  <c r="H5582" i="1"/>
  <c r="I5582" i="1"/>
  <c r="J5582" i="1"/>
  <c r="K5582" i="1"/>
  <c r="L5582" i="1"/>
  <c r="A5583" i="1"/>
  <c r="B5583" i="1"/>
  <c r="C5583" i="1"/>
  <c r="D5583" i="1"/>
  <c r="E5583" i="1"/>
  <c r="F5583" i="1"/>
  <c r="G5583" i="1"/>
  <c r="H5583" i="1"/>
  <c r="I5583" i="1"/>
  <c r="J5583" i="1"/>
  <c r="K5583" i="1"/>
  <c r="L5583" i="1"/>
  <c r="A5584" i="1"/>
  <c r="B5584" i="1"/>
  <c r="C5584" i="1"/>
  <c r="D5584" i="1"/>
  <c r="E5584" i="1"/>
  <c r="F5584" i="1"/>
  <c r="G5584" i="1"/>
  <c r="H5584" i="1"/>
  <c r="I5584" i="1"/>
  <c r="J5584" i="1"/>
  <c r="K5584" i="1"/>
  <c r="L5584" i="1"/>
  <c r="A5585" i="1"/>
  <c r="B5585" i="1"/>
  <c r="C5585" i="1"/>
  <c r="D5585" i="1"/>
  <c r="E5585" i="1"/>
  <c r="F5585" i="1"/>
  <c r="G5585" i="1"/>
  <c r="H5585" i="1"/>
  <c r="I5585" i="1"/>
  <c r="J5585" i="1"/>
  <c r="K5585" i="1"/>
  <c r="L5585" i="1"/>
  <c r="A5586" i="1"/>
  <c r="B5586" i="1"/>
  <c r="C5586" i="1"/>
  <c r="D5586" i="1"/>
  <c r="E5586" i="1"/>
  <c r="F5586" i="1"/>
  <c r="G5586" i="1"/>
  <c r="H5586" i="1"/>
  <c r="I5586" i="1"/>
  <c r="J5586" i="1"/>
  <c r="K5586" i="1"/>
  <c r="L5586" i="1"/>
  <c r="A5587" i="1"/>
  <c r="B5587" i="1"/>
  <c r="C5587" i="1"/>
  <c r="D5587" i="1"/>
  <c r="E5587" i="1"/>
  <c r="F5587" i="1"/>
  <c r="G5587" i="1"/>
  <c r="H5587" i="1"/>
  <c r="I5587" i="1"/>
  <c r="J5587" i="1"/>
  <c r="K5587" i="1"/>
  <c r="L5587" i="1"/>
  <c r="A5588" i="1"/>
  <c r="B5588" i="1"/>
  <c r="C5588" i="1"/>
  <c r="D5588" i="1"/>
  <c r="E5588" i="1"/>
  <c r="F5588" i="1"/>
  <c r="G5588" i="1"/>
  <c r="H5588" i="1"/>
  <c r="I5588" i="1"/>
  <c r="J5588" i="1"/>
  <c r="K5588" i="1"/>
  <c r="L5588" i="1"/>
  <c r="A5589" i="1"/>
  <c r="B5589" i="1"/>
  <c r="C5589" i="1"/>
  <c r="D5589" i="1"/>
  <c r="E5589" i="1"/>
  <c r="F5589" i="1"/>
  <c r="G5589" i="1"/>
  <c r="H5589" i="1"/>
  <c r="I5589" i="1"/>
  <c r="J5589" i="1"/>
  <c r="K5589" i="1"/>
  <c r="L5589" i="1"/>
  <c r="A5590" i="1"/>
  <c r="B5590" i="1"/>
  <c r="C5590" i="1"/>
  <c r="D5590" i="1"/>
  <c r="E5590" i="1"/>
  <c r="F5590" i="1"/>
  <c r="G5590" i="1"/>
  <c r="H5590" i="1"/>
  <c r="I5590" i="1"/>
  <c r="J5590" i="1"/>
  <c r="K5590" i="1"/>
  <c r="L5590" i="1"/>
  <c r="A5591" i="1"/>
  <c r="B5591" i="1"/>
  <c r="C5591" i="1"/>
  <c r="D5591" i="1"/>
  <c r="E5591" i="1"/>
  <c r="F5591" i="1"/>
  <c r="G5591" i="1"/>
  <c r="H5591" i="1"/>
  <c r="I5591" i="1"/>
  <c r="J5591" i="1"/>
  <c r="K5591" i="1"/>
  <c r="L5591" i="1"/>
  <c r="A5592" i="1"/>
  <c r="B5592" i="1"/>
  <c r="C5592" i="1"/>
  <c r="D5592" i="1"/>
  <c r="E5592" i="1"/>
  <c r="F5592" i="1"/>
  <c r="G5592" i="1"/>
  <c r="H5592" i="1"/>
  <c r="I5592" i="1"/>
  <c r="J5592" i="1"/>
  <c r="K5592" i="1"/>
  <c r="L5592" i="1"/>
  <c r="A5593" i="1"/>
  <c r="B5593" i="1"/>
  <c r="C5593" i="1"/>
  <c r="D5593" i="1"/>
  <c r="E5593" i="1"/>
  <c r="F5593" i="1"/>
  <c r="G5593" i="1"/>
  <c r="H5593" i="1"/>
  <c r="I5593" i="1"/>
  <c r="J5593" i="1"/>
  <c r="K5593" i="1"/>
  <c r="L5593" i="1"/>
  <c r="A5594" i="1"/>
  <c r="B5594" i="1"/>
  <c r="C5594" i="1"/>
  <c r="D5594" i="1"/>
  <c r="E5594" i="1"/>
  <c r="F5594" i="1"/>
  <c r="G5594" i="1"/>
  <c r="H5594" i="1"/>
  <c r="I5594" i="1"/>
  <c r="J5594" i="1"/>
  <c r="K5594" i="1"/>
  <c r="L5594" i="1"/>
  <c r="A5595" i="1"/>
  <c r="B5595" i="1"/>
  <c r="C5595" i="1"/>
  <c r="D5595" i="1"/>
  <c r="E5595" i="1"/>
  <c r="F5595" i="1"/>
  <c r="G5595" i="1"/>
  <c r="H5595" i="1"/>
  <c r="I5595" i="1"/>
  <c r="J5595" i="1"/>
  <c r="K5595" i="1"/>
  <c r="L5595" i="1"/>
  <c r="A5596" i="1"/>
  <c r="B5596" i="1"/>
  <c r="C5596" i="1"/>
  <c r="D5596" i="1"/>
  <c r="E5596" i="1"/>
  <c r="F5596" i="1"/>
  <c r="G5596" i="1"/>
  <c r="H5596" i="1"/>
  <c r="I5596" i="1"/>
  <c r="J5596" i="1"/>
  <c r="K5596" i="1"/>
  <c r="L5596" i="1"/>
  <c r="A5597" i="1"/>
  <c r="B5597" i="1"/>
  <c r="C5597" i="1"/>
  <c r="D5597" i="1"/>
  <c r="E5597" i="1"/>
  <c r="F5597" i="1"/>
  <c r="G5597" i="1"/>
  <c r="H5597" i="1"/>
  <c r="I5597" i="1"/>
  <c r="J5597" i="1"/>
  <c r="K5597" i="1"/>
  <c r="L5597" i="1"/>
  <c r="A5598" i="1"/>
  <c r="B5598" i="1"/>
  <c r="C5598" i="1"/>
  <c r="D5598" i="1"/>
  <c r="E5598" i="1"/>
  <c r="F5598" i="1"/>
  <c r="G5598" i="1"/>
  <c r="H5598" i="1"/>
  <c r="I5598" i="1"/>
  <c r="J5598" i="1"/>
  <c r="K5598" i="1"/>
  <c r="L5598" i="1"/>
  <c r="A5599" i="1"/>
  <c r="B5599" i="1"/>
  <c r="C5599" i="1"/>
  <c r="D5599" i="1"/>
  <c r="E5599" i="1"/>
  <c r="F5599" i="1"/>
  <c r="G5599" i="1"/>
  <c r="H5599" i="1"/>
  <c r="I5599" i="1"/>
  <c r="J5599" i="1"/>
  <c r="K5599" i="1"/>
  <c r="L5599" i="1"/>
  <c r="A5600" i="1"/>
  <c r="B5600" i="1"/>
  <c r="C5600" i="1"/>
  <c r="D5600" i="1"/>
  <c r="E5600" i="1"/>
  <c r="F5600" i="1"/>
  <c r="G5600" i="1"/>
  <c r="H5600" i="1"/>
  <c r="I5600" i="1"/>
  <c r="J5600" i="1"/>
  <c r="K5600" i="1"/>
  <c r="L5600" i="1"/>
  <c r="A5601" i="1"/>
  <c r="B5601" i="1"/>
  <c r="C5601" i="1"/>
  <c r="D5601" i="1"/>
  <c r="E5601" i="1"/>
  <c r="F5601" i="1"/>
  <c r="G5601" i="1"/>
  <c r="H5601" i="1"/>
  <c r="I5601" i="1"/>
  <c r="J5601" i="1"/>
  <c r="K5601" i="1"/>
  <c r="L5601" i="1"/>
  <c r="A5602" i="1"/>
  <c r="B5602" i="1"/>
  <c r="C5602" i="1"/>
  <c r="D5602" i="1"/>
  <c r="E5602" i="1"/>
  <c r="F5602" i="1"/>
  <c r="G5602" i="1"/>
  <c r="H5602" i="1"/>
  <c r="I5602" i="1"/>
  <c r="J5602" i="1"/>
  <c r="K5602" i="1"/>
  <c r="L5602" i="1"/>
  <c r="A5603" i="1"/>
  <c r="B5603" i="1"/>
  <c r="C5603" i="1"/>
  <c r="D5603" i="1"/>
  <c r="E5603" i="1"/>
  <c r="F5603" i="1"/>
  <c r="G5603" i="1"/>
  <c r="H5603" i="1"/>
  <c r="I5603" i="1"/>
  <c r="J5603" i="1"/>
  <c r="K5603" i="1"/>
  <c r="L5603" i="1"/>
  <c r="A5604" i="1"/>
  <c r="B5604" i="1"/>
  <c r="C5604" i="1"/>
  <c r="D5604" i="1"/>
  <c r="E5604" i="1"/>
  <c r="F5604" i="1"/>
  <c r="G5604" i="1"/>
  <c r="H5604" i="1"/>
  <c r="I5604" i="1"/>
  <c r="J5604" i="1"/>
  <c r="K5604" i="1"/>
  <c r="L5604" i="1"/>
  <c r="A5605" i="1"/>
  <c r="B5605" i="1"/>
  <c r="C5605" i="1"/>
  <c r="D5605" i="1"/>
  <c r="E5605" i="1"/>
  <c r="F5605" i="1"/>
  <c r="G5605" i="1"/>
  <c r="H5605" i="1"/>
  <c r="I5605" i="1"/>
  <c r="J5605" i="1"/>
  <c r="K5605" i="1"/>
  <c r="L5605" i="1"/>
  <c r="A5606" i="1"/>
  <c r="B5606" i="1"/>
  <c r="C5606" i="1"/>
  <c r="D5606" i="1"/>
  <c r="E5606" i="1"/>
  <c r="F5606" i="1"/>
  <c r="G5606" i="1"/>
  <c r="H5606" i="1"/>
  <c r="I5606" i="1"/>
  <c r="J5606" i="1"/>
  <c r="K5606" i="1"/>
  <c r="L5606" i="1"/>
  <c r="A5607" i="1"/>
  <c r="B5607" i="1"/>
  <c r="C5607" i="1"/>
  <c r="D5607" i="1"/>
  <c r="E5607" i="1"/>
  <c r="F5607" i="1"/>
  <c r="G5607" i="1"/>
  <c r="H5607" i="1"/>
  <c r="I5607" i="1"/>
  <c r="J5607" i="1"/>
  <c r="K5607" i="1"/>
  <c r="L5607" i="1"/>
  <c r="A5608" i="1"/>
  <c r="B5608" i="1"/>
  <c r="C5608" i="1"/>
  <c r="D5608" i="1"/>
  <c r="E5608" i="1"/>
  <c r="F5608" i="1"/>
  <c r="G5608" i="1"/>
  <c r="H5608" i="1"/>
  <c r="I5608" i="1"/>
  <c r="J5608" i="1"/>
  <c r="K5608" i="1"/>
  <c r="L5608" i="1"/>
  <c r="A5609" i="1"/>
  <c r="B5609" i="1"/>
  <c r="C5609" i="1"/>
  <c r="D5609" i="1"/>
  <c r="E5609" i="1"/>
  <c r="F5609" i="1"/>
  <c r="G5609" i="1"/>
  <c r="H5609" i="1"/>
  <c r="I5609" i="1"/>
  <c r="J5609" i="1"/>
  <c r="K5609" i="1"/>
  <c r="L5609" i="1"/>
  <c r="A5610" i="1"/>
  <c r="B5610" i="1"/>
  <c r="C5610" i="1"/>
  <c r="D5610" i="1"/>
  <c r="E5610" i="1"/>
  <c r="F5610" i="1"/>
  <c r="G5610" i="1"/>
  <c r="H5610" i="1"/>
  <c r="I5610" i="1"/>
  <c r="J5610" i="1"/>
  <c r="K5610" i="1"/>
  <c r="L5610" i="1"/>
  <c r="A5611" i="1"/>
  <c r="B5611" i="1"/>
  <c r="C5611" i="1"/>
  <c r="D5611" i="1"/>
  <c r="E5611" i="1"/>
  <c r="F5611" i="1"/>
  <c r="G5611" i="1"/>
  <c r="H5611" i="1"/>
  <c r="I5611" i="1"/>
  <c r="J5611" i="1"/>
  <c r="K5611" i="1"/>
  <c r="L5611" i="1"/>
  <c r="A5612" i="1"/>
  <c r="B5612" i="1"/>
  <c r="C5612" i="1"/>
  <c r="D5612" i="1"/>
  <c r="E5612" i="1"/>
  <c r="F5612" i="1"/>
  <c r="G5612" i="1"/>
  <c r="H5612" i="1"/>
  <c r="I5612" i="1"/>
  <c r="J5612" i="1"/>
  <c r="K5612" i="1"/>
  <c r="L5612" i="1"/>
  <c r="A5613" i="1"/>
  <c r="B5613" i="1"/>
  <c r="C5613" i="1"/>
  <c r="D5613" i="1"/>
  <c r="E5613" i="1"/>
  <c r="F5613" i="1"/>
  <c r="G5613" i="1"/>
  <c r="H5613" i="1"/>
  <c r="I5613" i="1"/>
  <c r="J5613" i="1"/>
  <c r="K5613" i="1"/>
  <c r="L5613" i="1"/>
  <c r="A5614" i="1"/>
  <c r="B5614" i="1"/>
  <c r="C5614" i="1"/>
  <c r="D5614" i="1"/>
  <c r="E5614" i="1"/>
  <c r="F5614" i="1"/>
  <c r="G5614" i="1"/>
  <c r="H5614" i="1"/>
  <c r="I5614" i="1"/>
  <c r="J5614" i="1"/>
  <c r="K5614" i="1"/>
  <c r="L5614" i="1"/>
  <c r="A5615" i="1"/>
  <c r="B5615" i="1"/>
  <c r="C5615" i="1"/>
  <c r="D5615" i="1"/>
  <c r="E5615" i="1"/>
  <c r="F5615" i="1"/>
  <c r="G5615" i="1"/>
  <c r="H5615" i="1"/>
  <c r="I5615" i="1"/>
  <c r="J5615" i="1"/>
  <c r="K5615" i="1"/>
  <c r="L5615" i="1"/>
  <c r="A5616" i="1"/>
  <c r="B5616" i="1"/>
  <c r="C5616" i="1"/>
  <c r="D5616" i="1"/>
  <c r="E5616" i="1"/>
  <c r="F5616" i="1"/>
  <c r="G5616" i="1"/>
  <c r="H5616" i="1"/>
  <c r="I5616" i="1"/>
  <c r="J5616" i="1"/>
  <c r="K5616" i="1"/>
  <c r="L5616" i="1"/>
  <c r="A5617" i="1"/>
  <c r="B5617" i="1"/>
  <c r="C5617" i="1"/>
  <c r="D5617" i="1"/>
  <c r="E5617" i="1"/>
  <c r="F5617" i="1"/>
  <c r="G5617" i="1"/>
  <c r="H5617" i="1"/>
  <c r="I5617" i="1"/>
  <c r="J5617" i="1"/>
  <c r="K5617" i="1"/>
  <c r="L5617" i="1"/>
  <c r="A5618" i="1"/>
  <c r="B5618" i="1"/>
  <c r="C5618" i="1"/>
  <c r="D5618" i="1"/>
  <c r="E5618" i="1"/>
  <c r="F5618" i="1"/>
  <c r="G5618" i="1"/>
  <c r="H5618" i="1"/>
  <c r="I5618" i="1"/>
  <c r="J5618" i="1"/>
  <c r="K5618" i="1"/>
  <c r="L5618" i="1"/>
  <c r="A5619" i="1"/>
  <c r="B5619" i="1"/>
  <c r="C5619" i="1"/>
  <c r="D5619" i="1"/>
  <c r="E5619" i="1"/>
  <c r="F5619" i="1"/>
  <c r="G5619" i="1"/>
  <c r="H5619" i="1"/>
  <c r="I5619" i="1"/>
  <c r="J5619" i="1"/>
  <c r="K5619" i="1"/>
  <c r="L5619" i="1"/>
  <c r="A5620" i="1"/>
  <c r="B5620" i="1"/>
  <c r="C5620" i="1"/>
  <c r="D5620" i="1"/>
  <c r="E5620" i="1"/>
  <c r="F5620" i="1"/>
  <c r="G5620" i="1"/>
  <c r="H5620" i="1"/>
  <c r="I5620" i="1"/>
  <c r="J5620" i="1"/>
  <c r="K5620" i="1"/>
  <c r="L5620" i="1"/>
  <c r="A5621" i="1"/>
  <c r="B5621" i="1"/>
  <c r="C5621" i="1"/>
  <c r="D5621" i="1"/>
  <c r="E5621" i="1"/>
  <c r="F5621" i="1"/>
  <c r="G5621" i="1"/>
  <c r="H5621" i="1"/>
  <c r="I5621" i="1"/>
  <c r="J5621" i="1"/>
  <c r="K5621" i="1"/>
  <c r="L5621" i="1"/>
  <c r="A5622" i="1"/>
  <c r="B5622" i="1"/>
  <c r="C5622" i="1"/>
  <c r="D5622" i="1"/>
  <c r="E5622" i="1"/>
  <c r="F5622" i="1"/>
  <c r="G5622" i="1"/>
  <c r="H5622" i="1"/>
  <c r="I5622" i="1"/>
  <c r="J5622" i="1"/>
  <c r="K5622" i="1"/>
  <c r="L5622" i="1"/>
  <c r="A5623" i="1"/>
  <c r="B5623" i="1"/>
  <c r="C5623" i="1"/>
  <c r="D5623" i="1"/>
  <c r="E5623" i="1"/>
  <c r="F5623" i="1"/>
  <c r="G5623" i="1"/>
  <c r="H5623" i="1"/>
  <c r="I5623" i="1"/>
  <c r="J5623" i="1"/>
  <c r="K5623" i="1"/>
  <c r="L5623" i="1"/>
  <c r="A5624" i="1"/>
  <c r="B5624" i="1"/>
  <c r="C5624" i="1"/>
  <c r="D5624" i="1"/>
  <c r="E5624" i="1"/>
  <c r="F5624" i="1"/>
  <c r="G5624" i="1"/>
  <c r="H5624" i="1"/>
  <c r="I5624" i="1"/>
  <c r="J5624" i="1"/>
  <c r="K5624" i="1"/>
  <c r="L5624" i="1"/>
  <c r="A5625" i="1"/>
  <c r="B5625" i="1"/>
  <c r="C5625" i="1"/>
  <c r="D5625" i="1"/>
  <c r="E5625" i="1"/>
  <c r="F5625" i="1"/>
  <c r="G5625" i="1"/>
  <c r="H5625" i="1"/>
  <c r="I5625" i="1"/>
  <c r="J5625" i="1"/>
  <c r="K5625" i="1"/>
  <c r="L5625" i="1"/>
  <c r="A5626" i="1"/>
  <c r="B5626" i="1"/>
  <c r="C5626" i="1"/>
  <c r="D5626" i="1"/>
  <c r="E5626" i="1"/>
  <c r="F5626" i="1"/>
  <c r="G5626" i="1"/>
  <c r="H5626" i="1"/>
  <c r="I5626" i="1"/>
  <c r="J5626" i="1"/>
  <c r="K5626" i="1"/>
  <c r="L5626" i="1"/>
  <c r="A5627" i="1"/>
  <c r="B5627" i="1"/>
  <c r="C5627" i="1"/>
  <c r="D5627" i="1"/>
  <c r="E5627" i="1"/>
  <c r="F5627" i="1"/>
  <c r="G5627" i="1"/>
  <c r="H5627" i="1"/>
  <c r="I5627" i="1"/>
  <c r="J5627" i="1"/>
  <c r="K5627" i="1"/>
  <c r="L5627" i="1"/>
  <c r="A5628" i="1"/>
  <c r="B5628" i="1"/>
  <c r="C5628" i="1"/>
  <c r="D5628" i="1"/>
  <c r="E5628" i="1"/>
  <c r="F5628" i="1"/>
  <c r="G5628" i="1"/>
  <c r="H5628" i="1"/>
  <c r="I5628" i="1"/>
  <c r="J5628" i="1"/>
  <c r="K5628" i="1"/>
  <c r="L5628" i="1"/>
  <c r="A5629" i="1"/>
  <c r="B5629" i="1"/>
  <c r="C5629" i="1"/>
  <c r="D5629" i="1"/>
  <c r="E5629" i="1"/>
  <c r="F5629" i="1"/>
  <c r="G5629" i="1"/>
  <c r="H5629" i="1"/>
  <c r="I5629" i="1"/>
  <c r="J5629" i="1"/>
  <c r="K5629" i="1"/>
  <c r="L5629" i="1"/>
  <c r="A5630" i="1"/>
  <c r="B5630" i="1"/>
  <c r="C5630" i="1"/>
  <c r="D5630" i="1"/>
  <c r="E5630" i="1"/>
  <c r="F5630" i="1"/>
  <c r="G5630" i="1"/>
  <c r="H5630" i="1"/>
  <c r="I5630" i="1"/>
  <c r="J5630" i="1"/>
  <c r="K5630" i="1"/>
  <c r="L5630" i="1"/>
  <c r="A5631" i="1"/>
  <c r="B5631" i="1"/>
  <c r="C5631" i="1"/>
  <c r="D5631" i="1"/>
  <c r="E5631" i="1"/>
  <c r="F5631" i="1"/>
  <c r="G5631" i="1"/>
  <c r="H5631" i="1"/>
  <c r="I5631" i="1"/>
  <c r="J5631" i="1"/>
  <c r="K5631" i="1"/>
  <c r="L5631" i="1"/>
  <c r="A5632" i="1"/>
  <c r="B5632" i="1"/>
  <c r="C5632" i="1"/>
  <c r="D5632" i="1"/>
  <c r="E5632" i="1"/>
  <c r="F5632" i="1"/>
  <c r="G5632" i="1"/>
  <c r="H5632" i="1"/>
  <c r="I5632" i="1"/>
  <c r="J5632" i="1"/>
  <c r="K5632" i="1"/>
  <c r="L5632" i="1"/>
  <c r="A5633" i="1"/>
  <c r="B5633" i="1"/>
  <c r="C5633" i="1"/>
  <c r="D5633" i="1"/>
  <c r="E5633" i="1"/>
  <c r="F5633" i="1"/>
  <c r="G5633" i="1"/>
  <c r="H5633" i="1"/>
  <c r="I5633" i="1"/>
  <c r="J5633" i="1"/>
  <c r="K5633" i="1"/>
  <c r="L5633" i="1"/>
  <c r="A5634" i="1"/>
  <c r="B5634" i="1"/>
  <c r="C5634" i="1"/>
  <c r="D5634" i="1"/>
  <c r="E5634" i="1"/>
  <c r="F5634" i="1"/>
  <c r="G5634" i="1"/>
  <c r="H5634" i="1"/>
  <c r="I5634" i="1"/>
  <c r="J5634" i="1"/>
  <c r="K5634" i="1"/>
  <c r="L5634" i="1"/>
  <c r="A5635" i="1"/>
  <c r="B5635" i="1"/>
  <c r="C5635" i="1"/>
  <c r="D5635" i="1"/>
  <c r="E5635" i="1"/>
  <c r="F5635" i="1"/>
  <c r="G5635" i="1"/>
  <c r="H5635" i="1"/>
  <c r="I5635" i="1"/>
  <c r="J5635" i="1"/>
  <c r="K5635" i="1"/>
  <c r="L5635" i="1"/>
  <c r="A5636" i="1"/>
  <c r="B5636" i="1"/>
  <c r="C5636" i="1"/>
  <c r="D5636" i="1"/>
  <c r="E5636" i="1"/>
  <c r="F5636" i="1"/>
  <c r="G5636" i="1"/>
  <c r="H5636" i="1"/>
  <c r="I5636" i="1"/>
  <c r="J5636" i="1"/>
  <c r="K5636" i="1"/>
  <c r="L5636" i="1"/>
  <c r="A5637" i="1"/>
  <c r="B5637" i="1"/>
  <c r="C5637" i="1"/>
  <c r="D5637" i="1"/>
  <c r="E5637" i="1"/>
  <c r="F5637" i="1"/>
  <c r="G5637" i="1"/>
  <c r="H5637" i="1"/>
  <c r="I5637" i="1"/>
  <c r="J5637" i="1"/>
  <c r="K5637" i="1"/>
  <c r="L5637" i="1"/>
  <c r="A5638" i="1"/>
  <c r="B5638" i="1"/>
  <c r="C5638" i="1"/>
  <c r="D5638" i="1"/>
  <c r="E5638" i="1"/>
  <c r="F5638" i="1"/>
  <c r="G5638" i="1"/>
  <c r="H5638" i="1"/>
  <c r="I5638" i="1"/>
  <c r="J5638" i="1"/>
  <c r="K5638" i="1"/>
  <c r="L5638" i="1"/>
  <c r="A5639" i="1"/>
  <c r="B5639" i="1"/>
  <c r="C5639" i="1"/>
  <c r="D5639" i="1"/>
  <c r="E5639" i="1"/>
  <c r="F5639" i="1"/>
  <c r="G5639" i="1"/>
  <c r="H5639" i="1"/>
  <c r="I5639" i="1"/>
  <c r="J5639" i="1"/>
  <c r="K5639" i="1"/>
  <c r="L5639" i="1"/>
  <c r="A5640" i="1"/>
  <c r="B5640" i="1"/>
  <c r="C5640" i="1"/>
  <c r="D5640" i="1"/>
  <c r="E5640" i="1"/>
  <c r="F5640" i="1"/>
  <c r="G5640" i="1"/>
  <c r="H5640" i="1"/>
  <c r="I5640" i="1"/>
  <c r="J5640" i="1"/>
  <c r="K5640" i="1"/>
  <c r="L5640" i="1"/>
  <c r="A5641" i="1"/>
  <c r="B5641" i="1"/>
  <c r="C5641" i="1"/>
  <c r="D5641" i="1"/>
  <c r="E5641" i="1"/>
  <c r="F5641" i="1"/>
  <c r="G5641" i="1"/>
  <c r="H5641" i="1"/>
  <c r="I5641" i="1"/>
  <c r="J5641" i="1"/>
  <c r="K5641" i="1"/>
  <c r="L5641" i="1"/>
  <c r="A5642" i="1"/>
  <c r="B5642" i="1"/>
  <c r="C5642" i="1"/>
  <c r="D5642" i="1"/>
  <c r="E5642" i="1"/>
  <c r="F5642" i="1"/>
  <c r="G5642" i="1"/>
  <c r="H5642" i="1"/>
  <c r="I5642" i="1"/>
  <c r="J5642" i="1"/>
  <c r="K5642" i="1"/>
  <c r="L5642" i="1"/>
  <c r="A5643" i="1"/>
  <c r="B5643" i="1"/>
  <c r="C5643" i="1"/>
  <c r="D5643" i="1"/>
  <c r="E5643" i="1"/>
  <c r="F5643" i="1"/>
  <c r="G5643" i="1"/>
  <c r="H5643" i="1"/>
  <c r="I5643" i="1"/>
  <c r="J5643" i="1"/>
  <c r="K5643" i="1"/>
  <c r="L5643" i="1"/>
  <c r="A5644" i="1"/>
  <c r="B5644" i="1"/>
  <c r="C5644" i="1"/>
  <c r="D5644" i="1"/>
  <c r="E5644" i="1"/>
  <c r="F5644" i="1"/>
  <c r="G5644" i="1"/>
  <c r="H5644" i="1"/>
  <c r="I5644" i="1"/>
  <c r="J5644" i="1"/>
  <c r="K5644" i="1"/>
  <c r="L5644" i="1"/>
  <c r="A5645" i="1"/>
  <c r="B5645" i="1"/>
  <c r="C5645" i="1"/>
  <c r="D5645" i="1"/>
  <c r="E5645" i="1"/>
  <c r="F5645" i="1"/>
  <c r="G5645" i="1"/>
  <c r="H5645" i="1"/>
  <c r="I5645" i="1"/>
  <c r="J5645" i="1"/>
  <c r="K5645" i="1"/>
  <c r="L5645" i="1"/>
  <c r="A5646" i="1"/>
  <c r="B5646" i="1"/>
  <c r="C5646" i="1"/>
  <c r="D5646" i="1"/>
  <c r="E5646" i="1"/>
  <c r="F5646" i="1"/>
  <c r="G5646" i="1"/>
  <c r="H5646" i="1"/>
  <c r="I5646" i="1"/>
  <c r="J5646" i="1"/>
  <c r="K5646" i="1"/>
  <c r="L5646" i="1"/>
  <c r="A5647" i="1"/>
  <c r="B5647" i="1"/>
  <c r="C5647" i="1"/>
  <c r="D5647" i="1"/>
  <c r="E5647" i="1"/>
  <c r="F5647" i="1"/>
  <c r="G5647" i="1"/>
  <c r="H5647" i="1"/>
  <c r="I5647" i="1"/>
  <c r="J5647" i="1"/>
  <c r="K5647" i="1"/>
  <c r="L5647" i="1"/>
  <c r="A5648" i="1"/>
  <c r="B5648" i="1"/>
  <c r="C5648" i="1"/>
  <c r="D5648" i="1"/>
  <c r="E5648" i="1"/>
  <c r="F5648" i="1"/>
  <c r="G5648" i="1"/>
  <c r="H5648" i="1"/>
  <c r="I5648" i="1"/>
  <c r="J5648" i="1"/>
  <c r="K5648" i="1"/>
  <c r="L5648" i="1"/>
  <c r="A5649" i="1"/>
  <c r="B5649" i="1"/>
  <c r="C5649" i="1"/>
  <c r="D5649" i="1"/>
  <c r="E5649" i="1"/>
  <c r="F5649" i="1"/>
  <c r="G5649" i="1"/>
  <c r="H5649" i="1"/>
  <c r="I5649" i="1"/>
  <c r="J5649" i="1"/>
  <c r="K5649" i="1"/>
  <c r="L5649" i="1"/>
  <c r="A5650" i="1"/>
  <c r="B5650" i="1"/>
  <c r="C5650" i="1"/>
  <c r="D5650" i="1"/>
  <c r="E5650" i="1"/>
  <c r="F5650" i="1"/>
  <c r="G5650" i="1"/>
  <c r="H5650" i="1"/>
  <c r="I5650" i="1"/>
  <c r="J5650" i="1"/>
  <c r="K5650" i="1"/>
  <c r="L5650" i="1"/>
  <c r="A5651" i="1"/>
  <c r="B5651" i="1"/>
  <c r="C5651" i="1"/>
  <c r="D5651" i="1"/>
  <c r="E5651" i="1"/>
  <c r="F5651" i="1"/>
  <c r="G5651" i="1"/>
  <c r="H5651" i="1"/>
  <c r="I5651" i="1"/>
  <c r="J5651" i="1"/>
  <c r="K5651" i="1"/>
  <c r="L5651" i="1"/>
  <c r="A5652" i="1"/>
  <c r="B5652" i="1"/>
  <c r="C5652" i="1"/>
  <c r="D5652" i="1"/>
  <c r="E5652" i="1"/>
  <c r="F5652" i="1"/>
  <c r="G5652" i="1"/>
  <c r="H5652" i="1"/>
  <c r="I5652" i="1"/>
  <c r="J5652" i="1"/>
  <c r="K5652" i="1"/>
  <c r="L5652" i="1"/>
  <c r="A5653" i="1"/>
  <c r="B5653" i="1"/>
  <c r="C5653" i="1"/>
  <c r="D5653" i="1"/>
  <c r="E5653" i="1"/>
  <c r="F5653" i="1"/>
  <c r="G5653" i="1"/>
  <c r="H5653" i="1"/>
  <c r="I5653" i="1"/>
  <c r="J5653" i="1"/>
  <c r="K5653" i="1"/>
  <c r="L5653" i="1"/>
  <c r="A5654" i="1"/>
  <c r="B5654" i="1"/>
  <c r="C5654" i="1"/>
  <c r="D5654" i="1"/>
  <c r="E5654" i="1"/>
  <c r="F5654" i="1"/>
  <c r="G5654" i="1"/>
  <c r="H5654" i="1"/>
  <c r="I5654" i="1"/>
  <c r="J5654" i="1"/>
  <c r="K5654" i="1"/>
  <c r="L5654" i="1"/>
  <c r="A5655" i="1"/>
  <c r="B5655" i="1"/>
  <c r="C5655" i="1"/>
  <c r="D5655" i="1"/>
  <c r="E5655" i="1"/>
  <c r="F5655" i="1"/>
  <c r="G5655" i="1"/>
  <c r="H5655" i="1"/>
  <c r="I5655" i="1"/>
  <c r="J5655" i="1"/>
  <c r="K5655" i="1"/>
  <c r="L5655" i="1"/>
  <c r="A5656" i="1"/>
  <c r="B5656" i="1"/>
  <c r="C5656" i="1"/>
  <c r="D5656" i="1"/>
  <c r="E5656" i="1"/>
  <c r="F5656" i="1"/>
  <c r="G5656" i="1"/>
  <c r="H5656" i="1"/>
  <c r="I5656" i="1"/>
  <c r="J5656" i="1"/>
  <c r="K5656" i="1"/>
  <c r="L5656" i="1"/>
  <c r="A5657" i="1"/>
  <c r="B5657" i="1"/>
  <c r="C5657" i="1"/>
  <c r="D5657" i="1"/>
  <c r="E5657" i="1"/>
  <c r="F5657" i="1"/>
  <c r="G5657" i="1"/>
  <c r="H5657" i="1"/>
  <c r="I5657" i="1"/>
  <c r="J5657" i="1"/>
  <c r="K5657" i="1"/>
  <c r="L5657" i="1"/>
  <c r="A5658" i="1"/>
  <c r="B5658" i="1"/>
  <c r="C5658" i="1"/>
  <c r="D5658" i="1"/>
  <c r="E5658" i="1"/>
  <c r="F5658" i="1"/>
  <c r="G5658" i="1"/>
  <c r="H5658" i="1"/>
  <c r="I5658" i="1"/>
  <c r="J5658" i="1"/>
  <c r="K5658" i="1"/>
  <c r="L5658" i="1"/>
  <c r="A5659" i="1"/>
  <c r="B5659" i="1"/>
  <c r="C5659" i="1"/>
  <c r="D5659" i="1"/>
  <c r="E5659" i="1"/>
  <c r="F5659" i="1"/>
  <c r="G5659" i="1"/>
  <c r="H5659" i="1"/>
  <c r="I5659" i="1"/>
  <c r="J5659" i="1"/>
  <c r="K5659" i="1"/>
  <c r="L5659" i="1"/>
  <c r="A5660" i="1"/>
  <c r="B5660" i="1"/>
  <c r="C5660" i="1"/>
  <c r="D5660" i="1"/>
  <c r="E5660" i="1"/>
  <c r="F5660" i="1"/>
  <c r="G5660" i="1"/>
  <c r="H5660" i="1"/>
  <c r="I5660" i="1"/>
  <c r="J5660" i="1"/>
  <c r="K5660" i="1"/>
  <c r="L5660" i="1"/>
  <c r="A5661" i="1"/>
  <c r="B5661" i="1"/>
  <c r="C5661" i="1"/>
  <c r="D5661" i="1"/>
  <c r="E5661" i="1"/>
  <c r="F5661" i="1"/>
  <c r="G5661" i="1"/>
  <c r="H5661" i="1"/>
  <c r="I5661" i="1"/>
  <c r="J5661" i="1"/>
  <c r="K5661" i="1"/>
  <c r="L5661" i="1"/>
  <c r="A5662" i="1"/>
  <c r="B5662" i="1"/>
  <c r="C5662" i="1"/>
  <c r="D5662" i="1"/>
  <c r="E5662" i="1"/>
  <c r="F5662" i="1"/>
  <c r="G5662" i="1"/>
  <c r="H5662" i="1"/>
  <c r="I5662" i="1"/>
  <c r="J5662" i="1"/>
  <c r="K5662" i="1"/>
  <c r="L5662" i="1"/>
  <c r="A5663" i="1"/>
  <c r="B5663" i="1"/>
  <c r="C5663" i="1"/>
  <c r="D5663" i="1"/>
  <c r="E5663" i="1"/>
  <c r="F5663" i="1"/>
  <c r="G5663" i="1"/>
  <c r="H5663" i="1"/>
  <c r="I5663" i="1"/>
  <c r="J5663" i="1"/>
  <c r="K5663" i="1"/>
  <c r="L5663" i="1"/>
  <c r="A5664" i="1"/>
  <c r="B5664" i="1"/>
  <c r="C5664" i="1"/>
  <c r="D5664" i="1"/>
  <c r="E5664" i="1"/>
  <c r="F5664" i="1"/>
  <c r="G5664" i="1"/>
  <c r="H5664" i="1"/>
  <c r="I5664" i="1"/>
  <c r="J5664" i="1"/>
  <c r="K5664" i="1"/>
  <c r="L5664" i="1"/>
  <c r="A5665" i="1"/>
  <c r="B5665" i="1"/>
  <c r="C5665" i="1"/>
  <c r="D5665" i="1"/>
  <c r="E5665" i="1"/>
  <c r="F5665" i="1"/>
  <c r="G5665" i="1"/>
  <c r="H5665" i="1"/>
  <c r="I5665" i="1"/>
  <c r="J5665" i="1"/>
  <c r="K5665" i="1"/>
  <c r="L5665" i="1"/>
  <c r="A5666" i="1"/>
  <c r="B5666" i="1"/>
  <c r="C5666" i="1"/>
  <c r="D5666" i="1"/>
  <c r="E5666" i="1"/>
  <c r="F5666" i="1"/>
  <c r="G5666" i="1"/>
  <c r="H5666" i="1"/>
  <c r="I5666" i="1"/>
  <c r="J5666" i="1"/>
  <c r="K5666" i="1"/>
  <c r="L5666" i="1"/>
  <c r="A5667" i="1"/>
  <c r="B5667" i="1"/>
  <c r="C5667" i="1"/>
  <c r="D5667" i="1"/>
  <c r="E5667" i="1"/>
  <c r="F5667" i="1"/>
  <c r="G5667" i="1"/>
  <c r="H5667" i="1"/>
  <c r="I5667" i="1"/>
  <c r="J5667" i="1"/>
  <c r="K5667" i="1"/>
  <c r="L5667" i="1"/>
  <c r="A5668" i="1"/>
  <c r="B5668" i="1"/>
  <c r="C5668" i="1"/>
  <c r="D5668" i="1"/>
  <c r="E5668" i="1"/>
  <c r="F5668" i="1"/>
  <c r="G5668" i="1"/>
  <c r="H5668" i="1"/>
  <c r="I5668" i="1"/>
  <c r="J5668" i="1"/>
  <c r="K5668" i="1"/>
  <c r="L5668" i="1"/>
  <c r="A5669" i="1"/>
  <c r="B5669" i="1"/>
  <c r="C5669" i="1"/>
  <c r="D5669" i="1"/>
  <c r="E5669" i="1"/>
  <c r="F5669" i="1"/>
  <c r="G5669" i="1"/>
  <c r="H5669" i="1"/>
  <c r="I5669" i="1"/>
  <c r="J5669" i="1"/>
  <c r="K5669" i="1"/>
  <c r="L5669" i="1"/>
  <c r="A5670" i="1"/>
  <c r="B5670" i="1"/>
  <c r="C5670" i="1"/>
  <c r="D5670" i="1"/>
  <c r="E5670" i="1"/>
  <c r="F5670" i="1"/>
  <c r="G5670" i="1"/>
  <c r="H5670" i="1"/>
  <c r="I5670" i="1"/>
  <c r="J5670" i="1"/>
  <c r="K5670" i="1"/>
  <c r="L5670" i="1"/>
  <c r="A5671" i="1"/>
  <c r="B5671" i="1"/>
  <c r="C5671" i="1"/>
  <c r="D5671" i="1"/>
  <c r="E5671" i="1"/>
  <c r="F5671" i="1"/>
  <c r="G5671" i="1"/>
  <c r="H5671" i="1"/>
  <c r="I5671" i="1"/>
  <c r="J5671" i="1"/>
  <c r="K5671" i="1"/>
  <c r="L5671" i="1"/>
  <c r="A5672" i="1"/>
  <c r="B5672" i="1"/>
  <c r="C5672" i="1"/>
  <c r="D5672" i="1"/>
  <c r="E5672" i="1"/>
  <c r="F5672" i="1"/>
  <c r="G5672" i="1"/>
  <c r="H5672" i="1"/>
  <c r="I5672" i="1"/>
  <c r="J5672" i="1"/>
  <c r="K5672" i="1"/>
  <c r="L5672" i="1"/>
  <c r="A5673" i="1"/>
  <c r="B5673" i="1"/>
  <c r="C5673" i="1"/>
  <c r="D5673" i="1"/>
  <c r="E5673" i="1"/>
  <c r="F5673" i="1"/>
  <c r="G5673" i="1"/>
  <c r="H5673" i="1"/>
  <c r="I5673" i="1"/>
  <c r="J5673" i="1"/>
  <c r="K5673" i="1"/>
  <c r="L5673" i="1"/>
  <c r="A5674" i="1"/>
  <c r="B5674" i="1"/>
  <c r="C5674" i="1"/>
  <c r="D5674" i="1"/>
  <c r="E5674" i="1"/>
  <c r="F5674" i="1"/>
  <c r="G5674" i="1"/>
  <c r="H5674" i="1"/>
  <c r="I5674" i="1"/>
  <c r="J5674" i="1"/>
  <c r="K5674" i="1"/>
  <c r="L5674" i="1"/>
  <c r="A5675" i="1"/>
  <c r="B5675" i="1"/>
  <c r="C5675" i="1"/>
  <c r="D5675" i="1"/>
  <c r="E5675" i="1"/>
  <c r="F5675" i="1"/>
  <c r="G5675" i="1"/>
  <c r="H5675" i="1"/>
  <c r="I5675" i="1"/>
  <c r="J5675" i="1"/>
  <c r="K5675" i="1"/>
  <c r="L5675" i="1"/>
  <c r="A5676" i="1"/>
  <c r="B5676" i="1"/>
  <c r="C5676" i="1"/>
  <c r="D5676" i="1"/>
  <c r="E5676" i="1"/>
  <c r="F5676" i="1"/>
  <c r="G5676" i="1"/>
  <c r="H5676" i="1"/>
  <c r="I5676" i="1"/>
  <c r="J5676" i="1"/>
  <c r="K5676" i="1"/>
  <c r="L5676" i="1"/>
  <c r="A5677" i="1"/>
  <c r="B5677" i="1"/>
  <c r="C5677" i="1"/>
  <c r="D5677" i="1"/>
  <c r="E5677" i="1"/>
  <c r="F5677" i="1"/>
  <c r="G5677" i="1"/>
  <c r="H5677" i="1"/>
  <c r="I5677" i="1"/>
  <c r="J5677" i="1"/>
  <c r="K5677" i="1"/>
  <c r="L5677" i="1"/>
  <c r="A5678" i="1"/>
  <c r="B5678" i="1"/>
  <c r="C5678" i="1"/>
  <c r="D5678" i="1"/>
  <c r="E5678" i="1"/>
  <c r="F5678" i="1"/>
  <c r="G5678" i="1"/>
  <c r="H5678" i="1"/>
  <c r="I5678" i="1"/>
  <c r="J5678" i="1"/>
  <c r="K5678" i="1"/>
  <c r="L5678" i="1"/>
  <c r="A5679" i="1"/>
  <c r="B5679" i="1"/>
  <c r="C5679" i="1"/>
  <c r="D5679" i="1"/>
  <c r="E5679" i="1"/>
  <c r="F5679" i="1"/>
  <c r="G5679" i="1"/>
  <c r="H5679" i="1"/>
  <c r="I5679" i="1"/>
  <c r="J5679" i="1"/>
  <c r="K5679" i="1"/>
  <c r="L5679" i="1"/>
  <c r="A5680" i="1"/>
  <c r="B5680" i="1"/>
  <c r="C5680" i="1"/>
  <c r="D5680" i="1"/>
  <c r="E5680" i="1"/>
  <c r="F5680" i="1"/>
  <c r="G5680" i="1"/>
  <c r="H5680" i="1"/>
  <c r="I5680" i="1"/>
  <c r="J5680" i="1"/>
  <c r="K5680" i="1"/>
  <c r="L5680" i="1"/>
  <c r="A5681" i="1"/>
  <c r="B5681" i="1"/>
  <c r="C5681" i="1"/>
  <c r="D5681" i="1"/>
  <c r="E5681" i="1"/>
  <c r="F5681" i="1"/>
  <c r="G5681" i="1"/>
  <c r="H5681" i="1"/>
  <c r="I5681" i="1"/>
  <c r="J5681" i="1"/>
  <c r="K5681" i="1"/>
  <c r="L5681" i="1"/>
  <c r="A5682" i="1"/>
  <c r="B5682" i="1"/>
  <c r="C5682" i="1"/>
  <c r="D5682" i="1"/>
  <c r="E5682" i="1"/>
  <c r="F5682" i="1"/>
  <c r="G5682" i="1"/>
  <c r="H5682" i="1"/>
  <c r="I5682" i="1"/>
  <c r="J5682" i="1"/>
  <c r="K5682" i="1"/>
  <c r="L5682" i="1"/>
  <c r="A5683" i="1"/>
  <c r="B5683" i="1"/>
  <c r="C5683" i="1"/>
  <c r="D5683" i="1"/>
  <c r="E5683" i="1"/>
  <c r="F5683" i="1"/>
  <c r="G5683" i="1"/>
  <c r="H5683" i="1"/>
  <c r="I5683" i="1"/>
  <c r="J5683" i="1"/>
  <c r="K5683" i="1"/>
  <c r="L5683" i="1"/>
  <c r="A5684" i="1"/>
  <c r="B5684" i="1"/>
  <c r="C5684" i="1"/>
  <c r="D5684" i="1"/>
  <c r="E5684" i="1"/>
  <c r="F5684" i="1"/>
  <c r="G5684" i="1"/>
  <c r="H5684" i="1"/>
  <c r="I5684" i="1"/>
  <c r="J5684" i="1"/>
  <c r="K5684" i="1"/>
  <c r="L5684" i="1"/>
  <c r="A5685" i="1"/>
  <c r="B5685" i="1"/>
  <c r="C5685" i="1"/>
  <c r="D5685" i="1"/>
  <c r="E5685" i="1"/>
  <c r="F5685" i="1"/>
  <c r="G5685" i="1"/>
  <c r="H5685" i="1"/>
  <c r="I5685" i="1"/>
  <c r="J5685" i="1"/>
  <c r="K5685" i="1"/>
  <c r="L5685" i="1"/>
  <c r="A5686" i="1"/>
  <c r="B5686" i="1"/>
  <c r="C5686" i="1"/>
  <c r="D5686" i="1"/>
  <c r="E5686" i="1"/>
  <c r="F5686" i="1"/>
  <c r="G5686" i="1"/>
  <c r="H5686" i="1"/>
  <c r="I5686" i="1"/>
  <c r="J5686" i="1"/>
  <c r="K5686" i="1"/>
  <c r="L5686" i="1"/>
  <c r="A5687" i="1"/>
  <c r="B5687" i="1"/>
  <c r="C5687" i="1"/>
  <c r="D5687" i="1"/>
  <c r="E5687" i="1"/>
  <c r="F5687" i="1"/>
  <c r="G5687" i="1"/>
  <c r="H5687" i="1"/>
  <c r="I5687" i="1"/>
  <c r="J5687" i="1"/>
  <c r="K5687" i="1"/>
  <c r="L5687" i="1"/>
  <c r="A5688" i="1"/>
  <c r="B5688" i="1"/>
  <c r="C5688" i="1"/>
  <c r="D5688" i="1"/>
  <c r="E5688" i="1"/>
  <c r="F5688" i="1"/>
  <c r="G5688" i="1"/>
  <c r="H5688" i="1"/>
  <c r="I5688" i="1"/>
  <c r="J5688" i="1"/>
  <c r="K5688" i="1"/>
  <c r="L5688" i="1"/>
  <c r="A5689" i="1"/>
  <c r="B5689" i="1"/>
  <c r="C5689" i="1"/>
  <c r="D5689" i="1"/>
  <c r="E5689" i="1"/>
  <c r="F5689" i="1"/>
  <c r="G5689" i="1"/>
  <c r="H5689" i="1"/>
  <c r="I5689" i="1"/>
  <c r="J5689" i="1"/>
  <c r="K5689" i="1"/>
  <c r="L5689" i="1"/>
  <c r="A5690" i="1"/>
  <c r="B5690" i="1"/>
  <c r="C5690" i="1"/>
  <c r="D5690" i="1"/>
  <c r="E5690" i="1"/>
  <c r="F5690" i="1"/>
  <c r="G5690" i="1"/>
  <c r="H5690" i="1"/>
  <c r="I5690" i="1"/>
  <c r="J5690" i="1"/>
  <c r="K5690" i="1"/>
  <c r="L5690" i="1"/>
  <c r="A5691" i="1"/>
  <c r="B5691" i="1"/>
  <c r="C5691" i="1"/>
  <c r="D5691" i="1"/>
  <c r="E5691" i="1"/>
  <c r="F5691" i="1"/>
  <c r="G5691" i="1"/>
  <c r="H5691" i="1"/>
  <c r="I5691" i="1"/>
  <c r="J5691" i="1"/>
  <c r="K5691" i="1"/>
  <c r="L5691" i="1"/>
  <c r="A5692" i="1"/>
  <c r="B5692" i="1"/>
  <c r="C5692" i="1"/>
  <c r="D5692" i="1"/>
  <c r="E5692" i="1"/>
  <c r="F5692" i="1"/>
  <c r="G5692" i="1"/>
  <c r="H5692" i="1"/>
  <c r="I5692" i="1"/>
  <c r="J5692" i="1"/>
  <c r="K5692" i="1"/>
  <c r="L5692" i="1"/>
  <c r="A5693" i="1"/>
  <c r="B5693" i="1"/>
  <c r="C5693" i="1"/>
  <c r="D5693" i="1"/>
  <c r="E5693" i="1"/>
  <c r="F5693" i="1"/>
  <c r="G5693" i="1"/>
  <c r="H5693" i="1"/>
  <c r="I5693" i="1"/>
  <c r="J5693" i="1"/>
  <c r="K5693" i="1"/>
  <c r="L5693" i="1"/>
  <c r="A5694" i="1"/>
  <c r="B5694" i="1"/>
  <c r="C5694" i="1"/>
  <c r="D5694" i="1"/>
  <c r="E5694" i="1"/>
  <c r="F5694" i="1"/>
  <c r="G5694" i="1"/>
  <c r="H5694" i="1"/>
  <c r="I5694" i="1"/>
  <c r="J5694" i="1"/>
  <c r="K5694" i="1"/>
  <c r="L5694" i="1"/>
  <c r="A5695" i="1"/>
  <c r="B5695" i="1"/>
  <c r="C5695" i="1"/>
  <c r="D5695" i="1"/>
  <c r="E5695" i="1"/>
  <c r="F5695" i="1"/>
  <c r="G5695" i="1"/>
  <c r="H5695" i="1"/>
  <c r="I5695" i="1"/>
  <c r="J5695" i="1"/>
  <c r="K5695" i="1"/>
  <c r="L5695" i="1"/>
  <c r="A5696" i="1"/>
  <c r="B5696" i="1"/>
  <c r="C5696" i="1"/>
  <c r="D5696" i="1"/>
  <c r="E5696" i="1"/>
  <c r="F5696" i="1"/>
  <c r="G5696" i="1"/>
  <c r="H5696" i="1"/>
  <c r="I5696" i="1"/>
  <c r="J5696" i="1"/>
  <c r="K5696" i="1"/>
  <c r="L5696" i="1"/>
  <c r="A5697" i="1"/>
  <c r="B5697" i="1"/>
  <c r="C5697" i="1"/>
  <c r="D5697" i="1"/>
  <c r="E5697" i="1"/>
  <c r="F5697" i="1"/>
  <c r="G5697" i="1"/>
  <c r="H5697" i="1"/>
  <c r="I5697" i="1"/>
  <c r="J5697" i="1"/>
  <c r="K5697" i="1"/>
  <c r="L5697" i="1"/>
  <c r="A5698" i="1"/>
  <c r="B5698" i="1"/>
  <c r="C5698" i="1"/>
  <c r="D5698" i="1"/>
  <c r="E5698" i="1"/>
  <c r="F5698" i="1"/>
  <c r="G5698" i="1"/>
  <c r="H5698" i="1"/>
  <c r="I5698" i="1"/>
  <c r="J5698" i="1"/>
  <c r="K5698" i="1"/>
  <c r="L5698" i="1"/>
  <c r="A5699" i="1"/>
  <c r="B5699" i="1"/>
  <c r="C5699" i="1"/>
  <c r="D5699" i="1"/>
  <c r="E5699" i="1"/>
  <c r="F5699" i="1"/>
  <c r="G5699" i="1"/>
  <c r="H5699" i="1"/>
  <c r="I5699" i="1"/>
  <c r="J5699" i="1"/>
  <c r="K5699" i="1"/>
  <c r="L5699" i="1"/>
  <c r="A5700" i="1"/>
  <c r="B5700" i="1"/>
  <c r="C5700" i="1"/>
  <c r="D5700" i="1"/>
  <c r="E5700" i="1"/>
  <c r="F5700" i="1"/>
  <c r="G5700" i="1"/>
  <c r="H5700" i="1"/>
  <c r="I5700" i="1"/>
  <c r="J5700" i="1"/>
  <c r="K5700" i="1"/>
  <c r="L5700" i="1"/>
  <c r="A5701" i="1"/>
  <c r="B5701" i="1"/>
  <c r="C5701" i="1"/>
  <c r="D5701" i="1"/>
  <c r="E5701" i="1"/>
  <c r="F5701" i="1"/>
  <c r="G5701" i="1"/>
  <c r="H5701" i="1"/>
  <c r="I5701" i="1"/>
  <c r="J5701" i="1"/>
  <c r="K5701" i="1"/>
  <c r="L5701" i="1"/>
  <c r="A5702" i="1"/>
  <c r="B5702" i="1"/>
  <c r="C5702" i="1"/>
  <c r="D5702" i="1"/>
  <c r="E5702" i="1"/>
  <c r="F5702" i="1"/>
  <c r="G5702" i="1"/>
  <c r="H5702" i="1"/>
  <c r="I5702" i="1"/>
  <c r="J5702" i="1"/>
  <c r="K5702" i="1"/>
  <c r="L5702" i="1"/>
  <c r="A5703" i="1"/>
  <c r="B5703" i="1"/>
  <c r="C5703" i="1"/>
  <c r="D5703" i="1"/>
  <c r="E5703" i="1"/>
  <c r="F5703" i="1"/>
  <c r="G5703" i="1"/>
  <c r="H5703" i="1"/>
  <c r="I5703" i="1"/>
  <c r="J5703" i="1"/>
  <c r="K5703" i="1"/>
  <c r="L5703" i="1"/>
  <c r="A5704" i="1"/>
  <c r="B5704" i="1"/>
  <c r="C5704" i="1"/>
  <c r="D5704" i="1"/>
  <c r="E5704" i="1"/>
  <c r="F5704" i="1"/>
  <c r="G5704" i="1"/>
  <c r="H5704" i="1"/>
  <c r="I5704" i="1"/>
  <c r="J5704" i="1"/>
  <c r="K5704" i="1"/>
  <c r="L5704" i="1"/>
  <c r="A5705" i="1"/>
  <c r="B5705" i="1"/>
  <c r="C5705" i="1"/>
  <c r="D5705" i="1"/>
  <c r="E5705" i="1"/>
  <c r="F5705" i="1"/>
  <c r="G5705" i="1"/>
  <c r="H5705" i="1"/>
  <c r="I5705" i="1"/>
  <c r="J5705" i="1"/>
  <c r="K5705" i="1"/>
  <c r="L5705" i="1"/>
  <c r="A5706" i="1"/>
  <c r="B5706" i="1"/>
  <c r="C5706" i="1"/>
  <c r="D5706" i="1"/>
  <c r="E5706" i="1"/>
  <c r="F5706" i="1"/>
  <c r="G5706" i="1"/>
  <c r="H5706" i="1"/>
  <c r="I5706" i="1"/>
  <c r="J5706" i="1"/>
  <c r="K5706" i="1"/>
  <c r="L5706" i="1"/>
  <c r="A5707" i="1"/>
  <c r="B5707" i="1"/>
  <c r="C5707" i="1"/>
  <c r="D5707" i="1"/>
  <c r="E5707" i="1"/>
  <c r="F5707" i="1"/>
  <c r="G5707" i="1"/>
  <c r="H5707" i="1"/>
  <c r="I5707" i="1"/>
  <c r="J5707" i="1"/>
  <c r="K5707" i="1"/>
  <c r="L5707" i="1"/>
  <c r="A5708" i="1"/>
  <c r="B5708" i="1"/>
  <c r="C5708" i="1"/>
  <c r="D5708" i="1"/>
  <c r="E5708" i="1"/>
  <c r="F5708" i="1"/>
  <c r="G5708" i="1"/>
  <c r="H5708" i="1"/>
  <c r="I5708" i="1"/>
  <c r="J5708" i="1"/>
  <c r="K5708" i="1"/>
  <c r="L5708" i="1"/>
  <c r="A5709" i="1"/>
  <c r="B5709" i="1"/>
  <c r="C5709" i="1"/>
  <c r="D5709" i="1"/>
  <c r="E5709" i="1"/>
  <c r="F5709" i="1"/>
  <c r="G5709" i="1"/>
  <c r="H5709" i="1"/>
  <c r="I5709" i="1"/>
  <c r="J5709" i="1"/>
  <c r="K5709" i="1"/>
  <c r="L5709" i="1"/>
  <c r="A5710" i="1"/>
  <c r="B5710" i="1"/>
  <c r="C5710" i="1"/>
  <c r="D5710" i="1"/>
  <c r="E5710" i="1"/>
  <c r="F5710" i="1"/>
  <c r="G5710" i="1"/>
  <c r="H5710" i="1"/>
  <c r="I5710" i="1"/>
  <c r="J5710" i="1"/>
  <c r="K5710" i="1"/>
  <c r="L5710" i="1"/>
  <c r="A5711" i="1"/>
  <c r="B5711" i="1"/>
  <c r="C5711" i="1"/>
  <c r="D5711" i="1"/>
  <c r="E5711" i="1"/>
  <c r="F5711" i="1"/>
  <c r="G5711" i="1"/>
  <c r="H5711" i="1"/>
  <c r="I5711" i="1"/>
  <c r="J5711" i="1"/>
  <c r="K5711" i="1"/>
  <c r="L5711" i="1"/>
  <c r="A5712" i="1"/>
  <c r="B5712" i="1"/>
  <c r="C5712" i="1"/>
  <c r="D5712" i="1"/>
  <c r="E5712" i="1"/>
  <c r="F5712" i="1"/>
  <c r="G5712" i="1"/>
  <c r="H5712" i="1"/>
  <c r="I5712" i="1"/>
  <c r="J5712" i="1"/>
  <c r="K5712" i="1"/>
  <c r="L5712" i="1"/>
  <c r="A5713" i="1"/>
  <c r="B5713" i="1"/>
  <c r="C5713" i="1"/>
  <c r="D5713" i="1"/>
  <c r="E5713" i="1"/>
  <c r="F5713" i="1"/>
  <c r="G5713" i="1"/>
  <c r="H5713" i="1"/>
  <c r="I5713" i="1"/>
  <c r="J5713" i="1"/>
  <c r="K5713" i="1"/>
  <c r="L5713" i="1"/>
  <c r="A5714" i="1"/>
  <c r="B5714" i="1"/>
  <c r="C5714" i="1"/>
  <c r="D5714" i="1"/>
  <c r="E5714" i="1"/>
  <c r="F5714" i="1"/>
  <c r="G5714" i="1"/>
  <c r="H5714" i="1"/>
  <c r="I5714" i="1"/>
  <c r="J5714" i="1"/>
  <c r="K5714" i="1"/>
  <c r="L5714" i="1"/>
  <c r="A5715" i="1"/>
  <c r="B5715" i="1"/>
  <c r="C5715" i="1"/>
  <c r="D5715" i="1"/>
  <c r="E5715" i="1"/>
  <c r="F5715" i="1"/>
  <c r="G5715" i="1"/>
  <c r="H5715" i="1"/>
  <c r="I5715" i="1"/>
  <c r="J5715" i="1"/>
  <c r="K5715" i="1"/>
  <c r="L5715" i="1"/>
  <c r="A5716" i="1"/>
  <c r="B5716" i="1"/>
  <c r="C5716" i="1"/>
  <c r="D5716" i="1"/>
  <c r="E5716" i="1"/>
  <c r="F5716" i="1"/>
  <c r="G5716" i="1"/>
  <c r="H5716" i="1"/>
  <c r="I5716" i="1"/>
  <c r="J5716" i="1"/>
  <c r="K5716" i="1"/>
  <c r="L5716" i="1"/>
  <c r="A5717" i="1"/>
  <c r="B5717" i="1"/>
  <c r="C5717" i="1"/>
  <c r="D5717" i="1"/>
  <c r="E5717" i="1"/>
  <c r="F5717" i="1"/>
  <c r="G5717" i="1"/>
  <c r="H5717" i="1"/>
  <c r="I5717" i="1"/>
  <c r="J5717" i="1"/>
  <c r="K5717" i="1"/>
  <c r="L5717" i="1"/>
  <c r="A5718" i="1"/>
  <c r="B5718" i="1"/>
  <c r="C5718" i="1"/>
  <c r="D5718" i="1"/>
  <c r="E5718" i="1"/>
  <c r="F5718" i="1"/>
  <c r="G5718" i="1"/>
  <c r="H5718" i="1"/>
  <c r="I5718" i="1"/>
  <c r="J5718" i="1"/>
  <c r="K5718" i="1"/>
  <c r="L5718" i="1"/>
  <c r="A5719" i="1"/>
  <c r="B5719" i="1"/>
  <c r="C5719" i="1"/>
  <c r="D5719" i="1"/>
  <c r="E5719" i="1"/>
  <c r="F5719" i="1"/>
  <c r="G5719" i="1"/>
  <c r="H5719" i="1"/>
  <c r="I5719" i="1"/>
  <c r="J5719" i="1"/>
  <c r="K5719" i="1"/>
  <c r="L5719" i="1"/>
  <c r="A5720" i="1"/>
  <c r="B5720" i="1"/>
  <c r="C5720" i="1"/>
  <c r="D5720" i="1"/>
  <c r="E5720" i="1"/>
  <c r="F5720" i="1"/>
  <c r="G5720" i="1"/>
  <c r="H5720" i="1"/>
  <c r="I5720" i="1"/>
  <c r="J5720" i="1"/>
  <c r="K5720" i="1"/>
  <c r="L5720" i="1"/>
  <c r="A5721" i="1"/>
  <c r="B5721" i="1"/>
  <c r="C5721" i="1"/>
  <c r="D5721" i="1"/>
  <c r="E5721" i="1"/>
  <c r="F5721" i="1"/>
  <c r="G5721" i="1"/>
  <c r="H5721" i="1"/>
  <c r="I5721" i="1"/>
  <c r="J5721" i="1"/>
  <c r="K5721" i="1"/>
  <c r="L5721" i="1"/>
  <c r="A5722" i="1"/>
  <c r="B5722" i="1"/>
  <c r="C5722" i="1"/>
  <c r="D5722" i="1"/>
  <c r="E5722" i="1"/>
  <c r="F5722" i="1"/>
  <c r="G5722" i="1"/>
  <c r="H5722" i="1"/>
  <c r="I5722" i="1"/>
  <c r="J5722" i="1"/>
  <c r="K5722" i="1"/>
  <c r="L5722" i="1"/>
  <c r="A5723" i="1"/>
  <c r="B5723" i="1"/>
  <c r="C5723" i="1"/>
  <c r="D5723" i="1"/>
  <c r="E5723" i="1"/>
  <c r="F5723" i="1"/>
  <c r="G5723" i="1"/>
  <c r="H5723" i="1"/>
  <c r="I5723" i="1"/>
  <c r="J5723" i="1"/>
  <c r="K5723" i="1"/>
  <c r="L5723" i="1"/>
  <c r="A5724" i="1"/>
  <c r="B5724" i="1"/>
  <c r="C5724" i="1"/>
  <c r="D5724" i="1"/>
  <c r="E5724" i="1"/>
  <c r="F5724" i="1"/>
  <c r="G5724" i="1"/>
  <c r="H5724" i="1"/>
  <c r="I5724" i="1"/>
  <c r="J5724" i="1"/>
  <c r="K5724" i="1"/>
  <c r="L5724" i="1"/>
  <c r="A5725" i="1"/>
  <c r="B5725" i="1"/>
  <c r="C5725" i="1"/>
  <c r="D5725" i="1"/>
  <c r="E5725" i="1"/>
  <c r="F5725" i="1"/>
  <c r="G5725" i="1"/>
  <c r="H5725" i="1"/>
  <c r="I5725" i="1"/>
  <c r="J5725" i="1"/>
  <c r="K5725" i="1"/>
  <c r="L5725" i="1"/>
  <c r="A5726" i="1"/>
  <c r="B5726" i="1"/>
  <c r="C5726" i="1"/>
  <c r="D5726" i="1"/>
  <c r="E5726" i="1"/>
  <c r="F5726" i="1"/>
  <c r="G5726" i="1"/>
  <c r="H5726" i="1"/>
  <c r="I5726" i="1"/>
  <c r="J5726" i="1"/>
  <c r="K5726" i="1"/>
  <c r="L5726" i="1"/>
  <c r="A5727" i="1"/>
  <c r="B5727" i="1"/>
  <c r="C5727" i="1"/>
  <c r="D5727" i="1"/>
  <c r="E5727" i="1"/>
  <c r="F5727" i="1"/>
  <c r="G5727" i="1"/>
  <c r="H5727" i="1"/>
  <c r="I5727" i="1"/>
  <c r="J5727" i="1"/>
  <c r="K5727" i="1"/>
  <c r="L5727" i="1"/>
  <c r="A5728" i="1"/>
  <c r="B5728" i="1"/>
  <c r="C5728" i="1"/>
  <c r="D5728" i="1"/>
  <c r="E5728" i="1"/>
  <c r="F5728" i="1"/>
  <c r="G5728" i="1"/>
  <c r="H5728" i="1"/>
  <c r="I5728" i="1"/>
  <c r="J5728" i="1"/>
  <c r="K5728" i="1"/>
  <c r="L5728" i="1"/>
  <c r="A5729" i="1"/>
  <c r="B5729" i="1"/>
  <c r="C5729" i="1"/>
  <c r="D5729" i="1"/>
  <c r="E5729" i="1"/>
  <c r="F5729" i="1"/>
  <c r="G5729" i="1"/>
  <c r="H5729" i="1"/>
  <c r="I5729" i="1"/>
  <c r="J5729" i="1"/>
  <c r="K5729" i="1"/>
  <c r="L5729" i="1"/>
  <c r="A5730" i="1"/>
  <c r="B5730" i="1"/>
  <c r="C5730" i="1"/>
  <c r="D5730" i="1"/>
  <c r="E5730" i="1"/>
  <c r="F5730" i="1"/>
  <c r="G5730" i="1"/>
  <c r="H5730" i="1"/>
  <c r="I5730" i="1"/>
  <c r="J5730" i="1"/>
  <c r="K5730" i="1"/>
  <c r="L5730" i="1"/>
  <c r="A5731" i="1"/>
  <c r="B5731" i="1"/>
  <c r="C5731" i="1"/>
  <c r="D5731" i="1"/>
  <c r="E5731" i="1"/>
  <c r="F5731" i="1"/>
  <c r="G5731" i="1"/>
  <c r="H5731" i="1"/>
  <c r="I5731" i="1"/>
  <c r="J5731" i="1"/>
  <c r="K5731" i="1"/>
  <c r="L5731" i="1"/>
  <c r="A5732" i="1"/>
  <c r="B5732" i="1"/>
  <c r="C5732" i="1"/>
  <c r="D5732" i="1"/>
  <c r="E5732" i="1"/>
  <c r="F5732" i="1"/>
  <c r="G5732" i="1"/>
  <c r="H5732" i="1"/>
  <c r="I5732" i="1"/>
  <c r="J5732" i="1"/>
  <c r="K5732" i="1"/>
  <c r="L5732" i="1"/>
  <c r="A5733" i="1"/>
  <c r="B5733" i="1"/>
  <c r="C5733" i="1"/>
  <c r="D5733" i="1"/>
  <c r="E5733" i="1"/>
  <c r="F5733" i="1"/>
  <c r="G5733" i="1"/>
  <c r="H5733" i="1"/>
  <c r="I5733" i="1"/>
  <c r="J5733" i="1"/>
  <c r="K5733" i="1"/>
  <c r="L5733" i="1"/>
  <c r="A5734" i="1"/>
  <c r="B5734" i="1"/>
  <c r="C5734" i="1"/>
  <c r="D5734" i="1"/>
  <c r="E5734" i="1"/>
  <c r="F5734" i="1"/>
  <c r="G5734" i="1"/>
  <c r="H5734" i="1"/>
  <c r="I5734" i="1"/>
  <c r="J5734" i="1"/>
  <c r="K5734" i="1"/>
  <c r="L5734" i="1"/>
  <c r="A5735" i="1"/>
  <c r="B5735" i="1"/>
  <c r="C5735" i="1"/>
  <c r="D5735" i="1"/>
  <c r="E5735" i="1"/>
  <c r="F5735" i="1"/>
  <c r="G5735" i="1"/>
  <c r="H5735" i="1"/>
  <c r="I5735" i="1"/>
  <c r="J5735" i="1"/>
  <c r="K5735" i="1"/>
  <c r="L5735" i="1"/>
  <c r="A5736" i="1"/>
  <c r="B5736" i="1"/>
  <c r="C5736" i="1"/>
  <c r="D5736" i="1"/>
  <c r="E5736" i="1"/>
  <c r="F5736" i="1"/>
  <c r="G5736" i="1"/>
  <c r="H5736" i="1"/>
  <c r="I5736" i="1"/>
  <c r="J5736" i="1"/>
  <c r="K5736" i="1"/>
  <c r="L5736" i="1"/>
  <c r="A5737" i="1"/>
  <c r="B5737" i="1"/>
  <c r="C5737" i="1"/>
  <c r="D5737" i="1"/>
  <c r="E5737" i="1"/>
  <c r="F5737" i="1"/>
  <c r="G5737" i="1"/>
  <c r="H5737" i="1"/>
  <c r="I5737" i="1"/>
  <c r="J5737" i="1"/>
  <c r="K5737" i="1"/>
  <c r="L5737" i="1"/>
  <c r="A5738" i="1"/>
  <c r="B5738" i="1"/>
  <c r="C5738" i="1"/>
  <c r="D5738" i="1"/>
  <c r="E5738" i="1"/>
  <c r="F5738" i="1"/>
  <c r="G5738" i="1"/>
  <c r="H5738" i="1"/>
  <c r="I5738" i="1"/>
  <c r="J5738" i="1"/>
  <c r="K5738" i="1"/>
  <c r="L5738" i="1"/>
  <c r="A5739" i="1"/>
  <c r="B5739" i="1"/>
  <c r="C5739" i="1"/>
  <c r="D5739" i="1"/>
  <c r="E5739" i="1"/>
  <c r="F5739" i="1"/>
  <c r="G5739" i="1"/>
  <c r="H5739" i="1"/>
  <c r="I5739" i="1"/>
  <c r="J5739" i="1"/>
  <c r="K5739" i="1"/>
  <c r="L5739" i="1"/>
  <c r="A5740" i="1"/>
  <c r="B5740" i="1"/>
  <c r="C5740" i="1"/>
  <c r="D5740" i="1"/>
  <c r="E5740" i="1"/>
  <c r="F5740" i="1"/>
  <c r="G5740" i="1"/>
  <c r="H5740" i="1"/>
  <c r="I5740" i="1"/>
  <c r="J5740" i="1"/>
  <c r="K5740" i="1"/>
  <c r="L5740" i="1"/>
  <c r="A5741" i="1"/>
  <c r="B5741" i="1"/>
  <c r="C5741" i="1"/>
  <c r="D5741" i="1"/>
  <c r="E5741" i="1"/>
  <c r="F5741" i="1"/>
  <c r="G5741" i="1"/>
  <c r="H5741" i="1"/>
  <c r="I5741" i="1"/>
  <c r="J5741" i="1"/>
  <c r="K5741" i="1"/>
  <c r="L5741" i="1"/>
  <c r="A5742" i="1"/>
  <c r="B5742" i="1"/>
  <c r="C5742" i="1"/>
  <c r="D5742" i="1"/>
  <c r="E5742" i="1"/>
  <c r="F5742" i="1"/>
  <c r="G5742" i="1"/>
  <c r="H5742" i="1"/>
  <c r="I5742" i="1"/>
  <c r="J5742" i="1"/>
  <c r="K5742" i="1"/>
  <c r="L5742" i="1"/>
  <c r="A5743" i="1"/>
  <c r="B5743" i="1"/>
  <c r="C5743" i="1"/>
  <c r="D5743" i="1"/>
  <c r="E5743" i="1"/>
  <c r="F5743" i="1"/>
  <c r="G5743" i="1"/>
  <c r="H5743" i="1"/>
  <c r="I5743" i="1"/>
  <c r="J5743" i="1"/>
  <c r="K5743" i="1"/>
  <c r="L5743" i="1"/>
  <c r="A5744" i="1"/>
  <c r="B5744" i="1"/>
  <c r="C5744" i="1"/>
  <c r="D5744" i="1"/>
  <c r="E5744" i="1"/>
  <c r="F5744" i="1"/>
  <c r="G5744" i="1"/>
  <c r="H5744" i="1"/>
  <c r="I5744" i="1"/>
  <c r="J5744" i="1"/>
  <c r="K5744" i="1"/>
  <c r="L5744" i="1"/>
  <c r="A5745" i="1"/>
  <c r="B5745" i="1"/>
  <c r="C5745" i="1"/>
  <c r="D5745" i="1"/>
  <c r="E5745" i="1"/>
  <c r="F5745" i="1"/>
  <c r="G5745" i="1"/>
  <c r="H5745" i="1"/>
  <c r="I5745" i="1"/>
  <c r="J5745" i="1"/>
  <c r="K5745" i="1"/>
  <c r="L5745" i="1"/>
  <c r="A5746" i="1"/>
  <c r="B5746" i="1"/>
  <c r="C5746" i="1"/>
  <c r="D5746" i="1"/>
  <c r="E5746" i="1"/>
  <c r="F5746" i="1"/>
  <c r="G5746" i="1"/>
  <c r="H5746" i="1"/>
  <c r="I5746" i="1"/>
  <c r="J5746" i="1"/>
  <c r="K5746" i="1"/>
  <c r="L5746" i="1"/>
  <c r="A5747" i="1"/>
  <c r="B5747" i="1"/>
  <c r="C5747" i="1"/>
  <c r="D5747" i="1"/>
  <c r="E5747" i="1"/>
  <c r="F5747" i="1"/>
  <c r="G5747" i="1"/>
  <c r="H5747" i="1"/>
  <c r="I5747" i="1"/>
  <c r="J5747" i="1"/>
  <c r="K5747" i="1"/>
  <c r="L5747" i="1"/>
  <c r="A5748" i="1"/>
  <c r="B5748" i="1"/>
  <c r="C5748" i="1"/>
  <c r="D5748" i="1"/>
  <c r="E5748" i="1"/>
  <c r="F5748" i="1"/>
  <c r="G5748" i="1"/>
  <c r="H5748" i="1"/>
  <c r="I5748" i="1"/>
  <c r="J5748" i="1"/>
  <c r="K5748" i="1"/>
  <c r="L5748" i="1"/>
  <c r="A5749" i="1"/>
  <c r="B5749" i="1"/>
  <c r="C5749" i="1"/>
  <c r="D5749" i="1"/>
  <c r="E5749" i="1"/>
  <c r="F5749" i="1"/>
  <c r="G5749" i="1"/>
  <c r="H5749" i="1"/>
  <c r="I5749" i="1"/>
  <c r="J5749" i="1"/>
  <c r="K5749" i="1"/>
  <c r="L5749" i="1"/>
  <c r="A5750" i="1"/>
  <c r="B5750" i="1"/>
  <c r="C5750" i="1"/>
  <c r="D5750" i="1"/>
  <c r="E5750" i="1"/>
  <c r="F5750" i="1"/>
  <c r="G5750" i="1"/>
  <c r="H5750" i="1"/>
  <c r="I5750" i="1"/>
  <c r="J5750" i="1"/>
  <c r="K5750" i="1"/>
  <c r="L5750" i="1"/>
  <c r="A5751" i="1"/>
  <c r="B5751" i="1"/>
  <c r="C5751" i="1"/>
  <c r="D5751" i="1"/>
  <c r="E5751" i="1"/>
  <c r="F5751" i="1"/>
  <c r="G5751" i="1"/>
  <c r="H5751" i="1"/>
  <c r="I5751" i="1"/>
  <c r="J5751" i="1"/>
  <c r="K5751" i="1"/>
  <c r="L5751" i="1"/>
  <c r="A5752" i="1"/>
  <c r="B5752" i="1"/>
  <c r="C5752" i="1"/>
  <c r="D5752" i="1"/>
  <c r="E5752" i="1"/>
  <c r="F5752" i="1"/>
  <c r="G5752" i="1"/>
  <c r="H5752" i="1"/>
  <c r="I5752" i="1"/>
  <c r="J5752" i="1"/>
  <c r="K5752" i="1"/>
  <c r="L5752" i="1"/>
  <c r="A5753" i="1"/>
  <c r="B5753" i="1"/>
  <c r="C5753" i="1"/>
  <c r="D5753" i="1"/>
  <c r="E5753" i="1"/>
  <c r="F5753" i="1"/>
  <c r="G5753" i="1"/>
  <c r="H5753" i="1"/>
  <c r="I5753" i="1"/>
  <c r="J5753" i="1"/>
  <c r="K5753" i="1"/>
  <c r="L5753" i="1"/>
  <c r="A5754" i="1"/>
  <c r="B5754" i="1"/>
  <c r="C5754" i="1"/>
  <c r="D5754" i="1"/>
  <c r="E5754" i="1"/>
  <c r="F5754" i="1"/>
  <c r="G5754" i="1"/>
  <c r="H5754" i="1"/>
  <c r="I5754" i="1"/>
  <c r="J5754" i="1"/>
  <c r="K5754" i="1"/>
  <c r="L5754" i="1"/>
  <c r="A5755" i="1"/>
  <c r="B5755" i="1"/>
  <c r="C5755" i="1"/>
  <c r="D5755" i="1"/>
  <c r="E5755" i="1"/>
  <c r="F5755" i="1"/>
  <c r="G5755" i="1"/>
  <c r="H5755" i="1"/>
  <c r="I5755" i="1"/>
  <c r="J5755" i="1"/>
  <c r="K5755" i="1"/>
  <c r="L5755" i="1"/>
  <c r="A5756" i="1"/>
  <c r="B5756" i="1"/>
  <c r="C5756" i="1"/>
  <c r="D5756" i="1"/>
  <c r="E5756" i="1"/>
  <c r="F5756" i="1"/>
  <c r="G5756" i="1"/>
  <c r="H5756" i="1"/>
  <c r="I5756" i="1"/>
  <c r="J5756" i="1"/>
  <c r="K5756" i="1"/>
  <c r="L5756" i="1"/>
  <c r="A5757" i="1"/>
  <c r="B5757" i="1"/>
  <c r="C5757" i="1"/>
  <c r="D5757" i="1"/>
  <c r="E5757" i="1"/>
  <c r="F5757" i="1"/>
  <c r="G5757" i="1"/>
  <c r="H5757" i="1"/>
  <c r="I5757" i="1"/>
  <c r="J5757" i="1"/>
  <c r="K5757" i="1"/>
  <c r="L5757" i="1"/>
  <c r="A5758" i="1"/>
  <c r="B5758" i="1"/>
  <c r="C5758" i="1"/>
  <c r="D5758" i="1"/>
  <c r="E5758" i="1"/>
  <c r="F5758" i="1"/>
  <c r="G5758" i="1"/>
  <c r="H5758" i="1"/>
  <c r="I5758" i="1"/>
  <c r="J5758" i="1"/>
  <c r="K5758" i="1"/>
  <c r="L5758" i="1"/>
  <c r="A5759" i="1"/>
  <c r="B5759" i="1"/>
  <c r="C5759" i="1"/>
  <c r="D5759" i="1"/>
  <c r="E5759" i="1"/>
  <c r="F5759" i="1"/>
  <c r="G5759" i="1"/>
  <c r="H5759" i="1"/>
  <c r="I5759" i="1"/>
  <c r="J5759" i="1"/>
  <c r="K5759" i="1"/>
  <c r="L5759" i="1"/>
  <c r="A5760" i="1"/>
  <c r="B5760" i="1"/>
  <c r="C5760" i="1"/>
  <c r="D5760" i="1"/>
  <c r="E5760" i="1"/>
  <c r="F5760" i="1"/>
  <c r="G5760" i="1"/>
  <c r="H5760" i="1"/>
  <c r="I5760" i="1"/>
  <c r="J5760" i="1"/>
  <c r="K5760" i="1"/>
  <c r="L5760" i="1"/>
  <c r="A5761" i="1"/>
  <c r="B5761" i="1"/>
  <c r="C5761" i="1"/>
  <c r="D5761" i="1"/>
  <c r="E5761" i="1"/>
  <c r="F5761" i="1"/>
  <c r="G5761" i="1"/>
  <c r="H5761" i="1"/>
  <c r="I5761" i="1"/>
  <c r="J5761" i="1"/>
  <c r="K5761" i="1"/>
  <c r="L5761" i="1"/>
  <c r="A5762" i="1"/>
  <c r="B5762" i="1"/>
  <c r="C5762" i="1"/>
  <c r="D5762" i="1"/>
  <c r="E5762" i="1"/>
  <c r="F5762" i="1"/>
  <c r="G5762" i="1"/>
  <c r="H5762" i="1"/>
  <c r="I5762" i="1"/>
  <c r="J5762" i="1"/>
  <c r="K5762" i="1"/>
  <c r="L5762" i="1"/>
  <c r="A5763" i="1"/>
  <c r="B5763" i="1"/>
  <c r="C5763" i="1"/>
  <c r="D5763" i="1"/>
  <c r="E5763" i="1"/>
  <c r="F5763" i="1"/>
  <c r="G5763" i="1"/>
  <c r="H5763" i="1"/>
  <c r="I5763" i="1"/>
  <c r="J5763" i="1"/>
  <c r="K5763" i="1"/>
  <c r="L5763" i="1"/>
  <c r="A5764" i="1"/>
  <c r="B5764" i="1"/>
  <c r="C5764" i="1"/>
  <c r="D5764" i="1"/>
  <c r="E5764" i="1"/>
  <c r="F5764" i="1"/>
  <c r="G5764" i="1"/>
  <c r="H5764" i="1"/>
  <c r="I5764" i="1"/>
  <c r="J5764" i="1"/>
  <c r="K5764" i="1"/>
  <c r="L5764" i="1"/>
  <c r="A5765" i="1"/>
  <c r="B5765" i="1"/>
  <c r="C5765" i="1"/>
  <c r="D5765" i="1"/>
  <c r="E5765" i="1"/>
  <c r="F5765" i="1"/>
  <c r="G5765" i="1"/>
  <c r="H5765" i="1"/>
  <c r="I5765" i="1"/>
  <c r="J5765" i="1"/>
  <c r="K5765" i="1"/>
  <c r="L5765" i="1"/>
  <c r="A5766" i="1"/>
  <c r="B5766" i="1"/>
  <c r="C5766" i="1"/>
  <c r="D5766" i="1"/>
  <c r="E5766" i="1"/>
  <c r="F5766" i="1"/>
  <c r="G5766" i="1"/>
  <c r="H5766" i="1"/>
  <c r="I5766" i="1"/>
  <c r="J5766" i="1"/>
  <c r="K5766" i="1"/>
  <c r="L5766" i="1"/>
  <c r="A5767" i="1"/>
  <c r="B5767" i="1"/>
  <c r="C5767" i="1"/>
  <c r="D5767" i="1"/>
  <c r="E5767" i="1"/>
  <c r="F5767" i="1"/>
  <c r="G5767" i="1"/>
  <c r="H5767" i="1"/>
  <c r="I5767" i="1"/>
  <c r="J5767" i="1"/>
  <c r="K5767" i="1"/>
  <c r="L5767" i="1"/>
  <c r="A5768" i="1"/>
  <c r="B5768" i="1"/>
  <c r="C5768" i="1"/>
  <c r="D5768" i="1"/>
  <c r="E5768" i="1"/>
  <c r="F5768" i="1"/>
  <c r="G5768" i="1"/>
  <c r="H5768" i="1"/>
  <c r="I5768" i="1"/>
  <c r="J5768" i="1"/>
  <c r="K5768" i="1"/>
  <c r="L5768" i="1"/>
  <c r="A5769" i="1"/>
  <c r="B5769" i="1"/>
  <c r="C5769" i="1"/>
  <c r="D5769" i="1"/>
  <c r="E5769" i="1"/>
  <c r="F5769" i="1"/>
  <c r="G5769" i="1"/>
  <c r="H5769" i="1"/>
  <c r="I5769" i="1"/>
  <c r="J5769" i="1"/>
  <c r="K5769" i="1"/>
  <c r="L5769" i="1"/>
  <c r="A5770" i="1"/>
  <c r="B5770" i="1"/>
  <c r="C5770" i="1"/>
  <c r="D5770" i="1"/>
  <c r="E5770" i="1"/>
  <c r="F5770" i="1"/>
  <c r="G5770" i="1"/>
  <c r="H5770" i="1"/>
  <c r="I5770" i="1"/>
  <c r="J5770" i="1"/>
  <c r="K5770" i="1"/>
  <c r="L5770" i="1"/>
  <c r="A5771" i="1"/>
  <c r="B5771" i="1"/>
  <c r="C5771" i="1"/>
  <c r="D5771" i="1"/>
  <c r="E5771" i="1"/>
  <c r="F5771" i="1"/>
  <c r="G5771" i="1"/>
  <c r="H5771" i="1"/>
  <c r="I5771" i="1"/>
  <c r="J5771" i="1"/>
  <c r="K5771" i="1"/>
  <c r="L5771" i="1"/>
  <c r="A5772" i="1"/>
  <c r="B5772" i="1"/>
  <c r="C5772" i="1"/>
  <c r="D5772" i="1"/>
  <c r="E5772" i="1"/>
  <c r="F5772" i="1"/>
  <c r="G5772" i="1"/>
  <c r="H5772" i="1"/>
  <c r="I5772" i="1"/>
  <c r="J5772" i="1"/>
  <c r="K5772" i="1"/>
  <c r="L5772" i="1"/>
  <c r="A5773" i="1"/>
  <c r="B5773" i="1"/>
  <c r="C5773" i="1"/>
  <c r="D5773" i="1"/>
  <c r="E5773" i="1"/>
  <c r="F5773" i="1"/>
  <c r="G5773" i="1"/>
  <c r="H5773" i="1"/>
  <c r="I5773" i="1"/>
  <c r="J5773" i="1"/>
  <c r="K5773" i="1"/>
  <c r="L5773" i="1"/>
  <c r="A5774" i="1"/>
  <c r="B5774" i="1"/>
  <c r="C5774" i="1"/>
  <c r="D5774" i="1"/>
  <c r="E5774" i="1"/>
  <c r="F5774" i="1"/>
  <c r="G5774" i="1"/>
  <c r="H5774" i="1"/>
  <c r="I5774" i="1"/>
  <c r="J5774" i="1"/>
  <c r="K5774" i="1"/>
  <c r="L5774" i="1"/>
  <c r="A5775" i="1"/>
  <c r="B5775" i="1"/>
  <c r="C5775" i="1"/>
  <c r="D5775" i="1"/>
  <c r="E5775" i="1"/>
  <c r="F5775" i="1"/>
  <c r="G5775" i="1"/>
  <c r="H5775" i="1"/>
  <c r="I5775" i="1"/>
  <c r="J5775" i="1"/>
  <c r="K5775" i="1"/>
  <c r="L5775" i="1"/>
  <c r="A5776" i="1"/>
  <c r="B5776" i="1"/>
  <c r="C5776" i="1"/>
  <c r="D5776" i="1"/>
  <c r="E5776" i="1"/>
  <c r="F5776" i="1"/>
  <c r="G5776" i="1"/>
  <c r="H5776" i="1"/>
  <c r="I5776" i="1"/>
  <c r="J5776" i="1"/>
  <c r="K5776" i="1"/>
  <c r="L5776" i="1"/>
  <c r="A5777" i="1"/>
  <c r="B5777" i="1"/>
  <c r="C5777" i="1"/>
  <c r="D5777" i="1"/>
  <c r="E5777" i="1"/>
  <c r="F5777" i="1"/>
  <c r="G5777" i="1"/>
  <c r="H5777" i="1"/>
  <c r="I5777" i="1"/>
  <c r="J5777" i="1"/>
  <c r="K5777" i="1"/>
  <c r="L5777" i="1"/>
  <c r="A5778" i="1"/>
  <c r="B5778" i="1"/>
  <c r="C5778" i="1"/>
  <c r="D5778" i="1"/>
  <c r="E5778" i="1"/>
  <c r="F5778" i="1"/>
  <c r="G5778" i="1"/>
  <c r="H5778" i="1"/>
  <c r="I5778" i="1"/>
  <c r="J5778" i="1"/>
  <c r="K5778" i="1"/>
  <c r="L5778" i="1"/>
  <c r="A5779" i="1"/>
  <c r="B5779" i="1"/>
  <c r="C5779" i="1"/>
  <c r="D5779" i="1"/>
  <c r="E5779" i="1"/>
  <c r="F5779" i="1"/>
  <c r="G5779" i="1"/>
  <c r="H5779" i="1"/>
  <c r="I5779" i="1"/>
  <c r="J5779" i="1"/>
  <c r="K5779" i="1"/>
  <c r="L5779" i="1"/>
  <c r="A5780" i="1"/>
  <c r="B5780" i="1"/>
  <c r="C5780" i="1"/>
  <c r="D5780" i="1"/>
  <c r="E5780" i="1"/>
  <c r="F5780" i="1"/>
  <c r="G5780" i="1"/>
  <c r="H5780" i="1"/>
  <c r="I5780" i="1"/>
  <c r="J5780" i="1"/>
  <c r="K5780" i="1"/>
  <c r="L5780" i="1"/>
  <c r="A5781" i="1"/>
  <c r="B5781" i="1"/>
  <c r="C5781" i="1"/>
  <c r="D5781" i="1"/>
  <c r="E5781" i="1"/>
  <c r="F5781" i="1"/>
  <c r="G5781" i="1"/>
  <c r="H5781" i="1"/>
  <c r="I5781" i="1"/>
  <c r="J5781" i="1"/>
  <c r="K5781" i="1"/>
  <c r="L5781" i="1"/>
  <c r="A5782" i="1"/>
  <c r="B5782" i="1"/>
  <c r="C5782" i="1"/>
  <c r="D5782" i="1"/>
  <c r="E5782" i="1"/>
  <c r="F5782" i="1"/>
  <c r="G5782" i="1"/>
  <c r="H5782" i="1"/>
  <c r="I5782" i="1"/>
  <c r="J5782" i="1"/>
  <c r="K5782" i="1"/>
  <c r="L5782" i="1"/>
  <c r="A5783" i="1"/>
  <c r="B5783" i="1"/>
  <c r="C5783" i="1"/>
  <c r="D5783" i="1"/>
  <c r="E5783" i="1"/>
  <c r="F5783" i="1"/>
  <c r="G5783" i="1"/>
  <c r="H5783" i="1"/>
  <c r="I5783" i="1"/>
  <c r="J5783" i="1"/>
  <c r="K5783" i="1"/>
  <c r="L5783" i="1"/>
  <c r="A5784" i="1"/>
  <c r="B5784" i="1"/>
  <c r="C5784" i="1"/>
  <c r="D5784" i="1"/>
  <c r="E5784" i="1"/>
  <c r="F5784" i="1"/>
  <c r="G5784" i="1"/>
  <c r="H5784" i="1"/>
  <c r="I5784" i="1"/>
  <c r="J5784" i="1"/>
  <c r="K5784" i="1"/>
  <c r="L5784" i="1"/>
  <c r="A5785" i="1"/>
  <c r="B5785" i="1"/>
  <c r="C5785" i="1"/>
  <c r="D5785" i="1"/>
  <c r="E5785" i="1"/>
  <c r="F5785" i="1"/>
  <c r="G5785" i="1"/>
  <c r="H5785" i="1"/>
  <c r="I5785" i="1"/>
  <c r="J5785" i="1"/>
  <c r="K5785" i="1"/>
  <c r="L5785" i="1"/>
  <c r="A5786" i="1"/>
  <c r="B5786" i="1"/>
  <c r="C5786" i="1"/>
  <c r="D5786" i="1"/>
  <c r="E5786" i="1"/>
  <c r="F5786" i="1"/>
  <c r="G5786" i="1"/>
  <c r="H5786" i="1"/>
  <c r="I5786" i="1"/>
  <c r="J5786" i="1"/>
  <c r="K5786" i="1"/>
  <c r="L5786" i="1"/>
  <c r="A5787" i="1"/>
  <c r="B5787" i="1"/>
  <c r="C5787" i="1"/>
  <c r="D5787" i="1"/>
  <c r="E5787" i="1"/>
  <c r="F5787" i="1"/>
  <c r="G5787" i="1"/>
  <c r="H5787" i="1"/>
  <c r="I5787" i="1"/>
  <c r="J5787" i="1"/>
  <c r="K5787" i="1"/>
  <c r="L5787" i="1"/>
  <c r="A5788" i="1"/>
  <c r="B5788" i="1"/>
  <c r="C5788" i="1"/>
  <c r="D5788" i="1"/>
  <c r="E5788" i="1"/>
  <c r="F5788" i="1"/>
  <c r="G5788" i="1"/>
  <c r="H5788" i="1"/>
  <c r="I5788" i="1"/>
  <c r="J5788" i="1"/>
  <c r="K5788" i="1"/>
  <c r="L5788" i="1"/>
  <c r="A5789" i="1"/>
  <c r="B5789" i="1"/>
  <c r="C5789" i="1"/>
  <c r="D5789" i="1"/>
  <c r="E5789" i="1"/>
  <c r="F5789" i="1"/>
  <c r="G5789" i="1"/>
  <c r="H5789" i="1"/>
  <c r="I5789" i="1"/>
  <c r="J5789" i="1"/>
  <c r="K5789" i="1"/>
  <c r="L5789" i="1"/>
  <c r="A5790" i="1"/>
  <c r="B5790" i="1"/>
  <c r="C5790" i="1"/>
  <c r="D5790" i="1"/>
  <c r="E5790" i="1"/>
  <c r="F5790" i="1"/>
  <c r="G5790" i="1"/>
  <c r="H5790" i="1"/>
  <c r="I5790" i="1"/>
  <c r="J5790" i="1"/>
  <c r="K5790" i="1"/>
  <c r="L5790" i="1"/>
  <c r="A5791" i="1"/>
  <c r="B5791" i="1"/>
  <c r="C5791" i="1"/>
  <c r="D5791" i="1"/>
  <c r="E5791" i="1"/>
  <c r="F5791" i="1"/>
  <c r="G5791" i="1"/>
  <c r="H5791" i="1"/>
  <c r="I5791" i="1"/>
  <c r="J5791" i="1"/>
  <c r="K5791" i="1"/>
  <c r="L5791" i="1"/>
  <c r="A5792" i="1"/>
  <c r="B5792" i="1"/>
  <c r="C5792" i="1"/>
  <c r="D5792" i="1"/>
  <c r="E5792" i="1"/>
  <c r="F5792" i="1"/>
  <c r="G5792" i="1"/>
  <c r="H5792" i="1"/>
  <c r="I5792" i="1"/>
  <c r="J5792" i="1"/>
  <c r="K5792" i="1"/>
  <c r="L5792" i="1"/>
  <c r="A5793" i="1"/>
  <c r="B5793" i="1"/>
  <c r="C5793" i="1"/>
  <c r="D5793" i="1"/>
  <c r="E5793" i="1"/>
  <c r="F5793" i="1"/>
  <c r="G5793" i="1"/>
  <c r="H5793" i="1"/>
  <c r="I5793" i="1"/>
  <c r="J5793" i="1"/>
  <c r="K5793" i="1"/>
  <c r="L5793" i="1"/>
  <c r="A5794" i="1"/>
  <c r="B5794" i="1"/>
  <c r="C5794" i="1"/>
  <c r="D5794" i="1"/>
  <c r="E5794" i="1"/>
  <c r="F5794" i="1"/>
  <c r="G5794" i="1"/>
  <c r="H5794" i="1"/>
  <c r="I5794" i="1"/>
  <c r="J5794" i="1"/>
  <c r="K5794" i="1"/>
  <c r="L5794" i="1"/>
  <c r="A5795" i="1"/>
  <c r="B5795" i="1"/>
  <c r="C5795" i="1"/>
  <c r="D5795" i="1"/>
  <c r="E5795" i="1"/>
  <c r="F5795" i="1"/>
  <c r="G5795" i="1"/>
  <c r="H5795" i="1"/>
  <c r="I5795" i="1"/>
  <c r="J5795" i="1"/>
  <c r="K5795" i="1"/>
  <c r="L5795" i="1"/>
  <c r="A5796" i="1"/>
  <c r="B5796" i="1"/>
  <c r="C5796" i="1"/>
  <c r="D5796" i="1"/>
  <c r="E5796" i="1"/>
  <c r="F5796" i="1"/>
  <c r="G5796" i="1"/>
  <c r="H5796" i="1"/>
  <c r="I5796" i="1"/>
  <c r="J5796" i="1"/>
  <c r="K5796" i="1"/>
  <c r="L5796" i="1"/>
  <c r="A5797" i="1"/>
  <c r="B5797" i="1"/>
  <c r="C5797" i="1"/>
  <c r="D5797" i="1"/>
  <c r="E5797" i="1"/>
  <c r="F5797" i="1"/>
  <c r="G5797" i="1"/>
  <c r="H5797" i="1"/>
  <c r="I5797" i="1"/>
  <c r="J5797" i="1"/>
  <c r="K5797" i="1"/>
  <c r="L5797" i="1"/>
  <c r="A5798" i="1"/>
  <c r="B5798" i="1"/>
  <c r="C5798" i="1"/>
  <c r="D5798" i="1"/>
  <c r="E5798" i="1"/>
  <c r="F5798" i="1"/>
  <c r="G5798" i="1"/>
  <c r="H5798" i="1"/>
  <c r="I5798" i="1"/>
  <c r="J5798" i="1"/>
  <c r="K5798" i="1"/>
  <c r="L5798" i="1"/>
  <c r="A5799" i="1"/>
  <c r="B5799" i="1"/>
  <c r="C5799" i="1"/>
  <c r="D5799" i="1"/>
  <c r="E5799" i="1"/>
  <c r="F5799" i="1"/>
  <c r="G5799" i="1"/>
  <c r="H5799" i="1"/>
  <c r="I5799" i="1"/>
  <c r="J5799" i="1"/>
  <c r="K5799" i="1"/>
  <c r="L5799" i="1"/>
  <c r="A5800" i="1"/>
  <c r="B5800" i="1"/>
  <c r="C5800" i="1"/>
  <c r="D5800" i="1"/>
  <c r="E5800" i="1"/>
  <c r="F5800" i="1"/>
  <c r="G5800" i="1"/>
  <c r="H5800" i="1"/>
  <c r="I5800" i="1"/>
  <c r="J5800" i="1"/>
  <c r="K5800" i="1"/>
  <c r="L5800" i="1"/>
  <c r="A5801" i="1"/>
  <c r="B5801" i="1"/>
  <c r="C5801" i="1"/>
  <c r="D5801" i="1"/>
  <c r="E5801" i="1"/>
  <c r="F5801" i="1"/>
  <c r="G5801" i="1"/>
  <c r="H5801" i="1"/>
  <c r="I5801" i="1"/>
  <c r="J5801" i="1"/>
  <c r="K5801" i="1"/>
  <c r="L5801" i="1"/>
  <c r="A5802" i="1"/>
  <c r="B5802" i="1"/>
  <c r="C5802" i="1"/>
  <c r="D5802" i="1"/>
  <c r="E5802" i="1"/>
  <c r="F5802" i="1"/>
  <c r="G5802" i="1"/>
  <c r="H5802" i="1"/>
  <c r="I5802" i="1"/>
  <c r="J5802" i="1"/>
  <c r="K5802" i="1"/>
  <c r="L5802" i="1"/>
  <c r="A5803" i="1"/>
  <c r="B5803" i="1"/>
  <c r="C5803" i="1"/>
  <c r="D5803" i="1"/>
  <c r="E5803" i="1"/>
  <c r="F5803" i="1"/>
  <c r="G5803" i="1"/>
  <c r="H5803" i="1"/>
  <c r="I5803" i="1"/>
  <c r="J5803" i="1"/>
  <c r="K5803" i="1"/>
  <c r="L5803" i="1"/>
  <c r="A5804" i="1"/>
  <c r="B5804" i="1"/>
  <c r="C5804" i="1"/>
  <c r="D5804" i="1"/>
  <c r="E5804" i="1"/>
  <c r="F5804" i="1"/>
  <c r="G5804" i="1"/>
  <c r="H5804" i="1"/>
  <c r="I5804" i="1"/>
  <c r="J5804" i="1"/>
  <c r="K5804" i="1"/>
  <c r="L5804" i="1"/>
  <c r="A5805" i="1"/>
  <c r="B5805" i="1"/>
  <c r="C5805" i="1"/>
  <c r="D5805" i="1"/>
  <c r="E5805" i="1"/>
  <c r="F5805" i="1"/>
  <c r="G5805" i="1"/>
  <c r="H5805" i="1"/>
  <c r="I5805" i="1"/>
  <c r="J5805" i="1"/>
  <c r="K5805" i="1"/>
  <c r="L5805" i="1"/>
  <c r="A5806" i="1"/>
  <c r="B5806" i="1"/>
  <c r="C5806" i="1"/>
  <c r="D5806" i="1"/>
  <c r="E5806" i="1"/>
  <c r="F5806" i="1"/>
  <c r="G5806" i="1"/>
  <c r="H5806" i="1"/>
  <c r="I5806" i="1"/>
  <c r="J5806" i="1"/>
  <c r="K5806" i="1"/>
  <c r="L5806" i="1"/>
  <c r="A5807" i="1"/>
  <c r="B5807" i="1"/>
  <c r="C5807" i="1"/>
  <c r="D5807" i="1"/>
  <c r="E5807" i="1"/>
  <c r="F5807" i="1"/>
  <c r="G5807" i="1"/>
  <c r="H5807" i="1"/>
  <c r="I5807" i="1"/>
  <c r="J5807" i="1"/>
  <c r="K5807" i="1"/>
  <c r="L5807" i="1"/>
  <c r="A5808" i="1"/>
  <c r="B5808" i="1"/>
  <c r="C5808" i="1"/>
  <c r="D5808" i="1"/>
  <c r="E5808" i="1"/>
  <c r="F5808" i="1"/>
  <c r="G5808" i="1"/>
  <c r="H5808" i="1"/>
  <c r="I5808" i="1"/>
  <c r="J5808" i="1"/>
  <c r="K5808" i="1"/>
  <c r="L5808" i="1"/>
  <c r="A5809" i="1"/>
  <c r="B5809" i="1"/>
  <c r="C5809" i="1"/>
  <c r="D5809" i="1"/>
  <c r="E5809" i="1"/>
  <c r="F5809" i="1"/>
  <c r="G5809" i="1"/>
  <c r="H5809" i="1"/>
  <c r="I5809" i="1"/>
  <c r="J5809" i="1"/>
  <c r="K5809" i="1"/>
  <c r="L5809" i="1"/>
  <c r="A5810" i="1"/>
  <c r="B5810" i="1"/>
  <c r="C5810" i="1"/>
  <c r="D5810" i="1"/>
  <c r="E5810" i="1"/>
  <c r="F5810" i="1"/>
  <c r="G5810" i="1"/>
  <c r="H5810" i="1"/>
  <c r="I5810" i="1"/>
  <c r="J5810" i="1"/>
  <c r="K5810" i="1"/>
  <c r="L5810" i="1"/>
  <c r="A5811" i="1"/>
  <c r="B5811" i="1"/>
  <c r="C5811" i="1"/>
  <c r="D5811" i="1"/>
  <c r="E5811" i="1"/>
  <c r="F5811" i="1"/>
  <c r="G5811" i="1"/>
  <c r="H5811" i="1"/>
  <c r="I5811" i="1"/>
  <c r="J5811" i="1"/>
  <c r="K5811" i="1"/>
  <c r="L5811" i="1"/>
  <c r="A5812" i="1"/>
  <c r="B5812" i="1"/>
  <c r="C5812" i="1"/>
  <c r="D5812" i="1"/>
  <c r="E5812" i="1"/>
  <c r="F5812" i="1"/>
  <c r="G5812" i="1"/>
  <c r="H5812" i="1"/>
  <c r="I5812" i="1"/>
  <c r="J5812" i="1"/>
  <c r="K5812" i="1"/>
  <c r="L5812" i="1"/>
  <c r="A5813" i="1"/>
  <c r="B5813" i="1"/>
  <c r="C5813" i="1"/>
  <c r="D5813" i="1"/>
  <c r="E5813" i="1"/>
  <c r="F5813" i="1"/>
  <c r="G5813" i="1"/>
  <c r="H5813" i="1"/>
  <c r="I5813" i="1"/>
  <c r="J5813" i="1"/>
  <c r="K5813" i="1"/>
  <c r="L5813" i="1"/>
  <c r="A5814" i="1"/>
  <c r="B5814" i="1"/>
  <c r="C5814" i="1"/>
  <c r="D5814" i="1"/>
  <c r="E5814" i="1"/>
  <c r="F5814" i="1"/>
  <c r="G5814" i="1"/>
  <c r="H5814" i="1"/>
  <c r="I5814" i="1"/>
  <c r="J5814" i="1"/>
  <c r="K5814" i="1"/>
  <c r="L5814" i="1"/>
  <c r="A5815" i="1"/>
  <c r="B5815" i="1"/>
  <c r="C5815" i="1"/>
  <c r="D5815" i="1"/>
  <c r="E5815" i="1"/>
  <c r="F5815" i="1"/>
  <c r="G5815" i="1"/>
  <c r="H5815" i="1"/>
  <c r="I5815" i="1"/>
  <c r="J5815" i="1"/>
  <c r="K5815" i="1"/>
  <c r="L5815" i="1"/>
  <c r="A5816" i="1"/>
  <c r="B5816" i="1"/>
  <c r="C5816" i="1"/>
  <c r="D5816" i="1"/>
  <c r="E5816" i="1"/>
  <c r="F5816" i="1"/>
  <c r="G5816" i="1"/>
  <c r="H5816" i="1"/>
  <c r="I5816" i="1"/>
  <c r="J5816" i="1"/>
  <c r="K5816" i="1"/>
  <c r="L5816" i="1"/>
  <c r="A5817" i="1"/>
  <c r="B5817" i="1"/>
  <c r="C5817" i="1"/>
  <c r="D5817" i="1"/>
  <c r="E5817" i="1"/>
  <c r="F5817" i="1"/>
  <c r="G5817" i="1"/>
  <c r="H5817" i="1"/>
  <c r="I5817" i="1"/>
  <c r="J5817" i="1"/>
  <c r="K5817" i="1"/>
  <c r="L5817" i="1"/>
  <c r="A5818" i="1"/>
  <c r="B5818" i="1"/>
  <c r="C5818" i="1"/>
  <c r="D5818" i="1"/>
  <c r="E5818" i="1"/>
  <c r="F5818" i="1"/>
  <c r="G5818" i="1"/>
  <c r="H5818" i="1"/>
  <c r="I5818" i="1"/>
  <c r="J5818" i="1"/>
  <c r="K5818" i="1"/>
  <c r="L5818" i="1"/>
  <c r="A5819" i="1"/>
  <c r="B5819" i="1"/>
  <c r="C5819" i="1"/>
  <c r="D5819" i="1"/>
  <c r="E5819" i="1"/>
  <c r="F5819" i="1"/>
  <c r="G5819" i="1"/>
  <c r="H5819" i="1"/>
  <c r="I5819" i="1"/>
  <c r="J5819" i="1"/>
  <c r="K5819" i="1"/>
  <c r="L5819" i="1"/>
  <c r="A5820" i="1"/>
  <c r="B5820" i="1"/>
  <c r="C5820" i="1"/>
  <c r="D5820" i="1"/>
  <c r="E5820" i="1"/>
  <c r="F5820" i="1"/>
  <c r="G5820" i="1"/>
  <c r="H5820" i="1"/>
  <c r="I5820" i="1"/>
  <c r="J5820" i="1"/>
  <c r="K5820" i="1"/>
  <c r="L5820" i="1"/>
  <c r="A5821" i="1"/>
  <c r="B5821" i="1"/>
  <c r="C5821" i="1"/>
  <c r="D5821" i="1"/>
  <c r="E5821" i="1"/>
  <c r="F5821" i="1"/>
  <c r="G5821" i="1"/>
  <c r="H5821" i="1"/>
  <c r="I5821" i="1"/>
  <c r="J5821" i="1"/>
  <c r="K5821" i="1"/>
  <c r="L5821" i="1"/>
  <c r="A5822" i="1"/>
  <c r="B5822" i="1"/>
  <c r="C5822" i="1"/>
  <c r="D5822" i="1"/>
  <c r="E5822" i="1"/>
  <c r="F5822" i="1"/>
  <c r="G5822" i="1"/>
  <c r="H5822" i="1"/>
  <c r="I5822" i="1"/>
  <c r="J5822" i="1"/>
  <c r="K5822" i="1"/>
  <c r="L5822" i="1"/>
  <c r="A5823" i="1"/>
  <c r="B5823" i="1"/>
  <c r="C5823" i="1"/>
  <c r="D5823" i="1"/>
  <c r="E5823" i="1"/>
  <c r="F5823" i="1"/>
  <c r="G5823" i="1"/>
  <c r="H5823" i="1"/>
  <c r="I5823" i="1"/>
  <c r="J5823" i="1"/>
  <c r="K5823" i="1"/>
  <c r="L5823" i="1"/>
  <c r="A5824" i="1"/>
  <c r="B5824" i="1"/>
  <c r="C5824" i="1"/>
  <c r="D5824" i="1"/>
  <c r="E5824" i="1"/>
  <c r="F5824" i="1"/>
  <c r="G5824" i="1"/>
  <c r="H5824" i="1"/>
  <c r="I5824" i="1"/>
  <c r="J5824" i="1"/>
  <c r="K5824" i="1"/>
  <c r="L5824" i="1"/>
  <c r="A5825" i="1"/>
  <c r="B5825" i="1"/>
  <c r="C5825" i="1"/>
  <c r="D5825" i="1"/>
  <c r="E5825" i="1"/>
  <c r="F5825" i="1"/>
  <c r="G5825" i="1"/>
  <c r="H5825" i="1"/>
  <c r="I5825" i="1"/>
  <c r="J5825" i="1"/>
  <c r="K5825" i="1"/>
  <c r="L5825" i="1"/>
  <c r="A5826" i="1"/>
  <c r="B5826" i="1"/>
  <c r="C5826" i="1"/>
  <c r="D5826" i="1"/>
  <c r="E5826" i="1"/>
  <c r="F5826" i="1"/>
  <c r="G5826" i="1"/>
  <c r="H5826" i="1"/>
  <c r="I5826" i="1"/>
  <c r="J5826" i="1"/>
  <c r="K5826" i="1"/>
  <c r="L5826" i="1"/>
  <c r="A5827" i="1"/>
  <c r="B5827" i="1"/>
  <c r="C5827" i="1"/>
  <c r="D5827" i="1"/>
  <c r="E5827" i="1"/>
  <c r="F5827" i="1"/>
  <c r="G5827" i="1"/>
  <c r="H5827" i="1"/>
  <c r="I5827" i="1"/>
  <c r="J5827" i="1"/>
  <c r="K5827" i="1"/>
  <c r="L5827" i="1"/>
  <c r="A5828" i="1"/>
  <c r="B5828" i="1"/>
  <c r="C5828" i="1"/>
  <c r="D5828" i="1"/>
  <c r="E5828" i="1"/>
  <c r="F5828" i="1"/>
  <c r="G5828" i="1"/>
  <c r="H5828" i="1"/>
  <c r="I5828" i="1"/>
  <c r="J5828" i="1"/>
  <c r="K5828" i="1"/>
  <c r="L5828" i="1"/>
  <c r="A5829" i="1"/>
  <c r="B5829" i="1"/>
  <c r="C5829" i="1"/>
  <c r="D5829" i="1"/>
  <c r="E5829" i="1"/>
  <c r="F5829" i="1"/>
  <c r="G5829" i="1"/>
  <c r="H5829" i="1"/>
  <c r="I5829" i="1"/>
  <c r="J5829" i="1"/>
  <c r="K5829" i="1"/>
  <c r="L5829" i="1"/>
  <c r="A5830" i="1"/>
  <c r="B5830" i="1"/>
  <c r="C5830" i="1"/>
  <c r="D5830" i="1"/>
  <c r="E5830" i="1"/>
  <c r="F5830" i="1"/>
  <c r="G5830" i="1"/>
  <c r="H5830" i="1"/>
  <c r="I5830" i="1"/>
  <c r="J5830" i="1"/>
  <c r="K5830" i="1"/>
  <c r="L5830" i="1"/>
  <c r="A5831" i="1"/>
  <c r="B5831" i="1"/>
  <c r="C5831" i="1"/>
  <c r="D5831" i="1"/>
  <c r="E5831" i="1"/>
  <c r="F5831" i="1"/>
  <c r="G5831" i="1"/>
  <c r="H5831" i="1"/>
  <c r="I5831" i="1"/>
  <c r="J5831" i="1"/>
  <c r="K5831" i="1"/>
  <c r="L5831" i="1"/>
  <c r="A5832" i="1"/>
  <c r="B5832" i="1"/>
  <c r="C5832" i="1"/>
  <c r="D5832" i="1"/>
  <c r="E5832" i="1"/>
  <c r="F5832" i="1"/>
  <c r="G5832" i="1"/>
  <c r="H5832" i="1"/>
  <c r="I5832" i="1"/>
  <c r="J5832" i="1"/>
  <c r="K5832" i="1"/>
  <c r="L5832" i="1"/>
  <c r="A5833" i="1"/>
  <c r="B5833" i="1"/>
  <c r="C5833" i="1"/>
  <c r="D5833" i="1"/>
  <c r="E5833" i="1"/>
  <c r="F5833" i="1"/>
  <c r="G5833" i="1"/>
  <c r="H5833" i="1"/>
  <c r="I5833" i="1"/>
  <c r="J5833" i="1"/>
  <c r="K5833" i="1"/>
  <c r="L5833" i="1"/>
  <c r="A5834" i="1"/>
  <c r="B5834" i="1"/>
  <c r="C5834" i="1"/>
  <c r="D5834" i="1"/>
  <c r="E5834" i="1"/>
  <c r="F5834" i="1"/>
  <c r="G5834" i="1"/>
  <c r="H5834" i="1"/>
  <c r="I5834" i="1"/>
  <c r="J5834" i="1"/>
  <c r="K5834" i="1"/>
  <c r="L5834" i="1"/>
  <c r="A5835" i="1"/>
  <c r="B5835" i="1"/>
  <c r="C5835" i="1"/>
  <c r="D5835" i="1"/>
  <c r="E5835" i="1"/>
  <c r="F5835" i="1"/>
  <c r="G5835" i="1"/>
  <c r="H5835" i="1"/>
  <c r="I5835" i="1"/>
  <c r="J5835" i="1"/>
  <c r="K5835" i="1"/>
  <c r="L5835" i="1"/>
  <c r="A5836" i="1"/>
  <c r="B5836" i="1"/>
  <c r="C5836" i="1"/>
  <c r="D5836" i="1"/>
  <c r="E5836" i="1"/>
  <c r="F5836" i="1"/>
  <c r="G5836" i="1"/>
  <c r="H5836" i="1"/>
  <c r="I5836" i="1"/>
  <c r="J5836" i="1"/>
  <c r="K5836" i="1"/>
  <c r="L5836" i="1"/>
  <c r="A5837" i="1"/>
  <c r="B5837" i="1"/>
  <c r="C5837" i="1"/>
  <c r="D5837" i="1"/>
  <c r="E5837" i="1"/>
  <c r="F5837" i="1"/>
  <c r="G5837" i="1"/>
  <c r="H5837" i="1"/>
  <c r="I5837" i="1"/>
  <c r="J5837" i="1"/>
  <c r="K5837" i="1"/>
  <c r="L5837" i="1"/>
  <c r="A5838" i="1"/>
  <c r="B5838" i="1"/>
  <c r="C5838" i="1"/>
  <c r="D5838" i="1"/>
  <c r="E5838" i="1"/>
  <c r="F5838" i="1"/>
  <c r="G5838" i="1"/>
  <c r="H5838" i="1"/>
  <c r="I5838" i="1"/>
  <c r="J5838" i="1"/>
  <c r="K5838" i="1"/>
  <c r="L5838" i="1"/>
  <c r="A5839" i="1"/>
  <c r="B5839" i="1"/>
  <c r="C5839" i="1"/>
  <c r="D5839" i="1"/>
  <c r="E5839" i="1"/>
  <c r="F5839" i="1"/>
  <c r="G5839" i="1"/>
  <c r="H5839" i="1"/>
  <c r="I5839" i="1"/>
  <c r="J5839" i="1"/>
  <c r="K5839" i="1"/>
  <c r="L5839" i="1"/>
  <c r="A5840" i="1"/>
  <c r="B5840" i="1"/>
  <c r="C5840" i="1"/>
  <c r="D5840" i="1"/>
  <c r="E5840" i="1"/>
  <c r="F5840" i="1"/>
  <c r="G5840" i="1"/>
  <c r="H5840" i="1"/>
  <c r="I5840" i="1"/>
  <c r="J5840" i="1"/>
  <c r="K5840" i="1"/>
  <c r="L5840" i="1"/>
  <c r="A5841" i="1"/>
  <c r="B5841" i="1"/>
  <c r="C5841" i="1"/>
  <c r="D5841" i="1"/>
  <c r="E5841" i="1"/>
  <c r="F5841" i="1"/>
  <c r="G5841" i="1"/>
  <c r="H5841" i="1"/>
  <c r="I5841" i="1"/>
  <c r="J5841" i="1"/>
  <c r="K5841" i="1"/>
  <c r="L5841" i="1"/>
  <c r="A5842" i="1"/>
  <c r="B5842" i="1"/>
  <c r="C5842" i="1"/>
  <c r="D5842" i="1"/>
  <c r="E5842" i="1"/>
  <c r="F5842" i="1"/>
  <c r="G5842" i="1"/>
  <c r="H5842" i="1"/>
  <c r="I5842" i="1"/>
  <c r="J5842" i="1"/>
  <c r="K5842" i="1"/>
  <c r="L5842" i="1"/>
  <c r="A5843" i="1"/>
  <c r="B5843" i="1"/>
  <c r="C5843" i="1"/>
  <c r="D5843" i="1"/>
  <c r="E5843" i="1"/>
  <c r="F5843" i="1"/>
  <c r="G5843" i="1"/>
  <c r="H5843" i="1"/>
  <c r="I5843" i="1"/>
  <c r="J5843" i="1"/>
  <c r="K5843" i="1"/>
  <c r="L5843" i="1"/>
  <c r="A5844" i="1"/>
  <c r="B5844" i="1"/>
  <c r="C5844" i="1"/>
  <c r="D5844" i="1"/>
  <c r="E5844" i="1"/>
  <c r="F5844" i="1"/>
  <c r="G5844" i="1"/>
  <c r="H5844" i="1"/>
  <c r="I5844" i="1"/>
  <c r="J5844" i="1"/>
  <c r="K5844" i="1"/>
  <c r="L5844" i="1"/>
  <c r="A5845" i="1"/>
  <c r="B5845" i="1"/>
  <c r="C5845" i="1"/>
  <c r="D5845" i="1"/>
  <c r="E5845" i="1"/>
  <c r="F5845" i="1"/>
  <c r="G5845" i="1"/>
  <c r="H5845" i="1"/>
  <c r="I5845" i="1"/>
  <c r="J5845" i="1"/>
  <c r="K5845" i="1"/>
  <c r="L5845" i="1"/>
  <c r="A5846" i="1"/>
  <c r="B5846" i="1"/>
  <c r="C5846" i="1"/>
  <c r="D5846" i="1"/>
  <c r="E5846" i="1"/>
  <c r="F5846" i="1"/>
  <c r="G5846" i="1"/>
  <c r="H5846" i="1"/>
  <c r="I5846" i="1"/>
  <c r="J5846" i="1"/>
  <c r="K5846" i="1"/>
  <c r="L5846" i="1"/>
  <c r="A5847" i="1"/>
  <c r="B5847" i="1"/>
  <c r="C5847" i="1"/>
  <c r="D5847" i="1"/>
  <c r="E5847" i="1"/>
  <c r="F5847" i="1"/>
  <c r="G5847" i="1"/>
  <c r="H5847" i="1"/>
  <c r="I5847" i="1"/>
  <c r="J5847" i="1"/>
  <c r="K5847" i="1"/>
  <c r="L5847" i="1"/>
  <c r="A5848" i="1"/>
  <c r="B5848" i="1"/>
  <c r="C5848" i="1"/>
  <c r="D5848" i="1"/>
  <c r="E5848" i="1"/>
  <c r="F5848" i="1"/>
  <c r="G5848" i="1"/>
  <c r="H5848" i="1"/>
  <c r="I5848" i="1"/>
  <c r="J5848" i="1"/>
  <c r="K5848" i="1"/>
  <c r="L5848" i="1"/>
  <c r="A5849" i="1"/>
  <c r="B5849" i="1"/>
  <c r="C5849" i="1"/>
  <c r="D5849" i="1"/>
  <c r="E5849" i="1"/>
  <c r="F5849" i="1"/>
  <c r="G5849" i="1"/>
  <c r="H5849" i="1"/>
  <c r="I5849" i="1"/>
  <c r="J5849" i="1"/>
  <c r="K5849" i="1"/>
  <c r="L5849" i="1"/>
  <c r="A5850" i="1"/>
  <c r="B5850" i="1"/>
  <c r="C5850" i="1"/>
  <c r="D5850" i="1"/>
  <c r="E5850" i="1"/>
  <c r="F5850" i="1"/>
  <c r="G5850" i="1"/>
  <c r="H5850" i="1"/>
  <c r="I5850" i="1"/>
  <c r="J5850" i="1"/>
  <c r="K5850" i="1"/>
  <c r="L5850" i="1"/>
  <c r="A5851" i="1"/>
  <c r="B5851" i="1"/>
  <c r="C5851" i="1"/>
  <c r="D5851" i="1"/>
  <c r="E5851" i="1"/>
  <c r="F5851" i="1"/>
  <c r="G5851" i="1"/>
  <c r="H5851" i="1"/>
  <c r="I5851" i="1"/>
  <c r="J5851" i="1"/>
  <c r="K5851" i="1"/>
  <c r="L5851" i="1"/>
  <c r="A5852" i="1"/>
  <c r="B5852" i="1"/>
  <c r="C5852" i="1"/>
  <c r="D5852" i="1"/>
  <c r="E5852" i="1"/>
  <c r="F5852" i="1"/>
  <c r="G5852" i="1"/>
  <c r="H5852" i="1"/>
  <c r="I5852" i="1"/>
  <c r="J5852" i="1"/>
  <c r="K5852" i="1"/>
  <c r="L5852" i="1"/>
  <c r="A5853" i="1"/>
  <c r="B5853" i="1"/>
  <c r="C5853" i="1"/>
  <c r="D5853" i="1"/>
  <c r="E5853" i="1"/>
  <c r="F5853" i="1"/>
  <c r="G5853" i="1"/>
  <c r="H5853" i="1"/>
  <c r="I5853" i="1"/>
  <c r="J5853" i="1"/>
  <c r="K5853" i="1"/>
  <c r="L5853" i="1"/>
  <c r="A5854" i="1"/>
  <c r="B5854" i="1"/>
  <c r="C5854" i="1"/>
  <c r="D5854" i="1"/>
  <c r="E5854" i="1"/>
  <c r="F5854" i="1"/>
  <c r="G5854" i="1"/>
  <c r="H5854" i="1"/>
  <c r="I5854" i="1"/>
  <c r="J5854" i="1"/>
  <c r="K5854" i="1"/>
  <c r="L5854" i="1"/>
  <c r="A5855" i="1"/>
  <c r="B5855" i="1"/>
  <c r="C5855" i="1"/>
  <c r="D5855" i="1"/>
  <c r="E5855" i="1"/>
  <c r="F5855" i="1"/>
  <c r="G5855" i="1"/>
  <c r="H5855" i="1"/>
  <c r="I5855" i="1"/>
  <c r="J5855" i="1"/>
  <c r="K5855" i="1"/>
  <c r="L5855" i="1"/>
  <c r="A5856" i="1"/>
  <c r="B5856" i="1"/>
  <c r="C5856" i="1"/>
  <c r="D5856" i="1"/>
  <c r="E5856" i="1"/>
  <c r="F5856" i="1"/>
  <c r="G5856" i="1"/>
  <c r="H5856" i="1"/>
  <c r="I5856" i="1"/>
  <c r="J5856" i="1"/>
  <c r="K5856" i="1"/>
  <c r="L5856" i="1"/>
  <c r="A5857" i="1"/>
  <c r="B5857" i="1"/>
  <c r="C5857" i="1"/>
  <c r="D5857" i="1"/>
  <c r="E5857" i="1"/>
  <c r="F5857" i="1"/>
  <c r="G5857" i="1"/>
  <c r="H5857" i="1"/>
  <c r="I5857" i="1"/>
  <c r="J5857" i="1"/>
  <c r="K5857" i="1"/>
  <c r="L5857" i="1"/>
  <c r="A5858" i="1"/>
  <c r="B5858" i="1"/>
  <c r="C5858" i="1"/>
  <c r="D5858" i="1"/>
  <c r="E5858" i="1"/>
  <c r="F5858" i="1"/>
  <c r="G5858" i="1"/>
  <c r="H5858" i="1"/>
  <c r="I5858" i="1"/>
  <c r="J5858" i="1"/>
  <c r="K5858" i="1"/>
  <c r="L5858" i="1"/>
  <c r="A5859" i="1"/>
  <c r="B5859" i="1"/>
  <c r="C5859" i="1"/>
  <c r="D5859" i="1"/>
  <c r="E5859" i="1"/>
  <c r="F5859" i="1"/>
  <c r="G5859" i="1"/>
  <c r="H5859" i="1"/>
  <c r="I5859" i="1"/>
  <c r="J5859" i="1"/>
  <c r="K5859" i="1"/>
  <c r="L5859" i="1"/>
  <c r="A5860" i="1"/>
  <c r="B5860" i="1"/>
  <c r="C5860" i="1"/>
  <c r="D5860" i="1"/>
  <c r="E5860" i="1"/>
  <c r="F5860" i="1"/>
  <c r="G5860" i="1"/>
  <c r="H5860" i="1"/>
  <c r="I5860" i="1"/>
  <c r="J5860" i="1"/>
  <c r="K5860" i="1"/>
  <c r="L5860" i="1"/>
  <c r="A5861" i="1"/>
  <c r="B5861" i="1"/>
  <c r="C5861" i="1"/>
  <c r="D5861" i="1"/>
  <c r="E5861" i="1"/>
  <c r="F5861" i="1"/>
  <c r="G5861" i="1"/>
  <c r="H5861" i="1"/>
  <c r="I5861" i="1"/>
  <c r="J5861" i="1"/>
  <c r="K5861" i="1"/>
  <c r="L5861" i="1"/>
  <c r="A5862" i="1"/>
  <c r="B5862" i="1"/>
  <c r="C5862" i="1"/>
  <c r="D5862" i="1"/>
  <c r="E5862" i="1"/>
  <c r="F5862" i="1"/>
  <c r="G5862" i="1"/>
  <c r="H5862" i="1"/>
  <c r="I5862" i="1"/>
  <c r="J5862" i="1"/>
  <c r="K5862" i="1"/>
  <c r="L5862" i="1"/>
  <c r="A5863" i="1"/>
  <c r="B5863" i="1"/>
  <c r="C5863" i="1"/>
  <c r="D5863" i="1"/>
  <c r="E5863" i="1"/>
  <c r="F5863" i="1"/>
  <c r="G5863" i="1"/>
  <c r="H5863" i="1"/>
  <c r="I5863" i="1"/>
  <c r="J5863" i="1"/>
  <c r="K5863" i="1"/>
  <c r="L5863" i="1"/>
  <c r="A5864" i="1"/>
  <c r="B5864" i="1"/>
  <c r="C5864" i="1"/>
  <c r="D5864" i="1"/>
  <c r="E5864" i="1"/>
  <c r="F5864" i="1"/>
  <c r="G5864" i="1"/>
  <c r="H5864" i="1"/>
  <c r="I5864" i="1"/>
  <c r="J5864" i="1"/>
  <c r="K5864" i="1"/>
  <c r="L5864" i="1"/>
  <c r="A5865" i="1"/>
  <c r="B5865" i="1"/>
  <c r="C5865" i="1"/>
  <c r="D5865" i="1"/>
  <c r="E5865" i="1"/>
  <c r="F5865" i="1"/>
  <c r="G5865" i="1"/>
  <c r="H5865" i="1"/>
  <c r="I5865" i="1"/>
  <c r="J5865" i="1"/>
  <c r="K5865" i="1"/>
  <c r="L5865" i="1"/>
  <c r="A5866" i="1"/>
  <c r="B5866" i="1"/>
  <c r="C5866" i="1"/>
  <c r="D5866" i="1"/>
  <c r="E5866" i="1"/>
  <c r="F5866" i="1"/>
  <c r="G5866" i="1"/>
  <c r="H5866" i="1"/>
  <c r="I5866" i="1"/>
  <c r="J5866" i="1"/>
  <c r="K5866" i="1"/>
  <c r="L5866" i="1"/>
  <c r="A5867" i="1"/>
  <c r="B5867" i="1"/>
  <c r="C5867" i="1"/>
  <c r="D5867" i="1"/>
  <c r="E5867" i="1"/>
  <c r="F5867" i="1"/>
  <c r="G5867" i="1"/>
  <c r="H5867" i="1"/>
  <c r="I5867" i="1"/>
  <c r="J5867" i="1"/>
  <c r="K5867" i="1"/>
  <c r="L5867" i="1"/>
  <c r="A5868" i="1"/>
  <c r="B5868" i="1"/>
  <c r="C5868" i="1"/>
  <c r="D5868" i="1"/>
  <c r="E5868" i="1"/>
  <c r="F5868" i="1"/>
  <c r="G5868" i="1"/>
  <c r="H5868" i="1"/>
  <c r="I5868" i="1"/>
  <c r="J5868" i="1"/>
  <c r="K5868" i="1"/>
  <c r="L5868" i="1"/>
  <c r="A5869" i="1"/>
  <c r="B5869" i="1"/>
  <c r="C5869" i="1"/>
  <c r="D5869" i="1"/>
  <c r="E5869" i="1"/>
  <c r="F5869" i="1"/>
  <c r="G5869" i="1"/>
  <c r="H5869" i="1"/>
  <c r="I5869" i="1"/>
  <c r="J5869" i="1"/>
  <c r="K5869" i="1"/>
  <c r="L5869" i="1"/>
  <c r="A5870" i="1"/>
  <c r="B5870" i="1"/>
  <c r="C5870" i="1"/>
  <c r="D5870" i="1"/>
  <c r="E5870" i="1"/>
  <c r="F5870" i="1"/>
  <c r="G5870" i="1"/>
  <c r="H5870" i="1"/>
  <c r="I5870" i="1"/>
  <c r="J5870" i="1"/>
  <c r="K5870" i="1"/>
  <c r="L5870" i="1"/>
  <c r="A5871" i="1"/>
  <c r="B5871" i="1"/>
  <c r="C5871" i="1"/>
  <c r="D5871" i="1"/>
  <c r="E5871" i="1"/>
  <c r="F5871" i="1"/>
  <c r="G5871" i="1"/>
  <c r="H5871" i="1"/>
  <c r="I5871" i="1"/>
  <c r="J5871" i="1"/>
  <c r="K5871" i="1"/>
  <c r="L5871" i="1"/>
  <c r="A5872" i="1"/>
  <c r="B5872" i="1"/>
  <c r="C5872" i="1"/>
  <c r="D5872" i="1"/>
  <c r="E5872" i="1"/>
  <c r="F5872" i="1"/>
  <c r="G5872" i="1"/>
  <c r="H5872" i="1"/>
  <c r="I5872" i="1"/>
  <c r="J5872" i="1"/>
  <c r="K5872" i="1"/>
  <c r="L5872" i="1"/>
  <c r="A5873" i="1"/>
  <c r="B5873" i="1"/>
  <c r="C5873" i="1"/>
  <c r="D5873" i="1"/>
  <c r="E5873" i="1"/>
  <c r="F5873" i="1"/>
  <c r="G5873" i="1"/>
  <c r="H5873" i="1"/>
  <c r="I5873" i="1"/>
  <c r="J5873" i="1"/>
  <c r="K5873" i="1"/>
  <c r="L5873" i="1"/>
  <c r="A5874" i="1"/>
  <c r="B5874" i="1"/>
  <c r="C5874" i="1"/>
  <c r="D5874" i="1"/>
  <c r="E5874" i="1"/>
  <c r="F5874" i="1"/>
  <c r="G5874" i="1"/>
  <c r="H5874" i="1"/>
  <c r="I5874" i="1"/>
  <c r="J5874" i="1"/>
  <c r="K5874" i="1"/>
  <c r="L5874" i="1"/>
  <c r="A5875" i="1"/>
  <c r="B5875" i="1"/>
  <c r="C5875" i="1"/>
  <c r="D5875" i="1"/>
  <c r="E5875" i="1"/>
  <c r="F5875" i="1"/>
  <c r="G5875" i="1"/>
  <c r="H5875" i="1"/>
  <c r="I5875" i="1"/>
  <c r="J5875" i="1"/>
  <c r="K5875" i="1"/>
  <c r="L5875" i="1"/>
  <c r="A5876" i="1"/>
  <c r="B5876" i="1"/>
  <c r="C5876" i="1"/>
  <c r="D5876" i="1"/>
  <c r="E5876" i="1"/>
  <c r="F5876" i="1"/>
  <c r="G5876" i="1"/>
  <c r="H5876" i="1"/>
  <c r="I5876" i="1"/>
  <c r="J5876" i="1"/>
  <c r="K5876" i="1"/>
  <c r="L5876" i="1"/>
  <c r="A5877" i="1"/>
  <c r="B5877" i="1"/>
  <c r="C5877" i="1"/>
  <c r="D5877" i="1"/>
  <c r="E5877" i="1"/>
  <c r="F5877" i="1"/>
  <c r="G5877" i="1"/>
  <c r="H5877" i="1"/>
  <c r="I5877" i="1"/>
  <c r="J5877" i="1"/>
  <c r="K5877" i="1"/>
  <c r="L5877" i="1"/>
  <c r="A5878" i="1"/>
  <c r="B5878" i="1"/>
  <c r="C5878" i="1"/>
  <c r="D5878" i="1"/>
  <c r="E5878" i="1"/>
  <c r="F5878" i="1"/>
  <c r="G5878" i="1"/>
  <c r="H5878" i="1"/>
  <c r="I5878" i="1"/>
  <c r="J5878" i="1"/>
  <c r="K5878" i="1"/>
  <c r="L5878" i="1"/>
  <c r="A5879" i="1"/>
  <c r="B5879" i="1"/>
  <c r="C5879" i="1"/>
  <c r="D5879" i="1"/>
  <c r="E5879" i="1"/>
  <c r="F5879" i="1"/>
  <c r="G5879" i="1"/>
  <c r="H5879" i="1"/>
  <c r="I5879" i="1"/>
  <c r="J5879" i="1"/>
  <c r="K5879" i="1"/>
  <c r="L5879" i="1"/>
  <c r="A5880" i="1"/>
  <c r="B5880" i="1"/>
  <c r="C5880" i="1"/>
  <c r="D5880" i="1"/>
  <c r="E5880" i="1"/>
  <c r="F5880" i="1"/>
  <c r="G5880" i="1"/>
  <c r="H5880" i="1"/>
  <c r="I5880" i="1"/>
  <c r="J5880" i="1"/>
  <c r="K5880" i="1"/>
  <c r="L5880" i="1"/>
  <c r="A5881" i="1"/>
  <c r="B5881" i="1"/>
  <c r="C5881" i="1"/>
  <c r="D5881" i="1"/>
  <c r="E5881" i="1"/>
  <c r="F5881" i="1"/>
  <c r="G5881" i="1"/>
  <c r="H5881" i="1"/>
  <c r="I5881" i="1"/>
  <c r="J5881" i="1"/>
  <c r="K5881" i="1"/>
  <c r="L5881" i="1"/>
  <c r="A5882" i="1"/>
  <c r="B5882" i="1"/>
  <c r="C5882" i="1"/>
  <c r="D5882" i="1"/>
  <c r="E5882" i="1"/>
  <c r="F5882" i="1"/>
  <c r="G5882" i="1"/>
  <c r="H5882" i="1"/>
  <c r="I5882" i="1"/>
  <c r="J5882" i="1"/>
  <c r="K5882" i="1"/>
  <c r="L5882" i="1"/>
  <c r="A5883" i="1"/>
  <c r="B5883" i="1"/>
  <c r="C5883" i="1"/>
  <c r="D5883" i="1"/>
  <c r="E5883" i="1"/>
  <c r="F5883" i="1"/>
  <c r="G5883" i="1"/>
  <c r="H5883" i="1"/>
  <c r="I5883" i="1"/>
  <c r="J5883" i="1"/>
  <c r="K5883" i="1"/>
  <c r="L5883" i="1"/>
  <c r="A5884" i="1"/>
  <c r="B5884" i="1"/>
  <c r="C5884" i="1"/>
  <c r="D5884" i="1"/>
  <c r="E5884" i="1"/>
  <c r="F5884" i="1"/>
  <c r="G5884" i="1"/>
  <c r="H5884" i="1"/>
  <c r="I5884" i="1"/>
  <c r="J5884" i="1"/>
  <c r="K5884" i="1"/>
  <c r="L5884" i="1"/>
  <c r="A5885" i="1"/>
  <c r="B5885" i="1"/>
  <c r="C5885" i="1"/>
  <c r="D5885" i="1"/>
  <c r="E5885" i="1"/>
  <c r="F5885" i="1"/>
  <c r="G5885" i="1"/>
  <c r="H5885" i="1"/>
  <c r="I5885" i="1"/>
  <c r="J5885" i="1"/>
  <c r="K5885" i="1"/>
  <c r="L5885" i="1"/>
  <c r="A5886" i="1"/>
  <c r="B5886" i="1"/>
  <c r="C5886" i="1"/>
  <c r="D5886" i="1"/>
  <c r="E5886" i="1"/>
  <c r="F5886" i="1"/>
  <c r="G5886" i="1"/>
  <c r="H5886" i="1"/>
  <c r="I5886" i="1"/>
  <c r="J5886" i="1"/>
  <c r="K5886" i="1"/>
  <c r="L5886" i="1"/>
  <c r="A5887" i="1"/>
  <c r="B5887" i="1"/>
  <c r="C5887" i="1"/>
  <c r="D5887" i="1"/>
  <c r="E5887" i="1"/>
  <c r="F5887" i="1"/>
  <c r="G5887" i="1"/>
  <c r="H5887" i="1"/>
  <c r="I5887" i="1"/>
  <c r="J5887" i="1"/>
  <c r="K5887" i="1"/>
  <c r="L5887" i="1"/>
  <c r="A5888" i="1"/>
  <c r="B5888" i="1"/>
  <c r="C5888" i="1"/>
  <c r="D5888" i="1"/>
  <c r="E5888" i="1"/>
  <c r="F5888" i="1"/>
  <c r="G5888" i="1"/>
  <c r="H5888" i="1"/>
  <c r="I5888" i="1"/>
  <c r="J5888" i="1"/>
  <c r="K5888" i="1"/>
  <c r="L5888" i="1"/>
  <c r="A5889" i="1"/>
  <c r="B5889" i="1"/>
  <c r="C5889" i="1"/>
  <c r="D5889" i="1"/>
  <c r="E5889" i="1"/>
  <c r="F5889" i="1"/>
  <c r="G5889" i="1"/>
  <c r="H5889" i="1"/>
  <c r="I5889" i="1"/>
  <c r="J5889" i="1"/>
  <c r="K5889" i="1"/>
  <c r="L5889" i="1"/>
  <c r="A5890" i="1"/>
  <c r="B5890" i="1"/>
  <c r="C5890" i="1"/>
  <c r="D5890" i="1"/>
  <c r="E5890" i="1"/>
  <c r="F5890" i="1"/>
  <c r="G5890" i="1"/>
  <c r="H5890" i="1"/>
  <c r="I5890" i="1"/>
  <c r="J5890" i="1"/>
  <c r="K5890" i="1"/>
  <c r="L5890" i="1"/>
  <c r="A5891" i="1"/>
  <c r="B5891" i="1"/>
  <c r="C5891" i="1"/>
  <c r="D5891" i="1"/>
  <c r="E5891" i="1"/>
  <c r="F5891" i="1"/>
  <c r="G5891" i="1"/>
  <c r="H5891" i="1"/>
  <c r="I5891" i="1"/>
  <c r="J5891" i="1"/>
  <c r="K5891" i="1"/>
  <c r="L5891" i="1"/>
  <c r="A5892" i="1"/>
  <c r="B5892" i="1"/>
  <c r="C5892" i="1"/>
  <c r="D5892" i="1"/>
  <c r="E5892" i="1"/>
  <c r="F5892" i="1"/>
  <c r="G5892" i="1"/>
  <c r="H5892" i="1"/>
  <c r="I5892" i="1"/>
  <c r="J5892" i="1"/>
  <c r="K5892" i="1"/>
  <c r="L5892" i="1"/>
  <c r="A5893" i="1"/>
  <c r="B5893" i="1"/>
  <c r="C5893" i="1"/>
  <c r="D5893" i="1"/>
  <c r="E5893" i="1"/>
  <c r="F5893" i="1"/>
  <c r="G5893" i="1"/>
  <c r="H5893" i="1"/>
  <c r="I5893" i="1"/>
  <c r="J5893" i="1"/>
  <c r="K5893" i="1"/>
  <c r="L5893" i="1"/>
  <c r="A5894" i="1"/>
  <c r="B5894" i="1"/>
  <c r="C5894" i="1"/>
  <c r="D5894" i="1"/>
  <c r="E5894" i="1"/>
  <c r="F5894" i="1"/>
  <c r="G5894" i="1"/>
  <c r="H5894" i="1"/>
  <c r="I5894" i="1"/>
  <c r="J5894" i="1"/>
  <c r="K5894" i="1"/>
  <c r="L5894" i="1"/>
  <c r="A5895" i="1"/>
  <c r="B5895" i="1"/>
  <c r="C5895" i="1"/>
  <c r="D5895" i="1"/>
  <c r="E5895" i="1"/>
  <c r="F5895" i="1"/>
  <c r="G5895" i="1"/>
  <c r="H5895" i="1"/>
  <c r="I5895" i="1"/>
  <c r="J5895" i="1"/>
  <c r="K5895" i="1"/>
  <c r="L5895" i="1"/>
  <c r="A5896" i="1"/>
  <c r="B5896" i="1"/>
  <c r="C5896" i="1"/>
  <c r="D5896" i="1"/>
  <c r="E5896" i="1"/>
  <c r="F5896" i="1"/>
  <c r="G5896" i="1"/>
  <c r="H5896" i="1"/>
  <c r="I5896" i="1"/>
  <c r="J5896" i="1"/>
  <c r="K5896" i="1"/>
  <c r="L5896" i="1"/>
  <c r="A5897" i="1"/>
  <c r="B5897" i="1"/>
  <c r="C5897" i="1"/>
  <c r="D5897" i="1"/>
  <c r="E5897" i="1"/>
  <c r="F5897" i="1"/>
  <c r="G5897" i="1"/>
  <c r="H5897" i="1"/>
  <c r="I5897" i="1"/>
  <c r="J5897" i="1"/>
  <c r="K5897" i="1"/>
  <c r="L5897" i="1"/>
  <c r="A5898" i="1"/>
  <c r="B5898" i="1"/>
  <c r="C5898" i="1"/>
  <c r="D5898" i="1"/>
  <c r="E5898" i="1"/>
  <c r="F5898" i="1"/>
  <c r="G5898" i="1"/>
  <c r="H5898" i="1"/>
  <c r="I5898" i="1"/>
  <c r="J5898" i="1"/>
  <c r="K5898" i="1"/>
  <c r="L5898" i="1"/>
  <c r="A5899" i="1"/>
  <c r="B5899" i="1"/>
  <c r="C5899" i="1"/>
  <c r="D5899" i="1"/>
  <c r="E5899" i="1"/>
  <c r="F5899" i="1"/>
  <c r="G5899" i="1"/>
  <c r="H5899" i="1"/>
  <c r="I5899" i="1"/>
  <c r="J5899" i="1"/>
  <c r="K5899" i="1"/>
  <c r="L5899" i="1"/>
  <c r="A5900" i="1"/>
  <c r="B5900" i="1"/>
  <c r="C5900" i="1"/>
  <c r="D5900" i="1"/>
  <c r="E5900" i="1"/>
  <c r="F5900" i="1"/>
  <c r="G5900" i="1"/>
  <c r="H5900" i="1"/>
  <c r="I5900" i="1"/>
  <c r="J5900" i="1"/>
  <c r="K5900" i="1"/>
  <c r="L5900" i="1"/>
  <c r="A5901" i="1"/>
  <c r="B5901" i="1"/>
  <c r="C5901" i="1"/>
  <c r="D5901" i="1"/>
  <c r="E5901" i="1"/>
  <c r="F5901" i="1"/>
  <c r="G5901" i="1"/>
  <c r="H5901" i="1"/>
  <c r="I5901" i="1"/>
  <c r="J5901" i="1"/>
  <c r="K5901" i="1"/>
  <c r="L5901" i="1"/>
  <c r="A5902" i="1"/>
  <c r="B5902" i="1"/>
  <c r="C5902" i="1"/>
  <c r="D5902" i="1"/>
  <c r="E5902" i="1"/>
  <c r="F5902" i="1"/>
  <c r="G5902" i="1"/>
  <c r="H5902" i="1"/>
  <c r="I5902" i="1"/>
  <c r="J5902" i="1"/>
  <c r="K5902" i="1"/>
  <c r="L5902" i="1"/>
  <c r="A5903" i="1"/>
  <c r="B5903" i="1"/>
  <c r="C5903" i="1"/>
  <c r="D5903" i="1"/>
  <c r="E5903" i="1"/>
  <c r="F5903" i="1"/>
  <c r="G5903" i="1"/>
  <c r="H5903" i="1"/>
  <c r="I5903" i="1"/>
  <c r="J5903" i="1"/>
  <c r="K5903" i="1"/>
  <c r="L5903" i="1"/>
  <c r="A5904" i="1"/>
  <c r="B5904" i="1"/>
  <c r="C5904" i="1"/>
  <c r="D5904" i="1"/>
  <c r="E5904" i="1"/>
  <c r="F5904" i="1"/>
  <c r="G5904" i="1"/>
  <c r="H5904" i="1"/>
  <c r="I5904" i="1"/>
  <c r="J5904" i="1"/>
  <c r="K5904" i="1"/>
  <c r="L5904" i="1"/>
  <c r="A5905" i="1"/>
  <c r="B5905" i="1"/>
  <c r="C5905" i="1"/>
  <c r="D5905" i="1"/>
  <c r="E5905" i="1"/>
  <c r="F5905" i="1"/>
  <c r="G5905" i="1"/>
  <c r="H5905" i="1"/>
  <c r="I5905" i="1"/>
  <c r="J5905" i="1"/>
  <c r="K5905" i="1"/>
  <c r="L5905" i="1"/>
  <c r="A5906" i="1"/>
  <c r="B5906" i="1"/>
  <c r="C5906" i="1"/>
  <c r="D5906" i="1"/>
  <c r="E5906" i="1"/>
  <c r="F5906" i="1"/>
  <c r="G5906" i="1"/>
  <c r="H5906" i="1"/>
  <c r="I5906" i="1"/>
  <c r="J5906" i="1"/>
  <c r="K5906" i="1"/>
  <c r="L5906" i="1"/>
  <c r="A5907" i="1"/>
  <c r="B5907" i="1"/>
  <c r="C5907" i="1"/>
  <c r="D5907" i="1"/>
  <c r="E5907" i="1"/>
  <c r="F5907" i="1"/>
  <c r="G5907" i="1"/>
  <c r="H5907" i="1"/>
  <c r="I5907" i="1"/>
  <c r="J5907" i="1"/>
  <c r="K5907" i="1"/>
  <c r="L5907" i="1"/>
  <c r="A5908" i="1"/>
  <c r="B5908" i="1"/>
  <c r="C5908" i="1"/>
  <c r="D5908" i="1"/>
  <c r="E5908" i="1"/>
  <c r="F5908" i="1"/>
  <c r="G5908" i="1"/>
  <c r="H5908" i="1"/>
  <c r="I5908" i="1"/>
  <c r="J5908" i="1"/>
  <c r="K5908" i="1"/>
  <c r="L5908" i="1"/>
  <c r="A5909" i="1"/>
  <c r="B5909" i="1"/>
  <c r="C5909" i="1"/>
  <c r="D5909" i="1"/>
  <c r="E5909" i="1"/>
  <c r="F5909" i="1"/>
  <c r="G5909" i="1"/>
  <c r="H5909" i="1"/>
  <c r="I5909" i="1"/>
  <c r="J5909" i="1"/>
  <c r="K5909" i="1"/>
  <c r="L5909" i="1"/>
  <c r="A5910" i="1"/>
  <c r="B5910" i="1"/>
  <c r="C5910" i="1"/>
  <c r="D5910" i="1"/>
  <c r="E5910" i="1"/>
  <c r="F5910" i="1"/>
  <c r="G5910" i="1"/>
  <c r="H5910" i="1"/>
  <c r="I5910" i="1"/>
  <c r="J5910" i="1"/>
  <c r="K5910" i="1"/>
  <c r="L5910" i="1"/>
  <c r="A5911" i="1"/>
  <c r="B5911" i="1"/>
  <c r="C5911" i="1"/>
  <c r="D5911" i="1"/>
  <c r="E5911" i="1"/>
  <c r="F5911" i="1"/>
  <c r="G5911" i="1"/>
  <c r="H5911" i="1"/>
  <c r="I5911" i="1"/>
  <c r="J5911" i="1"/>
  <c r="K5911" i="1"/>
  <c r="L5911" i="1"/>
  <c r="A5912" i="1"/>
  <c r="B5912" i="1"/>
  <c r="C5912" i="1"/>
  <c r="D5912" i="1"/>
  <c r="E5912" i="1"/>
  <c r="F5912" i="1"/>
  <c r="G5912" i="1"/>
  <c r="H5912" i="1"/>
  <c r="I5912" i="1"/>
  <c r="J5912" i="1"/>
  <c r="K5912" i="1"/>
  <c r="L5912" i="1"/>
  <c r="A5913" i="1"/>
  <c r="B5913" i="1"/>
  <c r="C5913" i="1"/>
  <c r="D5913" i="1"/>
  <c r="E5913" i="1"/>
  <c r="F5913" i="1"/>
  <c r="G5913" i="1"/>
  <c r="H5913" i="1"/>
  <c r="I5913" i="1"/>
  <c r="J5913" i="1"/>
  <c r="K5913" i="1"/>
  <c r="L5913" i="1"/>
  <c r="A5914" i="1"/>
  <c r="B5914" i="1"/>
  <c r="C5914" i="1"/>
  <c r="D5914" i="1"/>
  <c r="E5914" i="1"/>
  <c r="F5914" i="1"/>
  <c r="G5914" i="1"/>
  <c r="H5914" i="1"/>
  <c r="I5914" i="1"/>
  <c r="J5914" i="1"/>
  <c r="K5914" i="1"/>
  <c r="L5914" i="1"/>
  <c r="A5915" i="1"/>
  <c r="B5915" i="1"/>
  <c r="C5915" i="1"/>
  <c r="D5915" i="1"/>
  <c r="E5915" i="1"/>
  <c r="F5915" i="1"/>
  <c r="G5915" i="1"/>
  <c r="H5915" i="1"/>
  <c r="I5915" i="1"/>
  <c r="J5915" i="1"/>
  <c r="K5915" i="1"/>
  <c r="L5915" i="1"/>
  <c r="A5916" i="1"/>
  <c r="B5916" i="1"/>
  <c r="C5916" i="1"/>
  <c r="D5916" i="1"/>
  <c r="E5916" i="1"/>
  <c r="F5916" i="1"/>
  <c r="G5916" i="1"/>
  <c r="H5916" i="1"/>
  <c r="I5916" i="1"/>
  <c r="J5916" i="1"/>
  <c r="K5916" i="1"/>
  <c r="L5916" i="1"/>
  <c r="A5917" i="1"/>
  <c r="B5917" i="1"/>
  <c r="C5917" i="1"/>
  <c r="D5917" i="1"/>
  <c r="E5917" i="1"/>
  <c r="F5917" i="1"/>
  <c r="G5917" i="1"/>
  <c r="H5917" i="1"/>
  <c r="I5917" i="1"/>
  <c r="J5917" i="1"/>
  <c r="K5917" i="1"/>
  <c r="L5917" i="1"/>
  <c r="A5918" i="1"/>
  <c r="B5918" i="1"/>
  <c r="C5918" i="1"/>
  <c r="D5918" i="1"/>
  <c r="E5918" i="1"/>
  <c r="F5918" i="1"/>
  <c r="G5918" i="1"/>
  <c r="H5918" i="1"/>
  <c r="I5918" i="1"/>
  <c r="J5918" i="1"/>
  <c r="K5918" i="1"/>
  <c r="L5918" i="1"/>
  <c r="A5919" i="1"/>
  <c r="B5919" i="1"/>
  <c r="C5919" i="1"/>
  <c r="D5919" i="1"/>
  <c r="E5919" i="1"/>
  <c r="F5919" i="1"/>
  <c r="G5919" i="1"/>
  <c r="H5919" i="1"/>
  <c r="I5919" i="1"/>
  <c r="J5919" i="1"/>
  <c r="K5919" i="1"/>
  <c r="L5919" i="1"/>
  <c r="A5920" i="1"/>
  <c r="B5920" i="1"/>
  <c r="C5920" i="1"/>
  <c r="D5920" i="1"/>
  <c r="E5920" i="1"/>
  <c r="F5920" i="1"/>
  <c r="G5920" i="1"/>
  <c r="H5920" i="1"/>
  <c r="I5920" i="1"/>
  <c r="J5920" i="1"/>
  <c r="K5920" i="1"/>
  <c r="L5920" i="1"/>
  <c r="A5921" i="1"/>
  <c r="B5921" i="1"/>
  <c r="C5921" i="1"/>
  <c r="D5921" i="1"/>
  <c r="E5921" i="1"/>
  <c r="F5921" i="1"/>
  <c r="G5921" i="1"/>
  <c r="H5921" i="1"/>
  <c r="I5921" i="1"/>
  <c r="J5921" i="1"/>
  <c r="K5921" i="1"/>
  <c r="L5921" i="1"/>
  <c r="A5922" i="1"/>
  <c r="B5922" i="1"/>
  <c r="C5922" i="1"/>
  <c r="D5922" i="1"/>
  <c r="E5922" i="1"/>
  <c r="F5922" i="1"/>
  <c r="G5922" i="1"/>
  <c r="H5922" i="1"/>
  <c r="I5922" i="1"/>
  <c r="J5922" i="1"/>
  <c r="K5922" i="1"/>
  <c r="L5922" i="1"/>
  <c r="A5923" i="1"/>
  <c r="B5923" i="1"/>
  <c r="C5923" i="1"/>
  <c r="D5923" i="1"/>
  <c r="E5923" i="1"/>
  <c r="F5923" i="1"/>
  <c r="G5923" i="1"/>
  <c r="H5923" i="1"/>
  <c r="I5923" i="1"/>
  <c r="J5923" i="1"/>
  <c r="K5923" i="1"/>
  <c r="L5923" i="1"/>
  <c r="A5924" i="1"/>
  <c r="B5924" i="1"/>
  <c r="C5924" i="1"/>
  <c r="D5924" i="1"/>
  <c r="E5924" i="1"/>
  <c r="F5924" i="1"/>
  <c r="G5924" i="1"/>
  <c r="H5924" i="1"/>
  <c r="I5924" i="1"/>
  <c r="J5924" i="1"/>
  <c r="K5924" i="1"/>
  <c r="L5924" i="1"/>
  <c r="A5925" i="1"/>
  <c r="B5925" i="1"/>
  <c r="C5925" i="1"/>
  <c r="D5925" i="1"/>
  <c r="E5925" i="1"/>
  <c r="F5925" i="1"/>
  <c r="G5925" i="1"/>
  <c r="H5925" i="1"/>
  <c r="I5925" i="1"/>
  <c r="J5925" i="1"/>
  <c r="K5925" i="1"/>
  <c r="L5925" i="1"/>
  <c r="A5926" i="1"/>
  <c r="B5926" i="1"/>
  <c r="C5926" i="1"/>
  <c r="D5926" i="1"/>
  <c r="E5926" i="1"/>
  <c r="F5926" i="1"/>
  <c r="G5926" i="1"/>
  <c r="H5926" i="1"/>
  <c r="I5926" i="1"/>
  <c r="J5926" i="1"/>
  <c r="K5926" i="1"/>
  <c r="L5926" i="1"/>
  <c r="A5927" i="1"/>
  <c r="B5927" i="1"/>
  <c r="C5927" i="1"/>
  <c r="D5927" i="1"/>
  <c r="E5927" i="1"/>
  <c r="F5927" i="1"/>
  <c r="G5927" i="1"/>
  <c r="H5927" i="1"/>
  <c r="I5927" i="1"/>
  <c r="J5927" i="1"/>
  <c r="K5927" i="1"/>
  <c r="L5927" i="1"/>
  <c r="A5928" i="1"/>
  <c r="B5928" i="1"/>
  <c r="C5928" i="1"/>
  <c r="D5928" i="1"/>
  <c r="E5928" i="1"/>
  <c r="F5928" i="1"/>
  <c r="G5928" i="1"/>
  <c r="H5928" i="1"/>
  <c r="I5928" i="1"/>
  <c r="J5928" i="1"/>
  <c r="K5928" i="1"/>
  <c r="L5928" i="1"/>
  <c r="A5929" i="1"/>
  <c r="B5929" i="1"/>
  <c r="C5929" i="1"/>
  <c r="D5929" i="1"/>
  <c r="E5929" i="1"/>
  <c r="F5929" i="1"/>
  <c r="G5929" i="1"/>
  <c r="H5929" i="1"/>
  <c r="I5929" i="1"/>
  <c r="J5929" i="1"/>
  <c r="K5929" i="1"/>
  <c r="L5929" i="1"/>
  <c r="A5930" i="1"/>
  <c r="B5930" i="1"/>
  <c r="C5930" i="1"/>
  <c r="D5930" i="1"/>
  <c r="E5930" i="1"/>
  <c r="F5930" i="1"/>
  <c r="G5930" i="1"/>
  <c r="H5930" i="1"/>
  <c r="I5930" i="1"/>
  <c r="J5930" i="1"/>
  <c r="K5930" i="1"/>
  <c r="L5930" i="1"/>
  <c r="A5931" i="1"/>
  <c r="B5931" i="1"/>
  <c r="C5931" i="1"/>
  <c r="D5931" i="1"/>
  <c r="E5931" i="1"/>
  <c r="F5931" i="1"/>
  <c r="G5931" i="1"/>
  <c r="H5931" i="1"/>
  <c r="I5931" i="1"/>
  <c r="J5931" i="1"/>
  <c r="K5931" i="1"/>
  <c r="L5931" i="1"/>
  <c r="A5932" i="1"/>
  <c r="B5932" i="1"/>
  <c r="C5932" i="1"/>
  <c r="D5932" i="1"/>
  <c r="E5932" i="1"/>
  <c r="F5932" i="1"/>
  <c r="G5932" i="1"/>
  <c r="H5932" i="1"/>
  <c r="I5932" i="1"/>
  <c r="J5932" i="1"/>
  <c r="K5932" i="1"/>
  <c r="L5932" i="1"/>
  <c r="A5933" i="1"/>
  <c r="B5933" i="1"/>
  <c r="C5933" i="1"/>
  <c r="D5933" i="1"/>
  <c r="E5933" i="1"/>
  <c r="F5933" i="1"/>
  <c r="G5933" i="1"/>
  <c r="H5933" i="1"/>
  <c r="I5933" i="1"/>
  <c r="J5933" i="1"/>
  <c r="K5933" i="1"/>
  <c r="L5933" i="1"/>
  <c r="A5934" i="1"/>
  <c r="B5934" i="1"/>
  <c r="C5934" i="1"/>
  <c r="D5934" i="1"/>
  <c r="E5934" i="1"/>
  <c r="F5934" i="1"/>
  <c r="G5934" i="1"/>
  <c r="H5934" i="1"/>
  <c r="I5934" i="1"/>
  <c r="J5934" i="1"/>
  <c r="K5934" i="1"/>
  <c r="L5934" i="1"/>
  <c r="A5935" i="1"/>
  <c r="B5935" i="1"/>
  <c r="C5935" i="1"/>
  <c r="D5935" i="1"/>
  <c r="E5935" i="1"/>
  <c r="F5935" i="1"/>
  <c r="G5935" i="1"/>
  <c r="H5935" i="1"/>
  <c r="I5935" i="1"/>
  <c r="J5935" i="1"/>
  <c r="K5935" i="1"/>
  <c r="L5935" i="1"/>
  <c r="A5936" i="1"/>
  <c r="B5936" i="1"/>
  <c r="C5936" i="1"/>
  <c r="D5936" i="1"/>
  <c r="E5936" i="1"/>
  <c r="F5936" i="1"/>
  <c r="G5936" i="1"/>
  <c r="H5936" i="1"/>
  <c r="I5936" i="1"/>
  <c r="J5936" i="1"/>
  <c r="K5936" i="1"/>
  <c r="L5936" i="1"/>
  <c r="A5937" i="1"/>
  <c r="B5937" i="1"/>
  <c r="C5937" i="1"/>
  <c r="D5937" i="1"/>
  <c r="E5937" i="1"/>
  <c r="F5937" i="1"/>
  <c r="G5937" i="1"/>
  <c r="H5937" i="1"/>
  <c r="I5937" i="1"/>
  <c r="J5937" i="1"/>
  <c r="K5937" i="1"/>
  <c r="L5937" i="1"/>
  <c r="A5938" i="1"/>
  <c r="B5938" i="1"/>
  <c r="C5938" i="1"/>
  <c r="D5938" i="1"/>
  <c r="E5938" i="1"/>
  <c r="F5938" i="1"/>
  <c r="G5938" i="1"/>
  <c r="H5938" i="1"/>
  <c r="I5938" i="1"/>
  <c r="J5938" i="1"/>
  <c r="K5938" i="1"/>
  <c r="L5938" i="1"/>
  <c r="A5939" i="1"/>
  <c r="B5939" i="1"/>
  <c r="C5939" i="1"/>
  <c r="D5939" i="1"/>
  <c r="E5939" i="1"/>
  <c r="F5939" i="1"/>
  <c r="G5939" i="1"/>
  <c r="H5939" i="1"/>
  <c r="I5939" i="1"/>
  <c r="J5939" i="1"/>
  <c r="K5939" i="1"/>
  <c r="L5939" i="1"/>
  <c r="A5940" i="1"/>
  <c r="B5940" i="1"/>
  <c r="C5940" i="1"/>
  <c r="D5940" i="1"/>
  <c r="E5940" i="1"/>
  <c r="F5940" i="1"/>
  <c r="G5940" i="1"/>
  <c r="H5940" i="1"/>
  <c r="I5940" i="1"/>
  <c r="J5940" i="1"/>
  <c r="K5940" i="1"/>
  <c r="L5940" i="1"/>
  <c r="A5941" i="1"/>
  <c r="B5941" i="1"/>
  <c r="C5941" i="1"/>
  <c r="D5941" i="1"/>
  <c r="E5941" i="1"/>
  <c r="F5941" i="1"/>
  <c r="G5941" i="1"/>
  <c r="H5941" i="1"/>
  <c r="I5941" i="1"/>
  <c r="J5941" i="1"/>
  <c r="K5941" i="1"/>
  <c r="L5941" i="1"/>
  <c r="A5942" i="1"/>
  <c r="B5942" i="1"/>
  <c r="C5942" i="1"/>
  <c r="D5942" i="1"/>
  <c r="E5942" i="1"/>
  <c r="F5942" i="1"/>
  <c r="G5942" i="1"/>
  <c r="H5942" i="1"/>
  <c r="I5942" i="1"/>
  <c r="J5942" i="1"/>
  <c r="K5942" i="1"/>
  <c r="L5942" i="1"/>
  <c r="A5943" i="1"/>
  <c r="B5943" i="1"/>
  <c r="C5943" i="1"/>
  <c r="D5943" i="1"/>
  <c r="E5943" i="1"/>
  <c r="F5943" i="1"/>
  <c r="G5943" i="1"/>
  <c r="H5943" i="1"/>
  <c r="I5943" i="1"/>
  <c r="J5943" i="1"/>
  <c r="K5943" i="1"/>
  <c r="L5943" i="1"/>
  <c r="A5944" i="1"/>
  <c r="B5944" i="1"/>
  <c r="C5944" i="1"/>
  <c r="D5944" i="1"/>
  <c r="E5944" i="1"/>
  <c r="F5944" i="1"/>
  <c r="G5944" i="1"/>
  <c r="H5944" i="1"/>
  <c r="I5944" i="1"/>
  <c r="J5944" i="1"/>
  <c r="K5944" i="1"/>
  <c r="L5944" i="1"/>
  <c r="A5945" i="1"/>
  <c r="B5945" i="1"/>
  <c r="C5945" i="1"/>
  <c r="D5945" i="1"/>
  <c r="E5945" i="1"/>
  <c r="F5945" i="1"/>
  <c r="G5945" i="1"/>
  <c r="H5945" i="1"/>
  <c r="I5945" i="1"/>
  <c r="J5945" i="1"/>
  <c r="K5945" i="1"/>
  <c r="L5945" i="1"/>
  <c r="A5946" i="1"/>
  <c r="B5946" i="1"/>
  <c r="C5946" i="1"/>
  <c r="D5946" i="1"/>
  <c r="E5946" i="1"/>
  <c r="F5946" i="1"/>
  <c r="G5946" i="1"/>
  <c r="H5946" i="1"/>
  <c r="I5946" i="1"/>
  <c r="J5946" i="1"/>
  <c r="K5946" i="1"/>
  <c r="L5946" i="1"/>
  <c r="A5947" i="1"/>
  <c r="B5947" i="1"/>
  <c r="C5947" i="1"/>
  <c r="D5947" i="1"/>
  <c r="E5947" i="1"/>
  <c r="F5947" i="1"/>
  <c r="G5947" i="1"/>
  <c r="H5947" i="1"/>
  <c r="I5947" i="1"/>
  <c r="J5947" i="1"/>
  <c r="K5947" i="1"/>
  <c r="L5947" i="1"/>
  <c r="A5948" i="1"/>
  <c r="B5948" i="1"/>
  <c r="C5948" i="1"/>
  <c r="D5948" i="1"/>
  <c r="E5948" i="1"/>
  <c r="F5948" i="1"/>
  <c r="G5948" i="1"/>
  <c r="H5948" i="1"/>
  <c r="I5948" i="1"/>
  <c r="J5948" i="1"/>
  <c r="K5948" i="1"/>
  <c r="L5948" i="1"/>
  <c r="A5949" i="1"/>
  <c r="B5949" i="1"/>
  <c r="C5949" i="1"/>
  <c r="D5949" i="1"/>
  <c r="E5949" i="1"/>
  <c r="F5949" i="1"/>
  <c r="G5949" i="1"/>
  <c r="H5949" i="1"/>
  <c r="I5949" i="1"/>
  <c r="J5949" i="1"/>
  <c r="K5949" i="1"/>
  <c r="L5949" i="1"/>
  <c r="A5950" i="1"/>
  <c r="B5950" i="1"/>
  <c r="C5950" i="1"/>
  <c r="D5950" i="1"/>
  <c r="E5950" i="1"/>
  <c r="F5950" i="1"/>
  <c r="G5950" i="1"/>
  <c r="H5950" i="1"/>
  <c r="I5950" i="1"/>
  <c r="J5950" i="1"/>
  <c r="K5950" i="1"/>
  <c r="L5950" i="1"/>
  <c r="A5951" i="1"/>
  <c r="B5951" i="1"/>
  <c r="C5951" i="1"/>
  <c r="D5951" i="1"/>
  <c r="E5951" i="1"/>
  <c r="F5951" i="1"/>
  <c r="G5951" i="1"/>
  <c r="H5951" i="1"/>
  <c r="I5951" i="1"/>
  <c r="J5951" i="1"/>
  <c r="K5951" i="1"/>
  <c r="L5951" i="1"/>
  <c r="A5952" i="1"/>
  <c r="B5952" i="1"/>
  <c r="C5952" i="1"/>
  <c r="D5952" i="1"/>
  <c r="E5952" i="1"/>
  <c r="F5952" i="1"/>
  <c r="G5952" i="1"/>
  <c r="H5952" i="1"/>
  <c r="I5952" i="1"/>
  <c r="J5952" i="1"/>
  <c r="K5952" i="1"/>
  <c r="L5952" i="1"/>
  <c r="A5953" i="1"/>
  <c r="B5953" i="1"/>
  <c r="C5953" i="1"/>
  <c r="D5953" i="1"/>
  <c r="E5953" i="1"/>
  <c r="F5953" i="1"/>
  <c r="G5953" i="1"/>
  <c r="H5953" i="1"/>
  <c r="I5953" i="1"/>
  <c r="J5953" i="1"/>
  <c r="K5953" i="1"/>
  <c r="L5953" i="1"/>
  <c r="A5954" i="1"/>
  <c r="B5954" i="1"/>
  <c r="C5954" i="1"/>
  <c r="D5954" i="1"/>
  <c r="E5954" i="1"/>
  <c r="F5954" i="1"/>
  <c r="G5954" i="1"/>
  <c r="H5954" i="1"/>
  <c r="I5954" i="1"/>
  <c r="J5954" i="1"/>
  <c r="K5954" i="1"/>
  <c r="L5954" i="1"/>
  <c r="A5955" i="1"/>
  <c r="B5955" i="1"/>
  <c r="C5955" i="1"/>
  <c r="D5955" i="1"/>
  <c r="E5955" i="1"/>
  <c r="F5955" i="1"/>
  <c r="G5955" i="1"/>
  <c r="H5955" i="1"/>
  <c r="I5955" i="1"/>
  <c r="J5955" i="1"/>
  <c r="K5955" i="1"/>
  <c r="L5955" i="1"/>
  <c r="A5956" i="1"/>
  <c r="B5956" i="1"/>
  <c r="C5956" i="1"/>
  <c r="D5956" i="1"/>
  <c r="E5956" i="1"/>
  <c r="F5956" i="1"/>
  <c r="G5956" i="1"/>
  <c r="H5956" i="1"/>
  <c r="I5956" i="1"/>
  <c r="J5956" i="1"/>
  <c r="K5956" i="1"/>
  <c r="L5956" i="1"/>
  <c r="A5957" i="1"/>
  <c r="B5957" i="1"/>
  <c r="C5957" i="1"/>
  <c r="D5957" i="1"/>
  <c r="E5957" i="1"/>
  <c r="F5957" i="1"/>
  <c r="G5957" i="1"/>
  <c r="H5957" i="1"/>
  <c r="I5957" i="1"/>
  <c r="J5957" i="1"/>
  <c r="K5957" i="1"/>
  <c r="L5957" i="1"/>
  <c r="A5958" i="1"/>
  <c r="B5958" i="1"/>
  <c r="C5958" i="1"/>
  <c r="D5958" i="1"/>
  <c r="E5958" i="1"/>
  <c r="F5958" i="1"/>
  <c r="G5958" i="1"/>
  <c r="H5958" i="1"/>
  <c r="I5958" i="1"/>
  <c r="J5958" i="1"/>
  <c r="K5958" i="1"/>
  <c r="L5958" i="1"/>
  <c r="A5959" i="1"/>
  <c r="B5959" i="1"/>
  <c r="C5959" i="1"/>
  <c r="D5959" i="1"/>
  <c r="E5959" i="1"/>
  <c r="F5959" i="1"/>
  <c r="G5959" i="1"/>
  <c r="H5959" i="1"/>
  <c r="I5959" i="1"/>
  <c r="J5959" i="1"/>
  <c r="K5959" i="1"/>
  <c r="L5959" i="1"/>
  <c r="A5960" i="1"/>
  <c r="B5960" i="1"/>
  <c r="C5960" i="1"/>
  <c r="D5960" i="1"/>
  <c r="E5960" i="1"/>
  <c r="F5960" i="1"/>
  <c r="G5960" i="1"/>
  <c r="H5960" i="1"/>
  <c r="I5960" i="1"/>
  <c r="J5960" i="1"/>
  <c r="K5960" i="1"/>
  <c r="L5960" i="1"/>
  <c r="A5961" i="1"/>
  <c r="B5961" i="1"/>
  <c r="C5961" i="1"/>
  <c r="D5961" i="1"/>
  <c r="E5961" i="1"/>
  <c r="F5961" i="1"/>
  <c r="G5961" i="1"/>
  <c r="H5961" i="1"/>
  <c r="I5961" i="1"/>
  <c r="J5961" i="1"/>
  <c r="K5961" i="1"/>
  <c r="L5961" i="1"/>
  <c r="A5962" i="1"/>
  <c r="B5962" i="1"/>
  <c r="C5962" i="1"/>
  <c r="D5962" i="1"/>
  <c r="E5962" i="1"/>
  <c r="F5962" i="1"/>
  <c r="G5962" i="1"/>
  <c r="H5962" i="1"/>
  <c r="I5962" i="1"/>
  <c r="J5962" i="1"/>
  <c r="K5962" i="1"/>
  <c r="L5962" i="1"/>
  <c r="A5963" i="1"/>
  <c r="B5963" i="1"/>
  <c r="C5963" i="1"/>
  <c r="D5963" i="1"/>
  <c r="E5963" i="1"/>
  <c r="F5963" i="1"/>
  <c r="G5963" i="1"/>
  <c r="H5963" i="1"/>
  <c r="I5963" i="1"/>
  <c r="J5963" i="1"/>
  <c r="K5963" i="1"/>
  <c r="L5963" i="1"/>
  <c r="A5964" i="1"/>
  <c r="B5964" i="1"/>
  <c r="C5964" i="1"/>
  <c r="D5964" i="1"/>
  <c r="E5964" i="1"/>
  <c r="F5964" i="1"/>
  <c r="G5964" i="1"/>
  <c r="H5964" i="1"/>
  <c r="I5964" i="1"/>
  <c r="J5964" i="1"/>
  <c r="K5964" i="1"/>
  <c r="L5964" i="1"/>
  <c r="A5965" i="1"/>
  <c r="B5965" i="1"/>
  <c r="C5965" i="1"/>
  <c r="D5965" i="1"/>
  <c r="E5965" i="1"/>
  <c r="F5965" i="1"/>
  <c r="G5965" i="1"/>
  <c r="H5965" i="1"/>
  <c r="I5965" i="1"/>
  <c r="J5965" i="1"/>
  <c r="K5965" i="1"/>
  <c r="L5965" i="1"/>
  <c r="A5966" i="1"/>
  <c r="B5966" i="1"/>
  <c r="C5966" i="1"/>
  <c r="D5966" i="1"/>
  <c r="E5966" i="1"/>
  <c r="F5966" i="1"/>
  <c r="G5966" i="1"/>
  <c r="H5966" i="1"/>
  <c r="I5966" i="1"/>
  <c r="J5966" i="1"/>
  <c r="K5966" i="1"/>
  <c r="L5966" i="1"/>
  <c r="A5967" i="1"/>
  <c r="B5967" i="1"/>
  <c r="C5967" i="1"/>
  <c r="D5967" i="1"/>
  <c r="E5967" i="1"/>
  <c r="F5967" i="1"/>
  <c r="G5967" i="1"/>
  <c r="H5967" i="1"/>
  <c r="I5967" i="1"/>
  <c r="J5967" i="1"/>
  <c r="K5967" i="1"/>
  <c r="L5967" i="1"/>
  <c r="A5968" i="1"/>
  <c r="B5968" i="1"/>
  <c r="C5968" i="1"/>
  <c r="D5968" i="1"/>
  <c r="E5968" i="1"/>
  <c r="F5968" i="1"/>
  <c r="G5968" i="1"/>
  <c r="H5968" i="1"/>
  <c r="I5968" i="1"/>
  <c r="J5968" i="1"/>
  <c r="K5968" i="1"/>
  <c r="L5968" i="1"/>
  <c r="A5969" i="1"/>
  <c r="B5969" i="1"/>
  <c r="C5969" i="1"/>
  <c r="D5969" i="1"/>
  <c r="E5969" i="1"/>
  <c r="F5969" i="1"/>
  <c r="G5969" i="1"/>
  <c r="H5969" i="1"/>
  <c r="I5969" i="1"/>
  <c r="J5969" i="1"/>
  <c r="K5969" i="1"/>
  <c r="L5969" i="1"/>
  <c r="A5970" i="1"/>
  <c r="B5970" i="1"/>
  <c r="C5970" i="1"/>
  <c r="D5970" i="1"/>
  <c r="E5970" i="1"/>
  <c r="F5970" i="1"/>
  <c r="G5970" i="1"/>
  <c r="H5970" i="1"/>
  <c r="I5970" i="1"/>
  <c r="J5970" i="1"/>
  <c r="K5970" i="1"/>
  <c r="L5970" i="1"/>
  <c r="A5971" i="1"/>
  <c r="B5971" i="1"/>
  <c r="C5971" i="1"/>
  <c r="D5971" i="1"/>
  <c r="E5971" i="1"/>
  <c r="F5971" i="1"/>
  <c r="G5971" i="1"/>
  <c r="H5971" i="1"/>
  <c r="I5971" i="1"/>
  <c r="J5971" i="1"/>
  <c r="K5971" i="1"/>
  <c r="L5971" i="1"/>
  <c r="A5972" i="1"/>
  <c r="B5972" i="1"/>
  <c r="C5972" i="1"/>
  <c r="D5972" i="1"/>
  <c r="E5972" i="1"/>
  <c r="F5972" i="1"/>
  <c r="G5972" i="1"/>
  <c r="H5972" i="1"/>
  <c r="I5972" i="1"/>
  <c r="J5972" i="1"/>
  <c r="K5972" i="1"/>
  <c r="L5972" i="1"/>
  <c r="A5973" i="1"/>
  <c r="B5973" i="1"/>
  <c r="C5973" i="1"/>
  <c r="D5973" i="1"/>
  <c r="E5973" i="1"/>
  <c r="F5973" i="1"/>
  <c r="G5973" i="1"/>
  <c r="H5973" i="1"/>
  <c r="I5973" i="1"/>
  <c r="J5973" i="1"/>
  <c r="K5973" i="1"/>
  <c r="L5973" i="1"/>
  <c r="A5974" i="1"/>
  <c r="B5974" i="1"/>
  <c r="C5974" i="1"/>
  <c r="D5974" i="1"/>
  <c r="E5974" i="1"/>
  <c r="F5974" i="1"/>
  <c r="G5974" i="1"/>
  <c r="H5974" i="1"/>
  <c r="I5974" i="1"/>
  <c r="J5974" i="1"/>
  <c r="K5974" i="1"/>
  <c r="L5974" i="1"/>
  <c r="A5975" i="1"/>
  <c r="B5975" i="1"/>
  <c r="C5975" i="1"/>
  <c r="D5975" i="1"/>
  <c r="E5975" i="1"/>
  <c r="F5975" i="1"/>
  <c r="G5975" i="1"/>
  <c r="H5975" i="1"/>
  <c r="I5975" i="1"/>
  <c r="J5975" i="1"/>
  <c r="K5975" i="1"/>
  <c r="L5975" i="1"/>
  <c r="A5976" i="1"/>
  <c r="B5976" i="1"/>
  <c r="C5976" i="1"/>
  <c r="D5976" i="1"/>
  <c r="E5976" i="1"/>
  <c r="F5976" i="1"/>
  <c r="G5976" i="1"/>
  <c r="H5976" i="1"/>
  <c r="I5976" i="1"/>
  <c r="J5976" i="1"/>
  <c r="K5976" i="1"/>
  <c r="L5976" i="1"/>
  <c r="A5977" i="1"/>
  <c r="B5977" i="1"/>
  <c r="C5977" i="1"/>
  <c r="D5977" i="1"/>
  <c r="E5977" i="1"/>
  <c r="F5977" i="1"/>
  <c r="G5977" i="1"/>
  <c r="H5977" i="1"/>
  <c r="I5977" i="1"/>
  <c r="J5977" i="1"/>
  <c r="K5977" i="1"/>
  <c r="L5977" i="1"/>
  <c r="A5978" i="1"/>
  <c r="B5978" i="1"/>
  <c r="C5978" i="1"/>
  <c r="D5978" i="1"/>
  <c r="E5978" i="1"/>
  <c r="F5978" i="1"/>
  <c r="G5978" i="1"/>
  <c r="H5978" i="1"/>
  <c r="I5978" i="1"/>
  <c r="J5978" i="1"/>
  <c r="K5978" i="1"/>
  <c r="L5978" i="1"/>
  <c r="A5979" i="1"/>
  <c r="B5979" i="1"/>
  <c r="C5979" i="1"/>
  <c r="D5979" i="1"/>
  <c r="E5979" i="1"/>
  <c r="F5979" i="1"/>
  <c r="G5979" i="1"/>
  <c r="H5979" i="1"/>
  <c r="I5979" i="1"/>
  <c r="J5979" i="1"/>
  <c r="K5979" i="1"/>
  <c r="L5979" i="1"/>
  <c r="A5980" i="1"/>
  <c r="B5980" i="1"/>
  <c r="C5980" i="1"/>
  <c r="D5980" i="1"/>
  <c r="E5980" i="1"/>
  <c r="F5980" i="1"/>
  <c r="G5980" i="1"/>
  <c r="H5980" i="1"/>
  <c r="I5980" i="1"/>
  <c r="J5980" i="1"/>
  <c r="K5980" i="1"/>
  <c r="L5980" i="1"/>
  <c r="A5981" i="1"/>
  <c r="B5981" i="1"/>
  <c r="C5981" i="1"/>
  <c r="D5981" i="1"/>
  <c r="E5981" i="1"/>
  <c r="F5981" i="1"/>
  <c r="G5981" i="1"/>
  <c r="H5981" i="1"/>
  <c r="I5981" i="1"/>
  <c r="J5981" i="1"/>
  <c r="K5981" i="1"/>
  <c r="L5981" i="1"/>
  <c r="A5982" i="1"/>
  <c r="B5982" i="1"/>
  <c r="C5982" i="1"/>
  <c r="D5982" i="1"/>
  <c r="E5982" i="1"/>
  <c r="F5982" i="1"/>
  <c r="G5982" i="1"/>
  <c r="H5982" i="1"/>
  <c r="I5982" i="1"/>
  <c r="J5982" i="1"/>
  <c r="K5982" i="1"/>
  <c r="L5982" i="1"/>
  <c r="A5983" i="1"/>
  <c r="B5983" i="1"/>
  <c r="C5983" i="1"/>
  <c r="D5983" i="1"/>
  <c r="E5983" i="1"/>
  <c r="F5983" i="1"/>
  <c r="G5983" i="1"/>
  <c r="H5983" i="1"/>
  <c r="I5983" i="1"/>
  <c r="J5983" i="1"/>
  <c r="K5983" i="1"/>
  <c r="L5983" i="1"/>
  <c r="A5984" i="1"/>
  <c r="B5984" i="1"/>
  <c r="C5984" i="1"/>
  <c r="D5984" i="1"/>
  <c r="E5984" i="1"/>
  <c r="F5984" i="1"/>
  <c r="G5984" i="1"/>
  <c r="H5984" i="1"/>
  <c r="I5984" i="1"/>
  <c r="J5984" i="1"/>
  <c r="K5984" i="1"/>
  <c r="L5984" i="1"/>
  <c r="A5985" i="1"/>
  <c r="B5985" i="1"/>
  <c r="C5985" i="1"/>
  <c r="D5985" i="1"/>
  <c r="E5985" i="1"/>
  <c r="F5985" i="1"/>
  <c r="G5985" i="1"/>
  <c r="H5985" i="1"/>
  <c r="I5985" i="1"/>
  <c r="J5985" i="1"/>
  <c r="K5985" i="1"/>
  <c r="L5985" i="1"/>
  <c r="A5986" i="1"/>
  <c r="B5986" i="1"/>
  <c r="C5986" i="1"/>
  <c r="D5986" i="1"/>
  <c r="E5986" i="1"/>
  <c r="F5986" i="1"/>
  <c r="G5986" i="1"/>
  <c r="H5986" i="1"/>
  <c r="I5986" i="1"/>
  <c r="J5986" i="1"/>
  <c r="K5986" i="1"/>
  <c r="L5986" i="1"/>
  <c r="A5987" i="1"/>
  <c r="B5987" i="1"/>
  <c r="C5987" i="1"/>
  <c r="D5987" i="1"/>
  <c r="E5987" i="1"/>
  <c r="F5987" i="1"/>
  <c r="G5987" i="1"/>
  <c r="H5987" i="1"/>
  <c r="I5987" i="1"/>
  <c r="J5987" i="1"/>
  <c r="K5987" i="1"/>
  <c r="L5987" i="1"/>
  <c r="A5988" i="1"/>
  <c r="B5988" i="1"/>
  <c r="C5988" i="1"/>
  <c r="D5988" i="1"/>
  <c r="E5988" i="1"/>
  <c r="F5988" i="1"/>
  <c r="G5988" i="1"/>
  <c r="H5988" i="1"/>
  <c r="I5988" i="1"/>
  <c r="J5988" i="1"/>
  <c r="K5988" i="1"/>
  <c r="L5988" i="1"/>
  <c r="A5989" i="1"/>
  <c r="B5989" i="1"/>
  <c r="C5989" i="1"/>
  <c r="D5989" i="1"/>
  <c r="E5989" i="1"/>
  <c r="F5989" i="1"/>
  <c r="G5989" i="1"/>
  <c r="H5989" i="1"/>
  <c r="I5989" i="1"/>
  <c r="J5989" i="1"/>
  <c r="K5989" i="1"/>
  <c r="L5989" i="1"/>
  <c r="A5990" i="1"/>
  <c r="B5990" i="1"/>
  <c r="C5990" i="1"/>
  <c r="D5990" i="1"/>
  <c r="E5990" i="1"/>
  <c r="F5990" i="1"/>
  <c r="G5990" i="1"/>
  <c r="H5990" i="1"/>
  <c r="I5990" i="1"/>
  <c r="J5990" i="1"/>
  <c r="K5990" i="1"/>
  <c r="L5990" i="1"/>
  <c r="A5991" i="1"/>
  <c r="B5991" i="1"/>
  <c r="C5991" i="1"/>
  <c r="D5991" i="1"/>
  <c r="E5991" i="1"/>
  <c r="F5991" i="1"/>
  <c r="G5991" i="1"/>
  <c r="H5991" i="1"/>
  <c r="I5991" i="1"/>
  <c r="J5991" i="1"/>
  <c r="K5991" i="1"/>
  <c r="L5991" i="1"/>
  <c r="A5992" i="1"/>
  <c r="B5992" i="1"/>
  <c r="C5992" i="1"/>
  <c r="D5992" i="1"/>
  <c r="E5992" i="1"/>
  <c r="F5992" i="1"/>
  <c r="G5992" i="1"/>
  <c r="H5992" i="1"/>
  <c r="I5992" i="1"/>
  <c r="J5992" i="1"/>
  <c r="K5992" i="1"/>
  <c r="L5992" i="1"/>
  <c r="A5993" i="1"/>
  <c r="B5993" i="1"/>
  <c r="C5993" i="1"/>
  <c r="D5993" i="1"/>
  <c r="E5993" i="1"/>
  <c r="F5993" i="1"/>
  <c r="G5993" i="1"/>
  <c r="H5993" i="1"/>
  <c r="I5993" i="1"/>
  <c r="J5993" i="1"/>
  <c r="K5993" i="1"/>
  <c r="L5993" i="1"/>
  <c r="A5994" i="1"/>
  <c r="B5994" i="1"/>
  <c r="C5994" i="1"/>
  <c r="D5994" i="1"/>
  <c r="E5994" i="1"/>
  <c r="F5994" i="1"/>
  <c r="G5994" i="1"/>
  <c r="H5994" i="1"/>
  <c r="I5994" i="1"/>
  <c r="J5994" i="1"/>
  <c r="K5994" i="1"/>
  <c r="L5994" i="1"/>
  <c r="A5995" i="1"/>
  <c r="B5995" i="1"/>
  <c r="C5995" i="1"/>
  <c r="D5995" i="1"/>
  <c r="E5995" i="1"/>
  <c r="F5995" i="1"/>
  <c r="G5995" i="1"/>
  <c r="H5995" i="1"/>
  <c r="I5995" i="1"/>
  <c r="J5995" i="1"/>
  <c r="K5995" i="1"/>
  <c r="L5995" i="1"/>
  <c r="A5996" i="1"/>
  <c r="B5996" i="1"/>
  <c r="C5996" i="1"/>
  <c r="D5996" i="1"/>
  <c r="E5996" i="1"/>
  <c r="F5996" i="1"/>
  <c r="G5996" i="1"/>
  <c r="H5996" i="1"/>
  <c r="I5996" i="1"/>
  <c r="J5996" i="1"/>
  <c r="K5996" i="1"/>
  <c r="L5996" i="1"/>
  <c r="A5997" i="1"/>
  <c r="B5997" i="1"/>
  <c r="C5997" i="1"/>
  <c r="D5997" i="1"/>
  <c r="E5997" i="1"/>
  <c r="F5997" i="1"/>
  <c r="G5997" i="1"/>
  <c r="H5997" i="1"/>
  <c r="I5997" i="1"/>
  <c r="J5997" i="1"/>
  <c r="K5997" i="1"/>
  <c r="L5997" i="1"/>
  <c r="A5998" i="1"/>
  <c r="B5998" i="1"/>
  <c r="C5998" i="1"/>
  <c r="D5998" i="1"/>
  <c r="E5998" i="1"/>
  <c r="F5998" i="1"/>
  <c r="G5998" i="1"/>
  <c r="H5998" i="1"/>
  <c r="I5998" i="1"/>
  <c r="J5998" i="1"/>
  <c r="K5998" i="1"/>
  <c r="L5998" i="1"/>
  <c r="A5999" i="1"/>
  <c r="B5999" i="1"/>
  <c r="C5999" i="1"/>
  <c r="D5999" i="1"/>
  <c r="E5999" i="1"/>
  <c r="F5999" i="1"/>
  <c r="G5999" i="1"/>
  <c r="H5999" i="1"/>
  <c r="I5999" i="1"/>
  <c r="J5999" i="1"/>
  <c r="K5999" i="1"/>
  <c r="L5999" i="1"/>
  <c r="A6000" i="1"/>
  <c r="B6000" i="1"/>
  <c r="C6000" i="1"/>
  <c r="D6000" i="1"/>
  <c r="E6000" i="1"/>
  <c r="F6000" i="1"/>
  <c r="G6000" i="1"/>
  <c r="H6000" i="1"/>
  <c r="I6000" i="1"/>
  <c r="J6000" i="1"/>
  <c r="K6000" i="1"/>
  <c r="L6000" i="1"/>
  <c r="A6001" i="1"/>
  <c r="B6001" i="1"/>
  <c r="C6001" i="1"/>
  <c r="D6001" i="1"/>
  <c r="E6001" i="1"/>
  <c r="F6001" i="1"/>
  <c r="G6001" i="1"/>
  <c r="H6001" i="1"/>
  <c r="I6001" i="1"/>
  <c r="J6001" i="1"/>
  <c r="K6001" i="1"/>
  <c r="L6001" i="1"/>
  <c r="A6002" i="1"/>
  <c r="B6002" i="1"/>
  <c r="C6002" i="1"/>
  <c r="D6002" i="1"/>
  <c r="E6002" i="1"/>
  <c r="F6002" i="1"/>
  <c r="G6002" i="1"/>
  <c r="H6002" i="1"/>
  <c r="I6002" i="1"/>
  <c r="J6002" i="1"/>
  <c r="K6002" i="1"/>
  <c r="L6002" i="1"/>
  <c r="A6003" i="1"/>
  <c r="B6003" i="1"/>
  <c r="C6003" i="1"/>
  <c r="D6003" i="1"/>
  <c r="E6003" i="1"/>
  <c r="F6003" i="1"/>
  <c r="G6003" i="1"/>
  <c r="H6003" i="1"/>
  <c r="I6003" i="1"/>
  <c r="J6003" i="1"/>
  <c r="K6003" i="1"/>
  <c r="L6003" i="1"/>
  <c r="A6004" i="1"/>
  <c r="B6004" i="1"/>
  <c r="C6004" i="1"/>
  <c r="D6004" i="1"/>
  <c r="E6004" i="1"/>
  <c r="F6004" i="1"/>
  <c r="G6004" i="1"/>
  <c r="H6004" i="1"/>
  <c r="I6004" i="1"/>
  <c r="J6004" i="1"/>
  <c r="K6004" i="1"/>
  <c r="L6004" i="1"/>
  <c r="A6005" i="1"/>
  <c r="B6005" i="1"/>
  <c r="C6005" i="1"/>
  <c r="D6005" i="1"/>
  <c r="E6005" i="1"/>
  <c r="F6005" i="1"/>
  <c r="G6005" i="1"/>
  <c r="H6005" i="1"/>
  <c r="I6005" i="1"/>
  <c r="J6005" i="1"/>
  <c r="K6005" i="1"/>
  <c r="L6005" i="1"/>
  <c r="A6006" i="1"/>
  <c r="B6006" i="1"/>
  <c r="C6006" i="1"/>
  <c r="D6006" i="1"/>
  <c r="E6006" i="1"/>
  <c r="F6006" i="1"/>
  <c r="G6006" i="1"/>
  <c r="H6006" i="1"/>
  <c r="I6006" i="1"/>
  <c r="J6006" i="1"/>
  <c r="K6006" i="1"/>
  <c r="L6006" i="1"/>
  <c r="A6007" i="1"/>
  <c r="B6007" i="1"/>
  <c r="C6007" i="1"/>
  <c r="D6007" i="1"/>
  <c r="E6007" i="1"/>
  <c r="F6007" i="1"/>
  <c r="G6007" i="1"/>
  <c r="H6007" i="1"/>
  <c r="I6007" i="1"/>
  <c r="J6007" i="1"/>
  <c r="K6007" i="1"/>
  <c r="L6007" i="1"/>
  <c r="A6008" i="1"/>
  <c r="B6008" i="1"/>
  <c r="C6008" i="1"/>
  <c r="D6008" i="1"/>
  <c r="E6008" i="1"/>
  <c r="F6008" i="1"/>
  <c r="G6008" i="1"/>
  <c r="H6008" i="1"/>
  <c r="I6008" i="1"/>
  <c r="J6008" i="1"/>
  <c r="K6008" i="1"/>
  <c r="L6008" i="1"/>
  <c r="A6009" i="1"/>
  <c r="B6009" i="1"/>
  <c r="C6009" i="1"/>
  <c r="D6009" i="1"/>
  <c r="E6009" i="1"/>
  <c r="F6009" i="1"/>
  <c r="G6009" i="1"/>
  <c r="H6009" i="1"/>
  <c r="I6009" i="1"/>
  <c r="J6009" i="1"/>
  <c r="K6009" i="1"/>
  <c r="L6009" i="1"/>
  <c r="A6010" i="1"/>
  <c r="B6010" i="1"/>
  <c r="C6010" i="1"/>
  <c r="D6010" i="1"/>
  <c r="E6010" i="1"/>
  <c r="F6010" i="1"/>
  <c r="G6010" i="1"/>
  <c r="H6010" i="1"/>
  <c r="I6010" i="1"/>
  <c r="J6010" i="1"/>
  <c r="K6010" i="1"/>
  <c r="L6010" i="1"/>
  <c r="A6011" i="1"/>
  <c r="B6011" i="1"/>
  <c r="C6011" i="1"/>
  <c r="D6011" i="1"/>
  <c r="E6011" i="1"/>
  <c r="F6011" i="1"/>
  <c r="G6011" i="1"/>
  <c r="H6011" i="1"/>
  <c r="I6011" i="1"/>
  <c r="J6011" i="1"/>
  <c r="K6011" i="1"/>
  <c r="L6011" i="1"/>
  <c r="A6012" i="1"/>
  <c r="B6012" i="1"/>
  <c r="C6012" i="1"/>
  <c r="D6012" i="1"/>
  <c r="E6012" i="1"/>
  <c r="F6012" i="1"/>
  <c r="G6012" i="1"/>
  <c r="H6012" i="1"/>
  <c r="I6012" i="1"/>
  <c r="J6012" i="1"/>
  <c r="K6012" i="1"/>
  <c r="L6012" i="1"/>
  <c r="A6013" i="1"/>
  <c r="B6013" i="1"/>
  <c r="C6013" i="1"/>
  <c r="D6013" i="1"/>
  <c r="E6013" i="1"/>
  <c r="F6013" i="1"/>
  <c r="G6013" i="1"/>
  <c r="H6013" i="1"/>
  <c r="I6013" i="1"/>
  <c r="J6013" i="1"/>
  <c r="K6013" i="1"/>
  <c r="L6013" i="1"/>
  <c r="A6014" i="1"/>
  <c r="B6014" i="1"/>
  <c r="C6014" i="1"/>
  <c r="D6014" i="1"/>
  <c r="E6014" i="1"/>
  <c r="F6014" i="1"/>
  <c r="G6014" i="1"/>
  <c r="H6014" i="1"/>
  <c r="I6014" i="1"/>
  <c r="J6014" i="1"/>
  <c r="K6014" i="1"/>
  <c r="L6014" i="1"/>
  <c r="A6015" i="1"/>
  <c r="B6015" i="1"/>
  <c r="C6015" i="1"/>
  <c r="D6015" i="1"/>
  <c r="E6015" i="1"/>
  <c r="F6015" i="1"/>
  <c r="G6015" i="1"/>
  <c r="H6015" i="1"/>
  <c r="I6015" i="1"/>
  <c r="J6015" i="1"/>
  <c r="K6015" i="1"/>
  <c r="L6015" i="1"/>
  <c r="A6016" i="1"/>
  <c r="B6016" i="1"/>
  <c r="C6016" i="1"/>
  <c r="D6016" i="1"/>
  <c r="E6016" i="1"/>
  <c r="F6016" i="1"/>
  <c r="G6016" i="1"/>
  <c r="H6016" i="1"/>
  <c r="I6016" i="1"/>
  <c r="J6016" i="1"/>
  <c r="K6016" i="1"/>
  <c r="L6016" i="1"/>
  <c r="A6017" i="1"/>
  <c r="B6017" i="1"/>
  <c r="C6017" i="1"/>
  <c r="D6017" i="1"/>
  <c r="E6017" i="1"/>
  <c r="F6017" i="1"/>
  <c r="G6017" i="1"/>
  <c r="H6017" i="1"/>
  <c r="I6017" i="1"/>
  <c r="J6017" i="1"/>
  <c r="K6017" i="1"/>
  <c r="L6017" i="1"/>
  <c r="A6018" i="1"/>
  <c r="B6018" i="1"/>
  <c r="C6018" i="1"/>
  <c r="D6018" i="1"/>
  <c r="E6018" i="1"/>
  <c r="F6018" i="1"/>
  <c r="G6018" i="1"/>
  <c r="H6018" i="1"/>
  <c r="I6018" i="1"/>
  <c r="J6018" i="1"/>
  <c r="K6018" i="1"/>
  <c r="L6018" i="1"/>
  <c r="A6019" i="1"/>
  <c r="B6019" i="1"/>
  <c r="C6019" i="1"/>
  <c r="D6019" i="1"/>
  <c r="E6019" i="1"/>
  <c r="F6019" i="1"/>
  <c r="G6019" i="1"/>
  <c r="H6019" i="1"/>
  <c r="I6019" i="1"/>
  <c r="J6019" i="1"/>
  <c r="K6019" i="1"/>
  <c r="L6019" i="1"/>
  <c r="A6020" i="1"/>
  <c r="B6020" i="1"/>
  <c r="C6020" i="1"/>
  <c r="D6020" i="1"/>
  <c r="E6020" i="1"/>
  <c r="F6020" i="1"/>
  <c r="G6020" i="1"/>
  <c r="H6020" i="1"/>
  <c r="I6020" i="1"/>
  <c r="J6020" i="1"/>
  <c r="K6020" i="1"/>
  <c r="L6020" i="1"/>
  <c r="A6021" i="1"/>
  <c r="B6021" i="1"/>
  <c r="C6021" i="1"/>
  <c r="D6021" i="1"/>
  <c r="E6021" i="1"/>
  <c r="F6021" i="1"/>
  <c r="G6021" i="1"/>
  <c r="H6021" i="1"/>
  <c r="I6021" i="1"/>
  <c r="J6021" i="1"/>
  <c r="K6021" i="1"/>
  <c r="L6021" i="1"/>
  <c r="A6022" i="1"/>
  <c r="B6022" i="1"/>
  <c r="C6022" i="1"/>
  <c r="D6022" i="1"/>
  <c r="E6022" i="1"/>
  <c r="F6022" i="1"/>
  <c r="G6022" i="1"/>
  <c r="H6022" i="1"/>
  <c r="I6022" i="1"/>
  <c r="J6022" i="1"/>
  <c r="K6022" i="1"/>
  <c r="L6022" i="1"/>
  <c r="A6023" i="1"/>
  <c r="B6023" i="1"/>
  <c r="C6023" i="1"/>
  <c r="D6023" i="1"/>
  <c r="E6023" i="1"/>
  <c r="F6023" i="1"/>
  <c r="G6023" i="1"/>
  <c r="H6023" i="1"/>
  <c r="I6023" i="1"/>
  <c r="J6023" i="1"/>
  <c r="K6023" i="1"/>
  <c r="L6023" i="1"/>
  <c r="A6024" i="1"/>
  <c r="B6024" i="1"/>
  <c r="C6024" i="1"/>
  <c r="D6024" i="1"/>
  <c r="E6024" i="1"/>
  <c r="F6024" i="1"/>
  <c r="G6024" i="1"/>
  <c r="H6024" i="1"/>
  <c r="I6024" i="1"/>
  <c r="J6024" i="1"/>
  <c r="K6024" i="1"/>
  <c r="L6024" i="1"/>
  <c r="A6025" i="1"/>
  <c r="B6025" i="1"/>
  <c r="C6025" i="1"/>
  <c r="D6025" i="1"/>
  <c r="E6025" i="1"/>
  <c r="F6025" i="1"/>
  <c r="G6025" i="1"/>
  <c r="H6025" i="1"/>
  <c r="I6025" i="1"/>
  <c r="J6025" i="1"/>
  <c r="K6025" i="1"/>
  <c r="L6025" i="1"/>
  <c r="A6026" i="1"/>
  <c r="B6026" i="1"/>
  <c r="C6026" i="1"/>
  <c r="D6026" i="1"/>
  <c r="E6026" i="1"/>
  <c r="F6026" i="1"/>
  <c r="G6026" i="1"/>
  <c r="H6026" i="1"/>
  <c r="I6026" i="1"/>
  <c r="J6026" i="1"/>
  <c r="K6026" i="1"/>
  <c r="L6026" i="1"/>
  <c r="A6027" i="1"/>
  <c r="B6027" i="1"/>
  <c r="C6027" i="1"/>
  <c r="D6027" i="1"/>
  <c r="E6027" i="1"/>
  <c r="F6027" i="1"/>
  <c r="G6027" i="1"/>
  <c r="H6027" i="1"/>
  <c r="I6027" i="1"/>
  <c r="J6027" i="1"/>
  <c r="K6027" i="1"/>
  <c r="L6027" i="1"/>
  <c r="A6028" i="1"/>
  <c r="B6028" i="1"/>
  <c r="C6028" i="1"/>
  <c r="D6028" i="1"/>
  <c r="E6028" i="1"/>
  <c r="F6028" i="1"/>
  <c r="G6028" i="1"/>
  <c r="H6028" i="1"/>
  <c r="I6028" i="1"/>
  <c r="J6028" i="1"/>
  <c r="K6028" i="1"/>
  <c r="L6028" i="1"/>
  <c r="A6029" i="1"/>
  <c r="B6029" i="1"/>
  <c r="C6029" i="1"/>
  <c r="D6029" i="1"/>
  <c r="E6029" i="1"/>
  <c r="F6029" i="1"/>
  <c r="G6029" i="1"/>
  <c r="H6029" i="1"/>
  <c r="I6029" i="1"/>
  <c r="J6029" i="1"/>
  <c r="K6029" i="1"/>
  <c r="L6029" i="1"/>
  <c r="A6030" i="1"/>
  <c r="B6030" i="1"/>
  <c r="C6030" i="1"/>
  <c r="D6030" i="1"/>
  <c r="E6030" i="1"/>
  <c r="F6030" i="1"/>
  <c r="G6030" i="1"/>
  <c r="H6030" i="1"/>
  <c r="I6030" i="1"/>
  <c r="J6030" i="1"/>
  <c r="K6030" i="1"/>
  <c r="L6030" i="1"/>
  <c r="A6031" i="1"/>
  <c r="B6031" i="1"/>
  <c r="C6031" i="1"/>
  <c r="D6031" i="1"/>
  <c r="E6031" i="1"/>
  <c r="F6031" i="1"/>
  <c r="G6031" i="1"/>
  <c r="H6031" i="1"/>
  <c r="I6031" i="1"/>
  <c r="J6031" i="1"/>
  <c r="K6031" i="1"/>
  <c r="L6031" i="1"/>
  <c r="A6032" i="1"/>
  <c r="B6032" i="1"/>
  <c r="C6032" i="1"/>
  <c r="D6032" i="1"/>
  <c r="E6032" i="1"/>
  <c r="F6032" i="1"/>
  <c r="G6032" i="1"/>
  <c r="H6032" i="1"/>
  <c r="I6032" i="1"/>
  <c r="J6032" i="1"/>
  <c r="K6032" i="1"/>
  <c r="L6032" i="1"/>
  <c r="A6033" i="1"/>
  <c r="B6033" i="1"/>
  <c r="C6033" i="1"/>
  <c r="D6033" i="1"/>
  <c r="E6033" i="1"/>
  <c r="F6033" i="1"/>
  <c r="G6033" i="1"/>
  <c r="H6033" i="1"/>
  <c r="I6033" i="1"/>
  <c r="J6033" i="1"/>
  <c r="K6033" i="1"/>
  <c r="L6033" i="1"/>
  <c r="A6034" i="1"/>
  <c r="B6034" i="1"/>
  <c r="C6034" i="1"/>
  <c r="D6034" i="1"/>
  <c r="E6034" i="1"/>
  <c r="F6034" i="1"/>
  <c r="G6034" i="1"/>
  <c r="H6034" i="1"/>
  <c r="I6034" i="1"/>
  <c r="J6034" i="1"/>
  <c r="K6034" i="1"/>
  <c r="L6034" i="1"/>
  <c r="A6035" i="1"/>
  <c r="B6035" i="1"/>
  <c r="C6035" i="1"/>
  <c r="D6035" i="1"/>
  <c r="E6035" i="1"/>
  <c r="F6035" i="1"/>
  <c r="G6035" i="1"/>
  <c r="H6035" i="1"/>
  <c r="I6035" i="1"/>
  <c r="J6035" i="1"/>
  <c r="K6035" i="1"/>
  <c r="L6035" i="1"/>
  <c r="A6036" i="1"/>
  <c r="B6036" i="1"/>
  <c r="C6036" i="1"/>
  <c r="D6036" i="1"/>
  <c r="E6036" i="1"/>
  <c r="F6036" i="1"/>
  <c r="G6036" i="1"/>
  <c r="H6036" i="1"/>
  <c r="I6036" i="1"/>
  <c r="J6036" i="1"/>
  <c r="K6036" i="1"/>
  <c r="L6036" i="1"/>
  <c r="A6037" i="1"/>
  <c r="B6037" i="1"/>
  <c r="C6037" i="1"/>
  <c r="D6037" i="1"/>
  <c r="E6037" i="1"/>
  <c r="F6037" i="1"/>
  <c r="G6037" i="1"/>
  <c r="H6037" i="1"/>
  <c r="I6037" i="1"/>
  <c r="J6037" i="1"/>
  <c r="K6037" i="1"/>
  <c r="L6037" i="1"/>
  <c r="A6038" i="1"/>
  <c r="B6038" i="1"/>
  <c r="C6038" i="1"/>
  <c r="D6038" i="1"/>
  <c r="E6038" i="1"/>
  <c r="F6038" i="1"/>
  <c r="G6038" i="1"/>
  <c r="H6038" i="1"/>
  <c r="I6038" i="1"/>
  <c r="J6038" i="1"/>
  <c r="K6038" i="1"/>
  <c r="L6038" i="1"/>
  <c r="A6039" i="1"/>
  <c r="B6039" i="1"/>
  <c r="C6039" i="1"/>
  <c r="D6039" i="1"/>
  <c r="E6039" i="1"/>
  <c r="F6039" i="1"/>
  <c r="G6039" i="1"/>
  <c r="H6039" i="1"/>
  <c r="I6039" i="1"/>
  <c r="J6039" i="1"/>
  <c r="K6039" i="1"/>
  <c r="L6039" i="1"/>
  <c r="A6040" i="1"/>
  <c r="B6040" i="1"/>
  <c r="C6040" i="1"/>
  <c r="D6040" i="1"/>
  <c r="E6040" i="1"/>
  <c r="F6040" i="1"/>
  <c r="G6040" i="1"/>
  <c r="H6040" i="1"/>
  <c r="I6040" i="1"/>
  <c r="J6040" i="1"/>
  <c r="K6040" i="1"/>
  <c r="L6040" i="1"/>
  <c r="A6041" i="1"/>
  <c r="B6041" i="1"/>
  <c r="C6041" i="1"/>
  <c r="D6041" i="1"/>
  <c r="E6041" i="1"/>
  <c r="F6041" i="1"/>
  <c r="G6041" i="1"/>
  <c r="H6041" i="1"/>
  <c r="I6041" i="1"/>
  <c r="J6041" i="1"/>
  <c r="K6041" i="1"/>
  <c r="L6041" i="1"/>
  <c r="A6042" i="1"/>
  <c r="B6042" i="1"/>
  <c r="C6042" i="1"/>
  <c r="D6042" i="1"/>
  <c r="E6042" i="1"/>
  <c r="F6042" i="1"/>
  <c r="G6042" i="1"/>
  <c r="H6042" i="1"/>
  <c r="I6042" i="1"/>
  <c r="J6042" i="1"/>
  <c r="K6042" i="1"/>
  <c r="L6042" i="1"/>
  <c r="A6043" i="1"/>
  <c r="B6043" i="1"/>
  <c r="C6043" i="1"/>
  <c r="D6043" i="1"/>
  <c r="E6043" i="1"/>
  <c r="F6043" i="1"/>
  <c r="G6043" i="1"/>
  <c r="H6043" i="1"/>
  <c r="I6043" i="1"/>
  <c r="J6043" i="1"/>
  <c r="K6043" i="1"/>
  <c r="L6043" i="1"/>
  <c r="A6044" i="1"/>
  <c r="B6044" i="1"/>
  <c r="C6044" i="1"/>
  <c r="D6044" i="1"/>
  <c r="E6044" i="1"/>
  <c r="F6044" i="1"/>
  <c r="G6044" i="1"/>
  <c r="H6044" i="1"/>
  <c r="I6044" i="1"/>
  <c r="J6044" i="1"/>
  <c r="K6044" i="1"/>
  <c r="L6044" i="1"/>
  <c r="A6045" i="1"/>
  <c r="B6045" i="1"/>
  <c r="C6045" i="1"/>
  <c r="D6045" i="1"/>
  <c r="E6045" i="1"/>
  <c r="F6045" i="1"/>
  <c r="G6045" i="1"/>
  <c r="H6045" i="1"/>
  <c r="I6045" i="1"/>
  <c r="J6045" i="1"/>
  <c r="K6045" i="1"/>
  <c r="L6045" i="1"/>
  <c r="A6046" i="1"/>
  <c r="B6046" i="1"/>
  <c r="C6046" i="1"/>
  <c r="D6046" i="1"/>
  <c r="E6046" i="1"/>
  <c r="F6046" i="1"/>
  <c r="G6046" i="1"/>
  <c r="H6046" i="1"/>
  <c r="I6046" i="1"/>
  <c r="J6046" i="1"/>
  <c r="K6046" i="1"/>
  <c r="L6046" i="1"/>
  <c r="A6047" i="1"/>
  <c r="B6047" i="1"/>
  <c r="C6047" i="1"/>
  <c r="D6047" i="1"/>
  <c r="E6047" i="1"/>
  <c r="F6047" i="1"/>
  <c r="G6047" i="1"/>
  <c r="H6047" i="1"/>
  <c r="I6047" i="1"/>
  <c r="J6047" i="1"/>
  <c r="K6047" i="1"/>
  <c r="L6047" i="1"/>
  <c r="A6048" i="1"/>
  <c r="B6048" i="1"/>
  <c r="C6048" i="1"/>
  <c r="D6048" i="1"/>
  <c r="E6048" i="1"/>
  <c r="F6048" i="1"/>
  <c r="G6048" i="1"/>
  <c r="H6048" i="1"/>
  <c r="I6048" i="1"/>
  <c r="J6048" i="1"/>
  <c r="K6048" i="1"/>
  <c r="L6048" i="1"/>
  <c r="A6049" i="1"/>
  <c r="B6049" i="1"/>
  <c r="C6049" i="1"/>
  <c r="D6049" i="1"/>
  <c r="E6049" i="1"/>
  <c r="F6049" i="1"/>
  <c r="G6049" i="1"/>
  <c r="H6049" i="1"/>
  <c r="I6049" i="1"/>
  <c r="J6049" i="1"/>
  <c r="K6049" i="1"/>
  <c r="L6049" i="1"/>
  <c r="A6050" i="1"/>
  <c r="B6050" i="1"/>
  <c r="C6050" i="1"/>
  <c r="D6050" i="1"/>
  <c r="E6050" i="1"/>
  <c r="F6050" i="1"/>
  <c r="G6050" i="1"/>
  <c r="H6050" i="1"/>
  <c r="I6050" i="1"/>
  <c r="J6050" i="1"/>
  <c r="K6050" i="1"/>
  <c r="L6050" i="1"/>
  <c r="A6051" i="1"/>
  <c r="B6051" i="1"/>
  <c r="C6051" i="1"/>
  <c r="D6051" i="1"/>
  <c r="E6051" i="1"/>
  <c r="F6051" i="1"/>
  <c r="G6051" i="1"/>
  <c r="H6051" i="1"/>
  <c r="I6051" i="1"/>
  <c r="J6051" i="1"/>
  <c r="K6051" i="1"/>
  <c r="L6051" i="1"/>
  <c r="A6052" i="1"/>
  <c r="B6052" i="1"/>
  <c r="C6052" i="1"/>
  <c r="D6052" i="1"/>
  <c r="E6052" i="1"/>
  <c r="F6052" i="1"/>
  <c r="G6052" i="1"/>
  <c r="H6052" i="1"/>
  <c r="I6052" i="1"/>
  <c r="J6052" i="1"/>
  <c r="K6052" i="1"/>
  <c r="L6052" i="1"/>
  <c r="A6053" i="1"/>
  <c r="B6053" i="1"/>
  <c r="C6053" i="1"/>
  <c r="D6053" i="1"/>
  <c r="E6053" i="1"/>
  <c r="F6053" i="1"/>
  <c r="G6053" i="1"/>
  <c r="H6053" i="1"/>
  <c r="I6053" i="1"/>
  <c r="J6053" i="1"/>
  <c r="K6053" i="1"/>
  <c r="L6053" i="1"/>
  <c r="A6054" i="1"/>
  <c r="B6054" i="1"/>
  <c r="C6054" i="1"/>
  <c r="D6054" i="1"/>
  <c r="E6054" i="1"/>
  <c r="F6054" i="1"/>
  <c r="G6054" i="1"/>
  <c r="H6054" i="1"/>
  <c r="I6054" i="1"/>
  <c r="J6054" i="1"/>
  <c r="K6054" i="1"/>
  <c r="L6054" i="1"/>
  <c r="A6055" i="1"/>
  <c r="B6055" i="1"/>
  <c r="C6055" i="1"/>
  <c r="D6055" i="1"/>
  <c r="E6055" i="1"/>
  <c r="F6055" i="1"/>
  <c r="G6055" i="1"/>
  <c r="H6055" i="1"/>
  <c r="I6055" i="1"/>
  <c r="J6055" i="1"/>
  <c r="K6055" i="1"/>
  <c r="L6055" i="1"/>
  <c r="A6056" i="1"/>
  <c r="B6056" i="1"/>
  <c r="C6056" i="1"/>
  <c r="D6056" i="1"/>
  <c r="E6056" i="1"/>
  <c r="F6056" i="1"/>
  <c r="G6056" i="1"/>
  <c r="H6056" i="1"/>
  <c r="I6056" i="1"/>
  <c r="J6056" i="1"/>
  <c r="K6056" i="1"/>
  <c r="L6056" i="1"/>
  <c r="A6057" i="1"/>
  <c r="B6057" i="1"/>
  <c r="C6057" i="1"/>
  <c r="D6057" i="1"/>
  <c r="E6057" i="1"/>
  <c r="F6057" i="1"/>
  <c r="G6057" i="1"/>
  <c r="H6057" i="1"/>
  <c r="I6057" i="1"/>
  <c r="J6057" i="1"/>
  <c r="K6057" i="1"/>
  <c r="L6057" i="1"/>
  <c r="A6058" i="1"/>
  <c r="B6058" i="1"/>
  <c r="C6058" i="1"/>
  <c r="D6058" i="1"/>
  <c r="E6058" i="1"/>
  <c r="F6058" i="1"/>
  <c r="G6058" i="1"/>
  <c r="H6058" i="1"/>
  <c r="I6058" i="1"/>
  <c r="J6058" i="1"/>
  <c r="K6058" i="1"/>
  <c r="L6058" i="1"/>
  <c r="A6059" i="1"/>
  <c r="B6059" i="1"/>
  <c r="C6059" i="1"/>
  <c r="D6059" i="1"/>
  <c r="E6059" i="1"/>
  <c r="F6059" i="1"/>
  <c r="G6059" i="1"/>
  <c r="H6059" i="1"/>
  <c r="I6059" i="1"/>
  <c r="J6059" i="1"/>
  <c r="K6059" i="1"/>
  <c r="L6059" i="1"/>
  <c r="A6060" i="1"/>
  <c r="B6060" i="1"/>
  <c r="C6060" i="1"/>
  <c r="D6060" i="1"/>
  <c r="E6060" i="1"/>
  <c r="F6060" i="1"/>
  <c r="G6060" i="1"/>
  <c r="H6060" i="1"/>
  <c r="I6060" i="1"/>
  <c r="J6060" i="1"/>
  <c r="K6060" i="1"/>
  <c r="L6060" i="1"/>
  <c r="A6061" i="1"/>
  <c r="B6061" i="1"/>
  <c r="C6061" i="1"/>
  <c r="D6061" i="1"/>
  <c r="E6061" i="1"/>
  <c r="F6061" i="1"/>
  <c r="G6061" i="1"/>
  <c r="H6061" i="1"/>
  <c r="I6061" i="1"/>
  <c r="J6061" i="1"/>
  <c r="K6061" i="1"/>
  <c r="L6061" i="1"/>
  <c r="A6062" i="1"/>
  <c r="B6062" i="1"/>
  <c r="C6062" i="1"/>
  <c r="D6062" i="1"/>
  <c r="E6062" i="1"/>
  <c r="F6062" i="1"/>
  <c r="G6062" i="1"/>
  <c r="H6062" i="1"/>
  <c r="I6062" i="1"/>
  <c r="J6062" i="1"/>
  <c r="K6062" i="1"/>
  <c r="L6062" i="1"/>
  <c r="A6063" i="1"/>
  <c r="B6063" i="1"/>
  <c r="C6063" i="1"/>
  <c r="D6063" i="1"/>
  <c r="E6063" i="1"/>
  <c r="F6063" i="1"/>
  <c r="G6063" i="1"/>
  <c r="H6063" i="1"/>
  <c r="I6063" i="1"/>
  <c r="J6063" i="1"/>
  <c r="K6063" i="1"/>
  <c r="L6063" i="1"/>
  <c r="A6064" i="1"/>
  <c r="B6064" i="1"/>
  <c r="C6064" i="1"/>
  <c r="D6064" i="1"/>
  <c r="E6064" i="1"/>
  <c r="F6064" i="1"/>
  <c r="G6064" i="1"/>
  <c r="H6064" i="1"/>
  <c r="I6064" i="1"/>
  <c r="J6064" i="1"/>
  <c r="K6064" i="1"/>
  <c r="L6064" i="1"/>
  <c r="A6065" i="1"/>
  <c r="B6065" i="1"/>
  <c r="C6065" i="1"/>
  <c r="D6065" i="1"/>
  <c r="E6065" i="1"/>
  <c r="F6065" i="1"/>
  <c r="G6065" i="1"/>
  <c r="H6065" i="1"/>
  <c r="I6065" i="1"/>
  <c r="J6065" i="1"/>
  <c r="K6065" i="1"/>
  <c r="L6065" i="1"/>
  <c r="A6066" i="1"/>
  <c r="B6066" i="1"/>
  <c r="C6066" i="1"/>
  <c r="D6066" i="1"/>
  <c r="E6066" i="1"/>
  <c r="F6066" i="1"/>
  <c r="G6066" i="1"/>
  <c r="H6066" i="1"/>
  <c r="I6066" i="1"/>
  <c r="J6066" i="1"/>
  <c r="K6066" i="1"/>
  <c r="L6066" i="1"/>
  <c r="A6067" i="1"/>
  <c r="B6067" i="1"/>
  <c r="C6067" i="1"/>
  <c r="D6067" i="1"/>
  <c r="E6067" i="1"/>
  <c r="F6067" i="1"/>
  <c r="G6067" i="1"/>
  <c r="H6067" i="1"/>
  <c r="I6067" i="1"/>
  <c r="J6067" i="1"/>
  <c r="K6067" i="1"/>
  <c r="L6067" i="1"/>
  <c r="A6068" i="1"/>
  <c r="B6068" i="1"/>
  <c r="C6068" i="1"/>
  <c r="D6068" i="1"/>
  <c r="E6068" i="1"/>
  <c r="F6068" i="1"/>
  <c r="G6068" i="1"/>
  <c r="H6068" i="1"/>
  <c r="I6068" i="1"/>
  <c r="J6068" i="1"/>
  <c r="K6068" i="1"/>
  <c r="L6068" i="1"/>
  <c r="A6069" i="1"/>
  <c r="B6069" i="1"/>
  <c r="C6069" i="1"/>
  <c r="D6069" i="1"/>
  <c r="E6069" i="1"/>
  <c r="F6069" i="1"/>
  <c r="G6069" i="1"/>
  <c r="H6069" i="1"/>
  <c r="I6069" i="1"/>
  <c r="J6069" i="1"/>
  <c r="K6069" i="1"/>
  <c r="L6069" i="1"/>
  <c r="A6070" i="1"/>
  <c r="B6070" i="1"/>
  <c r="C6070" i="1"/>
  <c r="D6070" i="1"/>
  <c r="E6070" i="1"/>
  <c r="F6070" i="1"/>
  <c r="G6070" i="1"/>
  <c r="H6070" i="1"/>
  <c r="I6070" i="1"/>
  <c r="J6070" i="1"/>
  <c r="K6070" i="1"/>
  <c r="L6070" i="1"/>
  <c r="A6071" i="1"/>
  <c r="B6071" i="1"/>
  <c r="C6071" i="1"/>
  <c r="D6071" i="1"/>
  <c r="E6071" i="1"/>
  <c r="F6071" i="1"/>
  <c r="G6071" i="1"/>
  <c r="H6071" i="1"/>
  <c r="I6071" i="1"/>
  <c r="J6071" i="1"/>
  <c r="K6071" i="1"/>
  <c r="L6071" i="1"/>
  <c r="A6072" i="1"/>
  <c r="B6072" i="1"/>
  <c r="C6072" i="1"/>
  <c r="D6072" i="1"/>
  <c r="E6072" i="1"/>
  <c r="F6072" i="1"/>
  <c r="G6072" i="1"/>
  <c r="H6072" i="1"/>
  <c r="I6072" i="1"/>
  <c r="J6072" i="1"/>
  <c r="K6072" i="1"/>
  <c r="L6072" i="1"/>
  <c r="A6073" i="1"/>
  <c r="B6073" i="1"/>
  <c r="C6073" i="1"/>
  <c r="D6073" i="1"/>
  <c r="E6073" i="1"/>
  <c r="F6073" i="1"/>
  <c r="G6073" i="1"/>
  <c r="H6073" i="1"/>
  <c r="I6073" i="1"/>
  <c r="J6073" i="1"/>
  <c r="K6073" i="1"/>
  <c r="L6073" i="1"/>
  <c r="A6074" i="1"/>
  <c r="B6074" i="1"/>
  <c r="C6074" i="1"/>
  <c r="D6074" i="1"/>
  <c r="E6074" i="1"/>
  <c r="F6074" i="1"/>
  <c r="G6074" i="1"/>
  <c r="H6074" i="1"/>
  <c r="I6074" i="1"/>
  <c r="J6074" i="1"/>
  <c r="K6074" i="1"/>
  <c r="L6074" i="1"/>
  <c r="A6075" i="1"/>
  <c r="B6075" i="1"/>
  <c r="C6075" i="1"/>
  <c r="D6075" i="1"/>
  <c r="E6075" i="1"/>
  <c r="F6075" i="1"/>
  <c r="G6075" i="1"/>
  <c r="H6075" i="1"/>
  <c r="I6075" i="1"/>
  <c r="J6075" i="1"/>
  <c r="K6075" i="1"/>
  <c r="L6075" i="1"/>
  <c r="A6076" i="1"/>
  <c r="B6076" i="1"/>
  <c r="C6076" i="1"/>
  <c r="D6076" i="1"/>
  <c r="E6076" i="1"/>
  <c r="F6076" i="1"/>
  <c r="G6076" i="1"/>
  <c r="H6076" i="1"/>
  <c r="I6076" i="1"/>
  <c r="J6076" i="1"/>
  <c r="K6076" i="1"/>
  <c r="L6076" i="1"/>
  <c r="A6077" i="1"/>
  <c r="B6077" i="1"/>
  <c r="C6077" i="1"/>
  <c r="D6077" i="1"/>
  <c r="E6077" i="1"/>
  <c r="F6077" i="1"/>
  <c r="G6077" i="1"/>
  <c r="H6077" i="1"/>
  <c r="I6077" i="1"/>
  <c r="J6077" i="1"/>
  <c r="K6077" i="1"/>
  <c r="L6077" i="1"/>
  <c r="A6078" i="1"/>
  <c r="B6078" i="1"/>
  <c r="C6078" i="1"/>
  <c r="D6078" i="1"/>
  <c r="E6078" i="1"/>
  <c r="F6078" i="1"/>
  <c r="G6078" i="1"/>
  <c r="H6078" i="1"/>
  <c r="I6078" i="1"/>
  <c r="J6078" i="1"/>
  <c r="K6078" i="1"/>
  <c r="L6078" i="1"/>
  <c r="A6079" i="1"/>
  <c r="B6079" i="1"/>
  <c r="C6079" i="1"/>
  <c r="D6079" i="1"/>
  <c r="E6079" i="1"/>
  <c r="F6079" i="1"/>
  <c r="G6079" i="1"/>
  <c r="H6079" i="1"/>
  <c r="I6079" i="1"/>
  <c r="J6079" i="1"/>
  <c r="K6079" i="1"/>
  <c r="L6079" i="1"/>
  <c r="A6080" i="1"/>
  <c r="B6080" i="1"/>
  <c r="C6080" i="1"/>
  <c r="D6080" i="1"/>
  <c r="E6080" i="1"/>
  <c r="F6080" i="1"/>
  <c r="G6080" i="1"/>
  <c r="H6080" i="1"/>
  <c r="I6080" i="1"/>
  <c r="J6080" i="1"/>
  <c r="K6080" i="1"/>
  <c r="L6080" i="1"/>
  <c r="A6081" i="1"/>
  <c r="B6081" i="1"/>
  <c r="C6081" i="1"/>
  <c r="D6081" i="1"/>
  <c r="E6081" i="1"/>
  <c r="F6081" i="1"/>
  <c r="G6081" i="1"/>
  <c r="H6081" i="1"/>
  <c r="I6081" i="1"/>
  <c r="J6081" i="1"/>
  <c r="K6081" i="1"/>
  <c r="L6081" i="1"/>
  <c r="A6082" i="1"/>
  <c r="B6082" i="1"/>
  <c r="C6082" i="1"/>
  <c r="D6082" i="1"/>
  <c r="E6082" i="1"/>
  <c r="F6082" i="1"/>
  <c r="G6082" i="1"/>
  <c r="H6082" i="1"/>
  <c r="I6082" i="1"/>
  <c r="J6082" i="1"/>
  <c r="K6082" i="1"/>
  <c r="L6082" i="1"/>
  <c r="A6083" i="1"/>
  <c r="B6083" i="1"/>
  <c r="C6083" i="1"/>
  <c r="D6083" i="1"/>
  <c r="E6083" i="1"/>
  <c r="F6083" i="1"/>
  <c r="G6083" i="1"/>
  <c r="H6083" i="1"/>
  <c r="I6083" i="1"/>
  <c r="J6083" i="1"/>
  <c r="K6083" i="1"/>
  <c r="L6083" i="1"/>
  <c r="A6084" i="1"/>
  <c r="B6084" i="1"/>
  <c r="C6084" i="1"/>
  <c r="D6084" i="1"/>
  <c r="E6084" i="1"/>
  <c r="F6084" i="1"/>
  <c r="G6084" i="1"/>
  <c r="H6084" i="1"/>
  <c r="I6084" i="1"/>
  <c r="J6084" i="1"/>
  <c r="K6084" i="1"/>
  <c r="L6084" i="1"/>
  <c r="A6085" i="1"/>
  <c r="B6085" i="1"/>
  <c r="C6085" i="1"/>
  <c r="D6085" i="1"/>
  <c r="E6085" i="1"/>
  <c r="F6085" i="1"/>
  <c r="G6085" i="1"/>
  <c r="H6085" i="1"/>
  <c r="I6085" i="1"/>
  <c r="J6085" i="1"/>
  <c r="K6085" i="1"/>
  <c r="L6085" i="1"/>
  <c r="A6086" i="1"/>
  <c r="B6086" i="1"/>
  <c r="C6086" i="1"/>
  <c r="D6086" i="1"/>
  <c r="E6086" i="1"/>
  <c r="F6086" i="1"/>
  <c r="G6086" i="1"/>
  <c r="H6086" i="1"/>
  <c r="I6086" i="1"/>
  <c r="J6086" i="1"/>
  <c r="K6086" i="1"/>
  <c r="L6086" i="1"/>
  <c r="A6087" i="1"/>
  <c r="B6087" i="1"/>
  <c r="C6087" i="1"/>
  <c r="D6087" i="1"/>
  <c r="E6087" i="1"/>
  <c r="F6087" i="1"/>
  <c r="G6087" i="1"/>
  <c r="H6087" i="1"/>
  <c r="I6087" i="1"/>
  <c r="J6087" i="1"/>
  <c r="K6087" i="1"/>
  <c r="L6087" i="1"/>
  <c r="A6088" i="1"/>
  <c r="B6088" i="1"/>
  <c r="C6088" i="1"/>
  <c r="D6088" i="1"/>
  <c r="E6088" i="1"/>
  <c r="F6088" i="1"/>
  <c r="G6088" i="1"/>
  <c r="H6088" i="1"/>
  <c r="I6088" i="1"/>
  <c r="J6088" i="1"/>
  <c r="K6088" i="1"/>
  <c r="L6088" i="1"/>
  <c r="A6089" i="1"/>
  <c r="B6089" i="1"/>
  <c r="C6089" i="1"/>
  <c r="D6089" i="1"/>
  <c r="E6089" i="1"/>
  <c r="F6089" i="1"/>
  <c r="G6089" i="1"/>
  <c r="H6089" i="1"/>
  <c r="I6089" i="1"/>
  <c r="J6089" i="1"/>
  <c r="K6089" i="1"/>
  <c r="L6089" i="1"/>
  <c r="A6090" i="1"/>
  <c r="B6090" i="1"/>
  <c r="C6090" i="1"/>
  <c r="D6090" i="1"/>
  <c r="E6090" i="1"/>
  <c r="F6090" i="1"/>
  <c r="G6090" i="1"/>
  <c r="H6090" i="1"/>
  <c r="I6090" i="1"/>
  <c r="J6090" i="1"/>
  <c r="K6090" i="1"/>
  <c r="L6090" i="1"/>
  <c r="A6091" i="1"/>
  <c r="B6091" i="1"/>
  <c r="C6091" i="1"/>
  <c r="D6091" i="1"/>
  <c r="E6091" i="1"/>
  <c r="F6091" i="1"/>
  <c r="G6091" i="1"/>
  <c r="H6091" i="1"/>
  <c r="I6091" i="1"/>
  <c r="J6091" i="1"/>
  <c r="K6091" i="1"/>
  <c r="L6091" i="1"/>
  <c r="A6092" i="1"/>
  <c r="B6092" i="1"/>
  <c r="C6092" i="1"/>
  <c r="D6092" i="1"/>
  <c r="E6092" i="1"/>
  <c r="F6092" i="1"/>
  <c r="G6092" i="1"/>
  <c r="H6092" i="1"/>
  <c r="I6092" i="1"/>
  <c r="J6092" i="1"/>
  <c r="K6092" i="1"/>
  <c r="L6092" i="1"/>
  <c r="A6093" i="1"/>
  <c r="B6093" i="1"/>
  <c r="C6093" i="1"/>
  <c r="D6093" i="1"/>
  <c r="E6093" i="1"/>
  <c r="F6093" i="1"/>
  <c r="G6093" i="1"/>
  <c r="H6093" i="1"/>
  <c r="I6093" i="1"/>
  <c r="J6093" i="1"/>
  <c r="K6093" i="1"/>
  <c r="L6093" i="1"/>
  <c r="A6094" i="1"/>
  <c r="B6094" i="1"/>
  <c r="C6094" i="1"/>
  <c r="D6094" i="1"/>
  <c r="E6094" i="1"/>
  <c r="F6094" i="1"/>
  <c r="G6094" i="1"/>
  <c r="H6094" i="1"/>
  <c r="I6094" i="1"/>
  <c r="J6094" i="1"/>
  <c r="K6094" i="1"/>
  <c r="L6094" i="1"/>
  <c r="A6095" i="1"/>
  <c r="B6095" i="1"/>
  <c r="C6095" i="1"/>
  <c r="D6095" i="1"/>
  <c r="E6095" i="1"/>
  <c r="F6095" i="1"/>
  <c r="G6095" i="1"/>
  <c r="H6095" i="1"/>
  <c r="I6095" i="1"/>
  <c r="J6095" i="1"/>
  <c r="K6095" i="1"/>
  <c r="L6095" i="1"/>
  <c r="A6096" i="1"/>
  <c r="B6096" i="1"/>
  <c r="C6096" i="1"/>
  <c r="D6096" i="1"/>
  <c r="E6096" i="1"/>
  <c r="F6096" i="1"/>
  <c r="G6096" i="1"/>
  <c r="H6096" i="1"/>
  <c r="I6096" i="1"/>
  <c r="J6096" i="1"/>
  <c r="K6096" i="1"/>
  <c r="L6096" i="1"/>
  <c r="A6097" i="1"/>
  <c r="B6097" i="1"/>
  <c r="C6097" i="1"/>
  <c r="D6097" i="1"/>
  <c r="E6097" i="1"/>
  <c r="F6097" i="1"/>
  <c r="G6097" i="1"/>
  <c r="H6097" i="1"/>
  <c r="I6097" i="1"/>
  <c r="J6097" i="1"/>
  <c r="K6097" i="1"/>
  <c r="L6097" i="1"/>
  <c r="A6098" i="1"/>
  <c r="B6098" i="1"/>
  <c r="C6098" i="1"/>
  <c r="D6098" i="1"/>
  <c r="E6098" i="1"/>
  <c r="F6098" i="1"/>
  <c r="G6098" i="1"/>
  <c r="H6098" i="1"/>
  <c r="I6098" i="1"/>
  <c r="J6098" i="1"/>
  <c r="K6098" i="1"/>
  <c r="L6098" i="1"/>
  <c r="A6099" i="1"/>
  <c r="B6099" i="1"/>
  <c r="C6099" i="1"/>
  <c r="D6099" i="1"/>
  <c r="E6099" i="1"/>
  <c r="F6099" i="1"/>
  <c r="G6099" i="1"/>
  <c r="H6099" i="1"/>
  <c r="I6099" i="1"/>
  <c r="J6099" i="1"/>
  <c r="K6099" i="1"/>
  <c r="L6099" i="1"/>
  <c r="A6100" i="1"/>
  <c r="B6100" i="1"/>
  <c r="C6100" i="1"/>
  <c r="D6100" i="1"/>
  <c r="E6100" i="1"/>
  <c r="F6100" i="1"/>
  <c r="G6100" i="1"/>
  <c r="H6100" i="1"/>
  <c r="I6100" i="1"/>
  <c r="J6100" i="1"/>
  <c r="K6100" i="1"/>
  <c r="L6100" i="1"/>
  <c r="A6101" i="1"/>
  <c r="B6101" i="1"/>
  <c r="C6101" i="1"/>
  <c r="D6101" i="1"/>
  <c r="E6101" i="1"/>
  <c r="F6101" i="1"/>
  <c r="G6101" i="1"/>
  <c r="H6101" i="1"/>
  <c r="I6101" i="1"/>
  <c r="J6101" i="1"/>
  <c r="K6101" i="1"/>
  <c r="L6101" i="1"/>
  <c r="A6102" i="1"/>
  <c r="B6102" i="1"/>
  <c r="C6102" i="1"/>
  <c r="D6102" i="1"/>
  <c r="E6102" i="1"/>
  <c r="F6102" i="1"/>
  <c r="G6102" i="1"/>
  <c r="H6102" i="1"/>
  <c r="I6102" i="1"/>
  <c r="J6102" i="1"/>
  <c r="K6102" i="1"/>
  <c r="L6102" i="1"/>
  <c r="A6103" i="1"/>
  <c r="B6103" i="1"/>
  <c r="C6103" i="1"/>
  <c r="D6103" i="1"/>
  <c r="E6103" i="1"/>
  <c r="F6103" i="1"/>
  <c r="G6103" i="1"/>
  <c r="H6103" i="1"/>
  <c r="I6103" i="1"/>
  <c r="J6103" i="1"/>
  <c r="K6103" i="1"/>
  <c r="L6103" i="1"/>
  <c r="A6104" i="1"/>
  <c r="B6104" i="1"/>
  <c r="C6104" i="1"/>
  <c r="D6104" i="1"/>
  <c r="E6104" i="1"/>
  <c r="F6104" i="1"/>
  <c r="G6104" i="1"/>
  <c r="H6104" i="1"/>
  <c r="I6104" i="1"/>
  <c r="J6104" i="1"/>
  <c r="K6104" i="1"/>
  <c r="L6104" i="1"/>
  <c r="A6105" i="1"/>
  <c r="B6105" i="1"/>
  <c r="C6105" i="1"/>
  <c r="D6105" i="1"/>
  <c r="E6105" i="1"/>
  <c r="F6105" i="1"/>
  <c r="G6105" i="1"/>
  <c r="H6105" i="1"/>
  <c r="I6105" i="1"/>
  <c r="J6105" i="1"/>
  <c r="K6105" i="1"/>
  <c r="L6105" i="1"/>
  <c r="A6106" i="1"/>
  <c r="B6106" i="1"/>
  <c r="C6106" i="1"/>
  <c r="D6106" i="1"/>
  <c r="E6106" i="1"/>
  <c r="F6106" i="1"/>
  <c r="G6106" i="1"/>
  <c r="H6106" i="1"/>
  <c r="I6106" i="1"/>
  <c r="J6106" i="1"/>
  <c r="K6106" i="1"/>
  <c r="L6106" i="1"/>
  <c r="A6107" i="1"/>
  <c r="B6107" i="1"/>
  <c r="C6107" i="1"/>
  <c r="D6107" i="1"/>
  <c r="E6107" i="1"/>
  <c r="F6107" i="1"/>
  <c r="G6107" i="1"/>
  <c r="H6107" i="1"/>
  <c r="I6107" i="1"/>
  <c r="J6107" i="1"/>
  <c r="K6107" i="1"/>
  <c r="L6107" i="1"/>
  <c r="A6108" i="1"/>
  <c r="B6108" i="1"/>
  <c r="C6108" i="1"/>
  <c r="D6108" i="1"/>
  <c r="E6108" i="1"/>
  <c r="F6108" i="1"/>
  <c r="G6108" i="1"/>
  <c r="H6108" i="1"/>
  <c r="I6108" i="1"/>
  <c r="J6108" i="1"/>
  <c r="K6108" i="1"/>
  <c r="L6108" i="1"/>
  <c r="A6109" i="1"/>
  <c r="B6109" i="1"/>
  <c r="C6109" i="1"/>
  <c r="D6109" i="1"/>
  <c r="E6109" i="1"/>
  <c r="F6109" i="1"/>
  <c r="G6109" i="1"/>
  <c r="H6109" i="1"/>
  <c r="I6109" i="1"/>
  <c r="J6109" i="1"/>
  <c r="K6109" i="1"/>
  <c r="L6109" i="1"/>
  <c r="A6110" i="1"/>
  <c r="B6110" i="1"/>
  <c r="C6110" i="1"/>
  <c r="D6110" i="1"/>
  <c r="E6110" i="1"/>
  <c r="F6110" i="1"/>
  <c r="G6110" i="1"/>
  <c r="H6110" i="1"/>
  <c r="I6110" i="1"/>
  <c r="J6110" i="1"/>
  <c r="K6110" i="1"/>
  <c r="L6110" i="1"/>
  <c r="A6111" i="1"/>
  <c r="B6111" i="1"/>
  <c r="C6111" i="1"/>
  <c r="D6111" i="1"/>
  <c r="E6111" i="1"/>
  <c r="F6111" i="1"/>
  <c r="G6111" i="1"/>
  <c r="H6111" i="1"/>
  <c r="I6111" i="1"/>
  <c r="J6111" i="1"/>
  <c r="K6111" i="1"/>
  <c r="L6111" i="1"/>
  <c r="A6112" i="1"/>
  <c r="B6112" i="1"/>
  <c r="C6112" i="1"/>
  <c r="D6112" i="1"/>
  <c r="E6112" i="1"/>
  <c r="F6112" i="1"/>
  <c r="G6112" i="1"/>
  <c r="H6112" i="1"/>
  <c r="I6112" i="1"/>
  <c r="J6112" i="1"/>
  <c r="K6112" i="1"/>
  <c r="L6112" i="1"/>
  <c r="A6113" i="1"/>
  <c r="B6113" i="1"/>
  <c r="C6113" i="1"/>
  <c r="D6113" i="1"/>
  <c r="E6113" i="1"/>
  <c r="F6113" i="1"/>
  <c r="G6113" i="1"/>
  <c r="H6113" i="1"/>
  <c r="I6113" i="1"/>
  <c r="J6113" i="1"/>
  <c r="K6113" i="1"/>
  <c r="L6113" i="1"/>
  <c r="A6114" i="1"/>
  <c r="B6114" i="1"/>
  <c r="C6114" i="1"/>
  <c r="D6114" i="1"/>
  <c r="E6114" i="1"/>
  <c r="F6114" i="1"/>
  <c r="G6114" i="1"/>
  <c r="H6114" i="1"/>
  <c r="I6114" i="1"/>
  <c r="J6114" i="1"/>
  <c r="K6114" i="1"/>
  <c r="L6114" i="1"/>
  <c r="A6115" i="1"/>
  <c r="B6115" i="1"/>
  <c r="C6115" i="1"/>
  <c r="D6115" i="1"/>
  <c r="E6115" i="1"/>
  <c r="F6115" i="1"/>
  <c r="G6115" i="1"/>
  <c r="H6115" i="1"/>
  <c r="I6115" i="1"/>
  <c r="J6115" i="1"/>
  <c r="K6115" i="1"/>
  <c r="L6115" i="1"/>
  <c r="A6116" i="1"/>
  <c r="B6116" i="1"/>
  <c r="C6116" i="1"/>
  <c r="D6116" i="1"/>
  <c r="E6116" i="1"/>
  <c r="F6116" i="1"/>
  <c r="G6116" i="1"/>
  <c r="H6116" i="1"/>
  <c r="I6116" i="1"/>
  <c r="J6116" i="1"/>
  <c r="K6116" i="1"/>
  <c r="L6116" i="1"/>
  <c r="A6117" i="1"/>
  <c r="B6117" i="1"/>
  <c r="C6117" i="1"/>
  <c r="D6117" i="1"/>
  <c r="E6117" i="1"/>
  <c r="F6117" i="1"/>
  <c r="G6117" i="1"/>
  <c r="H6117" i="1"/>
  <c r="I6117" i="1"/>
  <c r="J6117" i="1"/>
  <c r="K6117" i="1"/>
  <c r="L6117" i="1"/>
  <c r="A6118" i="1"/>
  <c r="B6118" i="1"/>
  <c r="C6118" i="1"/>
  <c r="D6118" i="1"/>
  <c r="E6118" i="1"/>
  <c r="F6118" i="1"/>
  <c r="G6118" i="1"/>
  <c r="H6118" i="1"/>
  <c r="I6118" i="1"/>
  <c r="J6118" i="1"/>
  <c r="K6118" i="1"/>
  <c r="L6118" i="1"/>
  <c r="A6119" i="1"/>
  <c r="B6119" i="1"/>
  <c r="C6119" i="1"/>
  <c r="D6119" i="1"/>
  <c r="E6119" i="1"/>
  <c r="F6119" i="1"/>
  <c r="G6119" i="1"/>
  <c r="H6119" i="1"/>
  <c r="I6119" i="1"/>
  <c r="J6119" i="1"/>
  <c r="K6119" i="1"/>
  <c r="L6119" i="1"/>
  <c r="A6120" i="1"/>
  <c r="B6120" i="1"/>
  <c r="C6120" i="1"/>
  <c r="D6120" i="1"/>
  <c r="E6120" i="1"/>
  <c r="F6120" i="1"/>
  <c r="G6120" i="1"/>
  <c r="H6120" i="1"/>
  <c r="I6120" i="1"/>
  <c r="J6120" i="1"/>
  <c r="K6120" i="1"/>
  <c r="L6120" i="1"/>
  <c r="A6121" i="1"/>
  <c r="B6121" i="1"/>
  <c r="C6121" i="1"/>
  <c r="D6121" i="1"/>
  <c r="E6121" i="1"/>
  <c r="F6121" i="1"/>
  <c r="G6121" i="1"/>
  <c r="H6121" i="1"/>
  <c r="I6121" i="1"/>
  <c r="J6121" i="1"/>
  <c r="K6121" i="1"/>
  <c r="L6121" i="1"/>
  <c r="A6122" i="1"/>
  <c r="B6122" i="1"/>
  <c r="C6122" i="1"/>
  <c r="D6122" i="1"/>
  <c r="E6122" i="1"/>
  <c r="F6122" i="1"/>
  <c r="G6122" i="1"/>
  <c r="H6122" i="1"/>
  <c r="I6122" i="1"/>
  <c r="J6122" i="1"/>
  <c r="K6122" i="1"/>
  <c r="L6122" i="1"/>
  <c r="A6123" i="1"/>
  <c r="B6123" i="1"/>
  <c r="C6123" i="1"/>
  <c r="D6123" i="1"/>
  <c r="E6123" i="1"/>
  <c r="F6123" i="1"/>
  <c r="G6123" i="1"/>
  <c r="H6123" i="1"/>
  <c r="I6123" i="1"/>
  <c r="J6123" i="1"/>
  <c r="K6123" i="1"/>
  <c r="L6123" i="1"/>
  <c r="A6124" i="1"/>
  <c r="B6124" i="1"/>
  <c r="C6124" i="1"/>
  <c r="D6124" i="1"/>
  <c r="E6124" i="1"/>
  <c r="F6124" i="1"/>
  <c r="G6124" i="1"/>
  <c r="H6124" i="1"/>
  <c r="I6124" i="1"/>
  <c r="J6124" i="1"/>
  <c r="K6124" i="1"/>
  <c r="L6124" i="1"/>
  <c r="A6125" i="1"/>
  <c r="B6125" i="1"/>
  <c r="C6125" i="1"/>
  <c r="D6125" i="1"/>
  <c r="E6125" i="1"/>
  <c r="F6125" i="1"/>
  <c r="G6125" i="1"/>
  <c r="H6125" i="1"/>
  <c r="I6125" i="1"/>
  <c r="J6125" i="1"/>
  <c r="K6125" i="1"/>
  <c r="L6125" i="1"/>
  <c r="A6126" i="1"/>
  <c r="B6126" i="1"/>
  <c r="C6126" i="1"/>
  <c r="D6126" i="1"/>
  <c r="E6126" i="1"/>
  <c r="F6126" i="1"/>
  <c r="G6126" i="1"/>
  <c r="H6126" i="1"/>
  <c r="I6126" i="1"/>
  <c r="J6126" i="1"/>
  <c r="K6126" i="1"/>
  <c r="L6126" i="1"/>
  <c r="A6127" i="1"/>
  <c r="B6127" i="1"/>
  <c r="C6127" i="1"/>
  <c r="D6127" i="1"/>
  <c r="E6127" i="1"/>
  <c r="F6127" i="1"/>
  <c r="G6127" i="1"/>
  <c r="H6127" i="1"/>
  <c r="I6127" i="1"/>
  <c r="J6127" i="1"/>
  <c r="K6127" i="1"/>
  <c r="L6127" i="1"/>
  <c r="A6128" i="1"/>
  <c r="B6128" i="1"/>
  <c r="C6128" i="1"/>
  <c r="D6128" i="1"/>
  <c r="E6128" i="1"/>
  <c r="F6128" i="1"/>
  <c r="G6128" i="1"/>
  <c r="H6128" i="1"/>
  <c r="I6128" i="1"/>
  <c r="J6128" i="1"/>
  <c r="K6128" i="1"/>
  <c r="L6128" i="1"/>
  <c r="A6129" i="1"/>
  <c r="B6129" i="1"/>
  <c r="C6129" i="1"/>
  <c r="D6129" i="1"/>
  <c r="E6129" i="1"/>
  <c r="F6129" i="1"/>
  <c r="G6129" i="1"/>
  <c r="H6129" i="1"/>
  <c r="I6129" i="1"/>
  <c r="J6129" i="1"/>
  <c r="K6129" i="1"/>
  <c r="L6129" i="1"/>
  <c r="A6130" i="1"/>
  <c r="B6130" i="1"/>
  <c r="C6130" i="1"/>
  <c r="D6130" i="1"/>
  <c r="E6130" i="1"/>
  <c r="F6130" i="1"/>
  <c r="G6130" i="1"/>
  <c r="H6130" i="1"/>
  <c r="I6130" i="1"/>
  <c r="J6130" i="1"/>
  <c r="K6130" i="1"/>
  <c r="L6130" i="1"/>
  <c r="A6131" i="1"/>
  <c r="B6131" i="1"/>
  <c r="C6131" i="1"/>
  <c r="D6131" i="1"/>
  <c r="E6131" i="1"/>
  <c r="F6131" i="1"/>
  <c r="G6131" i="1"/>
  <c r="H6131" i="1"/>
  <c r="I6131" i="1"/>
  <c r="J6131" i="1"/>
  <c r="K6131" i="1"/>
  <c r="L6131" i="1"/>
  <c r="A6132" i="1"/>
  <c r="B6132" i="1"/>
  <c r="C6132" i="1"/>
  <c r="D6132" i="1"/>
  <c r="E6132" i="1"/>
  <c r="F6132" i="1"/>
  <c r="G6132" i="1"/>
  <c r="H6132" i="1"/>
  <c r="I6132" i="1"/>
  <c r="J6132" i="1"/>
  <c r="K6132" i="1"/>
  <c r="L6132" i="1"/>
  <c r="A6133" i="1"/>
  <c r="B6133" i="1"/>
  <c r="C6133" i="1"/>
  <c r="D6133" i="1"/>
  <c r="E6133" i="1"/>
  <c r="F6133" i="1"/>
  <c r="G6133" i="1"/>
  <c r="H6133" i="1"/>
  <c r="I6133" i="1"/>
  <c r="J6133" i="1"/>
  <c r="K6133" i="1"/>
  <c r="L6133" i="1"/>
  <c r="A6134" i="1"/>
  <c r="B6134" i="1"/>
  <c r="C6134" i="1"/>
  <c r="D6134" i="1"/>
  <c r="E6134" i="1"/>
  <c r="F6134" i="1"/>
  <c r="G6134" i="1"/>
  <c r="H6134" i="1"/>
  <c r="I6134" i="1"/>
  <c r="J6134" i="1"/>
  <c r="K6134" i="1"/>
  <c r="L6134" i="1"/>
  <c r="A6135" i="1"/>
  <c r="B6135" i="1"/>
  <c r="C6135" i="1"/>
  <c r="D6135" i="1"/>
  <c r="E6135" i="1"/>
  <c r="F6135" i="1"/>
  <c r="G6135" i="1"/>
  <c r="H6135" i="1"/>
  <c r="I6135" i="1"/>
  <c r="J6135" i="1"/>
  <c r="K6135" i="1"/>
  <c r="L6135" i="1"/>
  <c r="A6136" i="1"/>
  <c r="B6136" i="1"/>
  <c r="C6136" i="1"/>
  <c r="D6136" i="1"/>
  <c r="E6136" i="1"/>
  <c r="F6136" i="1"/>
  <c r="G6136" i="1"/>
  <c r="H6136" i="1"/>
  <c r="I6136" i="1"/>
  <c r="J6136" i="1"/>
  <c r="K6136" i="1"/>
  <c r="L6136" i="1"/>
  <c r="A6137" i="1"/>
  <c r="B6137" i="1"/>
  <c r="C6137" i="1"/>
  <c r="D6137" i="1"/>
  <c r="E6137" i="1"/>
  <c r="F6137" i="1"/>
  <c r="G6137" i="1"/>
  <c r="H6137" i="1"/>
  <c r="I6137" i="1"/>
  <c r="J6137" i="1"/>
  <c r="K6137" i="1"/>
  <c r="L6137" i="1"/>
  <c r="A6138" i="1"/>
  <c r="B6138" i="1"/>
  <c r="C6138" i="1"/>
  <c r="D6138" i="1"/>
  <c r="E6138" i="1"/>
  <c r="F6138" i="1"/>
  <c r="G6138" i="1"/>
  <c r="H6138" i="1"/>
  <c r="I6138" i="1"/>
  <c r="J6138" i="1"/>
  <c r="K6138" i="1"/>
  <c r="L6138" i="1"/>
  <c r="A6139" i="1"/>
  <c r="B6139" i="1"/>
  <c r="C6139" i="1"/>
  <c r="D6139" i="1"/>
  <c r="E6139" i="1"/>
  <c r="F6139" i="1"/>
  <c r="G6139" i="1"/>
  <c r="H6139" i="1"/>
  <c r="I6139" i="1"/>
  <c r="J6139" i="1"/>
  <c r="K6139" i="1"/>
  <c r="L6139" i="1"/>
  <c r="A6140" i="1"/>
  <c r="B6140" i="1"/>
  <c r="C6140" i="1"/>
  <c r="D6140" i="1"/>
  <c r="E6140" i="1"/>
  <c r="F6140" i="1"/>
  <c r="G6140" i="1"/>
  <c r="H6140" i="1"/>
  <c r="I6140" i="1"/>
  <c r="J6140" i="1"/>
  <c r="K6140" i="1"/>
  <c r="L6140" i="1"/>
  <c r="A6141" i="1"/>
  <c r="B6141" i="1"/>
  <c r="C6141" i="1"/>
  <c r="D6141" i="1"/>
  <c r="E6141" i="1"/>
  <c r="F6141" i="1"/>
  <c r="G6141" i="1"/>
  <c r="H6141" i="1"/>
  <c r="I6141" i="1"/>
  <c r="J6141" i="1"/>
  <c r="K6141" i="1"/>
  <c r="L6141" i="1"/>
  <c r="A6142" i="1"/>
  <c r="B6142" i="1"/>
  <c r="C6142" i="1"/>
  <c r="D6142" i="1"/>
  <c r="E6142" i="1"/>
  <c r="F6142" i="1"/>
  <c r="G6142" i="1"/>
  <c r="H6142" i="1"/>
  <c r="I6142" i="1"/>
  <c r="J6142" i="1"/>
  <c r="K6142" i="1"/>
  <c r="L6142" i="1"/>
  <c r="A6143" i="1"/>
  <c r="B6143" i="1"/>
  <c r="C6143" i="1"/>
  <c r="D6143" i="1"/>
  <c r="E6143" i="1"/>
  <c r="F6143" i="1"/>
  <c r="G6143" i="1"/>
  <c r="H6143" i="1"/>
  <c r="I6143" i="1"/>
  <c r="J6143" i="1"/>
  <c r="K6143" i="1"/>
  <c r="L6143" i="1"/>
  <c r="A6144" i="1"/>
  <c r="B6144" i="1"/>
  <c r="C6144" i="1"/>
  <c r="D6144" i="1"/>
  <c r="E6144" i="1"/>
  <c r="F6144" i="1"/>
  <c r="G6144" i="1"/>
  <c r="H6144" i="1"/>
  <c r="I6144" i="1"/>
  <c r="J6144" i="1"/>
  <c r="K6144" i="1"/>
  <c r="L6144" i="1"/>
  <c r="A6145" i="1"/>
  <c r="B6145" i="1"/>
  <c r="C6145" i="1"/>
  <c r="D6145" i="1"/>
  <c r="E6145" i="1"/>
  <c r="F6145" i="1"/>
  <c r="G6145" i="1"/>
  <c r="H6145" i="1"/>
  <c r="I6145" i="1"/>
  <c r="J6145" i="1"/>
  <c r="K6145" i="1"/>
  <c r="L6145" i="1"/>
  <c r="A6146" i="1"/>
  <c r="B6146" i="1"/>
  <c r="C6146" i="1"/>
  <c r="D6146" i="1"/>
  <c r="E6146" i="1"/>
  <c r="F6146" i="1"/>
  <c r="G6146" i="1"/>
  <c r="H6146" i="1"/>
  <c r="I6146" i="1"/>
  <c r="J6146" i="1"/>
  <c r="K6146" i="1"/>
  <c r="L6146" i="1"/>
  <c r="A6147" i="1"/>
  <c r="B6147" i="1"/>
  <c r="C6147" i="1"/>
  <c r="D6147" i="1"/>
  <c r="E6147" i="1"/>
  <c r="F6147" i="1"/>
  <c r="G6147" i="1"/>
  <c r="H6147" i="1"/>
  <c r="I6147" i="1"/>
  <c r="J6147" i="1"/>
  <c r="K6147" i="1"/>
  <c r="L6147" i="1"/>
  <c r="A6148" i="1"/>
  <c r="B6148" i="1"/>
  <c r="C6148" i="1"/>
  <c r="D6148" i="1"/>
  <c r="E6148" i="1"/>
  <c r="F6148" i="1"/>
  <c r="G6148" i="1"/>
  <c r="H6148" i="1"/>
  <c r="I6148" i="1"/>
  <c r="J6148" i="1"/>
  <c r="K6148" i="1"/>
  <c r="L6148" i="1"/>
  <c r="A6149" i="1"/>
  <c r="B6149" i="1"/>
  <c r="C6149" i="1"/>
  <c r="D6149" i="1"/>
  <c r="E6149" i="1"/>
  <c r="F6149" i="1"/>
  <c r="G6149" i="1"/>
  <c r="H6149" i="1"/>
  <c r="I6149" i="1"/>
  <c r="J6149" i="1"/>
  <c r="K6149" i="1"/>
  <c r="L6149" i="1"/>
  <c r="A6150" i="1"/>
  <c r="B6150" i="1"/>
  <c r="C6150" i="1"/>
  <c r="D6150" i="1"/>
  <c r="E6150" i="1"/>
  <c r="F6150" i="1"/>
  <c r="G6150" i="1"/>
  <c r="H6150" i="1"/>
  <c r="I6150" i="1"/>
  <c r="J6150" i="1"/>
  <c r="K6150" i="1"/>
  <c r="L6150" i="1"/>
  <c r="A6151" i="1"/>
  <c r="B6151" i="1"/>
  <c r="C6151" i="1"/>
  <c r="D6151" i="1"/>
  <c r="E6151" i="1"/>
  <c r="F6151" i="1"/>
  <c r="G6151" i="1"/>
  <c r="H6151" i="1"/>
  <c r="I6151" i="1"/>
  <c r="J6151" i="1"/>
  <c r="K6151" i="1"/>
  <c r="L6151" i="1"/>
  <c r="A6152" i="1"/>
  <c r="B6152" i="1"/>
  <c r="C6152" i="1"/>
  <c r="D6152" i="1"/>
  <c r="E6152" i="1"/>
  <c r="F6152" i="1"/>
  <c r="G6152" i="1"/>
  <c r="H6152" i="1"/>
  <c r="I6152" i="1"/>
  <c r="J6152" i="1"/>
  <c r="K6152" i="1"/>
  <c r="L6152" i="1"/>
  <c r="A6153" i="1"/>
  <c r="B6153" i="1"/>
  <c r="C6153" i="1"/>
  <c r="D6153" i="1"/>
  <c r="E6153" i="1"/>
  <c r="F6153" i="1"/>
  <c r="G6153" i="1"/>
  <c r="H6153" i="1"/>
  <c r="I6153" i="1"/>
  <c r="J6153" i="1"/>
  <c r="K6153" i="1"/>
  <c r="L6153" i="1"/>
  <c r="A6154" i="1"/>
  <c r="B6154" i="1"/>
  <c r="C6154" i="1"/>
  <c r="D6154" i="1"/>
  <c r="E6154" i="1"/>
  <c r="F6154" i="1"/>
  <c r="G6154" i="1"/>
  <c r="H6154" i="1"/>
  <c r="I6154" i="1"/>
  <c r="J6154" i="1"/>
  <c r="K6154" i="1"/>
  <c r="L6154" i="1"/>
  <c r="A6155" i="1"/>
  <c r="B6155" i="1"/>
  <c r="C6155" i="1"/>
  <c r="D6155" i="1"/>
  <c r="E6155" i="1"/>
  <c r="F6155" i="1"/>
  <c r="G6155" i="1"/>
  <c r="H6155" i="1"/>
  <c r="I6155" i="1"/>
  <c r="J6155" i="1"/>
  <c r="K6155" i="1"/>
  <c r="L6155" i="1"/>
  <c r="A6156" i="1"/>
  <c r="B6156" i="1"/>
  <c r="C6156" i="1"/>
  <c r="D6156" i="1"/>
  <c r="E6156" i="1"/>
  <c r="F6156" i="1"/>
  <c r="G6156" i="1"/>
  <c r="H6156" i="1"/>
  <c r="I6156" i="1"/>
  <c r="J6156" i="1"/>
  <c r="K6156" i="1"/>
  <c r="L6156" i="1"/>
  <c r="A6157" i="1"/>
  <c r="B6157" i="1"/>
  <c r="C6157" i="1"/>
  <c r="D6157" i="1"/>
  <c r="E6157" i="1"/>
  <c r="F6157" i="1"/>
  <c r="G6157" i="1"/>
  <c r="H6157" i="1"/>
  <c r="I6157" i="1"/>
  <c r="J6157" i="1"/>
  <c r="K6157" i="1"/>
  <c r="L6157" i="1"/>
  <c r="A6158" i="1"/>
  <c r="B6158" i="1"/>
  <c r="C6158" i="1"/>
  <c r="D6158" i="1"/>
  <c r="E6158" i="1"/>
  <c r="F6158" i="1"/>
  <c r="G6158" i="1"/>
  <c r="H6158" i="1"/>
  <c r="I6158" i="1"/>
  <c r="J6158" i="1"/>
  <c r="K6158" i="1"/>
  <c r="L6158" i="1"/>
  <c r="A6159" i="1"/>
  <c r="B6159" i="1"/>
  <c r="C6159" i="1"/>
  <c r="D6159" i="1"/>
  <c r="E6159" i="1"/>
  <c r="F6159" i="1"/>
  <c r="G6159" i="1"/>
  <c r="H6159" i="1"/>
  <c r="I6159" i="1"/>
  <c r="J6159" i="1"/>
  <c r="K6159" i="1"/>
  <c r="L6159" i="1"/>
  <c r="A6160" i="1"/>
  <c r="B6160" i="1"/>
  <c r="C6160" i="1"/>
  <c r="D6160" i="1"/>
  <c r="E6160" i="1"/>
  <c r="F6160" i="1"/>
  <c r="G6160" i="1"/>
  <c r="H6160" i="1"/>
  <c r="I6160" i="1"/>
  <c r="J6160" i="1"/>
  <c r="K6160" i="1"/>
  <c r="L6160" i="1"/>
  <c r="A6161" i="1"/>
  <c r="B6161" i="1"/>
  <c r="C6161" i="1"/>
  <c r="D6161" i="1"/>
  <c r="E6161" i="1"/>
  <c r="F6161" i="1"/>
  <c r="G6161" i="1"/>
  <c r="H6161" i="1"/>
  <c r="I6161" i="1"/>
  <c r="J6161" i="1"/>
  <c r="K6161" i="1"/>
  <c r="L6161" i="1"/>
  <c r="A6162" i="1"/>
  <c r="B6162" i="1"/>
  <c r="C6162" i="1"/>
  <c r="D6162" i="1"/>
  <c r="E6162" i="1"/>
  <c r="F6162" i="1"/>
  <c r="G6162" i="1"/>
  <c r="H6162" i="1"/>
  <c r="I6162" i="1"/>
  <c r="J6162" i="1"/>
  <c r="K6162" i="1"/>
  <c r="L6162" i="1"/>
  <c r="A6163" i="1"/>
  <c r="B6163" i="1"/>
  <c r="C6163" i="1"/>
  <c r="D6163" i="1"/>
  <c r="E6163" i="1"/>
  <c r="F6163" i="1"/>
  <c r="G6163" i="1"/>
  <c r="H6163" i="1"/>
  <c r="I6163" i="1"/>
  <c r="J6163" i="1"/>
  <c r="K6163" i="1"/>
  <c r="L6163" i="1"/>
  <c r="A6164" i="1"/>
  <c r="B6164" i="1"/>
  <c r="C6164" i="1"/>
  <c r="D6164" i="1"/>
  <c r="E6164" i="1"/>
  <c r="F6164" i="1"/>
  <c r="G6164" i="1"/>
  <c r="H6164" i="1"/>
  <c r="I6164" i="1"/>
  <c r="J6164" i="1"/>
  <c r="K6164" i="1"/>
  <c r="L6164" i="1"/>
  <c r="A6165" i="1"/>
  <c r="B6165" i="1"/>
  <c r="C6165" i="1"/>
  <c r="D6165" i="1"/>
  <c r="E6165" i="1"/>
  <c r="F6165" i="1"/>
  <c r="G6165" i="1"/>
  <c r="H6165" i="1"/>
  <c r="I6165" i="1"/>
  <c r="J6165" i="1"/>
  <c r="K6165" i="1"/>
  <c r="L6165" i="1"/>
  <c r="A6166" i="1"/>
  <c r="B6166" i="1"/>
  <c r="C6166" i="1"/>
  <c r="D6166" i="1"/>
  <c r="E6166" i="1"/>
  <c r="F6166" i="1"/>
  <c r="G6166" i="1"/>
  <c r="H6166" i="1"/>
  <c r="I6166" i="1"/>
  <c r="J6166" i="1"/>
  <c r="K6166" i="1"/>
  <c r="L6166" i="1"/>
  <c r="A6167" i="1"/>
  <c r="B6167" i="1"/>
  <c r="C6167" i="1"/>
  <c r="D6167" i="1"/>
  <c r="E6167" i="1"/>
  <c r="F6167" i="1"/>
  <c r="G6167" i="1"/>
  <c r="H6167" i="1"/>
  <c r="I6167" i="1"/>
  <c r="J6167" i="1"/>
  <c r="K6167" i="1"/>
  <c r="L6167" i="1"/>
  <c r="A6168" i="1"/>
  <c r="B6168" i="1"/>
  <c r="C6168" i="1"/>
  <c r="D6168" i="1"/>
  <c r="E6168" i="1"/>
  <c r="F6168" i="1"/>
  <c r="G6168" i="1"/>
  <c r="H6168" i="1"/>
  <c r="I6168" i="1"/>
  <c r="J6168" i="1"/>
  <c r="K6168" i="1"/>
  <c r="L6168" i="1"/>
  <c r="A6169" i="1"/>
  <c r="B6169" i="1"/>
  <c r="C6169" i="1"/>
  <c r="D6169" i="1"/>
  <c r="E6169" i="1"/>
  <c r="F6169" i="1"/>
  <c r="G6169" i="1"/>
  <c r="H6169" i="1"/>
  <c r="I6169" i="1"/>
  <c r="J6169" i="1"/>
  <c r="K6169" i="1"/>
  <c r="L6169" i="1"/>
  <c r="A6170" i="1"/>
  <c r="B6170" i="1"/>
  <c r="C6170" i="1"/>
  <c r="D6170" i="1"/>
  <c r="E6170" i="1"/>
  <c r="F6170" i="1"/>
  <c r="G6170" i="1"/>
  <c r="H6170" i="1"/>
  <c r="I6170" i="1"/>
  <c r="J6170" i="1"/>
  <c r="K6170" i="1"/>
  <c r="L6170" i="1"/>
  <c r="A6171" i="1"/>
  <c r="B6171" i="1"/>
  <c r="C6171" i="1"/>
  <c r="D6171" i="1"/>
  <c r="E6171" i="1"/>
  <c r="F6171" i="1"/>
  <c r="G6171" i="1"/>
  <c r="H6171" i="1"/>
  <c r="I6171" i="1"/>
  <c r="J6171" i="1"/>
  <c r="K6171" i="1"/>
  <c r="L6171" i="1"/>
  <c r="A6172" i="1"/>
  <c r="B6172" i="1"/>
  <c r="C6172" i="1"/>
  <c r="D6172" i="1"/>
  <c r="E6172" i="1"/>
  <c r="F6172" i="1"/>
  <c r="G6172" i="1"/>
  <c r="H6172" i="1"/>
  <c r="I6172" i="1"/>
  <c r="J6172" i="1"/>
  <c r="K6172" i="1"/>
  <c r="L6172" i="1"/>
  <c r="A6173" i="1"/>
  <c r="B6173" i="1"/>
  <c r="C6173" i="1"/>
  <c r="D6173" i="1"/>
  <c r="E6173" i="1"/>
  <c r="F6173" i="1"/>
  <c r="G6173" i="1"/>
  <c r="H6173" i="1"/>
  <c r="I6173" i="1"/>
  <c r="J6173" i="1"/>
  <c r="K6173" i="1"/>
  <c r="L6173" i="1"/>
  <c r="A6174" i="1"/>
  <c r="B6174" i="1"/>
  <c r="C6174" i="1"/>
  <c r="D6174" i="1"/>
  <c r="E6174" i="1"/>
  <c r="F6174" i="1"/>
  <c r="G6174" i="1"/>
  <c r="H6174" i="1"/>
  <c r="I6174" i="1"/>
  <c r="J6174" i="1"/>
  <c r="K6174" i="1"/>
  <c r="L6174" i="1"/>
  <c r="A6175" i="1"/>
  <c r="B6175" i="1"/>
  <c r="C6175" i="1"/>
  <c r="D6175" i="1"/>
  <c r="E6175" i="1"/>
  <c r="F6175" i="1"/>
  <c r="G6175" i="1"/>
  <c r="H6175" i="1"/>
  <c r="I6175" i="1"/>
  <c r="J6175" i="1"/>
  <c r="K6175" i="1"/>
  <c r="L6175" i="1"/>
  <c r="A6176" i="1"/>
  <c r="B6176" i="1"/>
  <c r="C6176" i="1"/>
  <c r="D6176" i="1"/>
  <c r="E6176" i="1"/>
  <c r="F6176" i="1"/>
  <c r="G6176" i="1"/>
  <c r="H6176" i="1"/>
  <c r="I6176" i="1"/>
  <c r="J6176" i="1"/>
  <c r="K6176" i="1"/>
  <c r="L6176" i="1"/>
  <c r="A6177" i="1"/>
  <c r="B6177" i="1"/>
  <c r="C6177" i="1"/>
  <c r="D6177" i="1"/>
  <c r="E6177" i="1"/>
  <c r="F6177" i="1"/>
  <c r="G6177" i="1"/>
  <c r="H6177" i="1"/>
  <c r="I6177" i="1"/>
  <c r="J6177" i="1"/>
  <c r="K6177" i="1"/>
  <c r="L6177" i="1"/>
  <c r="A6178" i="1"/>
  <c r="B6178" i="1"/>
  <c r="C6178" i="1"/>
  <c r="D6178" i="1"/>
  <c r="E6178" i="1"/>
  <c r="F6178" i="1"/>
  <c r="G6178" i="1"/>
  <c r="H6178" i="1"/>
  <c r="I6178" i="1"/>
  <c r="J6178" i="1"/>
  <c r="K6178" i="1"/>
  <c r="L6178" i="1"/>
  <c r="A6179" i="1"/>
  <c r="B6179" i="1"/>
  <c r="C6179" i="1"/>
  <c r="D6179" i="1"/>
  <c r="E6179" i="1"/>
  <c r="F6179" i="1"/>
  <c r="G6179" i="1"/>
  <c r="H6179" i="1"/>
  <c r="I6179" i="1"/>
  <c r="J6179" i="1"/>
  <c r="K6179" i="1"/>
  <c r="L6179" i="1"/>
  <c r="A6180" i="1"/>
  <c r="B6180" i="1"/>
  <c r="C6180" i="1"/>
  <c r="D6180" i="1"/>
  <c r="E6180" i="1"/>
  <c r="F6180" i="1"/>
  <c r="G6180" i="1"/>
  <c r="H6180" i="1"/>
  <c r="I6180" i="1"/>
  <c r="J6180" i="1"/>
  <c r="K6180" i="1"/>
  <c r="L6180" i="1"/>
  <c r="A6181" i="1"/>
  <c r="B6181" i="1"/>
  <c r="C6181" i="1"/>
  <c r="D6181" i="1"/>
  <c r="E6181" i="1"/>
  <c r="F6181" i="1"/>
  <c r="G6181" i="1"/>
  <c r="H6181" i="1"/>
  <c r="I6181" i="1"/>
  <c r="J6181" i="1"/>
  <c r="K6181" i="1"/>
  <c r="L6181" i="1"/>
  <c r="A6182" i="1"/>
  <c r="B6182" i="1"/>
  <c r="C6182" i="1"/>
  <c r="D6182" i="1"/>
  <c r="E6182" i="1"/>
  <c r="F6182" i="1"/>
  <c r="G6182" i="1"/>
  <c r="H6182" i="1"/>
  <c r="I6182" i="1"/>
  <c r="J6182" i="1"/>
  <c r="K6182" i="1"/>
  <c r="L6182" i="1"/>
  <c r="A6183" i="1"/>
  <c r="B6183" i="1"/>
  <c r="C6183" i="1"/>
  <c r="D6183" i="1"/>
  <c r="E6183" i="1"/>
  <c r="F6183" i="1"/>
  <c r="G6183" i="1"/>
  <c r="H6183" i="1"/>
  <c r="I6183" i="1"/>
  <c r="J6183" i="1"/>
  <c r="K6183" i="1"/>
  <c r="L6183" i="1"/>
  <c r="A6184" i="1"/>
  <c r="B6184" i="1"/>
  <c r="C6184" i="1"/>
  <c r="D6184" i="1"/>
  <c r="E6184" i="1"/>
  <c r="F6184" i="1"/>
  <c r="G6184" i="1"/>
  <c r="H6184" i="1"/>
  <c r="I6184" i="1"/>
  <c r="J6184" i="1"/>
  <c r="K6184" i="1"/>
  <c r="L6184" i="1"/>
  <c r="A6185" i="1"/>
  <c r="B6185" i="1"/>
  <c r="C6185" i="1"/>
  <c r="D6185" i="1"/>
  <c r="E6185" i="1"/>
  <c r="F6185" i="1"/>
  <c r="G6185" i="1"/>
  <c r="H6185" i="1"/>
  <c r="I6185" i="1"/>
  <c r="J6185" i="1"/>
  <c r="K6185" i="1"/>
  <c r="L6185" i="1"/>
  <c r="A6186" i="1"/>
  <c r="B6186" i="1"/>
  <c r="C6186" i="1"/>
  <c r="D6186" i="1"/>
  <c r="E6186" i="1"/>
  <c r="F6186" i="1"/>
  <c r="G6186" i="1"/>
  <c r="H6186" i="1"/>
  <c r="I6186" i="1"/>
  <c r="J6186" i="1"/>
  <c r="K6186" i="1"/>
  <c r="L6186" i="1"/>
  <c r="A6187" i="1"/>
  <c r="B6187" i="1"/>
  <c r="C6187" i="1"/>
  <c r="D6187" i="1"/>
  <c r="E6187" i="1"/>
  <c r="F6187" i="1"/>
  <c r="G6187" i="1"/>
  <c r="H6187" i="1"/>
  <c r="I6187" i="1"/>
  <c r="J6187" i="1"/>
  <c r="K6187" i="1"/>
  <c r="L6187" i="1"/>
  <c r="A6188" i="1"/>
  <c r="B6188" i="1"/>
  <c r="C6188" i="1"/>
  <c r="D6188" i="1"/>
  <c r="E6188" i="1"/>
  <c r="F6188" i="1"/>
  <c r="G6188" i="1"/>
  <c r="H6188" i="1"/>
  <c r="I6188" i="1"/>
  <c r="J6188" i="1"/>
  <c r="K6188" i="1"/>
  <c r="L6188" i="1"/>
  <c r="A6189" i="1"/>
  <c r="B6189" i="1"/>
  <c r="C6189" i="1"/>
  <c r="D6189" i="1"/>
  <c r="E6189" i="1"/>
  <c r="F6189" i="1"/>
  <c r="G6189" i="1"/>
  <c r="H6189" i="1"/>
  <c r="I6189" i="1"/>
  <c r="J6189" i="1"/>
  <c r="K6189" i="1"/>
  <c r="L6189" i="1"/>
  <c r="A6190" i="1"/>
  <c r="B6190" i="1"/>
  <c r="C6190" i="1"/>
  <c r="D6190" i="1"/>
  <c r="E6190" i="1"/>
  <c r="F6190" i="1"/>
  <c r="G6190" i="1"/>
  <c r="H6190" i="1"/>
  <c r="I6190" i="1"/>
  <c r="J6190" i="1"/>
  <c r="K6190" i="1"/>
  <c r="L6190" i="1"/>
  <c r="A6191" i="1"/>
  <c r="B6191" i="1"/>
  <c r="C6191" i="1"/>
  <c r="D6191" i="1"/>
  <c r="E6191" i="1"/>
  <c r="F6191" i="1"/>
  <c r="G6191" i="1"/>
  <c r="H6191" i="1"/>
  <c r="I6191" i="1"/>
  <c r="J6191" i="1"/>
  <c r="K6191" i="1"/>
  <c r="L6191" i="1"/>
  <c r="A6192" i="1"/>
  <c r="B6192" i="1"/>
  <c r="C6192" i="1"/>
  <c r="D6192" i="1"/>
  <c r="E6192" i="1"/>
  <c r="F6192" i="1"/>
  <c r="G6192" i="1"/>
  <c r="H6192" i="1"/>
  <c r="I6192" i="1"/>
  <c r="J6192" i="1"/>
  <c r="K6192" i="1"/>
  <c r="L6192" i="1"/>
  <c r="A6193" i="1"/>
  <c r="B6193" i="1"/>
  <c r="C6193" i="1"/>
  <c r="D6193" i="1"/>
  <c r="E6193" i="1"/>
  <c r="F6193" i="1"/>
  <c r="G6193" i="1"/>
  <c r="H6193" i="1"/>
  <c r="I6193" i="1"/>
  <c r="J6193" i="1"/>
  <c r="K6193" i="1"/>
  <c r="L6193" i="1"/>
  <c r="A6194" i="1"/>
  <c r="B6194" i="1"/>
  <c r="C6194" i="1"/>
  <c r="D6194" i="1"/>
  <c r="E6194" i="1"/>
  <c r="F6194" i="1"/>
  <c r="G6194" i="1"/>
  <c r="H6194" i="1"/>
  <c r="I6194" i="1"/>
  <c r="J6194" i="1"/>
  <c r="K6194" i="1"/>
  <c r="L6194" i="1"/>
  <c r="A6195" i="1"/>
  <c r="B6195" i="1"/>
  <c r="C6195" i="1"/>
  <c r="D6195" i="1"/>
  <c r="E6195" i="1"/>
  <c r="F6195" i="1"/>
  <c r="G6195" i="1"/>
  <c r="H6195" i="1"/>
  <c r="I6195" i="1"/>
  <c r="J6195" i="1"/>
  <c r="K6195" i="1"/>
  <c r="L6195" i="1"/>
  <c r="A6196" i="1"/>
  <c r="B6196" i="1"/>
  <c r="C6196" i="1"/>
  <c r="D6196" i="1"/>
  <c r="E6196" i="1"/>
  <c r="F6196" i="1"/>
  <c r="G6196" i="1"/>
  <c r="H6196" i="1"/>
  <c r="I6196" i="1"/>
  <c r="J6196" i="1"/>
  <c r="K6196" i="1"/>
  <c r="L6196" i="1"/>
  <c r="A6197" i="1"/>
  <c r="B6197" i="1"/>
  <c r="C6197" i="1"/>
  <c r="D6197" i="1"/>
  <c r="E6197" i="1"/>
  <c r="F6197" i="1"/>
  <c r="G6197" i="1"/>
  <c r="H6197" i="1"/>
  <c r="I6197" i="1"/>
  <c r="J6197" i="1"/>
  <c r="K6197" i="1"/>
  <c r="L6197" i="1"/>
  <c r="A6198" i="1"/>
  <c r="B6198" i="1"/>
  <c r="C6198" i="1"/>
  <c r="D6198" i="1"/>
  <c r="E6198" i="1"/>
  <c r="F6198" i="1"/>
  <c r="G6198" i="1"/>
  <c r="H6198" i="1"/>
  <c r="I6198" i="1"/>
  <c r="J6198" i="1"/>
  <c r="K6198" i="1"/>
  <c r="L6198" i="1"/>
  <c r="A6199" i="1"/>
  <c r="B6199" i="1"/>
  <c r="C6199" i="1"/>
  <c r="D6199" i="1"/>
  <c r="E6199" i="1"/>
  <c r="F6199" i="1"/>
  <c r="G6199" i="1"/>
  <c r="H6199" i="1"/>
  <c r="I6199" i="1"/>
  <c r="J6199" i="1"/>
  <c r="K6199" i="1"/>
  <c r="L6199" i="1"/>
  <c r="A6200" i="1"/>
  <c r="B6200" i="1"/>
  <c r="C6200" i="1"/>
  <c r="D6200" i="1"/>
  <c r="E6200" i="1"/>
  <c r="F6200" i="1"/>
  <c r="G6200" i="1"/>
  <c r="H6200" i="1"/>
  <c r="I6200" i="1"/>
  <c r="J6200" i="1"/>
  <c r="K6200" i="1"/>
  <c r="L6200" i="1"/>
  <c r="A6201" i="1"/>
  <c r="B6201" i="1"/>
  <c r="C6201" i="1"/>
  <c r="D6201" i="1"/>
  <c r="E6201" i="1"/>
  <c r="F6201" i="1"/>
  <c r="G6201" i="1"/>
  <c r="H6201" i="1"/>
  <c r="I6201" i="1"/>
  <c r="J6201" i="1"/>
  <c r="K6201" i="1"/>
  <c r="L6201" i="1"/>
  <c r="A6202" i="1"/>
  <c r="B6202" i="1"/>
  <c r="C6202" i="1"/>
  <c r="D6202" i="1"/>
  <c r="E6202" i="1"/>
  <c r="F6202" i="1"/>
  <c r="G6202" i="1"/>
  <c r="H6202" i="1"/>
  <c r="I6202" i="1"/>
  <c r="J6202" i="1"/>
  <c r="K6202" i="1"/>
  <c r="L6202" i="1"/>
  <c r="A6203" i="1"/>
  <c r="B6203" i="1"/>
  <c r="C6203" i="1"/>
  <c r="D6203" i="1"/>
  <c r="E6203" i="1"/>
  <c r="F6203" i="1"/>
  <c r="G6203" i="1"/>
  <c r="H6203" i="1"/>
  <c r="I6203" i="1"/>
  <c r="J6203" i="1"/>
  <c r="K6203" i="1"/>
  <c r="L6203" i="1"/>
  <c r="A6204" i="1"/>
  <c r="B6204" i="1"/>
  <c r="C6204" i="1"/>
  <c r="D6204" i="1"/>
  <c r="E6204" i="1"/>
  <c r="F6204" i="1"/>
  <c r="G6204" i="1"/>
  <c r="H6204" i="1"/>
  <c r="I6204" i="1"/>
  <c r="J6204" i="1"/>
  <c r="K6204" i="1"/>
  <c r="L6204" i="1"/>
  <c r="A6205" i="1"/>
  <c r="B6205" i="1"/>
  <c r="C6205" i="1"/>
  <c r="D6205" i="1"/>
  <c r="E6205" i="1"/>
  <c r="F6205" i="1"/>
  <c r="G6205" i="1"/>
  <c r="H6205" i="1"/>
  <c r="I6205" i="1"/>
  <c r="J6205" i="1"/>
  <c r="K6205" i="1"/>
  <c r="L6205" i="1"/>
  <c r="A6206" i="1"/>
  <c r="B6206" i="1"/>
  <c r="C6206" i="1"/>
  <c r="D6206" i="1"/>
  <c r="E6206" i="1"/>
  <c r="F6206" i="1"/>
  <c r="G6206" i="1"/>
  <c r="H6206" i="1"/>
  <c r="I6206" i="1"/>
  <c r="J6206" i="1"/>
  <c r="K6206" i="1"/>
  <c r="L6206" i="1"/>
  <c r="A6207" i="1"/>
  <c r="B6207" i="1"/>
  <c r="C6207" i="1"/>
  <c r="D6207" i="1"/>
  <c r="E6207" i="1"/>
  <c r="F6207" i="1"/>
  <c r="G6207" i="1"/>
  <c r="H6207" i="1"/>
  <c r="I6207" i="1"/>
  <c r="J6207" i="1"/>
  <c r="K6207" i="1"/>
  <c r="L6207" i="1"/>
  <c r="A6208" i="1"/>
  <c r="B6208" i="1"/>
  <c r="C6208" i="1"/>
  <c r="D6208" i="1"/>
  <c r="E6208" i="1"/>
  <c r="F6208" i="1"/>
  <c r="G6208" i="1"/>
  <c r="H6208" i="1"/>
  <c r="I6208" i="1"/>
  <c r="J6208" i="1"/>
  <c r="K6208" i="1"/>
  <c r="L6208" i="1"/>
  <c r="A6209" i="1"/>
  <c r="B6209" i="1"/>
  <c r="C6209" i="1"/>
  <c r="D6209" i="1"/>
  <c r="E6209" i="1"/>
  <c r="F6209" i="1"/>
  <c r="G6209" i="1"/>
  <c r="H6209" i="1"/>
  <c r="I6209" i="1"/>
  <c r="J6209" i="1"/>
  <c r="K6209" i="1"/>
  <c r="L6209" i="1"/>
  <c r="A6210" i="1"/>
  <c r="B6210" i="1"/>
  <c r="C6210" i="1"/>
  <c r="D6210" i="1"/>
  <c r="E6210" i="1"/>
  <c r="F6210" i="1"/>
  <c r="G6210" i="1"/>
  <c r="H6210" i="1"/>
  <c r="I6210" i="1"/>
  <c r="J6210" i="1"/>
  <c r="K6210" i="1"/>
  <c r="L6210" i="1"/>
  <c r="A6211" i="1"/>
  <c r="B6211" i="1"/>
  <c r="C6211" i="1"/>
  <c r="D6211" i="1"/>
  <c r="E6211" i="1"/>
  <c r="F6211" i="1"/>
  <c r="G6211" i="1"/>
  <c r="H6211" i="1"/>
  <c r="I6211" i="1"/>
  <c r="J6211" i="1"/>
  <c r="K6211" i="1"/>
  <c r="L6211" i="1"/>
  <c r="A6212" i="1"/>
  <c r="B6212" i="1"/>
  <c r="C6212" i="1"/>
  <c r="D6212" i="1"/>
  <c r="E6212" i="1"/>
  <c r="F6212" i="1"/>
  <c r="G6212" i="1"/>
  <c r="H6212" i="1"/>
  <c r="I6212" i="1"/>
  <c r="J6212" i="1"/>
  <c r="K6212" i="1"/>
  <c r="L6212" i="1"/>
  <c r="A6213" i="1"/>
  <c r="B6213" i="1"/>
  <c r="C6213" i="1"/>
  <c r="D6213" i="1"/>
  <c r="E6213" i="1"/>
  <c r="F6213" i="1"/>
  <c r="G6213" i="1"/>
  <c r="H6213" i="1"/>
  <c r="I6213" i="1"/>
  <c r="J6213" i="1"/>
  <c r="K6213" i="1"/>
  <c r="L6213" i="1"/>
  <c r="A6214" i="1"/>
  <c r="B6214" i="1"/>
  <c r="C6214" i="1"/>
  <c r="D6214" i="1"/>
  <c r="E6214" i="1"/>
  <c r="F6214" i="1"/>
  <c r="G6214" i="1"/>
  <c r="H6214" i="1"/>
  <c r="I6214" i="1"/>
  <c r="J6214" i="1"/>
  <c r="K6214" i="1"/>
  <c r="L6214" i="1"/>
  <c r="A6215" i="1"/>
  <c r="B6215" i="1"/>
  <c r="C6215" i="1"/>
  <c r="D6215" i="1"/>
  <c r="E6215" i="1"/>
  <c r="F6215" i="1"/>
  <c r="G6215" i="1"/>
  <c r="H6215" i="1"/>
  <c r="I6215" i="1"/>
  <c r="J6215" i="1"/>
  <c r="K6215" i="1"/>
  <c r="L6215" i="1"/>
  <c r="A6216" i="1"/>
  <c r="B6216" i="1"/>
  <c r="C6216" i="1"/>
  <c r="D6216" i="1"/>
  <c r="E6216" i="1"/>
  <c r="F6216" i="1"/>
  <c r="G6216" i="1"/>
  <c r="H6216" i="1"/>
  <c r="I6216" i="1"/>
  <c r="J6216" i="1"/>
  <c r="K6216" i="1"/>
  <c r="L6216" i="1"/>
  <c r="A6217" i="1"/>
  <c r="B6217" i="1"/>
  <c r="C6217" i="1"/>
  <c r="D6217" i="1"/>
  <c r="E6217" i="1"/>
  <c r="F6217" i="1"/>
  <c r="G6217" i="1"/>
  <c r="H6217" i="1"/>
  <c r="I6217" i="1"/>
  <c r="J6217" i="1"/>
  <c r="K6217" i="1"/>
  <c r="L6217" i="1"/>
  <c r="A6218" i="1"/>
  <c r="B6218" i="1"/>
  <c r="C6218" i="1"/>
  <c r="D6218" i="1"/>
  <c r="E6218" i="1"/>
  <c r="F6218" i="1"/>
  <c r="G6218" i="1"/>
  <c r="H6218" i="1"/>
  <c r="I6218" i="1"/>
  <c r="J6218" i="1"/>
  <c r="K6218" i="1"/>
  <c r="L6218" i="1"/>
  <c r="A6219" i="1"/>
  <c r="B6219" i="1"/>
  <c r="C6219" i="1"/>
  <c r="D6219" i="1"/>
  <c r="E6219" i="1"/>
  <c r="F6219" i="1"/>
  <c r="G6219" i="1"/>
  <c r="H6219" i="1"/>
  <c r="I6219" i="1"/>
  <c r="J6219" i="1"/>
  <c r="K6219" i="1"/>
  <c r="L6219" i="1"/>
  <c r="A6220" i="1"/>
  <c r="B6220" i="1"/>
  <c r="C6220" i="1"/>
  <c r="D6220" i="1"/>
  <c r="E6220" i="1"/>
  <c r="F6220" i="1"/>
  <c r="G6220" i="1"/>
  <c r="H6220" i="1"/>
  <c r="I6220" i="1"/>
  <c r="J6220" i="1"/>
  <c r="K6220" i="1"/>
  <c r="L6220" i="1"/>
  <c r="A6221" i="1"/>
  <c r="B6221" i="1"/>
  <c r="C6221" i="1"/>
  <c r="D6221" i="1"/>
  <c r="E6221" i="1"/>
  <c r="F6221" i="1"/>
  <c r="G6221" i="1"/>
  <c r="H6221" i="1"/>
  <c r="I6221" i="1"/>
  <c r="J6221" i="1"/>
  <c r="K6221" i="1"/>
  <c r="L6221" i="1"/>
  <c r="A6222" i="1"/>
  <c r="B6222" i="1"/>
  <c r="C6222" i="1"/>
  <c r="D6222" i="1"/>
  <c r="E6222" i="1"/>
  <c r="F6222" i="1"/>
  <c r="G6222" i="1"/>
  <c r="H6222" i="1"/>
  <c r="I6222" i="1"/>
  <c r="J6222" i="1"/>
  <c r="K6222" i="1"/>
  <c r="L6222" i="1"/>
  <c r="A6223" i="1"/>
  <c r="B6223" i="1"/>
  <c r="C6223" i="1"/>
  <c r="D6223" i="1"/>
  <c r="E6223" i="1"/>
  <c r="F6223" i="1"/>
  <c r="G6223" i="1"/>
  <c r="H6223" i="1"/>
  <c r="I6223" i="1"/>
  <c r="J6223" i="1"/>
  <c r="K6223" i="1"/>
  <c r="L6223" i="1"/>
  <c r="A6224" i="1"/>
  <c r="B6224" i="1"/>
  <c r="C6224" i="1"/>
  <c r="D6224" i="1"/>
  <c r="E6224" i="1"/>
  <c r="F6224" i="1"/>
  <c r="G6224" i="1"/>
  <c r="H6224" i="1"/>
  <c r="I6224" i="1"/>
  <c r="J6224" i="1"/>
  <c r="K6224" i="1"/>
  <c r="L6224" i="1"/>
  <c r="A6225" i="1"/>
  <c r="B6225" i="1"/>
  <c r="C6225" i="1"/>
  <c r="D6225" i="1"/>
  <c r="E6225" i="1"/>
  <c r="F6225" i="1"/>
  <c r="G6225" i="1"/>
  <c r="H6225" i="1"/>
  <c r="I6225" i="1"/>
  <c r="J6225" i="1"/>
  <c r="K6225" i="1"/>
  <c r="L6225" i="1"/>
  <c r="A6226" i="1"/>
  <c r="B6226" i="1"/>
  <c r="C6226" i="1"/>
  <c r="D6226" i="1"/>
  <c r="E6226" i="1"/>
  <c r="F6226" i="1"/>
  <c r="G6226" i="1"/>
  <c r="H6226" i="1"/>
  <c r="I6226" i="1"/>
  <c r="J6226" i="1"/>
  <c r="K6226" i="1"/>
  <c r="L6226" i="1"/>
  <c r="A6227" i="1"/>
  <c r="B6227" i="1"/>
  <c r="C6227" i="1"/>
  <c r="D6227" i="1"/>
  <c r="E6227" i="1"/>
  <c r="F6227" i="1"/>
  <c r="G6227" i="1"/>
  <c r="H6227" i="1"/>
  <c r="I6227" i="1"/>
  <c r="J6227" i="1"/>
  <c r="K6227" i="1"/>
  <c r="L6227" i="1"/>
  <c r="A6228" i="1"/>
  <c r="B6228" i="1"/>
  <c r="C6228" i="1"/>
  <c r="D6228" i="1"/>
  <c r="E6228" i="1"/>
  <c r="F6228" i="1"/>
  <c r="G6228" i="1"/>
  <c r="H6228" i="1"/>
  <c r="I6228" i="1"/>
  <c r="J6228" i="1"/>
  <c r="K6228" i="1"/>
  <c r="L6228" i="1"/>
  <c r="A6229" i="1"/>
  <c r="B6229" i="1"/>
  <c r="C6229" i="1"/>
  <c r="D6229" i="1"/>
  <c r="E6229" i="1"/>
  <c r="F6229" i="1"/>
  <c r="G6229" i="1"/>
  <c r="H6229" i="1"/>
  <c r="I6229" i="1"/>
  <c r="J6229" i="1"/>
  <c r="K6229" i="1"/>
  <c r="L6229" i="1"/>
  <c r="A6230" i="1"/>
  <c r="B6230" i="1"/>
  <c r="C6230" i="1"/>
  <c r="D6230" i="1"/>
  <c r="E6230" i="1"/>
  <c r="F6230" i="1"/>
  <c r="G6230" i="1"/>
  <c r="H6230" i="1"/>
  <c r="I6230" i="1"/>
  <c r="J6230" i="1"/>
  <c r="K6230" i="1"/>
  <c r="L6230" i="1"/>
  <c r="A6231" i="1"/>
  <c r="B6231" i="1"/>
  <c r="C6231" i="1"/>
  <c r="D6231" i="1"/>
  <c r="E6231" i="1"/>
  <c r="F6231" i="1"/>
  <c r="G6231" i="1"/>
  <c r="H6231" i="1"/>
  <c r="I6231" i="1"/>
  <c r="J6231" i="1"/>
  <c r="K6231" i="1"/>
  <c r="L6231" i="1"/>
  <c r="A6232" i="1"/>
  <c r="B6232" i="1"/>
  <c r="C6232" i="1"/>
  <c r="D6232" i="1"/>
  <c r="E6232" i="1"/>
  <c r="F6232" i="1"/>
  <c r="G6232" i="1"/>
  <c r="H6232" i="1"/>
  <c r="I6232" i="1"/>
  <c r="J6232" i="1"/>
  <c r="K6232" i="1"/>
  <c r="L6232" i="1"/>
  <c r="A6233" i="1"/>
  <c r="B6233" i="1"/>
  <c r="C6233" i="1"/>
  <c r="D6233" i="1"/>
  <c r="E6233" i="1"/>
  <c r="F6233" i="1"/>
  <c r="G6233" i="1"/>
  <c r="H6233" i="1"/>
  <c r="I6233" i="1"/>
  <c r="J6233" i="1"/>
  <c r="K6233" i="1"/>
  <c r="L6233" i="1"/>
  <c r="A6234" i="1"/>
  <c r="B6234" i="1"/>
  <c r="C6234" i="1"/>
  <c r="D6234" i="1"/>
  <c r="E6234" i="1"/>
  <c r="F6234" i="1"/>
  <c r="G6234" i="1"/>
  <c r="H6234" i="1"/>
  <c r="I6234" i="1"/>
  <c r="J6234" i="1"/>
  <c r="K6234" i="1"/>
  <c r="L6234" i="1"/>
  <c r="A6235" i="1"/>
  <c r="B6235" i="1"/>
  <c r="C6235" i="1"/>
  <c r="D6235" i="1"/>
  <c r="E6235" i="1"/>
  <c r="F6235" i="1"/>
  <c r="G6235" i="1"/>
  <c r="H6235" i="1"/>
  <c r="I6235" i="1"/>
  <c r="J6235" i="1"/>
  <c r="K6235" i="1"/>
  <c r="L6235" i="1"/>
  <c r="A6236" i="1"/>
  <c r="B6236" i="1"/>
  <c r="C6236" i="1"/>
  <c r="D6236" i="1"/>
  <c r="E6236" i="1"/>
  <c r="F6236" i="1"/>
  <c r="G6236" i="1"/>
  <c r="H6236" i="1"/>
  <c r="I6236" i="1"/>
  <c r="J6236" i="1"/>
  <c r="K6236" i="1"/>
  <c r="L6236" i="1"/>
  <c r="A6237" i="1"/>
  <c r="B6237" i="1"/>
  <c r="C6237" i="1"/>
  <c r="D6237" i="1"/>
  <c r="E6237" i="1"/>
  <c r="F6237" i="1"/>
  <c r="G6237" i="1"/>
  <c r="H6237" i="1"/>
  <c r="I6237" i="1"/>
  <c r="J6237" i="1"/>
  <c r="K6237" i="1"/>
  <c r="L6237" i="1"/>
  <c r="A6238" i="1"/>
  <c r="B6238" i="1"/>
  <c r="C6238" i="1"/>
  <c r="D6238" i="1"/>
  <c r="E6238" i="1"/>
  <c r="F6238" i="1"/>
  <c r="G6238" i="1"/>
  <c r="H6238" i="1"/>
  <c r="I6238" i="1"/>
  <c r="J6238" i="1"/>
  <c r="K6238" i="1"/>
  <c r="L6238" i="1"/>
  <c r="A6239" i="1"/>
  <c r="B6239" i="1"/>
  <c r="C6239" i="1"/>
  <c r="D6239" i="1"/>
  <c r="E6239" i="1"/>
  <c r="F6239" i="1"/>
  <c r="G6239" i="1"/>
  <c r="H6239" i="1"/>
  <c r="I6239" i="1"/>
  <c r="J6239" i="1"/>
  <c r="K6239" i="1"/>
  <c r="L6239" i="1"/>
  <c r="A6240" i="1"/>
  <c r="B6240" i="1"/>
  <c r="C6240" i="1"/>
  <c r="D6240" i="1"/>
  <c r="E6240" i="1"/>
  <c r="F6240" i="1"/>
  <c r="G6240" i="1"/>
  <c r="H6240" i="1"/>
  <c r="I6240" i="1"/>
  <c r="J6240" i="1"/>
  <c r="K6240" i="1"/>
  <c r="L6240" i="1"/>
  <c r="A6241" i="1"/>
  <c r="B6241" i="1"/>
  <c r="C6241" i="1"/>
  <c r="D6241" i="1"/>
  <c r="E6241" i="1"/>
  <c r="F6241" i="1"/>
  <c r="G6241" i="1"/>
  <c r="H6241" i="1"/>
  <c r="I6241" i="1"/>
  <c r="J6241" i="1"/>
  <c r="K6241" i="1"/>
  <c r="L6241" i="1"/>
  <c r="A6242" i="1"/>
  <c r="B6242" i="1"/>
  <c r="C6242" i="1"/>
  <c r="D6242" i="1"/>
  <c r="E6242" i="1"/>
  <c r="F6242" i="1"/>
  <c r="G6242" i="1"/>
  <c r="H6242" i="1"/>
  <c r="I6242" i="1"/>
  <c r="J6242" i="1"/>
  <c r="K6242" i="1"/>
  <c r="L6242" i="1"/>
  <c r="A6243" i="1"/>
  <c r="B6243" i="1"/>
  <c r="C6243" i="1"/>
  <c r="D6243" i="1"/>
  <c r="E6243" i="1"/>
  <c r="F6243" i="1"/>
  <c r="G6243" i="1"/>
  <c r="H6243" i="1"/>
  <c r="I6243" i="1"/>
  <c r="J6243" i="1"/>
  <c r="K6243" i="1"/>
  <c r="L6243" i="1"/>
  <c r="A6244" i="1"/>
  <c r="B6244" i="1"/>
  <c r="C6244" i="1"/>
  <c r="D6244" i="1"/>
  <c r="E6244" i="1"/>
  <c r="F6244" i="1"/>
  <c r="G6244" i="1"/>
  <c r="H6244" i="1"/>
  <c r="I6244" i="1"/>
  <c r="J6244" i="1"/>
  <c r="K6244" i="1"/>
  <c r="L6244" i="1"/>
  <c r="A6245" i="1"/>
  <c r="B6245" i="1"/>
  <c r="C6245" i="1"/>
  <c r="D6245" i="1"/>
  <c r="E6245" i="1"/>
  <c r="F6245" i="1"/>
  <c r="G6245" i="1"/>
  <c r="H6245" i="1"/>
  <c r="I6245" i="1"/>
  <c r="J6245" i="1"/>
  <c r="K6245" i="1"/>
  <c r="L6245" i="1"/>
  <c r="A6246" i="1"/>
  <c r="B6246" i="1"/>
  <c r="C6246" i="1"/>
  <c r="D6246" i="1"/>
  <c r="E6246" i="1"/>
  <c r="F6246" i="1"/>
  <c r="G6246" i="1"/>
  <c r="H6246" i="1"/>
  <c r="I6246" i="1"/>
  <c r="J6246" i="1"/>
  <c r="K6246" i="1"/>
  <c r="L6246" i="1"/>
  <c r="A6247" i="1"/>
  <c r="B6247" i="1"/>
  <c r="C6247" i="1"/>
  <c r="D6247" i="1"/>
  <c r="E6247" i="1"/>
  <c r="F6247" i="1"/>
  <c r="G6247" i="1"/>
  <c r="H6247" i="1"/>
  <c r="I6247" i="1"/>
  <c r="J6247" i="1"/>
  <c r="K6247" i="1"/>
  <c r="L6247" i="1"/>
  <c r="A6248" i="1"/>
  <c r="B6248" i="1"/>
  <c r="C6248" i="1"/>
  <c r="D6248" i="1"/>
  <c r="E6248" i="1"/>
  <c r="F6248" i="1"/>
  <c r="G6248" i="1"/>
  <c r="H6248" i="1"/>
  <c r="I6248" i="1"/>
  <c r="J6248" i="1"/>
  <c r="K6248" i="1"/>
  <c r="L6248" i="1"/>
  <c r="A6249" i="1"/>
  <c r="B6249" i="1"/>
  <c r="C6249" i="1"/>
  <c r="D6249" i="1"/>
  <c r="E6249" i="1"/>
  <c r="F6249" i="1"/>
  <c r="G6249" i="1"/>
  <c r="H6249" i="1"/>
  <c r="I6249" i="1"/>
  <c r="J6249" i="1"/>
  <c r="K6249" i="1"/>
  <c r="L6249" i="1"/>
  <c r="A6250" i="1"/>
  <c r="B6250" i="1"/>
  <c r="C6250" i="1"/>
  <c r="D6250" i="1"/>
  <c r="E6250" i="1"/>
  <c r="F6250" i="1"/>
  <c r="G6250" i="1"/>
  <c r="H6250" i="1"/>
  <c r="I6250" i="1"/>
  <c r="J6250" i="1"/>
  <c r="K6250" i="1"/>
  <c r="L6250" i="1"/>
  <c r="A6251" i="1"/>
  <c r="B6251" i="1"/>
  <c r="C6251" i="1"/>
  <c r="D6251" i="1"/>
  <c r="E6251" i="1"/>
  <c r="F6251" i="1"/>
  <c r="G6251" i="1"/>
  <c r="H6251" i="1"/>
  <c r="I6251" i="1"/>
  <c r="J6251" i="1"/>
  <c r="K6251" i="1"/>
  <c r="L6251" i="1"/>
  <c r="A6252" i="1"/>
  <c r="B6252" i="1"/>
  <c r="C6252" i="1"/>
  <c r="D6252" i="1"/>
  <c r="E6252" i="1"/>
  <c r="F6252" i="1"/>
  <c r="G6252" i="1"/>
  <c r="H6252" i="1"/>
  <c r="I6252" i="1"/>
  <c r="J6252" i="1"/>
  <c r="K6252" i="1"/>
  <c r="L6252" i="1"/>
  <c r="A6253" i="1"/>
  <c r="B6253" i="1"/>
  <c r="C6253" i="1"/>
  <c r="D6253" i="1"/>
  <c r="E6253" i="1"/>
  <c r="F6253" i="1"/>
  <c r="G6253" i="1"/>
  <c r="H6253" i="1"/>
  <c r="I6253" i="1"/>
  <c r="J6253" i="1"/>
  <c r="K6253" i="1"/>
  <c r="L6253" i="1"/>
  <c r="A6254" i="1"/>
  <c r="B6254" i="1"/>
  <c r="C6254" i="1"/>
  <c r="D6254" i="1"/>
  <c r="E6254" i="1"/>
  <c r="F6254" i="1"/>
  <c r="G6254" i="1"/>
  <c r="H6254" i="1"/>
  <c r="I6254" i="1"/>
  <c r="J6254" i="1"/>
  <c r="K6254" i="1"/>
  <c r="L6254" i="1"/>
  <c r="A6255" i="1"/>
  <c r="B6255" i="1"/>
  <c r="C6255" i="1"/>
  <c r="D6255" i="1"/>
  <c r="E6255" i="1"/>
  <c r="F6255" i="1"/>
  <c r="G6255" i="1"/>
  <c r="H6255" i="1"/>
  <c r="I6255" i="1"/>
  <c r="J6255" i="1"/>
  <c r="K6255" i="1"/>
  <c r="L6255" i="1"/>
  <c r="A6256" i="1"/>
  <c r="B6256" i="1"/>
  <c r="C6256" i="1"/>
  <c r="D6256" i="1"/>
  <c r="E6256" i="1"/>
  <c r="F6256" i="1"/>
  <c r="G6256" i="1"/>
  <c r="H6256" i="1"/>
  <c r="I6256" i="1"/>
  <c r="J6256" i="1"/>
  <c r="K6256" i="1"/>
  <c r="L6256" i="1"/>
  <c r="A6257" i="1"/>
  <c r="B6257" i="1"/>
  <c r="C6257" i="1"/>
  <c r="D6257" i="1"/>
  <c r="E6257" i="1"/>
  <c r="F6257" i="1"/>
  <c r="G6257" i="1"/>
  <c r="H6257" i="1"/>
  <c r="I6257" i="1"/>
  <c r="J6257" i="1"/>
  <c r="K6257" i="1"/>
  <c r="L6257" i="1"/>
  <c r="A6258" i="1"/>
  <c r="B6258" i="1"/>
  <c r="C6258" i="1"/>
  <c r="D6258" i="1"/>
  <c r="E6258" i="1"/>
  <c r="F6258" i="1"/>
  <c r="G6258" i="1"/>
  <c r="H6258" i="1"/>
  <c r="I6258" i="1"/>
  <c r="J6258" i="1"/>
  <c r="K6258" i="1"/>
  <c r="L6258" i="1"/>
  <c r="A6259" i="1"/>
  <c r="B6259" i="1"/>
  <c r="C6259" i="1"/>
  <c r="D6259" i="1"/>
  <c r="E6259" i="1"/>
  <c r="F6259" i="1"/>
  <c r="G6259" i="1"/>
  <c r="H6259" i="1"/>
  <c r="I6259" i="1"/>
  <c r="J6259" i="1"/>
  <c r="K6259" i="1"/>
  <c r="L6259" i="1"/>
  <c r="A6260" i="1"/>
  <c r="B6260" i="1"/>
  <c r="C6260" i="1"/>
  <c r="D6260" i="1"/>
  <c r="E6260" i="1"/>
  <c r="F6260" i="1"/>
  <c r="G6260" i="1"/>
  <c r="H6260" i="1"/>
  <c r="I6260" i="1"/>
  <c r="J6260" i="1"/>
  <c r="K6260" i="1"/>
  <c r="L6260" i="1"/>
  <c r="A6261" i="1"/>
  <c r="B6261" i="1"/>
  <c r="C6261" i="1"/>
  <c r="D6261" i="1"/>
  <c r="E6261" i="1"/>
  <c r="F6261" i="1"/>
  <c r="G6261" i="1"/>
  <c r="H6261" i="1"/>
  <c r="I6261" i="1"/>
  <c r="J6261" i="1"/>
  <c r="K6261" i="1"/>
  <c r="L6261" i="1"/>
  <c r="A6262" i="1"/>
  <c r="B6262" i="1"/>
  <c r="C6262" i="1"/>
  <c r="D6262" i="1"/>
  <c r="E6262" i="1"/>
  <c r="F6262" i="1"/>
  <c r="G6262" i="1"/>
  <c r="H6262" i="1"/>
  <c r="I6262" i="1"/>
  <c r="J6262" i="1"/>
  <c r="K6262" i="1"/>
  <c r="L6262" i="1"/>
  <c r="A6263" i="1"/>
  <c r="B6263" i="1"/>
  <c r="C6263" i="1"/>
  <c r="D6263" i="1"/>
  <c r="E6263" i="1"/>
  <c r="F6263" i="1"/>
  <c r="G6263" i="1"/>
  <c r="H6263" i="1"/>
  <c r="I6263" i="1"/>
  <c r="J6263" i="1"/>
  <c r="K6263" i="1"/>
  <c r="L6263" i="1"/>
  <c r="A6264" i="1"/>
  <c r="B6264" i="1"/>
  <c r="C6264" i="1"/>
  <c r="D6264" i="1"/>
  <c r="E6264" i="1"/>
  <c r="F6264" i="1"/>
  <c r="G6264" i="1"/>
  <c r="H6264" i="1"/>
  <c r="I6264" i="1"/>
  <c r="J6264" i="1"/>
  <c r="K6264" i="1"/>
  <c r="L6264" i="1"/>
  <c r="A6265" i="1"/>
  <c r="B6265" i="1"/>
  <c r="C6265" i="1"/>
  <c r="D6265" i="1"/>
  <c r="E6265" i="1"/>
  <c r="F6265" i="1"/>
  <c r="G6265" i="1"/>
  <c r="H6265" i="1"/>
  <c r="I6265" i="1"/>
  <c r="J6265" i="1"/>
  <c r="K6265" i="1"/>
  <c r="L6265" i="1"/>
  <c r="A6266" i="1"/>
  <c r="B6266" i="1"/>
  <c r="C6266" i="1"/>
  <c r="D6266" i="1"/>
  <c r="E6266" i="1"/>
  <c r="F6266" i="1"/>
  <c r="G6266" i="1"/>
  <c r="H6266" i="1"/>
  <c r="I6266" i="1"/>
  <c r="J6266" i="1"/>
  <c r="K6266" i="1"/>
  <c r="L6266" i="1"/>
  <c r="A6267" i="1"/>
  <c r="B6267" i="1"/>
  <c r="C6267" i="1"/>
  <c r="D6267" i="1"/>
  <c r="E6267" i="1"/>
  <c r="F6267" i="1"/>
  <c r="G6267" i="1"/>
  <c r="H6267" i="1"/>
  <c r="I6267" i="1"/>
  <c r="J6267" i="1"/>
  <c r="K6267" i="1"/>
  <c r="L6267" i="1"/>
  <c r="A6268" i="1"/>
  <c r="B6268" i="1"/>
  <c r="C6268" i="1"/>
  <c r="D6268" i="1"/>
  <c r="E6268" i="1"/>
  <c r="F6268" i="1"/>
  <c r="G6268" i="1"/>
  <c r="H6268" i="1"/>
  <c r="I6268" i="1"/>
  <c r="J6268" i="1"/>
  <c r="K6268" i="1"/>
  <c r="L6268" i="1"/>
  <c r="A6269" i="1"/>
  <c r="B6269" i="1"/>
  <c r="C6269" i="1"/>
  <c r="D6269" i="1"/>
  <c r="E6269" i="1"/>
  <c r="F6269" i="1"/>
  <c r="G6269" i="1"/>
  <c r="H6269" i="1"/>
  <c r="I6269" i="1"/>
  <c r="J6269" i="1"/>
  <c r="K6269" i="1"/>
  <c r="L6269" i="1"/>
  <c r="A6270" i="1"/>
  <c r="B6270" i="1"/>
  <c r="C6270" i="1"/>
  <c r="D6270" i="1"/>
  <c r="E6270" i="1"/>
  <c r="F6270" i="1"/>
  <c r="G6270" i="1"/>
  <c r="H6270" i="1"/>
  <c r="I6270" i="1"/>
  <c r="J6270" i="1"/>
  <c r="K6270" i="1"/>
  <c r="L6270" i="1"/>
  <c r="A6271" i="1"/>
  <c r="B6271" i="1"/>
  <c r="C6271" i="1"/>
  <c r="D6271" i="1"/>
  <c r="E6271" i="1"/>
  <c r="F6271" i="1"/>
  <c r="G6271" i="1"/>
  <c r="H6271" i="1"/>
  <c r="I6271" i="1"/>
  <c r="J6271" i="1"/>
  <c r="K6271" i="1"/>
  <c r="L6271" i="1"/>
  <c r="A6272" i="1"/>
  <c r="B6272" i="1"/>
  <c r="C6272" i="1"/>
  <c r="D6272" i="1"/>
  <c r="E6272" i="1"/>
  <c r="F6272" i="1"/>
  <c r="G6272" i="1"/>
  <c r="H6272" i="1"/>
  <c r="I6272" i="1"/>
  <c r="J6272" i="1"/>
  <c r="K6272" i="1"/>
  <c r="L6272" i="1"/>
  <c r="A6273" i="1"/>
  <c r="B6273" i="1"/>
  <c r="C6273" i="1"/>
  <c r="D6273" i="1"/>
  <c r="E6273" i="1"/>
  <c r="F6273" i="1"/>
  <c r="G6273" i="1"/>
  <c r="H6273" i="1"/>
  <c r="I6273" i="1"/>
  <c r="J6273" i="1"/>
  <c r="K6273" i="1"/>
  <c r="L6273" i="1"/>
  <c r="A6274" i="1"/>
  <c r="B6274" i="1"/>
  <c r="C6274" i="1"/>
  <c r="D6274" i="1"/>
  <c r="E6274" i="1"/>
  <c r="F6274" i="1"/>
  <c r="G6274" i="1"/>
  <c r="H6274" i="1"/>
  <c r="I6274" i="1"/>
  <c r="J6274" i="1"/>
  <c r="K6274" i="1"/>
  <c r="L6274" i="1"/>
  <c r="A6275" i="1"/>
  <c r="B6275" i="1"/>
  <c r="C6275" i="1"/>
  <c r="D6275" i="1"/>
  <c r="E6275" i="1"/>
  <c r="F6275" i="1"/>
  <c r="G6275" i="1"/>
  <c r="H6275" i="1"/>
  <c r="I6275" i="1"/>
  <c r="J6275" i="1"/>
  <c r="K6275" i="1"/>
  <c r="L6275" i="1"/>
  <c r="A6276" i="1"/>
  <c r="B6276" i="1"/>
  <c r="C6276" i="1"/>
  <c r="D6276" i="1"/>
  <c r="E6276" i="1"/>
  <c r="F6276" i="1"/>
  <c r="G6276" i="1"/>
  <c r="H6276" i="1"/>
  <c r="I6276" i="1"/>
  <c r="J6276" i="1"/>
  <c r="K6276" i="1"/>
  <c r="L6276" i="1"/>
  <c r="A6277" i="1"/>
  <c r="B6277" i="1"/>
  <c r="C6277" i="1"/>
  <c r="D6277" i="1"/>
  <c r="E6277" i="1"/>
  <c r="F6277" i="1"/>
  <c r="G6277" i="1"/>
  <c r="H6277" i="1"/>
  <c r="I6277" i="1"/>
  <c r="J6277" i="1"/>
  <c r="K6277" i="1"/>
  <c r="L6277" i="1"/>
  <c r="A6278" i="1"/>
  <c r="B6278" i="1"/>
  <c r="C6278" i="1"/>
  <c r="D6278" i="1"/>
  <c r="E6278" i="1"/>
  <c r="F6278" i="1"/>
  <c r="G6278" i="1"/>
  <c r="H6278" i="1"/>
  <c r="I6278" i="1"/>
  <c r="J6278" i="1"/>
  <c r="K6278" i="1"/>
  <c r="L6278" i="1"/>
  <c r="A6279" i="1"/>
  <c r="B6279" i="1"/>
  <c r="C6279" i="1"/>
  <c r="D6279" i="1"/>
  <c r="E6279" i="1"/>
  <c r="F6279" i="1"/>
  <c r="G6279" i="1"/>
  <c r="H6279" i="1"/>
  <c r="I6279" i="1"/>
  <c r="J6279" i="1"/>
  <c r="K6279" i="1"/>
  <c r="L6279" i="1"/>
  <c r="A6280" i="1"/>
  <c r="B6280" i="1"/>
  <c r="C6280" i="1"/>
  <c r="D6280" i="1"/>
  <c r="E6280" i="1"/>
  <c r="F6280" i="1"/>
  <c r="G6280" i="1"/>
  <c r="H6280" i="1"/>
  <c r="I6280" i="1"/>
  <c r="J6280" i="1"/>
  <c r="K6280" i="1"/>
  <c r="L6280" i="1"/>
  <c r="A6281" i="1"/>
  <c r="B6281" i="1"/>
  <c r="C6281" i="1"/>
  <c r="D6281" i="1"/>
  <c r="E6281" i="1"/>
  <c r="F6281" i="1"/>
  <c r="G6281" i="1"/>
  <c r="H6281" i="1"/>
  <c r="I6281" i="1"/>
  <c r="J6281" i="1"/>
  <c r="K6281" i="1"/>
  <c r="L6281" i="1"/>
  <c r="A6282" i="1"/>
  <c r="B6282" i="1"/>
  <c r="C6282" i="1"/>
  <c r="D6282" i="1"/>
  <c r="E6282" i="1"/>
  <c r="F6282" i="1"/>
  <c r="G6282" i="1"/>
  <c r="H6282" i="1"/>
  <c r="I6282" i="1"/>
  <c r="J6282" i="1"/>
  <c r="K6282" i="1"/>
  <c r="L6282" i="1"/>
  <c r="A6283" i="1"/>
  <c r="B6283" i="1"/>
  <c r="C6283" i="1"/>
  <c r="D6283" i="1"/>
  <c r="E6283" i="1"/>
  <c r="F6283" i="1"/>
  <c r="G6283" i="1"/>
  <c r="H6283" i="1"/>
  <c r="I6283" i="1"/>
  <c r="J6283" i="1"/>
  <c r="K6283" i="1"/>
  <c r="L6283" i="1"/>
  <c r="A6284" i="1"/>
  <c r="B6284" i="1"/>
  <c r="C6284" i="1"/>
  <c r="D6284" i="1"/>
  <c r="E6284" i="1"/>
  <c r="F6284" i="1"/>
  <c r="G6284" i="1"/>
  <c r="H6284" i="1"/>
  <c r="I6284" i="1"/>
  <c r="J6284" i="1"/>
  <c r="K6284" i="1"/>
  <c r="L6284" i="1"/>
  <c r="A6285" i="1"/>
  <c r="B6285" i="1"/>
  <c r="C6285" i="1"/>
  <c r="D6285" i="1"/>
  <c r="E6285" i="1"/>
  <c r="F6285" i="1"/>
  <c r="G6285" i="1"/>
  <c r="H6285" i="1"/>
  <c r="I6285" i="1"/>
  <c r="J6285" i="1"/>
  <c r="K6285" i="1"/>
  <c r="L6285" i="1"/>
  <c r="A6286" i="1"/>
  <c r="B6286" i="1"/>
  <c r="C6286" i="1"/>
  <c r="D6286" i="1"/>
  <c r="E6286" i="1"/>
  <c r="F6286" i="1"/>
  <c r="G6286" i="1"/>
  <c r="H6286" i="1"/>
  <c r="I6286" i="1"/>
  <c r="J6286" i="1"/>
  <c r="K6286" i="1"/>
  <c r="L6286" i="1"/>
  <c r="A6287" i="1"/>
  <c r="B6287" i="1"/>
  <c r="C6287" i="1"/>
  <c r="D6287" i="1"/>
  <c r="E6287" i="1"/>
  <c r="F6287" i="1"/>
  <c r="G6287" i="1"/>
  <c r="H6287" i="1"/>
  <c r="I6287" i="1"/>
  <c r="J6287" i="1"/>
  <c r="K6287" i="1"/>
  <c r="L6287" i="1"/>
  <c r="A6288" i="1"/>
  <c r="B6288" i="1"/>
  <c r="C6288" i="1"/>
  <c r="D6288" i="1"/>
  <c r="E6288" i="1"/>
  <c r="F6288" i="1"/>
  <c r="G6288" i="1"/>
  <c r="H6288" i="1"/>
  <c r="I6288" i="1"/>
  <c r="J6288" i="1"/>
  <c r="K6288" i="1"/>
  <c r="L6288" i="1"/>
  <c r="A6289" i="1"/>
  <c r="B6289" i="1"/>
  <c r="C6289" i="1"/>
  <c r="D6289" i="1"/>
  <c r="E6289" i="1"/>
  <c r="F6289" i="1"/>
  <c r="G6289" i="1"/>
  <c r="H6289" i="1"/>
  <c r="I6289" i="1"/>
  <c r="J6289" i="1"/>
  <c r="K6289" i="1"/>
  <c r="L6289" i="1"/>
  <c r="A6290" i="1"/>
  <c r="B6290" i="1"/>
  <c r="C6290" i="1"/>
  <c r="D6290" i="1"/>
  <c r="E6290" i="1"/>
  <c r="F6290" i="1"/>
  <c r="G6290" i="1"/>
  <c r="H6290" i="1"/>
  <c r="I6290" i="1"/>
  <c r="J6290" i="1"/>
  <c r="K6290" i="1"/>
  <c r="L6290" i="1"/>
  <c r="A6291" i="1"/>
  <c r="B6291" i="1"/>
  <c r="C6291" i="1"/>
  <c r="D6291" i="1"/>
  <c r="E6291" i="1"/>
  <c r="F6291" i="1"/>
  <c r="G6291" i="1"/>
  <c r="H6291" i="1"/>
  <c r="I6291" i="1"/>
  <c r="J6291" i="1"/>
  <c r="K6291" i="1"/>
  <c r="L6291" i="1"/>
  <c r="A6292" i="1"/>
  <c r="B6292" i="1"/>
  <c r="C6292" i="1"/>
  <c r="D6292" i="1"/>
  <c r="E6292" i="1"/>
  <c r="F6292" i="1"/>
  <c r="G6292" i="1"/>
  <c r="H6292" i="1"/>
  <c r="I6292" i="1"/>
  <c r="J6292" i="1"/>
  <c r="K6292" i="1"/>
  <c r="L6292" i="1"/>
  <c r="A6293" i="1"/>
  <c r="B6293" i="1"/>
  <c r="C6293" i="1"/>
  <c r="D6293" i="1"/>
  <c r="E6293" i="1"/>
  <c r="F6293" i="1"/>
  <c r="G6293" i="1"/>
  <c r="H6293" i="1"/>
  <c r="I6293" i="1"/>
  <c r="J6293" i="1"/>
  <c r="K6293" i="1"/>
  <c r="L6293" i="1"/>
  <c r="A6294" i="1"/>
  <c r="B6294" i="1"/>
  <c r="C6294" i="1"/>
  <c r="D6294" i="1"/>
  <c r="E6294" i="1"/>
  <c r="F6294" i="1"/>
  <c r="G6294" i="1"/>
  <c r="H6294" i="1"/>
  <c r="I6294" i="1"/>
  <c r="J6294" i="1"/>
  <c r="K6294" i="1"/>
  <c r="L6294" i="1"/>
  <c r="A6295" i="1"/>
  <c r="B6295" i="1"/>
  <c r="C6295" i="1"/>
  <c r="D6295" i="1"/>
  <c r="E6295" i="1"/>
  <c r="F6295" i="1"/>
  <c r="G6295" i="1"/>
  <c r="H6295" i="1"/>
  <c r="I6295" i="1"/>
  <c r="J6295" i="1"/>
  <c r="K6295" i="1"/>
  <c r="L6295" i="1"/>
  <c r="A6296" i="1"/>
  <c r="B6296" i="1"/>
  <c r="C6296" i="1"/>
  <c r="D6296" i="1"/>
  <c r="E6296" i="1"/>
  <c r="F6296" i="1"/>
  <c r="G6296" i="1"/>
  <c r="H6296" i="1"/>
  <c r="I6296" i="1"/>
  <c r="J6296" i="1"/>
  <c r="K6296" i="1"/>
  <c r="L6296" i="1"/>
  <c r="A6297" i="1"/>
  <c r="B6297" i="1"/>
  <c r="C6297" i="1"/>
  <c r="D6297" i="1"/>
  <c r="E6297" i="1"/>
  <c r="F6297" i="1"/>
  <c r="G6297" i="1"/>
  <c r="H6297" i="1"/>
  <c r="I6297" i="1"/>
  <c r="J6297" i="1"/>
  <c r="K6297" i="1"/>
  <c r="L6297" i="1"/>
  <c r="A6298" i="1"/>
  <c r="B6298" i="1"/>
  <c r="C6298" i="1"/>
  <c r="D6298" i="1"/>
  <c r="E6298" i="1"/>
  <c r="F6298" i="1"/>
  <c r="G6298" i="1"/>
  <c r="H6298" i="1"/>
  <c r="I6298" i="1"/>
  <c r="J6298" i="1"/>
  <c r="K6298" i="1"/>
  <c r="L6298" i="1"/>
  <c r="A6299" i="1"/>
  <c r="B6299" i="1"/>
  <c r="C6299" i="1"/>
  <c r="D6299" i="1"/>
  <c r="E6299" i="1"/>
  <c r="F6299" i="1"/>
  <c r="G6299" i="1"/>
  <c r="H6299" i="1"/>
  <c r="I6299" i="1"/>
  <c r="J6299" i="1"/>
  <c r="K6299" i="1"/>
  <c r="L6299" i="1"/>
  <c r="A6300" i="1"/>
  <c r="B6300" i="1"/>
  <c r="C6300" i="1"/>
  <c r="D6300" i="1"/>
  <c r="E6300" i="1"/>
  <c r="F6300" i="1"/>
  <c r="G6300" i="1"/>
  <c r="H6300" i="1"/>
  <c r="I6300" i="1"/>
  <c r="J6300" i="1"/>
  <c r="K6300" i="1"/>
  <c r="L6300" i="1"/>
  <c r="A6301" i="1"/>
  <c r="B6301" i="1"/>
  <c r="C6301" i="1"/>
  <c r="D6301" i="1"/>
  <c r="E6301" i="1"/>
  <c r="F6301" i="1"/>
  <c r="G6301" i="1"/>
  <c r="H6301" i="1"/>
  <c r="I6301" i="1"/>
  <c r="J6301" i="1"/>
  <c r="K6301" i="1"/>
  <c r="L6301" i="1"/>
  <c r="A6302" i="1"/>
  <c r="B6302" i="1"/>
  <c r="C6302" i="1"/>
  <c r="D6302" i="1"/>
  <c r="E6302" i="1"/>
  <c r="F6302" i="1"/>
  <c r="G6302" i="1"/>
  <c r="H6302" i="1"/>
  <c r="I6302" i="1"/>
  <c r="J6302" i="1"/>
  <c r="K6302" i="1"/>
  <c r="L6302" i="1"/>
  <c r="A6303" i="1"/>
  <c r="B6303" i="1"/>
  <c r="C6303" i="1"/>
  <c r="D6303" i="1"/>
  <c r="E6303" i="1"/>
  <c r="F6303" i="1"/>
  <c r="G6303" i="1"/>
  <c r="H6303" i="1"/>
  <c r="I6303" i="1"/>
  <c r="J6303" i="1"/>
  <c r="K6303" i="1"/>
  <c r="L6303" i="1"/>
  <c r="A6304" i="1"/>
  <c r="B6304" i="1"/>
  <c r="C6304" i="1"/>
  <c r="D6304" i="1"/>
  <c r="E6304" i="1"/>
  <c r="F6304" i="1"/>
  <c r="G6304" i="1"/>
  <c r="H6304" i="1"/>
  <c r="I6304" i="1"/>
  <c r="J6304" i="1"/>
  <c r="K6304" i="1"/>
  <c r="L6304" i="1"/>
  <c r="A6305" i="1"/>
  <c r="B6305" i="1"/>
  <c r="C6305" i="1"/>
  <c r="D6305" i="1"/>
  <c r="E6305" i="1"/>
  <c r="F6305" i="1"/>
  <c r="G6305" i="1"/>
  <c r="H6305" i="1"/>
  <c r="I6305" i="1"/>
  <c r="J6305" i="1"/>
  <c r="K6305" i="1"/>
  <c r="L6305" i="1"/>
  <c r="A6306" i="1"/>
  <c r="B6306" i="1"/>
  <c r="C6306" i="1"/>
  <c r="D6306" i="1"/>
  <c r="E6306" i="1"/>
  <c r="F6306" i="1"/>
  <c r="G6306" i="1"/>
  <c r="H6306" i="1"/>
  <c r="I6306" i="1"/>
  <c r="J6306" i="1"/>
  <c r="K6306" i="1"/>
  <c r="L6306" i="1"/>
  <c r="A6307" i="1"/>
  <c r="B6307" i="1"/>
  <c r="C6307" i="1"/>
  <c r="D6307" i="1"/>
  <c r="E6307" i="1"/>
  <c r="F6307" i="1"/>
  <c r="G6307" i="1"/>
  <c r="H6307" i="1"/>
  <c r="I6307" i="1"/>
  <c r="J6307" i="1"/>
  <c r="K6307" i="1"/>
  <c r="L6307" i="1"/>
  <c r="A6308" i="1"/>
  <c r="B6308" i="1"/>
  <c r="C6308" i="1"/>
  <c r="D6308" i="1"/>
  <c r="E6308" i="1"/>
  <c r="F6308" i="1"/>
  <c r="G6308" i="1"/>
  <c r="H6308" i="1"/>
  <c r="I6308" i="1"/>
  <c r="J6308" i="1"/>
  <c r="K6308" i="1"/>
  <c r="L6308" i="1"/>
  <c r="A6309" i="1"/>
  <c r="B6309" i="1"/>
  <c r="C6309" i="1"/>
  <c r="D6309" i="1"/>
  <c r="E6309" i="1"/>
  <c r="F6309" i="1"/>
  <c r="G6309" i="1"/>
  <c r="H6309" i="1"/>
  <c r="I6309" i="1"/>
  <c r="J6309" i="1"/>
  <c r="K6309" i="1"/>
  <c r="L6309" i="1"/>
  <c r="A6310" i="1"/>
  <c r="B6310" i="1"/>
  <c r="C6310" i="1"/>
  <c r="D6310" i="1"/>
  <c r="E6310" i="1"/>
  <c r="F6310" i="1"/>
  <c r="G6310" i="1"/>
  <c r="H6310" i="1"/>
  <c r="I6310" i="1"/>
  <c r="J6310" i="1"/>
  <c r="K6310" i="1"/>
  <c r="L6310" i="1"/>
  <c r="A6311" i="1"/>
  <c r="B6311" i="1"/>
  <c r="C6311" i="1"/>
  <c r="D6311" i="1"/>
  <c r="E6311" i="1"/>
  <c r="F6311" i="1"/>
  <c r="G6311" i="1"/>
  <c r="H6311" i="1"/>
  <c r="I6311" i="1"/>
  <c r="J6311" i="1"/>
  <c r="K6311" i="1"/>
  <c r="L6311" i="1"/>
  <c r="A6312" i="1"/>
  <c r="B6312" i="1"/>
  <c r="C6312" i="1"/>
  <c r="D6312" i="1"/>
  <c r="E6312" i="1"/>
  <c r="F6312" i="1"/>
  <c r="G6312" i="1"/>
  <c r="H6312" i="1"/>
  <c r="I6312" i="1"/>
  <c r="J6312" i="1"/>
  <c r="K6312" i="1"/>
  <c r="L6312" i="1"/>
  <c r="A6313" i="1"/>
  <c r="B6313" i="1"/>
  <c r="C6313" i="1"/>
  <c r="D6313" i="1"/>
  <c r="E6313" i="1"/>
  <c r="F6313" i="1"/>
  <c r="G6313" i="1"/>
  <c r="H6313" i="1"/>
  <c r="I6313" i="1"/>
  <c r="J6313" i="1"/>
  <c r="K6313" i="1"/>
  <c r="L6313" i="1"/>
  <c r="A6314" i="1"/>
  <c r="B6314" i="1"/>
  <c r="C6314" i="1"/>
  <c r="D6314" i="1"/>
  <c r="E6314" i="1"/>
  <c r="F6314" i="1"/>
  <c r="G6314" i="1"/>
  <c r="H6314" i="1"/>
  <c r="I6314" i="1"/>
  <c r="J6314" i="1"/>
  <c r="K6314" i="1"/>
  <c r="L6314" i="1"/>
  <c r="A6315" i="1"/>
  <c r="B6315" i="1"/>
  <c r="C6315" i="1"/>
  <c r="D6315" i="1"/>
  <c r="E6315" i="1"/>
  <c r="F6315" i="1"/>
  <c r="G6315" i="1"/>
  <c r="H6315" i="1"/>
  <c r="I6315" i="1"/>
  <c r="J6315" i="1"/>
  <c r="K6315" i="1"/>
  <c r="L6315" i="1"/>
  <c r="A6316" i="1"/>
  <c r="B6316" i="1"/>
  <c r="C6316" i="1"/>
  <c r="D6316" i="1"/>
  <c r="E6316" i="1"/>
  <c r="F6316" i="1"/>
  <c r="G6316" i="1"/>
  <c r="H6316" i="1"/>
  <c r="I6316" i="1"/>
  <c r="J6316" i="1"/>
  <c r="K6316" i="1"/>
  <c r="L6316" i="1"/>
  <c r="A6317" i="1"/>
  <c r="B6317" i="1"/>
  <c r="C6317" i="1"/>
  <c r="D6317" i="1"/>
  <c r="E6317" i="1"/>
  <c r="F6317" i="1"/>
  <c r="G6317" i="1"/>
  <c r="H6317" i="1"/>
  <c r="I6317" i="1"/>
  <c r="J6317" i="1"/>
  <c r="K6317" i="1"/>
  <c r="L6317" i="1"/>
  <c r="A6318" i="1"/>
  <c r="B6318" i="1"/>
  <c r="C6318" i="1"/>
  <c r="D6318" i="1"/>
  <c r="E6318" i="1"/>
  <c r="F6318" i="1"/>
  <c r="G6318" i="1"/>
  <c r="H6318" i="1"/>
  <c r="I6318" i="1"/>
  <c r="J6318" i="1"/>
  <c r="K6318" i="1"/>
  <c r="L6318" i="1"/>
  <c r="A6319" i="1"/>
  <c r="B6319" i="1"/>
  <c r="C6319" i="1"/>
  <c r="D6319" i="1"/>
  <c r="E6319" i="1"/>
  <c r="F6319" i="1"/>
  <c r="G6319" i="1"/>
  <c r="H6319" i="1"/>
  <c r="I6319" i="1"/>
  <c r="J6319" i="1"/>
  <c r="K6319" i="1"/>
  <c r="L6319" i="1"/>
  <c r="A6320" i="1"/>
  <c r="B6320" i="1"/>
  <c r="C6320" i="1"/>
  <c r="D6320" i="1"/>
  <c r="E6320" i="1"/>
  <c r="F6320" i="1"/>
  <c r="G6320" i="1"/>
  <c r="H6320" i="1"/>
  <c r="I6320" i="1"/>
  <c r="J6320" i="1"/>
  <c r="K6320" i="1"/>
  <c r="L6320" i="1"/>
  <c r="A6321" i="1"/>
  <c r="B6321" i="1"/>
  <c r="C6321" i="1"/>
  <c r="D6321" i="1"/>
  <c r="E6321" i="1"/>
  <c r="F6321" i="1"/>
  <c r="G6321" i="1"/>
  <c r="H6321" i="1"/>
  <c r="I6321" i="1"/>
  <c r="J6321" i="1"/>
  <c r="K6321" i="1"/>
  <c r="L6321" i="1"/>
  <c r="A6322" i="1"/>
  <c r="B6322" i="1"/>
  <c r="C6322" i="1"/>
  <c r="D6322" i="1"/>
  <c r="E6322" i="1"/>
  <c r="F6322" i="1"/>
  <c r="G6322" i="1"/>
  <c r="H6322" i="1"/>
  <c r="I6322" i="1"/>
  <c r="J6322" i="1"/>
  <c r="K6322" i="1"/>
  <c r="L6322" i="1"/>
  <c r="A6323" i="1"/>
  <c r="B6323" i="1"/>
  <c r="C6323" i="1"/>
  <c r="D6323" i="1"/>
  <c r="E6323" i="1"/>
  <c r="F6323" i="1"/>
  <c r="G6323" i="1"/>
  <c r="H6323" i="1"/>
  <c r="I6323" i="1"/>
  <c r="J6323" i="1"/>
  <c r="K6323" i="1"/>
  <c r="L6323" i="1"/>
  <c r="A6324" i="1"/>
  <c r="B6324" i="1"/>
  <c r="C6324" i="1"/>
  <c r="D6324" i="1"/>
  <c r="E6324" i="1"/>
  <c r="F6324" i="1"/>
  <c r="G6324" i="1"/>
  <c r="H6324" i="1"/>
  <c r="I6324" i="1"/>
  <c r="J6324" i="1"/>
  <c r="K6324" i="1"/>
  <c r="L6324" i="1"/>
  <c r="A6325" i="1"/>
  <c r="B6325" i="1"/>
  <c r="C6325" i="1"/>
  <c r="D6325" i="1"/>
  <c r="E6325" i="1"/>
  <c r="F6325" i="1"/>
  <c r="G6325" i="1"/>
  <c r="H6325" i="1"/>
  <c r="I6325" i="1"/>
  <c r="J6325" i="1"/>
  <c r="K6325" i="1"/>
  <c r="L6325" i="1"/>
  <c r="A6326" i="1"/>
  <c r="B6326" i="1"/>
  <c r="C6326" i="1"/>
  <c r="D6326" i="1"/>
  <c r="E6326" i="1"/>
  <c r="F6326" i="1"/>
  <c r="G6326" i="1"/>
  <c r="H6326" i="1"/>
  <c r="I6326" i="1"/>
  <c r="J6326" i="1"/>
  <c r="K6326" i="1"/>
  <c r="L6326" i="1"/>
  <c r="A6327" i="1"/>
  <c r="B6327" i="1"/>
  <c r="C6327" i="1"/>
  <c r="D6327" i="1"/>
  <c r="E6327" i="1"/>
  <c r="F6327" i="1"/>
  <c r="G6327" i="1"/>
  <c r="H6327" i="1"/>
  <c r="I6327" i="1"/>
  <c r="J6327" i="1"/>
  <c r="K6327" i="1"/>
  <c r="L6327" i="1"/>
  <c r="A6328" i="1"/>
  <c r="B6328" i="1"/>
  <c r="C6328" i="1"/>
  <c r="D6328" i="1"/>
  <c r="E6328" i="1"/>
  <c r="F6328" i="1"/>
  <c r="G6328" i="1"/>
  <c r="H6328" i="1"/>
  <c r="I6328" i="1"/>
  <c r="J6328" i="1"/>
  <c r="K6328" i="1"/>
  <c r="L6328" i="1"/>
  <c r="A6329" i="1"/>
  <c r="B6329" i="1"/>
  <c r="C6329" i="1"/>
  <c r="D6329" i="1"/>
  <c r="E6329" i="1"/>
  <c r="F6329" i="1"/>
  <c r="G6329" i="1"/>
  <c r="H6329" i="1"/>
  <c r="I6329" i="1"/>
  <c r="J6329" i="1"/>
  <c r="K6329" i="1"/>
  <c r="L6329" i="1"/>
  <c r="A6330" i="1"/>
  <c r="B6330" i="1"/>
  <c r="C6330" i="1"/>
  <c r="D6330" i="1"/>
  <c r="E6330" i="1"/>
  <c r="F6330" i="1"/>
  <c r="G6330" i="1"/>
  <c r="H6330" i="1"/>
  <c r="I6330" i="1"/>
  <c r="J6330" i="1"/>
  <c r="K6330" i="1"/>
  <c r="L6330" i="1"/>
  <c r="A6331" i="1"/>
  <c r="B6331" i="1"/>
  <c r="C6331" i="1"/>
  <c r="D6331" i="1"/>
  <c r="E6331" i="1"/>
  <c r="F6331" i="1"/>
  <c r="G6331" i="1"/>
  <c r="H6331" i="1"/>
  <c r="I6331" i="1"/>
  <c r="J6331" i="1"/>
  <c r="K6331" i="1"/>
  <c r="L6331" i="1"/>
  <c r="A6332" i="1"/>
  <c r="B6332" i="1"/>
  <c r="C6332" i="1"/>
  <c r="D6332" i="1"/>
  <c r="E6332" i="1"/>
  <c r="F6332" i="1"/>
  <c r="G6332" i="1"/>
  <c r="H6332" i="1"/>
  <c r="I6332" i="1"/>
  <c r="J6332" i="1"/>
  <c r="K6332" i="1"/>
  <c r="L6332" i="1"/>
  <c r="A6333" i="1"/>
  <c r="B6333" i="1"/>
  <c r="C6333" i="1"/>
  <c r="D6333" i="1"/>
  <c r="E6333" i="1"/>
  <c r="F6333" i="1"/>
  <c r="G6333" i="1"/>
  <c r="H6333" i="1"/>
  <c r="I6333" i="1"/>
  <c r="J6333" i="1"/>
  <c r="K6333" i="1"/>
  <c r="L6333" i="1"/>
  <c r="A6334" i="1"/>
  <c r="B6334" i="1"/>
  <c r="C6334" i="1"/>
  <c r="D6334" i="1"/>
  <c r="E6334" i="1"/>
  <c r="F6334" i="1"/>
  <c r="G6334" i="1"/>
  <c r="H6334" i="1"/>
  <c r="I6334" i="1"/>
  <c r="J6334" i="1"/>
  <c r="K6334" i="1"/>
  <c r="L6334" i="1"/>
  <c r="A6335" i="1"/>
  <c r="B6335" i="1"/>
  <c r="C6335" i="1"/>
  <c r="D6335" i="1"/>
  <c r="E6335" i="1"/>
  <c r="F6335" i="1"/>
  <c r="G6335" i="1"/>
  <c r="H6335" i="1"/>
  <c r="I6335" i="1"/>
  <c r="J6335" i="1"/>
  <c r="K6335" i="1"/>
  <c r="L6335" i="1"/>
  <c r="A6336" i="1"/>
  <c r="B6336" i="1"/>
  <c r="C6336" i="1"/>
  <c r="D6336" i="1"/>
  <c r="E6336" i="1"/>
  <c r="F6336" i="1"/>
  <c r="G6336" i="1"/>
  <c r="H6336" i="1"/>
  <c r="I6336" i="1"/>
  <c r="J6336" i="1"/>
  <c r="K6336" i="1"/>
  <c r="L6336" i="1"/>
  <c r="A6337" i="1"/>
  <c r="B6337" i="1"/>
  <c r="C6337" i="1"/>
  <c r="D6337" i="1"/>
  <c r="E6337" i="1"/>
  <c r="F6337" i="1"/>
  <c r="G6337" i="1"/>
  <c r="H6337" i="1"/>
  <c r="I6337" i="1"/>
  <c r="J6337" i="1"/>
  <c r="K6337" i="1"/>
  <c r="L6337" i="1"/>
  <c r="A6338" i="1"/>
  <c r="B6338" i="1"/>
  <c r="C6338" i="1"/>
  <c r="D6338" i="1"/>
  <c r="E6338" i="1"/>
  <c r="F6338" i="1"/>
  <c r="G6338" i="1"/>
  <c r="H6338" i="1"/>
  <c r="I6338" i="1"/>
  <c r="J6338" i="1"/>
  <c r="K6338" i="1"/>
  <c r="L6338" i="1"/>
  <c r="A6339" i="1"/>
  <c r="B6339" i="1"/>
  <c r="C6339" i="1"/>
  <c r="D6339" i="1"/>
  <c r="E6339" i="1"/>
  <c r="F6339" i="1"/>
  <c r="G6339" i="1"/>
  <c r="H6339" i="1"/>
  <c r="I6339" i="1"/>
  <c r="J6339" i="1"/>
  <c r="K6339" i="1"/>
  <c r="L6339" i="1"/>
  <c r="A6340" i="1"/>
  <c r="B6340" i="1"/>
  <c r="C6340" i="1"/>
  <c r="D6340" i="1"/>
  <c r="E6340" i="1"/>
  <c r="F6340" i="1"/>
  <c r="G6340" i="1"/>
  <c r="H6340" i="1"/>
  <c r="I6340" i="1"/>
  <c r="J6340" i="1"/>
  <c r="K6340" i="1"/>
  <c r="L6340" i="1"/>
  <c r="A6341" i="1"/>
  <c r="B6341" i="1"/>
  <c r="C6341" i="1"/>
  <c r="D6341" i="1"/>
  <c r="E6341" i="1"/>
  <c r="F6341" i="1"/>
  <c r="G6341" i="1"/>
  <c r="H6341" i="1"/>
  <c r="I6341" i="1"/>
  <c r="J6341" i="1"/>
  <c r="K6341" i="1"/>
  <c r="L6341" i="1"/>
  <c r="A6342" i="1"/>
  <c r="B6342" i="1"/>
  <c r="C6342" i="1"/>
  <c r="D6342" i="1"/>
  <c r="E6342" i="1"/>
  <c r="F6342" i="1"/>
  <c r="G6342" i="1"/>
  <c r="H6342" i="1"/>
  <c r="I6342" i="1"/>
  <c r="J6342" i="1"/>
  <c r="K6342" i="1"/>
  <c r="L6342" i="1"/>
  <c r="A6343" i="1"/>
  <c r="B6343" i="1"/>
  <c r="C6343" i="1"/>
  <c r="D6343" i="1"/>
  <c r="E6343" i="1"/>
  <c r="F6343" i="1"/>
  <c r="G6343" i="1"/>
  <c r="H6343" i="1"/>
  <c r="I6343" i="1"/>
  <c r="J6343" i="1"/>
  <c r="K6343" i="1"/>
  <c r="L6343" i="1"/>
  <c r="A6344" i="1"/>
  <c r="B6344" i="1"/>
  <c r="C6344" i="1"/>
  <c r="D6344" i="1"/>
  <c r="E6344" i="1"/>
  <c r="F6344" i="1"/>
  <c r="G6344" i="1"/>
  <c r="H6344" i="1"/>
  <c r="I6344" i="1"/>
  <c r="J6344" i="1"/>
  <c r="K6344" i="1"/>
  <c r="L6344" i="1"/>
  <c r="A6345" i="1"/>
  <c r="B6345" i="1"/>
  <c r="C6345" i="1"/>
  <c r="D6345" i="1"/>
  <c r="E6345" i="1"/>
  <c r="F6345" i="1"/>
  <c r="G6345" i="1"/>
  <c r="H6345" i="1"/>
  <c r="I6345" i="1"/>
  <c r="J6345" i="1"/>
  <c r="K6345" i="1"/>
  <c r="L6345" i="1"/>
  <c r="A6346" i="1"/>
  <c r="B6346" i="1"/>
  <c r="C6346" i="1"/>
  <c r="D6346" i="1"/>
  <c r="E6346" i="1"/>
  <c r="F6346" i="1"/>
  <c r="G6346" i="1"/>
  <c r="H6346" i="1"/>
  <c r="I6346" i="1"/>
  <c r="J6346" i="1"/>
  <c r="K6346" i="1"/>
  <c r="L6346" i="1"/>
  <c r="A6347" i="1"/>
  <c r="B6347" i="1"/>
  <c r="C6347" i="1"/>
  <c r="D6347" i="1"/>
  <c r="E6347" i="1"/>
  <c r="F6347" i="1"/>
  <c r="G6347" i="1"/>
  <c r="H6347" i="1"/>
  <c r="I6347" i="1"/>
  <c r="J6347" i="1"/>
  <c r="K6347" i="1"/>
  <c r="L6347" i="1"/>
  <c r="A6348" i="1"/>
  <c r="B6348" i="1"/>
  <c r="C6348" i="1"/>
  <c r="D6348" i="1"/>
  <c r="E6348" i="1"/>
  <c r="F6348" i="1"/>
  <c r="G6348" i="1"/>
  <c r="H6348" i="1"/>
  <c r="I6348" i="1"/>
  <c r="J6348" i="1"/>
  <c r="K6348" i="1"/>
  <c r="L6348" i="1"/>
  <c r="A6349" i="1"/>
  <c r="B6349" i="1"/>
  <c r="C6349" i="1"/>
  <c r="D6349" i="1"/>
  <c r="E6349" i="1"/>
  <c r="F6349" i="1"/>
  <c r="G6349" i="1"/>
  <c r="H6349" i="1"/>
  <c r="I6349" i="1"/>
  <c r="J6349" i="1"/>
  <c r="K6349" i="1"/>
  <c r="L6349" i="1"/>
  <c r="A6350" i="1"/>
  <c r="B6350" i="1"/>
  <c r="C6350" i="1"/>
  <c r="D6350" i="1"/>
  <c r="E6350" i="1"/>
  <c r="F6350" i="1"/>
  <c r="G6350" i="1"/>
  <c r="H6350" i="1"/>
  <c r="I6350" i="1"/>
  <c r="J6350" i="1"/>
  <c r="K6350" i="1"/>
  <c r="L6350" i="1"/>
  <c r="A6351" i="1"/>
  <c r="B6351" i="1"/>
  <c r="C6351" i="1"/>
  <c r="D6351" i="1"/>
  <c r="E6351" i="1"/>
  <c r="F6351" i="1"/>
  <c r="G6351" i="1"/>
  <c r="H6351" i="1"/>
  <c r="I6351" i="1"/>
  <c r="J6351" i="1"/>
  <c r="K6351" i="1"/>
  <c r="L6351" i="1"/>
  <c r="A6352" i="1"/>
  <c r="B6352" i="1"/>
  <c r="C6352" i="1"/>
  <c r="D6352" i="1"/>
  <c r="E6352" i="1"/>
  <c r="F6352" i="1"/>
  <c r="G6352" i="1"/>
  <c r="H6352" i="1"/>
  <c r="I6352" i="1"/>
  <c r="J6352" i="1"/>
  <c r="K6352" i="1"/>
  <c r="L6352" i="1"/>
  <c r="A6353" i="1"/>
  <c r="B6353" i="1"/>
  <c r="C6353" i="1"/>
  <c r="D6353" i="1"/>
  <c r="E6353" i="1"/>
  <c r="F6353" i="1"/>
  <c r="G6353" i="1"/>
  <c r="H6353" i="1"/>
  <c r="I6353" i="1"/>
  <c r="J6353" i="1"/>
  <c r="K6353" i="1"/>
  <c r="L6353" i="1"/>
  <c r="A6354" i="1"/>
  <c r="B6354" i="1"/>
  <c r="C6354" i="1"/>
  <c r="D6354" i="1"/>
  <c r="E6354" i="1"/>
  <c r="F6354" i="1"/>
  <c r="G6354" i="1"/>
  <c r="H6354" i="1"/>
  <c r="I6354" i="1"/>
  <c r="J6354" i="1"/>
  <c r="K6354" i="1"/>
  <c r="L6354" i="1"/>
  <c r="A6355" i="1"/>
  <c r="B6355" i="1"/>
  <c r="C6355" i="1"/>
  <c r="D6355" i="1"/>
  <c r="E6355" i="1"/>
  <c r="F6355" i="1"/>
  <c r="G6355" i="1"/>
  <c r="H6355" i="1"/>
  <c r="I6355" i="1"/>
  <c r="J6355" i="1"/>
  <c r="K6355" i="1"/>
  <c r="L6355" i="1"/>
  <c r="A6356" i="1"/>
  <c r="B6356" i="1"/>
  <c r="C6356" i="1"/>
  <c r="D6356" i="1"/>
  <c r="E6356" i="1"/>
  <c r="F6356" i="1"/>
  <c r="G6356" i="1"/>
  <c r="H6356" i="1"/>
  <c r="I6356" i="1"/>
  <c r="J6356" i="1"/>
  <c r="K6356" i="1"/>
  <c r="L6356" i="1"/>
  <c r="A6357" i="1"/>
  <c r="B6357" i="1"/>
  <c r="C6357" i="1"/>
  <c r="D6357" i="1"/>
  <c r="E6357" i="1"/>
  <c r="F6357" i="1"/>
  <c r="G6357" i="1"/>
  <c r="H6357" i="1"/>
  <c r="I6357" i="1"/>
  <c r="J6357" i="1"/>
  <c r="K6357" i="1"/>
  <c r="L6357" i="1"/>
  <c r="A6358" i="1"/>
  <c r="B6358" i="1"/>
  <c r="C6358" i="1"/>
  <c r="D6358" i="1"/>
  <c r="E6358" i="1"/>
  <c r="F6358" i="1"/>
  <c r="G6358" i="1"/>
  <c r="H6358" i="1"/>
  <c r="I6358" i="1"/>
  <c r="J6358" i="1"/>
  <c r="K6358" i="1"/>
  <c r="L6358" i="1"/>
  <c r="A6359" i="1"/>
  <c r="B6359" i="1"/>
  <c r="C6359" i="1"/>
  <c r="D6359" i="1"/>
  <c r="E6359" i="1"/>
  <c r="F6359" i="1"/>
  <c r="G6359" i="1"/>
  <c r="H6359" i="1"/>
  <c r="I6359" i="1"/>
  <c r="J6359" i="1"/>
  <c r="K6359" i="1"/>
  <c r="L6359" i="1"/>
  <c r="A6360" i="1"/>
  <c r="B6360" i="1"/>
  <c r="C6360" i="1"/>
  <c r="D6360" i="1"/>
  <c r="E6360" i="1"/>
  <c r="F6360" i="1"/>
  <c r="G6360" i="1"/>
  <c r="H6360" i="1"/>
  <c r="I6360" i="1"/>
  <c r="J6360" i="1"/>
  <c r="K6360" i="1"/>
  <c r="L6360" i="1"/>
  <c r="A6361" i="1"/>
  <c r="B6361" i="1"/>
  <c r="C6361" i="1"/>
  <c r="D6361" i="1"/>
  <c r="E6361" i="1"/>
  <c r="F6361" i="1"/>
  <c r="G6361" i="1"/>
  <c r="H6361" i="1"/>
  <c r="I6361" i="1"/>
  <c r="J6361" i="1"/>
  <c r="K6361" i="1"/>
  <c r="L6361" i="1"/>
  <c r="A6362" i="1"/>
  <c r="B6362" i="1"/>
  <c r="C6362" i="1"/>
  <c r="D6362" i="1"/>
  <c r="E6362" i="1"/>
  <c r="F6362" i="1"/>
  <c r="G6362" i="1"/>
  <c r="H6362" i="1"/>
  <c r="I6362" i="1"/>
  <c r="J6362" i="1"/>
  <c r="K6362" i="1"/>
  <c r="L6362" i="1"/>
  <c r="A6363" i="1"/>
  <c r="B6363" i="1"/>
  <c r="C6363" i="1"/>
  <c r="D6363" i="1"/>
  <c r="E6363" i="1"/>
  <c r="F6363" i="1"/>
  <c r="G6363" i="1"/>
  <c r="H6363" i="1"/>
  <c r="I6363" i="1"/>
  <c r="J6363" i="1"/>
  <c r="K6363" i="1"/>
  <c r="L6363" i="1"/>
  <c r="A6364" i="1"/>
  <c r="B6364" i="1"/>
  <c r="C6364" i="1"/>
  <c r="D6364" i="1"/>
  <c r="E6364" i="1"/>
  <c r="F6364" i="1"/>
  <c r="G6364" i="1"/>
  <c r="H6364" i="1"/>
  <c r="I6364" i="1"/>
  <c r="J6364" i="1"/>
  <c r="K6364" i="1"/>
  <c r="L6364" i="1"/>
  <c r="A6365" i="1"/>
  <c r="B6365" i="1"/>
  <c r="C6365" i="1"/>
  <c r="D6365" i="1"/>
  <c r="E6365" i="1"/>
  <c r="F6365" i="1"/>
  <c r="G6365" i="1"/>
  <c r="H6365" i="1"/>
  <c r="I6365" i="1"/>
  <c r="J6365" i="1"/>
  <c r="K6365" i="1"/>
  <c r="L6365" i="1"/>
  <c r="A6366" i="1"/>
  <c r="B6366" i="1"/>
  <c r="C6366" i="1"/>
  <c r="D6366" i="1"/>
  <c r="E6366" i="1"/>
  <c r="F6366" i="1"/>
  <c r="G6366" i="1"/>
  <c r="H6366" i="1"/>
  <c r="I6366" i="1"/>
  <c r="J6366" i="1"/>
  <c r="K6366" i="1"/>
  <c r="L6366" i="1"/>
  <c r="A6367" i="1"/>
  <c r="B6367" i="1"/>
  <c r="C6367" i="1"/>
  <c r="D6367" i="1"/>
  <c r="E6367" i="1"/>
  <c r="F6367" i="1"/>
  <c r="G6367" i="1"/>
  <c r="H6367" i="1"/>
  <c r="I6367" i="1"/>
  <c r="J6367" i="1"/>
  <c r="K6367" i="1"/>
  <c r="L6367" i="1"/>
  <c r="A6368" i="1"/>
  <c r="B6368" i="1"/>
  <c r="C6368" i="1"/>
  <c r="D6368" i="1"/>
  <c r="E6368" i="1"/>
  <c r="F6368" i="1"/>
  <c r="G6368" i="1"/>
  <c r="H6368" i="1"/>
  <c r="I6368" i="1"/>
  <c r="J6368" i="1"/>
  <c r="K6368" i="1"/>
  <c r="L6368" i="1"/>
  <c r="A6369" i="1"/>
  <c r="B6369" i="1"/>
  <c r="C6369" i="1"/>
  <c r="D6369" i="1"/>
  <c r="E6369" i="1"/>
  <c r="F6369" i="1"/>
  <c r="G6369" i="1"/>
  <c r="H6369" i="1"/>
  <c r="I6369" i="1"/>
  <c r="J6369" i="1"/>
  <c r="K6369" i="1"/>
  <c r="L6369" i="1"/>
  <c r="A6370" i="1"/>
  <c r="B6370" i="1"/>
  <c r="C6370" i="1"/>
  <c r="D6370" i="1"/>
  <c r="E6370" i="1"/>
  <c r="F6370" i="1"/>
  <c r="G6370" i="1"/>
  <c r="H6370" i="1"/>
  <c r="I6370" i="1"/>
  <c r="J6370" i="1"/>
  <c r="K6370" i="1"/>
  <c r="L6370" i="1"/>
  <c r="A6371" i="1"/>
  <c r="B6371" i="1"/>
  <c r="C6371" i="1"/>
  <c r="D6371" i="1"/>
  <c r="E6371" i="1"/>
  <c r="F6371" i="1"/>
  <c r="G6371" i="1"/>
  <c r="H6371" i="1"/>
  <c r="I6371" i="1"/>
  <c r="J6371" i="1"/>
  <c r="K6371" i="1"/>
  <c r="L6371" i="1"/>
  <c r="A6372" i="1"/>
  <c r="B6372" i="1"/>
  <c r="C6372" i="1"/>
  <c r="D6372" i="1"/>
  <c r="E6372" i="1"/>
  <c r="F6372" i="1"/>
  <c r="G6372" i="1"/>
  <c r="H6372" i="1"/>
  <c r="I6372" i="1"/>
  <c r="J6372" i="1"/>
  <c r="K6372" i="1"/>
  <c r="L6372" i="1"/>
  <c r="A6373" i="1"/>
  <c r="B6373" i="1"/>
  <c r="C6373" i="1"/>
  <c r="D6373" i="1"/>
  <c r="E6373" i="1"/>
  <c r="F6373" i="1"/>
  <c r="G6373" i="1"/>
  <c r="H6373" i="1"/>
  <c r="I6373" i="1"/>
  <c r="J6373" i="1"/>
  <c r="K6373" i="1"/>
  <c r="L6373" i="1"/>
  <c r="A6374" i="1"/>
  <c r="B6374" i="1"/>
  <c r="C6374" i="1"/>
  <c r="D6374" i="1"/>
  <c r="E6374" i="1"/>
  <c r="F6374" i="1"/>
  <c r="G6374" i="1"/>
  <c r="H6374" i="1"/>
  <c r="I6374" i="1"/>
  <c r="J6374" i="1"/>
  <c r="K6374" i="1"/>
  <c r="L6374" i="1"/>
  <c r="A6375" i="1"/>
  <c r="B6375" i="1"/>
  <c r="C6375" i="1"/>
  <c r="D6375" i="1"/>
  <c r="E6375" i="1"/>
  <c r="F6375" i="1"/>
  <c r="G6375" i="1"/>
  <c r="H6375" i="1"/>
  <c r="I6375" i="1"/>
  <c r="J6375" i="1"/>
  <c r="K6375" i="1"/>
  <c r="L6375" i="1"/>
  <c r="A6376" i="1"/>
  <c r="B6376" i="1"/>
  <c r="C6376" i="1"/>
  <c r="D6376" i="1"/>
  <c r="E6376" i="1"/>
  <c r="F6376" i="1"/>
  <c r="G6376" i="1"/>
  <c r="H6376" i="1"/>
  <c r="I6376" i="1"/>
  <c r="J6376" i="1"/>
  <c r="K6376" i="1"/>
  <c r="L6376" i="1"/>
  <c r="A6377" i="1"/>
  <c r="B6377" i="1"/>
  <c r="C6377" i="1"/>
  <c r="D6377" i="1"/>
  <c r="E6377" i="1"/>
  <c r="F6377" i="1"/>
  <c r="G6377" i="1"/>
  <c r="H6377" i="1"/>
  <c r="I6377" i="1"/>
  <c r="J6377" i="1"/>
  <c r="K6377" i="1"/>
  <c r="L6377" i="1"/>
  <c r="A6378" i="1"/>
  <c r="B6378" i="1"/>
  <c r="C6378" i="1"/>
  <c r="D6378" i="1"/>
  <c r="E6378" i="1"/>
  <c r="F6378" i="1"/>
  <c r="G6378" i="1"/>
  <c r="H6378" i="1"/>
  <c r="I6378" i="1"/>
  <c r="J6378" i="1"/>
  <c r="K6378" i="1"/>
  <c r="L6378" i="1"/>
  <c r="A6379" i="1"/>
  <c r="B6379" i="1"/>
  <c r="C6379" i="1"/>
  <c r="D6379" i="1"/>
  <c r="E6379" i="1"/>
  <c r="F6379" i="1"/>
  <c r="G6379" i="1"/>
  <c r="H6379" i="1"/>
  <c r="I6379" i="1"/>
  <c r="J6379" i="1"/>
  <c r="K6379" i="1"/>
  <c r="L6379" i="1"/>
  <c r="A6380" i="1"/>
  <c r="B6380" i="1"/>
  <c r="C6380" i="1"/>
  <c r="D6380" i="1"/>
  <c r="E6380" i="1"/>
  <c r="F6380" i="1"/>
  <c r="G6380" i="1"/>
  <c r="H6380" i="1"/>
  <c r="I6380" i="1"/>
  <c r="J6380" i="1"/>
  <c r="K6380" i="1"/>
  <c r="L6380" i="1"/>
  <c r="A6381" i="1"/>
  <c r="B6381" i="1"/>
  <c r="C6381" i="1"/>
  <c r="D6381" i="1"/>
  <c r="E6381" i="1"/>
  <c r="F6381" i="1"/>
  <c r="G6381" i="1"/>
  <c r="H6381" i="1"/>
  <c r="I6381" i="1"/>
  <c r="J6381" i="1"/>
  <c r="K6381" i="1"/>
  <c r="L6381" i="1"/>
  <c r="A6382" i="1"/>
  <c r="B6382" i="1"/>
  <c r="C6382" i="1"/>
  <c r="D6382" i="1"/>
  <c r="E6382" i="1"/>
  <c r="F6382" i="1"/>
  <c r="G6382" i="1"/>
  <c r="H6382" i="1"/>
  <c r="I6382" i="1"/>
  <c r="J6382" i="1"/>
  <c r="K6382" i="1"/>
  <c r="L6382" i="1"/>
  <c r="A6383" i="1"/>
  <c r="B6383" i="1"/>
  <c r="C6383" i="1"/>
  <c r="D6383" i="1"/>
  <c r="E6383" i="1"/>
  <c r="F6383" i="1"/>
  <c r="G6383" i="1"/>
  <c r="H6383" i="1"/>
  <c r="I6383" i="1"/>
  <c r="J6383" i="1"/>
  <c r="K6383" i="1"/>
  <c r="L6383" i="1"/>
  <c r="A6384" i="1"/>
  <c r="B6384" i="1"/>
  <c r="C6384" i="1"/>
  <c r="D6384" i="1"/>
  <c r="E6384" i="1"/>
  <c r="F6384" i="1"/>
  <c r="G6384" i="1"/>
  <c r="H6384" i="1"/>
  <c r="I6384" i="1"/>
  <c r="J6384" i="1"/>
  <c r="K6384" i="1"/>
  <c r="L6384" i="1"/>
  <c r="A6385" i="1"/>
  <c r="B6385" i="1"/>
  <c r="C6385" i="1"/>
  <c r="D6385" i="1"/>
  <c r="E6385" i="1"/>
  <c r="F6385" i="1"/>
  <c r="G6385" i="1"/>
  <c r="H6385" i="1"/>
  <c r="I6385" i="1"/>
  <c r="J6385" i="1"/>
  <c r="K6385" i="1"/>
  <c r="L6385" i="1"/>
  <c r="A6386" i="1"/>
  <c r="B6386" i="1"/>
  <c r="C6386" i="1"/>
  <c r="D6386" i="1"/>
  <c r="E6386" i="1"/>
  <c r="F6386" i="1"/>
  <c r="G6386" i="1"/>
  <c r="H6386" i="1"/>
  <c r="I6386" i="1"/>
  <c r="J6386" i="1"/>
  <c r="K6386" i="1"/>
  <c r="L6386" i="1"/>
  <c r="A6387" i="1"/>
  <c r="B6387" i="1"/>
  <c r="C6387" i="1"/>
  <c r="D6387" i="1"/>
  <c r="E6387" i="1"/>
  <c r="F6387" i="1"/>
  <c r="G6387" i="1"/>
  <c r="H6387" i="1"/>
  <c r="I6387" i="1"/>
  <c r="J6387" i="1"/>
  <c r="K6387" i="1"/>
  <c r="L6387" i="1"/>
  <c r="A6388" i="1"/>
  <c r="B6388" i="1"/>
  <c r="C6388" i="1"/>
  <c r="D6388" i="1"/>
  <c r="E6388" i="1"/>
  <c r="F6388" i="1"/>
  <c r="G6388" i="1"/>
  <c r="H6388" i="1"/>
  <c r="I6388" i="1"/>
  <c r="J6388" i="1"/>
  <c r="K6388" i="1"/>
  <c r="L6388" i="1"/>
  <c r="A6389" i="1"/>
  <c r="B6389" i="1"/>
  <c r="C6389" i="1"/>
  <c r="D6389" i="1"/>
  <c r="E6389" i="1"/>
  <c r="F6389" i="1"/>
  <c r="G6389" i="1"/>
  <c r="H6389" i="1"/>
  <c r="I6389" i="1"/>
  <c r="J6389" i="1"/>
  <c r="K6389" i="1"/>
  <c r="L6389" i="1"/>
  <c r="A6390" i="1"/>
  <c r="B6390" i="1"/>
  <c r="C6390" i="1"/>
  <c r="D6390" i="1"/>
  <c r="E6390" i="1"/>
  <c r="F6390" i="1"/>
  <c r="G6390" i="1"/>
  <c r="H6390" i="1"/>
  <c r="I6390" i="1"/>
  <c r="J6390" i="1"/>
  <c r="K6390" i="1"/>
  <c r="L6390" i="1"/>
  <c r="A6391" i="1"/>
  <c r="B6391" i="1"/>
  <c r="C6391" i="1"/>
  <c r="D6391" i="1"/>
  <c r="E6391" i="1"/>
  <c r="F6391" i="1"/>
  <c r="G6391" i="1"/>
  <c r="H6391" i="1"/>
  <c r="I6391" i="1"/>
  <c r="J6391" i="1"/>
  <c r="K6391" i="1"/>
  <c r="L6391" i="1"/>
  <c r="A6392" i="1"/>
  <c r="B6392" i="1"/>
  <c r="C6392" i="1"/>
  <c r="D6392" i="1"/>
  <c r="E6392" i="1"/>
  <c r="F6392" i="1"/>
  <c r="G6392" i="1"/>
  <c r="H6392" i="1"/>
  <c r="I6392" i="1"/>
  <c r="J6392" i="1"/>
  <c r="K6392" i="1"/>
  <c r="L6392" i="1"/>
  <c r="A6393" i="1"/>
  <c r="B6393" i="1"/>
  <c r="C6393" i="1"/>
  <c r="D6393" i="1"/>
  <c r="E6393" i="1"/>
  <c r="F6393" i="1"/>
  <c r="G6393" i="1"/>
  <c r="H6393" i="1"/>
  <c r="I6393" i="1"/>
  <c r="J6393" i="1"/>
  <c r="K6393" i="1"/>
  <c r="L6393" i="1"/>
  <c r="A6394" i="1"/>
  <c r="B6394" i="1"/>
  <c r="C6394" i="1"/>
  <c r="D6394" i="1"/>
  <c r="E6394" i="1"/>
  <c r="F6394" i="1"/>
  <c r="G6394" i="1"/>
  <c r="H6394" i="1"/>
  <c r="I6394" i="1"/>
  <c r="J6394" i="1"/>
  <c r="K6394" i="1"/>
  <c r="L6394" i="1"/>
  <c r="A6395" i="1"/>
  <c r="B6395" i="1"/>
  <c r="C6395" i="1"/>
  <c r="D6395" i="1"/>
  <c r="E6395" i="1"/>
  <c r="F6395" i="1"/>
  <c r="G6395" i="1"/>
  <c r="H6395" i="1"/>
  <c r="I6395" i="1"/>
  <c r="J6395" i="1"/>
  <c r="K6395" i="1"/>
  <c r="L6395" i="1"/>
  <c r="A6396" i="1"/>
  <c r="B6396" i="1"/>
  <c r="C6396" i="1"/>
  <c r="D6396" i="1"/>
  <c r="E6396" i="1"/>
  <c r="F6396" i="1"/>
  <c r="G6396" i="1"/>
  <c r="H6396" i="1"/>
  <c r="I6396" i="1"/>
  <c r="J6396" i="1"/>
  <c r="K6396" i="1"/>
  <c r="L6396" i="1"/>
  <c r="A6397" i="1"/>
  <c r="B6397" i="1"/>
  <c r="C6397" i="1"/>
  <c r="D6397" i="1"/>
  <c r="E6397" i="1"/>
  <c r="F6397" i="1"/>
  <c r="G6397" i="1"/>
  <c r="H6397" i="1"/>
  <c r="I6397" i="1"/>
  <c r="J6397" i="1"/>
  <c r="K6397" i="1"/>
  <c r="L6397" i="1"/>
  <c r="A6398" i="1"/>
  <c r="B6398" i="1"/>
  <c r="C6398" i="1"/>
  <c r="D6398" i="1"/>
  <c r="E6398" i="1"/>
  <c r="F6398" i="1"/>
  <c r="G6398" i="1"/>
  <c r="H6398" i="1"/>
  <c r="I6398" i="1"/>
  <c r="J6398" i="1"/>
  <c r="K6398" i="1"/>
  <c r="L6398" i="1"/>
  <c r="A6399" i="1"/>
  <c r="B6399" i="1"/>
  <c r="C6399" i="1"/>
  <c r="D6399" i="1"/>
  <c r="E6399" i="1"/>
  <c r="F6399" i="1"/>
  <c r="G6399" i="1"/>
  <c r="H6399" i="1"/>
  <c r="I6399" i="1"/>
  <c r="J6399" i="1"/>
  <c r="K6399" i="1"/>
  <c r="L6399" i="1"/>
  <c r="A6400" i="1"/>
  <c r="B6400" i="1"/>
  <c r="C6400" i="1"/>
  <c r="D6400" i="1"/>
  <c r="E6400" i="1"/>
  <c r="F6400" i="1"/>
  <c r="G6400" i="1"/>
  <c r="H6400" i="1"/>
  <c r="I6400" i="1"/>
  <c r="J6400" i="1"/>
  <c r="K6400" i="1"/>
  <c r="L6400" i="1"/>
  <c r="A6401" i="1"/>
  <c r="B6401" i="1"/>
  <c r="C6401" i="1"/>
  <c r="D6401" i="1"/>
  <c r="E6401" i="1"/>
  <c r="F6401" i="1"/>
  <c r="G6401" i="1"/>
  <c r="H6401" i="1"/>
  <c r="I6401" i="1"/>
  <c r="J6401" i="1"/>
  <c r="K6401" i="1"/>
  <c r="L6401" i="1"/>
  <c r="A6402" i="1"/>
  <c r="B6402" i="1"/>
  <c r="C6402" i="1"/>
  <c r="D6402" i="1"/>
  <c r="E6402" i="1"/>
  <c r="F6402" i="1"/>
  <c r="G6402" i="1"/>
  <c r="H6402" i="1"/>
  <c r="I6402" i="1"/>
  <c r="J6402" i="1"/>
  <c r="K6402" i="1"/>
  <c r="L6402" i="1"/>
  <c r="A6403" i="1"/>
  <c r="B6403" i="1"/>
  <c r="C6403" i="1"/>
  <c r="D6403" i="1"/>
  <c r="E6403" i="1"/>
  <c r="F6403" i="1"/>
  <c r="G6403" i="1"/>
  <c r="H6403" i="1"/>
  <c r="I6403" i="1"/>
  <c r="J6403" i="1"/>
  <c r="K6403" i="1"/>
  <c r="L6403" i="1"/>
  <c r="A6404" i="1"/>
  <c r="B6404" i="1"/>
  <c r="C6404" i="1"/>
  <c r="D6404" i="1"/>
  <c r="E6404" i="1"/>
  <c r="F6404" i="1"/>
  <c r="G6404" i="1"/>
  <c r="H6404" i="1"/>
  <c r="I6404" i="1"/>
  <c r="J6404" i="1"/>
  <c r="K6404" i="1"/>
  <c r="L6404" i="1"/>
  <c r="A6405" i="1"/>
  <c r="B6405" i="1"/>
  <c r="C6405" i="1"/>
  <c r="D6405" i="1"/>
  <c r="E6405" i="1"/>
  <c r="F6405" i="1"/>
  <c r="G6405" i="1"/>
  <c r="H6405" i="1"/>
  <c r="I6405" i="1"/>
  <c r="J6405" i="1"/>
  <c r="K6405" i="1"/>
  <c r="L6405" i="1"/>
  <c r="A6406" i="1"/>
  <c r="B6406" i="1"/>
  <c r="C6406" i="1"/>
  <c r="D6406" i="1"/>
  <c r="E6406" i="1"/>
  <c r="F6406" i="1"/>
  <c r="G6406" i="1"/>
  <c r="H6406" i="1"/>
  <c r="I6406" i="1"/>
  <c r="J6406" i="1"/>
  <c r="K6406" i="1"/>
  <c r="L6406" i="1"/>
  <c r="A6407" i="1"/>
  <c r="B6407" i="1"/>
  <c r="C6407" i="1"/>
  <c r="D6407" i="1"/>
  <c r="E6407" i="1"/>
  <c r="F6407" i="1"/>
  <c r="G6407" i="1"/>
  <c r="H6407" i="1"/>
  <c r="I6407" i="1"/>
  <c r="J6407" i="1"/>
  <c r="K6407" i="1"/>
  <c r="L6407" i="1"/>
  <c r="A6408" i="1"/>
  <c r="B6408" i="1"/>
  <c r="C6408" i="1"/>
  <c r="D6408" i="1"/>
  <c r="E6408" i="1"/>
  <c r="F6408" i="1"/>
  <c r="G6408" i="1"/>
  <c r="H6408" i="1"/>
  <c r="I6408" i="1"/>
  <c r="J6408" i="1"/>
  <c r="K6408" i="1"/>
  <c r="L6408" i="1"/>
  <c r="A6409" i="1"/>
  <c r="B6409" i="1"/>
  <c r="C6409" i="1"/>
  <c r="D6409" i="1"/>
  <c r="E6409" i="1"/>
  <c r="F6409" i="1"/>
  <c r="G6409" i="1"/>
  <c r="H6409" i="1"/>
  <c r="I6409" i="1"/>
  <c r="J6409" i="1"/>
  <c r="K6409" i="1"/>
  <c r="L6409" i="1"/>
  <c r="A6410" i="1"/>
  <c r="B6410" i="1"/>
  <c r="C6410" i="1"/>
  <c r="D6410" i="1"/>
  <c r="E6410" i="1"/>
  <c r="F6410" i="1"/>
  <c r="G6410" i="1"/>
  <c r="H6410" i="1"/>
  <c r="I6410" i="1"/>
  <c r="J6410" i="1"/>
  <c r="K6410" i="1"/>
  <c r="L6410" i="1"/>
  <c r="A6411" i="1"/>
  <c r="B6411" i="1"/>
  <c r="C6411" i="1"/>
  <c r="D6411" i="1"/>
  <c r="E6411" i="1"/>
  <c r="F6411" i="1"/>
  <c r="G6411" i="1"/>
  <c r="H6411" i="1"/>
  <c r="I6411" i="1"/>
  <c r="J6411" i="1"/>
  <c r="K6411" i="1"/>
  <c r="L6411" i="1"/>
  <c r="A6412" i="1"/>
  <c r="B6412" i="1"/>
  <c r="C6412" i="1"/>
  <c r="D6412" i="1"/>
  <c r="E6412" i="1"/>
  <c r="F6412" i="1"/>
  <c r="G6412" i="1"/>
  <c r="H6412" i="1"/>
  <c r="I6412" i="1"/>
  <c r="J6412" i="1"/>
  <c r="K6412" i="1"/>
  <c r="L6412" i="1"/>
  <c r="A6413" i="1"/>
  <c r="B6413" i="1"/>
  <c r="C6413" i="1"/>
  <c r="D6413" i="1"/>
  <c r="E6413" i="1"/>
  <c r="F6413" i="1"/>
  <c r="G6413" i="1"/>
  <c r="H6413" i="1"/>
  <c r="I6413" i="1"/>
  <c r="J6413" i="1"/>
  <c r="K6413" i="1"/>
  <c r="L6413" i="1"/>
  <c r="A6414" i="1"/>
  <c r="B6414" i="1"/>
  <c r="C6414" i="1"/>
  <c r="D6414" i="1"/>
  <c r="E6414" i="1"/>
  <c r="F6414" i="1"/>
  <c r="G6414" i="1"/>
  <c r="H6414" i="1"/>
  <c r="I6414" i="1"/>
  <c r="J6414" i="1"/>
  <c r="K6414" i="1"/>
  <c r="L6414" i="1"/>
  <c r="A6415" i="1"/>
  <c r="B6415" i="1"/>
  <c r="C6415" i="1"/>
  <c r="D6415" i="1"/>
  <c r="E6415" i="1"/>
  <c r="F6415" i="1"/>
  <c r="G6415" i="1"/>
  <c r="H6415" i="1"/>
  <c r="I6415" i="1"/>
  <c r="J6415" i="1"/>
  <c r="K6415" i="1"/>
  <c r="L6415" i="1"/>
  <c r="A6416" i="1"/>
  <c r="B6416" i="1"/>
  <c r="C6416" i="1"/>
  <c r="D6416" i="1"/>
  <c r="E6416" i="1"/>
  <c r="F6416" i="1"/>
  <c r="G6416" i="1"/>
  <c r="H6416" i="1"/>
  <c r="I6416" i="1"/>
  <c r="J6416" i="1"/>
  <c r="K6416" i="1"/>
  <c r="L6416" i="1"/>
  <c r="A6417" i="1"/>
  <c r="B6417" i="1"/>
  <c r="C6417" i="1"/>
  <c r="D6417" i="1"/>
  <c r="E6417" i="1"/>
  <c r="F6417" i="1"/>
  <c r="G6417" i="1"/>
  <c r="H6417" i="1"/>
  <c r="I6417" i="1"/>
  <c r="J6417" i="1"/>
  <c r="K6417" i="1"/>
  <c r="L6417" i="1"/>
  <c r="A6418" i="1"/>
  <c r="B6418" i="1"/>
  <c r="C6418" i="1"/>
  <c r="D6418" i="1"/>
  <c r="E6418" i="1"/>
  <c r="F6418" i="1"/>
  <c r="G6418" i="1"/>
  <c r="H6418" i="1"/>
  <c r="I6418" i="1"/>
  <c r="J6418" i="1"/>
  <c r="K6418" i="1"/>
  <c r="L6418" i="1"/>
  <c r="A6419" i="1"/>
  <c r="B6419" i="1"/>
  <c r="C6419" i="1"/>
  <c r="D6419" i="1"/>
  <c r="E6419" i="1"/>
  <c r="F6419" i="1"/>
  <c r="G6419" i="1"/>
  <c r="H6419" i="1"/>
  <c r="I6419" i="1"/>
  <c r="J6419" i="1"/>
  <c r="K6419" i="1"/>
  <c r="L6419" i="1"/>
  <c r="A6420" i="1"/>
  <c r="B6420" i="1"/>
  <c r="C6420" i="1"/>
  <c r="D6420" i="1"/>
  <c r="E6420" i="1"/>
  <c r="F6420" i="1"/>
  <c r="G6420" i="1"/>
  <c r="H6420" i="1"/>
  <c r="I6420" i="1"/>
  <c r="J6420" i="1"/>
  <c r="K6420" i="1"/>
  <c r="L6420" i="1"/>
  <c r="A6421" i="1"/>
  <c r="B6421" i="1"/>
  <c r="C6421" i="1"/>
  <c r="D6421" i="1"/>
  <c r="E6421" i="1"/>
  <c r="F6421" i="1"/>
  <c r="G6421" i="1"/>
  <c r="H6421" i="1"/>
  <c r="I6421" i="1"/>
  <c r="J6421" i="1"/>
  <c r="K6421" i="1"/>
  <c r="L6421" i="1"/>
  <c r="A6422" i="1"/>
  <c r="B6422" i="1"/>
  <c r="C6422" i="1"/>
  <c r="D6422" i="1"/>
  <c r="E6422" i="1"/>
  <c r="F6422" i="1"/>
  <c r="G6422" i="1"/>
  <c r="H6422" i="1"/>
  <c r="I6422" i="1"/>
  <c r="J6422" i="1"/>
  <c r="K6422" i="1"/>
  <c r="L6422" i="1"/>
  <c r="A6423" i="1"/>
  <c r="B6423" i="1"/>
  <c r="C6423" i="1"/>
  <c r="D6423" i="1"/>
  <c r="E6423" i="1"/>
  <c r="F6423" i="1"/>
  <c r="G6423" i="1"/>
  <c r="H6423" i="1"/>
  <c r="I6423" i="1"/>
  <c r="J6423" i="1"/>
  <c r="K6423" i="1"/>
  <c r="L6423" i="1"/>
  <c r="A6424" i="1"/>
  <c r="B6424" i="1"/>
  <c r="C6424" i="1"/>
  <c r="D6424" i="1"/>
  <c r="E6424" i="1"/>
  <c r="F6424" i="1"/>
  <c r="G6424" i="1"/>
  <c r="H6424" i="1"/>
  <c r="I6424" i="1"/>
  <c r="J6424" i="1"/>
  <c r="K6424" i="1"/>
  <c r="L6424" i="1"/>
  <c r="A6425" i="1"/>
  <c r="B6425" i="1"/>
  <c r="C6425" i="1"/>
  <c r="D6425" i="1"/>
  <c r="E6425" i="1"/>
  <c r="F6425" i="1"/>
  <c r="G6425" i="1"/>
  <c r="H6425" i="1"/>
  <c r="I6425" i="1"/>
  <c r="J6425" i="1"/>
  <c r="K6425" i="1"/>
  <c r="L6425" i="1"/>
  <c r="A6426" i="1"/>
  <c r="B6426" i="1"/>
  <c r="C6426" i="1"/>
  <c r="D6426" i="1"/>
  <c r="E6426" i="1"/>
  <c r="F6426" i="1"/>
  <c r="G6426" i="1"/>
  <c r="H6426" i="1"/>
  <c r="I6426" i="1"/>
  <c r="J6426" i="1"/>
  <c r="K6426" i="1"/>
  <c r="L6426" i="1"/>
  <c r="A6427" i="1"/>
  <c r="B6427" i="1"/>
  <c r="C6427" i="1"/>
  <c r="D6427" i="1"/>
  <c r="E6427" i="1"/>
  <c r="F6427" i="1"/>
  <c r="G6427" i="1"/>
  <c r="H6427" i="1"/>
  <c r="I6427" i="1"/>
  <c r="J6427" i="1"/>
  <c r="K6427" i="1"/>
  <c r="L6427" i="1"/>
  <c r="A6428" i="1"/>
  <c r="B6428" i="1"/>
  <c r="C6428" i="1"/>
  <c r="D6428" i="1"/>
  <c r="E6428" i="1"/>
  <c r="F6428" i="1"/>
  <c r="G6428" i="1"/>
  <c r="H6428" i="1"/>
  <c r="I6428" i="1"/>
  <c r="J6428" i="1"/>
  <c r="K6428" i="1"/>
  <c r="L6428" i="1"/>
  <c r="A6429" i="1"/>
  <c r="B6429" i="1"/>
  <c r="C6429" i="1"/>
  <c r="D6429" i="1"/>
  <c r="E6429" i="1"/>
  <c r="F6429" i="1"/>
  <c r="G6429" i="1"/>
  <c r="H6429" i="1"/>
  <c r="I6429" i="1"/>
  <c r="J6429" i="1"/>
  <c r="K6429" i="1"/>
  <c r="L6429" i="1"/>
  <c r="A6430" i="1"/>
  <c r="B6430" i="1"/>
  <c r="C6430" i="1"/>
  <c r="D6430" i="1"/>
  <c r="E6430" i="1"/>
  <c r="F6430" i="1"/>
  <c r="G6430" i="1"/>
  <c r="H6430" i="1"/>
  <c r="I6430" i="1"/>
  <c r="J6430" i="1"/>
  <c r="K6430" i="1"/>
  <c r="L6430" i="1"/>
  <c r="A6431" i="1"/>
  <c r="B6431" i="1"/>
  <c r="C6431" i="1"/>
  <c r="D6431" i="1"/>
  <c r="E6431" i="1"/>
  <c r="F6431" i="1"/>
  <c r="G6431" i="1"/>
  <c r="H6431" i="1"/>
  <c r="I6431" i="1"/>
  <c r="J6431" i="1"/>
  <c r="K6431" i="1"/>
  <c r="L6431" i="1"/>
  <c r="A6432" i="1"/>
  <c r="B6432" i="1"/>
  <c r="C6432" i="1"/>
  <c r="D6432" i="1"/>
  <c r="E6432" i="1"/>
  <c r="F6432" i="1"/>
  <c r="G6432" i="1"/>
  <c r="H6432" i="1"/>
  <c r="I6432" i="1"/>
  <c r="J6432" i="1"/>
  <c r="K6432" i="1"/>
  <c r="L6432" i="1"/>
  <c r="A6433" i="1"/>
  <c r="B6433" i="1"/>
  <c r="C6433" i="1"/>
  <c r="D6433" i="1"/>
  <c r="E6433" i="1"/>
  <c r="F6433" i="1"/>
  <c r="G6433" i="1"/>
  <c r="H6433" i="1"/>
  <c r="I6433" i="1"/>
  <c r="J6433" i="1"/>
  <c r="K6433" i="1"/>
  <c r="L6433" i="1"/>
  <c r="A6434" i="1"/>
  <c r="B6434" i="1"/>
  <c r="C6434" i="1"/>
  <c r="D6434" i="1"/>
  <c r="E6434" i="1"/>
  <c r="F6434" i="1"/>
  <c r="G6434" i="1"/>
  <c r="H6434" i="1"/>
  <c r="I6434" i="1"/>
  <c r="J6434" i="1"/>
  <c r="K6434" i="1"/>
  <c r="L6434" i="1"/>
  <c r="A6435" i="1"/>
  <c r="B6435" i="1"/>
  <c r="C6435" i="1"/>
  <c r="D6435" i="1"/>
  <c r="E6435" i="1"/>
  <c r="F6435" i="1"/>
  <c r="G6435" i="1"/>
  <c r="H6435" i="1"/>
  <c r="I6435" i="1"/>
  <c r="J6435" i="1"/>
  <c r="K6435" i="1"/>
  <c r="L6435" i="1"/>
  <c r="A6436" i="1"/>
  <c r="B6436" i="1"/>
  <c r="C6436" i="1"/>
  <c r="D6436" i="1"/>
  <c r="E6436" i="1"/>
  <c r="F6436" i="1"/>
  <c r="G6436" i="1"/>
  <c r="H6436" i="1"/>
  <c r="I6436" i="1"/>
  <c r="J6436" i="1"/>
  <c r="K6436" i="1"/>
  <c r="L6436" i="1"/>
  <c r="A6437" i="1"/>
  <c r="B6437" i="1"/>
  <c r="C6437" i="1"/>
  <c r="D6437" i="1"/>
  <c r="E6437" i="1"/>
  <c r="F6437" i="1"/>
  <c r="G6437" i="1"/>
  <c r="H6437" i="1"/>
  <c r="I6437" i="1"/>
  <c r="J6437" i="1"/>
  <c r="K6437" i="1"/>
  <c r="L6437" i="1"/>
  <c r="A6438" i="1"/>
  <c r="B6438" i="1"/>
  <c r="C6438" i="1"/>
  <c r="D6438" i="1"/>
  <c r="E6438" i="1"/>
  <c r="F6438" i="1"/>
  <c r="G6438" i="1"/>
  <c r="H6438" i="1"/>
  <c r="I6438" i="1"/>
  <c r="J6438" i="1"/>
  <c r="K6438" i="1"/>
  <c r="L6438" i="1"/>
  <c r="A6439" i="1"/>
  <c r="B6439" i="1"/>
  <c r="C6439" i="1"/>
  <c r="D6439" i="1"/>
  <c r="E6439" i="1"/>
  <c r="F6439" i="1"/>
  <c r="G6439" i="1"/>
  <c r="H6439" i="1"/>
  <c r="I6439" i="1"/>
  <c r="J6439" i="1"/>
  <c r="K6439" i="1"/>
  <c r="L6439" i="1"/>
  <c r="A6440" i="1"/>
  <c r="B6440" i="1"/>
  <c r="C6440" i="1"/>
  <c r="D6440" i="1"/>
  <c r="E6440" i="1"/>
  <c r="F6440" i="1"/>
  <c r="G6440" i="1"/>
  <c r="H6440" i="1"/>
  <c r="I6440" i="1"/>
  <c r="J6440" i="1"/>
  <c r="K6440" i="1"/>
  <c r="L6440" i="1"/>
  <c r="A6441" i="1"/>
  <c r="B6441" i="1"/>
  <c r="C6441" i="1"/>
  <c r="D6441" i="1"/>
  <c r="E6441" i="1"/>
  <c r="F6441" i="1"/>
  <c r="G6441" i="1"/>
  <c r="H6441" i="1"/>
  <c r="I6441" i="1"/>
  <c r="J6441" i="1"/>
  <c r="K6441" i="1"/>
  <c r="L6441" i="1"/>
  <c r="A6442" i="1"/>
  <c r="B6442" i="1"/>
  <c r="C6442" i="1"/>
  <c r="D6442" i="1"/>
  <c r="E6442" i="1"/>
  <c r="F6442" i="1"/>
  <c r="G6442" i="1"/>
  <c r="H6442" i="1"/>
  <c r="I6442" i="1"/>
  <c r="J6442" i="1"/>
  <c r="K6442" i="1"/>
  <c r="L6442" i="1"/>
  <c r="A6443" i="1"/>
  <c r="B6443" i="1"/>
  <c r="C6443" i="1"/>
  <c r="D6443" i="1"/>
  <c r="E6443" i="1"/>
  <c r="F6443" i="1"/>
  <c r="G6443" i="1"/>
  <c r="H6443" i="1"/>
  <c r="I6443" i="1"/>
  <c r="J6443" i="1"/>
  <c r="K6443" i="1"/>
  <c r="L6443" i="1"/>
  <c r="A6444" i="1"/>
  <c r="B6444" i="1"/>
  <c r="C6444" i="1"/>
  <c r="D6444" i="1"/>
  <c r="E6444" i="1"/>
  <c r="F6444" i="1"/>
  <c r="G6444" i="1"/>
  <c r="H6444" i="1"/>
  <c r="I6444" i="1"/>
  <c r="J6444" i="1"/>
  <c r="K6444" i="1"/>
  <c r="L6444" i="1"/>
  <c r="A6445" i="1"/>
  <c r="B6445" i="1"/>
  <c r="C6445" i="1"/>
  <c r="D6445" i="1"/>
  <c r="E6445" i="1"/>
  <c r="F6445" i="1"/>
  <c r="G6445" i="1"/>
  <c r="H6445" i="1"/>
  <c r="I6445" i="1"/>
  <c r="J6445" i="1"/>
  <c r="K6445" i="1"/>
  <c r="L6445" i="1"/>
  <c r="A6446" i="1"/>
  <c r="B6446" i="1"/>
  <c r="C6446" i="1"/>
  <c r="D6446" i="1"/>
  <c r="E6446" i="1"/>
  <c r="F6446" i="1"/>
  <c r="G6446" i="1"/>
  <c r="H6446" i="1"/>
  <c r="I6446" i="1"/>
  <c r="J6446" i="1"/>
  <c r="K6446" i="1"/>
  <c r="L6446" i="1"/>
  <c r="A6447" i="1"/>
  <c r="B6447" i="1"/>
  <c r="C6447" i="1"/>
  <c r="D6447" i="1"/>
  <c r="E6447" i="1"/>
  <c r="F6447" i="1"/>
  <c r="G6447" i="1"/>
  <c r="H6447" i="1"/>
  <c r="I6447" i="1"/>
  <c r="J6447" i="1"/>
  <c r="K6447" i="1"/>
  <c r="L6447" i="1"/>
  <c r="A6448" i="1"/>
  <c r="B6448" i="1"/>
  <c r="C6448" i="1"/>
  <c r="D6448" i="1"/>
  <c r="E6448" i="1"/>
  <c r="F6448" i="1"/>
  <c r="G6448" i="1"/>
  <c r="H6448" i="1"/>
  <c r="I6448" i="1"/>
  <c r="J6448" i="1"/>
  <c r="K6448" i="1"/>
  <c r="L6448" i="1"/>
  <c r="A6449" i="1"/>
  <c r="B6449" i="1"/>
  <c r="C6449" i="1"/>
  <c r="D6449" i="1"/>
  <c r="E6449" i="1"/>
  <c r="F6449" i="1"/>
  <c r="G6449" i="1"/>
  <c r="H6449" i="1"/>
  <c r="I6449" i="1"/>
  <c r="J6449" i="1"/>
  <c r="K6449" i="1"/>
  <c r="L6449" i="1"/>
  <c r="A6450" i="1"/>
  <c r="B6450" i="1"/>
  <c r="C6450" i="1"/>
  <c r="D6450" i="1"/>
  <c r="E6450" i="1"/>
  <c r="F6450" i="1"/>
  <c r="G6450" i="1"/>
  <c r="H6450" i="1"/>
  <c r="I6450" i="1"/>
  <c r="J6450" i="1"/>
  <c r="K6450" i="1"/>
  <c r="L6450" i="1"/>
  <c r="A6451" i="1"/>
  <c r="B6451" i="1"/>
  <c r="C6451" i="1"/>
  <c r="D6451" i="1"/>
  <c r="E6451" i="1"/>
  <c r="F6451" i="1"/>
  <c r="G6451" i="1"/>
  <c r="H6451" i="1"/>
  <c r="I6451" i="1"/>
  <c r="J6451" i="1"/>
  <c r="K6451" i="1"/>
  <c r="L6451" i="1"/>
  <c r="A6452" i="1"/>
  <c r="B6452" i="1"/>
  <c r="C6452" i="1"/>
  <c r="D6452" i="1"/>
  <c r="E6452" i="1"/>
  <c r="F6452" i="1"/>
  <c r="G6452" i="1"/>
  <c r="H6452" i="1"/>
  <c r="I6452" i="1"/>
  <c r="J6452" i="1"/>
  <c r="K6452" i="1"/>
  <c r="L6452" i="1"/>
  <c r="A6453" i="1"/>
  <c r="B6453" i="1"/>
  <c r="C6453" i="1"/>
  <c r="D6453" i="1"/>
  <c r="E6453" i="1"/>
  <c r="F6453" i="1"/>
  <c r="G6453" i="1"/>
  <c r="H6453" i="1"/>
  <c r="I6453" i="1"/>
  <c r="J6453" i="1"/>
  <c r="K6453" i="1"/>
  <c r="L6453" i="1"/>
  <c r="A6454" i="1"/>
  <c r="B6454" i="1"/>
  <c r="C6454" i="1"/>
  <c r="D6454" i="1"/>
  <c r="E6454" i="1"/>
  <c r="F6454" i="1"/>
  <c r="G6454" i="1"/>
  <c r="H6454" i="1"/>
  <c r="I6454" i="1"/>
  <c r="J6454" i="1"/>
  <c r="K6454" i="1"/>
  <c r="L6454" i="1"/>
  <c r="A6455" i="1"/>
  <c r="B6455" i="1"/>
  <c r="C6455" i="1"/>
  <c r="D6455" i="1"/>
  <c r="E6455" i="1"/>
  <c r="F6455" i="1"/>
  <c r="G6455" i="1"/>
  <c r="H6455" i="1"/>
  <c r="I6455" i="1"/>
  <c r="J6455" i="1"/>
  <c r="K6455" i="1"/>
  <c r="L6455" i="1"/>
  <c r="A6456" i="1"/>
  <c r="B6456" i="1"/>
  <c r="C6456" i="1"/>
  <c r="D6456" i="1"/>
  <c r="E6456" i="1"/>
  <c r="F6456" i="1"/>
  <c r="G6456" i="1"/>
  <c r="H6456" i="1"/>
  <c r="I6456" i="1"/>
  <c r="J6456" i="1"/>
  <c r="K6456" i="1"/>
  <c r="L6456" i="1"/>
  <c r="A6457" i="1"/>
  <c r="B6457" i="1"/>
  <c r="C6457" i="1"/>
  <c r="D6457" i="1"/>
  <c r="E6457" i="1"/>
  <c r="F6457" i="1"/>
  <c r="G6457" i="1"/>
  <c r="H6457" i="1"/>
  <c r="I6457" i="1"/>
  <c r="J6457" i="1"/>
  <c r="K6457" i="1"/>
  <c r="L6457" i="1"/>
  <c r="A6458" i="1"/>
  <c r="B6458" i="1"/>
  <c r="C6458" i="1"/>
  <c r="D6458" i="1"/>
  <c r="E6458" i="1"/>
  <c r="F6458" i="1"/>
  <c r="G6458" i="1"/>
  <c r="H6458" i="1"/>
  <c r="I6458" i="1"/>
  <c r="J6458" i="1"/>
  <c r="K6458" i="1"/>
  <c r="L6458" i="1"/>
  <c r="A6459" i="1"/>
  <c r="B6459" i="1"/>
  <c r="C6459" i="1"/>
  <c r="D6459" i="1"/>
  <c r="E6459" i="1"/>
  <c r="F6459" i="1"/>
  <c r="G6459" i="1"/>
  <c r="H6459" i="1"/>
  <c r="I6459" i="1"/>
  <c r="J6459" i="1"/>
  <c r="K6459" i="1"/>
  <c r="L6459" i="1"/>
  <c r="A6460" i="1"/>
  <c r="B6460" i="1"/>
  <c r="C6460" i="1"/>
  <c r="D6460" i="1"/>
  <c r="E6460" i="1"/>
  <c r="F6460" i="1"/>
  <c r="G6460" i="1"/>
  <c r="H6460" i="1"/>
  <c r="I6460" i="1"/>
  <c r="J6460" i="1"/>
  <c r="K6460" i="1"/>
  <c r="L6460" i="1"/>
  <c r="A6461" i="1"/>
  <c r="B6461" i="1"/>
  <c r="C6461" i="1"/>
  <c r="D6461" i="1"/>
  <c r="E6461" i="1"/>
  <c r="F6461" i="1"/>
  <c r="G6461" i="1"/>
  <c r="H6461" i="1"/>
  <c r="I6461" i="1"/>
  <c r="J6461" i="1"/>
  <c r="K6461" i="1"/>
  <c r="L6461" i="1"/>
  <c r="A6462" i="1"/>
  <c r="B6462" i="1"/>
  <c r="C6462" i="1"/>
  <c r="D6462" i="1"/>
  <c r="E6462" i="1"/>
  <c r="F6462" i="1"/>
  <c r="G6462" i="1"/>
  <c r="H6462" i="1"/>
  <c r="I6462" i="1"/>
  <c r="J6462" i="1"/>
  <c r="K6462" i="1"/>
  <c r="L6462" i="1"/>
  <c r="A6463" i="1"/>
  <c r="B6463" i="1"/>
  <c r="C6463" i="1"/>
  <c r="D6463" i="1"/>
  <c r="E6463" i="1"/>
  <c r="F6463" i="1"/>
  <c r="G6463" i="1"/>
  <c r="H6463" i="1"/>
  <c r="I6463" i="1"/>
  <c r="J6463" i="1"/>
  <c r="K6463" i="1"/>
  <c r="L6463" i="1"/>
  <c r="A6464" i="1"/>
  <c r="B6464" i="1"/>
  <c r="C6464" i="1"/>
  <c r="D6464" i="1"/>
  <c r="E6464" i="1"/>
  <c r="F6464" i="1"/>
  <c r="G6464" i="1"/>
  <c r="H6464" i="1"/>
  <c r="I6464" i="1"/>
  <c r="J6464" i="1"/>
  <c r="K6464" i="1"/>
  <c r="L6464" i="1"/>
  <c r="A6465" i="1"/>
  <c r="B6465" i="1"/>
  <c r="C6465" i="1"/>
  <c r="D6465" i="1"/>
  <c r="E6465" i="1"/>
  <c r="F6465" i="1"/>
  <c r="G6465" i="1"/>
  <c r="H6465" i="1"/>
  <c r="I6465" i="1"/>
  <c r="J6465" i="1"/>
  <c r="K6465" i="1"/>
  <c r="L6465" i="1"/>
  <c r="A6466" i="1"/>
  <c r="B6466" i="1"/>
  <c r="C6466" i="1"/>
  <c r="D6466" i="1"/>
  <c r="E6466" i="1"/>
  <c r="F6466" i="1"/>
  <c r="G6466" i="1"/>
  <c r="H6466" i="1"/>
  <c r="I6466" i="1"/>
  <c r="J6466" i="1"/>
  <c r="K6466" i="1"/>
  <c r="L6466" i="1"/>
  <c r="A6467" i="1"/>
  <c r="B6467" i="1"/>
  <c r="C6467" i="1"/>
  <c r="D6467" i="1"/>
  <c r="E6467" i="1"/>
  <c r="F6467" i="1"/>
  <c r="G6467" i="1"/>
  <c r="H6467" i="1"/>
  <c r="I6467" i="1"/>
  <c r="J6467" i="1"/>
  <c r="K6467" i="1"/>
  <c r="L6467" i="1"/>
  <c r="A6468" i="1"/>
  <c r="B6468" i="1"/>
  <c r="C6468" i="1"/>
  <c r="D6468" i="1"/>
  <c r="E6468" i="1"/>
  <c r="F6468" i="1"/>
  <c r="G6468" i="1"/>
  <c r="H6468" i="1"/>
  <c r="I6468" i="1"/>
  <c r="J6468" i="1"/>
  <c r="K6468" i="1"/>
  <c r="L6468" i="1"/>
  <c r="A6469" i="1"/>
  <c r="B6469" i="1"/>
  <c r="C6469" i="1"/>
  <c r="D6469" i="1"/>
  <c r="E6469" i="1"/>
  <c r="F6469" i="1"/>
  <c r="G6469" i="1"/>
  <c r="H6469" i="1"/>
  <c r="I6469" i="1"/>
  <c r="J6469" i="1"/>
  <c r="K6469" i="1"/>
  <c r="L6469" i="1"/>
  <c r="A6470" i="1"/>
  <c r="B6470" i="1"/>
  <c r="C6470" i="1"/>
  <c r="D6470" i="1"/>
  <c r="E6470" i="1"/>
  <c r="F6470" i="1"/>
  <c r="G6470" i="1"/>
  <c r="H6470" i="1"/>
  <c r="I6470" i="1"/>
  <c r="J6470" i="1"/>
  <c r="K6470" i="1"/>
  <c r="L6470" i="1"/>
  <c r="A6471" i="1"/>
  <c r="B6471" i="1"/>
  <c r="C6471" i="1"/>
  <c r="D6471" i="1"/>
  <c r="E6471" i="1"/>
  <c r="F6471" i="1"/>
  <c r="G6471" i="1"/>
  <c r="H6471" i="1"/>
  <c r="I6471" i="1"/>
  <c r="J6471" i="1"/>
  <c r="K6471" i="1"/>
  <c r="L6471" i="1"/>
  <c r="A6472" i="1"/>
  <c r="B6472" i="1"/>
  <c r="C6472" i="1"/>
  <c r="D6472" i="1"/>
  <c r="E6472" i="1"/>
  <c r="F6472" i="1"/>
  <c r="G6472" i="1"/>
  <c r="H6472" i="1"/>
  <c r="I6472" i="1"/>
  <c r="J6472" i="1"/>
  <c r="K6472" i="1"/>
  <c r="L6472" i="1"/>
  <c r="A6473" i="1"/>
  <c r="B6473" i="1"/>
  <c r="C6473" i="1"/>
  <c r="D6473" i="1"/>
  <c r="E6473" i="1"/>
  <c r="F6473" i="1"/>
  <c r="G6473" i="1"/>
  <c r="H6473" i="1"/>
  <c r="I6473" i="1"/>
  <c r="J6473" i="1"/>
  <c r="K6473" i="1"/>
  <c r="L6473" i="1"/>
  <c r="A6474" i="1"/>
  <c r="B6474" i="1"/>
  <c r="C6474" i="1"/>
  <c r="D6474" i="1"/>
  <c r="E6474" i="1"/>
  <c r="F6474" i="1"/>
  <c r="G6474" i="1"/>
  <c r="H6474" i="1"/>
  <c r="I6474" i="1"/>
  <c r="J6474" i="1"/>
  <c r="K6474" i="1"/>
  <c r="L6474" i="1"/>
  <c r="A6475" i="1"/>
  <c r="B6475" i="1"/>
  <c r="C6475" i="1"/>
  <c r="D6475" i="1"/>
  <c r="E6475" i="1"/>
  <c r="F6475" i="1"/>
  <c r="G6475" i="1"/>
  <c r="H6475" i="1"/>
  <c r="I6475" i="1"/>
  <c r="J6475" i="1"/>
  <c r="K6475" i="1"/>
  <c r="L6475" i="1"/>
  <c r="A6476" i="1"/>
  <c r="B6476" i="1"/>
  <c r="C6476" i="1"/>
  <c r="D6476" i="1"/>
  <c r="E6476" i="1"/>
  <c r="F6476" i="1"/>
  <c r="G6476" i="1"/>
  <c r="H6476" i="1"/>
  <c r="I6476" i="1"/>
  <c r="J6476" i="1"/>
  <c r="K6476" i="1"/>
  <c r="L6476" i="1"/>
  <c r="A6477" i="1"/>
  <c r="B6477" i="1"/>
  <c r="C6477" i="1"/>
  <c r="D6477" i="1"/>
  <c r="E6477" i="1"/>
  <c r="F6477" i="1"/>
  <c r="G6477" i="1"/>
  <c r="H6477" i="1"/>
  <c r="I6477" i="1"/>
  <c r="J6477" i="1"/>
  <c r="K6477" i="1"/>
  <c r="L6477" i="1"/>
  <c r="A6478" i="1"/>
  <c r="B6478" i="1"/>
  <c r="C6478" i="1"/>
  <c r="D6478" i="1"/>
  <c r="E6478" i="1"/>
  <c r="F6478" i="1"/>
  <c r="G6478" i="1"/>
  <c r="H6478" i="1"/>
  <c r="I6478" i="1"/>
  <c r="J6478" i="1"/>
  <c r="K6478" i="1"/>
  <c r="L6478" i="1"/>
  <c r="A6479" i="1"/>
  <c r="B6479" i="1"/>
  <c r="C6479" i="1"/>
  <c r="D6479" i="1"/>
  <c r="E6479" i="1"/>
  <c r="F6479" i="1"/>
  <c r="G6479" i="1"/>
  <c r="H6479" i="1"/>
  <c r="I6479" i="1"/>
  <c r="J6479" i="1"/>
  <c r="K6479" i="1"/>
  <c r="L6479" i="1"/>
  <c r="A6480" i="1"/>
  <c r="B6480" i="1"/>
  <c r="C6480" i="1"/>
  <c r="D6480" i="1"/>
  <c r="E6480" i="1"/>
  <c r="F6480" i="1"/>
  <c r="G6480" i="1"/>
  <c r="H6480" i="1"/>
  <c r="I6480" i="1"/>
  <c r="J6480" i="1"/>
  <c r="K6480" i="1"/>
  <c r="L6480" i="1"/>
  <c r="A6481" i="1"/>
  <c r="B6481" i="1"/>
  <c r="C6481" i="1"/>
  <c r="D6481" i="1"/>
  <c r="E6481" i="1"/>
  <c r="F6481" i="1"/>
  <c r="G6481" i="1"/>
  <c r="H6481" i="1"/>
  <c r="I6481" i="1"/>
  <c r="J6481" i="1"/>
  <c r="K6481" i="1"/>
  <c r="L6481" i="1"/>
  <c r="A6482" i="1"/>
  <c r="B6482" i="1"/>
  <c r="C6482" i="1"/>
  <c r="D6482" i="1"/>
  <c r="E6482" i="1"/>
  <c r="F6482" i="1"/>
  <c r="G6482" i="1"/>
  <c r="H6482" i="1"/>
  <c r="I6482" i="1"/>
  <c r="J6482" i="1"/>
  <c r="K6482" i="1"/>
  <c r="L6482" i="1"/>
  <c r="A6483" i="1"/>
  <c r="B6483" i="1"/>
  <c r="C6483" i="1"/>
  <c r="D6483" i="1"/>
  <c r="E6483" i="1"/>
  <c r="F6483" i="1"/>
  <c r="G6483" i="1"/>
  <c r="H6483" i="1"/>
  <c r="I6483" i="1"/>
  <c r="J6483" i="1"/>
  <c r="K6483" i="1"/>
  <c r="L6483" i="1"/>
  <c r="A6484" i="1"/>
  <c r="B6484" i="1"/>
  <c r="C6484" i="1"/>
  <c r="D6484" i="1"/>
  <c r="E6484" i="1"/>
  <c r="F6484" i="1"/>
  <c r="G6484" i="1"/>
  <c r="H6484" i="1"/>
  <c r="I6484" i="1"/>
  <c r="J6484" i="1"/>
  <c r="K6484" i="1"/>
  <c r="L6484" i="1"/>
  <c r="A6485" i="1"/>
  <c r="B6485" i="1"/>
  <c r="C6485" i="1"/>
  <c r="D6485" i="1"/>
  <c r="E6485" i="1"/>
  <c r="F6485" i="1"/>
  <c r="G6485" i="1"/>
  <c r="H6485" i="1"/>
  <c r="I6485" i="1"/>
  <c r="J6485" i="1"/>
  <c r="K6485" i="1"/>
  <c r="L6485" i="1"/>
  <c r="A6486" i="1"/>
  <c r="B6486" i="1"/>
  <c r="C6486" i="1"/>
  <c r="D6486" i="1"/>
  <c r="E6486" i="1"/>
  <c r="F6486" i="1"/>
  <c r="G6486" i="1"/>
  <c r="H6486" i="1"/>
  <c r="I6486" i="1"/>
  <c r="J6486" i="1"/>
  <c r="K6486" i="1"/>
  <c r="L6486" i="1"/>
  <c r="A6487" i="1"/>
  <c r="B6487" i="1"/>
  <c r="C6487" i="1"/>
  <c r="D6487" i="1"/>
  <c r="E6487" i="1"/>
  <c r="F6487" i="1"/>
  <c r="G6487" i="1"/>
  <c r="H6487" i="1"/>
  <c r="I6487" i="1"/>
  <c r="J6487" i="1"/>
  <c r="K6487" i="1"/>
  <c r="L6487" i="1"/>
  <c r="A6488" i="1"/>
  <c r="B6488" i="1"/>
  <c r="C6488" i="1"/>
  <c r="D6488" i="1"/>
  <c r="E6488" i="1"/>
  <c r="F6488" i="1"/>
  <c r="G6488" i="1"/>
  <c r="H6488" i="1"/>
  <c r="I6488" i="1"/>
  <c r="J6488" i="1"/>
  <c r="K6488" i="1"/>
  <c r="L6488" i="1"/>
  <c r="A6489" i="1"/>
  <c r="B6489" i="1"/>
  <c r="C6489" i="1"/>
  <c r="D6489" i="1"/>
  <c r="E6489" i="1"/>
  <c r="F6489" i="1"/>
  <c r="G6489" i="1"/>
  <c r="H6489" i="1"/>
  <c r="I6489" i="1"/>
  <c r="J6489" i="1"/>
  <c r="K6489" i="1"/>
  <c r="L6489" i="1"/>
  <c r="A6490" i="1"/>
  <c r="B6490" i="1"/>
  <c r="C6490" i="1"/>
  <c r="D6490" i="1"/>
  <c r="E6490" i="1"/>
  <c r="F6490" i="1"/>
  <c r="G6490" i="1"/>
  <c r="H6490" i="1"/>
  <c r="I6490" i="1"/>
  <c r="J6490" i="1"/>
  <c r="K6490" i="1"/>
  <c r="L6490" i="1"/>
  <c r="A6491" i="1"/>
  <c r="B6491" i="1"/>
  <c r="C6491" i="1"/>
  <c r="D6491" i="1"/>
  <c r="E6491" i="1"/>
  <c r="F6491" i="1"/>
  <c r="G6491" i="1"/>
  <c r="H6491" i="1"/>
  <c r="I6491" i="1"/>
  <c r="J6491" i="1"/>
  <c r="K6491" i="1"/>
  <c r="L6491" i="1"/>
  <c r="A6492" i="1"/>
  <c r="B6492" i="1"/>
  <c r="C6492" i="1"/>
  <c r="D6492" i="1"/>
  <c r="E6492" i="1"/>
  <c r="F6492" i="1"/>
  <c r="G6492" i="1"/>
  <c r="H6492" i="1"/>
  <c r="I6492" i="1"/>
  <c r="J6492" i="1"/>
  <c r="K6492" i="1"/>
  <c r="L6492" i="1"/>
  <c r="A6493" i="1"/>
  <c r="B6493" i="1"/>
  <c r="C6493" i="1"/>
  <c r="D6493" i="1"/>
  <c r="E6493" i="1"/>
  <c r="F6493" i="1"/>
  <c r="G6493" i="1"/>
  <c r="H6493" i="1"/>
  <c r="I6493" i="1"/>
  <c r="J6493" i="1"/>
  <c r="K6493" i="1"/>
  <c r="L6493" i="1"/>
  <c r="A6494" i="1"/>
  <c r="B6494" i="1"/>
  <c r="C6494" i="1"/>
  <c r="D6494" i="1"/>
  <c r="E6494" i="1"/>
  <c r="F6494" i="1"/>
  <c r="G6494" i="1"/>
  <c r="H6494" i="1"/>
  <c r="I6494" i="1"/>
  <c r="J6494" i="1"/>
  <c r="K6494" i="1"/>
  <c r="L6494" i="1"/>
  <c r="A6495" i="1"/>
  <c r="B6495" i="1"/>
  <c r="C6495" i="1"/>
  <c r="D6495" i="1"/>
  <c r="E6495" i="1"/>
  <c r="F6495" i="1"/>
  <c r="G6495" i="1"/>
  <c r="H6495" i="1"/>
  <c r="I6495" i="1"/>
  <c r="J6495" i="1"/>
  <c r="K6495" i="1"/>
  <c r="L6495" i="1"/>
  <c r="A6496" i="1"/>
  <c r="B6496" i="1"/>
  <c r="C6496" i="1"/>
  <c r="D6496" i="1"/>
  <c r="E6496" i="1"/>
  <c r="F6496" i="1"/>
  <c r="G6496" i="1"/>
  <c r="H6496" i="1"/>
  <c r="I6496" i="1"/>
  <c r="J6496" i="1"/>
  <c r="K6496" i="1"/>
  <c r="L6496" i="1"/>
  <c r="A6497" i="1"/>
  <c r="B6497" i="1"/>
  <c r="C6497" i="1"/>
  <c r="D6497" i="1"/>
  <c r="E6497" i="1"/>
  <c r="F6497" i="1"/>
  <c r="G6497" i="1"/>
  <c r="H6497" i="1"/>
  <c r="I6497" i="1"/>
  <c r="J6497" i="1"/>
  <c r="K6497" i="1"/>
  <c r="L6497" i="1"/>
  <c r="A6498" i="1"/>
  <c r="B6498" i="1"/>
  <c r="C6498" i="1"/>
  <c r="D6498" i="1"/>
  <c r="E6498" i="1"/>
  <c r="F6498" i="1"/>
  <c r="G6498" i="1"/>
  <c r="H6498" i="1"/>
  <c r="I6498" i="1"/>
  <c r="J6498" i="1"/>
  <c r="K6498" i="1"/>
  <c r="L6498" i="1"/>
  <c r="A6499" i="1"/>
  <c r="B6499" i="1"/>
  <c r="C6499" i="1"/>
  <c r="D6499" i="1"/>
  <c r="E6499" i="1"/>
  <c r="F6499" i="1"/>
  <c r="G6499" i="1"/>
  <c r="H6499" i="1"/>
  <c r="I6499" i="1"/>
  <c r="J6499" i="1"/>
  <c r="K6499" i="1"/>
  <c r="L6499" i="1"/>
  <c r="A6500" i="1"/>
  <c r="B6500" i="1"/>
  <c r="C6500" i="1"/>
  <c r="D6500" i="1"/>
  <c r="E6500" i="1"/>
  <c r="F6500" i="1"/>
  <c r="G6500" i="1"/>
  <c r="H6500" i="1"/>
  <c r="I6500" i="1"/>
  <c r="J6500" i="1"/>
  <c r="K6500" i="1"/>
  <c r="L6500" i="1"/>
  <c r="A6501" i="1"/>
  <c r="B6501" i="1"/>
  <c r="C6501" i="1"/>
  <c r="D6501" i="1"/>
  <c r="E6501" i="1"/>
  <c r="F6501" i="1"/>
  <c r="G6501" i="1"/>
  <c r="H6501" i="1"/>
  <c r="I6501" i="1"/>
  <c r="J6501" i="1"/>
  <c r="K6501" i="1"/>
  <c r="L6501" i="1"/>
  <c r="A6502" i="1"/>
  <c r="B6502" i="1"/>
  <c r="C6502" i="1"/>
  <c r="D6502" i="1"/>
  <c r="E6502" i="1"/>
  <c r="F6502" i="1"/>
  <c r="G6502" i="1"/>
  <c r="H6502" i="1"/>
  <c r="I6502" i="1"/>
  <c r="J6502" i="1"/>
  <c r="K6502" i="1"/>
  <c r="L6502" i="1"/>
  <c r="A6503" i="1"/>
  <c r="B6503" i="1"/>
  <c r="C6503" i="1"/>
  <c r="D6503" i="1"/>
  <c r="E6503" i="1"/>
  <c r="F6503" i="1"/>
  <c r="G6503" i="1"/>
  <c r="H6503" i="1"/>
  <c r="I6503" i="1"/>
  <c r="J6503" i="1"/>
  <c r="K6503" i="1"/>
  <c r="L6503" i="1"/>
  <c r="A6504" i="1"/>
  <c r="B6504" i="1"/>
  <c r="C6504" i="1"/>
  <c r="D6504" i="1"/>
  <c r="E6504" i="1"/>
  <c r="F6504" i="1"/>
  <c r="G6504" i="1"/>
  <c r="H6504" i="1"/>
  <c r="I6504" i="1"/>
  <c r="J6504" i="1"/>
  <c r="K6504" i="1"/>
  <c r="L6504" i="1"/>
  <c r="A6505" i="1"/>
  <c r="B6505" i="1"/>
  <c r="C6505" i="1"/>
  <c r="D6505" i="1"/>
  <c r="E6505" i="1"/>
  <c r="F6505" i="1"/>
  <c r="G6505" i="1"/>
  <c r="H6505" i="1"/>
  <c r="I6505" i="1"/>
  <c r="J6505" i="1"/>
  <c r="K6505" i="1"/>
  <c r="L6505" i="1"/>
  <c r="A6506" i="1"/>
  <c r="B6506" i="1"/>
  <c r="C6506" i="1"/>
  <c r="D6506" i="1"/>
  <c r="E6506" i="1"/>
  <c r="F6506" i="1"/>
  <c r="G6506" i="1"/>
  <c r="H6506" i="1"/>
  <c r="I6506" i="1"/>
  <c r="J6506" i="1"/>
  <c r="K6506" i="1"/>
  <c r="L6506" i="1"/>
  <c r="A6507" i="1"/>
  <c r="B6507" i="1"/>
  <c r="C6507" i="1"/>
  <c r="D6507" i="1"/>
  <c r="E6507" i="1"/>
  <c r="F6507" i="1"/>
  <c r="G6507" i="1"/>
  <c r="H6507" i="1"/>
  <c r="I6507" i="1"/>
  <c r="J6507" i="1"/>
  <c r="K6507" i="1"/>
  <c r="L6507" i="1"/>
  <c r="A6508" i="1"/>
  <c r="B6508" i="1"/>
  <c r="C6508" i="1"/>
  <c r="D6508" i="1"/>
  <c r="E6508" i="1"/>
  <c r="F6508" i="1"/>
  <c r="G6508" i="1"/>
  <c r="H6508" i="1"/>
  <c r="I6508" i="1"/>
  <c r="J6508" i="1"/>
  <c r="K6508" i="1"/>
  <c r="L6508" i="1"/>
  <c r="A6509" i="1"/>
  <c r="B6509" i="1"/>
  <c r="C6509" i="1"/>
  <c r="D6509" i="1"/>
  <c r="E6509" i="1"/>
  <c r="F6509" i="1"/>
  <c r="G6509" i="1"/>
  <c r="H6509" i="1"/>
  <c r="I6509" i="1"/>
  <c r="J6509" i="1"/>
  <c r="K6509" i="1"/>
  <c r="L6509" i="1"/>
  <c r="A6510" i="1"/>
  <c r="B6510" i="1"/>
  <c r="C6510" i="1"/>
  <c r="D6510" i="1"/>
  <c r="E6510" i="1"/>
  <c r="F6510" i="1"/>
  <c r="G6510" i="1"/>
  <c r="H6510" i="1"/>
  <c r="I6510" i="1"/>
  <c r="J6510" i="1"/>
  <c r="K6510" i="1"/>
  <c r="L6510" i="1"/>
  <c r="A6511" i="1"/>
  <c r="B6511" i="1"/>
  <c r="C6511" i="1"/>
  <c r="D6511" i="1"/>
  <c r="E6511" i="1"/>
  <c r="F6511" i="1"/>
  <c r="G6511" i="1"/>
  <c r="H6511" i="1"/>
  <c r="I6511" i="1"/>
  <c r="J6511" i="1"/>
  <c r="K6511" i="1"/>
  <c r="L6511" i="1"/>
  <c r="A6512" i="1"/>
  <c r="B6512" i="1"/>
  <c r="C6512" i="1"/>
  <c r="D6512" i="1"/>
  <c r="E6512" i="1"/>
  <c r="F6512" i="1"/>
  <c r="G6512" i="1"/>
  <c r="H6512" i="1"/>
  <c r="I6512" i="1"/>
  <c r="J6512" i="1"/>
  <c r="K6512" i="1"/>
  <c r="L6512" i="1"/>
  <c r="A6513" i="1"/>
  <c r="B6513" i="1"/>
  <c r="C6513" i="1"/>
  <c r="D6513" i="1"/>
  <c r="E6513" i="1"/>
  <c r="F6513" i="1"/>
  <c r="G6513" i="1"/>
  <c r="H6513" i="1"/>
  <c r="I6513" i="1"/>
  <c r="J6513" i="1"/>
  <c r="K6513" i="1"/>
  <c r="L6513" i="1"/>
  <c r="A6514" i="1"/>
  <c r="B6514" i="1"/>
  <c r="C6514" i="1"/>
  <c r="D6514" i="1"/>
  <c r="E6514" i="1"/>
  <c r="F6514" i="1"/>
  <c r="G6514" i="1"/>
  <c r="H6514" i="1"/>
  <c r="I6514" i="1"/>
  <c r="J6514" i="1"/>
  <c r="K6514" i="1"/>
  <c r="L6514" i="1"/>
  <c r="A6515" i="1"/>
  <c r="B6515" i="1"/>
  <c r="C6515" i="1"/>
  <c r="D6515" i="1"/>
  <c r="E6515" i="1"/>
  <c r="F6515" i="1"/>
  <c r="G6515" i="1"/>
  <c r="H6515" i="1"/>
  <c r="I6515" i="1"/>
  <c r="J6515" i="1"/>
  <c r="K6515" i="1"/>
  <c r="L6515" i="1"/>
  <c r="A6516" i="1"/>
  <c r="B6516" i="1"/>
  <c r="C6516" i="1"/>
  <c r="D6516" i="1"/>
  <c r="E6516" i="1"/>
  <c r="F6516" i="1"/>
  <c r="G6516" i="1"/>
  <c r="H6516" i="1"/>
  <c r="I6516" i="1"/>
  <c r="J6516" i="1"/>
  <c r="K6516" i="1"/>
  <c r="L6516" i="1"/>
  <c r="A6517" i="1"/>
  <c r="B6517" i="1"/>
  <c r="C6517" i="1"/>
  <c r="D6517" i="1"/>
  <c r="E6517" i="1"/>
  <c r="F6517" i="1"/>
  <c r="G6517" i="1"/>
  <c r="H6517" i="1"/>
  <c r="I6517" i="1"/>
  <c r="J6517" i="1"/>
  <c r="K6517" i="1"/>
  <c r="L6517" i="1"/>
  <c r="A6518" i="1"/>
  <c r="B6518" i="1"/>
  <c r="C6518" i="1"/>
  <c r="D6518" i="1"/>
  <c r="E6518" i="1"/>
  <c r="F6518" i="1"/>
  <c r="G6518" i="1"/>
  <c r="H6518" i="1"/>
  <c r="I6518" i="1"/>
  <c r="J6518" i="1"/>
  <c r="K6518" i="1"/>
  <c r="L6518" i="1"/>
  <c r="A6519" i="1"/>
  <c r="B6519" i="1"/>
  <c r="C6519" i="1"/>
  <c r="D6519" i="1"/>
  <c r="E6519" i="1"/>
  <c r="F6519" i="1"/>
  <c r="G6519" i="1"/>
  <c r="H6519" i="1"/>
  <c r="I6519" i="1"/>
  <c r="J6519" i="1"/>
  <c r="K6519" i="1"/>
  <c r="L6519" i="1"/>
  <c r="A6520" i="1"/>
  <c r="B6520" i="1"/>
  <c r="C6520" i="1"/>
  <c r="D6520" i="1"/>
  <c r="E6520" i="1"/>
  <c r="F6520" i="1"/>
  <c r="G6520" i="1"/>
  <c r="H6520" i="1"/>
  <c r="I6520" i="1"/>
  <c r="J6520" i="1"/>
  <c r="K6520" i="1"/>
  <c r="L6520" i="1"/>
  <c r="A6521" i="1"/>
  <c r="B6521" i="1"/>
  <c r="C6521" i="1"/>
  <c r="D6521" i="1"/>
  <c r="E6521" i="1"/>
  <c r="F6521" i="1"/>
  <c r="G6521" i="1"/>
  <c r="H6521" i="1"/>
  <c r="I6521" i="1"/>
  <c r="J6521" i="1"/>
  <c r="K6521" i="1"/>
  <c r="L6521" i="1"/>
  <c r="A6522" i="1"/>
  <c r="B6522" i="1"/>
  <c r="C6522" i="1"/>
  <c r="D6522" i="1"/>
  <c r="E6522" i="1"/>
  <c r="F6522" i="1"/>
  <c r="G6522" i="1"/>
  <c r="H6522" i="1"/>
  <c r="I6522" i="1"/>
  <c r="J6522" i="1"/>
  <c r="K6522" i="1"/>
  <c r="L6522" i="1"/>
  <c r="A6523" i="1"/>
  <c r="B6523" i="1"/>
  <c r="C6523" i="1"/>
  <c r="D6523" i="1"/>
  <c r="E6523" i="1"/>
  <c r="F6523" i="1"/>
  <c r="G6523" i="1"/>
  <c r="H6523" i="1"/>
  <c r="I6523" i="1"/>
  <c r="J6523" i="1"/>
  <c r="K6523" i="1"/>
  <c r="L6523" i="1"/>
  <c r="A6524" i="1"/>
  <c r="B6524" i="1"/>
  <c r="C6524" i="1"/>
  <c r="D6524" i="1"/>
  <c r="E6524" i="1"/>
  <c r="F6524" i="1"/>
  <c r="G6524" i="1"/>
  <c r="H6524" i="1"/>
  <c r="I6524" i="1"/>
  <c r="J6524" i="1"/>
  <c r="K6524" i="1"/>
  <c r="L6524" i="1"/>
  <c r="A6525" i="1"/>
  <c r="B6525" i="1"/>
  <c r="C6525" i="1"/>
  <c r="D6525" i="1"/>
  <c r="E6525" i="1"/>
  <c r="F6525" i="1"/>
  <c r="G6525" i="1"/>
  <c r="H6525" i="1"/>
  <c r="I6525" i="1"/>
  <c r="J6525" i="1"/>
  <c r="K6525" i="1"/>
  <c r="L6525" i="1"/>
  <c r="A6526" i="1"/>
  <c r="B6526" i="1"/>
  <c r="C6526" i="1"/>
  <c r="D6526" i="1"/>
  <c r="E6526" i="1"/>
  <c r="F6526" i="1"/>
  <c r="G6526" i="1"/>
  <c r="H6526" i="1"/>
  <c r="I6526" i="1"/>
  <c r="J6526" i="1"/>
  <c r="K6526" i="1"/>
  <c r="L6526" i="1"/>
  <c r="A6527" i="1"/>
  <c r="B6527" i="1"/>
  <c r="C6527" i="1"/>
  <c r="D6527" i="1"/>
  <c r="E6527" i="1"/>
  <c r="F6527" i="1"/>
  <c r="G6527" i="1"/>
  <c r="H6527" i="1"/>
  <c r="I6527" i="1"/>
  <c r="J6527" i="1"/>
  <c r="K6527" i="1"/>
  <c r="L6527" i="1"/>
  <c r="A6528" i="1"/>
  <c r="B6528" i="1"/>
  <c r="C6528" i="1"/>
  <c r="D6528" i="1"/>
  <c r="E6528" i="1"/>
  <c r="F6528" i="1"/>
  <c r="G6528" i="1"/>
  <c r="H6528" i="1"/>
  <c r="I6528" i="1"/>
  <c r="J6528" i="1"/>
  <c r="K6528" i="1"/>
  <c r="L6528" i="1"/>
  <c r="A6529" i="1"/>
  <c r="B6529" i="1"/>
  <c r="C6529" i="1"/>
  <c r="D6529" i="1"/>
  <c r="E6529" i="1"/>
  <c r="F6529" i="1"/>
  <c r="G6529" i="1"/>
  <c r="H6529" i="1"/>
  <c r="I6529" i="1"/>
  <c r="J6529" i="1"/>
  <c r="K6529" i="1"/>
  <c r="L6529" i="1"/>
  <c r="A6530" i="1"/>
  <c r="B6530" i="1"/>
  <c r="C6530" i="1"/>
  <c r="D6530" i="1"/>
  <c r="E6530" i="1"/>
  <c r="F6530" i="1"/>
  <c r="G6530" i="1"/>
  <c r="H6530" i="1"/>
  <c r="I6530" i="1"/>
  <c r="J6530" i="1"/>
  <c r="K6530" i="1"/>
  <c r="L6530" i="1"/>
  <c r="A6531" i="1"/>
  <c r="B6531" i="1"/>
  <c r="C6531" i="1"/>
  <c r="D6531" i="1"/>
  <c r="E6531" i="1"/>
  <c r="F6531" i="1"/>
  <c r="G6531" i="1"/>
  <c r="H6531" i="1"/>
  <c r="I6531" i="1"/>
  <c r="J6531" i="1"/>
  <c r="K6531" i="1"/>
  <c r="L6531" i="1"/>
  <c r="A6532" i="1"/>
  <c r="B6532" i="1"/>
  <c r="C6532" i="1"/>
  <c r="D6532" i="1"/>
  <c r="E6532" i="1"/>
  <c r="F6532" i="1"/>
  <c r="G6532" i="1"/>
  <c r="H6532" i="1"/>
  <c r="I6532" i="1"/>
  <c r="J6532" i="1"/>
  <c r="K6532" i="1"/>
  <c r="L6532" i="1"/>
  <c r="A6533" i="1"/>
  <c r="B6533" i="1"/>
  <c r="C6533" i="1"/>
  <c r="D6533" i="1"/>
  <c r="E6533" i="1"/>
  <c r="F6533" i="1"/>
  <c r="G6533" i="1"/>
  <c r="H6533" i="1"/>
  <c r="I6533" i="1"/>
  <c r="J6533" i="1"/>
  <c r="K6533" i="1"/>
  <c r="L6533" i="1"/>
  <c r="A6534" i="1"/>
  <c r="B6534" i="1"/>
  <c r="C6534" i="1"/>
  <c r="D6534" i="1"/>
  <c r="E6534" i="1"/>
  <c r="F6534" i="1"/>
  <c r="G6534" i="1"/>
  <c r="H6534" i="1"/>
  <c r="I6534" i="1"/>
  <c r="J6534" i="1"/>
  <c r="K6534" i="1"/>
  <c r="L6534" i="1"/>
  <c r="A6535" i="1"/>
  <c r="B6535" i="1"/>
  <c r="C6535" i="1"/>
  <c r="D6535" i="1"/>
  <c r="E6535" i="1"/>
  <c r="F6535" i="1"/>
  <c r="G6535" i="1"/>
  <c r="H6535" i="1"/>
  <c r="I6535" i="1"/>
  <c r="J6535" i="1"/>
  <c r="K6535" i="1"/>
  <c r="L6535" i="1"/>
  <c r="A6536" i="1"/>
  <c r="B6536" i="1"/>
  <c r="C6536" i="1"/>
  <c r="D6536" i="1"/>
  <c r="E6536" i="1"/>
  <c r="F6536" i="1"/>
  <c r="G6536" i="1"/>
  <c r="H6536" i="1"/>
  <c r="I6536" i="1"/>
  <c r="J6536" i="1"/>
  <c r="K6536" i="1"/>
  <c r="L6536" i="1"/>
  <c r="A6537" i="1"/>
  <c r="B6537" i="1"/>
  <c r="C6537" i="1"/>
  <c r="D6537" i="1"/>
  <c r="E6537" i="1"/>
  <c r="F6537" i="1"/>
  <c r="G6537" i="1"/>
  <c r="H6537" i="1"/>
  <c r="I6537" i="1"/>
  <c r="J6537" i="1"/>
  <c r="K6537" i="1"/>
  <c r="L6537" i="1"/>
  <c r="A6538" i="1"/>
  <c r="B6538" i="1"/>
  <c r="C6538" i="1"/>
  <c r="D6538" i="1"/>
  <c r="E6538" i="1"/>
  <c r="F6538" i="1"/>
  <c r="G6538" i="1"/>
  <c r="H6538" i="1"/>
  <c r="I6538" i="1"/>
  <c r="J6538" i="1"/>
  <c r="K6538" i="1"/>
  <c r="L6538" i="1"/>
  <c r="A6539" i="1"/>
  <c r="B6539" i="1"/>
  <c r="C6539" i="1"/>
  <c r="D6539" i="1"/>
  <c r="E6539" i="1"/>
  <c r="F6539" i="1"/>
  <c r="G6539" i="1"/>
  <c r="H6539" i="1"/>
  <c r="I6539" i="1"/>
  <c r="J6539" i="1"/>
  <c r="K6539" i="1"/>
  <c r="L6539" i="1"/>
  <c r="A6540" i="1"/>
  <c r="B6540" i="1"/>
  <c r="C6540" i="1"/>
  <c r="D6540" i="1"/>
  <c r="E6540" i="1"/>
  <c r="F6540" i="1"/>
  <c r="G6540" i="1"/>
  <c r="H6540" i="1"/>
  <c r="I6540" i="1"/>
  <c r="J6540" i="1"/>
  <c r="K6540" i="1"/>
  <c r="L6540" i="1"/>
  <c r="A6541" i="1"/>
  <c r="B6541" i="1"/>
  <c r="C6541" i="1"/>
  <c r="D6541" i="1"/>
  <c r="E6541" i="1"/>
  <c r="F6541" i="1"/>
  <c r="G6541" i="1"/>
  <c r="H6541" i="1"/>
  <c r="I6541" i="1"/>
  <c r="J6541" i="1"/>
  <c r="K6541" i="1"/>
  <c r="L6541" i="1"/>
  <c r="A6542" i="1"/>
  <c r="B6542" i="1"/>
  <c r="C6542" i="1"/>
  <c r="D6542" i="1"/>
  <c r="E6542" i="1"/>
  <c r="F6542" i="1"/>
  <c r="G6542" i="1"/>
  <c r="H6542" i="1"/>
  <c r="I6542" i="1"/>
  <c r="J6542" i="1"/>
  <c r="K6542" i="1"/>
  <c r="L6542" i="1"/>
  <c r="A6543" i="1"/>
  <c r="B6543" i="1"/>
  <c r="C6543" i="1"/>
  <c r="D6543" i="1"/>
  <c r="E6543" i="1"/>
  <c r="F6543" i="1"/>
  <c r="G6543" i="1"/>
  <c r="H6543" i="1"/>
  <c r="I6543" i="1"/>
  <c r="J6543" i="1"/>
  <c r="K6543" i="1"/>
  <c r="L6543" i="1"/>
  <c r="A6544" i="1"/>
  <c r="B6544" i="1"/>
  <c r="C6544" i="1"/>
  <c r="D6544" i="1"/>
  <c r="E6544" i="1"/>
  <c r="F6544" i="1"/>
  <c r="G6544" i="1"/>
  <c r="H6544" i="1"/>
  <c r="I6544" i="1"/>
  <c r="J6544" i="1"/>
  <c r="K6544" i="1"/>
  <c r="L6544" i="1"/>
  <c r="A6545" i="1"/>
  <c r="B6545" i="1"/>
  <c r="C6545" i="1"/>
  <c r="D6545" i="1"/>
  <c r="E6545" i="1"/>
  <c r="F6545" i="1"/>
  <c r="G6545" i="1"/>
  <c r="H6545" i="1"/>
  <c r="I6545" i="1"/>
  <c r="J6545" i="1"/>
  <c r="K6545" i="1"/>
  <c r="L6545" i="1"/>
  <c r="A6546" i="1"/>
  <c r="B6546" i="1"/>
  <c r="C6546" i="1"/>
  <c r="D6546" i="1"/>
  <c r="E6546" i="1"/>
  <c r="F6546" i="1"/>
  <c r="G6546" i="1"/>
  <c r="H6546" i="1"/>
  <c r="I6546" i="1"/>
  <c r="J6546" i="1"/>
  <c r="K6546" i="1"/>
  <c r="L6546" i="1"/>
  <c r="A6547" i="1"/>
  <c r="B6547" i="1"/>
  <c r="C6547" i="1"/>
  <c r="D6547" i="1"/>
  <c r="E6547" i="1"/>
  <c r="F6547" i="1"/>
  <c r="G6547" i="1"/>
  <c r="H6547" i="1"/>
  <c r="I6547" i="1"/>
  <c r="J6547" i="1"/>
  <c r="K6547" i="1"/>
  <c r="L6547" i="1"/>
  <c r="A6548" i="1"/>
  <c r="B6548" i="1"/>
  <c r="C6548" i="1"/>
  <c r="D6548" i="1"/>
  <c r="E6548" i="1"/>
  <c r="F6548" i="1"/>
  <c r="G6548" i="1"/>
  <c r="H6548" i="1"/>
  <c r="I6548" i="1"/>
  <c r="J6548" i="1"/>
  <c r="K6548" i="1"/>
  <c r="L6548" i="1"/>
  <c r="A6549" i="1"/>
  <c r="B6549" i="1"/>
  <c r="C6549" i="1"/>
  <c r="D6549" i="1"/>
  <c r="E6549" i="1"/>
  <c r="F6549" i="1"/>
  <c r="G6549" i="1"/>
  <c r="H6549" i="1"/>
  <c r="I6549" i="1"/>
  <c r="J6549" i="1"/>
  <c r="K6549" i="1"/>
  <c r="L6549" i="1"/>
  <c r="A6550" i="1"/>
  <c r="B6550" i="1"/>
  <c r="C6550" i="1"/>
  <c r="D6550" i="1"/>
  <c r="E6550" i="1"/>
  <c r="F6550" i="1"/>
  <c r="G6550" i="1"/>
  <c r="H6550" i="1"/>
  <c r="I6550" i="1"/>
  <c r="J6550" i="1"/>
  <c r="K6550" i="1"/>
  <c r="L6550" i="1"/>
  <c r="A6551" i="1"/>
  <c r="B6551" i="1"/>
  <c r="C6551" i="1"/>
  <c r="D6551" i="1"/>
  <c r="E6551" i="1"/>
  <c r="F6551" i="1"/>
  <c r="G6551" i="1"/>
  <c r="H6551" i="1"/>
  <c r="I6551" i="1"/>
  <c r="J6551" i="1"/>
  <c r="K6551" i="1"/>
  <c r="L6551" i="1"/>
  <c r="A6552" i="1"/>
  <c r="B6552" i="1"/>
  <c r="C6552" i="1"/>
  <c r="D6552" i="1"/>
  <c r="E6552" i="1"/>
  <c r="F6552" i="1"/>
  <c r="G6552" i="1"/>
  <c r="H6552" i="1"/>
  <c r="I6552" i="1"/>
  <c r="J6552" i="1"/>
  <c r="K6552" i="1"/>
  <c r="L6552" i="1"/>
  <c r="A6553" i="1"/>
  <c r="B6553" i="1"/>
  <c r="C6553" i="1"/>
  <c r="D6553" i="1"/>
  <c r="E6553" i="1"/>
  <c r="F6553" i="1"/>
  <c r="G6553" i="1"/>
  <c r="H6553" i="1"/>
  <c r="I6553" i="1"/>
  <c r="J6553" i="1"/>
  <c r="K6553" i="1"/>
  <c r="L6553" i="1"/>
  <c r="A6554" i="1"/>
  <c r="B6554" i="1"/>
  <c r="C6554" i="1"/>
  <c r="D6554" i="1"/>
  <c r="E6554" i="1"/>
  <c r="F6554" i="1"/>
  <c r="G6554" i="1"/>
  <c r="H6554" i="1"/>
  <c r="I6554" i="1"/>
  <c r="J6554" i="1"/>
  <c r="K6554" i="1"/>
  <c r="L6554" i="1"/>
  <c r="A6555" i="1"/>
  <c r="B6555" i="1"/>
  <c r="C6555" i="1"/>
  <c r="D6555" i="1"/>
  <c r="E6555" i="1"/>
  <c r="F6555" i="1"/>
  <c r="G6555" i="1"/>
  <c r="H6555" i="1"/>
  <c r="I6555" i="1"/>
  <c r="J6555" i="1"/>
  <c r="K6555" i="1"/>
  <c r="L6555" i="1"/>
  <c r="A6556" i="1"/>
  <c r="B6556" i="1"/>
  <c r="C6556" i="1"/>
  <c r="D6556" i="1"/>
  <c r="E6556" i="1"/>
  <c r="F6556" i="1"/>
  <c r="G6556" i="1"/>
  <c r="H6556" i="1"/>
  <c r="I6556" i="1"/>
  <c r="J6556" i="1"/>
  <c r="K6556" i="1"/>
  <c r="L6556" i="1"/>
  <c r="A6557" i="1"/>
  <c r="B6557" i="1"/>
  <c r="C6557" i="1"/>
  <c r="D6557" i="1"/>
  <c r="E6557" i="1"/>
  <c r="F6557" i="1"/>
  <c r="G6557" i="1"/>
  <c r="H6557" i="1"/>
  <c r="I6557" i="1"/>
  <c r="J6557" i="1"/>
  <c r="K6557" i="1"/>
  <c r="L6557" i="1"/>
  <c r="A6558" i="1"/>
  <c r="B6558" i="1"/>
  <c r="C6558" i="1"/>
  <c r="D6558" i="1"/>
  <c r="E6558" i="1"/>
  <c r="F6558" i="1"/>
  <c r="G6558" i="1"/>
  <c r="H6558" i="1"/>
  <c r="I6558" i="1"/>
  <c r="J6558" i="1"/>
  <c r="K6558" i="1"/>
  <c r="L6558" i="1"/>
  <c r="A6559" i="1"/>
  <c r="B6559" i="1"/>
  <c r="C6559" i="1"/>
  <c r="D6559" i="1"/>
  <c r="E6559" i="1"/>
  <c r="F6559" i="1"/>
  <c r="G6559" i="1"/>
  <c r="H6559" i="1"/>
  <c r="I6559" i="1"/>
  <c r="J6559" i="1"/>
  <c r="K6559" i="1"/>
  <c r="L6559" i="1"/>
  <c r="A6560" i="1"/>
  <c r="B6560" i="1"/>
  <c r="C6560" i="1"/>
  <c r="D6560" i="1"/>
  <c r="E6560" i="1"/>
  <c r="F6560" i="1"/>
  <c r="G6560" i="1"/>
  <c r="H6560" i="1"/>
  <c r="I6560" i="1"/>
  <c r="J6560" i="1"/>
  <c r="K6560" i="1"/>
  <c r="L6560" i="1"/>
  <c r="A6561" i="1"/>
  <c r="B6561" i="1"/>
  <c r="C6561" i="1"/>
  <c r="D6561" i="1"/>
  <c r="E6561" i="1"/>
  <c r="F6561" i="1"/>
  <c r="G6561" i="1"/>
  <c r="H6561" i="1"/>
  <c r="I6561" i="1"/>
  <c r="J6561" i="1"/>
  <c r="K6561" i="1"/>
  <c r="L6561" i="1"/>
  <c r="A6562" i="1"/>
  <c r="B6562" i="1"/>
  <c r="C6562" i="1"/>
  <c r="D6562" i="1"/>
  <c r="E6562" i="1"/>
  <c r="F6562" i="1"/>
  <c r="G6562" i="1"/>
  <c r="H6562" i="1"/>
  <c r="I6562" i="1"/>
  <c r="J6562" i="1"/>
  <c r="K6562" i="1"/>
  <c r="L6562" i="1"/>
  <c r="A6563" i="1"/>
  <c r="B6563" i="1"/>
  <c r="C6563" i="1"/>
  <c r="D6563" i="1"/>
  <c r="E6563" i="1"/>
  <c r="F6563" i="1"/>
  <c r="G6563" i="1"/>
  <c r="H6563" i="1"/>
  <c r="I6563" i="1"/>
  <c r="J6563" i="1"/>
  <c r="K6563" i="1"/>
  <c r="L6563" i="1"/>
  <c r="A6564" i="1"/>
  <c r="B6564" i="1"/>
  <c r="C6564" i="1"/>
  <c r="D6564" i="1"/>
  <c r="E6564" i="1"/>
  <c r="F6564" i="1"/>
  <c r="G6564" i="1"/>
  <c r="H6564" i="1"/>
  <c r="I6564" i="1"/>
  <c r="J6564" i="1"/>
  <c r="K6564" i="1"/>
  <c r="L6564" i="1"/>
  <c r="A6565" i="1"/>
  <c r="B6565" i="1"/>
  <c r="C6565" i="1"/>
  <c r="D6565" i="1"/>
  <c r="E6565" i="1"/>
  <c r="F6565" i="1"/>
  <c r="G6565" i="1"/>
  <c r="H6565" i="1"/>
  <c r="I6565" i="1"/>
  <c r="J6565" i="1"/>
  <c r="K6565" i="1"/>
  <c r="L6565" i="1"/>
  <c r="A6566" i="1"/>
  <c r="B6566" i="1"/>
  <c r="C6566" i="1"/>
  <c r="D6566" i="1"/>
  <c r="E6566" i="1"/>
  <c r="F6566" i="1"/>
  <c r="G6566" i="1"/>
  <c r="H6566" i="1"/>
  <c r="I6566" i="1"/>
  <c r="J6566" i="1"/>
  <c r="K6566" i="1"/>
  <c r="L6566" i="1"/>
  <c r="A6567" i="1"/>
  <c r="B6567" i="1"/>
  <c r="C6567" i="1"/>
  <c r="D6567" i="1"/>
  <c r="E6567" i="1"/>
  <c r="F6567" i="1"/>
  <c r="G6567" i="1"/>
  <c r="H6567" i="1"/>
  <c r="I6567" i="1"/>
  <c r="J6567" i="1"/>
  <c r="K6567" i="1"/>
  <c r="L6567" i="1"/>
  <c r="A6568" i="1"/>
  <c r="B6568" i="1"/>
  <c r="C6568" i="1"/>
  <c r="D6568" i="1"/>
  <c r="E6568" i="1"/>
  <c r="F6568" i="1"/>
  <c r="G6568" i="1"/>
  <c r="H6568" i="1"/>
  <c r="I6568" i="1"/>
  <c r="J6568" i="1"/>
  <c r="K6568" i="1"/>
  <c r="L6568" i="1"/>
  <c r="A6569" i="1"/>
  <c r="B6569" i="1"/>
  <c r="C6569" i="1"/>
  <c r="D6569" i="1"/>
  <c r="E6569" i="1"/>
  <c r="F6569" i="1"/>
  <c r="G6569" i="1"/>
  <c r="H6569" i="1"/>
  <c r="I6569" i="1"/>
  <c r="J6569" i="1"/>
  <c r="K6569" i="1"/>
  <c r="L6569" i="1"/>
  <c r="A6570" i="1"/>
  <c r="B6570" i="1"/>
  <c r="C6570" i="1"/>
  <c r="D6570" i="1"/>
  <c r="E6570" i="1"/>
  <c r="F6570" i="1"/>
  <c r="G6570" i="1"/>
  <c r="H6570" i="1"/>
  <c r="I6570" i="1"/>
  <c r="J6570" i="1"/>
  <c r="K6570" i="1"/>
  <c r="L6570" i="1"/>
  <c r="A6571" i="1"/>
  <c r="B6571" i="1"/>
  <c r="C6571" i="1"/>
  <c r="D6571" i="1"/>
  <c r="E6571" i="1"/>
  <c r="F6571" i="1"/>
  <c r="G6571" i="1"/>
  <c r="H6571" i="1"/>
  <c r="I6571" i="1"/>
  <c r="J6571" i="1"/>
  <c r="K6571" i="1"/>
  <c r="L6571" i="1"/>
  <c r="A6572" i="1"/>
  <c r="B6572" i="1"/>
  <c r="C6572" i="1"/>
  <c r="D6572" i="1"/>
  <c r="E6572" i="1"/>
  <c r="F6572" i="1"/>
  <c r="G6572" i="1"/>
  <c r="H6572" i="1"/>
  <c r="I6572" i="1"/>
  <c r="J6572" i="1"/>
  <c r="K6572" i="1"/>
  <c r="L6572" i="1"/>
  <c r="A6573" i="1"/>
  <c r="B6573" i="1"/>
  <c r="C6573" i="1"/>
  <c r="D6573" i="1"/>
  <c r="E6573" i="1"/>
  <c r="F6573" i="1"/>
  <c r="G6573" i="1"/>
  <c r="H6573" i="1"/>
  <c r="I6573" i="1"/>
  <c r="J6573" i="1"/>
  <c r="K6573" i="1"/>
  <c r="L6573" i="1"/>
  <c r="A6574" i="1"/>
  <c r="B6574" i="1"/>
  <c r="C6574" i="1"/>
  <c r="D6574" i="1"/>
  <c r="E6574" i="1"/>
  <c r="F6574" i="1"/>
  <c r="G6574" i="1"/>
  <c r="H6574" i="1"/>
  <c r="I6574" i="1"/>
  <c r="J6574" i="1"/>
  <c r="K6574" i="1"/>
  <c r="L6574" i="1"/>
  <c r="A6575" i="1"/>
  <c r="B6575" i="1"/>
  <c r="C6575" i="1"/>
  <c r="D6575" i="1"/>
  <c r="E6575" i="1"/>
  <c r="F6575" i="1"/>
  <c r="G6575" i="1"/>
  <c r="H6575" i="1"/>
  <c r="I6575" i="1"/>
  <c r="J6575" i="1"/>
  <c r="K6575" i="1"/>
  <c r="L6575" i="1"/>
  <c r="A6576" i="1"/>
  <c r="B6576" i="1"/>
  <c r="C6576" i="1"/>
  <c r="D6576" i="1"/>
  <c r="E6576" i="1"/>
  <c r="F6576" i="1"/>
  <c r="G6576" i="1"/>
  <c r="H6576" i="1"/>
  <c r="I6576" i="1"/>
  <c r="J6576" i="1"/>
  <c r="K6576" i="1"/>
  <c r="L6576" i="1"/>
  <c r="A6577" i="1"/>
  <c r="B6577" i="1"/>
  <c r="C6577" i="1"/>
  <c r="D6577" i="1"/>
  <c r="E6577" i="1"/>
  <c r="F6577" i="1"/>
  <c r="G6577" i="1"/>
  <c r="H6577" i="1"/>
  <c r="I6577" i="1"/>
  <c r="J6577" i="1"/>
  <c r="K6577" i="1"/>
  <c r="L6577" i="1"/>
  <c r="A6578" i="1"/>
  <c r="B6578" i="1"/>
  <c r="C6578" i="1"/>
  <c r="D6578" i="1"/>
  <c r="E6578" i="1"/>
  <c r="F6578" i="1"/>
  <c r="G6578" i="1"/>
  <c r="H6578" i="1"/>
  <c r="I6578" i="1"/>
  <c r="J6578" i="1"/>
  <c r="K6578" i="1"/>
  <c r="L6578" i="1"/>
  <c r="A6579" i="1"/>
  <c r="B6579" i="1"/>
  <c r="C6579" i="1"/>
  <c r="D6579" i="1"/>
  <c r="E6579" i="1"/>
  <c r="F6579" i="1"/>
  <c r="G6579" i="1"/>
  <c r="H6579" i="1"/>
  <c r="I6579" i="1"/>
  <c r="J6579" i="1"/>
  <c r="K6579" i="1"/>
  <c r="L6579" i="1"/>
  <c r="A6580" i="1"/>
  <c r="B6580" i="1"/>
  <c r="C6580" i="1"/>
  <c r="D6580" i="1"/>
  <c r="E6580" i="1"/>
  <c r="F6580" i="1"/>
  <c r="G6580" i="1"/>
  <c r="H6580" i="1"/>
  <c r="I6580" i="1"/>
  <c r="J6580" i="1"/>
  <c r="K6580" i="1"/>
  <c r="L6580" i="1"/>
  <c r="A6581" i="1"/>
  <c r="B6581" i="1"/>
  <c r="C6581" i="1"/>
  <c r="D6581" i="1"/>
  <c r="E6581" i="1"/>
  <c r="F6581" i="1"/>
  <c r="G6581" i="1"/>
  <c r="H6581" i="1"/>
  <c r="I6581" i="1"/>
  <c r="J6581" i="1"/>
  <c r="K6581" i="1"/>
  <c r="L6581" i="1"/>
  <c r="A6582" i="1"/>
  <c r="B6582" i="1"/>
  <c r="C6582" i="1"/>
  <c r="D6582" i="1"/>
  <c r="E6582" i="1"/>
  <c r="F6582" i="1"/>
  <c r="G6582" i="1"/>
  <c r="H6582" i="1"/>
  <c r="I6582" i="1"/>
  <c r="J6582" i="1"/>
  <c r="K6582" i="1"/>
  <c r="L6582" i="1"/>
  <c r="A6583" i="1"/>
  <c r="B6583" i="1"/>
  <c r="C6583" i="1"/>
  <c r="D6583" i="1"/>
  <c r="E6583" i="1"/>
  <c r="F6583" i="1"/>
  <c r="G6583" i="1"/>
  <c r="H6583" i="1"/>
  <c r="I6583" i="1"/>
  <c r="J6583" i="1"/>
  <c r="K6583" i="1"/>
  <c r="L6583" i="1"/>
  <c r="A6584" i="1"/>
  <c r="B6584" i="1"/>
  <c r="C6584" i="1"/>
  <c r="D6584" i="1"/>
  <c r="E6584" i="1"/>
  <c r="F6584" i="1"/>
  <c r="G6584" i="1"/>
  <c r="H6584" i="1"/>
  <c r="I6584" i="1"/>
  <c r="J6584" i="1"/>
  <c r="K6584" i="1"/>
  <c r="L6584" i="1"/>
  <c r="A6585" i="1"/>
  <c r="B6585" i="1"/>
  <c r="C6585" i="1"/>
  <c r="D6585" i="1"/>
  <c r="E6585" i="1"/>
  <c r="F6585" i="1"/>
  <c r="G6585" i="1"/>
  <c r="H6585" i="1"/>
  <c r="I6585" i="1"/>
  <c r="J6585" i="1"/>
  <c r="K6585" i="1"/>
  <c r="L6585" i="1"/>
  <c r="A6586" i="1"/>
  <c r="B6586" i="1"/>
  <c r="C6586" i="1"/>
  <c r="D6586" i="1"/>
  <c r="E6586" i="1"/>
  <c r="F6586" i="1"/>
  <c r="G6586" i="1"/>
  <c r="H6586" i="1"/>
  <c r="I6586" i="1"/>
  <c r="J6586" i="1"/>
  <c r="K6586" i="1"/>
  <c r="L6586" i="1"/>
  <c r="A6587" i="1"/>
  <c r="B6587" i="1"/>
  <c r="C6587" i="1"/>
  <c r="D6587" i="1"/>
  <c r="E6587" i="1"/>
  <c r="F6587" i="1"/>
  <c r="G6587" i="1"/>
  <c r="H6587" i="1"/>
  <c r="I6587" i="1"/>
  <c r="J6587" i="1"/>
  <c r="K6587" i="1"/>
  <c r="L6587" i="1"/>
  <c r="A6588" i="1"/>
  <c r="B6588" i="1"/>
  <c r="C6588" i="1"/>
  <c r="D6588" i="1"/>
  <c r="E6588" i="1"/>
  <c r="F6588" i="1"/>
  <c r="G6588" i="1"/>
  <c r="H6588" i="1"/>
  <c r="I6588" i="1"/>
  <c r="J6588" i="1"/>
  <c r="K6588" i="1"/>
  <c r="L6588" i="1"/>
  <c r="A6589" i="1"/>
  <c r="B6589" i="1"/>
  <c r="C6589" i="1"/>
  <c r="D6589" i="1"/>
  <c r="E6589" i="1"/>
  <c r="F6589" i="1"/>
  <c r="G6589" i="1"/>
  <c r="H6589" i="1"/>
  <c r="I6589" i="1"/>
  <c r="J6589" i="1"/>
  <c r="K6589" i="1"/>
  <c r="L6589" i="1"/>
  <c r="A6590" i="1"/>
  <c r="B6590" i="1"/>
  <c r="C6590" i="1"/>
  <c r="D6590" i="1"/>
  <c r="E6590" i="1"/>
  <c r="F6590" i="1"/>
  <c r="G6590" i="1"/>
  <c r="H6590" i="1"/>
  <c r="I6590" i="1"/>
  <c r="J6590" i="1"/>
  <c r="K6590" i="1"/>
  <c r="L6590" i="1"/>
  <c r="A6591" i="1"/>
  <c r="B6591" i="1"/>
  <c r="C6591" i="1"/>
  <c r="D6591" i="1"/>
  <c r="E6591" i="1"/>
  <c r="F6591" i="1"/>
  <c r="G6591" i="1"/>
  <c r="H6591" i="1"/>
  <c r="I6591" i="1"/>
  <c r="J6591" i="1"/>
  <c r="K6591" i="1"/>
  <c r="L6591" i="1"/>
  <c r="A6592" i="1"/>
  <c r="B6592" i="1"/>
  <c r="C6592" i="1"/>
  <c r="D6592" i="1"/>
  <c r="E6592" i="1"/>
  <c r="F6592" i="1"/>
  <c r="G6592" i="1"/>
  <c r="H6592" i="1"/>
  <c r="I6592" i="1"/>
  <c r="J6592" i="1"/>
  <c r="K6592" i="1"/>
  <c r="L6592" i="1"/>
  <c r="A6593" i="1"/>
  <c r="B6593" i="1"/>
  <c r="C6593" i="1"/>
  <c r="D6593" i="1"/>
  <c r="E6593" i="1"/>
  <c r="F6593" i="1"/>
  <c r="G6593" i="1"/>
  <c r="H6593" i="1"/>
  <c r="I6593" i="1"/>
  <c r="J6593" i="1"/>
  <c r="K6593" i="1"/>
  <c r="L6593" i="1"/>
  <c r="A6594" i="1"/>
  <c r="B6594" i="1"/>
  <c r="C6594" i="1"/>
  <c r="D6594" i="1"/>
  <c r="E6594" i="1"/>
  <c r="F6594" i="1"/>
  <c r="G6594" i="1"/>
  <c r="H6594" i="1"/>
  <c r="I6594" i="1"/>
  <c r="J6594" i="1"/>
  <c r="K6594" i="1"/>
  <c r="L6594" i="1"/>
  <c r="A6595" i="1"/>
  <c r="B6595" i="1"/>
  <c r="C6595" i="1"/>
  <c r="D6595" i="1"/>
  <c r="E6595" i="1"/>
  <c r="F6595" i="1"/>
  <c r="G6595" i="1"/>
  <c r="H6595" i="1"/>
  <c r="I6595" i="1"/>
  <c r="J6595" i="1"/>
  <c r="K6595" i="1"/>
  <c r="L6595" i="1"/>
  <c r="A6596" i="1"/>
  <c r="B6596" i="1"/>
  <c r="C6596" i="1"/>
  <c r="D6596" i="1"/>
  <c r="E6596" i="1"/>
  <c r="F6596" i="1"/>
  <c r="G6596" i="1"/>
  <c r="H6596" i="1"/>
  <c r="I6596" i="1"/>
  <c r="J6596" i="1"/>
  <c r="K6596" i="1"/>
  <c r="L6596" i="1"/>
  <c r="A6597" i="1"/>
  <c r="B6597" i="1"/>
  <c r="C6597" i="1"/>
  <c r="D6597" i="1"/>
  <c r="E6597" i="1"/>
  <c r="F6597" i="1"/>
  <c r="G6597" i="1"/>
  <c r="H6597" i="1"/>
  <c r="I6597" i="1"/>
  <c r="J6597" i="1"/>
  <c r="K6597" i="1"/>
  <c r="L6597" i="1"/>
  <c r="A6598" i="1"/>
  <c r="B6598" i="1"/>
  <c r="C6598" i="1"/>
  <c r="D6598" i="1"/>
  <c r="E6598" i="1"/>
  <c r="F6598" i="1"/>
  <c r="G6598" i="1"/>
  <c r="H6598" i="1"/>
  <c r="I6598" i="1"/>
  <c r="J6598" i="1"/>
  <c r="K6598" i="1"/>
  <c r="L6598" i="1"/>
  <c r="A6599" i="1"/>
  <c r="B6599" i="1"/>
  <c r="C6599" i="1"/>
  <c r="D6599" i="1"/>
  <c r="E6599" i="1"/>
  <c r="F6599" i="1"/>
  <c r="G6599" i="1"/>
  <c r="H6599" i="1"/>
  <c r="I6599" i="1"/>
  <c r="J6599" i="1"/>
  <c r="K6599" i="1"/>
  <c r="L6599" i="1"/>
  <c r="A6600" i="1"/>
  <c r="B6600" i="1"/>
  <c r="C6600" i="1"/>
  <c r="D6600" i="1"/>
  <c r="E6600" i="1"/>
  <c r="F6600" i="1"/>
  <c r="G6600" i="1"/>
  <c r="H6600" i="1"/>
  <c r="I6600" i="1"/>
  <c r="J6600" i="1"/>
  <c r="K6600" i="1"/>
  <c r="L6600" i="1"/>
  <c r="A6601" i="1"/>
  <c r="B6601" i="1"/>
  <c r="C6601" i="1"/>
  <c r="D6601" i="1"/>
  <c r="E6601" i="1"/>
  <c r="F6601" i="1"/>
  <c r="G6601" i="1"/>
  <c r="H6601" i="1"/>
  <c r="I6601" i="1"/>
  <c r="J6601" i="1"/>
  <c r="K6601" i="1"/>
  <c r="L6601" i="1"/>
  <c r="A6602" i="1"/>
  <c r="B6602" i="1"/>
  <c r="C6602" i="1"/>
  <c r="D6602" i="1"/>
  <c r="E6602" i="1"/>
  <c r="F6602" i="1"/>
  <c r="G6602" i="1"/>
  <c r="H6602" i="1"/>
  <c r="I6602" i="1"/>
  <c r="J6602" i="1"/>
  <c r="K6602" i="1"/>
  <c r="L6602" i="1"/>
  <c r="A6603" i="1"/>
  <c r="B6603" i="1"/>
  <c r="C6603" i="1"/>
  <c r="D6603" i="1"/>
  <c r="E6603" i="1"/>
  <c r="F6603" i="1"/>
  <c r="G6603" i="1"/>
  <c r="H6603" i="1"/>
  <c r="I6603" i="1"/>
  <c r="J6603" i="1"/>
  <c r="K6603" i="1"/>
  <c r="L6603" i="1"/>
  <c r="A6604" i="1"/>
  <c r="B6604" i="1"/>
  <c r="C6604" i="1"/>
  <c r="D6604" i="1"/>
  <c r="E6604" i="1"/>
  <c r="F6604" i="1"/>
  <c r="G6604" i="1"/>
  <c r="H6604" i="1"/>
  <c r="I6604" i="1"/>
  <c r="J6604" i="1"/>
  <c r="K6604" i="1"/>
  <c r="L6604" i="1"/>
  <c r="A6605" i="1"/>
  <c r="B6605" i="1"/>
  <c r="C6605" i="1"/>
  <c r="D6605" i="1"/>
  <c r="E6605" i="1"/>
  <c r="F6605" i="1"/>
  <c r="G6605" i="1"/>
  <c r="H6605" i="1"/>
  <c r="I6605" i="1"/>
  <c r="J6605" i="1"/>
  <c r="K6605" i="1"/>
  <c r="L6605" i="1"/>
  <c r="A6606" i="1"/>
  <c r="B6606" i="1"/>
  <c r="C6606" i="1"/>
  <c r="D6606" i="1"/>
  <c r="E6606" i="1"/>
  <c r="F6606" i="1"/>
  <c r="G6606" i="1"/>
  <c r="H6606" i="1"/>
  <c r="I6606" i="1"/>
  <c r="J6606" i="1"/>
  <c r="K6606" i="1"/>
  <c r="L6606" i="1"/>
  <c r="A6607" i="1"/>
  <c r="B6607" i="1"/>
  <c r="C6607" i="1"/>
  <c r="D6607" i="1"/>
  <c r="E6607" i="1"/>
  <c r="F6607" i="1"/>
  <c r="G6607" i="1"/>
  <c r="H6607" i="1"/>
  <c r="I6607" i="1"/>
  <c r="J6607" i="1"/>
  <c r="K6607" i="1"/>
  <c r="L6607" i="1"/>
  <c r="A6608" i="1"/>
  <c r="B6608" i="1"/>
  <c r="C6608" i="1"/>
  <c r="D6608" i="1"/>
  <c r="E6608" i="1"/>
  <c r="F6608" i="1"/>
  <c r="G6608" i="1"/>
  <c r="H6608" i="1"/>
  <c r="I6608" i="1"/>
  <c r="J6608" i="1"/>
  <c r="K6608" i="1"/>
  <c r="L6608" i="1"/>
  <c r="A6609" i="1"/>
  <c r="B6609" i="1"/>
  <c r="C6609" i="1"/>
  <c r="D6609" i="1"/>
  <c r="E6609" i="1"/>
  <c r="F6609" i="1"/>
  <c r="G6609" i="1"/>
  <c r="H6609" i="1"/>
  <c r="I6609" i="1"/>
  <c r="J6609" i="1"/>
  <c r="K6609" i="1"/>
  <c r="L6609" i="1"/>
  <c r="A6610" i="1"/>
  <c r="B6610" i="1"/>
  <c r="C6610" i="1"/>
  <c r="D6610" i="1"/>
  <c r="E6610" i="1"/>
  <c r="F6610" i="1"/>
  <c r="G6610" i="1"/>
  <c r="H6610" i="1"/>
  <c r="I6610" i="1"/>
  <c r="J6610" i="1"/>
  <c r="K6610" i="1"/>
  <c r="L6610" i="1"/>
  <c r="A6611" i="1"/>
  <c r="B6611" i="1"/>
  <c r="C6611" i="1"/>
  <c r="D6611" i="1"/>
  <c r="E6611" i="1"/>
  <c r="F6611" i="1"/>
  <c r="G6611" i="1"/>
  <c r="H6611" i="1"/>
  <c r="I6611" i="1"/>
  <c r="J6611" i="1"/>
  <c r="K6611" i="1"/>
  <c r="L6611" i="1"/>
  <c r="A6612" i="1"/>
  <c r="B6612" i="1"/>
  <c r="C6612" i="1"/>
  <c r="D6612" i="1"/>
  <c r="E6612" i="1"/>
  <c r="F6612" i="1"/>
  <c r="G6612" i="1"/>
  <c r="H6612" i="1"/>
  <c r="I6612" i="1"/>
  <c r="J6612" i="1"/>
  <c r="K6612" i="1"/>
  <c r="L6612" i="1"/>
  <c r="A6613" i="1"/>
  <c r="B6613" i="1"/>
  <c r="C6613" i="1"/>
  <c r="D6613" i="1"/>
  <c r="E6613" i="1"/>
  <c r="F6613" i="1"/>
  <c r="G6613" i="1"/>
  <c r="H6613" i="1"/>
  <c r="I6613" i="1"/>
  <c r="J6613" i="1"/>
  <c r="K6613" i="1"/>
  <c r="L6613" i="1"/>
  <c r="A6614" i="1"/>
  <c r="B6614" i="1"/>
  <c r="C6614" i="1"/>
  <c r="D6614" i="1"/>
  <c r="E6614" i="1"/>
  <c r="F6614" i="1"/>
  <c r="G6614" i="1"/>
  <c r="H6614" i="1"/>
  <c r="I6614" i="1"/>
  <c r="J6614" i="1"/>
  <c r="K6614" i="1"/>
  <c r="L6614" i="1"/>
  <c r="A6615" i="1"/>
  <c r="B6615" i="1"/>
  <c r="C6615" i="1"/>
  <c r="D6615" i="1"/>
  <c r="E6615" i="1"/>
  <c r="F6615" i="1"/>
  <c r="G6615" i="1"/>
  <c r="H6615" i="1"/>
  <c r="I6615" i="1"/>
  <c r="J6615" i="1"/>
  <c r="K6615" i="1"/>
  <c r="L6615" i="1"/>
  <c r="A6616" i="1"/>
  <c r="B6616" i="1"/>
  <c r="C6616" i="1"/>
  <c r="D6616" i="1"/>
  <c r="E6616" i="1"/>
  <c r="F6616" i="1"/>
  <c r="G6616" i="1"/>
  <c r="H6616" i="1"/>
  <c r="I6616" i="1"/>
  <c r="J6616" i="1"/>
  <c r="K6616" i="1"/>
  <c r="L6616" i="1"/>
  <c r="A6617" i="1"/>
  <c r="B6617" i="1"/>
  <c r="C6617" i="1"/>
  <c r="D6617" i="1"/>
  <c r="E6617" i="1"/>
  <c r="F6617" i="1"/>
  <c r="G6617" i="1"/>
  <c r="H6617" i="1"/>
  <c r="I6617" i="1"/>
  <c r="J6617" i="1"/>
  <c r="K6617" i="1"/>
  <c r="L6617" i="1"/>
  <c r="A6618" i="1"/>
  <c r="B6618" i="1"/>
  <c r="C6618" i="1"/>
  <c r="D6618" i="1"/>
  <c r="E6618" i="1"/>
  <c r="F6618" i="1"/>
  <c r="G6618" i="1"/>
  <c r="H6618" i="1"/>
  <c r="I6618" i="1"/>
  <c r="J6618" i="1"/>
  <c r="K6618" i="1"/>
  <c r="L6618" i="1"/>
  <c r="A6619" i="1"/>
  <c r="B6619" i="1"/>
  <c r="C6619" i="1"/>
  <c r="D6619" i="1"/>
  <c r="E6619" i="1"/>
  <c r="F6619" i="1"/>
  <c r="G6619" i="1"/>
  <c r="H6619" i="1"/>
  <c r="I6619" i="1"/>
  <c r="J6619" i="1"/>
  <c r="K6619" i="1"/>
  <c r="L6619" i="1"/>
  <c r="A6620" i="1"/>
  <c r="B6620" i="1"/>
  <c r="C6620" i="1"/>
  <c r="D6620" i="1"/>
  <c r="E6620" i="1"/>
  <c r="F6620" i="1"/>
  <c r="G6620" i="1"/>
  <c r="H6620" i="1"/>
  <c r="I6620" i="1"/>
  <c r="J6620" i="1"/>
  <c r="K6620" i="1"/>
  <c r="L6620" i="1"/>
  <c r="A6621" i="1"/>
  <c r="B6621" i="1"/>
  <c r="C6621" i="1"/>
  <c r="D6621" i="1"/>
  <c r="E6621" i="1"/>
  <c r="F6621" i="1"/>
  <c r="G6621" i="1"/>
  <c r="H6621" i="1"/>
  <c r="I6621" i="1"/>
  <c r="J6621" i="1"/>
  <c r="K6621" i="1"/>
  <c r="L6621" i="1"/>
  <c r="A6622" i="1"/>
  <c r="B6622" i="1"/>
  <c r="C6622" i="1"/>
  <c r="D6622" i="1"/>
  <c r="E6622" i="1"/>
  <c r="F6622" i="1"/>
  <c r="G6622" i="1"/>
  <c r="H6622" i="1"/>
  <c r="I6622" i="1"/>
  <c r="J6622" i="1"/>
  <c r="K6622" i="1"/>
  <c r="L6622" i="1"/>
  <c r="A6623" i="1"/>
  <c r="B6623" i="1"/>
  <c r="C6623" i="1"/>
  <c r="D6623" i="1"/>
  <c r="E6623" i="1"/>
  <c r="F6623" i="1"/>
  <c r="G6623" i="1"/>
  <c r="H6623" i="1"/>
  <c r="I6623" i="1"/>
  <c r="J6623" i="1"/>
  <c r="K6623" i="1"/>
  <c r="L6623" i="1"/>
  <c r="A6624" i="1"/>
  <c r="B6624" i="1"/>
  <c r="C6624" i="1"/>
  <c r="D6624" i="1"/>
  <c r="E6624" i="1"/>
  <c r="F6624" i="1"/>
  <c r="G6624" i="1"/>
  <c r="H6624" i="1"/>
  <c r="I6624" i="1"/>
  <c r="J6624" i="1"/>
  <c r="K6624" i="1"/>
  <c r="L6624" i="1"/>
  <c r="A6625" i="1"/>
  <c r="B6625" i="1"/>
  <c r="C6625" i="1"/>
  <c r="D6625" i="1"/>
  <c r="E6625" i="1"/>
  <c r="F6625" i="1"/>
  <c r="G6625" i="1"/>
  <c r="H6625" i="1"/>
  <c r="I6625" i="1"/>
  <c r="J6625" i="1"/>
  <c r="K6625" i="1"/>
  <c r="L6625" i="1"/>
  <c r="A6626" i="1"/>
  <c r="B6626" i="1"/>
  <c r="C6626" i="1"/>
  <c r="D6626" i="1"/>
  <c r="E6626" i="1"/>
  <c r="F6626" i="1"/>
  <c r="G6626" i="1"/>
  <c r="H6626" i="1"/>
  <c r="I6626" i="1"/>
  <c r="J6626" i="1"/>
  <c r="K6626" i="1"/>
  <c r="L6626" i="1"/>
  <c r="A6627" i="1"/>
  <c r="B6627" i="1"/>
  <c r="C6627" i="1"/>
  <c r="D6627" i="1"/>
  <c r="E6627" i="1"/>
  <c r="F6627" i="1"/>
  <c r="G6627" i="1"/>
  <c r="H6627" i="1"/>
  <c r="I6627" i="1"/>
  <c r="J6627" i="1"/>
  <c r="K6627" i="1"/>
  <c r="L6627" i="1"/>
  <c r="A6628" i="1"/>
  <c r="B6628" i="1"/>
  <c r="C6628" i="1"/>
  <c r="D6628" i="1"/>
  <c r="E6628" i="1"/>
  <c r="F6628" i="1"/>
  <c r="G6628" i="1"/>
  <c r="H6628" i="1"/>
  <c r="I6628" i="1"/>
  <c r="J6628" i="1"/>
  <c r="K6628" i="1"/>
  <c r="L6628" i="1"/>
  <c r="A6629" i="1"/>
  <c r="B6629" i="1"/>
  <c r="C6629" i="1"/>
  <c r="D6629" i="1"/>
  <c r="E6629" i="1"/>
  <c r="F6629" i="1"/>
  <c r="G6629" i="1"/>
  <c r="H6629" i="1"/>
  <c r="I6629" i="1"/>
  <c r="J6629" i="1"/>
  <c r="K6629" i="1"/>
  <c r="L6629" i="1"/>
  <c r="A6630" i="1"/>
  <c r="B6630" i="1"/>
  <c r="C6630" i="1"/>
  <c r="D6630" i="1"/>
  <c r="E6630" i="1"/>
  <c r="F6630" i="1"/>
  <c r="G6630" i="1"/>
  <c r="H6630" i="1"/>
  <c r="I6630" i="1"/>
  <c r="J6630" i="1"/>
  <c r="K6630" i="1"/>
  <c r="L6630" i="1"/>
  <c r="A6631" i="1"/>
  <c r="B6631" i="1"/>
  <c r="C6631" i="1"/>
  <c r="D6631" i="1"/>
  <c r="E6631" i="1"/>
  <c r="F6631" i="1"/>
  <c r="G6631" i="1"/>
  <c r="H6631" i="1"/>
  <c r="I6631" i="1"/>
  <c r="J6631" i="1"/>
  <c r="K6631" i="1"/>
  <c r="L6631" i="1"/>
  <c r="A6632" i="1"/>
  <c r="B6632" i="1"/>
  <c r="C6632" i="1"/>
  <c r="D6632" i="1"/>
  <c r="E6632" i="1"/>
  <c r="F6632" i="1"/>
  <c r="G6632" i="1"/>
  <c r="H6632" i="1"/>
  <c r="I6632" i="1"/>
  <c r="J6632" i="1"/>
  <c r="K6632" i="1"/>
  <c r="L6632" i="1"/>
  <c r="A6633" i="1"/>
  <c r="B6633" i="1"/>
  <c r="C6633" i="1"/>
  <c r="D6633" i="1"/>
  <c r="E6633" i="1"/>
  <c r="F6633" i="1"/>
  <c r="G6633" i="1"/>
  <c r="H6633" i="1"/>
  <c r="I6633" i="1"/>
  <c r="J6633" i="1"/>
  <c r="K6633" i="1"/>
  <c r="L6633" i="1"/>
  <c r="A6634" i="1"/>
  <c r="B6634" i="1"/>
  <c r="C6634" i="1"/>
  <c r="D6634" i="1"/>
  <c r="E6634" i="1"/>
  <c r="F6634" i="1"/>
  <c r="G6634" i="1"/>
  <c r="H6634" i="1"/>
  <c r="I6634" i="1"/>
  <c r="J6634" i="1"/>
  <c r="K6634" i="1"/>
  <c r="L6634" i="1"/>
  <c r="A6635" i="1"/>
  <c r="B6635" i="1"/>
  <c r="C6635" i="1"/>
  <c r="D6635" i="1"/>
  <c r="E6635" i="1"/>
  <c r="F6635" i="1"/>
  <c r="G6635" i="1"/>
  <c r="H6635" i="1"/>
  <c r="I6635" i="1"/>
  <c r="J6635" i="1"/>
  <c r="K6635" i="1"/>
  <c r="L6635" i="1"/>
  <c r="A6636" i="1"/>
  <c r="B6636" i="1"/>
  <c r="C6636" i="1"/>
  <c r="D6636" i="1"/>
  <c r="E6636" i="1"/>
  <c r="F6636" i="1"/>
  <c r="G6636" i="1"/>
  <c r="H6636" i="1"/>
  <c r="I6636" i="1"/>
  <c r="J6636" i="1"/>
  <c r="K6636" i="1"/>
  <c r="L6636" i="1"/>
  <c r="A6637" i="1"/>
  <c r="B6637" i="1"/>
  <c r="C6637" i="1"/>
  <c r="D6637" i="1"/>
  <c r="E6637" i="1"/>
  <c r="F6637" i="1"/>
  <c r="G6637" i="1"/>
  <c r="H6637" i="1"/>
  <c r="I6637" i="1"/>
  <c r="J6637" i="1"/>
  <c r="K6637" i="1"/>
  <c r="L6637" i="1"/>
  <c r="A6638" i="1"/>
  <c r="B6638" i="1"/>
  <c r="C6638" i="1"/>
  <c r="D6638" i="1"/>
  <c r="E6638" i="1"/>
  <c r="F6638" i="1"/>
  <c r="G6638" i="1"/>
  <c r="H6638" i="1"/>
  <c r="I6638" i="1"/>
  <c r="J6638" i="1"/>
  <c r="K6638" i="1"/>
  <c r="L6638" i="1"/>
  <c r="A6639" i="1"/>
  <c r="B6639" i="1"/>
  <c r="C6639" i="1"/>
  <c r="D6639" i="1"/>
  <c r="E6639" i="1"/>
  <c r="F6639" i="1"/>
  <c r="G6639" i="1"/>
  <c r="H6639" i="1"/>
  <c r="I6639" i="1"/>
  <c r="J6639" i="1"/>
  <c r="K6639" i="1"/>
  <c r="L6639" i="1"/>
  <c r="A6640" i="1"/>
  <c r="B6640" i="1"/>
  <c r="C6640" i="1"/>
  <c r="D6640" i="1"/>
  <c r="E6640" i="1"/>
  <c r="F6640" i="1"/>
  <c r="G6640" i="1"/>
  <c r="H6640" i="1"/>
  <c r="I6640" i="1"/>
  <c r="J6640" i="1"/>
  <c r="K6640" i="1"/>
  <c r="L6640" i="1"/>
  <c r="A6641" i="1"/>
  <c r="B6641" i="1"/>
  <c r="C6641" i="1"/>
  <c r="D6641" i="1"/>
  <c r="E6641" i="1"/>
  <c r="F6641" i="1"/>
  <c r="G6641" i="1"/>
  <c r="H6641" i="1"/>
  <c r="I6641" i="1"/>
  <c r="J6641" i="1"/>
  <c r="K6641" i="1"/>
  <c r="L6641" i="1"/>
  <c r="A6642" i="1"/>
  <c r="B6642" i="1"/>
  <c r="C6642" i="1"/>
  <c r="D6642" i="1"/>
  <c r="E6642" i="1"/>
  <c r="F6642" i="1"/>
  <c r="G6642" i="1"/>
  <c r="H6642" i="1"/>
  <c r="I6642" i="1"/>
  <c r="J6642" i="1"/>
  <c r="K6642" i="1"/>
  <c r="L6642" i="1"/>
  <c r="A6643" i="1"/>
  <c r="B6643" i="1"/>
  <c r="C6643" i="1"/>
  <c r="D6643" i="1"/>
  <c r="E6643" i="1"/>
  <c r="F6643" i="1"/>
  <c r="G6643" i="1"/>
  <c r="H6643" i="1"/>
  <c r="I6643" i="1"/>
  <c r="J6643" i="1"/>
  <c r="K6643" i="1"/>
  <c r="L6643" i="1"/>
  <c r="A6644" i="1"/>
  <c r="B6644" i="1"/>
  <c r="C6644" i="1"/>
  <c r="D6644" i="1"/>
  <c r="E6644" i="1"/>
  <c r="F6644" i="1"/>
  <c r="G6644" i="1"/>
  <c r="H6644" i="1"/>
  <c r="I6644" i="1"/>
  <c r="J6644" i="1"/>
  <c r="K6644" i="1"/>
  <c r="L6644" i="1"/>
  <c r="A6645" i="1"/>
  <c r="B6645" i="1"/>
  <c r="C6645" i="1"/>
  <c r="D6645" i="1"/>
  <c r="E6645" i="1"/>
  <c r="F6645" i="1"/>
  <c r="G6645" i="1"/>
  <c r="H6645" i="1"/>
  <c r="I6645" i="1"/>
  <c r="J6645" i="1"/>
  <c r="K6645" i="1"/>
  <c r="L6645" i="1"/>
  <c r="A6646" i="1"/>
  <c r="B6646" i="1"/>
  <c r="C6646" i="1"/>
  <c r="D6646" i="1"/>
  <c r="E6646" i="1"/>
  <c r="F6646" i="1"/>
  <c r="G6646" i="1"/>
  <c r="H6646" i="1"/>
  <c r="I6646" i="1"/>
  <c r="J6646" i="1"/>
  <c r="K6646" i="1"/>
  <c r="L6646" i="1"/>
  <c r="A6647" i="1"/>
  <c r="B6647" i="1"/>
  <c r="C6647" i="1"/>
  <c r="D6647" i="1"/>
  <c r="E6647" i="1"/>
  <c r="F6647" i="1"/>
  <c r="G6647" i="1"/>
  <c r="H6647" i="1"/>
  <c r="I6647" i="1"/>
  <c r="J6647" i="1"/>
  <c r="K6647" i="1"/>
  <c r="L6647" i="1"/>
  <c r="A6648" i="1"/>
  <c r="B6648" i="1"/>
  <c r="C6648" i="1"/>
  <c r="D6648" i="1"/>
  <c r="E6648" i="1"/>
  <c r="F6648" i="1"/>
  <c r="G6648" i="1"/>
  <c r="H6648" i="1"/>
  <c r="I6648" i="1"/>
  <c r="J6648" i="1"/>
  <c r="K6648" i="1"/>
  <c r="L6648" i="1"/>
  <c r="A6649" i="1"/>
  <c r="B6649" i="1"/>
  <c r="C6649" i="1"/>
  <c r="D6649" i="1"/>
  <c r="E6649" i="1"/>
  <c r="F6649" i="1"/>
  <c r="G6649" i="1"/>
  <c r="H6649" i="1"/>
  <c r="I6649" i="1"/>
  <c r="J6649" i="1"/>
  <c r="K6649" i="1"/>
  <c r="L6649" i="1"/>
  <c r="A6650" i="1"/>
  <c r="B6650" i="1"/>
  <c r="C6650" i="1"/>
  <c r="D6650" i="1"/>
  <c r="E6650" i="1"/>
  <c r="F6650" i="1"/>
  <c r="G6650" i="1"/>
  <c r="H6650" i="1"/>
  <c r="I6650" i="1"/>
  <c r="J6650" i="1"/>
  <c r="K6650" i="1"/>
  <c r="L6650" i="1"/>
  <c r="A6651" i="1"/>
  <c r="B6651" i="1"/>
  <c r="C6651" i="1"/>
  <c r="D6651" i="1"/>
  <c r="E6651" i="1"/>
  <c r="F6651" i="1"/>
  <c r="G6651" i="1"/>
  <c r="H6651" i="1"/>
  <c r="I6651" i="1"/>
  <c r="J6651" i="1"/>
  <c r="K6651" i="1"/>
  <c r="L6651" i="1"/>
  <c r="A6652" i="1"/>
  <c r="B6652" i="1"/>
  <c r="C6652" i="1"/>
  <c r="D6652" i="1"/>
  <c r="E6652" i="1"/>
  <c r="F6652" i="1"/>
  <c r="G6652" i="1"/>
  <c r="H6652" i="1"/>
  <c r="I6652" i="1"/>
  <c r="J6652" i="1"/>
  <c r="K6652" i="1"/>
  <c r="L6652" i="1"/>
  <c r="A6653" i="1"/>
  <c r="B6653" i="1"/>
  <c r="C6653" i="1"/>
  <c r="D6653" i="1"/>
  <c r="E6653" i="1"/>
  <c r="F6653" i="1"/>
  <c r="G6653" i="1"/>
  <c r="H6653" i="1"/>
  <c r="I6653" i="1"/>
  <c r="J6653" i="1"/>
  <c r="K6653" i="1"/>
  <c r="L6653" i="1"/>
  <c r="A6654" i="1"/>
  <c r="B6654" i="1"/>
  <c r="C6654" i="1"/>
  <c r="D6654" i="1"/>
  <c r="E6654" i="1"/>
  <c r="F6654" i="1"/>
  <c r="G6654" i="1"/>
  <c r="H6654" i="1"/>
  <c r="I6654" i="1"/>
  <c r="J6654" i="1"/>
  <c r="K6654" i="1"/>
  <c r="L6654" i="1"/>
  <c r="A6655" i="1"/>
  <c r="B6655" i="1"/>
  <c r="C6655" i="1"/>
  <c r="D6655" i="1"/>
  <c r="E6655" i="1"/>
  <c r="F6655" i="1"/>
  <c r="G6655" i="1"/>
  <c r="H6655" i="1"/>
  <c r="I6655" i="1"/>
  <c r="J6655" i="1"/>
  <c r="K6655" i="1"/>
  <c r="L6655" i="1"/>
  <c r="A6656" i="1"/>
  <c r="B6656" i="1"/>
  <c r="C6656" i="1"/>
  <c r="D6656" i="1"/>
  <c r="E6656" i="1"/>
  <c r="F6656" i="1"/>
  <c r="G6656" i="1"/>
  <c r="H6656" i="1"/>
  <c r="I6656" i="1"/>
  <c r="J6656" i="1"/>
  <c r="K6656" i="1"/>
  <c r="L6656" i="1"/>
  <c r="A6657" i="1"/>
  <c r="B6657" i="1"/>
  <c r="C6657" i="1"/>
  <c r="D6657" i="1"/>
  <c r="E6657" i="1"/>
  <c r="F6657" i="1"/>
  <c r="G6657" i="1"/>
  <c r="H6657" i="1"/>
  <c r="I6657" i="1"/>
  <c r="J6657" i="1"/>
  <c r="K6657" i="1"/>
  <c r="L6657" i="1"/>
  <c r="A6658" i="1"/>
  <c r="B6658" i="1"/>
  <c r="C6658" i="1"/>
  <c r="D6658" i="1"/>
  <c r="E6658" i="1"/>
  <c r="F6658" i="1"/>
  <c r="G6658" i="1"/>
  <c r="H6658" i="1"/>
  <c r="I6658" i="1"/>
  <c r="J6658" i="1"/>
  <c r="K6658" i="1"/>
  <c r="L6658" i="1"/>
  <c r="A6659" i="1"/>
  <c r="B6659" i="1"/>
  <c r="C6659" i="1"/>
  <c r="D6659" i="1"/>
  <c r="E6659" i="1"/>
  <c r="F6659" i="1"/>
  <c r="G6659" i="1"/>
  <c r="H6659" i="1"/>
  <c r="I6659" i="1"/>
  <c r="J6659" i="1"/>
  <c r="K6659" i="1"/>
  <c r="L6659" i="1"/>
  <c r="A6660" i="1"/>
  <c r="B6660" i="1"/>
  <c r="C6660" i="1"/>
  <c r="D6660" i="1"/>
  <c r="E6660" i="1"/>
  <c r="F6660" i="1"/>
  <c r="G6660" i="1"/>
  <c r="H6660" i="1"/>
  <c r="I6660" i="1"/>
  <c r="J6660" i="1"/>
  <c r="K6660" i="1"/>
  <c r="L6660" i="1"/>
  <c r="A6661" i="1"/>
  <c r="B6661" i="1"/>
  <c r="C6661" i="1"/>
  <c r="D6661" i="1"/>
  <c r="E6661" i="1"/>
  <c r="F6661" i="1"/>
  <c r="G6661" i="1"/>
  <c r="H6661" i="1"/>
  <c r="I6661" i="1"/>
  <c r="J6661" i="1"/>
  <c r="K6661" i="1"/>
  <c r="L6661" i="1"/>
  <c r="A6662" i="1"/>
  <c r="B6662" i="1"/>
  <c r="C6662" i="1"/>
  <c r="D6662" i="1"/>
  <c r="E6662" i="1"/>
  <c r="F6662" i="1"/>
  <c r="G6662" i="1"/>
  <c r="H6662" i="1"/>
  <c r="I6662" i="1"/>
  <c r="J6662" i="1"/>
  <c r="K6662" i="1"/>
  <c r="L6662" i="1"/>
  <c r="A6663" i="1"/>
  <c r="B6663" i="1"/>
  <c r="C6663" i="1"/>
  <c r="D6663" i="1"/>
  <c r="E6663" i="1"/>
  <c r="F6663" i="1"/>
  <c r="G6663" i="1"/>
  <c r="H6663" i="1"/>
  <c r="I6663" i="1"/>
  <c r="J6663" i="1"/>
  <c r="K6663" i="1"/>
  <c r="L6663" i="1"/>
  <c r="A6664" i="1"/>
  <c r="B6664" i="1"/>
  <c r="C6664" i="1"/>
  <c r="D6664" i="1"/>
  <c r="E6664" i="1"/>
  <c r="F6664" i="1"/>
  <c r="G6664" i="1"/>
  <c r="H6664" i="1"/>
  <c r="I6664" i="1"/>
  <c r="J6664" i="1"/>
  <c r="K6664" i="1"/>
  <c r="L6664" i="1"/>
  <c r="A6665" i="1"/>
  <c r="B6665" i="1"/>
  <c r="C6665" i="1"/>
  <c r="D6665" i="1"/>
  <c r="E6665" i="1"/>
  <c r="F6665" i="1"/>
  <c r="G6665" i="1"/>
  <c r="H6665" i="1"/>
  <c r="I6665" i="1"/>
  <c r="J6665" i="1"/>
  <c r="K6665" i="1"/>
  <c r="L6665" i="1"/>
  <c r="A6666" i="1"/>
  <c r="B6666" i="1"/>
  <c r="C6666" i="1"/>
  <c r="D6666" i="1"/>
  <c r="E6666" i="1"/>
  <c r="F6666" i="1"/>
  <c r="G6666" i="1"/>
  <c r="H6666" i="1"/>
  <c r="I6666" i="1"/>
  <c r="J6666" i="1"/>
  <c r="K6666" i="1"/>
  <c r="L6666" i="1"/>
  <c r="A6667" i="1"/>
  <c r="B6667" i="1"/>
  <c r="C6667" i="1"/>
  <c r="D6667" i="1"/>
  <c r="E6667" i="1"/>
  <c r="F6667" i="1"/>
  <c r="G6667" i="1"/>
  <c r="H6667" i="1"/>
  <c r="I6667" i="1"/>
  <c r="J6667" i="1"/>
  <c r="K6667" i="1"/>
  <c r="L6667" i="1"/>
  <c r="A6668" i="1"/>
  <c r="B6668" i="1"/>
  <c r="C6668" i="1"/>
  <c r="D6668" i="1"/>
  <c r="E6668" i="1"/>
  <c r="F6668" i="1"/>
  <c r="G6668" i="1"/>
  <c r="H6668" i="1"/>
  <c r="I6668" i="1"/>
  <c r="J6668" i="1"/>
  <c r="K6668" i="1"/>
  <c r="L6668" i="1"/>
  <c r="A6669" i="1"/>
  <c r="B6669" i="1"/>
  <c r="C6669" i="1"/>
  <c r="D6669" i="1"/>
  <c r="E6669" i="1"/>
  <c r="F6669" i="1"/>
  <c r="G6669" i="1"/>
  <c r="H6669" i="1"/>
  <c r="I6669" i="1"/>
  <c r="J6669" i="1"/>
  <c r="K6669" i="1"/>
  <c r="L6669" i="1"/>
  <c r="A6670" i="1"/>
  <c r="B6670" i="1"/>
  <c r="C6670" i="1"/>
  <c r="D6670" i="1"/>
  <c r="E6670" i="1"/>
  <c r="F6670" i="1"/>
  <c r="G6670" i="1"/>
  <c r="H6670" i="1"/>
  <c r="I6670" i="1"/>
  <c r="J6670" i="1"/>
  <c r="K6670" i="1"/>
  <c r="L6670" i="1"/>
  <c r="A6671" i="1"/>
  <c r="B6671" i="1"/>
  <c r="C6671" i="1"/>
  <c r="D6671" i="1"/>
  <c r="E6671" i="1"/>
  <c r="F6671" i="1"/>
  <c r="G6671" i="1"/>
  <c r="H6671" i="1"/>
  <c r="I6671" i="1"/>
  <c r="J6671" i="1"/>
  <c r="K6671" i="1"/>
  <c r="L6671" i="1"/>
  <c r="A6672" i="1"/>
  <c r="B6672" i="1"/>
  <c r="C6672" i="1"/>
  <c r="D6672" i="1"/>
  <c r="E6672" i="1"/>
  <c r="F6672" i="1"/>
  <c r="G6672" i="1"/>
  <c r="H6672" i="1"/>
  <c r="I6672" i="1"/>
  <c r="J6672" i="1"/>
  <c r="K6672" i="1"/>
  <c r="L6672" i="1"/>
  <c r="A6673" i="1"/>
  <c r="B6673" i="1"/>
  <c r="C6673" i="1"/>
  <c r="D6673" i="1"/>
  <c r="E6673" i="1"/>
  <c r="F6673" i="1"/>
  <c r="G6673" i="1"/>
  <c r="H6673" i="1"/>
  <c r="I6673" i="1"/>
  <c r="J6673" i="1"/>
  <c r="K6673" i="1"/>
  <c r="L6673" i="1"/>
  <c r="A6674" i="1"/>
  <c r="B6674" i="1"/>
  <c r="C6674" i="1"/>
  <c r="D6674" i="1"/>
  <c r="E6674" i="1"/>
  <c r="F6674" i="1"/>
  <c r="G6674" i="1"/>
  <c r="H6674" i="1"/>
  <c r="I6674" i="1"/>
  <c r="J6674" i="1"/>
  <c r="K6674" i="1"/>
  <c r="L6674" i="1"/>
  <c r="A6675" i="1"/>
  <c r="B6675" i="1"/>
  <c r="C6675" i="1"/>
  <c r="D6675" i="1"/>
  <c r="E6675" i="1"/>
  <c r="F6675" i="1"/>
  <c r="G6675" i="1"/>
  <c r="H6675" i="1"/>
  <c r="I6675" i="1"/>
  <c r="J6675" i="1"/>
  <c r="K6675" i="1"/>
  <c r="L6675" i="1"/>
  <c r="A6676" i="1"/>
  <c r="B6676" i="1"/>
  <c r="C6676" i="1"/>
  <c r="D6676" i="1"/>
  <c r="E6676" i="1"/>
  <c r="F6676" i="1"/>
  <c r="G6676" i="1"/>
  <c r="H6676" i="1"/>
  <c r="I6676" i="1"/>
  <c r="J6676" i="1"/>
  <c r="K6676" i="1"/>
  <c r="L6676" i="1"/>
  <c r="A6677" i="1"/>
  <c r="B6677" i="1"/>
  <c r="C6677" i="1"/>
  <c r="D6677" i="1"/>
  <c r="E6677" i="1"/>
  <c r="F6677" i="1"/>
  <c r="G6677" i="1"/>
  <c r="H6677" i="1"/>
  <c r="I6677" i="1"/>
  <c r="J6677" i="1"/>
  <c r="K6677" i="1"/>
  <c r="L6677" i="1"/>
  <c r="A6678" i="1"/>
  <c r="B6678" i="1"/>
  <c r="C6678" i="1"/>
  <c r="D6678" i="1"/>
  <c r="E6678" i="1"/>
  <c r="F6678" i="1"/>
  <c r="G6678" i="1"/>
  <c r="H6678" i="1"/>
  <c r="I6678" i="1"/>
  <c r="J6678" i="1"/>
  <c r="K6678" i="1"/>
  <c r="L6678" i="1"/>
  <c r="A6679" i="1"/>
  <c r="B6679" i="1"/>
  <c r="C6679" i="1"/>
  <c r="D6679" i="1"/>
  <c r="E6679" i="1"/>
  <c r="F6679" i="1"/>
  <c r="G6679" i="1"/>
  <c r="H6679" i="1"/>
  <c r="I6679" i="1"/>
  <c r="J6679" i="1"/>
  <c r="K6679" i="1"/>
  <c r="L6679" i="1"/>
  <c r="A6680" i="1"/>
  <c r="B6680" i="1"/>
  <c r="C6680" i="1"/>
  <c r="D6680" i="1"/>
  <c r="E6680" i="1"/>
  <c r="F6680" i="1"/>
  <c r="G6680" i="1"/>
  <c r="H6680" i="1"/>
  <c r="I6680" i="1"/>
  <c r="J6680" i="1"/>
  <c r="K6680" i="1"/>
  <c r="L6680" i="1"/>
  <c r="A6681" i="1"/>
  <c r="B6681" i="1"/>
  <c r="C6681" i="1"/>
  <c r="D6681" i="1"/>
  <c r="E6681" i="1"/>
  <c r="F6681" i="1"/>
  <c r="G6681" i="1"/>
  <c r="H6681" i="1"/>
  <c r="I6681" i="1"/>
  <c r="J6681" i="1"/>
  <c r="K6681" i="1"/>
  <c r="L6681" i="1"/>
  <c r="A6682" i="1"/>
  <c r="B6682" i="1"/>
  <c r="C6682" i="1"/>
  <c r="D6682" i="1"/>
  <c r="E6682" i="1"/>
  <c r="F6682" i="1"/>
  <c r="G6682" i="1"/>
  <c r="H6682" i="1"/>
  <c r="I6682" i="1"/>
  <c r="J6682" i="1"/>
  <c r="K6682" i="1"/>
  <c r="L6682" i="1"/>
  <c r="A6683" i="1"/>
  <c r="B6683" i="1"/>
  <c r="C6683" i="1"/>
  <c r="D6683" i="1"/>
  <c r="E6683" i="1"/>
  <c r="F6683" i="1"/>
  <c r="G6683" i="1"/>
  <c r="H6683" i="1"/>
  <c r="I6683" i="1"/>
  <c r="J6683" i="1"/>
  <c r="K6683" i="1"/>
  <c r="L6683" i="1"/>
  <c r="A6684" i="1"/>
  <c r="B6684" i="1"/>
  <c r="C6684" i="1"/>
  <c r="D6684" i="1"/>
  <c r="E6684" i="1"/>
  <c r="F6684" i="1"/>
  <c r="G6684" i="1"/>
  <c r="H6684" i="1"/>
  <c r="I6684" i="1"/>
  <c r="J6684" i="1"/>
  <c r="K6684" i="1"/>
  <c r="L6684" i="1"/>
  <c r="A6685" i="1"/>
  <c r="B6685" i="1"/>
  <c r="C6685" i="1"/>
  <c r="D6685" i="1"/>
  <c r="E6685" i="1"/>
  <c r="F6685" i="1"/>
  <c r="G6685" i="1"/>
  <c r="H6685" i="1"/>
  <c r="I6685" i="1"/>
  <c r="J6685" i="1"/>
  <c r="K6685" i="1"/>
  <c r="L6685" i="1"/>
  <c r="A6686" i="1"/>
  <c r="B6686" i="1"/>
  <c r="C6686" i="1"/>
  <c r="D6686" i="1"/>
  <c r="E6686" i="1"/>
  <c r="F6686" i="1"/>
  <c r="G6686" i="1"/>
  <c r="H6686" i="1"/>
  <c r="I6686" i="1"/>
  <c r="J6686" i="1"/>
  <c r="K6686" i="1"/>
  <c r="L6686" i="1"/>
  <c r="A6687" i="1"/>
  <c r="B6687" i="1"/>
  <c r="C6687" i="1"/>
  <c r="D6687" i="1"/>
  <c r="E6687" i="1"/>
  <c r="F6687" i="1"/>
  <c r="G6687" i="1"/>
  <c r="H6687" i="1"/>
  <c r="I6687" i="1"/>
  <c r="J6687" i="1"/>
  <c r="K6687" i="1"/>
  <c r="L6687" i="1"/>
  <c r="A6688" i="1"/>
  <c r="B6688" i="1"/>
  <c r="C6688" i="1"/>
  <c r="D6688" i="1"/>
  <c r="E6688" i="1"/>
  <c r="F6688" i="1"/>
  <c r="G6688" i="1"/>
  <c r="H6688" i="1"/>
  <c r="I6688" i="1"/>
  <c r="J6688" i="1"/>
  <c r="K6688" i="1"/>
  <c r="L6688" i="1"/>
  <c r="A6689" i="1"/>
  <c r="B6689" i="1"/>
  <c r="C6689" i="1"/>
  <c r="D6689" i="1"/>
  <c r="E6689" i="1"/>
  <c r="F6689" i="1"/>
  <c r="G6689" i="1"/>
  <c r="H6689" i="1"/>
  <c r="I6689" i="1"/>
  <c r="J6689" i="1"/>
  <c r="K6689" i="1"/>
  <c r="L6689" i="1"/>
  <c r="A6690" i="1"/>
  <c r="B6690" i="1"/>
  <c r="C6690" i="1"/>
  <c r="D6690" i="1"/>
  <c r="E6690" i="1"/>
  <c r="F6690" i="1"/>
  <c r="G6690" i="1"/>
  <c r="H6690" i="1"/>
  <c r="I6690" i="1"/>
  <c r="J6690" i="1"/>
  <c r="K6690" i="1"/>
  <c r="L6690" i="1"/>
  <c r="A6691" i="1"/>
  <c r="B6691" i="1"/>
  <c r="C6691" i="1"/>
  <c r="D6691" i="1"/>
  <c r="E6691" i="1"/>
  <c r="F6691" i="1"/>
  <c r="G6691" i="1"/>
  <c r="H6691" i="1"/>
  <c r="I6691" i="1"/>
  <c r="J6691" i="1"/>
  <c r="K6691" i="1"/>
  <c r="L6691" i="1"/>
  <c r="A6692" i="1"/>
  <c r="B6692" i="1"/>
  <c r="C6692" i="1"/>
  <c r="D6692" i="1"/>
  <c r="E6692" i="1"/>
  <c r="F6692" i="1"/>
  <c r="G6692" i="1"/>
  <c r="H6692" i="1"/>
  <c r="I6692" i="1"/>
  <c r="J6692" i="1"/>
  <c r="K6692" i="1"/>
  <c r="L6692" i="1"/>
  <c r="A6693" i="1"/>
  <c r="B6693" i="1"/>
  <c r="C6693" i="1"/>
  <c r="D6693" i="1"/>
  <c r="E6693" i="1"/>
  <c r="F6693" i="1"/>
  <c r="G6693" i="1"/>
  <c r="H6693" i="1"/>
  <c r="I6693" i="1"/>
  <c r="J6693" i="1"/>
  <c r="K6693" i="1"/>
  <c r="L6693" i="1"/>
  <c r="A6694" i="1"/>
  <c r="B6694" i="1"/>
  <c r="C6694" i="1"/>
  <c r="D6694" i="1"/>
  <c r="E6694" i="1"/>
  <c r="F6694" i="1"/>
  <c r="G6694" i="1"/>
  <c r="H6694" i="1"/>
  <c r="I6694" i="1"/>
  <c r="J6694" i="1"/>
  <c r="K6694" i="1"/>
  <c r="L6694" i="1"/>
  <c r="A6695" i="1"/>
  <c r="B6695" i="1"/>
  <c r="C6695" i="1"/>
  <c r="D6695" i="1"/>
  <c r="E6695" i="1"/>
  <c r="F6695" i="1"/>
  <c r="G6695" i="1"/>
  <c r="H6695" i="1"/>
  <c r="I6695" i="1"/>
  <c r="J6695" i="1"/>
  <c r="K6695" i="1"/>
  <c r="L6695" i="1"/>
  <c r="A6696" i="1"/>
  <c r="B6696" i="1"/>
  <c r="C6696" i="1"/>
  <c r="D6696" i="1"/>
  <c r="E6696" i="1"/>
  <c r="F6696" i="1"/>
  <c r="G6696" i="1"/>
  <c r="H6696" i="1"/>
  <c r="I6696" i="1"/>
  <c r="J6696" i="1"/>
  <c r="K6696" i="1"/>
  <c r="L6696" i="1"/>
  <c r="A6697" i="1"/>
  <c r="B6697" i="1"/>
  <c r="C6697" i="1"/>
  <c r="D6697" i="1"/>
  <c r="E6697" i="1"/>
  <c r="F6697" i="1"/>
  <c r="G6697" i="1"/>
  <c r="H6697" i="1"/>
  <c r="I6697" i="1"/>
  <c r="J6697" i="1"/>
  <c r="K6697" i="1"/>
  <c r="L6697" i="1"/>
  <c r="A6698" i="1"/>
  <c r="B6698" i="1"/>
  <c r="C6698" i="1"/>
  <c r="D6698" i="1"/>
  <c r="E6698" i="1"/>
  <c r="F6698" i="1"/>
  <c r="G6698" i="1"/>
  <c r="H6698" i="1"/>
  <c r="I6698" i="1"/>
  <c r="J6698" i="1"/>
  <c r="K6698" i="1"/>
  <c r="L6698" i="1"/>
  <c r="A6699" i="1"/>
  <c r="B6699" i="1"/>
  <c r="C6699" i="1"/>
  <c r="D6699" i="1"/>
  <c r="E6699" i="1"/>
  <c r="F6699" i="1"/>
  <c r="G6699" i="1"/>
  <c r="H6699" i="1"/>
  <c r="I6699" i="1"/>
  <c r="J6699" i="1"/>
  <c r="K6699" i="1"/>
  <c r="L6699" i="1"/>
  <c r="A6700" i="1"/>
  <c r="B6700" i="1"/>
  <c r="C6700" i="1"/>
  <c r="D6700" i="1"/>
  <c r="E6700" i="1"/>
  <c r="F6700" i="1"/>
  <c r="G6700" i="1"/>
  <c r="H6700" i="1"/>
  <c r="I6700" i="1"/>
  <c r="J6700" i="1"/>
  <c r="K6700" i="1"/>
  <c r="L6700" i="1"/>
  <c r="A6701" i="1"/>
  <c r="B6701" i="1"/>
  <c r="C6701" i="1"/>
  <c r="D6701" i="1"/>
  <c r="E6701" i="1"/>
  <c r="F6701" i="1"/>
  <c r="G6701" i="1"/>
  <c r="H6701" i="1"/>
  <c r="I6701" i="1"/>
  <c r="J6701" i="1"/>
  <c r="K6701" i="1"/>
  <c r="L6701" i="1"/>
  <c r="A6702" i="1"/>
  <c r="B6702" i="1"/>
  <c r="C6702" i="1"/>
  <c r="D6702" i="1"/>
  <c r="E6702" i="1"/>
  <c r="F6702" i="1"/>
  <c r="G6702" i="1"/>
  <c r="H6702" i="1"/>
  <c r="I6702" i="1"/>
  <c r="J6702" i="1"/>
  <c r="K6702" i="1"/>
  <c r="L6702" i="1"/>
  <c r="A6703" i="1"/>
  <c r="B6703" i="1"/>
  <c r="C6703" i="1"/>
  <c r="D6703" i="1"/>
  <c r="E6703" i="1"/>
  <c r="F6703" i="1"/>
  <c r="G6703" i="1"/>
  <c r="H6703" i="1"/>
  <c r="I6703" i="1"/>
  <c r="J6703" i="1"/>
  <c r="K6703" i="1"/>
  <c r="L6703" i="1"/>
  <c r="A6704" i="1"/>
  <c r="B6704" i="1"/>
  <c r="C6704" i="1"/>
  <c r="D6704" i="1"/>
  <c r="E6704" i="1"/>
  <c r="F6704" i="1"/>
  <c r="G6704" i="1"/>
  <c r="H6704" i="1"/>
  <c r="I6704" i="1"/>
  <c r="J6704" i="1"/>
  <c r="K6704" i="1"/>
  <c r="L6704" i="1"/>
  <c r="A6705" i="1"/>
  <c r="B6705" i="1"/>
  <c r="C6705" i="1"/>
  <c r="D6705" i="1"/>
  <c r="E6705" i="1"/>
  <c r="F6705" i="1"/>
  <c r="G6705" i="1"/>
  <c r="H6705" i="1"/>
  <c r="I6705" i="1"/>
  <c r="J6705" i="1"/>
  <c r="K6705" i="1"/>
  <c r="L6705" i="1"/>
  <c r="A6706" i="1"/>
  <c r="B6706" i="1"/>
  <c r="C6706" i="1"/>
  <c r="D6706" i="1"/>
  <c r="E6706" i="1"/>
  <c r="F6706" i="1"/>
  <c r="G6706" i="1"/>
  <c r="H6706" i="1"/>
  <c r="I6706" i="1"/>
  <c r="J6706" i="1"/>
  <c r="K6706" i="1"/>
  <c r="L6706" i="1"/>
  <c r="A6707" i="1"/>
  <c r="B6707" i="1"/>
  <c r="C6707" i="1"/>
  <c r="D6707" i="1"/>
  <c r="E6707" i="1"/>
  <c r="F6707" i="1"/>
  <c r="G6707" i="1"/>
  <c r="H6707" i="1"/>
  <c r="I6707" i="1"/>
  <c r="J6707" i="1"/>
  <c r="K6707" i="1"/>
  <c r="L6707" i="1"/>
  <c r="A6708" i="1"/>
  <c r="B6708" i="1"/>
  <c r="C6708" i="1"/>
  <c r="D6708" i="1"/>
  <c r="E6708" i="1"/>
  <c r="F6708" i="1"/>
  <c r="G6708" i="1"/>
  <c r="H6708" i="1"/>
  <c r="I6708" i="1"/>
  <c r="J6708" i="1"/>
  <c r="K6708" i="1"/>
  <c r="L6708" i="1"/>
  <c r="A6709" i="1"/>
  <c r="B6709" i="1"/>
  <c r="C6709" i="1"/>
  <c r="D6709" i="1"/>
  <c r="E6709" i="1"/>
  <c r="F6709" i="1"/>
  <c r="G6709" i="1"/>
  <c r="H6709" i="1"/>
  <c r="I6709" i="1"/>
  <c r="J6709" i="1"/>
  <c r="K6709" i="1"/>
  <c r="L6709" i="1"/>
  <c r="A6710" i="1"/>
  <c r="B6710" i="1"/>
  <c r="C6710" i="1"/>
  <c r="D6710" i="1"/>
  <c r="E6710" i="1"/>
  <c r="F6710" i="1"/>
  <c r="G6710" i="1"/>
  <c r="H6710" i="1"/>
  <c r="I6710" i="1"/>
  <c r="J6710" i="1"/>
  <c r="K6710" i="1"/>
  <c r="L6710" i="1"/>
  <c r="A6711" i="1"/>
  <c r="B6711" i="1"/>
  <c r="C6711" i="1"/>
  <c r="D6711" i="1"/>
  <c r="E6711" i="1"/>
  <c r="F6711" i="1"/>
  <c r="G6711" i="1"/>
  <c r="H6711" i="1"/>
  <c r="I6711" i="1"/>
  <c r="J6711" i="1"/>
  <c r="K6711" i="1"/>
  <c r="L6711" i="1"/>
  <c r="A6712" i="1"/>
  <c r="B6712" i="1"/>
  <c r="C6712" i="1"/>
  <c r="D6712" i="1"/>
  <c r="E6712" i="1"/>
  <c r="F6712" i="1"/>
  <c r="G6712" i="1"/>
  <c r="H6712" i="1"/>
  <c r="I6712" i="1"/>
  <c r="J6712" i="1"/>
  <c r="K6712" i="1"/>
  <c r="L6712" i="1"/>
  <c r="A6713" i="1"/>
  <c r="B6713" i="1"/>
  <c r="C6713" i="1"/>
  <c r="D6713" i="1"/>
  <c r="E6713" i="1"/>
  <c r="F6713" i="1"/>
  <c r="G6713" i="1"/>
  <c r="H6713" i="1"/>
  <c r="I6713" i="1"/>
  <c r="J6713" i="1"/>
  <c r="K6713" i="1"/>
  <c r="L6713" i="1"/>
  <c r="A6714" i="1"/>
  <c r="B6714" i="1"/>
  <c r="C6714" i="1"/>
  <c r="D6714" i="1"/>
  <c r="E6714" i="1"/>
  <c r="F6714" i="1"/>
  <c r="G6714" i="1"/>
  <c r="H6714" i="1"/>
  <c r="I6714" i="1"/>
  <c r="J6714" i="1"/>
  <c r="K6714" i="1"/>
  <c r="L6714" i="1"/>
  <c r="A6715" i="1"/>
  <c r="B6715" i="1"/>
  <c r="C6715" i="1"/>
  <c r="D6715" i="1"/>
  <c r="E6715" i="1"/>
  <c r="F6715" i="1"/>
  <c r="G6715" i="1"/>
  <c r="H6715" i="1"/>
  <c r="I6715" i="1"/>
  <c r="J6715" i="1"/>
  <c r="K6715" i="1"/>
  <c r="L6715" i="1"/>
  <c r="A6716" i="1"/>
  <c r="B6716" i="1"/>
  <c r="C6716" i="1"/>
  <c r="D6716" i="1"/>
  <c r="E6716" i="1"/>
  <c r="F6716" i="1"/>
  <c r="G6716" i="1"/>
  <c r="H6716" i="1"/>
  <c r="I6716" i="1"/>
  <c r="J6716" i="1"/>
  <c r="K6716" i="1"/>
  <c r="L6716" i="1"/>
  <c r="A6717" i="1"/>
  <c r="B6717" i="1"/>
  <c r="C6717" i="1"/>
  <c r="D6717" i="1"/>
  <c r="E6717" i="1"/>
  <c r="F6717" i="1"/>
  <c r="G6717" i="1"/>
  <c r="H6717" i="1"/>
  <c r="I6717" i="1"/>
  <c r="J6717" i="1"/>
  <c r="K6717" i="1"/>
  <c r="L6717" i="1"/>
  <c r="A6718" i="1"/>
  <c r="B6718" i="1"/>
  <c r="C6718" i="1"/>
  <c r="D6718" i="1"/>
  <c r="E6718" i="1"/>
  <c r="F6718" i="1"/>
  <c r="G6718" i="1"/>
  <c r="H6718" i="1"/>
  <c r="I6718" i="1"/>
  <c r="J6718" i="1"/>
  <c r="K6718" i="1"/>
  <c r="L6718" i="1"/>
  <c r="A6719" i="1"/>
  <c r="B6719" i="1"/>
  <c r="C6719" i="1"/>
  <c r="D6719" i="1"/>
  <c r="E6719" i="1"/>
  <c r="F6719" i="1"/>
  <c r="G6719" i="1"/>
  <c r="H6719" i="1"/>
  <c r="I6719" i="1"/>
  <c r="J6719" i="1"/>
  <c r="K6719" i="1"/>
  <c r="L6719" i="1"/>
  <c r="A6720" i="1"/>
  <c r="B6720" i="1"/>
  <c r="C6720" i="1"/>
  <c r="D6720" i="1"/>
  <c r="E6720" i="1"/>
  <c r="F6720" i="1"/>
  <c r="G6720" i="1"/>
  <c r="H6720" i="1"/>
  <c r="I6720" i="1"/>
  <c r="J6720" i="1"/>
  <c r="K6720" i="1"/>
  <c r="L6720" i="1"/>
  <c r="A6721" i="1"/>
  <c r="B6721" i="1"/>
  <c r="C6721" i="1"/>
  <c r="D6721" i="1"/>
  <c r="E6721" i="1"/>
  <c r="F6721" i="1"/>
  <c r="G6721" i="1"/>
  <c r="H6721" i="1"/>
  <c r="I6721" i="1"/>
  <c r="J6721" i="1"/>
  <c r="K6721" i="1"/>
  <c r="L6721" i="1"/>
  <c r="A6722" i="1"/>
  <c r="B6722" i="1"/>
  <c r="C6722" i="1"/>
  <c r="D6722" i="1"/>
  <c r="E6722" i="1"/>
  <c r="F6722" i="1"/>
  <c r="G6722" i="1"/>
  <c r="H6722" i="1"/>
  <c r="I6722" i="1"/>
  <c r="J6722" i="1"/>
  <c r="K6722" i="1"/>
  <c r="L6722" i="1"/>
  <c r="A6723" i="1"/>
  <c r="B6723" i="1"/>
  <c r="C6723" i="1"/>
  <c r="D6723" i="1"/>
  <c r="E6723" i="1"/>
  <c r="F6723" i="1"/>
  <c r="G6723" i="1"/>
  <c r="H6723" i="1"/>
  <c r="I6723" i="1"/>
  <c r="J6723" i="1"/>
  <c r="K6723" i="1"/>
  <c r="L6723" i="1"/>
  <c r="A6724" i="1"/>
  <c r="B6724" i="1"/>
  <c r="C6724" i="1"/>
  <c r="D6724" i="1"/>
  <c r="E6724" i="1"/>
  <c r="F6724" i="1"/>
  <c r="G6724" i="1"/>
  <c r="H6724" i="1"/>
  <c r="I6724" i="1"/>
  <c r="J6724" i="1"/>
  <c r="K6724" i="1"/>
  <c r="L6724" i="1"/>
  <c r="A6725" i="1"/>
  <c r="B6725" i="1"/>
  <c r="C6725" i="1"/>
  <c r="D6725" i="1"/>
  <c r="E6725" i="1"/>
  <c r="F6725" i="1"/>
  <c r="G6725" i="1"/>
  <c r="H6725" i="1"/>
  <c r="I6725" i="1"/>
  <c r="J6725" i="1"/>
  <c r="K6725" i="1"/>
  <c r="L6725" i="1"/>
  <c r="A6726" i="1"/>
  <c r="B6726" i="1"/>
  <c r="C6726" i="1"/>
  <c r="D6726" i="1"/>
  <c r="E6726" i="1"/>
  <c r="F6726" i="1"/>
  <c r="G6726" i="1"/>
  <c r="H6726" i="1"/>
  <c r="I6726" i="1"/>
  <c r="J6726" i="1"/>
  <c r="K6726" i="1"/>
  <c r="L6726" i="1"/>
  <c r="A6727" i="1"/>
  <c r="B6727" i="1"/>
  <c r="C6727" i="1"/>
  <c r="D6727" i="1"/>
  <c r="E6727" i="1"/>
  <c r="F6727" i="1"/>
  <c r="G6727" i="1"/>
  <c r="H6727" i="1"/>
  <c r="I6727" i="1"/>
  <c r="J6727" i="1"/>
  <c r="K6727" i="1"/>
  <c r="L6727" i="1"/>
  <c r="A6728" i="1"/>
  <c r="B6728" i="1"/>
  <c r="C6728" i="1"/>
  <c r="D6728" i="1"/>
  <c r="E6728" i="1"/>
  <c r="F6728" i="1"/>
  <c r="G6728" i="1"/>
  <c r="H6728" i="1"/>
  <c r="I6728" i="1"/>
  <c r="J6728" i="1"/>
  <c r="K6728" i="1"/>
  <c r="L6728" i="1"/>
  <c r="A6729" i="1"/>
  <c r="B6729" i="1"/>
  <c r="C6729" i="1"/>
  <c r="D6729" i="1"/>
  <c r="E6729" i="1"/>
  <c r="F6729" i="1"/>
  <c r="G6729" i="1"/>
  <c r="H6729" i="1"/>
  <c r="I6729" i="1"/>
  <c r="J6729" i="1"/>
  <c r="K6729" i="1"/>
  <c r="L6729" i="1"/>
  <c r="A6730" i="1"/>
  <c r="B6730" i="1"/>
  <c r="C6730" i="1"/>
  <c r="D6730" i="1"/>
  <c r="E6730" i="1"/>
  <c r="F6730" i="1"/>
  <c r="G6730" i="1"/>
  <c r="H6730" i="1"/>
  <c r="I6730" i="1"/>
  <c r="J6730" i="1"/>
  <c r="K6730" i="1"/>
  <c r="L6730" i="1"/>
  <c r="A6731" i="1"/>
  <c r="B6731" i="1"/>
  <c r="C6731" i="1"/>
  <c r="D6731" i="1"/>
  <c r="E6731" i="1"/>
  <c r="F6731" i="1"/>
  <c r="G6731" i="1"/>
  <c r="H6731" i="1"/>
  <c r="I6731" i="1"/>
  <c r="J6731" i="1"/>
  <c r="K6731" i="1"/>
  <c r="L6731" i="1"/>
  <c r="A6732" i="1"/>
  <c r="B6732" i="1"/>
  <c r="C6732" i="1"/>
  <c r="D6732" i="1"/>
  <c r="E6732" i="1"/>
  <c r="F6732" i="1"/>
  <c r="G6732" i="1"/>
  <c r="H6732" i="1"/>
  <c r="I6732" i="1"/>
  <c r="J6732" i="1"/>
  <c r="K6732" i="1"/>
  <c r="L6732" i="1"/>
  <c r="A6733" i="1"/>
  <c r="B6733" i="1"/>
  <c r="C6733" i="1"/>
  <c r="D6733" i="1"/>
  <c r="E6733" i="1"/>
  <c r="F6733" i="1"/>
  <c r="G6733" i="1"/>
  <c r="H6733" i="1"/>
  <c r="I6733" i="1"/>
  <c r="J6733" i="1"/>
  <c r="K6733" i="1"/>
  <c r="L6733" i="1"/>
  <c r="A6734" i="1"/>
  <c r="B6734" i="1"/>
  <c r="C6734" i="1"/>
  <c r="D6734" i="1"/>
  <c r="E6734" i="1"/>
  <c r="F6734" i="1"/>
  <c r="G6734" i="1"/>
  <c r="H6734" i="1"/>
  <c r="I6734" i="1"/>
  <c r="J6734" i="1"/>
  <c r="K6734" i="1"/>
  <c r="L6734" i="1"/>
  <c r="A6735" i="1"/>
  <c r="B6735" i="1"/>
  <c r="C6735" i="1"/>
  <c r="D6735" i="1"/>
  <c r="E6735" i="1"/>
  <c r="F6735" i="1"/>
  <c r="G6735" i="1"/>
  <c r="H6735" i="1"/>
  <c r="I6735" i="1"/>
  <c r="J6735" i="1"/>
  <c r="K6735" i="1"/>
  <c r="L6735" i="1"/>
  <c r="A6736" i="1"/>
  <c r="B6736" i="1"/>
  <c r="C6736" i="1"/>
  <c r="D6736" i="1"/>
  <c r="E6736" i="1"/>
  <c r="F6736" i="1"/>
  <c r="G6736" i="1"/>
  <c r="H6736" i="1"/>
  <c r="I6736" i="1"/>
  <c r="J6736" i="1"/>
  <c r="K6736" i="1"/>
  <c r="L6736" i="1"/>
  <c r="A6737" i="1"/>
  <c r="B6737" i="1"/>
  <c r="C6737" i="1"/>
  <c r="D6737" i="1"/>
  <c r="E6737" i="1"/>
  <c r="F6737" i="1"/>
  <c r="G6737" i="1"/>
  <c r="H6737" i="1"/>
  <c r="I6737" i="1"/>
  <c r="J6737" i="1"/>
  <c r="K6737" i="1"/>
  <c r="L6737" i="1"/>
  <c r="A6738" i="1"/>
  <c r="B6738" i="1"/>
  <c r="C6738" i="1"/>
  <c r="D6738" i="1"/>
  <c r="E6738" i="1"/>
  <c r="F6738" i="1"/>
  <c r="G6738" i="1"/>
  <c r="H6738" i="1"/>
  <c r="I6738" i="1"/>
  <c r="J6738" i="1"/>
  <c r="K6738" i="1"/>
  <c r="L6738" i="1"/>
  <c r="A6739" i="1"/>
  <c r="B6739" i="1"/>
  <c r="C6739" i="1"/>
  <c r="D6739" i="1"/>
  <c r="E6739" i="1"/>
  <c r="F6739" i="1"/>
  <c r="G6739" i="1"/>
  <c r="H6739" i="1"/>
  <c r="I6739" i="1"/>
  <c r="J6739" i="1"/>
  <c r="K6739" i="1"/>
  <c r="L6739" i="1"/>
  <c r="A6740" i="1"/>
  <c r="B6740" i="1"/>
  <c r="C6740" i="1"/>
  <c r="D6740" i="1"/>
  <c r="E6740" i="1"/>
  <c r="F6740" i="1"/>
  <c r="G6740" i="1"/>
  <c r="H6740" i="1"/>
  <c r="I6740" i="1"/>
  <c r="J6740" i="1"/>
  <c r="K6740" i="1"/>
  <c r="L6740" i="1"/>
  <c r="A6741" i="1"/>
  <c r="B6741" i="1"/>
  <c r="C6741" i="1"/>
  <c r="D6741" i="1"/>
  <c r="E6741" i="1"/>
  <c r="F6741" i="1"/>
  <c r="G6741" i="1"/>
  <c r="H6741" i="1"/>
  <c r="I6741" i="1"/>
  <c r="J6741" i="1"/>
  <c r="K6741" i="1"/>
  <c r="L6741" i="1"/>
  <c r="A6742" i="1"/>
  <c r="B6742" i="1"/>
  <c r="C6742" i="1"/>
  <c r="D6742" i="1"/>
  <c r="E6742" i="1"/>
  <c r="F6742" i="1"/>
  <c r="G6742" i="1"/>
  <c r="H6742" i="1"/>
  <c r="I6742" i="1"/>
  <c r="J6742" i="1"/>
  <c r="K6742" i="1"/>
  <c r="L6742" i="1"/>
  <c r="A6743" i="1"/>
  <c r="B6743" i="1"/>
  <c r="C6743" i="1"/>
  <c r="D6743" i="1"/>
  <c r="E6743" i="1"/>
  <c r="F6743" i="1"/>
  <c r="G6743" i="1"/>
  <c r="H6743" i="1"/>
  <c r="I6743" i="1"/>
  <c r="J6743" i="1"/>
  <c r="K6743" i="1"/>
  <c r="L6743" i="1"/>
  <c r="A6744" i="1"/>
  <c r="B6744" i="1"/>
  <c r="C6744" i="1"/>
  <c r="D6744" i="1"/>
  <c r="E6744" i="1"/>
  <c r="F6744" i="1"/>
  <c r="G6744" i="1"/>
  <c r="H6744" i="1"/>
  <c r="I6744" i="1"/>
  <c r="J6744" i="1"/>
  <c r="K6744" i="1"/>
  <c r="L6744" i="1"/>
  <c r="A6745" i="1"/>
  <c r="B6745" i="1"/>
  <c r="C6745" i="1"/>
  <c r="D6745" i="1"/>
  <c r="E6745" i="1"/>
  <c r="F6745" i="1"/>
  <c r="G6745" i="1"/>
  <c r="H6745" i="1"/>
  <c r="I6745" i="1"/>
  <c r="J6745" i="1"/>
  <c r="K6745" i="1"/>
  <c r="L6745" i="1"/>
  <c r="A6746" i="1"/>
  <c r="B6746" i="1"/>
  <c r="C6746" i="1"/>
  <c r="D6746" i="1"/>
  <c r="E6746" i="1"/>
  <c r="F6746" i="1"/>
  <c r="G6746" i="1"/>
  <c r="H6746" i="1"/>
  <c r="I6746" i="1"/>
  <c r="J6746" i="1"/>
  <c r="K6746" i="1"/>
  <c r="L6746" i="1"/>
  <c r="A6747" i="1"/>
  <c r="B6747" i="1"/>
  <c r="C6747" i="1"/>
  <c r="D6747" i="1"/>
  <c r="E6747" i="1"/>
  <c r="F6747" i="1"/>
  <c r="G6747" i="1"/>
  <c r="H6747" i="1"/>
  <c r="I6747" i="1"/>
  <c r="J6747" i="1"/>
  <c r="K6747" i="1"/>
  <c r="L6747" i="1"/>
  <c r="A6748" i="1"/>
  <c r="B6748" i="1"/>
  <c r="C6748" i="1"/>
  <c r="D6748" i="1"/>
  <c r="E6748" i="1"/>
  <c r="F6748" i="1"/>
  <c r="G6748" i="1"/>
  <c r="H6748" i="1"/>
  <c r="I6748" i="1"/>
  <c r="J6748" i="1"/>
  <c r="K6748" i="1"/>
  <c r="L6748" i="1"/>
  <c r="A6749" i="1"/>
  <c r="B6749" i="1"/>
  <c r="C6749" i="1"/>
  <c r="D6749" i="1"/>
  <c r="E6749" i="1"/>
  <c r="F6749" i="1"/>
  <c r="G6749" i="1"/>
  <c r="H6749" i="1"/>
  <c r="I6749" i="1"/>
  <c r="J6749" i="1"/>
  <c r="K6749" i="1"/>
  <c r="L6749" i="1"/>
  <c r="A6750" i="1"/>
  <c r="B6750" i="1"/>
  <c r="C6750" i="1"/>
  <c r="D6750" i="1"/>
  <c r="E6750" i="1"/>
  <c r="F6750" i="1"/>
  <c r="G6750" i="1"/>
  <c r="H6750" i="1"/>
  <c r="I6750" i="1"/>
  <c r="J6750" i="1"/>
  <c r="K6750" i="1"/>
  <c r="L6750" i="1"/>
  <c r="A6751" i="1"/>
  <c r="B6751" i="1"/>
  <c r="C6751" i="1"/>
  <c r="D6751" i="1"/>
  <c r="E6751" i="1"/>
  <c r="F6751" i="1"/>
  <c r="G6751" i="1"/>
  <c r="H6751" i="1"/>
  <c r="I6751" i="1"/>
  <c r="J6751" i="1"/>
  <c r="K6751" i="1"/>
  <c r="L6751" i="1"/>
  <c r="A6752" i="1"/>
  <c r="B6752" i="1"/>
  <c r="C6752" i="1"/>
  <c r="D6752" i="1"/>
  <c r="E6752" i="1"/>
  <c r="F6752" i="1"/>
  <c r="G6752" i="1"/>
  <c r="H6752" i="1"/>
  <c r="I6752" i="1"/>
  <c r="J6752" i="1"/>
  <c r="K6752" i="1"/>
  <c r="L6752" i="1"/>
  <c r="A6753" i="1"/>
  <c r="B6753" i="1"/>
  <c r="C6753" i="1"/>
  <c r="D6753" i="1"/>
  <c r="E6753" i="1"/>
  <c r="F6753" i="1"/>
  <c r="G6753" i="1"/>
  <c r="H6753" i="1"/>
  <c r="I6753" i="1"/>
  <c r="J6753" i="1"/>
  <c r="K6753" i="1"/>
  <c r="L6753" i="1"/>
  <c r="A6754" i="1"/>
  <c r="B6754" i="1"/>
  <c r="C6754" i="1"/>
  <c r="D6754" i="1"/>
  <c r="E6754" i="1"/>
  <c r="F6754" i="1"/>
  <c r="G6754" i="1"/>
  <c r="H6754" i="1"/>
  <c r="I6754" i="1"/>
  <c r="J6754" i="1"/>
  <c r="K6754" i="1"/>
  <c r="L6754" i="1"/>
  <c r="A6755" i="1"/>
  <c r="B6755" i="1"/>
  <c r="C6755" i="1"/>
  <c r="D6755" i="1"/>
  <c r="E6755" i="1"/>
  <c r="F6755" i="1"/>
  <c r="G6755" i="1"/>
  <c r="H6755" i="1"/>
  <c r="I6755" i="1"/>
  <c r="J6755" i="1"/>
  <c r="K6755" i="1"/>
  <c r="L6755" i="1"/>
  <c r="A6756" i="1"/>
  <c r="B6756" i="1"/>
  <c r="C6756" i="1"/>
  <c r="D6756" i="1"/>
  <c r="E6756" i="1"/>
  <c r="F6756" i="1"/>
  <c r="G6756" i="1"/>
  <c r="H6756" i="1"/>
  <c r="I6756" i="1"/>
  <c r="J6756" i="1"/>
  <c r="K6756" i="1"/>
  <c r="L6756" i="1"/>
  <c r="A6757" i="1"/>
  <c r="B6757" i="1"/>
  <c r="C6757" i="1"/>
  <c r="D6757" i="1"/>
  <c r="E6757" i="1"/>
  <c r="F6757" i="1"/>
  <c r="G6757" i="1"/>
  <c r="H6757" i="1"/>
  <c r="I6757" i="1"/>
  <c r="J6757" i="1"/>
  <c r="K6757" i="1"/>
  <c r="L6757" i="1"/>
  <c r="A6758" i="1"/>
  <c r="B6758" i="1"/>
  <c r="C6758" i="1"/>
  <c r="D6758" i="1"/>
  <c r="E6758" i="1"/>
  <c r="F6758" i="1"/>
  <c r="G6758" i="1"/>
  <c r="H6758" i="1"/>
  <c r="I6758" i="1"/>
  <c r="J6758" i="1"/>
  <c r="K6758" i="1"/>
  <c r="L6758" i="1"/>
  <c r="A6759" i="1"/>
  <c r="B6759" i="1"/>
  <c r="C6759" i="1"/>
  <c r="D6759" i="1"/>
  <c r="E6759" i="1"/>
  <c r="F6759" i="1"/>
  <c r="G6759" i="1"/>
  <c r="H6759" i="1"/>
  <c r="I6759" i="1"/>
  <c r="J6759" i="1"/>
  <c r="K6759" i="1"/>
  <c r="L6759" i="1"/>
  <c r="A6760" i="1"/>
  <c r="B6760" i="1"/>
  <c r="C6760" i="1"/>
  <c r="D6760" i="1"/>
  <c r="E6760" i="1"/>
  <c r="F6760" i="1"/>
  <c r="G6760" i="1"/>
  <c r="H6760" i="1"/>
  <c r="I6760" i="1"/>
  <c r="J6760" i="1"/>
  <c r="K6760" i="1"/>
  <c r="L6760" i="1"/>
  <c r="A6761" i="1"/>
  <c r="B6761" i="1"/>
  <c r="C6761" i="1"/>
  <c r="D6761" i="1"/>
  <c r="E6761" i="1"/>
  <c r="F6761" i="1"/>
  <c r="G6761" i="1"/>
  <c r="H6761" i="1"/>
  <c r="I6761" i="1"/>
  <c r="J6761" i="1"/>
  <c r="K6761" i="1"/>
  <c r="L6761" i="1"/>
  <c r="A6762" i="1"/>
  <c r="B6762" i="1"/>
  <c r="C6762" i="1"/>
  <c r="D6762" i="1"/>
  <c r="E6762" i="1"/>
  <c r="F6762" i="1"/>
  <c r="G6762" i="1"/>
  <c r="H6762" i="1"/>
  <c r="I6762" i="1"/>
  <c r="J6762" i="1"/>
  <c r="K6762" i="1"/>
  <c r="L6762" i="1"/>
  <c r="A6763" i="1"/>
  <c r="B6763" i="1"/>
  <c r="C6763" i="1"/>
  <c r="D6763" i="1"/>
  <c r="E6763" i="1"/>
  <c r="F6763" i="1"/>
  <c r="G6763" i="1"/>
  <c r="H6763" i="1"/>
  <c r="I6763" i="1"/>
  <c r="J6763" i="1"/>
  <c r="K6763" i="1"/>
  <c r="L6763" i="1"/>
  <c r="A6764" i="1"/>
  <c r="B6764" i="1"/>
  <c r="C6764" i="1"/>
  <c r="D6764" i="1"/>
  <c r="E6764" i="1"/>
  <c r="F6764" i="1"/>
  <c r="G6764" i="1"/>
  <c r="H6764" i="1"/>
  <c r="I6764" i="1"/>
  <c r="J6764" i="1"/>
  <c r="K6764" i="1"/>
  <c r="L6764" i="1"/>
  <c r="A6765" i="1"/>
  <c r="B6765" i="1"/>
  <c r="C6765" i="1"/>
  <c r="D6765" i="1"/>
  <c r="E6765" i="1"/>
  <c r="F6765" i="1"/>
  <c r="G6765" i="1"/>
  <c r="H6765" i="1"/>
  <c r="I6765" i="1"/>
  <c r="J6765" i="1"/>
  <c r="K6765" i="1"/>
  <c r="L6765" i="1"/>
  <c r="A6766" i="1"/>
  <c r="B6766" i="1"/>
  <c r="C6766" i="1"/>
  <c r="D6766" i="1"/>
  <c r="E6766" i="1"/>
  <c r="F6766" i="1"/>
  <c r="G6766" i="1"/>
  <c r="H6766" i="1"/>
  <c r="I6766" i="1"/>
  <c r="J6766" i="1"/>
  <c r="K6766" i="1"/>
  <c r="L6766" i="1"/>
  <c r="A6767" i="1"/>
  <c r="B6767" i="1"/>
  <c r="C6767" i="1"/>
  <c r="D6767" i="1"/>
  <c r="E6767" i="1"/>
  <c r="F6767" i="1"/>
  <c r="G6767" i="1"/>
  <c r="H6767" i="1"/>
  <c r="I6767" i="1"/>
  <c r="J6767" i="1"/>
  <c r="K6767" i="1"/>
  <c r="L6767" i="1"/>
  <c r="A6768" i="1"/>
  <c r="B6768" i="1"/>
  <c r="C6768" i="1"/>
  <c r="D6768" i="1"/>
  <c r="E6768" i="1"/>
  <c r="F6768" i="1"/>
  <c r="G6768" i="1"/>
  <c r="H6768" i="1"/>
  <c r="I6768" i="1"/>
  <c r="J6768" i="1"/>
  <c r="K6768" i="1"/>
  <c r="L6768" i="1"/>
  <c r="A6769" i="1"/>
  <c r="B6769" i="1"/>
  <c r="C6769" i="1"/>
  <c r="D6769" i="1"/>
  <c r="E6769" i="1"/>
  <c r="F6769" i="1"/>
  <c r="G6769" i="1"/>
  <c r="H6769" i="1"/>
  <c r="I6769" i="1"/>
  <c r="J6769" i="1"/>
  <c r="K6769" i="1"/>
  <c r="L6769" i="1"/>
  <c r="A6770" i="1"/>
  <c r="B6770" i="1"/>
  <c r="C6770" i="1"/>
  <c r="D6770" i="1"/>
  <c r="E6770" i="1"/>
  <c r="F6770" i="1"/>
  <c r="G6770" i="1"/>
  <c r="H6770" i="1"/>
  <c r="I6770" i="1"/>
  <c r="J6770" i="1"/>
  <c r="K6770" i="1"/>
  <c r="L6770" i="1"/>
  <c r="A6771" i="1"/>
  <c r="B6771" i="1"/>
  <c r="C6771" i="1"/>
  <c r="D6771" i="1"/>
  <c r="E6771" i="1"/>
  <c r="F6771" i="1"/>
  <c r="G6771" i="1"/>
  <c r="H6771" i="1"/>
  <c r="I6771" i="1"/>
  <c r="J6771" i="1"/>
  <c r="K6771" i="1"/>
  <c r="L6771" i="1"/>
  <c r="A6772" i="1"/>
  <c r="B6772" i="1"/>
  <c r="C6772" i="1"/>
  <c r="D6772" i="1"/>
  <c r="E6772" i="1"/>
  <c r="F6772" i="1"/>
  <c r="G6772" i="1"/>
  <c r="H6772" i="1"/>
  <c r="I6772" i="1"/>
  <c r="J6772" i="1"/>
  <c r="K6772" i="1"/>
  <c r="L6772" i="1"/>
  <c r="A6773" i="1"/>
  <c r="B6773" i="1"/>
  <c r="C6773" i="1"/>
  <c r="D6773" i="1"/>
  <c r="E6773" i="1"/>
  <c r="F6773" i="1"/>
  <c r="G6773" i="1"/>
  <c r="H6773" i="1"/>
  <c r="I6773" i="1"/>
  <c r="J6773" i="1"/>
  <c r="K6773" i="1"/>
  <c r="L6773" i="1"/>
  <c r="A6774" i="1"/>
  <c r="B6774" i="1"/>
  <c r="C6774" i="1"/>
  <c r="D6774" i="1"/>
  <c r="E6774" i="1"/>
  <c r="F6774" i="1"/>
  <c r="G6774" i="1"/>
  <c r="H6774" i="1"/>
  <c r="I6774" i="1"/>
  <c r="J6774" i="1"/>
  <c r="K6774" i="1"/>
  <c r="L6774" i="1"/>
  <c r="A6775" i="1"/>
  <c r="B6775" i="1"/>
  <c r="C6775" i="1"/>
  <c r="D6775" i="1"/>
  <c r="E6775" i="1"/>
  <c r="F6775" i="1"/>
  <c r="G6775" i="1"/>
  <c r="H6775" i="1"/>
  <c r="I6775" i="1"/>
  <c r="J6775" i="1"/>
  <c r="K6775" i="1"/>
  <c r="L6775" i="1"/>
  <c r="A6776" i="1"/>
  <c r="B6776" i="1"/>
  <c r="C6776" i="1"/>
  <c r="D6776" i="1"/>
  <c r="E6776" i="1"/>
  <c r="F6776" i="1"/>
  <c r="G6776" i="1"/>
  <c r="H6776" i="1"/>
  <c r="I6776" i="1"/>
  <c r="J6776" i="1"/>
  <c r="K6776" i="1"/>
  <c r="L6776" i="1"/>
  <c r="A6777" i="1"/>
  <c r="B6777" i="1"/>
  <c r="C6777" i="1"/>
  <c r="D6777" i="1"/>
  <c r="E6777" i="1"/>
  <c r="F6777" i="1"/>
  <c r="G6777" i="1"/>
  <c r="H6777" i="1"/>
  <c r="I6777" i="1"/>
  <c r="J6777" i="1"/>
  <c r="K6777" i="1"/>
  <c r="L6777" i="1"/>
  <c r="A6778" i="1"/>
  <c r="B6778" i="1"/>
  <c r="C6778" i="1"/>
  <c r="D6778" i="1"/>
  <c r="E6778" i="1"/>
  <c r="F6778" i="1"/>
  <c r="G6778" i="1"/>
  <c r="H6778" i="1"/>
  <c r="I6778" i="1"/>
  <c r="J6778" i="1"/>
  <c r="K6778" i="1"/>
  <c r="L6778" i="1"/>
  <c r="A6779" i="1"/>
  <c r="B6779" i="1"/>
  <c r="C6779" i="1"/>
  <c r="D6779" i="1"/>
  <c r="E6779" i="1"/>
  <c r="F6779" i="1"/>
  <c r="G6779" i="1"/>
  <c r="H6779" i="1"/>
  <c r="I6779" i="1"/>
  <c r="J6779" i="1"/>
  <c r="K6779" i="1"/>
  <c r="L6779" i="1"/>
  <c r="A6780" i="1"/>
  <c r="B6780" i="1"/>
  <c r="C6780" i="1"/>
  <c r="D6780" i="1"/>
  <c r="E6780" i="1"/>
  <c r="F6780" i="1"/>
  <c r="G6780" i="1"/>
  <c r="H6780" i="1"/>
  <c r="I6780" i="1"/>
  <c r="J6780" i="1"/>
  <c r="K6780" i="1"/>
  <c r="L6780" i="1"/>
  <c r="A6781" i="1"/>
  <c r="B6781" i="1"/>
  <c r="C6781" i="1"/>
  <c r="D6781" i="1"/>
  <c r="E6781" i="1"/>
  <c r="F6781" i="1"/>
  <c r="G6781" i="1"/>
  <c r="H6781" i="1"/>
  <c r="I6781" i="1"/>
  <c r="J6781" i="1"/>
  <c r="K6781" i="1"/>
  <c r="L6781" i="1"/>
  <c r="A6782" i="1"/>
  <c r="B6782" i="1"/>
  <c r="C6782" i="1"/>
  <c r="D6782" i="1"/>
  <c r="E6782" i="1"/>
  <c r="F6782" i="1"/>
  <c r="G6782" i="1"/>
  <c r="H6782" i="1"/>
  <c r="I6782" i="1"/>
  <c r="J6782" i="1"/>
  <c r="K6782" i="1"/>
  <c r="L6782" i="1"/>
  <c r="A6783" i="1"/>
  <c r="B6783" i="1"/>
  <c r="C6783" i="1"/>
  <c r="D6783" i="1"/>
  <c r="E6783" i="1"/>
  <c r="F6783" i="1"/>
  <c r="G6783" i="1"/>
  <c r="H6783" i="1"/>
  <c r="I6783" i="1"/>
  <c r="J6783" i="1"/>
  <c r="K6783" i="1"/>
  <c r="L6783" i="1"/>
  <c r="A6784" i="1"/>
  <c r="B6784" i="1"/>
  <c r="C6784" i="1"/>
  <c r="D6784" i="1"/>
  <c r="E6784" i="1"/>
  <c r="F6784" i="1"/>
  <c r="G6784" i="1"/>
  <c r="H6784" i="1"/>
  <c r="I6784" i="1"/>
  <c r="J6784" i="1"/>
  <c r="K6784" i="1"/>
  <c r="L6784" i="1"/>
  <c r="A6785" i="1"/>
  <c r="B6785" i="1"/>
  <c r="C6785" i="1"/>
  <c r="D6785" i="1"/>
  <c r="E6785" i="1"/>
  <c r="F6785" i="1"/>
  <c r="G6785" i="1"/>
  <c r="H6785" i="1"/>
  <c r="I6785" i="1"/>
  <c r="J6785" i="1"/>
  <c r="K6785" i="1"/>
  <c r="L6785" i="1"/>
  <c r="A6786" i="1"/>
  <c r="B6786" i="1"/>
  <c r="C6786" i="1"/>
  <c r="D6786" i="1"/>
  <c r="E6786" i="1"/>
  <c r="F6786" i="1"/>
  <c r="G6786" i="1"/>
  <c r="H6786" i="1"/>
  <c r="I6786" i="1"/>
  <c r="J6786" i="1"/>
  <c r="K6786" i="1"/>
  <c r="L6786" i="1"/>
  <c r="A6787" i="1"/>
  <c r="B6787" i="1"/>
  <c r="C6787" i="1"/>
  <c r="D6787" i="1"/>
  <c r="E6787" i="1"/>
  <c r="F6787" i="1"/>
  <c r="G6787" i="1"/>
  <c r="H6787" i="1"/>
  <c r="I6787" i="1"/>
  <c r="J6787" i="1"/>
  <c r="K6787" i="1"/>
  <c r="L6787" i="1"/>
  <c r="A6788" i="1"/>
  <c r="B6788" i="1"/>
  <c r="C6788" i="1"/>
  <c r="D6788" i="1"/>
  <c r="E6788" i="1"/>
  <c r="F6788" i="1"/>
  <c r="G6788" i="1"/>
  <c r="H6788" i="1"/>
  <c r="I6788" i="1"/>
  <c r="J6788" i="1"/>
  <c r="K6788" i="1"/>
  <c r="L6788" i="1"/>
  <c r="A6789" i="1"/>
  <c r="B6789" i="1"/>
  <c r="C6789" i="1"/>
  <c r="D6789" i="1"/>
  <c r="E6789" i="1"/>
  <c r="F6789" i="1"/>
  <c r="G6789" i="1"/>
  <c r="H6789" i="1"/>
  <c r="I6789" i="1"/>
  <c r="J6789" i="1"/>
  <c r="K6789" i="1"/>
  <c r="L6789" i="1"/>
  <c r="A6790" i="1"/>
  <c r="B6790" i="1"/>
  <c r="C6790" i="1"/>
  <c r="D6790" i="1"/>
  <c r="E6790" i="1"/>
  <c r="F6790" i="1"/>
  <c r="G6790" i="1"/>
  <c r="H6790" i="1"/>
  <c r="I6790" i="1"/>
  <c r="J6790" i="1"/>
  <c r="K6790" i="1"/>
  <c r="L6790" i="1"/>
  <c r="A6791" i="1"/>
  <c r="B6791" i="1"/>
  <c r="C6791" i="1"/>
  <c r="D6791" i="1"/>
  <c r="E6791" i="1"/>
  <c r="F6791" i="1"/>
  <c r="G6791" i="1"/>
  <c r="H6791" i="1"/>
  <c r="I6791" i="1"/>
  <c r="J6791" i="1"/>
  <c r="K6791" i="1"/>
  <c r="L6791" i="1"/>
  <c r="A6792" i="1"/>
  <c r="B6792" i="1"/>
  <c r="C6792" i="1"/>
  <c r="D6792" i="1"/>
  <c r="E6792" i="1"/>
  <c r="F6792" i="1"/>
  <c r="G6792" i="1"/>
  <c r="H6792" i="1"/>
  <c r="I6792" i="1"/>
  <c r="J6792" i="1"/>
  <c r="K6792" i="1"/>
  <c r="L6792" i="1"/>
  <c r="A6793" i="1"/>
  <c r="B6793" i="1"/>
  <c r="C6793" i="1"/>
  <c r="D6793" i="1"/>
  <c r="E6793" i="1"/>
  <c r="F6793" i="1"/>
  <c r="G6793" i="1"/>
  <c r="H6793" i="1"/>
  <c r="I6793" i="1"/>
  <c r="J6793" i="1"/>
  <c r="K6793" i="1"/>
  <c r="L6793" i="1"/>
  <c r="A6794" i="1"/>
  <c r="B6794" i="1"/>
  <c r="C6794" i="1"/>
  <c r="D6794" i="1"/>
  <c r="E6794" i="1"/>
  <c r="F6794" i="1"/>
  <c r="G6794" i="1"/>
  <c r="H6794" i="1"/>
  <c r="I6794" i="1"/>
  <c r="J6794" i="1"/>
  <c r="K6794" i="1"/>
  <c r="L6794" i="1"/>
  <c r="A6795" i="1"/>
  <c r="B6795" i="1"/>
  <c r="C6795" i="1"/>
  <c r="D6795" i="1"/>
  <c r="E6795" i="1"/>
  <c r="F6795" i="1"/>
  <c r="G6795" i="1"/>
  <c r="H6795" i="1"/>
  <c r="I6795" i="1"/>
  <c r="J6795" i="1"/>
  <c r="K6795" i="1"/>
  <c r="L6795" i="1"/>
  <c r="A6796" i="1"/>
  <c r="B6796" i="1"/>
  <c r="C6796" i="1"/>
  <c r="D6796" i="1"/>
  <c r="E6796" i="1"/>
  <c r="F6796" i="1"/>
  <c r="G6796" i="1"/>
  <c r="H6796" i="1"/>
  <c r="I6796" i="1"/>
  <c r="J6796" i="1"/>
  <c r="K6796" i="1"/>
  <c r="L6796" i="1"/>
  <c r="A6797" i="1"/>
  <c r="B6797" i="1"/>
  <c r="C6797" i="1"/>
  <c r="D6797" i="1"/>
  <c r="E6797" i="1"/>
  <c r="F6797" i="1"/>
  <c r="G6797" i="1"/>
  <c r="H6797" i="1"/>
  <c r="I6797" i="1"/>
  <c r="J6797" i="1"/>
  <c r="K6797" i="1"/>
  <c r="L6797" i="1"/>
  <c r="A6798" i="1"/>
  <c r="B6798" i="1"/>
  <c r="C6798" i="1"/>
  <c r="D6798" i="1"/>
  <c r="E6798" i="1"/>
  <c r="F6798" i="1"/>
  <c r="G6798" i="1"/>
  <c r="H6798" i="1"/>
  <c r="I6798" i="1"/>
  <c r="J6798" i="1"/>
  <c r="K6798" i="1"/>
  <c r="L6798" i="1"/>
  <c r="A6799" i="1"/>
  <c r="B6799" i="1"/>
  <c r="C6799" i="1"/>
  <c r="D6799" i="1"/>
  <c r="E6799" i="1"/>
  <c r="F6799" i="1"/>
  <c r="G6799" i="1"/>
  <c r="H6799" i="1"/>
  <c r="I6799" i="1"/>
  <c r="J6799" i="1"/>
  <c r="K6799" i="1"/>
  <c r="L6799" i="1"/>
  <c r="A6800" i="1"/>
  <c r="B6800" i="1"/>
  <c r="C6800" i="1"/>
  <c r="D6800" i="1"/>
  <c r="E6800" i="1"/>
  <c r="F6800" i="1"/>
  <c r="G6800" i="1"/>
  <c r="H6800" i="1"/>
  <c r="I6800" i="1"/>
  <c r="J6800" i="1"/>
  <c r="K6800" i="1"/>
  <c r="L6800" i="1"/>
  <c r="A6801" i="1"/>
  <c r="B6801" i="1"/>
  <c r="C6801" i="1"/>
  <c r="D6801" i="1"/>
  <c r="E6801" i="1"/>
  <c r="F6801" i="1"/>
  <c r="G6801" i="1"/>
  <c r="H6801" i="1"/>
  <c r="I6801" i="1"/>
  <c r="J6801" i="1"/>
  <c r="K6801" i="1"/>
  <c r="L6801" i="1"/>
  <c r="A6802" i="1"/>
  <c r="B6802" i="1"/>
  <c r="C6802" i="1"/>
  <c r="D6802" i="1"/>
  <c r="E6802" i="1"/>
  <c r="F6802" i="1"/>
  <c r="G6802" i="1"/>
  <c r="H6802" i="1"/>
  <c r="I6802" i="1"/>
  <c r="J6802" i="1"/>
  <c r="K6802" i="1"/>
  <c r="L6802" i="1"/>
  <c r="A6803" i="1"/>
  <c r="B6803" i="1"/>
  <c r="C6803" i="1"/>
  <c r="D6803" i="1"/>
  <c r="E6803" i="1"/>
  <c r="F6803" i="1"/>
  <c r="G6803" i="1"/>
  <c r="H6803" i="1"/>
  <c r="I6803" i="1"/>
  <c r="J6803" i="1"/>
  <c r="K6803" i="1"/>
  <c r="L6803" i="1"/>
  <c r="A6804" i="1"/>
  <c r="B6804" i="1"/>
  <c r="C6804" i="1"/>
  <c r="D6804" i="1"/>
  <c r="E6804" i="1"/>
  <c r="F6804" i="1"/>
  <c r="G6804" i="1"/>
  <c r="H6804" i="1"/>
  <c r="I6804" i="1"/>
  <c r="J6804" i="1"/>
  <c r="K6804" i="1"/>
  <c r="L6804" i="1"/>
  <c r="A6805" i="1"/>
  <c r="B6805" i="1"/>
  <c r="C6805" i="1"/>
  <c r="D6805" i="1"/>
  <c r="E6805" i="1"/>
  <c r="F6805" i="1"/>
  <c r="G6805" i="1"/>
  <c r="H6805" i="1"/>
  <c r="I6805" i="1"/>
  <c r="J6805" i="1"/>
  <c r="K6805" i="1"/>
  <c r="L6805" i="1"/>
  <c r="A6806" i="1"/>
  <c r="B6806" i="1"/>
  <c r="C6806" i="1"/>
  <c r="D6806" i="1"/>
  <c r="E6806" i="1"/>
  <c r="F6806" i="1"/>
  <c r="G6806" i="1"/>
  <c r="H6806" i="1"/>
  <c r="I6806" i="1"/>
  <c r="J6806" i="1"/>
  <c r="K6806" i="1"/>
  <c r="L6806" i="1"/>
  <c r="A6807" i="1"/>
  <c r="B6807" i="1"/>
  <c r="C6807" i="1"/>
  <c r="D6807" i="1"/>
  <c r="E6807" i="1"/>
  <c r="F6807" i="1"/>
  <c r="G6807" i="1"/>
  <c r="H6807" i="1"/>
  <c r="I6807" i="1"/>
  <c r="J6807" i="1"/>
  <c r="K6807" i="1"/>
  <c r="L6807" i="1"/>
  <c r="A6808" i="1"/>
  <c r="B6808" i="1"/>
  <c r="C6808" i="1"/>
  <c r="D6808" i="1"/>
  <c r="E6808" i="1"/>
  <c r="F6808" i="1"/>
  <c r="G6808" i="1"/>
  <c r="H6808" i="1"/>
  <c r="I6808" i="1"/>
  <c r="J6808" i="1"/>
  <c r="K6808" i="1"/>
  <c r="L6808" i="1"/>
  <c r="A6809" i="1"/>
  <c r="B6809" i="1"/>
  <c r="C6809" i="1"/>
  <c r="D6809" i="1"/>
  <c r="E6809" i="1"/>
  <c r="F6809" i="1"/>
  <c r="G6809" i="1"/>
  <c r="H6809" i="1"/>
  <c r="I6809" i="1"/>
  <c r="J6809" i="1"/>
  <c r="K6809" i="1"/>
  <c r="L6809" i="1"/>
  <c r="A6810" i="1"/>
  <c r="B6810" i="1"/>
  <c r="C6810" i="1"/>
  <c r="D6810" i="1"/>
  <c r="E6810" i="1"/>
  <c r="F6810" i="1"/>
  <c r="G6810" i="1"/>
  <c r="H6810" i="1"/>
  <c r="I6810" i="1"/>
  <c r="J6810" i="1"/>
  <c r="K6810" i="1"/>
  <c r="L6810" i="1"/>
  <c r="A6811" i="1"/>
  <c r="B6811" i="1"/>
  <c r="C6811" i="1"/>
  <c r="D6811" i="1"/>
  <c r="E6811" i="1"/>
  <c r="F6811" i="1"/>
  <c r="G6811" i="1"/>
  <c r="H6811" i="1"/>
  <c r="I6811" i="1"/>
  <c r="J6811" i="1"/>
  <c r="K6811" i="1"/>
  <c r="L6811" i="1"/>
  <c r="A6812" i="1"/>
  <c r="B6812" i="1"/>
  <c r="C6812" i="1"/>
  <c r="D6812" i="1"/>
  <c r="E6812" i="1"/>
  <c r="F6812" i="1"/>
  <c r="G6812" i="1"/>
  <c r="H6812" i="1"/>
  <c r="I6812" i="1"/>
  <c r="J6812" i="1"/>
  <c r="K6812" i="1"/>
  <c r="L6812" i="1"/>
  <c r="A6813" i="1"/>
  <c r="B6813" i="1"/>
  <c r="C6813" i="1"/>
  <c r="D6813" i="1"/>
  <c r="E6813" i="1"/>
  <c r="F6813" i="1"/>
  <c r="G6813" i="1"/>
  <c r="H6813" i="1"/>
  <c r="I6813" i="1"/>
  <c r="J6813" i="1"/>
  <c r="K6813" i="1"/>
  <c r="L6813" i="1"/>
  <c r="A6814" i="1"/>
  <c r="B6814" i="1"/>
  <c r="C6814" i="1"/>
  <c r="D6814" i="1"/>
  <c r="E6814" i="1"/>
  <c r="F6814" i="1"/>
  <c r="G6814" i="1"/>
  <c r="H6814" i="1"/>
  <c r="I6814" i="1"/>
  <c r="J6814" i="1"/>
  <c r="K6814" i="1"/>
  <c r="L6814" i="1"/>
  <c r="A6815" i="1"/>
  <c r="B6815" i="1"/>
  <c r="C6815" i="1"/>
  <c r="D6815" i="1"/>
  <c r="E6815" i="1"/>
  <c r="F6815" i="1"/>
  <c r="G6815" i="1"/>
  <c r="H6815" i="1"/>
  <c r="I6815" i="1"/>
  <c r="J6815" i="1"/>
  <c r="K6815" i="1"/>
  <c r="L6815" i="1"/>
  <c r="A6816" i="1"/>
  <c r="B6816" i="1"/>
  <c r="C6816" i="1"/>
  <c r="D6816" i="1"/>
  <c r="E6816" i="1"/>
  <c r="F6816" i="1"/>
  <c r="G6816" i="1"/>
  <c r="H6816" i="1"/>
  <c r="I6816" i="1"/>
  <c r="J6816" i="1"/>
  <c r="K6816" i="1"/>
  <c r="L6816" i="1"/>
  <c r="A6817" i="1"/>
  <c r="B6817" i="1"/>
  <c r="C6817" i="1"/>
  <c r="D6817" i="1"/>
  <c r="E6817" i="1"/>
  <c r="F6817" i="1"/>
  <c r="G6817" i="1"/>
  <c r="H6817" i="1"/>
  <c r="I6817" i="1"/>
  <c r="J6817" i="1"/>
  <c r="K6817" i="1"/>
  <c r="L6817" i="1"/>
  <c r="A6818" i="1"/>
  <c r="B6818" i="1"/>
  <c r="C6818" i="1"/>
  <c r="D6818" i="1"/>
  <c r="E6818" i="1"/>
  <c r="F6818" i="1"/>
  <c r="G6818" i="1"/>
  <c r="H6818" i="1"/>
  <c r="I6818" i="1"/>
  <c r="J6818" i="1"/>
  <c r="K6818" i="1"/>
  <c r="L6818" i="1"/>
  <c r="A6819" i="1"/>
  <c r="B6819" i="1"/>
  <c r="C6819" i="1"/>
  <c r="D6819" i="1"/>
  <c r="E6819" i="1"/>
  <c r="F6819" i="1"/>
  <c r="G6819" i="1"/>
  <c r="H6819" i="1"/>
  <c r="I6819" i="1"/>
  <c r="J6819" i="1"/>
  <c r="K6819" i="1"/>
  <c r="L6819" i="1"/>
  <c r="A6820" i="1"/>
  <c r="B6820" i="1"/>
  <c r="C6820" i="1"/>
  <c r="D6820" i="1"/>
  <c r="E6820" i="1"/>
  <c r="F6820" i="1"/>
  <c r="G6820" i="1"/>
  <c r="H6820" i="1"/>
  <c r="I6820" i="1"/>
  <c r="J6820" i="1"/>
  <c r="K6820" i="1"/>
  <c r="L6820" i="1"/>
  <c r="A6821" i="1"/>
  <c r="B6821" i="1"/>
  <c r="C6821" i="1"/>
  <c r="D6821" i="1"/>
  <c r="E6821" i="1"/>
  <c r="F6821" i="1"/>
  <c r="G6821" i="1"/>
  <c r="H6821" i="1"/>
  <c r="I6821" i="1"/>
  <c r="J6821" i="1"/>
  <c r="K6821" i="1"/>
  <c r="L6821" i="1"/>
  <c r="A6822" i="1"/>
  <c r="B6822" i="1"/>
  <c r="C6822" i="1"/>
  <c r="D6822" i="1"/>
  <c r="E6822" i="1"/>
  <c r="F6822" i="1"/>
  <c r="G6822" i="1"/>
  <c r="H6822" i="1"/>
  <c r="I6822" i="1"/>
  <c r="J6822" i="1"/>
  <c r="K6822" i="1"/>
  <c r="L6822" i="1"/>
  <c r="A6823" i="1"/>
  <c r="B6823" i="1"/>
  <c r="C6823" i="1"/>
  <c r="D6823" i="1"/>
  <c r="E6823" i="1"/>
  <c r="F6823" i="1"/>
  <c r="G6823" i="1"/>
  <c r="H6823" i="1"/>
  <c r="I6823" i="1"/>
  <c r="J6823" i="1"/>
  <c r="K6823" i="1"/>
  <c r="L6823" i="1"/>
  <c r="A6824" i="1"/>
  <c r="B6824" i="1"/>
  <c r="C6824" i="1"/>
  <c r="D6824" i="1"/>
  <c r="E6824" i="1"/>
  <c r="F6824" i="1"/>
  <c r="G6824" i="1"/>
  <c r="H6824" i="1"/>
  <c r="I6824" i="1"/>
  <c r="J6824" i="1"/>
  <c r="K6824" i="1"/>
  <c r="L6824" i="1"/>
  <c r="A6825" i="1"/>
  <c r="B6825" i="1"/>
  <c r="C6825" i="1"/>
  <c r="D6825" i="1"/>
  <c r="E6825" i="1"/>
  <c r="F6825" i="1"/>
  <c r="G6825" i="1"/>
  <c r="H6825" i="1"/>
  <c r="I6825" i="1"/>
  <c r="J6825" i="1"/>
  <c r="K6825" i="1"/>
  <c r="L6825" i="1"/>
  <c r="A6826" i="1"/>
  <c r="B6826" i="1"/>
  <c r="C6826" i="1"/>
  <c r="D6826" i="1"/>
  <c r="E6826" i="1"/>
  <c r="F6826" i="1"/>
  <c r="G6826" i="1"/>
  <c r="H6826" i="1"/>
  <c r="I6826" i="1"/>
  <c r="J6826" i="1"/>
  <c r="K6826" i="1"/>
  <c r="L6826" i="1"/>
  <c r="A6827" i="1"/>
  <c r="B6827" i="1"/>
  <c r="C6827" i="1"/>
  <c r="D6827" i="1"/>
  <c r="E6827" i="1"/>
  <c r="F6827" i="1"/>
  <c r="G6827" i="1"/>
  <c r="H6827" i="1"/>
  <c r="I6827" i="1"/>
  <c r="J6827" i="1"/>
  <c r="K6827" i="1"/>
  <c r="L6827" i="1"/>
  <c r="A6828" i="1"/>
  <c r="B6828" i="1"/>
  <c r="C6828" i="1"/>
  <c r="D6828" i="1"/>
  <c r="E6828" i="1"/>
  <c r="F6828" i="1"/>
  <c r="G6828" i="1"/>
  <c r="H6828" i="1"/>
  <c r="I6828" i="1"/>
  <c r="J6828" i="1"/>
  <c r="K6828" i="1"/>
  <c r="L6828" i="1"/>
  <c r="A6829" i="1"/>
  <c r="B6829" i="1"/>
  <c r="C6829" i="1"/>
  <c r="D6829" i="1"/>
  <c r="E6829" i="1"/>
  <c r="F6829" i="1"/>
  <c r="G6829" i="1"/>
  <c r="H6829" i="1"/>
  <c r="I6829" i="1"/>
  <c r="J6829" i="1"/>
  <c r="K6829" i="1"/>
  <c r="L6829" i="1"/>
  <c r="A6830" i="1"/>
  <c r="B6830" i="1"/>
  <c r="C6830" i="1"/>
  <c r="D6830" i="1"/>
  <c r="E6830" i="1"/>
  <c r="F6830" i="1"/>
  <c r="G6830" i="1"/>
  <c r="H6830" i="1"/>
  <c r="I6830" i="1"/>
  <c r="J6830" i="1"/>
  <c r="K6830" i="1"/>
  <c r="L6830" i="1"/>
  <c r="A6831" i="1"/>
  <c r="B6831" i="1"/>
  <c r="C6831" i="1"/>
  <c r="D6831" i="1"/>
  <c r="E6831" i="1"/>
  <c r="F6831" i="1"/>
  <c r="G6831" i="1"/>
  <c r="H6831" i="1"/>
  <c r="I6831" i="1"/>
  <c r="J6831" i="1"/>
  <c r="K6831" i="1"/>
  <c r="L6831" i="1"/>
  <c r="A6832" i="1"/>
  <c r="B6832" i="1"/>
  <c r="C6832" i="1"/>
  <c r="D6832" i="1"/>
  <c r="E6832" i="1"/>
  <c r="F6832" i="1"/>
  <c r="G6832" i="1"/>
  <c r="H6832" i="1"/>
  <c r="I6832" i="1"/>
  <c r="J6832" i="1"/>
  <c r="K6832" i="1"/>
  <c r="L6832" i="1"/>
  <c r="A6833" i="1"/>
  <c r="B6833" i="1"/>
  <c r="C6833" i="1"/>
  <c r="D6833" i="1"/>
  <c r="E6833" i="1"/>
  <c r="F6833" i="1"/>
  <c r="G6833" i="1"/>
  <c r="H6833" i="1"/>
  <c r="I6833" i="1"/>
  <c r="J6833" i="1"/>
  <c r="K6833" i="1"/>
  <c r="L6833" i="1"/>
  <c r="A6834" i="1"/>
  <c r="B6834" i="1"/>
  <c r="C6834" i="1"/>
  <c r="D6834" i="1"/>
  <c r="E6834" i="1"/>
  <c r="F6834" i="1"/>
  <c r="G6834" i="1"/>
  <c r="H6834" i="1"/>
  <c r="I6834" i="1"/>
  <c r="J6834" i="1"/>
  <c r="K6834" i="1"/>
  <c r="L6834" i="1"/>
  <c r="A6835" i="1"/>
  <c r="B6835" i="1"/>
  <c r="C6835" i="1"/>
  <c r="D6835" i="1"/>
  <c r="E6835" i="1"/>
  <c r="F6835" i="1"/>
  <c r="G6835" i="1"/>
  <c r="H6835" i="1"/>
  <c r="I6835" i="1"/>
  <c r="J6835" i="1"/>
  <c r="K6835" i="1"/>
  <c r="L6835" i="1"/>
  <c r="A6836" i="1"/>
  <c r="B6836" i="1"/>
  <c r="C6836" i="1"/>
  <c r="D6836" i="1"/>
  <c r="E6836" i="1"/>
  <c r="F6836" i="1"/>
  <c r="G6836" i="1"/>
  <c r="H6836" i="1"/>
  <c r="I6836" i="1"/>
  <c r="J6836" i="1"/>
  <c r="K6836" i="1"/>
  <c r="L6836" i="1"/>
  <c r="A6837" i="1"/>
  <c r="B6837" i="1"/>
  <c r="C6837" i="1"/>
  <c r="D6837" i="1"/>
  <c r="E6837" i="1"/>
  <c r="F6837" i="1"/>
  <c r="G6837" i="1"/>
  <c r="H6837" i="1"/>
  <c r="I6837" i="1"/>
  <c r="J6837" i="1"/>
  <c r="K6837" i="1"/>
  <c r="L6837" i="1"/>
  <c r="A6838" i="1"/>
  <c r="B6838" i="1"/>
  <c r="C6838" i="1"/>
  <c r="D6838" i="1"/>
  <c r="E6838" i="1"/>
  <c r="F6838" i="1"/>
  <c r="G6838" i="1"/>
  <c r="H6838" i="1"/>
  <c r="I6838" i="1"/>
  <c r="J6838" i="1"/>
  <c r="K6838" i="1"/>
  <c r="L6838" i="1"/>
  <c r="A6839" i="1"/>
  <c r="B6839" i="1"/>
  <c r="C6839" i="1"/>
  <c r="D6839" i="1"/>
  <c r="E6839" i="1"/>
  <c r="F6839" i="1"/>
  <c r="G6839" i="1"/>
  <c r="H6839" i="1"/>
  <c r="I6839" i="1"/>
  <c r="J6839" i="1"/>
  <c r="K6839" i="1"/>
  <c r="L6839" i="1"/>
  <c r="A6840" i="1"/>
  <c r="B6840" i="1"/>
  <c r="C6840" i="1"/>
  <c r="D6840" i="1"/>
  <c r="E6840" i="1"/>
  <c r="F6840" i="1"/>
  <c r="G6840" i="1"/>
  <c r="H6840" i="1"/>
  <c r="I6840" i="1"/>
  <c r="J6840" i="1"/>
  <c r="K6840" i="1"/>
  <c r="L6840" i="1"/>
  <c r="A6841" i="1"/>
  <c r="B6841" i="1"/>
  <c r="C6841" i="1"/>
  <c r="D6841" i="1"/>
  <c r="E6841" i="1"/>
  <c r="F6841" i="1"/>
  <c r="G6841" i="1"/>
  <c r="H6841" i="1"/>
  <c r="I6841" i="1"/>
  <c r="J6841" i="1"/>
  <c r="K6841" i="1"/>
  <c r="L6841" i="1"/>
  <c r="A6842" i="1"/>
  <c r="B6842" i="1"/>
  <c r="C6842" i="1"/>
  <c r="D6842" i="1"/>
  <c r="E6842" i="1"/>
  <c r="F6842" i="1"/>
  <c r="G6842" i="1"/>
  <c r="H6842" i="1"/>
  <c r="I6842" i="1"/>
  <c r="J6842" i="1"/>
  <c r="K6842" i="1"/>
  <c r="L6842" i="1"/>
  <c r="A6843" i="1"/>
  <c r="B6843" i="1"/>
  <c r="C6843" i="1"/>
  <c r="D6843" i="1"/>
  <c r="E6843" i="1"/>
  <c r="F6843" i="1"/>
  <c r="G6843" i="1"/>
  <c r="H6843" i="1"/>
  <c r="I6843" i="1"/>
  <c r="J6843" i="1"/>
  <c r="K6843" i="1"/>
  <c r="L6843" i="1"/>
  <c r="A6844" i="1"/>
  <c r="B6844" i="1"/>
  <c r="C6844" i="1"/>
  <c r="D6844" i="1"/>
  <c r="E6844" i="1"/>
  <c r="F6844" i="1"/>
  <c r="G6844" i="1"/>
  <c r="H6844" i="1"/>
  <c r="I6844" i="1"/>
  <c r="J6844" i="1"/>
  <c r="K6844" i="1"/>
  <c r="L6844" i="1"/>
  <c r="A6845" i="1"/>
  <c r="B6845" i="1"/>
  <c r="C6845" i="1"/>
  <c r="D6845" i="1"/>
  <c r="E6845" i="1"/>
  <c r="F6845" i="1"/>
  <c r="G6845" i="1"/>
  <c r="H6845" i="1"/>
  <c r="I6845" i="1"/>
  <c r="J6845" i="1"/>
  <c r="K6845" i="1"/>
  <c r="L6845" i="1"/>
  <c r="A6846" i="1"/>
  <c r="B6846" i="1"/>
  <c r="C6846" i="1"/>
  <c r="D6846" i="1"/>
  <c r="E6846" i="1"/>
  <c r="F6846" i="1"/>
  <c r="G6846" i="1"/>
  <c r="H6846" i="1"/>
  <c r="I6846" i="1"/>
  <c r="J6846" i="1"/>
  <c r="K6846" i="1"/>
  <c r="L6846" i="1"/>
  <c r="A6847" i="1"/>
  <c r="B6847" i="1"/>
  <c r="C6847" i="1"/>
  <c r="D6847" i="1"/>
  <c r="E6847" i="1"/>
  <c r="F6847" i="1"/>
  <c r="G6847" i="1"/>
  <c r="H6847" i="1"/>
  <c r="I6847" i="1"/>
  <c r="J6847" i="1"/>
  <c r="K6847" i="1"/>
  <c r="L6847" i="1"/>
  <c r="A6848" i="1"/>
  <c r="B6848" i="1"/>
  <c r="C6848" i="1"/>
  <c r="D6848" i="1"/>
  <c r="E6848" i="1"/>
  <c r="F6848" i="1"/>
  <c r="G6848" i="1"/>
  <c r="H6848" i="1"/>
  <c r="I6848" i="1"/>
  <c r="J6848" i="1"/>
  <c r="K6848" i="1"/>
  <c r="L6848" i="1"/>
  <c r="A6849" i="1"/>
  <c r="B6849" i="1"/>
  <c r="C6849" i="1"/>
  <c r="D6849" i="1"/>
  <c r="E6849" i="1"/>
  <c r="F6849" i="1"/>
  <c r="G6849" i="1"/>
  <c r="H6849" i="1"/>
  <c r="I6849" i="1"/>
  <c r="J6849" i="1"/>
  <c r="K6849" i="1"/>
  <c r="L6849" i="1"/>
  <c r="A6850" i="1"/>
  <c r="B6850" i="1"/>
  <c r="C6850" i="1"/>
  <c r="D6850" i="1"/>
  <c r="E6850" i="1"/>
  <c r="F6850" i="1"/>
  <c r="G6850" i="1"/>
  <c r="H6850" i="1"/>
  <c r="I6850" i="1"/>
  <c r="J6850" i="1"/>
  <c r="K6850" i="1"/>
  <c r="L6850" i="1"/>
  <c r="A6851" i="1"/>
  <c r="B6851" i="1"/>
  <c r="C6851" i="1"/>
  <c r="D6851" i="1"/>
  <c r="E6851" i="1"/>
  <c r="F6851" i="1"/>
  <c r="G6851" i="1"/>
  <c r="H6851" i="1"/>
  <c r="I6851" i="1"/>
  <c r="J6851" i="1"/>
  <c r="K6851" i="1"/>
  <c r="L6851" i="1"/>
  <c r="A6852" i="1"/>
  <c r="B6852" i="1"/>
  <c r="C6852" i="1"/>
  <c r="D6852" i="1"/>
  <c r="E6852" i="1"/>
  <c r="F6852" i="1"/>
  <c r="G6852" i="1"/>
  <c r="H6852" i="1"/>
  <c r="I6852" i="1"/>
  <c r="J6852" i="1"/>
  <c r="K6852" i="1"/>
  <c r="L6852" i="1"/>
  <c r="A6853" i="1"/>
  <c r="B6853" i="1"/>
  <c r="C6853" i="1"/>
  <c r="D6853" i="1"/>
  <c r="E6853" i="1"/>
  <c r="F6853" i="1"/>
  <c r="G6853" i="1"/>
  <c r="H6853" i="1"/>
  <c r="I6853" i="1"/>
  <c r="J6853" i="1"/>
  <c r="K6853" i="1"/>
  <c r="L6853" i="1"/>
  <c r="A6854" i="1"/>
  <c r="B6854" i="1"/>
  <c r="C6854" i="1"/>
  <c r="D6854" i="1"/>
  <c r="E6854" i="1"/>
  <c r="F6854" i="1"/>
  <c r="G6854" i="1"/>
  <c r="H6854" i="1"/>
  <c r="I6854" i="1"/>
  <c r="J6854" i="1"/>
  <c r="K6854" i="1"/>
  <c r="L6854" i="1"/>
  <c r="A6855" i="1"/>
  <c r="B6855" i="1"/>
  <c r="C6855" i="1"/>
  <c r="D6855" i="1"/>
  <c r="E6855" i="1"/>
  <c r="F6855" i="1"/>
  <c r="G6855" i="1"/>
  <c r="H6855" i="1"/>
  <c r="I6855" i="1"/>
  <c r="J6855" i="1"/>
  <c r="K6855" i="1"/>
  <c r="L6855" i="1"/>
  <c r="A6856" i="1"/>
  <c r="B6856" i="1"/>
  <c r="C6856" i="1"/>
  <c r="D6856" i="1"/>
  <c r="E6856" i="1"/>
  <c r="F6856" i="1"/>
  <c r="G6856" i="1"/>
  <c r="H6856" i="1"/>
  <c r="I6856" i="1"/>
  <c r="J6856" i="1"/>
  <c r="K6856" i="1"/>
  <c r="L6856" i="1"/>
  <c r="A6857" i="1"/>
  <c r="B6857" i="1"/>
  <c r="C6857" i="1"/>
  <c r="D6857" i="1"/>
  <c r="E6857" i="1"/>
  <c r="F6857" i="1"/>
  <c r="G6857" i="1"/>
  <c r="H6857" i="1"/>
  <c r="I6857" i="1"/>
  <c r="J6857" i="1"/>
  <c r="K6857" i="1"/>
  <c r="L6857" i="1"/>
  <c r="A6858" i="1"/>
  <c r="B6858" i="1"/>
  <c r="C6858" i="1"/>
  <c r="D6858" i="1"/>
  <c r="E6858" i="1"/>
  <c r="F6858" i="1"/>
  <c r="G6858" i="1"/>
  <c r="H6858" i="1"/>
  <c r="I6858" i="1"/>
  <c r="J6858" i="1"/>
  <c r="K6858" i="1"/>
  <c r="L6858" i="1"/>
  <c r="A6859" i="1"/>
  <c r="B6859" i="1"/>
  <c r="C6859" i="1"/>
  <c r="D6859" i="1"/>
  <c r="E6859" i="1"/>
  <c r="F6859" i="1"/>
  <c r="G6859" i="1"/>
  <c r="H6859" i="1"/>
  <c r="I6859" i="1"/>
  <c r="J6859" i="1"/>
  <c r="K6859" i="1"/>
  <c r="L6859" i="1"/>
  <c r="A6860" i="1"/>
  <c r="B6860" i="1"/>
  <c r="C6860" i="1"/>
  <c r="D6860" i="1"/>
  <c r="E6860" i="1"/>
  <c r="F6860" i="1"/>
  <c r="G6860" i="1"/>
  <c r="H6860" i="1"/>
  <c r="I6860" i="1"/>
  <c r="J6860" i="1"/>
  <c r="K6860" i="1"/>
  <c r="L6860" i="1"/>
  <c r="A6861" i="1"/>
  <c r="B6861" i="1"/>
  <c r="C6861" i="1"/>
  <c r="D6861" i="1"/>
  <c r="E6861" i="1"/>
  <c r="F6861" i="1"/>
  <c r="G6861" i="1"/>
  <c r="H6861" i="1"/>
  <c r="I6861" i="1"/>
  <c r="J6861" i="1"/>
  <c r="K6861" i="1"/>
  <c r="L6861" i="1"/>
  <c r="A6862" i="1"/>
  <c r="B6862" i="1"/>
  <c r="C6862" i="1"/>
  <c r="D6862" i="1"/>
  <c r="E6862" i="1"/>
  <c r="F6862" i="1"/>
  <c r="G6862" i="1"/>
  <c r="H6862" i="1"/>
  <c r="I6862" i="1"/>
  <c r="J6862" i="1"/>
  <c r="K6862" i="1"/>
  <c r="L6862" i="1"/>
  <c r="A6863" i="1"/>
  <c r="B6863" i="1"/>
  <c r="C6863" i="1"/>
  <c r="D6863" i="1"/>
  <c r="E6863" i="1"/>
  <c r="F6863" i="1"/>
  <c r="G6863" i="1"/>
  <c r="H6863" i="1"/>
  <c r="I6863" i="1"/>
  <c r="J6863" i="1"/>
  <c r="K6863" i="1"/>
  <c r="L6863" i="1"/>
  <c r="A6864" i="1"/>
  <c r="B6864" i="1"/>
  <c r="C6864" i="1"/>
  <c r="D6864" i="1"/>
  <c r="E6864" i="1"/>
  <c r="F6864" i="1"/>
  <c r="G6864" i="1"/>
  <c r="H6864" i="1"/>
  <c r="I6864" i="1"/>
  <c r="J6864" i="1"/>
  <c r="K6864" i="1"/>
  <c r="L6864" i="1"/>
  <c r="A6865" i="1"/>
  <c r="B6865" i="1"/>
  <c r="C6865" i="1"/>
  <c r="D6865" i="1"/>
  <c r="E6865" i="1"/>
  <c r="F6865" i="1"/>
  <c r="G6865" i="1"/>
  <c r="H6865" i="1"/>
  <c r="I6865" i="1"/>
  <c r="J6865" i="1"/>
  <c r="K6865" i="1"/>
  <c r="L6865" i="1"/>
  <c r="A6866" i="1"/>
  <c r="B6866" i="1"/>
  <c r="C6866" i="1"/>
  <c r="D6866" i="1"/>
  <c r="E6866" i="1"/>
  <c r="F6866" i="1"/>
  <c r="G6866" i="1"/>
  <c r="H6866" i="1"/>
  <c r="I6866" i="1"/>
  <c r="J6866" i="1"/>
  <c r="K6866" i="1"/>
  <c r="L6866" i="1"/>
  <c r="A6867" i="1"/>
  <c r="B6867" i="1"/>
  <c r="C6867" i="1"/>
  <c r="D6867" i="1"/>
  <c r="E6867" i="1"/>
  <c r="F6867" i="1"/>
  <c r="G6867" i="1"/>
  <c r="H6867" i="1"/>
  <c r="I6867" i="1"/>
  <c r="J6867" i="1"/>
  <c r="K6867" i="1"/>
  <c r="L6867" i="1"/>
  <c r="A6868" i="1"/>
  <c r="B6868" i="1"/>
  <c r="C6868" i="1"/>
  <c r="D6868" i="1"/>
  <c r="E6868" i="1"/>
  <c r="F6868" i="1"/>
  <c r="G6868" i="1"/>
  <c r="H6868" i="1"/>
  <c r="I6868" i="1"/>
  <c r="J6868" i="1"/>
  <c r="K6868" i="1"/>
  <c r="L6868" i="1"/>
  <c r="A6869" i="1"/>
  <c r="B6869" i="1"/>
  <c r="C6869" i="1"/>
  <c r="D6869" i="1"/>
  <c r="E6869" i="1"/>
  <c r="F6869" i="1"/>
  <c r="G6869" i="1"/>
  <c r="H6869" i="1"/>
  <c r="I6869" i="1"/>
  <c r="J6869" i="1"/>
  <c r="K6869" i="1"/>
  <c r="L6869" i="1"/>
  <c r="A6870" i="1"/>
  <c r="B6870" i="1"/>
  <c r="C6870" i="1"/>
  <c r="D6870" i="1"/>
  <c r="E6870" i="1"/>
  <c r="F6870" i="1"/>
  <c r="G6870" i="1"/>
  <c r="H6870" i="1"/>
  <c r="I6870" i="1"/>
  <c r="J6870" i="1"/>
  <c r="K6870" i="1"/>
  <c r="L6870" i="1"/>
  <c r="A6871" i="1"/>
  <c r="B6871" i="1"/>
  <c r="C6871" i="1"/>
  <c r="D6871" i="1"/>
  <c r="E6871" i="1"/>
  <c r="F6871" i="1"/>
  <c r="G6871" i="1"/>
  <c r="H6871" i="1"/>
  <c r="I6871" i="1"/>
  <c r="J6871" i="1"/>
  <c r="K6871" i="1"/>
  <c r="L6871" i="1"/>
  <c r="A6872" i="1"/>
  <c r="B6872" i="1"/>
  <c r="C6872" i="1"/>
  <c r="D6872" i="1"/>
  <c r="E6872" i="1"/>
  <c r="F6872" i="1"/>
  <c r="G6872" i="1"/>
  <c r="H6872" i="1"/>
  <c r="I6872" i="1"/>
  <c r="J6872" i="1"/>
  <c r="K6872" i="1"/>
  <c r="L6872" i="1"/>
  <c r="A6873" i="1"/>
  <c r="B6873" i="1"/>
  <c r="C6873" i="1"/>
  <c r="D6873" i="1"/>
  <c r="E6873" i="1"/>
  <c r="F6873" i="1"/>
  <c r="G6873" i="1"/>
  <c r="H6873" i="1"/>
  <c r="I6873" i="1"/>
  <c r="J6873" i="1"/>
  <c r="K6873" i="1"/>
  <c r="L6873" i="1"/>
  <c r="A6874" i="1"/>
  <c r="B6874" i="1"/>
  <c r="C6874" i="1"/>
  <c r="D6874" i="1"/>
  <c r="E6874" i="1"/>
  <c r="F6874" i="1"/>
  <c r="G6874" i="1"/>
  <c r="H6874" i="1"/>
  <c r="I6874" i="1"/>
  <c r="J6874" i="1"/>
  <c r="K6874" i="1"/>
  <c r="L6874" i="1"/>
  <c r="A6875" i="1"/>
  <c r="B6875" i="1"/>
  <c r="C6875" i="1"/>
  <c r="D6875" i="1"/>
  <c r="E6875" i="1"/>
  <c r="F6875" i="1"/>
  <c r="G6875" i="1"/>
  <c r="H6875" i="1"/>
  <c r="I6875" i="1"/>
  <c r="J6875" i="1"/>
  <c r="K6875" i="1"/>
  <c r="L6875" i="1"/>
  <c r="A6876" i="1"/>
  <c r="B6876" i="1"/>
  <c r="C6876" i="1"/>
  <c r="D6876" i="1"/>
  <c r="E6876" i="1"/>
  <c r="F6876" i="1"/>
  <c r="G6876" i="1"/>
  <c r="H6876" i="1"/>
  <c r="I6876" i="1"/>
  <c r="J6876" i="1"/>
  <c r="K6876" i="1"/>
  <c r="L6876" i="1"/>
  <c r="A6877" i="1"/>
  <c r="B6877" i="1"/>
  <c r="C6877" i="1"/>
  <c r="D6877" i="1"/>
  <c r="E6877" i="1"/>
  <c r="F6877" i="1"/>
  <c r="G6877" i="1"/>
  <c r="H6877" i="1"/>
  <c r="I6877" i="1"/>
  <c r="J6877" i="1"/>
  <c r="K6877" i="1"/>
  <c r="L6877" i="1"/>
  <c r="A6878" i="1"/>
  <c r="B6878" i="1"/>
  <c r="C6878" i="1"/>
  <c r="D6878" i="1"/>
  <c r="E6878" i="1"/>
  <c r="F6878" i="1"/>
  <c r="G6878" i="1"/>
  <c r="H6878" i="1"/>
  <c r="I6878" i="1"/>
  <c r="J6878" i="1"/>
  <c r="K6878" i="1"/>
  <c r="L6878" i="1"/>
  <c r="A6879" i="1"/>
  <c r="B6879" i="1"/>
  <c r="C6879" i="1"/>
  <c r="D6879" i="1"/>
  <c r="E6879" i="1"/>
  <c r="F6879" i="1"/>
  <c r="G6879" i="1"/>
  <c r="H6879" i="1"/>
  <c r="I6879" i="1"/>
  <c r="J6879" i="1"/>
  <c r="K6879" i="1"/>
  <c r="L6879" i="1"/>
  <c r="A6880" i="1"/>
  <c r="B6880" i="1"/>
  <c r="C6880" i="1"/>
  <c r="D6880" i="1"/>
  <c r="E6880" i="1"/>
  <c r="F6880" i="1"/>
  <c r="G6880" i="1"/>
  <c r="H6880" i="1"/>
  <c r="I6880" i="1"/>
  <c r="J6880" i="1"/>
  <c r="K6880" i="1"/>
  <c r="L6880" i="1"/>
  <c r="A6881" i="1"/>
  <c r="B6881" i="1"/>
  <c r="C6881" i="1"/>
  <c r="D6881" i="1"/>
  <c r="E6881" i="1"/>
  <c r="F6881" i="1"/>
  <c r="G6881" i="1"/>
  <c r="H6881" i="1"/>
  <c r="I6881" i="1"/>
  <c r="J6881" i="1"/>
  <c r="K6881" i="1"/>
  <c r="L6881" i="1"/>
  <c r="A6882" i="1"/>
  <c r="B6882" i="1"/>
  <c r="C6882" i="1"/>
  <c r="D6882" i="1"/>
  <c r="E6882" i="1"/>
  <c r="F6882" i="1"/>
  <c r="G6882" i="1"/>
  <c r="H6882" i="1"/>
  <c r="I6882" i="1"/>
  <c r="J6882" i="1"/>
  <c r="K6882" i="1"/>
  <c r="L6882" i="1"/>
  <c r="A6883" i="1"/>
  <c r="B6883" i="1"/>
  <c r="C6883" i="1"/>
  <c r="D6883" i="1"/>
  <c r="E6883" i="1"/>
  <c r="F6883" i="1"/>
  <c r="G6883" i="1"/>
  <c r="H6883" i="1"/>
  <c r="I6883" i="1"/>
  <c r="J6883" i="1"/>
  <c r="K6883" i="1"/>
  <c r="L6883" i="1"/>
  <c r="A6884" i="1"/>
  <c r="B6884" i="1"/>
  <c r="C6884" i="1"/>
  <c r="D6884" i="1"/>
  <c r="E6884" i="1"/>
  <c r="F6884" i="1"/>
  <c r="G6884" i="1"/>
  <c r="H6884" i="1"/>
  <c r="I6884" i="1"/>
  <c r="J6884" i="1"/>
  <c r="K6884" i="1"/>
  <c r="L6884" i="1"/>
  <c r="A6885" i="1"/>
  <c r="B6885" i="1"/>
  <c r="C6885" i="1"/>
  <c r="D6885" i="1"/>
  <c r="E6885" i="1"/>
  <c r="F6885" i="1"/>
  <c r="G6885" i="1"/>
  <c r="H6885" i="1"/>
  <c r="I6885" i="1"/>
  <c r="J6885" i="1"/>
  <c r="K6885" i="1"/>
  <c r="L6885" i="1"/>
  <c r="A6886" i="1"/>
  <c r="B6886" i="1"/>
  <c r="C6886" i="1"/>
  <c r="D6886" i="1"/>
  <c r="E6886" i="1"/>
  <c r="F6886" i="1"/>
  <c r="G6886" i="1"/>
  <c r="H6886" i="1"/>
  <c r="I6886" i="1"/>
  <c r="J6886" i="1"/>
  <c r="K6886" i="1"/>
  <c r="L6886" i="1"/>
  <c r="A6887" i="1"/>
  <c r="B6887" i="1"/>
  <c r="C6887" i="1"/>
  <c r="D6887" i="1"/>
  <c r="E6887" i="1"/>
  <c r="F6887" i="1"/>
  <c r="G6887" i="1"/>
  <c r="H6887" i="1"/>
  <c r="I6887" i="1"/>
  <c r="J6887" i="1"/>
  <c r="K6887" i="1"/>
  <c r="L6887" i="1"/>
  <c r="A6888" i="1"/>
  <c r="B6888" i="1"/>
  <c r="C6888" i="1"/>
  <c r="D6888" i="1"/>
  <c r="E6888" i="1"/>
  <c r="F6888" i="1"/>
  <c r="G6888" i="1"/>
  <c r="H6888" i="1"/>
  <c r="I6888" i="1"/>
  <c r="J6888" i="1"/>
  <c r="K6888" i="1"/>
  <c r="L6888" i="1"/>
  <c r="A6889" i="1"/>
  <c r="B6889" i="1"/>
  <c r="C6889" i="1"/>
  <c r="D6889" i="1"/>
  <c r="E6889" i="1"/>
  <c r="F6889" i="1"/>
  <c r="G6889" i="1"/>
  <c r="H6889" i="1"/>
  <c r="I6889" i="1"/>
  <c r="J6889" i="1"/>
  <c r="K6889" i="1"/>
  <c r="L6889" i="1"/>
  <c r="A6890" i="1"/>
  <c r="B6890" i="1"/>
  <c r="C6890" i="1"/>
  <c r="D6890" i="1"/>
  <c r="E6890" i="1"/>
  <c r="F6890" i="1"/>
  <c r="G6890" i="1"/>
  <c r="H6890" i="1"/>
  <c r="I6890" i="1"/>
  <c r="J6890" i="1"/>
  <c r="K6890" i="1"/>
  <c r="L6890" i="1"/>
  <c r="A6891" i="1"/>
  <c r="B6891" i="1"/>
  <c r="C6891" i="1"/>
  <c r="D6891" i="1"/>
  <c r="E6891" i="1"/>
  <c r="F6891" i="1"/>
  <c r="G6891" i="1"/>
  <c r="H6891" i="1"/>
  <c r="I6891" i="1"/>
  <c r="J6891" i="1"/>
  <c r="K6891" i="1"/>
  <c r="L6891" i="1"/>
  <c r="A6892" i="1"/>
  <c r="B6892" i="1"/>
  <c r="C6892" i="1"/>
  <c r="D6892" i="1"/>
  <c r="E6892" i="1"/>
  <c r="F6892" i="1"/>
  <c r="G6892" i="1"/>
  <c r="H6892" i="1"/>
  <c r="I6892" i="1"/>
  <c r="J6892" i="1"/>
  <c r="K6892" i="1"/>
  <c r="L6892" i="1"/>
  <c r="A6893" i="1"/>
  <c r="B6893" i="1"/>
  <c r="C6893" i="1"/>
  <c r="D6893" i="1"/>
  <c r="E6893" i="1"/>
  <c r="F6893" i="1"/>
  <c r="G6893" i="1"/>
  <c r="H6893" i="1"/>
  <c r="I6893" i="1"/>
  <c r="J6893" i="1"/>
  <c r="K6893" i="1"/>
  <c r="L6893" i="1"/>
  <c r="A6894" i="1"/>
  <c r="B6894" i="1"/>
  <c r="C6894" i="1"/>
  <c r="D6894" i="1"/>
  <c r="E6894" i="1"/>
  <c r="F6894" i="1"/>
  <c r="G6894" i="1"/>
  <c r="H6894" i="1"/>
  <c r="I6894" i="1"/>
  <c r="J6894" i="1"/>
  <c r="K6894" i="1"/>
  <c r="L6894" i="1"/>
  <c r="A6895" i="1"/>
  <c r="B6895" i="1"/>
  <c r="C6895" i="1"/>
  <c r="D6895" i="1"/>
  <c r="E6895" i="1"/>
  <c r="F6895" i="1"/>
  <c r="G6895" i="1"/>
  <c r="H6895" i="1"/>
  <c r="I6895" i="1"/>
  <c r="J6895" i="1"/>
  <c r="K6895" i="1"/>
  <c r="L6895" i="1"/>
  <c r="A6896" i="1"/>
  <c r="B6896" i="1"/>
  <c r="C6896" i="1"/>
  <c r="D6896" i="1"/>
  <c r="E6896" i="1"/>
  <c r="F6896" i="1"/>
  <c r="G6896" i="1"/>
  <c r="H6896" i="1"/>
  <c r="I6896" i="1"/>
  <c r="J6896" i="1"/>
  <c r="K6896" i="1"/>
  <c r="L6896" i="1"/>
  <c r="A6897" i="1"/>
  <c r="B6897" i="1"/>
  <c r="C6897" i="1"/>
  <c r="D6897" i="1"/>
  <c r="E6897" i="1"/>
  <c r="F6897" i="1"/>
  <c r="G6897" i="1"/>
  <c r="H6897" i="1"/>
  <c r="I6897" i="1"/>
  <c r="J6897" i="1"/>
  <c r="K6897" i="1"/>
  <c r="L6897" i="1"/>
  <c r="A6898" i="1"/>
  <c r="B6898" i="1"/>
  <c r="C6898" i="1"/>
  <c r="D6898" i="1"/>
  <c r="E6898" i="1"/>
  <c r="F6898" i="1"/>
  <c r="G6898" i="1"/>
  <c r="H6898" i="1"/>
  <c r="I6898" i="1"/>
  <c r="J6898" i="1"/>
  <c r="K6898" i="1"/>
  <c r="L6898" i="1"/>
  <c r="A6899" i="1"/>
  <c r="B6899" i="1"/>
  <c r="C6899" i="1"/>
  <c r="D6899" i="1"/>
  <c r="E6899" i="1"/>
  <c r="F6899" i="1"/>
  <c r="G6899" i="1"/>
  <c r="H6899" i="1"/>
  <c r="I6899" i="1"/>
  <c r="J6899" i="1"/>
  <c r="K6899" i="1"/>
  <c r="L6899" i="1"/>
  <c r="A6900" i="1"/>
  <c r="B6900" i="1"/>
  <c r="C6900" i="1"/>
  <c r="D6900" i="1"/>
  <c r="E6900" i="1"/>
  <c r="F6900" i="1"/>
  <c r="G6900" i="1"/>
  <c r="H6900" i="1"/>
  <c r="I6900" i="1"/>
  <c r="J6900" i="1"/>
  <c r="K6900" i="1"/>
  <c r="L6900" i="1"/>
  <c r="A6901" i="1"/>
  <c r="B6901" i="1"/>
  <c r="C6901" i="1"/>
  <c r="D6901" i="1"/>
  <c r="E6901" i="1"/>
  <c r="F6901" i="1"/>
  <c r="G6901" i="1"/>
  <c r="H6901" i="1"/>
  <c r="I6901" i="1"/>
  <c r="J6901" i="1"/>
  <c r="K6901" i="1"/>
  <c r="L6901" i="1"/>
  <c r="A6902" i="1"/>
  <c r="B6902" i="1"/>
  <c r="C6902" i="1"/>
  <c r="D6902" i="1"/>
  <c r="E6902" i="1"/>
  <c r="F6902" i="1"/>
  <c r="G6902" i="1"/>
  <c r="H6902" i="1"/>
  <c r="I6902" i="1"/>
  <c r="J6902" i="1"/>
  <c r="K6902" i="1"/>
  <c r="L6902" i="1"/>
  <c r="A6903" i="1"/>
  <c r="B6903" i="1"/>
  <c r="C6903" i="1"/>
  <c r="D6903" i="1"/>
  <c r="E6903" i="1"/>
  <c r="F6903" i="1"/>
  <c r="G6903" i="1"/>
  <c r="H6903" i="1"/>
  <c r="I6903" i="1"/>
  <c r="J6903" i="1"/>
  <c r="K6903" i="1"/>
  <c r="L6903" i="1"/>
  <c r="A6904" i="1"/>
  <c r="B6904" i="1"/>
  <c r="C6904" i="1"/>
  <c r="D6904" i="1"/>
  <c r="E6904" i="1"/>
  <c r="F6904" i="1"/>
  <c r="G6904" i="1"/>
  <c r="H6904" i="1"/>
  <c r="I6904" i="1"/>
  <c r="J6904" i="1"/>
  <c r="K6904" i="1"/>
  <c r="L6904" i="1"/>
  <c r="A6905" i="1"/>
  <c r="B6905" i="1"/>
  <c r="C6905" i="1"/>
  <c r="D6905" i="1"/>
  <c r="E6905" i="1"/>
  <c r="F6905" i="1"/>
  <c r="G6905" i="1"/>
  <c r="H6905" i="1"/>
  <c r="I6905" i="1"/>
  <c r="J6905" i="1"/>
  <c r="K6905" i="1"/>
  <c r="L6905" i="1"/>
  <c r="A6906" i="1"/>
  <c r="B6906" i="1"/>
  <c r="C6906" i="1"/>
  <c r="D6906" i="1"/>
  <c r="E6906" i="1"/>
  <c r="F6906" i="1"/>
  <c r="G6906" i="1"/>
  <c r="H6906" i="1"/>
  <c r="I6906" i="1"/>
  <c r="J6906" i="1"/>
  <c r="K6906" i="1"/>
  <c r="L6906" i="1"/>
  <c r="A6907" i="1"/>
  <c r="B6907" i="1"/>
  <c r="C6907" i="1"/>
  <c r="D6907" i="1"/>
  <c r="E6907" i="1"/>
  <c r="F6907" i="1"/>
  <c r="G6907" i="1"/>
  <c r="H6907" i="1"/>
  <c r="I6907" i="1"/>
  <c r="J6907" i="1"/>
  <c r="K6907" i="1"/>
  <c r="L6907" i="1"/>
  <c r="A6908" i="1"/>
  <c r="B6908" i="1"/>
  <c r="C6908" i="1"/>
  <c r="D6908" i="1"/>
  <c r="E6908" i="1"/>
  <c r="F6908" i="1"/>
  <c r="G6908" i="1"/>
  <c r="H6908" i="1"/>
  <c r="I6908" i="1"/>
  <c r="J6908" i="1"/>
  <c r="K6908" i="1"/>
  <c r="L6908" i="1"/>
  <c r="A6909" i="1"/>
  <c r="B6909" i="1"/>
  <c r="C6909" i="1"/>
  <c r="D6909" i="1"/>
  <c r="E6909" i="1"/>
  <c r="F6909" i="1"/>
  <c r="G6909" i="1"/>
  <c r="H6909" i="1"/>
  <c r="I6909" i="1"/>
  <c r="J6909" i="1"/>
  <c r="K6909" i="1"/>
  <c r="L6909" i="1"/>
  <c r="A6910" i="1"/>
  <c r="B6910" i="1"/>
  <c r="C6910" i="1"/>
  <c r="D6910" i="1"/>
  <c r="E6910" i="1"/>
  <c r="F6910" i="1"/>
  <c r="G6910" i="1"/>
  <c r="H6910" i="1"/>
  <c r="I6910" i="1"/>
  <c r="J6910" i="1"/>
  <c r="K6910" i="1"/>
  <c r="L6910" i="1"/>
  <c r="A6911" i="1"/>
  <c r="B6911" i="1"/>
  <c r="C6911" i="1"/>
  <c r="D6911" i="1"/>
  <c r="E6911" i="1"/>
  <c r="F6911" i="1"/>
  <c r="G6911" i="1"/>
  <c r="H6911" i="1"/>
  <c r="I6911" i="1"/>
  <c r="J6911" i="1"/>
  <c r="K6911" i="1"/>
  <c r="L6911" i="1"/>
  <c r="A6912" i="1"/>
  <c r="B6912" i="1"/>
  <c r="C6912" i="1"/>
  <c r="D6912" i="1"/>
  <c r="E6912" i="1"/>
  <c r="F6912" i="1"/>
  <c r="G6912" i="1"/>
  <c r="H6912" i="1"/>
  <c r="I6912" i="1"/>
  <c r="J6912" i="1"/>
  <c r="K6912" i="1"/>
  <c r="L6912" i="1"/>
  <c r="A6913" i="1"/>
  <c r="B6913" i="1"/>
  <c r="C6913" i="1"/>
  <c r="D6913" i="1"/>
  <c r="E6913" i="1"/>
  <c r="F6913" i="1"/>
  <c r="G6913" i="1"/>
  <c r="H6913" i="1"/>
  <c r="I6913" i="1"/>
  <c r="J6913" i="1"/>
  <c r="K6913" i="1"/>
  <c r="L6913" i="1"/>
  <c r="A6914" i="1"/>
  <c r="B6914" i="1"/>
  <c r="C6914" i="1"/>
  <c r="D6914" i="1"/>
  <c r="E6914" i="1"/>
  <c r="F6914" i="1"/>
  <c r="G6914" i="1"/>
  <c r="H6914" i="1"/>
  <c r="I6914" i="1"/>
  <c r="J6914" i="1"/>
  <c r="K6914" i="1"/>
  <c r="L6914" i="1"/>
  <c r="A6915" i="1"/>
  <c r="B6915" i="1"/>
  <c r="C6915" i="1"/>
  <c r="D6915" i="1"/>
  <c r="E6915" i="1"/>
  <c r="F6915" i="1"/>
  <c r="G6915" i="1"/>
  <c r="H6915" i="1"/>
  <c r="I6915" i="1"/>
  <c r="J6915" i="1"/>
  <c r="K6915" i="1"/>
  <c r="L6915" i="1"/>
  <c r="A6916" i="1"/>
  <c r="B6916" i="1"/>
  <c r="C6916" i="1"/>
  <c r="D6916" i="1"/>
  <c r="E6916" i="1"/>
  <c r="F6916" i="1"/>
  <c r="G6916" i="1"/>
  <c r="H6916" i="1"/>
  <c r="I6916" i="1"/>
  <c r="J6916" i="1"/>
  <c r="K6916" i="1"/>
  <c r="L6916" i="1"/>
  <c r="A6917" i="1"/>
  <c r="B6917" i="1"/>
  <c r="C6917" i="1"/>
  <c r="D6917" i="1"/>
  <c r="E6917" i="1"/>
  <c r="F6917" i="1"/>
  <c r="G6917" i="1"/>
  <c r="H6917" i="1"/>
  <c r="I6917" i="1"/>
  <c r="J6917" i="1"/>
  <c r="K6917" i="1"/>
  <c r="L6917" i="1"/>
  <c r="A6918" i="1"/>
  <c r="B6918" i="1"/>
  <c r="C6918" i="1"/>
  <c r="D6918" i="1"/>
  <c r="E6918" i="1"/>
  <c r="F6918" i="1"/>
  <c r="G6918" i="1"/>
  <c r="H6918" i="1"/>
  <c r="I6918" i="1"/>
  <c r="J6918" i="1"/>
  <c r="K6918" i="1"/>
  <c r="L6918" i="1"/>
  <c r="A6919" i="1"/>
  <c r="B6919" i="1"/>
  <c r="C6919" i="1"/>
  <c r="D6919" i="1"/>
  <c r="E6919" i="1"/>
  <c r="F6919" i="1"/>
  <c r="G6919" i="1"/>
  <c r="H6919" i="1"/>
  <c r="I6919" i="1"/>
  <c r="J6919" i="1"/>
  <c r="K6919" i="1"/>
  <c r="L6919" i="1"/>
  <c r="A6920" i="1"/>
  <c r="B6920" i="1"/>
  <c r="C6920" i="1"/>
  <c r="D6920" i="1"/>
  <c r="E6920" i="1"/>
  <c r="F6920" i="1"/>
  <c r="G6920" i="1"/>
  <c r="H6920" i="1"/>
  <c r="I6920" i="1"/>
  <c r="J6920" i="1"/>
  <c r="K6920" i="1"/>
  <c r="L6920" i="1"/>
  <c r="A6921" i="1"/>
  <c r="B6921" i="1"/>
  <c r="C6921" i="1"/>
  <c r="D6921" i="1"/>
  <c r="E6921" i="1"/>
  <c r="F6921" i="1"/>
  <c r="G6921" i="1"/>
  <c r="H6921" i="1"/>
  <c r="I6921" i="1"/>
  <c r="J6921" i="1"/>
  <c r="K6921" i="1"/>
  <c r="L6921" i="1"/>
  <c r="A6922" i="1"/>
  <c r="B6922" i="1"/>
  <c r="C6922" i="1"/>
  <c r="D6922" i="1"/>
  <c r="E6922" i="1"/>
  <c r="F6922" i="1"/>
  <c r="G6922" i="1"/>
  <c r="H6922" i="1"/>
  <c r="I6922" i="1"/>
  <c r="J6922" i="1"/>
  <c r="K6922" i="1"/>
  <c r="L6922" i="1"/>
  <c r="A6923" i="1"/>
  <c r="B6923" i="1"/>
  <c r="C6923" i="1"/>
  <c r="D6923" i="1"/>
  <c r="E6923" i="1"/>
  <c r="F6923" i="1"/>
  <c r="G6923" i="1"/>
  <c r="H6923" i="1"/>
  <c r="I6923" i="1"/>
  <c r="J6923" i="1"/>
  <c r="K6923" i="1"/>
  <c r="L6923" i="1"/>
  <c r="A6924" i="1"/>
  <c r="B6924" i="1"/>
  <c r="C6924" i="1"/>
  <c r="D6924" i="1"/>
  <c r="E6924" i="1"/>
  <c r="F6924" i="1"/>
  <c r="G6924" i="1"/>
  <c r="H6924" i="1"/>
  <c r="I6924" i="1"/>
  <c r="J6924" i="1"/>
  <c r="K6924" i="1"/>
  <c r="L6924" i="1"/>
  <c r="A6925" i="1"/>
  <c r="B6925" i="1"/>
  <c r="C6925" i="1"/>
  <c r="D6925" i="1"/>
  <c r="E6925" i="1"/>
  <c r="F6925" i="1"/>
  <c r="G6925" i="1"/>
  <c r="H6925" i="1"/>
  <c r="I6925" i="1"/>
  <c r="J6925" i="1"/>
  <c r="K6925" i="1"/>
  <c r="L6925" i="1"/>
  <c r="A6926" i="1"/>
  <c r="B6926" i="1"/>
  <c r="C6926" i="1"/>
  <c r="D6926" i="1"/>
  <c r="E6926" i="1"/>
  <c r="F6926" i="1"/>
  <c r="G6926" i="1"/>
  <c r="H6926" i="1"/>
  <c r="I6926" i="1"/>
  <c r="J6926" i="1"/>
  <c r="K6926" i="1"/>
  <c r="L6926" i="1"/>
  <c r="A6927" i="1"/>
  <c r="B6927" i="1"/>
  <c r="C6927" i="1"/>
  <c r="D6927" i="1"/>
  <c r="E6927" i="1"/>
  <c r="F6927" i="1"/>
  <c r="G6927" i="1"/>
  <c r="H6927" i="1"/>
  <c r="I6927" i="1"/>
  <c r="J6927" i="1"/>
  <c r="K6927" i="1"/>
  <c r="L6927" i="1"/>
  <c r="A6928" i="1"/>
  <c r="B6928" i="1"/>
  <c r="C6928" i="1"/>
  <c r="D6928" i="1"/>
  <c r="E6928" i="1"/>
  <c r="F6928" i="1"/>
  <c r="G6928" i="1"/>
  <c r="H6928" i="1"/>
  <c r="I6928" i="1"/>
  <c r="J6928" i="1"/>
  <c r="K6928" i="1"/>
  <c r="L6928" i="1"/>
  <c r="A6929" i="1"/>
  <c r="B6929" i="1"/>
  <c r="C6929" i="1"/>
  <c r="D6929" i="1"/>
  <c r="E6929" i="1"/>
  <c r="F6929" i="1"/>
  <c r="G6929" i="1"/>
  <c r="H6929" i="1"/>
  <c r="I6929" i="1"/>
  <c r="J6929" i="1"/>
  <c r="K6929" i="1"/>
  <c r="L6929" i="1"/>
  <c r="A6930" i="1"/>
  <c r="B6930" i="1"/>
  <c r="C6930" i="1"/>
  <c r="D6930" i="1"/>
  <c r="E6930" i="1"/>
  <c r="F6930" i="1"/>
  <c r="G6930" i="1"/>
  <c r="H6930" i="1"/>
  <c r="I6930" i="1"/>
  <c r="J6930" i="1"/>
  <c r="K6930" i="1"/>
  <c r="L6930" i="1"/>
  <c r="A6931" i="1"/>
  <c r="B6931" i="1"/>
  <c r="C6931" i="1"/>
  <c r="D6931" i="1"/>
  <c r="E6931" i="1"/>
  <c r="F6931" i="1"/>
  <c r="G6931" i="1"/>
  <c r="H6931" i="1"/>
  <c r="I6931" i="1"/>
  <c r="J6931" i="1"/>
  <c r="K6931" i="1"/>
  <c r="L6931" i="1"/>
  <c r="A6932" i="1"/>
  <c r="B6932" i="1"/>
  <c r="C6932" i="1"/>
  <c r="D6932" i="1"/>
  <c r="E6932" i="1"/>
  <c r="F6932" i="1"/>
  <c r="G6932" i="1"/>
  <c r="H6932" i="1"/>
  <c r="I6932" i="1"/>
  <c r="J6932" i="1"/>
  <c r="K6932" i="1"/>
  <c r="L6932" i="1"/>
  <c r="A6933" i="1"/>
  <c r="B6933" i="1"/>
  <c r="C6933" i="1"/>
  <c r="D6933" i="1"/>
  <c r="E6933" i="1"/>
  <c r="F6933" i="1"/>
  <c r="G6933" i="1"/>
  <c r="H6933" i="1"/>
  <c r="I6933" i="1"/>
  <c r="J6933" i="1"/>
  <c r="K6933" i="1"/>
  <c r="L6933" i="1"/>
  <c r="A6934" i="1"/>
  <c r="B6934" i="1"/>
  <c r="C6934" i="1"/>
  <c r="D6934" i="1"/>
  <c r="E6934" i="1"/>
  <c r="F6934" i="1"/>
  <c r="G6934" i="1"/>
  <c r="H6934" i="1"/>
  <c r="I6934" i="1"/>
  <c r="J6934" i="1"/>
  <c r="K6934" i="1"/>
  <c r="L6934" i="1"/>
  <c r="A6935" i="1"/>
  <c r="B6935" i="1"/>
  <c r="C6935" i="1"/>
  <c r="D6935" i="1"/>
  <c r="E6935" i="1"/>
  <c r="F6935" i="1"/>
  <c r="G6935" i="1"/>
  <c r="H6935" i="1"/>
  <c r="I6935" i="1"/>
  <c r="J6935" i="1"/>
  <c r="K6935" i="1"/>
  <c r="L6935" i="1"/>
  <c r="A6936" i="1"/>
  <c r="B6936" i="1"/>
  <c r="C6936" i="1"/>
  <c r="D6936" i="1"/>
  <c r="E6936" i="1"/>
  <c r="F6936" i="1"/>
  <c r="G6936" i="1"/>
  <c r="H6936" i="1"/>
  <c r="I6936" i="1"/>
  <c r="J6936" i="1"/>
  <c r="K6936" i="1"/>
  <c r="L6936" i="1"/>
  <c r="A6937" i="1"/>
  <c r="B6937" i="1"/>
  <c r="C6937" i="1"/>
  <c r="D6937" i="1"/>
  <c r="E6937" i="1"/>
  <c r="F6937" i="1"/>
  <c r="G6937" i="1"/>
  <c r="H6937" i="1"/>
  <c r="I6937" i="1"/>
  <c r="J6937" i="1"/>
  <c r="K6937" i="1"/>
  <c r="L6937" i="1"/>
  <c r="A6938" i="1"/>
  <c r="B6938" i="1"/>
  <c r="C6938" i="1"/>
  <c r="D6938" i="1"/>
  <c r="E6938" i="1"/>
  <c r="F6938" i="1"/>
  <c r="G6938" i="1"/>
  <c r="H6938" i="1"/>
  <c r="I6938" i="1"/>
  <c r="J6938" i="1"/>
  <c r="K6938" i="1"/>
  <c r="L6938" i="1"/>
  <c r="A6939" i="1"/>
  <c r="B6939" i="1"/>
  <c r="C6939" i="1"/>
  <c r="D6939" i="1"/>
  <c r="E6939" i="1"/>
  <c r="F6939" i="1"/>
  <c r="G6939" i="1"/>
  <c r="H6939" i="1"/>
  <c r="I6939" i="1"/>
  <c r="J6939" i="1"/>
  <c r="K6939" i="1"/>
  <c r="L6939" i="1"/>
  <c r="A6940" i="1"/>
  <c r="B6940" i="1"/>
  <c r="C6940" i="1"/>
  <c r="D6940" i="1"/>
  <c r="E6940" i="1"/>
  <c r="F6940" i="1"/>
  <c r="G6940" i="1"/>
  <c r="H6940" i="1"/>
  <c r="I6940" i="1"/>
  <c r="J6940" i="1"/>
  <c r="K6940" i="1"/>
  <c r="L6940" i="1"/>
  <c r="A6941" i="1"/>
  <c r="B6941" i="1"/>
  <c r="C6941" i="1"/>
  <c r="D6941" i="1"/>
  <c r="E6941" i="1"/>
  <c r="F6941" i="1"/>
  <c r="G6941" i="1"/>
  <c r="H6941" i="1"/>
  <c r="I6941" i="1"/>
  <c r="J6941" i="1"/>
  <c r="K6941" i="1"/>
  <c r="L6941" i="1"/>
  <c r="A6942" i="1"/>
  <c r="B6942" i="1"/>
  <c r="C6942" i="1"/>
  <c r="D6942" i="1"/>
  <c r="E6942" i="1"/>
  <c r="F6942" i="1"/>
  <c r="G6942" i="1"/>
  <c r="H6942" i="1"/>
  <c r="I6942" i="1"/>
  <c r="J6942" i="1"/>
  <c r="K6942" i="1"/>
  <c r="L6942" i="1"/>
  <c r="A6943" i="1"/>
  <c r="B6943" i="1"/>
  <c r="C6943" i="1"/>
  <c r="D6943" i="1"/>
  <c r="E6943" i="1"/>
  <c r="F6943" i="1"/>
  <c r="G6943" i="1"/>
  <c r="H6943" i="1"/>
  <c r="I6943" i="1"/>
  <c r="J6943" i="1"/>
  <c r="K6943" i="1"/>
  <c r="L6943" i="1"/>
  <c r="A6944" i="1"/>
  <c r="B6944" i="1"/>
  <c r="C6944" i="1"/>
  <c r="D6944" i="1"/>
  <c r="E6944" i="1"/>
  <c r="F6944" i="1"/>
  <c r="G6944" i="1"/>
  <c r="H6944" i="1"/>
  <c r="I6944" i="1"/>
  <c r="J6944" i="1"/>
  <c r="K6944" i="1"/>
  <c r="L6944" i="1"/>
  <c r="A6945" i="1"/>
  <c r="B6945" i="1"/>
  <c r="C6945" i="1"/>
  <c r="D6945" i="1"/>
  <c r="E6945" i="1"/>
  <c r="F6945" i="1"/>
  <c r="G6945" i="1"/>
  <c r="H6945" i="1"/>
  <c r="I6945" i="1"/>
  <c r="J6945" i="1"/>
  <c r="K6945" i="1"/>
  <c r="L6945" i="1"/>
  <c r="A6946" i="1"/>
  <c r="B6946" i="1"/>
  <c r="C6946" i="1"/>
  <c r="D6946" i="1"/>
  <c r="E6946" i="1"/>
  <c r="F6946" i="1"/>
  <c r="G6946" i="1"/>
  <c r="H6946" i="1"/>
  <c r="I6946" i="1"/>
  <c r="J6946" i="1"/>
  <c r="K6946" i="1"/>
  <c r="L6946" i="1"/>
  <c r="A6947" i="1"/>
  <c r="B6947" i="1"/>
  <c r="C6947" i="1"/>
  <c r="D6947" i="1"/>
  <c r="E6947" i="1"/>
  <c r="F6947" i="1"/>
  <c r="G6947" i="1"/>
  <c r="H6947" i="1"/>
  <c r="I6947" i="1"/>
  <c r="J6947" i="1"/>
  <c r="K6947" i="1"/>
  <c r="L6947" i="1"/>
  <c r="A6948" i="1"/>
  <c r="B6948" i="1"/>
  <c r="C6948" i="1"/>
  <c r="D6948" i="1"/>
  <c r="E6948" i="1"/>
  <c r="F6948" i="1"/>
  <c r="G6948" i="1"/>
  <c r="H6948" i="1"/>
  <c r="I6948" i="1"/>
  <c r="J6948" i="1"/>
  <c r="K6948" i="1"/>
  <c r="L6948" i="1"/>
  <c r="A6949" i="1"/>
  <c r="B6949" i="1"/>
  <c r="C6949" i="1"/>
  <c r="D6949" i="1"/>
  <c r="E6949" i="1"/>
  <c r="F6949" i="1"/>
  <c r="G6949" i="1"/>
  <c r="H6949" i="1"/>
  <c r="I6949" i="1"/>
  <c r="J6949" i="1"/>
  <c r="K6949" i="1"/>
  <c r="L6949" i="1"/>
  <c r="A6950" i="1"/>
  <c r="B6950" i="1"/>
  <c r="C6950" i="1"/>
  <c r="D6950" i="1"/>
  <c r="E6950" i="1"/>
  <c r="F6950" i="1"/>
  <c r="G6950" i="1"/>
  <c r="H6950" i="1"/>
  <c r="I6950" i="1"/>
  <c r="J6950" i="1"/>
  <c r="K6950" i="1"/>
  <c r="L6950" i="1"/>
  <c r="A6951" i="1"/>
  <c r="B6951" i="1"/>
  <c r="C6951" i="1"/>
  <c r="D6951" i="1"/>
  <c r="E6951" i="1"/>
  <c r="F6951" i="1"/>
  <c r="G6951" i="1"/>
  <c r="H6951" i="1"/>
  <c r="I6951" i="1"/>
  <c r="J6951" i="1"/>
  <c r="K6951" i="1"/>
  <c r="L6951" i="1"/>
  <c r="A6952" i="1"/>
  <c r="B6952" i="1"/>
  <c r="C6952" i="1"/>
  <c r="D6952" i="1"/>
  <c r="E6952" i="1"/>
  <c r="F6952" i="1"/>
  <c r="G6952" i="1"/>
  <c r="H6952" i="1"/>
  <c r="I6952" i="1"/>
  <c r="J6952" i="1"/>
  <c r="K6952" i="1"/>
  <c r="L6952" i="1"/>
  <c r="A6953" i="1"/>
  <c r="B6953" i="1"/>
  <c r="C6953" i="1"/>
  <c r="D6953" i="1"/>
  <c r="E6953" i="1"/>
  <c r="F6953" i="1"/>
  <c r="G6953" i="1"/>
  <c r="H6953" i="1"/>
  <c r="I6953" i="1"/>
  <c r="J6953" i="1"/>
  <c r="K6953" i="1"/>
  <c r="L6953" i="1"/>
  <c r="A6954" i="1"/>
  <c r="B6954" i="1"/>
  <c r="C6954" i="1"/>
  <c r="D6954" i="1"/>
  <c r="E6954" i="1"/>
  <c r="F6954" i="1"/>
  <c r="G6954" i="1"/>
  <c r="H6954" i="1"/>
  <c r="I6954" i="1"/>
  <c r="J6954" i="1"/>
  <c r="K6954" i="1"/>
  <c r="L6954" i="1"/>
  <c r="A6955" i="1"/>
  <c r="B6955" i="1"/>
  <c r="C6955" i="1"/>
  <c r="D6955" i="1"/>
  <c r="E6955" i="1"/>
  <c r="F6955" i="1"/>
  <c r="G6955" i="1"/>
  <c r="H6955" i="1"/>
  <c r="I6955" i="1"/>
  <c r="J6955" i="1"/>
  <c r="K6955" i="1"/>
  <c r="L6955" i="1"/>
  <c r="A6956" i="1"/>
  <c r="B6956" i="1"/>
  <c r="C6956" i="1"/>
  <c r="D6956" i="1"/>
  <c r="E6956" i="1"/>
  <c r="F6956" i="1"/>
  <c r="G6956" i="1"/>
  <c r="H6956" i="1"/>
  <c r="I6956" i="1"/>
  <c r="J6956" i="1"/>
  <c r="K6956" i="1"/>
  <c r="L6956" i="1"/>
  <c r="A6957" i="1"/>
  <c r="B6957" i="1"/>
  <c r="C6957" i="1"/>
  <c r="D6957" i="1"/>
  <c r="E6957" i="1"/>
  <c r="F6957" i="1"/>
  <c r="G6957" i="1"/>
  <c r="H6957" i="1"/>
  <c r="I6957" i="1"/>
  <c r="J6957" i="1"/>
  <c r="K6957" i="1"/>
  <c r="L6957" i="1"/>
  <c r="A6958" i="1"/>
  <c r="B6958" i="1"/>
  <c r="C6958" i="1"/>
  <c r="D6958" i="1"/>
  <c r="E6958" i="1"/>
  <c r="F6958" i="1"/>
  <c r="G6958" i="1"/>
  <c r="H6958" i="1"/>
  <c r="I6958" i="1"/>
  <c r="J6958" i="1"/>
  <c r="K6958" i="1"/>
  <c r="L6958" i="1"/>
  <c r="A6959" i="1"/>
  <c r="B6959" i="1"/>
  <c r="C6959" i="1"/>
  <c r="D6959" i="1"/>
  <c r="E6959" i="1"/>
  <c r="F6959" i="1"/>
  <c r="G6959" i="1"/>
  <c r="H6959" i="1"/>
  <c r="I6959" i="1"/>
  <c r="J6959" i="1"/>
  <c r="K6959" i="1"/>
  <c r="L6959" i="1"/>
  <c r="A6960" i="1"/>
  <c r="B6960" i="1"/>
  <c r="C6960" i="1"/>
  <c r="D6960" i="1"/>
  <c r="E6960" i="1"/>
  <c r="F6960" i="1"/>
  <c r="G6960" i="1"/>
  <c r="H6960" i="1"/>
  <c r="I6960" i="1"/>
  <c r="J6960" i="1"/>
  <c r="K6960" i="1"/>
  <c r="L6960" i="1"/>
  <c r="A6961" i="1"/>
  <c r="B6961" i="1"/>
  <c r="C6961" i="1"/>
  <c r="D6961" i="1"/>
  <c r="E6961" i="1"/>
  <c r="F6961" i="1"/>
  <c r="G6961" i="1"/>
  <c r="H6961" i="1"/>
  <c r="I6961" i="1"/>
  <c r="J6961" i="1"/>
  <c r="K6961" i="1"/>
  <c r="L6961" i="1"/>
  <c r="A6962" i="1"/>
  <c r="B6962" i="1"/>
  <c r="C6962" i="1"/>
  <c r="D6962" i="1"/>
  <c r="E6962" i="1"/>
  <c r="F6962" i="1"/>
  <c r="G6962" i="1"/>
  <c r="H6962" i="1"/>
  <c r="I6962" i="1"/>
  <c r="J6962" i="1"/>
  <c r="K6962" i="1"/>
  <c r="L6962" i="1"/>
  <c r="A6963" i="1"/>
  <c r="B6963" i="1"/>
  <c r="C6963" i="1"/>
  <c r="D6963" i="1"/>
  <c r="E6963" i="1"/>
  <c r="F6963" i="1"/>
  <c r="G6963" i="1"/>
  <c r="H6963" i="1"/>
  <c r="I6963" i="1"/>
  <c r="J6963" i="1"/>
  <c r="K6963" i="1"/>
  <c r="L6963" i="1"/>
  <c r="A6964" i="1"/>
  <c r="B6964" i="1"/>
  <c r="C6964" i="1"/>
  <c r="D6964" i="1"/>
  <c r="E6964" i="1"/>
  <c r="F6964" i="1"/>
  <c r="G6964" i="1"/>
  <c r="H6964" i="1"/>
  <c r="I6964" i="1"/>
  <c r="J6964" i="1"/>
  <c r="K6964" i="1"/>
  <c r="L6964" i="1"/>
  <c r="A6965" i="1"/>
  <c r="B6965" i="1"/>
  <c r="C6965" i="1"/>
  <c r="D6965" i="1"/>
  <c r="E6965" i="1"/>
  <c r="F6965" i="1"/>
  <c r="G6965" i="1"/>
  <c r="H6965" i="1"/>
  <c r="I6965" i="1"/>
  <c r="J6965" i="1"/>
  <c r="K6965" i="1"/>
  <c r="L6965" i="1"/>
  <c r="A6966" i="1"/>
  <c r="B6966" i="1"/>
  <c r="C6966" i="1"/>
  <c r="D6966" i="1"/>
  <c r="E6966" i="1"/>
  <c r="F6966" i="1"/>
  <c r="G6966" i="1"/>
  <c r="H6966" i="1"/>
  <c r="I6966" i="1"/>
  <c r="J6966" i="1"/>
  <c r="K6966" i="1"/>
  <c r="L6966" i="1"/>
  <c r="A6967" i="1"/>
  <c r="B6967" i="1"/>
  <c r="C6967" i="1"/>
  <c r="D6967" i="1"/>
  <c r="E6967" i="1"/>
  <c r="F6967" i="1"/>
  <c r="G6967" i="1"/>
  <c r="H6967" i="1"/>
  <c r="I6967" i="1"/>
  <c r="J6967" i="1"/>
  <c r="K6967" i="1"/>
  <c r="L6967" i="1"/>
  <c r="A6968" i="1"/>
  <c r="B6968" i="1"/>
  <c r="C6968" i="1"/>
  <c r="D6968" i="1"/>
  <c r="E6968" i="1"/>
  <c r="F6968" i="1"/>
  <c r="G6968" i="1"/>
  <c r="H6968" i="1"/>
  <c r="I6968" i="1"/>
  <c r="J6968" i="1"/>
  <c r="K6968" i="1"/>
  <c r="L6968" i="1"/>
  <c r="A6969" i="1"/>
  <c r="B6969" i="1"/>
  <c r="C6969" i="1"/>
  <c r="D6969" i="1"/>
  <c r="E6969" i="1"/>
  <c r="F6969" i="1"/>
  <c r="G6969" i="1"/>
  <c r="H6969" i="1"/>
  <c r="I6969" i="1"/>
  <c r="J6969" i="1"/>
  <c r="K6969" i="1"/>
  <c r="L6969" i="1"/>
  <c r="A6970" i="1"/>
  <c r="B6970" i="1"/>
  <c r="C6970" i="1"/>
  <c r="D6970" i="1"/>
  <c r="E6970" i="1"/>
  <c r="F6970" i="1"/>
  <c r="G6970" i="1"/>
  <c r="H6970" i="1"/>
  <c r="I6970" i="1"/>
  <c r="J6970" i="1"/>
  <c r="K6970" i="1"/>
  <c r="L6970" i="1"/>
  <c r="A6971" i="1"/>
  <c r="B6971" i="1"/>
  <c r="C6971" i="1"/>
  <c r="D6971" i="1"/>
  <c r="E6971" i="1"/>
  <c r="F6971" i="1"/>
  <c r="G6971" i="1"/>
  <c r="H6971" i="1"/>
  <c r="I6971" i="1"/>
  <c r="J6971" i="1"/>
  <c r="K6971" i="1"/>
  <c r="L6971" i="1"/>
  <c r="A6972" i="1"/>
  <c r="B6972" i="1"/>
  <c r="C6972" i="1"/>
  <c r="D6972" i="1"/>
  <c r="E6972" i="1"/>
  <c r="F6972" i="1"/>
  <c r="G6972" i="1"/>
  <c r="H6972" i="1"/>
  <c r="I6972" i="1"/>
  <c r="J6972" i="1"/>
  <c r="K6972" i="1"/>
  <c r="L6972" i="1"/>
  <c r="A6973" i="1"/>
  <c r="B6973" i="1"/>
  <c r="C6973" i="1"/>
  <c r="D6973" i="1"/>
  <c r="E6973" i="1"/>
  <c r="F6973" i="1"/>
  <c r="G6973" i="1"/>
  <c r="H6973" i="1"/>
  <c r="I6973" i="1"/>
  <c r="J6973" i="1"/>
  <c r="K6973" i="1"/>
  <c r="L6973" i="1"/>
  <c r="A6974" i="1"/>
  <c r="B6974" i="1"/>
  <c r="C6974" i="1"/>
  <c r="D6974" i="1"/>
  <c r="E6974" i="1"/>
  <c r="F6974" i="1"/>
  <c r="G6974" i="1"/>
  <c r="H6974" i="1"/>
  <c r="I6974" i="1"/>
  <c r="J6974" i="1"/>
  <c r="K6974" i="1"/>
  <c r="L6974" i="1"/>
  <c r="A6975" i="1"/>
  <c r="B6975" i="1"/>
  <c r="C6975" i="1"/>
  <c r="D6975" i="1"/>
  <c r="E6975" i="1"/>
  <c r="F6975" i="1"/>
  <c r="G6975" i="1"/>
  <c r="H6975" i="1"/>
  <c r="I6975" i="1"/>
  <c r="J6975" i="1"/>
  <c r="K6975" i="1"/>
  <c r="L6975" i="1"/>
  <c r="A6976" i="1"/>
  <c r="B6976" i="1"/>
  <c r="C6976" i="1"/>
  <c r="D6976" i="1"/>
  <c r="E6976" i="1"/>
  <c r="F6976" i="1"/>
  <c r="G6976" i="1"/>
  <c r="H6976" i="1"/>
  <c r="I6976" i="1"/>
  <c r="J6976" i="1"/>
  <c r="K6976" i="1"/>
  <c r="L6976" i="1"/>
  <c r="A6977" i="1"/>
  <c r="B6977" i="1"/>
  <c r="C6977" i="1"/>
  <c r="D6977" i="1"/>
  <c r="E6977" i="1"/>
  <c r="F6977" i="1"/>
  <c r="G6977" i="1"/>
  <c r="H6977" i="1"/>
  <c r="I6977" i="1"/>
  <c r="J6977" i="1"/>
  <c r="K6977" i="1"/>
  <c r="L6977" i="1"/>
  <c r="A6978" i="1"/>
  <c r="B6978" i="1"/>
  <c r="C6978" i="1"/>
  <c r="D6978" i="1"/>
  <c r="E6978" i="1"/>
  <c r="F6978" i="1"/>
  <c r="G6978" i="1"/>
  <c r="H6978" i="1"/>
  <c r="I6978" i="1"/>
  <c r="J6978" i="1"/>
  <c r="K6978" i="1"/>
  <c r="L6978" i="1"/>
  <c r="A6979" i="1"/>
  <c r="B6979" i="1"/>
  <c r="C6979" i="1"/>
  <c r="D6979" i="1"/>
  <c r="E6979" i="1"/>
  <c r="F6979" i="1"/>
  <c r="G6979" i="1"/>
  <c r="H6979" i="1"/>
  <c r="I6979" i="1"/>
  <c r="J6979" i="1"/>
  <c r="K6979" i="1"/>
  <c r="L6979" i="1"/>
  <c r="A6980" i="1"/>
  <c r="B6980" i="1"/>
  <c r="C6980" i="1"/>
  <c r="D6980" i="1"/>
  <c r="E6980" i="1"/>
  <c r="F6980" i="1"/>
  <c r="G6980" i="1"/>
  <c r="H6980" i="1"/>
  <c r="I6980" i="1"/>
  <c r="J6980" i="1"/>
  <c r="K6980" i="1"/>
  <c r="L6980" i="1"/>
  <c r="A6981" i="1"/>
  <c r="B6981" i="1"/>
  <c r="C6981" i="1"/>
  <c r="D6981" i="1"/>
  <c r="E6981" i="1"/>
  <c r="F6981" i="1"/>
  <c r="G6981" i="1"/>
  <c r="H6981" i="1"/>
  <c r="I6981" i="1"/>
  <c r="J6981" i="1"/>
  <c r="K6981" i="1"/>
  <c r="L6981" i="1"/>
  <c r="A6982" i="1"/>
  <c r="B6982" i="1"/>
  <c r="C6982" i="1"/>
  <c r="D6982" i="1"/>
  <c r="E6982" i="1"/>
  <c r="F6982" i="1"/>
  <c r="G6982" i="1"/>
  <c r="H6982" i="1"/>
  <c r="I6982" i="1"/>
  <c r="J6982" i="1"/>
  <c r="K6982" i="1"/>
  <c r="L6982" i="1"/>
  <c r="A6983" i="1"/>
  <c r="B6983" i="1"/>
  <c r="C6983" i="1"/>
  <c r="D6983" i="1"/>
  <c r="E6983" i="1"/>
  <c r="F6983" i="1"/>
  <c r="G6983" i="1"/>
  <c r="H6983" i="1"/>
  <c r="I6983" i="1"/>
  <c r="J6983" i="1"/>
  <c r="K6983" i="1"/>
  <c r="L6983" i="1"/>
  <c r="A6984" i="1"/>
  <c r="B6984" i="1"/>
  <c r="C6984" i="1"/>
  <c r="D6984" i="1"/>
  <c r="E6984" i="1"/>
  <c r="F6984" i="1"/>
  <c r="G6984" i="1"/>
  <c r="H6984" i="1"/>
  <c r="I6984" i="1"/>
  <c r="J6984" i="1"/>
  <c r="K6984" i="1"/>
  <c r="L6984" i="1"/>
  <c r="A6985" i="1"/>
  <c r="B6985" i="1"/>
  <c r="C6985" i="1"/>
  <c r="D6985" i="1"/>
  <c r="E6985" i="1"/>
  <c r="F6985" i="1"/>
  <c r="G6985" i="1"/>
  <c r="H6985" i="1"/>
  <c r="I6985" i="1"/>
  <c r="J6985" i="1"/>
  <c r="K6985" i="1"/>
  <c r="L6985" i="1"/>
  <c r="A6986" i="1"/>
  <c r="B6986" i="1"/>
  <c r="C6986" i="1"/>
  <c r="D6986" i="1"/>
  <c r="E6986" i="1"/>
  <c r="F6986" i="1"/>
  <c r="G6986" i="1"/>
  <c r="H6986" i="1"/>
  <c r="I6986" i="1"/>
  <c r="J6986" i="1"/>
  <c r="K6986" i="1"/>
  <c r="L6986" i="1"/>
  <c r="A6987" i="1"/>
  <c r="B6987" i="1"/>
  <c r="C6987" i="1"/>
  <c r="D6987" i="1"/>
  <c r="E6987" i="1"/>
  <c r="F6987" i="1"/>
  <c r="G6987" i="1"/>
  <c r="H6987" i="1"/>
  <c r="I6987" i="1"/>
  <c r="J6987" i="1"/>
  <c r="K6987" i="1"/>
  <c r="L6987" i="1"/>
  <c r="A6988" i="1"/>
  <c r="B6988" i="1"/>
  <c r="C6988" i="1"/>
  <c r="D6988" i="1"/>
  <c r="E6988" i="1"/>
  <c r="F6988" i="1"/>
  <c r="G6988" i="1"/>
  <c r="H6988" i="1"/>
  <c r="I6988" i="1"/>
  <c r="J6988" i="1"/>
  <c r="K6988" i="1"/>
  <c r="L6988" i="1"/>
  <c r="A6989" i="1"/>
  <c r="B6989" i="1"/>
  <c r="C6989" i="1"/>
  <c r="D6989" i="1"/>
  <c r="E6989" i="1"/>
  <c r="F6989" i="1"/>
  <c r="G6989" i="1"/>
  <c r="H6989" i="1"/>
  <c r="I6989" i="1"/>
  <c r="J6989" i="1"/>
  <c r="K6989" i="1"/>
  <c r="L6989" i="1"/>
  <c r="A6990" i="1"/>
  <c r="B6990" i="1"/>
  <c r="C6990" i="1"/>
  <c r="D6990" i="1"/>
  <c r="E6990" i="1"/>
  <c r="F6990" i="1"/>
  <c r="G6990" i="1"/>
  <c r="H6990" i="1"/>
  <c r="I6990" i="1"/>
  <c r="J6990" i="1"/>
  <c r="K6990" i="1"/>
  <c r="L6990" i="1"/>
  <c r="A6991" i="1"/>
  <c r="B6991" i="1"/>
  <c r="C6991" i="1"/>
  <c r="D6991" i="1"/>
  <c r="E6991" i="1"/>
  <c r="F6991" i="1"/>
  <c r="G6991" i="1"/>
  <c r="H6991" i="1"/>
  <c r="I6991" i="1"/>
  <c r="J6991" i="1"/>
  <c r="K6991" i="1"/>
  <c r="L6991" i="1"/>
  <c r="A6992" i="1"/>
  <c r="B6992" i="1"/>
  <c r="C6992" i="1"/>
  <c r="D6992" i="1"/>
  <c r="E6992" i="1"/>
  <c r="F6992" i="1"/>
  <c r="G6992" i="1"/>
  <c r="H6992" i="1"/>
  <c r="I6992" i="1"/>
  <c r="J6992" i="1"/>
  <c r="K6992" i="1"/>
  <c r="L6992" i="1"/>
  <c r="A6993" i="1"/>
  <c r="B6993" i="1"/>
  <c r="C6993" i="1"/>
  <c r="D6993" i="1"/>
  <c r="E6993" i="1"/>
  <c r="F6993" i="1"/>
  <c r="G6993" i="1"/>
  <c r="H6993" i="1"/>
  <c r="I6993" i="1"/>
  <c r="J6993" i="1"/>
  <c r="K6993" i="1"/>
  <c r="L6993" i="1"/>
  <c r="A6994" i="1"/>
  <c r="B6994" i="1"/>
  <c r="C6994" i="1"/>
  <c r="D6994" i="1"/>
  <c r="E6994" i="1"/>
  <c r="F6994" i="1"/>
  <c r="G6994" i="1"/>
  <c r="H6994" i="1"/>
  <c r="I6994" i="1"/>
  <c r="J6994" i="1"/>
  <c r="K6994" i="1"/>
  <c r="L6994" i="1"/>
  <c r="A6995" i="1"/>
  <c r="B6995" i="1"/>
  <c r="C6995" i="1"/>
  <c r="D6995" i="1"/>
  <c r="E6995" i="1"/>
  <c r="F6995" i="1"/>
  <c r="G6995" i="1"/>
  <c r="H6995" i="1"/>
  <c r="I6995" i="1"/>
  <c r="J6995" i="1"/>
  <c r="K6995" i="1"/>
  <c r="L6995" i="1"/>
  <c r="A6996" i="1"/>
  <c r="B6996" i="1"/>
  <c r="C6996" i="1"/>
  <c r="D6996" i="1"/>
  <c r="E6996" i="1"/>
  <c r="F6996" i="1"/>
  <c r="G6996" i="1"/>
  <c r="H6996" i="1"/>
  <c r="I6996" i="1"/>
  <c r="J6996" i="1"/>
  <c r="K6996" i="1"/>
  <c r="L6996" i="1"/>
  <c r="A6997" i="1"/>
  <c r="B6997" i="1"/>
  <c r="C6997" i="1"/>
  <c r="D6997" i="1"/>
  <c r="E6997" i="1"/>
  <c r="F6997" i="1"/>
  <c r="G6997" i="1"/>
  <c r="H6997" i="1"/>
  <c r="I6997" i="1"/>
  <c r="J6997" i="1"/>
  <c r="K6997" i="1"/>
  <c r="L6997" i="1"/>
  <c r="A6998" i="1"/>
  <c r="B6998" i="1"/>
  <c r="C6998" i="1"/>
  <c r="D6998" i="1"/>
  <c r="E6998" i="1"/>
  <c r="F6998" i="1"/>
  <c r="G6998" i="1"/>
  <c r="H6998" i="1"/>
  <c r="I6998" i="1"/>
  <c r="J6998" i="1"/>
  <c r="K6998" i="1"/>
  <c r="L6998" i="1"/>
  <c r="A6999" i="1"/>
  <c r="B6999" i="1"/>
  <c r="C6999" i="1"/>
  <c r="D6999" i="1"/>
  <c r="E6999" i="1"/>
  <c r="F6999" i="1"/>
  <c r="G6999" i="1"/>
  <c r="H6999" i="1"/>
  <c r="I6999" i="1"/>
  <c r="J6999" i="1"/>
  <c r="K6999" i="1"/>
  <c r="L6999" i="1"/>
  <c r="A7000" i="1"/>
  <c r="B7000" i="1"/>
  <c r="C7000" i="1"/>
  <c r="D7000" i="1"/>
  <c r="E7000" i="1"/>
  <c r="F7000" i="1"/>
  <c r="G7000" i="1"/>
  <c r="H7000" i="1"/>
  <c r="I7000" i="1"/>
  <c r="J7000" i="1"/>
  <c r="K7000" i="1"/>
  <c r="L7000" i="1"/>
  <c r="A7001" i="1"/>
  <c r="B7001" i="1"/>
  <c r="C7001" i="1"/>
  <c r="D7001" i="1"/>
  <c r="E7001" i="1"/>
  <c r="F7001" i="1"/>
  <c r="G7001" i="1"/>
  <c r="H7001" i="1"/>
  <c r="I7001" i="1"/>
  <c r="J7001" i="1"/>
  <c r="K7001" i="1"/>
  <c r="L7001" i="1"/>
  <c r="A7002" i="1"/>
  <c r="B7002" i="1"/>
  <c r="C7002" i="1"/>
  <c r="D7002" i="1"/>
  <c r="E7002" i="1"/>
  <c r="F7002" i="1"/>
  <c r="G7002" i="1"/>
  <c r="H7002" i="1"/>
  <c r="I7002" i="1"/>
  <c r="J7002" i="1"/>
  <c r="K7002" i="1"/>
  <c r="L7002" i="1"/>
  <c r="A7003" i="1"/>
  <c r="B7003" i="1"/>
  <c r="C7003" i="1"/>
  <c r="D7003" i="1"/>
  <c r="E7003" i="1"/>
  <c r="F7003" i="1"/>
  <c r="G7003" i="1"/>
  <c r="H7003" i="1"/>
  <c r="I7003" i="1"/>
  <c r="J7003" i="1"/>
  <c r="K7003" i="1"/>
  <c r="L7003" i="1"/>
  <c r="A7004" i="1"/>
  <c r="B7004" i="1"/>
  <c r="C7004" i="1"/>
  <c r="D7004" i="1"/>
  <c r="E7004" i="1"/>
  <c r="F7004" i="1"/>
  <c r="G7004" i="1"/>
  <c r="H7004" i="1"/>
  <c r="I7004" i="1"/>
  <c r="J7004" i="1"/>
  <c r="K7004" i="1"/>
  <c r="L7004" i="1"/>
  <c r="A7005" i="1"/>
  <c r="B7005" i="1"/>
  <c r="C7005" i="1"/>
  <c r="D7005" i="1"/>
  <c r="E7005" i="1"/>
  <c r="F7005" i="1"/>
  <c r="G7005" i="1"/>
  <c r="H7005" i="1"/>
  <c r="I7005" i="1"/>
  <c r="J7005" i="1"/>
  <c r="K7005" i="1"/>
  <c r="L7005" i="1"/>
  <c r="A7006" i="1"/>
  <c r="B7006" i="1"/>
  <c r="C7006" i="1"/>
  <c r="D7006" i="1"/>
  <c r="E7006" i="1"/>
  <c r="F7006" i="1"/>
  <c r="G7006" i="1"/>
  <c r="H7006" i="1"/>
  <c r="I7006" i="1"/>
  <c r="J7006" i="1"/>
  <c r="K7006" i="1"/>
  <c r="L7006" i="1"/>
  <c r="A7007" i="1"/>
  <c r="B7007" i="1"/>
  <c r="C7007" i="1"/>
  <c r="D7007" i="1"/>
  <c r="E7007" i="1"/>
  <c r="F7007" i="1"/>
  <c r="G7007" i="1"/>
  <c r="H7007" i="1"/>
  <c r="I7007" i="1"/>
  <c r="J7007" i="1"/>
  <c r="K7007" i="1"/>
  <c r="L7007" i="1"/>
  <c r="A7008" i="1"/>
  <c r="B7008" i="1"/>
  <c r="C7008" i="1"/>
  <c r="D7008" i="1"/>
  <c r="E7008" i="1"/>
  <c r="F7008" i="1"/>
  <c r="G7008" i="1"/>
  <c r="H7008" i="1"/>
  <c r="I7008" i="1"/>
  <c r="J7008" i="1"/>
  <c r="K7008" i="1"/>
  <c r="L7008" i="1"/>
  <c r="A7009" i="1"/>
  <c r="B7009" i="1"/>
  <c r="C7009" i="1"/>
  <c r="D7009" i="1"/>
  <c r="E7009" i="1"/>
  <c r="F7009" i="1"/>
  <c r="G7009" i="1"/>
  <c r="H7009" i="1"/>
  <c r="I7009" i="1"/>
  <c r="J7009" i="1"/>
  <c r="K7009" i="1"/>
  <c r="L7009" i="1"/>
  <c r="A7010" i="1"/>
  <c r="B7010" i="1"/>
  <c r="C7010" i="1"/>
  <c r="D7010" i="1"/>
  <c r="E7010" i="1"/>
  <c r="F7010" i="1"/>
  <c r="G7010" i="1"/>
  <c r="H7010" i="1"/>
  <c r="I7010" i="1"/>
  <c r="J7010" i="1"/>
  <c r="K7010" i="1"/>
  <c r="L7010" i="1"/>
  <c r="A7011" i="1"/>
  <c r="B7011" i="1"/>
  <c r="C7011" i="1"/>
  <c r="D7011" i="1"/>
  <c r="E7011" i="1"/>
  <c r="F7011" i="1"/>
  <c r="G7011" i="1"/>
  <c r="H7011" i="1"/>
  <c r="I7011" i="1"/>
  <c r="J7011" i="1"/>
  <c r="K7011" i="1"/>
  <c r="L7011" i="1"/>
  <c r="A7012" i="1"/>
  <c r="B7012" i="1"/>
  <c r="C7012" i="1"/>
  <c r="D7012" i="1"/>
  <c r="E7012" i="1"/>
  <c r="F7012" i="1"/>
  <c r="G7012" i="1"/>
  <c r="H7012" i="1"/>
  <c r="I7012" i="1"/>
  <c r="J7012" i="1"/>
  <c r="K7012" i="1"/>
  <c r="L7012" i="1"/>
  <c r="A7013" i="1"/>
  <c r="B7013" i="1"/>
  <c r="C7013" i="1"/>
  <c r="D7013" i="1"/>
  <c r="E7013" i="1"/>
  <c r="F7013" i="1"/>
  <c r="G7013" i="1"/>
  <c r="H7013" i="1"/>
  <c r="I7013" i="1"/>
  <c r="J7013" i="1"/>
  <c r="K7013" i="1"/>
  <c r="L7013" i="1"/>
  <c r="A7014" i="1"/>
  <c r="B7014" i="1"/>
  <c r="C7014" i="1"/>
  <c r="D7014" i="1"/>
  <c r="E7014" i="1"/>
  <c r="F7014" i="1"/>
  <c r="G7014" i="1"/>
  <c r="H7014" i="1"/>
  <c r="I7014" i="1"/>
  <c r="J7014" i="1"/>
  <c r="K7014" i="1"/>
  <c r="L7014" i="1"/>
  <c r="A7015" i="1"/>
  <c r="B7015" i="1"/>
  <c r="C7015" i="1"/>
  <c r="D7015" i="1"/>
  <c r="E7015" i="1"/>
  <c r="F7015" i="1"/>
  <c r="G7015" i="1"/>
  <c r="H7015" i="1"/>
  <c r="I7015" i="1"/>
  <c r="J7015" i="1"/>
  <c r="K7015" i="1"/>
  <c r="L7015" i="1"/>
  <c r="A7016" i="1"/>
  <c r="B7016" i="1"/>
  <c r="C7016" i="1"/>
  <c r="D7016" i="1"/>
  <c r="E7016" i="1"/>
  <c r="F7016" i="1"/>
  <c r="G7016" i="1"/>
  <c r="H7016" i="1"/>
  <c r="I7016" i="1"/>
  <c r="J7016" i="1"/>
  <c r="K7016" i="1"/>
  <c r="L7016" i="1"/>
  <c r="A7017" i="1"/>
  <c r="B7017" i="1"/>
  <c r="C7017" i="1"/>
  <c r="D7017" i="1"/>
  <c r="E7017" i="1"/>
  <c r="F7017" i="1"/>
  <c r="G7017" i="1"/>
  <c r="H7017" i="1"/>
  <c r="I7017" i="1"/>
  <c r="J7017" i="1"/>
  <c r="K7017" i="1"/>
  <c r="L7017" i="1"/>
  <c r="A7018" i="1"/>
  <c r="B7018" i="1"/>
  <c r="C7018" i="1"/>
  <c r="D7018" i="1"/>
  <c r="E7018" i="1"/>
  <c r="F7018" i="1"/>
  <c r="G7018" i="1"/>
  <c r="H7018" i="1"/>
  <c r="I7018" i="1"/>
  <c r="J7018" i="1"/>
  <c r="K7018" i="1"/>
  <c r="L7018" i="1"/>
  <c r="A7019" i="1"/>
  <c r="B7019" i="1"/>
  <c r="C7019" i="1"/>
  <c r="D7019" i="1"/>
  <c r="E7019" i="1"/>
  <c r="F7019" i="1"/>
  <c r="G7019" i="1"/>
  <c r="H7019" i="1"/>
  <c r="I7019" i="1"/>
  <c r="J7019" i="1"/>
  <c r="K7019" i="1"/>
  <c r="L7019" i="1"/>
  <c r="A7020" i="1"/>
  <c r="B7020" i="1"/>
  <c r="C7020" i="1"/>
  <c r="D7020" i="1"/>
  <c r="E7020" i="1"/>
  <c r="F7020" i="1"/>
  <c r="G7020" i="1"/>
  <c r="H7020" i="1"/>
  <c r="I7020" i="1"/>
  <c r="J7020" i="1"/>
  <c r="K7020" i="1"/>
  <c r="L7020" i="1"/>
  <c r="A7021" i="1"/>
  <c r="B7021" i="1"/>
  <c r="C7021" i="1"/>
  <c r="D7021" i="1"/>
  <c r="E7021" i="1"/>
  <c r="F7021" i="1"/>
  <c r="G7021" i="1"/>
  <c r="H7021" i="1"/>
  <c r="I7021" i="1"/>
  <c r="J7021" i="1"/>
  <c r="K7021" i="1"/>
  <c r="L7021" i="1"/>
  <c r="A7022" i="1"/>
  <c r="B7022" i="1"/>
  <c r="C7022" i="1"/>
  <c r="D7022" i="1"/>
  <c r="E7022" i="1"/>
  <c r="F7022" i="1"/>
  <c r="G7022" i="1"/>
  <c r="H7022" i="1"/>
  <c r="I7022" i="1"/>
  <c r="J7022" i="1"/>
  <c r="K7022" i="1"/>
  <c r="L7022" i="1"/>
  <c r="A7023" i="1"/>
  <c r="B7023" i="1"/>
  <c r="C7023" i="1"/>
  <c r="D7023" i="1"/>
  <c r="E7023" i="1"/>
  <c r="F7023" i="1"/>
  <c r="G7023" i="1"/>
  <c r="H7023" i="1"/>
  <c r="I7023" i="1"/>
  <c r="J7023" i="1"/>
  <c r="K7023" i="1"/>
  <c r="L7023" i="1"/>
  <c r="A7024" i="1"/>
  <c r="B7024" i="1"/>
  <c r="C7024" i="1"/>
  <c r="D7024" i="1"/>
  <c r="E7024" i="1"/>
  <c r="F7024" i="1"/>
  <c r="G7024" i="1"/>
  <c r="H7024" i="1"/>
  <c r="I7024" i="1"/>
  <c r="J7024" i="1"/>
  <c r="K7024" i="1"/>
  <c r="L7024" i="1"/>
  <c r="A7025" i="1"/>
  <c r="B7025" i="1"/>
  <c r="C7025" i="1"/>
  <c r="D7025" i="1"/>
  <c r="E7025" i="1"/>
  <c r="F7025" i="1"/>
  <c r="G7025" i="1"/>
  <c r="H7025" i="1"/>
  <c r="I7025" i="1"/>
  <c r="J7025" i="1"/>
  <c r="K7025" i="1"/>
  <c r="L7025" i="1"/>
  <c r="A7026" i="1"/>
  <c r="B7026" i="1"/>
  <c r="C7026" i="1"/>
  <c r="D7026" i="1"/>
  <c r="E7026" i="1"/>
  <c r="F7026" i="1"/>
  <c r="G7026" i="1"/>
  <c r="H7026" i="1"/>
  <c r="I7026" i="1"/>
  <c r="J7026" i="1"/>
  <c r="K7026" i="1"/>
  <c r="L7026" i="1"/>
  <c r="A7027" i="1"/>
  <c r="B7027" i="1"/>
  <c r="C7027" i="1"/>
  <c r="D7027" i="1"/>
  <c r="E7027" i="1"/>
  <c r="F7027" i="1"/>
  <c r="G7027" i="1"/>
  <c r="H7027" i="1"/>
  <c r="I7027" i="1"/>
  <c r="J7027" i="1"/>
  <c r="K7027" i="1"/>
  <c r="L7027" i="1"/>
  <c r="A7028" i="1"/>
  <c r="B7028" i="1"/>
  <c r="C7028" i="1"/>
  <c r="D7028" i="1"/>
  <c r="E7028" i="1"/>
  <c r="F7028" i="1"/>
  <c r="G7028" i="1"/>
  <c r="H7028" i="1"/>
  <c r="I7028" i="1"/>
  <c r="J7028" i="1"/>
  <c r="K7028" i="1"/>
  <c r="L7028" i="1"/>
  <c r="A7029" i="1"/>
  <c r="B7029" i="1"/>
  <c r="C7029" i="1"/>
  <c r="D7029" i="1"/>
  <c r="E7029" i="1"/>
  <c r="F7029" i="1"/>
  <c r="G7029" i="1"/>
  <c r="H7029" i="1"/>
  <c r="I7029" i="1"/>
  <c r="J7029" i="1"/>
  <c r="K7029" i="1"/>
  <c r="L7029" i="1"/>
  <c r="A7030" i="1"/>
  <c r="B7030" i="1"/>
  <c r="C7030" i="1"/>
  <c r="D7030" i="1"/>
  <c r="E7030" i="1"/>
  <c r="F7030" i="1"/>
  <c r="G7030" i="1"/>
  <c r="H7030" i="1"/>
  <c r="I7030" i="1"/>
  <c r="J7030" i="1"/>
  <c r="K7030" i="1"/>
  <c r="L7030" i="1"/>
  <c r="A7031" i="1"/>
  <c r="B7031" i="1"/>
  <c r="C7031" i="1"/>
  <c r="D7031" i="1"/>
  <c r="E7031" i="1"/>
  <c r="F7031" i="1"/>
  <c r="G7031" i="1"/>
  <c r="H7031" i="1"/>
  <c r="I7031" i="1"/>
  <c r="J7031" i="1"/>
  <c r="K7031" i="1"/>
  <c r="L7031" i="1"/>
  <c r="A7032" i="1"/>
  <c r="B7032" i="1"/>
  <c r="C7032" i="1"/>
  <c r="D7032" i="1"/>
  <c r="E7032" i="1"/>
  <c r="F7032" i="1"/>
  <c r="G7032" i="1"/>
  <c r="H7032" i="1"/>
  <c r="I7032" i="1"/>
  <c r="J7032" i="1"/>
  <c r="K7032" i="1"/>
  <c r="L7032" i="1"/>
  <c r="A7033" i="1"/>
  <c r="B7033" i="1"/>
  <c r="C7033" i="1"/>
  <c r="D7033" i="1"/>
  <c r="E7033" i="1"/>
  <c r="F7033" i="1"/>
  <c r="G7033" i="1"/>
  <c r="H7033" i="1"/>
  <c r="I7033" i="1"/>
  <c r="J7033" i="1"/>
  <c r="K7033" i="1"/>
  <c r="L7033" i="1"/>
  <c r="A7034" i="1"/>
  <c r="B7034" i="1"/>
  <c r="C7034" i="1"/>
  <c r="D7034" i="1"/>
  <c r="E7034" i="1"/>
  <c r="F7034" i="1"/>
  <c r="G7034" i="1"/>
  <c r="H7034" i="1"/>
  <c r="I7034" i="1"/>
  <c r="J7034" i="1"/>
  <c r="K7034" i="1"/>
  <c r="L7034" i="1"/>
  <c r="A7035" i="1"/>
  <c r="B7035" i="1"/>
  <c r="C7035" i="1"/>
  <c r="D7035" i="1"/>
  <c r="E7035" i="1"/>
  <c r="F7035" i="1"/>
  <c r="G7035" i="1"/>
  <c r="H7035" i="1"/>
  <c r="I7035" i="1"/>
  <c r="J7035" i="1"/>
  <c r="K7035" i="1"/>
  <c r="L7035" i="1"/>
  <c r="A7036" i="1"/>
  <c r="B7036" i="1"/>
  <c r="C7036" i="1"/>
  <c r="D7036" i="1"/>
  <c r="E7036" i="1"/>
  <c r="F7036" i="1"/>
  <c r="G7036" i="1"/>
  <c r="H7036" i="1"/>
  <c r="I7036" i="1"/>
  <c r="J7036" i="1"/>
  <c r="K7036" i="1"/>
  <c r="L7036" i="1"/>
  <c r="A7037" i="1"/>
  <c r="B7037" i="1"/>
  <c r="C7037" i="1"/>
  <c r="D7037" i="1"/>
  <c r="E7037" i="1"/>
  <c r="F7037" i="1"/>
  <c r="G7037" i="1"/>
  <c r="H7037" i="1"/>
  <c r="I7037" i="1"/>
  <c r="J7037" i="1"/>
  <c r="K7037" i="1"/>
  <c r="L7037" i="1"/>
  <c r="A7038" i="1"/>
  <c r="B7038" i="1"/>
  <c r="C7038" i="1"/>
  <c r="D7038" i="1"/>
  <c r="E7038" i="1"/>
  <c r="F7038" i="1"/>
  <c r="G7038" i="1"/>
  <c r="H7038" i="1"/>
  <c r="I7038" i="1"/>
  <c r="J7038" i="1"/>
  <c r="K7038" i="1"/>
  <c r="L7038" i="1"/>
  <c r="A7039" i="1"/>
  <c r="B7039" i="1"/>
  <c r="C7039" i="1"/>
  <c r="D7039" i="1"/>
  <c r="E7039" i="1"/>
  <c r="F7039" i="1"/>
  <c r="G7039" i="1"/>
  <c r="H7039" i="1"/>
  <c r="I7039" i="1"/>
  <c r="J7039" i="1"/>
  <c r="K7039" i="1"/>
  <c r="L7039" i="1"/>
  <c r="A7040" i="1"/>
  <c r="B7040" i="1"/>
  <c r="C7040" i="1"/>
  <c r="D7040" i="1"/>
  <c r="E7040" i="1"/>
  <c r="F7040" i="1"/>
  <c r="G7040" i="1"/>
  <c r="H7040" i="1"/>
  <c r="I7040" i="1"/>
  <c r="J7040" i="1"/>
  <c r="K7040" i="1"/>
  <c r="L7040" i="1"/>
  <c r="A7041" i="1"/>
  <c r="B7041" i="1"/>
  <c r="C7041" i="1"/>
  <c r="D7041" i="1"/>
  <c r="E7041" i="1"/>
  <c r="F7041" i="1"/>
  <c r="G7041" i="1"/>
  <c r="H7041" i="1"/>
  <c r="I7041" i="1"/>
  <c r="J7041" i="1"/>
  <c r="K7041" i="1"/>
  <c r="L7041" i="1"/>
  <c r="A7042" i="1"/>
  <c r="B7042" i="1"/>
  <c r="C7042" i="1"/>
  <c r="D7042" i="1"/>
  <c r="E7042" i="1"/>
  <c r="F7042" i="1"/>
  <c r="G7042" i="1"/>
  <c r="H7042" i="1"/>
  <c r="I7042" i="1"/>
  <c r="J7042" i="1"/>
  <c r="K7042" i="1"/>
  <c r="L7042" i="1"/>
  <c r="A7043" i="1"/>
  <c r="B7043" i="1"/>
  <c r="C7043" i="1"/>
  <c r="D7043" i="1"/>
  <c r="E7043" i="1"/>
  <c r="F7043" i="1"/>
  <c r="G7043" i="1"/>
  <c r="H7043" i="1"/>
  <c r="I7043" i="1"/>
  <c r="J7043" i="1"/>
  <c r="K7043" i="1"/>
  <c r="L7043" i="1"/>
  <c r="A7044" i="1"/>
  <c r="B7044" i="1"/>
  <c r="C7044" i="1"/>
  <c r="D7044" i="1"/>
  <c r="E7044" i="1"/>
  <c r="F7044" i="1"/>
  <c r="G7044" i="1"/>
  <c r="H7044" i="1"/>
  <c r="I7044" i="1"/>
  <c r="J7044" i="1"/>
  <c r="K7044" i="1"/>
  <c r="L7044" i="1"/>
  <c r="A7045" i="1"/>
  <c r="B7045" i="1"/>
  <c r="C7045" i="1"/>
  <c r="D7045" i="1"/>
  <c r="E7045" i="1"/>
  <c r="F7045" i="1"/>
  <c r="G7045" i="1"/>
  <c r="H7045" i="1"/>
  <c r="I7045" i="1"/>
  <c r="J7045" i="1"/>
  <c r="K7045" i="1"/>
  <c r="L7045" i="1"/>
  <c r="A7046" i="1"/>
  <c r="B7046" i="1"/>
  <c r="C7046" i="1"/>
  <c r="D7046" i="1"/>
  <c r="E7046" i="1"/>
  <c r="F7046" i="1"/>
  <c r="G7046" i="1"/>
  <c r="H7046" i="1"/>
  <c r="I7046" i="1"/>
  <c r="J7046" i="1"/>
  <c r="K7046" i="1"/>
  <c r="L7046" i="1"/>
  <c r="A7047" i="1"/>
  <c r="B7047" i="1"/>
  <c r="C7047" i="1"/>
  <c r="D7047" i="1"/>
  <c r="E7047" i="1"/>
  <c r="F7047" i="1"/>
  <c r="G7047" i="1"/>
  <c r="H7047" i="1"/>
  <c r="I7047" i="1"/>
  <c r="J7047" i="1"/>
  <c r="K7047" i="1"/>
  <c r="L7047" i="1"/>
  <c r="A7048" i="1"/>
  <c r="B7048" i="1"/>
  <c r="C7048" i="1"/>
  <c r="D7048" i="1"/>
  <c r="E7048" i="1"/>
  <c r="F7048" i="1"/>
  <c r="G7048" i="1"/>
  <c r="H7048" i="1"/>
  <c r="I7048" i="1"/>
  <c r="J7048" i="1"/>
  <c r="K7048" i="1"/>
  <c r="L7048" i="1"/>
  <c r="A7049" i="1"/>
  <c r="B7049" i="1"/>
  <c r="C7049" i="1"/>
  <c r="D7049" i="1"/>
  <c r="E7049" i="1"/>
  <c r="F7049" i="1"/>
  <c r="G7049" i="1"/>
  <c r="H7049" i="1"/>
  <c r="I7049" i="1"/>
  <c r="J7049" i="1"/>
  <c r="K7049" i="1"/>
  <c r="L7049" i="1"/>
  <c r="A7050" i="1"/>
  <c r="B7050" i="1"/>
  <c r="C7050" i="1"/>
  <c r="D7050" i="1"/>
  <c r="E7050" i="1"/>
  <c r="F7050" i="1"/>
  <c r="G7050" i="1"/>
  <c r="H7050" i="1"/>
  <c r="I7050" i="1"/>
  <c r="J7050" i="1"/>
  <c r="K7050" i="1"/>
  <c r="L7050" i="1"/>
  <c r="A7051" i="1"/>
  <c r="B7051" i="1"/>
  <c r="C7051" i="1"/>
  <c r="D7051" i="1"/>
  <c r="E7051" i="1"/>
  <c r="F7051" i="1"/>
  <c r="G7051" i="1"/>
  <c r="H7051" i="1"/>
  <c r="I7051" i="1"/>
  <c r="J7051" i="1"/>
  <c r="K7051" i="1"/>
  <c r="L7051" i="1"/>
  <c r="A7052" i="1"/>
  <c r="B7052" i="1"/>
  <c r="C7052" i="1"/>
  <c r="D7052" i="1"/>
  <c r="E7052" i="1"/>
  <c r="F7052" i="1"/>
  <c r="G7052" i="1"/>
  <c r="H7052" i="1"/>
  <c r="I7052" i="1"/>
  <c r="J7052" i="1"/>
  <c r="K7052" i="1"/>
  <c r="L7052" i="1"/>
  <c r="A7053" i="1"/>
  <c r="B7053" i="1"/>
  <c r="C7053" i="1"/>
  <c r="D7053" i="1"/>
  <c r="E7053" i="1"/>
  <c r="F7053" i="1"/>
  <c r="G7053" i="1"/>
  <c r="H7053" i="1"/>
  <c r="I7053" i="1"/>
  <c r="J7053" i="1"/>
  <c r="K7053" i="1"/>
  <c r="L7053" i="1"/>
  <c r="A7054" i="1"/>
  <c r="B7054" i="1"/>
  <c r="C7054" i="1"/>
  <c r="D7054" i="1"/>
  <c r="E7054" i="1"/>
  <c r="F7054" i="1"/>
  <c r="G7054" i="1"/>
  <c r="H7054" i="1"/>
  <c r="I7054" i="1"/>
  <c r="J7054" i="1"/>
  <c r="K7054" i="1"/>
  <c r="L7054" i="1"/>
  <c r="A7055" i="1"/>
  <c r="B7055" i="1"/>
  <c r="C7055" i="1"/>
  <c r="D7055" i="1"/>
  <c r="E7055" i="1"/>
  <c r="F7055" i="1"/>
  <c r="G7055" i="1"/>
  <c r="H7055" i="1"/>
  <c r="I7055" i="1"/>
  <c r="J7055" i="1"/>
  <c r="K7055" i="1"/>
  <c r="L7055" i="1"/>
  <c r="A7056" i="1"/>
  <c r="B7056" i="1"/>
  <c r="C7056" i="1"/>
  <c r="D7056" i="1"/>
  <c r="E7056" i="1"/>
  <c r="F7056" i="1"/>
  <c r="G7056" i="1"/>
  <c r="H7056" i="1"/>
  <c r="I7056" i="1"/>
  <c r="J7056" i="1"/>
  <c r="K7056" i="1"/>
  <c r="L7056" i="1"/>
  <c r="A7057" i="1"/>
  <c r="B7057" i="1"/>
  <c r="C7057" i="1"/>
  <c r="D7057" i="1"/>
  <c r="E7057" i="1"/>
  <c r="F7057" i="1"/>
  <c r="G7057" i="1"/>
  <c r="H7057" i="1"/>
  <c r="I7057" i="1"/>
  <c r="J7057" i="1"/>
  <c r="K7057" i="1"/>
  <c r="L7057" i="1"/>
  <c r="A7058" i="1"/>
  <c r="B7058" i="1"/>
  <c r="C7058" i="1"/>
  <c r="D7058" i="1"/>
  <c r="E7058" i="1"/>
  <c r="F7058" i="1"/>
  <c r="G7058" i="1"/>
  <c r="H7058" i="1"/>
  <c r="I7058" i="1"/>
  <c r="J7058" i="1"/>
  <c r="K7058" i="1"/>
  <c r="L7058" i="1"/>
  <c r="A7059" i="1"/>
  <c r="B7059" i="1"/>
  <c r="C7059" i="1"/>
  <c r="D7059" i="1"/>
  <c r="E7059" i="1"/>
  <c r="F7059" i="1"/>
  <c r="G7059" i="1"/>
  <c r="H7059" i="1"/>
  <c r="I7059" i="1"/>
  <c r="J7059" i="1"/>
  <c r="K7059" i="1"/>
  <c r="L7059" i="1"/>
  <c r="A7060" i="1"/>
  <c r="B7060" i="1"/>
  <c r="C7060" i="1"/>
  <c r="D7060" i="1"/>
  <c r="E7060" i="1"/>
  <c r="F7060" i="1"/>
  <c r="G7060" i="1"/>
  <c r="H7060" i="1"/>
  <c r="I7060" i="1"/>
  <c r="J7060" i="1"/>
  <c r="K7060" i="1"/>
  <c r="L7060" i="1"/>
  <c r="A7061" i="1"/>
  <c r="B7061" i="1"/>
  <c r="C7061" i="1"/>
  <c r="D7061" i="1"/>
  <c r="E7061" i="1"/>
  <c r="F7061" i="1"/>
  <c r="G7061" i="1"/>
  <c r="H7061" i="1"/>
  <c r="I7061" i="1"/>
  <c r="J7061" i="1"/>
  <c r="K7061" i="1"/>
  <c r="L7061" i="1"/>
  <c r="A7062" i="1"/>
  <c r="B7062" i="1"/>
  <c r="C7062" i="1"/>
  <c r="D7062" i="1"/>
  <c r="E7062" i="1"/>
  <c r="F7062" i="1"/>
  <c r="G7062" i="1"/>
  <c r="H7062" i="1"/>
  <c r="I7062" i="1"/>
  <c r="J7062" i="1"/>
  <c r="K7062" i="1"/>
  <c r="L7062" i="1"/>
  <c r="A7063" i="1"/>
  <c r="B7063" i="1"/>
  <c r="C7063" i="1"/>
  <c r="D7063" i="1"/>
  <c r="E7063" i="1"/>
  <c r="F7063" i="1"/>
  <c r="G7063" i="1"/>
  <c r="H7063" i="1"/>
  <c r="I7063" i="1"/>
  <c r="J7063" i="1"/>
  <c r="K7063" i="1"/>
  <c r="L7063" i="1"/>
  <c r="A7064" i="1"/>
  <c r="B7064" i="1"/>
  <c r="C7064" i="1"/>
  <c r="D7064" i="1"/>
  <c r="E7064" i="1"/>
  <c r="F7064" i="1"/>
  <c r="G7064" i="1"/>
  <c r="H7064" i="1"/>
  <c r="I7064" i="1"/>
  <c r="J7064" i="1"/>
  <c r="K7064" i="1"/>
  <c r="L7064" i="1"/>
  <c r="A7065" i="1"/>
  <c r="B7065" i="1"/>
  <c r="C7065" i="1"/>
  <c r="D7065" i="1"/>
  <c r="E7065" i="1"/>
  <c r="F7065" i="1"/>
  <c r="G7065" i="1"/>
  <c r="H7065" i="1"/>
  <c r="I7065" i="1"/>
  <c r="J7065" i="1"/>
  <c r="K7065" i="1"/>
  <c r="L7065" i="1"/>
  <c r="A7066" i="1"/>
  <c r="B7066" i="1"/>
  <c r="C7066" i="1"/>
  <c r="D7066" i="1"/>
  <c r="E7066" i="1"/>
  <c r="F7066" i="1"/>
  <c r="G7066" i="1"/>
  <c r="H7066" i="1"/>
  <c r="I7066" i="1"/>
  <c r="J7066" i="1"/>
  <c r="K7066" i="1"/>
  <c r="L7066" i="1"/>
  <c r="A7067" i="1"/>
  <c r="B7067" i="1"/>
  <c r="C7067" i="1"/>
  <c r="D7067" i="1"/>
  <c r="E7067" i="1"/>
  <c r="F7067" i="1"/>
  <c r="G7067" i="1"/>
  <c r="H7067" i="1"/>
  <c r="I7067" i="1"/>
  <c r="J7067" i="1"/>
  <c r="K7067" i="1"/>
  <c r="L7067" i="1"/>
  <c r="A7068" i="1"/>
  <c r="B7068" i="1"/>
  <c r="C7068" i="1"/>
  <c r="D7068" i="1"/>
  <c r="E7068" i="1"/>
  <c r="F7068" i="1"/>
  <c r="G7068" i="1"/>
  <c r="H7068" i="1"/>
  <c r="I7068" i="1"/>
  <c r="J7068" i="1"/>
  <c r="K7068" i="1"/>
  <c r="L7068" i="1"/>
  <c r="A7069" i="1"/>
  <c r="B7069" i="1"/>
  <c r="C7069" i="1"/>
  <c r="D7069" i="1"/>
  <c r="E7069" i="1"/>
  <c r="F7069" i="1"/>
  <c r="G7069" i="1"/>
  <c r="H7069" i="1"/>
  <c r="I7069" i="1"/>
  <c r="J7069" i="1"/>
  <c r="K7069" i="1"/>
  <c r="L7069" i="1"/>
  <c r="A7070" i="1"/>
  <c r="B7070" i="1"/>
  <c r="C7070" i="1"/>
  <c r="D7070" i="1"/>
  <c r="E7070" i="1"/>
  <c r="F7070" i="1"/>
  <c r="G7070" i="1"/>
  <c r="H7070" i="1"/>
  <c r="I7070" i="1"/>
  <c r="J7070" i="1"/>
  <c r="K7070" i="1"/>
  <c r="L7070" i="1"/>
  <c r="A7071" i="1"/>
  <c r="B7071" i="1"/>
  <c r="C7071" i="1"/>
  <c r="D7071" i="1"/>
  <c r="E7071" i="1"/>
  <c r="F7071" i="1"/>
  <c r="G7071" i="1"/>
  <c r="H7071" i="1"/>
  <c r="I7071" i="1"/>
  <c r="J7071" i="1"/>
  <c r="K7071" i="1"/>
  <c r="L7071" i="1"/>
  <c r="A7072" i="1"/>
  <c r="B7072" i="1"/>
  <c r="C7072" i="1"/>
  <c r="D7072" i="1"/>
  <c r="E7072" i="1"/>
  <c r="F7072" i="1"/>
  <c r="G7072" i="1"/>
  <c r="H7072" i="1"/>
  <c r="I7072" i="1"/>
  <c r="J7072" i="1"/>
  <c r="K7072" i="1"/>
  <c r="L7072" i="1"/>
  <c r="A7073" i="1"/>
  <c r="B7073" i="1"/>
  <c r="C7073" i="1"/>
  <c r="D7073" i="1"/>
  <c r="E7073" i="1"/>
  <c r="F7073" i="1"/>
  <c r="G7073" i="1"/>
  <c r="H7073" i="1"/>
  <c r="I7073" i="1"/>
  <c r="J7073" i="1"/>
  <c r="K7073" i="1"/>
  <c r="L7073" i="1"/>
  <c r="A7074" i="1"/>
  <c r="B7074" i="1"/>
  <c r="C7074" i="1"/>
  <c r="D7074" i="1"/>
  <c r="E7074" i="1"/>
  <c r="F7074" i="1"/>
  <c r="G7074" i="1"/>
  <c r="H7074" i="1"/>
  <c r="I7074" i="1"/>
  <c r="J7074" i="1"/>
  <c r="K7074" i="1"/>
  <c r="L7074" i="1"/>
  <c r="A7075" i="1"/>
  <c r="B7075" i="1"/>
  <c r="C7075" i="1"/>
  <c r="D7075" i="1"/>
  <c r="E7075" i="1"/>
  <c r="F7075" i="1"/>
  <c r="G7075" i="1"/>
  <c r="H7075" i="1"/>
  <c r="I7075" i="1"/>
  <c r="J7075" i="1"/>
  <c r="K7075" i="1"/>
  <c r="L7075" i="1"/>
  <c r="A7076" i="1"/>
  <c r="B7076" i="1"/>
  <c r="C7076" i="1"/>
  <c r="D7076" i="1"/>
  <c r="E7076" i="1"/>
  <c r="F7076" i="1"/>
  <c r="G7076" i="1"/>
  <c r="H7076" i="1"/>
  <c r="I7076" i="1"/>
  <c r="J7076" i="1"/>
  <c r="K7076" i="1"/>
  <c r="L7076" i="1"/>
  <c r="A7077" i="1"/>
  <c r="B7077" i="1"/>
  <c r="C7077" i="1"/>
  <c r="D7077" i="1"/>
  <c r="E7077" i="1"/>
  <c r="F7077" i="1"/>
  <c r="G7077" i="1"/>
  <c r="H7077" i="1"/>
  <c r="I7077" i="1"/>
  <c r="J7077" i="1"/>
  <c r="K7077" i="1"/>
  <c r="L7077" i="1"/>
  <c r="A7078" i="1"/>
  <c r="B7078" i="1"/>
  <c r="C7078" i="1"/>
  <c r="D7078" i="1"/>
  <c r="E7078" i="1"/>
  <c r="F7078" i="1"/>
  <c r="G7078" i="1"/>
  <c r="H7078" i="1"/>
  <c r="I7078" i="1"/>
  <c r="J7078" i="1"/>
  <c r="K7078" i="1"/>
  <c r="L7078" i="1"/>
  <c r="A7079" i="1"/>
  <c r="B7079" i="1"/>
  <c r="C7079" i="1"/>
  <c r="D7079" i="1"/>
  <c r="E7079" i="1"/>
  <c r="F7079" i="1"/>
  <c r="G7079" i="1"/>
  <c r="H7079" i="1"/>
  <c r="I7079" i="1"/>
  <c r="J7079" i="1"/>
  <c r="K7079" i="1"/>
  <c r="L7079" i="1"/>
  <c r="A7080" i="1"/>
  <c r="B7080" i="1"/>
  <c r="C7080" i="1"/>
  <c r="D7080" i="1"/>
  <c r="E7080" i="1"/>
  <c r="F7080" i="1"/>
  <c r="G7080" i="1"/>
  <c r="H7080" i="1"/>
  <c r="I7080" i="1"/>
  <c r="J7080" i="1"/>
  <c r="K7080" i="1"/>
  <c r="L7080" i="1"/>
  <c r="A7081" i="1"/>
  <c r="B7081" i="1"/>
  <c r="C7081" i="1"/>
  <c r="D7081" i="1"/>
  <c r="E7081" i="1"/>
  <c r="F7081" i="1"/>
  <c r="G7081" i="1"/>
  <c r="H7081" i="1"/>
  <c r="I7081" i="1"/>
  <c r="J7081" i="1"/>
  <c r="K7081" i="1"/>
  <c r="L7081" i="1"/>
  <c r="A7082" i="1"/>
  <c r="B7082" i="1"/>
  <c r="C7082" i="1"/>
  <c r="D7082" i="1"/>
  <c r="E7082" i="1"/>
  <c r="F7082" i="1"/>
  <c r="G7082" i="1"/>
  <c r="H7082" i="1"/>
  <c r="I7082" i="1"/>
  <c r="J7082" i="1"/>
  <c r="K7082" i="1"/>
  <c r="L7082" i="1"/>
  <c r="A7083" i="1"/>
  <c r="B7083" i="1"/>
  <c r="C7083" i="1"/>
  <c r="D7083" i="1"/>
  <c r="E7083" i="1"/>
  <c r="F7083" i="1"/>
  <c r="G7083" i="1"/>
  <c r="H7083" i="1"/>
  <c r="I7083" i="1"/>
  <c r="J7083" i="1"/>
  <c r="K7083" i="1"/>
  <c r="L7083" i="1"/>
  <c r="A7084" i="1"/>
  <c r="B7084" i="1"/>
  <c r="C7084" i="1"/>
  <c r="D7084" i="1"/>
  <c r="E7084" i="1"/>
  <c r="F7084" i="1"/>
  <c r="G7084" i="1"/>
  <c r="H7084" i="1"/>
  <c r="I7084" i="1"/>
  <c r="J7084" i="1"/>
  <c r="K7084" i="1"/>
  <c r="L7084" i="1"/>
  <c r="A7085" i="1"/>
  <c r="B7085" i="1"/>
  <c r="C7085" i="1"/>
  <c r="D7085" i="1"/>
  <c r="E7085" i="1"/>
  <c r="F7085" i="1"/>
  <c r="G7085" i="1"/>
  <c r="H7085" i="1"/>
  <c r="I7085" i="1"/>
  <c r="J7085" i="1"/>
  <c r="K7085" i="1"/>
  <c r="L7085" i="1"/>
  <c r="A7086" i="1"/>
  <c r="B7086" i="1"/>
  <c r="C7086" i="1"/>
  <c r="D7086" i="1"/>
  <c r="E7086" i="1"/>
  <c r="F7086" i="1"/>
  <c r="G7086" i="1"/>
  <c r="H7086" i="1"/>
  <c r="I7086" i="1"/>
  <c r="J7086" i="1"/>
  <c r="K7086" i="1"/>
  <c r="L7086" i="1"/>
  <c r="A7087" i="1"/>
  <c r="B7087" i="1"/>
  <c r="C7087" i="1"/>
  <c r="D7087" i="1"/>
  <c r="E7087" i="1"/>
  <c r="F7087" i="1"/>
  <c r="G7087" i="1"/>
  <c r="H7087" i="1"/>
  <c r="I7087" i="1"/>
  <c r="J7087" i="1"/>
  <c r="K7087" i="1"/>
  <c r="L7087" i="1"/>
  <c r="A7088" i="1"/>
  <c r="B7088" i="1"/>
  <c r="C7088" i="1"/>
  <c r="D7088" i="1"/>
  <c r="E7088" i="1"/>
  <c r="F7088" i="1"/>
  <c r="G7088" i="1"/>
  <c r="H7088" i="1"/>
  <c r="I7088" i="1"/>
  <c r="J7088" i="1"/>
  <c r="K7088" i="1"/>
  <c r="L7088" i="1"/>
  <c r="A7089" i="1"/>
  <c r="B7089" i="1"/>
  <c r="C7089" i="1"/>
  <c r="D7089" i="1"/>
  <c r="E7089" i="1"/>
  <c r="F7089" i="1"/>
  <c r="G7089" i="1"/>
  <c r="H7089" i="1"/>
  <c r="I7089" i="1"/>
  <c r="J7089" i="1"/>
  <c r="K7089" i="1"/>
  <c r="L7089" i="1"/>
  <c r="A7090" i="1"/>
  <c r="B7090" i="1"/>
  <c r="C7090" i="1"/>
  <c r="D7090" i="1"/>
  <c r="E7090" i="1"/>
  <c r="F7090" i="1"/>
  <c r="G7090" i="1"/>
  <c r="H7090" i="1"/>
  <c r="I7090" i="1"/>
  <c r="J7090" i="1"/>
  <c r="K7090" i="1"/>
  <c r="L7090" i="1"/>
  <c r="A7091" i="1"/>
  <c r="B7091" i="1"/>
  <c r="C7091" i="1"/>
  <c r="D7091" i="1"/>
  <c r="E7091" i="1"/>
  <c r="F7091" i="1"/>
  <c r="G7091" i="1"/>
  <c r="H7091" i="1"/>
  <c r="I7091" i="1"/>
  <c r="J7091" i="1"/>
  <c r="K7091" i="1"/>
  <c r="L7091" i="1"/>
  <c r="A7092" i="1"/>
  <c r="B7092" i="1"/>
  <c r="C7092" i="1"/>
  <c r="D7092" i="1"/>
  <c r="E7092" i="1"/>
  <c r="F7092" i="1"/>
  <c r="G7092" i="1"/>
  <c r="H7092" i="1"/>
  <c r="I7092" i="1"/>
  <c r="J7092" i="1"/>
  <c r="K7092" i="1"/>
  <c r="L7092" i="1"/>
  <c r="A7093" i="1"/>
  <c r="B7093" i="1"/>
  <c r="C7093" i="1"/>
  <c r="D7093" i="1"/>
  <c r="E7093" i="1"/>
  <c r="F7093" i="1"/>
  <c r="G7093" i="1"/>
  <c r="H7093" i="1"/>
  <c r="I7093" i="1"/>
  <c r="J7093" i="1"/>
  <c r="K7093" i="1"/>
  <c r="L7093" i="1"/>
  <c r="A7094" i="1"/>
  <c r="B7094" i="1"/>
  <c r="C7094" i="1"/>
  <c r="D7094" i="1"/>
  <c r="E7094" i="1"/>
  <c r="F7094" i="1"/>
  <c r="G7094" i="1"/>
  <c r="H7094" i="1"/>
  <c r="I7094" i="1"/>
  <c r="J7094" i="1"/>
  <c r="K7094" i="1"/>
  <c r="L7094" i="1"/>
  <c r="A7095" i="1"/>
  <c r="B7095" i="1"/>
  <c r="C7095" i="1"/>
  <c r="D7095" i="1"/>
  <c r="E7095" i="1"/>
  <c r="F7095" i="1"/>
  <c r="G7095" i="1"/>
  <c r="H7095" i="1"/>
  <c r="I7095" i="1"/>
  <c r="J7095" i="1"/>
  <c r="K7095" i="1"/>
  <c r="L7095" i="1"/>
  <c r="A7096" i="1"/>
  <c r="B7096" i="1"/>
  <c r="C7096" i="1"/>
  <c r="D7096" i="1"/>
  <c r="E7096" i="1"/>
  <c r="F7096" i="1"/>
  <c r="G7096" i="1"/>
  <c r="H7096" i="1"/>
  <c r="I7096" i="1"/>
  <c r="J7096" i="1"/>
  <c r="K7096" i="1"/>
  <c r="L7096" i="1"/>
  <c r="A7097" i="1"/>
  <c r="B7097" i="1"/>
  <c r="C7097" i="1"/>
  <c r="D7097" i="1"/>
  <c r="E7097" i="1"/>
  <c r="F7097" i="1"/>
  <c r="G7097" i="1"/>
  <c r="H7097" i="1"/>
  <c r="I7097" i="1"/>
  <c r="J7097" i="1"/>
  <c r="K7097" i="1"/>
  <c r="L7097" i="1"/>
  <c r="A7098" i="1"/>
  <c r="B7098" i="1"/>
  <c r="C7098" i="1"/>
  <c r="D7098" i="1"/>
  <c r="E7098" i="1"/>
  <c r="F7098" i="1"/>
  <c r="G7098" i="1"/>
  <c r="H7098" i="1"/>
  <c r="I7098" i="1"/>
  <c r="J7098" i="1"/>
  <c r="K7098" i="1"/>
  <c r="L7098" i="1"/>
  <c r="A7099" i="1"/>
  <c r="B7099" i="1"/>
  <c r="C7099" i="1"/>
  <c r="D7099" i="1"/>
  <c r="E7099" i="1"/>
  <c r="F7099" i="1"/>
  <c r="G7099" i="1"/>
  <c r="H7099" i="1"/>
  <c r="I7099" i="1"/>
  <c r="J7099" i="1"/>
  <c r="K7099" i="1"/>
  <c r="L7099" i="1"/>
  <c r="A7100" i="1"/>
  <c r="B7100" i="1"/>
  <c r="C7100" i="1"/>
  <c r="D7100" i="1"/>
  <c r="E7100" i="1"/>
  <c r="F7100" i="1"/>
  <c r="G7100" i="1"/>
  <c r="H7100" i="1"/>
  <c r="I7100" i="1"/>
  <c r="J7100" i="1"/>
  <c r="K7100" i="1"/>
  <c r="L7100" i="1"/>
  <c r="A7101" i="1"/>
  <c r="B7101" i="1"/>
  <c r="C7101" i="1"/>
  <c r="D7101" i="1"/>
  <c r="E7101" i="1"/>
  <c r="F7101" i="1"/>
  <c r="G7101" i="1"/>
  <c r="H7101" i="1"/>
  <c r="I7101" i="1"/>
  <c r="J7101" i="1"/>
  <c r="K7101" i="1"/>
  <c r="L7101" i="1"/>
  <c r="A7102" i="1"/>
  <c r="B7102" i="1"/>
  <c r="C7102" i="1"/>
  <c r="D7102" i="1"/>
  <c r="E7102" i="1"/>
  <c r="F7102" i="1"/>
  <c r="G7102" i="1"/>
  <c r="H7102" i="1"/>
  <c r="I7102" i="1"/>
  <c r="J7102" i="1"/>
  <c r="K7102" i="1"/>
  <c r="L7102" i="1"/>
  <c r="A7103" i="1"/>
  <c r="B7103" i="1"/>
  <c r="C7103" i="1"/>
  <c r="D7103" i="1"/>
  <c r="E7103" i="1"/>
  <c r="F7103" i="1"/>
  <c r="G7103" i="1"/>
  <c r="H7103" i="1"/>
  <c r="I7103" i="1"/>
  <c r="J7103" i="1"/>
  <c r="K7103" i="1"/>
  <c r="L7103" i="1"/>
  <c r="A7104" i="1"/>
  <c r="B7104" i="1"/>
  <c r="C7104" i="1"/>
  <c r="D7104" i="1"/>
  <c r="E7104" i="1"/>
  <c r="F7104" i="1"/>
  <c r="G7104" i="1"/>
  <c r="H7104" i="1"/>
  <c r="I7104" i="1"/>
  <c r="J7104" i="1"/>
  <c r="K7104" i="1"/>
  <c r="L7104" i="1"/>
  <c r="A7105" i="1"/>
  <c r="B7105" i="1"/>
  <c r="C7105" i="1"/>
  <c r="D7105" i="1"/>
  <c r="E7105" i="1"/>
  <c r="F7105" i="1"/>
  <c r="G7105" i="1"/>
  <c r="H7105" i="1"/>
  <c r="I7105" i="1"/>
  <c r="J7105" i="1"/>
  <c r="K7105" i="1"/>
  <c r="L7105" i="1"/>
  <c r="A7106" i="1"/>
  <c r="B7106" i="1"/>
  <c r="C7106" i="1"/>
  <c r="D7106" i="1"/>
  <c r="E7106" i="1"/>
  <c r="F7106" i="1"/>
  <c r="G7106" i="1"/>
  <c r="H7106" i="1"/>
  <c r="I7106" i="1"/>
  <c r="J7106" i="1"/>
  <c r="K7106" i="1"/>
  <c r="L7106" i="1"/>
  <c r="A7107" i="1"/>
  <c r="B7107" i="1"/>
  <c r="C7107" i="1"/>
  <c r="D7107" i="1"/>
  <c r="E7107" i="1"/>
  <c r="F7107" i="1"/>
  <c r="G7107" i="1"/>
  <c r="H7107" i="1"/>
  <c r="I7107" i="1"/>
  <c r="J7107" i="1"/>
  <c r="K7107" i="1"/>
  <c r="L7107" i="1"/>
  <c r="A7108" i="1"/>
  <c r="B7108" i="1"/>
  <c r="C7108" i="1"/>
  <c r="D7108" i="1"/>
  <c r="E7108" i="1"/>
  <c r="F7108" i="1"/>
  <c r="G7108" i="1"/>
  <c r="H7108" i="1"/>
  <c r="I7108" i="1"/>
  <c r="J7108" i="1"/>
  <c r="K7108" i="1"/>
  <c r="L7108" i="1"/>
  <c r="A7109" i="1"/>
  <c r="B7109" i="1"/>
  <c r="C7109" i="1"/>
  <c r="D7109" i="1"/>
  <c r="E7109" i="1"/>
  <c r="F7109" i="1"/>
  <c r="G7109" i="1"/>
  <c r="H7109" i="1"/>
  <c r="I7109" i="1"/>
  <c r="J7109" i="1"/>
  <c r="K7109" i="1"/>
  <c r="L7109" i="1"/>
  <c r="A7110" i="1"/>
  <c r="B7110" i="1"/>
  <c r="C7110" i="1"/>
  <c r="D7110" i="1"/>
  <c r="E7110" i="1"/>
  <c r="F7110" i="1"/>
  <c r="G7110" i="1"/>
  <c r="H7110" i="1"/>
  <c r="I7110" i="1"/>
  <c r="J7110" i="1"/>
  <c r="K7110" i="1"/>
  <c r="L7110" i="1"/>
  <c r="A7111" i="1"/>
  <c r="B7111" i="1"/>
  <c r="C7111" i="1"/>
  <c r="D7111" i="1"/>
  <c r="E7111" i="1"/>
  <c r="F7111" i="1"/>
  <c r="G7111" i="1"/>
  <c r="H7111" i="1"/>
  <c r="I7111" i="1"/>
  <c r="J7111" i="1"/>
  <c r="K7111" i="1"/>
  <c r="L7111" i="1"/>
  <c r="A7112" i="1"/>
  <c r="B7112" i="1"/>
  <c r="C7112" i="1"/>
  <c r="D7112" i="1"/>
  <c r="E7112" i="1"/>
  <c r="F7112" i="1"/>
  <c r="G7112" i="1"/>
  <c r="H7112" i="1"/>
  <c r="I7112" i="1"/>
  <c r="J7112" i="1"/>
  <c r="K7112" i="1"/>
  <c r="L7112" i="1"/>
  <c r="A7113" i="1"/>
  <c r="B7113" i="1"/>
  <c r="C7113" i="1"/>
  <c r="D7113" i="1"/>
  <c r="E7113" i="1"/>
  <c r="F7113" i="1"/>
  <c r="G7113" i="1"/>
  <c r="H7113" i="1"/>
  <c r="I7113" i="1"/>
  <c r="J7113" i="1"/>
  <c r="K7113" i="1"/>
  <c r="L7113" i="1"/>
  <c r="A7114" i="1"/>
  <c r="B7114" i="1"/>
  <c r="C7114" i="1"/>
  <c r="D7114" i="1"/>
  <c r="E7114" i="1"/>
  <c r="F7114" i="1"/>
  <c r="G7114" i="1"/>
  <c r="H7114" i="1"/>
  <c r="I7114" i="1"/>
  <c r="J7114" i="1"/>
  <c r="K7114" i="1"/>
  <c r="L7114" i="1"/>
  <c r="A7115" i="1"/>
  <c r="B7115" i="1"/>
  <c r="C7115" i="1"/>
  <c r="D7115" i="1"/>
  <c r="E7115" i="1"/>
  <c r="F7115" i="1"/>
  <c r="G7115" i="1"/>
  <c r="H7115" i="1"/>
  <c r="I7115" i="1"/>
  <c r="J7115" i="1"/>
  <c r="K7115" i="1"/>
  <c r="L7115" i="1"/>
  <c r="A7116" i="1"/>
  <c r="B7116" i="1"/>
  <c r="C7116" i="1"/>
  <c r="D7116" i="1"/>
  <c r="E7116" i="1"/>
  <c r="F7116" i="1"/>
  <c r="G7116" i="1"/>
  <c r="H7116" i="1"/>
  <c r="I7116" i="1"/>
  <c r="J7116" i="1"/>
  <c r="K7116" i="1"/>
  <c r="L7116" i="1"/>
  <c r="A7117" i="1"/>
  <c r="B7117" i="1"/>
  <c r="C7117" i="1"/>
  <c r="D7117" i="1"/>
  <c r="E7117" i="1"/>
  <c r="F7117" i="1"/>
  <c r="G7117" i="1"/>
  <c r="H7117" i="1"/>
  <c r="I7117" i="1"/>
  <c r="J7117" i="1"/>
  <c r="K7117" i="1"/>
  <c r="L7117" i="1"/>
  <c r="A7118" i="1"/>
  <c r="B7118" i="1"/>
  <c r="C7118" i="1"/>
  <c r="D7118" i="1"/>
  <c r="E7118" i="1"/>
  <c r="F7118" i="1"/>
  <c r="G7118" i="1"/>
  <c r="H7118" i="1"/>
  <c r="I7118" i="1"/>
  <c r="J7118" i="1"/>
  <c r="K7118" i="1"/>
  <c r="L7118" i="1"/>
  <c r="A7119" i="1"/>
  <c r="B7119" i="1"/>
  <c r="C7119" i="1"/>
  <c r="D7119" i="1"/>
  <c r="E7119" i="1"/>
  <c r="F7119" i="1"/>
  <c r="G7119" i="1"/>
  <c r="H7119" i="1"/>
  <c r="I7119" i="1"/>
  <c r="J7119" i="1"/>
  <c r="K7119" i="1"/>
  <c r="L7119" i="1"/>
  <c r="A7120" i="1"/>
  <c r="B7120" i="1"/>
  <c r="C7120" i="1"/>
  <c r="D7120" i="1"/>
  <c r="E7120" i="1"/>
  <c r="F7120" i="1"/>
  <c r="G7120" i="1"/>
  <c r="H7120" i="1"/>
  <c r="I7120" i="1"/>
  <c r="J7120" i="1"/>
  <c r="K7120" i="1"/>
  <c r="L7120" i="1"/>
  <c r="A7121" i="1"/>
  <c r="B7121" i="1"/>
  <c r="C7121" i="1"/>
  <c r="D7121" i="1"/>
  <c r="E7121" i="1"/>
  <c r="F7121" i="1"/>
  <c r="G7121" i="1"/>
  <c r="H7121" i="1"/>
  <c r="I7121" i="1"/>
  <c r="J7121" i="1"/>
  <c r="K7121" i="1"/>
  <c r="L7121" i="1"/>
  <c r="A7122" i="1"/>
  <c r="B7122" i="1"/>
  <c r="C7122" i="1"/>
  <c r="D7122" i="1"/>
  <c r="E7122" i="1"/>
  <c r="F7122" i="1"/>
  <c r="G7122" i="1"/>
  <c r="H7122" i="1"/>
  <c r="I7122" i="1"/>
  <c r="J7122" i="1"/>
  <c r="K7122" i="1"/>
  <c r="L7122" i="1"/>
  <c r="A7123" i="1"/>
  <c r="B7123" i="1"/>
  <c r="C7123" i="1"/>
  <c r="D7123" i="1"/>
  <c r="E7123" i="1"/>
  <c r="F7123" i="1"/>
  <c r="G7123" i="1"/>
  <c r="H7123" i="1"/>
  <c r="I7123" i="1"/>
  <c r="J7123" i="1"/>
  <c r="K7123" i="1"/>
  <c r="L7123" i="1"/>
  <c r="A7124" i="1"/>
  <c r="B7124" i="1"/>
  <c r="C7124" i="1"/>
  <c r="D7124" i="1"/>
  <c r="E7124" i="1"/>
  <c r="F7124" i="1"/>
  <c r="G7124" i="1"/>
  <c r="H7124" i="1"/>
  <c r="I7124" i="1"/>
  <c r="J7124" i="1"/>
  <c r="K7124" i="1"/>
  <c r="L7124" i="1"/>
  <c r="A7125" i="1"/>
  <c r="B7125" i="1"/>
  <c r="C7125" i="1"/>
  <c r="D7125" i="1"/>
  <c r="E7125" i="1"/>
  <c r="F7125" i="1"/>
  <c r="G7125" i="1"/>
  <c r="H7125" i="1"/>
  <c r="I7125" i="1"/>
  <c r="J7125" i="1"/>
  <c r="K7125" i="1"/>
  <c r="L7125" i="1"/>
  <c r="A7126" i="1"/>
  <c r="B7126" i="1"/>
  <c r="C7126" i="1"/>
  <c r="D7126" i="1"/>
  <c r="E7126" i="1"/>
  <c r="F7126" i="1"/>
  <c r="G7126" i="1"/>
  <c r="H7126" i="1"/>
  <c r="I7126" i="1"/>
  <c r="J7126" i="1"/>
  <c r="K7126" i="1"/>
  <c r="L7126" i="1"/>
  <c r="A7127" i="1"/>
  <c r="B7127" i="1"/>
  <c r="C7127" i="1"/>
  <c r="D7127" i="1"/>
  <c r="E7127" i="1"/>
  <c r="F7127" i="1"/>
  <c r="G7127" i="1"/>
  <c r="H7127" i="1"/>
  <c r="I7127" i="1"/>
  <c r="J7127" i="1"/>
  <c r="K7127" i="1"/>
  <c r="L7127" i="1"/>
  <c r="A7128" i="1"/>
  <c r="B7128" i="1"/>
  <c r="C7128" i="1"/>
  <c r="D7128" i="1"/>
  <c r="E7128" i="1"/>
  <c r="F7128" i="1"/>
  <c r="G7128" i="1"/>
  <c r="H7128" i="1"/>
  <c r="I7128" i="1"/>
  <c r="J7128" i="1"/>
  <c r="K7128" i="1"/>
  <c r="L7128" i="1"/>
  <c r="A7129" i="1"/>
  <c r="B7129" i="1"/>
  <c r="C7129" i="1"/>
  <c r="D7129" i="1"/>
  <c r="E7129" i="1"/>
  <c r="F7129" i="1"/>
  <c r="G7129" i="1"/>
  <c r="H7129" i="1"/>
  <c r="I7129" i="1"/>
  <c r="J7129" i="1"/>
  <c r="K7129" i="1"/>
  <c r="L7129" i="1"/>
  <c r="A7130" i="1"/>
  <c r="B7130" i="1"/>
  <c r="C7130" i="1"/>
  <c r="D7130" i="1"/>
  <c r="E7130" i="1"/>
  <c r="F7130" i="1"/>
  <c r="G7130" i="1"/>
  <c r="H7130" i="1"/>
  <c r="I7130" i="1"/>
  <c r="J7130" i="1"/>
  <c r="K7130" i="1"/>
  <c r="L7130" i="1"/>
  <c r="A7131" i="1"/>
  <c r="B7131" i="1"/>
  <c r="C7131" i="1"/>
  <c r="D7131" i="1"/>
  <c r="E7131" i="1"/>
  <c r="F7131" i="1"/>
  <c r="G7131" i="1"/>
  <c r="H7131" i="1"/>
  <c r="I7131" i="1"/>
  <c r="J7131" i="1"/>
  <c r="K7131" i="1"/>
  <c r="L7131" i="1"/>
  <c r="A7132" i="1"/>
  <c r="B7132" i="1"/>
  <c r="C7132" i="1"/>
  <c r="D7132" i="1"/>
  <c r="E7132" i="1"/>
  <c r="F7132" i="1"/>
  <c r="G7132" i="1"/>
  <c r="H7132" i="1"/>
  <c r="I7132" i="1"/>
  <c r="J7132" i="1"/>
  <c r="K7132" i="1"/>
  <c r="L7132" i="1"/>
  <c r="A7133" i="1"/>
  <c r="B7133" i="1"/>
  <c r="C7133" i="1"/>
  <c r="D7133" i="1"/>
  <c r="E7133" i="1"/>
  <c r="F7133" i="1"/>
  <c r="G7133" i="1"/>
  <c r="H7133" i="1"/>
  <c r="I7133" i="1"/>
  <c r="J7133" i="1"/>
  <c r="K7133" i="1"/>
  <c r="L7133" i="1"/>
  <c r="A7134" i="1"/>
  <c r="B7134" i="1"/>
  <c r="C7134" i="1"/>
  <c r="D7134" i="1"/>
  <c r="E7134" i="1"/>
  <c r="F7134" i="1"/>
  <c r="G7134" i="1"/>
  <c r="H7134" i="1"/>
  <c r="I7134" i="1"/>
  <c r="J7134" i="1"/>
  <c r="K7134" i="1"/>
  <c r="L7134" i="1"/>
  <c r="A7135" i="1"/>
  <c r="B7135" i="1"/>
  <c r="C7135" i="1"/>
  <c r="D7135" i="1"/>
  <c r="E7135" i="1"/>
  <c r="F7135" i="1"/>
  <c r="G7135" i="1"/>
  <c r="H7135" i="1"/>
  <c r="I7135" i="1"/>
  <c r="J7135" i="1"/>
  <c r="K7135" i="1"/>
  <c r="L7135" i="1"/>
  <c r="A7136" i="1"/>
  <c r="B7136" i="1"/>
  <c r="C7136" i="1"/>
  <c r="D7136" i="1"/>
  <c r="E7136" i="1"/>
  <c r="F7136" i="1"/>
  <c r="G7136" i="1"/>
  <c r="H7136" i="1"/>
  <c r="I7136" i="1"/>
  <c r="J7136" i="1"/>
  <c r="K7136" i="1"/>
  <c r="L7136" i="1"/>
  <c r="A7137" i="1"/>
  <c r="B7137" i="1"/>
  <c r="C7137" i="1"/>
  <c r="D7137" i="1"/>
  <c r="E7137" i="1"/>
  <c r="F7137" i="1"/>
  <c r="G7137" i="1"/>
  <c r="H7137" i="1"/>
  <c r="I7137" i="1"/>
  <c r="J7137" i="1"/>
  <c r="K7137" i="1"/>
  <c r="L7137" i="1"/>
  <c r="A7138" i="1"/>
  <c r="B7138" i="1"/>
  <c r="C7138" i="1"/>
  <c r="D7138" i="1"/>
  <c r="E7138" i="1"/>
  <c r="F7138" i="1"/>
  <c r="G7138" i="1"/>
  <c r="H7138" i="1"/>
  <c r="I7138" i="1"/>
  <c r="J7138" i="1"/>
  <c r="K7138" i="1"/>
  <c r="L7138" i="1"/>
  <c r="A7139" i="1"/>
  <c r="B7139" i="1"/>
  <c r="C7139" i="1"/>
  <c r="D7139" i="1"/>
  <c r="E7139" i="1"/>
  <c r="F7139" i="1"/>
  <c r="G7139" i="1"/>
  <c r="H7139" i="1"/>
  <c r="I7139" i="1"/>
  <c r="J7139" i="1"/>
  <c r="K7139" i="1"/>
  <c r="L7139" i="1"/>
  <c r="A7140" i="1"/>
  <c r="B7140" i="1"/>
  <c r="C7140" i="1"/>
  <c r="D7140" i="1"/>
  <c r="E7140" i="1"/>
  <c r="F7140" i="1"/>
  <c r="G7140" i="1"/>
  <c r="H7140" i="1"/>
  <c r="I7140" i="1"/>
  <c r="J7140" i="1"/>
  <c r="K7140" i="1"/>
  <c r="L7140" i="1"/>
  <c r="A7141" i="1"/>
  <c r="B7141" i="1"/>
  <c r="C7141" i="1"/>
  <c r="D7141" i="1"/>
  <c r="E7141" i="1"/>
  <c r="F7141" i="1"/>
  <c r="G7141" i="1"/>
  <c r="H7141" i="1"/>
  <c r="I7141" i="1"/>
  <c r="J7141" i="1"/>
  <c r="K7141" i="1"/>
  <c r="L7141" i="1"/>
  <c r="A7142" i="1"/>
  <c r="B7142" i="1"/>
  <c r="C7142" i="1"/>
  <c r="D7142" i="1"/>
  <c r="E7142" i="1"/>
  <c r="F7142" i="1"/>
  <c r="G7142" i="1"/>
  <c r="H7142" i="1"/>
  <c r="I7142" i="1"/>
  <c r="J7142" i="1"/>
  <c r="K7142" i="1"/>
  <c r="L7142" i="1"/>
  <c r="A7143" i="1"/>
  <c r="B7143" i="1"/>
  <c r="C7143" i="1"/>
  <c r="D7143" i="1"/>
  <c r="E7143" i="1"/>
  <c r="F7143" i="1"/>
  <c r="G7143" i="1"/>
  <c r="H7143" i="1"/>
  <c r="I7143" i="1"/>
  <c r="J7143" i="1"/>
  <c r="K7143" i="1"/>
  <c r="L7143" i="1"/>
  <c r="A7144" i="1"/>
  <c r="B7144" i="1"/>
  <c r="C7144" i="1"/>
  <c r="D7144" i="1"/>
  <c r="E7144" i="1"/>
  <c r="F7144" i="1"/>
  <c r="G7144" i="1"/>
  <c r="H7144" i="1"/>
  <c r="I7144" i="1"/>
  <c r="J7144" i="1"/>
  <c r="K7144" i="1"/>
  <c r="L7144" i="1"/>
  <c r="A7145" i="1"/>
  <c r="B7145" i="1"/>
  <c r="C7145" i="1"/>
  <c r="D7145" i="1"/>
  <c r="E7145" i="1"/>
  <c r="F7145" i="1"/>
  <c r="G7145" i="1"/>
  <c r="H7145" i="1"/>
  <c r="I7145" i="1"/>
  <c r="J7145" i="1"/>
  <c r="K7145" i="1"/>
  <c r="L7145" i="1"/>
  <c r="A7146" i="1"/>
  <c r="B7146" i="1"/>
  <c r="C7146" i="1"/>
  <c r="D7146" i="1"/>
  <c r="E7146" i="1"/>
  <c r="F7146" i="1"/>
  <c r="G7146" i="1"/>
  <c r="H7146" i="1"/>
  <c r="I7146" i="1"/>
  <c r="J7146" i="1"/>
  <c r="K7146" i="1"/>
  <c r="L7146" i="1"/>
  <c r="A7147" i="1"/>
  <c r="B7147" i="1"/>
  <c r="C7147" i="1"/>
  <c r="D7147" i="1"/>
  <c r="E7147" i="1"/>
  <c r="F7147" i="1"/>
  <c r="G7147" i="1"/>
  <c r="H7147" i="1"/>
  <c r="I7147" i="1"/>
  <c r="J7147" i="1"/>
  <c r="K7147" i="1"/>
  <c r="L7147" i="1"/>
  <c r="A7148" i="1"/>
  <c r="B7148" i="1"/>
  <c r="C7148" i="1"/>
  <c r="D7148" i="1"/>
  <c r="E7148" i="1"/>
  <c r="F7148" i="1"/>
  <c r="G7148" i="1"/>
  <c r="H7148" i="1"/>
  <c r="I7148" i="1"/>
  <c r="J7148" i="1"/>
  <c r="K7148" i="1"/>
  <c r="L7148" i="1"/>
  <c r="A7149" i="1"/>
  <c r="B7149" i="1"/>
  <c r="C7149" i="1"/>
  <c r="D7149" i="1"/>
  <c r="E7149" i="1"/>
  <c r="F7149" i="1"/>
  <c r="G7149" i="1"/>
  <c r="H7149" i="1"/>
  <c r="I7149" i="1"/>
  <c r="J7149" i="1"/>
  <c r="K7149" i="1"/>
  <c r="L7149" i="1"/>
  <c r="A7150" i="1"/>
  <c r="B7150" i="1"/>
  <c r="C7150" i="1"/>
  <c r="D7150" i="1"/>
  <c r="E7150" i="1"/>
  <c r="F7150" i="1"/>
  <c r="G7150" i="1"/>
  <c r="H7150" i="1"/>
  <c r="I7150" i="1"/>
  <c r="J7150" i="1"/>
  <c r="K7150" i="1"/>
  <c r="L7150" i="1"/>
  <c r="A7151" i="1"/>
  <c r="B7151" i="1"/>
  <c r="C7151" i="1"/>
  <c r="D7151" i="1"/>
  <c r="E7151" i="1"/>
  <c r="F7151" i="1"/>
  <c r="G7151" i="1"/>
  <c r="H7151" i="1"/>
  <c r="I7151" i="1"/>
  <c r="J7151" i="1"/>
  <c r="K7151" i="1"/>
  <c r="L7151" i="1"/>
  <c r="A7152" i="1"/>
  <c r="B7152" i="1"/>
  <c r="C7152" i="1"/>
  <c r="D7152" i="1"/>
  <c r="E7152" i="1"/>
  <c r="F7152" i="1"/>
  <c r="G7152" i="1"/>
  <c r="H7152" i="1"/>
  <c r="I7152" i="1"/>
  <c r="J7152" i="1"/>
  <c r="K7152" i="1"/>
  <c r="L7152" i="1"/>
  <c r="A7153" i="1"/>
  <c r="B7153" i="1"/>
  <c r="C7153" i="1"/>
  <c r="D7153" i="1"/>
  <c r="E7153" i="1"/>
  <c r="F7153" i="1"/>
  <c r="G7153" i="1"/>
  <c r="H7153" i="1"/>
  <c r="I7153" i="1"/>
  <c r="J7153" i="1"/>
  <c r="K7153" i="1"/>
  <c r="L7153" i="1"/>
  <c r="A7154" i="1"/>
  <c r="B7154" i="1"/>
  <c r="C7154" i="1"/>
  <c r="D7154" i="1"/>
  <c r="E7154" i="1"/>
  <c r="F7154" i="1"/>
  <c r="G7154" i="1"/>
  <c r="H7154" i="1"/>
  <c r="I7154" i="1"/>
  <c r="J7154" i="1"/>
  <c r="K7154" i="1"/>
  <c r="L7154" i="1"/>
  <c r="A7155" i="1"/>
  <c r="B7155" i="1"/>
  <c r="C7155" i="1"/>
  <c r="D7155" i="1"/>
  <c r="E7155" i="1"/>
  <c r="F7155" i="1"/>
  <c r="G7155" i="1"/>
  <c r="H7155" i="1"/>
  <c r="I7155" i="1"/>
  <c r="J7155" i="1"/>
  <c r="K7155" i="1"/>
  <c r="L7155" i="1"/>
  <c r="A7156" i="1"/>
  <c r="B7156" i="1"/>
  <c r="C7156" i="1"/>
  <c r="D7156" i="1"/>
  <c r="E7156" i="1"/>
  <c r="F7156" i="1"/>
  <c r="G7156" i="1"/>
  <c r="H7156" i="1"/>
  <c r="I7156" i="1"/>
  <c r="J7156" i="1"/>
  <c r="K7156" i="1"/>
  <c r="L7156" i="1"/>
  <c r="A7157" i="1"/>
  <c r="B7157" i="1"/>
  <c r="C7157" i="1"/>
  <c r="D7157" i="1"/>
  <c r="E7157" i="1"/>
  <c r="F7157" i="1"/>
  <c r="G7157" i="1"/>
  <c r="H7157" i="1"/>
  <c r="I7157" i="1"/>
  <c r="J7157" i="1"/>
  <c r="K7157" i="1"/>
  <c r="L7157" i="1"/>
  <c r="A7158" i="1"/>
  <c r="B7158" i="1"/>
  <c r="C7158" i="1"/>
  <c r="D7158" i="1"/>
  <c r="E7158" i="1"/>
  <c r="F7158" i="1"/>
  <c r="G7158" i="1"/>
  <c r="H7158" i="1"/>
  <c r="I7158" i="1"/>
  <c r="J7158" i="1"/>
  <c r="K7158" i="1"/>
  <c r="L7158" i="1"/>
  <c r="A7159" i="1"/>
  <c r="B7159" i="1"/>
  <c r="C7159" i="1"/>
  <c r="D7159" i="1"/>
  <c r="E7159" i="1"/>
  <c r="F7159" i="1"/>
  <c r="G7159" i="1"/>
  <c r="H7159" i="1"/>
  <c r="I7159" i="1"/>
  <c r="J7159" i="1"/>
  <c r="K7159" i="1"/>
  <c r="L7159" i="1"/>
  <c r="A7160" i="1"/>
  <c r="B7160" i="1"/>
  <c r="C7160" i="1"/>
  <c r="D7160" i="1"/>
  <c r="E7160" i="1"/>
  <c r="F7160" i="1"/>
  <c r="G7160" i="1"/>
  <c r="H7160" i="1"/>
  <c r="I7160" i="1"/>
  <c r="J7160" i="1"/>
  <c r="K7160" i="1"/>
  <c r="L7160" i="1"/>
  <c r="A7161" i="1"/>
  <c r="B7161" i="1"/>
  <c r="C7161" i="1"/>
  <c r="D7161" i="1"/>
  <c r="E7161" i="1"/>
  <c r="F7161" i="1"/>
  <c r="G7161" i="1"/>
  <c r="H7161" i="1"/>
  <c r="I7161" i="1"/>
  <c r="J7161" i="1"/>
  <c r="K7161" i="1"/>
  <c r="L7161" i="1"/>
  <c r="A7162" i="1"/>
  <c r="B7162" i="1"/>
  <c r="C7162" i="1"/>
  <c r="D7162" i="1"/>
  <c r="E7162" i="1"/>
  <c r="F7162" i="1"/>
  <c r="G7162" i="1"/>
  <c r="H7162" i="1"/>
  <c r="I7162" i="1"/>
  <c r="J7162" i="1"/>
  <c r="K7162" i="1"/>
  <c r="L7162" i="1"/>
  <c r="A7163" i="1"/>
  <c r="B7163" i="1"/>
  <c r="C7163" i="1"/>
  <c r="D7163" i="1"/>
  <c r="E7163" i="1"/>
  <c r="F7163" i="1"/>
  <c r="G7163" i="1"/>
  <c r="H7163" i="1"/>
  <c r="I7163" i="1"/>
  <c r="J7163" i="1"/>
  <c r="K7163" i="1"/>
  <c r="L7163" i="1"/>
  <c r="A7164" i="1"/>
  <c r="B7164" i="1"/>
  <c r="C7164" i="1"/>
  <c r="D7164" i="1"/>
  <c r="E7164" i="1"/>
  <c r="F7164" i="1"/>
  <c r="G7164" i="1"/>
  <c r="H7164" i="1"/>
  <c r="I7164" i="1"/>
  <c r="J7164" i="1"/>
  <c r="K7164" i="1"/>
  <c r="L7164" i="1"/>
  <c r="A7165" i="1"/>
  <c r="B7165" i="1"/>
  <c r="C7165" i="1"/>
  <c r="D7165" i="1"/>
  <c r="E7165" i="1"/>
  <c r="F7165" i="1"/>
  <c r="G7165" i="1"/>
  <c r="H7165" i="1"/>
  <c r="I7165" i="1"/>
  <c r="J7165" i="1"/>
  <c r="K7165" i="1"/>
  <c r="L7165" i="1"/>
  <c r="A7166" i="1"/>
  <c r="B7166" i="1"/>
  <c r="C7166" i="1"/>
  <c r="D7166" i="1"/>
  <c r="E7166" i="1"/>
  <c r="F7166" i="1"/>
  <c r="G7166" i="1"/>
  <c r="H7166" i="1"/>
  <c r="I7166" i="1"/>
  <c r="J7166" i="1"/>
  <c r="K7166" i="1"/>
  <c r="L7166" i="1"/>
  <c r="A7167" i="1"/>
  <c r="B7167" i="1"/>
  <c r="C7167" i="1"/>
  <c r="D7167" i="1"/>
  <c r="E7167" i="1"/>
  <c r="F7167" i="1"/>
  <c r="G7167" i="1"/>
  <c r="H7167" i="1"/>
  <c r="I7167" i="1"/>
  <c r="J7167" i="1"/>
  <c r="K7167" i="1"/>
  <c r="L7167" i="1"/>
  <c r="A7168" i="1"/>
  <c r="B7168" i="1"/>
  <c r="C7168" i="1"/>
  <c r="D7168" i="1"/>
  <c r="E7168" i="1"/>
  <c r="F7168" i="1"/>
  <c r="G7168" i="1"/>
  <c r="H7168" i="1"/>
  <c r="I7168" i="1"/>
  <c r="J7168" i="1"/>
  <c r="K7168" i="1"/>
  <c r="L7168" i="1"/>
  <c r="A7169" i="1"/>
  <c r="B7169" i="1"/>
  <c r="C7169" i="1"/>
  <c r="D7169" i="1"/>
  <c r="E7169" i="1"/>
  <c r="F7169" i="1"/>
  <c r="G7169" i="1"/>
  <c r="H7169" i="1"/>
  <c r="I7169" i="1"/>
  <c r="J7169" i="1"/>
  <c r="K7169" i="1"/>
  <c r="L7169" i="1"/>
  <c r="A7170" i="1"/>
  <c r="B7170" i="1"/>
  <c r="C7170" i="1"/>
  <c r="D7170" i="1"/>
  <c r="E7170" i="1"/>
  <c r="F7170" i="1"/>
  <c r="G7170" i="1"/>
  <c r="H7170" i="1"/>
  <c r="I7170" i="1"/>
  <c r="J7170" i="1"/>
  <c r="K7170" i="1"/>
  <c r="L7170" i="1"/>
  <c r="A7171" i="1"/>
  <c r="B7171" i="1"/>
  <c r="C7171" i="1"/>
  <c r="D7171" i="1"/>
  <c r="E7171" i="1"/>
  <c r="F7171" i="1"/>
  <c r="G7171" i="1"/>
  <c r="H7171" i="1"/>
  <c r="I7171" i="1"/>
  <c r="J7171" i="1"/>
  <c r="K7171" i="1"/>
  <c r="L7171" i="1"/>
  <c r="A7172" i="1"/>
  <c r="B7172" i="1"/>
  <c r="C7172" i="1"/>
  <c r="D7172" i="1"/>
  <c r="E7172" i="1"/>
  <c r="F7172" i="1"/>
  <c r="G7172" i="1"/>
  <c r="H7172" i="1"/>
  <c r="I7172" i="1"/>
  <c r="J7172" i="1"/>
  <c r="K7172" i="1"/>
  <c r="L7172" i="1"/>
  <c r="A7173" i="1"/>
  <c r="B7173" i="1"/>
  <c r="C7173" i="1"/>
  <c r="D7173" i="1"/>
  <c r="E7173" i="1"/>
  <c r="F7173" i="1"/>
  <c r="G7173" i="1"/>
  <c r="H7173" i="1"/>
  <c r="I7173" i="1"/>
  <c r="J7173" i="1"/>
  <c r="K7173" i="1"/>
  <c r="L7173" i="1"/>
  <c r="A7174" i="1"/>
  <c r="B7174" i="1"/>
  <c r="C7174" i="1"/>
  <c r="D7174" i="1"/>
  <c r="E7174" i="1"/>
  <c r="F7174" i="1"/>
  <c r="G7174" i="1"/>
  <c r="H7174" i="1"/>
  <c r="I7174" i="1"/>
  <c r="J7174" i="1"/>
  <c r="K7174" i="1"/>
  <c r="L7174" i="1"/>
  <c r="A7175" i="1"/>
  <c r="B7175" i="1"/>
  <c r="C7175" i="1"/>
  <c r="D7175" i="1"/>
  <c r="E7175" i="1"/>
  <c r="F7175" i="1"/>
  <c r="G7175" i="1"/>
  <c r="H7175" i="1"/>
  <c r="I7175" i="1"/>
  <c r="J7175" i="1"/>
  <c r="K7175" i="1"/>
  <c r="L7175" i="1"/>
  <c r="A7176" i="1"/>
  <c r="B7176" i="1"/>
  <c r="C7176" i="1"/>
  <c r="D7176" i="1"/>
  <c r="E7176" i="1"/>
  <c r="F7176" i="1"/>
  <c r="G7176" i="1"/>
  <c r="H7176" i="1"/>
  <c r="I7176" i="1"/>
  <c r="J7176" i="1"/>
  <c r="K7176" i="1"/>
  <c r="L7176" i="1"/>
  <c r="A7177" i="1"/>
  <c r="B7177" i="1"/>
  <c r="C7177" i="1"/>
  <c r="D7177" i="1"/>
  <c r="E7177" i="1"/>
  <c r="F7177" i="1"/>
  <c r="G7177" i="1"/>
  <c r="H7177" i="1"/>
  <c r="I7177" i="1"/>
  <c r="J7177" i="1"/>
  <c r="K7177" i="1"/>
  <c r="L7177" i="1"/>
  <c r="A7178" i="1"/>
  <c r="B7178" i="1"/>
  <c r="C7178" i="1"/>
  <c r="D7178" i="1"/>
  <c r="E7178" i="1"/>
  <c r="F7178" i="1"/>
  <c r="G7178" i="1"/>
  <c r="H7178" i="1"/>
  <c r="I7178" i="1"/>
  <c r="J7178" i="1"/>
  <c r="K7178" i="1"/>
  <c r="L7178" i="1"/>
  <c r="A7179" i="1"/>
  <c r="B7179" i="1"/>
  <c r="C7179" i="1"/>
  <c r="D7179" i="1"/>
  <c r="E7179" i="1"/>
  <c r="F7179" i="1"/>
  <c r="G7179" i="1"/>
  <c r="H7179" i="1"/>
  <c r="I7179" i="1"/>
  <c r="J7179" i="1"/>
  <c r="K7179" i="1"/>
  <c r="L7179" i="1"/>
  <c r="A7180" i="1"/>
  <c r="B7180" i="1"/>
  <c r="C7180" i="1"/>
  <c r="D7180" i="1"/>
  <c r="E7180" i="1"/>
  <c r="F7180" i="1"/>
  <c r="G7180" i="1"/>
  <c r="H7180" i="1"/>
  <c r="I7180" i="1"/>
  <c r="J7180" i="1"/>
  <c r="K7180" i="1"/>
  <c r="L7180" i="1"/>
  <c r="A7181" i="1"/>
  <c r="B7181" i="1"/>
  <c r="C7181" i="1"/>
  <c r="D7181" i="1"/>
  <c r="E7181" i="1"/>
  <c r="F7181" i="1"/>
  <c r="G7181" i="1"/>
  <c r="H7181" i="1"/>
  <c r="I7181" i="1"/>
  <c r="J7181" i="1"/>
  <c r="K7181" i="1"/>
  <c r="L7181" i="1"/>
  <c r="A7182" i="1"/>
  <c r="B7182" i="1"/>
  <c r="C7182" i="1"/>
  <c r="D7182" i="1"/>
  <c r="E7182" i="1"/>
  <c r="F7182" i="1"/>
  <c r="G7182" i="1"/>
  <c r="H7182" i="1"/>
  <c r="I7182" i="1"/>
  <c r="J7182" i="1"/>
  <c r="K7182" i="1"/>
  <c r="L7182" i="1"/>
  <c r="A7183" i="1"/>
  <c r="B7183" i="1"/>
  <c r="C7183" i="1"/>
  <c r="D7183" i="1"/>
  <c r="E7183" i="1"/>
  <c r="F7183" i="1"/>
  <c r="G7183" i="1"/>
  <c r="H7183" i="1"/>
  <c r="I7183" i="1"/>
  <c r="J7183" i="1"/>
  <c r="K7183" i="1"/>
  <c r="L7183" i="1"/>
  <c r="A7184" i="1"/>
  <c r="B7184" i="1"/>
  <c r="C7184" i="1"/>
  <c r="D7184" i="1"/>
  <c r="E7184" i="1"/>
  <c r="F7184" i="1"/>
  <c r="G7184" i="1"/>
  <c r="H7184" i="1"/>
  <c r="I7184" i="1"/>
  <c r="J7184" i="1"/>
  <c r="K7184" i="1"/>
  <c r="L7184" i="1"/>
  <c r="A7185" i="1"/>
  <c r="B7185" i="1"/>
  <c r="C7185" i="1"/>
  <c r="D7185" i="1"/>
  <c r="E7185" i="1"/>
  <c r="F7185" i="1"/>
  <c r="G7185" i="1"/>
  <c r="H7185" i="1"/>
  <c r="I7185" i="1"/>
  <c r="J7185" i="1"/>
  <c r="K7185" i="1"/>
  <c r="L7185" i="1"/>
  <c r="A7186" i="1"/>
  <c r="B7186" i="1"/>
  <c r="C7186" i="1"/>
  <c r="D7186" i="1"/>
  <c r="E7186" i="1"/>
  <c r="F7186" i="1"/>
  <c r="G7186" i="1"/>
  <c r="H7186" i="1"/>
  <c r="I7186" i="1"/>
  <c r="J7186" i="1"/>
  <c r="K7186" i="1"/>
  <c r="L7186" i="1"/>
  <c r="A7187" i="1"/>
  <c r="B7187" i="1"/>
  <c r="C7187" i="1"/>
  <c r="D7187" i="1"/>
  <c r="E7187" i="1"/>
  <c r="F7187" i="1"/>
  <c r="G7187" i="1"/>
  <c r="H7187" i="1"/>
  <c r="I7187" i="1"/>
  <c r="J7187" i="1"/>
  <c r="K7187" i="1"/>
  <c r="L7187" i="1"/>
  <c r="A7188" i="1"/>
  <c r="B7188" i="1"/>
  <c r="C7188" i="1"/>
  <c r="D7188" i="1"/>
  <c r="E7188" i="1"/>
  <c r="F7188" i="1"/>
  <c r="G7188" i="1"/>
  <c r="H7188" i="1"/>
  <c r="I7188" i="1"/>
  <c r="J7188" i="1"/>
  <c r="K7188" i="1"/>
  <c r="L7188" i="1"/>
  <c r="A7189" i="1"/>
  <c r="B7189" i="1"/>
  <c r="C7189" i="1"/>
  <c r="D7189" i="1"/>
  <c r="E7189" i="1"/>
  <c r="F7189" i="1"/>
  <c r="G7189" i="1"/>
  <c r="H7189" i="1"/>
  <c r="I7189" i="1"/>
  <c r="J7189" i="1"/>
  <c r="K7189" i="1"/>
  <c r="L7189" i="1"/>
  <c r="A7190" i="1"/>
  <c r="B7190" i="1"/>
  <c r="C7190" i="1"/>
  <c r="D7190" i="1"/>
  <c r="E7190" i="1"/>
  <c r="F7190" i="1"/>
  <c r="G7190" i="1"/>
  <c r="H7190" i="1"/>
  <c r="I7190" i="1"/>
  <c r="J7190" i="1"/>
  <c r="K7190" i="1"/>
  <c r="L7190" i="1"/>
  <c r="A7191" i="1"/>
  <c r="B7191" i="1"/>
  <c r="C7191" i="1"/>
  <c r="D7191" i="1"/>
  <c r="E7191" i="1"/>
  <c r="F7191" i="1"/>
  <c r="G7191" i="1"/>
  <c r="H7191" i="1"/>
  <c r="I7191" i="1"/>
  <c r="J7191" i="1"/>
  <c r="K7191" i="1"/>
  <c r="L7191" i="1"/>
  <c r="A7192" i="1"/>
  <c r="B7192" i="1"/>
  <c r="C7192" i="1"/>
  <c r="D7192" i="1"/>
  <c r="E7192" i="1"/>
  <c r="F7192" i="1"/>
  <c r="G7192" i="1"/>
  <c r="H7192" i="1"/>
  <c r="I7192" i="1"/>
  <c r="J7192" i="1"/>
  <c r="K7192" i="1"/>
  <c r="L7192" i="1"/>
  <c r="A7193" i="1"/>
  <c r="B7193" i="1"/>
  <c r="C7193" i="1"/>
  <c r="D7193" i="1"/>
  <c r="E7193" i="1"/>
  <c r="F7193" i="1"/>
  <c r="G7193" i="1"/>
  <c r="H7193" i="1"/>
  <c r="I7193" i="1"/>
  <c r="J7193" i="1"/>
  <c r="K7193" i="1"/>
  <c r="L7193" i="1"/>
  <c r="A7194" i="1"/>
  <c r="B7194" i="1"/>
  <c r="C7194" i="1"/>
  <c r="D7194" i="1"/>
  <c r="E7194" i="1"/>
  <c r="F7194" i="1"/>
  <c r="G7194" i="1"/>
  <c r="H7194" i="1"/>
  <c r="I7194" i="1"/>
  <c r="J7194" i="1"/>
  <c r="K7194" i="1"/>
  <c r="L7194" i="1"/>
  <c r="A7195" i="1"/>
  <c r="B7195" i="1"/>
  <c r="C7195" i="1"/>
  <c r="D7195" i="1"/>
  <c r="E7195" i="1"/>
  <c r="F7195" i="1"/>
  <c r="G7195" i="1"/>
  <c r="H7195" i="1"/>
  <c r="I7195" i="1"/>
  <c r="J7195" i="1"/>
  <c r="K7195" i="1"/>
  <c r="L7195" i="1"/>
  <c r="A7196" i="1"/>
  <c r="B7196" i="1"/>
  <c r="C7196" i="1"/>
  <c r="D7196" i="1"/>
  <c r="E7196" i="1"/>
  <c r="F7196" i="1"/>
  <c r="G7196" i="1"/>
  <c r="H7196" i="1"/>
  <c r="I7196" i="1"/>
  <c r="J7196" i="1"/>
  <c r="K7196" i="1"/>
  <c r="L7196" i="1"/>
  <c r="A7197" i="1"/>
  <c r="B7197" i="1"/>
  <c r="C7197" i="1"/>
  <c r="D7197" i="1"/>
  <c r="E7197" i="1"/>
  <c r="F7197" i="1"/>
  <c r="G7197" i="1"/>
  <c r="H7197" i="1"/>
  <c r="I7197" i="1"/>
  <c r="J7197" i="1"/>
  <c r="K7197" i="1"/>
  <c r="L7197" i="1"/>
  <c r="A7198" i="1"/>
  <c r="B7198" i="1"/>
  <c r="C7198" i="1"/>
  <c r="D7198" i="1"/>
  <c r="E7198" i="1"/>
  <c r="F7198" i="1"/>
  <c r="G7198" i="1"/>
  <c r="H7198" i="1"/>
  <c r="I7198" i="1"/>
  <c r="J7198" i="1"/>
  <c r="K7198" i="1"/>
  <c r="L7198" i="1"/>
  <c r="A7199" i="1"/>
  <c r="B7199" i="1"/>
  <c r="C7199" i="1"/>
  <c r="D7199" i="1"/>
  <c r="E7199" i="1"/>
  <c r="F7199" i="1"/>
  <c r="G7199" i="1"/>
  <c r="H7199" i="1"/>
  <c r="I7199" i="1"/>
  <c r="J7199" i="1"/>
  <c r="K7199" i="1"/>
  <c r="L7199" i="1"/>
  <c r="A7200" i="1"/>
  <c r="B7200" i="1"/>
  <c r="C7200" i="1"/>
  <c r="D7200" i="1"/>
  <c r="E7200" i="1"/>
  <c r="F7200" i="1"/>
  <c r="G7200" i="1"/>
  <c r="H7200" i="1"/>
  <c r="I7200" i="1"/>
  <c r="J7200" i="1"/>
  <c r="K7200" i="1"/>
  <c r="L7200" i="1"/>
  <c r="A7201" i="1"/>
  <c r="B7201" i="1"/>
  <c r="C7201" i="1"/>
  <c r="D7201" i="1"/>
  <c r="E7201" i="1"/>
  <c r="F7201" i="1"/>
  <c r="G7201" i="1"/>
  <c r="H7201" i="1"/>
  <c r="I7201" i="1"/>
  <c r="J7201" i="1"/>
  <c r="K7201" i="1"/>
  <c r="L7201" i="1"/>
  <c r="A7202" i="1"/>
  <c r="B7202" i="1"/>
  <c r="C7202" i="1"/>
  <c r="D7202" i="1"/>
  <c r="E7202" i="1"/>
  <c r="F7202" i="1"/>
  <c r="G7202" i="1"/>
  <c r="H7202" i="1"/>
  <c r="I7202" i="1"/>
  <c r="J7202" i="1"/>
  <c r="K7202" i="1"/>
  <c r="L7202" i="1"/>
  <c r="A7203" i="1"/>
  <c r="B7203" i="1"/>
  <c r="C7203" i="1"/>
  <c r="D7203" i="1"/>
  <c r="E7203" i="1"/>
  <c r="F7203" i="1"/>
  <c r="G7203" i="1"/>
  <c r="H7203" i="1"/>
  <c r="I7203" i="1"/>
  <c r="J7203" i="1"/>
  <c r="K7203" i="1"/>
  <c r="L7203" i="1"/>
  <c r="A7204" i="1"/>
  <c r="B7204" i="1"/>
  <c r="C7204" i="1"/>
  <c r="D7204" i="1"/>
  <c r="E7204" i="1"/>
  <c r="F7204" i="1"/>
  <c r="G7204" i="1"/>
  <c r="H7204" i="1"/>
  <c r="I7204" i="1"/>
  <c r="J7204" i="1"/>
  <c r="K7204" i="1"/>
  <c r="L7204" i="1"/>
  <c r="A7205" i="1"/>
  <c r="B7205" i="1"/>
  <c r="C7205" i="1"/>
  <c r="D7205" i="1"/>
  <c r="E7205" i="1"/>
  <c r="F7205" i="1"/>
  <c r="G7205" i="1"/>
  <c r="H7205" i="1"/>
  <c r="I7205" i="1"/>
  <c r="J7205" i="1"/>
  <c r="K7205" i="1"/>
  <c r="L7205" i="1"/>
  <c r="A7206" i="1"/>
  <c r="B7206" i="1"/>
  <c r="C7206" i="1"/>
  <c r="D7206" i="1"/>
  <c r="E7206" i="1"/>
  <c r="F7206" i="1"/>
  <c r="G7206" i="1"/>
  <c r="H7206" i="1"/>
  <c r="I7206" i="1"/>
  <c r="J7206" i="1"/>
  <c r="K7206" i="1"/>
  <c r="L7206" i="1"/>
  <c r="A7207" i="1"/>
  <c r="B7207" i="1"/>
  <c r="C7207" i="1"/>
  <c r="D7207" i="1"/>
  <c r="E7207" i="1"/>
  <c r="F7207" i="1"/>
  <c r="G7207" i="1"/>
  <c r="H7207" i="1"/>
  <c r="I7207" i="1"/>
  <c r="J7207" i="1"/>
  <c r="K7207" i="1"/>
  <c r="L7207" i="1"/>
  <c r="A7208" i="1"/>
  <c r="B7208" i="1"/>
  <c r="C7208" i="1"/>
  <c r="D7208" i="1"/>
  <c r="E7208" i="1"/>
  <c r="F7208" i="1"/>
  <c r="G7208" i="1"/>
  <c r="H7208" i="1"/>
  <c r="I7208" i="1"/>
  <c r="J7208" i="1"/>
  <c r="K7208" i="1"/>
  <c r="L7208" i="1"/>
  <c r="A7209" i="1"/>
  <c r="B7209" i="1"/>
  <c r="C7209" i="1"/>
  <c r="D7209" i="1"/>
  <c r="E7209" i="1"/>
  <c r="F7209" i="1"/>
  <c r="G7209" i="1"/>
  <c r="H7209" i="1"/>
  <c r="I7209" i="1"/>
  <c r="J7209" i="1"/>
  <c r="K7209" i="1"/>
  <c r="L7209" i="1"/>
  <c r="A7210" i="1"/>
  <c r="B7210" i="1"/>
  <c r="C7210" i="1"/>
  <c r="D7210" i="1"/>
  <c r="E7210" i="1"/>
  <c r="F7210" i="1"/>
  <c r="G7210" i="1"/>
  <c r="H7210" i="1"/>
  <c r="I7210" i="1"/>
  <c r="J7210" i="1"/>
  <c r="K7210" i="1"/>
  <c r="L7210" i="1"/>
  <c r="A7211" i="1"/>
  <c r="B7211" i="1"/>
  <c r="C7211" i="1"/>
  <c r="D7211" i="1"/>
  <c r="E7211" i="1"/>
  <c r="F7211" i="1"/>
  <c r="G7211" i="1"/>
  <c r="H7211" i="1"/>
  <c r="I7211" i="1"/>
  <c r="J7211" i="1"/>
  <c r="K7211" i="1"/>
  <c r="L7211" i="1"/>
  <c r="A7212" i="1"/>
  <c r="B7212" i="1"/>
  <c r="C7212" i="1"/>
  <c r="D7212" i="1"/>
  <c r="E7212" i="1"/>
  <c r="F7212" i="1"/>
  <c r="G7212" i="1"/>
  <c r="H7212" i="1"/>
  <c r="I7212" i="1"/>
  <c r="J7212" i="1"/>
  <c r="K7212" i="1"/>
  <c r="L7212" i="1"/>
  <c r="A7213" i="1"/>
  <c r="B7213" i="1"/>
  <c r="C7213" i="1"/>
  <c r="D7213" i="1"/>
  <c r="E7213" i="1"/>
  <c r="F7213" i="1"/>
  <c r="G7213" i="1"/>
  <c r="H7213" i="1"/>
  <c r="I7213" i="1"/>
  <c r="J7213" i="1"/>
  <c r="K7213" i="1"/>
  <c r="L7213" i="1"/>
  <c r="A7214" i="1"/>
  <c r="B7214" i="1"/>
  <c r="C7214" i="1"/>
  <c r="D7214" i="1"/>
  <c r="E7214" i="1"/>
  <c r="F7214" i="1"/>
  <c r="G7214" i="1"/>
  <c r="H7214" i="1"/>
  <c r="I7214" i="1"/>
  <c r="J7214" i="1"/>
  <c r="K7214" i="1"/>
  <c r="L7214" i="1"/>
  <c r="A7215" i="1"/>
  <c r="B7215" i="1"/>
  <c r="C7215" i="1"/>
  <c r="D7215" i="1"/>
  <c r="E7215" i="1"/>
  <c r="F7215" i="1"/>
  <c r="G7215" i="1"/>
  <c r="H7215" i="1"/>
  <c r="I7215" i="1"/>
  <c r="J7215" i="1"/>
  <c r="K7215" i="1"/>
  <c r="L7215" i="1"/>
  <c r="A7216" i="1"/>
  <c r="B7216" i="1"/>
  <c r="C7216" i="1"/>
  <c r="D7216" i="1"/>
  <c r="E7216" i="1"/>
  <c r="F7216" i="1"/>
  <c r="G7216" i="1"/>
  <c r="H7216" i="1"/>
  <c r="I7216" i="1"/>
  <c r="J7216" i="1"/>
  <c r="K7216" i="1"/>
  <c r="L7216" i="1"/>
  <c r="A7217" i="1"/>
  <c r="B7217" i="1"/>
  <c r="C7217" i="1"/>
  <c r="D7217" i="1"/>
  <c r="E7217" i="1"/>
  <c r="F7217" i="1"/>
  <c r="G7217" i="1"/>
  <c r="H7217" i="1"/>
  <c r="I7217" i="1"/>
  <c r="J7217" i="1"/>
  <c r="K7217" i="1"/>
  <c r="L7217" i="1"/>
  <c r="A7218" i="1"/>
  <c r="B7218" i="1"/>
  <c r="C7218" i="1"/>
  <c r="D7218" i="1"/>
  <c r="E7218" i="1"/>
  <c r="F7218" i="1"/>
  <c r="G7218" i="1"/>
  <c r="H7218" i="1"/>
  <c r="I7218" i="1"/>
  <c r="J7218" i="1"/>
  <c r="K7218" i="1"/>
  <c r="L7218" i="1"/>
  <c r="A7219" i="1"/>
  <c r="B7219" i="1"/>
  <c r="C7219" i="1"/>
  <c r="D7219" i="1"/>
  <c r="E7219" i="1"/>
  <c r="F7219" i="1"/>
  <c r="G7219" i="1"/>
  <c r="H7219" i="1"/>
  <c r="I7219" i="1"/>
  <c r="J7219" i="1"/>
  <c r="K7219" i="1"/>
  <c r="L7219" i="1"/>
  <c r="A7220" i="1"/>
  <c r="B7220" i="1"/>
  <c r="C7220" i="1"/>
  <c r="D7220" i="1"/>
  <c r="E7220" i="1"/>
  <c r="F7220" i="1"/>
  <c r="G7220" i="1"/>
  <c r="H7220" i="1"/>
  <c r="I7220" i="1"/>
  <c r="J7220" i="1"/>
  <c r="K7220" i="1"/>
  <c r="L7220" i="1"/>
  <c r="A7221" i="1"/>
  <c r="B7221" i="1"/>
  <c r="C7221" i="1"/>
  <c r="D7221" i="1"/>
  <c r="E7221" i="1"/>
  <c r="F7221" i="1"/>
  <c r="G7221" i="1"/>
  <c r="H7221" i="1"/>
  <c r="I7221" i="1"/>
  <c r="J7221" i="1"/>
  <c r="K7221" i="1"/>
  <c r="L7221" i="1"/>
  <c r="A7222" i="1"/>
  <c r="B7222" i="1"/>
  <c r="C7222" i="1"/>
  <c r="D7222" i="1"/>
  <c r="E7222" i="1"/>
  <c r="F7222" i="1"/>
  <c r="G7222" i="1"/>
  <c r="H7222" i="1"/>
  <c r="I7222" i="1"/>
  <c r="J7222" i="1"/>
  <c r="K7222" i="1"/>
  <c r="L7222" i="1"/>
  <c r="A7223" i="1"/>
  <c r="B7223" i="1"/>
  <c r="C7223" i="1"/>
  <c r="D7223" i="1"/>
  <c r="E7223" i="1"/>
  <c r="F7223" i="1"/>
  <c r="G7223" i="1"/>
  <c r="H7223" i="1"/>
  <c r="I7223" i="1"/>
  <c r="J7223" i="1"/>
  <c r="K7223" i="1"/>
  <c r="L7223" i="1"/>
  <c r="A7224" i="1"/>
  <c r="B7224" i="1"/>
  <c r="C7224" i="1"/>
  <c r="D7224" i="1"/>
  <c r="E7224" i="1"/>
  <c r="F7224" i="1"/>
  <c r="G7224" i="1"/>
  <c r="H7224" i="1"/>
  <c r="I7224" i="1"/>
  <c r="J7224" i="1"/>
  <c r="K7224" i="1"/>
  <c r="L7224" i="1"/>
  <c r="A7225" i="1"/>
  <c r="B7225" i="1"/>
  <c r="C7225" i="1"/>
  <c r="D7225" i="1"/>
  <c r="E7225" i="1"/>
  <c r="F7225" i="1"/>
  <c r="G7225" i="1"/>
  <c r="H7225" i="1"/>
  <c r="I7225" i="1"/>
  <c r="J7225" i="1"/>
  <c r="K7225" i="1"/>
  <c r="L7225" i="1"/>
  <c r="A7226" i="1"/>
  <c r="B7226" i="1"/>
  <c r="C7226" i="1"/>
  <c r="D7226" i="1"/>
  <c r="E7226" i="1"/>
  <c r="F7226" i="1"/>
  <c r="G7226" i="1"/>
  <c r="H7226" i="1"/>
  <c r="I7226" i="1"/>
  <c r="J7226" i="1"/>
  <c r="K7226" i="1"/>
  <c r="L7226" i="1"/>
  <c r="A7227" i="1"/>
  <c r="B7227" i="1"/>
  <c r="C7227" i="1"/>
  <c r="D7227" i="1"/>
  <c r="E7227" i="1"/>
  <c r="F7227" i="1"/>
  <c r="G7227" i="1"/>
  <c r="H7227" i="1"/>
  <c r="I7227" i="1"/>
  <c r="J7227" i="1"/>
  <c r="K7227" i="1"/>
  <c r="L7227" i="1"/>
  <c r="A7228" i="1"/>
  <c r="B7228" i="1"/>
  <c r="C7228" i="1"/>
  <c r="D7228" i="1"/>
  <c r="E7228" i="1"/>
  <c r="F7228" i="1"/>
  <c r="G7228" i="1"/>
  <c r="H7228" i="1"/>
  <c r="I7228" i="1"/>
  <c r="J7228" i="1"/>
  <c r="K7228" i="1"/>
  <c r="L7228" i="1"/>
  <c r="A7229" i="1"/>
  <c r="B7229" i="1"/>
  <c r="C7229" i="1"/>
  <c r="D7229" i="1"/>
  <c r="E7229" i="1"/>
  <c r="F7229" i="1"/>
  <c r="G7229" i="1"/>
  <c r="H7229" i="1"/>
  <c r="I7229" i="1"/>
  <c r="J7229" i="1"/>
  <c r="K7229" i="1"/>
  <c r="L7229" i="1"/>
  <c r="A7230" i="1"/>
  <c r="B7230" i="1"/>
  <c r="C7230" i="1"/>
  <c r="D7230" i="1"/>
  <c r="E7230" i="1"/>
  <c r="F7230" i="1"/>
  <c r="G7230" i="1"/>
  <c r="H7230" i="1"/>
  <c r="I7230" i="1"/>
  <c r="J7230" i="1"/>
  <c r="K7230" i="1"/>
  <c r="L7230" i="1"/>
  <c r="A7231" i="1"/>
  <c r="B7231" i="1"/>
  <c r="C7231" i="1"/>
  <c r="D7231" i="1"/>
  <c r="E7231" i="1"/>
  <c r="F7231" i="1"/>
  <c r="G7231" i="1"/>
  <c r="H7231" i="1"/>
  <c r="I7231" i="1"/>
  <c r="J7231" i="1"/>
  <c r="K7231" i="1"/>
  <c r="L7231" i="1"/>
  <c r="A7232" i="1"/>
  <c r="B7232" i="1"/>
  <c r="C7232" i="1"/>
  <c r="D7232" i="1"/>
  <c r="E7232" i="1"/>
  <c r="F7232" i="1"/>
  <c r="G7232" i="1"/>
  <c r="H7232" i="1"/>
  <c r="I7232" i="1"/>
  <c r="J7232" i="1"/>
  <c r="K7232" i="1"/>
  <c r="L7232" i="1"/>
  <c r="A7233" i="1"/>
  <c r="B7233" i="1"/>
  <c r="C7233" i="1"/>
  <c r="D7233" i="1"/>
  <c r="E7233" i="1"/>
  <c r="F7233" i="1"/>
  <c r="G7233" i="1"/>
  <c r="H7233" i="1"/>
  <c r="I7233" i="1"/>
  <c r="J7233" i="1"/>
  <c r="K7233" i="1"/>
  <c r="L7233" i="1"/>
  <c r="A7234" i="1"/>
  <c r="B7234" i="1"/>
  <c r="C7234" i="1"/>
  <c r="D7234" i="1"/>
  <c r="E7234" i="1"/>
  <c r="F7234" i="1"/>
  <c r="G7234" i="1"/>
  <c r="H7234" i="1"/>
  <c r="I7234" i="1"/>
  <c r="J7234" i="1"/>
  <c r="K7234" i="1"/>
  <c r="L7234" i="1"/>
  <c r="A7235" i="1"/>
  <c r="B7235" i="1"/>
  <c r="C7235" i="1"/>
  <c r="D7235" i="1"/>
  <c r="E7235" i="1"/>
  <c r="F7235" i="1"/>
  <c r="G7235" i="1"/>
  <c r="H7235" i="1"/>
  <c r="I7235" i="1"/>
  <c r="J7235" i="1"/>
  <c r="K7235" i="1"/>
  <c r="L7235" i="1"/>
  <c r="A7236" i="1"/>
  <c r="B7236" i="1"/>
  <c r="C7236" i="1"/>
  <c r="D7236" i="1"/>
  <c r="E7236" i="1"/>
  <c r="F7236" i="1"/>
  <c r="G7236" i="1"/>
  <c r="H7236" i="1"/>
  <c r="I7236" i="1"/>
  <c r="J7236" i="1"/>
  <c r="K7236" i="1"/>
  <c r="L7236" i="1"/>
  <c r="A7237" i="1"/>
  <c r="B7237" i="1"/>
  <c r="C7237" i="1"/>
  <c r="D7237" i="1"/>
  <c r="E7237" i="1"/>
  <c r="F7237" i="1"/>
  <c r="G7237" i="1"/>
  <c r="H7237" i="1"/>
  <c r="I7237" i="1"/>
  <c r="J7237" i="1"/>
  <c r="K7237" i="1"/>
  <c r="L7237" i="1"/>
  <c r="A7238" i="1"/>
  <c r="B7238" i="1"/>
  <c r="C7238" i="1"/>
  <c r="D7238" i="1"/>
  <c r="E7238" i="1"/>
  <c r="F7238" i="1"/>
  <c r="G7238" i="1"/>
  <c r="H7238" i="1"/>
  <c r="I7238" i="1"/>
  <c r="J7238" i="1"/>
  <c r="K7238" i="1"/>
  <c r="L7238" i="1"/>
  <c r="A7239" i="1"/>
  <c r="B7239" i="1"/>
  <c r="C7239" i="1"/>
  <c r="D7239" i="1"/>
  <c r="E7239" i="1"/>
  <c r="F7239" i="1"/>
  <c r="G7239" i="1"/>
  <c r="H7239" i="1"/>
  <c r="I7239" i="1"/>
  <c r="J7239" i="1"/>
  <c r="K7239" i="1"/>
  <c r="L7239" i="1"/>
  <c r="A7240" i="1"/>
  <c r="B7240" i="1"/>
  <c r="C7240" i="1"/>
  <c r="D7240" i="1"/>
  <c r="E7240" i="1"/>
  <c r="F7240" i="1"/>
  <c r="G7240" i="1"/>
  <c r="H7240" i="1"/>
  <c r="I7240" i="1"/>
  <c r="J7240" i="1"/>
  <c r="K7240" i="1"/>
  <c r="L7240" i="1"/>
  <c r="A7241" i="1"/>
  <c r="B7241" i="1"/>
  <c r="C7241" i="1"/>
  <c r="D7241" i="1"/>
  <c r="E7241" i="1"/>
  <c r="F7241" i="1"/>
  <c r="G7241" i="1"/>
  <c r="H7241" i="1"/>
  <c r="I7241" i="1"/>
  <c r="J7241" i="1"/>
  <c r="K7241" i="1"/>
  <c r="L7241" i="1"/>
  <c r="A7242" i="1"/>
  <c r="B7242" i="1"/>
  <c r="C7242" i="1"/>
  <c r="D7242" i="1"/>
  <c r="E7242" i="1"/>
  <c r="F7242" i="1"/>
  <c r="G7242" i="1"/>
  <c r="H7242" i="1"/>
  <c r="I7242" i="1"/>
  <c r="J7242" i="1"/>
  <c r="K7242" i="1"/>
  <c r="L7242" i="1"/>
  <c r="A7243" i="1"/>
  <c r="B7243" i="1"/>
  <c r="C7243" i="1"/>
  <c r="D7243" i="1"/>
  <c r="E7243" i="1"/>
  <c r="F7243" i="1"/>
  <c r="G7243" i="1"/>
  <c r="H7243" i="1"/>
  <c r="I7243" i="1"/>
  <c r="J7243" i="1"/>
  <c r="K7243" i="1"/>
  <c r="L7243" i="1"/>
  <c r="A7244" i="1"/>
  <c r="B7244" i="1"/>
  <c r="C7244" i="1"/>
  <c r="D7244" i="1"/>
  <c r="E7244" i="1"/>
  <c r="F7244" i="1"/>
  <c r="G7244" i="1"/>
  <c r="H7244" i="1"/>
  <c r="I7244" i="1"/>
  <c r="J7244" i="1"/>
  <c r="K7244" i="1"/>
  <c r="L7244" i="1"/>
  <c r="A7245" i="1"/>
  <c r="B7245" i="1"/>
  <c r="C7245" i="1"/>
  <c r="D7245" i="1"/>
  <c r="E7245" i="1"/>
  <c r="F7245" i="1"/>
  <c r="G7245" i="1"/>
  <c r="H7245" i="1"/>
  <c r="I7245" i="1"/>
  <c r="J7245" i="1"/>
  <c r="K7245" i="1"/>
  <c r="L7245" i="1"/>
  <c r="A7246" i="1"/>
  <c r="B7246" i="1"/>
  <c r="C7246" i="1"/>
  <c r="D7246" i="1"/>
  <c r="E7246" i="1"/>
  <c r="F7246" i="1"/>
  <c r="G7246" i="1"/>
  <c r="H7246" i="1"/>
  <c r="I7246" i="1"/>
  <c r="J7246" i="1"/>
  <c r="K7246" i="1"/>
  <c r="L7246" i="1"/>
  <c r="A7247" i="1"/>
  <c r="B7247" i="1"/>
  <c r="C7247" i="1"/>
  <c r="D7247" i="1"/>
  <c r="E7247" i="1"/>
  <c r="F7247" i="1"/>
  <c r="G7247" i="1"/>
  <c r="H7247" i="1"/>
  <c r="I7247" i="1"/>
  <c r="J7247" i="1"/>
  <c r="K7247" i="1"/>
  <c r="L7247" i="1"/>
  <c r="A7248" i="1"/>
  <c r="B7248" i="1"/>
  <c r="C7248" i="1"/>
  <c r="D7248" i="1"/>
  <c r="E7248" i="1"/>
  <c r="F7248" i="1"/>
  <c r="G7248" i="1"/>
  <c r="H7248" i="1"/>
  <c r="I7248" i="1"/>
  <c r="J7248" i="1"/>
  <c r="K7248" i="1"/>
  <c r="L7248" i="1"/>
  <c r="A7249" i="1"/>
  <c r="B7249" i="1"/>
  <c r="C7249" i="1"/>
  <c r="D7249" i="1"/>
  <c r="E7249" i="1"/>
  <c r="F7249" i="1"/>
  <c r="G7249" i="1"/>
  <c r="H7249" i="1"/>
  <c r="I7249" i="1"/>
  <c r="J7249" i="1"/>
  <c r="K7249" i="1"/>
  <c r="L7249" i="1"/>
  <c r="A7250" i="1"/>
  <c r="B7250" i="1"/>
  <c r="C7250" i="1"/>
  <c r="D7250" i="1"/>
  <c r="E7250" i="1"/>
  <c r="F7250" i="1"/>
  <c r="G7250" i="1"/>
  <c r="H7250" i="1"/>
  <c r="I7250" i="1"/>
  <c r="J7250" i="1"/>
  <c r="K7250" i="1"/>
  <c r="L7250" i="1"/>
  <c r="A7251" i="1"/>
  <c r="B7251" i="1"/>
  <c r="C7251" i="1"/>
  <c r="D7251" i="1"/>
  <c r="E7251" i="1"/>
  <c r="F7251" i="1"/>
  <c r="G7251" i="1"/>
  <c r="H7251" i="1"/>
  <c r="I7251" i="1"/>
  <c r="J7251" i="1"/>
  <c r="K7251" i="1"/>
  <c r="L7251" i="1"/>
  <c r="A7252" i="1"/>
  <c r="B7252" i="1"/>
  <c r="C7252" i="1"/>
  <c r="D7252" i="1"/>
  <c r="E7252" i="1"/>
  <c r="F7252" i="1"/>
  <c r="G7252" i="1"/>
  <c r="H7252" i="1"/>
  <c r="I7252" i="1"/>
  <c r="J7252" i="1"/>
  <c r="K7252" i="1"/>
  <c r="L7252" i="1"/>
  <c r="A7253" i="1"/>
  <c r="B7253" i="1"/>
  <c r="C7253" i="1"/>
  <c r="D7253" i="1"/>
  <c r="E7253" i="1"/>
  <c r="F7253" i="1"/>
  <c r="G7253" i="1"/>
  <c r="H7253" i="1"/>
  <c r="I7253" i="1"/>
  <c r="J7253" i="1"/>
  <c r="K7253" i="1"/>
  <c r="L7253" i="1"/>
  <c r="A7254" i="1"/>
  <c r="B7254" i="1"/>
  <c r="C7254" i="1"/>
  <c r="D7254" i="1"/>
  <c r="E7254" i="1"/>
  <c r="F7254" i="1"/>
  <c r="G7254" i="1"/>
  <c r="H7254" i="1"/>
  <c r="I7254" i="1"/>
  <c r="J7254" i="1"/>
  <c r="K7254" i="1"/>
  <c r="L7254" i="1"/>
  <c r="A7255" i="1"/>
  <c r="B7255" i="1"/>
  <c r="C7255" i="1"/>
  <c r="D7255" i="1"/>
  <c r="E7255" i="1"/>
  <c r="F7255" i="1"/>
  <c r="G7255" i="1"/>
  <c r="H7255" i="1"/>
  <c r="I7255" i="1"/>
  <c r="J7255" i="1"/>
  <c r="K7255" i="1"/>
  <c r="L7255" i="1"/>
  <c r="A7256" i="1"/>
  <c r="B7256" i="1"/>
  <c r="C7256" i="1"/>
  <c r="D7256" i="1"/>
  <c r="E7256" i="1"/>
  <c r="F7256" i="1"/>
  <c r="G7256" i="1"/>
  <c r="H7256" i="1"/>
  <c r="I7256" i="1"/>
  <c r="J7256" i="1"/>
  <c r="K7256" i="1"/>
  <c r="L7256" i="1"/>
  <c r="A7257" i="1"/>
  <c r="B7257" i="1"/>
  <c r="C7257" i="1"/>
  <c r="D7257" i="1"/>
  <c r="E7257" i="1"/>
  <c r="F7257" i="1"/>
  <c r="G7257" i="1"/>
  <c r="H7257" i="1"/>
  <c r="I7257" i="1"/>
  <c r="J7257" i="1"/>
  <c r="K7257" i="1"/>
  <c r="L7257" i="1"/>
  <c r="A7258" i="1"/>
  <c r="B7258" i="1"/>
  <c r="C7258" i="1"/>
  <c r="D7258" i="1"/>
  <c r="E7258" i="1"/>
  <c r="F7258" i="1"/>
  <c r="G7258" i="1"/>
  <c r="H7258" i="1"/>
  <c r="I7258" i="1"/>
  <c r="J7258" i="1"/>
  <c r="K7258" i="1"/>
  <c r="L7258" i="1"/>
  <c r="A7259" i="1"/>
  <c r="B7259" i="1"/>
  <c r="C7259" i="1"/>
  <c r="D7259" i="1"/>
  <c r="E7259" i="1"/>
  <c r="F7259" i="1"/>
  <c r="G7259" i="1"/>
  <c r="H7259" i="1"/>
  <c r="I7259" i="1"/>
  <c r="J7259" i="1"/>
  <c r="K7259" i="1"/>
  <c r="L7259" i="1"/>
  <c r="A7260" i="1"/>
  <c r="B7260" i="1"/>
  <c r="C7260" i="1"/>
  <c r="D7260" i="1"/>
  <c r="E7260" i="1"/>
  <c r="F7260" i="1"/>
  <c r="G7260" i="1"/>
  <c r="H7260" i="1"/>
  <c r="I7260" i="1"/>
  <c r="J7260" i="1"/>
  <c r="K7260" i="1"/>
  <c r="L7260" i="1"/>
  <c r="A7261" i="1"/>
  <c r="B7261" i="1"/>
  <c r="C7261" i="1"/>
  <c r="D7261" i="1"/>
  <c r="E7261" i="1"/>
  <c r="F7261" i="1"/>
  <c r="G7261" i="1"/>
  <c r="H7261" i="1"/>
  <c r="I7261" i="1"/>
  <c r="J7261" i="1"/>
  <c r="K7261" i="1"/>
  <c r="L7261" i="1"/>
  <c r="A7262" i="1"/>
  <c r="B7262" i="1"/>
  <c r="C7262" i="1"/>
  <c r="D7262" i="1"/>
  <c r="E7262" i="1"/>
  <c r="F7262" i="1"/>
  <c r="G7262" i="1"/>
  <c r="H7262" i="1"/>
  <c r="I7262" i="1"/>
  <c r="J7262" i="1"/>
  <c r="K7262" i="1"/>
  <c r="L7262" i="1"/>
  <c r="A7263" i="1"/>
  <c r="B7263" i="1"/>
  <c r="C7263" i="1"/>
  <c r="D7263" i="1"/>
  <c r="E7263" i="1"/>
  <c r="F7263" i="1"/>
  <c r="G7263" i="1"/>
  <c r="H7263" i="1"/>
  <c r="I7263" i="1"/>
  <c r="J7263" i="1"/>
  <c r="K7263" i="1"/>
  <c r="L7263" i="1"/>
  <c r="A7264" i="1"/>
  <c r="B7264" i="1"/>
  <c r="C7264" i="1"/>
  <c r="D7264" i="1"/>
  <c r="E7264" i="1"/>
  <c r="F7264" i="1"/>
  <c r="G7264" i="1"/>
  <c r="H7264" i="1"/>
  <c r="I7264" i="1"/>
  <c r="J7264" i="1"/>
  <c r="K7264" i="1"/>
  <c r="L7264" i="1"/>
  <c r="A7265" i="1"/>
  <c r="B7265" i="1"/>
  <c r="C7265" i="1"/>
  <c r="D7265" i="1"/>
  <c r="E7265" i="1"/>
  <c r="F7265" i="1"/>
  <c r="G7265" i="1"/>
  <c r="H7265" i="1"/>
  <c r="I7265" i="1"/>
  <c r="J7265" i="1"/>
  <c r="K7265" i="1"/>
  <c r="L7265" i="1"/>
  <c r="A7266" i="1"/>
  <c r="B7266" i="1"/>
  <c r="C7266" i="1"/>
  <c r="D7266" i="1"/>
  <c r="E7266" i="1"/>
  <c r="F7266" i="1"/>
  <c r="G7266" i="1"/>
  <c r="H7266" i="1"/>
  <c r="I7266" i="1"/>
  <c r="J7266" i="1"/>
  <c r="K7266" i="1"/>
  <c r="L7266" i="1"/>
  <c r="A7267" i="1"/>
  <c r="B7267" i="1"/>
  <c r="C7267" i="1"/>
  <c r="D7267" i="1"/>
  <c r="E7267" i="1"/>
  <c r="F7267" i="1"/>
  <c r="G7267" i="1"/>
  <c r="H7267" i="1"/>
  <c r="I7267" i="1"/>
  <c r="J7267" i="1"/>
  <c r="K7267" i="1"/>
  <c r="L7267" i="1"/>
  <c r="A7268" i="1"/>
  <c r="B7268" i="1"/>
  <c r="C7268" i="1"/>
  <c r="D7268" i="1"/>
  <c r="E7268" i="1"/>
  <c r="F7268" i="1"/>
  <c r="G7268" i="1"/>
  <c r="H7268" i="1"/>
  <c r="I7268" i="1"/>
  <c r="J7268" i="1"/>
  <c r="K7268" i="1"/>
  <c r="L7268" i="1"/>
  <c r="A7269" i="1"/>
  <c r="B7269" i="1"/>
  <c r="C7269" i="1"/>
  <c r="D7269" i="1"/>
  <c r="E7269" i="1"/>
  <c r="F7269" i="1"/>
  <c r="G7269" i="1"/>
  <c r="H7269" i="1"/>
  <c r="I7269" i="1"/>
  <c r="J7269" i="1"/>
  <c r="K7269" i="1"/>
  <c r="L7269" i="1"/>
  <c r="A7270" i="1"/>
  <c r="B7270" i="1"/>
  <c r="C7270" i="1"/>
  <c r="D7270" i="1"/>
  <c r="E7270" i="1"/>
  <c r="F7270" i="1"/>
  <c r="G7270" i="1"/>
  <c r="H7270" i="1"/>
  <c r="I7270" i="1"/>
  <c r="J7270" i="1"/>
  <c r="K7270" i="1"/>
  <c r="L7270" i="1"/>
  <c r="A7271" i="1"/>
  <c r="B7271" i="1"/>
  <c r="C7271" i="1"/>
  <c r="D7271" i="1"/>
  <c r="E7271" i="1"/>
  <c r="F7271" i="1"/>
  <c r="G7271" i="1"/>
  <c r="H7271" i="1"/>
  <c r="I7271" i="1"/>
  <c r="J7271" i="1"/>
  <c r="K7271" i="1"/>
  <c r="L7271" i="1"/>
  <c r="A7272" i="1"/>
  <c r="B7272" i="1"/>
  <c r="C7272" i="1"/>
  <c r="D7272" i="1"/>
  <c r="E7272" i="1"/>
  <c r="F7272" i="1"/>
  <c r="G7272" i="1"/>
  <c r="H7272" i="1"/>
  <c r="I7272" i="1"/>
  <c r="J7272" i="1"/>
  <c r="K7272" i="1"/>
  <c r="L7272" i="1"/>
  <c r="A7273" i="1"/>
  <c r="B7273" i="1"/>
  <c r="C7273" i="1"/>
  <c r="D7273" i="1"/>
  <c r="E7273" i="1"/>
  <c r="F7273" i="1"/>
  <c r="G7273" i="1"/>
  <c r="H7273" i="1"/>
  <c r="I7273" i="1"/>
  <c r="J7273" i="1"/>
  <c r="K7273" i="1"/>
  <c r="L7273" i="1"/>
  <c r="A7274" i="1"/>
  <c r="B7274" i="1"/>
  <c r="C7274" i="1"/>
  <c r="D7274" i="1"/>
  <c r="E7274" i="1"/>
  <c r="F7274" i="1"/>
  <c r="G7274" i="1"/>
  <c r="H7274" i="1"/>
  <c r="I7274" i="1"/>
  <c r="J7274" i="1"/>
  <c r="K7274" i="1"/>
  <c r="L7274" i="1"/>
  <c r="A7275" i="1"/>
  <c r="B7275" i="1"/>
  <c r="C7275" i="1"/>
  <c r="D7275" i="1"/>
  <c r="E7275" i="1"/>
  <c r="F7275" i="1"/>
  <c r="G7275" i="1"/>
  <c r="H7275" i="1"/>
  <c r="I7275" i="1"/>
  <c r="J7275" i="1"/>
  <c r="K7275" i="1"/>
  <c r="L7275" i="1"/>
  <c r="A7276" i="1"/>
  <c r="B7276" i="1"/>
  <c r="C7276" i="1"/>
  <c r="D7276" i="1"/>
  <c r="E7276" i="1"/>
  <c r="F7276" i="1"/>
  <c r="G7276" i="1"/>
  <c r="H7276" i="1"/>
  <c r="I7276" i="1"/>
  <c r="J7276" i="1"/>
  <c r="K7276" i="1"/>
  <c r="L7276" i="1"/>
  <c r="A7277" i="1"/>
  <c r="B7277" i="1"/>
  <c r="C7277" i="1"/>
  <c r="D7277" i="1"/>
  <c r="E7277" i="1"/>
  <c r="F7277" i="1"/>
  <c r="G7277" i="1"/>
  <c r="H7277" i="1"/>
  <c r="I7277" i="1"/>
  <c r="J7277" i="1"/>
  <c r="K7277" i="1"/>
  <c r="L7277" i="1"/>
  <c r="A7278" i="1"/>
  <c r="B7278" i="1"/>
  <c r="C7278" i="1"/>
  <c r="D7278" i="1"/>
  <c r="E7278" i="1"/>
  <c r="F7278" i="1"/>
  <c r="G7278" i="1"/>
  <c r="H7278" i="1"/>
  <c r="I7278" i="1"/>
  <c r="J7278" i="1"/>
  <c r="K7278" i="1"/>
  <c r="L7278" i="1"/>
  <c r="A7279" i="1"/>
  <c r="B7279" i="1"/>
  <c r="C7279" i="1"/>
  <c r="D7279" i="1"/>
  <c r="E7279" i="1"/>
  <c r="F7279" i="1"/>
  <c r="G7279" i="1"/>
  <c r="H7279" i="1"/>
  <c r="I7279" i="1"/>
  <c r="J7279" i="1"/>
  <c r="K7279" i="1"/>
  <c r="L7279" i="1"/>
  <c r="A7280" i="1"/>
  <c r="B7280" i="1"/>
  <c r="C7280" i="1"/>
  <c r="D7280" i="1"/>
  <c r="E7280" i="1"/>
  <c r="F7280" i="1"/>
  <c r="G7280" i="1"/>
  <c r="H7280" i="1"/>
  <c r="I7280" i="1"/>
  <c r="J7280" i="1"/>
  <c r="K7280" i="1"/>
  <c r="L7280" i="1"/>
  <c r="A7281" i="1"/>
  <c r="B7281" i="1"/>
  <c r="C7281" i="1"/>
  <c r="D7281" i="1"/>
  <c r="E7281" i="1"/>
  <c r="F7281" i="1"/>
  <c r="G7281" i="1"/>
  <c r="H7281" i="1"/>
  <c r="I7281" i="1"/>
  <c r="J7281" i="1"/>
  <c r="K7281" i="1"/>
  <c r="L7281" i="1"/>
  <c r="A7282" i="1"/>
  <c r="B7282" i="1"/>
  <c r="C7282" i="1"/>
  <c r="D7282" i="1"/>
  <c r="E7282" i="1"/>
  <c r="F7282" i="1"/>
  <c r="G7282" i="1"/>
  <c r="H7282" i="1"/>
  <c r="I7282" i="1"/>
  <c r="J7282" i="1"/>
  <c r="K7282" i="1"/>
  <c r="L7282" i="1"/>
  <c r="A7283" i="1"/>
  <c r="B7283" i="1"/>
  <c r="C7283" i="1"/>
  <c r="D7283" i="1"/>
  <c r="E7283" i="1"/>
  <c r="F7283" i="1"/>
  <c r="G7283" i="1"/>
  <c r="H7283" i="1"/>
  <c r="I7283" i="1"/>
  <c r="J7283" i="1"/>
  <c r="K7283" i="1"/>
  <c r="L7283" i="1"/>
  <c r="A7284" i="1"/>
  <c r="B7284" i="1"/>
  <c r="C7284" i="1"/>
  <c r="D7284" i="1"/>
  <c r="E7284" i="1"/>
  <c r="F7284" i="1"/>
  <c r="G7284" i="1"/>
  <c r="H7284" i="1"/>
  <c r="I7284" i="1"/>
  <c r="J7284" i="1"/>
  <c r="K7284" i="1"/>
  <c r="L7284" i="1"/>
  <c r="A7285" i="1"/>
  <c r="B7285" i="1"/>
  <c r="C7285" i="1"/>
  <c r="D7285" i="1"/>
  <c r="E7285" i="1"/>
  <c r="F7285" i="1"/>
  <c r="G7285" i="1"/>
  <c r="H7285" i="1"/>
  <c r="I7285" i="1"/>
  <c r="J7285" i="1"/>
  <c r="K7285" i="1"/>
  <c r="L7285" i="1"/>
  <c r="A7286" i="1"/>
  <c r="B7286" i="1"/>
  <c r="C7286" i="1"/>
  <c r="D7286" i="1"/>
  <c r="E7286" i="1"/>
  <c r="F7286" i="1"/>
  <c r="G7286" i="1"/>
  <c r="H7286" i="1"/>
  <c r="I7286" i="1"/>
  <c r="J7286" i="1"/>
  <c r="K7286" i="1"/>
  <c r="L7286" i="1"/>
  <c r="A7287" i="1"/>
  <c r="B7287" i="1"/>
  <c r="C7287" i="1"/>
  <c r="D7287" i="1"/>
  <c r="E7287" i="1"/>
  <c r="F7287" i="1"/>
  <c r="G7287" i="1"/>
  <c r="H7287" i="1"/>
  <c r="I7287" i="1"/>
  <c r="J7287" i="1"/>
  <c r="K7287" i="1"/>
  <c r="L7287" i="1"/>
  <c r="A7288" i="1"/>
  <c r="B7288" i="1"/>
  <c r="C7288" i="1"/>
  <c r="D7288" i="1"/>
  <c r="E7288" i="1"/>
  <c r="F7288" i="1"/>
  <c r="G7288" i="1"/>
  <c r="H7288" i="1"/>
  <c r="I7288" i="1"/>
  <c r="J7288" i="1"/>
  <c r="K7288" i="1"/>
  <c r="L7288" i="1"/>
  <c r="A7289" i="1"/>
  <c r="B7289" i="1"/>
  <c r="C7289" i="1"/>
  <c r="D7289" i="1"/>
  <c r="E7289" i="1"/>
  <c r="F7289" i="1"/>
  <c r="G7289" i="1"/>
  <c r="H7289" i="1"/>
  <c r="I7289" i="1"/>
  <c r="J7289" i="1"/>
  <c r="K7289" i="1"/>
  <c r="L7289" i="1"/>
  <c r="A7290" i="1"/>
  <c r="B7290" i="1"/>
  <c r="C7290" i="1"/>
  <c r="D7290" i="1"/>
  <c r="E7290" i="1"/>
  <c r="F7290" i="1"/>
  <c r="G7290" i="1"/>
  <c r="H7290" i="1"/>
  <c r="I7290" i="1"/>
  <c r="J7290" i="1"/>
  <c r="K7290" i="1"/>
  <c r="L7290" i="1"/>
  <c r="A7291" i="1"/>
  <c r="B7291" i="1"/>
  <c r="C7291" i="1"/>
  <c r="D7291" i="1"/>
  <c r="E7291" i="1"/>
  <c r="F7291" i="1"/>
  <c r="G7291" i="1"/>
  <c r="H7291" i="1"/>
  <c r="I7291" i="1"/>
  <c r="J7291" i="1"/>
  <c r="K7291" i="1"/>
  <c r="L7291" i="1"/>
  <c r="A7292" i="1"/>
  <c r="B7292" i="1"/>
  <c r="C7292" i="1"/>
  <c r="D7292" i="1"/>
  <c r="E7292" i="1"/>
  <c r="F7292" i="1"/>
  <c r="G7292" i="1"/>
  <c r="H7292" i="1"/>
  <c r="I7292" i="1"/>
  <c r="J7292" i="1"/>
  <c r="K7292" i="1"/>
  <c r="L7292" i="1"/>
  <c r="A7293" i="1"/>
  <c r="B7293" i="1"/>
  <c r="C7293" i="1"/>
  <c r="D7293" i="1"/>
  <c r="E7293" i="1"/>
  <c r="F7293" i="1"/>
  <c r="G7293" i="1"/>
  <c r="H7293" i="1"/>
  <c r="I7293" i="1"/>
  <c r="J7293" i="1"/>
  <c r="K7293" i="1"/>
  <c r="L7293" i="1"/>
  <c r="A7294" i="1"/>
  <c r="B7294" i="1"/>
  <c r="C7294" i="1"/>
  <c r="D7294" i="1"/>
  <c r="E7294" i="1"/>
  <c r="F7294" i="1"/>
  <c r="G7294" i="1"/>
  <c r="H7294" i="1"/>
  <c r="I7294" i="1"/>
  <c r="J7294" i="1"/>
  <c r="K7294" i="1"/>
  <c r="L7294" i="1"/>
  <c r="A7295" i="1"/>
  <c r="B7295" i="1"/>
  <c r="C7295" i="1"/>
  <c r="D7295" i="1"/>
  <c r="E7295" i="1"/>
  <c r="F7295" i="1"/>
  <c r="G7295" i="1"/>
  <c r="H7295" i="1"/>
  <c r="I7295" i="1"/>
  <c r="J7295" i="1"/>
  <c r="K7295" i="1"/>
  <c r="L7295" i="1"/>
  <c r="A7296" i="1"/>
  <c r="B7296" i="1"/>
  <c r="C7296" i="1"/>
  <c r="D7296" i="1"/>
  <c r="E7296" i="1"/>
  <c r="F7296" i="1"/>
  <c r="G7296" i="1"/>
  <c r="H7296" i="1"/>
  <c r="I7296" i="1"/>
  <c r="J7296" i="1"/>
  <c r="K7296" i="1"/>
  <c r="L7296" i="1"/>
  <c r="A7297" i="1"/>
  <c r="B7297" i="1"/>
  <c r="C7297" i="1"/>
  <c r="D7297" i="1"/>
  <c r="E7297" i="1"/>
  <c r="F7297" i="1"/>
  <c r="G7297" i="1"/>
  <c r="H7297" i="1"/>
  <c r="I7297" i="1"/>
  <c r="J7297" i="1"/>
  <c r="K7297" i="1"/>
  <c r="L7297" i="1"/>
  <c r="A7298" i="1"/>
  <c r="B7298" i="1"/>
  <c r="C7298" i="1"/>
  <c r="D7298" i="1"/>
  <c r="E7298" i="1"/>
  <c r="F7298" i="1"/>
  <c r="G7298" i="1"/>
  <c r="H7298" i="1"/>
  <c r="I7298" i="1"/>
  <c r="J7298" i="1"/>
  <c r="K7298" i="1"/>
  <c r="L7298" i="1"/>
  <c r="A7299" i="1"/>
  <c r="B7299" i="1"/>
  <c r="C7299" i="1"/>
  <c r="D7299" i="1"/>
  <c r="E7299" i="1"/>
  <c r="F7299" i="1"/>
  <c r="G7299" i="1"/>
  <c r="H7299" i="1"/>
  <c r="I7299" i="1"/>
  <c r="J7299" i="1"/>
  <c r="K7299" i="1"/>
  <c r="L7299" i="1"/>
  <c r="A7300" i="1"/>
  <c r="B7300" i="1"/>
  <c r="C7300" i="1"/>
  <c r="D7300" i="1"/>
  <c r="E7300" i="1"/>
  <c r="F7300" i="1"/>
  <c r="G7300" i="1"/>
  <c r="H7300" i="1"/>
  <c r="I7300" i="1"/>
  <c r="J7300" i="1"/>
  <c r="K7300" i="1"/>
  <c r="L7300" i="1"/>
  <c r="A7301" i="1"/>
  <c r="B7301" i="1"/>
  <c r="C7301" i="1"/>
  <c r="D7301" i="1"/>
  <c r="E7301" i="1"/>
  <c r="F7301" i="1"/>
  <c r="G7301" i="1"/>
  <c r="H7301" i="1"/>
  <c r="I7301" i="1"/>
  <c r="J7301" i="1"/>
  <c r="K7301" i="1"/>
  <c r="L7301" i="1"/>
  <c r="A7302" i="1"/>
  <c r="B7302" i="1"/>
  <c r="C7302" i="1"/>
  <c r="D7302" i="1"/>
  <c r="E7302" i="1"/>
  <c r="F7302" i="1"/>
  <c r="G7302" i="1"/>
  <c r="H7302" i="1"/>
  <c r="I7302" i="1"/>
  <c r="J7302" i="1"/>
  <c r="K7302" i="1"/>
  <c r="L7302" i="1"/>
  <c r="A7303" i="1"/>
  <c r="B7303" i="1"/>
  <c r="C7303" i="1"/>
  <c r="D7303" i="1"/>
  <c r="E7303" i="1"/>
  <c r="F7303" i="1"/>
  <c r="G7303" i="1"/>
  <c r="H7303" i="1"/>
  <c r="I7303" i="1"/>
  <c r="J7303" i="1"/>
  <c r="K7303" i="1"/>
  <c r="L7303" i="1"/>
  <c r="A7304" i="1"/>
  <c r="B7304" i="1"/>
  <c r="C7304" i="1"/>
  <c r="D7304" i="1"/>
  <c r="E7304" i="1"/>
  <c r="F7304" i="1"/>
  <c r="G7304" i="1"/>
  <c r="H7304" i="1"/>
  <c r="I7304" i="1"/>
  <c r="J7304" i="1"/>
  <c r="K7304" i="1"/>
  <c r="L7304" i="1"/>
  <c r="A7305" i="1"/>
  <c r="B7305" i="1"/>
  <c r="C7305" i="1"/>
  <c r="D7305" i="1"/>
  <c r="E7305" i="1"/>
  <c r="F7305" i="1"/>
  <c r="G7305" i="1"/>
  <c r="H7305" i="1"/>
  <c r="I7305" i="1"/>
  <c r="J7305" i="1"/>
  <c r="K7305" i="1"/>
  <c r="L7305" i="1"/>
  <c r="A7306" i="1"/>
  <c r="B7306" i="1"/>
  <c r="C7306" i="1"/>
  <c r="D7306" i="1"/>
  <c r="E7306" i="1"/>
  <c r="F7306" i="1"/>
  <c r="G7306" i="1"/>
  <c r="H7306" i="1"/>
  <c r="I7306" i="1"/>
  <c r="J7306" i="1"/>
  <c r="K7306" i="1"/>
  <c r="L7306" i="1"/>
  <c r="A7307" i="1"/>
  <c r="B7307" i="1"/>
  <c r="C7307" i="1"/>
  <c r="D7307" i="1"/>
  <c r="E7307" i="1"/>
  <c r="F7307" i="1"/>
  <c r="G7307" i="1"/>
  <c r="H7307" i="1"/>
  <c r="I7307" i="1"/>
  <c r="J7307" i="1"/>
  <c r="K7307" i="1"/>
  <c r="L7307" i="1"/>
  <c r="A7308" i="1"/>
  <c r="B7308" i="1"/>
  <c r="C7308" i="1"/>
  <c r="D7308" i="1"/>
  <c r="E7308" i="1"/>
  <c r="F7308" i="1"/>
  <c r="G7308" i="1"/>
  <c r="H7308" i="1"/>
  <c r="I7308" i="1"/>
  <c r="J7308" i="1"/>
  <c r="K7308" i="1"/>
  <c r="L7308" i="1"/>
  <c r="A7309" i="1"/>
  <c r="B7309" i="1"/>
  <c r="C7309" i="1"/>
  <c r="D7309" i="1"/>
  <c r="E7309" i="1"/>
  <c r="F7309" i="1"/>
  <c r="G7309" i="1"/>
  <c r="H7309" i="1"/>
  <c r="I7309" i="1"/>
  <c r="J7309" i="1"/>
  <c r="K7309" i="1"/>
  <c r="L7309" i="1"/>
  <c r="A7310" i="1"/>
  <c r="B7310" i="1"/>
  <c r="C7310" i="1"/>
  <c r="D7310" i="1"/>
  <c r="E7310" i="1"/>
  <c r="F7310" i="1"/>
  <c r="G7310" i="1"/>
  <c r="H7310" i="1"/>
  <c r="I7310" i="1"/>
  <c r="J7310" i="1"/>
  <c r="K7310" i="1"/>
  <c r="L7310" i="1"/>
  <c r="A7311" i="1"/>
  <c r="B7311" i="1"/>
  <c r="C7311" i="1"/>
  <c r="D7311" i="1"/>
  <c r="E7311" i="1"/>
  <c r="F7311" i="1"/>
  <c r="G7311" i="1"/>
  <c r="H7311" i="1"/>
  <c r="I7311" i="1"/>
  <c r="J7311" i="1"/>
  <c r="K7311" i="1"/>
  <c r="L7311" i="1"/>
  <c r="A7312" i="1"/>
  <c r="B7312" i="1"/>
  <c r="C7312" i="1"/>
  <c r="D7312" i="1"/>
  <c r="E7312" i="1"/>
  <c r="F7312" i="1"/>
  <c r="G7312" i="1"/>
  <c r="H7312" i="1"/>
  <c r="I7312" i="1"/>
  <c r="J7312" i="1"/>
  <c r="K7312" i="1"/>
  <c r="L7312" i="1"/>
  <c r="A7313" i="1"/>
  <c r="B7313" i="1"/>
  <c r="C7313" i="1"/>
  <c r="D7313" i="1"/>
  <c r="E7313" i="1"/>
  <c r="F7313" i="1"/>
  <c r="G7313" i="1"/>
  <c r="H7313" i="1"/>
  <c r="I7313" i="1"/>
  <c r="J7313" i="1"/>
  <c r="K7313" i="1"/>
  <c r="L7313" i="1"/>
  <c r="A7314" i="1"/>
  <c r="B7314" i="1"/>
  <c r="C7314" i="1"/>
  <c r="D7314" i="1"/>
  <c r="E7314" i="1"/>
  <c r="F7314" i="1"/>
  <c r="G7314" i="1"/>
  <c r="H7314" i="1"/>
  <c r="I7314" i="1"/>
  <c r="J7314" i="1"/>
  <c r="K7314" i="1"/>
  <c r="L7314" i="1"/>
  <c r="A7315" i="1"/>
  <c r="B7315" i="1"/>
  <c r="C7315" i="1"/>
  <c r="D7315" i="1"/>
  <c r="E7315" i="1"/>
  <c r="F7315" i="1"/>
  <c r="G7315" i="1"/>
  <c r="H7315" i="1"/>
  <c r="I7315" i="1"/>
  <c r="J7315" i="1"/>
  <c r="K7315" i="1"/>
  <c r="L7315" i="1"/>
  <c r="A7316" i="1"/>
  <c r="B7316" i="1"/>
  <c r="C7316" i="1"/>
  <c r="D7316" i="1"/>
  <c r="E7316" i="1"/>
  <c r="F7316" i="1"/>
  <c r="G7316" i="1"/>
  <c r="H7316" i="1"/>
  <c r="I7316" i="1"/>
  <c r="J7316" i="1"/>
  <c r="K7316" i="1"/>
  <c r="L7316" i="1"/>
  <c r="A7317" i="1"/>
  <c r="B7317" i="1"/>
  <c r="C7317" i="1"/>
  <c r="D7317" i="1"/>
  <c r="E7317" i="1"/>
  <c r="F7317" i="1"/>
  <c r="G7317" i="1"/>
  <c r="H7317" i="1"/>
  <c r="I7317" i="1"/>
  <c r="J7317" i="1"/>
  <c r="K7317" i="1"/>
  <c r="L7317" i="1"/>
  <c r="A7318" i="1"/>
  <c r="B7318" i="1"/>
  <c r="C7318" i="1"/>
  <c r="D7318" i="1"/>
  <c r="E7318" i="1"/>
  <c r="F7318" i="1"/>
  <c r="G7318" i="1"/>
  <c r="H7318" i="1"/>
  <c r="I7318" i="1"/>
  <c r="J7318" i="1"/>
  <c r="K7318" i="1"/>
  <c r="L7318" i="1"/>
  <c r="A7319" i="1"/>
  <c r="B7319" i="1"/>
  <c r="C7319" i="1"/>
  <c r="D7319" i="1"/>
  <c r="E7319" i="1"/>
  <c r="F7319" i="1"/>
  <c r="G7319" i="1"/>
  <c r="H7319" i="1"/>
  <c r="I7319" i="1"/>
  <c r="J7319" i="1"/>
  <c r="K7319" i="1"/>
  <c r="L7319" i="1"/>
  <c r="A7320" i="1"/>
  <c r="B7320" i="1"/>
  <c r="C7320" i="1"/>
  <c r="D7320" i="1"/>
  <c r="E7320" i="1"/>
  <c r="F7320" i="1"/>
  <c r="G7320" i="1"/>
  <c r="H7320" i="1"/>
  <c r="I7320" i="1"/>
  <c r="J7320" i="1"/>
  <c r="K7320" i="1"/>
  <c r="L7320" i="1"/>
  <c r="A7321" i="1"/>
  <c r="B7321" i="1"/>
  <c r="C7321" i="1"/>
  <c r="D7321" i="1"/>
  <c r="E7321" i="1"/>
  <c r="F7321" i="1"/>
  <c r="G7321" i="1"/>
  <c r="H7321" i="1"/>
  <c r="I7321" i="1"/>
  <c r="J7321" i="1"/>
  <c r="K7321" i="1"/>
  <c r="L7321" i="1"/>
  <c r="A7322" i="1"/>
  <c r="B7322" i="1"/>
  <c r="C7322" i="1"/>
  <c r="D7322" i="1"/>
  <c r="E7322" i="1"/>
  <c r="F7322" i="1"/>
  <c r="G7322" i="1"/>
  <c r="H7322" i="1"/>
  <c r="I7322" i="1"/>
  <c r="J7322" i="1"/>
  <c r="K7322" i="1"/>
  <c r="L7322" i="1"/>
  <c r="A7323" i="1"/>
  <c r="B7323" i="1"/>
  <c r="C7323" i="1"/>
  <c r="D7323" i="1"/>
  <c r="E7323" i="1"/>
  <c r="F7323" i="1"/>
  <c r="G7323" i="1"/>
  <c r="H7323" i="1"/>
  <c r="I7323" i="1"/>
  <c r="J7323" i="1"/>
  <c r="K7323" i="1"/>
  <c r="L7323" i="1"/>
  <c r="A7324" i="1"/>
  <c r="B7324" i="1"/>
  <c r="C7324" i="1"/>
  <c r="D7324" i="1"/>
  <c r="E7324" i="1"/>
  <c r="F7324" i="1"/>
  <c r="G7324" i="1"/>
  <c r="H7324" i="1"/>
  <c r="I7324" i="1"/>
  <c r="J7324" i="1"/>
  <c r="K7324" i="1"/>
  <c r="L7324" i="1"/>
  <c r="A7325" i="1"/>
  <c r="B7325" i="1"/>
  <c r="C7325" i="1"/>
  <c r="D7325" i="1"/>
  <c r="E7325" i="1"/>
  <c r="F7325" i="1"/>
  <c r="G7325" i="1"/>
  <c r="H7325" i="1"/>
  <c r="I7325" i="1"/>
  <c r="J7325" i="1"/>
  <c r="K7325" i="1"/>
  <c r="L7325" i="1"/>
  <c r="A7326" i="1"/>
  <c r="B7326" i="1"/>
  <c r="C7326" i="1"/>
  <c r="D7326" i="1"/>
  <c r="E7326" i="1"/>
  <c r="F7326" i="1"/>
  <c r="G7326" i="1"/>
  <c r="H7326" i="1"/>
  <c r="I7326" i="1"/>
  <c r="J7326" i="1"/>
  <c r="K7326" i="1"/>
  <c r="L7326" i="1"/>
  <c r="A7327" i="1"/>
  <c r="B7327" i="1"/>
  <c r="C7327" i="1"/>
  <c r="D7327" i="1"/>
  <c r="E7327" i="1"/>
  <c r="F7327" i="1"/>
  <c r="G7327" i="1"/>
  <c r="H7327" i="1"/>
  <c r="I7327" i="1"/>
  <c r="J7327" i="1"/>
  <c r="K7327" i="1"/>
  <c r="L7327" i="1"/>
  <c r="A7328" i="1"/>
  <c r="B7328" i="1"/>
  <c r="C7328" i="1"/>
  <c r="D7328" i="1"/>
  <c r="E7328" i="1"/>
  <c r="F7328" i="1"/>
  <c r="G7328" i="1"/>
  <c r="H7328" i="1"/>
  <c r="I7328" i="1"/>
  <c r="J7328" i="1"/>
  <c r="K7328" i="1"/>
  <c r="L7328" i="1"/>
  <c r="A7329" i="1"/>
  <c r="B7329" i="1"/>
  <c r="C7329" i="1"/>
  <c r="D7329" i="1"/>
  <c r="E7329" i="1"/>
  <c r="F7329" i="1"/>
  <c r="G7329" i="1"/>
  <c r="H7329" i="1"/>
  <c r="I7329" i="1"/>
  <c r="J7329" i="1"/>
  <c r="K7329" i="1"/>
  <c r="L7329" i="1"/>
  <c r="A7330" i="1"/>
  <c r="B7330" i="1"/>
  <c r="C7330" i="1"/>
  <c r="D7330" i="1"/>
  <c r="E7330" i="1"/>
  <c r="F7330" i="1"/>
  <c r="G7330" i="1"/>
  <c r="H7330" i="1"/>
  <c r="I7330" i="1"/>
  <c r="J7330" i="1"/>
  <c r="K7330" i="1"/>
  <c r="L7330" i="1"/>
  <c r="A7331" i="1"/>
  <c r="B7331" i="1"/>
  <c r="C7331" i="1"/>
  <c r="D7331" i="1"/>
  <c r="E7331" i="1"/>
  <c r="F7331" i="1"/>
  <c r="G7331" i="1"/>
  <c r="H7331" i="1"/>
  <c r="I7331" i="1"/>
  <c r="J7331" i="1"/>
  <c r="K7331" i="1"/>
  <c r="L7331" i="1"/>
  <c r="A7332" i="1"/>
  <c r="B7332" i="1"/>
  <c r="C7332" i="1"/>
  <c r="D7332" i="1"/>
  <c r="E7332" i="1"/>
  <c r="F7332" i="1"/>
  <c r="G7332" i="1"/>
  <c r="H7332" i="1"/>
  <c r="I7332" i="1"/>
  <c r="J7332" i="1"/>
  <c r="K7332" i="1"/>
  <c r="L7332" i="1"/>
  <c r="A7333" i="1"/>
  <c r="B7333" i="1"/>
  <c r="C7333" i="1"/>
  <c r="D7333" i="1"/>
  <c r="E7333" i="1"/>
  <c r="F7333" i="1"/>
  <c r="G7333" i="1"/>
  <c r="H7333" i="1"/>
  <c r="I7333" i="1"/>
  <c r="J7333" i="1"/>
  <c r="K7333" i="1"/>
  <c r="L7333" i="1"/>
  <c r="A7334" i="1"/>
  <c r="B7334" i="1"/>
  <c r="C7334" i="1"/>
  <c r="D7334" i="1"/>
  <c r="E7334" i="1"/>
  <c r="F7334" i="1"/>
  <c r="G7334" i="1"/>
  <c r="H7334" i="1"/>
  <c r="I7334" i="1"/>
  <c r="J7334" i="1"/>
  <c r="K7334" i="1"/>
  <c r="L7334" i="1"/>
  <c r="A7335" i="1"/>
  <c r="B7335" i="1"/>
  <c r="C7335" i="1"/>
  <c r="D7335" i="1"/>
  <c r="E7335" i="1"/>
  <c r="F7335" i="1"/>
  <c r="G7335" i="1"/>
  <c r="H7335" i="1"/>
  <c r="I7335" i="1"/>
  <c r="J7335" i="1"/>
  <c r="K7335" i="1"/>
  <c r="L7335" i="1"/>
  <c r="A7336" i="1"/>
  <c r="B7336" i="1"/>
  <c r="C7336" i="1"/>
  <c r="D7336" i="1"/>
  <c r="E7336" i="1"/>
  <c r="F7336" i="1"/>
  <c r="G7336" i="1"/>
  <c r="H7336" i="1"/>
  <c r="I7336" i="1"/>
  <c r="J7336" i="1"/>
  <c r="K7336" i="1"/>
  <c r="L7336" i="1"/>
  <c r="A7337" i="1"/>
  <c r="B7337" i="1"/>
  <c r="C7337" i="1"/>
  <c r="D7337" i="1"/>
  <c r="E7337" i="1"/>
  <c r="F7337" i="1"/>
  <c r="G7337" i="1"/>
  <c r="H7337" i="1"/>
  <c r="I7337" i="1"/>
  <c r="J7337" i="1"/>
  <c r="K7337" i="1"/>
  <c r="L7337" i="1"/>
  <c r="A7338" i="1"/>
  <c r="B7338" i="1"/>
  <c r="C7338" i="1"/>
  <c r="D7338" i="1"/>
  <c r="E7338" i="1"/>
  <c r="F7338" i="1"/>
  <c r="G7338" i="1"/>
  <c r="H7338" i="1"/>
  <c r="I7338" i="1"/>
  <c r="J7338" i="1"/>
  <c r="K7338" i="1"/>
  <c r="L7338" i="1"/>
  <c r="A7339" i="1"/>
  <c r="B7339" i="1"/>
  <c r="C7339" i="1"/>
  <c r="D7339" i="1"/>
  <c r="E7339" i="1"/>
  <c r="F7339" i="1"/>
  <c r="G7339" i="1"/>
  <c r="H7339" i="1"/>
  <c r="I7339" i="1"/>
  <c r="J7339" i="1"/>
  <c r="K7339" i="1"/>
  <c r="L7339" i="1"/>
  <c r="A7340" i="1"/>
  <c r="B7340" i="1"/>
  <c r="C7340" i="1"/>
  <c r="D7340" i="1"/>
  <c r="E7340" i="1"/>
  <c r="F7340" i="1"/>
  <c r="G7340" i="1"/>
  <c r="H7340" i="1"/>
  <c r="I7340" i="1"/>
  <c r="J7340" i="1"/>
  <c r="K7340" i="1"/>
  <c r="L7340" i="1"/>
  <c r="A7341" i="1"/>
  <c r="B7341" i="1"/>
  <c r="C7341" i="1"/>
  <c r="D7341" i="1"/>
  <c r="E7341" i="1"/>
  <c r="F7341" i="1"/>
  <c r="G7341" i="1"/>
  <c r="H7341" i="1"/>
  <c r="I7341" i="1"/>
  <c r="J7341" i="1"/>
  <c r="K7341" i="1"/>
  <c r="L7341" i="1"/>
  <c r="A7342" i="1"/>
  <c r="B7342" i="1"/>
  <c r="C7342" i="1"/>
  <c r="D7342" i="1"/>
  <c r="E7342" i="1"/>
  <c r="F7342" i="1"/>
  <c r="G7342" i="1"/>
  <c r="H7342" i="1"/>
  <c r="I7342" i="1"/>
  <c r="J7342" i="1"/>
  <c r="K7342" i="1"/>
  <c r="L7342" i="1"/>
  <c r="A7343" i="1"/>
  <c r="B7343" i="1"/>
  <c r="C7343" i="1"/>
  <c r="D7343" i="1"/>
  <c r="E7343" i="1"/>
  <c r="F7343" i="1"/>
  <c r="G7343" i="1"/>
  <c r="H7343" i="1"/>
  <c r="I7343" i="1"/>
  <c r="J7343" i="1"/>
  <c r="K7343" i="1"/>
  <c r="L7343" i="1"/>
  <c r="A7344" i="1"/>
  <c r="B7344" i="1"/>
  <c r="C7344" i="1"/>
  <c r="D7344" i="1"/>
  <c r="E7344" i="1"/>
  <c r="F7344" i="1"/>
  <c r="G7344" i="1"/>
  <c r="H7344" i="1"/>
  <c r="I7344" i="1"/>
  <c r="J7344" i="1"/>
  <c r="K7344" i="1"/>
  <c r="L7344" i="1"/>
  <c r="A7345" i="1"/>
  <c r="B7345" i="1"/>
  <c r="C7345" i="1"/>
  <c r="D7345" i="1"/>
  <c r="E7345" i="1"/>
  <c r="F7345" i="1"/>
  <c r="G7345" i="1"/>
  <c r="H7345" i="1"/>
  <c r="I7345" i="1"/>
  <c r="J7345" i="1"/>
  <c r="K7345" i="1"/>
  <c r="L7345" i="1"/>
  <c r="A7346" i="1"/>
  <c r="B7346" i="1"/>
  <c r="C7346" i="1"/>
  <c r="D7346" i="1"/>
  <c r="E7346" i="1"/>
  <c r="F7346" i="1"/>
  <c r="G7346" i="1"/>
  <c r="H7346" i="1"/>
  <c r="I7346" i="1"/>
  <c r="J7346" i="1"/>
  <c r="K7346" i="1"/>
  <c r="L7346" i="1"/>
  <c r="A7347" i="1"/>
  <c r="B7347" i="1"/>
  <c r="C7347" i="1"/>
  <c r="D7347" i="1"/>
  <c r="E7347" i="1"/>
  <c r="F7347" i="1"/>
  <c r="G7347" i="1"/>
  <c r="H7347" i="1"/>
  <c r="I7347" i="1"/>
  <c r="J7347" i="1"/>
  <c r="K7347" i="1"/>
  <c r="L7347" i="1"/>
  <c r="A7348" i="1"/>
  <c r="B7348" i="1"/>
  <c r="C7348" i="1"/>
  <c r="D7348" i="1"/>
  <c r="E7348" i="1"/>
  <c r="F7348" i="1"/>
  <c r="G7348" i="1"/>
  <c r="H7348" i="1"/>
  <c r="I7348" i="1"/>
  <c r="J7348" i="1"/>
  <c r="K7348" i="1"/>
  <c r="L7348" i="1"/>
  <c r="A7349" i="1"/>
  <c r="B7349" i="1"/>
  <c r="C7349" i="1"/>
  <c r="D7349" i="1"/>
  <c r="E7349" i="1"/>
  <c r="F7349" i="1"/>
  <c r="G7349" i="1"/>
  <c r="H7349" i="1"/>
  <c r="I7349" i="1"/>
  <c r="J7349" i="1"/>
  <c r="K7349" i="1"/>
  <c r="L7349" i="1"/>
  <c r="A7350" i="1"/>
  <c r="B7350" i="1"/>
  <c r="C7350" i="1"/>
  <c r="D7350" i="1"/>
  <c r="E7350" i="1"/>
  <c r="F7350" i="1"/>
  <c r="G7350" i="1"/>
  <c r="H7350" i="1"/>
  <c r="I7350" i="1"/>
  <c r="J7350" i="1"/>
  <c r="K7350" i="1"/>
  <c r="L7350" i="1"/>
  <c r="A7351" i="1"/>
  <c r="B7351" i="1"/>
  <c r="C7351" i="1"/>
  <c r="D7351" i="1"/>
  <c r="E7351" i="1"/>
  <c r="F7351" i="1"/>
  <c r="G7351" i="1"/>
  <c r="H7351" i="1"/>
  <c r="I7351" i="1"/>
  <c r="J7351" i="1"/>
  <c r="K7351" i="1"/>
  <c r="L7351" i="1"/>
  <c r="A7352" i="1"/>
  <c r="B7352" i="1"/>
  <c r="C7352" i="1"/>
  <c r="D7352" i="1"/>
  <c r="E7352" i="1"/>
  <c r="F7352" i="1"/>
  <c r="G7352" i="1"/>
  <c r="H7352" i="1"/>
  <c r="I7352" i="1"/>
  <c r="J7352" i="1"/>
  <c r="K7352" i="1"/>
  <c r="L7352" i="1"/>
  <c r="A7353" i="1"/>
  <c r="B7353" i="1"/>
  <c r="C7353" i="1"/>
  <c r="D7353" i="1"/>
  <c r="E7353" i="1"/>
  <c r="F7353" i="1"/>
  <c r="G7353" i="1"/>
  <c r="H7353" i="1"/>
  <c r="I7353" i="1"/>
  <c r="J7353" i="1"/>
  <c r="K7353" i="1"/>
  <c r="L7353" i="1"/>
  <c r="A7354" i="1"/>
  <c r="B7354" i="1"/>
  <c r="C7354" i="1"/>
  <c r="D7354" i="1"/>
  <c r="E7354" i="1"/>
  <c r="F7354" i="1"/>
  <c r="G7354" i="1"/>
  <c r="H7354" i="1"/>
  <c r="I7354" i="1"/>
  <c r="J7354" i="1"/>
  <c r="K7354" i="1"/>
  <c r="L7354" i="1"/>
  <c r="A7355" i="1"/>
  <c r="B7355" i="1"/>
  <c r="C7355" i="1"/>
  <c r="D7355" i="1"/>
  <c r="E7355" i="1"/>
  <c r="F7355" i="1"/>
  <c r="G7355" i="1"/>
  <c r="H7355" i="1"/>
  <c r="I7355" i="1"/>
  <c r="J7355" i="1"/>
  <c r="K7355" i="1"/>
  <c r="L7355" i="1"/>
  <c r="A7356" i="1"/>
  <c r="B7356" i="1"/>
  <c r="C7356" i="1"/>
  <c r="D7356" i="1"/>
  <c r="E7356" i="1"/>
  <c r="F7356" i="1"/>
  <c r="G7356" i="1"/>
  <c r="H7356" i="1"/>
  <c r="I7356" i="1"/>
  <c r="J7356" i="1"/>
  <c r="K7356" i="1"/>
  <c r="L7356" i="1"/>
  <c r="A7357" i="1"/>
  <c r="B7357" i="1"/>
  <c r="C7357" i="1"/>
  <c r="D7357" i="1"/>
  <c r="E7357" i="1"/>
  <c r="F7357" i="1"/>
  <c r="G7357" i="1"/>
  <c r="H7357" i="1"/>
  <c r="I7357" i="1"/>
  <c r="J7357" i="1"/>
  <c r="K7357" i="1"/>
  <c r="L7357" i="1"/>
  <c r="A7358" i="1"/>
  <c r="B7358" i="1"/>
  <c r="C7358" i="1"/>
  <c r="D7358" i="1"/>
  <c r="E7358" i="1"/>
  <c r="F7358" i="1"/>
  <c r="G7358" i="1"/>
  <c r="H7358" i="1"/>
  <c r="I7358" i="1"/>
  <c r="J7358" i="1"/>
  <c r="K7358" i="1"/>
  <c r="L7358" i="1"/>
  <c r="A7359" i="1"/>
  <c r="B7359" i="1"/>
  <c r="C7359" i="1"/>
  <c r="D7359" i="1"/>
  <c r="E7359" i="1"/>
  <c r="F7359" i="1"/>
  <c r="G7359" i="1"/>
  <c r="H7359" i="1"/>
  <c r="I7359" i="1"/>
  <c r="J7359" i="1"/>
  <c r="K7359" i="1"/>
  <c r="L7359" i="1"/>
  <c r="A7360" i="1"/>
  <c r="B7360" i="1"/>
  <c r="C7360" i="1"/>
  <c r="D7360" i="1"/>
  <c r="E7360" i="1"/>
  <c r="F7360" i="1"/>
  <c r="G7360" i="1"/>
  <c r="H7360" i="1"/>
  <c r="I7360" i="1"/>
  <c r="J7360" i="1"/>
  <c r="K7360" i="1"/>
  <c r="L7360" i="1"/>
  <c r="A7361" i="1"/>
  <c r="B7361" i="1"/>
  <c r="C7361" i="1"/>
  <c r="D7361" i="1"/>
  <c r="E7361" i="1"/>
  <c r="F7361" i="1"/>
  <c r="G7361" i="1"/>
  <c r="H7361" i="1"/>
  <c r="I7361" i="1"/>
  <c r="J7361" i="1"/>
  <c r="K7361" i="1"/>
  <c r="L7361" i="1"/>
  <c r="A7362" i="1"/>
  <c r="B7362" i="1"/>
  <c r="C7362" i="1"/>
  <c r="D7362" i="1"/>
  <c r="E7362" i="1"/>
  <c r="F7362" i="1"/>
  <c r="G7362" i="1"/>
  <c r="H7362" i="1"/>
  <c r="I7362" i="1"/>
  <c r="J7362" i="1"/>
  <c r="K7362" i="1"/>
  <c r="L7362" i="1"/>
  <c r="A7363" i="1"/>
  <c r="B7363" i="1"/>
  <c r="C7363" i="1"/>
  <c r="D7363" i="1"/>
  <c r="E7363" i="1"/>
  <c r="F7363" i="1"/>
  <c r="G7363" i="1"/>
  <c r="H7363" i="1"/>
  <c r="I7363" i="1"/>
  <c r="J7363" i="1"/>
  <c r="K7363" i="1"/>
  <c r="L7363" i="1"/>
  <c r="A7364" i="1"/>
  <c r="B7364" i="1"/>
  <c r="C7364" i="1"/>
  <c r="D7364" i="1"/>
  <c r="E7364" i="1"/>
  <c r="F7364" i="1"/>
  <c r="G7364" i="1"/>
  <c r="H7364" i="1"/>
  <c r="I7364" i="1"/>
  <c r="J7364" i="1"/>
  <c r="K7364" i="1"/>
  <c r="L7364" i="1"/>
  <c r="A7365" i="1"/>
  <c r="B7365" i="1"/>
  <c r="C7365" i="1"/>
  <c r="D7365" i="1"/>
  <c r="E7365" i="1"/>
  <c r="F7365" i="1"/>
  <c r="G7365" i="1"/>
  <c r="H7365" i="1"/>
  <c r="I7365" i="1"/>
  <c r="J7365" i="1"/>
  <c r="K7365" i="1"/>
  <c r="L7365" i="1"/>
  <c r="A7366" i="1"/>
  <c r="B7366" i="1"/>
  <c r="C7366" i="1"/>
  <c r="D7366" i="1"/>
  <c r="E7366" i="1"/>
  <c r="F7366" i="1"/>
  <c r="G7366" i="1"/>
  <c r="H7366" i="1"/>
  <c r="I7366" i="1"/>
  <c r="J7366" i="1"/>
  <c r="K7366" i="1"/>
  <c r="L7366" i="1"/>
  <c r="A7367" i="1"/>
  <c r="B7367" i="1"/>
  <c r="C7367" i="1"/>
  <c r="D7367" i="1"/>
  <c r="E7367" i="1"/>
  <c r="F7367" i="1"/>
  <c r="G7367" i="1"/>
  <c r="H7367" i="1"/>
  <c r="I7367" i="1"/>
  <c r="J7367" i="1"/>
  <c r="K7367" i="1"/>
  <c r="L7367" i="1"/>
  <c r="A7368" i="1"/>
  <c r="B7368" i="1"/>
  <c r="C7368" i="1"/>
  <c r="D7368" i="1"/>
  <c r="E7368" i="1"/>
  <c r="F7368" i="1"/>
  <c r="G7368" i="1"/>
  <c r="H7368" i="1"/>
  <c r="I7368" i="1"/>
  <c r="J7368" i="1"/>
  <c r="K7368" i="1"/>
  <c r="L7368" i="1"/>
  <c r="A7369" i="1"/>
  <c r="B7369" i="1"/>
  <c r="C7369" i="1"/>
  <c r="D7369" i="1"/>
  <c r="E7369" i="1"/>
  <c r="F7369" i="1"/>
  <c r="G7369" i="1"/>
  <c r="H7369" i="1"/>
  <c r="I7369" i="1"/>
  <c r="J7369" i="1"/>
  <c r="K7369" i="1"/>
  <c r="L7369" i="1"/>
  <c r="A7370" i="1"/>
  <c r="B7370" i="1"/>
  <c r="C7370" i="1"/>
  <c r="D7370" i="1"/>
  <c r="E7370" i="1"/>
  <c r="F7370" i="1"/>
  <c r="G7370" i="1"/>
  <c r="H7370" i="1"/>
  <c r="I7370" i="1"/>
  <c r="J7370" i="1"/>
  <c r="K7370" i="1"/>
  <c r="L7370" i="1"/>
  <c r="A7371" i="1"/>
  <c r="B7371" i="1"/>
  <c r="C7371" i="1"/>
  <c r="D7371" i="1"/>
  <c r="E7371" i="1"/>
  <c r="F7371" i="1"/>
  <c r="G7371" i="1"/>
  <c r="H7371" i="1"/>
  <c r="I7371" i="1"/>
  <c r="J7371" i="1"/>
  <c r="K7371" i="1"/>
  <c r="L7371" i="1"/>
  <c r="A7372" i="1"/>
  <c r="B7372" i="1"/>
  <c r="C7372" i="1"/>
  <c r="D7372" i="1"/>
  <c r="E7372" i="1"/>
  <c r="F7372" i="1"/>
  <c r="G7372" i="1"/>
  <c r="H7372" i="1"/>
  <c r="I7372" i="1"/>
  <c r="J7372" i="1"/>
  <c r="K7372" i="1"/>
  <c r="L7372" i="1"/>
  <c r="A7373" i="1"/>
  <c r="B7373" i="1"/>
  <c r="C7373" i="1"/>
  <c r="D7373" i="1"/>
  <c r="E7373" i="1"/>
  <c r="F7373" i="1"/>
  <c r="G7373" i="1"/>
  <c r="H7373" i="1"/>
  <c r="I7373" i="1"/>
  <c r="J7373" i="1"/>
  <c r="K7373" i="1"/>
  <c r="L7373" i="1"/>
  <c r="A7374" i="1"/>
  <c r="B7374" i="1"/>
  <c r="C7374" i="1"/>
  <c r="D7374" i="1"/>
  <c r="E7374" i="1"/>
  <c r="F7374" i="1"/>
  <c r="G7374" i="1"/>
  <c r="H7374" i="1"/>
  <c r="I7374" i="1"/>
  <c r="J7374" i="1"/>
  <c r="K7374" i="1"/>
  <c r="L7374" i="1"/>
  <c r="A7375" i="1"/>
  <c r="B7375" i="1"/>
  <c r="C7375" i="1"/>
  <c r="D7375" i="1"/>
  <c r="E7375" i="1"/>
  <c r="F7375" i="1"/>
  <c r="G7375" i="1"/>
  <c r="H7375" i="1"/>
  <c r="I7375" i="1"/>
  <c r="J7375" i="1"/>
  <c r="K7375" i="1"/>
  <c r="L7375" i="1"/>
  <c r="A7376" i="1"/>
  <c r="B7376" i="1"/>
  <c r="C7376" i="1"/>
  <c r="D7376" i="1"/>
  <c r="E7376" i="1"/>
  <c r="F7376" i="1"/>
  <c r="G7376" i="1"/>
  <c r="H7376" i="1"/>
  <c r="I7376" i="1"/>
  <c r="J7376" i="1"/>
  <c r="K7376" i="1"/>
  <c r="L7376" i="1"/>
  <c r="A7377" i="1"/>
  <c r="B7377" i="1"/>
  <c r="C7377" i="1"/>
  <c r="D7377" i="1"/>
  <c r="E7377" i="1"/>
  <c r="F7377" i="1"/>
  <c r="G7377" i="1"/>
  <c r="H7377" i="1"/>
  <c r="I7377" i="1"/>
  <c r="J7377" i="1"/>
  <c r="K7377" i="1"/>
  <c r="L7377" i="1"/>
  <c r="A7378" i="1"/>
  <c r="B7378" i="1"/>
  <c r="C7378" i="1"/>
  <c r="D7378" i="1"/>
  <c r="E7378" i="1"/>
  <c r="F7378" i="1"/>
  <c r="G7378" i="1"/>
  <c r="H7378" i="1"/>
  <c r="I7378" i="1"/>
  <c r="J7378" i="1"/>
  <c r="K7378" i="1"/>
  <c r="L7378" i="1"/>
  <c r="A7379" i="1"/>
  <c r="B7379" i="1"/>
  <c r="C7379" i="1"/>
  <c r="D7379" i="1"/>
  <c r="E7379" i="1"/>
  <c r="F7379" i="1"/>
  <c r="G7379" i="1"/>
  <c r="H7379" i="1"/>
  <c r="I7379" i="1"/>
  <c r="J7379" i="1"/>
  <c r="K7379" i="1"/>
  <c r="L7379" i="1"/>
  <c r="A7380" i="1"/>
  <c r="B7380" i="1"/>
  <c r="C7380" i="1"/>
  <c r="D7380" i="1"/>
  <c r="E7380" i="1"/>
  <c r="F7380" i="1"/>
  <c r="G7380" i="1"/>
  <c r="H7380" i="1"/>
  <c r="I7380" i="1"/>
  <c r="J7380" i="1"/>
  <c r="K7380" i="1"/>
  <c r="L7380" i="1"/>
  <c r="A7381" i="1"/>
  <c r="B7381" i="1"/>
  <c r="C7381" i="1"/>
  <c r="D7381" i="1"/>
  <c r="E7381" i="1"/>
  <c r="F7381" i="1"/>
  <c r="G7381" i="1"/>
  <c r="H7381" i="1"/>
  <c r="I7381" i="1"/>
  <c r="J7381" i="1"/>
  <c r="K7381" i="1"/>
  <c r="L7381" i="1"/>
  <c r="A7382" i="1"/>
  <c r="B7382" i="1"/>
  <c r="C7382" i="1"/>
  <c r="D7382" i="1"/>
  <c r="E7382" i="1"/>
  <c r="F7382" i="1"/>
  <c r="G7382" i="1"/>
  <c r="H7382" i="1"/>
  <c r="I7382" i="1"/>
  <c r="J7382" i="1"/>
  <c r="K7382" i="1"/>
  <c r="L7382" i="1"/>
  <c r="A7383" i="1"/>
  <c r="B7383" i="1"/>
  <c r="C7383" i="1"/>
  <c r="D7383" i="1"/>
  <c r="E7383" i="1"/>
  <c r="F7383" i="1"/>
  <c r="G7383" i="1"/>
  <c r="H7383" i="1"/>
  <c r="I7383" i="1"/>
  <c r="J7383" i="1"/>
  <c r="K7383" i="1"/>
  <c r="L7383" i="1"/>
  <c r="A7384" i="1"/>
  <c r="B7384" i="1"/>
  <c r="C7384" i="1"/>
  <c r="D7384" i="1"/>
  <c r="E7384" i="1"/>
  <c r="F7384" i="1"/>
  <c r="G7384" i="1"/>
  <c r="H7384" i="1"/>
  <c r="I7384" i="1"/>
  <c r="J7384" i="1"/>
  <c r="K7384" i="1"/>
  <c r="L7384" i="1"/>
  <c r="A7385" i="1"/>
  <c r="B7385" i="1"/>
  <c r="C7385" i="1"/>
  <c r="D7385" i="1"/>
  <c r="E7385" i="1"/>
  <c r="F7385" i="1"/>
  <c r="G7385" i="1"/>
  <c r="H7385" i="1"/>
  <c r="I7385" i="1"/>
  <c r="J7385" i="1"/>
  <c r="K7385" i="1"/>
  <c r="L7385" i="1"/>
  <c r="A7386" i="1"/>
  <c r="B7386" i="1"/>
  <c r="C7386" i="1"/>
  <c r="D7386" i="1"/>
  <c r="E7386" i="1"/>
  <c r="F7386" i="1"/>
  <c r="G7386" i="1"/>
  <c r="H7386" i="1"/>
  <c r="I7386" i="1"/>
  <c r="J7386" i="1"/>
  <c r="K7386" i="1"/>
  <c r="L7386" i="1"/>
  <c r="A7387" i="1"/>
  <c r="B7387" i="1"/>
  <c r="C7387" i="1"/>
  <c r="D7387" i="1"/>
  <c r="E7387" i="1"/>
  <c r="F7387" i="1"/>
  <c r="G7387" i="1"/>
  <c r="H7387" i="1"/>
  <c r="I7387" i="1"/>
  <c r="J7387" i="1"/>
  <c r="K7387" i="1"/>
  <c r="L7387" i="1"/>
  <c r="A7388" i="1"/>
  <c r="B7388" i="1"/>
  <c r="C7388" i="1"/>
  <c r="D7388" i="1"/>
  <c r="E7388" i="1"/>
  <c r="F7388" i="1"/>
  <c r="G7388" i="1"/>
  <c r="H7388" i="1"/>
  <c r="I7388" i="1"/>
  <c r="J7388" i="1"/>
  <c r="K7388" i="1"/>
  <c r="L7388" i="1"/>
  <c r="A7389" i="1"/>
  <c r="B7389" i="1"/>
  <c r="C7389" i="1"/>
  <c r="D7389" i="1"/>
  <c r="E7389" i="1"/>
  <c r="F7389" i="1"/>
  <c r="G7389" i="1"/>
  <c r="H7389" i="1"/>
  <c r="I7389" i="1"/>
  <c r="J7389" i="1"/>
  <c r="K7389" i="1"/>
  <c r="L7389" i="1"/>
  <c r="A7390" i="1"/>
  <c r="B7390" i="1"/>
  <c r="C7390" i="1"/>
  <c r="D7390" i="1"/>
  <c r="E7390" i="1"/>
  <c r="F7390" i="1"/>
  <c r="G7390" i="1"/>
  <c r="H7390" i="1"/>
  <c r="I7390" i="1"/>
  <c r="J7390" i="1"/>
  <c r="K7390" i="1"/>
  <c r="L7390" i="1"/>
  <c r="A7391" i="1"/>
  <c r="B7391" i="1"/>
  <c r="C7391" i="1"/>
  <c r="D7391" i="1"/>
  <c r="E7391" i="1"/>
  <c r="F7391" i="1"/>
  <c r="G7391" i="1"/>
  <c r="H7391" i="1"/>
  <c r="I7391" i="1"/>
  <c r="J7391" i="1"/>
  <c r="K7391" i="1"/>
  <c r="L7391" i="1"/>
  <c r="A7392" i="1"/>
  <c r="B7392" i="1"/>
  <c r="C7392" i="1"/>
  <c r="D7392" i="1"/>
  <c r="E7392" i="1"/>
  <c r="F7392" i="1"/>
  <c r="G7392" i="1"/>
  <c r="H7392" i="1"/>
  <c r="I7392" i="1"/>
  <c r="J7392" i="1"/>
  <c r="K7392" i="1"/>
  <c r="L7392" i="1"/>
  <c r="A7393" i="1"/>
  <c r="B7393" i="1"/>
  <c r="C7393" i="1"/>
  <c r="D7393" i="1"/>
  <c r="E7393" i="1"/>
  <c r="F7393" i="1"/>
  <c r="G7393" i="1"/>
  <c r="H7393" i="1"/>
  <c r="I7393" i="1"/>
  <c r="J7393" i="1"/>
  <c r="K7393" i="1"/>
  <c r="L7393" i="1"/>
  <c r="A7394" i="1"/>
  <c r="B7394" i="1"/>
  <c r="C7394" i="1"/>
  <c r="D7394" i="1"/>
  <c r="E7394" i="1"/>
  <c r="F7394" i="1"/>
  <c r="G7394" i="1"/>
  <c r="H7394" i="1"/>
  <c r="I7394" i="1"/>
  <c r="J7394" i="1"/>
  <c r="K7394" i="1"/>
  <c r="L7394" i="1"/>
  <c r="A7395" i="1"/>
  <c r="B7395" i="1"/>
  <c r="C7395" i="1"/>
  <c r="D7395" i="1"/>
  <c r="E7395" i="1"/>
  <c r="F7395" i="1"/>
  <c r="G7395" i="1"/>
  <c r="H7395" i="1"/>
  <c r="I7395" i="1"/>
  <c r="J7395" i="1"/>
  <c r="K7395" i="1"/>
  <c r="L7395" i="1"/>
  <c r="A7396" i="1"/>
  <c r="B7396" i="1"/>
  <c r="C7396" i="1"/>
  <c r="D7396" i="1"/>
  <c r="E7396" i="1"/>
  <c r="F7396" i="1"/>
  <c r="G7396" i="1"/>
  <c r="H7396" i="1"/>
  <c r="I7396" i="1"/>
  <c r="J7396" i="1"/>
  <c r="K7396" i="1"/>
  <c r="L7396" i="1"/>
  <c r="A7397" i="1"/>
  <c r="B7397" i="1"/>
  <c r="C7397" i="1"/>
  <c r="D7397" i="1"/>
  <c r="E7397" i="1"/>
  <c r="F7397" i="1"/>
  <c r="G7397" i="1"/>
  <c r="H7397" i="1"/>
  <c r="I7397" i="1"/>
  <c r="J7397" i="1"/>
  <c r="K7397" i="1"/>
  <c r="L7397" i="1"/>
  <c r="A7398" i="1"/>
  <c r="B7398" i="1"/>
  <c r="C7398" i="1"/>
  <c r="D7398" i="1"/>
  <c r="E7398" i="1"/>
  <c r="F7398" i="1"/>
  <c r="G7398" i="1"/>
  <c r="H7398" i="1"/>
  <c r="I7398" i="1"/>
  <c r="J7398" i="1"/>
  <c r="K7398" i="1"/>
  <c r="L7398" i="1"/>
  <c r="A7399" i="1"/>
  <c r="B7399" i="1"/>
  <c r="C7399" i="1"/>
  <c r="D7399" i="1"/>
  <c r="E7399" i="1"/>
  <c r="F7399" i="1"/>
  <c r="G7399" i="1"/>
  <c r="H7399" i="1"/>
  <c r="I7399" i="1"/>
  <c r="J7399" i="1"/>
  <c r="K7399" i="1"/>
  <c r="L7399" i="1"/>
  <c r="A7400" i="1"/>
  <c r="B7400" i="1"/>
  <c r="C7400" i="1"/>
  <c r="D7400" i="1"/>
  <c r="E7400" i="1"/>
  <c r="F7400" i="1"/>
  <c r="G7400" i="1"/>
  <c r="H7400" i="1"/>
  <c r="I7400" i="1"/>
  <c r="J7400" i="1"/>
  <c r="K7400" i="1"/>
  <c r="L7400" i="1"/>
  <c r="A7401" i="1"/>
  <c r="B7401" i="1"/>
  <c r="C7401" i="1"/>
  <c r="D7401" i="1"/>
  <c r="E7401" i="1"/>
  <c r="F7401" i="1"/>
  <c r="G7401" i="1"/>
  <c r="H7401" i="1"/>
  <c r="I7401" i="1"/>
  <c r="J7401" i="1"/>
  <c r="K7401" i="1"/>
  <c r="L7401" i="1"/>
  <c r="A7402" i="1"/>
  <c r="B7402" i="1"/>
  <c r="C7402" i="1"/>
  <c r="D7402" i="1"/>
  <c r="E7402" i="1"/>
  <c r="F7402" i="1"/>
  <c r="G7402" i="1"/>
  <c r="H7402" i="1"/>
  <c r="I7402" i="1"/>
  <c r="J7402" i="1"/>
  <c r="K7402" i="1"/>
  <c r="L7402" i="1"/>
  <c r="A7403" i="1"/>
  <c r="B7403" i="1"/>
  <c r="C7403" i="1"/>
  <c r="D7403" i="1"/>
  <c r="E7403" i="1"/>
  <c r="F7403" i="1"/>
  <c r="G7403" i="1"/>
  <c r="H7403" i="1"/>
  <c r="I7403" i="1"/>
  <c r="J7403" i="1"/>
  <c r="K7403" i="1"/>
  <c r="L7403" i="1"/>
  <c r="A7404" i="1"/>
  <c r="B7404" i="1"/>
  <c r="C7404" i="1"/>
  <c r="D7404" i="1"/>
  <c r="E7404" i="1"/>
  <c r="F7404" i="1"/>
  <c r="G7404" i="1"/>
  <c r="H7404" i="1"/>
  <c r="I7404" i="1"/>
  <c r="J7404" i="1"/>
  <c r="K7404" i="1"/>
  <c r="L7404" i="1"/>
  <c r="A7405" i="1"/>
  <c r="B7405" i="1"/>
  <c r="C7405" i="1"/>
  <c r="D7405" i="1"/>
  <c r="E7405" i="1"/>
  <c r="F7405" i="1"/>
  <c r="G7405" i="1"/>
  <c r="H7405" i="1"/>
  <c r="I7405" i="1"/>
  <c r="J7405" i="1"/>
  <c r="K7405" i="1"/>
  <c r="L7405" i="1"/>
  <c r="A7406" i="1"/>
  <c r="B7406" i="1"/>
  <c r="C7406" i="1"/>
  <c r="D7406" i="1"/>
  <c r="E7406" i="1"/>
  <c r="F7406" i="1"/>
  <c r="G7406" i="1"/>
  <c r="H7406" i="1"/>
  <c r="I7406" i="1"/>
  <c r="J7406" i="1"/>
  <c r="K7406" i="1"/>
  <c r="L7406" i="1"/>
  <c r="A7407" i="1"/>
  <c r="B7407" i="1"/>
  <c r="C7407" i="1"/>
  <c r="D7407" i="1"/>
  <c r="E7407" i="1"/>
  <c r="F7407" i="1"/>
  <c r="G7407" i="1"/>
  <c r="H7407" i="1"/>
  <c r="I7407" i="1"/>
  <c r="J7407" i="1"/>
  <c r="K7407" i="1"/>
  <c r="L7407" i="1"/>
  <c r="A7408" i="1"/>
  <c r="B7408" i="1"/>
  <c r="C7408" i="1"/>
  <c r="D7408" i="1"/>
  <c r="E7408" i="1"/>
  <c r="F7408" i="1"/>
  <c r="G7408" i="1"/>
  <c r="H7408" i="1"/>
  <c r="I7408" i="1"/>
  <c r="J7408" i="1"/>
  <c r="K7408" i="1"/>
  <c r="L7408" i="1"/>
  <c r="A7409" i="1"/>
  <c r="B7409" i="1"/>
  <c r="C7409" i="1"/>
  <c r="D7409" i="1"/>
  <c r="E7409" i="1"/>
  <c r="F7409" i="1"/>
  <c r="G7409" i="1"/>
  <c r="H7409" i="1"/>
  <c r="I7409" i="1"/>
  <c r="J7409" i="1"/>
  <c r="K7409" i="1"/>
  <c r="L7409" i="1"/>
  <c r="A7410" i="1"/>
  <c r="B7410" i="1"/>
  <c r="C7410" i="1"/>
  <c r="D7410" i="1"/>
  <c r="E7410" i="1"/>
  <c r="F7410" i="1"/>
  <c r="G7410" i="1"/>
  <c r="H7410" i="1"/>
  <c r="I7410" i="1"/>
  <c r="J7410" i="1"/>
  <c r="K7410" i="1"/>
  <c r="L7410" i="1"/>
  <c r="A7411" i="1"/>
  <c r="B7411" i="1"/>
  <c r="C7411" i="1"/>
  <c r="D7411" i="1"/>
  <c r="E7411" i="1"/>
  <c r="F7411" i="1"/>
  <c r="G7411" i="1"/>
  <c r="H7411" i="1"/>
  <c r="I7411" i="1"/>
  <c r="J7411" i="1"/>
  <c r="K7411" i="1"/>
  <c r="L7411" i="1"/>
  <c r="A7412" i="1"/>
  <c r="B7412" i="1"/>
  <c r="C7412" i="1"/>
  <c r="D7412" i="1"/>
  <c r="E7412" i="1"/>
  <c r="F7412" i="1"/>
  <c r="G7412" i="1"/>
  <c r="H7412" i="1"/>
  <c r="I7412" i="1"/>
  <c r="J7412" i="1"/>
  <c r="K7412" i="1"/>
  <c r="L7412" i="1"/>
  <c r="A7413" i="1"/>
  <c r="B7413" i="1"/>
  <c r="C7413" i="1"/>
  <c r="D7413" i="1"/>
  <c r="E7413" i="1"/>
  <c r="F7413" i="1"/>
  <c r="G7413" i="1"/>
  <c r="H7413" i="1"/>
  <c r="I7413" i="1"/>
  <c r="J7413" i="1"/>
  <c r="K7413" i="1"/>
  <c r="L7413" i="1"/>
  <c r="A7414" i="1"/>
  <c r="B7414" i="1"/>
  <c r="C7414" i="1"/>
  <c r="D7414" i="1"/>
  <c r="E7414" i="1"/>
  <c r="F7414" i="1"/>
  <c r="G7414" i="1"/>
  <c r="H7414" i="1"/>
  <c r="I7414" i="1"/>
  <c r="J7414" i="1"/>
  <c r="K7414" i="1"/>
  <c r="L7414" i="1"/>
  <c r="A7415" i="1"/>
  <c r="B7415" i="1"/>
  <c r="C7415" i="1"/>
  <c r="D7415" i="1"/>
  <c r="E7415" i="1"/>
  <c r="F7415" i="1"/>
  <c r="G7415" i="1"/>
  <c r="H7415" i="1"/>
  <c r="I7415" i="1"/>
  <c r="J7415" i="1"/>
  <c r="K7415" i="1"/>
  <c r="L7415" i="1"/>
  <c r="A7416" i="1"/>
  <c r="B7416" i="1"/>
  <c r="C7416" i="1"/>
  <c r="D7416" i="1"/>
  <c r="E7416" i="1"/>
  <c r="F7416" i="1"/>
  <c r="G7416" i="1"/>
  <c r="H7416" i="1"/>
  <c r="I7416" i="1"/>
  <c r="J7416" i="1"/>
  <c r="K7416" i="1"/>
  <c r="L7416" i="1"/>
  <c r="A7417" i="1"/>
  <c r="B7417" i="1"/>
  <c r="C7417" i="1"/>
  <c r="D7417" i="1"/>
  <c r="E7417" i="1"/>
  <c r="F7417" i="1"/>
  <c r="G7417" i="1"/>
  <c r="H7417" i="1"/>
  <c r="I7417" i="1"/>
  <c r="J7417" i="1"/>
  <c r="K7417" i="1"/>
  <c r="L7417" i="1"/>
  <c r="A7418" i="1"/>
  <c r="B7418" i="1"/>
  <c r="C7418" i="1"/>
  <c r="D7418" i="1"/>
  <c r="E7418" i="1"/>
  <c r="F7418" i="1"/>
  <c r="G7418" i="1"/>
  <c r="H7418" i="1"/>
  <c r="I7418" i="1"/>
  <c r="J7418" i="1"/>
  <c r="K7418" i="1"/>
  <c r="L7418" i="1"/>
  <c r="A7419" i="1"/>
  <c r="B7419" i="1"/>
  <c r="C7419" i="1"/>
  <c r="D7419" i="1"/>
  <c r="E7419" i="1"/>
  <c r="F7419" i="1"/>
  <c r="G7419" i="1"/>
  <c r="H7419" i="1"/>
  <c r="I7419" i="1"/>
  <c r="J7419" i="1"/>
  <c r="K7419" i="1"/>
  <c r="L7419" i="1"/>
  <c r="A7420" i="1"/>
  <c r="B7420" i="1"/>
  <c r="C7420" i="1"/>
  <c r="D7420" i="1"/>
  <c r="E7420" i="1"/>
  <c r="F7420" i="1"/>
  <c r="G7420" i="1"/>
  <c r="H7420" i="1"/>
  <c r="I7420" i="1"/>
  <c r="J7420" i="1"/>
  <c r="K7420" i="1"/>
  <c r="L7420" i="1"/>
  <c r="A7421" i="1"/>
  <c r="B7421" i="1"/>
  <c r="C7421" i="1"/>
  <c r="D7421" i="1"/>
  <c r="E7421" i="1"/>
  <c r="F7421" i="1"/>
  <c r="G7421" i="1"/>
  <c r="H7421" i="1"/>
  <c r="I7421" i="1"/>
  <c r="J7421" i="1"/>
  <c r="K7421" i="1"/>
  <c r="L7421" i="1"/>
  <c r="A7422" i="1"/>
  <c r="B7422" i="1"/>
  <c r="C7422" i="1"/>
  <c r="D7422" i="1"/>
  <c r="E7422" i="1"/>
  <c r="F7422" i="1"/>
  <c r="G7422" i="1"/>
  <c r="H7422" i="1"/>
  <c r="I7422" i="1"/>
  <c r="J7422" i="1"/>
  <c r="K7422" i="1"/>
  <c r="L7422" i="1"/>
  <c r="A7423" i="1"/>
  <c r="B7423" i="1"/>
  <c r="C7423" i="1"/>
  <c r="D7423" i="1"/>
  <c r="E7423" i="1"/>
  <c r="F7423" i="1"/>
  <c r="G7423" i="1"/>
  <c r="H7423" i="1"/>
  <c r="I7423" i="1"/>
  <c r="J7423" i="1"/>
  <c r="K7423" i="1"/>
  <c r="L7423" i="1"/>
  <c r="A7424" i="1"/>
  <c r="B7424" i="1"/>
  <c r="C7424" i="1"/>
  <c r="D7424" i="1"/>
  <c r="E7424" i="1"/>
  <c r="F7424" i="1"/>
  <c r="G7424" i="1"/>
  <c r="H7424" i="1"/>
  <c r="I7424" i="1"/>
  <c r="J7424" i="1"/>
  <c r="K7424" i="1"/>
  <c r="L7424" i="1"/>
  <c r="A7425" i="1"/>
  <c r="B7425" i="1"/>
  <c r="C7425" i="1"/>
  <c r="D7425" i="1"/>
  <c r="E7425" i="1"/>
  <c r="F7425" i="1"/>
  <c r="G7425" i="1"/>
  <c r="H7425" i="1"/>
  <c r="I7425" i="1"/>
  <c r="J7425" i="1"/>
  <c r="K7425" i="1"/>
  <c r="L7425" i="1"/>
  <c r="A7426" i="1"/>
  <c r="B7426" i="1"/>
  <c r="C7426" i="1"/>
  <c r="D7426" i="1"/>
  <c r="E7426" i="1"/>
  <c r="F7426" i="1"/>
  <c r="G7426" i="1"/>
  <c r="H7426" i="1"/>
  <c r="I7426" i="1"/>
  <c r="J7426" i="1"/>
  <c r="K7426" i="1"/>
  <c r="L7426" i="1"/>
  <c r="A7427" i="1"/>
  <c r="B7427" i="1"/>
  <c r="C7427" i="1"/>
  <c r="D7427" i="1"/>
  <c r="E7427" i="1"/>
  <c r="F7427" i="1"/>
  <c r="G7427" i="1"/>
  <c r="H7427" i="1"/>
  <c r="I7427" i="1"/>
  <c r="J7427" i="1"/>
  <c r="K7427" i="1"/>
  <c r="L7427" i="1"/>
  <c r="A7428" i="1"/>
  <c r="B7428" i="1"/>
  <c r="C7428" i="1"/>
  <c r="D7428" i="1"/>
  <c r="E7428" i="1"/>
  <c r="F7428" i="1"/>
  <c r="G7428" i="1"/>
  <c r="H7428" i="1"/>
  <c r="I7428" i="1"/>
  <c r="J7428" i="1"/>
  <c r="K7428" i="1"/>
  <c r="L7428" i="1"/>
  <c r="A7429" i="1"/>
  <c r="B7429" i="1"/>
  <c r="C7429" i="1"/>
  <c r="D7429" i="1"/>
  <c r="E7429" i="1"/>
  <c r="F7429" i="1"/>
  <c r="G7429" i="1"/>
  <c r="H7429" i="1"/>
  <c r="I7429" i="1"/>
  <c r="J7429" i="1"/>
  <c r="K7429" i="1"/>
  <c r="L7429" i="1"/>
  <c r="A7430" i="1"/>
  <c r="B7430" i="1"/>
  <c r="C7430" i="1"/>
  <c r="D7430" i="1"/>
  <c r="E7430" i="1"/>
  <c r="F7430" i="1"/>
  <c r="G7430" i="1"/>
  <c r="H7430" i="1"/>
  <c r="I7430" i="1"/>
  <c r="J7430" i="1"/>
  <c r="K7430" i="1"/>
  <c r="L7430" i="1"/>
  <c r="A7431" i="1"/>
  <c r="B7431" i="1"/>
  <c r="C7431" i="1"/>
  <c r="D7431" i="1"/>
  <c r="E7431" i="1"/>
  <c r="F7431" i="1"/>
  <c r="G7431" i="1"/>
  <c r="H7431" i="1"/>
  <c r="I7431" i="1"/>
  <c r="J7431" i="1"/>
  <c r="K7431" i="1"/>
  <c r="L7431" i="1"/>
  <c r="A7432" i="1"/>
  <c r="B7432" i="1"/>
  <c r="C7432" i="1"/>
  <c r="D7432" i="1"/>
  <c r="E7432" i="1"/>
  <c r="F7432" i="1"/>
  <c r="G7432" i="1"/>
  <c r="H7432" i="1"/>
  <c r="I7432" i="1"/>
  <c r="J7432" i="1"/>
  <c r="K7432" i="1"/>
  <c r="L7432" i="1"/>
  <c r="A7433" i="1"/>
  <c r="B7433" i="1"/>
  <c r="C7433" i="1"/>
  <c r="D7433" i="1"/>
  <c r="E7433" i="1"/>
  <c r="F7433" i="1"/>
  <c r="G7433" i="1"/>
  <c r="H7433" i="1"/>
  <c r="I7433" i="1"/>
  <c r="J7433" i="1"/>
  <c r="K7433" i="1"/>
  <c r="L7433" i="1"/>
  <c r="A7434" i="1"/>
  <c r="B7434" i="1"/>
  <c r="C7434" i="1"/>
  <c r="D7434" i="1"/>
  <c r="E7434" i="1"/>
  <c r="F7434" i="1"/>
  <c r="G7434" i="1"/>
  <c r="H7434" i="1"/>
  <c r="I7434" i="1"/>
  <c r="J7434" i="1"/>
  <c r="K7434" i="1"/>
  <c r="L7434" i="1"/>
  <c r="A7435" i="1"/>
  <c r="B7435" i="1"/>
  <c r="C7435" i="1"/>
  <c r="D7435" i="1"/>
  <c r="E7435" i="1"/>
  <c r="F7435" i="1"/>
  <c r="G7435" i="1"/>
  <c r="H7435" i="1"/>
  <c r="I7435" i="1"/>
  <c r="J7435" i="1"/>
  <c r="K7435" i="1"/>
  <c r="L7435" i="1"/>
  <c r="A7436" i="1"/>
  <c r="B7436" i="1"/>
  <c r="C7436" i="1"/>
  <c r="D7436" i="1"/>
  <c r="E7436" i="1"/>
  <c r="F7436" i="1"/>
  <c r="G7436" i="1"/>
  <c r="H7436" i="1"/>
  <c r="I7436" i="1"/>
  <c r="J7436" i="1"/>
  <c r="K7436" i="1"/>
  <c r="L7436" i="1"/>
  <c r="A7437" i="1"/>
  <c r="B7437" i="1"/>
  <c r="C7437" i="1"/>
  <c r="D7437" i="1"/>
  <c r="E7437" i="1"/>
  <c r="F7437" i="1"/>
  <c r="G7437" i="1"/>
  <c r="H7437" i="1"/>
  <c r="I7437" i="1"/>
  <c r="J7437" i="1"/>
  <c r="K7437" i="1"/>
  <c r="L7437" i="1"/>
  <c r="A7438" i="1"/>
  <c r="B7438" i="1"/>
  <c r="C7438" i="1"/>
  <c r="D7438" i="1"/>
  <c r="E7438" i="1"/>
  <c r="F7438" i="1"/>
  <c r="G7438" i="1"/>
  <c r="H7438" i="1"/>
  <c r="I7438" i="1"/>
  <c r="J7438" i="1"/>
  <c r="K7438" i="1"/>
  <c r="L7438" i="1"/>
  <c r="A7439" i="1"/>
  <c r="B7439" i="1"/>
  <c r="C7439" i="1"/>
  <c r="D7439" i="1"/>
  <c r="E7439" i="1"/>
  <c r="F7439" i="1"/>
  <c r="G7439" i="1"/>
  <c r="H7439" i="1"/>
  <c r="I7439" i="1"/>
  <c r="J7439" i="1"/>
  <c r="K7439" i="1"/>
  <c r="L7439" i="1"/>
  <c r="A7440" i="1"/>
  <c r="B7440" i="1"/>
  <c r="C7440" i="1"/>
  <c r="D7440" i="1"/>
  <c r="E7440" i="1"/>
  <c r="F7440" i="1"/>
  <c r="G7440" i="1"/>
  <c r="H7440" i="1"/>
  <c r="I7440" i="1"/>
  <c r="J7440" i="1"/>
  <c r="K7440" i="1"/>
  <c r="L7440" i="1"/>
  <c r="A7441" i="1"/>
  <c r="B7441" i="1"/>
  <c r="C7441" i="1"/>
  <c r="D7441" i="1"/>
  <c r="E7441" i="1"/>
  <c r="F7441" i="1"/>
  <c r="G7441" i="1"/>
  <c r="H7441" i="1"/>
  <c r="I7441" i="1"/>
  <c r="J7441" i="1"/>
  <c r="K7441" i="1"/>
  <c r="L7441" i="1"/>
  <c r="A7442" i="1"/>
  <c r="B7442" i="1"/>
  <c r="C7442" i="1"/>
  <c r="D7442" i="1"/>
  <c r="E7442" i="1"/>
  <c r="F7442" i="1"/>
  <c r="G7442" i="1"/>
  <c r="H7442" i="1"/>
  <c r="I7442" i="1"/>
  <c r="J7442" i="1"/>
  <c r="K7442" i="1"/>
  <c r="L7442" i="1"/>
  <c r="A7443" i="1"/>
  <c r="B7443" i="1"/>
  <c r="C7443" i="1"/>
  <c r="D7443" i="1"/>
  <c r="E7443" i="1"/>
  <c r="F7443" i="1"/>
  <c r="G7443" i="1"/>
  <c r="H7443" i="1"/>
  <c r="I7443" i="1"/>
  <c r="J7443" i="1"/>
  <c r="K7443" i="1"/>
  <c r="L7443" i="1"/>
  <c r="A7444" i="1"/>
  <c r="B7444" i="1"/>
  <c r="C7444" i="1"/>
  <c r="D7444" i="1"/>
  <c r="E7444" i="1"/>
  <c r="F7444" i="1"/>
  <c r="G7444" i="1"/>
  <c r="H7444" i="1"/>
  <c r="I7444" i="1"/>
  <c r="J7444" i="1"/>
  <c r="K7444" i="1"/>
  <c r="L7444" i="1"/>
  <c r="A7445" i="1"/>
  <c r="B7445" i="1"/>
  <c r="C7445" i="1"/>
  <c r="D7445" i="1"/>
  <c r="E7445" i="1"/>
  <c r="F7445" i="1"/>
  <c r="G7445" i="1"/>
  <c r="H7445" i="1"/>
  <c r="I7445" i="1"/>
  <c r="J7445" i="1"/>
  <c r="K7445" i="1"/>
  <c r="L7445" i="1"/>
  <c r="A7446" i="1"/>
  <c r="B7446" i="1"/>
  <c r="C7446" i="1"/>
  <c r="D7446" i="1"/>
  <c r="E7446" i="1"/>
  <c r="F7446" i="1"/>
  <c r="G7446" i="1"/>
  <c r="H7446" i="1"/>
  <c r="I7446" i="1"/>
  <c r="J7446" i="1"/>
  <c r="K7446" i="1"/>
  <c r="L7446" i="1"/>
  <c r="A7447" i="1"/>
  <c r="B7447" i="1"/>
  <c r="C7447" i="1"/>
  <c r="D7447" i="1"/>
  <c r="E7447" i="1"/>
  <c r="F7447" i="1"/>
  <c r="G7447" i="1"/>
  <c r="H7447" i="1"/>
  <c r="I7447" i="1"/>
  <c r="J7447" i="1"/>
  <c r="K7447" i="1"/>
  <c r="L7447" i="1"/>
  <c r="A7448" i="1"/>
  <c r="B7448" i="1"/>
  <c r="C7448" i="1"/>
  <c r="D7448" i="1"/>
  <c r="E7448" i="1"/>
  <c r="F7448" i="1"/>
  <c r="G7448" i="1"/>
  <c r="H7448" i="1"/>
  <c r="I7448" i="1"/>
  <c r="J7448" i="1"/>
  <c r="K7448" i="1"/>
  <c r="L7448" i="1"/>
  <c r="A7449" i="1"/>
  <c r="B7449" i="1"/>
  <c r="C7449" i="1"/>
  <c r="D7449" i="1"/>
  <c r="E7449" i="1"/>
  <c r="F7449" i="1"/>
  <c r="G7449" i="1"/>
  <c r="H7449" i="1"/>
  <c r="I7449" i="1"/>
  <c r="J7449" i="1"/>
  <c r="K7449" i="1"/>
  <c r="L7449" i="1"/>
  <c r="A7450" i="1"/>
  <c r="B7450" i="1"/>
  <c r="C7450" i="1"/>
  <c r="D7450" i="1"/>
  <c r="E7450" i="1"/>
  <c r="F7450" i="1"/>
  <c r="G7450" i="1"/>
  <c r="H7450" i="1"/>
  <c r="I7450" i="1"/>
  <c r="J7450" i="1"/>
  <c r="K7450" i="1"/>
  <c r="L7450" i="1"/>
  <c r="A7451" i="1"/>
  <c r="B7451" i="1"/>
  <c r="C7451" i="1"/>
  <c r="D7451" i="1"/>
  <c r="E7451" i="1"/>
  <c r="F7451" i="1"/>
  <c r="G7451" i="1"/>
  <c r="H7451" i="1"/>
  <c r="I7451" i="1"/>
  <c r="J7451" i="1"/>
  <c r="K7451" i="1"/>
  <c r="L7451" i="1"/>
  <c r="A7452" i="1"/>
  <c r="B7452" i="1"/>
  <c r="C7452" i="1"/>
  <c r="D7452" i="1"/>
  <c r="E7452" i="1"/>
  <c r="F7452" i="1"/>
  <c r="G7452" i="1"/>
  <c r="H7452" i="1"/>
  <c r="I7452" i="1"/>
  <c r="J7452" i="1"/>
  <c r="K7452" i="1"/>
  <c r="L7452" i="1"/>
  <c r="A7453" i="1"/>
  <c r="B7453" i="1"/>
  <c r="C7453" i="1"/>
  <c r="D7453" i="1"/>
  <c r="E7453" i="1"/>
  <c r="F7453" i="1"/>
  <c r="G7453" i="1"/>
  <c r="H7453" i="1"/>
  <c r="I7453" i="1"/>
  <c r="J7453" i="1"/>
  <c r="K7453" i="1"/>
  <c r="L7453" i="1"/>
  <c r="A7454" i="1"/>
  <c r="B7454" i="1"/>
  <c r="C7454" i="1"/>
  <c r="D7454" i="1"/>
  <c r="E7454" i="1"/>
  <c r="F7454" i="1"/>
  <c r="G7454" i="1"/>
  <c r="H7454" i="1"/>
  <c r="I7454" i="1"/>
  <c r="J7454" i="1"/>
  <c r="K7454" i="1"/>
  <c r="L7454" i="1"/>
  <c r="A7455" i="1"/>
  <c r="B7455" i="1"/>
  <c r="C7455" i="1"/>
  <c r="D7455" i="1"/>
  <c r="E7455" i="1"/>
  <c r="F7455" i="1"/>
  <c r="G7455" i="1"/>
  <c r="H7455" i="1"/>
  <c r="I7455" i="1"/>
  <c r="J7455" i="1"/>
  <c r="K7455" i="1"/>
  <c r="L7455" i="1"/>
  <c r="A7456" i="1"/>
  <c r="B7456" i="1"/>
  <c r="C7456" i="1"/>
  <c r="D7456" i="1"/>
  <c r="E7456" i="1"/>
  <c r="F7456" i="1"/>
  <c r="G7456" i="1"/>
  <c r="H7456" i="1"/>
  <c r="I7456" i="1"/>
  <c r="J7456" i="1"/>
  <c r="K7456" i="1"/>
  <c r="L7456" i="1"/>
  <c r="A7457" i="1"/>
  <c r="B7457" i="1"/>
  <c r="C7457" i="1"/>
  <c r="D7457" i="1"/>
  <c r="E7457" i="1"/>
  <c r="F7457" i="1"/>
  <c r="G7457" i="1"/>
  <c r="H7457" i="1"/>
  <c r="I7457" i="1"/>
  <c r="J7457" i="1"/>
  <c r="K7457" i="1"/>
  <c r="L7457" i="1"/>
  <c r="A7458" i="1"/>
  <c r="B7458" i="1"/>
  <c r="C7458" i="1"/>
  <c r="D7458" i="1"/>
  <c r="E7458" i="1"/>
  <c r="F7458" i="1"/>
  <c r="G7458" i="1"/>
  <c r="H7458" i="1"/>
  <c r="I7458" i="1"/>
  <c r="J7458" i="1"/>
  <c r="K7458" i="1"/>
  <c r="L7458" i="1"/>
  <c r="A7459" i="1"/>
  <c r="B7459" i="1"/>
  <c r="C7459" i="1"/>
  <c r="D7459" i="1"/>
  <c r="E7459" i="1"/>
  <c r="F7459" i="1"/>
  <c r="G7459" i="1"/>
  <c r="H7459" i="1"/>
  <c r="I7459" i="1"/>
  <c r="J7459" i="1"/>
  <c r="K7459" i="1"/>
  <c r="L7459" i="1"/>
  <c r="A7460" i="1"/>
  <c r="B7460" i="1"/>
  <c r="C7460" i="1"/>
  <c r="D7460" i="1"/>
  <c r="E7460" i="1"/>
  <c r="F7460" i="1"/>
  <c r="G7460" i="1"/>
  <c r="H7460" i="1"/>
  <c r="I7460" i="1"/>
  <c r="J7460" i="1"/>
  <c r="K7460" i="1"/>
  <c r="L7460" i="1"/>
  <c r="A7461" i="1"/>
  <c r="B7461" i="1"/>
  <c r="C7461" i="1"/>
  <c r="D7461" i="1"/>
  <c r="E7461" i="1"/>
  <c r="F7461" i="1"/>
  <c r="G7461" i="1"/>
  <c r="H7461" i="1"/>
  <c r="I7461" i="1"/>
  <c r="J7461" i="1"/>
  <c r="K7461" i="1"/>
  <c r="L7461" i="1"/>
  <c r="A7462" i="1"/>
  <c r="B7462" i="1"/>
  <c r="C7462" i="1"/>
  <c r="D7462" i="1"/>
  <c r="E7462" i="1"/>
  <c r="F7462" i="1"/>
  <c r="G7462" i="1"/>
  <c r="H7462" i="1"/>
  <c r="I7462" i="1"/>
  <c r="J7462" i="1"/>
  <c r="K7462" i="1"/>
  <c r="L7462" i="1"/>
  <c r="A7463" i="1"/>
  <c r="B7463" i="1"/>
  <c r="C7463" i="1"/>
  <c r="D7463" i="1"/>
  <c r="E7463" i="1"/>
  <c r="F7463" i="1"/>
  <c r="G7463" i="1"/>
  <c r="H7463" i="1"/>
  <c r="I7463" i="1"/>
  <c r="J7463" i="1"/>
  <c r="K7463" i="1"/>
  <c r="L7463" i="1"/>
  <c r="A7464" i="1"/>
  <c r="B7464" i="1"/>
  <c r="C7464" i="1"/>
  <c r="D7464" i="1"/>
  <c r="E7464" i="1"/>
  <c r="F7464" i="1"/>
  <c r="G7464" i="1"/>
  <c r="H7464" i="1"/>
  <c r="I7464" i="1"/>
  <c r="J7464" i="1"/>
  <c r="K7464" i="1"/>
  <c r="L7464" i="1"/>
  <c r="A7465" i="1"/>
  <c r="B7465" i="1"/>
  <c r="C7465" i="1"/>
  <c r="D7465" i="1"/>
  <c r="E7465" i="1"/>
  <c r="F7465" i="1"/>
  <c r="G7465" i="1"/>
  <c r="H7465" i="1"/>
  <c r="I7465" i="1"/>
  <c r="J7465" i="1"/>
  <c r="K7465" i="1"/>
  <c r="L7465" i="1"/>
  <c r="A7466" i="1"/>
  <c r="B7466" i="1"/>
  <c r="C7466" i="1"/>
  <c r="D7466" i="1"/>
  <c r="E7466" i="1"/>
  <c r="F7466" i="1"/>
  <c r="G7466" i="1"/>
  <c r="H7466" i="1"/>
  <c r="I7466" i="1"/>
  <c r="J7466" i="1"/>
  <c r="K7466" i="1"/>
  <c r="L7466" i="1"/>
  <c r="A7467" i="1"/>
  <c r="B7467" i="1"/>
  <c r="C7467" i="1"/>
  <c r="D7467" i="1"/>
  <c r="E7467" i="1"/>
  <c r="F7467" i="1"/>
  <c r="G7467" i="1"/>
  <c r="H7467" i="1"/>
  <c r="I7467" i="1"/>
  <c r="J7467" i="1"/>
  <c r="K7467" i="1"/>
  <c r="L7467" i="1"/>
  <c r="A7468" i="1"/>
  <c r="B7468" i="1"/>
  <c r="C7468" i="1"/>
  <c r="D7468" i="1"/>
  <c r="E7468" i="1"/>
  <c r="F7468" i="1"/>
  <c r="G7468" i="1"/>
  <c r="H7468" i="1"/>
  <c r="I7468" i="1"/>
  <c r="J7468" i="1"/>
  <c r="K7468" i="1"/>
  <c r="L7468" i="1"/>
  <c r="A7469" i="1"/>
  <c r="B7469" i="1"/>
  <c r="C7469" i="1"/>
  <c r="D7469" i="1"/>
  <c r="E7469" i="1"/>
  <c r="F7469" i="1"/>
  <c r="G7469" i="1"/>
  <c r="H7469" i="1"/>
  <c r="I7469" i="1"/>
  <c r="J7469" i="1"/>
  <c r="K7469" i="1"/>
  <c r="L7469" i="1"/>
  <c r="A7470" i="1"/>
  <c r="B7470" i="1"/>
  <c r="C7470" i="1"/>
  <c r="D7470" i="1"/>
  <c r="E7470" i="1"/>
  <c r="F7470" i="1"/>
  <c r="G7470" i="1"/>
  <c r="H7470" i="1"/>
  <c r="I7470" i="1"/>
  <c r="J7470" i="1"/>
  <c r="K7470" i="1"/>
  <c r="L7470" i="1"/>
  <c r="A7471" i="1"/>
  <c r="B7471" i="1"/>
  <c r="C7471" i="1"/>
  <c r="D7471" i="1"/>
  <c r="E7471" i="1"/>
  <c r="F7471" i="1"/>
  <c r="G7471" i="1"/>
  <c r="H7471" i="1"/>
  <c r="I7471" i="1"/>
  <c r="J7471" i="1"/>
  <c r="K7471" i="1"/>
  <c r="L7471" i="1"/>
  <c r="A7472" i="1"/>
  <c r="B7472" i="1"/>
  <c r="C7472" i="1"/>
  <c r="D7472" i="1"/>
  <c r="E7472" i="1"/>
  <c r="F7472" i="1"/>
  <c r="G7472" i="1"/>
  <c r="H7472" i="1"/>
  <c r="I7472" i="1"/>
  <c r="J7472" i="1"/>
  <c r="K7472" i="1"/>
  <c r="L7472" i="1"/>
  <c r="A7473" i="1"/>
  <c r="B7473" i="1"/>
  <c r="C7473" i="1"/>
  <c r="D7473" i="1"/>
  <c r="E7473" i="1"/>
  <c r="F7473" i="1"/>
  <c r="G7473" i="1"/>
  <c r="H7473" i="1"/>
  <c r="I7473" i="1"/>
  <c r="J7473" i="1"/>
  <c r="K7473" i="1"/>
  <c r="L7473" i="1"/>
  <c r="A7474" i="1"/>
  <c r="B7474" i="1"/>
  <c r="C7474" i="1"/>
  <c r="D7474" i="1"/>
  <c r="E7474" i="1"/>
  <c r="F7474" i="1"/>
  <c r="G7474" i="1"/>
  <c r="H7474" i="1"/>
  <c r="I7474" i="1"/>
  <c r="J7474" i="1"/>
  <c r="K7474" i="1"/>
  <c r="L7474" i="1"/>
  <c r="A7475" i="1"/>
  <c r="B7475" i="1"/>
  <c r="C7475" i="1"/>
  <c r="D7475" i="1"/>
  <c r="E7475" i="1"/>
  <c r="F7475" i="1"/>
  <c r="G7475" i="1"/>
  <c r="H7475" i="1"/>
  <c r="I7475" i="1"/>
  <c r="J7475" i="1"/>
  <c r="K7475" i="1"/>
  <c r="L7475" i="1"/>
  <c r="A7476" i="1"/>
  <c r="B7476" i="1"/>
  <c r="C7476" i="1"/>
  <c r="D7476" i="1"/>
  <c r="E7476" i="1"/>
  <c r="F7476" i="1"/>
  <c r="G7476" i="1"/>
  <c r="H7476" i="1"/>
  <c r="I7476" i="1"/>
  <c r="J7476" i="1"/>
  <c r="K7476" i="1"/>
  <c r="L7476" i="1"/>
  <c r="A7477" i="1"/>
  <c r="B7477" i="1"/>
  <c r="C7477" i="1"/>
  <c r="D7477" i="1"/>
  <c r="E7477" i="1"/>
  <c r="F7477" i="1"/>
  <c r="G7477" i="1"/>
  <c r="H7477" i="1"/>
  <c r="I7477" i="1"/>
  <c r="J7477" i="1"/>
  <c r="K7477" i="1"/>
  <c r="L7477" i="1"/>
  <c r="A7478" i="1"/>
  <c r="B7478" i="1"/>
  <c r="C7478" i="1"/>
  <c r="D7478" i="1"/>
  <c r="E7478" i="1"/>
  <c r="F7478" i="1"/>
  <c r="G7478" i="1"/>
  <c r="H7478" i="1"/>
  <c r="I7478" i="1"/>
  <c r="J7478" i="1"/>
  <c r="K7478" i="1"/>
  <c r="L7478" i="1"/>
  <c r="A7479" i="1"/>
  <c r="B7479" i="1"/>
  <c r="C7479" i="1"/>
  <c r="D7479" i="1"/>
  <c r="E7479" i="1"/>
  <c r="F7479" i="1"/>
  <c r="G7479" i="1"/>
  <c r="H7479" i="1"/>
  <c r="I7479" i="1"/>
  <c r="J7479" i="1"/>
  <c r="K7479" i="1"/>
  <c r="L7479" i="1"/>
  <c r="A7480" i="1"/>
  <c r="B7480" i="1"/>
  <c r="C7480" i="1"/>
  <c r="D7480" i="1"/>
  <c r="E7480" i="1"/>
  <c r="F7480" i="1"/>
  <c r="G7480" i="1"/>
  <c r="H7480" i="1"/>
  <c r="I7480" i="1"/>
  <c r="J7480" i="1"/>
  <c r="K7480" i="1"/>
  <c r="L7480" i="1"/>
  <c r="A7481" i="1"/>
  <c r="B7481" i="1"/>
  <c r="C7481" i="1"/>
  <c r="D7481" i="1"/>
  <c r="E7481" i="1"/>
  <c r="F7481" i="1"/>
  <c r="G7481" i="1"/>
  <c r="H7481" i="1"/>
  <c r="I7481" i="1"/>
  <c r="J7481" i="1"/>
  <c r="K7481" i="1"/>
  <c r="L7481" i="1"/>
  <c r="A7482" i="1"/>
  <c r="B7482" i="1"/>
  <c r="C7482" i="1"/>
  <c r="D7482" i="1"/>
  <c r="E7482" i="1"/>
  <c r="F7482" i="1"/>
  <c r="G7482" i="1"/>
  <c r="H7482" i="1"/>
  <c r="I7482" i="1"/>
  <c r="J7482" i="1"/>
  <c r="K7482" i="1"/>
  <c r="L7482" i="1"/>
  <c r="A7483" i="1"/>
  <c r="B7483" i="1"/>
  <c r="C7483" i="1"/>
  <c r="D7483" i="1"/>
  <c r="E7483" i="1"/>
  <c r="F7483" i="1"/>
  <c r="G7483" i="1"/>
  <c r="H7483" i="1"/>
  <c r="I7483" i="1"/>
  <c r="J7483" i="1"/>
  <c r="K7483" i="1"/>
  <c r="L7483" i="1"/>
  <c r="A7484" i="1"/>
  <c r="B7484" i="1"/>
  <c r="C7484" i="1"/>
  <c r="D7484" i="1"/>
  <c r="E7484" i="1"/>
  <c r="F7484" i="1"/>
  <c r="G7484" i="1"/>
  <c r="H7484" i="1"/>
  <c r="I7484" i="1"/>
  <c r="J7484" i="1"/>
  <c r="K7484" i="1"/>
  <c r="L7484" i="1"/>
  <c r="A7485" i="1"/>
  <c r="B7485" i="1"/>
  <c r="C7485" i="1"/>
  <c r="D7485" i="1"/>
  <c r="E7485" i="1"/>
  <c r="F7485" i="1"/>
  <c r="G7485" i="1"/>
  <c r="H7485" i="1"/>
  <c r="I7485" i="1"/>
  <c r="J7485" i="1"/>
  <c r="K7485" i="1"/>
  <c r="L7485" i="1"/>
  <c r="A7486" i="1"/>
  <c r="B7486" i="1"/>
  <c r="C7486" i="1"/>
  <c r="D7486" i="1"/>
  <c r="E7486" i="1"/>
  <c r="F7486" i="1"/>
  <c r="G7486" i="1"/>
  <c r="H7486" i="1"/>
  <c r="I7486" i="1"/>
  <c r="J7486" i="1"/>
  <c r="K7486" i="1"/>
  <c r="L7486" i="1"/>
  <c r="A7487" i="1"/>
  <c r="B7487" i="1"/>
  <c r="C7487" i="1"/>
  <c r="D7487" i="1"/>
  <c r="E7487" i="1"/>
  <c r="F7487" i="1"/>
  <c r="G7487" i="1"/>
  <c r="H7487" i="1"/>
  <c r="I7487" i="1"/>
  <c r="J7487" i="1"/>
  <c r="K7487" i="1"/>
  <c r="L7487" i="1"/>
  <c r="A7488" i="1"/>
  <c r="B7488" i="1"/>
  <c r="C7488" i="1"/>
  <c r="D7488" i="1"/>
  <c r="E7488" i="1"/>
  <c r="F7488" i="1"/>
  <c r="G7488" i="1"/>
  <c r="H7488" i="1"/>
  <c r="I7488" i="1"/>
  <c r="J7488" i="1"/>
  <c r="K7488" i="1"/>
  <c r="L7488" i="1"/>
  <c r="A7489" i="1"/>
  <c r="B7489" i="1"/>
  <c r="C7489" i="1"/>
  <c r="D7489" i="1"/>
  <c r="E7489" i="1"/>
  <c r="F7489" i="1"/>
  <c r="G7489" i="1"/>
  <c r="H7489" i="1"/>
  <c r="I7489" i="1"/>
  <c r="J7489" i="1"/>
  <c r="K7489" i="1"/>
  <c r="L7489" i="1"/>
  <c r="A7490" i="1"/>
  <c r="B7490" i="1"/>
  <c r="C7490" i="1"/>
  <c r="D7490" i="1"/>
  <c r="E7490" i="1"/>
  <c r="F7490" i="1"/>
  <c r="G7490" i="1"/>
  <c r="H7490" i="1"/>
  <c r="I7490" i="1"/>
  <c r="J7490" i="1"/>
  <c r="K7490" i="1"/>
  <c r="L7490" i="1"/>
  <c r="A7491" i="1"/>
  <c r="B7491" i="1"/>
  <c r="C7491" i="1"/>
  <c r="D7491" i="1"/>
  <c r="E7491" i="1"/>
  <c r="F7491" i="1"/>
  <c r="G7491" i="1"/>
  <c r="H7491" i="1"/>
  <c r="I7491" i="1"/>
  <c r="J7491" i="1"/>
  <c r="K7491" i="1"/>
  <c r="L7491" i="1"/>
  <c r="A7492" i="1"/>
  <c r="B7492" i="1"/>
  <c r="C7492" i="1"/>
  <c r="D7492" i="1"/>
  <c r="E7492" i="1"/>
  <c r="F7492" i="1"/>
  <c r="G7492" i="1"/>
  <c r="H7492" i="1"/>
  <c r="I7492" i="1"/>
  <c r="J7492" i="1"/>
  <c r="K7492" i="1"/>
  <c r="L7492" i="1"/>
  <c r="A7493" i="1"/>
  <c r="B7493" i="1"/>
  <c r="C7493" i="1"/>
  <c r="D7493" i="1"/>
  <c r="E7493" i="1"/>
  <c r="F7493" i="1"/>
  <c r="G7493" i="1"/>
  <c r="H7493" i="1"/>
  <c r="I7493" i="1"/>
  <c r="J7493" i="1"/>
  <c r="K7493" i="1"/>
  <c r="L7493" i="1"/>
  <c r="A7494" i="1"/>
  <c r="B7494" i="1"/>
  <c r="C7494" i="1"/>
  <c r="D7494" i="1"/>
  <c r="E7494" i="1"/>
  <c r="F7494" i="1"/>
  <c r="G7494" i="1"/>
  <c r="H7494" i="1"/>
  <c r="I7494" i="1"/>
  <c r="J7494" i="1"/>
  <c r="K7494" i="1"/>
  <c r="L7494" i="1"/>
  <c r="A7495" i="1"/>
  <c r="B7495" i="1"/>
  <c r="C7495" i="1"/>
  <c r="D7495" i="1"/>
  <c r="E7495" i="1"/>
  <c r="F7495" i="1"/>
  <c r="G7495" i="1"/>
  <c r="H7495" i="1"/>
  <c r="I7495" i="1"/>
  <c r="J7495" i="1"/>
  <c r="K7495" i="1"/>
  <c r="L7495" i="1"/>
  <c r="A7496" i="1"/>
  <c r="B7496" i="1"/>
  <c r="C7496" i="1"/>
  <c r="D7496" i="1"/>
  <c r="E7496" i="1"/>
  <c r="F7496" i="1"/>
  <c r="G7496" i="1"/>
  <c r="H7496" i="1"/>
  <c r="I7496" i="1"/>
  <c r="J7496" i="1"/>
  <c r="K7496" i="1"/>
  <c r="L7496" i="1"/>
  <c r="A7497" i="1"/>
  <c r="B7497" i="1"/>
  <c r="C7497" i="1"/>
  <c r="D7497" i="1"/>
  <c r="E7497" i="1"/>
  <c r="F7497" i="1"/>
  <c r="G7497" i="1"/>
  <c r="H7497" i="1"/>
  <c r="I7497" i="1"/>
  <c r="J7497" i="1"/>
  <c r="K7497" i="1"/>
  <c r="L7497" i="1"/>
  <c r="A7498" i="1"/>
  <c r="B7498" i="1"/>
  <c r="C7498" i="1"/>
  <c r="D7498" i="1"/>
  <c r="E7498" i="1"/>
  <c r="F7498" i="1"/>
  <c r="G7498" i="1"/>
  <c r="H7498" i="1"/>
  <c r="I7498" i="1"/>
  <c r="J7498" i="1"/>
  <c r="K7498" i="1"/>
  <c r="L7498" i="1"/>
  <c r="A7499" i="1"/>
  <c r="B7499" i="1"/>
  <c r="C7499" i="1"/>
  <c r="D7499" i="1"/>
  <c r="E7499" i="1"/>
  <c r="F7499" i="1"/>
  <c r="G7499" i="1"/>
  <c r="H7499" i="1"/>
  <c r="I7499" i="1"/>
  <c r="J7499" i="1"/>
  <c r="K7499" i="1"/>
  <c r="L7499" i="1"/>
  <c r="A7500" i="1"/>
  <c r="B7500" i="1"/>
  <c r="C7500" i="1"/>
  <c r="D7500" i="1"/>
  <c r="E7500" i="1"/>
  <c r="F7500" i="1"/>
  <c r="G7500" i="1"/>
  <c r="H7500" i="1"/>
  <c r="I7500" i="1"/>
  <c r="J7500" i="1"/>
  <c r="K7500" i="1"/>
  <c r="L7500" i="1"/>
  <c r="A7501" i="1"/>
  <c r="B7501" i="1"/>
  <c r="C7501" i="1"/>
  <c r="D7501" i="1"/>
  <c r="E7501" i="1"/>
  <c r="F7501" i="1"/>
  <c r="G7501" i="1"/>
  <c r="H7501" i="1"/>
  <c r="I7501" i="1"/>
  <c r="J7501" i="1"/>
  <c r="K7501" i="1"/>
  <c r="L7501" i="1"/>
  <c r="A7502" i="1"/>
  <c r="B7502" i="1"/>
  <c r="C7502" i="1"/>
  <c r="D7502" i="1"/>
  <c r="E7502" i="1"/>
  <c r="F7502" i="1"/>
  <c r="G7502" i="1"/>
  <c r="H7502" i="1"/>
  <c r="I7502" i="1"/>
  <c r="J7502" i="1"/>
  <c r="K7502" i="1"/>
  <c r="L7502" i="1"/>
  <c r="A7503" i="1"/>
  <c r="B7503" i="1"/>
  <c r="C7503" i="1"/>
  <c r="D7503" i="1"/>
  <c r="E7503" i="1"/>
  <c r="F7503" i="1"/>
  <c r="G7503" i="1"/>
  <c r="H7503" i="1"/>
  <c r="I7503" i="1"/>
  <c r="J7503" i="1"/>
  <c r="K7503" i="1"/>
  <c r="L7503" i="1"/>
  <c r="A7504" i="1"/>
  <c r="B7504" i="1"/>
  <c r="C7504" i="1"/>
  <c r="D7504" i="1"/>
  <c r="E7504" i="1"/>
  <c r="F7504" i="1"/>
  <c r="G7504" i="1"/>
  <c r="H7504" i="1"/>
  <c r="I7504" i="1"/>
  <c r="J7504" i="1"/>
  <c r="K7504" i="1"/>
  <c r="L7504" i="1"/>
  <c r="A7505" i="1"/>
  <c r="B7505" i="1"/>
  <c r="C7505" i="1"/>
  <c r="D7505" i="1"/>
  <c r="E7505" i="1"/>
  <c r="F7505" i="1"/>
  <c r="G7505" i="1"/>
  <c r="H7505" i="1"/>
  <c r="I7505" i="1"/>
  <c r="J7505" i="1"/>
  <c r="K7505" i="1"/>
  <c r="L7505" i="1"/>
  <c r="A7506" i="1"/>
  <c r="B7506" i="1"/>
  <c r="C7506" i="1"/>
  <c r="D7506" i="1"/>
  <c r="E7506" i="1"/>
  <c r="F7506" i="1"/>
  <c r="G7506" i="1"/>
  <c r="H7506" i="1"/>
  <c r="I7506" i="1"/>
  <c r="J7506" i="1"/>
  <c r="K7506" i="1"/>
  <c r="L7506" i="1"/>
  <c r="A7507" i="1"/>
  <c r="B7507" i="1"/>
  <c r="C7507" i="1"/>
  <c r="D7507" i="1"/>
  <c r="E7507" i="1"/>
  <c r="F7507" i="1"/>
  <c r="G7507" i="1"/>
  <c r="H7507" i="1"/>
  <c r="I7507" i="1"/>
  <c r="J7507" i="1"/>
  <c r="K7507" i="1"/>
  <c r="L7507" i="1"/>
  <c r="A7508" i="1"/>
  <c r="B7508" i="1"/>
  <c r="C7508" i="1"/>
  <c r="D7508" i="1"/>
  <c r="E7508" i="1"/>
  <c r="F7508" i="1"/>
  <c r="G7508" i="1"/>
  <c r="H7508" i="1"/>
  <c r="I7508" i="1"/>
  <c r="J7508" i="1"/>
  <c r="K7508" i="1"/>
  <c r="L7508" i="1"/>
  <c r="A7509" i="1"/>
  <c r="B7509" i="1"/>
  <c r="C7509" i="1"/>
  <c r="D7509" i="1"/>
  <c r="E7509" i="1"/>
  <c r="F7509" i="1"/>
  <c r="G7509" i="1"/>
  <c r="H7509" i="1"/>
  <c r="I7509" i="1"/>
  <c r="J7509" i="1"/>
  <c r="K7509" i="1"/>
  <c r="L7509" i="1"/>
  <c r="A7510" i="1"/>
  <c r="B7510" i="1"/>
  <c r="C7510" i="1"/>
  <c r="D7510" i="1"/>
  <c r="E7510" i="1"/>
  <c r="F7510" i="1"/>
  <c r="G7510" i="1"/>
  <c r="H7510" i="1"/>
  <c r="I7510" i="1"/>
  <c r="J7510" i="1"/>
  <c r="K7510" i="1"/>
  <c r="L7510" i="1"/>
  <c r="A7511" i="1"/>
  <c r="B7511" i="1"/>
  <c r="C7511" i="1"/>
  <c r="D7511" i="1"/>
  <c r="E7511" i="1"/>
  <c r="F7511" i="1"/>
  <c r="G7511" i="1"/>
  <c r="H7511" i="1"/>
  <c r="I7511" i="1"/>
  <c r="J7511" i="1"/>
  <c r="K7511" i="1"/>
  <c r="L7511" i="1"/>
  <c r="A7512" i="1"/>
  <c r="B7512" i="1"/>
  <c r="C7512" i="1"/>
  <c r="D7512" i="1"/>
  <c r="E7512" i="1"/>
  <c r="F7512" i="1"/>
  <c r="G7512" i="1"/>
  <c r="H7512" i="1"/>
  <c r="I7512" i="1"/>
  <c r="J7512" i="1"/>
  <c r="K7512" i="1"/>
  <c r="L7512" i="1"/>
  <c r="A7513" i="1"/>
  <c r="B7513" i="1"/>
  <c r="C7513" i="1"/>
  <c r="D7513" i="1"/>
  <c r="E7513" i="1"/>
  <c r="F7513" i="1"/>
  <c r="G7513" i="1"/>
  <c r="H7513" i="1"/>
  <c r="I7513" i="1"/>
  <c r="J7513" i="1"/>
  <c r="K7513" i="1"/>
  <c r="L7513" i="1"/>
  <c r="A7514" i="1"/>
  <c r="B7514" i="1"/>
  <c r="C7514" i="1"/>
  <c r="D7514" i="1"/>
  <c r="E7514" i="1"/>
  <c r="F7514" i="1"/>
  <c r="G7514" i="1"/>
  <c r="H7514" i="1"/>
  <c r="I7514" i="1"/>
  <c r="J7514" i="1"/>
  <c r="K7514" i="1"/>
  <c r="L7514" i="1"/>
  <c r="A7515" i="1"/>
  <c r="B7515" i="1"/>
  <c r="C7515" i="1"/>
  <c r="D7515" i="1"/>
  <c r="E7515" i="1"/>
  <c r="F7515" i="1"/>
  <c r="G7515" i="1"/>
  <c r="H7515" i="1"/>
  <c r="I7515" i="1"/>
  <c r="J7515" i="1"/>
  <c r="K7515" i="1"/>
  <c r="L7515" i="1"/>
  <c r="A7516" i="1"/>
  <c r="B7516" i="1"/>
  <c r="C7516" i="1"/>
  <c r="D7516" i="1"/>
  <c r="E7516" i="1"/>
  <c r="F7516" i="1"/>
  <c r="G7516" i="1"/>
  <c r="H7516" i="1"/>
  <c r="I7516" i="1"/>
  <c r="J7516" i="1"/>
  <c r="K7516" i="1"/>
  <c r="L7516" i="1"/>
  <c r="A7517" i="1"/>
  <c r="B7517" i="1"/>
  <c r="C7517" i="1"/>
  <c r="D7517" i="1"/>
  <c r="E7517" i="1"/>
  <c r="F7517" i="1"/>
  <c r="G7517" i="1"/>
  <c r="H7517" i="1"/>
  <c r="I7517" i="1"/>
  <c r="J7517" i="1"/>
  <c r="K7517" i="1"/>
  <c r="L7517" i="1"/>
  <c r="A7518" i="1"/>
  <c r="B7518" i="1"/>
  <c r="C7518" i="1"/>
  <c r="D7518" i="1"/>
  <c r="E7518" i="1"/>
  <c r="F7518" i="1"/>
  <c r="G7518" i="1"/>
  <c r="H7518" i="1"/>
  <c r="I7518" i="1"/>
  <c r="J7518" i="1"/>
  <c r="K7518" i="1"/>
  <c r="L7518" i="1"/>
  <c r="A7519" i="1"/>
  <c r="B7519" i="1"/>
  <c r="C7519" i="1"/>
  <c r="D7519" i="1"/>
  <c r="E7519" i="1"/>
  <c r="F7519" i="1"/>
  <c r="G7519" i="1"/>
  <c r="H7519" i="1"/>
  <c r="I7519" i="1"/>
  <c r="J7519" i="1"/>
  <c r="K7519" i="1"/>
  <c r="L7519" i="1"/>
  <c r="A7520" i="1"/>
  <c r="B7520" i="1"/>
  <c r="C7520" i="1"/>
  <c r="D7520" i="1"/>
  <c r="E7520" i="1"/>
  <c r="F7520" i="1"/>
  <c r="G7520" i="1"/>
  <c r="H7520" i="1"/>
  <c r="I7520" i="1"/>
  <c r="J7520" i="1"/>
  <c r="K7520" i="1"/>
  <c r="L7520" i="1"/>
  <c r="A7521" i="1"/>
  <c r="B7521" i="1"/>
  <c r="C7521" i="1"/>
  <c r="D7521" i="1"/>
  <c r="E7521" i="1"/>
  <c r="F7521" i="1"/>
  <c r="G7521" i="1"/>
  <c r="H7521" i="1"/>
  <c r="I7521" i="1"/>
  <c r="J7521" i="1"/>
  <c r="K7521" i="1"/>
  <c r="L7521" i="1"/>
  <c r="A7522" i="1"/>
  <c r="B7522" i="1"/>
  <c r="C7522" i="1"/>
  <c r="D7522" i="1"/>
  <c r="E7522" i="1"/>
  <c r="F7522" i="1"/>
  <c r="G7522" i="1"/>
  <c r="H7522" i="1"/>
  <c r="I7522" i="1"/>
  <c r="J7522" i="1"/>
  <c r="K7522" i="1"/>
  <c r="L7522" i="1"/>
  <c r="A7523" i="1"/>
  <c r="B7523" i="1"/>
  <c r="C7523" i="1"/>
  <c r="D7523" i="1"/>
  <c r="E7523" i="1"/>
  <c r="F7523" i="1"/>
  <c r="G7523" i="1"/>
  <c r="H7523" i="1"/>
  <c r="I7523" i="1"/>
  <c r="J7523" i="1"/>
  <c r="K7523" i="1"/>
  <c r="L7523" i="1"/>
  <c r="A7524" i="1"/>
  <c r="B7524" i="1"/>
  <c r="C7524" i="1"/>
  <c r="D7524" i="1"/>
  <c r="E7524" i="1"/>
  <c r="F7524" i="1"/>
  <c r="G7524" i="1"/>
  <c r="H7524" i="1"/>
  <c r="I7524" i="1"/>
  <c r="J7524" i="1"/>
  <c r="K7524" i="1"/>
  <c r="L7524" i="1"/>
  <c r="A7525" i="1"/>
  <c r="B7525" i="1"/>
  <c r="C7525" i="1"/>
  <c r="D7525" i="1"/>
  <c r="E7525" i="1"/>
  <c r="F7525" i="1"/>
  <c r="G7525" i="1"/>
  <c r="H7525" i="1"/>
  <c r="I7525" i="1"/>
  <c r="J7525" i="1"/>
  <c r="K7525" i="1"/>
  <c r="L7525" i="1"/>
  <c r="A7526" i="1"/>
  <c r="B7526" i="1"/>
  <c r="C7526" i="1"/>
  <c r="D7526" i="1"/>
  <c r="E7526" i="1"/>
  <c r="F7526" i="1"/>
  <c r="G7526" i="1"/>
  <c r="H7526" i="1"/>
  <c r="I7526" i="1"/>
  <c r="J7526" i="1"/>
  <c r="K7526" i="1"/>
  <c r="L7526" i="1"/>
  <c r="A7527" i="1"/>
  <c r="B7527" i="1"/>
  <c r="C7527" i="1"/>
  <c r="D7527" i="1"/>
  <c r="E7527" i="1"/>
  <c r="F7527" i="1"/>
  <c r="G7527" i="1"/>
  <c r="H7527" i="1"/>
  <c r="I7527" i="1"/>
  <c r="J7527" i="1"/>
  <c r="K7527" i="1"/>
  <c r="L7527" i="1"/>
  <c r="A7528" i="1"/>
  <c r="B7528" i="1"/>
  <c r="C7528" i="1"/>
  <c r="D7528" i="1"/>
  <c r="E7528" i="1"/>
  <c r="F7528" i="1"/>
  <c r="G7528" i="1"/>
  <c r="H7528" i="1"/>
  <c r="I7528" i="1"/>
  <c r="J7528" i="1"/>
  <c r="K7528" i="1"/>
  <c r="L7528" i="1"/>
  <c r="A7529" i="1"/>
  <c r="B7529" i="1"/>
  <c r="C7529" i="1"/>
  <c r="D7529" i="1"/>
  <c r="E7529" i="1"/>
  <c r="F7529" i="1"/>
  <c r="G7529" i="1"/>
  <c r="H7529" i="1"/>
  <c r="I7529" i="1"/>
  <c r="J7529" i="1"/>
  <c r="K7529" i="1"/>
  <c r="L7529" i="1"/>
  <c r="A7530" i="1"/>
  <c r="B7530" i="1"/>
  <c r="C7530" i="1"/>
  <c r="D7530" i="1"/>
  <c r="E7530" i="1"/>
  <c r="F7530" i="1"/>
  <c r="G7530" i="1"/>
  <c r="H7530" i="1"/>
  <c r="I7530" i="1"/>
  <c r="J7530" i="1"/>
  <c r="K7530" i="1"/>
  <c r="L7530" i="1"/>
  <c r="A7531" i="1"/>
  <c r="B7531" i="1"/>
  <c r="C7531" i="1"/>
  <c r="D7531" i="1"/>
  <c r="E7531" i="1"/>
  <c r="F7531" i="1"/>
  <c r="G7531" i="1"/>
  <c r="H7531" i="1"/>
  <c r="I7531" i="1"/>
  <c r="J7531" i="1"/>
  <c r="K7531" i="1"/>
  <c r="L7531" i="1"/>
  <c r="A7532" i="1"/>
  <c r="B7532" i="1"/>
  <c r="C7532" i="1"/>
  <c r="D7532" i="1"/>
  <c r="E7532" i="1"/>
  <c r="F7532" i="1"/>
  <c r="G7532" i="1"/>
  <c r="H7532" i="1"/>
  <c r="I7532" i="1"/>
  <c r="J7532" i="1"/>
  <c r="K7532" i="1"/>
  <c r="L7532" i="1"/>
  <c r="A7533" i="1"/>
  <c r="B7533" i="1"/>
  <c r="C7533" i="1"/>
  <c r="D7533" i="1"/>
  <c r="E7533" i="1"/>
  <c r="F7533" i="1"/>
  <c r="G7533" i="1"/>
  <c r="H7533" i="1"/>
  <c r="I7533" i="1"/>
  <c r="J7533" i="1"/>
  <c r="K7533" i="1"/>
  <c r="L7533" i="1"/>
  <c r="A7534" i="1"/>
  <c r="B7534" i="1"/>
  <c r="C7534" i="1"/>
  <c r="D7534" i="1"/>
  <c r="E7534" i="1"/>
  <c r="F7534" i="1"/>
  <c r="G7534" i="1"/>
  <c r="H7534" i="1"/>
  <c r="I7534" i="1"/>
  <c r="J7534" i="1"/>
  <c r="K7534" i="1"/>
  <c r="L7534" i="1"/>
  <c r="A7535" i="1"/>
  <c r="B7535" i="1"/>
  <c r="C7535" i="1"/>
  <c r="D7535" i="1"/>
  <c r="E7535" i="1"/>
  <c r="F7535" i="1"/>
  <c r="G7535" i="1"/>
  <c r="H7535" i="1"/>
  <c r="I7535" i="1"/>
  <c r="J7535" i="1"/>
  <c r="K7535" i="1"/>
  <c r="L7535" i="1"/>
  <c r="A7536" i="1"/>
  <c r="B7536" i="1"/>
  <c r="C7536" i="1"/>
  <c r="D7536" i="1"/>
  <c r="E7536" i="1"/>
  <c r="F7536" i="1"/>
  <c r="G7536" i="1"/>
  <c r="H7536" i="1"/>
  <c r="I7536" i="1"/>
  <c r="J7536" i="1"/>
  <c r="K7536" i="1"/>
  <c r="L7536" i="1"/>
  <c r="A7537" i="1"/>
  <c r="B7537" i="1"/>
  <c r="C7537" i="1"/>
  <c r="D7537" i="1"/>
  <c r="E7537" i="1"/>
  <c r="F7537" i="1"/>
  <c r="G7537" i="1"/>
  <c r="H7537" i="1"/>
  <c r="I7537" i="1"/>
  <c r="J7537" i="1"/>
  <c r="K7537" i="1"/>
  <c r="L7537" i="1"/>
  <c r="A7538" i="1"/>
  <c r="B7538" i="1"/>
  <c r="C7538" i="1"/>
  <c r="D7538" i="1"/>
  <c r="E7538" i="1"/>
  <c r="F7538" i="1"/>
  <c r="G7538" i="1"/>
  <c r="H7538" i="1"/>
  <c r="I7538" i="1"/>
  <c r="J7538" i="1"/>
  <c r="K7538" i="1"/>
  <c r="L7538" i="1"/>
  <c r="A7539" i="1"/>
  <c r="B7539" i="1"/>
  <c r="C7539" i="1"/>
  <c r="D7539" i="1"/>
  <c r="E7539" i="1"/>
  <c r="F7539" i="1"/>
  <c r="G7539" i="1"/>
  <c r="H7539" i="1"/>
  <c r="I7539" i="1"/>
  <c r="J7539" i="1"/>
  <c r="K7539" i="1"/>
  <c r="L7539" i="1"/>
  <c r="A7540" i="1"/>
  <c r="B7540" i="1"/>
  <c r="C7540" i="1"/>
  <c r="D7540" i="1"/>
  <c r="E7540" i="1"/>
  <c r="F7540" i="1"/>
  <c r="G7540" i="1"/>
  <c r="H7540" i="1"/>
  <c r="I7540" i="1"/>
  <c r="J7540" i="1"/>
  <c r="K7540" i="1"/>
  <c r="L7540" i="1"/>
  <c r="A7541" i="1"/>
  <c r="B7541" i="1"/>
  <c r="C7541" i="1"/>
  <c r="D7541" i="1"/>
  <c r="E7541" i="1"/>
  <c r="F7541" i="1"/>
  <c r="G7541" i="1"/>
  <c r="H7541" i="1"/>
  <c r="I7541" i="1"/>
  <c r="J7541" i="1"/>
  <c r="K7541" i="1"/>
  <c r="L7541" i="1"/>
  <c r="A7542" i="1"/>
  <c r="B7542" i="1"/>
  <c r="C7542" i="1"/>
  <c r="D7542" i="1"/>
  <c r="E7542" i="1"/>
  <c r="F7542" i="1"/>
  <c r="G7542" i="1"/>
  <c r="H7542" i="1"/>
  <c r="I7542" i="1"/>
  <c r="J7542" i="1"/>
  <c r="K7542" i="1"/>
  <c r="L7542" i="1"/>
  <c r="A7543" i="1"/>
  <c r="B7543" i="1"/>
  <c r="C7543" i="1"/>
  <c r="D7543" i="1"/>
  <c r="E7543" i="1"/>
  <c r="F7543" i="1"/>
  <c r="G7543" i="1"/>
  <c r="H7543" i="1"/>
  <c r="I7543" i="1"/>
  <c r="J7543" i="1"/>
  <c r="K7543" i="1"/>
  <c r="L7543" i="1"/>
  <c r="A7544" i="1"/>
  <c r="B7544" i="1"/>
  <c r="C7544" i="1"/>
  <c r="D7544" i="1"/>
  <c r="E7544" i="1"/>
  <c r="F7544" i="1"/>
  <c r="G7544" i="1"/>
  <c r="H7544" i="1"/>
  <c r="I7544" i="1"/>
  <c r="J7544" i="1"/>
  <c r="K7544" i="1"/>
  <c r="L7544" i="1"/>
  <c r="A7545" i="1"/>
  <c r="B7545" i="1"/>
  <c r="C7545" i="1"/>
  <c r="D7545" i="1"/>
  <c r="E7545" i="1"/>
  <c r="F7545" i="1"/>
  <c r="G7545" i="1"/>
  <c r="H7545" i="1"/>
  <c r="I7545" i="1"/>
  <c r="J7545" i="1"/>
  <c r="K7545" i="1"/>
  <c r="L7545" i="1"/>
  <c r="A7546" i="1"/>
  <c r="B7546" i="1"/>
  <c r="C7546" i="1"/>
  <c r="D7546" i="1"/>
  <c r="E7546" i="1"/>
  <c r="F7546" i="1"/>
  <c r="G7546" i="1"/>
  <c r="H7546" i="1"/>
  <c r="I7546" i="1"/>
  <c r="J7546" i="1"/>
  <c r="K7546" i="1"/>
  <c r="L7546" i="1"/>
  <c r="A7547" i="1"/>
  <c r="B7547" i="1"/>
  <c r="C7547" i="1"/>
  <c r="D7547" i="1"/>
  <c r="E7547" i="1"/>
  <c r="F7547" i="1"/>
  <c r="G7547" i="1"/>
  <c r="H7547" i="1"/>
  <c r="I7547" i="1"/>
  <c r="J7547" i="1"/>
  <c r="K7547" i="1"/>
  <c r="L7547" i="1"/>
  <c r="A7548" i="1"/>
  <c r="B7548" i="1"/>
  <c r="C7548" i="1"/>
  <c r="D7548" i="1"/>
  <c r="E7548" i="1"/>
  <c r="F7548" i="1"/>
  <c r="G7548" i="1"/>
  <c r="H7548" i="1"/>
  <c r="I7548" i="1"/>
  <c r="J7548" i="1"/>
  <c r="K7548" i="1"/>
  <c r="L7548" i="1"/>
  <c r="A7549" i="1"/>
  <c r="B7549" i="1"/>
  <c r="C7549" i="1"/>
  <c r="D7549" i="1"/>
  <c r="E7549" i="1"/>
  <c r="F7549" i="1"/>
  <c r="G7549" i="1"/>
  <c r="H7549" i="1"/>
  <c r="I7549" i="1"/>
  <c r="J7549" i="1"/>
  <c r="K7549" i="1"/>
  <c r="L7549" i="1"/>
  <c r="A7550" i="1"/>
  <c r="B7550" i="1"/>
  <c r="C7550" i="1"/>
  <c r="D7550" i="1"/>
  <c r="E7550" i="1"/>
  <c r="F7550" i="1"/>
  <c r="G7550" i="1"/>
  <c r="H7550" i="1"/>
  <c r="I7550" i="1"/>
  <c r="J7550" i="1"/>
  <c r="K7550" i="1"/>
  <c r="L7550" i="1"/>
  <c r="A7551" i="1"/>
  <c r="B7551" i="1"/>
  <c r="C7551" i="1"/>
  <c r="D7551" i="1"/>
  <c r="E7551" i="1"/>
  <c r="F7551" i="1"/>
  <c r="G7551" i="1"/>
  <c r="H7551" i="1"/>
  <c r="I7551" i="1"/>
  <c r="J7551" i="1"/>
  <c r="K7551" i="1"/>
  <c r="L7551" i="1"/>
  <c r="A7552" i="1"/>
  <c r="B7552" i="1"/>
  <c r="C7552" i="1"/>
  <c r="D7552" i="1"/>
  <c r="E7552" i="1"/>
  <c r="F7552" i="1"/>
  <c r="G7552" i="1"/>
  <c r="H7552" i="1"/>
  <c r="I7552" i="1"/>
  <c r="J7552" i="1"/>
  <c r="K7552" i="1"/>
  <c r="L7552" i="1"/>
  <c r="A7553" i="1"/>
  <c r="B7553" i="1"/>
  <c r="C7553" i="1"/>
  <c r="D7553" i="1"/>
  <c r="E7553" i="1"/>
  <c r="F7553" i="1"/>
  <c r="G7553" i="1"/>
  <c r="H7553" i="1"/>
  <c r="I7553" i="1"/>
  <c r="J7553" i="1"/>
  <c r="K7553" i="1"/>
  <c r="L7553" i="1"/>
  <c r="A7554" i="1"/>
  <c r="B7554" i="1"/>
  <c r="C7554" i="1"/>
  <c r="D7554" i="1"/>
  <c r="E7554" i="1"/>
  <c r="F7554" i="1"/>
  <c r="G7554" i="1"/>
  <c r="H7554" i="1"/>
  <c r="I7554" i="1"/>
  <c r="J7554" i="1"/>
  <c r="K7554" i="1"/>
  <c r="L7554" i="1"/>
  <c r="A7555" i="1"/>
  <c r="B7555" i="1"/>
  <c r="C7555" i="1"/>
  <c r="D7555" i="1"/>
  <c r="E7555" i="1"/>
  <c r="F7555" i="1"/>
  <c r="G7555" i="1"/>
  <c r="H7555" i="1"/>
  <c r="I7555" i="1"/>
  <c r="J7555" i="1"/>
  <c r="K7555" i="1"/>
  <c r="L7555" i="1"/>
  <c r="A7556" i="1"/>
  <c r="B7556" i="1"/>
  <c r="C7556" i="1"/>
  <c r="D7556" i="1"/>
  <c r="E7556" i="1"/>
  <c r="F7556" i="1"/>
  <c r="G7556" i="1"/>
  <c r="H7556" i="1"/>
  <c r="I7556" i="1"/>
  <c r="J7556" i="1"/>
  <c r="K7556" i="1"/>
  <c r="L7556" i="1"/>
  <c r="A7557" i="1"/>
  <c r="B7557" i="1"/>
  <c r="C7557" i="1"/>
  <c r="D7557" i="1"/>
  <c r="E7557" i="1"/>
  <c r="F7557" i="1"/>
  <c r="G7557" i="1"/>
  <c r="H7557" i="1"/>
  <c r="I7557" i="1"/>
  <c r="J7557" i="1"/>
  <c r="K7557" i="1"/>
  <c r="L7557" i="1"/>
  <c r="A7558" i="1"/>
  <c r="B7558" i="1"/>
  <c r="C7558" i="1"/>
  <c r="D7558" i="1"/>
  <c r="E7558" i="1"/>
  <c r="F7558" i="1"/>
  <c r="G7558" i="1"/>
  <c r="H7558" i="1"/>
  <c r="I7558" i="1"/>
  <c r="J7558" i="1"/>
  <c r="K7558" i="1"/>
  <c r="L7558" i="1"/>
  <c r="A7559" i="1"/>
  <c r="B7559" i="1"/>
  <c r="C7559" i="1"/>
  <c r="D7559" i="1"/>
  <c r="E7559" i="1"/>
  <c r="F7559" i="1"/>
  <c r="G7559" i="1"/>
  <c r="H7559" i="1"/>
  <c r="I7559" i="1"/>
  <c r="J7559" i="1"/>
  <c r="K7559" i="1"/>
  <c r="L7559" i="1"/>
  <c r="A7560" i="1"/>
  <c r="B7560" i="1"/>
  <c r="C7560" i="1"/>
  <c r="D7560" i="1"/>
  <c r="E7560" i="1"/>
  <c r="F7560" i="1"/>
  <c r="G7560" i="1"/>
  <c r="H7560" i="1"/>
  <c r="I7560" i="1"/>
  <c r="J7560" i="1"/>
  <c r="K7560" i="1"/>
  <c r="L7560" i="1"/>
  <c r="A7561" i="1"/>
  <c r="B7561" i="1"/>
  <c r="C7561" i="1"/>
  <c r="D7561" i="1"/>
  <c r="E7561" i="1"/>
  <c r="F7561" i="1"/>
  <c r="G7561" i="1"/>
  <c r="H7561" i="1"/>
  <c r="I7561" i="1"/>
  <c r="J7561" i="1"/>
  <c r="K7561" i="1"/>
  <c r="L7561" i="1"/>
  <c r="A7562" i="1"/>
  <c r="B7562" i="1"/>
  <c r="C7562" i="1"/>
  <c r="D7562" i="1"/>
  <c r="E7562" i="1"/>
  <c r="F7562" i="1"/>
  <c r="G7562" i="1"/>
  <c r="H7562" i="1"/>
  <c r="I7562" i="1"/>
  <c r="J7562" i="1"/>
  <c r="K7562" i="1"/>
  <c r="L7562" i="1"/>
  <c r="A7563" i="1"/>
  <c r="B7563" i="1"/>
  <c r="C7563" i="1"/>
  <c r="D7563" i="1"/>
  <c r="E7563" i="1"/>
  <c r="F7563" i="1"/>
  <c r="G7563" i="1"/>
  <c r="H7563" i="1"/>
  <c r="I7563" i="1"/>
  <c r="J7563" i="1"/>
  <c r="K7563" i="1"/>
  <c r="L7563" i="1"/>
  <c r="A7564" i="1"/>
  <c r="B7564" i="1"/>
  <c r="C7564" i="1"/>
  <c r="D7564" i="1"/>
  <c r="E7564" i="1"/>
  <c r="F7564" i="1"/>
  <c r="G7564" i="1"/>
  <c r="H7564" i="1"/>
  <c r="I7564" i="1"/>
  <c r="J7564" i="1"/>
  <c r="K7564" i="1"/>
  <c r="L7564" i="1"/>
  <c r="A7565" i="1"/>
  <c r="B7565" i="1"/>
  <c r="C7565" i="1"/>
  <c r="D7565" i="1"/>
  <c r="E7565" i="1"/>
  <c r="F7565" i="1"/>
  <c r="G7565" i="1"/>
  <c r="H7565" i="1"/>
  <c r="I7565" i="1"/>
  <c r="J7565" i="1"/>
  <c r="K7565" i="1"/>
  <c r="L7565" i="1"/>
  <c r="A7566" i="1"/>
  <c r="B7566" i="1"/>
  <c r="C7566" i="1"/>
  <c r="D7566" i="1"/>
  <c r="E7566" i="1"/>
  <c r="F7566" i="1"/>
  <c r="G7566" i="1"/>
  <c r="H7566" i="1"/>
  <c r="I7566" i="1"/>
  <c r="J7566" i="1"/>
  <c r="K7566" i="1"/>
  <c r="L7566" i="1"/>
  <c r="A7567" i="1"/>
  <c r="B7567" i="1"/>
  <c r="C7567" i="1"/>
  <c r="D7567" i="1"/>
  <c r="E7567" i="1"/>
  <c r="F7567" i="1"/>
  <c r="G7567" i="1"/>
  <c r="H7567" i="1"/>
  <c r="I7567" i="1"/>
  <c r="J7567" i="1"/>
  <c r="K7567" i="1"/>
  <c r="L7567" i="1"/>
  <c r="A7568" i="1"/>
  <c r="B7568" i="1"/>
  <c r="C7568" i="1"/>
  <c r="D7568" i="1"/>
  <c r="E7568" i="1"/>
  <c r="F7568" i="1"/>
  <c r="G7568" i="1"/>
  <c r="H7568" i="1"/>
  <c r="I7568" i="1"/>
  <c r="J7568" i="1"/>
  <c r="K7568" i="1"/>
  <c r="L7568" i="1"/>
  <c r="A7569" i="1"/>
  <c r="B7569" i="1"/>
  <c r="C7569" i="1"/>
  <c r="D7569" i="1"/>
  <c r="E7569" i="1"/>
  <c r="F7569" i="1"/>
  <c r="G7569" i="1"/>
  <c r="H7569" i="1"/>
  <c r="I7569" i="1"/>
  <c r="J7569" i="1"/>
  <c r="K7569" i="1"/>
  <c r="L7569" i="1"/>
  <c r="A7570" i="1"/>
  <c r="B7570" i="1"/>
  <c r="C7570" i="1"/>
  <c r="D7570" i="1"/>
  <c r="E7570" i="1"/>
  <c r="F7570" i="1"/>
  <c r="G7570" i="1"/>
  <c r="H7570" i="1"/>
  <c r="I7570" i="1"/>
  <c r="J7570" i="1"/>
  <c r="K7570" i="1"/>
  <c r="L7570" i="1"/>
  <c r="A7571" i="1"/>
  <c r="B7571" i="1"/>
  <c r="C7571" i="1"/>
  <c r="D7571" i="1"/>
  <c r="E7571" i="1"/>
  <c r="F7571" i="1"/>
  <c r="G7571" i="1"/>
  <c r="H7571" i="1"/>
  <c r="I7571" i="1"/>
  <c r="J7571" i="1"/>
  <c r="K7571" i="1"/>
  <c r="L7571" i="1"/>
  <c r="A7572" i="1"/>
  <c r="B7572" i="1"/>
  <c r="C7572" i="1"/>
  <c r="D7572" i="1"/>
  <c r="E7572" i="1"/>
  <c r="F7572" i="1"/>
  <c r="G7572" i="1"/>
  <c r="H7572" i="1"/>
  <c r="I7572" i="1"/>
  <c r="J7572" i="1"/>
  <c r="K7572" i="1"/>
  <c r="L7572" i="1"/>
  <c r="A7573" i="1"/>
  <c r="B7573" i="1"/>
  <c r="C7573" i="1"/>
  <c r="D7573" i="1"/>
  <c r="E7573" i="1"/>
  <c r="F7573" i="1"/>
  <c r="G7573" i="1"/>
  <c r="H7573" i="1"/>
  <c r="I7573" i="1"/>
  <c r="J7573" i="1"/>
  <c r="K7573" i="1"/>
  <c r="L7573" i="1"/>
  <c r="A7574" i="1"/>
  <c r="B7574" i="1"/>
  <c r="C7574" i="1"/>
  <c r="D7574" i="1"/>
  <c r="E7574" i="1"/>
  <c r="F7574" i="1"/>
  <c r="G7574" i="1"/>
  <c r="H7574" i="1"/>
  <c r="I7574" i="1"/>
  <c r="J7574" i="1"/>
  <c r="K7574" i="1"/>
  <c r="L7574" i="1"/>
  <c r="A7575" i="1"/>
  <c r="B7575" i="1"/>
  <c r="C7575" i="1"/>
  <c r="D7575" i="1"/>
  <c r="E7575" i="1"/>
  <c r="F7575" i="1"/>
  <c r="G7575" i="1"/>
  <c r="H7575" i="1"/>
  <c r="I7575" i="1"/>
  <c r="J7575" i="1"/>
  <c r="K7575" i="1"/>
  <c r="L7575" i="1"/>
  <c r="A7576" i="1"/>
  <c r="B7576" i="1"/>
  <c r="C7576" i="1"/>
  <c r="D7576" i="1"/>
  <c r="E7576" i="1"/>
  <c r="F7576" i="1"/>
  <c r="G7576" i="1"/>
  <c r="H7576" i="1"/>
  <c r="I7576" i="1"/>
  <c r="J7576" i="1"/>
  <c r="K7576" i="1"/>
  <c r="L7576" i="1"/>
  <c r="A7577" i="1"/>
  <c r="B7577" i="1"/>
  <c r="C7577" i="1"/>
  <c r="D7577" i="1"/>
  <c r="E7577" i="1"/>
  <c r="F7577" i="1"/>
  <c r="G7577" i="1"/>
  <c r="H7577" i="1"/>
  <c r="I7577" i="1"/>
  <c r="J7577" i="1"/>
  <c r="K7577" i="1"/>
  <c r="L7577" i="1"/>
  <c r="A7578" i="1"/>
  <c r="B7578" i="1"/>
  <c r="C7578" i="1"/>
  <c r="D7578" i="1"/>
  <c r="E7578" i="1"/>
  <c r="F7578" i="1"/>
  <c r="G7578" i="1"/>
  <c r="H7578" i="1"/>
  <c r="I7578" i="1"/>
  <c r="J7578" i="1"/>
  <c r="K7578" i="1"/>
  <c r="L7578" i="1"/>
  <c r="A7579" i="1"/>
  <c r="B7579" i="1"/>
  <c r="C7579" i="1"/>
  <c r="D7579" i="1"/>
  <c r="E7579" i="1"/>
  <c r="F7579" i="1"/>
  <c r="G7579" i="1"/>
  <c r="H7579" i="1"/>
  <c r="I7579" i="1"/>
  <c r="J7579" i="1"/>
  <c r="K7579" i="1"/>
  <c r="L7579" i="1"/>
  <c r="A7580" i="1"/>
  <c r="B7580" i="1"/>
  <c r="C7580" i="1"/>
  <c r="D7580" i="1"/>
  <c r="E7580" i="1"/>
  <c r="F7580" i="1"/>
  <c r="G7580" i="1"/>
  <c r="H7580" i="1"/>
  <c r="I7580" i="1"/>
  <c r="J7580" i="1"/>
  <c r="K7580" i="1"/>
  <c r="L7580" i="1"/>
  <c r="A7581" i="1"/>
  <c r="B7581" i="1"/>
  <c r="C7581" i="1"/>
  <c r="D7581" i="1"/>
  <c r="E7581" i="1"/>
  <c r="F7581" i="1"/>
  <c r="G7581" i="1"/>
  <c r="H7581" i="1"/>
  <c r="I7581" i="1"/>
  <c r="J7581" i="1"/>
  <c r="K7581" i="1"/>
  <c r="L7581" i="1"/>
  <c r="A7582" i="1"/>
  <c r="B7582" i="1"/>
  <c r="C7582" i="1"/>
  <c r="D7582" i="1"/>
  <c r="E7582" i="1"/>
  <c r="F7582" i="1"/>
  <c r="G7582" i="1"/>
  <c r="H7582" i="1"/>
  <c r="I7582" i="1"/>
  <c r="J7582" i="1"/>
  <c r="K7582" i="1"/>
  <c r="L7582" i="1"/>
  <c r="A7583" i="1"/>
  <c r="B7583" i="1"/>
  <c r="C7583" i="1"/>
  <c r="D7583" i="1"/>
  <c r="E7583" i="1"/>
  <c r="F7583" i="1"/>
  <c r="G7583" i="1"/>
  <c r="H7583" i="1"/>
  <c r="I7583" i="1"/>
  <c r="J7583" i="1"/>
  <c r="K7583" i="1"/>
  <c r="L7583" i="1"/>
  <c r="A7584" i="1"/>
  <c r="B7584" i="1"/>
  <c r="C7584" i="1"/>
  <c r="D7584" i="1"/>
  <c r="E7584" i="1"/>
  <c r="F7584" i="1"/>
  <c r="G7584" i="1"/>
  <c r="H7584" i="1"/>
  <c r="I7584" i="1"/>
  <c r="J7584" i="1"/>
  <c r="K7584" i="1"/>
  <c r="L7584" i="1"/>
  <c r="A7585" i="1"/>
  <c r="B7585" i="1"/>
  <c r="C7585" i="1"/>
  <c r="D7585" i="1"/>
  <c r="E7585" i="1"/>
  <c r="F7585" i="1"/>
  <c r="G7585" i="1"/>
  <c r="H7585" i="1"/>
  <c r="I7585" i="1"/>
  <c r="J7585" i="1"/>
  <c r="K7585" i="1"/>
  <c r="L7585" i="1"/>
  <c r="A7586" i="1"/>
  <c r="B7586" i="1"/>
  <c r="C7586" i="1"/>
  <c r="D7586" i="1"/>
  <c r="E7586" i="1"/>
  <c r="F7586" i="1"/>
  <c r="G7586" i="1"/>
  <c r="H7586" i="1"/>
  <c r="I7586" i="1"/>
  <c r="J7586" i="1"/>
  <c r="K7586" i="1"/>
  <c r="L7586" i="1"/>
  <c r="A7587" i="1"/>
  <c r="B7587" i="1"/>
  <c r="C7587" i="1"/>
  <c r="D7587" i="1"/>
  <c r="E7587" i="1"/>
  <c r="F7587" i="1"/>
  <c r="G7587" i="1"/>
  <c r="H7587" i="1"/>
  <c r="I7587" i="1"/>
  <c r="J7587" i="1"/>
  <c r="K7587" i="1"/>
  <c r="L7587" i="1"/>
  <c r="A7588" i="1"/>
  <c r="B7588" i="1"/>
  <c r="C7588" i="1"/>
  <c r="D7588" i="1"/>
  <c r="E7588" i="1"/>
  <c r="F7588" i="1"/>
  <c r="G7588" i="1"/>
  <c r="H7588" i="1"/>
  <c r="I7588" i="1"/>
  <c r="J7588" i="1"/>
  <c r="K7588" i="1"/>
  <c r="L7588" i="1"/>
  <c r="A7589" i="1"/>
  <c r="B7589" i="1"/>
  <c r="C7589" i="1"/>
  <c r="D7589" i="1"/>
  <c r="E7589" i="1"/>
  <c r="F7589" i="1"/>
  <c r="G7589" i="1"/>
  <c r="H7589" i="1"/>
  <c r="I7589" i="1"/>
  <c r="J7589" i="1"/>
  <c r="K7589" i="1"/>
  <c r="L7589" i="1"/>
  <c r="A7590" i="1"/>
  <c r="B7590" i="1"/>
  <c r="C7590" i="1"/>
  <c r="D7590" i="1"/>
  <c r="E7590" i="1"/>
  <c r="F7590" i="1"/>
  <c r="G7590" i="1"/>
  <c r="H7590" i="1"/>
  <c r="I7590" i="1"/>
  <c r="J7590" i="1"/>
  <c r="K7590" i="1"/>
  <c r="L7590" i="1"/>
  <c r="A7591" i="1"/>
  <c r="B7591" i="1"/>
  <c r="C7591" i="1"/>
  <c r="D7591" i="1"/>
  <c r="E7591" i="1"/>
  <c r="F7591" i="1"/>
  <c r="G7591" i="1"/>
  <c r="H7591" i="1"/>
  <c r="I7591" i="1"/>
  <c r="J7591" i="1"/>
  <c r="K7591" i="1"/>
  <c r="L7591" i="1"/>
  <c r="A7592" i="1"/>
  <c r="B7592" i="1"/>
  <c r="C7592" i="1"/>
  <c r="D7592" i="1"/>
  <c r="E7592" i="1"/>
  <c r="F7592" i="1"/>
  <c r="G7592" i="1"/>
  <c r="H7592" i="1"/>
  <c r="I7592" i="1"/>
  <c r="J7592" i="1"/>
  <c r="K7592" i="1"/>
  <c r="L7592" i="1"/>
  <c r="A7593" i="1"/>
  <c r="B7593" i="1"/>
  <c r="C7593" i="1"/>
  <c r="D7593" i="1"/>
  <c r="E7593" i="1"/>
  <c r="F7593" i="1"/>
  <c r="G7593" i="1"/>
  <c r="H7593" i="1"/>
  <c r="I7593" i="1"/>
  <c r="J7593" i="1"/>
  <c r="K7593" i="1"/>
  <c r="L7593" i="1"/>
  <c r="A7594" i="1"/>
  <c r="B7594" i="1"/>
  <c r="C7594" i="1"/>
  <c r="D7594" i="1"/>
  <c r="E7594" i="1"/>
  <c r="F7594" i="1"/>
  <c r="G7594" i="1"/>
  <c r="H7594" i="1"/>
  <c r="I7594" i="1"/>
  <c r="J7594" i="1"/>
  <c r="K7594" i="1"/>
  <c r="L7594" i="1"/>
  <c r="A7595" i="1"/>
  <c r="B7595" i="1"/>
  <c r="C7595" i="1"/>
  <c r="D7595" i="1"/>
  <c r="E7595" i="1"/>
  <c r="F7595" i="1"/>
  <c r="G7595" i="1"/>
  <c r="H7595" i="1"/>
  <c r="I7595" i="1"/>
  <c r="J7595" i="1"/>
  <c r="K7595" i="1"/>
  <c r="L7595" i="1"/>
  <c r="A7596" i="1"/>
  <c r="B7596" i="1"/>
  <c r="C7596" i="1"/>
  <c r="D7596" i="1"/>
  <c r="E7596" i="1"/>
  <c r="F7596" i="1"/>
  <c r="G7596" i="1"/>
  <c r="H7596" i="1"/>
  <c r="I7596" i="1"/>
  <c r="J7596" i="1"/>
  <c r="K7596" i="1"/>
  <c r="L7596" i="1"/>
  <c r="A7597" i="1"/>
  <c r="B7597" i="1"/>
  <c r="C7597" i="1"/>
  <c r="D7597" i="1"/>
  <c r="E7597" i="1"/>
  <c r="F7597" i="1"/>
  <c r="G7597" i="1"/>
  <c r="H7597" i="1"/>
  <c r="I7597" i="1"/>
  <c r="J7597" i="1"/>
  <c r="K7597" i="1"/>
  <c r="L7597" i="1"/>
  <c r="A7598" i="1"/>
  <c r="B7598" i="1"/>
  <c r="C7598" i="1"/>
  <c r="D7598" i="1"/>
  <c r="E7598" i="1"/>
  <c r="F7598" i="1"/>
  <c r="G7598" i="1"/>
  <c r="H7598" i="1"/>
  <c r="I7598" i="1"/>
  <c r="J7598" i="1"/>
  <c r="K7598" i="1"/>
  <c r="L7598" i="1"/>
  <c r="A7599" i="1"/>
  <c r="B7599" i="1"/>
  <c r="C7599" i="1"/>
  <c r="D7599" i="1"/>
  <c r="E7599" i="1"/>
  <c r="F7599" i="1"/>
  <c r="G7599" i="1"/>
  <c r="H7599" i="1"/>
  <c r="I7599" i="1"/>
  <c r="J7599" i="1"/>
  <c r="K7599" i="1"/>
  <c r="L7599" i="1"/>
  <c r="A7600" i="1"/>
  <c r="B7600" i="1"/>
  <c r="C7600" i="1"/>
  <c r="D7600" i="1"/>
  <c r="E7600" i="1"/>
  <c r="F7600" i="1"/>
  <c r="G7600" i="1"/>
  <c r="H7600" i="1"/>
  <c r="I7600" i="1"/>
  <c r="J7600" i="1"/>
  <c r="K7600" i="1"/>
  <c r="L7600" i="1"/>
  <c r="A7601" i="1"/>
  <c r="B7601" i="1"/>
  <c r="C7601" i="1"/>
  <c r="D7601" i="1"/>
  <c r="E7601" i="1"/>
  <c r="F7601" i="1"/>
  <c r="G7601" i="1"/>
  <c r="H7601" i="1"/>
  <c r="I7601" i="1"/>
  <c r="J7601" i="1"/>
  <c r="K7601" i="1"/>
  <c r="L7601" i="1"/>
  <c r="A7602" i="1"/>
  <c r="B7602" i="1"/>
  <c r="C7602" i="1"/>
  <c r="D7602" i="1"/>
  <c r="E7602" i="1"/>
  <c r="F7602" i="1"/>
  <c r="G7602" i="1"/>
  <c r="H7602" i="1"/>
  <c r="I7602" i="1"/>
  <c r="J7602" i="1"/>
  <c r="K7602" i="1"/>
  <c r="L7602" i="1"/>
  <c r="A7603" i="1"/>
  <c r="B7603" i="1"/>
  <c r="C7603" i="1"/>
  <c r="D7603" i="1"/>
  <c r="E7603" i="1"/>
  <c r="F7603" i="1"/>
  <c r="G7603" i="1"/>
  <c r="H7603" i="1"/>
  <c r="I7603" i="1"/>
  <c r="J7603" i="1"/>
  <c r="K7603" i="1"/>
  <c r="L7603" i="1"/>
  <c r="A7604" i="1"/>
  <c r="B7604" i="1"/>
  <c r="C7604" i="1"/>
  <c r="D7604" i="1"/>
  <c r="E7604" i="1"/>
  <c r="F7604" i="1"/>
  <c r="G7604" i="1"/>
  <c r="H7604" i="1"/>
  <c r="I7604" i="1"/>
  <c r="J7604" i="1"/>
  <c r="K7604" i="1"/>
  <c r="L7604" i="1"/>
  <c r="A7605" i="1"/>
  <c r="B7605" i="1"/>
  <c r="C7605" i="1"/>
  <c r="D7605" i="1"/>
  <c r="E7605" i="1"/>
  <c r="F7605" i="1"/>
  <c r="G7605" i="1"/>
  <c r="H7605" i="1"/>
  <c r="I7605" i="1"/>
  <c r="J7605" i="1"/>
  <c r="K7605" i="1"/>
  <c r="L7605" i="1"/>
  <c r="A7606" i="1"/>
  <c r="B7606" i="1"/>
  <c r="C7606" i="1"/>
  <c r="D7606" i="1"/>
  <c r="E7606" i="1"/>
  <c r="F7606" i="1"/>
  <c r="G7606" i="1"/>
  <c r="H7606" i="1"/>
  <c r="I7606" i="1"/>
  <c r="J7606" i="1"/>
  <c r="K7606" i="1"/>
  <c r="L7606" i="1"/>
  <c r="A7607" i="1"/>
  <c r="B7607" i="1"/>
  <c r="C7607" i="1"/>
  <c r="D7607" i="1"/>
  <c r="E7607" i="1"/>
  <c r="F7607" i="1"/>
  <c r="G7607" i="1"/>
  <c r="H7607" i="1"/>
  <c r="I7607" i="1"/>
  <c r="J7607" i="1"/>
  <c r="K7607" i="1"/>
  <c r="L7607" i="1"/>
  <c r="A7608" i="1"/>
  <c r="B7608" i="1"/>
  <c r="C7608" i="1"/>
  <c r="D7608" i="1"/>
  <c r="E7608" i="1"/>
  <c r="F7608" i="1"/>
  <c r="G7608" i="1"/>
  <c r="H7608" i="1"/>
  <c r="I7608" i="1"/>
  <c r="J7608" i="1"/>
  <c r="K7608" i="1"/>
  <c r="L7608" i="1"/>
  <c r="A7609" i="1"/>
  <c r="B7609" i="1"/>
  <c r="C7609" i="1"/>
  <c r="D7609" i="1"/>
  <c r="E7609" i="1"/>
  <c r="F7609" i="1"/>
  <c r="G7609" i="1"/>
  <c r="H7609" i="1"/>
  <c r="I7609" i="1"/>
  <c r="J7609" i="1"/>
  <c r="K7609" i="1"/>
  <c r="L7609" i="1"/>
  <c r="A7610" i="1"/>
  <c r="B7610" i="1"/>
  <c r="C7610" i="1"/>
  <c r="D7610" i="1"/>
  <c r="E7610" i="1"/>
  <c r="F7610" i="1"/>
  <c r="G7610" i="1"/>
  <c r="H7610" i="1"/>
  <c r="I7610" i="1"/>
  <c r="J7610" i="1"/>
  <c r="K7610" i="1"/>
  <c r="L7610" i="1"/>
  <c r="A7611" i="1"/>
  <c r="B7611" i="1"/>
  <c r="C7611" i="1"/>
  <c r="D7611" i="1"/>
  <c r="E7611" i="1"/>
  <c r="F7611" i="1"/>
  <c r="G7611" i="1"/>
  <c r="H7611" i="1"/>
  <c r="I7611" i="1"/>
  <c r="J7611" i="1"/>
  <c r="K7611" i="1"/>
  <c r="L7611" i="1"/>
  <c r="A7612" i="1"/>
  <c r="B7612" i="1"/>
  <c r="C7612" i="1"/>
  <c r="D7612" i="1"/>
  <c r="E7612" i="1"/>
  <c r="F7612" i="1"/>
  <c r="G7612" i="1"/>
  <c r="H7612" i="1"/>
  <c r="I7612" i="1"/>
  <c r="J7612" i="1"/>
  <c r="K7612" i="1"/>
  <c r="L7612" i="1"/>
  <c r="A7613" i="1"/>
  <c r="B7613" i="1"/>
  <c r="C7613" i="1"/>
  <c r="D7613" i="1"/>
  <c r="E7613" i="1"/>
  <c r="F7613" i="1"/>
  <c r="G7613" i="1"/>
  <c r="H7613" i="1"/>
  <c r="I7613" i="1"/>
  <c r="J7613" i="1"/>
  <c r="K7613" i="1"/>
  <c r="L7613" i="1"/>
  <c r="A7614" i="1"/>
  <c r="B7614" i="1"/>
  <c r="C7614" i="1"/>
  <c r="D7614" i="1"/>
  <c r="E7614" i="1"/>
  <c r="F7614" i="1"/>
  <c r="G7614" i="1"/>
  <c r="H7614" i="1"/>
  <c r="I7614" i="1"/>
  <c r="J7614" i="1"/>
  <c r="K7614" i="1"/>
  <c r="L7614" i="1"/>
  <c r="A7615" i="1"/>
  <c r="B7615" i="1"/>
  <c r="C7615" i="1"/>
  <c r="D7615" i="1"/>
  <c r="E7615" i="1"/>
  <c r="F7615" i="1"/>
  <c r="G7615" i="1"/>
  <c r="H7615" i="1"/>
  <c r="I7615" i="1"/>
  <c r="J7615" i="1"/>
  <c r="K7615" i="1"/>
  <c r="L7615" i="1"/>
  <c r="A7616" i="1"/>
  <c r="B7616" i="1"/>
  <c r="C7616" i="1"/>
  <c r="D7616" i="1"/>
  <c r="E7616" i="1"/>
  <c r="F7616" i="1"/>
  <c r="G7616" i="1"/>
  <c r="H7616" i="1"/>
  <c r="I7616" i="1"/>
  <c r="J7616" i="1"/>
  <c r="K7616" i="1"/>
  <c r="L7616" i="1"/>
  <c r="A7617" i="1"/>
  <c r="B7617" i="1"/>
  <c r="C7617" i="1"/>
  <c r="D7617" i="1"/>
  <c r="E7617" i="1"/>
  <c r="F7617" i="1"/>
  <c r="G7617" i="1"/>
  <c r="H7617" i="1"/>
  <c r="I7617" i="1"/>
  <c r="J7617" i="1"/>
  <c r="K7617" i="1"/>
  <c r="L7617" i="1"/>
  <c r="A7618" i="1"/>
  <c r="B7618" i="1"/>
  <c r="C7618" i="1"/>
  <c r="D7618" i="1"/>
  <c r="E7618" i="1"/>
  <c r="F7618" i="1"/>
  <c r="G7618" i="1"/>
  <c r="H7618" i="1"/>
  <c r="I7618" i="1"/>
  <c r="J7618" i="1"/>
  <c r="K7618" i="1"/>
  <c r="L7618" i="1"/>
  <c r="A7619" i="1"/>
  <c r="B7619" i="1"/>
  <c r="C7619" i="1"/>
  <c r="D7619" i="1"/>
  <c r="E7619" i="1"/>
  <c r="F7619" i="1"/>
  <c r="G7619" i="1"/>
  <c r="H7619" i="1"/>
  <c r="I7619" i="1"/>
  <c r="J7619" i="1"/>
  <c r="K7619" i="1"/>
  <c r="L7619" i="1"/>
  <c r="A7620" i="1"/>
  <c r="B7620" i="1"/>
  <c r="C7620" i="1"/>
  <c r="D7620" i="1"/>
  <c r="E7620" i="1"/>
  <c r="F7620" i="1"/>
  <c r="G7620" i="1"/>
  <c r="H7620" i="1"/>
  <c r="I7620" i="1"/>
  <c r="J7620" i="1"/>
  <c r="K7620" i="1"/>
  <c r="L7620" i="1"/>
  <c r="A7621" i="1"/>
  <c r="B7621" i="1"/>
  <c r="C7621" i="1"/>
  <c r="D7621" i="1"/>
  <c r="E7621" i="1"/>
  <c r="F7621" i="1"/>
  <c r="G7621" i="1"/>
  <c r="H7621" i="1"/>
  <c r="I7621" i="1"/>
  <c r="J7621" i="1"/>
  <c r="K7621" i="1"/>
  <c r="L7621" i="1"/>
  <c r="A7622" i="1"/>
  <c r="B7622" i="1"/>
  <c r="C7622" i="1"/>
  <c r="D7622" i="1"/>
  <c r="E7622" i="1"/>
  <c r="F7622" i="1"/>
  <c r="G7622" i="1"/>
  <c r="H7622" i="1"/>
  <c r="I7622" i="1"/>
  <c r="J7622" i="1"/>
  <c r="K7622" i="1"/>
  <c r="L7622" i="1"/>
  <c r="A7623" i="1"/>
  <c r="B7623" i="1"/>
  <c r="C7623" i="1"/>
  <c r="D7623" i="1"/>
  <c r="E7623" i="1"/>
  <c r="F7623" i="1"/>
  <c r="G7623" i="1"/>
  <c r="H7623" i="1"/>
  <c r="I7623" i="1"/>
  <c r="J7623" i="1"/>
  <c r="K7623" i="1"/>
  <c r="L7623" i="1"/>
  <c r="A7624" i="1"/>
  <c r="B7624" i="1"/>
  <c r="C7624" i="1"/>
  <c r="D7624" i="1"/>
  <c r="E7624" i="1"/>
  <c r="F7624" i="1"/>
  <c r="G7624" i="1"/>
  <c r="H7624" i="1"/>
  <c r="I7624" i="1"/>
  <c r="J7624" i="1"/>
  <c r="K7624" i="1"/>
  <c r="L7624" i="1"/>
  <c r="A7625" i="1"/>
  <c r="B7625" i="1"/>
  <c r="C7625" i="1"/>
  <c r="D7625" i="1"/>
  <c r="E7625" i="1"/>
  <c r="F7625" i="1"/>
  <c r="G7625" i="1"/>
  <c r="H7625" i="1"/>
  <c r="I7625" i="1"/>
  <c r="J7625" i="1"/>
  <c r="K7625" i="1"/>
  <c r="L7625" i="1"/>
  <c r="A7626" i="1"/>
  <c r="B7626" i="1"/>
  <c r="C7626" i="1"/>
  <c r="D7626" i="1"/>
  <c r="E7626" i="1"/>
  <c r="F7626" i="1"/>
  <c r="G7626" i="1"/>
  <c r="H7626" i="1"/>
  <c r="I7626" i="1"/>
  <c r="J7626" i="1"/>
  <c r="K7626" i="1"/>
  <c r="L7626" i="1"/>
  <c r="A7627" i="1"/>
  <c r="B7627" i="1"/>
  <c r="C7627" i="1"/>
  <c r="D7627" i="1"/>
  <c r="E7627" i="1"/>
  <c r="F7627" i="1"/>
  <c r="G7627" i="1"/>
  <c r="H7627" i="1"/>
  <c r="I7627" i="1"/>
  <c r="J7627" i="1"/>
  <c r="K7627" i="1"/>
  <c r="L7627" i="1"/>
  <c r="A7628" i="1"/>
  <c r="B7628" i="1"/>
  <c r="C7628" i="1"/>
  <c r="D7628" i="1"/>
  <c r="E7628" i="1"/>
  <c r="F7628" i="1"/>
  <c r="G7628" i="1"/>
  <c r="H7628" i="1"/>
  <c r="I7628" i="1"/>
  <c r="J7628" i="1"/>
  <c r="K7628" i="1"/>
  <c r="L7628" i="1"/>
  <c r="A7629" i="1"/>
  <c r="B7629" i="1"/>
  <c r="C7629" i="1"/>
  <c r="D7629" i="1"/>
  <c r="E7629" i="1"/>
  <c r="F7629" i="1"/>
  <c r="G7629" i="1"/>
  <c r="H7629" i="1"/>
  <c r="I7629" i="1"/>
  <c r="J7629" i="1"/>
  <c r="K7629" i="1"/>
  <c r="L7629" i="1"/>
  <c r="A7630" i="1"/>
  <c r="B7630" i="1"/>
  <c r="C7630" i="1"/>
  <c r="D7630" i="1"/>
  <c r="E7630" i="1"/>
  <c r="F7630" i="1"/>
  <c r="G7630" i="1"/>
  <c r="H7630" i="1"/>
  <c r="I7630" i="1"/>
  <c r="J7630" i="1"/>
  <c r="K7630" i="1"/>
  <c r="L7630" i="1"/>
  <c r="A7631" i="1"/>
  <c r="B7631" i="1"/>
  <c r="C7631" i="1"/>
  <c r="D7631" i="1"/>
  <c r="E7631" i="1"/>
  <c r="F7631" i="1"/>
  <c r="G7631" i="1"/>
  <c r="H7631" i="1"/>
  <c r="I7631" i="1"/>
  <c r="J7631" i="1"/>
  <c r="K7631" i="1"/>
  <c r="L7631" i="1"/>
  <c r="A7632" i="1"/>
  <c r="B7632" i="1"/>
  <c r="C7632" i="1"/>
  <c r="D7632" i="1"/>
  <c r="E7632" i="1"/>
  <c r="F7632" i="1"/>
  <c r="G7632" i="1"/>
  <c r="H7632" i="1"/>
  <c r="I7632" i="1"/>
  <c r="J7632" i="1"/>
  <c r="K7632" i="1"/>
  <c r="L7632" i="1"/>
  <c r="A7633" i="1"/>
  <c r="B7633" i="1"/>
  <c r="C7633" i="1"/>
  <c r="D7633" i="1"/>
  <c r="E7633" i="1"/>
  <c r="F7633" i="1"/>
  <c r="G7633" i="1"/>
  <c r="H7633" i="1"/>
  <c r="I7633" i="1"/>
  <c r="J7633" i="1"/>
  <c r="K7633" i="1"/>
  <c r="L7633" i="1"/>
  <c r="A7634" i="1"/>
  <c r="B7634" i="1"/>
  <c r="C7634" i="1"/>
  <c r="D7634" i="1"/>
  <c r="E7634" i="1"/>
  <c r="F7634" i="1"/>
  <c r="G7634" i="1"/>
  <c r="H7634" i="1"/>
  <c r="I7634" i="1"/>
  <c r="J7634" i="1"/>
  <c r="K7634" i="1"/>
  <c r="L7634" i="1"/>
  <c r="A7635" i="1"/>
  <c r="B7635" i="1"/>
  <c r="C7635" i="1"/>
  <c r="D7635" i="1"/>
  <c r="E7635" i="1"/>
  <c r="F7635" i="1"/>
  <c r="G7635" i="1"/>
  <c r="H7635" i="1"/>
  <c r="I7635" i="1"/>
  <c r="J7635" i="1"/>
  <c r="K7635" i="1"/>
  <c r="L7635" i="1"/>
  <c r="A7636" i="1"/>
  <c r="B7636" i="1"/>
  <c r="C7636" i="1"/>
  <c r="D7636" i="1"/>
  <c r="E7636" i="1"/>
  <c r="F7636" i="1"/>
  <c r="G7636" i="1"/>
  <c r="H7636" i="1"/>
  <c r="I7636" i="1"/>
  <c r="J7636" i="1"/>
  <c r="K7636" i="1"/>
  <c r="L7636" i="1"/>
  <c r="A7637" i="1"/>
  <c r="B7637" i="1"/>
  <c r="C7637" i="1"/>
  <c r="D7637" i="1"/>
  <c r="E7637" i="1"/>
  <c r="F7637" i="1"/>
  <c r="G7637" i="1"/>
  <c r="H7637" i="1"/>
  <c r="I7637" i="1"/>
  <c r="J7637" i="1"/>
  <c r="K7637" i="1"/>
  <c r="L7637" i="1"/>
  <c r="A7638" i="1"/>
  <c r="B7638" i="1"/>
  <c r="C7638" i="1"/>
  <c r="D7638" i="1"/>
  <c r="E7638" i="1"/>
  <c r="F7638" i="1"/>
  <c r="G7638" i="1"/>
  <c r="H7638" i="1"/>
  <c r="I7638" i="1"/>
  <c r="J7638" i="1"/>
  <c r="K7638" i="1"/>
  <c r="L7638" i="1"/>
  <c r="A7639" i="1"/>
  <c r="B7639" i="1"/>
  <c r="C7639" i="1"/>
  <c r="D7639" i="1"/>
  <c r="E7639" i="1"/>
  <c r="F7639" i="1"/>
  <c r="G7639" i="1"/>
  <c r="H7639" i="1"/>
  <c r="I7639" i="1"/>
  <c r="J7639" i="1"/>
  <c r="K7639" i="1"/>
  <c r="L7639" i="1"/>
  <c r="A7640" i="1"/>
  <c r="B7640" i="1"/>
  <c r="C7640" i="1"/>
  <c r="D7640" i="1"/>
  <c r="E7640" i="1"/>
  <c r="F7640" i="1"/>
  <c r="G7640" i="1"/>
  <c r="H7640" i="1"/>
  <c r="I7640" i="1"/>
  <c r="J7640" i="1"/>
  <c r="K7640" i="1"/>
  <c r="L7640" i="1"/>
  <c r="A7641" i="1"/>
  <c r="B7641" i="1"/>
  <c r="C7641" i="1"/>
  <c r="D7641" i="1"/>
  <c r="E7641" i="1"/>
  <c r="F7641" i="1"/>
  <c r="G7641" i="1"/>
  <c r="H7641" i="1"/>
  <c r="I7641" i="1"/>
  <c r="J7641" i="1"/>
  <c r="K7641" i="1"/>
  <c r="L7641" i="1"/>
  <c r="A7642" i="1"/>
  <c r="B7642" i="1"/>
  <c r="C7642" i="1"/>
  <c r="D7642" i="1"/>
  <c r="E7642" i="1"/>
  <c r="F7642" i="1"/>
  <c r="G7642" i="1"/>
  <c r="H7642" i="1"/>
  <c r="I7642" i="1"/>
  <c r="J7642" i="1"/>
  <c r="K7642" i="1"/>
  <c r="L7642" i="1"/>
  <c r="A7643" i="1"/>
  <c r="B7643" i="1"/>
  <c r="C7643" i="1"/>
  <c r="D7643" i="1"/>
  <c r="E7643" i="1"/>
  <c r="F7643" i="1"/>
  <c r="G7643" i="1"/>
  <c r="H7643" i="1"/>
  <c r="I7643" i="1"/>
  <c r="J7643" i="1"/>
  <c r="K7643" i="1"/>
  <c r="L7643" i="1"/>
  <c r="A7644" i="1"/>
  <c r="B7644" i="1"/>
  <c r="C7644" i="1"/>
  <c r="D7644" i="1"/>
  <c r="E7644" i="1"/>
  <c r="F7644" i="1"/>
  <c r="G7644" i="1"/>
  <c r="H7644" i="1"/>
  <c r="I7644" i="1"/>
  <c r="J7644" i="1"/>
  <c r="K7644" i="1"/>
  <c r="L7644" i="1"/>
  <c r="A7645" i="1"/>
  <c r="B7645" i="1"/>
  <c r="C7645" i="1"/>
  <c r="D7645" i="1"/>
  <c r="E7645" i="1"/>
  <c r="F7645" i="1"/>
  <c r="G7645" i="1"/>
  <c r="H7645" i="1"/>
  <c r="I7645" i="1"/>
  <c r="J7645" i="1"/>
  <c r="K7645" i="1"/>
  <c r="L7645" i="1"/>
  <c r="A7646" i="1"/>
  <c r="B7646" i="1"/>
  <c r="C7646" i="1"/>
  <c r="D7646" i="1"/>
  <c r="E7646" i="1"/>
  <c r="F7646" i="1"/>
  <c r="G7646" i="1"/>
  <c r="H7646" i="1"/>
  <c r="I7646" i="1"/>
  <c r="J7646" i="1"/>
  <c r="K7646" i="1"/>
  <c r="L7646" i="1"/>
  <c r="A7647" i="1"/>
  <c r="B7647" i="1"/>
  <c r="C7647" i="1"/>
  <c r="D7647" i="1"/>
  <c r="E7647" i="1"/>
  <c r="F7647" i="1"/>
  <c r="G7647" i="1"/>
  <c r="H7647" i="1"/>
  <c r="I7647" i="1"/>
  <c r="J7647" i="1"/>
  <c r="K7647" i="1"/>
  <c r="L7647" i="1"/>
  <c r="A7648" i="1"/>
  <c r="B7648" i="1"/>
  <c r="C7648" i="1"/>
  <c r="D7648" i="1"/>
  <c r="E7648" i="1"/>
  <c r="F7648" i="1"/>
  <c r="G7648" i="1"/>
  <c r="H7648" i="1"/>
  <c r="I7648" i="1"/>
  <c r="J7648" i="1"/>
  <c r="K7648" i="1"/>
  <c r="L7648" i="1"/>
  <c r="A7649" i="1"/>
  <c r="B7649" i="1"/>
  <c r="C7649" i="1"/>
  <c r="D7649" i="1"/>
  <c r="E7649" i="1"/>
  <c r="F7649" i="1"/>
  <c r="G7649" i="1"/>
  <c r="H7649" i="1"/>
  <c r="I7649" i="1"/>
  <c r="J7649" i="1"/>
  <c r="K7649" i="1"/>
  <c r="L7649" i="1"/>
  <c r="A7650" i="1"/>
  <c r="B7650" i="1"/>
  <c r="C7650" i="1"/>
  <c r="D7650" i="1"/>
  <c r="E7650" i="1"/>
  <c r="F7650" i="1"/>
  <c r="G7650" i="1"/>
  <c r="H7650" i="1"/>
  <c r="I7650" i="1"/>
  <c r="J7650" i="1"/>
  <c r="K7650" i="1"/>
  <c r="L7650" i="1"/>
  <c r="A7651" i="1"/>
  <c r="B7651" i="1"/>
  <c r="C7651" i="1"/>
  <c r="D7651" i="1"/>
  <c r="E7651" i="1"/>
  <c r="F7651" i="1"/>
  <c r="G7651" i="1"/>
  <c r="H7651" i="1"/>
  <c r="I7651" i="1"/>
  <c r="J7651" i="1"/>
  <c r="K7651" i="1"/>
  <c r="L7651" i="1"/>
  <c r="A7652" i="1"/>
  <c r="B7652" i="1"/>
  <c r="C7652" i="1"/>
  <c r="D7652" i="1"/>
  <c r="E7652" i="1"/>
  <c r="F7652" i="1"/>
  <c r="G7652" i="1"/>
  <c r="H7652" i="1"/>
  <c r="I7652" i="1"/>
  <c r="J7652" i="1"/>
  <c r="K7652" i="1"/>
  <c r="L7652" i="1"/>
  <c r="A7653" i="1"/>
  <c r="B7653" i="1"/>
  <c r="C7653" i="1"/>
  <c r="D7653" i="1"/>
  <c r="E7653" i="1"/>
  <c r="F7653" i="1"/>
  <c r="G7653" i="1"/>
  <c r="H7653" i="1"/>
  <c r="I7653" i="1"/>
  <c r="J7653" i="1"/>
  <c r="K7653" i="1"/>
  <c r="L7653" i="1"/>
  <c r="A7654" i="1"/>
  <c r="B7654" i="1"/>
  <c r="C7654" i="1"/>
  <c r="D7654" i="1"/>
  <c r="E7654" i="1"/>
  <c r="F7654" i="1"/>
  <c r="G7654" i="1"/>
  <c r="H7654" i="1"/>
  <c r="I7654" i="1"/>
  <c r="J7654" i="1"/>
  <c r="K7654" i="1"/>
  <c r="L7654" i="1"/>
  <c r="A7655" i="1"/>
  <c r="B7655" i="1"/>
  <c r="C7655" i="1"/>
  <c r="D7655" i="1"/>
  <c r="E7655" i="1"/>
  <c r="F7655" i="1"/>
  <c r="G7655" i="1"/>
  <c r="H7655" i="1"/>
  <c r="I7655" i="1"/>
  <c r="J7655" i="1"/>
  <c r="K7655" i="1"/>
  <c r="L7655" i="1"/>
  <c r="A7656" i="1"/>
  <c r="B7656" i="1"/>
  <c r="C7656" i="1"/>
  <c r="D7656" i="1"/>
  <c r="E7656" i="1"/>
  <c r="F7656" i="1"/>
  <c r="G7656" i="1"/>
  <c r="H7656" i="1"/>
  <c r="I7656" i="1"/>
  <c r="J7656" i="1"/>
  <c r="K7656" i="1"/>
  <c r="L7656" i="1"/>
  <c r="A7657" i="1"/>
  <c r="B7657" i="1"/>
  <c r="C7657" i="1"/>
  <c r="D7657" i="1"/>
  <c r="E7657" i="1"/>
  <c r="F7657" i="1"/>
  <c r="G7657" i="1"/>
  <c r="H7657" i="1"/>
  <c r="I7657" i="1"/>
  <c r="J7657" i="1"/>
  <c r="K7657" i="1"/>
  <c r="L7657" i="1"/>
  <c r="A7658" i="1"/>
  <c r="B7658" i="1"/>
  <c r="C7658" i="1"/>
  <c r="D7658" i="1"/>
  <c r="E7658" i="1"/>
  <c r="F7658" i="1"/>
  <c r="G7658" i="1"/>
  <c r="H7658" i="1"/>
  <c r="I7658" i="1"/>
  <c r="J7658" i="1"/>
  <c r="K7658" i="1"/>
  <c r="L7658" i="1"/>
  <c r="A7659" i="1"/>
  <c r="B7659" i="1"/>
  <c r="C7659" i="1"/>
  <c r="D7659" i="1"/>
  <c r="E7659" i="1"/>
  <c r="F7659" i="1"/>
  <c r="G7659" i="1"/>
  <c r="H7659" i="1"/>
  <c r="I7659" i="1"/>
  <c r="J7659" i="1"/>
  <c r="K7659" i="1"/>
  <c r="L7659" i="1"/>
  <c r="A7660" i="1"/>
  <c r="B7660" i="1"/>
  <c r="C7660" i="1"/>
  <c r="D7660" i="1"/>
  <c r="E7660" i="1"/>
  <c r="F7660" i="1"/>
  <c r="G7660" i="1"/>
  <c r="H7660" i="1"/>
  <c r="I7660" i="1"/>
  <c r="J7660" i="1"/>
  <c r="K7660" i="1"/>
  <c r="L7660" i="1"/>
  <c r="A7661" i="1"/>
  <c r="B7661" i="1"/>
  <c r="C7661" i="1"/>
  <c r="D7661" i="1"/>
  <c r="E7661" i="1"/>
  <c r="F7661" i="1"/>
  <c r="G7661" i="1"/>
  <c r="H7661" i="1"/>
  <c r="I7661" i="1"/>
  <c r="J7661" i="1"/>
  <c r="K7661" i="1"/>
  <c r="L7661" i="1"/>
  <c r="A7662" i="1"/>
  <c r="B7662" i="1"/>
  <c r="C7662" i="1"/>
  <c r="D7662" i="1"/>
  <c r="E7662" i="1"/>
  <c r="F7662" i="1"/>
  <c r="G7662" i="1"/>
  <c r="H7662" i="1"/>
  <c r="I7662" i="1"/>
  <c r="J7662" i="1"/>
  <c r="K7662" i="1"/>
  <c r="L7662" i="1"/>
  <c r="A7663" i="1"/>
  <c r="B7663" i="1"/>
  <c r="C7663" i="1"/>
  <c r="D7663" i="1"/>
  <c r="E7663" i="1"/>
  <c r="F7663" i="1"/>
  <c r="G7663" i="1"/>
  <c r="H7663" i="1"/>
  <c r="I7663" i="1"/>
  <c r="J7663" i="1"/>
  <c r="K7663" i="1"/>
  <c r="L7663" i="1"/>
  <c r="A7664" i="1"/>
  <c r="B7664" i="1"/>
  <c r="C7664" i="1"/>
  <c r="D7664" i="1"/>
  <c r="E7664" i="1"/>
  <c r="F7664" i="1"/>
  <c r="G7664" i="1"/>
  <c r="H7664" i="1"/>
  <c r="I7664" i="1"/>
  <c r="J7664" i="1"/>
  <c r="K7664" i="1"/>
  <c r="L7664" i="1"/>
  <c r="A7665" i="1"/>
  <c r="B7665" i="1"/>
  <c r="C7665" i="1"/>
  <c r="D7665" i="1"/>
  <c r="E7665" i="1"/>
  <c r="F7665" i="1"/>
  <c r="G7665" i="1"/>
  <c r="H7665" i="1"/>
  <c r="I7665" i="1"/>
  <c r="J7665" i="1"/>
  <c r="K7665" i="1"/>
  <c r="L7665" i="1"/>
  <c r="A7666" i="1"/>
  <c r="B7666" i="1"/>
  <c r="C7666" i="1"/>
  <c r="D7666" i="1"/>
  <c r="E7666" i="1"/>
  <c r="F7666" i="1"/>
  <c r="G7666" i="1"/>
  <c r="H7666" i="1"/>
  <c r="I7666" i="1"/>
  <c r="J7666" i="1"/>
  <c r="K7666" i="1"/>
  <c r="L7666" i="1"/>
  <c r="A7667" i="1"/>
  <c r="B7667" i="1"/>
  <c r="C7667" i="1"/>
  <c r="D7667" i="1"/>
  <c r="E7667" i="1"/>
  <c r="F7667" i="1"/>
  <c r="G7667" i="1"/>
  <c r="H7667" i="1"/>
  <c r="I7667" i="1"/>
  <c r="J7667" i="1"/>
  <c r="K7667" i="1"/>
  <c r="L7667" i="1"/>
  <c r="A7668" i="1"/>
  <c r="B7668" i="1"/>
  <c r="C7668" i="1"/>
  <c r="D7668" i="1"/>
  <c r="E7668" i="1"/>
  <c r="F7668" i="1"/>
  <c r="G7668" i="1"/>
  <c r="H7668" i="1"/>
  <c r="I7668" i="1"/>
  <c r="J7668" i="1"/>
  <c r="K7668" i="1"/>
  <c r="L7668" i="1"/>
  <c r="A7669" i="1"/>
  <c r="B7669" i="1"/>
  <c r="C7669" i="1"/>
  <c r="D7669" i="1"/>
  <c r="E7669" i="1"/>
  <c r="F7669" i="1"/>
  <c r="G7669" i="1"/>
  <c r="H7669" i="1"/>
  <c r="I7669" i="1"/>
  <c r="J7669" i="1"/>
  <c r="K7669" i="1"/>
  <c r="L7669" i="1"/>
  <c r="A7670" i="1"/>
  <c r="B7670" i="1"/>
  <c r="C7670" i="1"/>
  <c r="D7670" i="1"/>
  <c r="E7670" i="1"/>
  <c r="F7670" i="1"/>
  <c r="G7670" i="1"/>
  <c r="H7670" i="1"/>
  <c r="I7670" i="1"/>
  <c r="J7670" i="1"/>
  <c r="K7670" i="1"/>
  <c r="L7670" i="1"/>
  <c r="A7671" i="1"/>
  <c r="B7671" i="1"/>
  <c r="C7671" i="1"/>
  <c r="D7671" i="1"/>
  <c r="E7671" i="1"/>
  <c r="F7671" i="1"/>
  <c r="G7671" i="1"/>
  <c r="H7671" i="1"/>
  <c r="I7671" i="1"/>
  <c r="J7671" i="1"/>
  <c r="K7671" i="1"/>
  <c r="L7671" i="1"/>
  <c r="A7672" i="1"/>
  <c r="B7672" i="1"/>
  <c r="C7672" i="1"/>
  <c r="D7672" i="1"/>
  <c r="E7672" i="1"/>
  <c r="F7672" i="1"/>
  <c r="G7672" i="1"/>
  <c r="H7672" i="1"/>
  <c r="I7672" i="1"/>
  <c r="J7672" i="1"/>
  <c r="K7672" i="1"/>
  <c r="L7672" i="1"/>
  <c r="A7673" i="1"/>
  <c r="B7673" i="1"/>
  <c r="C7673" i="1"/>
  <c r="D7673" i="1"/>
  <c r="E7673" i="1"/>
  <c r="F7673" i="1"/>
  <c r="G7673" i="1"/>
  <c r="H7673" i="1"/>
  <c r="I7673" i="1"/>
  <c r="J7673" i="1"/>
  <c r="K7673" i="1"/>
  <c r="L7673" i="1"/>
  <c r="A7674" i="1"/>
  <c r="B7674" i="1"/>
  <c r="C7674" i="1"/>
  <c r="D7674" i="1"/>
  <c r="E7674" i="1"/>
  <c r="F7674" i="1"/>
  <c r="G7674" i="1"/>
  <c r="H7674" i="1"/>
  <c r="I7674" i="1"/>
  <c r="J7674" i="1"/>
  <c r="K7674" i="1"/>
  <c r="L7674" i="1"/>
  <c r="A7675" i="1"/>
  <c r="B7675" i="1"/>
  <c r="C7675" i="1"/>
  <c r="D7675" i="1"/>
  <c r="E7675" i="1"/>
  <c r="F7675" i="1"/>
  <c r="G7675" i="1"/>
  <c r="H7675" i="1"/>
  <c r="I7675" i="1"/>
  <c r="J7675" i="1"/>
  <c r="K7675" i="1"/>
  <c r="L7675" i="1"/>
  <c r="A7676" i="1"/>
  <c r="B7676" i="1"/>
  <c r="C7676" i="1"/>
  <c r="D7676" i="1"/>
  <c r="E7676" i="1"/>
  <c r="F7676" i="1"/>
  <c r="G7676" i="1"/>
  <c r="H7676" i="1"/>
  <c r="I7676" i="1"/>
  <c r="J7676" i="1"/>
  <c r="K7676" i="1"/>
  <c r="L7676" i="1"/>
  <c r="A7677" i="1"/>
  <c r="B7677" i="1"/>
  <c r="C7677" i="1"/>
  <c r="D7677" i="1"/>
  <c r="E7677" i="1"/>
  <c r="F7677" i="1"/>
  <c r="G7677" i="1"/>
  <c r="H7677" i="1"/>
  <c r="I7677" i="1"/>
  <c r="J7677" i="1"/>
  <c r="K7677" i="1"/>
  <c r="L7677" i="1"/>
  <c r="A7678" i="1"/>
  <c r="B7678" i="1"/>
  <c r="C7678" i="1"/>
  <c r="D7678" i="1"/>
  <c r="E7678" i="1"/>
  <c r="F7678" i="1"/>
  <c r="G7678" i="1"/>
  <c r="H7678" i="1"/>
  <c r="I7678" i="1"/>
  <c r="J7678" i="1"/>
  <c r="K7678" i="1"/>
  <c r="L7678" i="1"/>
  <c r="A7679" i="1"/>
  <c r="B7679" i="1"/>
  <c r="C7679" i="1"/>
  <c r="D7679" i="1"/>
  <c r="E7679" i="1"/>
  <c r="F7679" i="1"/>
  <c r="G7679" i="1"/>
  <c r="H7679" i="1"/>
  <c r="I7679" i="1"/>
  <c r="J7679" i="1"/>
  <c r="K7679" i="1"/>
  <c r="L7679" i="1"/>
  <c r="A7680" i="1"/>
  <c r="B7680" i="1"/>
  <c r="C7680" i="1"/>
  <c r="D7680" i="1"/>
  <c r="E7680" i="1"/>
  <c r="F7680" i="1"/>
  <c r="G7680" i="1"/>
  <c r="H7680" i="1"/>
  <c r="I7680" i="1"/>
  <c r="J7680" i="1"/>
  <c r="K7680" i="1"/>
  <c r="L7680" i="1"/>
  <c r="A7681" i="1"/>
  <c r="B7681" i="1"/>
  <c r="C7681" i="1"/>
  <c r="D7681" i="1"/>
  <c r="E7681" i="1"/>
  <c r="F7681" i="1"/>
  <c r="G7681" i="1"/>
  <c r="H7681" i="1"/>
  <c r="I7681" i="1"/>
  <c r="J7681" i="1"/>
  <c r="K7681" i="1"/>
  <c r="L7681" i="1"/>
  <c r="A7682" i="1"/>
  <c r="B7682" i="1"/>
  <c r="C7682" i="1"/>
  <c r="D7682" i="1"/>
  <c r="E7682" i="1"/>
  <c r="F7682" i="1"/>
  <c r="G7682" i="1"/>
  <c r="H7682" i="1"/>
  <c r="I7682" i="1"/>
  <c r="J7682" i="1"/>
  <c r="K7682" i="1"/>
  <c r="L7682" i="1"/>
  <c r="A7683" i="1"/>
  <c r="B7683" i="1"/>
  <c r="C7683" i="1"/>
  <c r="D7683" i="1"/>
  <c r="E7683" i="1"/>
  <c r="F7683" i="1"/>
  <c r="G7683" i="1"/>
  <c r="H7683" i="1"/>
  <c r="I7683" i="1"/>
  <c r="J7683" i="1"/>
  <c r="K7683" i="1"/>
  <c r="L7683" i="1"/>
  <c r="A7684" i="1"/>
  <c r="B7684" i="1"/>
  <c r="C7684" i="1"/>
  <c r="D7684" i="1"/>
  <c r="E7684" i="1"/>
  <c r="F7684" i="1"/>
  <c r="G7684" i="1"/>
  <c r="H7684" i="1"/>
  <c r="I7684" i="1"/>
  <c r="J7684" i="1"/>
  <c r="K7684" i="1"/>
  <c r="L7684" i="1"/>
  <c r="A7685" i="1"/>
  <c r="B7685" i="1"/>
  <c r="C7685" i="1"/>
  <c r="D7685" i="1"/>
  <c r="E7685" i="1"/>
  <c r="F7685" i="1"/>
  <c r="G7685" i="1"/>
  <c r="H7685" i="1"/>
  <c r="I7685" i="1"/>
  <c r="J7685" i="1"/>
  <c r="K7685" i="1"/>
  <c r="L7685" i="1"/>
  <c r="A7686" i="1"/>
  <c r="B7686" i="1"/>
  <c r="C7686" i="1"/>
  <c r="D7686" i="1"/>
  <c r="E7686" i="1"/>
  <c r="F7686" i="1"/>
  <c r="G7686" i="1"/>
  <c r="H7686" i="1"/>
  <c r="I7686" i="1"/>
  <c r="J7686" i="1"/>
  <c r="K7686" i="1"/>
  <c r="L7686" i="1"/>
  <c r="A7687" i="1"/>
  <c r="B7687" i="1"/>
  <c r="C7687" i="1"/>
  <c r="D7687" i="1"/>
  <c r="E7687" i="1"/>
  <c r="F7687" i="1"/>
  <c r="G7687" i="1"/>
  <c r="H7687" i="1"/>
  <c r="I7687" i="1"/>
  <c r="J7687" i="1"/>
  <c r="K7687" i="1"/>
  <c r="L7687" i="1"/>
  <c r="A7688" i="1"/>
  <c r="B7688" i="1"/>
  <c r="C7688" i="1"/>
  <c r="D7688" i="1"/>
  <c r="E7688" i="1"/>
  <c r="F7688" i="1"/>
  <c r="G7688" i="1"/>
  <c r="H7688" i="1"/>
  <c r="I7688" i="1"/>
  <c r="J7688" i="1"/>
  <c r="K7688" i="1"/>
  <c r="L7688" i="1"/>
  <c r="A7689" i="1"/>
  <c r="B7689" i="1"/>
  <c r="C7689" i="1"/>
  <c r="D7689" i="1"/>
  <c r="E7689" i="1"/>
  <c r="F7689" i="1"/>
  <c r="G7689" i="1"/>
  <c r="H7689" i="1"/>
  <c r="I7689" i="1"/>
  <c r="J7689" i="1"/>
  <c r="K7689" i="1"/>
  <c r="L7689" i="1"/>
  <c r="A7690" i="1"/>
  <c r="B7690" i="1"/>
  <c r="C7690" i="1"/>
  <c r="D7690" i="1"/>
  <c r="E7690" i="1"/>
  <c r="F7690" i="1"/>
  <c r="G7690" i="1"/>
  <c r="H7690" i="1"/>
  <c r="I7690" i="1"/>
  <c r="J7690" i="1"/>
  <c r="K7690" i="1"/>
  <c r="L7690" i="1"/>
  <c r="A7691" i="1"/>
  <c r="B7691" i="1"/>
  <c r="C7691" i="1"/>
  <c r="D7691" i="1"/>
  <c r="E7691" i="1"/>
  <c r="F7691" i="1"/>
  <c r="G7691" i="1"/>
  <c r="H7691" i="1"/>
  <c r="I7691" i="1"/>
  <c r="J7691" i="1"/>
  <c r="K7691" i="1"/>
  <c r="L7691" i="1"/>
  <c r="A7692" i="1"/>
  <c r="B7692" i="1"/>
  <c r="C7692" i="1"/>
  <c r="D7692" i="1"/>
  <c r="E7692" i="1"/>
  <c r="F7692" i="1"/>
  <c r="G7692" i="1"/>
  <c r="H7692" i="1"/>
  <c r="I7692" i="1"/>
  <c r="J7692" i="1"/>
  <c r="K7692" i="1"/>
  <c r="L7692" i="1"/>
  <c r="A7693" i="1"/>
  <c r="B7693" i="1"/>
  <c r="C7693" i="1"/>
  <c r="D7693" i="1"/>
  <c r="E7693" i="1"/>
  <c r="F7693" i="1"/>
  <c r="G7693" i="1"/>
  <c r="H7693" i="1"/>
  <c r="I7693" i="1"/>
  <c r="J7693" i="1"/>
  <c r="K7693" i="1"/>
  <c r="L7693" i="1"/>
  <c r="A7694" i="1"/>
  <c r="B7694" i="1"/>
  <c r="C7694" i="1"/>
  <c r="D7694" i="1"/>
  <c r="E7694" i="1"/>
  <c r="F7694" i="1"/>
  <c r="G7694" i="1"/>
  <c r="H7694" i="1"/>
  <c r="I7694" i="1"/>
  <c r="J7694" i="1"/>
  <c r="K7694" i="1"/>
  <c r="L7694" i="1"/>
  <c r="A7695" i="1"/>
  <c r="B7695" i="1"/>
  <c r="C7695" i="1"/>
  <c r="D7695" i="1"/>
  <c r="E7695" i="1"/>
  <c r="F7695" i="1"/>
  <c r="G7695" i="1"/>
  <c r="H7695" i="1"/>
  <c r="I7695" i="1"/>
  <c r="J7695" i="1"/>
  <c r="K7695" i="1"/>
  <c r="L7695" i="1"/>
  <c r="A7696" i="1"/>
  <c r="B7696" i="1"/>
  <c r="C7696" i="1"/>
  <c r="D7696" i="1"/>
  <c r="E7696" i="1"/>
  <c r="F7696" i="1"/>
  <c r="G7696" i="1"/>
  <c r="H7696" i="1"/>
  <c r="I7696" i="1"/>
  <c r="J7696" i="1"/>
  <c r="K7696" i="1"/>
  <c r="L7696" i="1"/>
  <c r="A7697" i="1"/>
  <c r="B7697" i="1"/>
  <c r="C7697" i="1"/>
  <c r="D7697" i="1"/>
  <c r="E7697" i="1"/>
  <c r="F7697" i="1"/>
  <c r="G7697" i="1"/>
  <c r="H7697" i="1"/>
  <c r="I7697" i="1"/>
  <c r="J7697" i="1"/>
  <c r="K7697" i="1"/>
  <c r="L7697" i="1"/>
  <c r="A7698" i="1"/>
  <c r="B7698" i="1"/>
  <c r="C7698" i="1"/>
  <c r="D7698" i="1"/>
  <c r="E7698" i="1"/>
  <c r="F7698" i="1"/>
  <c r="G7698" i="1"/>
  <c r="H7698" i="1"/>
  <c r="I7698" i="1"/>
  <c r="J7698" i="1"/>
  <c r="K7698" i="1"/>
  <c r="L7698" i="1"/>
  <c r="A7699" i="1"/>
  <c r="B7699" i="1"/>
  <c r="C7699" i="1"/>
  <c r="D7699" i="1"/>
  <c r="E7699" i="1"/>
  <c r="F7699" i="1"/>
  <c r="G7699" i="1"/>
  <c r="H7699" i="1"/>
  <c r="I7699" i="1"/>
  <c r="J7699" i="1"/>
  <c r="K7699" i="1"/>
  <c r="L7699" i="1"/>
  <c r="A7700" i="1"/>
  <c r="B7700" i="1"/>
  <c r="C7700" i="1"/>
  <c r="D7700" i="1"/>
  <c r="E7700" i="1"/>
  <c r="F7700" i="1"/>
  <c r="G7700" i="1"/>
  <c r="H7700" i="1"/>
  <c r="I7700" i="1"/>
  <c r="J7700" i="1"/>
  <c r="K7700" i="1"/>
  <c r="L7700" i="1"/>
  <c r="A7701" i="1"/>
  <c r="B7701" i="1"/>
  <c r="C7701" i="1"/>
  <c r="D7701" i="1"/>
  <c r="E7701" i="1"/>
  <c r="F7701" i="1"/>
  <c r="G7701" i="1"/>
  <c r="H7701" i="1"/>
  <c r="I7701" i="1"/>
  <c r="J7701" i="1"/>
  <c r="K7701" i="1"/>
  <c r="L7701" i="1"/>
  <c r="A7702" i="1"/>
  <c r="B7702" i="1"/>
  <c r="C7702" i="1"/>
  <c r="D7702" i="1"/>
  <c r="E7702" i="1"/>
  <c r="F7702" i="1"/>
  <c r="G7702" i="1"/>
  <c r="H7702" i="1"/>
  <c r="I7702" i="1"/>
  <c r="J7702" i="1"/>
  <c r="K7702" i="1"/>
  <c r="L7702" i="1"/>
  <c r="A7703" i="1"/>
  <c r="B7703" i="1"/>
  <c r="C7703" i="1"/>
  <c r="D7703" i="1"/>
  <c r="E7703" i="1"/>
  <c r="F7703" i="1"/>
  <c r="G7703" i="1"/>
  <c r="H7703" i="1"/>
  <c r="I7703" i="1"/>
  <c r="J7703" i="1"/>
  <c r="K7703" i="1"/>
  <c r="L7703" i="1"/>
  <c r="A7704" i="1"/>
  <c r="B7704" i="1"/>
  <c r="C7704" i="1"/>
  <c r="D7704" i="1"/>
  <c r="E7704" i="1"/>
  <c r="F7704" i="1"/>
  <c r="G7704" i="1"/>
  <c r="H7704" i="1"/>
  <c r="I7704" i="1"/>
  <c r="J7704" i="1"/>
  <c r="K7704" i="1"/>
  <c r="L7704" i="1"/>
  <c r="A7705" i="1"/>
  <c r="B7705" i="1"/>
  <c r="C7705" i="1"/>
  <c r="D7705" i="1"/>
  <c r="E7705" i="1"/>
  <c r="F7705" i="1"/>
  <c r="G7705" i="1"/>
  <c r="H7705" i="1"/>
  <c r="I7705" i="1"/>
  <c r="J7705" i="1"/>
  <c r="K7705" i="1"/>
  <c r="L7705" i="1"/>
  <c r="A7706" i="1"/>
  <c r="B7706" i="1"/>
  <c r="C7706" i="1"/>
  <c r="D7706" i="1"/>
  <c r="E7706" i="1"/>
  <c r="F7706" i="1"/>
  <c r="G7706" i="1"/>
  <c r="H7706" i="1"/>
  <c r="I7706" i="1"/>
  <c r="J7706" i="1"/>
  <c r="K7706" i="1"/>
  <c r="L7706" i="1"/>
  <c r="A7707" i="1"/>
  <c r="B7707" i="1"/>
  <c r="C7707" i="1"/>
  <c r="D7707" i="1"/>
  <c r="E7707" i="1"/>
  <c r="F7707" i="1"/>
  <c r="G7707" i="1"/>
  <c r="H7707" i="1"/>
  <c r="I7707" i="1"/>
  <c r="J7707" i="1"/>
  <c r="K7707" i="1"/>
  <c r="L7707" i="1"/>
  <c r="A7708" i="1"/>
  <c r="B7708" i="1"/>
  <c r="C7708" i="1"/>
  <c r="D7708" i="1"/>
  <c r="E7708" i="1"/>
  <c r="F7708" i="1"/>
  <c r="G7708" i="1"/>
  <c r="H7708" i="1"/>
  <c r="I7708" i="1"/>
  <c r="J7708" i="1"/>
  <c r="K7708" i="1"/>
  <c r="L7708" i="1"/>
  <c r="A7709" i="1"/>
  <c r="B7709" i="1"/>
  <c r="C7709" i="1"/>
  <c r="D7709" i="1"/>
  <c r="E7709" i="1"/>
  <c r="F7709" i="1"/>
  <c r="G7709" i="1"/>
  <c r="H7709" i="1"/>
  <c r="I7709" i="1"/>
  <c r="J7709" i="1"/>
  <c r="K7709" i="1"/>
  <c r="L7709" i="1"/>
  <c r="A7710" i="1"/>
  <c r="B7710" i="1"/>
  <c r="C7710" i="1"/>
  <c r="D7710" i="1"/>
  <c r="E7710" i="1"/>
  <c r="F7710" i="1"/>
  <c r="G7710" i="1"/>
  <c r="H7710" i="1"/>
  <c r="I7710" i="1"/>
  <c r="J7710" i="1"/>
  <c r="K7710" i="1"/>
  <c r="L7710" i="1"/>
  <c r="A7711" i="1"/>
  <c r="B7711" i="1"/>
  <c r="C7711" i="1"/>
  <c r="D7711" i="1"/>
  <c r="E7711" i="1"/>
  <c r="F7711" i="1"/>
  <c r="G7711" i="1"/>
  <c r="H7711" i="1"/>
  <c r="I7711" i="1"/>
  <c r="J7711" i="1"/>
  <c r="K7711" i="1"/>
  <c r="L7711" i="1"/>
  <c r="A7712" i="1"/>
  <c r="B7712" i="1"/>
  <c r="C7712" i="1"/>
  <c r="D7712" i="1"/>
  <c r="E7712" i="1"/>
  <c r="F7712" i="1"/>
  <c r="G7712" i="1"/>
  <c r="H7712" i="1"/>
  <c r="I7712" i="1"/>
  <c r="J7712" i="1"/>
  <c r="K7712" i="1"/>
  <c r="L7712" i="1"/>
  <c r="A7713" i="1"/>
  <c r="B7713" i="1"/>
  <c r="C7713" i="1"/>
  <c r="D7713" i="1"/>
  <c r="E7713" i="1"/>
  <c r="F7713" i="1"/>
  <c r="G7713" i="1"/>
  <c r="H7713" i="1"/>
  <c r="I7713" i="1"/>
  <c r="J7713" i="1"/>
  <c r="K7713" i="1"/>
  <c r="L7713" i="1"/>
  <c r="A7714" i="1"/>
  <c r="B7714" i="1"/>
  <c r="C7714" i="1"/>
  <c r="D7714" i="1"/>
  <c r="E7714" i="1"/>
  <c r="F7714" i="1"/>
  <c r="G7714" i="1"/>
  <c r="H7714" i="1"/>
  <c r="I7714" i="1"/>
  <c r="J7714" i="1"/>
  <c r="K7714" i="1"/>
  <c r="L7714" i="1"/>
  <c r="A7715" i="1"/>
  <c r="B7715" i="1"/>
  <c r="C7715" i="1"/>
  <c r="D7715" i="1"/>
  <c r="E7715" i="1"/>
  <c r="F7715" i="1"/>
  <c r="G7715" i="1"/>
  <c r="H7715" i="1"/>
  <c r="I7715" i="1"/>
  <c r="J7715" i="1"/>
  <c r="K7715" i="1"/>
  <c r="L7715" i="1"/>
  <c r="A7716" i="1"/>
  <c r="B7716" i="1"/>
  <c r="C7716" i="1"/>
  <c r="D7716" i="1"/>
  <c r="E7716" i="1"/>
  <c r="F7716" i="1"/>
  <c r="G7716" i="1"/>
  <c r="H7716" i="1"/>
  <c r="I7716" i="1"/>
  <c r="J7716" i="1"/>
  <c r="K7716" i="1"/>
  <c r="L7716" i="1"/>
  <c r="A7717" i="1"/>
  <c r="B7717" i="1"/>
  <c r="C7717" i="1"/>
  <c r="D7717" i="1"/>
  <c r="E7717" i="1"/>
  <c r="F7717" i="1"/>
  <c r="G7717" i="1"/>
  <c r="H7717" i="1"/>
  <c r="I7717" i="1"/>
  <c r="J7717" i="1"/>
  <c r="K7717" i="1"/>
  <c r="L7717" i="1"/>
  <c r="A7718" i="1"/>
  <c r="B7718" i="1"/>
  <c r="C7718" i="1"/>
  <c r="D7718" i="1"/>
  <c r="E7718" i="1"/>
  <c r="F7718" i="1"/>
  <c r="G7718" i="1"/>
  <c r="H7718" i="1"/>
  <c r="I7718" i="1"/>
  <c r="J7718" i="1"/>
  <c r="K7718" i="1"/>
  <c r="L7718" i="1"/>
  <c r="A7719" i="1"/>
  <c r="B7719" i="1"/>
  <c r="C7719" i="1"/>
  <c r="D7719" i="1"/>
  <c r="E7719" i="1"/>
  <c r="F7719" i="1"/>
  <c r="G7719" i="1"/>
  <c r="H7719" i="1"/>
  <c r="I7719" i="1"/>
  <c r="J7719" i="1"/>
  <c r="K7719" i="1"/>
  <c r="L7719" i="1"/>
  <c r="A7720" i="1"/>
  <c r="B7720" i="1"/>
  <c r="C7720" i="1"/>
  <c r="D7720" i="1"/>
  <c r="E7720" i="1"/>
  <c r="F7720" i="1"/>
  <c r="G7720" i="1"/>
  <c r="H7720" i="1"/>
  <c r="I7720" i="1"/>
  <c r="J7720" i="1"/>
  <c r="K7720" i="1"/>
  <c r="L7720" i="1"/>
  <c r="A7721" i="1"/>
  <c r="B7721" i="1"/>
  <c r="C7721" i="1"/>
  <c r="D7721" i="1"/>
  <c r="E7721" i="1"/>
  <c r="F7721" i="1"/>
  <c r="G7721" i="1"/>
  <c r="H7721" i="1"/>
  <c r="I7721" i="1"/>
  <c r="J7721" i="1"/>
  <c r="K7721" i="1"/>
  <c r="L7721" i="1"/>
  <c r="A7722" i="1"/>
  <c r="B7722" i="1"/>
  <c r="C7722" i="1"/>
  <c r="D7722" i="1"/>
  <c r="E7722" i="1"/>
  <c r="F7722" i="1"/>
  <c r="G7722" i="1"/>
  <c r="H7722" i="1"/>
  <c r="I7722" i="1"/>
  <c r="J7722" i="1"/>
  <c r="K7722" i="1"/>
  <c r="L7722" i="1"/>
  <c r="A7723" i="1"/>
  <c r="B7723" i="1"/>
  <c r="C7723" i="1"/>
  <c r="D7723" i="1"/>
  <c r="E7723" i="1"/>
  <c r="F7723" i="1"/>
  <c r="G7723" i="1"/>
  <c r="H7723" i="1"/>
  <c r="I7723" i="1"/>
  <c r="J7723" i="1"/>
  <c r="K7723" i="1"/>
  <c r="L7723" i="1"/>
  <c r="A7724" i="1"/>
  <c r="B7724" i="1"/>
  <c r="C7724" i="1"/>
  <c r="D7724" i="1"/>
  <c r="E7724" i="1"/>
  <c r="F7724" i="1"/>
  <c r="G7724" i="1"/>
  <c r="H7724" i="1"/>
  <c r="I7724" i="1"/>
  <c r="J7724" i="1"/>
  <c r="K7724" i="1"/>
  <c r="L7724" i="1"/>
  <c r="A7725" i="1"/>
  <c r="B7725" i="1"/>
  <c r="C7725" i="1"/>
  <c r="D7725" i="1"/>
  <c r="E7725" i="1"/>
  <c r="F7725" i="1"/>
  <c r="G7725" i="1"/>
  <c r="H7725" i="1"/>
  <c r="I7725" i="1"/>
  <c r="J7725" i="1"/>
  <c r="K7725" i="1"/>
  <c r="L7725" i="1"/>
  <c r="A7726" i="1"/>
  <c r="B7726" i="1"/>
  <c r="C7726" i="1"/>
  <c r="D7726" i="1"/>
  <c r="E7726" i="1"/>
  <c r="F7726" i="1"/>
  <c r="G7726" i="1"/>
  <c r="H7726" i="1"/>
  <c r="I7726" i="1"/>
  <c r="J7726" i="1"/>
  <c r="K7726" i="1"/>
  <c r="L7726" i="1"/>
  <c r="A7727" i="1"/>
  <c r="B7727" i="1"/>
  <c r="C7727" i="1"/>
  <c r="D7727" i="1"/>
  <c r="E7727" i="1"/>
  <c r="F7727" i="1"/>
  <c r="G7727" i="1"/>
  <c r="H7727" i="1"/>
  <c r="I7727" i="1"/>
  <c r="J7727" i="1"/>
  <c r="K7727" i="1"/>
  <c r="L7727" i="1"/>
  <c r="A7728" i="1"/>
  <c r="B7728" i="1"/>
  <c r="C7728" i="1"/>
  <c r="D7728" i="1"/>
  <c r="E7728" i="1"/>
  <c r="F7728" i="1"/>
  <c r="G7728" i="1"/>
  <c r="H7728" i="1"/>
  <c r="I7728" i="1"/>
  <c r="J7728" i="1"/>
  <c r="K7728" i="1"/>
  <c r="L7728" i="1"/>
  <c r="A7729" i="1"/>
  <c r="B7729" i="1"/>
  <c r="C7729" i="1"/>
  <c r="D7729" i="1"/>
  <c r="E7729" i="1"/>
  <c r="F7729" i="1"/>
  <c r="G7729" i="1"/>
  <c r="H7729" i="1"/>
  <c r="I7729" i="1"/>
  <c r="J7729" i="1"/>
  <c r="K7729" i="1"/>
  <c r="L7729" i="1"/>
  <c r="A7730" i="1"/>
  <c r="B7730" i="1"/>
  <c r="C7730" i="1"/>
  <c r="D7730" i="1"/>
  <c r="E7730" i="1"/>
  <c r="F7730" i="1"/>
  <c r="G7730" i="1"/>
  <c r="H7730" i="1"/>
  <c r="I7730" i="1"/>
  <c r="J7730" i="1"/>
  <c r="K7730" i="1"/>
  <c r="L7730" i="1"/>
  <c r="A7731" i="1"/>
  <c r="B7731" i="1"/>
  <c r="C7731" i="1"/>
  <c r="D7731" i="1"/>
  <c r="E7731" i="1"/>
  <c r="F7731" i="1"/>
  <c r="G7731" i="1"/>
  <c r="H7731" i="1"/>
  <c r="I7731" i="1"/>
  <c r="J7731" i="1"/>
  <c r="K7731" i="1"/>
  <c r="L7731" i="1"/>
  <c r="A7732" i="1"/>
  <c r="B7732" i="1"/>
  <c r="C7732" i="1"/>
  <c r="D7732" i="1"/>
  <c r="E7732" i="1"/>
  <c r="F7732" i="1"/>
  <c r="G7732" i="1"/>
  <c r="H7732" i="1"/>
  <c r="I7732" i="1"/>
  <c r="J7732" i="1"/>
  <c r="K7732" i="1"/>
  <c r="L7732" i="1"/>
  <c r="A7733" i="1"/>
  <c r="B7733" i="1"/>
  <c r="C7733" i="1"/>
  <c r="D7733" i="1"/>
  <c r="E7733" i="1"/>
  <c r="F7733" i="1"/>
  <c r="G7733" i="1"/>
  <c r="H7733" i="1"/>
  <c r="I7733" i="1"/>
  <c r="J7733" i="1"/>
  <c r="K7733" i="1"/>
  <c r="L7733" i="1"/>
  <c r="A7734" i="1"/>
  <c r="B7734" i="1"/>
  <c r="C7734" i="1"/>
  <c r="D7734" i="1"/>
  <c r="E7734" i="1"/>
  <c r="F7734" i="1"/>
  <c r="G7734" i="1"/>
  <c r="H7734" i="1"/>
  <c r="I7734" i="1"/>
  <c r="J7734" i="1"/>
  <c r="K7734" i="1"/>
  <c r="L7734" i="1"/>
  <c r="A7735" i="1"/>
  <c r="B7735" i="1"/>
  <c r="C7735" i="1"/>
  <c r="D7735" i="1"/>
  <c r="E7735" i="1"/>
  <c r="F7735" i="1"/>
  <c r="G7735" i="1"/>
  <c r="H7735" i="1"/>
  <c r="I7735" i="1"/>
  <c r="J7735" i="1"/>
  <c r="K7735" i="1"/>
  <c r="L7735" i="1"/>
  <c r="A7736" i="1"/>
  <c r="B7736" i="1"/>
  <c r="C7736" i="1"/>
  <c r="D7736" i="1"/>
  <c r="E7736" i="1"/>
  <c r="F7736" i="1"/>
  <c r="G7736" i="1"/>
  <c r="H7736" i="1"/>
  <c r="I7736" i="1"/>
  <c r="J7736" i="1"/>
  <c r="K7736" i="1"/>
  <c r="L7736" i="1"/>
  <c r="A7737" i="1"/>
  <c r="B7737" i="1"/>
  <c r="C7737" i="1"/>
  <c r="D7737" i="1"/>
  <c r="E7737" i="1"/>
  <c r="F7737" i="1"/>
  <c r="G7737" i="1"/>
  <c r="H7737" i="1"/>
  <c r="I7737" i="1"/>
  <c r="J7737" i="1"/>
  <c r="K7737" i="1"/>
  <c r="L7737" i="1"/>
  <c r="A7738" i="1"/>
  <c r="B7738" i="1"/>
  <c r="C7738" i="1"/>
  <c r="D7738" i="1"/>
  <c r="E7738" i="1"/>
  <c r="F7738" i="1"/>
  <c r="G7738" i="1"/>
  <c r="H7738" i="1"/>
  <c r="I7738" i="1"/>
  <c r="J7738" i="1"/>
  <c r="K7738" i="1"/>
  <c r="L7738" i="1"/>
  <c r="A7739" i="1"/>
  <c r="B7739" i="1"/>
  <c r="C7739" i="1"/>
  <c r="D7739" i="1"/>
  <c r="E7739" i="1"/>
  <c r="F7739" i="1"/>
  <c r="G7739" i="1"/>
  <c r="H7739" i="1"/>
  <c r="I7739" i="1"/>
  <c r="J7739" i="1"/>
  <c r="K7739" i="1"/>
  <c r="L7739" i="1"/>
  <c r="A7740" i="1"/>
  <c r="B7740" i="1"/>
  <c r="C7740" i="1"/>
  <c r="D7740" i="1"/>
  <c r="E7740" i="1"/>
  <c r="F7740" i="1"/>
  <c r="G7740" i="1"/>
  <c r="H7740" i="1"/>
  <c r="I7740" i="1"/>
  <c r="J7740" i="1"/>
  <c r="K7740" i="1"/>
  <c r="L7740" i="1"/>
  <c r="A7741" i="1"/>
  <c r="B7741" i="1"/>
  <c r="C7741" i="1"/>
  <c r="D7741" i="1"/>
  <c r="E7741" i="1"/>
  <c r="F7741" i="1"/>
  <c r="G7741" i="1"/>
  <c r="H7741" i="1"/>
  <c r="I7741" i="1"/>
  <c r="J7741" i="1"/>
  <c r="K7741" i="1"/>
  <c r="L7741" i="1"/>
  <c r="A7742" i="1"/>
  <c r="B7742" i="1"/>
  <c r="C7742" i="1"/>
  <c r="D7742" i="1"/>
  <c r="E7742" i="1"/>
  <c r="F7742" i="1"/>
  <c r="G7742" i="1"/>
  <c r="H7742" i="1"/>
  <c r="I7742" i="1"/>
  <c r="J7742" i="1"/>
  <c r="K7742" i="1"/>
  <c r="L7742" i="1"/>
  <c r="A7743" i="1"/>
  <c r="B7743" i="1"/>
  <c r="C7743" i="1"/>
  <c r="D7743" i="1"/>
  <c r="E7743" i="1"/>
  <c r="F7743" i="1"/>
  <c r="G7743" i="1"/>
  <c r="H7743" i="1"/>
  <c r="I7743" i="1"/>
  <c r="J7743" i="1"/>
  <c r="K7743" i="1"/>
  <c r="L7743" i="1"/>
  <c r="A7744" i="1"/>
  <c r="B7744" i="1"/>
  <c r="C7744" i="1"/>
  <c r="D7744" i="1"/>
  <c r="E7744" i="1"/>
  <c r="F7744" i="1"/>
  <c r="G7744" i="1"/>
  <c r="H7744" i="1"/>
  <c r="I7744" i="1"/>
  <c r="J7744" i="1"/>
  <c r="K7744" i="1"/>
  <c r="L7744" i="1"/>
  <c r="A7745" i="1"/>
  <c r="B7745" i="1"/>
  <c r="C7745" i="1"/>
  <c r="D7745" i="1"/>
  <c r="E7745" i="1"/>
  <c r="F7745" i="1"/>
  <c r="G7745" i="1"/>
  <c r="H7745" i="1"/>
  <c r="I7745" i="1"/>
  <c r="J7745" i="1"/>
  <c r="K7745" i="1"/>
  <c r="L7745" i="1"/>
  <c r="A7746" i="1"/>
  <c r="B7746" i="1"/>
  <c r="C7746" i="1"/>
  <c r="D7746" i="1"/>
  <c r="E7746" i="1"/>
  <c r="F7746" i="1"/>
  <c r="G7746" i="1"/>
  <c r="H7746" i="1"/>
  <c r="I7746" i="1"/>
  <c r="J7746" i="1"/>
  <c r="K7746" i="1"/>
  <c r="L7746" i="1"/>
  <c r="A7747" i="1"/>
  <c r="B7747" i="1"/>
  <c r="C7747" i="1"/>
  <c r="D7747" i="1"/>
  <c r="E7747" i="1"/>
  <c r="F7747" i="1"/>
  <c r="G7747" i="1"/>
  <c r="H7747" i="1"/>
  <c r="I7747" i="1"/>
  <c r="J7747" i="1"/>
  <c r="K7747" i="1"/>
  <c r="L7747" i="1"/>
  <c r="A7748" i="1"/>
  <c r="B7748" i="1"/>
  <c r="C7748" i="1"/>
  <c r="D7748" i="1"/>
  <c r="E7748" i="1"/>
  <c r="F7748" i="1"/>
  <c r="G7748" i="1"/>
  <c r="H7748" i="1"/>
  <c r="I7748" i="1"/>
  <c r="J7748" i="1"/>
  <c r="K7748" i="1"/>
  <c r="L7748" i="1"/>
  <c r="A7749" i="1"/>
  <c r="B7749" i="1"/>
  <c r="C7749" i="1"/>
  <c r="D7749" i="1"/>
  <c r="E7749" i="1"/>
  <c r="F7749" i="1"/>
  <c r="G7749" i="1"/>
  <c r="H7749" i="1"/>
  <c r="I7749" i="1"/>
  <c r="J7749" i="1"/>
  <c r="K7749" i="1"/>
  <c r="L7749" i="1"/>
  <c r="A7750" i="1"/>
  <c r="B7750" i="1"/>
  <c r="C7750" i="1"/>
  <c r="D7750" i="1"/>
  <c r="E7750" i="1"/>
  <c r="F7750" i="1"/>
  <c r="G7750" i="1"/>
  <c r="H7750" i="1"/>
  <c r="I7750" i="1"/>
  <c r="J7750" i="1"/>
  <c r="K7750" i="1"/>
  <c r="L7750" i="1"/>
  <c r="A7751" i="1"/>
  <c r="B7751" i="1"/>
  <c r="C7751" i="1"/>
  <c r="D7751" i="1"/>
  <c r="E7751" i="1"/>
  <c r="F7751" i="1"/>
  <c r="G7751" i="1"/>
  <c r="H7751" i="1"/>
  <c r="I7751" i="1"/>
  <c r="J7751" i="1"/>
  <c r="K7751" i="1"/>
  <c r="L7751" i="1"/>
  <c r="A7752" i="1"/>
  <c r="B7752" i="1"/>
  <c r="C7752" i="1"/>
  <c r="D7752" i="1"/>
  <c r="E7752" i="1"/>
  <c r="F7752" i="1"/>
  <c r="G7752" i="1"/>
  <c r="H7752" i="1"/>
  <c r="I7752" i="1"/>
  <c r="J7752" i="1"/>
  <c r="K7752" i="1"/>
  <c r="L7752" i="1"/>
  <c r="A7753" i="1"/>
  <c r="B7753" i="1"/>
  <c r="C7753" i="1"/>
  <c r="D7753" i="1"/>
  <c r="E7753" i="1"/>
  <c r="F7753" i="1"/>
  <c r="G7753" i="1"/>
  <c r="H7753" i="1"/>
  <c r="I7753" i="1"/>
  <c r="J7753" i="1"/>
  <c r="K7753" i="1"/>
  <c r="L7753" i="1"/>
  <c r="A7754" i="1"/>
  <c r="B7754" i="1"/>
  <c r="C7754" i="1"/>
  <c r="D7754" i="1"/>
  <c r="E7754" i="1"/>
  <c r="F7754" i="1"/>
  <c r="G7754" i="1"/>
  <c r="H7754" i="1"/>
  <c r="I7754" i="1"/>
  <c r="J7754" i="1"/>
  <c r="K7754" i="1"/>
  <c r="L7754" i="1"/>
  <c r="A7755" i="1"/>
  <c r="B7755" i="1"/>
  <c r="C7755" i="1"/>
  <c r="D7755" i="1"/>
  <c r="E7755" i="1"/>
  <c r="F7755" i="1"/>
  <c r="G7755" i="1"/>
  <c r="H7755" i="1"/>
  <c r="I7755" i="1"/>
  <c r="J7755" i="1"/>
  <c r="K7755" i="1"/>
  <c r="L7755" i="1"/>
  <c r="A7756" i="1"/>
  <c r="B7756" i="1"/>
  <c r="C7756" i="1"/>
  <c r="D7756" i="1"/>
  <c r="E7756" i="1"/>
  <c r="F7756" i="1"/>
  <c r="G7756" i="1"/>
  <c r="H7756" i="1"/>
  <c r="I7756" i="1"/>
  <c r="J7756" i="1"/>
  <c r="K7756" i="1"/>
  <c r="L7756" i="1"/>
  <c r="A7757" i="1"/>
  <c r="B7757" i="1"/>
  <c r="C7757" i="1"/>
  <c r="D7757" i="1"/>
  <c r="E7757" i="1"/>
  <c r="F7757" i="1"/>
  <c r="G7757" i="1"/>
  <c r="H7757" i="1"/>
  <c r="I7757" i="1"/>
  <c r="J7757" i="1"/>
  <c r="K7757" i="1"/>
  <c r="L7757" i="1"/>
  <c r="A7758" i="1"/>
  <c r="B7758" i="1"/>
  <c r="C7758" i="1"/>
  <c r="D7758" i="1"/>
  <c r="E7758" i="1"/>
  <c r="F7758" i="1"/>
  <c r="G7758" i="1"/>
  <c r="H7758" i="1"/>
  <c r="I7758" i="1"/>
  <c r="J7758" i="1"/>
  <c r="K7758" i="1"/>
  <c r="L7758" i="1"/>
  <c r="A7759" i="1"/>
  <c r="B7759" i="1"/>
  <c r="C7759" i="1"/>
  <c r="D7759" i="1"/>
  <c r="E7759" i="1"/>
  <c r="F7759" i="1"/>
  <c r="G7759" i="1"/>
  <c r="H7759" i="1"/>
  <c r="I7759" i="1"/>
  <c r="J7759" i="1"/>
  <c r="K7759" i="1"/>
  <c r="L7759" i="1"/>
  <c r="A7760" i="1"/>
  <c r="B7760" i="1"/>
  <c r="C7760" i="1"/>
  <c r="D7760" i="1"/>
  <c r="E7760" i="1"/>
  <c r="F7760" i="1"/>
  <c r="G7760" i="1"/>
  <c r="H7760" i="1"/>
  <c r="I7760" i="1"/>
  <c r="J7760" i="1"/>
  <c r="K7760" i="1"/>
  <c r="L7760" i="1"/>
  <c r="A7761" i="1"/>
  <c r="B7761" i="1"/>
  <c r="C7761" i="1"/>
  <c r="D7761" i="1"/>
  <c r="E7761" i="1"/>
  <c r="F7761" i="1"/>
  <c r="G7761" i="1"/>
  <c r="H7761" i="1"/>
  <c r="I7761" i="1"/>
  <c r="J7761" i="1"/>
  <c r="K7761" i="1"/>
  <c r="L7761" i="1"/>
  <c r="A7762" i="1"/>
  <c r="B7762" i="1"/>
  <c r="C7762" i="1"/>
  <c r="D7762" i="1"/>
  <c r="E7762" i="1"/>
  <c r="F7762" i="1"/>
  <c r="G7762" i="1"/>
  <c r="H7762" i="1"/>
  <c r="I7762" i="1"/>
  <c r="J7762" i="1"/>
  <c r="K7762" i="1"/>
  <c r="L7762" i="1"/>
  <c r="A7763" i="1"/>
  <c r="B7763" i="1"/>
  <c r="C7763" i="1"/>
  <c r="D7763" i="1"/>
  <c r="E7763" i="1"/>
  <c r="F7763" i="1"/>
  <c r="G7763" i="1"/>
  <c r="H7763" i="1"/>
  <c r="I7763" i="1"/>
  <c r="J7763" i="1"/>
  <c r="K7763" i="1"/>
  <c r="L7763" i="1"/>
  <c r="A7764" i="1"/>
  <c r="B7764" i="1"/>
  <c r="C7764" i="1"/>
  <c r="D7764" i="1"/>
  <c r="E7764" i="1"/>
  <c r="F7764" i="1"/>
  <c r="G7764" i="1"/>
  <c r="H7764" i="1"/>
  <c r="I7764" i="1"/>
  <c r="J7764" i="1"/>
  <c r="K7764" i="1"/>
  <c r="L7764" i="1"/>
  <c r="A7765" i="1"/>
  <c r="B7765" i="1"/>
  <c r="C7765" i="1"/>
  <c r="D7765" i="1"/>
  <c r="E7765" i="1"/>
  <c r="F7765" i="1"/>
  <c r="G7765" i="1"/>
  <c r="H7765" i="1"/>
  <c r="I7765" i="1"/>
  <c r="J7765" i="1"/>
  <c r="K7765" i="1"/>
  <c r="L7765" i="1"/>
  <c r="A7766" i="1"/>
  <c r="B7766" i="1"/>
  <c r="C7766" i="1"/>
  <c r="D7766" i="1"/>
  <c r="E7766" i="1"/>
  <c r="F7766" i="1"/>
  <c r="G7766" i="1"/>
  <c r="H7766" i="1"/>
  <c r="I7766" i="1"/>
  <c r="J7766" i="1"/>
  <c r="K7766" i="1"/>
  <c r="L7766" i="1"/>
  <c r="A7767" i="1"/>
  <c r="B7767" i="1"/>
  <c r="C7767" i="1"/>
  <c r="D7767" i="1"/>
  <c r="E7767" i="1"/>
  <c r="F7767" i="1"/>
  <c r="G7767" i="1"/>
  <c r="H7767" i="1"/>
  <c r="I7767" i="1"/>
  <c r="J7767" i="1"/>
  <c r="K7767" i="1"/>
  <c r="L7767" i="1"/>
  <c r="A7768" i="1"/>
  <c r="B7768" i="1"/>
  <c r="C7768" i="1"/>
  <c r="D7768" i="1"/>
  <c r="E7768" i="1"/>
  <c r="F7768" i="1"/>
  <c r="G7768" i="1"/>
  <c r="H7768" i="1"/>
  <c r="I7768" i="1"/>
  <c r="J7768" i="1"/>
  <c r="K7768" i="1"/>
  <c r="L7768" i="1"/>
  <c r="A7769" i="1"/>
  <c r="B7769" i="1"/>
  <c r="C7769" i="1"/>
  <c r="D7769" i="1"/>
  <c r="E7769" i="1"/>
  <c r="F7769" i="1"/>
  <c r="G7769" i="1"/>
  <c r="H7769" i="1"/>
  <c r="I7769" i="1"/>
  <c r="J7769" i="1"/>
  <c r="K7769" i="1"/>
  <c r="L7769" i="1"/>
  <c r="A7770" i="1"/>
  <c r="B7770" i="1"/>
  <c r="C7770" i="1"/>
  <c r="D7770" i="1"/>
  <c r="E7770" i="1"/>
  <c r="F7770" i="1"/>
  <c r="G7770" i="1"/>
  <c r="H7770" i="1"/>
  <c r="I7770" i="1"/>
  <c r="J7770" i="1"/>
  <c r="K7770" i="1"/>
  <c r="L7770" i="1"/>
  <c r="A7771" i="1"/>
  <c r="B7771" i="1"/>
  <c r="C7771" i="1"/>
  <c r="D7771" i="1"/>
  <c r="E7771" i="1"/>
  <c r="F7771" i="1"/>
  <c r="G7771" i="1"/>
  <c r="H7771" i="1"/>
  <c r="I7771" i="1"/>
  <c r="J7771" i="1"/>
  <c r="K7771" i="1"/>
  <c r="L7771" i="1"/>
  <c r="A7772" i="1"/>
  <c r="B7772" i="1"/>
  <c r="C7772" i="1"/>
  <c r="D7772" i="1"/>
  <c r="E7772" i="1"/>
  <c r="F7772" i="1"/>
  <c r="G7772" i="1"/>
  <c r="H7772" i="1"/>
  <c r="I7772" i="1"/>
  <c r="J7772" i="1"/>
  <c r="K7772" i="1"/>
  <c r="L7772" i="1"/>
  <c r="A7773" i="1"/>
  <c r="B7773" i="1"/>
  <c r="C7773" i="1"/>
  <c r="D7773" i="1"/>
  <c r="E7773" i="1"/>
  <c r="F7773" i="1"/>
  <c r="G7773" i="1"/>
  <c r="H7773" i="1"/>
  <c r="I7773" i="1"/>
  <c r="J7773" i="1"/>
  <c r="K7773" i="1"/>
  <c r="L7773" i="1"/>
  <c r="A7774" i="1"/>
  <c r="B7774" i="1"/>
  <c r="C7774" i="1"/>
  <c r="D7774" i="1"/>
  <c r="E7774" i="1"/>
  <c r="F7774" i="1"/>
  <c r="G7774" i="1"/>
  <c r="H7774" i="1"/>
  <c r="I7774" i="1"/>
  <c r="J7774" i="1"/>
  <c r="K7774" i="1"/>
  <c r="L7774" i="1"/>
  <c r="A7775" i="1"/>
  <c r="B7775" i="1"/>
  <c r="C7775" i="1"/>
  <c r="D7775" i="1"/>
  <c r="E7775" i="1"/>
  <c r="F7775" i="1"/>
  <c r="G7775" i="1"/>
  <c r="H7775" i="1"/>
  <c r="I7775" i="1"/>
  <c r="J7775" i="1"/>
  <c r="K7775" i="1"/>
  <c r="L7775" i="1"/>
  <c r="A7776" i="1"/>
  <c r="B7776" i="1"/>
  <c r="C7776" i="1"/>
  <c r="D7776" i="1"/>
  <c r="E7776" i="1"/>
  <c r="F7776" i="1"/>
  <c r="G7776" i="1"/>
  <c r="H7776" i="1"/>
  <c r="I7776" i="1"/>
  <c r="J7776" i="1"/>
  <c r="K7776" i="1"/>
  <c r="L7776" i="1"/>
  <c r="A7777" i="1"/>
  <c r="B7777" i="1"/>
  <c r="C7777" i="1"/>
  <c r="D7777" i="1"/>
  <c r="E7777" i="1"/>
  <c r="F7777" i="1"/>
  <c r="G7777" i="1"/>
  <c r="H7777" i="1"/>
  <c r="I7777" i="1"/>
  <c r="J7777" i="1"/>
  <c r="K7777" i="1"/>
  <c r="L7777" i="1"/>
  <c r="A7778" i="1"/>
  <c r="B7778" i="1"/>
  <c r="C7778" i="1"/>
  <c r="D7778" i="1"/>
  <c r="E7778" i="1"/>
  <c r="F7778" i="1"/>
  <c r="G7778" i="1"/>
  <c r="H7778" i="1"/>
  <c r="I7778" i="1"/>
  <c r="J7778" i="1"/>
  <c r="K7778" i="1"/>
  <c r="L7778" i="1"/>
  <c r="A7779" i="1"/>
  <c r="B7779" i="1"/>
  <c r="C7779" i="1"/>
  <c r="D7779" i="1"/>
  <c r="E7779" i="1"/>
  <c r="F7779" i="1"/>
  <c r="G7779" i="1"/>
  <c r="H7779" i="1"/>
  <c r="I7779" i="1"/>
  <c r="J7779" i="1"/>
  <c r="K7779" i="1"/>
  <c r="L7779" i="1"/>
  <c r="A7780" i="1"/>
  <c r="B7780" i="1"/>
  <c r="C7780" i="1"/>
  <c r="D7780" i="1"/>
  <c r="E7780" i="1"/>
  <c r="F7780" i="1"/>
  <c r="G7780" i="1"/>
  <c r="H7780" i="1"/>
  <c r="I7780" i="1"/>
  <c r="J7780" i="1"/>
  <c r="K7780" i="1"/>
  <c r="L7780" i="1"/>
  <c r="A7781" i="1"/>
  <c r="B7781" i="1"/>
  <c r="C7781" i="1"/>
  <c r="D7781" i="1"/>
  <c r="E7781" i="1"/>
  <c r="F7781" i="1"/>
  <c r="G7781" i="1"/>
  <c r="H7781" i="1"/>
  <c r="I7781" i="1"/>
  <c r="J7781" i="1"/>
  <c r="K7781" i="1"/>
  <c r="L7781" i="1"/>
  <c r="A7782" i="1"/>
  <c r="B7782" i="1"/>
  <c r="C7782" i="1"/>
  <c r="D7782" i="1"/>
  <c r="E7782" i="1"/>
  <c r="F7782" i="1"/>
  <c r="G7782" i="1"/>
  <c r="H7782" i="1"/>
  <c r="I7782" i="1"/>
  <c r="J7782" i="1"/>
  <c r="K7782" i="1"/>
  <c r="L7782" i="1"/>
  <c r="A7783" i="1"/>
  <c r="B7783" i="1"/>
  <c r="C7783" i="1"/>
  <c r="D7783" i="1"/>
  <c r="E7783" i="1"/>
  <c r="F7783" i="1"/>
  <c r="G7783" i="1"/>
  <c r="H7783" i="1"/>
  <c r="I7783" i="1"/>
  <c r="J7783" i="1"/>
  <c r="K7783" i="1"/>
  <c r="L7783" i="1"/>
  <c r="A7784" i="1"/>
  <c r="B7784" i="1"/>
  <c r="C7784" i="1"/>
  <c r="D7784" i="1"/>
  <c r="E7784" i="1"/>
  <c r="F7784" i="1"/>
  <c r="G7784" i="1"/>
  <c r="H7784" i="1"/>
  <c r="I7784" i="1"/>
  <c r="J7784" i="1"/>
  <c r="K7784" i="1"/>
  <c r="L7784" i="1"/>
  <c r="A7785" i="1"/>
  <c r="B7785" i="1"/>
  <c r="C7785" i="1"/>
  <c r="D7785" i="1"/>
  <c r="E7785" i="1"/>
  <c r="F7785" i="1"/>
  <c r="G7785" i="1"/>
  <c r="H7785" i="1"/>
  <c r="I7785" i="1"/>
  <c r="J7785" i="1"/>
  <c r="K7785" i="1"/>
  <c r="L7785" i="1"/>
  <c r="A7786" i="1"/>
  <c r="B7786" i="1"/>
  <c r="C7786" i="1"/>
  <c r="D7786" i="1"/>
  <c r="E7786" i="1"/>
  <c r="F7786" i="1"/>
  <c r="G7786" i="1"/>
  <c r="H7786" i="1"/>
  <c r="I7786" i="1"/>
  <c r="J7786" i="1"/>
  <c r="K7786" i="1"/>
  <c r="L7786" i="1"/>
  <c r="A7787" i="1"/>
  <c r="B7787" i="1"/>
  <c r="C7787" i="1"/>
  <c r="D7787" i="1"/>
  <c r="E7787" i="1"/>
  <c r="F7787" i="1"/>
  <c r="G7787" i="1"/>
  <c r="H7787" i="1"/>
  <c r="I7787" i="1"/>
  <c r="J7787" i="1"/>
  <c r="K7787" i="1"/>
  <c r="L7787" i="1"/>
  <c r="A7788" i="1"/>
  <c r="B7788" i="1"/>
  <c r="C7788" i="1"/>
  <c r="D7788" i="1"/>
  <c r="E7788" i="1"/>
  <c r="F7788" i="1"/>
  <c r="G7788" i="1"/>
  <c r="H7788" i="1"/>
  <c r="I7788" i="1"/>
  <c r="J7788" i="1"/>
  <c r="K7788" i="1"/>
  <c r="L7788" i="1"/>
  <c r="A7789" i="1"/>
  <c r="B7789" i="1"/>
  <c r="C7789" i="1"/>
  <c r="D7789" i="1"/>
  <c r="E7789" i="1"/>
  <c r="F7789" i="1"/>
  <c r="G7789" i="1"/>
  <c r="H7789" i="1"/>
  <c r="I7789" i="1"/>
  <c r="J7789" i="1"/>
  <c r="K7789" i="1"/>
  <c r="L7789" i="1"/>
  <c r="A7790" i="1"/>
  <c r="B7790" i="1"/>
  <c r="C7790" i="1"/>
  <c r="D7790" i="1"/>
  <c r="E7790" i="1"/>
  <c r="F7790" i="1"/>
  <c r="G7790" i="1"/>
  <c r="H7790" i="1"/>
  <c r="I7790" i="1"/>
  <c r="J7790" i="1"/>
  <c r="K7790" i="1"/>
  <c r="L7790" i="1"/>
  <c r="A7791" i="1"/>
  <c r="B7791" i="1"/>
  <c r="C7791" i="1"/>
  <c r="D7791" i="1"/>
  <c r="E7791" i="1"/>
  <c r="F7791" i="1"/>
  <c r="G7791" i="1"/>
  <c r="H7791" i="1"/>
  <c r="I7791" i="1"/>
  <c r="J7791" i="1"/>
  <c r="K7791" i="1"/>
  <c r="L7791" i="1"/>
  <c r="A7792" i="1"/>
  <c r="B7792" i="1"/>
  <c r="C7792" i="1"/>
  <c r="D7792" i="1"/>
  <c r="E7792" i="1"/>
  <c r="F7792" i="1"/>
  <c r="G7792" i="1"/>
  <c r="H7792" i="1"/>
  <c r="I7792" i="1"/>
  <c r="J7792" i="1"/>
  <c r="K7792" i="1"/>
  <c r="L7792" i="1"/>
  <c r="A7793" i="1"/>
  <c r="B7793" i="1"/>
  <c r="C7793" i="1"/>
  <c r="D7793" i="1"/>
  <c r="E7793" i="1"/>
  <c r="F7793" i="1"/>
  <c r="G7793" i="1"/>
  <c r="H7793" i="1"/>
  <c r="I7793" i="1"/>
  <c r="J7793" i="1"/>
  <c r="K7793" i="1"/>
  <c r="L7793" i="1"/>
  <c r="A7794" i="1"/>
  <c r="B7794" i="1"/>
  <c r="C7794" i="1"/>
  <c r="D7794" i="1"/>
  <c r="E7794" i="1"/>
  <c r="F7794" i="1"/>
  <c r="G7794" i="1"/>
  <c r="H7794" i="1"/>
  <c r="I7794" i="1"/>
  <c r="J7794" i="1"/>
  <c r="K7794" i="1"/>
  <c r="L7794" i="1"/>
  <c r="A7795" i="1"/>
  <c r="B7795" i="1"/>
  <c r="C7795" i="1"/>
  <c r="D7795" i="1"/>
  <c r="E7795" i="1"/>
  <c r="F7795" i="1"/>
  <c r="G7795" i="1"/>
  <c r="H7795" i="1"/>
  <c r="I7795" i="1"/>
  <c r="J7795" i="1"/>
  <c r="K7795" i="1"/>
  <c r="L7795" i="1"/>
  <c r="A7796" i="1"/>
  <c r="B7796" i="1"/>
  <c r="C7796" i="1"/>
  <c r="D7796" i="1"/>
  <c r="E7796" i="1"/>
  <c r="F7796" i="1"/>
  <c r="G7796" i="1"/>
  <c r="H7796" i="1"/>
  <c r="I7796" i="1"/>
  <c r="J7796" i="1"/>
  <c r="K7796" i="1"/>
  <c r="L7796" i="1"/>
  <c r="A7797" i="1"/>
  <c r="B7797" i="1"/>
  <c r="C7797" i="1"/>
  <c r="D7797" i="1"/>
  <c r="E7797" i="1"/>
  <c r="F7797" i="1"/>
  <c r="G7797" i="1"/>
  <c r="H7797" i="1"/>
  <c r="I7797" i="1"/>
  <c r="J7797" i="1"/>
  <c r="K7797" i="1"/>
  <c r="L7797" i="1"/>
  <c r="A7798" i="1"/>
  <c r="B7798" i="1"/>
  <c r="C7798" i="1"/>
  <c r="D7798" i="1"/>
  <c r="E7798" i="1"/>
  <c r="F7798" i="1"/>
  <c r="G7798" i="1"/>
  <c r="H7798" i="1"/>
  <c r="I7798" i="1"/>
  <c r="J7798" i="1"/>
  <c r="K7798" i="1"/>
  <c r="L7798" i="1"/>
  <c r="A7799" i="1"/>
  <c r="B7799" i="1"/>
  <c r="C7799" i="1"/>
  <c r="D7799" i="1"/>
  <c r="E7799" i="1"/>
  <c r="F7799" i="1"/>
  <c r="G7799" i="1"/>
  <c r="H7799" i="1"/>
  <c r="I7799" i="1"/>
  <c r="J7799" i="1"/>
  <c r="K7799" i="1"/>
  <c r="L7799" i="1"/>
  <c r="A7800" i="1"/>
  <c r="B7800" i="1"/>
  <c r="C7800" i="1"/>
  <c r="D7800" i="1"/>
  <c r="E7800" i="1"/>
  <c r="F7800" i="1"/>
  <c r="G7800" i="1"/>
  <c r="H7800" i="1"/>
  <c r="I7800" i="1"/>
  <c r="J7800" i="1"/>
  <c r="K7800" i="1"/>
  <c r="L7800" i="1"/>
  <c r="A7801" i="1"/>
  <c r="B7801" i="1"/>
  <c r="C7801" i="1"/>
  <c r="D7801" i="1"/>
  <c r="E7801" i="1"/>
  <c r="F7801" i="1"/>
  <c r="G7801" i="1"/>
  <c r="H7801" i="1"/>
  <c r="I7801" i="1"/>
  <c r="J7801" i="1"/>
  <c r="K7801" i="1"/>
  <c r="L7801" i="1"/>
  <c r="A7802" i="1"/>
  <c r="B7802" i="1"/>
  <c r="C7802" i="1"/>
  <c r="D7802" i="1"/>
  <c r="E7802" i="1"/>
  <c r="F7802" i="1"/>
  <c r="G7802" i="1"/>
  <c r="H7802" i="1"/>
  <c r="I7802" i="1"/>
  <c r="J7802" i="1"/>
  <c r="K7802" i="1"/>
  <c r="L7802" i="1"/>
  <c r="A7803" i="1"/>
  <c r="B7803" i="1"/>
  <c r="C7803" i="1"/>
  <c r="D7803" i="1"/>
  <c r="E7803" i="1"/>
  <c r="F7803" i="1"/>
  <c r="G7803" i="1"/>
  <c r="H7803" i="1"/>
  <c r="I7803" i="1"/>
  <c r="J7803" i="1"/>
  <c r="K7803" i="1"/>
  <c r="L7803" i="1"/>
  <c r="A7804" i="1"/>
  <c r="B7804" i="1"/>
  <c r="C7804" i="1"/>
  <c r="D7804" i="1"/>
  <c r="E7804" i="1"/>
  <c r="F7804" i="1"/>
  <c r="G7804" i="1"/>
  <c r="H7804" i="1"/>
  <c r="I7804" i="1"/>
  <c r="J7804" i="1"/>
  <c r="K7804" i="1"/>
  <c r="L7804" i="1"/>
  <c r="A7805" i="1"/>
  <c r="B7805" i="1"/>
  <c r="C7805" i="1"/>
  <c r="D7805" i="1"/>
  <c r="E7805" i="1"/>
  <c r="F7805" i="1"/>
  <c r="G7805" i="1"/>
  <c r="H7805" i="1"/>
  <c r="I7805" i="1"/>
  <c r="J7805" i="1"/>
  <c r="K7805" i="1"/>
  <c r="L7805" i="1"/>
  <c r="A7806" i="1"/>
  <c r="B7806" i="1"/>
  <c r="C7806" i="1"/>
  <c r="D7806" i="1"/>
  <c r="E7806" i="1"/>
  <c r="F7806" i="1"/>
  <c r="G7806" i="1"/>
  <c r="H7806" i="1"/>
  <c r="I7806" i="1"/>
  <c r="J7806" i="1"/>
  <c r="K7806" i="1"/>
  <c r="L7806" i="1"/>
  <c r="A7807" i="1"/>
  <c r="B7807" i="1"/>
  <c r="C7807" i="1"/>
  <c r="D7807" i="1"/>
  <c r="E7807" i="1"/>
  <c r="F7807" i="1"/>
  <c r="G7807" i="1"/>
  <c r="H7807" i="1"/>
  <c r="I7807" i="1"/>
  <c r="J7807" i="1"/>
  <c r="K7807" i="1"/>
  <c r="L7807" i="1"/>
  <c r="A7808" i="1"/>
  <c r="B7808" i="1"/>
  <c r="C7808" i="1"/>
  <c r="D7808" i="1"/>
  <c r="E7808" i="1"/>
  <c r="F7808" i="1"/>
  <c r="G7808" i="1"/>
  <c r="H7808" i="1"/>
  <c r="I7808" i="1"/>
  <c r="J7808" i="1"/>
  <c r="K7808" i="1"/>
  <c r="L7808" i="1"/>
  <c r="A7809" i="1"/>
  <c r="B7809" i="1"/>
  <c r="C7809" i="1"/>
  <c r="D7809" i="1"/>
  <c r="E7809" i="1"/>
  <c r="F7809" i="1"/>
  <c r="G7809" i="1"/>
  <c r="H7809" i="1"/>
  <c r="I7809" i="1"/>
  <c r="J7809" i="1"/>
  <c r="K7809" i="1"/>
  <c r="L7809" i="1"/>
  <c r="A7810" i="1"/>
  <c r="B7810" i="1"/>
  <c r="C7810" i="1"/>
  <c r="D7810" i="1"/>
  <c r="E7810" i="1"/>
  <c r="F7810" i="1"/>
  <c r="G7810" i="1"/>
  <c r="H7810" i="1"/>
  <c r="I7810" i="1"/>
  <c r="J7810" i="1"/>
  <c r="K7810" i="1"/>
  <c r="L7810" i="1"/>
  <c r="A7811" i="1"/>
  <c r="B7811" i="1"/>
  <c r="C7811" i="1"/>
  <c r="D7811" i="1"/>
  <c r="E7811" i="1"/>
  <c r="F7811" i="1"/>
  <c r="G7811" i="1"/>
  <c r="H7811" i="1"/>
  <c r="I7811" i="1"/>
  <c r="J7811" i="1"/>
  <c r="K7811" i="1"/>
  <c r="L7811" i="1"/>
  <c r="A7812" i="1"/>
  <c r="B7812" i="1"/>
  <c r="C7812" i="1"/>
  <c r="D7812" i="1"/>
  <c r="E7812" i="1"/>
  <c r="F7812" i="1"/>
  <c r="G7812" i="1"/>
  <c r="H7812" i="1"/>
  <c r="I7812" i="1"/>
  <c r="J7812" i="1"/>
  <c r="K7812" i="1"/>
  <c r="L7812" i="1"/>
  <c r="A7813" i="1"/>
  <c r="B7813" i="1"/>
  <c r="C7813" i="1"/>
  <c r="D7813" i="1"/>
  <c r="E7813" i="1"/>
  <c r="F7813" i="1"/>
  <c r="G7813" i="1"/>
  <c r="H7813" i="1"/>
  <c r="I7813" i="1"/>
  <c r="J7813" i="1"/>
  <c r="K7813" i="1"/>
  <c r="L7813" i="1"/>
  <c r="A7814" i="1"/>
  <c r="B7814" i="1"/>
  <c r="C7814" i="1"/>
  <c r="D7814" i="1"/>
  <c r="E7814" i="1"/>
  <c r="F7814" i="1"/>
  <c r="G7814" i="1"/>
  <c r="H7814" i="1"/>
  <c r="I7814" i="1"/>
  <c r="J7814" i="1"/>
  <c r="K7814" i="1"/>
  <c r="L7814" i="1"/>
  <c r="A7815" i="1"/>
  <c r="B7815" i="1"/>
  <c r="C7815" i="1"/>
  <c r="D7815" i="1"/>
  <c r="E7815" i="1"/>
  <c r="F7815" i="1"/>
  <c r="G7815" i="1"/>
  <c r="H7815" i="1"/>
  <c r="I7815" i="1"/>
  <c r="J7815" i="1"/>
  <c r="K7815" i="1"/>
  <c r="L7815" i="1"/>
  <c r="A7816" i="1"/>
  <c r="B7816" i="1"/>
  <c r="C7816" i="1"/>
  <c r="D7816" i="1"/>
  <c r="E7816" i="1"/>
  <c r="F7816" i="1"/>
  <c r="G7816" i="1"/>
  <c r="H7816" i="1"/>
  <c r="I7816" i="1"/>
  <c r="J7816" i="1"/>
  <c r="K7816" i="1"/>
  <c r="L7816" i="1"/>
  <c r="A7817" i="1"/>
  <c r="B7817" i="1"/>
  <c r="C7817" i="1"/>
  <c r="D7817" i="1"/>
  <c r="E7817" i="1"/>
  <c r="F7817" i="1"/>
  <c r="G7817" i="1"/>
  <c r="H7817" i="1"/>
  <c r="I7817" i="1"/>
  <c r="J7817" i="1"/>
  <c r="K7817" i="1"/>
  <c r="L7817" i="1"/>
  <c r="A7818" i="1"/>
  <c r="B7818" i="1"/>
  <c r="C7818" i="1"/>
  <c r="D7818" i="1"/>
  <c r="E7818" i="1"/>
  <c r="F7818" i="1"/>
  <c r="G7818" i="1"/>
  <c r="H7818" i="1"/>
  <c r="I7818" i="1"/>
  <c r="J7818" i="1"/>
  <c r="K7818" i="1"/>
  <c r="L7818" i="1"/>
  <c r="A7819" i="1"/>
  <c r="B7819" i="1"/>
  <c r="C7819" i="1"/>
  <c r="D7819" i="1"/>
  <c r="E7819" i="1"/>
  <c r="F7819" i="1"/>
  <c r="G7819" i="1"/>
  <c r="H7819" i="1"/>
  <c r="I7819" i="1"/>
  <c r="J7819" i="1"/>
  <c r="K7819" i="1"/>
  <c r="L7819" i="1"/>
  <c r="A7820" i="1"/>
  <c r="B7820" i="1"/>
  <c r="C7820" i="1"/>
  <c r="D7820" i="1"/>
  <c r="E7820" i="1"/>
  <c r="F7820" i="1"/>
  <c r="G7820" i="1"/>
  <c r="H7820" i="1"/>
  <c r="I7820" i="1"/>
  <c r="J7820" i="1"/>
  <c r="K7820" i="1"/>
  <c r="L7820" i="1"/>
  <c r="A7821" i="1"/>
  <c r="B7821" i="1"/>
  <c r="C7821" i="1"/>
  <c r="D7821" i="1"/>
  <c r="E7821" i="1"/>
  <c r="F7821" i="1"/>
  <c r="G7821" i="1"/>
  <c r="H7821" i="1"/>
  <c r="I7821" i="1"/>
  <c r="J7821" i="1"/>
  <c r="K7821" i="1"/>
  <c r="L7821" i="1"/>
  <c r="A7822" i="1"/>
  <c r="B7822" i="1"/>
  <c r="C7822" i="1"/>
  <c r="D7822" i="1"/>
  <c r="E7822" i="1"/>
  <c r="F7822" i="1"/>
  <c r="G7822" i="1"/>
  <c r="H7822" i="1"/>
  <c r="I7822" i="1"/>
  <c r="J7822" i="1"/>
  <c r="K7822" i="1"/>
  <c r="L7822" i="1"/>
  <c r="A7823" i="1"/>
  <c r="B7823" i="1"/>
  <c r="C7823" i="1"/>
  <c r="D7823" i="1"/>
  <c r="E7823" i="1"/>
  <c r="F7823" i="1"/>
  <c r="G7823" i="1"/>
  <c r="H7823" i="1"/>
  <c r="I7823" i="1"/>
  <c r="J7823" i="1"/>
  <c r="K7823" i="1"/>
  <c r="L7823" i="1"/>
  <c r="A7824" i="1"/>
  <c r="B7824" i="1"/>
  <c r="C7824" i="1"/>
  <c r="D7824" i="1"/>
  <c r="E7824" i="1"/>
  <c r="F7824" i="1"/>
  <c r="G7824" i="1"/>
  <c r="H7824" i="1"/>
  <c r="I7824" i="1"/>
  <c r="J7824" i="1"/>
  <c r="K7824" i="1"/>
  <c r="L7824" i="1"/>
  <c r="A7825" i="1"/>
  <c r="B7825" i="1"/>
  <c r="C7825" i="1"/>
  <c r="D7825" i="1"/>
  <c r="E7825" i="1"/>
  <c r="F7825" i="1"/>
  <c r="G7825" i="1"/>
  <c r="H7825" i="1"/>
  <c r="I7825" i="1"/>
  <c r="J7825" i="1"/>
  <c r="K7825" i="1"/>
  <c r="L7825" i="1"/>
  <c r="A7826" i="1"/>
  <c r="B7826" i="1"/>
  <c r="C7826" i="1"/>
  <c r="D7826" i="1"/>
  <c r="E7826" i="1"/>
  <c r="F7826" i="1"/>
  <c r="G7826" i="1"/>
  <c r="H7826" i="1"/>
  <c r="I7826" i="1"/>
  <c r="J7826" i="1"/>
  <c r="K7826" i="1"/>
  <c r="L7826" i="1"/>
  <c r="A7827" i="1"/>
  <c r="B7827" i="1"/>
  <c r="C7827" i="1"/>
  <c r="D7827" i="1"/>
  <c r="E7827" i="1"/>
  <c r="F7827" i="1"/>
  <c r="G7827" i="1"/>
  <c r="H7827" i="1"/>
  <c r="I7827" i="1"/>
  <c r="J7827" i="1"/>
  <c r="K7827" i="1"/>
  <c r="L7827" i="1"/>
  <c r="A7828" i="1"/>
  <c r="B7828" i="1"/>
  <c r="C7828" i="1"/>
  <c r="D7828" i="1"/>
  <c r="E7828" i="1"/>
  <c r="F7828" i="1"/>
  <c r="G7828" i="1"/>
  <c r="H7828" i="1"/>
  <c r="I7828" i="1"/>
  <c r="J7828" i="1"/>
  <c r="K7828" i="1"/>
  <c r="L7828" i="1"/>
  <c r="A7829" i="1"/>
  <c r="B7829" i="1"/>
  <c r="C7829" i="1"/>
  <c r="D7829" i="1"/>
  <c r="E7829" i="1"/>
  <c r="F7829" i="1"/>
  <c r="G7829" i="1"/>
  <c r="H7829" i="1"/>
  <c r="I7829" i="1"/>
  <c r="J7829" i="1"/>
  <c r="K7829" i="1"/>
  <c r="L7829" i="1"/>
  <c r="A7830" i="1"/>
  <c r="B7830" i="1"/>
  <c r="C7830" i="1"/>
  <c r="D7830" i="1"/>
  <c r="E7830" i="1"/>
  <c r="F7830" i="1"/>
  <c r="G7830" i="1"/>
  <c r="H7830" i="1"/>
  <c r="I7830" i="1"/>
  <c r="J7830" i="1"/>
  <c r="K7830" i="1"/>
  <c r="L7830" i="1"/>
  <c r="A7831" i="1"/>
  <c r="B7831" i="1"/>
  <c r="C7831" i="1"/>
  <c r="D7831" i="1"/>
  <c r="E7831" i="1"/>
  <c r="F7831" i="1"/>
  <c r="G7831" i="1"/>
  <c r="H7831" i="1"/>
  <c r="I7831" i="1"/>
  <c r="J7831" i="1"/>
  <c r="K7831" i="1"/>
  <c r="L7831" i="1"/>
  <c r="A7832" i="1"/>
  <c r="B7832" i="1"/>
  <c r="C7832" i="1"/>
  <c r="D7832" i="1"/>
  <c r="E7832" i="1"/>
  <c r="F7832" i="1"/>
  <c r="G7832" i="1"/>
  <c r="H7832" i="1"/>
  <c r="I7832" i="1"/>
  <c r="J7832" i="1"/>
  <c r="K7832" i="1"/>
  <c r="L7832" i="1"/>
  <c r="A7833" i="1"/>
  <c r="B7833" i="1"/>
  <c r="C7833" i="1"/>
  <c r="D7833" i="1"/>
  <c r="E7833" i="1"/>
  <c r="F7833" i="1"/>
  <c r="G7833" i="1"/>
  <c r="H7833" i="1"/>
  <c r="I7833" i="1"/>
  <c r="J7833" i="1"/>
  <c r="K7833" i="1"/>
  <c r="L7833" i="1"/>
  <c r="A7834" i="1"/>
  <c r="B7834" i="1"/>
  <c r="C7834" i="1"/>
  <c r="D7834" i="1"/>
  <c r="E7834" i="1"/>
  <c r="F7834" i="1"/>
  <c r="G7834" i="1"/>
  <c r="H7834" i="1"/>
  <c r="I7834" i="1"/>
  <c r="J7834" i="1"/>
  <c r="K7834" i="1"/>
  <c r="L7834" i="1"/>
  <c r="A7835" i="1"/>
  <c r="B7835" i="1"/>
  <c r="C7835" i="1"/>
  <c r="D7835" i="1"/>
  <c r="E7835" i="1"/>
  <c r="F7835" i="1"/>
  <c r="G7835" i="1"/>
  <c r="H7835" i="1"/>
  <c r="I7835" i="1"/>
  <c r="J7835" i="1"/>
  <c r="K7835" i="1"/>
  <c r="L7835" i="1"/>
  <c r="A7836" i="1"/>
  <c r="B7836" i="1"/>
  <c r="C7836" i="1"/>
  <c r="D7836" i="1"/>
  <c r="E7836" i="1"/>
  <c r="F7836" i="1"/>
  <c r="G7836" i="1"/>
  <c r="H7836" i="1"/>
  <c r="I7836" i="1"/>
  <c r="J7836" i="1"/>
  <c r="K7836" i="1"/>
  <c r="L7836" i="1"/>
  <c r="A7837" i="1"/>
  <c r="B7837" i="1"/>
  <c r="C7837" i="1"/>
  <c r="D7837" i="1"/>
  <c r="E7837" i="1"/>
  <c r="F7837" i="1"/>
  <c r="G7837" i="1"/>
  <c r="H7837" i="1"/>
  <c r="I7837" i="1"/>
  <c r="J7837" i="1"/>
  <c r="K7837" i="1"/>
  <c r="L7837" i="1"/>
  <c r="A7838" i="1"/>
  <c r="B7838" i="1"/>
  <c r="C7838" i="1"/>
  <c r="D7838" i="1"/>
  <c r="E7838" i="1"/>
  <c r="F7838" i="1"/>
  <c r="G7838" i="1"/>
  <c r="H7838" i="1"/>
  <c r="I7838" i="1"/>
  <c r="J7838" i="1"/>
  <c r="K7838" i="1"/>
  <c r="L7838" i="1"/>
  <c r="A7839" i="1"/>
  <c r="B7839" i="1"/>
  <c r="C7839" i="1"/>
  <c r="D7839" i="1"/>
  <c r="E7839" i="1"/>
  <c r="F7839" i="1"/>
  <c r="G7839" i="1"/>
  <c r="H7839" i="1"/>
  <c r="I7839" i="1"/>
  <c r="J7839" i="1"/>
  <c r="K7839" i="1"/>
  <c r="L7839" i="1"/>
  <c r="A7840" i="1"/>
  <c r="B7840" i="1"/>
  <c r="C7840" i="1"/>
  <c r="D7840" i="1"/>
  <c r="E7840" i="1"/>
  <c r="F7840" i="1"/>
  <c r="G7840" i="1"/>
  <c r="H7840" i="1"/>
  <c r="I7840" i="1"/>
  <c r="J7840" i="1"/>
  <c r="K7840" i="1"/>
  <c r="L7840" i="1"/>
  <c r="A7841" i="1"/>
  <c r="B7841" i="1"/>
  <c r="C7841" i="1"/>
  <c r="D7841" i="1"/>
  <c r="E7841" i="1"/>
  <c r="F7841" i="1"/>
  <c r="G7841" i="1"/>
  <c r="H7841" i="1"/>
  <c r="I7841" i="1"/>
  <c r="J7841" i="1"/>
  <c r="K7841" i="1"/>
  <c r="L7841" i="1"/>
  <c r="A7842" i="1"/>
  <c r="B7842" i="1"/>
  <c r="C7842" i="1"/>
  <c r="D7842" i="1"/>
  <c r="E7842" i="1"/>
  <c r="F7842" i="1"/>
  <c r="G7842" i="1"/>
  <c r="H7842" i="1"/>
  <c r="I7842" i="1"/>
  <c r="J7842" i="1"/>
  <c r="K7842" i="1"/>
  <c r="L7842" i="1"/>
  <c r="A7843" i="1"/>
  <c r="B7843" i="1"/>
  <c r="C7843" i="1"/>
  <c r="D7843" i="1"/>
  <c r="E7843" i="1"/>
  <c r="F7843" i="1"/>
  <c r="G7843" i="1"/>
  <c r="H7843" i="1"/>
  <c r="I7843" i="1"/>
  <c r="J7843" i="1"/>
  <c r="K7843" i="1"/>
  <c r="L7843" i="1"/>
  <c r="A7844" i="1"/>
  <c r="B7844" i="1"/>
  <c r="C7844" i="1"/>
  <c r="D7844" i="1"/>
  <c r="E7844" i="1"/>
  <c r="F7844" i="1"/>
  <c r="G7844" i="1"/>
  <c r="H7844" i="1"/>
  <c r="I7844" i="1"/>
  <c r="J7844" i="1"/>
  <c r="K7844" i="1"/>
  <c r="L7844" i="1"/>
  <c r="A7845" i="1"/>
  <c r="B7845" i="1"/>
  <c r="C7845" i="1"/>
  <c r="D7845" i="1"/>
  <c r="E7845" i="1"/>
  <c r="F7845" i="1"/>
  <c r="G7845" i="1"/>
  <c r="H7845" i="1"/>
  <c r="I7845" i="1"/>
  <c r="J7845" i="1"/>
  <c r="K7845" i="1"/>
  <c r="L7845" i="1"/>
  <c r="A7846" i="1"/>
  <c r="B7846" i="1"/>
  <c r="C7846" i="1"/>
  <c r="D7846" i="1"/>
  <c r="E7846" i="1"/>
  <c r="F7846" i="1"/>
  <c r="G7846" i="1"/>
  <c r="H7846" i="1"/>
  <c r="I7846" i="1"/>
  <c r="J7846" i="1"/>
  <c r="K7846" i="1"/>
  <c r="L7846" i="1"/>
  <c r="A7847" i="1"/>
  <c r="B7847" i="1"/>
  <c r="C7847" i="1"/>
  <c r="D7847" i="1"/>
  <c r="E7847" i="1"/>
  <c r="F7847" i="1"/>
  <c r="G7847" i="1"/>
  <c r="H7847" i="1"/>
  <c r="I7847" i="1"/>
  <c r="J7847" i="1"/>
  <c r="K7847" i="1"/>
  <c r="L7847" i="1"/>
  <c r="A7848" i="1"/>
  <c r="B7848" i="1"/>
  <c r="C7848" i="1"/>
  <c r="D7848" i="1"/>
  <c r="E7848" i="1"/>
  <c r="F7848" i="1"/>
  <c r="G7848" i="1"/>
  <c r="H7848" i="1"/>
  <c r="I7848" i="1"/>
  <c r="J7848" i="1"/>
  <c r="K7848" i="1"/>
  <c r="L7848" i="1"/>
  <c r="A7849" i="1"/>
  <c r="B7849" i="1"/>
  <c r="C7849" i="1"/>
  <c r="D7849" i="1"/>
  <c r="E7849" i="1"/>
  <c r="F7849" i="1"/>
  <c r="G7849" i="1"/>
  <c r="H7849" i="1"/>
  <c r="I7849" i="1"/>
  <c r="J7849" i="1"/>
  <c r="K7849" i="1"/>
  <c r="L7849" i="1"/>
  <c r="A7850" i="1"/>
  <c r="B7850" i="1"/>
  <c r="C7850" i="1"/>
  <c r="D7850" i="1"/>
  <c r="E7850" i="1"/>
  <c r="F7850" i="1"/>
  <c r="G7850" i="1"/>
  <c r="H7850" i="1"/>
  <c r="I7850" i="1"/>
  <c r="J7850" i="1"/>
  <c r="K7850" i="1"/>
  <c r="L7850" i="1"/>
  <c r="A7851" i="1"/>
  <c r="B7851" i="1"/>
  <c r="C7851" i="1"/>
  <c r="D7851" i="1"/>
  <c r="E7851" i="1"/>
  <c r="F7851" i="1"/>
  <c r="G7851" i="1"/>
  <c r="H7851" i="1"/>
  <c r="I7851" i="1"/>
  <c r="J7851" i="1"/>
  <c r="K7851" i="1"/>
  <c r="L7851" i="1"/>
  <c r="A7852" i="1"/>
  <c r="B7852" i="1"/>
  <c r="C7852" i="1"/>
  <c r="D7852" i="1"/>
  <c r="E7852" i="1"/>
  <c r="F7852" i="1"/>
  <c r="G7852" i="1"/>
  <c r="H7852" i="1"/>
  <c r="I7852" i="1"/>
  <c r="J7852" i="1"/>
  <c r="K7852" i="1"/>
  <c r="L7852" i="1"/>
  <c r="A7853" i="1"/>
  <c r="B7853" i="1"/>
  <c r="C7853" i="1"/>
  <c r="D7853" i="1"/>
  <c r="E7853" i="1"/>
  <c r="F7853" i="1"/>
  <c r="G7853" i="1"/>
  <c r="H7853" i="1"/>
  <c r="I7853" i="1"/>
  <c r="J7853" i="1"/>
  <c r="K7853" i="1"/>
  <c r="L7853" i="1"/>
  <c r="A7854" i="1"/>
  <c r="B7854" i="1"/>
  <c r="C7854" i="1"/>
  <c r="D7854" i="1"/>
  <c r="E7854" i="1"/>
  <c r="F7854" i="1"/>
  <c r="G7854" i="1"/>
  <c r="H7854" i="1"/>
  <c r="I7854" i="1"/>
  <c r="J7854" i="1"/>
  <c r="K7854" i="1"/>
  <c r="L7854" i="1"/>
  <c r="A7855" i="1"/>
  <c r="B7855" i="1"/>
  <c r="C7855" i="1"/>
  <c r="D7855" i="1"/>
  <c r="E7855" i="1"/>
  <c r="F7855" i="1"/>
  <c r="G7855" i="1"/>
  <c r="H7855" i="1"/>
  <c r="I7855" i="1"/>
  <c r="J7855" i="1"/>
  <c r="K7855" i="1"/>
  <c r="L7855" i="1"/>
  <c r="A7856" i="1"/>
  <c r="B7856" i="1"/>
  <c r="C7856" i="1"/>
  <c r="D7856" i="1"/>
  <c r="E7856" i="1"/>
  <c r="F7856" i="1"/>
  <c r="G7856" i="1"/>
  <c r="H7856" i="1"/>
  <c r="I7856" i="1"/>
  <c r="J7856" i="1"/>
  <c r="K7856" i="1"/>
  <c r="L7856" i="1"/>
  <c r="A7857" i="1"/>
  <c r="B7857" i="1"/>
  <c r="C7857" i="1"/>
  <c r="D7857" i="1"/>
  <c r="E7857" i="1"/>
  <c r="F7857" i="1"/>
  <c r="G7857" i="1"/>
  <c r="H7857" i="1"/>
  <c r="I7857" i="1"/>
  <c r="J7857" i="1"/>
  <c r="K7857" i="1"/>
  <c r="L7857" i="1"/>
  <c r="A7858" i="1"/>
  <c r="B7858" i="1"/>
  <c r="C7858" i="1"/>
  <c r="D7858" i="1"/>
  <c r="E7858" i="1"/>
  <c r="F7858" i="1"/>
  <c r="G7858" i="1"/>
  <c r="H7858" i="1"/>
  <c r="I7858" i="1"/>
  <c r="J7858" i="1"/>
  <c r="K7858" i="1"/>
  <c r="L7858" i="1"/>
  <c r="A7859" i="1"/>
  <c r="B7859" i="1"/>
  <c r="C7859" i="1"/>
  <c r="D7859" i="1"/>
  <c r="E7859" i="1"/>
  <c r="F7859" i="1"/>
  <c r="G7859" i="1"/>
  <c r="H7859" i="1"/>
  <c r="I7859" i="1"/>
  <c r="J7859" i="1"/>
  <c r="K7859" i="1"/>
  <c r="L7859" i="1"/>
  <c r="A7860" i="1"/>
  <c r="B7860" i="1"/>
  <c r="C7860" i="1"/>
  <c r="D7860" i="1"/>
  <c r="E7860" i="1"/>
  <c r="F7860" i="1"/>
  <c r="G7860" i="1"/>
  <c r="H7860" i="1"/>
  <c r="I7860" i="1"/>
  <c r="J7860" i="1"/>
  <c r="K7860" i="1"/>
  <c r="L7860" i="1"/>
  <c r="A7861" i="1"/>
  <c r="B7861" i="1"/>
  <c r="C7861" i="1"/>
  <c r="D7861" i="1"/>
  <c r="E7861" i="1"/>
  <c r="F7861" i="1"/>
  <c r="G7861" i="1"/>
  <c r="H7861" i="1"/>
  <c r="I7861" i="1"/>
  <c r="J7861" i="1"/>
  <c r="K7861" i="1"/>
  <c r="L7861" i="1"/>
  <c r="A7862" i="1"/>
  <c r="B7862" i="1"/>
  <c r="C7862" i="1"/>
  <c r="D7862" i="1"/>
  <c r="E7862" i="1"/>
  <c r="F7862" i="1"/>
  <c r="G7862" i="1"/>
  <c r="H7862" i="1"/>
  <c r="I7862" i="1"/>
  <c r="J7862" i="1"/>
  <c r="K7862" i="1"/>
  <c r="L7862" i="1"/>
  <c r="A7863" i="1"/>
  <c r="B7863" i="1"/>
  <c r="C7863" i="1"/>
  <c r="D7863" i="1"/>
  <c r="E7863" i="1"/>
  <c r="F7863" i="1"/>
  <c r="G7863" i="1"/>
  <c r="H7863" i="1"/>
  <c r="I7863" i="1"/>
  <c r="J7863" i="1"/>
  <c r="K7863" i="1"/>
  <c r="L7863" i="1"/>
  <c r="A7864" i="1"/>
  <c r="B7864" i="1"/>
  <c r="C7864" i="1"/>
  <c r="D7864" i="1"/>
  <c r="E7864" i="1"/>
  <c r="F7864" i="1"/>
  <c r="G7864" i="1"/>
  <c r="H7864" i="1"/>
  <c r="I7864" i="1"/>
  <c r="J7864" i="1"/>
  <c r="K7864" i="1"/>
  <c r="L7864" i="1"/>
  <c r="A7865" i="1"/>
  <c r="B7865" i="1"/>
  <c r="C7865" i="1"/>
  <c r="D7865" i="1"/>
  <c r="E7865" i="1"/>
  <c r="F7865" i="1"/>
  <c r="G7865" i="1"/>
  <c r="H7865" i="1"/>
  <c r="I7865" i="1"/>
  <c r="J7865" i="1"/>
  <c r="K7865" i="1"/>
  <c r="L7865" i="1"/>
  <c r="A7866" i="1"/>
  <c r="B7866" i="1"/>
  <c r="C7866" i="1"/>
  <c r="D7866" i="1"/>
  <c r="E7866" i="1"/>
  <c r="F7866" i="1"/>
  <c r="G7866" i="1"/>
  <c r="H7866" i="1"/>
  <c r="I7866" i="1"/>
  <c r="J7866" i="1"/>
  <c r="K7866" i="1"/>
  <c r="L7866" i="1"/>
  <c r="A7867" i="1"/>
  <c r="B7867" i="1"/>
  <c r="C7867" i="1"/>
  <c r="D7867" i="1"/>
  <c r="E7867" i="1"/>
  <c r="F7867" i="1"/>
  <c r="G7867" i="1"/>
  <c r="H7867" i="1"/>
  <c r="I7867" i="1"/>
  <c r="J7867" i="1"/>
  <c r="K7867" i="1"/>
  <c r="L7867" i="1"/>
  <c r="A7868" i="1"/>
  <c r="B7868" i="1"/>
  <c r="C7868" i="1"/>
  <c r="D7868" i="1"/>
  <c r="E7868" i="1"/>
  <c r="F7868" i="1"/>
  <c r="G7868" i="1"/>
  <c r="H7868" i="1"/>
  <c r="I7868" i="1"/>
  <c r="J7868" i="1"/>
  <c r="K7868" i="1"/>
  <c r="L7868" i="1"/>
  <c r="A7869" i="1"/>
  <c r="B7869" i="1"/>
  <c r="C7869" i="1"/>
  <c r="D7869" i="1"/>
  <c r="E7869" i="1"/>
  <c r="F7869" i="1"/>
  <c r="G7869" i="1"/>
  <c r="H7869" i="1"/>
  <c r="I7869" i="1"/>
  <c r="J7869" i="1"/>
  <c r="K7869" i="1"/>
  <c r="L7869" i="1"/>
  <c r="A7870" i="1"/>
  <c r="B7870" i="1"/>
  <c r="C7870" i="1"/>
  <c r="D7870" i="1"/>
  <c r="E7870" i="1"/>
  <c r="F7870" i="1"/>
  <c r="G7870" i="1"/>
  <c r="H7870" i="1"/>
  <c r="I7870" i="1"/>
  <c r="J7870" i="1"/>
  <c r="K7870" i="1"/>
  <c r="L7870" i="1"/>
  <c r="A7871" i="1"/>
  <c r="B7871" i="1"/>
  <c r="C7871" i="1"/>
  <c r="D7871" i="1"/>
  <c r="E7871" i="1"/>
  <c r="F7871" i="1"/>
  <c r="G7871" i="1"/>
  <c r="H7871" i="1"/>
  <c r="I7871" i="1"/>
  <c r="J7871" i="1"/>
  <c r="K7871" i="1"/>
  <c r="L7871" i="1"/>
  <c r="A7872" i="1"/>
  <c r="B7872" i="1"/>
  <c r="C7872" i="1"/>
  <c r="D7872" i="1"/>
  <c r="E7872" i="1"/>
  <c r="F7872" i="1"/>
  <c r="G7872" i="1"/>
  <c r="H7872" i="1"/>
  <c r="I7872" i="1"/>
  <c r="J7872" i="1"/>
  <c r="K7872" i="1"/>
  <c r="L7872" i="1"/>
  <c r="A7873" i="1"/>
  <c r="B7873" i="1"/>
  <c r="C7873" i="1"/>
  <c r="D7873" i="1"/>
  <c r="E7873" i="1"/>
  <c r="F7873" i="1"/>
  <c r="G7873" i="1"/>
  <c r="H7873" i="1"/>
  <c r="I7873" i="1"/>
  <c r="J7873" i="1"/>
  <c r="K7873" i="1"/>
  <c r="L7873" i="1"/>
  <c r="A7874" i="1"/>
  <c r="B7874" i="1"/>
  <c r="C7874" i="1"/>
  <c r="D7874" i="1"/>
  <c r="E7874" i="1"/>
  <c r="F7874" i="1"/>
  <c r="G7874" i="1"/>
  <c r="H7874" i="1"/>
  <c r="I7874" i="1"/>
  <c r="J7874" i="1"/>
  <c r="K7874" i="1"/>
  <c r="L7874" i="1"/>
  <c r="A7875" i="1"/>
  <c r="B7875" i="1"/>
  <c r="C7875" i="1"/>
  <c r="D7875" i="1"/>
  <c r="E7875" i="1"/>
  <c r="F7875" i="1"/>
  <c r="G7875" i="1"/>
  <c r="H7875" i="1"/>
  <c r="I7875" i="1"/>
  <c r="J7875" i="1"/>
  <c r="K7875" i="1"/>
  <c r="L7875" i="1"/>
  <c r="A7876" i="1"/>
  <c r="B7876" i="1"/>
  <c r="C7876" i="1"/>
  <c r="D7876" i="1"/>
  <c r="E7876" i="1"/>
  <c r="F7876" i="1"/>
  <c r="G7876" i="1"/>
  <c r="H7876" i="1"/>
  <c r="I7876" i="1"/>
  <c r="J7876" i="1"/>
  <c r="K7876" i="1"/>
  <c r="L7876" i="1"/>
  <c r="A7877" i="1"/>
  <c r="B7877" i="1"/>
  <c r="C7877" i="1"/>
  <c r="D7877" i="1"/>
  <c r="E7877" i="1"/>
  <c r="F7877" i="1"/>
  <c r="G7877" i="1"/>
  <c r="H7877" i="1"/>
  <c r="I7877" i="1"/>
  <c r="J7877" i="1"/>
  <c r="K7877" i="1"/>
  <c r="L7877" i="1"/>
  <c r="A7878" i="1"/>
  <c r="B7878" i="1"/>
  <c r="C7878" i="1"/>
  <c r="D7878" i="1"/>
  <c r="E7878" i="1"/>
  <c r="F7878" i="1"/>
  <c r="G7878" i="1"/>
  <c r="H7878" i="1"/>
  <c r="I7878" i="1"/>
  <c r="J7878" i="1"/>
  <c r="K7878" i="1"/>
  <c r="L7878" i="1"/>
  <c r="A7879" i="1"/>
  <c r="B7879" i="1"/>
  <c r="C7879" i="1"/>
  <c r="D7879" i="1"/>
  <c r="E7879" i="1"/>
  <c r="F7879" i="1"/>
  <c r="G7879" i="1"/>
  <c r="H7879" i="1"/>
  <c r="I7879" i="1"/>
  <c r="J7879" i="1"/>
  <c r="K7879" i="1"/>
  <c r="L7879" i="1"/>
  <c r="A7880" i="1"/>
  <c r="B7880" i="1"/>
  <c r="C7880" i="1"/>
  <c r="D7880" i="1"/>
  <c r="E7880" i="1"/>
  <c r="F7880" i="1"/>
  <c r="G7880" i="1"/>
  <c r="H7880" i="1"/>
  <c r="I7880" i="1"/>
  <c r="J7880" i="1"/>
  <c r="K7880" i="1"/>
  <c r="L7880" i="1"/>
  <c r="A7881" i="1"/>
  <c r="B7881" i="1"/>
  <c r="C7881" i="1"/>
  <c r="D7881" i="1"/>
  <c r="E7881" i="1"/>
  <c r="F7881" i="1"/>
  <c r="G7881" i="1"/>
  <c r="H7881" i="1"/>
  <c r="I7881" i="1"/>
  <c r="J7881" i="1"/>
  <c r="K7881" i="1"/>
  <c r="L7881" i="1"/>
  <c r="A7882" i="1"/>
  <c r="B7882" i="1"/>
  <c r="C7882" i="1"/>
  <c r="D7882" i="1"/>
  <c r="E7882" i="1"/>
  <c r="F7882" i="1"/>
  <c r="G7882" i="1"/>
  <c r="H7882" i="1"/>
  <c r="I7882" i="1"/>
  <c r="J7882" i="1"/>
  <c r="K7882" i="1"/>
  <c r="L7882" i="1"/>
  <c r="A7883" i="1"/>
  <c r="B7883" i="1"/>
  <c r="C7883" i="1"/>
  <c r="D7883" i="1"/>
  <c r="E7883" i="1"/>
  <c r="F7883" i="1"/>
  <c r="G7883" i="1"/>
  <c r="H7883" i="1"/>
  <c r="I7883" i="1"/>
  <c r="J7883" i="1"/>
  <c r="K7883" i="1"/>
  <c r="L7883" i="1"/>
  <c r="A7884" i="1"/>
  <c r="B7884" i="1"/>
  <c r="C7884" i="1"/>
  <c r="D7884" i="1"/>
  <c r="E7884" i="1"/>
  <c r="F7884" i="1"/>
  <c r="G7884" i="1"/>
  <c r="H7884" i="1"/>
  <c r="I7884" i="1"/>
  <c r="J7884" i="1"/>
  <c r="K7884" i="1"/>
  <c r="L7884" i="1"/>
  <c r="A7885" i="1"/>
  <c r="B7885" i="1"/>
  <c r="C7885" i="1"/>
  <c r="D7885" i="1"/>
  <c r="E7885" i="1"/>
  <c r="F7885" i="1"/>
  <c r="G7885" i="1"/>
  <c r="H7885" i="1"/>
  <c r="I7885" i="1"/>
  <c r="J7885" i="1"/>
  <c r="K7885" i="1"/>
  <c r="L7885" i="1"/>
  <c r="A7886" i="1"/>
  <c r="B7886" i="1"/>
  <c r="C7886" i="1"/>
  <c r="D7886" i="1"/>
  <c r="E7886" i="1"/>
  <c r="F7886" i="1"/>
  <c r="G7886" i="1"/>
  <c r="H7886" i="1"/>
  <c r="I7886" i="1"/>
  <c r="J7886" i="1"/>
  <c r="K7886" i="1"/>
  <c r="L7886" i="1"/>
  <c r="A7887" i="1"/>
  <c r="B7887" i="1"/>
  <c r="C7887" i="1"/>
  <c r="D7887" i="1"/>
  <c r="E7887" i="1"/>
  <c r="F7887" i="1"/>
  <c r="G7887" i="1"/>
  <c r="H7887" i="1"/>
  <c r="I7887" i="1"/>
  <c r="J7887" i="1"/>
  <c r="K7887" i="1"/>
  <c r="L7887" i="1"/>
  <c r="A7888" i="1"/>
  <c r="B7888" i="1"/>
  <c r="C7888" i="1"/>
  <c r="D7888" i="1"/>
  <c r="E7888" i="1"/>
  <c r="F7888" i="1"/>
  <c r="G7888" i="1"/>
  <c r="H7888" i="1"/>
  <c r="I7888" i="1"/>
  <c r="J7888" i="1"/>
  <c r="K7888" i="1"/>
  <c r="L7888" i="1"/>
  <c r="A7889" i="1"/>
  <c r="B7889" i="1"/>
  <c r="C7889" i="1"/>
  <c r="D7889" i="1"/>
  <c r="E7889" i="1"/>
  <c r="F7889" i="1"/>
  <c r="G7889" i="1"/>
  <c r="H7889" i="1"/>
  <c r="I7889" i="1"/>
  <c r="J7889" i="1"/>
  <c r="K7889" i="1"/>
  <c r="L7889" i="1"/>
  <c r="A7890" i="1"/>
  <c r="B7890" i="1"/>
  <c r="C7890" i="1"/>
  <c r="D7890" i="1"/>
  <c r="E7890" i="1"/>
  <c r="F7890" i="1"/>
  <c r="G7890" i="1"/>
  <c r="H7890" i="1"/>
  <c r="I7890" i="1"/>
  <c r="J7890" i="1"/>
  <c r="K7890" i="1"/>
  <c r="L7890" i="1"/>
  <c r="A7891" i="1"/>
  <c r="B7891" i="1"/>
  <c r="C7891" i="1"/>
  <c r="D7891" i="1"/>
  <c r="E7891" i="1"/>
  <c r="F7891" i="1"/>
  <c r="G7891" i="1"/>
  <c r="H7891" i="1"/>
  <c r="I7891" i="1"/>
  <c r="J7891" i="1"/>
  <c r="K7891" i="1"/>
  <c r="L7891" i="1"/>
  <c r="A7892" i="1"/>
  <c r="B7892" i="1"/>
  <c r="C7892" i="1"/>
  <c r="D7892" i="1"/>
  <c r="E7892" i="1"/>
  <c r="F7892" i="1"/>
  <c r="G7892" i="1"/>
  <c r="H7892" i="1"/>
  <c r="I7892" i="1"/>
  <c r="J7892" i="1"/>
  <c r="K7892" i="1"/>
  <c r="L7892" i="1"/>
  <c r="A7893" i="1"/>
  <c r="B7893" i="1"/>
  <c r="C7893" i="1"/>
  <c r="D7893" i="1"/>
  <c r="E7893" i="1"/>
  <c r="F7893" i="1"/>
  <c r="G7893" i="1"/>
  <c r="H7893" i="1"/>
  <c r="I7893" i="1"/>
  <c r="J7893" i="1"/>
  <c r="K7893" i="1"/>
  <c r="L7893" i="1"/>
  <c r="A7894" i="1"/>
  <c r="B7894" i="1"/>
  <c r="C7894" i="1"/>
  <c r="D7894" i="1"/>
  <c r="E7894" i="1"/>
  <c r="F7894" i="1"/>
  <c r="G7894" i="1"/>
  <c r="H7894" i="1"/>
  <c r="I7894" i="1"/>
  <c r="J7894" i="1"/>
  <c r="K7894" i="1"/>
  <c r="L7894" i="1"/>
  <c r="A7895" i="1"/>
  <c r="B7895" i="1"/>
  <c r="C7895" i="1"/>
  <c r="D7895" i="1"/>
  <c r="E7895" i="1"/>
  <c r="F7895" i="1"/>
  <c r="G7895" i="1"/>
  <c r="H7895" i="1"/>
  <c r="I7895" i="1"/>
  <c r="J7895" i="1"/>
  <c r="K7895" i="1"/>
  <c r="L7895" i="1"/>
  <c r="A7896" i="1"/>
  <c r="B7896" i="1"/>
  <c r="C7896" i="1"/>
  <c r="D7896" i="1"/>
  <c r="E7896" i="1"/>
  <c r="F7896" i="1"/>
  <c r="G7896" i="1"/>
  <c r="H7896" i="1"/>
  <c r="I7896" i="1"/>
  <c r="J7896" i="1"/>
  <c r="K7896" i="1"/>
  <c r="L7896" i="1"/>
  <c r="A7897" i="1"/>
  <c r="B7897" i="1"/>
  <c r="C7897" i="1"/>
  <c r="D7897" i="1"/>
  <c r="E7897" i="1"/>
  <c r="F7897" i="1"/>
  <c r="G7897" i="1"/>
  <c r="H7897" i="1"/>
  <c r="I7897" i="1"/>
  <c r="J7897" i="1"/>
  <c r="K7897" i="1"/>
  <c r="L7897" i="1"/>
  <c r="A7898" i="1"/>
  <c r="B7898" i="1"/>
  <c r="C7898" i="1"/>
  <c r="D7898" i="1"/>
  <c r="E7898" i="1"/>
  <c r="F7898" i="1"/>
  <c r="G7898" i="1"/>
  <c r="H7898" i="1"/>
  <c r="I7898" i="1"/>
  <c r="J7898" i="1"/>
  <c r="K7898" i="1"/>
  <c r="L7898" i="1"/>
  <c r="A7899" i="1"/>
  <c r="B7899" i="1"/>
  <c r="C7899" i="1"/>
  <c r="D7899" i="1"/>
  <c r="E7899" i="1"/>
  <c r="F7899" i="1"/>
  <c r="G7899" i="1"/>
  <c r="H7899" i="1"/>
  <c r="I7899" i="1"/>
  <c r="J7899" i="1"/>
  <c r="K7899" i="1"/>
  <c r="L7899" i="1"/>
  <c r="A7900" i="1"/>
  <c r="B7900" i="1"/>
  <c r="C7900" i="1"/>
  <c r="D7900" i="1"/>
  <c r="E7900" i="1"/>
  <c r="F7900" i="1"/>
  <c r="G7900" i="1"/>
  <c r="H7900" i="1"/>
  <c r="I7900" i="1"/>
  <c r="J7900" i="1"/>
  <c r="K7900" i="1"/>
  <c r="L7900" i="1"/>
  <c r="A7901" i="1"/>
  <c r="B7901" i="1"/>
  <c r="C7901" i="1"/>
  <c r="D7901" i="1"/>
  <c r="E7901" i="1"/>
  <c r="F7901" i="1"/>
  <c r="G7901" i="1"/>
  <c r="H7901" i="1"/>
  <c r="I7901" i="1"/>
  <c r="J7901" i="1"/>
  <c r="K7901" i="1"/>
  <c r="L7901" i="1"/>
  <c r="A7902" i="1"/>
  <c r="B7902" i="1"/>
  <c r="C7902" i="1"/>
  <c r="D7902" i="1"/>
  <c r="E7902" i="1"/>
  <c r="F7902" i="1"/>
  <c r="G7902" i="1"/>
  <c r="H7902" i="1"/>
  <c r="I7902" i="1"/>
  <c r="J7902" i="1"/>
  <c r="K7902" i="1"/>
  <c r="L7902" i="1"/>
  <c r="A7903" i="1"/>
  <c r="B7903" i="1"/>
  <c r="C7903" i="1"/>
  <c r="D7903" i="1"/>
  <c r="E7903" i="1"/>
  <c r="F7903" i="1"/>
  <c r="G7903" i="1"/>
  <c r="H7903" i="1"/>
  <c r="I7903" i="1"/>
  <c r="J7903" i="1"/>
  <c r="K7903" i="1"/>
  <c r="L7903" i="1"/>
  <c r="A7904" i="1"/>
  <c r="B7904" i="1"/>
  <c r="C7904" i="1"/>
  <c r="D7904" i="1"/>
  <c r="E7904" i="1"/>
  <c r="F7904" i="1"/>
  <c r="G7904" i="1"/>
  <c r="H7904" i="1"/>
  <c r="I7904" i="1"/>
  <c r="J7904" i="1"/>
  <c r="K7904" i="1"/>
  <c r="L7904" i="1"/>
  <c r="A7905" i="1"/>
  <c r="B7905" i="1"/>
  <c r="C7905" i="1"/>
  <c r="D7905" i="1"/>
  <c r="E7905" i="1"/>
  <c r="F7905" i="1"/>
  <c r="G7905" i="1"/>
  <c r="H7905" i="1"/>
  <c r="I7905" i="1"/>
  <c r="J7905" i="1"/>
  <c r="K7905" i="1"/>
  <c r="L7905" i="1"/>
  <c r="A7906" i="1"/>
  <c r="B7906" i="1"/>
  <c r="C7906" i="1"/>
  <c r="D7906" i="1"/>
  <c r="E7906" i="1"/>
  <c r="F7906" i="1"/>
  <c r="G7906" i="1"/>
  <c r="H7906" i="1"/>
  <c r="I7906" i="1"/>
  <c r="J7906" i="1"/>
  <c r="K7906" i="1"/>
  <c r="L7906" i="1"/>
  <c r="A7907" i="1"/>
  <c r="B7907" i="1"/>
  <c r="C7907" i="1"/>
  <c r="D7907" i="1"/>
  <c r="E7907" i="1"/>
  <c r="F7907" i="1"/>
  <c r="G7907" i="1"/>
  <c r="H7907" i="1"/>
  <c r="I7907" i="1"/>
  <c r="J7907" i="1"/>
  <c r="K7907" i="1"/>
  <c r="L7907" i="1"/>
  <c r="A7908" i="1"/>
  <c r="B7908" i="1"/>
  <c r="C7908" i="1"/>
  <c r="D7908" i="1"/>
  <c r="E7908" i="1"/>
  <c r="F7908" i="1"/>
  <c r="G7908" i="1"/>
  <c r="H7908" i="1"/>
  <c r="I7908" i="1"/>
  <c r="J7908" i="1"/>
  <c r="K7908" i="1"/>
  <c r="L7908" i="1"/>
  <c r="A7909" i="1"/>
  <c r="B7909" i="1"/>
  <c r="C7909" i="1"/>
  <c r="D7909" i="1"/>
  <c r="E7909" i="1"/>
  <c r="F7909" i="1"/>
  <c r="G7909" i="1"/>
  <c r="H7909" i="1"/>
  <c r="I7909" i="1"/>
  <c r="J7909" i="1"/>
  <c r="K7909" i="1"/>
  <c r="L7909" i="1"/>
  <c r="A7910" i="1"/>
  <c r="B7910" i="1"/>
  <c r="C7910" i="1"/>
  <c r="D7910" i="1"/>
  <c r="E7910" i="1"/>
  <c r="F7910" i="1"/>
  <c r="G7910" i="1"/>
  <c r="H7910" i="1"/>
  <c r="I7910" i="1"/>
  <c r="J7910" i="1"/>
  <c r="K7910" i="1"/>
  <c r="L7910" i="1"/>
  <c r="A7911" i="1"/>
  <c r="B7911" i="1"/>
  <c r="C7911" i="1"/>
  <c r="D7911" i="1"/>
  <c r="E7911" i="1"/>
  <c r="F7911" i="1"/>
  <c r="G7911" i="1"/>
  <c r="H7911" i="1"/>
  <c r="I7911" i="1"/>
  <c r="J7911" i="1"/>
  <c r="K7911" i="1"/>
  <c r="L7911" i="1"/>
  <c r="A7912" i="1"/>
  <c r="B7912" i="1"/>
  <c r="C7912" i="1"/>
  <c r="D7912" i="1"/>
  <c r="E7912" i="1"/>
  <c r="F7912" i="1"/>
  <c r="G7912" i="1"/>
  <c r="H7912" i="1"/>
  <c r="I7912" i="1"/>
  <c r="J7912" i="1"/>
  <c r="K7912" i="1"/>
  <c r="L7912" i="1"/>
  <c r="A7913" i="1"/>
  <c r="B7913" i="1"/>
  <c r="C7913" i="1"/>
  <c r="D7913" i="1"/>
  <c r="E7913" i="1"/>
  <c r="F7913" i="1"/>
  <c r="G7913" i="1"/>
  <c r="H7913" i="1"/>
  <c r="I7913" i="1"/>
  <c r="J7913" i="1"/>
  <c r="K7913" i="1"/>
  <c r="L7913" i="1"/>
  <c r="A7914" i="1"/>
  <c r="B7914" i="1"/>
  <c r="C7914" i="1"/>
  <c r="D7914" i="1"/>
  <c r="E7914" i="1"/>
  <c r="F7914" i="1"/>
  <c r="G7914" i="1"/>
  <c r="H7914" i="1"/>
  <c r="I7914" i="1"/>
  <c r="J7914" i="1"/>
  <c r="K7914" i="1"/>
  <c r="L7914" i="1"/>
  <c r="A7915" i="1"/>
  <c r="B7915" i="1"/>
  <c r="C7915" i="1"/>
  <c r="D7915" i="1"/>
  <c r="E7915" i="1"/>
  <c r="F7915" i="1"/>
  <c r="G7915" i="1"/>
  <c r="H7915" i="1"/>
  <c r="I7915" i="1"/>
  <c r="J7915" i="1"/>
  <c r="K7915" i="1"/>
  <c r="L7915" i="1"/>
  <c r="A7916" i="1"/>
  <c r="B7916" i="1"/>
  <c r="C7916" i="1"/>
  <c r="D7916" i="1"/>
  <c r="E7916" i="1"/>
  <c r="F7916" i="1"/>
  <c r="G7916" i="1"/>
  <c r="H7916" i="1"/>
  <c r="I7916" i="1"/>
  <c r="J7916" i="1"/>
  <c r="K7916" i="1"/>
  <c r="L7916" i="1"/>
  <c r="A7917" i="1"/>
  <c r="B7917" i="1"/>
  <c r="C7917" i="1"/>
  <c r="D7917" i="1"/>
  <c r="E7917" i="1"/>
  <c r="F7917" i="1"/>
  <c r="G7917" i="1"/>
  <c r="H7917" i="1"/>
  <c r="I7917" i="1"/>
  <c r="J7917" i="1"/>
  <c r="K7917" i="1"/>
  <c r="L7917" i="1"/>
  <c r="A7918" i="1"/>
  <c r="B7918" i="1"/>
  <c r="C7918" i="1"/>
  <c r="D7918" i="1"/>
  <c r="E7918" i="1"/>
  <c r="F7918" i="1"/>
  <c r="G7918" i="1"/>
  <c r="H7918" i="1"/>
  <c r="I7918" i="1"/>
  <c r="J7918" i="1"/>
  <c r="K7918" i="1"/>
  <c r="L7918" i="1"/>
  <c r="A7919" i="1"/>
  <c r="B7919" i="1"/>
  <c r="C7919" i="1"/>
  <c r="D7919" i="1"/>
  <c r="E7919" i="1"/>
  <c r="F7919" i="1"/>
  <c r="G7919" i="1"/>
  <c r="H7919" i="1"/>
  <c r="I7919" i="1"/>
  <c r="J7919" i="1"/>
  <c r="K7919" i="1"/>
  <c r="L7919" i="1"/>
  <c r="A7920" i="1"/>
  <c r="B7920" i="1"/>
  <c r="C7920" i="1"/>
  <c r="D7920" i="1"/>
  <c r="E7920" i="1"/>
  <c r="F7920" i="1"/>
  <c r="G7920" i="1"/>
  <c r="H7920" i="1"/>
  <c r="I7920" i="1"/>
  <c r="J7920" i="1"/>
  <c r="K7920" i="1"/>
  <c r="L7920" i="1"/>
  <c r="A7921" i="1"/>
  <c r="B7921" i="1"/>
  <c r="C7921" i="1"/>
  <c r="D7921" i="1"/>
  <c r="E7921" i="1"/>
  <c r="F7921" i="1"/>
  <c r="G7921" i="1"/>
  <c r="H7921" i="1"/>
  <c r="I7921" i="1"/>
  <c r="J7921" i="1"/>
  <c r="K7921" i="1"/>
  <c r="L7921" i="1"/>
  <c r="A7922" i="1"/>
  <c r="B7922" i="1"/>
  <c r="C7922" i="1"/>
  <c r="D7922" i="1"/>
  <c r="E7922" i="1"/>
  <c r="F7922" i="1"/>
  <c r="G7922" i="1"/>
  <c r="H7922" i="1"/>
  <c r="I7922" i="1"/>
  <c r="J7922" i="1"/>
  <c r="K7922" i="1"/>
  <c r="L7922" i="1"/>
  <c r="A7923" i="1"/>
  <c r="B7923" i="1"/>
  <c r="C7923" i="1"/>
  <c r="D7923" i="1"/>
  <c r="E7923" i="1"/>
  <c r="F7923" i="1"/>
  <c r="G7923" i="1"/>
  <c r="H7923" i="1"/>
  <c r="I7923" i="1"/>
  <c r="J7923" i="1"/>
  <c r="K7923" i="1"/>
  <c r="L7923" i="1"/>
  <c r="A7924" i="1"/>
  <c r="B7924" i="1"/>
  <c r="C7924" i="1"/>
  <c r="D7924" i="1"/>
  <c r="E7924" i="1"/>
  <c r="F7924" i="1"/>
  <c r="G7924" i="1"/>
  <c r="H7924" i="1"/>
  <c r="I7924" i="1"/>
  <c r="J7924" i="1"/>
  <c r="K7924" i="1"/>
  <c r="L7924" i="1"/>
  <c r="A7925" i="1"/>
  <c r="B7925" i="1"/>
  <c r="C7925" i="1"/>
  <c r="D7925" i="1"/>
  <c r="E7925" i="1"/>
  <c r="F7925" i="1"/>
  <c r="G7925" i="1"/>
  <c r="H7925" i="1"/>
  <c r="I7925" i="1"/>
  <c r="J7925" i="1"/>
  <c r="K7925" i="1"/>
  <c r="L7925" i="1"/>
  <c r="A7926" i="1"/>
  <c r="B7926" i="1"/>
  <c r="C7926" i="1"/>
  <c r="D7926" i="1"/>
  <c r="E7926" i="1"/>
  <c r="F7926" i="1"/>
  <c r="G7926" i="1"/>
  <c r="H7926" i="1"/>
  <c r="I7926" i="1"/>
  <c r="J7926" i="1"/>
  <c r="K7926" i="1"/>
  <c r="L7926" i="1"/>
  <c r="A7927" i="1"/>
  <c r="B7927" i="1"/>
  <c r="C7927" i="1"/>
  <c r="D7927" i="1"/>
  <c r="E7927" i="1"/>
  <c r="F7927" i="1"/>
  <c r="G7927" i="1"/>
  <c r="H7927" i="1"/>
  <c r="I7927" i="1"/>
  <c r="J7927" i="1"/>
  <c r="K7927" i="1"/>
  <c r="L7927" i="1"/>
  <c r="A7928" i="1"/>
  <c r="B7928" i="1"/>
  <c r="C7928" i="1"/>
  <c r="D7928" i="1"/>
  <c r="E7928" i="1"/>
  <c r="F7928" i="1"/>
  <c r="G7928" i="1"/>
  <c r="H7928" i="1"/>
  <c r="I7928" i="1"/>
  <c r="J7928" i="1"/>
  <c r="K7928" i="1"/>
  <c r="L7928" i="1"/>
  <c r="A7929" i="1"/>
  <c r="B7929" i="1"/>
  <c r="C7929" i="1"/>
  <c r="D7929" i="1"/>
  <c r="E7929" i="1"/>
  <c r="F7929" i="1"/>
  <c r="G7929" i="1"/>
  <c r="H7929" i="1"/>
  <c r="I7929" i="1"/>
  <c r="J7929" i="1"/>
  <c r="K7929" i="1"/>
  <c r="L7929" i="1"/>
  <c r="A7930" i="1"/>
  <c r="B7930" i="1"/>
  <c r="C7930" i="1"/>
  <c r="D7930" i="1"/>
  <c r="E7930" i="1"/>
  <c r="F7930" i="1"/>
  <c r="G7930" i="1"/>
  <c r="H7930" i="1"/>
  <c r="I7930" i="1"/>
  <c r="J7930" i="1"/>
  <c r="K7930" i="1"/>
  <c r="L7930" i="1"/>
  <c r="A7931" i="1"/>
  <c r="B7931" i="1"/>
  <c r="C7931" i="1"/>
  <c r="D7931" i="1"/>
  <c r="E7931" i="1"/>
  <c r="F7931" i="1"/>
  <c r="G7931" i="1"/>
  <c r="H7931" i="1"/>
  <c r="I7931" i="1"/>
  <c r="J7931" i="1"/>
  <c r="K7931" i="1"/>
  <c r="L7931" i="1"/>
  <c r="A7932" i="1"/>
  <c r="B7932" i="1"/>
  <c r="C7932" i="1"/>
  <c r="D7932" i="1"/>
  <c r="E7932" i="1"/>
  <c r="F7932" i="1"/>
  <c r="G7932" i="1"/>
  <c r="H7932" i="1"/>
  <c r="I7932" i="1"/>
  <c r="J7932" i="1"/>
  <c r="K7932" i="1"/>
  <c r="L7932" i="1"/>
  <c r="A7933" i="1"/>
  <c r="B7933" i="1"/>
  <c r="C7933" i="1"/>
  <c r="D7933" i="1"/>
  <c r="E7933" i="1"/>
  <c r="F7933" i="1"/>
  <c r="G7933" i="1"/>
  <c r="H7933" i="1"/>
  <c r="I7933" i="1"/>
  <c r="J7933" i="1"/>
  <c r="K7933" i="1"/>
  <c r="L7933" i="1"/>
  <c r="A7934" i="1"/>
  <c r="B7934" i="1"/>
  <c r="C7934" i="1"/>
  <c r="D7934" i="1"/>
  <c r="E7934" i="1"/>
  <c r="F7934" i="1"/>
  <c r="G7934" i="1"/>
  <c r="H7934" i="1"/>
  <c r="I7934" i="1"/>
  <c r="J7934" i="1"/>
  <c r="K7934" i="1"/>
  <c r="L7934" i="1"/>
  <c r="A7935" i="1"/>
  <c r="B7935" i="1"/>
  <c r="C7935" i="1"/>
  <c r="D7935" i="1"/>
  <c r="E7935" i="1"/>
  <c r="F7935" i="1"/>
  <c r="G7935" i="1"/>
  <c r="H7935" i="1"/>
  <c r="I7935" i="1"/>
  <c r="J7935" i="1"/>
  <c r="K7935" i="1"/>
  <c r="L7935" i="1"/>
  <c r="A7936" i="1"/>
  <c r="B7936" i="1"/>
  <c r="C7936" i="1"/>
  <c r="D7936" i="1"/>
  <c r="E7936" i="1"/>
  <c r="F7936" i="1"/>
  <c r="G7936" i="1"/>
  <c r="H7936" i="1"/>
  <c r="I7936" i="1"/>
  <c r="J7936" i="1"/>
  <c r="K7936" i="1"/>
  <c r="L7936" i="1"/>
  <c r="A7937" i="1"/>
  <c r="B7937" i="1"/>
  <c r="C7937" i="1"/>
  <c r="D7937" i="1"/>
  <c r="E7937" i="1"/>
  <c r="F7937" i="1"/>
  <c r="G7937" i="1"/>
  <c r="H7937" i="1"/>
  <c r="I7937" i="1"/>
  <c r="J7937" i="1"/>
  <c r="K7937" i="1"/>
  <c r="L7937" i="1"/>
  <c r="A7938" i="1"/>
  <c r="B7938" i="1"/>
  <c r="C7938" i="1"/>
  <c r="D7938" i="1"/>
  <c r="E7938" i="1"/>
  <c r="F7938" i="1"/>
  <c r="G7938" i="1"/>
  <c r="H7938" i="1"/>
  <c r="I7938" i="1"/>
  <c r="J7938" i="1"/>
  <c r="K7938" i="1"/>
  <c r="L7938" i="1"/>
  <c r="A7939" i="1"/>
  <c r="B7939" i="1"/>
  <c r="C7939" i="1"/>
  <c r="D7939" i="1"/>
  <c r="E7939" i="1"/>
  <c r="F7939" i="1"/>
  <c r="G7939" i="1"/>
  <c r="H7939" i="1"/>
  <c r="I7939" i="1"/>
  <c r="J7939" i="1"/>
  <c r="K7939" i="1"/>
  <c r="L7939" i="1"/>
  <c r="A7940" i="1"/>
  <c r="B7940" i="1"/>
  <c r="C7940" i="1"/>
  <c r="D7940" i="1"/>
  <c r="E7940" i="1"/>
  <c r="F7940" i="1"/>
  <c r="G7940" i="1"/>
  <c r="H7940" i="1"/>
  <c r="I7940" i="1"/>
  <c r="J7940" i="1"/>
  <c r="K7940" i="1"/>
  <c r="L7940" i="1"/>
  <c r="A7941" i="1"/>
  <c r="B7941" i="1"/>
  <c r="C7941" i="1"/>
  <c r="D7941" i="1"/>
  <c r="E7941" i="1"/>
  <c r="F7941" i="1"/>
  <c r="G7941" i="1"/>
  <c r="H7941" i="1"/>
  <c r="I7941" i="1"/>
  <c r="J7941" i="1"/>
  <c r="K7941" i="1"/>
  <c r="L7941" i="1"/>
  <c r="A7942" i="1"/>
  <c r="B7942" i="1"/>
  <c r="C7942" i="1"/>
  <c r="D7942" i="1"/>
  <c r="E7942" i="1"/>
  <c r="F7942" i="1"/>
  <c r="G7942" i="1"/>
  <c r="H7942" i="1"/>
  <c r="I7942" i="1"/>
  <c r="J7942" i="1"/>
  <c r="K7942" i="1"/>
  <c r="L7942" i="1"/>
  <c r="A7943" i="1"/>
  <c r="B7943" i="1"/>
  <c r="C7943" i="1"/>
  <c r="D7943" i="1"/>
  <c r="E7943" i="1"/>
  <c r="F7943" i="1"/>
  <c r="G7943" i="1"/>
  <c r="H7943" i="1"/>
  <c r="I7943" i="1"/>
  <c r="J7943" i="1"/>
  <c r="K7943" i="1"/>
  <c r="L7943" i="1"/>
  <c r="A7944" i="1"/>
  <c r="B7944" i="1"/>
  <c r="C7944" i="1"/>
  <c r="D7944" i="1"/>
  <c r="E7944" i="1"/>
  <c r="F7944" i="1"/>
  <c r="G7944" i="1"/>
  <c r="H7944" i="1"/>
  <c r="I7944" i="1"/>
  <c r="J7944" i="1"/>
  <c r="K7944" i="1"/>
  <c r="L7944" i="1"/>
  <c r="A7945" i="1"/>
  <c r="B7945" i="1"/>
  <c r="C7945" i="1"/>
  <c r="D7945" i="1"/>
  <c r="E7945" i="1"/>
  <c r="F7945" i="1"/>
  <c r="G7945" i="1"/>
  <c r="H7945" i="1"/>
  <c r="I7945" i="1"/>
  <c r="J7945" i="1"/>
  <c r="K7945" i="1"/>
  <c r="L7945" i="1"/>
  <c r="A7946" i="1"/>
  <c r="B7946" i="1"/>
  <c r="C7946" i="1"/>
  <c r="D7946" i="1"/>
  <c r="E7946" i="1"/>
  <c r="F7946" i="1"/>
  <c r="G7946" i="1"/>
  <c r="H7946" i="1"/>
  <c r="I7946" i="1"/>
  <c r="J7946" i="1"/>
  <c r="K7946" i="1"/>
  <c r="L7946" i="1"/>
  <c r="A7947" i="1"/>
  <c r="B7947" i="1"/>
  <c r="C7947" i="1"/>
  <c r="D7947" i="1"/>
  <c r="E7947" i="1"/>
  <c r="F7947" i="1"/>
  <c r="G7947" i="1"/>
  <c r="H7947" i="1"/>
  <c r="I7947" i="1"/>
  <c r="J7947" i="1"/>
  <c r="K7947" i="1"/>
  <c r="L7947" i="1"/>
  <c r="A7948" i="1"/>
  <c r="B7948" i="1"/>
  <c r="C7948" i="1"/>
  <c r="D7948" i="1"/>
  <c r="E7948" i="1"/>
  <c r="F7948" i="1"/>
  <c r="G7948" i="1"/>
  <c r="H7948" i="1"/>
  <c r="I7948" i="1"/>
  <c r="J7948" i="1"/>
  <c r="K7948" i="1"/>
  <c r="L7948" i="1"/>
  <c r="A7949" i="1"/>
  <c r="B7949" i="1"/>
  <c r="C7949" i="1"/>
  <c r="D7949" i="1"/>
  <c r="E7949" i="1"/>
  <c r="F7949" i="1"/>
  <c r="G7949" i="1"/>
  <c r="H7949" i="1"/>
  <c r="I7949" i="1"/>
  <c r="J7949" i="1"/>
  <c r="K7949" i="1"/>
  <c r="L7949" i="1"/>
  <c r="A7950" i="1"/>
  <c r="B7950" i="1"/>
  <c r="C7950" i="1"/>
  <c r="D7950" i="1"/>
  <c r="E7950" i="1"/>
  <c r="F7950" i="1"/>
  <c r="G7950" i="1"/>
  <c r="H7950" i="1"/>
  <c r="I7950" i="1"/>
  <c r="J7950" i="1"/>
  <c r="K7950" i="1"/>
  <c r="L7950" i="1"/>
  <c r="A7951" i="1"/>
  <c r="B7951" i="1"/>
  <c r="C7951" i="1"/>
  <c r="D7951" i="1"/>
  <c r="E7951" i="1"/>
  <c r="F7951" i="1"/>
  <c r="G7951" i="1"/>
  <c r="H7951" i="1"/>
  <c r="I7951" i="1"/>
  <c r="J7951" i="1"/>
  <c r="K7951" i="1"/>
  <c r="L7951" i="1"/>
  <c r="A7952" i="1"/>
  <c r="B7952" i="1"/>
  <c r="C7952" i="1"/>
  <c r="D7952" i="1"/>
  <c r="E7952" i="1"/>
  <c r="F7952" i="1"/>
  <c r="G7952" i="1"/>
  <c r="H7952" i="1"/>
  <c r="I7952" i="1"/>
  <c r="J7952" i="1"/>
  <c r="K7952" i="1"/>
  <c r="L7952" i="1"/>
  <c r="A7953" i="1"/>
  <c r="B7953" i="1"/>
  <c r="C7953" i="1"/>
  <c r="D7953" i="1"/>
  <c r="E7953" i="1"/>
  <c r="F7953" i="1"/>
  <c r="G7953" i="1"/>
  <c r="H7953" i="1"/>
  <c r="I7953" i="1"/>
  <c r="J7953" i="1"/>
  <c r="K7953" i="1"/>
  <c r="L7953" i="1"/>
  <c r="A7954" i="1"/>
  <c r="B7954" i="1"/>
  <c r="C7954" i="1"/>
  <c r="D7954" i="1"/>
  <c r="E7954" i="1"/>
  <c r="F7954" i="1"/>
  <c r="G7954" i="1"/>
  <c r="H7954" i="1"/>
  <c r="I7954" i="1"/>
  <c r="J7954" i="1"/>
  <c r="K7954" i="1"/>
  <c r="L7954" i="1"/>
  <c r="A7955" i="1"/>
  <c r="B7955" i="1"/>
  <c r="C7955" i="1"/>
  <c r="D7955" i="1"/>
  <c r="E7955" i="1"/>
  <c r="F7955" i="1"/>
  <c r="G7955" i="1"/>
  <c r="H7955" i="1"/>
  <c r="I7955" i="1"/>
  <c r="J7955" i="1"/>
  <c r="K7955" i="1"/>
  <c r="L7955" i="1"/>
  <c r="A7956" i="1"/>
  <c r="B7956" i="1"/>
  <c r="C7956" i="1"/>
  <c r="D7956" i="1"/>
  <c r="E7956" i="1"/>
  <c r="F7956" i="1"/>
  <c r="G7956" i="1"/>
  <c r="H7956" i="1"/>
  <c r="I7956" i="1"/>
  <c r="J7956" i="1"/>
  <c r="K7956" i="1"/>
  <c r="L7956" i="1"/>
  <c r="A7957" i="1"/>
  <c r="B7957" i="1"/>
  <c r="C7957" i="1"/>
  <c r="D7957" i="1"/>
  <c r="E7957" i="1"/>
  <c r="F7957" i="1"/>
  <c r="G7957" i="1"/>
  <c r="H7957" i="1"/>
  <c r="I7957" i="1"/>
  <c r="J7957" i="1"/>
  <c r="K7957" i="1"/>
  <c r="L7957" i="1"/>
  <c r="A7958" i="1"/>
  <c r="B7958" i="1"/>
  <c r="C7958" i="1"/>
  <c r="D7958" i="1"/>
  <c r="E7958" i="1"/>
  <c r="F7958" i="1"/>
  <c r="G7958" i="1"/>
  <c r="H7958" i="1"/>
  <c r="I7958" i="1"/>
  <c r="J7958" i="1"/>
  <c r="K7958" i="1"/>
  <c r="L7958" i="1"/>
  <c r="A7959" i="1"/>
  <c r="B7959" i="1"/>
  <c r="C7959" i="1"/>
  <c r="D7959" i="1"/>
  <c r="E7959" i="1"/>
  <c r="F7959" i="1"/>
  <c r="G7959" i="1"/>
  <c r="H7959" i="1"/>
  <c r="I7959" i="1"/>
  <c r="J7959" i="1"/>
  <c r="K7959" i="1"/>
  <c r="L7959" i="1"/>
  <c r="A7960" i="1"/>
  <c r="B7960" i="1"/>
  <c r="C7960" i="1"/>
  <c r="D7960" i="1"/>
  <c r="E7960" i="1"/>
  <c r="F7960" i="1"/>
  <c r="G7960" i="1"/>
  <c r="H7960" i="1"/>
  <c r="I7960" i="1"/>
  <c r="J7960" i="1"/>
  <c r="K7960" i="1"/>
  <c r="L7960" i="1"/>
  <c r="A7961" i="1"/>
  <c r="B7961" i="1"/>
  <c r="C7961" i="1"/>
  <c r="D7961" i="1"/>
  <c r="E7961" i="1"/>
  <c r="F7961" i="1"/>
  <c r="G7961" i="1"/>
  <c r="H7961" i="1"/>
  <c r="I7961" i="1"/>
  <c r="J7961" i="1"/>
  <c r="K7961" i="1"/>
  <c r="L7961" i="1"/>
  <c r="A7962" i="1"/>
  <c r="B7962" i="1"/>
  <c r="C7962" i="1"/>
  <c r="D7962" i="1"/>
  <c r="E7962" i="1"/>
  <c r="F7962" i="1"/>
  <c r="G7962" i="1"/>
  <c r="H7962" i="1"/>
  <c r="I7962" i="1"/>
  <c r="J7962" i="1"/>
  <c r="K7962" i="1"/>
  <c r="L7962" i="1"/>
  <c r="A7963" i="1"/>
  <c r="B7963" i="1"/>
  <c r="C7963" i="1"/>
  <c r="D7963" i="1"/>
  <c r="E7963" i="1"/>
  <c r="F7963" i="1"/>
  <c r="G7963" i="1"/>
  <c r="H7963" i="1"/>
  <c r="I7963" i="1"/>
  <c r="J7963" i="1"/>
  <c r="K7963" i="1"/>
  <c r="L7963" i="1"/>
  <c r="A7964" i="1"/>
  <c r="B7964" i="1"/>
  <c r="C7964" i="1"/>
  <c r="D7964" i="1"/>
  <c r="E7964" i="1"/>
  <c r="F7964" i="1"/>
  <c r="G7964" i="1"/>
  <c r="H7964" i="1"/>
  <c r="I7964" i="1"/>
  <c r="J7964" i="1"/>
  <c r="K7964" i="1"/>
  <c r="L7964" i="1"/>
  <c r="A7965" i="1"/>
  <c r="B7965" i="1"/>
  <c r="C7965" i="1"/>
  <c r="D7965" i="1"/>
  <c r="E7965" i="1"/>
  <c r="F7965" i="1"/>
  <c r="G7965" i="1"/>
  <c r="H7965" i="1"/>
  <c r="I7965" i="1"/>
  <c r="J7965" i="1"/>
  <c r="K7965" i="1"/>
  <c r="L7965" i="1"/>
  <c r="A7966" i="1"/>
  <c r="B7966" i="1"/>
  <c r="C7966" i="1"/>
  <c r="D7966" i="1"/>
  <c r="E7966" i="1"/>
  <c r="F7966" i="1"/>
  <c r="G7966" i="1"/>
  <c r="H7966" i="1"/>
  <c r="I7966" i="1"/>
  <c r="J7966" i="1"/>
  <c r="K7966" i="1"/>
  <c r="L7966" i="1"/>
  <c r="A7967" i="1"/>
  <c r="B7967" i="1"/>
  <c r="C7967" i="1"/>
  <c r="D7967" i="1"/>
  <c r="E7967" i="1"/>
  <c r="F7967" i="1"/>
  <c r="G7967" i="1"/>
  <c r="H7967" i="1"/>
  <c r="I7967" i="1"/>
  <c r="J7967" i="1"/>
  <c r="K7967" i="1"/>
  <c r="L7967" i="1"/>
  <c r="A7968" i="1"/>
  <c r="B7968" i="1"/>
  <c r="C7968" i="1"/>
  <c r="D7968" i="1"/>
  <c r="E7968" i="1"/>
  <c r="F7968" i="1"/>
  <c r="G7968" i="1"/>
  <c r="H7968" i="1"/>
  <c r="I7968" i="1"/>
  <c r="J7968" i="1"/>
  <c r="K7968" i="1"/>
  <c r="L7968" i="1"/>
  <c r="A7969" i="1"/>
  <c r="B7969" i="1"/>
  <c r="C7969" i="1"/>
  <c r="D7969" i="1"/>
  <c r="E7969" i="1"/>
  <c r="F7969" i="1"/>
  <c r="G7969" i="1"/>
  <c r="H7969" i="1"/>
  <c r="I7969" i="1"/>
  <c r="J7969" i="1"/>
  <c r="K7969" i="1"/>
  <c r="L7969" i="1"/>
  <c r="A7970" i="1"/>
  <c r="B7970" i="1"/>
  <c r="C7970" i="1"/>
  <c r="D7970" i="1"/>
  <c r="E7970" i="1"/>
  <c r="F7970" i="1"/>
  <c r="G7970" i="1"/>
  <c r="H7970" i="1"/>
  <c r="I7970" i="1"/>
  <c r="J7970" i="1"/>
  <c r="K7970" i="1"/>
  <c r="L7970" i="1"/>
  <c r="A7971" i="1"/>
  <c r="B7971" i="1"/>
  <c r="C7971" i="1"/>
  <c r="D7971" i="1"/>
  <c r="E7971" i="1"/>
  <c r="F7971" i="1"/>
  <c r="G7971" i="1"/>
  <c r="H7971" i="1"/>
  <c r="I7971" i="1"/>
  <c r="J7971" i="1"/>
  <c r="K7971" i="1"/>
  <c r="L7971" i="1"/>
  <c r="A7972" i="1"/>
  <c r="B7972" i="1"/>
  <c r="C7972" i="1"/>
  <c r="D7972" i="1"/>
  <c r="E7972" i="1"/>
  <c r="F7972" i="1"/>
  <c r="G7972" i="1"/>
  <c r="H7972" i="1"/>
  <c r="I7972" i="1"/>
  <c r="J7972" i="1"/>
  <c r="K7972" i="1"/>
  <c r="L7972" i="1"/>
  <c r="A7973" i="1"/>
  <c r="B7973" i="1"/>
  <c r="C7973" i="1"/>
  <c r="D7973" i="1"/>
  <c r="E7973" i="1"/>
  <c r="F7973" i="1"/>
  <c r="G7973" i="1"/>
  <c r="H7973" i="1"/>
  <c r="I7973" i="1"/>
  <c r="J7973" i="1"/>
  <c r="K7973" i="1"/>
  <c r="L7973" i="1"/>
  <c r="A7974" i="1"/>
  <c r="B7974" i="1"/>
  <c r="C7974" i="1"/>
  <c r="D7974" i="1"/>
  <c r="E7974" i="1"/>
  <c r="F7974" i="1"/>
  <c r="G7974" i="1"/>
  <c r="H7974" i="1"/>
  <c r="I7974" i="1"/>
  <c r="J7974" i="1"/>
  <c r="K7974" i="1"/>
  <c r="L7974" i="1"/>
  <c r="A7975" i="1"/>
  <c r="B7975" i="1"/>
  <c r="C7975" i="1"/>
  <c r="D7975" i="1"/>
  <c r="E7975" i="1"/>
  <c r="F7975" i="1"/>
  <c r="G7975" i="1"/>
  <c r="H7975" i="1"/>
  <c r="I7975" i="1"/>
  <c r="J7975" i="1"/>
  <c r="K7975" i="1"/>
  <c r="L7975" i="1"/>
  <c r="A7976" i="1"/>
  <c r="B7976" i="1"/>
  <c r="C7976" i="1"/>
  <c r="D7976" i="1"/>
  <c r="E7976" i="1"/>
  <c r="F7976" i="1"/>
  <c r="G7976" i="1"/>
  <c r="H7976" i="1"/>
  <c r="I7976" i="1"/>
  <c r="J7976" i="1"/>
  <c r="K7976" i="1"/>
  <c r="L7976" i="1"/>
  <c r="A7977" i="1"/>
  <c r="B7977" i="1"/>
  <c r="C7977" i="1"/>
  <c r="D7977" i="1"/>
  <c r="E7977" i="1"/>
  <c r="F7977" i="1"/>
  <c r="G7977" i="1"/>
  <c r="H7977" i="1"/>
  <c r="I7977" i="1"/>
  <c r="J7977" i="1"/>
  <c r="K7977" i="1"/>
  <c r="L7977" i="1"/>
  <c r="A7978" i="1"/>
  <c r="B7978" i="1"/>
  <c r="C7978" i="1"/>
  <c r="D7978" i="1"/>
  <c r="E7978" i="1"/>
  <c r="F7978" i="1"/>
  <c r="G7978" i="1"/>
  <c r="H7978" i="1"/>
  <c r="I7978" i="1"/>
  <c r="J7978" i="1"/>
  <c r="K7978" i="1"/>
  <c r="L7978" i="1"/>
  <c r="A7979" i="1"/>
  <c r="B7979" i="1"/>
  <c r="C7979" i="1"/>
  <c r="D7979" i="1"/>
  <c r="E7979" i="1"/>
  <c r="F7979" i="1"/>
  <c r="G7979" i="1"/>
  <c r="H7979" i="1"/>
  <c r="I7979" i="1"/>
  <c r="J7979" i="1"/>
  <c r="K7979" i="1"/>
  <c r="L7979" i="1"/>
  <c r="A7980" i="1"/>
  <c r="B7980" i="1"/>
  <c r="C7980" i="1"/>
  <c r="D7980" i="1"/>
  <c r="E7980" i="1"/>
  <c r="F7980" i="1"/>
  <c r="G7980" i="1"/>
  <c r="H7980" i="1"/>
  <c r="I7980" i="1"/>
  <c r="J7980" i="1"/>
  <c r="K7980" i="1"/>
  <c r="L7980" i="1"/>
  <c r="A7981" i="1"/>
  <c r="B7981" i="1"/>
  <c r="C7981" i="1"/>
  <c r="D7981" i="1"/>
  <c r="E7981" i="1"/>
  <c r="F7981" i="1"/>
  <c r="G7981" i="1"/>
  <c r="H7981" i="1"/>
  <c r="I7981" i="1"/>
  <c r="J7981" i="1"/>
  <c r="K7981" i="1"/>
  <c r="L7981" i="1"/>
  <c r="A7982" i="1"/>
  <c r="B7982" i="1"/>
  <c r="C7982" i="1"/>
  <c r="D7982" i="1"/>
  <c r="E7982" i="1"/>
  <c r="F7982" i="1"/>
  <c r="G7982" i="1"/>
  <c r="H7982" i="1"/>
  <c r="I7982" i="1"/>
  <c r="J7982" i="1"/>
  <c r="K7982" i="1"/>
  <c r="L7982" i="1"/>
  <c r="A7983" i="1"/>
  <c r="B7983" i="1"/>
  <c r="C7983" i="1"/>
  <c r="D7983" i="1"/>
  <c r="E7983" i="1"/>
  <c r="F7983" i="1"/>
  <c r="G7983" i="1"/>
  <c r="H7983" i="1"/>
  <c r="I7983" i="1"/>
  <c r="J7983" i="1"/>
  <c r="K7983" i="1"/>
  <c r="L7983" i="1"/>
  <c r="A7984" i="1"/>
  <c r="B7984" i="1"/>
  <c r="C7984" i="1"/>
  <c r="D7984" i="1"/>
  <c r="E7984" i="1"/>
  <c r="F7984" i="1"/>
  <c r="G7984" i="1"/>
  <c r="H7984" i="1"/>
  <c r="I7984" i="1"/>
  <c r="J7984" i="1"/>
  <c r="K7984" i="1"/>
  <c r="L7984" i="1"/>
  <c r="A7985" i="1"/>
  <c r="B7985" i="1"/>
  <c r="C7985" i="1"/>
  <c r="D7985" i="1"/>
  <c r="E7985" i="1"/>
  <c r="F7985" i="1"/>
  <c r="G7985" i="1"/>
  <c r="H7985" i="1"/>
  <c r="I7985" i="1"/>
  <c r="J7985" i="1"/>
  <c r="K7985" i="1"/>
  <c r="L7985" i="1"/>
  <c r="A7986" i="1"/>
  <c r="B7986" i="1"/>
  <c r="C7986" i="1"/>
  <c r="D7986" i="1"/>
  <c r="E7986" i="1"/>
  <c r="F7986" i="1"/>
  <c r="G7986" i="1"/>
  <c r="H7986" i="1"/>
  <c r="I7986" i="1"/>
  <c r="J7986" i="1"/>
  <c r="K7986" i="1"/>
  <c r="L7986" i="1"/>
  <c r="A7987" i="1"/>
  <c r="B7987" i="1"/>
  <c r="C7987" i="1"/>
  <c r="D7987" i="1"/>
  <c r="E7987" i="1"/>
  <c r="F7987" i="1"/>
  <c r="G7987" i="1"/>
  <c r="H7987" i="1"/>
  <c r="I7987" i="1"/>
  <c r="J7987" i="1"/>
  <c r="K7987" i="1"/>
  <c r="L7987" i="1"/>
  <c r="A7988" i="1"/>
  <c r="B7988" i="1"/>
  <c r="C7988" i="1"/>
  <c r="D7988" i="1"/>
  <c r="E7988" i="1"/>
  <c r="F7988" i="1"/>
  <c r="G7988" i="1"/>
  <c r="H7988" i="1"/>
  <c r="I7988" i="1"/>
  <c r="J7988" i="1"/>
  <c r="K7988" i="1"/>
  <c r="L7988" i="1"/>
  <c r="A7989" i="1"/>
  <c r="B7989" i="1"/>
  <c r="C7989" i="1"/>
  <c r="D7989" i="1"/>
  <c r="E7989" i="1"/>
  <c r="F7989" i="1"/>
  <c r="G7989" i="1"/>
  <c r="H7989" i="1"/>
  <c r="I7989" i="1"/>
  <c r="J7989" i="1"/>
  <c r="K7989" i="1"/>
  <c r="L7989" i="1"/>
  <c r="A7990" i="1"/>
  <c r="B7990" i="1"/>
  <c r="C7990" i="1"/>
  <c r="D7990" i="1"/>
  <c r="E7990" i="1"/>
  <c r="F7990" i="1"/>
  <c r="G7990" i="1"/>
  <c r="H7990" i="1"/>
  <c r="I7990" i="1"/>
  <c r="J7990" i="1"/>
  <c r="K7990" i="1"/>
  <c r="L7990" i="1"/>
  <c r="A7991" i="1"/>
  <c r="B7991" i="1"/>
  <c r="C7991" i="1"/>
  <c r="D7991" i="1"/>
  <c r="E7991" i="1"/>
  <c r="F7991" i="1"/>
  <c r="G7991" i="1"/>
  <c r="H7991" i="1"/>
  <c r="I7991" i="1"/>
  <c r="J7991" i="1"/>
  <c r="K7991" i="1"/>
  <c r="L7991" i="1"/>
  <c r="A7992" i="1"/>
  <c r="B7992" i="1"/>
  <c r="C7992" i="1"/>
  <c r="D7992" i="1"/>
  <c r="E7992" i="1"/>
  <c r="F7992" i="1"/>
  <c r="G7992" i="1"/>
  <c r="H7992" i="1"/>
  <c r="I7992" i="1"/>
  <c r="J7992" i="1"/>
  <c r="K7992" i="1"/>
  <c r="L7992" i="1"/>
  <c r="A7993" i="1"/>
  <c r="B7993" i="1"/>
  <c r="C7993" i="1"/>
  <c r="D7993" i="1"/>
  <c r="E7993" i="1"/>
  <c r="F7993" i="1"/>
  <c r="G7993" i="1"/>
  <c r="H7993" i="1"/>
  <c r="I7993" i="1"/>
  <c r="J7993" i="1"/>
  <c r="K7993" i="1"/>
  <c r="L7993" i="1"/>
  <c r="A7994" i="1"/>
  <c r="B7994" i="1"/>
  <c r="C7994" i="1"/>
  <c r="D7994" i="1"/>
  <c r="E7994" i="1"/>
  <c r="F7994" i="1"/>
  <c r="G7994" i="1"/>
  <c r="H7994" i="1"/>
  <c r="I7994" i="1"/>
  <c r="J7994" i="1"/>
  <c r="K7994" i="1"/>
  <c r="L7994" i="1"/>
  <c r="A7995" i="1"/>
  <c r="B7995" i="1"/>
  <c r="C7995" i="1"/>
  <c r="D7995" i="1"/>
  <c r="E7995" i="1"/>
  <c r="F7995" i="1"/>
  <c r="G7995" i="1"/>
  <c r="H7995" i="1"/>
  <c r="I7995" i="1"/>
  <c r="J7995" i="1"/>
  <c r="K7995" i="1"/>
  <c r="L7995" i="1"/>
  <c r="A7996" i="1"/>
  <c r="B7996" i="1"/>
  <c r="C7996" i="1"/>
  <c r="D7996" i="1"/>
  <c r="E7996" i="1"/>
  <c r="F7996" i="1"/>
  <c r="G7996" i="1"/>
  <c r="H7996" i="1"/>
  <c r="I7996" i="1"/>
  <c r="J7996" i="1"/>
  <c r="K7996" i="1"/>
  <c r="L7996" i="1"/>
  <c r="A7997" i="1"/>
  <c r="B7997" i="1"/>
  <c r="C7997" i="1"/>
  <c r="D7997" i="1"/>
  <c r="E7997" i="1"/>
  <c r="F7997" i="1"/>
  <c r="G7997" i="1"/>
  <c r="H7997" i="1"/>
  <c r="I7997" i="1"/>
  <c r="J7997" i="1"/>
  <c r="K7997" i="1"/>
  <c r="L7997" i="1"/>
  <c r="A7998" i="1"/>
  <c r="B7998" i="1"/>
  <c r="C7998" i="1"/>
  <c r="D7998" i="1"/>
  <c r="E7998" i="1"/>
  <c r="F7998" i="1"/>
  <c r="G7998" i="1"/>
  <c r="H7998" i="1"/>
  <c r="I7998" i="1"/>
  <c r="J7998" i="1"/>
  <c r="K7998" i="1"/>
  <c r="L7998" i="1"/>
  <c r="A7999" i="1"/>
  <c r="B7999" i="1"/>
  <c r="C7999" i="1"/>
  <c r="D7999" i="1"/>
  <c r="E7999" i="1"/>
  <c r="F7999" i="1"/>
  <c r="G7999" i="1"/>
  <c r="H7999" i="1"/>
  <c r="I7999" i="1"/>
  <c r="J7999" i="1"/>
  <c r="K7999" i="1"/>
  <c r="L7999" i="1"/>
  <c r="A8000" i="1"/>
  <c r="B8000" i="1"/>
  <c r="C8000" i="1"/>
  <c r="D8000" i="1"/>
  <c r="E8000" i="1"/>
  <c r="F8000" i="1"/>
  <c r="G8000" i="1"/>
  <c r="H8000" i="1"/>
  <c r="I8000" i="1"/>
  <c r="J8000" i="1"/>
  <c r="K8000" i="1"/>
  <c r="L8000" i="1"/>
  <c r="A8001" i="1"/>
  <c r="B8001" i="1"/>
  <c r="C8001" i="1"/>
  <c r="D8001" i="1"/>
  <c r="E8001" i="1"/>
  <c r="F8001" i="1"/>
  <c r="G8001" i="1"/>
  <c r="H8001" i="1"/>
  <c r="I8001" i="1"/>
  <c r="J8001" i="1"/>
  <c r="K8001" i="1"/>
  <c r="L8001" i="1"/>
  <c r="A8002" i="1"/>
  <c r="B8002" i="1"/>
  <c r="C8002" i="1"/>
  <c r="D8002" i="1"/>
  <c r="E8002" i="1"/>
  <c r="F8002" i="1"/>
  <c r="G8002" i="1"/>
  <c r="H8002" i="1"/>
  <c r="I8002" i="1"/>
  <c r="J8002" i="1"/>
  <c r="K8002" i="1"/>
  <c r="L8002" i="1"/>
  <c r="A8003" i="1"/>
  <c r="B8003" i="1"/>
  <c r="C8003" i="1"/>
  <c r="D8003" i="1"/>
  <c r="E8003" i="1"/>
  <c r="F8003" i="1"/>
  <c r="G8003" i="1"/>
  <c r="H8003" i="1"/>
  <c r="I8003" i="1"/>
  <c r="J8003" i="1"/>
  <c r="K8003" i="1"/>
  <c r="L8003" i="1"/>
  <c r="A8004" i="1"/>
  <c r="B8004" i="1"/>
  <c r="C8004" i="1"/>
  <c r="D8004" i="1"/>
  <c r="E8004" i="1"/>
  <c r="F8004" i="1"/>
  <c r="G8004" i="1"/>
  <c r="H8004" i="1"/>
  <c r="I8004" i="1"/>
  <c r="J8004" i="1"/>
  <c r="K8004" i="1"/>
  <c r="L8004" i="1"/>
  <c r="A8005" i="1"/>
  <c r="B8005" i="1"/>
  <c r="C8005" i="1"/>
  <c r="D8005" i="1"/>
  <c r="E8005" i="1"/>
  <c r="F8005" i="1"/>
  <c r="G8005" i="1"/>
  <c r="H8005" i="1"/>
  <c r="I8005" i="1"/>
  <c r="J8005" i="1"/>
  <c r="K8005" i="1"/>
  <c r="L8005" i="1"/>
  <c r="A8006" i="1"/>
  <c r="B8006" i="1"/>
  <c r="C8006" i="1"/>
  <c r="D8006" i="1"/>
  <c r="E8006" i="1"/>
  <c r="F8006" i="1"/>
  <c r="G8006" i="1"/>
  <c r="H8006" i="1"/>
  <c r="I8006" i="1"/>
  <c r="J8006" i="1"/>
  <c r="K8006" i="1"/>
  <c r="L8006" i="1"/>
  <c r="A8007" i="1"/>
  <c r="B8007" i="1"/>
  <c r="C8007" i="1"/>
  <c r="D8007" i="1"/>
  <c r="E8007" i="1"/>
  <c r="F8007" i="1"/>
  <c r="G8007" i="1"/>
  <c r="H8007" i="1"/>
  <c r="I8007" i="1"/>
  <c r="J8007" i="1"/>
  <c r="K8007" i="1"/>
  <c r="L8007" i="1"/>
  <c r="A8008" i="1"/>
  <c r="B8008" i="1"/>
  <c r="C8008" i="1"/>
  <c r="D8008" i="1"/>
  <c r="E8008" i="1"/>
  <c r="F8008" i="1"/>
  <c r="G8008" i="1"/>
  <c r="H8008" i="1"/>
  <c r="I8008" i="1"/>
  <c r="J8008" i="1"/>
  <c r="K8008" i="1"/>
  <c r="L8008" i="1"/>
  <c r="A8009" i="1"/>
  <c r="B8009" i="1"/>
  <c r="C8009" i="1"/>
  <c r="D8009" i="1"/>
  <c r="E8009" i="1"/>
  <c r="F8009" i="1"/>
  <c r="G8009" i="1"/>
  <c r="H8009" i="1"/>
  <c r="I8009" i="1"/>
  <c r="J8009" i="1"/>
  <c r="K8009" i="1"/>
  <c r="L8009" i="1"/>
  <c r="A8010" i="1"/>
  <c r="B8010" i="1"/>
  <c r="C8010" i="1"/>
  <c r="D8010" i="1"/>
  <c r="E8010" i="1"/>
  <c r="F8010" i="1"/>
  <c r="G8010" i="1"/>
  <c r="H8010" i="1"/>
  <c r="I8010" i="1"/>
  <c r="J8010" i="1"/>
  <c r="K8010" i="1"/>
  <c r="L8010" i="1"/>
  <c r="A8011" i="1"/>
  <c r="B8011" i="1"/>
  <c r="C8011" i="1"/>
  <c r="D8011" i="1"/>
  <c r="E8011" i="1"/>
  <c r="F8011" i="1"/>
  <c r="G8011" i="1"/>
  <c r="H8011" i="1"/>
  <c r="I8011" i="1"/>
  <c r="J8011" i="1"/>
  <c r="K8011" i="1"/>
  <c r="L8011" i="1"/>
  <c r="A8012" i="1"/>
  <c r="B8012" i="1"/>
  <c r="C8012" i="1"/>
  <c r="D8012" i="1"/>
  <c r="E8012" i="1"/>
  <c r="F8012" i="1"/>
  <c r="G8012" i="1"/>
  <c r="H8012" i="1"/>
  <c r="I8012" i="1"/>
  <c r="J8012" i="1"/>
  <c r="K8012" i="1"/>
  <c r="L8012" i="1"/>
  <c r="A8013" i="1"/>
  <c r="B8013" i="1"/>
  <c r="C8013" i="1"/>
  <c r="D8013" i="1"/>
  <c r="E8013" i="1"/>
  <c r="F8013" i="1"/>
  <c r="G8013" i="1"/>
  <c r="H8013" i="1"/>
  <c r="I8013" i="1"/>
  <c r="J8013" i="1"/>
  <c r="K8013" i="1"/>
  <c r="L8013" i="1"/>
  <c r="A8014" i="1"/>
  <c r="B8014" i="1"/>
  <c r="C8014" i="1"/>
  <c r="D8014" i="1"/>
  <c r="E8014" i="1"/>
  <c r="F8014" i="1"/>
  <c r="G8014" i="1"/>
  <c r="H8014" i="1"/>
  <c r="I8014" i="1"/>
  <c r="J8014" i="1"/>
  <c r="K8014" i="1"/>
  <c r="L8014" i="1"/>
  <c r="A8015" i="1"/>
  <c r="B8015" i="1"/>
  <c r="C8015" i="1"/>
  <c r="D8015" i="1"/>
  <c r="E8015" i="1"/>
  <c r="F8015" i="1"/>
  <c r="G8015" i="1"/>
  <c r="H8015" i="1"/>
  <c r="I8015" i="1"/>
  <c r="J8015" i="1"/>
  <c r="K8015" i="1"/>
  <c r="L8015" i="1"/>
  <c r="A8016" i="1"/>
  <c r="B8016" i="1"/>
  <c r="C8016" i="1"/>
  <c r="D8016" i="1"/>
  <c r="E8016" i="1"/>
  <c r="F8016" i="1"/>
  <c r="G8016" i="1"/>
  <c r="H8016" i="1"/>
  <c r="I8016" i="1"/>
  <c r="J8016" i="1"/>
  <c r="K8016" i="1"/>
  <c r="L8016" i="1"/>
  <c r="A8017" i="1"/>
  <c r="B8017" i="1"/>
  <c r="C8017" i="1"/>
  <c r="D8017" i="1"/>
  <c r="E8017" i="1"/>
  <c r="F8017" i="1"/>
  <c r="G8017" i="1"/>
  <c r="H8017" i="1"/>
  <c r="I8017" i="1"/>
  <c r="J8017" i="1"/>
  <c r="K8017" i="1"/>
  <c r="L8017" i="1"/>
  <c r="A8018" i="1"/>
  <c r="B8018" i="1"/>
  <c r="C8018" i="1"/>
  <c r="D8018" i="1"/>
  <c r="E8018" i="1"/>
  <c r="F8018" i="1"/>
  <c r="G8018" i="1"/>
  <c r="H8018" i="1"/>
  <c r="I8018" i="1"/>
  <c r="J8018" i="1"/>
  <c r="K8018" i="1"/>
  <c r="L8018" i="1"/>
  <c r="A8019" i="1"/>
  <c r="B8019" i="1"/>
  <c r="C8019" i="1"/>
  <c r="D8019" i="1"/>
  <c r="E8019" i="1"/>
  <c r="F8019" i="1"/>
  <c r="G8019" i="1"/>
  <c r="H8019" i="1"/>
  <c r="I8019" i="1"/>
  <c r="J8019" i="1"/>
  <c r="K8019" i="1"/>
  <c r="L8019" i="1"/>
  <c r="A8020" i="1"/>
  <c r="B8020" i="1"/>
  <c r="C8020" i="1"/>
  <c r="D8020" i="1"/>
  <c r="E8020" i="1"/>
  <c r="F8020" i="1"/>
  <c r="G8020" i="1"/>
  <c r="H8020" i="1"/>
  <c r="I8020" i="1"/>
  <c r="J8020" i="1"/>
  <c r="K8020" i="1"/>
  <c r="L8020" i="1"/>
  <c r="A8021" i="1"/>
  <c r="B8021" i="1"/>
  <c r="C8021" i="1"/>
  <c r="D8021" i="1"/>
  <c r="E8021" i="1"/>
  <c r="F8021" i="1"/>
  <c r="G8021" i="1"/>
  <c r="H8021" i="1"/>
  <c r="I8021" i="1"/>
  <c r="J8021" i="1"/>
  <c r="K8021" i="1"/>
  <c r="L8021" i="1"/>
  <c r="A8022" i="1"/>
  <c r="B8022" i="1"/>
  <c r="C8022" i="1"/>
  <c r="D8022" i="1"/>
  <c r="E8022" i="1"/>
  <c r="F8022" i="1"/>
  <c r="G8022" i="1"/>
  <c r="H8022" i="1"/>
  <c r="I8022" i="1"/>
  <c r="J8022" i="1"/>
  <c r="K8022" i="1"/>
  <c r="L8022" i="1"/>
  <c r="A8023" i="1"/>
  <c r="B8023" i="1"/>
  <c r="C8023" i="1"/>
  <c r="D8023" i="1"/>
  <c r="E8023" i="1"/>
  <c r="F8023" i="1"/>
  <c r="G8023" i="1"/>
  <c r="H8023" i="1"/>
  <c r="I8023" i="1"/>
  <c r="J8023" i="1"/>
  <c r="K8023" i="1"/>
  <c r="L8023" i="1"/>
  <c r="A8024" i="1"/>
  <c r="B8024" i="1"/>
  <c r="C8024" i="1"/>
  <c r="D8024" i="1"/>
  <c r="E8024" i="1"/>
  <c r="F8024" i="1"/>
  <c r="G8024" i="1"/>
  <c r="H8024" i="1"/>
  <c r="I8024" i="1"/>
  <c r="J8024" i="1"/>
  <c r="K8024" i="1"/>
  <c r="L8024" i="1"/>
  <c r="A8025" i="1"/>
  <c r="B8025" i="1"/>
  <c r="C8025" i="1"/>
  <c r="D8025" i="1"/>
  <c r="E8025" i="1"/>
  <c r="F8025" i="1"/>
  <c r="G8025" i="1"/>
  <c r="H8025" i="1"/>
  <c r="I8025" i="1"/>
  <c r="J8025" i="1"/>
  <c r="K8025" i="1"/>
  <c r="L8025" i="1"/>
  <c r="A8026" i="1"/>
  <c r="B8026" i="1"/>
  <c r="C8026" i="1"/>
  <c r="D8026" i="1"/>
  <c r="E8026" i="1"/>
  <c r="F8026" i="1"/>
  <c r="G8026" i="1"/>
  <c r="H8026" i="1"/>
  <c r="I8026" i="1"/>
  <c r="J8026" i="1"/>
  <c r="K8026" i="1"/>
  <c r="L8026" i="1"/>
  <c r="A8027" i="1"/>
  <c r="B8027" i="1"/>
  <c r="C8027" i="1"/>
  <c r="D8027" i="1"/>
  <c r="E8027" i="1"/>
  <c r="F8027" i="1"/>
  <c r="G8027" i="1"/>
  <c r="H8027" i="1"/>
  <c r="I8027" i="1"/>
  <c r="J8027" i="1"/>
  <c r="K8027" i="1"/>
  <c r="L8027" i="1"/>
  <c r="A8028" i="1"/>
  <c r="B8028" i="1"/>
  <c r="C8028" i="1"/>
  <c r="D8028" i="1"/>
  <c r="E8028" i="1"/>
  <c r="F8028" i="1"/>
  <c r="G8028" i="1"/>
  <c r="H8028" i="1"/>
  <c r="I8028" i="1"/>
  <c r="J8028" i="1"/>
  <c r="K8028" i="1"/>
  <c r="L8028" i="1"/>
  <c r="A8029" i="1"/>
  <c r="B8029" i="1"/>
  <c r="C8029" i="1"/>
  <c r="D8029" i="1"/>
  <c r="E8029" i="1"/>
  <c r="F8029" i="1"/>
  <c r="G8029" i="1"/>
  <c r="H8029" i="1"/>
  <c r="I8029" i="1"/>
  <c r="J8029" i="1"/>
  <c r="K8029" i="1"/>
  <c r="L8029" i="1"/>
  <c r="A8030" i="1"/>
  <c r="B8030" i="1"/>
  <c r="C8030" i="1"/>
  <c r="D8030" i="1"/>
  <c r="E8030" i="1"/>
  <c r="F8030" i="1"/>
  <c r="G8030" i="1"/>
  <c r="H8030" i="1"/>
  <c r="I8030" i="1"/>
  <c r="J8030" i="1"/>
  <c r="K8030" i="1"/>
  <c r="L8030" i="1"/>
  <c r="A8031" i="1"/>
  <c r="B8031" i="1"/>
  <c r="C8031" i="1"/>
  <c r="D8031" i="1"/>
  <c r="E8031" i="1"/>
  <c r="F8031" i="1"/>
  <c r="G8031" i="1"/>
  <c r="H8031" i="1"/>
  <c r="I8031" i="1"/>
  <c r="J8031" i="1"/>
  <c r="K8031" i="1"/>
  <c r="L8031" i="1"/>
  <c r="A8032" i="1"/>
  <c r="B8032" i="1"/>
  <c r="C8032" i="1"/>
  <c r="D8032" i="1"/>
  <c r="E8032" i="1"/>
  <c r="F8032" i="1"/>
  <c r="G8032" i="1"/>
  <c r="H8032" i="1"/>
  <c r="I8032" i="1"/>
  <c r="J8032" i="1"/>
  <c r="K8032" i="1"/>
  <c r="L8032" i="1"/>
  <c r="A8033" i="1"/>
  <c r="B8033" i="1"/>
  <c r="C8033" i="1"/>
  <c r="D8033" i="1"/>
  <c r="E8033" i="1"/>
  <c r="F8033" i="1"/>
  <c r="G8033" i="1"/>
  <c r="H8033" i="1"/>
  <c r="I8033" i="1"/>
  <c r="J8033" i="1"/>
  <c r="K8033" i="1"/>
  <c r="L8033" i="1"/>
  <c r="A8034" i="1"/>
  <c r="B8034" i="1"/>
  <c r="C8034" i="1"/>
  <c r="D8034" i="1"/>
  <c r="E8034" i="1"/>
  <c r="F8034" i="1"/>
  <c r="G8034" i="1"/>
  <c r="H8034" i="1"/>
  <c r="I8034" i="1"/>
  <c r="J8034" i="1"/>
  <c r="K8034" i="1"/>
  <c r="L8034" i="1"/>
  <c r="A8035" i="1"/>
  <c r="B8035" i="1"/>
  <c r="C8035" i="1"/>
  <c r="D8035" i="1"/>
  <c r="E8035" i="1"/>
  <c r="F8035" i="1"/>
  <c r="G8035" i="1"/>
  <c r="H8035" i="1"/>
  <c r="I8035" i="1"/>
  <c r="J8035" i="1"/>
  <c r="K8035" i="1"/>
  <c r="L8035" i="1"/>
  <c r="A8036" i="1"/>
  <c r="B8036" i="1"/>
  <c r="C8036" i="1"/>
  <c r="D8036" i="1"/>
  <c r="E8036" i="1"/>
  <c r="F8036" i="1"/>
  <c r="G8036" i="1"/>
  <c r="H8036" i="1"/>
  <c r="I8036" i="1"/>
  <c r="J8036" i="1"/>
  <c r="K8036" i="1"/>
  <c r="L8036" i="1"/>
  <c r="A8037" i="1"/>
  <c r="B8037" i="1"/>
  <c r="C8037" i="1"/>
  <c r="D8037" i="1"/>
  <c r="E8037" i="1"/>
  <c r="F8037" i="1"/>
  <c r="G8037" i="1"/>
  <c r="H8037" i="1"/>
  <c r="I8037" i="1"/>
  <c r="J8037" i="1"/>
  <c r="K8037" i="1"/>
  <c r="L8037" i="1"/>
  <c r="A8038" i="1"/>
  <c r="B8038" i="1"/>
  <c r="C8038" i="1"/>
  <c r="D8038" i="1"/>
  <c r="E8038" i="1"/>
  <c r="F8038" i="1"/>
  <c r="G8038" i="1"/>
  <c r="H8038" i="1"/>
  <c r="I8038" i="1"/>
  <c r="J8038" i="1"/>
  <c r="K8038" i="1"/>
  <c r="L8038" i="1"/>
  <c r="A8039" i="1"/>
  <c r="B8039" i="1"/>
  <c r="C8039" i="1"/>
  <c r="D8039" i="1"/>
  <c r="E8039" i="1"/>
  <c r="F8039" i="1"/>
  <c r="G8039" i="1"/>
  <c r="H8039" i="1"/>
  <c r="I8039" i="1"/>
  <c r="J8039" i="1"/>
  <c r="K8039" i="1"/>
  <c r="L8039" i="1"/>
  <c r="A8040" i="1"/>
  <c r="B8040" i="1"/>
  <c r="C8040" i="1"/>
  <c r="D8040" i="1"/>
  <c r="E8040" i="1"/>
  <c r="F8040" i="1"/>
  <c r="G8040" i="1"/>
  <c r="H8040" i="1"/>
  <c r="I8040" i="1"/>
  <c r="J8040" i="1"/>
  <c r="K8040" i="1"/>
  <c r="L8040" i="1"/>
  <c r="A8041" i="1"/>
  <c r="B8041" i="1"/>
  <c r="C8041" i="1"/>
  <c r="D8041" i="1"/>
  <c r="E8041" i="1"/>
  <c r="F8041" i="1"/>
  <c r="G8041" i="1"/>
  <c r="H8041" i="1"/>
  <c r="I8041" i="1"/>
  <c r="J8041" i="1"/>
  <c r="K8041" i="1"/>
  <c r="L8041" i="1"/>
  <c r="A8042" i="1"/>
  <c r="B8042" i="1"/>
  <c r="C8042" i="1"/>
  <c r="D8042" i="1"/>
  <c r="E8042" i="1"/>
  <c r="F8042" i="1"/>
  <c r="G8042" i="1"/>
  <c r="H8042" i="1"/>
  <c r="I8042" i="1"/>
  <c r="J8042" i="1"/>
  <c r="K8042" i="1"/>
  <c r="L8042" i="1"/>
  <c r="A8043" i="1"/>
  <c r="B8043" i="1"/>
  <c r="C8043" i="1"/>
  <c r="D8043" i="1"/>
  <c r="E8043" i="1"/>
  <c r="F8043" i="1"/>
  <c r="G8043" i="1"/>
  <c r="H8043" i="1"/>
  <c r="I8043" i="1"/>
  <c r="J8043" i="1"/>
  <c r="K8043" i="1"/>
  <c r="L8043" i="1"/>
  <c r="A8044" i="1"/>
  <c r="B8044" i="1"/>
  <c r="C8044" i="1"/>
  <c r="D8044" i="1"/>
  <c r="E8044" i="1"/>
  <c r="F8044" i="1"/>
  <c r="G8044" i="1"/>
  <c r="H8044" i="1"/>
  <c r="I8044" i="1"/>
  <c r="J8044" i="1"/>
  <c r="K8044" i="1"/>
  <c r="L8044" i="1"/>
  <c r="A8045" i="1"/>
  <c r="B8045" i="1"/>
  <c r="C8045" i="1"/>
  <c r="D8045" i="1"/>
  <c r="E8045" i="1"/>
  <c r="F8045" i="1"/>
  <c r="G8045" i="1"/>
  <c r="H8045" i="1"/>
  <c r="I8045" i="1"/>
  <c r="J8045" i="1"/>
  <c r="K8045" i="1"/>
  <c r="L8045" i="1"/>
  <c r="A8046" i="1"/>
  <c r="B8046" i="1"/>
  <c r="C8046" i="1"/>
  <c r="D8046" i="1"/>
  <c r="E8046" i="1"/>
  <c r="F8046" i="1"/>
  <c r="G8046" i="1"/>
  <c r="H8046" i="1"/>
  <c r="I8046" i="1"/>
  <c r="J8046" i="1"/>
  <c r="K8046" i="1"/>
  <c r="L8046" i="1"/>
  <c r="A8047" i="1"/>
  <c r="B8047" i="1"/>
  <c r="C8047" i="1"/>
  <c r="D8047" i="1"/>
  <c r="E8047" i="1"/>
  <c r="F8047" i="1"/>
  <c r="G8047" i="1"/>
  <c r="H8047" i="1"/>
  <c r="I8047" i="1"/>
  <c r="J8047" i="1"/>
  <c r="K8047" i="1"/>
  <c r="L8047" i="1"/>
  <c r="A8048" i="1"/>
  <c r="B8048" i="1"/>
  <c r="C8048" i="1"/>
  <c r="D8048" i="1"/>
  <c r="E8048" i="1"/>
  <c r="F8048" i="1"/>
  <c r="G8048" i="1"/>
  <c r="H8048" i="1"/>
  <c r="I8048" i="1"/>
  <c r="J8048" i="1"/>
  <c r="K8048" i="1"/>
  <c r="L8048" i="1"/>
  <c r="A8049" i="1"/>
  <c r="B8049" i="1"/>
  <c r="C8049" i="1"/>
  <c r="D8049" i="1"/>
  <c r="E8049" i="1"/>
  <c r="F8049" i="1"/>
  <c r="G8049" i="1"/>
  <c r="H8049" i="1"/>
  <c r="I8049" i="1"/>
  <c r="J8049" i="1"/>
  <c r="K8049" i="1"/>
  <c r="L8049" i="1"/>
  <c r="A8050" i="1"/>
  <c r="B8050" i="1"/>
  <c r="C8050" i="1"/>
  <c r="D8050" i="1"/>
  <c r="E8050" i="1"/>
  <c r="F8050" i="1"/>
  <c r="G8050" i="1"/>
  <c r="H8050" i="1"/>
  <c r="I8050" i="1"/>
  <c r="J8050" i="1"/>
  <c r="K8050" i="1"/>
  <c r="L8050" i="1"/>
  <c r="A8051" i="1"/>
  <c r="B8051" i="1"/>
  <c r="C8051" i="1"/>
  <c r="D8051" i="1"/>
  <c r="E8051" i="1"/>
  <c r="F8051" i="1"/>
  <c r="G8051" i="1"/>
  <c r="H8051" i="1"/>
  <c r="I8051" i="1"/>
  <c r="J8051" i="1"/>
  <c r="K8051" i="1"/>
  <c r="L8051" i="1"/>
  <c r="A8052" i="1"/>
  <c r="B8052" i="1"/>
  <c r="C8052" i="1"/>
  <c r="D8052" i="1"/>
  <c r="E8052" i="1"/>
  <c r="F8052" i="1"/>
  <c r="G8052" i="1"/>
  <c r="H8052" i="1"/>
  <c r="I8052" i="1"/>
  <c r="J8052" i="1"/>
  <c r="K8052" i="1"/>
  <c r="L8052" i="1"/>
  <c r="A8053" i="1"/>
  <c r="B8053" i="1"/>
  <c r="C8053" i="1"/>
  <c r="D8053" i="1"/>
  <c r="E8053" i="1"/>
  <c r="F8053" i="1"/>
  <c r="G8053" i="1"/>
  <c r="H8053" i="1"/>
  <c r="I8053" i="1"/>
  <c r="J8053" i="1"/>
  <c r="K8053" i="1"/>
  <c r="L8053" i="1"/>
  <c r="A8054" i="1"/>
  <c r="B8054" i="1"/>
  <c r="C8054" i="1"/>
  <c r="D8054" i="1"/>
  <c r="E8054" i="1"/>
  <c r="F8054" i="1"/>
  <c r="G8054" i="1"/>
  <c r="H8054" i="1"/>
  <c r="I8054" i="1"/>
  <c r="J8054" i="1"/>
  <c r="K8054" i="1"/>
  <c r="L8054" i="1"/>
  <c r="A8055" i="1"/>
  <c r="B8055" i="1"/>
  <c r="C8055" i="1"/>
  <c r="D8055" i="1"/>
  <c r="E8055" i="1"/>
  <c r="F8055" i="1"/>
  <c r="G8055" i="1"/>
  <c r="H8055" i="1"/>
  <c r="I8055" i="1"/>
  <c r="J8055" i="1"/>
  <c r="K8055" i="1"/>
  <c r="L8055" i="1"/>
  <c r="A8056" i="1"/>
  <c r="B8056" i="1"/>
  <c r="C8056" i="1"/>
  <c r="D8056" i="1"/>
  <c r="E8056" i="1"/>
  <c r="F8056" i="1"/>
  <c r="G8056" i="1"/>
  <c r="H8056" i="1"/>
  <c r="I8056" i="1"/>
  <c r="J8056" i="1"/>
  <c r="K8056" i="1"/>
  <c r="L8056" i="1"/>
  <c r="A8057" i="1"/>
  <c r="B8057" i="1"/>
  <c r="C8057" i="1"/>
  <c r="D8057" i="1"/>
  <c r="E8057" i="1"/>
  <c r="F8057" i="1"/>
  <c r="G8057" i="1"/>
  <c r="H8057" i="1"/>
  <c r="I8057" i="1"/>
  <c r="J8057" i="1"/>
  <c r="K8057" i="1"/>
  <c r="L8057" i="1"/>
  <c r="A8058" i="1"/>
  <c r="B8058" i="1"/>
  <c r="C8058" i="1"/>
  <c r="D8058" i="1"/>
  <c r="E8058" i="1"/>
  <c r="F8058" i="1"/>
  <c r="G8058" i="1"/>
  <c r="H8058" i="1"/>
  <c r="I8058" i="1"/>
  <c r="J8058" i="1"/>
  <c r="K8058" i="1"/>
  <c r="L8058" i="1"/>
  <c r="A8059" i="1"/>
  <c r="B8059" i="1"/>
  <c r="C8059" i="1"/>
  <c r="D8059" i="1"/>
  <c r="E8059" i="1"/>
  <c r="F8059" i="1"/>
  <c r="G8059" i="1"/>
  <c r="H8059" i="1"/>
  <c r="I8059" i="1"/>
  <c r="J8059" i="1"/>
  <c r="K8059" i="1"/>
  <c r="L8059" i="1"/>
  <c r="A8060" i="1"/>
  <c r="B8060" i="1"/>
  <c r="C8060" i="1"/>
  <c r="D8060" i="1"/>
  <c r="E8060" i="1"/>
  <c r="F8060" i="1"/>
  <c r="G8060" i="1"/>
  <c r="H8060" i="1"/>
  <c r="I8060" i="1"/>
  <c r="J8060" i="1"/>
  <c r="K8060" i="1"/>
  <c r="L8060" i="1"/>
  <c r="A8061" i="1"/>
  <c r="B8061" i="1"/>
  <c r="C8061" i="1"/>
  <c r="D8061" i="1"/>
  <c r="E8061" i="1"/>
  <c r="F8061" i="1"/>
  <c r="G8061" i="1"/>
  <c r="H8061" i="1"/>
  <c r="I8061" i="1"/>
  <c r="J8061" i="1"/>
  <c r="K8061" i="1"/>
  <c r="L8061" i="1"/>
  <c r="A8062" i="1"/>
  <c r="B8062" i="1"/>
  <c r="C8062" i="1"/>
  <c r="D8062" i="1"/>
  <c r="E8062" i="1"/>
  <c r="F8062" i="1"/>
  <c r="G8062" i="1"/>
  <c r="H8062" i="1"/>
  <c r="I8062" i="1"/>
  <c r="J8062" i="1"/>
  <c r="K8062" i="1"/>
  <c r="L8062" i="1"/>
  <c r="A8063" i="1"/>
  <c r="B8063" i="1"/>
  <c r="C8063" i="1"/>
  <c r="D8063" i="1"/>
  <c r="E8063" i="1"/>
  <c r="F8063" i="1"/>
  <c r="G8063" i="1"/>
  <c r="H8063" i="1"/>
  <c r="I8063" i="1"/>
  <c r="J8063" i="1"/>
  <c r="K8063" i="1"/>
  <c r="L8063" i="1"/>
  <c r="A8064" i="1"/>
  <c r="B8064" i="1"/>
  <c r="C8064" i="1"/>
  <c r="D8064" i="1"/>
  <c r="E8064" i="1"/>
  <c r="F8064" i="1"/>
  <c r="G8064" i="1"/>
  <c r="H8064" i="1"/>
  <c r="I8064" i="1"/>
  <c r="J8064" i="1"/>
  <c r="K8064" i="1"/>
  <c r="L8064" i="1"/>
  <c r="A8065" i="1"/>
  <c r="B8065" i="1"/>
  <c r="C8065" i="1"/>
  <c r="D8065" i="1"/>
  <c r="E8065" i="1"/>
  <c r="F8065" i="1"/>
  <c r="G8065" i="1"/>
  <c r="H8065" i="1"/>
  <c r="I8065" i="1"/>
  <c r="J8065" i="1"/>
  <c r="K8065" i="1"/>
  <c r="L8065" i="1"/>
  <c r="A8066" i="1"/>
  <c r="B8066" i="1"/>
  <c r="C8066" i="1"/>
  <c r="D8066" i="1"/>
  <c r="E8066" i="1"/>
  <c r="F8066" i="1"/>
  <c r="G8066" i="1"/>
  <c r="H8066" i="1"/>
  <c r="I8066" i="1"/>
  <c r="J8066" i="1"/>
  <c r="K8066" i="1"/>
  <c r="L8066" i="1"/>
  <c r="A8067" i="1"/>
  <c r="B8067" i="1"/>
  <c r="C8067" i="1"/>
  <c r="D8067" i="1"/>
  <c r="E8067" i="1"/>
  <c r="F8067" i="1"/>
  <c r="G8067" i="1"/>
  <c r="H8067" i="1"/>
  <c r="I8067" i="1"/>
  <c r="J8067" i="1"/>
  <c r="K8067" i="1"/>
  <c r="L8067" i="1"/>
  <c r="A8068" i="1"/>
  <c r="B8068" i="1"/>
  <c r="C8068" i="1"/>
  <c r="D8068" i="1"/>
  <c r="E8068" i="1"/>
  <c r="F8068" i="1"/>
  <c r="G8068" i="1"/>
  <c r="H8068" i="1"/>
  <c r="I8068" i="1"/>
  <c r="J8068" i="1"/>
  <c r="K8068" i="1"/>
  <c r="L8068" i="1"/>
  <c r="A8069" i="1"/>
  <c r="B8069" i="1"/>
  <c r="C8069" i="1"/>
  <c r="D8069" i="1"/>
  <c r="E8069" i="1"/>
  <c r="F8069" i="1"/>
  <c r="G8069" i="1"/>
  <c r="H8069" i="1"/>
  <c r="I8069" i="1"/>
  <c r="J8069" i="1"/>
  <c r="K8069" i="1"/>
  <c r="L8069" i="1"/>
  <c r="A8070" i="1"/>
  <c r="B8070" i="1"/>
  <c r="C8070" i="1"/>
  <c r="D8070" i="1"/>
  <c r="E8070" i="1"/>
  <c r="F8070" i="1"/>
  <c r="G8070" i="1"/>
  <c r="H8070" i="1"/>
  <c r="I8070" i="1"/>
  <c r="J8070" i="1"/>
  <c r="K8070" i="1"/>
  <c r="L8070" i="1"/>
  <c r="A8071" i="1"/>
  <c r="B8071" i="1"/>
  <c r="C8071" i="1"/>
  <c r="D8071" i="1"/>
  <c r="E8071" i="1"/>
  <c r="F8071" i="1"/>
  <c r="G8071" i="1"/>
  <c r="H8071" i="1"/>
  <c r="I8071" i="1"/>
  <c r="J8071" i="1"/>
  <c r="K8071" i="1"/>
  <c r="L8071" i="1"/>
  <c r="A8072" i="1"/>
  <c r="B8072" i="1"/>
  <c r="C8072" i="1"/>
  <c r="D8072" i="1"/>
  <c r="E8072" i="1"/>
  <c r="F8072" i="1"/>
  <c r="G8072" i="1"/>
  <c r="H8072" i="1"/>
  <c r="I8072" i="1"/>
  <c r="J8072" i="1"/>
  <c r="K8072" i="1"/>
  <c r="L8072" i="1"/>
  <c r="A8073" i="1"/>
  <c r="B8073" i="1"/>
  <c r="C8073" i="1"/>
  <c r="D8073" i="1"/>
  <c r="E8073" i="1"/>
  <c r="F8073" i="1"/>
  <c r="G8073" i="1"/>
  <c r="H8073" i="1"/>
  <c r="I8073" i="1"/>
  <c r="J8073" i="1"/>
  <c r="K8073" i="1"/>
  <c r="L8073" i="1"/>
  <c r="A8074" i="1"/>
  <c r="B8074" i="1"/>
  <c r="C8074" i="1"/>
  <c r="D8074" i="1"/>
  <c r="E8074" i="1"/>
  <c r="F8074" i="1"/>
  <c r="G8074" i="1"/>
  <c r="H8074" i="1"/>
  <c r="I8074" i="1"/>
  <c r="J8074" i="1"/>
  <c r="K8074" i="1"/>
  <c r="L8074" i="1"/>
  <c r="A8075" i="1"/>
  <c r="B8075" i="1"/>
  <c r="C8075" i="1"/>
  <c r="D8075" i="1"/>
  <c r="E8075" i="1"/>
  <c r="F8075" i="1"/>
  <c r="G8075" i="1"/>
  <c r="H8075" i="1"/>
  <c r="I8075" i="1"/>
  <c r="J8075" i="1"/>
  <c r="K8075" i="1"/>
  <c r="L8075" i="1"/>
  <c r="A8076" i="1"/>
  <c r="B8076" i="1"/>
  <c r="C8076" i="1"/>
  <c r="D8076" i="1"/>
  <c r="E8076" i="1"/>
  <c r="F8076" i="1"/>
  <c r="G8076" i="1"/>
  <c r="H8076" i="1"/>
  <c r="I8076" i="1"/>
  <c r="J8076" i="1"/>
  <c r="K8076" i="1"/>
  <c r="L8076" i="1"/>
  <c r="A8077" i="1"/>
  <c r="B8077" i="1"/>
  <c r="C8077" i="1"/>
  <c r="D8077" i="1"/>
  <c r="E8077" i="1"/>
  <c r="F8077" i="1"/>
  <c r="G8077" i="1"/>
  <c r="H8077" i="1"/>
  <c r="I8077" i="1"/>
  <c r="J8077" i="1"/>
  <c r="K8077" i="1"/>
  <c r="L8077" i="1"/>
  <c r="A8078" i="1"/>
  <c r="B8078" i="1"/>
  <c r="C8078" i="1"/>
  <c r="D8078" i="1"/>
  <c r="E8078" i="1"/>
  <c r="F8078" i="1"/>
  <c r="G8078" i="1"/>
  <c r="H8078" i="1"/>
  <c r="I8078" i="1"/>
  <c r="J8078" i="1"/>
  <c r="K8078" i="1"/>
  <c r="L8078" i="1"/>
  <c r="A8079" i="1"/>
  <c r="B8079" i="1"/>
  <c r="C8079" i="1"/>
  <c r="D8079" i="1"/>
  <c r="E8079" i="1"/>
  <c r="F8079" i="1"/>
  <c r="G8079" i="1"/>
  <c r="H8079" i="1"/>
  <c r="I8079" i="1"/>
  <c r="J8079" i="1"/>
  <c r="K8079" i="1"/>
  <c r="L8079" i="1"/>
  <c r="A8080" i="1"/>
  <c r="B8080" i="1"/>
  <c r="C8080" i="1"/>
  <c r="D8080" i="1"/>
  <c r="E8080" i="1"/>
  <c r="F8080" i="1"/>
  <c r="G8080" i="1"/>
  <c r="H8080" i="1"/>
  <c r="I8080" i="1"/>
  <c r="J8080" i="1"/>
  <c r="K8080" i="1"/>
  <c r="L8080" i="1"/>
  <c r="A8081" i="1"/>
  <c r="B8081" i="1"/>
  <c r="C8081" i="1"/>
  <c r="D8081" i="1"/>
  <c r="E8081" i="1"/>
  <c r="F8081" i="1"/>
  <c r="G8081" i="1"/>
  <c r="H8081" i="1"/>
  <c r="I8081" i="1"/>
  <c r="J8081" i="1"/>
  <c r="K8081" i="1"/>
  <c r="L8081" i="1"/>
  <c r="A8082" i="1"/>
  <c r="B8082" i="1"/>
  <c r="C8082" i="1"/>
  <c r="D8082" i="1"/>
  <c r="E8082" i="1"/>
  <c r="F8082" i="1"/>
  <c r="G8082" i="1"/>
  <c r="H8082" i="1"/>
  <c r="I8082" i="1"/>
  <c r="J8082" i="1"/>
  <c r="K8082" i="1"/>
  <c r="L8082" i="1"/>
  <c r="A8083" i="1"/>
  <c r="B8083" i="1"/>
  <c r="C8083" i="1"/>
  <c r="D8083" i="1"/>
  <c r="E8083" i="1"/>
  <c r="F8083" i="1"/>
  <c r="G8083" i="1"/>
  <c r="H8083" i="1"/>
  <c r="I8083" i="1"/>
  <c r="J8083" i="1"/>
  <c r="K8083" i="1"/>
  <c r="L8083" i="1"/>
  <c r="A8084" i="1"/>
  <c r="B8084" i="1"/>
  <c r="C8084" i="1"/>
  <c r="D8084" i="1"/>
  <c r="E8084" i="1"/>
  <c r="F8084" i="1"/>
  <c r="G8084" i="1"/>
  <c r="H8084" i="1"/>
  <c r="I8084" i="1"/>
  <c r="J8084" i="1"/>
  <c r="K8084" i="1"/>
  <c r="L8084" i="1"/>
  <c r="A8085" i="1"/>
  <c r="B8085" i="1"/>
  <c r="C8085" i="1"/>
  <c r="D8085" i="1"/>
  <c r="E8085" i="1"/>
  <c r="F8085" i="1"/>
  <c r="G8085" i="1"/>
  <c r="H8085" i="1"/>
  <c r="I8085" i="1"/>
  <c r="J8085" i="1"/>
  <c r="K8085" i="1"/>
  <c r="L8085" i="1"/>
  <c r="A8086" i="1"/>
  <c r="B8086" i="1"/>
  <c r="C8086" i="1"/>
  <c r="D8086" i="1"/>
  <c r="E8086" i="1"/>
  <c r="F8086" i="1"/>
  <c r="G8086" i="1"/>
  <c r="H8086" i="1"/>
  <c r="I8086" i="1"/>
  <c r="J8086" i="1"/>
  <c r="K8086" i="1"/>
  <c r="L8086" i="1"/>
  <c r="A8087" i="1"/>
  <c r="B8087" i="1"/>
  <c r="C8087" i="1"/>
  <c r="D8087" i="1"/>
  <c r="E8087" i="1"/>
  <c r="F8087" i="1"/>
  <c r="G8087" i="1"/>
  <c r="H8087" i="1"/>
  <c r="I8087" i="1"/>
  <c r="J8087" i="1"/>
  <c r="K8087" i="1"/>
  <c r="L8087" i="1"/>
  <c r="A8088" i="1"/>
  <c r="B8088" i="1"/>
  <c r="C8088" i="1"/>
  <c r="D8088" i="1"/>
  <c r="E8088" i="1"/>
  <c r="F8088" i="1"/>
  <c r="G8088" i="1"/>
  <c r="H8088" i="1"/>
  <c r="I8088" i="1"/>
  <c r="J8088" i="1"/>
  <c r="K8088" i="1"/>
  <c r="L8088" i="1"/>
  <c r="A8089" i="1"/>
  <c r="B8089" i="1"/>
  <c r="C8089" i="1"/>
  <c r="D8089" i="1"/>
  <c r="E8089" i="1"/>
  <c r="F8089" i="1"/>
  <c r="G8089" i="1"/>
  <c r="H8089" i="1"/>
  <c r="I8089" i="1"/>
  <c r="J8089" i="1"/>
  <c r="K8089" i="1"/>
  <c r="L8089" i="1"/>
  <c r="A8090" i="1"/>
  <c r="B8090" i="1"/>
  <c r="C8090" i="1"/>
  <c r="D8090" i="1"/>
  <c r="E8090" i="1"/>
  <c r="F8090" i="1"/>
  <c r="G8090" i="1"/>
  <c r="H8090" i="1"/>
  <c r="I8090" i="1"/>
  <c r="J8090" i="1"/>
  <c r="K8090" i="1"/>
  <c r="L8090" i="1"/>
  <c r="A8091" i="1"/>
  <c r="B8091" i="1"/>
  <c r="C8091" i="1"/>
  <c r="D8091" i="1"/>
  <c r="E8091" i="1"/>
  <c r="F8091" i="1"/>
  <c r="G8091" i="1"/>
  <c r="H8091" i="1"/>
  <c r="I8091" i="1"/>
  <c r="J8091" i="1"/>
  <c r="K8091" i="1"/>
  <c r="L8091" i="1"/>
  <c r="A8092" i="1"/>
  <c r="B8092" i="1"/>
  <c r="C8092" i="1"/>
  <c r="D8092" i="1"/>
  <c r="E8092" i="1"/>
  <c r="F8092" i="1"/>
  <c r="G8092" i="1"/>
  <c r="H8092" i="1"/>
  <c r="I8092" i="1"/>
  <c r="J8092" i="1"/>
  <c r="K8092" i="1"/>
  <c r="L8092" i="1"/>
  <c r="A8093" i="1"/>
  <c r="B8093" i="1"/>
  <c r="C8093" i="1"/>
  <c r="D8093" i="1"/>
  <c r="E8093" i="1"/>
  <c r="F8093" i="1"/>
  <c r="G8093" i="1"/>
  <c r="H8093" i="1"/>
  <c r="I8093" i="1"/>
  <c r="J8093" i="1"/>
  <c r="K8093" i="1"/>
  <c r="L8093" i="1"/>
  <c r="A8094" i="1"/>
  <c r="B8094" i="1"/>
  <c r="C8094" i="1"/>
  <c r="D8094" i="1"/>
  <c r="E8094" i="1"/>
  <c r="F8094" i="1"/>
  <c r="G8094" i="1"/>
  <c r="H8094" i="1"/>
  <c r="I8094" i="1"/>
  <c r="J8094" i="1"/>
  <c r="K8094" i="1"/>
  <c r="L8094" i="1"/>
  <c r="A8095" i="1"/>
  <c r="B8095" i="1"/>
  <c r="C8095" i="1"/>
  <c r="D8095" i="1"/>
  <c r="E8095" i="1"/>
  <c r="F8095" i="1"/>
  <c r="G8095" i="1"/>
  <c r="H8095" i="1"/>
  <c r="I8095" i="1"/>
  <c r="J8095" i="1"/>
  <c r="K8095" i="1"/>
  <c r="L8095" i="1"/>
  <c r="A8096" i="1"/>
  <c r="B8096" i="1"/>
  <c r="C8096" i="1"/>
  <c r="D8096" i="1"/>
  <c r="E8096" i="1"/>
  <c r="F8096" i="1"/>
  <c r="G8096" i="1"/>
  <c r="H8096" i="1"/>
  <c r="I8096" i="1"/>
  <c r="J8096" i="1"/>
  <c r="K8096" i="1"/>
  <c r="L8096" i="1"/>
  <c r="A8097" i="1"/>
  <c r="B8097" i="1"/>
  <c r="C8097" i="1"/>
  <c r="D8097" i="1"/>
  <c r="E8097" i="1"/>
  <c r="F8097" i="1"/>
  <c r="G8097" i="1"/>
  <c r="H8097" i="1"/>
  <c r="I8097" i="1"/>
  <c r="J8097" i="1"/>
  <c r="K8097" i="1"/>
  <c r="L8097" i="1"/>
  <c r="A8098" i="1"/>
  <c r="B8098" i="1"/>
  <c r="C8098" i="1"/>
  <c r="D8098" i="1"/>
  <c r="E8098" i="1"/>
  <c r="F8098" i="1"/>
  <c r="G8098" i="1"/>
  <c r="H8098" i="1"/>
  <c r="I8098" i="1"/>
  <c r="J8098" i="1"/>
  <c r="K8098" i="1"/>
  <c r="L8098" i="1"/>
  <c r="A8099" i="1"/>
  <c r="B8099" i="1"/>
  <c r="C8099" i="1"/>
  <c r="D8099" i="1"/>
  <c r="E8099" i="1"/>
  <c r="F8099" i="1"/>
  <c r="G8099" i="1"/>
  <c r="H8099" i="1"/>
  <c r="I8099" i="1"/>
  <c r="J8099" i="1"/>
  <c r="K8099" i="1"/>
  <c r="L8099" i="1"/>
  <c r="A8100" i="1"/>
  <c r="B8100" i="1"/>
  <c r="C8100" i="1"/>
  <c r="D8100" i="1"/>
  <c r="E8100" i="1"/>
  <c r="F8100" i="1"/>
  <c r="G8100" i="1"/>
  <c r="H8100" i="1"/>
  <c r="I8100" i="1"/>
  <c r="J8100" i="1"/>
  <c r="K8100" i="1"/>
  <c r="L8100" i="1"/>
  <c r="A8101" i="1"/>
  <c r="B8101" i="1"/>
  <c r="C8101" i="1"/>
  <c r="D8101" i="1"/>
  <c r="E8101" i="1"/>
  <c r="F8101" i="1"/>
  <c r="G8101" i="1"/>
  <c r="H8101" i="1"/>
  <c r="I8101" i="1"/>
  <c r="J8101" i="1"/>
  <c r="K8101" i="1"/>
  <c r="L8101" i="1"/>
  <c r="A8102" i="1"/>
  <c r="B8102" i="1"/>
  <c r="C8102" i="1"/>
  <c r="D8102" i="1"/>
  <c r="E8102" i="1"/>
  <c r="F8102" i="1"/>
  <c r="G8102" i="1"/>
  <c r="H8102" i="1"/>
  <c r="I8102" i="1"/>
  <c r="J8102" i="1"/>
  <c r="K8102" i="1"/>
  <c r="L8102" i="1"/>
  <c r="A8103" i="1"/>
  <c r="B8103" i="1"/>
  <c r="C8103" i="1"/>
  <c r="D8103" i="1"/>
  <c r="E8103" i="1"/>
  <c r="F8103" i="1"/>
  <c r="G8103" i="1"/>
  <c r="H8103" i="1"/>
  <c r="I8103" i="1"/>
  <c r="J8103" i="1"/>
  <c r="K8103" i="1"/>
  <c r="L8103" i="1"/>
  <c r="A8104" i="1"/>
  <c r="B8104" i="1"/>
  <c r="C8104" i="1"/>
  <c r="D8104" i="1"/>
  <c r="E8104" i="1"/>
  <c r="F8104" i="1"/>
  <c r="G8104" i="1"/>
  <c r="H8104" i="1"/>
  <c r="I8104" i="1"/>
  <c r="J8104" i="1"/>
  <c r="K8104" i="1"/>
  <c r="L8104" i="1"/>
  <c r="A8105" i="1"/>
  <c r="B8105" i="1"/>
  <c r="C8105" i="1"/>
  <c r="D8105" i="1"/>
  <c r="E8105" i="1"/>
  <c r="F8105" i="1"/>
  <c r="G8105" i="1"/>
  <c r="H8105" i="1"/>
  <c r="I8105" i="1"/>
  <c r="J8105" i="1"/>
  <c r="K8105" i="1"/>
  <c r="L8105" i="1"/>
  <c r="A8106" i="1"/>
  <c r="B8106" i="1"/>
  <c r="C8106" i="1"/>
  <c r="D8106" i="1"/>
  <c r="E8106" i="1"/>
  <c r="F8106" i="1"/>
  <c r="G8106" i="1"/>
  <c r="H8106" i="1"/>
  <c r="I8106" i="1"/>
  <c r="J8106" i="1"/>
  <c r="K8106" i="1"/>
  <c r="L8106" i="1"/>
  <c r="A8107" i="1"/>
  <c r="B8107" i="1"/>
  <c r="C8107" i="1"/>
  <c r="D8107" i="1"/>
  <c r="E8107" i="1"/>
  <c r="F8107" i="1"/>
  <c r="G8107" i="1"/>
  <c r="H8107" i="1"/>
  <c r="I8107" i="1"/>
  <c r="J8107" i="1"/>
  <c r="K8107" i="1"/>
  <c r="L8107" i="1"/>
  <c r="A8108" i="1"/>
  <c r="B8108" i="1"/>
  <c r="C8108" i="1"/>
  <c r="D8108" i="1"/>
  <c r="E8108" i="1"/>
  <c r="F8108" i="1"/>
  <c r="G8108" i="1"/>
  <c r="H8108" i="1"/>
  <c r="I8108" i="1"/>
  <c r="J8108" i="1"/>
  <c r="K8108" i="1"/>
  <c r="L8108" i="1"/>
  <c r="A8109" i="1"/>
  <c r="B8109" i="1"/>
  <c r="C8109" i="1"/>
  <c r="D8109" i="1"/>
  <c r="E8109" i="1"/>
  <c r="F8109" i="1"/>
  <c r="G8109" i="1"/>
  <c r="H8109" i="1"/>
  <c r="I8109" i="1"/>
  <c r="J8109" i="1"/>
  <c r="K8109" i="1"/>
  <c r="L8109" i="1"/>
  <c r="A8110" i="1"/>
  <c r="B8110" i="1"/>
  <c r="C8110" i="1"/>
  <c r="D8110" i="1"/>
  <c r="E8110" i="1"/>
  <c r="F8110" i="1"/>
  <c r="G8110" i="1"/>
  <c r="H8110" i="1"/>
  <c r="I8110" i="1"/>
  <c r="J8110" i="1"/>
  <c r="K8110" i="1"/>
  <c r="L8110" i="1"/>
  <c r="A8111" i="1"/>
  <c r="B8111" i="1"/>
  <c r="C8111" i="1"/>
  <c r="D8111" i="1"/>
  <c r="E8111" i="1"/>
  <c r="F8111" i="1"/>
  <c r="G8111" i="1"/>
  <c r="H8111" i="1"/>
  <c r="I8111" i="1"/>
  <c r="J8111" i="1"/>
  <c r="K8111" i="1"/>
  <c r="L8111" i="1"/>
  <c r="A8112" i="1"/>
  <c r="B8112" i="1"/>
  <c r="C8112" i="1"/>
  <c r="D8112" i="1"/>
  <c r="E8112" i="1"/>
  <c r="F8112" i="1"/>
  <c r="G8112" i="1"/>
  <c r="H8112" i="1"/>
  <c r="I8112" i="1"/>
  <c r="J8112" i="1"/>
  <c r="K8112" i="1"/>
  <c r="L8112" i="1"/>
  <c r="A8113" i="1"/>
  <c r="B8113" i="1"/>
  <c r="C8113" i="1"/>
  <c r="D8113" i="1"/>
  <c r="E8113" i="1"/>
  <c r="F8113" i="1"/>
  <c r="G8113" i="1"/>
  <c r="H8113" i="1"/>
  <c r="I8113" i="1"/>
  <c r="J8113" i="1"/>
  <c r="K8113" i="1"/>
  <c r="L8113" i="1"/>
  <c r="A8114" i="1"/>
  <c r="B8114" i="1"/>
  <c r="C8114" i="1"/>
  <c r="D8114" i="1"/>
  <c r="E8114" i="1"/>
  <c r="F8114" i="1"/>
  <c r="G8114" i="1"/>
  <c r="H8114" i="1"/>
  <c r="I8114" i="1"/>
  <c r="J8114" i="1"/>
  <c r="K8114" i="1"/>
  <c r="L8114" i="1"/>
  <c r="A8115" i="1"/>
  <c r="B8115" i="1"/>
  <c r="C8115" i="1"/>
  <c r="D8115" i="1"/>
  <c r="E8115" i="1"/>
  <c r="F8115" i="1"/>
  <c r="G8115" i="1"/>
  <c r="H8115" i="1"/>
  <c r="I8115" i="1"/>
  <c r="J8115" i="1"/>
  <c r="K8115" i="1"/>
  <c r="L8115" i="1"/>
  <c r="A8116" i="1"/>
  <c r="B8116" i="1"/>
  <c r="C8116" i="1"/>
  <c r="D8116" i="1"/>
  <c r="E8116" i="1"/>
  <c r="F8116" i="1"/>
  <c r="G8116" i="1"/>
  <c r="H8116" i="1"/>
  <c r="I8116" i="1"/>
  <c r="J8116" i="1"/>
  <c r="K8116" i="1"/>
  <c r="L8116" i="1"/>
  <c r="A8117" i="1"/>
  <c r="B8117" i="1"/>
  <c r="C8117" i="1"/>
  <c r="D8117" i="1"/>
  <c r="E8117" i="1"/>
  <c r="F8117" i="1"/>
  <c r="G8117" i="1"/>
  <c r="H8117" i="1"/>
  <c r="I8117" i="1"/>
  <c r="J8117" i="1"/>
  <c r="K8117" i="1"/>
  <c r="L8117" i="1"/>
  <c r="A8118" i="1"/>
  <c r="B8118" i="1"/>
  <c r="C8118" i="1"/>
  <c r="D8118" i="1"/>
  <c r="E8118" i="1"/>
  <c r="F8118" i="1"/>
  <c r="G8118" i="1"/>
  <c r="H8118" i="1"/>
  <c r="I8118" i="1"/>
  <c r="J8118" i="1"/>
  <c r="K8118" i="1"/>
  <c r="L8118" i="1"/>
  <c r="A8119" i="1"/>
  <c r="B8119" i="1"/>
  <c r="C8119" i="1"/>
  <c r="D8119" i="1"/>
  <c r="E8119" i="1"/>
  <c r="F8119" i="1"/>
  <c r="G8119" i="1"/>
  <c r="H8119" i="1"/>
  <c r="I8119" i="1"/>
  <c r="J8119" i="1"/>
  <c r="K8119" i="1"/>
  <c r="L8119" i="1"/>
  <c r="A8120" i="1"/>
  <c r="B8120" i="1"/>
  <c r="C8120" i="1"/>
  <c r="D8120" i="1"/>
  <c r="E8120" i="1"/>
  <c r="F8120" i="1"/>
  <c r="G8120" i="1"/>
  <c r="H8120" i="1"/>
  <c r="I8120" i="1"/>
  <c r="J8120" i="1"/>
  <c r="K8120" i="1"/>
  <c r="L8120" i="1"/>
  <c r="A8121" i="1"/>
  <c r="B8121" i="1"/>
  <c r="C8121" i="1"/>
  <c r="D8121" i="1"/>
  <c r="E8121" i="1"/>
  <c r="F8121" i="1"/>
  <c r="G8121" i="1"/>
  <c r="H8121" i="1"/>
  <c r="I8121" i="1"/>
  <c r="J8121" i="1"/>
  <c r="K8121" i="1"/>
  <c r="L8121" i="1"/>
  <c r="A8122" i="1"/>
  <c r="B8122" i="1"/>
  <c r="C8122" i="1"/>
  <c r="D8122" i="1"/>
  <c r="E8122" i="1"/>
  <c r="F8122" i="1"/>
  <c r="G8122" i="1"/>
  <c r="H8122" i="1"/>
  <c r="I8122" i="1"/>
  <c r="J8122" i="1"/>
  <c r="K8122" i="1"/>
  <c r="L8122" i="1"/>
  <c r="A8123" i="1"/>
  <c r="B8123" i="1"/>
  <c r="C8123" i="1"/>
  <c r="D8123" i="1"/>
  <c r="E8123" i="1"/>
  <c r="F8123" i="1"/>
  <c r="G8123" i="1"/>
  <c r="H8123" i="1"/>
  <c r="I8123" i="1"/>
  <c r="J8123" i="1"/>
  <c r="K8123" i="1"/>
  <c r="L8123" i="1"/>
  <c r="A8124" i="1"/>
  <c r="B8124" i="1"/>
  <c r="C8124" i="1"/>
  <c r="D8124" i="1"/>
  <c r="E8124" i="1"/>
  <c r="F8124" i="1"/>
  <c r="G8124" i="1"/>
  <c r="H8124" i="1"/>
  <c r="I8124" i="1"/>
  <c r="J8124" i="1"/>
  <c r="K8124" i="1"/>
  <c r="L8124" i="1"/>
  <c r="A8125" i="1"/>
  <c r="B8125" i="1"/>
  <c r="C8125" i="1"/>
  <c r="D8125" i="1"/>
  <c r="E8125" i="1"/>
  <c r="F8125" i="1"/>
  <c r="G8125" i="1"/>
  <c r="H8125" i="1"/>
  <c r="I8125" i="1"/>
  <c r="J8125" i="1"/>
  <c r="K8125" i="1"/>
  <c r="L8125" i="1"/>
  <c r="A8126" i="1"/>
  <c r="B8126" i="1"/>
  <c r="C8126" i="1"/>
  <c r="D8126" i="1"/>
  <c r="E8126" i="1"/>
  <c r="F8126" i="1"/>
  <c r="G8126" i="1"/>
  <c r="H8126" i="1"/>
  <c r="I8126" i="1"/>
  <c r="J8126" i="1"/>
  <c r="K8126" i="1"/>
  <c r="L8126" i="1"/>
  <c r="A8127" i="1"/>
  <c r="B8127" i="1"/>
  <c r="C8127" i="1"/>
  <c r="D8127" i="1"/>
  <c r="E8127" i="1"/>
  <c r="F8127" i="1"/>
  <c r="G8127" i="1"/>
  <c r="H8127" i="1"/>
  <c r="I8127" i="1"/>
  <c r="J8127" i="1"/>
  <c r="K8127" i="1"/>
  <c r="L8127" i="1"/>
  <c r="A8128" i="1"/>
  <c r="B8128" i="1"/>
  <c r="C8128" i="1"/>
  <c r="D8128" i="1"/>
  <c r="E8128" i="1"/>
  <c r="F8128" i="1"/>
  <c r="G8128" i="1"/>
  <c r="H8128" i="1"/>
  <c r="I8128" i="1"/>
  <c r="J8128" i="1"/>
  <c r="K8128" i="1"/>
  <c r="L8128" i="1"/>
  <c r="A8129" i="1"/>
  <c r="B8129" i="1"/>
  <c r="C8129" i="1"/>
  <c r="D8129" i="1"/>
  <c r="E8129" i="1"/>
  <c r="F8129" i="1"/>
  <c r="G8129" i="1"/>
  <c r="H8129" i="1"/>
  <c r="I8129" i="1"/>
  <c r="J8129" i="1"/>
  <c r="K8129" i="1"/>
  <c r="L8129" i="1"/>
  <c r="A8130" i="1"/>
  <c r="B8130" i="1"/>
  <c r="C8130" i="1"/>
  <c r="D8130" i="1"/>
  <c r="E8130" i="1"/>
  <c r="F8130" i="1"/>
  <c r="G8130" i="1"/>
  <c r="H8130" i="1"/>
  <c r="I8130" i="1"/>
  <c r="J8130" i="1"/>
  <c r="K8130" i="1"/>
  <c r="L8130" i="1"/>
  <c r="A8131" i="1"/>
  <c r="B8131" i="1"/>
  <c r="C8131" i="1"/>
  <c r="D8131" i="1"/>
  <c r="E8131" i="1"/>
  <c r="F8131" i="1"/>
  <c r="G8131" i="1"/>
  <c r="H8131" i="1"/>
  <c r="I8131" i="1"/>
  <c r="J8131" i="1"/>
  <c r="K8131" i="1"/>
  <c r="L8131" i="1"/>
  <c r="A8132" i="1"/>
  <c r="B8132" i="1"/>
  <c r="C8132" i="1"/>
  <c r="D8132" i="1"/>
  <c r="E8132" i="1"/>
  <c r="F8132" i="1"/>
  <c r="G8132" i="1"/>
  <c r="H8132" i="1"/>
  <c r="I8132" i="1"/>
  <c r="J8132" i="1"/>
  <c r="K8132" i="1"/>
  <c r="L8132" i="1"/>
  <c r="A8133" i="1"/>
  <c r="B8133" i="1"/>
  <c r="C8133" i="1"/>
  <c r="D8133" i="1"/>
  <c r="E8133" i="1"/>
  <c r="F8133" i="1"/>
  <c r="G8133" i="1"/>
  <c r="H8133" i="1"/>
  <c r="I8133" i="1"/>
  <c r="J8133" i="1"/>
  <c r="K8133" i="1"/>
  <c r="L8133" i="1"/>
  <c r="A8134" i="1"/>
  <c r="B8134" i="1"/>
  <c r="C8134" i="1"/>
  <c r="D8134" i="1"/>
  <c r="E8134" i="1"/>
  <c r="F8134" i="1"/>
  <c r="G8134" i="1"/>
  <c r="H8134" i="1"/>
  <c r="I8134" i="1"/>
  <c r="J8134" i="1"/>
  <c r="K8134" i="1"/>
  <c r="L8134" i="1"/>
  <c r="A8135" i="1"/>
  <c r="B8135" i="1"/>
  <c r="C8135" i="1"/>
  <c r="D8135" i="1"/>
  <c r="E8135" i="1"/>
  <c r="F8135" i="1"/>
  <c r="G8135" i="1"/>
  <c r="H8135" i="1"/>
  <c r="I8135" i="1"/>
  <c r="J8135" i="1"/>
  <c r="K8135" i="1"/>
  <c r="L8135" i="1"/>
  <c r="A8136" i="1"/>
  <c r="B8136" i="1"/>
  <c r="C8136" i="1"/>
  <c r="D8136" i="1"/>
  <c r="E8136" i="1"/>
  <c r="F8136" i="1"/>
  <c r="G8136" i="1"/>
  <c r="H8136" i="1"/>
  <c r="I8136" i="1"/>
  <c r="J8136" i="1"/>
  <c r="K8136" i="1"/>
  <c r="L8136" i="1"/>
  <c r="A8137" i="1"/>
  <c r="B8137" i="1"/>
  <c r="C8137" i="1"/>
  <c r="D8137" i="1"/>
  <c r="E8137" i="1"/>
  <c r="F8137" i="1"/>
  <c r="G8137" i="1"/>
  <c r="H8137" i="1"/>
  <c r="I8137" i="1"/>
  <c r="J8137" i="1"/>
  <c r="K8137" i="1"/>
  <c r="L8137" i="1"/>
  <c r="A8138" i="1"/>
  <c r="B8138" i="1"/>
  <c r="C8138" i="1"/>
  <c r="D8138" i="1"/>
  <c r="E8138" i="1"/>
  <c r="F8138" i="1"/>
  <c r="G8138" i="1"/>
  <c r="H8138" i="1"/>
  <c r="I8138" i="1"/>
  <c r="J8138" i="1"/>
  <c r="K8138" i="1"/>
  <c r="L8138" i="1"/>
  <c r="A8139" i="1"/>
  <c r="B8139" i="1"/>
  <c r="C8139" i="1"/>
  <c r="D8139" i="1"/>
  <c r="E8139" i="1"/>
  <c r="F8139" i="1"/>
  <c r="G8139" i="1"/>
  <c r="H8139" i="1"/>
  <c r="I8139" i="1"/>
  <c r="J8139" i="1"/>
  <c r="K8139" i="1"/>
  <c r="L8139" i="1"/>
  <c r="A8140" i="1"/>
  <c r="B8140" i="1"/>
  <c r="C8140" i="1"/>
  <c r="D8140" i="1"/>
  <c r="E8140" i="1"/>
  <c r="F8140" i="1"/>
  <c r="G8140" i="1"/>
  <c r="H8140" i="1"/>
  <c r="I8140" i="1"/>
  <c r="J8140" i="1"/>
  <c r="K8140" i="1"/>
  <c r="L8140" i="1"/>
  <c r="A8141" i="1"/>
  <c r="B8141" i="1"/>
  <c r="C8141" i="1"/>
  <c r="D8141" i="1"/>
  <c r="E8141" i="1"/>
  <c r="F8141" i="1"/>
  <c r="G8141" i="1"/>
  <c r="H8141" i="1"/>
  <c r="I8141" i="1"/>
  <c r="J8141" i="1"/>
  <c r="K8141" i="1"/>
  <c r="L8141" i="1"/>
  <c r="A8142" i="1"/>
  <c r="B8142" i="1"/>
  <c r="C8142" i="1"/>
  <c r="D8142" i="1"/>
  <c r="E8142" i="1"/>
  <c r="F8142" i="1"/>
  <c r="G8142" i="1"/>
  <c r="H8142" i="1"/>
  <c r="I8142" i="1"/>
  <c r="J8142" i="1"/>
  <c r="K8142" i="1"/>
  <c r="L8142" i="1"/>
  <c r="A8143" i="1"/>
  <c r="B8143" i="1"/>
  <c r="C8143" i="1"/>
  <c r="D8143" i="1"/>
  <c r="E8143" i="1"/>
  <c r="F8143" i="1"/>
  <c r="G8143" i="1"/>
  <c r="H8143" i="1"/>
  <c r="I8143" i="1"/>
  <c r="J8143" i="1"/>
  <c r="K8143" i="1"/>
  <c r="L8143" i="1"/>
  <c r="A8144" i="1"/>
  <c r="B8144" i="1"/>
  <c r="C8144" i="1"/>
  <c r="D8144" i="1"/>
  <c r="E8144" i="1"/>
  <c r="F8144" i="1"/>
  <c r="G8144" i="1"/>
  <c r="H8144" i="1"/>
  <c r="I8144" i="1"/>
  <c r="J8144" i="1"/>
  <c r="K8144" i="1"/>
  <c r="L8144" i="1"/>
  <c r="A8145" i="1"/>
  <c r="B8145" i="1"/>
  <c r="C8145" i="1"/>
  <c r="D8145" i="1"/>
  <c r="E8145" i="1"/>
  <c r="F8145" i="1"/>
  <c r="G8145" i="1"/>
  <c r="H8145" i="1"/>
  <c r="I8145" i="1"/>
  <c r="J8145" i="1"/>
  <c r="K8145" i="1"/>
  <c r="L8145" i="1"/>
  <c r="A8146" i="1"/>
  <c r="B8146" i="1"/>
  <c r="C8146" i="1"/>
  <c r="D8146" i="1"/>
  <c r="E8146" i="1"/>
  <c r="F8146" i="1"/>
  <c r="G8146" i="1"/>
  <c r="H8146" i="1"/>
  <c r="I8146" i="1"/>
  <c r="J8146" i="1"/>
  <c r="K8146" i="1"/>
  <c r="L8146" i="1"/>
  <c r="A8147" i="1"/>
  <c r="B8147" i="1"/>
  <c r="C8147" i="1"/>
  <c r="D8147" i="1"/>
  <c r="E8147" i="1"/>
  <c r="F8147" i="1"/>
  <c r="G8147" i="1"/>
  <c r="H8147" i="1"/>
  <c r="I8147" i="1"/>
  <c r="J8147" i="1"/>
  <c r="K8147" i="1"/>
  <c r="L8147" i="1"/>
  <c r="A8148" i="1"/>
  <c r="B8148" i="1"/>
  <c r="C8148" i="1"/>
  <c r="D8148" i="1"/>
  <c r="E8148" i="1"/>
  <c r="F8148" i="1"/>
  <c r="G8148" i="1"/>
  <c r="H8148" i="1"/>
  <c r="I8148" i="1"/>
  <c r="J8148" i="1"/>
  <c r="K8148" i="1"/>
  <c r="L8148" i="1"/>
  <c r="A8149" i="1"/>
  <c r="B8149" i="1"/>
  <c r="C8149" i="1"/>
  <c r="D8149" i="1"/>
  <c r="E8149" i="1"/>
  <c r="F8149" i="1"/>
  <c r="G8149" i="1"/>
  <c r="H8149" i="1"/>
  <c r="I8149" i="1"/>
  <c r="J8149" i="1"/>
  <c r="K8149" i="1"/>
  <c r="L8149" i="1"/>
  <c r="A8150" i="1"/>
  <c r="B8150" i="1"/>
  <c r="C8150" i="1"/>
  <c r="D8150" i="1"/>
  <c r="E8150" i="1"/>
  <c r="F8150" i="1"/>
  <c r="G8150" i="1"/>
  <c r="H8150" i="1"/>
  <c r="I8150" i="1"/>
  <c r="J8150" i="1"/>
  <c r="K8150" i="1"/>
  <c r="L8150" i="1"/>
  <c r="A8151" i="1"/>
  <c r="B8151" i="1"/>
  <c r="C8151" i="1"/>
  <c r="D8151" i="1"/>
  <c r="E8151" i="1"/>
  <c r="F8151" i="1"/>
  <c r="G8151" i="1"/>
  <c r="H8151" i="1"/>
  <c r="I8151" i="1"/>
  <c r="J8151" i="1"/>
  <c r="K8151" i="1"/>
  <c r="L8151" i="1"/>
  <c r="A8152" i="1"/>
  <c r="B8152" i="1"/>
  <c r="C8152" i="1"/>
  <c r="D8152" i="1"/>
  <c r="E8152" i="1"/>
  <c r="F8152" i="1"/>
  <c r="G8152" i="1"/>
  <c r="H8152" i="1"/>
  <c r="I8152" i="1"/>
  <c r="J8152" i="1"/>
  <c r="K8152" i="1"/>
  <c r="L8152" i="1"/>
  <c r="A8153" i="1"/>
  <c r="B8153" i="1"/>
  <c r="C8153" i="1"/>
  <c r="D8153" i="1"/>
  <c r="E8153" i="1"/>
  <c r="F8153" i="1"/>
  <c r="G8153" i="1"/>
  <c r="H8153" i="1"/>
  <c r="I8153" i="1"/>
  <c r="J8153" i="1"/>
  <c r="K8153" i="1"/>
  <c r="L8153" i="1"/>
  <c r="A8154" i="1"/>
  <c r="B8154" i="1"/>
  <c r="C8154" i="1"/>
  <c r="D8154" i="1"/>
  <c r="E8154" i="1"/>
  <c r="F8154" i="1"/>
  <c r="G8154" i="1"/>
  <c r="H8154" i="1"/>
  <c r="I8154" i="1"/>
  <c r="J8154" i="1"/>
  <c r="K8154" i="1"/>
  <c r="L8154" i="1"/>
  <c r="A8155" i="1"/>
  <c r="B8155" i="1"/>
  <c r="C8155" i="1"/>
  <c r="D8155" i="1"/>
  <c r="E8155" i="1"/>
  <c r="F8155" i="1"/>
  <c r="G8155" i="1"/>
  <c r="H8155" i="1"/>
  <c r="I8155" i="1"/>
  <c r="J8155" i="1"/>
  <c r="K8155" i="1"/>
  <c r="L8155" i="1"/>
  <c r="A8156" i="1"/>
  <c r="B8156" i="1"/>
  <c r="C8156" i="1"/>
  <c r="D8156" i="1"/>
  <c r="E8156" i="1"/>
  <c r="F8156" i="1"/>
  <c r="G8156" i="1"/>
  <c r="H8156" i="1"/>
  <c r="I8156" i="1"/>
  <c r="J8156" i="1"/>
  <c r="K8156" i="1"/>
  <c r="L8156" i="1"/>
  <c r="A8157" i="1"/>
  <c r="B8157" i="1"/>
  <c r="C8157" i="1"/>
  <c r="D8157" i="1"/>
  <c r="E8157" i="1"/>
  <c r="F8157" i="1"/>
  <c r="G8157" i="1"/>
  <c r="H8157" i="1"/>
  <c r="I8157" i="1"/>
  <c r="J8157" i="1"/>
  <c r="K8157" i="1"/>
  <c r="L8157" i="1"/>
  <c r="A8158" i="1"/>
  <c r="B8158" i="1"/>
  <c r="C8158" i="1"/>
  <c r="D8158" i="1"/>
  <c r="E8158" i="1"/>
  <c r="F8158" i="1"/>
  <c r="G8158" i="1"/>
  <c r="H8158" i="1"/>
  <c r="I8158" i="1"/>
  <c r="J8158" i="1"/>
  <c r="K8158" i="1"/>
  <c r="L8158" i="1"/>
  <c r="A8159" i="1"/>
  <c r="B8159" i="1"/>
  <c r="C8159" i="1"/>
  <c r="D8159" i="1"/>
  <c r="E8159" i="1"/>
  <c r="F8159" i="1"/>
  <c r="G8159" i="1"/>
  <c r="H8159" i="1"/>
  <c r="I8159" i="1"/>
  <c r="J8159" i="1"/>
  <c r="K8159" i="1"/>
  <c r="L8159" i="1"/>
  <c r="A8160" i="1"/>
  <c r="B8160" i="1"/>
  <c r="C8160" i="1"/>
  <c r="D8160" i="1"/>
  <c r="E8160" i="1"/>
  <c r="F8160" i="1"/>
  <c r="G8160" i="1"/>
  <c r="H8160" i="1"/>
  <c r="I8160" i="1"/>
  <c r="J8160" i="1"/>
  <c r="K8160" i="1"/>
  <c r="L8160" i="1"/>
  <c r="A8161" i="1"/>
  <c r="B8161" i="1"/>
  <c r="C8161" i="1"/>
  <c r="D8161" i="1"/>
  <c r="E8161" i="1"/>
  <c r="F8161" i="1"/>
  <c r="G8161" i="1"/>
  <c r="H8161" i="1"/>
  <c r="I8161" i="1"/>
  <c r="J8161" i="1"/>
  <c r="K8161" i="1"/>
  <c r="L8161" i="1"/>
  <c r="A8162" i="1"/>
  <c r="B8162" i="1"/>
  <c r="C8162" i="1"/>
  <c r="D8162" i="1"/>
  <c r="E8162" i="1"/>
  <c r="F8162" i="1"/>
  <c r="G8162" i="1"/>
  <c r="H8162" i="1"/>
  <c r="I8162" i="1"/>
  <c r="J8162" i="1"/>
  <c r="K8162" i="1"/>
  <c r="L8162" i="1"/>
  <c r="A8163" i="1"/>
  <c r="B8163" i="1"/>
  <c r="C8163" i="1"/>
  <c r="D8163" i="1"/>
  <c r="E8163" i="1"/>
  <c r="F8163" i="1"/>
  <c r="G8163" i="1"/>
  <c r="H8163" i="1"/>
  <c r="I8163" i="1"/>
  <c r="J8163" i="1"/>
  <c r="K8163" i="1"/>
  <c r="L8163" i="1"/>
  <c r="A8164" i="1"/>
  <c r="B8164" i="1"/>
  <c r="C8164" i="1"/>
  <c r="D8164" i="1"/>
  <c r="E8164" i="1"/>
  <c r="F8164" i="1"/>
  <c r="G8164" i="1"/>
  <c r="H8164" i="1"/>
  <c r="I8164" i="1"/>
  <c r="J8164" i="1"/>
  <c r="K8164" i="1"/>
  <c r="L8164" i="1"/>
  <c r="A8165" i="1"/>
  <c r="B8165" i="1"/>
  <c r="C8165" i="1"/>
  <c r="D8165" i="1"/>
  <c r="E8165" i="1"/>
  <c r="F8165" i="1"/>
  <c r="G8165" i="1"/>
  <c r="H8165" i="1"/>
  <c r="I8165" i="1"/>
  <c r="J8165" i="1"/>
  <c r="K8165" i="1"/>
  <c r="L8165" i="1"/>
  <c r="A8166" i="1"/>
  <c r="B8166" i="1"/>
  <c r="C8166" i="1"/>
  <c r="D8166" i="1"/>
  <c r="E8166" i="1"/>
  <c r="F8166" i="1"/>
  <c r="G8166" i="1"/>
  <c r="H8166" i="1"/>
  <c r="I8166" i="1"/>
  <c r="J8166" i="1"/>
  <c r="K8166" i="1"/>
  <c r="L8166" i="1"/>
  <c r="A8167" i="1"/>
  <c r="B8167" i="1"/>
  <c r="C8167" i="1"/>
  <c r="D8167" i="1"/>
  <c r="E8167" i="1"/>
  <c r="F8167" i="1"/>
  <c r="G8167" i="1"/>
  <c r="H8167" i="1"/>
  <c r="I8167" i="1"/>
  <c r="J8167" i="1"/>
  <c r="K8167" i="1"/>
  <c r="L8167" i="1"/>
  <c r="A8168" i="1"/>
  <c r="B8168" i="1"/>
  <c r="C8168" i="1"/>
  <c r="D8168" i="1"/>
  <c r="E8168" i="1"/>
  <c r="F8168" i="1"/>
  <c r="G8168" i="1"/>
  <c r="H8168" i="1"/>
  <c r="I8168" i="1"/>
  <c r="J8168" i="1"/>
  <c r="K8168" i="1"/>
  <c r="L8168" i="1"/>
  <c r="A8169" i="1"/>
  <c r="B8169" i="1"/>
  <c r="C8169" i="1"/>
  <c r="D8169" i="1"/>
  <c r="E8169" i="1"/>
  <c r="F8169" i="1"/>
  <c r="G8169" i="1"/>
  <c r="H8169" i="1"/>
  <c r="I8169" i="1"/>
  <c r="J8169" i="1"/>
  <c r="K8169" i="1"/>
  <c r="L8169" i="1"/>
  <c r="A8170" i="1"/>
  <c r="B8170" i="1"/>
  <c r="C8170" i="1"/>
  <c r="D8170" i="1"/>
  <c r="E8170" i="1"/>
  <c r="F8170" i="1"/>
  <c r="G8170" i="1"/>
  <c r="H8170" i="1"/>
  <c r="I8170" i="1"/>
  <c r="J8170" i="1"/>
  <c r="K8170" i="1"/>
  <c r="L8170" i="1"/>
  <c r="A8171" i="1"/>
  <c r="B8171" i="1"/>
  <c r="C8171" i="1"/>
  <c r="D8171" i="1"/>
  <c r="E8171" i="1"/>
  <c r="F8171" i="1"/>
  <c r="G8171" i="1"/>
  <c r="H8171" i="1"/>
  <c r="I8171" i="1"/>
  <c r="J8171" i="1"/>
  <c r="K8171" i="1"/>
  <c r="L8171" i="1"/>
  <c r="A8172" i="1"/>
  <c r="B8172" i="1"/>
  <c r="C8172" i="1"/>
  <c r="D8172" i="1"/>
  <c r="E8172" i="1"/>
  <c r="F8172" i="1"/>
  <c r="G8172" i="1"/>
  <c r="H8172" i="1"/>
  <c r="I8172" i="1"/>
  <c r="J8172" i="1"/>
  <c r="K8172" i="1"/>
  <c r="L8172" i="1"/>
  <c r="A8173" i="1"/>
  <c r="B8173" i="1"/>
  <c r="C8173" i="1"/>
  <c r="D8173" i="1"/>
  <c r="E8173" i="1"/>
  <c r="F8173" i="1"/>
  <c r="G8173" i="1"/>
  <c r="H8173" i="1"/>
  <c r="I8173" i="1"/>
  <c r="J8173" i="1"/>
  <c r="K8173" i="1"/>
  <c r="L8173" i="1"/>
  <c r="A8174" i="1"/>
  <c r="B8174" i="1"/>
  <c r="C8174" i="1"/>
  <c r="D8174" i="1"/>
  <c r="E8174" i="1"/>
  <c r="F8174" i="1"/>
  <c r="G8174" i="1"/>
  <c r="H8174" i="1"/>
  <c r="I8174" i="1"/>
  <c r="J8174" i="1"/>
  <c r="K8174" i="1"/>
  <c r="L8174" i="1"/>
  <c r="A8175" i="1"/>
  <c r="B8175" i="1"/>
  <c r="C8175" i="1"/>
  <c r="D8175" i="1"/>
  <c r="E8175" i="1"/>
  <c r="F8175" i="1"/>
  <c r="G8175" i="1"/>
  <c r="H8175" i="1"/>
  <c r="I8175" i="1"/>
  <c r="J8175" i="1"/>
  <c r="K8175" i="1"/>
  <c r="L8175" i="1"/>
  <c r="A8176" i="1"/>
  <c r="B8176" i="1"/>
  <c r="C8176" i="1"/>
  <c r="D8176" i="1"/>
  <c r="E8176" i="1"/>
  <c r="F8176" i="1"/>
  <c r="G8176" i="1"/>
  <c r="H8176" i="1"/>
  <c r="I8176" i="1"/>
  <c r="J8176" i="1"/>
  <c r="K8176" i="1"/>
  <c r="L8176" i="1"/>
  <c r="A8177" i="1"/>
  <c r="B8177" i="1"/>
  <c r="C8177" i="1"/>
  <c r="D8177" i="1"/>
  <c r="E8177" i="1"/>
  <c r="F8177" i="1"/>
  <c r="G8177" i="1"/>
  <c r="H8177" i="1"/>
  <c r="I8177" i="1"/>
  <c r="J8177" i="1"/>
  <c r="K8177" i="1"/>
  <c r="L8177" i="1"/>
  <c r="A8178" i="1"/>
  <c r="B8178" i="1"/>
  <c r="C8178" i="1"/>
  <c r="D8178" i="1"/>
  <c r="E8178" i="1"/>
  <c r="F8178" i="1"/>
  <c r="G8178" i="1"/>
  <c r="H8178" i="1"/>
  <c r="I8178" i="1"/>
  <c r="J8178" i="1"/>
  <c r="K8178" i="1"/>
  <c r="L8178" i="1"/>
  <c r="A8179" i="1"/>
  <c r="B8179" i="1"/>
  <c r="C8179" i="1"/>
  <c r="D8179" i="1"/>
  <c r="E8179" i="1"/>
  <c r="F8179" i="1"/>
  <c r="G8179" i="1"/>
  <c r="H8179" i="1"/>
  <c r="I8179" i="1"/>
  <c r="J8179" i="1"/>
  <c r="K8179" i="1"/>
  <c r="L8179" i="1"/>
  <c r="A8180" i="1"/>
  <c r="B8180" i="1"/>
  <c r="C8180" i="1"/>
  <c r="D8180" i="1"/>
  <c r="E8180" i="1"/>
  <c r="F8180" i="1"/>
  <c r="G8180" i="1"/>
  <c r="H8180" i="1"/>
  <c r="I8180" i="1"/>
  <c r="J8180" i="1"/>
  <c r="K8180" i="1"/>
  <c r="L8180" i="1"/>
  <c r="A8181" i="1"/>
  <c r="B8181" i="1"/>
  <c r="C8181" i="1"/>
  <c r="D8181" i="1"/>
  <c r="E8181" i="1"/>
  <c r="F8181" i="1"/>
  <c r="G8181" i="1"/>
  <c r="H8181" i="1"/>
  <c r="I8181" i="1"/>
  <c r="J8181" i="1"/>
  <c r="K8181" i="1"/>
  <c r="L8181" i="1"/>
  <c r="A8182" i="1"/>
  <c r="B8182" i="1"/>
  <c r="C8182" i="1"/>
  <c r="D8182" i="1"/>
  <c r="E8182" i="1"/>
  <c r="F8182" i="1"/>
  <c r="G8182" i="1"/>
  <c r="H8182" i="1"/>
  <c r="I8182" i="1"/>
  <c r="J8182" i="1"/>
  <c r="K8182" i="1"/>
  <c r="L8182" i="1"/>
  <c r="A8183" i="1"/>
  <c r="B8183" i="1"/>
  <c r="C8183" i="1"/>
  <c r="D8183" i="1"/>
  <c r="E8183" i="1"/>
  <c r="F8183" i="1"/>
  <c r="G8183" i="1"/>
  <c r="H8183" i="1"/>
  <c r="I8183" i="1"/>
  <c r="J8183" i="1"/>
  <c r="K8183" i="1"/>
  <c r="L8183" i="1"/>
  <c r="A8184" i="1"/>
  <c r="B8184" i="1"/>
  <c r="C8184" i="1"/>
  <c r="D8184" i="1"/>
  <c r="E8184" i="1"/>
  <c r="F8184" i="1"/>
  <c r="G8184" i="1"/>
  <c r="H8184" i="1"/>
  <c r="I8184" i="1"/>
  <c r="J8184" i="1"/>
  <c r="K8184" i="1"/>
  <c r="L8184" i="1"/>
  <c r="A8185" i="1"/>
  <c r="B8185" i="1"/>
  <c r="C8185" i="1"/>
  <c r="D8185" i="1"/>
  <c r="E8185" i="1"/>
  <c r="F8185" i="1"/>
  <c r="G8185" i="1"/>
  <c r="H8185" i="1"/>
  <c r="I8185" i="1"/>
  <c r="J8185" i="1"/>
  <c r="K8185" i="1"/>
  <c r="L8185" i="1"/>
  <c r="A8186" i="1"/>
  <c r="B8186" i="1"/>
  <c r="C8186" i="1"/>
  <c r="D8186" i="1"/>
  <c r="E8186" i="1"/>
  <c r="F8186" i="1"/>
  <c r="G8186" i="1"/>
  <c r="H8186" i="1"/>
  <c r="I8186" i="1"/>
  <c r="J8186" i="1"/>
  <c r="K8186" i="1"/>
  <c r="L8186" i="1"/>
  <c r="A8187" i="1"/>
  <c r="B8187" i="1"/>
  <c r="C8187" i="1"/>
  <c r="D8187" i="1"/>
  <c r="E8187" i="1"/>
  <c r="F8187" i="1"/>
  <c r="G8187" i="1"/>
  <c r="H8187" i="1"/>
  <c r="I8187" i="1"/>
  <c r="J8187" i="1"/>
  <c r="K8187" i="1"/>
  <c r="L8187" i="1"/>
  <c r="A8188" i="1"/>
  <c r="B8188" i="1"/>
  <c r="C8188" i="1"/>
  <c r="D8188" i="1"/>
  <c r="E8188" i="1"/>
  <c r="F8188" i="1"/>
  <c r="G8188" i="1"/>
  <c r="H8188" i="1"/>
  <c r="I8188" i="1"/>
  <c r="J8188" i="1"/>
  <c r="K8188" i="1"/>
  <c r="L8188" i="1"/>
  <c r="A8189" i="1"/>
  <c r="B8189" i="1"/>
  <c r="C8189" i="1"/>
  <c r="D8189" i="1"/>
  <c r="E8189" i="1"/>
  <c r="F8189" i="1"/>
  <c r="G8189" i="1"/>
  <c r="H8189" i="1"/>
  <c r="I8189" i="1"/>
  <c r="J8189" i="1"/>
  <c r="K8189" i="1"/>
  <c r="L8189" i="1"/>
  <c r="A8190" i="1"/>
  <c r="B8190" i="1"/>
  <c r="C8190" i="1"/>
  <c r="D8190" i="1"/>
  <c r="E8190" i="1"/>
  <c r="F8190" i="1"/>
  <c r="G8190" i="1"/>
  <c r="H8190" i="1"/>
  <c r="I8190" i="1"/>
  <c r="J8190" i="1"/>
  <c r="K8190" i="1"/>
  <c r="L8190" i="1"/>
  <c r="A8191" i="1"/>
  <c r="B8191" i="1"/>
  <c r="C8191" i="1"/>
  <c r="D8191" i="1"/>
  <c r="E8191" i="1"/>
  <c r="F8191" i="1"/>
  <c r="G8191" i="1"/>
  <c r="H8191" i="1"/>
  <c r="I8191" i="1"/>
  <c r="J8191" i="1"/>
  <c r="K8191" i="1"/>
  <c r="L8191" i="1"/>
  <c r="A8192" i="1"/>
  <c r="B8192" i="1"/>
  <c r="C8192" i="1"/>
  <c r="D8192" i="1"/>
  <c r="E8192" i="1"/>
  <c r="F8192" i="1"/>
  <c r="G8192" i="1"/>
  <c r="H8192" i="1"/>
  <c r="I8192" i="1"/>
  <c r="J8192" i="1"/>
  <c r="K8192" i="1"/>
  <c r="L8192" i="1"/>
  <c r="A8193" i="1"/>
  <c r="B8193" i="1"/>
  <c r="C8193" i="1"/>
  <c r="D8193" i="1"/>
  <c r="E8193" i="1"/>
  <c r="F8193" i="1"/>
  <c r="G8193" i="1"/>
  <c r="H8193" i="1"/>
  <c r="I8193" i="1"/>
  <c r="J8193" i="1"/>
  <c r="K8193" i="1"/>
  <c r="L8193" i="1"/>
  <c r="A8194" i="1"/>
  <c r="B8194" i="1"/>
  <c r="C8194" i="1"/>
  <c r="D8194" i="1"/>
  <c r="E8194" i="1"/>
  <c r="F8194" i="1"/>
  <c r="G8194" i="1"/>
  <c r="H8194" i="1"/>
  <c r="I8194" i="1"/>
  <c r="J8194" i="1"/>
  <c r="K8194" i="1"/>
  <c r="L8194" i="1"/>
  <c r="A8195" i="1"/>
  <c r="B8195" i="1"/>
  <c r="C8195" i="1"/>
  <c r="D8195" i="1"/>
  <c r="E8195" i="1"/>
  <c r="F8195" i="1"/>
  <c r="G8195" i="1"/>
  <c r="H8195" i="1"/>
  <c r="I8195" i="1"/>
  <c r="J8195" i="1"/>
  <c r="K8195" i="1"/>
  <c r="L8195" i="1"/>
  <c r="A8196" i="1"/>
  <c r="B8196" i="1"/>
  <c r="C8196" i="1"/>
  <c r="D8196" i="1"/>
  <c r="E8196" i="1"/>
  <c r="F8196" i="1"/>
  <c r="G8196" i="1"/>
  <c r="H8196" i="1"/>
  <c r="I8196" i="1"/>
  <c r="J8196" i="1"/>
  <c r="K8196" i="1"/>
  <c r="L8196" i="1"/>
  <c r="A8197" i="1"/>
  <c r="B8197" i="1"/>
  <c r="C8197" i="1"/>
  <c r="D8197" i="1"/>
  <c r="E8197" i="1"/>
  <c r="F8197" i="1"/>
  <c r="G8197" i="1"/>
  <c r="H8197" i="1"/>
  <c r="I8197" i="1"/>
  <c r="J8197" i="1"/>
  <c r="K8197" i="1"/>
  <c r="L8197" i="1"/>
  <c r="A8198" i="1"/>
  <c r="B8198" i="1"/>
  <c r="C8198" i="1"/>
  <c r="D8198" i="1"/>
  <c r="E8198" i="1"/>
  <c r="F8198" i="1"/>
  <c r="G8198" i="1"/>
  <c r="H8198" i="1"/>
  <c r="I8198" i="1"/>
  <c r="J8198" i="1"/>
  <c r="K8198" i="1"/>
  <c r="L8198" i="1"/>
  <c r="A8199" i="1"/>
  <c r="B8199" i="1"/>
  <c r="C8199" i="1"/>
  <c r="D8199" i="1"/>
  <c r="E8199" i="1"/>
  <c r="F8199" i="1"/>
  <c r="G8199" i="1"/>
  <c r="H8199" i="1"/>
  <c r="I8199" i="1"/>
  <c r="J8199" i="1"/>
  <c r="K8199" i="1"/>
  <c r="L8199" i="1"/>
  <c r="A8200" i="1"/>
  <c r="B8200" i="1"/>
  <c r="C8200" i="1"/>
  <c r="D8200" i="1"/>
  <c r="E8200" i="1"/>
  <c r="F8200" i="1"/>
  <c r="G8200" i="1"/>
  <c r="H8200" i="1"/>
  <c r="I8200" i="1"/>
  <c r="J8200" i="1"/>
  <c r="K8200" i="1"/>
  <c r="L8200" i="1"/>
  <c r="A8201" i="1"/>
  <c r="B8201" i="1"/>
  <c r="C8201" i="1"/>
  <c r="D8201" i="1"/>
  <c r="E8201" i="1"/>
  <c r="F8201" i="1"/>
  <c r="G8201" i="1"/>
  <c r="H8201" i="1"/>
  <c r="I8201" i="1"/>
  <c r="J8201" i="1"/>
  <c r="K8201" i="1"/>
  <c r="L8201" i="1"/>
  <c r="A8202" i="1"/>
  <c r="B8202" i="1"/>
  <c r="C8202" i="1"/>
  <c r="D8202" i="1"/>
  <c r="E8202" i="1"/>
  <c r="F8202" i="1"/>
  <c r="G8202" i="1"/>
  <c r="H8202" i="1"/>
  <c r="I8202" i="1"/>
  <c r="J8202" i="1"/>
  <c r="K8202" i="1"/>
  <c r="L8202" i="1"/>
  <c r="A8203" i="1"/>
  <c r="B8203" i="1"/>
  <c r="C8203" i="1"/>
  <c r="D8203" i="1"/>
  <c r="E8203" i="1"/>
  <c r="F8203" i="1"/>
  <c r="G8203" i="1"/>
  <c r="H8203" i="1"/>
  <c r="I8203" i="1"/>
  <c r="J8203" i="1"/>
  <c r="K8203" i="1"/>
  <c r="L8203" i="1"/>
  <c r="A8204" i="1"/>
  <c r="B8204" i="1"/>
  <c r="C8204" i="1"/>
  <c r="D8204" i="1"/>
  <c r="E8204" i="1"/>
  <c r="F8204" i="1"/>
  <c r="G8204" i="1"/>
  <c r="H8204" i="1"/>
  <c r="I8204" i="1"/>
  <c r="J8204" i="1"/>
  <c r="K8204" i="1"/>
  <c r="L8204" i="1"/>
  <c r="A8205" i="1"/>
  <c r="B8205" i="1"/>
  <c r="C8205" i="1"/>
  <c r="D8205" i="1"/>
  <c r="E8205" i="1"/>
  <c r="F8205" i="1"/>
  <c r="G8205" i="1"/>
  <c r="H8205" i="1"/>
  <c r="I8205" i="1"/>
  <c r="J8205" i="1"/>
  <c r="K8205" i="1"/>
  <c r="L8205" i="1"/>
  <c r="A8206" i="1"/>
  <c r="B8206" i="1"/>
  <c r="C8206" i="1"/>
  <c r="D8206" i="1"/>
  <c r="E8206" i="1"/>
  <c r="F8206" i="1"/>
  <c r="G8206" i="1"/>
  <c r="H8206" i="1"/>
  <c r="I8206" i="1"/>
  <c r="J8206" i="1"/>
  <c r="K8206" i="1"/>
  <c r="L8206" i="1"/>
  <c r="A8207" i="1"/>
  <c r="B8207" i="1"/>
  <c r="C8207" i="1"/>
  <c r="D8207" i="1"/>
  <c r="E8207" i="1"/>
  <c r="F8207" i="1"/>
  <c r="G8207" i="1"/>
  <c r="H8207" i="1"/>
  <c r="I8207" i="1"/>
  <c r="J8207" i="1"/>
  <c r="K8207" i="1"/>
  <c r="L8207" i="1"/>
  <c r="A8208" i="1"/>
  <c r="B8208" i="1"/>
  <c r="C8208" i="1"/>
  <c r="D8208" i="1"/>
  <c r="E8208" i="1"/>
  <c r="F8208" i="1"/>
  <c r="G8208" i="1"/>
  <c r="H8208" i="1"/>
  <c r="I8208" i="1"/>
  <c r="J8208" i="1"/>
  <c r="K8208" i="1"/>
  <c r="L8208" i="1"/>
  <c r="A8209" i="1"/>
  <c r="B8209" i="1"/>
  <c r="C8209" i="1"/>
  <c r="D8209" i="1"/>
  <c r="E8209" i="1"/>
  <c r="F8209" i="1"/>
  <c r="G8209" i="1"/>
  <c r="H8209" i="1"/>
  <c r="I8209" i="1"/>
  <c r="J8209" i="1"/>
  <c r="K8209" i="1"/>
  <c r="L8209" i="1"/>
  <c r="A8210" i="1"/>
  <c r="B8210" i="1"/>
  <c r="C8210" i="1"/>
  <c r="D8210" i="1"/>
  <c r="E8210" i="1"/>
  <c r="F8210" i="1"/>
  <c r="G8210" i="1"/>
  <c r="H8210" i="1"/>
  <c r="I8210" i="1"/>
  <c r="J8210" i="1"/>
  <c r="K8210" i="1"/>
  <c r="L8210" i="1"/>
  <c r="A8211" i="1"/>
  <c r="B8211" i="1"/>
  <c r="C8211" i="1"/>
  <c r="D8211" i="1"/>
  <c r="E8211" i="1"/>
  <c r="F8211" i="1"/>
  <c r="G8211" i="1"/>
  <c r="H8211" i="1"/>
  <c r="I8211" i="1"/>
  <c r="J8211" i="1"/>
  <c r="K8211" i="1"/>
  <c r="L8211" i="1"/>
  <c r="A8212" i="1"/>
  <c r="B8212" i="1"/>
  <c r="C8212" i="1"/>
  <c r="D8212" i="1"/>
  <c r="E8212" i="1"/>
  <c r="F8212" i="1"/>
  <c r="G8212" i="1"/>
  <c r="H8212" i="1"/>
  <c r="I8212" i="1"/>
  <c r="J8212" i="1"/>
  <c r="K8212" i="1"/>
  <c r="L8212" i="1"/>
  <c r="A8213" i="1"/>
  <c r="B8213" i="1"/>
  <c r="C8213" i="1"/>
  <c r="D8213" i="1"/>
  <c r="E8213" i="1"/>
  <c r="F8213" i="1"/>
  <c r="G8213" i="1"/>
  <c r="H8213" i="1"/>
  <c r="I8213" i="1"/>
  <c r="J8213" i="1"/>
  <c r="K8213" i="1"/>
  <c r="L8213" i="1"/>
  <c r="A8214" i="1"/>
  <c r="B8214" i="1"/>
  <c r="C8214" i="1"/>
  <c r="D8214" i="1"/>
  <c r="E8214" i="1"/>
  <c r="F8214" i="1"/>
  <c r="G8214" i="1"/>
  <c r="H8214" i="1"/>
  <c r="I8214" i="1"/>
  <c r="J8214" i="1"/>
  <c r="K8214" i="1"/>
  <c r="L8214" i="1"/>
  <c r="A8215" i="1"/>
  <c r="B8215" i="1"/>
  <c r="C8215" i="1"/>
  <c r="D8215" i="1"/>
  <c r="E8215" i="1"/>
  <c r="F8215" i="1"/>
  <c r="G8215" i="1"/>
  <c r="H8215" i="1"/>
  <c r="I8215" i="1"/>
  <c r="J8215" i="1"/>
  <c r="K8215" i="1"/>
  <c r="L8215" i="1"/>
  <c r="A8216" i="1"/>
  <c r="B8216" i="1"/>
  <c r="C8216" i="1"/>
  <c r="D8216" i="1"/>
  <c r="E8216" i="1"/>
  <c r="F8216" i="1"/>
  <c r="G8216" i="1"/>
  <c r="H8216" i="1"/>
  <c r="I8216" i="1"/>
  <c r="J8216" i="1"/>
  <c r="K8216" i="1"/>
  <c r="L8216" i="1"/>
  <c r="A8217" i="1"/>
  <c r="B8217" i="1"/>
  <c r="C8217" i="1"/>
  <c r="D8217" i="1"/>
  <c r="E8217" i="1"/>
  <c r="F8217" i="1"/>
  <c r="G8217" i="1"/>
  <c r="H8217" i="1"/>
  <c r="I8217" i="1"/>
  <c r="J8217" i="1"/>
  <c r="K8217" i="1"/>
  <c r="L8217" i="1"/>
  <c r="A8218" i="1"/>
  <c r="B8218" i="1"/>
  <c r="C8218" i="1"/>
  <c r="D8218" i="1"/>
  <c r="E8218" i="1"/>
  <c r="F8218" i="1"/>
  <c r="G8218" i="1"/>
  <c r="H8218" i="1"/>
  <c r="I8218" i="1"/>
  <c r="J8218" i="1"/>
  <c r="K8218" i="1"/>
  <c r="L8218" i="1"/>
  <c r="A8219" i="1"/>
  <c r="B8219" i="1"/>
  <c r="C8219" i="1"/>
  <c r="D8219" i="1"/>
  <c r="E8219" i="1"/>
  <c r="F8219" i="1"/>
  <c r="G8219" i="1"/>
  <c r="H8219" i="1"/>
  <c r="I8219" i="1"/>
  <c r="J8219" i="1"/>
  <c r="K8219" i="1"/>
  <c r="L8219" i="1"/>
  <c r="A8220" i="1"/>
  <c r="B8220" i="1"/>
  <c r="C8220" i="1"/>
  <c r="D8220" i="1"/>
  <c r="E8220" i="1"/>
  <c r="F8220" i="1"/>
  <c r="G8220" i="1"/>
  <c r="H8220" i="1"/>
  <c r="I8220" i="1"/>
  <c r="J8220" i="1"/>
  <c r="K8220" i="1"/>
  <c r="L8220" i="1"/>
  <c r="A8221" i="1"/>
  <c r="B8221" i="1"/>
  <c r="C8221" i="1"/>
  <c r="D8221" i="1"/>
  <c r="E8221" i="1"/>
  <c r="F8221" i="1"/>
  <c r="G8221" i="1"/>
  <c r="H8221" i="1"/>
  <c r="I8221" i="1"/>
  <c r="J8221" i="1"/>
  <c r="K8221" i="1"/>
  <c r="L8221" i="1"/>
  <c r="A8222" i="1"/>
  <c r="B8222" i="1"/>
  <c r="C8222" i="1"/>
  <c r="D8222" i="1"/>
  <c r="E8222" i="1"/>
  <c r="F8222" i="1"/>
  <c r="G8222" i="1"/>
  <c r="H8222" i="1"/>
  <c r="I8222" i="1"/>
  <c r="J8222" i="1"/>
  <c r="K8222" i="1"/>
  <c r="L8222" i="1"/>
  <c r="A8223" i="1"/>
  <c r="B8223" i="1"/>
  <c r="C8223" i="1"/>
  <c r="D8223" i="1"/>
  <c r="E8223" i="1"/>
  <c r="F8223" i="1"/>
  <c r="G8223" i="1"/>
  <c r="H8223" i="1"/>
  <c r="I8223" i="1"/>
  <c r="J8223" i="1"/>
  <c r="K8223" i="1"/>
  <c r="L8223" i="1"/>
  <c r="A8224" i="1"/>
  <c r="B8224" i="1"/>
  <c r="C8224" i="1"/>
  <c r="D8224" i="1"/>
  <c r="E8224" i="1"/>
  <c r="F8224" i="1"/>
  <c r="G8224" i="1"/>
  <c r="H8224" i="1"/>
  <c r="I8224" i="1"/>
  <c r="J8224" i="1"/>
  <c r="K8224" i="1"/>
  <c r="L8224" i="1"/>
  <c r="A8225" i="1"/>
  <c r="B8225" i="1"/>
  <c r="C8225" i="1"/>
  <c r="D8225" i="1"/>
  <c r="E8225" i="1"/>
  <c r="F8225" i="1"/>
  <c r="G8225" i="1"/>
  <c r="H8225" i="1"/>
  <c r="I8225" i="1"/>
  <c r="J8225" i="1"/>
  <c r="K8225" i="1"/>
  <c r="L8225" i="1"/>
  <c r="A8226" i="1"/>
  <c r="B8226" i="1"/>
  <c r="C8226" i="1"/>
  <c r="D8226" i="1"/>
  <c r="E8226" i="1"/>
  <c r="F8226" i="1"/>
  <c r="G8226" i="1"/>
  <c r="H8226" i="1"/>
  <c r="I8226" i="1"/>
  <c r="J8226" i="1"/>
  <c r="K8226" i="1"/>
  <c r="L8226" i="1"/>
  <c r="A8227" i="1"/>
  <c r="B8227" i="1"/>
  <c r="C8227" i="1"/>
  <c r="D8227" i="1"/>
  <c r="E8227" i="1"/>
  <c r="F8227" i="1"/>
  <c r="G8227" i="1"/>
  <c r="H8227" i="1"/>
  <c r="I8227" i="1"/>
  <c r="J8227" i="1"/>
  <c r="K8227" i="1"/>
  <c r="L8227" i="1"/>
  <c r="A8228" i="1"/>
  <c r="B8228" i="1"/>
  <c r="C8228" i="1"/>
  <c r="D8228" i="1"/>
  <c r="E8228" i="1"/>
  <c r="F8228" i="1"/>
  <c r="G8228" i="1"/>
  <c r="H8228" i="1"/>
  <c r="I8228" i="1"/>
  <c r="J8228" i="1"/>
  <c r="K8228" i="1"/>
  <c r="L8228" i="1"/>
  <c r="A8229" i="1"/>
  <c r="B8229" i="1"/>
  <c r="C8229" i="1"/>
  <c r="D8229" i="1"/>
  <c r="E8229" i="1"/>
  <c r="F8229" i="1"/>
  <c r="G8229" i="1"/>
  <c r="H8229" i="1"/>
  <c r="I8229" i="1"/>
  <c r="J8229" i="1"/>
  <c r="K8229" i="1"/>
  <c r="L8229" i="1"/>
  <c r="A8230" i="1"/>
  <c r="B8230" i="1"/>
  <c r="C8230" i="1"/>
  <c r="D8230" i="1"/>
  <c r="E8230" i="1"/>
  <c r="F8230" i="1"/>
  <c r="G8230" i="1"/>
  <c r="H8230" i="1"/>
  <c r="I8230" i="1"/>
  <c r="J8230" i="1"/>
  <c r="K8230" i="1"/>
  <c r="L8230" i="1"/>
  <c r="A8231" i="1"/>
  <c r="B8231" i="1"/>
  <c r="C8231" i="1"/>
  <c r="D8231" i="1"/>
  <c r="E8231" i="1"/>
  <c r="F8231" i="1"/>
  <c r="G8231" i="1"/>
  <c r="H8231" i="1"/>
  <c r="I8231" i="1"/>
  <c r="J8231" i="1"/>
  <c r="K8231" i="1"/>
  <c r="L8231" i="1"/>
  <c r="A8232" i="1"/>
  <c r="B8232" i="1"/>
  <c r="C8232" i="1"/>
  <c r="D8232" i="1"/>
  <c r="E8232" i="1"/>
  <c r="F8232" i="1"/>
  <c r="G8232" i="1"/>
  <c r="H8232" i="1"/>
  <c r="I8232" i="1"/>
  <c r="J8232" i="1"/>
  <c r="K8232" i="1"/>
  <c r="L8232" i="1"/>
  <c r="A8233" i="1"/>
  <c r="B8233" i="1"/>
  <c r="C8233" i="1"/>
  <c r="D8233" i="1"/>
  <c r="E8233" i="1"/>
  <c r="F8233" i="1"/>
  <c r="G8233" i="1"/>
  <c r="H8233" i="1"/>
  <c r="I8233" i="1"/>
  <c r="J8233" i="1"/>
  <c r="K8233" i="1"/>
  <c r="L8233" i="1"/>
  <c r="A8234" i="1"/>
  <c r="B8234" i="1"/>
  <c r="C8234" i="1"/>
  <c r="D8234" i="1"/>
  <c r="E8234" i="1"/>
  <c r="F8234" i="1"/>
  <c r="G8234" i="1"/>
  <c r="H8234" i="1"/>
  <c r="I8234" i="1"/>
  <c r="J8234" i="1"/>
  <c r="K8234" i="1"/>
  <c r="L8234" i="1"/>
  <c r="A8235" i="1"/>
  <c r="B8235" i="1"/>
  <c r="C8235" i="1"/>
  <c r="D8235" i="1"/>
  <c r="E8235" i="1"/>
  <c r="F8235" i="1"/>
  <c r="G8235" i="1"/>
  <c r="H8235" i="1"/>
  <c r="I8235" i="1"/>
  <c r="J8235" i="1"/>
  <c r="K8235" i="1"/>
  <c r="L8235" i="1"/>
  <c r="A8236" i="1"/>
  <c r="B8236" i="1"/>
  <c r="C8236" i="1"/>
  <c r="D8236" i="1"/>
  <c r="E8236" i="1"/>
  <c r="F8236" i="1"/>
  <c r="G8236" i="1"/>
  <c r="H8236" i="1"/>
  <c r="I8236" i="1"/>
  <c r="J8236" i="1"/>
  <c r="K8236" i="1"/>
  <c r="L8236" i="1"/>
  <c r="A8237" i="1"/>
  <c r="B8237" i="1"/>
  <c r="C8237" i="1"/>
  <c r="D8237" i="1"/>
  <c r="E8237" i="1"/>
  <c r="F8237" i="1"/>
  <c r="G8237" i="1"/>
  <c r="H8237" i="1"/>
  <c r="I8237" i="1"/>
  <c r="J8237" i="1"/>
  <c r="K8237" i="1"/>
  <c r="L8237" i="1"/>
  <c r="A8238" i="1"/>
  <c r="B8238" i="1"/>
  <c r="C8238" i="1"/>
  <c r="D8238" i="1"/>
  <c r="E8238" i="1"/>
  <c r="F8238" i="1"/>
  <c r="G8238" i="1"/>
  <c r="H8238" i="1"/>
  <c r="I8238" i="1"/>
  <c r="J8238" i="1"/>
  <c r="K8238" i="1"/>
  <c r="L8238" i="1"/>
  <c r="A8239" i="1"/>
  <c r="B8239" i="1"/>
  <c r="C8239" i="1"/>
  <c r="D8239" i="1"/>
  <c r="E8239" i="1"/>
  <c r="F8239" i="1"/>
  <c r="G8239" i="1"/>
  <c r="H8239" i="1"/>
  <c r="I8239" i="1"/>
  <c r="J8239" i="1"/>
  <c r="K8239" i="1"/>
  <c r="L8239" i="1"/>
  <c r="A8240" i="1"/>
  <c r="B8240" i="1"/>
  <c r="C8240" i="1"/>
  <c r="D8240" i="1"/>
  <c r="E8240" i="1"/>
  <c r="F8240" i="1"/>
  <c r="G8240" i="1"/>
  <c r="H8240" i="1"/>
  <c r="I8240" i="1"/>
  <c r="J8240" i="1"/>
  <c r="K8240" i="1"/>
  <c r="L8240" i="1"/>
  <c r="A8241" i="1"/>
  <c r="B8241" i="1"/>
  <c r="C8241" i="1"/>
  <c r="D8241" i="1"/>
  <c r="E8241" i="1"/>
  <c r="F8241" i="1"/>
  <c r="G8241" i="1"/>
  <c r="H8241" i="1"/>
  <c r="I8241" i="1"/>
  <c r="J8241" i="1"/>
  <c r="K8241" i="1"/>
  <c r="L8241" i="1"/>
  <c r="A8242" i="1"/>
  <c r="B8242" i="1"/>
  <c r="C8242" i="1"/>
  <c r="D8242" i="1"/>
  <c r="E8242" i="1"/>
  <c r="F8242" i="1"/>
  <c r="G8242" i="1"/>
  <c r="H8242" i="1"/>
  <c r="I8242" i="1"/>
  <c r="J8242" i="1"/>
  <c r="K8242" i="1"/>
  <c r="L8242" i="1"/>
  <c r="A8243" i="1"/>
  <c r="B8243" i="1"/>
  <c r="C8243" i="1"/>
  <c r="D8243" i="1"/>
  <c r="E8243" i="1"/>
  <c r="F8243" i="1"/>
  <c r="G8243" i="1"/>
  <c r="H8243" i="1"/>
  <c r="I8243" i="1"/>
  <c r="J8243" i="1"/>
  <c r="K8243" i="1"/>
  <c r="L8243" i="1"/>
  <c r="A8244" i="1"/>
  <c r="B8244" i="1"/>
  <c r="C8244" i="1"/>
  <c r="D8244" i="1"/>
  <c r="E8244" i="1"/>
  <c r="F8244" i="1"/>
  <c r="G8244" i="1"/>
  <c r="H8244" i="1"/>
  <c r="I8244" i="1"/>
  <c r="J8244" i="1"/>
  <c r="K8244" i="1"/>
  <c r="L8244" i="1"/>
  <c r="A8245" i="1"/>
  <c r="B8245" i="1"/>
  <c r="C8245" i="1"/>
  <c r="D8245" i="1"/>
  <c r="E8245" i="1"/>
  <c r="F8245" i="1"/>
  <c r="G8245" i="1"/>
  <c r="H8245" i="1"/>
  <c r="I8245" i="1"/>
  <c r="J8245" i="1"/>
  <c r="K8245" i="1"/>
  <c r="L8245" i="1"/>
  <c r="A8246" i="1"/>
  <c r="B8246" i="1"/>
  <c r="C8246" i="1"/>
  <c r="D8246" i="1"/>
  <c r="E8246" i="1"/>
  <c r="F8246" i="1"/>
  <c r="G8246" i="1"/>
  <c r="H8246" i="1"/>
  <c r="I8246" i="1"/>
  <c r="J8246" i="1"/>
  <c r="K8246" i="1"/>
  <c r="L8246" i="1"/>
  <c r="A8247" i="1"/>
  <c r="B8247" i="1"/>
  <c r="C8247" i="1"/>
  <c r="D8247" i="1"/>
  <c r="E8247" i="1"/>
  <c r="F8247" i="1"/>
  <c r="G8247" i="1"/>
  <c r="H8247" i="1"/>
  <c r="I8247" i="1"/>
  <c r="J8247" i="1"/>
  <c r="K8247" i="1"/>
  <c r="L8247" i="1"/>
  <c r="A8248" i="1"/>
  <c r="B8248" i="1"/>
  <c r="C8248" i="1"/>
  <c r="D8248" i="1"/>
  <c r="E8248" i="1"/>
  <c r="F8248" i="1"/>
  <c r="G8248" i="1"/>
  <c r="H8248" i="1"/>
  <c r="I8248" i="1"/>
  <c r="J8248" i="1"/>
  <c r="K8248" i="1"/>
  <c r="L8248" i="1"/>
  <c r="A8249" i="1"/>
  <c r="B8249" i="1"/>
  <c r="C8249" i="1"/>
  <c r="D8249" i="1"/>
  <c r="E8249" i="1"/>
  <c r="F8249" i="1"/>
  <c r="G8249" i="1"/>
  <c r="H8249" i="1"/>
  <c r="I8249" i="1"/>
  <c r="J8249" i="1"/>
  <c r="K8249" i="1"/>
  <c r="L8249" i="1"/>
  <c r="A8250" i="1"/>
  <c r="B8250" i="1"/>
  <c r="C8250" i="1"/>
  <c r="D8250" i="1"/>
  <c r="E8250" i="1"/>
  <c r="F8250" i="1"/>
  <c r="G8250" i="1"/>
  <c r="H8250" i="1"/>
  <c r="I8250" i="1"/>
  <c r="J8250" i="1"/>
  <c r="K8250" i="1"/>
  <c r="L8250" i="1"/>
  <c r="A8251" i="1"/>
  <c r="B8251" i="1"/>
  <c r="C8251" i="1"/>
  <c r="D8251" i="1"/>
  <c r="E8251" i="1"/>
  <c r="F8251" i="1"/>
  <c r="G8251" i="1"/>
  <c r="H8251" i="1"/>
  <c r="I8251" i="1"/>
  <c r="J8251" i="1"/>
  <c r="K8251" i="1"/>
  <c r="L8251" i="1"/>
  <c r="A8252" i="1"/>
  <c r="B8252" i="1"/>
  <c r="C8252" i="1"/>
  <c r="D8252" i="1"/>
  <c r="E8252" i="1"/>
  <c r="F8252" i="1"/>
  <c r="G8252" i="1"/>
  <c r="H8252" i="1"/>
  <c r="I8252" i="1"/>
  <c r="J8252" i="1"/>
  <c r="K8252" i="1"/>
  <c r="L8252" i="1"/>
  <c r="A8253" i="1"/>
  <c r="B8253" i="1"/>
  <c r="C8253" i="1"/>
  <c r="D8253" i="1"/>
  <c r="E8253" i="1"/>
  <c r="F8253" i="1"/>
  <c r="G8253" i="1"/>
  <c r="H8253" i="1"/>
  <c r="I8253" i="1"/>
  <c r="J8253" i="1"/>
  <c r="K8253" i="1"/>
  <c r="L8253" i="1"/>
  <c r="A8254" i="1"/>
  <c r="B8254" i="1"/>
  <c r="C8254" i="1"/>
  <c r="D8254" i="1"/>
  <c r="E8254" i="1"/>
  <c r="F8254" i="1"/>
  <c r="G8254" i="1"/>
  <c r="H8254" i="1"/>
  <c r="I8254" i="1"/>
  <c r="J8254" i="1"/>
  <c r="K8254" i="1"/>
  <c r="L8254" i="1"/>
  <c r="A8255" i="1"/>
  <c r="B8255" i="1"/>
  <c r="C8255" i="1"/>
  <c r="D8255" i="1"/>
  <c r="E8255" i="1"/>
  <c r="F8255" i="1"/>
  <c r="G8255" i="1"/>
  <c r="H8255" i="1"/>
  <c r="I8255" i="1"/>
  <c r="J8255" i="1"/>
  <c r="K8255" i="1"/>
  <c r="L8255" i="1"/>
  <c r="A8256" i="1"/>
  <c r="B8256" i="1"/>
  <c r="C8256" i="1"/>
  <c r="D8256" i="1"/>
  <c r="E8256" i="1"/>
  <c r="F8256" i="1"/>
  <c r="G8256" i="1"/>
  <c r="H8256" i="1"/>
  <c r="I8256" i="1"/>
  <c r="J8256" i="1"/>
  <c r="K8256" i="1"/>
  <c r="L8256" i="1"/>
  <c r="A8257" i="1"/>
  <c r="B8257" i="1"/>
  <c r="C8257" i="1"/>
  <c r="D8257" i="1"/>
  <c r="E8257" i="1"/>
  <c r="F8257" i="1"/>
  <c r="G8257" i="1"/>
  <c r="H8257" i="1"/>
  <c r="I8257" i="1"/>
  <c r="J8257" i="1"/>
  <c r="K8257" i="1"/>
  <c r="L8257" i="1"/>
  <c r="A8258" i="1"/>
  <c r="B8258" i="1"/>
  <c r="C8258" i="1"/>
  <c r="D8258" i="1"/>
  <c r="E8258" i="1"/>
  <c r="F8258" i="1"/>
  <c r="G8258" i="1"/>
  <c r="H8258" i="1"/>
  <c r="I8258" i="1"/>
  <c r="J8258" i="1"/>
  <c r="K8258" i="1"/>
  <c r="L8258" i="1"/>
  <c r="A8259" i="1"/>
  <c r="B8259" i="1"/>
  <c r="C8259" i="1"/>
  <c r="D8259" i="1"/>
  <c r="E8259" i="1"/>
  <c r="F8259" i="1"/>
  <c r="G8259" i="1"/>
  <c r="H8259" i="1"/>
  <c r="I8259" i="1"/>
  <c r="J8259" i="1"/>
  <c r="K8259" i="1"/>
  <c r="L8259" i="1"/>
  <c r="A8260" i="1"/>
  <c r="B8260" i="1"/>
  <c r="C8260" i="1"/>
  <c r="D8260" i="1"/>
  <c r="E8260" i="1"/>
  <c r="F8260" i="1"/>
  <c r="G8260" i="1"/>
  <c r="H8260" i="1"/>
  <c r="I8260" i="1"/>
  <c r="J8260" i="1"/>
  <c r="K8260" i="1"/>
  <c r="L8260" i="1"/>
  <c r="A8261" i="1"/>
  <c r="B8261" i="1"/>
  <c r="C8261" i="1"/>
  <c r="D8261" i="1"/>
  <c r="E8261" i="1"/>
  <c r="F8261" i="1"/>
  <c r="G8261" i="1"/>
  <c r="H8261" i="1"/>
  <c r="I8261" i="1"/>
  <c r="J8261" i="1"/>
  <c r="K8261" i="1"/>
  <c r="L8261" i="1"/>
  <c r="A8262" i="1"/>
  <c r="B8262" i="1"/>
  <c r="C8262" i="1"/>
  <c r="D8262" i="1"/>
  <c r="E8262" i="1"/>
  <c r="F8262" i="1"/>
  <c r="G8262" i="1"/>
  <c r="H8262" i="1"/>
  <c r="I8262" i="1"/>
  <c r="J8262" i="1"/>
  <c r="K8262" i="1"/>
  <c r="L8262" i="1"/>
  <c r="A8263" i="1"/>
  <c r="B8263" i="1"/>
  <c r="C8263" i="1"/>
  <c r="D8263" i="1"/>
  <c r="E8263" i="1"/>
  <c r="F8263" i="1"/>
  <c r="G8263" i="1"/>
  <c r="H8263" i="1"/>
  <c r="I8263" i="1"/>
  <c r="J8263" i="1"/>
  <c r="K8263" i="1"/>
  <c r="L8263" i="1"/>
  <c r="A8264" i="1"/>
  <c r="B8264" i="1"/>
  <c r="C8264" i="1"/>
  <c r="D8264" i="1"/>
  <c r="E8264" i="1"/>
  <c r="F8264" i="1"/>
  <c r="G8264" i="1"/>
  <c r="H8264" i="1"/>
  <c r="I8264" i="1"/>
  <c r="J8264" i="1"/>
  <c r="K8264" i="1"/>
  <c r="L8264" i="1"/>
  <c r="A8265" i="1"/>
  <c r="B8265" i="1"/>
  <c r="C8265" i="1"/>
  <c r="D8265" i="1"/>
  <c r="E8265" i="1"/>
  <c r="F8265" i="1"/>
  <c r="G8265" i="1"/>
  <c r="H8265" i="1"/>
  <c r="I8265" i="1"/>
  <c r="J8265" i="1"/>
  <c r="K8265" i="1"/>
  <c r="L8265" i="1"/>
  <c r="A8266" i="1"/>
  <c r="B8266" i="1"/>
  <c r="C8266" i="1"/>
  <c r="D8266" i="1"/>
  <c r="E8266" i="1"/>
  <c r="F8266" i="1"/>
  <c r="G8266" i="1"/>
  <c r="H8266" i="1"/>
  <c r="I8266" i="1"/>
  <c r="J8266" i="1"/>
  <c r="K8266" i="1"/>
  <c r="L8266" i="1"/>
  <c r="A8267" i="1"/>
  <c r="B8267" i="1"/>
  <c r="C8267" i="1"/>
  <c r="D8267" i="1"/>
  <c r="E8267" i="1"/>
  <c r="F8267" i="1"/>
  <c r="G8267" i="1"/>
  <c r="H8267" i="1"/>
  <c r="I8267" i="1"/>
  <c r="J8267" i="1"/>
  <c r="K8267" i="1"/>
  <c r="L8267" i="1"/>
  <c r="A8268" i="1"/>
  <c r="B8268" i="1"/>
  <c r="C8268" i="1"/>
  <c r="D8268" i="1"/>
  <c r="E8268" i="1"/>
  <c r="F8268" i="1"/>
  <c r="G8268" i="1"/>
  <c r="H8268" i="1"/>
  <c r="I8268" i="1"/>
  <c r="J8268" i="1"/>
  <c r="K8268" i="1"/>
  <c r="L8268" i="1"/>
  <c r="A8269" i="1"/>
  <c r="B8269" i="1"/>
  <c r="C8269" i="1"/>
  <c r="D8269" i="1"/>
  <c r="E8269" i="1"/>
  <c r="F8269" i="1"/>
  <c r="G8269" i="1"/>
  <c r="H8269" i="1"/>
  <c r="I8269" i="1"/>
  <c r="J8269" i="1"/>
  <c r="K8269" i="1"/>
  <c r="L8269" i="1"/>
  <c r="A8270" i="1"/>
  <c r="B8270" i="1"/>
  <c r="C8270" i="1"/>
  <c r="D8270" i="1"/>
  <c r="E8270" i="1"/>
  <c r="F8270" i="1"/>
  <c r="G8270" i="1"/>
  <c r="H8270" i="1"/>
  <c r="I8270" i="1"/>
  <c r="J8270" i="1"/>
  <c r="K8270" i="1"/>
  <c r="L8270" i="1"/>
  <c r="A8271" i="1"/>
  <c r="B8271" i="1"/>
  <c r="C8271" i="1"/>
  <c r="D8271" i="1"/>
  <c r="E8271" i="1"/>
  <c r="F8271" i="1"/>
  <c r="G8271" i="1"/>
  <c r="H8271" i="1"/>
  <c r="I8271" i="1"/>
  <c r="J8271" i="1"/>
  <c r="K8271" i="1"/>
  <c r="L8271" i="1"/>
  <c r="A8272" i="1"/>
  <c r="B8272" i="1"/>
  <c r="C8272" i="1"/>
  <c r="D8272" i="1"/>
  <c r="E8272" i="1"/>
  <c r="F8272" i="1"/>
  <c r="G8272" i="1"/>
  <c r="H8272" i="1"/>
  <c r="I8272" i="1"/>
  <c r="J8272" i="1"/>
  <c r="K8272" i="1"/>
  <c r="L8272" i="1"/>
  <c r="A8273" i="1"/>
  <c r="B8273" i="1"/>
  <c r="C8273" i="1"/>
  <c r="D8273" i="1"/>
  <c r="E8273" i="1"/>
  <c r="F8273" i="1"/>
  <c r="G8273" i="1"/>
  <c r="H8273" i="1"/>
  <c r="I8273" i="1"/>
  <c r="J8273" i="1"/>
  <c r="K8273" i="1"/>
  <c r="L8273" i="1"/>
  <c r="A8274" i="1"/>
  <c r="B8274" i="1"/>
  <c r="C8274" i="1"/>
  <c r="D8274" i="1"/>
  <c r="E8274" i="1"/>
  <c r="F8274" i="1"/>
  <c r="G8274" i="1"/>
  <c r="H8274" i="1"/>
  <c r="I8274" i="1"/>
  <c r="J8274" i="1"/>
  <c r="K8274" i="1"/>
  <c r="L8274" i="1"/>
  <c r="A8275" i="1"/>
  <c r="B8275" i="1"/>
  <c r="C8275" i="1"/>
  <c r="D8275" i="1"/>
  <c r="E8275" i="1"/>
  <c r="F8275" i="1"/>
  <c r="G8275" i="1"/>
  <c r="H8275" i="1"/>
  <c r="I8275" i="1"/>
  <c r="J8275" i="1"/>
  <c r="K8275" i="1"/>
  <c r="L8275" i="1"/>
  <c r="A8276" i="1"/>
  <c r="B8276" i="1"/>
  <c r="C8276" i="1"/>
  <c r="D8276" i="1"/>
  <c r="E8276" i="1"/>
  <c r="F8276" i="1"/>
  <c r="G8276" i="1"/>
  <c r="H8276" i="1"/>
  <c r="I8276" i="1"/>
  <c r="J8276" i="1"/>
  <c r="K8276" i="1"/>
  <c r="L8276" i="1"/>
  <c r="A8277" i="1"/>
  <c r="B8277" i="1"/>
  <c r="C8277" i="1"/>
  <c r="D8277" i="1"/>
  <c r="E8277" i="1"/>
  <c r="F8277" i="1"/>
  <c r="G8277" i="1"/>
  <c r="H8277" i="1"/>
  <c r="I8277" i="1"/>
  <c r="J8277" i="1"/>
  <c r="K8277" i="1"/>
  <c r="L8277" i="1"/>
  <c r="A8278" i="1"/>
  <c r="B8278" i="1"/>
  <c r="C8278" i="1"/>
  <c r="D8278" i="1"/>
  <c r="E8278" i="1"/>
  <c r="F8278" i="1"/>
  <c r="G8278" i="1"/>
  <c r="H8278" i="1"/>
  <c r="I8278" i="1"/>
  <c r="J8278" i="1"/>
  <c r="K8278" i="1"/>
  <c r="L8278" i="1"/>
  <c r="A8279" i="1"/>
  <c r="B8279" i="1"/>
  <c r="C8279" i="1"/>
  <c r="D8279" i="1"/>
  <c r="E8279" i="1"/>
  <c r="F8279" i="1"/>
  <c r="G8279" i="1"/>
  <c r="H8279" i="1"/>
  <c r="I8279" i="1"/>
  <c r="J8279" i="1"/>
  <c r="K8279" i="1"/>
  <c r="L8279" i="1"/>
  <c r="A8280" i="1"/>
  <c r="B8280" i="1"/>
  <c r="C8280" i="1"/>
  <c r="D8280" i="1"/>
  <c r="E8280" i="1"/>
  <c r="F8280" i="1"/>
  <c r="G8280" i="1"/>
  <c r="H8280" i="1"/>
  <c r="I8280" i="1"/>
  <c r="J8280" i="1"/>
  <c r="K8280" i="1"/>
  <c r="L8280" i="1"/>
  <c r="A8281" i="1"/>
  <c r="B8281" i="1"/>
  <c r="C8281" i="1"/>
  <c r="D8281" i="1"/>
  <c r="E8281" i="1"/>
  <c r="F8281" i="1"/>
  <c r="G8281" i="1"/>
  <c r="H8281" i="1"/>
  <c r="I8281" i="1"/>
  <c r="J8281" i="1"/>
  <c r="K8281" i="1"/>
  <c r="L8281" i="1"/>
  <c r="A8282" i="1"/>
  <c r="B8282" i="1"/>
  <c r="C8282" i="1"/>
  <c r="D8282" i="1"/>
  <c r="E8282" i="1"/>
  <c r="F8282" i="1"/>
  <c r="G8282" i="1"/>
  <c r="H8282" i="1"/>
  <c r="I8282" i="1"/>
  <c r="J8282" i="1"/>
  <c r="K8282" i="1"/>
  <c r="L8282" i="1"/>
  <c r="A8283" i="1"/>
  <c r="B8283" i="1"/>
  <c r="C8283" i="1"/>
  <c r="D8283" i="1"/>
  <c r="E8283" i="1"/>
  <c r="F8283" i="1"/>
  <c r="G8283" i="1"/>
  <c r="H8283" i="1"/>
  <c r="I8283" i="1"/>
  <c r="J8283" i="1"/>
  <c r="K8283" i="1"/>
  <c r="L8283" i="1"/>
  <c r="A8284" i="1"/>
  <c r="B8284" i="1"/>
  <c r="C8284" i="1"/>
  <c r="D8284" i="1"/>
  <c r="E8284" i="1"/>
  <c r="F8284" i="1"/>
  <c r="G8284" i="1"/>
  <c r="H8284" i="1"/>
  <c r="I8284" i="1"/>
  <c r="J8284" i="1"/>
  <c r="K8284" i="1"/>
  <c r="L8284" i="1"/>
  <c r="A8285" i="1"/>
  <c r="B8285" i="1"/>
  <c r="C8285" i="1"/>
  <c r="D8285" i="1"/>
  <c r="E8285" i="1"/>
  <c r="F8285" i="1"/>
  <c r="G8285" i="1"/>
  <c r="H8285" i="1"/>
  <c r="I8285" i="1"/>
  <c r="J8285" i="1"/>
  <c r="K8285" i="1"/>
  <c r="L8285" i="1"/>
  <c r="A8286" i="1"/>
  <c r="B8286" i="1"/>
  <c r="C8286" i="1"/>
  <c r="D8286" i="1"/>
  <c r="E8286" i="1"/>
  <c r="F8286" i="1"/>
  <c r="G8286" i="1"/>
  <c r="H8286" i="1"/>
  <c r="I8286" i="1"/>
  <c r="J8286" i="1"/>
  <c r="K8286" i="1"/>
  <c r="L8286" i="1"/>
  <c r="A8287" i="1"/>
  <c r="B8287" i="1"/>
  <c r="C8287" i="1"/>
  <c r="D8287" i="1"/>
  <c r="E8287" i="1"/>
  <c r="F8287" i="1"/>
  <c r="G8287" i="1"/>
  <c r="H8287" i="1"/>
  <c r="I8287" i="1"/>
  <c r="J8287" i="1"/>
  <c r="K8287" i="1"/>
  <c r="L8287" i="1"/>
  <c r="A8288" i="1"/>
  <c r="B8288" i="1"/>
  <c r="C8288" i="1"/>
  <c r="D8288" i="1"/>
  <c r="E8288" i="1"/>
  <c r="F8288" i="1"/>
  <c r="G8288" i="1"/>
  <c r="H8288" i="1"/>
  <c r="I8288" i="1"/>
  <c r="J8288" i="1"/>
  <c r="K8288" i="1"/>
  <c r="L8288" i="1"/>
  <c r="A8289" i="1"/>
  <c r="B8289" i="1"/>
  <c r="C8289" i="1"/>
  <c r="D8289" i="1"/>
  <c r="E8289" i="1"/>
  <c r="F8289" i="1"/>
  <c r="G8289" i="1"/>
  <c r="H8289" i="1"/>
  <c r="I8289" i="1"/>
  <c r="J8289" i="1"/>
  <c r="K8289" i="1"/>
  <c r="L8289" i="1"/>
  <c r="A8290" i="1"/>
  <c r="B8290" i="1"/>
  <c r="C8290" i="1"/>
  <c r="D8290" i="1"/>
  <c r="E8290" i="1"/>
  <c r="F8290" i="1"/>
  <c r="G8290" i="1"/>
  <c r="H8290" i="1"/>
  <c r="I8290" i="1"/>
  <c r="J8290" i="1"/>
  <c r="K8290" i="1"/>
  <c r="L8290" i="1"/>
  <c r="A8291" i="1"/>
  <c r="B8291" i="1"/>
  <c r="C8291" i="1"/>
  <c r="D8291" i="1"/>
  <c r="E8291" i="1"/>
  <c r="F8291" i="1"/>
  <c r="G8291" i="1"/>
  <c r="H8291" i="1"/>
  <c r="I8291" i="1"/>
  <c r="J8291" i="1"/>
  <c r="K8291" i="1"/>
  <c r="L8291" i="1"/>
  <c r="A8292" i="1"/>
  <c r="B8292" i="1"/>
  <c r="C8292" i="1"/>
  <c r="D8292" i="1"/>
  <c r="E8292" i="1"/>
  <c r="F8292" i="1"/>
  <c r="G8292" i="1"/>
  <c r="H8292" i="1"/>
  <c r="I8292" i="1"/>
  <c r="J8292" i="1"/>
  <c r="K8292" i="1"/>
  <c r="L8292" i="1"/>
  <c r="A8293" i="1"/>
  <c r="B8293" i="1"/>
  <c r="C8293" i="1"/>
  <c r="D8293" i="1"/>
  <c r="E8293" i="1"/>
  <c r="F8293" i="1"/>
  <c r="G8293" i="1"/>
  <c r="H8293" i="1"/>
  <c r="I8293" i="1"/>
  <c r="J8293" i="1"/>
  <c r="K8293" i="1"/>
  <c r="L8293" i="1"/>
  <c r="A8294" i="1"/>
  <c r="B8294" i="1"/>
  <c r="C8294" i="1"/>
  <c r="D8294" i="1"/>
  <c r="E8294" i="1"/>
  <c r="F8294" i="1"/>
  <c r="G8294" i="1"/>
  <c r="H8294" i="1"/>
  <c r="I8294" i="1"/>
  <c r="J8294" i="1"/>
  <c r="K8294" i="1"/>
  <c r="L8294" i="1"/>
  <c r="A8295" i="1"/>
  <c r="B8295" i="1"/>
  <c r="C8295" i="1"/>
  <c r="D8295" i="1"/>
  <c r="E8295" i="1"/>
  <c r="F8295" i="1"/>
  <c r="G8295" i="1"/>
  <c r="H8295" i="1"/>
  <c r="I8295" i="1"/>
  <c r="J8295" i="1"/>
  <c r="K8295" i="1"/>
  <c r="L8295" i="1"/>
  <c r="A8296" i="1"/>
  <c r="B8296" i="1"/>
  <c r="C8296" i="1"/>
  <c r="D8296" i="1"/>
  <c r="E8296" i="1"/>
  <c r="F8296" i="1"/>
  <c r="G8296" i="1"/>
  <c r="H8296" i="1"/>
  <c r="I8296" i="1"/>
  <c r="J8296" i="1"/>
  <c r="K8296" i="1"/>
  <c r="L8296" i="1"/>
  <c r="A8297" i="1"/>
  <c r="B8297" i="1"/>
  <c r="C8297" i="1"/>
  <c r="D8297" i="1"/>
  <c r="E8297" i="1"/>
  <c r="F8297" i="1"/>
  <c r="G8297" i="1"/>
  <c r="H8297" i="1"/>
  <c r="I8297" i="1"/>
  <c r="J8297" i="1"/>
  <c r="K8297" i="1"/>
  <c r="L8297" i="1"/>
  <c r="A8298" i="1"/>
  <c r="B8298" i="1"/>
  <c r="C8298" i="1"/>
  <c r="D8298" i="1"/>
  <c r="E8298" i="1"/>
  <c r="F8298" i="1"/>
  <c r="G8298" i="1"/>
  <c r="H8298" i="1"/>
  <c r="I8298" i="1"/>
  <c r="J8298" i="1"/>
  <c r="K8298" i="1"/>
  <c r="L8298" i="1"/>
  <c r="A8299" i="1"/>
  <c r="B8299" i="1"/>
  <c r="C8299" i="1"/>
  <c r="D8299" i="1"/>
  <c r="E8299" i="1"/>
  <c r="F8299" i="1"/>
  <c r="G8299" i="1"/>
  <c r="H8299" i="1"/>
  <c r="I8299" i="1"/>
  <c r="J8299" i="1"/>
  <c r="K8299" i="1"/>
  <c r="L8299" i="1"/>
  <c r="A8300" i="1"/>
  <c r="B8300" i="1"/>
  <c r="C8300" i="1"/>
  <c r="D8300" i="1"/>
  <c r="E8300" i="1"/>
  <c r="F8300" i="1"/>
  <c r="G8300" i="1"/>
  <c r="H8300" i="1"/>
  <c r="I8300" i="1"/>
  <c r="J8300" i="1"/>
  <c r="K8300" i="1"/>
  <c r="L8300" i="1"/>
  <c r="A8301" i="1"/>
  <c r="B8301" i="1"/>
  <c r="C8301" i="1"/>
  <c r="D8301" i="1"/>
  <c r="E8301" i="1"/>
  <c r="F8301" i="1"/>
  <c r="G8301" i="1"/>
  <c r="H8301" i="1"/>
  <c r="I8301" i="1"/>
  <c r="J8301" i="1"/>
  <c r="K8301" i="1"/>
  <c r="L8301" i="1"/>
  <c r="A8302" i="1"/>
  <c r="B8302" i="1"/>
  <c r="C8302" i="1"/>
  <c r="D8302" i="1"/>
  <c r="E8302" i="1"/>
  <c r="F8302" i="1"/>
  <c r="G8302" i="1"/>
  <c r="H8302" i="1"/>
  <c r="I8302" i="1"/>
  <c r="J8302" i="1"/>
  <c r="K8302" i="1"/>
  <c r="L8302" i="1"/>
  <c r="A8303" i="1"/>
  <c r="B8303" i="1"/>
  <c r="C8303" i="1"/>
  <c r="D8303" i="1"/>
  <c r="E8303" i="1"/>
  <c r="F8303" i="1"/>
  <c r="G8303" i="1"/>
  <c r="H8303" i="1"/>
  <c r="I8303" i="1"/>
  <c r="J8303" i="1"/>
  <c r="K8303" i="1"/>
  <c r="L8303" i="1"/>
  <c r="A8304" i="1"/>
  <c r="B8304" i="1"/>
  <c r="C8304" i="1"/>
  <c r="D8304" i="1"/>
  <c r="E8304" i="1"/>
  <c r="F8304" i="1"/>
  <c r="G8304" i="1"/>
  <c r="H8304" i="1"/>
  <c r="I8304" i="1"/>
  <c r="J8304" i="1"/>
  <c r="K8304" i="1"/>
  <c r="L8304" i="1"/>
  <c r="A8305" i="1"/>
  <c r="B8305" i="1"/>
  <c r="C8305" i="1"/>
  <c r="D8305" i="1"/>
  <c r="E8305" i="1"/>
  <c r="F8305" i="1"/>
  <c r="G8305" i="1"/>
  <c r="H8305" i="1"/>
  <c r="I8305" i="1"/>
  <c r="J8305" i="1"/>
  <c r="K8305" i="1"/>
  <c r="L8305" i="1"/>
  <c r="A8306" i="1"/>
  <c r="B8306" i="1"/>
  <c r="C8306" i="1"/>
  <c r="D8306" i="1"/>
  <c r="E8306" i="1"/>
  <c r="F8306" i="1"/>
  <c r="G8306" i="1"/>
  <c r="H8306" i="1"/>
  <c r="I8306" i="1"/>
  <c r="J8306" i="1"/>
  <c r="K8306" i="1"/>
  <c r="L8306" i="1"/>
  <c r="A8307" i="1"/>
  <c r="B8307" i="1"/>
  <c r="C8307" i="1"/>
  <c r="D8307" i="1"/>
  <c r="E8307" i="1"/>
  <c r="F8307" i="1"/>
  <c r="G8307" i="1"/>
  <c r="H8307" i="1"/>
  <c r="I8307" i="1"/>
  <c r="J8307" i="1"/>
  <c r="K8307" i="1"/>
  <c r="L8307" i="1"/>
  <c r="A8308" i="1"/>
  <c r="B8308" i="1"/>
  <c r="C8308" i="1"/>
  <c r="D8308" i="1"/>
  <c r="E8308" i="1"/>
  <c r="F8308" i="1"/>
  <c r="G8308" i="1"/>
  <c r="H8308" i="1"/>
  <c r="I8308" i="1"/>
  <c r="J8308" i="1"/>
  <c r="K8308" i="1"/>
  <c r="L8308" i="1"/>
  <c r="A8309" i="1"/>
  <c r="B8309" i="1"/>
  <c r="C8309" i="1"/>
  <c r="D8309" i="1"/>
  <c r="E8309" i="1"/>
  <c r="F8309" i="1"/>
  <c r="G8309" i="1"/>
  <c r="H8309" i="1"/>
  <c r="I8309" i="1"/>
  <c r="J8309" i="1"/>
  <c r="K8309" i="1"/>
  <c r="L8309" i="1"/>
  <c r="A8310" i="1"/>
  <c r="B8310" i="1"/>
  <c r="C8310" i="1"/>
  <c r="D8310" i="1"/>
  <c r="E8310" i="1"/>
  <c r="F8310" i="1"/>
  <c r="G8310" i="1"/>
  <c r="H8310" i="1"/>
  <c r="I8310" i="1"/>
  <c r="J8310" i="1"/>
  <c r="K8310" i="1"/>
  <c r="L8310" i="1"/>
  <c r="A8311" i="1"/>
  <c r="B8311" i="1"/>
  <c r="C8311" i="1"/>
  <c r="D8311" i="1"/>
  <c r="E8311" i="1"/>
  <c r="F8311" i="1"/>
  <c r="G8311" i="1"/>
  <c r="H8311" i="1"/>
  <c r="I8311" i="1"/>
  <c r="J8311" i="1"/>
  <c r="K8311" i="1"/>
  <c r="L8311" i="1"/>
  <c r="A8312" i="1"/>
  <c r="B8312" i="1"/>
  <c r="C8312" i="1"/>
  <c r="D8312" i="1"/>
  <c r="E8312" i="1"/>
  <c r="F8312" i="1"/>
  <c r="G8312" i="1"/>
  <c r="H8312" i="1"/>
  <c r="I8312" i="1"/>
  <c r="J8312" i="1"/>
  <c r="K8312" i="1"/>
  <c r="L8312" i="1"/>
  <c r="A8313" i="1"/>
  <c r="B8313" i="1"/>
  <c r="C8313" i="1"/>
  <c r="D8313" i="1"/>
  <c r="E8313" i="1"/>
  <c r="F8313" i="1"/>
  <c r="G8313" i="1"/>
  <c r="H8313" i="1"/>
  <c r="I8313" i="1"/>
  <c r="J8313" i="1"/>
  <c r="K8313" i="1"/>
  <c r="L8313" i="1"/>
  <c r="A8314" i="1"/>
  <c r="B8314" i="1"/>
  <c r="C8314" i="1"/>
  <c r="D8314" i="1"/>
  <c r="E8314" i="1"/>
  <c r="F8314" i="1"/>
  <c r="G8314" i="1"/>
  <c r="H8314" i="1"/>
  <c r="I8314" i="1"/>
  <c r="J8314" i="1"/>
  <c r="K8314" i="1"/>
  <c r="L8314" i="1"/>
  <c r="A8315" i="1"/>
  <c r="B8315" i="1"/>
  <c r="C8315" i="1"/>
  <c r="D8315" i="1"/>
  <c r="E8315" i="1"/>
  <c r="F8315" i="1"/>
  <c r="G8315" i="1"/>
  <c r="H8315" i="1"/>
  <c r="I8315" i="1"/>
  <c r="J8315" i="1"/>
  <c r="K8315" i="1"/>
  <c r="L8315" i="1"/>
  <c r="A8316" i="1"/>
  <c r="B8316" i="1"/>
  <c r="C8316" i="1"/>
  <c r="D8316" i="1"/>
  <c r="E8316" i="1"/>
  <c r="F8316" i="1"/>
  <c r="G8316" i="1"/>
  <c r="H8316" i="1"/>
  <c r="I8316" i="1"/>
  <c r="J8316" i="1"/>
  <c r="K8316" i="1"/>
  <c r="L8316" i="1"/>
  <c r="A8317" i="1"/>
  <c r="B8317" i="1"/>
  <c r="C8317" i="1"/>
  <c r="D8317" i="1"/>
  <c r="E8317" i="1"/>
  <c r="F8317" i="1"/>
  <c r="G8317" i="1"/>
  <c r="H8317" i="1"/>
  <c r="I8317" i="1"/>
  <c r="J8317" i="1"/>
  <c r="K8317" i="1"/>
  <c r="L8317" i="1"/>
  <c r="A8318" i="1"/>
  <c r="B8318" i="1"/>
  <c r="C8318" i="1"/>
  <c r="D8318" i="1"/>
  <c r="E8318" i="1"/>
  <c r="F8318" i="1"/>
  <c r="G8318" i="1"/>
  <c r="H8318" i="1"/>
  <c r="I8318" i="1"/>
  <c r="J8318" i="1"/>
  <c r="K8318" i="1"/>
  <c r="L8318" i="1"/>
  <c r="A8319" i="1"/>
  <c r="B8319" i="1"/>
  <c r="C8319" i="1"/>
  <c r="D8319" i="1"/>
  <c r="E8319" i="1"/>
  <c r="F8319" i="1"/>
  <c r="G8319" i="1"/>
  <c r="H8319" i="1"/>
  <c r="I8319" i="1"/>
  <c r="J8319" i="1"/>
  <c r="K8319" i="1"/>
  <c r="L8319" i="1"/>
  <c r="A8320" i="1"/>
  <c r="B8320" i="1"/>
  <c r="C8320" i="1"/>
  <c r="D8320" i="1"/>
  <c r="E8320" i="1"/>
  <c r="F8320" i="1"/>
  <c r="G8320" i="1"/>
  <c r="H8320" i="1"/>
  <c r="I8320" i="1"/>
  <c r="J8320" i="1"/>
  <c r="K8320" i="1"/>
  <c r="L8320" i="1"/>
  <c r="A8321" i="1"/>
  <c r="B8321" i="1"/>
  <c r="C8321" i="1"/>
  <c r="D8321" i="1"/>
  <c r="E8321" i="1"/>
  <c r="F8321" i="1"/>
  <c r="G8321" i="1"/>
  <c r="H8321" i="1"/>
  <c r="I8321" i="1"/>
  <c r="J8321" i="1"/>
  <c r="K8321" i="1"/>
  <c r="L8321" i="1"/>
  <c r="A8322" i="1"/>
  <c r="B8322" i="1"/>
  <c r="C8322" i="1"/>
  <c r="D8322" i="1"/>
  <c r="E8322" i="1"/>
  <c r="F8322" i="1"/>
  <c r="G8322" i="1"/>
  <c r="H8322" i="1"/>
  <c r="I8322" i="1"/>
  <c r="J8322" i="1"/>
  <c r="K8322" i="1"/>
  <c r="L8322" i="1"/>
  <c r="A8323" i="1"/>
  <c r="B8323" i="1"/>
  <c r="C8323" i="1"/>
  <c r="D8323" i="1"/>
  <c r="E8323" i="1"/>
  <c r="F8323" i="1"/>
  <c r="G8323" i="1"/>
  <c r="H8323" i="1"/>
  <c r="I8323" i="1"/>
  <c r="J8323" i="1"/>
  <c r="K8323" i="1"/>
  <c r="L8323" i="1"/>
  <c r="A8324" i="1"/>
  <c r="B8324" i="1"/>
  <c r="C8324" i="1"/>
  <c r="D8324" i="1"/>
  <c r="E8324" i="1"/>
  <c r="F8324" i="1"/>
  <c r="G8324" i="1"/>
  <c r="H8324" i="1"/>
  <c r="I8324" i="1"/>
  <c r="J8324" i="1"/>
  <c r="K8324" i="1"/>
  <c r="L8324" i="1"/>
  <c r="A8325" i="1"/>
  <c r="B8325" i="1"/>
  <c r="C8325" i="1"/>
  <c r="D8325" i="1"/>
  <c r="E8325" i="1"/>
  <c r="F8325" i="1"/>
  <c r="G8325" i="1"/>
  <c r="H8325" i="1"/>
  <c r="I8325" i="1"/>
  <c r="J8325" i="1"/>
  <c r="K8325" i="1"/>
  <c r="L8325" i="1"/>
  <c r="A8326" i="1"/>
  <c r="B8326" i="1"/>
  <c r="C8326" i="1"/>
  <c r="D8326" i="1"/>
  <c r="E8326" i="1"/>
  <c r="F8326" i="1"/>
  <c r="G8326" i="1"/>
  <c r="H8326" i="1"/>
  <c r="I8326" i="1"/>
  <c r="J8326" i="1"/>
  <c r="K8326" i="1"/>
  <c r="L8326" i="1"/>
  <c r="A8327" i="1"/>
  <c r="B8327" i="1"/>
  <c r="C8327" i="1"/>
  <c r="D8327" i="1"/>
  <c r="E8327" i="1"/>
  <c r="F8327" i="1"/>
  <c r="G8327" i="1"/>
  <c r="H8327" i="1"/>
  <c r="I8327" i="1"/>
  <c r="J8327" i="1"/>
  <c r="K8327" i="1"/>
  <c r="L8327" i="1"/>
  <c r="A8328" i="1"/>
  <c r="B8328" i="1"/>
  <c r="C8328" i="1"/>
  <c r="D8328" i="1"/>
  <c r="E8328" i="1"/>
  <c r="F8328" i="1"/>
  <c r="G8328" i="1"/>
  <c r="H8328" i="1"/>
  <c r="I8328" i="1"/>
  <c r="J8328" i="1"/>
  <c r="K8328" i="1"/>
  <c r="L8328" i="1"/>
  <c r="A8329" i="1"/>
  <c r="B8329" i="1"/>
  <c r="C8329" i="1"/>
  <c r="D8329" i="1"/>
  <c r="E8329" i="1"/>
  <c r="F8329" i="1"/>
  <c r="G8329" i="1"/>
  <c r="H8329" i="1"/>
  <c r="I8329" i="1"/>
  <c r="J8329" i="1"/>
  <c r="K8329" i="1"/>
  <c r="L8329" i="1"/>
  <c r="A8330" i="1"/>
  <c r="B8330" i="1"/>
  <c r="C8330" i="1"/>
  <c r="D8330" i="1"/>
  <c r="E8330" i="1"/>
  <c r="F8330" i="1"/>
  <c r="G8330" i="1"/>
  <c r="H8330" i="1"/>
  <c r="I8330" i="1"/>
  <c r="J8330" i="1"/>
  <c r="K8330" i="1"/>
  <c r="L8330" i="1"/>
  <c r="A8331" i="1"/>
  <c r="B8331" i="1"/>
  <c r="C8331" i="1"/>
  <c r="D8331" i="1"/>
  <c r="E8331" i="1"/>
  <c r="F8331" i="1"/>
  <c r="G8331" i="1"/>
  <c r="H8331" i="1"/>
  <c r="I8331" i="1"/>
  <c r="J8331" i="1"/>
  <c r="K8331" i="1"/>
  <c r="L8331" i="1"/>
  <c r="A8332" i="1"/>
  <c r="B8332" i="1"/>
  <c r="C8332" i="1"/>
  <c r="D8332" i="1"/>
  <c r="E8332" i="1"/>
  <c r="F8332" i="1"/>
  <c r="G8332" i="1"/>
  <c r="H8332" i="1"/>
  <c r="I8332" i="1"/>
  <c r="J8332" i="1"/>
  <c r="K8332" i="1"/>
  <c r="L8332" i="1"/>
  <c r="A8333" i="1"/>
  <c r="B8333" i="1"/>
  <c r="C8333" i="1"/>
  <c r="D8333" i="1"/>
  <c r="E8333" i="1"/>
  <c r="F8333" i="1"/>
  <c r="G8333" i="1"/>
  <c r="H8333" i="1"/>
  <c r="I8333" i="1"/>
  <c r="J8333" i="1"/>
  <c r="K8333" i="1"/>
  <c r="L8333" i="1"/>
  <c r="A8334" i="1"/>
  <c r="B8334" i="1"/>
  <c r="C8334" i="1"/>
  <c r="D8334" i="1"/>
  <c r="E8334" i="1"/>
  <c r="F8334" i="1"/>
  <c r="G8334" i="1"/>
  <c r="H8334" i="1"/>
  <c r="I8334" i="1"/>
  <c r="J8334" i="1"/>
  <c r="K8334" i="1"/>
  <c r="L8334" i="1"/>
  <c r="A8335" i="1"/>
  <c r="B8335" i="1"/>
  <c r="C8335" i="1"/>
  <c r="D8335" i="1"/>
  <c r="E8335" i="1"/>
  <c r="F8335" i="1"/>
  <c r="G8335" i="1"/>
  <c r="H8335" i="1"/>
  <c r="I8335" i="1"/>
  <c r="J8335" i="1"/>
  <c r="K8335" i="1"/>
  <c r="L8335" i="1"/>
  <c r="A8336" i="1"/>
  <c r="B8336" i="1"/>
  <c r="C8336" i="1"/>
  <c r="D8336" i="1"/>
  <c r="E8336" i="1"/>
  <c r="F8336" i="1"/>
  <c r="G8336" i="1"/>
  <c r="H8336" i="1"/>
  <c r="I8336" i="1"/>
  <c r="J8336" i="1"/>
  <c r="K8336" i="1"/>
  <c r="L8336" i="1"/>
  <c r="A8337" i="1"/>
  <c r="B8337" i="1"/>
  <c r="C8337" i="1"/>
  <c r="D8337" i="1"/>
  <c r="E8337" i="1"/>
  <c r="F8337" i="1"/>
  <c r="G8337" i="1"/>
  <c r="H8337" i="1"/>
  <c r="I8337" i="1"/>
  <c r="J8337" i="1"/>
  <c r="K8337" i="1"/>
  <c r="L8337" i="1"/>
  <c r="A8338" i="1"/>
  <c r="B8338" i="1"/>
  <c r="C8338" i="1"/>
  <c r="D8338" i="1"/>
  <c r="E8338" i="1"/>
  <c r="F8338" i="1"/>
  <c r="G8338" i="1"/>
  <c r="H8338" i="1"/>
  <c r="I8338" i="1"/>
  <c r="J8338" i="1"/>
  <c r="K8338" i="1"/>
  <c r="L8338" i="1"/>
  <c r="A8339" i="1"/>
  <c r="B8339" i="1"/>
  <c r="C8339" i="1"/>
  <c r="D8339" i="1"/>
  <c r="E8339" i="1"/>
  <c r="F8339" i="1"/>
  <c r="G8339" i="1"/>
  <c r="H8339" i="1"/>
  <c r="I8339" i="1"/>
  <c r="J8339" i="1"/>
  <c r="K8339" i="1"/>
  <c r="L8339" i="1"/>
  <c r="A8340" i="1"/>
  <c r="B8340" i="1"/>
  <c r="C8340" i="1"/>
  <c r="D8340" i="1"/>
  <c r="E8340" i="1"/>
  <c r="F8340" i="1"/>
  <c r="G8340" i="1"/>
  <c r="H8340" i="1"/>
  <c r="I8340" i="1"/>
  <c r="J8340" i="1"/>
  <c r="K8340" i="1"/>
  <c r="L8340" i="1"/>
  <c r="A8341" i="1"/>
  <c r="B8341" i="1"/>
  <c r="C8341" i="1"/>
  <c r="D8341" i="1"/>
  <c r="E8341" i="1"/>
  <c r="F8341" i="1"/>
  <c r="G8341" i="1"/>
  <c r="H8341" i="1"/>
  <c r="I8341" i="1"/>
  <c r="J8341" i="1"/>
  <c r="K8341" i="1"/>
  <c r="L8341" i="1"/>
  <c r="A8342" i="1"/>
  <c r="B8342" i="1"/>
  <c r="C8342" i="1"/>
  <c r="D8342" i="1"/>
  <c r="E8342" i="1"/>
  <c r="F8342" i="1"/>
  <c r="G8342" i="1"/>
  <c r="H8342" i="1"/>
  <c r="I8342" i="1"/>
  <c r="J8342" i="1"/>
  <c r="K8342" i="1"/>
  <c r="L8342" i="1"/>
  <c r="A8343" i="1"/>
  <c r="B8343" i="1"/>
  <c r="C8343" i="1"/>
  <c r="D8343" i="1"/>
  <c r="E8343" i="1"/>
  <c r="F8343" i="1"/>
  <c r="G8343" i="1"/>
  <c r="H8343" i="1"/>
  <c r="I8343" i="1"/>
  <c r="J8343" i="1"/>
  <c r="K8343" i="1"/>
  <c r="L8343" i="1"/>
  <c r="A8344" i="1"/>
  <c r="B8344" i="1"/>
  <c r="C8344" i="1"/>
  <c r="D8344" i="1"/>
  <c r="E8344" i="1"/>
  <c r="F8344" i="1"/>
  <c r="G8344" i="1"/>
  <c r="H8344" i="1"/>
  <c r="I8344" i="1"/>
  <c r="J8344" i="1"/>
  <c r="K8344" i="1"/>
  <c r="L8344" i="1"/>
  <c r="A8345" i="1"/>
  <c r="B8345" i="1"/>
  <c r="C8345" i="1"/>
  <c r="D8345" i="1"/>
  <c r="E8345" i="1"/>
  <c r="F8345" i="1"/>
  <c r="G8345" i="1"/>
  <c r="H8345" i="1"/>
  <c r="I8345" i="1"/>
  <c r="J8345" i="1"/>
  <c r="K8345" i="1"/>
  <c r="L8345" i="1"/>
  <c r="A8346" i="1"/>
  <c r="B8346" i="1"/>
  <c r="C8346" i="1"/>
  <c r="D8346" i="1"/>
  <c r="E8346" i="1"/>
  <c r="F8346" i="1"/>
  <c r="G8346" i="1"/>
  <c r="H8346" i="1"/>
  <c r="I8346" i="1"/>
  <c r="J8346" i="1"/>
  <c r="K8346" i="1"/>
  <c r="L8346" i="1"/>
  <c r="A8347" i="1"/>
  <c r="B8347" i="1"/>
  <c r="C8347" i="1"/>
  <c r="D8347" i="1"/>
  <c r="E8347" i="1"/>
  <c r="F8347" i="1"/>
  <c r="G8347" i="1"/>
  <c r="H8347" i="1"/>
  <c r="I8347" i="1"/>
  <c r="J8347" i="1"/>
  <c r="K8347" i="1"/>
  <c r="L8347" i="1"/>
  <c r="A8348" i="1"/>
  <c r="B8348" i="1"/>
  <c r="C8348" i="1"/>
  <c r="D8348" i="1"/>
  <c r="E8348" i="1"/>
  <c r="F8348" i="1"/>
  <c r="G8348" i="1"/>
  <c r="H8348" i="1"/>
  <c r="I8348" i="1"/>
  <c r="J8348" i="1"/>
  <c r="K8348" i="1"/>
  <c r="L8348" i="1"/>
  <c r="A8349" i="1"/>
  <c r="B8349" i="1"/>
  <c r="C8349" i="1"/>
  <c r="D8349" i="1"/>
  <c r="E8349" i="1"/>
  <c r="F8349" i="1"/>
  <c r="G8349" i="1"/>
  <c r="H8349" i="1"/>
  <c r="I8349" i="1"/>
  <c r="J8349" i="1"/>
  <c r="K8349" i="1"/>
  <c r="L8349" i="1"/>
  <c r="A8350" i="1"/>
  <c r="B8350" i="1"/>
  <c r="C8350" i="1"/>
  <c r="D8350" i="1"/>
  <c r="E8350" i="1"/>
  <c r="F8350" i="1"/>
  <c r="G8350" i="1"/>
  <c r="H8350" i="1"/>
  <c r="I8350" i="1"/>
  <c r="J8350" i="1"/>
  <c r="K8350" i="1"/>
  <c r="L8350" i="1"/>
  <c r="A8351" i="1"/>
  <c r="B8351" i="1"/>
  <c r="C8351" i="1"/>
  <c r="D8351" i="1"/>
  <c r="E8351" i="1"/>
  <c r="F8351" i="1"/>
  <c r="G8351" i="1"/>
  <c r="H8351" i="1"/>
  <c r="I8351" i="1"/>
  <c r="J8351" i="1"/>
  <c r="K8351" i="1"/>
  <c r="L8351" i="1"/>
  <c r="A8352" i="1"/>
  <c r="B8352" i="1"/>
  <c r="C8352" i="1"/>
  <c r="D8352" i="1"/>
  <c r="E8352" i="1"/>
  <c r="F8352" i="1"/>
  <c r="G8352" i="1"/>
  <c r="H8352" i="1"/>
  <c r="I8352" i="1"/>
  <c r="J8352" i="1"/>
  <c r="K8352" i="1"/>
  <c r="L8352" i="1"/>
  <c r="A8353" i="1"/>
  <c r="B8353" i="1"/>
  <c r="C8353" i="1"/>
  <c r="D8353" i="1"/>
  <c r="E8353" i="1"/>
  <c r="F8353" i="1"/>
  <c r="G8353" i="1"/>
  <c r="H8353" i="1"/>
  <c r="I8353" i="1"/>
  <c r="J8353" i="1"/>
  <c r="K8353" i="1"/>
  <c r="L8353" i="1"/>
  <c r="A8354" i="1"/>
  <c r="B8354" i="1"/>
  <c r="C8354" i="1"/>
  <c r="D8354" i="1"/>
  <c r="E8354" i="1"/>
  <c r="F8354" i="1"/>
  <c r="G8354" i="1"/>
  <c r="H8354" i="1"/>
  <c r="I8354" i="1"/>
  <c r="J8354" i="1"/>
  <c r="K8354" i="1"/>
  <c r="L8354" i="1"/>
  <c r="A8355" i="1"/>
  <c r="B8355" i="1"/>
  <c r="C8355" i="1"/>
  <c r="D8355" i="1"/>
  <c r="E8355" i="1"/>
  <c r="F8355" i="1"/>
  <c r="G8355" i="1"/>
  <c r="H8355" i="1"/>
  <c r="I8355" i="1"/>
  <c r="J8355" i="1"/>
  <c r="K8355" i="1"/>
  <c r="L8355" i="1"/>
  <c r="A8356" i="1"/>
  <c r="B8356" i="1"/>
  <c r="C8356" i="1"/>
  <c r="D8356" i="1"/>
  <c r="E8356" i="1"/>
  <c r="F8356" i="1"/>
  <c r="G8356" i="1"/>
  <c r="H8356" i="1"/>
  <c r="I8356" i="1"/>
  <c r="J8356" i="1"/>
  <c r="K8356" i="1"/>
  <c r="L8356" i="1"/>
  <c r="A8357" i="1"/>
  <c r="B8357" i="1"/>
  <c r="C8357" i="1"/>
  <c r="D8357" i="1"/>
  <c r="E8357" i="1"/>
  <c r="F8357" i="1"/>
  <c r="G8357" i="1"/>
  <c r="H8357" i="1"/>
  <c r="I8357" i="1"/>
  <c r="J8357" i="1"/>
  <c r="K8357" i="1"/>
  <c r="L8357" i="1"/>
  <c r="A8358" i="1"/>
  <c r="B8358" i="1"/>
  <c r="C8358" i="1"/>
  <c r="D8358" i="1"/>
  <c r="E8358" i="1"/>
  <c r="F8358" i="1"/>
  <c r="G8358" i="1"/>
  <c r="H8358" i="1"/>
  <c r="I8358" i="1"/>
  <c r="J8358" i="1"/>
  <c r="K8358" i="1"/>
  <c r="L8358" i="1"/>
  <c r="A8359" i="1"/>
  <c r="B8359" i="1"/>
  <c r="C8359" i="1"/>
  <c r="D8359" i="1"/>
  <c r="E8359" i="1"/>
  <c r="F8359" i="1"/>
  <c r="G8359" i="1"/>
  <c r="H8359" i="1"/>
  <c r="I8359" i="1"/>
  <c r="J8359" i="1"/>
  <c r="K8359" i="1"/>
  <c r="L8359" i="1"/>
  <c r="A8360" i="1"/>
  <c r="B8360" i="1"/>
  <c r="C8360" i="1"/>
  <c r="D8360" i="1"/>
  <c r="E8360" i="1"/>
  <c r="F8360" i="1"/>
  <c r="G8360" i="1"/>
  <c r="H8360" i="1"/>
  <c r="I8360" i="1"/>
  <c r="J8360" i="1"/>
  <c r="K8360" i="1"/>
  <c r="L8360" i="1"/>
  <c r="A8361" i="1"/>
  <c r="B8361" i="1"/>
  <c r="C8361" i="1"/>
  <c r="D8361" i="1"/>
  <c r="E8361" i="1"/>
  <c r="F8361" i="1"/>
  <c r="G8361" i="1"/>
  <c r="H8361" i="1"/>
  <c r="I8361" i="1"/>
  <c r="J8361" i="1"/>
  <c r="K8361" i="1"/>
  <c r="L8361" i="1"/>
  <c r="A8362" i="1"/>
  <c r="B8362" i="1"/>
  <c r="C8362" i="1"/>
  <c r="D8362" i="1"/>
  <c r="E8362" i="1"/>
  <c r="F8362" i="1"/>
  <c r="G8362" i="1"/>
  <c r="H8362" i="1"/>
  <c r="I8362" i="1"/>
  <c r="J8362" i="1"/>
  <c r="K8362" i="1"/>
  <c r="L8362" i="1"/>
  <c r="A8363" i="1"/>
  <c r="B8363" i="1"/>
  <c r="C8363" i="1"/>
  <c r="D8363" i="1"/>
  <c r="E8363" i="1"/>
  <c r="F8363" i="1"/>
  <c r="G8363" i="1"/>
  <c r="H8363" i="1"/>
  <c r="I8363" i="1"/>
  <c r="J8363" i="1"/>
  <c r="K8363" i="1"/>
  <c r="L8363" i="1"/>
  <c r="A8364" i="1"/>
  <c r="B8364" i="1"/>
  <c r="C8364" i="1"/>
  <c r="D8364" i="1"/>
  <c r="E8364" i="1"/>
  <c r="F8364" i="1"/>
  <c r="G8364" i="1"/>
  <c r="H8364" i="1"/>
  <c r="I8364" i="1"/>
  <c r="J8364" i="1"/>
  <c r="K8364" i="1"/>
  <c r="L8364" i="1"/>
  <c r="A8365" i="1"/>
  <c r="B8365" i="1"/>
  <c r="C8365" i="1"/>
  <c r="D8365" i="1"/>
  <c r="E8365" i="1"/>
  <c r="F8365" i="1"/>
  <c r="G8365" i="1"/>
  <c r="H8365" i="1"/>
  <c r="I8365" i="1"/>
  <c r="J8365" i="1"/>
  <c r="K8365" i="1"/>
  <c r="L8365" i="1"/>
  <c r="A8366" i="1"/>
  <c r="B8366" i="1"/>
  <c r="C8366" i="1"/>
  <c r="D8366" i="1"/>
  <c r="E8366" i="1"/>
  <c r="F8366" i="1"/>
  <c r="G8366" i="1"/>
  <c r="H8366" i="1"/>
  <c r="I8366" i="1"/>
  <c r="J8366" i="1"/>
  <c r="K8366" i="1"/>
  <c r="L8366" i="1"/>
  <c r="A8367" i="1"/>
  <c r="B8367" i="1"/>
  <c r="C8367" i="1"/>
  <c r="D8367" i="1"/>
  <c r="E8367" i="1"/>
  <c r="F8367" i="1"/>
  <c r="G8367" i="1"/>
  <c r="H8367" i="1"/>
  <c r="I8367" i="1"/>
  <c r="J8367" i="1"/>
  <c r="K8367" i="1"/>
  <c r="L8367" i="1"/>
  <c r="A8368" i="1"/>
  <c r="B8368" i="1"/>
  <c r="C8368" i="1"/>
  <c r="D8368" i="1"/>
  <c r="E8368" i="1"/>
  <c r="F8368" i="1"/>
  <c r="G8368" i="1"/>
  <c r="H8368" i="1"/>
  <c r="I8368" i="1"/>
  <c r="J8368" i="1"/>
  <c r="K8368" i="1"/>
  <c r="L8368" i="1"/>
  <c r="A8369" i="1"/>
  <c r="B8369" i="1"/>
  <c r="C8369" i="1"/>
  <c r="D8369" i="1"/>
  <c r="E8369" i="1"/>
  <c r="F8369" i="1"/>
  <c r="G8369" i="1"/>
  <c r="H8369" i="1"/>
  <c r="I8369" i="1"/>
  <c r="J8369" i="1"/>
  <c r="K8369" i="1"/>
  <c r="L8369" i="1"/>
  <c r="A8370" i="1"/>
  <c r="B8370" i="1"/>
  <c r="C8370" i="1"/>
  <c r="D8370" i="1"/>
  <c r="E8370" i="1"/>
  <c r="F8370" i="1"/>
  <c r="G8370" i="1"/>
  <c r="H8370" i="1"/>
  <c r="I8370" i="1"/>
  <c r="J8370" i="1"/>
  <c r="K8370" i="1"/>
  <c r="L8370" i="1"/>
  <c r="A8371" i="1"/>
  <c r="B8371" i="1"/>
  <c r="C8371" i="1"/>
  <c r="D8371" i="1"/>
  <c r="E8371" i="1"/>
  <c r="F8371" i="1"/>
  <c r="G8371" i="1"/>
  <c r="H8371" i="1"/>
  <c r="I8371" i="1"/>
  <c r="J8371" i="1"/>
  <c r="K8371" i="1"/>
  <c r="L8371" i="1"/>
  <c r="A8372" i="1"/>
  <c r="B8372" i="1"/>
  <c r="C8372" i="1"/>
  <c r="D8372" i="1"/>
  <c r="E8372" i="1"/>
  <c r="F8372" i="1"/>
  <c r="G8372" i="1"/>
  <c r="H8372" i="1"/>
  <c r="I8372" i="1"/>
  <c r="J8372" i="1"/>
  <c r="K8372" i="1"/>
  <c r="L8372" i="1"/>
  <c r="A8373" i="1"/>
  <c r="B8373" i="1"/>
  <c r="C8373" i="1"/>
  <c r="D8373" i="1"/>
  <c r="E8373" i="1"/>
  <c r="F8373" i="1"/>
  <c r="G8373" i="1"/>
  <c r="H8373" i="1"/>
  <c r="I8373" i="1"/>
  <c r="J8373" i="1"/>
  <c r="K8373" i="1"/>
  <c r="L8373" i="1"/>
  <c r="A8374" i="1"/>
  <c r="B8374" i="1"/>
  <c r="C8374" i="1"/>
  <c r="D8374" i="1"/>
  <c r="E8374" i="1"/>
  <c r="F8374" i="1"/>
  <c r="G8374" i="1"/>
  <c r="H8374" i="1"/>
  <c r="I8374" i="1"/>
  <c r="J8374" i="1"/>
  <c r="K8374" i="1"/>
  <c r="L8374" i="1"/>
  <c r="A8375" i="1"/>
  <c r="B8375" i="1"/>
  <c r="C8375" i="1"/>
  <c r="D8375" i="1"/>
  <c r="E8375" i="1"/>
  <c r="F8375" i="1"/>
  <c r="G8375" i="1"/>
  <c r="H8375" i="1"/>
  <c r="I8375" i="1"/>
  <c r="J8375" i="1"/>
  <c r="K8375" i="1"/>
  <c r="L8375" i="1"/>
  <c r="A8376" i="1"/>
  <c r="B8376" i="1"/>
  <c r="C8376" i="1"/>
  <c r="D8376" i="1"/>
  <c r="E8376" i="1"/>
  <c r="F8376" i="1"/>
  <c r="G8376" i="1"/>
  <c r="H8376" i="1"/>
  <c r="I8376" i="1"/>
  <c r="J8376" i="1"/>
  <c r="K8376" i="1"/>
  <c r="L8376" i="1"/>
  <c r="A8377" i="1"/>
  <c r="B8377" i="1"/>
  <c r="C8377" i="1"/>
  <c r="D8377" i="1"/>
  <c r="E8377" i="1"/>
  <c r="F8377" i="1"/>
  <c r="G8377" i="1"/>
  <c r="H8377" i="1"/>
  <c r="I8377" i="1"/>
  <c r="J8377" i="1"/>
  <c r="K8377" i="1"/>
  <c r="L8377" i="1"/>
  <c r="A8378" i="1"/>
  <c r="B8378" i="1"/>
  <c r="C8378" i="1"/>
  <c r="D8378" i="1"/>
  <c r="E8378" i="1"/>
  <c r="F8378" i="1"/>
  <c r="G8378" i="1"/>
  <c r="H8378" i="1"/>
  <c r="I8378" i="1"/>
  <c r="J8378" i="1"/>
  <c r="K8378" i="1"/>
  <c r="L8378" i="1"/>
  <c r="A8379" i="1"/>
  <c r="B8379" i="1"/>
  <c r="C8379" i="1"/>
  <c r="D8379" i="1"/>
  <c r="E8379" i="1"/>
  <c r="F8379" i="1"/>
  <c r="G8379" i="1"/>
  <c r="H8379" i="1"/>
  <c r="I8379" i="1"/>
  <c r="J8379" i="1"/>
  <c r="K8379" i="1"/>
  <c r="L8379" i="1"/>
  <c r="A8380" i="1"/>
  <c r="B8380" i="1"/>
  <c r="C8380" i="1"/>
  <c r="D8380" i="1"/>
  <c r="E8380" i="1"/>
  <c r="F8380" i="1"/>
  <c r="G8380" i="1"/>
  <c r="H8380" i="1"/>
  <c r="I8380" i="1"/>
  <c r="J8380" i="1"/>
  <c r="K8380" i="1"/>
  <c r="L8380" i="1"/>
  <c r="A8381" i="1"/>
  <c r="B8381" i="1"/>
  <c r="C8381" i="1"/>
  <c r="D8381" i="1"/>
  <c r="E8381" i="1"/>
  <c r="F8381" i="1"/>
  <c r="G8381" i="1"/>
  <c r="H8381" i="1"/>
  <c r="I8381" i="1"/>
  <c r="J8381" i="1"/>
  <c r="K8381" i="1"/>
  <c r="L8381" i="1"/>
  <c r="A8382" i="1"/>
  <c r="B8382" i="1"/>
  <c r="C8382" i="1"/>
  <c r="D8382" i="1"/>
  <c r="E8382" i="1"/>
  <c r="F8382" i="1"/>
  <c r="G8382" i="1"/>
  <c r="H8382" i="1"/>
  <c r="I8382" i="1"/>
  <c r="J8382" i="1"/>
  <c r="K8382" i="1"/>
  <c r="L8382" i="1"/>
  <c r="A8383" i="1"/>
  <c r="B8383" i="1"/>
  <c r="C8383" i="1"/>
  <c r="D8383" i="1"/>
  <c r="E8383" i="1"/>
  <c r="F8383" i="1"/>
  <c r="G8383" i="1"/>
  <c r="H8383" i="1"/>
  <c r="I8383" i="1"/>
  <c r="J8383" i="1"/>
  <c r="K8383" i="1"/>
  <c r="L8383" i="1"/>
  <c r="A8384" i="1"/>
  <c r="B8384" i="1"/>
  <c r="C8384" i="1"/>
  <c r="D8384" i="1"/>
  <c r="E8384" i="1"/>
  <c r="F8384" i="1"/>
  <c r="G8384" i="1"/>
  <c r="H8384" i="1"/>
  <c r="I8384" i="1"/>
  <c r="J8384" i="1"/>
  <c r="K8384" i="1"/>
  <c r="L8384" i="1"/>
  <c r="A8385" i="1"/>
  <c r="B8385" i="1"/>
  <c r="C8385" i="1"/>
  <c r="D8385" i="1"/>
  <c r="E8385" i="1"/>
  <c r="F8385" i="1"/>
  <c r="G8385" i="1"/>
  <c r="H8385" i="1"/>
  <c r="I8385" i="1"/>
  <c r="J8385" i="1"/>
  <c r="K8385" i="1"/>
  <c r="L8385" i="1"/>
  <c r="A8386" i="1"/>
  <c r="B8386" i="1"/>
  <c r="C8386" i="1"/>
  <c r="D8386" i="1"/>
  <c r="E8386" i="1"/>
  <c r="F8386" i="1"/>
  <c r="G8386" i="1"/>
  <c r="H8386" i="1"/>
  <c r="I8386" i="1"/>
  <c r="J8386" i="1"/>
  <c r="K8386" i="1"/>
  <c r="L8386" i="1"/>
  <c r="A8387" i="1"/>
  <c r="B8387" i="1"/>
  <c r="C8387" i="1"/>
  <c r="D8387" i="1"/>
  <c r="E8387" i="1"/>
  <c r="F8387" i="1"/>
  <c r="G8387" i="1"/>
  <c r="H8387" i="1"/>
  <c r="I8387" i="1"/>
  <c r="J8387" i="1"/>
  <c r="K8387" i="1"/>
  <c r="L8387" i="1"/>
  <c r="A8388" i="1"/>
  <c r="B8388" i="1"/>
  <c r="C8388" i="1"/>
  <c r="D8388" i="1"/>
  <c r="E8388" i="1"/>
  <c r="F8388" i="1"/>
  <c r="G8388" i="1"/>
  <c r="H8388" i="1"/>
  <c r="I8388" i="1"/>
  <c r="J8388" i="1"/>
  <c r="K8388" i="1"/>
  <c r="L8388" i="1"/>
  <c r="A8389" i="1"/>
  <c r="B8389" i="1"/>
  <c r="C8389" i="1"/>
  <c r="D8389" i="1"/>
  <c r="E8389" i="1"/>
  <c r="F8389" i="1"/>
  <c r="G8389" i="1"/>
  <c r="H8389" i="1"/>
  <c r="I8389" i="1"/>
  <c r="J8389" i="1"/>
  <c r="K8389" i="1"/>
  <c r="L8389" i="1"/>
  <c r="A8390" i="1"/>
  <c r="B8390" i="1"/>
  <c r="C8390" i="1"/>
  <c r="D8390" i="1"/>
  <c r="E8390" i="1"/>
  <c r="F8390" i="1"/>
  <c r="G8390" i="1"/>
  <c r="H8390" i="1"/>
  <c r="I8390" i="1"/>
  <c r="J8390" i="1"/>
  <c r="K8390" i="1"/>
  <c r="L8390" i="1"/>
  <c r="A8391" i="1"/>
  <c r="B8391" i="1"/>
  <c r="C8391" i="1"/>
  <c r="D8391" i="1"/>
  <c r="E8391" i="1"/>
  <c r="F8391" i="1"/>
  <c r="G8391" i="1"/>
  <c r="H8391" i="1"/>
  <c r="I8391" i="1"/>
  <c r="J8391" i="1"/>
  <c r="K8391" i="1"/>
  <c r="L8391" i="1"/>
  <c r="A8392" i="1"/>
  <c r="B8392" i="1"/>
  <c r="C8392" i="1"/>
  <c r="D8392" i="1"/>
  <c r="E8392" i="1"/>
  <c r="F8392" i="1"/>
  <c r="G8392" i="1"/>
  <c r="H8392" i="1"/>
  <c r="I8392" i="1"/>
  <c r="J8392" i="1"/>
  <c r="K8392" i="1"/>
  <c r="L8392" i="1"/>
  <c r="A8393" i="1"/>
  <c r="B8393" i="1"/>
  <c r="C8393" i="1"/>
  <c r="D8393" i="1"/>
  <c r="E8393" i="1"/>
  <c r="F8393" i="1"/>
  <c r="G8393" i="1"/>
  <c r="H8393" i="1"/>
  <c r="I8393" i="1"/>
  <c r="J8393" i="1"/>
  <c r="K8393" i="1"/>
  <c r="L8393" i="1"/>
  <c r="A8394" i="1"/>
  <c r="B8394" i="1"/>
  <c r="C8394" i="1"/>
  <c r="D8394" i="1"/>
  <c r="E8394" i="1"/>
  <c r="F8394" i="1"/>
  <c r="G8394" i="1"/>
  <c r="H8394" i="1"/>
  <c r="I8394" i="1"/>
  <c r="J8394" i="1"/>
  <c r="K8394" i="1"/>
  <c r="L8394" i="1"/>
  <c r="A8395" i="1"/>
  <c r="B8395" i="1"/>
  <c r="C8395" i="1"/>
  <c r="D8395" i="1"/>
  <c r="E8395" i="1"/>
  <c r="F8395" i="1"/>
  <c r="G8395" i="1"/>
  <c r="H8395" i="1"/>
  <c r="I8395" i="1"/>
  <c r="J8395" i="1"/>
  <c r="K8395" i="1"/>
  <c r="L8395" i="1"/>
  <c r="A8396" i="1"/>
  <c r="B8396" i="1"/>
  <c r="C8396" i="1"/>
  <c r="D8396" i="1"/>
  <c r="E8396" i="1"/>
  <c r="F8396" i="1"/>
  <c r="G8396" i="1"/>
  <c r="H8396" i="1"/>
  <c r="I8396" i="1"/>
  <c r="J8396" i="1"/>
  <c r="K8396" i="1"/>
  <c r="L8396" i="1"/>
  <c r="A8397" i="1"/>
  <c r="B8397" i="1"/>
  <c r="C8397" i="1"/>
  <c r="D8397" i="1"/>
  <c r="E8397" i="1"/>
  <c r="F8397" i="1"/>
  <c r="G8397" i="1"/>
  <c r="H8397" i="1"/>
  <c r="I8397" i="1"/>
  <c r="J8397" i="1"/>
  <c r="K8397" i="1"/>
  <c r="L8397" i="1"/>
  <c r="A8398" i="1"/>
  <c r="B8398" i="1"/>
  <c r="C8398" i="1"/>
  <c r="D8398" i="1"/>
  <c r="E8398" i="1"/>
  <c r="F8398" i="1"/>
  <c r="G8398" i="1"/>
  <c r="H8398" i="1"/>
  <c r="I8398" i="1"/>
  <c r="J8398" i="1"/>
  <c r="K8398" i="1"/>
  <c r="L8398" i="1"/>
  <c r="A8399" i="1"/>
  <c r="B8399" i="1"/>
  <c r="C8399" i="1"/>
  <c r="D8399" i="1"/>
  <c r="E8399" i="1"/>
  <c r="F8399" i="1"/>
  <c r="G8399" i="1"/>
  <c r="H8399" i="1"/>
  <c r="I8399" i="1"/>
  <c r="J8399" i="1"/>
  <c r="K8399" i="1"/>
  <c r="L8399" i="1"/>
  <c r="A8400" i="1"/>
  <c r="B8400" i="1"/>
  <c r="C8400" i="1"/>
  <c r="D8400" i="1"/>
  <c r="E8400" i="1"/>
  <c r="F8400" i="1"/>
  <c r="G8400" i="1"/>
  <c r="H8400" i="1"/>
  <c r="I8400" i="1"/>
  <c r="J8400" i="1"/>
  <c r="K8400" i="1"/>
  <c r="L8400" i="1"/>
  <c r="A8401" i="1"/>
  <c r="B8401" i="1"/>
  <c r="C8401" i="1"/>
  <c r="D8401" i="1"/>
  <c r="E8401" i="1"/>
  <c r="F8401" i="1"/>
  <c r="G8401" i="1"/>
  <c r="H8401" i="1"/>
  <c r="I8401" i="1"/>
  <c r="J8401" i="1"/>
  <c r="K8401" i="1"/>
  <c r="L8401" i="1"/>
  <c r="A8402" i="1"/>
  <c r="B8402" i="1"/>
  <c r="C8402" i="1"/>
  <c r="D8402" i="1"/>
  <c r="E8402" i="1"/>
  <c r="F8402" i="1"/>
  <c r="G8402" i="1"/>
  <c r="H8402" i="1"/>
  <c r="I8402" i="1"/>
  <c r="J8402" i="1"/>
  <c r="K8402" i="1"/>
  <c r="L8402" i="1"/>
  <c r="A8403" i="1"/>
  <c r="B8403" i="1"/>
  <c r="C8403" i="1"/>
  <c r="D8403" i="1"/>
  <c r="E8403" i="1"/>
  <c r="F8403" i="1"/>
  <c r="G8403" i="1"/>
  <c r="H8403" i="1"/>
  <c r="I8403" i="1"/>
  <c r="J8403" i="1"/>
  <c r="K8403" i="1"/>
  <c r="L8403" i="1"/>
  <c r="A8404" i="1"/>
  <c r="B8404" i="1"/>
  <c r="C8404" i="1"/>
  <c r="D8404" i="1"/>
  <c r="E8404" i="1"/>
  <c r="F8404" i="1"/>
  <c r="G8404" i="1"/>
  <c r="H8404" i="1"/>
  <c r="I8404" i="1"/>
  <c r="J8404" i="1"/>
  <c r="K8404" i="1"/>
  <c r="L8404" i="1"/>
  <c r="A8405" i="1"/>
  <c r="B8405" i="1"/>
  <c r="C8405" i="1"/>
  <c r="D8405" i="1"/>
  <c r="E8405" i="1"/>
  <c r="F8405" i="1"/>
  <c r="G8405" i="1"/>
  <c r="H8405" i="1"/>
  <c r="I8405" i="1"/>
  <c r="J8405" i="1"/>
  <c r="K8405" i="1"/>
  <c r="L8405" i="1"/>
  <c r="A8406" i="1"/>
  <c r="B8406" i="1"/>
  <c r="C8406" i="1"/>
  <c r="D8406" i="1"/>
  <c r="E8406" i="1"/>
  <c r="F8406" i="1"/>
  <c r="G8406" i="1"/>
  <c r="H8406" i="1"/>
  <c r="I8406" i="1"/>
  <c r="J8406" i="1"/>
  <c r="K8406" i="1"/>
  <c r="L8406" i="1"/>
  <c r="A8407" i="1"/>
  <c r="B8407" i="1"/>
  <c r="C8407" i="1"/>
  <c r="D8407" i="1"/>
  <c r="E8407" i="1"/>
  <c r="F8407" i="1"/>
  <c r="G8407" i="1"/>
  <c r="H8407" i="1"/>
  <c r="I8407" i="1"/>
  <c r="J8407" i="1"/>
  <c r="K8407" i="1"/>
  <c r="L8407" i="1"/>
  <c r="A8408" i="1"/>
  <c r="B8408" i="1"/>
  <c r="C8408" i="1"/>
  <c r="D8408" i="1"/>
  <c r="E8408" i="1"/>
  <c r="F8408" i="1"/>
  <c r="G8408" i="1"/>
  <c r="H8408" i="1"/>
  <c r="I8408" i="1"/>
  <c r="J8408" i="1"/>
  <c r="K8408" i="1"/>
  <c r="L8408" i="1"/>
  <c r="A8409" i="1"/>
  <c r="B8409" i="1"/>
  <c r="C8409" i="1"/>
  <c r="D8409" i="1"/>
  <c r="E8409" i="1"/>
  <c r="F8409" i="1"/>
  <c r="G8409" i="1"/>
  <c r="H8409" i="1"/>
  <c r="I8409" i="1"/>
  <c r="J8409" i="1"/>
  <c r="K8409" i="1"/>
  <c r="L8409" i="1"/>
  <c r="A8410" i="1"/>
  <c r="B8410" i="1"/>
  <c r="C8410" i="1"/>
  <c r="D8410" i="1"/>
  <c r="E8410" i="1"/>
  <c r="F8410" i="1"/>
  <c r="G8410" i="1"/>
  <c r="H8410" i="1"/>
  <c r="I8410" i="1"/>
  <c r="J8410" i="1"/>
  <c r="K8410" i="1"/>
  <c r="L8410" i="1"/>
  <c r="A8411" i="1"/>
  <c r="B8411" i="1"/>
  <c r="C8411" i="1"/>
  <c r="D8411" i="1"/>
  <c r="E8411" i="1"/>
  <c r="F8411" i="1"/>
  <c r="G8411" i="1"/>
  <c r="H8411" i="1"/>
  <c r="I8411" i="1"/>
  <c r="J8411" i="1"/>
  <c r="K8411" i="1"/>
  <c r="L8411" i="1"/>
  <c r="A8412" i="1"/>
  <c r="B8412" i="1"/>
  <c r="C8412" i="1"/>
  <c r="D8412" i="1"/>
  <c r="E8412" i="1"/>
  <c r="F8412" i="1"/>
  <c r="G8412" i="1"/>
  <c r="H8412" i="1"/>
  <c r="I8412" i="1"/>
  <c r="J8412" i="1"/>
  <c r="K8412" i="1"/>
  <c r="L8412" i="1"/>
  <c r="A8413" i="1"/>
  <c r="B8413" i="1"/>
  <c r="C8413" i="1"/>
  <c r="D8413" i="1"/>
  <c r="E8413" i="1"/>
  <c r="F8413" i="1"/>
  <c r="G8413" i="1"/>
  <c r="H8413" i="1"/>
  <c r="I8413" i="1"/>
  <c r="J8413" i="1"/>
  <c r="K8413" i="1"/>
  <c r="L8413" i="1"/>
  <c r="A8414" i="1"/>
  <c r="B8414" i="1"/>
  <c r="C8414" i="1"/>
  <c r="D8414" i="1"/>
  <c r="E8414" i="1"/>
  <c r="F8414" i="1"/>
  <c r="G8414" i="1"/>
  <c r="H8414" i="1"/>
  <c r="I8414" i="1"/>
  <c r="J8414" i="1"/>
  <c r="K8414" i="1"/>
  <c r="L8414" i="1"/>
  <c r="A8415" i="1"/>
  <c r="B8415" i="1"/>
  <c r="C8415" i="1"/>
  <c r="D8415" i="1"/>
  <c r="E8415" i="1"/>
  <c r="F8415" i="1"/>
  <c r="G8415" i="1"/>
  <c r="H8415" i="1"/>
  <c r="I8415" i="1"/>
  <c r="J8415" i="1"/>
  <c r="K8415" i="1"/>
  <c r="L8415" i="1"/>
  <c r="A8416" i="1"/>
  <c r="B8416" i="1"/>
  <c r="C8416" i="1"/>
  <c r="D8416" i="1"/>
  <c r="E8416" i="1"/>
  <c r="F8416" i="1"/>
  <c r="G8416" i="1"/>
  <c r="H8416" i="1"/>
  <c r="I8416" i="1"/>
  <c r="J8416" i="1"/>
  <c r="K8416" i="1"/>
  <c r="L8416" i="1"/>
  <c r="A8417" i="1"/>
  <c r="B8417" i="1"/>
  <c r="C8417" i="1"/>
  <c r="D8417" i="1"/>
  <c r="E8417" i="1"/>
  <c r="F8417" i="1"/>
  <c r="G8417" i="1"/>
  <c r="H8417" i="1"/>
  <c r="I8417" i="1"/>
  <c r="J8417" i="1"/>
  <c r="K8417" i="1"/>
  <c r="L8417" i="1"/>
  <c r="A8418" i="1"/>
  <c r="B8418" i="1"/>
  <c r="C8418" i="1"/>
  <c r="D8418" i="1"/>
  <c r="E8418" i="1"/>
  <c r="F8418" i="1"/>
  <c r="G8418" i="1"/>
  <c r="H8418" i="1"/>
  <c r="I8418" i="1"/>
  <c r="J8418" i="1"/>
  <c r="K8418" i="1"/>
  <c r="L8418" i="1"/>
  <c r="A8419" i="1"/>
  <c r="B8419" i="1"/>
  <c r="C8419" i="1"/>
  <c r="D8419" i="1"/>
  <c r="E8419" i="1"/>
  <c r="F8419" i="1"/>
  <c r="G8419" i="1"/>
  <c r="H8419" i="1"/>
  <c r="I8419" i="1"/>
  <c r="J8419" i="1"/>
  <c r="K8419" i="1"/>
  <c r="L8419" i="1"/>
  <c r="A8420" i="1"/>
  <c r="B8420" i="1"/>
  <c r="C8420" i="1"/>
  <c r="D8420" i="1"/>
  <c r="E8420" i="1"/>
  <c r="F8420" i="1"/>
  <c r="G8420" i="1"/>
  <c r="H8420" i="1"/>
  <c r="I8420" i="1"/>
  <c r="J8420" i="1"/>
  <c r="K8420" i="1"/>
  <c r="L8420" i="1"/>
  <c r="A8421" i="1"/>
  <c r="B8421" i="1"/>
  <c r="C8421" i="1"/>
  <c r="D8421" i="1"/>
  <c r="E8421" i="1"/>
  <c r="F8421" i="1"/>
  <c r="G8421" i="1"/>
  <c r="H8421" i="1"/>
  <c r="I8421" i="1"/>
  <c r="J8421" i="1"/>
  <c r="K8421" i="1"/>
  <c r="L8421" i="1"/>
  <c r="A8422" i="1"/>
  <c r="B8422" i="1"/>
  <c r="C8422" i="1"/>
  <c r="D8422" i="1"/>
  <c r="E8422" i="1"/>
  <c r="F8422" i="1"/>
  <c r="G8422" i="1"/>
  <c r="H8422" i="1"/>
  <c r="I8422" i="1"/>
  <c r="J8422" i="1"/>
  <c r="K8422" i="1"/>
  <c r="L8422" i="1"/>
  <c r="A8423" i="1"/>
  <c r="B8423" i="1"/>
  <c r="C8423" i="1"/>
  <c r="D8423" i="1"/>
  <c r="E8423" i="1"/>
  <c r="F8423" i="1"/>
  <c r="G8423" i="1"/>
  <c r="H8423" i="1"/>
  <c r="I8423" i="1"/>
  <c r="J8423" i="1"/>
  <c r="K8423" i="1"/>
  <c r="L8423" i="1"/>
  <c r="A8424" i="1"/>
  <c r="B8424" i="1"/>
  <c r="C8424" i="1"/>
  <c r="D8424" i="1"/>
  <c r="E8424" i="1"/>
  <c r="F8424" i="1"/>
  <c r="G8424" i="1"/>
  <c r="H8424" i="1"/>
  <c r="I8424" i="1"/>
  <c r="J8424" i="1"/>
  <c r="K8424" i="1"/>
  <c r="L8424" i="1"/>
  <c r="A8425" i="1"/>
  <c r="B8425" i="1"/>
  <c r="C8425" i="1"/>
  <c r="D8425" i="1"/>
  <c r="E8425" i="1"/>
  <c r="F8425" i="1"/>
  <c r="G8425" i="1"/>
  <c r="H8425" i="1"/>
  <c r="I8425" i="1"/>
  <c r="J8425" i="1"/>
  <c r="K8425" i="1"/>
  <c r="L8425" i="1"/>
  <c r="A8426" i="1"/>
  <c r="B8426" i="1"/>
  <c r="C8426" i="1"/>
  <c r="D8426" i="1"/>
  <c r="E8426" i="1"/>
  <c r="F8426" i="1"/>
  <c r="G8426" i="1"/>
  <c r="H8426" i="1"/>
  <c r="I8426" i="1"/>
  <c r="J8426" i="1"/>
  <c r="K8426" i="1"/>
  <c r="L8426" i="1"/>
  <c r="A8427" i="1"/>
  <c r="B8427" i="1"/>
  <c r="C8427" i="1"/>
  <c r="D8427" i="1"/>
  <c r="E8427" i="1"/>
  <c r="F8427" i="1"/>
  <c r="G8427" i="1"/>
  <c r="H8427" i="1"/>
  <c r="I8427" i="1"/>
  <c r="J8427" i="1"/>
  <c r="K8427" i="1"/>
  <c r="L8427" i="1"/>
  <c r="A8428" i="1"/>
  <c r="B8428" i="1"/>
  <c r="C8428" i="1"/>
  <c r="D8428" i="1"/>
  <c r="E8428" i="1"/>
  <c r="F8428" i="1"/>
  <c r="G8428" i="1"/>
  <c r="H8428" i="1"/>
  <c r="I8428" i="1"/>
  <c r="J8428" i="1"/>
  <c r="K8428" i="1"/>
  <c r="L8428" i="1"/>
  <c r="A8429" i="1"/>
  <c r="B8429" i="1"/>
  <c r="C8429" i="1"/>
  <c r="D8429" i="1"/>
  <c r="E8429" i="1"/>
  <c r="F8429" i="1"/>
  <c r="G8429" i="1"/>
  <c r="H8429" i="1"/>
  <c r="I8429" i="1"/>
  <c r="J8429" i="1"/>
  <c r="K8429" i="1"/>
  <c r="L8429" i="1"/>
  <c r="A8430" i="1"/>
  <c r="B8430" i="1"/>
  <c r="C8430" i="1"/>
  <c r="D8430" i="1"/>
  <c r="E8430" i="1"/>
  <c r="F8430" i="1"/>
  <c r="G8430" i="1"/>
  <c r="H8430" i="1"/>
  <c r="I8430" i="1"/>
  <c r="J8430" i="1"/>
  <c r="K8430" i="1"/>
  <c r="L8430" i="1"/>
  <c r="A8431" i="1"/>
  <c r="B8431" i="1"/>
  <c r="C8431" i="1"/>
  <c r="D8431" i="1"/>
  <c r="E8431" i="1"/>
  <c r="F8431" i="1"/>
  <c r="G8431" i="1"/>
  <c r="H8431" i="1"/>
  <c r="I8431" i="1"/>
  <c r="J8431" i="1"/>
  <c r="K8431" i="1"/>
  <c r="L8431" i="1"/>
  <c r="A8432" i="1"/>
  <c r="B8432" i="1"/>
  <c r="C8432" i="1"/>
  <c r="D8432" i="1"/>
  <c r="E8432" i="1"/>
  <c r="F8432" i="1"/>
  <c r="G8432" i="1"/>
  <c r="H8432" i="1"/>
  <c r="I8432" i="1"/>
  <c r="J8432" i="1"/>
  <c r="K8432" i="1"/>
  <c r="L8432" i="1"/>
  <c r="A8433" i="1"/>
  <c r="B8433" i="1"/>
  <c r="C8433" i="1"/>
  <c r="D8433" i="1"/>
  <c r="E8433" i="1"/>
  <c r="F8433" i="1"/>
  <c r="G8433" i="1"/>
  <c r="H8433" i="1"/>
  <c r="I8433" i="1"/>
  <c r="J8433" i="1"/>
  <c r="K8433" i="1"/>
  <c r="L8433" i="1"/>
  <c r="A8434" i="1"/>
  <c r="B8434" i="1"/>
  <c r="C8434" i="1"/>
  <c r="D8434" i="1"/>
  <c r="E8434" i="1"/>
  <c r="F8434" i="1"/>
  <c r="G8434" i="1"/>
  <c r="H8434" i="1"/>
  <c r="I8434" i="1"/>
  <c r="J8434" i="1"/>
  <c r="K8434" i="1"/>
  <c r="L8434" i="1"/>
  <c r="A8435" i="1"/>
  <c r="B8435" i="1"/>
  <c r="C8435" i="1"/>
  <c r="D8435" i="1"/>
  <c r="E8435" i="1"/>
  <c r="F8435" i="1"/>
  <c r="G8435" i="1"/>
  <c r="H8435" i="1"/>
  <c r="I8435" i="1"/>
  <c r="J8435" i="1"/>
  <c r="K8435" i="1"/>
  <c r="L8435" i="1"/>
  <c r="A8436" i="1"/>
  <c r="B8436" i="1"/>
  <c r="C8436" i="1"/>
  <c r="D8436" i="1"/>
  <c r="E8436" i="1"/>
  <c r="F8436" i="1"/>
  <c r="G8436" i="1"/>
  <c r="H8436" i="1"/>
  <c r="I8436" i="1"/>
  <c r="J8436" i="1"/>
  <c r="K8436" i="1"/>
  <c r="L8436" i="1"/>
  <c r="A8437" i="1"/>
  <c r="B8437" i="1"/>
  <c r="C8437" i="1"/>
  <c r="D8437" i="1"/>
  <c r="E8437" i="1"/>
  <c r="F8437" i="1"/>
  <c r="G8437" i="1"/>
  <c r="H8437" i="1"/>
  <c r="I8437" i="1"/>
  <c r="J8437" i="1"/>
  <c r="K8437" i="1"/>
  <c r="L8437" i="1"/>
  <c r="A8438" i="1"/>
  <c r="B8438" i="1"/>
  <c r="C8438" i="1"/>
  <c r="D8438" i="1"/>
  <c r="E8438" i="1"/>
  <c r="F8438" i="1"/>
  <c r="G8438" i="1"/>
  <c r="H8438" i="1"/>
  <c r="I8438" i="1"/>
  <c r="J8438" i="1"/>
  <c r="K8438" i="1"/>
  <c r="L8438" i="1"/>
  <c r="A8439" i="1"/>
  <c r="B8439" i="1"/>
  <c r="C8439" i="1"/>
  <c r="D8439" i="1"/>
  <c r="E8439" i="1"/>
  <c r="F8439" i="1"/>
  <c r="G8439" i="1"/>
  <c r="H8439" i="1"/>
  <c r="I8439" i="1"/>
  <c r="J8439" i="1"/>
  <c r="K8439" i="1"/>
  <c r="L8439" i="1"/>
  <c r="A8440" i="1"/>
  <c r="B8440" i="1"/>
  <c r="C8440" i="1"/>
  <c r="D8440" i="1"/>
  <c r="E8440" i="1"/>
  <c r="F8440" i="1"/>
  <c r="G8440" i="1"/>
  <c r="H8440" i="1"/>
  <c r="I8440" i="1"/>
  <c r="J8440" i="1"/>
  <c r="K8440" i="1"/>
  <c r="L8440" i="1"/>
  <c r="A8441" i="1"/>
  <c r="B8441" i="1"/>
  <c r="C8441" i="1"/>
  <c r="D8441" i="1"/>
  <c r="E8441" i="1"/>
  <c r="F8441" i="1"/>
  <c r="G8441" i="1"/>
  <c r="H8441" i="1"/>
  <c r="I8441" i="1"/>
  <c r="J8441" i="1"/>
  <c r="K8441" i="1"/>
  <c r="L8441" i="1"/>
  <c r="A8442" i="1"/>
  <c r="B8442" i="1"/>
  <c r="C8442" i="1"/>
  <c r="D8442" i="1"/>
  <c r="E8442" i="1"/>
  <c r="F8442" i="1"/>
  <c r="G8442" i="1"/>
  <c r="H8442" i="1"/>
  <c r="I8442" i="1"/>
  <c r="J8442" i="1"/>
  <c r="K8442" i="1"/>
  <c r="L8442" i="1"/>
  <c r="A8443" i="1"/>
  <c r="B8443" i="1"/>
  <c r="C8443" i="1"/>
  <c r="D8443" i="1"/>
  <c r="E8443" i="1"/>
  <c r="F8443" i="1"/>
  <c r="G8443" i="1"/>
  <c r="H8443" i="1"/>
  <c r="I8443" i="1"/>
  <c r="J8443" i="1"/>
  <c r="K8443" i="1"/>
  <c r="L8443" i="1"/>
  <c r="A8444" i="1"/>
  <c r="B8444" i="1"/>
  <c r="C8444" i="1"/>
  <c r="D8444" i="1"/>
  <c r="E8444" i="1"/>
  <c r="F8444" i="1"/>
  <c r="G8444" i="1"/>
  <c r="H8444" i="1"/>
  <c r="I8444" i="1"/>
  <c r="J8444" i="1"/>
  <c r="K8444" i="1"/>
  <c r="L8444" i="1"/>
  <c r="A8445" i="1"/>
  <c r="B8445" i="1"/>
  <c r="C8445" i="1"/>
  <c r="D8445" i="1"/>
  <c r="E8445" i="1"/>
  <c r="F8445" i="1"/>
  <c r="G8445" i="1"/>
  <c r="H8445" i="1"/>
  <c r="I8445" i="1"/>
  <c r="J8445" i="1"/>
  <c r="K8445" i="1"/>
  <c r="L8445" i="1"/>
  <c r="A8446" i="1"/>
  <c r="B8446" i="1"/>
  <c r="C8446" i="1"/>
  <c r="D8446" i="1"/>
  <c r="E8446" i="1"/>
  <c r="F8446" i="1"/>
  <c r="G8446" i="1"/>
  <c r="H8446" i="1"/>
  <c r="I8446" i="1"/>
  <c r="J8446" i="1"/>
  <c r="K8446" i="1"/>
  <c r="L8446" i="1"/>
  <c r="A8447" i="1"/>
  <c r="B8447" i="1"/>
  <c r="C8447" i="1"/>
  <c r="D8447" i="1"/>
  <c r="E8447" i="1"/>
  <c r="F8447" i="1"/>
  <c r="G8447" i="1"/>
  <c r="H8447" i="1"/>
  <c r="I8447" i="1"/>
  <c r="J8447" i="1"/>
  <c r="K8447" i="1"/>
  <c r="L8447" i="1"/>
  <c r="A8448" i="1"/>
  <c r="B8448" i="1"/>
  <c r="C8448" i="1"/>
  <c r="D8448" i="1"/>
  <c r="E8448" i="1"/>
  <c r="F8448" i="1"/>
  <c r="G8448" i="1"/>
  <c r="H8448" i="1"/>
  <c r="I8448" i="1"/>
  <c r="J8448" i="1"/>
  <c r="K8448" i="1"/>
  <c r="L8448" i="1"/>
  <c r="A8449" i="1"/>
  <c r="B8449" i="1"/>
  <c r="C8449" i="1"/>
  <c r="D8449" i="1"/>
  <c r="E8449" i="1"/>
  <c r="F8449" i="1"/>
  <c r="G8449" i="1"/>
  <c r="H8449" i="1"/>
  <c r="I8449" i="1"/>
  <c r="J8449" i="1"/>
  <c r="K8449" i="1"/>
  <c r="L8449" i="1"/>
  <c r="A8450" i="1"/>
  <c r="B8450" i="1"/>
  <c r="C8450" i="1"/>
  <c r="D8450" i="1"/>
  <c r="E8450" i="1"/>
  <c r="F8450" i="1"/>
  <c r="G8450" i="1"/>
  <c r="H8450" i="1"/>
  <c r="I8450" i="1"/>
  <c r="J8450" i="1"/>
  <c r="K8450" i="1"/>
  <c r="L8450" i="1"/>
  <c r="A8451" i="1"/>
  <c r="B8451" i="1"/>
  <c r="C8451" i="1"/>
  <c r="D8451" i="1"/>
  <c r="E8451" i="1"/>
  <c r="F8451" i="1"/>
  <c r="G8451" i="1"/>
  <c r="H8451" i="1"/>
  <c r="I8451" i="1"/>
  <c r="J8451" i="1"/>
  <c r="K8451" i="1"/>
  <c r="L8451" i="1"/>
  <c r="A8452" i="1"/>
  <c r="B8452" i="1"/>
  <c r="C8452" i="1"/>
  <c r="D8452" i="1"/>
  <c r="E8452" i="1"/>
  <c r="F8452" i="1"/>
  <c r="G8452" i="1"/>
  <c r="H8452" i="1"/>
  <c r="I8452" i="1"/>
  <c r="J8452" i="1"/>
  <c r="K8452" i="1"/>
  <c r="L8452" i="1"/>
  <c r="A8453" i="1"/>
  <c r="B8453" i="1"/>
  <c r="C8453" i="1"/>
  <c r="D8453" i="1"/>
  <c r="E8453" i="1"/>
  <c r="F8453" i="1"/>
  <c r="G8453" i="1"/>
  <c r="H8453" i="1"/>
  <c r="I8453" i="1"/>
  <c r="J8453" i="1"/>
  <c r="K8453" i="1"/>
  <c r="L8453" i="1"/>
  <c r="A8454" i="1"/>
  <c r="B8454" i="1"/>
  <c r="C8454" i="1"/>
  <c r="D8454" i="1"/>
  <c r="E8454" i="1"/>
  <c r="F8454" i="1"/>
  <c r="G8454" i="1"/>
  <c r="H8454" i="1"/>
  <c r="I8454" i="1"/>
  <c r="J8454" i="1"/>
  <c r="K8454" i="1"/>
  <c r="L8454" i="1"/>
  <c r="A8455" i="1"/>
  <c r="B8455" i="1"/>
  <c r="C8455" i="1"/>
  <c r="D8455" i="1"/>
  <c r="E8455" i="1"/>
  <c r="F8455" i="1"/>
  <c r="G8455" i="1"/>
  <c r="H8455" i="1"/>
  <c r="I8455" i="1"/>
  <c r="J8455" i="1"/>
  <c r="K8455" i="1"/>
  <c r="L8455" i="1"/>
  <c r="A8456" i="1"/>
  <c r="B8456" i="1"/>
  <c r="C8456" i="1"/>
  <c r="D8456" i="1"/>
  <c r="E8456" i="1"/>
  <c r="F8456" i="1"/>
  <c r="G8456" i="1"/>
  <c r="H8456" i="1"/>
  <c r="I8456" i="1"/>
  <c r="J8456" i="1"/>
  <c r="K8456" i="1"/>
  <c r="L8456" i="1"/>
  <c r="A8457" i="1"/>
  <c r="B8457" i="1"/>
  <c r="C8457" i="1"/>
  <c r="D8457" i="1"/>
  <c r="E8457" i="1"/>
  <c r="F8457" i="1"/>
  <c r="G8457" i="1"/>
  <c r="H8457" i="1"/>
  <c r="I8457" i="1"/>
  <c r="J8457" i="1"/>
  <c r="K8457" i="1"/>
  <c r="L8457" i="1"/>
  <c r="A8458" i="1"/>
  <c r="B8458" i="1"/>
  <c r="C8458" i="1"/>
  <c r="D8458" i="1"/>
  <c r="E8458" i="1"/>
  <c r="F8458" i="1"/>
  <c r="G8458" i="1"/>
  <c r="H8458" i="1"/>
  <c r="I8458" i="1"/>
  <c r="J8458" i="1"/>
  <c r="K8458" i="1"/>
  <c r="L8458" i="1"/>
  <c r="A8459" i="1"/>
  <c r="B8459" i="1"/>
  <c r="C8459" i="1"/>
  <c r="D8459" i="1"/>
  <c r="E8459" i="1"/>
  <c r="F8459" i="1"/>
  <c r="G8459" i="1"/>
  <c r="H8459" i="1"/>
  <c r="I8459" i="1"/>
  <c r="J8459" i="1"/>
  <c r="K8459" i="1"/>
  <c r="L8459" i="1"/>
  <c r="A8460" i="1"/>
  <c r="B8460" i="1"/>
  <c r="C8460" i="1"/>
  <c r="D8460" i="1"/>
  <c r="E8460" i="1"/>
  <c r="F8460" i="1"/>
  <c r="G8460" i="1"/>
  <c r="H8460" i="1"/>
  <c r="I8460" i="1"/>
  <c r="J8460" i="1"/>
  <c r="K8460" i="1"/>
  <c r="L8460" i="1"/>
  <c r="A8461" i="1"/>
  <c r="B8461" i="1"/>
  <c r="C8461" i="1"/>
  <c r="D8461" i="1"/>
  <c r="E8461" i="1"/>
  <c r="F8461" i="1"/>
  <c r="G8461" i="1"/>
  <c r="H8461" i="1"/>
  <c r="I8461" i="1"/>
  <c r="J8461" i="1"/>
  <c r="K8461" i="1"/>
  <c r="L8461" i="1"/>
  <c r="A8462" i="1"/>
  <c r="B8462" i="1"/>
  <c r="C8462" i="1"/>
  <c r="D8462" i="1"/>
  <c r="E8462" i="1"/>
  <c r="F8462" i="1"/>
  <c r="G8462" i="1"/>
  <c r="H8462" i="1"/>
  <c r="I8462" i="1"/>
  <c r="J8462" i="1"/>
  <c r="K8462" i="1"/>
  <c r="L8462" i="1"/>
  <c r="A8463" i="1"/>
  <c r="B8463" i="1"/>
  <c r="C8463" i="1"/>
  <c r="D8463" i="1"/>
  <c r="E8463" i="1"/>
  <c r="F8463" i="1"/>
  <c r="G8463" i="1"/>
  <c r="H8463" i="1"/>
  <c r="I8463" i="1"/>
  <c r="J8463" i="1"/>
  <c r="K8463" i="1"/>
  <c r="L8463" i="1"/>
  <c r="A8464" i="1"/>
  <c r="B8464" i="1"/>
  <c r="C8464" i="1"/>
  <c r="D8464" i="1"/>
  <c r="E8464" i="1"/>
  <c r="F8464" i="1"/>
  <c r="G8464" i="1"/>
  <c r="H8464" i="1"/>
  <c r="I8464" i="1"/>
  <c r="J8464" i="1"/>
  <c r="K8464" i="1"/>
  <c r="L8464" i="1"/>
  <c r="A8465" i="1"/>
  <c r="B8465" i="1"/>
  <c r="C8465" i="1"/>
  <c r="D8465" i="1"/>
  <c r="E8465" i="1"/>
  <c r="F8465" i="1"/>
  <c r="G8465" i="1"/>
  <c r="H8465" i="1"/>
  <c r="I8465" i="1"/>
  <c r="J8465" i="1"/>
  <c r="K8465" i="1"/>
  <c r="L8465" i="1"/>
  <c r="A8466" i="1"/>
  <c r="B8466" i="1"/>
  <c r="C8466" i="1"/>
  <c r="D8466" i="1"/>
  <c r="E8466" i="1"/>
  <c r="F8466" i="1"/>
  <c r="G8466" i="1"/>
  <c r="H8466" i="1"/>
  <c r="I8466" i="1"/>
  <c r="J8466" i="1"/>
  <c r="K8466" i="1"/>
  <c r="L8466" i="1"/>
  <c r="A8467" i="1"/>
  <c r="B8467" i="1"/>
  <c r="C8467" i="1"/>
  <c r="D8467" i="1"/>
  <c r="E8467" i="1"/>
  <c r="F8467" i="1"/>
  <c r="G8467" i="1"/>
  <c r="H8467" i="1"/>
  <c r="I8467" i="1"/>
  <c r="J8467" i="1"/>
  <c r="K8467" i="1"/>
  <c r="L8467" i="1"/>
  <c r="A8468" i="1"/>
  <c r="B8468" i="1"/>
  <c r="C8468" i="1"/>
  <c r="D8468" i="1"/>
  <c r="E8468" i="1"/>
  <c r="F8468" i="1"/>
  <c r="G8468" i="1"/>
  <c r="H8468" i="1"/>
  <c r="I8468" i="1"/>
  <c r="J8468" i="1"/>
  <c r="K8468" i="1"/>
  <c r="L8468" i="1"/>
  <c r="A8469" i="1"/>
  <c r="B8469" i="1"/>
  <c r="C8469" i="1"/>
  <c r="D8469" i="1"/>
  <c r="E8469" i="1"/>
  <c r="F8469" i="1"/>
  <c r="G8469" i="1"/>
  <c r="H8469" i="1"/>
  <c r="I8469" i="1"/>
  <c r="J8469" i="1"/>
  <c r="K8469" i="1"/>
  <c r="L8469" i="1"/>
  <c r="A8470" i="1"/>
  <c r="B8470" i="1"/>
  <c r="C8470" i="1"/>
  <c r="D8470" i="1"/>
  <c r="E8470" i="1"/>
  <c r="F8470" i="1"/>
  <c r="G8470" i="1"/>
  <c r="H8470" i="1"/>
  <c r="I8470" i="1"/>
  <c r="J8470" i="1"/>
  <c r="K8470" i="1"/>
  <c r="L8470" i="1"/>
  <c r="A8471" i="1"/>
  <c r="B8471" i="1"/>
  <c r="C8471" i="1"/>
  <c r="D8471" i="1"/>
  <c r="E8471" i="1"/>
  <c r="F8471" i="1"/>
  <c r="G8471" i="1"/>
  <c r="H8471" i="1"/>
  <c r="I8471" i="1"/>
  <c r="J8471" i="1"/>
  <c r="K8471" i="1"/>
  <c r="L8471" i="1"/>
  <c r="A8472" i="1"/>
  <c r="B8472" i="1"/>
  <c r="C8472" i="1"/>
  <c r="D8472" i="1"/>
  <c r="E8472" i="1"/>
  <c r="F8472" i="1"/>
  <c r="G8472" i="1"/>
  <c r="H8472" i="1"/>
  <c r="I8472" i="1"/>
  <c r="J8472" i="1"/>
  <c r="K8472" i="1"/>
  <c r="L8472" i="1"/>
  <c r="A8473" i="1"/>
  <c r="B8473" i="1"/>
  <c r="C8473" i="1"/>
  <c r="D8473" i="1"/>
  <c r="E8473" i="1"/>
  <c r="F8473" i="1"/>
  <c r="G8473" i="1"/>
  <c r="H8473" i="1"/>
  <c r="I8473" i="1"/>
  <c r="J8473" i="1"/>
  <c r="K8473" i="1"/>
  <c r="L8473" i="1"/>
  <c r="A8474" i="1"/>
  <c r="B8474" i="1"/>
  <c r="C8474" i="1"/>
  <c r="D8474" i="1"/>
  <c r="E8474" i="1"/>
  <c r="F8474" i="1"/>
  <c r="G8474" i="1"/>
  <c r="H8474" i="1"/>
  <c r="I8474" i="1"/>
  <c r="J8474" i="1"/>
  <c r="K8474" i="1"/>
  <c r="L8474" i="1"/>
  <c r="A8475" i="1"/>
  <c r="B8475" i="1"/>
  <c r="C8475" i="1"/>
  <c r="D8475" i="1"/>
  <c r="E8475" i="1"/>
  <c r="F8475" i="1"/>
  <c r="G8475" i="1"/>
  <c r="H8475" i="1"/>
  <c r="I8475" i="1"/>
  <c r="J8475" i="1"/>
  <c r="K8475" i="1"/>
  <c r="L8475" i="1"/>
  <c r="A8476" i="1"/>
  <c r="B8476" i="1"/>
  <c r="C8476" i="1"/>
  <c r="D8476" i="1"/>
  <c r="E8476" i="1"/>
  <c r="F8476" i="1"/>
  <c r="G8476" i="1"/>
  <c r="H8476" i="1"/>
  <c r="I8476" i="1"/>
  <c r="J8476" i="1"/>
  <c r="K8476" i="1"/>
  <c r="L8476" i="1"/>
  <c r="A8477" i="1"/>
  <c r="B8477" i="1"/>
  <c r="C8477" i="1"/>
  <c r="D8477" i="1"/>
  <c r="E8477" i="1"/>
  <c r="F8477" i="1"/>
  <c r="G8477" i="1"/>
  <c r="H8477" i="1"/>
  <c r="I8477" i="1"/>
  <c r="J8477" i="1"/>
  <c r="K8477" i="1"/>
  <c r="L8477" i="1"/>
  <c r="A8478" i="1"/>
  <c r="B8478" i="1"/>
  <c r="C8478" i="1"/>
  <c r="D8478" i="1"/>
  <c r="E8478" i="1"/>
  <c r="F8478" i="1"/>
  <c r="G8478" i="1"/>
  <c r="H8478" i="1"/>
  <c r="I8478" i="1"/>
  <c r="J8478" i="1"/>
  <c r="K8478" i="1"/>
  <c r="L8478" i="1"/>
  <c r="A8479" i="1"/>
  <c r="B8479" i="1"/>
  <c r="C8479" i="1"/>
  <c r="D8479" i="1"/>
  <c r="E8479" i="1"/>
  <c r="F8479" i="1"/>
  <c r="G8479" i="1"/>
  <c r="H8479" i="1"/>
  <c r="I8479" i="1"/>
  <c r="J8479" i="1"/>
  <c r="K8479" i="1"/>
  <c r="L8479" i="1"/>
  <c r="A8480" i="1"/>
  <c r="B8480" i="1"/>
  <c r="C8480" i="1"/>
  <c r="D8480" i="1"/>
  <c r="E8480" i="1"/>
  <c r="F8480" i="1"/>
  <c r="G8480" i="1"/>
  <c r="H8480" i="1"/>
  <c r="I8480" i="1"/>
  <c r="J8480" i="1"/>
  <c r="K8480" i="1"/>
  <c r="L8480" i="1"/>
  <c r="A8481" i="1"/>
  <c r="B8481" i="1"/>
  <c r="C8481" i="1"/>
  <c r="D8481" i="1"/>
  <c r="E8481" i="1"/>
  <c r="F8481" i="1"/>
  <c r="G8481" i="1"/>
  <c r="H8481" i="1"/>
  <c r="I8481" i="1"/>
  <c r="J8481" i="1"/>
  <c r="K8481" i="1"/>
  <c r="L8481" i="1"/>
  <c r="A8482" i="1"/>
  <c r="B8482" i="1"/>
  <c r="C8482" i="1"/>
  <c r="D8482" i="1"/>
  <c r="E8482" i="1"/>
  <c r="F8482" i="1"/>
  <c r="G8482" i="1"/>
  <c r="H8482" i="1"/>
  <c r="I8482" i="1"/>
  <c r="J8482" i="1"/>
  <c r="K8482" i="1"/>
  <c r="L8482" i="1"/>
  <c r="A8483" i="1"/>
  <c r="B8483" i="1"/>
  <c r="C8483" i="1"/>
  <c r="D8483" i="1"/>
  <c r="E8483" i="1"/>
  <c r="F8483" i="1"/>
  <c r="G8483" i="1"/>
  <c r="H8483" i="1"/>
  <c r="I8483" i="1"/>
  <c r="J8483" i="1"/>
  <c r="K8483" i="1"/>
  <c r="L8483" i="1"/>
  <c r="A8484" i="1"/>
  <c r="B8484" i="1"/>
  <c r="C8484" i="1"/>
  <c r="D8484" i="1"/>
  <c r="E8484" i="1"/>
  <c r="F8484" i="1"/>
  <c r="G8484" i="1"/>
  <c r="H8484" i="1"/>
  <c r="I8484" i="1"/>
  <c r="J8484" i="1"/>
  <c r="K8484" i="1"/>
  <c r="L8484" i="1"/>
  <c r="A8485" i="1"/>
  <c r="B8485" i="1"/>
  <c r="C8485" i="1"/>
  <c r="D8485" i="1"/>
  <c r="E8485" i="1"/>
  <c r="F8485" i="1"/>
  <c r="G8485" i="1"/>
  <c r="H8485" i="1"/>
  <c r="I8485" i="1"/>
  <c r="J8485" i="1"/>
  <c r="K8485" i="1"/>
  <c r="L8485" i="1"/>
  <c r="A8486" i="1"/>
  <c r="B8486" i="1"/>
  <c r="C8486" i="1"/>
  <c r="D8486" i="1"/>
  <c r="E8486" i="1"/>
  <c r="F8486" i="1"/>
  <c r="G8486" i="1"/>
  <c r="H8486" i="1"/>
  <c r="I8486" i="1"/>
  <c r="J8486" i="1"/>
  <c r="K8486" i="1"/>
  <c r="L8486" i="1"/>
  <c r="A8487" i="1"/>
  <c r="B8487" i="1"/>
  <c r="C8487" i="1"/>
  <c r="D8487" i="1"/>
  <c r="E8487" i="1"/>
  <c r="F8487" i="1"/>
  <c r="G8487" i="1"/>
  <c r="H8487" i="1"/>
  <c r="I8487" i="1"/>
  <c r="J8487" i="1"/>
  <c r="K8487" i="1"/>
  <c r="L8487" i="1"/>
  <c r="A8488" i="1"/>
  <c r="B8488" i="1"/>
  <c r="C8488" i="1"/>
  <c r="D8488" i="1"/>
  <c r="E8488" i="1"/>
  <c r="F8488" i="1"/>
  <c r="G8488" i="1"/>
  <c r="H8488" i="1"/>
  <c r="I8488" i="1"/>
  <c r="J8488" i="1"/>
  <c r="K8488" i="1"/>
  <c r="L8488" i="1"/>
  <c r="A8489" i="1"/>
  <c r="B8489" i="1"/>
  <c r="C8489" i="1"/>
  <c r="D8489" i="1"/>
  <c r="E8489" i="1"/>
  <c r="F8489" i="1"/>
  <c r="G8489" i="1"/>
  <c r="H8489" i="1"/>
  <c r="I8489" i="1"/>
  <c r="J8489" i="1"/>
  <c r="K8489" i="1"/>
  <c r="L8489" i="1"/>
  <c r="A8490" i="1"/>
  <c r="B8490" i="1"/>
  <c r="C8490" i="1"/>
  <c r="D8490" i="1"/>
  <c r="E8490" i="1"/>
  <c r="F8490" i="1"/>
  <c r="G8490" i="1"/>
  <c r="H8490" i="1"/>
  <c r="I8490" i="1"/>
  <c r="J8490" i="1"/>
  <c r="K8490" i="1"/>
  <c r="L8490" i="1"/>
  <c r="A8491" i="1"/>
  <c r="B8491" i="1"/>
  <c r="C8491" i="1"/>
  <c r="D8491" i="1"/>
  <c r="E8491" i="1"/>
  <c r="F8491" i="1"/>
  <c r="G8491" i="1"/>
  <c r="H8491" i="1"/>
  <c r="I8491" i="1"/>
  <c r="J8491" i="1"/>
  <c r="K8491" i="1"/>
  <c r="L8491" i="1"/>
  <c r="A8492" i="1"/>
  <c r="B8492" i="1"/>
  <c r="C8492" i="1"/>
  <c r="D8492" i="1"/>
  <c r="E8492" i="1"/>
  <c r="F8492" i="1"/>
  <c r="G8492" i="1"/>
  <c r="H8492" i="1"/>
  <c r="I8492" i="1"/>
  <c r="J8492" i="1"/>
  <c r="K8492" i="1"/>
  <c r="L8492" i="1"/>
  <c r="A8493" i="1"/>
  <c r="B8493" i="1"/>
  <c r="C8493" i="1"/>
  <c r="D8493" i="1"/>
  <c r="E8493" i="1"/>
  <c r="F8493" i="1"/>
  <c r="G8493" i="1"/>
  <c r="H8493" i="1"/>
  <c r="I8493" i="1"/>
  <c r="J8493" i="1"/>
  <c r="K8493" i="1"/>
  <c r="L8493" i="1"/>
  <c r="A8494" i="1"/>
  <c r="B8494" i="1"/>
  <c r="C8494" i="1"/>
  <c r="D8494" i="1"/>
  <c r="E8494" i="1"/>
  <c r="F8494" i="1"/>
  <c r="G8494" i="1"/>
  <c r="H8494" i="1"/>
  <c r="I8494" i="1"/>
  <c r="J8494" i="1"/>
  <c r="K8494" i="1"/>
  <c r="L8494" i="1"/>
  <c r="A8495" i="1"/>
  <c r="B8495" i="1"/>
  <c r="C8495" i="1"/>
  <c r="D8495" i="1"/>
  <c r="E8495" i="1"/>
  <c r="F8495" i="1"/>
  <c r="G8495" i="1"/>
  <c r="H8495" i="1"/>
  <c r="I8495" i="1"/>
  <c r="J8495" i="1"/>
  <c r="K8495" i="1"/>
  <c r="L8495" i="1"/>
  <c r="A8496" i="1"/>
  <c r="B8496" i="1"/>
  <c r="C8496" i="1"/>
  <c r="D8496" i="1"/>
  <c r="E8496" i="1"/>
  <c r="F8496" i="1"/>
  <c r="G8496" i="1"/>
  <c r="H8496" i="1"/>
  <c r="I8496" i="1"/>
  <c r="J8496" i="1"/>
  <c r="K8496" i="1"/>
  <c r="L8496" i="1"/>
  <c r="A8497" i="1"/>
  <c r="B8497" i="1"/>
  <c r="C8497" i="1"/>
  <c r="D8497" i="1"/>
  <c r="E8497" i="1"/>
  <c r="F8497" i="1"/>
  <c r="G8497" i="1"/>
  <c r="H8497" i="1"/>
  <c r="I8497" i="1"/>
  <c r="J8497" i="1"/>
  <c r="K8497" i="1"/>
  <c r="L8497" i="1"/>
  <c r="A8498" i="1"/>
  <c r="B8498" i="1"/>
  <c r="C8498" i="1"/>
  <c r="D8498" i="1"/>
  <c r="E8498" i="1"/>
  <c r="F8498" i="1"/>
  <c r="G8498" i="1"/>
  <c r="H8498" i="1"/>
  <c r="I8498" i="1"/>
  <c r="J8498" i="1"/>
  <c r="K8498" i="1"/>
  <c r="L8498" i="1"/>
  <c r="A8499" i="1"/>
  <c r="B8499" i="1"/>
  <c r="C8499" i="1"/>
  <c r="D8499" i="1"/>
  <c r="E8499" i="1"/>
  <c r="F8499" i="1"/>
  <c r="G8499" i="1"/>
  <c r="H8499" i="1"/>
  <c r="I8499" i="1"/>
  <c r="J8499" i="1"/>
  <c r="K8499" i="1"/>
  <c r="L8499" i="1"/>
  <c r="A8500" i="1"/>
  <c r="B8500" i="1"/>
  <c r="C8500" i="1"/>
  <c r="D8500" i="1"/>
  <c r="E8500" i="1"/>
  <c r="F8500" i="1"/>
  <c r="G8500" i="1"/>
  <c r="H8500" i="1"/>
  <c r="I8500" i="1"/>
  <c r="J8500" i="1"/>
  <c r="K8500" i="1"/>
  <c r="L8500" i="1"/>
  <c r="A8501" i="1"/>
  <c r="B8501" i="1"/>
  <c r="C8501" i="1"/>
  <c r="D8501" i="1"/>
  <c r="E8501" i="1"/>
  <c r="F8501" i="1"/>
  <c r="G8501" i="1"/>
  <c r="H8501" i="1"/>
  <c r="I8501" i="1"/>
  <c r="J8501" i="1"/>
  <c r="K8501" i="1"/>
  <c r="L8501" i="1"/>
  <c r="A8502" i="1"/>
  <c r="B8502" i="1"/>
  <c r="C8502" i="1"/>
  <c r="D8502" i="1"/>
  <c r="E8502" i="1"/>
  <c r="F8502" i="1"/>
  <c r="G8502" i="1"/>
  <c r="H8502" i="1"/>
  <c r="I8502" i="1"/>
  <c r="J8502" i="1"/>
  <c r="K8502" i="1"/>
  <c r="L8502" i="1"/>
  <c r="A8503" i="1"/>
  <c r="B8503" i="1"/>
  <c r="C8503" i="1"/>
  <c r="D8503" i="1"/>
  <c r="E8503" i="1"/>
  <c r="F8503" i="1"/>
  <c r="G8503" i="1"/>
  <c r="H8503" i="1"/>
  <c r="I8503" i="1"/>
  <c r="J8503" i="1"/>
  <c r="K8503" i="1"/>
  <c r="L8503" i="1"/>
  <c r="A8504" i="1"/>
  <c r="B8504" i="1"/>
  <c r="C8504" i="1"/>
  <c r="D8504" i="1"/>
  <c r="E8504" i="1"/>
  <c r="F8504" i="1"/>
  <c r="G8504" i="1"/>
  <c r="H8504" i="1"/>
  <c r="I8504" i="1"/>
  <c r="J8504" i="1"/>
  <c r="K8504" i="1"/>
  <c r="L8504" i="1"/>
  <c r="A8505" i="1"/>
  <c r="B8505" i="1"/>
  <c r="C8505" i="1"/>
  <c r="D8505" i="1"/>
  <c r="E8505" i="1"/>
  <c r="F8505" i="1"/>
  <c r="G8505" i="1"/>
  <c r="H8505" i="1"/>
  <c r="I8505" i="1"/>
  <c r="J8505" i="1"/>
  <c r="K8505" i="1"/>
  <c r="L8505" i="1"/>
  <c r="A8506" i="1"/>
  <c r="B8506" i="1"/>
  <c r="C8506" i="1"/>
  <c r="D8506" i="1"/>
  <c r="E8506" i="1"/>
  <c r="F8506" i="1"/>
  <c r="G8506" i="1"/>
  <c r="H8506" i="1"/>
  <c r="I8506" i="1"/>
  <c r="J8506" i="1"/>
  <c r="K8506" i="1"/>
  <c r="L8506" i="1"/>
  <c r="A8507" i="1"/>
  <c r="B8507" i="1"/>
  <c r="C8507" i="1"/>
  <c r="D8507" i="1"/>
  <c r="E8507" i="1"/>
  <c r="F8507" i="1"/>
  <c r="G8507" i="1"/>
  <c r="H8507" i="1"/>
  <c r="I8507" i="1"/>
  <c r="J8507" i="1"/>
  <c r="K8507" i="1"/>
  <c r="L8507" i="1"/>
  <c r="A8508" i="1"/>
  <c r="B8508" i="1"/>
  <c r="C8508" i="1"/>
  <c r="D8508" i="1"/>
  <c r="E8508" i="1"/>
  <c r="F8508" i="1"/>
  <c r="G8508" i="1"/>
  <c r="H8508" i="1"/>
  <c r="I8508" i="1"/>
  <c r="J8508" i="1"/>
  <c r="K8508" i="1"/>
  <c r="L8508" i="1"/>
  <c r="A8509" i="1"/>
  <c r="B8509" i="1"/>
  <c r="C8509" i="1"/>
  <c r="D8509" i="1"/>
  <c r="E8509" i="1"/>
  <c r="F8509" i="1"/>
  <c r="G8509" i="1"/>
  <c r="H8509" i="1"/>
  <c r="I8509" i="1"/>
  <c r="J8509" i="1"/>
  <c r="K8509" i="1"/>
  <c r="L8509" i="1"/>
  <c r="A8510" i="1"/>
  <c r="B8510" i="1"/>
  <c r="C8510" i="1"/>
  <c r="D8510" i="1"/>
  <c r="E8510" i="1"/>
  <c r="F8510" i="1"/>
  <c r="G8510" i="1"/>
  <c r="H8510" i="1"/>
  <c r="I8510" i="1"/>
  <c r="J8510" i="1"/>
  <c r="K8510" i="1"/>
  <c r="L8510" i="1"/>
  <c r="A8511" i="1"/>
  <c r="B8511" i="1"/>
  <c r="C8511" i="1"/>
  <c r="D8511" i="1"/>
  <c r="E8511" i="1"/>
  <c r="F8511" i="1"/>
  <c r="G8511" i="1"/>
  <c r="H8511" i="1"/>
  <c r="I8511" i="1"/>
  <c r="J8511" i="1"/>
  <c r="K8511" i="1"/>
  <c r="L8511" i="1"/>
  <c r="A8512" i="1"/>
  <c r="B8512" i="1"/>
  <c r="C8512" i="1"/>
  <c r="D8512" i="1"/>
  <c r="E8512" i="1"/>
  <c r="F8512" i="1"/>
  <c r="G8512" i="1"/>
  <c r="H8512" i="1"/>
  <c r="I8512" i="1"/>
  <c r="J8512" i="1"/>
  <c r="K8512" i="1"/>
  <c r="L8512" i="1"/>
  <c r="A8513" i="1"/>
  <c r="B8513" i="1"/>
  <c r="C8513" i="1"/>
  <c r="D8513" i="1"/>
  <c r="E8513" i="1"/>
  <c r="F8513" i="1"/>
  <c r="G8513" i="1"/>
  <c r="H8513" i="1"/>
  <c r="I8513" i="1"/>
  <c r="J8513" i="1"/>
  <c r="K8513" i="1"/>
  <c r="L8513" i="1"/>
  <c r="A8514" i="1"/>
  <c r="B8514" i="1"/>
  <c r="C8514" i="1"/>
  <c r="D8514" i="1"/>
  <c r="E8514" i="1"/>
  <c r="F8514" i="1"/>
  <c r="G8514" i="1"/>
  <c r="H8514" i="1"/>
  <c r="I8514" i="1"/>
  <c r="J8514" i="1"/>
  <c r="K8514" i="1"/>
  <c r="L8514" i="1"/>
  <c r="A8515" i="1"/>
  <c r="B8515" i="1"/>
  <c r="C8515" i="1"/>
  <c r="D8515" i="1"/>
  <c r="E8515" i="1"/>
  <c r="F8515" i="1"/>
  <c r="G8515" i="1"/>
  <c r="H8515" i="1"/>
  <c r="I8515" i="1"/>
  <c r="J8515" i="1"/>
  <c r="K8515" i="1"/>
  <c r="L8515" i="1"/>
  <c r="A8516" i="1"/>
  <c r="B8516" i="1"/>
  <c r="C8516" i="1"/>
  <c r="D8516" i="1"/>
  <c r="E8516" i="1"/>
  <c r="F8516" i="1"/>
  <c r="G8516" i="1"/>
  <c r="H8516" i="1"/>
  <c r="I8516" i="1"/>
  <c r="J8516" i="1"/>
  <c r="K8516" i="1"/>
  <c r="L8516" i="1"/>
  <c r="A8517" i="1"/>
  <c r="B8517" i="1"/>
  <c r="C8517" i="1"/>
  <c r="D8517" i="1"/>
  <c r="E8517" i="1"/>
  <c r="F8517" i="1"/>
  <c r="G8517" i="1"/>
  <c r="H8517" i="1"/>
  <c r="I8517" i="1"/>
  <c r="J8517" i="1"/>
  <c r="K8517" i="1"/>
  <c r="L8517" i="1"/>
  <c r="A8518" i="1"/>
  <c r="B8518" i="1"/>
  <c r="C8518" i="1"/>
  <c r="D8518" i="1"/>
  <c r="E8518" i="1"/>
  <c r="F8518" i="1"/>
  <c r="G8518" i="1"/>
  <c r="H8518" i="1"/>
  <c r="I8518" i="1"/>
  <c r="J8518" i="1"/>
  <c r="K8518" i="1"/>
  <c r="L8518" i="1"/>
  <c r="A8519" i="1"/>
  <c r="B8519" i="1"/>
  <c r="C8519" i="1"/>
  <c r="D8519" i="1"/>
  <c r="E8519" i="1"/>
  <c r="F8519" i="1"/>
  <c r="G8519" i="1"/>
  <c r="H8519" i="1"/>
  <c r="I8519" i="1"/>
  <c r="J8519" i="1"/>
  <c r="K8519" i="1"/>
  <c r="L8519" i="1"/>
  <c r="A8520" i="1"/>
  <c r="B8520" i="1"/>
  <c r="C8520" i="1"/>
  <c r="D8520" i="1"/>
  <c r="E8520" i="1"/>
  <c r="F8520" i="1"/>
  <c r="G8520" i="1"/>
  <c r="H8520" i="1"/>
  <c r="I8520" i="1"/>
  <c r="J8520" i="1"/>
  <c r="K8520" i="1"/>
  <c r="L8520" i="1"/>
  <c r="A8521" i="1"/>
  <c r="B8521" i="1"/>
  <c r="C8521" i="1"/>
  <c r="D8521" i="1"/>
  <c r="E8521" i="1"/>
  <c r="F8521" i="1"/>
  <c r="G8521" i="1"/>
  <c r="H8521" i="1"/>
  <c r="I8521" i="1"/>
  <c r="J8521" i="1"/>
  <c r="K8521" i="1"/>
  <c r="L8521" i="1"/>
  <c r="A8522" i="1"/>
  <c r="B8522" i="1"/>
  <c r="C8522" i="1"/>
  <c r="D8522" i="1"/>
  <c r="E8522" i="1"/>
  <c r="F8522" i="1"/>
  <c r="G8522" i="1"/>
  <c r="H8522" i="1"/>
  <c r="I8522" i="1"/>
  <c r="J8522" i="1"/>
  <c r="K8522" i="1"/>
  <c r="L8522" i="1"/>
  <c r="A8523" i="1"/>
  <c r="B8523" i="1"/>
  <c r="C8523" i="1"/>
  <c r="D8523" i="1"/>
  <c r="E8523" i="1"/>
  <c r="F8523" i="1"/>
  <c r="G8523" i="1"/>
  <c r="H8523" i="1"/>
  <c r="I8523" i="1"/>
  <c r="J8523" i="1"/>
  <c r="K8523" i="1"/>
  <c r="L8523" i="1"/>
  <c r="A8524" i="1"/>
  <c r="B8524" i="1"/>
  <c r="C8524" i="1"/>
  <c r="D8524" i="1"/>
  <c r="E8524" i="1"/>
  <c r="F8524" i="1"/>
  <c r="G8524" i="1"/>
  <c r="H8524" i="1"/>
  <c r="I8524" i="1"/>
  <c r="J8524" i="1"/>
  <c r="K8524" i="1"/>
  <c r="L8524" i="1"/>
  <c r="A8525" i="1"/>
  <c r="B8525" i="1"/>
  <c r="C8525" i="1"/>
  <c r="D8525" i="1"/>
  <c r="E8525" i="1"/>
  <c r="F8525" i="1"/>
  <c r="G8525" i="1"/>
  <c r="H8525" i="1"/>
  <c r="I8525" i="1"/>
  <c r="J8525" i="1"/>
  <c r="K8525" i="1"/>
  <c r="L8525" i="1"/>
  <c r="A8526" i="1"/>
  <c r="B8526" i="1"/>
  <c r="C8526" i="1"/>
  <c r="D8526" i="1"/>
  <c r="E8526" i="1"/>
  <c r="F8526" i="1"/>
  <c r="G8526" i="1"/>
  <c r="H8526" i="1"/>
  <c r="I8526" i="1"/>
  <c r="J8526" i="1"/>
  <c r="K8526" i="1"/>
  <c r="L8526" i="1"/>
  <c r="A8527" i="1"/>
  <c r="B8527" i="1"/>
  <c r="C8527" i="1"/>
  <c r="D8527" i="1"/>
  <c r="E8527" i="1"/>
  <c r="F8527" i="1"/>
  <c r="G8527" i="1"/>
  <c r="H8527" i="1"/>
  <c r="I8527" i="1"/>
  <c r="J8527" i="1"/>
  <c r="K8527" i="1"/>
  <c r="L8527" i="1"/>
  <c r="A8528" i="1"/>
  <c r="B8528" i="1"/>
  <c r="C8528" i="1"/>
  <c r="D8528" i="1"/>
  <c r="E8528" i="1"/>
  <c r="F8528" i="1"/>
  <c r="G8528" i="1"/>
  <c r="H8528" i="1"/>
  <c r="I8528" i="1"/>
  <c r="J8528" i="1"/>
  <c r="K8528" i="1"/>
  <c r="L8528" i="1"/>
  <c r="A8529" i="1"/>
  <c r="B8529" i="1"/>
  <c r="C8529" i="1"/>
  <c r="D8529" i="1"/>
  <c r="E8529" i="1"/>
  <c r="F8529" i="1"/>
  <c r="G8529" i="1"/>
  <c r="H8529" i="1"/>
  <c r="I8529" i="1"/>
  <c r="J8529" i="1"/>
  <c r="K8529" i="1"/>
  <c r="L8529" i="1"/>
  <c r="A8530" i="1"/>
  <c r="B8530" i="1"/>
  <c r="C8530" i="1"/>
  <c r="D8530" i="1"/>
  <c r="E8530" i="1"/>
  <c r="F8530" i="1"/>
  <c r="G8530" i="1"/>
  <c r="H8530" i="1"/>
  <c r="I8530" i="1"/>
  <c r="J8530" i="1"/>
  <c r="K8530" i="1"/>
  <c r="L8530" i="1"/>
  <c r="A8531" i="1"/>
  <c r="B8531" i="1"/>
  <c r="C8531" i="1"/>
  <c r="D8531" i="1"/>
  <c r="E8531" i="1"/>
  <c r="F8531" i="1"/>
  <c r="G8531" i="1"/>
  <c r="H8531" i="1"/>
  <c r="I8531" i="1"/>
  <c r="J8531" i="1"/>
  <c r="K8531" i="1"/>
  <c r="L8531" i="1"/>
  <c r="A8532" i="1"/>
  <c r="B8532" i="1"/>
  <c r="C8532" i="1"/>
  <c r="D8532" i="1"/>
  <c r="E8532" i="1"/>
  <c r="F8532" i="1"/>
  <c r="G8532" i="1"/>
  <c r="H8532" i="1"/>
  <c r="I8532" i="1"/>
  <c r="J8532" i="1"/>
  <c r="K8532" i="1"/>
  <c r="L8532" i="1"/>
  <c r="A8533" i="1"/>
  <c r="B8533" i="1"/>
  <c r="C8533" i="1"/>
  <c r="D8533" i="1"/>
  <c r="E8533" i="1"/>
  <c r="F8533" i="1"/>
  <c r="G8533" i="1"/>
  <c r="H8533" i="1"/>
  <c r="I8533" i="1"/>
  <c r="J8533" i="1"/>
  <c r="K8533" i="1"/>
  <c r="L8533" i="1"/>
  <c r="A8534" i="1"/>
  <c r="B8534" i="1"/>
  <c r="C8534" i="1"/>
  <c r="D8534" i="1"/>
  <c r="E8534" i="1"/>
  <c r="F8534" i="1"/>
  <c r="G8534" i="1"/>
  <c r="H8534" i="1"/>
  <c r="I8534" i="1"/>
  <c r="J8534" i="1"/>
  <c r="K8534" i="1"/>
  <c r="L8534" i="1"/>
  <c r="A8535" i="1"/>
  <c r="B8535" i="1"/>
  <c r="C8535" i="1"/>
  <c r="D8535" i="1"/>
  <c r="E8535" i="1"/>
  <c r="F8535" i="1"/>
  <c r="G8535" i="1"/>
  <c r="H8535" i="1"/>
  <c r="I8535" i="1"/>
  <c r="J8535" i="1"/>
  <c r="K8535" i="1"/>
  <c r="L8535" i="1"/>
  <c r="A8536" i="1"/>
  <c r="B8536" i="1"/>
  <c r="C8536" i="1"/>
  <c r="D8536" i="1"/>
  <c r="E8536" i="1"/>
  <c r="F8536" i="1"/>
  <c r="G8536" i="1"/>
  <c r="H8536" i="1"/>
  <c r="I8536" i="1"/>
  <c r="J8536" i="1"/>
  <c r="K8536" i="1"/>
  <c r="L8536" i="1"/>
  <c r="A8537" i="1"/>
  <c r="B8537" i="1"/>
  <c r="C8537" i="1"/>
  <c r="D8537" i="1"/>
  <c r="E8537" i="1"/>
  <c r="F8537" i="1"/>
  <c r="G8537" i="1"/>
  <c r="H8537" i="1"/>
  <c r="I8537" i="1"/>
  <c r="J8537" i="1"/>
  <c r="K8537" i="1"/>
  <c r="L8537" i="1"/>
  <c r="A8538" i="1"/>
  <c r="B8538" i="1"/>
  <c r="C8538" i="1"/>
  <c r="D8538" i="1"/>
  <c r="E8538" i="1"/>
  <c r="F8538" i="1"/>
  <c r="G8538" i="1"/>
  <c r="H8538" i="1"/>
  <c r="I8538" i="1"/>
  <c r="J8538" i="1"/>
  <c r="K8538" i="1"/>
  <c r="L8538" i="1"/>
  <c r="A8539" i="1"/>
  <c r="B8539" i="1"/>
  <c r="C8539" i="1"/>
  <c r="D8539" i="1"/>
  <c r="E8539" i="1"/>
  <c r="F8539" i="1"/>
  <c r="G8539" i="1"/>
  <c r="H8539" i="1"/>
  <c r="I8539" i="1"/>
  <c r="J8539" i="1"/>
  <c r="K8539" i="1"/>
  <c r="L8539" i="1"/>
  <c r="A8540" i="1"/>
  <c r="B8540" i="1"/>
  <c r="C8540" i="1"/>
  <c r="D8540" i="1"/>
  <c r="E8540" i="1"/>
  <c r="F8540" i="1"/>
  <c r="G8540" i="1"/>
  <c r="H8540" i="1"/>
  <c r="I8540" i="1"/>
  <c r="J8540" i="1"/>
  <c r="K8540" i="1"/>
  <c r="L8540" i="1"/>
  <c r="A8541" i="1"/>
  <c r="B8541" i="1"/>
  <c r="C8541" i="1"/>
  <c r="D8541" i="1"/>
  <c r="E8541" i="1"/>
  <c r="F8541" i="1"/>
  <c r="G8541" i="1"/>
  <c r="H8541" i="1"/>
  <c r="I8541" i="1"/>
  <c r="J8541" i="1"/>
  <c r="K8541" i="1"/>
  <c r="L8541" i="1"/>
  <c r="A8542" i="1"/>
  <c r="B8542" i="1"/>
  <c r="C8542" i="1"/>
  <c r="D8542" i="1"/>
  <c r="E8542" i="1"/>
  <c r="F8542" i="1"/>
  <c r="G8542" i="1"/>
  <c r="H8542" i="1"/>
  <c r="I8542" i="1"/>
  <c r="J8542" i="1"/>
  <c r="K8542" i="1"/>
  <c r="L8542" i="1"/>
  <c r="A8543" i="1"/>
  <c r="B8543" i="1"/>
  <c r="C8543" i="1"/>
  <c r="D8543" i="1"/>
  <c r="E8543" i="1"/>
  <c r="F8543" i="1"/>
  <c r="G8543" i="1"/>
  <c r="H8543" i="1"/>
  <c r="I8543" i="1"/>
  <c r="J8543" i="1"/>
  <c r="K8543" i="1"/>
  <c r="L8543" i="1"/>
  <c r="A8544" i="1"/>
  <c r="B8544" i="1"/>
  <c r="C8544" i="1"/>
  <c r="D8544" i="1"/>
  <c r="E8544" i="1"/>
  <c r="F8544" i="1"/>
  <c r="G8544" i="1"/>
  <c r="H8544" i="1"/>
  <c r="I8544" i="1"/>
  <c r="J8544" i="1"/>
  <c r="K8544" i="1"/>
  <c r="L8544" i="1"/>
  <c r="A8545" i="1"/>
  <c r="B8545" i="1"/>
  <c r="C8545" i="1"/>
  <c r="D8545" i="1"/>
  <c r="E8545" i="1"/>
  <c r="F8545" i="1"/>
  <c r="G8545" i="1"/>
  <c r="H8545" i="1"/>
  <c r="I8545" i="1"/>
  <c r="J8545" i="1"/>
  <c r="K8545" i="1"/>
  <c r="L8545" i="1"/>
  <c r="A8546" i="1"/>
  <c r="B8546" i="1"/>
  <c r="C8546" i="1"/>
  <c r="D8546" i="1"/>
  <c r="E8546" i="1"/>
  <c r="F8546" i="1"/>
  <c r="G8546" i="1"/>
  <c r="H8546" i="1"/>
  <c r="I8546" i="1"/>
  <c r="J8546" i="1"/>
  <c r="K8546" i="1"/>
  <c r="L8546" i="1"/>
  <c r="A8547" i="1"/>
  <c r="B8547" i="1"/>
  <c r="C8547" i="1"/>
  <c r="D8547" i="1"/>
  <c r="E8547" i="1"/>
  <c r="F8547" i="1"/>
  <c r="G8547" i="1"/>
  <c r="H8547" i="1"/>
  <c r="I8547" i="1"/>
  <c r="J8547" i="1"/>
  <c r="K8547" i="1"/>
  <c r="L8547" i="1"/>
  <c r="A8548" i="1"/>
  <c r="B8548" i="1"/>
  <c r="C8548" i="1"/>
  <c r="D8548" i="1"/>
  <c r="E8548" i="1"/>
  <c r="F8548" i="1"/>
  <c r="G8548" i="1"/>
  <c r="H8548" i="1"/>
  <c r="I8548" i="1"/>
  <c r="J8548" i="1"/>
  <c r="K8548" i="1"/>
  <c r="L8548" i="1"/>
  <c r="A8549" i="1"/>
  <c r="B8549" i="1"/>
  <c r="C8549" i="1"/>
  <c r="D8549" i="1"/>
  <c r="E8549" i="1"/>
  <c r="F8549" i="1"/>
  <c r="G8549" i="1"/>
  <c r="H8549" i="1"/>
  <c r="I8549" i="1"/>
  <c r="J8549" i="1"/>
  <c r="K8549" i="1"/>
  <c r="L8549" i="1"/>
  <c r="A8550" i="1"/>
  <c r="B8550" i="1"/>
  <c r="C8550" i="1"/>
  <c r="D8550" i="1"/>
  <c r="E8550" i="1"/>
  <c r="F8550" i="1"/>
  <c r="G8550" i="1"/>
  <c r="H8550" i="1"/>
  <c r="I8550" i="1"/>
  <c r="J8550" i="1"/>
  <c r="K8550" i="1"/>
  <c r="L8550" i="1"/>
  <c r="A8551" i="1"/>
  <c r="B8551" i="1"/>
  <c r="C8551" i="1"/>
  <c r="D8551" i="1"/>
  <c r="E8551" i="1"/>
  <c r="F8551" i="1"/>
  <c r="G8551" i="1"/>
  <c r="H8551" i="1"/>
  <c r="I8551" i="1"/>
  <c r="J8551" i="1"/>
  <c r="K8551" i="1"/>
  <c r="L8551" i="1"/>
  <c r="A8552" i="1"/>
  <c r="B8552" i="1"/>
  <c r="C8552" i="1"/>
  <c r="D8552" i="1"/>
  <c r="E8552" i="1"/>
  <c r="F8552" i="1"/>
  <c r="G8552" i="1"/>
  <c r="H8552" i="1"/>
  <c r="I8552" i="1"/>
  <c r="J8552" i="1"/>
  <c r="K8552" i="1"/>
  <c r="L8552" i="1"/>
  <c r="A8553" i="1"/>
  <c r="B8553" i="1"/>
  <c r="C8553" i="1"/>
  <c r="D8553" i="1"/>
  <c r="E8553" i="1"/>
  <c r="F8553" i="1"/>
  <c r="G8553" i="1"/>
  <c r="H8553" i="1"/>
  <c r="I8553" i="1"/>
  <c r="J8553" i="1"/>
  <c r="K8553" i="1"/>
  <c r="L8553" i="1"/>
  <c r="A8554" i="1"/>
  <c r="B8554" i="1"/>
  <c r="C8554" i="1"/>
  <c r="D8554" i="1"/>
  <c r="E8554" i="1"/>
  <c r="F8554" i="1"/>
  <c r="G8554" i="1"/>
  <c r="H8554" i="1"/>
  <c r="I8554" i="1"/>
  <c r="J8554" i="1"/>
  <c r="K8554" i="1"/>
  <c r="L8554" i="1"/>
  <c r="A8555" i="1"/>
  <c r="B8555" i="1"/>
  <c r="C8555" i="1"/>
  <c r="D8555" i="1"/>
  <c r="E8555" i="1"/>
  <c r="F8555" i="1"/>
  <c r="G8555" i="1"/>
  <c r="H8555" i="1"/>
  <c r="I8555" i="1"/>
  <c r="J8555" i="1"/>
  <c r="K8555" i="1"/>
  <c r="L8555" i="1"/>
  <c r="A8556" i="1"/>
  <c r="B8556" i="1"/>
  <c r="C8556" i="1"/>
  <c r="D8556" i="1"/>
  <c r="E8556" i="1"/>
  <c r="F8556" i="1"/>
  <c r="G8556" i="1"/>
  <c r="H8556" i="1"/>
  <c r="I8556" i="1"/>
  <c r="J8556" i="1"/>
  <c r="K8556" i="1"/>
  <c r="L8556" i="1"/>
  <c r="A8557" i="1"/>
  <c r="B8557" i="1"/>
  <c r="C8557" i="1"/>
  <c r="D8557" i="1"/>
  <c r="E8557" i="1"/>
  <c r="F8557" i="1"/>
  <c r="G8557" i="1"/>
  <c r="H8557" i="1"/>
  <c r="I8557" i="1"/>
  <c r="J8557" i="1"/>
  <c r="K8557" i="1"/>
  <c r="L8557" i="1"/>
  <c r="A8558" i="1"/>
  <c r="B8558" i="1"/>
  <c r="C8558" i="1"/>
  <c r="D8558" i="1"/>
  <c r="E8558" i="1"/>
  <c r="F8558" i="1"/>
  <c r="G8558" i="1"/>
  <c r="H8558" i="1"/>
  <c r="I8558" i="1"/>
  <c r="J8558" i="1"/>
  <c r="K8558" i="1"/>
  <c r="L8558" i="1"/>
  <c r="A8559" i="1"/>
  <c r="B8559" i="1"/>
  <c r="C8559" i="1"/>
  <c r="D8559" i="1"/>
  <c r="E8559" i="1"/>
  <c r="F8559" i="1"/>
  <c r="G8559" i="1"/>
  <c r="H8559" i="1"/>
  <c r="I8559" i="1"/>
  <c r="J8559" i="1"/>
  <c r="K8559" i="1"/>
  <c r="L8559" i="1"/>
  <c r="A8560" i="1"/>
  <c r="B8560" i="1"/>
  <c r="C8560" i="1"/>
  <c r="D8560" i="1"/>
  <c r="E8560" i="1"/>
  <c r="F8560" i="1"/>
  <c r="G8560" i="1"/>
  <c r="H8560" i="1"/>
  <c r="I8560" i="1"/>
  <c r="J8560" i="1"/>
  <c r="K8560" i="1"/>
  <c r="L8560" i="1"/>
  <c r="A8561" i="1"/>
  <c r="B8561" i="1"/>
  <c r="C8561" i="1"/>
  <c r="D8561" i="1"/>
  <c r="E8561" i="1"/>
  <c r="F8561" i="1"/>
  <c r="G8561" i="1"/>
  <c r="H8561" i="1"/>
  <c r="I8561" i="1"/>
  <c r="J8561" i="1"/>
  <c r="K8561" i="1"/>
  <c r="L8561" i="1"/>
  <c r="A8562" i="1"/>
  <c r="B8562" i="1"/>
  <c r="C8562" i="1"/>
  <c r="D8562" i="1"/>
  <c r="E8562" i="1"/>
  <c r="F8562" i="1"/>
  <c r="G8562" i="1"/>
  <c r="H8562" i="1"/>
  <c r="I8562" i="1"/>
  <c r="J8562" i="1"/>
  <c r="K8562" i="1"/>
  <c r="L8562" i="1"/>
  <c r="A8563" i="1"/>
  <c r="B8563" i="1"/>
  <c r="C8563" i="1"/>
  <c r="D8563" i="1"/>
  <c r="E8563" i="1"/>
  <c r="F8563" i="1"/>
  <c r="G8563" i="1"/>
  <c r="H8563" i="1"/>
  <c r="I8563" i="1"/>
  <c r="J8563" i="1"/>
  <c r="K8563" i="1"/>
  <c r="L8563" i="1"/>
  <c r="A8564" i="1"/>
  <c r="B8564" i="1"/>
  <c r="C8564" i="1"/>
  <c r="D8564" i="1"/>
  <c r="E8564" i="1"/>
  <c r="F8564" i="1"/>
  <c r="G8564" i="1"/>
  <c r="H8564" i="1"/>
  <c r="I8564" i="1"/>
  <c r="J8564" i="1"/>
  <c r="K8564" i="1"/>
  <c r="L8564" i="1"/>
  <c r="A8565" i="1"/>
  <c r="B8565" i="1"/>
  <c r="C8565" i="1"/>
  <c r="D8565" i="1"/>
  <c r="E8565" i="1"/>
  <c r="F8565" i="1"/>
  <c r="G8565" i="1"/>
  <c r="H8565" i="1"/>
  <c r="I8565" i="1"/>
  <c r="J8565" i="1"/>
  <c r="K8565" i="1"/>
  <c r="L8565" i="1"/>
  <c r="A8566" i="1"/>
  <c r="B8566" i="1"/>
  <c r="C8566" i="1"/>
  <c r="D8566" i="1"/>
  <c r="E8566" i="1"/>
  <c r="F8566" i="1"/>
  <c r="G8566" i="1"/>
  <c r="H8566" i="1"/>
  <c r="I8566" i="1"/>
  <c r="J8566" i="1"/>
  <c r="K8566" i="1"/>
  <c r="L8566" i="1"/>
  <c r="A8567" i="1"/>
  <c r="B8567" i="1"/>
  <c r="C8567" i="1"/>
  <c r="D8567" i="1"/>
  <c r="E8567" i="1"/>
  <c r="F8567" i="1"/>
  <c r="G8567" i="1"/>
  <c r="H8567" i="1"/>
  <c r="I8567" i="1"/>
  <c r="J8567" i="1"/>
  <c r="K8567" i="1"/>
  <c r="L8567" i="1"/>
  <c r="A8568" i="1"/>
  <c r="B8568" i="1"/>
  <c r="C8568" i="1"/>
  <c r="D8568" i="1"/>
  <c r="E8568" i="1"/>
  <c r="F8568" i="1"/>
  <c r="G8568" i="1"/>
  <c r="H8568" i="1"/>
  <c r="I8568" i="1"/>
  <c r="J8568" i="1"/>
  <c r="K8568" i="1"/>
  <c r="L8568" i="1"/>
  <c r="A8569" i="1"/>
  <c r="B8569" i="1"/>
  <c r="C8569" i="1"/>
  <c r="D8569" i="1"/>
  <c r="E8569" i="1"/>
  <c r="F8569" i="1"/>
  <c r="G8569" i="1"/>
  <c r="H8569" i="1"/>
  <c r="I8569" i="1"/>
  <c r="J8569" i="1"/>
  <c r="K8569" i="1"/>
  <c r="L8569" i="1"/>
  <c r="A8570" i="1"/>
  <c r="B8570" i="1"/>
  <c r="C8570" i="1"/>
  <c r="D8570" i="1"/>
  <c r="E8570" i="1"/>
  <c r="F8570" i="1"/>
  <c r="G8570" i="1"/>
  <c r="H8570" i="1"/>
  <c r="I8570" i="1"/>
  <c r="J8570" i="1"/>
  <c r="K8570" i="1"/>
  <c r="L8570" i="1"/>
  <c r="A8571" i="1"/>
  <c r="B8571" i="1"/>
  <c r="C8571" i="1"/>
  <c r="D8571" i="1"/>
  <c r="E8571" i="1"/>
  <c r="F8571" i="1"/>
  <c r="G8571" i="1"/>
  <c r="H8571" i="1"/>
  <c r="I8571" i="1"/>
  <c r="J8571" i="1"/>
  <c r="K8571" i="1"/>
  <c r="L8571" i="1"/>
  <c r="A8572" i="1"/>
  <c r="B8572" i="1"/>
  <c r="C8572" i="1"/>
  <c r="D8572" i="1"/>
  <c r="E8572" i="1"/>
  <c r="F8572" i="1"/>
  <c r="G8572" i="1"/>
  <c r="H8572" i="1"/>
  <c r="I8572" i="1"/>
  <c r="J8572" i="1"/>
  <c r="K8572" i="1"/>
  <c r="L8572" i="1"/>
  <c r="A8573" i="1"/>
  <c r="B8573" i="1"/>
  <c r="C8573" i="1"/>
  <c r="D8573" i="1"/>
  <c r="E8573" i="1"/>
  <c r="F8573" i="1"/>
  <c r="G8573" i="1"/>
  <c r="H8573" i="1"/>
  <c r="I8573" i="1"/>
  <c r="J8573" i="1"/>
  <c r="K8573" i="1"/>
  <c r="L8573" i="1"/>
  <c r="A8574" i="1"/>
  <c r="B8574" i="1"/>
  <c r="C8574" i="1"/>
  <c r="D8574" i="1"/>
  <c r="E8574" i="1"/>
  <c r="F8574" i="1"/>
  <c r="G8574" i="1"/>
  <c r="H8574" i="1"/>
  <c r="I8574" i="1"/>
  <c r="J8574" i="1"/>
  <c r="K8574" i="1"/>
  <c r="L8574" i="1"/>
  <c r="A8575" i="1"/>
  <c r="B8575" i="1"/>
  <c r="C8575" i="1"/>
  <c r="D8575" i="1"/>
  <c r="E8575" i="1"/>
  <c r="F8575" i="1"/>
  <c r="G8575" i="1"/>
  <c r="H8575" i="1"/>
  <c r="I8575" i="1"/>
  <c r="J8575" i="1"/>
  <c r="K8575" i="1"/>
  <c r="L8575" i="1"/>
  <c r="A8576" i="1"/>
  <c r="B8576" i="1"/>
  <c r="C8576" i="1"/>
  <c r="D8576" i="1"/>
  <c r="E8576" i="1"/>
  <c r="F8576" i="1"/>
  <c r="G8576" i="1"/>
  <c r="H8576" i="1"/>
  <c r="I8576" i="1"/>
  <c r="J8576" i="1"/>
  <c r="K8576" i="1"/>
  <c r="L8576" i="1"/>
  <c r="A8577" i="1"/>
  <c r="B8577" i="1"/>
  <c r="C8577" i="1"/>
  <c r="D8577" i="1"/>
  <c r="E8577" i="1"/>
  <c r="F8577" i="1"/>
  <c r="G8577" i="1"/>
  <c r="H8577" i="1"/>
  <c r="I8577" i="1"/>
  <c r="J8577" i="1"/>
  <c r="K8577" i="1"/>
  <c r="L8577" i="1"/>
  <c r="A8578" i="1"/>
  <c r="B8578" i="1"/>
  <c r="C8578" i="1"/>
  <c r="D8578" i="1"/>
  <c r="E8578" i="1"/>
  <c r="F8578" i="1"/>
  <c r="G8578" i="1"/>
  <c r="H8578" i="1"/>
  <c r="I8578" i="1"/>
  <c r="J8578" i="1"/>
  <c r="K8578" i="1"/>
  <c r="L8578" i="1"/>
  <c r="A8579" i="1"/>
  <c r="B8579" i="1"/>
  <c r="C8579" i="1"/>
  <c r="D8579" i="1"/>
  <c r="E8579" i="1"/>
  <c r="F8579" i="1"/>
  <c r="G8579" i="1"/>
  <c r="H8579" i="1"/>
  <c r="I8579" i="1"/>
  <c r="J8579" i="1"/>
  <c r="K8579" i="1"/>
  <c r="L8579" i="1"/>
  <c r="A8580" i="1"/>
  <c r="B8580" i="1"/>
  <c r="C8580" i="1"/>
  <c r="D8580" i="1"/>
  <c r="E8580" i="1"/>
  <c r="F8580" i="1"/>
  <c r="G8580" i="1"/>
  <c r="H8580" i="1"/>
  <c r="I8580" i="1"/>
  <c r="J8580" i="1"/>
  <c r="K8580" i="1"/>
  <c r="L8580" i="1"/>
  <c r="A8581" i="1"/>
  <c r="B8581" i="1"/>
  <c r="C8581" i="1"/>
  <c r="D8581" i="1"/>
  <c r="E8581" i="1"/>
  <c r="F8581" i="1"/>
  <c r="G8581" i="1"/>
  <c r="H8581" i="1"/>
  <c r="I8581" i="1"/>
  <c r="J8581" i="1"/>
  <c r="K8581" i="1"/>
  <c r="L8581" i="1"/>
  <c r="A8582" i="1"/>
  <c r="B8582" i="1"/>
  <c r="C8582" i="1"/>
  <c r="D8582" i="1"/>
  <c r="E8582" i="1"/>
  <c r="F8582" i="1"/>
  <c r="G8582" i="1"/>
  <c r="H8582" i="1"/>
  <c r="I8582" i="1"/>
  <c r="J8582" i="1"/>
  <c r="K8582" i="1"/>
  <c r="L8582" i="1"/>
  <c r="A8583" i="1"/>
  <c r="B8583" i="1"/>
  <c r="C8583" i="1"/>
  <c r="D8583" i="1"/>
  <c r="E8583" i="1"/>
  <c r="F8583" i="1"/>
  <c r="G8583" i="1"/>
  <c r="H8583" i="1"/>
  <c r="I8583" i="1"/>
  <c r="J8583" i="1"/>
  <c r="K8583" i="1"/>
  <c r="L8583" i="1"/>
  <c r="A8584" i="1"/>
  <c r="B8584" i="1"/>
  <c r="C8584" i="1"/>
  <c r="D8584" i="1"/>
  <c r="E8584" i="1"/>
  <c r="F8584" i="1"/>
  <c r="G8584" i="1"/>
  <c r="H8584" i="1"/>
  <c r="I8584" i="1"/>
  <c r="J8584" i="1"/>
  <c r="K8584" i="1"/>
  <c r="L8584" i="1"/>
  <c r="A8585" i="1"/>
  <c r="B8585" i="1"/>
  <c r="C8585" i="1"/>
  <c r="D8585" i="1"/>
  <c r="E8585" i="1"/>
  <c r="F8585" i="1"/>
  <c r="G8585" i="1"/>
  <c r="H8585" i="1"/>
  <c r="I8585" i="1"/>
  <c r="J8585" i="1"/>
  <c r="K8585" i="1"/>
  <c r="L8585" i="1"/>
  <c r="A8586" i="1"/>
  <c r="B8586" i="1"/>
  <c r="C8586" i="1"/>
  <c r="D8586" i="1"/>
  <c r="E8586" i="1"/>
  <c r="F8586" i="1"/>
  <c r="G8586" i="1"/>
  <c r="H8586" i="1"/>
  <c r="I8586" i="1"/>
  <c r="J8586" i="1"/>
  <c r="K8586" i="1"/>
  <c r="L8586" i="1"/>
  <c r="A8587" i="1"/>
  <c r="B8587" i="1"/>
  <c r="C8587" i="1"/>
  <c r="D8587" i="1"/>
  <c r="E8587" i="1"/>
  <c r="F8587" i="1"/>
  <c r="G8587" i="1"/>
  <c r="H8587" i="1"/>
  <c r="I8587" i="1"/>
  <c r="J8587" i="1"/>
  <c r="K8587" i="1"/>
  <c r="L8587" i="1"/>
  <c r="A8588" i="1"/>
  <c r="B8588" i="1"/>
  <c r="C8588" i="1"/>
  <c r="D8588" i="1"/>
  <c r="E8588" i="1"/>
  <c r="F8588" i="1"/>
  <c r="G8588" i="1"/>
  <c r="H8588" i="1"/>
  <c r="I8588" i="1"/>
  <c r="J8588" i="1"/>
  <c r="K8588" i="1"/>
  <c r="L8588" i="1"/>
  <c r="A8589" i="1"/>
  <c r="B8589" i="1"/>
  <c r="C8589" i="1"/>
  <c r="D8589" i="1"/>
  <c r="E8589" i="1"/>
  <c r="F8589" i="1"/>
  <c r="G8589" i="1"/>
  <c r="H8589" i="1"/>
  <c r="I8589" i="1"/>
  <c r="J8589" i="1"/>
  <c r="K8589" i="1"/>
  <c r="L8589" i="1"/>
  <c r="A8590" i="1"/>
  <c r="B8590" i="1"/>
  <c r="C8590" i="1"/>
  <c r="D8590" i="1"/>
  <c r="E8590" i="1"/>
  <c r="F8590" i="1"/>
  <c r="G8590" i="1"/>
  <c r="H8590" i="1"/>
  <c r="I8590" i="1"/>
  <c r="J8590" i="1"/>
  <c r="K8590" i="1"/>
  <c r="L8590" i="1"/>
  <c r="A8591" i="1"/>
  <c r="B8591" i="1"/>
  <c r="C8591" i="1"/>
  <c r="D8591" i="1"/>
  <c r="E8591" i="1"/>
  <c r="F8591" i="1"/>
  <c r="G8591" i="1"/>
  <c r="H8591" i="1"/>
  <c r="I8591" i="1"/>
  <c r="J8591" i="1"/>
  <c r="K8591" i="1"/>
  <c r="L8591" i="1"/>
  <c r="A8592" i="1"/>
  <c r="B8592" i="1"/>
  <c r="C8592" i="1"/>
  <c r="D8592" i="1"/>
  <c r="E8592" i="1"/>
  <c r="F8592" i="1"/>
  <c r="G8592" i="1"/>
  <c r="H8592" i="1"/>
  <c r="I8592" i="1"/>
  <c r="J8592" i="1"/>
  <c r="K8592" i="1"/>
  <c r="L8592" i="1"/>
  <c r="A8593" i="1"/>
  <c r="B8593" i="1"/>
  <c r="C8593" i="1"/>
  <c r="D8593" i="1"/>
  <c r="E8593" i="1"/>
  <c r="F8593" i="1"/>
  <c r="G8593" i="1"/>
  <c r="H8593" i="1"/>
  <c r="I8593" i="1"/>
  <c r="J8593" i="1"/>
  <c r="K8593" i="1"/>
  <c r="L8593" i="1"/>
  <c r="A8594" i="1"/>
  <c r="B8594" i="1"/>
  <c r="C8594" i="1"/>
  <c r="D8594" i="1"/>
  <c r="E8594" i="1"/>
  <c r="F8594" i="1"/>
  <c r="G8594" i="1"/>
  <c r="H8594" i="1"/>
  <c r="I8594" i="1"/>
  <c r="J8594" i="1"/>
  <c r="K8594" i="1"/>
  <c r="L8594" i="1"/>
  <c r="A8595" i="1"/>
  <c r="B8595" i="1"/>
  <c r="C8595" i="1"/>
  <c r="D8595" i="1"/>
  <c r="E8595" i="1"/>
  <c r="F8595" i="1"/>
  <c r="G8595" i="1"/>
  <c r="H8595" i="1"/>
  <c r="I8595" i="1"/>
  <c r="J8595" i="1"/>
  <c r="K8595" i="1"/>
  <c r="L8595" i="1"/>
  <c r="A8596" i="1"/>
  <c r="B8596" i="1"/>
  <c r="C8596" i="1"/>
  <c r="D8596" i="1"/>
  <c r="E8596" i="1"/>
  <c r="F8596" i="1"/>
  <c r="G8596" i="1"/>
  <c r="H8596" i="1"/>
  <c r="I8596" i="1"/>
  <c r="J8596" i="1"/>
  <c r="K8596" i="1"/>
  <c r="L8596" i="1"/>
  <c r="A8597" i="1"/>
  <c r="B8597" i="1"/>
  <c r="C8597" i="1"/>
  <c r="D8597" i="1"/>
  <c r="E8597" i="1"/>
  <c r="F8597" i="1"/>
  <c r="G8597" i="1"/>
  <c r="H8597" i="1"/>
  <c r="I8597" i="1"/>
  <c r="J8597" i="1"/>
  <c r="K8597" i="1"/>
  <c r="L8597" i="1"/>
  <c r="A8598" i="1"/>
  <c r="B8598" i="1"/>
  <c r="C8598" i="1"/>
  <c r="D8598" i="1"/>
  <c r="E8598" i="1"/>
  <c r="F8598" i="1"/>
  <c r="G8598" i="1"/>
  <c r="H8598" i="1"/>
  <c r="I8598" i="1"/>
  <c r="J8598" i="1"/>
  <c r="K8598" i="1"/>
  <c r="L8598" i="1"/>
  <c r="A8599" i="1"/>
  <c r="B8599" i="1"/>
  <c r="C8599" i="1"/>
  <c r="D8599" i="1"/>
  <c r="E8599" i="1"/>
  <c r="F8599" i="1"/>
  <c r="G8599" i="1"/>
  <c r="H8599" i="1"/>
  <c r="I8599" i="1"/>
  <c r="J8599" i="1"/>
  <c r="K8599" i="1"/>
  <c r="L8599" i="1"/>
  <c r="A8600" i="1"/>
  <c r="B8600" i="1"/>
  <c r="C8600" i="1"/>
  <c r="D8600" i="1"/>
  <c r="E8600" i="1"/>
  <c r="F8600" i="1"/>
  <c r="G8600" i="1"/>
  <c r="H8600" i="1"/>
  <c r="I8600" i="1"/>
  <c r="J8600" i="1"/>
  <c r="K8600" i="1"/>
  <c r="L8600" i="1"/>
  <c r="A8601" i="1"/>
  <c r="B8601" i="1"/>
  <c r="C8601" i="1"/>
  <c r="D8601" i="1"/>
  <c r="E8601" i="1"/>
  <c r="F8601" i="1"/>
  <c r="G8601" i="1"/>
  <c r="H8601" i="1"/>
  <c r="I8601" i="1"/>
  <c r="J8601" i="1"/>
  <c r="K8601" i="1"/>
  <c r="L8601" i="1"/>
  <c r="A8602" i="1"/>
  <c r="B8602" i="1"/>
  <c r="C8602" i="1"/>
  <c r="D8602" i="1"/>
  <c r="E8602" i="1"/>
  <c r="F8602" i="1"/>
  <c r="G8602" i="1"/>
  <c r="H8602" i="1"/>
  <c r="I8602" i="1"/>
  <c r="J8602" i="1"/>
  <c r="K8602" i="1"/>
  <c r="L8602" i="1"/>
  <c r="A8603" i="1"/>
  <c r="B8603" i="1"/>
  <c r="C8603" i="1"/>
  <c r="D8603" i="1"/>
  <c r="E8603" i="1"/>
  <c r="F8603" i="1"/>
  <c r="G8603" i="1"/>
  <c r="H8603" i="1"/>
  <c r="I8603" i="1"/>
  <c r="J8603" i="1"/>
  <c r="K8603" i="1"/>
  <c r="L8603" i="1"/>
  <c r="A8604" i="1"/>
  <c r="B8604" i="1"/>
  <c r="C8604" i="1"/>
  <c r="D8604" i="1"/>
  <c r="E8604" i="1"/>
  <c r="F8604" i="1"/>
  <c r="G8604" i="1"/>
  <c r="H8604" i="1"/>
  <c r="I8604" i="1"/>
  <c r="J8604" i="1"/>
  <c r="K8604" i="1"/>
  <c r="L8604" i="1"/>
  <c r="A8605" i="1"/>
  <c r="B8605" i="1"/>
  <c r="C8605" i="1"/>
  <c r="D8605" i="1"/>
  <c r="E8605" i="1"/>
  <c r="F8605" i="1"/>
  <c r="G8605" i="1"/>
  <c r="H8605" i="1"/>
  <c r="I8605" i="1"/>
  <c r="J8605" i="1"/>
  <c r="K8605" i="1"/>
  <c r="L8605" i="1"/>
  <c r="A8606" i="1"/>
  <c r="B8606" i="1"/>
  <c r="C8606" i="1"/>
  <c r="D8606" i="1"/>
  <c r="E8606" i="1"/>
  <c r="F8606" i="1"/>
  <c r="G8606" i="1"/>
  <c r="H8606" i="1"/>
  <c r="I8606" i="1"/>
  <c r="J8606" i="1"/>
  <c r="K8606" i="1"/>
  <c r="L8606" i="1"/>
  <c r="A8607" i="1"/>
  <c r="B8607" i="1"/>
  <c r="C8607" i="1"/>
  <c r="D8607" i="1"/>
  <c r="E8607" i="1"/>
  <c r="F8607" i="1"/>
  <c r="G8607" i="1"/>
  <c r="H8607" i="1"/>
  <c r="I8607" i="1"/>
  <c r="J8607" i="1"/>
  <c r="K8607" i="1"/>
  <c r="L8607" i="1"/>
  <c r="A8608" i="1"/>
  <c r="B8608" i="1"/>
  <c r="C8608" i="1"/>
  <c r="D8608" i="1"/>
  <c r="E8608" i="1"/>
  <c r="F8608" i="1"/>
  <c r="G8608" i="1"/>
  <c r="H8608" i="1"/>
  <c r="I8608" i="1"/>
  <c r="J8608" i="1"/>
  <c r="K8608" i="1"/>
  <c r="L8608" i="1"/>
  <c r="A8609" i="1"/>
  <c r="B8609" i="1"/>
  <c r="C8609" i="1"/>
  <c r="D8609" i="1"/>
  <c r="E8609" i="1"/>
  <c r="F8609" i="1"/>
  <c r="G8609" i="1"/>
  <c r="H8609" i="1"/>
  <c r="I8609" i="1"/>
  <c r="J8609" i="1"/>
  <c r="K8609" i="1"/>
  <c r="L8609" i="1"/>
  <c r="A8610" i="1"/>
  <c r="B8610" i="1"/>
  <c r="C8610" i="1"/>
  <c r="D8610" i="1"/>
  <c r="E8610" i="1"/>
  <c r="F8610" i="1"/>
  <c r="G8610" i="1"/>
  <c r="H8610" i="1"/>
  <c r="I8610" i="1"/>
  <c r="J8610" i="1"/>
  <c r="K8610" i="1"/>
  <c r="L8610" i="1"/>
  <c r="A8611" i="1"/>
  <c r="B8611" i="1"/>
  <c r="C8611" i="1"/>
  <c r="D8611" i="1"/>
  <c r="E8611" i="1"/>
  <c r="F8611" i="1"/>
  <c r="G8611" i="1"/>
  <c r="H8611" i="1"/>
  <c r="I8611" i="1"/>
  <c r="J8611" i="1"/>
  <c r="K8611" i="1"/>
  <c r="L8611" i="1"/>
  <c r="A8612" i="1"/>
  <c r="B8612" i="1"/>
  <c r="C8612" i="1"/>
  <c r="D8612" i="1"/>
  <c r="E8612" i="1"/>
  <c r="F8612" i="1"/>
  <c r="G8612" i="1"/>
  <c r="H8612" i="1"/>
  <c r="I8612" i="1"/>
  <c r="J8612" i="1"/>
  <c r="K8612" i="1"/>
  <c r="L8612" i="1"/>
  <c r="A8613" i="1"/>
  <c r="B8613" i="1"/>
  <c r="C8613" i="1"/>
  <c r="D8613" i="1"/>
  <c r="E8613" i="1"/>
  <c r="F8613" i="1"/>
  <c r="G8613" i="1"/>
  <c r="H8613" i="1"/>
  <c r="I8613" i="1"/>
  <c r="J8613" i="1"/>
  <c r="K8613" i="1"/>
  <c r="L8613" i="1"/>
  <c r="A8614" i="1"/>
  <c r="B8614" i="1"/>
  <c r="C8614" i="1"/>
  <c r="D8614" i="1"/>
  <c r="E8614" i="1"/>
  <c r="F8614" i="1"/>
  <c r="G8614" i="1"/>
  <c r="H8614" i="1"/>
  <c r="I8614" i="1"/>
  <c r="J8614" i="1"/>
  <c r="K8614" i="1"/>
  <c r="L8614" i="1"/>
  <c r="A8615" i="1"/>
  <c r="B8615" i="1"/>
  <c r="C8615" i="1"/>
  <c r="D8615" i="1"/>
  <c r="E8615" i="1"/>
  <c r="F8615" i="1"/>
  <c r="G8615" i="1"/>
  <c r="H8615" i="1"/>
  <c r="I8615" i="1"/>
  <c r="J8615" i="1"/>
  <c r="K8615" i="1"/>
  <c r="L8615" i="1"/>
  <c r="A8616" i="1"/>
  <c r="B8616" i="1"/>
  <c r="C8616" i="1"/>
  <c r="D8616" i="1"/>
  <c r="E8616" i="1"/>
  <c r="F8616" i="1"/>
  <c r="G8616" i="1"/>
  <c r="H8616" i="1"/>
  <c r="I8616" i="1"/>
  <c r="J8616" i="1"/>
  <c r="K8616" i="1"/>
  <c r="L8616" i="1"/>
  <c r="A8617" i="1"/>
  <c r="B8617" i="1"/>
  <c r="C8617" i="1"/>
  <c r="D8617" i="1"/>
  <c r="E8617" i="1"/>
  <c r="F8617" i="1"/>
  <c r="G8617" i="1"/>
  <c r="H8617" i="1"/>
  <c r="I8617" i="1"/>
  <c r="J8617" i="1"/>
  <c r="K8617" i="1"/>
  <c r="L8617" i="1"/>
  <c r="A8618" i="1"/>
  <c r="B8618" i="1"/>
  <c r="C8618" i="1"/>
  <c r="D8618" i="1"/>
  <c r="E8618" i="1"/>
  <c r="F8618" i="1"/>
  <c r="G8618" i="1"/>
  <c r="H8618" i="1"/>
  <c r="I8618" i="1"/>
  <c r="J8618" i="1"/>
  <c r="K8618" i="1"/>
  <c r="L8618" i="1"/>
  <c r="A8619" i="1"/>
  <c r="B8619" i="1"/>
  <c r="C8619" i="1"/>
  <c r="D8619" i="1"/>
  <c r="E8619" i="1"/>
  <c r="F8619" i="1"/>
  <c r="G8619" i="1"/>
  <c r="H8619" i="1"/>
  <c r="I8619" i="1"/>
  <c r="J8619" i="1"/>
  <c r="K8619" i="1"/>
  <c r="L8619" i="1"/>
  <c r="A8620" i="1"/>
  <c r="B8620" i="1"/>
  <c r="C8620" i="1"/>
  <c r="D8620" i="1"/>
  <c r="E8620" i="1"/>
  <c r="F8620" i="1"/>
  <c r="G8620" i="1"/>
  <c r="H8620" i="1"/>
  <c r="I8620" i="1"/>
  <c r="J8620" i="1"/>
  <c r="K8620" i="1"/>
  <c r="L8620" i="1"/>
  <c r="A8621" i="1"/>
  <c r="B8621" i="1"/>
  <c r="C8621" i="1"/>
  <c r="D8621" i="1"/>
  <c r="E8621" i="1"/>
  <c r="F8621" i="1"/>
  <c r="G8621" i="1"/>
  <c r="H8621" i="1"/>
  <c r="I8621" i="1"/>
  <c r="J8621" i="1"/>
  <c r="K8621" i="1"/>
  <c r="L8621" i="1"/>
  <c r="A8622" i="1"/>
  <c r="B8622" i="1"/>
  <c r="C8622" i="1"/>
  <c r="D8622" i="1"/>
  <c r="E8622" i="1"/>
  <c r="F8622" i="1"/>
  <c r="G8622" i="1"/>
  <c r="H8622" i="1"/>
  <c r="I8622" i="1"/>
  <c r="J8622" i="1"/>
  <c r="K8622" i="1"/>
  <c r="L8622" i="1"/>
  <c r="A8623" i="1"/>
  <c r="B8623" i="1"/>
  <c r="C8623" i="1"/>
  <c r="D8623" i="1"/>
  <c r="E8623" i="1"/>
  <c r="F8623" i="1"/>
  <c r="G8623" i="1"/>
  <c r="H8623" i="1"/>
  <c r="I8623" i="1"/>
  <c r="J8623" i="1"/>
  <c r="K8623" i="1"/>
  <c r="L8623" i="1"/>
  <c r="A8624" i="1"/>
  <c r="B8624" i="1"/>
  <c r="C8624" i="1"/>
  <c r="D8624" i="1"/>
  <c r="E8624" i="1"/>
  <c r="F8624" i="1"/>
  <c r="G8624" i="1"/>
  <c r="H8624" i="1"/>
  <c r="I8624" i="1"/>
  <c r="J8624" i="1"/>
  <c r="K8624" i="1"/>
  <c r="L8624" i="1"/>
  <c r="A8625" i="1"/>
  <c r="B8625" i="1"/>
  <c r="C8625" i="1"/>
  <c r="D8625" i="1"/>
  <c r="E8625" i="1"/>
  <c r="F8625" i="1"/>
  <c r="G8625" i="1"/>
  <c r="H8625" i="1"/>
  <c r="I8625" i="1"/>
  <c r="J8625" i="1"/>
  <c r="K8625" i="1"/>
  <c r="L8625" i="1"/>
  <c r="A8626" i="1"/>
  <c r="B8626" i="1"/>
  <c r="C8626" i="1"/>
  <c r="D8626" i="1"/>
  <c r="E8626" i="1"/>
  <c r="F8626" i="1"/>
  <c r="G8626" i="1"/>
  <c r="H8626" i="1"/>
  <c r="I8626" i="1"/>
  <c r="J8626" i="1"/>
  <c r="K8626" i="1"/>
  <c r="L8626" i="1"/>
  <c r="A8627" i="1"/>
  <c r="B8627" i="1"/>
  <c r="C8627" i="1"/>
  <c r="D8627" i="1"/>
  <c r="E8627" i="1"/>
  <c r="F8627" i="1"/>
  <c r="G8627" i="1"/>
  <c r="H8627" i="1"/>
  <c r="I8627" i="1"/>
  <c r="J8627" i="1"/>
  <c r="K8627" i="1"/>
  <c r="L8627" i="1"/>
  <c r="A8628" i="1"/>
  <c r="B8628" i="1"/>
  <c r="C8628" i="1"/>
  <c r="D8628" i="1"/>
  <c r="E8628" i="1"/>
  <c r="F8628" i="1"/>
  <c r="G8628" i="1"/>
  <c r="H8628" i="1"/>
  <c r="I8628" i="1"/>
  <c r="J8628" i="1"/>
  <c r="K8628" i="1"/>
  <c r="L8628" i="1"/>
  <c r="A8629" i="1"/>
  <c r="B8629" i="1"/>
  <c r="C8629" i="1"/>
  <c r="D8629" i="1"/>
  <c r="E8629" i="1"/>
  <c r="F8629" i="1"/>
  <c r="G8629" i="1"/>
  <c r="H8629" i="1"/>
  <c r="I8629" i="1"/>
  <c r="J8629" i="1"/>
  <c r="K8629" i="1"/>
  <c r="L8629" i="1"/>
  <c r="A8630" i="1"/>
  <c r="B8630" i="1"/>
  <c r="C8630" i="1"/>
  <c r="D8630" i="1"/>
  <c r="E8630" i="1"/>
  <c r="F8630" i="1"/>
  <c r="G8630" i="1"/>
  <c r="H8630" i="1"/>
  <c r="I8630" i="1"/>
  <c r="J8630" i="1"/>
  <c r="K8630" i="1"/>
  <c r="L8630" i="1"/>
  <c r="A8631" i="1"/>
  <c r="B8631" i="1"/>
  <c r="C8631" i="1"/>
  <c r="D8631" i="1"/>
  <c r="E8631" i="1"/>
  <c r="F8631" i="1"/>
  <c r="G8631" i="1"/>
  <c r="H8631" i="1"/>
  <c r="I8631" i="1"/>
  <c r="J8631" i="1"/>
  <c r="K8631" i="1"/>
  <c r="L8631" i="1"/>
  <c r="A8632" i="1"/>
  <c r="B8632" i="1"/>
  <c r="C8632" i="1"/>
  <c r="D8632" i="1"/>
  <c r="E8632" i="1"/>
  <c r="F8632" i="1"/>
  <c r="G8632" i="1"/>
  <c r="H8632" i="1"/>
  <c r="I8632" i="1"/>
  <c r="J8632" i="1"/>
  <c r="K8632" i="1"/>
  <c r="L8632" i="1"/>
  <c r="A8633" i="1"/>
  <c r="B8633" i="1"/>
  <c r="C8633" i="1"/>
  <c r="D8633" i="1"/>
  <c r="E8633" i="1"/>
  <c r="F8633" i="1"/>
  <c r="G8633" i="1"/>
  <c r="H8633" i="1"/>
  <c r="I8633" i="1"/>
  <c r="J8633" i="1"/>
  <c r="K8633" i="1"/>
  <c r="L8633" i="1"/>
  <c r="A8634" i="1"/>
  <c r="B8634" i="1"/>
  <c r="C8634" i="1"/>
  <c r="D8634" i="1"/>
  <c r="E8634" i="1"/>
  <c r="F8634" i="1"/>
  <c r="G8634" i="1"/>
  <c r="H8634" i="1"/>
  <c r="I8634" i="1"/>
  <c r="J8634" i="1"/>
  <c r="K8634" i="1"/>
  <c r="L8634" i="1"/>
  <c r="A8635" i="1"/>
  <c r="B8635" i="1"/>
  <c r="C8635" i="1"/>
  <c r="D8635" i="1"/>
  <c r="E8635" i="1"/>
  <c r="F8635" i="1"/>
  <c r="G8635" i="1"/>
  <c r="H8635" i="1"/>
  <c r="I8635" i="1"/>
  <c r="J8635" i="1"/>
  <c r="K8635" i="1"/>
  <c r="L8635" i="1"/>
  <c r="A8636" i="1"/>
  <c r="B8636" i="1"/>
  <c r="C8636" i="1"/>
  <c r="D8636" i="1"/>
  <c r="E8636" i="1"/>
  <c r="F8636" i="1"/>
  <c r="G8636" i="1"/>
  <c r="H8636" i="1"/>
  <c r="I8636" i="1"/>
  <c r="J8636" i="1"/>
  <c r="K8636" i="1"/>
  <c r="L8636" i="1"/>
  <c r="A8637" i="1"/>
  <c r="B8637" i="1"/>
  <c r="C8637" i="1"/>
  <c r="D8637" i="1"/>
  <c r="E8637" i="1"/>
  <c r="F8637" i="1"/>
  <c r="G8637" i="1"/>
  <c r="H8637" i="1"/>
  <c r="I8637" i="1"/>
  <c r="J8637" i="1"/>
  <c r="K8637" i="1"/>
  <c r="L8637" i="1"/>
  <c r="A8638" i="1"/>
  <c r="B8638" i="1"/>
  <c r="C8638" i="1"/>
  <c r="D8638" i="1"/>
  <c r="E8638" i="1"/>
  <c r="F8638" i="1"/>
  <c r="G8638" i="1"/>
  <c r="H8638" i="1"/>
  <c r="I8638" i="1"/>
  <c r="J8638" i="1"/>
  <c r="K8638" i="1"/>
  <c r="L8638" i="1"/>
  <c r="A8639" i="1"/>
  <c r="B8639" i="1"/>
  <c r="C8639" i="1"/>
  <c r="D8639" i="1"/>
  <c r="E8639" i="1"/>
  <c r="F8639" i="1"/>
  <c r="G8639" i="1"/>
  <c r="H8639" i="1"/>
  <c r="I8639" i="1"/>
  <c r="J8639" i="1"/>
  <c r="K8639" i="1"/>
  <c r="L8639" i="1"/>
  <c r="A8640" i="1"/>
  <c r="B8640" i="1"/>
  <c r="C8640" i="1"/>
  <c r="D8640" i="1"/>
  <c r="E8640" i="1"/>
  <c r="F8640" i="1"/>
  <c r="G8640" i="1"/>
  <c r="H8640" i="1"/>
  <c r="I8640" i="1"/>
  <c r="J8640" i="1"/>
  <c r="K8640" i="1"/>
  <c r="L8640" i="1"/>
  <c r="A8641" i="1"/>
  <c r="B8641" i="1"/>
  <c r="C8641" i="1"/>
  <c r="D8641" i="1"/>
  <c r="E8641" i="1"/>
  <c r="F8641" i="1"/>
  <c r="G8641" i="1"/>
  <c r="H8641" i="1"/>
  <c r="I8641" i="1"/>
  <c r="J8641" i="1"/>
  <c r="K8641" i="1"/>
  <c r="L8641" i="1"/>
  <c r="A8642" i="1"/>
  <c r="B8642" i="1"/>
  <c r="C8642" i="1"/>
  <c r="D8642" i="1"/>
  <c r="E8642" i="1"/>
  <c r="F8642" i="1"/>
  <c r="G8642" i="1"/>
  <c r="H8642" i="1"/>
  <c r="I8642" i="1"/>
  <c r="J8642" i="1"/>
  <c r="K8642" i="1"/>
  <c r="L8642" i="1"/>
  <c r="A8643" i="1"/>
  <c r="B8643" i="1"/>
  <c r="C8643" i="1"/>
  <c r="D8643" i="1"/>
  <c r="E8643" i="1"/>
  <c r="F8643" i="1"/>
  <c r="G8643" i="1"/>
  <c r="H8643" i="1"/>
  <c r="I8643" i="1"/>
  <c r="J8643" i="1"/>
  <c r="K8643" i="1"/>
  <c r="L8643" i="1"/>
  <c r="A8644" i="1"/>
  <c r="B8644" i="1"/>
  <c r="C8644" i="1"/>
  <c r="D8644" i="1"/>
  <c r="E8644" i="1"/>
  <c r="F8644" i="1"/>
  <c r="G8644" i="1"/>
  <c r="H8644" i="1"/>
  <c r="I8644" i="1"/>
  <c r="J8644" i="1"/>
  <c r="K8644" i="1"/>
  <c r="L8644" i="1"/>
  <c r="A8645" i="1"/>
  <c r="B8645" i="1"/>
  <c r="C8645" i="1"/>
  <c r="D8645" i="1"/>
  <c r="E8645" i="1"/>
  <c r="F8645" i="1"/>
  <c r="G8645" i="1"/>
  <c r="H8645" i="1"/>
  <c r="I8645" i="1"/>
  <c r="J8645" i="1"/>
  <c r="K8645" i="1"/>
  <c r="L8645" i="1"/>
  <c r="A8646" i="1"/>
  <c r="B8646" i="1"/>
  <c r="C8646" i="1"/>
  <c r="D8646" i="1"/>
  <c r="E8646" i="1"/>
  <c r="F8646" i="1"/>
  <c r="G8646" i="1"/>
  <c r="H8646" i="1"/>
  <c r="I8646" i="1"/>
  <c r="J8646" i="1"/>
  <c r="K8646" i="1"/>
  <c r="L8646" i="1"/>
  <c r="A8647" i="1"/>
  <c r="B8647" i="1"/>
  <c r="C8647" i="1"/>
  <c r="D8647" i="1"/>
  <c r="E8647" i="1"/>
  <c r="F8647" i="1"/>
  <c r="G8647" i="1"/>
  <c r="H8647" i="1"/>
  <c r="I8647" i="1"/>
  <c r="J8647" i="1"/>
  <c r="K8647" i="1"/>
  <c r="L8647" i="1"/>
  <c r="A8648" i="1"/>
  <c r="B8648" i="1"/>
  <c r="C8648" i="1"/>
  <c r="D8648" i="1"/>
  <c r="E8648" i="1"/>
  <c r="F8648" i="1"/>
  <c r="G8648" i="1"/>
  <c r="H8648" i="1"/>
  <c r="I8648" i="1"/>
  <c r="J8648" i="1"/>
  <c r="K8648" i="1"/>
  <c r="L8648" i="1"/>
  <c r="A8649" i="1"/>
  <c r="B8649" i="1"/>
  <c r="C8649" i="1"/>
  <c r="D8649" i="1"/>
  <c r="E8649" i="1"/>
  <c r="F8649" i="1"/>
  <c r="G8649" i="1"/>
  <c r="H8649" i="1"/>
  <c r="I8649" i="1"/>
  <c r="J8649" i="1"/>
  <c r="K8649" i="1"/>
  <c r="L8649" i="1"/>
  <c r="A8650" i="1"/>
  <c r="B8650" i="1"/>
  <c r="C8650" i="1"/>
  <c r="D8650" i="1"/>
  <c r="E8650" i="1"/>
  <c r="F8650" i="1"/>
  <c r="G8650" i="1"/>
  <c r="H8650" i="1"/>
  <c r="I8650" i="1"/>
  <c r="J8650" i="1"/>
  <c r="K8650" i="1"/>
  <c r="L8650" i="1"/>
  <c r="A8651" i="1"/>
  <c r="B8651" i="1"/>
  <c r="C8651" i="1"/>
  <c r="D8651" i="1"/>
  <c r="E8651" i="1"/>
  <c r="F8651" i="1"/>
  <c r="G8651" i="1"/>
  <c r="H8651" i="1"/>
  <c r="I8651" i="1"/>
  <c r="J8651" i="1"/>
  <c r="K8651" i="1"/>
  <c r="L8651" i="1"/>
  <c r="A8652" i="1"/>
  <c r="B8652" i="1"/>
  <c r="C8652" i="1"/>
  <c r="D8652" i="1"/>
  <c r="E8652" i="1"/>
  <c r="F8652" i="1"/>
  <c r="G8652" i="1"/>
  <c r="H8652" i="1"/>
  <c r="I8652" i="1"/>
  <c r="J8652" i="1"/>
  <c r="K8652" i="1"/>
  <c r="L8652" i="1"/>
  <c r="A8653" i="1"/>
  <c r="B8653" i="1"/>
  <c r="C8653" i="1"/>
  <c r="D8653" i="1"/>
  <c r="E8653" i="1"/>
  <c r="F8653" i="1"/>
  <c r="G8653" i="1"/>
  <c r="H8653" i="1"/>
  <c r="I8653" i="1"/>
  <c r="J8653" i="1"/>
  <c r="K8653" i="1"/>
  <c r="L8653" i="1"/>
  <c r="A8654" i="1"/>
  <c r="B8654" i="1"/>
  <c r="C8654" i="1"/>
  <c r="D8654" i="1"/>
  <c r="E8654" i="1"/>
  <c r="F8654" i="1"/>
  <c r="G8654" i="1"/>
  <c r="H8654" i="1"/>
  <c r="I8654" i="1"/>
  <c r="J8654" i="1"/>
  <c r="K8654" i="1"/>
  <c r="L8654" i="1"/>
  <c r="A8655" i="1"/>
  <c r="B8655" i="1"/>
  <c r="C8655" i="1"/>
  <c r="D8655" i="1"/>
  <c r="E8655" i="1"/>
  <c r="F8655" i="1"/>
  <c r="G8655" i="1"/>
  <c r="H8655" i="1"/>
  <c r="I8655" i="1"/>
  <c r="J8655" i="1"/>
  <c r="K8655" i="1"/>
  <c r="L8655" i="1"/>
  <c r="A8656" i="1"/>
  <c r="B8656" i="1"/>
  <c r="C8656" i="1"/>
  <c r="D8656" i="1"/>
  <c r="E8656" i="1"/>
  <c r="F8656" i="1"/>
  <c r="G8656" i="1"/>
  <c r="H8656" i="1"/>
  <c r="I8656" i="1"/>
  <c r="J8656" i="1"/>
  <c r="K8656" i="1"/>
  <c r="L8656" i="1"/>
  <c r="A8657" i="1"/>
  <c r="B8657" i="1"/>
  <c r="C8657" i="1"/>
  <c r="D8657" i="1"/>
  <c r="E8657" i="1"/>
  <c r="F8657" i="1"/>
  <c r="G8657" i="1"/>
  <c r="H8657" i="1"/>
  <c r="I8657" i="1"/>
  <c r="J8657" i="1"/>
  <c r="K8657" i="1"/>
  <c r="L8657" i="1"/>
  <c r="A8658" i="1"/>
  <c r="B8658" i="1"/>
  <c r="C8658" i="1"/>
  <c r="D8658" i="1"/>
  <c r="E8658" i="1"/>
  <c r="F8658" i="1"/>
  <c r="G8658" i="1"/>
  <c r="H8658" i="1"/>
  <c r="I8658" i="1"/>
  <c r="J8658" i="1"/>
  <c r="K8658" i="1"/>
  <c r="L8658" i="1"/>
  <c r="A8659" i="1"/>
  <c r="B8659" i="1"/>
  <c r="C8659" i="1"/>
  <c r="D8659" i="1"/>
  <c r="E8659" i="1"/>
  <c r="F8659" i="1"/>
  <c r="G8659" i="1"/>
  <c r="H8659" i="1"/>
  <c r="I8659" i="1"/>
  <c r="J8659" i="1"/>
  <c r="K8659" i="1"/>
  <c r="L8659" i="1"/>
  <c r="A8660" i="1"/>
  <c r="B8660" i="1"/>
  <c r="C8660" i="1"/>
  <c r="D8660" i="1"/>
  <c r="E8660" i="1"/>
  <c r="F8660" i="1"/>
  <c r="G8660" i="1"/>
  <c r="H8660" i="1"/>
  <c r="I8660" i="1"/>
  <c r="J8660" i="1"/>
  <c r="K8660" i="1"/>
  <c r="L8660" i="1"/>
  <c r="A8661" i="1"/>
  <c r="B8661" i="1"/>
  <c r="C8661" i="1"/>
  <c r="D8661" i="1"/>
  <c r="E8661" i="1"/>
  <c r="F8661" i="1"/>
  <c r="G8661" i="1"/>
  <c r="H8661" i="1"/>
  <c r="I8661" i="1"/>
  <c r="J8661" i="1"/>
  <c r="K8661" i="1"/>
  <c r="L8661" i="1"/>
  <c r="A8662" i="1"/>
  <c r="B8662" i="1"/>
  <c r="C8662" i="1"/>
  <c r="D8662" i="1"/>
  <c r="E8662" i="1"/>
  <c r="F8662" i="1"/>
  <c r="G8662" i="1"/>
  <c r="H8662" i="1"/>
  <c r="I8662" i="1"/>
  <c r="J8662" i="1"/>
  <c r="K8662" i="1"/>
  <c r="L8662" i="1"/>
  <c r="A8663" i="1"/>
  <c r="B8663" i="1"/>
  <c r="C8663" i="1"/>
  <c r="D8663" i="1"/>
  <c r="E8663" i="1"/>
  <c r="F8663" i="1"/>
  <c r="G8663" i="1"/>
  <c r="H8663" i="1"/>
  <c r="I8663" i="1"/>
  <c r="J8663" i="1"/>
  <c r="K8663" i="1"/>
  <c r="L8663" i="1"/>
  <c r="A8664" i="1"/>
  <c r="B8664" i="1"/>
  <c r="C8664" i="1"/>
  <c r="D8664" i="1"/>
  <c r="E8664" i="1"/>
  <c r="F8664" i="1"/>
  <c r="G8664" i="1"/>
  <c r="H8664" i="1"/>
  <c r="I8664" i="1"/>
  <c r="J8664" i="1"/>
  <c r="K8664" i="1"/>
  <c r="L8664" i="1"/>
  <c r="A8665" i="1"/>
  <c r="B8665" i="1"/>
  <c r="C8665" i="1"/>
  <c r="D8665" i="1"/>
  <c r="E8665" i="1"/>
  <c r="F8665" i="1"/>
  <c r="G8665" i="1"/>
  <c r="H8665" i="1"/>
  <c r="I8665" i="1"/>
  <c r="J8665" i="1"/>
  <c r="K8665" i="1"/>
  <c r="L8665" i="1"/>
  <c r="A8666" i="1"/>
  <c r="B8666" i="1"/>
  <c r="C8666" i="1"/>
  <c r="D8666" i="1"/>
  <c r="E8666" i="1"/>
  <c r="F8666" i="1"/>
  <c r="G8666" i="1"/>
  <c r="H8666" i="1"/>
  <c r="I8666" i="1"/>
  <c r="J8666" i="1"/>
  <c r="K8666" i="1"/>
  <c r="L8666" i="1"/>
  <c r="A8667" i="1"/>
  <c r="B8667" i="1"/>
  <c r="C8667" i="1"/>
  <c r="D8667" i="1"/>
  <c r="E8667" i="1"/>
  <c r="F8667" i="1"/>
  <c r="G8667" i="1"/>
  <c r="H8667" i="1"/>
  <c r="I8667" i="1"/>
  <c r="J8667" i="1"/>
  <c r="K8667" i="1"/>
  <c r="L8667" i="1"/>
  <c r="A8668" i="1"/>
  <c r="B8668" i="1"/>
  <c r="C8668" i="1"/>
  <c r="D8668" i="1"/>
  <c r="E8668" i="1"/>
  <c r="F8668" i="1"/>
  <c r="G8668" i="1"/>
  <c r="H8668" i="1"/>
  <c r="I8668" i="1"/>
  <c r="J8668" i="1"/>
  <c r="K8668" i="1"/>
  <c r="L8668" i="1"/>
  <c r="A8669" i="1"/>
  <c r="B8669" i="1"/>
  <c r="C8669" i="1"/>
  <c r="D8669" i="1"/>
  <c r="E8669" i="1"/>
  <c r="F8669" i="1"/>
  <c r="G8669" i="1"/>
  <c r="H8669" i="1"/>
  <c r="I8669" i="1"/>
  <c r="J8669" i="1"/>
  <c r="K8669" i="1"/>
  <c r="L8669" i="1"/>
  <c r="A8670" i="1"/>
  <c r="B8670" i="1"/>
  <c r="C8670" i="1"/>
  <c r="D8670" i="1"/>
  <c r="E8670" i="1"/>
  <c r="F8670" i="1"/>
  <c r="G8670" i="1"/>
  <c r="H8670" i="1"/>
  <c r="I8670" i="1"/>
  <c r="J8670" i="1"/>
  <c r="K8670" i="1"/>
  <c r="L8670" i="1"/>
  <c r="A8671" i="1"/>
  <c r="B8671" i="1"/>
  <c r="C8671" i="1"/>
  <c r="D8671" i="1"/>
  <c r="E8671" i="1"/>
  <c r="F8671" i="1"/>
  <c r="G8671" i="1"/>
  <c r="H8671" i="1"/>
  <c r="I8671" i="1"/>
  <c r="J8671" i="1"/>
  <c r="K8671" i="1"/>
  <c r="L8671" i="1"/>
  <c r="A8672" i="1"/>
  <c r="B8672" i="1"/>
  <c r="C8672" i="1"/>
  <c r="D8672" i="1"/>
  <c r="E8672" i="1"/>
  <c r="F8672" i="1"/>
  <c r="G8672" i="1"/>
  <c r="H8672" i="1"/>
  <c r="I8672" i="1"/>
  <c r="J8672" i="1"/>
  <c r="K8672" i="1"/>
  <c r="L8672" i="1"/>
  <c r="A8673" i="1"/>
  <c r="B8673" i="1"/>
  <c r="C8673" i="1"/>
  <c r="D8673" i="1"/>
  <c r="E8673" i="1"/>
  <c r="F8673" i="1"/>
  <c r="G8673" i="1"/>
  <c r="H8673" i="1"/>
  <c r="I8673" i="1"/>
  <c r="J8673" i="1"/>
  <c r="K8673" i="1"/>
  <c r="L8673" i="1"/>
  <c r="A8674" i="1"/>
  <c r="B8674" i="1"/>
  <c r="C8674" i="1"/>
  <c r="D8674" i="1"/>
  <c r="E8674" i="1"/>
  <c r="F8674" i="1"/>
  <c r="G8674" i="1"/>
  <c r="H8674" i="1"/>
  <c r="I8674" i="1"/>
  <c r="J8674" i="1"/>
  <c r="K8674" i="1"/>
  <c r="L8674" i="1"/>
  <c r="A8675" i="1"/>
  <c r="B8675" i="1"/>
  <c r="C8675" i="1"/>
  <c r="D8675" i="1"/>
  <c r="E8675" i="1"/>
  <c r="F8675" i="1"/>
  <c r="G8675" i="1"/>
  <c r="H8675" i="1"/>
  <c r="I8675" i="1"/>
  <c r="J8675" i="1"/>
  <c r="K8675" i="1"/>
  <c r="L8675" i="1"/>
  <c r="A8676" i="1"/>
  <c r="B8676" i="1"/>
  <c r="C8676" i="1"/>
  <c r="D8676" i="1"/>
  <c r="E8676" i="1"/>
  <c r="F8676" i="1"/>
  <c r="G8676" i="1"/>
  <c r="H8676" i="1"/>
  <c r="I8676" i="1"/>
  <c r="J8676" i="1"/>
  <c r="K8676" i="1"/>
  <c r="L8676" i="1"/>
  <c r="A8677" i="1"/>
  <c r="B8677" i="1"/>
  <c r="C8677" i="1"/>
  <c r="D8677" i="1"/>
  <c r="E8677" i="1"/>
  <c r="F8677" i="1"/>
  <c r="G8677" i="1"/>
  <c r="H8677" i="1"/>
  <c r="I8677" i="1"/>
  <c r="J8677" i="1"/>
  <c r="K8677" i="1"/>
  <c r="L8677" i="1"/>
  <c r="A8678" i="1"/>
  <c r="B8678" i="1"/>
  <c r="C8678" i="1"/>
  <c r="D8678" i="1"/>
  <c r="E8678" i="1"/>
  <c r="F8678" i="1"/>
  <c r="G8678" i="1"/>
  <c r="H8678" i="1"/>
  <c r="I8678" i="1"/>
  <c r="J8678" i="1"/>
  <c r="K8678" i="1"/>
  <c r="L8678" i="1"/>
  <c r="A8679" i="1"/>
  <c r="B8679" i="1"/>
  <c r="C8679" i="1"/>
  <c r="D8679" i="1"/>
  <c r="E8679" i="1"/>
  <c r="F8679" i="1"/>
  <c r="G8679" i="1"/>
  <c r="H8679" i="1"/>
  <c r="I8679" i="1"/>
  <c r="J8679" i="1"/>
  <c r="K8679" i="1"/>
  <c r="L8679" i="1"/>
  <c r="A8680" i="1"/>
  <c r="B8680" i="1"/>
  <c r="C8680" i="1"/>
  <c r="D8680" i="1"/>
  <c r="E8680" i="1"/>
  <c r="F8680" i="1"/>
  <c r="G8680" i="1"/>
  <c r="H8680" i="1"/>
  <c r="I8680" i="1"/>
  <c r="J8680" i="1"/>
  <c r="K8680" i="1"/>
  <c r="L8680" i="1"/>
  <c r="A8681" i="1"/>
  <c r="B8681" i="1"/>
  <c r="C8681" i="1"/>
  <c r="D8681" i="1"/>
  <c r="E8681" i="1"/>
  <c r="F8681" i="1"/>
  <c r="G8681" i="1"/>
  <c r="H8681" i="1"/>
  <c r="I8681" i="1"/>
  <c r="J8681" i="1"/>
  <c r="K8681" i="1"/>
  <c r="L8681" i="1"/>
  <c r="A8682" i="1"/>
  <c r="B8682" i="1"/>
  <c r="C8682" i="1"/>
  <c r="D8682" i="1"/>
  <c r="E8682" i="1"/>
  <c r="F8682" i="1"/>
  <c r="G8682" i="1"/>
  <c r="H8682" i="1"/>
  <c r="I8682" i="1"/>
  <c r="J8682" i="1"/>
  <c r="K8682" i="1"/>
  <c r="L8682" i="1"/>
  <c r="A8683" i="1"/>
  <c r="B8683" i="1"/>
  <c r="C8683" i="1"/>
  <c r="D8683" i="1"/>
  <c r="E8683" i="1"/>
  <c r="F8683" i="1"/>
  <c r="G8683" i="1"/>
  <c r="H8683" i="1"/>
  <c r="I8683" i="1"/>
  <c r="J8683" i="1"/>
  <c r="K8683" i="1"/>
  <c r="L8683" i="1"/>
  <c r="A8684" i="1"/>
  <c r="B8684" i="1"/>
  <c r="C8684" i="1"/>
  <c r="D8684" i="1"/>
  <c r="E8684" i="1"/>
  <c r="F8684" i="1"/>
  <c r="G8684" i="1"/>
  <c r="H8684" i="1"/>
  <c r="I8684" i="1"/>
  <c r="J8684" i="1"/>
  <c r="K8684" i="1"/>
  <c r="L8684" i="1"/>
  <c r="A8685" i="1"/>
  <c r="B8685" i="1"/>
  <c r="C8685" i="1"/>
  <c r="D8685" i="1"/>
  <c r="E8685" i="1"/>
  <c r="F8685" i="1"/>
  <c r="G8685" i="1"/>
  <c r="H8685" i="1"/>
  <c r="I8685" i="1"/>
  <c r="J8685" i="1"/>
  <c r="K8685" i="1"/>
  <c r="L8685" i="1"/>
  <c r="A8686" i="1"/>
  <c r="B8686" i="1"/>
  <c r="C8686" i="1"/>
  <c r="D8686" i="1"/>
  <c r="E8686" i="1"/>
  <c r="F8686" i="1"/>
  <c r="G8686" i="1"/>
  <c r="H8686" i="1"/>
  <c r="I8686" i="1"/>
  <c r="J8686" i="1"/>
  <c r="K8686" i="1"/>
  <c r="L8686" i="1"/>
  <c r="A8687" i="1"/>
  <c r="B8687" i="1"/>
  <c r="C8687" i="1"/>
  <c r="D8687" i="1"/>
  <c r="E8687" i="1"/>
  <c r="F8687" i="1"/>
  <c r="G8687" i="1"/>
  <c r="H8687" i="1"/>
  <c r="I8687" i="1"/>
  <c r="J8687" i="1"/>
  <c r="K8687" i="1"/>
  <c r="L8687" i="1"/>
  <c r="A8688" i="1"/>
  <c r="B8688" i="1"/>
  <c r="C8688" i="1"/>
  <c r="D8688" i="1"/>
  <c r="E8688" i="1"/>
  <c r="F8688" i="1"/>
  <c r="G8688" i="1"/>
  <c r="H8688" i="1"/>
  <c r="I8688" i="1"/>
  <c r="J8688" i="1"/>
  <c r="K8688" i="1"/>
  <c r="L8688" i="1"/>
  <c r="A8689" i="1"/>
  <c r="B8689" i="1"/>
  <c r="C8689" i="1"/>
  <c r="D8689" i="1"/>
  <c r="E8689" i="1"/>
  <c r="F8689" i="1"/>
  <c r="G8689" i="1"/>
  <c r="H8689" i="1"/>
  <c r="I8689" i="1"/>
  <c r="J8689" i="1"/>
  <c r="K8689" i="1"/>
  <c r="L8689" i="1"/>
  <c r="A8690" i="1"/>
  <c r="B8690" i="1"/>
  <c r="C8690" i="1"/>
  <c r="D8690" i="1"/>
  <c r="E8690" i="1"/>
  <c r="F8690" i="1"/>
  <c r="G8690" i="1"/>
  <c r="H8690" i="1"/>
  <c r="I8690" i="1"/>
  <c r="J8690" i="1"/>
  <c r="K8690" i="1"/>
  <c r="L8690" i="1"/>
  <c r="A8691" i="1"/>
  <c r="B8691" i="1"/>
  <c r="C8691" i="1"/>
  <c r="D8691" i="1"/>
  <c r="E8691" i="1"/>
  <c r="F8691" i="1"/>
  <c r="G8691" i="1"/>
  <c r="H8691" i="1"/>
  <c r="I8691" i="1"/>
  <c r="J8691" i="1"/>
  <c r="K8691" i="1"/>
  <c r="L8691" i="1"/>
  <c r="A8692" i="1"/>
  <c r="B8692" i="1"/>
  <c r="C8692" i="1"/>
  <c r="D8692" i="1"/>
  <c r="E8692" i="1"/>
  <c r="F8692" i="1"/>
  <c r="G8692" i="1"/>
  <c r="H8692" i="1"/>
  <c r="I8692" i="1"/>
  <c r="J8692" i="1"/>
  <c r="K8692" i="1"/>
  <c r="L8692" i="1"/>
  <c r="A8693" i="1"/>
  <c r="B8693" i="1"/>
  <c r="C8693" i="1"/>
  <c r="D8693" i="1"/>
  <c r="E8693" i="1"/>
  <c r="F8693" i="1"/>
  <c r="G8693" i="1"/>
  <c r="H8693" i="1"/>
  <c r="I8693" i="1"/>
  <c r="J8693" i="1"/>
  <c r="K8693" i="1"/>
  <c r="L8693" i="1"/>
  <c r="A8694" i="1"/>
  <c r="B8694" i="1"/>
  <c r="C8694" i="1"/>
  <c r="D8694" i="1"/>
  <c r="E8694" i="1"/>
  <c r="F8694" i="1"/>
  <c r="G8694" i="1"/>
  <c r="H8694" i="1"/>
  <c r="I8694" i="1"/>
  <c r="J8694" i="1"/>
  <c r="K8694" i="1"/>
  <c r="L8694" i="1"/>
  <c r="A8695" i="1"/>
  <c r="B8695" i="1"/>
  <c r="C8695" i="1"/>
  <c r="D8695" i="1"/>
  <c r="E8695" i="1"/>
  <c r="F8695" i="1"/>
  <c r="G8695" i="1"/>
  <c r="H8695" i="1"/>
  <c r="I8695" i="1"/>
  <c r="J8695" i="1"/>
  <c r="K8695" i="1"/>
  <c r="L8695" i="1"/>
  <c r="A8696" i="1"/>
  <c r="B8696" i="1"/>
  <c r="C8696" i="1"/>
  <c r="D8696" i="1"/>
  <c r="E8696" i="1"/>
  <c r="F8696" i="1"/>
  <c r="G8696" i="1"/>
  <c r="H8696" i="1"/>
  <c r="I8696" i="1"/>
  <c r="J8696" i="1"/>
  <c r="K8696" i="1"/>
  <c r="L8696" i="1"/>
  <c r="A8697" i="1"/>
  <c r="B8697" i="1"/>
  <c r="C8697" i="1"/>
  <c r="D8697" i="1"/>
  <c r="E8697" i="1"/>
  <c r="F8697" i="1"/>
  <c r="G8697" i="1"/>
  <c r="H8697" i="1"/>
  <c r="I8697" i="1"/>
  <c r="J8697" i="1"/>
  <c r="K8697" i="1"/>
  <c r="L8697" i="1"/>
  <c r="A8698" i="1"/>
  <c r="B8698" i="1"/>
  <c r="C8698" i="1"/>
  <c r="D8698" i="1"/>
  <c r="E8698" i="1"/>
  <c r="F8698" i="1"/>
  <c r="G8698" i="1"/>
  <c r="H8698" i="1"/>
  <c r="I8698" i="1"/>
  <c r="J8698" i="1"/>
  <c r="K8698" i="1"/>
  <c r="L8698" i="1"/>
  <c r="A8699" i="1"/>
  <c r="B8699" i="1"/>
  <c r="C8699" i="1"/>
  <c r="D8699" i="1"/>
  <c r="E8699" i="1"/>
  <c r="F8699" i="1"/>
  <c r="G8699" i="1"/>
  <c r="H8699" i="1"/>
  <c r="I8699" i="1"/>
  <c r="J8699" i="1"/>
  <c r="K8699" i="1"/>
  <c r="L8699" i="1"/>
  <c r="A8700" i="1"/>
  <c r="B8700" i="1"/>
  <c r="C8700" i="1"/>
  <c r="D8700" i="1"/>
  <c r="E8700" i="1"/>
  <c r="F8700" i="1"/>
  <c r="G8700" i="1"/>
  <c r="H8700" i="1"/>
  <c r="I8700" i="1"/>
  <c r="J8700" i="1"/>
  <c r="K8700" i="1"/>
  <c r="L8700" i="1"/>
  <c r="A8701" i="1"/>
  <c r="B8701" i="1"/>
  <c r="C8701" i="1"/>
  <c r="D8701" i="1"/>
  <c r="E8701" i="1"/>
  <c r="F8701" i="1"/>
  <c r="G8701" i="1"/>
  <c r="H8701" i="1"/>
  <c r="I8701" i="1"/>
  <c r="J8701" i="1"/>
  <c r="K8701" i="1"/>
  <c r="L8701" i="1"/>
  <c r="A8702" i="1"/>
  <c r="B8702" i="1"/>
  <c r="C8702" i="1"/>
  <c r="D8702" i="1"/>
  <c r="E8702" i="1"/>
  <c r="F8702" i="1"/>
  <c r="G8702" i="1"/>
  <c r="H8702" i="1"/>
  <c r="I8702" i="1"/>
  <c r="J8702" i="1"/>
  <c r="K8702" i="1"/>
  <c r="L8702" i="1"/>
  <c r="A8703" i="1"/>
  <c r="B8703" i="1"/>
  <c r="C8703" i="1"/>
  <c r="D8703" i="1"/>
  <c r="E8703" i="1"/>
  <c r="F8703" i="1"/>
  <c r="G8703" i="1"/>
  <c r="H8703" i="1"/>
  <c r="I8703" i="1"/>
  <c r="J8703" i="1"/>
  <c r="K8703" i="1"/>
  <c r="L8703" i="1"/>
  <c r="A8704" i="1"/>
  <c r="B8704" i="1"/>
  <c r="C8704" i="1"/>
  <c r="D8704" i="1"/>
  <c r="E8704" i="1"/>
  <c r="F8704" i="1"/>
  <c r="G8704" i="1"/>
  <c r="H8704" i="1"/>
  <c r="I8704" i="1"/>
  <c r="J8704" i="1"/>
  <c r="K8704" i="1"/>
  <c r="L8704" i="1"/>
  <c r="A8705" i="1"/>
  <c r="B8705" i="1"/>
  <c r="C8705" i="1"/>
  <c r="D8705" i="1"/>
  <c r="E8705" i="1"/>
  <c r="F8705" i="1"/>
  <c r="G8705" i="1"/>
  <c r="H8705" i="1"/>
  <c r="I8705" i="1"/>
  <c r="J8705" i="1"/>
  <c r="K8705" i="1"/>
  <c r="L8705" i="1"/>
  <c r="A8706" i="1"/>
  <c r="B8706" i="1"/>
  <c r="C8706" i="1"/>
  <c r="D8706" i="1"/>
  <c r="E8706" i="1"/>
  <c r="F8706" i="1"/>
  <c r="G8706" i="1"/>
  <c r="H8706" i="1"/>
  <c r="I8706" i="1"/>
  <c r="J8706" i="1"/>
  <c r="K8706" i="1"/>
  <c r="L8706" i="1"/>
  <c r="A8707" i="1"/>
  <c r="B8707" i="1"/>
  <c r="C8707" i="1"/>
  <c r="D8707" i="1"/>
  <c r="E8707" i="1"/>
  <c r="F8707" i="1"/>
  <c r="G8707" i="1"/>
  <c r="H8707" i="1"/>
  <c r="I8707" i="1"/>
  <c r="J8707" i="1"/>
  <c r="K8707" i="1"/>
  <c r="L8707" i="1"/>
  <c r="A8708" i="1"/>
  <c r="B8708" i="1"/>
  <c r="C8708" i="1"/>
  <c r="D8708" i="1"/>
  <c r="E8708" i="1"/>
  <c r="F8708" i="1"/>
  <c r="G8708" i="1"/>
  <c r="H8708" i="1"/>
  <c r="I8708" i="1"/>
  <c r="J8708" i="1"/>
  <c r="K8708" i="1"/>
  <c r="L8708" i="1"/>
  <c r="A8709" i="1"/>
  <c r="B8709" i="1"/>
  <c r="C8709" i="1"/>
  <c r="D8709" i="1"/>
  <c r="E8709" i="1"/>
  <c r="F8709" i="1"/>
  <c r="G8709" i="1"/>
  <c r="H8709" i="1"/>
  <c r="I8709" i="1"/>
  <c r="J8709" i="1"/>
  <c r="K8709" i="1"/>
  <c r="L8709" i="1"/>
  <c r="A8710" i="1"/>
  <c r="B8710" i="1"/>
  <c r="C8710" i="1"/>
  <c r="D8710" i="1"/>
  <c r="E8710" i="1"/>
  <c r="F8710" i="1"/>
  <c r="G8710" i="1"/>
  <c r="H8710" i="1"/>
  <c r="I8710" i="1"/>
  <c r="J8710" i="1"/>
  <c r="K8710" i="1"/>
  <c r="L8710" i="1"/>
  <c r="A8711" i="1"/>
  <c r="B8711" i="1"/>
  <c r="C8711" i="1"/>
  <c r="D8711" i="1"/>
  <c r="E8711" i="1"/>
  <c r="F8711" i="1"/>
  <c r="G8711" i="1"/>
  <c r="H8711" i="1"/>
  <c r="I8711" i="1"/>
  <c r="J8711" i="1"/>
  <c r="K8711" i="1"/>
  <c r="L8711" i="1"/>
  <c r="A8712" i="1"/>
  <c r="B8712" i="1"/>
  <c r="C8712" i="1"/>
  <c r="D8712" i="1"/>
  <c r="E8712" i="1"/>
  <c r="F8712" i="1"/>
  <c r="G8712" i="1"/>
  <c r="H8712" i="1"/>
  <c r="I8712" i="1"/>
  <c r="J8712" i="1"/>
  <c r="K8712" i="1"/>
  <c r="L8712" i="1"/>
  <c r="A8713" i="1"/>
  <c r="B8713" i="1"/>
  <c r="C8713" i="1"/>
  <c r="D8713" i="1"/>
  <c r="E8713" i="1"/>
  <c r="F8713" i="1"/>
  <c r="G8713" i="1"/>
  <c r="H8713" i="1"/>
  <c r="I8713" i="1"/>
  <c r="J8713" i="1"/>
  <c r="K8713" i="1"/>
  <c r="L8713" i="1"/>
  <c r="A8714" i="1"/>
  <c r="B8714" i="1"/>
  <c r="C8714" i="1"/>
  <c r="D8714" i="1"/>
  <c r="E8714" i="1"/>
  <c r="F8714" i="1"/>
  <c r="G8714" i="1"/>
  <c r="H8714" i="1"/>
  <c r="I8714" i="1"/>
  <c r="J8714" i="1"/>
  <c r="K8714" i="1"/>
  <c r="L8714" i="1"/>
  <c r="A8715" i="1"/>
  <c r="B8715" i="1"/>
  <c r="C8715" i="1"/>
  <c r="D8715" i="1"/>
  <c r="E8715" i="1"/>
  <c r="F8715" i="1"/>
  <c r="G8715" i="1"/>
  <c r="H8715" i="1"/>
  <c r="I8715" i="1"/>
  <c r="J8715" i="1"/>
  <c r="K8715" i="1"/>
  <c r="L8715" i="1"/>
  <c r="A8716" i="1"/>
  <c r="B8716" i="1"/>
  <c r="C8716" i="1"/>
  <c r="D8716" i="1"/>
  <c r="E8716" i="1"/>
  <c r="F8716" i="1"/>
  <c r="G8716" i="1"/>
  <c r="H8716" i="1"/>
  <c r="I8716" i="1"/>
  <c r="J8716" i="1"/>
  <c r="K8716" i="1"/>
  <c r="L8716" i="1"/>
  <c r="A8717" i="1"/>
  <c r="B8717" i="1"/>
  <c r="C8717" i="1"/>
  <c r="D8717" i="1"/>
  <c r="E8717" i="1"/>
  <c r="F8717" i="1"/>
  <c r="G8717" i="1"/>
  <c r="H8717" i="1"/>
  <c r="I8717" i="1"/>
  <c r="J8717" i="1"/>
  <c r="K8717" i="1"/>
  <c r="L8717" i="1"/>
  <c r="A8718" i="1"/>
  <c r="B8718" i="1"/>
  <c r="C8718" i="1"/>
  <c r="D8718" i="1"/>
  <c r="E8718" i="1"/>
  <c r="F8718" i="1"/>
  <c r="G8718" i="1"/>
  <c r="H8718" i="1"/>
  <c r="I8718" i="1"/>
  <c r="J8718" i="1"/>
  <c r="K8718" i="1"/>
  <c r="L8718" i="1"/>
  <c r="A8719" i="1"/>
  <c r="B8719" i="1"/>
  <c r="C8719" i="1"/>
  <c r="D8719" i="1"/>
  <c r="E8719" i="1"/>
  <c r="F8719" i="1"/>
  <c r="G8719" i="1"/>
  <c r="H8719" i="1"/>
  <c r="I8719" i="1"/>
  <c r="J8719" i="1"/>
  <c r="K8719" i="1"/>
  <c r="L8719" i="1"/>
  <c r="A8720" i="1"/>
  <c r="B8720" i="1"/>
  <c r="C8720" i="1"/>
  <c r="D8720" i="1"/>
  <c r="E8720" i="1"/>
  <c r="F8720" i="1"/>
  <c r="G8720" i="1"/>
  <c r="H8720" i="1"/>
  <c r="I8720" i="1"/>
  <c r="J8720" i="1"/>
  <c r="K8720" i="1"/>
  <c r="L8720" i="1"/>
  <c r="A8721" i="1"/>
  <c r="B8721" i="1"/>
  <c r="C8721" i="1"/>
  <c r="D8721" i="1"/>
  <c r="E8721" i="1"/>
  <c r="F8721" i="1"/>
  <c r="G8721" i="1"/>
  <c r="H8721" i="1"/>
  <c r="I8721" i="1"/>
  <c r="J8721" i="1"/>
  <c r="K8721" i="1"/>
  <c r="L8721" i="1"/>
  <c r="A8722" i="1"/>
  <c r="B8722" i="1"/>
  <c r="C8722" i="1"/>
  <c r="D8722" i="1"/>
  <c r="E8722" i="1"/>
  <c r="F8722" i="1"/>
  <c r="G8722" i="1"/>
  <c r="H8722" i="1"/>
  <c r="I8722" i="1"/>
  <c r="J8722" i="1"/>
  <c r="K8722" i="1"/>
  <c r="L8722" i="1"/>
  <c r="A8723" i="1"/>
  <c r="B8723" i="1"/>
  <c r="C8723" i="1"/>
  <c r="D8723" i="1"/>
  <c r="E8723" i="1"/>
  <c r="F8723" i="1"/>
  <c r="G8723" i="1"/>
  <c r="H8723" i="1"/>
  <c r="I8723" i="1"/>
  <c r="J8723" i="1"/>
  <c r="K8723" i="1"/>
  <c r="L8723" i="1"/>
  <c r="A8724" i="1"/>
  <c r="B8724" i="1"/>
  <c r="C8724" i="1"/>
  <c r="D8724" i="1"/>
  <c r="E8724" i="1"/>
  <c r="F8724" i="1"/>
  <c r="G8724" i="1"/>
  <c r="H8724" i="1"/>
  <c r="I8724" i="1"/>
  <c r="J8724" i="1"/>
  <c r="K8724" i="1"/>
  <c r="L8724" i="1"/>
  <c r="A8725" i="1"/>
  <c r="B8725" i="1"/>
  <c r="C8725" i="1"/>
  <c r="D8725" i="1"/>
  <c r="E8725" i="1"/>
  <c r="F8725" i="1"/>
  <c r="G8725" i="1"/>
  <c r="H8725" i="1"/>
  <c r="I8725" i="1"/>
  <c r="J8725" i="1"/>
  <c r="K8725" i="1"/>
  <c r="L8725" i="1"/>
  <c r="A8726" i="1"/>
  <c r="B8726" i="1"/>
  <c r="C8726" i="1"/>
  <c r="D8726" i="1"/>
  <c r="E8726" i="1"/>
  <c r="F8726" i="1"/>
  <c r="G8726" i="1"/>
  <c r="H8726" i="1"/>
  <c r="I8726" i="1"/>
  <c r="J8726" i="1"/>
  <c r="K8726" i="1"/>
  <c r="L8726" i="1"/>
  <c r="A8727" i="1"/>
  <c r="B8727" i="1"/>
  <c r="C8727" i="1"/>
  <c r="D8727" i="1"/>
  <c r="E8727" i="1"/>
  <c r="F8727" i="1"/>
  <c r="G8727" i="1"/>
  <c r="H8727" i="1"/>
  <c r="I8727" i="1"/>
  <c r="J8727" i="1"/>
  <c r="K8727" i="1"/>
  <c r="L8727" i="1"/>
  <c r="A8728" i="1"/>
  <c r="B8728" i="1"/>
  <c r="C8728" i="1"/>
  <c r="D8728" i="1"/>
  <c r="E8728" i="1"/>
  <c r="F8728" i="1"/>
  <c r="G8728" i="1"/>
  <c r="H8728" i="1"/>
  <c r="I8728" i="1"/>
  <c r="J8728" i="1"/>
  <c r="K8728" i="1"/>
  <c r="L8728" i="1"/>
  <c r="A8729" i="1"/>
  <c r="B8729" i="1"/>
  <c r="C8729" i="1"/>
  <c r="D8729" i="1"/>
  <c r="E8729" i="1"/>
  <c r="F8729" i="1"/>
  <c r="G8729" i="1"/>
  <c r="H8729" i="1"/>
  <c r="I8729" i="1"/>
  <c r="J8729" i="1"/>
  <c r="K8729" i="1"/>
  <c r="L8729" i="1"/>
  <c r="A8730" i="1"/>
  <c r="B8730" i="1"/>
  <c r="C8730" i="1"/>
  <c r="D8730" i="1"/>
  <c r="E8730" i="1"/>
  <c r="F8730" i="1"/>
  <c r="G8730" i="1"/>
  <c r="H8730" i="1"/>
  <c r="I8730" i="1"/>
  <c r="J8730" i="1"/>
  <c r="K8730" i="1"/>
  <c r="L8730" i="1"/>
  <c r="A8731" i="1"/>
  <c r="B8731" i="1"/>
  <c r="C8731" i="1"/>
  <c r="D8731" i="1"/>
  <c r="E8731" i="1"/>
  <c r="F8731" i="1"/>
  <c r="G8731" i="1"/>
  <c r="H8731" i="1"/>
  <c r="I8731" i="1"/>
  <c r="J8731" i="1"/>
  <c r="K8731" i="1"/>
  <c r="L8731" i="1"/>
  <c r="A8732" i="1"/>
  <c r="B8732" i="1"/>
  <c r="C8732" i="1"/>
  <c r="D8732" i="1"/>
  <c r="E8732" i="1"/>
  <c r="F8732" i="1"/>
  <c r="G8732" i="1"/>
  <c r="H8732" i="1"/>
  <c r="I8732" i="1"/>
  <c r="J8732" i="1"/>
  <c r="K8732" i="1"/>
  <c r="L8732" i="1"/>
  <c r="A8733" i="1"/>
  <c r="B8733" i="1"/>
  <c r="C8733" i="1"/>
  <c r="D8733" i="1"/>
  <c r="E8733" i="1"/>
  <c r="F8733" i="1"/>
  <c r="G8733" i="1"/>
  <c r="H8733" i="1"/>
  <c r="I8733" i="1"/>
  <c r="J8733" i="1"/>
  <c r="K8733" i="1"/>
  <c r="L8733" i="1"/>
  <c r="A8734" i="1"/>
  <c r="B8734" i="1"/>
  <c r="C8734" i="1"/>
  <c r="D8734" i="1"/>
  <c r="E8734" i="1"/>
  <c r="F8734" i="1"/>
  <c r="G8734" i="1"/>
  <c r="H8734" i="1"/>
  <c r="I8734" i="1"/>
  <c r="J8734" i="1"/>
  <c r="K8734" i="1"/>
  <c r="L8734" i="1"/>
  <c r="A8735" i="1"/>
  <c r="B8735" i="1"/>
  <c r="C8735" i="1"/>
  <c r="D8735" i="1"/>
  <c r="E8735" i="1"/>
  <c r="F8735" i="1"/>
  <c r="G8735" i="1"/>
  <c r="H8735" i="1"/>
  <c r="I8735" i="1"/>
  <c r="J8735" i="1"/>
  <c r="K8735" i="1"/>
  <c r="L8735" i="1"/>
  <c r="A8736" i="1"/>
  <c r="B8736" i="1"/>
  <c r="C8736" i="1"/>
  <c r="D8736" i="1"/>
  <c r="E8736" i="1"/>
  <c r="F8736" i="1"/>
  <c r="G8736" i="1"/>
  <c r="H8736" i="1"/>
  <c r="I8736" i="1"/>
  <c r="J8736" i="1"/>
  <c r="K8736" i="1"/>
  <c r="L8736" i="1"/>
  <c r="A8737" i="1"/>
  <c r="B8737" i="1"/>
  <c r="C8737" i="1"/>
  <c r="D8737" i="1"/>
  <c r="E8737" i="1"/>
  <c r="F8737" i="1"/>
  <c r="G8737" i="1"/>
  <c r="H8737" i="1"/>
  <c r="I8737" i="1"/>
  <c r="J8737" i="1"/>
  <c r="K8737" i="1"/>
  <c r="L8737" i="1"/>
  <c r="A8738" i="1"/>
  <c r="B8738" i="1"/>
  <c r="C8738" i="1"/>
  <c r="D8738" i="1"/>
  <c r="E8738" i="1"/>
  <c r="F8738" i="1"/>
  <c r="G8738" i="1"/>
  <c r="H8738" i="1"/>
  <c r="I8738" i="1"/>
  <c r="J8738" i="1"/>
  <c r="K8738" i="1"/>
  <c r="L8738" i="1"/>
  <c r="A8739" i="1"/>
  <c r="B8739" i="1"/>
  <c r="C8739" i="1"/>
  <c r="D8739" i="1"/>
  <c r="E8739" i="1"/>
  <c r="F8739" i="1"/>
  <c r="G8739" i="1"/>
  <c r="H8739" i="1"/>
  <c r="I8739" i="1"/>
  <c r="J8739" i="1"/>
  <c r="K8739" i="1"/>
  <c r="L8739" i="1"/>
  <c r="A8740" i="1"/>
  <c r="B8740" i="1"/>
  <c r="C8740" i="1"/>
  <c r="D8740" i="1"/>
  <c r="E8740" i="1"/>
  <c r="F8740" i="1"/>
  <c r="G8740" i="1"/>
  <c r="H8740" i="1"/>
  <c r="I8740" i="1"/>
  <c r="J8740" i="1"/>
  <c r="K8740" i="1"/>
  <c r="L8740" i="1"/>
  <c r="A8741" i="1"/>
  <c r="B8741" i="1"/>
  <c r="C8741" i="1"/>
  <c r="D8741" i="1"/>
  <c r="E8741" i="1"/>
  <c r="F8741" i="1"/>
  <c r="G8741" i="1"/>
  <c r="H8741" i="1"/>
  <c r="I8741" i="1"/>
  <c r="J8741" i="1"/>
  <c r="K8741" i="1"/>
  <c r="L8741" i="1"/>
  <c r="A8742" i="1"/>
  <c r="B8742" i="1"/>
  <c r="C8742" i="1"/>
  <c r="D8742" i="1"/>
  <c r="E8742" i="1"/>
  <c r="F8742" i="1"/>
  <c r="G8742" i="1"/>
  <c r="H8742" i="1"/>
  <c r="I8742" i="1"/>
  <c r="J8742" i="1"/>
  <c r="K8742" i="1"/>
  <c r="L8742" i="1"/>
  <c r="A8743" i="1"/>
  <c r="B8743" i="1"/>
  <c r="C8743" i="1"/>
  <c r="D8743" i="1"/>
  <c r="E8743" i="1"/>
  <c r="F8743" i="1"/>
  <c r="G8743" i="1"/>
  <c r="H8743" i="1"/>
  <c r="I8743" i="1"/>
  <c r="J8743" i="1"/>
  <c r="K8743" i="1"/>
  <c r="L8743" i="1"/>
  <c r="A8744" i="1"/>
  <c r="B8744" i="1"/>
  <c r="C8744" i="1"/>
  <c r="D8744" i="1"/>
  <c r="E8744" i="1"/>
  <c r="F8744" i="1"/>
  <c r="G8744" i="1"/>
  <c r="H8744" i="1"/>
  <c r="I8744" i="1"/>
  <c r="J8744" i="1"/>
  <c r="K8744" i="1"/>
  <c r="L8744" i="1"/>
  <c r="A8745" i="1"/>
  <c r="B8745" i="1"/>
  <c r="C8745" i="1"/>
  <c r="D8745" i="1"/>
  <c r="E8745" i="1"/>
  <c r="F8745" i="1"/>
  <c r="G8745" i="1"/>
  <c r="H8745" i="1"/>
  <c r="I8745" i="1"/>
  <c r="J8745" i="1"/>
  <c r="K8745" i="1"/>
  <c r="L8745" i="1"/>
  <c r="A8746" i="1"/>
  <c r="B8746" i="1"/>
  <c r="C8746" i="1"/>
  <c r="D8746" i="1"/>
  <c r="E8746" i="1"/>
  <c r="F8746" i="1"/>
  <c r="G8746" i="1"/>
  <c r="H8746" i="1"/>
  <c r="I8746" i="1"/>
  <c r="J8746" i="1"/>
  <c r="K8746" i="1"/>
  <c r="L8746" i="1"/>
  <c r="A8747" i="1"/>
  <c r="B8747" i="1"/>
  <c r="C8747" i="1"/>
  <c r="D8747" i="1"/>
  <c r="E8747" i="1"/>
  <c r="F8747" i="1"/>
  <c r="G8747" i="1"/>
  <c r="H8747" i="1"/>
  <c r="I8747" i="1"/>
  <c r="J8747" i="1"/>
  <c r="K8747" i="1"/>
  <c r="L8747" i="1"/>
  <c r="A8748" i="1"/>
  <c r="B8748" i="1"/>
  <c r="C8748" i="1"/>
  <c r="D8748" i="1"/>
  <c r="E8748" i="1"/>
  <c r="F8748" i="1"/>
  <c r="G8748" i="1"/>
  <c r="H8748" i="1"/>
  <c r="I8748" i="1"/>
  <c r="J8748" i="1"/>
  <c r="K8748" i="1"/>
  <c r="L8748" i="1"/>
  <c r="A8749" i="1"/>
  <c r="B8749" i="1"/>
  <c r="C8749" i="1"/>
  <c r="D8749" i="1"/>
  <c r="E8749" i="1"/>
  <c r="F8749" i="1"/>
  <c r="G8749" i="1"/>
  <c r="H8749" i="1"/>
  <c r="I8749" i="1"/>
  <c r="J8749" i="1"/>
  <c r="K8749" i="1"/>
  <c r="L8749" i="1"/>
  <c r="A8750" i="1"/>
  <c r="B8750" i="1"/>
  <c r="C8750" i="1"/>
  <c r="D8750" i="1"/>
  <c r="E8750" i="1"/>
  <c r="F8750" i="1"/>
  <c r="G8750" i="1"/>
  <c r="H8750" i="1"/>
  <c r="I8750" i="1"/>
  <c r="J8750" i="1"/>
  <c r="K8750" i="1"/>
  <c r="L8750" i="1"/>
  <c r="A8751" i="1"/>
  <c r="B8751" i="1"/>
  <c r="C8751" i="1"/>
  <c r="D8751" i="1"/>
  <c r="E8751" i="1"/>
  <c r="F8751" i="1"/>
  <c r="G8751" i="1"/>
  <c r="H8751" i="1"/>
  <c r="I8751" i="1"/>
  <c r="J8751" i="1"/>
  <c r="K8751" i="1"/>
  <c r="L8751" i="1"/>
  <c r="A8752" i="1"/>
  <c r="B8752" i="1"/>
  <c r="C8752" i="1"/>
  <c r="D8752" i="1"/>
  <c r="E8752" i="1"/>
  <c r="F8752" i="1"/>
  <c r="G8752" i="1"/>
  <c r="H8752" i="1"/>
  <c r="I8752" i="1"/>
  <c r="J8752" i="1"/>
  <c r="K8752" i="1"/>
  <c r="L8752" i="1"/>
  <c r="A8753" i="1"/>
  <c r="B8753" i="1"/>
  <c r="C8753" i="1"/>
  <c r="D8753" i="1"/>
  <c r="E8753" i="1"/>
  <c r="F8753" i="1"/>
  <c r="G8753" i="1"/>
  <c r="H8753" i="1"/>
  <c r="I8753" i="1"/>
  <c r="J8753" i="1"/>
  <c r="K8753" i="1"/>
  <c r="L8753" i="1"/>
  <c r="A8754" i="1"/>
  <c r="B8754" i="1"/>
  <c r="C8754" i="1"/>
  <c r="D8754" i="1"/>
  <c r="E8754" i="1"/>
  <c r="F8754" i="1"/>
  <c r="G8754" i="1"/>
  <c r="H8754" i="1"/>
  <c r="I8754" i="1"/>
  <c r="J8754" i="1"/>
  <c r="K8754" i="1"/>
  <c r="L8754" i="1"/>
  <c r="A8755" i="1"/>
  <c r="B8755" i="1"/>
  <c r="C8755" i="1"/>
  <c r="D8755" i="1"/>
  <c r="E8755" i="1"/>
  <c r="F8755" i="1"/>
  <c r="G8755" i="1"/>
  <c r="H8755" i="1"/>
  <c r="I8755" i="1"/>
  <c r="J8755" i="1"/>
  <c r="K8755" i="1"/>
  <c r="L8755" i="1"/>
  <c r="A8756" i="1"/>
  <c r="B8756" i="1"/>
  <c r="C8756" i="1"/>
  <c r="D8756" i="1"/>
  <c r="E8756" i="1"/>
  <c r="F8756" i="1"/>
  <c r="G8756" i="1"/>
  <c r="H8756" i="1"/>
  <c r="I8756" i="1"/>
  <c r="J8756" i="1"/>
  <c r="K8756" i="1"/>
  <c r="L8756" i="1"/>
  <c r="A8757" i="1"/>
  <c r="B8757" i="1"/>
  <c r="C8757" i="1"/>
  <c r="D8757" i="1"/>
  <c r="E8757" i="1"/>
  <c r="F8757" i="1"/>
  <c r="G8757" i="1"/>
  <c r="H8757" i="1"/>
  <c r="I8757" i="1"/>
  <c r="J8757" i="1"/>
  <c r="K8757" i="1"/>
  <c r="L8757" i="1"/>
  <c r="A8758" i="1"/>
  <c r="B8758" i="1"/>
  <c r="C8758" i="1"/>
  <c r="D8758" i="1"/>
  <c r="E8758" i="1"/>
  <c r="F8758" i="1"/>
  <c r="G8758" i="1"/>
  <c r="H8758" i="1"/>
  <c r="I8758" i="1"/>
  <c r="J8758" i="1"/>
  <c r="K8758" i="1"/>
  <c r="L8758" i="1"/>
  <c r="A8759" i="1"/>
  <c r="B8759" i="1"/>
  <c r="C8759" i="1"/>
  <c r="D8759" i="1"/>
  <c r="E8759" i="1"/>
  <c r="F8759" i="1"/>
  <c r="G8759" i="1"/>
  <c r="H8759" i="1"/>
  <c r="I8759" i="1"/>
  <c r="J8759" i="1"/>
  <c r="K8759" i="1"/>
  <c r="L8759" i="1"/>
  <c r="A8760" i="1"/>
  <c r="B8760" i="1"/>
  <c r="C8760" i="1"/>
  <c r="D8760" i="1"/>
  <c r="E8760" i="1"/>
  <c r="F8760" i="1"/>
  <c r="G8760" i="1"/>
  <c r="H8760" i="1"/>
  <c r="I8760" i="1"/>
  <c r="J8760" i="1"/>
  <c r="K8760" i="1"/>
  <c r="L8760" i="1"/>
  <c r="A8761" i="1"/>
  <c r="B8761" i="1"/>
  <c r="C8761" i="1"/>
  <c r="D8761" i="1"/>
  <c r="E8761" i="1"/>
  <c r="F8761" i="1"/>
  <c r="G8761" i="1"/>
  <c r="H8761" i="1"/>
  <c r="I8761" i="1"/>
  <c r="J8761" i="1"/>
  <c r="K8761" i="1"/>
  <c r="L8761" i="1"/>
  <c r="A8762" i="1"/>
  <c r="B8762" i="1"/>
  <c r="C8762" i="1"/>
  <c r="D8762" i="1"/>
  <c r="E8762" i="1"/>
  <c r="F8762" i="1"/>
  <c r="G8762" i="1"/>
  <c r="H8762" i="1"/>
  <c r="I8762" i="1"/>
  <c r="J8762" i="1"/>
  <c r="K8762" i="1"/>
  <c r="L8762" i="1"/>
  <c r="A8763" i="1"/>
  <c r="B8763" i="1"/>
  <c r="C8763" i="1"/>
  <c r="D8763" i="1"/>
  <c r="E8763" i="1"/>
  <c r="F8763" i="1"/>
  <c r="G8763" i="1"/>
  <c r="H8763" i="1"/>
  <c r="I8763" i="1"/>
  <c r="J8763" i="1"/>
  <c r="K8763" i="1"/>
  <c r="L8763" i="1"/>
  <c r="A8764" i="1"/>
  <c r="B8764" i="1"/>
  <c r="C8764" i="1"/>
  <c r="D8764" i="1"/>
  <c r="E8764" i="1"/>
  <c r="F8764" i="1"/>
  <c r="G8764" i="1"/>
  <c r="H8764" i="1"/>
  <c r="I8764" i="1"/>
  <c r="J8764" i="1"/>
  <c r="K8764" i="1"/>
  <c r="L8764" i="1"/>
  <c r="A8765" i="1"/>
  <c r="B8765" i="1"/>
  <c r="C8765" i="1"/>
  <c r="D8765" i="1"/>
  <c r="E8765" i="1"/>
  <c r="F8765" i="1"/>
  <c r="G8765" i="1"/>
  <c r="H8765" i="1"/>
  <c r="I8765" i="1"/>
  <c r="J8765" i="1"/>
  <c r="K8765" i="1"/>
  <c r="L8765" i="1"/>
  <c r="A8766" i="1"/>
  <c r="B8766" i="1"/>
  <c r="C8766" i="1"/>
  <c r="D8766" i="1"/>
  <c r="E8766" i="1"/>
  <c r="F8766" i="1"/>
  <c r="G8766" i="1"/>
  <c r="H8766" i="1"/>
  <c r="I8766" i="1"/>
  <c r="J8766" i="1"/>
  <c r="K8766" i="1"/>
  <c r="L8766" i="1"/>
  <c r="A8767" i="1"/>
  <c r="B8767" i="1"/>
  <c r="C8767" i="1"/>
  <c r="D8767" i="1"/>
  <c r="E8767" i="1"/>
  <c r="F8767" i="1"/>
  <c r="G8767" i="1"/>
  <c r="H8767" i="1"/>
  <c r="I8767" i="1"/>
  <c r="J8767" i="1"/>
  <c r="K8767" i="1"/>
  <c r="L8767" i="1"/>
  <c r="A8768" i="1"/>
  <c r="B8768" i="1"/>
  <c r="C8768" i="1"/>
  <c r="D8768" i="1"/>
  <c r="E8768" i="1"/>
  <c r="F8768" i="1"/>
  <c r="G8768" i="1"/>
  <c r="H8768" i="1"/>
  <c r="I8768" i="1"/>
  <c r="J8768" i="1"/>
  <c r="K8768" i="1"/>
  <c r="L8768" i="1"/>
  <c r="A8769" i="1"/>
  <c r="B8769" i="1"/>
  <c r="C8769" i="1"/>
  <c r="D8769" i="1"/>
  <c r="E8769" i="1"/>
  <c r="F8769" i="1"/>
  <c r="G8769" i="1"/>
  <c r="H8769" i="1"/>
  <c r="I8769" i="1"/>
  <c r="J8769" i="1"/>
  <c r="K8769" i="1"/>
  <c r="L8769" i="1"/>
  <c r="A8770" i="1"/>
  <c r="B8770" i="1"/>
  <c r="C8770" i="1"/>
  <c r="D8770" i="1"/>
  <c r="E8770" i="1"/>
  <c r="F8770" i="1"/>
  <c r="G8770" i="1"/>
  <c r="H8770" i="1"/>
  <c r="I8770" i="1"/>
  <c r="J8770" i="1"/>
  <c r="K8770" i="1"/>
  <c r="L8770" i="1"/>
  <c r="A8771" i="1"/>
  <c r="B8771" i="1"/>
  <c r="C8771" i="1"/>
  <c r="D8771" i="1"/>
  <c r="E8771" i="1"/>
  <c r="F8771" i="1"/>
  <c r="G8771" i="1"/>
  <c r="H8771" i="1"/>
  <c r="I8771" i="1"/>
  <c r="J8771" i="1"/>
  <c r="K8771" i="1"/>
  <c r="L8771" i="1"/>
  <c r="A8772" i="1"/>
  <c r="B8772" i="1"/>
  <c r="C8772" i="1"/>
  <c r="D8772" i="1"/>
  <c r="E8772" i="1"/>
  <c r="F8772" i="1"/>
  <c r="G8772" i="1"/>
  <c r="H8772" i="1"/>
  <c r="I8772" i="1"/>
  <c r="J8772" i="1"/>
  <c r="K8772" i="1"/>
  <c r="L8772" i="1"/>
  <c r="A8773" i="1"/>
  <c r="B8773" i="1"/>
  <c r="C8773" i="1"/>
  <c r="D8773" i="1"/>
  <c r="E8773" i="1"/>
  <c r="F8773" i="1"/>
  <c r="G8773" i="1"/>
  <c r="H8773" i="1"/>
  <c r="I8773" i="1"/>
  <c r="J8773" i="1"/>
  <c r="K8773" i="1"/>
  <c r="L8773" i="1"/>
  <c r="A8774" i="1"/>
  <c r="B8774" i="1"/>
  <c r="C8774" i="1"/>
  <c r="D8774" i="1"/>
  <c r="E8774" i="1"/>
  <c r="F8774" i="1"/>
  <c r="G8774" i="1"/>
  <c r="H8774" i="1"/>
  <c r="I8774" i="1"/>
  <c r="J8774" i="1"/>
  <c r="K8774" i="1"/>
  <c r="L8774" i="1"/>
  <c r="A8775" i="1"/>
  <c r="B8775" i="1"/>
  <c r="C8775" i="1"/>
  <c r="D8775" i="1"/>
  <c r="E8775" i="1"/>
  <c r="F8775" i="1"/>
  <c r="G8775" i="1"/>
  <c r="H8775" i="1"/>
  <c r="I8775" i="1"/>
  <c r="J8775" i="1"/>
  <c r="K8775" i="1"/>
  <c r="L8775" i="1"/>
  <c r="A8776" i="1"/>
  <c r="B8776" i="1"/>
  <c r="C8776" i="1"/>
  <c r="D8776" i="1"/>
  <c r="E8776" i="1"/>
  <c r="F8776" i="1"/>
  <c r="G8776" i="1"/>
  <c r="H8776" i="1"/>
  <c r="I8776" i="1"/>
  <c r="J8776" i="1"/>
  <c r="K8776" i="1"/>
  <c r="L8776" i="1"/>
  <c r="A8777" i="1"/>
  <c r="B8777" i="1"/>
  <c r="C8777" i="1"/>
  <c r="D8777" i="1"/>
  <c r="E8777" i="1"/>
  <c r="F8777" i="1"/>
  <c r="G8777" i="1"/>
  <c r="H8777" i="1"/>
  <c r="I8777" i="1"/>
  <c r="J8777" i="1"/>
  <c r="K8777" i="1"/>
  <c r="L8777" i="1"/>
  <c r="A8778" i="1"/>
  <c r="B8778" i="1"/>
  <c r="C8778" i="1"/>
  <c r="D8778" i="1"/>
  <c r="E8778" i="1"/>
  <c r="F8778" i="1"/>
  <c r="G8778" i="1"/>
  <c r="H8778" i="1"/>
  <c r="I8778" i="1"/>
  <c r="J8778" i="1"/>
  <c r="K8778" i="1"/>
  <c r="L8778" i="1"/>
  <c r="A8779" i="1"/>
  <c r="B8779" i="1"/>
  <c r="C8779" i="1"/>
  <c r="D8779" i="1"/>
  <c r="E8779" i="1"/>
  <c r="F8779" i="1"/>
  <c r="G8779" i="1"/>
  <c r="H8779" i="1"/>
  <c r="I8779" i="1"/>
  <c r="J8779" i="1"/>
  <c r="K8779" i="1"/>
  <c r="L8779" i="1"/>
  <c r="A8780" i="1"/>
  <c r="B8780" i="1"/>
  <c r="C8780" i="1"/>
  <c r="D8780" i="1"/>
  <c r="E8780" i="1"/>
  <c r="F8780" i="1"/>
  <c r="G8780" i="1"/>
  <c r="H8780" i="1"/>
  <c r="I8780" i="1"/>
  <c r="J8780" i="1"/>
  <c r="K8780" i="1"/>
  <c r="L8780" i="1"/>
  <c r="A8781" i="1"/>
  <c r="B8781" i="1"/>
  <c r="C8781" i="1"/>
  <c r="D8781" i="1"/>
  <c r="E8781" i="1"/>
  <c r="F8781" i="1"/>
  <c r="G8781" i="1"/>
  <c r="H8781" i="1"/>
  <c r="I8781" i="1"/>
  <c r="J8781" i="1"/>
  <c r="K8781" i="1"/>
  <c r="L8781" i="1"/>
  <c r="A8782" i="1"/>
  <c r="B8782" i="1"/>
  <c r="C8782" i="1"/>
  <c r="D8782" i="1"/>
  <c r="E8782" i="1"/>
  <c r="F8782" i="1"/>
  <c r="G8782" i="1"/>
  <c r="H8782" i="1"/>
  <c r="I8782" i="1"/>
  <c r="J8782" i="1"/>
  <c r="K8782" i="1"/>
  <c r="L8782" i="1"/>
  <c r="A8783" i="1"/>
  <c r="B8783" i="1"/>
  <c r="C8783" i="1"/>
  <c r="D8783" i="1"/>
  <c r="E8783" i="1"/>
  <c r="F8783" i="1"/>
  <c r="G8783" i="1"/>
  <c r="H8783" i="1"/>
  <c r="I8783" i="1"/>
  <c r="J8783" i="1"/>
  <c r="K8783" i="1"/>
  <c r="L8783" i="1"/>
  <c r="A8784" i="1"/>
  <c r="B8784" i="1"/>
  <c r="C8784" i="1"/>
  <c r="D8784" i="1"/>
  <c r="E8784" i="1"/>
  <c r="F8784" i="1"/>
  <c r="G8784" i="1"/>
  <c r="H8784" i="1"/>
  <c r="I8784" i="1"/>
  <c r="J8784" i="1"/>
  <c r="K8784" i="1"/>
  <c r="L8784" i="1"/>
  <c r="A8785" i="1"/>
  <c r="B8785" i="1"/>
  <c r="C8785" i="1"/>
  <c r="D8785" i="1"/>
  <c r="E8785" i="1"/>
  <c r="F8785" i="1"/>
  <c r="G8785" i="1"/>
  <c r="H8785" i="1"/>
  <c r="I8785" i="1"/>
  <c r="J8785" i="1"/>
  <c r="K8785" i="1"/>
  <c r="L8785" i="1"/>
  <c r="A8786" i="1"/>
  <c r="B8786" i="1"/>
  <c r="C8786" i="1"/>
  <c r="D8786" i="1"/>
  <c r="E8786" i="1"/>
  <c r="F8786" i="1"/>
  <c r="G8786" i="1"/>
  <c r="H8786" i="1"/>
  <c r="I8786" i="1"/>
  <c r="J8786" i="1"/>
  <c r="K8786" i="1"/>
  <c r="L8786" i="1"/>
  <c r="A8787" i="1"/>
  <c r="B8787" i="1"/>
  <c r="C8787" i="1"/>
  <c r="D8787" i="1"/>
  <c r="E8787" i="1"/>
  <c r="F8787" i="1"/>
  <c r="G8787" i="1"/>
  <c r="H8787" i="1"/>
  <c r="I8787" i="1"/>
  <c r="J8787" i="1"/>
  <c r="K8787" i="1"/>
  <c r="L8787" i="1"/>
  <c r="A8788" i="1"/>
  <c r="B8788" i="1"/>
  <c r="C8788" i="1"/>
  <c r="D8788" i="1"/>
  <c r="E8788" i="1"/>
  <c r="F8788" i="1"/>
  <c r="G8788" i="1"/>
  <c r="H8788" i="1"/>
  <c r="I8788" i="1"/>
  <c r="J8788" i="1"/>
  <c r="K8788" i="1"/>
  <c r="L8788" i="1"/>
  <c r="A8789" i="1"/>
  <c r="B8789" i="1"/>
  <c r="C8789" i="1"/>
  <c r="D8789" i="1"/>
  <c r="E8789" i="1"/>
  <c r="F8789" i="1"/>
  <c r="G8789" i="1"/>
  <c r="H8789" i="1"/>
  <c r="I8789" i="1"/>
  <c r="J8789" i="1"/>
  <c r="K8789" i="1"/>
  <c r="L8789" i="1"/>
  <c r="A8790" i="1"/>
  <c r="B8790" i="1"/>
  <c r="C8790" i="1"/>
  <c r="D8790" i="1"/>
  <c r="E8790" i="1"/>
  <c r="F8790" i="1"/>
  <c r="G8790" i="1"/>
  <c r="H8790" i="1"/>
  <c r="I8790" i="1"/>
  <c r="J8790" i="1"/>
  <c r="K8790" i="1"/>
  <c r="L8790" i="1"/>
  <c r="A8791" i="1"/>
  <c r="B8791" i="1"/>
  <c r="C8791" i="1"/>
  <c r="D8791" i="1"/>
  <c r="E8791" i="1"/>
  <c r="F8791" i="1"/>
  <c r="G8791" i="1"/>
  <c r="H8791" i="1"/>
  <c r="I8791" i="1"/>
  <c r="J8791" i="1"/>
  <c r="K8791" i="1"/>
  <c r="L8791" i="1"/>
  <c r="A8792" i="1"/>
  <c r="B8792" i="1"/>
  <c r="C8792" i="1"/>
  <c r="D8792" i="1"/>
  <c r="E8792" i="1"/>
  <c r="F8792" i="1"/>
  <c r="G8792" i="1"/>
  <c r="H8792" i="1"/>
  <c r="I8792" i="1"/>
  <c r="J8792" i="1"/>
  <c r="K8792" i="1"/>
  <c r="L8792" i="1"/>
  <c r="A8793" i="1"/>
  <c r="B8793" i="1"/>
  <c r="C8793" i="1"/>
  <c r="D8793" i="1"/>
  <c r="E8793" i="1"/>
  <c r="F8793" i="1"/>
  <c r="G8793" i="1"/>
  <c r="H8793" i="1"/>
  <c r="I8793" i="1"/>
  <c r="J8793" i="1"/>
  <c r="K8793" i="1"/>
  <c r="L8793" i="1"/>
  <c r="A8794" i="1"/>
  <c r="B8794" i="1"/>
  <c r="C8794" i="1"/>
  <c r="D8794" i="1"/>
  <c r="E8794" i="1"/>
  <c r="F8794" i="1"/>
  <c r="G8794" i="1"/>
  <c r="H8794" i="1"/>
  <c r="I8794" i="1"/>
  <c r="J8794" i="1"/>
  <c r="K8794" i="1"/>
  <c r="L8794" i="1"/>
  <c r="A8795" i="1"/>
  <c r="B8795" i="1"/>
  <c r="C8795" i="1"/>
  <c r="D8795" i="1"/>
  <c r="E8795" i="1"/>
  <c r="F8795" i="1"/>
  <c r="G8795" i="1"/>
  <c r="H8795" i="1"/>
  <c r="I8795" i="1"/>
  <c r="J8795" i="1"/>
  <c r="K8795" i="1"/>
  <c r="L8795" i="1"/>
  <c r="A8796" i="1"/>
  <c r="B8796" i="1"/>
  <c r="C8796" i="1"/>
  <c r="D8796" i="1"/>
  <c r="E8796" i="1"/>
  <c r="F8796" i="1"/>
  <c r="G8796" i="1"/>
  <c r="H8796" i="1"/>
  <c r="I8796" i="1"/>
  <c r="J8796" i="1"/>
  <c r="K8796" i="1"/>
  <c r="L8796" i="1"/>
  <c r="A8797" i="1"/>
  <c r="B8797" i="1"/>
  <c r="C8797" i="1"/>
  <c r="D8797" i="1"/>
  <c r="E8797" i="1"/>
  <c r="F8797" i="1"/>
  <c r="G8797" i="1"/>
  <c r="H8797" i="1"/>
  <c r="I8797" i="1"/>
  <c r="J8797" i="1"/>
  <c r="K8797" i="1"/>
  <c r="L8797" i="1"/>
  <c r="A8798" i="1"/>
  <c r="B8798" i="1"/>
  <c r="C8798" i="1"/>
  <c r="D8798" i="1"/>
  <c r="E8798" i="1"/>
  <c r="F8798" i="1"/>
  <c r="G8798" i="1"/>
  <c r="H8798" i="1"/>
  <c r="I8798" i="1"/>
  <c r="J8798" i="1"/>
  <c r="K8798" i="1"/>
  <c r="L8798" i="1"/>
  <c r="A8799" i="1"/>
  <c r="B8799" i="1"/>
  <c r="C8799" i="1"/>
  <c r="D8799" i="1"/>
  <c r="E8799" i="1"/>
  <c r="F8799" i="1"/>
  <c r="G8799" i="1"/>
  <c r="H8799" i="1"/>
  <c r="I8799" i="1"/>
  <c r="J8799" i="1"/>
  <c r="K8799" i="1"/>
  <c r="L8799" i="1"/>
  <c r="A8800" i="1"/>
  <c r="B8800" i="1"/>
  <c r="C8800" i="1"/>
  <c r="D8800" i="1"/>
  <c r="E8800" i="1"/>
  <c r="F8800" i="1"/>
  <c r="G8800" i="1"/>
  <c r="H8800" i="1"/>
  <c r="I8800" i="1"/>
  <c r="J8800" i="1"/>
  <c r="K8800" i="1"/>
  <c r="L8800" i="1"/>
  <c r="A8801" i="1"/>
  <c r="B8801" i="1"/>
  <c r="C8801" i="1"/>
  <c r="D8801" i="1"/>
  <c r="E8801" i="1"/>
  <c r="F8801" i="1"/>
  <c r="G8801" i="1"/>
  <c r="H8801" i="1"/>
  <c r="I8801" i="1"/>
  <c r="J8801" i="1"/>
  <c r="K8801" i="1"/>
  <c r="L8801" i="1"/>
  <c r="A8802" i="1"/>
  <c r="B8802" i="1"/>
  <c r="C8802" i="1"/>
  <c r="D8802" i="1"/>
  <c r="E8802" i="1"/>
  <c r="F8802" i="1"/>
  <c r="G8802" i="1"/>
  <c r="H8802" i="1"/>
  <c r="I8802" i="1"/>
  <c r="J8802" i="1"/>
  <c r="K8802" i="1"/>
  <c r="L8802" i="1"/>
  <c r="A8803" i="1"/>
  <c r="B8803" i="1"/>
  <c r="C8803" i="1"/>
  <c r="D8803" i="1"/>
  <c r="E8803" i="1"/>
  <c r="F8803" i="1"/>
  <c r="G8803" i="1"/>
  <c r="H8803" i="1"/>
  <c r="I8803" i="1"/>
  <c r="J8803" i="1"/>
  <c r="K8803" i="1"/>
  <c r="L8803" i="1"/>
  <c r="A8804" i="1"/>
  <c r="B8804" i="1"/>
  <c r="C8804" i="1"/>
  <c r="D8804" i="1"/>
  <c r="E8804" i="1"/>
  <c r="F8804" i="1"/>
  <c r="G8804" i="1"/>
  <c r="H8804" i="1"/>
  <c r="I8804" i="1"/>
  <c r="J8804" i="1"/>
  <c r="K8804" i="1"/>
  <c r="L8804" i="1"/>
  <c r="A8805" i="1"/>
  <c r="B8805" i="1"/>
  <c r="C8805" i="1"/>
  <c r="D8805" i="1"/>
  <c r="E8805" i="1"/>
  <c r="F8805" i="1"/>
  <c r="G8805" i="1"/>
  <c r="H8805" i="1"/>
  <c r="I8805" i="1"/>
  <c r="J8805" i="1"/>
  <c r="K8805" i="1"/>
  <c r="L8805" i="1"/>
  <c r="A8806" i="1"/>
  <c r="B8806" i="1"/>
  <c r="C8806" i="1"/>
  <c r="D8806" i="1"/>
  <c r="E8806" i="1"/>
  <c r="F8806" i="1"/>
  <c r="G8806" i="1"/>
  <c r="H8806" i="1"/>
  <c r="I8806" i="1"/>
  <c r="J8806" i="1"/>
  <c r="K8806" i="1"/>
  <c r="L8806" i="1"/>
  <c r="A8807" i="1"/>
  <c r="B8807" i="1"/>
  <c r="C8807" i="1"/>
  <c r="D8807" i="1"/>
  <c r="E8807" i="1"/>
  <c r="F8807" i="1"/>
  <c r="G8807" i="1"/>
  <c r="H8807" i="1"/>
  <c r="I8807" i="1"/>
  <c r="J8807" i="1"/>
  <c r="K8807" i="1"/>
  <c r="L8807" i="1"/>
  <c r="A8808" i="1"/>
  <c r="B8808" i="1"/>
  <c r="C8808" i="1"/>
  <c r="D8808" i="1"/>
  <c r="E8808" i="1"/>
  <c r="F8808" i="1"/>
  <c r="G8808" i="1"/>
  <c r="H8808" i="1"/>
  <c r="I8808" i="1"/>
  <c r="J8808" i="1"/>
  <c r="K8808" i="1"/>
  <c r="L8808" i="1"/>
  <c r="A8809" i="1"/>
  <c r="B8809" i="1"/>
  <c r="C8809" i="1"/>
  <c r="D8809" i="1"/>
  <c r="E8809" i="1"/>
  <c r="F8809" i="1"/>
  <c r="G8809" i="1"/>
  <c r="H8809" i="1"/>
  <c r="I8809" i="1"/>
  <c r="J8809" i="1"/>
  <c r="K8809" i="1"/>
  <c r="L8809" i="1"/>
  <c r="A8810" i="1"/>
  <c r="B8810" i="1"/>
  <c r="C8810" i="1"/>
  <c r="D8810" i="1"/>
  <c r="E8810" i="1"/>
  <c r="F8810" i="1"/>
  <c r="G8810" i="1"/>
  <c r="H8810" i="1"/>
  <c r="I8810" i="1"/>
  <c r="J8810" i="1"/>
  <c r="K8810" i="1"/>
  <c r="L8810" i="1"/>
  <c r="A8811" i="1"/>
  <c r="B8811" i="1"/>
  <c r="C8811" i="1"/>
  <c r="D8811" i="1"/>
  <c r="E8811" i="1"/>
  <c r="F8811" i="1"/>
  <c r="G8811" i="1"/>
  <c r="H8811" i="1"/>
  <c r="I8811" i="1"/>
  <c r="J8811" i="1"/>
  <c r="K8811" i="1"/>
  <c r="L8811" i="1"/>
  <c r="A8812" i="1"/>
  <c r="B8812" i="1"/>
  <c r="C8812" i="1"/>
  <c r="D8812" i="1"/>
  <c r="E8812" i="1"/>
  <c r="F8812" i="1"/>
  <c r="G8812" i="1"/>
  <c r="H8812" i="1"/>
  <c r="I8812" i="1"/>
  <c r="J8812" i="1"/>
  <c r="K8812" i="1"/>
  <c r="L8812" i="1"/>
  <c r="A8813" i="1"/>
  <c r="B8813" i="1"/>
  <c r="C8813" i="1"/>
  <c r="D8813" i="1"/>
  <c r="E8813" i="1"/>
  <c r="F8813" i="1"/>
  <c r="G8813" i="1"/>
  <c r="H8813" i="1"/>
  <c r="I8813" i="1"/>
  <c r="J8813" i="1"/>
  <c r="K8813" i="1"/>
  <c r="L8813" i="1"/>
  <c r="A8814" i="1"/>
  <c r="B8814" i="1"/>
  <c r="C8814" i="1"/>
  <c r="D8814" i="1"/>
  <c r="E8814" i="1"/>
  <c r="F8814" i="1"/>
  <c r="G8814" i="1"/>
  <c r="H8814" i="1"/>
  <c r="I8814" i="1"/>
  <c r="J8814" i="1"/>
  <c r="K8814" i="1"/>
  <c r="L8814" i="1"/>
  <c r="A8815" i="1"/>
  <c r="B8815" i="1"/>
  <c r="C8815" i="1"/>
  <c r="D8815" i="1"/>
  <c r="E8815" i="1"/>
  <c r="F8815" i="1"/>
  <c r="G8815" i="1"/>
  <c r="H8815" i="1"/>
  <c r="I8815" i="1"/>
  <c r="J8815" i="1"/>
  <c r="K8815" i="1"/>
  <c r="L8815" i="1"/>
  <c r="A8816" i="1"/>
  <c r="B8816" i="1"/>
  <c r="C8816" i="1"/>
  <c r="D8816" i="1"/>
  <c r="E8816" i="1"/>
  <c r="F8816" i="1"/>
  <c r="G8816" i="1"/>
  <c r="H8816" i="1"/>
  <c r="I8816" i="1"/>
  <c r="J8816" i="1"/>
  <c r="K8816" i="1"/>
  <c r="L8816" i="1"/>
  <c r="A8817" i="1"/>
  <c r="B8817" i="1"/>
  <c r="C8817" i="1"/>
  <c r="D8817" i="1"/>
  <c r="E8817" i="1"/>
  <c r="F8817" i="1"/>
  <c r="G8817" i="1"/>
  <c r="H8817" i="1"/>
  <c r="I8817" i="1"/>
  <c r="J8817" i="1"/>
  <c r="K8817" i="1"/>
  <c r="L8817" i="1"/>
  <c r="A8818" i="1"/>
  <c r="B8818" i="1"/>
  <c r="C8818" i="1"/>
  <c r="D8818" i="1"/>
  <c r="E8818" i="1"/>
  <c r="F8818" i="1"/>
  <c r="G8818" i="1"/>
  <c r="H8818" i="1"/>
  <c r="I8818" i="1"/>
  <c r="J8818" i="1"/>
  <c r="K8818" i="1"/>
  <c r="L8818" i="1"/>
  <c r="A8819" i="1"/>
  <c r="B8819" i="1"/>
  <c r="C8819" i="1"/>
  <c r="D8819" i="1"/>
  <c r="E8819" i="1"/>
  <c r="F8819" i="1"/>
  <c r="G8819" i="1"/>
  <c r="H8819" i="1"/>
  <c r="I8819" i="1"/>
  <c r="J8819" i="1"/>
  <c r="K8819" i="1"/>
  <c r="L8819" i="1"/>
  <c r="A8820" i="1"/>
  <c r="B8820" i="1"/>
  <c r="C8820" i="1"/>
  <c r="D8820" i="1"/>
  <c r="E8820" i="1"/>
  <c r="F8820" i="1"/>
  <c r="G8820" i="1"/>
  <c r="H8820" i="1"/>
  <c r="I8820" i="1"/>
  <c r="J8820" i="1"/>
  <c r="K8820" i="1"/>
  <c r="L8820" i="1"/>
  <c r="A8821" i="1"/>
  <c r="B8821" i="1"/>
  <c r="C8821" i="1"/>
  <c r="D8821" i="1"/>
  <c r="E8821" i="1"/>
  <c r="F8821" i="1"/>
  <c r="G8821" i="1"/>
  <c r="H8821" i="1"/>
  <c r="I8821" i="1"/>
  <c r="J8821" i="1"/>
  <c r="K8821" i="1"/>
  <c r="L8821" i="1"/>
  <c r="A8822" i="1"/>
  <c r="B8822" i="1"/>
  <c r="C8822" i="1"/>
  <c r="D8822" i="1"/>
  <c r="E8822" i="1"/>
  <c r="F8822" i="1"/>
  <c r="G8822" i="1"/>
  <c r="H8822" i="1"/>
  <c r="I8822" i="1"/>
  <c r="J8822" i="1"/>
  <c r="K8822" i="1"/>
  <c r="L8822" i="1"/>
  <c r="A8823" i="1"/>
  <c r="B8823" i="1"/>
  <c r="C8823" i="1"/>
  <c r="D8823" i="1"/>
  <c r="E8823" i="1"/>
  <c r="F8823" i="1"/>
  <c r="G8823" i="1"/>
  <c r="H8823" i="1"/>
  <c r="I8823" i="1"/>
  <c r="J8823" i="1"/>
  <c r="K8823" i="1"/>
  <c r="L8823" i="1"/>
  <c r="A8824" i="1"/>
  <c r="B8824" i="1"/>
  <c r="C8824" i="1"/>
  <c r="D8824" i="1"/>
  <c r="E8824" i="1"/>
  <c r="F8824" i="1"/>
  <c r="G8824" i="1"/>
  <c r="H8824" i="1"/>
  <c r="I8824" i="1"/>
  <c r="J8824" i="1"/>
  <c r="K8824" i="1"/>
  <c r="L8824" i="1"/>
  <c r="A8825" i="1"/>
  <c r="B8825" i="1"/>
  <c r="C8825" i="1"/>
  <c r="D8825" i="1"/>
  <c r="E8825" i="1"/>
  <c r="F8825" i="1"/>
  <c r="G8825" i="1"/>
  <c r="H8825" i="1"/>
  <c r="I8825" i="1"/>
  <c r="J8825" i="1"/>
  <c r="K8825" i="1"/>
  <c r="L8825" i="1"/>
  <c r="A8826" i="1"/>
  <c r="B8826" i="1"/>
  <c r="C8826" i="1"/>
  <c r="D8826" i="1"/>
  <c r="E8826" i="1"/>
  <c r="F8826" i="1"/>
  <c r="G8826" i="1"/>
  <c r="H8826" i="1"/>
  <c r="I8826" i="1"/>
  <c r="J8826" i="1"/>
  <c r="K8826" i="1"/>
  <c r="L8826" i="1"/>
  <c r="A8827" i="1"/>
  <c r="B8827" i="1"/>
  <c r="C8827" i="1"/>
  <c r="D8827" i="1"/>
  <c r="E8827" i="1"/>
  <c r="F8827" i="1"/>
  <c r="G8827" i="1"/>
  <c r="H8827" i="1"/>
  <c r="I8827" i="1"/>
  <c r="J8827" i="1"/>
  <c r="K8827" i="1"/>
  <c r="L8827" i="1"/>
  <c r="A8828" i="1"/>
  <c r="B8828" i="1"/>
  <c r="C8828" i="1"/>
  <c r="D8828" i="1"/>
  <c r="E8828" i="1"/>
  <c r="F8828" i="1"/>
  <c r="G8828" i="1"/>
  <c r="H8828" i="1"/>
  <c r="I8828" i="1"/>
  <c r="J8828" i="1"/>
  <c r="K8828" i="1"/>
  <c r="L8828" i="1"/>
  <c r="A8829" i="1"/>
  <c r="B8829" i="1"/>
  <c r="C8829" i="1"/>
  <c r="D8829" i="1"/>
  <c r="E8829" i="1"/>
  <c r="F8829" i="1"/>
  <c r="G8829" i="1"/>
  <c r="H8829" i="1"/>
  <c r="I8829" i="1"/>
  <c r="J8829" i="1"/>
  <c r="K8829" i="1"/>
  <c r="L8829" i="1"/>
  <c r="A8830" i="1"/>
  <c r="B8830" i="1"/>
  <c r="C8830" i="1"/>
  <c r="D8830" i="1"/>
  <c r="E8830" i="1"/>
  <c r="F8830" i="1"/>
  <c r="G8830" i="1"/>
  <c r="H8830" i="1"/>
  <c r="I8830" i="1"/>
  <c r="J8830" i="1"/>
  <c r="K8830" i="1"/>
  <c r="L8830" i="1"/>
  <c r="A8831" i="1"/>
  <c r="B8831" i="1"/>
  <c r="C8831" i="1"/>
  <c r="D8831" i="1"/>
  <c r="E8831" i="1"/>
  <c r="F8831" i="1"/>
  <c r="G8831" i="1"/>
  <c r="H8831" i="1"/>
  <c r="I8831" i="1"/>
  <c r="J8831" i="1"/>
  <c r="K8831" i="1"/>
  <c r="L8831" i="1"/>
  <c r="A8832" i="1"/>
  <c r="B8832" i="1"/>
  <c r="C8832" i="1"/>
  <c r="D8832" i="1"/>
  <c r="E8832" i="1"/>
  <c r="F8832" i="1"/>
  <c r="G8832" i="1"/>
  <c r="H8832" i="1"/>
  <c r="I8832" i="1"/>
  <c r="J8832" i="1"/>
  <c r="K8832" i="1"/>
  <c r="L8832" i="1"/>
  <c r="A8833" i="1"/>
  <c r="B8833" i="1"/>
  <c r="C8833" i="1"/>
  <c r="D8833" i="1"/>
  <c r="E8833" i="1"/>
  <c r="F8833" i="1"/>
  <c r="G8833" i="1"/>
  <c r="H8833" i="1"/>
  <c r="I8833" i="1"/>
  <c r="J8833" i="1"/>
  <c r="K8833" i="1"/>
  <c r="L8833" i="1"/>
  <c r="A8834" i="1"/>
  <c r="B8834" i="1"/>
  <c r="C8834" i="1"/>
  <c r="D8834" i="1"/>
  <c r="E8834" i="1"/>
  <c r="F8834" i="1"/>
  <c r="G8834" i="1"/>
  <c r="H8834" i="1"/>
  <c r="I8834" i="1"/>
  <c r="J8834" i="1"/>
  <c r="K8834" i="1"/>
  <c r="L8834" i="1"/>
  <c r="A8835" i="1"/>
  <c r="B8835" i="1"/>
  <c r="C8835" i="1"/>
  <c r="D8835" i="1"/>
  <c r="E8835" i="1"/>
  <c r="F8835" i="1"/>
  <c r="G8835" i="1"/>
  <c r="H8835" i="1"/>
  <c r="I8835" i="1"/>
  <c r="J8835" i="1"/>
  <c r="K8835" i="1"/>
  <c r="L8835" i="1"/>
  <c r="A8836" i="1"/>
  <c r="B8836" i="1"/>
  <c r="C8836" i="1"/>
  <c r="D8836" i="1"/>
  <c r="E8836" i="1"/>
  <c r="F8836" i="1"/>
  <c r="G8836" i="1"/>
  <c r="H8836" i="1"/>
  <c r="I8836" i="1"/>
  <c r="J8836" i="1"/>
  <c r="K8836" i="1"/>
  <c r="L8836" i="1"/>
  <c r="A8837" i="1"/>
  <c r="B8837" i="1"/>
  <c r="C8837" i="1"/>
  <c r="D8837" i="1"/>
  <c r="E8837" i="1"/>
  <c r="F8837" i="1"/>
  <c r="G8837" i="1"/>
  <c r="H8837" i="1"/>
  <c r="I8837" i="1"/>
  <c r="J8837" i="1"/>
  <c r="K8837" i="1"/>
  <c r="L8837" i="1"/>
  <c r="A8838" i="1"/>
  <c r="B8838" i="1"/>
  <c r="C8838" i="1"/>
  <c r="D8838" i="1"/>
  <c r="E8838" i="1"/>
  <c r="F8838" i="1"/>
  <c r="G8838" i="1"/>
  <c r="H8838" i="1"/>
  <c r="I8838" i="1"/>
  <c r="J8838" i="1"/>
  <c r="K8838" i="1"/>
  <c r="L8838" i="1"/>
  <c r="A8839" i="1"/>
  <c r="B8839" i="1"/>
  <c r="C8839" i="1"/>
  <c r="D8839" i="1"/>
  <c r="E8839" i="1"/>
  <c r="F8839" i="1"/>
  <c r="G8839" i="1"/>
  <c r="H8839" i="1"/>
  <c r="I8839" i="1"/>
  <c r="J8839" i="1"/>
  <c r="K8839" i="1"/>
  <c r="L8839" i="1"/>
  <c r="A8840" i="1"/>
  <c r="B8840" i="1"/>
  <c r="C8840" i="1"/>
  <c r="D8840" i="1"/>
  <c r="E8840" i="1"/>
  <c r="F8840" i="1"/>
  <c r="G8840" i="1"/>
  <c r="H8840" i="1"/>
  <c r="I8840" i="1"/>
  <c r="J8840" i="1"/>
  <c r="K8840" i="1"/>
  <c r="L8840" i="1"/>
  <c r="A8841" i="1"/>
  <c r="B8841" i="1"/>
  <c r="C8841" i="1"/>
  <c r="D8841" i="1"/>
  <c r="E8841" i="1"/>
  <c r="F8841" i="1"/>
  <c r="G8841" i="1"/>
  <c r="H8841" i="1"/>
  <c r="I8841" i="1"/>
  <c r="J8841" i="1"/>
  <c r="K8841" i="1"/>
  <c r="L8841" i="1"/>
  <c r="A8842" i="1"/>
  <c r="B8842" i="1"/>
  <c r="C8842" i="1"/>
  <c r="D8842" i="1"/>
  <c r="E8842" i="1"/>
  <c r="F8842" i="1"/>
  <c r="G8842" i="1"/>
  <c r="H8842" i="1"/>
  <c r="I8842" i="1"/>
  <c r="J8842" i="1"/>
  <c r="K8842" i="1"/>
  <c r="L8842" i="1"/>
  <c r="A8843" i="1"/>
  <c r="B8843" i="1"/>
  <c r="C8843" i="1"/>
  <c r="D8843" i="1"/>
  <c r="E8843" i="1"/>
  <c r="F8843" i="1"/>
  <c r="G8843" i="1"/>
  <c r="H8843" i="1"/>
  <c r="I8843" i="1"/>
  <c r="J8843" i="1"/>
  <c r="K8843" i="1"/>
  <c r="L8843" i="1"/>
  <c r="A8844" i="1"/>
  <c r="B8844" i="1"/>
  <c r="C8844" i="1"/>
  <c r="D8844" i="1"/>
  <c r="E8844" i="1"/>
  <c r="F8844" i="1"/>
  <c r="G8844" i="1"/>
  <c r="H8844" i="1"/>
  <c r="I8844" i="1"/>
  <c r="J8844" i="1"/>
  <c r="K8844" i="1"/>
  <c r="L8844" i="1"/>
  <c r="A8845" i="1"/>
  <c r="B8845" i="1"/>
  <c r="C8845" i="1"/>
  <c r="D8845" i="1"/>
  <c r="E8845" i="1"/>
  <c r="F8845" i="1"/>
  <c r="G8845" i="1"/>
  <c r="H8845" i="1"/>
  <c r="I8845" i="1"/>
  <c r="J8845" i="1"/>
  <c r="K8845" i="1"/>
  <c r="L8845" i="1"/>
  <c r="A8846" i="1"/>
  <c r="B8846" i="1"/>
  <c r="C8846" i="1"/>
  <c r="D8846" i="1"/>
  <c r="E8846" i="1"/>
  <c r="F8846" i="1"/>
  <c r="G8846" i="1"/>
  <c r="H8846" i="1"/>
  <c r="I8846" i="1"/>
  <c r="J8846" i="1"/>
  <c r="K8846" i="1"/>
  <c r="L8846" i="1"/>
  <c r="A8847" i="1"/>
  <c r="B8847" i="1"/>
  <c r="C8847" i="1"/>
  <c r="D8847" i="1"/>
  <c r="E8847" i="1"/>
  <c r="F8847" i="1"/>
  <c r="G8847" i="1"/>
  <c r="H8847" i="1"/>
  <c r="I8847" i="1"/>
  <c r="J8847" i="1"/>
  <c r="K8847" i="1"/>
  <c r="L8847" i="1"/>
  <c r="A8848" i="1"/>
  <c r="B8848" i="1"/>
  <c r="C8848" i="1"/>
  <c r="D8848" i="1"/>
  <c r="E8848" i="1"/>
  <c r="F8848" i="1"/>
  <c r="G8848" i="1"/>
  <c r="H8848" i="1"/>
  <c r="I8848" i="1"/>
  <c r="J8848" i="1"/>
  <c r="K8848" i="1"/>
  <c r="L8848" i="1"/>
  <c r="A8849" i="1"/>
  <c r="B8849" i="1"/>
  <c r="C8849" i="1"/>
  <c r="D8849" i="1"/>
  <c r="E8849" i="1"/>
  <c r="F8849" i="1"/>
  <c r="G8849" i="1"/>
  <c r="H8849" i="1"/>
  <c r="I8849" i="1"/>
  <c r="J8849" i="1"/>
  <c r="K8849" i="1"/>
  <c r="L8849" i="1"/>
  <c r="A8850" i="1"/>
  <c r="B8850" i="1"/>
  <c r="C8850" i="1"/>
  <c r="D8850" i="1"/>
  <c r="E8850" i="1"/>
  <c r="F8850" i="1"/>
  <c r="G8850" i="1"/>
  <c r="H8850" i="1"/>
  <c r="I8850" i="1"/>
  <c r="J8850" i="1"/>
  <c r="K8850" i="1"/>
  <c r="L8850" i="1"/>
  <c r="A8851" i="1"/>
  <c r="B8851" i="1"/>
  <c r="C8851" i="1"/>
  <c r="D8851" i="1"/>
  <c r="E8851" i="1"/>
  <c r="F8851" i="1"/>
  <c r="G8851" i="1"/>
  <c r="H8851" i="1"/>
  <c r="I8851" i="1"/>
  <c r="J8851" i="1"/>
  <c r="K8851" i="1"/>
  <c r="L8851" i="1"/>
  <c r="A8852" i="1"/>
  <c r="B8852" i="1"/>
  <c r="C8852" i="1"/>
  <c r="D8852" i="1"/>
  <c r="E8852" i="1"/>
  <c r="F8852" i="1"/>
  <c r="G8852" i="1"/>
  <c r="H8852" i="1"/>
  <c r="I8852" i="1"/>
  <c r="J8852" i="1"/>
  <c r="K8852" i="1"/>
  <c r="L8852" i="1"/>
  <c r="A8853" i="1"/>
  <c r="B8853" i="1"/>
  <c r="C8853" i="1"/>
  <c r="D8853" i="1"/>
  <c r="E8853" i="1"/>
  <c r="F8853" i="1"/>
  <c r="G8853" i="1"/>
  <c r="H8853" i="1"/>
  <c r="I8853" i="1"/>
  <c r="J8853" i="1"/>
  <c r="K8853" i="1"/>
  <c r="L8853" i="1"/>
  <c r="A8854" i="1"/>
  <c r="B8854" i="1"/>
  <c r="C8854" i="1"/>
  <c r="D8854" i="1"/>
  <c r="E8854" i="1"/>
  <c r="F8854" i="1"/>
  <c r="G8854" i="1"/>
  <c r="H8854" i="1"/>
  <c r="I8854" i="1"/>
  <c r="J8854" i="1"/>
  <c r="K8854" i="1"/>
  <c r="L8854" i="1"/>
  <c r="A8855" i="1"/>
  <c r="B8855" i="1"/>
  <c r="C8855" i="1"/>
  <c r="D8855" i="1"/>
  <c r="E8855" i="1"/>
  <c r="F8855" i="1"/>
  <c r="G8855" i="1"/>
  <c r="H8855" i="1"/>
  <c r="I8855" i="1"/>
  <c r="J8855" i="1"/>
  <c r="K8855" i="1"/>
  <c r="L8855" i="1"/>
  <c r="A8856" i="1"/>
  <c r="B8856" i="1"/>
  <c r="C8856" i="1"/>
  <c r="D8856" i="1"/>
  <c r="E8856" i="1"/>
  <c r="F8856" i="1"/>
  <c r="G8856" i="1"/>
  <c r="H8856" i="1"/>
  <c r="I8856" i="1"/>
  <c r="J8856" i="1"/>
  <c r="K8856" i="1"/>
  <c r="L8856" i="1"/>
  <c r="A8857" i="1"/>
  <c r="B8857" i="1"/>
  <c r="C8857" i="1"/>
  <c r="D8857" i="1"/>
  <c r="E8857" i="1"/>
  <c r="F8857" i="1"/>
  <c r="G8857" i="1"/>
  <c r="H8857" i="1"/>
  <c r="I8857" i="1"/>
  <c r="J8857" i="1"/>
  <c r="K8857" i="1"/>
  <c r="L8857" i="1"/>
  <c r="A8858" i="1"/>
  <c r="B8858" i="1"/>
  <c r="C8858" i="1"/>
  <c r="D8858" i="1"/>
  <c r="E8858" i="1"/>
  <c r="F8858" i="1"/>
  <c r="G8858" i="1"/>
  <c r="H8858" i="1"/>
  <c r="I8858" i="1"/>
  <c r="J8858" i="1"/>
  <c r="K8858" i="1"/>
  <c r="L8858" i="1"/>
  <c r="A8859" i="1"/>
  <c r="B8859" i="1"/>
  <c r="C8859" i="1"/>
  <c r="D8859" i="1"/>
  <c r="E8859" i="1"/>
  <c r="F8859" i="1"/>
  <c r="G8859" i="1"/>
  <c r="H8859" i="1"/>
  <c r="I8859" i="1"/>
  <c r="J8859" i="1"/>
  <c r="K8859" i="1"/>
  <c r="L8859" i="1"/>
  <c r="A8860" i="1"/>
  <c r="B8860" i="1"/>
  <c r="C8860" i="1"/>
  <c r="D8860" i="1"/>
  <c r="E8860" i="1"/>
  <c r="F8860" i="1"/>
  <c r="G8860" i="1"/>
  <c r="H8860" i="1"/>
  <c r="I8860" i="1"/>
  <c r="J8860" i="1"/>
  <c r="K8860" i="1"/>
  <c r="L8860" i="1"/>
  <c r="A8861" i="1"/>
  <c r="B8861" i="1"/>
  <c r="C8861" i="1"/>
  <c r="D8861" i="1"/>
  <c r="E8861" i="1"/>
  <c r="F8861" i="1"/>
  <c r="G8861" i="1"/>
  <c r="H8861" i="1"/>
  <c r="I8861" i="1"/>
  <c r="J8861" i="1"/>
  <c r="K8861" i="1"/>
  <c r="L8861" i="1"/>
  <c r="A8862" i="1"/>
  <c r="B8862" i="1"/>
  <c r="C8862" i="1"/>
  <c r="D8862" i="1"/>
  <c r="E8862" i="1"/>
  <c r="F8862" i="1"/>
  <c r="G8862" i="1"/>
  <c r="H8862" i="1"/>
  <c r="I8862" i="1"/>
  <c r="J8862" i="1"/>
  <c r="K8862" i="1"/>
  <c r="L8862" i="1"/>
  <c r="A8863" i="1"/>
  <c r="B8863" i="1"/>
  <c r="C8863" i="1"/>
  <c r="D8863" i="1"/>
  <c r="E8863" i="1"/>
  <c r="F8863" i="1"/>
  <c r="G8863" i="1"/>
  <c r="H8863" i="1"/>
  <c r="I8863" i="1"/>
  <c r="J8863" i="1"/>
  <c r="K8863" i="1"/>
  <c r="L8863" i="1"/>
  <c r="A8864" i="1"/>
  <c r="B8864" i="1"/>
  <c r="C8864" i="1"/>
  <c r="D8864" i="1"/>
  <c r="E8864" i="1"/>
  <c r="F8864" i="1"/>
  <c r="G8864" i="1"/>
  <c r="H8864" i="1"/>
  <c r="I8864" i="1"/>
  <c r="J8864" i="1"/>
  <c r="K8864" i="1"/>
  <c r="L8864" i="1"/>
  <c r="A8865" i="1"/>
  <c r="B8865" i="1"/>
  <c r="C8865" i="1"/>
  <c r="D8865" i="1"/>
  <c r="E8865" i="1"/>
  <c r="F8865" i="1"/>
  <c r="G8865" i="1"/>
  <c r="H8865" i="1"/>
  <c r="I8865" i="1"/>
  <c r="J8865" i="1"/>
  <c r="K8865" i="1"/>
  <c r="L8865" i="1"/>
  <c r="A8866" i="1"/>
  <c r="B8866" i="1"/>
  <c r="C8866" i="1"/>
  <c r="D8866" i="1"/>
  <c r="E8866" i="1"/>
  <c r="F8866" i="1"/>
  <c r="G8866" i="1"/>
  <c r="H8866" i="1"/>
  <c r="I8866" i="1"/>
  <c r="J8866" i="1"/>
  <c r="K8866" i="1"/>
  <c r="L8866" i="1"/>
  <c r="A8867" i="1"/>
  <c r="B8867" i="1"/>
  <c r="C8867" i="1"/>
  <c r="D8867" i="1"/>
  <c r="E8867" i="1"/>
  <c r="F8867" i="1"/>
  <c r="G8867" i="1"/>
  <c r="H8867" i="1"/>
  <c r="I8867" i="1"/>
  <c r="J8867" i="1"/>
  <c r="K8867" i="1"/>
  <c r="L8867" i="1"/>
  <c r="A8868" i="1"/>
  <c r="B8868" i="1"/>
  <c r="C8868" i="1"/>
  <c r="D8868" i="1"/>
  <c r="E8868" i="1"/>
  <c r="F8868" i="1"/>
  <c r="G8868" i="1"/>
  <c r="H8868" i="1"/>
  <c r="I8868" i="1"/>
  <c r="J8868" i="1"/>
  <c r="K8868" i="1"/>
  <c r="L8868" i="1"/>
  <c r="A8869" i="1"/>
  <c r="B8869" i="1"/>
  <c r="C8869" i="1"/>
  <c r="D8869" i="1"/>
  <c r="E8869" i="1"/>
  <c r="F8869" i="1"/>
  <c r="G8869" i="1"/>
  <c r="H8869" i="1"/>
  <c r="I8869" i="1"/>
  <c r="J8869" i="1"/>
  <c r="K8869" i="1"/>
  <c r="L8869" i="1"/>
  <c r="A8870" i="1"/>
  <c r="B8870" i="1"/>
  <c r="C8870" i="1"/>
  <c r="D8870" i="1"/>
  <c r="E8870" i="1"/>
  <c r="F8870" i="1"/>
  <c r="G8870" i="1"/>
  <c r="H8870" i="1"/>
  <c r="I8870" i="1"/>
  <c r="J8870" i="1"/>
  <c r="K8870" i="1"/>
  <c r="L8870" i="1"/>
  <c r="A8871" i="1"/>
  <c r="B8871" i="1"/>
  <c r="C8871" i="1"/>
  <c r="D8871" i="1"/>
  <c r="E8871" i="1"/>
  <c r="F8871" i="1"/>
  <c r="G8871" i="1"/>
  <c r="H8871" i="1"/>
  <c r="I8871" i="1"/>
  <c r="J8871" i="1"/>
  <c r="K8871" i="1"/>
  <c r="L8871" i="1"/>
  <c r="A8872" i="1"/>
  <c r="B8872" i="1"/>
  <c r="C8872" i="1"/>
  <c r="D8872" i="1"/>
  <c r="E8872" i="1"/>
  <c r="F8872" i="1"/>
  <c r="G8872" i="1"/>
  <c r="H8872" i="1"/>
  <c r="I8872" i="1"/>
  <c r="J8872" i="1"/>
  <c r="K8872" i="1"/>
  <c r="L8872" i="1"/>
  <c r="A8873" i="1"/>
  <c r="B8873" i="1"/>
  <c r="C8873" i="1"/>
  <c r="D8873" i="1"/>
  <c r="E8873" i="1"/>
  <c r="F8873" i="1"/>
  <c r="G8873" i="1"/>
  <c r="H8873" i="1"/>
  <c r="I8873" i="1"/>
  <c r="J8873" i="1"/>
  <c r="K8873" i="1"/>
  <c r="L8873" i="1"/>
  <c r="A8874" i="1"/>
  <c r="B8874" i="1"/>
  <c r="C8874" i="1"/>
  <c r="D8874" i="1"/>
  <c r="E8874" i="1"/>
  <c r="F8874" i="1"/>
  <c r="G8874" i="1"/>
  <c r="H8874" i="1"/>
  <c r="I8874" i="1"/>
  <c r="J8874" i="1"/>
  <c r="K8874" i="1"/>
  <c r="L8874" i="1"/>
  <c r="A8875" i="1"/>
  <c r="B8875" i="1"/>
  <c r="C8875" i="1"/>
  <c r="D8875" i="1"/>
  <c r="E8875" i="1"/>
  <c r="F8875" i="1"/>
  <c r="G8875" i="1"/>
  <c r="H8875" i="1"/>
  <c r="I8875" i="1"/>
  <c r="J8875" i="1"/>
  <c r="K8875" i="1"/>
  <c r="L8875" i="1"/>
  <c r="A8876" i="1"/>
  <c r="B8876" i="1"/>
  <c r="C8876" i="1"/>
  <c r="D8876" i="1"/>
  <c r="E8876" i="1"/>
  <c r="F8876" i="1"/>
  <c r="G8876" i="1"/>
  <c r="H8876" i="1"/>
  <c r="I8876" i="1"/>
  <c r="J8876" i="1"/>
  <c r="K8876" i="1"/>
  <c r="L8876" i="1"/>
  <c r="A8877" i="1"/>
  <c r="B8877" i="1"/>
  <c r="C8877" i="1"/>
  <c r="D8877" i="1"/>
  <c r="E8877" i="1"/>
  <c r="F8877" i="1"/>
  <c r="G8877" i="1"/>
  <c r="H8877" i="1"/>
  <c r="I8877" i="1"/>
  <c r="J8877" i="1"/>
  <c r="K8877" i="1"/>
  <c r="L8877" i="1"/>
  <c r="A8878" i="1"/>
  <c r="B8878" i="1"/>
  <c r="C8878" i="1"/>
  <c r="D8878" i="1"/>
  <c r="E8878" i="1"/>
  <c r="F8878" i="1"/>
  <c r="G8878" i="1"/>
  <c r="H8878" i="1"/>
  <c r="I8878" i="1"/>
  <c r="J8878" i="1"/>
  <c r="K8878" i="1"/>
  <c r="L8878" i="1"/>
  <c r="A8879" i="1"/>
  <c r="B8879" i="1"/>
  <c r="C8879" i="1"/>
  <c r="D8879" i="1"/>
  <c r="E8879" i="1"/>
  <c r="F8879" i="1"/>
  <c r="G8879" i="1"/>
  <c r="H8879" i="1"/>
  <c r="I8879" i="1"/>
  <c r="J8879" i="1"/>
  <c r="K8879" i="1"/>
  <c r="L8879" i="1"/>
  <c r="A8880" i="1"/>
  <c r="B8880" i="1"/>
  <c r="C8880" i="1"/>
  <c r="D8880" i="1"/>
  <c r="E8880" i="1"/>
  <c r="F8880" i="1"/>
  <c r="G8880" i="1"/>
  <c r="H8880" i="1"/>
  <c r="I8880" i="1"/>
  <c r="J8880" i="1"/>
  <c r="K8880" i="1"/>
  <c r="L8880" i="1"/>
  <c r="A8881" i="1"/>
  <c r="B8881" i="1"/>
  <c r="C8881" i="1"/>
  <c r="D8881" i="1"/>
  <c r="E8881" i="1"/>
  <c r="F8881" i="1"/>
  <c r="G8881" i="1"/>
  <c r="H8881" i="1"/>
  <c r="I8881" i="1"/>
  <c r="J8881" i="1"/>
  <c r="K8881" i="1"/>
  <c r="L8881" i="1"/>
  <c r="A8882" i="1"/>
  <c r="B8882" i="1"/>
  <c r="C8882" i="1"/>
  <c r="D8882" i="1"/>
  <c r="E8882" i="1"/>
  <c r="F8882" i="1"/>
  <c r="G8882" i="1"/>
  <c r="H8882" i="1"/>
  <c r="I8882" i="1"/>
  <c r="J8882" i="1"/>
  <c r="K8882" i="1"/>
  <c r="L8882" i="1"/>
  <c r="A8883" i="1"/>
  <c r="B8883" i="1"/>
  <c r="C8883" i="1"/>
  <c r="D8883" i="1"/>
  <c r="E8883" i="1"/>
  <c r="F8883" i="1"/>
  <c r="G8883" i="1"/>
  <c r="H8883" i="1"/>
  <c r="I8883" i="1"/>
  <c r="J8883" i="1"/>
  <c r="K8883" i="1"/>
  <c r="L8883" i="1"/>
  <c r="A8884" i="1"/>
  <c r="B8884" i="1"/>
  <c r="C8884" i="1"/>
  <c r="D8884" i="1"/>
  <c r="E8884" i="1"/>
  <c r="F8884" i="1"/>
  <c r="G8884" i="1"/>
  <c r="H8884" i="1"/>
  <c r="I8884" i="1"/>
  <c r="J8884" i="1"/>
  <c r="K8884" i="1"/>
  <c r="L8884" i="1"/>
  <c r="A8885" i="1"/>
  <c r="B8885" i="1"/>
  <c r="C8885" i="1"/>
  <c r="D8885" i="1"/>
  <c r="E8885" i="1"/>
  <c r="F8885" i="1"/>
  <c r="G8885" i="1"/>
  <c r="H8885" i="1"/>
  <c r="I8885" i="1"/>
  <c r="J8885" i="1"/>
  <c r="K8885" i="1"/>
  <c r="L8885" i="1"/>
  <c r="A8886" i="1"/>
  <c r="B8886" i="1"/>
  <c r="C8886" i="1"/>
  <c r="D8886" i="1"/>
  <c r="E8886" i="1"/>
  <c r="F8886" i="1"/>
  <c r="G8886" i="1"/>
  <c r="H8886" i="1"/>
  <c r="I8886" i="1"/>
  <c r="J8886" i="1"/>
  <c r="K8886" i="1"/>
  <c r="L8886" i="1"/>
  <c r="A8887" i="1"/>
  <c r="B8887" i="1"/>
  <c r="C8887" i="1"/>
  <c r="D8887" i="1"/>
  <c r="E8887" i="1"/>
  <c r="F8887" i="1"/>
  <c r="G8887" i="1"/>
  <c r="H8887" i="1"/>
  <c r="I8887" i="1"/>
  <c r="J8887" i="1"/>
  <c r="K8887" i="1"/>
  <c r="L8887" i="1"/>
  <c r="A8888" i="1"/>
  <c r="B8888" i="1"/>
  <c r="C8888" i="1"/>
  <c r="D8888" i="1"/>
  <c r="E8888" i="1"/>
  <c r="F8888" i="1"/>
  <c r="G8888" i="1"/>
  <c r="H8888" i="1"/>
  <c r="I8888" i="1"/>
  <c r="J8888" i="1"/>
  <c r="K8888" i="1"/>
  <c r="L8888" i="1"/>
  <c r="A8889" i="1"/>
  <c r="B8889" i="1"/>
  <c r="C8889" i="1"/>
  <c r="D8889" i="1"/>
  <c r="E8889" i="1"/>
  <c r="F8889" i="1"/>
  <c r="G8889" i="1"/>
  <c r="H8889" i="1"/>
  <c r="I8889" i="1"/>
  <c r="J8889" i="1"/>
  <c r="K8889" i="1"/>
  <c r="L8889" i="1"/>
  <c r="A8890" i="1"/>
  <c r="B8890" i="1"/>
  <c r="C8890" i="1"/>
  <c r="D8890" i="1"/>
  <c r="E8890" i="1"/>
  <c r="F8890" i="1"/>
  <c r="G8890" i="1"/>
  <c r="H8890" i="1"/>
  <c r="I8890" i="1"/>
  <c r="J8890" i="1"/>
  <c r="K8890" i="1"/>
  <c r="L8890" i="1"/>
  <c r="A8891" i="1"/>
  <c r="B8891" i="1"/>
  <c r="C8891" i="1"/>
  <c r="D8891" i="1"/>
  <c r="E8891" i="1"/>
  <c r="F8891" i="1"/>
  <c r="G8891" i="1"/>
  <c r="H8891" i="1"/>
  <c r="I8891" i="1"/>
  <c r="J8891" i="1"/>
  <c r="K8891" i="1"/>
  <c r="L8891" i="1"/>
  <c r="A8892" i="1"/>
  <c r="B8892" i="1"/>
  <c r="C8892" i="1"/>
  <c r="D8892" i="1"/>
  <c r="E8892" i="1"/>
  <c r="F8892" i="1"/>
  <c r="G8892" i="1"/>
  <c r="H8892" i="1"/>
  <c r="I8892" i="1"/>
  <c r="J8892" i="1"/>
  <c r="K8892" i="1"/>
  <c r="L8892" i="1"/>
  <c r="A8893" i="1"/>
  <c r="B8893" i="1"/>
  <c r="C8893" i="1"/>
  <c r="D8893" i="1"/>
  <c r="E8893" i="1"/>
  <c r="F8893" i="1"/>
  <c r="G8893" i="1"/>
  <c r="H8893" i="1"/>
  <c r="I8893" i="1"/>
  <c r="J8893" i="1"/>
  <c r="K8893" i="1"/>
  <c r="L8893" i="1"/>
  <c r="A8894" i="1"/>
  <c r="B8894" i="1"/>
  <c r="C8894" i="1"/>
  <c r="D8894" i="1"/>
  <c r="E8894" i="1"/>
  <c r="F8894" i="1"/>
  <c r="G8894" i="1"/>
  <c r="H8894" i="1"/>
  <c r="I8894" i="1"/>
  <c r="J8894" i="1"/>
  <c r="K8894" i="1"/>
  <c r="L8894" i="1"/>
  <c r="A8895" i="1"/>
  <c r="B8895" i="1"/>
  <c r="C8895" i="1"/>
  <c r="D8895" i="1"/>
  <c r="E8895" i="1"/>
  <c r="F8895" i="1"/>
  <c r="G8895" i="1"/>
  <c r="H8895" i="1"/>
  <c r="I8895" i="1"/>
  <c r="J8895" i="1"/>
  <c r="K8895" i="1"/>
  <c r="L8895" i="1"/>
  <c r="A8896" i="1"/>
  <c r="B8896" i="1"/>
  <c r="C8896" i="1"/>
  <c r="D8896" i="1"/>
  <c r="E8896" i="1"/>
  <c r="F8896" i="1"/>
  <c r="G8896" i="1"/>
  <c r="H8896" i="1"/>
  <c r="I8896" i="1"/>
  <c r="J8896" i="1"/>
  <c r="K8896" i="1"/>
  <c r="L8896" i="1"/>
  <c r="A8897" i="1"/>
  <c r="B8897" i="1"/>
  <c r="C8897" i="1"/>
  <c r="D8897" i="1"/>
  <c r="E8897" i="1"/>
  <c r="F8897" i="1"/>
  <c r="G8897" i="1"/>
  <c r="H8897" i="1"/>
  <c r="I8897" i="1"/>
  <c r="J8897" i="1"/>
  <c r="K8897" i="1"/>
  <c r="L8897" i="1"/>
  <c r="A8898" i="1"/>
  <c r="B8898" i="1"/>
  <c r="C8898" i="1"/>
  <c r="D8898" i="1"/>
  <c r="E8898" i="1"/>
  <c r="F8898" i="1"/>
  <c r="G8898" i="1"/>
  <c r="H8898" i="1"/>
  <c r="I8898" i="1"/>
  <c r="J8898" i="1"/>
  <c r="K8898" i="1"/>
  <c r="L8898" i="1"/>
  <c r="A8899" i="1"/>
  <c r="B8899" i="1"/>
  <c r="C8899" i="1"/>
  <c r="D8899" i="1"/>
  <c r="E8899" i="1"/>
  <c r="F8899" i="1"/>
  <c r="G8899" i="1"/>
  <c r="H8899" i="1"/>
  <c r="I8899" i="1"/>
  <c r="J8899" i="1"/>
  <c r="K8899" i="1"/>
  <c r="L8899" i="1"/>
  <c r="A8900" i="1"/>
  <c r="B8900" i="1"/>
  <c r="C8900" i="1"/>
  <c r="D8900" i="1"/>
  <c r="E8900" i="1"/>
  <c r="F8900" i="1"/>
  <c r="G8900" i="1"/>
  <c r="H8900" i="1"/>
  <c r="I8900" i="1"/>
  <c r="J8900" i="1"/>
  <c r="K8900" i="1"/>
  <c r="L8900" i="1"/>
  <c r="A8901" i="1"/>
  <c r="B8901" i="1"/>
  <c r="C8901" i="1"/>
  <c r="D8901" i="1"/>
  <c r="E8901" i="1"/>
  <c r="F8901" i="1"/>
  <c r="G8901" i="1"/>
  <c r="H8901" i="1"/>
  <c r="I8901" i="1"/>
  <c r="J8901" i="1"/>
  <c r="K8901" i="1"/>
  <c r="L8901" i="1"/>
  <c r="A8902" i="1"/>
  <c r="B8902" i="1"/>
  <c r="C8902" i="1"/>
  <c r="D8902" i="1"/>
  <c r="E8902" i="1"/>
  <c r="F8902" i="1"/>
  <c r="G8902" i="1"/>
  <c r="H8902" i="1"/>
  <c r="I8902" i="1"/>
  <c r="J8902" i="1"/>
  <c r="K8902" i="1"/>
  <c r="L8902" i="1"/>
  <c r="A8903" i="1"/>
  <c r="B8903" i="1"/>
  <c r="C8903" i="1"/>
  <c r="D8903" i="1"/>
  <c r="E8903" i="1"/>
  <c r="F8903" i="1"/>
  <c r="G8903" i="1"/>
  <c r="H8903" i="1"/>
  <c r="I8903" i="1"/>
  <c r="J8903" i="1"/>
  <c r="K8903" i="1"/>
  <c r="L8903" i="1"/>
  <c r="A8904" i="1"/>
  <c r="B8904" i="1"/>
  <c r="C8904" i="1"/>
  <c r="D8904" i="1"/>
  <c r="E8904" i="1"/>
  <c r="F8904" i="1"/>
  <c r="G8904" i="1"/>
  <c r="H8904" i="1"/>
  <c r="I8904" i="1"/>
  <c r="J8904" i="1"/>
  <c r="K8904" i="1"/>
  <c r="L8904" i="1"/>
  <c r="A8905" i="1"/>
  <c r="B8905" i="1"/>
  <c r="C8905" i="1"/>
  <c r="D8905" i="1"/>
  <c r="E8905" i="1"/>
  <c r="F8905" i="1"/>
  <c r="G8905" i="1"/>
  <c r="H8905" i="1"/>
  <c r="I8905" i="1"/>
  <c r="J8905" i="1"/>
  <c r="K8905" i="1"/>
  <c r="L8905" i="1"/>
  <c r="A8906" i="1"/>
  <c r="B8906" i="1"/>
  <c r="C8906" i="1"/>
  <c r="D8906" i="1"/>
  <c r="E8906" i="1"/>
  <c r="F8906" i="1"/>
  <c r="G8906" i="1"/>
  <c r="H8906" i="1"/>
  <c r="I8906" i="1"/>
  <c r="J8906" i="1"/>
  <c r="K8906" i="1"/>
  <c r="L8906" i="1"/>
  <c r="A8907" i="1"/>
  <c r="B8907" i="1"/>
  <c r="C8907" i="1"/>
  <c r="D8907" i="1"/>
  <c r="E8907" i="1"/>
  <c r="F8907" i="1"/>
  <c r="G8907" i="1"/>
  <c r="H8907" i="1"/>
  <c r="I8907" i="1"/>
  <c r="J8907" i="1"/>
  <c r="K8907" i="1"/>
  <c r="L8907" i="1"/>
  <c r="A8908" i="1"/>
  <c r="B8908" i="1"/>
  <c r="C8908" i="1"/>
  <c r="D8908" i="1"/>
  <c r="E8908" i="1"/>
  <c r="F8908" i="1"/>
  <c r="G8908" i="1"/>
  <c r="H8908" i="1"/>
  <c r="I8908" i="1"/>
  <c r="J8908" i="1"/>
  <c r="K8908" i="1"/>
  <c r="L8908" i="1"/>
  <c r="A8909" i="1"/>
  <c r="B8909" i="1"/>
  <c r="C8909" i="1"/>
  <c r="D8909" i="1"/>
  <c r="E8909" i="1"/>
  <c r="F8909" i="1"/>
  <c r="G8909" i="1"/>
  <c r="H8909" i="1"/>
  <c r="I8909" i="1"/>
  <c r="J8909" i="1"/>
  <c r="K8909" i="1"/>
  <c r="L8909" i="1"/>
  <c r="A8910" i="1"/>
  <c r="B8910" i="1"/>
  <c r="C8910" i="1"/>
  <c r="D8910" i="1"/>
  <c r="E8910" i="1"/>
  <c r="F8910" i="1"/>
  <c r="G8910" i="1"/>
  <c r="H8910" i="1"/>
  <c r="I8910" i="1"/>
  <c r="J8910" i="1"/>
  <c r="K8910" i="1"/>
  <c r="L8910" i="1"/>
  <c r="A8911" i="1"/>
  <c r="B8911" i="1"/>
  <c r="C8911" i="1"/>
  <c r="D8911" i="1"/>
  <c r="E8911" i="1"/>
  <c r="F8911" i="1"/>
  <c r="G8911" i="1"/>
  <c r="H8911" i="1"/>
  <c r="I8911" i="1"/>
  <c r="J8911" i="1"/>
  <c r="K8911" i="1"/>
  <c r="L8911" i="1"/>
  <c r="A8912" i="1"/>
  <c r="B8912" i="1"/>
  <c r="C8912" i="1"/>
  <c r="D8912" i="1"/>
  <c r="E8912" i="1"/>
  <c r="F8912" i="1"/>
  <c r="G8912" i="1"/>
  <c r="H8912" i="1"/>
  <c r="I8912" i="1"/>
  <c r="J8912" i="1"/>
  <c r="K8912" i="1"/>
  <c r="L8912" i="1"/>
  <c r="A8913" i="1"/>
  <c r="B8913" i="1"/>
  <c r="C8913" i="1"/>
  <c r="D8913" i="1"/>
  <c r="E8913" i="1"/>
  <c r="F8913" i="1"/>
  <c r="G8913" i="1"/>
  <c r="H8913" i="1"/>
  <c r="I8913" i="1"/>
  <c r="J8913" i="1"/>
  <c r="K8913" i="1"/>
  <c r="L8913" i="1"/>
  <c r="A8914" i="1"/>
  <c r="B8914" i="1"/>
  <c r="C8914" i="1"/>
  <c r="D8914" i="1"/>
  <c r="E8914" i="1"/>
  <c r="F8914" i="1"/>
  <c r="G8914" i="1"/>
  <c r="H8914" i="1"/>
  <c r="I8914" i="1"/>
  <c r="J8914" i="1"/>
  <c r="K8914" i="1"/>
  <c r="L8914" i="1"/>
  <c r="A8915" i="1"/>
  <c r="B8915" i="1"/>
  <c r="C8915" i="1"/>
  <c r="D8915" i="1"/>
  <c r="E8915" i="1"/>
  <c r="F8915" i="1"/>
  <c r="G8915" i="1"/>
  <c r="H8915" i="1"/>
  <c r="I8915" i="1"/>
  <c r="J8915" i="1"/>
  <c r="K8915" i="1"/>
  <c r="L8915" i="1"/>
  <c r="A8916" i="1"/>
  <c r="B8916" i="1"/>
  <c r="C8916" i="1"/>
  <c r="D8916" i="1"/>
  <c r="E8916" i="1"/>
  <c r="F8916" i="1"/>
  <c r="G8916" i="1"/>
  <c r="H8916" i="1"/>
  <c r="I8916" i="1"/>
  <c r="J8916" i="1"/>
  <c r="K8916" i="1"/>
  <c r="L8916" i="1"/>
  <c r="A8917" i="1"/>
  <c r="B8917" i="1"/>
  <c r="C8917" i="1"/>
  <c r="D8917" i="1"/>
  <c r="E8917" i="1"/>
  <c r="F8917" i="1"/>
  <c r="G8917" i="1"/>
  <c r="H8917" i="1"/>
  <c r="I8917" i="1"/>
  <c r="J8917" i="1"/>
  <c r="K8917" i="1"/>
  <c r="L8917" i="1"/>
  <c r="A8918" i="1"/>
  <c r="B8918" i="1"/>
  <c r="C8918" i="1"/>
  <c r="D8918" i="1"/>
  <c r="E8918" i="1"/>
  <c r="F8918" i="1"/>
  <c r="G8918" i="1"/>
  <c r="H8918" i="1"/>
  <c r="I8918" i="1"/>
  <c r="J8918" i="1"/>
  <c r="K8918" i="1"/>
  <c r="L8918" i="1"/>
  <c r="A8919" i="1"/>
  <c r="B8919" i="1"/>
  <c r="C8919" i="1"/>
  <c r="D8919" i="1"/>
  <c r="E8919" i="1"/>
  <c r="F8919" i="1"/>
  <c r="G8919" i="1"/>
  <c r="H8919" i="1"/>
  <c r="I8919" i="1"/>
  <c r="J8919" i="1"/>
  <c r="K8919" i="1"/>
  <c r="L8919" i="1"/>
  <c r="A8920" i="1"/>
  <c r="B8920" i="1"/>
  <c r="C8920" i="1"/>
  <c r="D8920" i="1"/>
  <c r="E8920" i="1"/>
  <c r="F8920" i="1"/>
  <c r="G8920" i="1"/>
  <c r="H8920" i="1"/>
  <c r="I8920" i="1"/>
  <c r="J8920" i="1"/>
  <c r="K8920" i="1"/>
  <c r="L8920" i="1"/>
  <c r="A8921" i="1"/>
  <c r="B8921" i="1"/>
  <c r="C8921" i="1"/>
  <c r="D8921" i="1"/>
  <c r="E8921" i="1"/>
  <c r="F8921" i="1"/>
  <c r="G8921" i="1"/>
  <c r="H8921" i="1"/>
  <c r="I8921" i="1"/>
  <c r="J8921" i="1"/>
  <c r="K8921" i="1"/>
  <c r="L8921" i="1"/>
  <c r="A8922" i="1"/>
  <c r="B8922" i="1"/>
  <c r="C8922" i="1"/>
  <c r="D8922" i="1"/>
  <c r="E8922" i="1"/>
  <c r="F8922" i="1"/>
  <c r="G8922" i="1"/>
  <c r="H8922" i="1"/>
  <c r="I8922" i="1"/>
  <c r="J8922" i="1"/>
  <c r="K8922" i="1"/>
  <c r="L8922" i="1"/>
  <c r="A8923" i="1"/>
  <c r="B8923" i="1"/>
  <c r="C8923" i="1"/>
  <c r="D8923" i="1"/>
  <c r="E8923" i="1"/>
  <c r="F8923" i="1"/>
  <c r="G8923" i="1"/>
  <c r="H8923" i="1"/>
  <c r="I8923" i="1"/>
  <c r="J8923" i="1"/>
  <c r="K8923" i="1"/>
  <c r="L8923" i="1"/>
  <c r="A8924" i="1"/>
  <c r="B8924" i="1"/>
  <c r="C8924" i="1"/>
  <c r="D8924" i="1"/>
  <c r="E8924" i="1"/>
  <c r="F8924" i="1"/>
  <c r="G8924" i="1"/>
  <c r="H8924" i="1"/>
  <c r="I8924" i="1"/>
  <c r="J8924" i="1"/>
  <c r="K8924" i="1"/>
  <c r="L8924" i="1"/>
  <c r="A8925" i="1"/>
  <c r="B8925" i="1"/>
  <c r="C8925" i="1"/>
  <c r="D8925" i="1"/>
  <c r="E8925" i="1"/>
  <c r="F8925" i="1"/>
  <c r="G8925" i="1"/>
  <c r="H8925" i="1"/>
  <c r="I8925" i="1"/>
  <c r="J8925" i="1"/>
  <c r="K8925" i="1"/>
  <c r="L8925" i="1"/>
  <c r="A8926" i="1"/>
  <c r="B8926" i="1"/>
  <c r="C8926" i="1"/>
  <c r="D8926" i="1"/>
  <c r="E8926" i="1"/>
  <c r="F8926" i="1"/>
  <c r="G8926" i="1"/>
  <c r="H8926" i="1"/>
  <c r="I8926" i="1"/>
  <c r="J8926" i="1"/>
  <c r="K8926" i="1"/>
  <c r="L8926" i="1"/>
  <c r="A8927" i="1"/>
  <c r="B8927" i="1"/>
  <c r="C8927" i="1"/>
  <c r="D8927" i="1"/>
  <c r="E8927" i="1"/>
  <c r="F8927" i="1"/>
  <c r="G8927" i="1"/>
  <c r="H8927" i="1"/>
  <c r="I8927" i="1"/>
  <c r="J8927" i="1"/>
  <c r="K8927" i="1"/>
  <c r="L8927" i="1"/>
  <c r="A8928" i="1"/>
  <c r="B8928" i="1"/>
  <c r="C8928" i="1"/>
  <c r="D8928" i="1"/>
  <c r="E8928" i="1"/>
  <c r="F8928" i="1"/>
  <c r="G8928" i="1"/>
  <c r="H8928" i="1"/>
  <c r="I8928" i="1"/>
  <c r="J8928" i="1"/>
  <c r="K8928" i="1"/>
  <c r="L8928" i="1"/>
  <c r="A8929" i="1"/>
  <c r="B8929" i="1"/>
  <c r="C8929" i="1"/>
  <c r="D8929" i="1"/>
  <c r="E8929" i="1"/>
  <c r="F8929" i="1"/>
  <c r="G8929" i="1"/>
  <c r="H8929" i="1"/>
  <c r="I8929" i="1"/>
  <c r="J8929" i="1"/>
  <c r="K8929" i="1"/>
  <c r="L8929" i="1"/>
  <c r="A8930" i="1"/>
  <c r="B8930" i="1"/>
  <c r="C8930" i="1"/>
  <c r="D8930" i="1"/>
  <c r="E8930" i="1"/>
  <c r="F8930" i="1"/>
  <c r="G8930" i="1"/>
  <c r="H8930" i="1"/>
  <c r="I8930" i="1"/>
  <c r="J8930" i="1"/>
  <c r="K8930" i="1"/>
  <c r="L8930" i="1"/>
  <c r="A8931" i="1"/>
  <c r="B8931" i="1"/>
  <c r="C8931" i="1"/>
  <c r="D8931" i="1"/>
  <c r="E8931" i="1"/>
  <c r="F8931" i="1"/>
  <c r="G8931" i="1"/>
  <c r="H8931" i="1"/>
  <c r="I8931" i="1"/>
  <c r="J8931" i="1"/>
  <c r="K8931" i="1"/>
  <c r="L8931" i="1"/>
  <c r="A8932" i="1"/>
  <c r="B8932" i="1"/>
  <c r="C8932" i="1"/>
  <c r="D8932" i="1"/>
  <c r="E8932" i="1"/>
  <c r="F8932" i="1"/>
  <c r="G8932" i="1"/>
  <c r="H8932" i="1"/>
  <c r="I8932" i="1"/>
  <c r="J8932" i="1"/>
  <c r="K8932" i="1"/>
  <c r="L8932" i="1"/>
  <c r="A8933" i="1"/>
  <c r="B8933" i="1"/>
  <c r="C8933" i="1"/>
  <c r="D8933" i="1"/>
  <c r="E8933" i="1"/>
  <c r="F8933" i="1"/>
  <c r="G8933" i="1"/>
  <c r="H8933" i="1"/>
  <c r="I8933" i="1"/>
  <c r="J8933" i="1"/>
  <c r="K8933" i="1"/>
  <c r="L8933" i="1"/>
  <c r="A8934" i="1"/>
  <c r="B8934" i="1"/>
  <c r="C8934" i="1"/>
  <c r="D8934" i="1"/>
  <c r="E8934" i="1"/>
  <c r="F8934" i="1"/>
  <c r="G8934" i="1"/>
  <c r="H8934" i="1"/>
  <c r="I8934" i="1"/>
  <c r="J8934" i="1"/>
  <c r="K8934" i="1"/>
  <c r="L8934" i="1"/>
  <c r="A8935" i="1"/>
  <c r="B8935" i="1"/>
  <c r="C8935" i="1"/>
  <c r="D8935" i="1"/>
  <c r="E8935" i="1"/>
  <c r="F8935" i="1"/>
  <c r="G8935" i="1"/>
  <c r="H8935" i="1"/>
  <c r="I8935" i="1"/>
  <c r="J8935" i="1"/>
  <c r="K8935" i="1"/>
  <c r="L8935" i="1"/>
  <c r="A8936" i="1"/>
  <c r="B8936" i="1"/>
  <c r="C8936" i="1"/>
  <c r="D8936" i="1"/>
  <c r="E8936" i="1"/>
  <c r="F8936" i="1"/>
  <c r="G8936" i="1"/>
  <c r="H8936" i="1"/>
  <c r="I8936" i="1"/>
  <c r="J8936" i="1"/>
  <c r="K8936" i="1"/>
  <c r="L8936" i="1"/>
  <c r="A8937" i="1"/>
  <c r="B8937" i="1"/>
  <c r="C8937" i="1"/>
  <c r="D8937" i="1"/>
  <c r="E8937" i="1"/>
  <c r="F8937" i="1"/>
  <c r="G8937" i="1"/>
  <c r="H8937" i="1"/>
  <c r="I8937" i="1"/>
  <c r="J8937" i="1"/>
  <c r="K8937" i="1"/>
  <c r="L8937" i="1"/>
  <c r="A8938" i="1"/>
  <c r="B8938" i="1"/>
  <c r="C8938" i="1"/>
  <c r="D8938" i="1"/>
  <c r="E8938" i="1"/>
  <c r="F8938" i="1"/>
  <c r="G8938" i="1"/>
  <c r="H8938" i="1"/>
  <c r="I8938" i="1"/>
  <c r="J8938" i="1"/>
  <c r="K8938" i="1"/>
  <c r="L8938" i="1"/>
  <c r="A8939" i="1"/>
  <c r="B8939" i="1"/>
  <c r="C8939" i="1"/>
  <c r="D8939" i="1"/>
  <c r="E8939" i="1"/>
  <c r="F8939" i="1"/>
  <c r="G8939" i="1"/>
  <c r="H8939" i="1"/>
  <c r="I8939" i="1"/>
  <c r="J8939" i="1"/>
  <c r="K8939" i="1"/>
  <c r="L8939" i="1"/>
  <c r="A8940" i="1"/>
  <c r="B8940" i="1"/>
  <c r="C8940" i="1"/>
  <c r="D8940" i="1"/>
  <c r="E8940" i="1"/>
  <c r="F8940" i="1"/>
  <c r="G8940" i="1"/>
  <c r="H8940" i="1"/>
  <c r="I8940" i="1"/>
  <c r="J8940" i="1"/>
  <c r="K8940" i="1"/>
  <c r="L8940" i="1"/>
  <c r="A8941" i="1"/>
  <c r="B8941" i="1"/>
  <c r="C8941" i="1"/>
  <c r="D8941" i="1"/>
  <c r="E8941" i="1"/>
  <c r="F8941" i="1"/>
  <c r="G8941" i="1"/>
  <c r="H8941" i="1"/>
  <c r="I8941" i="1"/>
  <c r="J8941" i="1"/>
  <c r="K8941" i="1"/>
  <c r="L8941" i="1"/>
  <c r="A8942" i="1"/>
  <c r="B8942" i="1"/>
  <c r="C8942" i="1"/>
  <c r="D8942" i="1"/>
  <c r="E8942" i="1"/>
  <c r="F8942" i="1"/>
  <c r="G8942" i="1"/>
  <c r="H8942" i="1"/>
  <c r="I8942" i="1"/>
  <c r="J8942" i="1"/>
  <c r="K8942" i="1"/>
  <c r="L8942" i="1"/>
  <c r="A8943" i="1"/>
  <c r="B8943" i="1"/>
  <c r="C8943" i="1"/>
  <c r="D8943" i="1"/>
  <c r="E8943" i="1"/>
  <c r="F8943" i="1"/>
  <c r="G8943" i="1"/>
  <c r="H8943" i="1"/>
  <c r="I8943" i="1"/>
  <c r="J8943" i="1"/>
  <c r="K8943" i="1"/>
  <c r="L8943" i="1"/>
  <c r="A8944" i="1"/>
  <c r="B8944" i="1"/>
  <c r="C8944" i="1"/>
  <c r="D8944" i="1"/>
  <c r="E8944" i="1"/>
  <c r="F8944" i="1"/>
  <c r="G8944" i="1"/>
  <c r="H8944" i="1"/>
  <c r="I8944" i="1"/>
  <c r="J8944" i="1"/>
  <c r="K8944" i="1"/>
  <c r="L8944" i="1"/>
  <c r="A8945" i="1"/>
  <c r="B8945" i="1"/>
  <c r="C8945" i="1"/>
  <c r="D8945" i="1"/>
  <c r="E8945" i="1"/>
  <c r="F8945" i="1"/>
  <c r="G8945" i="1"/>
  <c r="H8945" i="1"/>
  <c r="I8945" i="1"/>
  <c r="J8945" i="1"/>
  <c r="K8945" i="1"/>
  <c r="L8945" i="1"/>
  <c r="A8946" i="1"/>
  <c r="B8946" i="1"/>
  <c r="C8946" i="1"/>
  <c r="D8946" i="1"/>
  <c r="E8946" i="1"/>
  <c r="F8946" i="1"/>
  <c r="G8946" i="1"/>
  <c r="H8946" i="1"/>
  <c r="I8946" i="1"/>
  <c r="J8946" i="1"/>
  <c r="K8946" i="1"/>
  <c r="L8946" i="1"/>
  <c r="A8947" i="1"/>
  <c r="B8947" i="1"/>
  <c r="C8947" i="1"/>
  <c r="D8947" i="1"/>
  <c r="E8947" i="1"/>
  <c r="F8947" i="1"/>
  <c r="G8947" i="1"/>
  <c r="H8947" i="1"/>
  <c r="I8947" i="1"/>
  <c r="J8947" i="1"/>
  <c r="K8947" i="1"/>
  <c r="L8947" i="1"/>
  <c r="A8948" i="1"/>
  <c r="B8948" i="1"/>
  <c r="C8948" i="1"/>
  <c r="D8948" i="1"/>
  <c r="E8948" i="1"/>
  <c r="F8948" i="1"/>
  <c r="G8948" i="1"/>
  <c r="H8948" i="1"/>
  <c r="I8948" i="1"/>
  <c r="J8948" i="1"/>
  <c r="K8948" i="1"/>
  <c r="L8948" i="1"/>
  <c r="A8949" i="1"/>
  <c r="B8949" i="1"/>
  <c r="C8949" i="1"/>
  <c r="D8949" i="1"/>
  <c r="E8949" i="1"/>
  <c r="F8949" i="1"/>
  <c r="G8949" i="1"/>
  <c r="H8949" i="1"/>
  <c r="I8949" i="1"/>
  <c r="J8949" i="1"/>
  <c r="K8949" i="1"/>
  <c r="L8949" i="1"/>
  <c r="A8950" i="1"/>
  <c r="B8950" i="1"/>
  <c r="C8950" i="1"/>
  <c r="D8950" i="1"/>
  <c r="E8950" i="1"/>
  <c r="F8950" i="1"/>
  <c r="G8950" i="1"/>
  <c r="H8950" i="1"/>
  <c r="I8950" i="1"/>
  <c r="J8950" i="1"/>
  <c r="K8950" i="1"/>
  <c r="L8950" i="1"/>
  <c r="A8951" i="1"/>
  <c r="B8951" i="1"/>
  <c r="C8951" i="1"/>
  <c r="D8951" i="1"/>
  <c r="E8951" i="1"/>
  <c r="F8951" i="1"/>
  <c r="G8951" i="1"/>
  <c r="H8951" i="1"/>
  <c r="I8951" i="1"/>
  <c r="J8951" i="1"/>
  <c r="K8951" i="1"/>
  <c r="L8951" i="1"/>
  <c r="A8952" i="1"/>
  <c r="B8952" i="1"/>
  <c r="C8952" i="1"/>
  <c r="D8952" i="1"/>
  <c r="E8952" i="1"/>
  <c r="F8952" i="1"/>
  <c r="G8952" i="1"/>
  <c r="H8952" i="1"/>
  <c r="I8952" i="1"/>
  <c r="J8952" i="1"/>
  <c r="K8952" i="1"/>
  <c r="L8952" i="1"/>
  <c r="A8953" i="1"/>
  <c r="B8953" i="1"/>
  <c r="C8953" i="1"/>
  <c r="D8953" i="1"/>
  <c r="E8953" i="1"/>
  <c r="F8953" i="1"/>
  <c r="G8953" i="1"/>
  <c r="H8953" i="1"/>
  <c r="I8953" i="1"/>
  <c r="J8953" i="1"/>
  <c r="K8953" i="1"/>
  <c r="L8953" i="1"/>
  <c r="A8954" i="1"/>
  <c r="B8954" i="1"/>
  <c r="C8954" i="1"/>
  <c r="D8954" i="1"/>
  <c r="E8954" i="1"/>
  <c r="F8954" i="1"/>
  <c r="G8954" i="1"/>
  <c r="H8954" i="1"/>
  <c r="I8954" i="1"/>
  <c r="J8954" i="1"/>
  <c r="K8954" i="1"/>
  <c r="L8954" i="1"/>
  <c r="A8955" i="1"/>
  <c r="B8955" i="1"/>
  <c r="C8955" i="1"/>
  <c r="D8955" i="1"/>
  <c r="E8955" i="1"/>
  <c r="F8955" i="1"/>
  <c r="G8955" i="1"/>
  <c r="H8955" i="1"/>
  <c r="I8955" i="1"/>
  <c r="J8955" i="1"/>
  <c r="K8955" i="1"/>
  <c r="L8955" i="1"/>
  <c r="A8956" i="1"/>
  <c r="B8956" i="1"/>
  <c r="C8956" i="1"/>
  <c r="D8956" i="1"/>
  <c r="E8956" i="1"/>
  <c r="F8956" i="1"/>
  <c r="G8956" i="1"/>
  <c r="H8956" i="1"/>
  <c r="I8956" i="1"/>
  <c r="J8956" i="1"/>
  <c r="K8956" i="1"/>
  <c r="L8956" i="1"/>
  <c r="A8957" i="1"/>
  <c r="B8957" i="1"/>
  <c r="C8957" i="1"/>
  <c r="D8957" i="1"/>
  <c r="E8957" i="1"/>
  <c r="F8957" i="1"/>
  <c r="G8957" i="1"/>
  <c r="H8957" i="1"/>
  <c r="I8957" i="1"/>
  <c r="J8957" i="1"/>
  <c r="K8957" i="1"/>
  <c r="L8957" i="1"/>
  <c r="A8958" i="1"/>
  <c r="B8958" i="1"/>
  <c r="C8958" i="1"/>
  <c r="D8958" i="1"/>
  <c r="E8958" i="1"/>
  <c r="F8958" i="1"/>
  <c r="G8958" i="1"/>
  <c r="H8958" i="1"/>
  <c r="I8958" i="1"/>
  <c r="J8958" i="1"/>
  <c r="K8958" i="1"/>
  <c r="L8958" i="1"/>
  <c r="A8959" i="1"/>
  <c r="B8959" i="1"/>
  <c r="C8959" i="1"/>
  <c r="D8959" i="1"/>
  <c r="E8959" i="1"/>
  <c r="F8959" i="1"/>
  <c r="G8959" i="1"/>
  <c r="H8959" i="1"/>
  <c r="I8959" i="1"/>
  <c r="J8959" i="1"/>
  <c r="K8959" i="1"/>
  <c r="L8959" i="1"/>
  <c r="A8960" i="1"/>
  <c r="B8960" i="1"/>
  <c r="C8960" i="1"/>
  <c r="D8960" i="1"/>
  <c r="E8960" i="1"/>
  <c r="F8960" i="1"/>
  <c r="G8960" i="1"/>
  <c r="H8960" i="1"/>
  <c r="I8960" i="1"/>
  <c r="J8960" i="1"/>
  <c r="K8960" i="1"/>
  <c r="L8960" i="1"/>
  <c r="A8961" i="1"/>
  <c r="B8961" i="1"/>
  <c r="C8961" i="1"/>
  <c r="D8961" i="1"/>
  <c r="E8961" i="1"/>
  <c r="F8961" i="1"/>
  <c r="G8961" i="1"/>
  <c r="H8961" i="1"/>
  <c r="I8961" i="1"/>
  <c r="J8961" i="1"/>
  <c r="K8961" i="1"/>
  <c r="L8961" i="1"/>
  <c r="A8962" i="1"/>
  <c r="B8962" i="1"/>
  <c r="C8962" i="1"/>
  <c r="D8962" i="1"/>
  <c r="E8962" i="1"/>
  <c r="F8962" i="1"/>
  <c r="G8962" i="1"/>
  <c r="H8962" i="1"/>
  <c r="I8962" i="1"/>
  <c r="J8962" i="1"/>
  <c r="K8962" i="1"/>
  <c r="L8962" i="1"/>
  <c r="A8963" i="1"/>
  <c r="B8963" i="1"/>
  <c r="C8963" i="1"/>
  <c r="D8963" i="1"/>
  <c r="E8963" i="1"/>
  <c r="F8963" i="1"/>
  <c r="G8963" i="1"/>
  <c r="H8963" i="1"/>
  <c r="I8963" i="1"/>
  <c r="J8963" i="1"/>
  <c r="K8963" i="1"/>
  <c r="L8963" i="1"/>
  <c r="A8964" i="1"/>
  <c r="B8964" i="1"/>
  <c r="C8964" i="1"/>
  <c r="D8964" i="1"/>
  <c r="E8964" i="1"/>
  <c r="F8964" i="1"/>
  <c r="G8964" i="1"/>
  <c r="H8964" i="1"/>
  <c r="I8964" i="1"/>
  <c r="J8964" i="1"/>
  <c r="K8964" i="1"/>
  <c r="L8964" i="1"/>
  <c r="A8965" i="1"/>
  <c r="B8965" i="1"/>
  <c r="C8965" i="1"/>
  <c r="D8965" i="1"/>
  <c r="E8965" i="1"/>
  <c r="F8965" i="1"/>
  <c r="G8965" i="1"/>
  <c r="H8965" i="1"/>
  <c r="I8965" i="1"/>
  <c r="J8965" i="1"/>
  <c r="K8965" i="1"/>
  <c r="L8965" i="1"/>
  <c r="A8966" i="1"/>
  <c r="B8966" i="1"/>
  <c r="C8966" i="1"/>
  <c r="D8966" i="1"/>
  <c r="E8966" i="1"/>
  <c r="F8966" i="1"/>
  <c r="G8966" i="1"/>
  <c r="H8966" i="1"/>
  <c r="I8966" i="1"/>
  <c r="J8966" i="1"/>
  <c r="K8966" i="1"/>
  <c r="L8966" i="1"/>
  <c r="A8967" i="1"/>
  <c r="B8967" i="1"/>
  <c r="C8967" i="1"/>
  <c r="D8967" i="1"/>
  <c r="E8967" i="1"/>
  <c r="F8967" i="1"/>
  <c r="G8967" i="1"/>
  <c r="H8967" i="1"/>
  <c r="I8967" i="1"/>
  <c r="J8967" i="1"/>
  <c r="K8967" i="1"/>
  <c r="L8967" i="1"/>
  <c r="A8968" i="1"/>
  <c r="B8968" i="1"/>
  <c r="C8968" i="1"/>
  <c r="D8968" i="1"/>
  <c r="E8968" i="1"/>
  <c r="F8968" i="1"/>
  <c r="G8968" i="1"/>
  <c r="H8968" i="1"/>
  <c r="I8968" i="1"/>
  <c r="J8968" i="1"/>
  <c r="K8968" i="1"/>
  <c r="L8968" i="1"/>
  <c r="A8969" i="1"/>
  <c r="B8969" i="1"/>
  <c r="C8969" i="1"/>
  <c r="D8969" i="1"/>
  <c r="E8969" i="1"/>
  <c r="F8969" i="1"/>
  <c r="G8969" i="1"/>
  <c r="H8969" i="1"/>
  <c r="I8969" i="1"/>
  <c r="J8969" i="1"/>
  <c r="K8969" i="1"/>
  <c r="L8969" i="1"/>
  <c r="A8970" i="1"/>
  <c r="B8970" i="1"/>
  <c r="C8970" i="1"/>
  <c r="D8970" i="1"/>
  <c r="E8970" i="1"/>
  <c r="F8970" i="1"/>
  <c r="G8970" i="1"/>
  <c r="H8970" i="1"/>
  <c r="I8970" i="1"/>
  <c r="J8970" i="1"/>
  <c r="K8970" i="1"/>
  <c r="L8970" i="1"/>
  <c r="A8971" i="1"/>
  <c r="B8971" i="1"/>
  <c r="C8971" i="1"/>
  <c r="D8971" i="1"/>
  <c r="E8971" i="1"/>
  <c r="F8971" i="1"/>
  <c r="G8971" i="1"/>
  <c r="H8971" i="1"/>
  <c r="I8971" i="1"/>
  <c r="J8971" i="1"/>
  <c r="K8971" i="1"/>
  <c r="L8971" i="1"/>
  <c r="A8972" i="1"/>
  <c r="B8972" i="1"/>
  <c r="C8972" i="1"/>
  <c r="D8972" i="1"/>
  <c r="E8972" i="1"/>
  <c r="F8972" i="1"/>
  <c r="G8972" i="1"/>
  <c r="H8972" i="1"/>
  <c r="I8972" i="1"/>
  <c r="J8972" i="1"/>
  <c r="K8972" i="1"/>
  <c r="L8972" i="1"/>
  <c r="A8973" i="1"/>
  <c r="B8973" i="1"/>
  <c r="C8973" i="1"/>
  <c r="D8973" i="1"/>
  <c r="E8973" i="1"/>
  <c r="F8973" i="1"/>
  <c r="G8973" i="1"/>
  <c r="H8973" i="1"/>
  <c r="I8973" i="1"/>
  <c r="J8973" i="1"/>
  <c r="K8973" i="1"/>
  <c r="L8973" i="1"/>
  <c r="A8974" i="1"/>
  <c r="B8974" i="1"/>
  <c r="C8974" i="1"/>
  <c r="D8974" i="1"/>
  <c r="E8974" i="1"/>
  <c r="F8974" i="1"/>
  <c r="G8974" i="1"/>
  <c r="H8974" i="1"/>
  <c r="I8974" i="1"/>
  <c r="J8974" i="1"/>
  <c r="K8974" i="1"/>
  <c r="L8974" i="1"/>
  <c r="A8975" i="1"/>
  <c r="B8975" i="1"/>
  <c r="C8975" i="1"/>
  <c r="D8975" i="1"/>
  <c r="E8975" i="1"/>
  <c r="F8975" i="1"/>
  <c r="G8975" i="1"/>
  <c r="H8975" i="1"/>
  <c r="I8975" i="1"/>
  <c r="J8975" i="1"/>
  <c r="K8975" i="1"/>
  <c r="L8975" i="1"/>
  <c r="A8976" i="1"/>
  <c r="B8976" i="1"/>
  <c r="C8976" i="1"/>
  <c r="D8976" i="1"/>
  <c r="E8976" i="1"/>
  <c r="F8976" i="1"/>
  <c r="G8976" i="1"/>
  <c r="H8976" i="1"/>
  <c r="I8976" i="1"/>
  <c r="J8976" i="1"/>
  <c r="K8976" i="1"/>
  <c r="L8976" i="1"/>
  <c r="A8977" i="1"/>
  <c r="B8977" i="1"/>
  <c r="C8977" i="1"/>
  <c r="D8977" i="1"/>
  <c r="E8977" i="1"/>
  <c r="F8977" i="1"/>
  <c r="G8977" i="1"/>
  <c r="H8977" i="1"/>
  <c r="I8977" i="1"/>
  <c r="J8977" i="1"/>
  <c r="K8977" i="1"/>
  <c r="L8977" i="1"/>
  <c r="A8978" i="1"/>
  <c r="B8978" i="1"/>
  <c r="C8978" i="1"/>
  <c r="D8978" i="1"/>
  <c r="E8978" i="1"/>
  <c r="F8978" i="1"/>
  <c r="G8978" i="1"/>
  <c r="H8978" i="1"/>
  <c r="I8978" i="1"/>
  <c r="J8978" i="1"/>
  <c r="K8978" i="1"/>
  <c r="L8978" i="1"/>
  <c r="A8979" i="1"/>
  <c r="B8979" i="1"/>
  <c r="C8979" i="1"/>
  <c r="D8979" i="1"/>
  <c r="E8979" i="1"/>
  <c r="F8979" i="1"/>
  <c r="G8979" i="1"/>
  <c r="H8979" i="1"/>
  <c r="I8979" i="1"/>
  <c r="J8979" i="1"/>
  <c r="K8979" i="1"/>
  <c r="L8979" i="1"/>
  <c r="A8980" i="1"/>
  <c r="B8980" i="1"/>
  <c r="C8980" i="1"/>
  <c r="D8980" i="1"/>
  <c r="E8980" i="1"/>
  <c r="F8980" i="1"/>
  <c r="G8980" i="1"/>
  <c r="H8980" i="1"/>
  <c r="I8980" i="1"/>
  <c r="J8980" i="1"/>
  <c r="K8980" i="1"/>
  <c r="L8980" i="1"/>
  <c r="A8981" i="1"/>
  <c r="B8981" i="1"/>
  <c r="C8981" i="1"/>
  <c r="D8981" i="1"/>
  <c r="E8981" i="1"/>
  <c r="F8981" i="1"/>
  <c r="G8981" i="1"/>
  <c r="H8981" i="1"/>
  <c r="I8981" i="1"/>
  <c r="J8981" i="1"/>
  <c r="K8981" i="1"/>
  <c r="L8981" i="1"/>
  <c r="A8982" i="1"/>
  <c r="B8982" i="1"/>
  <c r="C8982" i="1"/>
  <c r="D8982" i="1"/>
  <c r="E8982" i="1"/>
  <c r="F8982" i="1"/>
  <c r="G8982" i="1"/>
  <c r="H8982" i="1"/>
  <c r="I8982" i="1"/>
  <c r="J8982" i="1"/>
  <c r="K8982" i="1"/>
  <c r="L8982" i="1"/>
  <c r="A8983" i="1"/>
  <c r="B8983" i="1"/>
  <c r="C8983" i="1"/>
  <c r="D8983" i="1"/>
  <c r="E8983" i="1"/>
  <c r="F8983" i="1"/>
  <c r="G8983" i="1"/>
  <c r="H8983" i="1"/>
  <c r="I8983" i="1"/>
  <c r="J8983" i="1"/>
  <c r="K8983" i="1"/>
  <c r="L8983" i="1"/>
  <c r="A8984" i="1"/>
  <c r="B8984" i="1"/>
  <c r="C8984" i="1"/>
  <c r="D8984" i="1"/>
  <c r="E8984" i="1"/>
  <c r="F8984" i="1"/>
  <c r="G8984" i="1"/>
  <c r="H8984" i="1"/>
  <c r="I8984" i="1"/>
  <c r="J8984" i="1"/>
  <c r="K8984" i="1"/>
  <c r="L8984" i="1"/>
  <c r="A8985" i="1"/>
  <c r="B8985" i="1"/>
  <c r="C8985" i="1"/>
  <c r="D8985" i="1"/>
  <c r="E8985" i="1"/>
  <c r="F8985" i="1"/>
  <c r="G8985" i="1"/>
  <c r="H8985" i="1"/>
  <c r="I8985" i="1"/>
  <c r="J8985" i="1"/>
  <c r="K8985" i="1"/>
  <c r="L8985" i="1"/>
  <c r="A8986" i="1"/>
  <c r="B8986" i="1"/>
  <c r="C8986" i="1"/>
  <c r="D8986" i="1"/>
  <c r="E8986" i="1"/>
  <c r="F8986" i="1"/>
  <c r="G8986" i="1"/>
  <c r="H8986" i="1"/>
  <c r="I8986" i="1"/>
  <c r="J8986" i="1"/>
  <c r="K8986" i="1"/>
  <c r="L8986" i="1"/>
  <c r="A8987" i="1"/>
  <c r="B8987" i="1"/>
  <c r="C8987" i="1"/>
  <c r="D8987" i="1"/>
  <c r="E8987" i="1"/>
  <c r="F8987" i="1"/>
  <c r="G8987" i="1"/>
  <c r="H8987" i="1"/>
  <c r="I8987" i="1"/>
  <c r="J8987" i="1"/>
  <c r="K8987" i="1"/>
  <c r="L8987" i="1"/>
  <c r="A8988" i="1"/>
  <c r="B8988" i="1"/>
  <c r="C8988" i="1"/>
  <c r="D8988" i="1"/>
  <c r="E8988" i="1"/>
  <c r="F8988" i="1"/>
  <c r="G8988" i="1"/>
  <c r="H8988" i="1"/>
  <c r="I8988" i="1"/>
  <c r="J8988" i="1"/>
  <c r="K8988" i="1"/>
  <c r="L8988" i="1"/>
  <c r="A8989" i="1"/>
  <c r="B8989" i="1"/>
  <c r="C8989" i="1"/>
  <c r="D8989" i="1"/>
  <c r="E8989" i="1"/>
  <c r="F8989" i="1"/>
  <c r="G8989" i="1"/>
  <c r="H8989" i="1"/>
  <c r="I8989" i="1"/>
  <c r="J8989" i="1"/>
  <c r="K8989" i="1"/>
  <c r="L8989" i="1"/>
  <c r="A8990" i="1"/>
  <c r="B8990" i="1"/>
  <c r="C8990" i="1"/>
  <c r="D8990" i="1"/>
  <c r="E8990" i="1"/>
  <c r="F8990" i="1"/>
  <c r="G8990" i="1"/>
  <c r="H8990" i="1"/>
  <c r="I8990" i="1"/>
  <c r="J8990" i="1"/>
  <c r="K8990" i="1"/>
  <c r="L8990" i="1"/>
  <c r="A8991" i="1"/>
  <c r="B8991" i="1"/>
  <c r="C8991" i="1"/>
  <c r="D8991" i="1"/>
  <c r="E8991" i="1"/>
  <c r="F8991" i="1"/>
  <c r="G8991" i="1"/>
  <c r="H8991" i="1"/>
  <c r="I8991" i="1"/>
  <c r="J8991" i="1"/>
  <c r="K8991" i="1"/>
  <c r="L8991" i="1"/>
  <c r="A8992" i="1"/>
  <c r="B8992" i="1"/>
  <c r="C8992" i="1"/>
  <c r="D8992" i="1"/>
  <c r="E8992" i="1"/>
  <c r="F8992" i="1"/>
  <c r="G8992" i="1"/>
  <c r="H8992" i="1"/>
  <c r="I8992" i="1"/>
  <c r="J8992" i="1"/>
  <c r="K8992" i="1"/>
  <c r="L8992" i="1"/>
  <c r="A8993" i="1"/>
  <c r="B8993" i="1"/>
  <c r="C8993" i="1"/>
  <c r="D8993" i="1"/>
  <c r="E8993" i="1"/>
  <c r="F8993" i="1"/>
  <c r="G8993" i="1"/>
  <c r="H8993" i="1"/>
  <c r="I8993" i="1"/>
  <c r="J8993" i="1"/>
  <c r="K8993" i="1"/>
  <c r="L8993" i="1"/>
  <c r="A8994" i="1"/>
  <c r="B8994" i="1"/>
  <c r="C8994" i="1"/>
  <c r="D8994" i="1"/>
  <c r="E8994" i="1"/>
  <c r="F8994" i="1"/>
  <c r="G8994" i="1"/>
  <c r="H8994" i="1"/>
  <c r="I8994" i="1"/>
  <c r="J8994" i="1"/>
  <c r="K8994" i="1"/>
  <c r="L8994" i="1"/>
  <c r="A8995" i="1"/>
  <c r="B8995" i="1"/>
  <c r="C8995" i="1"/>
  <c r="D8995" i="1"/>
  <c r="E8995" i="1"/>
  <c r="F8995" i="1"/>
  <c r="G8995" i="1"/>
  <c r="H8995" i="1"/>
  <c r="I8995" i="1"/>
  <c r="J8995" i="1"/>
  <c r="K8995" i="1"/>
  <c r="L8995" i="1"/>
  <c r="A8996" i="1"/>
  <c r="B8996" i="1"/>
  <c r="C8996" i="1"/>
  <c r="D8996" i="1"/>
  <c r="E8996" i="1"/>
  <c r="F8996" i="1"/>
  <c r="G8996" i="1"/>
  <c r="H8996" i="1"/>
  <c r="I8996" i="1"/>
  <c r="J8996" i="1"/>
  <c r="K8996" i="1"/>
  <c r="L8996" i="1"/>
  <c r="A8997" i="1"/>
  <c r="B8997" i="1"/>
  <c r="C8997" i="1"/>
  <c r="D8997" i="1"/>
  <c r="E8997" i="1"/>
  <c r="F8997" i="1"/>
  <c r="G8997" i="1"/>
  <c r="H8997" i="1"/>
  <c r="I8997" i="1"/>
  <c r="J8997" i="1"/>
  <c r="K8997" i="1"/>
  <c r="L8997" i="1"/>
  <c r="A8998" i="1"/>
  <c r="B8998" i="1"/>
  <c r="C8998" i="1"/>
  <c r="D8998" i="1"/>
  <c r="E8998" i="1"/>
  <c r="F8998" i="1"/>
  <c r="G8998" i="1"/>
  <c r="H8998" i="1"/>
  <c r="I8998" i="1"/>
  <c r="J8998" i="1"/>
  <c r="K8998" i="1"/>
  <c r="L8998" i="1"/>
  <c r="A8999" i="1"/>
  <c r="B8999" i="1"/>
  <c r="C8999" i="1"/>
  <c r="D8999" i="1"/>
  <c r="E8999" i="1"/>
  <c r="F8999" i="1"/>
  <c r="G8999" i="1"/>
  <c r="H8999" i="1"/>
  <c r="I8999" i="1"/>
  <c r="J8999" i="1"/>
  <c r="K8999" i="1"/>
  <c r="L8999" i="1"/>
  <c r="A9000" i="1"/>
  <c r="B9000" i="1"/>
  <c r="C9000" i="1"/>
  <c r="D9000" i="1"/>
  <c r="E9000" i="1"/>
  <c r="F9000" i="1"/>
  <c r="G9000" i="1"/>
  <c r="H9000" i="1"/>
  <c r="I9000" i="1"/>
  <c r="J9000" i="1"/>
  <c r="K9000" i="1"/>
  <c r="L9000" i="1"/>
  <c r="A9001" i="1"/>
  <c r="B9001" i="1"/>
  <c r="C9001" i="1"/>
  <c r="D9001" i="1"/>
  <c r="E9001" i="1"/>
  <c r="F9001" i="1"/>
  <c r="G9001" i="1"/>
  <c r="H9001" i="1"/>
  <c r="I9001" i="1"/>
  <c r="J9001" i="1"/>
  <c r="K9001" i="1"/>
  <c r="L9001" i="1"/>
  <c r="A9002" i="1"/>
  <c r="B9002" i="1"/>
  <c r="C9002" i="1"/>
  <c r="D9002" i="1"/>
  <c r="E9002" i="1"/>
  <c r="F9002" i="1"/>
  <c r="G9002" i="1"/>
  <c r="H9002" i="1"/>
  <c r="I9002" i="1"/>
  <c r="J9002" i="1"/>
  <c r="K9002" i="1"/>
  <c r="L9002" i="1"/>
  <c r="A9003" i="1"/>
  <c r="B9003" i="1"/>
  <c r="C9003" i="1"/>
  <c r="D9003" i="1"/>
  <c r="E9003" i="1"/>
  <c r="F9003" i="1"/>
  <c r="G9003" i="1"/>
  <c r="H9003" i="1"/>
  <c r="I9003" i="1"/>
  <c r="J9003" i="1"/>
  <c r="K9003" i="1"/>
  <c r="L9003" i="1"/>
  <c r="A9004" i="1"/>
  <c r="B9004" i="1"/>
  <c r="C9004" i="1"/>
  <c r="D9004" i="1"/>
  <c r="E9004" i="1"/>
  <c r="F9004" i="1"/>
  <c r="G9004" i="1"/>
  <c r="H9004" i="1"/>
  <c r="I9004" i="1"/>
  <c r="J9004" i="1"/>
  <c r="K9004" i="1"/>
  <c r="L9004" i="1"/>
  <c r="A9005" i="1"/>
  <c r="B9005" i="1"/>
  <c r="C9005" i="1"/>
  <c r="D9005" i="1"/>
  <c r="E9005" i="1"/>
  <c r="F9005" i="1"/>
  <c r="G9005" i="1"/>
  <c r="H9005" i="1"/>
  <c r="I9005" i="1"/>
  <c r="J9005" i="1"/>
  <c r="K9005" i="1"/>
  <c r="L9005" i="1"/>
  <c r="A9006" i="1"/>
  <c r="B9006" i="1"/>
  <c r="C9006" i="1"/>
  <c r="D9006" i="1"/>
  <c r="E9006" i="1"/>
  <c r="F9006" i="1"/>
  <c r="G9006" i="1"/>
  <c r="H9006" i="1"/>
  <c r="I9006" i="1"/>
  <c r="J9006" i="1"/>
  <c r="K9006" i="1"/>
  <c r="L9006" i="1"/>
  <c r="A9007" i="1"/>
  <c r="B9007" i="1"/>
  <c r="C9007" i="1"/>
  <c r="D9007" i="1"/>
  <c r="E9007" i="1"/>
  <c r="F9007" i="1"/>
  <c r="G9007" i="1"/>
  <c r="H9007" i="1"/>
  <c r="I9007" i="1"/>
  <c r="J9007" i="1"/>
  <c r="K9007" i="1"/>
  <c r="L9007" i="1"/>
  <c r="A9008" i="1"/>
  <c r="B9008" i="1"/>
  <c r="C9008" i="1"/>
  <c r="D9008" i="1"/>
  <c r="E9008" i="1"/>
  <c r="F9008" i="1"/>
  <c r="G9008" i="1"/>
  <c r="H9008" i="1"/>
  <c r="I9008" i="1"/>
  <c r="J9008" i="1"/>
  <c r="K9008" i="1"/>
  <c r="L9008" i="1"/>
  <c r="A9009" i="1"/>
  <c r="B9009" i="1"/>
  <c r="C9009" i="1"/>
  <c r="D9009" i="1"/>
  <c r="E9009" i="1"/>
  <c r="F9009" i="1"/>
  <c r="G9009" i="1"/>
  <c r="H9009" i="1"/>
  <c r="I9009" i="1"/>
  <c r="J9009" i="1"/>
  <c r="K9009" i="1"/>
  <c r="L9009" i="1"/>
  <c r="A9010" i="1"/>
  <c r="B9010" i="1"/>
  <c r="C9010" i="1"/>
  <c r="D9010" i="1"/>
  <c r="E9010" i="1"/>
  <c r="F9010" i="1"/>
  <c r="G9010" i="1"/>
  <c r="H9010" i="1"/>
  <c r="I9010" i="1"/>
  <c r="J9010" i="1"/>
  <c r="K9010" i="1"/>
  <c r="L9010" i="1"/>
  <c r="A9011" i="1"/>
  <c r="B9011" i="1"/>
  <c r="C9011" i="1"/>
  <c r="D9011" i="1"/>
  <c r="E9011" i="1"/>
  <c r="F9011" i="1"/>
  <c r="G9011" i="1"/>
  <c r="H9011" i="1"/>
  <c r="I9011" i="1"/>
  <c r="J9011" i="1"/>
  <c r="K9011" i="1"/>
  <c r="L9011" i="1"/>
  <c r="A9012" i="1"/>
  <c r="B9012" i="1"/>
  <c r="C9012" i="1"/>
  <c r="D9012" i="1"/>
  <c r="E9012" i="1"/>
  <c r="F9012" i="1"/>
  <c r="G9012" i="1"/>
  <c r="H9012" i="1"/>
  <c r="I9012" i="1"/>
  <c r="J9012" i="1"/>
  <c r="K9012" i="1"/>
  <c r="L9012" i="1"/>
  <c r="A9013" i="1"/>
  <c r="B9013" i="1"/>
  <c r="C9013" i="1"/>
  <c r="D9013" i="1"/>
  <c r="E9013" i="1"/>
  <c r="F9013" i="1"/>
  <c r="G9013" i="1"/>
  <c r="H9013" i="1"/>
  <c r="I9013" i="1"/>
  <c r="J9013" i="1"/>
  <c r="K9013" i="1"/>
  <c r="L9013" i="1"/>
  <c r="A9014" i="1"/>
  <c r="B9014" i="1"/>
  <c r="C9014" i="1"/>
  <c r="D9014" i="1"/>
  <c r="E9014" i="1"/>
  <c r="F9014" i="1"/>
  <c r="G9014" i="1"/>
  <c r="H9014" i="1"/>
  <c r="I9014" i="1"/>
  <c r="J9014" i="1"/>
  <c r="K9014" i="1"/>
  <c r="L9014" i="1"/>
  <c r="A9015" i="1"/>
  <c r="B9015" i="1"/>
  <c r="C9015" i="1"/>
  <c r="D9015" i="1"/>
  <c r="E9015" i="1"/>
  <c r="F9015" i="1"/>
  <c r="G9015" i="1"/>
  <c r="H9015" i="1"/>
  <c r="I9015" i="1"/>
  <c r="J9015" i="1"/>
  <c r="K9015" i="1"/>
  <c r="L9015" i="1"/>
  <c r="A9016" i="1"/>
  <c r="B9016" i="1"/>
  <c r="C9016" i="1"/>
  <c r="D9016" i="1"/>
  <c r="E9016" i="1"/>
  <c r="F9016" i="1"/>
  <c r="G9016" i="1"/>
  <c r="H9016" i="1"/>
  <c r="I9016" i="1"/>
  <c r="J9016" i="1"/>
  <c r="K9016" i="1"/>
  <c r="L9016" i="1"/>
  <c r="A9017" i="1"/>
  <c r="B9017" i="1"/>
  <c r="C9017" i="1"/>
  <c r="D9017" i="1"/>
  <c r="E9017" i="1"/>
  <c r="F9017" i="1"/>
  <c r="G9017" i="1"/>
  <c r="H9017" i="1"/>
  <c r="I9017" i="1"/>
  <c r="J9017" i="1"/>
  <c r="K9017" i="1"/>
  <c r="L9017" i="1"/>
  <c r="A9018" i="1"/>
  <c r="B9018" i="1"/>
  <c r="C9018" i="1"/>
  <c r="D9018" i="1"/>
  <c r="E9018" i="1"/>
  <c r="F9018" i="1"/>
  <c r="G9018" i="1"/>
  <c r="H9018" i="1"/>
  <c r="I9018" i="1"/>
  <c r="J9018" i="1"/>
  <c r="K9018" i="1"/>
  <c r="L9018" i="1"/>
  <c r="A9019" i="1"/>
  <c r="B9019" i="1"/>
  <c r="C9019" i="1"/>
  <c r="D9019" i="1"/>
  <c r="E9019" i="1"/>
  <c r="F9019" i="1"/>
  <c r="G9019" i="1"/>
  <c r="H9019" i="1"/>
  <c r="I9019" i="1"/>
  <c r="J9019" i="1"/>
  <c r="K9019" i="1"/>
  <c r="L9019" i="1"/>
  <c r="A9020" i="1"/>
  <c r="B9020" i="1"/>
  <c r="C9020" i="1"/>
  <c r="D9020" i="1"/>
  <c r="E9020" i="1"/>
  <c r="F9020" i="1"/>
  <c r="G9020" i="1"/>
  <c r="H9020" i="1"/>
  <c r="I9020" i="1"/>
  <c r="J9020" i="1"/>
  <c r="K9020" i="1"/>
  <c r="L9020" i="1"/>
  <c r="A9021" i="1"/>
  <c r="B9021" i="1"/>
  <c r="C9021" i="1"/>
  <c r="D9021" i="1"/>
  <c r="E9021" i="1"/>
  <c r="F9021" i="1"/>
  <c r="G9021" i="1"/>
  <c r="H9021" i="1"/>
  <c r="I9021" i="1"/>
  <c r="J9021" i="1"/>
  <c r="K9021" i="1"/>
  <c r="L9021" i="1"/>
  <c r="A9022" i="1"/>
  <c r="B9022" i="1"/>
  <c r="C9022" i="1"/>
  <c r="D9022" i="1"/>
  <c r="E9022" i="1"/>
  <c r="F9022" i="1"/>
  <c r="G9022" i="1"/>
  <c r="H9022" i="1"/>
  <c r="I9022" i="1"/>
  <c r="J9022" i="1"/>
  <c r="K9022" i="1"/>
  <c r="L9022" i="1"/>
  <c r="A9023" i="1"/>
  <c r="B9023" i="1"/>
  <c r="C9023" i="1"/>
  <c r="D9023" i="1"/>
  <c r="E9023" i="1"/>
  <c r="F9023" i="1"/>
  <c r="G9023" i="1"/>
  <c r="H9023" i="1"/>
  <c r="I9023" i="1"/>
  <c r="J9023" i="1"/>
  <c r="K9023" i="1"/>
  <c r="L9023" i="1"/>
  <c r="A9024" i="1"/>
  <c r="B9024" i="1"/>
  <c r="C9024" i="1"/>
  <c r="D9024" i="1"/>
  <c r="E9024" i="1"/>
  <c r="F9024" i="1"/>
  <c r="G9024" i="1"/>
  <c r="H9024" i="1"/>
  <c r="I9024" i="1"/>
  <c r="J9024" i="1"/>
  <c r="K9024" i="1"/>
  <c r="L9024" i="1"/>
  <c r="A9025" i="1"/>
  <c r="B9025" i="1"/>
  <c r="C9025" i="1"/>
  <c r="D9025" i="1"/>
  <c r="E9025" i="1"/>
  <c r="F9025" i="1"/>
  <c r="G9025" i="1"/>
  <c r="H9025" i="1"/>
  <c r="I9025" i="1"/>
  <c r="J9025" i="1"/>
  <c r="K9025" i="1"/>
  <c r="L9025" i="1"/>
  <c r="A9026" i="1"/>
  <c r="B9026" i="1"/>
  <c r="C9026" i="1"/>
  <c r="D9026" i="1"/>
  <c r="E9026" i="1"/>
  <c r="F9026" i="1"/>
  <c r="G9026" i="1"/>
  <c r="H9026" i="1"/>
  <c r="I9026" i="1"/>
  <c r="J9026" i="1"/>
  <c r="K9026" i="1"/>
  <c r="L9026" i="1"/>
  <c r="A9027" i="1"/>
  <c r="B9027" i="1"/>
  <c r="C9027" i="1"/>
  <c r="D9027" i="1"/>
  <c r="E9027" i="1"/>
  <c r="F9027" i="1"/>
  <c r="G9027" i="1"/>
  <c r="H9027" i="1"/>
  <c r="I9027" i="1"/>
  <c r="J9027" i="1"/>
  <c r="K9027" i="1"/>
  <c r="L9027" i="1"/>
  <c r="A9028" i="1"/>
  <c r="B9028" i="1"/>
  <c r="C9028" i="1"/>
  <c r="D9028" i="1"/>
  <c r="E9028" i="1"/>
  <c r="F9028" i="1"/>
  <c r="G9028" i="1"/>
  <c r="H9028" i="1"/>
  <c r="I9028" i="1"/>
  <c r="J9028" i="1"/>
  <c r="K9028" i="1"/>
  <c r="L9028" i="1"/>
  <c r="A9029" i="1"/>
  <c r="B9029" i="1"/>
  <c r="C9029" i="1"/>
  <c r="D9029" i="1"/>
  <c r="E9029" i="1"/>
  <c r="F9029" i="1"/>
  <c r="G9029" i="1"/>
  <c r="H9029" i="1"/>
  <c r="I9029" i="1"/>
  <c r="J9029" i="1"/>
  <c r="K9029" i="1"/>
  <c r="L9029" i="1"/>
  <c r="A9030" i="1"/>
  <c r="B9030" i="1"/>
  <c r="C9030" i="1"/>
  <c r="D9030" i="1"/>
  <c r="E9030" i="1"/>
  <c r="F9030" i="1"/>
  <c r="G9030" i="1"/>
  <c r="H9030" i="1"/>
  <c r="I9030" i="1"/>
  <c r="J9030" i="1"/>
  <c r="K9030" i="1"/>
  <c r="L9030" i="1"/>
  <c r="A9031" i="1"/>
  <c r="B9031" i="1"/>
  <c r="C9031" i="1"/>
  <c r="D9031" i="1"/>
  <c r="E9031" i="1"/>
  <c r="F9031" i="1"/>
  <c r="G9031" i="1"/>
  <c r="H9031" i="1"/>
  <c r="I9031" i="1"/>
  <c r="J9031" i="1"/>
  <c r="K9031" i="1"/>
  <c r="L9031" i="1"/>
  <c r="A9032" i="1"/>
  <c r="B9032" i="1"/>
  <c r="C9032" i="1"/>
  <c r="D9032" i="1"/>
  <c r="E9032" i="1"/>
  <c r="F9032" i="1"/>
  <c r="G9032" i="1"/>
  <c r="H9032" i="1"/>
  <c r="I9032" i="1"/>
  <c r="J9032" i="1"/>
  <c r="K9032" i="1"/>
  <c r="L9032" i="1"/>
  <c r="A9033" i="1"/>
  <c r="B9033" i="1"/>
  <c r="C9033" i="1"/>
  <c r="D9033" i="1"/>
  <c r="E9033" i="1"/>
  <c r="F9033" i="1"/>
  <c r="G9033" i="1"/>
  <c r="H9033" i="1"/>
  <c r="I9033" i="1"/>
  <c r="J9033" i="1"/>
  <c r="K9033" i="1"/>
  <c r="L9033" i="1"/>
  <c r="A9034" i="1"/>
  <c r="B9034" i="1"/>
  <c r="C9034" i="1"/>
  <c r="D9034" i="1"/>
  <c r="E9034" i="1"/>
  <c r="F9034" i="1"/>
  <c r="G9034" i="1"/>
  <c r="H9034" i="1"/>
  <c r="I9034" i="1"/>
  <c r="J9034" i="1"/>
  <c r="K9034" i="1"/>
  <c r="L9034" i="1"/>
  <c r="A9035" i="1"/>
  <c r="B9035" i="1"/>
  <c r="C9035" i="1"/>
  <c r="D9035" i="1"/>
  <c r="E9035" i="1"/>
  <c r="F9035" i="1"/>
  <c r="G9035" i="1"/>
  <c r="H9035" i="1"/>
  <c r="I9035" i="1"/>
  <c r="J9035" i="1"/>
  <c r="K9035" i="1"/>
  <c r="L9035" i="1"/>
  <c r="A9036" i="1"/>
  <c r="B9036" i="1"/>
  <c r="C9036" i="1"/>
  <c r="D9036" i="1"/>
  <c r="E9036" i="1"/>
  <c r="F9036" i="1"/>
  <c r="G9036" i="1"/>
  <c r="H9036" i="1"/>
  <c r="I9036" i="1"/>
  <c r="J9036" i="1"/>
  <c r="K9036" i="1"/>
  <c r="L9036" i="1"/>
  <c r="A9037" i="1"/>
  <c r="B9037" i="1"/>
  <c r="C9037" i="1"/>
  <c r="D9037" i="1"/>
  <c r="E9037" i="1"/>
  <c r="F9037" i="1"/>
  <c r="G9037" i="1"/>
  <c r="H9037" i="1"/>
  <c r="I9037" i="1"/>
  <c r="J9037" i="1"/>
  <c r="K9037" i="1"/>
  <c r="L9037" i="1"/>
  <c r="A9038" i="1"/>
  <c r="B9038" i="1"/>
  <c r="C9038" i="1"/>
  <c r="D9038" i="1"/>
  <c r="E9038" i="1"/>
  <c r="F9038" i="1"/>
  <c r="G9038" i="1"/>
  <c r="H9038" i="1"/>
  <c r="I9038" i="1"/>
  <c r="J9038" i="1"/>
  <c r="K9038" i="1"/>
  <c r="L9038" i="1"/>
  <c r="A9039" i="1"/>
  <c r="B9039" i="1"/>
  <c r="C9039" i="1"/>
  <c r="D9039" i="1"/>
  <c r="E9039" i="1"/>
  <c r="F9039" i="1"/>
  <c r="G9039" i="1"/>
  <c r="H9039" i="1"/>
  <c r="I9039" i="1"/>
  <c r="J9039" i="1"/>
  <c r="K9039" i="1"/>
  <c r="L9039" i="1"/>
  <c r="A9040" i="1"/>
  <c r="B9040" i="1"/>
  <c r="C9040" i="1"/>
  <c r="D9040" i="1"/>
  <c r="E9040" i="1"/>
  <c r="F9040" i="1"/>
  <c r="G9040" i="1"/>
  <c r="H9040" i="1"/>
  <c r="I9040" i="1"/>
  <c r="J9040" i="1"/>
  <c r="K9040" i="1"/>
  <c r="L9040" i="1"/>
  <c r="A9041" i="1"/>
  <c r="B9041" i="1"/>
  <c r="C9041" i="1"/>
  <c r="D9041" i="1"/>
  <c r="E9041" i="1"/>
  <c r="F9041" i="1"/>
  <c r="G9041" i="1"/>
  <c r="H9041" i="1"/>
  <c r="I9041" i="1"/>
  <c r="J9041" i="1"/>
  <c r="K9041" i="1"/>
  <c r="L9041" i="1"/>
  <c r="A9042" i="1"/>
  <c r="B9042" i="1"/>
  <c r="C9042" i="1"/>
  <c r="D9042" i="1"/>
  <c r="E9042" i="1"/>
  <c r="F9042" i="1"/>
  <c r="G9042" i="1"/>
  <c r="H9042" i="1"/>
  <c r="I9042" i="1"/>
  <c r="J9042" i="1"/>
  <c r="K9042" i="1"/>
  <c r="L9042" i="1"/>
  <c r="A9043" i="1"/>
  <c r="B9043" i="1"/>
  <c r="C9043" i="1"/>
  <c r="D9043" i="1"/>
  <c r="E9043" i="1"/>
  <c r="F9043" i="1"/>
  <c r="G9043" i="1"/>
  <c r="H9043" i="1"/>
  <c r="I9043" i="1"/>
  <c r="J9043" i="1"/>
  <c r="K9043" i="1"/>
  <c r="L9043" i="1"/>
  <c r="A9044" i="1"/>
  <c r="B9044" i="1"/>
  <c r="C9044" i="1"/>
  <c r="D9044" i="1"/>
  <c r="E9044" i="1"/>
  <c r="F9044" i="1"/>
  <c r="G9044" i="1"/>
  <c r="H9044" i="1"/>
  <c r="I9044" i="1"/>
  <c r="J9044" i="1"/>
  <c r="K9044" i="1"/>
  <c r="L9044" i="1"/>
  <c r="A9045" i="1"/>
  <c r="B9045" i="1"/>
  <c r="C9045" i="1"/>
  <c r="D9045" i="1"/>
  <c r="E9045" i="1"/>
  <c r="F9045" i="1"/>
  <c r="G9045" i="1"/>
  <c r="H9045" i="1"/>
  <c r="I9045" i="1"/>
  <c r="J9045" i="1"/>
  <c r="K9045" i="1"/>
  <c r="L9045" i="1"/>
  <c r="A9046" i="1"/>
  <c r="B9046" i="1"/>
  <c r="C9046" i="1"/>
  <c r="D9046" i="1"/>
  <c r="E9046" i="1"/>
  <c r="F9046" i="1"/>
  <c r="G9046" i="1"/>
  <c r="H9046" i="1"/>
  <c r="I9046" i="1"/>
  <c r="J9046" i="1"/>
  <c r="K9046" i="1"/>
  <c r="L9046" i="1"/>
  <c r="A9047" i="1"/>
  <c r="B9047" i="1"/>
  <c r="C9047" i="1"/>
  <c r="D9047" i="1"/>
  <c r="E9047" i="1"/>
  <c r="F9047" i="1"/>
  <c r="G9047" i="1"/>
  <c r="H9047" i="1"/>
  <c r="I9047" i="1"/>
  <c r="J9047" i="1"/>
  <c r="K9047" i="1"/>
  <c r="L9047" i="1"/>
  <c r="A9048" i="1"/>
  <c r="B9048" i="1"/>
  <c r="C9048" i="1"/>
  <c r="D9048" i="1"/>
  <c r="E9048" i="1"/>
  <c r="F9048" i="1"/>
  <c r="G9048" i="1"/>
  <c r="H9048" i="1"/>
  <c r="I9048" i="1"/>
  <c r="J9048" i="1"/>
  <c r="K9048" i="1"/>
  <c r="L9048" i="1"/>
  <c r="A9049" i="1"/>
  <c r="B9049" i="1"/>
  <c r="C9049" i="1"/>
  <c r="D9049" i="1"/>
  <c r="E9049" i="1"/>
  <c r="F9049" i="1"/>
  <c r="G9049" i="1"/>
  <c r="H9049" i="1"/>
  <c r="I9049" i="1"/>
  <c r="J9049" i="1"/>
  <c r="K9049" i="1"/>
  <c r="L9049" i="1"/>
  <c r="A9050" i="1"/>
  <c r="B9050" i="1"/>
  <c r="C9050" i="1"/>
  <c r="D9050" i="1"/>
  <c r="E9050" i="1"/>
  <c r="F9050" i="1"/>
  <c r="G9050" i="1"/>
  <c r="H9050" i="1"/>
  <c r="I9050" i="1"/>
  <c r="J9050" i="1"/>
  <c r="K9050" i="1"/>
  <c r="L9050" i="1"/>
  <c r="A9051" i="1"/>
  <c r="B9051" i="1"/>
  <c r="C9051" i="1"/>
  <c r="D9051" i="1"/>
  <c r="E9051" i="1"/>
  <c r="F9051" i="1"/>
  <c r="G9051" i="1"/>
  <c r="H9051" i="1"/>
  <c r="I9051" i="1"/>
  <c r="J9051" i="1"/>
  <c r="K9051" i="1"/>
  <c r="L9051" i="1"/>
  <c r="A9052" i="1"/>
  <c r="B9052" i="1"/>
  <c r="C9052" i="1"/>
  <c r="D9052" i="1"/>
  <c r="E9052" i="1"/>
  <c r="F9052" i="1"/>
  <c r="G9052" i="1"/>
  <c r="H9052" i="1"/>
  <c r="I9052" i="1"/>
  <c r="J9052" i="1"/>
  <c r="K9052" i="1"/>
  <c r="L9052" i="1"/>
  <c r="A9053" i="1"/>
  <c r="B9053" i="1"/>
  <c r="C9053" i="1"/>
  <c r="D9053" i="1"/>
  <c r="E9053" i="1"/>
  <c r="F9053" i="1"/>
  <c r="G9053" i="1"/>
  <c r="H9053" i="1"/>
  <c r="I9053" i="1"/>
  <c r="J9053" i="1"/>
  <c r="K9053" i="1"/>
  <c r="L9053" i="1"/>
  <c r="A9054" i="1"/>
  <c r="B9054" i="1"/>
  <c r="C9054" i="1"/>
  <c r="D9054" i="1"/>
  <c r="E9054" i="1"/>
  <c r="F9054" i="1"/>
  <c r="G9054" i="1"/>
  <c r="H9054" i="1"/>
  <c r="I9054" i="1"/>
  <c r="J9054" i="1"/>
  <c r="K9054" i="1"/>
  <c r="L9054" i="1"/>
  <c r="A9055" i="1"/>
  <c r="B9055" i="1"/>
  <c r="C9055" i="1"/>
  <c r="D9055" i="1"/>
  <c r="E9055" i="1"/>
  <c r="F9055" i="1"/>
  <c r="G9055" i="1"/>
  <c r="H9055" i="1"/>
  <c r="I9055" i="1"/>
  <c r="J9055" i="1"/>
  <c r="K9055" i="1"/>
  <c r="L9055" i="1"/>
  <c r="A9056" i="1"/>
  <c r="B9056" i="1"/>
  <c r="C9056" i="1"/>
  <c r="D9056" i="1"/>
  <c r="E9056" i="1"/>
  <c r="F9056" i="1"/>
  <c r="G9056" i="1"/>
  <c r="H9056" i="1"/>
  <c r="I9056" i="1"/>
  <c r="J9056" i="1"/>
  <c r="K9056" i="1"/>
  <c r="L9056" i="1"/>
  <c r="A9057" i="1"/>
  <c r="B9057" i="1"/>
  <c r="C9057" i="1"/>
  <c r="D9057" i="1"/>
  <c r="E9057" i="1"/>
  <c r="F9057" i="1"/>
  <c r="G9057" i="1"/>
  <c r="H9057" i="1"/>
  <c r="I9057" i="1"/>
  <c r="J9057" i="1"/>
  <c r="K9057" i="1"/>
  <c r="L9057" i="1"/>
  <c r="A9058" i="1"/>
  <c r="B9058" i="1"/>
  <c r="C9058" i="1"/>
  <c r="D9058" i="1"/>
  <c r="E9058" i="1"/>
  <c r="F9058" i="1"/>
  <c r="G9058" i="1"/>
  <c r="H9058" i="1"/>
  <c r="I9058" i="1"/>
  <c r="J9058" i="1"/>
  <c r="K9058" i="1"/>
  <c r="L9058" i="1"/>
  <c r="A9059" i="1"/>
  <c r="B9059" i="1"/>
  <c r="C9059" i="1"/>
  <c r="D9059" i="1"/>
  <c r="E9059" i="1"/>
  <c r="F9059" i="1"/>
  <c r="G9059" i="1"/>
  <c r="H9059" i="1"/>
  <c r="I9059" i="1"/>
  <c r="J9059" i="1"/>
  <c r="K9059" i="1"/>
  <c r="L9059" i="1"/>
  <c r="A9060" i="1"/>
  <c r="B9060" i="1"/>
  <c r="C9060" i="1"/>
  <c r="D9060" i="1"/>
  <c r="E9060" i="1"/>
  <c r="F9060" i="1"/>
  <c r="G9060" i="1"/>
  <c r="H9060" i="1"/>
  <c r="I9060" i="1"/>
  <c r="J9060" i="1"/>
  <c r="K9060" i="1"/>
  <c r="L9060" i="1"/>
  <c r="A9061" i="1"/>
  <c r="B9061" i="1"/>
  <c r="C9061" i="1"/>
  <c r="D9061" i="1"/>
  <c r="E9061" i="1"/>
  <c r="F9061" i="1"/>
  <c r="G9061" i="1"/>
  <c r="H9061" i="1"/>
  <c r="I9061" i="1"/>
  <c r="J9061" i="1"/>
  <c r="K9061" i="1"/>
  <c r="L9061" i="1"/>
  <c r="A9062" i="1"/>
  <c r="B9062" i="1"/>
  <c r="C9062" i="1"/>
  <c r="D9062" i="1"/>
  <c r="E9062" i="1"/>
  <c r="F9062" i="1"/>
  <c r="G9062" i="1"/>
  <c r="H9062" i="1"/>
  <c r="I9062" i="1"/>
  <c r="J9062" i="1"/>
  <c r="K9062" i="1"/>
  <c r="L9062" i="1"/>
  <c r="A9063" i="1"/>
  <c r="B9063" i="1"/>
  <c r="C9063" i="1"/>
  <c r="D9063" i="1"/>
  <c r="E9063" i="1"/>
  <c r="F9063" i="1"/>
  <c r="G9063" i="1"/>
  <c r="H9063" i="1"/>
  <c r="I9063" i="1"/>
  <c r="J9063" i="1"/>
  <c r="K9063" i="1"/>
  <c r="L9063" i="1"/>
  <c r="A9064" i="1"/>
  <c r="B9064" i="1"/>
  <c r="C9064" i="1"/>
  <c r="D9064" i="1"/>
  <c r="E9064" i="1"/>
  <c r="F9064" i="1"/>
  <c r="G9064" i="1"/>
  <c r="H9064" i="1"/>
  <c r="I9064" i="1"/>
  <c r="J9064" i="1"/>
  <c r="K9064" i="1"/>
  <c r="L9064" i="1"/>
  <c r="A9065" i="1"/>
  <c r="B9065" i="1"/>
  <c r="C9065" i="1"/>
  <c r="D9065" i="1"/>
  <c r="E9065" i="1"/>
  <c r="F9065" i="1"/>
  <c r="G9065" i="1"/>
  <c r="H9065" i="1"/>
  <c r="I9065" i="1"/>
  <c r="J9065" i="1"/>
  <c r="K9065" i="1"/>
  <c r="L9065" i="1"/>
  <c r="A9066" i="1"/>
  <c r="B9066" i="1"/>
  <c r="C9066" i="1"/>
  <c r="D9066" i="1"/>
  <c r="E9066" i="1"/>
  <c r="F9066" i="1"/>
  <c r="G9066" i="1"/>
  <c r="H9066" i="1"/>
  <c r="I9066" i="1"/>
  <c r="J9066" i="1"/>
  <c r="K9066" i="1"/>
  <c r="L9066" i="1"/>
  <c r="A9067" i="1"/>
  <c r="B9067" i="1"/>
  <c r="C9067" i="1"/>
  <c r="D9067" i="1"/>
  <c r="E9067" i="1"/>
  <c r="F9067" i="1"/>
  <c r="G9067" i="1"/>
  <c r="H9067" i="1"/>
  <c r="I9067" i="1"/>
  <c r="J9067" i="1"/>
  <c r="K9067" i="1"/>
  <c r="L9067" i="1"/>
  <c r="A9068" i="1"/>
  <c r="B9068" i="1"/>
  <c r="C9068" i="1"/>
  <c r="D9068" i="1"/>
  <c r="E9068" i="1"/>
  <c r="F9068" i="1"/>
  <c r="G9068" i="1"/>
  <c r="H9068" i="1"/>
  <c r="I9068" i="1"/>
  <c r="J9068" i="1"/>
  <c r="K9068" i="1"/>
  <c r="L9068" i="1"/>
  <c r="A9069" i="1"/>
  <c r="B9069" i="1"/>
  <c r="C9069" i="1"/>
  <c r="D9069" i="1"/>
  <c r="E9069" i="1"/>
  <c r="F9069" i="1"/>
  <c r="G9069" i="1"/>
  <c r="H9069" i="1"/>
  <c r="I9069" i="1"/>
  <c r="J9069" i="1"/>
  <c r="K9069" i="1"/>
  <c r="L9069" i="1"/>
  <c r="A9070" i="1"/>
  <c r="B9070" i="1"/>
  <c r="C9070" i="1"/>
  <c r="D9070" i="1"/>
  <c r="E9070" i="1"/>
  <c r="F9070" i="1"/>
  <c r="G9070" i="1"/>
  <c r="H9070" i="1"/>
  <c r="I9070" i="1"/>
  <c r="J9070" i="1"/>
  <c r="K9070" i="1"/>
  <c r="L9070" i="1"/>
  <c r="A9071" i="1"/>
  <c r="B9071" i="1"/>
  <c r="C9071" i="1"/>
  <c r="D9071" i="1"/>
  <c r="E9071" i="1"/>
  <c r="F9071" i="1"/>
  <c r="G9071" i="1"/>
  <c r="H9071" i="1"/>
  <c r="I9071" i="1"/>
  <c r="J9071" i="1"/>
  <c r="K9071" i="1"/>
  <c r="L9071" i="1"/>
  <c r="A9072" i="1"/>
  <c r="B9072" i="1"/>
  <c r="C9072" i="1"/>
  <c r="D9072" i="1"/>
  <c r="E9072" i="1"/>
  <c r="F9072" i="1"/>
  <c r="G9072" i="1"/>
  <c r="H9072" i="1"/>
  <c r="I9072" i="1"/>
  <c r="J9072" i="1"/>
  <c r="K9072" i="1"/>
  <c r="L9072" i="1"/>
  <c r="A9073" i="1"/>
  <c r="B9073" i="1"/>
  <c r="C9073" i="1"/>
  <c r="D9073" i="1"/>
  <c r="E9073" i="1"/>
  <c r="F9073" i="1"/>
  <c r="G9073" i="1"/>
  <c r="H9073" i="1"/>
  <c r="I9073" i="1"/>
  <c r="J9073" i="1"/>
  <c r="K9073" i="1"/>
  <c r="L9073" i="1"/>
  <c r="A9074" i="1"/>
  <c r="B9074" i="1"/>
  <c r="C9074" i="1"/>
  <c r="D9074" i="1"/>
  <c r="E9074" i="1"/>
  <c r="F9074" i="1"/>
  <c r="G9074" i="1"/>
  <c r="H9074" i="1"/>
  <c r="I9074" i="1"/>
  <c r="J9074" i="1"/>
  <c r="K9074" i="1"/>
  <c r="L9074" i="1"/>
  <c r="A9075" i="1"/>
  <c r="B9075" i="1"/>
  <c r="C9075" i="1"/>
  <c r="D9075" i="1"/>
  <c r="E9075" i="1"/>
  <c r="F9075" i="1"/>
  <c r="G9075" i="1"/>
  <c r="H9075" i="1"/>
  <c r="I9075" i="1"/>
  <c r="J9075" i="1"/>
  <c r="K9075" i="1"/>
  <c r="L9075" i="1"/>
  <c r="A9076" i="1"/>
  <c r="B9076" i="1"/>
  <c r="C9076" i="1"/>
  <c r="D9076" i="1"/>
  <c r="E9076" i="1"/>
  <c r="F9076" i="1"/>
  <c r="G9076" i="1"/>
  <c r="H9076" i="1"/>
  <c r="I9076" i="1"/>
  <c r="J9076" i="1"/>
  <c r="K9076" i="1"/>
  <c r="L9076" i="1"/>
  <c r="A9077" i="1"/>
  <c r="B9077" i="1"/>
  <c r="C9077" i="1"/>
  <c r="D9077" i="1"/>
  <c r="E9077" i="1"/>
  <c r="F9077" i="1"/>
  <c r="G9077" i="1"/>
  <c r="H9077" i="1"/>
  <c r="I9077" i="1"/>
  <c r="J9077" i="1"/>
  <c r="K9077" i="1"/>
  <c r="L9077" i="1"/>
  <c r="A9078" i="1"/>
  <c r="B9078" i="1"/>
  <c r="C9078" i="1"/>
  <c r="D9078" i="1"/>
  <c r="E9078" i="1"/>
  <c r="F9078" i="1"/>
  <c r="G9078" i="1"/>
  <c r="H9078" i="1"/>
  <c r="I9078" i="1"/>
  <c r="J9078" i="1"/>
  <c r="K9078" i="1"/>
  <c r="L9078" i="1"/>
  <c r="A9079" i="1"/>
  <c r="B9079" i="1"/>
  <c r="C9079" i="1"/>
  <c r="D9079" i="1"/>
  <c r="E9079" i="1"/>
  <c r="F9079" i="1"/>
  <c r="G9079" i="1"/>
  <c r="H9079" i="1"/>
  <c r="I9079" i="1"/>
  <c r="J9079" i="1"/>
  <c r="K9079" i="1"/>
  <c r="L9079" i="1"/>
  <c r="A9080" i="1"/>
  <c r="B9080" i="1"/>
  <c r="C9080" i="1"/>
  <c r="D9080" i="1"/>
  <c r="E9080" i="1"/>
  <c r="F9080" i="1"/>
  <c r="G9080" i="1"/>
  <c r="H9080" i="1"/>
  <c r="I9080" i="1"/>
  <c r="J9080" i="1"/>
  <c r="K9080" i="1"/>
  <c r="L9080" i="1"/>
  <c r="A9081" i="1"/>
  <c r="B9081" i="1"/>
  <c r="C9081" i="1"/>
  <c r="D9081" i="1"/>
  <c r="E9081" i="1"/>
  <c r="F9081" i="1"/>
  <c r="G9081" i="1"/>
  <c r="H9081" i="1"/>
  <c r="I9081" i="1"/>
  <c r="J9081" i="1"/>
  <c r="K9081" i="1"/>
  <c r="L9081" i="1"/>
  <c r="A9082" i="1"/>
  <c r="B9082" i="1"/>
  <c r="C9082" i="1"/>
  <c r="D9082" i="1"/>
  <c r="E9082" i="1"/>
  <c r="F9082" i="1"/>
  <c r="G9082" i="1"/>
  <c r="H9082" i="1"/>
  <c r="I9082" i="1"/>
  <c r="J9082" i="1"/>
  <c r="K9082" i="1"/>
  <c r="L9082" i="1"/>
  <c r="A9083" i="1"/>
  <c r="B9083" i="1"/>
  <c r="C9083" i="1"/>
  <c r="D9083" i="1"/>
  <c r="E9083" i="1"/>
  <c r="F9083" i="1"/>
  <c r="G9083" i="1"/>
  <c r="H9083" i="1"/>
  <c r="I9083" i="1"/>
  <c r="J9083" i="1"/>
  <c r="K9083" i="1"/>
  <c r="L9083" i="1"/>
  <c r="A9084" i="1"/>
  <c r="B9084" i="1"/>
  <c r="C9084" i="1"/>
  <c r="D9084" i="1"/>
  <c r="E9084" i="1"/>
  <c r="F9084" i="1"/>
  <c r="G9084" i="1"/>
  <c r="H9084" i="1"/>
  <c r="I9084" i="1"/>
  <c r="J9084" i="1"/>
  <c r="K9084" i="1"/>
  <c r="L9084" i="1"/>
  <c r="A9085" i="1"/>
  <c r="B9085" i="1"/>
  <c r="C9085" i="1"/>
  <c r="D9085" i="1"/>
  <c r="E9085" i="1"/>
  <c r="F9085" i="1"/>
  <c r="G9085" i="1"/>
  <c r="H9085" i="1"/>
  <c r="I9085" i="1"/>
  <c r="J9085" i="1"/>
  <c r="K9085" i="1"/>
  <c r="L9085" i="1"/>
  <c r="A9086" i="1"/>
  <c r="B9086" i="1"/>
  <c r="C9086" i="1"/>
  <c r="D9086" i="1"/>
  <c r="E9086" i="1"/>
  <c r="F9086" i="1"/>
  <c r="G9086" i="1"/>
  <c r="H9086" i="1"/>
  <c r="I9086" i="1"/>
  <c r="J9086" i="1"/>
  <c r="K9086" i="1"/>
  <c r="L9086" i="1"/>
  <c r="A9087" i="1"/>
  <c r="B9087" i="1"/>
  <c r="C9087" i="1"/>
  <c r="D9087" i="1"/>
  <c r="E9087" i="1"/>
  <c r="F9087" i="1"/>
  <c r="G9087" i="1"/>
  <c r="H9087" i="1"/>
  <c r="I9087" i="1"/>
  <c r="J9087" i="1"/>
  <c r="K9087" i="1"/>
  <c r="L9087" i="1"/>
  <c r="A9088" i="1"/>
  <c r="B9088" i="1"/>
  <c r="C9088" i="1"/>
  <c r="D9088" i="1"/>
  <c r="E9088" i="1"/>
  <c r="F9088" i="1"/>
  <c r="G9088" i="1"/>
  <c r="H9088" i="1"/>
  <c r="I9088" i="1"/>
  <c r="J9088" i="1"/>
  <c r="K9088" i="1"/>
  <c r="L9088" i="1"/>
  <c r="A9089" i="1"/>
  <c r="B9089" i="1"/>
  <c r="C9089" i="1"/>
  <c r="D9089" i="1"/>
  <c r="E9089" i="1"/>
  <c r="F9089" i="1"/>
  <c r="G9089" i="1"/>
  <c r="H9089" i="1"/>
  <c r="I9089" i="1"/>
  <c r="J9089" i="1"/>
  <c r="K9089" i="1"/>
  <c r="L9089" i="1"/>
  <c r="A9090" i="1"/>
  <c r="B9090" i="1"/>
  <c r="C9090" i="1"/>
  <c r="D9090" i="1"/>
  <c r="E9090" i="1"/>
  <c r="F9090" i="1"/>
  <c r="G9090" i="1"/>
  <c r="H9090" i="1"/>
  <c r="I9090" i="1"/>
  <c r="J9090" i="1"/>
  <c r="K9090" i="1"/>
  <c r="L9090" i="1"/>
  <c r="A9091" i="1"/>
  <c r="B9091" i="1"/>
  <c r="C9091" i="1"/>
  <c r="D9091" i="1"/>
  <c r="E9091" i="1"/>
  <c r="F9091" i="1"/>
  <c r="G9091" i="1"/>
  <c r="H9091" i="1"/>
  <c r="I9091" i="1"/>
  <c r="J9091" i="1"/>
  <c r="K9091" i="1"/>
  <c r="L9091" i="1"/>
  <c r="A9092" i="1"/>
  <c r="B9092" i="1"/>
  <c r="C9092" i="1"/>
  <c r="D9092" i="1"/>
  <c r="E9092" i="1"/>
  <c r="F9092" i="1"/>
  <c r="G9092" i="1"/>
  <c r="H9092" i="1"/>
  <c r="I9092" i="1"/>
  <c r="J9092" i="1"/>
  <c r="K9092" i="1"/>
  <c r="L9092" i="1"/>
  <c r="A9093" i="1"/>
  <c r="B9093" i="1"/>
  <c r="C9093" i="1"/>
  <c r="D9093" i="1"/>
  <c r="E9093" i="1"/>
  <c r="F9093" i="1"/>
  <c r="G9093" i="1"/>
  <c r="H9093" i="1"/>
  <c r="I9093" i="1"/>
  <c r="J9093" i="1"/>
  <c r="K9093" i="1"/>
  <c r="L9093" i="1"/>
  <c r="A9094" i="1"/>
  <c r="B9094" i="1"/>
  <c r="C9094" i="1"/>
  <c r="D9094" i="1"/>
  <c r="E9094" i="1"/>
  <c r="F9094" i="1"/>
  <c r="G9094" i="1"/>
  <c r="H9094" i="1"/>
  <c r="I9094" i="1"/>
  <c r="J9094" i="1"/>
  <c r="K9094" i="1"/>
  <c r="L9094" i="1"/>
  <c r="A9095" i="1"/>
  <c r="B9095" i="1"/>
  <c r="C9095" i="1"/>
  <c r="D9095" i="1"/>
  <c r="E9095" i="1"/>
  <c r="F9095" i="1"/>
  <c r="G9095" i="1"/>
  <c r="H9095" i="1"/>
  <c r="I9095" i="1"/>
  <c r="J9095" i="1"/>
  <c r="K9095" i="1"/>
  <c r="L9095" i="1"/>
  <c r="A9096" i="1"/>
  <c r="B9096" i="1"/>
  <c r="C9096" i="1"/>
  <c r="D9096" i="1"/>
  <c r="E9096" i="1"/>
  <c r="F9096" i="1"/>
  <c r="G9096" i="1"/>
  <c r="H9096" i="1"/>
  <c r="I9096" i="1"/>
  <c r="J9096" i="1"/>
  <c r="K9096" i="1"/>
  <c r="L9096" i="1"/>
  <c r="A9097" i="1"/>
  <c r="B9097" i="1"/>
  <c r="C9097" i="1"/>
  <c r="D9097" i="1"/>
  <c r="E9097" i="1"/>
  <c r="F9097" i="1"/>
  <c r="G9097" i="1"/>
  <c r="H9097" i="1"/>
  <c r="I9097" i="1"/>
  <c r="J9097" i="1"/>
  <c r="K9097" i="1"/>
  <c r="L9097" i="1"/>
  <c r="A9098" i="1"/>
  <c r="B9098" i="1"/>
  <c r="C9098" i="1"/>
  <c r="D9098" i="1"/>
  <c r="E9098" i="1"/>
  <c r="F9098" i="1"/>
  <c r="G9098" i="1"/>
  <c r="H9098" i="1"/>
  <c r="I9098" i="1"/>
  <c r="J9098" i="1"/>
  <c r="K9098" i="1"/>
  <c r="L9098" i="1"/>
  <c r="A9099" i="1"/>
  <c r="B9099" i="1"/>
  <c r="C9099" i="1"/>
  <c r="D9099" i="1"/>
  <c r="E9099" i="1"/>
  <c r="F9099" i="1"/>
  <c r="G9099" i="1"/>
  <c r="H9099" i="1"/>
  <c r="I9099" i="1"/>
  <c r="J9099" i="1"/>
  <c r="K9099" i="1"/>
  <c r="L9099" i="1"/>
  <c r="A9100" i="1"/>
  <c r="B9100" i="1"/>
  <c r="C9100" i="1"/>
  <c r="D9100" i="1"/>
  <c r="E9100" i="1"/>
  <c r="F9100" i="1"/>
  <c r="G9100" i="1"/>
  <c r="H9100" i="1"/>
  <c r="I9100" i="1"/>
  <c r="J9100" i="1"/>
  <c r="K9100" i="1"/>
  <c r="L9100" i="1"/>
  <c r="A9101" i="1"/>
  <c r="B9101" i="1"/>
  <c r="C9101" i="1"/>
  <c r="D9101" i="1"/>
  <c r="E9101" i="1"/>
  <c r="F9101" i="1"/>
  <c r="G9101" i="1"/>
  <c r="H9101" i="1"/>
  <c r="I9101" i="1"/>
  <c r="J9101" i="1"/>
  <c r="K9101" i="1"/>
  <c r="L9101" i="1"/>
  <c r="A9102" i="1"/>
  <c r="B9102" i="1"/>
  <c r="C9102" i="1"/>
  <c r="D9102" i="1"/>
  <c r="E9102" i="1"/>
  <c r="F9102" i="1"/>
  <c r="G9102" i="1"/>
  <c r="H9102" i="1"/>
  <c r="I9102" i="1"/>
  <c r="J9102" i="1"/>
  <c r="K9102" i="1"/>
  <c r="L9102" i="1"/>
  <c r="A9103" i="1"/>
  <c r="B9103" i="1"/>
  <c r="C9103" i="1"/>
  <c r="D9103" i="1"/>
  <c r="E9103" i="1"/>
  <c r="F9103" i="1"/>
  <c r="G9103" i="1"/>
  <c r="H9103" i="1"/>
  <c r="I9103" i="1"/>
  <c r="J9103" i="1"/>
  <c r="K9103" i="1"/>
  <c r="L9103" i="1"/>
  <c r="A9104" i="1"/>
  <c r="B9104" i="1"/>
  <c r="C9104" i="1"/>
  <c r="D9104" i="1"/>
  <c r="E9104" i="1"/>
  <c r="F9104" i="1"/>
  <c r="G9104" i="1"/>
  <c r="H9104" i="1"/>
  <c r="I9104" i="1"/>
  <c r="J9104" i="1"/>
  <c r="K9104" i="1"/>
  <c r="L9104" i="1"/>
  <c r="A9105" i="1"/>
  <c r="B9105" i="1"/>
  <c r="C9105" i="1"/>
  <c r="D9105" i="1"/>
  <c r="E9105" i="1"/>
  <c r="F9105" i="1"/>
  <c r="G9105" i="1"/>
  <c r="H9105" i="1"/>
  <c r="I9105" i="1"/>
  <c r="J9105" i="1"/>
  <c r="K9105" i="1"/>
  <c r="L9105" i="1"/>
  <c r="A9106" i="1"/>
  <c r="B9106" i="1"/>
  <c r="C9106" i="1"/>
  <c r="D9106" i="1"/>
  <c r="E9106" i="1"/>
  <c r="F9106" i="1"/>
  <c r="G9106" i="1"/>
  <c r="H9106" i="1"/>
  <c r="I9106" i="1"/>
  <c r="J9106" i="1"/>
  <c r="K9106" i="1"/>
  <c r="L9106" i="1"/>
  <c r="A9107" i="1"/>
  <c r="B9107" i="1"/>
  <c r="C9107" i="1"/>
  <c r="D9107" i="1"/>
  <c r="E9107" i="1"/>
  <c r="F9107" i="1"/>
  <c r="G9107" i="1"/>
  <c r="H9107" i="1"/>
  <c r="I9107" i="1"/>
  <c r="J9107" i="1"/>
  <c r="K9107" i="1"/>
  <c r="L9107" i="1"/>
  <c r="A9108" i="1"/>
  <c r="B9108" i="1"/>
  <c r="C9108" i="1"/>
  <c r="D9108" i="1"/>
  <c r="E9108" i="1"/>
  <c r="F9108" i="1"/>
  <c r="G9108" i="1"/>
  <c r="H9108" i="1"/>
  <c r="I9108" i="1"/>
  <c r="J9108" i="1"/>
  <c r="K9108" i="1"/>
  <c r="L9108" i="1"/>
  <c r="A9109" i="1"/>
  <c r="B9109" i="1"/>
  <c r="C9109" i="1"/>
  <c r="D9109" i="1"/>
  <c r="E9109" i="1"/>
  <c r="F9109" i="1"/>
  <c r="G9109" i="1"/>
  <c r="H9109" i="1"/>
  <c r="I9109" i="1"/>
  <c r="J9109" i="1"/>
  <c r="K9109" i="1"/>
  <c r="L9109" i="1"/>
  <c r="A9110" i="1"/>
  <c r="B9110" i="1"/>
  <c r="C9110" i="1"/>
  <c r="D9110" i="1"/>
  <c r="E9110" i="1"/>
  <c r="F9110" i="1"/>
  <c r="G9110" i="1"/>
  <c r="H9110" i="1"/>
  <c r="I9110" i="1"/>
  <c r="J9110" i="1"/>
  <c r="K9110" i="1"/>
  <c r="L9110" i="1"/>
  <c r="A9111" i="1"/>
  <c r="B9111" i="1"/>
  <c r="C9111" i="1"/>
  <c r="D9111" i="1"/>
  <c r="E9111" i="1"/>
  <c r="F9111" i="1"/>
  <c r="G9111" i="1"/>
  <c r="H9111" i="1"/>
  <c r="I9111" i="1"/>
  <c r="J9111" i="1"/>
  <c r="K9111" i="1"/>
  <c r="L9111" i="1"/>
  <c r="A9112" i="1"/>
  <c r="B9112" i="1"/>
  <c r="C9112" i="1"/>
  <c r="D9112" i="1"/>
  <c r="E9112" i="1"/>
  <c r="F9112" i="1"/>
  <c r="G9112" i="1"/>
  <c r="H9112" i="1"/>
  <c r="I9112" i="1"/>
  <c r="J9112" i="1"/>
  <c r="K9112" i="1"/>
  <c r="L9112" i="1"/>
  <c r="A9113" i="1"/>
  <c r="B9113" i="1"/>
  <c r="C9113" i="1"/>
  <c r="D9113" i="1"/>
  <c r="E9113" i="1"/>
  <c r="F9113" i="1"/>
  <c r="G9113" i="1"/>
  <c r="H9113" i="1"/>
  <c r="I9113" i="1"/>
  <c r="J9113" i="1"/>
  <c r="K9113" i="1"/>
  <c r="L9113" i="1"/>
  <c r="A9114" i="1"/>
  <c r="B9114" i="1"/>
  <c r="C9114" i="1"/>
  <c r="D9114" i="1"/>
  <c r="E9114" i="1"/>
  <c r="F9114" i="1"/>
  <c r="G9114" i="1"/>
  <c r="H9114" i="1"/>
  <c r="I9114" i="1"/>
  <c r="J9114" i="1"/>
  <c r="K9114" i="1"/>
  <c r="L9114" i="1"/>
  <c r="A9115" i="1"/>
  <c r="B9115" i="1"/>
  <c r="C9115" i="1"/>
  <c r="D9115" i="1"/>
  <c r="E9115" i="1"/>
  <c r="F9115" i="1"/>
  <c r="G9115" i="1"/>
  <c r="H9115" i="1"/>
  <c r="I9115" i="1"/>
  <c r="J9115" i="1"/>
  <c r="K9115" i="1"/>
  <c r="L9115" i="1"/>
  <c r="A9116" i="1"/>
  <c r="B9116" i="1"/>
  <c r="C9116" i="1"/>
  <c r="D9116" i="1"/>
  <c r="E9116" i="1"/>
  <c r="F9116" i="1"/>
  <c r="G9116" i="1"/>
  <c r="H9116" i="1"/>
  <c r="I9116" i="1"/>
  <c r="J9116" i="1"/>
  <c r="K9116" i="1"/>
  <c r="L9116" i="1"/>
  <c r="A9117" i="1"/>
  <c r="B9117" i="1"/>
  <c r="C9117" i="1"/>
  <c r="D9117" i="1"/>
  <c r="E9117" i="1"/>
  <c r="F9117" i="1"/>
  <c r="G9117" i="1"/>
  <c r="H9117" i="1"/>
  <c r="I9117" i="1"/>
  <c r="J9117" i="1"/>
  <c r="K9117" i="1"/>
  <c r="L9117" i="1"/>
  <c r="A9118" i="1"/>
  <c r="B9118" i="1"/>
  <c r="C9118" i="1"/>
  <c r="D9118" i="1"/>
  <c r="E9118" i="1"/>
  <c r="F9118" i="1"/>
  <c r="G9118" i="1"/>
  <c r="H9118" i="1"/>
  <c r="I9118" i="1"/>
  <c r="J9118" i="1"/>
  <c r="K9118" i="1"/>
  <c r="L9118" i="1"/>
  <c r="A9119" i="1"/>
  <c r="B9119" i="1"/>
  <c r="C9119" i="1"/>
  <c r="D9119" i="1"/>
  <c r="E9119" i="1"/>
  <c r="F9119" i="1"/>
  <c r="G9119" i="1"/>
  <c r="H9119" i="1"/>
  <c r="I9119" i="1"/>
  <c r="J9119" i="1"/>
  <c r="K9119" i="1"/>
  <c r="L9119" i="1"/>
  <c r="A9120" i="1"/>
  <c r="B9120" i="1"/>
  <c r="C9120" i="1"/>
  <c r="D9120" i="1"/>
  <c r="E9120" i="1"/>
  <c r="F9120" i="1"/>
  <c r="G9120" i="1"/>
  <c r="H9120" i="1"/>
  <c r="I9120" i="1"/>
  <c r="J9120" i="1"/>
  <c r="K9120" i="1"/>
  <c r="L9120" i="1"/>
  <c r="A9121" i="1"/>
  <c r="B9121" i="1"/>
  <c r="C9121" i="1"/>
  <c r="D9121" i="1"/>
  <c r="E9121" i="1"/>
  <c r="F9121" i="1"/>
  <c r="G9121" i="1"/>
  <c r="H9121" i="1"/>
  <c r="I9121" i="1"/>
  <c r="J9121" i="1"/>
  <c r="K9121" i="1"/>
  <c r="L9121" i="1"/>
  <c r="A9122" i="1"/>
  <c r="B9122" i="1"/>
  <c r="C9122" i="1"/>
  <c r="D9122" i="1"/>
  <c r="E9122" i="1"/>
  <c r="F9122" i="1"/>
  <c r="G9122" i="1"/>
  <c r="H9122" i="1"/>
  <c r="I9122" i="1"/>
  <c r="J9122" i="1"/>
  <c r="K9122" i="1"/>
  <c r="L9122" i="1"/>
  <c r="A9123" i="1"/>
  <c r="B9123" i="1"/>
  <c r="C9123" i="1"/>
  <c r="D9123" i="1"/>
  <c r="E9123" i="1"/>
  <c r="F9123" i="1"/>
  <c r="G9123" i="1"/>
  <c r="H9123" i="1"/>
  <c r="I9123" i="1"/>
  <c r="J9123" i="1"/>
  <c r="K9123" i="1"/>
  <c r="L9123" i="1"/>
  <c r="A9124" i="1"/>
  <c r="B9124" i="1"/>
  <c r="C9124" i="1"/>
  <c r="D9124" i="1"/>
  <c r="E9124" i="1"/>
  <c r="F9124" i="1"/>
  <c r="G9124" i="1"/>
  <c r="H9124" i="1"/>
  <c r="I9124" i="1"/>
  <c r="J9124" i="1"/>
  <c r="K9124" i="1"/>
  <c r="L9124" i="1"/>
  <c r="A9125" i="1"/>
  <c r="B9125" i="1"/>
  <c r="C9125" i="1"/>
  <c r="D9125" i="1"/>
  <c r="E9125" i="1"/>
  <c r="F9125" i="1"/>
  <c r="G9125" i="1"/>
  <c r="H9125" i="1"/>
  <c r="I9125" i="1"/>
  <c r="J9125" i="1"/>
  <c r="K9125" i="1"/>
  <c r="L9125" i="1"/>
  <c r="A9126" i="1"/>
  <c r="B9126" i="1"/>
  <c r="C9126" i="1"/>
  <c r="D9126" i="1"/>
  <c r="E9126" i="1"/>
  <c r="F9126" i="1"/>
  <c r="G9126" i="1"/>
  <c r="H9126" i="1"/>
  <c r="I9126" i="1"/>
  <c r="J9126" i="1"/>
  <c r="K9126" i="1"/>
  <c r="L9126" i="1"/>
  <c r="A9127" i="1"/>
  <c r="B9127" i="1"/>
  <c r="C9127" i="1"/>
  <c r="D9127" i="1"/>
  <c r="E9127" i="1"/>
  <c r="F9127" i="1"/>
  <c r="G9127" i="1"/>
  <c r="H9127" i="1"/>
  <c r="I9127" i="1"/>
  <c r="J9127" i="1"/>
  <c r="K9127" i="1"/>
  <c r="L9127" i="1"/>
  <c r="A9128" i="1"/>
  <c r="B9128" i="1"/>
  <c r="C9128" i="1"/>
  <c r="D9128" i="1"/>
  <c r="E9128" i="1"/>
  <c r="F9128" i="1"/>
  <c r="G9128" i="1"/>
  <c r="H9128" i="1"/>
  <c r="I9128" i="1"/>
  <c r="J9128" i="1"/>
  <c r="K9128" i="1"/>
  <c r="L9128" i="1"/>
  <c r="A9129" i="1"/>
  <c r="B9129" i="1"/>
  <c r="C9129" i="1"/>
  <c r="D9129" i="1"/>
  <c r="E9129" i="1"/>
  <c r="F9129" i="1"/>
  <c r="G9129" i="1"/>
  <c r="H9129" i="1"/>
  <c r="I9129" i="1"/>
  <c r="J9129" i="1"/>
  <c r="K9129" i="1"/>
  <c r="L9129" i="1"/>
  <c r="A9130" i="1"/>
  <c r="B9130" i="1"/>
  <c r="C9130" i="1"/>
  <c r="D9130" i="1"/>
  <c r="E9130" i="1"/>
  <c r="F9130" i="1"/>
  <c r="G9130" i="1"/>
  <c r="H9130" i="1"/>
  <c r="I9130" i="1"/>
  <c r="J9130" i="1"/>
  <c r="K9130" i="1"/>
  <c r="L9130" i="1"/>
  <c r="A9131" i="1"/>
  <c r="B9131" i="1"/>
  <c r="C9131" i="1"/>
  <c r="D9131" i="1"/>
  <c r="E9131" i="1"/>
  <c r="F9131" i="1"/>
  <c r="G9131" i="1"/>
  <c r="H9131" i="1"/>
  <c r="I9131" i="1"/>
  <c r="J9131" i="1"/>
  <c r="K9131" i="1"/>
  <c r="L9131" i="1"/>
  <c r="A9132" i="1"/>
  <c r="B9132" i="1"/>
  <c r="C9132" i="1"/>
  <c r="D9132" i="1"/>
  <c r="E9132" i="1"/>
  <c r="F9132" i="1"/>
  <c r="G9132" i="1"/>
  <c r="H9132" i="1"/>
  <c r="I9132" i="1"/>
  <c r="J9132" i="1"/>
  <c r="K9132" i="1"/>
  <c r="L9132" i="1"/>
  <c r="A9133" i="1"/>
  <c r="B9133" i="1"/>
  <c r="C9133" i="1"/>
  <c r="D9133" i="1"/>
  <c r="E9133" i="1"/>
  <c r="F9133" i="1"/>
  <c r="G9133" i="1"/>
  <c r="H9133" i="1"/>
  <c r="I9133" i="1"/>
  <c r="J9133" i="1"/>
  <c r="K9133" i="1"/>
  <c r="L9133" i="1"/>
  <c r="A9134" i="1"/>
  <c r="B9134" i="1"/>
  <c r="C9134" i="1"/>
  <c r="D9134" i="1"/>
  <c r="E9134" i="1"/>
  <c r="F9134" i="1"/>
  <c r="G9134" i="1"/>
  <c r="H9134" i="1"/>
  <c r="I9134" i="1"/>
  <c r="J9134" i="1"/>
  <c r="K9134" i="1"/>
  <c r="L9134" i="1"/>
  <c r="A9135" i="1"/>
  <c r="B9135" i="1"/>
  <c r="C9135" i="1"/>
  <c r="D9135" i="1"/>
  <c r="E9135" i="1"/>
  <c r="F9135" i="1"/>
  <c r="G9135" i="1"/>
  <c r="H9135" i="1"/>
  <c r="I9135" i="1"/>
  <c r="J9135" i="1"/>
  <c r="K9135" i="1"/>
  <c r="L9135" i="1"/>
  <c r="A9136" i="1"/>
  <c r="B9136" i="1"/>
  <c r="C9136" i="1"/>
  <c r="D9136" i="1"/>
  <c r="E9136" i="1"/>
  <c r="F9136" i="1"/>
  <c r="G9136" i="1"/>
  <c r="H9136" i="1"/>
  <c r="I9136" i="1"/>
  <c r="J9136" i="1"/>
  <c r="K9136" i="1"/>
  <c r="L9136" i="1"/>
  <c r="A9137" i="1"/>
  <c r="B9137" i="1"/>
  <c r="C9137" i="1"/>
  <c r="D9137" i="1"/>
  <c r="E9137" i="1"/>
  <c r="F9137" i="1"/>
  <c r="G9137" i="1"/>
  <c r="H9137" i="1"/>
  <c r="I9137" i="1"/>
  <c r="J9137" i="1"/>
  <c r="K9137" i="1"/>
  <c r="L9137" i="1"/>
  <c r="A9138" i="1"/>
  <c r="B9138" i="1"/>
  <c r="C9138" i="1"/>
  <c r="D9138" i="1"/>
  <c r="E9138" i="1"/>
  <c r="F9138" i="1"/>
  <c r="G9138" i="1"/>
  <c r="H9138" i="1"/>
  <c r="I9138" i="1"/>
  <c r="J9138" i="1"/>
  <c r="K9138" i="1"/>
  <c r="L9138" i="1"/>
  <c r="A9139" i="1"/>
  <c r="B9139" i="1"/>
  <c r="C9139" i="1"/>
  <c r="D9139" i="1"/>
  <c r="E9139" i="1"/>
  <c r="F9139" i="1"/>
  <c r="G9139" i="1"/>
  <c r="H9139" i="1"/>
  <c r="I9139" i="1"/>
  <c r="J9139" i="1"/>
  <c r="K9139" i="1"/>
  <c r="L9139" i="1"/>
  <c r="A9140" i="1"/>
  <c r="B9140" i="1"/>
  <c r="C9140" i="1"/>
  <c r="D9140" i="1"/>
  <c r="E9140" i="1"/>
  <c r="F9140" i="1"/>
  <c r="G9140" i="1"/>
  <c r="H9140" i="1"/>
  <c r="I9140" i="1"/>
  <c r="J9140" i="1"/>
  <c r="K9140" i="1"/>
  <c r="L9140" i="1"/>
  <c r="A9141" i="1"/>
  <c r="B9141" i="1"/>
  <c r="C9141" i="1"/>
  <c r="D9141" i="1"/>
  <c r="E9141" i="1"/>
  <c r="F9141" i="1"/>
  <c r="G9141" i="1"/>
  <c r="H9141" i="1"/>
  <c r="I9141" i="1"/>
  <c r="J9141" i="1"/>
  <c r="K9141" i="1"/>
  <c r="L9141" i="1"/>
  <c r="A9142" i="1"/>
  <c r="B9142" i="1"/>
  <c r="C9142" i="1"/>
  <c r="D9142" i="1"/>
  <c r="E9142" i="1"/>
  <c r="F9142" i="1"/>
  <c r="G9142" i="1"/>
  <c r="H9142" i="1"/>
  <c r="I9142" i="1"/>
  <c r="J9142" i="1"/>
  <c r="K9142" i="1"/>
  <c r="L9142" i="1"/>
  <c r="A9143" i="1"/>
  <c r="B9143" i="1"/>
  <c r="C9143" i="1"/>
  <c r="D9143" i="1"/>
  <c r="E9143" i="1"/>
  <c r="F9143" i="1"/>
  <c r="G9143" i="1"/>
  <c r="H9143" i="1"/>
  <c r="I9143" i="1"/>
  <c r="J9143" i="1"/>
  <c r="K9143" i="1"/>
  <c r="L9143" i="1"/>
  <c r="A9144" i="1"/>
  <c r="B9144" i="1"/>
  <c r="C9144" i="1"/>
  <c r="D9144" i="1"/>
  <c r="E9144" i="1"/>
  <c r="F9144" i="1"/>
  <c r="G9144" i="1"/>
  <c r="H9144" i="1"/>
  <c r="I9144" i="1"/>
  <c r="J9144" i="1"/>
  <c r="K9144" i="1"/>
  <c r="L9144" i="1"/>
  <c r="A9145" i="1"/>
  <c r="B9145" i="1"/>
  <c r="C9145" i="1"/>
  <c r="D9145" i="1"/>
  <c r="E9145" i="1"/>
  <c r="F9145" i="1"/>
  <c r="G9145" i="1"/>
  <c r="H9145" i="1"/>
  <c r="I9145" i="1"/>
  <c r="J9145" i="1"/>
  <c r="K9145" i="1"/>
  <c r="L9145" i="1"/>
  <c r="A9146" i="1"/>
  <c r="B9146" i="1"/>
  <c r="C9146" i="1"/>
  <c r="D9146" i="1"/>
  <c r="E9146" i="1"/>
  <c r="F9146" i="1"/>
  <c r="G9146" i="1"/>
  <c r="H9146" i="1"/>
  <c r="I9146" i="1"/>
  <c r="J9146" i="1"/>
  <c r="K9146" i="1"/>
  <c r="L9146" i="1"/>
  <c r="A9147" i="1"/>
  <c r="B9147" i="1"/>
  <c r="C9147" i="1"/>
  <c r="D9147" i="1"/>
  <c r="E9147" i="1"/>
  <c r="F9147" i="1"/>
  <c r="G9147" i="1"/>
  <c r="H9147" i="1"/>
  <c r="I9147" i="1"/>
  <c r="J9147" i="1"/>
  <c r="K9147" i="1"/>
  <c r="L9147" i="1"/>
  <c r="A9148" i="1"/>
  <c r="B9148" i="1"/>
  <c r="C9148" i="1"/>
  <c r="D9148" i="1"/>
  <c r="E9148" i="1"/>
  <c r="F9148" i="1"/>
  <c r="G9148" i="1"/>
  <c r="H9148" i="1"/>
  <c r="I9148" i="1"/>
  <c r="J9148" i="1"/>
  <c r="K9148" i="1"/>
  <c r="L9148" i="1"/>
  <c r="A9149" i="1"/>
  <c r="B9149" i="1"/>
  <c r="C9149" i="1"/>
  <c r="D9149" i="1"/>
  <c r="E9149" i="1"/>
  <c r="F9149" i="1"/>
  <c r="G9149" i="1"/>
  <c r="H9149" i="1"/>
  <c r="I9149" i="1"/>
  <c r="J9149" i="1"/>
  <c r="K9149" i="1"/>
  <c r="L9149" i="1"/>
  <c r="A9150" i="1"/>
  <c r="B9150" i="1"/>
  <c r="C9150" i="1"/>
  <c r="D9150" i="1"/>
  <c r="E9150" i="1"/>
  <c r="F9150" i="1"/>
  <c r="G9150" i="1"/>
  <c r="H9150" i="1"/>
  <c r="I9150" i="1"/>
  <c r="J9150" i="1"/>
  <c r="K9150" i="1"/>
  <c r="L9150" i="1"/>
  <c r="A9151" i="1"/>
  <c r="B9151" i="1"/>
  <c r="C9151" i="1"/>
  <c r="D9151" i="1"/>
  <c r="E9151" i="1"/>
  <c r="F9151" i="1"/>
  <c r="G9151" i="1"/>
  <c r="H9151" i="1"/>
  <c r="I9151" i="1"/>
  <c r="J9151" i="1"/>
  <c r="K9151" i="1"/>
  <c r="L9151" i="1"/>
  <c r="A9152" i="1"/>
  <c r="B9152" i="1"/>
  <c r="C9152" i="1"/>
  <c r="D9152" i="1"/>
  <c r="E9152" i="1"/>
  <c r="F9152" i="1"/>
  <c r="G9152" i="1"/>
  <c r="H9152" i="1"/>
  <c r="I9152" i="1"/>
  <c r="J9152" i="1"/>
  <c r="K9152" i="1"/>
  <c r="L9152" i="1"/>
  <c r="A9153" i="1"/>
  <c r="B9153" i="1"/>
  <c r="C9153" i="1"/>
  <c r="D9153" i="1"/>
  <c r="E9153" i="1"/>
  <c r="F9153" i="1"/>
  <c r="G9153" i="1"/>
  <c r="H9153" i="1"/>
  <c r="I9153" i="1"/>
  <c r="J9153" i="1"/>
  <c r="K9153" i="1"/>
  <c r="L9153" i="1"/>
  <c r="A9154" i="1"/>
  <c r="B9154" i="1"/>
  <c r="C9154" i="1"/>
  <c r="D9154" i="1"/>
  <c r="E9154" i="1"/>
  <c r="F9154" i="1"/>
  <c r="G9154" i="1"/>
  <c r="H9154" i="1"/>
  <c r="I9154" i="1"/>
  <c r="J9154" i="1"/>
  <c r="K9154" i="1"/>
  <c r="L9154" i="1"/>
  <c r="A9155" i="1"/>
  <c r="B9155" i="1"/>
  <c r="C9155" i="1"/>
  <c r="D9155" i="1"/>
  <c r="E9155" i="1"/>
  <c r="F9155" i="1"/>
  <c r="G9155" i="1"/>
  <c r="H9155" i="1"/>
  <c r="I9155" i="1"/>
  <c r="J9155" i="1"/>
  <c r="K9155" i="1"/>
  <c r="L9155" i="1"/>
  <c r="A9156" i="1"/>
  <c r="B9156" i="1"/>
  <c r="C9156" i="1"/>
  <c r="D9156" i="1"/>
  <c r="E9156" i="1"/>
  <c r="F9156" i="1"/>
  <c r="G9156" i="1"/>
  <c r="H9156" i="1"/>
  <c r="I9156" i="1"/>
  <c r="J9156" i="1"/>
  <c r="K9156" i="1"/>
  <c r="L9156" i="1"/>
  <c r="A9157" i="1"/>
  <c r="B9157" i="1"/>
  <c r="C9157" i="1"/>
  <c r="D9157" i="1"/>
  <c r="E9157" i="1"/>
  <c r="F9157" i="1"/>
  <c r="G9157" i="1"/>
  <c r="H9157" i="1"/>
  <c r="I9157" i="1"/>
  <c r="J9157" i="1"/>
  <c r="K9157" i="1"/>
  <c r="L9157" i="1"/>
  <c r="A9158" i="1"/>
  <c r="B9158" i="1"/>
  <c r="C9158" i="1"/>
  <c r="D9158" i="1"/>
  <c r="E9158" i="1"/>
  <c r="F9158" i="1"/>
  <c r="G9158" i="1"/>
  <c r="H9158" i="1"/>
  <c r="I9158" i="1"/>
  <c r="J9158" i="1"/>
  <c r="K9158" i="1"/>
  <c r="L9158" i="1"/>
  <c r="A9159" i="1"/>
  <c r="B9159" i="1"/>
  <c r="C9159" i="1"/>
  <c r="D9159" i="1"/>
  <c r="E9159" i="1"/>
  <c r="F9159" i="1"/>
  <c r="G9159" i="1"/>
  <c r="H9159" i="1"/>
  <c r="I9159" i="1"/>
  <c r="J9159" i="1"/>
  <c r="K9159" i="1"/>
  <c r="L9159" i="1"/>
  <c r="A9160" i="1"/>
  <c r="B9160" i="1"/>
  <c r="C9160" i="1"/>
  <c r="D9160" i="1"/>
  <c r="E9160" i="1"/>
  <c r="F9160" i="1"/>
  <c r="G9160" i="1"/>
  <c r="H9160" i="1"/>
  <c r="I9160" i="1"/>
  <c r="J9160" i="1"/>
  <c r="K9160" i="1"/>
  <c r="L9160" i="1"/>
  <c r="A9161" i="1"/>
  <c r="B9161" i="1"/>
  <c r="C9161" i="1"/>
  <c r="D9161" i="1"/>
  <c r="E9161" i="1"/>
  <c r="F9161" i="1"/>
  <c r="G9161" i="1"/>
  <c r="H9161" i="1"/>
  <c r="I9161" i="1"/>
  <c r="J9161" i="1"/>
  <c r="K9161" i="1"/>
  <c r="L9161" i="1"/>
  <c r="A9162" i="1"/>
  <c r="B9162" i="1"/>
  <c r="C9162" i="1"/>
  <c r="D9162" i="1"/>
  <c r="E9162" i="1"/>
  <c r="F9162" i="1"/>
  <c r="G9162" i="1"/>
  <c r="H9162" i="1"/>
  <c r="I9162" i="1"/>
  <c r="J9162" i="1"/>
  <c r="K9162" i="1"/>
  <c r="L9162" i="1"/>
  <c r="A9163" i="1"/>
  <c r="B9163" i="1"/>
  <c r="C9163" i="1"/>
  <c r="D9163" i="1"/>
  <c r="E9163" i="1"/>
  <c r="F9163" i="1"/>
  <c r="G9163" i="1"/>
  <c r="H9163" i="1"/>
  <c r="I9163" i="1"/>
  <c r="J9163" i="1"/>
  <c r="K9163" i="1"/>
  <c r="L9163" i="1"/>
  <c r="A9164" i="1"/>
  <c r="B9164" i="1"/>
  <c r="C9164" i="1"/>
  <c r="D9164" i="1"/>
  <c r="E9164" i="1"/>
  <c r="F9164" i="1"/>
  <c r="G9164" i="1"/>
  <c r="H9164" i="1"/>
  <c r="I9164" i="1"/>
  <c r="J9164" i="1"/>
  <c r="K9164" i="1"/>
  <c r="L9164" i="1"/>
  <c r="A9165" i="1"/>
  <c r="B9165" i="1"/>
  <c r="C9165" i="1"/>
  <c r="D9165" i="1"/>
  <c r="E9165" i="1"/>
  <c r="F9165" i="1"/>
  <c r="G9165" i="1"/>
  <c r="H9165" i="1"/>
  <c r="I9165" i="1"/>
  <c r="J9165" i="1"/>
  <c r="K9165" i="1"/>
  <c r="L9165" i="1"/>
  <c r="A9166" i="1"/>
  <c r="B9166" i="1"/>
  <c r="C9166" i="1"/>
  <c r="D9166" i="1"/>
  <c r="E9166" i="1"/>
  <c r="F9166" i="1"/>
  <c r="G9166" i="1"/>
  <c r="H9166" i="1"/>
  <c r="I9166" i="1"/>
  <c r="J9166" i="1"/>
  <c r="K9166" i="1"/>
  <c r="L9166" i="1"/>
  <c r="A9167" i="1"/>
  <c r="B9167" i="1"/>
  <c r="C9167" i="1"/>
  <c r="D9167" i="1"/>
  <c r="E9167" i="1"/>
  <c r="F9167" i="1"/>
  <c r="G9167" i="1"/>
  <c r="H9167" i="1"/>
  <c r="I9167" i="1"/>
  <c r="J9167" i="1"/>
  <c r="K9167" i="1"/>
  <c r="L9167" i="1"/>
  <c r="A9168" i="1"/>
  <c r="B9168" i="1"/>
  <c r="C9168" i="1"/>
  <c r="D9168" i="1"/>
  <c r="E9168" i="1"/>
  <c r="F9168" i="1"/>
  <c r="G9168" i="1"/>
  <c r="H9168" i="1"/>
  <c r="I9168" i="1"/>
  <c r="J9168" i="1"/>
  <c r="K9168" i="1"/>
  <c r="L9168" i="1"/>
  <c r="A9169" i="1"/>
  <c r="B9169" i="1"/>
  <c r="C9169" i="1"/>
  <c r="D9169" i="1"/>
  <c r="E9169" i="1"/>
  <c r="F9169" i="1"/>
  <c r="G9169" i="1"/>
  <c r="H9169" i="1"/>
  <c r="I9169" i="1"/>
  <c r="J9169" i="1"/>
  <c r="K9169" i="1"/>
  <c r="L9169" i="1"/>
  <c r="A9170" i="1"/>
  <c r="B9170" i="1"/>
  <c r="C9170" i="1"/>
  <c r="D9170" i="1"/>
  <c r="E9170" i="1"/>
  <c r="F9170" i="1"/>
  <c r="G9170" i="1"/>
  <c r="H9170" i="1"/>
  <c r="I9170" i="1"/>
  <c r="J9170" i="1"/>
  <c r="K9170" i="1"/>
  <c r="L9170" i="1"/>
  <c r="A9171" i="1"/>
  <c r="B9171" i="1"/>
  <c r="C9171" i="1"/>
  <c r="D9171" i="1"/>
  <c r="E9171" i="1"/>
  <c r="F9171" i="1"/>
  <c r="G9171" i="1"/>
  <c r="H9171" i="1"/>
  <c r="I9171" i="1"/>
  <c r="J9171" i="1"/>
  <c r="K9171" i="1"/>
  <c r="L9171" i="1"/>
  <c r="A9172" i="1"/>
  <c r="B9172" i="1"/>
  <c r="C9172" i="1"/>
  <c r="D9172" i="1"/>
  <c r="E9172" i="1"/>
  <c r="F9172" i="1"/>
  <c r="G9172" i="1"/>
  <c r="H9172" i="1"/>
  <c r="I9172" i="1"/>
  <c r="J9172" i="1"/>
  <c r="K9172" i="1"/>
  <c r="L9172" i="1"/>
  <c r="A9173" i="1"/>
  <c r="B9173" i="1"/>
  <c r="C9173" i="1"/>
  <c r="D9173" i="1"/>
  <c r="E9173" i="1"/>
  <c r="F9173" i="1"/>
  <c r="G9173" i="1"/>
  <c r="H9173" i="1"/>
  <c r="I9173" i="1"/>
  <c r="J9173" i="1"/>
  <c r="K9173" i="1"/>
  <c r="L9173" i="1"/>
  <c r="A9174" i="1"/>
  <c r="B9174" i="1"/>
  <c r="C9174" i="1"/>
  <c r="D9174" i="1"/>
  <c r="E9174" i="1"/>
  <c r="F9174" i="1"/>
  <c r="G9174" i="1"/>
  <c r="H9174" i="1"/>
  <c r="I9174" i="1"/>
  <c r="J9174" i="1"/>
  <c r="K9174" i="1"/>
  <c r="L9174" i="1"/>
  <c r="A9175" i="1"/>
  <c r="B9175" i="1"/>
  <c r="C9175" i="1"/>
  <c r="D9175" i="1"/>
  <c r="E9175" i="1"/>
  <c r="F9175" i="1"/>
  <c r="G9175" i="1"/>
  <c r="H9175" i="1"/>
  <c r="I9175" i="1"/>
  <c r="J9175" i="1"/>
  <c r="K9175" i="1"/>
  <c r="L9175" i="1"/>
  <c r="A9176" i="1"/>
  <c r="B9176" i="1"/>
  <c r="C9176" i="1"/>
  <c r="D9176" i="1"/>
  <c r="E9176" i="1"/>
  <c r="F9176" i="1"/>
  <c r="G9176" i="1"/>
  <c r="H9176" i="1"/>
  <c r="I9176" i="1"/>
  <c r="J9176" i="1"/>
  <c r="K9176" i="1"/>
  <c r="L9176" i="1"/>
  <c r="A9177" i="1"/>
  <c r="B9177" i="1"/>
  <c r="C9177" i="1"/>
  <c r="D9177" i="1"/>
  <c r="E9177" i="1"/>
  <c r="F9177" i="1"/>
  <c r="G9177" i="1"/>
  <c r="H9177" i="1"/>
  <c r="I9177" i="1"/>
  <c r="J9177" i="1"/>
  <c r="K9177" i="1"/>
  <c r="L9177" i="1"/>
  <c r="A9178" i="1"/>
  <c r="B9178" i="1"/>
  <c r="C9178" i="1"/>
  <c r="D9178" i="1"/>
  <c r="E9178" i="1"/>
  <c r="F9178" i="1"/>
  <c r="G9178" i="1"/>
  <c r="H9178" i="1"/>
  <c r="I9178" i="1"/>
  <c r="J9178" i="1"/>
  <c r="K9178" i="1"/>
  <c r="L9178" i="1"/>
  <c r="A9179" i="1"/>
  <c r="B9179" i="1"/>
  <c r="C9179" i="1"/>
  <c r="D9179" i="1"/>
  <c r="E9179" i="1"/>
  <c r="F9179" i="1"/>
  <c r="G9179" i="1"/>
  <c r="H9179" i="1"/>
  <c r="I9179" i="1"/>
  <c r="J9179" i="1"/>
  <c r="K9179" i="1"/>
  <c r="L9179" i="1"/>
  <c r="A9180" i="1"/>
  <c r="B9180" i="1"/>
  <c r="C9180" i="1"/>
  <c r="D9180" i="1"/>
  <c r="E9180" i="1"/>
  <c r="F9180" i="1"/>
  <c r="G9180" i="1"/>
  <c r="H9180" i="1"/>
  <c r="I9180" i="1"/>
  <c r="J9180" i="1"/>
  <c r="K9180" i="1"/>
  <c r="L9180" i="1"/>
  <c r="A9181" i="1"/>
  <c r="B9181" i="1"/>
  <c r="C9181" i="1"/>
  <c r="D9181" i="1"/>
  <c r="E9181" i="1"/>
  <c r="F9181" i="1"/>
  <c r="G9181" i="1"/>
  <c r="H9181" i="1"/>
  <c r="I9181" i="1"/>
  <c r="J9181" i="1"/>
  <c r="K9181" i="1"/>
  <c r="L9181" i="1"/>
  <c r="A9182" i="1"/>
  <c r="B9182" i="1"/>
  <c r="C9182" i="1"/>
  <c r="D9182" i="1"/>
  <c r="E9182" i="1"/>
  <c r="F9182" i="1"/>
  <c r="G9182" i="1"/>
  <c r="H9182" i="1"/>
  <c r="I9182" i="1"/>
  <c r="J9182" i="1"/>
  <c r="K9182" i="1"/>
  <c r="L9182" i="1"/>
  <c r="A9183" i="1"/>
  <c r="B9183" i="1"/>
  <c r="C9183" i="1"/>
  <c r="D9183" i="1"/>
  <c r="E9183" i="1"/>
  <c r="F9183" i="1"/>
  <c r="G9183" i="1"/>
  <c r="H9183" i="1"/>
  <c r="I9183" i="1"/>
  <c r="J9183" i="1"/>
  <c r="K9183" i="1"/>
  <c r="L9183" i="1"/>
  <c r="A9184" i="1"/>
  <c r="B9184" i="1"/>
  <c r="C9184" i="1"/>
  <c r="D9184" i="1"/>
  <c r="E9184" i="1"/>
  <c r="F9184" i="1"/>
  <c r="G9184" i="1"/>
  <c r="H9184" i="1"/>
  <c r="I9184" i="1"/>
  <c r="J9184" i="1"/>
  <c r="K9184" i="1"/>
  <c r="L9184" i="1"/>
  <c r="A9185" i="1"/>
  <c r="B9185" i="1"/>
  <c r="C9185" i="1"/>
  <c r="D9185" i="1"/>
  <c r="E9185" i="1"/>
  <c r="F9185" i="1"/>
  <c r="G9185" i="1"/>
  <c r="H9185" i="1"/>
  <c r="I9185" i="1"/>
  <c r="J9185" i="1"/>
  <c r="K9185" i="1"/>
  <c r="L9185" i="1"/>
  <c r="A9186" i="1"/>
  <c r="B9186" i="1"/>
  <c r="C9186" i="1"/>
  <c r="D9186" i="1"/>
  <c r="E9186" i="1"/>
  <c r="F9186" i="1"/>
  <c r="G9186" i="1"/>
  <c r="H9186" i="1"/>
  <c r="I9186" i="1"/>
  <c r="J9186" i="1"/>
  <c r="K9186" i="1"/>
  <c r="L9186" i="1"/>
  <c r="A9187" i="1"/>
  <c r="B9187" i="1"/>
  <c r="C9187" i="1"/>
  <c r="D9187" i="1"/>
  <c r="E9187" i="1"/>
  <c r="F9187" i="1"/>
  <c r="G9187" i="1"/>
  <c r="H9187" i="1"/>
  <c r="I9187" i="1"/>
  <c r="J9187" i="1"/>
  <c r="K9187" i="1"/>
  <c r="L9187" i="1"/>
  <c r="A9188" i="1"/>
  <c r="B9188" i="1"/>
  <c r="C9188" i="1"/>
  <c r="D9188" i="1"/>
  <c r="E9188" i="1"/>
  <c r="F9188" i="1"/>
  <c r="G9188" i="1"/>
  <c r="H9188" i="1"/>
  <c r="I9188" i="1"/>
  <c r="J9188" i="1"/>
  <c r="K9188" i="1"/>
  <c r="L9188" i="1"/>
  <c r="A9189" i="1"/>
  <c r="B9189" i="1"/>
  <c r="C9189" i="1"/>
  <c r="D9189" i="1"/>
  <c r="E9189" i="1"/>
  <c r="F9189" i="1"/>
  <c r="G9189" i="1"/>
  <c r="H9189" i="1"/>
  <c r="I9189" i="1"/>
  <c r="J9189" i="1"/>
  <c r="K9189" i="1"/>
  <c r="L9189" i="1"/>
  <c r="A9190" i="1"/>
  <c r="B9190" i="1"/>
  <c r="C9190" i="1"/>
  <c r="D9190" i="1"/>
  <c r="E9190" i="1"/>
  <c r="F9190" i="1"/>
  <c r="G9190" i="1"/>
  <c r="H9190" i="1"/>
  <c r="I9190" i="1"/>
  <c r="J9190" i="1"/>
  <c r="K9190" i="1"/>
  <c r="L9190" i="1"/>
  <c r="A9191" i="1"/>
  <c r="B9191" i="1"/>
  <c r="C9191" i="1"/>
  <c r="D9191" i="1"/>
  <c r="E9191" i="1"/>
  <c r="F9191" i="1"/>
  <c r="G9191" i="1"/>
  <c r="H9191" i="1"/>
  <c r="I9191" i="1"/>
  <c r="J9191" i="1"/>
  <c r="K9191" i="1"/>
  <c r="L9191" i="1"/>
  <c r="A9192" i="1"/>
  <c r="B9192" i="1"/>
  <c r="C9192" i="1"/>
  <c r="D9192" i="1"/>
  <c r="E9192" i="1"/>
  <c r="F9192" i="1"/>
  <c r="G9192" i="1"/>
  <c r="H9192" i="1"/>
  <c r="I9192" i="1"/>
  <c r="J9192" i="1"/>
  <c r="K9192" i="1"/>
  <c r="L9192" i="1"/>
  <c r="A9193" i="1"/>
  <c r="B9193" i="1"/>
  <c r="C9193" i="1"/>
  <c r="D9193" i="1"/>
  <c r="E9193" i="1"/>
  <c r="F9193" i="1"/>
  <c r="G9193" i="1"/>
  <c r="H9193" i="1"/>
  <c r="I9193" i="1"/>
  <c r="J9193" i="1"/>
  <c r="K9193" i="1"/>
  <c r="L9193" i="1"/>
  <c r="A9194" i="1"/>
  <c r="B9194" i="1"/>
  <c r="C9194" i="1"/>
  <c r="D9194" i="1"/>
  <c r="E9194" i="1"/>
  <c r="F9194" i="1"/>
  <c r="G9194" i="1"/>
  <c r="H9194" i="1"/>
  <c r="I9194" i="1"/>
  <c r="J9194" i="1"/>
  <c r="K9194" i="1"/>
  <c r="L9194" i="1"/>
  <c r="A9195" i="1"/>
  <c r="B9195" i="1"/>
  <c r="C9195" i="1"/>
  <c r="D9195" i="1"/>
  <c r="E9195" i="1"/>
  <c r="F9195" i="1"/>
  <c r="G9195" i="1"/>
  <c r="H9195" i="1"/>
  <c r="I9195" i="1"/>
  <c r="J9195" i="1"/>
  <c r="K9195" i="1"/>
  <c r="L9195" i="1"/>
  <c r="A9196" i="1"/>
  <c r="B9196" i="1"/>
  <c r="C9196" i="1"/>
  <c r="D9196" i="1"/>
  <c r="E9196" i="1"/>
  <c r="F9196" i="1"/>
  <c r="G9196" i="1"/>
  <c r="H9196" i="1"/>
  <c r="I9196" i="1"/>
  <c r="J9196" i="1"/>
  <c r="K9196" i="1"/>
  <c r="L9196" i="1"/>
  <c r="A9197" i="1"/>
  <c r="B9197" i="1"/>
  <c r="C9197" i="1"/>
  <c r="D9197" i="1"/>
  <c r="E9197" i="1"/>
  <c r="F9197" i="1"/>
  <c r="G9197" i="1"/>
  <c r="H9197" i="1"/>
  <c r="I9197" i="1"/>
  <c r="J9197" i="1"/>
  <c r="K9197" i="1"/>
  <c r="L9197" i="1"/>
  <c r="A9198" i="1"/>
  <c r="B9198" i="1"/>
  <c r="C9198" i="1"/>
  <c r="D9198" i="1"/>
  <c r="E9198" i="1"/>
  <c r="F9198" i="1"/>
  <c r="G9198" i="1"/>
  <c r="H9198" i="1"/>
  <c r="I9198" i="1"/>
  <c r="J9198" i="1"/>
  <c r="K9198" i="1"/>
  <c r="L9198" i="1"/>
  <c r="A9199" i="1"/>
  <c r="B9199" i="1"/>
  <c r="C9199" i="1"/>
  <c r="D9199" i="1"/>
  <c r="E9199" i="1"/>
  <c r="F9199" i="1"/>
  <c r="G9199" i="1"/>
  <c r="H9199" i="1"/>
  <c r="I9199" i="1"/>
  <c r="J9199" i="1"/>
  <c r="K9199" i="1"/>
  <c r="L9199" i="1"/>
  <c r="A9200" i="1"/>
  <c r="B9200" i="1"/>
  <c r="C9200" i="1"/>
  <c r="D9200" i="1"/>
  <c r="E9200" i="1"/>
  <c r="F9200" i="1"/>
  <c r="G9200" i="1"/>
  <c r="H9200" i="1"/>
  <c r="I9200" i="1"/>
  <c r="J9200" i="1"/>
  <c r="K9200" i="1"/>
  <c r="L9200" i="1"/>
  <c r="A9201" i="1"/>
  <c r="B9201" i="1"/>
  <c r="C9201" i="1"/>
  <c r="D9201" i="1"/>
  <c r="E9201" i="1"/>
  <c r="F9201" i="1"/>
  <c r="G9201" i="1"/>
  <c r="H9201" i="1"/>
  <c r="I9201" i="1"/>
  <c r="J9201" i="1"/>
  <c r="K9201" i="1"/>
  <c r="L9201" i="1"/>
  <c r="A9202" i="1"/>
  <c r="B9202" i="1"/>
  <c r="C9202" i="1"/>
  <c r="D9202" i="1"/>
  <c r="E9202" i="1"/>
  <c r="F9202" i="1"/>
  <c r="G9202" i="1"/>
  <c r="H9202" i="1"/>
  <c r="I9202" i="1"/>
  <c r="J9202" i="1"/>
  <c r="K9202" i="1"/>
  <c r="L9202" i="1"/>
  <c r="A9203" i="1"/>
  <c r="B9203" i="1"/>
  <c r="C9203" i="1"/>
  <c r="D9203" i="1"/>
  <c r="E9203" i="1"/>
  <c r="F9203" i="1"/>
  <c r="G9203" i="1"/>
  <c r="H9203" i="1"/>
  <c r="I9203" i="1"/>
  <c r="J9203" i="1"/>
  <c r="K9203" i="1"/>
  <c r="L9203" i="1"/>
  <c r="A9204" i="1"/>
  <c r="B9204" i="1"/>
  <c r="C9204" i="1"/>
  <c r="D9204" i="1"/>
  <c r="E9204" i="1"/>
  <c r="F9204" i="1"/>
  <c r="G9204" i="1"/>
  <c r="H9204" i="1"/>
  <c r="I9204" i="1"/>
  <c r="J9204" i="1"/>
  <c r="K9204" i="1"/>
  <c r="L9204" i="1"/>
  <c r="A9205" i="1"/>
  <c r="B9205" i="1"/>
  <c r="C9205" i="1"/>
  <c r="D9205" i="1"/>
  <c r="E9205" i="1"/>
  <c r="F9205" i="1"/>
  <c r="G9205" i="1"/>
  <c r="H9205" i="1"/>
  <c r="I9205" i="1"/>
  <c r="J9205" i="1"/>
  <c r="K9205" i="1"/>
  <c r="L9205" i="1"/>
  <c r="A9206" i="1"/>
  <c r="B9206" i="1"/>
  <c r="C9206" i="1"/>
  <c r="D9206" i="1"/>
  <c r="E9206" i="1"/>
  <c r="F9206" i="1"/>
  <c r="G9206" i="1"/>
  <c r="H9206" i="1"/>
  <c r="I9206" i="1"/>
  <c r="J9206" i="1"/>
  <c r="K9206" i="1"/>
  <c r="L9206" i="1"/>
  <c r="A9207" i="1"/>
  <c r="B9207" i="1"/>
  <c r="C9207" i="1"/>
  <c r="D9207" i="1"/>
  <c r="E9207" i="1"/>
  <c r="F9207" i="1"/>
  <c r="G9207" i="1"/>
  <c r="H9207" i="1"/>
  <c r="I9207" i="1"/>
  <c r="J9207" i="1"/>
  <c r="K9207" i="1"/>
  <c r="L9207" i="1"/>
  <c r="A9208" i="1"/>
  <c r="B9208" i="1"/>
  <c r="C9208" i="1"/>
  <c r="D9208" i="1"/>
  <c r="E9208" i="1"/>
  <c r="F9208" i="1"/>
  <c r="G9208" i="1"/>
  <c r="H9208" i="1"/>
  <c r="I9208" i="1"/>
  <c r="J9208" i="1"/>
  <c r="K9208" i="1"/>
  <c r="L9208" i="1"/>
  <c r="A9209" i="1"/>
  <c r="B9209" i="1"/>
  <c r="C9209" i="1"/>
  <c r="D9209" i="1"/>
  <c r="E9209" i="1"/>
  <c r="F9209" i="1"/>
  <c r="G9209" i="1"/>
  <c r="H9209" i="1"/>
  <c r="I9209" i="1"/>
  <c r="J9209" i="1"/>
  <c r="K9209" i="1"/>
  <c r="L9209" i="1"/>
  <c r="A9210" i="1"/>
  <c r="B9210" i="1"/>
  <c r="C9210" i="1"/>
  <c r="D9210" i="1"/>
  <c r="E9210" i="1"/>
  <c r="F9210" i="1"/>
  <c r="G9210" i="1"/>
  <c r="H9210" i="1"/>
  <c r="I9210" i="1"/>
  <c r="J9210" i="1"/>
  <c r="K9210" i="1"/>
  <c r="L9210" i="1"/>
  <c r="A9211" i="1"/>
  <c r="B9211" i="1"/>
  <c r="C9211" i="1"/>
  <c r="D9211" i="1"/>
  <c r="E9211" i="1"/>
  <c r="F9211" i="1"/>
  <c r="G9211" i="1"/>
  <c r="H9211" i="1"/>
  <c r="I9211" i="1"/>
  <c r="J9211" i="1"/>
  <c r="K9211" i="1"/>
  <c r="L9211" i="1"/>
  <c r="A9212" i="1"/>
  <c r="B9212" i="1"/>
  <c r="C9212" i="1"/>
  <c r="D9212" i="1"/>
  <c r="E9212" i="1"/>
  <c r="F9212" i="1"/>
  <c r="G9212" i="1"/>
  <c r="H9212" i="1"/>
  <c r="I9212" i="1"/>
  <c r="J9212" i="1"/>
  <c r="K9212" i="1"/>
  <c r="L9212" i="1"/>
  <c r="A9213" i="1"/>
  <c r="B9213" i="1"/>
  <c r="C9213" i="1"/>
  <c r="D9213" i="1"/>
  <c r="E9213" i="1"/>
  <c r="F9213" i="1"/>
  <c r="G9213" i="1"/>
  <c r="H9213" i="1"/>
  <c r="I9213" i="1"/>
  <c r="J9213" i="1"/>
  <c r="K9213" i="1"/>
  <c r="L9213" i="1"/>
  <c r="A9214" i="1"/>
  <c r="B9214" i="1"/>
  <c r="C9214" i="1"/>
  <c r="D9214" i="1"/>
  <c r="E9214" i="1"/>
  <c r="F9214" i="1"/>
  <c r="G9214" i="1"/>
  <c r="H9214" i="1"/>
  <c r="I9214" i="1"/>
  <c r="J9214" i="1"/>
  <c r="K9214" i="1"/>
  <c r="L9214" i="1"/>
  <c r="A9215" i="1"/>
  <c r="B9215" i="1"/>
  <c r="C9215" i="1"/>
  <c r="D9215" i="1"/>
  <c r="E9215" i="1"/>
  <c r="F9215" i="1"/>
  <c r="G9215" i="1"/>
  <c r="H9215" i="1"/>
  <c r="I9215" i="1"/>
  <c r="J9215" i="1"/>
  <c r="K9215" i="1"/>
  <c r="L9215" i="1"/>
  <c r="A9216" i="1"/>
  <c r="B9216" i="1"/>
  <c r="C9216" i="1"/>
  <c r="D9216" i="1"/>
  <c r="E9216" i="1"/>
  <c r="F9216" i="1"/>
  <c r="G9216" i="1"/>
  <c r="H9216" i="1"/>
  <c r="I9216" i="1"/>
  <c r="J9216" i="1"/>
  <c r="K9216" i="1"/>
  <c r="L9216" i="1"/>
  <c r="A9217" i="1"/>
  <c r="B9217" i="1"/>
  <c r="C9217" i="1"/>
  <c r="D9217" i="1"/>
  <c r="E9217" i="1"/>
  <c r="F9217" i="1"/>
  <c r="G9217" i="1"/>
  <c r="H9217" i="1"/>
  <c r="I9217" i="1"/>
  <c r="J9217" i="1"/>
  <c r="K9217" i="1"/>
  <c r="L9217" i="1"/>
  <c r="A9218" i="1"/>
  <c r="B9218" i="1"/>
  <c r="C9218" i="1"/>
  <c r="D9218" i="1"/>
  <c r="E9218" i="1"/>
  <c r="F9218" i="1"/>
  <c r="G9218" i="1"/>
  <c r="H9218" i="1"/>
  <c r="I9218" i="1"/>
  <c r="J9218" i="1"/>
  <c r="K9218" i="1"/>
  <c r="L9218" i="1"/>
  <c r="A9219" i="1"/>
  <c r="B9219" i="1"/>
  <c r="C9219" i="1"/>
  <c r="D9219" i="1"/>
  <c r="E9219" i="1"/>
  <c r="F9219" i="1"/>
  <c r="G9219" i="1"/>
  <c r="H9219" i="1"/>
  <c r="I9219" i="1"/>
  <c r="J9219" i="1"/>
  <c r="K9219" i="1"/>
  <c r="L9219" i="1"/>
  <c r="A9220" i="1"/>
  <c r="B9220" i="1"/>
  <c r="C9220" i="1"/>
  <c r="D9220" i="1"/>
  <c r="E9220" i="1"/>
  <c r="F9220" i="1"/>
  <c r="G9220" i="1"/>
  <c r="H9220" i="1"/>
  <c r="I9220" i="1"/>
  <c r="J9220" i="1"/>
  <c r="K9220" i="1"/>
  <c r="L9220" i="1"/>
  <c r="A9221" i="1"/>
  <c r="B9221" i="1"/>
  <c r="C9221" i="1"/>
  <c r="D9221" i="1"/>
  <c r="E9221" i="1"/>
  <c r="F9221" i="1"/>
  <c r="G9221" i="1"/>
  <c r="H9221" i="1"/>
  <c r="I9221" i="1"/>
  <c r="J9221" i="1"/>
  <c r="K9221" i="1"/>
  <c r="L9221" i="1"/>
  <c r="A9222" i="1"/>
  <c r="B9222" i="1"/>
  <c r="C9222" i="1"/>
  <c r="D9222" i="1"/>
  <c r="E9222" i="1"/>
  <c r="F9222" i="1"/>
  <c r="G9222" i="1"/>
  <c r="H9222" i="1"/>
  <c r="I9222" i="1"/>
  <c r="J9222" i="1"/>
  <c r="K9222" i="1"/>
  <c r="L9222" i="1"/>
  <c r="A9223" i="1"/>
  <c r="B9223" i="1"/>
  <c r="C9223" i="1"/>
  <c r="D9223" i="1"/>
  <c r="E9223" i="1"/>
  <c r="F9223" i="1"/>
  <c r="G9223" i="1"/>
  <c r="H9223" i="1"/>
  <c r="I9223" i="1"/>
  <c r="J9223" i="1"/>
  <c r="K9223" i="1"/>
  <c r="L9223" i="1"/>
  <c r="A9224" i="1"/>
  <c r="B9224" i="1"/>
  <c r="C9224" i="1"/>
  <c r="D9224" i="1"/>
  <c r="E9224" i="1"/>
  <c r="F9224" i="1"/>
  <c r="G9224" i="1"/>
  <c r="H9224" i="1"/>
  <c r="I9224" i="1"/>
  <c r="J9224" i="1"/>
  <c r="K9224" i="1"/>
  <c r="L9224" i="1"/>
  <c r="A9225" i="1"/>
  <c r="B9225" i="1"/>
  <c r="C9225" i="1"/>
  <c r="D9225" i="1"/>
  <c r="E9225" i="1"/>
  <c r="F9225" i="1"/>
  <c r="G9225" i="1"/>
  <c r="H9225" i="1"/>
  <c r="I9225" i="1"/>
  <c r="J9225" i="1"/>
  <c r="K9225" i="1"/>
  <c r="L9225" i="1"/>
  <c r="A9226" i="1"/>
  <c r="B9226" i="1"/>
  <c r="C9226" i="1"/>
  <c r="D9226" i="1"/>
  <c r="E9226" i="1"/>
  <c r="F9226" i="1"/>
  <c r="G9226" i="1"/>
  <c r="H9226" i="1"/>
  <c r="I9226" i="1"/>
  <c r="J9226" i="1"/>
  <c r="K9226" i="1"/>
  <c r="L9226" i="1"/>
  <c r="A9227" i="1"/>
  <c r="B9227" i="1"/>
  <c r="C9227" i="1"/>
  <c r="D9227" i="1"/>
  <c r="E9227" i="1"/>
  <c r="F9227" i="1"/>
  <c r="G9227" i="1"/>
  <c r="H9227" i="1"/>
  <c r="I9227" i="1"/>
  <c r="J9227" i="1"/>
  <c r="K9227" i="1"/>
  <c r="L9227" i="1"/>
  <c r="A9228" i="1"/>
  <c r="B9228" i="1"/>
  <c r="C9228" i="1"/>
  <c r="D9228" i="1"/>
  <c r="E9228" i="1"/>
  <c r="F9228" i="1"/>
  <c r="G9228" i="1"/>
  <c r="H9228" i="1"/>
  <c r="I9228" i="1"/>
  <c r="J9228" i="1"/>
  <c r="K9228" i="1"/>
  <c r="L9228" i="1"/>
  <c r="A9229" i="1"/>
  <c r="B9229" i="1"/>
  <c r="C9229" i="1"/>
  <c r="D9229" i="1"/>
  <c r="E9229" i="1"/>
  <c r="F9229" i="1"/>
  <c r="G9229" i="1"/>
  <c r="H9229" i="1"/>
  <c r="I9229" i="1"/>
  <c r="J9229" i="1"/>
  <c r="K9229" i="1"/>
  <c r="L9229" i="1"/>
  <c r="A9230" i="1"/>
  <c r="B9230" i="1"/>
  <c r="C9230" i="1"/>
  <c r="D9230" i="1"/>
  <c r="E9230" i="1"/>
  <c r="F9230" i="1"/>
  <c r="G9230" i="1"/>
  <c r="H9230" i="1"/>
  <c r="I9230" i="1"/>
  <c r="J9230" i="1"/>
  <c r="K9230" i="1"/>
  <c r="L9230" i="1"/>
  <c r="A9231" i="1"/>
  <c r="B9231" i="1"/>
  <c r="C9231" i="1"/>
  <c r="D9231" i="1"/>
  <c r="E9231" i="1"/>
  <c r="F9231" i="1"/>
  <c r="G9231" i="1"/>
  <c r="H9231" i="1"/>
  <c r="I9231" i="1"/>
  <c r="J9231" i="1"/>
  <c r="K9231" i="1"/>
  <c r="L9231" i="1"/>
  <c r="A9232" i="1"/>
  <c r="B9232" i="1"/>
  <c r="C9232" i="1"/>
  <c r="D9232" i="1"/>
  <c r="E9232" i="1"/>
  <c r="F9232" i="1"/>
  <c r="G9232" i="1"/>
  <c r="H9232" i="1"/>
  <c r="I9232" i="1"/>
  <c r="J9232" i="1"/>
  <c r="K9232" i="1"/>
  <c r="L9232" i="1"/>
  <c r="A9233" i="1"/>
  <c r="B9233" i="1"/>
  <c r="C9233" i="1"/>
  <c r="D9233" i="1"/>
  <c r="E9233" i="1"/>
  <c r="F9233" i="1"/>
  <c r="G9233" i="1"/>
  <c r="H9233" i="1"/>
  <c r="I9233" i="1"/>
  <c r="J9233" i="1"/>
  <c r="K9233" i="1"/>
  <c r="L9233" i="1"/>
  <c r="A9234" i="1"/>
  <c r="B9234" i="1"/>
  <c r="C9234" i="1"/>
  <c r="D9234" i="1"/>
  <c r="E9234" i="1"/>
  <c r="F9234" i="1"/>
  <c r="G9234" i="1"/>
  <c r="H9234" i="1"/>
  <c r="I9234" i="1"/>
  <c r="J9234" i="1"/>
  <c r="K9234" i="1"/>
  <c r="L9234" i="1"/>
  <c r="A9235" i="1"/>
  <c r="B9235" i="1"/>
  <c r="C9235" i="1"/>
  <c r="D9235" i="1"/>
  <c r="E9235" i="1"/>
  <c r="F9235" i="1"/>
  <c r="G9235" i="1"/>
  <c r="H9235" i="1"/>
  <c r="I9235" i="1"/>
  <c r="J9235" i="1"/>
  <c r="K9235" i="1"/>
  <c r="L9235" i="1"/>
  <c r="A9236" i="1"/>
  <c r="B9236" i="1"/>
  <c r="C9236" i="1"/>
  <c r="D9236" i="1"/>
  <c r="E9236" i="1"/>
  <c r="F9236" i="1"/>
  <c r="G9236" i="1"/>
  <c r="H9236" i="1"/>
  <c r="I9236" i="1"/>
  <c r="J9236" i="1"/>
  <c r="K9236" i="1"/>
  <c r="L9236" i="1"/>
  <c r="A9237" i="1"/>
  <c r="B9237" i="1"/>
  <c r="C9237" i="1"/>
  <c r="D9237" i="1"/>
  <c r="E9237" i="1"/>
  <c r="F9237" i="1"/>
  <c r="G9237" i="1"/>
  <c r="H9237" i="1"/>
  <c r="I9237" i="1"/>
  <c r="J9237" i="1"/>
  <c r="K9237" i="1"/>
  <c r="L9237" i="1"/>
  <c r="A9238" i="1"/>
  <c r="B9238" i="1"/>
  <c r="C9238" i="1"/>
  <c r="D9238" i="1"/>
  <c r="E9238" i="1"/>
  <c r="F9238" i="1"/>
  <c r="G9238" i="1"/>
  <c r="H9238" i="1"/>
  <c r="I9238" i="1"/>
  <c r="J9238" i="1"/>
  <c r="K9238" i="1"/>
  <c r="L9238" i="1"/>
  <c r="A9239" i="1"/>
  <c r="B9239" i="1"/>
  <c r="C9239" i="1"/>
  <c r="D9239" i="1"/>
  <c r="E9239" i="1"/>
  <c r="F9239" i="1"/>
  <c r="G9239" i="1"/>
  <c r="H9239" i="1"/>
  <c r="I9239" i="1"/>
  <c r="J9239" i="1"/>
  <c r="K9239" i="1"/>
  <c r="L9239" i="1"/>
  <c r="A9240" i="1"/>
  <c r="B9240" i="1"/>
  <c r="C9240" i="1"/>
  <c r="D9240" i="1"/>
  <c r="E9240" i="1"/>
  <c r="F9240" i="1"/>
  <c r="G9240" i="1"/>
  <c r="H9240" i="1"/>
  <c r="I9240" i="1"/>
  <c r="J9240" i="1"/>
  <c r="K9240" i="1"/>
  <c r="L9240" i="1"/>
  <c r="A9241" i="1"/>
  <c r="B9241" i="1"/>
  <c r="C9241" i="1"/>
  <c r="D9241" i="1"/>
  <c r="E9241" i="1"/>
  <c r="F9241" i="1"/>
  <c r="G9241" i="1"/>
  <c r="H9241" i="1"/>
  <c r="I9241" i="1"/>
  <c r="J9241" i="1"/>
  <c r="K9241" i="1"/>
  <c r="L9241" i="1"/>
  <c r="A9242" i="1"/>
  <c r="B9242" i="1"/>
  <c r="C9242" i="1"/>
  <c r="D9242" i="1"/>
  <c r="E9242" i="1"/>
  <c r="F9242" i="1"/>
  <c r="G9242" i="1"/>
  <c r="H9242" i="1"/>
  <c r="I9242" i="1"/>
  <c r="J9242" i="1"/>
  <c r="K9242" i="1"/>
  <c r="L9242" i="1"/>
  <c r="A9243" i="1"/>
  <c r="B9243" i="1"/>
  <c r="C9243" i="1"/>
  <c r="D9243" i="1"/>
  <c r="E9243" i="1"/>
  <c r="F9243" i="1"/>
  <c r="G9243" i="1"/>
  <c r="H9243" i="1"/>
  <c r="I9243" i="1"/>
  <c r="J9243" i="1"/>
  <c r="K9243" i="1"/>
  <c r="L9243" i="1"/>
  <c r="A9244" i="1"/>
  <c r="B9244" i="1"/>
  <c r="C9244" i="1"/>
  <c r="D9244" i="1"/>
  <c r="E9244" i="1"/>
  <c r="F9244" i="1"/>
  <c r="G9244" i="1"/>
  <c r="H9244" i="1"/>
  <c r="I9244" i="1"/>
  <c r="J9244" i="1"/>
  <c r="K9244" i="1"/>
  <c r="L9244" i="1"/>
  <c r="A9245" i="1"/>
  <c r="B9245" i="1"/>
  <c r="C9245" i="1"/>
  <c r="D9245" i="1"/>
  <c r="E9245" i="1"/>
  <c r="F9245" i="1"/>
  <c r="G9245" i="1"/>
  <c r="H9245" i="1"/>
  <c r="I9245" i="1"/>
  <c r="J9245" i="1"/>
  <c r="K9245" i="1"/>
  <c r="L9245" i="1"/>
  <c r="A9246" i="1"/>
  <c r="B9246" i="1"/>
  <c r="C9246" i="1"/>
  <c r="D9246" i="1"/>
  <c r="E9246" i="1"/>
  <c r="F9246" i="1"/>
  <c r="G9246" i="1"/>
  <c r="H9246" i="1"/>
  <c r="I9246" i="1"/>
  <c r="J9246" i="1"/>
  <c r="K9246" i="1"/>
  <c r="L9246" i="1"/>
  <c r="A9247" i="1"/>
  <c r="B9247" i="1"/>
  <c r="C9247" i="1"/>
  <c r="D9247" i="1"/>
  <c r="E9247" i="1"/>
  <c r="F9247" i="1"/>
  <c r="G9247" i="1"/>
  <c r="H9247" i="1"/>
  <c r="I9247" i="1"/>
  <c r="J9247" i="1"/>
  <c r="K9247" i="1"/>
  <c r="L9247" i="1"/>
  <c r="A9248" i="1"/>
  <c r="B9248" i="1"/>
  <c r="C9248" i="1"/>
  <c r="D9248" i="1"/>
  <c r="E9248" i="1"/>
  <c r="F9248" i="1"/>
  <c r="G9248" i="1"/>
  <c r="H9248" i="1"/>
  <c r="I9248" i="1"/>
  <c r="J9248" i="1"/>
  <c r="K9248" i="1"/>
  <c r="L9248" i="1"/>
  <c r="A9249" i="1"/>
  <c r="B9249" i="1"/>
  <c r="C9249" i="1"/>
  <c r="D9249" i="1"/>
  <c r="E9249" i="1"/>
  <c r="F9249" i="1"/>
  <c r="G9249" i="1"/>
  <c r="H9249" i="1"/>
  <c r="I9249" i="1"/>
  <c r="J9249" i="1"/>
  <c r="K9249" i="1"/>
  <c r="L9249" i="1"/>
  <c r="A9250" i="1"/>
  <c r="B9250" i="1"/>
  <c r="C9250" i="1"/>
  <c r="D9250" i="1"/>
  <c r="E9250" i="1"/>
  <c r="F9250" i="1"/>
  <c r="G9250" i="1"/>
  <c r="H9250" i="1"/>
  <c r="I9250" i="1"/>
  <c r="J9250" i="1"/>
  <c r="K9250" i="1"/>
  <c r="L9250" i="1"/>
  <c r="A9251" i="1"/>
  <c r="B9251" i="1"/>
  <c r="C9251" i="1"/>
  <c r="D9251" i="1"/>
  <c r="E9251" i="1"/>
  <c r="F9251" i="1"/>
  <c r="G9251" i="1"/>
  <c r="H9251" i="1"/>
  <c r="I9251" i="1"/>
  <c r="J9251" i="1"/>
  <c r="K9251" i="1"/>
  <c r="L9251" i="1"/>
  <c r="A9252" i="1"/>
  <c r="B9252" i="1"/>
  <c r="C9252" i="1"/>
  <c r="D9252" i="1"/>
  <c r="E9252" i="1"/>
  <c r="F9252" i="1"/>
  <c r="G9252" i="1"/>
  <c r="H9252" i="1"/>
  <c r="I9252" i="1"/>
  <c r="J9252" i="1"/>
  <c r="K9252" i="1"/>
  <c r="L9252" i="1"/>
  <c r="A9253" i="1"/>
  <c r="B9253" i="1"/>
  <c r="C9253" i="1"/>
  <c r="D9253" i="1"/>
  <c r="E9253" i="1"/>
  <c r="F9253" i="1"/>
  <c r="G9253" i="1"/>
  <c r="H9253" i="1"/>
  <c r="I9253" i="1"/>
  <c r="J9253" i="1"/>
  <c r="K9253" i="1"/>
  <c r="L9253" i="1"/>
  <c r="A9254" i="1"/>
  <c r="B9254" i="1"/>
  <c r="C9254" i="1"/>
  <c r="D9254" i="1"/>
  <c r="E9254" i="1"/>
  <c r="F9254" i="1"/>
  <c r="G9254" i="1"/>
  <c r="H9254" i="1"/>
  <c r="I9254" i="1"/>
  <c r="J9254" i="1"/>
  <c r="K9254" i="1"/>
  <c r="L9254" i="1"/>
  <c r="A9255" i="1"/>
  <c r="B9255" i="1"/>
  <c r="C9255" i="1"/>
  <c r="D9255" i="1"/>
  <c r="E9255" i="1"/>
  <c r="F9255" i="1"/>
  <c r="G9255" i="1"/>
  <c r="H9255" i="1"/>
  <c r="I9255" i="1"/>
  <c r="J9255" i="1"/>
  <c r="K9255" i="1"/>
  <c r="L9255" i="1"/>
  <c r="A9256" i="1"/>
  <c r="B9256" i="1"/>
  <c r="C9256" i="1"/>
  <c r="D9256" i="1"/>
  <c r="E9256" i="1"/>
  <c r="F9256" i="1"/>
  <c r="G9256" i="1"/>
  <c r="H9256" i="1"/>
  <c r="I9256" i="1"/>
  <c r="J9256" i="1"/>
  <c r="K9256" i="1"/>
  <c r="L9256" i="1"/>
  <c r="A9257" i="1"/>
  <c r="B9257" i="1"/>
  <c r="C9257" i="1"/>
  <c r="D9257" i="1"/>
  <c r="E9257" i="1"/>
  <c r="F9257" i="1"/>
  <c r="G9257" i="1"/>
  <c r="H9257" i="1"/>
  <c r="I9257" i="1"/>
  <c r="J9257" i="1"/>
  <c r="K9257" i="1"/>
  <c r="L9257" i="1"/>
  <c r="A9258" i="1"/>
  <c r="B9258" i="1"/>
  <c r="C9258" i="1"/>
  <c r="D9258" i="1"/>
  <c r="E9258" i="1"/>
  <c r="F9258" i="1"/>
  <c r="G9258" i="1"/>
  <c r="H9258" i="1"/>
  <c r="I9258" i="1"/>
  <c r="J9258" i="1"/>
  <c r="K9258" i="1"/>
  <c r="L9258" i="1"/>
  <c r="A9259" i="1"/>
  <c r="B9259" i="1"/>
  <c r="C9259" i="1"/>
  <c r="D9259" i="1"/>
  <c r="E9259" i="1"/>
  <c r="F9259" i="1"/>
  <c r="G9259" i="1"/>
  <c r="H9259" i="1"/>
  <c r="I9259" i="1"/>
  <c r="J9259" i="1"/>
  <c r="K9259" i="1"/>
  <c r="L9259" i="1"/>
  <c r="A9260" i="1"/>
  <c r="B9260" i="1"/>
  <c r="C9260" i="1"/>
  <c r="D9260" i="1"/>
  <c r="E9260" i="1"/>
  <c r="F9260" i="1"/>
  <c r="G9260" i="1"/>
  <c r="H9260" i="1"/>
  <c r="I9260" i="1"/>
  <c r="J9260" i="1"/>
  <c r="K9260" i="1"/>
  <c r="L9260" i="1"/>
  <c r="A9261" i="1"/>
  <c r="B9261" i="1"/>
  <c r="C9261" i="1"/>
  <c r="D9261" i="1"/>
  <c r="E9261" i="1"/>
  <c r="F9261" i="1"/>
  <c r="G9261" i="1"/>
  <c r="H9261" i="1"/>
  <c r="I9261" i="1"/>
  <c r="J9261" i="1"/>
  <c r="K9261" i="1"/>
  <c r="L9261" i="1"/>
  <c r="A9262" i="1"/>
  <c r="B9262" i="1"/>
  <c r="C9262" i="1"/>
  <c r="D9262" i="1"/>
  <c r="E9262" i="1"/>
  <c r="F9262" i="1"/>
  <c r="G9262" i="1"/>
  <c r="H9262" i="1"/>
  <c r="I9262" i="1"/>
  <c r="J9262" i="1"/>
  <c r="K9262" i="1"/>
  <c r="L9262" i="1"/>
  <c r="A9263" i="1"/>
  <c r="B9263" i="1"/>
  <c r="C9263" i="1"/>
  <c r="D9263" i="1"/>
  <c r="E9263" i="1"/>
  <c r="F9263" i="1"/>
  <c r="G9263" i="1"/>
  <c r="H9263" i="1"/>
  <c r="I9263" i="1"/>
  <c r="J9263" i="1"/>
  <c r="K9263" i="1"/>
  <c r="L9263" i="1"/>
  <c r="A9264" i="1"/>
  <c r="B9264" i="1"/>
  <c r="C9264" i="1"/>
  <c r="D9264" i="1"/>
  <c r="E9264" i="1"/>
  <c r="F9264" i="1"/>
  <c r="G9264" i="1"/>
  <c r="H9264" i="1"/>
  <c r="I9264" i="1"/>
  <c r="J9264" i="1"/>
  <c r="K9264" i="1"/>
  <c r="L9264" i="1"/>
  <c r="A9265" i="1"/>
  <c r="B9265" i="1"/>
  <c r="C9265" i="1"/>
  <c r="D9265" i="1"/>
  <c r="E9265" i="1"/>
  <c r="F9265" i="1"/>
  <c r="G9265" i="1"/>
  <c r="H9265" i="1"/>
  <c r="I9265" i="1"/>
  <c r="J9265" i="1"/>
  <c r="K9265" i="1"/>
  <c r="L9265" i="1"/>
  <c r="A9266" i="1"/>
  <c r="B9266" i="1"/>
  <c r="C9266" i="1"/>
  <c r="D9266" i="1"/>
  <c r="E9266" i="1"/>
  <c r="F9266" i="1"/>
  <c r="G9266" i="1"/>
  <c r="H9266" i="1"/>
  <c r="I9266" i="1"/>
  <c r="J9266" i="1"/>
  <c r="K9266" i="1"/>
  <c r="L9266" i="1"/>
  <c r="A9267" i="1"/>
  <c r="B9267" i="1"/>
  <c r="C9267" i="1"/>
  <c r="D9267" i="1"/>
  <c r="E9267" i="1"/>
  <c r="F9267" i="1"/>
  <c r="G9267" i="1"/>
  <c r="H9267" i="1"/>
  <c r="I9267" i="1"/>
  <c r="J9267" i="1"/>
  <c r="K9267" i="1"/>
  <c r="L9267" i="1"/>
  <c r="A9268" i="1"/>
  <c r="B9268" i="1"/>
  <c r="C9268" i="1"/>
  <c r="D9268" i="1"/>
  <c r="E9268" i="1"/>
  <c r="F9268" i="1"/>
  <c r="G9268" i="1"/>
  <c r="H9268" i="1"/>
  <c r="I9268" i="1"/>
  <c r="J9268" i="1"/>
  <c r="K9268" i="1"/>
  <c r="L9268" i="1"/>
  <c r="A9269" i="1"/>
  <c r="B9269" i="1"/>
  <c r="C9269" i="1"/>
  <c r="D9269" i="1"/>
  <c r="E9269" i="1"/>
  <c r="F9269" i="1"/>
  <c r="G9269" i="1"/>
  <c r="H9269" i="1"/>
  <c r="I9269" i="1"/>
  <c r="J9269" i="1"/>
  <c r="K9269" i="1"/>
  <c r="L9269" i="1"/>
  <c r="A9270" i="1"/>
  <c r="B9270" i="1"/>
  <c r="C9270" i="1"/>
  <c r="D9270" i="1"/>
  <c r="E9270" i="1"/>
  <c r="F9270" i="1"/>
  <c r="G9270" i="1"/>
  <c r="H9270" i="1"/>
  <c r="I9270" i="1"/>
  <c r="J9270" i="1"/>
  <c r="K9270" i="1"/>
  <c r="L9270" i="1"/>
  <c r="A9271" i="1"/>
  <c r="B9271" i="1"/>
  <c r="C9271" i="1"/>
  <c r="D9271" i="1"/>
  <c r="E9271" i="1"/>
  <c r="F9271" i="1"/>
  <c r="G9271" i="1"/>
  <c r="H9271" i="1"/>
  <c r="I9271" i="1"/>
  <c r="J9271" i="1"/>
  <c r="K9271" i="1"/>
  <c r="L9271" i="1"/>
  <c r="A9272" i="1"/>
  <c r="B9272" i="1"/>
  <c r="C9272" i="1"/>
  <c r="D9272" i="1"/>
  <c r="E9272" i="1"/>
  <c r="F9272" i="1"/>
  <c r="G9272" i="1"/>
  <c r="H9272" i="1"/>
  <c r="I9272" i="1"/>
  <c r="J9272" i="1"/>
  <c r="K9272" i="1"/>
  <c r="L9272" i="1"/>
  <c r="A9273" i="1"/>
  <c r="B9273" i="1"/>
  <c r="C9273" i="1"/>
  <c r="D9273" i="1"/>
  <c r="E9273" i="1"/>
  <c r="F9273" i="1"/>
  <c r="G9273" i="1"/>
  <c r="H9273" i="1"/>
  <c r="I9273" i="1"/>
  <c r="J9273" i="1"/>
  <c r="K9273" i="1"/>
  <c r="L9273" i="1"/>
  <c r="A9274" i="1"/>
  <c r="B9274" i="1"/>
  <c r="C9274" i="1"/>
  <c r="D9274" i="1"/>
  <c r="E9274" i="1"/>
  <c r="F9274" i="1"/>
  <c r="G9274" i="1"/>
  <c r="H9274" i="1"/>
  <c r="I9274" i="1"/>
  <c r="J9274" i="1"/>
  <c r="K9274" i="1"/>
  <c r="L9274" i="1"/>
  <c r="A9275" i="1"/>
  <c r="B9275" i="1"/>
  <c r="C9275" i="1"/>
  <c r="D9275" i="1"/>
  <c r="E9275" i="1"/>
  <c r="F9275" i="1"/>
  <c r="G9275" i="1"/>
  <c r="H9275" i="1"/>
  <c r="I9275" i="1"/>
  <c r="J9275" i="1"/>
  <c r="K9275" i="1"/>
  <c r="L9275" i="1"/>
  <c r="A9276" i="1"/>
  <c r="B9276" i="1"/>
  <c r="C9276" i="1"/>
  <c r="D9276" i="1"/>
  <c r="E9276" i="1"/>
  <c r="F9276" i="1"/>
  <c r="G9276" i="1"/>
  <c r="H9276" i="1"/>
  <c r="I9276" i="1"/>
  <c r="J9276" i="1"/>
  <c r="K9276" i="1"/>
  <c r="L9276" i="1"/>
  <c r="A9277" i="1"/>
  <c r="B9277" i="1"/>
  <c r="C9277" i="1"/>
  <c r="D9277" i="1"/>
  <c r="E9277" i="1"/>
  <c r="F9277" i="1"/>
  <c r="G9277" i="1"/>
  <c r="H9277" i="1"/>
  <c r="I9277" i="1"/>
  <c r="J9277" i="1"/>
  <c r="K9277" i="1"/>
  <c r="L9277" i="1"/>
  <c r="A9278" i="1"/>
  <c r="B9278" i="1"/>
  <c r="C9278" i="1"/>
  <c r="D9278" i="1"/>
  <c r="E9278" i="1"/>
  <c r="F9278" i="1"/>
  <c r="G9278" i="1"/>
  <c r="H9278" i="1"/>
  <c r="I9278" i="1"/>
  <c r="J9278" i="1"/>
  <c r="K9278" i="1"/>
  <c r="L9278" i="1"/>
  <c r="A9279" i="1"/>
  <c r="B9279" i="1"/>
  <c r="C9279" i="1"/>
  <c r="D9279" i="1"/>
  <c r="E9279" i="1"/>
  <c r="F9279" i="1"/>
  <c r="G9279" i="1"/>
  <c r="H9279" i="1"/>
  <c r="I9279" i="1"/>
  <c r="J9279" i="1"/>
  <c r="K9279" i="1"/>
  <c r="L9279" i="1"/>
  <c r="A9280" i="1"/>
  <c r="B9280" i="1"/>
  <c r="C9280" i="1"/>
  <c r="D9280" i="1"/>
  <c r="E9280" i="1"/>
  <c r="F9280" i="1"/>
  <c r="G9280" i="1"/>
  <c r="H9280" i="1"/>
  <c r="I9280" i="1"/>
  <c r="J9280" i="1"/>
  <c r="K9280" i="1"/>
  <c r="L9280" i="1"/>
  <c r="A9281" i="1"/>
  <c r="B9281" i="1"/>
  <c r="C9281" i="1"/>
  <c r="D9281" i="1"/>
  <c r="E9281" i="1"/>
  <c r="F9281" i="1"/>
  <c r="G9281" i="1"/>
  <c r="H9281" i="1"/>
  <c r="I9281" i="1"/>
  <c r="J9281" i="1"/>
  <c r="K9281" i="1"/>
  <c r="L9281" i="1"/>
  <c r="A9282" i="1"/>
  <c r="B9282" i="1"/>
  <c r="C9282" i="1"/>
  <c r="D9282" i="1"/>
  <c r="E9282" i="1"/>
  <c r="F9282" i="1"/>
  <c r="G9282" i="1"/>
  <c r="H9282" i="1"/>
  <c r="I9282" i="1"/>
  <c r="J9282" i="1"/>
  <c r="K9282" i="1"/>
  <c r="L9282" i="1"/>
  <c r="A9283" i="1"/>
  <c r="B9283" i="1"/>
  <c r="C9283" i="1"/>
  <c r="D9283" i="1"/>
  <c r="E9283" i="1"/>
  <c r="F9283" i="1"/>
  <c r="G9283" i="1"/>
  <c r="H9283" i="1"/>
  <c r="I9283" i="1"/>
  <c r="J9283" i="1"/>
  <c r="K9283" i="1"/>
  <c r="L9283" i="1"/>
  <c r="A9284" i="1"/>
  <c r="B9284" i="1"/>
  <c r="C9284" i="1"/>
  <c r="D9284" i="1"/>
  <c r="E9284" i="1"/>
  <c r="F9284" i="1"/>
  <c r="G9284" i="1"/>
  <c r="H9284" i="1"/>
  <c r="I9284" i="1"/>
  <c r="J9284" i="1"/>
  <c r="K9284" i="1"/>
  <c r="L9284" i="1"/>
  <c r="A9285" i="1"/>
  <c r="B9285" i="1"/>
  <c r="C9285" i="1"/>
  <c r="D9285" i="1"/>
  <c r="E9285" i="1"/>
  <c r="F9285" i="1"/>
  <c r="G9285" i="1"/>
  <c r="H9285" i="1"/>
  <c r="I9285" i="1"/>
  <c r="J9285" i="1"/>
  <c r="K9285" i="1"/>
  <c r="L9285" i="1"/>
  <c r="A9286" i="1"/>
  <c r="B9286" i="1"/>
  <c r="C9286" i="1"/>
  <c r="D9286" i="1"/>
  <c r="E9286" i="1"/>
  <c r="F9286" i="1"/>
  <c r="G9286" i="1"/>
  <c r="H9286" i="1"/>
  <c r="I9286" i="1"/>
  <c r="J9286" i="1"/>
  <c r="K9286" i="1"/>
  <c r="L9286" i="1"/>
  <c r="A9287" i="1"/>
  <c r="B9287" i="1"/>
  <c r="C9287" i="1"/>
  <c r="D9287" i="1"/>
  <c r="E9287" i="1"/>
  <c r="F9287" i="1"/>
  <c r="G9287" i="1"/>
  <c r="H9287" i="1"/>
  <c r="I9287" i="1"/>
  <c r="J9287" i="1"/>
  <c r="K9287" i="1"/>
  <c r="L9287" i="1"/>
  <c r="A9288" i="1"/>
  <c r="B9288" i="1"/>
  <c r="C9288" i="1"/>
  <c r="D9288" i="1"/>
  <c r="E9288" i="1"/>
  <c r="F9288" i="1"/>
  <c r="G9288" i="1"/>
  <c r="H9288" i="1"/>
  <c r="I9288" i="1"/>
  <c r="J9288" i="1"/>
  <c r="K9288" i="1"/>
  <c r="L9288" i="1"/>
  <c r="A9289" i="1"/>
  <c r="B9289" i="1"/>
  <c r="C9289" i="1"/>
  <c r="D9289" i="1"/>
  <c r="E9289" i="1"/>
  <c r="F9289" i="1"/>
  <c r="G9289" i="1"/>
  <c r="H9289" i="1"/>
  <c r="I9289" i="1"/>
  <c r="J9289" i="1"/>
  <c r="K9289" i="1"/>
  <c r="L9289" i="1"/>
  <c r="A9290" i="1"/>
  <c r="B9290" i="1"/>
  <c r="C9290" i="1"/>
  <c r="D9290" i="1"/>
  <c r="E9290" i="1"/>
  <c r="F9290" i="1"/>
  <c r="G9290" i="1"/>
  <c r="H9290" i="1"/>
  <c r="I9290" i="1"/>
  <c r="J9290" i="1"/>
  <c r="K9290" i="1"/>
  <c r="L9290" i="1"/>
  <c r="A9291" i="1"/>
  <c r="B9291" i="1"/>
  <c r="C9291" i="1"/>
  <c r="D9291" i="1"/>
  <c r="E9291" i="1"/>
  <c r="F9291" i="1"/>
  <c r="G9291" i="1"/>
  <c r="H9291" i="1"/>
  <c r="I9291" i="1"/>
  <c r="J9291" i="1"/>
  <c r="K9291" i="1"/>
  <c r="L9291" i="1"/>
  <c r="A9292" i="1"/>
  <c r="B9292" i="1"/>
  <c r="C9292" i="1"/>
  <c r="D9292" i="1"/>
  <c r="E9292" i="1"/>
  <c r="F9292" i="1"/>
  <c r="G9292" i="1"/>
  <c r="H9292" i="1"/>
  <c r="I9292" i="1"/>
  <c r="J9292" i="1"/>
  <c r="K9292" i="1"/>
  <c r="L9292" i="1"/>
  <c r="A9293" i="1"/>
  <c r="B9293" i="1"/>
  <c r="C9293" i="1"/>
  <c r="D9293" i="1"/>
  <c r="E9293" i="1"/>
  <c r="F9293" i="1"/>
  <c r="G9293" i="1"/>
  <c r="H9293" i="1"/>
  <c r="I9293" i="1"/>
  <c r="J9293" i="1"/>
  <c r="K9293" i="1"/>
  <c r="L9293" i="1"/>
  <c r="A9294" i="1"/>
  <c r="B9294" i="1"/>
  <c r="C9294" i="1"/>
  <c r="D9294" i="1"/>
  <c r="E9294" i="1"/>
  <c r="F9294" i="1"/>
  <c r="G9294" i="1"/>
  <c r="H9294" i="1"/>
  <c r="I9294" i="1"/>
  <c r="J9294" i="1"/>
  <c r="K9294" i="1"/>
  <c r="L9294" i="1"/>
  <c r="A9295" i="1"/>
  <c r="B9295" i="1"/>
  <c r="C9295" i="1"/>
  <c r="D9295" i="1"/>
  <c r="E9295" i="1"/>
  <c r="F9295" i="1"/>
  <c r="G9295" i="1"/>
  <c r="H9295" i="1"/>
  <c r="I9295" i="1"/>
  <c r="J9295" i="1"/>
  <c r="K9295" i="1"/>
  <c r="L9295" i="1"/>
  <c r="A9296" i="1"/>
  <c r="B9296" i="1"/>
  <c r="C9296" i="1"/>
  <c r="D9296" i="1"/>
  <c r="E9296" i="1"/>
  <c r="F9296" i="1"/>
  <c r="G9296" i="1"/>
  <c r="H9296" i="1"/>
  <c r="I9296" i="1"/>
  <c r="J9296" i="1"/>
  <c r="K9296" i="1"/>
  <c r="L9296" i="1"/>
  <c r="A9297" i="1"/>
  <c r="B9297" i="1"/>
  <c r="C9297" i="1"/>
  <c r="D9297" i="1"/>
  <c r="E9297" i="1"/>
  <c r="F9297" i="1"/>
  <c r="G9297" i="1"/>
  <c r="H9297" i="1"/>
  <c r="I9297" i="1"/>
  <c r="J9297" i="1"/>
  <c r="K9297" i="1"/>
  <c r="L9297" i="1"/>
  <c r="A9298" i="1"/>
  <c r="B9298" i="1"/>
  <c r="C9298" i="1"/>
  <c r="D9298" i="1"/>
  <c r="E9298" i="1"/>
  <c r="F9298" i="1"/>
  <c r="G9298" i="1"/>
  <c r="H9298" i="1"/>
  <c r="I9298" i="1"/>
  <c r="J9298" i="1"/>
  <c r="K9298" i="1"/>
  <c r="L9298" i="1"/>
  <c r="A9299" i="1"/>
  <c r="B9299" i="1"/>
  <c r="C9299" i="1"/>
  <c r="D9299" i="1"/>
  <c r="E9299" i="1"/>
  <c r="F9299" i="1"/>
  <c r="G9299" i="1"/>
  <c r="H9299" i="1"/>
  <c r="I9299" i="1"/>
  <c r="J9299" i="1"/>
  <c r="K9299" i="1"/>
  <c r="L9299" i="1"/>
  <c r="A9300" i="1"/>
  <c r="B9300" i="1"/>
  <c r="C9300" i="1"/>
  <c r="D9300" i="1"/>
  <c r="E9300" i="1"/>
  <c r="F9300" i="1"/>
  <c r="G9300" i="1"/>
  <c r="H9300" i="1"/>
  <c r="I9300" i="1"/>
  <c r="J9300" i="1"/>
  <c r="K9300" i="1"/>
  <c r="L9300" i="1"/>
  <c r="A9301" i="1"/>
  <c r="B9301" i="1"/>
  <c r="C9301" i="1"/>
  <c r="D9301" i="1"/>
  <c r="E9301" i="1"/>
  <c r="F9301" i="1"/>
  <c r="G9301" i="1"/>
  <c r="H9301" i="1"/>
  <c r="I9301" i="1"/>
  <c r="J9301" i="1"/>
  <c r="K9301" i="1"/>
  <c r="L9301" i="1"/>
  <c r="A9302" i="1"/>
  <c r="B9302" i="1"/>
  <c r="C9302" i="1"/>
  <c r="D9302" i="1"/>
  <c r="E9302" i="1"/>
  <c r="F9302" i="1"/>
  <c r="G9302" i="1"/>
  <c r="H9302" i="1"/>
  <c r="I9302" i="1"/>
  <c r="J9302" i="1"/>
  <c r="K9302" i="1"/>
  <c r="L9302" i="1"/>
  <c r="A9303" i="1"/>
  <c r="B9303" i="1"/>
  <c r="C9303" i="1"/>
  <c r="D9303" i="1"/>
  <c r="E9303" i="1"/>
  <c r="F9303" i="1"/>
  <c r="G9303" i="1"/>
  <c r="H9303" i="1"/>
  <c r="I9303" i="1"/>
  <c r="J9303" i="1"/>
  <c r="K9303" i="1"/>
  <c r="L9303" i="1"/>
  <c r="A9304" i="1"/>
  <c r="B9304" i="1"/>
  <c r="C9304" i="1"/>
  <c r="D9304" i="1"/>
  <c r="E9304" i="1"/>
  <c r="F9304" i="1"/>
  <c r="G9304" i="1"/>
  <c r="H9304" i="1"/>
  <c r="I9304" i="1"/>
  <c r="J9304" i="1"/>
  <c r="K9304" i="1"/>
  <c r="L9304" i="1"/>
  <c r="A9305" i="1"/>
  <c r="B9305" i="1"/>
  <c r="C9305" i="1"/>
  <c r="D9305" i="1"/>
  <c r="E9305" i="1"/>
  <c r="F9305" i="1"/>
  <c r="G9305" i="1"/>
  <c r="H9305" i="1"/>
  <c r="I9305" i="1"/>
  <c r="J9305" i="1"/>
  <c r="K9305" i="1"/>
  <c r="L9305" i="1"/>
  <c r="A9306" i="1"/>
  <c r="B9306" i="1"/>
  <c r="C9306" i="1"/>
  <c r="D9306" i="1"/>
  <c r="E9306" i="1"/>
  <c r="F9306" i="1"/>
  <c r="G9306" i="1"/>
  <c r="H9306" i="1"/>
  <c r="I9306" i="1"/>
  <c r="J9306" i="1"/>
  <c r="K9306" i="1"/>
  <c r="L9306" i="1"/>
  <c r="A9307" i="1"/>
  <c r="B9307" i="1"/>
  <c r="C9307" i="1"/>
  <c r="D9307" i="1"/>
  <c r="E9307" i="1"/>
  <c r="F9307" i="1"/>
  <c r="G9307" i="1"/>
  <c r="H9307" i="1"/>
  <c r="I9307" i="1"/>
  <c r="J9307" i="1"/>
  <c r="K9307" i="1"/>
  <c r="L9307" i="1"/>
  <c r="A9308" i="1"/>
  <c r="B9308" i="1"/>
  <c r="C9308" i="1"/>
  <c r="D9308" i="1"/>
  <c r="E9308" i="1"/>
  <c r="F9308" i="1"/>
  <c r="G9308" i="1"/>
  <c r="H9308" i="1"/>
  <c r="I9308" i="1"/>
  <c r="J9308" i="1"/>
  <c r="K9308" i="1"/>
  <c r="L9308" i="1"/>
  <c r="A9309" i="1"/>
  <c r="B9309" i="1"/>
  <c r="C9309" i="1"/>
  <c r="D9309" i="1"/>
  <c r="E9309" i="1"/>
  <c r="F9309" i="1"/>
  <c r="G9309" i="1"/>
  <c r="H9309" i="1"/>
  <c r="I9309" i="1"/>
  <c r="J9309" i="1"/>
  <c r="K9309" i="1"/>
  <c r="L9309" i="1"/>
  <c r="A9310" i="1"/>
  <c r="B9310" i="1"/>
  <c r="C9310" i="1"/>
  <c r="D9310" i="1"/>
  <c r="E9310" i="1"/>
  <c r="F9310" i="1"/>
  <c r="G9310" i="1"/>
  <c r="H9310" i="1"/>
  <c r="I9310" i="1"/>
  <c r="J9310" i="1"/>
  <c r="K9310" i="1"/>
  <c r="L9310" i="1"/>
  <c r="A9311" i="1"/>
  <c r="B9311" i="1"/>
  <c r="C9311" i="1"/>
  <c r="D9311" i="1"/>
  <c r="E9311" i="1"/>
  <c r="F9311" i="1"/>
  <c r="G9311" i="1"/>
  <c r="H9311" i="1"/>
  <c r="I9311" i="1"/>
  <c r="J9311" i="1"/>
  <c r="K9311" i="1"/>
  <c r="L9311" i="1"/>
  <c r="A9312" i="1"/>
  <c r="B9312" i="1"/>
  <c r="C9312" i="1"/>
  <c r="D9312" i="1"/>
  <c r="E9312" i="1"/>
  <c r="F9312" i="1"/>
  <c r="G9312" i="1"/>
  <c r="H9312" i="1"/>
  <c r="I9312" i="1"/>
  <c r="J9312" i="1"/>
  <c r="K9312" i="1"/>
  <c r="L9312" i="1"/>
  <c r="A9313" i="1"/>
  <c r="B9313" i="1"/>
  <c r="C9313" i="1"/>
  <c r="D9313" i="1"/>
  <c r="E9313" i="1"/>
  <c r="F9313" i="1"/>
  <c r="G9313" i="1"/>
  <c r="H9313" i="1"/>
  <c r="I9313" i="1"/>
  <c r="J9313" i="1"/>
  <c r="K9313" i="1"/>
  <c r="L9313" i="1"/>
  <c r="A9314" i="1"/>
  <c r="B9314" i="1"/>
  <c r="C9314" i="1"/>
  <c r="D9314" i="1"/>
  <c r="E9314" i="1"/>
  <c r="F9314" i="1"/>
  <c r="G9314" i="1"/>
  <c r="H9314" i="1"/>
  <c r="I9314" i="1"/>
  <c r="J9314" i="1"/>
  <c r="K9314" i="1"/>
  <c r="L9314" i="1"/>
  <c r="A9315" i="1"/>
  <c r="B9315" i="1"/>
  <c r="C9315" i="1"/>
  <c r="D9315" i="1"/>
  <c r="E9315" i="1"/>
  <c r="F9315" i="1"/>
  <c r="G9315" i="1"/>
  <c r="H9315" i="1"/>
  <c r="I9315" i="1"/>
  <c r="J9315" i="1"/>
  <c r="K9315" i="1"/>
  <c r="L9315" i="1"/>
  <c r="A9316" i="1"/>
  <c r="B9316" i="1"/>
  <c r="C9316" i="1"/>
  <c r="D9316" i="1"/>
  <c r="E9316" i="1"/>
  <c r="F9316" i="1"/>
  <c r="G9316" i="1"/>
  <c r="H9316" i="1"/>
  <c r="I9316" i="1"/>
  <c r="J9316" i="1"/>
  <c r="K9316" i="1"/>
  <c r="L9316" i="1"/>
  <c r="A9317" i="1"/>
  <c r="B9317" i="1"/>
  <c r="C9317" i="1"/>
  <c r="D9317" i="1"/>
  <c r="E9317" i="1"/>
  <c r="F9317" i="1"/>
  <c r="G9317" i="1"/>
  <c r="H9317" i="1"/>
  <c r="I9317" i="1"/>
  <c r="J9317" i="1"/>
  <c r="K9317" i="1"/>
  <c r="L9317" i="1"/>
  <c r="A9318" i="1"/>
  <c r="B9318" i="1"/>
  <c r="C9318" i="1"/>
  <c r="D9318" i="1"/>
  <c r="E9318" i="1"/>
  <c r="F9318" i="1"/>
  <c r="G9318" i="1"/>
  <c r="H9318" i="1"/>
  <c r="I9318" i="1"/>
  <c r="J9318" i="1"/>
  <c r="K9318" i="1"/>
  <c r="L9318" i="1"/>
  <c r="A9319" i="1"/>
  <c r="B9319" i="1"/>
  <c r="C9319" i="1"/>
  <c r="D9319" i="1"/>
  <c r="E9319" i="1"/>
  <c r="F9319" i="1"/>
  <c r="G9319" i="1"/>
  <c r="H9319" i="1"/>
  <c r="I9319" i="1"/>
  <c r="J9319" i="1"/>
  <c r="K9319" i="1"/>
  <c r="L9319" i="1"/>
  <c r="A9320" i="1"/>
  <c r="B9320" i="1"/>
  <c r="C9320" i="1"/>
  <c r="D9320" i="1"/>
  <c r="E9320" i="1"/>
  <c r="F9320" i="1"/>
  <c r="G9320" i="1"/>
  <c r="H9320" i="1"/>
  <c r="I9320" i="1"/>
  <c r="J9320" i="1"/>
  <c r="K9320" i="1"/>
  <c r="L9320" i="1"/>
  <c r="A9321" i="1"/>
  <c r="B9321" i="1"/>
  <c r="C9321" i="1"/>
  <c r="D9321" i="1"/>
  <c r="E9321" i="1"/>
  <c r="F9321" i="1"/>
  <c r="G9321" i="1"/>
  <c r="H9321" i="1"/>
  <c r="I9321" i="1"/>
  <c r="J9321" i="1"/>
  <c r="K9321" i="1"/>
  <c r="L9321" i="1"/>
  <c r="A9322" i="1"/>
  <c r="B9322" i="1"/>
  <c r="C9322" i="1"/>
  <c r="D9322" i="1"/>
  <c r="E9322" i="1"/>
  <c r="F9322" i="1"/>
  <c r="G9322" i="1"/>
  <c r="H9322" i="1"/>
  <c r="I9322" i="1"/>
  <c r="J9322" i="1"/>
  <c r="K9322" i="1"/>
  <c r="L9322" i="1"/>
  <c r="A9323" i="1"/>
  <c r="B9323" i="1"/>
  <c r="C9323" i="1"/>
  <c r="D9323" i="1"/>
  <c r="E9323" i="1"/>
  <c r="F9323" i="1"/>
  <c r="G9323" i="1"/>
  <c r="H9323" i="1"/>
  <c r="I9323" i="1"/>
  <c r="J9323" i="1"/>
  <c r="K9323" i="1"/>
  <c r="L9323" i="1"/>
  <c r="A9324" i="1"/>
  <c r="B9324" i="1"/>
  <c r="C9324" i="1"/>
  <c r="D9324" i="1"/>
  <c r="E9324" i="1"/>
  <c r="F9324" i="1"/>
  <c r="G9324" i="1"/>
  <c r="H9324" i="1"/>
  <c r="I9324" i="1"/>
  <c r="J9324" i="1"/>
  <c r="K9324" i="1"/>
  <c r="L9324" i="1"/>
  <c r="A9325" i="1"/>
  <c r="B9325" i="1"/>
  <c r="C9325" i="1"/>
  <c r="D9325" i="1"/>
  <c r="E9325" i="1"/>
  <c r="F9325" i="1"/>
  <c r="G9325" i="1"/>
  <c r="H9325" i="1"/>
  <c r="I9325" i="1"/>
  <c r="J9325" i="1"/>
  <c r="K9325" i="1"/>
  <c r="L9325" i="1"/>
  <c r="A9326" i="1"/>
  <c r="B9326" i="1"/>
  <c r="C9326" i="1"/>
  <c r="D9326" i="1"/>
  <c r="E9326" i="1"/>
  <c r="F9326" i="1"/>
  <c r="G9326" i="1"/>
  <c r="H9326" i="1"/>
  <c r="I9326" i="1"/>
  <c r="J9326" i="1"/>
  <c r="K9326" i="1"/>
  <c r="L9326" i="1"/>
  <c r="A9327" i="1"/>
  <c r="B9327" i="1"/>
  <c r="C9327" i="1"/>
  <c r="D9327" i="1"/>
  <c r="E9327" i="1"/>
  <c r="F9327" i="1"/>
  <c r="G9327" i="1"/>
  <c r="H9327" i="1"/>
  <c r="I9327" i="1"/>
  <c r="J9327" i="1"/>
  <c r="K9327" i="1"/>
  <c r="L9327" i="1"/>
  <c r="A9328" i="1"/>
  <c r="B9328" i="1"/>
  <c r="C9328" i="1"/>
  <c r="D9328" i="1"/>
  <c r="E9328" i="1"/>
  <c r="F9328" i="1"/>
  <c r="G9328" i="1"/>
  <c r="H9328" i="1"/>
  <c r="I9328" i="1"/>
  <c r="J9328" i="1"/>
  <c r="K9328" i="1"/>
  <c r="L9328" i="1"/>
  <c r="A9329" i="1"/>
  <c r="B9329" i="1"/>
  <c r="C9329" i="1"/>
  <c r="D9329" i="1"/>
  <c r="E9329" i="1"/>
  <c r="F9329" i="1"/>
  <c r="G9329" i="1"/>
  <c r="H9329" i="1"/>
  <c r="I9329" i="1"/>
  <c r="J9329" i="1"/>
  <c r="K9329" i="1"/>
  <c r="L9329" i="1"/>
  <c r="A9330" i="1"/>
  <c r="B9330" i="1"/>
  <c r="C9330" i="1"/>
  <c r="D9330" i="1"/>
  <c r="E9330" i="1"/>
  <c r="F9330" i="1"/>
  <c r="G9330" i="1"/>
  <c r="H9330" i="1"/>
  <c r="I9330" i="1"/>
  <c r="J9330" i="1"/>
  <c r="K9330" i="1"/>
  <c r="L9330" i="1"/>
  <c r="A9331" i="1"/>
  <c r="B9331" i="1"/>
  <c r="C9331" i="1"/>
  <c r="D9331" i="1"/>
  <c r="E9331" i="1"/>
  <c r="F9331" i="1"/>
  <c r="G9331" i="1"/>
  <c r="H9331" i="1"/>
  <c r="I9331" i="1"/>
  <c r="J9331" i="1"/>
  <c r="K9331" i="1"/>
  <c r="L9331" i="1"/>
  <c r="A9332" i="1"/>
  <c r="B9332" i="1"/>
  <c r="C9332" i="1"/>
  <c r="D9332" i="1"/>
  <c r="E9332" i="1"/>
  <c r="F9332" i="1"/>
  <c r="G9332" i="1"/>
  <c r="H9332" i="1"/>
  <c r="I9332" i="1"/>
  <c r="J9332" i="1"/>
  <c r="K9332" i="1"/>
  <c r="L9332" i="1"/>
  <c r="A9333" i="1"/>
  <c r="B9333" i="1"/>
  <c r="C9333" i="1"/>
  <c r="D9333" i="1"/>
  <c r="E9333" i="1"/>
  <c r="F9333" i="1"/>
  <c r="G9333" i="1"/>
  <c r="H9333" i="1"/>
  <c r="I9333" i="1"/>
  <c r="J9333" i="1"/>
  <c r="K9333" i="1"/>
  <c r="L9333" i="1"/>
  <c r="A9334" i="1"/>
  <c r="B9334" i="1"/>
  <c r="C9334" i="1"/>
  <c r="D9334" i="1"/>
  <c r="E9334" i="1"/>
  <c r="F9334" i="1"/>
  <c r="G9334" i="1"/>
  <c r="H9334" i="1"/>
  <c r="I9334" i="1"/>
  <c r="J9334" i="1"/>
  <c r="K9334" i="1"/>
  <c r="L9334" i="1"/>
  <c r="A9335" i="1"/>
  <c r="B9335" i="1"/>
  <c r="C9335" i="1"/>
  <c r="D9335" i="1"/>
  <c r="E9335" i="1"/>
  <c r="F9335" i="1"/>
  <c r="G9335" i="1"/>
  <c r="H9335" i="1"/>
  <c r="I9335" i="1"/>
  <c r="J9335" i="1"/>
  <c r="K9335" i="1"/>
  <c r="L9335" i="1"/>
  <c r="A9336" i="1"/>
  <c r="B9336" i="1"/>
  <c r="C9336" i="1"/>
  <c r="D9336" i="1"/>
  <c r="E9336" i="1"/>
  <c r="F9336" i="1"/>
  <c r="G9336" i="1"/>
  <c r="H9336" i="1"/>
  <c r="I9336" i="1"/>
  <c r="J9336" i="1"/>
  <c r="K9336" i="1"/>
  <c r="L9336" i="1"/>
  <c r="A9337" i="1"/>
  <c r="B9337" i="1"/>
  <c r="C9337" i="1"/>
  <c r="D9337" i="1"/>
  <c r="E9337" i="1"/>
  <c r="F9337" i="1"/>
  <c r="G9337" i="1"/>
  <c r="H9337" i="1"/>
  <c r="I9337" i="1"/>
  <c r="J9337" i="1"/>
  <c r="K9337" i="1"/>
  <c r="L9337" i="1"/>
  <c r="A9338" i="1"/>
  <c r="B9338" i="1"/>
  <c r="C9338" i="1"/>
  <c r="D9338" i="1"/>
  <c r="E9338" i="1"/>
  <c r="F9338" i="1"/>
  <c r="G9338" i="1"/>
  <c r="H9338" i="1"/>
  <c r="I9338" i="1"/>
  <c r="J9338" i="1"/>
  <c r="K9338" i="1"/>
  <c r="L9338" i="1"/>
  <c r="A9339" i="1"/>
  <c r="B9339" i="1"/>
  <c r="C9339" i="1"/>
  <c r="D9339" i="1"/>
  <c r="E9339" i="1"/>
  <c r="F9339" i="1"/>
  <c r="G9339" i="1"/>
  <c r="H9339" i="1"/>
  <c r="I9339" i="1"/>
  <c r="J9339" i="1"/>
  <c r="K9339" i="1"/>
  <c r="L9339" i="1"/>
  <c r="A9340" i="1"/>
  <c r="B9340" i="1"/>
  <c r="C9340" i="1"/>
  <c r="D9340" i="1"/>
  <c r="E9340" i="1"/>
  <c r="F9340" i="1"/>
  <c r="G9340" i="1"/>
  <c r="H9340" i="1"/>
  <c r="I9340" i="1"/>
  <c r="J9340" i="1"/>
  <c r="K9340" i="1"/>
  <c r="L9340" i="1"/>
  <c r="A9341" i="1"/>
  <c r="B9341" i="1"/>
  <c r="C9341" i="1"/>
  <c r="D9341" i="1"/>
  <c r="E9341" i="1"/>
  <c r="F9341" i="1"/>
  <c r="G9341" i="1"/>
  <c r="H9341" i="1"/>
  <c r="I9341" i="1"/>
  <c r="J9341" i="1"/>
  <c r="K9341" i="1"/>
  <c r="L9341" i="1"/>
  <c r="A9342" i="1"/>
  <c r="B9342" i="1"/>
  <c r="C9342" i="1"/>
  <c r="D9342" i="1"/>
  <c r="E9342" i="1"/>
  <c r="F9342" i="1"/>
  <c r="G9342" i="1"/>
  <c r="H9342" i="1"/>
  <c r="I9342" i="1"/>
  <c r="J9342" i="1"/>
  <c r="K9342" i="1"/>
  <c r="L9342" i="1"/>
  <c r="A9343" i="1"/>
  <c r="B9343" i="1"/>
  <c r="C9343" i="1"/>
  <c r="D9343" i="1"/>
  <c r="E9343" i="1"/>
  <c r="F9343" i="1"/>
  <c r="G9343" i="1"/>
  <c r="H9343" i="1"/>
  <c r="I9343" i="1"/>
  <c r="J9343" i="1"/>
  <c r="K9343" i="1"/>
  <c r="L9343" i="1"/>
  <c r="A9344" i="1"/>
  <c r="B9344" i="1"/>
  <c r="C9344" i="1"/>
  <c r="D9344" i="1"/>
  <c r="E9344" i="1"/>
  <c r="F9344" i="1"/>
  <c r="G9344" i="1"/>
  <c r="H9344" i="1"/>
  <c r="I9344" i="1"/>
  <c r="J9344" i="1"/>
  <c r="K9344" i="1"/>
  <c r="L9344" i="1"/>
  <c r="A9345" i="1"/>
  <c r="B9345" i="1"/>
  <c r="C9345" i="1"/>
  <c r="D9345" i="1"/>
  <c r="E9345" i="1"/>
  <c r="F9345" i="1"/>
  <c r="G9345" i="1"/>
  <c r="H9345" i="1"/>
  <c r="I9345" i="1"/>
  <c r="J9345" i="1"/>
  <c r="K9345" i="1"/>
  <c r="L9345" i="1"/>
  <c r="A9346" i="1"/>
  <c r="B9346" i="1"/>
  <c r="C9346" i="1"/>
  <c r="D9346" i="1"/>
  <c r="E9346" i="1"/>
  <c r="F9346" i="1"/>
  <c r="G9346" i="1"/>
  <c r="H9346" i="1"/>
  <c r="I9346" i="1"/>
  <c r="J9346" i="1"/>
  <c r="K9346" i="1"/>
  <c r="L9346" i="1"/>
  <c r="A9347" i="1"/>
  <c r="B9347" i="1"/>
  <c r="C9347" i="1"/>
  <c r="D9347" i="1"/>
  <c r="E9347" i="1"/>
  <c r="F9347" i="1"/>
  <c r="G9347" i="1"/>
  <c r="H9347" i="1"/>
  <c r="I9347" i="1"/>
  <c r="J9347" i="1"/>
  <c r="K9347" i="1"/>
  <c r="L9347" i="1"/>
  <c r="A9348" i="1"/>
  <c r="B9348" i="1"/>
  <c r="C9348" i="1"/>
  <c r="D9348" i="1"/>
  <c r="E9348" i="1"/>
  <c r="F9348" i="1"/>
  <c r="G9348" i="1"/>
  <c r="H9348" i="1"/>
  <c r="I9348" i="1"/>
  <c r="J9348" i="1"/>
  <c r="K9348" i="1"/>
  <c r="L9348" i="1"/>
  <c r="A9349" i="1"/>
  <c r="B9349" i="1"/>
  <c r="C9349" i="1"/>
  <c r="D9349" i="1"/>
  <c r="E9349" i="1"/>
  <c r="F9349" i="1"/>
  <c r="G9349" i="1"/>
  <c r="H9349" i="1"/>
  <c r="I9349" i="1"/>
  <c r="J9349" i="1"/>
  <c r="K9349" i="1"/>
  <c r="L9349" i="1"/>
  <c r="A9350" i="1"/>
  <c r="B9350" i="1"/>
  <c r="C9350" i="1"/>
  <c r="D9350" i="1"/>
  <c r="E9350" i="1"/>
  <c r="F9350" i="1"/>
  <c r="G9350" i="1"/>
  <c r="H9350" i="1"/>
  <c r="I9350" i="1"/>
  <c r="J9350" i="1"/>
  <c r="K9350" i="1"/>
  <c r="L9350" i="1"/>
  <c r="A9351" i="1"/>
  <c r="B9351" i="1"/>
  <c r="C9351" i="1"/>
  <c r="D9351" i="1"/>
  <c r="E9351" i="1"/>
  <c r="F9351" i="1"/>
  <c r="G9351" i="1"/>
  <c r="H9351" i="1"/>
  <c r="I9351" i="1"/>
  <c r="J9351" i="1"/>
  <c r="K9351" i="1"/>
  <c r="L9351" i="1"/>
  <c r="A9352" i="1"/>
  <c r="B9352" i="1"/>
  <c r="C9352" i="1"/>
  <c r="D9352" i="1"/>
  <c r="E9352" i="1"/>
  <c r="F9352" i="1"/>
  <c r="G9352" i="1"/>
  <c r="H9352" i="1"/>
  <c r="I9352" i="1"/>
  <c r="J9352" i="1"/>
  <c r="K9352" i="1"/>
  <c r="L9352" i="1"/>
  <c r="A9353" i="1"/>
  <c r="B9353" i="1"/>
  <c r="C9353" i="1"/>
  <c r="D9353" i="1"/>
  <c r="E9353" i="1"/>
  <c r="F9353" i="1"/>
  <c r="G9353" i="1"/>
  <c r="H9353" i="1"/>
  <c r="I9353" i="1"/>
  <c r="J9353" i="1"/>
  <c r="K9353" i="1"/>
  <c r="L9353" i="1"/>
  <c r="A9354" i="1"/>
  <c r="B9354" i="1"/>
  <c r="C9354" i="1"/>
  <c r="D9354" i="1"/>
  <c r="E9354" i="1"/>
  <c r="F9354" i="1"/>
  <c r="G9354" i="1"/>
  <c r="H9354" i="1"/>
  <c r="I9354" i="1"/>
  <c r="J9354" i="1"/>
  <c r="K9354" i="1"/>
  <c r="L9354" i="1"/>
  <c r="A9355" i="1"/>
  <c r="B9355" i="1"/>
  <c r="C9355" i="1"/>
  <c r="D9355" i="1"/>
  <c r="E9355" i="1"/>
  <c r="F9355" i="1"/>
  <c r="G9355" i="1"/>
  <c r="H9355" i="1"/>
  <c r="I9355" i="1"/>
  <c r="J9355" i="1"/>
  <c r="K9355" i="1"/>
  <c r="L9355" i="1"/>
  <c r="A9356" i="1"/>
  <c r="B9356" i="1"/>
  <c r="C9356" i="1"/>
  <c r="D9356" i="1"/>
  <c r="E9356" i="1"/>
  <c r="F9356" i="1"/>
  <c r="G9356" i="1"/>
  <c r="H9356" i="1"/>
  <c r="I9356" i="1"/>
  <c r="J9356" i="1"/>
  <c r="K9356" i="1"/>
  <c r="L9356" i="1"/>
  <c r="A9357" i="1"/>
  <c r="B9357" i="1"/>
  <c r="C9357" i="1"/>
  <c r="D9357" i="1"/>
  <c r="E9357" i="1"/>
  <c r="F9357" i="1"/>
  <c r="G9357" i="1"/>
  <c r="H9357" i="1"/>
  <c r="I9357" i="1"/>
  <c r="J9357" i="1"/>
  <c r="K9357" i="1"/>
  <c r="L9357" i="1"/>
  <c r="A9358" i="1"/>
  <c r="B9358" i="1"/>
  <c r="C9358" i="1"/>
  <c r="D9358" i="1"/>
  <c r="E9358" i="1"/>
  <c r="F9358" i="1"/>
  <c r="G9358" i="1"/>
  <c r="H9358" i="1"/>
  <c r="I9358" i="1"/>
  <c r="J9358" i="1"/>
  <c r="K9358" i="1"/>
  <c r="L9358" i="1"/>
  <c r="A9359" i="1"/>
  <c r="B9359" i="1"/>
  <c r="C9359" i="1"/>
  <c r="D9359" i="1"/>
  <c r="E9359" i="1"/>
  <c r="F9359" i="1"/>
  <c r="G9359" i="1"/>
  <c r="H9359" i="1"/>
  <c r="I9359" i="1"/>
  <c r="J9359" i="1"/>
  <c r="K9359" i="1"/>
  <c r="L9359" i="1"/>
  <c r="A9360" i="1"/>
  <c r="B9360" i="1"/>
  <c r="C9360" i="1"/>
  <c r="D9360" i="1"/>
  <c r="E9360" i="1"/>
  <c r="F9360" i="1"/>
  <c r="G9360" i="1"/>
  <c r="H9360" i="1"/>
  <c r="I9360" i="1"/>
  <c r="J9360" i="1"/>
  <c r="K9360" i="1"/>
  <c r="L9360" i="1"/>
  <c r="A9361" i="1"/>
  <c r="B9361" i="1"/>
  <c r="C9361" i="1"/>
  <c r="D9361" i="1"/>
  <c r="E9361" i="1"/>
  <c r="F9361" i="1"/>
  <c r="G9361" i="1"/>
  <c r="H9361" i="1"/>
  <c r="I9361" i="1"/>
  <c r="J9361" i="1"/>
  <c r="K9361" i="1"/>
  <c r="L9361" i="1"/>
  <c r="A9362" i="1"/>
  <c r="B9362" i="1"/>
  <c r="C9362" i="1"/>
  <c r="D9362" i="1"/>
  <c r="E9362" i="1"/>
  <c r="F9362" i="1"/>
  <c r="G9362" i="1"/>
  <c r="H9362" i="1"/>
  <c r="I9362" i="1"/>
  <c r="J9362" i="1"/>
  <c r="K9362" i="1"/>
  <c r="L9362" i="1"/>
  <c r="A9363" i="1"/>
  <c r="B9363" i="1"/>
  <c r="C9363" i="1"/>
  <c r="D9363" i="1"/>
  <c r="E9363" i="1"/>
  <c r="F9363" i="1"/>
  <c r="G9363" i="1"/>
  <c r="H9363" i="1"/>
  <c r="I9363" i="1"/>
  <c r="J9363" i="1"/>
  <c r="K9363" i="1"/>
  <c r="L9363" i="1"/>
  <c r="A9364" i="1"/>
  <c r="B9364" i="1"/>
  <c r="C9364" i="1"/>
  <c r="D9364" i="1"/>
  <c r="E9364" i="1"/>
  <c r="F9364" i="1"/>
  <c r="G9364" i="1"/>
  <c r="H9364" i="1"/>
  <c r="I9364" i="1"/>
  <c r="J9364" i="1"/>
  <c r="K9364" i="1"/>
  <c r="L9364" i="1"/>
  <c r="A9365" i="1"/>
  <c r="B9365" i="1"/>
  <c r="C9365" i="1"/>
  <c r="D9365" i="1"/>
  <c r="E9365" i="1"/>
  <c r="F9365" i="1"/>
  <c r="G9365" i="1"/>
  <c r="H9365" i="1"/>
  <c r="I9365" i="1"/>
  <c r="J9365" i="1"/>
  <c r="K9365" i="1"/>
  <c r="L9365" i="1"/>
  <c r="A9366" i="1"/>
  <c r="B9366" i="1"/>
  <c r="C9366" i="1"/>
  <c r="D9366" i="1"/>
  <c r="E9366" i="1"/>
  <c r="F9366" i="1"/>
  <c r="G9366" i="1"/>
  <c r="H9366" i="1"/>
  <c r="I9366" i="1"/>
  <c r="J9366" i="1"/>
  <c r="K9366" i="1"/>
  <c r="L9366" i="1"/>
  <c r="A9367" i="1"/>
  <c r="B9367" i="1"/>
  <c r="C9367" i="1"/>
  <c r="D9367" i="1"/>
  <c r="E9367" i="1"/>
  <c r="F9367" i="1"/>
  <c r="G9367" i="1"/>
  <c r="H9367" i="1"/>
  <c r="I9367" i="1"/>
  <c r="J9367" i="1"/>
  <c r="K9367" i="1"/>
  <c r="L9367" i="1"/>
  <c r="A9368" i="1"/>
  <c r="B9368" i="1"/>
  <c r="C9368" i="1"/>
  <c r="D9368" i="1"/>
  <c r="E9368" i="1"/>
  <c r="F9368" i="1"/>
  <c r="G9368" i="1"/>
  <c r="H9368" i="1"/>
  <c r="I9368" i="1"/>
  <c r="J9368" i="1"/>
  <c r="K9368" i="1"/>
  <c r="L9368" i="1"/>
  <c r="A9369" i="1"/>
  <c r="B9369" i="1"/>
  <c r="C9369" i="1"/>
  <c r="D9369" i="1"/>
  <c r="E9369" i="1"/>
  <c r="F9369" i="1"/>
  <c r="G9369" i="1"/>
  <c r="H9369" i="1"/>
  <c r="I9369" i="1"/>
  <c r="J9369" i="1"/>
  <c r="K9369" i="1"/>
  <c r="L9369" i="1"/>
  <c r="A9370" i="1"/>
  <c r="B9370" i="1"/>
  <c r="C9370" i="1"/>
  <c r="D9370" i="1"/>
  <c r="E9370" i="1"/>
  <c r="F9370" i="1"/>
  <c r="G9370" i="1"/>
  <c r="H9370" i="1"/>
  <c r="I9370" i="1"/>
  <c r="J9370" i="1"/>
  <c r="K9370" i="1"/>
  <c r="L9370" i="1"/>
  <c r="A9371" i="1"/>
  <c r="B9371" i="1"/>
  <c r="C9371" i="1"/>
  <c r="D9371" i="1"/>
  <c r="E9371" i="1"/>
  <c r="F9371" i="1"/>
  <c r="G9371" i="1"/>
  <c r="H9371" i="1"/>
  <c r="I9371" i="1"/>
  <c r="J9371" i="1"/>
  <c r="K9371" i="1"/>
  <c r="L9371" i="1"/>
  <c r="A9372" i="1"/>
  <c r="B9372" i="1"/>
  <c r="C9372" i="1"/>
  <c r="D9372" i="1"/>
  <c r="E9372" i="1"/>
  <c r="F9372" i="1"/>
  <c r="G9372" i="1"/>
  <c r="H9372" i="1"/>
  <c r="I9372" i="1"/>
  <c r="J9372" i="1"/>
  <c r="K9372" i="1"/>
  <c r="L9372" i="1"/>
  <c r="A9373" i="1"/>
  <c r="B9373" i="1"/>
  <c r="C9373" i="1"/>
  <c r="D9373" i="1"/>
  <c r="E9373" i="1"/>
  <c r="F9373" i="1"/>
  <c r="G9373" i="1"/>
  <c r="H9373" i="1"/>
  <c r="I9373" i="1"/>
  <c r="J9373" i="1"/>
  <c r="K9373" i="1"/>
  <c r="L9373" i="1"/>
  <c r="A9374" i="1"/>
  <c r="B9374" i="1"/>
  <c r="C9374" i="1"/>
  <c r="D9374" i="1"/>
  <c r="E9374" i="1"/>
  <c r="F9374" i="1"/>
  <c r="G9374" i="1"/>
  <c r="H9374" i="1"/>
  <c r="I9374" i="1"/>
  <c r="J9374" i="1"/>
  <c r="K9374" i="1"/>
  <c r="L9374" i="1"/>
  <c r="A9375" i="1"/>
  <c r="B9375" i="1"/>
  <c r="C9375" i="1"/>
  <c r="D9375" i="1"/>
  <c r="E9375" i="1"/>
  <c r="F9375" i="1"/>
  <c r="G9375" i="1"/>
  <c r="H9375" i="1"/>
  <c r="I9375" i="1"/>
  <c r="J9375" i="1"/>
  <c r="K9375" i="1"/>
  <c r="L9375" i="1"/>
  <c r="A9376" i="1"/>
  <c r="B9376" i="1"/>
  <c r="C9376" i="1"/>
  <c r="D9376" i="1"/>
  <c r="E9376" i="1"/>
  <c r="F9376" i="1"/>
  <c r="G9376" i="1"/>
  <c r="H9376" i="1"/>
  <c r="I9376" i="1"/>
  <c r="J9376" i="1"/>
  <c r="K9376" i="1"/>
  <c r="L9376" i="1"/>
  <c r="A9377" i="1"/>
  <c r="B9377" i="1"/>
  <c r="C9377" i="1"/>
  <c r="D9377" i="1"/>
  <c r="E9377" i="1"/>
  <c r="F9377" i="1"/>
  <c r="G9377" i="1"/>
  <c r="H9377" i="1"/>
  <c r="I9377" i="1"/>
  <c r="J9377" i="1"/>
  <c r="K9377" i="1"/>
  <c r="L9377" i="1"/>
  <c r="A9378" i="1"/>
  <c r="B9378" i="1"/>
  <c r="C9378" i="1"/>
  <c r="D9378" i="1"/>
  <c r="E9378" i="1"/>
  <c r="F9378" i="1"/>
  <c r="G9378" i="1"/>
  <c r="H9378" i="1"/>
  <c r="I9378" i="1"/>
  <c r="J9378" i="1"/>
  <c r="K9378" i="1"/>
  <c r="L9378" i="1"/>
  <c r="A9379" i="1"/>
  <c r="B9379" i="1"/>
  <c r="C9379" i="1"/>
  <c r="D9379" i="1"/>
  <c r="E9379" i="1"/>
  <c r="F9379" i="1"/>
  <c r="G9379" i="1"/>
  <c r="H9379" i="1"/>
  <c r="I9379" i="1"/>
  <c r="J9379" i="1"/>
  <c r="K9379" i="1"/>
  <c r="L9379" i="1"/>
  <c r="A9380" i="1"/>
  <c r="B9380" i="1"/>
  <c r="C9380" i="1"/>
  <c r="D9380" i="1"/>
  <c r="E9380" i="1"/>
  <c r="F9380" i="1"/>
  <c r="G9380" i="1"/>
  <c r="H9380" i="1"/>
  <c r="I9380" i="1"/>
  <c r="J9380" i="1"/>
  <c r="K9380" i="1"/>
  <c r="L9380" i="1"/>
  <c r="A9381" i="1"/>
  <c r="B9381" i="1"/>
  <c r="C9381" i="1"/>
  <c r="D9381" i="1"/>
  <c r="E9381" i="1"/>
  <c r="F9381" i="1"/>
  <c r="G9381" i="1"/>
  <c r="H9381" i="1"/>
  <c r="I9381" i="1"/>
  <c r="J9381" i="1"/>
  <c r="K9381" i="1"/>
  <c r="L9381" i="1"/>
  <c r="A9382" i="1"/>
  <c r="B9382" i="1"/>
  <c r="C9382" i="1"/>
  <c r="D9382" i="1"/>
  <c r="E9382" i="1"/>
  <c r="F9382" i="1"/>
  <c r="G9382" i="1"/>
  <c r="H9382" i="1"/>
  <c r="I9382" i="1"/>
  <c r="J9382" i="1"/>
  <c r="K9382" i="1"/>
  <c r="L9382" i="1"/>
  <c r="A9383" i="1"/>
  <c r="B9383" i="1"/>
  <c r="C9383" i="1"/>
  <c r="D9383" i="1"/>
  <c r="E9383" i="1"/>
  <c r="F9383" i="1"/>
  <c r="G9383" i="1"/>
  <c r="H9383" i="1"/>
  <c r="I9383" i="1"/>
  <c r="J9383" i="1"/>
  <c r="K9383" i="1"/>
  <c r="L9383" i="1"/>
  <c r="A9384" i="1"/>
  <c r="B9384" i="1"/>
  <c r="C9384" i="1"/>
  <c r="D9384" i="1"/>
  <c r="E9384" i="1"/>
  <c r="F9384" i="1"/>
  <c r="G9384" i="1"/>
  <c r="H9384" i="1"/>
  <c r="I9384" i="1"/>
  <c r="J9384" i="1"/>
  <c r="K9384" i="1"/>
  <c r="L9384" i="1"/>
  <c r="A9385" i="1"/>
  <c r="B9385" i="1"/>
  <c r="C9385" i="1"/>
  <c r="D9385" i="1"/>
  <c r="E9385" i="1"/>
  <c r="F9385" i="1"/>
  <c r="G9385" i="1"/>
  <c r="H9385" i="1"/>
  <c r="I9385" i="1"/>
  <c r="J9385" i="1"/>
  <c r="K9385" i="1"/>
  <c r="L9385" i="1"/>
  <c r="A9386" i="1"/>
  <c r="B9386" i="1"/>
  <c r="C9386" i="1"/>
  <c r="D9386" i="1"/>
  <c r="E9386" i="1"/>
  <c r="F9386" i="1"/>
  <c r="G9386" i="1"/>
  <c r="H9386" i="1"/>
  <c r="I9386" i="1"/>
  <c r="J9386" i="1"/>
  <c r="K9386" i="1"/>
  <c r="L9386" i="1"/>
  <c r="A9387" i="1"/>
  <c r="B9387" i="1"/>
  <c r="C9387" i="1"/>
  <c r="D9387" i="1"/>
  <c r="E9387" i="1"/>
  <c r="F9387" i="1"/>
  <c r="G9387" i="1"/>
  <c r="H9387" i="1"/>
  <c r="I9387" i="1"/>
  <c r="J9387" i="1"/>
  <c r="K9387" i="1"/>
  <c r="L9387" i="1"/>
  <c r="A9388" i="1"/>
  <c r="B9388" i="1"/>
  <c r="C9388" i="1"/>
  <c r="D9388" i="1"/>
  <c r="E9388" i="1"/>
  <c r="F9388" i="1"/>
  <c r="G9388" i="1"/>
  <c r="H9388" i="1"/>
  <c r="I9388" i="1"/>
  <c r="J9388" i="1"/>
  <c r="K9388" i="1"/>
  <c r="L9388" i="1"/>
  <c r="A9389" i="1"/>
  <c r="B9389" i="1"/>
  <c r="C9389" i="1"/>
  <c r="D9389" i="1"/>
  <c r="E9389" i="1"/>
  <c r="F9389" i="1"/>
  <c r="G9389" i="1"/>
  <c r="H9389" i="1"/>
  <c r="I9389" i="1"/>
  <c r="J9389" i="1"/>
  <c r="K9389" i="1"/>
  <c r="L9389" i="1"/>
  <c r="A9390" i="1"/>
  <c r="B9390" i="1"/>
  <c r="C9390" i="1"/>
  <c r="D9390" i="1"/>
  <c r="E9390" i="1"/>
  <c r="F9390" i="1"/>
  <c r="G9390" i="1"/>
  <c r="H9390" i="1"/>
  <c r="I9390" i="1"/>
  <c r="J9390" i="1"/>
  <c r="K9390" i="1"/>
  <c r="L9390" i="1"/>
  <c r="A9391" i="1"/>
  <c r="B9391" i="1"/>
  <c r="C9391" i="1"/>
  <c r="D9391" i="1"/>
  <c r="E9391" i="1"/>
  <c r="F9391" i="1"/>
  <c r="G9391" i="1"/>
  <c r="H9391" i="1"/>
  <c r="I9391" i="1"/>
  <c r="J9391" i="1"/>
  <c r="K9391" i="1"/>
  <c r="L9391" i="1"/>
  <c r="A9392" i="1"/>
  <c r="B9392" i="1"/>
  <c r="C9392" i="1"/>
  <c r="D9392" i="1"/>
  <c r="E9392" i="1"/>
  <c r="F9392" i="1"/>
  <c r="G9392" i="1"/>
  <c r="H9392" i="1"/>
  <c r="I9392" i="1"/>
  <c r="J9392" i="1"/>
  <c r="K9392" i="1"/>
  <c r="L9392" i="1"/>
  <c r="A9393" i="1"/>
  <c r="B9393" i="1"/>
  <c r="C9393" i="1"/>
  <c r="D9393" i="1"/>
  <c r="E9393" i="1"/>
  <c r="F9393" i="1"/>
  <c r="G9393" i="1"/>
  <c r="H9393" i="1"/>
  <c r="I9393" i="1"/>
  <c r="J9393" i="1"/>
  <c r="K9393" i="1"/>
  <c r="L9393" i="1"/>
  <c r="A9394" i="1"/>
  <c r="B9394" i="1"/>
  <c r="C9394" i="1"/>
  <c r="D9394" i="1"/>
  <c r="E9394" i="1"/>
  <c r="F9394" i="1"/>
  <c r="G9394" i="1"/>
  <c r="H9394" i="1"/>
  <c r="I9394" i="1"/>
  <c r="J9394" i="1"/>
  <c r="K9394" i="1"/>
  <c r="L9394" i="1"/>
  <c r="A9395" i="1"/>
  <c r="B9395" i="1"/>
  <c r="C9395" i="1"/>
  <c r="D9395" i="1"/>
  <c r="E9395" i="1"/>
  <c r="F9395" i="1"/>
  <c r="G9395" i="1"/>
  <c r="H9395" i="1"/>
  <c r="I9395" i="1"/>
  <c r="J9395" i="1"/>
  <c r="K9395" i="1"/>
  <c r="L9395" i="1"/>
  <c r="A9396" i="1"/>
  <c r="B9396" i="1"/>
  <c r="C9396" i="1"/>
  <c r="D9396" i="1"/>
  <c r="E9396" i="1"/>
  <c r="F9396" i="1"/>
  <c r="G9396" i="1"/>
  <c r="H9396" i="1"/>
  <c r="I9396" i="1"/>
  <c r="J9396" i="1"/>
  <c r="K9396" i="1"/>
  <c r="L9396" i="1"/>
  <c r="A9397" i="1"/>
  <c r="B9397" i="1"/>
  <c r="C9397" i="1"/>
  <c r="D9397" i="1"/>
  <c r="E9397" i="1"/>
  <c r="F9397" i="1"/>
  <c r="G9397" i="1"/>
  <c r="H9397" i="1"/>
  <c r="I9397" i="1"/>
  <c r="J9397" i="1"/>
  <c r="K9397" i="1"/>
  <c r="L9397" i="1"/>
  <c r="A9398" i="1"/>
  <c r="B9398" i="1"/>
  <c r="C9398" i="1"/>
  <c r="D9398" i="1"/>
  <c r="E9398" i="1"/>
  <c r="F9398" i="1"/>
  <c r="G9398" i="1"/>
  <c r="H9398" i="1"/>
  <c r="I9398" i="1"/>
  <c r="J9398" i="1"/>
  <c r="K9398" i="1"/>
  <c r="L9398" i="1"/>
  <c r="A9399" i="1"/>
  <c r="B9399" i="1"/>
  <c r="C9399" i="1"/>
  <c r="D9399" i="1"/>
  <c r="E9399" i="1"/>
  <c r="F9399" i="1"/>
  <c r="G9399" i="1"/>
  <c r="H9399" i="1"/>
  <c r="I9399" i="1"/>
  <c r="J9399" i="1"/>
  <c r="K9399" i="1"/>
  <c r="L9399" i="1"/>
  <c r="A9400" i="1"/>
  <c r="B9400" i="1"/>
  <c r="C9400" i="1"/>
  <c r="D9400" i="1"/>
  <c r="E9400" i="1"/>
  <c r="F9400" i="1"/>
  <c r="G9400" i="1"/>
  <c r="H9400" i="1"/>
  <c r="I9400" i="1"/>
  <c r="J9400" i="1"/>
  <c r="K9400" i="1"/>
  <c r="L9400" i="1"/>
  <c r="A9401" i="1"/>
  <c r="B9401" i="1"/>
  <c r="C9401" i="1"/>
  <c r="D9401" i="1"/>
  <c r="E9401" i="1"/>
  <c r="F9401" i="1"/>
  <c r="G9401" i="1"/>
  <c r="H9401" i="1"/>
  <c r="I9401" i="1"/>
  <c r="J9401" i="1"/>
  <c r="K9401" i="1"/>
  <c r="L9401" i="1"/>
  <c r="A9402" i="1"/>
  <c r="B9402" i="1"/>
  <c r="C9402" i="1"/>
  <c r="D9402" i="1"/>
  <c r="E9402" i="1"/>
  <c r="F9402" i="1"/>
  <c r="G9402" i="1"/>
  <c r="H9402" i="1"/>
  <c r="I9402" i="1"/>
  <c r="J9402" i="1"/>
  <c r="K9402" i="1"/>
  <c r="L9402" i="1"/>
  <c r="A9403" i="1"/>
  <c r="B9403" i="1"/>
  <c r="C9403" i="1"/>
  <c r="D9403" i="1"/>
  <c r="E9403" i="1"/>
  <c r="F9403" i="1"/>
  <c r="G9403" i="1"/>
  <c r="H9403" i="1"/>
  <c r="I9403" i="1"/>
  <c r="J9403" i="1"/>
  <c r="K9403" i="1"/>
  <c r="L9403" i="1"/>
  <c r="A9404" i="1"/>
  <c r="B9404" i="1"/>
  <c r="C9404" i="1"/>
  <c r="D9404" i="1"/>
  <c r="E9404" i="1"/>
  <c r="F9404" i="1"/>
  <c r="G9404" i="1"/>
  <c r="H9404" i="1"/>
  <c r="I9404" i="1"/>
  <c r="J9404" i="1"/>
  <c r="K9404" i="1"/>
  <c r="L9404" i="1"/>
  <c r="A9405" i="1"/>
  <c r="B9405" i="1"/>
  <c r="C9405" i="1"/>
  <c r="D9405" i="1"/>
  <c r="E9405" i="1"/>
  <c r="F9405" i="1"/>
  <c r="G9405" i="1"/>
  <c r="H9405" i="1"/>
  <c r="I9405" i="1"/>
  <c r="J9405" i="1"/>
  <c r="K9405" i="1"/>
  <c r="L9405" i="1"/>
  <c r="A9406" i="1"/>
  <c r="B9406" i="1"/>
  <c r="C9406" i="1"/>
  <c r="D9406" i="1"/>
  <c r="E9406" i="1"/>
  <c r="F9406" i="1"/>
  <c r="G9406" i="1"/>
  <c r="H9406" i="1"/>
  <c r="I9406" i="1"/>
  <c r="J9406" i="1"/>
  <c r="K9406" i="1"/>
  <c r="L9406" i="1"/>
  <c r="A9407" i="1"/>
  <c r="B9407" i="1"/>
  <c r="C9407" i="1"/>
  <c r="D9407" i="1"/>
  <c r="E9407" i="1"/>
  <c r="F9407" i="1"/>
  <c r="G9407" i="1"/>
  <c r="H9407" i="1"/>
  <c r="I9407" i="1"/>
  <c r="J9407" i="1"/>
  <c r="K9407" i="1"/>
  <c r="L9407" i="1"/>
  <c r="A9408" i="1"/>
  <c r="B9408" i="1"/>
  <c r="C9408" i="1"/>
  <c r="D9408" i="1"/>
  <c r="E9408" i="1"/>
  <c r="F9408" i="1"/>
  <c r="G9408" i="1"/>
  <c r="H9408" i="1"/>
  <c r="I9408" i="1"/>
  <c r="J9408" i="1"/>
  <c r="K9408" i="1"/>
  <c r="L9408" i="1"/>
  <c r="A9409" i="1"/>
  <c r="B9409" i="1"/>
  <c r="C9409" i="1"/>
  <c r="D9409" i="1"/>
  <c r="E9409" i="1"/>
  <c r="F9409" i="1"/>
  <c r="G9409" i="1"/>
  <c r="H9409" i="1"/>
  <c r="I9409" i="1"/>
  <c r="J9409" i="1"/>
  <c r="K9409" i="1"/>
  <c r="L9409" i="1"/>
  <c r="A9410" i="1"/>
  <c r="B9410" i="1"/>
  <c r="C9410" i="1"/>
  <c r="D9410" i="1"/>
  <c r="E9410" i="1"/>
  <c r="F9410" i="1"/>
  <c r="G9410" i="1"/>
  <c r="H9410" i="1"/>
  <c r="I9410" i="1"/>
  <c r="J9410" i="1"/>
  <c r="K9410" i="1"/>
  <c r="L9410" i="1"/>
  <c r="A9411" i="1"/>
  <c r="B9411" i="1"/>
  <c r="C9411" i="1"/>
  <c r="D9411" i="1"/>
  <c r="E9411" i="1"/>
  <c r="F9411" i="1"/>
  <c r="G9411" i="1"/>
  <c r="H9411" i="1"/>
  <c r="I9411" i="1"/>
  <c r="J9411" i="1"/>
  <c r="K9411" i="1"/>
  <c r="L9411" i="1"/>
  <c r="A9412" i="1"/>
  <c r="B9412" i="1"/>
  <c r="C9412" i="1"/>
  <c r="D9412" i="1"/>
  <c r="E9412" i="1"/>
  <c r="F9412" i="1"/>
  <c r="G9412" i="1"/>
  <c r="H9412" i="1"/>
  <c r="I9412" i="1"/>
  <c r="J9412" i="1"/>
  <c r="K9412" i="1"/>
  <c r="L9412" i="1"/>
  <c r="A9413" i="1"/>
  <c r="B9413" i="1"/>
  <c r="C9413" i="1"/>
  <c r="D9413" i="1"/>
  <c r="E9413" i="1"/>
  <c r="F9413" i="1"/>
  <c r="G9413" i="1"/>
  <c r="H9413" i="1"/>
  <c r="I9413" i="1"/>
  <c r="J9413" i="1"/>
  <c r="K9413" i="1"/>
  <c r="L9413" i="1"/>
  <c r="A9414" i="1"/>
  <c r="B9414" i="1"/>
  <c r="C9414" i="1"/>
  <c r="D9414" i="1"/>
  <c r="E9414" i="1"/>
  <c r="F9414" i="1"/>
  <c r="G9414" i="1"/>
  <c r="H9414" i="1"/>
  <c r="I9414" i="1"/>
  <c r="J9414" i="1"/>
  <c r="K9414" i="1"/>
  <c r="L9414" i="1"/>
  <c r="A9415" i="1"/>
  <c r="B9415" i="1"/>
  <c r="C9415" i="1"/>
  <c r="D9415" i="1"/>
  <c r="E9415" i="1"/>
  <c r="F9415" i="1"/>
  <c r="G9415" i="1"/>
  <c r="H9415" i="1"/>
  <c r="I9415" i="1"/>
  <c r="J9415" i="1"/>
  <c r="K9415" i="1"/>
  <c r="L9415" i="1"/>
  <c r="A9416" i="1"/>
  <c r="B9416" i="1"/>
  <c r="C9416" i="1"/>
  <c r="D9416" i="1"/>
  <c r="E9416" i="1"/>
  <c r="F9416" i="1"/>
  <c r="G9416" i="1"/>
  <c r="H9416" i="1"/>
  <c r="I9416" i="1"/>
  <c r="J9416" i="1"/>
  <c r="K9416" i="1"/>
  <c r="L9416" i="1"/>
  <c r="A9417" i="1"/>
  <c r="B9417" i="1"/>
  <c r="C9417" i="1"/>
  <c r="D9417" i="1"/>
  <c r="E9417" i="1"/>
  <c r="F9417" i="1"/>
  <c r="G9417" i="1"/>
  <c r="H9417" i="1"/>
  <c r="I9417" i="1"/>
  <c r="J9417" i="1"/>
  <c r="K9417" i="1"/>
  <c r="L9417" i="1"/>
  <c r="A9418" i="1"/>
  <c r="B9418" i="1"/>
  <c r="C9418" i="1"/>
  <c r="D9418" i="1"/>
  <c r="E9418" i="1"/>
  <c r="F9418" i="1"/>
  <c r="G9418" i="1"/>
  <c r="H9418" i="1"/>
  <c r="I9418" i="1"/>
  <c r="J9418" i="1"/>
  <c r="K9418" i="1"/>
  <c r="L9418" i="1"/>
  <c r="A9419" i="1"/>
  <c r="B9419" i="1"/>
  <c r="C9419" i="1"/>
  <c r="D9419" i="1"/>
  <c r="E9419" i="1"/>
  <c r="F9419" i="1"/>
  <c r="G9419" i="1"/>
  <c r="H9419" i="1"/>
  <c r="I9419" i="1"/>
  <c r="J9419" i="1"/>
  <c r="K9419" i="1"/>
  <c r="L9419" i="1"/>
  <c r="A9420" i="1"/>
  <c r="B9420" i="1"/>
  <c r="C9420" i="1"/>
  <c r="D9420" i="1"/>
  <c r="E9420" i="1"/>
  <c r="F9420" i="1"/>
  <c r="G9420" i="1"/>
  <c r="H9420" i="1"/>
  <c r="I9420" i="1"/>
  <c r="J9420" i="1"/>
  <c r="K9420" i="1"/>
  <c r="L9420" i="1"/>
  <c r="A9421" i="1"/>
  <c r="B9421" i="1"/>
  <c r="C9421" i="1"/>
  <c r="D9421" i="1"/>
  <c r="E9421" i="1"/>
  <c r="F9421" i="1"/>
  <c r="G9421" i="1"/>
  <c r="H9421" i="1"/>
  <c r="I9421" i="1"/>
  <c r="J9421" i="1"/>
  <c r="K9421" i="1"/>
  <c r="L9421" i="1"/>
  <c r="A9422" i="1"/>
  <c r="B9422" i="1"/>
  <c r="C9422" i="1"/>
  <c r="D9422" i="1"/>
  <c r="E9422" i="1"/>
  <c r="F9422" i="1"/>
  <c r="G9422" i="1"/>
  <c r="H9422" i="1"/>
  <c r="I9422" i="1"/>
  <c r="J9422" i="1"/>
  <c r="K9422" i="1"/>
  <c r="L9422" i="1"/>
  <c r="A9423" i="1"/>
  <c r="B9423" i="1"/>
  <c r="C9423" i="1"/>
  <c r="D9423" i="1"/>
  <c r="E9423" i="1"/>
  <c r="F9423" i="1"/>
  <c r="G9423" i="1"/>
  <c r="H9423" i="1"/>
  <c r="I9423" i="1"/>
  <c r="J9423" i="1"/>
  <c r="K9423" i="1"/>
  <c r="L9423" i="1"/>
  <c r="A9424" i="1"/>
  <c r="B9424" i="1"/>
  <c r="C9424" i="1"/>
  <c r="D9424" i="1"/>
  <c r="E9424" i="1"/>
  <c r="F9424" i="1"/>
  <c r="G9424" i="1"/>
  <c r="H9424" i="1"/>
  <c r="I9424" i="1"/>
  <c r="J9424" i="1"/>
  <c r="K9424" i="1"/>
  <c r="L9424" i="1"/>
  <c r="A9425" i="1"/>
  <c r="B9425" i="1"/>
  <c r="C9425" i="1"/>
  <c r="D9425" i="1"/>
  <c r="E9425" i="1"/>
  <c r="F9425" i="1"/>
  <c r="G9425" i="1"/>
  <c r="H9425" i="1"/>
  <c r="I9425" i="1"/>
  <c r="J9425" i="1"/>
  <c r="K9425" i="1"/>
  <c r="L9425" i="1"/>
  <c r="A9426" i="1"/>
  <c r="B9426" i="1"/>
  <c r="C9426" i="1"/>
  <c r="D9426" i="1"/>
  <c r="E9426" i="1"/>
  <c r="F9426" i="1"/>
  <c r="G9426" i="1"/>
  <c r="H9426" i="1"/>
  <c r="I9426" i="1"/>
  <c r="J9426" i="1"/>
  <c r="K9426" i="1"/>
  <c r="L9426" i="1"/>
  <c r="A9427" i="1"/>
  <c r="B9427" i="1"/>
  <c r="C9427" i="1"/>
  <c r="D9427" i="1"/>
  <c r="E9427" i="1"/>
  <c r="F9427" i="1"/>
  <c r="G9427" i="1"/>
  <c r="H9427" i="1"/>
  <c r="I9427" i="1"/>
  <c r="J9427" i="1"/>
  <c r="K9427" i="1"/>
  <c r="L9427" i="1"/>
  <c r="A9428" i="1"/>
  <c r="B9428" i="1"/>
  <c r="C9428" i="1"/>
  <c r="D9428" i="1"/>
  <c r="E9428" i="1"/>
  <c r="F9428" i="1"/>
  <c r="G9428" i="1"/>
  <c r="H9428" i="1"/>
  <c r="I9428" i="1"/>
  <c r="J9428" i="1"/>
  <c r="K9428" i="1"/>
  <c r="L9428" i="1"/>
  <c r="A9429" i="1"/>
  <c r="B9429" i="1"/>
  <c r="C9429" i="1"/>
  <c r="D9429" i="1"/>
  <c r="E9429" i="1"/>
  <c r="F9429" i="1"/>
  <c r="G9429" i="1"/>
  <c r="H9429" i="1"/>
  <c r="I9429" i="1"/>
  <c r="J9429" i="1"/>
  <c r="K9429" i="1"/>
  <c r="L9429" i="1"/>
  <c r="A9430" i="1"/>
  <c r="B9430" i="1"/>
  <c r="C9430" i="1"/>
  <c r="D9430" i="1"/>
  <c r="E9430" i="1"/>
  <c r="F9430" i="1"/>
  <c r="G9430" i="1"/>
  <c r="H9430" i="1"/>
  <c r="I9430" i="1"/>
  <c r="J9430" i="1"/>
  <c r="K9430" i="1"/>
  <c r="L9430" i="1"/>
  <c r="A9431" i="1"/>
  <c r="B9431" i="1"/>
  <c r="C9431" i="1"/>
  <c r="D9431" i="1"/>
  <c r="E9431" i="1"/>
  <c r="F9431" i="1"/>
  <c r="G9431" i="1"/>
  <c r="H9431" i="1"/>
  <c r="I9431" i="1"/>
  <c r="J9431" i="1"/>
  <c r="K9431" i="1"/>
  <c r="L9431" i="1"/>
  <c r="A9432" i="1"/>
  <c r="B9432" i="1"/>
  <c r="C9432" i="1"/>
  <c r="D9432" i="1"/>
  <c r="E9432" i="1"/>
  <c r="F9432" i="1"/>
  <c r="G9432" i="1"/>
  <c r="H9432" i="1"/>
  <c r="I9432" i="1"/>
  <c r="J9432" i="1"/>
  <c r="K9432" i="1"/>
  <c r="L9432" i="1"/>
  <c r="A9433" i="1"/>
  <c r="B9433" i="1"/>
  <c r="C9433" i="1"/>
  <c r="D9433" i="1"/>
  <c r="E9433" i="1"/>
  <c r="F9433" i="1"/>
  <c r="G9433" i="1"/>
  <c r="H9433" i="1"/>
  <c r="I9433" i="1"/>
  <c r="J9433" i="1"/>
  <c r="K9433" i="1"/>
  <c r="L9433" i="1"/>
  <c r="A9434" i="1"/>
  <c r="B9434" i="1"/>
  <c r="C9434" i="1"/>
  <c r="D9434" i="1"/>
  <c r="E9434" i="1"/>
  <c r="F9434" i="1"/>
  <c r="G9434" i="1"/>
  <c r="H9434" i="1"/>
  <c r="I9434" i="1"/>
  <c r="J9434" i="1"/>
  <c r="K9434" i="1"/>
  <c r="L9434" i="1"/>
  <c r="A9435" i="1"/>
  <c r="B9435" i="1"/>
  <c r="C9435" i="1"/>
  <c r="D9435" i="1"/>
  <c r="E9435" i="1"/>
  <c r="F9435" i="1"/>
  <c r="G9435" i="1"/>
  <c r="H9435" i="1"/>
  <c r="I9435" i="1"/>
  <c r="J9435" i="1"/>
  <c r="K9435" i="1"/>
  <c r="L9435" i="1"/>
  <c r="A9436" i="1"/>
  <c r="B9436" i="1"/>
  <c r="C9436" i="1"/>
  <c r="D9436" i="1"/>
  <c r="E9436" i="1"/>
  <c r="F9436" i="1"/>
  <c r="G9436" i="1"/>
  <c r="H9436" i="1"/>
  <c r="I9436" i="1"/>
  <c r="J9436" i="1"/>
  <c r="K9436" i="1"/>
  <c r="L9436" i="1"/>
  <c r="A9437" i="1"/>
  <c r="B9437" i="1"/>
  <c r="C9437" i="1"/>
  <c r="D9437" i="1"/>
  <c r="E9437" i="1"/>
  <c r="F9437" i="1"/>
  <c r="G9437" i="1"/>
  <c r="H9437" i="1"/>
  <c r="I9437" i="1"/>
  <c r="J9437" i="1"/>
  <c r="K9437" i="1"/>
  <c r="L9437" i="1"/>
  <c r="A9438" i="1"/>
  <c r="B9438" i="1"/>
  <c r="C9438" i="1"/>
  <c r="D9438" i="1"/>
  <c r="E9438" i="1"/>
  <c r="F9438" i="1"/>
  <c r="G9438" i="1"/>
  <c r="H9438" i="1"/>
  <c r="I9438" i="1"/>
  <c r="J9438" i="1"/>
  <c r="K9438" i="1"/>
  <c r="L9438" i="1"/>
  <c r="A9439" i="1"/>
  <c r="B9439" i="1"/>
  <c r="C9439" i="1"/>
  <c r="D9439" i="1"/>
  <c r="E9439" i="1"/>
  <c r="F9439" i="1"/>
  <c r="G9439" i="1"/>
  <c r="H9439" i="1"/>
  <c r="I9439" i="1"/>
  <c r="J9439" i="1"/>
  <c r="K9439" i="1"/>
  <c r="L9439" i="1"/>
  <c r="A9440" i="1"/>
  <c r="B9440" i="1"/>
  <c r="C9440" i="1"/>
  <c r="D9440" i="1"/>
  <c r="E9440" i="1"/>
  <c r="F9440" i="1"/>
  <c r="G9440" i="1"/>
  <c r="H9440" i="1"/>
  <c r="I9440" i="1"/>
  <c r="J9440" i="1"/>
  <c r="K9440" i="1"/>
  <c r="L9440" i="1"/>
  <c r="A9441" i="1"/>
  <c r="B9441" i="1"/>
  <c r="C9441" i="1"/>
  <c r="D9441" i="1"/>
  <c r="E9441" i="1"/>
  <c r="F9441" i="1"/>
  <c r="G9441" i="1"/>
  <c r="H9441" i="1"/>
  <c r="I9441" i="1"/>
  <c r="J9441" i="1"/>
  <c r="K9441" i="1"/>
  <c r="L9441" i="1"/>
  <c r="A9442" i="1"/>
  <c r="B9442" i="1"/>
  <c r="C9442" i="1"/>
  <c r="D9442" i="1"/>
  <c r="E9442" i="1"/>
  <c r="F9442" i="1"/>
  <c r="G9442" i="1"/>
  <c r="H9442" i="1"/>
  <c r="I9442" i="1"/>
  <c r="J9442" i="1"/>
  <c r="K9442" i="1"/>
  <c r="L9442" i="1"/>
  <c r="A9443" i="1"/>
  <c r="B9443" i="1"/>
  <c r="C9443" i="1"/>
  <c r="D9443" i="1"/>
  <c r="E9443" i="1"/>
  <c r="F9443" i="1"/>
  <c r="G9443" i="1"/>
  <c r="H9443" i="1"/>
  <c r="I9443" i="1"/>
  <c r="J9443" i="1"/>
  <c r="K9443" i="1"/>
  <c r="L9443" i="1"/>
  <c r="A9444" i="1"/>
  <c r="B9444" i="1"/>
  <c r="C9444" i="1"/>
  <c r="D9444" i="1"/>
  <c r="E9444" i="1"/>
  <c r="F9444" i="1"/>
  <c r="G9444" i="1"/>
  <c r="H9444" i="1"/>
  <c r="I9444" i="1"/>
  <c r="J9444" i="1"/>
  <c r="K9444" i="1"/>
  <c r="L9444" i="1"/>
  <c r="A9445" i="1"/>
  <c r="B9445" i="1"/>
  <c r="C9445" i="1"/>
  <c r="D9445" i="1"/>
  <c r="E9445" i="1"/>
  <c r="F9445" i="1"/>
  <c r="G9445" i="1"/>
  <c r="H9445" i="1"/>
  <c r="I9445" i="1"/>
  <c r="J9445" i="1"/>
  <c r="K9445" i="1"/>
  <c r="L9445" i="1"/>
  <c r="A9446" i="1"/>
  <c r="B9446" i="1"/>
  <c r="C9446" i="1"/>
  <c r="D9446" i="1"/>
  <c r="E9446" i="1"/>
  <c r="F9446" i="1"/>
  <c r="G9446" i="1"/>
  <c r="H9446" i="1"/>
  <c r="I9446" i="1"/>
  <c r="J9446" i="1"/>
  <c r="K9446" i="1"/>
  <c r="L9446" i="1"/>
  <c r="A9447" i="1"/>
  <c r="B9447" i="1"/>
  <c r="C9447" i="1"/>
  <c r="D9447" i="1"/>
  <c r="E9447" i="1"/>
  <c r="F9447" i="1"/>
  <c r="G9447" i="1"/>
  <c r="H9447" i="1"/>
  <c r="I9447" i="1"/>
  <c r="J9447" i="1"/>
  <c r="K9447" i="1"/>
  <c r="L9447" i="1"/>
  <c r="A9448" i="1"/>
  <c r="B9448" i="1"/>
  <c r="C9448" i="1"/>
  <c r="D9448" i="1"/>
  <c r="E9448" i="1"/>
  <c r="F9448" i="1"/>
  <c r="G9448" i="1"/>
  <c r="H9448" i="1"/>
  <c r="I9448" i="1"/>
  <c r="J9448" i="1"/>
  <c r="K9448" i="1"/>
  <c r="L9448" i="1"/>
  <c r="A9449" i="1"/>
  <c r="B9449" i="1"/>
  <c r="C9449" i="1"/>
  <c r="D9449" i="1"/>
  <c r="E9449" i="1"/>
  <c r="F9449" i="1"/>
  <c r="G9449" i="1"/>
  <c r="H9449" i="1"/>
  <c r="I9449" i="1"/>
  <c r="J9449" i="1"/>
  <c r="K9449" i="1"/>
  <c r="L9449" i="1"/>
  <c r="A9450" i="1"/>
  <c r="B9450" i="1"/>
  <c r="C9450" i="1"/>
  <c r="D9450" i="1"/>
  <c r="E9450" i="1"/>
  <c r="F9450" i="1"/>
  <c r="G9450" i="1"/>
  <c r="H9450" i="1"/>
  <c r="I9450" i="1"/>
  <c r="J9450" i="1"/>
  <c r="K9450" i="1"/>
  <c r="L9450" i="1"/>
  <c r="A9451" i="1"/>
  <c r="B9451" i="1"/>
  <c r="C9451" i="1"/>
  <c r="D9451" i="1"/>
  <c r="E9451" i="1"/>
  <c r="F9451" i="1"/>
  <c r="G9451" i="1"/>
  <c r="H9451" i="1"/>
  <c r="I9451" i="1"/>
  <c r="J9451" i="1"/>
  <c r="K9451" i="1"/>
  <c r="L9451" i="1"/>
  <c r="A9452" i="1"/>
  <c r="B9452" i="1"/>
  <c r="C9452" i="1"/>
  <c r="D9452" i="1"/>
  <c r="E9452" i="1"/>
  <c r="F9452" i="1"/>
  <c r="G9452" i="1"/>
  <c r="H9452" i="1"/>
  <c r="I9452" i="1"/>
  <c r="J9452" i="1"/>
  <c r="K9452" i="1"/>
  <c r="L9452" i="1"/>
  <c r="A9453" i="1"/>
  <c r="B9453" i="1"/>
  <c r="C9453" i="1"/>
  <c r="D9453" i="1"/>
  <c r="E9453" i="1"/>
  <c r="F9453" i="1"/>
  <c r="G9453" i="1"/>
  <c r="H9453" i="1"/>
  <c r="I9453" i="1"/>
  <c r="J9453" i="1"/>
  <c r="K9453" i="1"/>
  <c r="L9453" i="1"/>
  <c r="A9454" i="1"/>
  <c r="B9454" i="1"/>
  <c r="C9454" i="1"/>
  <c r="D9454" i="1"/>
  <c r="E9454" i="1"/>
  <c r="F9454" i="1"/>
  <c r="G9454" i="1"/>
  <c r="H9454" i="1"/>
  <c r="I9454" i="1"/>
  <c r="J9454" i="1"/>
  <c r="K9454" i="1"/>
  <c r="L9454" i="1"/>
  <c r="A9455" i="1"/>
  <c r="B9455" i="1"/>
  <c r="C9455" i="1"/>
  <c r="D9455" i="1"/>
  <c r="E9455" i="1"/>
  <c r="F9455" i="1"/>
  <c r="G9455" i="1"/>
  <c r="H9455" i="1"/>
  <c r="I9455" i="1"/>
  <c r="J9455" i="1"/>
  <c r="K9455" i="1"/>
  <c r="L9455" i="1"/>
  <c r="A9456" i="1"/>
  <c r="B9456" i="1"/>
  <c r="C9456" i="1"/>
  <c r="D9456" i="1"/>
  <c r="E9456" i="1"/>
  <c r="F9456" i="1"/>
  <c r="G9456" i="1"/>
  <c r="H9456" i="1"/>
  <c r="I9456" i="1"/>
  <c r="J9456" i="1"/>
  <c r="K9456" i="1"/>
  <c r="L9456" i="1"/>
  <c r="A9457" i="1"/>
  <c r="B9457" i="1"/>
  <c r="C9457" i="1"/>
  <c r="D9457" i="1"/>
  <c r="E9457" i="1"/>
  <c r="F9457" i="1"/>
  <c r="G9457" i="1"/>
  <c r="H9457" i="1"/>
  <c r="I9457" i="1"/>
  <c r="J9457" i="1"/>
  <c r="K9457" i="1"/>
  <c r="L9457" i="1"/>
  <c r="A9458" i="1"/>
  <c r="B9458" i="1"/>
  <c r="C9458" i="1"/>
  <c r="D9458" i="1"/>
  <c r="E9458" i="1"/>
  <c r="F9458" i="1"/>
  <c r="G9458" i="1"/>
  <c r="H9458" i="1"/>
  <c r="I9458" i="1"/>
  <c r="J9458" i="1"/>
  <c r="K9458" i="1"/>
  <c r="L9458" i="1"/>
  <c r="A9459" i="1"/>
  <c r="B9459" i="1"/>
  <c r="C9459" i="1"/>
  <c r="D9459" i="1"/>
  <c r="E9459" i="1"/>
  <c r="F9459" i="1"/>
  <c r="G9459" i="1"/>
  <c r="H9459" i="1"/>
  <c r="I9459" i="1"/>
  <c r="J9459" i="1"/>
  <c r="K9459" i="1"/>
  <c r="L9459" i="1"/>
  <c r="A9460" i="1"/>
  <c r="B9460" i="1"/>
  <c r="C9460" i="1"/>
  <c r="D9460" i="1"/>
  <c r="E9460" i="1"/>
  <c r="F9460" i="1"/>
  <c r="G9460" i="1"/>
  <c r="H9460" i="1"/>
  <c r="I9460" i="1"/>
  <c r="J9460" i="1"/>
  <c r="K9460" i="1"/>
  <c r="L9460" i="1"/>
  <c r="A9461" i="1"/>
  <c r="B9461" i="1"/>
  <c r="C9461" i="1"/>
  <c r="D9461" i="1"/>
  <c r="E9461" i="1"/>
  <c r="F9461" i="1"/>
  <c r="G9461" i="1"/>
  <c r="H9461" i="1"/>
  <c r="I9461" i="1"/>
  <c r="J9461" i="1"/>
  <c r="K9461" i="1"/>
  <c r="L9461" i="1"/>
  <c r="A9462" i="1"/>
  <c r="B9462" i="1"/>
  <c r="C9462" i="1"/>
  <c r="D9462" i="1"/>
  <c r="E9462" i="1"/>
  <c r="F9462" i="1"/>
  <c r="G9462" i="1"/>
  <c r="H9462" i="1"/>
  <c r="I9462" i="1"/>
  <c r="J9462" i="1"/>
  <c r="K9462" i="1"/>
  <c r="L9462" i="1"/>
  <c r="A9463" i="1"/>
  <c r="B9463" i="1"/>
  <c r="C9463" i="1"/>
  <c r="D9463" i="1"/>
  <c r="E9463" i="1"/>
  <c r="F9463" i="1"/>
  <c r="G9463" i="1"/>
  <c r="H9463" i="1"/>
  <c r="I9463" i="1"/>
  <c r="J9463" i="1"/>
  <c r="K9463" i="1"/>
  <c r="L9463" i="1"/>
  <c r="A9464" i="1"/>
  <c r="B9464" i="1"/>
  <c r="C9464" i="1"/>
  <c r="D9464" i="1"/>
  <c r="E9464" i="1"/>
  <c r="F9464" i="1"/>
  <c r="G9464" i="1"/>
  <c r="H9464" i="1"/>
  <c r="I9464" i="1"/>
  <c r="J9464" i="1"/>
  <c r="K9464" i="1"/>
  <c r="L9464" i="1"/>
  <c r="A9465" i="1"/>
  <c r="B9465" i="1"/>
  <c r="C9465" i="1"/>
  <c r="D9465" i="1"/>
  <c r="E9465" i="1"/>
  <c r="F9465" i="1"/>
  <c r="G9465" i="1"/>
  <c r="H9465" i="1"/>
  <c r="I9465" i="1"/>
  <c r="J9465" i="1"/>
  <c r="K9465" i="1"/>
  <c r="L9465" i="1"/>
  <c r="A9466" i="1"/>
  <c r="B9466" i="1"/>
  <c r="C9466" i="1"/>
  <c r="D9466" i="1"/>
  <c r="E9466" i="1"/>
  <c r="F9466" i="1"/>
  <c r="G9466" i="1"/>
  <c r="H9466" i="1"/>
  <c r="I9466" i="1"/>
  <c r="J9466" i="1"/>
  <c r="K9466" i="1"/>
  <c r="L9466" i="1"/>
  <c r="A9467" i="1"/>
  <c r="B9467" i="1"/>
  <c r="C9467" i="1"/>
  <c r="D9467" i="1"/>
  <c r="E9467" i="1"/>
  <c r="F9467" i="1"/>
  <c r="G9467" i="1"/>
  <c r="H9467" i="1"/>
  <c r="I9467" i="1"/>
  <c r="J9467" i="1"/>
  <c r="K9467" i="1"/>
  <c r="L9467" i="1"/>
  <c r="A9468" i="1"/>
  <c r="B9468" i="1"/>
  <c r="C9468" i="1"/>
  <c r="D9468" i="1"/>
  <c r="E9468" i="1"/>
  <c r="F9468" i="1"/>
  <c r="G9468" i="1"/>
  <c r="H9468" i="1"/>
  <c r="I9468" i="1"/>
  <c r="J9468" i="1"/>
  <c r="K9468" i="1"/>
  <c r="L9468" i="1"/>
  <c r="A9469" i="1"/>
  <c r="B9469" i="1"/>
  <c r="C9469" i="1"/>
  <c r="D9469" i="1"/>
  <c r="E9469" i="1"/>
  <c r="F9469" i="1"/>
  <c r="G9469" i="1"/>
  <c r="H9469" i="1"/>
  <c r="I9469" i="1"/>
  <c r="J9469" i="1"/>
  <c r="K9469" i="1"/>
  <c r="L9469" i="1"/>
  <c r="A9470" i="1"/>
  <c r="B9470" i="1"/>
  <c r="C9470" i="1"/>
  <c r="D9470" i="1"/>
  <c r="E9470" i="1"/>
  <c r="F9470" i="1"/>
  <c r="G9470" i="1"/>
  <c r="H9470" i="1"/>
  <c r="I9470" i="1"/>
  <c r="J9470" i="1"/>
  <c r="K9470" i="1"/>
  <c r="L9470" i="1"/>
  <c r="A9471" i="1"/>
  <c r="B9471" i="1"/>
  <c r="C9471" i="1"/>
  <c r="D9471" i="1"/>
  <c r="E9471" i="1"/>
  <c r="F9471" i="1"/>
  <c r="G9471" i="1"/>
  <c r="H9471" i="1"/>
  <c r="I9471" i="1"/>
  <c r="J9471" i="1"/>
  <c r="K9471" i="1"/>
  <c r="L9471" i="1"/>
  <c r="A9472" i="1"/>
  <c r="B9472" i="1"/>
  <c r="C9472" i="1"/>
  <c r="D9472" i="1"/>
  <c r="E9472" i="1"/>
  <c r="F9472" i="1"/>
  <c r="G9472" i="1"/>
  <c r="H9472" i="1"/>
  <c r="I9472" i="1"/>
  <c r="J9472" i="1"/>
  <c r="K9472" i="1"/>
  <c r="L9472" i="1"/>
  <c r="A9473" i="1"/>
  <c r="B9473" i="1"/>
  <c r="C9473" i="1"/>
  <c r="D9473" i="1"/>
  <c r="E9473" i="1"/>
  <c r="F9473" i="1"/>
  <c r="G9473" i="1"/>
  <c r="H9473" i="1"/>
  <c r="I9473" i="1"/>
  <c r="J9473" i="1"/>
  <c r="K9473" i="1"/>
  <c r="L9473" i="1"/>
  <c r="A9474" i="1"/>
  <c r="B9474" i="1"/>
  <c r="C9474" i="1"/>
  <c r="D9474" i="1"/>
  <c r="E9474" i="1"/>
  <c r="F9474" i="1"/>
  <c r="G9474" i="1"/>
  <c r="H9474" i="1"/>
  <c r="I9474" i="1"/>
  <c r="J9474" i="1"/>
  <c r="K9474" i="1"/>
  <c r="L9474" i="1"/>
  <c r="A9475" i="1"/>
  <c r="B9475" i="1"/>
  <c r="C9475" i="1"/>
  <c r="D9475" i="1"/>
  <c r="E9475" i="1"/>
  <c r="F9475" i="1"/>
  <c r="G9475" i="1"/>
  <c r="H9475" i="1"/>
  <c r="I9475" i="1"/>
  <c r="J9475" i="1"/>
  <c r="K9475" i="1"/>
  <c r="L9475" i="1"/>
  <c r="A9476" i="1"/>
  <c r="B9476" i="1"/>
  <c r="C9476" i="1"/>
  <c r="D9476" i="1"/>
  <c r="E9476" i="1"/>
  <c r="F9476" i="1"/>
  <c r="G9476" i="1"/>
  <c r="H9476" i="1"/>
  <c r="I9476" i="1"/>
  <c r="J9476" i="1"/>
  <c r="K9476" i="1"/>
  <c r="L9476" i="1"/>
  <c r="A9477" i="1"/>
  <c r="B9477" i="1"/>
  <c r="C9477" i="1"/>
  <c r="D9477" i="1"/>
  <c r="E9477" i="1"/>
  <c r="F9477" i="1"/>
  <c r="G9477" i="1"/>
  <c r="H9477" i="1"/>
  <c r="I9477" i="1"/>
  <c r="J9477" i="1"/>
  <c r="K9477" i="1"/>
  <c r="L9477" i="1"/>
  <c r="A9478" i="1"/>
  <c r="B9478" i="1"/>
  <c r="C9478" i="1"/>
  <c r="D9478" i="1"/>
  <c r="E9478" i="1"/>
  <c r="F9478" i="1"/>
  <c r="G9478" i="1"/>
  <c r="H9478" i="1"/>
  <c r="I9478" i="1"/>
  <c r="J9478" i="1"/>
  <c r="K9478" i="1"/>
  <c r="L9478" i="1"/>
  <c r="A9479" i="1"/>
  <c r="B9479" i="1"/>
  <c r="C9479" i="1"/>
  <c r="D9479" i="1"/>
  <c r="E9479" i="1"/>
  <c r="F9479" i="1"/>
  <c r="G9479" i="1"/>
  <c r="H9479" i="1"/>
  <c r="I9479" i="1"/>
  <c r="J9479" i="1"/>
  <c r="K9479" i="1"/>
  <c r="L9479" i="1"/>
  <c r="A9480" i="1"/>
  <c r="B9480" i="1"/>
  <c r="C9480" i="1"/>
  <c r="D9480" i="1"/>
  <c r="E9480" i="1"/>
  <c r="F9480" i="1"/>
  <c r="G9480" i="1"/>
  <c r="H9480" i="1"/>
  <c r="I9480" i="1"/>
  <c r="J9480" i="1"/>
  <c r="K9480" i="1"/>
  <c r="L9480" i="1"/>
  <c r="A9481" i="1"/>
  <c r="B9481" i="1"/>
  <c r="C9481" i="1"/>
  <c r="D9481" i="1"/>
  <c r="E9481" i="1"/>
  <c r="F9481" i="1"/>
  <c r="G9481" i="1"/>
  <c r="H9481" i="1"/>
  <c r="I9481" i="1"/>
  <c r="J9481" i="1"/>
  <c r="K9481" i="1"/>
  <c r="L9481" i="1"/>
  <c r="A9482" i="1"/>
  <c r="B9482" i="1"/>
  <c r="C9482" i="1"/>
  <c r="D9482" i="1"/>
  <c r="E9482" i="1"/>
  <c r="F9482" i="1"/>
  <c r="G9482" i="1"/>
  <c r="H9482" i="1"/>
  <c r="I9482" i="1"/>
  <c r="J9482" i="1"/>
  <c r="K9482" i="1"/>
  <c r="L9482" i="1"/>
  <c r="A9483" i="1"/>
  <c r="B9483" i="1"/>
  <c r="C9483" i="1"/>
  <c r="D9483" i="1"/>
  <c r="E9483" i="1"/>
  <c r="F9483" i="1"/>
  <c r="G9483" i="1"/>
  <c r="H9483" i="1"/>
  <c r="I9483" i="1"/>
  <c r="J9483" i="1"/>
  <c r="K9483" i="1"/>
  <c r="L9483" i="1"/>
  <c r="A9484" i="1"/>
  <c r="B9484" i="1"/>
  <c r="C9484" i="1"/>
  <c r="D9484" i="1"/>
  <c r="E9484" i="1"/>
  <c r="F9484" i="1"/>
  <c r="G9484" i="1"/>
  <c r="H9484" i="1"/>
  <c r="I9484" i="1"/>
  <c r="J9484" i="1"/>
  <c r="K9484" i="1"/>
  <c r="L9484" i="1"/>
  <c r="A9485" i="1"/>
  <c r="B9485" i="1"/>
  <c r="C9485" i="1"/>
  <c r="D9485" i="1"/>
  <c r="E9485" i="1"/>
  <c r="F9485" i="1"/>
  <c r="G9485" i="1"/>
  <c r="H9485" i="1"/>
  <c r="I9485" i="1"/>
  <c r="J9485" i="1"/>
  <c r="K9485" i="1"/>
  <c r="L9485" i="1"/>
  <c r="A9486" i="1"/>
  <c r="B9486" i="1"/>
  <c r="C9486" i="1"/>
  <c r="D9486" i="1"/>
  <c r="E9486" i="1"/>
  <c r="F9486" i="1"/>
  <c r="G9486" i="1"/>
  <c r="H9486" i="1"/>
  <c r="I9486" i="1"/>
  <c r="J9486" i="1"/>
  <c r="K9486" i="1"/>
  <c r="L9486" i="1"/>
  <c r="A9487" i="1"/>
  <c r="B9487" i="1"/>
  <c r="C9487" i="1"/>
  <c r="D9487" i="1"/>
  <c r="E9487" i="1"/>
  <c r="F9487" i="1"/>
  <c r="G9487" i="1"/>
  <c r="H9487" i="1"/>
  <c r="I9487" i="1"/>
  <c r="J9487" i="1"/>
  <c r="K9487" i="1"/>
  <c r="L9487" i="1"/>
  <c r="A9488" i="1"/>
  <c r="B9488" i="1"/>
  <c r="C9488" i="1"/>
  <c r="D9488" i="1"/>
  <c r="E9488" i="1"/>
  <c r="F9488" i="1"/>
  <c r="G9488" i="1"/>
  <c r="H9488" i="1"/>
  <c r="I9488" i="1"/>
  <c r="J9488" i="1"/>
  <c r="K9488" i="1"/>
  <c r="L9488" i="1"/>
  <c r="A9489" i="1"/>
  <c r="B9489" i="1"/>
  <c r="C9489" i="1"/>
  <c r="D9489" i="1"/>
  <c r="E9489" i="1"/>
  <c r="F9489" i="1"/>
  <c r="G9489" i="1"/>
  <c r="H9489" i="1"/>
  <c r="I9489" i="1"/>
  <c r="J9489" i="1"/>
  <c r="K9489" i="1"/>
  <c r="L9489" i="1"/>
  <c r="A9490" i="1"/>
  <c r="B9490" i="1"/>
  <c r="C9490" i="1"/>
  <c r="D9490" i="1"/>
  <c r="E9490" i="1"/>
  <c r="F9490" i="1"/>
  <c r="G9490" i="1"/>
  <c r="H9490" i="1"/>
  <c r="I9490" i="1"/>
  <c r="J9490" i="1"/>
  <c r="K9490" i="1"/>
  <c r="L9490" i="1"/>
  <c r="A9491" i="1"/>
  <c r="B9491" i="1"/>
  <c r="C9491" i="1"/>
  <c r="D9491" i="1"/>
  <c r="E9491" i="1"/>
  <c r="F9491" i="1"/>
  <c r="G9491" i="1"/>
  <c r="H9491" i="1"/>
  <c r="I9491" i="1"/>
  <c r="J9491" i="1"/>
  <c r="K9491" i="1"/>
  <c r="L9491" i="1"/>
  <c r="A9492" i="1"/>
  <c r="B9492" i="1"/>
  <c r="C9492" i="1"/>
  <c r="D9492" i="1"/>
  <c r="E9492" i="1"/>
  <c r="F9492" i="1"/>
  <c r="G9492" i="1"/>
  <c r="H9492" i="1"/>
  <c r="I9492" i="1"/>
  <c r="J9492" i="1"/>
  <c r="K9492" i="1"/>
  <c r="L9492" i="1"/>
  <c r="A9493" i="1"/>
  <c r="B9493" i="1"/>
  <c r="C9493" i="1"/>
  <c r="D9493" i="1"/>
  <c r="E9493" i="1"/>
  <c r="F9493" i="1"/>
  <c r="G9493" i="1"/>
  <c r="H9493" i="1"/>
  <c r="I9493" i="1"/>
  <c r="J9493" i="1"/>
  <c r="K9493" i="1"/>
  <c r="L9493" i="1"/>
  <c r="A9494" i="1"/>
  <c r="B9494" i="1"/>
  <c r="C9494" i="1"/>
  <c r="D9494" i="1"/>
  <c r="E9494" i="1"/>
  <c r="F9494" i="1"/>
  <c r="G9494" i="1"/>
  <c r="H9494" i="1"/>
  <c r="I9494" i="1"/>
  <c r="J9494" i="1"/>
  <c r="K9494" i="1"/>
  <c r="L9494" i="1"/>
  <c r="A9495" i="1"/>
  <c r="B9495" i="1"/>
  <c r="C9495" i="1"/>
  <c r="D9495" i="1"/>
  <c r="E9495" i="1"/>
  <c r="F9495" i="1"/>
  <c r="G9495" i="1"/>
  <c r="H9495" i="1"/>
  <c r="I9495" i="1"/>
  <c r="J9495" i="1"/>
  <c r="K9495" i="1"/>
  <c r="L9495" i="1"/>
  <c r="A9496" i="1"/>
  <c r="B9496" i="1"/>
  <c r="C9496" i="1"/>
  <c r="D9496" i="1"/>
  <c r="E9496" i="1"/>
  <c r="F9496" i="1"/>
  <c r="G9496" i="1"/>
  <c r="H9496" i="1"/>
  <c r="I9496" i="1"/>
  <c r="J9496" i="1"/>
  <c r="K9496" i="1"/>
  <c r="L9496" i="1"/>
  <c r="A9497" i="1"/>
  <c r="B9497" i="1"/>
  <c r="C9497" i="1"/>
  <c r="D9497" i="1"/>
  <c r="E9497" i="1"/>
  <c r="F9497" i="1"/>
  <c r="G9497" i="1"/>
  <c r="H9497" i="1"/>
  <c r="I9497" i="1"/>
  <c r="J9497" i="1"/>
  <c r="K9497" i="1"/>
  <c r="L9497" i="1"/>
  <c r="A9498" i="1"/>
  <c r="B9498" i="1"/>
  <c r="C9498" i="1"/>
  <c r="D9498" i="1"/>
  <c r="E9498" i="1"/>
  <c r="F9498" i="1"/>
  <c r="G9498" i="1"/>
  <c r="H9498" i="1"/>
  <c r="I9498" i="1"/>
  <c r="J9498" i="1"/>
  <c r="K9498" i="1"/>
  <c r="L9498" i="1"/>
  <c r="A9499" i="1"/>
  <c r="B9499" i="1"/>
  <c r="C9499" i="1"/>
  <c r="D9499" i="1"/>
  <c r="E9499" i="1"/>
  <c r="F9499" i="1"/>
  <c r="G9499" i="1"/>
  <c r="H9499" i="1"/>
  <c r="I9499" i="1"/>
  <c r="J9499" i="1"/>
  <c r="K9499" i="1"/>
  <c r="L9499" i="1"/>
  <c r="A9500" i="1"/>
  <c r="B9500" i="1"/>
  <c r="C9500" i="1"/>
  <c r="D9500" i="1"/>
  <c r="E9500" i="1"/>
  <c r="F9500" i="1"/>
  <c r="G9500" i="1"/>
  <c r="H9500" i="1"/>
  <c r="I9500" i="1"/>
  <c r="J9500" i="1"/>
  <c r="K9500" i="1"/>
  <c r="L9500" i="1"/>
  <c r="A9501" i="1"/>
  <c r="B9501" i="1"/>
  <c r="C9501" i="1"/>
  <c r="D9501" i="1"/>
  <c r="E9501" i="1"/>
  <c r="F9501" i="1"/>
  <c r="G9501" i="1"/>
  <c r="H9501" i="1"/>
  <c r="I9501" i="1"/>
  <c r="J9501" i="1"/>
  <c r="K9501" i="1"/>
  <c r="L9501" i="1"/>
  <c r="A9502" i="1"/>
  <c r="B9502" i="1"/>
  <c r="C9502" i="1"/>
  <c r="D9502" i="1"/>
  <c r="E9502" i="1"/>
  <c r="F9502" i="1"/>
  <c r="G9502" i="1"/>
  <c r="H9502" i="1"/>
  <c r="I9502" i="1"/>
  <c r="J9502" i="1"/>
  <c r="K9502" i="1"/>
  <c r="L9502" i="1"/>
  <c r="A9503" i="1"/>
  <c r="B9503" i="1"/>
  <c r="C9503" i="1"/>
  <c r="D9503" i="1"/>
  <c r="E9503" i="1"/>
  <c r="F9503" i="1"/>
  <c r="G9503" i="1"/>
  <c r="H9503" i="1"/>
  <c r="I9503" i="1"/>
  <c r="J9503" i="1"/>
  <c r="K9503" i="1"/>
  <c r="L9503" i="1"/>
  <c r="A9504" i="1"/>
  <c r="B9504" i="1"/>
  <c r="C9504" i="1"/>
  <c r="D9504" i="1"/>
  <c r="E9504" i="1"/>
  <c r="F9504" i="1"/>
  <c r="G9504" i="1"/>
  <c r="H9504" i="1"/>
  <c r="I9504" i="1"/>
  <c r="J9504" i="1"/>
  <c r="K9504" i="1"/>
  <c r="L9504" i="1"/>
  <c r="A9505" i="1"/>
  <c r="B9505" i="1"/>
  <c r="C9505" i="1"/>
  <c r="D9505" i="1"/>
  <c r="E9505" i="1"/>
  <c r="F9505" i="1"/>
  <c r="G9505" i="1"/>
  <c r="H9505" i="1"/>
  <c r="I9505" i="1"/>
  <c r="J9505" i="1"/>
  <c r="K9505" i="1"/>
  <c r="L9505" i="1"/>
  <c r="A9506" i="1"/>
  <c r="B9506" i="1"/>
  <c r="C9506" i="1"/>
  <c r="D9506" i="1"/>
  <c r="E9506" i="1"/>
  <c r="F9506" i="1"/>
  <c r="G9506" i="1"/>
  <c r="H9506" i="1"/>
  <c r="I9506" i="1"/>
  <c r="J9506" i="1"/>
  <c r="K9506" i="1"/>
  <c r="L9506" i="1"/>
  <c r="A9507" i="1"/>
  <c r="B9507" i="1"/>
  <c r="C9507" i="1"/>
  <c r="D9507" i="1"/>
  <c r="E9507" i="1"/>
  <c r="F9507" i="1"/>
  <c r="G9507" i="1"/>
  <c r="H9507" i="1"/>
  <c r="I9507" i="1"/>
  <c r="J9507" i="1"/>
  <c r="K9507" i="1"/>
  <c r="L9507" i="1"/>
  <c r="A9508" i="1"/>
  <c r="B9508" i="1"/>
  <c r="C9508" i="1"/>
  <c r="D9508" i="1"/>
  <c r="E9508" i="1"/>
  <c r="F9508" i="1"/>
  <c r="G9508" i="1"/>
  <c r="H9508" i="1"/>
  <c r="I9508" i="1"/>
  <c r="J9508" i="1"/>
  <c r="K9508" i="1"/>
  <c r="L9508" i="1"/>
  <c r="A9509" i="1"/>
  <c r="B9509" i="1"/>
  <c r="C9509" i="1"/>
  <c r="D9509" i="1"/>
  <c r="E9509" i="1"/>
  <c r="F9509" i="1"/>
  <c r="G9509" i="1"/>
  <c r="H9509" i="1"/>
  <c r="I9509" i="1"/>
  <c r="J9509" i="1"/>
  <c r="K9509" i="1"/>
  <c r="L9509" i="1"/>
  <c r="A9510" i="1"/>
  <c r="B9510" i="1"/>
  <c r="C9510" i="1"/>
  <c r="D9510" i="1"/>
  <c r="E9510" i="1"/>
  <c r="F9510" i="1"/>
  <c r="G9510" i="1"/>
  <c r="H9510" i="1"/>
  <c r="I9510" i="1"/>
  <c r="J9510" i="1"/>
  <c r="K9510" i="1"/>
  <c r="L9510" i="1"/>
  <c r="A9511" i="1"/>
  <c r="B9511" i="1"/>
  <c r="C9511" i="1"/>
  <c r="D9511" i="1"/>
  <c r="E9511" i="1"/>
  <c r="F9511" i="1"/>
  <c r="G9511" i="1"/>
  <c r="H9511" i="1"/>
  <c r="I9511" i="1"/>
  <c r="J9511" i="1"/>
  <c r="K9511" i="1"/>
  <c r="L9511" i="1"/>
  <c r="A9512" i="1"/>
  <c r="B9512" i="1"/>
  <c r="C9512" i="1"/>
  <c r="D9512" i="1"/>
  <c r="E9512" i="1"/>
  <c r="F9512" i="1"/>
  <c r="G9512" i="1"/>
  <c r="H9512" i="1"/>
  <c r="I9512" i="1"/>
  <c r="J9512" i="1"/>
  <c r="K9512" i="1"/>
  <c r="L9512" i="1"/>
  <c r="A9513" i="1"/>
  <c r="B9513" i="1"/>
  <c r="C9513" i="1"/>
  <c r="D9513" i="1"/>
  <c r="E9513" i="1"/>
  <c r="F9513" i="1"/>
  <c r="G9513" i="1"/>
  <c r="H9513" i="1"/>
  <c r="I9513" i="1"/>
  <c r="J9513" i="1"/>
  <c r="K9513" i="1"/>
  <c r="L9513" i="1"/>
  <c r="A9514" i="1"/>
  <c r="B9514" i="1"/>
  <c r="C9514" i="1"/>
  <c r="D9514" i="1"/>
  <c r="E9514" i="1"/>
  <c r="F9514" i="1"/>
  <c r="G9514" i="1"/>
  <c r="H9514" i="1"/>
  <c r="I9514" i="1"/>
  <c r="J9514" i="1"/>
  <c r="K9514" i="1"/>
  <c r="L9514" i="1"/>
  <c r="A9515" i="1"/>
  <c r="B9515" i="1"/>
  <c r="C9515" i="1"/>
  <c r="D9515" i="1"/>
  <c r="E9515" i="1"/>
  <c r="F9515" i="1"/>
  <c r="G9515" i="1"/>
  <c r="H9515" i="1"/>
  <c r="I9515" i="1"/>
  <c r="J9515" i="1"/>
  <c r="K9515" i="1"/>
  <c r="L9515" i="1"/>
  <c r="A9516" i="1"/>
  <c r="B9516" i="1"/>
  <c r="C9516" i="1"/>
  <c r="D9516" i="1"/>
  <c r="E9516" i="1"/>
  <c r="F9516" i="1"/>
  <c r="G9516" i="1"/>
  <c r="H9516" i="1"/>
  <c r="I9516" i="1"/>
  <c r="J9516" i="1"/>
  <c r="K9516" i="1"/>
  <c r="L9516" i="1"/>
  <c r="A9517" i="1"/>
  <c r="B9517" i="1"/>
  <c r="C9517" i="1"/>
  <c r="D9517" i="1"/>
  <c r="E9517" i="1"/>
  <c r="F9517" i="1"/>
  <c r="G9517" i="1"/>
  <c r="H9517" i="1"/>
  <c r="I9517" i="1"/>
  <c r="J9517" i="1"/>
  <c r="K9517" i="1"/>
  <c r="L9517" i="1"/>
  <c r="A9518" i="1"/>
  <c r="B9518" i="1"/>
  <c r="C9518" i="1"/>
  <c r="D9518" i="1"/>
  <c r="E9518" i="1"/>
  <c r="F9518" i="1"/>
  <c r="G9518" i="1"/>
  <c r="H9518" i="1"/>
  <c r="I9518" i="1"/>
  <c r="J9518" i="1"/>
  <c r="K9518" i="1"/>
  <c r="L9518" i="1"/>
  <c r="A9519" i="1"/>
  <c r="B9519" i="1"/>
  <c r="C9519" i="1"/>
  <c r="D9519" i="1"/>
  <c r="E9519" i="1"/>
  <c r="F9519" i="1"/>
  <c r="G9519" i="1"/>
  <c r="H9519" i="1"/>
  <c r="I9519" i="1"/>
  <c r="J9519" i="1"/>
  <c r="K9519" i="1"/>
  <c r="L9519" i="1"/>
  <c r="A9520" i="1"/>
  <c r="B9520" i="1"/>
  <c r="C9520" i="1"/>
  <c r="D9520" i="1"/>
  <c r="E9520" i="1"/>
  <c r="F9520" i="1"/>
  <c r="G9520" i="1"/>
  <c r="H9520" i="1"/>
  <c r="I9520" i="1"/>
  <c r="J9520" i="1"/>
  <c r="K9520" i="1"/>
  <c r="L9520" i="1"/>
  <c r="A9521" i="1"/>
  <c r="B9521" i="1"/>
  <c r="C9521" i="1"/>
  <c r="D9521" i="1"/>
  <c r="E9521" i="1"/>
  <c r="F9521" i="1"/>
  <c r="G9521" i="1"/>
  <c r="H9521" i="1"/>
  <c r="I9521" i="1"/>
  <c r="J9521" i="1"/>
  <c r="K9521" i="1"/>
  <c r="L9521" i="1"/>
  <c r="A9522" i="1"/>
  <c r="B9522" i="1"/>
  <c r="C9522" i="1"/>
  <c r="D9522" i="1"/>
  <c r="E9522" i="1"/>
  <c r="F9522" i="1"/>
  <c r="G9522" i="1"/>
  <c r="H9522" i="1"/>
  <c r="I9522" i="1"/>
  <c r="J9522" i="1"/>
  <c r="K9522" i="1"/>
  <c r="L9522" i="1"/>
  <c r="A9523" i="1"/>
  <c r="B9523" i="1"/>
  <c r="C9523" i="1"/>
  <c r="D9523" i="1"/>
  <c r="E9523" i="1"/>
  <c r="F9523" i="1"/>
  <c r="G9523" i="1"/>
  <c r="H9523" i="1"/>
  <c r="I9523" i="1"/>
  <c r="J9523" i="1"/>
  <c r="K9523" i="1"/>
  <c r="L9523" i="1"/>
  <c r="A9524" i="1"/>
  <c r="B9524" i="1"/>
  <c r="C9524" i="1"/>
  <c r="D9524" i="1"/>
  <c r="E9524" i="1"/>
  <c r="F9524" i="1"/>
  <c r="G9524" i="1"/>
  <c r="H9524" i="1"/>
  <c r="I9524" i="1"/>
  <c r="J9524" i="1"/>
  <c r="K9524" i="1"/>
  <c r="L9524" i="1"/>
  <c r="A9525" i="1"/>
  <c r="B9525" i="1"/>
  <c r="C9525" i="1"/>
  <c r="D9525" i="1"/>
  <c r="E9525" i="1"/>
  <c r="F9525" i="1"/>
  <c r="G9525" i="1"/>
  <c r="H9525" i="1"/>
  <c r="I9525" i="1"/>
  <c r="J9525" i="1"/>
  <c r="K9525" i="1"/>
  <c r="L9525" i="1"/>
  <c r="A9526" i="1"/>
  <c r="B9526" i="1"/>
  <c r="C9526" i="1"/>
  <c r="D9526" i="1"/>
  <c r="E9526" i="1"/>
  <c r="F9526" i="1"/>
  <c r="G9526" i="1"/>
  <c r="H9526" i="1"/>
  <c r="I9526" i="1"/>
  <c r="J9526" i="1"/>
  <c r="K9526" i="1"/>
  <c r="L9526" i="1"/>
  <c r="A9527" i="1"/>
  <c r="B9527" i="1"/>
  <c r="C9527" i="1"/>
  <c r="D9527" i="1"/>
  <c r="E9527" i="1"/>
  <c r="F9527" i="1"/>
  <c r="G9527" i="1"/>
  <c r="H9527" i="1"/>
  <c r="I9527" i="1"/>
  <c r="J9527" i="1"/>
  <c r="K9527" i="1"/>
  <c r="L9527" i="1"/>
  <c r="A9528" i="1"/>
  <c r="B9528" i="1"/>
  <c r="C9528" i="1"/>
  <c r="D9528" i="1"/>
  <c r="E9528" i="1"/>
  <c r="F9528" i="1"/>
  <c r="G9528" i="1"/>
  <c r="H9528" i="1"/>
  <c r="I9528" i="1"/>
  <c r="J9528" i="1"/>
  <c r="K9528" i="1"/>
  <c r="L9528" i="1"/>
  <c r="A9529" i="1"/>
  <c r="B9529" i="1"/>
  <c r="C9529" i="1"/>
  <c r="D9529" i="1"/>
  <c r="E9529" i="1"/>
  <c r="F9529" i="1"/>
  <c r="G9529" i="1"/>
  <c r="H9529" i="1"/>
  <c r="I9529" i="1"/>
  <c r="J9529" i="1"/>
  <c r="K9529" i="1"/>
  <c r="L9529" i="1"/>
  <c r="A9530" i="1"/>
  <c r="B9530" i="1"/>
  <c r="C9530" i="1"/>
  <c r="D9530" i="1"/>
  <c r="E9530" i="1"/>
  <c r="F9530" i="1"/>
  <c r="G9530" i="1"/>
  <c r="H9530" i="1"/>
  <c r="I9530" i="1"/>
  <c r="J9530" i="1"/>
  <c r="K9530" i="1"/>
  <c r="L9530" i="1"/>
  <c r="A9531" i="1"/>
  <c r="B9531" i="1"/>
  <c r="C9531" i="1"/>
  <c r="D9531" i="1"/>
  <c r="E9531" i="1"/>
  <c r="F9531" i="1"/>
  <c r="G9531" i="1"/>
  <c r="H9531" i="1"/>
  <c r="I9531" i="1"/>
  <c r="J9531" i="1"/>
  <c r="K9531" i="1"/>
  <c r="L9531" i="1"/>
  <c r="A9532" i="1"/>
  <c r="B9532" i="1"/>
  <c r="C9532" i="1"/>
  <c r="D9532" i="1"/>
  <c r="E9532" i="1"/>
  <c r="F9532" i="1"/>
  <c r="G9532" i="1"/>
  <c r="H9532" i="1"/>
  <c r="I9532" i="1"/>
  <c r="J9532" i="1"/>
  <c r="K9532" i="1"/>
  <c r="L9532" i="1"/>
  <c r="A9533" i="1"/>
  <c r="B9533" i="1"/>
  <c r="C9533" i="1"/>
  <c r="D9533" i="1"/>
  <c r="E9533" i="1"/>
  <c r="F9533" i="1"/>
  <c r="G9533" i="1"/>
  <c r="H9533" i="1"/>
  <c r="I9533" i="1"/>
  <c r="J9533" i="1"/>
  <c r="K9533" i="1"/>
  <c r="L9533" i="1"/>
  <c r="A9534" i="1"/>
  <c r="B9534" i="1"/>
  <c r="C9534" i="1"/>
  <c r="D9534" i="1"/>
  <c r="E9534" i="1"/>
  <c r="F9534" i="1"/>
  <c r="G9534" i="1"/>
  <c r="H9534" i="1"/>
  <c r="I9534" i="1"/>
  <c r="J9534" i="1"/>
  <c r="K9534" i="1"/>
  <c r="L9534" i="1"/>
  <c r="A9535" i="1"/>
  <c r="B9535" i="1"/>
  <c r="C9535" i="1"/>
  <c r="D9535" i="1"/>
  <c r="E9535" i="1"/>
  <c r="F9535" i="1"/>
  <c r="G9535" i="1"/>
  <c r="H9535" i="1"/>
  <c r="I9535" i="1"/>
  <c r="J9535" i="1"/>
  <c r="K9535" i="1"/>
  <c r="L9535" i="1"/>
  <c r="A9536" i="1"/>
  <c r="B9536" i="1"/>
  <c r="C9536" i="1"/>
  <c r="D9536" i="1"/>
  <c r="E9536" i="1"/>
  <c r="F9536" i="1"/>
  <c r="G9536" i="1"/>
  <c r="H9536" i="1"/>
  <c r="I9536" i="1"/>
  <c r="J9536" i="1"/>
  <c r="K9536" i="1"/>
  <c r="L9536" i="1"/>
  <c r="A9537" i="1"/>
  <c r="B9537" i="1"/>
  <c r="C9537" i="1"/>
  <c r="D9537" i="1"/>
  <c r="E9537" i="1"/>
  <c r="F9537" i="1"/>
  <c r="G9537" i="1"/>
  <c r="H9537" i="1"/>
  <c r="I9537" i="1"/>
  <c r="J9537" i="1"/>
  <c r="K9537" i="1"/>
  <c r="L9537" i="1"/>
  <c r="A9538" i="1"/>
  <c r="B9538" i="1"/>
  <c r="C9538" i="1"/>
  <c r="D9538" i="1"/>
  <c r="E9538" i="1"/>
  <c r="F9538" i="1"/>
  <c r="G9538" i="1"/>
  <c r="H9538" i="1"/>
  <c r="I9538" i="1"/>
  <c r="J9538" i="1"/>
  <c r="K9538" i="1"/>
  <c r="L9538" i="1"/>
  <c r="A9539" i="1"/>
  <c r="B9539" i="1"/>
  <c r="C9539" i="1"/>
  <c r="D9539" i="1"/>
  <c r="E9539" i="1"/>
  <c r="F9539" i="1"/>
  <c r="G9539" i="1"/>
  <c r="H9539" i="1"/>
  <c r="I9539" i="1"/>
  <c r="J9539" i="1"/>
  <c r="K9539" i="1"/>
  <c r="L9539" i="1"/>
  <c r="A9540" i="1"/>
  <c r="B9540" i="1"/>
  <c r="C9540" i="1"/>
  <c r="D9540" i="1"/>
  <c r="E9540" i="1"/>
  <c r="F9540" i="1"/>
  <c r="G9540" i="1"/>
  <c r="H9540" i="1"/>
  <c r="I9540" i="1"/>
  <c r="J9540" i="1"/>
  <c r="K9540" i="1"/>
  <c r="L9540" i="1"/>
  <c r="A9541" i="1"/>
  <c r="B9541" i="1"/>
  <c r="C9541" i="1"/>
  <c r="D9541" i="1"/>
  <c r="E9541" i="1"/>
  <c r="F9541" i="1"/>
  <c r="G9541" i="1"/>
  <c r="H9541" i="1"/>
  <c r="I9541" i="1"/>
  <c r="J9541" i="1"/>
  <c r="K9541" i="1"/>
  <c r="L9541" i="1"/>
  <c r="A9542" i="1"/>
  <c r="B9542" i="1"/>
  <c r="C9542" i="1"/>
  <c r="D9542" i="1"/>
  <c r="E9542" i="1"/>
  <c r="F9542" i="1"/>
  <c r="G9542" i="1"/>
  <c r="H9542" i="1"/>
  <c r="I9542" i="1"/>
  <c r="J9542" i="1"/>
  <c r="K9542" i="1"/>
  <c r="L9542" i="1"/>
  <c r="A9543" i="1"/>
  <c r="B9543" i="1"/>
  <c r="C9543" i="1"/>
  <c r="D9543" i="1"/>
  <c r="E9543" i="1"/>
  <c r="F9543" i="1"/>
  <c r="G9543" i="1"/>
  <c r="H9543" i="1"/>
  <c r="I9543" i="1"/>
  <c r="J9543" i="1"/>
  <c r="K9543" i="1"/>
  <c r="L9543" i="1"/>
  <c r="A9544" i="1"/>
  <c r="B9544" i="1"/>
  <c r="C9544" i="1"/>
  <c r="D9544" i="1"/>
  <c r="E9544" i="1"/>
  <c r="F9544" i="1"/>
  <c r="G9544" i="1"/>
  <c r="H9544" i="1"/>
  <c r="I9544" i="1"/>
  <c r="J9544" i="1"/>
  <c r="K9544" i="1"/>
  <c r="L9544" i="1"/>
  <c r="A9545" i="1"/>
  <c r="B9545" i="1"/>
  <c r="C9545" i="1"/>
  <c r="D9545" i="1"/>
  <c r="E9545" i="1"/>
  <c r="F9545" i="1"/>
  <c r="G9545" i="1"/>
  <c r="H9545" i="1"/>
  <c r="I9545" i="1"/>
  <c r="J9545" i="1"/>
  <c r="K9545" i="1"/>
  <c r="L9545" i="1"/>
  <c r="A9546" i="1"/>
  <c r="B9546" i="1"/>
  <c r="C9546" i="1"/>
  <c r="D9546" i="1"/>
  <c r="E9546" i="1"/>
  <c r="F9546" i="1"/>
  <c r="G9546" i="1"/>
  <c r="H9546" i="1"/>
  <c r="I9546" i="1"/>
  <c r="J9546" i="1"/>
  <c r="K9546" i="1"/>
  <c r="L9546" i="1"/>
  <c r="A9547" i="1"/>
  <c r="B9547" i="1"/>
  <c r="C9547" i="1"/>
  <c r="D9547" i="1"/>
  <c r="E9547" i="1"/>
  <c r="F9547" i="1"/>
  <c r="G9547" i="1"/>
  <c r="H9547" i="1"/>
  <c r="I9547" i="1"/>
  <c r="J9547" i="1"/>
  <c r="K9547" i="1"/>
  <c r="L9547" i="1"/>
  <c r="A9548" i="1"/>
  <c r="B9548" i="1"/>
  <c r="C9548" i="1"/>
  <c r="D9548" i="1"/>
  <c r="E9548" i="1"/>
  <c r="F9548" i="1"/>
  <c r="G9548" i="1"/>
  <c r="H9548" i="1"/>
  <c r="I9548" i="1"/>
  <c r="J9548" i="1"/>
  <c r="K9548" i="1"/>
  <c r="L9548" i="1"/>
  <c r="A9549" i="1"/>
  <c r="B9549" i="1"/>
  <c r="C9549" i="1"/>
  <c r="D9549" i="1"/>
  <c r="E9549" i="1"/>
  <c r="F9549" i="1"/>
  <c r="G9549" i="1"/>
  <c r="H9549" i="1"/>
  <c r="I9549" i="1"/>
  <c r="J9549" i="1"/>
  <c r="K9549" i="1"/>
  <c r="L9549" i="1"/>
  <c r="A9550" i="1"/>
  <c r="B9550" i="1"/>
  <c r="C9550" i="1"/>
  <c r="D9550" i="1"/>
  <c r="E9550" i="1"/>
  <c r="F9550" i="1"/>
  <c r="G9550" i="1"/>
  <c r="H9550" i="1"/>
  <c r="I9550" i="1"/>
  <c r="J9550" i="1"/>
  <c r="K9550" i="1"/>
  <c r="L9550" i="1"/>
  <c r="A9551" i="1"/>
  <c r="B9551" i="1"/>
  <c r="C9551" i="1"/>
  <c r="D9551" i="1"/>
  <c r="E9551" i="1"/>
  <c r="F9551" i="1"/>
  <c r="G9551" i="1"/>
  <c r="H9551" i="1"/>
  <c r="I9551" i="1"/>
  <c r="J9551" i="1"/>
  <c r="K9551" i="1"/>
  <c r="L9551" i="1"/>
  <c r="A9552" i="1"/>
  <c r="B9552" i="1"/>
  <c r="C9552" i="1"/>
  <c r="D9552" i="1"/>
  <c r="E9552" i="1"/>
  <c r="F9552" i="1"/>
  <c r="G9552" i="1"/>
  <c r="H9552" i="1"/>
  <c r="I9552" i="1"/>
  <c r="J9552" i="1"/>
  <c r="K9552" i="1"/>
  <c r="L9552" i="1"/>
  <c r="A9553" i="1"/>
  <c r="B9553" i="1"/>
  <c r="C9553" i="1"/>
  <c r="D9553" i="1"/>
  <c r="E9553" i="1"/>
  <c r="F9553" i="1"/>
  <c r="G9553" i="1"/>
  <c r="H9553" i="1"/>
  <c r="I9553" i="1"/>
  <c r="J9553" i="1"/>
  <c r="K9553" i="1"/>
  <c r="L9553" i="1"/>
  <c r="A9554" i="1"/>
  <c r="B9554" i="1"/>
  <c r="C9554" i="1"/>
  <c r="D9554" i="1"/>
  <c r="E9554" i="1"/>
  <c r="F9554" i="1"/>
  <c r="G9554" i="1"/>
  <c r="H9554" i="1"/>
  <c r="I9554" i="1"/>
  <c r="J9554" i="1"/>
  <c r="K9554" i="1"/>
  <c r="L9554" i="1"/>
  <c r="A9555" i="1"/>
  <c r="B9555" i="1"/>
  <c r="C9555" i="1"/>
  <c r="D9555" i="1"/>
  <c r="E9555" i="1"/>
  <c r="F9555" i="1"/>
  <c r="G9555" i="1"/>
  <c r="H9555" i="1"/>
  <c r="I9555" i="1"/>
  <c r="J9555" i="1"/>
  <c r="K9555" i="1"/>
  <c r="L9555" i="1"/>
  <c r="A9556" i="1"/>
  <c r="B9556" i="1"/>
  <c r="C9556" i="1"/>
  <c r="D9556" i="1"/>
  <c r="E9556" i="1"/>
  <c r="F9556" i="1"/>
  <c r="G9556" i="1"/>
  <c r="H9556" i="1"/>
  <c r="I9556" i="1"/>
  <c r="J9556" i="1"/>
  <c r="K9556" i="1"/>
  <c r="L9556" i="1"/>
  <c r="A9557" i="1"/>
  <c r="B9557" i="1"/>
  <c r="C9557" i="1"/>
  <c r="D9557" i="1"/>
  <c r="E9557" i="1"/>
  <c r="F9557" i="1"/>
  <c r="G9557" i="1"/>
  <c r="H9557" i="1"/>
  <c r="I9557" i="1"/>
  <c r="J9557" i="1"/>
  <c r="K9557" i="1"/>
  <c r="L9557" i="1"/>
  <c r="A9558" i="1"/>
  <c r="B9558" i="1"/>
  <c r="C9558" i="1"/>
  <c r="D9558" i="1"/>
  <c r="E9558" i="1"/>
  <c r="F9558" i="1"/>
  <c r="G9558" i="1"/>
  <c r="H9558" i="1"/>
  <c r="I9558" i="1"/>
  <c r="J9558" i="1"/>
  <c r="K9558" i="1"/>
  <c r="L9558" i="1"/>
  <c r="A9559" i="1"/>
  <c r="B9559" i="1"/>
  <c r="C9559" i="1"/>
  <c r="D9559" i="1"/>
  <c r="E9559" i="1"/>
  <c r="F9559" i="1"/>
  <c r="G9559" i="1"/>
  <c r="H9559" i="1"/>
  <c r="I9559" i="1"/>
  <c r="J9559" i="1"/>
  <c r="K9559" i="1"/>
  <c r="L9559" i="1"/>
  <c r="A9560" i="1"/>
  <c r="B9560" i="1"/>
  <c r="C9560" i="1"/>
  <c r="D9560" i="1"/>
  <c r="E9560" i="1"/>
  <c r="F9560" i="1"/>
  <c r="G9560" i="1"/>
  <c r="H9560" i="1"/>
  <c r="I9560" i="1"/>
  <c r="J9560" i="1"/>
  <c r="K9560" i="1"/>
  <c r="L9560" i="1"/>
  <c r="A9561" i="1"/>
  <c r="B9561" i="1"/>
  <c r="C9561" i="1"/>
  <c r="D9561" i="1"/>
  <c r="E9561" i="1"/>
  <c r="F9561" i="1"/>
  <c r="G9561" i="1"/>
  <c r="H9561" i="1"/>
  <c r="I9561" i="1"/>
  <c r="J9561" i="1"/>
  <c r="K9561" i="1"/>
  <c r="L9561" i="1"/>
  <c r="A9562" i="1"/>
  <c r="B9562" i="1"/>
  <c r="C9562" i="1"/>
  <c r="D9562" i="1"/>
  <c r="E9562" i="1"/>
  <c r="F9562" i="1"/>
  <c r="G9562" i="1"/>
  <c r="H9562" i="1"/>
  <c r="I9562" i="1"/>
  <c r="J9562" i="1"/>
  <c r="K9562" i="1"/>
  <c r="L9562" i="1"/>
  <c r="A9563" i="1"/>
  <c r="B9563" i="1"/>
  <c r="C9563" i="1"/>
  <c r="D9563" i="1"/>
  <c r="E9563" i="1"/>
  <c r="F9563" i="1"/>
  <c r="G9563" i="1"/>
  <c r="H9563" i="1"/>
  <c r="I9563" i="1"/>
  <c r="J9563" i="1"/>
  <c r="K9563" i="1"/>
  <c r="L9563" i="1"/>
  <c r="A9564" i="1"/>
  <c r="B9564" i="1"/>
  <c r="C9564" i="1"/>
  <c r="D9564" i="1"/>
  <c r="E9564" i="1"/>
  <c r="F9564" i="1"/>
  <c r="G9564" i="1"/>
  <c r="H9564" i="1"/>
  <c r="I9564" i="1"/>
  <c r="J9564" i="1"/>
  <c r="K9564" i="1"/>
  <c r="L9564" i="1"/>
  <c r="A9565" i="1"/>
  <c r="B9565" i="1"/>
  <c r="C9565" i="1"/>
  <c r="D9565" i="1"/>
  <c r="E9565" i="1"/>
  <c r="F9565" i="1"/>
  <c r="G9565" i="1"/>
  <c r="H9565" i="1"/>
  <c r="I9565" i="1"/>
  <c r="J9565" i="1"/>
  <c r="K9565" i="1"/>
  <c r="L9565" i="1"/>
  <c r="A9566" i="1"/>
  <c r="B9566" i="1"/>
  <c r="C9566" i="1"/>
  <c r="D9566" i="1"/>
  <c r="E9566" i="1"/>
  <c r="F9566" i="1"/>
  <c r="G9566" i="1"/>
  <c r="H9566" i="1"/>
  <c r="I9566" i="1"/>
  <c r="J9566" i="1"/>
  <c r="K9566" i="1"/>
  <c r="L9566" i="1"/>
  <c r="A9567" i="1"/>
  <c r="B9567" i="1"/>
  <c r="C9567" i="1"/>
  <c r="D9567" i="1"/>
  <c r="E9567" i="1"/>
  <c r="F9567" i="1"/>
  <c r="G9567" i="1"/>
  <c r="H9567" i="1"/>
  <c r="I9567" i="1"/>
  <c r="J9567" i="1"/>
  <c r="K9567" i="1"/>
  <c r="L9567" i="1"/>
  <c r="A9568" i="1"/>
  <c r="B9568" i="1"/>
  <c r="C9568" i="1"/>
  <c r="D9568" i="1"/>
  <c r="E9568" i="1"/>
  <c r="F9568" i="1"/>
  <c r="G9568" i="1"/>
  <c r="H9568" i="1"/>
  <c r="I9568" i="1"/>
  <c r="J9568" i="1"/>
  <c r="K9568" i="1"/>
  <c r="L9568" i="1"/>
  <c r="A9569" i="1"/>
  <c r="B9569" i="1"/>
  <c r="C9569" i="1"/>
  <c r="D9569" i="1"/>
  <c r="E9569" i="1"/>
  <c r="F9569" i="1"/>
  <c r="G9569" i="1"/>
  <c r="H9569" i="1"/>
  <c r="I9569" i="1"/>
  <c r="J9569" i="1"/>
  <c r="K9569" i="1"/>
  <c r="L9569" i="1"/>
  <c r="A9570" i="1"/>
  <c r="B9570" i="1"/>
  <c r="C9570" i="1"/>
  <c r="D9570" i="1"/>
  <c r="E9570" i="1"/>
  <c r="F9570" i="1"/>
  <c r="G9570" i="1"/>
  <c r="H9570" i="1"/>
  <c r="I9570" i="1"/>
  <c r="J9570" i="1"/>
  <c r="K9570" i="1"/>
  <c r="L9570" i="1"/>
  <c r="A9571" i="1"/>
  <c r="B9571" i="1"/>
  <c r="C9571" i="1"/>
  <c r="D9571" i="1"/>
  <c r="E9571" i="1"/>
  <c r="F9571" i="1"/>
  <c r="G9571" i="1"/>
  <c r="H9571" i="1"/>
  <c r="I9571" i="1"/>
  <c r="J9571" i="1"/>
  <c r="K9571" i="1"/>
  <c r="L9571" i="1"/>
  <c r="A9572" i="1"/>
  <c r="B9572" i="1"/>
  <c r="C9572" i="1"/>
  <c r="D9572" i="1"/>
  <c r="E9572" i="1"/>
  <c r="F9572" i="1"/>
  <c r="G9572" i="1"/>
  <c r="H9572" i="1"/>
  <c r="I9572" i="1"/>
  <c r="J9572" i="1"/>
  <c r="K9572" i="1"/>
  <c r="L9572" i="1"/>
  <c r="A9573" i="1"/>
  <c r="B9573" i="1"/>
  <c r="C9573" i="1"/>
  <c r="D9573" i="1"/>
  <c r="E9573" i="1"/>
  <c r="F9573" i="1"/>
  <c r="G9573" i="1"/>
  <c r="H9573" i="1"/>
  <c r="I9573" i="1"/>
  <c r="J9573" i="1"/>
  <c r="K9573" i="1"/>
  <c r="L9573" i="1"/>
  <c r="A9574" i="1"/>
  <c r="B9574" i="1"/>
  <c r="C9574" i="1"/>
  <c r="D9574" i="1"/>
  <c r="E9574" i="1"/>
  <c r="F9574" i="1"/>
  <c r="G9574" i="1"/>
  <c r="H9574" i="1"/>
  <c r="I9574" i="1"/>
  <c r="J9574" i="1"/>
  <c r="K9574" i="1"/>
  <c r="L9574" i="1"/>
  <c r="A9575" i="1"/>
  <c r="B9575" i="1"/>
  <c r="C9575" i="1"/>
  <c r="D9575" i="1"/>
  <c r="E9575" i="1"/>
  <c r="F9575" i="1"/>
  <c r="G9575" i="1"/>
  <c r="H9575" i="1"/>
  <c r="I9575" i="1"/>
  <c r="J9575" i="1"/>
  <c r="K9575" i="1"/>
  <c r="L9575" i="1"/>
  <c r="A9576" i="1"/>
  <c r="B9576" i="1"/>
  <c r="C9576" i="1"/>
  <c r="D9576" i="1"/>
  <c r="E9576" i="1"/>
  <c r="F9576" i="1"/>
  <c r="G9576" i="1"/>
  <c r="H9576" i="1"/>
  <c r="I9576" i="1"/>
  <c r="J9576" i="1"/>
  <c r="K9576" i="1"/>
  <c r="L9576" i="1"/>
  <c r="A9577" i="1"/>
  <c r="B9577" i="1"/>
  <c r="C9577" i="1"/>
  <c r="D9577" i="1"/>
  <c r="E9577" i="1"/>
  <c r="F9577" i="1"/>
  <c r="G9577" i="1"/>
  <c r="H9577" i="1"/>
  <c r="I9577" i="1"/>
  <c r="J9577" i="1"/>
  <c r="K9577" i="1"/>
  <c r="L9577" i="1"/>
  <c r="A9578" i="1"/>
  <c r="B9578" i="1"/>
  <c r="C9578" i="1"/>
  <c r="D9578" i="1"/>
  <c r="E9578" i="1"/>
  <c r="F9578" i="1"/>
  <c r="G9578" i="1"/>
  <c r="H9578" i="1"/>
  <c r="I9578" i="1"/>
  <c r="J9578" i="1"/>
  <c r="K9578" i="1"/>
  <c r="L9578" i="1"/>
  <c r="A9579" i="1"/>
  <c r="B9579" i="1"/>
  <c r="C9579" i="1"/>
  <c r="D9579" i="1"/>
  <c r="E9579" i="1"/>
  <c r="F9579" i="1"/>
  <c r="G9579" i="1"/>
  <c r="H9579" i="1"/>
  <c r="I9579" i="1"/>
  <c r="J9579" i="1"/>
  <c r="K9579" i="1"/>
  <c r="L9579" i="1"/>
  <c r="A9580" i="1"/>
  <c r="B9580" i="1"/>
  <c r="C9580" i="1"/>
  <c r="D9580" i="1"/>
  <c r="E9580" i="1"/>
  <c r="F9580" i="1"/>
  <c r="G9580" i="1"/>
  <c r="H9580" i="1"/>
  <c r="I9580" i="1"/>
  <c r="J9580" i="1"/>
  <c r="K9580" i="1"/>
  <c r="L9580" i="1"/>
  <c r="A9581" i="1"/>
  <c r="B9581" i="1"/>
  <c r="C9581" i="1"/>
  <c r="D9581" i="1"/>
  <c r="E9581" i="1"/>
  <c r="F9581" i="1"/>
  <c r="G9581" i="1"/>
  <c r="H9581" i="1"/>
  <c r="I9581" i="1"/>
  <c r="J9581" i="1"/>
  <c r="K9581" i="1"/>
  <c r="L9581" i="1"/>
  <c r="A9582" i="1"/>
  <c r="B9582" i="1"/>
  <c r="C9582" i="1"/>
  <c r="D9582" i="1"/>
  <c r="E9582" i="1"/>
  <c r="F9582" i="1"/>
  <c r="G9582" i="1"/>
  <c r="H9582" i="1"/>
  <c r="I9582" i="1"/>
  <c r="J9582" i="1"/>
  <c r="K9582" i="1"/>
  <c r="L9582" i="1"/>
  <c r="A9583" i="1"/>
  <c r="B9583" i="1"/>
  <c r="C9583" i="1"/>
  <c r="D9583" i="1"/>
  <c r="E9583" i="1"/>
  <c r="F9583" i="1"/>
  <c r="G9583" i="1"/>
  <c r="H9583" i="1"/>
  <c r="I9583" i="1"/>
  <c r="J9583" i="1"/>
  <c r="K9583" i="1"/>
  <c r="L9583" i="1"/>
  <c r="A9584" i="1"/>
  <c r="B9584" i="1"/>
  <c r="C9584" i="1"/>
  <c r="D9584" i="1"/>
  <c r="E9584" i="1"/>
  <c r="F9584" i="1"/>
  <c r="G9584" i="1"/>
  <c r="H9584" i="1"/>
  <c r="I9584" i="1"/>
  <c r="J9584" i="1"/>
  <c r="K9584" i="1"/>
  <c r="L9584" i="1"/>
  <c r="A9585" i="1"/>
  <c r="B9585" i="1"/>
  <c r="C9585" i="1"/>
  <c r="D9585" i="1"/>
  <c r="E9585" i="1"/>
  <c r="F9585" i="1"/>
  <c r="G9585" i="1"/>
  <c r="H9585" i="1"/>
  <c r="I9585" i="1"/>
  <c r="J9585" i="1"/>
  <c r="K9585" i="1"/>
  <c r="L9585" i="1"/>
  <c r="A9586" i="1"/>
  <c r="B9586" i="1"/>
  <c r="C9586" i="1"/>
  <c r="D9586" i="1"/>
  <c r="E9586" i="1"/>
  <c r="F9586" i="1"/>
  <c r="G9586" i="1"/>
  <c r="H9586" i="1"/>
  <c r="I9586" i="1"/>
  <c r="J9586" i="1"/>
  <c r="K9586" i="1"/>
  <c r="L9586" i="1"/>
  <c r="A9587" i="1"/>
  <c r="B9587" i="1"/>
  <c r="C9587" i="1"/>
  <c r="D9587" i="1"/>
  <c r="E9587" i="1"/>
  <c r="F9587" i="1"/>
  <c r="G9587" i="1"/>
  <c r="H9587" i="1"/>
  <c r="I9587" i="1"/>
  <c r="J9587" i="1"/>
  <c r="K9587" i="1"/>
  <c r="L9587" i="1"/>
  <c r="A9588" i="1"/>
  <c r="B9588" i="1"/>
  <c r="C9588" i="1"/>
  <c r="D9588" i="1"/>
  <c r="E9588" i="1"/>
  <c r="F9588" i="1"/>
  <c r="G9588" i="1"/>
  <c r="H9588" i="1"/>
  <c r="I9588" i="1"/>
  <c r="J9588" i="1"/>
  <c r="K9588" i="1"/>
  <c r="L9588" i="1"/>
  <c r="A9589" i="1"/>
  <c r="B9589" i="1"/>
  <c r="C9589" i="1"/>
  <c r="D9589" i="1"/>
  <c r="E9589" i="1"/>
  <c r="F9589" i="1"/>
  <c r="G9589" i="1"/>
  <c r="H9589" i="1"/>
  <c r="I9589" i="1"/>
  <c r="J9589" i="1"/>
  <c r="K9589" i="1"/>
  <c r="L9589" i="1"/>
  <c r="A9590" i="1"/>
  <c r="B9590" i="1"/>
  <c r="C9590" i="1"/>
  <c r="D9590" i="1"/>
  <c r="E9590" i="1"/>
  <c r="F9590" i="1"/>
  <c r="G9590" i="1"/>
  <c r="H9590" i="1"/>
  <c r="I9590" i="1"/>
  <c r="J9590" i="1"/>
  <c r="K9590" i="1"/>
  <c r="L9590" i="1"/>
  <c r="A9591" i="1"/>
  <c r="B9591" i="1"/>
  <c r="C9591" i="1"/>
  <c r="D9591" i="1"/>
  <c r="E9591" i="1"/>
  <c r="F9591" i="1"/>
  <c r="G9591" i="1"/>
  <c r="H9591" i="1"/>
  <c r="I9591" i="1"/>
  <c r="J9591" i="1"/>
  <c r="K9591" i="1"/>
  <c r="L9591" i="1"/>
  <c r="A9592" i="1"/>
  <c r="B9592" i="1"/>
  <c r="C9592" i="1"/>
  <c r="D9592" i="1"/>
  <c r="E9592" i="1"/>
  <c r="F9592" i="1"/>
  <c r="G9592" i="1"/>
  <c r="H9592" i="1"/>
  <c r="I9592" i="1"/>
  <c r="J9592" i="1"/>
  <c r="K9592" i="1"/>
  <c r="L9592" i="1"/>
  <c r="A9593" i="1"/>
  <c r="B9593" i="1"/>
  <c r="C9593" i="1"/>
  <c r="D9593" i="1"/>
  <c r="E9593" i="1"/>
  <c r="F9593" i="1"/>
  <c r="G9593" i="1"/>
  <c r="H9593" i="1"/>
  <c r="I9593" i="1"/>
  <c r="J9593" i="1"/>
  <c r="K9593" i="1"/>
  <c r="L9593" i="1"/>
  <c r="A9594" i="1"/>
  <c r="B9594" i="1"/>
  <c r="C9594" i="1"/>
  <c r="D9594" i="1"/>
  <c r="E9594" i="1"/>
  <c r="F9594" i="1"/>
  <c r="G9594" i="1"/>
  <c r="H9594" i="1"/>
  <c r="I9594" i="1"/>
  <c r="J9594" i="1"/>
  <c r="K9594" i="1"/>
  <c r="L9594" i="1"/>
  <c r="A9595" i="1"/>
  <c r="B9595" i="1"/>
  <c r="C9595" i="1"/>
  <c r="D9595" i="1"/>
  <c r="E9595" i="1"/>
  <c r="F9595" i="1"/>
  <c r="G9595" i="1"/>
  <c r="H9595" i="1"/>
  <c r="I9595" i="1"/>
  <c r="J9595" i="1"/>
  <c r="K9595" i="1"/>
  <c r="L9595" i="1"/>
  <c r="A9596" i="1"/>
  <c r="B9596" i="1"/>
  <c r="C9596" i="1"/>
  <c r="D9596" i="1"/>
  <c r="E9596" i="1"/>
  <c r="F9596" i="1"/>
  <c r="G9596" i="1"/>
  <c r="H9596" i="1"/>
  <c r="I9596" i="1"/>
  <c r="J9596" i="1"/>
  <c r="K9596" i="1"/>
  <c r="L9596" i="1"/>
  <c r="A9597" i="1"/>
  <c r="B9597" i="1"/>
  <c r="C9597" i="1"/>
  <c r="D9597" i="1"/>
  <c r="E9597" i="1"/>
  <c r="F9597" i="1"/>
  <c r="G9597" i="1"/>
  <c r="H9597" i="1"/>
  <c r="I9597" i="1"/>
  <c r="J9597" i="1"/>
  <c r="K9597" i="1"/>
  <c r="L9597" i="1"/>
  <c r="A9598" i="1"/>
  <c r="B9598" i="1"/>
  <c r="C9598" i="1"/>
  <c r="D9598" i="1"/>
  <c r="E9598" i="1"/>
  <c r="F9598" i="1"/>
  <c r="G9598" i="1"/>
  <c r="H9598" i="1"/>
  <c r="I9598" i="1"/>
  <c r="J9598" i="1"/>
  <c r="K9598" i="1"/>
  <c r="L9598" i="1"/>
  <c r="A9599" i="1"/>
  <c r="B9599" i="1"/>
  <c r="C9599" i="1"/>
  <c r="D9599" i="1"/>
  <c r="E9599" i="1"/>
  <c r="F9599" i="1"/>
  <c r="G9599" i="1"/>
  <c r="H9599" i="1"/>
  <c r="I9599" i="1"/>
  <c r="J9599" i="1"/>
  <c r="K9599" i="1"/>
  <c r="L9599" i="1"/>
  <c r="A9600" i="1"/>
  <c r="B9600" i="1"/>
  <c r="C9600" i="1"/>
  <c r="D9600" i="1"/>
  <c r="E9600" i="1"/>
  <c r="F9600" i="1"/>
  <c r="G9600" i="1"/>
  <c r="H9600" i="1"/>
  <c r="I9600" i="1"/>
  <c r="J9600" i="1"/>
  <c r="K9600" i="1"/>
  <c r="L9600" i="1"/>
  <c r="A9601" i="1"/>
  <c r="B9601" i="1"/>
  <c r="C9601" i="1"/>
  <c r="D9601" i="1"/>
  <c r="E9601" i="1"/>
  <c r="F9601" i="1"/>
  <c r="G9601" i="1"/>
  <c r="H9601" i="1"/>
  <c r="I9601" i="1"/>
  <c r="J9601" i="1"/>
  <c r="K9601" i="1"/>
  <c r="L9601" i="1"/>
  <c r="A9602" i="1"/>
  <c r="B9602" i="1"/>
  <c r="C9602" i="1"/>
  <c r="D9602" i="1"/>
  <c r="E9602" i="1"/>
  <c r="F9602" i="1"/>
  <c r="G9602" i="1"/>
  <c r="H9602" i="1"/>
  <c r="I9602" i="1"/>
  <c r="J9602" i="1"/>
  <c r="K9602" i="1"/>
  <c r="L9602" i="1"/>
  <c r="A9603" i="1"/>
  <c r="B9603" i="1"/>
  <c r="C9603" i="1"/>
  <c r="D9603" i="1"/>
  <c r="E9603" i="1"/>
  <c r="F9603" i="1"/>
  <c r="G9603" i="1"/>
  <c r="H9603" i="1"/>
  <c r="I9603" i="1"/>
  <c r="J9603" i="1"/>
  <c r="K9603" i="1"/>
  <c r="L9603" i="1"/>
  <c r="A9604" i="1"/>
  <c r="B9604" i="1"/>
  <c r="C9604" i="1"/>
  <c r="D9604" i="1"/>
  <c r="E9604" i="1"/>
  <c r="F9604" i="1"/>
  <c r="G9604" i="1"/>
  <c r="H9604" i="1"/>
  <c r="I9604" i="1"/>
  <c r="J9604" i="1"/>
  <c r="K9604" i="1"/>
  <c r="L9604" i="1"/>
  <c r="A9605" i="1"/>
  <c r="B9605" i="1"/>
  <c r="C9605" i="1"/>
  <c r="D9605" i="1"/>
  <c r="E9605" i="1"/>
  <c r="F9605" i="1"/>
  <c r="G9605" i="1"/>
  <c r="H9605" i="1"/>
  <c r="I9605" i="1"/>
  <c r="J9605" i="1"/>
  <c r="K9605" i="1"/>
  <c r="L9605" i="1"/>
  <c r="A9606" i="1"/>
  <c r="B9606" i="1"/>
  <c r="C9606" i="1"/>
  <c r="D9606" i="1"/>
  <c r="E9606" i="1"/>
  <c r="F9606" i="1"/>
  <c r="G9606" i="1"/>
  <c r="H9606" i="1"/>
  <c r="I9606" i="1"/>
  <c r="J9606" i="1"/>
  <c r="K9606" i="1"/>
  <c r="L9606" i="1"/>
  <c r="A9607" i="1"/>
  <c r="B9607" i="1"/>
  <c r="C9607" i="1"/>
  <c r="D9607" i="1"/>
  <c r="E9607" i="1"/>
  <c r="F9607" i="1"/>
  <c r="G9607" i="1"/>
  <c r="H9607" i="1"/>
  <c r="I9607" i="1"/>
  <c r="J9607" i="1"/>
  <c r="K9607" i="1"/>
  <c r="L9607" i="1"/>
  <c r="A9608" i="1"/>
  <c r="B9608" i="1"/>
  <c r="C9608" i="1"/>
  <c r="D9608" i="1"/>
  <c r="E9608" i="1"/>
  <c r="F9608" i="1"/>
  <c r="G9608" i="1"/>
  <c r="H9608" i="1"/>
  <c r="I9608" i="1"/>
  <c r="J9608" i="1"/>
  <c r="K9608" i="1"/>
  <c r="L9608" i="1"/>
  <c r="A9609" i="1"/>
  <c r="B9609" i="1"/>
  <c r="C9609" i="1"/>
  <c r="D9609" i="1"/>
  <c r="E9609" i="1"/>
  <c r="F9609" i="1"/>
  <c r="G9609" i="1"/>
  <c r="H9609" i="1"/>
  <c r="I9609" i="1"/>
  <c r="J9609" i="1"/>
  <c r="K9609" i="1"/>
  <c r="L9609" i="1"/>
  <c r="A9610" i="1"/>
  <c r="B9610" i="1"/>
  <c r="C9610" i="1"/>
  <c r="D9610" i="1"/>
  <c r="E9610" i="1"/>
  <c r="F9610" i="1"/>
  <c r="G9610" i="1"/>
  <c r="H9610" i="1"/>
  <c r="I9610" i="1"/>
  <c r="J9610" i="1"/>
  <c r="K9610" i="1"/>
  <c r="L9610" i="1"/>
  <c r="A9611" i="1"/>
  <c r="B9611" i="1"/>
  <c r="C9611" i="1"/>
  <c r="D9611" i="1"/>
  <c r="E9611" i="1"/>
  <c r="F9611" i="1"/>
  <c r="G9611" i="1"/>
  <c r="H9611" i="1"/>
  <c r="I9611" i="1"/>
  <c r="J9611" i="1"/>
  <c r="K9611" i="1"/>
  <c r="L9611" i="1"/>
  <c r="A9612" i="1"/>
  <c r="B9612" i="1"/>
  <c r="C9612" i="1"/>
  <c r="D9612" i="1"/>
  <c r="E9612" i="1"/>
  <c r="F9612" i="1"/>
  <c r="G9612" i="1"/>
  <c r="H9612" i="1"/>
  <c r="I9612" i="1"/>
  <c r="J9612" i="1"/>
  <c r="K9612" i="1"/>
  <c r="L9612" i="1"/>
  <c r="A9613" i="1"/>
  <c r="B9613" i="1"/>
  <c r="C9613" i="1"/>
  <c r="D9613" i="1"/>
  <c r="E9613" i="1"/>
  <c r="F9613" i="1"/>
  <c r="G9613" i="1"/>
  <c r="H9613" i="1"/>
  <c r="I9613" i="1"/>
  <c r="J9613" i="1"/>
  <c r="K9613" i="1"/>
  <c r="L9613" i="1"/>
  <c r="A9614" i="1"/>
  <c r="B9614" i="1"/>
  <c r="C9614" i="1"/>
  <c r="D9614" i="1"/>
  <c r="E9614" i="1"/>
  <c r="F9614" i="1"/>
  <c r="G9614" i="1"/>
  <c r="H9614" i="1"/>
  <c r="I9614" i="1"/>
  <c r="J9614" i="1"/>
  <c r="K9614" i="1"/>
  <c r="L9614" i="1"/>
  <c r="A9615" i="1"/>
  <c r="B9615" i="1"/>
  <c r="C9615" i="1"/>
  <c r="D9615" i="1"/>
  <c r="E9615" i="1"/>
  <c r="F9615" i="1"/>
  <c r="G9615" i="1"/>
  <c r="H9615" i="1"/>
  <c r="I9615" i="1"/>
  <c r="J9615" i="1"/>
  <c r="K9615" i="1"/>
  <c r="L9615" i="1"/>
  <c r="A9616" i="1"/>
  <c r="B9616" i="1"/>
  <c r="C9616" i="1"/>
  <c r="D9616" i="1"/>
  <c r="E9616" i="1"/>
  <c r="F9616" i="1"/>
  <c r="G9616" i="1"/>
  <c r="H9616" i="1"/>
  <c r="I9616" i="1"/>
  <c r="J9616" i="1"/>
  <c r="K9616" i="1"/>
  <c r="L9616" i="1"/>
  <c r="A9617" i="1"/>
  <c r="B9617" i="1"/>
  <c r="C9617" i="1"/>
  <c r="D9617" i="1"/>
  <c r="E9617" i="1"/>
  <c r="F9617" i="1"/>
  <c r="G9617" i="1"/>
  <c r="H9617" i="1"/>
  <c r="I9617" i="1"/>
  <c r="J9617" i="1"/>
  <c r="K9617" i="1"/>
  <c r="L9617" i="1"/>
  <c r="A9618" i="1"/>
  <c r="B9618" i="1"/>
  <c r="C9618" i="1"/>
  <c r="D9618" i="1"/>
  <c r="E9618" i="1"/>
  <c r="F9618" i="1"/>
  <c r="G9618" i="1"/>
  <c r="H9618" i="1"/>
  <c r="I9618" i="1"/>
  <c r="J9618" i="1"/>
  <c r="K9618" i="1"/>
  <c r="L9618" i="1"/>
  <c r="A9619" i="1"/>
  <c r="B9619" i="1"/>
  <c r="C9619" i="1"/>
  <c r="D9619" i="1"/>
  <c r="E9619" i="1"/>
  <c r="F9619" i="1"/>
  <c r="G9619" i="1"/>
  <c r="H9619" i="1"/>
  <c r="I9619" i="1"/>
  <c r="J9619" i="1"/>
  <c r="K9619" i="1"/>
  <c r="L9619" i="1"/>
  <c r="A9620" i="1"/>
  <c r="B9620" i="1"/>
  <c r="C9620" i="1"/>
  <c r="D9620" i="1"/>
  <c r="E9620" i="1"/>
  <c r="F9620" i="1"/>
  <c r="G9620" i="1"/>
  <c r="H9620" i="1"/>
  <c r="I9620" i="1"/>
  <c r="J9620" i="1"/>
  <c r="K9620" i="1"/>
  <c r="L9620" i="1"/>
  <c r="A9621" i="1"/>
  <c r="B9621" i="1"/>
  <c r="C9621" i="1"/>
  <c r="D9621" i="1"/>
  <c r="E9621" i="1"/>
  <c r="F9621" i="1"/>
  <c r="G9621" i="1"/>
  <c r="H9621" i="1"/>
  <c r="I9621" i="1"/>
  <c r="J9621" i="1"/>
  <c r="K9621" i="1"/>
  <c r="L9621" i="1"/>
  <c r="A9622" i="1"/>
  <c r="B9622" i="1"/>
  <c r="C9622" i="1"/>
  <c r="D9622" i="1"/>
  <c r="E9622" i="1"/>
  <c r="F9622" i="1"/>
  <c r="G9622" i="1"/>
  <c r="H9622" i="1"/>
  <c r="I9622" i="1"/>
  <c r="J9622" i="1"/>
  <c r="K9622" i="1"/>
  <c r="L9622" i="1"/>
  <c r="A9623" i="1"/>
  <c r="B9623" i="1"/>
  <c r="C9623" i="1"/>
  <c r="D9623" i="1"/>
  <c r="E9623" i="1"/>
  <c r="F9623" i="1"/>
  <c r="G9623" i="1"/>
  <c r="H9623" i="1"/>
  <c r="I9623" i="1"/>
  <c r="J9623" i="1"/>
  <c r="K9623" i="1"/>
  <c r="L9623" i="1"/>
  <c r="A9624" i="1"/>
  <c r="B9624" i="1"/>
  <c r="C9624" i="1"/>
  <c r="D9624" i="1"/>
  <c r="E9624" i="1"/>
  <c r="F9624" i="1"/>
  <c r="G9624" i="1"/>
  <c r="H9624" i="1"/>
  <c r="I9624" i="1"/>
  <c r="J9624" i="1"/>
  <c r="K9624" i="1"/>
  <c r="L9624" i="1"/>
  <c r="A9625" i="1"/>
  <c r="B9625" i="1"/>
  <c r="C9625" i="1"/>
  <c r="D9625" i="1"/>
  <c r="E9625" i="1"/>
  <c r="F9625" i="1"/>
  <c r="G9625" i="1"/>
  <c r="H9625" i="1"/>
  <c r="I9625" i="1"/>
  <c r="J9625" i="1"/>
  <c r="K9625" i="1"/>
  <c r="L9625" i="1"/>
  <c r="A9626" i="1"/>
  <c r="B9626" i="1"/>
  <c r="C9626" i="1"/>
  <c r="D9626" i="1"/>
  <c r="E9626" i="1"/>
  <c r="F9626" i="1"/>
  <c r="G9626" i="1"/>
  <c r="H9626" i="1"/>
  <c r="I9626" i="1"/>
  <c r="J9626" i="1"/>
  <c r="K9626" i="1"/>
  <c r="L9626" i="1"/>
  <c r="A9627" i="1"/>
  <c r="B9627" i="1"/>
  <c r="C9627" i="1"/>
  <c r="D9627" i="1"/>
  <c r="E9627" i="1"/>
  <c r="F9627" i="1"/>
  <c r="G9627" i="1"/>
  <c r="H9627" i="1"/>
  <c r="I9627" i="1"/>
  <c r="J9627" i="1"/>
  <c r="K9627" i="1"/>
  <c r="L9627" i="1"/>
  <c r="A9628" i="1"/>
  <c r="B9628" i="1"/>
  <c r="C9628" i="1"/>
  <c r="D9628" i="1"/>
  <c r="E9628" i="1"/>
  <c r="F9628" i="1"/>
  <c r="G9628" i="1"/>
  <c r="H9628" i="1"/>
  <c r="I9628" i="1"/>
  <c r="J9628" i="1"/>
  <c r="K9628" i="1"/>
  <c r="L9628" i="1"/>
  <c r="A9629" i="1"/>
  <c r="B9629" i="1"/>
  <c r="C9629" i="1"/>
  <c r="D9629" i="1"/>
  <c r="E9629" i="1"/>
  <c r="F9629" i="1"/>
  <c r="G9629" i="1"/>
  <c r="H9629" i="1"/>
  <c r="I9629" i="1"/>
  <c r="J9629" i="1"/>
  <c r="K9629" i="1"/>
  <c r="L9629" i="1"/>
  <c r="A9630" i="1"/>
  <c r="B9630" i="1"/>
  <c r="C9630" i="1"/>
  <c r="D9630" i="1"/>
  <c r="E9630" i="1"/>
  <c r="F9630" i="1"/>
  <c r="G9630" i="1"/>
  <c r="H9630" i="1"/>
  <c r="I9630" i="1"/>
  <c r="J9630" i="1"/>
  <c r="K9630" i="1"/>
  <c r="L9630" i="1"/>
  <c r="A9631" i="1"/>
  <c r="B9631" i="1"/>
  <c r="C9631" i="1"/>
  <c r="D9631" i="1"/>
  <c r="E9631" i="1"/>
  <c r="F9631" i="1"/>
  <c r="G9631" i="1"/>
  <c r="H9631" i="1"/>
  <c r="I9631" i="1"/>
  <c r="J9631" i="1"/>
  <c r="K9631" i="1"/>
  <c r="L9631" i="1"/>
  <c r="A9632" i="1"/>
  <c r="B9632" i="1"/>
  <c r="C9632" i="1"/>
  <c r="D9632" i="1"/>
  <c r="E9632" i="1"/>
  <c r="F9632" i="1"/>
  <c r="G9632" i="1"/>
  <c r="H9632" i="1"/>
  <c r="I9632" i="1"/>
  <c r="J9632" i="1"/>
  <c r="K9632" i="1"/>
  <c r="L9632" i="1"/>
  <c r="A9633" i="1"/>
  <c r="B9633" i="1"/>
  <c r="C9633" i="1"/>
  <c r="D9633" i="1"/>
  <c r="E9633" i="1"/>
  <c r="F9633" i="1"/>
  <c r="G9633" i="1"/>
  <c r="H9633" i="1"/>
  <c r="I9633" i="1"/>
  <c r="J9633" i="1"/>
  <c r="K9633" i="1"/>
  <c r="L9633" i="1"/>
  <c r="A9634" i="1"/>
  <c r="B9634" i="1"/>
  <c r="C9634" i="1"/>
  <c r="D9634" i="1"/>
  <c r="E9634" i="1"/>
  <c r="F9634" i="1"/>
  <c r="G9634" i="1"/>
  <c r="H9634" i="1"/>
  <c r="I9634" i="1"/>
  <c r="J9634" i="1"/>
  <c r="K9634" i="1"/>
  <c r="L9634" i="1"/>
  <c r="A9635" i="1"/>
  <c r="B9635" i="1"/>
  <c r="C9635" i="1"/>
  <c r="D9635" i="1"/>
  <c r="E9635" i="1"/>
  <c r="F9635" i="1"/>
  <c r="G9635" i="1"/>
  <c r="H9635" i="1"/>
  <c r="I9635" i="1"/>
  <c r="J9635" i="1"/>
  <c r="K9635" i="1"/>
  <c r="L9635" i="1"/>
  <c r="A9636" i="1"/>
  <c r="B9636" i="1"/>
  <c r="C9636" i="1"/>
  <c r="D9636" i="1"/>
  <c r="E9636" i="1"/>
  <c r="F9636" i="1"/>
  <c r="G9636" i="1"/>
  <c r="H9636" i="1"/>
  <c r="I9636" i="1"/>
  <c r="J9636" i="1"/>
  <c r="K9636" i="1"/>
  <c r="L9636" i="1"/>
  <c r="A9637" i="1"/>
  <c r="B9637" i="1"/>
  <c r="C9637" i="1"/>
  <c r="D9637" i="1"/>
  <c r="E9637" i="1"/>
  <c r="F9637" i="1"/>
  <c r="G9637" i="1"/>
  <c r="H9637" i="1"/>
  <c r="I9637" i="1"/>
  <c r="J9637" i="1"/>
  <c r="K9637" i="1"/>
  <c r="L9637" i="1"/>
  <c r="A9638" i="1"/>
  <c r="B9638" i="1"/>
  <c r="C9638" i="1"/>
  <c r="D9638" i="1"/>
  <c r="E9638" i="1"/>
  <c r="F9638" i="1"/>
  <c r="G9638" i="1"/>
  <c r="H9638" i="1"/>
  <c r="I9638" i="1"/>
  <c r="J9638" i="1"/>
  <c r="K9638" i="1"/>
  <c r="L9638" i="1"/>
  <c r="A9639" i="1"/>
  <c r="B9639" i="1"/>
  <c r="C9639" i="1"/>
  <c r="D9639" i="1"/>
  <c r="E9639" i="1"/>
  <c r="F9639" i="1"/>
  <c r="G9639" i="1"/>
  <c r="H9639" i="1"/>
  <c r="I9639" i="1"/>
  <c r="J9639" i="1"/>
  <c r="K9639" i="1"/>
  <c r="L9639" i="1"/>
  <c r="A9640" i="1"/>
  <c r="B9640" i="1"/>
  <c r="C9640" i="1"/>
  <c r="D9640" i="1"/>
  <c r="E9640" i="1"/>
  <c r="F9640" i="1"/>
  <c r="G9640" i="1"/>
  <c r="H9640" i="1"/>
  <c r="I9640" i="1"/>
  <c r="J9640" i="1"/>
  <c r="K9640" i="1"/>
  <c r="L9640" i="1"/>
  <c r="A9641" i="1"/>
  <c r="B9641" i="1"/>
  <c r="C9641" i="1"/>
  <c r="D9641" i="1"/>
  <c r="E9641" i="1"/>
  <c r="F9641" i="1"/>
  <c r="G9641" i="1"/>
  <c r="H9641" i="1"/>
  <c r="I9641" i="1"/>
  <c r="J9641" i="1"/>
  <c r="K9641" i="1"/>
  <c r="L9641" i="1"/>
  <c r="A9642" i="1"/>
  <c r="B9642" i="1"/>
  <c r="C9642" i="1"/>
  <c r="D9642" i="1"/>
  <c r="E9642" i="1"/>
  <c r="F9642" i="1"/>
  <c r="G9642" i="1"/>
  <c r="H9642" i="1"/>
  <c r="I9642" i="1"/>
  <c r="J9642" i="1"/>
  <c r="K9642" i="1"/>
  <c r="L9642" i="1"/>
  <c r="A9643" i="1"/>
  <c r="B9643" i="1"/>
  <c r="C9643" i="1"/>
  <c r="D9643" i="1"/>
  <c r="E9643" i="1"/>
  <c r="F9643" i="1"/>
  <c r="G9643" i="1"/>
  <c r="H9643" i="1"/>
  <c r="I9643" i="1"/>
  <c r="J9643" i="1"/>
  <c r="K9643" i="1"/>
  <c r="L9643" i="1"/>
  <c r="A9644" i="1"/>
  <c r="B9644" i="1"/>
  <c r="C9644" i="1"/>
  <c r="D9644" i="1"/>
  <c r="E9644" i="1"/>
  <c r="F9644" i="1"/>
  <c r="G9644" i="1"/>
  <c r="H9644" i="1"/>
  <c r="I9644" i="1"/>
  <c r="J9644" i="1"/>
  <c r="K9644" i="1"/>
  <c r="L9644" i="1"/>
  <c r="A9645" i="1"/>
  <c r="B9645" i="1"/>
  <c r="C9645" i="1"/>
  <c r="D9645" i="1"/>
  <c r="E9645" i="1"/>
  <c r="F9645" i="1"/>
  <c r="G9645" i="1"/>
  <c r="H9645" i="1"/>
  <c r="I9645" i="1"/>
  <c r="J9645" i="1"/>
  <c r="K9645" i="1"/>
  <c r="L9645" i="1"/>
  <c r="A9646" i="1"/>
  <c r="B9646" i="1"/>
  <c r="C9646" i="1"/>
  <c r="D9646" i="1"/>
  <c r="E9646" i="1"/>
  <c r="F9646" i="1"/>
  <c r="G9646" i="1"/>
  <c r="H9646" i="1"/>
  <c r="I9646" i="1"/>
  <c r="J9646" i="1"/>
  <c r="K9646" i="1"/>
  <c r="L9646" i="1"/>
  <c r="A9647" i="1"/>
  <c r="B9647" i="1"/>
  <c r="C9647" i="1"/>
  <c r="D9647" i="1"/>
  <c r="E9647" i="1"/>
  <c r="F9647" i="1"/>
  <c r="G9647" i="1"/>
  <c r="H9647" i="1"/>
  <c r="I9647" i="1"/>
  <c r="J9647" i="1"/>
  <c r="K9647" i="1"/>
  <c r="L9647" i="1"/>
  <c r="A9648" i="1"/>
  <c r="B9648" i="1"/>
  <c r="C9648" i="1"/>
  <c r="D9648" i="1"/>
  <c r="E9648" i="1"/>
  <c r="F9648" i="1"/>
  <c r="G9648" i="1"/>
  <c r="H9648" i="1"/>
  <c r="I9648" i="1"/>
  <c r="J9648" i="1"/>
  <c r="K9648" i="1"/>
  <c r="L9648" i="1"/>
  <c r="A9649" i="1"/>
  <c r="B9649" i="1"/>
  <c r="C9649" i="1"/>
  <c r="D9649" i="1"/>
  <c r="E9649" i="1"/>
  <c r="F9649" i="1"/>
  <c r="G9649" i="1"/>
  <c r="H9649" i="1"/>
  <c r="I9649" i="1"/>
  <c r="J9649" i="1"/>
  <c r="K9649" i="1"/>
  <c r="L9649" i="1"/>
  <c r="A9650" i="1"/>
  <c r="B9650" i="1"/>
  <c r="C9650" i="1"/>
  <c r="D9650" i="1"/>
  <c r="E9650" i="1"/>
  <c r="F9650" i="1"/>
  <c r="G9650" i="1"/>
  <c r="H9650" i="1"/>
  <c r="I9650" i="1"/>
  <c r="J9650" i="1"/>
  <c r="K9650" i="1"/>
  <c r="L9650" i="1"/>
  <c r="A9651" i="1"/>
  <c r="B9651" i="1"/>
  <c r="C9651" i="1"/>
  <c r="D9651" i="1"/>
  <c r="E9651" i="1"/>
  <c r="F9651" i="1"/>
  <c r="G9651" i="1"/>
  <c r="H9651" i="1"/>
  <c r="I9651" i="1"/>
  <c r="J9651" i="1"/>
  <c r="K9651" i="1"/>
  <c r="L9651" i="1"/>
  <c r="A9652" i="1"/>
  <c r="B9652" i="1"/>
  <c r="C9652" i="1"/>
  <c r="D9652" i="1"/>
  <c r="E9652" i="1"/>
  <c r="F9652" i="1"/>
  <c r="G9652" i="1"/>
  <c r="H9652" i="1"/>
  <c r="I9652" i="1"/>
  <c r="J9652" i="1"/>
  <c r="K9652" i="1"/>
  <c r="L9652" i="1"/>
  <c r="A9653" i="1"/>
  <c r="B9653" i="1"/>
  <c r="C9653" i="1"/>
  <c r="D9653" i="1"/>
  <c r="E9653" i="1"/>
  <c r="F9653" i="1"/>
  <c r="G9653" i="1"/>
  <c r="H9653" i="1"/>
  <c r="I9653" i="1"/>
  <c r="J9653" i="1"/>
  <c r="K9653" i="1"/>
  <c r="L9653" i="1"/>
  <c r="A9654" i="1"/>
  <c r="B9654" i="1"/>
  <c r="C9654" i="1"/>
  <c r="D9654" i="1"/>
  <c r="E9654" i="1"/>
  <c r="F9654" i="1"/>
  <c r="G9654" i="1"/>
  <c r="H9654" i="1"/>
  <c r="I9654" i="1"/>
  <c r="J9654" i="1"/>
  <c r="K9654" i="1"/>
  <c r="L9654" i="1"/>
  <c r="A9655" i="1"/>
  <c r="B9655" i="1"/>
  <c r="C9655" i="1"/>
  <c r="D9655" i="1"/>
  <c r="E9655" i="1"/>
  <c r="F9655" i="1"/>
  <c r="G9655" i="1"/>
  <c r="H9655" i="1"/>
  <c r="I9655" i="1"/>
  <c r="J9655" i="1"/>
  <c r="K9655" i="1"/>
  <c r="L9655" i="1"/>
  <c r="A9656" i="1"/>
  <c r="B9656" i="1"/>
  <c r="C9656" i="1"/>
  <c r="D9656" i="1"/>
  <c r="E9656" i="1"/>
  <c r="F9656" i="1"/>
  <c r="G9656" i="1"/>
  <c r="H9656" i="1"/>
  <c r="I9656" i="1"/>
  <c r="J9656" i="1"/>
  <c r="K9656" i="1"/>
  <c r="L9656" i="1"/>
  <c r="A9657" i="1"/>
  <c r="B9657" i="1"/>
  <c r="C9657" i="1"/>
  <c r="D9657" i="1"/>
  <c r="E9657" i="1"/>
  <c r="F9657" i="1"/>
  <c r="G9657" i="1"/>
  <c r="H9657" i="1"/>
  <c r="I9657" i="1"/>
  <c r="J9657" i="1"/>
  <c r="K9657" i="1"/>
  <c r="L9657" i="1"/>
  <c r="A9658" i="1"/>
  <c r="B9658" i="1"/>
  <c r="C9658" i="1"/>
  <c r="D9658" i="1"/>
  <c r="E9658" i="1"/>
  <c r="F9658" i="1"/>
  <c r="G9658" i="1"/>
  <c r="H9658" i="1"/>
  <c r="I9658" i="1"/>
  <c r="J9658" i="1"/>
  <c r="K9658" i="1"/>
  <c r="L9658" i="1"/>
  <c r="A9659" i="1"/>
  <c r="B9659" i="1"/>
  <c r="C9659" i="1"/>
  <c r="D9659" i="1"/>
  <c r="E9659" i="1"/>
  <c r="F9659" i="1"/>
  <c r="G9659" i="1"/>
  <c r="H9659" i="1"/>
  <c r="I9659" i="1"/>
  <c r="J9659" i="1"/>
  <c r="K9659" i="1"/>
  <c r="L9659" i="1"/>
  <c r="A9660" i="1"/>
  <c r="B9660" i="1"/>
  <c r="C9660" i="1"/>
  <c r="D9660" i="1"/>
  <c r="E9660" i="1"/>
  <c r="F9660" i="1"/>
  <c r="G9660" i="1"/>
  <c r="H9660" i="1"/>
  <c r="I9660" i="1"/>
  <c r="J9660" i="1"/>
  <c r="K9660" i="1"/>
  <c r="L9660" i="1"/>
  <c r="A9661" i="1"/>
  <c r="B9661" i="1"/>
  <c r="C9661" i="1"/>
  <c r="D9661" i="1"/>
  <c r="E9661" i="1"/>
  <c r="F9661" i="1"/>
  <c r="G9661" i="1"/>
  <c r="H9661" i="1"/>
  <c r="I9661" i="1"/>
  <c r="J9661" i="1"/>
  <c r="K9661" i="1"/>
  <c r="L9661" i="1"/>
  <c r="A9662" i="1"/>
  <c r="B9662" i="1"/>
  <c r="C9662" i="1"/>
  <c r="D9662" i="1"/>
  <c r="E9662" i="1"/>
  <c r="F9662" i="1"/>
  <c r="G9662" i="1"/>
  <c r="H9662" i="1"/>
  <c r="I9662" i="1"/>
  <c r="J9662" i="1"/>
  <c r="K9662" i="1"/>
  <c r="L9662" i="1"/>
  <c r="A9663" i="1"/>
  <c r="B9663" i="1"/>
  <c r="C9663" i="1"/>
  <c r="D9663" i="1"/>
  <c r="E9663" i="1"/>
  <c r="F9663" i="1"/>
  <c r="G9663" i="1"/>
  <c r="H9663" i="1"/>
  <c r="I9663" i="1"/>
  <c r="J9663" i="1"/>
  <c r="K9663" i="1"/>
  <c r="L9663" i="1"/>
  <c r="A9664" i="1"/>
  <c r="B9664" i="1"/>
  <c r="C9664" i="1"/>
  <c r="D9664" i="1"/>
  <c r="E9664" i="1"/>
  <c r="F9664" i="1"/>
  <c r="G9664" i="1"/>
  <c r="H9664" i="1"/>
  <c r="I9664" i="1"/>
  <c r="J9664" i="1"/>
  <c r="K9664" i="1"/>
  <c r="L9664" i="1"/>
  <c r="A9665" i="1"/>
  <c r="B9665" i="1"/>
  <c r="C9665" i="1"/>
  <c r="D9665" i="1"/>
  <c r="E9665" i="1"/>
  <c r="F9665" i="1"/>
  <c r="G9665" i="1"/>
  <c r="H9665" i="1"/>
  <c r="I9665" i="1"/>
  <c r="J9665" i="1"/>
  <c r="K9665" i="1"/>
  <c r="L9665" i="1"/>
  <c r="A9666" i="1"/>
  <c r="B9666" i="1"/>
  <c r="C9666" i="1"/>
  <c r="D9666" i="1"/>
  <c r="E9666" i="1"/>
  <c r="F9666" i="1"/>
  <c r="G9666" i="1"/>
  <c r="H9666" i="1"/>
  <c r="I9666" i="1"/>
  <c r="J9666" i="1"/>
  <c r="K9666" i="1"/>
  <c r="L9666" i="1"/>
  <c r="A9667" i="1"/>
  <c r="B9667" i="1"/>
  <c r="C9667" i="1"/>
  <c r="D9667" i="1"/>
  <c r="E9667" i="1"/>
  <c r="F9667" i="1"/>
  <c r="G9667" i="1"/>
  <c r="H9667" i="1"/>
  <c r="I9667" i="1"/>
  <c r="J9667" i="1"/>
  <c r="K9667" i="1"/>
  <c r="L9667" i="1"/>
  <c r="A9668" i="1"/>
  <c r="B9668" i="1"/>
  <c r="C9668" i="1"/>
  <c r="D9668" i="1"/>
  <c r="E9668" i="1"/>
  <c r="F9668" i="1"/>
  <c r="G9668" i="1"/>
  <c r="H9668" i="1"/>
  <c r="I9668" i="1"/>
  <c r="J9668" i="1"/>
  <c r="K9668" i="1"/>
  <c r="L9668" i="1"/>
  <c r="A9669" i="1"/>
  <c r="B9669" i="1"/>
  <c r="C9669" i="1"/>
  <c r="D9669" i="1"/>
  <c r="E9669" i="1"/>
  <c r="F9669" i="1"/>
  <c r="G9669" i="1"/>
  <c r="H9669" i="1"/>
  <c r="I9669" i="1"/>
  <c r="J9669" i="1"/>
  <c r="K9669" i="1"/>
  <c r="L9669" i="1"/>
  <c r="A9670" i="1"/>
  <c r="B9670" i="1"/>
  <c r="C9670" i="1"/>
  <c r="D9670" i="1"/>
  <c r="E9670" i="1"/>
  <c r="F9670" i="1"/>
  <c r="G9670" i="1"/>
  <c r="H9670" i="1"/>
  <c r="I9670" i="1"/>
  <c r="J9670" i="1"/>
  <c r="K9670" i="1"/>
  <c r="L9670" i="1"/>
  <c r="A9671" i="1"/>
  <c r="B9671" i="1"/>
  <c r="C9671" i="1"/>
  <c r="D9671" i="1"/>
  <c r="E9671" i="1"/>
  <c r="F9671" i="1"/>
  <c r="G9671" i="1"/>
  <c r="H9671" i="1"/>
  <c r="I9671" i="1"/>
  <c r="J9671" i="1"/>
  <c r="K9671" i="1"/>
  <c r="L9671" i="1"/>
  <c r="A9672" i="1"/>
  <c r="B9672" i="1"/>
  <c r="C9672" i="1"/>
  <c r="D9672" i="1"/>
  <c r="E9672" i="1"/>
  <c r="F9672" i="1"/>
  <c r="G9672" i="1"/>
  <c r="H9672" i="1"/>
  <c r="I9672" i="1"/>
  <c r="J9672" i="1"/>
  <c r="K9672" i="1"/>
  <c r="L9672" i="1"/>
  <c r="A9673" i="1"/>
  <c r="B9673" i="1"/>
  <c r="C9673" i="1"/>
  <c r="D9673" i="1"/>
  <c r="E9673" i="1"/>
  <c r="F9673" i="1"/>
  <c r="G9673" i="1"/>
  <c r="H9673" i="1"/>
  <c r="I9673" i="1"/>
  <c r="J9673" i="1"/>
  <c r="K9673" i="1"/>
  <c r="L9673" i="1"/>
  <c r="A9674" i="1"/>
  <c r="B9674" i="1"/>
  <c r="C9674" i="1"/>
  <c r="D9674" i="1"/>
  <c r="E9674" i="1"/>
  <c r="F9674" i="1"/>
  <c r="G9674" i="1"/>
  <c r="H9674" i="1"/>
  <c r="I9674" i="1"/>
  <c r="J9674" i="1"/>
  <c r="K9674" i="1"/>
  <c r="L9674" i="1"/>
  <c r="A9675" i="1"/>
  <c r="B9675" i="1"/>
  <c r="C9675" i="1"/>
  <c r="D9675" i="1"/>
  <c r="E9675" i="1"/>
  <c r="F9675" i="1"/>
  <c r="G9675" i="1"/>
  <c r="H9675" i="1"/>
  <c r="I9675" i="1"/>
  <c r="J9675" i="1"/>
  <c r="K9675" i="1"/>
  <c r="L9675" i="1"/>
  <c r="A9676" i="1"/>
  <c r="B9676" i="1"/>
  <c r="C9676" i="1"/>
  <c r="D9676" i="1"/>
  <c r="E9676" i="1"/>
  <c r="F9676" i="1"/>
  <c r="G9676" i="1"/>
  <c r="H9676" i="1"/>
  <c r="I9676" i="1"/>
  <c r="J9676" i="1"/>
  <c r="K9676" i="1"/>
  <c r="L9676" i="1"/>
  <c r="A9677" i="1"/>
  <c r="B9677" i="1"/>
  <c r="C9677" i="1"/>
  <c r="D9677" i="1"/>
  <c r="E9677" i="1"/>
  <c r="F9677" i="1"/>
  <c r="G9677" i="1"/>
  <c r="H9677" i="1"/>
  <c r="I9677" i="1"/>
  <c r="J9677" i="1"/>
  <c r="K9677" i="1"/>
  <c r="L9677" i="1"/>
  <c r="A9678" i="1"/>
  <c r="B9678" i="1"/>
  <c r="C9678" i="1"/>
  <c r="D9678" i="1"/>
  <c r="E9678" i="1"/>
  <c r="F9678" i="1"/>
  <c r="G9678" i="1"/>
  <c r="H9678" i="1"/>
  <c r="I9678" i="1"/>
  <c r="J9678" i="1"/>
  <c r="K9678" i="1"/>
  <c r="L9678" i="1"/>
  <c r="A9679" i="1"/>
  <c r="B9679" i="1"/>
  <c r="C9679" i="1"/>
  <c r="D9679" i="1"/>
  <c r="E9679" i="1"/>
  <c r="F9679" i="1"/>
  <c r="G9679" i="1"/>
  <c r="H9679" i="1"/>
  <c r="I9679" i="1"/>
  <c r="J9679" i="1"/>
  <c r="K9679" i="1"/>
  <c r="L9679" i="1"/>
  <c r="A9680" i="1"/>
  <c r="B9680" i="1"/>
  <c r="C9680" i="1"/>
  <c r="D9680" i="1"/>
  <c r="E9680" i="1"/>
  <c r="F9680" i="1"/>
  <c r="G9680" i="1"/>
  <c r="H9680" i="1"/>
  <c r="I9680" i="1"/>
  <c r="J9680" i="1"/>
  <c r="K9680" i="1"/>
  <c r="L9680" i="1"/>
  <c r="A9681" i="1"/>
  <c r="B9681" i="1"/>
  <c r="C9681" i="1"/>
  <c r="D9681" i="1"/>
  <c r="E9681" i="1"/>
  <c r="F9681" i="1"/>
  <c r="G9681" i="1"/>
  <c r="H9681" i="1"/>
  <c r="I9681" i="1"/>
  <c r="J9681" i="1"/>
  <c r="K9681" i="1"/>
  <c r="L9681" i="1"/>
  <c r="A9682" i="1"/>
  <c r="B9682" i="1"/>
  <c r="C9682" i="1"/>
  <c r="D9682" i="1"/>
  <c r="E9682" i="1"/>
  <c r="F9682" i="1"/>
  <c r="G9682" i="1"/>
  <c r="H9682" i="1"/>
  <c r="I9682" i="1"/>
  <c r="J9682" i="1"/>
  <c r="K9682" i="1"/>
  <c r="L9682" i="1"/>
  <c r="A9683" i="1"/>
  <c r="B9683" i="1"/>
  <c r="C9683" i="1"/>
  <c r="D9683" i="1"/>
  <c r="E9683" i="1"/>
  <c r="F9683" i="1"/>
  <c r="G9683" i="1"/>
  <c r="H9683" i="1"/>
  <c r="I9683" i="1"/>
  <c r="J9683" i="1"/>
  <c r="K9683" i="1"/>
  <c r="L9683" i="1"/>
  <c r="A9684" i="1"/>
  <c r="B9684" i="1"/>
  <c r="C9684" i="1"/>
  <c r="D9684" i="1"/>
  <c r="E9684" i="1"/>
  <c r="F9684" i="1"/>
  <c r="G9684" i="1"/>
  <c r="H9684" i="1"/>
  <c r="I9684" i="1"/>
  <c r="J9684" i="1"/>
  <c r="K9684" i="1"/>
  <c r="L9684" i="1"/>
  <c r="A9685" i="1"/>
  <c r="B9685" i="1"/>
  <c r="C9685" i="1"/>
  <c r="D9685" i="1"/>
  <c r="E9685" i="1"/>
  <c r="F9685" i="1"/>
  <c r="G9685" i="1"/>
  <c r="H9685" i="1"/>
  <c r="I9685" i="1"/>
  <c r="J9685" i="1"/>
  <c r="K9685" i="1"/>
  <c r="L9685" i="1"/>
  <c r="A9686" i="1"/>
  <c r="B9686" i="1"/>
  <c r="C9686" i="1"/>
  <c r="D9686" i="1"/>
  <c r="E9686" i="1"/>
  <c r="F9686" i="1"/>
  <c r="G9686" i="1"/>
  <c r="H9686" i="1"/>
  <c r="I9686" i="1"/>
  <c r="J9686" i="1"/>
  <c r="K9686" i="1"/>
  <c r="L9686" i="1"/>
  <c r="A9687" i="1"/>
  <c r="B9687" i="1"/>
  <c r="C9687" i="1"/>
  <c r="D9687" i="1"/>
  <c r="E9687" i="1"/>
  <c r="F9687" i="1"/>
  <c r="G9687" i="1"/>
  <c r="H9687" i="1"/>
  <c r="I9687" i="1"/>
  <c r="J9687" i="1"/>
  <c r="K9687" i="1"/>
  <c r="L9687" i="1"/>
  <c r="A9688" i="1"/>
  <c r="B9688" i="1"/>
  <c r="C9688" i="1"/>
  <c r="D9688" i="1"/>
  <c r="E9688" i="1"/>
  <c r="F9688" i="1"/>
  <c r="G9688" i="1"/>
  <c r="H9688" i="1"/>
  <c r="I9688" i="1"/>
  <c r="J9688" i="1"/>
  <c r="K9688" i="1"/>
  <c r="L9688" i="1"/>
  <c r="A9689" i="1"/>
  <c r="B9689" i="1"/>
  <c r="C9689" i="1"/>
  <c r="D9689" i="1"/>
  <c r="E9689" i="1"/>
  <c r="F9689" i="1"/>
  <c r="G9689" i="1"/>
  <c r="H9689" i="1"/>
  <c r="I9689" i="1"/>
  <c r="J9689" i="1"/>
  <c r="K9689" i="1"/>
  <c r="L9689" i="1"/>
  <c r="A9690" i="1"/>
  <c r="B9690" i="1"/>
  <c r="C9690" i="1"/>
  <c r="D9690" i="1"/>
  <c r="E9690" i="1"/>
  <c r="F9690" i="1"/>
  <c r="G9690" i="1"/>
  <c r="H9690" i="1"/>
  <c r="I9690" i="1"/>
  <c r="J9690" i="1"/>
  <c r="K9690" i="1"/>
  <c r="L9690" i="1"/>
  <c r="A9691" i="1"/>
  <c r="B9691" i="1"/>
  <c r="C9691" i="1"/>
  <c r="D9691" i="1"/>
  <c r="E9691" i="1"/>
  <c r="F9691" i="1"/>
  <c r="G9691" i="1"/>
  <c r="H9691" i="1"/>
  <c r="I9691" i="1"/>
  <c r="J9691" i="1"/>
  <c r="K9691" i="1"/>
  <c r="L9691" i="1"/>
  <c r="A9692" i="1"/>
  <c r="B9692" i="1"/>
  <c r="C9692" i="1"/>
  <c r="D9692" i="1"/>
  <c r="E9692" i="1"/>
  <c r="F9692" i="1"/>
  <c r="G9692" i="1"/>
  <c r="H9692" i="1"/>
  <c r="I9692" i="1"/>
  <c r="J9692" i="1"/>
  <c r="K9692" i="1"/>
  <c r="L9692" i="1"/>
  <c r="A9693" i="1"/>
  <c r="B9693" i="1"/>
  <c r="C9693" i="1"/>
  <c r="D9693" i="1"/>
  <c r="E9693" i="1"/>
  <c r="F9693" i="1"/>
  <c r="G9693" i="1"/>
  <c r="H9693" i="1"/>
  <c r="I9693" i="1"/>
  <c r="J9693" i="1"/>
  <c r="K9693" i="1"/>
  <c r="L9693" i="1"/>
  <c r="A9694" i="1"/>
  <c r="B9694" i="1"/>
  <c r="C9694" i="1"/>
  <c r="D9694" i="1"/>
  <c r="E9694" i="1"/>
  <c r="F9694" i="1"/>
  <c r="G9694" i="1"/>
  <c r="H9694" i="1"/>
  <c r="I9694" i="1"/>
  <c r="J9694" i="1"/>
  <c r="K9694" i="1"/>
  <c r="L9694" i="1"/>
  <c r="A9695" i="1"/>
  <c r="B9695" i="1"/>
  <c r="C9695" i="1"/>
  <c r="D9695" i="1"/>
  <c r="E9695" i="1"/>
  <c r="F9695" i="1"/>
  <c r="G9695" i="1"/>
  <c r="H9695" i="1"/>
  <c r="I9695" i="1"/>
  <c r="J9695" i="1"/>
  <c r="K9695" i="1"/>
  <c r="L9695" i="1"/>
  <c r="A9696" i="1"/>
  <c r="B9696" i="1"/>
  <c r="C9696" i="1"/>
  <c r="D9696" i="1"/>
  <c r="E9696" i="1"/>
  <c r="F9696" i="1"/>
  <c r="G9696" i="1"/>
  <c r="H9696" i="1"/>
  <c r="I9696" i="1"/>
  <c r="J9696" i="1"/>
  <c r="K9696" i="1"/>
  <c r="L9696" i="1"/>
  <c r="A9697" i="1"/>
  <c r="B9697" i="1"/>
  <c r="C9697" i="1"/>
  <c r="D9697" i="1"/>
  <c r="E9697" i="1"/>
  <c r="F9697" i="1"/>
  <c r="G9697" i="1"/>
  <c r="H9697" i="1"/>
  <c r="I9697" i="1"/>
  <c r="J9697" i="1"/>
  <c r="K9697" i="1"/>
  <c r="L9697" i="1"/>
  <c r="A9698" i="1"/>
  <c r="B9698" i="1"/>
  <c r="C9698" i="1"/>
  <c r="D9698" i="1"/>
  <c r="E9698" i="1"/>
  <c r="F9698" i="1"/>
  <c r="G9698" i="1"/>
  <c r="H9698" i="1"/>
  <c r="I9698" i="1"/>
  <c r="J9698" i="1"/>
  <c r="K9698" i="1"/>
  <c r="L9698" i="1"/>
  <c r="A9699" i="1"/>
  <c r="B9699" i="1"/>
  <c r="C9699" i="1"/>
  <c r="D9699" i="1"/>
  <c r="E9699" i="1"/>
  <c r="F9699" i="1"/>
  <c r="G9699" i="1"/>
  <c r="H9699" i="1"/>
  <c r="I9699" i="1"/>
  <c r="J9699" i="1"/>
  <c r="K9699" i="1"/>
  <c r="L9699" i="1"/>
  <c r="A9700" i="1"/>
  <c r="B9700" i="1"/>
  <c r="C9700" i="1"/>
  <c r="D9700" i="1"/>
  <c r="E9700" i="1"/>
  <c r="F9700" i="1"/>
  <c r="G9700" i="1"/>
  <c r="H9700" i="1"/>
  <c r="I9700" i="1"/>
  <c r="J9700" i="1"/>
  <c r="K9700" i="1"/>
  <c r="L9700" i="1"/>
  <c r="A9701" i="1"/>
  <c r="B9701" i="1"/>
  <c r="C9701" i="1"/>
  <c r="D9701" i="1"/>
  <c r="E9701" i="1"/>
  <c r="F9701" i="1"/>
  <c r="G9701" i="1"/>
  <c r="H9701" i="1"/>
  <c r="I9701" i="1"/>
  <c r="J9701" i="1"/>
  <c r="K9701" i="1"/>
  <c r="L9701" i="1"/>
  <c r="A9702" i="1"/>
  <c r="B9702" i="1"/>
  <c r="C9702" i="1"/>
  <c r="D9702" i="1"/>
  <c r="E9702" i="1"/>
  <c r="F9702" i="1"/>
  <c r="G9702" i="1"/>
  <c r="H9702" i="1"/>
  <c r="I9702" i="1"/>
  <c r="J9702" i="1"/>
  <c r="K9702" i="1"/>
  <c r="L9702" i="1"/>
  <c r="A9703" i="1"/>
  <c r="B9703" i="1"/>
  <c r="C9703" i="1"/>
  <c r="D9703" i="1"/>
  <c r="E9703" i="1"/>
  <c r="F9703" i="1"/>
  <c r="G9703" i="1"/>
  <c r="H9703" i="1"/>
  <c r="I9703" i="1"/>
  <c r="J9703" i="1"/>
  <c r="K9703" i="1"/>
  <c r="L9703" i="1"/>
  <c r="A9704" i="1"/>
  <c r="B9704" i="1"/>
  <c r="C9704" i="1"/>
  <c r="D9704" i="1"/>
  <c r="E9704" i="1"/>
  <c r="F9704" i="1"/>
  <c r="G9704" i="1"/>
  <c r="H9704" i="1"/>
  <c r="I9704" i="1"/>
  <c r="J9704" i="1"/>
  <c r="K9704" i="1"/>
  <c r="L9704" i="1"/>
  <c r="A9705" i="1"/>
  <c r="B9705" i="1"/>
  <c r="C9705" i="1"/>
  <c r="D9705" i="1"/>
  <c r="E9705" i="1"/>
  <c r="F9705" i="1"/>
  <c r="G9705" i="1"/>
  <c r="H9705" i="1"/>
  <c r="I9705" i="1"/>
  <c r="J9705" i="1"/>
  <c r="K9705" i="1"/>
  <c r="L9705" i="1"/>
  <c r="A9706" i="1"/>
  <c r="B9706" i="1"/>
  <c r="C9706" i="1"/>
  <c r="D9706" i="1"/>
  <c r="E9706" i="1"/>
  <c r="F9706" i="1"/>
  <c r="G9706" i="1"/>
  <c r="H9706" i="1"/>
  <c r="I9706" i="1"/>
  <c r="J9706" i="1"/>
  <c r="K9706" i="1"/>
  <c r="L9706" i="1"/>
  <c r="A9707" i="1"/>
  <c r="B9707" i="1"/>
  <c r="C9707" i="1"/>
  <c r="D9707" i="1"/>
  <c r="E9707" i="1"/>
  <c r="F9707" i="1"/>
  <c r="G9707" i="1"/>
  <c r="H9707" i="1"/>
  <c r="I9707" i="1"/>
  <c r="J9707" i="1"/>
  <c r="K9707" i="1"/>
  <c r="L9707" i="1"/>
  <c r="A9708" i="1"/>
  <c r="B9708" i="1"/>
  <c r="C9708" i="1"/>
  <c r="D9708" i="1"/>
  <c r="E9708" i="1"/>
  <c r="F9708" i="1"/>
  <c r="G9708" i="1"/>
  <c r="H9708" i="1"/>
  <c r="I9708" i="1"/>
  <c r="J9708" i="1"/>
  <c r="K9708" i="1"/>
  <c r="L9708" i="1"/>
  <c r="A9709" i="1"/>
  <c r="B9709" i="1"/>
  <c r="C9709" i="1"/>
  <c r="D9709" i="1"/>
  <c r="E9709" i="1"/>
  <c r="F9709" i="1"/>
  <c r="G9709" i="1"/>
  <c r="H9709" i="1"/>
  <c r="I9709" i="1"/>
  <c r="J9709" i="1"/>
  <c r="K9709" i="1"/>
  <c r="L9709" i="1"/>
  <c r="A9710" i="1"/>
  <c r="B9710" i="1"/>
  <c r="C9710" i="1"/>
  <c r="D9710" i="1"/>
  <c r="E9710" i="1"/>
  <c r="F9710" i="1"/>
  <c r="G9710" i="1"/>
  <c r="H9710" i="1"/>
  <c r="I9710" i="1"/>
  <c r="J9710" i="1"/>
  <c r="K9710" i="1"/>
  <c r="L9710" i="1"/>
  <c r="A9711" i="1"/>
  <c r="B9711" i="1"/>
  <c r="C9711" i="1"/>
  <c r="D9711" i="1"/>
  <c r="E9711" i="1"/>
  <c r="F9711" i="1"/>
  <c r="G9711" i="1"/>
  <c r="H9711" i="1"/>
  <c r="I9711" i="1"/>
  <c r="J9711" i="1"/>
  <c r="K9711" i="1"/>
  <c r="L9711" i="1"/>
  <c r="A9712" i="1"/>
  <c r="B9712" i="1"/>
  <c r="C9712" i="1"/>
  <c r="D9712" i="1"/>
  <c r="E9712" i="1"/>
  <c r="F9712" i="1"/>
  <c r="G9712" i="1"/>
  <c r="H9712" i="1"/>
  <c r="I9712" i="1"/>
  <c r="J9712" i="1"/>
  <c r="K9712" i="1"/>
  <c r="L9712" i="1"/>
  <c r="A9713" i="1"/>
  <c r="B9713" i="1"/>
  <c r="C9713" i="1"/>
  <c r="D9713" i="1"/>
  <c r="E9713" i="1"/>
  <c r="F9713" i="1"/>
  <c r="G9713" i="1"/>
  <c r="H9713" i="1"/>
  <c r="I9713" i="1"/>
  <c r="J9713" i="1"/>
  <c r="K9713" i="1"/>
  <c r="L9713" i="1"/>
  <c r="A9714" i="1"/>
  <c r="B9714" i="1"/>
  <c r="C9714" i="1"/>
  <c r="D9714" i="1"/>
  <c r="E9714" i="1"/>
  <c r="F9714" i="1"/>
  <c r="G9714" i="1"/>
  <c r="H9714" i="1"/>
  <c r="I9714" i="1"/>
  <c r="J9714" i="1"/>
  <c r="K9714" i="1"/>
  <c r="L9714" i="1"/>
  <c r="A9715" i="1"/>
  <c r="B9715" i="1"/>
  <c r="C9715" i="1"/>
  <c r="D9715" i="1"/>
  <c r="E9715" i="1"/>
  <c r="F9715" i="1"/>
  <c r="G9715" i="1"/>
  <c r="H9715" i="1"/>
  <c r="I9715" i="1"/>
  <c r="J9715" i="1"/>
  <c r="K9715" i="1"/>
  <c r="L9715" i="1"/>
  <c r="A9716" i="1"/>
  <c r="B9716" i="1"/>
  <c r="C9716" i="1"/>
  <c r="D9716" i="1"/>
  <c r="E9716" i="1"/>
  <c r="F9716" i="1"/>
  <c r="G9716" i="1"/>
  <c r="H9716" i="1"/>
  <c r="I9716" i="1"/>
  <c r="J9716" i="1"/>
  <c r="K9716" i="1"/>
  <c r="L9716" i="1"/>
  <c r="A9717" i="1"/>
  <c r="B9717" i="1"/>
  <c r="C9717" i="1"/>
  <c r="D9717" i="1"/>
  <c r="E9717" i="1"/>
  <c r="F9717" i="1"/>
  <c r="G9717" i="1"/>
  <c r="H9717" i="1"/>
  <c r="I9717" i="1"/>
  <c r="J9717" i="1"/>
  <c r="K9717" i="1"/>
  <c r="L9717" i="1"/>
  <c r="A9718" i="1"/>
  <c r="B9718" i="1"/>
  <c r="C9718" i="1"/>
  <c r="D9718" i="1"/>
  <c r="E9718" i="1"/>
  <c r="F9718" i="1"/>
  <c r="G9718" i="1"/>
  <c r="H9718" i="1"/>
  <c r="I9718" i="1"/>
  <c r="J9718" i="1"/>
  <c r="K9718" i="1"/>
  <c r="L9718" i="1"/>
  <c r="A9719" i="1"/>
  <c r="B9719" i="1"/>
  <c r="C9719" i="1"/>
  <c r="D9719" i="1"/>
  <c r="E9719" i="1"/>
  <c r="F9719" i="1"/>
  <c r="G9719" i="1"/>
  <c r="H9719" i="1"/>
  <c r="I9719" i="1"/>
  <c r="J9719" i="1"/>
  <c r="K9719" i="1"/>
  <c r="L9719" i="1"/>
  <c r="A9720" i="1"/>
  <c r="B9720" i="1"/>
  <c r="C9720" i="1"/>
  <c r="D9720" i="1"/>
  <c r="E9720" i="1"/>
  <c r="F9720" i="1"/>
  <c r="G9720" i="1"/>
  <c r="H9720" i="1"/>
  <c r="I9720" i="1"/>
  <c r="J9720" i="1"/>
  <c r="K9720" i="1"/>
  <c r="L9720" i="1"/>
  <c r="A9721" i="1"/>
  <c r="B9721" i="1"/>
  <c r="C9721" i="1"/>
  <c r="D9721" i="1"/>
  <c r="E9721" i="1"/>
  <c r="F9721" i="1"/>
  <c r="G9721" i="1"/>
  <c r="H9721" i="1"/>
  <c r="I9721" i="1"/>
  <c r="J9721" i="1"/>
  <c r="K9721" i="1"/>
  <c r="L9721" i="1"/>
  <c r="A9722" i="1"/>
  <c r="B9722" i="1"/>
  <c r="C9722" i="1"/>
  <c r="D9722" i="1"/>
  <c r="E9722" i="1"/>
  <c r="F9722" i="1"/>
  <c r="G9722" i="1"/>
  <c r="H9722" i="1"/>
  <c r="I9722" i="1"/>
  <c r="J9722" i="1"/>
  <c r="K9722" i="1"/>
  <c r="L9722" i="1"/>
  <c r="A9723" i="1"/>
  <c r="B9723" i="1"/>
  <c r="C9723" i="1"/>
  <c r="D9723" i="1"/>
  <c r="E9723" i="1"/>
  <c r="F9723" i="1"/>
  <c r="G9723" i="1"/>
  <c r="H9723" i="1"/>
  <c r="I9723" i="1"/>
  <c r="J9723" i="1"/>
  <c r="K9723" i="1"/>
  <c r="L9723" i="1"/>
  <c r="A9724" i="1"/>
  <c r="B9724" i="1"/>
  <c r="C9724" i="1"/>
  <c r="D9724" i="1"/>
  <c r="E9724" i="1"/>
  <c r="F9724" i="1"/>
  <c r="G9724" i="1"/>
  <c r="H9724" i="1"/>
  <c r="I9724" i="1"/>
  <c r="J9724" i="1"/>
  <c r="K9724" i="1"/>
  <c r="L9724" i="1"/>
  <c r="A9725" i="1"/>
  <c r="B9725" i="1"/>
  <c r="C9725" i="1"/>
  <c r="D9725" i="1"/>
  <c r="E9725" i="1"/>
  <c r="F9725" i="1"/>
  <c r="G9725" i="1"/>
  <c r="H9725" i="1"/>
  <c r="I9725" i="1"/>
  <c r="J9725" i="1"/>
  <c r="K9725" i="1"/>
  <c r="L9725" i="1"/>
  <c r="A9726" i="1"/>
  <c r="B9726" i="1"/>
  <c r="C9726" i="1"/>
  <c r="D9726" i="1"/>
  <c r="E9726" i="1"/>
  <c r="F9726" i="1"/>
  <c r="G9726" i="1"/>
  <c r="H9726" i="1"/>
  <c r="I9726" i="1"/>
  <c r="J9726" i="1"/>
  <c r="K9726" i="1"/>
  <c r="L9726" i="1"/>
  <c r="A9727" i="1"/>
  <c r="B9727" i="1"/>
  <c r="C9727" i="1"/>
  <c r="D9727" i="1"/>
  <c r="E9727" i="1"/>
  <c r="F9727" i="1"/>
  <c r="G9727" i="1"/>
  <c r="H9727" i="1"/>
  <c r="I9727" i="1"/>
  <c r="J9727" i="1"/>
  <c r="K9727" i="1"/>
  <c r="L9727" i="1"/>
  <c r="A9728" i="1"/>
  <c r="B9728" i="1"/>
  <c r="C9728" i="1"/>
  <c r="D9728" i="1"/>
  <c r="E9728" i="1"/>
  <c r="F9728" i="1"/>
  <c r="G9728" i="1"/>
  <c r="H9728" i="1"/>
  <c r="I9728" i="1"/>
  <c r="J9728" i="1"/>
  <c r="K9728" i="1"/>
  <c r="L9728" i="1"/>
  <c r="A9729" i="1"/>
  <c r="B9729" i="1"/>
  <c r="C9729" i="1"/>
  <c r="D9729" i="1"/>
  <c r="E9729" i="1"/>
  <c r="F9729" i="1"/>
  <c r="G9729" i="1"/>
  <c r="H9729" i="1"/>
  <c r="I9729" i="1"/>
  <c r="J9729" i="1"/>
  <c r="K9729" i="1"/>
  <c r="L9729" i="1"/>
  <c r="A9730" i="1"/>
  <c r="B9730" i="1"/>
  <c r="C9730" i="1"/>
  <c r="D9730" i="1"/>
  <c r="E9730" i="1"/>
  <c r="F9730" i="1"/>
  <c r="G9730" i="1"/>
  <c r="H9730" i="1"/>
  <c r="I9730" i="1"/>
  <c r="J9730" i="1"/>
  <c r="K9730" i="1"/>
  <c r="L9730" i="1"/>
  <c r="A9731" i="1"/>
  <c r="B9731" i="1"/>
  <c r="C9731" i="1"/>
  <c r="D9731" i="1"/>
  <c r="E9731" i="1"/>
  <c r="F9731" i="1"/>
  <c r="G9731" i="1"/>
  <c r="H9731" i="1"/>
  <c r="I9731" i="1"/>
  <c r="J9731" i="1"/>
  <c r="K9731" i="1"/>
  <c r="L9731" i="1"/>
  <c r="A9732" i="1"/>
  <c r="B9732" i="1"/>
  <c r="C9732" i="1"/>
  <c r="D9732" i="1"/>
  <c r="E9732" i="1"/>
  <c r="F9732" i="1"/>
  <c r="G9732" i="1"/>
  <c r="H9732" i="1"/>
  <c r="I9732" i="1"/>
  <c r="J9732" i="1"/>
  <c r="K9732" i="1"/>
  <c r="L9732" i="1"/>
  <c r="A9733" i="1"/>
  <c r="B9733" i="1"/>
  <c r="C9733" i="1"/>
  <c r="D9733" i="1"/>
  <c r="E9733" i="1"/>
  <c r="F9733" i="1"/>
  <c r="G9733" i="1"/>
  <c r="H9733" i="1"/>
  <c r="I9733" i="1"/>
  <c r="J9733" i="1"/>
  <c r="K9733" i="1"/>
  <c r="L9733" i="1"/>
  <c r="A9734" i="1"/>
  <c r="B9734" i="1"/>
  <c r="C9734" i="1"/>
  <c r="D9734" i="1"/>
  <c r="E9734" i="1"/>
  <c r="F9734" i="1"/>
  <c r="G9734" i="1"/>
  <c r="H9734" i="1"/>
  <c r="I9734" i="1"/>
  <c r="J9734" i="1"/>
  <c r="K9734" i="1"/>
  <c r="L9734" i="1"/>
  <c r="A9735" i="1"/>
  <c r="B9735" i="1"/>
  <c r="C9735" i="1"/>
  <c r="D9735" i="1"/>
  <c r="E9735" i="1"/>
  <c r="F9735" i="1"/>
  <c r="G9735" i="1"/>
  <c r="H9735" i="1"/>
  <c r="I9735" i="1"/>
  <c r="J9735" i="1"/>
  <c r="K9735" i="1"/>
  <c r="L9735" i="1"/>
  <c r="A9736" i="1"/>
  <c r="B9736" i="1"/>
  <c r="C9736" i="1"/>
  <c r="D9736" i="1"/>
  <c r="E9736" i="1"/>
  <c r="F9736" i="1"/>
  <c r="G9736" i="1"/>
  <c r="H9736" i="1"/>
  <c r="I9736" i="1"/>
  <c r="J9736" i="1"/>
  <c r="K9736" i="1"/>
  <c r="L9736" i="1"/>
  <c r="A9737" i="1"/>
  <c r="B9737" i="1"/>
  <c r="C9737" i="1"/>
  <c r="D9737" i="1"/>
  <c r="E9737" i="1"/>
  <c r="F9737" i="1"/>
  <c r="G9737" i="1"/>
  <c r="H9737" i="1"/>
  <c r="I9737" i="1"/>
  <c r="J9737" i="1"/>
  <c r="K9737" i="1"/>
  <c r="L9737" i="1"/>
  <c r="A9738" i="1"/>
  <c r="B9738" i="1"/>
  <c r="C9738" i="1"/>
  <c r="D9738" i="1"/>
  <c r="E9738" i="1"/>
  <c r="F9738" i="1"/>
  <c r="G9738" i="1"/>
  <c r="H9738" i="1"/>
  <c r="I9738" i="1"/>
  <c r="J9738" i="1"/>
  <c r="K9738" i="1"/>
  <c r="L9738" i="1"/>
  <c r="A9739" i="1"/>
  <c r="B9739" i="1"/>
  <c r="C9739" i="1"/>
  <c r="D9739" i="1"/>
  <c r="E9739" i="1"/>
  <c r="F9739" i="1"/>
  <c r="G9739" i="1"/>
  <c r="H9739" i="1"/>
  <c r="I9739" i="1"/>
  <c r="J9739" i="1"/>
  <c r="K9739" i="1"/>
  <c r="L9739" i="1"/>
  <c r="A9740" i="1"/>
  <c r="B9740" i="1"/>
  <c r="C9740" i="1"/>
  <c r="D9740" i="1"/>
  <c r="E9740" i="1"/>
  <c r="F9740" i="1"/>
  <c r="G9740" i="1"/>
  <c r="H9740" i="1"/>
  <c r="I9740" i="1"/>
  <c r="J9740" i="1"/>
  <c r="K9740" i="1"/>
  <c r="L9740" i="1"/>
  <c r="A9741" i="1"/>
  <c r="B9741" i="1"/>
  <c r="C9741" i="1"/>
  <c r="D9741" i="1"/>
  <c r="E9741" i="1"/>
  <c r="F9741" i="1"/>
  <c r="G9741" i="1"/>
  <c r="H9741" i="1"/>
  <c r="I9741" i="1"/>
  <c r="J9741" i="1"/>
  <c r="K9741" i="1"/>
  <c r="L9741" i="1"/>
  <c r="A9742" i="1"/>
  <c r="B9742" i="1"/>
  <c r="C9742" i="1"/>
  <c r="D9742" i="1"/>
  <c r="E9742" i="1"/>
  <c r="F9742" i="1"/>
  <c r="G9742" i="1"/>
  <c r="H9742" i="1"/>
  <c r="I9742" i="1"/>
  <c r="J9742" i="1"/>
  <c r="K9742" i="1"/>
  <c r="L9742" i="1"/>
  <c r="A9743" i="1"/>
  <c r="B9743" i="1"/>
  <c r="C9743" i="1"/>
  <c r="D9743" i="1"/>
  <c r="E9743" i="1"/>
  <c r="F9743" i="1"/>
  <c r="G9743" i="1"/>
  <c r="H9743" i="1"/>
  <c r="I9743" i="1"/>
  <c r="J9743" i="1"/>
  <c r="K9743" i="1"/>
  <c r="L9743" i="1"/>
  <c r="A9744" i="1"/>
  <c r="B9744" i="1"/>
  <c r="C9744" i="1"/>
  <c r="D9744" i="1"/>
  <c r="E9744" i="1"/>
  <c r="F9744" i="1"/>
  <c r="G9744" i="1"/>
  <c r="H9744" i="1"/>
  <c r="I9744" i="1"/>
  <c r="J9744" i="1"/>
  <c r="K9744" i="1"/>
  <c r="L9744" i="1"/>
  <c r="A9745" i="1"/>
  <c r="B9745" i="1"/>
  <c r="C9745" i="1"/>
  <c r="D9745" i="1"/>
  <c r="E9745" i="1"/>
  <c r="F9745" i="1"/>
  <c r="G9745" i="1"/>
  <c r="H9745" i="1"/>
  <c r="I9745" i="1"/>
  <c r="J9745" i="1"/>
  <c r="K9745" i="1"/>
  <c r="L9745" i="1"/>
  <c r="A9746" i="1"/>
  <c r="B9746" i="1"/>
  <c r="C9746" i="1"/>
  <c r="D9746" i="1"/>
  <c r="E9746" i="1"/>
  <c r="F9746" i="1"/>
  <c r="G9746" i="1"/>
  <c r="H9746" i="1"/>
  <c r="I9746" i="1"/>
  <c r="J9746" i="1"/>
  <c r="K9746" i="1"/>
  <c r="L9746" i="1"/>
  <c r="A9747" i="1"/>
  <c r="B9747" i="1"/>
  <c r="C9747" i="1"/>
  <c r="D9747" i="1"/>
  <c r="E9747" i="1"/>
  <c r="F9747" i="1"/>
  <c r="G9747" i="1"/>
  <c r="H9747" i="1"/>
  <c r="I9747" i="1"/>
  <c r="J9747" i="1"/>
  <c r="K9747" i="1"/>
  <c r="L9747" i="1"/>
  <c r="A9748" i="1"/>
  <c r="B9748" i="1"/>
  <c r="C9748" i="1"/>
  <c r="D9748" i="1"/>
  <c r="E9748" i="1"/>
  <c r="F9748" i="1"/>
  <c r="G9748" i="1"/>
  <c r="H9748" i="1"/>
  <c r="I9748" i="1"/>
  <c r="J9748" i="1"/>
  <c r="K9748" i="1"/>
  <c r="L9748" i="1"/>
  <c r="A9749" i="1"/>
  <c r="B9749" i="1"/>
  <c r="C9749" i="1"/>
  <c r="D9749" i="1"/>
  <c r="E9749" i="1"/>
  <c r="F9749" i="1"/>
  <c r="G9749" i="1"/>
  <c r="H9749" i="1"/>
  <c r="I9749" i="1"/>
  <c r="J9749" i="1"/>
  <c r="K9749" i="1"/>
  <c r="L9749" i="1"/>
  <c r="A9750" i="1"/>
  <c r="B9750" i="1"/>
  <c r="C9750" i="1"/>
  <c r="D9750" i="1"/>
  <c r="E9750" i="1"/>
  <c r="F9750" i="1"/>
  <c r="G9750" i="1"/>
  <c r="H9750" i="1"/>
  <c r="I9750" i="1"/>
  <c r="J9750" i="1"/>
  <c r="K9750" i="1"/>
  <c r="L9750" i="1"/>
  <c r="A9751" i="1"/>
  <c r="B9751" i="1"/>
  <c r="C9751" i="1"/>
  <c r="D9751" i="1"/>
  <c r="E9751" i="1"/>
  <c r="F9751" i="1"/>
  <c r="G9751" i="1"/>
  <c r="H9751" i="1"/>
  <c r="I9751" i="1"/>
  <c r="J9751" i="1"/>
  <c r="K9751" i="1"/>
  <c r="L9751" i="1"/>
  <c r="A9752" i="1"/>
  <c r="B9752" i="1"/>
  <c r="C9752" i="1"/>
  <c r="D9752" i="1"/>
  <c r="E9752" i="1"/>
  <c r="F9752" i="1"/>
  <c r="G9752" i="1"/>
  <c r="H9752" i="1"/>
  <c r="I9752" i="1"/>
  <c r="J9752" i="1"/>
  <c r="K9752" i="1"/>
  <c r="L9752" i="1"/>
  <c r="A9753" i="1"/>
  <c r="B9753" i="1"/>
  <c r="C9753" i="1"/>
  <c r="D9753" i="1"/>
  <c r="E9753" i="1"/>
  <c r="F9753" i="1"/>
  <c r="G9753" i="1"/>
  <c r="H9753" i="1"/>
  <c r="I9753" i="1"/>
  <c r="J9753" i="1"/>
  <c r="K9753" i="1"/>
  <c r="L9753" i="1"/>
  <c r="A9754" i="1"/>
  <c r="B9754" i="1"/>
  <c r="C9754" i="1"/>
  <c r="D9754" i="1"/>
  <c r="E9754" i="1"/>
  <c r="F9754" i="1"/>
  <c r="G9754" i="1"/>
  <c r="H9754" i="1"/>
  <c r="I9754" i="1"/>
  <c r="J9754" i="1"/>
  <c r="K9754" i="1"/>
  <c r="L9754" i="1"/>
  <c r="A9755" i="1"/>
  <c r="B9755" i="1"/>
  <c r="C9755" i="1"/>
  <c r="D9755" i="1"/>
  <c r="E9755" i="1"/>
  <c r="F9755" i="1"/>
  <c r="G9755" i="1"/>
  <c r="H9755" i="1"/>
  <c r="I9755" i="1"/>
  <c r="J9755" i="1"/>
  <c r="K9755" i="1"/>
  <c r="L9755" i="1"/>
  <c r="A9756" i="1"/>
  <c r="B9756" i="1"/>
  <c r="C9756" i="1"/>
  <c r="D9756" i="1"/>
  <c r="E9756" i="1"/>
  <c r="F9756" i="1"/>
  <c r="G9756" i="1"/>
  <c r="H9756" i="1"/>
  <c r="I9756" i="1"/>
  <c r="J9756" i="1"/>
  <c r="K9756" i="1"/>
  <c r="L9756" i="1"/>
  <c r="A9757" i="1"/>
  <c r="B9757" i="1"/>
  <c r="C9757" i="1"/>
  <c r="D9757" i="1"/>
  <c r="E9757" i="1"/>
  <c r="F9757" i="1"/>
  <c r="G9757" i="1"/>
  <c r="H9757" i="1"/>
  <c r="I9757" i="1"/>
  <c r="J9757" i="1"/>
  <c r="K9757" i="1"/>
  <c r="L9757" i="1"/>
  <c r="A9758" i="1"/>
  <c r="B9758" i="1"/>
  <c r="C9758" i="1"/>
  <c r="D9758" i="1"/>
  <c r="E9758" i="1"/>
  <c r="F9758" i="1"/>
  <c r="G9758" i="1"/>
  <c r="H9758" i="1"/>
  <c r="I9758" i="1"/>
  <c r="J9758" i="1"/>
  <c r="K9758" i="1"/>
  <c r="L9758" i="1"/>
  <c r="A9759" i="1"/>
  <c r="B9759" i="1"/>
  <c r="C9759" i="1"/>
  <c r="D9759" i="1"/>
  <c r="E9759" i="1"/>
  <c r="F9759" i="1"/>
  <c r="G9759" i="1"/>
  <c r="H9759" i="1"/>
  <c r="I9759" i="1"/>
  <c r="J9759" i="1"/>
  <c r="K9759" i="1"/>
  <c r="L9759" i="1"/>
  <c r="A9760" i="1"/>
  <c r="B9760" i="1"/>
  <c r="C9760" i="1"/>
  <c r="D9760" i="1"/>
  <c r="E9760" i="1"/>
  <c r="F9760" i="1"/>
  <c r="G9760" i="1"/>
  <c r="H9760" i="1"/>
  <c r="I9760" i="1"/>
  <c r="J9760" i="1"/>
  <c r="K9760" i="1"/>
  <c r="L9760" i="1"/>
  <c r="A9761" i="1"/>
  <c r="B9761" i="1"/>
  <c r="C9761" i="1"/>
  <c r="D9761" i="1"/>
  <c r="E9761" i="1"/>
  <c r="F9761" i="1"/>
  <c r="G9761" i="1"/>
  <c r="H9761" i="1"/>
  <c r="I9761" i="1"/>
  <c r="J9761" i="1"/>
  <c r="K9761" i="1"/>
  <c r="L9761" i="1"/>
  <c r="A9762" i="1"/>
  <c r="B9762" i="1"/>
  <c r="C9762" i="1"/>
  <c r="D9762" i="1"/>
  <c r="E9762" i="1"/>
  <c r="F9762" i="1"/>
  <c r="G9762" i="1"/>
  <c r="H9762" i="1"/>
  <c r="I9762" i="1"/>
  <c r="J9762" i="1"/>
  <c r="K9762" i="1"/>
  <c r="L9762" i="1"/>
  <c r="A9763" i="1"/>
  <c r="B9763" i="1"/>
  <c r="C9763" i="1"/>
  <c r="D9763" i="1"/>
  <c r="E9763" i="1"/>
  <c r="F9763" i="1"/>
  <c r="G9763" i="1"/>
  <c r="H9763" i="1"/>
  <c r="I9763" i="1"/>
  <c r="J9763" i="1"/>
  <c r="K9763" i="1"/>
  <c r="L9763" i="1"/>
  <c r="A9764" i="1"/>
  <c r="B9764" i="1"/>
  <c r="C9764" i="1"/>
  <c r="D9764" i="1"/>
  <c r="E9764" i="1"/>
  <c r="F9764" i="1"/>
  <c r="G9764" i="1"/>
  <c r="H9764" i="1"/>
  <c r="I9764" i="1"/>
  <c r="J9764" i="1"/>
  <c r="K9764" i="1"/>
  <c r="L9764" i="1"/>
  <c r="A9765" i="1"/>
  <c r="B9765" i="1"/>
  <c r="C9765" i="1"/>
  <c r="D9765" i="1"/>
  <c r="E9765" i="1"/>
  <c r="F9765" i="1"/>
  <c r="G9765" i="1"/>
  <c r="H9765" i="1"/>
  <c r="I9765" i="1"/>
  <c r="J9765" i="1"/>
  <c r="K9765" i="1"/>
  <c r="L9765" i="1"/>
  <c r="A9766" i="1"/>
  <c r="B9766" i="1"/>
  <c r="C9766" i="1"/>
  <c r="D9766" i="1"/>
  <c r="E9766" i="1"/>
  <c r="F9766" i="1"/>
  <c r="G9766" i="1"/>
  <c r="H9766" i="1"/>
  <c r="I9766" i="1"/>
  <c r="J9766" i="1"/>
  <c r="K9766" i="1"/>
  <c r="L9766" i="1"/>
  <c r="A9767" i="1"/>
  <c r="B9767" i="1"/>
  <c r="C9767" i="1"/>
  <c r="D9767" i="1"/>
  <c r="E9767" i="1"/>
  <c r="F9767" i="1"/>
  <c r="G9767" i="1"/>
  <c r="H9767" i="1"/>
  <c r="I9767" i="1"/>
  <c r="J9767" i="1"/>
  <c r="K9767" i="1"/>
  <c r="L9767" i="1"/>
  <c r="A9768" i="1"/>
  <c r="B9768" i="1"/>
  <c r="C9768" i="1"/>
  <c r="D9768" i="1"/>
  <c r="E9768" i="1"/>
  <c r="F9768" i="1"/>
  <c r="G9768" i="1"/>
  <c r="H9768" i="1"/>
  <c r="I9768" i="1"/>
  <c r="J9768" i="1"/>
  <c r="K9768" i="1"/>
  <c r="L9768" i="1"/>
  <c r="A9769" i="1"/>
  <c r="B9769" i="1"/>
  <c r="C9769" i="1"/>
  <c r="D9769" i="1"/>
  <c r="E9769" i="1"/>
  <c r="F9769" i="1"/>
  <c r="G9769" i="1"/>
  <c r="H9769" i="1"/>
  <c r="I9769" i="1"/>
  <c r="J9769" i="1"/>
  <c r="K9769" i="1"/>
  <c r="L9769" i="1"/>
  <c r="A9770" i="1"/>
  <c r="B9770" i="1"/>
  <c r="C9770" i="1"/>
  <c r="D9770" i="1"/>
  <c r="E9770" i="1"/>
  <c r="F9770" i="1"/>
  <c r="G9770" i="1"/>
  <c r="H9770" i="1"/>
  <c r="I9770" i="1"/>
  <c r="J9770" i="1"/>
  <c r="K9770" i="1"/>
  <c r="L9770" i="1"/>
  <c r="A9771" i="1"/>
  <c r="B9771" i="1"/>
  <c r="C9771" i="1"/>
  <c r="D9771" i="1"/>
  <c r="E9771" i="1"/>
  <c r="F9771" i="1"/>
  <c r="G9771" i="1"/>
  <c r="H9771" i="1"/>
  <c r="I9771" i="1"/>
  <c r="J9771" i="1"/>
  <c r="K9771" i="1"/>
  <c r="L9771" i="1"/>
  <c r="A9772" i="1"/>
  <c r="B9772" i="1"/>
  <c r="C9772" i="1"/>
  <c r="D9772" i="1"/>
  <c r="E9772" i="1"/>
  <c r="F9772" i="1"/>
  <c r="G9772" i="1"/>
  <c r="H9772" i="1"/>
  <c r="I9772" i="1"/>
  <c r="J9772" i="1"/>
  <c r="K9772" i="1"/>
  <c r="L9772" i="1"/>
  <c r="A9773" i="1"/>
  <c r="B9773" i="1"/>
  <c r="C9773" i="1"/>
  <c r="D9773" i="1"/>
  <c r="E9773" i="1"/>
  <c r="F9773" i="1"/>
  <c r="G9773" i="1"/>
  <c r="H9773" i="1"/>
  <c r="I9773" i="1"/>
  <c r="J9773" i="1"/>
  <c r="K9773" i="1"/>
  <c r="L9773" i="1"/>
  <c r="A9774" i="1"/>
  <c r="B9774" i="1"/>
  <c r="C9774" i="1"/>
  <c r="D9774" i="1"/>
  <c r="E9774" i="1"/>
  <c r="F9774" i="1"/>
  <c r="G9774" i="1"/>
  <c r="H9774" i="1"/>
  <c r="I9774" i="1"/>
  <c r="J9774" i="1"/>
  <c r="K9774" i="1"/>
  <c r="L9774" i="1"/>
  <c r="A9775" i="1"/>
  <c r="B9775" i="1"/>
  <c r="C9775" i="1"/>
  <c r="D9775" i="1"/>
  <c r="E9775" i="1"/>
  <c r="F9775" i="1"/>
  <c r="G9775" i="1"/>
  <c r="H9775" i="1"/>
  <c r="I9775" i="1"/>
  <c r="J9775" i="1"/>
  <c r="K9775" i="1"/>
  <c r="L9775" i="1"/>
  <c r="A9776" i="1"/>
  <c r="B9776" i="1"/>
  <c r="C9776" i="1"/>
  <c r="D9776" i="1"/>
  <c r="E9776" i="1"/>
  <c r="F9776" i="1"/>
  <c r="G9776" i="1"/>
  <c r="H9776" i="1"/>
  <c r="I9776" i="1"/>
  <c r="J9776" i="1"/>
  <c r="K9776" i="1"/>
  <c r="L9776" i="1"/>
  <c r="A9777" i="1"/>
  <c r="B9777" i="1"/>
  <c r="C9777" i="1"/>
  <c r="D9777" i="1"/>
  <c r="E9777" i="1"/>
  <c r="F9777" i="1"/>
  <c r="G9777" i="1"/>
  <c r="H9777" i="1"/>
  <c r="I9777" i="1"/>
  <c r="J9777" i="1"/>
  <c r="K9777" i="1"/>
  <c r="L9777" i="1"/>
  <c r="A9778" i="1"/>
  <c r="B9778" i="1"/>
  <c r="C9778" i="1"/>
  <c r="D9778" i="1"/>
  <c r="E9778" i="1"/>
  <c r="F9778" i="1"/>
  <c r="G9778" i="1"/>
  <c r="H9778" i="1"/>
  <c r="I9778" i="1"/>
  <c r="J9778" i="1"/>
  <c r="K9778" i="1"/>
  <c r="L9778" i="1"/>
  <c r="A9779" i="1"/>
  <c r="B9779" i="1"/>
  <c r="C9779" i="1"/>
  <c r="D9779" i="1"/>
  <c r="E9779" i="1"/>
  <c r="F9779" i="1"/>
  <c r="G9779" i="1"/>
  <c r="H9779" i="1"/>
  <c r="I9779" i="1"/>
  <c r="J9779" i="1"/>
  <c r="K9779" i="1"/>
  <c r="L9779" i="1"/>
  <c r="A9780" i="1"/>
  <c r="B9780" i="1"/>
  <c r="C9780" i="1"/>
  <c r="D9780" i="1"/>
  <c r="E9780" i="1"/>
  <c r="F9780" i="1"/>
  <c r="G9780" i="1"/>
  <c r="H9780" i="1"/>
  <c r="I9780" i="1"/>
  <c r="J9780" i="1"/>
  <c r="K9780" i="1"/>
  <c r="L9780" i="1"/>
  <c r="A9781" i="1"/>
  <c r="B9781" i="1"/>
  <c r="C9781" i="1"/>
  <c r="D9781" i="1"/>
  <c r="E9781" i="1"/>
  <c r="F9781" i="1"/>
  <c r="G9781" i="1"/>
  <c r="H9781" i="1"/>
  <c r="I9781" i="1"/>
  <c r="J9781" i="1"/>
  <c r="K9781" i="1"/>
  <c r="L9781" i="1"/>
  <c r="A9782" i="1"/>
  <c r="B9782" i="1"/>
  <c r="C9782" i="1"/>
  <c r="D9782" i="1"/>
  <c r="E9782" i="1"/>
  <c r="F9782" i="1"/>
  <c r="G9782" i="1"/>
  <c r="H9782" i="1"/>
  <c r="I9782" i="1"/>
  <c r="J9782" i="1"/>
  <c r="K9782" i="1"/>
  <c r="L9782" i="1"/>
  <c r="A9783" i="1"/>
  <c r="B9783" i="1"/>
  <c r="C9783" i="1"/>
  <c r="D9783" i="1"/>
  <c r="E9783" i="1"/>
  <c r="F9783" i="1"/>
  <c r="G9783" i="1"/>
  <c r="H9783" i="1"/>
  <c r="I9783" i="1"/>
  <c r="J9783" i="1"/>
  <c r="K9783" i="1"/>
  <c r="L9783" i="1"/>
  <c r="A9784" i="1"/>
  <c r="B9784" i="1"/>
  <c r="C9784" i="1"/>
  <c r="D9784" i="1"/>
  <c r="E9784" i="1"/>
  <c r="F9784" i="1"/>
  <c r="G9784" i="1"/>
  <c r="H9784" i="1"/>
  <c r="I9784" i="1"/>
  <c r="J9784" i="1"/>
  <c r="K9784" i="1"/>
  <c r="L9784" i="1"/>
  <c r="A9785" i="1"/>
  <c r="B9785" i="1"/>
  <c r="C9785" i="1"/>
  <c r="D9785" i="1"/>
  <c r="E9785" i="1"/>
  <c r="F9785" i="1"/>
  <c r="G9785" i="1"/>
  <c r="H9785" i="1"/>
  <c r="I9785" i="1"/>
  <c r="J9785" i="1"/>
  <c r="K9785" i="1"/>
  <c r="L9785" i="1"/>
  <c r="A9786" i="1"/>
  <c r="B9786" i="1"/>
  <c r="C9786" i="1"/>
  <c r="D9786" i="1"/>
  <c r="E9786" i="1"/>
  <c r="F9786" i="1"/>
  <c r="G9786" i="1"/>
  <c r="H9786" i="1"/>
  <c r="I9786" i="1"/>
  <c r="J9786" i="1"/>
  <c r="K9786" i="1"/>
  <c r="L9786" i="1"/>
  <c r="A9787" i="1"/>
  <c r="B9787" i="1"/>
  <c r="C9787" i="1"/>
  <c r="D9787" i="1"/>
  <c r="E9787" i="1"/>
  <c r="F9787" i="1"/>
  <c r="G9787" i="1"/>
  <c r="H9787" i="1"/>
  <c r="I9787" i="1"/>
  <c r="J9787" i="1"/>
  <c r="K9787" i="1"/>
  <c r="L9787" i="1"/>
  <c r="A9788" i="1"/>
  <c r="B9788" i="1"/>
  <c r="C9788" i="1"/>
  <c r="D9788" i="1"/>
  <c r="E9788" i="1"/>
  <c r="F9788" i="1"/>
  <c r="G9788" i="1"/>
  <c r="H9788" i="1"/>
  <c r="I9788" i="1"/>
  <c r="J9788" i="1"/>
  <c r="K9788" i="1"/>
  <c r="L9788" i="1"/>
  <c r="A9789" i="1"/>
  <c r="B9789" i="1"/>
  <c r="C9789" i="1"/>
  <c r="D9789" i="1"/>
  <c r="E9789" i="1"/>
  <c r="F9789" i="1"/>
  <c r="G9789" i="1"/>
  <c r="H9789" i="1"/>
  <c r="I9789" i="1"/>
  <c r="J9789" i="1"/>
  <c r="K9789" i="1"/>
  <c r="L9789" i="1"/>
  <c r="A9790" i="1"/>
  <c r="B9790" i="1"/>
  <c r="C9790" i="1"/>
  <c r="D9790" i="1"/>
  <c r="E9790" i="1"/>
  <c r="F9790" i="1"/>
  <c r="G9790" i="1"/>
  <c r="H9790" i="1"/>
  <c r="I9790" i="1"/>
  <c r="J9790" i="1"/>
  <c r="K9790" i="1"/>
  <c r="L9790" i="1"/>
  <c r="A9791" i="1"/>
  <c r="B9791" i="1"/>
  <c r="C9791" i="1"/>
  <c r="D9791" i="1"/>
  <c r="E9791" i="1"/>
  <c r="F9791" i="1"/>
  <c r="G9791" i="1"/>
  <c r="H9791" i="1"/>
  <c r="I9791" i="1"/>
  <c r="J9791" i="1"/>
  <c r="K9791" i="1"/>
  <c r="L9791" i="1"/>
  <c r="A9792" i="1"/>
  <c r="B9792" i="1"/>
  <c r="C9792" i="1"/>
  <c r="D9792" i="1"/>
  <c r="E9792" i="1"/>
  <c r="F9792" i="1"/>
  <c r="G9792" i="1"/>
  <c r="H9792" i="1"/>
  <c r="I9792" i="1"/>
  <c r="J9792" i="1"/>
  <c r="K9792" i="1"/>
  <c r="L9792" i="1"/>
  <c r="A9793" i="1"/>
  <c r="B9793" i="1"/>
  <c r="C9793" i="1"/>
  <c r="D9793" i="1"/>
  <c r="E9793" i="1"/>
  <c r="F9793" i="1"/>
  <c r="G9793" i="1"/>
  <c r="H9793" i="1"/>
  <c r="I9793" i="1"/>
  <c r="J9793" i="1"/>
  <c r="K9793" i="1"/>
  <c r="L9793" i="1"/>
  <c r="A9794" i="1"/>
  <c r="B9794" i="1"/>
  <c r="C9794" i="1"/>
  <c r="D9794" i="1"/>
  <c r="E9794" i="1"/>
  <c r="F9794" i="1"/>
  <c r="G9794" i="1"/>
  <c r="H9794" i="1"/>
  <c r="I9794" i="1"/>
  <c r="J9794" i="1"/>
  <c r="K9794" i="1"/>
  <c r="L9794" i="1"/>
  <c r="A9795" i="1"/>
  <c r="B9795" i="1"/>
  <c r="C9795" i="1"/>
  <c r="D9795" i="1"/>
  <c r="E9795" i="1"/>
  <c r="F9795" i="1"/>
  <c r="G9795" i="1"/>
  <c r="H9795" i="1"/>
  <c r="I9795" i="1"/>
  <c r="J9795" i="1"/>
  <c r="K9795" i="1"/>
  <c r="L9795" i="1"/>
  <c r="A9796" i="1"/>
  <c r="B9796" i="1"/>
  <c r="C9796" i="1"/>
  <c r="D9796" i="1"/>
  <c r="E9796" i="1"/>
  <c r="F9796" i="1"/>
  <c r="G9796" i="1"/>
  <c r="H9796" i="1"/>
  <c r="I9796" i="1"/>
  <c r="J9796" i="1"/>
  <c r="K9796" i="1"/>
  <c r="L9796" i="1"/>
  <c r="A9797" i="1"/>
  <c r="B9797" i="1"/>
  <c r="C9797" i="1"/>
  <c r="D9797" i="1"/>
  <c r="E9797" i="1"/>
  <c r="F9797" i="1"/>
  <c r="G9797" i="1"/>
  <c r="H9797" i="1"/>
  <c r="I9797" i="1"/>
  <c r="J9797" i="1"/>
  <c r="K9797" i="1"/>
  <c r="L9797" i="1"/>
  <c r="A9798" i="1"/>
  <c r="B9798" i="1"/>
  <c r="C9798" i="1"/>
  <c r="D9798" i="1"/>
  <c r="E9798" i="1"/>
  <c r="F9798" i="1"/>
  <c r="G9798" i="1"/>
  <c r="H9798" i="1"/>
  <c r="I9798" i="1"/>
  <c r="J9798" i="1"/>
  <c r="K9798" i="1"/>
  <c r="L9798" i="1"/>
  <c r="A9799" i="1"/>
  <c r="B9799" i="1"/>
  <c r="C9799" i="1"/>
  <c r="D9799" i="1"/>
  <c r="E9799" i="1"/>
  <c r="F9799" i="1"/>
  <c r="G9799" i="1"/>
  <c r="H9799" i="1"/>
  <c r="I9799" i="1"/>
  <c r="J9799" i="1"/>
  <c r="K9799" i="1"/>
  <c r="L9799" i="1"/>
  <c r="A9800" i="1"/>
  <c r="B9800" i="1"/>
  <c r="C9800" i="1"/>
  <c r="D9800" i="1"/>
  <c r="E9800" i="1"/>
  <c r="F9800" i="1"/>
  <c r="G9800" i="1"/>
  <c r="H9800" i="1"/>
  <c r="I9800" i="1"/>
  <c r="J9800" i="1"/>
  <c r="K9800" i="1"/>
  <c r="L9800" i="1"/>
  <c r="A9801" i="1"/>
  <c r="B9801" i="1"/>
  <c r="C9801" i="1"/>
  <c r="D9801" i="1"/>
  <c r="E9801" i="1"/>
  <c r="F9801" i="1"/>
  <c r="G9801" i="1"/>
  <c r="H9801" i="1"/>
  <c r="I9801" i="1"/>
  <c r="J9801" i="1"/>
  <c r="K9801" i="1"/>
  <c r="L9801" i="1"/>
  <c r="A9802" i="1"/>
  <c r="B9802" i="1"/>
  <c r="C9802" i="1"/>
  <c r="D9802" i="1"/>
  <c r="E9802" i="1"/>
  <c r="F9802" i="1"/>
  <c r="G9802" i="1"/>
  <c r="H9802" i="1"/>
  <c r="I9802" i="1"/>
  <c r="J9802" i="1"/>
  <c r="K9802" i="1"/>
  <c r="L9802" i="1"/>
  <c r="A9803" i="1"/>
  <c r="B9803" i="1"/>
  <c r="C9803" i="1"/>
  <c r="D9803" i="1"/>
  <c r="E9803" i="1"/>
  <c r="F9803" i="1"/>
  <c r="G9803" i="1"/>
  <c r="H9803" i="1"/>
  <c r="I9803" i="1"/>
  <c r="J9803" i="1"/>
  <c r="K9803" i="1"/>
  <c r="L9803" i="1"/>
  <c r="A9804" i="1"/>
  <c r="B9804" i="1"/>
  <c r="C9804" i="1"/>
  <c r="D9804" i="1"/>
  <c r="E9804" i="1"/>
  <c r="F9804" i="1"/>
  <c r="G9804" i="1"/>
  <c r="H9804" i="1"/>
  <c r="I9804" i="1"/>
  <c r="J9804" i="1"/>
  <c r="K9804" i="1"/>
  <c r="L9804" i="1"/>
  <c r="A9805" i="1"/>
  <c r="B9805" i="1"/>
  <c r="C9805" i="1"/>
  <c r="D9805" i="1"/>
  <c r="E9805" i="1"/>
  <c r="F9805" i="1"/>
  <c r="G9805" i="1"/>
  <c r="H9805" i="1"/>
  <c r="I9805" i="1"/>
  <c r="J9805" i="1"/>
  <c r="K9805" i="1"/>
  <c r="L9805" i="1"/>
  <c r="A9806" i="1"/>
  <c r="B9806" i="1"/>
  <c r="C9806" i="1"/>
  <c r="D9806" i="1"/>
  <c r="E9806" i="1"/>
  <c r="F9806" i="1"/>
  <c r="G9806" i="1"/>
  <c r="H9806" i="1"/>
  <c r="I9806" i="1"/>
  <c r="J9806" i="1"/>
  <c r="K9806" i="1"/>
  <c r="L9806" i="1"/>
  <c r="A9807" i="1"/>
  <c r="B9807" i="1"/>
  <c r="C9807" i="1"/>
  <c r="D9807" i="1"/>
  <c r="E9807" i="1"/>
  <c r="F9807" i="1"/>
  <c r="G9807" i="1"/>
  <c r="H9807" i="1"/>
  <c r="I9807" i="1"/>
  <c r="J9807" i="1"/>
  <c r="K9807" i="1"/>
  <c r="L9807" i="1"/>
  <c r="A9808" i="1"/>
  <c r="B9808" i="1"/>
  <c r="C9808" i="1"/>
  <c r="D9808" i="1"/>
  <c r="E9808" i="1"/>
  <c r="F9808" i="1"/>
  <c r="G9808" i="1"/>
  <c r="H9808" i="1"/>
  <c r="I9808" i="1"/>
  <c r="J9808" i="1"/>
  <c r="K9808" i="1"/>
  <c r="L9808" i="1"/>
  <c r="A9809" i="1"/>
  <c r="B9809" i="1"/>
  <c r="C9809" i="1"/>
  <c r="D9809" i="1"/>
  <c r="E9809" i="1"/>
  <c r="F9809" i="1"/>
  <c r="G9809" i="1"/>
  <c r="H9809" i="1"/>
  <c r="I9809" i="1"/>
  <c r="J9809" i="1"/>
  <c r="K9809" i="1"/>
  <c r="L9809" i="1"/>
  <c r="A9810" i="1"/>
  <c r="B9810" i="1"/>
  <c r="C9810" i="1"/>
  <c r="D9810" i="1"/>
  <c r="E9810" i="1"/>
  <c r="F9810" i="1"/>
  <c r="G9810" i="1"/>
  <c r="H9810" i="1"/>
  <c r="I9810" i="1"/>
  <c r="J9810" i="1"/>
  <c r="K9810" i="1"/>
  <c r="L9810" i="1"/>
  <c r="A9811" i="1"/>
  <c r="B9811" i="1"/>
  <c r="C9811" i="1"/>
  <c r="D9811" i="1"/>
  <c r="E9811" i="1"/>
  <c r="F9811" i="1"/>
  <c r="G9811" i="1"/>
  <c r="H9811" i="1"/>
  <c r="I9811" i="1"/>
  <c r="J9811" i="1"/>
  <c r="K9811" i="1"/>
  <c r="L9811" i="1"/>
  <c r="A9812" i="1"/>
  <c r="B9812" i="1"/>
  <c r="C9812" i="1"/>
  <c r="D9812" i="1"/>
  <c r="E9812" i="1"/>
  <c r="F9812" i="1"/>
  <c r="G9812" i="1"/>
  <c r="H9812" i="1"/>
  <c r="I9812" i="1"/>
  <c r="J9812" i="1"/>
  <c r="K9812" i="1"/>
  <c r="L9812" i="1"/>
  <c r="A9813" i="1"/>
  <c r="B9813" i="1"/>
  <c r="C9813" i="1"/>
  <c r="D9813" i="1"/>
  <c r="E9813" i="1"/>
  <c r="F9813" i="1"/>
  <c r="G9813" i="1"/>
  <c r="H9813" i="1"/>
  <c r="I9813" i="1"/>
  <c r="J9813" i="1"/>
  <c r="K9813" i="1"/>
  <c r="L9813" i="1"/>
  <c r="A9814" i="1"/>
  <c r="B9814" i="1"/>
  <c r="C9814" i="1"/>
  <c r="D9814" i="1"/>
  <c r="E9814" i="1"/>
  <c r="F9814" i="1"/>
  <c r="G9814" i="1"/>
  <c r="H9814" i="1"/>
  <c r="I9814" i="1"/>
  <c r="J9814" i="1"/>
  <c r="K9814" i="1"/>
  <c r="L9814" i="1"/>
  <c r="A9815" i="1"/>
  <c r="B9815" i="1"/>
  <c r="C9815" i="1"/>
  <c r="D9815" i="1"/>
  <c r="E9815" i="1"/>
  <c r="F9815" i="1"/>
  <c r="G9815" i="1"/>
  <c r="H9815" i="1"/>
  <c r="I9815" i="1"/>
  <c r="J9815" i="1"/>
  <c r="K9815" i="1"/>
  <c r="L9815" i="1"/>
  <c r="A9816" i="1"/>
  <c r="B9816" i="1"/>
  <c r="C9816" i="1"/>
  <c r="D9816" i="1"/>
  <c r="E9816" i="1"/>
  <c r="F9816" i="1"/>
  <c r="G9816" i="1"/>
  <c r="H9816" i="1"/>
  <c r="I9816" i="1"/>
  <c r="J9816" i="1"/>
  <c r="K9816" i="1"/>
  <c r="L9816" i="1"/>
  <c r="A9817" i="1"/>
  <c r="B9817" i="1"/>
  <c r="C9817" i="1"/>
  <c r="D9817" i="1"/>
  <c r="E9817" i="1"/>
  <c r="F9817" i="1"/>
  <c r="G9817" i="1"/>
  <c r="H9817" i="1"/>
  <c r="I9817" i="1"/>
  <c r="J9817" i="1"/>
  <c r="K9817" i="1"/>
  <c r="L9817" i="1"/>
  <c r="A9818" i="1"/>
  <c r="B9818" i="1"/>
  <c r="C9818" i="1"/>
  <c r="D9818" i="1"/>
  <c r="E9818" i="1"/>
  <c r="F9818" i="1"/>
  <c r="G9818" i="1"/>
  <c r="H9818" i="1"/>
  <c r="I9818" i="1"/>
  <c r="J9818" i="1"/>
  <c r="K9818" i="1"/>
  <c r="L9818" i="1"/>
  <c r="A9819" i="1"/>
  <c r="B9819" i="1"/>
  <c r="C9819" i="1"/>
  <c r="D9819" i="1"/>
  <c r="E9819" i="1"/>
  <c r="F9819" i="1"/>
  <c r="G9819" i="1"/>
  <c r="H9819" i="1"/>
  <c r="I9819" i="1"/>
  <c r="J9819" i="1"/>
  <c r="K9819" i="1"/>
  <c r="L9819" i="1"/>
  <c r="A9820" i="1"/>
  <c r="B9820" i="1"/>
  <c r="C9820" i="1"/>
  <c r="D9820" i="1"/>
  <c r="E9820" i="1"/>
  <c r="F9820" i="1"/>
  <c r="G9820" i="1"/>
  <c r="H9820" i="1"/>
  <c r="I9820" i="1"/>
  <c r="J9820" i="1"/>
  <c r="K9820" i="1"/>
  <c r="L9820" i="1"/>
  <c r="A9821" i="1"/>
  <c r="B9821" i="1"/>
  <c r="C9821" i="1"/>
  <c r="D9821" i="1"/>
  <c r="E9821" i="1"/>
  <c r="F9821" i="1"/>
  <c r="G9821" i="1"/>
  <c r="H9821" i="1"/>
  <c r="I9821" i="1"/>
  <c r="J9821" i="1"/>
  <c r="K9821" i="1"/>
  <c r="L9821" i="1"/>
  <c r="A9822" i="1"/>
  <c r="B9822" i="1"/>
  <c r="C9822" i="1"/>
  <c r="D9822" i="1"/>
  <c r="E9822" i="1"/>
  <c r="F9822" i="1"/>
  <c r="G9822" i="1"/>
  <c r="H9822" i="1"/>
  <c r="I9822" i="1"/>
  <c r="J9822" i="1"/>
  <c r="K9822" i="1"/>
  <c r="L9822" i="1"/>
  <c r="A9823" i="1"/>
  <c r="B9823" i="1"/>
  <c r="C9823" i="1"/>
  <c r="D9823" i="1"/>
  <c r="E9823" i="1"/>
  <c r="F9823" i="1"/>
  <c r="G9823" i="1"/>
  <c r="H9823" i="1"/>
  <c r="I9823" i="1"/>
  <c r="J9823" i="1"/>
  <c r="K9823" i="1"/>
  <c r="L9823" i="1"/>
  <c r="A9824" i="1"/>
  <c r="B9824" i="1"/>
  <c r="C9824" i="1"/>
  <c r="D9824" i="1"/>
  <c r="E9824" i="1"/>
  <c r="F9824" i="1"/>
  <c r="G9824" i="1"/>
  <c r="H9824" i="1"/>
  <c r="I9824" i="1"/>
  <c r="J9824" i="1"/>
  <c r="K9824" i="1"/>
  <c r="L9824" i="1"/>
  <c r="A9825" i="1"/>
  <c r="B9825" i="1"/>
  <c r="C9825" i="1"/>
  <c r="D9825" i="1"/>
  <c r="E9825" i="1"/>
  <c r="F9825" i="1"/>
  <c r="G9825" i="1"/>
  <c r="H9825" i="1"/>
  <c r="I9825" i="1"/>
  <c r="J9825" i="1"/>
  <c r="K9825" i="1"/>
  <c r="L9825" i="1"/>
  <c r="A9826" i="1"/>
  <c r="B9826" i="1"/>
  <c r="C9826" i="1"/>
  <c r="D9826" i="1"/>
  <c r="E9826" i="1"/>
  <c r="F9826" i="1"/>
  <c r="G9826" i="1"/>
  <c r="H9826" i="1"/>
  <c r="I9826" i="1"/>
  <c r="J9826" i="1"/>
  <c r="K9826" i="1"/>
  <c r="L9826" i="1"/>
  <c r="A9827" i="1"/>
  <c r="B9827" i="1"/>
  <c r="C9827" i="1"/>
  <c r="D9827" i="1"/>
  <c r="E9827" i="1"/>
  <c r="F9827" i="1"/>
  <c r="G9827" i="1"/>
  <c r="H9827" i="1"/>
  <c r="I9827" i="1"/>
  <c r="J9827" i="1"/>
  <c r="K9827" i="1"/>
  <c r="L9827" i="1"/>
  <c r="A9828" i="1"/>
  <c r="B9828" i="1"/>
  <c r="C9828" i="1"/>
  <c r="D9828" i="1"/>
  <c r="E9828" i="1"/>
  <c r="F9828" i="1"/>
  <c r="G9828" i="1"/>
  <c r="H9828" i="1"/>
  <c r="I9828" i="1"/>
  <c r="J9828" i="1"/>
  <c r="K9828" i="1"/>
  <c r="L9828" i="1"/>
  <c r="A9829" i="1"/>
  <c r="B9829" i="1"/>
  <c r="C9829" i="1"/>
  <c r="D9829" i="1"/>
  <c r="E9829" i="1"/>
  <c r="F9829" i="1"/>
  <c r="G9829" i="1"/>
  <c r="H9829" i="1"/>
  <c r="I9829" i="1"/>
  <c r="J9829" i="1"/>
  <c r="K9829" i="1"/>
  <c r="L9829" i="1"/>
  <c r="A9830" i="1"/>
  <c r="B9830" i="1"/>
  <c r="C9830" i="1"/>
  <c r="D9830" i="1"/>
  <c r="E9830" i="1"/>
  <c r="F9830" i="1"/>
  <c r="G9830" i="1"/>
  <c r="H9830" i="1"/>
  <c r="I9830" i="1"/>
  <c r="J9830" i="1"/>
  <c r="K9830" i="1"/>
  <c r="L9830" i="1"/>
  <c r="A9831" i="1"/>
  <c r="B9831" i="1"/>
  <c r="C9831" i="1"/>
  <c r="D9831" i="1"/>
  <c r="E9831" i="1"/>
  <c r="F9831" i="1"/>
  <c r="G9831" i="1"/>
  <c r="H9831" i="1"/>
  <c r="I9831" i="1"/>
  <c r="J9831" i="1"/>
  <c r="K9831" i="1"/>
  <c r="L9831" i="1"/>
  <c r="A9832" i="1"/>
  <c r="B9832" i="1"/>
  <c r="C9832" i="1"/>
  <c r="D9832" i="1"/>
  <c r="E9832" i="1"/>
  <c r="F9832" i="1"/>
  <c r="G9832" i="1"/>
  <c r="H9832" i="1"/>
  <c r="I9832" i="1"/>
  <c r="J9832" i="1"/>
  <c r="K9832" i="1"/>
  <c r="L9832" i="1"/>
  <c r="A9833" i="1"/>
  <c r="B9833" i="1"/>
  <c r="C9833" i="1"/>
  <c r="D9833" i="1"/>
  <c r="E9833" i="1"/>
  <c r="F9833" i="1"/>
  <c r="G9833" i="1"/>
  <c r="H9833" i="1"/>
  <c r="I9833" i="1"/>
  <c r="J9833" i="1"/>
  <c r="K9833" i="1"/>
  <c r="L9833" i="1"/>
  <c r="A9834" i="1"/>
  <c r="B9834" i="1"/>
  <c r="C9834" i="1"/>
  <c r="D9834" i="1"/>
  <c r="E9834" i="1"/>
  <c r="F9834" i="1"/>
  <c r="G9834" i="1"/>
  <c r="H9834" i="1"/>
  <c r="I9834" i="1"/>
  <c r="J9834" i="1"/>
  <c r="K9834" i="1"/>
  <c r="L9834" i="1"/>
  <c r="A9835" i="1"/>
  <c r="B9835" i="1"/>
  <c r="C9835" i="1"/>
  <c r="D9835" i="1"/>
  <c r="E9835" i="1"/>
  <c r="F9835" i="1"/>
  <c r="G9835" i="1"/>
  <c r="H9835" i="1"/>
  <c r="I9835" i="1"/>
  <c r="J9835" i="1"/>
  <c r="K9835" i="1"/>
  <c r="L9835" i="1"/>
  <c r="A9836" i="1"/>
  <c r="B9836" i="1"/>
  <c r="C9836" i="1"/>
  <c r="D9836" i="1"/>
  <c r="E9836" i="1"/>
  <c r="F9836" i="1"/>
  <c r="G9836" i="1"/>
  <c r="H9836" i="1"/>
  <c r="I9836" i="1"/>
  <c r="J9836" i="1"/>
  <c r="K9836" i="1"/>
  <c r="L9836" i="1"/>
  <c r="A9837" i="1"/>
  <c r="B9837" i="1"/>
  <c r="C9837" i="1"/>
  <c r="D9837" i="1"/>
  <c r="E9837" i="1"/>
  <c r="F9837" i="1"/>
  <c r="G9837" i="1"/>
  <c r="H9837" i="1"/>
  <c r="I9837" i="1"/>
  <c r="J9837" i="1"/>
  <c r="K9837" i="1"/>
  <c r="L9837" i="1"/>
  <c r="A9838" i="1"/>
  <c r="B9838" i="1"/>
  <c r="C9838" i="1"/>
  <c r="D9838" i="1"/>
  <c r="E9838" i="1"/>
  <c r="F9838" i="1"/>
  <c r="G9838" i="1"/>
  <c r="H9838" i="1"/>
  <c r="I9838" i="1"/>
  <c r="J9838" i="1"/>
  <c r="K9838" i="1"/>
  <c r="L9838" i="1"/>
  <c r="A9839" i="1"/>
  <c r="B9839" i="1"/>
  <c r="C9839" i="1"/>
  <c r="D9839" i="1"/>
  <c r="E9839" i="1"/>
  <c r="F9839" i="1"/>
  <c r="G9839" i="1"/>
  <c r="H9839" i="1"/>
  <c r="I9839" i="1"/>
  <c r="J9839" i="1"/>
  <c r="K9839" i="1"/>
  <c r="L9839" i="1"/>
  <c r="A9840" i="1"/>
  <c r="B9840" i="1"/>
  <c r="C9840" i="1"/>
  <c r="D9840" i="1"/>
  <c r="E9840" i="1"/>
  <c r="F9840" i="1"/>
  <c r="G9840" i="1"/>
  <c r="H9840" i="1"/>
  <c r="I9840" i="1"/>
  <c r="J9840" i="1"/>
  <c r="K9840" i="1"/>
  <c r="L9840" i="1"/>
  <c r="A9841" i="1"/>
  <c r="B9841" i="1"/>
  <c r="C9841" i="1"/>
  <c r="D9841" i="1"/>
  <c r="E9841" i="1"/>
  <c r="F9841" i="1"/>
  <c r="G9841" i="1"/>
  <c r="H9841" i="1"/>
  <c r="I9841" i="1"/>
  <c r="J9841" i="1"/>
  <c r="K9841" i="1"/>
  <c r="L9841" i="1"/>
  <c r="A9842" i="1"/>
  <c r="B9842" i="1"/>
  <c r="C9842" i="1"/>
  <c r="D9842" i="1"/>
  <c r="E9842" i="1"/>
  <c r="F9842" i="1"/>
  <c r="G9842" i="1"/>
  <c r="H9842" i="1"/>
  <c r="I9842" i="1"/>
  <c r="J9842" i="1"/>
  <c r="K9842" i="1"/>
  <c r="L9842" i="1"/>
  <c r="A9843" i="1"/>
  <c r="B9843" i="1"/>
  <c r="C9843" i="1"/>
  <c r="D9843" i="1"/>
  <c r="E9843" i="1"/>
  <c r="F9843" i="1"/>
  <c r="G9843" i="1"/>
  <c r="H9843" i="1"/>
  <c r="I9843" i="1"/>
  <c r="J9843" i="1"/>
  <c r="K9843" i="1"/>
  <c r="L9843" i="1"/>
  <c r="A9844" i="1"/>
  <c r="B9844" i="1"/>
  <c r="C9844" i="1"/>
  <c r="D9844" i="1"/>
  <c r="E9844" i="1"/>
  <c r="F9844" i="1"/>
  <c r="G9844" i="1"/>
  <c r="H9844" i="1"/>
  <c r="I9844" i="1"/>
  <c r="J9844" i="1"/>
  <c r="K9844" i="1"/>
  <c r="L9844" i="1"/>
  <c r="A9845" i="1"/>
  <c r="B9845" i="1"/>
  <c r="C9845" i="1"/>
  <c r="D9845" i="1"/>
  <c r="E9845" i="1"/>
  <c r="F9845" i="1"/>
  <c r="G9845" i="1"/>
  <c r="H9845" i="1"/>
  <c r="I9845" i="1"/>
  <c r="J9845" i="1"/>
  <c r="K9845" i="1"/>
  <c r="L9845" i="1"/>
  <c r="A9846" i="1"/>
  <c r="B9846" i="1"/>
  <c r="C9846" i="1"/>
  <c r="D9846" i="1"/>
  <c r="E9846" i="1"/>
  <c r="F9846" i="1"/>
  <c r="G9846" i="1"/>
  <c r="H9846" i="1"/>
  <c r="I9846" i="1"/>
  <c r="J9846" i="1"/>
  <c r="K9846" i="1"/>
  <c r="L9846" i="1"/>
  <c r="A9847" i="1"/>
  <c r="B9847" i="1"/>
  <c r="C9847" i="1"/>
  <c r="D9847" i="1"/>
  <c r="E9847" i="1"/>
  <c r="F9847" i="1"/>
  <c r="G9847" i="1"/>
  <c r="H9847" i="1"/>
  <c r="I9847" i="1"/>
  <c r="J9847" i="1"/>
  <c r="K9847" i="1"/>
  <c r="L9847" i="1"/>
  <c r="A9848" i="1"/>
  <c r="B9848" i="1"/>
  <c r="C9848" i="1"/>
  <c r="D9848" i="1"/>
  <c r="E9848" i="1"/>
  <c r="F9848" i="1"/>
  <c r="G9848" i="1"/>
  <c r="H9848" i="1"/>
  <c r="I9848" i="1"/>
  <c r="J9848" i="1"/>
  <c r="K9848" i="1"/>
  <c r="L9848" i="1"/>
  <c r="A9849" i="1"/>
  <c r="B9849" i="1"/>
  <c r="C9849" i="1"/>
  <c r="D9849" i="1"/>
  <c r="E9849" i="1"/>
  <c r="F9849" i="1"/>
  <c r="G9849" i="1"/>
  <c r="H9849" i="1"/>
  <c r="I9849" i="1"/>
  <c r="J9849" i="1"/>
  <c r="K9849" i="1"/>
  <c r="L9849" i="1"/>
  <c r="A9850" i="1"/>
  <c r="B9850" i="1"/>
  <c r="C9850" i="1"/>
  <c r="D9850" i="1"/>
  <c r="E9850" i="1"/>
  <c r="F9850" i="1"/>
  <c r="G9850" i="1"/>
  <c r="H9850" i="1"/>
  <c r="I9850" i="1"/>
  <c r="J9850" i="1"/>
  <c r="K9850" i="1"/>
  <c r="L9850" i="1"/>
  <c r="A9851" i="1"/>
  <c r="B9851" i="1"/>
  <c r="C9851" i="1"/>
  <c r="D9851" i="1"/>
  <c r="E9851" i="1"/>
  <c r="F9851" i="1"/>
  <c r="G9851" i="1"/>
  <c r="H9851" i="1"/>
  <c r="I9851" i="1"/>
  <c r="J9851" i="1"/>
  <c r="K9851" i="1"/>
  <c r="L9851" i="1"/>
  <c r="A9852" i="1"/>
  <c r="B9852" i="1"/>
  <c r="C9852" i="1"/>
  <c r="D9852" i="1"/>
  <c r="E9852" i="1"/>
  <c r="F9852" i="1"/>
  <c r="G9852" i="1"/>
  <c r="H9852" i="1"/>
  <c r="I9852" i="1"/>
  <c r="J9852" i="1"/>
  <c r="K9852" i="1"/>
  <c r="L9852" i="1"/>
  <c r="A9853" i="1"/>
  <c r="B9853" i="1"/>
  <c r="C9853" i="1"/>
  <c r="D9853" i="1"/>
  <c r="E9853" i="1"/>
  <c r="F9853" i="1"/>
  <c r="G9853" i="1"/>
  <c r="H9853" i="1"/>
  <c r="I9853" i="1"/>
  <c r="J9853" i="1"/>
  <c r="K9853" i="1"/>
  <c r="L9853" i="1"/>
  <c r="A9854" i="1"/>
  <c r="B9854" i="1"/>
  <c r="C9854" i="1"/>
  <c r="D9854" i="1"/>
  <c r="E9854" i="1"/>
  <c r="F9854" i="1"/>
  <c r="G9854" i="1"/>
  <c r="H9854" i="1"/>
  <c r="I9854" i="1"/>
  <c r="J9854" i="1"/>
  <c r="K9854" i="1"/>
  <c r="L9854" i="1"/>
  <c r="A9855" i="1"/>
  <c r="B9855" i="1"/>
  <c r="C9855" i="1"/>
  <c r="D9855" i="1"/>
  <c r="E9855" i="1"/>
  <c r="F9855" i="1"/>
  <c r="G9855" i="1"/>
  <c r="H9855" i="1"/>
  <c r="I9855" i="1"/>
  <c r="J9855" i="1"/>
  <c r="K9855" i="1"/>
  <c r="L9855" i="1"/>
  <c r="A9856" i="1"/>
  <c r="B9856" i="1"/>
  <c r="C9856" i="1"/>
  <c r="D9856" i="1"/>
  <c r="E9856" i="1"/>
  <c r="F9856" i="1"/>
  <c r="G9856" i="1"/>
  <c r="H9856" i="1"/>
  <c r="I9856" i="1"/>
  <c r="J9856" i="1"/>
  <c r="K9856" i="1"/>
  <c r="L9856" i="1"/>
  <c r="A9857" i="1"/>
  <c r="B9857" i="1"/>
  <c r="C9857" i="1"/>
  <c r="D9857" i="1"/>
  <c r="E9857" i="1"/>
  <c r="F9857" i="1"/>
  <c r="G9857" i="1"/>
  <c r="H9857" i="1"/>
  <c r="I9857" i="1"/>
  <c r="J9857" i="1"/>
  <c r="K9857" i="1"/>
  <c r="L9857" i="1"/>
  <c r="A9858" i="1"/>
  <c r="B9858" i="1"/>
  <c r="C9858" i="1"/>
  <c r="D9858" i="1"/>
  <c r="E9858" i="1"/>
  <c r="F9858" i="1"/>
  <c r="G9858" i="1"/>
  <c r="H9858" i="1"/>
  <c r="I9858" i="1"/>
  <c r="J9858" i="1"/>
  <c r="K9858" i="1"/>
  <c r="L9858" i="1"/>
  <c r="A9859" i="1"/>
  <c r="B9859" i="1"/>
  <c r="C9859" i="1"/>
  <c r="D9859" i="1"/>
  <c r="E9859" i="1"/>
  <c r="F9859" i="1"/>
  <c r="G9859" i="1"/>
  <c r="H9859" i="1"/>
  <c r="I9859" i="1"/>
  <c r="J9859" i="1"/>
  <c r="K9859" i="1"/>
  <c r="L9859" i="1"/>
  <c r="A9860" i="1"/>
  <c r="B9860" i="1"/>
  <c r="C9860" i="1"/>
  <c r="D9860" i="1"/>
  <c r="E9860" i="1"/>
  <c r="F9860" i="1"/>
  <c r="G9860" i="1"/>
  <c r="H9860" i="1"/>
  <c r="I9860" i="1"/>
  <c r="J9860" i="1"/>
  <c r="K9860" i="1"/>
  <c r="L9860" i="1"/>
  <c r="A9861" i="1"/>
  <c r="B9861" i="1"/>
  <c r="C9861" i="1"/>
  <c r="D9861" i="1"/>
  <c r="E9861" i="1"/>
  <c r="F9861" i="1"/>
  <c r="G9861" i="1"/>
  <c r="H9861" i="1"/>
  <c r="I9861" i="1"/>
  <c r="J9861" i="1"/>
  <c r="K9861" i="1"/>
  <c r="L9861" i="1"/>
  <c r="A9862" i="1"/>
  <c r="B9862" i="1"/>
  <c r="C9862" i="1"/>
  <c r="D9862" i="1"/>
  <c r="E9862" i="1"/>
  <c r="F9862" i="1"/>
  <c r="G9862" i="1"/>
  <c r="H9862" i="1"/>
  <c r="I9862" i="1"/>
  <c r="J9862" i="1"/>
  <c r="K9862" i="1"/>
  <c r="L9862" i="1"/>
  <c r="A9863" i="1"/>
  <c r="B9863" i="1"/>
  <c r="C9863" i="1"/>
  <c r="D9863" i="1"/>
  <c r="E9863" i="1"/>
  <c r="F9863" i="1"/>
  <c r="G9863" i="1"/>
  <c r="H9863" i="1"/>
  <c r="I9863" i="1"/>
  <c r="J9863" i="1"/>
  <c r="K9863" i="1"/>
  <c r="L9863" i="1"/>
  <c r="A9864" i="1"/>
  <c r="B9864" i="1"/>
  <c r="C9864" i="1"/>
  <c r="D9864" i="1"/>
  <c r="E9864" i="1"/>
  <c r="F9864" i="1"/>
  <c r="G9864" i="1"/>
  <c r="H9864" i="1"/>
  <c r="I9864" i="1"/>
  <c r="J9864" i="1"/>
  <c r="K9864" i="1"/>
  <c r="L9864" i="1"/>
  <c r="A9865" i="1"/>
  <c r="B9865" i="1"/>
  <c r="C9865" i="1"/>
  <c r="D9865" i="1"/>
  <c r="E9865" i="1"/>
  <c r="F9865" i="1"/>
  <c r="G9865" i="1"/>
  <c r="H9865" i="1"/>
  <c r="I9865" i="1"/>
  <c r="J9865" i="1"/>
  <c r="K9865" i="1"/>
  <c r="L9865" i="1"/>
  <c r="A9866" i="1"/>
  <c r="B9866" i="1"/>
  <c r="C9866" i="1"/>
  <c r="D9866" i="1"/>
  <c r="E9866" i="1"/>
  <c r="F9866" i="1"/>
  <c r="G9866" i="1"/>
  <c r="H9866" i="1"/>
  <c r="I9866" i="1"/>
  <c r="J9866" i="1"/>
  <c r="K9866" i="1"/>
  <c r="L9866" i="1"/>
  <c r="A9867" i="1"/>
  <c r="B9867" i="1"/>
  <c r="C9867" i="1"/>
  <c r="D9867" i="1"/>
  <c r="E9867" i="1"/>
  <c r="F9867" i="1"/>
  <c r="G9867" i="1"/>
  <c r="H9867" i="1"/>
  <c r="I9867" i="1"/>
  <c r="J9867" i="1"/>
  <c r="K9867" i="1"/>
  <c r="L9867" i="1"/>
  <c r="A9868" i="1"/>
  <c r="B9868" i="1"/>
  <c r="C9868" i="1"/>
  <c r="D9868" i="1"/>
  <c r="E9868" i="1"/>
  <c r="F9868" i="1"/>
  <c r="G9868" i="1"/>
  <c r="H9868" i="1"/>
  <c r="I9868" i="1"/>
  <c r="J9868" i="1"/>
  <c r="K9868" i="1"/>
  <c r="L9868" i="1"/>
  <c r="A9869" i="1"/>
  <c r="B9869" i="1"/>
  <c r="C9869" i="1"/>
  <c r="D9869" i="1"/>
  <c r="E9869" i="1"/>
  <c r="F9869" i="1"/>
  <c r="G9869" i="1"/>
  <c r="H9869" i="1"/>
  <c r="I9869" i="1"/>
  <c r="J9869" i="1"/>
  <c r="K9869" i="1"/>
  <c r="L9869" i="1"/>
  <c r="A9870" i="1"/>
  <c r="B9870" i="1"/>
  <c r="C9870" i="1"/>
  <c r="D9870" i="1"/>
  <c r="E9870" i="1"/>
  <c r="F9870" i="1"/>
  <c r="G9870" i="1"/>
  <c r="H9870" i="1"/>
  <c r="I9870" i="1"/>
  <c r="J9870" i="1"/>
  <c r="K9870" i="1"/>
  <c r="L9870" i="1"/>
  <c r="A9871" i="1"/>
  <c r="B9871" i="1"/>
  <c r="C9871" i="1"/>
  <c r="D9871" i="1"/>
  <c r="E9871" i="1"/>
  <c r="F9871" i="1"/>
  <c r="G9871" i="1"/>
  <c r="H9871" i="1"/>
  <c r="I9871" i="1"/>
  <c r="J9871" i="1"/>
  <c r="K9871" i="1"/>
  <c r="L9871" i="1"/>
  <c r="A9872" i="1"/>
  <c r="B9872" i="1"/>
  <c r="C9872" i="1"/>
  <c r="D9872" i="1"/>
  <c r="E9872" i="1"/>
  <c r="F9872" i="1"/>
  <c r="G9872" i="1"/>
  <c r="H9872" i="1"/>
  <c r="I9872" i="1"/>
  <c r="J9872" i="1"/>
  <c r="K9872" i="1"/>
  <c r="L9872" i="1"/>
  <c r="A9873" i="1"/>
  <c r="B9873" i="1"/>
  <c r="C9873" i="1"/>
  <c r="D9873" i="1"/>
  <c r="E9873" i="1"/>
  <c r="F9873" i="1"/>
  <c r="G9873" i="1"/>
  <c r="H9873" i="1"/>
  <c r="I9873" i="1"/>
  <c r="J9873" i="1"/>
  <c r="K9873" i="1"/>
  <c r="L9873" i="1"/>
  <c r="A9874" i="1"/>
  <c r="B9874" i="1"/>
  <c r="C9874" i="1"/>
  <c r="D9874" i="1"/>
  <c r="E9874" i="1"/>
  <c r="F9874" i="1"/>
  <c r="G9874" i="1"/>
  <c r="H9874" i="1"/>
  <c r="I9874" i="1"/>
  <c r="J9874" i="1"/>
  <c r="K9874" i="1"/>
  <c r="L9874" i="1"/>
  <c r="A9875" i="1"/>
  <c r="B9875" i="1"/>
  <c r="C9875" i="1"/>
  <c r="D9875" i="1"/>
  <c r="E9875" i="1"/>
  <c r="F9875" i="1"/>
  <c r="G9875" i="1"/>
  <c r="H9875" i="1"/>
  <c r="I9875" i="1"/>
  <c r="J9875" i="1"/>
  <c r="K9875" i="1"/>
  <c r="L9875" i="1"/>
  <c r="A9876" i="1"/>
  <c r="B9876" i="1"/>
  <c r="C9876" i="1"/>
  <c r="D9876" i="1"/>
  <c r="E9876" i="1"/>
  <c r="F9876" i="1"/>
  <c r="G9876" i="1"/>
  <c r="H9876" i="1"/>
  <c r="I9876" i="1"/>
  <c r="J9876" i="1"/>
  <c r="K9876" i="1"/>
  <c r="L9876" i="1"/>
  <c r="A9877" i="1"/>
  <c r="B9877" i="1"/>
  <c r="C9877" i="1"/>
  <c r="D9877" i="1"/>
  <c r="E9877" i="1"/>
  <c r="F9877" i="1"/>
  <c r="G9877" i="1"/>
  <c r="H9877" i="1"/>
  <c r="I9877" i="1"/>
  <c r="J9877" i="1"/>
  <c r="K9877" i="1"/>
  <c r="L9877" i="1"/>
  <c r="A9878" i="1"/>
  <c r="B9878" i="1"/>
  <c r="C9878" i="1"/>
  <c r="D9878" i="1"/>
  <c r="E9878" i="1"/>
  <c r="F9878" i="1"/>
  <c r="G9878" i="1"/>
  <c r="H9878" i="1"/>
  <c r="I9878" i="1"/>
  <c r="J9878" i="1"/>
  <c r="K9878" i="1"/>
  <c r="L9878" i="1"/>
  <c r="A9879" i="1"/>
  <c r="B9879" i="1"/>
  <c r="C9879" i="1"/>
  <c r="D9879" i="1"/>
  <c r="E9879" i="1"/>
  <c r="F9879" i="1"/>
  <c r="G9879" i="1"/>
  <c r="H9879" i="1"/>
  <c r="I9879" i="1"/>
  <c r="J9879" i="1"/>
  <c r="K9879" i="1"/>
  <c r="L9879" i="1"/>
  <c r="A9880" i="1"/>
  <c r="B9880" i="1"/>
  <c r="C9880" i="1"/>
  <c r="D9880" i="1"/>
  <c r="E9880" i="1"/>
  <c r="F9880" i="1"/>
  <c r="G9880" i="1"/>
  <c r="H9880" i="1"/>
  <c r="I9880" i="1"/>
  <c r="J9880" i="1"/>
  <c r="K9880" i="1"/>
  <c r="L9880" i="1"/>
  <c r="A9881" i="1"/>
  <c r="B9881" i="1"/>
  <c r="C9881" i="1"/>
  <c r="D9881" i="1"/>
  <c r="E9881" i="1"/>
  <c r="F9881" i="1"/>
  <c r="G9881" i="1"/>
  <c r="H9881" i="1"/>
  <c r="I9881" i="1"/>
  <c r="J9881" i="1"/>
  <c r="K9881" i="1"/>
  <c r="L9881" i="1"/>
  <c r="A9882" i="1"/>
  <c r="B9882" i="1"/>
  <c r="C9882" i="1"/>
  <c r="D9882" i="1"/>
  <c r="E9882" i="1"/>
  <c r="F9882" i="1"/>
  <c r="G9882" i="1"/>
  <c r="H9882" i="1"/>
  <c r="I9882" i="1"/>
  <c r="J9882" i="1"/>
  <c r="K9882" i="1"/>
  <c r="L9882" i="1"/>
  <c r="A9883" i="1"/>
  <c r="B9883" i="1"/>
  <c r="C9883" i="1"/>
  <c r="D9883" i="1"/>
  <c r="E9883" i="1"/>
  <c r="F9883" i="1"/>
  <c r="G9883" i="1"/>
  <c r="H9883" i="1"/>
  <c r="I9883" i="1"/>
  <c r="J9883" i="1"/>
  <c r="K9883" i="1"/>
  <c r="L9883" i="1"/>
  <c r="A9884" i="1"/>
  <c r="B9884" i="1"/>
  <c r="C9884" i="1"/>
  <c r="D9884" i="1"/>
  <c r="E9884" i="1"/>
  <c r="F9884" i="1"/>
  <c r="G9884" i="1"/>
  <c r="H9884" i="1"/>
  <c r="I9884" i="1"/>
  <c r="J9884" i="1"/>
  <c r="K9884" i="1"/>
  <c r="L9884" i="1"/>
  <c r="A9885" i="1"/>
  <c r="B9885" i="1"/>
  <c r="C9885" i="1"/>
  <c r="D9885" i="1"/>
  <c r="E9885" i="1"/>
  <c r="F9885" i="1"/>
  <c r="G9885" i="1"/>
  <c r="H9885" i="1"/>
  <c r="I9885" i="1"/>
  <c r="J9885" i="1"/>
  <c r="K9885" i="1"/>
  <c r="L9885" i="1"/>
  <c r="A9886" i="1"/>
  <c r="B9886" i="1"/>
  <c r="C9886" i="1"/>
  <c r="D9886" i="1"/>
  <c r="E9886" i="1"/>
  <c r="F9886" i="1"/>
  <c r="G9886" i="1"/>
  <c r="H9886" i="1"/>
  <c r="I9886" i="1"/>
  <c r="J9886" i="1"/>
  <c r="K9886" i="1"/>
  <c r="L9886" i="1"/>
  <c r="A9887" i="1"/>
  <c r="B9887" i="1"/>
  <c r="C9887" i="1"/>
  <c r="D9887" i="1"/>
  <c r="E9887" i="1"/>
  <c r="F9887" i="1"/>
  <c r="G9887" i="1"/>
  <c r="H9887" i="1"/>
  <c r="I9887" i="1"/>
  <c r="J9887" i="1"/>
  <c r="K9887" i="1"/>
  <c r="L9887" i="1"/>
  <c r="A9888" i="1"/>
  <c r="B9888" i="1"/>
  <c r="C9888" i="1"/>
  <c r="D9888" i="1"/>
  <c r="E9888" i="1"/>
  <c r="F9888" i="1"/>
  <c r="G9888" i="1"/>
  <c r="H9888" i="1"/>
  <c r="I9888" i="1"/>
  <c r="J9888" i="1"/>
  <c r="K9888" i="1"/>
  <c r="L9888" i="1"/>
  <c r="A9889" i="1"/>
  <c r="B9889" i="1"/>
  <c r="C9889" i="1"/>
  <c r="D9889" i="1"/>
  <c r="E9889" i="1"/>
  <c r="F9889" i="1"/>
  <c r="G9889" i="1"/>
  <c r="H9889" i="1"/>
  <c r="I9889" i="1"/>
  <c r="J9889" i="1"/>
  <c r="K9889" i="1"/>
  <c r="L9889" i="1"/>
  <c r="A9890" i="1"/>
  <c r="B9890" i="1"/>
  <c r="C9890" i="1"/>
  <c r="D9890" i="1"/>
  <c r="E9890" i="1"/>
  <c r="F9890" i="1"/>
  <c r="G9890" i="1"/>
  <c r="H9890" i="1"/>
  <c r="I9890" i="1"/>
  <c r="J9890" i="1"/>
  <c r="K9890" i="1"/>
  <c r="L9890" i="1"/>
  <c r="A9891" i="1"/>
  <c r="B9891" i="1"/>
  <c r="C9891" i="1"/>
  <c r="D9891" i="1"/>
  <c r="E9891" i="1"/>
  <c r="F9891" i="1"/>
  <c r="G9891" i="1"/>
  <c r="H9891" i="1"/>
  <c r="I9891" i="1"/>
  <c r="J9891" i="1"/>
  <c r="K9891" i="1"/>
  <c r="L9891" i="1"/>
  <c r="A9892" i="1"/>
  <c r="B9892" i="1"/>
  <c r="C9892" i="1"/>
  <c r="D9892" i="1"/>
  <c r="E9892" i="1"/>
  <c r="F9892" i="1"/>
  <c r="G9892" i="1"/>
  <c r="H9892" i="1"/>
  <c r="I9892" i="1"/>
  <c r="J9892" i="1"/>
  <c r="K9892" i="1"/>
  <c r="L9892" i="1"/>
  <c r="A9893" i="1"/>
  <c r="B9893" i="1"/>
  <c r="C9893" i="1"/>
  <c r="D9893" i="1"/>
  <c r="E9893" i="1"/>
  <c r="F9893" i="1"/>
  <c r="G9893" i="1"/>
  <c r="H9893" i="1"/>
  <c r="I9893" i="1"/>
  <c r="J9893" i="1"/>
  <c r="K9893" i="1"/>
  <c r="L9893" i="1"/>
  <c r="A9894" i="1"/>
  <c r="B9894" i="1"/>
  <c r="C9894" i="1"/>
  <c r="D9894" i="1"/>
  <c r="E9894" i="1"/>
  <c r="F9894" i="1"/>
  <c r="G9894" i="1"/>
  <c r="H9894" i="1"/>
  <c r="I9894" i="1"/>
  <c r="J9894" i="1"/>
  <c r="K9894" i="1"/>
  <c r="L9894" i="1"/>
  <c r="A9895" i="1"/>
  <c r="B9895" i="1"/>
  <c r="C9895" i="1"/>
  <c r="D9895" i="1"/>
  <c r="E9895" i="1"/>
  <c r="F9895" i="1"/>
  <c r="G9895" i="1"/>
  <c r="H9895" i="1"/>
  <c r="I9895" i="1"/>
  <c r="J9895" i="1"/>
  <c r="K9895" i="1"/>
  <c r="L9895" i="1"/>
  <c r="A9896" i="1"/>
  <c r="B9896" i="1"/>
  <c r="C9896" i="1"/>
  <c r="D9896" i="1"/>
  <c r="E9896" i="1"/>
  <c r="F9896" i="1"/>
  <c r="G9896" i="1"/>
  <c r="H9896" i="1"/>
  <c r="I9896" i="1"/>
  <c r="J9896" i="1"/>
  <c r="K9896" i="1"/>
  <c r="L9896" i="1"/>
  <c r="A9897" i="1"/>
  <c r="B9897" i="1"/>
  <c r="C9897" i="1"/>
  <c r="D9897" i="1"/>
  <c r="E9897" i="1"/>
  <c r="F9897" i="1"/>
  <c r="G9897" i="1"/>
  <c r="H9897" i="1"/>
  <c r="I9897" i="1"/>
  <c r="J9897" i="1"/>
  <c r="K9897" i="1"/>
  <c r="L9897" i="1"/>
  <c r="A9898" i="1"/>
  <c r="B9898" i="1"/>
  <c r="C9898" i="1"/>
  <c r="D9898" i="1"/>
  <c r="E9898" i="1"/>
  <c r="F9898" i="1"/>
  <c r="G9898" i="1"/>
  <c r="H9898" i="1"/>
  <c r="I9898" i="1"/>
  <c r="J9898" i="1"/>
  <c r="K9898" i="1"/>
  <c r="L9898" i="1"/>
  <c r="A9899" i="1"/>
  <c r="B9899" i="1"/>
  <c r="C9899" i="1"/>
  <c r="D9899" i="1"/>
  <c r="E9899" i="1"/>
  <c r="F9899" i="1"/>
  <c r="G9899" i="1"/>
  <c r="H9899" i="1"/>
  <c r="I9899" i="1"/>
  <c r="J9899" i="1"/>
  <c r="K9899" i="1"/>
  <c r="L9899" i="1"/>
  <c r="A9900" i="1"/>
  <c r="B9900" i="1"/>
  <c r="C9900" i="1"/>
  <c r="D9900" i="1"/>
  <c r="E9900" i="1"/>
  <c r="F9900" i="1"/>
  <c r="G9900" i="1"/>
  <c r="H9900" i="1"/>
  <c r="I9900" i="1"/>
  <c r="J9900" i="1"/>
  <c r="K9900" i="1"/>
  <c r="L9900" i="1"/>
  <c r="A9901" i="1"/>
  <c r="B9901" i="1"/>
  <c r="C9901" i="1"/>
  <c r="D9901" i="1"/>
  <c r="E9901" i="1"/>
  <c r="F9901" i="1"/>
  <c r="G9901" i="1"/>
  <c r="H9901" i="1"/>
  <c r="I9901" i="1"/>
  <c r="J9901" i="1"/>
  <c r="K9901" i="1"/>
  <c r="L9901" i="1"/>
  <c r="A9902" i="1"/>
  <c r="B9902" i="1"/>
  <c r="C9902" i="1"/>
  <c r="D9902" i="1"/>
  <c r="E9902" i="1"/>
  <c r="F9902" i="1"/>
  <c r="G9902" i="1"/>
  <c r="H9902" i="1"/>
  <c r="I9902" i="1"/>
  <c r="J9902" i="1"/>
  <c r="K9902" i="1"/>
  <c r="L9902" i="1"/>
  <c r="A9903" i="1"/>
  <c r="B9903" i="1"/>
  <c r="C9903" i="1"/>
  <c r="D9903" i="1"/>
  <c r="E9903" i="1"/>
  <c r="F9903" i="1"/>
  <c r="G9903" i="1"/>
  <c r="H9903" i="1"/>
  <c r="I9903" i="1"/>
  <c r="J9903" i="1"/>
  <c r="K9903" i="1"/>
  <c r="L9903" i="1"/>
  <c r="A9904" i="1"/>
  <c r="B9904" i="1"/>
  <c r="C9904" i="1"/>
  <c r="D9904" i="1"/>
  <c r="E9904" i="1"/>
  <c r="F9904" i="1"/>
  <c r="G9904" i="1"/>
  <c r="H9904" i="1"/>
  <c r="I9904" i="1"/>
  <c r="J9904" i="1"/>
  <c r="K9904" i="1"/>
  <c r="L9904" i="1"/>
  <c r="A9905" i="1"/>
  <c r="B9905" i="1"/>
  <c r="C9905" i="1"/>
  <c r="D9905" i="1"/>
  <c r="E9905" i="1"/>
  <c r="F9905" i="1"/>
  <c r="G9905" i="1"/>
  <c r="H9905" i="1"/>
  <c r="I9905" i="1"/>
  <c r="J9905" i="1"/>
  <c r="K9905" i="1"/>
  <c r="L9905" i="1"/>
  <c r="A9906" i="1"/>
  <c r="B9906" i="1"/>
  <c r="C9906" i="1"/>
  <c r="D9906" i="1"/>
  <c r="E9906" i="1"/>
  <c r="F9906" i="1"/>
  <c r="G9906" i="1"/>
  <c r="H9906" i="1"/>
  <c r="I9906" i="1"/>
  <c r="J9906" i="1"/>
  <c r="K9906" i="1"/>
  <c r="L9906" i="1"/>
  <c r="A9907" i="1"/>
  <c r="B9907" i="1"/>
  <c r="C9907" i="1"/>
  <c r="D9907" i="1"/>
  <c r="E9907" i="1"/>
  <c r="F9907" i="1"/>
  <c r="G9907" i="1"/>
  <c r="H9907" i="1"/>
  <c r="I9907" i="1"/>
  <c r="J9907" i="1"/>
  <c r="K9907" i="1"/>
  <c r="L9907" i="1"/>
  <c r="A9908" i="1"/>
  <c r="B9908" i="1"/>
  <c r="C9908" i="1"/>
  <c r="D9908" i="1"/>
  <c r="E9908" i="1"/>
  <c r="F9908" i="1"/>
  <c r="G9908" i="1"/>
  <c r="H9908" i="1"/>
  <c r="I9908" i="1"/>
  <c r="J9908" i="1"/>
  <c r="K9908" i="1"/>
  <c r="L9908" i="1"/>
  <c r="A9909" i="1"/>
  <c r="B9909" i="1"/>
  <c r="C9909" i="1"/>
  <c r="D9909" i="1"/>
  <c r="E9909" i="1"/>
  <c r="F9909" i="1"/>
  <c r="G9909" i="1"/>
  <c r="H9909" i="1"/>
  <c r="I9909" i="1"/>
  <c r="J9909" i="1"/>
  <c r="K9909" i="1"/>
  <c r="L9909" i="1"/>
  <c r="A9910" i="1"/>
  <c r="B9910" i="1"/>
  <c r="C9910" i="1"/>
  <c r="D9910" i="1"/>
  <c r="E9910" i="1"/>
  <c r="F9910" i="1"/>
  <c r="G9910" i="1"/>
  <c r="H9910" i="1"/>
  <c r="I9910" i="1"/>
  <c r="J9910" i="1"/>
  <c r="K9910" i="1"/>
  <c r="L9910" i="1"/>
  <c r="A9911" i="1"/>
  <c r="B9911" i="1"/>
  <c r="C9911" i="1"/>
  <c r="D9911" i="1"/>
  <c r="E9911" i="1"/>
  <c r="F9911" i="1"/>
  <c r="G9911" i="1"/>
  <c r="H9911" i="1"/>
  <c r="I9911" i="1"/>
  <c r="J9911" i="1"/>
  <c r="K9911" i="1"/>
  <c r="L9911" i="1"/>
  <c r="A9912" i="1"/>
  <c r="B9912" i="1"/>
  <c r="C9912" i="1"/>
  <c r="D9912" i="1"/>
  <c r="E9912" i="1"/>
  <c r="F9912" i="1"/>
  <c r="G9912" i="1"/>
  <c r="H9912" i="1"/>
  <c r="I9912" i="1"/>
  <c r="J9912" i="1"/>
  <c r="K9912" i="1"/>
  <c r="L9912" i="1"/>
  <c r="A9913" i="1"/>
  <c r="B9913" i="1"/>
  <c r="C9913" i="1"/>
  <c r="D9913" i="1"/>
  <c r="E9913" i="1"/>
  <c r="F9913" i="1"/>
  <c r="G9913" i="1"/>
  <c r="H9913" i="1"/>
  <c r="I9913" i="1"/>
  <c r="J9913" i="1"/>
  <c r="K9913" i="1"/>
  <c r="L9913" i="1"/>
  <c r="A9914" i="1"/>
  <c r="B9914" i="1"/>
  <c r="C9914" i="1"/>
  <c r="D9914" i="1"/>
  <c r="E9914" i="1"/>
  <c r="F9914" i="1"/>
  <c r="G9914" i="1"/>
  <c r="H9914" i="1"/>
  <c r="I9914" i="1"/>
  <c r="J9914" i="1"/>
  <c r="K9914" i="1"/>
  <c r="L9914" i="1"/>
  <c r="A9915" i="1"/>
  <c r="B9915" i="1"/>
  <c r="C9915" i="1"/>
  <c r="D9915" i="1"/>
  <c r="E9915" i="1"/>
  <c r="F9915" i="1"/>
  <c r="G9915" i="1"/>
  <c r="H9915" i="1"/>
  <c r="I9915" i="1"/>
  <c r="J9915" i="1"/>
  <c r="K9915" i="1"/>
  <c r="L9915" i="1"/>
  <c r="A9916" i="1"/>
  <c r="B9916" i="1"/>
  <c r="C9916" i="1"/>
  <c r="D9916" i="1"/>
  <c r="E9916" i="1"/>
  <c r="F9916" i="1"/>
  <c r="G9916" i="1"/>
  <c r="H9916" i="1"/>
  <c r="I9916" i="1"/>
  <c r="J9916" i="1"/>
  <c r="K9916" i="1"/>
  <c r="L9916" i="1"/>
  <c r="A9917" i="1"/>
  <c r="B9917" i="1"/>
  <c r="C9917" i="1"/>
  <c r="D9917" i="1"/>
  <c r="E9917" i="1"/>
  <c r="F9917" i="1"/>
  <c r="G9917" i="1"/>
  <c r="H9917" i="1"/>
  <c r="I9917" i="1"/>
  <c r="J9917" i="1"/>
  <c r="K9917" i="1"/>
  <c r="L9917" i="1"/>
  <c r="A9918" i="1"/>
  <c r="B9918" i="1"/>
  <c r="C9918" i="1"/>
  <c r="D9918" i="1"/>
  <c r="E9918" i="1"/>
  <c r="F9918" i="1"/>
  <c r="G9918" i="1"/>
  <c r="H9918" i="1"/>
  <c r="I9918" i="1"/>
  <c r="J9918" i="1"/>
  <c r="K9918" i="1"/>
  <c r="L9918" i="1"/>
  <c r="A9919" i="1"/>
  <c r="B9919" i="1"/>
  <c r="C9919" i="1"/>
  <c r="D9919" i="1"/>
  <c r="E9919" i="1"/>
  <c r="F9919" i="1"/>
  <c r="G9919" i="1"/>
  <c r="H9919" i="1"/>
  <c r="I9919" i="1"/>
  <c r="J9919" i="1"/>
  <c r="K9919" i="1"/>
  <c r="L9919" i="1"/>
  <c r="A9920" i="1"/>
  <c r="B9920" i="1"/>
  <c r="C9920" i="1"/>
  <c r="D9920" i="1"/>
  <c r="E9920" i="1"/>
  <c r="F9920" i="1"/>
  <c r="G9920" i="1"/>
  <c r="H9920" i="1"/>
  <c r="I9920" i="1"/>
  <c r="J9920" i="1"/>
  <c r="K9920" i="1"/>
  <c r="L9920" i="1"/>
  <c r="A9921" i="1"/>
  <c r="B9921" i="1"/>
  <c r="C9921" i="1"/>
  <c r="D9921" i="1"/>
  <c r="E9921" i="1"/>
  <c r="F9921" i="1"/>
  <c r="G9921" i="1"/>
  <c r="H9921" i="1"/>
  <c r="I9921" i="1"/>
  <c r="J9921" i="1"/>
  <c r="K9921" i="1"/>
  <c r="L9921" i="1"/>
  <c r="A9922" i="1"/>
  <c r="B9922" i="1"/>
  <c r="C9922" i="1"/>
  <c r="D9922" i="1"/>
  <c r="E9922" i="1"/>
  <c r="F9922" i="1"/>
  <c r="G9922" i="1"/>
  <c r="H9922" i="1"/>
  <c r="I9922" i="1"/>
  <c r="J9922" i="1"/>
  <c r="K9922" i="1"/>
  <c r="L9922" i="1"/>
  <c r="A9923" i="1"/>
  <c r="B9923" i="1"/>
  <c r="C9923" i="1"/>
  <c r="D9923" i="1"/>
  <c r="E9923" i="1"/>
  <c r="F9923" i="1"/>
  <c r="G9923" i="1"/>
  <c r="H9923" i="1"/>
  <c r="I9923" i="1"/>
  <c r="J9923" i="1"/>
  <c r="K9923" i="1"/>
  <c r="L9923" i="1"/>
  <c r="A9924" i="1"/>
  <c r="B9924" i="1"/>
  <c r="C9924" i="1"/>
  <c r="D9924" i="1"/>
  <c r="E9924" i="1"/>
  <c r="F9924" i="1"/>
  <c r="G9924" i="1"/>
  <c r="H9924" i="1"/>
  <c r="I9924" i="1"/>
  <c r="J9924" i="1"/>
  <c r="K9924" i="1"/>
  <c r="L9924" i="1"/>
  <c r="A9925" i="1"/>
  <c r="B9925" i="1"/>
  <c r="C9925" i="1"/>
  <c r="D9925" i="1"/>
  <c r="E9925" i="1"/>
  <c r="F9925" i="1"/>
  <c r="G9925" i="1"/>
  <c r="H9925" i="1"/>
  <c r="I9925" i="1"/>
  <c r="J9925" i="1"/>
  <c r="K9925" i="1"/>
  <c r="L9925" i="1"/>
  <c r="A9926" i="1"/>
  <c r="B9926" i="1"/>
  <c r="C9926" i="1"/>
  <c r="D9926" i="1"/>
  <c r="E9926" i="1"/>
  <c r="F9926" i="1"/>
  <c r="G9926" i="1"/>
  <c r="H9926" i="1"/>
  <c r="I9926" i="1"/>
  <c r="J9926" i="1"/>
  <c r="K9926" i="1"/>
  <c r="L9926" i="1"/>
  <c r="A9927" i="1"/>
  <c r="B9927" i="1"/>
  <c r="C9927" i="1"/>
  <c r="D9927" i="1"/>
  <c r="E9927" i="1"/>
  <c r="F9927" i="1"/>
  <c r="G9927" i="1"/>
  <c r="H9927" i="1"/>
  <c r="I9927" i="1"/>
  <c r="J9927" i="1"/>
  <c r="K9927" i="1"/>
  <c r="L9927" i="1"/>
  <c r="A9928" i="1"/>
  <c r="B9928" i="1"/>
  <c r="C9928" i="1"/>
  <c r="D9928" i="1"/>
  <c r="E9928" i="1"/>
  <c r="F9928" i="1"/>
  <c r="G9928" i="1"/>
  <c r="H9928" i="1"/>
  <c r="I9928" i="1"/>
  <c r="J9928" i="1"/>
  <c r="K9928" i="1"/>
  <c r="L9928" i="1"/>
  <c r="A9929" i="1"/>
  <c r="B9929" i="1"/>
  <c r="C9929" i="1"/>
  <c r="D9929" i="1"/>
  <c r="E9929" i="1"/>
  <c r="F9929" i="1"/>
  <c r="G9929" i="1"/>
  <c r="H9929" i="1"/>
  <c r="I9929" i="1"/>
  <c r="J9929" i="1"/>
  <c r="K9929" i="1"/>
  <c r="L9929" i="1"/>
  <c r="A9930" i="1"/>
  <c r="B9930" i="1"/>
  <c r="C9930" i="1"/>
  <c r="D9930" i="1"/>
  <c r="E9930" i="1"/>
  <c r="F9930" i="1"/>
  <c r="G9930" i="1"/>
  <c r="H9930" i="1"/>
  <c r="I9930" i="1"/>
  <c r="J9930" i="1"/>
  <c r="K9930" i="1"/>
  <c r="L9930" i="1"/>
  <c r="A9931" i="1"/>
  <c r="B9931" i="1"/>
  <c r="C9931" i="1"/>
  <c r="D9931" i="1"/>
  <c r="E9931" i="1"/>
  <c r="F9931" i="1"/>
  <c r="G9931" i="1"/>
  <c r="H9931" i="1"/>
  <c r="I9931" i="1"/>
  <c r="J9931" i="1"/>
  <c r="K9931" i="1"/>
  <c r="L9931" i="1"/>
  <c r="A9932" i="1"/>
  <c r="B9932" i="1"/>
  <c r="C9932" i="1"/>
  <c r="D9932" i="1"/>
  <c r="E9932" i="1"/>
  <c r="F9932" i="1"/>
  <c r="G9932" i="1"/>
  <c r="H9932" i="1"/>
  <c r="I9932" i="1"/>
  <c r="J9932" i="1"/>
  <c r="K9932" i="1"/>
  <c r="L9932" i="1"/>
  <c r="A9933" i="1"/>
  <c r="B9933" i="1"/>
  <c r="C9933" i="1"/>
  <c r="D9933" i="1"/>
  <c r="E9933" i="1"/>
  <c r="F9933" i="1"/>
  <c r="G9933" i="1"/>
  <c r="H9933" i="1"/>
  <c r="I9933" i="1"/>
  <c r="J9933" i="1"/>
  <c r="K9933" i="1"/>
  <c r="L9933" i="1"/>
  <c r="A9934" i="1"/>
  <c r="B9934" i="1"/>
  <c r="C9934" i="1"/>
  <c r="D9934" i="1"/>
  <c r="E9934" i="1"/>
  <c r="F9934" i="1"/>
  <c r="G9934" i="1"/>
  <c r="H9934" i="1"/>
  <c r="I9934" i="1"/>
  <c r="J9934" i="1"/>
  <c r="K9934" i="1"/>
  <c r="L9934" i="1"/>
  <c r="A9935" i="1"/>
  <c r="B9935" i="1"/>
  <c r="C9935" i="1"/>
  <c r="D9935" i="1"/>
  <c r="E9935" i="1"/>
  <c r="F9935" i="1"/>
  <c r="G9935" i="1"/>
  <c r="H9935" i="1"/>
  <c r="I9935" i="1"/>
  <c r="J9935" i="1"/>
  <c r="K9935" i="1"/>
  <c r="L9935" i="1"/>
  <c r="A9936" i="1"/>
  <c r="B9936" i="1"/>
  <c r="C9936" i="1"/>
  <c r="D9936" i="1"/>
  <c r="E9936" i="1"/>
  <c r="F9936" i="1"/>
  <c r="G9936" i="1"/>
  <c r="H9936" i="1"/>
  <c r="I9936" i="1"/>
  <c r="J9936" i="1"/>
  <c r="K9936" i="1"/>
  <c r="L9936" i="1"/>
  <c r="A9937" i="1"/>
  <c r="B9937" i="1"/>
  <c r="C9937" i="1"/>
  <c r="D9937" i="1"/>
  <c r="E9937" i="1"/>
  <c r="F9937" i="1"/>
  <c r="G9937" i="1"/>
  <c r="H9937" i="1"/>
  <c r="I9937" i="1"/>
  <c r="J9937" i="1"/>
  <c r="K9937" i="1"/>
  <c r="L9937" i="1"/>
  <c r="A9938" i="1"/>
  <c r="B9938" i="1"/>
  <c r="C9938" i="1"/>
  <c r="D9938" i="1"/>
  <c r="E9938" i="1"/>
  <c r="F9938" i="1"/>
  <c r="G9938" i="1"/>
  <c r="H9938" i="1"/>
  <c r="I9938" i="1"/>
  <c r="J9938" i="1"/>
  <c r="K9938" i="1"/>
  <c r="L9938" i="1"/>
  <c r="A9939" i="1"/>
  <c r="B9939" i="1"/>
  <c r="C9939" i="1"/>
  <c r="D9939" i="1"/>
  <c r="E9939" i="1"/>
  <c r="F9939" i="1"/>
  <c r="G9939" i="1"/>
  <c r="H9939" i="1"/>
  <c r="I9939" i="1"/>
  <c r="J9939" i="1"/>
  <c r="K9939" i="1"/>
  <c r="L9939" i="1"/>
  <c r="A9940" i="1"/>
  <c r="B9940" i="1"/>
  <c r="C9940" i="1"/>
  <c r="D9940" i="1"/>
  <c r="E9940" i="1"/>
  <c r="F9940" i="1"/>
  <c r="G9940" i="1"/>
  <c r="H9940" i="1"/>
  <c r="I9940" i="1"/>
  <c r="J9940" i="1"/>
  <c r="K9940" i="1"/>
  <c r="L9940" i="1"/>
  <c r="A9941" i="1"/>
  <c r="B9941" i="1"/>
  <c r="C9941" i="1"/>
  <c r="D9941" i="1"/>
  <c r="E9941" i="1"/>
  <c r="F9941" i="1"/>
  <c r="G9941" i="1"/>
  <c r="H9941" i="1"/>
  <c r="I9941" i="1"/>
  <c r="J9941" i="1"/>
  <c r="K9941" i="1"/>
  <c r="L9941" i="1"/>
  <c r="A9942" i="1"/>
  <c r="B9942" i="1"/>
  <c r="C9942" i="1"/>
  <c r="D9942" i="1"/>
  <c r="E9942" i="1"/>
  <c r="F9942" i="1"/>
  <c r="G9942" i="1"/>
  <c r="H9942" i="1"/>
  <c r="I9942" i="1"/>
  <c r="J9942" i="1"/>
  <c r="K9942" i="1"/>
  <c r="L9942" i="1"/>
  <c r="A9943" i="1"/>
  <c r="B9943" i="1"/>
  <c r="C9943" i="1"/>
  <c r="D9943" i="1"/>
  <c r="E9943" i="1"/>
  <c r="F9943" i="1"/>
  <c r="G9943" i="1"/>
  <c r="H9943" i="1"/>
  <c r="I9943" i="1"/>
  <c r="J9943" i="1"/>
  <c r="K9943" i="1"/>
  <c r="L9943" i="1"/>
  <c r="A9944" i="1"/>
  <c r="B9944" i="1"/>
  <c r="C9944" i="1"/>
  <c r="D9944" i="1"/>
  <c r="E9944" i="1"/>
  <c r="F9944" i="1"/>
  <c r="G9944" i="1"/>
  <c r="H9944" i="1"/>
  <c r="I9944" i="1"/>
  <c r="J9944" i="1"/>
  <c r="K9944" i="1"/>
  <c r="L9944" i="1"/>
  <c r="A9945" i="1"/>
  <c r="B9945" i="1"/>
  <c r="C9945" i="1"/>
  <c r="D9945" i="1"/>
  <c r="E9945" i="1"/>
  <c r="F9945" i="1"/>
  <c r="G9945" i="1"/>
  <c r="H9945" i="1"/>
  <c r="I9945" i="1"/>
  <c r="J9945" i="1"/>
  <c r="K9945" i="1"/>
  <c r="L9945" i="1"/>
  <c r="A9946" i="1"/>
  <c r="B9946" i="1"/>
  <c r="C9946" i="1"/>
  <c r="D9946" i="1"/>
  <c r="E9946" i="1"/>
  <c r="F9946" i="1"/>
  <c r="G9946" i="1"/>
  <c r="H9946" i="1"/>
  <c r="I9946" i="1"/>
  <c r="J9946" i="1"/>
  <c r="K9946" i="1"/>
  <c r="L9946" i="1"/>
  <c r="A9947" i="1"/>
  <c r="B9947" i="1"/>
  <c r="C9947" i="1"/>
  <c r="D9947" i="1"/>
  <c r="E9947" i="1"/>
  <c r="F9947" i="1"/>
  <c r="G9947" i="1"/>
  <c r="H9947" i="1"/>
  <c r="I9947" i="1"/>
  <c r="J9947" i="1"/>
  <c r="K9947" i="1"/>
  <c r="L9947" i="1"/>
  <c r="A9948" i="1"/>
  <c r="B9948" i="1"/>
  <c r="C9948" i="1"/>
  <c r="D9948" i="1"/>
  <c r="E9948" i="1"/>
  <c r="F9948" i="1"/>
  <c r="G9948" i="1"/>
  <c r="H9948" i="1"/>
  <c r="I9948" i="1"/>
  <c r="J9948" i="1"/>
  <c r="K9948" i="1"/>
  <c r="L9948" i="1"/>
  <c r="A9949" i="1"/>
  <c r="B9949" i="1"/>
  <c r="C9949" i="1"/>
  <c r="D9949" i="1"/>
  <c r="E9949" i="1"/>
  <c r="F9949" i="1"/>
  <c r="G9949" i="1"/>
  <c r="H9949" i="1"/>
  <c r="I9949" i="1"/>
  <c r="J9949" i="1"/>
  <c r="K9949" i="1"/>
  <c r="L9949" i="1"/>
  <c r="A9950" i="1"/>
  <c r="B9950" i="1"/>
  <c r="C9950" i="1"/>
  <c r="D9950" i="1"/>
  <c r="E9950" i="1"/>
  <c r="F9950" i="1"/>
  <c r="G9950" i="1"/>
  <c r="H9950" i="1"/>
  <c r="I9950" i="1"/>
  <c r="J9950" i="1"/>
  <c r="K9950" i="1"/>
  <c r="L9950" i="1"/>
  <c r="A9951" i="1"/>
  <c r="B9951" i="1"/>
  <c r="C9951" i="1"/>
  <c r="D9951" i="1"/>
  <c r="E9951" i="1"/>
  <c r="F9951" i="1"/>
  <c r="G9951" i="1"/>
  <c r="H9951" i="1"/>
  <c r="I9951" i="1"/>
  <c r="J9951" i="1"/>
  <c r="K9951" i="1"/>
  <c r="L9951" i="1"/>
  <c r="A9952" i="1"/>
  <c r="B9952" i="1"/>
  <c r="C9952" i="1"/>
  <c r="D9952" i="1"/>
  <c r="E9952" i="1"/>
  <c r="F9952" i="1"/>
  <c r="G9952" i="1"/>
  <c r="H9952" i="1"/>
  <c r="I9952" i="1"/>
  <c r="J9952" i="1"/>
  <c r="K9952" i="1"/>
  <c r="L9952" i="1"/>
  <c r="A9953" i="1"/>
  <c r="B9953" i="1"/>
  <c r="C9953" i="1"/>
  <c r="D9953" i="1"/>
  <c r="E9953" i="1"/>
  <c r="F9953" i="1"/>
  <c r="G9953" i="1"/>
  <c r="H9953" i="1"/>
  <c r="I9953" i="1"/>
  <c r="J9953" i="1"/>
  <c r="K9953" i="1"/>
  <c r="L9953" i="1"/>
  <c r="A9954" i="1"/>
  <c r="B9954" i="1"/>
  <c r="C9954" i="1"/>
  <c r="D9954" i="1"/>
  <c r="E9954" i="1"/>
  <c r="F9954" i="1"/>
  <c r="G9954" i="1"/>
  <c r="H9954" i="1"/>
  <c r="I9954" i="1"/>
  <c r="J9954" i="1"/>
  <c r="K9954" i="1"/>
  <c r="L9954" i="1"/>
  <c r="A9955" i="1"/>
  <c r="B9955" i="1"/>
  <c r="C9955" i="1"/>
  <c r="D9955" i="1"/>
  <c r="E9955" i="1"/>
  <c r="F9955" i="1"/>
  <c r="G9955" i="1"/>
  <c r="H9955" i="1"/>
  <c r="I9955" i="1"/>
  <c r="J9955" i="1"/>
  <c r="K9955" i="1"/>
  <c r="L9955" i="1"/>
  <c r="A9956" i="1"/>
  <c r="B9956" i="1"/>
  <c r="C9956" i="1"/>
  <c r="D9956" i="1"/>
  <c r="E9956" i="1"/>
  <c r="F9956" i="1"/>
  <c r="G9956" i="1"/>
  <c r="H9956" i="1"/>
  <c r="I9956" i="1"/>
  <c r="J9956" i="1"/>
  <c r="K9956" i="1"/>
  <c r="L9956" i="1"/>
  <c r="A9957" i="1"/>
  <c r="B9957" i="1"/>
  <c r="C9957" i="1"/>
  <c r="D9957" i="1"/>
  <c r="E9957" i="1"/>
  <c r="F9957" i="1"/>
  <c r="G9957" i="1"/>
  <c r="H9957" i="1"/>
  <c r="I9957" i="1"/>
  <c r="J9957" i="1"/>
  <c r="K9957" i="1"/>
  <c r="L9957" i="1"/>
  <c r="A9958" i="1"/>
  <c r="B9958" i="1"/>
  <c r="C9958" i="1"/>
  <c r="D9958" i="1"/>
  <c r="E9958" i="1"/>
  <c r="F9958" i="1"/>
  <c r="G9958" i="1"/>
  <c r="H9958" i="1"/>
  <c r="I9958" i="1"/>
  <c r="J9958" i="1"/>
  <c r="K9958" i="1"/>
  <c r="L9958" i="1"/>
  <c r="A9959" i="1"/>
  <c r="B9959" i="1"/>
  <c r="C9959" i="1"/>
  <c r="D9959" i="1"/>
  <c r="E9959" i="1"/>
  <c r="F9959" i="1"/>
  <c r="G9959" i="1"/>
  <c r="H9959" i="1"/>
  <c r="I9959" i="1"/>
  <c r="J9959" i="1"/>
  <c r="K9959" i="1"/>
  <c r="L9959" i="1"/>
  <c r="A9960" i="1"/>
  <c r="B9960" i="1"/>
  <c r="C9960" i="1"/>
  <c r="D9960" i="1"/>
  <c r="E9960" i="1"/>
  <c r="F9960" i="1"/>
  <c r="G9960" i="1"/>
  <c r="H9960" i="1"/>
  <c r="I9960" i="1"/>
  <c r="J9960" i="1"/>
  <c r="K9960" i="1"/>
  <c r="L9960" i="1"/>
  <c r="A9961" i="1"/>
  <c r="B9961" i="1"/>
  <c r="C9961" i="1"/>
  <c r="D9961" i="1"/>
  <c r="E9961" i="1"/>
  <c r="F9961" i="1"/>
  <c r="G9961" i="1"/>
  <c r="H9961" i="1"/>
  <c r="I9961" i="1"/>
  <c r="J9961" i="1"/>
  <c r="K9961" i="1"/>
  <c r="L9961" i="1"/>
  <c r="A9962" i="1"/>
  <c r="B9962" i="1"/>
  <c r="C9962" i="1"/>
  <c r="D9962" i="1"/>
  <c r="E9962" i="1"/>
  <c r="F9962" i="1"/>
  <c r="G9962" i="1"/>
  <c r="H9962" i="1"/>
  <c r="I9962" i="1"/>
  <c r="J9962" i="1"/>
  <c r="K9962" i="1"/>
  <c r="L9962" i="1"/>
  <c r="A9963" i="1"/>
  <c r="B9963" i="1"/>
  <c r="C9963" i="1"/>
  <c r="D9963" i="1"/>
  <c r="E9963" i="1"/>
  <c r="F9963" i="1"/>
  <c r="G9963" i="1"/>
  <c r="H9963" i="1"/>
  <c r="I9963" i="1"/>
  <c r="J9963" i="1"/>
  <c r="K9963" i="1"/>
  <c r="L9963" i="1"/>
  <c r="A9964" i="1"/>
  <c r="B9964" i="1"/>
  <c r="C9964" i="1"/>
  <c r="D9964" i="1"/>
  <c r="E9964" i="1"/>
  <c r="F9964" i="1"/>
  <c r="G9964" i="1"/>
  <c r="H9964" i="1"/>
  <c r="I9964" i="1"/>
  <c r="J9964" i="1"/>
  <c r="K9964" i="1"/>
  <c r="L9964" i="1"/>
  <c r="A9965" i="1"/>
  <c r="B9965" i="1"/>
  <c r="C9965" i="1"/>
  <c r="D9965" i="1"/>
  <c r="E9965" i="1"/>
  <c r="F9965" i="1"/>
  <c r="G9965" i="1"/>
  <c r="H9965" i="1"/>
  <c r="I9965" i="1"/>
  <c r="J9965" i="1"/>
  <c r="K9965" i="1"/>
  <c r="L9965" i="1"/>
  <c r="A9966" i="1"/>
  <c r="B9966" i="1"/>
  <c r="C9966" i="1"/>
  <c r="D9966" i="1"/>
  <c r="E9966" i="1"/>
  <c r="F9966" i="1"/>
  <c r="G9966" i="1"/>
  <c r="H9966" i="1"/>
  <c r="I9966" i="1"/>
  <c r="J9966" i="1"/>
  <c r="K9966" i="1"/>
  <c r="L9966" i="1"/>
  <c r="A9967" i="1"/>
  <c r="B9967" i="1"/>
  <c r="C9967" i="1"/>
  <c r="D9967" i="1"/>
  <c r="E9967" i="1"/>
  <c r="F9967" i="1"/>
  <c r="G9967" i="1"/>
  <c r="H9967" i="1"/>
  <c r="I9967" i="1"/>
  <c r="J9967" i="1"/>
  <c r="K9967" i="1"/>
  <c r="L9967" i="1"/>
  <c r="A9968" i="1"/>
  <c r="B9968" i="1"/>
  <c r="C9968" i="1"/>
  <c r="D9968" i="1"/>
  <c r="E9968" i="1"/>
  <c r="F9968" i="1"/>
  <c r="G9968" i="1"/>
  <c r="H9968" i="1"/>
  <c r="I9968" i="1"/>
  <c r="J9968" i="1"/>
  <c r="K9968" i="1"/>
  <c r="L9968" i="1"/>
  <c r="A9969" i="1"/>
  <c r="B9969" i="1"/>
  <c r="C9969" i="1"/>
  <c r="D9969" i="1"/>
  <c r="E9969" i="1"/>
  <c r="F9969" i="1"/>
  <c r="G9969" i="1"/>
  <c r="H9969" i="1"/>
  <c r="I9969" i="1"/>
  <c r="J9969" i="1"/>
  <c r="K9969" i="1"/>
  <c r="L9969" i="1"/>
  <c r="A9970" i="1"/>
  <c r="B9970" i="1"/>
  <c r="C9970" i="1"/>
  <c r="D9970" i="1"/>
  <c r="E9970" i="1"/>
  <c r="F9970" i="1"/>
  <c r="G9970" i="1"/>
  <c r="H9970" i="1"/>
  <c r="I9970" i="1"/>
  <c r="J9970" i="1"/>
  <c r="K9970" i="1"/>
  <c r="L9970" i="1"/>
  <c r="A9971" i="1"/>
  <c r="B9971" i="1"/>
  <c r="C9971" i="1"/>
  <c r="D9971" i="1"/>
  <c r="E9971" i="1"/>
  <c r="F9971" i="1"/>
  <c r="G9971" i="1"/>
  <c r="H9971" i="1"/>
  <c r="I9971" i="1"/>
  <c r="J9971" i="1"/>
  <c r="K9971" i="1"/>
  <c r="L9971" i="1"/>
  <c r="A9972" i="1"/>
  <c r="B9972" i="1"/>
  <c r="C9972" i="1"/>
  <c r="D9972" i="1"/>
  <c r="E9972" i="1"/>
  <c r="F9972" i="1"/>
  <c r="G9972" i="1"/>
  <c r="H9972" i="1"/>
  <c r="I9972" i="1"/>
  <c r="J9972" i="1"/>
  <c r="K9972" i="1"/>
  <c r="L9972" i="1"/>
  <c r="A9973" i="1"/>
  <c r="B9973" i="1"/>
  <c r="C9973" i="1"/>
  <c r="D9973" i="1"/>
  <c r="E9973" i="1"/>
  <c r="F9973" i="1"/>
  <c r="G9973" i="1"/>
  <c r="H9973" i="1"/>
  <c r="I9973" i="1"/>
  <c r="J9973" i="1"/>
  <c r="K9973" i="1"/>
  <c r="L9973" i="1"/>
  <c r="A9974" i="1"/>
  <c r="B9974" i="1"/>
  <c r="C9974" i="1"/>
  <c r="D9974" i="1"/>
  <c r="E9974" i="1"/>
  <c r="F9974" i="1"/>
  <c r="G9974" i="1"/>
  <c r="H9974" i="1"/>
  <c r="I9974" i="1"/>
  <c r="J9974" i="1"/>
  <c r="K9974" i="1"/>
  <c r="L9974" i="1"/>
  <c r="A9975" i="1"/>
  <c r="B9975" i="1"/>
  <c r="C9975" i="1"/>
  <c r="D9975" i="1"/>
  <c r="E9975" i="1"/>
  <c r="F9975" i="1"/>
  <c r="G9975" i="1"/>
  <c r="H9975" i="1"/>
  <c r="I9975" i="1"/>
  <c r="J9975" i="1"/>
  <c r="K9975" i="1"/>
  <c r="L9975" i="1"/>
  <c r="A9976" i="1"/>
  <c r="B9976" i="1"/>
  <c r="C9976" i="1"/>
  <c r="D9976" i="1"/>
  <c r="E9976" i="1"/>
  <c r="F9976" i="1"/>
  <c r="G9976" i="1"/>
  <c r="H9976" i="1"/>
  <c r="I9976" i="1"/>
  <c r="J9976" i="1"/>
  <c r="K9976" i="1"/>
  <c r="L9976" i="1"/>
  <c r="A9977" i="1"/>
  <c r="B9977" i="1"/>
  <c r="C9977" i="1"/>
  <c r="D9977" i="1"/>
  <c r="E9977" i="1"/>
  <c r="F9977" i="1"/>
  <c r="G9977" i="1"/>
  <c r="H9977" i="1"/>
  <c r="I9977" i="1"/>
  <c r="J9977" i="1"/>
  <c r="K9977" i="1"/>
  <c r="L9977" i="1"/>
  <c r="A9978" i="1"/>
  <c r="B9978" i="1"/>
  <c r="C9978" i="1"/>
  <c r="D9978" i="1"/>
  <c r="E9978" i="1"/>
  <c r="F9978" i="1"/>
  <c r="G9978" i="1"/>
  <c r="H9978" i="1"/>
  <c r="I9978" i="1"/>
  <c r="J9978" i="1"/>
  <c r="K9978" i="1"/>
  <c r="L9978" i="1"/>
  <c r="A9979" i="1"/>
  <c r="B9979" i="1"/>
  <c r="C9979" i="1"/>
  <c r="D9979" i="1"/>
  <c r="E9979" i="1"/>
  <c r="F9979" i="1"/>
  <c r="G9979" i="1"/>
  <c r="H9979" i="1"/>
  <c r="I9979" i="1"/>
  <c r="J9979" i="1"/>
  <c r="K9979" i="1"/>
  <c r="L9979" i="1"/>
  <c r="A9980" i="1"/>
  <c r="B9980" i="1"/>
  <c r="C9980" i="1"/>
  <c r="D9980" i="1"/>
  <c r="E9980" i="1"/>
  <c r="F9980" i="1"/>
  <c r="G9980" i="1"/>
  <c r="H9980" i="1"/>
  <c r="I9980" i="1"/>
  <c r="J9980" i="1"/>
  <c r="K9980" i="1"/>
  <c r="L9980" i="1"/>
  <c r="A9981" i="1"/>
  <c r="B9981" i="1"/>
  <c r="C9981" i="1"/>
  <c r="D9981" i="1"/>
  <c r="E9981" i="1"/>
  <c r="F9981" i="1"/>
  <c r="G9981" i="1"/>
  <c r="H9981" i="1"/>
  <c r="I9981" i="1"/>
  <c r="J9981" i="1"/>
  <c r="K9981" i="1"/>
  <c r="L9981" i="1"/>
  <c r="A9982" i="1"/>
  <c r="B9982" i="1"/>
  <c r="C9982" i="1"/>
  <c r="D9982" i="1"/>
  <c r="E9982" i="1"/>
  <c r="F9982" i="1"/>
  <c r="G9982" i="1"/>
  <c r="H9982" i="1"/>
  <c r="I9982" i="1"/>
  <c r="J9982" i="1"/>
  <c r="K9982" i="1"/>
  <c r="L9982" i="1"/>
  <c r="A9983" i="1"/>
  <c r="B9983" i="1"/>
  <c r="C9983" i="1"/>
  <c r="D9983" i="1"/>
  <c r="E9983" i="1"/>
  <c r="F9983" i="1"/>
  <c r="G9983" i="1"/>
  <c r="H9983" i="1"/>
  <c r="I9983" i="1"/>
  <c r="J9983" i="1"/>
  <c r="K9983" i="1"/>
  <c r="L9983" i="1"/>
  <c r="A9984" i="1"/>
  <c r="B9984" i="1"/>
  <c r="C9984" i="1"/>
  <c r="D9984" i="1"/>
  <c r="E9984" i="1"/>
  <c r="F9984" i="1"/>
  <c r="G9984" i="1"/>
  <c r="H9984" i="1"/>
  <c r="I9984" i="1"/>
  <c r="J9984" i="1"/>
  <c r="K9984" i="1"/>
  <c r="L9984" i="1"/>
  <c r="A9985" i="1"/>
  <c r="B9985" i="1"/>
  <c r="C9985" i="1"/>
  <c r="D9985" i="1"/>
  <c r="E9985" i="1"/>
  <c r="F9985" i="1"/>
  <c r="G9985" i="1"/>
  <c r="H9985" i="1"/>
  <c r="I9985" i="1"/>
  <c r="J9985" i="1"/>
  <c r="K9985" i="1"/>
  <c r="L9985" i="1"/>
  <c r="A9986" i="1"/>
  <c r="B9986" i="1"/>
  <c r="C9986" i="1"/>
  <c r="D9986" i="1"/>
  <c r="E9986" i="1"/>
  <c r="F9986" i="1"/>
  <c r="G9986" i="1"/>
  <c r="H9986" i="1"/>
  <c r="I9986" i="1"/>
  <c r="J9986" i="1"/>
  <c r="K9986" i="1"/>
  <c r="L9986" i="1"/>
  <c r="A9987" i="1"/>
  <c r="B9987" i="1"/>
  <c r="C9987" i="1"/>
  <c r="D9987" i="1"/>
  <c r="E9987" i="1"/>
  <c r="F9987" i="1"/>
  <c r="G9987" i="1"/>
  <c r="H9987" i="1"/>
  <c r="I9987" i="1"/>
  <c r="J9987" i="1"/>
  <c r="K9987" i="1"/>
  <c r="L9987" i="1"/>
  <c r="A9988" i="1"/>
  <c r="B9988" i="1"/>
  <c r="C9988" i="1"/>
  <c r="D9988" i="1"/>
  <c r="E9988" i="1"/>
  <c r="F9988" i="1"/>
  <c r="G9988" i="1"/>
  <c r="H9988" i="1"/>
  <c r="I9988" i="1"/>
  <c r="J9988" i="1"/>
  <c r="K9988" i="1"/>
  <c r="L9988" i="1"/>
  <c r="A9989" i="1"/>
  <c r="B9989" i="1"/>
  <c r="C9989" i="1"/>
  <c r="D9989" i="1"/>
  <c r="E9989" i="1"/>
  <c r="F9989" i="1"/>
  <c r="G9989" i="1"/>
  <c r="H9989" i="1"/>
  <c r="I9989" i="1"/>
  <c r="J9989" i="1"/>
  <c r="K9989" i="1"/>
  <c r="L9989" i="1"/>
  <c r="A9990" i="1"/>
  <c r="B9990" i="1"/>
  <c r="C9990" i="1"/>
  <c r="D9990" i="1"/>
  <c r="E9990" i="1"/>
  <c r="F9990" i="1"/>
  <c r="G9990" i="1"/>
  <c r="H9990" i="1"/>
  <c r="I9990" i="1"/>
  <c r="J9990" i="1"/>
  <c r="K9990" i="1"/>
  <c r="L9990" i="1"/>
  <c r="A9991" i="1"/>
  <c r="B9991" i="1"/>
  <c r="C9991" i="1"/>
  <c r="D9991" i="1"/>
  <c r="E9991" i="1"/>
  <c r="F9991" i="1"/>
  <c r="G9991" i="1"/>
  <c r="H9991" i="1"/>
  <c r="I9991" i="1"/>
  <c r="J9991" i="1"/>
  <c r="K9991" i="1"/>
  <c r="L9991" i="1"/>
  <c r="A9992" i="1"/>
  <c r="B9992" i="1"/>
  <c r="C9992" i="1"/>
  <c r="D9992" i="1"/>
  <c r="E9992" i="1"/>
  <c r="F9992" i="1"/>
  <c r="G9992" i="1"/>
  <c r="H9992" i="1"/>
  <c r="I9992" i="1"/>
  <c r="J9992" i="1"/>
  <c r="K9992" i="1"/>
  <c r="L9992" i="1"/>
  <c r="A9993" i="1"/>
  <c r="B9993" i="1"/>
  <c r="C9993" i="1"/>
  <c r="D9993" i="1"/>
  <c r="E9993" i="1"/>
  <c r="F9993" i="1"/>
  <c r="G9993" i="1"/>
  <c r="H9993" i="1"/>
  <c r="I9993" i="1"/>
  <c r="J9993" i="1"/>
  <c r="K9993" i="1"/>
  <c r="L9993" i="1"/>
  <c r="A9994" i="1"/>
  <c r="B9994" i="1"/>
  <c r="C9994" i="1"/>
  <c r="D9994" i="1"/>
  <c r="E9994" i="1"/>
  <c r="F9994" i="1"/>
  <c r="G9994" i="1"/>
  <c r="H9994" i="1"/>
  <c r="I9994" i="1"/>
  <c r="J9994" i="1"/>
  <c r="K9994" i="1"/>
  <c r="L9994" i="1"/>
  <c r="A9995" i="1"/>
  <c r="B9995" i="1"/>
  <c r="C9995" i="1"/>
  <c r="D9995" i="1"/>
  <c r="E9995" i="1"/>
  <c r="F9995" i="1"/>
  <c r="G9995" i="1"/>
  <c r="H9995" i="1"/>
  <c r="I9995" i="1"/>
  <c r="J9995" i="1"/>
  <c r="K9995" i="1"/>
  <c r="L9995" i="1"/>
  <c r="A9996" i="1"/>
  <c r="B9996" i="1"/>
  <c r="C9996" i="1"/>
  <c r="D9996" i="1"/>
  <c r="E9996" i="1"/>
  <c r="F9996" i="1"/>
  <c r="G9996" i="1"/>
  <c r="H9996" i="1"/>
  <c r="I9996" i="1"/>
  <c r="J9996" i="1"/>
  <c r="K9996" i="1"/>
  <c r="L9996" i="1"/>
  <c r="A9997" i="1"/>
  <c r="B9997" i="1"/>
  <c r="C9997" i="1"/>
  <c r="D9997" i="1"/>
  <c r="E9997" i="1"/>
  <c r="F9997" i="1"/>
  <c r="G9997" i="1"/>
  <c r="H9997" i="1"/>
  <c r="I9997" i="1"/>
  <c r="J9997" i="1"/>
  <c r="K9997" i="1"/>
  <c r="L9997" i="1"/>
  <c r="A9998" i="1"/>
  <c r="B9998" i="1"/>
  <c r="C9998" i="1"/>
  <c r="D9998" i="1"/>
  <c r="E9998" i="1"/>
  <c r="F9998" i="1"/>
  <c r="G9998" i="1"/>
  <c r="H9998" i="1"/>
  <c r="I9998" i="1"/>
  <c r="J9998" i="1"/>
  <c r="K9998" i="1"/>
  <c r="L9998" i="1"/>
  <c r="A9999" i="1"/>
  <c r="B9999" i="1"/>
  <c r="C9999" i="1"/>
  <c r="D9999" i="1"/>
  <c r="E9999" i="1"/>
  <c r="F9999" i="1"/>
  <c r="G9999" i="1"/>
  <c r="H9999" i="1"/>
  <c r="I9999" i="1"/>
  <c r="J9999" i="1"/>
  <c r="K9999" i="1"/>
  <c r="L9999" i="1"/>
  <c r="A10000" i="1"/>
  <c r="B10000" i="1"/>
  <c r="C10000" i="1"/>
  <c r="D10000" i="1"/>
  <c r="E10000" i="1"/>
  <c r="F10000" i="1"/>
  <c r="G10000" i="1"/>
  <c r="H10000" i="1"/>
  <c r="I10000" i="1"/>
  <c r="J10000" i="1"/>
  <c r="K10000" i="1"/>
  <c r="L10000" i="1"/>
  <c r="A10001" i="1"/>
  <c r="B10001" i="1"/>
  <c r="C10001" i="1"/>
  <c r="D10001" i="1"/>
  <c r="E10001" i="1"/>
  <c r="F10001" i="1"/>
  <c r="G10001" i="1"/>
  <c r="H10001" i="1"/>
  <c r="I10001" i="1"/>
  <c r="J10001" i="1"/>
  <c r="K10001" i="1"/>
  <c r="L10001" i="1"/>
  <c r="A10002" i="1"/>
  <c r="B10002" i="1"/>
  <c r="C10002" i="1"/>
  <c r="D10002" i="1"/>
  <c r="E10002" i="1"/>
  <c r="F10002" i="1"/>
  <c r="G10002" i="1"/>
  <c r="H10002" i="1"/>
  <c r="I10002" i="1"/>
  <c r="J10002" i="1"/>
  <c r="K10002" i="1"/>
  <c r="L10002" i="1"/>
  <c r="A10003" i="1"/>
  <c r="B10003" i="1"/>
  <c r="C10003" i="1"/>
  <c r="D10003" i="1"/>
  <c r="E10003" i="1"/>
  <c r="F10003" i="1"/>
  <c r="G10003" i="1"/>
  <c r="H10003" i="1"/>
  <c r="I10003" i="1"/>
  <c r="J10003" i="1"/>
  <c r="K10003" i="1"/>
  <c r="L10003" i="1"/>
  <c r="A10004" i="1"/>
  <c r="B10004" i="1"/>
  <c r="C10004" i="1"/>
  <c r="D10004" i="1"/>
  <c r="E10004" i="1"/>
  <c r="F10004" i="1"/>
  <c r="G10004" i="1"/>
  <c r="H10004" i="1"/>
  <c r="I10004" i="1"/>
  <c r="J10004" i="1"/>
  <c r="K10004" i="1"/>
  <c r="L10004" i="1"/>
  <c r="A10005" i="1"/>
  <c r="B10005" i="1"/>
  <c r="C10005" i="1"/>
  <c r="D10005" i="1"/>
  <c r="E10005" i="1"/>
  <c r="F10005" i="1"/>
  <c r="G10005" i="1"/>
  <c r="H10005" i="1"/>
  <c r="I10005" i="1"/>
  <c r="J10005" i="1"/>
  <c r="K10005" i="1"/>
  <c r="L10005" i="1"/>
  <c r="A10006" i="1"/>
  <c r="B10006" i="1"/>
  <c r="C10006" i="1"/>
  <c r="D10006" i="1"/>
  <c r="E10006" i="1"/>
  <c r="F10006" i="1"/>
  <c r="G10006" i="1"/>
  <c r="H10006" i="1"/>
  <c r="I10006" i="1"/>
  <c r="J10006" i="1"/>
  <c r="K10006" i="1"/>
  <c r="L10006" i="1"/>
  <c r="A10007" i="1"/>
  <c r="B10007" i="1"/>
  <c r="C10007" i="1"/>
  <c r="D10007" i="1"/>
  <c r="E10007" i="1"/>
  <c r="F10007" i="1"/>
  <c r="G10007" i="1"/>
  <c r="H10007" i="1"/>
  <c r="I10007" i="1"/>
  <c r="J10007" i="1"/>
  <c r="K10007" i="1"/>
  <c r="L10007" i="1"/>
  <c r="A10008" i="1"/>
  <c r="B10008" i="1"/>
  <c r="C10008" i="1"/>
  <c r="D10008" i="1"/>
  <c r="E10008" i="1"/>
  <c r="F10008" i="1"/>
  <c r="G10008" i="1"/>
  <c r="H10008" i="1"/>
  <c r="I10008" i="1"/>
  <c r="J10008" i="1"/>
  <c r="K10008" i="1"/>
  <c r="L10008" i="1"/>
  <c r="A10009" i="1"/>
  <c r="B10009" i="1"/>
  <c r="C10009" i="1"/>
  <c r="D10009" i="1"/>
  <c r="E10009" i="1"/>
  <c r="F10009" i="1"/>
  <c r="G10009" i="1"/>
  <c r="H10009" i="1"/>
  <c r="I10009" i="1"/>
  <c r="J10009" i="1"/>
  <c r="K10009" i="1"/>
  <c r="L10009" i="1"/>
  <c r="A10010" i="1"/>
  <c r="B10010" i="1"/>
  <c r="C10010" i="1"/>
  <c r="D10010" i="1"/>
  <c r="E10010" i="1"/>
  <c r="F10010" i="1"/>
  <c r="G10010" i="1"/>
  <c r="H10010" i="1"/>
  <c r="I10010" i="1"/>
  <c r="J10010" i="1"/>
  <c r="K10010" i="1"/>
  <c r="L10010" i="1"/>
  <c r="A10011" i="1"/>
  <c r="B10011" i="1"/>
  <c r="C10011" i="1"/>
  <c r="D10011" i="1"/>
  <c r="E10011" i="1"/>
  <c r="F10011" i="1"/>
  <c r="G10011" i="1"/>
  <c r="H10011" i="1"/>
  <c r="I10011" i="1"/>
  <c r="J10011" i="1"/>
  <c r="K10011" i="1"/>
  <c r="L10011" i="1"/>
  <c r="A10012" i="1"/>
  <c r="B10012" i="1"/>
  <c r="C10012" i="1"/>
  <c r="D10012" i="1"/>
  <c r="E10012" i="1"/>
  <c r="F10012" i="1"/>
  <c r="G10012" i="1"/>
  <c r="H10012" i="1"/>
  <c r="I10012" i="1"/>
  <c r="J10012" i="1"/>
  <c r="K10012" i="1"/>
  <c r="L10012" i="1"/>
  <c r="A10013" i="1"/>
  <c r="B10013" i="1"/>
  <c r="C10013" i="1"/>
  <c r="D10013" i="1"/>
  <c r="E10013" i="1"/>
  <c r="F10013" i="1"/>
  <c r="G10013" i="1"/>
  <c r="H10013" i="1"/>
  <c r="I10013" i="1"/>
  <c r="J10013" i="1"/>
  <c r="K10013" i="1"/>
  <c r="L10013" i="1"/>
  <c r="A10014" i="1"/>
  <c r="B10014" i="1"/>
  <c r="C10014" i="1"/>
  <c r="D10014" i="1"/>
  <c r="E10014" i="1"/>
  <c r="F10014" i="1"/>
  <c r="G10014" i="1"/>
  <c r="H10014" i="1"/>
  <c r="I10014" i="1"/>
  <c r="J10014" i="1"/>
  <c r="K10014" i="1"/>
  <c r="L10014" i="1"/>
  <c r="A10015" i="1"/>
  <c r="B10015" i="1"/>
  <c r="C10015" i="1"/>
  <c r="D10015" i="1"/>
  <c r="E10015" i="1"/>
  <c r="F10015" i="1"/>
  <c r="G10015" i="1"/>
  <c r="H10015" i="1"/>
  <c r="I10015" i="1"/>
  <c r="J10015" i="1"/>
  <c r="K10015" i="1"/>
  <c r="L10015" i="1"/>
  <c r="A10016" i="1"/>
  <c r="B10016" i="1"/>
  <c r="C10016" i="1"/>
  <c r="D10016" i="1"/>
  <c r="E10016" i="1"/>
  <c r="F10016" i="1"/>
  <c r="G10016" i="1"/>
  <c r="H10016" i="1"/>
  <c r="I10016" i="1"/>
  <c r="J10016" i="1"/>
  <c r="K10016" i="1"/>
  <c r="L10016" i="1"/>
  <c r="A10017" i="1"/>
  <c r="B10017" i="1"/>
  <c r="C10017" i="1"/>
  <c r="D10017" i="1"/>
  <c r="E10017" i="1"/>
  <c r="F10017" i="1"/>
  <c r="G10017" i="1"/>
  <c r="H10017" i="1"/>
  <c r="I10017" i="1"/>
  <c r="J10017" i="1"/>
  <c r="K10017" i="1"/>
  <c r="L10017" i="1"/>
  <c r="A10018" i="1"/>
  <c r="B10018" i="1"/>
  <c r="C10018" i="1"/>
  <c r="D10018" i="1"/>
  <c r="E10018" i="1"/>
  <c r="F10018" i="1"/>
  <c r="G10018" i="1"/>
  <c r="H10018" i="1"/>
  <c r="I10018" i="1"/>
  <c r="J10018" i="1"/>
  <c r="K10018" i="1"/>
  <c r="L10018" i="1"/>
  <c r="A10019" i="1"/>
  <c r="B10019" i="1"/>
  <c r="C10019" i="1"/>
  <c r="D10019" i="1"/>
  <c r="E10019" i="1"/>
  <c r="F10019" i="1"/>
  <c r="G10019" i="1"/>
  <c r="H10019" i="1"/>
  <c r="I10019" i="1"/>
  <c r="J10019" i="1"/>
  <c r="K10019" i="1"/>
  <c r="L10019" i="1"/>
  <c r="A10020" i="1"/>
  <c r="B10020" i="1"/>
  <c r="C10020" i="1"/>
  <c r="D10020" i="1"/>
  <c r="E10020" i="1"/>
  <c r="F10020" i="1"/>
  <c r="G10020" i="1"/>
  <c r="H10020" i="1"/>
  <c r="I10020" i="1"/>
  <c r="J10020" i="1"/>
  <c r="K10020" i="1"/>
  <c r="L10020" i="1"/>
  <c r="A10021" i="1"/>
  <c r="B10021" i="1"/>
  <c r="C10021" i="1"/>
  <c r="D10021" i="1"/>
  <c r="E10021" i="1"/>
  <c r="F10021" i="1"/>
  <c r="G10021" i="1"/>
  <c r="H10021" i="1"/>
  <c r="I10021" i="1"/>
  <c r="J10021" i="1"/>
  <c r="K10021" i="1"/>
  <c r="L10021" i="1"/>
  <c r="A10022" i="1"/>
  <c r="B10022" i="1"/>
  <c r="C10022" i="1"/>
  <c r="D10022" i="1"/>
  <c r="E10022" i="1"/>
  <c r="F10022" i="1"/>
  <c r="G10022" i="1"/>
  <c r="H10022" i="1"/>
  <c r="I10022" i="1"/>
  <c r="J10022" i="1"/>
  <c r="K10022" i="1"/>
  <c r="L10022" i="1"/>
  <c r="A10023" i="1"/>
  <c r="B10023" i="1"/>
  <c r="C10023" i="1"/>
  <c r="D10023" i="1"/>
  <c r="E10023" i="1"/>
  <c r="F10023" i="1"/>
  <c r="G10023" i="1"/>
  <c r="H10023" i="1"/>
  <c r="I10023" i="1"/>
  <c r="J10023" i="1"/>
  <c r="K10023" i="1"/>
  <c r="L10023" i="1"/>
  <c r="A10024" i="1"/>
  <c r="B10024" i="1"/>
  <c r="C10024" i="1"/>
  <c r="D10024" i="1"/>
  <c r="E10024" i="1"/>
  <c r="F10024" i="1"/>
  <c r="G10024" i="1"/>
  <c r="H10024" i="1"/>
  <c r="I10024" i="1"/>
  <c r="J10024" i="1"/>
  <c r="K10024" i="1"/>
  <c r="L10024" i="1"/>
  <c r="A10025" i="1"/>
  <c r="B10025" i="1"/>
  <c r="C10025" i="1"/>
  <c r="D10025" i="1"/>
  <c r="E10025" i="1"/>
  <c r="F10025" i="1"/>
  <c r="G10025" i="1"/>
  <c r="H10025" i="1"/>
  <c r="I10025" i="1"/>
  <c r="J10025" i="1"/>
  <c r="K10025" i="1"/>
  <c r="L10025" i="1"/>
  <c r="A10026" i="1"/>
  <c r="B10026" i="1"/>
  <c r="C10026" i="1"/>
  <c r="D10026" i="1"/>
  <c r="E10026" i="1"/>
  <c r="F10026" i="1"/>
  <c r="G10026" i="1"/>
  <c r="H10026" i="1"/>
  <c r="I10026" i="1"/>
  <c r="J10026" i="1"/>
  <c r="K10026" i="1"/>
  <c r="L10026" i="1"/>
  <c r="A10027" i="1"/>
  <c r="B10027" i="1"/>
  <c r="C10027" i="1"/>
  <c r="D10027" i="1"/>
  <c r="E10027" i="1"/>
  <c r="F10027" i="1"/>
  <c r="G10027" i="1"/>
  <c r="H10027" i="1"/>
  <c r="I10027" i="1"/>
  <c r="J10027" i="1"/>
  <c r="K10027" i="1"/>
  <c r="L10027" i="1"/>
  <c r="A10028" i="1"/>
  <c r="B10028" i="1"/>
  <c r="C10028" i="1"/>
  <c r="D10028" i="1"/>
  <c r="E10028" i="1"/>
  <c r="F10028" i="1"/>
  <c r="G10028" i="1"/>
  <c r="H10028" i="1"/>
  <c r="I10028" i="1"/>
  <c r="J10028" i="1"/>
  <c r="K10028" i="1"/>
  <c r="L10028" i="1"/>
  <c r="A10029" i="1"/>
  <c r="B10029" i="1"/>
  <c r="C10029" i="1"/>
  <c r="D10029" i="1"/>
  <c r="E10029" i="1"/>
  <c r="F10029" i="1"/>
  <c r="G10029" i="1"/>
  <c r="H10029" i="1"/>
  <c r="I10029" i="1"/>
  <c r="J10029" i="1"/>
  <c r="K10029" i="1"/>
  <c r="L10029" i="1"/>
  <c r="A10030" i="1"/>
  <c r="B10030" i="1"/>
  <c r="C10030" i="1"/>
  <c r="D10030" i="1"/>
  <c r="E10030" i="1"/>
  <c r="F10030" i="1"/>
  <c r="G10030" i="1"/>
  <c r="H10030" i="1"/>
  <c r="I10030" i="1"/>
  <c r="J10030" i="1"/>
  <c r="K10030" i="1"/>
  <c r="L10030" i="1"/>
  <c r="A10031" i="1"/>
  <c r="B10031" i="1"/>
  <c r="C10031" i="1"/>
  <c r="D10031" i="1"/>
  <c r="E10031" i="1"/>
  <c r="F10031" i="1"/>
  <c r="G10031" i="1"/>
  <c r="H10031" i="1"/>
  <c r="I10031" i="1"/>
  <c r="J10031" i="1"/>
  <c r="K10031" i="1"/>
  <c r="L10031" i="1"/>
  <c r="A10032" i="1"/>
  <c r="B10032" i="1"/>
  <c r="C10032" i="1"/>
  <c r="D10032" i="1"/>
  <c r="E10032" i="1"/>
  <c r="F10032" i="1"/>
  <c r="G10032" i="1"/>
  <c r="H10032" i="1"/>
  <c r="I10032" i="1"/>
  <c r="J10032" i="1"/>
  <c r="K10032" i="1"/>
  <c r="L10032" i="1"/>
  <c r="A10033" i="1"/>
  <c r="B10033" i="1"/>
  <c r="C10033" i="1"/>
  <c r="D10033" i="1"/>
  <c r="E10033" i="1"/>
  <c r="F10033" i="1"/>
  <c r="G10033" i="1"/>
  <c r="H10033" i="1"/>
  <c r="I10033" i="1"/>
  <c r="J10033" i="1"/>
  <c r="K10033" i="1"/>
  <c r="L10033" i="1"/>
  <c r="A10034" i="1"/>
  <c r="B10034" i="1"/>
  <c r="C10034" i="1"/>
  <c r="D10034" i="1"/>
  <c r="E10034" i="1"/>
  <c r="F10034" i="1"/>
  <c r="G10034" i="1"/>
  <c r="H10034" i="1"/>
  <c r="I10034" i="1"/>
  <c r="J10034" i="1"/>
  <c r="K10034" i="1"/>
  <c r="L10034" i="1"/>
  <c r="A10035" i="1"/>
  <c r="B10035" i="1"/>
  <c r="C10035" i="1"/>
  <c r="D10035" i="1"/>
  <c r="E10035" i="1"/>
  <c r="F10035" i="1"/>
  <c r="G10035" i="1"/>
  <c r="H10035" i="1"/>
  <c r="I10035" i="1"/>
  <c r="J10035" i="1"/>
  <c r="K10035" i="1"/>
  <c r="L10035" i="1"/>
  <c r="A10036" i="1"/>
  <c r="B10036" i="1"/>
  <c r="C10036" i="1"/>
  <c r="D10036" i="1"/>
  <c r="E10036" i="1"/>
  <c r="F10036" i="1"/>
  <c r="G10036" i="1"/>
  <c r="H10036" i="1"/>
  <c r="I10036" i="1"/>
  <c r="J10036" i="1"/>
  <c r="K10036" i="1"/>
  <c r="L10036" i="1"/>
  <c r="A10037" i="1"/>
  <c r="B10037" i="1"/>
  <c r="C10037" i="1"/>
  <c r="D10037" i="1"/>
  <c r="E10037" i="1"/>
  <c r="F10037" i="1"/>
  <c r="G10037" i="1"/>
  <c r="H10037" i="1"/>
  <c r="I10037" i="1"/>
  <c r="J10037" i="1"/>
  <c r="K10037" i="1"/>
  <c r="L10037" i="1"/>
  <c r="A10038" i="1"/>
  <c r="B10038" i="1"/>
  <c r="C10038" i="1"/>
  <c r="D10038" i="1"/>
  <c r="E10038" i="1"/>
  <c r="F10038" i="1"/>
  <c r="G10038" i="1"/>
  <c r="H10038" i="1"/>
  <c r="I10038" i="1"/>
  <c r="J10038" i="1"/>
  <c r="K10038" i="1"/>
  <c r="L10038" i="1"/>
  <c r="A10039" i="1"/>
  <c r="B10039" i="1"/>
  <c r="C10039" i="1"/>
  <c r="D10039" i="1"/>
  <c r="E10039" i="1"/>
  <c r="F10039" i="1"/>
  <c r="G10039" i="1"/>
  <c r="H10039" i="1"/>
  <c r="I10039" i="1"/>
  <c r="J10039" i="1"/>
  <c r="K10039" i="1"/>
  <c r="L10039" i="1"/>
  <c r="A10040" i="1"/>
  <c r="B10040" i="1"/>
  <c r="C10040" i="1"/>
  <c r="D10040" i="1"/>
  <c r="E10040" i="1"/>
  <c r="F10040" i="1"/>
  <c r="G10040" i="1"/>
  <c r="H10040" i="1"/>
  <c r="I10040" i="1"/>
  <c r="J10040" i="1"/>
  <c r="K10040" i="1"/>
  <c r="L10040" i="1"/>
  <c r="A10041" i="1"/>
  <c r="B10041" i="1"/>
  <c r="C10041" i="1"/>
  <c r="D10041" i="1"/>
  <c r="E10041" i="1"/>
  <c r="F10041" i="1"/>
  <c r="G10041" i="1"/>
  <c r="H10041" i="1"/>
  <c r="I10041" i="1"/>
  <c r="J10041" i="1"/>
  <c r="K10041" i="1"/>
  <c r="L10041" i="1"/>
  <c r="A10042" i="1"/>
  <c r="B10042" i="1"/>
  <c r="C10042" i="1"/>
  <c r="D10042" i="1"/>
  <c r="E10042" i="1"/>
  <c r="F10042" i="1"/>
  <c r="G10042" i="1"/>
  <c r="H10042" i="1"/>
  <c r="I10042" i="1"/>
  <c r="J10042" i="1"/>
  <c r="K10042" i="1"/>
  <c r="L10042" i="1"/>
  <c r="A10043" i="1"/>
  <c r="B10043" i="1"/>
  <c r="C10043" i="1"/>
  <c r="D10043" i="1"/>
  <c r="E10043" i="1"/>
  <c r="F10043" i="1"/>
  <c r="G10043" i="1"/>
  <c r="H10043" i="1"/>
  <c r="I10043" i="1"/>
  <c r="J10043" i="1"/>
  <c r="K10043" i="1"/>
  <c r="L10043" i="1"/>
  <c r="A10044" i="1"/>
  <c r="B10044" i="1"/>
  <c r="C10044" i="1"/>
  <c r="D10044" i="1"/>
  <c r="E10044" i="1"/>
  <c r="F10044" i="1"/>
  <c r="G10044" i="1"/>
  <c r="H10044" i="1"/>
  <c r="I10044" i="1"/>
  <c r="J10044" i="1"/>
  <c r="K10044" i="1"/>
  <c r="L10044" i="1"/>
  <c r="A10045" i="1"/>
  <c r="B10045" i="1"/>
  <c r="C10045" i="1"/>
  <c r="D10045" i="1"/>
  <c r="E10045" i="1"/>
  <c r="F10045" i="1"/>
  <c r="G10045" i="1"/>
  <c r="H10045" i="1"/>
  <c r="I10045" i="1"/>
  <c r="J10045" i="1"/>
  <c r="K10045" i="1"/>
  <c r="L10045" i="1"/>
  <c r="A10046" i="1"/>
  <c r="B10046" i="1"/>
  <c r="C10046" i="1"/>
  <c r="D10046" i="1"/>
  <c r="E10046" i="1"/>
  <c r="F10046" i="1"/>
  <c r="G10046" i="1"/>
  <c r="H10046" i="1"/>
  <c r="I10046" i="1"/>
  <c r="J10046" i="1"/>
  <c r="K10046" i="1"/>
  <c r="L10046" i="1"/>
  <c r="A10047" i="1"/>
  <c r="B10047" i="1"/>
  <c r="C10047" i="1"/>
  <c r="D10047" i="1"/>
  <c r="E10047" i="1"/>
  <c r="F10047" i="1"/>
  <c r="G10047" i="1"/>
  <c r="H10047" i="1"/>
  <c r="I10047" i="1"/>
  <c r="J10047" i="1"/>
  <c r="K10047" i="1"/>
  <c r="L10047" i="1"/>
  <c r="A10048" i="1"/>
  <c r="B10048" i="1"/>
  <c r="C10048" i="1"/>
  <c r="D10048" i="1"/>
  <c r="E10048" i="1"/>
  <c r="F10048" i="1"/>
  <c r="G10048" i="1"/>
  <c r="H10048" i="1"/>
  <c r="I10048" i="1"/>
  <c r="J10048" i="1"/>
  <c r="K10048" i="1"/>
  <c r="L10048" i="1"/>
  <c r="A10049" i="1"/>
  <c r="B10049" i="1"/>
  <c r="C10049" i="1"/>
  <c r="D10049" i="1"/>
  <c r="E10049" i="1"/>
  <c r="F10049" i="1"/>
  <c r="G10049" i="1"/>
  <c r="H10049" i="1"/>
  <c r="I10049" i="1"/>
  <c r="J10049" i="1"/>
  <c r="K10049" i="1"/>
  <c r="L10049" i="1"/>
  <c r="A10050" i="1"/>
  <c r="B10050" i="1"/>
  <c r="C10050" i="1"/>
  <c r="D10050" i="1"/>
  <c r="E10050" i="1"/>
  <c r="F10050" i="1"/>
  <c r="G10050" i="1"/>
  <c r="H10050" i="1"/>
  <c r="I10050" i="1"/>
  <c r="J10050" i="1"/>
  <c r="K10050" i="1"/>
  <c r="L10050" i="1"/>
  <c r="A10051" i="1"/>
  <c r="B10051" i="1"/>
  <c r="C10051" i="1"/>
  <c r="D10051" i="1"/>
  <c r="E10051" i="1"/>
  <c r="F10051" i="1"/>
  <c r="G10051" i="1"/>
  <c r="H10051" i="1"/>
  <c r="I10051" i="1"/>
  <c r="J10051" i="1"/>
  <c r="K10051" i="1"/>
  <c r="L10051" i="1"/>
  <c r="A10052" i="1"/>
  <c r="B10052" i="1"/>
  <c r="C10052" i="1"/>
  <c r="D10052" i="1"/>
  <c r="E10052" i="1"/>
  <c r="F10052" i="1"/>
  <c r="G10052" i="1"/>
  <c r="H10052" i="1"/>
  <c r="I10052" i="1"/>
  <c r="J10052" i="1"/>
  <c r="K10052" i="1"/>
  <c r="L10052" i="1"/>
  <c r="A10053" i="1"/>
  <c r="B10053" i="1"/>
  <c r="C10053" i="1"/>
  <c r="D10053" i="1"/>
  <c r="E10053" i="1"/>
  <c r="F10053" i="1"/>
  <c r="G10053" i="1"/>
  <c r="H10053" i="1"/>
  <c r="I10053" i="1"/>
  <c r="J10053" i="1"/>
  <c r="K10053" i="1"/>
  <c r="L10053" i="1"/>
  <c r="A10054" i="1"/>
  <c r="B10054" i="1"/>
  <c r="C10054" i="1"/>
  <c r="D10054" i="1"/>
  <c r="E10054" i="1"/>
  <c r="F10054" i="1"/>
  <c r="G10054" i="1"/>
  <c r="H10054" i="1"/>
  <c r="I10054" i="1"/>
  <c r="J10054" i="1"/>
  <c r="K10054" i="1"/>
  <c r="L10054" i="1"/>
  <c r="A10055" i="1"/>
  <c r="B10055" i="1"/>
  <c r="C10055" i="1"/>
  <c r="D10055" i="1"/>
  <c r="E10055" i="1"/>
  <c r="F10055" i="1"/>
  <c r="G10055" i="1"/>
  <c r="H10055" i="1"/>
  <c r="I10055" i="1"/>
  <c r="J10055" i="1"/>
  <c r="K10055" i="1"/>
  <c r="L10055" i="1"/>
  <c r="A10056" i="1"/>
  <c r="B10056" i="1"/>
  <c r="C10056" i="1"/>
  <c r="D10056" i="1"/>
  <c r="E10056" i="1"/>
  <c r="F10056" i="1"/>
  <c r="G10056" i="1"/>
  <c r="H10056" i="1"/>
  <c r="I10056" i="1"/>
  <c r="J10056" i="1"/>
  <c r="K10056" i="1"/>
  <c r="L10056" i="1"/>
  <c r="A10057" i="1"/>
  <c r="B10057" i="1"/>
  <c r="C10057" i="1"/>
  <c r="D10057" i="1"/>
  <c r="E10057" i="1"/>
  <c r="F10057" i="1"/>
  <c r="G10057" i="1"/>
  <c r="H10057" i="1"/>
  <c r="I10057" i="1"/>
  <c r="J10057" i="1"/>
  <c r="K10057" i="1"/>
  <c r="L10057" i="1"/>
  <c r="A10058" i="1"/>
  <c r="B10058" i="1"/>
  <c r="C10058" i="1"/>
  <c r="D10058" i="1"/>
  <c r="E10058" i="1"/>
  <c r="F10058" i="1"/>
  <c r="G10058" i="1"/>
  <c r="H10058" i="1"/>
  <c r="I10058" i="1"/>
  <c r="J10058" i="1"/>
  <c r="K10058" i="1"/>
  <c r="L10058" i="1"/>
  <c r="A10059" i="1"/>
  <c r="B10059" i="1"/>
  <c r="C10059" i="1"/>
  <c r="D10059" i="1"/>
  <c r="E10059" i="1"/>
  <c r="F10059" i="1"/>
  <c r="G10059" i="1"/>
  <c r="H10059" i="1"/>
  <c r="I10059" i="1"/>
  <c r="J10059" i="1"/>
  <c r="K10059" i="1"/>
  <c r="L10059" i="1"/>
  <c r="A10060" i="1"/>
  <c r="B10060" i="1"/>
  <c r="C10060" i="1"/>
  <c r="D10060" i="1"/>
  <c r="E10060" i="1"/>
  <c r="F10060" i="1"/>
  <c r="G10060" i="1"/>
  <c r="H10060" i="1"/>
  <c r="I10060" i="1"/>
  <c r="J10060" i="1"/>
  <c r="K10060" i="1"/>
  <c r="L10060" i="1"/>
  <c r="A10061" i="1"/>
  <c r="B10061" i="1"/>
  <c r="C10061" i="1"/>
  <c r="D10061" i="1"/>
  <c r="E10061" i="1"/>
  <c r="F10061" i="1"/>
  <c r="G10061" i="1"/>
  <c r="H10061" i="1"/>
  <c r="I10061" i="1"/>
  <c r="J10061" i="1"/>
  <c r="K10061" i="1"/>
  <c r="L10061" i="1"/>
  <c r="A10062" i="1"/>
  <c r="B10062" i="1"/>
  <c r="C10062" i="1"/>
  <c r="D10062" i="1"/>
  <c r="E10062" i="1"/>
  <c r="F10062" i="1"/>
  <c r="G10062" i="1"/>
  <c r="H10062" i="1"/>
  <c r="I10062" i="1"/>
  <c r="J10062" i="1"/>
  <c r="K10062" i="1"/>
  <c r="L10062" i="1"/>
  <c r="A10063" i="1"/>
  <c r="B10063" i="1"/>
  <c r="C10063" i="1"/>
  <c r="D10063" i="1"/>
  <c r="E10063" i="1"/>
  <c r="F10063" i="1"/>
  <c r="G10063" i="1"/>
  <c r="H10063" i="1"/>
  <c r="I10063" i="1"/>
  <c r="J10063" i="1"/>
  <c r="K10063" i="1"/>
  <c r="L10063" i="1"/>
  <c r="A10064" i="1"/>
  <c r="B10064" i="1"/>
  <c r="C10064" i="1"/>
  <c r="D10064" i="1"/>
  <c r="E10064" i="1"/>
  <c r="F10064" i="1"/>
  <c r="G10064" i="1"/>
  <c r="H10064" i="1"/>
  <c r="I10064" i="1"/>
  <c r="J10064" i="1"/>
  <c r="K10064" i="1"/>
  <c r="L10064" i="1"/>
  <c r="A10065" i="1"/>
  <c r="B10065" i="1"/>
  <c r="C10065" i="1"/>
  <c r="D10065" i="1"/>
  <c r="E10065" i="1"/>
  <c r="F10065" i="1"/>
  <c r="G10065" i="1"/>
  <c r="H10065" i="1"/>
  <c r="I10065" i="1"/>
  <c r="J10065" i="1"/>
  <c r="K10065" i="1"/>
  <c r="L10065" i="1"/>
  <c r="A10066" i="1"/>
  <c r="B10066" i="1"/>
  <c r="C10066" i="1"/>
  <c r="D10066" i="1"/>
  <c r="E10066" i="1"/>
  <c r="F10066" i="1"/>
  <c r="G10066" i="1"/>
  <c r="H10066" i="1"/>
  <c r="I10066" i="1"/>
  <c r="J10066" i="1"/>
  <c r="K10066" i="1"/>
  <c r="L10066" i="1"/>
  <c r="A10067" i="1"/>
  <c r="B10067" i="1"/>
  <c r="C10067" i="1"/>
  <c r="D10067" i="1"/>
  <c r="E10067" i="1"/>
  <c r="F10067" i="1"/>
  <c r="G10067" i="1"/>
  <c r="H10067" i="1"/>
  <c r="I10067" i="1"/>
  <c r="J10067" i="1"/>
  <c r="K10067" i="1"/>
  <c r="L10067" i="1"/>
  <c r="A10068" i="1"/>
  <c r="B10068" i="1"/>
  <c r="C10068" i="1"/>
  <c r="D10068" i="1"/>
  <c r="E10068" i="1"/>
  <c r="F10068" i="1"/>
  <c r="G10068" i="1"/>
  <c r="H10068" i="1"/>
  <c r="I10068" i="1"/>
  <c r="J10068" i="1"/>
  <c r="K10068" i="1"/>
  <c r="L10068" i="1"/>
  <c r="A10069" i="1"/>
  <c r="B10069" i="1"/>
  <c r="C10069" i="1"/>
  <c r="D10069" i="1"/>
  <c r="E10069" i="1"/>
  <c r="F10069" i="1"/>
  <c r="G10069" i="1"/>
  <c r="H10069" i="1"/>
  <c r="I10069" i="1"/>
  <c r="J10069" i="1"/>
  <c r="K10069" i="1"/>
  <c r="L10069" i="1"/>
  <c r="A10070" i="1"/>
  <c r="B10070" i="1"/>
  <c r="C10070" i="1"/>
  <c r="D10070" i="1"/>
  <c r="E10070" i="1"/>
  <c r="F10070" i="1"/>
  <c r="G10070" i="1"/>
  <c r="H10070" i="1"/>
  <c r="I10070" i="1"/>
  <c r="J10070" i="1"/>
  <c r="K10070" i="1"/>
  <c r="L10070" i="1"/>
  <c r="A10071" i="1"/>
  <c r="B10071" i="1"/>
  <c r="C10071" i="1"/>
  <c r="D10071" i="1"/>
  <c r="E10071" i="1"/>
  <c r="F10071" i="1"/>
  <c r="G10071" i="1"/>
  <c r="H10071" i="1"/>
  <c r="I10071" i="1"/>
  <c r="J10071" i="1"/>
  <c r="K10071" i="1"/>
  <c r="L10071" i="1"/>
  <c r="A10072" i="1"/>
  <c r="B10072" i="1"/>
  <c r="C10072" i="1"/>
  <c r="D10072" i="1"/>
  <c r="E10072" i="1"/>
  <c r="F10072" i="1"/>
  <c r="G10072" i="1"/>
  <c r="H10072" i="1"/>
  <c r="I10072" i="1"/>
  <c r="J10072" i="1"/>
  <c r="K10072" i="1"/>
  <c r="L10072" i="1"/>
  <c r="A10073" i="1"/>
  <c r="B10073" i="1"/>
  <c r="C10073" i="1"/>
  <c r="D10073" i="1"/>
  <c r="E10073" i="1"/>
  <c r="F10073" i="1"/>
  <c r="G10073" i="1"/>
  <c r="H10073" i="1"/>
  <c r="I10073" i="1"/>
  <c r="J10073" i="1"/>
  <c r="K10073" i="1"/>
  <c r="L10073" i="1"/>
  <c r="A10074" i="1"/>
  <c r="B10074" i="1"/>
  <c r="C10074" i="1"/>
  <c r="D10074" i="1"/>
  <c r="E10074" i="1"/>
  <c r="F10074" i="1"/>
  <c r="G10074" i="1"/>
  <c r="H10074" i="1"/>
  <c r="I10074" i="1"/>
  <c r="J10074" i="1"/>
  <c r="K10074" i="1"/>
  <c r="L10074" i="1"/>
  <c r="A10075" i="1"/>
  <c r="B10075" i="1"/>
  <c r="C10075" i="1"/>
  <c r="D10075" i="1"/>
  <c r="E10075" i="1"/>
  <c r="F10075" i="1"/>
  <c r="G10075" i="1"/>
  <c r="H10075" i="1"/>
  <c r="I10075" i="1"/>
  <c r="J10075" i="1"/>
  <c r="K10075" i="1"/>
  <c r="L10075" i="1"/>
  <c r="A10076" i="1"/>
  <c r="B10076" i="1"/>
  <c r="C10076" i="1"/>
  <c r="D10076" i="1"/>
  <c r="E10076" i="1"/>
  <c r="F10076" i="1"/>
  <c r="G10076" i="1"/>
  <c r="H10076" i="1"/>
  <c r="I10076" i="1"/>
  <c r="J10076" i="1"/>
  <c r="K10076" i="1"/>
  <c r="L10076" i="1"/>
  <c r="A10077" i="1"/>
  <c r="B10077" i="1"/>
  <c r="C10077" i="1"/>
  <c r="D10077" i="1"/>
  <c r="E10077" i="1"/>
  <c r="F10077" i="1"/>
  <c r="G10077" i="1"/>
  <c r="H10077" i="1"/>
  <c r="I10077" i="1"/>
  <c r="J10077" i="1"/>
  <c r="K10077" i="1"/>
  <c r="L10077" i="1"/>
  <c r="A10078" i="1"/>
  <c r="B10078" i="1"/>
  <c r="C10078" i="1"/>
  <c r="D10078" i="1"/>
  <c r="E10078" i="1"/>
  <c r="F10078" i="1"/>
  <c r="G10078" i="1"/>
  <c r="H10078" i="1"/>
  <c r="I10078" i="1"/>
  <c r="J10078" i="1"/>
  <c r="K10078" i="1"/>
  <c r="L10078" i="1"/>
  <c r="A10079" i="1"/>
  <c r="B10079" i="1"/>
  <c r="C10079" i="1"/>
  <c r="D10079" i="1"/>
  <c r="E10079" i="1"/>
  <c r="F10079" i="1"/>
  <c r="G10079" i="1"/>
  <c r="H10079" i="1"/>
  <c r="I10079" i="1"/>
  <c r="J10079" i="1"/>
  <c r="K10079" i="1"/>
  <c r="L10079" i="1"/>
  <c r="A10080" i="1"/>
  <c r="B10080" i="1"/>
  <c r="C10080" i="1"/>
  <c r="D10080" i="1"/>
  <c r="E10080" i="1"/>
  <c r="F10080" i="1"/>
  <c r="G10080" i="1"/>
  <c r="H10080" i="1"/>
  <c r="I10080" i="1"/>
  <c r="J10080" i="1"/>
  <c r="K10080" i="1"/>
  <c r="L10080" i="1"/>
  <c r="A10081" i="1"/>
  <c r="B10081" i="1"/>
  <c r="C10081" i="1"/>
  <c r="D10081" i="1"/>
  <c r="E10081" i="1"/>
  <c r="F10081" i="1"/>
  <c r="G10081" i="1"/>
  <c r="H10081" i="1"/>
  <c r="I10081" i="1"/>
  <c r="J10081" i="1"/>
  <c r="K10081" i="1"/>
  <c r="L10081" i="1"/>
  <c r="A10082" i="1"/>
  <c r="B10082" i="1"/>
  <c r="C10082" i="1"/>
  <c r="D10082" i="1"/>
  <c r="E10082" i="1"/>
  <c r="F10082" i="1"/>
  <c r="G10082" i="1"/>
  <c r="H10082" i="1"/>
  <c r="I10082" i="1"/>
  <c r="J10082" i="1"/>
  <c r="K10082" i="1"/>
  <c r="L10082" i="1"/>
  <c r="A10083" i="1"/>
  <c r="B10083" i="1"/>
  <c r="C10083" i="1"/>
  <c r="D10083" i="1"/>
  <c r="E10083" i="1"/>
  <c r="F10083" i="1"/>
  <c r="G10083" i="1"/>
  <c r="H10083" i="1"/>
  <c r="I10083" i="1"/>
  <c r="J10083" i="1"/>
  <c r="K10083" i="1"/>
  <c r="L10083" i="1"/>
  <c r="A10084" i="1"/>
  <c r="B10084" i="1"/>
  <c r="C10084" i="1"/>
  <c r="D10084" i="1"/>
  <c r="E10084" i="1"/>
  <c r="F10084" i="1"/>
  <c r="G10084" i="1"/>
  <c r="H10084" i="1"/>
  <c r="I10084" i="1"/>
  <c r="J10084" i="1"/>
  <c r="K10084" i="1"/>
  <c r="L10084" i="1"/>
  <c r="A10085" i="1"/>
  <c r="B10085" i="1"/>
  <c r="C10085" i="1"/>
  <c r="D10085" i="1"/>
  <c r="E10085" i="1"/>
  <c r="F10085" i="1"/>
  <c r="G10085" i="1"/>
  <c r="H10085" i="1"/>
  <c r="I10085" i="1"/>
  <c r="J10085" i="1"/>
  <c r="K10085" i="1"/>
  <c r="L10085" i="1"/>
  <c r="A10086" i="1"/>
  <c r="B10086" i="1"/>
  <c r="C10086" i="1"/>
  <c r="D10086" i="1"/>
  <c r="E10086" i="1"/>
  <c r="F10086" i="1"/>
  <c r="G10086" i="1"/>
  <c r="H10086" i="1"/>
  <c r="I10086" i="1"/>
  <c r="J10086" i="1"/>
  <c r="K10086" i="1"/>
  <c r="L10086" i="1"/>
  <c r="A10087" i="1"/>
  <c r="B10087" i="1"/>
  <c r="C10087" i="1"/>
  <c r="D10087" i="1"/>
  <c r="E10087" i="1"/>
  <c r="F10087" i="1"/>
  <c r="G10087" i="1"/>
  <c r="H10087" i="1"/>
  <c r="I10087" i="1"/>
  <c r="J10087" i="1"/>
  <c r="K10087" i="1"/>
  <c r="L10087" i="1"/>
  <c r="A10088" i="1"/>
  <c r="B10088" i="1"/>
  <c r="C10088" i="1"/>
  <c r="D10088" i="1"/>
  <c r="E10088" i="1"/>
  <c r="F10088" i="1"/>
  <c r="G10088" i="1"/>
  <c r="H10088" i="1"/>
  <c r="I10088" i="1"/>
  <c r="J10088" i="1"/>
  <c r="K10088" i="1"/>
  <c r="L10088" i="1"/>
  <c r="A10089" i="1"/>
  <c r="B10089" i="1"/>
  <c r="C10089" i="1"/>
  <c r="D10089" i="1"/>
  <c r="E10089" i="1"/>
  <c r="F10089" i="1"/>
  <c r="G10089" i="1"/>
  <c r="H10089" i="1"/>
  <c r="I10089" i="1"/>
  <c r="J10089" i="1"/>
  <c r="K10089" i="1"/>
  <c r="L10089" i="1"/>
  <c r="A10090" i="1"/>
  <c r="B10090" i="1"/>
  <c r="C10090" i="1"/>
  <c r="D10090" i="1"/>
  <c r="E10090" i="1"/>
  <c r="F10090" i="1"/>
  <c r="G10090" i="1"/>
  <c r="H10090" i="1"/>
  <c r="I10090" i="1"/>
  <c r="J10090" i="1"/>
  <c r="K10090" i="1"/>
  <c r="L10090" i="1"/>
  <c r="A10091" i="1"/>
  <c r="B10091" i="1"/>
  <c r="C10091" i="1"/>
  <c r="D10091" i="1"/>
  <c r="E10091" i="1"/>
  <c r="F10091" i="1"/>
  <c r="G10091" i="1"/>
  <c r="H10091" i="1"/>
  <c r="I10091" i="1"/>
  <c r="J10091" i="1"/>
  <c r="K10091" i="1"/>
  <c r="L10091" i="1"/>
  <c r="A10092" i="1"/>
  <c r="B10092" i="1"/>
  <c r="C10092" i="1"/>
  <c r="D10092" i="1"/>
  <c r="E10092" i="1"/>
  <c r="F10092" i="1"/>
  <c r="G10092" i="1"/>
  <c r="H10092" i="1"/>
  <c r="I10092" i="1"/>
  <c r="J10092" i="1"/>
  <c r="K10092" i="1"/>
  <c r="L10092" i="1"/>
  <c r="A10093" i="1"/>
  <c r="B10093" i="1"/>
  <c r="C10093" i="1"/>
  <c r="D10093" i="1"/>
  <c r="E10093" i="1"/>
  <c r="F10093" i="1"/>
  <c r="G10093" i="1"/>
  <c r="H10093" i="1"/>
  <c r="I10093" i="1"/>
  <c r="J10093" i="1"/>
  <c r="K10093" i="1"/>
  <c r="L10093" i="1"/>
  <c r="A10094" i="1"/>
  <c r="B10094" i="1"/>
  <c r="C10094" i="1"/>
  <c r="D10094" i="1"/>
  <c r="E10094" i="1"/>
  <c r="F10094" i="1"/>
  <c r="G10094" i="1"/>
  <c r="H10094" i="1"/>
  <c r="I10094" i="1"/>
  <c r="J10094" i="1"/>
  <c r="K10094" i="1"/>
  <c r="L10094" i="1"/>
  <c r="A10095" i="1"/>
  <c r="B10095" i="1"/>
  <c r="C10095" i="1"/>
  <c r="D10095" i="1"/>
  <c r="E10095" i="1"/>
  <c r="F10095" i="1"/>
  <c r="G10095" i="1"/>
  <c r="H10095" i="1"/>
  <c r="I10095" i="1"/>
  <c r="J10095" i="1"/>
  <c r="K10095" i="1"/>
  <c r="L10095" i="1"/>
  <c r="A10096" i="1"/>
  <c r="B10096" i="1"/>
  <c r="C10096" i="1"/>
  <c r="D10096" i="1"/>
  <c r="E10096" i="1"/>
  <c r="F10096" i="1"/>
  <c r="G10096" i="1"/>
  <c r="H10096" i="1"/>
  <c r="I10096" i="1"/>
  <c r="J10096" i="1"/>
  <c r="K10096" i="1"/>
  <c r="L10096" i="1"/>
  <c r="A10097" i="1"/>
  <c r="B10097" i="1"/>
  <c r="C10097" i="1"/>
  <c r="D10097" i="1"/>
  <c r="E10097" i="1"/>
  <c r="F10097" i="1"/>
  <c r="G10097" i="1"/>
  <c r="H10097" i="1"/>
  <c r="I10097" i="1"/>
  <c r="J10097" i="1"/>
  <c r="K10097" i="1"/>
  <c r="L10097" i="1"/>
  <c r="A10098" i="1"/>
  <c r="B10098" i="1"/>
  <c r="C10098" i="1"/>
  <c r="D10098" i="1"/>
  <c r="E10098" i="1"/>
  <c r="F10098" i="1"/>
  <c r="G10098" i="1"/>
  <c r="H10098" i="1"/>
  <c r="I10098" i="1"/>
  <c r="J10098" i="1"/>
  <c r="K10098" i="1"/>
  <c r="L10098" i="1"/>
  <c r="A10099" i="1"/>
  <c r="B10099" i="1"/>
  <c r="C10099" i="1"/>
  <c r="D10099" i="1"/>
  <c r="E10099" i="1"/>
  <c r="F10099" i="1"/>
  <c r="G10099" i="1"/>
  <c r="H10099" i="1"/>
  <c r="I10099" i="1"/>
  <c r="J10099" i="1"/>
  <c r="K10099" i="1"/>
  <c r="L10099" i="1"/>
  <c r="A10100" i="1"/>
  <c r="B10100" i="1"/>
  <c r="C10100" i="1"/>
  <c r="D10100" i="1"/>
  <c r="E10100" i="1"/>
  <c r="F10100" i="1"/>
  <c r="G10100" i="1"/>
  <c r="H10100" i="1"/>
  <c r="I10100" i="1"/>
  <c r="J10100" i="1"/>
  <c r="K10100" i="1"/>
  <c r="L10100" i="1"/>
  <c r="A10101" i="1"/>
  <c r="B10101" i="1"/>
  <c r="C10101" i="1"/>
  <c r="D10101" i="1"/>
  <c r="E10101" i="1"/>
  <c r="F10101" i="1"/>
  <c r="G10101" i="1"/>
  <c r="H10101" i="1"/>
  <c r="I10101" i="1"/>
  <c r="J10101" i="1"/>
  <c r="K10101" i="1"/>
  <c r="L10101" i="1"/>
  <c r="A10102" i="1"/>
  <c r="B10102" i="1"/>
  <c r="C10102" i="1"/>
  <c r="D10102" i="1"/>
  <c r="E10102" i="1"/>
  <c r="F10102" i="1"/>
  <c r="G10102" i="1"/>
  <c r="H10102" i="1"/>
  <c r="I10102" i="1"/>
  <c r="J10102" i="1"/>
  <c r="K10102" i="1"/>
  <c r="L10102" i="1"/>
  <c r="A10103" i="1"/>
  <c r="B10103" i="1"/>
  <c r="C10103" i="1"/>
  <c r="D10103" i="1"/>
  <c r="E10103" i="1"/>
  <c r="F10103" i="1"/>
  <c r="G10103" i="1"/>
  <c r="H10103" i="1"/>
  <c r="I10103" i="1"/>
  <c r="J10103" i="1"/>
  <c r="K10103" i="1"/>
  <c r="L10103" i="1"/>
  <c r="A10104" i="1"/>
  <c r="B10104" i="1"/>
  <c r="C10104" i="1"/>
  <c r="D10104" i="1"/>
  <c r="E10104" i="1"/>
  <c r="F10104" i="1"/>
  <c r="G10104" i="1"/>
  <c r="H10104" i="1"/>
  <c r="I10104" i="1"/>
  <c r="J10104" i="1"/>
  <c r="K10104" i="1"/>
  <c r="L10104" i="1"/>
  <c r="A10105" i="1"/>
  <c r="B10105" i="1"/>
  <c r="C10105" i="1"/>
  <c r="D10105" i="1"/>
  <c r="E10105" i="1"/>
  <c r="F10105" i="1"/>
  <c r="G10105" i="1"/>
  <c r="H10105" i="1"/>
  <c r="I10105" i="1"/>
  <c r="J10105" i="1"/>
  <c r="K10105" i="1"/>
  <c r="L10105" i="1"/>
  <c r="A10106" i="1"/>
  <c r="B10106" i="1"/>
  <c r="C10106" i="1"/>
  <c r="D10106" i="1"/>
  <c r="E10106" i="1"/>
  <c r="F10106" i="1"/>
  <c r="G10106" i="1"/>
  <c r="H10106" i="1"/>
  <c r="I10106" i="1"/>
  <c r="J10106" i="1"/>
  <c r="K10106" i="1"/>
  <c r="L10106" i="1"/>
  <c r="A10107" i="1"/>
  <c r="B10107" i="1"/>
  <c r="C10107" i="1"/>
  <c r="D10107" i="1"/>
  <c r="E10107" i="1"/>
  <c r="F10107" i="1"/>
  <c r="G10107" i="1"/>
  <c r="H10107" i="1"/>
  <c r="I10107" i="1"/>
  <c r="J10107" i="1"/>
  <c r="K10107" i="1"/>
  <c r="L10107" i="1"/>
  <c r="A10108" i="1"/>
  <c r="B10108" i="1"/>
  <c r="C10108" i="1"/>
  <c r="D10108" i="1"/>
  <c r="E10108" i="1"/>
  <c r="F10108" i="1"/>
  <c r="G10108" i="1"/>
  <c r="H10108" i="1"/>
  <c r="I10108" i="1"/>
  <c r="J10108" i="1"/>
  <c r="K10108" i="1"/>
  <c r="L10108" i="1"/>
  <c r="A10109" i="1"/>
  <c r="B10109" i="1"/>
  <c r="C10109" i="1"/>
  <c r="D10109" i="1"/>
  <c r="E10109" i="1"/>
  <c r="F10109" i="1"/>
  <c r="G10109" i="1"/>
  <c r="H10109" i="1"/>
  <c r="I10109" i="1"/>
  <c r="J10109" i="1"/>
  <c r="K10109" i="1"/>
  <c r="L10109" i="1"/>
  <c r="A10110" i="1"/>
  <c r="B10110" i="1"/>
  <c r="C10110" i="1"/>
  <c r="D10110" i="1"/>
  <c r="E10110" i="1"/>
  <c r="F10110" i="1"/>
  <c r="G10110" i="1"/>
  <c r="H10110" i="1"/>
  <c r="I10110" i="1"/>
  <c r="J10110" i="1"/>
  <c r="K10110" i="1"/>
  <c r="L10110" i="1"/>
  <c r="A10111" i="1"/>
  <c r="B10111" i="1"/>
  <c r="C10111" i="1"/>
  <c r="D10111" i="1"/>
  <c r="E10111" i="1"/>
  <c r="F10111" i="1"/>
  <c r="G10111" i="1"/>
  <c r="H10111" i="1"/>
  <c r="I10111" i="1"/>
  <c r="J10111" i="1"/>
  <c r="K10111" i="1"/>
  <c r="L10111" i="1"/>
  <c r="A10112" i="1"/>
  <c r="B10112" i="1"/>
  <c r="C10112" i="1"/>
  <c r="D10112" i="1"/>
  <c r="E10112" i="1"/>
  <c r="F10112" i="1"/>
  <c r="G10112" i="1"/>
  <c r="H10112" i="1"/>
  <c r="I10112" i="1"/>
  <c r="J10112" i="1"/>
  <c r="K10112" i="1"/>
  <c r="L10112" i="1"/>
  <c r="A10113" i="1"/>
  <c r="B10113" i="1"/>
  <c r="C10113" i="1"/>
  <c r="D10113" i="1"/>
  <c r="E10113" i="1"/>
  <c r="F10113" i="1"/>
  <c r="G10113" i="1"/>
  <c r="H10113" i="1"/>
  <c r="I10113" i="1"/>
  <c r="J10113" i="1"/>
  <c r="K10113" i="1"/>
  <c r="L10113" i="1"/>
  <c r="A10114" i="1"/>
  <c r="B10114" i="1"/>
  <c r="C10114" i="1"/>
  <c r="D10114" i="1"/>
  <c r="E10114" i="1"/>
  <c r="F10114" i="1"/>
  <c r="G10114" i="1"/>
  <c r="H10114" i="1"/>
  <c r="I10114" i="1"/>
  <c r="J10114" i="1"/>
  <c r="K10114" i="1"/>
  <c r="L10114" i="1"/>
  <c r="A10115" i="1"/>
  <c r="B10115" i="1"/>
  <c r="C10115" i="1"/>
  <c r="D10115" i="1"/>
  <c r="E10115" i="1"/>
  <c r="F10115" i="1"/>
  <c r="G10115" i="1"/>
  <c r="H10115" i="1"/>
  <c r="I10115" i="1"/>
  <c r="J10115" i="1"/>
  <c r="K10115" i="1"/>
  <c r="L10115" i="1"/>
  <c r="A10116" i="1"/>
  <c r="B10116" i="1"/>
  <c r="C10116" i="1"/>
  <c r="D10116" i="1"/>
  <c r="E10116" i="1"/>
  <c r="F10116" i="1"/>
  <c r="G10116" i="1"/>
  <c r="H10116" i="1"/>
  <c r="I10116" i="1"/>
  <c r="J10116" i="1"/>
  <c r="K10116" i="1"/>
  <c r="L10116" i="1"/>
  <c r="A10117" i="1"/>
  <c r="B10117" i="1"/>
  <c r="C10117" i="1"/>
  <c r="D10117" i="1"/>
  <c r="E10117" i="1"/>
  <c r="F10117" i="1"/>
  <c r="G10117" i="1"/>
  <c r="H10117" i="1"/>
  <c r="I10117" i="1"/>
  <c r="J10117" i="1"/>
  <c r="K10117" i="1"/>
  <c r="L10117" i="1"/>
  <c r="A10118" i="1"/>
  <c r="B10118" i="1"/>
  <c r="C10118" i="1"/>
  <c r="D10118" i="1"/>
  <c r="E10118" i="1"/>
  <c r="F10118" i="1"/>
  <c r="G10118" i="1"/>
  <c r="H10118" i="1"/>
  <c r="I10118" i="1"/>
  <c r="J10118" i="1"/>
  <c r="K10118" i="1"/>
  <c r="L10118" i="1"/>
  <c r="A10119" i="1"/>
  <c r="B10119" i="1"/>
  <c r="C10119" i="1"/>
  <c r="D10119" i="1"/>
  <c r="E10119" i="1"/>
  <c r="F10119" i="1"/>
  <c r="G10119" i="1"/>
  <c r="H10119" i="1"/>
  <c r="I10119" i="1"/>
  <c r="J10119" i="1"/>
  <c r="K10119" i="1"/>
  <c r="L10119" i="1"/>
  <c r="A10120" i="1"/>
  <c r="B10120" i="1"/>
  <c r="C10120" i="1"/>
  <c r="D10120" i="1"/>
  <c r="E10120" i="1"/>
  <c r="F10120" i="1"/>
  <c r="G10120" i="1"/>
  <c r="H10120" i="1"/>
  <c r="I10120" i="1"/>
  <c r="J10120" i="1"/>
  <c r="K10120" i="1"/>
  <c r="L10120" i="1"/>
  <c r="A10121" i="1"/>
  <c r="B10121" i="1"/>
  <c r="C10121" i="1"/>
  <c r="D10121" i="1"/>
  <c r="E10121" i="1"/>
  <c r="F10121" i="1"/>
  <c r="G10121" i="1"/>
  <c r="H10121" i="1"/>
  <c r="I10121" i="1"/>
  <c r="J10121" i="1"/>
  <c r="K10121" i="1"/>
  <c r="L10121" i="1"/>
  <c r="A10122" i="1"/>
  <c r="B10122" i="1"/>
  <c r="C10122" i="1"/>
  <c r="D10122" i="1"/>
  <c r="E10122" i="1"/>
  <c r="F10122" i="1"/>
  <c r="G10122" i="1"/>
  <c r="H10122" i="1"/>
  <c r="I10122" i="1"/>
  <c r="J10122" i="1"/>
  <c r="K10122" i="1"/>
  <c r="L10122" i="1"/>
  <c r="A10123" i="1"/>
  <c r="B10123" i="1"/>
  <c r="C10123" i="1"/>
  <c r="D10123" i="1"/>
  <c r="E10123" i="1"/>
  <c r="F10123" i="1"/>
  <c r="G10123" i="1"/>
  <c r="H10123" i="1"/>
  <c r="I10123" i="1"/>
  <c r="J10123" i="1"/>
  <c r="K10123" i="1"/>
  <c r="L10123" i="1"/>
  <c r="A10124" i="1"/>
  <c r="B10124" i="1"/>
  <c r="C10124" i="1"/>
  <c r="D10124" i="1"/>
  <c r="E10124" i="1"/>
  <c r="F10124" i="1"/>
  <c r="G10124" i="1"/>
  <c r="H10124" i="1"/>
  <c r="I10124" i="1"/>
  <c r="J10124" i="1"/>
  <c r="K10124" i="1"/>
  <c r="L10124" i="1"/>
  <c r="A10125" i="1"/>
  <c r="B10125" i="1"/>
  <c r="C10125" i="1"/>
  <c r="D10125" i="1"/>
  <c r="E10125" i="1"/>
  <c r="F10125" i="1"/>
  <c r="G10125" i="1"/>
  <c r="H10125" i="1"/>
  <c r="I10125" i="1"/>
  <c r="J10125" i="1"/>
  <c r="K10125" i="1"/>
  <c r="L10125" i="1"/>
  <c r="A10126" i="1"/>
  <c r="B10126" i="1"/>
  <c r="C10126" i="1"/>
  <c r="D10126" i="1"/>
  <c r="E10126" i="1"/>
  <c r="F10126" i="1"/>
  <c r="G10126" i="1"/>
  <c r="H10126" i="1"/>
  <c r="I10126" i="1"/>
  <c r="J10126" i="1"/>
  <c r="K10126" i="1"/>
  <c r="L10126" i="1"/>
  <c r="A10127" i="1"/>
  <c r="B10127" i="1"/>
  <c r="C10127" i="1"/>
  <c r="D10127" i="1"/>
  <c r="E10127" i="1"/>
  <c r="F10127" i="1"/>
  <c r="G10127" i="1"/>
  <c r="H10127" i="1"/>
  <c r="I10127" i="1"/>
  <c r="J10127" i="1"/>
  <c r="K10127" i="1"/>
  <c r="L10127" i="1"/>
  <c r="A10128" i="1"/>
  <c r="B10128" i="1"/>
  <c r="C10128" i="1"/>
  <c r="D10128" i="1"/>
  <c r="E10128" i="1"/>
  <c r="F10128" i="1"/>
  <c r="G10128" i="1"/>
  <c r="H10128" i="1"/>
  <c r="I10128" i="1"/>
  <c r="J10128" i="1"/>
  <c r="K10128" i="1"/>
  <c r="L10128" i="1"/>
  <c r="A10129" i="1"/>
  <c r="B10129" i="1"/>
  <c r="C10129" i="1"/>
  <c r="D10129" i="1"/>
  <c r="E10129" i="1"/>
  <c r="F10129" i="1"/>
  <c r="G10129" i="1"/>
  <c r="H10129" i="1"/>
  <c r="I10129" i="1"/>
  <c r="J10129" i="1"/>
  <c r="K10129" i="1"/>
  <c r="L10129" i="1"/>
  <c r="A10130" i="1"/>
  <c r="B10130" i="1"/>
  <c r="C10130" i="1"/>
  <c r="D10130" i="1"/>
  <c r="E10130" i="1"/>
  <c r="F10130" i="1"/>
  <c r="G10130" i="1"/>
  <c r="H10130" i="1"/>
  <c r="I10130" i="1"/>
  <c r="J10130" i="1"/>
  <c r="K10130" i="1"/>
  <c r="L10130" i="1"/>
  <c r="A10131" i="1"/>
  <c r="B10131" i="1"/>
  <c r="C10131" i="1"/>
  <c r="D10131" i="1"/>
  <c r="E10131" i="1"/>
  <c r="F10131" i="1"/>
  <c r="G10131" i="1"/>
  <c r="H10131" i="1"/>
  <c r="I10131" i="1"/>
  <c r="J10131" i="1"/>
  <c r="K10131" i="1"/>
  <c r="L10131" i="1"/>
  <c r="A10132" i="1"/>
  <c r="B10132" i="1"/>
  <c r="C10132" i="1"/>
  <c r="D10132" i="1"/>
  <c r="E10132" i="1"/>
  <c r="F10132" i="1"/>
  <c r="G10132" i="1"/>
  <c r="H10132" i="1"/>
  <c r="I10132" i="1"/>
  <c r="J10132" i="1"/>
  <c r="K10132" i="1"/>
  <c r="L10132" i="1"/>
  <c r="A10133" i="1"/>
  <c r="B10133" i="1"/>
  <c r="C10133" i="1"/>
  <c r="D10133" i="1"/>
  <c r="E10133" i="1"/>
  <c r="F10133" i="1"/>
  <c r="G10133" i="1"/>
  <c r="H10133" i="1"/>
  <c r="I10133" i="1"/>
  <c r="J10133" i="1"/>
  <c r="K10133" i="1"/>
  <c r="L10133" i="1"/>
  <c r="A10134" i="1"/>
  <c r="B10134" i="1"/>
  <c r="C10134" i="1"/>
  <c r="D10134" i="1"/>
  <c r="E10134" i="1"/>
  <c r="F10134" i="1"/>
  <c r="G10134" i="1"/>
  <c r="H10134" i="1"/>
  <c r="I10134" i="1"/>
  <c r="J10134" i="1"/>
  <c r="K10134" i="1"/>
  <c r="L10134" i="1"/>
  <c r="A10135" i="1"/>
  <c r="B10135" i="1"/>
  <c r="C10135" i="1"/>
  <c r="D10135" i="1"/>
  <c r="E10135" i="1"/>
  <c r="F10135" i="1"/>
  <c r="G10135" i="1"/>
  <c r="H10135" i="1"/>
  <c r="I10135" i="1"/>
  <c r="J10135" i="1"/>
  <c r="K10135" i="1"/>
  <c r="L10135" i="1"/>
  <c r="A10136" i="1"/>
  <c r="B10136" i="1"/>
  <c r="C10136" i="1"/>
  <c r="D10136" i="1"/>
  <c r="E10136" i="1"/>
  <c r="F10136" i="1"/>
  <c r="G10136" i="1"/>
  <c r="H10136" i="1"/>
  <c r="I10136" i="1"/>
  <c r="J10136" i="1"/>
  <c r="K10136" i="1"/>
  <c r="L10136" i="1"/>
  <c r="A10137" i="1"/>
  <c r="B10137" i="1"/>
  <c r="C10137" i="1"/>
  <c r="D10137" i="1"/>
  <c r="E10137" i="1"/>
  <c r="F10137" i="1"/>
  <c r="G10137" i="1"/>
  <c r="H10137" i="1"/>
  <c r="I10137" i="1"/>
  <c r="J10137" i="1"/>
  <c r="K10137" i="1"/>
  <c r="L10137" i="1"/>
  <c r="A10138" i="1"/>
  <c r="B10138" i="1"/>
  <c r="C10138" i="1"/>
  <c r="D10138" i="1"/>
  <c r="E10138" i="1"/>
  <c r="F10138" i="1"/>
  <c r="G10138" i="1"/>
  <c r="H10138" i="1"/>
  <c r="I10138" i="1"/>
  <c r="J10138" i="1"/>
  <c r="K10138" i="1"/>
  <c r="L10138" i="1"/>
  <c r="A10139" i="1"/>
  <c r="B10139" i="1"/>
  <c r="C10139" i="1"/>
  <c r="D10139" i="1"/>
  <c r="E10139" i="1"/>
  <c r="F10139" i="1"/>
  <c r="G10139" i="1"/>
  <c r="H10139" i="1"/>
  <c r="I10139" i="1"/>
  <c r="J10139" i="1"/>
  <c r="K10139" i="1"/>
  <c r="L10139" i="1"/>
  <c r="A10140" i="1"/>
  <c r="B10140" i="1"/>
  <c r="C10140" i="1"/>
  <c r="D10140" i="1"/>
  <c r="E10140" i="1"/>
  <c r="F10140" i="1"/>
  <c r="G10140" i="1"/>
  <c r="H10140" i="1"/>
  <c r="I10140" i="1"/>
  <c r="J10140" i="1"/>
  <c r="K10140" i="1"/>
  <c r="L10140" i="1"/>
  <c r="A10141" i="1"/>
  <c r="B10141" i="1"/>
  <c r="C10141" i="1"/>
  <c r="D10141" i="1"/>
  <c r="E10141" i="1"/>
  <c r="F10141" i="1"/>
  <c r="G10141" i="1"/>
  <c r="H10141" i="1"/>
  <c r="I10141" i="1"/>
  <c r="J10141" i="1"/>
  <c r="K10141" i="1"/>
  <c r="L10141" i="1"/>
  <c r="A10142" i="1"/>
  <c r="B10142" i="1"/>
  <c r="C10142" i="1"/>
  <c r="D10142" i="1"/>
  <c r="E10142" i="1"/>
  <c r="F10142" i="1"/>
  <c r="G10142" i="1"/>
  <c r="H10142" i="1"/>
  <c r="I10142" i="1"/>
  <c r="J10142" i="1"/>
  <c r="K10142" i="1"/>
  <c r="L10142" i="1"/>
  <c r="A10143" i="1"/>
  <c r="B10143" i="1"/>
  <c r="C10143" i="1"/>
  <c r="D10143" i="1"/>
  <c r="E10143" i="1"/>
  <c r="F10143" i="1"/>
  <c r="G10143" i="1"/>
  <c r="H10143" i="1"/>
  <c r="I10143" i="1"/>
  <c r="J10143" i="1"/>
  <c r="K10143" i="1"/>
  <c r="L10143" i="1"/>
  <c r="A10144" i="1"/>
  <c r="B10144" i="1"/>
  <c r="C10144" i="1"/>
  <c r="D10144" i="1"/>
  <c r="E10144" i="1"/>
  <c r="F10144" i="1"/>
  <c r="G10144" i="1"/>
  <c r="H10144" i="1"/>
  <c r="I10144" i="1"/>
  <c r="J10144" i="1"/>
  <c r="K10144" i="1"/>
  <c r="L10144" i="1"/>
  <c r="A10145" i="1"/>
  <c r="B10145" i="1"/>
  <c r="C10145" i="1"/>
  <c r="D10145" i="1"/>
  <c r="E10145" i="1"/>
  <c r="F10145" i="1"/>
  <c r="G10145" i="1"/>
  <c r="H10145" i="1"/>
  <c r="I10145" i="1"/>
  <c r="J10145" i="1"/>
  <c r="K10145" i="1"/>
  <c r="L10145" i="1"/>
  <c r="A10146" i="1"/>
  <c r="B10146" i="1"/>
  <c r="C10146" i="1"/>
  <c r="D10146" i="1"/>
  <c r="E10146" i="1"/>
  <c r="F10146" i="1"/>
  <c r="G10146" i="1"/>
  <c r="H10146" i="1"/>
  <c r="I10146" i="1"/>
  <c r="J10146" i="1"/>
  <c r="K10146" i="1"/>
  <c r="L10146" i="1"/>
  <c r="A10147" i="1"/>
  <c r="B10147" i="1"/>
  <c r="C10147" i="1"/>
  <c r="D10147" i="1"/>
  <c r="E10147" i="1"/>
  <c r="F10147" i="1"/>
  <c r="G10147" i="1"/>
  <c r="H10147" i="1"/>
  <c r="I10147" i="1"/>
  <c r="J10147" i="1"/>
  <c r="K10147" i="1"/>
  <c r="L10147" i="1"/>
  <c r="A10148" i="1"/>
  <c r="B10148" i="1"/>
  <c r="C10148" i="1"/>
  <c r="D10148" i="1"/>
  <c r="E10148" i="1"/>
  <c r="F10148" i="1"/>
  <c r="G10148" i="1"/>
  <c r="H10148" i="1"/>
  <c r="I10148" i="1"/>
  <c r="J10148" i="1"/>
  <c r="K10148" i="1"/>
  <c r="L10148" i="1"/>
  <c r="A10149" i="1"/>
  <c r="B10149" i="1"/>
  <c r="C10149" i="1"/>
  <c r="D10149" i="1"/>
  <c r="E10149" i="1"/>
  <c r="F10149" i="1"/>
  <c r="G10149" i="1"/>
  <c r="H10149" i="1"/>
  <c r="I10149" i="1"/>
  <c r="J10149" i="1"/>
  <c r="K10149" i="1"/>
  <c r="L10149" i="1"/>
  <c r="A10150" i="1"/>
  <c r="B10150" i="1"/>
  <c r="C10150" i="1"/>
  <c r="D10150" i="1"/>
  <c r="E10150" i="1"/>
  <c r="F10150" i="1"/>
  <c r="G10150" i="1"/>
  <c r="H10150" i="1"/>
  <c r="I10150" i="1"/>
  <c r="J10150" i="1"/>
  <c r="K10150" i="1"/>
  <c r="L10150" i="1"/>
  <c r="A10151" i="1"/>
  <c r="B10151" i="1"/>
  <c r="C10151" i="1"/>
  <c r="D10151" i="1"/>
  <c r="E10151" i="1"/>
  <c r="F10151" i="1"/>
  <c r="G10151" i="1"/>
  <c r="H10151" i="1"/>
  <c r="I10151" i="1"/>
  <c r="J10151" i="1"/>
  <c r="K10151" i="1"/>
  <c r="L10151" i="1"/>
  <c r="A10152" i="1"/>
  <c r="B10152" i="1"/>
  <c r="C10152" i="1"/>
  <c r="D10152" i="1"/>
  <c r="E10152" i="1"/>
  <c r="F10152" i="1"/>
  <c r="G10152" i="1"/>
  <c r="H10152" i="1"/>
  <c r="I10152" i="1"/>
  <c r="J10152" i="1"/>
  <c r="K10152" i="1"/>
  <c r="L10152" i="1"/>
  <c r="A10153" i="1"/>
  <c r="B10153" i="1"/>
  <c r="C10153" i="1"/>
  <c r="D10153" i="1"/>
  <c r="E10153" i="1"/>
  <c r="F10153" i="1"/>
  <c r="G10153" i="1"/>
  <c r="H10153" i="1"/>
  <c r="I10153" i="1"/>
  <c r="J10153" i="1"/>
  <c r="K10153" i="1"/>
  <c r="L10153" i="1"/>
  <c r="A10154" i="1"/>
  <c r="B10154" i="1"/>
  <c r="C10154" i="1"/>
  <c r="D10154" i="1"/>
  <c r="E10154" i="1"/>
  <c r="F10154" i="1"/>
  <c r="G10154" i="1"/>
  <c r="H10154" i="1"/>
  <c r="I10154" i="1"/>
  <c r="J10154" i="1"/>
  <c r="K10154" i="1"/>
  <c r="L10154" i="1"/>
  <c r="A10155" i="1"/>
  <c r="B10155" i="1"/>
  <c r="C10155" i="1"/>
  <c r="D10155" i="1"/>
  <c r="E10155" i="1"/>
  <c r="F10155" i="1"/>
  <c r="G10155" i="1"/>
  <c r="H10155" i="1"/>
  <c r="I10155" i="1"/>
  <c r="J10155" i="1"/>
  <c r="K10155" i="1"/>
  <c r="L10155" i="1"/>
  <c r="A10156" i="1"/>
  <c r="B10156" i="1"/>
  <c r="C10156" i="1"/>
  <c r="D10156" i="1"/>
  <c r="E10156" i="1"/>
  <c r="F10156" i="1"/>
  <c r="G10156" i="1"/>
  <c r="H10156" i="1"/>
  <c r="I10156" i="1"/>
  <c r="J10156" i="1"/>
  <c r="K10156" i="1"/>
  <c r="L10156" i="1"/>
  <c r="A10157" i="1"/>
  <c r="B10157" i="1"/>
  <c r="C10157" i="1"/>
  <c r="D10157" i="1"/>
  <c r="E10157" i="1"/>
  <c r="F10157" i="1"/>
  <c r="G10157" i="1"/>
  <c r="H10157" i="1"/>
  <c r="I10157" i="1"/>
  <c r="J10157" i="1"/>
  <c r="K10157" i="1"/>
  <c r="L10157" i="1"/>
  <c r="A10158" i="1"/>
  <c r="B10158" i="1"/>
  <c r="C10158" i="1"/>
  <c r="D10158" i="1"/>
  <c r="E10158" i="1"/>
  <c r="F10158" i="1"/>
  <c r="G10158" i="1"/>
  <c r="H10158" i="1"/>
  <c r="I10158" i="1"/>
  <c r="J10158" i="1"/>
  <c r="K10158" i="1"/>
  <c r="L10158" i="1"/>
  <c r="A10159" i="1"/>
  <c r="B10159" i="1"/>
  <c r="C10159" i="1"/>
  <c r="D10159" i="1"/>
  <c r="E10159" i="1"/>
  <c r="F10159" i="1"/>
  <c r="G10159" i="1"/>
  <c r="H10159" i="1"/>
  <c r="I10159" i="1"/>
  <c r="J10159" i="1"/>
  <c r="K10159" i="1"/>
  <c r="L10159" i="1"/>
  <c r="A10160" i="1"/>
  <c r="B10160" i="1"/>
  <c r="C10160" i="1"/>
  <c r="D10160" i="1"/>
  <c r="E10160" i="1"/>
  <c r="F10160" i="1"/>
  <c r="G10160" i="1"/>
  <c r="H10160" i="1"/>
  <c r="I10160" i="1"/>
  <c r="J10160" i="1"/>
  <c r="K10160" i="1"/>
  <c r="L10160" i="1"/>
  <c r="A10161" i="1"/>
  <c r="B10161" i="1"/>
  <c r="C10161" i="1"/>
  <c r="D10161" i="1"/>
  <c r="E10161" i="1"/>
  <c r="F10161" i="1"/>
  <c r="G10161" i="1"/>
  <c r="H10161" i="1"/>
  <c r="I10161" i="1"/>
  <c r="J10161" i="1"/>
  <c r="K10161" i="1"/>
  <c r="L10161" i="1"/>
  <c r="A10162" i="1"/>
  <c r="B10162" i="1"/>
  <c r="C10162" i="1"/>
  <c r="D10162" i="1"/>
  <c r="E10162" i="1"/>
  <c r="F10162" i="1"/>
  <c r="G10162" i="1"/>
  <c r="H10162" i="1"/>
  <c r="I10162" i="1"/>
  <c r="J10162" i="1"/>
  <c r="K10162" i="1"/>
  <c r="L10162" i="1"/>
  <c r="A10163" i="1"/>
  <c r="B10163" i="1"/>
  <c r="C10163" i="1"/>
  <c r="D10163" i="1"/>
  <c r="E10163" i="1"/>
  <c r="F10163" i="1"/>
  <c r="G10163" i="1"/>
  <c r="H10163" i="1"/>
  <c r="I10163" i="1"/>
  <c r="J10163" i="1"/>
  <c r="K10163" i="1"/>
  <c r="L10163" i="1"/>
  <c r="A10164" i="1"/>
  <c r="B10164" i="1"/>
  <c r="C10164" i="1"/>
  <c r="D10164" i="1"/>
  <c r="E10164" i="1"/>
  <c r="F10164" i="1"/>
  <c r="G10164" i="1"/>
  <c r="H10164" i="1"/>
  <c r="I10164" i="1"/>
  <c r="J10164" i="1"/>
  <c r="K10164" i="1"/>
  <c r="L10164" i="1"/>
  <c r="A10165" i="1"/>
  <c r="B10165" i="1"/>
  <c r="C10165" i="1"/>
  <c r="D10165" i="1"/>
  <c r="E10165" i="1"/>
  <c r="F10165" i="1"/>
  <c r="G10165" i="1"/>
  <c r="H10165" i="1"/>
  <c r="I10165" i="1"/>
  <c r="J10165" i="1"/>
  <c r="K10165" i="1"/>
  <c r="L10165" i="1"/>
  <c r="A10166" i="1"/>
  <c r="B10166" i="1"/>
  <c r="C10166" i="1"/>
  <c r="D10166" i="1"/>
  <c r="E10166" i="1"/>
  <c r="F10166" i="1"/>
  <c r="G10166" i="1"/>
  <c r="H10166" i="1"/>
  <c r="I10166" i="1"/>
  <c r="J10166" i="1"/>
  <c r="K10166" i="1"/>
  <c r="L10166" i="1"/>
  <c r="A10167" i="1"/>
  <c r="B10167" i="1"/>
  <c r="C10167" i="1"/>
  <c r="D10167" i="1"/>
  <c r="E10167" i="1"/>
  <c r="F10167" i="1"/>
  <c r="G10167" i="1"/>
  <c r="H10167" i="1"/>
  <c r="I10167" i="1"/>
  <c r="J10167" i="1"/>
  <c r="K10167" i="1"/>
  <c r="L10167" i="1"/>
  <c r="A10168" i="1"/>
  <c r="B10168" i="1"/>
  <c r="C10168" i="1"/>
  <c r="D10168" i="1"/>
  <c r="E10168" i="1"/>
  <c r="F10168" i="1"/>
  <c r="G10168" i="1"/>
  <c r="H10168" i="1"/>
  <c r="I10168" i="1"/>
  <c r="J10168" i="1"/>
  <c r="K10168" i="1"/>
  <c r="L10168" i="1"/>
  <c r="A10169" i="1"/>
  <c r="B10169" i="1"/>
  <c r="C10169" i="1"/>
  <c r="D10169" i="1"/>
  <c r="E10169" i="1"/>
  <c r="F10169" i="1"/>
  <c r="G10169" i="1"/>
  <c r="H10169" i="1"/>
  <c r="I10169" i="1"/>
  <c r="J10169" i="1"/>
  <c r="K10169" i="1"/>
  <c r="L10169" i="1"/>
  <c r="A10170" i="1"/>
  <c r="B10170" i="1"/>
  <c r="C10170" i="1"/>
  <c r="D10170" i="1"/>
  <c r="E10170" i="1"/>
  <c r="F10170" i="1"/>
  <c r="G10170" i="1"/>
  <c r="H10170" i="1"/>
  <c r="I10170" i="1"/>
  <c r="J10170" i="1"/>
  <c r="K10170" i="1"/>
  <c r="L10170" i="1"/>
  <c r="A10171" i="1"/>
  <c r="B10171" i="1"/>
  <c r="C10171" i="1"/>
  <c r="D10171" i="1"/>
  <c r="E10171" i="1"/>
  <c r="F10171" i="1"/>
  <c r="G10171" i="1"/>
  <c r="H10171" i="1"/>
  <c r="I10171" i="1"/>
  <c r="J10171" i="1"/>
  <c r="K10171" i="1"/>
  <c r="L10171" i="1"/>
  <c r="A10172" i="1"/>
  <c r="B10172" i="1"/>
  <c r="C10172" i="1"/>
  <c r="D10172" i="1"/>
  <c r="E10172" i="1"/>
  <c r="F10172" i="1"/>
  <c r="G10172" i="1"/>
  <c r="H10172" i="1"/>
  <c r="I10172" i="1"/>
  <c r="J10172" i="1"/>
  <c r="K10172" i="1"/>
  <c r="L10172" i="1"/>
  <c r="A10173" i="1"/>
  <c r="B10173" i="1"/>
  <c r="C10173" i="1"/>
  <c r="D10173" i="1"/>
  <c r="E10173" i="1"/>
  <c r="F10173" i="1"/>
  <c r="G10173" i="1"/>
  <c r="H10173" i="1"/>
  <c r="I10173" i="1"/>
  <c r="J10173" i="1"/>
  <c r="K10173" i="1"/>
  <c r="L10173" i="1"/>
  <c r="A10174" i="1"/>
  <c r="B10174" i="1"/>
  <c r="C10174" i="1"/>
  <c r="D10174" i="1"/>
  <c r="E10174" i="1"/>
  <c r="F10174" i="1"/>
  <c r="G10174" i="1"/>
  <c r="H10174" i="1"/>
  <c r="I10174" i="1"/>
  <c r="J10174" i="1"/>
  <c r="K10174" i="1"/>
  <c r="L10174" i="1"/>
  <c r="A10175" i="1"/>
  <c r="B10175" i="1"/>
  <c r="C10175" i="1"/>
  <c r="D10175" i="1"/>
  <c r="E10175" i="1"/>
  <c r="F10175" i="1"/>
  <c r="G10175" i="1"/>
  <c r="H10175" i="1"/>
  <c r="I10175" i="1"/>
  <c r="J10175" i="1"/>
  <c r="K10175" i="1"/>
  <c r="L10175" i="1"/>
  <c r="A10176" i="1"/>
  <c r="B10176" i="1"/>
  <c r="C10176" i="1"/>
  <c r="D10176" i="1"/>
  <c r="E10176" i="1"/>
  <c r="F10176" i="1"/>
  <c r="G10176" i="1"/>
  <c r="H10176" i="1"/>
  <c r="I10176" i="1"/>
  <c r="J10176" i="1"/>
  <c r="K10176" i="1"/>
  <c r="L10176" i="1"/>
  <c r="A10177" i="1"/>
  <c r="B10177" i="1"/>
  <c r="C10177" i="1"/>
  <c r="D10177" i="1"/>
  <c r="E10177" i="1"/>
  <c r="F10177" i="1"/>
  <c r="G10177" i="1"/>
  <c r="H10177" i="1"/>
  <c r="I10177" i="1"/>
  <c r="J10177" i="1"/>
  <c r="K10177" i="1"/>
  <c r="L10177" i="1"/>
  <c r="A10178" i="1"/>
  <c r="B10178" i="1"/>
  <c r="C10178" i="1"/>
  <c r="D10178" i="1"/>
  <c r="E10178" i="1"/>
  <c r="F10178" i="1"/>
  <c r="G10178" i="1"/>
  <c r="H10178" i="1"/>
  <c r="I10178" i="1"/>
  <c r="J10178" i="1"/>
  <c r="K10178" i="1"/>
  <c r="L10178" i="1"/>
  <c r="A10179" i="1"/>
  <c r="B10179" i="1"/>
  <c r="C10179" i="1"/>
  <c r="D10179" i="1"/>
  <c r="E10179" i="1"/>
  <c r="F10179" i="1"/>
  <c r="G10179" i="1"/>
  <c r="H10179" i="1"/>
  <c r="I10179" i="1"/>
  <c r="J10179" i="1"/>
  <c r="K10179" i="1"/>
  <c r="L10179" i="1"/>
  <c r="A10180" i="1"/>
  <c r="B10180" i="1"/>
  <c r="C10180" i="1"/>
  <c r="D10180" i="1"/>
  <c r="E10180" i="1"/>
  <c r="F10180" i="1"/>
  <c r="G10180" i="1"/>
  <c r="H10180" i="1"/>
  <c r="I10180" i="1"/>
  <c r="J10180" i="1"/>
  <c r="K10180" i="1"/>
  <c r="L10180" i="1"/>
  <c r="A10181" i="1"/>
  <c r="B10181" i="1"/>
  <c r="C10181" i="1"/>
  <c r="D10181" i="1"/>
  <c r="E10181" i="1"/>
  <c r="F10181" i="1"/>
  <c r="G10181" i="1"/>
  <c r="H10181" i="1"/>
  <c r="I10181" i="1"/>
  <c r="J10181" i="1"/>
  <c r="K10181" i="1"/>
  <c r="L10181" i="1"/>
  <c r="A10182" i="1"/>
  <c r="B10182" i="1"/>
  <c r="C10182" i="1"/>
  <c r="D10182" i="1"/>
  <c r="E10182" i="1"/>
  <c r="F10182" i="1"/>
  <c r="G10182" i="1"/>
  <c r="H10182" i="1"/>
  <c r="I10182" i="1"/>
  <c r="J10182" i="1"/>
  <c r="K10182" i="1"/>
  <c r="L10182" i="1"/>
  <c r="A10183" i="1"/>
  <c r="B10183" i="1"/>
  <c r="C10183" i="1"/>
  <c r="D10183" i="1"/>
  <c r="E10183" i="1"/>
  <c r="F10183" i="1"/>
  <c r="G10183" i="1"/>
  <c r="H10183" i="1"/>
  <c r="I10183" i="1"/>
  <c r="J10183" i="1"/>
  <c r="K10183" i="1"/>
  <c r="L10183" i="1"/>
  <c r="A10184" i="1"/>
  <c r="B10184" i="1"/>
  <c r="C10184" i="1"/>
  <c r="D10184" i="1"/>
  <c r="E10184" i="1"/>
  <c r="F10184" i="1"/>
  <c r="G10184" i="1"/>
  <c r="H10184" i="1"/>
  <c r="I10184" i="1"/>
  <c r="J10184" i="1"/>
  <c r="K10184" i="1"/>
  <c r="L10184" i="1"/>
  <c r="A10185" i="1"/>
  <c r="B10185" i="1"/>
  <c r="C10185" i="1"/>
  <c r="D10185" i="1"/>
  <c r="E10185" i="1"/>
  <c r="F10185" i="1"/>
  <c r="G10185" i="1"/>
  <c r="H10185" i="1"/>
  <c r="I10185" i="1"/>
  <c r="J10185" i="1"/>
  <c r="K10185" i="1"/>
  <c r="L10185" i="1"/>
  <c r="A10186" i="1"/>
  <c r="B10186" i="1"/>
  <c r="C10186" i="1"/>
  <c r="D10186" i="1"/>
  <c r="E10186" i="1"/>
  <c r="F10186" i="1"/>
  <c r="G10186" i="1"/>
  <c r="H10186" i="1"/>
  <c r="I10186" i="1"/>
  <c r="J10186" i="1"/>
  <c r="K10186" i="1"/>
  <c r="L10186" i="1"/>
  <c r="A10187" i="1"/>
  <c r="B10187" i="1"/>
  <c r="C10187" i="1"/>
  <c r="D10187" i="1"/>
  <c r="E10187" i="1"/>
  <c r="F10187" i="1"/>
  <c r="G10187" i="1"/>
  <c r="H10187" i="1"/>
  <c r="I10187" i="1"/>
  <c r="J10187" i="1"/>
  <c r="K10187" i="1"/>
  <c r="L10187" i="1"/>
  <c r="A10188" i="1"/>
  <c r="B10188" i="1"/>
  <c r="C10188" i="1"/>
  <c r="D10188" i="1"/>
  <c r="E10188" i="1"/>
  <c r="F10188" i="1"/>
  <c r="G10188" i="1"/>
  <c r="H10188" i="1"/>
  <c r="I10188" i="1"/>
  <c r="J10188" i="1"/>
  <c r="K10188" i="1"/>
  <c r="L10188" i="1"/>
  <c r="A10189" i="1"/>
  <c r="B10189" i="1"/>
  <c r="C10189" i="1"/>
  <c r="D10189" i="1"/>
  <c r="E10189" i="1"/>
  <c r="F10189" i="1"/>
  <c r="G10189" i="1"/>
  <c r="H10189" i="1"/>
  <c r="I10189" i="1"/>
  <c r="J10189" i="1"/>
  <c r="K10189" i="1"/>
  <c r="L10189" i="1"/>
  <c r="A10190" i="1"/>
  <c r="B10190" i="1"/>
  <c r="C10190" i="1"/>
  <c r="D10190" i="1"/>
  <c r="E10190" i="1"/>
  <c r="F10190" i="1"/>
  <c r="G10190" i="1"/>
  <c r="H10190" i="1"/>
  <c r="I10190" i="1"/>
  <c r="J10190" i="1"/>
  <c r="K10190" i="1"/>
  <c r="L10190" i="1"/>
  <c r="A10191" i="1"/>
  <c r="B10191" i="1"/>
  <c r="C10191" i="1"/>
  <c r="D10191" i="1"/>
  <c r="E10191" i="1"/>
  <c r="F10191" i="1"/>
  <c r="G10191" i="1"/>
  <c r="H10191" i="1"/>
  <c r="I10191" i="1"/>
  <c r="J10191" i="1"/>
  <c r="K10191" i="1"/>
  <c r="L10191" i="1"/>
  <c r="A10192" i="1"/>
  <c r="B10192" i="1"/>
  <c r="C10192" i="1"/>
  <c r="D10192" i="1"/>
  <c r="E10192" i="1"/>
  <c r="F10192" i="1"/>
  <c r="G10192" i="1"/>
  <c r="H10192" i="1"/>
  <c r="I10192" i="1"/>
  <c r="J10192" i="1"/>
  <c r="K10192" i="1"/>
  <c r="L10192" i="1"/>
  <c r="A10193" i="1"/>
  <c r="B10193" i="1"/>
  <c r="C10193" i="1"/>
  <c r="D10193" i="1"/>
  <c r="E10193" i="1"/>
  <c r="F10193" i="1"/>
  <c r="G10193" i="1"/>
  <c r="H10193" i="1"/>
  <c r="I10193" i="1"/>
  <c r="J10193" i="1"/>
  <c r="K10193" i="1"/>
  <c r="L10193" i="1"/>
  <c r="A10194" i="1"/>
  <c r="B10194" i="1"/>
  <c r="C10194" i="1"/>
  <c r="D10194" i="1"/>
  <c r="E10194" i="1"/>
  <c r="F10194" i="1"/>
  <c r="G10194" i="1"/>
  <c r="H10194" i="1"/>
  <c r="I10194" i="1"/>
  <c r="J10194" i="1"/>
  <c r="K10194" i="1"/>
  <c r="L10194" i="1"/>
  <c r="A10195" i="1"/>
  <c r="B10195" i="1"/>
  <c r="C10195" i="1"/>
  <c r="D10195" i="1"/>
  <c r="E10195" i="1"/>
  <c r="F10195" i="1"/>
  <c r="G10195" i="1"/>
  <c r="H10195" i="1"/>
  <c r="I10195" i="1"/>
  <c r="J10195" i="1"/>
  <c r="K10195" i="1"/>
  <c r="L10195" i="1"/>
  <c r="A10196" i="1"/>
  <c r="B10196" i="1"/>
  <c r="C10196" i="1"/>
  <c r="D10196" i="1"/>
  <c r="E10196" i="1"/>
  <c r="F10196" i="1"/>
  <c r="G10196" i="1"/>
  <c r="H10196" i="1"/>
  <c r="I10196" i="1"/>
  <c r="J10196" i="1"/>
  <c r="K10196" i="1"/>
  <c r="L10196" i="1"/>
  <c r="A10197" i="1"/>
  <c r="B10197" i="1"/>
  <c r="C10197" i="1"/>
  <c r="D10197" i="1"/>
  <c r="E10197" i="1"/>
  <c r="F10197" i="1"/>
  <c r="G10197" i="1"/>
  <c r="H10197" i="1"/>
  <c r="I10197" i="1"/>
  <c r="J10197" i="1"/>
  <c r="K10197" i="1"/>
  <c r="L10197" i="1"/>
  <c r="A10198" i="1"/>
  <c r="B10198" i="1"/>
  <c r="C10198" i="1"/>
  <c r="D10198" i="1"/>
  <c r="E10198" i="1"/>
  <c r="F10198" i="1"/>
  <c r="G10198" i="1"/>
  <c r="H10198" i="1"/>
  <c r="I10198" i="1"/>
  <c r="J10198" i="1"/>
  <c r="K10198" i="1"/>
  <c r="L10198" i="1"/>
  <c r="A10199" i="1"/>
  <c r="B10199" i="1"/>
  <c r="C10199" i="1"/>
  <c r="D10199" i="1"/>
  <c r="E10199" i="1"/>
  <c r="F10199" i="1"/>
  <c r="G10199" i="1"/>
  <c r="H10199" i="1"/>
  <c r="I10199" i="1"/>
  <c r="J10199" i="1"/>
  <c r="K10199" i="1"/>
  <c r="L10199" i="1"/>
  <c r="A10200" i="1"/>
  <c r="B10200" i="1"/>
  <c r="C10200" i="1"/>
  <c r="D10200" i="1"/>
  <c r="E10200" i="1"/>
  <c r="F10200" i="1"/>
  <c r="G10200" i="1"/>
  <c r="H10200" i="1"/>
  <c r="I10200" i="1"/>
  <c r="J10200" i="1"/>
  <c r="K10200" i="1"/>
  <c r="L10200" i="1"/>
  <c r="A10201" i="1"/>
  <c r="B10201" i="1"/>
  <c r="C10201" i="1"/>
  <c r="D10201" i="1"/>
  <c r="E10201" i="1"/>
  <c r="F10201" i="1"/>
  <c r="G10201" i="1"/>
  <c r="H10201" i="1"/>
  <c r="I10201" i="1"/>
  <c r="J10201" i="1"/>
  <c r="K10201" i="1"/>
  <c r="L10201" i="1"/>
  <c r="A10202" i="1"/>
  <c r="B10202" i="1"/>
  <c r="C10202" i="1"/>
  <c r="D10202" i="1"/>
  <c r="E10202" i="1"/>
  <c r="F10202" i="1"/>
  <c r="G10202" i="1"/>
  <c r="H10202" i="1"/>
  <c r="I10202" i="1"/>
  <c r="J10202" i="1"/>
  <c r="K10202" i="1"/>
  <c r="L10202" i="1"/>
  <c r="A10203" i="1"/>
  <c r="B10203" i="1"/>
  <c r="C10203" i="1"/>
  <c r="D10203" i="1"/>
  <c r="E10203" i="1"/>
  <c r="F10203" i="1"/>
  <c r="G10203" i="1"/>
  <c r="H10203" i="1"/>
  <c r="I10203" i="1"/>
  <c r="J10203" i="1"/>
  <c r="K10203" i="1"/>
  <c r="L10203" i="1"/>
  <c r="A10204" i="1"/>
  <c r="B10204" i="1"/>
  <c r="C10204" i="1"/>
  <c r="D10204" i="1"/>
  <c r="E10204" i="1"/>
  <c r="F10204" i="1"/>
  <c r="G10204" i="1"/>
  <c r="H10204" i="1"/>
  <c r="I10204" i="1"/>
  <c r="J10204" i="1"/>
  <c r="K10204" i="1"/>
  <c r="L10204" i="1"/>
  <c r="A10205" i="1"/>
  <c r="B10205" i="1"/>
  <c r="C10205" i="1"/>
  <c r="D10205" i="1"/>
  <c r="E10205" i="1"/>
  <c r="F10205" i="1"/>
  <c r="G10205" i="1"/>
  <c r="H10205" i="1"/>
  <c r="I10205" i="1"/>
  <c r="J10205" i="1"/>
  <c r="K10205" i="1"/>
  <c r="L10205" i="1"/>
  <c r="A10206" i="1"/>
  <c r="B10206" i="1"/>
  <c r="C10206" i="1"/>
  <c r="D10206" i="1"/>
  <c r="E10206" i="1"/>
  <c r="F10206" i="1"/>
  <c r="G10206" i="1"/>
  <c r="H10206" i="1"/>
  <c r="I10206" i="1"/>
  <c r="J10206" i="1"/>
  <c r="K10206" i="1"/>
  <c r="L10206" i="1"/>
  <c r="A10207" i="1"/>
  <c r="B10207" i="1"/>
  <c r="C10207" i="1"/>
  <c r="D10207" i="1"/>
  <c r="E10207" i="1"/>
  <c r="F10207" i="1"/>
  <c r="G10207" i="1"/>
  <c r="H10207" i="1"/>
  <c r="I10207" i="1"/>
  <c r="J10207" i="1"/>
  <c r="K10207" i="1"/>
  <c r="L10207" i="1"/>
  <c r="A10208" i="1"/>
  <c r="B10208" i="1"/>
  <c r="C10208" i="1"/>
  <c r="D10208" i="1"/>
  <c r="E10208" i="1"/>
  <c r="F10208" i="1"/>
  <c r="G10208" i="1"/>
  <c r="H10208" i="1"/>
  <c r="I10208" i="1"/>
  <c r="J10208" i="1"/>
  <c r="K10208" i="1"/>
  <c r="L10208" i="1"/>
  <c r="A10209" i="1"/>
  <c r="B10209" i="1"/>
  <c r="C10209" i="1"/>
  <c r="D10209" i="1"/>
  <c r="E10209" i="1"/>
  <c r="F10209" i="1"/>
  <c r="G10209" i="1"/>
  <c r="H10209" i="1"/>
  <c r="I10209" i="1"/>
  <c r="J10209" i="1"/>
  <c r="K10209" i="1"/>
  <c r="L10209" i="1"/>
  <c r="A10210" i="1"/>
  <c r="B10210" i="1"/>
  <c r="C10210" i="1"/>
  <c r="D10210" i="1"/>
  <c r="E10210" i="1"/>
  <c r="F10210" i="1"/>
  <c r="G10210" i="1"/>
  <c r="H10210" i="1"/>
  <c r="I10210" i="1"/>
  <c r="J10210" i="1"/>
  <c r="K10210" i="1"/>
  <c r="L10210" i="1"/>
  <c r="A10211" i="1"/>
  <c r="B10211" i="1"/>
  <c r="C10211" i="1"/>
  <c r="D10211" i="1"/>
  <c r="E10211" i="1"/>
  <c r="F10211" i="1"/>
  <c r="G10211" i="1"/>
  <c r="H10211" i="1"/>
  <c r="I10211" i="1"/>
  <c r="J10211" i="1"/>
  <c r="K10211" i="1"/>
  <c r="L10211" i="1"/>
  <c r="A10212" i="1"/>
  <c r="B10212" i="1"/>
  <c r="C10212" i="1"/>
  <c r="D10212" i="1"/>
  <c r="E10212" i="1"/>
  <c r="F10212" i="1"/>
  <c r="G10212" i="1"/>
  <c r="H10212" i="1"/>
  <c r="I10212" i="1"/>
  <c r="J10212" i="1"/>
  <c r="K10212" i="1"/>
  <c r="L10212" i="1"/>
  <c r="A10213" i="1"/>
  <c r="B10213" i="1"/>
  <c r="C10213" i="1"/>
  <c r="D10213" i="1"/>
  <c r="E10213" i="1"/>
  <c r="F10213" i="1"/>
  <c r="G10213" i="1"/>
  <c r="H10213" i="1"/>
  <c r="I10213" i="1"/>
  <c r="J10213" i="1"/>
  <c r="K10213" i="1"/>
  <c r="L10213" i="1"/>
  <c r="A10214" i="1"/>
  <c r="B10214" i="1"/>
  <c r="C10214" i="1"/>
  <c r="D10214" i="1"/>
  <c r="E10214" i="1"/>
  <c r="F10214" i="1"/>
  <c r="G10214" i="1"/>
  <c r="H10214" i="1"/>
  <c r="I10214" i="1"/>
  <c r="J10214" i="1"/>
  <c r="K10214" i="1"/>
  <c r="L10214" i="1"/>
  <c r="A10215" i="1"/>
  <c r="B10215" i="1"/>
  <c r="C10215" i="1"/>
  <c r="D10215" i="1"/>
  <c r="E10215" i="1"/>
  <c r="F10215" i="1"/>
  <c r="G10215" i="1"/>
  <c r="H10215" i="1"/>
  <c r="I10215" i="1"/>
  <c r="J10215" i="1"/>
  <c r="K10215" i="1"/>
  <c r="L10215" i="1"/>
  <c r="A10216" i="1"/>
  <c r="B10216" i="1"/>
  <c r="C10216" i="1"/>
  <c r="D10216" i="1"/>
  <c r="E10216" i="1"/>
  <c r="F10216" i="1"/>
  <c r="G10216" i="1"/>
  <c r="H10216" i="1"/>
  <c r="I10216" i="1"/>
  <c r="J10216" i="1"/>
  <c r="K10216" i="1"/>
  <c r="L10216" i="1"/>
  <c r="A10217" i="1"/>
  <c r="B10217" i="1"/>
  <c r="C10217" i="1"/>
  <c r="D10217" i="1"/>
  <c r="E10217" i="1"/>
  <c r="F10217" i="1"/>
  <c r="G10217" i="1"/>
  <c r="H10217" i="1"/>
  <c r="I10217" i="1"/>
  <c r="J10217" i="1"/>
  <c r="K10217" i="1"/>
  <c r="L10217" i="1"/>
  <c r="A10218" i="1"/>
  <c r="B10218" i="1"/>
  <c r="C10218" i="1"/>
  <c r="D10218" i="1"/>
  <c r="E10218" i="1"/>
  <c r="F10218" i="1"/>
  <c r="G10218" i="1"/>
  <c r="H10218" i="1"/>
  <c r="I10218" i="1"/>
  <c r="J10218" i="1"/>
  <c r="K10218" i="1"/>
  <c r="L10218" i="1"/>
  <c r="A10219" i="1"/>
  <c r="B10219" i="1"/>
  <c r="C10219" i="1"/>
  <c r="D10219" i="1"/>
  <c r="E10219" i="1"/>
  <c r="F10219" i="1"/>
  <c r="G10219" i="1"/>
  <c r="H10219" i="1"/>
  <c r="I10219" i="1"/>
  <c r="J10219" i="1"/>
  <c r="K10219" i="1"/>
  <c r="L10219" i="1"/>
  <c r="A10220" i="1"/>
  <c r="B10220" i="1"/>
  <c r="C10220" i="1"/>
  <c r="D10220" i="1"/>
  <c r="E10220" i="1"/>
  <c r="F10220" i="1"/>
  <c r="G10220" i="1"/>
  <c r="H10220" i="1"/>
  <c r="I10220" i="1"/>
  <c r="J10220" i="1"/>
  <c r="K10220" i="1"/>
  <c r="L10220" i="1"/>
  <c r="A10221" i="1"/>
  <c r="B10221" i="1"/>
  <c r="C10221" i="1"/>
  <c r="D10221" i="1"/>
  <c r="E10221" i="1"/>
  <c r="F10221" i="1"/>
  <c r="G10221" i="1"/>
  <c r="H10221" i="1"/>
  <c r="I10221" i="1"/>
  <c r="J10221" i="1"/>
  <c r="K10221" i="1"/>
  <c r="L10221" i="1"/>
  <c r="A10222" i="1"/>
  <c r="B10222" i="1"/>
  <c r="C10222" i="1"/>
  <c r="D10222" i="1"/>
  <c r="E10222" i="1"/>
  <c r="F10222" i="1"/>
  <c r="G10222" i="1"/>
  <c r="H10222" i="1"/>
  <c r="I10222" i="1"/>
  <c r="J10222" i="1"/>
  <c r="K10222" i="1"/>
  <c r="L10222" i="1"/>
  <c r="A10223" i="1"/>
  <c r="B10223" i="1"/>
  <c r="C10223" i="1"/>
  <c r="D10223" i="1"/>
  <c r="E10223" i="1"/>
  <c r="F10223" i="1"/>
  <c r="G10223" i="1"/>
  <c r="H10223" i="1"/>
  <c r="I10223" i="1"/>
  <c r="J10223" i="1"/>
  <c r="K10223" i="1"/>
  <c r="L10223" i="1"/>
  <c r="A10224" i="1"/>
  <c r="B10224" i="1"/>
  <c r="C10224" i="1"/>
  <c r="D10224" i="1"/>
  <c r="E10224" i="1"/>
  <c r="F10224" i="1"/>
  <c r="G10224" i="1"/>
  <c r="H10224" i="1"/>
  <c r="I10224" i="1"/>
  <c r="J10224" i="1"/>
  <c r="K10224" i="1"/>
  <c r="L10224" i="1"/>
  <c r="A10225" i="1"/>
  <c r="B10225" i="1"/>
  <c r="C10225" i="1"/>
  <c r="D10225" i="1"/>
  <c r="E10225" i="1"/>
  <c r="F10225" i="1"/>
  <c r="G10225" i="1"/>
  <c r="H10225" i="1"/>
  <c r="I10225" i="1"/>
  <c r="J10225" i="1"/>
  <c r="K10225" i="1"/>
  <c r="L10225" i="1"/>
  <c r="A10226" i="1"/>
  <c r="B10226" i="1"/>
  <c r="C10226" i="1"/>
  <c r="D10226" i="1"/>
  <c r="E10226" i="1"/>
  <c r="F10226" i="1"/>
  <c r="G10226" i="1"/>
  <c r="H10226" i="1"/>
  <c r="I10226" i="1"/>
  <c r="J10226" i="1"/>
  <c r="K10226" i="1"/>
  <c r="L10226" i="1"/>
  <c r="A10227" i="1"/>
  <c r="B10227" i="1"/>
  <c r="C10227" i="1"/>
  <c r="D10227" i="1"/>
  <c r="E10227" i="1"/>
  <c r="F10227" i="1"/>
  <c r="G10227" i="1"/>
  <c r="H10227" i="1"/>
  <c r="I10227" i="1"/>
  <c r="J10227" i="1"/>
  <c r="K10227" i="1"/>
  <c r="L10227" i="1"/>
  <c r="A10228" i="1"/>
  <c r="B10228" i="1"/>
  <c r="C10228" i="1"/>
  <c r="D10228" i="1"/>
  <c r="E10228" i="1"/>
  <c r="F10228" i="1"/>
  <c r="G10228" i="1"/>
  <c r="H10228" i="1"/>
  <c r="I10228" i="1"/>
  <c r="J10228" i="1"/>
  <c r="K10228" i="1"/>
  <c r="L10228" i="1"/>
  <c r="A10229" i="1"/>
  <c r="B10229" i="1"/>
  <c r="C10229" i="1"/>
  <c r="D10229" i="1"/>
  <c r="E10229" i="1"/>
  <c r="F10229" i="1"/>
  <c r="G10229" i="1"/>
  <c r="H10229" i="1"/>
  <c r="I10229" i="1"/>
  <c r="J10229" i="1"/>
  <c r="K10229" i="1"/>
  <c r="L10229" i="1"/>
  <c r="A10230" i="1"/>
  <c r="B10230" i="1"/>
  <c r="C10230" i="1"/>
  <c r="D10230" i="1"/>
  <c r="E10230" i="1"/>
  <c r="F10230" i="1"/>
  <c r="G10230" i="1"/>
  <c r="H10230" i="1"/>
  <c r="I10230" i="1"/>
  <c r="J10230" i="1"/>
  <c r="K10230" i="1"/>
  <c r="L10230" i="1"/>
  <c r="A10231" i="1"/>
  <c r="B10231" i="1"/>
  <c r="C10231" i="1"/>
  <c r="D10231" i="1"/>
  <c r="E10231" i="1"/>
  <c r="F10231" i="1"/>
  <c r="G10231" i="1"/>
  <c r="H10231" i="1"/>
  <c r="I10231" i="1"/>
  <c r="J10231" i="1"/>
  <c r="K10231" i="1"/>
  <c r="L10231" i="1"/>
  <c r="A10232" i="1"/>
  <c r="B10232" i="1"/>
  <c r="C10232" i="1"/>
  <c r="D10232" i="1"/>
  <c r="E10232" i="1"/>
  <c r="F10232" i="1"/>
  <c r="G10232" i="1"/>
  <c r="H10232" i="1"/>
  <c r="I10232" i="1"/>
  <c r="J10232" i="1"/>
  <c r="K10232" i="1"/>
  <c r="L10232" i="1"/>
  <c r="A10233" i="1"/>
  <c r="B10233" i="1"/>
  <c r="C10233" i="1"/>
  <c r="D10233" i="1"/>
  <c r="E10233" i="1"/>
  <c r="F10233" i="1"/>
  <c r="G10233" i="1"/>
  <c r="H10233" i="1"/>
  <c r="I10233" i="1"/>
  <c r="J10233" i="1"/>
  <c r="K10233" i="1"/>
  <c r="L10233" i="1"/>
  <c r="A10234" i="1"/>
  <c r="B10234" i="1"/>
  <c r="C10234" i="1"/>
  <c r="D10234" i="1"/>
  <c r="E10234" i="1"/>
  <c r="F10234" i="1"/>
  <c r="G10234" i="1"/>
  <c r="H10234" i="1"/>
  <c r="I10234" i="1"/>
  <c r="J10234" i="1"/>
  <c r="K10234" i="1"/>
  <c r="L10234" i="1"/>
  <c r="A10235" i="1"/>
  <c r="B10235" i="1"/>
  <c r="C10235" i="1"/>
  <c r="D10235" i="1"/>
  <c r="E10235" i="1"/>
  <c r="F10235" i="1"/>
  <c r="G10235" i="1"/>
  <c r="H10235" i="1"/>
  <c r="I10235" i="1"/>
  <c r="J10235" i="1"/>
  <c r="K10235" i="1"/>
  <c r="L10235" i="1"/>
  <c r="A10236" i="1"/>
  <c r="B10236" i="1"/>
  <c r="C10236" i="1"/>
  <c r="D10236" i="1"/>
  <c r="E10236" i="1"/>
  <c r="F10236" i="1"/>
  <c r="G10236" i="1"/>
  <c r="H10236" i="1"/>
  <c r="I10236" i="1"/>
  <c r="J10236" i="1"/>
  <c r="K10236" i="1"/>
  <c r="L10236" i="1"/>
  <c r="A10237" i="1"/>
  <c r="B10237" i="1"/>
  <c r="C10237" i="1"/>
  <c r="D10237" i="1"/>
  <c r="E10237" i="1"/>
  <c r="F10237" i="1"/>
  <c r="G10237" i="1"/>
  <c r="H10237" i="1"/>
  <c r="I10237" i="1"/>
  <c r="J10237" i="1"/>
  <c r="K10237" i="1"/>
  <c r="L10237" i="1"/>
  <c r="A10238" i="1"/>
  <c r="B10238" i="1"/>
  <c r="C10238" i="1"/>
  <c r="D10238" i="1"/>
  <c r="E10238" i="1"/>
  <c r="F10238" i="1"/>
  <c r="G10238" i="1"/>
  <c r="H10238" i="1"/>
  <c r="I10238" i="1"/>
  <c r="J10238" i="1"/>
  <c r="K10238" i="1"/>
  <c r="L10238" i="1"/>
  <c r="A10239" i="1"/>
  <c r="B10239" i="1"/>
  <c r="C10239" i="1"/>
  <c r="D10239" i="1"/>
  <c r="E10239" i="1"/>
  <c r="F10239" i="1"/>
  <c r="G10239" i="1"/>
  <c r="H10239" i="1"/>
  <c r="I10239" i="1"/>
  <c r="J10239" i="1"/>
  <c r="K10239" i="1"/>
  <c r="L10239" i="1"/>
  <c r="A10240" i="1"/>
  <c r="B10240" i="1"/>
  <c r="C10240" i="1"/>
  <c r="D10240" i="1"/>
  <c r="E10240" i="1"/>
  <c r="F10240" i="1"/>
  <c r="G10240" i="1"/>
  <c r="H10240" i="1"/>
  <c r="I10240" i="1"/>
  <c r="J10240" i="1"/>
  <c r="K10240" i="1"/>
  <c r="L10240" i="1"/>
  <c r="A10241" i="1"/>
  <c r="B10241" i="1"/>
  <c r="C10241" i="1"/>
  <c r="D10241" i="1"/>
  <c r="E10241" i="1"/>
  <c r="F10241" i="1"/>
  <c r="G10241" i="1"/>
  <c r="H10241" i="1"/>
  <c r="I10241" i="1"/>
  <c r="J10241" i="1"/>
  <c r="K10241" i="1"/>
  <c r="L10241" i="1"/>
  <c r="A10242" i="1"/>
  <c r="B10242" i="1"/>
  <c r="C10242" i="1"/>
  <c r="D10242" i="1"/>
  <c r="E10242" i="1"/>
  <c r="F10242" i="1"/>
  <c r="G10242" i="1"/>
  <c r="H10242" i="1"/>
  <c r="I10242" i="1"/>
  <c r="J10242" i="1"/>
  <c r="K10242" i="1"/>
  <c r="L10242" i="1"/>
  <c r="A10243" i="1"/>
  <c r="B10243" i="1"/>
  <c r="C10243" i="1"/>
  <c r="D10243" i="1"/>
  <c r="E10243" i="1"/>
  <c r="F10243" i="1"/>
  <c r="G10243" i="1"/>
  <c r="H10243" i="1"/>
  <c r="I10243" i="1"/>
  <c r="J10243" i="1"/>
  <c r="K10243" i="1"/>
  <c r="L10243" i="1"/>
  <c r="A10244" i="1"/>
  <c r="B10244" i="1"/>
  <c r="C10244" i="1"/>
  <c r="D10244" i="1"/>
  <c r="E10244" i="1"/>
  <c r="F10244" i="1"/>
  <c r="G10244" i="1"/>
  <c r="H10244" i="1"/>
  <c r="I10244" i="1"/>
  <c r="J10244" i="1"/>
  <c r="K10244" i="1"/>
  <c r="L10244" i="1"/>
  <c r="A10245" i="1"/>
  <c r="B10245" i="1"/>
  <c r="C10245" i="1"/>
  <c r="D10245" i="1"/>
  <c r="E10245" i="1"/>
  <c r="F10245" i="1"/>
  <c r="G10245" i="1"/>
  <c r="H10245" i="1"/>
  <c r="I10245" i="1"/>
  <c r="J10245" i="1"/>
  <c r="K10245" i="1"/>
  <c r="L10245" i="1"/>
  <c r="A10246" i="1"/>
  <c r="B10246" i="1"/>
  <c r="C10246" i="1"/>
  <c r="D10246" i="1"/>
  <c r="E10246" i="1"/>
  <c r="F10246" i="1"/>
  <c r="G10246" i="1"/>
  <c r="H10246" i="1"/>
  <c r="I10246" i="1"/>
  <c r="J10246" i="1"/>
  <c r="K10246" i="1"/>
  <c r="L10246" i="1"/>
  <c r="A10247" i="1"/>
  <c r="B10247" i="1"/>
  <c r="C10247" i="1"/>
  <c r="D10247" i="1"/>
  <c r="E10247" i="1"/>
  <c r="F10247" i="1"/>
  <c r="G10247" i="1"/>
  <c r="H10247" i="1"/>
  <c r="I10247" i="1"/>
  <c r="J10247" i="1"/>
  <c r="K10247" i="1"/>
  <c r="L10247" i="1"/>
  <c r="A10248" i="1"/>
  <c r="B10248" i="1"/>
  <c r="C10248" i="1"/>
  <c r="D10248" i="1"/>
  <c r="E10248" i="1"/>
  <c r="F10248" i="1"/>
  <c r="G10248" i="1"/>
  <c r="H10248" i="1"/>
  <c r="I10248" i="1"/>
  <c r="J10248" i="1"/>
  <c r="K10248" i="1"/>
  <c r="L10248" i="1"/>
  <c r="A10249" i="1"/>
  <c r="B10249" i="1"/>
  <c r="C10249" i="1"/>
  <c r="D10249" i="1"/>
  <c r="E10249" i="1"/>
  <c r="F10249" i="1"/>
  <c r="G10249" i="1"/>
  <c r="H10249" i="1"/>
  <c r="I10249" i="1"/>
  <c r="J10249" i="1"/>
  <c r="K10249" i="1"/>
  <c r="L10249" i="1"/>
  <c r="A10250" i="1"/>
  <c r="B10250" i="1"/>
  <c r="C10250" i="1"/>
  <c r="D10250" i="1"/>
  <c r="E10250" i="1"/>
  <c r="F10250" i="1"/>
  <c r="G10250" i="1"/>
  <c r="H10250" i="1"/>
  <c r="I10250" i="1"/>
  <c r="J10250" i="1"/>
  <c r="K10250" i="1"/>
  <c r="L10250" i="1"/>
  <c r="A10251" i="1"/>
  <c r="B10251" i="1"/>
  <c r="C10251" i="1"/>
  <c r="D10251" i="1"/>
  <c r="E10251" i="1"/>
  <c r="F10251" i="1"/>
  <c r="G10251" i="1"/>
  <c r="H10251" i="1"/>
  <c r="I10251" i="1"/>
  <c r="J10251" i="1"/>
  <c r="K10251" i="1"/>
  <c r="L10251" i="1"/>
  <c r="A10252" i="1"/>
  <c r="B10252" i="1"/>
  <c r="C10252" i="1"/>
  <c r="D10252" i="1"/>
  <c r="E10252" i="1"/>
  <c r="F10252" i="1"/>
  <c r="G10252" i="1"/>
  <c r="H10252" i="1"/>
  <c r="I10252" i="1"/>
  <c r="J10252" i="1"/>
  <c r="K10252" i="1"/>
  <c r="L10252" i="1"/>
  <c r="A10253" i="1"/>
  <c r="B10253" i="1"/>
  <c r="C10253" i="1"/>
  <c r="D10253" i="1"/>
  <c r="E10253" i="1"/>
  <c r="F10253" i="1"/>
  <c r="G10253" i="1"/>
  <c r="H10253" i="1"/>
  <c r="I10253" i="1"/>
  <c r="J10253" i="1"/>
  <c r="K10253" i="1"/>
  <c r="L10253" i="1"/>
  <c r="A10254" i="1"/>
  <c r="B10254" i="1"/>
  <c r="C10254" i="1"/>
  <c r="D10254" i="1"/>
  <c r="E10254" i="1"/>
  <c r="F10254" i="1"/>
  <c r="G10254" i="1"/>
  <c r="H10254" i="1"/>
  <c r="I10254" i="1"/>
  <c r="J10254" i="1"/>
  <c r="K10254" i="1"/>
  <c r="L10254" i="1"/>
  <c r="A10255" i="1"/>
  <c r="B10255" i="1"/>
  <c r="C10255" i="1"/>
  <c r="D10255" i="1"/>
  <c r="E10255" i="1"/>
  <c r="F10255" i="1"/>
  <c r="G10255" i="1"/>
  <c r="H10255" i="1"/>
  <c r="I10255" i="1"/>
  <c r="J10255" i="1"/>
  <c r="K10255" i="1"/>
  <c r="L10255" i="1"/>
  <c r="A10256" i="1"/>
  <c r="B10256" i="1"/>
  <c r="C10256" i="1"/>
  <c r="D10256" i="1"/>
  <c r="E10256" i="1"/>
  <c r="F10256" i="1"/>
  <c r="G10256" i="1"/>
  <c r="H10256" i="1"/>
  <c r="I10256" i="1"/>
  <c r="J10256" i="1"/>
  <c r="K10256" i="1"/>
  <c r="L10256" i="1"/>
  <c r="A10257" i="1"/>
  <c r="B10257" i="1"/>
  <c r="C10257" i="1"/>
  <c r="D10257" i="1"/>
  <c r="E10257" i="1"/>
  <c r="F10257" i="1"/>
  <c r="G10257" i="1"/>
  <c r="H10257" i="1"/>
  <c r="I10257" i="1"/>
  <c r="J10257" i="1"/>
  <c r="K10257" i="1"/>
  <c r="L10257" i="1"/>
  <c r="A10258" i="1"/>
  <c r="B10258" i="1"/>
  <c r="C10258" i="1"/>
  <c r="D10258" i="1"/>
  <c r="E10258" i="1"/>
  <c r="F10258" i="1"/>
  <c r="G10258" i="1"/>
  <c r="H10258" i="1"/>
  <c r="I10258" i="1"/>
  <c r="J10258" i="1"/>
  <c r="K10258" i="1"/>
  <c r="L10258" i="1"/>
  <c r="A10259" i="1"/>
  <c r="B10259" i="1"/>
  <c r="C10259" i="1"/>
  <c r="D10259" i="1"/>
  <c r="E10259" i="1"/>
  <c r="F10259" i="1"/>
  <c r="G10259" i="1"/>
  <c r="H10259" i="1"/>
  <c r="I10259" i="1"/>
  <c r="J10259" i="1"/>
  <c r="K10259" i="1"/>
  <c r="L10259" i="1"/>
  <c r="A10260" i="1"/>
  <c r="B10260" i="1"/>
  <c r="C10260" i="1"/>
  <c r="D10260" i="1"/>
  <c r="E10260" i="1"/>
  <c r="F10260" i="1"/>
  <c r="G10260" i="1"/>
  <c r="H10260" i="1"/>
  <c r="I10260" i="1"/>
  <c r="J10260" i="1"/>
  <c r="K10260" i="1"/>
  <c r="L10260" i="1"/>
  <c r="A10261" i="1"/>
  <c r="B10261" i="1"/>
  <c r="C10261" i="1"/>
  <c r="D10261" i="1"/>
  <c r="E10261" i="1"/>
  <c r="F10261" i="1"/>
  <c r="G10261" i="1"/>
  <c r="H10261" i="1"/>
  <c r="I10261" i="1"/>
  <c r="J10261" i="1"/>
  <c r="K10261" i="1"/>
  <c r="L10261" i="1"/>
  <c r="A10262" i="1"/>
  <c r="B10262" i="1"/>
  <c r="C10262" i="1"/>
  <c r="D10262" i="1"/>
  <c r="E10262" i="1"/>
  <c r="F10262" i="1"/>
  <c r="G10262" i="1"/>
  <c r="H10262" i="1"/>
  <c r="I10262" i="1"/>
  <c r="J10262" i="1"/>
  <c r="K10262" i="1"/>
  <c r="L10262" i="1"/>
  <c r="A10263" i="1"/>
  <c r="B10263" i="1"/>
  <c r="C10263" i="1"/>
  <c r="D10263" i="1"/>
  <c r="E10263" i="1"/>
  <c r="F10263" i="1"/>
  <c r="G10263" i="1"/>
  <c r="H10263" i="1"/>
  <c r="I10263" i="1"/>
  <c r="J10263" i="1"/>
  <c r="K10263" i="1"/>
  <c r="L10263" i="1"/>
  <c r="A10264" i="1"/>
  <c r="B10264" i="1"/>
  <c r="C10264" i="1"/>
  <c r="D10264" i="1"/>
  <c r="E10264" i="1"/>
  <c r="F10264" i="1"/>
  <c r="G10264" i="1"/>
  <c r="H10264" i="1"/>
  <c r="I10264" i="1"/>
  <c r="J10264" i="1"/>
  <c r="K10264" i="1"/>
  <c r="L10264" i="1"/>
  <c r="A10265" i="1"/>
  <c r="B10265" i="1"/>
  <c r="C10265" i="1"/>
  <c r="D10265" i="1"/>
  <c r="E10265" i="1"/>
  <c r="F10265" i="1"/>
  <c r="G10265" i="1"/>
  <c r="H10265" i="1"/>
  <c r="I10265" i="1"/>
  <c r="J10265" i="1"/>
  <c r="K10265" i="1"/>
  <c r="L10265" i="1"/>
  <c r="A10266" i="1"/>
  <c r="B10266" i="1"/>
  <c r="C10266" i="1"/>
  <c r="D10266" i="1"/>
  <c r="E10266" i="1"/>
  <c r="F10266" i="1"/>
  <c r="G10266" i="1"/>
  <c r="H10266" i="1"/>
  <c r="I10266" i="1"/>
  <c r="J10266" i="1"/>
  <c r="K10266" i="1"/>
  <c r="L10266" i="1"/>
  <c r="A10267" i="1"/>
  <c r="B10267" i="1"/>
  <c r="C10267" i="1"/>
  <c r="D10267" i="1"/>
  <c r="E10267" i="1"/>
  <c r="F10267" i="1"/>
  <c r="G10267" i="1"/>
  <c r="H10267" i="1"/>
  <c r="I10267" i="1"/>
  <c r="J10267" i="1"/>
  <c r="K10267" i="1"/>
  <c r="L10267" i="1"/>
  <c r="A10268" i="1"/>
  <c r="B10268" i="1"/>
  <c r="C10268" i="1"/>
  <c r="D10268" i="1"/>
  <c r="E10268" i="1"/>
  <c r="F10268" i="1"/>
  <c r="G10268" i="1"/>
  <c r="H10268" i="1"/>
  <c r="I10268" i="1"/>
  <c r="J10268" i="1"/>
  <c r="K10268" i="1"/>
  <c r="L10268" i="1"/>
  <c r="A10269" i="1"/>
  <c r="B10269" i="1"/>
  <c r="C10269" i="1"/>
  <c r="D10269" i="1"/>
  <c r="E10269" i="1"/>
  <c r="F10269" i="1"/>
  <c r="G10269" i="1"/>
  <c r="H10269" i="1"/>
  <c r="I10269" i="1"/>
  <c r="J10269" i="1"/>
  <c r="K10269" i="1"/>
  <c r="L10269" i="1"/>
  <c r="A10270" i="1"/>
  <c r="B10270" i="1"/>
  <c r="C10270" i="1"/>
  <c r="D10270" i="1"/>
  <c r="E10270" i="1"/>
  <c r="F10270" i="1"/>
  <c r="G10270" i="1"/>
  <c r="H10270" i="1"/>
  <c r="I10270" i="1"/>
  <c r="J10270" i="1"/>
  <c r="K10270" i="1"/>
  <c r="L10270" i="1"/>
  <c r="A10271" i="1"/>
  <c r="B10271" i="1"/>
  <c r="C10271" i="1"/>
  <c r="D10271" i="1"/>
  <c r="E10271" i="1"/>
  <c r="F10271" i="1"/>
  <c r="G10271" i="1"/>
  <c r="H10271" i="1"/>
  <c r="I10271" i="1"/>
  <c r="J10271" i="1"/>
  <c r="K10271" i="1"/>
  <c r="L10271" i="1"/>
  <c r="A10272" i="1"/>
  <c r="B10272" i="1"/>
  <c r="C10272" i="1"/>
  <c r="D10272" i="1"/>
  <c r="E10272" i="1"/>
  <c r="F10272" i="1"/>
  <c r="G10272" i="1"/>
  <c r="H10272" i="1"/>
  <c r="I10272" i="1"/>
  <c r="J10272" i="1"/>
  <c r="K10272" i="1"/>
  <c r="L10272" i="1"/>
  <c r="A10273" i="1"/>
  <c r="B10273" i="1"/>
  <c r="C10273" i="1"/>
  <c r="D10273" i="1"/>
  <c r="E10273" i="1"/>
  <c r="F10273" i="1"/>
  <c r="G10273" i="1"/>
  <c r="H10273" i="1"/>
  <c r="I10273" i="1"/>
  <c r="J10273" i="1"/>
  <c r="K10273" i="1"/>
  <c r="L10273" i="1"/>
  <c r="A10274" i="1"/>
  <c r="B10274" i="1"/>
  <c r="C10274" i="1"/>
  <c r="D10274" i="1"/>
  <c r="E10274" i="1"/>
  <c r="F10274" i="1"/>
  <c r="G10274" i="1"/>
  <c r="H10274" i="1"/>
  <c r="I10274" i="1"/>
  <c r="J10274" i="1"/>
  <c r="K10274" i="1"/>
  <c r="L10274" i="1"/>
  <c r="A10275" i="1"/>
  <c r="B10275" i="1"/>
  <c r="C10275" i="1"/>
  <c r="D10275" i="1"/>
  <c r="E10275" i="1"/>
  <c r="F10275" i="1"/>
  <c r="G10275" i="1"/>
  <c r="H10275" i="1"/>
  <c r="I10275" i="1"/>
  <c r="J10275" i="1"/>
  <c r="K10275" i="1"/>
  <c r="L10275" i="1"/>
  <c r="A10276" i="1"/>
  <c r="B10276" i="1"/>
  <c r="C10276" i="1"/>
  <c r="D10276" i="1"/>
  <c r="E10276" i="1"/>
  <c r="F10276" i="1"/>
  <c r="G10276" i="1"/>
  <c r="H10276" i="1"/>
  <c r="I10276" i="1"/>
  <c r="J10276" i="1"/>
  <c r="K10276" i="1"/>
  <c r="L10276" i="1"/>
  <c r="A10277" i="1"/>
  <c r="B10277" i="1"/>
  <c r="C10277" i="1"/>
  <c r="D10277" i="1"/>
  <c r="E10277" i="1"/>
  <c r="F10277" i="1"/>
  <c r="G10277" i="1"/>
  <c r="H10277" i="1"/>
  <c r="I10277" i="1"/>
  <c r="J10277" i="1"/>
  <c r="K10277" i="1"/>
  <c r="L10277" i="1"/>
  <c r="A10278" i="1"/>
  <c r="B10278" i="1"/>
  <c r="C10278" i="1"/>
  <c r="D10278" i="1"/>
  <c r="E10278" i="1"/>
  <c r="F10278" i="1"/>
  <c r="G10278" i="1"/>
  <c r="H10278" i="1"/>
  <c r="I10278" i="1"/>
  <c r="J10278" i="1"/>
  <c r="K10278" i="1"/>
  <c r="L10278" i="1"/>
  <c r="A10279" i="1"/>
  <c r="B10279" i="1"/>
  <c r="C10279" i="1"/>
  <c r="D10279" i="1"/>
  <c r="E10279" i="1"/>
  <c r="F10279" i="1"/>
  <c r="G10279" i="1"/>
  <c r="H10279" i="1"/>
  <c r="I10279" i="1"/>
  <c r="J10279" i="1"/>
  <c r="K10279" i="1"/>
  <c r="L10279" i="1"/>
  <c r="A10280" i="1"/>
  <c r="B10280" i="1"/>
  <c r="C10280" i="1"/>
  <c r="D10280" i="1"/>
  <c r="E10280" i="1"/>
  <c r="F10280" i="1"/>
  <c r="G10280" i="1"/>
  <c r="H10280" i="1"/>
  <c r="I10280" i="1"/>
  <c r="J10280" i="1"/>
  <c r="K10280" i="1"/>
  <c r="L10280" i="1"/>
  <c r="A10281" i="1"/>
  <c r="B10281" i="1"/>
  <c r="C10281" i="1"/>
  <c r="D10281" i="1"/>
  <c r="E10281" i="1"/>
  <c r="F10281" i="1"/>
  <c r="G10281" i="1"/>
  <c r="H10281" i="1"/>
  <c r="I10281" i="1"/>
  <c r="J10281" i="1"/>
  <c r="K10281" i="1"/>
  <c r="L10281" i="1"/>
  <c r="A10282" i="1"/>
  <c r="B10282" i="1"/>
  <c r="C10282" i="1"/>
  <c r="D10282" i="1"/>
  <c r="E10282" i="1"/>
  <c r="F10282" i="1"/>
  <c r="G10282" i="1"/>
  <c r="H10282" i="1"/>
  <c r="I10282" i="1"/>
  <c r="J10282" i="1"/>
  <c r="K10282" i="1"/>
  <c r="L10282" i="1"/>
  <c r="A10283" i="1"/>
  <c r="B10283" i="1"/>
  <c r="C10283" i="1"/>
  <c r="D10283" i="1"/>
  <c r="E10283" i="1"/>
  <c r="F10283" i="1"/>
  <c r="G10283" i="1"/>
  <c r="H10283" i="1"/>
  <c r="I10283" i="1"/>
  <c r="J10283" i="1"/>
  <c r="K10283" i="1"/>
  <c r="L10283" i="1"/>
  <c r="A10284" i="1"/>
  <c r="B10284" i="1"/>
  <c r="C10284" i="1"/>
  <c r="D10284" i="1"/>
  <c r="E10284" i="1"/>
  <c r="F10284" i="1"/>
  <c r="G10284" i="1"/>
  <c r="H10284" i="1"/>
  <c r="I10284" i="1"/>
  <c r="J10284" i="1"/>
  <c r="K10284" i="1"/>
  <c r="L10284" i="1"/>
  <c r="A10285" i="1"/>
  <c r="B10285" i="1"/>
  <c r="C10285" i="1"/>
  <c r="D10285" i="1"/>
  <c r="E10285" i="1"/>
  <c r="F10285" i="1"/>
  <c r="G10285" i="1"/>
  <c r="H10285" i="1"/>
  <c r="I10285" i="1"/>
  <c r="J10285" i="1"/>
  <c r="K10285" i="1"/>
  <c r="L10285" i="1"/>
  <c r="A10286" i="1"/>
  <c r="B10286" i="1"/>
  <c r="C10286" i="1"/>
  <c r="D10286" i="1"/>
  <c r="E10286" i="1"/>
  <c r="F10286" i="1"/>
  <c r="G10286" i="1"/>
  <c r="H10286" i="1"/>
  <c r="I10286" i="1"/>
  <c r="J10286" i="1"/>
  <c r="K10286" i="1"/>
  <c r="L10286" i="1"/>
  <c r="A10287" i="1"/>
  <c r="B10287" i="1"/>
  <c r="C10287" i="1"/>
  <c r="D10287" i="1"/>
  <c r="E10287" i="1"/>
  <c r="F10287" i="1"/>
  <c r="G10287" i="1"/>
  <c r="H10287" i="1"/>
  <c r="I10287" i="1"/>
  <c r="J10287" i="1"/>
  <c r="K10287" i="1"/>
  <c r="L10287" i="1"/>
  <c r="A10288" i="1"/>
  <c r="B10288" i="1"/>
  <c r="C10288" i="1"/>
  <c r="D10288" i="1"/>
  <c r="E10288" i="1"/>
  <c r="F10288" i="1"/>
  <c r="G10288" i="1"/>
  <c r="H10288" i="1"/>
  <c r="I10288" i="1"/>
  <c r="J10288" i="1"/>
  <c r="K10288" i="1"/>
  <c r="L10288" i="1"/>
  <c r="A10289" i="1"/>
  <c r="B10289" i="1"/>
  <c r="C10289" i="1"/>
  <c r="D10289" i="1"/>
  <c r="E10289" i="1"/>
  <c r="F10289" i="1"/>
  <c r="G10289" i="1"/>
  <c r="H10289" i="1"/>
  <c r="I10289" i="1"/>
  <c r="J10289" i="1"/>
  <c r="K10289" i="1"/>
  <c r="L10289" i="1"/>
  <c r="A10290" i="1"/>
  <c r="B10290" i="1"/>
  <c r="C10290" i="1"/>
  <c r="D10290" i="1"/>
  <c r="E10290" i="1"/>
  <c r="F10290" i="1"/>
  <c r="G10290" i="1"/>
  <c r="H10290" i="1"/>
  <c r="I10290" i="1"/>
  <c r="J10290" i="1"/>
  <c r="K10290" i="1"/>
  <c r="L10290" i="1"/>
  <c r="A10291" i="1"/>
  <c r="B10291" i="1"/>
  <c r="C10291" i="1"/>
  <c r="D10291" i="1"/>
  <c r="E10291" i="1"/>
  <c r="F10291" i="1"/>
  <c r="G10291" i="1"/>
  <c r="H10291" i="1"/>
  <c r="I10291" i="1"/>
  <c r="J10291" i="1"/>
  <c r="K10291" i="1"/>
  <c r="L10291" i="1"/>
  <c r="A10292" i="1"/>
  <c r="B10292" i="1"/>
  <c r="C10292" i="1"/>
  <c r="D10292" i="1"/>
  <c r="E10292" i="1"/>
  <c r="F10292" i="1"/>
  <c r="G10292" i="1"/>
  <c r="H10292" i="1"/>
  <c r="I10292" i="1"/>
  <c r="J10292" i="1"/>
  <c r="K10292" i="1"/>
  <c r="L10292" i="1"/>
  <c r="A10293" i="1"/>
  <c r="B10293" i="1"/>
  <c r="C10293" i="1"/>
  <c r="D10293" i="1"/>
  <c r="E10293" i="1"/>
  <c r="F10293" i="1"/>
  <c r="G10293" i="1"/>
  <c r="H10293" i="1"/>
  <c r="I10293" i="1"/>
  <c r="J10293" i="1"/>
  <c r="K10293" i="1"/>
  <c r="L10293" i="1"/>
  <c r="A10294" i="1"/>
  <c r="B10294" i="1"/>
  <c r="C10294" i="1"/>
  <c r="D10294" i="1"/>
  <c r="E10294" i="1"/>
  <c r="F10294" i="1"/>
  <c r="G10294" i="1"/>
  <c r="H10294" i="1"/>
  <c r="I10294" i="1"/>
  <c r="J10294" i="1"/>
  <c r="K10294" i="1"/>
  <c r="L10294" i="1"/>
  <c r="A10295" i="1"/>
  <c r="B10295" i="1"/>
  <c r="C10295" i="1"/>
  <c r="D10295" i="1"/>
  <c r="E10295" i="1"/>
  <c r="F10295" i="1"/>
  <c r="G10295" i="1"/>
  <c r="H10295" i="1"/>
  <c r="I10295" i="1"/>
  <c r="J10295" i="1"/>
  <c r="K10295" i="1"/>
  <c r="L10295" i="1"/>
  <c r="A10296" i="1"/>
  <c r="B10296" i="1"/>
  <c r="C10296" i="1"/>
  <c r="D10296" i="1"/>
  <c r="E10296" i="1"/>
  <c r="F10296" i="1"/>
  <c r="G10296" i="1"/>
  <c r="H10296" i="1"/>
  <c r="I10296" i="1"/>
  <c r="J10296" i="1"/>
  <c r="K10296" i="1"/>
  <c r="L10296" i="1"/>
  <c r="A10297" i="1"/>
  <c r="B10297" i="1"/>
  <c r="C10297" i="1"/>
  <c r="D10297" i="1"/>
  <c r="E10297" i="1"/>
  <c r="F10297" i="1"/>
  <c r="G10297" i="1"/>
  <c r="H10297" i="1"/>
  <c r="I10297" i="1"/>
  <c r="J10297" i="1"/>
  <c r="K10297" i="1"/>
  <c r="L10297" i="1"/>
  <c r="A10298" i="1"/>
  <c r="B10298" i="1"/>
  <c r="C10298" i="1"/>
  <c r="D10298" i="1"/>
  <c r="E10298" i="1"/>
  <c r="F10298" i="1"/>
  <c r="G10298" i="1"/>
  <c r="H10298" i="1"/>
  <c r="I10298" i="1"/>
  <c r="J10298" i="1"/>
  <c r="K10298" i="1"/>
  <c r="L10298" i="1"/>
  <c r="A10299" i="1"/>
  <c r="B10299" i="1"/>
  <c r="C10299" i="1"/>
  <c r="D10299" i="1"/>
  <c r="E10299" i="1"/>
  <c r="F10299" i="1"/>
  <c r="G10299" i="1"/>
  <c r="H10299" i="1"/>
  <c r="I10299" i="1"/>
  <c r="J10299" i="1"/>
  <c r="K10299" i="1"/>
  <c r="L10299" i="1"/>
  <c r="A10300" i="1"/>
  <c r="B10300" i="1"/>
  <c r="C10300" i="1"/>
  <c r="D10300" i="1"/>
  <c r="E10300" i="1"/>
  <c r="F10300" i="1"/>
  <c r="G10300" i="1"/>
  <c r="H10300" i="1"/>
  <c r="I10300" i="1"/>
  <c r="J10300" i="1"/>
  <c r="K10300" i="1"/>
  <c r="L10300" i="1"/>
  <c r="A10301" i="1"/>
  <c r="B10301" i="1"/>
  <c r="C10301" i="1"/>
  <c r="D10301" i="1"/>
  <c r="E10301" i="1"/>
  <c r="F10301" i="1"/>
  <c r="G10301" i="1"/>
  <c r="H10301" i="1"/>
  <c r="I10301" i="1"/>
  <c r="J10301" i="1"/>
  <c r="K10301" i="1"/>
  <c r="L10301" i="1"/>
  <c r="A10302" i="1"/>
  <c r="B10302" i="1"/>
  <c r="C10302" i="1"/>
  <c r="D10302" i="1"/>
  <c r="E10302" i="1"/>
  <c r="F10302" i="1"/>
  <c r="G10302" i="1"/>
  <c r="H10302" i="1"/>
  <c r="I10302" i="1"/>
  <c r="J10302" i="1"/>
  <c r="K10302" i="1"/>
  <c r="L10302" i="1"/>
  <c r="A10303" i="1"/>
  <c r="B10303" i="1"/>
  <c r="C10303" i="1"/>
  <c r="D10303" i="1"/>
  <c r="E10303" i="1"/>
  <c r="F10303" i="1"/>
  <c r="G10303" i="1"/>
  <c r="H10303" i="1"/>
  <c r="I10303" i="1"/>
  <c r="J10303" i="1"/>
  <c r="K10303" i="1"/>
  <c r="L10303" i="1"/>
  <c r="A10304" i="1"/>
  <c r="B10304" i="1"/>
  <c r="C10304" i="1"/>
  <c r="D10304" i="1"/>
  <c r="E10304" i="1"/>
  <c r="F10304" i="1"/>
  <c r="G10304" i="1"/>
  <c r="H10304" i="1"/>
  <c r="I10304" i="1"/>
  <c r="J10304" i="1"/>
  <c r="K10304" i="1"/>
  <c r="L10304" i="1"/>
  <c r="A10305" i="1"/>
  <c r="B10305" i="1"/>
  <c r="C10305" i="1"/>
  <c r="D10305" i="1"/>
  <c r="E10305" i="1"/>
  <c r="F10305" i="1"/>
  <c r="G10305" i="1"/>
  <c r="H10305" i="1"/>
  <c r="I10305" i="1"/>
  <c r="J10305" i="1"/>
  <c r="K10305" i="1"/>
  <c r="L10305" i="1"/>
  <c r="A10306" i="1"/>
  <c r="B10306" i="1"/>
  <c r="C10306" i="1"/>
  <c r="D10306" i="1"/>
  <c r="E10306" i="1"/>
  <c r="F10306" i="1"/>
  <c r="G10306" i="1"/>
  <c r="H10306" i="1"/>
  <c r="I10306" i="1"/>
  <c r="J10306" i="1"/>
  <c r="K10306" i="1"/>
  <c r="L10306" i="1"/>
  <c r="A10307" i="1"/>
  <c r="B10307" i="1"/>
  <c r="C10307" i="1"/>
  <c r="D10307" i="1"/>
  <c r="E10307" i="1"/>
  <c r="F10307" i="1"/>
  <c r="G10307" i="1"/>
  <c r="H10307" i="1"/>
  <c r="I10307" i="1"/>
  <c r="J10307" i="1"/>
  <c r="K10307" i="1"/>
  <c r="L10307" i="1"/>
  <c r="A10308" i="1"/>
  <c r="B10308" i="1"/>
  <c r="C10308" i="1"/>
  <c r="D10308" i="1"/>
  <c r="E10308" i="1"/>
  <c r="F10308" i="1"/>
  <c r="G10308" i="1"/>
  <c r="H10308" i="1"/>
  <c r="I10308" i="1"/>
  <c r="J10308" i="1"/>
  <c r="K10308" i="1"/>
  <c r="L10308" i="1"/>
  <c r="A10309" i="1"/>
  <c r="B10309" i="1"/>
  <c r="C10309" i="1"/>
  <c r="D10309" i="1"/>
  <c r="E10309" i="1"/>
  <c r="F10309" i="1"/>
  <c r="G10309" i="1"/>
  <c r="H10309" i="1"/>
  <c r="I10309" i="1"/>
  <c r="J10309" i="1"/>
  <c r="K10309" i="1"/>
  <c r="L10309" i="1"/>
  <c r="A10310" i="1"/>
  <c r="B10310" i="1"/>
  <c r="C10310" i="1"/>
  <c r="D10310" i="1"/>
  <c r="E10310" i="1"/>
  <c r="F10310" i="1"/>
  <c r="G10310" i="1"/>
  <c r="H10310" i="1"/>
  <c r="I10310" i="1"/>
  <c r="J10310" i="1"/>
  <c r="K10310" i="1"/>
  <c r="L10310" i="1"/>
  <c r="A10311" i="1"/>
  <c r="B10311" i="1"/>
  <c r="C10311" i="1"/>
  <c r="D10311" i="1"/>
  <c r="E10311" i="1"/>
  <c r="F10311" i="1"/>
  <c r="G10311" i="1"/>
  <c r="H10311" i="1"/>
  <c r="I10311" i="1"/>
  <c r="J10311" i="1"/>
  <c r="K10311" i="1"/>
  <c r="L10311" i="1"/>
  <c r="A10312" i="1"/>
  <c r="B10312" i="1"/>
  <c r="C10312" i="1"/>
  <c r="D10312" i="1"/>
  <c r="E10312" i="1"/>
  <c r="F10312" i="1"/>
  <c r="G10312" i="1"/>
  <c r="H10312" i="1"/>
  <c r="I10312" i="1"/>
  <c r="J10312" i="1"/>
  <c r="K10312" i="1"/>
  <c r="L10312" i="1"/>
  <c r="A10313" i="1"/>
  <c r="B10313" i="1"/>
  <c r="C10313" i="1"/>
  <c r="D10313" i="1"/>
  <c r="E10313" i="1"/>
  <c r="F10313" i="1"/>
  <c r="G10313" i="1"/>
  <c r="H10313" i="1"/>
  <c r="I10313" i="1"/>
  <c r="J10313" i="1"/>
  <c r="K10313" i="1"/>
  <c r="L10313" i="1"/>
  <c r="A10314" i="1"/>
  <c r="B10314" i="1"/>
  <c r="C10314" i="1"/>
  <c r="D10314" i="1"/>
  <c r="E10314" i="1"/>
  <c r="F10314" i="1"/>
  <c r="G10314" i="1"/>
  <c r="H10314" i="1"/>
  <c r="I10314" i="1"/>
  <c r="J10314" i="1"/>
  <c r="K10314" i="1"/>
  <c r="L10314" i="1"/>
  <c r="A10315" i="1"/>
  <c r="B10315" i="1"/>
  <c r="C10315" i="1"/>
  <c r="D10315" i="1"/>
  <c r="E10315" i="1"/>
  <c r="F10315" i="1"/>
  <c r="G10315" i="1"/>
  <c r="H10315" i="1"/>
  <c r="I10315" i="1"/>
  <c r="J10315" i="1"/>
  <c r="K10315" i="1"/>
  <c r="L10315" i="1"/>
  <c r="A10316" i="1"/>
  <c r="B10316" i="1"/>
  <c r="C10316" i="1"/>
  <c r="D10316" i="1"/>
  <c r="E10316" i="1"/>
  <c r="F10316" i="1"/>
  <c r="G10316" i="1"/>
  <c r="H10316" i="1"/>
  <c r="I10316" i="1"/>
  <c r="J10316" i="1"/>
  <c r="K10316" i="1"/>
  <c r="L10316" i="1"/>
  <c r="A10317" i="1"/>
  <c r="B10317" i="1"/>
  <c r="C10317" i="1"/>
  <c r="D10317" i="1"/>
  <c r="E10317" i="1"/>
  <c r="F10317" i="1"/>
  <c r="G10317" i="1"/>
  <c r="H10317" i="1"/>
  <c r="I10317" i="1"/>
  <c r="J10317" i="1"/>
  <c r="K10317" i="1"/>
  <c r="L10317" i="1"/>
  <c r="A10318" i="1"/>
  <c r="B10318" i="1"/>
  <c r="C10318" i="1"/>
  <c r="D10318" i="1"/>
  <c r="E10318" i="1"/>
  <c r="F10318" i="1"/>
  <c r="G10318" i="1"/>
  <c r="H10318" i="1"/>
  <c r="I10318" i="1"/>
  <c r="J10318" i="1"/>
  <c r="K10318" i="1"/>
  <c r="L10318" i="1"/>
  <c r="A10319" i="1"/>
  <c r="B10319" i="1"/>
  <c r="C10319" i="1"/>
  <c r="D10319" i="1"/>
  <c r="E10319" i="1"/>
  <c r="F10319" i="1"/>
  <c r="G10319" i="1"/>
  <c r="H10319" i="1"/>
  <c r="I10319" i="1"/>
  <c r="J10319" i="1"/>
  <c r="K10319" i="1"/>
  <c r="L10319" i="1"/>
  <c r="A10320" i="1"/>
  <c r="B10320" i="1"/>
  <c r="C10320" i="1"/>
  <c r="D10320" i="1"/>
  <c r="E10320" i="1"/>
  <c r="F10320" i="1"/>
  <c r="G10320" i="1"/>
  <c r="H10320" i="1"/>
  <c r="I10320" i="1"/>
  <c r="J10320" i="1"/>
  <c r="K10320" i="1"/>
  <c r="L10320" i="1"/>
  <c r="A10321" i="1"/>
  <c r="B10321" i="1"/>
  <c r="C10321" i="1"/>
  <c r="D10321" i="1"/>
  <c r="E10321" i="1"/>
  <c r="F10321" i="1"/>
  <c r="G10321" i="1"/>
  <c r="H10321" i="1"/>
  <c r="I10321" i="1"/>
  <c r="J10321" i="1"/>
  <c r="K10321" i="1"/>
  <c r="L10321" i="1"/>
  <c r="A10322" i="1"/>
  <c r="B10322" i="1"/>
  <c r="C10322" i="1"/>
  <c r="D10322" i="1"/>
  <c r="E10322" i="1"/>
  <c r="F10322" i="1"/>
  <c r="G10322" i="1"/>
  <c r="H10322" i="1"/>
  <c r="I10322" i="1"/>
  <c r="J10322" i="1"/>
  <c r="K10322" i="1"/>
  <c r="L10322" i="1"/>
  <c r="A10323" i="1"/>
  <c r="B10323" i="1"/>
  <c r="C10323" i="1"/>
  <c r="D10323" i="1"/>
  <c r="E10323" i="1"/>
  <c r="F10323" i="1"/>
  <c r="G10323" i="1"/>
  <c r="H10323" i="1"/>
  <c r="I10323" i="1"/>
  <c r="J10323" i="1"/>
  <c r="K10323" i="1"/>
  <c r="L10323" i="1"/>
  <c r="A10324" i="1"/>
  <c r="B10324" i="1"/>
  <c r="C10324" i="1"/>
  <c r="D10324" i="1"/>
  <c r="E10324" i="1"/>
  <c r="F10324" i="1"/>
  <c r="G10324" i="1"/>
  <c r="H10324" i="1"/>
  <c r="I10324" i="1"/>
  <c r="J10324" i="1"/>
  <c r="K10324" i="1"/>
  <c r="L10324" i="1"/>
  <c r="A10325" i="1"/>
  <c r="B10325" i="1"/>
  <c r="C10325" i="1"/>
  <c r="D10325" i="1"/>
  <c r="E10325" i="1"/>
  <c r="F10325" i="1"/>
  <c r="G10325" i="1"/>
  <c r="H10325" i="1"/>
  <c r="I10325" i="1"/>
  <c r="J10325" i="1"/>
  <c r="K10325" i="1"/>
  <c r="L10325" i="1"/>
  <c r="A10326" i="1"/>
  <c r="B10326" i="1"/>
  <c r="C10326" i="1"/>
  <c r="D10326" i="1"/>
  <c r="E10326" i="1"/>
  <c r="F10326" i="1"/>
  <c r="G10326" i="1"/>
  <c r="H10326" i="1"/>
  <c r="I10326" i="1"/>
  <c r="J10326" i="1"/>
  <c r="K10326" i="1"/>
  <c r="L10326" i="1"/>
  <c r="A10327" i="1"/>
  <c r="B10327" i="1"/>
  <c r="C10327" i="1"/>
  <c r="D10327" i="1"/>
  <c r="E10327" i="1"/>
  <c r="F10327" i="1"/>
  <c r="G10327" i="1"/>
  <c r="H10327" i="1"/>
  <c r="I10327" i="1"/>
  <c r="J10327" i="1"/>
  <c r="K10327" i="1"/>
  <c r="L10327" i="1"/>
  <c r="A10328" i="1"/>
  <c r="B10328" i="1"/>
  <c r="C10328" i="1"/>
  <c r="D10328" i="1"/>
  <c r="E10328" i="1"/>
  <c r="F10328" i="1"/>
  <c r="G10328" i="1"/>
  <c r="H10328" i="1"/>
  <c r="I10328" i="1"/>
  <c r="J10328" i="1"/>
  <c r="K10328" i="1"/>
  <c r="L10328" i="1"/>
  <c r="A10329" i="1"/>
  <c r="B10329" i="1"/>
  <c r="C10329" i="1"/>
  <c r="D10329" i="1"/>
  <c r="E10329" i="1"/>
  <c r="F10329" i="1"/>
  <c r="G10329" i="1"/>
  <c r="H10329" i="1"/>
  <c r="I10329" i="1"/>
  <c r="J10329" i="1"/>
  <c r="K10329" i="1"/>
  <c r="L10329" i="1"/>
  <c r="A10330" i="1"/>
  <c r="B10330" i="1"/>
  <c r="C10330" i="1"/>
  <c r="D10330" i="1"/>
  <c r="E10330" i="1"/>
  <c r="F10330" i="1"/>
  <c r="G10330" i="1"/>
  <c r="H10330" i="1"/>
  <c r="I10330" i="1"/>
  <c r="J10330" i="1"/>
  <c r="K10330" i="1"/>
  <c r="L10330" i="1"/>
  <c r="A10331" i="1"/>
  <c r="B10331" i="1"/>
  <c r="C10331" i="1"/>
  <c r="D10331" i="1"/>
  <c r="E10331" i="1"/>
  <c r="F10331" i="1"/>
  <c r="G10331" i="1"/>
  <c r="H10331" i="1"/>
  <c r="I10331" i="1"/>
  <c r="J10331" i="1"/>
  <c r="K10331" i="1"/>
  <c r="L10331" i="1"/>
  <c r="A10332" i="1"/>
  <c r="B10332" i="1"/>
  <c r="C10332" i="1"/>
  <c r="D10332" i="1"/>
  <c r="E10332" i="1"/>
  <c r="F10332" i="1"/>
  <c r="G10332" i="1"/>
  <c r="H10332" i="1"/>
  <c r="I10332" i="1"/>
  <c r="J10332" i="1"/>
  <c r="K10332" i="1"/>
  <c r="L10332" i="1"/>
  <c r="A10333" i="1"/>
  <c r="B10333" i="1"/>
  <c r="C10333" i="1"/>
  <c r="D10333" i="1"/>
  <c r="E10333" i="1"/>
  <c r="F10333" i="1"/>
  <c r="G10333" i="1"/>
  <c r="H10333" i="1"/>
  <c r="I10333" i="1"/>
  <c r="J10333" i="1"/>
  <c r="K10333" i="1"/>
  <c r="L10333" i="1"/>
  <c r="A10334" i="1"/>
  <c r="B10334" i="1"/>
  <c r="C10334" i="1"/>
  <c r="D10334" i="1"/>
  <c r="E10334" i="1"/>
  <c r="F10334" i="1"/>
  <c r="G10334" i="1"/>
  <c r="H10334" i="1"/>
  <c r="I10334" i="1"/>
  <c r="J10334" i="1"/>
  <c r="K10334" i="1"/>
  <c r="L10334" i="1"/>
  <c r="A10335" i="1"/>
  <c r="B10335" i="1"/>
  <c r="C10335" i="1"/>
  <c r="D10335" i="1"/>
  <c r="E10335" i="1"/>
  <c r="F10335" i="1"/>
  <c r="G10335" i="1"/>
  <c r="H10335" i="1"/>
  <c r="I10335" i="1"/>
  <c r="J10335" i="1"/>
  <c r="K10335" i="1"/>
  <c r="L10335" i="1"/>
  <c r="A10336" i="1"/>
  <c r="B10336" i="1"/>
  <c r="C10336" i="1"/>
  <c r="D10336" i="1"/>
  <c r="E10336" i="1"/>
  <c r="F10336" i="1"/>
  <c r="G10336" i="1"/>
  <c r="H10336" i="1"/>
  <c r="I10336" i="1"/>
  <c r="J10336" i="1"/>
  <c r="K10336" i="1"/>
  <c r="L10336" i="1"/>
  <c r="A10337" i="1"/>
  <c r="B10337" i="1"/>
  <c r="C10337" i="1"/>
  <c r="D10337" i="1"/>
  <c r="E10337" i="1"/>
  <c r="F10337" i="1"/>
  <c r="G10337" i="1"/>
  <c r="H10337" i="1"/>
  <c r="I10337" i="1"/>
  <c r="J10337" i="1"/>
  <c r="K10337" i="1"/>
  <c r="L10337" i="1"/>
  <c r="A10338" i="1"/>
  <c r="B10338" i="1"/>
  <c r="C10338" i="1"/>
  <c r="D10338" i="1"/>
  <c r="E10338" i="1"/>
  <c r="F10338" i="1"/>
  <c r="G10338" i="1"/>
  <c r="H10338" i="1"/>
  <c r="I10338" i="1"/>
  <c r="J10338" i="1"/>
  <c r="K10338" i="1"/>
  <c r="L10338" i="1"/>
  <c r="A10339" i="1"/>
  <c r="B10339" i="1"/>
  <c r="C10339" i="1"/>
  <c r="D10339" i="1"/>
  <c r="E10339" i="1"/>
  <c r="F10339" i="1"/>
  <c r="G10339" i="1"/>
  <c r="H10339" i="1"/>
  <c r="I10339" i="1"/>
  <c r="J10339" i="1"/>
  <c r="K10339" i="1"/>
  <c r="L10339" i="1"/>
  <c r="A10340" i="1"/>
  <c r="B10340" i="1"/>
  <c r="C10340" i="1"/>
  <c r="D10340" i="1"/>
  <c r="E10340" i="1"/>
  <c r="F10340" i="1"/>
  <c r="G10340" i="1"/>
  <c r="H10340" i="1"/>
  <c r="I10340" i="1"/>
  <c r="J10340" i="1"/>
  <c r="K10340" i="1"/>
  <c r="L10340" i="1"/>
  <c r="A10341" i="1"/>
  <c r="B10341" i="1"/>
  <c r="C10341" i="1"/>
  <c r="D10341" i="1"/>
  <c r="E10341" i="1"/>
  <c r="F10341" i="1"/>
  <c r="G10341" i="1"/>
  <c r="H10341" i="1"/>
  <c r="I10341" i="1"/>
  <c r="J10341" i="1"/>
  <c r="K10341" i="1"/>
  <c r="L10341" i="1"/>
  <c r="A10342" i="1"/>
  <c r="B10342" i="1"/>
  <c r="C10342" i="1"/>
  <c r="D10342" i="1"/>
  <c r="E10342" i="1"/>
  <c r="F10342" i="1"/>
  <c r="G10342" i="1"/>
  <c r="H10342" i="1"/>
  <c r="I10342" i="1"/>
  <c r="J10342" i="1"/>
  <c r="K10342" i="1"/>
  <c r="L10342" i="1"/>
  <c r="A10343" i="1"/>
  <c r="B10343" i="1"/>
  <c r="C10343" i="1"/>
  <c r="D10343" i="1"/>
  <c r="E10343" i="1"/>
  <c r="F10343" i="1"/>
  <c r="G10343" i="1"/>
  <c r="H10343" i="1"/>
  <c r="I10343" i="1"/>
  <c r="J10343" i="1"/>
  <c r="K10343" i="1"/>
  <c r="L10343" i="1"/>
  <c r="A10344" i="1"/>
  <c r="B10344" i="1"/>
  <c r="C10344" i="1"/>
  <c r="D10344" i="1"/>
  <c r="E10344" i="1"/>
  <c r="F10344" i="1"/>
  <c r="G10344" i="1"/>
  <c r="H10344" i="1"/>
  <c r="I10344" i="1"/>
  <c r="J10344" i="1"/>
  <c r="K10344" i="1"/>
  <c r="L10344" i="1"/>
  <c r="A10345" i="1"/>
  <c r="B10345" i="1"/>
  <c r="C10345" i="1"/>
  <c r="D10345" i="1"/>
  <c r="E10345" i="1"/>
  <c r="F10345" i="1"/>
  <c r="G10345" i="1"/>
  <c r="H10345" i="1"/>
  <c r="I10345" i="1"/>
  <c r="J10345" i="1"/>
  <c r="K10345" i="1"/>
  <c r="L10345" i="1"/>
  <c r="A10346" i="1"/>
  <c r="B10346" i="1"/>
  <c r="C10346" i="1"/>
  <c r="D10346" i="1"/>
  <c r="E10346" i="1"/>
  <c r="F10346" i="1"/>
  <c r="G10346" i="1"/>
  <c r="H10346" i="1"/>
  <c r="I10346" i="1"/>
  <c r="J10346" i="1"/>
  <c r="K10346" i="1"/>
  <c r="L10346" i="1"/>
  <c r="A10347" i="1"/>
  <c r="B10347" i="1"/>
  <c r="C10347" i="1"/>
  <c r="D10347" i="1"/>
  <c r="E10347" i="1"/>
  <c r="F10347" i="1"/>
  <c r="G10347" i="1"/>
  <c r="H10347" i="1"/>
  <c r="I10347" i="1"/>
  <c r="J10347" i="1"/>
  <c r="K10347" i="1"/>
  <c r="L10347" i="1"/>
  <c r="A10348" i="1"/>
  <c r="B10348" i="1"/>
  <c r="C10348" i="1"/>
  <c r="D10348" i="1"/>
  <c r="E10348" i="1"/>
  <c r="F10348" i="1"/>
  <c r="G10348" i="1"/>
  <c r="H10348" i="1"/>
  <c r="I10348" i="1"/>
  <c r="J10348" i="1"/>
  <c r="K10348" i="1"/>
  <c r="L10348" i="1"/>
  <c r="A10349" i="1"/>
  <c r="B10349" i="1"/>
  <c r="C10349" i="1"/>
  <c r="D10349" i="1"/>
  <c r="E10349" i="1"/>
  <c r="F10349" i="1"/>
  <c r="G10349" i="1"/>
  <c r="H10349" i="1"/>
  <c r="I10349" i="1"/>
  <c r="J10349" i="1"/>
  <c r="K10349" i="1"/>
  <c r="L10349" i="1"/>
  <c r="A10350" i="1"/>
  <c r="B10350" i="1"/>
  <c r="C10350" i="1"/>
  <c r="D10350" i="1"/>
  <c r="E10350" i="1"/>
  <c r="F10350" i="1"/>
  <c r="G10350" i="1"/>
  <c r="H10350" i="1"/>
  <c r="I10350" i="1"/>
  <c r="J10350" i="1"/>
  <c r="K10350" i="1"/>
  <c r="L10350" i="1"/>
  <c r="A10351" i="1"/>
  <c r="B10351" i="1"/>
  <c r="C10351" i="1"/>
  <c r="D10351" i="1"/>
  <c r="E10351" i="1"/>
  <c r="F10351" i="1"/>
  <c r="G10351" i="1"/>
  <c r="H10351" i="1"/>
  <c r="I10351" i="1"/>
  <c r="J10351" i="1"/>
  <c r="K10351" i="1"/>
  <c r="L10351" i="1"/>
  <c r="A10352" i="1"/>
  <c r="B10352" i="1"/>
  <c r="C10352" i="1"/>
  <c r="D10352" i="1"/>
  <c r="E10352" i="1"/>
  <c r="F10352" i="1"/>
  <c r="G10352" i="1"/>
  <c r="H10352" i="1"/>
  <c r="I10352" i="1"/>
  <c r="J10352" i="1"/>
  <c r="K10352" i="1"/>
  <c r="L10352" i="1"/>
  <c r="A10353" i="1"/>
  <c r="B10353" i="1"/>
  <c r="C10353" i="1"/>
  <c r="D10353" i="1"/>
  <c r="E10353" i="1"/>
  <c r="F10353" i="1"/>
  <c r="G10353" i="1"/>
  <c r="H10353" i="1"/>
  <c r="I10353" i="1"/>
  <c r="J10353" i="1"/>
  <c r="K10353" i="1"/>
  <c r="L10353" i="1"/>
  <c r="A10354" i="1"/>
  <c r="B10354" i="1"/>
  <c r="C10354" i="1"/>
  <c r="D10354" i="1"/>
  <c r="E10354" i="1"/>
  <c r="F10354" i="1"/>
  <c r="G10354" i="1"/>
  <c r="H10354" i="1"/>
  <c r="I10354" i="1"/>
  <c r="J10354" i="1"/>
  <c r="K10354" i="1"/>
  <c r="L10354" i="1"/>
  <c r="A10355" i="1"/>
  <c r="B10355" i="1"/>
  <c r="C10355" i="1"/>
  <c r="D10355" i="1"/>
  <c r="E10355" i="1"/>
  <c r="F10355" i="1"/>
  <c r="G10355" i="1"/>
  <c r="H10355" i="1"/>
  <c r="I10355" i="1"/>
  <c r="J10355" i="1"/>
  <c r="K10355" i="1"/>
  <c r="L10355" i="1"/>
  <c r="A10356" i="1"/>
  <c r="B10356" i="1"/>
  <c r="C10356" i="1"/>
  <c r="D10356" i="1"/>
  <c r="E10356" i="1"/>
  <c r="F10356" i="1"/>
  <c r="G10356" i="1"/>
  <c r="H10356" i="1"/>
  <c r="I10356" i="1"/>
  <c r="J10356" i="1"/>
  <c r="K10356" i="1"/>
  <c r="L10356" i="1"/>
  <c r="A10357" i="1"/>
  <c r="B10357" i="1"/>
  <c r="C10357" i="1"/>
  <c r="D10357" i="1"/>
  <c r="E10357" i="1"/>
  <c r="F10357" i="1"/>
  <c r="G10357" i="1"/>
  <c r="H10357" i="1"/>
  <c r="I10357" i="1"/>
  <c r="J10357" i="1"/>
  <c r="K10357" i="1"/>
  <c r="L10357" i="1"/>
  <c r="A10358" i="1"/>
  <c r="B10358" i="1"/>
  <c r="C10358" i="1"/>
  <c r="D10358" i="1"/>
  <c r="E10358" i="1"/>
  <c r="F10358" i="1"/>
  <c r="G10358" i="1"/>
  <c r="H10358" i="1"/>
  <c r="I10358" i="1"/>
  <c r="J10358" i="1"/>
  <c r="K10358" i="1"/>
  <c r="L10358" i="1"/>
  <c r="A10359" i="1"/>
  <c r="B10359" i="1"/>
  <c r="C10359" i="1"/>
  <c r="D10359" i="1"/>
  <c r="E10359" i="1"/>
  <c r="F10359" i="1"/>
  <c r="G10359" i="1"/>
  <c r="H10359" i="1"/>
  <c r="I10359" i="1"/>
  <c r="J10359" i="1"/>
  <c r="K10359" i="1"/>
  <c r="L10359" i="1"/>
  <c r="A10360" i="1"/>
  <c r="B10360" i="1"/>
  <c r="C10360" i="1"/>
  <c r="D10360" i="1"/>
  <c r="E10360" i="1"/>
  <c r="F10360" i="1"/>
  <c r="G10360" i="1"/>
  <c r="H10360" i="1"/>
  <c r="I10360" i="1"/>
  <c r="J10360" i="1"/>
  <c r="K10360" i="1"/>
  <c r="L10360" i="1"/>
  <c r="A10361" i="1"/>
  <c r="B10361" i="1"/>
  <c r="C10361" i="1"/>
  <c r="D10361" i="1"/>
  <c r="E10361" i="1"/>
  <c r="F10361" i="1"/>
  <c r="G10361" i="1"/>
  <c r="H10361" i="1"/>
  <c r="I10361" i="1"/>
  <c r="J10361" i="1"/>
  <c r="K10361" i="1"/>
  <c r="L10361" i="1"/>
  <c r="A10362" i="1"/>
  <c r="B10362" i="1"/>
  <c r="C10362" i="1"/>
  <c r="D10362" i="1"/>
  <c r="E10362" i="1"/>
  <c r="F10362" i="1"/>
  <c r="G10362" i="1"/>
  <c r="H10362" i="1"/>
  <c r="I10362" i="1"/>
  <c r="J10362" i="1"/>
  <c r="K10362" i="1"/>
  <c r="L10362" i="1"/>
  <c r="A10363" i="1"/>
  <c r="B10363" i="1"/>
  <c r="C10363" i="1"/>
  <c r="D10363" i="1"/>
  <c r="E10363" i="1"/>
  <c r="F10363" i="1"/>
  <c r="G10363" i="1"/>
  <c r="H10363" i="1"/>
  <c r="I10363" i="1"/>
  <c r="J10363" i="1"/>
  <c r="K10363" i="1"/>
  <c r="L10363" i="1"/>
  <c r="A10364" i="1"/>
  <c r="B10364" i="1"/>
  <c r="C10364" i="1"/>
  <c r="D10364" i="1"/>
  <c r="E10364" i="1"/>
  <c r="F10364" i="1"/>
  <c r="G10364" i="1"/>
  <c r="H10364" i="1"/>
  <c r="I10364" i="1"/>
  <c r="J10364" i="1"/>
  <c r="K10364" i="1"/>
  <c r="L10364" i="1"/>
  <c r="A10365" i="1"/>
  <c r="B10365" i="1"/>
  <c r="C10365" i="1"/>
  <c r="D10365" i="1"/>
  <c r="E10365" i="1"/>
  <c r="F10365" i="1"/>
  <c r="G10365" i="1"/>
  <c r="H10365" i="1"/>
  <c r="I10365" i="1"/>
  <c r="J10365" i="1"/>
  <c r="K10365" i="1"/>
  <c r="L10365" i="1"/>
  <c r="A10366" i="1"/>
  <c r="B10366" i="1"/>
  <c r="C10366" i="1"/>
  <c r="D10366" i="1"/>
  <c r="E10366" i="1"/>
  <c r="F10366" i="1"/>
  <c r="G10366" i="1"/>
  <c r="H10366" i="1"/>
  <c r="I10366" i="1"/>
  <c r="J10366" i="1"/>
  <c r="K10366" i="1"/>
  <c r="L10366" i="1"/>
  <c r="A10367" i="1"/>
  <c r="B10367" i="1"/>
  <c r="C10367" i="1"/>
  <c r="D10367" i="1"/>
  <c r="E10367" i="1"/>
  <c r="F10367" i="1"/>
  <c r="G10367" i="1"/>
  <c r="H10367" i="1"/>
  <c r="I10367" i="1"/>
  <c r="J10367" i="1"/>
  <c r="K10367" i="1"/>
  <c r="L10367" i="1"/>
  <c r="A10368" i="1"/>
  <c r="B10368" i="1"/>
  <c r="C10368" i="1"/>
  <c r="D10368" i="1"/>
  <c r="E10368" i="1"/>
  <c r="F10368" i="1"/>
  <c r="G10368" i="1"/>
  <c r="H10368" i="1"/>
  <c r="I10368" i="1"/>
  <c r="J10368" i="1"/>
  <c r="K10368" i="1"/>
  <c r="L10368" i="1"/>
  <c r="A10369" i="1"/>
  <c r="B10369" i="1"/>
  <c r="C10369" i="1"/>
  <c r="D10369" i="1"/>
  <c r="E10369" i="1"/>
  <c r="F10369" i="1"/>
  <c r="G10369" i="1"/>
  <c r="H10369" i="1"/>
  <c r="I10369" i="1"/>
  <c r="J10369" i="1"/>
  <c r="K10369" i="1"/>
  <c r="L10369" i="1"/>
  <c r="A10370" i="1"/>
  <c r="B10370" i="1"/>
  <c r="C10370" i="1"/>
  <c r="D10370" i="1"/>
  <c r="E10370" i="1"/>
  <c r="F10370" i="1"/>
  <c r="G10370" i="1"/>
  <c r="H10370" i="1"/>
  <c r="I10370" i="1"/>
  <c r="J10370" i="1"/>
  <c r="K10370" i="1"/>
  <c r="L10370" i="1"/>
  <c r="A10371" i="1"/>
  <c r="B10371" i="1"/>
  <c r="C10371" i="1"/>
  <c r="D10371" i="1"/>
  <c r="E10371" i="1"/>
  <c r="F10371" i="1"/>
  <c r="G10371" i="1"/>
  <c r="H10371" i="1"/>
  <c r="I10371" i="1"/>
  <c r="J10371" i="1"/>
  <c r="K10371" i="1"/>
  <c r="L10371" i="1"/>
  <c r="A10372" i="1"/>
  <c r="B10372" i="1"/>
  <c r="C10372" i="1"/>
  <c r="D10372" i="1"/>
  <c r="E10372" i="1"/>
  <c r="F10372" i="1"/>
  <c r="G10372" i="1"/>
  <c r="H10372" i="1"/>
  <c r="I10372" i="1"/>
  <c r="J10372" i="1"/>
  <c r="K10372" i="1"/>
  <c r="L10372" i="1"/>
  <c r="A10373" i="1"/>
  <c r="B10373" i="1"/>
  <c r="C10373" i="1"/>
  <c r="D10373" i="1"/>
  <c r="E10373" i="1"/>
  <c r="F10373" i="1"/>
  <c r="G10373" i="1"/>
  <c r="H10373" i="1"/>
  <c r="I10373" i="1"/>
  <c r="J10373" i="1"/>
  <c r="K10373" i="1"/>
  <c r="L10373" i="1"/>
  <c r="A10374" i="1"/>
  <c r="B10374" i="1"/>
  <c r="C10374" i="1"/>
  <c r="D10374" i="1"/>
  <c r="E10374" i="1"/>
  <c r="F10374" i="1"/>
  <c r="G10374" i="1"/>
  <c r="H10374" i="1"/>
  <c r="I10374" i="1"/>
  <c r="J10374" i="1"/>
  <c r="K10374" i="1"/>
  <c r="L10374" i="1"/>
  <c r="A10375" i="1"/>
  <c r="B10375" i="1"/>
  <c r="C10375" i="1"/>
  <c r="D10375" i="1"/>
  <c r="E10375" i="1"/>
  <c r="F10375" i="1"/>
  <c r="G10375" i="1"/>
  <c r="H10375" i="1"/>
  <c r="I10375" i="1"/>
  <c r="J10375" i="1"/>
  <c r="K10375" i="1"/>
  <c r="L10375" i="1"/>
  <c r="A10376" i="1"/>
  <c r="B10376" i="1"/>
  <c r="C10376" i="1"/>
  <c r="D10376" i="1"/>
  <c r="E10376" i="1"/>
  <c r="F10376" i="1"/>
  <c r="G10376" i="1"/>
  <c r="H10376" i="1"/>
  <c r="I10376" i="1"/>
  <c r="J10376" i="1"/>
  <c r="K10376" i="1"/>
  <c r="L10376" i="1"/>
  <c r="A10377" i="1"/>
  <c r="B10377" i="1"/>
  <c r="C10377" i="1"/>
  <c r="D10377" i="1"/>
  <c r="E10377" i="1"/>
  <c r="F10377" i="1"/>
  <c r="G10377" i="1"/>
  <c r="H10377" i="1"/>
  <c r="I10377" i="1"/>
  <c r="J10377" i="1"/>
  <c r="K10377" i="1"/>
  <c r="L10377" i="1"/>
  <c r="A10378" i="1"/>
  <c r="B10378" i="1"/>
  <c r="C10378" i="1"/>
  <c r="D10378" i="1"/>
  <c r="E10378" i="1"/>
  <c r="F10378" i="1"/>
  <c r="G10378" i="1"/>
  <c r="H10378" i="1"/>
  <c r="I10378" i="1"/>
  <c r="J10378" i="1"/>
  <c r="K10378" i="1"/>
  <c r="L10378" i="1"/>
  <c r="A10379" i="1"/>
  <c r="B10379" i="1"/>
  <c r="C10379" i="1"/>
  <c r="D10379" i="1"/>
  <c r="E10379" i="1"/>
  <c r="F10379" i="1"/>
  <c r="G10379" i="1"/>
  <c r="H10379" i="1"/>
  <c r="I10379" i="1"/>
  <c r="J10379" i="1"/>
  <c r="K10379" i="1"/>
  <c r="L10379" i="1"/>
  <c r="A10380" i="1"/>
  <c r="B10380" i="1"/>
  <c r="C10380" i="1"/>
  <c r="D10380" i="1"/>
  <c r="E10380" i="1"/>
  <c r="F10380" i="1"/>
  <c r="G10380" i="1"/>
  <c r="H10380" i="1"/>
  <c r="I10380" i="1"/>
  <c r="J10380" i="1"/>
  <c r="K10380" i="1"/>
  <c r="L10380" i="1"/>
  <c r="A10381" i="1"/>
  <c r="B10381" i="1"/>
  <c r="C10381" i="1"/>
  <c r="D10381" i="1"/>
  <c r="E10381" i="1"/>
  <c r="F10381" i="1"/>
  <c r="G10381" i="1"/>
  <c r="H10381" i="1"/>
  <c r="I10381" i="1"/>
  <c r="J10381" i="1"/>
  <c r="K10381" i="1"/>
  <c r="L10381" i="1"/>
  <c r="A10382" i="1"/>
  <c r="B10382" i="1"/>
  <c r="C10382" i="1"/>
  <c r="D10382" i="1"/>
  <c r="E10382" i="1"/>
  <c r="F10382" i="1"/>
  <c r="G10382" i="1"/>
  <c r="H10382" i="1"/>
  <c r="I10382" i="1"/>
  <c r="J10382" i="1"/>
  <c r="K10382" i="1"/>
  <c r="L10382" i="1"/>
  <c r="A10383" i="1"/>
  <c r="B10383" i="1"/>
  <c r="C10383" i="1"/>
  <c r="D10383" i="1"/>
  <c r="E10383" i="1"/>
  <c r="F10383" i="1"/>
  <c r="G10383" i="1"/>
  <c r="H10383" i="1"/>
  <c r="I10383" i="1"/>
  <c r="J10383" i="1"/>
  <c r="K10383" i="1"/>
  <c r="L10383" i="1"/>
  <c r="A10384" i="1"/>
  <c r="B10384" i="1"/>
  <c r="C10384" i="1"/>
  <c r="D10384" i="1"/>
  <c r="E10384" i="1"/>
  <c r="F10384" i="1"/>
  <c r="G10384" i="1"/>
  <c r="H10384" i="1"/>
  <c r="I10384" i="1"/>
  <c r="J10384" i="1"/>
  <c r="K10384" i="1"/>
  <c r="L10384" i="1"/>
  <c r="A10385" i="1"/>
  <c r="B10385" i="1"/>
  <c r="C10385" i="1"/>
  <c r="D10385" i="1"/>
  <c r="E10385" i="1"/>
  <c r="F10385" i="1"/>
  <c r="G10385" i="1"/>
  <c r="H10385" i="1"/>
  <c r="I10385" i="1"/>
  <c r="J10385" i="1"/>
  <c r="K10385" i="1"/>
  <c r="L10385" i="1"/>
  <c r="A10386" i="1"/>
  <c r="B10386" i="1"/>
  <c r="C10386" i="1"/>
  <c r="D10386" i="1"/>
  <c r="E10386" i="1"/>
  <c r="F10386" i="1"/>
  <c r="G10386" i="1"/>
  <c r="H10386" i="1"/>
  <c r="I10386" i="1"/>
  <c r="J10386" i="1"/>
  <c r="K10386" i="1"/>
  <c r="L10386" i="1"/>
  <c r="A10387" i="1"/>
  <c r="B10387" i="1"/>
  <c r="C10387" i="1"/>
  <c r="D10387" i="1"/>
  <c r="E10387" i="1"/>
  <c r="F10387" i="1"/>
  <c r="G10387" i="1"/>
  <c r="H10387" i="1"/>
  <c r="I10387" i="1"/>
  <c r="J10387" i="1"/>
  <c r="K10387" i="1"/>
  <c r="L10387" i="1"/>
  <c r="A10388" i="1"/>
  <c r="B10388" i="1"/>
  <c r="C10388" i="1"/>
  <c r="D10388" i="1"/>
  <c r="E10388" i="1"/>
  <c r="F10388" i="1"/>
  <c r="G10388" i="1"/>
  <c r="H10388" i="1"/>
  <c r="I10388" i="1"/>
  <c r="J10388" i="1"/>
  <c r="K10388" i="1"/>
  <c r="L10388" i="1"/>
  <c r="A10389" i="1"/>
  <c r="B10389" i="1"/>
  <c r="C10389" i="1"/>
  <c r="D10389" i="1"/>
  <c r="E10389" i="1"/>
  <c r="F10389" i="1"/>
  <c r="G10389" i="1"/>
  <c r="H10389" i="1"/>
  <c r="I10389" i="1"/>
  <c r="J10389" i="1"/>
  <c r="K10389" i="1"/>
  <c r="L10389" i="1"/>
  <c r="A10390" i="1"/>
  <c r="B10390" i="1"/>
  <c r="C10390" i="1"/>
  <c r="D10390" i="1"/>
  <c r="E10390" i="1"/>
  <c r="F10390" i="1"/>
  <c r="G10390" i="1"/>
  <c r="H10390" i="1"/>
  <c r="I10390" i="1"/>
  <c r="J10390" i="1"/>
  <c r="K10390" i="1"/>
  <c r="L10390" i="1"/>
  <c r="A10391" i="1"/>
  <c r="B10391" i="1"/>
  <c r="C10391" i="1"/>
  <c r="D10391" i="1"/>
  <c r="E10391" i="1"/>
  <c r="F10391" i="1"/>
  <c r="G10391" i="1"/>
  <c r="H10391" i="1"/>
  <c r="I10391" i="1"/>
  <c r="J10391" i="1"/>
  <c r="K10391" i="1"/>
  <c r="L10391" i="1"/>
  <c r="A10392" i="1"/>
  <c r="B10392" i="1"/>
  <c r="C10392" i="1"/>
  <c r="D10392" i="1"/>
  <c r="E10392" i="1"/>
  <c r="F10392" i="1"/>
  <c r="G10392" i="1"/>
  <c r="H10392" i="1"/>
  <c r="I10392" i="1"/>
  <c r="J10392" i="1"/>
  <c r="K10392" i="1"/>
  <c r="L10392" i="1"/>
  <c r="A10393" i="1"/>
  <c r="B10393" i="1"/>
  <c r="C10393" i="1"/>
  <c r="D10393" i="1"/>
  <c r="E10393" i="1"/>
  <c r="F10393" i="1"/>
  <c r="G10393" i="1"/>
  <c r="H10393" i="1"/>
  <c r="I10393" i="1"/>
  <c r="J10393" i="1"/>
  <c r="K10393" i="1"/>
  <c r="L10393" i="1"/>
  <c r="A10394" i="1"/>
  <c r="B10394" i="1"/>
  <c r="C10394" i="1"/>
  <c r="D10394" i="1"/>
  <c r="E10394" i="1"/>
  <c r="F10394" i="1"/>
  <c r="G10394" i="1"/>
  <c r="H10394" i="1"/>
  <c r="I10394" i="1"/>
  <c r="J10394" i="1"/>
  <c r="K10394" i="1"/>
  <c r="L10394" i="1"/>
  <c r="A10395" i="1"/>
  <c r="B10395" i="1"/>
  <c r="C10395" i="1"/>
  <c r="D10395" i="1"/>
  <c r="E10395" i="1"/>
  <c r="F10395" i="1"/>
  <c r="G10395" i="1"/>
  <c r="H10395" i="1"/>
  <c r="I10395" i="1"/>
  <c r="J10395" i="1"/>
  <c r="K10395" i="1"/>
  <c r="L10395" i="1"/>
  <c r="A10396" i="1"/>
  <c r="B10396" i="1"/>
  <c r="C10396" i="1"/>
  <c r="D10396" i="1"/>
  <c r="E10396" i="1"/>
  <c r="F10396" i="1"/>
  <c r="G10396" i="1"/>
  <c r="H10396" i="1"/>
  <c r="I10396" i="1"/>
  <c r="J10396" i="1"/>
  <c r="K10396" i="1"/>
  <c r="L10396" i="1"/>
  <c r="A10397" i="1"/>
  <c r="B10397" i="1"/>
  <c r="C10397" i="1"/>
  <c r="D10397" i="1"/>
  <c r="E10397" i="1"/>
  <c r="F10397" i="1"/>
  <c r="G10397" i="1"/>
  <c r="H10397" i="1"/>
  <c r="I10397" i="1"/>
  <c r="J10397" i="1"/>
  <c r="K10397" i="1"/>
  <c r="L10397" i="1"/>
  <c r="A10398" i="1"/>
  <c r="B10398" i="1"/>
  <c r="C10398" i="1"/>
  <c r="D10398" i="1"/>
  <c r="E10398" i="1"/>
  <c r="F10398" i="1"/>
  <c r="G10398" i="1"/>
  <c r="H10398" i="1"/>
  <c r="I10398" i="1"/>
  <c r="J10398" i="1"/>
  <c r="K10398" i="1"/>
  <c r="L10398" i="1"/>
  <c r="A10399" i="1"/>
  <c r="B10399" i="1"/>
  <c r="C10399" i="1"/>
  <c r="D10399" i="1"/>
  <c r="E10399" i="1"/>
  <c r="F10399" i="1"/>
  <c r="G10399" i="1"/>
  <c r="H10399" i="1"/>
  <c r="I10399" i="1"/>
  <c r="J10399" i="1"/>
  <c r="K10399" i="1"/>
  <c r="L10399" i="1"/>
  <c r="A10400" i="1"/>
  <c r="B10400" i="1"/>
  <c r="C10400" i="1"/>
  <c r="D10400" i="1"/>
  <c r="E10400" i="1"/>
  <c r="F10400" i="1"/>
  <c r="G10400" i="1"/>
  <c r="H10400" i="1"/>
  <c r="I10400" i="1"/>
  <c r="J10400" i="1"/>
  <c r="K10400" i="1"/>
  <c r="L10400" i="1"/>
  <c r="A10401" i="1"/>
  <c r="B10401" i="1"/>
  <c r="C10401" i="1"/>
  <c r="D10401" i="1"/>
  <c r="E10401" i="1"/>
  <c r="F10401" i="1"/>
  <c r="G10401" i="1"/>
  <c r="H10401" i="1"/>
  <c r="I10401" i="1"/>
  <c r="J10401" i="1"/>
  <c r="K10401" i="1"/>
  <c r="L10401" i="1"/>
  <c r="A10402" i="1"/>
  <c r="B10402" i="1"/>
  <c r="C10402" i="1"/>
  <c r="D10402" i="1"/>
  <c r="E10402" i="1"/>
  <c r="F10402" i="1"/>
  <c r="G10402" i="1"/>
  <c r="H10402" i="1"/>
  <c r="I10402" i="1"/>
  <c r="J10402" i="1"/>
  <c r="K10402" i="1"/>
  <c r="L10402" i="1"/>
  <c r="A10403" i="1"/>
  <c r="B10403" i="1"/>
  <c r="C10403" i="1"/>
  <c r="D10403" i="1"/>
  <c r="E10403" i="1"/>
  <c r="F10403" i="1"/>
  <c r="G10403" i="1"/>
  <c r="H10403" i="1"/>
  <c r="I10403" i="1"/>
  <c r="J10403" i="1"/>
  <c r="K10403" i="1"/>
  <c r="L10403" i="1"/>
  <c r="A10404" i="1"/>
  <c r="B10404" i="1"/>
  <c r="C10404" i="1"/>
  <c r="D10404" i="1"/>
  <c r="E10404" i="1"/>
  <c r="F10404" i="1"/>
  <c r="G10404" i="1"/>
  <c r="H10404" i="1"/>
  <c r="I10404" i="1"/>
  <c r="J10404" i="1"/>
  <c r="K10404" i="1"/>
  <c r="L10404" i="1"/>
  <c r="A10405" i="1"/>
  <c r="B10405" i="1"/>
  <c r="C10405" i="1"/>
  <c r="D10405" i="1"/>
  <c r="E10405" i="1"/>
  <c r="F10405" i="1"/>
  <c r="G10405" i="1"/>
  <c r="H10405" i="1"/>
  <c r="I10405" i="1"/>
  <c r="J10405" i="1"/>
  <c r="K10405" i="1"/>
  <c r="L10405" i="1"/>
  <c r="A10406" i="1"/>
  <c r="B10406" i="1"/>
  <c r="C10406" i="1"/>
  <c r="D10406" i="1"/>
  <c r="E10406" i="1"/>
  <c r="F10406" i="1"/>
  <c r="G10406" i="1"/>
  <c r="H10406" i="1"/>
  <c r="I10406" i="1"/>
  <c r="J10406" i="1"/>
  <c r="K10406" i="1"/>
  <c r="L10406" i="1"/>
  <c r="A10407" i="1"/>
  <c r="B10407" i="1"/>
  <c r="C10407" i="1"/>
  <c r="D10407" i="1"/>
  <c r="E10407" i="1"/>
  <c r="F10407" i="1"/>
  <c r="G10407" i="1"/>
  <c r="H10407" i="1"/>
  <c r="I10407" i="1"/>
  <c r="J10407" i="1"/>
  <c r="K10407" i="1"/>
  <c r="L10407" i="1"/>
  <c r="A10408" i="1"/>
  <c r="B10408" i="1"/>
  <c r="C10408" i="1"/>
  <c r="D10408" i="1"/>
  <c r="E10408" i="1"/>
  <c r="F10408" i="1"/>
  <c r="G10408" i="1"/>
  <c r="H10408" i="1"/>
  <c r="I10408" i="1"/>
  <c r="J10408" i="1"/>
  <c r="K10408" i="1"/>
  <c r="L10408" i="1"/>
  <c r="A10409" i="1"/>
  <c r="B10409" i="1"/>
  <c r="C10409" i="1"/>
  <c r="D10409" i="1"/>
  <c r="E10409" i="1"/>
  <c r="F10409" i="1"/>
  <c r="G10409" i="1"/>
  <c r="H10409" i="1"/>
  <c r="I10409" i="1"/>
  <c r="J10409" i="1"/>
  <c r="K10409" i="1"/>
  <c r="L10409" i="1"/>
  <c r="A10410" i="1"/>
  <c r="B10410" i="1"/>
  <c r="C10410" i="1"/>
  <c r="D10410" i="1"/>
  <c r="E10410" i="1"/>
  <c r="F10410" i="1"/>
  <c r="G10410" i="1"/>
  <c r="H10410" i="1"/>
  <c r="I10410" i="1"/>
  <c r="J10410" i="1"/>
  <c r="K10410" i="1"/>
  <c r="L10410" i="1"/>
  <c r="A10411" i="1"/>
  <c r="B10411" i="1"/>
  <c r="C10411" i="1"/>
  <c r="D10411" i="1"/>
  <c r="E10411" i="1"/>
  <c r="F10411" i="1"/>
  <c r="G10411" i="1"/>
  <c r="H10411" i="1"/>
  <c r="I10411" i="1"/>
  <c r="J10411" i="1"/>
  <c r="K10411" i="1"/>
  <c r="L10411" i="1"/>
  <c r="A10412" i="1"/>
  <c r="B10412" i="1"/>
  <c r="C10412" i="1"/>
  <c r="D10412" i="1"/>
  <c r="E10412" i="1"/>
  <c r="F10412" i="1"/>
  <c r="G10412" i="1"/>
  <c r="H10412" i="1"/>
  <c r="I10412" i="1"/>
  <c r="J10412" i="1"/>
  <c r="K10412" i="1"/>
  <c r="L10412" i="1"/>
  <c r="A10413" i="1"/>
  <c r="B10413" i="1"/>
  <c r="C10413" i="1"/>
  <c r="D10413" i="1"/>
  <c r="E10413" i="1"/>
  <c r="F10413" i="1"/>
  <c r="G10413" i="1"/>
  <c r="H10413" i="1"/>
  <c r="I10413" i="1"/>
  <c r="J10413" i="1"/>
  <c r="K10413" i="1"/>
  <c r="L10413" i="1"/>
  <c r="A10414" i="1"/>
  <c r="B10414" i="1"/>
  <c r="C10414" i="1"/>
  <c r="D10414" i="1"/>
  <c r="E10414" i="1"/>
  <c r="F10414" i="1"/>
  <c r="G10414" i="1"/>
  <c r="H10414" i="1"/>
  <c r="I10414" i="1"/>
  <c r="J10414" i="1"/>
  <c r="K10414" i="1"/>
  <c r="L10414" i="1"/>
  <c r="A10415" i="1"/>
  <c r="B10415" i="1"/>
  <c r="C10415" i="1"/>
  <c r="D10415" i="1"/>
  <c r="E10415" i="1"/>
  <c r="F10415" i="1"/>
  <c r="G10415" i="1"/>
  <c r="H10415" i="1"/>
  <c r="I10415" i="1"/>
  <c r="J10415" i="1"/>
  <c r="K10415" i="1"/>
  <c r="L10415" i="1"/>
  <c r="A10416" i="1"/>
  <c r="B10416" i="1"/>
  <c r="C10416" i="1"/>
  <c r="D10416" i="1"/>
  <c r="E10416" i="1"/>
  <c r="F10416" i="1"/>
  <c r="G10416" i="1"/>
  <c r="H10416" i="1"/>
  <c r="I10416" i="1"/>
  <c r="J10416" i="1"/>
  <c r="K10416" i="1"/>
  <c r="L10416" i="1"/>
  <c r="A10417" i="1"/>
  <c r="B10417" i="1"/>
  <c r="C10417" i="1"/>
  <c r="D10417" i="1"/>
  <c r="E10417" i="1"/>
  <c r="F10417" i="1"/>
  <c r="G10417" i="1"/>
  <c r="H10417" i="1"/>
  <c r="I10417" i="1"/>
  <c r="J10417" i="1"/>
  <c r="K10417" i="1"/>
  <c r="L10417" i="1"/>
  <c r="A10418" i="1"/>
  <c r="B10418" i="1"/>
  <c r="C10418" i="1"/>
  <c r="D10418" i="1"/>
  <c r="E10418" i="1"/>
  <c r="F10418" i="1"/>
  <c r="G10418" i="1"/>
  <c r="H10418" i="1"/>
  <c r="I10418" i="1"/>
  <c r="J10418" i="1"/>
  <c r="K10418" i="1"/>
  <c r="L10418" i="1"/>
  <c r="A10419" i="1"/>
  <c r="B10419" i="1"/>
  <c r="C10419" i="1"/>
  <c r="D10419" i="1"/>
  <c r="E10419" i="1"/>
  <c r="F10419" i="1"/>
  <c r="G10419" i="1"/>
  <c r="H10419" i="1"/>
  <c r="I10419" i="1"/>
  <c r="J10419" i="1"/>
  <c r="K10419" i="1"/>
  <c r="L10419" i="1"/>
  <c r="A10420" i="1"/>
  <c r="B10420" i="1"/>
  <c r="C10420" i="1"/>
  <c r="D10420" i="1"/>
  <c r="E10420" i="1"/>
  <c r="F10420" i="1"/>
  <c r="G10420" i="1"/>
  <c r="H10420" i="1"/>
  <c r="I10420" i="1"/>
  <c r="J10420" i="1"/>
  <c r="K10420" i="1"/>
  <c r="L10420" i="1"/>
  <c r="A10421" i="1"/>
  <c r="B10421" i="1"/>
  <c r="C10421" i="1"/>
  <c r="D10421" i="1"/>
  <c r="E10421" i="1"/>
  <c r="F10421" i="1"/>
  <c r="G10421" i="1"/>
  <c r="H10421" i="1"/>
  <c r="I10421" i="1"/>
  <c r="J10421" i="1"/>
  <c r="K10421" i="1"/>
  <c r="L10421" i="1"/>
  <c r="A10422" i="1"/>
  <c r="B10422" i="1"/>
  <c r="C10422" i="1"/>
  <c r="D10422" i="1"/>
  <c r="E10422" i="1"/>
  <c r="F10422" i="1"/>
  <c r="G10422" i="1"/>
  <c r="H10422" i="1"/>
  <c r="I10422" i="1"/>
  <c r="J10422" i="1"/>
  <c r="K10422" i="1"/>
  <c r="L10422" i="1"/>
  <c r="A10423" i="1"/>
  <c r="B10423" i="1"/>
  <c r="C10423" i="1"/>
  <c r="D10423" i="1"/>
  <c r="E10423" i="1"/>
  <c r="F10423" i="1"/>
  <c r="G10423" i="1"/>
  <c r="H10423" i="1"/>
  <c r="I10423" i="1"/>
  <c r="J10423" i="1"/>
  <c r="K10423" i="1"/>
  <c r="L10423" i="1"/>
  <c r="A10424" i="1"/>
  <c r="B10424" i="1"/>
  <c r="C10424" i="1"/>
  <c r="D10424" i="1"/>
  <c r="E10424" i="1"/>
  <c r="F10424" i="1"/>
  <c r="G10424" i="1"/>
  <c r="H10424" i="1"/>
  <c r="I10424" i="1"/>
  <c r="J10424" i="1"/>
  <c r="K10424" i="1"/>
  <c r="L10424" i="1"/>
  <c r="A10425" i="1"/>
  <c r="B10425" i="1"/>
  <c r="C10425" i="1"/>
  <c r="D10425" i="1"/>
  <c r="E10425" i="1"/>
  <c r="F10425" i="1"/>
  <c r="G10425" i="1"/>
  <c r="H10425" i="1"/>
  <c r="I10425" i="1"/>
  <c r="J10425" i="1"/>
  <c r="K10425" i="1"/>
  <c r="L10425" i="1"/>
  <c r="A10426" i="1"/>
  <c r="B10426" i="1"/>
  <c r="C10426" i="1"/>
  <c r="D10426" i="1"/>
  <c r="E10426" i="1"/>
  <c r="F10426" i="1"/>
  <c r="G10426" i="1"/>
  <c r="H10426" i="1"/>
  <c r="I10426" i="1"/>
  <c r="J10426" i="1"/>
  <c r="K10426" i="1"/>
  <c r="L10426" i="1"/>
  <c r="A10427" i="1"/>
  <c r="B10427" i="1"/>
  <c r="C10427" i="1"/>
  <c r="D10427" i="1"/>
  <c r="E10427" i="1"/>
  <c r="F10427" i="1"/>
  <c r="G10427" i="1"/>
  <c r="H10427" i="1"/>
  <c r="I10427" i="1"/>
  <c r="J10427" i="1"/>
  <c r="K10427" i="1"/>
  <c r="L10427" i="1"/>
  <c r="A10428" i="1"/>
  <c r="B10428" i="1"/>
  <c r="C10428" i="1"/>
  <c r="D10428" i="1"/>
  <c r="E10428" i="1"/>
  <c r="F10428" i="1"/>
  <c r="G10428" i="1"/>
  <c r="H10428" i="1"/>
  <c r="I10428" i="1"/>
  <c r="J10428" i="1"/>
  <c r="K10428" i="1"/>
  <c r="L10428" i="1"/>
  <c r="A10429" i="1"/>
  <c r="B10429" i="1"/>
  <c r="C10429" i="1"/>
  <c r="D10429" i="1"/>
  <c r="E10429" i="1"/>
  <c r="F10429" i="1"/>
  <c r="G10429" i="1"/>
  <c r="H10429" i="1"/>
  <c r="I10429" i="1"/>
  <c r="J10429" i="1"/>
  <c r="K10429" i="1"/>
  <c r="L10429" i="1"/>
  <c r="A10430" i="1"/>
  <c r="B10430" i="1"/>
  <c r="C10430" i="1"/>
  <c r="D10430" i="1"/>
  <c r="E10430" i="1"/>
  <c r="F10430" i="1"/>
  <c r="G10430" i="1"/>
  <c r="H10430" i="1"/>
  <c r="I10430" i="1"/>
  <c r="J10430" i="1"/>
  <c r="K10430" i="1"/>
  <c r="L10430" i="1"/>
  <c r="A10431" i="1"/>
  <c r="B10431" i="1"/>
  <c r="C10431" i="1"/>
  <c r="D10431" i="1"/>
  <c r="E10431" i="1"/>
  <c r="F10431" i="1"/>
  <c r="G10431" i="1"/>
  <c r="H10431" i="1"/>
  <c r="I10431" i="1"/>
  <c r="J10431" i="1"/>
  <c r="K10431" i="1"/>
  <c r="L10431" i="1"/>
  <c r="A10432" i="1"/>
  <c r="B10432" i="1"/>
  <c r="C10432" i="1"/>
  <c r="D10432" i="1"/>
  <c r="E10432" i="1"/>
  <c r="F10432" i="1"/>
  <c r="G10432" i="1"/>
  <c r="H10432" i="1"/>
  <c r="I10432" i="1"/>
  <c r="J10432" i="1"/>
  <c r="K10432" i="1"/>
  <c r="L10432" i="1"/>
  <c r="A10433" i="1"/>
  <c r="B10433" i="1"/>
  <c r="C10433" i="1"/>
  <c r="D10433" i="1"/>
  <c r="E10433" i="1"/>
  <c r="F10433" i="1"/>
  <c r="G10433" i="1"/>
  <c r="H10433" i="1"/>
  <c r="I10433" i="1"/>
  <c r="J10433" i="1"/>
  <c r="K10433" i="1"/>
  <c r="L10433" i="1"/>
  <c r="A10434" i="1"/>
  <c r="B10434" i="1"/>
  <c r="C10434" i="1"/>
  <c r="D10434" i="1"/>
  <c r="E10434" i="1"/>
  <c r="F10434" i="1"/>
  <c r="G10434" i="1"/>
  <c r="H10434" i="1"/>
  <c r="I10434" i="1"/>
  <c r="J10434" i="1"/>
  <c r="K10434" i="1"/>
  <c r="L10434" i="1"/>
  <c r="A10435" i="1"/>
  <c r="B10435" i="1"/>
  <c r="C10435" i="1"/>
  <c r="D10435" i="1"/>
  <c r="E10435" i="1"/>
  <c r="F10435" i="1"/>
  <c r="G10435" i="1"/>
  <c r="H10435" i="1"/>
  <c r="I10435" i="1"/>
  <c r="J10435" i="1"/>
  <c r="K10435" i="1"/>
  <c r="L10435" i="1"/>
  <c r="A10436" i="1"/>
  <c r="B10436" i="1"/>
  <c r="C10436" i="1"/>
  <c r="D10436" i="1"/>
  <c r="E10436" i="1"/>
  <c r="F10436" i="1"/>
  <c r="G10436" i="1"/>
  <c r="H10436" i="1"/>
  <c r="I10436" i="1"/>
  <c r="J10436" i="1"/>
  <c r="K10436" i="1"/>
  <c r="L10436" i="1"/>
  <c r="A10437" i="1"/>
  <c r="B10437" i="1"/>
  <c r="C10437" i="1"/>
  <c r="D10437" i="1"/>
  <c r="E10437" i="1"/>
  <c r="F10437" i="1"/>
  <c r="G10437" i="1"/>
  <c r="H10437" i="1"/>
  <c r="I10437" i="1"/>
  <c r="J10437" i="1"/>
  <c r="K10437" i="1"/>
  <c r="L10437" i="1"/>
  <c r="A10438" i="1"/>
  <c r="B10438" i="1"/>
  <c r="C10438" i="1"/>
  <c r="D10438" i="1"/>
  <c r="E10438" i="1"/>
  <c r="F10438" i="1"/>
  <c r="G10438" i="1"/>
  <c r="H10438" i="1"/>
  <c r="I10438" i="1"/>
  <c r="J10438" i="1"/>
  <c r="K10438" i="1"/>
  <c r="L10438" i="1"/>
  <c r="A10439" i="1"/>
  <c r="B10439" i="1"/>
  <c r="C10439" i="1"/>
  <c r="D10439" i="1"/>
  <c r="E10439" i="1"/>
  <c r="F10439" i="1"/>
  <c r="G10439" i="1"/>
  <c r="H10439" i="1"/>
  <c r="I10439" i="1"/>
  <c r="J10439" i="1"/>
  <c r="K10439" i="1"/>
  <c r="L10439" i="1"/>
  <c r="A10440" i="1"/>
  <c r="B10440" i="1"/>
  <c r="C10440" i="1"/>
  <c r="D10440" i="1"/>
  <c r="E10440" i="1"/>
  <c r="F10440" i="1"/>
  <c r="G10440" i="1"/>
  <c r="H10440" i="1"/>
  <c r="I10440" i="1"/>
  <c r="J10440" i="1"/>
  <c r="K10440" i="1"/>
  <c r="L10440" i="1"/>
  <c r="A10441" i="1"/>
  <c r="B10441" i="1"/>
  <c r="C10441" i="1"/>
  <c r="D10441" i="1"/>
  <c r="E10441" i="1"/>
  <c r="F10441" i="1"/>
  <c r="G10441" i="1"/>
  <c r="H10441" i="1"/>
  <c r="I10441" i="1"/>
  <c r="J10441" i="1"/>
  <c r="K10441" i="1"/>
  <c r="L10441" i="1"/>
  <c r="A10442" i="1"/>
  <c r="B10442" i="1"/>
  <c r="C10442" i="1"/>
  <c r="D10442" i="1"/>
  <c r="E10442" i="1"/>
  <c r="F10442" i="1"/>
  <c r="G10442" i="1"/>
  <c r="H10442" i="1"/>
  <c r="I10442" i="1"/>
  <c r="J10442" i="1"/>
  <c r="K10442" i="1"/>
  <c r="L10442" i="1"/>
  <c r="A10443" i="1"/>
  <c r="B10443" i="1"/>
  <c r="C10443" i="1"/>
  <c r="D10443" i="1"/>
  <c r="E10443" i="1"/>
  <c r="F10443" i="1"/>
  <c r="G10443" i="1"/>
  <c r="H10443" i="1"/>
  <c r="I10443" i="1"/>
  <c r="J10443" i="1"/>
  <c r="K10443" i="1"/>
  <c r="L10443" i="1"/>
  <c r="A10444" i="1"/>
  <c r="B10444" i="1"/>
  <c r="C10444" i="1"/>
  <c r="D10444" i="1"/>
  <c r="E10444" i="1"/>
  <c r="F10444" i="1"/>
  <c r="G10444" i="1"/>
  <c r="H10444" i="1"/>
  <c r="I10444" i="1"/>
  <c r="J10444" i="1"/>
  <c r="K10444" i="1"/>
  <c r="L10444" i="1"/>
  <c r="A10445" i="1"/>
  <c r="B10445" i="1"/>
  <c r="C10445" i="1"/>
  <c r="D10445" i="1"/>
  <c r="E10445" i="1"/>
  <c r="F10445" i="1"/>
  <c r="G10445" i="1"/>
  <c r="H10445" i="1"/>
  <c r="I10445" i="1"/>
  <c r="J10445" i="1"/>
  <c r="K10445" i="1"/>
  <c r="L10445" i="1"/>
  <c r="A10446" i="1"/>
  <c r="B10446" i="1"/>
  <c r="C10446" i="1"/>
  <c r="D10446" i="1"/>
  <c r="E10446" i="1"/>
  <c r="F10446" i="1"/>
  <c r="G10446" i="1"/>
  <c r="H10446" i="1"/>
  <c r="I10446" i="1"/>
  <c r="J10446" i="1"/>
  <c r="K10446" i="1"/>
  <c r="L10446" i="1"/>
  <c r="A10447" i="1"/>
  <c r="B10447" i="1"/>
  <c r="C10447" i="1"/>
  <c r="D10447" i="1"/>
  <c r="E10447" i="1"/>
  <c r="F10447" i="1"/>
  <c r="G10447" i="1"/>
  <c r="H10447" i="1"/>
  <c r="I10447" i="1"/>
  <c r="J10447" i="1"/>
  <c r="K10447" i="1"/>
  <c r="L10447" i="1"/>
  <c r="A10448" i="1"/>
  <c r="B10448" i="1"/>
  <c r="C10448" i="1"/>
  <c r="D10448" i="1"/>
  <c r="E10448" i="1"/>
  <c r="F10448" i="1"/>
  <c r="G10448" i="1"/>
  <c r="H10448" i="1"/>
  <c r="I10448" i="1"/>
  <c r="J10448" i="1"/>
  <c r="K10448" i="1"/>
  <c r="L10448" i="1"/>
  <c r="A10449" i="1"/>
  <c r="B10449" i="1"/>
  <c r="C10449" i="1"/>
  <c r="D10449" i="1"/>
  <c r="E10449" i="1"/>
  <c r="F10449" i="1"/>
  <c r="G10449" i="1"/>
  <c r="H10449" i="1"/>
  <c r="I10449" i="1"/>
  <c r="J10449" i="1"/>
  <c r="K10449" i="1"/>
  <c r="L10449" i="1"/>
  <c r="A10450" i="1"/>
  <c r="B10450" i="1"/>
  <c r="C10450" i="1"/>
  <c r="D10450" i="1"/>
  <c r="E10450" i="1"/>
  <c r="F10450" i="1"/>
  <c r="G10450" i="1"/>
  <c r="H10450" i="1"/>
  <c r="I10450" i="1"/>
  <c r="J10450" i="1"/>
  <c r="K10450" i="1"/>
  <c r="L10450" i="1"/>
  <c r="A10451" i="1"/>
  <c r="B10451" i="1"/>
  <c r="C10451" i="1"/>
  <c r="D10451" i="1"/>
  <c r="E10451" i="1"/>
  <c r="F10451" i="1"/>
  <c r="G10451" i="1"/>
  <c r="H10451" i="1"/>
  <c r="I10451" i="1"/>
  <c r="J10451" i="1"/>
  <c r="K10451" i="1"/>
  <c r="L10451" i="1"/>
  <c r="A10452" i="1"/>
  <c r="B10452" i="1"/>
  <c r="C10452" i="1"/>
  <c r="D10452" i="1"/>
  <c r="E10452" i="1"/>
  <c r="F10452" i="1"/>
  <c r="G10452" i="1"/>
  <c r="H10452" i="1"/>
  <c r="I10452" i="1"/>
  <c r="J10452" i="1"/>
  <c r="K10452" i="1"/>
  <c r="L10452" i="1"/>
  <c r="A10453" i="1"/>
  <c r="B10453" i="1"/>
  <c r="C10453" i="1"/>
  <c r="D10453" i="1"/>
  <c r="E10453" i="1"/>
  <c r="F10453" i="1"/>
  <c r="G10453" i="1"/>
  <c r="H10453" i="1"/>
  <c r="I10453" i="1"/>
  <c r="J10453" i="1"/>
  <c r="K10453" i="1"/>
  <c r="L10453" i="1"/>
  <c r="A10454" i="1"/>
  <c r="B10454" i="1"/>
  <c r="C10454" i="1"/>
  <c r="D10454" i="1"/>
  <c r="E10454" i="1"/>
  <c r="F10454" i="1"/>
  <c r="G10454" i="1"/>
  <c r="H10454" i="1"/>
  <c r="I10454" i="1"/>
  <c r="J10454" i="1"/>
  <c r="K10454" i="1"/>
  <c r="L10454" i="1"/>
  <c r="A10455" i="1"/>
  <c r="B10455" i="1"/>
  <c r="C10455" i="1"/>
  <c r="D10455" i="1"/>
  <c r="E10455" i="1"/>
  <c r="F10455" i="1"/>
  <c r="G10455" i="1"/>
  <c r="H10455" i="1"/>
  <c r="I10455" i="1"/>
  <c r="J10455" i="1"/>
  <c r="K10455" i="1"/>
  <c r="L10455" i="1"/>
  <c r="A10456" i="1"/>
  <c r="B10456" i="1"/>
  <c r="C10456" i="1"/>
  <c r="D10456" i="1"/>
  <c r="E10456" i="1"/>
  <c r="F10456" i="1"/>
  <c r="G10456" i="1"/>
  <c r="H10456" i="1"/>
  <c r="I10456" i="1"/>
  <c r="J10456" i="1"/>
  <c r="K10456" i="1"/>
  <c r="L10456" i="1"/>
  <c r="A10457" i="1"/>
  <c r="B10457" i="1"/>
  <c r="C10457" i="1"/>
  <c r="D10457" i="1"/>
  <c r="E10457" i="1"/>
  <c r="F10457" i="1"/>
  <c r="G10457" i="1"/>
  <c r="H10457" i="1"/>
  <c r="I10457" i="1"/>
  <c r="J10457" i="1"/>
  <c r="K10457" i="1"/>
  <c r="L10457" i="1"/>
  <c r="A10458" i="1"/>
  <c r="B10458" i="1"/>
  <c r="C10458" i="1"/>
  <c r="D10458" i="1"/>
  <c r="E10458" i="1"/>
  <c r="F10458" i="1"/>
  <c r="G10458" i="1"/>
  <c r="H10458" i="1"/>
  <c r="I10458" i="1"/>
  <c r="J10458" i="1"/>
  <c r="K10458" i="1"/>
  <c r="L10458" i="1"/>
  <c r="A10459" i="1"/>
  <c r="B10459" i="1"/>
  <c r="C10459" i="1"/>
  <c r="D10459" i="1"/>
  <c r="E10459" i="1"/>
  <c r="F10459" i="1"/>
  <c r="G10459" i="1"/>
  <c r="H10459" i="1"/>
  <c r="I10459" i="1"/>
  <c r="J10459" i="1"/>
  <c r="K10459" i="1"/>
  <c r="L10459" i="1"/>
  <c r="A10460" i="1"/>
  <c r="B10460" i="1"/>
  <c r="C10460" i="1"/>
  <c r="D10460" i="1"/>
  <c r="E10460" i="1"/>
  <c r="F10460" i="1"/>
  <c r="G10460" i="1"/>
  <c r="H10460" i="1"/>
  <c r="I10460" i="1"/>
  <c r="J10460" i="1"/>
  <c r="K10460" i="1"/>
  <c r="L10460" i="1"/>
  <c r="A10461" i="1"/>
  <c r="B10461" i="1"/>
  <c r="C10461" i="1"/>
  <c r="D10461" i="1"/>
  <c r="E10461" i="1"/>
  <c r="F10461" i="1"/>
  <c r="G10461" i="1"/>
  <c r="H10461" i="1"/>
  <c r="I10461" i="1"/>
  <c r="J10461" i="1"/>
  <c r="K10461" i="1"/>
  <c r="L10461" i="1"/>
  <c r="A10462" i="1"/>
  <c r="B10462" i="1"/>
  <c r="C10462" i="1"/>
  <c r="D10462" i="1"/>
  <c r="E10462" i="1"/>
  <c r="F10462" i="1"/>
  <c r="G10462" i="1"/>
  <c r="H10462" i="1"/>
  <c r="I10462" i="1"/>
  <c r="J10462" i="1"/>
  <c r="K10462" i="1"/>
  <c r="L10462" i="1"/>
  <c r="A10463" i="1"/>
  <c r="B10463" i="1"/>
  <c r="C10463" i="1"/>
  <c r="D10463" i="1"/>
  <c r="E10463" i="1"/>
  <c r="F10463" i="1"/>
  <c r="G10463" i="1"/>
  <c r="H10463" i="1"/>
  <c r="I10463" i="1"/>
  <c r="J10463" i="1"/>
  <c r="K10463" i="1"/>
  <c r="L10463" i="1"/>
  <c r="A10464" i="1"/>
  <c r="B10464" i="1"/>
  <c r="C10464" i="1"/>
  <c r="D10464" i="1"/>
  <c r="E10464" i="1"/>
  <c r="F10464" i="1"/>
  <c r="G10464" i="1"/>
  <c r="H10464" i="1"/>
  <c r="I10464" i="1"/>
  <c r="J10464" i="1"/>
  <c r="K10464" i="1"/>
  <c r="L10464" i="1"/>
  <c r="A10465" i="1"/>
  <c r="B10465" i="1"/>
  <c r="C10465" i="1"/>
  <c r="D10465" i="1"/>
  <c r="E10465" i="1"/>
  <c r="F10465" i="1"/>
  <c r="G10465" i="1"/>
  <c r="H10465" i="1"/>
  <c r="I10465" i="1"/>
  <c r="J10465" i="1"/>
  <c r="K10465" i="1"/>
  <c r="L10465" i="1"/>
  <c r="A10466" i="1"/>
  <c r="B10466" i="1"/>
  <c r="C10466" i="1"/>
  <c r="D10466" i="1"/>
  <c r="E10466" i="1"/>
  <c r="F10466" i="1"/>
  <c r="G10466" i="1"/>
  <c r="H10466" i="1"/>
  <c r="I10466" i="1"/>
  <c r="J10466" i="1"/>
  <c r="K10466" i="1"/>
  <c r="L10466" i="1"/>
  <c r="A10467" i="1"/>
  <c r="B10467" i="1"/>
  <c r="C10467" i="1"/>
  <c r="D10467" i="1"/>
  <c r="E10467" i="1"/>
  <c r="F10467" i="1"/>
  <c r="G10467" i="1"/>
  <c r="H10467" i="1"/>
  <c r="I10467" i="1"/>
  <c r="J10467" i="1"/>
  <c r="K10467" i="1"/>
  <c r="L10467" i="1"/>
  <c r="A10468" i="1"/>
  <c r="B10468" i="1"/>
  <c r="C10468" i="1"/>
  <c r="D10468" i="1"/>
  <c r="E10468" i="1"/>
  <c r="F10468" i="1"/>
  <c r="G10468" i="1"/>
  <c r="H10468" i="1"/>
  <c r="I10468" i="1"/>
  <c r="J10468" i="1"/>
  <c r="K10468" i="1"/>
  <c r="L10468" i="1"/>
  <c r="A10469" i="1"/>
  <c r="B10469" i="1"/>
  <c r="C10469" i="1"/>
  <c r="D10469" i="1"/>
  <c r="E10469" i="1"/>
  <c r="F10469" i="1"/>
  <c r="G10469" i="1"/>
  <c r="H10469" i="1"/>
  <c r="I10469" i="1"/>
  <c r="J10469" i="1"/>
  <c r="K10469" i="1"/>
  <c r="L10469" i="1"/>
  <c r="A10470" i="1"/>
  <c r="B10470" i="1"/>
  <c r="C10470" i="1"/>
  <c r="D10470" i="1"/>
  <c r="E10470" i="1"/>
  <c r="F10470" i="1"/>
  <c r="G10470" i="1"/>
  <c r="H10470" i="1"/>
  <c r="I10470" i="1"/>
  <c r="J10470" i="1"/>
  <c r="K10470" i="1"/>
  <c r="L10470" i="1"/>
  <c r="A10471" i="1"/>
  <c r="B10471" i="1"/>
  <c r="C10471" i="1"/>
  <c r="D10471" i="1"/>
  <c r="E10471" i="1"/>
  <c r="F10471" i="1"/>
  <c r="G10471" i="1"/>
  <c r="H10471" i="1"/>
  <c r="I10471" i="1"/>
  <c r="J10471" i="1"/>
  <c r="K10471" i="1"/>
  <c r="L10471" i="1"/>
  <c r="A10472" i="1"/>
  <c r="B10472" i="1"/>
  <c r="C10472" i="1"/>
  <c r="D10472" i="1"/>
  <c r="E10472" i="1"/>
  <c r="F10472" i="1"/>
  <c r="G10472" i="1"/>
  <c r="H10472" i="1"/>
  <c r="I10472" i="1"/>
  <c r="J10472" i="1"/>
  <c r="K10472" i="1"/>
  <c r="L10472" i="1"/>
  <c r="A10473" i="1"/>
  <c r="B10473" i="1"/>
  <c r="C10473" i="1"/>
  <c r="D10473" i="1"/>
  <c r="E10473" i="1"/>
  <c r="F10473" i="1"/>
  <c r="G10473" i="1"/>
  <c r="H10473" i="1"/>
  <c r="I10473" i="1"/>
  <c r="J10473" i="1"/>
  <c r="K10473" i="1"/>
  <c r="L10473" i="1"/>
  <c r="A10474" i="1"/>
  <c r="B10474" i="1"/>
  <c r="C10474" i="1"/>
  <c r="D10474" i="1"/>
  <c r="E10474" i="1"/>
  <c r="F10474" i="1"/>
  <c r="G10474" i="1"/>
  <c r="H10474" i="1"/>
  <c r="I10474" i="1"/>
  <c r="J10474" i="1"/>
  <c r="K10474" i="1"/>
  <c r="L10474" i="1"/>
  <c r="A10475" i="1"/>
  <c r="B10475" i="1"/>
  <c r="C10475" i="1"/>
  <c r="D10475" i="1"/>
  <c r="E10475" i="1"/>
  <c r="F10475" i="1"/>
  <c r="G10475" i="1"/>
  <c r="H10475" i="1"/>
  <c r="I10475" i="1"/>
  <c r="J10475" i="1"/>
  <c r="K10475" i="1"/>
  <c r="L10475" i="1"/>
  <c r="A10476" i="1"/>
  <c r="B10476" i="1"/>
  <c r="C10476" i="1"/>
  <c r="D10476" i="1"/>
  <c r="E10476" i="1"/>
  <c r="F10476" i="1"/>
  <c r="G10476" i="1"/>
  <c r="H10476" i="1"/>
  <c r="I10476" i="1"/>
  <c r="J10476" i="1"/>
  <c r="K10476" i="1"/>
  <c r="L10476" i="1"/>
  <c r="A10477" i="1"/>
  <c r="B10477" i="1"/>
  <c r="C10477" i="1"/>
  <c r="D10477" i="1"/>
  <c r="E10477" i="1"/>
  <c r="F10477" i="1"/>
  <c r="G10477" i="1"/>
  <c r="H10477" i="1"/>
  <c r="I10477" i="1"/>
  <c r="J10477" i="1"/>
  <c r="K10477" i="1"/>
  <c r="L10477" i="1"/>
  <c r="A10478" i="1"/>
  <c r="B10478" i="1"/>
  <c r="C10478" i="1"/>
  <c r="D10478" i="1"/>
  <c r="E10478" i="1"/>
  <c r="F10478" i="1"/>
  <c r="G10478" i="1"/>
  <c r="H10478" i="1"/>
  <c r="I10478" i="1"/>
  <c r="J10478" i="1"/>
  <c r="K10478" i="1"/>
  <c r="L10478" i="1"/>
  <c r="A10479" i="1"/>
  <c r="B10479" i="1"/>
  <c r="C10479" i="1"/>
  <c r="D10479" i="1"/>
  <c r="E10479" i="1"/>
  <c r="F10479" i="1"/>
  <c r="G10479" i="1"/>
  <c r="H10479" i="1"/>
  <c r="I10479" i="1"/>
  <c r="J10479" i="1"/>
  <c r="K10479" i="1"/>
  <c r="L10479" i="1"/>
  <c r="A10480" i="1"/>
  <c r="B10480" i="1"/>
  <c r="C10480" i="1"/>
  <c r="D10480" i="1"/>
  <c r="E10480" i="1"/>
  <c r="F10480" i="1"/>
  <c r="G10480" i="1"/>
  <c r="H10480" i="1"/>
  <c r="I10480" i="1"/>
  <c r="J10480" i="1"/>
  <c r="K10480" i="1"/>
  <c r="L10480" i="1"/>
  <c r="A10481" i="1"/>
  <c r="B10481" i="1"/>
  <c r="C10481" i="1"/>
  <c r="D10481" i="1"/>
  <c r="E10481" i="1"/>
  <c r="F10481" i="1"/>
  <c r="G10481" i="1"/>
  <c r="H10481" i="1"/>
  <c r="I10481" i="1"/>
  <c r="J10481" i="1"/>
  <c r="K10481" i="1"/>
  <c r="L10481" i="1"/>
  <c r="A10482" i="1"/>
  <c r="B10482" i="1"/>
  <c r="C10482" i="1"/>
  <c r="D10482" i="1"/>
  <c r="E10482" i="1"/>
  <c r="F10482" i="1"/>
  <c r="G10482" i="1"/>
  <c r="H10482" i="1"/>
  <c r="I10482" i="1"/>
  <c r="J10482" i="1"/>
  <c r="K10482" i="1"/>
  <c r="L10482" i="1"/>
  <c r="A10483" i="1"/>
  <c r="B10483" i="1"/>
  <c r="C10483" i="1"/>
  <c r="D10483" i="1"/>
  <c r="E10483" i="1"/>
  <c r="F10483" i="1"/>
  <c r="G10483" i="1"/>
  <c r="H10483" i="1"/>
  <c r="I10483" i="1"/>
  <c r="J10483" i="1"/>
  <c r="K10483" i="1"/>
  <c r="L10483" i="1"/>
  <c r="A10484" i="1"/>
  <c r="B10484" i="1"/>
  <c r="C10484" i="1"/>
  <c r="D10484" i="1"/>
  <c r="E10484" i="1"/>
  <c r="F10484" i="1"/>
  <c r="G10484" i="1"/>
  <c r="H10484" i="1"/>
  <c r="I10484" i="1"/>
  <c r="J10484" i="1"/>
  <c r="K10484" i="1"/>
  <c r="L10484" i="1"/>
  <c r="A10485" i="1"/>
  <c r="B10485" i="1"/>
  <c r="C10485" i="1"/>
  <c r="D10485" i="1"/>
  <c r="E10485" i="1"/>
  <c r="F10485" i="1"/>
  <c r="G10485" i="1"/>
  <c r="H10485" i="1"/>
  <c r="I10485" i="1"/>
  <c r="J10485" i="1"/>
  <c r="K10485" i="1"/>
  <c r="L10485" i="1"/>
  <c r="A10486" i="1"/>
  <c r="B10486" i="1"/>
  <c r="C10486" i="1"/>
  <c r="D10486" i="1"/>
  <c r="E10486" i="1"/>
  <c r="F10486" i="1"/>
  <c r="G10486" i="1"/>
  <c r="H10486" i="1"/>
  <c r="I10486" i="1"/>
  <c r="J10486" i="1"/>
  <c r="K10486" i="1"/>
  <c r="L10486" i="1"/>
  <c r="A10487" i="1"/>
  <c r="B10487" i="1"/>
  <c r="C10487" i="1"/>
  <c r="D10487" i="1"/>
  <c r="E10487" i="1"/>
  <c r="F10487" i="1"/>
  <c r="G10487" i="1"/>
  <c r="H10487" i="1"/>
  <c r="I10487" i="1"/>
  <c r="J10487" i="1"/>
  <c r="K10487" i="1"/>
  <c r="L10487" i="1"/>
  <c r="A10488" i="1"/>
  <c r="B10488" i="1"/>
  <c r="C10488" i="1"/>
  <c r="D10488" i="1"/>
  <c r="E10488" i="1"/>
  <c r="F10488" i="1"/>
  <c r="G10488" i="1"/>
  <c r="H10488" i="1"/>
  <c r="I10488" i="1"/>
  <c r="J10488" i="1"/>
  <c r="K10488" i="1"/>
  <c r="L10488" i="1"/>
  <c r="A10489" i="1"/>
  <c r="B10489" i="1"/>
  <c r="C10489" i="1"/>
  <c r="D10489" i="1"/>
  <c r="E10489" i="1"/>
  <c r="F10489" i="1"/>
  <c r="G10489" i="1"/>
  <c r="H10489" i="1"/>
  <c r="I10489" i="1"/>
  <c r="J10489" i="1"/>
  <c r="K10489" i="1"/>
  <c r="L10489" i="1"/>
  <c r="A10490" i="1"/>
  <c r="B10490" i="1"/>
  <c r="C10490" i="1"/>
  <c r="D10490" i="1"/>
  <c r="E10490" i="1"/>
  <c r="F10490" i="1"/>
  <c r="G10490" i="1"/>
  <c r="H10490" i="1"/>
  <c r="I10490" i="1"/>
  <c r="J10490" i="1"/>
  <c r="K10490" i="1"/>
  <c r="L10490" i="1"/>
  <c r="A10491" i="1"/>
  <c r="B10491" i="1"/>
  <c r="C10491" i="1"/>
  <c r="D10491" i="1"/>
  <c r="E10491" i="1"/>
  <c r="F10491" i="1"/>
  <c r="G10491" i="1"/>
  <c r="H10491" i="1"/>
  <c r="I10491" i="1"/>
  <c r="J10491" i="1"/>
  <c r="K10491" i="1"/>
  <c r="L10491" i="1"/>
  <c r="A10492" i="1"/>
  <c r="B10492" i="1"/>
  <c r="C10492" i="1"/>
  <c r="D10492" i="1"/>
  <c r="E10492" i="1"/>
  <c r="F10492" i="1"/>
  <c r="G10492" i="1"/>
  <c r="H10492" i="1"/>
  <c r="I10492" i="1"/>
  <c r="J10492" i="1"/>
  <c r="K10492" i="1"/>
  <c r="L10492" i="1"/>
  <c r="A10493" i="1"/>
  <c r="B10493" i="1"/>
  <c r="C10493" i="1"/>
  <c r="D10493" i="1"/>
  <c r="E10493" i="1"/>
  <c r="F10493" i="1"/>
  <c r="G10493" i="1"/>
  <c r="H10493" i="1"/>
  <c r="I10493" i="1"/>
  <c r="J10493" i="1"/>
  <c r="K10493" i="1"/>
  <c r="L10493" i="1"/>
  <c r="A10494" i="1"/>
  <c r="B10494" i="1"/>
  <c r="C10494" i="1"/>
  <c r="D10494" i="1"/>
  <c r="E10494" i="1"/>
  <c r="F10494" i="1"/>
  <c r="G10494" i="1"/>
  <c r="H10494" i="1"/>
  <c r="I10494" i="1"/>
  <c r="J10494" i="1"/>
  <c r="K10494" i="1"/>
  <c r="L10494" i="1"/>
  <c r="A10495" i="1"/>
  <c r="B10495" i="1"/>
  <c r="C10495" i="1"/>
  <c r="D10495" i="1"/>
  <c r="E10495" i="1"/>
  <c r="F10495" i="1"/>
  <c r="G10495" i="1"/>
  <c r="H10495" i="1"/>
  <c r="I10495" i="1"/>
  <c r="J10495" i="1"/>
  <c r="K10495" i="1"/>
  <c r="L10495" i="1"/>
  <c r="A10496" i="1"/>
  <c r="B10496" i="1"/>
  <c r="C10496" i="1"/>
  <c r="D10496" i="1"/>
  <c r="E10496" i="1"/>
  <c r="F10496" i="1"/>
  <c r="G10496" i="1"/>
  <c r="H10496" i="1"/>
  <c r="I10496" i="1"/>
  <c r="J10496" i="1"/>
  <c r="K10496" i="1"/>
  <c r="L10496" i="1"/>
  <c r="A10497" i="1"/>
  <c r="B10497" i="1"/>
  <c r="C10497" i="1"/>
  <c r="D10497" i="1"/>
  <c r="E10497" i="1"/>
  <c r="F10497" i="1"/>
  <c r="G10497" i="1"/>
  <c r="H10497" i="1"/>
  <c r="I10497" i="1"/>
  <c r="J10497" i="1"/>
  <c r="K10497" i="1"/>
  <c r="L10497" i="1"/>
  <c r="A10498" i="1"/>
  <c r="B10498" i="1"/>
  <c r="C10498" i="1"/>
  <c r="D10498" i="1"/>
  <c r="E10498" i="1"/>
  <c r="F10498" i="1"/>
  <c r="G10498" i="1"/>
  <c r="H10498" i="1"/>
  <c r="I10498" i="1"/>
  <c r="J10498" i="1"/>
  <c r="K10498" i="1"/>
  <c r="L10498" i="1"/>
  <c r="A10499" i="1"/>
  <c r="B10499" i="1"/>
  <c r="C10499" i="1"/>
  <c r="D10499" i="1"/>
  <c r="E10499" i="1"/>
  <c r="F10499" i="1"/>
  <c r="G10499" i="1"/>
  <c r="H10499" i="1"/>
  <c r="I10499" i="1"/>
  <c r="J10499" i="1"/>
  <c r="K10499" i="1"/>
  <c r="L10499" i="1"/>
  <c r="A10500" i="1"/>
  <c r="B10500" i="1"/>
  <c r="C10500" i="1"/>
  <c r="D10500" i="1"/>
  <c r="E10500" i="1"/>
  <c r="F10500" i="1"/>
  <c r="G10500" i="1"/>
  <c r="H10500" i="1"/>
  <c r="I10500" i="1"/>
  <c r="J10500" i="1"/>
  <c r="K10500" i="1"/>
  <c r="L10500" i="1"/>
  <c r="A10501" i="1"/>
  <c r="B10501" i="1"/>
  <c r="C10501" i="1"/>
  <c r="D10501" i="1"/>
  <c r="E10501" i="1"/>
  <c r="F10501" i="1"/>
  <c r="G10501" i="1"/>
  <c r="H10501" i="1"/>
  <c r="I10501" i="1"/>
  <c r="J10501" i="1"/>
  <c r="K10501" i="1"/>
  <c r="L10501" i="1"/>
  <c r="A10502" i="1"/>
  <c r="B10502" i="1"/>
  <c r="C10502" i="1"/>
  <c r="D10502" i="1"/>
  <c r="E10502" i="1"/>
  <c r="F10502" i="1"/>
  <c r="G10502" i="1"/>
  <c r="H10502" i="1"/>
  <c r="I10502" i="1"/>
  <c r="J10502" i="1"/>
  <c r="K10502" i="1"/>
  <c r="L10502" i="1"/>
  <c r="A10503" i="1"/>
  <c r="B10503" i="1"/>
  <c r="C10503" i="1"/>
  <c r="D10503" i="1"/>
  <c r="E10503" i="1"/>
  <c r="F10503" i="1"/>
  <c r="G10503" i="1"/>
  <c r="H10503" i="1"/>
  <c r="I10503" i="1"/>
  <c r="J10503" i="1"/>
  <c r="K10503" i="1"/>
  <c r="L10503" i="1"/>
  <c r="A10504" i="1"/>
  <c r="B10504" i="1"/>
  <c r="C10504" i="1"/>
  <c r="D10504" i="1"/>
  <c r="E10504" i="1"/>
  <c r="F10504" i="1"/>
  <c r="G10504" i="1"/>
  <c r="H10504" i="1"/>
  <c r="I10504" i="1"/>
  <c r="J10504" i="1"/>
  <c r="K10504" i="1"/>
  <c r="L10504" i="1"/>
  <c r="A10505" i="1"/>
  <c r="B10505" i="1"/>
  <c r="C10505" i="1"/>
  <c r="D10505" i="1"/>
  <c r="E10505" i="1"/>
  <c r="F10505" i="1"/>
  <c r="G10505" i="1"/>
  <c r="H10505" i="1"/>
  <c r="I10505" i="1"/>
  <c r="J10505" i="1"/>
  <c r="K10505" i="1"/>
  <c r="L10505" i="1"/>
  <c r="A10506" i="1"/>
  <c r="B10506" i="1"/>
  <c r="C10506" i="1"/>
  <c r="D10506" i="1"/>
  <c r="E10506" i="1"/>
  <c r="F10506" i="1"/>
  <c r="G10506" i="1"/>
  <c r="H10506" i="1"/>
  <c r="I10506" i="1"/>
  <c r="J10506" i="1"/>
  <c r="K10506" i="1"/>
  <c r="L10506" i="1"/>
  <c r="A10507" i="1"/>
  <c r="B10507" i="1"/>
  <c r="C10507" i="1"/>
  <c r="D10507" i="1"/>
  <c r="E10507" i="1"/>
  <c r="F10507" i="1"/>
  <c r="G10507" i="1"/>
  <c r="H10507" i="1"/>
  <c r="I10507" i="1"/>
  <c r="J10507" i="1"/>
  <c r="K10507" i="1"/>
  <c r="L10507" i="1"/>
  <c r="A10508" i="1"/>
  <c r="B10508" i="1"/>
  <c r="C10508" i="1"/>
  <c r="D10508" i="1"/>
  <c r="E10508" i="1"/>
  <c r="F10508" i="1"/>
  <c r="G10508" i="1"/>
  <c r="H10508" i="1"/>
  <c r="I10508" i="1"/>
  <c r="J10508" i="1"/>
  <c r="K10508" i="1"/>
  <c r="L10508" i="1"/>
  <c r="A10509" i="1"/>
  <c r="B10509" i="1"/>
  <c r="C10509" i="1"/>
  <c r="D10509" i="1"/>
  <c r="E10509" i="1"/>
  <c r="F10509" i="1"/>
  <c r="G10509" i="1"/>
  <c r="H10509" i="1"/>
  <c r="I10509" i="1"/>
  <c r="J10509" i="1"/>
  <c r="K10509" i="1"/>
  <c r="L10509" i="1"/>
  <c r="A10510" i="1"/>
  <c r="B10510" i="1"/>
  <c r="C10510" i="1"/>
  <c r="D10510" i="1"/>
  <c r="E10510" i="1"/>
  <c r="F10510" i="1"/>
  <c r="G10510" i="1"/>
  <c r="H10510" i="1"/>
  <c r="I10510" i="1"/>
  <c r="J10510" i="1"/>
  <c r="K10510" i="1"/>
  <c r="L10510" i="1"/>
  <c r="A10511" i="1"/>
  <c r="B10511" i="1"/>
  <c r="C10511" i="1"/>
  <c r="D10511" i="1"/>
  <c r="E10511" i="1"/>
  <c r="F10511" i="1"/>
  <c r="G10511" i="1"/>
  <c r="H10511" i="1"/>
  <c r="I10511" i="1"/>
  <c r="J10511" i="1"/>
  <c r="K10511" i="1"/>
  <c r="L10511" i="1"/>
  <c r="A10512" i="1"/>
  <c r="B10512" i="1"/>
  <c r="C10512" i="1"/>
  <c r="D10512" i="1"/>
  <c r="E10512" i="1"/>
  <c r="F10512" i="1"/>
  <c r="G10512" i="1"/>
  <c r="H10512" i="1"/>
  <c r="I10512" i="1"/>
  <c r="J10512" i="1"/>
  <c r="K10512" i="1"/>
  <c r="L10512" i="1"/>
  <c r="A10513" i="1"/>
  <c r="B10513" i="1"/>
  <c r="C10513" i="1"/>
  <c r="D10513" i="1"/>
  <c r="E10513" i="1"/>
  <c r="F10513" i="1"/>
  <c r="G10513" i="1"/>
  <c r="H10513" i="1"/>
  <c r="I10513" i="1"/>
  <c r="J10513" i="1"/>
  <c r="K10513" i="1"/>
  <c r="L10513" i="1"/>
  <c r="A10514" i="1"/>
  <c r="B10514" i="1"/>
  <c r="C10514" i="1"/>
  <c r="D10514" i="1"/>
  <c r="E10514" i="1"/>
  <c r="F10514" i="1"/>
  <c r="G10514" i="1"/>
  <c r="H10514" i="1"/>
  <c r="I10514" i="1"/>
  <c r="J10514" i="1"/>
  <c r="K10514" i="1"/>
  <c r="L10514" i="1"/>
  <c r="A10515" i="1"/>
  <c r="B10515" i="1"/>
  <c r="C10515" i="1"/>
  <c r="D10515" i="1"/>
  <c r="E10515" i="1"/>
  <c r="F10515" i="1"/>
  <c r="G10515" i="1"/>
  <c r="H10515" i="1"/>
  <c r="I10515" i="1"/>
  <c r="J10515" i="1"/>
  <c r="K10515" i="1"/>
  <c r="L10515" i="1"/>
  <c r="A10516" i="1"/>
  <c r="B10516" i="1"/>
  <c r="C10516" i="1"/>
  <c r="D10516" i="1"/>
  <c r="E10516" i="1"/>
  <c r="F10516" i="1"/>
  <c r="G10516" i="1"/>
  <c r="H10516" i="1"/>
  <c r="I10516" i="1"/>
  <c r="J10516" i="1"/>
  <c r="K10516" i="1"/>
  <c r="L10516" i="1"/>
  <c r="A10517" i="1"/>
  <c r="B10517" i="1"/>
  <c r="C10517" i="1"/>
  <c r="D10517" i="1"/>
  <c r="E10517" i="1"/>
  <c r="F10517" i="1"/>
  <c r="G10517" i="1"/>
  <c r="H10517" i="1"/>
  <c r="I10517" i="1"/>
  <c r="J10517" i="1"/>
  <c r="K10517" i="1"/>
  <c r="L10517" i="1"/>
  <c r="A10518" i="1"/>
  <c r="B10518" i="1"/>
  <c r="C10518" i="1"/>
  <c r="D10518" i="1"/>
  <c r="E10518" i="1"/>
  <c r="F10518" i="1"/>
  <c r="G10518" i="1"/>
  <c r="H10518" i="1"/>
  <c r="I10518" i="1"/>
  <c r="J10518" i="1"/>
  <c r="K10518" i="1"/>
  <c r="L10518" i="1"/>
  <c r="A10519" i="1"/>
  <c r="B10519" i="1"/>
  <c r="C10519" i="1"/>
  <c r="D10519" i="1"/>
  <c r="E10519" i="1"/>
  <c r="F10519" i="1"/>
  <c r="G10519" i="1"/>
  <c r="H10519" i="1"/>
  <c r="I10519" i="1"/>
  <c r="J10519" i="1"/>
  <c r="K10519" i="1"/>
  <c r="L10519" i="1"/>
  <c r="A10520" i="1"/>
  <c r="B10520" i="1"/>
  <c r="C10520" i="1"/>
  <c r="D10520" i="1"/>
  <c r="E10520" i="1"/>
  <c r="F10520" i="1"/>
  <c r="G10520" i="1"/>
  <c r="H10520" i="1"/>
  <c r="I10520" i="1"/>
  <c r="J10520" i="1"/>
  <c r="K10520" i="1"/>
  <c r="L10520" i="1"/>
  <c r="A10521" i="1"/>
  <c r="B10521" i="1"/>
  <c r="C10521" i="1"/>
  <c r="D10521" i="1"/>
  <c r="E10521" i="1"/>
  <c r="F10521" i="1"/>
  <c r="G10521" i="1"/>
  <c r="H10521" i="1"/>
  <c r="I10521" i="1"/>
  <c r="J10521" i="1"/>
  <c r="K10521" i="1"/>
  <c r="L10521" i="1"/>
  <c r="A10522" i="1"/>
  <c r="B10522" i="1"/>
  <c r="C10522" i="1"/>
  <c r="D10522" i="1"/>
  <c r="E10522" i="1"/>
  <c r="F10522" i="1"/>
  <c r="G10522" i="1"/>
  <c r="H10522" i="1"/>
  <c r="I10522" i="1"/>
  <c r="J10522" i="1"/>
  <c r="K10522" i="1"/>
  <c r="L10522" i="1"/>
  <c r="A10523" i="1"/>
  <c r="B10523" i="1"/>
  <c r="C10523" i="1"/>
  <c r="D10523" i="1"/>
  <c r="E10523" i="1"/>
  <c r="F10523" i="1"/>
  <c r="G10523" i="1"/>
  <c r="H10523" i="1"/>
  <c r="I10523" i="1"/>
  <c r="J10523" i="1"/>
  <c r="K10523" i="1"/>
  <c r="L10523" i="1"/>
  <c r="A10524" i="1"/>
  <c r="B10524" i="1"/>
  <c r="C10524" i="1"/>
  <c r="D10524" i="1"/>
  <c r="E10524" i="1"/>
  <c r="F10524" i="1"/>
  <c r="G10524" i="1"/>
  <c r="H10524" i="1"/>
  <c r="I10524" i="1"/>
  <c r="J10524" i="1"/>
  <c r="K10524" i="1"/>
  <c r="L10524" i="1"/>
  <c r="A10525" i="1"/>
  <c r="B10525" i="1"/>
  <c r="C10525" i="1"/>
  <c r="D10525" i="1"/>
  <c r="E10525" i="1"/>
  <c r="F10525" i="1"/>
  <c r="G10525" i="1"/>
  <c r="H10525" i="1"/>
  <c r="I10525" i="1"/>
  <c r="J10525" i="1"/>
  <c r="K10525" i="1"/>
  <c r="L10525" i="1"/>
  <c r="A10526" i="1"/>
  <c r="B10526" i="1"/>
  <c r="C10526" i="1"/>
  <c r="D10526" i="1"/>
  <c r="E10526" i="1"/>
  <c r="F10526" i="1"/>
  <c r="G10526" i="1"/>
  <c r="H10526" i="1"/>
  <c r="I10526" i="1"/>
  <c r="J10526" i="1"/>
  <c r="K10526" i="1"/>
  <c r="L10526" i="1"/>
  <c r="A10527" i="1"/>
  <c r="B10527" i="1"/>
  <c r="C10527" i="1"/>
  <c r="D10527" i="1"/>
  <c r="E10527" i="1"/>
  <c r="F10527" i="1"/>
  <c r="G10527" i="1"/>
  <c r="H10527" i="1"/>
  <c r="I10527" i="1"/>
  <c r="J10527" i="1"/>
  <c r="K10527" i="1"/>
  <c r="L10527" i="1"/>
  <c r="A10528" i="1"/>
  <c r="B10528" i="1"/>
  <c r="C10528" i="1"/>
  <c r="D10528" i="1"/>
  <c r="E10528" i="1"/>
  <c r="F10528" i="1"/>
  <c r="G10528" i="1"/>
  <c r="H10528" i="1"/>
  <c r="I10528" i="1"/>
  <c r="J10528" i="1"/>
  <c r="K10528" i="1"/>
  <c r="L10528" i="1"/>
  <c r="A10529" i="1"/>
  <c r="B10529" i="1"/>
  <c r="C10529" i="1"/>
  <c r="D10529" i="1"/>
  <c r="E10529" i="1"/>
  <c r="F10529" i="1"/>
  <c r="G10529" i="1"/>
  <c r="H10529" i="1"/>
  <c r="I10529" i="1"/>
  <c r="J10529" i="1"/>
  <c r="K10529" i="1"/>
  <c r="L10529" i="1"/>
  <c r="A10530" i="1"/>
  <c r="B10530" i="1"/>
  <c r="C10530" i="1"/>
  <c r="D10530" i="1"/>
  <c r="E10530" i="1"/>
  <c r="F10530" i="1"/>
  <c r="G10530" i="1"/>
  <c r="H10530" i="1"/>
  <c r="I10530" i="1"/>
  <c r="J10530" i="1"/>
  <c r="K10530" i="1"/>
  <c r="L10530" i="1"/>
  <c r="A10531" i="1"/>
  <c r="B10531" i="1"/>
  <c r="C10531" i="1"/>
  <c r="D10531" i="1"/>
  <c r="E10531" i="1"/>
  <c r="F10531" i="1"/>
  <c r="G10531" i="1"/>
  <c r="H10531" i="1"/>
  <c r="I10531" i="1"/>
  <c r="J10531" i="1"/>
  <c r="K10531" i="1"/>
  <c r="L10531" i="1"/>
  <c r="A10532" i="1"/>
  <c r="B10532" i="1"/>
  <c r="C10532" i="1"/>
  <c r="D10532" i="1"/>
  <c r="E10532" i="1"/>
  <c r="F10532" i="1"/>
  <c r="G10532" i="1"/>
  <c r="H10532" i="1"/>
  <c r="I10532" i="1"/>
  <c r="J10532" i="1"/>
  <c r="K10532" i="1"/>
  <c r="L10532" i="1"/>
  <c r="A10533" i="1"/>
  <c r="B10533" i="1"/>
  <c r="C10533" i="1"/>
  <c r="D10533" i="1"/>
  <c r="E10533" i="1"/>
  <c r="F10533" i="1"/>
  <c r="G10533" i="1"/>
  <c r="H10533" i="1"/>
  <c r="I10533" i="1"/>
  <c r="J10533" i="1"/>
  <c r="K10533" i="1"/>
  <c r="L10533" i="1"/>
  <c r="A10534" i="1"/>
  <c r="B10534" i="1"/>
  <c r="C10534" i="1"/>
  <c r="D10534" i="1"/>
  <c r="E10534" i="1"/>
  <c r="F10534" i="1"/>
  <c r="G10534" i="1"/>
  <c r="H10534" i="1"/>
  <c r="I10534" i="1"/>
  <c r="J10534" i="1"/>
  <c r="K10534" i="1"/>
  <c r="L10534" i="1"/>
  <c r="A10535" i="1"/>
  <c r="B10535" i="1"/>
  <c r="C10535" i="1"/>
  <c r="D10535" i="1"/>
  <c r="E10535" i="1"/>
  <c r="F10535" i="1"/>
  <c r="G10535" i="1"/>
  <c r="H10535" i="1"/>
  <c r="I10535" i="1"/>
  <c r="J10535" i="1"/>
  <c r="K10535" i="1"/>
  <c r="L10535" i="1"/>
  <c r="A10536" i="1"/>
  <c r="B10536" i="1"/>
  <c r="C10536" i="1"/>
  <c r="D10536" i="1"/>
  <c r="E10536" i="1"/>
  <c r="F10536" i="1"/>
  <c r="G10536" i="1"/>
  <c r="H10536" i="1"/>
  <c r="I10536" i="1"/>
  <c r="J10536" i="1"/>
  <c r="K10536" i="1"/>
  <c r="L10536" i="1"/>
  <c r="A10537" i="1"/>
  <c r="B10537" i="1"/>
  <c r="C10537" i="1"/>
  <c r="D10537" i="1"/>
  <c r="E10537" i="1"/>
  <c r="F10537" i="1"/>
  <c r="G10537" i="1"/>
  <c r="H10537" i="1"/>
  <c r="I10537" i="1"/>
  <c r="J10537" i="1"/>
  <c r="K10537" i="1"/>
  <c r="L10537" i="1"/>
  <c r="A10538" i="1"/>
  <c r="B10538" i="1"/>
  <c r="C10538" i="1"/>
  <c r="D10538" i="1"/>
  <c r="E10538" i="1"/>
  <c r="F10538" i="1"/>
  <c r="G10538" i="1"/>
  <c r="H10538" i="1"/>
  <c r="I10538" i="1"/>
  <c r="J10538" i="1"/>
  <c r="K10538" i="1"/>
  <c r="L10538" i="1"/>
  <c r="A10539" i="1"/>
  <c r="B10539" i="1"/>
  <c r="C10539" i="1"/>
  <c r="D10539" i="1"/>
  <c r="E10539" i="1"/>
  <c r="F10539" i="1"/>
  <c r="G10539" i="1"/>
  <c r="H10539" i="1"/>
  <c r="I10539" i="1"/>
  <c r="J10539" i="1"/>
  <c r="K10539" i="1"/>
  <c r="L10539" i="1"/>
  <c r="A10540" i="1"/>
  <c r="B10540" i="1"/>
  <c r="C10540" i="1"/>
  <c r="D10540" i="1"/>
  <c r="E10540" i="1"/>
  <c r="F10540" i="1"/>
  <c r="G10540" i="1"/>
  <c r="H10540" i="1"/>
  <c r="I10540" i="1"/>
  <c r="J10540" i="1"/>
  <c r="K10540" i="1"/>
  <c r="L10540" i="1"/>
  <c r="A10541" i="1"/>
  <c r="B10541" i="1"/>
  <c r="C10541" i="1"/>
  <c r="D10541" i="1"/>
  <c r="E10541" i="1"/>
  <c r="F10541" i="1"/>
  <c r="G10541" i="1"/>
  <c r="H10541" i="1"/>
  <c r="I10541" i="1"/>
  <c r="J10541" i="1"/>
  <c r="K10541" i="1"/>
  <c r="L10541" i="1"/>
  <c r="A10542" i="1"/>
  <c r="B10542" i="1"/>
  <c r="C10542" i="1"/>
  <c r="D10542" i="1"/>
  <c r="E10542" i="1"/>
  <c r="F10542" i="1"/>
  <c r="G10542" i="1"/>
  <c r="H10542" i="1"/>
  <c r="I10542" i="1"/>
  <c r="J10542" i="1"/>
  <c r="K10542" i="1"/>
  <c r="L10542" i="1"/>
  <c r="A10543" i="1"/>
  <c r="B10543" i="1"/>
  <c r="C10543" i="1"/>
  <c r="D10543" i="1"/>
  <c r="E10543" i="1"/>
  <c r="F10543" i="1"/>
  <c r="G10543" i="1"/>
  <c r="H10543" i="1"/>
  <c r="I10543" i="1"/>
  <c r="J10543" i="1"/>
  <c r="K10543" i="1"/>
  <c r="L10543" i="1"/>
  <c r="A10544" i="1"/>
  <c r="B10544" i="1"/>
  <c r="C10544" i="1"/>
  <c r="D10544" i="1"/>
  <c r="E10544" i="1"/>
  <c r="F10544" i="1"/>
  <c r="G10544" i="1"/>
  <c r="H10544" i="1"/>
  <c r="I10544" i="1"/>
  <c r="J10544" i="1"/>
  <c r="K10544" i="1"/>
  <c r="L10544" i="1"/>
  <c r="A10545" i="1"/>
  <c r="B10545" i="1"/>
  <c r="C10545" i="1"/>
  <c r="D10545" i="1"/>
  <c r="E10545" i="1"/>
  <c r="F10545" i="1"/>
  <c r="G10545" i="1"/>
  <c r="H10545" i="1"/>
  <c r="I10545" i="1"/>
  <c r="J10545" i="1"/>
  <c r="K10545" i="1"/>
  <c r="L10545" i="1"/>
  <c r="A10546" i="1"/>
  <c r="B10546" i="1"/>
  <c r="C10546" i="1"/>
  <c r="D10546" i="1"/>
  <c r="E10546" i="1"/>
  <c r="F10546" i="1"/>
  <c r="G10546" i="1"/>
  <c r="H10546" i="1"/>
  <c r="I10546" i="1"/>
  <c r="J10546" i="1"/>
  <c r="K10546" i="1"/>
  <c r="L10546" i="1"/>
  <c r="A10547" i="1"/>
  <c r="B10547" i="1"/>
  <c r="C10547" i="1"/>
  <c r="D10547" i="1"/>
  <c r="E10547" i="1"/>
  <c r="F10547" i="1"/>
  <c r="G10547" i="1"/>
  <c r="H10547" i="1"/>
  <c r="I10547" i="1"/>
  <c r="J10547" i="1"/>
  <c r="K10547" i="1"/>
  <c r="L10547" i="1"/>
  <c r="A10548" i="1"/>
  <c r="B10548" i="1"/>
  <c r="C10548" i="1"/>
  <c r="D10548" i="1"/>
  <c r="E10548" i="1"/>
  <c r="F10548" i="1"/>
  <c r="G10548" i="1"/>
  <c r="H10548" i="1"/>
  <c r="I10548" i="1"/>
  <c r="J10548" i="1"/>
  <c r="K10548" i="1"/>
  <c r="L10548" i="1"/>
  <c r="A10549" i="1"/>
  <c r="B10549" i="1"/>
  <c r="C10549" i="1"/>
  <c r="D10549" i="1"/>
  <c r="E10549" i="1"/>
  <c r="F10549" i="1"/>
  <c r="G10549" i="1"/>
  <c r="H10549" i="1"/>
  <c r="I10549" i="1"/>
  <c r="J10549" i="1"/>
  <c r="K10549" i="1"/>
  <c r="L10549" i="1"/>
  <c r="A10550" i="1"/>
  <c r="B10550" i="1"/>
  <c r="C10550" i="1"/>
  <c r="D10550" i="1"/>
  <c r="E10550" i="1"/>
  <c r="F10550" i="1"/>
  <c r="G10550" i="1"/>
  <c r="H10550" i="1"/>
  <c r="I10550" i="1"/>
  <c r="J10550" i="1"/>
  <c r="K10550" i="1"/>
  <c r="L10550" i="1"/>
  <c r="A10551" i="1"/>
  <c r="B10551" i="1"/>
  <c r="C10551" i="1"/>
  <c r="D10551" i="1"/>
  <c r="E10551" i="1"/>
  <c r="F10551" i="1"/>
  <c r="G10551" i="1"/>
  <c r="H10551" i="1"/>
  <c r="I10551" i="1"/>
  <c r="J10551" i="1"/>
  <c r="K10551" i="1"/>
  <c r="L10551" i="1"/>
  <c r="A10552" i="1"/>
  <c r="B10552" i="1"/>
  <c r="C10552" i="1"/>
  <c r="D10552" i="1"/>
  <c r="E10552" i="1"/>
  <c r="F10552" i="1"/>
  <c r="G10552" i="1"/>
  <c r="H10552" i="1"/>
  <c r="I10552" i="1"/>
  <c r="J10552" i="1"/>
  <c r="K10552" i="1"/>
  <c r="L10552" i="1"/>
  <c r="A10553" i="1"/>
  <c r="B10553" i="1"/>
  <c r="C10553" i="1"/>
  <c r="D10553" i="1"/>
  <c r="E10553" i="1"/>
  <c r="F10553" i="1"/>
  <c r="G10553" i="1"/>
  <c r="H10553" i="1"/>
  <c r="I10553" i="1"/>
  <c r="J10553" i="1"/>
  <c r="K10553" i="1"/>
  <c r="L10553" i="1"/>
  <c r="A10554" i="1"/>
  <c r="B10554" i="1"/>
  <c r="C10554" i="1"/>
  <c r="D10554" i="1"/>
  <c r="E10554" i="1"/>
  <c r="F10554" i="1"/>
  <c r="G10554" i="1"/>
  <c r="H10554" i="1"/>
  <c r="I10554" i="1"/>
  <c r="J10554" i="1"/>
  <c r="K10554" i="1"/>
  <c r="L10554" i="1"/>
  <c r="A10555" i="1"/>
  <c r="B10555" i="1"/>
  <c r="C10555" i="1"/>
  <c r="D10555" i="1"/>
  <c r="E10555" i="1"/>
  <c r="F10555" i="1"/>
  <c r="G10555" i="1"/>
  <c r="H10555" i="1"/>
  <c r="I10555" i="1"/>
  <c r="J10555" i="1"/>
  <c r="K10555" i="1"/>
  <c r="L10555" i="1"/>
  <c r="A10556" i="1"/>
  <c r="B10556" i="1"/>
  <c r="C10556" i="1"/>
  <c r="D10556" i="1"/>
  <c r="E10556" i="1"/>
  <c r="F10556" i="1"/>
  <c r="G10556" i="1"/>
  <c r="H10556" i="1"/>
  <c r="I10556" i="1"/>
  <c r="J10556" i="1"/>
  <c r="K10556" i="1"/>
  <c r="L10556" i="1"/>
  <c r="A10557" i="1"/>
  <c r="B10557" i="1"/>
  <c r="C10557" i="1"/>
  <c r="D10557" i="1"/>
  <c r="E10557" i="1"/>
  <c r="F10557" i="1"/>
  <c r="G10557" i="1"/>
  <c r="H10557" i="1"/>
  <c r="I10557" i="1"/>
  <c r="J10557" i="1"/>
  <c r="K10557" i="1"/>
  <c r="L10557" i="1"/>
  <c r="A10558" i="1"/>
  <c r="B10558" i="1"/>
  <c r="C10558" i="1"/>
  <c r="D10558" i="1"/>
  <c r="E10558" i="1"/>
  <c r="F10558" i="1"/>
  <c r="G10558" i="1"/>
  <c r="H10558" i="1"/>
  <c r="I10558" i="1"/>
  <c r="J10558" i="1"/>
  <c r="K10558" i="1"/>
  <c r="L10558" i="1"/>
  <c r="A10559" i="1"/>
  <c r="B10559" i="1"/>
  <c r="C10559" i="1"/>
  <c r="D10559" i="1"/>
  <c r="E10559" i="1"/>
  <c r="F10559" i="1"/>
  <c r="G10559" i="1"/>
  <c r="H10559" i="1"/>
  <c r="I10559" i="1"/>
  <c r="J10559" i="1"/>
  <c r="K10559" i="1"/>
  <c r="L10559" i="1"/>
  <c r="A10560" i="1"/>
  <c r="B10560" i="1"/>
  <c r="C10560" i="1"/>
  <c r="D10560" i="1"/>
  <c r="E10560" i="1"/>
  <c r="F10560" i="1"/>
  <c r="G10560" i="1"/>
  <c r="H10560" i="1"/>
  <c r="I10560" i="1"/>
  <c r="J10560" i="1"/>
  <c r="K10560" i="1"/>
  <c r="L10560" i="1"/>
  <c r="A10561" i="1"/>
  <c r="B10561" i="1"/>
  <c r="C10561" i="1"/>
  <c r="D10561" i="1"/>
  <c r="E10561" i="1"/>
  <c r="F10561" i="1"/>
  <c r="G10561" i="1"/>
  <c r="H10561" i="1"/>
  <c r="I10561" i="1"/>
  <c r="J10561" i="1"/>
  <c r="K10561" i="1"/>
  <c r="L10561" i="1"/>
  <c r="A10562" i="1"/>
  <c r="B10562" i="1"/>
  <c r="C10562" i="1"/>
  <c r="D10562" i="1"/>
  <c r="E10562" i="1"/>
  <c r="F10562" i="1"/>
  <c r="G10562" i="1"/>
  <c r="H10562" i="1"/>
  <c r="I10562" i="1"/>
  <c r="J10562" i="1"/>
  <c r="K10562" i="1"/>
  <c r="L10562" i="1"/>
  <c r="A10563" i="1"/>
  <c r="B10563" i="1"/>
  <c r="C10563" i="1"/>
  <c r="D10563" i="1"/>
  <c r="E10563" i="1"/>
  <c r="F10563" i="1"/>
  <c r="G10563" i="1"/>
  <c r="H10563" i="1"/>
  <c r="I10563" i="1"/>
  <c r="J10563" i="1"/>
  <c r="K10563" i="1"/>
  <c r="L10563" i="1"/>
  <c r="A10564" i="1"/>
  <c r="B10564" i="1"/>
  <c r="C10564" i="1"/>
  <c r="D10564" i="1"/>
  <c r="E10564" i="1"/>
  <c r="F10564" i="1"/>
  <c r="G10564" i="1"/>
  <c r="H10564" i="1"/>
  <c r="I10564" i="1"/>
  <c r="J10564" i="1"/>
  <c r="K10564" i="1"/>
  <c r="L10564" i="1"/>
  <c r="A10565" i="1"/>
  <c r="B10565" i="1"/>
  <c r="C10565" i="1"/>
  <c r="D10565" i="1"/>
  <c r="E10565" i="1"/>
  <c r="F10565" i="1"/>
  <c r="G10565" i="1"/>
  <c r="H10565" i="1"/>
  <c r="I10565" i="1"/>
  <c r="J10565" i="1"/>
  <c r="K10565" i="1"/>
  <c r="L10565" i="1"/>
  <c r="A10566" i="1"/>
  <c r="B10566" i="1"/>
  <c r="C10566" i="1"/>
  <c r="D10566" i="1"/>
  <c r="E10566" i="1"/>
  <c r="F10566" i="1"/>
  <c r="G10566" i="1"/>
  <c r="H10566" i="1"/>
  <c r="I10566" i="1"/>
  <c r="J10566" i="1"/>
  <c r="K10566" i="1"/>
  <c r="L10566" i="1"/>
  <c r="A10567" i="1"/>
  <c r="B10567" i="1"/>
  <c r="C10567" i="1"/>
  <c r="D10567" i="1"/>
  <c r="E10567" i="1"/>
  <c r="F10567" i="1"/>
  <c r="G10567" i="1"/>
  <c r="H10567" i="1"/>
  <c r="I10567" i="1"/>
  <c r="J10567" i="1"/>
  <c r="K10567" i="1"/>
  <c r="L10567" i="1"/>
  <c r="A10568" i="1"/>
  <c r="B10568" i="1"/>
  <c r="C10568" i="1"/>
  <c r="D10568" i="1"/>
  <c r="E10568" i="1"/>
  <c r="F10568" i="1"/>
  <c r="G10568" i="1"/>
  <c r="H10568" i="1"/>
  <c r="I10568" i="1"/>
  <c r="J10568" i="1"/>
  <c r="K10568" i="1"/>
  <c r="L10568" i="1"/>
  <c r="A10569" i="1"/>
  <c r="B10569" i="1"/>
  <c r="C10569" i="1"/>
  <c r="D10569" i="1"/>
  <c r="E10569" i="1"/>
  <c r="F10569" i="1"/>
  <c r="G10569" i="1"/>
  <c r="H10569" i="1"/>
  <c r="I10569" i="1"/>
  <c r="J10569" i="1"/>
  <c r="K10569" i="1"/>
  <c r="L10569" i="1"/>
  <c r="A10570" i="1"/>
  <c r="B10570" i="1"/>
  <c r="C10570" i="1"/>
  <c r="D10570" i="1"/>
  <c r="E10570" i="1"/>
  <c r="F10570" i="1"/>
  <c r="G10570" i="1"/>
  <c r="H10570" i="1"/>
  <c r="I10570" i="1"/>
  <c r="J10570" i="1"/>
  <c r="K10570" i="1"/>
  <c r="L10570" i="1"/>
  <c r="A10571" i="1"/>
  <c r="B10571" i="1"/>
  <c r="C10571" i="1"/>
  <c r="D10571" i="1"/>
  <c r="E10571" i="1"/>
  <c r="F10571" i="1"/>
  <c r="G10571" i="1"/>
  <c r="H10571" i="1"/>
  <c r="I10571" i="1"/>
  <c r="J10571" i="1"/>
  <c r="K10571" i="1"/>
  <c r="L10571" i="1"/>
  <c r="A10572" i="1"/>
  <c r="B10572" i="1"/>
  <c r="C10572" i="1"/>
  <c r="D10572" i="1"/>
  <c r="E10572" i="1"/>
  <c r="F10572" i="1"/>
  <c r="G10572" i="1"/>
  <c r="H10572" i="1"/>
  <c r="I10572" i="1"/>
  <c r="J10572" i="1"/>
  <c r="K10572" i="1"/>
  <c r="L10572" i="1"/>
  <c r="A10573" i="1"/>
  <c r="B10573" i="1"/>
  <c r="C10573" i="1"/>
  <c r="D10573" i="1"/>
  <c r="E10573" i="1"/>
  <c r="F10573" i="1"/>
  <c r="G10573" i="1"/>
  <c r="H10573" i="1"/>
  <c r="I10573" i="1"/>
  <c r="J10573" i="1"/>
  <c r="K10573" i="1"/>
  <c r="L10573" i="1"/>
  <c r="A10574" i="1"/>
  <c r="B10574" i="1"/>
  <c r="C10574" i="1"/>
  <c r="D10574" i="1"/>
  <c r="E10574" i="1"/>
  <c r="F10574" i="1"/>
  <c r="G10574" i="1"/>
  <c r="H10574" i="1"/>
  <c r="I10574" i="1"/>
  <c r="J10574" i="1"/>
  <c r="K10574" i="1"/>
  <c r="L10574" i="1"/>
  <c r="A10575" i="1"/>
  <c r="B10575" i="1"/>
  <c r="C10575" i="1"/>
  <c r="D10575" i="1"/>
  <c r="E10575" i="1"/>
  <c r="F10575" i="1"/>
  <c r="G10575" i="1"/>
  <c r="H10575" i="1"/>
  <c r="I10575" i="1"/>
  <c r="J10575" i="1"/>
  <c r="K10575" i="1"/>
  <c r="L10575" i="1"/>
  <c r="A10576" i="1"/>
  <c r="B10576" i="1"/>
  <c r="C10576" i="1"/>
  <c r="D10576" i="1"/>
  <c r="E10576" i="1"/>
  <c r="F10576" i="1"/>
  <c r="G10576" i="1"/>
  <c r="H10576" i="1"/>
  <c r="I10576" i="1"/>
  <c r="J10576" i="1"/>
  <c r="K10576" i="1"/>
  <c r="L10576" i="1"/>
  <c r="A10577" i="1"/>
  <c r="B10577" i="1"/>
  <c r="C10577" i="1"/>
  <c r="D10577" i="1"/>
  <c r="E10577" i="1"/>
  <c r="F10577" i="1"/>
  <c r="G10577" i="1"/>
  <c r="H10577" i="1"/>
  <c r="I10577" i="1"/>
  <c r="J10577" i="1"/>
  <c r="K10577" i="1"/>
  <c r="L10577" i="1"/>
  <c r="A10578" i="1"/>
  <c r="B10578" i="1"/>
  <c r="C10578" i="1"/>
  <c r="D10578" i="1"/>
  <c r="E10578" i="1"/>
  <c r="F10578" i="1"/>
  <c r="G10578" i="1"/>
  <c r="H10578" i="1"/>
  <c r="I10578" i="1"/>
  <c r="J10578" i="1"/>
  <c r="K10578" i="1"/>
  <c r="L10578" i="1"/>
  <c r="A10579" i="1"/>
  <c r="B10579" i="1"/>
  <c r="C10579" i="1"/>
  <c r="D10579" i="1"/>
  <c r="E10579" i="1"/>
  <c r="F10579" i="1"/>
  <c r="G10579" i="1"/>
  <c r="H10579" i="1"/>
  <c r="I10579" i="1"/>
  <c r="J10579" i="1"/>
  <c r="K10579" i="1"/>
  <c r="L10579" i="1"/>
  <c r="A10580" i="1"/>
  <c r="B10580" i="1"/>
  <c r="C10580" i="1"/>
  <c r="D10580" i="1"/>
  <c r="E10580" i="1"/>
  <c r="F10580" i="1"/>
  <c r="G10580" i="1"/>
  <c r="H10580" i="1"/>
  <c r="I10580" i="1"/>
  <c r="J10580" i="1"/>
  <c r="K10580" i="1"/>
  <c r="L10580" i="1"/>
  <c r="A10581" i="1"/>
  <c r="B10581" i="1"/>
  <c r="C10581" i="1"/>
  <c r="D10581" i="1"/>
  <c r="E10581" i="1"/>
  <c r="F10581" i="1"/>
  <c r="G10581" i="1"/>
  <c r="H10581" i="1"/>
  <c r="I10581" i="1"/>
  <c r="J10581" i="1"/>
  <c r="K10581" i="1"/>
  <c r="L10581" i="1"/>
  <c r="A10582" i="1"/>
  <c r="B10582" i="1"/>
  <c r="C10582" i="1"/>
  <c r="D10582" i="1"/>
  <c r="E10582" i="1"/>
  <c r="F10582" i="1"/>
  <c r="G10582" i="1"/>
  <c r="H10582" i="1"/>
  <c r="I10582" i="1"/>
  <c r="J10582" i="1"/>
  <c r="K10582" i="1"/>
  <c r="L10582" i="1"/>
  <c r="A10583" i="1"/>
  <c r="B10583" i="1"/>
  <c r="C10583" i="1"/>
  <c r="D10583" i="1"/>
  <c r="E10583" i="1"/>
  <c r="F10583" i="1"/>
  <c r="G10583" i="1"/>
  <c r="H10583" i="1"/>
  <c r="I10583" i="1"/>
  <c r="J10583" i="1"/>
  <c r="K10583" i="1"/>
  <c r="L10583" i="1"/>
  <c r="A10584" i="1"/>
  <c r="B10584" i="1"/>
  <c r="C10584" i="1"/>
  <c r="D10584" i="1"/>
  <c r="E10584" i="1"/>
  <c r="F10584" i="1"/>
  <c r="G10584" i="1"/>
  <c r="H10584" i="1"/>
  <c r="I10584" i="1"/>
  <c r="J10584" i="1"/>
  <c r="K10584" i="1"/>
  <c r="L10584" i="1"/>
  <c r="A10585" i="1"/>
  <c r="B10585" i="1"/>
  <c r="C10585" i="1"/>
  <c r="D10585" i="1"/>
  <c r="E10585" i="1"/>
  <c r="F10585" i="1"/>
  <c r="G10585" i="1"/>
  <c r="H10585" i="1"/>
  <c r="I10585" i="1"/>
  <c r="J10585" i="1"/>
  <c r="K10585" i="1"/>
  <c r="L10585" i="1"/>
  <c r="A10586" i="1"/>
  <c r="B10586" i="1"/>
  <c r="C10586" i="1"/>
  <c r="D10586" i="1"/>
  <c r="E10586" i="1"/>
  <c r="F10586" i="1"/>
  <c r="G10586" i="1"/>
  <c r="H10586" i="1"/>
  <c r="I10586" i="1"/>
  <c r="J10586" i="1"/>
  <c r="K10586" i="1"/>
  <c r="L10586" i="1"/>
  <c r="A10587" i="1"/>
  <c r="B10587" i="1"/>
  <c r="C10587" i="1"/>
  <c r="D10587" i="1"/>
  <c r="E10587" i="1"/>
  <c r="F10587" i="1"/>
  <c r="G10587" i="1"/>
  <c r="H10587" i="1"/>
  <c r="I10587" i="1"/>
  <c r="J10587" i="1"/>
  <c r="K10587" i="1"/>
  <c r="L10587" i="1"/>
  <c r="A10588" i="1"/>
  <c r="B10588" i="1"/>
  <c r="C10588" i="1"/>
  <c r="D10588" i="1"/>
  <c r="E10588" i="1"/>
  <c r="F10588" i="1"/>
  <c r="G10588" i="1"/>
  <c r="H10588" i="1"/>
  <c r="I10588" i="1"/>
  <c r="J10588" i="1"/>
  <c r="K10588" i="1"/>
  <c r="L10588" i="1"/>
  <c r="A10589" i="1"/>
  <c r="B10589" i="1"/>
  <c r="C10589" i="1"/>
  <c r="D10589" i="1"/>
  <c r="E10589" i="1"/>
  <c r="F10589" i="1"/>
  <c r="G10589" i="1"/>
  <c r="H10589" i="1"/>
  <c r="I10589" i="1"/>
  <c r="J10589" i="1"/>
  <c r="K10589" i="1"/>
  <c r="L10589" i="1"/>
  <c r="A10590" i="1"/>
  <c r="B10590" i="1"/>
  <c r="C10590" i="1"/>
  <c r="D10590" i="1"/>
  <c r="E10590" i="1"/>
  <c r="F10590" i="1"/>
  <c r="G10590" i="1"/>
  <c r="H10590" i="1"/>
  <c r="I10590" i="1"/>
  <c r="J10590" i="1"/>
  <c r="K10590" i="1"/>
  <c r="L10590" i="1"/>
  <c r="A10591" i="1"/>
  <c r="B10591" i="1"/>
  <c r="C10591" i="1"/>
  <c r="D10591" i="1"/>
  <c r="E10591" i="1"/>
  <c r="F10591" i="1"/>
  <c r="G10591" i="1"/>
  <c r="H10591" i="1"/>
  <c r="I10591" i="1"/>
  <c r="J10591" i="1"/>
  <c r="K10591" i="1"/>
  <c r="L10591" i="1"/>
  <c r="A10592" i="1"/>
  <c r="B10592" i="1"/>
  <c r="C10592" i="1"/>
  <c r="D10592" i="1"/>
  <c r="E10592" i="1"/>
  <c r="F10592" i="1"/>
  <c r="G10592" i="1"/>
  <c r="H10592" i="1"/>
  <c r="I10592" i="1"/>
  <c r="J10592" i="1"/>
  <c r="K10592" i="1"/>
  <c r="L10592" i="1"/>
  <c r="A10593" i="1"/>
  <c r="B10593" i="1"/>
  <c r="C10593" i="1"/>
  <c r="D10593" i="1"/>
  <c r="E10593" i="1"/>
  <c r="F10593" i="1"/>
  <c r="G10593" i="1"/>
  <c r="H10593" i="1"/>
  <c r="I10593" i="1"/>
  <c r="J10593" i="1"/>
  <c r="K10593" i="1"/>
  <c r="L10593" i="1"/>
  <c r="A10594" i="1"/>
  <c r="B10594" i="1"/>
  <c r="C10594" i="1"/>
  <c r="D10594" i="1"/>
  <c r="E10594" i="1"/>
  <c r="F10594" i="1"/>
  <c r="G10594" i="1"/>
  <c r="H10594" i="1"/>
  <c r="I10594" i="1"/>
  <c r="J10594" i="1"/>
  <c r="K10594" i="1"/>
  <c r="L10594" i="1"/>
  <c r="A10595" i="1"/>
  <c r="B10595" i="1"/>
  <c r="C10595" i="1"/>
  <c r="D10595" i="1"/>
  <c r="E10595" i="1"/>
  <c r="F10595" i="1"/>
  <c r="G10595" i="1"/>
  <c r="H10595" i="1"/>
  <c r="I10595" i="1"/>
  <c r="J10595" i="1"/>
  <c r="K10595" i="1"/>
  <c r="L10595" i="1"/>
  <c r="A10596" i="1"/>
  <c r="B10596" i="1"/>
  <c r="C10596" i="1"/>
  <c r="D10596" i="1"/>
  <c r="E10596" i="1"/>
  <c r="F10596" i="1"/>
  <c r="G10596" i="1"/>
  <c r="H10596" i="1"/>
  <c r="I10596" i="1"/>
  <c r="J10596" i="1"/>
  <c r="K10596" i="1"/>
  <c r="L10596" i="1"/>
  <c r="A10597" i="1"/>
  <c r="B10597" i="1"/>
  <c r="C10597" i="1"/>
  <c r="D10597" i="1"/>
  <c r="E10597" i="1"/>
  <c r="F10597" i="1"/>
  <c r="G10597" i="1"/>
  <c r="H10597" i="1"/>
  <c r="I10597" i="1"/>
  <c r="J10597" i="1"/>
  <c r="K10597" i="1"/>
  <c r="L10597" i="1"/>
  <c r="A10598" i="1"/>
  <c r="B10598" i="1"/>
  <c r="C10598" i="1"/>
  <c r="D10598" i="1"/>
  <c r="E10598" i="1"/>
  <c r="F10598" i="1"/>
  <c r="G10598" i="1"/>
  <c r="H10598" i="1"/>
  <c r="I10598" i="1"/>
  <c r="J10598" i="1"/>
  <c r="K10598" i="1"/>
  <c r="L10598" i="1"/>
  <c r="A10599" i="1"/>
  <c r="B10599" i="1"/>
  <c r="C10599" i="1"/>
  <c r="D10599" i="1"/>
  <c r="E10599" i="1"/>
  <c r="F10599" i="1"/>
  <c r="G10599" i="1"/>
  <c r="H10599" i="1"/>
  <c r="I10599" i="1"/>
  <c r="J10599" i="1"/>
  <c r="K10599" i="1"/>
  <c r="L10599" i="1"/>
  <c r="A10600" i="1"/>
  <c r="B10600" i="1"/>
  <c r="C10600" i="1"/>
  <c r="D10600" i="1"/>
  <c r="E10600" i="1"/>
  <c r="F10600" i="1"/>
  <c r="G10600" i="1"/>
  <c r="H10600" i="1"/>
  <c r="I10600" i="1"/>
  <c r="J10600" i="1"/>
  <c r="K10600" i="1"/>
  <c r="L10600" i="1"/>
  <c r="A10601" i="1"/>
  <c r="B10601" i="1"/>
  <c r="C10601" i="1"/>
  <c r="D10601" i="1"/>
  <c r="E10601" i="1"/>
  <c r="F10601" i="1"/>
  <c r="G10601" i="1"/>
  <c r="H10601" i="1"/>
  <c r="I10601" i="1"/>
  <c r="J10601" i="1"/>
  <c r="K10601" i="1"/>
  <c r="L10601" i="1"/>
  <c r="A10602" i="1"/>
  <c r="B10602" i="1"/>
  <c r="C10602" i="1"/>
  <c r="D10602" i="1"/>
  <c r="E10602" i="1"/>
  <c r="F10602" i="1"/>
  <c r="G10602" i="1"/>
  <c r="H10602" i="1"/>
  <c r="I10602" i="1"/>
  <c r="J10602" i="1"/>
  <c r="K10602" i="1"/>
  <c r="L10602" i="1"/>
  <c r="A10603" i="1"/>
  <c r="B10603" i="1"/>
  <c r="C10603" i="1"/>
  <c r="D10603" i="1"/>
  <c r="E10603" i="1"/>
  <c r="F10603" i="1"/>
  <c r="G10603" i="1"/>
  <c r="H10603" i="1"/>
  <c r="I10603" i="1"/>
  <c r="J10603" i="1"/>
  <c r="K10603" i="1"/>
  <c r="L10603" i="1"/>
  <c r="A10604" i="1"/>
  <c r="B10604" i="1"/>
  <c r="C10604" i="1"/>
  <c r="D10604" i="1"/>
  <c r="E10604" i="1"/>
  <c r="F10604" i="1"/>
  <c r="G10604" i="1"/>
  <c r="H10604" i="1"/>
  <c r="I10604" i="1"/>
  <c r="J10604" i="1"/>
  <c r="K10604" i="1"/>
  <c r="L10604" i="1"/>
  <c r="A10605" i="1"/>
  <c r="B10605" i="1"/>
  <c r="C10605" i="1"/>
  <c r="D10605" i="1"/>
  <c r="E10605" i="1"/>
  <c r="F10605" i="1"/>
  <c r="G10605" i="1"/>
  <c r="H10605" i="1"/>
  <c r="I10605" i="1"/>
  <c r="J10605" i="1"/>
  <c r="K10605" i="1"/>
  <c r="L10605" i="1"/>
  <c r="A10606" i="1"/>
  <c r="B10606" i="1"/>
  <c r="C10606" i="1"/>
  <c r="D10606" i="1"/>
  <c r="E10606" i="1"/>
  <c r="F10606" i="1"/>
  <c r="G10606" i="1"/>
  <c r="H10606" i="1"/>
  <c r="I10606" i="1"/>
  <c r="J10606" i="1"/>
  <c r="K10606" i="1"/>
  <c r="L10606" i="1"/>
  <c r="A10607" i="1"/>
  <c r="B10607" i="1"/>
  <c r="C10607" i="1"/>
  <c r="D10607" i="1"/>
  <c r="E10607" i="1"/>
  <c r="F10607" i="1"/>
  <c r="G10607" i="1"/>
  <c r="H10607" i="1"/>
  <c r="I10607" i="1"/>
  <c r="J10607" i="1"/>
  <c r="K10607" i="1"/>
  <c r="L10607" i="1"/>
  <c r="A10608" i="1"/>
  <c r="B10608" i="1"/>
  <c r="C10608" i="1"/>
  <c r="D10608" i="1"/>
  <c r="E10608" i="1"/>
  <c r="F10608" i="1"/>
  <c r="G10608" i="1"/>
  <c r="H10608" i="1"/>
  <c r="I10608" i="1"/>
  <c r="J10608" i="1"/>
  <c r="K10608" i="1"/>
  <c r="L10608" i="1"/>
  <c r="A10609" i="1"/>
  <c r="B10609" i="1"/>
  <c r="C10609" i="1"/>
  <c r="D10609" i="1"/>
  <c r="E10609" i="1"/>
  <c r="F10609" i="1"/>
  <c r="G10609" i="1"/>
  <c r="H10609" i="1"/>
  <c r="I10609" i="1"/>
  <c r="J10609" i="1"/>
  <c r="K10609" i="1"/>
  <c r="L10609" i="1"/>
  <c r="A10610" i="1"/>
  <c r="B10610" i="1"/>
  <c r="C10610" i="1"/>
  <c r="D10610" i="1"/>
  <c r="E10610" i="1"/>
  <c r="F10610" i="1"/>
  <c r="G10610" i="1"/>
  <c r="H10610" i="1"/>
  <c r="I10610" i="1"/>
  <c r="J10610" i="1"/>
  <c r="K10610" i="1"/>
  <c r="L10610" i="1"/>
  <c r="A10611" i="1"/>
  <c r="B10611" i="1"/>
  <c r="C10611" i="1"/>
  <c r="D10611" i="1"/>
  <c r="E10611" i="1"/>
  <c r="F10611" i="1"/>
  <c r="G10611" i="1"/>
  <c r="H10611" i="1"/>
  <c r="I10611" i="1"/>
  <c r="J10611" i="1"/>
  <c r="K10611" i="1"/>
  <c r="L10611" i="1"/>
  <c r="A10612" i="1"/>
  <c r="B10612" i="1"/>
  <c r="C10612" i="1"/>
  <c r="D10612" i="1"/>
  <c r="E10612" i="1"/>
  <c r="F10612" i="1"/>
  <c r="G10612" i="1"/>
  <c r="H10612" i="1"/>
  <c r="I10612" i="1"/>
  <c r="J10612" i="1"/>
  <c r="K10612" i="1"/>
  <c r="L10612" i="1"/>
  <c r="A10613" i="1"/>
  <c r="B10613" i="1"/>
  <c r="C10613" i="1"/>
  <c r="D10613" i="1"/>
  <c r="E10613" i="1"/>
  <c r="F10613" i="1"/>
  <c r="G10613" i="1"/>
  <c r="H10613" i="1"/>
  <c r="I10613" i="1"/>
  <c r="J10613" i="1"/>
  <c r="K10613" i="1"/>
  <c r="L10613" i="1"/>
  <c r="A10614" i="1"/>
  <c r="B10614" i="1"/>
  <c r="C10614" i="1"/>
  <c r="D10614" i="1"/>
  <c r="E10614" i="1"/>
  <c r="F10614" i="1"/>
  <c r="G10614" i="1"/>
  <c r="H10614" i="1"/>
  <c r="I10614" i="1"/>
  <c r="J10614" i="1"/>
  <c r="K10614" i="1"/>
  <c r="L10614" i="1"/>
  <c r="A10615" i="1"/>
  <c r="B10615" i="1"/>
  <c r="C10615" i="1"/>
  <c r="D10615" i="1"/>
  <c r="E10615" i="1"/>
  <c r="F10615" i="1"/>
  <c r="G10615" i="1"/>
  <c r="H10615" i="1"/>
  <c r="I10615" i="1"/>
  <c r="J10615" i="1"/>
  <c r="K10615" i="1"/>
  <c r="L10615" i="1"/>
  <c r="A10616" i="1"/>
  <c r="B10616" i="1"/>
  <c r="C10616" i="1"/>
  <c r="D10616" i="1"/>
  <c r="E10616" i="1"/>
  <c r="F10616" i="1"/>
  <c r="G10616" i="1"/>
  <c r="H10616" i="1"/>
  <c r="I10616" i="1"/>
  <c r="J10616" i="1"/>
  <c r="K10616" i="1"/>
  <c r="L10616" i="1"/>
  <c r="A10617" i="1"/>
  <c r="B10617" i="1"/>
  <c r="C10617" i="1"/>
  <c r="D10617" i="1"/>
  <c r="E10617" i="1"/>
  <c r="F10617" i="1"/>
  <c r="G10617" i="1"/>
  <c r="H10617" i="1"/>
  <c r="I10617" i="1"/>
  <c r="J10617" i="1"/>
  <c r="K10617" i="1"/>
  <c r="L10617" i="1"/>
  <c r="A10618" i="1"/>
  <c r="B10618" i="1"/>
  <c r="C10618" i="1"/>
  <c r="D10618" i="1"/>
  <c r="E10618" i="1"/>
  <c r="F10618" i="1"/>
  <c r="G10618" i="1"/>
  <c r="H10618" i="1"/>
  <c r="I10618" i="1"/>
  <c r="J10618" i="1"/>
  <c r="K10618" i="1"/>
  <c r="L10618" i="1"/>
  <c r="A10619" i="1"/>
  <c r="B10619" i="1"/>
  <c r="C10619" i="1"/>
  <c r="D10619" i="1"/>
  <c r="E10619" i="1"/>
  <c r="F10619" i="1"/>
  <c r="G10619" i="1"/>
  <c r="H10619" i="1"/>
  <c r="I10619" i="1"/>
  <c r="J10619" i="1"/>
  <c r="K10619" i="1"/>
  <c r="L10619" i="1"/>
  <c r="A10620" i="1"/>
  <c r="B10620" i="1"/>
  <c r="C10620" i="1"/>
  <c r="D10620" i="1"/>
  <c r="E10620" i="1"/>
  <c r="F10620" i="1"/>
  <c r="G10620" i="1"/>
  <c r="H10620" i="1"/>
  <c r="I10620" i="1"/>
  <c r="J10620" i="1"/>
  <c r="K10620" i="1"/>
  <c r="L10620" i="1"/>
  <c r="A10621" i="1"/>
  <c r="B10621" i="1"/>
  <c r="C10621" i="1"/>
  <c r="D10621" i="1"/>
  <c r="E10621" i="1"/>
  <c r="F10621" i="1"/>
  <c r="G10621" i="1"/>
  <c r="H10621" i="1"/>
  <c r="I10621" i="1"/>
  <c r="J10621" i="1"/>
  <c r="K10621" i="1"/>
  <c r="L10621" i="1"/>
  <c r="A10622" i="1"/>
  <c r="B10622" i="1"/>
  <c r="C10622" i="1"/>
  <c r="D10622" i="1"/>
  <c r="E10622" i="1"/>
  <c r="F10622" i="1"/>
  <c r="G10622" i="1"/>
  <c r="H10622" i="1"/>
  <c r="I10622" i="1"/>
  <c r="J10622" i="1"/>
  <c r="K10622" i="1"/>
  <c r="L10622" i="1"/>
  <c r="A10623" i="1"/>
  <c r="B10623" i="1"/>
  <c r="C10623" i="1"/>
  <c r="D10623" i="1"/>
  <c r="E10623" i="1"/>
  <c r="F10623" i="1"/>
  <c r="G10623" i="1"/>
  <c r="H10623" i="1"/>
  <c r="I10623" i="1"/>
  <c r="J10623" i="1"/>
  <c r="K10623" i="1"/>
  <c r="L10623" i="1"/>
  <c r="A10624" i="1"/>
  <c r="B10624" i="1"/>
  <c r="C10624" i="1"/>
  <c r="D10624" i="1"/>
  <c r="E10624" i="1"/>
  <c r="F10624" i="1"/>
  <c r="G10624" i="1"/>
  <c r="H10624" i="1"/>
  <c r="I10624" i="1"/>
  <c r="J10624" i="1"/>
  <c r="K10624" i="1"/>
  <c r="L10624" i="1"/>
  <c r="A10625" i="1"/>
  <c r="B10625" i="1"/>
  <c r="C10625" i="1"/>
  <c r="D10625" i="1"/>
  <c r="E10625" i="1"/>
  <c r="F10625" i="1"/>
  <c r="G10625" i="1"/>
  <c r="H10625" i="1"/>
  <c r="I10625" i="1"/>
  <c r="J10625" i="1"/>
  <c r="K10625" i="1"/>
  <c r="L10625" i="1"/>
  <c r="A10626" i="1"/>
  <c r="B10626" i="1"/>
  <c r="C10626" i="1"/>
  <c r="D10626" i="1"/>
  <c r="E10626" i="1"/>
  <c r="F10626" i="1"/>
  <c r="G10626" i="1"/>
  <c r="H10626" i="1"/>
  <c r="I10626" i="1"/>
  <c r="J10626" i="1"/>
  <c r="K10626" i="1"/>
  <c r="L10626" i="1"/>
  <c r="A10627" i="1"/>
  <c r="B10627" i="1"/>
  <c r="C10627" i="1"/>
  <c r="D10627" i="1"/>
  <c r="E10627" i="1"/>
  <c r="F10627" i="1"/>
  <c r="G10627" i="1"/>
  <c r="H10627" i="1"/>
  <c r="I10627" i="1"/>
  <c r="J10627" i="1"/>
  <c r="K10627" i="1"/>
  <c r="L10627" i="1"/>
  <c r="A10628" i="1"/>
  <c r="B10628" i="1"/>
  <c r="C10628" i="1"/>
  <c r="D10628" i="1"/>
  <c r="E10628" i="1"/>
  <c r="F10628" i="1"/>
  <c r="G10628" i="1"/>
  <c r="H10628" i="1"/>
  <c r="I10628" i="1"/>
  <c r="J10628" i="1"/>
  <c r="K10628" i="1"/>
  <c r="L10628" i="1"/>
  <c r="A10629" i="1"/>
  <c r="B10629" i="1"/>
  <c r="C10629" i="1"/>
  <c r="D10629" i="1"/>
  <c r="E10629" i="1"/>
  <c r="F10629" i="1"/>
  <c r="G10629" i="1"/>
  <c r="H10629" i="1"/>
  <c r="I10629" i="1"/>
  <c r="J10629" i="1"/>
  <c r="K10629" i="1"/>
  <c r="L10629" i="1"/>
  <c r="A10630" i="1"/>
  <c r="B10630" i="1"/>
  <c r="C10630" i="1"/>
  <c r="D10630" i="1"/>
  <c r="E10630" i="1"/>
  <c r="F10630" i="1"/>
  <c r="G10630" i="1"/>
  <c r="H10630" i="1"/>
  <c r="I10630" i="1"/>
  <c r="J10630" i="1"/>
  <c r="K10630" i="1"/>
  <c r="L10630" i="1"/>
  <c r="A10631" i="1"/>
  <c r="B10631" i="1"/>
  <c r="C10631" i="1"/>
  <c r="D10631" i="1"/>
  <c r="E10631" i="1"/>
  <c r="F10631" i="1"/>
  <c r="G10631" i="1"/>
  <c r="H10631" i="1"/>
  <c r="I10631" i="1"/>
  <c r="J10631" i="1"/>
  <c r="K10631" i="1"/>
  <c r="L10631" i="1"/>
  <c r="A10632" i="1"/>
  <c r="B10632" i="1"/>
  <c r="C10632" i="1"/>
  <c r="D10632" i="1"/>
  <c r="E10632" i="1"/>
  <c r="F10632" i="1"/>
  <c r="G10632" i="1"/>
  <c r="H10632" i="1"/>
  <c r="I10632" i="1"/>
  <c r="J10632" i="1"/>
  <c r="K10632" i="1"/>
  <c r="L10632" i="1"/>
  <c r="A10633" i="1"/>
  <c r="B10633" i="1"/>
  <c r="C10633" i="1"/>
  <c r="D10633" i="1"/>
  <c r="E10633" i="1"/>
  <c r="F10633" i="1"/>
  <c r="G10633" i="1"/>
  <c r="H10633" i="1"/>
  <c r="I10633" i="1"/>
  <c r="J10633" i="1"/>
  <c r="K10633" i="1"/>
  <c r="L10633" i="1"/>
  <c r="A10634" i="1"/>
  <c r="B10634" i="1"/>
  <c r="C10634" i="1"/>
  <c r="D10634" i="1"/>
  <c r="E10634" i="1"/>
  <c r="F10634" i="1"/>
  <c r="G10634" i="1"/>
  <c r="H10634" i="1"/>
  <c r="I10634" i="1"/>
  <c r="J10634" i="1"/>
  <c r="K10634" i="1"/>
  <c r="L10634" i="1"/>
  <c r="A10635" i="1"/>
  <c r="B10635" i="1"/>
  <c r="C10635" i="1"/>
  <c r="D10635" i="1"/>
  <c r="E10635" i="1"/>
  <c r="F10635" i="1"/>
  <c r="G10635" i="1"/>
  <c r="H10635" i="1"/>
  <c r="I10635" i="1"/>
  <c r="J10635" i="1"/>
  <c r="K10635" i="1"/>
  <c r="L10635" i="1"/>
  <c r="A10636" i="1"/>
  <c r="B10636" i="1"/>
  <c r="C10636" i="1"/>
  <c r="D10636" i="1"/>
  <c r="E10636" i="1"/>
  <c r="F10636" i="1"/>
  <c r="G10636" i="1"/>
  <c r="H10636" i="1"/>
  <c r="I10636" i="1"/>
  <c r="J10636" i="1"/>
  <c r="K10636" i="1"/>
  <c r="L10636" i="1"/>
  <c r="A10637" i="1"/>
  <c r="B10637" i="1"/>
  <c r="C10637" i="1"/>
  <c r="D10637" i="1"/>
  <c r="E10637" i="1"/>
  <c r="F10637" i="1"/>
  <c r="G10637" i="1"/>
  <c r="H10637" i="1"/>
  <c r="I10637" i="1"/>
  <c r="J10637" i="1"/>
  <c r="K10637" i="1"/>
  <c r="L10637" i="1"/>
  <c r="A10638" i="1"/>
  <c r="B10638" i="1"/>
  <c r="C10638" i="1"/>
  <c r="D10638" i="1"/>
  <c r="E10638" i="1"/>
  <c r="F10638" i="1"/>
  <c r="G10638" i="1"/>
  <c r="H10638" i="1"/>
  <c r="I10638" i="1"/>
  <c r="J10638" i="1"/>
  <c r="K10638" i="1"/>
  <c r="L10638" i="1"/>
  <c r="A10639" i="1"/>
  <c r="B10639" i="1"/>
  <c r="C10639" i="1"/>
  <c r="D10639" i="1"/>
  <c r="E10639" i="1"/>
  <c r="F10639" i="1"/>
  <c r="G10639" i="1"/>
  <c r="H10639" i="1"/>
  <c r="I10639" i="1"/>
  <c r="J10639" i="1"/>
  <c r="K10639" i="1"/>
  <c r="L10639" i="1"/>
  <c r="A10640" i="1"/>
  <c r="B10640" i="1"/>
  <c r="C10640" i="1"/>
  <c r="D10640" i="1"/>
  <c r="E10640" i="1"/>
  <c r="F10640" i="1"/>
  <c r="G10640" i="1"/>
  <c r="H10640" i="1"/>
  <c r="I10640" i="1"/>
  <c r="J10640" i="1"/>
  <c r="K10640" i="1"/>
  <c r="L10640" i="1"/>
  <c r="A10641" i="1"/>
  <c r="B10641" i="1"/>
  <c r="C10641" i="1"/>
  <c r="D10641" i="1"/>
  <c r="E10641" i="1"/>
  <c r="F10641" i="1"/>
  <c r="G10641" i="1"/>
  <c r="H10641" i="1"/>
  <c r="I10641" i="1"/>
  <c r="J10641" i="1"/>
  <c r="K10641" i="1"/>
  <c r="L10641" i="1"/>
  <c r="A10642" i="1"/>
  <c r="B10642" i="1"/>
  <c r="C10642" i="1"/>
  <c r="D10642" i="1"/>
  <c r="E10642" i="1"/>
  <c r="F10642" i="1"/>
  <c r="G10642" i="1"/>
  <c r="H10642" i="1"/>
  <c r="I10642" i="1"/>
  <c r="J10642" i="1"/>
  <c r="K10642" i="1"/>
  <c r="L10642" i="1"/>
  <c r="A10643" i="1"/>
  <c r="B10643" i="1"/>
  <c r="C10643" i="1"/>
  <c r="D10643" i="1"/>
  <c r="E10643" i="1"/>
  <c r="F10643" i="1"/>
  <c r="G10643" i="1"/>
  <c r="H10643" i="1"/>
  <c r="I10643" i="1"/>
  <c r="J10643" i="1"/>
  <c r="K10643" i="1"/>
  <c r="L10643" i="1"/>
  <c r="A10644" i="1"/>
  <c r="B10644" i="1"/>
  <c r="C10644" i="1"/>
  <c r="D10644" i="1"/>
  <c r="E10644" i="1"/>
  <c r="F10644" i="1"/>
  <c r="G10644" i="1"/>
  <c r="H10644" i="1"/>
  <c r="I10644" i="1"/>
  <c r="J10644" i="1"/>
  <c r="K10644" i="1"/>
  <c r="L10644" i="1"/>
  <c r="A10645" i="1"/>
  <c r="B10645" i="1"/>
  <c r="C10645" i="1"/>
  <c r="D10645" i="1"/>
  <c r="E10645" i="1"/>
  <c r="F10645" i="1"/>
  <c r="G10645" i="1"/>
  <c r="H10645" i="1"/>
  <c r="I10645" i="1"/>
  <c r="J10645" i="1"/>
  <c r="K10645" i="1"/>
  <c r="L10645" i="1"/>
  <c r="A10646" i="1"/>
  <c r="B10646" i="1"/>
  <c r="C10646" i="1"/>
  <c r="D10646" i="1"/>
  <c r="E10646" i="1"/>
  <c r="F10646" i="1"/>
  <c r="G10646" i="1"/>
  <c r="H10646" i="1"/>
  <c r="I10646" i="1"/>
  <c r="J10646" i="1"/>
  <c r="K10646" i="1"/>
  <c r="L10646" i="1"/>
  <c r="A10647" i="1"/>
  <c r="B10647" i="1"/>
  <c r="C10647" i="1"/>
  <c r="D10647" i="1"/>
  <c r="E10647" i="1"/>
  <c r="F10647" i="1"/>
  <c r="G10647" i="1"/>
  <c r="H10647" i="1"/>
  <c r="I10647" i="1"/>
  <c r="J10647" i="1"/>
  <c r="K10647" i="1"/>
  <c r="L10647" i="1"/>
  <c r="A10648" i="1"/>
  <c r="B10648" i="1"/>
  <c r="C10648" i="1"/>
  <c r="D10648" i="1"/>
  <c r="E10648" i="1"/>
  <c r="F10648" i="1"/>
  <c r="G10648" i="1"/>
  <c r="H10648" i="1"/>
  <c r="I10648" i="1"/>
  <c r="J10648" i="1"/>
  <c r="K10648" i="1"/>
  <c r="L10648" i="1"/>
  <c r="A10649" i="1"/>
  <c r="B10649" i="1"/>
  <c r="C10649" i="1"/>
  <c r="D10649" i="1"/>
  <c r="E10649" i="1"/>
  <c r="F10649" i="1"/>
  <c r="G10649" i="1"/>
  <c r="H10649" i="1"/>
  <c r="I10649" i="1"/>
  <c r="J10649" i="1"/>
  <c r="K10649" i="1"/>
  <c r="L10649" i="1"/>
  <c r="A10650" i="1"/>
  <c r="B10650" i="1"/>
  <c r="C10650" i="1"/>
  <c r="D10650" i="1"/>
  <c r="E10650" i="1"/>
  <c r="F10650" i="1"/>
  <c r="G10650" i="1"/>
  <c r="H10650" i="1"/>
  <c r="I10650" i="1"/>
  <c r="J10650" i="1"/>
  <c r="K10650" i="1"/>
  <c r="L10650" i="1"/>
  <c r="A10651" i="1"/>
  <c r="B10651" i="1"/>
  <c r="C10651" i="1"/>
  <c r="D10651" i="1"/>
  <c r="E10651" i="1"/>
  <c r="F10651" i="1"/>
  <c r="G10651" i="1"/>
  <c r="H10651" i="1"/>
  <c r="I10651" i="1"/>
  <c r="J10651" i="1"/>
  <c r="K10651" i="1"/>
  <c r="L10651" i="1"/>
  <c r="A10652" i="1"/>
  <c r="B10652" i="1"/>
  <c r="C10652" i="1"/>
  <c r="D10652" i="1"/>
  <c r="E10652" i="1"/>
  <c r="F10652" i="1"/>
  <c r="G10652" i="1"/>
  <c r="H10652" i="1"/>
  <c r="I10652" i="1"/>
  <c r="J10652" i="1"/>
  <c r="K10652" i="1"/>
  <c r="L10652" i="1"/>
  <c r="A10653" i="1"/>
  <c r="B10653" i="1"/>
  <c r="C10653" i="1"/>
  <c r="D10653" i="1"/>
  <c r="E10653" i="1"/>
  <c r="F10653" i="1"/>
  <c r="G10653" i="1"/>
  <c r="H10653" i="1"/>
  <c r="I10653" i="1"/>
  <c r="J10653" i="1"/>
  <c r="K10653" i="1"/>
  <c r="L10653" i="1"/>
  <c r="A10654" i="1"/>
  <c r="B10654" i="1"/>
  <c r="C10654" i="1"/>
  <c r="D10654" i="1"/>
  <c r="E10654" i="1"/>
  <c r="F10654" i="1"/>
  <c r="G10654" i="1"/>
  <c r="H10654" i="1"/>
  <c r="I10654" i="1"/>
  <c r="J10654" i="1"/>
  <c r="K10654" i="1"/>
  <c r="L10654" i="1"/>
  <c r="A10655" i="1"/>
  <c r="B10655" i="1"/>
  <c r="C10655" i="1"/>
  <c r="D10655" i="1"/>
  <c r="E10655" i="1"/>
  <c r="F10655" i="1"/>
  <c r="G10655" i="1"/>
  <c r="H10655" i="1"/>
  <c r="I10655" i="1"/>
  <c r="J10655" i="1"/>
  <c r="K10655" i="1"/>
  <c r="L10655" i="1"/>
  <c r="A10656" i="1"/>
  <c r="B10656" i="1"/>
  <c r="C10656" i="1"/>
  <c r="D10656" i="1"/>
  <c r="E10656" i="1"/>
  <c r="F10656" i="1"/>
  <c r="G10656" i="1"/>
  <c r="H10656" i="1"/>
  <c r="I10656" i="1"/>
  <c r="J10656" i="1"/>
  <c r="K10656" i="1"/>
  <c r="L10656" i="1"/>
  <c r="A10657" i="1"/>
  <c r="B10657" i="1"/>
  <c r="C10657" i="1"/>
  <c r="D10657" i="1"/>
  <c r="E10657" i="1"/>
  <c r="F10657" i="1"/>
  <c r="G10657" i="1"/>
  <c r="H10657" i="1"/>
  <c r="I10657" i="1"/>
  <c r="J10657" i="1"/>
  <c r="K10657" i="1"/>
  <c r="L10657" i="1"/>
  <c r="A10658" i="1"/>
  <c r="B10658" i="1"/>
  <c r="C10658" i="1"/>
  <c r="D10658" i="1"/>
  <c r="E10658" i="1"/>
  <c r="F10658" i="1"/>
  <c r="G10658" i="1"/>
  <c r="H10658" i="1"/>
  <c r="I10658" i="1"/>
  <c r="J10658" i="1"/>
  <c r="K10658" i="1"/>
  <c r="L10658" i="1"/>
  <c r="A10659" i="1"/>
  <c r="B10659" i="1"/>
  <c r="C10659" i="1"/>
  <c r="D10659" i="1"/>
  <c r="E10659" i="1"/>
  <c r="F10659" i="1"/>
  <c r="G10659" i="1"/>
  <c r="H10659" i="1"/>
  <c r="I10659" i="1"/>
  <c r="J10659" i="1"/>
  <c r="K10659" i="1"/>
  <c r="L10659" i="1"/>
  <c r="A10660" i="1"/>
  <c r="B10660" i="1"/>
  <c r="C10660" i="1"/>
  <c r="D10660" i="1"/>
  <c r="E10660" i="1"/>
  <c r="F10660" i="1"/>
  <c r="G10660" i="1"/>
  <c r="H10660" i="1"/>
  <c r="I10660" i="1"/>
  <c r="J10660" i="1"/>
  <c r="K10660" i="1"/>
  <c r="L10660" i="1"/>
  <c r="A10661" i="1"/>
  <c r="B10661" i="1"/>
  <c r="C10661" i="1"/>
  <c r="D10661" i="1"/>
  <c r="E10661" i="1"/>
  <c r="F10661" i="1"/>
  <c r="G10661" i="1"/>
  <c r="H10661" i="1"/>
  <c r="I10661" i="1"/>
  <c r="J10661" i="1"/>
  <c r="K10661" i="1"/>
  <c r="L10661" i="1"/>
  <c r="A10662" i="1"/>
  <c r="B10662" i="1"/>
  <c r="C10662" i="1"/>
  <c r="D10662" i="1"/>
  <c r="E10662" i="1"/>
  <c r="F10662" i="1"/>
  <c r="G10662" i="1"/>
  <c r="H10662" i="1"/>
  <c r="I10662" i="1"/>
  <c r="J10662" i="1"/>
  <c r="K10662" i="1"/>
  <c r="L10662" i="1"/>
  <c r="A10663" i="1"/>
  <c r="B10663" i="1"/>
  <c r="C10663" i="1"/>
  <c r="D10663" i="1"/>
  <c r="E10663" i="1"/>
  <c r="F10663" i="1"/>
  <c r="G10663" i="1"/>
  <c r="H10663" i="1"/>
  <c r="I10663" i="1"/>
  <c r="J10663" i="1"/>
  <c r="K10663" i="1"/>
  <c r="L10663" i="1"/>
  <c r="A10664" i="1"/>
  <c r="B10664" i="1"/>
  <c r="C10664" i="1"/>
  <c r="D10664" i="1"/>
  <c r="E10664" i="1"/>
  <c r="F10664" i="1"/>
  <c r="G10664" i="1"/>
  <c r="H10664" i="1"/>
  <c r="I10664" i="1"/>
  <c r="J10664" i="1"/>
  <c r="K10664" i="1"/>
  <c r="L10664" i="1"/>
  <c r="A10665" i="1"/>
  <c r="B10665" i="1"/>
  <c r="C10665" i="1"/>
  <c r="D10665" i="1"/>
  <c r="E10665" i="1"/>
  <c r="F10665" i="1"/>
  <c r="G10665" i="1"/>
  <c r="H10665" i="1"/>
  <c r="I10665" i="1"/>
  <c r="J10665" i="1"/>
  <c r="K10665" i="1"/>
  <c r="L10665" i="1"/>
  <c r="A10666" i="1"/>
  <c r="B10666" i="1"/>
  <c r="C10666" i="1"/>
  <c r="D10666" i="1"/>
  <c r="E10666" i="1"/>
  <c r="F10666" i="1"/>
  <c r="G10666" i="1"/>
  <c r="H10666" i="1"/>
  <c r="I10666" i="1"/>
  <c r="J10666" i="1"/>
  <c r="K10666" i="1"/>
  <c r="L10666" i="1"/>
  <c r="A10667" i="1"/>
  <c r="B10667" i="1"/>
  <c r="C10667" i="1"/>
  <c r="D10667" i="1"/>
  <c r="E10667" i="1"/>
  <c r="F10667" i="1"/>
  <c r="G10667" i="1"/>
  <c r="H10667" i="1"/>
  <c r="I10667" i="1"/>
  <c r="J10667" i="1"/>
  <c r="K10667" i="1"/>
  <c r="L10667" i="1"/>
  <c r="A10668" i="1"/>
  <c r="B10668" i="1"/>
  <c r="C10668" i="1"/>
  <c r="D10668" i="1"/>
  <c r="E10668" i="1"/>
  <c r="F10668" i="1"/>
  <c r="G10668" i="1"/>
  <c r="H10668" i="1"/>
  <c r="I10668" i="1"/>
  <c r="J10668" i="1"/>
  <c r="K10668" i="1"/>
  <c r="L10668" i="1"/>
  <c r="A10669" i="1"/>
  <c r="B10669" i="1"/>
  <c r="C10669" i="1"/>
  <c r="D10669" i="1"/>
  <c r="E10669" i="1"/>
  <c r="F10669" i="1"/>
  <c r="G10669" i="1"/>
  <c r="H10669" i="1"/>
  <c r="I10669" i="1"/>
  <c r="J10669" i="1"/>
  <c r="K10669" i="1"/>
  <c r="L10669" i="1"/>
  <c r="A10670" i="1"/>
  <c r="B10670" i="1"/>
  <c r="C10670" i="1"/>
  <c r="D10670" i="1"/>
  <c r="E10670" i="1"/>
  <c r="F10670" i="1"/>
  <c r="G10670" i="1"/>
  <c r="H10670" i="1"/>
  <c r="I10670" i="1"/>
  <c r="J10670" i="1"/>
  <c r="K10670" i="1"/>
  <c r="L10670" i="1"/>
  <c r="A10671" i="1"/>
  <c r="B10671" i="1"/>
  <c r="C10671" i="1"/>
  <c r="D10671" i="1"/>
  <c r="E10671" i="1"/>
  <c r="F10671" i="1"/>
  <c r="G10671" i="1"/>
  <c r="H10671" i="1"/>
  <c r="I10671" i="1"/>
  <c r="J10671" i="1"/>
  <c r="K10671" i="1"/>
  <c r="L10671" i="1"/>
  <c r="A10672" i="1"/>
  <c r="B10672" i="1"/>
  <c r="C10672" i="1"/>
  <c r="D10672" i="1"/>
  <c r="E10672" i="1"/>
  <c r="F10672" i="1"/>
  <c r="G10672" i="1"/>
  <c r="H10672" i="1"/>
  <c r="I10672" i="1"/>
  <c r="J10672" i="1"/>
  <c r="K10672" i="1"/>
  <c r="L10672" i="1"/>
  <c r="A10673" i="1"/>
  <c r="B10673" i="1"/>
  <c r="C10673" i="1"/>
  <c r="D10673" i="1"/>
  <c r="E10673" i="1"/>
  <c r="F10673" i="1"/>
  <c r="G10673" i="1"/>
  <c r="H10673" i="1"/>
  <c r="I10673" i="1"/>
  <c r="J10673" i="1"/>
  <c r="K10673" i="1"/>
  <c r="L10673" i="1"/>
  <c r="A10674" i="1"/>
  <c r="B10674" i="1"/>
  <c r="C10674" i="1"/>
  <c r="D10674" i="1"/>
  <c r="E10674" i="1"/>
  <c r="F10674" i="1"/>
  <c r="G10674" i="1"/>
  <c r="H10674" i="1"/>
  <c r="I10674" i="1"/>
  <c r="J10674" i="1"/>
  <c r="K10674" i="1"/>
  <c r="L10674" i="1"/>
  <c r="A10675" i="1"/>
  <c r="B10675" i="1"/>
  <c r="C10675" i="1"/>
  <c r="D10675" i="1"/>
  <c r="E10675" i="1"/>
  <c r="F10675" i="1"/>
  <c r="G10675" i="1"/>
  <c r="H10675" i="1"/>
  <c r="I10675" i="1"/>
  <c r="J10675" i="1"/>
  <c r="K10675" i="1"/>
  <c r="L10675" i="1"/>
  <c r="A10676" i="1"/>
  <c r="B10676" i="1"/>
  <c r="C10676" i="1"/>
  <c r="D10676" i="1"/>
  <c r="E10676" i="1"/>
  <c r="F10676" i="1"/>
  <c r="G10676" i="1"/>
  <c r="H10676" i="1"/>
  <c r="I10676" i="1"/>
  <c r="J10676" i="1"/>
  <c r="K10676" i="1"/>
  <c r="L10676" i="1"/>
  <c r="A10677" i="1"/>
  <c r="B10677" i="1"/>
  <c r="C10677" i="1"/>
  <c r="D10677" i="1"/>
  <c r="E10677" i="1"/>
  <c r="F10677" i="1"/>
  <c r="G10677" i="1"/>
  <c r="H10677" i="1"/>
  <c r="I10677" i="1"/>
  <c r="J10677" i="1"/>
  <c r="K10677" i="1"/>
  <c r="L10677" i="1"/>
  <c r="A10678" i="1"/>
  <c r="B10678" i="1"/>
  <c r="C10678" i="1"/>
  <c r="D10678" i="1"/>
  <c r="E10678" i="1"/>
  <c r="F10678" i="1"/>
  <c r="G10678" i="1"/>
  <c r="H10678" i="1"/>
  <c r="I10678" i="1"/>
  <c r="J10678" i="1"/>
  <c r="K10678" i="1"/>
  <c r="L10678" i="1"/>
  <c r="A10679" i="1"/>
  <c r="B10679" i="1"/>
  <c r="C10679" i="1"/>
  <c r="D10679" i="1"/>
  <c r="E10679" i="1"/>
  <c r="F10679" i="1"/>
  <c r="G10679" i="1"/>
  <c r="H10679" i="1"/>
  <c r="I10679" i="1"/>
  <c r="J10679" i="1"/>
  <c r="K10679" i="1"/>
  <c r="L10679" i="1"/>
  <c r="A10680" i="1"/>
  <c r="B10680" i="1"/>
  <c r="C10680" i="1"/>
  <c r="D10680" i="1"/>
  <c r="E10680" i="1"/>
  <c r="F10680" i="1"/>
  <c r="G10680" i="1"/>
  <c r="H10680" i="1"/>
  <c r="I10680" i="1"/>
  <c r="J10680" i="1"/>
  <c r="K10680" i="1"/>
  <c r="L10680" i="1"/>
  <c r="A10681" i="1"/>
  <c r="B10681" i="1"/>
  <c r="C10681" i="1"/>
  <c r="D10681" i="1"/>
  <c r="E10681" i="1"/>
  <c r="F10681" i="1"/>
  <c r="G10681" i="1"/>
  <c r="H10681" i="1"/>
  <c r="I10681" i="1"/>
  <c r="J10681" i="1"/>
  <c r="K10681" i="1"/>
  <c r="L10681" i="1"/>
  <c r="A10682" i="1"/>
  <c r="B10682" i="1"/>
  <c r="C10682" i="1"/>
  <c r="D10682" i="1"/>
  <c r="E10682" i="1"/>
  <c r="F10682" i="1"/>
  <c r="G10682" i="1"/>
  <c r="H10682" i="1"/>
  <c r="I10682" i="1"/>
  <c r="J10682" i="1"/>
  <c r="K10682" i="1"/>
  <c r="L10682" i="1"/>
  <c r="A10683" i="1"/>
  <c r="B10683" i="1"/>
  <c r="C10683" i="1"/>
  <c r="D10683" i="1"/>
  <c r="E10683" i="1"/>
  <c r="F10683" i="1"/>
  <c r="G10683" i="1"/>
  <c r="H10683" i="1"/>
  <c r="I10683" i="1"/>
  <c r="J10683" i="1"/>
  <c r="K10683" i="1"/>
  <c r="L10683" i="1"/>
  <c r="A10684" i="1"/>
  <c r="B10684" i="1"/>
  <c r="C10684" i="1"/>
  <c r="D10684" i="1"/>
  <c r="E10684" i="1"/>
  <c r="F10684" i="1"/>
  <c r="G10684" i="1"/>
  <c r="H10684" i="1"/>
  <c r="I10684" i="1"/>
  <c r="J10684" i="1"/>
  <c r="K10684" i="1"/>
  <c r="L10684" i="1"/>
  <c r="A10685" i="1"/>
  <c r="B10685" i="1"/>
  <c r="C10685" i="1"/>
  <c r="D10685" i="1"/>
  <c r="E10685" i="1"/>
  <c r="F10685" i="1"/>
  <c r="G10685" i="1"/>
  <c r="H10685" i="1"/>
  <c r="I10685" i="1"/>
  <c r="J10685" i="1"/>
  <c r="K10685" i="1"/>
  <c r="L10685" i="1"/>
  <c r="A10686" i="1"/>
  <c r="B10686" i="1"/>
  <c r="C10686" i="1"/>
  <c r="D10686" i="1"/>
  <c r="E10686" i="1"/>
  <c r="F10686" i="1"/>
  <c r="G10686" i="1"/>
  <c r="H10686" i="1"/>
  <c r="I10686" i="1"/>
  <c r="J10686" i="1"/>
  <c r="K10686" i="1"/>
  <c r="L10686" i="1"/>
  <c r="A10687" i="1"/>
  <c r="B10687" i="1"/>
  <c r="C10687" i="1"/>
  <c r="D10687" i="1"/>
  <c r="E10687" i="1"/>
  <c r="F10687" i="1"/>
  <c r="G10687" i="1"/>
  <c r="H10687" i="1"/>
  <c r="I10687" i="1"/>
  <c r="J10687" i="1"/>
  <c r="K10687" i="1"/>
  <c r="L10687" i="1"/>
  <c r="A10688" i="1"/>
  <c r="B10688" i="1"/>
  <c r="C10688" i="1"/>
  <c r="D10688" i="1"/>
  <c r="E10688" i="1"/>
  <c r="F10688" i="1"/>
  <c r="G10688" i="1"/>
  <c r="H10688" i="1"/>
  <c r="I10688" i="1"/>
  <c r="J10688" i="1"/>
  <c r="K10688" i="1"/>
  <c r="L10688" i="1"/>
  <c r="A10689" i="1"/>
  <c r="B10689" i="1"/>
  <c r="C10689" i="1"/>
  <c r="D10689" i="1"/>
  <c r="E10689" i="1"/>
  <c r="F10689" i="1"/>
  <c r="G10689" i="1"/>
  <c r="H10689" i="1"/>
  <c r="I10689" i="1"/>
  <c r="J10689" i="1"/>
  <c r="K10689" i="1"/>
  <c r="L10689" i="1"/>
  <c r="A10690" i="1"/>
  <c r="B10690" i="1"/>
  <c r="C10690" i="1"/>
  <c r="D10690" i="1"/>
  <c r="E10690" i="1"/>
  <c r="F10690" i="1"/>
  <c r="G10690" i="1"/>
  <c r="H10690" i="1"/>
  <c r="I10690" i="1"/>
  <c r="J10690" i="1"/>
  <c r="K10690" i="1"/>
  <c r="L10690" i="1"/>
  <c r="A10691" i="1"/>
  <c r="B10691" i="1"/>
  <c r="C10691" i="1"/>
  <c r="D10691" i="1"/>
  <c r="E10691" i="1"/>
  <c r="F10691" i="1"/>
  <c r="G10691" i="1"/>
  <c r="H10691" i="1"/>
  <c r="I10691" i="1"/>
  <c r="J10691" i="1"/>
  <c r="K10691" i="1"/>
  <c r="L10691" i="1"/>
  <c r="A10692" i="1"/>
  <c r="B10692" i="1"/>
  <c r="C10692" i="1"/>
  <c r="D10692" i="1"/>
  <c r="E10692" i="1"/>
  <c r="F10692" i="1"/>
  <c r="G10692" i="1"/>
  <c r="H10692" i="1"/>
  <c r="I10692" i="1"/>
  <c r="J10692" i="1"/>
  <c r="K10692" i="1"/>
  <c r="L10692" i="1"/>
  <c r="A10693" i="1"/>
  <c r="B10693" i="1"/>
  <c r="C10693" i="1"/>
  <c r="D10693" i="1"/>
  <c r="E10693" i="1"/>
  <c r="F10693" i="1"/>
  <c r="G10693" i="1"/>
  <c r="H10693" i="1"/>
  <c r="I10693" i="1"/>
  <c r="J10693" i="1"/>
  <c r="K10693" i="1"/>
  <c r="L10693" i="1"/>
  <c r="A10694" i="1"/>
  <c r="B10694" i="1"/>
  <c r="C10694" i="1"/>
  <c r="D10694" i="1"/>
  <c r="E10694" i="1"/>
  <c r="F10694" i="1"/>
  <c r="G10694" i="1"/>
  <c r="H10694" i="1"/>
  <c r="I10694" i="1"/>
  <c r="J10694" i="1"/>
  <c r="K10694" i="1"/>
  <c r="L10694" i="1"/>
  <c r="A10695" i="1"/>
  <c r="B10695" i="1"/>
  <c r="C10695" i="1"/>
  <c r="D10695" i="1"/>
  <c r="E10695" i="1"/>
  <c r="F10695" i="1"/>
  <c r="G10695" i="1"/>
  <c r="H10695" i="1"/>
  <c r="I10695" i="1"/>
  <c r="J10695" i="1"/>
  <c r="K10695" i="1"/>
  <c r="L10695" i="1"/>
  <c r="A10696" i="1"/>
  <c r="B10696" i="1"/>
  <c r="C10696" i="1"/>
  <c r="D10696" i="1"/>
  <c r="E10696" i="1"/>
  <c r="F10696" i="1"/>
  <c r="G10696" i="1"/>
  <c r="H10696" i="1"/>
  <c r="I10696" i="1"/>
  <c r="J10696" i="1"/>
  <c r="K10696" i="1"/>
  <c r="L10696" i="1"/>
  <c r="A10697" i="1"/>
  <c r="B10697" i="1"/>
  <c r="C10697" i="1"/>
  <c r="D10697" i="1"/>
  <c r="E10697" i="1"/>
  <c r="F10697" i="1"/>
  <c r="G10697" i="1"/>
  <c r="H10697" i="1"/>
  <c r="I10697" i="1"/>
  <c r="J10697" i="1"/>
  <c r="K10697" i="1"/>
  <c r="L10697" i="1"/>
  <c r="A10698" i="1"/>
  <c r="B10698" i="1"/>
  <c r="C10698" i="1"/>
  <c r="D10698" i="1"/>
  <c r="E10698" i="1"/>
  <c r="F10698" i="1"/>
  <c r="G10698" i="1"/>
  <c r="H10698" i="1"/>
  <c r="I10698" i="1"/>
  <c r="J10698" i="1"/>
  <c r="K10698" i="1"/>
  <c r="L10698" i="1"/>
  <c r="A10699" i="1"/>
  <c r="B10699" i="1"/>
  <c r="C10699" i="1"/>
  <c r="D10699" i="1"/>
  <c r="E10699" i="1"/>
  <c r="F10699" i="1"/>
  <c r="G10699" i="1"/>
  <c r="H10699" i="1"/>
  <c r="I10699" i="1"/>
  <c r="J10699" i="1"/>
  <c r="K10699" i="1"/>
  <c r="L10699" i="1"/>
  <c r="A10700" i="1"/>
  <c r="B10700" i="1"/>
  <c r="C10700" i="1"/>
  <c r="D10700" i="1"/>
  <c r="E10700" i="1"/>
  <c r="F10700" i="1"/>
  <c r="G10700" i="1"/>
  <c r="H10700" i="1"/>
  <c r="I10700" i="1"/>
  <c r="J10700" i="1"/>
  <c r="K10700" i="1"/>
  <c r="L10700" i="1"/>
  <c r="A10701" i="1"/>
  <c r="B10701" i="1"/>
  <c r="C10701" i="1"/>
  <c r="D10701" i="1"/>
  <c r="E10701" i="1"/>
  <c r="F10701" i="1"/>
  <c r="G10701" i="1"/>
  <c r="H10701" i="1"/>
  <c r="I10701" i="1"/>
  <c r="J10701" i="1"/>
  <c r="K10701" i="1"/>
  <c r="L10701" i="1"/>
  <c r="A10702" i="1"/>
  <c r="B10702" i="1"/>
  <c r="C10702" i="1"/>
  <c r="D10702" i="1"/>
  <c r="E10702" i="1"/>
  <c r="F10702" i="1"/>
  <c r="G10702" i="1"/>
  <c r="H10702" i="1"/>
  <c r="I10702" i="1"/>
  <c r="J10702" i="1"/>
  <c r="K10702" i="1"/>
  <c r="L10702" i="1"/>
  <c r="A10703" i="1"/>
  <c r="B10703" i="1"/>
  <c r="C10703" i="1"/>
  <c r="D10703" i="1"/>
  <c r="E10703" i="1"/>
  <c r="F10703" i="1"/>
  <c r="G10703" i="1"/>
  <c r="H10703" i="1"/>
  <c r="I10703" i="1"/>
  <c r="J10703" i="1"/>
  <c r="K10703" i="1"/>
  <c r="L10703" i="1"/>
  <c r="A10704" i="1"/>
  <c r="B10704" i="1"/>
  <c r="C10704" i="1"/>
  <c r="D10704" i="1"/>
  <c r="E10704" i="1"/>
  <c r="F10704" i="1"/>
  <c r="G10704" i="1"/>
  <c r="H10704" i="1"/>
  <c r="I10704" i="1"/>
  <c r="J10704" i="1"/>
  <c r="K10704" i="1"/>
  <c r="L10704" i="1"/>
  <c r="A10705" i="1"/>
  <c r="B10705" i="1"/>
  <c r="C10705" i="1"/>
  <c r="D10705" i="1"/>
  <c r="E10705" i="1"/>
  <c r="F10705" i="1"/>
  <c r="G10705" i="1"/>
  <c r="H10705" i="1"/>
  <c r="I10705" i="1"/>
  <c r="J10705" i="1"/>
  <c r="K10705" i="1"/>
  <c r="L10705" i="1"/>
  <c r="A10706" i="1"/>
  <c r="B10706" i="1"/>
  <c r="C10706" i="1"/>
  <c r="D10706" i="1"/>
  <c r="E10706" i="1"/>
  <c r="F10706" i="1"/>
  <c r="G10706" i="1"/>
  <c r="H10706" i="1"/>
  <c r="I10706" i="1"/>
  <c r="J10706" i="1"/>
  <c r="K10706" i="1"/>
  <c r="L10706" i="1"/>
  <c r="A10707" i="1"/>
  <c r="B10707" i="1"/>
  <c r="C10707" i="1"/>
  <c r="D10707" i="1"/>
  <c r="E10707" i="1"/>
  <c r="F10707" i="1"/>
  <c r="G10707" i="1"/>
  <c r="H10707" i="1"/>
  <c r="I10707" i="1"/>
  <c r="J10707" i="1"/>
  <c r="K10707" i="1"/>
  <c r="L10707" i="1"/>
  <c r="A10708" i="1"/>
  <c r="B10708" i="1"/>
  <c r="C10708" i="1"/>
  <c r="D10708" i="1"/>
  <c r="E10708" i="1"/>
  <c r="F10708" i="1"/>
  <c r="G10708" i="1"/>
  <c r="H10708" i="1"/>
  <c r="I10708" i="1"/>
  <c r="J10708" i="1"/>
  <c r="K10708" i="1"/>
  <c r="L10708" i="1"/>
  <c r="A10709" i="1"/>
  <c r="B10709" i="1"/>
  <c r="C10709" i="1"/>
  <c r="D10709" i="1"/>
  <c r="E10709" i="1"/>
  <c r="F10709" i="1"/>
  <c r="G10709" i="1"/>
  <c r="H10709" i="1"/>
  <c r="I10709" i="1"/>
  <c r="J10709" i="1"/>
  <c r="K10709" i="1"/>
  <c r="L10709" i="1"/>
  <c r="A10710" i="1"/>
  <c r="B10710" i="1"/>
  <c r="C10710" i="1"/>
  <c r="D10710" i="1"/>
  <c r="E10710" i="1"/>
  <c r="F10710" i="1"/>
  <c r="G10710" i="1"/>
  <c r="H10710" i="1"/>
  <c r="I10710" i="1"/>
  <c r="J10710" i="1"/>
  <c r="K10710" i="1"/>
  <c r="L10710" i="1"/>
  <c r="A10711" i="1"/>
  <c r="B10711" i="1"/>
  <c r="C10711" i="1"/>
  <c r="D10711" i="1"/>
  <c r="E10711" i="1"/>
  <c r="F10711" i="1"/>
  <c r="G10711" i="1"/>
  <c r="H10711" i="1"/>
  <c r="I10711" i="1"/>
  <c r="J10711" i="1"/>
  <c r="K10711" i="1"/>
  <c r="L10711" i="1"/>
  <c r="A10712" i="1"/>
  <c r="B10712" i="1"/>
  <c r="C10712" i="1"/>
  <c r="D10712" i="1"/>
  <c r="E10712" i="1"/>
  <c r="F10712" i="1"/>
  <c r="G10712" i="1"/>
  <c r="H10712" i="1"/>
  <c r="I10712" i="1"/>
  <c r="J10712" i="1"/>
  <c r="K10712" i="1"/>
  <c r="L10712" i="1"/>
  <c r="A10713" i="1"/>
  <c r="B10713" i="1"/>
  <c r="C10713" i="1"/>
  <c r="D10713" i="1"/>
  <c r="E10713" i="1"/>
  <c r="F10713" i="1"/>
  <c r="G10713" i="1"/>
  <c r="H10713" i="1"/>
  <c r="I10713" i="1"/>
  <c r="J10713" i="1"/>
  <c r="K10713" i="1"/>
  <c r="L10713" i="1"/>
  <c r="A10714" i="1"/>
  <c r="B10714" i="1"/>
  <c r="C10714" i="1"/>
  <c r="D10714" i="1"/>
  <c r="E10714" i="1"/>
  <c r="F10714" i="1"/>
  <c r="G10714" i="1"/>
  <c r="H10714" i="1"/>
  <c r="I10714" i="1"/>
  <c r="J10714" i="1"/>
  <c r="K10714" i="1"/>
  <c r="L10714" i="1"/>
  <c r="A10715" i="1"/>
  <c r="B10715" i="1"/>
  <c r="C10715" i="1"/>
  <c r="D10715" i="1"/>
  <c r="E10715" i="1"/>
  <c r="F10715" i="1"/>
  <c r="G10715" i="1"/>
  <c r="H10715" i="1"/>
  <c r="I10715" i="1"/>
  <c r="J10715" i="1"/>
  <c r="K10715" i="1"/>
  <c r="L10715" i="1"/>
  <c r="A10716" i="1"/>
  <c r="B10716" i="1"/>
  <c r="C10716" i="1"/>
  <c r="D10716" i="1"/>
  <c r="E10716" i="1"/>
  <c r="F10716" i="1"/>
  <c r="G10716" i="1"/>
  <c r="H10716" i="1"/>
  <c r="I10716" i="1"/>
  <c r="J10716" i="1"/>
  <c r="K10716" i="1"/>
  <c r="L10716" i="1"/>
  <c r="A10717" i="1"/>
  <c r="B10717" i="1"/>
  <c r="C10717" i="1"/>
  <c r="D10717" i="1"/>
  <c r="E10717" i="1"/>
  <c r="F10717" i="1"/>
  <c r="G10717" i="1"/>
  <c r="H10717" i="1"/>
  <c r="I10717" i="1"/>
  <c r="J10717" i="1"/>
  <c r="K10717" i="1"/>
  <c r="L10717" i="1"/>
  <c r="A10718" i="1"/>
  <c r="B10718" i="1"/>
  <c r="C10718" i="1"/>
  <c r="D10718" i="1"/>
  <c r="E10718" i="1"/>
  <c r="F10718" i="1"/>
  <c r="G10718" i="1"/>
  <c r="H10718" i="1"/>
  <c r="I10718" i="1"/>
  <c r="J10718" i="1"/>
  <c r="K10718" i="1"/>
  <c r="L10718" i="1"/>
  <c r="A10719" i="1"/>
  <c r="B10719" i="1"/>
  <c r="C10719" i="1"/>
  <c r="D10719" i="1"/>
  <c r="E10719" i="1"/>
  <c r="F10719" i="1"/>
  <c r="G10719" i="1"/>
  <c r="H10719" i="1"/>
  <c r="I10719" i="1"/>
  <c r="J10719" i="1"/>
  <c r="K10719" i="1"/>
  <c r="L10719" i="1"/>
  <c r="A10720" i="1"/>
  <c r="B10720" i="1"/>
  <c r="C10720" i="1"/>
  <c r="D10720" i="1"/>
  <c r="E10720" i="1"/>
  <c r="F10720" i="1"/>
  <c r="G10720" i="1"/>
  <c r="H10720" i="1"/>
  <c r="I10720" i="1"/>
  <c r="J10720" i="1"/>
  <c r="K10720" i="1"/>
  <c r="L10720" i="1"/>
  <c r="A10721" i="1"/>
  <c r="B10721" i="1"/>
  <c r="C10721" i="1"/>
  <c r="D10721" i="1"/>
  <c r="E10721" i="1"/>
  <c r="F10721" i="1"/>
  <c r="G10721" i="1"/>
  <c r="H10721" i="1"/>
  <c r="I10721" i="1"/>
  <c r="J10721" i="1"/>
  <c r="K10721" i="1"/>
  <c r="L10721" i="1"/>
  <c r="A10722" i="1"/>
  <c r="B10722" i="1"/>
  <c r="C10722" i="1"/>
  <c r="D10722" i="1"/>
  <c r="E10722" i="1"/>
  <c r="F10722" i="1"/>
  <c r="G10722" i="1"/>
  <c r="H10722" i="1"/>
  <c r="I10722" i="1"/>
  <c r="J10722" i="1"/>
  <c r="K10722" i="1"/>
  <c r="L10722" i="1"/>
  <c r="A10723" i="1"/>
  <c r="B10723" i="1"/>
  <c r="C10723" i="1"/>
  <c r="D10723" i="1"/>
  <c r="E10723" i="1"/>
  <c r="F10723" i="1"/>
  <c r="G10723" i="1"/>
  <c r="H10723" i="1"/>
  <c r="I10723" i="1"/>
  <c r="J10723" i="1"/>
  <c r="K10723" i="1"/>
  <c r="L10723" i="1"/>
  <c r="A10724" i="1"/>
  <c r="B10724" i="1"/>
  <c r="C10724" i="1"/>
  <c r="D10724" i="1"/>
  <c r="E10724" i="1"/>
  <c r="F10724" i="1"/>
  <c r="G10724" i="1"/>
  <c r="H10724" i="1"/>
  <c r="I10724" i="1"/>
  <c r="J10724" i="1"/>
  <c r="K10724" i="1"/>
  <c r="L10724" i="1"/>
  <c r="A10725" i="1"/>
  <c r="B10725" i="1"/>
  <c r="C10725" i="1"/>
  <c r="D10725" i="1"/>
  <c r="E10725" i="1"/>
  <c r="F10725" i="1"/>
  <c r="G10725" i="1"/>
  <c r="H10725" i="1"/>
  <c r="I10725" i="1"/>
  <c r="J10725" i="1"/>
  <c r="K10725" i="1"/>
  <c r="L10725" i="1"/>
  <c r="A10726" i="1"/>
  <c r="B10726" i="1"/>
  <c r="C10726" i="1"/>
  <c r="D10726" i="1"/>
  <c r="E10726" i="1"/>
  <c r="F10726" i="1"/>
  <c r="G10726" i="1"/>
  <c r="H10726" i="1"/>
  <c r="I10726" i="1"/>
  <c r="J10726" i="1"/>
  <c r="K10726" i="1"/>
  <c r="L10726" i="1"/>
  <c r="A10727" i="1"/>
  <c r="B10727" i="1"/>
  <c r="C10727" i="1"/>
  <c r="D10727" i="1"/>
  <c r="E10727" i="1"/>
  <c r="F10727" i="1"/>
  <c r="G10727" i="1"/>
  <c r="H10727" i="1"/>
  <c r="I10727" i="1"/>
  <c r="J10727" i="1"/>
  <c r="K10727" i="1"/>
  <c r="L10727" i="1"/>
  <c r="A10728" i="1"/>
  <c r="B10728" i="1"/>
  <c r="C10728" i="1"/>
  <c r="D10728" i="1"/>
  <c r="E10728" i="1"/>
  <c r="F10728" i="1"/>
  <c r="G10728" i="1"/>
  <c r="H10728" i="1"/>
  <c r="I10728" i="1"/>
  <c r="J10728" i="1"/>
  <c r="K10728" i="1"/>
  <c r="L10728" i="1"/>
  <c r="A10729" i="1"/>
  <c r="B10729" i="1"/>
  <c r="C10729" i="1"/>
  <c r="D10729" i="1"/>
  <c r="E10729" i="1"/>
  <c r="F10729" i="1"/>
  <c r="G10729" i="1"/>
  <c r="H10729" i="1"/>
  <c r="I10729" i="1"/>
  <c r="J10729" i="1"/>
  <c r="K10729" i="1"/>
  <c r="L10729" i="1"/>
  <c r="A10730" i="1"/>
  <c r="B10730" i="1"/>
  <c r="C10730" i="1"/>
  <c r="D10730" i="1"/>
  <c r="E10730" i="1"/>
  <c r="F10730" i="1"/>
  <c r="G10730" i="1"/>
  <c r="H10730" i="1"/>
  <c r="I10730" i="1"/>
  <c r="J10730" i="1"/>
  <c r="K10730" i="1"/>
  <c r="L10730" i="1"/>
  <c r="A10731" i="1"/>
  <c r="B10731" i="1"/>
  <c r="C10731" i="1"/>
  <c r="D10731" i="1"/>
  <c r="E10731" i="1"/>
  <c r="F10731" i="1"/>
  <c r="G10731" i="1"/>
  <c r="H10731" i="1"/>
  <c r="I10731" i="1"/>
  <c r="J10731" i="1"/>
  <c r="K10731" i="1"/>
  <c r="L10731" i="1"/>
  <c r="A10732" i="1"/>
  <c r="B10732" i="1"/>
  <c r="C10732" i="1"/>
  <c r="D10732" i="1"/>
  <c r="E10732" i="1"/>
  <c r="F10732" i="1"/>
  <c r="G10732" i="1"/>
  <c r="H10732" i="1"/>
  <c r="I10732" i="1"/>
  <c r="J10732" i="1"/>
  <c r="K10732" i="1"/>
  <c r="L10732" i="1"/>
  <c r="A10733" i="1"/>
  <c r="B10733" i="1"/>
  <c r="C10733" i="1"/>
  <c r="D10733" i="1"/>
  <c r="E10733" i="1"/>
  <c r="F10733" i="1"/>
  <c r="G10733" i="1"/>
  <c r="H10733" i="1"/>
  <c r="I10733" i="1"/>
  <c r="J10733" i="1"/>
  <c r="K10733" i="1"/>
  <c r="L10733" i="1"/>
  <c r="A10734" i="1"/>
  <c r="B10734" i="1"/>
  <c r="C10734" i="1"/>
  <c r="D10734" i="1"/>
  <c r="E10734" i="1"/>
  <c r="F10734" i="1"/>
  <c r="G10734" i="1"/>
  <c r="H10734" i="1"/>
  <c r="I10734" i="1"/>
  <c r="J10734" i="1"/>
  <c r="K10734" i="1"/>
  <c r="L10734" i="1"/>
  <c r="A10735" i="1"/>
  <c r="B10735" i="1"/>
  <c r="C10735" i="1"/>
  <c r="D10735" i="1"/>
  <c r="E10735" i="1"/>
  <c r="F10735" i="1"/>
  <c r="G10735" i="1"/>
  <c r="H10735" i="1"/>
  <c r="I10735" i="1"/>
  <c r="J10735" i="1"/>
  <c r="K10735" i="1"/>
  <c r="L10735" i="1"/>
  <c r="A10736" i="1"/>
  <c r="B10736" i="1"/>
  <c r="C10736" i="1"/>
  <c r="D10736" i="1"/>
  <c r="E10736" i="1"/>
  <c r="F10736" i="1"/>
  <c r="G10736" i="1"/>
  <c r="H10736" i="1"/>
  <c r="I10736" i="1"/>
  <c r="J10736" i="1"/>
  <c r="K10736" i="1"/>
  <c r="L10736" i="1"/>
  <c r="A10737" i="1"/>
  <c r="B10737" i="1"/>
  <c r="C10737" i="1"/>
  <c r="D10737" i="1"/>
  <c r="E10737" i="1"/>
  <c r="F10737" i="1"/>
  <c r="G10737" i="1"/>
  <c r="H10737" i="1"/>
  <c r="I10737" i="1"/>
  <c r="J10737" i="1"/>
  <c r="K10737" i="1"/>
  <c r="L10737" i="1"/>
  <c r="A10738" i="1"/>
  <c r="B10738" i="1"/>
  <c r="C10738" i="1"/>
  <c r="D10738" i="1"/>
  <c r="E10738" i="1"/>
  <c r="F10738" i="1"/>
  <c r="G10738" i="1"/>
  <c r="H10738" i="1"/>
  <c r="I10738" i="1"/>
  <c r="J10738" i="1"/>
  <c r="K10738" i="1"/>
  <c r="L10738" i="1"/>
  <c r="A10739" i="1"/>
  <c r="B10739" i="1"/>
  <c r="C10739" i="1"/>
  <c r="D10739" i="1"/>
  <c r="E10739" i="1"/>
  <c r="F10739" i="1"/>
  <c r="G10739" i="1"/>
  <c r="H10739" i="1"/>
  <c r="I10739" i="1"/>
  <c r="J10739" i="1"/>
  <c r="K10739" i="1"/>
  <c r="L10739" i="1"/>
  <c r="A10740" i="1"/>
  <c r="B10740" i="1"/>
  <c r="C10740" i="1"/>
  <c r="D10740" i="1"/>
  <c r="E10740" i="1"/>
  <c r="F10740" i="1"/>
  <c r="G10740" i="1"/>
  <c r="H10740" i="1"/>
  <c r="I10740" i="1"/>
  <c r="J10740" i="1"/>
  <c r="K10740" i="1"/>
  <c r="L10740" i="1"/>
  <c r="A10741" i="1"/>
  <c r="B10741" i="1"/>
  <c r="C10741" i="1"/>
  <c r="D10741" i="1"/>
  <c r="E10741" i="1"/>
  <c r="F10741" i="1"/>
  <c r="G10741" i="1"/>
  <c r="H10741" i="1"/>
  <c r="I10741" i="1"/>
  <c r="J10741" i="1"/>
  <c r="K10741" i="1"/>
  <c r="L10741" i="1"/>
  <c r="A10742" i="1"/>
  <c r="B10742" i="1"/>
  <c r="C10742" i="1"/>
  <c r="D10742" i="1"/>
  <c r="E10742" i="1"/>
  <c r="F10742" i="1"/>
  <c r="G10742" i="1"/>
  <c r="H10742" i="1"/>
  <c r="I10742" i="1"/>
  <c r="J10742" i="1"/>
  <c r="K10742" i="1"/>
  <c r="L10742" i="1"/>
  <c r="A10743" i="1"/>
  <c r="B10743" i="1"/>
  <c r="C10743" i="1"/>
  <c r="D10743" i="1"/>
  <c r="E10743" i="1"/>
  <c r="F10743" i="1"/>
  <c r="G10743" i="1"/>
  <c r="H10743" i="1"/>
  <c r="I10743" i="1"/>
  <c r="J10743" i="1"/>
  <c r="K10743" i="1"/>
  <c r="L10743" i="1"/>
  <c r="A10744" i="1"/>
  <c r="B10744" i="1"/>
  <c r="C10744" i="1"/>
  <c r="D10744" i="1"/>
  <c r="E10744" i="1"/>
  <c r="F10744" i="1"/>
  <c r="G10744" i="1"/>
  <c r="H10744" i="1"/>
  <c r="I10744" i="1"/>
  <c r="J10744" i="1"/>
  <c r="K10744" i="1"/>
  <c r="L10744" i="1"/>
  <c r="A10745" i="1"/>
  <c r="B10745" i="1"/>
  <c r="C10745" i="1"/>
  <c r="D10745" i="1"/>
  <c r="E10745" i="1"/>
  <c r="F10745" i="1"/>
  <c r="G10745" i="1"/>
  <c r="H10745" i="1"/>
  <c r="I10745" i="1"/>
  <c r="J10745" i="1"/>
  <c r="K10745" i="1"/>
  <c r="L10745" i="1"/>
  <c r="A10746" i="1"/>
  <c r="B10746" i="1"/>
  <c r="C10746" i="1"/>
  <c r="D10746" i="1"/>
  <c r="E10746" i="1"/>
  <c r="F10746" i="1"/>
  <c r="G10746" i="1"/>
  <c r="H10746" i="1"/>
  <c r="I10746" i="1"/>
  <c r="J10746" i="1"/>
  <c r="K10746" i="1"/>
  <c r="L10746" i="1"/>
  <c r="A10747" i="1"/>
  <c r="B10747" i="1"/>
  <c r="C10747" i="1"/>
  <c r="D10747" i="1"/>
  <c r="E10747" i="1"/>
  <c r="F10747" i="1"/>
  <c r="G10747" i="1"/>
  <c r="H10747" i="1"/>
  <c r="I10747" i="1"/>
  <c r="J10747" i="1"/>
  <c r="K10747" i="1"/>
  <c r="L10747" i="1"/>
  <c r="A10748" i="1"/>
  <c r="B10748" i="1"/>
  <c r="C10748" i="1"/>
  <c r="D10748" i="1"/>
  <c r="E10748" i="1"/>
  <c r="F10748" i="1"/>
  <c r="G10748" i="1"/>
  <c r="H10748" i="1"/>
  <c r="I10748" i="1"/>
  <c r="J10748" i="1"/>
  <c r="K10748" i="1"/>
  <c r="L10748" i="1"/>
  <c r="A10749" i="1"/>
  <c r="B10749" i="1"/>
  <c r="C10749" i="1"/>
  <c r="D10749" i="1"/>
  <c r="E10749" i="1"/>
  <c r="F10749" i="1"/>
  <c r="G10749" i="1"/>
  <c r="H10749" i="1"/>
  <c r="I10749" i="1"/>
  <c r="J10749" i="1"/>
  <c r="K10749" i="1"/>
  <c r="L10749" i="1"/>
  <c r="A10750" i="1"/>
  <c r="B10750" i="1"/>
  <c r="C10750" i="1"/>
  <c r="D10750" i="1"/>
  <c r="E10750" i="1"/>
  <c r="F10750" i="1"/>
  <c r="G10750" i="1"/>
  <c r="H10750" i="1"/>
  <c r="I10750" i="1"/>
  <c r="J10750" i="1"/>
  <c r="K10750" i="1"/>
  <c r="L10750" i="1"/>
  <c r="A10751" i="1"/>
  <c r="B10751" i="1"/>
  <c r="C10751" i="1"/>
  <c r="D10751" i="1"/>
  <c r="E10751" i="1"/>
  <c r="F10751" i="1"/>
  <c r="G10751" i="1"/>
  <c r="H10751" i="1"/>
  <c r="I10751" i="1"/>
  <c r="J10751" i="1"/>
  <c r="K10751" i="1"/>
  <c r="L10751" i="1"/>
  <c r="A10752" i="1"/>
  <c r="B10752" i="1"/>
  <c r="C10752" i="1"/>
  <c r="D10752" i="1"/>
  <c r="E10752" i="1"/>
  <c r="F10752" i="1"/>
  <c r="G10752" i="1"/>
  <c r="H10752" i="1"/>
  <c r="I10752" i="1"/>
  <c r="J10752" i="1"/>
  <c r="K10752" i="1"/>
  <c r="L10752" i="1"/>
  <c r="A10753" i="1"/>
  <c r="B10753" i="1"/>
  <c r="C10753" i="1"/>
  <c r="D10753" i="1"/>
  <c r="E10753" i="1"/>
  <c r="F10753" i="1"/>
  <c r="G10753" i="1"/>
  <c r="H10753" i="1"/>
  <c r="I10753" i="1"/>
  <c r="J10753" i="1"/>
  <c r="K10753" i="1"/>
  <c r="L10753" i="1"/>
  <c r="A10754" i="1"/>
  <c r="B10754" i="1"/>
  <c r="C10754" i="1"/>
  <c r="D10754" i="1"/>
  <c r="E10754" i="1"/>
  <c r="F10754" i="1"/>
  <c r="G10754" i="1"/>
  <c r="H10754" i="1"/>
  <c r="I10754" i="1"/>
  <c r="J10754" i="1"/>
  <c r="K10754" i="1"/>
  <c r="L10754" i="1"/>
  <c r="A10755" i="1"/>
  <c r="B10755" i="1"/>
  <c r="C10755" i="1"/>
  <c r="D10755" i="1"/>
  <c r="E10755" i="1"/>
  <c r="F10755" i="1"/>
  <c r="G10755" i="1"/>
  <c r="H10755" i="1"/>
  <c r="I10755" i="1"/>
  <c r="J10755" i="1"/>
  <c r="K10755" i="1"/>
  <c r="L10755" i="1"/>
  <c r="A10756" i="1"/>
  <c r="B10756" i="1"/>
  <c r="C10756" i="1"/>
  <c r="D10756" i="1"/>
  <c r="E10756" i="1"/>
  <c r="F10756" i="1"/>
  <c r="G10756" i="1"/>
  <c r="H10756" i="1"/>
  <c r="I10756" i="1"/>
  <c r="J10756" i="1"/>
  <c r="K10756" i="1"/>
  <c r="L10756" i="1"/>
  <c r="A10757" i="1"/>
  <c r="B10757" i="1"/>
  <c r="C10757" i="1"/>
  <c r="D10757" i="1"/>
  <c r="E10757" i="1"/>
  <c r="F10757" i="1"/>
  <c r="G10757" i="1"/>
  <c r="H10757" i="1"/>
  <c r="I10757" i="1"/>
  <c r="J10757" i="1"/>
  <c r="K10757" i="1"/>
  <c r="L10757" i="1"/>
  <c r="A10758" i="1"/>
  <c r="B10758" i="1"/>
  <c r="C10758" i="1"/>
  <c r="D10758" i="1"/>
  <c r="E10758" i="1"/>
  <c r="F10758" i="1"/>
  <c r="G10758" i="1"/>
  <c r="H10758" i="1"/>
  <c r="I10758" i="1"/>
  <c r="J10758" i="1"/>
  <c r="K10758" i="1"/>
  <c r="L10758" i="1"/>
  <c r="A10759" i="1"/>
  <c r="B10759" i="1"/>
  <c r="C10759" i="1"/>
  <c r="D10759" i="1"/>
  <c r="E10759" i="1"/>
  <c r="F10759" i="1"/>
  <c r="G10759" i="1"/>
  <c r="H10759" i="1"/>
  <c r="I10759" i="1"/>
  <c r="J10759" i="1"/>
  <c r="K10759" i="1"/>
  <c r="L10759" i="1"/>
  <c r="A10760" i="1"/>
  <c r="B10760" i="1"/>
  <c r="C10760" i="1"/>
  <c r="D10760" i="1"/>
  <c r="E10760" i="1"/>
  <c r="F10760" i="1"/>
  <c r="G10760" i="1"/>
  <c r="H10760" i="1"/>
  <c r="I10760" i="1"/>
  <c r="J10760" i="1"/>
  <c r="K10760" i="1"/>
  <c r="L10760" i="1"/>
  <c r="A10761" i="1"/>
  <c r="B10761" i="1"/>
  <c r="C10761" i="1"/>
  <c r="D10761" i="1"/>
  <c r="E10761" i="1"/>
  <c r="F10761" i="1"/>
  <c r="G10761" i="1"/>
  <c r="H10761" i="1"/>
  <c r="I10761" i="1"/>
  <c r="J10761" i="1"/>
  <c r="K10761" i="1"/>
  <c r="L10761" i="1"/>
  <c r="A10762" i="1"/>
  <c r="B10762" i="1"/>
  <c r="C10762" i="1"/>
  <c r="D10762" i="1"/>
  <c r="E10762" i="1"/>
  <c r="F10762" i="1"/>
  <c r="G10762" i="1"/>
  <c r="H10762" i="1"/>
  <c r="I10762" i="1"/>
  <c r="J10762" i="1"/>
  <c r="K10762" i="1"/>
  <c r="L10762" i="1"/>
  <c r="A10763" i="1"/>
  <c r="B10763" i="1"/>
  <c r="C10763" i="1"/>
  <c r="D10763" i="1"/>
  <c r="E10763" i="1"/>
  <c r="F10763" i="1"/>
  <c r="G10763" i="1"/>
  <c r="H10763" i="1"/>
  <c r="I10763" i="1"/>
  <c r="J10763" i="1"/>
  <c r="K10763" i="1"/>
  <c r="L10763" i="1"/>
  <c r="A10764" i="1"/>
  <c r="B10764" i="1"/>
  <c r="C10764" i="1"/>
  <c r="D10764" i="1"/>
  <c r="E10764" i="1"/>
  <c r="F10764" i="1"/>
  <c r="G10764" i="1"/>
  <c r="H10764" i="1"/>
  <c r="I10764" i="1"/>
  <c r="J10764" i="1"/>
  <c r="K10764" i="1"/>
  <c r="L10764" i="1"/>
  <c r="A10765" i="1"/>
  <c r="B10765" i="1"/>
  <c r="C10765" i="1"/>
  <c r="D10765" i="1"/>
  <c r="E10765" i="1"/>
  <c r="F10765" i="1"/>
  <c r="G10765" i="1"/>
  <c r="H10765" i="1"/>
  <c r="I10765" i="1"/>
  <c r="J10765" i="1"/>
  <c r="K10765" i="1"/>
  <c r="L10765" i="1"/>
  <c r="A10766" i="1"/>
  <c r="B10766" i="1"/>
  <c r="C10766" i="1"/>
  <c r="D10766" i="1"/>
  <c r="E10766" i="1"/>
  <c r="F10766" i="1"/>
  <c r="G10766" i="1"/>
  <c r="H10766" i="1"/>
  <c r="I10766" i="1"/>
  <c r="J10766" i="1"/>
  <c r="K10766" i="1"/>
  <c r="L10766" i="1"/>
  <c r="A10767" i="1"/>
  <c r="B10767" i="1"/>
  <c r="C10767" i="1"/>
  <c r="D10767" i="1"/>
  <c r="E10767" i="1"/>
  <c r="F10767" i="1"/>
  <c r="G10767" i="1"/>
  <c r="H10767" i="1"/>
  <c r="I10767" i="1"/>
  <c r="J10767" i="1"/>
  <c r="K10767" i="1"/>
  <c r="L10767" i="1"/>
  <c r="A10768" i="1"/>
  <c r="B10768" i="1"/>
  <c r="C10768" i="1"/>
  <c r="D10768" i="1"/>
  <c r="E10768" i="1"/>
  <c r="F10768" i="1"/>
  <c r="G10768" i="1"/>
  <c r="H10768" i="1"/>
  <c r="I10768" i="1"/>
  <c r="J10768" i="1"/>
  <c r="K10768" i="1"/>
  <c r="L10768" i="1"/>
  <c r="A10769" i="1"/>
  <c r="B10769" i="1"/>
  <c r="C10769" i="1"/>
  <c r="D10769" i="1"/>
  <c r="E10769" i="1"/>
  <c r="F10769" i="1"/>
  <c r="G10769" i="1"/>
  <c r="H10769" i="1"/>
  <c r="I10769" i="1"/>
  <c r="J10769" i="1"/>
  <c r="K10769" i="1"/>
  <c r="L10769" i="1"/>
  <c r="A10770" i="1"/>
  <c r="B10770" i="1"/>
  <c r="C10770" i="1"/>
  <c r="D10770" i="1"/>
  <c r="E10770" i="1"/>
  <c r="F10770" i="1"/>
  <c r="G10770" i="1"/>
  <c r="H10770" i="1"/>
  <c r="I10770" i="1"/>
  <c r="J10770" i="1"/>
  <c r="K10770" i="1"/>
  <c r="L10770" i="1"/>
  <c r="A10771" i="1"/>
  <c r="B10771" i="1"/>
  <c r="C10771" i="1"/>
  <c r="D10771" i="1"/>
  <c r="E10771" i="1"/>
  <c r="F10771" i="1"/>
  <c r="G10771" i="1"/>
  <c r="H10771" i="1"/>
  <c r="I10771" i="1"/>
  <c r="J10771" i="1"/>
  <c r="K10771" i="1"/>
  <c r="L10771" i="1"/>
  <c r="A10772" i="1"/>
  <c r="B10772" i="1"/>
  <c r="C10772" i="1"/>
  <c r="D10772" i="1"/>
  <c r="E10772" i="1"/>
  <c r="F10772" i="1"/>
  <c r="G10772" i="1"/>
  <c r="H10772" i="1"/>
  <c r="I10772" i="1"/>
  <c r="J10772" i="1"/>
  <c r="K10772" i="1"/>
  <c r="L10772" i="1"/>
  <c r="A10773" i="1"/>
  <c r="B10773" i="1"/>
  <c r="C10773" i="1"/>
  <c r="D10773" i="1"/>
  <c r="E10773" i="1"/>
  <c r="F10773" i="1"/>
  <c r="G10773" i="1"/>
  <c r="H10773" i="1"/>
  <c r="I10773" i="1"/>
  <c r="J10773" i="1"/>
  <c r="K10773" i="1"/>
  <c r="L10773" i="1"/>
  <c r="A10774" i="1"/>
  <c r="B10774" i="1"/>
  <c r="C10774" i="1"/>
  <c r="D10774" i="1"/>
  <c r="E10774" i="1"/>
  <c r="F10774" i="1"/>
  <c r="G10774" i="1"/>
  <c r="H10774" i="1"/>
  <c r="I10774" i="1"/>
  <c r="J10774" i="1"/>
  <c r="K10774" i="1"/>
  <c r="L10774" i="1"/>
  <c r="A10775" i="1"/>
  <c r="B10775" i="1"/>
  <c r="C10775" i="1"/>
  <c r="D10775" i="1"/>
  <c r="E10775" i="1"/>
  <c r="F10775" i="1"/>
  <c r="G10775" i="1"/>
  <c r="H10775" i="1"/>
  <c r="I10775" i="1"/>
  <c r="J10775" i="1"/>
  <c r="K10775" i="1"/>
  <c r="L10775" i="1"/>
  <c r="A10776" i="1"/>
  <c r="B10776" i="1"/>
  <c r="C10776" i="1"/>
  <c r="D10776" i="1"/>
  <c r="E10776" i="1"/>
  <c r="F10776" i="1"/>
  <c r="G10776" i="1"/>
  <c r="H10776" i="1"/>
  <c r="I10776" i="1"/>
  <c r="J10776" i="1"/>
  <c r="K10776" i="1"/>
  <c r="L10776" i="1"/>
  <c r="A10777" i="1"/>
  <c r="B10777" i="1"/>
  <c r="C10777" i="1"/>
  <c r="D10777" i="1"/>
  <c r="E10777" i="1"/>
  <c r="F10777" i="1"/>
  <c r="G10777" i="1"/>
  <c r="H10777" i="1"/>
  <c r="I10777" i="1"/>
  <c r="J10777" i="1"/>
  <c r="K10777" i="1"/>
  <c r="L10777" i="1"/>
  <c r="A10778" i="1"/>
  <c r="B10778" i="1"/>
  <c r="C10778" i="1"/>
  <c r="D10778" i="1"/>
  <c r="E10778" i="1"/>
  <c r="F10778" i="1"/>
  <c r="G10778" i="1"/>
  <c r="H10778" i="1"/>
  <c r="I10778" i="1"/>
  <c r="J10778" i="1"/>
  <c r="K10778" i="1"/>
  <c r="L10778" i="1"/>
  <c r="A10779" i="1"/>
  <c r="B10779" i="1"/>
  <c r="C10779" i="1"/>
  <c r="D10779" i="1"/>
  <c r="E10779" i="1"/>
  <c r="F10779" i="1"/>
  <c r="G10779" i="1"/>
  <c r="H10779" i="1"/>
  <c r="I10779" i="1"/>
  <c r="J10779" i="1"/>
  <c r="K10779" i="1"/>
  <c r="L10779" i="1"/>
  <c r="A10780" i="1"/>
  <c r="B10780" i="1"/>
  <c r="C10780" i="1"/>
  <c r="D10780" i="1"/>
  <c r="E10780" i="1"/>
  <c r="F10780" i="1"/>
  <c r="G10780" i="1"/>
  <c r="H10780" i="1"/>
  <c r="I10780" i="1"/>
  <c r="J10780" i="1"/>
  <c r="K10780" i="1"/>
  <c r="L10780" i="1"/>
  <c r="A10781" i="1"/>
  <c r="B10781" i="1"/>
  <c r="C10781" i="1"/>
  <c r="D10781" i="1"/>
  <c r="E10781" i="1"/>
  <c r="F10781" i="1"/>
  <c r="G10781" i="1"/>
  <c r="H10781" i="1"/>
  <c r="I10781" i="1"/>
  <c r="J10781" i="1"/>
  <c r="K10781" i="1"/>
  <c r="L10781" i="1"/>
  <c r="A10782" i="1"/>
  <c r="B10782" i="1"/>
  <c r="C10782" i="1"/>
  <c r="D10782" i="1"/>
  <c r="E10782" i="1"/>
  <c r="F10782" i="1"/>
  <c r="G10782" i="1"/>
  <c r="H10782" i="1"/>
  <c r="I10782" i="1"/>
  <c r="J10782" i="1"/>
  <c r="K10782" i="1"/>
  <c r="L10782" i="1"/>
  <c r="A10783" i="1"/>
  <c r="B10783" i="1"/>
  <c r="C10783" i="1"/>
  <c r="D10783" i="1"/>
  <c r="E10783" i="1"/>
  <c r="F10783" i="1"/>
  <c r="G10783" i="1"/>
  <c r="H10783" i="1"/>
  <c r="I10783" i="1"/>
  <c r="J10783" i="1"/>
  <c r="K10783" i="1"/>
  <c r="L10783" i="1"/>
  <c r="A10784" i="1"/>
  <c r="B10784" i="1"/>
  <c r="C10784" i="1"/>
  <c r="D10784" i="1"/>
  <c r="E10784" i="1"/>
  <c r="F10784" i="1"/>
  <c r="G10784" i="1"/>
  <c r="H10784" i="1"/>
  <c r="I10784" i="1"/>
  <c r="J10784" i="1"/>
  <c r="K10784" i="1"/>
  <c r="L10784" i="1"/>
  <c r="A10785" i="1"/>
  <c r="B10785" i="1"/>
  <c r="C10785" i="1"/>
  <c r="D10785" i="1"/>
  <c r="E10785" i="1"/>
  <c r="F10785" i="1"/>
  <c r="G10785" i="1"/>
  <c r="H10785" i="1"/>
  <c r="I10785" i="1"/>
  <c r="J10785" i="1"/>
  <c r="K10785" i="1"/>
  <c r="L10785" i="1"/>
  <c r="A10786" i="1"/>
  <c r="B10786" i="1"/>
  <c r="C10786" i="1"/>
  <c r="D10786" i="1"/>
  <c r="E10786" i="1"/>
  <c r="F10786" i="1"/>
  <c r="G10786" i="1"/>
  <c r="H10786" i="1"/>
  <c r="I10786" i="1"/>
  <c r="J10786" i="1"/>
  <c r="K10786" i="1"/>
  <c r="L10786" i="1"/>
  <c r="A10787" i="1"/>
  <c r="B10787" i="1"/>
  <c r="C10787" i="1"/>
  <c r="D10787" i="1"/>
  <c r="E10787" i="1"/>
  <c r="F10787" i="1"/>
  <c r="G10787" i="1"/>
  <c r="H10787" i="1"/>
  <c r="I10787" i="1"/>
  <c r="J10787" i="1"/>
  <c r="K10787" i="1"/>
  <c r="L10787" i="1"/>
  <c r="A10788" i="1"/>
  <c r="B10788" i="1"/>
  <c r="C10788" i="1"/>
  <c r="D10788" i="1"/>
  <c r="E10788" i="1"/>
  <c r="F10788" i="1"/>
  <c r="G10788" i="1"/>
  <c r="H10788" i="1"/>
  <c r="I10788" i="1"/>
  <c r="J10788" i="1"/>
  <c r="K10788" i="1"/>
  <c r="L10788" i="1"/>
  <c r="A10789" i="1"/>
  <c r="B10789" i="1"/>
  <c r="C10789" i="1"/>
  <c r="D10789" i="1"/>
  <c r="E10789" i="1"/>
  <c r="F10789" i="1"/>
  <c r="G10789" i="1"/>
  <c r="H10789" i="1"/>
  <c r="I10789" i="1"/>
  <c r="J10789" i="1"/>
  <c r="K10789" i="1"/>
  <c r="L10789" i="1"/>
  <c r="A10790" i="1"/>
  <c r="B10790" i="1"/>
  <c r="C10790" i="1"/>
  <c r="D10790" i="1"/>
  <c r="E10790" i="1"/>
  <c r="F10790" i="1"/>
  <c r="G10790" i="1"/>
  <c r="H10790" i="1"/>
  <c r="I10790" i="1"/>
  <c r="J10790" i="1"/>
  <c r="K10790" i="1"/>
  <c r="L10790" i="1"/>
  <c r="A10791" i="1"/>
  <c r="B10791" i="1"/>
  <c r="C10791" i="1"/>
  <c r="D10791" i="1"/>
  <c r="E10791" i="1"/>
  <c r="F10791" i="1"/>
  <c r="G10791" i="1"/>
  <c r="H10791" i="1"/>
  <c r="I10791" i="1"/>
  <c r="J10791" i="1"/>
  <c r="K10791" i="1"/>
  <c r="L10791" i="1"/>
  <c r="A10792" i="1"/>
  <c r="B10792" i="1"/>
  <c r="C10792" i="1"/>
  <c r="D10792" i="1"/>
  <c r="E10792" i="1"/>
  <c r="F10792" i="1"/>
  <c r="G10792" i="1"/>
  <c r="H10792" i="1"/>
  <c r="I10792" i="1"/>
  <c r="J10792" i="1"/>
  <c r="K10792" i="1"/>
  <c r="L10792" i="1"/>
  <c r="A10793" i="1"/>
  <c r="B10793" i="1"/>
  <c r="C10793" i="1"/>
  <c r="D10793" i="1"/>
  <c r="E10793" i="1"/>
  <c r="F10793" i="1"/>
  <c r="G10793" i="1"/>
  <c r="H10793" i="1"/>
  <c r="I10793" i="1"/>
  <c r="J10793" i="1"/>
  <c r="K10793" i="1"/>
  <c r="L10793" i="1"/>
  <c r="A10794" i="1"/>
  <c r="B10794" i="1"/>
  <c r="C10794" i="1"/>
  <c r="D10794" i="1"/>
  <c r="E10794" i="1"/>
  <c r="F10794" i="1"/>
  <c r="G10794" i="1"/>
  <c r="H10794" i="1"/>
  <c r="I10794" i="1"/>
  <c r="J10794" i="1"/>
  <c r="K10794" i="1"/>
  <c r="L10794" i="1"/>
  <c r="A10795" i="1"/>
  <c r="B10795" i="1"/>
  <c r="C10795" i="1"/>
  <c r="D10795" i="1"/>
  <c r="E10795" i="1"/>
  <c r="F10795" i="1"/>
  <c r="G10795" i="1"/>
  <c r="H10795" i="1"/>
  <c r="I10795" i="1"/>
  <c r="J10795" i="1"/>
  <c r="K10795" i="1"/>
  <c r="L10795" i="1"/>
  <c r="A10796" i="1"/>
  <c r="B10796" i="1"/>
  <c r="C10796" i="1"/>
  <c r="D10796" i="1"/>
  <c r="E10796" i="1"/>
  <c r="F10796" i="1"/>
  <c r="G10796" i="1"/>
  <c r="H10796" i="1"/>
  <c r="I10796" i="1"/>
  <c r="J10796" i="1"/>
  <c r="K10796" i="1"/>
  <c r="L10796" i="1"/>
  <c r="A10797" i="1"/>
  <c r="B10797" i="1"/>
  <c r="C10797" i="1"/>
  <c r="D10797" i="1"/>
  <c r="E10797" i="1"/>
  <c r="F10797" i="1"/>
  <c r="G10797" i="1"/>
  <c r="H10797" i="1"/>
  <c r="I10797" i="1"/>
  <c r="J10797" i="1"/>
  <c r="K10797" i="1"/>
  <c r="L10797" i="1"/>
  <c r="A10798" i="1"/>
  <c r="B10798" i="1"/>
  <c r="C10798" i="1"/>
  <c r="D10798" i="1"/>
  <c r="E10798" i="1"/>
  <c r="F10798" i="1"/>
  <c r="G10798" i="1"/>
  <c r="H10798" i="1"/>
  <c r="I10798" i="1"/>
  <c r="J10798" i="1"/>
  <c r="K10798" i="1"/>
  <c r="L10798" i="1"/>
  <c r="A10799" i="1"/>
  <c r="B10799" i="1"/>
  <c r="C10799" i="1"/>
  <c r="D10799" i="1"/>
  <c r="E10799" i="1"/>
  <c r="F10799" i="1"/>
  <c r="G10799" i="1"/>
  <c r="H10799" i="1"/>
  <c r="I10799" i="1"/>
  <c r="J10799" i="1"/>
  <c r="K10799" i="1"/>
  <c r="L10799" i="1"/>
  <c r="A10800" i="1"/>
  <c r="B10800" i="1"/>
  <c r="C10800" i="1"/>
  <c r="D10800" i="1"/>
  <c r="E10800" i="1"/>
  <c r="F10800" i="1"/>
  <c r="G10800" i="1"/>
  <c r="H10800" i="1"/>
  <c r="I10800" i="1"/>
  <c r="J10800" i="1"/>
  <c r="K10800" i="1"/>
  <c r="L10800" i="1"/>
  <c r="A10801" i="1"/>
  <c r="B10801" i="1"/>
  <c r="C10801" i="1"/>
  <c r="D10801" i="1"/>
  <c r="E10801" i="1"/>
  <c r="F10801" i="1"/>
  <c r="G10801" i="1"/>
  <c r="H10801" i="1"/>
  <c r="I10801" i="1"/>
  <c r="J10801" i="1"/>
  <c r="K10801" i="1"/>
  <c r="L10801" i="1"/>
  <c r="A10802" i="1"/>
  <c r="B10802" i="1"/>
  <c r="C10802" i="1"/>
  <c r="D10802" i="1"/>
  <c r="E10802" i="1"/>
  <c r="F10802" i="1"/>
  <c r="G10802" i="1"/>
  <c r="H10802" i="1"/>
  <c r="I10802" i="1"/>
  <c r="J10802" i="1"/>
  <c r="K10802" i="1"/>
  <c r="L10802" i="1"/>
  <c r="A10803" i="1"/>
  <c r="B10803" i="1"/>
  <c r="C10803" i="1"/>
  <c r="D10803" i="1"/>
  <c r="E10803" i="1"/>
  <c r="F10803" i="1"/>
  <c r="G10803" i="1"/>
  <c r="H10803" i="1"/>
  <c r="I10803" i="1"/>
  <c r="J10803" i="1"/>
  <c r="K10803" i="1"/>
  <c r="L10803" i="1"/>
  <c r="A10804" i="1"/>
  <c r="B10804" i="1"/>
  <c r="C10804" i="1"/>
  <c r="D10804" i="1"/>
  <c r="E10804" i="1"/>
  <c r="F10804" i="1"/>
  <c r="G10804" i="1"/>
  <c r="H10804" i="1"/>
  <c r="I10804" i="1"/>
  <c r="J10804" i="1"/>
  <c r="K10804" i="1"/>
  <c r="L10804" i="1"/>
  <c r="A10805" i="1"/>
  <c r="B10805" i="1"/>
  <c r="C10805" i="1"/>
  <c r="D10805" i="1"/>
  <c r="E10805" i="1"/>
  <c r="F10805" i="1"/>
  <c r="G10805" i="1"/>
  <c r="H10805" i="1"/>
  <c r="I10805" i="1"/>
  <c r="J10805" i="1"/>
  <c r="K10805" i="1"/>
  <c r="L10805" i="1"/>
  <c r="A10806" i="1"/>
  <c r="B10806" i="1"/>
  <c r="C10806" i="1"/>
  <c r="D10806" i="1"/>
  <c r="E10806" i="1"/>
  <c r="F10806" i="1"/>
  <c r="G10806" i="1"/>
  <c r="H10806" i="1"/>
  <c r="I10806" i="1"/>
  <c r="J10806" i="1"/>
  <c r="K10806" i="1"/>
  <c r="L10806" i="1"/>
  <c r="A10807" i="1"/>
  <c r="B10807" i="1"/>
  <c r="C10807" i="1"/>
  <c r="D10807" i="1"/>
  <c r="E10807" i="1"/>
  <c r="F10807" i="1"/>
  <c r="G10807" i="1"/>
  <c r="H10807" i="1"/>
  <c r="I10807" i="1"/>
  <c r="J10807" i="1"/>
  <c r="K10807" i="1"/>
  <c r="L10807" i="1"/>
  <c r="A10808" i="1"/>
  <c r="B10808" i="1"/>
  <c r="C10808" i="1"/>
  <c r="D10808" i="1"/>
  <c r="E10808" i="1"/>
  <c r="F10808" i="1"/>
  <c r="G10808" i="1"/>
  <c r="H10808" i="1"/>
  <c r="I10808" i="1"/>
  <c r="J10808" i="1"/>
  <c r="K10808" i="1"/>
  <c r="L10808" i="1"/>
  <c r="A10809" i="1"/>
  <c r="B10809" i="1"/>
  <c r="C10809" i="1"/>
  <c r="D10809" i="1"/>
  <c r="E10809" i="1"/>
  <c r="F10809" i="1"/>
  <c r="G10809" i="1"/>
  <c r="H10809" i="1"/>
  <c r="I10809" i="1"/>
  <c r="J10809" i="1"/>
  <c r="K10809" i="1"/>
  <c r="L10809" i="1"/>
  <c r="A10810" i="1"/>
  <c r="B10810" i="1"/>
  <c r="C10810" i="1"/>
  <c r="D10810" i="1"/>
  <c r="E10810" i="1"/>
  <c r="F10810" i="1"/>
  <c r="G10810" i="1"/>
  <c r="H10810" i="1"/>
  <c r="I10810" i="1"/>
  <c r="J10810" i="1"/>
  <c r="K10810" i="1"/>
  <c r="L10810" i="1"/>
  <c r="A10811" i="1"/>
  <c r="B10811" i="1"/>
  <c r="C10811" i="1"/>
  <c r="D10811" i="1"/>
  <c r="E10811" i="1"/>
  <c r="F10811" i="1"/>
  <c r="G10811" i="1"/>
  <c r="H10811" i="1"/>
  <c r="I10811" i="1"/>
  <c r="J10811" i="1"/>
  <c r="K10811" i="1"/>
  <c r="L10811" i="1"/>
  <c r="A10812" i="1"/>
  <c r="B10812" i="1"/>
  <c r="C10812" i="1"/>
  <c r="D10812" i="1"/>
  <c r="E10812" i="1"/>
  <c r="F10812" i="1"/>
  <c r="G10812" i="1"/>
  <c r="H10812" i="1"/>
  <c r="I10812" i="1"/>
  <c r="J10812" i="1"/>
  <c r="K10812" i="1"/>
  <c r="L10812" i="1"/>
  <c r="A10813" i="1"/>
  <c r="B10813" i="1"/>
  <c r="C10813" i="1"/>
  <c r="D10813" i="1"/>
  <c r="E10813" i="1"/>
  <c r="F10813" i="1"/>
  <c r="G10813" i="1"/>
  <c r="H10813" i="1"/>
  <c r="I10813" i="1"/>
  <c r="J10813" i="1"/>
  <c r="K10813" i="1"/>
  <c r="L10813" i="1"/>
  <c r="A10814" i="1"/>
  <c r="B10814" i="1"/>
  <c r="C10814" i="1"/>
  <c r="D10814" i="1"/>
  <c r="E10814" i="1"/>
  <c r="F10814" i="1"/>
  <c r="G10814" i="1"/>
  <c r="H10814" i="1"/>
  <c r="I10814" i="1"/>
  <c r="J10814" i="1"/>
  <c r="K10814" i="1"/>
  <c r="L10814" i="1"/>
  <c r="A10815" i="1"/>
  <c r="B10815" i="1"/>
  <c r="C10815" i="1"/>
  <c r="D10815" i="1"/>
  <c r="E10815" i="1"/>
  <c r="F10815" i="1"/>
  <c r="G10815" i="1"/>
  <c r="H10815" i="1"/>
  <c r="I10815" i="1"/>
  <c r="J10815" i="1"/>
  <c r="K10815" i="1"/>
  <c r="L10815" i="1"/>
  <c r="A10816" i="1"/>
  <c r="B10816" i="1"/>
  <c r="C10816" i="1"/>
  <c r="D10816" i="1"/>
  <c r="E10816" i="1"/>
  <c r="F10816" i="1"/>
  <c r="G10816" i="1"/>
  <c r="H10816" i="1"/>
  <c r="I10816" i="1"/>
  <c r="J10816" i="1"/>
  <c r="K10816" i="1"/>
  <c r="L10816" i="1"/>
  <c r="A10817" i="1"/>
  <c r="B10817" i="1"/>
  <c r="C10817" i="1"/>
  <c r="D10817" i="1"/>
  <c r="E10817" i="1"/>
  <c r="F10817" i="1"/>
  <c r="G10817" i="1"/>
  <c r="H10817" i="1"/>
  <c r="I10817" i="1"/>
  <c r="J10817" i="1"/>
  <c r="K10817" i="1"/>
  <c r="L10817" i="1"/>
  <c r="A10818" i="1"/>
  <c r="B10818" i="1"/>
  <c r="C10818" i="1"/>
  <c r="D10818" i="1"/>
  <c r="E10818" i="1"/>
  <c r="F10818" i="1"/>
  <c r="G10818" i="1"/>
  <c r="H10818" i="1"/>
  <c r="I10818" i="1"/>
  <c r="J10818" i="1"/>
  <c r="K10818" i="1"/>
  <c r="L10818" i="1"/>
  <c r="A10819" i="1"/>
  <c r="B10819" i="1"/>
  <c r="C10819" i="1"/>
  <c r="D10819" i="1"/>
  <c r="E10819" i="1"/>
  <c r="F10819" i="1"/>
  <c r="G10819" i="1"/>
  <c r="H10819" i="1"/>
  <c r="I10819" i="1"/>
  <c r="J10819" i="1"/>
  <c r="K10819" i="1"/>
  <c r="L10819" i="1"/>
  <c r="A10820" i="1"/>
  <c r="B10820" i="1"/>
  <c r="C10820" i="1"/>
  <c r="D10820" i="1"/>
  <c r="E10820" i="1"/>
  <c r="F10820" i="1"/>
  <c r="G10820" i="1"/>
  <c r="H10820" i="1"/>
  <c r="I10820" i="1"/>
  <c r="J10820" i="1"/>
  <c r="K10820" i="1"/>
  <c r="L10820" i="1"/>
  <c r="A10821" i="1"/>
  <c r="B10821" i="1"/>
  <c r="C10821" i="1"/>
  <c r="D10821" i="1"/>
  <c r="E10821" i="1"/>
  <c r="F10821" i="1"/>
  <c r="G10821" i="1"/>
  <c r="H10821" i="1"/>
  <c r="I10821" i="1"/>
  <c r="J10821" i="1"/>
  <c r="K10821" i="1"/>
  <c r="L10821" i="1"/>
  <c r="A10822" i="1"/>
  <c r="B10822" i="1"/>
  <c r="C10822" i="1"/>
  <c r="D10822" i="1"/>
  <c r="E10822" i="1"/>
  <c r="F10822" i="1"/>
  <c r="G10822" i="1"/>
  <c r="H10822" i="1"/>
  <c r="I10822" i="1"/>
  <c r="J10822" i="1"/>
  <c r="K10822" i="1"/>
  <c r="L10822" i="1"/>
  <c r="A10823" i="1"/>
  <c r="B10823" i="1"/>
  <c r="C10823" i="1"/>
  <c r="D10823" i="1"/>
  <c r="E10823" i="1"/>
  <c r="F10823" i="1"/>
  <c r="G10823" i="1"/>
  <c r="H10823" i="1"/>
  <c r="I10823" i="1"/>
  <c r="J10823" i="1"/>
  <c r="K10823" i="1"/>
  <c r="L10823" i="1"/>
  <c r="A10824" i="1"/>
  <c r="B10824" i="1"/>
  <c r="C10824" i="1"/>
  <c r="D10824" i="1"/>
  <c r="E10824" i="1"/>
  <c r="F10824" i="1"/>
  <c r="G10824" i="1"/>
  <c r="H10824" i="1"/>
  <c r="I10824" i="1"/>
  <c r="J10824" i="1"/>
  <c r="K10824" i="1"/>
  <c r="L10824" i="1"/>
  <c r="A10825" i="1"/>
  <c r="B10825" i="1"/>
  <c r="C10825" i="1"/>
  <c r="D10825" i="1"/>
  <c r="E10825" i="1"/>
  <c r="F10825" i="1"/>
  <c r="G10825" i="1"/>
  <c r="H10825" i="1"/>
  <c r="I10825" i="1"/>
  <c r="J10825" i="1"/>
  <c r="K10825" i="1"/>
  <c r="L10825" i="1"/>
  <c r="A10826" i="1"/>
  <c r="B10826" i="1"/>
  <c r="C10826" i="1"/>
  <c r="D10826" i="1"/>
  <c r="E10826" i="1"/>
  <c r="F10826" i="1"/>
  <c r="G10826" i="1"/>
  <c r="H10826" i="1"/>
  <c r="I10826" i="1"/>
  <c r="J10826" i="1"/>
  <c r="K10826" i="1"/>
  <c r="L10826" i="1"/>
  <c r="A10827" i="1"/>
  <c r="B10827" i="1"/>
  <c r="C10827" i="1"/>
  <c r="D10827" i="1"/>
  <c r="E10827" i="1"/>
  <c r="F10827" i="1"/>
  <c r="G10827" i="1"/>
  <c r="H10827" i="1"/>
  <c r="I10827" i="1"/>
  <c r="J10827" i="1"/>
  <c r="K10827" i="1"/>
  <c r="L10827" i="1"/>
  <c r="A10828" i="1"/>
  <c r="B10828" i="1"/>
  <c r="C10828" i="1"/>
  <c r="D10828" i="1"/>
  <c r="E10828" i="1"/>
  <c r="F10828" i="1"/>
  <c r="G10828" i="1"/>
  <c r="H10828" i="1"/>
  <c r="I10828" i="1"/>
  <c r="J10828" i="1"/>
  <c r="K10828" i="1"/>
  <c r="L10828" i="1"/>
  <c r="A10829" i="1"/>
  <c r="B10829" i="1"/>
  <c r="C10829" i="1"/>
  <c r="D10829" i="1"/>
  <c r="E10829" i="1"/>
  <c r="F10829" i="1"/>
  <c r="G10829" i="1"/>
  <c r="H10829" i="1"/>
  <c r="I10829" i="1"/>
  <c r="J10829" i="1"/>
  <c r="K10829" i="1"/>
  <c r="L10829" i="1"/>
  <c r="A10830" i="1"/>
  <c r="B10830" i="1"/>
  <c r="C10830" i="1"/>
  <c r="D10830" i="1"/>
  <c r="E10830" i="1"/>
  <c r="F10830" i="1"/>
  <c r="G10830" i="1"/>
  <c r="H10830" i="1"/>
  <c r="I10830" i="1"/>
  <c r="J10830" i="1"/>
  <c r="K10830" i="1"/>
  <c r="L10830" i="1"/>
  <c r="A10831" i="1"/>
  <c r="B10831" i="1"/>
  <c r="C10831" i="1"/>
  <c r="D10831" i="1"/>
  <c r="E10831" i="1"/>
  <c r="F10831" i="1"/>
  <c r="G10831" i="1"/>
  <c r="H10831" i="1"/>
  <c r="I10831" i="1"/>
  <c r="J10831" i="1"/>
  <c r="K10831" i="1"/>
  <c r="L10831" i="1"/>
  <c r="A10832" i="1"/>
  <c r="B10832" i="1"/>
  <c r="C10832" i="1"/>
  <c r="D10832" i="1"/>
  <c r="E10832" i="1"/>
  <c r="F10832" i="1"/>
  <c r="G10832" i="1"/>
  <c r="H10832" i="1"/>
  <c r="I10832" i="1"/>
  <c r="J10832" i="1"/>
  <c r="K10832" i="1"/>
  <c r="L10832" i="1"/>
  <c r="A10833" i="1"/>
  <c r="B10833" i="1"/>
  <c r="C10833" i="1"/>
  <c r="D10833" i="1"/>
  <c r="E10833" i="1"/>
  <c r="F10833" i="1"/>
  <c r="G10833" i="1"/>
  <c r="H10833" i="1"/>
  <c r="I10833" i="1"/>
  <c r="J10833" i="1"/>
  <c r="K10833" i="1"/>
  <c r="L10833" i="1"/>
  <c r="A10834" i="1"/>
  <c r="B10834" i="1"/>
  <c r="C10834" i="1"/>
  <c r="D10834" i="1"/>
  <c r="E10834" i="1"/>
  <c r="F10834" i="1"/>
  <c r="G10834" i="1"/>
  <c r="H10834" i="1"/>
  <c r="I10834" i="1"/>
  <c r="J10834" i="1"/>
  <c r="K10834" i="1"/>
  <c r="L10834" i="1"/>
  <c r="A10835" i="1"/>
  <c r="B10835" i="1"/>
  <c r="C10835" i="1"/>
  <c r="D10835" i="1"/>
  <c r="E10835" i="1"/>
  <c r="F10835" i="1"/>
  <c r="G10835" i="1"/>
  <c r="H10835" i="1"/>
  <c r="I10835" i="1"/>
  <c r="J10835" i="1"/>
  <c r="K10835" i="1"/>
  <c r="L10835" i="1"/>
  <c r="A10836" i="1"/>
  <c r="B10836" i="1"/>
  <c r="C10836" i="1"/>
  <c r="D10836" i="1"/>
  <c r="E10836" i="1"/>
  <c r="F10836" i="1"/>
  <c r="G10836" i="1"/>
  <c r="H10836" i="1"/>
  <c r="I10836" i="1"/>
  <c r="J10836" i="1"/>
  <c r="K10836" i="1"/>
  <c r="L10836" i="1"/>
  <c r="A10837" i="1"/>
  <c r="B10837" i="1"/>
  <c r="C10837" i="1"/>
  <c r="D10837" i="1"/>
  <c r="E10837" i="1"/>
  <c r="F10837" i="1"/>
  <c r="G10837" i="1"/>
  <c r="H10837" i="1"/>
  <c r="I10837" i="1"/>
  <c r="J10837" i="1"/>
  <c r="K10837" i="1"/>
  <c r="L10837" i="1"/>
  <c r="A10838" i="1"/>
  <c r="B10838" i="1"/>
  <c r="C10838" i="1"/>
  <c r="D10838" i="1"/>
  <c r="E10838" i="1"/>
  <c r="F10838" i="1"/>
  <c r="G10838" i="1"/>
  <c r="H10838" i="1"/>
  <c r="I10838" i="1"/>
  <c r="J10838" i="1"/>
  <c r="K10838" i="1"/>
  <c r="L10838" i="1"/>
  <c r="A10839" i="1"/>
  <c r="B10839" i="1"/>
  <c r="C10839" i="1"/>
  <c r="D10839" i="1"/>
  <c r="E10839" i="1"/>
  <c r="F10839" i="1"/>
  <c r="G10839" i="1"/>
  <c r="H10839" i="1"/>
  <c r="I10839" i="1"/>
  <c r="J10839" i="1"/>
  <c r="K10839" i="1"/>
  <c r="L10839" i="1"/>
  <c r="A10840" i="1"/>
  <c r="B10840" i="1"/>
  <c r="C10840" i="1"/>
  <c r="D10840" i="1"/>
  <c r="E10840" i="1"/>
  <c r="F10840" i="1"/>
  <c r="G10840" i="1"/>
  <c r="H10840" i="1"/>
  <c r="I10840" i="1"/>
  <c r="J10840" i="1"/>
  <c r="K10840" i="1"/>
  <c r="L10840" i="1"/>
  <c r="A10841" i="1"/>
  <c r="B10841" i="1"/>
  <c r="C10841" i="1"/>
  <c r="D10841" i="1"/>
  <c r="E10841" i="1"/>
  <c r="F10841" i="1"/>
  <c r="G10841" i="1"/>
  <c r="H10841" i="1"/>
  <c r="I10841" i="1"/>
  <c r="J10841" i="1"/>
  <c r="K10841" i="1"/>
  <c r="L10841" i="1"/>
  <c r="A10842" i="1"/>
  <c r="B10842" i="1"/>
  <c r="C10842" i="1"/>
  <c r="D10842" i="1"/>
  <c r="E10842" i="1"/>
  <c r="F10842" i="1"/>
  <c r="G10842" i="1"/>
  <c r="H10842" i="1"/>
  <c r="I10842" i="1"/>
  <c r="J10842" i="1"/>
  <c r="K10842" i="1"/>
  <c r="L10842" i="1"/>
  <c r="A10843" i="1"/>
  <c r="B10843" i="1"/>
  <c r="C10843" i="1"/>
  <c r="D10843" i="1"/>
  <c r="E10843" i="1"/>
  <c r="F10843" i="1"/>
  <c r="G10843" i="1"/>
  <c r="H10843" i="1"/>
  <c r="I10843" i="1"/>
  <c r="J10843" i="1"/>
  <c r="K10843" i="1"/>
  <c r="L10843" i="1"/>
  <c r="A10844" i="1"/>
  <c r="B10844" i="1"/>
  <c r="C10844" i="1"/>
  <c r="D10844" i="1"/>
  <c r="E10844" i="1"/>
  <c r="F10844" i="1"/>
  <c r="G10844" i="1"/>
  <c r="H10844" i="1"/>
  <c r="I10844" i="1"/>
  <c r="J10844" i="1"/>
  <c r="K10844" i="1"/>
  <c r="L10844" i="1"/>
  <c r="A10845" i="1"/>
  <c r="B10845" i="1"/>
  <c r="C10845" i="1"/>
  <c r="D10845" i="1"/>
  <c r="E10845" i="1"/>
  <c r="F10845" i="1"/>
  <c r="G10845" i="1"/>
  <c r="H10845" i="1"/>
  <c r="I10845" i="1"/>
  <c r="J10845" i="1"/>
  <c r="K10845" i="1"/>
  <c r="L10845" i="1"/>
  <c r="A10846" i="1"/>
  <c r="B10846" i="1"/>
  <c r="C10846" i="1"/>
  <c r="D10846" i="1"/>
  <c r="E10846" i="1"/>
  <c r="F10846" i="1"/>
  <c r="G10846" i="1"/>
  <c r="H10846" i="1"/>
  <c r="I10846" i="1"/>
  <c r="J10846" i="1"/>
  <c r="K10846" i="1"/>
  <c r="L10846" i="1"/>
  <c r="A10847" i="1"/>
  <c r="B10847" i="1"/>
  <c r="C10847" i="1"/>
  <c r="D10847" i="1"/>
  <c r="E10847" i="1"/>
  <c r="F10847" i="1"/>
  <c r="G10847" i="1"/>
  <c r="H10847" i="1"/>
  <c r="I10847" i="1"/>
  <c r="J10847" i="1"/>
  <c r="K10847" i="1"/>
  <c r="L10847" i="1"/>
  <c r="A10848" i="1"/>
  <c r="B10848" i="1"/>
  <c r="C10848" i="1"/>
  <c r="D10848" i="1"/>
  <c r="E10848" i="1"/>
  <c r="F10848" i="1"/>
  <c r="G10848" i="1"/>
  <c r="H10848" i="1"/>
  <c r="I10848" i="1"/>
  <c r="J10848" i="1"/>
  <c r="K10848" i="1"/>
  <c r="L10848" i="1"/>
  <c r="A10849" i="1"/>
  <c r="B10849" i="1"/>
  <c r="C10849" i="1"/>
  <c r="D10849" i="1"/>
  <c r="E10849" i="1"/>
  <c r="F10849" i="1"/>
  <c r="G10849" i="1"/>
  <c r="H10849" i="1"/>
  <c r="I10849" i="1"/>
  <c r="J10849" i="1"/>
  <c r="K10849" i="1"/>
  <c r="L10849" i="1"/>
  <c r="A10850" i="1"/>
  <c r="B10850" i="1"/>
  <c r="C10850" i="1"/>
  <c r="D10850" i="1"/>
  <c r="E10850" i="1"/>
  <c r="F10850" i="1"/>
  <c r="G10850" i="1"/>
  <c r="H10850" i="1"/>
  <c r="I10850" i="1"/>
  <c r="J10850" i="1"/>
  <c r="K10850" i="1"/>
  <c r="L10850" i="1"/>
  <c r="A10851" i="1"/>
  <c r="B10851" i="1"/>
  <c r="C10851" i="1"/>
  <c r="D10851" i="1"/>
  <c r="E10851" i="1"/>
  <c r="F10851" i="1"/>
  <c r="G10851" i="1"/>
  <c r="H10851" i="1"/>
  <c r="I10851" i="1"/>
  <c r="J10851" i="1"/>
  <c r="K10851" i="1"/>
  <c r="L10851" i="1"/>
  <c r="A10852" i="1"/>
  <c r="B10852" i="1"/>
  <c r="C10852" i="1"/>
  <c r="D10852" i="1"/>
  <c r="E10852" i="1"/>
  <c r="F10852" i="1"/>
  <c r="G10852" i="1"/>
  <c r="H10852" i="1"/>
  <c r="I10852" i="1"/>
  <c r="J10852" i="1"/>
  <c r="K10852" i="1"/>
  <c r="L10852" i="1"/>
  <c r="A10853" i="1"/>
  <c r="B10853" i="1"/>
  <c r="C10853" i="1"/>
  <c r="D10853" i="1"/>
  <c r="E10853" i="1"/>
  <c r="F10853" i="1"/>
  <c r="G10853" i="1"/>
  <c r="H10853" i="1"/>
  <c r="I10853" i="1"/>
  <c r="J10853" i="1"/>
  <c r="K10853" i="1"/>
  <c r="L10853" i="1"/>
  <c r="A10854" i="1"/>
  <c r="B10854" i="1"/>
  <c r="C10854" i="1"/>
  <c r="D10854" i="1"/>
  <c r="E10854" i="1"/>
  <c r="F10854" i="1"/>
  <c r="G10854" i="1"/>
  <c r="H10854" i="1"/>
  <c r="I10854" i="1"/>
  <c r="J10854" i="1"/>
  <c r="K10854" i="1"/>
  <c r="L10854" i="1"/>
  <c r="A10855" i="1"/>
  <c r="B10855" i="1"/>
  <c r="C10855" i="1"/>
  <c r="D10855" i="1"/>
  <c r="E10855" i="1"/>
  <c r="F10855" i="1"/>
  <c r="G10855" i="1"/>
  <c r="H10855" i="1"/>
  <c r="I10855" i="1"/>
  <c r="J10855" i="1"/>
  <c r="K10855" i="1"/>
  <c r="L10855" i="1"/>
  <c r="A10856" i="1"/>
  <c r="B10856" i="1"/>
  <c r="C10856" i="1"/>
  <c r="D10856" i="1"/>
  <c r="E10856" i="1"/>
  <c r="F10856" i="1"/>
  <c r="G10856" i="1"/>
  <c r="H10856" i="1"/>
  <c r="I10856" i="1"/>
  <c r="J10856" i="1"/>
  <c r="K10856" i="1"/>
  <c r="L10856" i="1"/>
  <c r="A10857" i="1"/>
  <c r="B10857" i="1"/>
  <c r="C10857" i="1"/>
  <c r="D10857" i="1"/>
  <c r="E10857" i="1"/>
  <c r="F10857" i="1"/>
  <c r="G10857" i="1"/>
  <c r="H10857" i="1"/>
  <c r="I10857" i="1"/>
  <c r="J10857" i="1"/>
  <c r="K10857" i="1"/>
  <c r="L10857" i="1"/>
  <c r="A10858" i="1"/>
  <c r="B10858" i="1"/>
  <c r="C10858" i="1"/>
  <c r="D10858" i="1"/>
  <c r="E10858" i="1"/>
  <c r="F10858" i="1"/>
  <c r="G10858" i="1"/>
  <c r="H10858" i="1"/>
  <c r="I10858" i="1"/>
  <c r="J10858" i="1"/>
  <c r="K10858" i="1"/>
  <c r="L10858" i="1"/>
  <c r="A10859" i="1"/>
  <c r="B10859" i="1"/>
  <c r="C10859" i="1"/>
  <c r="D10859" i="1"/>
  <c r="E10859" i="1"/>
  <c r="F10859" i="1"/>
  <c r="G10859" i="1"/>
  <c r="H10859" i="1"/>
  <c r="I10859" i="1"/>
  <c r="J10859" i="1"/>
  <c r="K10859" i="1"/>
  <c r="L10859" i="1"/>
  <c r="A10860" i="1"/>
  <c r="B10860" i="1"/>
  <c r="C10860" i="1"/>
  <c r="D10860" i="1"/>
  <c r="E10860" i="1"/>
  <c r="F10860" i="1"/>
  <c r="G10860" i="1"/>
  <c r="H10860" i="1"/>
  <c r="I10860" i="1"/>
  <c r="J10860" i="1"/>
  <c r="K10860" i="1"/>
  <c r="L10860" i="1"/>
  <c r="A10861" i="1"/>
  <c r="B10861" i="1"/>
  <c r="C10861" i="1"/>
  <c r="D10861" i="1"/>
  <c r="E10861" i="1"/>
  <c r="F10861" i="1"/>
  <c r="G10861" i="1"/>
  <c r="H10861" i="1"/>
  <c r="I10861" i="1"/>
  <c r="J10861" i="1"/>
  <c r="K10861" i="1"/>
  <c r="L10861" i="1"/>
  <c r="A10862" i="1"/>
  <c r="B10862" i="1"/>
  <c r="C10862" i="1"/>
  <c r="D10862" i="1"/>
  <c r="E10862" i="1"/>
  <c r="F10862" i="1"/>
  <c r="G10862" i="1"/>
  <c r="H10862" i="1"/>
  <c r="I10862" i="1"/>
  <c r="J10862" i="1"/>
  <c r="K10862" i="1"/>
  <c r="L10862" i="1"/>
  <c r="A10863" i="1"/>
  <c r="B10863" i="1"/>
  <c r="C10863" i="1"/>
  <c r="D10863" i="1"/>
  <c r="E10863" i="1"/>
  <c r="F10863" i="1"/>
  <c r="G10863" i="1"/>
  <c r="H10863" i="1"/>
  <c r="I10863" i="1"/>
  <c r="J10863" i="1"/>
  <c r="K10863" i="1"/>
  <c r="L10863" i="1"/>
  <c r="A10864" i="1"/>
  <c r="B10864" i="1"/>
  <c r="C10864" i="1"/>
  <c r="D10864" i="1"/>
  <c r="E10864" i="1"/>
  <c r="F10864" i="1"/>
  <c r="G10864" i="1"/>
  <c r="H10864" i="1"/>
  <c r="I10864" i="1"/>
  <c r="J10864" i="1"/>
  <c r="K10864" i="1"/>
  <c r="L10864" i="1"/>
  <c r="A10865" i="1"/>
  <c r="B10865" i="1"/>
  <c r="C10865" i="1"/>
  <c r="D10865" i="1"/>
  <c r="E10865" i="1"/>
  <c r="F10865" i="1"/>
  <c r="G10865" i="1"/>
  <c r="H10865" i="1"/>
  <c r="I10865" i="1"/>
  <c r="J10865" i="1"/>
  <c r="K10865" i="1"/>
  <c r="L10865" i="1"/>
  <c r="A10866" i="1"/>
  <c r="B10866" i="1"/>
  <c r="C10866" i="1"/>
  <c r="D10866" i="1"/>
  <c r="E10866" i="1"/>
  <c r="F10866" i="1"/>
  <c r="G10866" i="1"/>
  <c r="H10866" i="1"/>
  <c r="I10866" i="1"/>
  <c r="J10866" i="1"/>
  <c r="K10866" i="1"/>
  <c r="L10866" i="1"/>
  <c r="A10867" i="1"/>
  <c r="B10867" i="1"/>
  <c r="C10867" i="1"/>
  <c r="D10867" i="1"/>
  <c r="E10867" i="1"/>
  <c r="F10867" i="1"/>
  <c r="G10867" i="1"/>
  <c r="H10867" i="1"/>
  <c r="I10867" i="1"/>
  <c r="J10867" i="1"/>
  <c r="K10867" i="1"/>
  <c r="L10867" i="1"/>
  <c r="A10868" i="1"/>
  <c r="B10868" i="1"/>
  <c r="C10868" i="1"/>
  <c r="D10868" i="1"/>
  <c r="E10868" i="1"/>
  <c r="F10868" i="1"/>
  <c r="G10868" i="1"/>
  <c r="H10868" i="1"/>
  <c r="I10868" i="1"/>
  <c r="J10868" i="1"/>
  <c r="K10868" i="1"/>
  <c r="L10868" i="1"/>
  <c r="A10869" i="1"/>
  <c r="B10869" i="1"/>
  <c r="C10869" i="1"/>
  <c r="D10869" i="1"/>
  <c r="E10869" i="1"/>
  <c r="F10869" i="1"/>
  <c r="G10869" i="1"/>
  <c r="H10869" i="1"/>
  <c r="I10869" i="1"/>
  <c r="J10869" i="1"/>
  <c r="K10869" i="1"/>
  <c r="L10869" i="1"/>
  <c r="A10870" i="1"/>
  <c r="B10870" i="1"/>
  <c r="C10870" i="1"/>
  <c r="D10870" i="1"/>
  <c r="E10870" i="1"/>
  <c r="F10870" i="1"/>
  <c r="G10870" i="1"/>
  <c r="H10870" i="1"/>
  <c r="I10870" i="1"/>
  <c r="J10870" i="1"/>
  <c r="K10870" i="1"/>
  <c r="L10870" i="1"/>
  <c r="A10871" i="1"/>
  <c r="B10871" i="1"/>
  <c r="C10871" i="1"/>
  <c r="D10871" i="1"/>
  <c r="E10871" i="1"/>
  <c r="F10871" i="1"/>
  <c r="G10871" i="1"/>
  <c r="H10871" i="1"/>
  <c r="I10871" i="1"/>
  <c r="J10871" i="1"/>
  <c r="K10871" i="1"/>
  <c r="L10871" i="1"/>
  <c r="A10872" i="1"/>
  <c r="B10872" i="1"/>
  <c r="C10872" i="1"/>
  <c r="D10872" i="1"/>
  <c r="E10872" i="1"/>
  <c r="F10872" i="1"/>
  <c r="G10872" i="1"/>
  <c r="H10872" i="1"/>
  <c r="I10872" i="1"/>
  <c r="J10872" i="1"/>
  <c r="K10872" i="1"/>
  <c r="L10872" i="1"/>
  <c r="A10873" i="1"/>
  <c r="B10873" i="1"/>
  <c r="C10873" i="1"/>
  <c r="D10873" i="1"/>
  <c r="E10873" i="1"/>
  <c r="F10873" i="1"/>
  <c r="G10873" i="1"/>
  <c r="H10873" i="1"/>
  <c r="I10873" i="1"/>
  <c r="J10873" i="1"/>
  <c r="K10873" i="1"/>
  <c r="L10873" i="1"/>
  <c r="A10874" i="1"/>
  <c r="B10874" i="1"/>
  <c r="C10874" i="1"/>
  <c r="D10874" i="1"/>
  <c r="E10874" i="1"/>
  <c r="F10874" i="1"/>
  <c r="G10874" i="1"/>
  <c r="H10874" i="1"/>
  <c r="I10874" i="1"/>
  <c r="J10874" i="1"/>
  <c r="K10874" i="1"/>
  <c r="L10874" i="1"/>
  <c r="A10875" i="1"/>
  <c r="B10875" i="1"/>
  <c r="C10875" i="1"/>
  <c r="D10875" i="1"/>
  <c r="E10875" i="1"/>
  <c r="F10875" i="1"/>
  <c r="G10875" i="1"/>
  <c r="H10875" i="1"/>
  <c r="I10875" i="1"/>
  <c r="J10875" i="1"/>
  <c r="K10875" i="1"/>
  <c r="L10875" i="1"/>
  <c r="A10876" i="1"/>
  <c r="B10876" i="1"/>
  <c r="C10876" i="1"/>
  <c r="D10876" i="1"/>
  <c r="E10876" i="1"/>
  <c r="F10876" i="1"/>
  <c r="G10876" i="1"/>
  <c r="H10876" i="1"/>
  <c r="I10876" i="1"/>
  <c r="J10876" i="1"/>
  <c r="K10876" i="1"/>
  <c r="L10876" i="1"/>
  <c r="A10877" i="1"/>
  <c r="B10877" i="1"/>
  <c r="C10877" i="1"/>
  <c r="D10877" i="1"/>
  <c r="E10877" i="1"/>
  <c r="F10877" i="1"/>
  <c r="G10877" i="1"/>
  <c r="H10877" i="1"/>
  <c r="I10877" i="1"/>
  <c r="J10877" i="1"/>
  <c r="K10877" i="1"/>
  <c r="L10877" i="1"/>
  <c r="A10878" i="1"/>
  <c r="B10878" i="1"/>
  <c r="C10878" i="1"/>
  <c r="D10878" i="1"/>
  <c r="E10878" i="1"/>
  <c r="F10878" i="1"/>
  <c r="G10878" i="1"/>
  <c r="H10878" i="1"/>
  <c r="I10878" i="1"/>
  <c r="J10878" i="1"/>
  <c r="K10878" i="1"/>
  <c r="L10878" i="1"/>
  <c r="A10879" i="1"/>
  <c r="B10879" i="1"/>
  <c r="C10879" i="1"/>
  <c r="D10879" i="1"/>
  <c r="E10879" i="1"/>
  <c r="F10879" i="1"/>
  <c r="G10879" i="1"/>
  <c r="H10879" i="1"/>
  <c r="I10879" i="1"/>
  <c r="J10879" i="1"/>
  <c r="K10879" i="1"/>
  <c r="L10879" i="1"/>
  <c r="A10880" i="1"/>
  <c r="B10880" i="1"/>
  <c r="C10880" i="1"/>
  <c r="D10880" i="1"/>
  <c r="E10880" i="1"/>
  <c r="F10880" i="1"/>
  <c r="G10880" i="1"/>
  <c r="H10880" i="1"/>
  <c r="I10880" i="1"/>
  <c r="J10880" i="1"/>
  <c r="K10880" i="1"/>
  <c r="L10880" i="1"/>
  <c r="A10881" i="1"/>
  <c r="B10881" i="1"/>
  <c r="C10881" i="1"/>
  <c r="D10881" i="1"/>
  <c r="E10881" i="1"/>
  <c r="F10881" i="1"/>
  <c r="G10881" i="1"/>
  <c r="H10881" i="1"/>
  <c r="I10881" i="1"/>
  <c r="J10881" i="1"/>
  <c r="K10881" i="1"/>
  <c r="L10881" i="1"/>
  <c r="A10882" i="1"/>
  <c r="B10882" i="1"/>
  <c r="C10882" i="1"/>
  <c r="D10882" i="1"/>
  <c r="E10882" i="1"/>
  <c r="F10882" i="1"/>
  <c r="G10882" i="1"/>
  <c r="H10882" i="1"/>
  <c r="I10882" i="1"/>
  <c r="J10882" i="1"/>
  <c r="K10882" i="1"/>
  <c r="L10882" i="1"/>
  <c r="A10883" i="1"/>
  <c r="B10883" i="1"/>
  <c r="C10883" i="1"/>
  <c r="D10883" i="1"/>
  <c r="E10883" i="1"/>
  <c r="F10883" i="1"/>
  <c r="G10883" i="1"/>
  <c r="H10883" i="1"/>
  <c r="I10883" i="1"/>
  <c r="J10883" i="1"/>
  <c r="K10883" i="1"/>
  <c r="L10883" i="1"/>
  <c r="A10884" i="1"/>
  <c r="B10884" i="1"/>
  <c r="C10884" i="1"/>
  <c r="D10884" i="1"/>
  <c r="E10884" i="1"/>
  <c r="F10884" i="1"/>
  <c r="G10884" i="1"/>
  <c r="H10884" i="1"/>
  <c r="I10884" i="1"/>
  <c r="J10884" i="1"/>
  <c r="K10884" i="1"/>
  <c r="L10884" i="1"/>
  <c r="A10885" i="1"/>
  <c r="B10885" i="1"/>
  <c r="C10885" i="1"/>
  <c r="D10885" i="1"/>
  <c r="E10885" i="1"/>
  <c r="F10885" i="1"/>
  <c r="G10885" i="1"/>
  <c r="H10885" i="1"/>
  <c r="I10885" i="1"/>
  <c r="J10885" i="1"/>
  <c r="K10885" i="1"/>
  <c r="L10885" i="1"/>
  <c r="A10886" i="1"/>
  <c r="B10886" i="1"/>
  <c r="C10886" i="1"/>
  <c r="D10886" i="1"/>
  <c r="E10886" i="1"/>
  <c r="F10886" i="1"/>
  <c r="G10886" i="1"/>
  <c r="H10886" i="1"/>
  <c r="I10886" i="1"/>
  <c r="J10886" i="1"/>
  <c r="K10886" i="1"/>
  <c r="L10886" i="1"/>
  <c r="A10887" i="1"/>
  <c r="B10887" i="1"/>
  <c r="C10887" i="1"/>
  <c r="D10887" i="1"/>
  <c r="E10887" i="1"/>
  <c r="F10887" i="1"/>
  <c r="G10887" i="1"/>
  <c r="H10887" i="1"/>
  <c r="I10887" i="1"/>
  <c r="J10887" i="1"/>
  <c r="K10887" i="1"/>
  <c r="L10887" i="1"/>
  <c r="A10888" i="1"/>
  <c r="B10888" i="1"/>
  <c r="C10888" i="1"/>
  <c r="D10888" i="1"/>
  <c r="E10888" i="1"/>
  <c r="F10888" i="1"/>
  <c r="G10888" i="1"/>
  <c r="H10888" i="1"/>
  <c r="I10888" i="1"/>
  <c r="J10888" i="1"/>
  <c r="K10888" i="1"/>
  <c r="L10888" i="1"/>
  <c r="A10889" i="1"/>
  <c r="B10889" i="1"/>
  <c r="C10889" i="1"/>
  <c r="D10889" i="1"/>
  <c r="E10889" i="1"/>
  <c r="F10889" i="1"/>
  <c r="G10889" i="1"/>
  <c r="H10889" i="1"/>
  <c r="I10889" i="1"/>
  <c r="J10889" i="1"/>
  <c r="K10889" i="1"/>
  <c r="L10889" i="1"/>
  <c r="A10890" i="1"/>
  <c r="B10890" i="1"/>
  <c r="C10890" i="1"/>
  <c r="D10890" i="1"/>
  <c r="E10890" i="1"/>
  <c r="F10890" i="1"/>
  <c r="G10890" i="1"/>
  <c r="H10890" i="1"/>
  <c r="I10890" i="1"/>
  <c r="J10890" i="1"/>
  <c r="K10890" i="1"/>
  <c r="L10890" i="1"/>
  <c r="A10891" i="1"/>
  <c r="B10891" i="1"/>
  <c r="C10891" i="1"/>
  <c r="D10891" i="1"/>
  <c r="E10891" i="1"/>
  <c r="F10891" i="1"/>
  <c r="G10891" i="1"/>
  <c r="H10891" i="1"/>
  <c r="I10891" i="1"/>
  <c r="J10891" i="1"/>
  <c r="K10891" i="1"/>
  <c r="L10891" i="1"/>
  <c r="A10892" i="1"/>
  <c r="B10892" i="1"/>
  <c r="C10892" i="1"/>
  <c r="D10892" i="1"/>
  <c r="E10892" i="1"/>
  <c r="F10892" i="1"/>
  <c r="G10892" i="1"/>
  <c r="H10892" i="1"/>
  <c r="I10892" i="1"/>
  <c r="J10892" i="1"/>
  <c r="K10892" i="1"/>
  <c r="L10892" i="1"/>
  <c r="A10893" i="1"/>
  <c r="B10893" i="1"/>
  <c r="C10893" i="1"/>
  <c r="D10893" i="1"/>
  <c r="E10893" i="1"/>
  <c r="F10893" i="1"/>
  <c r="G10893" i="1"/>
  <c r="H10893" i="1"/>
  <c r="I10893" i="1"/>
  <c r="J10893" i="1"/>
  <c r="K10893" i="1"/>
  <c r="L10893" i="1"/>
  <c r="A10894" i="1"/>
  <c r="B10894" i="1"/>
  <c r="C10894" i="1"/>
  <c r="D10894" i="1"/>
  <c r="E10894" i="1"/>
  <c r="F10894" i="1"/>
  <c r="G10894" i="1"/>
  <c r="H10894" i="1"/>
  <c r="I10894" i="1"/>
  <c r="J10894" i="1"/>
  <c r="K10894" i="1"/>
  <c r="L10894" i="1"/>
  <c r="A10895" i="1"/>
  <c r="B10895" i="1"/>
  <c r="C10895" i="1"/>
  <c r="D10895" i="1"/>
  <c r="E10895" i="1"/>
  <c r="F10895" i="1"/>
  <c r="G10895" i="1"/>
  <c r="H10895" i="1"/>
  <c r="I10895" i="1"/>
  <c r="J10895" i="1"/>
  <c r="K10895" i="1"/>
  <c r="L10895" i="1"/>
  <c r="A10896" i="1"/>
  <c r="B10896" i="1"/>
  <c r="C10896" i="1"/>
  <c r="D10896" i="1"/>
  <c r="E10896" i="1"/>
  <c r="F10896" i="1"/>
  <c r="G10896" i="1"/>
  <c r="H10896" i="1"/>
  <c r="I10896" i="1"/>
  <c r="J10896" i="1"/>
  <c r="K10896" i="1"/>
  <c r="L10896" i="1"/>
  <c r="A10897" i="1"/>
  <c r="B10897" i="1"/>
  <c r="C10897" i="1"/>
  <c r="D10897" i="1"/>
  <c r="E10897" i="1"/>
  <c r="F10897" i="1"/>
  <c r="G10897" i="1"/>
  <c r="H10897" i="1"/>
  <c r="I10897" i="1"/>
  <c r="J10897" i="1"/>
  <c r="K10897" i="1"/>
  <c r="L10897" i="1"/>
  <c r="A10898" i="1"/>
  <c r="B10898" i="1"/>
  <c r="C10898" i="1"/>
  <c r="D10898" i="1"/>
  <c r="E10898" i="1"/>
  <c r="F10898" i="1"/>
  <c r="G10898" i="1"/>
  <c r="H10898" i="1"/>
  <c r="I10898" i="1"/>
  <c r="J10898" i="1"/>
  <c r="K10898" i="1"/>
  <c r="L10898" i="1"/>
  <c r="A10899" i="1"/>
  <c r="B10899" i="1"/>
  <c r="C10899" i="1"/>
  <c r="D10899" i="1"/>
  <c r="E10899" i="1"/>
  <c r="F10899" i="1"/>
  <c r="G10899" i="1"/>
  <c r="H10899" i="1"/>
  <c r="I10899" i="1"/>
  <c r="J10899" i="1"/>
  <c r="K10899" i="1"/>
  <c r="L10899" i="1"/>
  <c r="A10900" i="1"/>
  <c r="B10900" i="1"/>
  <c r="C10900" i="1"/>
  <c r="D10900" i="1"/>
  <c r="E10900" i="1"/>
  <c r="F10900" i="1"/>
  <c r="G10900" i="1"/>
  <c r="H10900" i="1"/>
  <c r="I10900" i="1"/>
  <c r="J10900" i="1"/>
  <c r="K10900" i="1"/>
  <c r="L10900" i="1"/>
  <c r="A10901" i="1"/>
  <c r="B10901" i="1"/>
  <c r="C10901" i="1"/>
  <c r="D10901" i="1"/>
  <c r="E10901" i="1"/>
  <c r="F10901" i="1"/>
  <c r="G10901" i="1"/>
  <c r="H10901" i="1"/>
  <c r="I10901" i="1"/>
  <c r="J10901" i="1"/>
  <c r="K10901" i="1"/>
  <c r="L10901" i="1"/>
  <c r="A10902" i="1"/>
  <c r="B10902" i="1"/>
  <c r="C10902" i="1"/>
  <c r="D10902" i="1"/>
  <c r="E10902" i="1"/>
  <c r="F10902" i="1"/>
  <c r="G10902" i="1"/>
  <c r="H10902" i="1"/>
  <c r="I10902" i="1"/>
  <c r="J10902" i="1"/>
  <c r="K10902" i="1"/>
  <c r="L10902" i="1"/>
  <c r="A10903" i="1"/>
  <c r="B10903" i="1"/>
  <c r="C10903" i="1"/>
  <c r="D10903" i="1"/>
  <c r="E10903" i="1"/>
  <c r="F10903" i="1"/>
  <c r="G10903" i="1"/>
  <c r="H10903" i="1"/>
  <c r="I10903" i="1"/>
  <c r="J10903" i="1"/>
  <c r="K10903" i="1"/>
  <c r="L10903" i="1"/>
  <c r="A10904" i="1"/>
  <c r="B10904" i="1"/>
  <c r="C10904" i="1"/>
  <c r="D10904" i="1"/>
  <c r="E10904" i="1"/>
  <c r="F10904" i="1"/>
  <c r="G10904" i="1"/>
  <c r="H10904" i="1"/>
  <c r="I10904" i="1"/>
  <c r="J10904" i="1"/>
  <c r="K10904" i="1"/>
  <c r="L10904" i="1"/>
  <c r="A10905" i="1"/>
  <c r="B10905" i="1"/>
  <c r="C10905" i="1"/>
  <c r="D10905" i="1"/>
  <c r="E10905" i="1"/>
  <c r="F10905" i="1"/>
  <c r="G10905" i="1"/>
  <c r="H10905" i="1"/>
  <c r="I10905" i="1"/>
  <c r="J10905" i="1"/>
  <c r="K10905" i="1"/>
  <c r="L10905" i="1"/>
  <c r="A10906" i="1"/>
  <c r="B10906" i="1"/>
  <c r="C10906" i="1"/>
  <c r="D10906" i="1"/>
  <c r="E10906" i="1"/>
  <c r="F10906" i="1"/>
  <c r="G10906" i="1"/>
  <c r="H10906" i="1"/>
  <c r="I10906" i="1"/>
  <c r="J10906" i="1"/>
  <c r="K10906" i="1"/>
  <c r="L10906" i="1"/>
  <c r="A10907" i="1"/>
  <c r="B10907" i="1"/>
  <c r="C10907" i="1"/>
  <c r="D10907" i="1"/>
  <c r="E10907" i="1"/>
  <c r="F10907" i="1"/>
  <c r="G10907" i="1"/>
  <c r="H10907" i="1"/>
  <c r="I10907" i="1"/>
  <c r="J10907" i="1"/>
  <c r="K10907" i="1"/>
  <c r="L10907" i="1"/>
  <c r="A10908" i="1"/>
  <c r="B10908" i="1"/>
  <c r="C10908" i="1"/>
  <c r="D10908" i="1"/>
  <c r="E10908" i="1"/>
  <c r="F10908" i="1"/>
  <c r="G10908" i="1"/>
  <c r="H10908" i="1"/>
  <c r="I10908" i="1"/>
  <c r="J10908" i="1"/>
  <c r="K10908" i="1"/>
  <c r="L10908" i="1"/>
  <c r="A10909" i="1"/>
  <c r="B10909" i="1"/>
  <c r="C10909" i="1"/>
  <c r="D10909" i="1"/>
  <c r="E10909" i="1"/>
  <c r="F10909" i="1"/>
  <c r="G10909" i="1"/>
  <c r="H10909" i="1"/>
  <c r="I10909" i="1"/>
  <c r="J10909" i="1"/>
  <c r="K10909" i="1"/>
  <c r="L10909" i="1"/>
  <c r="A10910" i="1"/>
  <c r="B10910" i="1"/>
  <c r="C10910" i="1"/>
  <c r="D10910" i="1"/>
  <c r="E10910" i="1"/>
  <c r="F10910" i="1"/>
  <c r="G10910" i="1"/>
  <c r="H10910" i="1"/>
  <c r="I10910" i="1"/>
  <c r="J10910" i="1"/>
  <c r="K10910" i="1"/>
  <c r="L10910" i="1"/>
  <c r="A10911" i="1"/>
  <c r="B10911" i="1"/>
  <c r="C10911" i="1"/>
  <c r="D10911" i="1"/>
  <c r="E10911" i="1"/>
  <c r="F10911" i="1"/>
  <c r="G10911" i="1"/>
  <c r="H10911" i="1"/>
  <c r="I10911" i="1"/>
  <c r="J10911" i="1"/>
  <c r="K10911" i="1"/>
  <c r="L10911" i="1"/>
  <c r="A10912" i="1"/>
  <c r="B10912" i="1"/>
  <c r="C10912" i="1"/>
  <c r="D10912" i="1"/>
  <c r="E10912" i="1"/>
  <c r="F10912" i="1"/>
  <c r="G10912" i="1"/>
  <c r="H10912" i="1"/>
  <c r="I10912" i="1"/>
  <c r="J10912" i="1"/>
  <c r="K10912" i="1"/>
  <c r="L10912" i="1"/>
  <c r="A10913" i="1"/>
  <c r="B10913" i="1"/>
  <c r="C10913" i="1"/>
  <c r="D10913" i="1"/>
  <c r="E10913" i="1"/>
  <c r="F10913" i="1"/>
  <c r="G10913" i="1"/>
  <c r="H10913" i="1"/>
  <c r="I10913" i="1"/>
  <c r="J10913" i="1"/>
  <c r="K10913" i="1"/>
  <c r="L10913" i="1"/>
  <c r="A10914" i="1"/>
  <c r="B10914" i="1"/>
  <c r="C10914" i="1"/>
  <c r="D10914" i="1"/>
  <c r="E10914" i="1"/>
  <c r="F10914" i="1"/>
  <c r="G10914" i="1"/>
  <c r="H10914" i="1"/>
  <c r="I10914" i="1"/>
  <c r="J10914" i="1"/>
  <c r="K10914" i="1"/>
  <c r="L10914" i="1"/>
  <c r="A10915" i="1"/>
  <c r="B10915" i="1"/>
  <c r="C10915" i="1"/>
  <c r="D10915" i="1"/>
  <c r="E10915" i="1"/>
  <c r="F10915" i="1"/>
  <c r="G10915" i="1"/>
  <c r="H10915" i="1"/>
  <c r="I10915" i="1"/>
  <c r="J10915" i="1"/>
  <c r="K10915" i="1"/>
  <c r="L10915" i="1"/>
  <c r="A10916" i="1"/>
  <c r="B10916" i="1"/>
  <c r="C10916" i="1"/>
  <c r="D10916" i="1"/>
  <c r="E10916" i="1"/>
  <c r="F10916" i="1"/>
  <c r="G10916" i="1"/>
  <c r="H10916" i="1"/>
  <c r="I10916" i="1"/>
  <c r="J10916" i="1"/>
  <c r="K10916" i="1"/>
  <c r="L10916" i="1"/>
  <c r="A10917" i="1"/>
  <c r="B10917" i="1"/>
  <c r="C10917" i="1"/>
  <c r="D10917" i="1"/>
  <c r="E10917" i="1"/>
  <c r="F10917" i="1"/>
  <c r="G10917" i="1"/>
  <c r="H10917" i="1"/>
  <c r="I10917" i="1"/>
  <c r="J10917" i="1"/>
  <c r="K10917" i="1"/>
  <c r="L10917" i="1"/>
  <c r="A10918" i="1"/>
  <c r="B10918" i="1"/>
  <c r="C10918" i="1"/>
  <c r="D10918" i="1"/>
  <c r="E10918" i="1"/>
  <c r="F10918" i="1"/>
  <c r="G10918" i="1"/>
  <c r="H10918" i="1"/>
  <c r="I10918" i="1"/>
  <c r="J10918" i="1"/>
  <c r="K10918" i="1"/>
  <c r="L10918" i="1"/>
  <c r="A10919" i="1"/>
  <c r="B10919" i="1"/>
  <c r="C10919" i="1"/>
  <c r="D10919" i="1"/>
  <c r="E10919" i="1"/>
  <c r="F10919" i="1"/>
  <c r="G10919" i="1"/>
  <c r="H10919" i="1"/>
  <c r="I10919" i="1"/>
  <c r="J10919" i="1"/>
  <c r="K10919" i="1"/>
  <c r="L10919" i="1"/>
  <c r="A10920" i="1"/>
  <c r="B10920" i="1"/>
  <c r="C10920" i="1"/>
  <c r="D10920" i="1"/>
  <c r="E10920" i="1"/>
  <c r="F10920" i="1"/>
  <c r="G10920" i="1"/>
  <c r="H10920" i="1"/>
  <c r="I10920" i="1"/>
  <c r="J10920" i="1"/>
  <c r="K10920" i="1"/>
  <c r="L10920" i="1"/>
  <c r="A10921" i="1"/>
  <c r="B10921" i="1"/>
  <c r="C10921" i="1"/>
  <c r="D10921" i="1"/>
  <c r="E10921" i="1"/>
  <c r="F10921" i="1"/>
  <c r="G10921" i="1"/>
  <c r="H10921" i="1"/>
  <c r="I10921" i="1"/>
  <c r="J10921" i="1"/>
  <c r="K10921" i="1"/>
  <c r="L10921" i="1"/>
  <c r="A10922" i="1"/>
  <c r="B10922" i="1"/>
  <c r="C10922" i="1"/>
  <c r="D10922" i="1"/>
  <c r="E10922" i="1"/>
  <c r="F10922" i="1"/>
  <c r="G10922" i="1"/>
  <c r="H10922" i="1"/>
  <c r="I10922" i="1"/>
  <c r="J10922" i="1"/>
  <c r="K10922" i="1"/>
  <c r="L10922" i="1"/>
  <c r="A10923" i="1"/>
  <c r="B10923" i="1"/>
  <c r="C10923" i="1"/>
  <c r="D10923" i="1"/>
  <c r="E10923" i="1"/>
  <c r="F10923" i="1"/>
  <c r="G10923" i="1"/>
  <c r="H10923" i="1"/>
  <c r="I10923" i="1"/>
  <c r="J10923" i="1"/>
  <c r="K10923" i="1"/>
  <c r="L10923" i="1"/>
  <c r="A10924" i="1"/>
  <c r="B10924" i="1"/>
  <c r="C10924" i="1"/>
  <c r="D10924" i="1"/>
  <c r="E10924" i="1"/>
  <c r="F10924" i="1"/>
  <c r="G10924" i="1"/>
  <c r="H10924" i="1"/>
  <c r="I10924" i="1"/>
  <c r="J10924" i="1"/>
  <c r="K10924" i="1"/>
  <c r="L10924" i="1"/>
  <c r="A10925" i="1"/>
  <c r="B10925" i="1"/>
  <c r="C10925" i="1"/>
  <c r="D10925" i="1"/>
  <c r="E10925" i="1"/>
  <c r="F10925" i="1"/>
  <c r="G10925" i="1"/>
  <c r="H10925" i="1"/>
  <c r="I10925" i="1"/>
  <c r="J10925" i="1"/>
  <c r="K10925" i="1"/>
  <c r="L10925" i="1"/>
  <c r="A10926" i="1"/>
  <c r="B10926" i="1"/>
  <c r="C10926" i="1"/>
  <c r="D10926" i="1"/>
  <c r="E10926" i="1"/>
  <c r="F10926" i="1"/>
  <c r="G10926" i="1"/>
  <c r="H10926" i="1"/>
  <c r="I10926" i="1"/>
  <c r="J10926" i="1"/>
  <c r="K10926" i="1"/>
  <c r="L10926" i="1"/>
  <c r="A10927" i="1"/>
  <c r="B10927" i="1"/>
  <c r="C10927" i="1"/>
  <c r="D10927" i="1"/>
  <c r="E10927" i="1"/>
  <c r="F10927" i="1"/>
  <c r="G10927" i="1"/>
  <c r="H10927" i="1"/>
  <c r="I10927" i="1"/>
  <c r="J10927" i="1"/>
  <c r="K10927" i="1"/>
  <c r="L10927" i="1"/>
  <c r="A10928" i="1"/>
  <c r="B10928" i="1"/>
  <c r="C10928" i="1"/>
  <c r="D10928" i="1"/>
  <c r="E10928" i="1"/>
  <c r="F10928" i="1"/>
  <c r="G10928" i="1"/>
  <c r="H10928" i="1"/>
  <c r="I10928" i="1"/>
  <c r="J10928" i="1"/>
  <c r="K10928" i="1"/>
  <c r="L10928" i="1"/>
  <c r="A10929" i="1"/>
  <c r="B10929" i="1"/>
  <c r="C10929" i="1"/>
  <c r="D10929" i="1"/>
  <c r="E10929" i="1"/>
  <c r="F10929" i="1"/>
  <c r="G10929" i="1"/>
  <c r="H10929" i="1"/>
  <c r="I10929" i="1"/>
  <c r="J10929" i="1"/>
  <c r="K10929" i="1"/>
  <c r="L10929" i="1"/>
  <c r="A10930" i="1"/>
  <c r="B10930" i="1"/>
  <c r="C10930" i="1"/>
  <c r="D10930" i="1"/>
  <c r="E10930" i="1"/>
  <c r="F10930" i="1"/>
  <c r="G10930" i="1"/>
  <c r="H10930" i="1"/>
  <c r="I10930" i="1"/>
  <c r="J10930" i="1"/>
  <c r="K10930" i="1"/>
  <c r="L10930" i="1"/>
  <c r="A10931" i="1"/>
  <c r="B10931" i="1"/>
  <c r="C10931" i="1"/>
  <c r="D10931" i="1"/>
  <c r="E10931" i="1"/>
  <c r="F10931" i="1"/>
  <c r="G10931" i="1"/>
  <c r="H10931" i="1"/>
  <c r="I10931" i="1"/>
  <c r="J10931" i="1"/>
  <c r="K10931" i="1"/>
  <c r="L10931" i="1"/>
  <c r="A10932" i="1"/>
  <c r="B10932" i="1"/>
  <c r="C10932" i="1"/>
  <c r="D10932" i="1"/>
  <c r="E10932" i="1"/>
  <c r="F10932" i="1"/>
  <c r="G10932" i="1"/>
  <c r="H10932" i="1"/>
  <c r="I10932" i="1"/>
  <c r="J10932" i="1"/>
  <c r="K10932" i="1"/>
  <c r="L10932" i="1"/>
  <c r="A10933" i="1"/>
  <c r="B10933" i="1"/>
  <c r="C10933" i="1"/>
  <c r="D10933" i="1"/>
  <c r="E10933" i="1"/>
  <c r="F10933" i="1"/>
  <c r="G10933" i="1"/>
  <c r="H10933" i="1"/>
  <c r="I10933" i="1"/>
  <c r="J10933" i="1"/>
  <c r="K10933" i="1"/>
  <c r="L10933" i="1"/>
  <c r="A10934" i="1"/>
  <c r="B10934" i="1"/>
  <c r="C10934" i="1"/>
  <c r="D10934" i="1"/>
  <c r="E10934" i="1"/>
  <c r="F10934" i="1"/>
  <c r="G10934" i="1"/>
  <c r="H10934" i="1"/>
  <c r="I10934" i="1"/>
  <c r="J10934" i="1"/>
  <c r="K10934" i="1"/>
  <c r="L10934" i="1"/>
  <c r="A10935" i="1"/>
  <c r="B10935" i="1"/>
  <c r="C10935" i="1"/>
  <c r="D10935" i="1"/>
  <c r="E10935" i="1"/>
  <c r="F10935" i="1"/>
  <c r="G10935" i="1"/>
  <c r="H10935" i="1"/>
  <c r="I10935" i="1"/>
  <c r="J10935" i="1"/>
  <c r="K10935" i="1"/>
  <c r="L10935" i="1"/>
  <c r="A10936" i="1"/>
  <c r="B10936" i="1"/>
  <c r="C10936" i="1"/>
  <c r="D10936" i="1"/>
  <c r="E10936" i="1"/>
  <c r="F10936" i="1"/>
  <c r="G10936" i="1"/>
  <c r="H10936" i="1"/>
  <c r="I10936" i="1"/>
  <c r="J10936" i="1"/>
  <c r="K10936" i="1"/>
  <c r="L10936" i="1"/>
  <c r="A10937" i="1"/>
  <c r="B10937" i="1"/>
  <c r="C10937" i="1"/>
  <c r="D10937" i="1"/>
  <c r="E10937" i="1"/>
  <c r="F10937" i="1"/>
  <c r="G10937" i="1"/>
  <c r="H10937" i="1"/>
  <c r="I10937" i="1"/>
  <c r="J10937" i="1"/>
  <c r="K10937" i="1"/>
  <c r="L10937" i="1"/>
  <c r="A10938" i="1"/>
  <c r="B10938" i="1"/>
  <c r="C10938" i="1"/>
  <c r="D10938" i="1"/>
  <c r="E10938" i="1"/>
  <c r="F10938" i="1"/>
  <c r="G10938" i="1"/>
  <c r="H10938" i="1"/>
  <c r="I10938" i="1"/>
  <c r="J10938" i="1"/>
  <c r="K10938" i="1"/>
  <c r="L10938" i="1"/>
  <c r="A10939" i="1"/>
  <c r="B10939" i="1"/>
  <c r="C10939" i="1"/>
  <c r="D10939" i="1"/>
  <c r="E10939" i="1"/>
  <c r="F10939" i="1"/>
  <c r="G10939" i="1"/>
  <c r="H10939" i="1"/>
  <c r="I10939" i="1"/>
  <c r="J10939" i="1"/>
  <c r="K10939" i="1"/>
  <c r="L10939" i="1"/>
  <c r="A10940" i="1"/>
  <c r="B10940" i="1"/>
  <c r="C10940" i="1"/>
  <c r="D10940" i="1"/>
  <c r="E10940" i="1"/>
  <c r="F10940" i="1"/>
  <c r="G10940" i="1"/>
  <c r="H10940" i="1"/>
  <c r="I10940" i="1"/>
  <c r="J10940" i="1"/>
  <c r="K10940" i="1"/>
  <c r="L10940" i="1"/>
  <c r="A10941" i="1"/>
  <c r="B10941" i="1"/>
  <c r="C10941" i="1"/>
  <c r="D10941" i="1"/>
  <c r="E10941" i="1"/>
  <c r="F10941" i="1"/>
  <c r="G10941" i="1"/>
  <c r="H10941" i="1"/>
  <c r="I10941" i="1"/>
  <c r="J10941" i="1"/>
  <c r="K10941" i="1"/>
  <c r="L10941" i="1"/>
  <c r="A10942" i="1"/>
  <c r="B10942" i="1"/>
  <c r="C10942" i="1"/>
  <c r="D10942" i="1"/>
  <c r="E10942" i="1"/>
  <c r="F10942" i="1"/>
  <c r="G10942" i="1"/>
  <c r="H10942" i="1"/>
  <c r="I10942" i="1"/>
  <c r="J10942" i="1"/>
  <c r="K10942" i="1"/>
  <c r="L10942" i="1"/>
  <c r="A10943" i="1"/>
  <c r="B10943" i="1"/>
  <c r="C10943" i="1"/>
  <c r="D10943" i="1"/>
  <c r="E10943" i="1"/>
  <c r="F10943" i="1"/>
  <c r="G10943" i="1"/>
  <c r="H10943" i="1"/>
  <c r="I10943" i="1"/>
  <c r="J10943" i="1"/>
  <c r="K10943" i="1"/>
  <c r="L10943" i="1"/>
  <c r="A10944" i="1"/>
  <c r="B10944" i="1"/>
  <c r="C10944" i="1"/>
  <c r="D10944" i="1"/>
  <c r="E10944" i="1"/>
  <c r="F10944" i="1"/>
  <c r="G10944" i="1"/>
  <c r="H10944" i="1"/>
  <c r="I10944" i="1"/>
  <c r="J10944" i="1"/>
  <c r="K10944" i="1"/>
  <c r="L10944" i="1"/>
  <c r="A10945" i="1"/>
  <c r="B10945" i="1"/>
  <c r="C10945" i="1"/>
  <c r="D10945" i="1"/>
  <c r="E10945" i="1"/>
  <c r="F10945" i="1"/>
  <c r="G10945" i="1"/>
  <c r="H10945" i="1"/>
  <c r="I10945" i="1"/>
  <c r="J10945" i="1"/>
  <c r="K10945" i="1"/>
  <c r="L10945" i="1"/>
  <c r="A10946" i="1"/>
  <c r="B10946" i="1"/>
  <c r="C10946" i="1"/>
  <c r="D10946" i="1"/>
  <c r="E10946" i="1"/>
  <c r="F10946" i="1"/>
  <c r="G10946" i="1"/>
  <c r="H10946" i="1"/>
  <c r="I10946" i="1"/>
  <c r="J10946" i="1"/>
  <c r="K10946" i="1"/>
  <c r="L10946" i="1"/>
  <c r="A10947" i="1"/>
  <c r="B10947" i="1"/>
  <c r="C10947" i="1"/>
  <c r="D10947" i="1"/>
  <c r="E10947" i="1"/>
  <c r="F10947" i="1"/>
  <c r="G10947" i="1"/>
  <c r="H10947" i="1"/>
  <c r="I10947" i="1"/>
  <c r="J10947" i="1"/>
  <c r="K10947" i="1"/>
  <c r="L10947" i="1"/>
  <c r="A10948" i="1"/>
  <c r="B10948" i="1"/>
  <c r="C10948" i="1"/>
  <c r="D10948" i="1"/>
  <c r="E10948" i="1"/>
  <c r="F10948" i="1"/>
  <c r="G10948" i="1"/>
  <c r="H10948" i="1"/>
  <c r="I10948" i="1"/>
  <c r="J10948" i="1"/>
  <c r="K10948" i="1"/>
  <c r="L10948" i="1"/>
  <c r="A10949" i="1"/>
  <c r="B10949" i="1"/>
  <c r="C10949" i="1"/>
  <c r="D10949" i="1"/>
  <c r="E10949" i="1"/>
  <c r="F10949" i="1"/>
  <c r="G10949" i="1"/>
  <c r="H10949" i="1"/>
  <c r="I10949" i="1"/>
  <c r="J10949" i="1"/>
  <c r="K10949" i="1"/>
  <c r="L10949" i="1"/>
  <c r="A10950" i="1"/>
  <c r="B10950" i="1"/>
  <c r="C10950" i="1"/>
  <c r="D10950" i="1"/>
  <c r="E10950" i="1"/>
  <c r="F10950" i="1"/>
  <c r="G10950" i="1"/>
  <c r="H10950" i="1"/>
  <c r="I10950" i="1"/>
  <c r="J10950" i="1"/>
  <c r="K10950" i="1"/>
  <c r="L10950" i="1"/>
  <c r="A10951" i="1"/>
  <c r="B10951" i="1"/>
  <c r="C10951" i="1"/>
  <c r="D10951" i="1"/>
  <c r="E10951" i="1"/>
  <c r="F10951" i="1"/>
  <c r="G10951" i="1"/>
  <c r="H10951" i="1"/>
  <c r="I10951" i="1"/>
  <c r="J10951" i="1"/>
  <c r="K10951" i="1"/>
  <c r="L10951" i="1"/>
  <c r="A10952" i="1"/>
  <c r="B10952" i="1"/>
  <c r="C10952" i="1"/>
  <c r="D10952" i="1"/>
  <c r="E10952" i="1"/>
  <c r="F10952" i="1"/>
  <c r="G10952" i="1"/>
  <c r="H10952" i="1"/>
  <c r="I10952" i="1"/>
  <c r="J10952" i="1"/>
  <c r="K10952" i="1"/>
  <c r="L10952" i="1"/>
  <c r="A10953" i="1"/>
  <c r="B10953" i="1"/>
  <c r="C10953" i="1"/>
  <c r="D10953" i="1"/>
  <c r="E10953" i="1"/>
  <c r="F10953" i="1"/>
  <c r="G10953" i="1"/>
  <c r="H10953" i="1"/>
  <c r="I10953" i="1"/>
  <c r="J10953" i="1"/>
  <c r="K10953" i="1"/>
  <c r="L10953" i="1"/>
  <c r="A10954" i="1"/>
  <c r="B10954" i="1"/>
  <c r="C10954" i="1"/>
  <c r="D10954" i="1"/>
  <c r="E10954" i="1"/>
  <c r="F10954" i="1"/>
  <c r="G10954" i="1"/>
  <c r="H10954" i="1"/>
  <c r="I10954" i="1"/>
  <c r="J10954" i="1"/>
  <c r="K10954" i="1"/>
  <c r="L10954" i="1"/>
  <c r="A10955" i="1"/>
  <c r="B10955" i="1"/>
  <c r="C10955" i="1"/>
  <c r="D10955" i="1"/>
  <c r="E10955" i="1"/>
  <c r="F10955" i="1"/>
  <c r="G10955" i="1"/>
  <c r="H10955" i="1"/>
  <c r="I10955" i="1"/>
  <c r="J10955" i="1"/>
  <c r="K10955" i="1"/>
  <c r="L10955" i="1"/>
  <c r="A10956" i="1"/>
  <c r="B10956" i="1"/>
  <c r="C10956" i="1"/>
  <c r="D10956" i="1"/>
  <c r="E10956" i="1"/>
  <c r="F10956" i="1"/>
  <c r="G10956" i="1"/>
  <c r="H10956" i="1"/>
  <c r="I10956" i="1"/>
  <c r="J10956" i="1"/>
  <c r="K10956" i="1"/>
  <c r="L10956" i="1"/>
  <c r="A10957" i="1"/>
  <c r="B10957" i="1"/>
  <c r="C10957" i="1"/>
  <c r="D10957" i="1"/>
  <c r="E10957" i="1"/>
  <c r="F10957" i="1"/>
  <c r="G10957" i="1"/>
  <c r="H10957" i="1"/>
  <c r="I10957" i="1"/>
  <c r="J10957" i="1"/>
  <c r="K10957" i="1"/>
  <c r="L10957" i="1"/>
  <c r="A10958" i="1"/>
  <c r="B10958" i="1"/>
  <c r="C10958" i="1"/>
  <c r="D10958" i="1"/>
  <c r="E10958" i="1"/>
  <c r="F10958" i="1"/>
  <c r="G10958" i="1"/>
  <c r="H10958" i="1"/>
  <c r="I10958" i="1"/>
  <c r="J10958" i="1"/>
  <c r="K10958" i="1"/>
  <c r="L10958" i="1"/>
  <c r="A10959" i="1"/>
  <c r="B10959" i="1"/>
  <c r="C10959" i="1"/>
  <c r="D10959" i="1"/>
  <c r="E10959" i="1"/>
  <c r="F10959" i="1"/>
  <c r="G10959" i="1"/>
  <c r="H10959" i="1"/>
  <c r="I10959" i="1"/>
  <c r="J10959" i="1"/>
  <c r="K10959" i="1"/>
  <c r="L10959" i="1"/>
  <c r="A10960" i="1"/>
  <c r="B10960" i="1"/>
  <c r="C10960" i="1"/>
  <c r="D10960" i="1"/>
  <c r="E10960" i="1"/>
  <c r="F10960" i="1"/>
  <c r="G10960" i="1"/>
  <c r="H10960" i="1"/>
  <c r="I10960" i="1"/>
  <c r="J10960" i="1"/>
  <c r="K10960" i="1"/>
  <c r="L10960" i="1"/>
  <c r="A10961" i="1"/>
  <c r="B10961" i="1"/>
  <c r="C10961" i="1"/>
  <c r="D10961" i="1"/>
  <c r="E10961" i="1"/>
  <c r="F10961" i="1"/>
  <c r="G10961" i="1"/>
  <c r="H10961" i="1"/>
  <c r="I10961" i="1"/>
  <c r="J10961" i="1"/>
  <c r="K10961" i="1"/>
  <c r="L10961" i="1"/>
  <c r="A10962" i="1"/>
  <c r="B10962" i="1"/>
  <c r="C10962" i="1"/>
  <c r="D10962" i="1"/>
  <c r="E10962" i="1"/>
  <c r="F10962" i="1"/>
  <c r="G10962" i="1"/>
  <c r="H10962" i="1"/>
  <c r="I10962" i="1"/>
  <c r="J10962" i="1"/>
  <c r="K10962" i="1"/>
  <c r="L10962" i="1"/>
  <c r="A10963" i="1"/>
  <c r="B10963" i="1"/>
  <c r="C10963" i="1"/>
  <c r="D10963" i="1"/>
  <c r="E10963" i="1"/>
  <c r="F10963" i="1"/>
  <c r="G10963" i="1"/>
  <c r="H10963" i="1"/>
  <c r="I10963" i="1"/>
  <c r="J10963" i="1"/>
  <c r="K10963" i="1"/>
  <c r="L10963" i="1"/>
  <c r="A10964" i="1"/>
  <c r="B10964" i="1"/>
  <c r="C10964" i="1"/>
  <c r="D10964" i="1"/>
  <c r="E10964" i="1"/>
  <c r="F10964" i="1"/>
  <c r="G10964" i="1"/>
  <c r="H10964" i="1"/>
  <c r="I10964" i="1"/>
  <c r="J10964" i="1"/>
  <c r="K10964" i="1"/>
  <c r="L10964" i="1"/>
  <c r="A10965" i="1"/>
  <c r="B10965" i="1"/>
  <c r="C10965" i="1"/>
  <c r="D10965" i="1"/>
  <c r="E10965" i="1"/>
  <c r="F10965" i="1"/>
  <c r="G10965" i="1"/>
  <c r="H10965" i="1"/>
  <c r="I10965" i="1"/>
  <c r="J10965" i="1"/>
  <c r="K10965" i="1"/>
  <c r="L10965" i="1"/>
  <c r="A10966" i="1"/>
  <c r="B10966" i="1"/>
  <c r="C10966" i="1"/>
  <c r="D10966" i="1"/>
  <c r="E10966" i="1"/>
  <c r="F10966" i="1"/>
  <c r="G10966" i="1"/>
  <c r="H10966" i="1"/>
  <c r="I10966" i="1"/>
  <c r="J10966" i="1"/>
  <c r="K10966" i="1"/>
  <c r="L10966" i="1"/>
  <c r="A10967" i="1"/>
  <c r="B10967" i="1"/>
  <c r="C10967" i="1"/>
  <c r="D10967" i="1"/>
  <c r="E10967" i="1"/>
  <c r="F10967" i="1"/>
  <c r="G10967" i="1"/>
  <c r="H10967" i="1"/>
  <c r="I10967" i="1"/>
  <c r="J10967" i="1"/>
  <c r="K10967" i="1"/>
  <c r="L10967" i="1"/>
  <c r="A10968" i="1"/>
  <c r="B10968" i="1"/>
  <c r="C10968" i="1"/>
  <c r="D10968" i="1"/>
  <c r="E10968" i="1"/>
  <c r="F10968" i="1"/>
  <c r="G10968" i="1"/>
  <c r="H10968" i="1"/>
  <c r="I10968" i="1"/>
  <c r="J10968" i="1"/>
  <c r="K10968" i="1"/>
  <c r="L10968" i="1"/>
  <c r="A10969" i="1"/>
  <c r="B10969" i="1"/>
  <c r="C10969" i="1"/>
  <c r="D10969" i="1"/>
  <c r="E10969" i="1"/>
  <c r="F10969" i="1"/>
  <c r="G10969" i="1"/>
  <c r="H10969" i="1"/>
  <c r="I10969" i="1"/>
  <c r="J10969" i="1"/>
  <c r="K10969" i="1"/>
  <c r="L10969" i="1"/>
  <c r="A10970" i="1"/>
  <c r="B10970" i="1"/>
  <c r="C10970" i="1"/>
  <c r="D10970" i="1"/>
  <c r="E10970" i="1"/>
  <c r="F10970" i="1"/>
  <c r="G10970" i="1"/>
  <c r="H10970" i="1"/>
  <c r="I10970" i="1"/>
  <c r="J10970" i="1"/>
  <c r="K10970" i="1"/>
  <c r="L10970" i="1"/>
  <c r="A10971" i="1"/>
  <c r="B10971" i="1"/>
  <c r="C10971" i="1"/>
  <c r="D10971" i="1"/>
  <c r="E10971" i="1"/>
  <c r="F10971" i="1"/>
  <c r="G10971" i="1"/>
  <c r="H10971" i="1"/>
  <c r="I10971" i="1"/>
  <c r="J10971" i="1"/>
  <c r="K10971" i="1"/>
  <c r="L10971" i="1"/>
  <c r="A10972" i="1"/>
  <c r="B10972" i="1"/>
  <c r="C10972" i="1"/>
  <c r="D10972" i="1"/>
  <c r="E10972" i="1"/>
  <c r="F10972" i="1"/>
  <c r="G10972" i="1"/>
  <c r="H10972" i="1"/>
  <c r="I10972" i="1"/>
  <c r="J10972" i="1"/>
  <c r="K10972" i="1"/>
  <c r="L10972" i="1"/>
  <c r="A10973" i="1"/>
  <c r="B10973" i="1"/>
  <c r="C10973" i="1"/>
  <c r="D10973" i="1"/>
  <c r="E10973" i="1"/>
  <c r="F10973" i="1"/>
  <c r="G10973" i="1"/>
  <c r="H10973" i="1"/>
  <c r="I10973" i="1"/>
  <c r="J10973" i="1"/>
  <c r="K10973" i="1"/>
  <c r="L10973" i="1"/>
  <c r="A10974" i="1"/>
  <c r="B10974" i="1"/>
  <c r="C10974" i="1"/>
  <c r="D10974" i="1"/>
  <c r="E10974" i="1"/>
  <c r="F10974" i="1"/>
  <c r="G10974" i="1"/>
  <c r="H10974" i="1"/>
  <c r="I10974" i="1"/>
  <c r="J10974" i="1"/>
  <c r="K10974" i="1"/>
  <c r="L10974" i="1"/>
  <c r="A10975" i="1"/>
  <c r="B10975" i="1"/>
  <c r="C10975" i="1"/>
  <c r="D10975" i="1"/>
  <c r="E10975" i="1"/>
  <c r="F10975" i="1"/>
  <c r="G10975" i="1"/>
  <c r="H10975" i="1"/>
  <c r="I10975" i="1"/>
  <c r="J10975" i="1"/>
  <c r="K10975" i="1"/>
  <c r="L10975" i="1"/>
  <c r="A10976" i="1"/>
  <c r="B10976" i="1"/>
  <c r="C10976" i="1"/>
  <c r="D10976" i="1"/>
  <c r="E10976" i="1"/>
  <c r="F10976" i="1"/>
  <c r="G10976" i="1"/>
  <c r="H10976" i="1"/>
  <c r="I10976" i="1"/>
  <c r="J10976" i="1"/>
  <c r="K10976" i="1"/>
  <c r="L10976" i="1"/>
  <c r="A10977" i="1"/>
  <c r="B10977" i="1"/>
  <c r="C10977" i="1"/>
  <c r="D10977" i="1"/>
  <c r="E10977" i="1"/>
  <c r="F10977" i="1"/>
  <c r="G10977" i="1"/>
  <c r="H10977" i="1"/>
  <c r="I10977" i="1"/>
  <c r="J10977" i="1"/>
  <c r="K10977" i="1"/>
  <c r="L10977" i="1"/>
  <c r="A10978" i="1"/>
  <c r="B10978" i="1"/>
  <c r="C10978" i="1"/>
  <c r="D10978" i="1"/>
  <c r="E10978" i="1"/>
  <c r="F10978" i="1"/>
  <c r="G10978" i="1"/>
  <c r="H10978" i="1"/>
  <c r="I10978" i="1"/>
  <c r="J10978" i="1"/>
  <c r="K10978" i="1"/>
  <c r="L10978" i="1"/>
  <c r="A10979" i="1"/>
  <c r="B10979" i="1"/>
  <c r="C10979" i="1"/>
  <c r="D10979" i="1"/>
  <c r="E10979" i="1"/>
  <c r="F10979" i="1"/>
  <c r="G10979" i="1"/>
  <c r="H10979" i="1"/>
  <c r="I10979" i="1"/>
  <c r="J10979" i="1"/>
  <c r="K10979" i="1"/>
  <c r="L10979" i="1"/>
  <c r="A10980" i="1"/>
  <c r="B10980" i="1"/>
  <c r="C10980" i="1"/>
  <c r="D10980" i="1"/>
  <c r="E10980" i="1"/>
  <c r="F10980" i="1"/>
  <c r="G10980" i="1"/>
  <c r="H10980" i="1"/>
  <c r="I10980" i="1"/>
  <c r="J10980" i="1"/>
  <c r="K10980" i="1"/>
  <c r="L10980" i="1"/>
  <c r="A10981" i="1"/>
  <c r="B10981" i="1"/>
  <c r="C10981" i="1"/>
  <c r="D10981" i="1"/>
  <c r="E10981" i="1"/>
  <c r="F10981" i="1"/>
  <c r="G10981" i="1"/>
  <c r="H10981" i="1"/>
  <c r="I10981" i="1"/>
  <c r="J10981" i="1"/>
  <c r="K10981" i="1"/>
  <c r="L10981" i="1"/>
  <c r="A10982" i="1"/>
  <c r="B10982" i="1"/>
  <c r="C10982" i="1"/>
  <c r="D10982" i="1"/>
  <c r="E10982" i="1"/>
  <c r="F10982" i="1"/>
  <c r="G10982" i="1"/>
  <c r="H10982" i="1"/>
  <c r="I10982" i="1"/>
  <c r="J10982" i="1"/>
  <c r="K10982" i="1"/>
  <c r="L10982" i="1"/>
  <c r="A10983" i="1"/>
  <c r="B10983" i="1"/>
  <c r="C10983" i="1"/>
  <c r="D10983" i="1"/>
  <c r="E10983" i="1"/>
  <c r="F10983" i="1"/>
  <c r="G10983" i="1"/>
  <c r="H10983" i="1"/>
  <c r="I10983" i="1"/>
  <c r="J10983" i="1"/>
  <c r="K10983" i="1"/>
  <c r="L10983" i="1"/>
  <c r="A10984" i="1"/>
  <c r="B10984" i="1"/>
  <c r="C10984" i="1"/>
  <c r="D10984" i="1"/>
  <c r="E10984" i="1"/>
  <c r="F10984" i="1"/>
  <c r="G10984" i="1"/>
  <c r="H10984" i="1"/>
  <c r="I10984" i="1"/>
  <c r="J10984" i="1"/>
  <c r="K10984" i="1"/>
  <c r="L10984" i="1"/>
  <c r="A10985" i="1"/>
  <c r="B10985" i="1"/>
  <c r="C10985" i="1"/>
  <c r="D10985" i="1"/>
  <c r="E10985" i="1"/>
  <c r="F10985" i="1"/>
  <c r="G10985" i="1"/>
  <c r="H10985" i="1"/>
  <c r="I10985" i="1"/>
  <c r="J10985" i="1"/>
  <c r="K10985" i="1"/>
  <c r="L10985" i="1"/>
  <c r="A10986" i="1"/>
  <c r="B10986" i="1"/>
  <c r="C10986" i="1"/>
  <c r="D10986" i="1"/>
  <c r="E10986" i="1"/>
  <c r="F10986" i="1"/>
  <c r="G10986" i="1"/>
  <c r="H10986" i="1"/>
  <c r="I10986" i="1"/>
  <c r="J10986" i="1"/>
  <c r="K10986" i="1"/>
  <c r="L10986" i="1"/>
  <c r="A10987" i="1"/>
  <c r="B10987" i="1"/>
  <c r="C10987" i="1"/>
  <c r="D10987" i="1"/>
  <c r="E10987" i="1"/>
  <c r="F10987" i="1"/>
  <c r="G10987" i="1"/>
  <c r="H10987" i="1"/>
  <c r="I10987" i="1"/>
  <c r="J10987" i="1"/>
  <c r="K10987" i="1"/>
  <c r="L10987" i="1"/>
  <c r="A10988" i="1"/>
  <c r="B10988" i="1"/>
  <c r="C10988" i="1"/>
  <c r="D10988" i="1"/>
  <c r="E10988" i="1"/>
  <c r="F10988" i="1"/>
  <c r="G10988" i="1"/>
  <c r="H10988" i="1"/>
  <c r="I10988" i="1"/>
  <c r="J10988" i="1"/>
  <c r="K10988" i="1"/>
  <c r="L10988" i="1"/>
  <c r="A10989" i="1"/>
  <c r="B10989" i="1"/>
  <c r="C10989" i="1"/>
  <c r="D10989" i="1"/>
  <c r="E10989" i="1"/>
  <c r="F10989" i="1"/>
  <c r="G10989" i="1"/>
  <c r="H10989" i="1"/>
  <c r="I10989" i="1"/>
  <c r="J10989" i="1"/>
  <c r="K10989" i="1"/>
  <c r="L10989" i="1"/>
  <c r="A10990" i="1"/>
  <c r="B10990" i="1"/>
  <c r="C10990" i="1"/>
  <c r="D10990" i="1"/>
  <c r="E10990" i="1"/>
  <c r="F10990" i="1"/>
  <c r="G10990" i="1"/>
  <c r="H10990" i="1"/>
  <c r="I10990" i="1"/>
  <c r="J10990" i="1"/>
  <c r="K10990" i="1"/>
  <c r="L10990" i="1"/>
  <c r="A10991" i="1"/>
  <c r="B10991" i="1"/>
  <c r="C10991" i="1"/>
  <c r="D10991" i="1"/>
  <c r="E10991" i="1"/>
  <c r="F10991" i="1"/>
  <c r="G10991" i="1"/>
  <c r="H10991" i="1"/>
  <c r="I10991" i="1"/>
  <c r="J10991" i="1"/>
  <c r="K10991" i="1"/>
  <c r="L10991" i="1"/>
  <c r="A10992" i="1"/>
  <c r="B10992" i="1"/>
  <c r="C10992" i="1"/>
  <c r="D10992" i="1"/>
  <c r="E10992" i="1"/>
  <c r="F10992" i="1"/>
  <c r="G10992" i="1"/>
  <c r="H10992" i="1"/>
  <c r="I10992" i="1"/>
  <c r="J10992" i="1"/>
  <c r="K10992" i="1"/>
  <c r="L10992" i="1"/>
  <c r="A10993" i="1"/>
  <c r="B10993" i="1"/>
  <c r="C10993" i="1"/>
  <c r="D10993" i="1"/>
  <c r="E10993" i="1"/>
  <c r="F10993" i="1"/>
  <c r="G10993" i="1"/>
  <c r="H10993" i="1"/>
  <c r="I10993" i="1"/>
  <c r="J10993" i="1"/>
  <c r="K10993" i="1"/>
  <c r="L10993" i="1"/>
  <c r="A10994" i="1"/>
  <c r="B10994" i="1"/>
  <c r="C10994" i="1"/>
  <c r="D10994" i="1"/>
  <c r="E10994" i="1"/>
  <c r="F10994" i="1"/>
  <c r="G10994" i="1"/>
  <c r="H10994" i="1"/>
  <c r="I10994" i="1"/>
  <c r="J10994" i="1"/>
  <c r="K10994" i="1"/>
  <c r="L10994" i="1"/>
  <c r="A10995" i="1"/>
  <c r="B10995" i="1"/>
  <c r="C10995" i="1"/>
  <c r="D10995" i="1"/>
  <c r="E10995" i="1"/>
  <c r="F10995" i="1"/>
  <c r="G10995" i="1"/>
  <c r="H10995" i="1"/>
  <c r="I10995" i="1"/>
  <c r="J10995" i="1"/>
  <c r="K10995" i="1"/>
  <c r="L10995" i="1"/>
  <c r="A10996" i="1"/>
  <c r="B10996" i="1"/>
  <c r="C10996" i="1"/>
  <c r="D10996" i="1"/>
  <c r="E10996" i="1"/>
  <c r="F10996" i="1"/>
  <c r="G10996" i="1"/>
  <c r="H10996" i="1"/>
  <c r="I10996" i="1"/>
  <c r="J10996" i="1"/>
  <c r="K10996" i="1"/>
  <c r="L10996" i="1"/>
  <c r="A10997" i="1"/>
  <c r="B10997" i="1"/>
  <c r="C10997" i="1"/>
  <c r="D10997" i="1"/>
  <c r="E10997" i="1"/>
  <c r="F10997" i="1"/>
  <c r="G10997" i="1"/>
  <c r="H10997" i="1"/>
  <c r="I10997" i="1"/>
  <c r="J10997" i="1"/>
  <c r="K10997" i="1"/>
  <c r="L10997" i="1"/>
  <c r="A10998" i="1"/>
  <c r="B10998" i="1"/>
  <c r="C10998" i="1"/>
  <c r="D10998" i="1"/>
  <c r="E10998" i="1"/>
  <c r="F10998" i="1"/>
  <c r="G10998" i="1"/>
  <c r="H10998" i="1"/>
  <c r="I10998" i="1"/>
  <c r="J10998" i="1"/>
  <c r="K10998" i="1"/>
  <c r="L10998" i="1"/>
  <c r="A10999" i="1"/>
  <c r="B10999" i="1"/>
  <c r="C10999" i="1"/>
  <c r="D10999" i="1"/>
  <c r="E10999" i="1"/>
  <c r="F10999" i="1"/>
  <c r="G10999" i="1"/>
  <c r="H10999" i="1"/>
  <c r="I10999" i="1"/>
  <c r="J10999" i="1"/>
  <c r="K10999" i="1"/>
  <c r="L10999" i="1"/>
  <c r="A11000" i="1"/>
  <c r="B11000" i="1"/>
  <c r="C11000" i="1"/>
  <c r="D11000" i="1"/>
  <c r="E11000" i="1"/>
  <c r="F11000" i="1"/>
  <c r="G11000" i="1"/>
  <c r="H11000" i="1"/>
  <c r="I11000" i="1"/>
  <c r="J11000" i="1"/>
  <c r="K11000" i="1"/>
  <c r="L11000" i="1"/>
  <c r="A11001" i="1"/>
  <c r="B11001" i="1"/>
  <c r="C11001" i="1"/>
  <c r="D11001" i="1"/>
  <c r="E11001" i="1"/>
  <c r="F11001" i="1"/>
  <c r="G11001" i="1"/>
  <c r="H11001" i="1"/>
  <c r="I11001" i="1"/>
  <c r="J11001" i="1"/>
  <c r="K11001" i="1"/>
  <c r="L11001" i="1"/>
  <c r="A11002" i="1"/>
  <c r="B11002" i="1"/>
  <c r="C11002" i="1"/>
  <c r="D11002" i="1"/>
  <c r="E11002" i="1"/>
  <c r="F11002" i="1"/>
  <c r="G11002" i="1"/>
  <c r="H11002" i="1"/>
  <c r="I11002" i="1"/>
  <c r="J11002" i="1"/>
  <c r="K11002" i="1"/>
  <c r="L11002" i="1"/>
  <c r="A11003" i="1"/>
  <c r="B11003" i="1"/>
  <c r="C11003" i="1"/>
  <c r="D11003" i="1"/>
  <c r="E11003" i="1"/>
  <c r="F11003" i="1"/>
  <c r="G11003" i="1"/>
  <c r="H11003" i="1"/>
  <c r="I11003" i="1"/>
  <c r="J11003" i="1"/>
  <c r="K11003" i="1"/>
  <c r="L11003" i="1"/>
  <c r="A11004" i="1"/>
  <c r="B11004" i="1"/>
  <c r="C11004" i="1"/>
  <c r="D11004" i="1"/>
  <c r="E11004" i="1"/>
  <c r="F11004" i="1"/>
  <c r="G11004" i="1"/>
  <c r="H11004" i="1"/>
  <c r="I11004" i="1"/>
  <c r="J11004" i="1"/>
  <c r="K11004" i="1"/>
  <c r="L11004" i="1"/>
  <c r="A11005" i="1"/>
  <c r="B11005" i="1"/>
  <c r="C11005" i="1"/>
  <c r="D11005" i="1"/>
  <c r="E11005" i="1"/>
  <c r="F11005" i="1"/>
  <c r="G11005" i="1"/>
  <c r="H11005" i="1"/>
  <c r="I11005" i="1"/>
  <c r="J11005" i="1"/>
  <c r="K11005" i="1"/>
  <c r="L11005" i="1"/>
  <c r="A11006" i="1"/>
  <c r="B11006" i="1"/>
  <c r="C11006" i="1"/>
  <c r="D11006" i="1"/>
  <c r="E11006" i="1"/>
  <c r="F11006" i="1"/>
  <c r="G11006" i="1"/>
  <c r="H11006" i="1"/>
  <c r="I11006" i="1"/>
  <c r="J11006" i="1"/>
  <c r="K11006" i="1"/>
  <c r="L11006" i="1"/>
  <c r="A11007" i="1"/>
  <c r="B11007" i="1"/>
  <c r="C11007" i="1"/>
  <c r="D11007" i="1"/>
  <c r="E11007" i="1"/>
  <c r="F11007" i="1"/>
  <c r="G11007" i="1"/>
  <c r="H11007" i="1"/>
  <c r="I11007" i="1"/>
  <c r="J11007" i="1"/>
  <c r="K11007" i="1"/>
  <c r="L11007" i="1"/>
  <c r="A11008" i="1"/>
  <c r="B11008" i="1"/>
  <c r="C11008" i="1"/>
  <c r="D11008" i="1"/>
  <c r="E11008" i="1"/>
  <c r="F11008" i="1"/>
  <c r="G11008" i="1"/>
  <c r="H11008" i="1"/>
  <c r="I11008" i="1"/>
  <c r="J11008" i="1"/>
  <c r="K11008" i="1"/>
  <c r="L11008" i="1"/>
  <c r="A11009" i="1"/>
  <c r="B11009" i="1"/>
  <c r="C11009" i="1"/>
  <c r="D11009" i="1"/>
  <c r="E11009" i="1"/>
  <c r="F11009" i="1"/>
  <c r="G11009" i="1"/>
  <c r="H11009" i="1"/>
  <c r="I11009" i="1"/>
  <c r="J11009" i="1"/>
  <c r="K11009" i="1"/>
  <c r="L11009" i="1"/>
  <c r="A11010" i="1"/>
  <c r="B11010" i="1"/>
  <c r="C11010" i="1"/>
  <c r="D11010" i="1"/>
  <c r="E11010" i="1"/>
  <c r="F11010" i="1"/>
  <c r="G11010" i="1"/>
  <c r="H11010" i="1"/>
  <c r="I11010" i="1"/>
  <c r="J11010" i="1"/>
  <c r="K11010" i="1"/>
  <c r="L11010" i="1"/>
  <c r="A11011" i="1"/>
  <c r="B11011" i="1"/>
  <c r="C11011" i="1"/>
  <c r="D11011" i="1"/>
  <c r="E11011" i="1"/>
  <c r="F11011" i="1"/>
  <c r="G11011" i="1"/>
  <c r="H11011" i="1"/>
  <c r="I11011" i="1"/>
  <c r="J11011" i="1"/>
  <c r="K11011" i="1"/>
  <c r="L11011" i="1"/>
  <c r="A11012" i="1"/>
  <c r="B11012" i="1"/>
  <c r="C11012" i="1"/>
  <c r="D11012" i="1"/>
  <c r="E11012" i="1"/>
  <c r="F11012" i="1"/>
  <c r="G11012" i="1"/>
  <c r="H11012" i="1"/>
  <c r="I11012" i="1"/>
  <c r="J11012" i="1"/>
  <c r="K11012" i="1"/>
  <c r="L11012" i="1"/>
  <c r="A11013" i="1"/>
  <c r="B11013" i="1"/>
  <c r="C11013" i="1"/>
  <c r="D11013" i="1"/>
  <c r="E11013" i="1"/>
  <c r="F11013" i="1"/>
  <c r="G11013" i="1"/>
  <c r="H11013" i="1"/>
  <c r="I11013" i="1"/>
  <c r="J11013" i="1"/>
  <c r="K11013" i="1"/>
  <c r="L11013" i="1"/>
  <c r="A11014" i="1"/>
  <c r="B11014" i="1"/>
  <c r="C11014" i="1"/>
  <c r="D11014" i="1"/>
  <c r="E11014" i="1"/>
  <c r="F11014" i="1"/>
  <c r="G11014" i="1"/>
  <c r="H11014" i="1"/>
  <c r="I11014" i="1"/>
  <c r="J11014" i="1"/>
  <c r="K11014" i="1"/>
  <c r="L11014" i="1"/>
  <c r="A11015" i="1"/>
  <c r="B11015" i="1"/>
  <c r="C11015" i="1"/>
  <c r="D11015" i="1"/>
  <c r="E11015" i="1"/>
  <c r="F11015" i="1"/>
  <c r="G11015" i="1"/>
  <c r="H11015" i="1"/>
  <c r="I11015" i="1"/>
  <c r="J11015" i="1"/>
  <c r="K11015" i="1"/>
  <c r="L11015" i="1"/>
  <c r="A11016" i="1"/>
  <c r="B11016" i="1"/>
  <c r="C11016" i="1"/>
  <c r="D11016" i="1"/>
  <c r="E11016" i="1"/>
  <c r="F11016" i="1"/>
  <c r="G11016" i="1"/>
  <c r="H11016" i="1"/>
  <c r="I11016" i="1"/>
  <c r="J11016" i="1"/>
  <c r="K11016" i="1"/>
  <c r="L11016" i="1"/>
  <c r="A11017" i="1"/>
  <c r="B11017" i="1"/>
  <c r="C11017" i="1"/>
  <c r="D11017" i="1"/>
  <c r="E11017" i="1"/>
  <c r="F11017" i="1"/>
  <c r="G11017" i="1"/>
  <c r="H11017" i="1"/>
  <c r="I11017" i="1"/>
  <c r="J11017" i="1"/>
  <c r="K11017" i="1"/>
  <c r="L11017" i="1"/>
  <c r="A11018" i="1"/>
  <c r="B11018" i="1"/>
  <c r="C11018" i="1"/>
  <c r="D11018" i="1"/>
  <c r="E11018" i="1"/>
  <c r="F11018" i="1"/>
  <c r="G11018" i="1"/>
  <c r="H11018" i="1"/>
  <c r="I11018" i="1"/>
  <c r="J11018" i="1"/>
  <c r="K11018" i="1"/>
  <c r="L11018" i="1"/>
  <c r="A11019" i="1"/>
  <c r="B11019" i="1"/>
  <c r="C11019" i="1"/>
  <c r="D11019" i="1"/>
  <c r="E11019" i="1"/>
  <c r="F11019" i="1"/>
  <c r="G11019" i="1"/>
  <c r="H11019" i="1"/>
  <c r="I11019" i="1"/>
  <c r="J11019" i="1"/>
  <c r="K11019" i="1"/>
  <c r="L11019" i="1"/>
  <c r="A11020" i="1"/>
  <c r="B11020" i="1"/>
  <c r="C11020" i="1"/>
  <c r="D11020" i="1"/>
  <c r="E11020" i="1"/>
  <c r="F11020" i="1"/>
  <c r="G11020" i="1"/>
  <c r="H11020" i="1"/>
  <c r="I11020" i="1"/>
  <c r="J11020" i="1"/>
  <c r="K11020" i="1"/>
  <c r="L11020" i="1"/>
  <c r="A11021" i="1"/>
  <c r="B11021" i="1"/>
  <c r="C11021" i="1"/>
  <c r="D11021" i="1"/>
  <c r="E11021" i="1"/>
  <c r="F11021" i="1"/>
  <c r="G11021" i="1"/>
  <c r="H11021" i="1"/>
  <c r="I11021" i="1"/>
  <c r="J11021" i="1"/>
  <c r="K11021" i="1"/>
  <c r="L11021" i="1"/>
  <c r="A11022" i="1"/>
  <c r="B11022" i="1"/>
  <c r="C11022" i="1"/>
  <c r="D11022" i="1"/>
  <c r="E11022" i="1"/>
  <c r="F11022" i="1"/>
  <c r="G11022" i="1"/>
  <c r="H11022" i="1"/>
  <c r="I11022" i="1"/>
  <c r="J11022" i="1"/>
  <c r="K11022" i="1"/>
  <c r="L11022" i="1"/>
  <c r="A11023" i="1"/>
  <c r="B11023" i="1"/>
  <c r="C11023" i="1"/>
  <c r="D11023" i="1"/>
  <c r="E11023" i="1"/>
  <c r="F11023" i="1"/>
  <c r="G11023" i="1"/>
  <c r="H11023" i="1"/>
  <c r="I11023" i="1"/>
  <c r="J11023" i="1"/>
  <c r="K11023" i="1"/>
  <c r="L11023" i="1"/>
  <c r="A11024" i="1"/>
  <c r="B11024" i="1"/>
  <c r="C11024" i="1"/>
  <c r="D11024" i="1"/>
  <c r="E11024" i="1"/>
  <c r="F11024" i="1"/>
  <c r="G11024" i="1"/>
  <c r="H11024" i="1"/>
  <c r="I11024" i="1"/>
  <c r="J11024" i="1"/>
  <c r="K11024" i="1"/>
  <c r="L11024" i="1"/>
  <c r="A11025" i="1"/>
  <c r="B11025" i="1"/>
  <c r="C11025" i="1"/>
  <c r="D11025" i="1"/>
  <c r="E11025" i="1"/>
  <c r="F11025" i="1"/>
  <c r="G11025" i="1"/>
  <c r="H11025" i="1"/>
  <c r="I11025" i="1"/>
  <c r="J11025" i="1"/>
  <c r="K11025" i="1"/>
  <c r="L11025" i="1"/>
  <c r="A11026" i="1"/>
  <c r="B11026" i="1"/>
  <c r="C11026" i="1"/>
  <c r="D11026" i="1"/>
  <c r="E11026" i="1"/>
  <c r="F11026" i="1"/>
  <c r="G11026" i="1"/>
  <c r="H11026" i="1"/>
  <c r="I11026" i="1"/>
  <c r="J11026" i="1"/>
  <c r="K11026" i="1"/>
  <c r="L11026" i="1"/>
  <c r="A11027" i="1"/>
  <c r="B11027" i="1"/>
  <c r="C11027" i="1"/>
  <c r="D11027" i="1"/>
  <c r="E11027" i="1"/>
  <c r="F11027" i="1"/>
  <c r="G11027" i="1"/>
  <c r="H11027" i="1"/>
  <c r="I11027" i="1"/>
  <c r="J11027" i="1"/>
  <c r="K11027" i="1"/>
  <c r="L11027" i="1"/>
  <c r="A11028" i="1"/>
  <c r="B11028" i="1"/>
  <c r="C11028" i="1"/>
  <c r="D11028" i="1"/>
  <c r="E11028" i="1"/>
  <c r="F11028" i="1"/>
  <c r="G11028" i="1"/>
  <c r="H11028" i="1"/>
  <c r="I11028" i="1"/>
  <c r="J11028" i="1"/>
  <c r="K11028" i="1"/>
  <c r="L11028" i="1"/>
  <c r="A11029" i="1"/>
  <c r="B11029" i="1"/>
  <c r="C11029" i="1"/>
  <c r="D11029" i="1"/>
  <c r="E11029" i="1"/>
  <c r="F11029" i="1"/>
  <c r="G11029" i="1"/>
  <c r="H11029" i="1"/>
  <c r="I11029" i="1"/>
  <c r="J11029" i="1"/>
  <c r="K11029" i="1"/>
  <c r="L11029" i="1"/>
  <c r="A11030" i="1"/>
  <c r="B11030" i="1"/>
  <c r="C11030" i="1"/>
  <c r="D11030" i="1"/>
  <c r="E11030" i="1"/>
  <c r="F11030" i="1"/>
  <c r="G11030" i="1"/>
  <c r="H11030" i="1"/>
  <c r="I11030" i="1"/>
  <c r="J11030" i="1"/>
  <c r="K11030" i="1"/>
  <c r="L11030" i="1"/>
  <c r="A11031" i="1"/>
  <c r="B11031" i="1"/>
  <c r="C11031" i="1"/>
  <c r="D11031" i="1"/>
  <c r="E11031" i="1"/>
  <c r="F11031" i="1"/>
  <c r="G11031" i="1"/>
  <c r="H11031" i="1"/>
  <c r="I11031" i="1"/>
  <c r="J11031" i="1"/>
  <c r="K11031" i="1"/>
  <c r="L11031" i="1"/>
  <c r="A11032" i="1"/>
  <c r="B11032" i="1"/>
  <c r="C11032" i="1"/>
  <c r="D11032" i="1"/>
  <c r="E11032" i="1"/>
  <c r="F11032" i="1"/>
  <c r="G11032" i="1"/>
  <c r="H11032" i="1"/>
  <c r="I11032" i="1"/>
  <c r="J11032" i="1"/>
  <c r="K11032" i="1"/>
  <c r="L11032" i="1"/>
  <c r="A11033" i="1"/>
  <c r="B11033" i="1"/>
  <c r="C11033" i="1"/>
  <c r="D11033" i="1"/>
  <c r="E11033" i="1"/>
  <c r="F11033" i="1"/>
  <c r="G11033" i="1"/>
  <c r="H11033" i="1"/>
  <c r="I11033" i="1"/>
  <c r="J11033" i="1"/>
  <c r="K11033" i="1"/>
  <c r="L11033" i="1"/>
  <c r="A11034" i="1"/>
  <c r="B11034" i="1"/>
  <c r="C11034" i="1"/>
  <c r="D11034" i="1"/>
  <c r="E11034" i="1"/>
  <c r="F11034" i="1"/>
  <c r="G11034" i="1"/>
  <c r="H11034" i="1"/>
  <c r="I11034" i="1"/>
  <c r="J11034" i="1"/>
  <c r="K11034" i="1"/>
  <c r="L11034" i="1"/>
  <c r="A11035" i="1"/>
  <c r="B11035" i="1"/>
  <c r="C11035" i="1"/>
  <c r="D11035" i="1"/>
  <c r="E11035" i="1"/>
  <c r="F11035" i="1"/>
  <c r="G11035" i="1"/>
  <c r="H11035" i="1"/>
  <c r="I11035" i="1"/>
  <c r="J11035" i="1"/>
  <c r="K11035" i="1"/>
  <c r="L11035" i="1"/>
  <c r="A11036" i="1"/>
  <c r="B11036" i="1"/>
  <c r="C11036" i="1"/>
  <c r="D11036" i="1"/>
  <c r="E11036" i="1"/>
  <c r="F11036" i="1"/>
  <c r="G11036" i="1"/>
  <c r="H11036" i="1"/>
  <c r="I11036" i="1"/>
  <c r="J11036" i="1"/>
  <c r="K11036" i="1"/>
  <c r="L11036" i="1"/>
  <c r="A11037" i="1"/>
  <c r="B11037" i="1"/>
  <c r="C11037" i="1"/>
  <c r="D11037" i="1"/>
  <c r="E11037" i="1"/>
  <c r="F11037" i="1"/>
  <c r="G11037" i="1"/>
  <c r="H11037" i="1"/>
  <c r="I11037" i="1"/>
  <c r="J11037" i="1"/>
  <c r="K11037" i="1"/>
  <c r="L11037" i="1"/>
  <c r="A11038" i="1"/>
  <c r="B11038" i="1"/>
  <c r="C11038" i="1"/>
  <c r="D11038" i="1"/>
  <c r="E11038" i="1"/>
  <c r="F11038" i="1"/>
  <c r="G11038" i="1"/>
  <c r="H11038" i="1"/>
  <c r="I11038" i="1"/>
  <c r="J11038" i="1"/>
  <c r="K11038" i="1"/>
  <c r="L11038" i="1"/>
  <c r="A11039" i="1"/>
  <c r="B11039" i="1"/>
  <c r="C11039" i="1"/>
  <c r="D11039" i="1"/>
  <c r="E11039" i="1"/>
  <c r="F11039" i="1"/>
  <c r="G11039" i="1"/>
  <c r="H11039" i="1"/>
  <c r="I11039" i="1"/>
  <c r="J11039" i="1"/>
  <c r="K11039" i="1"/>
  <c r="L11039" i="1"/>
  <c r="A11040" i="1"/>
  <c r="B11040" i="1"/>
  <c r="C11040" i="1"/>
  <c r="D11040" i="1"/>
  <c r="E11040" i="1"/>
  <c r="F11040" i="1"/>
  <c r="G11040" i="1"/>
  <c r="H11040" i="1"/>
  <c r="I11040" i="1"/>
  <c r="J11040" i="1"/>
  <c r="K11040" i="1"/>
  <c r="L11040" i="1"/>
  <c r="A11041" i="1"/>
  <c r="B11041" i="1"/>
  <c r="C11041" i="1"/>
  <c r="D11041" i="1"/>
  <c r="E11041" i="1"/>
  <c r="F11041" i="1"/>
  <c r="G11041" i="1"/>
  <c r="H11041" i="1"/>
  <c r="I11041" i="1"/>
  <c r="J11041" i="1"/>
  <c r="K11041" i="1"/>
  <c r="L11041" i="1"/>
  <c r="A11042" i="1"/>
  <c r="B11042" i="1"/>
  <c r="C11042" i="1"/>
  <c r="D11042" i="1"/>
  <c r="E11042" i="1"/>
  <c r="F11042" i="1"/>
  <c r="G11042" i="1"/>
  <c r="H11042" i="1"/>
  <c r="I11042" i="1"/>
  <c r="J11042" i="1"/>
  <c r="K11042" i="1"/>
  <c r="L11042" i="1"/>
  <c r="A11043" i="1"/>
  <c r="B11043" i="1"/>
  <c r="C11043" i="1"/>
  <c r="D11043" i="1"/>
  <c r="E11043" i="1"/>
  <c r="F11043" i="1"/>
  <c r="G11043" i="1"/>
  <c r="H11043" i="1"/>
  <c r="I11043" i="1"/>
  <c r="J11043" i="1"/>
  <c r="K11043" i="1"/>
  <c r="L11043" i="1"/>
  <c r="A11044" i="1"/>
  <c r="B11044" i="1"/>
  <c r="C11044" i="1"/>
  <c r="D11044" i="1"/>
  <c r="E11044" i="1"/>
  <c r="F11044" i="1"/>
  <c r="G11044" i="1"/>
  <c r="H11044" i="1"/>
  <c r="I11044" i="1"/>
  <c r="J11044" i="1"/>
  <c r="K11044" i="1"/>
  <c r="L11044" i="1"/>
  <c r="A11045" i="1"/>
  <c r="B11045" i="1"/>
  <c r="C11045" i="1"/>
  <c r="D11045" i="1"/>
  <c r="E11045" i="1"/>
  <c r="F11045" i="1"/>
  <c r="G11045" i="1"/>
  <c r="H11045" i="1"/>
  <c r="I11045" i="1"/>
  <c r="J11045" i="1"/>
  <c r="K11045" i="1"/>
  <c r="L11045" i="1"/>
  <c r="A11046" i="1"/>
  <c r="B11046" i="1"/>
  <c r="C11046" i="1"/>
  <c r="D11046" i="1"/>
  <c r="E11046" i="1"/>
  <c r="F11046" i="1"/>
  <c r="G11046" i="1"/>
  <c r="H11046" i="1"/>
  <c r="I11046" i="1"/>
  <c r="J11046" i="1"/>
  <c r="K11046" i="1"/>
  <c r="L11046" i="1"/>
  <c r="A11047" i="1"/>
  <c r="B11047" i="1"/>
  <c r="C11047" i="1"/>
  <c r="D11047" i="1"/>
  <c r="E11047" i="1"/>
  <c r="F11047" i="1"/>
  <c r="G11047" i="1"/>
  <c r="H11047" i="1"/>
  <c r="I11047" i="1"/>
  <c r="J11047" i="1"/>
  <c r="K11047" i="1"/>
  <c r="L11047" i="1"/>
  <c r="A11048" i="1"/>
  <c r="B11048" i="1"/>
  <c r="C11048" i="1"/>
  <c r="D11048" i="1"/>
  <c r="E11048" i="1"/>
  <c r="F11048" i="1"/>
  <c r="G11048" i="1"/>
  <c r="H11048" i="1"/>
  <c r="I11048" i="1"/>
  <c r="J11048" i="1"/>
  <c r="K11048" i="1"/>
  <c r="L11048" i="1"/>
  <c r="A11049" i="1"/>
  <c r="B11049" i="1"/>
  <c r="C11049" i="1"/>
  <c r="D11049" i="1"/>
  <c r="E11049" i="1"/>
  <c r="F11049" i="1"/>
  <c r="G11049" i="1"/>
  <c r="H11049" i="1"/>
  <c r="I11049" i="1"/>
  <c r="J11049" i="1"/>
  <c r="K11049" i="1"/>
  <c r="L11049" i="1"/>
  <c r="A11050" i="1"/>
  <c r="B11050" i="1"/>
  <c r="C11050" i="1"/>
  <c r="D11050" i="1"/>
  <c r="E11050" i="1"/>
  <c r="F11050" i="1"/>
  <c r="G11050" i="1"/>
  <c r="H11050" i="1"/>
  <c r="I11050" i="1"/>
  <c r="J11050" i="1"/>
  <c r="K11050" i="1"/>
  <c r="L11050" i="1"/>
  <c r="A11051" i="1"/>
  <c r="B11051" i="1"/>
  <c r="C11051" i="1"/>
  <c r="D11051" i="1"/>
  <c r="E11051" i="1"/>
  <c r="F11051" i="1"/>
  <c r="G11051" i="1"/>
  <c r="H11051" i="1"/>
  <c r="I11051" i="1"/>
  <c r="J11051" i="1"/>
  <c r="K11051" i="1"/>
  <c r="L11051" i="1"/>
  <c r="A11052" i="1"/>
  <c r="B11052" i="1"/>
  <c r="C11052" i="1"/>
  <c r="D11052" i="1"/>
  <c r="E11052" i="1"/>
  <c r="F11052" i="1"/>
  <c r="G11052" i="1"/>
  <c r="H11052" i="1"/>
  <c r="I11052" i="1"/>
  <c r="J11052" i="1"/>
  <c r="K11052" i="1"/>
  <c r="L11052" i="1"/>
  <c r="A11053" i="1"/>
  <c r="B11053" i="1"/>
  <c r="C11053" i="1"/>
  <c r="D11053" i="1"/>
  <c r="E11053" i="1"/>
  <c r="F11053" i="1"/>
  <c r="G11053" i="1"/>
  <c r="H11053" i="1"/>
  <c r="I11053" i="1"/>
  <c r="J11053" i="1"/>
  <c r="K11053" i="1"/>
  <c r="L11053" i="1"/>
  <c r="A11054" i="1"/>
  <c r="B11054" i="1"/>
  <c r="C11054" i="1"/>
  <c r="D11054" i="1"/>
  <c r="E11054" i="1"/>
  <c r="F11054" i="1"/>
  <c r="G11054" i="1"/>
  <c r="H11054" i="1"/>
  <c r="I11054" i="1"/>
  <c r="J11054" i="1"/>
  <c r="K11054" i="1"/>
  <c r="L11054" i="1"/>
  <c r="A11055" i="1"/>
  <c r="B11055" i="1"/>
  <c r="C11055" i="1"/>
  <c r="D11055" i="1"/>
  <c r="E11055" i="1"/>
  <c r="F11055" i="1"/>
  <c r="G11055" i="1"/>
  <c r="H11055" i="1"/>
  <c r="I11055" i="1"/>
  <c r="J11055" i="1"/>
  <c r="K11055" i="1"/>
  <c r="L11055" i="1"/>
  <c r="A11056" i="1"/>
  <c r="B11056" i="1"/>
  <c r="C11056" i="1"/>
  <c r="D11056" i="1"/>
  <c r="E11056" i="1"/>
  <c r="F11056" i="1"/>
  <c r="G11056" i="1"/>
  <c r="H11056" i="1"/>
  <c r="I11056" i="1"/>
  <c r="J11056" i="1"/>
  <c r="K11056" i="1"/>
  <c r="L11056" i="1"/>
  <c r="A11057" i="1"/>
  <c r="B11057" i="1"/>
  <c r="C11057" i="1"/>
  <c r="D11057" i="1"/>
  <c r="E11057" i="1"/>
  <c r="F11057" i="1"/>
  <c r="G11057" i="1"/>
  <c r="H11057" i="1"/>
  <c r="I11057" i="1"/>
  <c r="J11057" i="1"/>
  <c r="K11057" i="1"/>
  <c r="L11057" i="1"/>
  <c r="A11058" i="1"/>
  <c r="B11058" i="1"/>
  <c r="C11058" i="1"/>
  <c r="D11058" i="1"/>
  <c r="E11058" i="1"/>
  <c r="F11058" i="1"/>
  <c r="G11058" i="1"/>
  <c r="H11058" i="1"/>
  <c r="I11058" i="1"/>
  <c r="J11058" i="1"/>
  <c r="K11058" i="1"/>
  <c r="L11058" i="1"/>
  <c r="A11059" i="1"/>
  <c r="B11059" i="1"/>
  <c r="C11059" i="1"/>
  <c r="D11059" i="1"/>
  <c r="E11059" i="1"/>
  <c r="F11059" i="1"/>
  <c r="G11059" i="1"/>
  <c r="H11059" i="1"/>
  <c r="I11059" i="1"/>
  <c r="J11059" i="1"/>
  <c r="K11059" i="1"/>
  <c r="L11059" i="1"/>
  <c r="A11060" i="1"/>
  <c r="B11060" i="1"/>
  <c r="C11060" i="1"/>
  <c r="D11060" i="1"/>
  <c r="E11060" i="1"/>
  <c r="F11060" i="1"/>
  <c r="G11060" i="1"/>
  <c r="H11060" i="1"/>
  <c r="I11060" i="1"/>
  <c r="J11060" i="1"/>
  <c r="K11060" i="1"/>
  <c r="L11060" i="1"/>
  <c r="A11061" i="1"/>
  <c r="B11061" i="1"/>
  <c r="C11061" i="1"/>
  <c r="D11061" i="1"/>
  <c r="E11061" i="1"/>
  <c r="F11061" i="1"/>
  <c r="G11061" i="1"/>
  <c r="H11061" i="1"/>
  <c r="I11061" i="1"/>
  <c r="J11061" i="1"/>
  <c r="K11061" i="1"/>
  <c r="L11061" i="1"/>
  <c r="A11062" i="1"/>
  <c r="B11062" i="1"/>
  <c r="C11062" i="1"/>
  <c r="D11062" i="1"/>
  <c r="E11062" i="1"/>
  <c r="F11062" i="1"/>
  <c r="G11062" i="1"/>
  <c r="H11062" i="1"/>
  <c r="I11062" i="1"/>
  <c r="J11062" i="1"/>
  <c r="K11062" i="1"/>
  <c r="L11062" i="1"/>
  <c r="A11063" i="1"/>
  <c r="B11063" i="1"/>
  <c r="C11063" i="1"/>
  <c r="D11063" i="1"/>
  <c r="E11063" i="1"/>
  <c r="F11063" i="1"/>
  <c r="G11063" i="1"/>
  <c r="H11063" i="1"/>
  <c r="I11063" i="1"/>
  <c r="J11063" i="1"/>
  <c r="K11063" i="1"/>
  <c r="L11063" i="1"/>
  <c r="A11064" i="1"/>
  <c r="B11064" i="1"/>
  <c r="C11064" i="1"/>
  <c r="D11064" i="1"/>
  <c r="E11064" i="1"/>
  <c r="F11064" i="1"/>
  <c r="G11064" i="1"/>
  <c r="H11064" i="1"/>
  <c r="I11064" i="1"/>
  <c r="J11064" i="1"/>
  <c r="K11064" i="1"/>
  <c r="L11064" i="1"/>
  <c r="A11065" i="1"/>
  <c r="B11065" i="1"/>
  <c r="C11065" i="1"/>
  <c r="D11065" i="1"/>
  <c r="E11065" i="1"/>
  <c r="F11065" i="1"/>
  <c r="G11065" i="1"/>
  <c r="H11065" i="1"/>
  <c r="I11065" i="1"/>
  <c r="J11065" i="1"/>
  <c r="K11065" i="1"/>
  <c r="L11065" i="1"/>
  <c r="A11066" i="1"/>
  <c r="B11066" i="1"/>
  <c r="C11066" i="1"/>
  <c r="D11066" i="1"/>
  <c r="E11066" i="1"/>
  <c r="F11066" i="1"/>
  <c r="G11066" i="1"/>
  <c r="H11066" i="1"/>
  <c r="I11066" i="1"/>
  <c r="J11066" i="1"/>
  <c r="K11066" i="1"/>
  <c r="L11066" i="1"/>
  <c r="A11067" i="1"/>
  <c r="B11067" i="1"/>
  <c r="C11067" i="1"/>
  <c r="D11067" i="1"/>
  <c r="E11067" i="1"/>
  <c r="F11067" i="1"/>
  <c r="G11067" i="1"/>
  <c r="H11067" i="1"/>
  <c r="I11067" i="1"/>
  <c r="J11067" i="1"/>
  <c r="K11067" i="1"/>
  <c r="L11067" i="1"/>
  <c r="A11068" i="1"/>
  <c r="B11068" i="1"/>
  <c r="C11068" i="1"/>
  <c r="D11068" i="1"/>
  <c r="E11068" i="1"/>
  <c r="F11068" i="1"/>
  <c r="G11068" i="1"/>
  <c r="H11068" i="1"/>
  <c r="I11068" i="1"/>
  <c r="J11068" i="1"/>
  <c r="K11068" i="1"/>
  <c r="L11068" i="1"/>
  <c r="A11069" i="1"/>
  <c r="B11069" i="1"/>
  <c r="C11069" i="1"/>
  <c r="D11069" i="1"/>
  <c r="E11069" i="1"/>
  <c r="F11069" i="1"/>
  <c r="G11069" i="1"/>
  <c r="H11069" i="1"/>
  <c r="I11069" i="1"/>
  <c r="J11069" i="1"/>
  <c r="K11069" i="1"/>
  <c r="L11069" i="1"/>
  <c r="A11070" i="1"/>
  <c r="B11070" i="1"/>
  <c r="C11070" i="1"/>
  <c r="D11070" i="1"/>
  <c r="E11070" i="1"/>
  <c r="F11070" i="1"/>
  <c r="G11070" i="1"/>
  <c r="H11070" i="1"/>
  <c r="I11070" i="1"/>
  <c r="J11070" i="1"/>
  <c r="K11070" i="1"/>
  <c r="L11070" i="1"/>
  <c r="A11071" i="1"/>
  <c r="B11071" i="1"/>
  <c r="C11071" i="1"/>
  <c r="D11071" i="1"/>
  <c r="E11071" i="1"/>
  <c r="F11071" i="1"/>
  <c r="G11071" i="1"/>
  <c r="H11071" i="1"/>
  <c r="I11071" i="1"/>
  <c r="J11071" i="1"/>
  <c r="K11071" i="1"/>
  <c r="L11071" i="1"/>
  <c r="A11072" i="1"/>
  <c r="B11072" i="1"/>
  <c r="C11072" i="1"/>
  <c r="D11072" i="1"/>
  <c r="E11072" i="1"/>
  <c r="F11072" i="1"/>
  <c r="G11072" i="1"/>
  <c r="H11072" i="1"/>
  <c r="I11072" i="1"/>
  <c r="J11072" i="1"/>
  <c r="K11072" i="1"/>
  <c r="L11072" i="1"/>
  <c r="A11073" i="1"/>
  <c r="B11073" i="1"/>
  <c r="C11073" i="1"/>
  <c r="D11073" i="1"/>
  <c r="E11073" i="1"/>
  <c r="F11073" i="1"/>
  <c r="G11073" i="1"/>
  <c r="H11073" i="1"/>
  <c r="I11073" i="1"/>
  <c r="J11073" i="1"/>
  <c r="K11073" i="1"/>
  <c r="L11073" i="1"/>
  <c r="A11074" i="1"/>
  <c r="B11074" i="1"/>
  <c r="C11074" i="1"/>
  <c r="D11074" i="1"/>
  <c r="E11074" i="1"/>
  <c r="F11074" i="1"/>
  <c r="G11074" i="1"/>
  <c r="H11074" i="1"/>
  <c r="I11074" i="1"/>
  <c r="J11074" i="1"/>
  <c r="K11074" i="1"/>
  <c r="L11074" i="1"/>
  <c r="A11075" i="1"/>
  <c r="B11075" i="1"/>
  <c r="C11075" i="1"/>
  <c r="D11075" i="1"/>
  <c r="E11075" i="1"/>
  <c r="F11075" i="1"/>
  <c r="G11075" i="1"/>
  <c r="H11075" i="1"/>
  <c r="I11075" i="1"/>
  <c r="J11075" i="1"/>
  <c r="K11075" i="1"/>
  <c r="L11075" i="1"/>
  <c r="A11076" i="1"/>
  <c r="B11076" i="1"/>
  <c r="C11076" i="1"/>
  <c r="D11076" i="1"/>
  <c r="E11076" i="1"/>
  <c r="F11076" i="1"/>
  <c r="G11076" i="1"/>
  <c r="H11076" i="1"/>
  <c r="I11076" i="1"/>
  <c r="J11076" i="1"/>
  <c r="K11076" i="1"/>
  <c r="L11076" i="1"/>
  <c r="A11077" i="1"/>
  <c r="B11077" i="1"/>
  <c r="C11077" i="1"/>
  <c r="D11077" i="1"/>
  <c r="E11077" i="1"/>
  <c r="F11077" i="1"/>
  <c r="G11077" i="1"/>
  <c r="H11077" i="1"/>
  <c r="I11077" i="1"/>
  <c r="J11077" i="1"/>
  <c r="K11077" i="1"/>
  <c r="L11077" i="1"/>
  <c r="A11078" i="1"/>
  <c r="B11078" i="1"/>
  <c r="C11078" i="1"/>
  <c r="D11078" i="1"/>
  <c r="E11078" i="1"/>
  <c r="F11078" i="1"/>
  <c r="G11078" i="1"/>
  <c r="H11078" i="1"/>
  <c r="I11078" i="1"/>
  <c r="J11078" i="1"/>
  <c r="K11078" i="1"/>
  <c r="L11078" i="1"/>
  <c r="A11079" i="1"/>
  <c r="B11079" i="1"/>
  <c r="C11079" i="1"/>
  <c r="D11079" i="1"/>
  <c r="E11079" i="1"/>
  <c r="F11079" i="1"/>
  <c r="G11079" i="1"/>
  <c r="H11079" i="1"/>
  <c r="I11079" i="1"/>
  <c r="J11079" i="1"/>
  <c r="K11079" i="1"/>
  <c r="L11079" i="1"/>
  <c r="A11080" i="1"/>
  <c r="B11080" i="1"/>
  <c r="C11080" i="1"/>
  <c r="D11080" i="1"/>
  <c r="E11080" i="1"/>
  <c r="F11080" i="1"/>
  <c r="G11080" i="1"/>
  <c r="H11080" i="1"/>
  <c r="I11080" i="1"/>
  <c r="J11080" i="1"/>
  <c r="K11080" i="1"/>
  <c r="L11080" i="1"/>
  <c r="A11081" i="1"/>
  <c r="B11081" i="1"/>
  <c r="C11081" i="1"/>
  <c r="D11081" i="1"/>
  <c r="E11081" i="1"/>
  <c r="F11081" i="1"/>
  <c r="G11081" i="1"/>
  <c r="H11081" i="1"/>
  <c r="I11081" i="1"/>
  <c r="J11081" i="1"/>
  <c r="K11081" i="1"/>
  <c r="L11081" i="1"/>
  <c r="A11082" i="1"/>
  <c r="B11082" i="1"/>
  <c r="C11082" i="1"/>
  <c r="D11082" i="1"/>
  <c r="E11082" i="1"/>
  <c r="F11082" i="1"/>
  <c r="G11082" i="1"/>
  <c r="H11082" i="1"/>
  <c r="I11082" i="1"/>
  <c r="J11082" i="1"/>
  <c r="K11082" i="1"/>
  <c r="L11082" i="1"/>
  <c r="A11083" i="1"/>
  <c r="B11083" i="1"/>
  <c r="C11083" i="1"/>
  <c r="D11083" i="1"/>
  <c r="E11083" i="1"/>
  <c r="F11083" i="1"/>
  <c r="G11083" i="1"/>
  <c r="H11083" i="1"/>
  <c r="I11083" i="1"/>
  <c r="J11083" i="1"/>
  <c r="K11083" i="1"/>
  <c r="L11083" i="1"/>
  <c r="A11084" i="1"/>
  <c r="B11084" i="1"/>
  <c r="C11084" i="1"/>
  <c r="D11084" i="1"/>
  <c r="E11084" i="1"/>
  <c r="F11084" i="1"/>
  <c r="G11084" i="1"/>
  <c r="H11084" i="1"/>
  <c r="I11084" i="1"/>
  <c r="J11084" i="1"/>
  <c r="K11084" i="1"/>
  <c r="L11084" i="1"/>
  <c r="A11085" i="1"/>
  <c r="B11085" i="1"/>
  <c r="C11085" i="1"/>
  <c r="D11085" i="1"/>
  <c r="E11085" i="1"/>
  <c r="F11085" i="1"/>
  <c r="G11085" i="1"/>
  <c r="H11085" i="1"/>
  <c r="I11085" i="1"/>
  <c r="J11085" i="1"/>
  <c r="K11085" i="1"/>
  <c r="L11085" i="1"/>
  <c r="A11086" i="1"/>
  <c r="B11086" i="1"/>
  <c r="C11086" i="1"/>
  <c r="D11086" i="1"/>
  <c r="E11086" i="1"/>
  <c r="F11086" i="1"/>
  <c r="G11086" i="1"/>
  <c r="H11086" i="1"/>
  <c r="I11086" i="1"/>
  <c r="J11086" i="1"/>
  <c r="K11086" i="1"/>
  <c r="L11086" i="1"/>
  <c r="A11087" i="1"/>
  <c r="B11087" i="1"/>
  <c r="C11087" i="1"/>
  <c r="D11087" i="1"/>
  <c r="E11087" i="1"/>
  <c r="F11087" i="1"/>
  <c r="G11087" i="1"/>
  <c r="H11087" i="1"/>
  <c r="I11087" i="1"/>
  <c r="J11087" i="1"/>
  <c r="K11087" i="1"/>
  <c r="L11087" i="1"/>
  <c r="A11088" i="1"/>
  <c r="B11088" i="1"/>
  <c r="C11088" i="1"/>
  <c r="D11088" i="1"/>
  <c r="E11088" i="1"/>
  <c r="F11088" i="1"/>
  <c r="G11088" i="1"/>
  <c r="H11088" i="1"/>
  <c r="I11088" i="1"/>
  <c r="J11088" i="1"/>
  <c r="K11088" i="1"/>
  <c r="L11088" i="1"/>
  <c r="A11089" i="1"/>
  <c r="B11089" i="1"/>
  <c r="C11089" i="1"/>
  <c r="D11089" i="1"/>
  <c r="E11089" i="1"/>
  <c r="F11089" i="1"/>
  <c r="G11089" i="1"/>
  <c r="H11089" i="1"/>
  <c r="I11089" i="1"/>
  <c r="J11089" i="1"/>
  <c r="K11089" i="1"/>
  <c r="L11089" i="1"/>
  <c r="A11090" i="1"/>
  <c r="B11090" i="1"/>
  <c r="C11090" i="1"/>
  <c r="D11090" i="1"/>
  <c r="E11090" i="1"/>
  <c r="F11090" i="1"/>
  <c r="G11090" i="1"/>
  <c r="H11090" i="1"/>
  <c r="I11090" i="1"/>
  <c r="J11090" i="1"/>
  <c r="K11090" i="1"/>
  <c r="L11090" i="1"/>
  <c r="A11091" i="1"/>
  <c r="B11091" i="1"/>
  <c r="C11091" i="1"/>
  <c r="D11091" i="1"/>
  <c r="E11091" i="1"/>
  <c r="F11091" i="1"/>
  <c r="G11091" i="1"/>
  <c r="H11091" i="1"/>
  <c r="I11091" i="1"/>
  <c r="J11091" i="1"/>
  <c r="K11091" i="1"/>
  <c r="L11091" i="1"/>
  <c r="A11092" i="1"/>
  <c r="B11092" i="1"/>
  <c r="C11092" i="1"/>
  <c r="D11092" i="1"/>
  <c r="E11092" i="1"/>
  <c r="F11092" i="1"/>
  <c r="G11092" i="1"/>
  <c r="H11092" i="1"/>
  <c r="I11092" i="1"/>
  <c r="J11092" i="1"/>
  <c r="K11092" i="1"/>
  <c r="L11092" i="1"/>
  <c r="A11093" i="1"/>
  <c r="B11093" i="1"/>
  <c r="C11093" i="1"/>
  <c r="D11093" i="1"/>
  <c r="E11093" i="1"/>
  <c r="F11093" i="1"/>
  <c r="G11093" i="1"/>
  <c r="H11093" i="1"/>
  <c r="I11093" i="1"/>
  <c r="J11093" i="1"/>
  <c r="K11093" i="1"/>
  <c r="L11093" i="1"/>
  <c r="A11094" i="1"/>
  <c r="B11094" i="1"/>
  <c r="C11094" i="1"/>
  <c r="D11094" i="1"/>
  <c r="E11094" i="1"/>
  <c r="F11094" i="1"/>
  <c r="G11094" i="1"/>
  <c r="H11094" i="1"/>
  <c r="I11094" i="1"/>
  <c r="J11094" i="1"/>
  <c r="K11094" i="1"/>
  <c r="L11094" i="1"/>
  <c r="A11095" i="1"/>
  <c r="B11095" i="1"/>
  <c r="C11095" i="1"/>
  <c r="D11095" i="1"/>
  <c r="E11095" i="1"/>
  <c r="F11095" i="1"/>
  <c r="G11095" i="1"/>
  <c r="H11095" i="1"/>
  <c r="I11095" i="1"/>
  <c r="J11095" i="1"/>
  <c r="K11095" i="1"/>
  <c r="L11095" i="1"/>
  <c r="A11096" i="1"/>
  <c r="B11096" i="1"/>
  <c r="C11096" i="1"/>
  <c r="D11096" i="1"/>
  <c r="E11096" i="1"/>
  <c r="F11096" i="1"/>
  <c r="G11096" i="1"/>
  <c r="H11096" i="1"/>
  <c r="I11096" i="1"/>
  <c r="J11096" i="1"/>
  <c r="K11096" i="1"/>
  <c r="L11096" i="1"/>
  <c r="A11097" i="1"/>
  <c r="B11097" i="1"/>
  <c r="C11097" i="1"/>
  <c r="D11097" i="1"/>
  <c r="E11097" i="1"/>
  <c r="F11097" i="1"/>
  <c r="G11097" i="1"/>
  <c r="H11097" i="1"/>
  <c r="I11097" i="1"/>
  <c r="J11097" i="1"/>
  <c r="K11097" i="1"/>
  <c r="L11097" i="1"/>
  <c r="A11098" i="1"/>
  <c r="B11098" i="1"/>
  <c r="C11098" i="1"/>
  <c r="D11098" i="1"/>
  <c r="E11098" i="1"/>
  <c r="F11098" i="1"/>
  <c r="G11098" i="1"/>
  <c r="H11098" i="1"/>
  <c r="I11098" i="1"/>
  <c r="J11098" i="1"/>
  <c r="K11098" i="1"/>
  <c r="L11098" i="1"/>
  <c r="A11099" i="1"/>
  <c r="B11099" i="1"/>
  <c r="C11099" i="1"/>
  <c r="D11099" i="1"/>
  <c r="E11099" i="1"/>
  <c r="F11099" i="1"/>
  <c r="G11099" i="1"/>
  <c r="H11099" i="1"/>
  <c r="I11099" i="1"/>
  <c r="J11099" i="1"/>
  <c r="K11099" i="1"/>
  <c r="L11099" i="1"/>
  <c r="A11100" i="1"/>
  <c r="B11100" i="1"/>
  <c r="C11100" i="1"/>
  <c r="D11100" i="1"/>
  <c r="E11100" i="1"/>
  <c r="F11100" i="1"/>
  <c r="G11100" i="1"/>
  <c r="H11100" i="1"/>
  <c r="I11100" i="1"/>
  <c r="J11100" i="1"/>
  <c r="K11100" i="1"/>
  <c r="L11100" i="1"/>
  <c r="A11101" i="1"/>
  <c r="B11101" i="1"/>
  <c r="C11101" i="1"/>
  <c r="D11101" i="1"/>
  <c r="E11101" i="1"/>
  <c r="F11101" i="1"/>
  <c r="G11101" i="1"/>
  <c r="H11101" i="1"/>
  <c r="I11101" i="1"/>
  <c r="J11101" i="1"/>
  <c r="K11101" i="1"/>
  <c r="L11101" i="1"/>
  <c r="A11102" i="1"/>
  <c r="B11102" i="1"/>
  <c r="C11102" i="1"/>
  <c r="D11102" i="1"/>
  <c r="E11102" i="1"/>
  <c r="F11102" i="1"/>
  <c r="G11102" i="1"/>
  <c r="H11102" i="1"/>
  <c r="I11102" i="1"/>
  <c r="J11102" i="1"/>
  <c r="K11102" i="1"/>
  <c r="L11102" i="1"/>
  <c r="A11103" i="1"/>
  <c r="B11103" i="1"/>
  <c r="C11103" i="1"/>
  <c r="D11103" i="1"/>
  <c r="E11103" i="1"/>
  <c r="F11103" i="1"/>
  <c r="G11103" i="1"/>
  <c r="H11103" i="1"/>
  <c r="I11103" i="1"/>
  <c r="J11103" i="1"/>
  <c r="K11103" i="1"/>
  <c r="L11103" i="1"/>
  <c r="A11104" i="1"/>
  <c r="B11104" i="1"/>
  <c r="C11104" i="1"/>
  <c r="D11104" i="1"/>
  <c r="E11104" i="1"/>
  <c r="F11104" i="1"/>
  <c r="G11104" i="1"/>
  <c r="H11104" i="1"/>
  <c r="I11104" i="1"/>
  <c r="J11104" i="1"/>
  <c r="K11104" i="1"/>
  <c r="L11104" i="1"/>
  <c r="A11105" i="1"/>
  <c r="B11105" i="1"/>
  <c r="C11105" i="1"/>
  <c r="D11105" i="1"/>
  <c r="E11105" i="1"/>
  <c r="F11105" i="1"/>
  <c r="G11105" i="1"/>
  <c r="H11105" i="1"/>
  <c r="I11105" i="1"/>
  <c r="J11105" i="1"/>
  <c r="K11105" i="1"/>
  <c r="L11105" i="1"/>
  <c r="A11106" i="1"/>
  <c r="B11106" i="1"/>
  <c r="C11106" i="1"/>
  <c r="D11106" i="1"/>
  <c r="E11106" i="1"/>
  <c r="F11106" i="1"/>
  <c r="G11106" i="1"/>
  <c r="H11106" i="1"/>
  <c r="I11106" i="1"/>
  <c r="J11106" i="1"/>
  <c r="K11106" i="1"/>
  <c r="L11106" i="1"/>
  <c r="A11107" i="1"/>
  <c r="B11107" i="1"/>
  <c r="C11107" i="1"/>
  <c r="D11107" i="1"/>
  <c r="E11107" i="1"/>
  <c r="F11107" i="1"/>
  <c r="G11107" i="1"/>
  <c r="H11107" i="1"/>
  <c r="I11107" i="1"/>
  <c r="J11107" i="1"/>
  <c r="K11107" i="1"/>
  <c r="L11107" i="1"/>
  <c r="A11108" i="1"/>
  <c r="B11108" i="1"/>
  <c r="C11108" i="1"/>
  <c r="D11108" i="1"/>
  <c r="E11108" i="1"/>
  <c r="F11108" i="1"/>
  <c r="G11108" i="1"/>
  <c r="H11108" i="1"/>
  <c r="I11108" i="1"/>
  <c r="J11108" i="1"/>
  <c r="K11108" i="1"/>
  <c r="L11108" i="1"/>
  <c r="A11109" i="1"/>
  <c r="B11109" i="1"/>
  <c r="C11109" i="1"/>
  <c r="D11109" i="1"/>
  <c r="E11109" i="1"/>
  <c r="F11109" i="1"/>
  <c r="G11109" i="1"/>
  <c r="H11109" i="1"/>
  <c r="I11109" i="1"/>
  <c r="J11109" i="1"/>
  <c r="K11109" i="1"/>
  <c r="L11109" i="1"/>
  <c r="A11110" i="1"/>
  <c r="B11110" i="1"/>
  <c r="C11110" i="1"/>
  <c r="D11110" i="1"/>
  <c r="E11110" i="1"/>
  <c r="F11110" i="1"/>
  <c r="G11110" i="1"/>
  <c r="H11110" i="1"/>
  <c r="I11110" i="1"/>
  <c r="J11110" i="1"/>
  <c r="K11110" i="1"/>
  <c r="L11110" i="1"/>
  <c r="A11111" i="1"/>
  <c r="B11111" i="1"/>
  <c r="C11111" i="1"/>
  <c r="D11111" i="1"/>
  <c r="E11111" i="1"/>
  <c r="F11111" i="1"/>
  <c r="G11111" i="1"/>
  <c r="H11111" i="1"/>
  <c r="I11111" i="1"/>
  <c r="J11111" i="1"/>
  <c r="K11111" i="1"/>
  <c r="L11111" i="1"/>
  <c r="A11112" i="1"/>
  <c r="B11112" i="1"/>
  <c r="C11112" i="1"/>
  <c r="D11112" i="1"/>
  <c r="E11112" i="1"/>
  <c r="F11112" i="1"/>
  <c r="G11112" i="1"/>
  <c r="H11112" i="1"/>
  <c r="I11112" i="1"/>
  <c r="J11112" i="1"/>
  <c r="K11112" i="1"/>
  <c r="L11112" i="1"/>
  <c r="A11113" i="1"/>
  <c r="B11113" i="1"/>
  <c r="C11113" i="1"/>
  <c r="D11113" i="1"/>
  <c r="E11113" i="1"/>
  <c r="F11113" i="1"/>
  <c r="G11113" i="1"/>
  <c r="H11113" i="1"/>
  <c r="I11113" i="1"/>
  <c r="J11113" i="1"/>
  <c r="K11113" i="1"/>
  <c r="L11113" i="1"/>
  <c r="A11114" i="1"/>
  <c r="B11114" i="1"/>
  <c r="C11114" i="1"/>
  <c r="D11114" i="1"/>
  <c r="E11114" i="1"/>
  <c r="F11114" i="1"/>
  <c r="G11114" i="1"/>
  <c r="H11114" i="1"/>
  <c r="I11114" i="1"/>
  <c r="J11114" i="1"/>
  <c r="K11114" i="1"/>
  <c r="L11114" i="1"/>
  <c r="A11115" i="1"/>
  <c r="B11115" i="1"/>
  <c r="C11115" i="1"/>
  <c r="D11115" i="1"/>
  <c r="E11115" i="1"/>
  <c r="F11115" i="1"/>
  <c r="G11115" i="1"/>
  <c r="H11115" i="1"/>
  <c r="I11115" i="1"/>
  <c r="J11115" i="1"/>
  <c r="K11115" i="1"/>
  <c r="L11115" i="1"/>
  <c r="A11116" i="1"/>
  <c r="B11116" i="1"/>
  <c r="C11116" i="1"/>
  <c r="D11116" i="1"/>
  <c r="E11116" i="1"/>
  <c r="F11116" i="1"/>
  <c r="G11116" i="1"/>
  <c r="H11116" i="1"/>
  <c r="I11116" i="1"/>
  <c r="J11116" i="1"/>
  <c r="K11116" i="1"/>
  <c r="L11116" i="1"/>
  <c r="A11117" i="1"/>
  <c r="B11117" i="1"/>
  <c r="C11117" i="1"/>
  <c r="D11117" i="1"/>
  <c r="E11117" i="1"/>
  <c r="F11117" i="1"/>
  <c r="G11117" i="1"/>
  <c r="H11117" i="1"/>
  <c r="I11117" i="1"/>
  <c r="J11117" i="1"/>
  <c r="K11117" i="1"/>
  <c r="L11117" i="1"/>
  <c r="A11118" i="1"/>
  <c r="B11118" i="1"/>
  <c r="C11118" i="1"/>
  <c r="D11118" i="1"/>
  <c r="E11118" i="1"/>
  <c r="F11118" i="1"/>
  <c r="G11118" i="1"/>
  <c r="H11118" i="1"/>
  <c r="I11118" i="1"/>
  <c r="J11118" i="1"/>
  <c r="K11118" i="1"/>
  <c r="L11118" i="1"/>
  <c r="A11119" i="1"/>
  <c r="B11119" i="1"/>
  <c r="C11119" i="1"/>
  <c r="D11119" i="1"/>
  <c r="E11119" i="1"/>
  <c r="F11119" i="1"/>
  <c r="G11119" i="1"/>
  <c r="H11119" i="1"/>
  <c r="I11119" i="1"/>
  <c r="J11119" i="1"/>
  <c r="K11119" i="1"/>
  <c r="L11119" i="1"/>
  <c r="A11120" i="1"/>
  <c r="B11120" i="1"/>
  <c r="C11120" i="1"/>
  <c r="D11120" i="1"/>
  <c r="E11120" i="1"/>
  <c r="F11120" i="1"/>
  <c r="G11120" i="1"/>
  <c r="H11120" i="1"/>
  <c r="I11120" i="1"/>
  <c r="J11120" i="1"/>
  <c r="K11120" i="1"/>
  <c r="L11120" i="1"/>
  <c r="A11121" i="1"/>
  <c r="B11121" i="1"/>
  <c r="C11121" i="1"/>
  <c r="D11121" i="1"/>
  <c r="E11121" i="1"/>
  <c r="F11121" i="1"/>
  <c r="G11121" i="1"/>
  <c r="H11121" i="1"/>
  <c r="I11121" i="1"/>
  <c r="J11121" i="1"/>
  <c r="K11121" i="1"/>
  <c r="L11121" i="1"/>
  <c r="A11122" i="1"/>
  <c r="B11122" i="1"/>
  <c r="C11122" i="1"/>
  <c r="D11122" i="1"/>
  <c r="E11122" i="1"/>
  <c r="F11122" i="1"/>
  <c r="G11122" i="1"/>
  <c r="H11122" i="1"/>
  <c r="I11122" i="1"/>
  <c r="J11122" i="1"/>
  <c r="K11122" i="1"/>
  <c r="L11122" i="1"/>
  <c r="A11123" i="1"/>
  <c r="B11123" i="1"/>
  <c r="C11123" i="1"/>
  <c r="D11123" i="1"/>
  <c r="E11123" i="1"/>
  <c r="F11123" i="1"/>
  <c r="G11123" i="1"/>
  <c r="H11123" i="1"/>
  <c r="I11123" i="1"/>
  <c r="J11123" i="1"/>
  <c r="K11123" i="1"/>
  <c r="L11123" i="1"/>
  <c r="A11124" i="1"/>
  <c r="B11124" i="1"/>
  <c r="C11124" i="1"/>
  <c r="D11124" i="1"/>
  <c r="E11124" i="1"/>
  <c r="F11124" i="1"/>
  <c r="G11124" i="1"/>
  <c r="H11124" i="1"/>
  <c r="I11124" i="1"/>
  <c r="J11124" i="1"/>
  <c r="K11124" i="1"/>
  <c r="L11124" i="1"/>
  <c r="A11125" i="1"/>
  <c r="B11125" i="1"/>
  <c r="C11125" i="1"/>
  <c r="D11125" i="1"/>
  <c r="E11125" i="1"/>
  <c r="F11125" i="1"/>
  <c r="G11125" i="1"/>
  <c r="H11125" i="1"/>
  <c r="I11125" i="1"/>
  <c r="J11125" i="1"/>
  <c r="K11125" i="1"/>
  <c r="L11125" i="1"/>
  <c r="A11126" i="1"/>
  <c r="B11126" i="1"/>
  <c r="C11126" i="1"/>
  <c r="D11126" i="1"/>
  <c r="E11126" i="1"/>
  <c r="F11126" i="1"/>
  <c r="G11126" i="1"/>
  <c r="H11126" i="1"/>
  <c r="I11126" i="1"/>
  <c r="J11126" i="1"/>
  <c r="K11126" i="1"/>
  <c r="L11126" i="1"/>
  <c r="A11127" i="1"/>
  <c r="B11127" i="1"/>
  <c r="C11127" i="1"/>
  <c r="D11127" i="1"/>
  <c r="E11127" i="1"/>
  <c r="F11127" i="1"/>
  <c r="G11127" i="1"/>
  <c r="H11127" i="1"/>
  <c r="I11127" i="1"/>
  <c r="J11127" i="1"/>
  <c r="K11127" i="1"/>
  <c r="L11127" i="1"/>
  <c r="A11128" i="1"/>
  <c r="B11128" i="1"/>
  <c r="C11128" i="1"/>
  <c r="D11128" i="1"/>
  <c r="E11128" i="1"/>
  <c r="F11128" i="1"/>
  <c r="G11128" i="1"/>
  <c r="H11128" i="1"/>
  <c r="I11128" i="1"/>
  <c r="J11128" i="1"/>
  <c r="K11128" i="1"/>
  <c r="L11128" i="1"/>
  <c r="A11129" i="1"/>
  <c r="B11129" i="1"/>
  <c r="C11129" i="1"/>
  <c r="D11129" i="1"/>
  <c r="E11129" i="1"/>
  <c r="F11129" i="1"/>
  <c r="G11129" i="1"/>
  <c r="H11129" i="1"/>
  <c r="I11129" i="1"/>
  <c r="J11129" i="1"/>
  <c r="K11129" i="1"/>
  <c r="L11129" i="1"/>
  <c r="A11130" i="1"/>
  <c r="B11130" i="1"/>
  <c r="C11130" i="1"/>
  <c r="D11130" i="1"/>
  <c r="E11130" i="1"/>
  <c r="F11130" i="1"/>
  <c r="G11130" i="1"/>
  <c r="H11130" i="1"/>
  <c r="I11130" i="1"/>
  <c r="J11130" i="1"/>
  <c r="K11130" i="1"/>
  <c r="L11130" i="1"/>
  <c r="A11131" i="1"/>
  <c r="B11131" i="1"/>
  <c r="C11131" i="1"/>
  <c r="D11131" i="1"/>
  <c r="E11131" i="1"/>
  <c r="F11131" i="1"/>
  <c r="G11131" i="1"/>
  <c r="H11131" i="1"/>
  <c r="I11131" i="1"/>
  <c r="J11131" i="1"/>
  <c r="K11131" i="1"/>
  <c r="L11131" i="1"/>
  <c r="A11132" i="1"/>
  <c r="B11132" i="1"/>
  <c r="C11132" i="1"/>
  <c r="D11132" i="1"/>
  <c r="E11132" i="1"/>
  <c r="F11132" i="1"/>
  <c r="G11132" i="1"/>
  <c r="H11132" i="1"/>
  <c r="I11132" i="1"/>
  <c r="J11132" i="1"/>
  <c r="K11132" i="1"/>
  <c r="L11132" i="1"/>
  <c r="A11133" i="1"/>
  <c r="B11133" i="1"/>
  <c r="C11133" i="1"/>
  <c r="D11133" i="1"/>
  <c r="E11133" i="1"/>
  <c r="F11133" i="1"/>
  <c r="G11133" i="1"/>
  <c r="H11133" i="1"/>
  <c r="I11133" i="1"/>
  <c r="J11133" i="1"/>
  <c r="K11133" i="1"/>
  <c r="L11133" i="1"/>
  <c r="A11134" i="1"/>
  <c r="B11134" i="1"/>
  <c r="C11134" i="1"/>
  <c r="D11134" i="1"/>
  <c r="E11134" i="1"/>
  <c r="F11134" i="1"/>
  <c r="G11134" i="1"/>
  <c r="H11134" i="1"/>
  <c r="I11134" i="1"/>
  <c r="J11134" i="1"/>
  <c r="K11134" i="1"/>
  <c r="L11134" i="1"/>
  <c r="A11135" i="1"/>
  <c r="B11135" i="1"/>
  <c r="C11135" i="1"/>
  <c r="D11135" i="1"/>
  <c r="E11135" i="1"/>
  <c r="F11135" i="1"/>
  <c r="G11135" i="1"/>
  <c r="H11135" i="1"/>
  <c r="I11135" i="1"/>
  <c r="J11135" i="1"/>
  <c r="K11135" i="1"/>
  <c r="L11135" i="1"/>
  <c r="A11136" i="1"/>
  <c r="B11136" i="1"/>
  <c r="C11136" i="1"/>
  <c r="D11136" i="1"/>
  <c r="E11136" i="1"/>
  <c r="F11136" i="1"/>
  <c r="G11136" i="1"/>
  <c r="H11136" i="1"/>
  <c r="I11136" i="1"/>
  <c r="J11136" i="1"/>
  <c r="K11136" i="1"/>
  <c r="L11136" i="1"/>
  <c r="A11137" i="1"/>
  <c r="B11137" i="1"/>
  <c r="C11137" i="1"/>
  <c r="D11137" i="1"/>
  <c r="E11137" i="1"/>
  <c r="F11137" i="1"/>
  <c r="G11137" i="1"/>
  <c r="H11137" i="1"/>
  <c r="I11137" i="1"/>
  <c r="J11137" i="1"/>
  <c r="K11137" i="1"/>
  <c r="L11137" i="1"/>
  <c r="A11138" i="1"/>
  <c r="B11138" i="1"/>
  <c r="C11138" i="1"/>
  <c r="D11138" i="1"/>
  <c r="E11138" i="1"/>
  <c r="F11138" i="1"/>
  <c r="G11138" i="1"/>
  <c r="H11138" i="1"/>
  <c r="I11138" i="1"/>
  <c r="J11138" i="1"/>
  <c r="K11138" i="1"/>
  <c r="L11138" i="1"/>
  <c r="A11139" i="1"/>
  <c r="B11139" i="1"/>
  <c r="C11139" i="1"/>
  <c r="D11139" i="1"/>
  <c r="E11139" i="1"/>
  <c r="F11139" i="1"/>
  <c r="G11139" i="1"/>
  <c r="H11139" i="1"/>
  <c r="I11139" i="1"/>
  <c r="J11139" i="1"/>
  <c r="K11139" i="1"/>
  <c r="L11139" i="1"/>
  <c r="A11140" i="1"/>
  <c r="B11140" i="1"/>
  <c r="C11140" i="1"/>
  <c r="D11140" i="1"/>
  <c r="E11140" i="1"/>
  <c r="F11140" i="1"/>
  <c r="G11140" i="1"/>
  <c r="H11140" i="1"/>
  <c r="I11140" i="1"/>
  <c r="J11140" i="1"/>
  <c r="K11140" i="1"/>
  <c r="L11140" i="1"/>
  <c r="A11141" i="1"/>
  <c r="B11141" i="1"/>
  <c r="C11141" i="1"/>
  <c r="D11141" i="1"/>
  <c r="E11141" i="1"/>
  <c r="F11141" i="1"/>
  <c r="G11141" i="1"/>
  <c r="H11141" i="1"/>
  <c r="I11141" i="1"/>
  <c r="J11141" i="1"/>
  <c r="K11141" i="1"/>
  <c r="L11141" i="1"/>
  <c r="A11142" i="1"/>
  <c r="B11142" i="1"/>
  <c r="C11142" i="1"/>
  <c r="D11142" i="1"/>
  <c r="E11142" i="1"/>
  <c r="F11142" i="1"/>
  <c r="G11142" i="1"/>
  <c r="H11142" i="1"/>
  <c r="I11142" i="1"/>
  <c r="J11142" i="1"/>
  <c r="K11142" i="1"/>
  <c r="L11142" i="1"/>
  <c r="A11143" i="1"/>
  <c r="B11143" i="1"/>
  <c r="C11143" i="1"/>
  <c r="D11143" i="1"/>
  <c r="E11143" i="1"/>
  <c r="F11143" i="1"/>
  <c r="G11143" i="1"/>
  <c r="H11143" i="1"/>
  <c r="I11143" i="1"/>
  <c r="J11143" i="1"/>
  <c r="K11143" i="1"/>
  <c r="L11143" i="1"/>
  <c r="A11144" i="1"/>
  <c r="B11144" i="1"/>
  <c r="C11144" i="1"/>
  <c r="D11144" i="1"/>
  <c r="E11144" i="1"/>
  <c r="F11144" i="1"/>
  <c r="G11144" i="1"/>
  <c r="H11144" i="1"/>
  <c r="I11144" i="1"/>
  <c r="J11144" i="1"/>
  <c r="K11144" i="1"/>
  <c r="L11144" i="1"/>
  <c r="A11145" i="1"/>
  <c r="B11145" i="1"/>
  <c r="C11145" i="1"/>
  <c r="D11145" i="1"/>
  <c r="E11145" i="1"/>
  <c r="F11145" i="1"/>
  <c r="G11145" i="1"/>
  <c r="H11145" i="1"/>
  <c r="I11145" i="1"/>
  <c r="J11145" i="1"/>
  <c r="K11145" i="1"/>
  <c r="L11145" i="1"/>
  <c r="A11146" i="1"/>
  <c r="B11146" i="1"/>
  <c r="C11146" i="1"/>
  <c r="D11146" i="1"/>
  <c r="E11146" i="1"/>
  <c r="F11146" i="1"/>
  <c r="G11146" i="1"/>
  <c r="H11146" i="1"/>
  <c r="I11146" i="1"/>
  <c r="J11146" i="1"/>
  <c r="K11146" i="1"/>
  <c r="L11146" i="1"/>
  <c r="A11147" i="1"/>
  <c r="B11147" i="1"/>
  <c r="C11147" i="1"/>
  <c r="D11147" i="1"/>
  <c r="E11147" i="1"/>
  <c r="F11147" i="1"/>
  <c r="G11147" i="1"/>
  <c r="H11147" i="1"/>
  <c r="I11147" i="1"/>
  <c r="J11147" i="1"/>
  <c r="K11147" i="1"/>
  <c r="L11147" i="1"/>
  <c r="A11148" i="1"/>
  <c r="B11148" i="1"/>
  <c r="C11148" i="1"/>
  <c r="D11148" i="1"/>
  <c r="E11148" i="1"/>
  <c r="F11148" i="1"/>
  <c r="G11148" i="1"/>
  <c r="H11148" i="1"/>
  <c r="I11148" i="1"/>
  <c r="J11148" i="1"/>
  <c r="K11148" i="1"/>
  <c r="L11148" i="1"/>
  <c r="A11149" i="1"/>
  <c r="B11149" i="1"/>
  <c r="C11149" i="1"/>
  <c r="D11149" i="1"/>
  <c r="E11149" i="1"/>
  <c r="F11149" i="1"/>
  <c r="G11149" i="1"/>
  <c r="H11149" i="1"/>
  <c r="I11149" i="1"/>
  <c r="J11149" i="1"/>
  <c r="K11149" i="1"/>
  <c r="L11149" i="1"/>
  <c r="A11150" i="1"/>
  <c r="B11150" i="1"/>
  <c r="C11150" i="1"/>
  <c r="D11150" i="1"/>
  <c r="E11150" i="1"/>
  <c r="F11150" i="1"/>
  <c r="G11150" i="1"/>
  <c r="H11150" i="1"/>
  <c r="I11150" i="1"/>
  <c r="J11150" i="1"/>
  <c r="K11150" i="1"/>
  <c r="L11150" i="1"/>
  <c r="A11151" i="1"/>
  <c r="B11151" i="1"/>
  <c r="C11151" i="1"/>
  <c r="D11151" i="1"/>
  <c r="E11151" i="1"/>
  <c r="F11151" i="1"/>
  <c r="G11151" i="1"/>
  <c r="H11151" i="1"/>
  <c r="I11151" i="1"/>
  <c r="J11151" i="1"/>
  <c r="K11151" i="1"/>
  <c r="L11151" i="1"/>
  <c r="A11152" i="1"/>
  <c r="B11152" i="1"/>
  <c r="C11152" i="1"/>
  <c r="D11152" i="1"/>
  <c r="E11152" i="1"/>
  <c r="F11152" i="1"/>
  <c r="G11152" i="1"/>
  <c r="H11152" i="1"/>
  <c r="I11152" i="1"/>
  <c r="J11152" i="1"/>
  <c r="K11152" i="1"/>
  <c r="L11152" i="1"/>
  <c r="A11153" i="1"/>
  <c r="B11153" i="1"/>
  <c r="C11153" i="1"/>
  <c r="D11153" i="1"/>
  <c r="E11153" i="1"/>
  <c r="F11153" i="1"/>
  <c r="G11153" i="1"/>
  <c r="H11153" i="1"/>
  <c r="I11153" i="1"/>
  <c r="J11153" i="1"/>
  <c r="K11153" i="1"/>
  <c r="L11153" i="1"/>
  <c r="A11154" i="1"/>
  <c r="B11154" i="1"/>
  <c r="C11154" i="1"/>
  <c r="D11154" i="1"/>
  <c r="E11154" i="1"/>
  <c r="F11154" i="1"/>
  <c r="G11154" i="1"/>
  <c r="H11154" i="1"/>
  <c r="I11154" i="1"/>
  <c r="J11154" i="1"/>
  <c r="K11154" i="1"/>
  <c r="L11154" i="1"/>
  <c r="A11155" i="1"/>
  <c r="B11155" i="1"/>
  <c r="C11155" i="1"/>
  <c r="D11155" i="1"/>
  <c r="E11155" i="1"/>
  <c r="F11155" i="1"/>
  <c r="G11155" i="1"/>
  <c r="H11155" i="1"/>
  <c r="I11155" i="1"/>
  <c r="J11155" i="1"/>
  <c r="K11155" i="1"/>
  <c r="L11155" i="1"/>
  <c r="A11156" i="1"/>
  <c r="B11156" i="1"/>
  <c r="C11156" i="1"/>
  <c r="D11156" i="1"/>
  <c r="E11156" i="1"/>
  <c r="F11156" i="1"/>
  <c r="G11156" i="1"/>
  <c r="H11156" i="1"/>
  <c r="I11156" i="1"/>
  <c r="J11156" i="1"/>
  <c r="K11156" i="1"/>
  <c r="L11156" i="1"/>
  <c r="A11157" i="1"/>
  <c r="B11157" i="1"/>
  <c r="C11157" i="1"/>
  <c r="D11157" i="1"/>
  <c r="E11157" i="1"/>
  <c r="F11157" i="1"/>
  <c r="G11157" i="1"/>
  <c r="H11157" i="1"/>
  <c r="I11157" i="1"/>
  <c r="J11157" i="1"/>
  <c r="K11157" i="1"/>
  <c r="L11157" i="1"/>
  <c r="A11158" i="1"/>
  <c r="B11158" i="1"/>
  <c r="C11158" i="1"/>
  <c r="D11158" i="1"/>
  <c r="E11158" i="1"/>
  <c r="F11158" i="1"/>
  <c r="G11158" i="1"/>
  <c r="H11158" i="1"/>
  <c r="I11158" i="1"/>
  <c r="J11158" i="1"/>
  <c r="K11158" i="1"/>
  <c r="L11158" i="1"/>
  <c r="A11159" i="1"/>
  <c r="B11159" i="1"/>
  <c r="C11159" i="1"/>
  <c r="D11159" i="1"/>
  <c r="E11159" i="1"/>
  <c r="F11159" i="1"/>
  <c r="G11159" i="1"/>
  <c r="H11159" i="1"/>
  <c r="I11159" i="1"/>
  <c r="J11159" i="1"/>
  <c r="K11159" i="1"/>
  <c r="L11159" i="1"/>
  <c r="A11160" i="1"/>
  <c r="B11160" i="1"/>
  <c r="C11160" i="1"/>
  <c r="D11160" i="1"/>
  <c r="E11160" i="1"/>
  <c r="F11160" i="1"/>
  <c r="G11160" i="1"/>
  <c r="H11160" i="1"/>
  <c r="I11160" i="1"/>
  <c r="J11160" i="1"/>
  <c r="K11160" i="1"/>
  <c r="L11160" i="1"/>
  <c r="A11161" i="1"/>
  <c r="B11161" i="1"/>
  <c r="C11161" i="1"/>
  <c r="D11161" i="1"/>
  <c r="E11161" i="1"/>
  <c r="F11161" i="1"/>
  <c r="G11161" i="1"/>
  <c r="H11161" i="1"/>
  <c r="I11161" i="1"/>
  <c r="J11161" i="1"/>
  <c r="K11161" i="1"/>
  <c r="L11161" i="1"/>
  <c r="A11162" i="1"/>
  <c r="B11162" i="1"/>
  <c r="C11162" i="1"/>
  <c r="D11162" i="1"/>
  <c r="E11162" i="1"/>
  <c r="F11162" i="1"/>
  <c r="G11162" i="1"/>
  <c r="H11162" i="1"/>
  <c r="I11162" i="1"/>
  <c r="J11162" i="1"/>
  <c r="K11162" i="1"/>
  <c r="L11162" i="1"/>
  <c r="A11163" i="1"/>
  <c r="B11163" i="1"/>
  <c r="C11163" i="1"/>
  <c r="D11163" i="1"/>
  <c r="E11163" i="1"/>
  <c r="F11163" i="1"/>
  <c r="G11163" i="1"/>
  <c r="H11163" i="1"/>
  <c r="I11163" i="1"/>
  <c r="J11163" i="1"/>
  <c r="K11163" i="1"/>
  <c r="L11163" i="1"/>
  <c r="A11164" i="1"/>
  <c r="B11164" i="1"/>
  <c r="C11164" i="1"/>
  <c r="D11164" i="1"/>
  <c r="E11164" i="1"/>
  <c r="F11164" i="1"/>
  <c r="G11164" i="1"/>
  <c r="H11164" i="1"/>
  <c r="I11164" i="1"/>
  <c r="J11164" i="1"/>
  <c r="K11164" i="1"/>
  <c r="L11164" i="1"/>
  <c r="A11165" i="1"/>
  <c r="B11165" i="1"/>
  <c r="C11165" i="1"/>
  <c r="D11165" i="1"/>
  <c r="E11165" i="1"/>
  <c r="F11165" i="1"/>
  <c r="G11165" i="1"/>
  <c r="H11165" i="1"/>
  <c r="I11165" i="1"/>
  <c r="J11165" i="1"/>
  <c r="K11165" i="1"/>
  <c r="L11165" i="1"/>
  <c r="A11166" i="1"/>
  <c r="B11166" i="1"/>
  <c r="C11166" i="1"/>
  <c r="D11166" i="1"/>
  <c r="E11166" i="1"/>
  <c r="F11166" i="1"/>
  <c r="G11166" i="1"/>
  <c r="H11166" i="1"/>
  <c r="I11166" i="1"/>
  <c r="J11166" i="1"/>
  <c r="K11166" i="1"/>
  <c r="L11166" i="1"/>
  <c r="A11167" i="1"/>
  <c r="B11167" i="1"/>
  <c r="C11167" i="1"/>
  <c r="D11167" i="1"/>
  <c r="E11167" i="1"/>
  <c r="F11167" i="1"/>
  <c r="G11167" i="1"/>
  <c r="H11167" i="1"/>
  <c r="I11167" i="1"/>
  <c r="J11167" i="1"/>
  <c r="K11167" i="1"/>
  <c r="L11167" i="1"/>
  <c r="A11168" i="1"/>
  <c r="B11168" i="1"/>
  <c r="C11168" i="1"/>
  <c r="D11168" i="1"/>
  <c r="E11168" i="1"/>
  <c r="F11168" i="1"/>
  <c r="G11168" i="1"/>
  <c r="H11168" i="1"/>
  <c r="I11168" i="1"/>
  <c r="J11168" i="1"/>
  <c r="K11168" i="1"/>
  <c r="L11168" i="1"/>
  <c r="A11169" i="1"/>
  <c r="B11169" i="1"/>
  <c r="C11169" i="1"/>
  <c r="D11169" i="1"/>
  <c r="E11169" i="1"/>
  <c r="F11169" i="1"/>
  <c r="G11169" i="1"/>
  <c r="H11169" i="1"/>
  <c r="I11169" i="1"/>
  <c r="J11169" i="1"/>
  <c r="K11169" i="1"/>
  <c r="L11169" i="1"/>
  <c r="A11170" i="1"/>
  <c r="B11170" i="1"/>
  <c r="C11170" i="1"/>
  <c r="D11170" i="1"/>
  <c r="E11170" i="1"/>
  <c r="F11170" i="1"/>
  <c r="G11170" i="1"/>
  <c r="H11170" i="1"/>
  <c r="I11170" i="1"/>
  <c r="J11170" i="1"/>
  <c r="K11170" i="1"/>
  <c r="L11170" i="1"/>
  <c r="A11171" i="1"/>
  <c r="B11171" i="1"/>
  <c r="C11171" i="1"/>
  <c r="D11171" i="1"/>
  <c r="E11171" i="1"/>
  <c r="F11171" i="1"/>
  <c r="G11171" i="1"/>
  <c r="H11171" i="1"/>
  <c r="I11171" i="1"/>
  <c r="J11171" i="1"/>
  <c r="K11171" i="1"/>
  <c r="L11171" i="1"/>
  <c r="A11172" i="1"/>
  <c r="B11172" i="1"/>
  <c r="C11172" i="1"/>
  <c r="D11172" i="1"/>
  <c r="E11172" i="1"/>
  <c r="F11172" i="1"/>
  <c r="G11172" i="1"/>
  <c r="H11172" i="1"/>
  <c r="I11172" i="1"/>
  <c r="J11172" i="1"/>
  <c r="K11172" i="1"/>
  <c r="L11172" i="1"/>
  <c r="A11173" i="1"/>
  <c r="B11173" i="1"/>
  <c r="C11173" i="1"/>
  <c r="D11173" i="1"/>
  <c r="E11173" i="1"/>
  <c r="F11173" i="1"/>
  <c r="G11173" i="1"/>
  <c r="H11173" i="1"/>
  <c r="I11173" i="1"/>
  <c r="J11173" i="1"/>
  <c r="K11173" i="1"/>
  <c r="L11173" i="1"/>
  <c r="A11174" i="1"/>
  <c r="B11174" i="1"/>
  <c r="C11174" i="1"/>
  <c r="D11174" i="1"/>
  <c r="E11174" i="1"/>
  <c r="F11174" i="1"/>
  <c r="G11174" i="1"/>
  <c r="H11174" i="1"/>
  <c r="I11174" i="1"/>
  <c r="J11174" i="1"/>
  <c r="K11174" i="1"/>
  <c r="L11174" i="1"/>
  <c r="A11175" i="1"/>
  <c r="B11175" i="1"/>
  <c r="C11175" i="1"/>
  <c r="D11175" i="1"/>
  <c r="E11175" i="1"/>
  <c r="F11175" i="1"/>
  <c r="G11175" i="1"/>
  <c r="H11175" i="1"/>
  <c r="I11175" i="1"/>
  <c r="J11175" i="1"/>
  <c r="K11175" i="1"/>
  <c r="L11175" i="1"/>
  <c r="A11176" i="1"/>
  <c r="B11176" i="1"/>
  <c r="C11176" i="1"/>
  <c r="D11176" i="1"/>
  <c r="E11176" i="1"/>
  <c r="F11176" i="1"/>
  <c r="G11176" i="1"/>
  <c r="H11176" i="1"/>
  <c r="I11176" i="1"/>
  <c r="J11176" i="1"/>
  <c r="K11176" i="1"/>
  <c r="L11176" i="1"/>
  <c r="A11177" i="1"/>
  <c r="B11177" i="1"/>
  <c r="C11177" i="1"/>
  <c r="D11177" i="1"/>
  <c r="E11177" i="1"/>
  <c r="F11177" i="1"/>
  <c r="G11177" i="1"/>
  <c r="H11177" i="1"/>
  <c r="I11177" i="1"/>
  <c r="J11177" i="1"/>
  <c r="K11177" i="1"/>
  <c r="L11177" i="1"/>
  <c r="A11178" i="1"/>
  <c r="B11178" i="1"/>
  <c r="C11178" i="1"/>
  <c r="D11178" i="1"/>
  <c r="E11178" i="1"/>
  <c r="F11178" i="1"/>
  <c r="G11178" i="1"/>
  <c r="H11178" i="1"/>
  <c r="I11178" i="1"/>
  <c r="J11178" i="1"/>
  <c r="K11178" i="1"/>
  <c r="L11178" i="1"/>
  <c r="A11179" i="1"/>
  <c r="B11179" i="1"/>
  <c r="C11179" i="1"/>
  <c r="D11179" i="1"/>
  <c r="E11179" i="1"/>
  <c r="F11179" i="1"/>
  <c r="G11179" i="1"/>
  <c r="H11179" i="1"/>
  <c r="I11179" i="1"/>
  <c r="J11179" i="1"/>
  <c r="K11179" i="1"/>
  <c r="L11179" i="1"/>
  <c r="A11180" i="1"/>
  <c r="B11180" i="1"/>
  <c r="C11180" i="1"/>
  <c r="D11180" i="1"/>
  <c r="E11180" i="1"/>
  <c r="F11180" i="1"/>
  <c r="G11180" i="1"/>
  <c r="H11180" i="1"/>
  <c r="I11180" i="1"/>
  <c r="J11180" i="1"/>
  <c r="K11180" i="1"/>
  <c r="L11180" i="1"/>
  <c r="A11181" i="1"/>
  <c r="B11181" i="1"/>
  <c r="C11181" i="1"/>
  <c r="D11181" i="1"/>
  <c r="E11181" i="1"/>
  <c r="F11181" i="1"/>
  <c r="G11181" i="1"/>
  <c r="H11181" i="1"/>
  <c r="I11181" i="1"/>
  <c r="J11181" i="1"/>
  <c r="K11181" i="1"/>
  <c r="L11181" i="1"/>
  <c r="A11182" i="1"/>
  <c r="B11182" i="1"/>
  <c r="C11182" i="1"/>
  <c r="D11182" i="1"/>
  <c r="E11182" i="1"/>
  <c r="F11182" i="1"/>
  <c r="G11182" i="1"/>
  <c r="H11182" i="1"/>
  <c r="I11182" i="1"/>
  <c r="J11182" i="1"/>
  <c r="K11182" i="1"/>
  <c r="L11182" i="1"/>
  <c r="A11183" i="1"/>
  <c r="B11183" i="1"/>
  <c r="C11183" i="1"/>
  <c r="D11183" i="1"/>
  <c r="E11183" i="1"/>
  <c r="F11183" i="1"/>
  <c r="G11183" i="1"/>
  <c r="H11183" i="1"/>
  <c r="I11183" i="1"/>
  <c r="J11183" i="1"/>
  <c r="K11183" i="1"/>
  <c r="L11183" i="1"/>
  <c r="A11184" i="1"/>
  <c r="B11184" i="1"/>
  <c r="C11184" i="1"/>
  <c r="D11184" i="1"/>
  <c r="E11184" i="1"/>
  <c r="F11184" i="1"/>
  <c r="G11184" i="1"/>
  <c r="H11184" i="1"/>
  <c r="I11184" i="1"/>
  <c r="J11184" i="1"/>
  <c r="K11184" i="1"/>
  <c r="L11184" i="1"/>
  <c r="A11185" i="1"/>
  <c r="B11185" i="1"/>
  <c r="C11185" i="1"/>
  <c r="D11185" i="1"/>
  <c r="E11185" i="1"/>
  <c r="F11185" i="1"/>
  <c r="G11185" i="1"/>
  <c r="H11185" i="1"/>
  <c r="I11185" i="1"/>
  <c r="J11185" i="1"/>
  <c r="K11185" i="1"/>
  <c r="L11185" i="1"/>
  <c r="A11186" i="1"/>
  <c r="B11186" i="1"/>
  <c r="C11186" i="1"/>
  <c r="D11186" i="1"/>
  <c r="E11186" i="1"/>
  <c r="F11186" i="1"/>
  <c r="G11186" i="1"/>
  <c r="H11186" i="1"/>
  <c r="I11186" i="1"/>
  <c r="J11186" i="1"/>
  <c r="K11186" i="1"/>
  <c r="L11186" i="1"/>
  <c r="A11187" i="1"/>
  <c r="B11187" i="1"/>
  <c r="C11187" i="1"/>
  <c r="D11187" i="1"/>
  <c r="E11187" i="1"/>
  <c r="F11187" i="1"/>
  <c r="G11187" i="1"/>
  <c r="H11187" i="1"/>
  <c r="I11187" i="1"/>
  <c r="J11187" i="1"/>
  <c r="K11187" i="1"/>
  <c r="L11187" i="1"/>
  <c r="A11188" i="1"/>
  <c r="B11188" i="1"/>
  <c r="C11188" i="1"/>
  <c r="D11188" i="1"/>
  <c r="E11188" i="1"/>
  <c r="F11188" i="1"/>
  <c r="G11188" i="1"/>
  <c r="H11188" i="1"/>
  <c r="I11188" i="1"/>
  <c r="J11188" i="1"/>
  <c r="K11188" i="1"/>
  <c r="L11188" i="1"/>
  <c r="A11189" i="1"/>
  <c r="B11189" i="1"/>
  <c r="C11189" i="1"/>
  <c r="D11189" i="1"/>
  <c r="E11189" i="1"/>
  <c r="F11189" i="1"/>
  <c r="G11189" i="1"/>
  <c r="H11189" i="1"/>
  <c r="I11189" i="1"/>
  <c r="J11189" i="1"/>
  <c r="K11189" i="1"/>
  <c r="L11189" i="1"/>
  <c r="A11190" i="1"/>
  <c r="B11190" i="1"/>
  <c r="C11190" i="1"/>
  <c r="D11190" i="1"/>
  <c r="E11190" i="1"/>
  <c r="F11190" i="1"/>
  <c r="G11190" i="1"/>
  <c r="H11190" i="1"/>
  <c r="I11190" i="1"/>
  <c r="J11190" i="1"/>
  <c r="K11190" i="1"/>
  <c r="L11190" i="1"/>
  <c r="A11191" i="1"/>
  <c r="B11191" i="1"/>
  <c r="C11191" i="1"/>
  <c r="D11191" i="1"/>
  <c r="E11191" i="1"/>
  <c r="F11191" i="1"/>
  <c r="G11191" i="1"/>
  <c r="H11191" i="1"/>
  <c r="I11191" i="1"/>
  <c r="J11191" i="1"/>
  <c r="K11191" i="1"/>
  <c r="L11191" i="1"/>
  <c r="A11192" i="1"/>
  <c r="B11192" i="1"/>
  <c r="C11192" i="1"/>
  <c r="D11192" i="1"/>
  <c r="E11192" i="1"/>
  <c r="F11192" i="1"/>
  <c r="G11192" i="1"/>
  <c r="H11192" i="1"/>
  <c r="I11192" i="1"/>
  <c r="J11192" i="1"/>
  <c r="K11192" i="1"/>
  <c r="L11192" i="1"/>
  <c r="A11193" i="1"/>
  <c r="B11193" i="1"/>
  <c r="C11193" i="1"/>
  <c r="D11193" i="1"/>
  <c r="E11193" i="1"/>
  <c r="F11193" i="1"/>
  <c r="G11193" i="1"/>
  <c r="H11193" i="1"/>
  <c r="I11193" i="1"/>
  <c r="J11193" i="1"/>
  <c r="K11193" i="1"/>
  <c r="L11193" i="1"/>
  <c r="A11194" i="1"/>
  <c r="B11194" i="1"/>
  <c r="C11194" i="1"/>
  <c r="D11194" i="1"/>
  <c r="E11194" i="1"/>
  <c r="F11194" i="1"/>
  <c r="G11194" i="1"/>
  <c r="H11194" i="1"/>
  <c r="I11194" i="1"/>
  <c r="J11194" i="1"/>
  <c r="K11194" i="1"/>
  <c r="L11194" i="1"/>
  <c r="A11195" i="1"/>
  <c r="B11195" i="1"/>
  <c r="C11195" i="1"/>
  <c r="D11195" i="1"/>
  <c r="E11195" i="1"/>
  <c r="F11195" i="1"/>
  <c r="G11195" i="1"/>
  <c r="H11195" i="1"/>
  <c r="I11195" i="1"/>
  <c r="J11195" i="1"/>
  <c r="K11195" i="1"/>
  <c r="L11195" i="1"/>
  <c r="A11196" i="1"/>
  <c r="B11196" i="1"/>
  <c r="C11196" i="1"/>
  <c r="D11196" i="1"/>
  <c r="E11196" i="1"/>
  <c r="F11196" i="1"/>
  <c r="G11196" i="1"/>
  <c r="H11196" i="1"/>
  <c r="I11196" i="1"/>
  <c r="J11196" i="1"/>
  <c r="K11196" i="1"/>
  <c r="L11196" i="1"/>
  <c r="A11197" i="1"/>
  <c r="B11197" i="1"/>
  <c r="C11197" i="1"/>
  <c r="D11197" i="1"/>
  <c r="E11197" i="1"/>
  <c r="F11197" i="1"/>
  <c r="G11197" i="1"/>
  <c r="H11197" i="1"/>
  <c r="I11197" i="1"/>
  <c r="J11197" i="1"/>
  <c r="K11197" i="1"/>
  <c r="L11197" i="1"/>
  <c r="A11198" i="1"/>
  <c r="B11198" i="1"/>
  <c r="C11198" i="1"/>
  <c r="D11198" i="1"/>
  <c r="E11198" i="1"/>
  <c r="F11198" i="1"/>
  <c r="G11198" i="1"/>
  <c r="H11198" i="1"/>
  <c r="I11198" i="1"/>
  <c r="J11198" i="1"/>
  <c r="K11198" i="1"/>
  <c r="L11198" i="1"/>
  <c r="A11199" i="1"/>
  <c r="B11199" i="1"/>
  <c r="C11199" i="1"/>
  <c r="D11199" i="1"/>
  <c r="E11199" i="1"/>
  <c r="F11199" i="1"/>
  <c r="G11199" i="1"/>
  <c r="H11199" i="1"/>
  <c r="I11199" i="1"/>
  <c r="J11199" i="1"/>
  <c r="K11199" i="1"/>
  <c r="L11199" i="1"/>
  <c r="A11200" i="1"/>
  <c r="B11200" i="1"/>
  <c r="C11200" i="1"/>
  <c r="D11200" i="1"/>
  <c r="E11200" i="1"/>
  <c r="F11200" i="1"/>
  <c r="G11200" i="1"/>
  <c r="H11200" i="1"/>
  <c r="I11200" i="1"/>
  <c r="J11200" i="1"/>
  <c r="K11200" i="1"/>
  <c r="L11200" i="1"/>
  <c r="A11201" i="1"/>
  <c r="B11201" i="1"/>
  <c r="C11201" i="1"/>
  <c r="D11201" i="1"/>
  <c r="E11201" i="1"/>
  <c r="F11201" i="1"/>
  <c r="G11201" i="1"/>
  <c r="H11201" i="1"/>
  <c r="I11201" i="1"/>
  <c r="J11201" i="1"/>
  <c r="K11201" i="1"/>
  <c r="L11201" i="1"/>
  <c r="A11202" i="1"/>
  <c r="B11202" i="1"/>
  <c r="C11202" i="1"/>
  <c r="D11202" i="1"/>
  <c r="E11202" i="1"/>
  <c r="F11202" i="1"/>
  <c r="G11202" i="1"/>
  <c r="H11202" i="1"/>
  <c r="I11202" i="1"/>
  <c r="J11202" i="1"/>
  <c r="K11202" i="1"/>
  <c r="L11202" i="1"/>
  <c r="A11203" i="1"/>
  <c r="B11203" i="1"/>
  <c r="C11203" i="1"/>
  <c r="D11203" i="1"/>
  <c r="E11203" i="1"/>
  <c r="F11203" i="1"/>
  <c r="G11203" i="1"/>
  <c r="H11203" i="1"/>
  <c r="I11203" i="1"/>
  <c r="J11203" i="1"/>
  <c r="K11203" i="1"/>
  <c r="L11203" i="1"/>
  <c r="A11204" i="1"/>
  <c r="B11204" i="1"/>
  <c r="C11204" i="1"/>
  <c r="D11204" i="1"/>
  <c r="E11204" i="1"/>
  <c r="F11204" i="1"/>
  <c r="G11204" i="1"/>
  <c r="H11204" i="1"/>
  <c r="I11204" i="1"/>
  <c r="J11204" i="1"/>
  <c r="K11204" i="1"/>
  <c r="L11204" i="1"/>
  <c r="A11205" i="1"/>
  <c r="B11205" i="1"/>
  <c r="C11205" i="1"/>
  <c r="D11205" i="1"/>
  <c r="E11205" i="1"/>
  <c r="F11205" i="1"/>
  <c r="G11205" i="1"/>
  <c r="H11205" i="1"/>
  <c r="I11205" i="1"/>
  <c r="J11205" i="1"/>
  <c r="K11205" i="1"/>
  <c r="L11205" i="1"/>
  <c r="A11206" i="1"/>
  <c r="B11206" i="1"/>
  <c r="C11206" i="1"/>
  <c r="D11206" i="1"/>
  <c r="E11206" i="1"/>
  <c r="F11206" i="1"/>
  <c r="G11206" i="1"/>
  <c r="H11206" i="1"/>
  <c r="I11206" i="1"/>
  <c r="J11206" i="1"/>
  <c r="K11206" i="1"/>
  <c r="L11206" i="1"/>
  <c r="A11207" i="1"/>
  <c r="B11207" i="1"/>
  <c r="C11207" i="1"/>
  <c r="D11207" i="1"/>
  <c r="E11207" i="1"/>
  <c r="F11207" i="1"/>
  <c r="G11207" i="1"/>
  <c r="H11207" i="1"/>
  <c r="I11207" i="1"/>
  <c r="J11207" i="1"/>
  <c r="K11207" i="1"/>
  <c r="L11207" i="1"/>
  <c r="A11208" i="1"/>
  <c r="B11208" i="1"/>
  <c r="C11208" i="1"/>
  <c r="D11208" i="1"/>
  <c r="E11208" i="1"/>
  <c r="F11208" i="1"/>
  <c r="G11208" i="1"/>
  <c r="H11208" i="1"/>
  <c r="I11208" i="1"/>
  <c r="J11208" i="1"/>
  <c r="K11208" i="1"/>
  <c r="L11208" i="1"/>
  <c r="A11209" i="1"/>
  <c r="B11209" i="1"/>
  <c r="C11209" i="1"/>
  <c r="D11209" i="1"/>
  <c r="E11209" i="1"/>
  <c r="F11209" i="1"/>
  <c r="G11209" i="1"/>
  <c r="H11209" i="1"/>
  <c r="I11209" i="1"/>
  <c r="J11209" i="1"/>
  <c r="K11209" i="1"/>
  <c r="L11209" i="1"/>
  <c r="A11210" i="1"/>
  <c r="B11210" i="1"/>
  <c r="C11210" i="1"/>
  <c r="D11210" i="1"/>
  <c r="E11210" i="1"/>
  <c r="F11210" i="1"/>
  <c r="G11210" i="1"/>
  <c r="H11210" i="1"/>
  <c r="I11210" i="1"/>
  <c r="J11210" i="1"/>
  <c r="K11210" i="1"/>
  <c r="L11210" i="1"/>
  <c r="A11211" i="1"/>
  <c r="B11211" i="1"/>
  <c r="C11211" i="1"/>
  <c r="D11211" i="1"/>
  <c r="E11211" i="1"/>
  <c r="F11211" i="1"/>
  <c r="G11211" i="1"/>
  <c r="H11211" i="1"/>
  <c r="I11211" i="1"/>
  <c r="J11211" i="1"/>
  <c r="K11211" i="1"/>
  <c r="L11211" i="1"/>
  <c r="A11212" i="1"/>
  <c r="B11212" i="1"/>
  <c r="C11212" i="1"/>
  <c r="D11212" i="1"/>
  <c r="E11212" i="1"/>
  <c r="F11212" i="1"/>
  <c r="G11212" i="1"/>
  <c r="H11212" i="1"/>
  <c r="I11212" i="1"/>
  <c r="J11212" i="1"/>
  <c r="K11212" i="1"/>
  <c r="L11212" i="1"/>
  <c r="A11213" i="1"/>
  <c r="B11213" i="1"/>
  <c r="C11213" i="1"/>
  <c r="D11213" i="1"/>
  <c r="E11213" i="1"/>
  <c r="F11213" i="1"/>
  <c r="G11213" i="1"/>
  <c r="H11213" i="1"/>
  <c r="I11213" i="1"/>
  <c r="J11213" i="1"/>
  <c r="K11213" i="1"/>
  <c r="L11213" i="1"/>
  <c r="A11214" i="1"/>
  <c r="B11214" i="1"/>
  <c r="C11214" i="1"/>
  <c r="D11214" i="1"/>
  <c r="E11214" i="1"/>
  <c r="F11214" i="1"/>
  <c r="G11214" i="1"/>
  <c r="H11214" i="1"/>
  <c r="I11214" i="1"/>
  <c r="J11214" i="1"/>
  <c r="K11214" i="1"/>
  <c r="L11214" i="1"/>
  <c r="A11215" i="1"/>
  <c r="B11215" i="1"/>
  <c r="C11215" i="1"/>
  <c r="D11215" i="1"/>
  <c r="E11215" i="1"/>
  <c r="F11215" i="1"/>
  <c r="G11215" i="1"/>
  <c r="H11215" i="1"/>
  <c r="I11215" i="1"/>
  <c r="J11215" i="1"/>
  <c r="K11215" i="1"/>
  <c r="L11215" i="1"/>
  <c r="A11216" i="1"/>
  <c r="B11216" i="1"/>
  <c r="C11216" i="1"/>
  <c r="D11216" i="1"/>
  <c r="E11216" i="1"/>
  <c r="F11216" i="1"/>
  <c r="G11216" i="1"/>
  <c r="H11216" i="1"/>
  <c r="I11216" i="1"/>
  <c r="J11216" i="1"/>
  <c r="K11216" i="1"/>
  <c r="L11216" i="1"/>
  <c r="A11217" i="1"/>
  <c r="B11217" i="1"/>
  <c r="C11217" i="1"/>
  <c r="D11217" i="1"/>
  <c r="E11217" i="1"/>
  <c r="F11217" i="1"/>
  <c r="G11217" i="1"/>
  <c r="H11217" i="1"/>
  <c r="I11217" i="1"/>
  <c r="J11217" i="1"/>
  <c r="K11217" i="1"/>
  <c r="L11217" i="1"/>
  <c r="A11218" i="1"/>
  <c r="B11218" i="1"/>
  <c r="C11218" i="1"/>
  <c r="D11218" i="1"/>
  <c r="E11218" i="1"/>
  <c r="F11218" i="1"/>
  <c r="G11218" i="1"/>
  <c r="H11218" i="1"/>
  <c r="I11218" i="1"/>
  <c r="J11218" i="1"/>
  <c r="K11218" i="1"/>
  <c r="L11218" i="1"/>
  <c r="A11219" i="1"/>
  <c r="B11219" i="1"/>
  <c r="C11219" i="1"/>
  <c r="D11219" i="1"/>
  <c r="E11219" i="1"/>
  <c r="F11219" i="1"/>
  <c r="G11219" i="1"/>
  <c r="H11219" i="1"/>
  <c r="I11219" i="1"/>
  <c r="J11219" i="1"/>
  <c r="K11219" i="1"/>
  <c r="L11219" i="1"/>
  <c r="A11220" i="1"/>
  <c r="B11220" i="1"/>
  <c r="C11220" i="1"/>
  <c r="D11220" i="1"/>
  <c r="E11220" i="1"/>
  <c r="F11220" i="1"/>
  <c r="G11220" i="1"/>
  <c r="H11220" i="1"/>
  <c r="I11220" i="1"/>
  <c r="J11220" i="1"/>
  <c r="K11220" i="1"/>
  <c r="L11220" i="1"/>
  <c r="A11221" i="1"/>
  <c r="B11221" i="1"/>
  <c r="C11221" i="1"/>
  <c r="D11221" i="1"/>
  <c r="E11221" i="1"/>
  <c r="F11221" i="1"/>
  <c r="G11221" i="1"/>
  <c r="H11221" i="1"/>
  <c r="I11221" i="1"/>
  <c r="J11221" i="1"/>
  <c r="K11221" i="1"/>
  <c r="L11221" i="1"/>
  <c r="A11222" i="1"/>
  <c r="B11222" i="1"/>
  <c r="C11222" i="1"/>
  <c r="D11222" i="1"/>
  <c r="E11222" i="1"/>
  <c r="F11222" i="1"/>
  <c r="G11222" i="1"/>
  <c r="H11222" i="1"/>
  <c r="I11222" i="1"/>
  <c r="J11222" i="1"/>
  <c r="K11222" i="1"/>
  <c r="L11222" i="1"/>
  <c r="A11223" i="1"/>
  <c r="B11223" i="1"/>
  <c r="C11223" i="1"/>
  <c r="D11223" i="1"/>
  <c r="E11223" i="1"/>
  <c r="F11223" i="1"/>
  <c r="G11223" i="1"/>
  <c r="H11223" i="1"/>
  <c r="I11223" i="1"/>
  <c r="J11223" i="1"/>
  <c r="K11223" i="1"/>
  <c r="L11223" i="1"/>
  <c r="A11224" i="1"/>
  <c r="B11224" i="1"/>
  <c r="C11224" i="1"/>
  <c r="D11224" i="1"/>
  <c r="E11224" i="1"/>
  <c r="F11224" i="1"/>
  <c r="G11224" i="1"/>
  <c r="H11224" i="1"/>
  <c r="I11224" i="1"/>
  <c r="J11224" i="1"/>
  <c r="K11224" i="1"/>
  <c r="L11224" i="1"/>
  <c r="A11225" i="1"/>
  <c r="B11225" i="1"/>
  <c r="C11225" i="1"/>
  <c r="D11225" i="1"/>
  <c r="E11225" i="1"/>
  <c r="F11225" i="1"/>
  <c r="G11225" i="1"/>
  <c r="H11225" i="1"/>
  <c r="I11225" i="1"/>
  <c r="J11225" i="1"/>
  <c r="K11225" i="1"/>
  <c r="L11225" i="1"/>
  <c r="A11226" i="1"/>
  <c r="B11226" i="1"/>
  <c r="C11226" i="1"/>
  <c r="D11226" i="1"/>
  <c r="E11226" i="1"/>
  <c r="F11226" i="1"/>
  <c r="G11226" i="1"/>
  <c r="H11226" i="1"/>
  <c r="I11226" i="1"/>
  <c r="J11226" i="1"/>
  <c r="K11226" i="1"/>
  <c r="L11226" i="1"/>
  <c r="A11227" i="1"/>
  <c r="B11227" i="1"/>
  <c r="C11227" i="1"/>
  <c r="D11227" i="1"/>
  <c r="E11227" i="1"/>
  <c r="F11227" i="1"/>
  <c r="G11227" i="1"/>
  <c r="H11227" i="1"/>
  <c r="I11227" i="1"/>
  <c r="J11227" i="1"/>
  <c r="K11227" i="1"/>
  <c r="L11227" i="1"/>
  <c r="A11228" i="1"/>
  <c r="B11228" i="1"/>
  <c r="C11228" i="1"/>
  <c r="D11228" i="1"/>
  <c r="E11228" i="1"/>
  <c r="F11228" i="1"/>
  <c r="G11228" i="1"/>
  <c r="H11228" i="1"/>
  <c r="I11228" i="1"/>
  <c r="J11228" i="1"/>
  <c r="K11228" i="1"/>
  <c r="L11228" i="1"/>
  <c r="A11229" i="1"/>
  <c r="B11229" i="1"/>
  <c r="C11229" i="1"/>
  <c r="D11229" i="1"/>
  <c r="E11229" i="1"/>
  <c r="F11229" i="1"/>
  <c r="G11229" i="1"/>
  <c r="H11229" i="1"/>
  <c r="I11229" i="1"/>
  <c r="J11229" i="1"/>
  <c r="K11229" i="1"/>
  <c r="L11229" i="1"/>
  <c r="A11230" i="1"/>
  <c r="B11230" i="1"/>
  <c r="C11230" i="1"/>
  <c r="D11230" i="1"/>
  <c r="E11230" i="1"/>
  <c r="F11230" i="1"/>
  <c r="G11230" i="1"/>
  <c r="H11230" i="1"/>
  <c r="I11230" i="1"/>
  <c r="J11230" i="1"/>
  <c r="K11230" i="1"/>
  <c r="L11230" i="1"/>
  <c r="A11231" i="1"/>
  <c r="B11231" i="1"/>
  <c r="C11231" i="1"/>
  <c r="D11231" i="1"/>
  <c r="E11231" i="1"/>
  <c r="F11231" i="1"/>
  <c r="G11231" i="1"/>
  <c r="H11231" i="1"/>
  <c r="I11231" i="1"/>
  <c r="J11231" i="1"/>
  <c r="K11231" i="1"/>
  <c r="L11231" i="1"/>
  <c r="A11232" i="1"/>
  <c r="B11232" i="1"/>
  <c r="C11232" i="1"/>
  <c r="D11232" i="1"/>
  <c r="E11232" i="1"/>
  <c r="F11232" i="1"/>
  <c r="G11232" i="1"/>
  <c r="H11232" i="1"/>
  <c r="I11232" i="1"/>
  <c r="J11232" i="1"/>
  <c r="K11232" i="1"/>
  <c r="L11232" i="1"/>
  <c r="A11233" i="1"/>
  <c r="B11233" i="1"/>
  <c r="C11233" i="1"/>
  <c r="D11233" i="1"/>
  <c r="E11233" i="1"/>
  <c r="F11233" i="1"/>
  <c r="G11233" i="1"/>
  <c r="H11233" i="1"/>
  <c r="I11233" i="1"/>
  <c r="J11233" i="1"/>
  <c r="K11233" i="1"/>
  <c r="L11233" i="1"/>
  <c r="A11234" i="1"/>
  <c r="B11234" i="1"/>
  <c r="C11234" i="1"/>
  <c r="D11234" i="1"/>
  <c r="E11234" i="1"/>
  <c r="F11234" i="1"/>
  <c r="G11234" i="1"/>
  <c r="H11234" i="1"/>
  <c r="I11234" i="1"/>
  <c r="J11234" i="1"/>
  <c r="K11234" i="1"/>
  <c r="L11234" i="1"/>
  <c r="A11235" i="1"/>
  <c r="B11235" i="1"/>
  <c r="C11235" i="1"/>
  <c r="D11235" i="1"/>
  <c r="E11235" i="1"/>
  <c r="F11235" i="1"/>
  <c r="G11235" i="1"/>
  <c r="H11235" i="1"/>
  <c r="I11235" i="1"/>
  <c r="J11235" i="1"/>
  <c r="K11235" i="1"/>
  <c r="L11235" i="1"/>
  <c r="A11236" i="1"/>
  <c r="B11236" i="1"/>
  <c r="C11236" i="1"/>
  <c r="D11236" i="1"/>
  <c r="E11236" i="1"/>
  <c r="F11236" i="1"/>
  <c r="G11236" i="1"/>
  <c r="H11236" i="1"/>
  <c r="I11236" i="1"/>
  <c r="J11236" i="1"/>
  <c r="K11236" i="1"/>
  <c r="L11236" i="1"/>
  <c r="A11237" i="1"/>
  <c r="B11237" i="1"/>
  <c r="C11237" i="1"/>
  <c r="D11237" i="1"/>
  <c r="E11237" i="1"/>
  <c r="F11237" i="1"/>
  <c r="G11237" i="1"/>
  <c r="H11237" i="1"/>
  <c r="I11237" i="1"/>
  <c r="J11237" i="1"/>
  <c r="K11237" i="1"/>
  <c r="L11237" i="1"/>
  <c r="A11238" i="1"/>
  <c r="B11238" i="1"/>
  <c r="C11238" i="1"/>
  <c r="D11238" i="1"/>
  <c r="E11238" i="1"/>
  <c r="F11238" i="1"/>
  <c r="G11238" i="1"/>
  <c r="H11238" i="1"/>
  <c r="I11238" i="1"/>
  <c r="J11238" i="1"/>
  <c r="K11238" i="1"/>
  <c r="L11238" i="1"/>
  <c r="A11239" i="1"/>
  <c r="B11239" i="1"/>
  <c r="C11239" i="1"/>
  <c r="D11239" i="1"/>
  <c r="E11239" i="1"/>
  <c r="F11239" i="1"/>
  <c r="G11239" i="1"/>
  <c r="H11239" i="1"/>
  <c r="I11239" i="1"/>
  <c r="J11239" i="1"/>
  <c r="K11239" i="1"/>
  <c r="L11239" i="1"/>
  <c r="A11240" i="1"/>
  <c r="B11240" i="1"/>
  <c r="C11240" i="1"/>
  <c r="D11240" i="1"/>
  <c r="E11240" i="1"/>
  <c r="F11240" i="1"/>
  <c r="G11240" i="1"/>
  <c r="H11240" i="1"/>
  <c r="I11240" i="1"/>
  <c r="J11240" i="1"/>
  <c r="K11240" i="1"/>
  <c r="L11240" i="1"/>
  <c r="A11241" i="1"/>
  <c r="B11241" i="1"/>
  <c r="C11241" i="1"/>
  <c r="D11241" i="1"/>
  <c r="E11241" i="1"/>
  <c r="F11241" i="1"/>
  <c r="G11241" i="1"/>
  <c r="H11241" i="1"/>
  <c r="I11241" i="1"/>
  <c r="J11241" i="1"/>
  <c r="K11241" i="1"/>
  <c r="L11241" i="1"/>
  <c r="A11242" i="1"/>
  <c r="B11242" i="1"/>
  <c r="C11242" i="1"/>
  <c r="D11242" i="1"/>
  <c r="E11242" i="1"/>
  <c r="F11242" i="1"/>
  <c r="G11242" i="1"/>
  <c r="H11242" i="1"/>
  <c r="I11242" i="1"/>
  <c r="J11242" i="1"/>
  <c r="K11242" i="1"/>
  <c r="L11242" i="1"/>
  <c r="A11243" i="1"/>
  <c r="B11243" i="1"/>
  <c r="C11243" i="1"/>
  <c r="D11243" i="1"/>
  <c r="E11243" i="1"/>
  <c r="F11243" i="1"/>
  <c r="G11243" i="1"/>
  <c r="H11243" i="1"/>
  <c r="I11243" i="1"/>
  <c r="J11243" i="1"/>
  <c r="K11243" i="1"/>
  <c r="L11243" i="1"/>
  <c r="A11244" i="1"/>
  <c r="B11244" i="1"/>
  <c r="C11244" i="1"/>
  <c r="D11244" i="1"/>
  <c r="E11244" i="1"/>
  <c r="F11244" i="1"/>
  <c r="G11244" i="1"/>
  <c r="H11244" i="1"/>
  <c r="I11244" i="1"/>
  <c r="J11244" i="1"/>
  <c r="K11244" i="1"/>
  <c r="L11244" i="1"/>
  <c r="A11245" i="1"/>
  <c r="B11245" i="1"/>
  <c r="C11245" i="1"/>
  <c r="D11245" i="1"/>
  <c r="E11245" i="1"/>
  <c r="F11245" i="1"/>
  <c r="G11245" i="1"/>
  <c r="H11245" i="1"/>
  <c r="I11245" i="1"/>
  <c r="J11245" i="1"/>
  <c r="K11245" i="1"/>
  <c r="L11245" i="1"/>
  <c r="A11246" i="1"/>
  <c r="B11246" i="1"/>
  <c r="C11246" i="1"/>
  <c r="D11246" i="1"/>
  <c r="E11246" i="1"/>
  <c r="F11246" i="1"/>
  <c r="G11246" i="1"/>
  <c r="H11246" i="1"/>
  <c r="I11246" i="1"/>
  <c r="J11246" i="1"/>
  <c r="K11246" i="1"/>
  <c r="L11246" i="1"/>
  <c r="A11247" i="1"/>
  <c r="B11247" i="1"/>
  <c r="C11247" i="1"/>
  <c r="D11247" i="1"/>
  <c r="E11247" i="1"/>
  <c r="F11247" i="1"/>
  <c r="G11247" i="1"/>
  <c r="H11247" i="1"/>
  <c r="I11247" i="1"/>
  <c r="J11247" i="1"/>
  <c r="K11247" i="1"/>
  <c r="L11247" i="1"/>
  <c r="A11248" i="1"/>
  <c r="B11248" i="1"/>
  <c r="C11248" i="1"/>
  <c r="D11248" i="1"/>
  <c r="E11248" i="1"/>
  <c r="F11248" i="1"/>
  <c r="G11248" i="1"/>
  <c r="H11248" i="1"/>
  <c r="I11248" i="1"/>
  <c r="J11248" i="1"/>
  <c r="K11248" i="1"/>
  <c r="L11248" i="1"/>
  <c r="A11249" i="1"/>
  <c r="B11249" i="1"/>
  <c r="C11249" i="1"/>
  <c r="D11249" i="1"/>
  <c r="E11249" i="1"/>
  <c r="F11249" i="1"/>
  <c r="G11249" i="1"/>
  <c r="H11249" i="1"/>
  <c r="I11249" i="1"/>
  <c r="J11249" i="1"/>
  <c r="K11249" i="1"/>
  <c r="L11249" i="1"/>
  <c r="A11250" i="1"/>
  <c r="B11250" i="1"/>
  <c r="C11250" i="1"/>
  <c r="D11250" i="1"/>
  <c r="E11250" i="1"/>
  <c r="F11250" i="1"/>
  <c r="G11250" i="1"/>
  <c r="H11250" i="1"/>
  <c r="I11250" i="1"/>
  <c r="J11250" i="1"/>
  <c r="K11250" i="1"/>
  <c r="L11250" i="1"/>
  <c r="A11251" i="1"/>
  <c r="B11251" i="1"/>
  <c r="C11251" i="1"/>
  <c r="D11251" i="1"/>
  <c r="E11251" i="1"/>
  <c r="F11251" i="1"/>
  <c r="G11251" i="1"/>
  <c r="H11251" i="1"/>
  <c r="I11251" i="1"/>
  <c r="J11251" i="1"/>
  <c r="K11251" i="1"/>
  <c r="L11251" i="1"/>
  <c r="A11252" i="1"/>
  <c r="B11252" i="1"/>
  <c r="C11252" i="1"/>
  <c r="D11252" i="1"/>
  <c r="E11252" i="1"/>
  <c r="F11252" i="1"/>
  <c r="G11252" i="1"/>
  <c r="H11252" i="1"/>
  <c r="I11252" i="1"/>
  <c r="J11252" i="1"/>
  <c r="K11252" i="1"/>
  <c r="L11252" i="1"/>
  <c r="A11253" i="1"/>
  <c r="B11253" i="1"/>
  <c r="C11253" i="1"/>
  <c r="D11253" i="1"/>
  <c r="E11253" i="1"/>
  <c r="F11253" i="1"/>
  <c r="G11253" i="1"/>
  <c r="H11253" i="1"/>
  <c r="I11253" i="1"/>
  <c r="J11253" i="1"/>
  <c r="K11253" i="1"/>
  <c r="L11253" i="1"/>
  <c r="A11254" i="1"/>
  <c r="B11254" i="1"/>
  <c r="C11254" i="1"/>
  <c r="D11254" i="1"/>
  <c r="E11254" i="1"/>
  <c r="F11254" i="1"/>
  <c r="G11254" i="1"/>
  <c r="H11254" i="1"/>
  <c r="I11254" i="1"/>
  <c r="J11254" i="1"/>
  <c r="K11254" i="1"/>
  <c r="L11254" i="1"/>
  <c r="A11255" i="1"/>
  <c r="B11255" i="1"/>
  <c r="C11255" i="1"/>
  <c r="D11255" i="1"/>
  <c r="E11255" i="1"/>
  <c r="F11255" i="1"/>
  <c r="G11255" i="1"/>
  <c r="H11255" i="1"/>
  <c r="I11255" i="1"/>
  <c r="J11255" i="1"/>
  <c r="K11255" i="1"/>
  <c r="L11255" i="1"/>
  <c r="A11256" i="1"/>
  <c r="B11256" i="1"/>
  <c r="C11256" i="1"/>
  <c r="D11256" i="1"/>
  <c r="E11256" i="1"/>
  <c r="F11256" i="1"/>
  <c r="G11256" i="1"/>
  <c r="H11256" i="1"/>
  <c r="I11256" i="1"/>
  <c r="J11256" i="1"/>
  <c r="K11256" i="1"/>
  <c r="L11256" i="1"/>
  <c r="A11257" i="1"/>
  <c r="B11257" i="1"/>
  <c r="C11257" i="1"/>
  <c r="D11257" i="1"/>
  <c r="E11257" i="1"/>
  <c r="F11257" i="1"/>
  <c r="G11257" i="1"/>
  <c r="H11257" i="1"/>
  <c r="I11257" i="1"/>
  <c r="J11257" i="1"/>
  <c r="K11257" i="1"/>
  <c r="L11257" i="1"/>
  <c r="A11258" i="1"/>
  <c r="B11258" i="1"/>
  <c r="C11258" i="1"/>
  <c r="D11258" i="1"/>
  <c r="E11258" i="1"/>
  <c r="F11258" i="1"/>
  <c r="G11258" i="1"/>
  <c r="H11258" i="1"/>
  <c r="I11258" i="1"/>
  <c r="J11258" i="1"/>
  <c r="K11258" i="1"/>
  <c r="L11258" i="1"/>
  <c r="A11259" i="1"/>
  <c r="B11259" i="1"/>
  <c r="C11259" i="1"/>
  <c r="D11259" i="1"/>
  <c r="E11259" i="1"/>
  <c r="F11259" i="1"/>
  <c r="G11259" i="1"/>
  <c r="H11259" i="1"/>
  <c r="I11259" i="1"/>
  <c r="J11259" i="1"/>
  <c r="K11259" i="1"/>
  <c r="L11259" i="1"/>
  <c r="A11260" i="1"/>
  <c r="B11260" i="1"/>
  <c r="C11260" i="1"/>
  <c r="D11260" i="1"/>
  <c r="E11260" i="1"/>
  <c r="F11260" i="1"/>
  <c r="G11260" i="1"/>
  <c r="H11260" i="1"/>
  <c r="I11260" i="1"/>
  <c r="J11260" i="1"/>
  <c r="K11260" i="1"/>
  <c r="L11260" i="1"/>
  <c r="A11261" i="1"/>
  <c r="B11261" i="1"/>
  <c r="C11261" i="1"/>
  <c r="D11261" i="1"/>
  <c r="E11261" i="1"/>
  <c r="F11261" i="1"/>
  <c r="G11261" i="1"/>
  <c r="H11261" i="1"/>
  <c r="I11261" i="1"/>
  <c r="J11261" i="1"/>
  <c r="K11261" i="1"/>
  <c r="L11261" i="1"/>
  <c r="A11262" i="1"/>
  <c r="B11262" i="1"/>
  <c r="C11262" i="1"/>
  <c r="D11262" i="1"/>
  <c r="E11262" i="1"/>
  <c r="F11262" i="1"/>
  <c r="G11262" i="1"/>
  <c r="H11262" i="1"/>
  <c r="I11262" i="1"/>
  <c r="J11262" i="1"/>
  <c r="K11262" i="1"/>
  <c r="L11262" i="1"/>
  <c r="A11263" i="1"/>
  <c r="B11263" i="1"/>
  <c r="C11263" i="1"/>
  <c r="D11263" i="1"/>
  <c r="E11263" i="1"/>
  <c r="F11263" i="1"/>
  <c r="G11263" i="1"/>
  <c r="H11263" i="1"/>
  <c r="I11263" i="1"/>
  <c r="J11263" i="1"/>
  <c r="K11263" i="1"/>
  <c r="L11263" i="1"/>
  <c r="A11264" i="1"/>
  <c r="B11264" i="1"/>
  <c r="C11264" i="1"/>
  <c r="D11264" i="1"/>
  <c r="E11264" i="1"/>
  <c r="F11264" i="1"/>
  <c r="G11264" i="1"/>
  <c r="H11264" i="1"/>
  <c r="I11264" i="1"/>
  <c r="J11264" i="1"/>
  <c r="K11264" i="1"/>
  <c r="L11264" i="1"/>
  <c r="A11265" i="1"/>
  <c r="B11265" i="1"/>
  <c r="C11265" i="1"/>
  <c r="D11265" i="1"/>
  <c r="E11265" i="1"/>
  <c r="F11265" i="1"/>
  <c r="G11265" i="1"/>
  <c r="H11265" i="1"/>
  <c r="I11265" i="1"/>
  <c r="J11265" i="1"/>
  <c r="K11265" i="1"/>
  <c r="L11265" i="1"/>
  <c r="A11266" i="1"/>
  <c r="B11266" i="1"/>
  <c r="C11266" i="1"/>
  <c r="D11266" i="1"/>
  <c r="E11266" i="1"/>
  <c r="F11266" i="1"/>
  <c r="G11266" i="1"/>
  <c r="H11266" i="1"/>
  <c r="I11266" i="1"/>
  <c r="J11266" i="1"/>
  <c r="K11266" i="1"/>
  <c r="L11266" i="1"/>
  <c r="A11267" i="1"/>
  <c r="B11267" i="1"/>
  <c r="C11267" i="1"/>
  <c r="D11267" i="1"/>
  <c r="E11267" i="1"/>
  <c r="F11267" i="1"/>
  <c r="G11267" i="1"/>
  <c r="H11267" i="1"/>
  <c r="I11267" i="1"/>
  <c r="J11267" i="1"/>
  <c r="K11267" i="1"/>
  <c r="L11267" i="1"/>
  <c r="A11268" i="1"/>
  <c r="B11268" i="1"/>
  <c r="C11268" i="1"/>
  <c r="D11268" i="1"/>
  <c r="E11268" i="1"/>
  <c r="F11268" i="1"/>
  <c r="G11268" i="1"/>
  <c r="H11268" i="1"/>
  <c r="I11268" i="1"/>
  <c r="J11268" i="1"/>
  <c r="K11268" i="1"/>
  <c r="L11268" i="1"/>
  <c r="A11269" i="1"/>
  <c r="B11269" i="1"/>
  <c r="C11269" i="1"/>
  <c r="D11269" i="1"/>
  <c r="E11269" i="1"/>
  <c r="F11269" i="1"/>
  <c r="G11269" i="1"/>
  <c r="H11269" i="1"/>
  <c r="I11269" i="1"/>
  <c r="J11269" i="1"/>
  <c r="K11269" i="1"/>
  <c r="L11269" i="1"/>
  <c r="A11270" i="1"/>
  <c r="B11270" i="1"/>
  <c r="C11270" i="1"/>
  <c r="D11270" i="1"/>
  <c r="E11270" i="1"/>
  <c r="F11270" i="1"/>
  <c r="G11270" i="1"/>
  <c r="H11270" i="1"/>
  <c r="I11270" i="1"/>
  <c r="J11270" i="1"/>
  <c r="K11270" i="1"/>
  <c r="L11270" i="1"/>
  <c r="A11271" i="1"/>
  <c r="B11271" i="1"/>
  <c r="C11271" i="1"/>
  <c r="D11271" i="1"/>
  <c r="E11271" i="1"/>
  <c r="F11271" i="1"/>
  <c r="G11271" i="1"/>
  <c r="H11271" i="1"/>
  <c r="I11271" i="1"/>
  <c r="J11271" i="1"/>
  <c r="K11271" i="1"/>
  <c r="L11271" i="1"/>
  <c r="A11272" i="1"/>
  <c r="B11272" i="1"/>
  <c r="C11272" i="1"/>
  <c r="D11272" i="1"/>
  <c r="E11272" i="1"/>
  <c r="F11272" i="1"/>
  <c r="G11272" i="1"/>
  <c r="H11272" i="1"/>
  <c r="I11272" i="1"/>
  <c r="J11272" i="1"/>
  <c r="K11272" i="1"/>
  <c r="L11272" i="1"/>
  <c r="A11273" i="1"/>
  <c r="B11273" i="1"/>
  <c r="C11273" i="1"/>
  <c r="D11273" i="1"/>
  <c r="E11273" i="1"/>
  <c r="F11273" i="1"/>
  <c r="G11273" i="1"/>
  <c r="H11273" i="1"/>
  <c r="I11273" i="1"/>
  <c r="J11273" i="1"/>
  <c r="K11273" i="1"/>
  <c r="L11273" i="1"/>
  <c r="A11274" i="1"/>
  <c r="B11274" i="1"/>
  <c r="C11274" i="1"/>
  <c r="D11274" i="1"/>
  <c r="E11274" i="1"/>
  <c r="F11274" i="1"/>
  <c r="G11274" i="1"/>
  <c r="H11274" i="1"/>
  <c r="I11274" i="1"/>
  <c r="J11274" i="1"/>
  <c r="K11274" i="1"/>
  <c r="L11274" i="1"/>
  <c r="A11275" i="1"/>
  <c r="B11275" i="1"/>
  <c r="C11275" i="1"/>
  <c r="D11275" i="1"/>
  <c r="E11275" i="1"/>
  <c r="F11275" i="1"/>
  <c r="G11275" i="1"/>
  <c r="H11275" i="1"/>
  <c r="I11275" i="1"/>
  <c r="J11275" i="1"/>
  <c r="K11275" i="1"/>
  <c r="L11275" i="1"/>
  <c r="A11276" i="1"/>
  <c r="B11276" i="1"/>
  <c r="C11276" i="1"/>
  <c r="D11276" i="1"/>
  <c r="E11276" i="1"/>
  <c r="F11276" i="1"/>
  <c r="G11276" i="1"/>
  <c r="H11276" i="1"/>
  <c r="I11276" i="1"/>
  <c r="J11276" i="1"/>
  <c r="K11276" i="1"/>
  <c r="L11276" i="1"/>
  <c r="A11277" i="1"/>
  <c r="B11277" i="1"/>
  <c r="C11277" i="1"/>
  <c r="D11277" i="1"/>
  <c r="E11277" i="1"/>
  <c r="F11277" i="1"/>
  <c r="G11277" i="1"/>
  <c r="H11277" i="1"/>
  <c r="I11277" i="1"/>
  <c r="J11277" i="1"/>
  <c r="K11277" i="1"/>
  <c r="L11277" i="1"/>
  <c r="A11278" i="1"/>
  <c r="B11278" i="1"/>
  <c r="C11278" i="1"/>
  <c r="D11278" i="1"/>
  <c r="E11278" i="1"/>
  <c r="F11278" i="1"/>
  <c r="G11278" i="1"/>
  <c r="H11278" i="1"/>
  <c r="I11278" i="1"/>
  <c r="J11278" i="1"/>
  <c r="K11278" i="1"/>
  <c r="L11278" i="1"/>
  <c r="A11279" i="1"/>
  <c r="B11279" i="1"/>
  <c r="C11279" i="1"/>
  <c r="D11279" i="1"/>
  <c r="E11279" i="1"/>
  <c r="F11279" i="1"/>
  <c r="G11279" i="1"/>
  <c r="H11279" i="1"/>
  <c r="I11279" i="1"/>
  <c r="J11279" i="1"/>
  <c r="K11279" i="1"/>
  <c r="L11279" i="1"/>
  <c r="A11280" i="1"/>
  <c r="B11280" i="1"/>
  <c r="C11280" i="1"/>
  <c r="D11280" i="1"/>
  <c r="E11280" i="1"/>
  <c r="F11280" i="1"/>
  <c r="G11280" i="1"/>
  <c r="H11280" i="1"/>
  <c r="I11280" i="1"/>
  <c r="J11280" i="1"/>
  <c r="K11280" i="1"/>
  <c r="L11280" i="1"/>
  <c r="A11281" i="1"/>
  <c r="B11281" i="1"/>
  <c r="C11281" i="1"/>
  <c r="D11281" i="1"/>
  <c r="E11281" i="1"/>
  <c r="F11281" i="1"/>
  <c r="G11281" i="1"/>
  <c r="H11281" i="1"/>
  <c r="I11281" i="1"/>
  <c r="J11281" i="1"/>
  <c r="K11281" i="1"/>
  <c r="L11281" i="1"/>
  <c r="A11282" i="1"/>
  <c r="B11282" i="1"/>
  <c r="C11282" i="1"/>
  <c r="D11282" i="1"/>
  <c r="E11282" i="1"/>
  <c r="F11282" i="1"/>
  <c r="G11282" i="1"/>
  <c r="H11282" i="1"/>
  <c r="I11282" i="1"/>
  <c r="J11282" i="1"/>
  <c r="K11282" i="1"/>
  <c r="L11282" i="1"/>
  <c r="A11283" i="1"/>
  <c r="B11283" i="1"/>
  <c r="C11283" i="1"/>
  <c r="D11283" i="1"/>
  <c r="E11283" i="1"/>
  <c r="F11283" i="1"/>
  <c r="G11283" i="1"/>
  <c r="H11283" i="1"/>
  <c r="I11283" i="1"/>
  <c r="J11283" i="1"/>
  <c r="K11283" i="1"/>
  <c r="L11283" i="1"/>
  <c r="A11284" i="1"/>
  <c r="B11284" i="1"/>
  <c r="C11284" i="1"/>
  <c r="D11284" i="1"/>
  <c r="E11284" i="1"/>
  <c r="F11284" i="1"/>
  <c r="G11284" i="1"/>
  <c r="H11284" i="1"/>
  <c r="I11284" i="1"/>
  <c r="J11284" i="1"/>
  <c r="K11284" i="1"/>
  <c r="L11284" i="1"/>
  <c r="A11285" i="1"/>
  <c r="B11285" i="1"/>
  <c r="C11285" i="1"/>
  <c r="D11285" i="1"/>
  <c r="E11285" i="1"/>
  <c r="F11285" i="1"/>
  <c r="G11285" i="1"/>
  <c r="H11285" i="1"/>
  <c r="I11285" i="1"/>
  <c r="J11285" i="1"/>
  <c r="K11285" i="1"/>
  <c r="L11285" i="1"/>
  <c r="A11286" i="1"/>
  <c r="B11286" i="1"/>
  <c r="C11286" i="1"/>
  <c r="D11286" i="1"/>
  <c r="E11286" i="1"/>
  <c r="F11286" i="1"/>
  <c r="G11286" i="1"/>
  <c r="H11286" i="1"/>
  <c r="I11286" i="1"/>
  <c r="J11286" i="1"/>
  <c r="K11286" i="1"/>
  <c r="L11286" i="1"/>
  <c r="A11287" i="1"/>
  <c r="B11287" i="1"/>
  <c r="C11287" i="1"/>
  <c r="D11287" i="1"/>
  <c r="E11287" i="1"/>
  <c r="F11287" i="1"/>
  <c r="G11287" i="1"/>
  <c r="H11287" i="1"/>
  <c r="I11287" i="1"/>
  <c r="J11287" i="1"/>
  <c r="K11287" i="1"/>
  <c r="L11287" i="1"/>
  <c r="A11288" i="1"/>
  <c r="B11288" i="1"/>
  <c r="C11288" i="1"/>
  <c r="D11288" i="1"/>
  <c r="E11288" i="1"/>
  <c r="F11288" i="1"/>
  <c r="G11288" i="1"/>
  <c r="H11288" i="1"/>
  <c r="I11288" i="1"/>
  <c r="J11288" i="1"/>
  <c r="K11288" i="1"/>
  <c r="L11288" i="1"/>
  <c r="A11289" i="1"/>
  <c r="B11289" i="1"/>
  <c r="C11289" i="1"/>
  <c r="D11289" i="1"/>
  <c r="E11289" i="1"/>
  <c r="F11289" i="1"/>
  <c r="G11289" i="1"/>
  <c r="H11289" i="1"/>
  <c r="I11289" i="1"/>
  <c r="J11289" i="1"/>
  <c r="K11289" i="1"/>
  <c r="L11289" i="1"/>
  <c r="A11290" i="1"/>
  <c r="B11290" i="1"/>
  <c r="C11290" i="1"/>
  <c r="D11290" i="1"/>
  <c r="E11290" i="1"/>
  <c r="F11290" i="1"/>
  <c r="G11290" i="1"/>
  <c r="H11290" i="1"/>
  <c r="I11290" i="1"/>
  <c r="J11290" i="1"/>
  <c r="K11290" i="1"/>
  <c r="L11290" i="1"/>
  <c r="A11291" i="1"/>
  <c r="B11291" i="1"/>
  <c r="C11291" i="1"/>
  <c r="D11291" i="1"/>
  <c r="E11291" i="1"/>
  <c r="F11291" i="1"/>
  <c r="G11291" i="1"/>
  <c r="H11291" i="1"/>
  <c r="I11291" i="1"/>
  <c r="J11291" i="1"/>
  <c r="K11291" i="1"/>
  <c r="L11291" i="1"/>
  <c r="A11292" i="1"/>
  <c r="B11292" i="1"/>
  <c r="C11292" i="1"/>
  <c r="D11292" i="1"/>
  <c r="E11292" i="1"/>
  <c r="F11292" i="1"/>
  <c r="G11292" i="1"/>
  <c r="H11292" i="1"/>
  <c r="I11292" i="1"/>
  <c r="J11292" i="1"/>
  <c r="K11292" i="1"/>
  <c r="L11292" i="1"/>
  <c r="A11293" i="1"/>
  <c r="B11293" i="1"/>
  <c r="C11293" i="1"/>
  <c r="D11293" i="1"/>
  <c r="E11293" i="1"/>
  <c r="F11293" i="1"/>
  <c r="G11293" i="1"/>
  <c r="H11293" i="1"/>
  <c r="I11293" i="1"/>
  <c r="J11293" i="1"/>
  <c r="K11293" i="1"/>
  <c r="L11293" i="1"/>
  <c r="A11294" i="1"/>
  <c r="B11294" i="1"/>
  <c r="C11294" i="1"/>
  <c r="D11294" i="1"/>
  <c r="E11294" i="1"/>
  <c r="F11294" i="1"/>
  <c r="G11294" i="1"/>
  <c r="H11294" i="1"/>
  <c r="I11294" i="1"/>
  <c r="J11294" i="1"/>
  <c r="K11294" i="1"/>
  <c r="L11294" i="1"/>
  <c r="A11295" i="1"/>
  <c r="B11295" i="1"/>
  <c r="C11295" i="1"/>
  <c r="D11295" i="1"/>
  <c r="E11295" i="1"/>
  <c r="F11295" i="1"/>
  <c r="G11295" i="1"/>
  <c r="H11295" i="1"/>
  <c r="I11295" i="1"/>
  <c r="J11295" i="1"/>
  <c r="K11295" i="1"/>
  <c r="L11295" i="1"/>
  <c r="A11296" i="1"/>
  <c r="B11296" i="1"/>
  <c r="C11296" i="1"/>
  <c r="D11296" i="1"/>
  <c r="E11296" i="1"/>
  <c r="F11296" i="1"/>
  <c r="G11296" i="1"/>
  <c r="H11296" i="1"/>
  <c r="I11296" i="1"/>
  <c r="J11296" i="1"/>
  <c r="K11296" i="1"/>
  <c r="L11296" i="1"/>
  <c r="A11297" i="1"/>
  <c r="B11297" i="1"/>
  <c r="C11297" i="1"/>
  <c r="D11297" i="1"/>
  <c r="E11297" i="1"/>
  <c r="F11297" i="1"/>
  <c r="G11297" i="1"/>
  <c r="H11297" i="1"/>
  <c r="I11297" i="1"/>
  <c r="J11297" i="1"/>
  <c r="K11297" i="1"/>
  <c r="L11297" i="1"/>
  <c r="A11298" i="1"/>
  <c r="B11298" i="1"/>
  <c r="C11298" i="1"/>
  <c r="D11298" i="1"/>
  <c r="E11298" i="1"/>
  <c r="F11298" i="1"/>
  <c r="G11298" i="1"/>
  <c r="H11298" i="1"/>
  <c r="I11298" i="1"/>
  <c r="J11298" i="1"/>
  <c r="K11298" i="1"/>
  <c r="L11298" i="1"/>
  <c r="A11299" i="1"/>
  <c r="B11299" i="1"/>
  <c r="C11299" i="1"/>
  <c r="D11299" i="1"/>
  <c r="E11299" i="1"/>
  <c r="F11299" i="1"/>
  <c r="G11299" i="1"/>
  <c r="H11299" i="1"/>
  <c r="I11299" i="1"/>
  <c r="J11299" i="1"/>
  <c r="K11299" i="1"/>
  <c r="L11299" i="1"/>
  <c r="A11300" i="1"/>
  <c r="B11300" i="1"/>
  <c r="C11300" i="1"/>
  <c r="D11300" i="1"/>
  <c r="E11300" i="1"/>
  <c r="F11300" i="1"/>
  <c r="G11300" i="1"/>
  <c r="H11300" i="1"/>
  <c r="I11300" i="1"/>
  <c r="J11300" i="1"/>
  <c r="K11300" i="1"/>
  <c r="L11300" i="1"/>
  <c r="A11301" i="1"/>
  <c r="B11301" i="1"/>
  <c r="C11301" i="1"/>
  <c r="D11301" i="1"/>
  <c r="E11301" i="1"/>
  <c r="F11301" i="1"/>
  <c r="G11301" i="1"/>
  <c r="H11301" i="1"/>
  <c r="I11301" i="1"/>
  <c r="J11301" i="1"/>
  <c r="K11301" i="1"/>
  <c r="L11301" i="1"/>
  <c r="A11302" i="1"/>
  <c r="B11302" i="1"/>
  <c r="C11302" i="1"/>
  <c r="D11302" i="1"/>
  <c r="E11302" i="1"/>
  <c r="F11302" i="1"/>
  <c r="G11302" i="1"/>
  <c r="H11302" i="1"/>
  <c r="I11302" i="1"/>
  <c r="J11302" i="1"/>
  <c r="K11302" i="1"/>
  <c r="L11302" i="1"/>
  <c r="A11303" i="1"/>
  <c r="B11303" i="1"/>
  <c r="C11303" i="1"/>
  <c r="D11303" i="1"/>
  <c r="E11303" i="1"/>
  <c r="F11303" i="1"/>
  <c r="G11303" i="1"/>
  <c r="H11303" i="1"/>
  <c r="I11303" i="1"/>
  <c r="J11303" i="1"/>
  <c r="K11303" i="1"/>
  <c r="L11303" i="1"/>
  <c r="A11304" i="1"/>
  <c r="B11304" i="1"/>
  <c r="C11304" i="1"/>
  <c r="D11304" i="1"/>
  <c r="E11304" i="1"/>
  <c r="F11304" i="1"/>
  <c r="G11304" i="1"/>
  <c r="H11304" i="1"/>
  <c r="I11304" i="1"/>
  <c r="J11304" i="1"/>
  <c r="K11304" i="1"/>
  <c r="L11304" i="1"/>
  <c r="A11305" i="1"/>
  <c r="B11305" i="1"/>
  <c r="C11305" i="1"/>
  <c r="D11305" i="1"/>
  <c r="E11305" i="1"/>
  <c r="F11305" i="1"/>
  <c r="G11305" i="1"/>
  <c r="H11305" i="1"/>
  <c r="I11305" i="1"/>
  <c r="J11305" i="1"/>
  <c r="K11305" i="1"/>
  <c r="L11305" i="1"/>
  <c r="A11306" i="1"/>
  <c r="B11306" i="1"/>
  <c r="C11306" i="1"/>
  <c r="D11306" i="1"/>
  <c r="E11306" i="1"/>
  <c r="F11306" i="1"/>
  <c r="G11306" i="1"/>
  <c r="H11306" i="1"/>
  <c r="I11306" i="1"/>
  <c r="J11306" i="1"/>
  <c r="K11306" i="1"/>
  <c r="L11306" i="1"/>
  <c r="A11307" i="1"/>
  <c r="B11307" i="1"/>
  <c r="C11307" i="1"/>
  <c r="D11307" i="1"/>
  <c r="E11307" i="1"/>
  <c r="F11307" i="1"/>
  <c r="G11307" i="1"/>
  <c r="H11307" i="1"/>
  <c r="I11307" i="1"/>
  <c r="J11307" i="1"/>
  <c r="K11307" i="1"/>
  <c r="L11307" i="1"/>
  <c r="A11308" i="1"/>
  <c r="B11308" i="1"/>
  <c r="C11308" i="1"/>
  <c r="D11308" i="1"/>
  <c r="E11308" i="1"/>
  <c r="F11308" i="1"/>
  <c r="G11308" i="1"/>
  <c r="H11308" i="1"/>
  <c r="I11308" i="1"/>
  <c r="J11308" i="1"/>
  <c r="K11308" i="1"/>
  <c r="L11308" i="1"/>
  <c r="A11309" i="1"/>
  <c r="B11309" i="1"/>
  <c r="C11309" i="1"/>
  <c r="D11309" i="1"/>
  <c r="E11309" i="1"/>
  <c r="F11309" i="1"/>
  <c r="G11309" i="1"/>
  <c r="H11309" i="1"/>
  <c r="I11309" i="1"/>
  <c r="J11309" i="1"/>
  <c r="K11309" i="1"/>
  <c r="L11309" i="1"/>
  <c r="A11310" i="1"/>
  <c r="B11310" i="1"/>
  <c r="C11310" i="1"/>
  <c r="D11310" i="1"/>
  <c r="E11310" i="1"/>
  <c r="F11310" i="1"/>
  <c r="G11310" i="1"/>
  <c r="H11310" i="1"/>
  <c r="I11310" i="1"/>
  <c r="J11310" i="1"/>
  <c r="K11310" i="1"/>
  <c r="L11310" i="1"/>
  <c r="A11311" i="1"/>
  <c r="B11311" i="1"/>
  <c r="C11311" i="1"/>
  <c r="D11311" i="1"/>
  <c r="E11311" i="1"/>
  <c r="F11311" i="1"/>
  <c r="G11311" i="1"/>
  <c r="H11311" i="1"/>
  <c r="I11311" i="1"/>
  <c r="J11311" i="1"/>
  <c r="K11311" i="1"/>
  <c r="L11311" i="1"/>
  <c r="A11312" i="1"/>
  <c r="B11312" i="1"/>
  <c r="C11312" i="1"/>
  <c r="D11312" i="1"/>
  <c r="E11312" i="1"/>
  <c r="F11312" i="1"/>
  <c r="G11312" i="1"/>
  <c r="H11312" i="1"/>
  <c r="I11312" i="1"/>
  <c r="J11312" i="1"/>
  <c r="K11312" i="1"/>
  <c r="L11312" i="1"/>
  <c r="A11313" i="1"/>
  <c r="B11313" i="1"/>
  <c r="C11313" i="1"/>
  <c r="D11313" i="1"/>
  <c r="E11313" i="1"/>
  <c r="F11313" i="1"/>
  <c r="G11313" i="1"/>
  <c r="H11313" i="1"/>
  <c r="I11313" i="1"/>
  <c r="J11313" i="1"/>
  <c r="K11313" i="1"/>
  <c r="L11313" i="1"/>
  <c r="A11314" i="1"/>
  <c r="B11314" i="1"/>
  <c r="C11314" i="1"/>
  <c r="D11314" i="1"/>
  <c r="E11314" i="1"/>
  <c r="F11314" i="1"/>
  <c r="G11314" i="1"/>
  <c r="H11314" i="1"/>
  <c r="I11314" i="1"/>
  <c r="J11314" i="1"/>
  <c r="K11314" i="1"/>
  <c r="L11314" i="1"/>
  <c r="A11315" i="1"/>
  <c r="B11315" i="1"/>
  <c r="C11315" i="1"/>
  <c r="D11315" i="1"/>
  <c r="E11315" i="1"/>
  <c r="F11315" i="1"/>
  <c r="G11315" i="1"/>
  <c r="H11315" i="1"/>
  <c r="I11315" i="1"/>
  <c r="J11315" i="1"/>
  <c r="K11315" i="1"/>
  <c r="L11315" i="1"/>
  <c r="A11316" i="1"/>
  <c r="B11316" i="1"/>
  <c r="C11316" i="1"/>
  <c r="D11316" i="1"/>
  <c r="E11316" i="1"/>
  <c r="F11316" i="1"/>
  <c r="G11316" i="1"/>
  <c r="H11316" i="1"/>
  <c r="I11316" i="1"/>
  <c r="J11316" i="1"/>
  <c r="K11316" i="1"/>
  <c r="L11316" i="1"/>
  <c r="A11317" i="1"/>
  <c r="B11317" i="1"/>
  <c r="C11317" i="1"/>
  <c r="D11317" i="1"/>
  <c r="E11317" i="1"/>
  <c r="F11317" i="1"/>
  <c r="G11317" i="1"/>
  <c r="H11317" i="1"/>
  <c r="I11317" i="1"/>
  <c r="J11317" i="1"/>
  <c r="K11317" i="1"/>
  <c r="L11317" i="1"/>
  <c r="A11318" i="1"/>
  <c r="B11318" i="1"/>
  <c r="C11318" i="1"/>
  <c r="D11318" i="1"/>
  <c r="E11318" i="1"/>
  <c r="F11318" i="1"/>
  <c r="G11318" i="1"/>
  <c r="H11318" i="1"/>
  <c r="I11318" i="1"/>
  <c r="J11318" i="1"/>
  <c r="K11318" i="1"/>
  <c r="L11318" i="1"/>
  <c r="A11319" i="1"/>
  <c r="B11319" i="1"/>
  <c r="C11319" i="1"/>
  <c r="D11319" i="1"/>
  <c r="E11319" i="1"/>
  <c r="F11319" i="1"/>
  <c r="G11319" i="1"/>
  <c r="H11319" i="1"/>
  <c r="I11319" i="1"/>
  <c r="J11319" i="1"/>
  <c r="K11319" i="1"/>
  <c r="L11319" i="1"/>
  <c r="A11320" i="1"/>
  <c r="B11320" i="1"/>
  <c r="C11320" i="1"/>
  <c r="D11320" i="1"/>
  <c r="E11320" i="1"/>
  <c r="F11320" i="1"/>
  <c r="G11320" i="1"/>
  <c r="H11320" i="1"/>
  <c r="I11320" i="1"/>
  <c r="J11320" i="1"/>
  <c r="K11320" i="1"/>
  <c r="L11320" i="1"/>
  <c r="A11321" i="1"/>
  <c r="B11321" i="1"/>
  <c r="C11321" i="1"/>
  <c r="D11321" i="1"/>
  <c r="E11321" i="1"/>
  <c r="F11321" i="1"/>
  <c r="G11321" i="1"/>
  <c r="H11321" i="1"/>
  <c r="I11321" i="1"/>
  <c r="J11321" i="1"/>
  <c r="K11321" i="1"/>
  <c r="L11321" i="1"/>
  <c r="A11322" i="1"/>
  <c r="B11322" i="1"/>
  <c r="C11322" i="1"/>
  <c r="D11322" i="1"/>
  <c r="E11322" i="1"/>
  <c r="F11322" i="1"/>
  <c r="G11322" i="1"/>
  <c r="H11322" i="1"/>
  <c r="I11322" i="1"/>
  <c r="J11322" i="1"/>
  <c r="K11322" i="1"/>
  <c r="L11322" i="1"/>
  <c r="A11323" i="1"/>
  <c r="B11323" i="1"/>
  <c r="C11323" i="1"/>
  <c r="D11323" i="1"/>
  <c r="E11323" i="1"/>
  <c r="F11323" i="1"/>
  <c r="G11323" i="1"/>
  <c r="H11323" i="1"/>
  <c r="I11323" i="1"/>
  <c r="J11323" i="1"/>
  <c r="K11323" i="1"/>
  <c r="L11323" i="1"/>
  <c r="A11324" i="1"/>
  <c r="B11324" i="1"/>
  <c r="C11324" i="1"/>
  <c r="D11324" i="1"/>
  <c r="E11324" i="1"/>
  <c r="F11324" i="1"/>
  <c r="G11324" i="1"/>
  <c r="H11324" i="1"/>
  <c r="I11324" i="1"/>
  <c r="J11324" i="1"/>
  <c r="K11324" i="1"/>
  <c r="L11324" i="1"/>
  <c r="A11325" i="1"/>
  <c r="B11325" i="1"/>
  <c r="C11325" i="1"/>
  <c r="D11325" i="1"/>
  <c r="E11325" i="1"/>
  <c r="F11325" i="1"/>
  <c r="G11325" i="1"/>
  <c r="H11325" i="1"/>
  <c r="I11325" i="1"/>
  <c r="J11325" i="1"/>
  <c r="K11325" i="1"/>
  <c r="L11325" i="1"/>
  <c r="A11326" i="1"/>
  <c r="B11326" i="1"/>
  <c r="C11326" i="1"/>
  <c r="D11326" i="1"/>
  <c r="E11326" i="1"/>
  <c r="F11326" i="1"/>
  <c r="G11326" i="1"/>
  <c r="H11326" i="1"/>
  <c r="I11326" i="1"/>
  <c r="J11326" i="1"/>
  <c r="K11326" i="1"/>
  <c r="L11326" i="1"/>
  <c r="A11327" i="1"/>
  <c r="B11327" i="1"/>
  <c r="C11327" i="1"/>
  <c r="D11327" i="1"/>
  <c r="E11327" i="1"/>
  <c r="F11327" i="1"/>
  <c r="G11327" i="1"/>
  <c r="H11327" i="1"/>
  <c r="I11327" i="1"/>
  <c r="J11327" i="1"/>
  <c r="K11327" i="1"/>
  <c r="L11327" i="1"/>
  <c r="A11328" i="1"/>
  <c r="B11328" i="1"/>
  <c r="C11328" i="1"/>
  <c r="D11328" i="1"/>
  <c r="E11328" i="1"/>
  <c r="F11328" i="1"/>
  <c r="G11328" i="1"/>
  <c r="H11328" i="1"/>
  <c r="I11328" i="1"/>
  <c r="J11328" i="1"/>
  <c r="K11328" i="1"/>
  <c r="L11328" i="1"/>
  <c r="A11329" i="1"/>
  <c r="B11329" i="1"/>
  <c r="C11329" i="1"/>
  <c r="D11329" i="1"/>
  <c r="E11329" i="1"/>
  <c r="F11329" i="1"/>
  <c r="G11329" i="1"/>
  <c r="H11329" i="1"/>
  <c r="I11329" i="1"/>
  <c r="J11329" i="1"/>
  <c r="K11329" i="1"/>
  <c r="L11329" i="1"/>
  <c r="A11330" i="1"/>
  <c r="B11330" i="1"/>
  <c r="C11330" i="1"/>
  <c r="D11330" i="1"/>
  <c r="E11330" i="1"/>
  <c r="F11330" i="1"/>
  <c r="G11330" i="1"/>
  <c r="H11330" i="1"/>
  <c r="I11330" i="1"/>
  <c r="J11330" i="1"/>
  <c r="K11330" i="1"/>
  <c r="L11330" i="1"/>
  <c r="A11331" i="1"/>
  <c r="B11331" i="1"/>
  <c r="C11331" i="1"/>
  <c r="D11331" i="1"/>
  <c r="E11331" i="1"/>
  <c r="F11331" i="1"/>
  <c r="G11331" i="1"/>
  <c r="H11331" i="1"/>
  <c r="I11331" i="1"/>
  <c r="J11331" i="1"/>
  <c r="K11331" i="1"/>
  <c r="L11331" i="1"/>
  <c r="A11332" i="1"/>
  <c r="B11332" i="1"/>
  <c r="C11332" i="1"/>
  <c r="D11332" i="1"/>
  <c r="E11332" i="1"/>
  <c r="F11332" i="1"/>
  <c r="G11332" i="1"/>
  <c r="H11332" i="1"/>
  <c r="I11332" i="1"/>
  <c r="J11332" i="1"/>
  <c r="K11332" i="1"/>
  <c r="L11332" i="1"/>
  <c r="A11333" i="1"/>
  <c r="B11333" i="1"/>
  <c r="C11333" i="1"/>
  <c r="D11333" i="1"/>
  <c r="E11333" i="1"/>
  <c r="F11333" i="1"/>
  <c r="G11333" i="1"/>
  <c r="H11333" i="1"/>
  <c r="I11333" i="1"/>
  <c r="J11333" i="1"/>
  <c r="K11333" i="1"/>
  <c r="L11333" i="1"/>
  <c r="A11334" i="1"/>
  <c r="B11334" i="1"/>
  <c r="C11334" i="1"/>
  <c r="D11334" i="1"/>
  <c r="E11334" i="1"/>
  <c r="F11334" i="1"/>
  <c r="G11334" i="1"/>
  <c r="H11334" i="1"/>
  <c r="I11334" i="1"/>
  <c r="J11334" i="1"/>
  <c r="K11334" i="1"/>
  <c r="L11334" i="1"/>
  <c r="A11335" i="1"/>
  <c r="B11335" i="1"/>
  <c r="C11335" i="1"/>
  <c r="D11335" i="1"/>
  <c r="E11335" i="1"/>
  <c r="F11335" i="1"/>
  <c r="G11335" i="1"/>
  <c r="H11335" i="1"/>
  <c r="I11335" i="1"/>
  <c r="J11335" i="1"/>
  <c r="K11335" i="1"/>
  <c r="L11335" i="1"/>
  <c r="A11336" i="1"/>
  <c r="B11336" i="1"/>
  <c r="C11336" i="1"/>
  <c r="D11336" i="1"/>
  <c r="E11336" i="1"/>
  <c r="F11336" i="1"/>
  <c r="G11336" i="1"/>
  <c r="H11336" i="1"/>
  <c r="I11336" i="1"/>
  <c r="J11336" i="1"/>
  <c r="K11336" i="1"/>
  <c r="L11336" i="1"/>
  <c r="A11337" i="1"/>
  <c r="B11337" i="1"/>
  <c r="C11337" i="1"/>
  <c r="D11337" i="1"/>
  <c r="E11337" i="1"/>
  <c r="F11337" i="1"/>
  <c r="G11337" i="1"/>
  <c r="H11337" i="1"/>
  <c r="I11337" i="1"/>
  <c r="J11337" i="1"/>
  <c r="K11337" i="1"/>
  <c r="L11337" i="1"/>
  <c r="A11338" i="1"/>
  <c r="B11338" i="1"/>
  <c r="C11338" i="1"/>
  <c r="D11338" i="1"/>
  <c r="E11338" i="1"/>
  <c r="F11338" i="1"/>
  <c r="G11338" i="1"/>
  <c r="H11338" i="1"/>
  <c r="I11338" i="1"/>
  <c r="J11338" i="1"/>
  <c r="K11338" i="1"/>
  <c r="L11338" i="1"/>
  <c r="A11339" i="1"/>
  <c r="B11339" i="1"/>
  <c r="C11339" i="1"/>
  <c r="D11339" i="1"/>
  <c r="E11339" i="1"/>
  <c r="F11339" i="1"/>
  <c r="G11339" i="1"/>
  <c r="H11339" i="1"/>
  <c r="I11339" i="1"/>
  <c r="J11339" i="1"/>
  <c r="K11339" i="1"/>
  <c r="L11339" i="1"/>
  <c r="A11340" i="1"/>
  <c r="B11340" i="1"/>
  <c r="C11340" i="1"/>
  <c r="D11340" i="1"/>
  <c r="E11340" i="1"/>
  <c r="F11340" i="1"/>
  <c r="G11340" i="1"/>
  <c r="H11340" i="1"/>
  <c r="I11340" i="1"/>
  <c r="J11340" i="1"/>
  <c r="K11340" i="1"/>
  <c r="L11340" i="1"/>
  <c r="A11341" i="1"/>
  <c r="B11341" i="1"/>
  <c r="C11341" i="1"/>
  <c r="D11341" i="1"/>
  <c r="E11341" i="1"/>
  <c r="F11341" i="1"/>
  <c r="G11341" i="1"/>
  <c r="H11341" i="1"/>
  <c r="I11341" i="1"/>
  <c r="J11341" i="1"/>
  <c r="K11341" i="1"/>
  <c r="L11341" i="1"/>
  <c r="A11342" i="1"/>
  <c r="B11342" i="1"/>
  <c r="C11342" i="1"/>
  <c r="D11342" i="1"/>
  <c r="E11342" i="1"/>
  <c r="F11342" i="1"/>
  <c r="G11342" i="1"/>
  <c r="H11342" i="1"/>
  <c r="I11342" i="1"/>
  <c r="J11342" i="1"/>
  <c r="K11342" i="1"/>
  <c r="L11342" i="1"/>
  <c r="A11343" i="1"/>
  <c r="B11343" i="1"/>
  <c r="C11343" i="1"/>
  <c r="D11343" i="1"/>
  <c r="E11343" i="1"/>
  <c r="F11343" i="1"/>
  <c r="G11343" i="1"/>
  <c r="H11343" i="1"/>
  <c r="I11343" i="1"/>
  <c r="J11343" i="1"/>
  <c r="K11343" i="1"/>
  <c r="L11343" i="1"/>
  <c r="A11344" i="1"/>
  <c r="B11344" i="1"/>
  <c r="C11344" i="1"/>
  <c r="D11344" i="1"/>
  <c r="E11344" i="1"/>
  <c r="F11344" i="1"/>
  <c r="G11344" i="1"/>
  <c r="H11344" i="1"/>
  <c r="I11344" i="1"/>
  <c r="J11344" i="1"/>
  <c r="K11344" i="1"/>
  <c r="L11344" i="1"/>
  <c r="A11345" i="1"/>
  <c r="B11345" i="1"/>
  <c r="C11345" i="1"/>
  <c r="D11345" i="1"/>
  <c r="E11345" i="1"/>
  <c r="F11345" i="1"/>
  <c r="G11345" i="1"/>
  <c r="H11345" i="1"/>
  <c r="I11345" i="1"/>
  <c r="J11345" i="1"/>
  <c r="K11345" i="1"/>
  <c r="L11345" i="1"/>
  <c r="A11346" i="1"/>
  <c r="B11346" i="1"/>
  <c r="C11346" i="1"/>
  <c r="D11346" i="1"/>
  <c r="E11346" i="1"/>
  <c r="F11346" i="1"/>
  <c r="G11346" i="1"/>
  <c r="H11346" i="1"/>
  <c r="I11346" i="1"/>
  <c r="J11346" i="1"/>
  <c r="K11346" i="1"/>
  <c r="L11346" i="1"/>
  <c r="A11347" i="1"/>
  <c r="B11347" i="1"/>
  <c r="C11347" i="1"/>
  <c r="D11347" i="1"/>
  <c r="E11347" i="1"/>
  <c r="F11347" i="1"/>
  <c r="G11347" i="1"/>
  <c r="H11347" i="1"/>
  <c r="I11347" i="1"/>
  <c r="J11347" i="1"/>
  <c r="K11347" i="1"/>
  <c r="L11347" i="1"/>
  <c r="A11348" i="1"/>
  <c r="B11348" i="1"/>
  <c r="C11348" i="1"/>
  <c r="D11348" i="1"/>
  <c r="E11348" i="1"/>
  <c r="F11348" i="1"/>
  <c r="G11348" i="1"/>
  <c r="H11348" i="1"/>
  <c r="I11348" i="1"/>
  <c r="J11348" i="1"/>
  <c r="K11348" i="1"/>
  <c r="L11348" i="1"/>
  <c r="A11349" i="1"/>
  <c r="B11349" i="1"/>
  <c r="C11349" i="1"/>
  <c r="D11349" i="1"/>
  <c r="E11349" i="1"/>
  <c r="F11349" i="1"/>
  <c r="G11349" i="1"/>
  <c r="H11349" i="1"/>
  <c r="I11349" i="1"/>
  <c r="J11349" i="1"/>
  <c r="K11349" i="1"/>
  <c r="L11349" i="1"/>
  <c r="A11350" i="1"/>
  <c r="B11350" i="1"/>
  <c r="C11350" i="1"/>
  <c r="D11350" i="1"/>
  <c r="E11350" i="1"/>
  <c r="F11350" i="1"/>
  <c r="G11350" i="1"/>
  <c r="H11350" i="1"/>
  <c r="I11350" i="1"/>
  <c r="J11350" i="1"/>
  <c r="K11350" i="1"/>
  <c r="L11350" i="1"/>
  <c r="A11351" i="1"/>
  <c r="B11351" i="1"/>
  <c r="C11351" i="1"/>
  <c r="D11351" i="1"/>
  <c r="E11351" i="1"/>
  <c r="F11351" i="1"/>
  <c r="G11351" i="1"/>
  <c r="H11351" i="1"/>
  <c r="I11351" i="1"/>
  <c r="J11351" i="1"/>
  <c r="K11351" i="1"/>
  <c r="L11351" i="1"/>
  <c r="A11352" i="1"/>
  <c r="B11352" i="1"/>
  <c r="C11352" i="1"/>
  <c r="D11352" i="1"/>
  <c r="E11352" i="1"/>
  <c r="F11352" i="1"/>
  <c r="G11352" i="1"/>
  <c r="H11352" i="1"/>
  <c r="I11352" i="1"/>
  <c r="J11352" i="1"/>
  <c r="K11352" i="1"/>
  <c r="L11352" i="1"/>
  <c r="A11353" i="1"/>
  <c r="B11353" i="1"/>
  <c r="C11353" i="1"/>
  <c r="D11353" i="1"/>
  <c r="E11353" i="1"/>
  <c r="F11353" i="1"/>
  <c r="G11353" i="1"/>
  <c r="H11353" i="1"/>
  <c r="I11353" i="1"/>
  <c r="J11353" i="1"/>
  <c r="K11353" i="1"/>
  <c r="L11353" i="1"/>
  <c r="A11354" i="1"/>
  <c r="B11354" i="1"/>
  <c r="C11354" i="1"/>
  <c r="D11354" i="1"/>
  <c r="E11354" i="1"/>
  <c r="F11354" i="1"/>
  <c r="G11354" i="1"/>
  <c r="H11354" i="1"/>
  <c r="I11354" i="1"/>
  <c r="J11354" i="1"/>
  <c r="K11354" i="1"/>
  <c r="L11354" i="1"/>
  <c r="A11355" i="1"/>
  <c r="B11355" i="1"/>
  <c r="C11355" i="1"/>
  <c r="D11355" i="1"/>
  <c r="E11355" i="1"/>
  <c r="F11355" i="1"/>
  <c r="G11355" i="1"/>
  <c r="H11355" i="1"/>
  <c r="I11355" i="1"/>
  <c r="J11355" i="1"/>
  <c r="K11355" i="1"/>
  <c r="L11355" i="1"/>
  <c r="A11356" i="1"/>
  <c r="B11356" i="1"/>
  <c r="C11356" i="1"/>
  <c r="D11356" i="1"/>
  <c r="E11356" i="1"/>
  <c r="F11356" i="1"/>
  <c r="G11356" i="1"/>
  <c r="H11356" i="1"/>
  <c r="I11356" i="1"/>
  <c r="J11356" i="1"/>
  <c r="K11356" i="1"/>
  <c r="L11356" i="1"/>
  <c r="A11357" i="1"/>
  <c r="B11357" i="1"/>
  <c r="C11357" i="1"/>
  <c r="D11357" i="1"/>
  <c r="E11357" i="1"/>
  <c r="F11357" i="1"/>
  <c r="G11357" i="1"/>
  <c r="H11357" i="1"/>
  <c r="I11357" i="1"/>
  <c r="J11357" i="1"/>
  <c r="K11357" i="1"/>
  <c r="L11357" i="1"/>
  <c r="A11358" i="1"/>
  <c r="B11358" i="1"/>
  <c r="C11358" i="1"/>
  <c r="D11358" i="1"/>
  <c r="E11358" i="1"/>
  <c r="F11358" i="1"/>
  <c r="G11358" i="1"/>
  <c r="H11358" i="1"/>
  <c r="I11358" i="1"/>
  <c r="J11358" i="1"/>
  <c r="K11358" i="1"/>
  <c r="L11358" i="1"/>
  <c r="A11359" i="1"/>
  <c r="B11359" i="1"/>
  <c r="C11359" i="1"/>
  <c r="D11359" i="1"/>
  <c r="E11359" i="1"/>
  <c r="F11359" i="1"/>
  <c r="G11359" i="1"/>
  <c r="H11359" i="1"/>
  <c r="I11359" i="1"/>
  <c r="J11359" i="1"/>
  <c r="K11359" i="1"/>
  <c r="L11359" i="1"/>
  <c r="A11360" i="1"/>
  <c r="B11360" i="1"/>
  <c r="C11360" i="1"/>
  <c r="D11360" i="1"/>
  <c r="E11360" i="1"/>
  <c r="F11360" i="1"/>
  <c r="G11360" i="1"/>
  <c r="H11360" i="1"/>
  <c r="I11360" i="1"/>
  <c r="J11360" i="1"/>
  <c r="K11360" i="1"/>
  <c r="L11360" i="1"/>
  <c r="A11361" i="1"/>
  <c r="B11361" i="1"/>
  <c r="C11361" i="1"/>
  <c r="D11361" i="1"/>
  <c r="E11361" i="1"/>
  <c r="F11361" i="1"/>
  <c r="G11361" i="1"/>
  <c r="H11361" i="1"/>
  <c r="I11361" i="1"/>
  <c r="J11361" i="1"/>
  <c r="K11361" i="1"/>
  <c r="L11361" i="1"/>
  <c r="A11362" i="1"/>
  <c r="B11362" i="1"/>
  <c r="C11362" i="1"/>
  <c r="D11362" i="1"/>
  <c r="E11362" i="1"/>
  <c r="F11362" i="1"/>
  <c r="G11362" i="1"/>
  <c r="H11362" i="1"/>
  <c r="I11362" i="1"/>
  <c r="J11362" i="1"/>
  <c r="K11362" i="1"/>
  <c r="L11362" i="1"/>
  <c r="A11363" i="1"/>
  <c r="B11363" i="1"/>
  <c r="C11363" i="1"/>
  <c r="D11363" i="1"/>
  <c r="E11363" i="1"/>
  <c r="F11363" i="1"/>
  <c r="G11363" i="1"/>
  <c r="H11363" i="1"/>
  <c r="I11363" i="1"/>
  <c r="J11363" i="1"/>
  <c r="K11363" i="1"/>
  <c r="L11363" i="1"/>
  <c r="A11364" i="1"/>
  <c r="B11364" i="1"/>
  <c r="C11364" i="1"/>
  <c r="D11364" i="1"/>
  <c r="E11364" i="1"/>
  <c r="F11364" i="1"/>
  <c r="G11364" i="1"/>
  <c r="H11364" i="1"/>
  <c r="I11364" i="1"/>
  <c r="J11364" i="1"/>
  <c r="K11364" i="1"/>
  <c r="L11364" i="1"/>
  <c r="A11365" i="1"/>
  <c r="B11365" i="1"/>
  <c r="C11365" i="1"/>
  <c r="D11365" i="1"/>
  <c r="E11365" i="1"/>
  <c r="F11365" i="1"/>
  <c r="G11365" i="1"/>
  <c r="H11365" i="1"/>
  <c r="I11365" i="1"/>
  <c r="J11365" i="1"/>
  <c r="K11365" i="1"/>
  <c r="L11365" i="1"/>
  <c r="A11366" i="1"/>
  <c r="B11366" i="1"/>
  <c r="C11366" i="1"/>
  <c r="D11366" i="1"/>
  <c r="E11366" i="1"/>
  <c r="F11366" i="1"/>
  <c r="G11366" i="1"/>
  <c r="H11366" i="1"/>
  <c r="I11366" i="1"/>
  <c r="J11366" i="1"/>
  <c r="K11366" i="1"/>
  <c r="L11366" i="1"/>
  <c r="A11367" i="1"/>
  <c r="B11367" i="1"/>
  <c r="C11367" i="1"/>
  <c r="D11367" i="1"/>
  <c r="E11367" i="1"/>
  <c r="F11367" i="1"/>
  <c r="G11367" i="1"/>
  <c r="H11367" i="1"/>
  <c r="I11367" i="1"/>
  <c r="J11367" i="1"/>
  <c r="K11367" i="1"/>
  <c r="L11367" i="1"/>
  <c r="A11368" i="1"/>
  <c r="B11368" i="1"/>
  <c r="C11368" i="1"/>
  <c r="D11368" i="1"/>
  <c r="E11368" i="1"/>
  <c r="F11368" i="1"/>
  <c r="G11368" i="1"/>
  <c r="H11368" i="1"/>
  <c r="I11368" i="1"/>
  <c r="J11368" i="1"/>
  <c r="K11368" i="1"/>
  <c r="L11368" i="1"/>
  <c r="A11369" i="1"/>
  <c r="B11369" i="1"/>
  <c r="C11369" i="1"/>
  <c r="D11369" i="1"/>
  <c r="E11369" i="1"/>
  <c r="F11369" i="1"/>
  <c r="G11369" i="1"/>
  <c r="H11369" i="1"/>
  <c r="I11369" i="1"/>
  <c r="J11369" i="1"/>
  <c r="K11369" i="1"/>
  <c r="L11369" i="1"/>
  <c r="A11370" i="1"/>
  <c r="B11370" i="1"/>
  <c r="C11370" i="1"/>
  <c r="D11370" i="1"/>
  <c r="E11370" i="1"/>
  <c r="F11370" i="1"/>
  <c r="G11370" i="1"/>
  <c r="H11370" i="1"/>
  <c r="I11370" i="1"/>
  <c r="J11370" i="1"/>
  <c r="K11370" i="1"/>
  <c r="L11370" i="1"/>
  <c r="A11371" i="1"/>
  <c r="B11371" i="1"/>
  <c r="C11371" i="1"/>
  <c r="D11371" i="1"/>
  <c r="E11371" i="1"/>
  <c r="F11371" i="1"/>
  <c r="G11371" i="1"/>
  <c r="H11371" i="1"/>
  <c r="I11371" i="1"/>
  <c r="J11371" i="1"/>
  <c r="K11371" i="1"/>
  <c r="L11371" i="1"/>
  <c r="A11372" i="1"/>
  <c r="B11372" i="1"/>
  <c r="C11372" i="1"/>
  <c r="D11372" i="1"/>
  <c r="E11372" i="1"/>
  <c r="F11372" i="1"/>
  <c r="G11372" i="1"/>
  <c r="H11372" i="1"/>
  <c r="I11372" i="1"/>
  <c r="J11372" i="1"/>
  <c r="K11372" i="1"/>
  <c r="L11372" i="1"/>
  <c r="A11373" i="1"/>
  <c r="B11373" i="1"/>
  <c r="C11373" i="1"/>
  <c r="D11373" i="1"/>
  <c r="E11373" i="1"/>
  <c r="F11373" i="1"/>
  <c r="G11373" i="1"/>
  <c r="H11373" i="1"/>
  <c r="I11373" i="1"/>
  <c r="J11373" i="1"/>
  <c r="K11373" i="1"/>
  <c r="L11373" i="1"/>
  <c r="A11374" i="1"/>
  <c r="B11374" i="1"/>
  <c r="C11374" i="1"/>
  <c r="D11374" i="1"/>
  <c r="E11374" i="1"/>
  <c r="F11374" i="1"/>
  <c r="G11374" i="1"/>
  <c r="H11374" i="1"/>
  <c r="I11374" i="1"/>
  <c r="J11374" i="1"/>
  <c r="K11374" i="1"/>
  <c r="L11374" i="1"/>
  <c r="A11375" i="1"/>
  <c r="B11375" i="1"/>
  <c r="C11375" i="1"/>
  <c r="D11375" i="1"/>
  <c r="E11375" i="1"/>
  <c r="F11375" i="1"/>
  <c r="G11375" i="1"/>
  <c r="H11375" i="1"/>
  <c r="I11375" i="1"/>
  <c r="J11375" i="1"/>
  <c r="K11375" i="1"/>
  <c r="L11375" i="1"/>
  <c r="A11376" i="1"/>
  <c r="B11376" i="1"/>
  <c r="C11376" i="1"/>
  <c r="D11376" i="1"/>
  <c r="E11376" i="1"/>
  <c r="F11376" i="1"/>
  <c r="G11376" i="1"/>
  <c r="H11376" i="1"/>
  <c r="I11376" i="1"/>
  <c r="J11376" i="1"/>
  <c r="K11376" i="1"/>
  <c r="L11376" i="1"/>
  <c r="A11377" i="1"/>
  <c r="B11377" i="1"/>
  <c r="C11377" i="1"/>
  <c r="D11377" i="1"/>
  <c r="E11377" i="1"/>
  <c r="F11377" i="1"/>
  <c r="G11377" i="1"/>
  <c r="H11377" i="1"/>
  <c r="I11377" i="1"/>
  <c r="J11377" i="1"/>
  <c r="K11377" i="1"/>
  <c r="L11377" i="1"/>
  <c r="A11378" i="1"/>
  <c r="B11378" i="1"/>
  <c r="C11378" i="1"/>
  <c r="D11378" i="1"/>
  <c r="E11378" i="1"/>
  <c r="F11378" i="1"/>
  <c r="G11378" i="1"/>
  <c r="H11378" i="1"/>
  <c r="I11378" i="1"/>
  <c r="J11378" i="1"/>
  <c r="K11378" i="1"/>
  <c r="L11378" i="1"/>
  <c r="A11379" i="1"/>
  <c r="B11379" i="1"/>
  <c r="C11379" i="1"/>
  <c r="D11379" i="1"/>
  <c r="E11379" i="1"/>
  <c r="F11379" i="1"/>
  <c r="G11379" i="1"/>
  <c r="H11379" i="1"/>
  <c r="I11379" i="1"/>
  <c r="J11379" i="1"/>
  <c r="K11379" i="1"/>
  <c r="L11379" i="1"/>
  <c r="A11380" i="1"/>
  <c r="B11380" i="1"/>
  <c r="C11380" i="1"/>
  <c r="D11380" i="1"/>
  <c r="E11380" i="1"/>
  <c r="F11380" i="1"/>
  <c r="G11380" i="1"/>
  <c r="H11380" i="1"/>
  <c r="I11380" i="1"/>
  <c r="J11380" i="1"/>
  <c r="K11380" i="1"/>
  <c r="L11380" i="1"/>
  <c r="A11381" i="1"/>
  <c r="B11381" i="1"/>
  <c r="C11381" i="1"/>
  <c r="D11381" i="1"/>
  <c r="E11381" i="1"/>
  <c r="F11381" i="1"/>
  <c r="G11381" i="1"/>
  <c r="H11381" i="1"/>
  <c r="I11381" i="1"/>
  <c r="J11381" i="1"/>
  <c r="K11381" i="1"/>
  <c r="L11381" i="1"/>
  <c r="A11382" i="1"/>
  <c r="B11382" i="1"/>
  <c r="C11382" i="1"/>
  <c r="D11382" i="1"/>
  <c r="E11382" i="1"/>
  <c r="F11382" i="1"/>
  <c r="G11382" i="1"/>
  <c r="H11382" i="1"/>
  <c r="I11382" i="1"/>
  <c r="J11382" i="1"/>
  <c r="K11382" i="1"/>
  <c r="L11382" i="1"/>
  <c r="A11383" i="1"/>
  <c r="B11383" i="1"/>
  <c r="C11383" i="1"/>
  <c r="D11383" i="1"/>
  <c r="E11383" i="1"/>
  <c r="F11383" i="1"/>
  <c r="G11383" i="1"/>
  <c r="H11383" i="1"/>
  <c r="I11383" i="1"/>
  <c r="J11383" i="1"/>
  <c r="K11383" i="1"/>
  <c r="L11383" i="1"/>
  <c r="A11384" i="1"/>
  <c r="B11384" i="1"/>
  <c r="C11384" i="1"/>
  <c r="D11384" i="1"/>
  <c r="E11384" i="1"/>
  <c r="F11384" i="1"/>
  <c r="G11384" i="1"/>
  <c r="H11384" i="1"/>
  <c r="I11384" i="1"/>
  <c r="J11384" i="1"/>
  <c r="K11384" i="1"/>
  <c r="L11384" i="1"/>
  <c r="A11385" i="1"/>
  <c r="B11385" i="1"/>
  <c r="C11385" i="1"/>
  <c r="D11385" i="1"/>
  <c r="E11385" i="1"/>
  <c r="F11385" i="1"/>
  <c r="G11385" i="1"/>
  <c r="H11385" i="1"/>
  <c r="I11385" i="1"/>
  <c r="J11385" i="1"/>
  <c r="K11385" i="1"/>
  <c r="L11385" i="1"/>
  <c r="A11386" i="1"/>
  <c r="B11386" i="1"/>
  <c r="C11386" i="1"/>
  <c r="D11386" i="1"/>
  <c r="E11386" i="1"/>
  <c r="F11386" i="1"/>
  <c r="G11386" i="1"/>
  <c r="H11386" i="1"/>
  <c r="I11386" i="1"/>
  <c r="J11386" i="1"/>
  <c r="K11386" i="1"/>
  <c r="L11386" i="1"/>
  <c r="A11387" i="1"/>
  <c r="B11387" i="1"/>
  <c r="C11387" i="1"/>
  <c r="D11387" i="1"/>
  <c r="E11387" i="1"/>
  <c r="F11387" i="1"/>
  <c r="G11387" i="1"/>
  <c r="H11387" i="1"/>
  <c r="I11387" i="1"/>
  <c r="J11387" i="1"/>
  <c r="K11387" i="1"/>
  <c r="L11387" i="1"/>
  <c r="A11388" i="1"/>
  <c r="B11388" i="1"/>
  <c r="C11388" i="1"/>
  <c r="D11388" i="1"/>
  <c r="E11388" i="1"/>
  <c r="F11388" i="1"/>
  <c r="G11388" i="1"/>
  <c r="H11388" i="1"/>
  <c r="I11388" i="1"/>
  <c r="J11388" i="1"/>
  <c r="K11388" i="1"/>
  <c r="L11388" i="1"/>
  <c r="A11389" i="1"/>
  <c r="B11389" i="1"/>
  <c r="C11389" i="1"/>
  <c r="D11389" i="1"/>
  <c r="E11389" i="1"/>
  <c r="F11389" i="1"/>
  <c r="G11389" i="1"/>
  <c r="H11389" i="1"/>
  <c r="I11389" i="1"/>
  <c r="J11389" i="1"/>
  <c r="K11389" i="1"/>
  <c r="L11389" i="1"/>
  <c r="A11390" i="1"/>
  <c r="B11390" i="1"/>
  <c r="C11390" i="1"/>
  <c r="D11390" i="1"/>
  <c r="E11390" i="1"/>
  <c r="F11390" i="1"/>
  <c r="G11390" i="1"/>
  <c r="H11390" i="1"/>
  <c r="I11390" i="1"/>
  <c r="J11390" i="1"/>
  <c r="K11390" i="1"/>
  <c r="L11390" i="1"/>
  <c r="A11391" i="1"/>
  <c r="B11391" i="1"/>
  <c r="C11391" i="1"/>
  <c r="D11391" i="1"/>
  <c r="E11391" i="1"/>
  <c r="F11391" i="1"/>
  <c r="G11391" i="1"/>
  <c r="H11391" i="1"/>
  <c r="I11391" i="1"/>
  <c r="J11391" i="1"/>
  <c r="K11391" i="1"/>
  <c r="L11391" i="1"/>
  <c r="A11392" i="1"/>
  <c r="B11392" i="1"/>
  <c r="C11392" i="1"/>
  <c r="D11392" i="1"/>
  <c r="E11392" i="1"/>
  <c r="F11392" i="1"/>
  <c r="G11392" i="1"/>
  <c r="H11392" i="1"/>
  <c r="I11392" i="1"/>
  <c r="J11392" i="1"/>
  <c r="K11392" i="1"/>
  <c r="L11392" i="1"/>
  <c r="A11393" i="1"/>
  <c r="B11393" i="1"/>
  <c r="C11393" i="1"/>
  <c r="D11393" i="1"/>
  <c r="E11393" i="1"/>
  <c r="F11393" i="1"/>
  <c r="G11393" i="1"/>
  <c r="H11393" i="1"/>
  <c r="I11393" i="1"/>
  <c r="J11393" i="1"/>
  <c r="K11393" i="1"/>
  <c r="L11393" i="1"/>
  <c r="A11394" i="1"/>
  <c r="B11394" i="1"/>
  <c r="C11394" i="1"/>
  <c r="D11394" i="1"/>
  <c r="E11394" i="1"/>
  <c r="F11394" i="1"/>
  <c r="G11394" i="1"/>
  <c r="H11394" i="1"/>
  <c r="I11394" i="1"/>
  <c r="J11394" i="1"/>
  <c r="K11394" i="1"/>
  <c r="L11394" i="1"/>
  <c r="A11395" i="1"/>
  <c r="B11395" i="1"/>
  <c r="C11395" i="1"/>
  <c r="D11395" i="1"/>
  <c r="E11395" i="1"/>
  <c r="F11395" i="1"/>
  <c r="G11395" i="1"/>
  <c r="H11395" i="1"/>
  <c r="I11395" i="1"/>
  <c r="J11395" i="1"/>
  <c r="K11395" i="1"/>
  <c r="L11395" i="1"/>
  <c r="A11396" i="1"/>
  <c r="B11396" i="1"/>
  <c r="C11396" i="1"/>
  <c r="D11396" i="1"/>
  <c r="E11396" i="1"/>
  <c r="F11396" i="1"/>
  <c r="G11396" i="1"/>
  <c r="H11396" i="1"/>
  <c r="I11396" i="1"/>
  <c r="J11396" i="1"/>
  <c r="K11396" i="1"/>
  <c r="L11396" i="1"/>
  <c r="A11397" i="1"/>
  <c r="B11397" i="1"/>
  <c r="C11397" i="1"/>
  <c r="D11397" i="1"/>
  <c r="E11397" i="1"/>
  <c r="F11397" i="1"/>
  <c r="G11397" i="1"/>
  <c r="H11397" i="1"/>
  <c r="I11397" i="1"/>
  <c r="J11397" i="1"/>
  <c r="K11397" i="1"/>
  <c r="L11397" i="1"/>
  <c r="A11398" i="1"/>
  <c r="B11398" i="1"/>
  <c r="C11398" i="1"/>
  <c r="D11398" i="1"/>
  <c r="E11398" i="1"/>
  <c r="F11398" i="1"/>
  <c r="G11398" i="1"/>
  <c r="H11398" i="1"/>
  <c r="I11398" i="1"/>
  <c r="J11398" i="1"/>
  <c r="K11398" i="1"/>
  <c r="L11398" i="1"/>
  <c r="A11399" i="1"/>
  <c r="B11399" i="1"/>
  <c r="C11399" i="1"/>
  <c r="D11399" i="1"/>
  <c r="E11399" i="1"/>
  <c r="F11399" i="1"/>
  <c r="G11399" i="1"/>
  <c r="H11399" i="1"/>
  <c r="I11399" i="1"/>
  <c r="J11399" i="1"/>
  <c r="K11399" i="1"/>
  <c r="L11399" i="1"/>
  <c r="A11400" i="1"/>
  <c r="B11400" i="1"/>
  <c r="C11400" i="1"/>
  <c r="D11400" i="1"/>
  <c r="E11400" i="1"/>
  <c r="F11400" i="1"/>
  <c r="G11400" i="1"/>
  <c r="H11400" i="1"/>
  <c r="I11400" i="1"/>
  <c r="J11400" i="1"/>
  <c r="K11400" i="1"/>
  <c r="L11400" i="1"/>
  <c r="A11401" i="1"/>
  <c r="B11401" i="1"/>
  <c r="C11401" i="1"/>
  <c r="D11401" i="1"/>
  <c r="E11401" i="1"/>
  <c r="F11401" i="1"/>
  <c r="G11401" i="1"/>
  <c r="H11401" i="1"/>
  <c r="I11401" i="1"/>
  <c r="J11401" i="1"/>
  <c r="K11401" i="1"/>
  <c r="L11401" i="1"/>
  <c r="A11402" i="1"/>
  <c r="B11402" i="1"/>
  <c r="C11402" i="1"/>
  <c r="D11402" i="1"/>
  <c r="E11402" i="1"/>
  <c r="F11402" i="1"/>
  <c r="G11402" i="1"/>
  <c r="H11402" i="1"/>
  <c r="I11402" i="1"/>
  <c r="J11402" i="1"/>
  <c r="K11402" i="1"/>
  <c r="L11402" i="1"/>
  <c r="A11403" i="1"/>
  <c r="B11403" i="1"/>
  <c r="C11403" i="1"/>
  <c r="D11403" i="1"/>
  <c r="E11403" i="1"/>
  <c r="F11403" i="1"/>
  <c r="G11403" i="1"/>
  <c r="H11403" i="1"/>
  <c r="I11403" i="1"/>
  <c r="J11403" i="1"/>
  <c r="K11403" i="1"/>
  <c r="L11403" i="1"/>
  <c r="A11404" i="1"/>
  <c r="B11404" i="1"/>
  <c r="C11404" i="1"/>
  <c r="D11404" i="1"/>
  <c r="E11404" i="1"/>
  <c r="F11404" i="1"/>
  <c r="G11404" i="1"/>
  <c r="H11404" i="1"/>
  <c r="I11404" i="1"/>
  <c r="J11404" i="1"/>
  <c r="K11404" i="1"/>
  <c r="L11404" i="1"/>
  <c r="A11405" i="1"/>
  <c r="B11405" i="1"/>
  <c r="C11405" i="1"/>
  <c r="D11405" i="1"/>
  <c r="E11405" i="1"/>
  <c r="F11405" i="1"/>
  <c r="G11405" i="1"/>
  <c r="H11405" i="1"/>
  <c r="I11405" i="1"/>
  <c r="J11405" i="1"/>
  <c r="K11405" i="1"/>
  <c r="L11405" i="1"/>
  <c r="A11406" i="1"/>
  <c r="B11406" i="1"/>
  <c r="C11406" i="1"/>
  <c r="D11406" i="1"/>
  <c r="E11406" i="1"/>
  <c r="F11406" i="1"/>
  <c r="G11406" i="1"/>
  <c r="H11406" i="1"/>
  <c r="I11406" i="1"/>
  <c r="J11406" i="1"/>
  <c r="K11406" i="1"/>
  <c r="L11406" i="1"/>
  <c r="A11407" i="1"/>
  <c r="B11407" i="1"/>
  <c r="C11407" i="1"/>
  <c r="D11407" i="1"/>
  <c r="E11407" i="1"/>
  <c r="F11407" i="1"/>
  <c r="G11407" i="1"/>
  <c r="H11407" i="1"/>
  <c r="I11407" i="1"/>
  <c r="J11407" i="1"/>
  <c r="K11407" i="1"/>
  <c r="L11407" i="1"/>
  <c r="A11408" i="1"/>
  <c r="B11408" i="1"/>
  <c r="C11408" i="1"/>
  <c r="D11408" i="1"/>
  <c r="E11408" i="1"/>
  <c r="F11408" i="1"/>
  <c r="G11408" i="1"/>
  <c r="H11408" i="1"/>
  <c r="I11408" i="1"/>
  <c r="J11408" i="1"/>
  <c r="K11408" i="1"/>
  <c r="L11408" i="1"/>
  <c r="A11409" i="1"/>
  <c r="B11409" i="1"/>
  <c r="C11409" i="1"/>
  <c r="D11409" i="1"/>
  <c r="E11409" i="1"/>
  <c r="F11409" i="1"/>
  <c r="G11409" i="1"/>
  <c r="H11409" i="1"/>
  <c r="I11409" i="1"/>
  <c r="J11409" i="1"/>
  <c r="K11409" i="1"/>
  <c r="L11409" i="1"/>
  <c r="A11410" i="1"/>
  <c r="B11410" i="1"/>
  <c r="C11410" i="1"/>
  <c r="D11410" i="1"/>
  <c r="E11410" i="1"/>
  <c r="F11410" i="1"/>
  <c r="G11410" i="1"/>
  <c r="H11410" i="1"/>
  <c r="I11410" i="1"/>
  <c r="J11410" i="1"/>
  <c r="K11410" i="1"/>
  <c r="L11410" i="1"/>
  <c r="A11411" i="1"/>
  <c r="B11411" i="1"/>
  <c r="C11411" i="1"/>
  <c r="D11411" i="1"/>
  <c r="E11411" i="1"/>
  <c r="F11411" i="1"/>
  <c r="G11411" i="1"/>
  <c r="H11411" i="1"/>
  <c r="I11411" i="1"/>
  <c r="J11411" i="1"/>
  <c r="K11411" i="1"/>
  <c r="L11411" i="1"/>
  <c r="A11412" i="1"/>
  <c r="B11412" i="1"/>
  <c r="C11412" i="1"/>
  <c r="D11412" i="1"/>
  <c r="E11412" i="1"/>
  <c r="F11412" i="1"/>
  <c r="G11412" i="1"/>
  <c r="H11412" i="1"/>
  <c r="I11412" i="1"/>
  <c r="J11412" i="1"/>
  <c r="K11412" i="1"/>
  <c r="L11412" i="1"/>
  <c r="A11413" i="1"/>
  <c r="B11413" i="1"/>
  <c r="C11413" i="1"/>
  <c r="D11413" i="1"/>
  <c r="E11413" i="1"/>
  <c r="F11413" i="1"/>
  <c r="G11413" i="1"/>
  <c r="H11413" i="1"/>
  <c r="I11413" i="1"/>
  <c r="J11413" i="1"/>
  <c r="K11413" i="1"/>
  <c r="L11413" i="1"/>
  <c r="A11414" i="1"/>
  <c r="B11414" i="1"/>
  <c r="C11414" i="1"/>
  <c r="D11414" i="1"/>
  <c r="E11414" i="1"/>
  <c r="F11414" i="1"/>
  <c r="G11414" i="1"/>
  <c r="H11414" i="1"/>
  <c r="I11414" i="1"/>
  <c r="J11414" i="1"/>
  <c r="K11414" i="1"/>
  <c r="L11414" i="1"/>
  <c r="A11415" i="1"/>
  <c r="B11415" i="1"/>
  <c r="C11415" i="1"/>
  <c r="D11415" i="1"/>
  <c r="E11415" i="1"/>
  <c r="F11415" i="1"/>
  <c r="G11415" i="1"/>
  <c r="H11415" i="1"/>
  <c r="I11415" i="1"/>
  <c r="J11415" i="1"/>
  <c r="K11415" i="1"/>
  <c r="L11415" i="1"/>
  <c r="A11416" i="1"/>
  <c r="B11416" i="1"/>
  <c r="C11416" i="1"/>
  <c r="D11416" i="1"/>
  <c r="E11416" i="1"/>
  <c r="F11416" i="1"/>
  <c r="G11416" i="1"/>
  <c r="H11416" i="1"/>
  <c r="I11416" i="1"/>
  <c r="J11416" i="1"/>
  <c r="K11416" i="1"/>
  <c r="L11416" i="1"/>
  <c r="A11417" i="1"/>
  <c r="B11417" i="1"/>
  <c r="C11417" i="1"/>
  <c r="D11417" i="1"/>
  <c r="E11417" i="1"/>
  <c r="F11417" i="1"/>
  <c r="G11417" i="1"/>
  <c r="H11417" i="1"/>
  <c r="I11417" i="1"/>
  <c r="J11417" i="1"/>
  <c r="K11417" i="1"/>
  <c r="L11417" i="1"/>
  <c r="A11418" i="1"/>
  <c r="B11418" i="1"/>
  <c r="C11418" i="1"/>
  <c r="D11418" i="1"/>
  <c r="E11418" i="1"/>
  <c r="F11418" i="1"/>
  <c r="G11418" i="1"/>
  <c r="H11418" i="1"/>
  <c r="I11418" i="1"/>
  <c r="J11418" i="1"/>
  <c r="K11418" i="1"/>
  <c r="L11418" i="1"/>
  <c r="A11419" i="1"/>
  <c r="B11419" i="1"/>
  <c r="C11419" i="1"/>
  <c r="D11419" i="1"/>
  <c r="E11419" i="1"/>
  <c r="F11419" i="1"/>
  <c r="G11419" i="1"/>
  <c r="H11419" i="1"/>
  <c r="I11419" i="1"/>
  <c r="J11419" i="1"/>
  <c r="K11419" i="1"/>
  <c r="L11419" i="1"/>
  <c r="A11420" i="1"/>
  <c r="B11420" i="1"/>
  <c r="C11420" i="1"/>
  <c r="D11420" i="1"/>
  <c r="E11420" i="1"/>
  <c r="F11420" i="1"/>
  <c r="G11420" i="1"/>
  <c r="H11420" i="1"/>
  <c r="I11420" i="1"/>
  <c r="J11420" i="1"/>
  <c r="K11420" i="1"/>
  <c r="L11420" i="1"/>
  <c r="A11421" i="1"/>
  <c r="B11421" i="1"/>
  <c r="C11421" i="1"/>
  <c r="D11421" i="1"/>
  <c r="E11421" i="1"/>
  <c r="F11421" i="1"/>
  <c r="G11421" i="1"/>
  <c r="H11421" i="1"/>
  <c r="I11421" i="1"/>
  <c r="J11421" i="1"/>
  <c r="K11421" i="1"/>
  <c r="L11421" i="1"/>
  <c r="A11422" i="1"/>
  <c r="B11422" i="1"/>
  <c r="C11422" i="1"/>
  <c r="D11422" i="1"/>
  <c r="E11422" i="1"/>
  <c r="F11422" i="1"/>
  <c r="G11422" i="1"/>
  <c r="H11422" i="1"/>
  <c r="I11422" i="1"/>
  <c r="J11422" i="1"/>
  <c r="K11422" i="1"/>
  <c r="L11422" i="1"/>
  <c r="A11423" i="1"/>
  <c r="B11423" i="1"/>
  <c r="C11423" i="1"/>
  <c r="D11423" i="1"/>
  <c r="E11423" i="1"/>
  <c r="F11423" i="1"/>
  <c r="G11423" i="1"/>
  <c r="H11423" i="1"/>
  <c r="I11423" i="1"/>
  <c r="J11423" i="1"/>
  <c r="K11423" i="1"/>
  <c r="L11423" i="1"/>
  <c r="A11424" i="1"/>
  <c r="B11424" i="1"/>
  <c r="C11424" i="1"/>
  <c r="D11424" i="1"/>
  <c r="E11424" i="1"/>
  <c r="F11424" i="1"/>
  <c r="G11424" i="1"/>
  <c r="H11424" i="1"/>
  <c r="I11424" i="1"/>
  <c r="J11424" i="1"/>
  <c r="K11424" i="1"/>
  <c r="L11424" i="1"/>
  <c r="A11425" i="1"/>
  <c r="B11425" i="1"/>
  <c r="C11425" i="1"/>
  <c r="D11425" i="1"/>
  <c r="E11425" i="1"/>
  <c r="F11425" i="1"/>
  <c r="G11425" i="1"/>
  <c r="H11425" i="1"/>
  <c r="I11425" i="1"/>
  <c r="J11425" i="1"/>
  <c r="K11425" i="1"/>
  <c r="L11425" i="1"/>
  <c r="A11426" i="1"/>
  <c r="B11426" i="1"/>
  <c r="C11426" i="1"/>
  <c r="D11426" i="1"/>
  <c r="E11426" i="1"/>
  <c r="F11426" i="1"/>
  <c r="G11426" i="1"/>
  <c r="H11426" i="1"/>
  <c r="I11426" i="1"/>
  <c r="J11426" i="1"/>
  <c r="K11426" i="1"/>
  <c r="L11426" i="1"/>
  <c r="A11427" i="1"/>
  <c r="B11427" i="1"/>
  <c r="C11427" i="1"/>
  <c r="D11427" i="1"/>
  <c r="E11427" i="1"/>
  <c r="F11427" i="1"/>
  <c r="G11427" i="1"/>
  <c r="H11427" i="1"/>
  <c r="I11427" i="1"/>
  <c r="J11427" i="1"/>
  <c r="K11427" i="1"/>
  <c r="L11427" i="1"/>
  <c r="A11428" i="1"/>
  <c r="B11428" i="1"/>
  <c r="C11428" i="1"/>
  <c r="D11428" i="1"/>
  <c r="E11428" i="1"/>
  <c r="F11428" i="1"/>
  <c r="G11428" i="1"/>
  <c r="H11428" i="1"/>
  <c r="I11428" i="1"/>
  <c r="J11428" i="1"/>
  <c r="K11428" i="1"/>
  <c r="L11428" i="1"/>
  <c r="A11429" i="1"/>
  <c r="B11429" i="1"/>
  <c r="C11429" i="1"/>
  <c r="D11429" i="1"/>
  <c r="E11429" i="1"/>
  <c r="F11429" i="1"/>
  <c r="G11429" i="1"/>
  <c r="H11429" i="1"/>
  <c r="I11429" i="1"/>
  <c r="J11429" i="1"/>
  <c r="K11429" i="1"/>
  <c r="L11429" i="1"/>
  <c r="A11430" i="1"/>
  <c r="B11430" i="1"/>
  <c r="C11430" i="1"/>
  <c r="D11430" i="1"/>
  <c r="E11430" i="1"/>
  <c r="F11430" i="1"/>
  <c r="G11430" i="1"/>
  <c r="H11430" i="1"/>
  <c r="I11430" i="1"/>
  <c r="J11430" i="1"/>
  <c r="K11430" i="1"/>
  <c r="L11430" i="1"/>
  <c r="A11431" i="1"/>
  <c r="B11431" i="1"/>
  <c r="C11431" i="1"/>
  <c r="D11431" i="1"/>
  <c r="E11431" i="1"/>
  <c r="F11431" i="1"/>
  <c r="G11431" i="1"/>
  <c r="H11431" i="1"/>
  <c r="I11431" i="1"/>
  <c r="J11431" i="1"/>
  <c r="K11431" i="1"/>
  <c r="L11431" i="1"/>
  <c r="A11432" i="1"/>
  <c r="B11432" i="1"/>
  <c r="C11432" i="1"/>
  <c r="D11432" i="1"/>
  <c r="E11432" i="1"/>
  <c r="F11432" i="1"/>
  <c r="G11432" i="1"/>
  <c r="H11432" i="1"/>
  <c r="I11432" i="1"/>
  <c r="J11432" i="1"/>
  <c r="K11432" i="1"/>
  <c r="L11432" i="1"/>
  <c r="A11433" i="1"/>
  <c r="B11433" i="1"/>
  <c r="C11433" i="1"/>
  <c r="D11433" i="1"/>
  <c r="E11433" i="1"/>
  <c r="F11433" i="1"/>
  <c r="G11433" i="1"/>
  <c r="H11433" i="1"/>
  <c r="I11433" i="1"/>
  <c r="J11433" i="1"/>
  <c r="K11433" i="1"/>
  <c r="L11433" i="1"/>
  <c r="A11434" i="1"/>
  <c r="B11434" i="1"/>
  <c r="C11434" i="1"/>
  <c r="D11434" i="1"/>
  <c r="E11434" i="1"/>
  <c r="F11434" i="1"/>
  <c r="G11434" i="1"/>
  <c r="H11434" i="1"/>
  <c r="I11434" i="1"/>
  <c r="J11434" i="1"/>
  <c r="K11434" i="1"/>
  <c r="L11434" i="1"/>
  <c r="A11435" i="1"/>
  <c r="B11435" i="1"/>
  <c r="C11435" i="1"/>
  <c r="D11435" i="1"/>
  <c r="E11435" i="1"/>
  <c r="F11435" i="1"/>
  <c r="G11435" i="1"/>
  <c r="H11435" i="1"/>
  <c r="I11435" i="1"/>
  <c r="J11435" i="1"/>
  <c r="K11435" i="1"/>
  <c r="L11435" i="1"/>
  <c r="A11436" i="1"/>
  <c r="B11436" i="1"/>
  <c r="C11436" i="1"/>
  <c r="D11436" i="1"/>
  <c r="E11436" i="1"/>
  <c r="F11436" i="1"/>
  <c r="G11436" i="1"/>
  <c r="H11436" i="1"/>
  <c r="I11436" i="1"/>
  <c r="J11436" i="1"/>
  <c r="K11436" i="1"/>
  <c r="L11436" i="1"/>
  <c r="A11437" i="1"/>
  <c r="B11437" i="1"/>
  <c r="C11437" i="1"/>
  <c r="D11437" i="1"/>
  <c r="E11437" i="1"/>
  <c r="F11437" i="1"/>
  <c r="G11437" i="1"/>
  <c r="H11437" i="1"/>
  <c r="I11437" i="1"/>
  <c r="J11437" i="1"/>
  <c r="K11437" i="1"/>
  <c r="L11437" i="1"/>
  <c r="A11438" i="1"/>
  <c r="B11438" i="1"/>
  <c r="C11438" i="1"/>
  <c r="D11438" i="1"/>
  <c r="E11438" i="1"/>
  <c r="F11438" i="1"/>
  <c r="G11438" i="1"/>
  <c r="H11438" i="1"/>
  <c r="I11438" i="1"/>
  <c r="J11438" i="1"/>
  <c r="K11438" i="1"/>
  <c r="L11438" i="1"/>
  <c r="A11439" i="1"/>
  <c r="B11439" i="1"/>
  <c r="C11439" i="1"/>
  <c r="D11439" i="1"/>
  <c r="E11439" i="1"/>
  <c r="F11439" i="1"/>
  <c r="G11439" i="1"/>
  <c r="H11439" i="1"/>
  <c r="I11439" i="1"/>
  <c r="J11439" i="1"/>
  <c r="K11439" i="1"/>
  <c r="L11439" i="1"/>
  <c r="A11440" i="1"/>
  <c r="B11440" i="1"/>
  <c r="C11440" i="1"/>
  <c r="D11440" i="1"/>
  <c r="E11440" i="1"/>
  <c r="F11440" i="1"/>
  <c r="G11440" i="1"/>
  <c r="H11440" i="1"/>
  <c r="I11440" i="1"/>
  <c r="J11440" i="1"/>
  <c r="K11440" i="1"/>
  <c r="L11440" i="1"/>
  <c r="A11441" i="1"/>
  <c r="B11441" i="1"/>
  <c r="C11441" i="1"/>
  <c r="D11441" i="1"/>
  <c r="E11441" i="1"/>
  <c r="F11441" i="1"/>
  <c r="G11441" i="1"/>
  <c r="H11441" i="1"/>
  <c r="I11441" i="1"/>
  <c r="J11441" i="1"/>
  <c r="K11441" i="1"/>
  <c r="L11441" i="1"/>
  <c r="A11442" i="1"/>
  <c r="B11442" i="1"/>
  <c r="C11442" i="1"/>
  <c r="D11442" i="1"/>
  <c r="E11442" i="1"/>
  <c r="F11442" i="1"/>
  <c r="G11442" i="1"/>
  <c r="H11442" i="1"/>
  <c r="I11442" i="1"/>
  <c r="J11442" i="1"/>
  <c r="K11442" i="1"/>
  <c r="L11442" i="1"/>
  <c r="A11443" i="1"/>
  <c r="B11443" i="1"/>
  <c r="C11443" i="1"/>
  <c r="D11443" i="1"/>
  <c r="E11443" i="1"/>
  <c r="F11443" i="1"/>
  <c r="G11443" i="1"/>
  <c r="H11443" i="1"/>
  <c r="I11443" i="1"/>
  <c r="J11443" i="1"/>
  <c r="K11443" i="1"/>
  <c r="L11443" i="1"/>
  <c r="A11444" i="1"/>
  <c r="B11444" i="1"/>
  <c r="C11444" i="1"/>
  <c r="D11444" i="1"/>
  <c r="E11444" i="1"/>
  <c r="F11444" i="1"/>
  <c r="G11444" i="1"/>
  <c r="H11444" i="1"/>
  <c r="I11444" i="1"/>
  <c r="J11444" i="1"/>
  <c r="K11444" i="1"/>
  <c r="L11444" i="1"/>
  <c r="A11445" i="1"/>
  <c r="B11445" i="1"/>
  <c r="C11445" i="1"/>
  <c r="D11445" i="1"/>
  <c r="E11445" i="1"/>
  <c r="F11445" i="1"/>
  <c r="G11445" i="1"/>
  <c r="H11445" i="1"/>
  <c r="I11445" i="1"/>
  <c r="J11445" i="1"/>
  <c r="K11445" i="1"/>
  <c r="L11445" i="1"/>
  <c r="A11446" i="1"/>
  <c r="B11446" i="1"/>
  <c r="C11446" i="1"/>
  <c r="D11446" i="1"/>
  <c r="E11446" i="1"/>
  <c r="F11446" i="1"/>
  <c r="G11446" i="1"/>
  <c r="H11446" i="1"/>
  <c r="I11446" i="1"/>
  <c r="J11446" i="1"/>
  <c r="K11446" i="1"/>
  <c r="L11446" i="1"/>
  <c r="A11447" i="1"/>
  <c r="B11447" i="1"/>
  <c r="C11447" i="1"/>
  <c r="D11447" i="1"/>
  <c r="E11447" i="1"/>
  <c r="F11447" i="1"/>
  <c r="G11447" i="1"/>
  <c r="H11447" i="1"/>
  <c r="I11447" i="1"/>
  <c r="J11447" i="1"/>
  <c r="K11447" i="1"/>
  <c r="L11447" i="1"/>
  <c r="A11448" i="1"/>
  <c r="B11448" i="1"/>
  <c r="C11448" i="1"/>
  <c r="D11448" i="1"/>
  <c r="E11448" i="1"/>
  <c r="F11448" i="1"/>
  <c r="G11448" i="1"/>
  <c r="H11448" i="1"/>
  <c r="I11448" i="1"/>
  <c r="J11448" i="1"/>
  <c r="K11448" i="1"/>
  <c r="L11448" i="1"/>
  <c r="A11449" i="1"/>
  <c r="B11449" i="1"/>
  <c r="C11449" i="1"/>
  <c r="D11449" i="1"/>
  <c r="E11449" i="1"/>
  <c r="F11449" i="1"/>
  <c r="G11449" i="1"/>
  <c r="H11449" i="1"/>
  <c r="I11449" i="1"/>
  <c r="J11449" i="1"/>
  <c r="K11449" i="1"/>
  <c r="L11449" i="1"/>
  <c r="A11450" i="1"/>
  <c r="B11450" i="1"/>
  <c r="C11450" i="1"/>
  <c r="D11450" i="1"/>
  <c r="E11450" i="1"/>
  <c r="F11450" i="1"/>
  <c r="G11450" i="1"/>
  <c r="H11450" i="1"/>
  <c r="I11450" i="1"/>
  <c r="J11450" i="1"/>
  <c r="K11450" i="1"/>
  <c r="L11450" i="1"/>
  <c r="A11451" i="1"/>
  <c r="B11451" i="1"/>
  <c r="C11451" i="1"/>
  <c r="D11451" i="1"/>
  <c r="E11451" i="1"/>
  <c r="F11451" i="1"/>
  <c r="G11451" i="1"/>
  <c r="H11451" i="1"/>
  <c r="I11451" i="1"/>
  <c r="J11451" i="1"/>
  <c r="K11451" i="1"/>
  <c r="L11451" i="1"/>
  <c r="A11452" i="1"/>
  <c r="B11452" i="1"/>
  <c r="C11452" i="1"/>
  <c r="D11452" i="1"/>
  <c r="E11452" i="1"/>
  <c r="F11452" i="1"/>
  <c r="G11452" i="1"/>
  <c r="H11452" i="1"/>
  <c r="I11452" i="1"/>
  <c r="J11452" i="1"/>
  <c r="K11452" i="1"/>
  <c r="L11452" i="1"/>
  <c r="A11453" i="1"/>
  <c r="B11453" i="1"/>
  <c r="C11453" i="1"/>
  <c r="D11453" i="1"/>
  <c r="E11453" i="1"/>
  <c r="F11453" i="1"/>
  <c r="G11453" i="1"/>
  <c r="H11453" i="1"/>
  <c r="I11453" i="1"/>
  <c r="J11453" i="1"/>
  <c r="K11453" i="1"/>
  <c r="L11453" i="1"/>
  <c r="A11454" i="1"/>
  <c r="B11454" i="1"/>
  <c r="C11454" i="1"/>
  <c r="D11454" i="1"/>
  <c r="E11454" i="1"/>
  <c r="F11454" i="1"/>
  <c r="G11454" i="1"/>
  <c r="H11454" i="1"/>
  <c r="I11454" i="1"/>
  <c r="J11454" i="1"/>
  <c r="K11454" i="1"/>
  <c r="L11454" i="1"/>
  <c r="A11455" i="1"/>
  <c r="B11455" i="1"/>
  <c r="C11455" i="1"/>
  <c r="D11455" i="1"/>
  <c r="E11455" i="1"/>
  <c r="F11455" i="1"/>
  <c r="G11455" i="1"/>
  <c r="H11455" i="1"/>
  <c r="I11455" i="1"/>
  <c r="J11455" i="1"/>
  <c r="K11455" i="1"/>
  <c r="L11455" i="1"/>
  <c r="A11456" i="1"/>
  <c r="B11456" i="1"/>
  <c r="C11456" i="1"/>
  <c r="D11456" i="1"/>
  <c r="E11456" i="1"/>
  <c r="F11456" i="1"/>
  <c r="G11456" i="1"/>
  <c r="H11456" i="1"/>
  <c r="I11456" i="1"/>
  <c r="J11456" i="1"/>
  <c r="K11456" i="1"/>
  <c r="L11456" i="1"/>
  <c r="A11457" i="1"/>
  <c r="B11457" i="1"/>
  <c r="C11457" i="1"/>
  <c r="D11457" i="1"/>
  <c r="E11457" i="1"/>
  <c r="F11457" i="1"/>
  <c r="G11457" i="1"/>
  <c r="H11457" i="1"/>
  <c r="I11457" i="1"/>
  <c r="J11457" i="1"/>
  <c r="K11457" i="1"/>
  <c r="L11457" i="1"/>
  <c r="A11458" i="1"/>
  <c r="B11458" i="1"/>
  <c r="C11458" i="1"/>
  <c r="D11458" i="1"/>
  <c r="E11458" i="1"/>
  <c r="F11458" i="1"/>
  <c r="G11458" i="1"/>
  <c r="H11458" i="1"/>
  <c r="I11458" i="1"/>
  <c r="J11458" i="1"/>
  <c r="K11458" i="1"/>
  <c r="L11458" i="1"/>
  <c r="A11459" i="1"/>
  <c r="B11459" i="1"/>
  <c r="C11459" i="1"/>
  <c r="D11459" i="1"/>
  <c r="E11459" i="1"/>
  <c r="F11459" i="1"/>
  <c r="G11459" i="1"/>
  <c r="H11459" i="1"/>
  <c r="I11459" i="1"/>
  <c r="J11459" i="1"/>
  <c r="K11459" i="1"/>
  <c r="L11459" i="1"/>
  <c r="A11460" i="1"/>
  <c r="B11460" i="1"/>
  <c r="C11460" i="1"/>
  <c r="D11460" i="1"/>
  <c r="E11460" i="1"/>
  <c r="F11460" i="1"/>
  <c r="G11460" i="1"/>
  <c r="H11460" i="1"/>
  <c r="I11460" i="1"/>
  <c r="J11460" i="1"/>
  <c r="K11460" i="1"/>
  <c r="L11460" i="1"/>
  <c r="A11461" i="1"/>
  <c r="B11461" i="1"/>
  <c r="C11461" i="1"/>
  <c r="D11461" i="1"/>
  <c r="E11461" i="1"/>
  <c r="F11461" i="1"/>
  <c r="G11461" i="1"/>
  <c r="H11461" i="1"/>
  <c r="I11461" i="1"/>
  <c r="J11461" i="1"/>
  <c r="K11461" i="1"/>
  <c r="L11461" i="1"/>
  <c r="A11462" i="1"/>
  <c r="B11462" i="1"/>
  <c r="C11462" i="1"/>
  <c r="D11462" i="1"/>
  <c r="E11462" i="1"/>
  <c r="F11462" i="1"/>
  <c r="G11462" i="1"/>
  <c r="H11462" i="1"/>
  <c r="I11462" i="1"/>
  <c r="J11462" i="1"/>
  <c r="K11462" i="1"/>
  <c r="L11462" i="1"/>
  <c r="A11463" i="1"/>
  <c r="B11463" i="1"/>
  <c r="C11463" i="1"/>
  <c r="D11463" i="1"/>
  <c r="E11463" i="1"/>
  <c r="F11463" i="1"/>
  <c r="G11463" i="1"/>
  <c r="H11463" i="1"/>
  <c r="I11463" i="1"/>
  <c r="J11463" i="1"/>
  <c r="K11463" i="1"/>
  <c r="L11463" i="1"/>
  <c r="A11464" i="1"/>
  <c r="B11464" i="1"/>
  <c r="C11464" i="1"/>
  <c r="D11464" i="1"/>
  <c r="E11464" i="1"/>
  <c r="F11464" i="1"/>
  <c r="G11464" i="1"/>
  <c r="H11464" i="1"/>
  <c r="I11464" i="1"/>
  <c r="J11464" i="1"/>
  <c r="K11464" i="1"/>
  <c r="L11464" i="1"/>
  <c r="A11465" i="1"/>
  <c r="B11465" i="1"/>
  <c r="C11465" i="1"/>
  <c r="D11465" i="1"/>
  <c r="E11465" i="1"/>
  <c r="F11465" i="1"/>
  <c r="G11465" i="1"/>
  <c r="H11465" i="1"/>
  <c r="I11465" i="1"/>
  <c r="J11465" i="1"/>
  <c r="K11465" i="1"/>
  <c r="L11465" i="1"/>
  <c r="A11466" i="1"/>
  <c r="B11466" i="1"/>
  <c r="C11466" i="1"/>
  <c r="D11466" i="1"/>
  <c r="E11466" i="1"/>
  <c r="F11466" i="1"/>
  <c r="G11466" i="1"/>
  <c r="H11466" i="1"/>
  <c r="I11466" i="1"/>
  <c r="J11466" i="1"/>
  <c r="K11466" i="1"/>
  <c r="L11466" i="1"/>
  <c r="A11467" i="1"/>
  <c r="B11467" i="1"/>
  <c r="C11467" i="1"/>
  <c r="D11467" i="1"/>
  <c r="E11467" i="1"/>
  <c r="F11467" i="1"/>
  <c r="G11467" i="1"/>
  <c r="H11467" i="1"/>
  <c r="I11467" i="1"/>
  <c r="J11467" i="1"/>
  <c r="K11467" i="1"/>
  <c r="L11467" i="1"/>
  <c r="A11468" i="1"/>
  <c r="B11468" i="1"/>
  <c r="C11468" i="1"/>
  <c r="D11468" i="1"/>
  <c r="E11468" i="1"/>
  <c r="F11468" i="1"/>
  <c r="G11468" i="1"/>
  <c r="H11468" i="1"/>
  <c r="I11468" i="1"/>
  <c r="J11468" i="1"/>
  <c r="K11468" i="1"/>
  <c r="L11468" i="1"/>
  <c r="A11469" i="1"/>
  <c r="B11469" i="1"/>
  <c r="C11469" i="1"/>
  <c r="D11469" i="1"/>
  <c r="E11469" i="1"/>
  <c r="F11469" i="1"/>
  <c r="G11469" i="1"/>
  <c r="H11469" i="1"/>
  <c r="I11469" i="1"/>
  <c r="J11469" i="1"/>
  <c r="K11469" i="1"/>
  <c r="L11469" i="1"/>
  <c r="A11470" i="1"/>
  <c r="B11470" i="1"/>
  <c r="C11470" i="1"/>
  <c r="D11470" i="1"/>
  <c r="E11470" i="1"/>
  <c r="F11470" i="1"/>
  <c r="G11470" i="1"/>
  <c r="H11470" i="1"/>
  <c r="I11470" i="1"/>
  <c r="J11470" i="1"/>
  <c r="K11470" i="1"/>
  <c r="L11470" i="1"/>
  <c r="A11471" i="1"/>
  <c r="B11471" i="1"/>
  <c r="C11471" i="1"/>
  <c r="D11471" i="1"/>
  <c r="E11471" i="1"/>
  <c r="F11471" i="1"/>
  <c r="G11471" i="1"/>
  <c r="H11471" i="1"/>
  <c r="I11471" i="1"/>
  <c r="J11471" i="1"/>
  <c r="K11471" i="1"/>
  <c r="L11471" i="1"/>
  <c r="A11472" i="1"/>
  <c r="B11472" i="1"/>
  <c r="C11472" i="1"/>
  <c r="D11472" i="1"/>
  <c r="E11472" i="1"/>
  <c r="F11472" i="1"/>
  <c r="G11472" i="1"/>
  <c r="H11472" i="1"/>
  <c r="I11472" i="1"/>
  <c r="J11472" i="1"/>
  <c r="K11472" i="1"/>
  <c r="L11472" i="1"/>
  <c r="A11473" i="1"/>
  <c r="B11473" i="1"/>
  <c r="C11473" i="1"/>
  <c r="D11473" i="1"/>
  <c r="E11473" i="1"/>
  <c r="F11473" i="1"/>
  <c r="G11473" i="1"/>
  <c r="H11473" i="1"/>
  <c r="I11473" i="1"/>
  <c r="J11473" i="1"/>
  <c r="K11473" i="1"/>
  <c r="L11473" i="1"/>
  <c r="A11474" i="1"/>
  <c r="B11474" i="1"/>
  <c r="C11474" i="1"/>
  <c r="D11474" i="1"/>
  <c r="E11474" i="1"/>
  <c r="F11474" i="1"/>
  <c r="G11474" i="1"/>
  <c r="H11474" i="1"/>
  <c r="I11474" i="1"/>
  <c r="J11474" i="1"/>
  <c r="K11474" i="1"/>
  <c r="L11474" i="1"/>
  <c r="A11475" i="1"/>
  <c r="B11475" i="1"/>
  <c r="C11475" i="1"/>
  <c r="D11475" i="1"/>
  <c r="E11475" i="1"/>
  <c r="F11475" i="1"/>
  <c r="G11475" i="1"/>
  <c r="H11475" i="1"/>
  <c r="I11475" i="1"/>
  <c r="J11475" i="1"/>
  <c r="K11475" i="1"/>
  <c r="L11475" i="1"/>
  <c r="A11476" i="1"/>
  <c r="B11476" i="1"/>
  <c r="C11476" i="1"/>
  <c r="D11476" i="1"/>
  <c r="E11476" i="1"/>
  <c r="F11476" i="1"/>
  <c r="G11476" i="1"/>
  <c r="H11476" i="1"/>
  <c r="I11476" i="1"/>
  <c r="J11476" i="1"/>
  <c r="K11476" i="1"/>
  <c r="L11476" i="1"/>
  <c r="A11477" i="1"/>
  <c r="B11477" i="1"/>
  <c r="C11477" i="1"/>
  <c r="D11477" i="1"/>
  <c r="E11477" i="1"/>
  <c r="F11477" i="1"/>
  <c r="G11477" i="1"/>
  <c r="H11477" i="1"/>
  <c r="I11477" i="1"/>
  <c r="J11477" i="1"/>
  <c r="K11477" i="1"/>
  <c r="L11477" i="1"/>
  <c r="A11478" i="1"/>
  <c r="B11478" i="1"/>
  <c r="C11478" i="1"/>
  <c r="D11478" i="1"/>
  <c r="E11478" i="1"/>
  <c r="F11478" i="1"/>
  <c r="G11478" i="1"/>
  <c r="H11478" i="1"/>
  <c r="I11478" i="1"/>
  <c r="J11478" i="1"/>
  <c r="K11478" i="1"/>
  <c r="L11478" i="1"/>
  <c r="A11479" i="1"/>
  <c r="B11479" i="1"/>
  <c r="C11479" i="1"/>
  <c r="D11479" i="1"/>
  <c r="E11479" i="1"/>
  <c r="F11479" i="1"/>
  <c r="G11479" i="1"/>
  <c r="H11479" i="1"/>
  <c r="I11479" i="1"/>
  <c r="J11479" i="1"/>
  <c r="K11479" i="1"/>
  <c r="L11479" i="1"/>
  <c r="A11480" i="1"/>
  <c r="B11480" i="1"/>
  <c r="C11480" i="1"/>
  <c r="D11480" i="1"/>
  <c r="E11480" i="1"/>
  <c r="F11480" i="1"/>
  <c r="G11480" i="1"/>
  <c r="H11480" i="1"/>
  <c r="I11480" i="1"/>
  <c r="J11480" i="1"/>
  <c r="K11480" i="1"/>
  <c r="L11480" i="1"/>
  <c r="A11481" i="1"/>
  <c r="B11481" i="1"/>
  <c r="C11481" i="1"/>
  <c r="D11481" i="1"/>
  <c r="E11481" i="1"/>
  <c r="F11481" i="1"/>
  <c r="G11481" i="1"/>
  <c r="H11481" i="1"/>
  <c r="I11481" i="1"/>
  <c r="J11481" i="1"/>
  <c r="K11481" i="1"/>
  <c r="L11481" i="1"/>
  <c r="A11482" i="1"/>
  <c r="B11482" i="1"/>
  <c r="C11482" i="1"/>
  <c r="D11482" i="1"/>
  <c r="E11482" i="1"/>
  <c r="F11482" i="1"/>
  <c r="G11482" i="1"/>
  <c r="H11482" i="1"/>
  <c r="I11482" i="1"/>
  <c r="J11482" i="1"/>
  <c r="K11482" i="1"/>
  <c r="L11482" i="1"/>
  <c r="A11483" i="1"/>
  <c r="B11483" i="1"/>
  <c r="C11483" i="1"/>
  <c r="D11483" i="1"/>
  <c r="E11483" i="1"/>
  <c r="F11483" i="1"/>
  <c r="G11483" i="1"/>
  <c r="H11483" i="1"/>
  <c r="I11483" i="1"/>
  <c r="J11483" i="1"/>
  <c r="K11483" i="1"/>
  <c r="L11483" i="1"/>
  <c r="A11484" i="1"/>
  <c r="B11484" i="1"/>
  <c r="C11484" i="1"/>
  <c r="D11484" i="1"/>
  <c r="E11484" i="1"/>
  <c r="F11484" i="1"/>
  <c r="G11484" i="1"/>
  <c r="H11484" i="1"/>
  <c r="I11484" i="1"/>
  <c r="J11484" i="1"/>
  <c r="K11484" i="1"/>
  <c r="L11484" i="1"/>
  <c r="A11485" i="1"/>
  <c r="B11485" i="1"/>
  <c r="C11485" i="1"/>
  <c r="D11485" i="1"/>
  <c r="E11485" i="1"/>
  <c r="F11485" i="1"/>
  <c r="G11485" i="1"/>
  <c r="H11485" i="1"/>
  <c r="I11485" i="1"/>
  <c r="J11485" i="1"/>
  <c r="K11485" i="1"/>
  <c r="L11485" i="1"/>
  <c r="A11486" i="1"/>
  <c r="B11486" i="1"/>
  <c r="C11486" i="1"/>
  <c r="D11486" i="1"/>
  <c r="E11486" i="1"/>
  <c r="F11486" i="1"/>
  <c r="G11486" i="1"/>
  <c r="H11486" i="1"/>
  <c r="I11486" i="1"/>
  <c r="J11486" i="1"/>
  <c r="K11486" i="1"/>
  <c r="L11486" i="1"/>
  <c r="A11487" i="1"/>
  <c r="B11487" i="1"/>
  <c r="C11487" i="1"/>
  <c r="D11487" i="1"/>
  <c r="E11487" i="1"/>
  <c r="F11487" i="1"/>
  <c r="G11487" i="1"/>
  <c r="H11487" i="1"/>
  <c r="I11487" i="1"/>
  <c r="J11487" i="1"/>
  <c r="K11487" i="1"/>
  <c r="L11487" i="1"/>
  <c r="A11488" i="1"/>
  <c r="B11488" i="1"/>
  <c r="C11488" i="1"/>
  <c r="D11488" i="1"/>
  <c r="E11488" i="1"/>
  <c r="F11488" i="1"/>
  <c r="G11488" i="1"/>
  <c r="H11488" i="1"/>
  <c r="I11488" i="1"/>
  <c r="J11488" i="1"/>
  <c r="K11488" i="1"/>
  <c r="L11488" i="1"/>
  <c r="A11489" i="1"/>
  <c r="B11489" i="1"/>
  <c r="C11489" i="1"/>
  <c r="D11489" i="1"/>
  <c r="E11489" i="1"/>
  <c r="F11489" i="1"/>
  <c r="G11489" i="1"/>
  <c r="H11489" i="1"/>
  <c r="I11489" i="1"/>
  <c r="J11489" i="1"/>
  <c r="K11489" i="1"/>
  <c r="L11489" i="1"/>
  <c r="A11490" i="1"/>
  <c r="B11490" i="1"/>
  <c r="C11490" i="1"/>
  <c r="D11490" i="1"/>
  <c r="E11490" i="1"/>
  <c r="F11490" i="1"/>
  <c r="G11490" i="1"/>
  <c r="H11490" i="1"/>
  <c r="I11490" i="1"/>
  <c r="J11490" i="1"/>
  <c r="K11490" i="1"/>
  <c r="L11490" i="1"/>
  <c r="A11491" i="1"/>
  <c r="B11491" i="1"/>
  <c r="C11491" i="1"/>
  <c r="D11491" i="1"/>
  <c r="E11491" i="1"/>
  <c r="F11491" i="1"/>
  <c r="G11491" i="1"/>
  <c r="H11491" i="1"/>
  <c r="I11491" i="1"/>
  <c r="J11491" i="1"/>
  <c r="K11491" i="1"/>
  <c r="L11491" i="1"/>
  <c r="A11492" i="1"/>
  <c r="B11492" i="1"/>
  <c r="C11492" i="1"/>
  <c r="D11492" i="1"/>
  <c r="E11492" i="1"/>
  <c r="F11492" i="1"/>
  <c r="G11492" i="1"/>
  <c r="H11492" i="1"/>
  <c r="I11492" i="1"/>
  <c r="J11492" i="1"/>
  <c r="K11492" i="1"/>
  <c r="L11492" i="1"/>
  <c r="A11493" i="1"/>
  <c r="B11493" i="1"/>
  <c r="C11493" i="1"/>
  <c r="D11493" i="1"/>
  <c r="E11493" i="1"/>
  <c r="F11493" i="1"/>
  <c r="G11493" i="1"/>
  <c r="H11493" i="1"/>
  <c r="I11493" i="1"/>
  <c r="J11493" i="1"/>
  <c r="K11493" i="1"/>
  <c r="L11493" i="1"/>
  <c r="A11494" i="1"/>
  <c r="B11494" i="1"/>
  <c r="C11494" i="1"/>
  <c r="D11494" i="1"/>
  <c r="E11494" i="1"/>
  <c r="F11494" i="1"/>
  <c r="G11494" i="1"/>
  <c r="H11494" i="1"/>
  <c r="I11494" i="1"/>
  <c r="J11494" i="1"/>
  <c r="K11494" i="1"/>
  <c r="L11494" i="1"/>
  <c r="A11495" i="1"/>
  <c r="B11495" i="1"/>
  <c r="C11495" i="1"/>
  <c r="D11495" i="1"/>
  <c r="E11495" i="1"/>
  <c r="F11495" i="1"/>
  <c r="G11495" i="1"/>
  <c r="H11495" i="1"/>
  <c r="I11495" i="1"/>
  <c r="J11495" i="1"/>
  <c r="K11495" i="1"/>
  <c r="L11495" i="1"/>
  <c r="A11496" i="1"/>
  <c r="B11496" i="1"/>
  <c r="C11496" i="1"/>
  <c r="D11496" i="1"/>
  <c r="E11496" i="1"/>
  <c r="F11496" i="1"/>
  <c r="G11496" i="1"/>
  <c r="H11496" i="1"/>
  <c r="I11496" i="1"/>
  <c r="J11496" i="1"/>
  <c r="K11496" i="1"/>
  <c r="L11496" i="1"/>
  <c r="A11497" i="1"/>
  <c r="B11497" i="1"/>
  <c r="C11497" i="1"/>
  <c r="D11497" i="1"/>
  <c r="E11497" i="1"/>
  <c r="F11497" i="1"/>
  <c r="G11497" i="1"/>
  <c r="H11497" i="1"/>
  <c r="I11497" i="1"/>
  <c r="J11497" i="1"/>
  <c r="K11497" i="1"/>
  <c r="L11497" i="1"/>
  <c r="A11498" i="1"/>
  <c r="B11498" i="1"/>
  <c r="C11498" i="1"/>
  <c r="D11498" i="1"/>
  <c r="E11498" i="1"/>
  <c r="F11498" i="1"/>
  <c r="G11498" i="1"/>
  <c r="H11498" i="1"/>
  <c r="I11498" i="1"/>
  <c r="J11498" i="1"/>
  <c r="K11498" i="1"/>
  <c r="L11498" i="1"/>
  <c r="A11499" i="1"/>
  <c r="B11499" i="1"/>
  <c r="C11499" i="1"/>
  <c r="D11499" i="1"/>
  <c r="E11499" i="1"/>
  <c r="F11499" i="1"/>
  <c r="G11499" i="1"/>
  <c r="H11499" i="1"/>
  <c r="I11499" i="1"/>
  <c r="J11499" i="1"/>
  <c r="K11499" i="1"/>
  <c r="L11499" i="1"/>
  <c r="A11500" i="1"/>
  <c r="B11500" i="1"/>
  <c r="C11500" i="1"/>
  <c r="D11500" i="1"/>
  <c r="E11500" i="1"/>
  <c r="F11500" i="1"/>
  <c r="G11500" i="1"/>
  <c r="H11500" i="1"/>
  <c r="I11500" i="1"/>
  <c r="J11500" i="1"/>
  <c r="K11500" i="1"/>
  <c r="L11500" i="1"/>
  <c r="A11501" i="1"/>
  <c r="B11501" i="1"/>
  <c r="C11501" i="1"/>
  <c r="D11501" i="1"/>
  <c r="E11501" i="1"/>
  <c r="F11501" i="1"/>
  <c r="G11501" i="1"/>
  <c r="H11501" i="1"/>
  <c r="I11501" i="1"/>
  <c r="J11501" i="1"/>
  <c r="K11501" i="1"/>
  <c r="L11501" i="1"/>
  <c r="A11502" i="1"/>
  <c r="B11502" i="1"/>
  <c r="C11502" i="1"/>
  <c r="D11502" i="1"/>
  <c r="E11502" i="1"/>
  <c r="F11502" i="1"/>
  <c r="G11502" i="1"/>
  <c r="H11502" i="1"/>
  <c r="I11502" i="1"/>
  <c r="J11502" i="1"/>
  <c r="K11502" i="1"/>
  <c r="L11502" i="1"/>
  <c r="A11503" i="1"/>
  <c r="B11503" i="1"/>
  <c r="C11503" i="1"/>
  <c r="D11503" i="1"/>
  <c r="E11503" i="1"/>
  <c r="F11503" i="1"/>
  <c r="G11503" i="1"/>
  <c r="H11503" i="1"/>
  <c r="I11503" i="1"/>
  <c r="J11503" i="1"/>
  <c r="K11503" i="1"/>
  <c r="L11503" i="1"/>
  <c r="A11504" i="1"/>
  <c r="B11504" i="1"/>
  <c r="C11504" i="1"/>
  <c r="D11504" i="1"/>
  <c r="E11504" i="1"/>
  <c r="F11504" i="1"/>
  <c r="G11504" i="1"/>
  <c r="H11504" i="1"/>
  <c r="I11504" i="1"/>
  <c r="J11504" i="1"/>
  <c r="K11504" i="1"/>
  <c r="L11504" i="1"/>
  <c r="A11505" i="1"/>
  <c r="B11505" i="1"/>
  <c r="C11505" i="1"/>
  <c r="D11505" i="1"/>
  <c r="E11505" i="1"/>
  <c r="F11505" i="1"/>
  <c r="G11505" i="1"/>
  <c r="H11505" i="1"/>
  <c r="I11505" i="1"/>
  <c r="J11505" i="1"/>
  <c r="K11505" i="1"/>
  <c r="L11505" i="1"/>
  <c r="A11506" i="1"/>
  <c r="B11506" i="1"/>
  <c r="C11506" i="1"/>
  <c r="D11506" i="1"/>
  <c r="E11506" i="1"/>
  <c r="F11506" i="1"/>
  <c r="G11506" i="1"/>
  <c r="H11506" i="1"/>
  <c r="I11506" i="1"/>
  <c r="J11506" i="1"/>
  <c r="K11506" i="1"/>
  <c r="L11506" i="1"/>
  <c r="A11507" i="1"/>
  <c r="B11507" i="1"/>
  <c r="C11507" i="1"/>
  <c r="D11507" i="1"/>
  <c r="E11507" i="1"/>
  <c r="F11507" i="1"/>
  <c r="G11507" i="1"/>
  <c r="H11507" i="1"/>
  <c r="I11507" i="1"/>
  <c r="J11507" i="1"/>
  <c r="K11507" i="1"/>
  <c r="L11507" i="1"/>
  <c r="A11508" i="1"/>
  <c r="B11508" i="1"/>
  <c r="C11508" i="1"/>
  <c r="D11508" i="1"/>
  <c r="E11508" i="1"/>
  <c r="F11508" i="1"/>
  <c r="G11508" i="1"/>
  <c r="H11508" i="1"/>
  <c r="I11508" i="1"/>
  <c r="J11508" i="1"/>
  <c r="K11508" i="1"/>
  <c r="L11508" i="1"/>
  <c r="A11509" i="1"/>
  <c r="B11509" i="1"/>
  <c r="C11509" i="1"/>
  <c r="D11509" i="1"/>
  <c r="E11509" i="1"/>
  <c r="F11509" i="1"/>
  <c r="G11509" i="1"/>
  <c r="H11509" i="1"/>
  <c r="I11509" i="1"/>
  <c r="J11509" i="1"/>
  <c r="K11509" i="1"/>
  <c r="L11509" i="1"/>
  <c r="A11510" i="1"/>
  <c r="B11510" i="1"/>
  <c r="C11510" i="1"/>
  <c r="D11510" i="1"/>
  <c r="E11510" i="1"/>
  <c r="F11510" i="1"/>
  <c r="G11510" i="1"/>
  <c r="H11510" i="1"/>
  <c r="I11510" i="1"/>
  <c r="J11510" i="1"/>
  <c r="K11510" i="1"/>
  <c r="L11510" i="1"/>
  <c r="A11511" i="1"/>
  <c r="B11511" i="1"/>
  <c r="C11511" i="1"/>
  <c r="D11511" i="1"/>
  <c r="E11511" i="1"/>
  <c r="F11511" i="1"/>
  <c r="G11511" i="1"/>
  <c r="H11511" i="1"/>
  <c r="I11511" i="1"/>
  <c r="J11511" i="1"/>
  <c r="K11511" i="1"/>
  <c r="L11511" i="1"/>
  <c r="A11512" i="1"/>
  <c r="B11512" i="1"/>
  <c r="C11512" i="1"/>
  <c r="D11512" i="1"/>
  <c r="E11512" i="1"/>
  <c r="F11512" i="1"/>
  <c r="G11512" i="1"/>
  <c r="H11512" i="1"/>
  <c r="I11512" i="1"/>
  <c r="J11512" i="1"/>
  <c r="K11512" i="1"/>
  <c r="L11512" i="1"/>
  <c r="A11513" i="1"/>
  <c r="B11513" i="1"/>
  <c r="C11513" i="1"/>
  <c r="D11513" i="1"/>
  <c r="E11513" i="1"/>
  <c r="F11513" i="1"/>
  <c r="G11513" i="1"/>
  <c r="H11513" i="1"/>
  <c r="I11513" i="1"/>
  <c r="J11513" i="1"/>
  <c r="K11513" i="1"/>
  <c r="L11513" i="1"/>
  <c r="A11514" i="1"/>
  <c r="B11514" i="1"/>
  <c r="C11514" i="1"/>
  <c r="D11514" i="1"/>
  <c r="E11514" i="1"/>
  <c r="F11514" i="1"/>
  <c r="G11514" i="1"/>
  <c r="H11514" i="1"/>
  <c r="I11514" i="1"/>
  <c r="J11514" i="1"/>
  <c r="K11514" i="1"/>
  <c r="L11514" i="1"/>
  <c r="A11515" i="1"/>
  <c r="B11515" i="1"/>
  <c r="C11515" i="1"/>
  <c r="D11515" i="1"/>
  <c r="E11515" i="1"/>
  <c r="F11515" i="1"/>
  <c r="G11515" i="1"/>
  <c r="H11515" i="1"/>
  <c r="I11515" i="1"/>
  <c r="J11515" i="1"/>
  <c r="K11515" i="1"/>
  <c r="L11515" i="1"/>
  <c r="A11516" i="1"/>
  <c r="B11516" i="1"/>
  <c r="C11516" i="1"/>
  <c r="D11516" i="1"/>
  <c r="E11516" i="1"/>
  <c r="F11516" i="1"/>
  <c r="G11516" i="1"/>
  <c r="H11516" i="1"/>
  <c r="I11516" i="1"/>
  <c r="J11516" i="1"/>
  <c r="K11516" i="1"/>
  <c r="L11516" i="1"/>
  <c r="A11517" i="1"/>
  <c r="B11517" i="1"/>
  <c r="C11517" i="1"/>
  <c r="D11517" i="1"/>
  <c r="E11517" i="1"/>
  <c r="F11517" i="1"/>
  <c r="G11517" i="1"/>
  <c r="H11517" i="1"/>
  <c r="I11517" i="1"/>
  <c r="J11517" i="1"/>
  <c r="K11517" i="1"/>
  <c r="L11517" i="1"/>
  <c r="A11518" i="1"/>
  <c r="B11518" i="1"/>
  <c r="C11518" i="1"/>
  <c r="D11518" i="1"/>
  <c r="E11518" i="1"/>
  <c r="F11518" i="1"/>
  <c r="G11518" i="1"/>
  <c r="H11518" i="1"/>
  <c r="I11518" i="1"/>
  <c r="J11518" i="1"/>
  <c r="K11518" i="1"/>
  <c r="L11518" i="1"/>
  <c r="A11519" i="1"/>
  <c r="B11519" i="1"/>
  <c r="C11519" i="1"/>
  <c r="D11519" i="1"/>
  <c r="E11519" i="1"/>
  <c r="F11519" i="1"/>
  <c r="G11519" i="1"/>
  <c r="H11519" i="1"/>
  <c r="I11519" i="1"/>
  <c r="J11519" i="1"/>
  <c r="K11519" i="1"/>
  <c r="L11519" i="1"/>
  <c r="A11520" i="1"/>
  <c r="B11520" i="1"/>
  <c r="C11520" i="1"/>
  <c r="D11520" i="1"/>
  <c r="E11520" i="1"/>
  <c r="F11520" i="1"/>
  <c r="G11520" i="1"/>
  <c r="H11520" i="1"/>
  <c r="I11520" i="1"/>
  <c r="J11520" i="1"/>
  <c r="K11520" i="1"/>
  <c r="L11520" i="1"/>
  <c r="A11521" i="1"/>
  <c r="B11521" i="1"/>
  <c r="C11521" i="1"/>
  <c r="D11521" i="1"/>
  <c r="E11521" i="1"/>
  <c r="F11521" i="1"/>
  <c r="G11521" i="1"/>
  <c r="H11521" i="1"/>
  <c r="I11521" i="1"/>
  <c r="J11521" i="1"/>
  <c r="K11521" i="1"/>
  <c r="L11521" i="1"/>
  <c r="A11522" i="1"/>
  <c r="B11522" i="1"/>
  <c r="C11522" i="1"/>
  <c r="D11522" i="1"/>
  <c r="E11522" i="1"/>
  <c r="F11522" i="1"/>
  <c r="G11522" i="1"/>
  <c r="H11522" i="1"/>
  <c r="I11522" i="1"/>
  <c r="J11522" i="1"/>
  <c r="K11522" i="1"/>
  <c r="L11522" i="1"/>
  <c r="A11523" i="1"/>
  <c r="B11523" i="1"/>
  <c r="C11523" i="1"/>
  <c r="D11523" i="1"/>
  <c r="E11523" i="1"/>
  <c r="F11523" i="1"/>
  <c r="G11523" i="1"/>
  <c r="H11523" i="1"/>
  <c r="I11523" i="1"/>
  <c r="J11523" i="1"/>
  <c r="K11523" i="1"/>
  <c r="L11523" i="1"/>
  <c r="A11524" i="1"/>
  <c r="B11524" i="1"/>
  <c r="C11524" i="1"/>
  <c r="D11524" i="1"/>
  <c r="E11524" i="1"/>
  <c r="F11524" i="1"/>
  <c r="G11524" i="1"/>
  <c r="H11524" i="1"/>
  <c r="I11524" i="1"/>
  <c r="J11524" i="1"/>
  <c r="K11524" i="1"/>
  <c r="L11524" i="1"/>
  <c r="A11525" i="1"/>
  <c r="B11525" i="1"/>
  <c r="C11525" i="1"/>
  <c r="D11525" i="1"/>
  <c r="E11525" i="1"/>
  <c r="F11525" i="1"/>
  <c r="G11525" i="1"/>
  <c r="H11525" i="1"/>
  <c r="I11525" i="1"/>
  <c r="J11525" i="1"/>
  <c r="K11525" i="1"/>
  <c r="L11525" i="1"/>
  <c r="A11526" i="1"/>
  <c r="B11526" i="1"/>
  <c r="C11526" i="1"/>
  <c r="D11526" i="1"/>
  <c r="E11526" i="1"/>
  <c r="F11526" i="1"/>
  <c r="G11526" i="1"/>
  <c r="H11526" i="1"/>
  <c r="I11526" i="1"/>
  <c r="J11526" i="1"/>
  <c r="K11526" i="1"/>
  <c r="L11526" i="1"/>
  <c r="A11527" i="1"/>
  <c r="B11527" i="1"/>
  <c r="C11527" i="1"/>
  <c r="D11527" i="1"/>
  <c r="E11527" i="1"/>
  <c r="F11527" i="1"/>
  <c r="G11527" i="1"/>
  <c r="H11527" i="1"/>
  <c r="I11527" i="1"/>
  <c r="J11527" i="1"/>
  <c r="K11527" i="1"/>
  <c r="L11527" i="1"/>
  <c r="A11528" i="1"/>
  <c r="B11528" i="1"/>
  <c r="C11528" i="1"/>
  <c r="D11528" i="1"/>
  <c r="E11528" i="1"/>
  <c r="F11528" i="1"/>
  <c r="G11528" i="1"/>
  <c r="H11528" i="1"/>
  <c r="I11528" i="1"/>
  <c r="J11528" i="1"/>
  <c r="K11528" i="1"/>
  <c r="L11528" i="1"/>
  <c r="A11529" i="1"/>
  <c r="B11529" i="1"/>
  <c r="C11529" i="1"/>
  <c r="D11529" i="1"/>
  <c r="E11529" i="1"/>
  <c r="F11529" i="1"/>
  <c r="G11529" i="1"/>
  <c r="H11529" i="1"/>
  <c r="I11529" i="1"/>
  <c r="J11529" i="1"/>
  <c r="K11529" i="1"/>
  <c r="L11529" i="1"/>
  <c r="A11530" i="1"/>
  <c r="B11530" i="1"/>
  <c r="C11530" i="1"/>
  <c r="D11530" i="1"/>
  <c r="E11530" i="1"/>
  <c r="F11530" i="1"/>
  <c r="G11530" i="1"/>
  <c r="H11530" i="1"/>
  <c r="I11530" i="1"/>
  <c r="J11530" i="1"/>
  <c r="K11530" i="1"/>
  <c r="L11530" i="1"/>
  <c r="A11531" i="1"/>
  <c r="B11531" i="1"/>
  <c r="C11531" i="1"/>
  <c r="D11531" i="1"/>
  <c r="E11531" i="1"/>
  <c r="F11531" i="1"/>
  <c r="G11531" i="1"/>
  <c r="H11531" i="1"/>
  <c r="I11531" i="1"/>
  <c r="J11531" i="1"/>
  <c r="K11531" i="1"/>
  <c r="L11531" i="1"/>
  <c r="A11532" i="1"/>
  <c r="B11532" i="1"/>
  <c r="C11532" i="1"/>
  <c r="D11532" i="1"/>
  <c r="E11532" i="1"/>
  <c r="F11532" i="1"/>
  <c r="G11532" i="1"/>
  <c r="H11532" i="1"/>
  <c r="I11532" i="1"/>
  <c r="J11532" i="1"/>
  <c r="K11532" i="1"/>
  <c r="L11532" i="1"/>
  <c r="A11533" i="1"/>
  <c r="B11533" i="1"/>
  <c r="C11533" i="1"/>
  <c r="D11533" i="1"/>
  <c r="E11533" i="1"/>
  <c r="F11533" i="1"/>
  <c r="G11533" i="1"/>
  <c r="H11533" i="1"/>
  <c r="I11533" i="1"/>
  <c r="J11533" i="1"/>
  <c r="K11533" i="1"/>
  <c r="L11533" i="1"/>
  <c r="A11534" i="1"/>
  <c r="B11534" i="1"/>
  <c r="C11534" i="1"/>
  <c r="D11534" i="1"/>
  <c r="E11534" i="1"/>
  <c r="F11534" i="1"/>
  <c r="G11534" i="1"/>
  <c r="H11534" i="1"/>
  <c r="I11534" i="1"/>
  <c r="J11534" i="1"/>
  <c r="K11534" i="1"/>
  <c r="L11534" i="1"/>
  <c r="A11535" i="1"/>
  <c r="B11535" i="1"/>
  <c r="C11535" i="1"/>
  <c r="D11535" i="1"/>
  <c r="E11535" i="1"/>
  <c r="F11535" i="1"/>
  <c r="G11535" i="1"/>
  <c r="H11535" i="1"/>
  <c r="I11535" i="1"/>
  <c r="J11535" i="1"/>
  <c r="K11535" i="1"/>
  <c r="L11535" i="1"/>
  <c r="A11536" i="1"/>
  <c r="B11536" i="1"/>
  <c r="C11536" i="1"/>
  <c r="D11536" i="1"/>
  <c r="E11536" i="1"/>
  <c r="F11536" i="1"/>
  <c r="G11536" i="1"/>
  <c r="H11536" i="1"/>
  <c r="I11536" i="1"/>
  <c r="J11536" i="1"/>
  <c r="K11536" i="1"/>
  <c r="L11536" i="1"/>
  <c r="A11537" i="1"/>
  <c r="B11537" i="1"/>
  <c r="C11537" i="1"/>
  <c r="D11537" i="1"/>
  <c r="E11537" i="1"/>
  <c r="F11537" i="1"/>
  <c r="G11537" i="1"/>
  <c r="H11537" i="1"/>
  <c r="I11537" i="1"/>
  <c r="J11537" i="1"/>
  <c r="K11537" i="1"/>
  <c r="L11537" i="1"/>
  <c r="A11538" i="1"/>
  <c r="B11538" i="1"/>
  <c r="C11538" i="1"/>
  <c r="D11538" i="1"/>
  <c r="E11538" i="1"/>
  <c r="F11538" i="1"/>
  <c r="G11538" i="1"/>
  <c r="H11538" i="1"/>
  <c r="I11538" i="1"/>
  <c r="J11538" i="1"/>
  <c r="K11538" i="1"/>
  <c r="L11538" i="1"/>
  <c r="A11539" i="1"/>
  <c r="B11539" i="1"/>
  <c r="C11539" i="1"/>
  <c r="D11539" i="1"/>
  <c r="E11539" i="1"/>
  <c r="F11539" i="1"/>
  <c r="G11539" i="1"/>
  <c r="H11539" i="1"/>
  <c r="I11539" i="1"/>
  <c r="J11539" i="1"/>
  <c r="K11539" i="1"/>
  <c r="L11539" i="1"/>
  <c r="A11540" i="1"/>
  <c r="B11540" i="1"/>
  <c r="C11540" i="1"/>
  <c r="D11540" i="1"/>
  <c r="E11540" i="1"/>
  <c r="F11540" i="1"/>
  <c r="G11540" i="1"/>
  <c r="H11540" i="1"/>
  <c r="I11540" i="1"/>
  <c r="J11540" i="1"/>
  <c r="K11540" i="1"/>
  <c r="L11540" i="1"/>
  <c r="A11541" i="1"/>
  <c r="B11541" i="1"/>
  <c r="C11541" i="1"/>
  <c r="D11541" i="1"/>
  <c r="E11541" i="1"/>
  <c r="F11541" i="1"/>
  <c r="G11541" i="1"/>
  <c r="H11541" i="1"/>
  <c r="I11541" i="1"/>
  <c r="J11541" i="1"/>
  <c r="K11541" i="1"/>
  <c r="L11541" i="1"/>
  <c r="A11542" i="1"/>
  <c r="B11542" i="1"/>
  <c r="C11542" i="1"/>
  <c r="D11542" i="1"/>
  <c r="E11542" i="1"/>
  <c r="F11542" i="1"/>
  <c r="G11542" i="1"/>
  <c r="H11542" i="1"/>
  <c r="I11542" i="1"/>
  <c r="J11542" i="1"/>
  <c r="K11542" i="1"/>
  <c r="L11542" i="1"/>
  <c r="A11543" i="1"/>
  <c r="B11543" i="1"/>
  <c r="C11543" i="1"/>
  <c r="D11543" i="1"/>
  <c r="E11543" i="1"/>
  <c r="F11543" i="1"/>
  <c r="G11543" i="1"/>
  <c r="H11543" i="1"/>
  <c r="I11543" i="1"/>
  <c r="J11543" i="1"/>
  <c r="K11543" i="1"/>
  <c r="L11543" i="1"/>
  <c r="A11544" i="1"/>
  <c r="B11544" i="1"/>
  <c r="C11544" i="1"/>
  <c r="D11544" i="1"/>
  <c r="E11544" i="1"/>
  <c r="F11544" i="1"/>
  <c r="G11544" i="1"/>
  <c r="H11544" i="1"/>
  <c r="I11544" i="1"/>
  <c r="J11544" i="1"/>
  <c r="K11544" i="1"/>
  <c r="L11544" i="1"/>
  <c r="A11545" i="1"/>
  <c r="B11545" i="1"/>
  <c r="C11545" i="1"/>
  <c r="D11545" i="1"/>
  <c r="E11545" i="1"/>
  <c r="F11545" i="1"/>
  <c r="G11545" i="1"/>
  <c r="H11545" i="1"/>
  <c r="I11545" i="1"/>
  <c r="J11545" i="1"/>
  <c r="K11545" i="1"/>
  <c r="L11545" i="1"/>
  <c r="A11546" i="1"/>
  <c r="B11546" i="1"/>
  <c r="C11546" i="1"/>
  <c r="D11546" i="1"/>
  <c r="E11546" i="1"/>
  <c r="F11546" i="1"/>
  <c r="G11546" i="1"/>
  <c r="H11546" i="1"/>
  <c r="I11546" i="1"/>
  <c r="J11546" i="1"/>
  <c r="K11546" i="1"/>
  <c r="L11546" i="1"/>
  <c r="A11547" i="1"/>
  <c r="B11547" i="1"/>
  <c r="C11547" i="1"/>
  <c r="D11547" i="1"/>
  <c r="E11547" i="1"/>
  <c r="F11547" i="1"/>
  <c r="G11547" i="1"/>
  <c r="H11547" i="1"/>
  <c r="I11547" i="1"/>
  <c r="J11547" i="1"/>
  <c r="K11547" i="1"/>
  <c r="L11547" i="1"/>
  <c r="A11548" i="1"/>
  <c r="B11548" i="1"/>
  <c r="C11548" i="1"/>
  <c r="D11548" i="1"/>
  <c r="E11548" i="1"/>
  <c r="F11548" i="1"/>
  <c r="G11548" i="1"/>
  <c r="H11548" i="1"/>
  <c r="I11548" i="1"/>
  <c r="J11548" i="1"/>
  <c r="K11548" i="1"/>
  <c r="L11548" i="1"/>
  <c r="A11549" i="1"/>
  <c r="B11549" i="1"/>
  <c r="C11549" i="1"/>
  <c r="D11549" i="1"/>
  <c r="E11549" i="1"/>
  <c r="F11549" i="1"/>
  <c r="G11549" i="1"/>
  <c r="H11549" i="1"/>
  <c r="I11549" i="1"/>
  <c r="J11549" i="1"/>
  <c r="K11549" i="1"/>
  <c r="L11549" i="1"/>
  <c r="A11550" i="1"/>
  <c r="B11550" i="1"/>
  <c r="C11550" i="1"/>
  <c r="D11550" i="1"/>
  <c r="E11550" i="1"/>
  <c r="F11550" i="1"/>
  <c r="G11550" i="1"/>
  <c r="H11550" i="1"/>
  <c r="I11550" i="1"/>
  <c r="J11550" i="1"/>
  <c r="K11550" i="1"/>
  <c r="L11550" i="1"/>
  <c r="A11551" i="1"/>
  <c r="B11551" i="1"/>
  <c r="C11551" i="1"/>
  <c r="D11551" i="1"/>
  <c r="E11551" i="1"/>
  <c r="F11551" i="1"/>
  <c r="G11551" i="1"/>
  <c r="H11551" i="1"/>
  <c r="I11551" i="1"/>
  <c r="J11551" i="1"/>
  <c r="K11551" i="1"/>
  <c r="L11551" i="1"/>
  <c r="A11552" i="1"/>
  <c r="B11552" i="1"/>
  <c r="C11552" i="1"/>
  <c r="D11552" i="1"/>
  <c r="E11552" i="1"/>
  <c r="F11552" i="1"/>
  <c r="G11552" i="1"/>
  <c r="H11552" i="1"/>
  <c r="I11552" i="1"/>
  <c r="J11552" i="1"/>
  <c r="K11552" i="1"/>
  <c r="L11552" i="1"/>
  <c r="A11553" i="1"/>
  <c r="B11553" i="1"/>
  <c r="C11553" i="1"/>
  <c r="D11553" i="1"/>
  <c r="E11553" i="1"/>
  <c r="F11553" i="1"/>
  <c r="G11553" i="1"/>
  <c r="H11553" i="1"/>
  <c r="I11553" i="1"/>
  <c r="J11553" i="1"/>
  <c r="K11553" i="1"/>
  <c r="L11553" i="1"/>
  <c r="A11554" i="1"/>
  <c r="B11554" i="1"/>
  <c r="C11554" i="1"/>
  <c r="D11554" i="1"/>
  <c r="E11554" i="1"/>
  <c r="F11554" i="1"/>
  <c r="G11554" i="1"/>
  <c r="H11554" i="1"/>
  <c r="I11554" i="1"/>
  <c r="J11554" i="1"/>
  <c r="K11554" i="1"/>
  <c r="L11554" i="1"/>
  <c r="A11555" i="1"/>
  <c r="B11555" i="1"/>
  <c r="C11555" i="1"/>
  <c r="D11555" i="1"/>
  <c r="E11555" i="1"/>
  <c r="F11555" i="1"/>
  <c r="G11555" i="1"/>
  <c r="H11555" i="1"/>
  <c r="I11555" i="1"/>
  <c r="J11555" i="1"/>
  <c r="K11555" i="1"/>
  <c r="L11555" i="1"/>
  <c r="A11556" i="1"/>
  <c r="B11556" i="1"/>
  <c r="C11556" i="1"/>
  <c r="D11556" i="1"/>
  <c r="E11556" i="1"/>
  <c r="F11556" i="1"/>
  <c r="G11556" i="1"/>
  <c r="H11556" i="1"/>
  <c r="I11556" i="1"/>
  <c r="J11556" i="1"/>
  <c r="K11556" i="1"/>
  <c r="L11556" i="1"/>
  <c r="A11557" i="1"/>
  <c r="B11557" i="1"/>
  <c r="C11557" i="1"/>
  <c r="D11557" i="1"/>
  <c r="E11557" i="1"/>
  <c r="F11557" i="1"/>
  <c r="G11557" i="1"/>
  <c r="H11557" i="1"/>
  <c r="I11557" i="1"/>
  <c r="J11557" i="1"/>
  <c r="K11557" i="1"/>
  <c r="L11557" i="1"/>
  <c r="A11558" i="1"/>
  <c r="B11558" i="1"/>
  <c r="C11558" i="1"/>
  <c r="D11558" i="1"/>
  <c r="E11558" i="1"/>
  <c r="F11558" i="1"/>
  <c r="G11558" i="1"/>
  <c r="H11558" i="1"/>
  <c r="I11558" i="1"/>
  <c r="J11558" i="1"/>
  <c r="K11558" i="1"/>
  <c r="L11558" i="1"/>
  <c r="A11559" i="1"/>
  <c r="B11559" i="1"/>
  <c r="C11559" i="1"/>
  <c r="D11559" i="1"/>
  <c r="E11559" i="1"/>
  <c r="F11559" i="1"/>
  <c r="G11559" i="1"/>
  <c r="H11559" i="1"/>
  <c r="I11559" i="1"/>
  <c r="J11559" i="1"/>
  <c r="K11559" i="1"/>
  <c r="L11559" i="1"/>
  <c r="A11560" i="1"/>
  <c r="B11560" i="1"/>
  <c r="C11560" i="1"/>
  <c r="D11560" i="1"/>
  <c r="E11560" i="1"/>
  <c r="F11560" i="1"/>
  <c r="G11560" i="1"/>
  <c r="H11560" i="1"/>
  <c r="I11560" i="1"/>
  <c r="J11560" i="1"/>
  <c r="K11560" i="1"/>
  <c r="L11560" i="1"/>
  <c r="A11561" i="1"/>
  <c r="B11561" i="1"/>
  <c r="C11561" i="1"/>
  <c r="D11561" i="1"/>
  <c r="E11561" i="1"/>
  <c r="F11561" i="1"/>
  <c r="G11561" i="1"/>
  <c r="H11561" i="1"/>
  <c r="I11561" i="1"/>
  <c r="J11561" i="1"/>
  <c r="K11561" i="1"/>
  <c r="L11561" i="1"/>
  <c r="A11562" i="1"/>
  <c r="B11562" i="1"/>
  <c r="C11562" i="1"/>
  <c r="D11562" i="1"/>
  <c r="E11562" i="1"/>
  <c r="F11562" i="1"/>
  <c r="G11562" i="1"/>
  <c r="H11562" i="1"/>
  <c r="I11562" i="1"/>
  <c r="J11562" i="1"/>
  <c r="K11562" i="1"/>
  <c r="L11562" i="1"/>
  <c r="A11563" i="1"/>
  <c r="B11563" i="1"/>
  <c r="C11563" i="1"/>
  <c r="D11563" i="1"/>
  <c r="E11563" i="1"/>
  <c r="F11563" i="1"/>
  <c r="G11563" i="1"/>
  <c r="H11563" i="1"/>
  <c r="I11563" i="1"/>
  <c r="J11563" i="1"/>
  <c r="K11563" i="1"/>
  <c r="L11563" i="1"/>
  <c r="A11564" i="1"/>
  <c r="B11564" i="1"/>
  <c r="C11564" i="1"/>
  <c r="D11564" i="1"/>
  <c r="E11564" i="1"/>
  <c r="F11564" i="1"/>
  <c r="G11564" i="1"/>
  <c r="H11564" i="1"/>
  <c r="I11564" i="1"/>
  <c r="J11564" i="1"/>
  <c r="K11564" i="1"/>
  <c r="L11564" i="1"/>
  <c r="A11565" i="1"/>
  <c r="B11565" i="1"/>
  <c r="C11565" i="1"/>
  <c r="D11565" i="1"/>
  <c r="E11565" i="1"/>
  <c r="F11565" i="1"/>
  <c r="G11565" i="1"/>
  <c r="H11565" i="1"/>
  <c r="I11565" i="1"/>
  <c r="J11565" i="1"/>
  <c r="K11565" i="1"/>
  <c r="L11565" i="1"/>
  <c r="A11566" i="1"/>
  <c r="B11566" i="1"/>
  <c r="C11566" i="1"/>
  <c r="D11566" i="1"/>
  <c r="E11566" i="1"/>
  <c r="F11566" i="1"/>
  <c r="G11566" i="1"/>
  <c r="H11566" i="1"/>
  <c r="I11566" i="1"/>
  <c r="J11566" i="1"/>
  <c r="K11566" i="1"/>
  <c r="L11566" i="1"/>
  <c r="A11567" i="1"/>
  <c r="B11567" i="1"/>
  <c r="C11567" i="1"/>
  <c r="D11567" i="1"/>
  <c r="E11567" i="1"/>
  <c r="F11567" i="1"/>
  <c r="G11567" i="1"/>
  <c r="H11567" i="1"/>
  <c r="I11567" i="1"/>
  <c r="J11567" i="1"/>
  <c r="K11567" i="1"/>
  <c r="L11567" i="1"/>
  <c r="A11568" i="1"/>
  <c r="B11568" i="1"/>
  <c r="C11568" i="1"/>
  <c r="D11568" i="1"/>
  <c r="E11568" i="1"/>
  <c r="F11568" i="1"/>
  <c r="G11568" i="1"/>
  <c r="H11568" i="1"/>
  <c r="I11568" i="1"/>
  <c r="J11568" i="1"/>
  <c r="K11568" i="1"/>
  <c r="L11568" i="1"/>
  <c r="A11569" i="1"/>
  <c r="B11569" i="1"/>
  <c r="C11569" i="1"/>
  <c r="D11569" i="1"/>
  <c r="E11569" i="1"/>
  <c r="F11569" i="1"/>
  <c r="G11569" i="1"/>
  <c r="H11569" i="1"/>
  <c r="I11569" i="1"/>
  <c r="J11569" i="1"/>
  <c r="K11569" i="1"/>
  <c r="L11569" i="1"/>
  <c r="A11570" i="1"/>
  <c r="B11570" i="1"/>
  <c r="C11570" i="1"/>
  <c r="D11570" i="1"/>
  <c r="E11570" i="1"/>
  <c r="F11570" i="1"/>
  <c r="G11570" i="1"/>
  <c r="H11570" i="1"/>
  <c r="I11570" i="1"/>
  <c r="J11570" i="1"/>
  <c r="K11570" i="1"/>
  <c r="L11570" i="1"/>
  <c r="A11571" i="1"/>
  <c r="B11571" i="1"/>
  <c r="C11571" i="1"/>
  <c r="D11571" i="1"/>
  <c r="E11571" i="1"/>
  <c r="F11571" i="1"/>
  <c r="G11571" i="1"/>
  <c r="H11571" i="1"/>
  <c r="I11571" i="1"/>
  <c r="J11571" i="1"/>
  <c r="K11571" i="1"/>
  <c r="L11571" i="1"/>
  <c r="A11572" i="1"/>
  <c r="B11572" i="1"/>
  <c r="C11572" i="1"/>
  <c r="D11572" i="1"/>
  <c r="E11572" i="1"/>
  <c r="F11572" i="1"/>
  <c r="G11572" i="1"/>
  <c r="H11572" i="1"/>
  <c r="I11572" i="1"/>
  <c r="J11572" i="1"/>
  <c r="K11572" i="1"/>
  <c r="L11572" i="1"/>
  <c r="A11573" i="1"/>
  <c r="B11573" i="1"/>
  <c r="C11573" i="1"/>
  <c r="D11573" i="1"/>
  <c r="E11573" i="1"/>
  <c r="F11573" i="1"/>
  <c r="G11573" i="1"/>
  <c r="H11573" i="1"/>
  <c r="I11573" i="1"/>
  <c r="J11573" i="1"/>
  <c r="K11573" i="1"/>
  <c r="L11573" i="1"/>
  <c r="A11574" i="1"/>
  <c r="B11574" i="1"/>
  <c r="C11574" i="1"/>
  <c r="D11574" i="1"/>
  <c r="E11574" i="1"/>
  <c r="F11574" i="1"/>
  <c r="G11574" i="1"/>
  <c r="H11574" i="1"/>
  <c r="I11574" i="1"/>
  <c r="J11574" i="1"/>
  <c r="K11574" i="1"/>
  <c r="L11574" i="1"/>
  <c r="A11575" i="1"/>
  <c r="B11575" i="1"/>
  <c r="C11575" i="1"/>
  <c r="D11575" i="1"/>
  <c r="E11575" i="1"/>
  <c r="F11575" i="1"/>
  <c r="G11575" i="1"/>
  <c r="H11575" i="1"/>
  <c r="I11575" i="1"/>
  <c r="J11575" i="1"/>
  <c r="K11575" i="1"/>
  <c r="L11575" i="1"/>
  <c r="A11576" i="1"/>
  <c r="B11576" i="1"/>
  <c r="C11576" i="1"/>
  <c r="D11576" i="1"/>
  <c r="E11576" i="1"/>
  <c r="F11576" i="1"/>
  <c r="G11576" i="1"/>
  <c r="H11576" i="1"/>
  <c r="I11576" i="1"/>
  <c r="J11576" i="1"/>
  <c r="K11576" i="1"/>
  <c r="L11576" i="1"/>
  <c r="A11577" i="1"/>
  <c r="B11577" i="1"/>
  <c r="C11577" i="1"/>
  <c r="D11577" i="1"/>
  <c r="E11577" i="1"/>
  <c r="F11577" i="1"/>
  <c r="G11577" i="1"/>
  <c r="H11577" i="1"/>
  <c r="I11577" i="1"/>
  <c r="J11577" i="1"/>
  <c r="K11577" i="1"/>
  <c r="L11577" i="1"/>
  <c r="A11578" i="1"/>
  <c r="B11578" i="1"/>
  <c r="C11578" i="1"/>
  <c r="D11578" i="1"/>
  <c r="E11578" i="1"/>
  <c r="F11578" i="1"/>
  <c r="G11578" i="1"/>
  <c r="H11578" i="1"/>
  <c r="I11578" i="1"/>
  <c r="J11578" i="1"/>
  <c r="K11578" i="1"/>
  <c r="L11578" i="1"/>
  <c r="A11579" i="1"/>
  <c r="B11579" i="1"/>
  <c r="C11579" i="1"/>
  <c r="D11579" i="1"/>
  <c r="E11579" i="1"/>
  <c r="F11579" i="1"/>
  <c r="G11579" i="1"/>
  <c r="H11579" i="1"/>
  <c r="I11579" i="1"/>
  <c r="J11579" i="1"/>
  <c r="K11579" i="1"/>
  <c r="L11579" i="1"/>
  <c r="A11580" i="1"/>
  <c r="B11580" i="1"/>
  <c r="C11580" i="1"/>
  <c r="D11580" i="1"/>
  <c r="E11580" i="1"/>
  <c r="F11580" i="1"/>
  <c r="G11580" i="1"/>
  <c r="H11580" i="1"/>
  <c r="I11580" i="1"/>
  <c r="J11580" i="1"/>
  <c r="K11580" i="1"/>
  <c r="L11580" i="1"/>
  <c r="A11581" i="1"/>
  <c r="B11581" i="1"/>
  <c r="C11581" i="1"/>
  <c r="D11581" i="1"/>
  <c r="E11581" i="1"/>
  <c r="F11581" i="1"/>
  <c r="G11581" i="1"/>
  <c r="H11581" i="1"/>
  <c r="I11581" i="1"/>
  <c r="J11581" i="1"/>
  <c r="K11581" i="1"/>
  <c r="L11581" i="1"/>
  <c r="A11582" i="1"/>
  <c r="B11582" i="1"/>
  <c r="C11582" i="1"/>
  <c r="D11582" i="1"/>
  <c r="E11582" i="1"/>
  <c r="F11582" i="1"/>
  <c r="G11582" i="1"/>
  <c r="H11582" i="1"/>
  <c r="I11582" i="1"/>
  <c r="J11582" i="1"/>
  <c r="K11582" i="1"/>
  <c r="L11582" i="1"/>
  <c r="A11583" i="1"/>
  <c r="B11583" i="1"/>
  <c r="C11583" i="1"/>
  <c r="D11583" i="1"/>
  <c r="E11583" i="1"/>
  <c r="F11583" i="1"/>
  <c r="G11583" i="1"/>
  <c r="H11583" i="1"/>
  <c r="I11583" i="1"/>
  <c r="J11583" i="1"/>
  <c r="K11583" i="1"/>
  <c r="L11583" i="1"/>
  <c r="A11584" i="1"/>
  <c r="B11584" i="1"/>
  <c r="C11584" i="1"/>
  <c r="D11584" i="1"/>
  <c r="E11584" i="1"/>
  <c r="F11584" i="1"/>
  <c r="G11584" i="1"/>
  <c r="H11584" i="1"/>
  <c r="I11584" i="1"/>
  <c r="J11584" i="1"/>
  <c r="K11584" i="1"/>
  <c r="L11584" i="1"/>
  <c r="A11585" i="1"/>
  <c r="B11585" i="1"/>
  <c r="C11585" i="1"/>
  <c r="D11585" i="1"/>
  <c r="E11585" i="1"/>
  <c r="F11585" i="1"/>
  <c r="G11585" i="1"/>
  <c r="H11585" i="1"/>
  <c r="I11585" i="1"/>
  <c r="J11585" i="1"/>
  <c r="K11585" i="1"/>
  <c r="L11585" i="1"/>
  <c r="A11586" i="1"/>
  <c r="B11586" i="1"/>
  <c r="C11586" i="1"/>
  <c r="D11586" i="1"/>
  <c r="E11586" i="1"/>
  <c r="F11586" i="1"/>
  <c r="G11586" i="1"/>
  <c r="H11586" i="1"/>
  <c r="I11586" i="1"/>
  <c r="J11586" i="1"/>
  <c r="K11586" i="1"/>
  <c r="L11586" i="1"/>
  <c r="A11587" i="1"/>
  <c r="B11587" i="1"/>
  <c r="C11587" i="1"/>
  <c r="D11587" i="1"/>
  <c r="E11587" i="1"/>
  <c r="F11587" i="1"/>
  <c r="G11587" i="1"/>
  <c r="H11587" i="1"/>
  <c r="I11587" i="1"/>
  <c r="J11587" i="1"/>
  <c r="K11587" i="1"/>
  <c r="L11587" i="1"/>
  <c r="A11588" i="1"/>
  <c r="B11588" i="1"/>
  <c r="C11588" i="1"/>
  <c r="D11588" i="1"/>
  <c r="E11588" i="1"/>
  <c r="F11588" i="1"/>
  <c r="G11588" i="1"/>
  <c r="H11588" i="1"/>
  <c r="I11588" i="1"/>
  <c r="J11588" i="1"/>
  <c r="K11588" i="1"/>
  <c r="L11588" i="1"/>
  <c r="A11589" i="1"/>
  <c r="B11589" i="1"/>
  <c r="C11589" i="1"/>
  <c r="D11589" i="1"/>
  <c r="E11589" i="1"/>
  <c r="F11589" i="1"/>
  <c r="G11589" i="1"/>
  <c r="H11589" i="1"/>
  <c r="I11589" i="1"/>
  <c r="J11589" i="1"/>
  <c r="K11589" i="1"/>
  <c r="L11589" i="1"/>
  <c r="A11590" i="1"/>
  <c r="B11590" i="1"/>
  <c r="C11590" i="1"/>
  <c r="D11590" i="1"/>
  <c r="E11590" i="1"/>
  <c r="F11590" i="1"/>
  <c r="G11590" i="1"/>
  <c r="H11590" i="1"/>
  <c r="I11590" i="1"/>
  <c r="J11590" i="1"/>
  <c r="K11590" i="1"/>
  <c r="L11590" i="1"/>
  <c r="A11591" i="1"/>
  <c r="B11591" i="1"/>
  <c r="C11591" i="1"/>
  <c r="D11591" i="1"/>
  <c r="E11591" i="1"/>
  <c r="F11591" i="1"/>
  <c r="G11591" i="1"/>
  <c r="H11591" i="1"/>
  <c r="I11591" i="1"/>
  <c r="J11591" i="1"/>
  <c r="K11591" i="1"/>
  <c r="L11591" i="1"/>
  <c r="A11592" i="1"/>
  <c r="B11592" i="1"/>
  <c r="C11592" i="1"/>
  <c r="D11592" i="1"/>
  <c r="E11592" i="1"/>
  <c r="F11592" i="1"/>
  <c r="G11592" i="1"/>
  <c r="H11592" i="1"/>
  <c r="I11592" i="1"/>
  <c r="J11592" i="1"/>
  <c r="K11592" i="1"/>
  <c r="L11592" i="1"/>
  <c r="A11593" i="1"/>
  <c r="B11593" i="1"/>
  <c r="C11593" i="1"/>
  <c r="D11593" i="1"/>
  <c r="E11593" i="1"/>
  <c r="F11593" i="1"/>
  <c r="G11593" i="1"/>
  <c r="H11593" i="1"/>
  <c r="I11593" i="1"/>
  <c r="J11593" i="1"/>
  <c r="K11593" i="1"/>
  <c r="L11593" i="1"/>
  <c r="A11594" i="1"/>
  <c r="B11594" i="1"/>
  <c r="C11594" i="1"/>
  <c r="D11594" i="1"/>
  <c r="E11594" i="1"/>
  <c r="F11594" i="1"/>
  <c r="G11594" i="1"/>
  <c r="H11594" i="1"/>
  <c r="I11594" i="1"/>
  <c r="J11594" i="1"/>
  <c r="K11594" i="1"/>
  <c r="L11594" i="1"/>
  <c r="A11595" i="1"/>
  <c r="B11595" i="1"/>
  <c r="C11595" i="1"/>
  <c r="D11595" i="1"/>
  <c r="E11595" i="1"/>
  <c r="F11595" i="1"/>
  <c r="G11595" i="1"/>
  <c r="H11595" i="1"/>
  <c r="I11595" i="1"/>
  <c r="J11595" i="1"/>
  <c r="K11595" i="1"/>
  <c r="L11595" i="1"/>
  <c r="A11596" i="1"/>
  <c r="B11596" i="1"/>
  <c r="C11596" i="1"/>
  <c r="D11596" i="1"/>
  <c r="E11596" i="1"/>
  <c r="F11596" i="1"/>
  <c r="G11596" i="1"/>
  <c r="H11596" i="1"/>
  <c r="I11596" i="1"/>
  <c r="J11596" i="1"/>
  <c r="K11596" i="1"/>
  <c r="L11596" i="1"/>
  <c r="A11597" i="1"/>
  <c r="B11597" i="1"/>
  <c r="C11597" i="1"/>
  <c r="D11597" i="1"/>
  <c r="E11597" i="1"/>
  <c r="F11597" i="1"/>
  <c r="G11597" i="1"/>
  <c r="H11597" i="1"/>
  <c r="I11597" i="1"/>
  <c r="J11597" i="1"/>
  <c r="K11597" i="1"/>
  <c r="L11597" i="1"/>
  <c r="A11598" i="1"/>
  <c r="B11598" i="1"/>
  <c r="C11598" i="1"/>
  <c r="D11598" i="1"/>
  <c r="E11598" i="1"/>
  <c r="F11598" i="1"/>
  <c r="G11598" i="1"/>
  <c r="H11598" i="1"/>
  <c r="I11598" i="1"/>
  <c r="J11598" i="1"/>
  <c r="K11598" i="1"/>
  <c r="L11598" i="1"/>
  <c r="A11599" i="1"/>
  <c r="B11599" i="1"/>
  <c r="C11599" i="1"/>
  <c r="D11599" i="1"/>
  <c r="E11599" i="1"/>
  <c r="F11599" i="1"/>
  <c r="G11599" i="1"/>
  <c r="H11599" i="1"/>
  <c r="I11599" i="1"/>
  <c r="J11599" i="1"/>
  <c r="K11599" i="1"/>
  <c r="L11599" i="1"/>
  <c r="A11600" i="1"/>
  <c r="B11600" i="1"/>
  <c r="C11600" i="1"/>
  <c r="D11600" i="1"/>
  <c r="E11600" i="1"/>
  <c r="F11600" i="1"/>
  <c r="G11600" i="1"/>
  <c r="H11600" i="1"/>
  <c r="I11600" i="1"/>
  <c r="J11600" i="1"/>
  <c r="K11600" i="1"/>
  <c r="L11600" i="1"/>
  <c r="A11601" i="1"/>
  <c r="B11601" i="1"/>
  <c r="C11601" i="1"/>
  <c r="D11601" i="1"/>
  <c r="E11601" i="1"/>
  <c r="F11601" i="1"/>
  <c r="G11601" i="1"/>
  <c r="H11601" i="1"/>
  <c r="I11601" i="1"/>
  <c r="J11601" i="1"/>
  <c r="K11601" i="1"/>
  <c r="L11601" i="1"/>
  <c r="A11602" i="1"/>
  <c r="B11602" i="1"/>
  <c r="C11602" i="1"/>
  <c r="D11602" i="1"/>
  <c r="E11602" i="1"/>
  <c r="F11602" i="1"/>
  <c r="G11602" i="1"/>
  <c r="H11602" i="1"/>
  <c r="I11602" i="1"/>
  <c r="J11602" i="1"/>
  <c r="K11602" i="1"/>
  <c r="L11602" i="1"/>
  <c r="A11603" i="1"/>
  <c r="B11603" i="1"/>
  <c r="C11603" i="1"/>
  <c r="D11603" i="1"/>
  <c r="E11603" i="1"/>
  <c r="F11603" i="1"/>
  <c r="G11603" i="1"/>
  <c r="H11603" i="1"/>
  <c r="I11603" i="1"/>
  <c r="J11603" i="1"/>
  <c r="K11603" i="1"/>
  <c r="L11603" i="1"/>
  <c r="A11604" i="1"/>
  <c r="B11604" i="1"/>
  <c r="C11604" i="1"/>
  <c r="D11604" i="1"/>
  <c r="E11604" i="1"/>
  <c r="F11604" i="1"/>
  <c r="G11604" i="1"/>
  <c r="H11604" i="1"/>
  <c r="I11604" i="1"/>
  <c r="J11604" i="1"/>
  <c r="K11604" i="1"/>
  <c r="L11604" i="1"/>
  <c r="A11605" i="1"/>
  <c r="B11605" i="1"/>
  <c r="C11605" i="1"/>
  <c r="D11605" i="1"/>
  <c r="E11605" i="1"/>
  <c r="F11605" i="1"/>
  <c r="G11605" i="1"/>
  <c r="H11605" i="1"/>
  <c r="I11605" i="1"/>
  <c r="J11605" i="1"/>
  <c r="K11605" i="1"/>
  <c r="L11605" i="1"/>
  <c r="A11606" i="1"/>
  <c r="B11606" i="1"/>
  <c r="C11606" i="1"/>
  <c r="D11606" i="1"/>
  <c r="E11606" i="1"/>
  <c r="F11606" i="1"/>
  <c r="G11606" i="1"/>
  <c r="H11606" i="1"/>
  <c r="I11606" i="1"/>
  <c r="J11606" i="1"/>
  <c r="K11606" i="1"/>
  <c r="L11606" i="1"/>
  <c r="A11607" i="1"/>
  <c r="B11607" i="1"/>
  <c r="C11607" i="1"/>
  <c r="D11607" i="1"/>
  <c r="E11607" i="1"/>
  <c r="F11607" i="1"/>
  <c r="G11607" i="1"/>
  <c r="H11607" i="1"/>
  <c r="I11607" i="1"/>
  <c r="J11607" i="1"/>
  <c r="K11607" i="1"/>
  <c r="L11607" i="1"/>
  <c r="A11608" i="1"/>
  <c r="B11608" i="1"/>
  <c r="C11608" i="1"/>
  <c r="D11608" i="1"/>
  <c r="E11608" i="1"/>
  <c r="F11608" i="1"/>
  <c r="G11608" i="1"/>
  <c r="H11608" i="1"/>
  <c r="I11608" i="1"/>
  <c r="J11608" i="1"/>
  <c r="K11608" i="1"/>
  <c r="L11608" i="1"/>
  <c r="A11609" i="1"/>
  <c r="B11609" i="1"/>
  <c r="C11609" i="1"/>
  <c r="D11609" i="1"/>
  <c r="E11609" i="1"/>
  <c r="F11609" i="1"/>
  <c r="G11609" i="1"/>
  <c r="H11609" i="1"/>
  <c r="I11609" i="1"/>
  <c r="J11609" i="1"/>
  <c r="K11609" i="1"/>
  <c r="L11609" i="1"/>
  <c r="A11610" i="1"/>
  <c r="B11610" i="1"/>
  <c r="C11610" i="1"/>
  <c r="D11610" i="1"/>
  <c r="E11610" i="1"/>
  <c r="F11610" i="1"/>
  <c r="G11610" i="1"/>
  <c r="H11610" i="1"/>
  <c r="I11610" i="1"/>
  <c r="J11610" i="1"/>
  <c r="K11610" i="1"/>
  <c r="L11610" i="1"/>
  <c r="A11611" i="1"/>
  <c r="B11611" i="1"/>
  <c r="C11611" i="1"/>
  <c r="D11611" i="1"/>
  <c r="E11611" i="1"/>
  <c r="F11611" i="1"/>
  <c r="G11611" i="1"/>
  <c r="H11611" i="1"/>
  <c r="I11611" i="1"/>
  <c r="J11611" i="1"/>
  <c r="K11611" i="1"/>
  <c r="L11611" i="1"/>
  <c r="A11612" i="1"/>
  <c r="B11612" i="1"/>
  <c r="C11612" i="1"/>
  <c r="D11612" i="1"/>
  <c r="E11612" i="1"/>
  <c r="F11612" i="1"/>
  <c r="G11612" i="1"/>
  <c r="H11612" i="1"/>
  <c r="I11612" i="1"/>
  <c r="J11612" i="1"/>
  <c r="K11612" i="1"/>
  <c r="L11612" i="1"/>
  <c r="A11613" i="1"/>
  <c r="B11613" i="1"/>
  <c r="C11613" i="1"/>
  <c r="D11613" i="1"/>
  <c r="E11613" i="1"/>
  <c r="F11613" i="1"/>
  <c r="G11613" i="1"/>
  <c r="H11613" i="1"/>
  <c r="I11613" i="1"/>
  <c r="J11613" i="1"/>
  <c r="K11613" i="1"/>
  <c r="L11613" i="1"/>
  <c r="A11614" i="1"/>
  <c r="B11614" i="1"/>
  <c r="C11614" i="1"/>
  <c r="D11614" i="1"/>
  <c r="E11614" i="1"/>
  <c r="F11614" i="1"/>
  <c r="G11614" i="1"/>
  <c r="H11614" i="1"/>
  <c r="I11614" i="1"/>
  <c r="J11614" i="1"/>
  <c r="K11614" i="1"/>
  <c r="L11614" i="1"/>
  <c r="A11615" i="1"/>
  <c r="B11615" i="1"/>
  <c r="C11615" i="1"/>
  <c r="D11615" i="1"/>
  <c r="E11615" i="1"/>
  <c r="F11615" i="1"/>
  <c r="G11615" i="1"/>
  <c r="H11615" i="1"/>
  <c r="I11615" i="1"/>
  <c r="J11615" i="1"/>
  <c r="K11615" i="1"/>
  <c r="L11615" i="1"/>
  <c r="A11616" i="1"/>
  <c r="B11616" i="1"/>
  <c r="C11616" i="1"/>
  <c r="D11616" i="1"/>
  <c r="E11616" i="1"/>
  <c r="F11616" i="1"/>
  <c r="G11616" i="1"/>
  <c r="H11616" i="1"/>
  <c r="I11616" i="1"/>
  <c r="J11616" i="1"/>
  <c r="K11616" i="1"/>
  <c r="L11616" i="1"/>
  <c r="A11617" i="1"/>
  <c r="B11617" i="1"/>
  <c r="C11617" i="1"/>
  <c r="D11617" i="1"/>
  <c r="E11617" i="1"/>
  <c r="F11617" i="1"/>
  <c r="G11617" i="1"/>
  <c r="H11617" i="1"/>
  <c r="I11617" i="1"/>
  <c r="J11617" i="1"/>
  <c r="K11617" i="1"/>
  <c r="L11617" i="1"/>
  <c r="A11618" i="1"/>
  <c r="B11618" i="1"/>
  <c r="C11618" i="1"/>
  <c r="D11618" i="1"/>
  <c r="E11618" i="1"/>
  <c r="F11618" i="1"/>
  <c r="G11618" i="1"/>
  <c r="H11618" i="1"/>
  <c r="I11618" i="1"/>
  <c r="J11618" i="1"/>
  <c r="K11618" i="1"/>
  <c r="L11618" i="1"/>
  <c r="A11619" i="1"/>
  <c r="B11619" i="1"/>
  <c r="C11619" i="1"/>
  <c r="D11619" i="1"/>
  <c r="E11619" i="1"/>
  <c r="F11619" i="1"/>
  <c r="G11619" i="1"/>
  <c r="H11619" i="1"/>
  <c r="I11619" i="1"/>
  <c r="J11619" i="1"/>
  <c r="K11619" i="1"/>
  <c r="L11619" i="1"/>
  <c r="A11620" i="1"/>
  <c r="B11620" i="1"/>
  <c r="C11620" i="1"/>
  <c r="D11620" i="1"/>
  <c r="E11620" i="1"/>
  <c r="F11620" i="1"/>
  <c r="G11620" i="1"/>
  <c r="H11620" i="1"/>
  <c r="I11620" i="1"/>
  <c r="J11620" i="1"/>
  <c r="K11620" i="1"/>
  <c r="L11620" i="1"/>
  <c r="A11621" i="1"/>
  <c r="B11621" i="1"/>
  <c r="C11621" i="1"/>
  <c r="D11621" i="1"/>
  <c r="E11621" i="1"/>
  <c r="F11621" i="1"/>
  <c r="G11621" i="1"/>
  <c r="H11621" i="1"/>
  <c r="I11621" i="1"/>
  <c r="J11621" i="1"/>
  <c r="K11621" i="1"/>
  <c r="L11621" i="1"/>
  <c r="A11622" i="1"/>
  <c r="B11622" i="1"/>
  <c r="C11622" i="1"/>
  <c r="D11622" i="1"/>
  <c r="E11622" i="1"/>
  <c r="F11622" i="1"/>
  <c r="G11622" i="1"/>
  <c r="H11622" i="1"/>
  <c r="I11622" i="1"/>
  <c r="J11622" i="1"/>
  <c r="K11622" i="1"/>
  <c r="L11622" i="1"/>
  <c r="A11623" i="1"/>
  <c r="B11623" i="1"/>
  <c r="C11623" i="1"/>
  <c r="D11623" i="1"/>
  <c r="E11623" i="1"/>
  <c r="F11623" i="1"/>
  <c r="G11623" i="1"/>
  <c r="H11623" i="1"/>
  <c r="I11623" i="1"/>
  <c r="J11623" i="1"/>
  <c r="K11623" i="1"/>
  <c r="L11623" i="1"/>
  <c r="A11624" i="1"/>
  <c r="B11624" i="1"/>
  <c r="C11624" i="1"/>
  <c r="D11624" i="1"/>
  <c r="E11624" i="1"/>
  <c r="F11624" i="1"/>
  <c r="G11624" i="1"/>
  <c r="H11624" i="1"/>
  <c r="I11624" i="1"/>
  <c r="J11624" i="1"/>
  <c r="K11624" i="1"/>
  <c r="L11624" i="1"/>
  <c r="A11625" i="1"/>
  <c r="B11625" i="1"/>
  <c r="C11625" i="1"/>
  <c r="D11625" i="1"/>
  <c r="E11625" i="1"/>
  <c r="F11625" i="1"/>
  <c r="G11625" i="1"/>
  <c r="H11625" i="1"/>
  <c r="I11625" i="1"/>
  <c r="J11625" i="1"/>
  <c r="K11625" i="1"/>
  <c r="L11625" i="1"/>
  <c r="A11626" i="1"/>
  <c r="B11626" i="1"/>
  <c r="C11626" i="1"/>
  <c r="D11626" i="1"/>
  <c r="E11626" i="1"/>
  <c r="F11626" i="1"/>
  <c r="G11626" i="1"/>
  <c r="H11626" i="1"/>
  <c r="I11626" i="1"/>
  <c r="J11626" i="1"/>
  <c r="K11626" i="1"/>
  <c r="L11626" i="1"/>
  <c r="A11627" i="1"/>
  <c r="B11627" i="1"/>
  <c r="C11627" i="1"/>
  <c r="D11627" i="1"/>
  <c r="E11627" i="1"/>
  <c r="F11627" i="1"/>
  <c r="G11627" i="1"/>
  <c r="H11627" i="1"/>
  <c r="I11627" i="1"/>
  <c r="J11627" i="1"/>
  <c r="K11627" i="1"/>
  <c r="L11627" i="1"/>
  <c r="A11628" i="1"/>
  <c r="B11628" i="1"/>
  <c r="C11628" i="1"/>
  <c r="D11628" i="1"/>
  <c r="E11628" i="1"/>
  <c r="F11628" i="1"/>
  <c r="G11628" i="1"/>
  <c r="H11628" i="1"/>
  <c r="I11628" i="1"/>
  <c r="J11628" i="1"/>
  <c r="K11628" i="1"/>
  <c r="L11628" i="1"/>
  <c r="A11629" i="1"/>
  <c r="B11629" i="1"/>
  <c r="C11629" i="1"/>
  <c r="D11629" i="1"/>
  <c r="E11629" i="1"/>
  <c r="F11629" i="1"/>
  <c r="G11629" i="1"/>
  <c r="H11629" i="1"/>
  <c r="I11629" i="1"/>
  <c r="J11629" i="1"/>
  <c r="K11629" i="1"/>
  <c r="L11629" i="1"/>
  <c r="A11630" i="1"/>
  <c r="B11630" i="1"/>
  <c r="C11630" i="1"/>
  <c r="D11630" i="1"/>
  <c r="E11630" i="1"/>
  <c r="F11630" i="1"/>
  <c r="G11630" i="1"/>
  <c r="H11630" i="1"/>
  <c r="I11630" i="1"/>
  <c r="J11630" i="1"/>
  <c r="K11630" i="1"/>
  <c r="L11630" i="1"/>
  <c r="A11631" i="1"/>
  <c r="B11631" i="1"/>
  <c r="C11631" i="1"/>
  <c r="D11631" i="1"/>
  <c r="E11631" i="1"/>
  <c r="F11631" i="1"/>
  <c r="G11631" i="1"/>
  <c r="H11631" i="1"/>
  <c r="I11631" i="1"/>
  <c r="J11631" i="1"/>
  <c r="K11631" i="1"/>
  <c r="L11631" i="1"/>
  <c r="A11632" i="1"/>
  <c r="B11632" i="1"/>
  <c r="C11632" i="1"/>
  <c r="D11632" i="1"/>
  <c r="E11632" i="1"/>
  <c r="F11632" i="1"/>
  <c r="G11632" i="1"/>
  <c r="H11632" i="1"/>
  <c r="I11632" i="1"/>
  <c r="J11632" i="1"/>
  <c r="K11632" i="1"/>
  <c r="L11632" i="1"/>
  <c r="A11633" i="1"/>
  <c r="B11633" i="1"/>
  <c r="C11633" i="1"/>
  <c r="D11633" i="1"/>
  <c r="E11633" i="1"/>
  <c r="F11633" i="1"/>
  <c r="G11633" i="1"/>
  <c r="H11633" i="1"/>
  <c r="I11633" i="1"/>
  <c r="J11633" i="1"/>
  <c r="K11633" i="1"/>
  <c r="L11633" i="1"/>
  <c r="A11634" i="1"/>
  <c r="B11634" i="1"/>
  <c r="C11634" i="1"/>
  <c r="D11634" i="1"/>
  <c r="E11634" i="1"/>
  <c r="F11634" i="1"/>
  <c r="G11634" i="1"/>
  <c r="H11634" i="1"/>
  <c r="I11634" i="1"/>
  <c r="J11634" i="1"/>
  <c r="K11634" i="1"/>
  <c r="L11634" i="1"/>
  <c r="A11635" i="1"/>
  <c r="B11635" i="1"/>
  <c r="C11635" i="1"/>
  <c r="D11635" i="1"/>
  <c r="E11635" i="1"/>
  <c r="F11635" i="1"/>
  <c r="G11635" i="1"/>
  <c r="H11635" i="1"/>
  <c r="I11635" i="1"/>
  <c r="J11635" i="1"/>
  <c r="K11635" i="1"/>
  <c r="L11635" i="1"/>
  <c r="A11636" i="1"/>
  <c r="B11636" i="1"/>
  <c r="C11636" i="1"/>
  <c r="D11636" i="1"/>
  <c r="E11636" i="1"/>
  <c r="F11636" i="1"/>
  <c r="G11636" i="1"/>
  <c r="H11636" i="1"/>
  <c r="I11636" i="1"/>
  <c r="J11636" i="1"/>
  <c r="K11636" i="1"/>
  <c r="L11636" i="1"/>
  <c r="A11637" i="1"/>
  <c r="B11637" i="1"/>
  <c r="C11637" i="1"/>
  <c r="D11637" i="1"/>
  <c r="E11637" i="1"/>
  <c r="F11637" i="1"/>
  <c r="G11637" i="1"/>
  <c r="H11637" i="1"/>
  <c r="I11637" i="1"/>
  <c r="J11637" i="1"/>
  <c r="K11637" i="1"/>
  <c r="L11637" i="1"/>
  <c r="A11638" i="1"/>
  <c r="B11638" i="1"/>
  <c r="C11638" i="1"/>
  <c r="D11638" i="1"/>
  <c r="E11638" i="1"/>
  <c r="F11638" i="1"/>
  <c r="G11638" i="1"/>
  <c r="H11638" i="1"/>
  <c r="I11638" i="1"/>
  <c r="J11638" i="1"/>
  <c r="K11638" i="1"/>
  <c r="L11638" i="1"/>
  <c r="A11639" i="1"/>
  <c r="B11639" i="1"/>
  <c r="C11639" i="1"/>
  <c r="D11639" i="1"/>
  <c r="E11639" i="1"/>
  <c r="F11639" i="1"/>
  <c r="G11639" i="1"/>
  <c r="H11639" i="1"/>
  <c r="I11639" i="1"/>
  <c r="J11639" i="1"/>
  <c r="K11639" i="1"/>
  <c r="L11639" i="1"/>
  <c r="A11640" i="1"/>
  <c r="B11640" i="1"/>
  <c r="C11640" i="1"/>
  <c r="D11640" i="1"/>
  <c r="E11640" i="1"/>
  <c r="F11640" i="1"/>
  <c r="G11640" i="1"/>
  <c r="H11640" i="1"/>
  <c r="I11640" i="1"/>
  <c r="J11640" i="1"/>
  <c r="K11640" i="1"/>
  <c r="L11640" i="1"/>
  <c r="A11641" i="1"/>
  <c r="B11641" i="1"/>
  <c r="C11641" i="1"/>
  <c r="D11641" i="1"/>
  <c r="E11641" i="1"/>
  <c r="F11641" i="1"/>
  <c r="G11641" i="1"/>
  <c r="H11641" i="1"/>
  <c r="I11641" i="1"/>
  <c r="J11641" i="1"/>
  <c r="K11641" i="1"/>
  <c r="L11641" i="1"/>
  <c r="A11642" i="1"/>
  <c r="B11642" i="1"/>
  <c r="C11642" i="1"/>
  <c r="D11642" i="1"/>
  <c r="E11642" i="1"/>
  <c r="F11642" i="1"/>
  <c r="G11642" i="1"/>
  <c r="H11642" i="1"/>
  <c r="I11642" i="1"/>
  <c r="J11642" i="1"/>
  <c r="K11642" i="1"/>
  <c r="L11642" i="1"/>
  <c r="A11643" i="1"/>
  <c r="B11643" i="1"/>
  <c r="C11643" i="1"/>
  <c r="D11643" i="1"/>
  <c r="E11643" i="1"/>
  <c r="F11643" i="1"/>
  <c r="G11643" i="1"/>
  <c r="H11643" i="1"/>
  <c r="I11643" i="1"/>
  <c r="J11643" i="1"/>
  <c r="K11643" i="1"/>
  <c r="L11643" i="1"/>
  <c r="A11644" i="1"/>
  <c r="B11644" i="1"/>
  <c r="C11644" i="1"/>
  <c r="D11644" i="1"/>
  <c r="E11644" i="1"/>
  <c r="F11644" i="1"/>
  <c r="G11644" i="1"/>
  <c r="H11644" i="1"/>
  <c r="I11644" i="1"/>
  <c r="J11644" i="1"/>
  <c r="K11644" i="1"/>
  <c r="L11644" i="1"/>
  <c r="A11645" i="1"/>
  <c r="B11645" i="1"/>
  <c r="C11645" i="1"/>
  <c r="D11645" i="1"/>
  <c r="E11645" i="1"/>
  <c r="F11645" i="1"/>
  <c r="G11645" i="1"/>
  <c r="H11645" i="1"/>
  <c r="I11645" i="1"/>
  <c r="J11645" i="1"/>
  <c r="K11645" i="1"/>
  <c r="L11645" i="1"/>
  <c r="A11646" i="1"/>
  <c r="B11646" i="1"/>
  <c r="C11646" i="1"/>
  <c r="D11646" i="1"/>
  <c r="E11646" i="1"/>
  <c r="F11646" i="1"/>
  <c r="G11646" i="1"/>
  <c r="H11646" i="1"/>
  <c r="I11646" i="1"/>
  <c r="J11646" i="1"/>
  <c r="K11646" i="1"/>
  <c r="L11646" i="1"/>
  <c r="A11647" i="1"/>
  <c r="B11647" i="1"/>
  <c r="C11647" i="1"/>
  <c r="D11647" i="1"/>
  <c r="E11647" i="1"/>
  <c r="F11647" i="1"/>
  <c r="G11647" i="1"/>
  <c r="H11647" i="1"/>
  <c r="I11647" i="1"/>
  <c r="J11647" i="1"/>
  <c r="K11647" i="1"/>
  <c r="L11647" i="1"/>
  <c r="A11648" i="1"/>
  <c r="B11648" i="1"/>
  <c r="C11648" i="1"/>
  <c r="D11648" i="1"/>
  <c r="E11648" i="1"/>
  <c r="F11648" i="1"/>
  <c r="G11648" i="1"/>
  <c r="H11648" i="1"/>
  <c r="I11648" i="1"/>
  <c r="J11648" i="1"/>
  <c r="K11648" i="1"/>
  <c r="L11648" i="1"/>
  <c r="A11649" i="1"/>
  <c r="B11649" i="1"/>
  <c r="C11649" i="1"/>
  <c r="D11649" i="1"/>
  <c r="E11649" i="1"/>
  <c r="F11649" i="1"/>
  <c r="G11649" i="1"/>
  <c r="H11649" i="1"/>
  <c r="I11649" i="1"/>
  <c r="J11649" i="1"/>
  <c r="K11649" i="1"/>
  <c r="L11649" i="1"/>
  <c r="A11650" i="1"/>
  <c r="B11650" i="1"/>
  <c r="C11650" i="1"/>
  <c r="D11650" i="1"/>
  <c r="E11650" i="1"/>
  <c r="F11650" i="1"/>
  <c r="G11650" i="1"/>
  <c r="H11650" i="1"/>
  <c r="I11650" i="1"/>
  <c r="J11650" i="1"/>
  <c r="K11650" i="1"/>
  <c r="L11650" i="1"/>
  <c r="A11651" i="1"/>
  <c r="B11651" i="1"/>
  <c r="C11651" i="1"/>
  <c r="D11651" i="1"/>
  <c r="E11651" i="1"/>
  <c r="F11651" i="1"/>
  <c r="G11651" i="1"/>
  <c r="H11651" i="1"/>
  <c r="I11651" i="1"/>
  <c r="J11651" i="1"/>
  <c r="K11651" i="1"/>
  <c r="L11651" i="1"/>
  <c r="A11652" i="1"/>
  <c r="B11652" i="1"/>
  <c r="C11652" i="1"/>
  <c r="D11652" i="1"/>
  <c r="E11652" i="1"/>
  <c r="F11652" i="1"/>
  <c r="G11652" i="1"/>
  <c r="H11652" i="1"/>
  <c r="I11652" i="1"/>
  <c r="J11652" i="1"/>
  <c r="K11652" i="1"/>
  <c r="L11652" i="1"/>
  <c r="A11653" i="1"/>
  <c r="B11653" i="1"/>
  <c r="C11653" i="1"/>
  <c r="D11653" i="1"/>
  <c r="E11653" i="1"/>
  <c r="F11653" i="1"/>
  <c r="G11653" i="1"/>
  <c r="H11653" i="1"/>
  <c r="I11653" i="1"/>
  <c r="J11653" i="1"/>
  <c r="K11653" i="1"/>
  <c r="L11653" i="1"/>
  <c r="A11654" i="1"/>
  <c r="B11654" i="1"/>
  <c r="C11654" i="1"/>
  <c r="D11654" i="1"/>
  <c r="E11654" i="1"/>
  <c r="F11654" i="1"/>
  <c r="G11654" i="1"/>
  <c r="H11654" i="1"/>
  <c r="I11654" i="1"/>
  <c r="J11654" i="1"/>
  <c r="K11654" i="1"/>
  <c r="L11654" i="1"/>
  <c r="A11655" i="1"/>
  <c r="B11655" i="1"/>
  <c r="C11655" i="1"/>
  <c r="D11655" i="1"/>
  <c r="E11655" i="1"/>
  <c r="F11655" i="1"/>
  <c r="G11655" i="1"/>
  <c r="H11655" i="1"/>
  <c r="I11655" i="1"/>
  <c r="J11655" i="1"/>
  <c r="K11655" i="1"/>
  <c r="L11655" i="1"/>
  <c r="A11656" i="1"/>
  <c r="B11656" i="1"/>
  <c r="C11656" i="1"/>
  <c r="D11656" i="1"/>
  <c r="E11656" i="1"/>
  <c r="F11656" i="1"/>
  <c r="G11656" i="1"/>
  <c r="H11656" i="1"/>
  <c r="I11656" i="1"/>
  <c r="J11656" i="1"/>
  <c r="K11656" i="1"/>
  <c r="L11656" i="1"/>
  <c r="A11657" i="1"/>
  <c r="B11657" i="1"/>
  <c r="C11657" i="1"/>
  <c r="D11657" i="1"/>
  <c r="E11657" i="1"/>
  <c r="F11657" i="1"/>
  <c r="G11657" i="1"/>
  <c r="H11657" i="1"/>
  <c r="I11657" i="1"/>
  <c r="J11657" i="1"/>
  <c r="K11657" i="1"/>
  <c r="L11657" i="1"/>
  <c r="A11658" i="1"/>
  <c r="B11658" i="1"/>
  <c r="C11658" i="1"/>
  <c r="D11658" i="1"/>
  <c r="E11658" i="1"/>
  <c r="F11658" i="1"/>
  <c r="G11658" i="1"/>
  <c r="H11658" i="1"/>
  <c r="I11658" i="1"/>
  <c r="J11658" i="1"/>
  <c r="K11658" i="1"/>
  <c r="L11658" i="1"/>
  <c r="A11659" i="1"/>
  <c r="B11659" i="1"/>
  <c r="C11659" i="1"/>
  <c r="D11659" i="1"/>
  <c r="E11659" i="1"/>
  <c r="F11659" i="1"/>
  <c r="G11659" i="1"/>
  <c r="H11659" i="1"/>
  <c r="I11659" i="1"/>
  <c r="J11659" i="1"/>
  <c r="K11659" i="1"/>
  <c r="L11659" i="1"/>
  <c r="A11660" i="1"/>
  <c r="B11660" i="1"/>
  <c r="C11660" i="1"/>
  <c r="D11660" i="1"/>
  <c r="E11660" i="1"/>
  <c r="F11660" i="1"/>
  <c r="G11660" i="1"/>
  <c r="H11660" i="1"/>
  <c r="I11660" i="1"/>
  <c r="J11660" i="1"/>
  <c r="K11660" i="1"/>
  <c r="L11660" i="1"/>
  <c r="A11661" i="1"/>
  <c r="B11661" i="1"/>
  <c r="C11661" i="1"/>
  <c r="D11661" i="1"/>
  <c r="E11661" i="1"/>
  <c r="F11661" i="1"/>
  <c r="G11661" i="1"/>
  <c r="H11661" i="1"/>
  <c r="I11661" i="1"/>
  <c r="J11661" i="1"/>
  <c r="K11661" i="1"/>
  <c r="L11661" i="1"/>
  <c r="A11662" i="1"/>
  <c r="B11662" i="1"/>
  <c r="C11662" i="1"/>
  <c r="D11662" i="1"/>
  <c r="E11662" i="1"/>
  <c r="F11662" i="1"/>
  <c r="G11662" i="1"/>
  <c r="H11662" i="1"/>
  <c r="I11662" i="1"/>
  <c r="J11662" i="1"/>
  <c r="K11662" i="1"/>
  <c r="L11662" i="1"/>
  <c r="A11663" i="1"/>
  <c r="B11663" i="1"/>
  <c r="C11663" i="1"/>
  <c r="D11663" i="1"/>
  <c r="E11663" i="1"/>
  <c r="F11663" i="1"/>
  <c r="G11663" i="1"/>
  <c r="H11663" i="1"/>
  <c r="I11663" i="1"/>
  <c r="J11663" i="1"/>
  <c r="K11663" i="1"/>
  <c r="L11663" i="1"/>
  <c r="A11664" i="1"/>
  <c r="B11664" i="1"/>
  <c r="C11664" i="1"/>
  <c r="D11664" i="1"/>
  <c r="E11664" i="1"/>
  <c r="F11664" i="1"/>
  <c r="G11664" i="1"/>
  <c r="H11664" i="1"/>
  <c r="I11664" i="1"/>
  <c r="J11664" i="1"/>
  <c r="K11664" i="1"/>
  <c r="L11664" i="1"/>
  <c r="A11665" i="1"/>
  <c r="B11665" i="1"/>
  <c r="C11665" i="1"/>
  <c r="D11665" i="1"/>
  <c r="E11665" i="1"/>
  <c r="F11665" i="1"/>
  <c r="G11665" i="1"/>
  <c r="H11665" i="1"/>
  <c r="I11665" i="1"/>
  <c r="J11665" i="1"/>
  <c r="K11665" i="1"/>
  <c r="L11665" i="1"/>
  <c r="A11666" i="1"/>
  <c r="B11666" i="1"/>
  <c r="C11666" i="1"/>
  <c r="D11666" i="1"/>
  <c r="E11666" i="1"/>
  <c r="F11666" i="1"/>
  <c r="G11666" i="1"/>
  <c r="H11666" i="1"/>
  <c r="I11666" i="1"/>
  <c r="J11666" i="1"/>
  <c r="K11666" i="1"/>
  <c r="L11666" i="1"/>
  <c r="A11667" i="1"/>
  <c r="B11667" i="1"/>
  <c r="C11667" i="1"/>
  <c r="D11667" i="1"/>
  <c r="E11667" i="1"/>
  <c r="F11667" i="1"/>
  <c r="G11667" i="1"/>
  <c r="H11667" i="1"/>
  <c r="I11667" i="1"/>
  <c r="J11667" i="1"/>
  <c r="K11667" i="1"/>
  <c r="L11667" i="1"/>
  <c r="A11668" i="1"/>
  <c r="B11668" i="1"/>
  <c r="C11668" i="1"/>
  <c r="D11668" i="1"/>
  <c r="E11668" i="1"/>
  <c r="F11668" i="1"/>
  <c r="G11668" i="1"/>
  <c r="H11668" i="1"/>
  <c r="I11668" i="1"/>
  <c r="J11668" i="1"/>
  <c r="K11668" i="1"/>
  <c r="L11668" i="1"/>
  <c r="A11669" i="1"/>
  <c r="B11669" i="1"/>
  <c r="C11669" i="1"/>
  <c r="D11669" i="1"/>
  <c r="E11669" i="1"/>
  <c r="F11669" i="1"/>
  <c r="G11669" i="1"/>
  <c r="H11669" i="1"/>
  <c r="I11669" i="1"/>
  <c r="J11669" i="1"/>
  <c r="K11669" i="1"/>
  <c r="L11669" i="1"/>
  <c r="A11670" i="1"/>
  <c r="B11670" i="1"/>
  <c r="C11670" i="1"/>
  <c r="D11670" i="1"/>
  <c r="E11670" i="1"/>
  <c r="F11670" i="1"/>
  <c r="G11670" i="1"/>
  <c r="H11670" i="1"/>
  <c r="I11670" i="1"/>
  <c r="J11670" i="1"/>
  <c r="K11670" i="1"/>
  <c r="L11670" i="1"/>
  <c r="A11671" i="1"/>
  <c r="B11671" i="1"/>
  <c r="C11671" i="1"/>
  <c r="D11671" i="1"/>
  <c r="E11671" i="1"/>
  <c r="F11671" i="1"/>
  <c r="G11671" i="1"/>
  <c r="H11671" i="1"/>
  <c r="I11671" i="1"/>
  <c r="J11671" i="1"/>
  <c r="K11671" i="1"/>
  <c r="L11671" i="1"/>
  <c r="A11672" i="1"/>
  <c r="B11672" i="1"/>
  <c r="C11672" i="1"/>
  <c r="D11672" i="1"/>
  <c r="E11672" i="1"/>
  <c r="F11672" i="1"/>
  <c r="G11672" i="1"/>
  <c r="H11672" i="1"/>
  <c r="I11672" i="1"/>
  <c r="J11672" i="1"/>
  <c r="K11672" i="1"/>
  <c r="L11672" i="1"/>
  <c r="A11673" i="1"/>
  <c r="B11673" i="1"/>
  <c r="C11673" i="1"/>
  <c r="D11673" i="1"/>
  <c r="E11673" i="1"/>
  <c r="F11673" i="1"/>
  <c r="G11673" i="1"/>
  <c r="H11673" i="1"/>
  <c r="I11673" i="1"/>
  <c r="J11673" i="1"/>
  <c r="K11673" i="1"/>
  <c r="L11673" i="1"/>
  <c r="A11674" i="1"/>
  <c r="B11674" i="1"/>
  <c r="C11674" i="1"/>
  <c r="D11674" i="1"/>
  <c r="E11674" i="1"/>
  <c r="F11674" i="1"/>
  <c r="G11674" i="1"/>
  <c r="H11674" i="1"/>
  <c r="I11674" i="1"/>
  <c r="J11674" i="1"/>
  <c r="K11674" i="1"/>
  <c r="L11674" i="1"/>
  <c r="A11675" i="1"/>
  <c r="B11675" i="1"/>
  <c r="C11675" i="1"/>
  <c r="D11675" i="1"/>
  <c r="E11675" i="1"/>
  <c r="F11675" i="1"/>
  <c r="G11675" i="1"/>
  <c r="H11675" i="1"/>
  <c r="I11675" i="1"/>
  <c r="J11675" i="1"/>
  <c r="K11675" i="1"/>
  <c r="L11675" i="1"/>
  <c r="A11676" i="1"/>
  <c r="B11676" i="1"/>
  <c r="C11676" i="1"/>
  <c r="D11676" i="1"/>
  <c r="E11676" i="1"/>
  <c r="F11676" i="1"/>
  <c r="G11676" i="1"/>
  <c r="H11676" i="1"/>
  <c r="I11676" i="1"/>
  <c r="J11676" i="1"/>
  <c r="K11676" i="1"/>
  <c r="L11676" i="1"/>
  <c r="A11677" i="1"/>
  <c r="B11677" i="1"/>
  <c r="C11677" i="1"/>
  <c r="D11677" i="1"/>
  <c r="E11677" i="1"/>
  <c r="F11677" i="1"/>
  <c r="G11677" i="1"/>
  <c r="H11677" i="1"/>
  <c r="I11677" i="1"/>
  <c r="J11677" i="1"/>
  <c r="K11677" i="1"/>
  <c r="L11677" i="1"/>
  <c r="A11678" i="1"/>
  <c r="B11678" i="1"/>
  <c r="C11678" i="1"/>
  <c r="D11678" i="1"/>
  <c r="E11678" i="1"/>
  <c r="F11678" i="1"/>
  <c r="G11678" i="1"/>
  <c r="H11678" i="1"/>
  <c r="I11678" i="1"/>
  <c r="J11678" i="1"/>
  <c r="K11678" i="1"/>
  <c r="L11678" i="1"/>
  <c r="A11679" i="1"/>
  <c r="B11679" i="1"/>
  <c r="C11679" i="1"/>
  <c r="D11679" i="1"/>
  <c r="E11679" i="1"/>
  <c r="F11679" i="1"/>
  <c r="G11679" i="1"/>
  <c r="H11679" i="1"/>
  <c r="I11679" i="1"/>
  <c r="J11679" i="1"/>
  <c r="K11679" i="1"/>
  <c r="L11679" i="1"/>
  <c r="A11680" i="1"/>
  <c r="B11680" i="1"/>
  <c r="C11680" i="1"/>
  <c r="D11680" i="1"/>
  <c r="E11680" i="1"/>
  <c r="F11680" i="1"/>
  <c r="G11680" i="1"/>
  <c r="H11680" i="1"/>
  <c r="I11680" i="1"/>
  <c r="J11680" i="1"/>
  <c r="K11680" i="1"/>
  <c r="L11680" i="1"/>
  <c r="A11681" i="1"/>
  <c r="B11681" i="1"/>
  <c r="C11681" i="1"/>
  <c r="D11681" i="1"/>
  <c r="E11681" i="1"/>
  <c r="F11681" i="1"/>
  <c r="G11681" i="1"/>
  <c r="H11681" i="1"/>
  <c r="I11681" i="1"/>
  <c r="J11681" i="1"/>
  <c r="K11681" i="1"/>
  <c r="L11681" i="1"/>
  <c r="A11682" i="1"/>
  <c r="B11682" i="1"/>
  <c r="C11682" i="1"/>
  <c r="D11682" i="1"/>
  <c r="E11682" i="1"/>
  <c r="F11682" i="1"/>
  <c r="G11682" i="1"/>
  <c r="H11682" i="1"/>
  <c r="I11682" i="1"/>
  <c r="J11682" i="1"/>
  <c r="K11682" i="1"/>
  <c r="L11682" i="1"/>
  <c r="A11683" i="1"/>
  <c r="B11683" i="1"/>
  <c r="C11683" i="1"/>
  <c r="D11683" i="1"/>
  <c r="E11683" i="1"/>
  <c r="F11683" i="1"/>
  <c r="G11683" i="1"/>
  <c r="H11683" i="1"/>
  <c r="I11683" i="1"/>
  <c r="J11683" i="1"/>
  <c r="K11683" i="1"/>
  <c r="L11683" i="1"/>
  <c r="A11684" i="1"/>
  <c r="B11684" i="1"/>
  <c r="C11684" i="1"/>
  <c r="D11684" i="1"/>
  <c r="E11684" i="1"/>
  <c r="F11684" i="1"/>
  <c r="G11684" i="1"/>
  <c r="H11684" i="1"/>
  <c r="I11684" i="1"/>
  <c r="J11684" i="1"/>
  <c r="K11684" i="1"/>
  <c r="L11684" i="1"/>
  <c r="A11685" i="1"/>
  <c r="B11685" i="1"/>
  <c r="C11685" i="1"/>
  <c r="D11685" i="1"/>
  <c r="E11685" i="1"/>
  <c r="F11685" i="1"/>
  <c r="G11685" i="1"/>
  <c r="H11685" i="1"/>
  <c r="I11685" i="1"/>
  <c r="J11685" i="1"/>
  <c r="K11685" i="1"/>
  <c r="L11685" i="1"/>
  <c r="A11686" i="1"/>
  <c r="B11686" i="1"/>
  <c r="C11686" i="1"/>
  <c r="D11686" i="1"/>
  <c r="E11686" i="1"/>
  <c r="F11686" i="1"/>
  <c r="G11686" i="1"/>
  <c r="H11686" i="1"/>
  <c r="I11686" i="1"/>
  <c r="J11686" i="1"/>
  <c r="K11686" i="1"/>
  <c r="L11686" i="1"/>
  <c r="A11687" i="1"/>
  <c r="B11687" i="1"/>
  <c r="C11687" i="1"/>
  <c r="D11687" i="1"/>
  <c r="E11687" i="1"/>
  <c r="F11687" i="1"/>
  <c r="G11687" i="1"/>
  <c r="H11687" i="1"/>
  <c r="I11687" i="1"/>
  <c r="J11687" i="1"/>
  <c r="K11687" i="1"/>
  <c r="L11687" i="1"/>
  <c r="A11688" i="1"/>
  <c r="B11688" i="1"/>
  <c r="C11688" i="1"/>
  <c r="D11688" i="1"/>
  <c r="E11688" i="1"/>
  <c r="F11688" i="1"/>
  <c r="G11688" i="1"/>
  <c r="H11688" i="1"/>
  <c r="I11688" i="1"/>
  <c r="J11688" i="1"/>
  <c r="K11688" i="1"/>
  <c r="L11688" i="1"/>
  <c r="A11689" i="1"/>
  <c r="B11689" i="1"/>
  <c r="C11689" i="1"/>
  <c r="D11689" i="1"/>
  <c r="E11689" i="1"/>
  <c r="F11689" i="1"/>
  <c r="G11689" i="1"/>
  <c r="H11689" i="1"/>
  <c r="I11689" i="1"/>
  <c r="J11689" i="1"/>
  <c r="K11689" i="1"/>
  <c r="L11689" i="1"/>
  <c r="A11690" i="1"/>
  <c r="B11690" i="1"/>
  <c r="C11690" i="1"/>
  <c r="D11690" i="1"/>
  <c r="E11690" i="1"/>
  <c r="F11690" i="1"/>
  <c r="G11690" i="1"/>
  <c r="H11690" i="1"/>
  <c r="I11690" i="1"/>
  <c r="J11690" i="1"/>
  <c r="K11690" i="1"/>
  <c r="L11690" i="1"/>
  <c r="A11691" i="1"/>
  <c r="B11691" i="1"/>
  <c r="C11691" i="1"/>
  <c r="D11691" i="1"/>
  <c r="E11691" i="1"/>
  <c r="F11691" i="1"/>
  <c r="G11691" i="1"/>
  <c r="H11691" i="1"/>
  <c r="I11691" i="1"/>
  <c r="J11691" i="1"/>
  <c r="K11691" i="1"/>
  <c r="L11691" i="1"/>
  <c r="A11692" i="1"/>
  <c r="B11692" i="1"/>
  <c r="C11692" i="1"/>
  <c r="D11692" i="1"/>
  <c r="E11692" i="1"/>
  <c r="F11692" i="1"/>
  <c r="G11692" i="1"/>
  <c r="H11692" i="1"/>
  <c r="I11692" i="1"/>
  <c r="J11692" i="1"/>
  <c r="K11692" i="1"/>
  <c r="L11692" i="1"/>
  <c r="A11693" i="1"/>
  <c r="B11693" i="1"/>
  <c r="C11693" i="1"/>
  <c r="D11693" i="1"/>
  <c r="E11693" i="1"/>
  <c r="F11693" i="1"/>
  <c r="G11693" i="1"/>
  <c r="H11693" i="1"/>
  <c r="I11693" i="1"/>
  <c r="J11693" i="1"/>
  <c r="K11693" i="1"/>
  <c r="L11693" i="1"/>
  <c r="A11694" i="1"/>
  <c r="B11694" i="1"/>
  <c r="C11694" i="1"/>
  <c r="D11694" i="1"/>
  <c r="E11694" i="1"/>
  <c r="F11694" i="1"/>
  <c r="G11694" i="1"/>
  <c r="H11694" i="1"/>
  <c r="I11694" i="1"/>
  <c r="J11694" i="1"/>
  <c r="K11694" i="1"/>
  <c r="L11694" i="1"/>
  <c r="A11695" i="1"/>
  <c r="B11695" i="1"/>
  <c r="C11695" i="1"/>
  <c r="D11695" i="1"/>
  <c r="E11695" i="1"/>
  <c r="F11695" i="1"/>
  <c r="G11695" i="1"/>
  <c r="H11695" i="1"/>
  <c r="I11695" i="1"/>
  <c r="J11695" i="1"/>
  <c r="K11695" i="1"/>
  <c r="L11695" i="1"/>
  <c r="A11696" i="1"/>
  <c r="B11696" i="1"/>
  <c r="C11696" i="1"/>
  <c r="D11696" i="1"/>
  <c r="E11696" i="1"/>
  <c r="F11696" i="1"/>
  <c r="G11696" i="1"/>
  <c r="H11696" i="1"/>
  <c r="I11696" i="1"/>
  <c r="J11696" i="1"/>
  <c r="K11696" i="1"/>
  <c r="L11696" i="1"/>
  <c r="A11697" i="1"/>
  <c r="B11697" i="1"/>
  <c r="C11697" i="1"/>
  <c r="D11697" i="1"/>
  <c r="E11697" i="1"/>
  <c r="F11697" i="1"/>
  <c r="G11697" i="1"/>
  <c r="H11697" i="1"/>
  <c r="I11697" i="1"/>
  <c r="J11697" i="1"/>
  <c r="K11697" i="1"/>
  <c r="L11697" i="1"/>
  <c r="A11698" i="1"/>
  <c r="B11698" i="1"/>
  <c r="C11698" i="1"/>
  <c r="D11698" i="1"/>
  <c r="E11698" i="1"/>
  <c r="F11698" i="1"/>
  <c r="G11698" i="1"/>
  <c r="H11698" i="1"/>
  <c r="I11698" i="1"/>
  <c r="J11698" i="1"/>
  <c r="K11698" i="1"/>
  <c r="L11698" i="1"/>
  <c r="A11699" i="1"/>
  <c r="B11699" i="1"/>
  <c r="C11699" i="1"/>
  <c r="D11699" i="1"/>
  <c r="E11699" i="1"/>
  <c r="F11699" i="1"/>
  <c r="G11699" i="1"/>
  <c r="H11699" i="1"/>
  <c r="I11699" i="1"/>
  <c r="J11699" i="1"/>
  <c r="K11699" i="1"/>
  <c r="L11699" i="1"/>
  <c r="A11700" i="1"/>
  <c r="B11700" i="1"/>
  <c r="C11700" i="1"/>
  <c r="D11700" i="1"/>
  <c r="E11700" i="1"/>
  <c r="F11700" i="1"/>
  <c r="G11700" i="1"/>
  <c r="H11700" i="1"/>
  <c r="I11700" i="1"/>
  <c r="J11700" i="1"/>
  <c r="K11700" i="1"/>
  <c r="L11700" i="1"/>
  <c r="A11701" i="1"/>
  <c r="B11701" i="1"/>
  <c r="C11701" i="1"/>
  <c r="D11701" i="1"/>
  <c r="E11701" i="1"/>
  <c r="F11701" i="1"/>
  <c r="G11701" i="1"/>
  <c r="H11701" i="1"/>
  <c r="I11701" i="1"/>
  <c r="J11701" i="1"/>
  <c r="K11701" i="1"/>
  <c r="L11701" i="1"/>
  <c r="A11702" i="1"/>
  <c r="B11702" i="1"/>
  <c r="C11702" i="1"/>
  <c r="D11702" i="1"/>
  <c r="E11702" i="1"/>
  <c r="F11702" i="1"/>
  <c r="G11702" i="1"/>
  <c r="H11702" i="1"/>
  <c r="I11702" i="1"/>
  <c r="J11702" i="1"/>
  <c r="K11702" i="1"/>
  <c r="L11702" i="1"/>
  <c r="A11703" i="1"/>
  <c r="B11703" i="1"/>
  <c r="C11703" i="1"/>
  <c r="D11703" i="1"/>
  <c r="E11703" i="1"/>
  <c r="F11703" i="1"/>
  <c r="G11703" i="1"/>
  <c r="H11703" i="1"/>
  <c r="I11703" i="1"/>
  <c r="J11703" i="1"/>
  <c r="K11703" i="1"/>
  <c r="L11703" i="1"/>
  <c r="A11704" i="1"/>
  <c r="B11704" i="1"/>
  <c r="C11704" i="1"/>
  <c r="D11704" i="1"/>
  <c r="E11704" i="1"/>
  <c r="F11704" i="1"/>
  <c r="G11704" i="1"/>
  <c r="H11704" i="1"/>
  <c r="I11704" i="1"/>
  <c r="J11704" i="1"/>
  <c r="K11704" i="1"/>
  <c r="L11704" i="1"/>
  <c r="A11705" i="1"/>
  <c r="B11705" i="1"/>
  <c r="C11705" i="1"/>
  <c r="D11705" i="1"/>
  <c r="E11705" i="1"/>
  <c r="F11705" i="1"/>
  <c r="G11705" i="1"/>
  <c r="H11705" i="1"/>
  <c r="I11705" i="1"/>
  <c r="J11705" i="1"/>
  <c r="K11705" i="1"/>
  <c r="L11705" i="1"/>
  <c r="A11706" i="1"/>
  <c r="B11706" i="1"/>
  <c r="C11706" i="1"/>
  <c r="D11706" i="1"/>
  <c r="E11706" i="1"/>
  <c r="F11706" i="1"/>
  <c r="G11706" i="1"/>
  <c r="H11706" i="1"/>
  <c r="I11706" i="1"/>
  <c r="J11706" i="1"/>
  <c r="K11706" i="1"/>
  <c r="L11706" i="1"/>
  <c r="A11707" i="1"/>
  <c r="B11707" i="1"/>
  <c r="C11707" i="1"/>
  <c r="D11707" i="1"/>
  <c r="E11707" i="1"/>
  <c r="F11707" i="1"/>
  <c r="G11707" i="1"/>
  <c r="H11707" i="1"/>
  <c r="I11707" i="1"/>
  <c r="J11707" i="1"/>
  <c r="K11707" i="1"/>
  <c r="L11707" i="1"/>
  <c r="A11708" i="1"/>
  <c r="B11708" i="1"/>
  <c r="C11708" i="1"/>
  <c r="D11708" i="1"/>
  <c r="E11708" i="1"/>
  <c r="F11708" i="1"/>
  <c r="G11708" i="1"/>
  <c r="H11708" i="1"/>
  <c r="I11708" i="1"/>
  <c r="J11708" i="1"/>
  <c r="K11708" i="1"/>
  <c r="L11708" i="1"/>
  <c r="A11709" i="1"/>
  <c r="B11709" i="1"/>
  <c r="C11709" i="1"/>
  <c r="D11709" i="1"/>
  <c r="E11709" i="1"/>
  <c r="F11709" i="1"/>
  <c r="G11709" i="1"/>
  <c r="H11709" i="1"/>
  <c r="I11709" i="1"/>
  <c r="J11709" i="1"/>
  <c r="K11709" i="1"/>
  <c r="L11709" i="1"/>
  <c r="A11710" i="1"/>
  <c r="B11710" i="1"/>
  <c r="C11710" i="1"/>
  <c r="D11710" i="1"/>
  <c r="E11710" i="1"/>
  <c r="F11710" i="1"/>
  <c r="G11710" i="1"/>
  <c r="H11710" i="1"/>
  <c r="I11710" i="1"/>
  <c r="J11710" i="1"/>
  <c r="K11710" i="1"/>
  <c r="L11710" i="1"/>
  <c r="A11711" i="1"/>
  <c r="B11711" i="1"/>
  <c r="C11711" i="1"/>
  <c r="D11711" i="1"/>
  <c r="E11711" i="1"/>
  <c r="F11711" i="1"/>
  <c r="G11711" i="1"/>
  <c r="H11711" i="1"/>
  <c r="I11711" i="1"/>
  <c r="J11711" i="1"/>
  <c r="K11711" i="1"/>
  <c r="L11711" i="1"/>
  <c r="A11712" i="1"/>
  <c r="B11712" i="1"/>
  <c r="C11712" i="1"/>
  <c r="D11712" i="1"/>
  <c r="E11712" i="1"/>
  <c r="F11712" i="1"/>
  <c r="G11712" i="1"/>
  <c r="H11712" i="1"/>
  <c r="I11712" i="1"/>
  <c r="J11712" i="1"/>
  <c r="K11712" i="1"/>
  <c r="L11712" i="1"/>
  <c r="A11713" i="1"/>
  <c r="B11713" i="1"/>
  <c r="C11713" i="1"/>
  <c r="D11713" i="1"/>
  <c r="E11713" i="1"/>
  <c r="F11713" i="1"/>
  <c r="G11713" i="1"/>
  <c r="H11713" i="1"/>
  <c r="I11713" i="1"/>
  <c r="J11713" i="1"/>
  <c r="K11713" i="1"/>
  <c r="L11713" i="1"/>
  <c r="A11714" i="1"/>
  <c r="B11714" i="1"/>
  <c r="C11714" i="1"/>
  <c r="D11714" i="1"/>
  <c r="E11714" i="1"/>
  <c r="F11714" i="1"/>
  <c r="G11714" i="1"/>
  <c r="H11714" i="1"/>
  <c r="I11714" i="1"/>
  <c r="J11714" i="1"/>
  <c r="K11714" i="1"/>
  <c r="L11714" i="1"/>
  <c r="A11715" i="1"/>
  <c r="B11715" i="1"/>
  <c r="C11715" i="1"/>
  <c r="D11715" i="1"/>
  <c r="E11715" i="1"/>
  <c r="F11715" i="1"/>
  <c r="G11715" i="1"/>
  <c r="H11715" i="1"/>
  <c r="I11715" i="1"/>
  <c r="J11715" i="1"/>
  <c r="K11715" i="1"/>
  <c r="L11715" i="1"/>
  <c r="A11716" i="1"/>
  <c r="B11716" i="1"/>
  <c r="C11716" i="1"/>
  <c r="D11716" i="1"/>
  <c r="E11716" i="1"/>
  <c r="F11716" i="1"/>
  <c r="G11716" i="1"/>
  <c r="H11716" i="1"/>
  <c r="I11716" i="1"/>
  <c r="J11716" i="1"/>
  <c r="K11716" i="1"/>
  <c r="L11716" i="1"/>
  <c r="A11717" i="1"/>
  <c r="B11717" i="1"/>
  <c r="C11717" i="1"/>
  <c r="D11717" i="1"/>
  <c r="E11717" i="1"/>
  <c r="F11717" i="1"/>
  <c r="G11717" i="1"/>
  <c r="H11717" i="1"/>
  <c r="I11717" i="1"/>
  <c r="J11717" i="1"/>
  <c r="K11717" i="1"/>
  <c r="L11717" i="1"/>
  <c r="A11718" i="1"/>
  <c r="B11718" i="1"/>
  <c r="C11718" i="1"/>
  <c r="D11718" i="1"/>
  <c r="E11718" i="1"/>
  <c r="F11718" i="1"/>
  <c r="G11718" i="1"/>
  <c r="H11718" i="1"/>
  <c r="I11718" i="1"/>
  <c r="J11718" i="1"/>
  <c r="K11718" i="1"/>
  <c r="L11718" i="1"/>
  <c r="A11719" i="1"/>
  <c r="B11719" i="1"/>
  <c r="C11719" i="1"/>
  <c r="D11719" i="1"/>
  <c r="E11719" i="1"/>
  <c r="F11719" i="1"/>
  <c r="G11719" i="1"/>
  <c r="H11719" i="1"/>
  <c r="I11719" i="1"/>
  <c r="J11719" i="1"/>
  <c r="K11719" i="1"/>
  <c r="L11719" i="1"/>
  <c r="A11720" i="1"/>
  <c r="B11720" i="1"/>
  <c r="C11720" i="1"/>
  <c r="D11720" i="1"/>
  <c r="E11720" i="1"/>
  <c r="F11720" i="1"/>
  <c r="G11720" i="1"/>
  <c r="H11720" i="1"/>
  <c r="I11720" i="1"/>
  <c r="J11720" i="1"/>
  <c r="K11720" i="1"/>
  <c r="L11720" i="1"/>
  <c r="A11721" i="1"/>
  <c r="B11721" i="1"/>
  <c r="C11721" i="1"/>
  <c r="D11721" i="1"/>
  <c r="E11721" i="1"/>
  <c r="F11721" i="1"/>
  <c r="G11721" i="1"/>
  <c r="H11721" i="1"/>
  <c r="I11721" i="1"/>
  <c r="J11721" i="1"/>
  <c r="K11721" i="1"/>
  <c r="L11721" i="1"/>
  <c r="A11722" i="1"/>
  <c r="B11722" i="1"/>
  <c r="C11722" i="1"/>
  <c r="D11722" i="1"/>
  <c r="E11722" i="1"/>
  <c r="F11722" i="1"/>
  <c r="G11722" i="1"/>
  <c r="H11722" i="1"/>
  <c r="I11722" i="1"/>
  <c r="J11722" i="1"/>
  <c r="K11722" i="1"/>
  <c r="L11722" i="1"/>
  <c r="A11723" i="1"/>
  <c r="B11723" i="1"/>
  <c r="C11723" i="1"/>
  <c r="D11723" i="1"/>
  <c r="E11723" i="1"/>
  <c r="F11723" i="1"/>
  <c r="G11723" i="1"/>
  <c r="H11723" i="1"/>
  <c r="I11723" i="1"/>
  <c r="J11723" i="1"/>
  <c r="K11723" i="1"/>
  <c r="L11723" i="1"/>
  <c r="A11724" i="1"/>
  <c r="B11724" i="1"/>
  <c r="C11724" i="1"/>
  <c r="D11724" i="1"/>
  <c r="E11724" i="1"/>
  <c r="F11724" i="1"/>
  <c r="G11724" i="1"/>
  <c r="H11724" i="1"/>
  <c r="I11724" i="1"/>
  <c r="J11724" i="1"/>
  <c r="K11724" i="1"/>
  <c r="L11724" i="1"/>
  <c r="A11725" i="1"/>
  <c r="B11725" i="1"/>
  <c r="C11725" i="1"/>
  <c r="D11725" i="1"/>
  <c r="E11725" i="1"/>
  <c r="F11725" i="1"/>
  <c r="G11725" i="1"/>
  <c r="H11725" i="1"/>
  <c r="I11725" i="1"/>
  <c r="J11725" i="1"/>
  <c r="K11725" i="1"/>
  <c r="L11725" i="1"/>
  <c r="A11726" i="1"/>
  <c r="B11726" i="1"/>
  <c r="C11726" i="1"/>
  <c r="D11726" i="1"/>
  <c r="E11726" i="1"/>
  <c r="F11726" i="1"/>
  <c r="G11726" i="1"/>
  <c r="H11726" i="1"/>
  <c r="I11726" i="1"/>
  <c r="J11726" i="1"/>
  <c r="K11726" i="1"/>
  <c r="L11726" i="1"/>
  <c r="A11727" i="1"/>
  <c r="B11727" i="1"/>
  <c r="C11727" i="1"/>
  <c r="D11727" i="1"/>
  <c r="E11727" i="1"/>
  <c r="F11727" i="1"/>
  <c r="G11727" i="1"/>
  <c r="H11727" i="1"/>
  <c r="I11727" i="1"/>
  <c r="J11727" i="1"/>
  <c r="K11727" i="1"/>
  <c r="L11727" i="1"/>
  <c r="A11728" i="1"/>
  <c r="B11728" i="1"/>
  <c r="C11728" i="1"/>
  <c r="D11728" i="1"/>
  <c r="E11728" i="1"/>
  <c r="F11728" i="1"/>
  <c r="G11728" i="1"/>
  <c r="H11728" i="1"/>
  <c r="I11728" i="1"/>
  <c r="J11728" i="1"/>
  <c r="K11728" i="1"/>
  <c r="L11728" i="1"/>
  <c r="A11729" i="1"/>
  <c r="B11729" i="1"/>
  <c r="C11729" i="1"/>
  <c r="D11729" i="1"/>
  <c r="E11729" i="1"/>
  <c r="F11729" i="1"/>
  <c r="G11729" i="1"/>
  <c r="H11729" i="1"/>
  <c r="I11729" i="1"/>
  <c r="J11729" i="1"/>
  <c r="K11729" i="1"/>
  <c r="L11729" i="1"/>
  <c r="A11730" i="1"/>
  <c r="B11730" i="1"/>
  <c r="C11730" i="1"/>
  <c r="D11730" i="1"/>
  <c r="E11730" i="1"/>
  <c r="F11730" i="1"/>
  <c r="G11730" i="1"/>
  <c r="H11730" i="1"/>
  <c r="I11730" i="1"/>
  <c r="J11730" i="1"/>
  <c r="K11730" i="1"/>
  <c r="L11730" i="1"/>
  <c r="A11731" i="1"/>
  <c r="B11731" i="1"/>
  <c r="C11731" i="1"/>
  <c r="D11731" i="1"/>
  <c r="E11731" i="1"/>
  <c r="F11731" i="1"/>
  <c r="G11731" i="1"/>
  <c r="H11731" i="1"/>
  <c r="I11731" i="1"/>
  <c r="J11731" i="1"/>
  <c r="K11731" i="1"/>
  <c r="L11731" i="1"/>
  <c r="A11732" i="1"/>
  <c r="B11732" i="1"/>
  <c r="C11732" i="1"/>
  <c r="D11732" i="1"/>
  <c r="E11732" i="1"/>
  <c r="F11732" i="1"/>
  <c r="G11732" i="1"/>
  <c r="H11732" i="1"/>
  <c r="I11732" i="1"/>
  <c r="J11732" i="1"/>
  <c r="K11732" i="1"/>
  <c r="L11732" i="1"/>
  <c r="A11733" i="1"/>
  <c r="B11733" i="1"/>
  <c r="C11733" i="1"/>
  <c r="D11733" i="1"/>
  <c r="E11733" i="1"/>
  <c r="F11733" i="1"/>
  <c r="G11733" i="1"/>
  <c r="H11733" i="1"/>
  <c r="I11733" i="1"/>
  <c r="J11733" i="1"/>
  <c r="K11733" i="1"/>
  <c r="L11733" i="1"/>
  <c r="A11734" i="1"/>
  <c r="B11734" i="1"/>
  <c r="C11734" i="1"/>
  <c r="D11734" i="1"/>
  <c r="E11734" i="1"/>
  <c r="F11734" i="1"/>
  <c r="G11734" i="1"/>
  <c r="H11734" i="1"/>
  <c r="I11734" i="1"/>
  <c r="J11734" i="1"/>
  <c r="K11734" i="1"/>
  <c r="L11734" i="1"/>
  <c r="A11735" i="1"/>
  <c r="B11735" i="1"/>
  <c r="C11735" i="1"/>
  <c r="D11735" i="1"/>
  <c r="E11735" i="1"/>
  <c r="F11735" i="1"/>
  <c r="G11735" i="1"/>
  <c r="H11735" i="1"/>
  <c r="I11735" i="1"/>
  <c r="J11735" i="1"/>
  <c r="K11735" i="1"/>
  <c r="L11735" i="1"/>
  <c r="A11736" i="1"/>
  <c r="B11736" i="1"/>
  <c r="C11736" i="1"/>
  <c r="D11736" i="1"/>
  <c r="E11736" i="1"/>
  <c r="F11736" i="1"/>
  <c r="G11736" i="1"/>
  <c r="H11736" i="1"/>
  <c r="I11736" i="1"/>
  <c r="J11736" i="1"/>
  <c r="K11736" i="1"/>
  <c r="L11736" i="1"/>
  <c r="A11737" i="1"/>
  <c r="B11737" i="1"/>
  <c r="C11737" i="1"/>
  <c r="D11737" i="1"/>
  <c r="E11737" i="1"/>
  <c r="F11737" i="1"/>
  <c r="G11737" i="1"/>
  <c r="H11737" i="1"/>
  <c r="I11737" i="1"/>
  <c r="J11737" i="1"/>
  <c r="K11737" i="1"/>
  <c r="L11737" i="1"/>
  <c r="A11738" i="1"/>
  <c r="B11738" i="1"/>
  <c r="C11738" i="1"/>
  <c r="D11738" i="1"/>
  <c r="E11738" i="1"/>
  <c r="F11738" i="1"/>
  <c r="G11738" i="1"/>
  <c r="H11738" i="1"/>
  <c r="I11738" i="1"/>
  <c r="J11738" i="1"/>
  <c r="K11738" i="1"/>
  <c r="L11738" i="1"/>
  <c r="A11739" i="1"/>
  <c r="B11739" i="1"/>
  <c r="C11739" i="1"/>
  <c r="D11739" i="1"/>
  <c r="E11739" i="1"/>
  <c r="F11739" i="1"/>
  <c r="G11739" i="1"/>
  <c r="H11739" i="1"/>
  <c r="I11739" i="1"/>
  <c r="J11739" i="1"/>
  <c r="K11739" i="1"/>
  <c r="L11739" i="1"/>
  <c r="A11740" i="1"/>
  <c r="B11740" i="1"/>
  <c r="C11740" i="1"/>
  <c r="D11740" i="1"/>
  <c r="E11740" i="1"/>
  <c r="F11740" i="1"/>
  <c r="G11740" i="1"/>
  <c r="H11740" i="1"/>
  <c r="I11740" i="1"/>
  <c r="J11740" i="1"/>
  <c r="K11740" i="1"/>
  <c r="L11740" i="1"/>
  <c r="A11741" i="1"/>
  <c r="B11741" i="1"/>
  <c r="C11741" i="1"/>
  <c r="D11741" i="1"/>
  <c r="E11741" i="1"/>
  <c r="F11741" i="1"/>
  <c r="G11741" i="1"/>
  <c r="H11741" i="1"/>
  <c r="I11741" i="1"/>
  <c r="J11741" i="1"/>
  <c r="K11741" i="1"/>
  <c r="L11741" i="1"/>
  <c r="A11742" i="1"/>
  <c r="B11742" i="1"/>
  <c r="C11742" i="1"/>
  <c r="D11742" i="1"/>
  <c r="E11742" i="1"/>
  <c r="F11742" i="1"/>
  <c r="G11742" i="1"/>
  <c r="H11742" i="1"/>
  <c r="I11742" i="1"/>
  <c r="J11742" i="1"/>
  <c r="K11742" i="1"/>
  <c r="L11742" i="1"/>
  <c r="A11743" i="1"/>
  <c r="B11743" i="1"/>
  <c r="C11743" i="1"/>
  <c r="D11743" i="1"/>
  <c r="E11743" i="1"/>
  <c r="F11743" i="1"/>
  <c r="G11743" i="1"/>
  <c r="H11743" i="1"/>
  <c r="I11743" i="1"/>
  <c r="J11743" i="1"/>
  <c r="K11743" i="1"/>
  <c r="L11743" i="1"/>
  <c r="A11744" i="1"/>
  <c r="B11744" i="1"/>
  <c r="C11744" i="1"/>
  <c r="D11744" i="1"/>
  <c r="E11744" i="1"/>
  <c r="F11744" i="1"/>
  <c r="G11744" i="1"/>
  <c r="H11744" i="1"/>
  <c r="I11744" i="1"/>
  <c r="J11744" i="1"/>
  <c r="K11744" i="1"/>
  <c r="L11744" i="1"/>
  <c r="A11745" i="1"/>
  <c r="B11745" i="1"/>
  <c r="C11745" i="1"/>
  <c r="D11745" i="1"/>
  <c r="E11745" i="1"/>
  <c r="F11745" i="1"/>
  <c r="G11745" i="1"/>
  <c r="H11745" i="1"/>
  <c r="I11745" i="1"/>
  <c r="J11745" i="1"/>
  <c r="K11745" i="1"/>
  <c r="L11745" i="1"/>
  <c r="A11746" i="1"/>
  <c r="B11746" i="1"/>
  <c r="C11746" i="1"/>
  <c r="D11746" i="1"/>
  <c r="E11746" i="1"/>
  <c r="F11746" i="1"/>
  <c r="G11746" i="1"/>
  <c r="H11746" i="1"/>
  <c r="I11746" i="1"/>
  <c r="J11746" i="1"/>
  <c r="K11746" i="1"/>
  <c r="L11746" i="1"/>
  <c r="A11747" i="1"/>
  <c r="B11747" i="1"/>
  <c r="C11747" i="1"/>
  <c r="D11747" i="1"/>
  <c r="E11747" i="1"/>
  <c r="F11747" i="1"/>
  <c r="G11747" i="1"/>
  <c r="H11747" i="1"/>
  <c r="I11747" i="1"/>
  <c r="J11747" i="1"/>
  <c r="K11747" i="1"/>
  <c r="L11747" i="1"/>
  <c r="A11748" i="1"/>
  <c r="B11748" i="1"/>
  <c r="C11748" i="1"/>
  <c r="D11748" i="1"/>
  <c r="E11748" i="1"/>
  <c r="F11748" i="1"/>
  <c r="G11748" i="1"/>
  <c r="H11748" i="1"/>
  <c r="I11748" i="1"/>
  <c r="J11748" i="1"/>
  <c r="K11748" i="1"/>
  <c r="L11748" i="1"/>
  <c r="A11749" i="1"/>
  <c r="B11749" i="1"/>
  <c r="C11749" i="1"/>
  <c r="D11749" i="1"/>
  <c r="E11749" i="1"/>
  <c r="F11749" i="1"/>
  <c r="G11749" i="1"/>
  <c r="H11749" i="1"/>
  <c r="I11749" i="1"/>
  <c r="J11749" i="1"/>
  <c r="K11749" i="1"/>
  <c r="L11749" i="1"/>
  <c r="A11750" i="1"/>
  <c r="B11750" i="1"/>
  <c r="C11750" i="1"/>
  <c r="D11750" i="1"/>
  <c r="E11750" i="1"/>
  <c r="F11750" i="1"/>
  <c r="G11750" i="1"/>
  <c r="H11750" i="1"/>
  <c r="I11750" i="1"/>
  <c r="J11750" i="1"/>
  <c r="K11750" i="1"/>
  <c r="L11750" i="1"/>
  <c r="A11751" i="1"/>
  <c r="B11751" i="1"/>
  <c r="C11751" i="1"/>
  <c r="D11751" i="1"/>
  <c r="E11751" i="1"/>
  <c r="F11751" i="1"/>
  <c r="G11751" i="1"/>
  <c r="H11751" i="1"/>
  <c r="I11751" i="1"/>
  <c r="J11751" i="1"/>
  <c r="K11751" i="1"/>
  <c r="L11751" i="1"/>
  <c r="A11752" i="1"/>
  <c r="B11752" i="1"/>
  <c r="C11752" i="1"/>
  <c r="D11752" i="1"/>
  <c r="E11752" i="1"/>
  <c r="F11752" i="1"/>
  <c r="G11752" i="1"/>
  <c r="H11752" i="1"/>
  <c r="I11752" i="1"/>
  <c r="J11752" i="1"/>
  <c r="K11752" i="1"/>
  <c r="L11752" i="1"/>
  <c r="A11753" i="1"/>
  <c r="B11753" i="1"/>
  <c r="C11753" i="1"/>
  <c r="D11753" i="1"/>
  <c r="E11753" i="1"/>
  <c r="F11753" i="1"/>
  <c r="G11753" i="1"/>
  <c r="H11753" i="1"/>
  <c r="I11753" i="1"/>
  <c r="J11753" i="1"/>
  <c r="K11753" i="1"/>
  <c r="L11753" i="1"/>
  <c r="A11754" i="1"/>
  <c r="B11754" i="1"/>
  <c r="C11754" i="1"/>
  <c r="D11754" i="1"/>
  <c r="E11754" i="1"/>
  <c r="F11754" i="1"/>
  <c r="G11754" i="1"/>
  <c r="H11754" i="1"/>
  <c r="I11754" i="1"/>
  <c r="J11754" i="1"/>
  <c r="K11754" i="1"/>
  <c r="L11754" i="1"/>
  <c r="A11755" i="1"/>
  <c r="B11755" i="1"/>
  <c r="C11755" i="1"/>
  <c r="D11755" i="1"/>
  <c r="E11755" i="1"/>
  <c r="F11755" i="1"/>
  <c r="G11755" i="1"/>
  <c r="H11755" i="1"/>
  <c r="I11755" i="1"/>
  <c r="J11755" i="1"/>
  <c r="K11755" i="1"/>
  <c r="L11755" i="1"/>
  <c r="A11756" i="1"/>
  <c r="B11756" i="1"/>
  <c r="C11756" i="1"/>
  <c r="D11756" i="1"/>
  <c r="E11756" i="1"/>
  <c r="F11756" i="1"/>
  <c r="G11756" i="1"/>
  <c r="H11756" i="1"/>
  <c r="I11756" i="1"/>
  <c r="J11756" i="1"/>
  <c r="K11756" i="1"/>
  <c r="L11756" i="1"/>
  <c r="A11757" i="1"/>
  <c r="B11757" i="1"/>
  <c r="C11757" i="1"/>
  <c r="D11757" i="1"/>
  <c r="E11757" i="1"/>
  <c r="F11757" i="1"/>
  <c r="G11757" i="1"/>
  <c r="H11757" i="1"/>
  <c r="I11757" i="1"/>
  <c r="J11757" i="1"/>
  <c r="K11757" i="1"/>
  <c r="L11757" i="1"/>
  <c r="A11758" i="1"/>
  <c r="B11758" i="1"/>
  <c r="C11758" i="1"/>
  <c r="D11758" i="1"/>
  <c r="E11758" i="1"/>
  <c r="F11758" i="1"/>
  <c r="G11758" i="1"/>
  <c r="H11758" i="1"/>
  <c r="I11758" i="1"/>
  <c r="J11758" i="1"/>
  <c r="K11758" i="1"/>
  <c r="L11758" i="1"/>
  <c r="A11759" i="1"/>
  <c r="B11759" i="1"/>
  <c r="C11759" i="1"/>
  <c r="D11759" i="1"/>
  <c r="E11759" i="1"/>
  <c r="F11759" i="1"/>
  <c r="G11759" i="1"/>
  <c r="H11759" i="1"/>
  <c r="I11759" i="1"/>
  <c r="J11759" i="1"/>
  <c r="K11759" i="1"/>
  <c r="L11759" i="1"/>
  <c r="A11760" i="1"/>
  <c r="B11760" i="1"/>
  <c r="C11760" i="1"/>
  <c r="D11760" i="1"/>
  <c r="E11760" i="1"/>
  <c r="F11760" i="1"/>
  <c r="G11760" i="1"/>
  <c r="H11760" i="1"/>
  <c r="I11760" i="1"/>
  <c r="J11760" i="1"/>
  <c r="K11760" i="1"/>
  <c r="L11760" i="1"/>
  <c r="A11761" i="1"/>
  <c r="B11761" i="1"/>
  <c r="C11761" i="1"/>
  <c r="D11761" i="1"/>
  <c r="E11761" i="1"/>
  <c r="F11761" i="1"/>
  <c r="G11761" i="1"/>
  <c r="H11761" i="1"/>
  <c r="I11761" i="1"/>
  <c r="J11761" i="1"/>
  <c r="K11761" i="1"/>
  <c r="L11761" i="1"/>
  <c r="A11762" i="1"/>
  <c r="B11762" i="1"/>
  <c r="C11762" i="1"/>
  <c r="D11762" i="1"/>
  <c r="E11762" i="1"/>
  <c r="F11762" i="1"/>
  <c r="G11762" i="1"/>
  <c r="H11762" i="1"/>
  <c r="I11762" i="1"/>
  <c r="J11762" i="1"/>
  <c r="K11762" i="1"/>
  <c r="L11762" i="1"/>
  <c r="A11763" i="1"/>
  <c r="B11763" i="1"/>
  <c r="C11763" i="1"/>
  <c r="D11763" i="1"/>
  <c r="E11763" i="1"/>
  <c r="F11763" i="1"/>
  <c r="G11763" i="1"/>
  <c r="H11763" i="1"/>
  <c r="I11763" i="1"/>
  <c r="J11763" i="1"/>
  <c r="K11763" i="1"/>
  <c r="L11763" i="1"/>
  <c r="A11764" i="1"/>
  <c r="B11764" i="1"/>
  <c r="C11764" i="1"/>
  <c r="D11764" i="1"/>
  <c r="E11764" i="1"/>
  <c r="F11764" i="1"/>
  <c r="G11764" i="1"/>
  <c r="H11764" i="1"/>
  <c r="I11764" i="1"/>
  <c r="J11764" i="1"/>
  <c r="K11764" i="1"/>
  <c r="L11764" i="1"/>
  <c r="A11765" i="1"/>
  <c r="B11765" i="1"/>
  <c r="C11765" i="1"/>
  <c r="D11765" i="1"/>
  <c r="E11765" i="1"/>
  <c r="F11765" i="1"/>
  <c r="G11765" i="1"/>
  <c r="H11765" i="1"/>
  <c r="I11765" i="1"/>
  <c r="J11765" i="1"/>
  <c r="K11765" i="1"/>
  <c r="L11765" i="1"/>
  <c r="A11766" i="1"/>
  <c r="B11766" i="1"/>
  <c r="C11766" i="1"/>
  <c r="D11766" i="1"/>
  <c r="E11766" i="1"/>
  <c r="F11766" i="1"/>
  <c r="G11766" i="1"/>
  <c r="H11766" i="1"/>
  <c r="I11766" i="1"/>
  <c r="J11766" i="1"/>
  <c r="K11766" i="1"/>
  <c r="L11766" i="1"/>
  <c r="A11767" i="1"/>
  <c r="B11767" i="1"/>
  <c r="C11767" i="1"/>
  <c r="D11767" i="1"/>
  <c r="E11767" i="1"/>
  <c r="F11767" i="1"/>
  <c r="G11767" i="1"/>
  <c r="H11767" i="1"/>
  <c r="I11767" i="1"/>
  <c r="J11767" i="1"/>
  <c r="K11767" i="1"/>
  <c r="L11767" i="1"/>
  <c r="A11768" i="1"/>
  <c r="B11768" i="1"/>
  <c r="C11768" i="1"/>
  <c r="D11768" i="1"/>
  <c r="E11768" i="1"/>
  <c r="F11768" i="1"/>
  <c r="G11768" i="1"/>
  <c r="H11768" i="1"/>
  <c r="I11768" i="1"/>
  <c r="J11768" i="1"/>
  <c r="K11768" i="1"/>
  <c r="L11768" i="1"/>
  <c r="A11769" i="1"/>
  <c r="B11769" i="1"/>
  <c r="C11769" i="1"/>
  <c r="D11769" i="1"/>
  <c r="E11769" i="1"/>
  <c r="F11769" i="1"/>
  <c r="G11769" i="1"/>
  <c r="H11769" i="1"/>
  <c r="I11769" i="1"/>
  <c r="J11769" i="1"/>
  <c r="K11769" i="1"/>
  <c r="L11769" i="1"/>
  <c r="A11770" i="1"/>
  <c r="B11770" i="1"/>
  <c r="C11770" i="1"/>
  <c r="D11770" i="1"/>
  <c r="E11770" i="1"/>
  <c r="F11770" i="1"/>
  <c r="G11770" i="1"/>
  <c r="H11770" i="1"/>
  <c r="I11770" i="1"/>
  <c r="J11770" i="1"/>
  <c r="K11770" i="1"/>
  <c r="L11770" i="1"/>
  <c r="A11771" i="1"/>
  <c r="B11771" i="1"/>
  <c r="C11771" i="1"/>
  <c r="D11771" i="1"/>
  <c r="E11771" i="1"/>
  <c r="F11771" i="1"/>
  <c r="G11771" i="1"/>
  <c r="H11771" i="1"/>
  <c r="I11771" i="1"/>
  <c r="J11771" i="1"/>
  <c r="K11771" i="1"/>
  <c r="L11771" i="1"/>
  <c r="A11772" i="1"/>
  <c r="B11772" i="1"/>
  <c r="C11772" i="1"/>
  <c r="D11772" i="1"/>
  <c r="E11772" i="1"/>
  <c r="F11772" i="1"/>
  <c r="G11772" i="1"/>
  <c r="H11772" i="1"/>
  <c r="I11772" i="1"/>
  <c r="J11772" i="1"/>
  <c r="K11772" i="1"/>
  <c r="L11772" i="1"/>
  <c r="A11773" i="1"/>
  <c r="B11773" i="1"/>
  <c r="C11773" i="1"/>
  <c r="D11773" i="1"/>
  <c r="E11773" i="1"/>
  <c r="F11773" i="1"/>
  <c r="G11773" i="1"/>
  <c r="H11773" i="1"/>
  <c r="I11773" i="1"/>
  <c r="J11773" i="1"/>
  <c r="K11773" i="1"/>
  <c r="L11773" i="1"/>
  <c r="A11774" i="1"/>
  <c r="B11774" i="1"/>
  <c r="C11774" i="1"/>
  <c r="D11774" i="1"/>
  <c r="E11774" i="1"/>
  <c r="F11774" i="1"/>
  <c r="G11774" i="1"/>
  <c r="H11774" i="1"/>
  <c r="I11774" i="1"/>
  <c r="J11774" i="1"/>
  <c r="K11774" i="1"/>
  <c r="L11774" i="1"/>
  <c r="A11775" i="1"/>
  <c r="B11775" i="1"/>
  <c r="C11775" i="1"/>
  <c r="D11775" i="1"/>
  <c r="E11775" i="1"/>
  <c r="F11775" i="1"/>
  <c r="G11775" i="1"/>
  <c r="H11775" i="1"/>
  <c r="I11775" i="1"/>
  <c r="J11775" i="1"/>
  <c r="K11775" i="1"/>
  <c r="L11775" i="1"/>
  <c r="A11776" i="1"/>
  <c r="B11776" i="1"/>
  <c r="C11776" i="1"/>
  <c r="D11776" i="1"/>
  <c r="E11776" i="1"/>
  <c r="F11776" i="1"/>
  <c r="G11776" i="1"/>
  <c r="H11776" i="1"/>
  <c r="I11776" i="1"/>
  <c r="J11776" i="1"/>
  <c r="K11776" i="1"/>
  <c r="L11776" i="1"/>
  <c r="A11777" i="1"/>
  <c r="B11777" i="1"/>
  <c r="C11777" i="1"/>
  <c r="D11777" i="1"/>
  <c r="E11777" i="1"/>
  <c r="F11777" i="1"/>
  <c r="G11777" i="1"/>
  <c r="H11777" i="1"/>
  <c r="I11777" i="1"/>
  <c r="J11777" i="1"/>
  <c r="K11777" i="1"/>
  <c r="L11777" i="1"/>
  <c r="A11778" i="1"/>
  <c r="B11778" i="1"/>
  <c r="C11778" i="1"/>
  <c r="D11778" i="1"/>
  <c r="E11778" i="1"/>
  <c r="F11778" i="1"/>
  <c r="G11778" i="1"/>
  <c r="H11778" i="1"/>
  <c r="I11778" i="1"/>
  <c r="J11778" i="1"/>
  <c r="K11778" i="1"/>
  <c r="L11778" i="1"/>
  <c r="A11779" i="1"/>
  <c r="B11779" i="1"/>
  <c r="C11779" i="1"/>
  <c r="D11779" i="1"/>
  <c r="E11779" i="1"/>
  <c r="F11779" i="1"/>
  <c r="G11779" i="1"/>
  <c r="H11779" i="1"/>
  <c r="I11779" i="1"/>
  <c r="J11779" i="1"/>
  <c r="K11779" i="1"/>
  <c r="L11779" i="1"/>
  <c r="A11780" i="1"/>
  <c r="B11780" i="1"/>
  <c r="C11780" i="1"/>
  <c r="D11780" i="1"/>
  <c r="E11780" i="1"/>
  <c r="F11780" i="1"/>
  <c r="G11780" i="1"/>
  <c r="H11780" i="1"/>
  <c r="I11780" i="1"/>
  <c r="J11780" i="1"/>
  <c r="K11780" i="1"/>
  <c r="L11780" i="1"/>
  <c r="A11781" i="1"/>
  <c r="B11781" i="1"/>
  <c r="C11781" i="1"/>
  <c r="D11781" i="1"/>
  <c r="E11781" i="1"/>
  <c r="F11781" i="1"/>
  <c r="G11781" i="1"/>
  <c r="H11781" i="1"/>
  <c r="I11781" i="1"/>
  <c r="J11781" i="1"/>
  <c r="K11781" i="1"/>
  <c r="L11781" i="1"/>
  <c r="A11782" i="1"/>
  <c r="B11782" i="1"/>
  <c r="C11782" i="1"/>
  <c r="D11782" i="1"/>
  <c r="E11782" i="1"/>
  <c r="F11782" i="1"/>
  <c r="G11782" i="1"/>
  <c r="H11782" i="1"/>
  <c r="I11782" i="1"/>
  <c r="J11782" i="1"/>
  <c r="K11782" i="1"/>
  <c r="L11782" i="1"/>
  <c r="A11783" i="1"/>
  <c r="B11783" i="1"/>
  <c r="C11783" i="1"/>
  <c r="D11783" i="1"/>
  <c r="E11783" i="1"/>
  <c r="F11783" i="1"/>
  <c r="G11783" i="1"/>
  <c r="H11783" i="1"/>
  <c r="I11783" i="1"/>
  <c r="J11783" i="1"/>
  <c r="K11783" i="1"/>
  <c r="L11783" i="1"/>
  <c r="A11784" i="1"/>
  <c r="B11784" i="1"/>
  <c r="C11784" i="1"/>
  <c r="D11784" i="1"/>
  <c r="E11784" i="1"/>
  <c r="F11784" i="1"/>
  <c r="G11784" i="1"/>
  <c r="H11784" i="1"/>
  <c r="I11784" i="1"/>
  <c r="J11784" i="1"/>
  <c r="K11784" i="1"/>
  <c r="L11784" i="1"/>
  <c r="A11785" i="1"/>
  <c r="B11785" i="1"/>
  <c r="C11785" i="1"/>
  <c r="D11785" i="1"/>
  <c r="E11785" i="1"/>
  <c r="F11785" i="1"/>
  <c r="G11785" i="1"/>
  <c r="H11785" i="1"/>
  <c r="I11785" i="1"/>
  <c r="J11785" i="1"/>
  <c r="K11785" i="1"/>
  <c r="L11785" i="1"/>
  <c r="A11786" i="1"/>
  <c r="B11786" i="1"/>
  <c r="C11786" i="1"/>
  <c r="D11786" i="1"/>
  <c r="E11786" i="1"/>
  <c r="F11786" i="1"/>
  <c r="G11786" i="1"/>
  <c r="H11786" i="1"/>
  <c r="I11786" i="1"/>
  <c r="J11786" i="1"/>
  <c r="K11786" i="1"/>
  <c r="L11786" i="1"/>
  <c r="A11787" i="1"/>
  <c r="B11787" i="1"/>
  <c r="C11787" i="1"/>
  <c r="D11787" i="1"/>
  <c r="E11787" i="1"/>
  <c r="F11787" i="1"/>
  <c r="G11787" i="1"/>
  <c r="H11787" i="1"/>
  <c r="I11787" i="1"/>
  <c r="J11787" i="1"/>
  <c r="K11787" i="1"/>
  <c r="L11787" i="1"/>
  <c r="A11788" i="1"/>
  <c r="B11788" i="1"/>
  <c r="C11788" i="1"/>
  <c r="D11788" i="1"/>
  <c r="E11788" i="1"/>
  <c r="F11788" i="1"/>
  <c r="G11788" i="1"/>
  <c r="H11788" i="1"/>
  <c r="I11788" i="1"/>
  <c r="J11788" i="1"/>
  <c r="K11788" i="1"/>
  <c r="L11788" i="1"/>
  <c r="A11789" i="1"/>
  <c r="B11789" i="1"/>
  <c r="C11789" i="1"/>
  <c r="D11789" i="1"/>
  <c r="E11789" i="1"/>
  <c r="F11789" i="1"/>
  <c r="G11789" i="1"/>
  <c r="H11789" i="1"/>
  <c r="I11789" i="1"/>
  <c r="J11789" i="1"/>
  <c r="K11789" i="1"/>
  <c r="L11789" i="1"/>
  <c r="A11790" i="1"/>
  <c r="B11790" i="1"/>
  <c r="C11790" i="1"/>
  <c r="D11790" i="1"/>
  <c r="E11790" i="1"/>
  <c r="F11790" i="1"/>
  <c r="G11790" i="1"/>
  <c r="H11790" i="1"/>
  <c r="I11790" i="1"/>
  <c r="J11790" i="1"/>
  <c r="K11790" i="1"/>
  <c r="L11790" i="1"/>
  <c r="A11791" i="1"/>
  <c r="B11791" i="1"/>
  <c r="C11791" i="1"/>
  <c r="D11791" i="1"/>
  <c r="E11791" i="1"/>
  <c r="F11791" i="1"/>
  <c r="G11791" i="1"/>
  <c r="H11791" i="1"/>
  <c r="I11791" i="1"/>
  <c r="J11791" i="1"/>
  <c r="K11791" i="1"/>
  <c r="L11791" i="1"/>
  <c r="A11792" i="1"/>
  <c r="B11792" i="1"/>
  <c r="C11792" i="1"/>
  <c r="D11792" i="1"/>
  <c r="E11792" i="1"/>
  <c r="F11792" i="1"/>
  <c r="G11792" i="1"/>
  <c r="H11792" i="1"/>
  <c r="I11792" i="1"/>
  <c r="J11792" i="1"/>
  <c r="K11792" i="1"/>
  <c r="L11792" i="1"/>
  <c r="A11793" i="1"/>
  <c r="B11793" i="1"/>
  <c r="C11793" i="1"/>
  <c r="D11793" i="1"/>
  <c r="E11793" i="1"/>
  <c r="F11793" i="1"/>
  <c r="G11793" i="1"/>
  <c r="H11793" i="1"/>
  <c r="I11793" i="1"/>
  <c r="J11793" i="1"/>
  <c r="K11793" i="1"/>
  <c r="L11793" i="1"/>
  <c r="A11794" i="1"/>
  <c r="B11794" i="1"/>
  <c r="C11794" i="1"/>
  <c r="D11794" i="1"/>
  <c r="E11794" i="1"/>
  <c r="F11794" i="1"/>
  <c r="G11794" i="1"/>
  <c r="H11794" i="1"/>
  <c r="I11794" i="1"/>
  <c r="J11794" i="1"/>
  <c r="K11794" i="1"/>
  <c r="L11794" i="1"/>
  <c r="A11795" i="1"/>
  <c r="B11795" i="1"/>
  <c r="C11795" i="1"/>
  <c r="D11795" i="1"/>
  <c r="E11795" i="1"/>
  <c r="F11795" i="1"/>
  <c r="G11795" i="1"/>
  <c r="H11795" i="1"/>
  <c r="I11795" i="1"/>
  <c r="J11795" i="1"/>
  <c r="K11795" i="1"/>
  <c r="L11795" i="1"/>
  <c r="A11796" i="1"/>
  <c r="B11796" i="1"/>
  <c r="C11796" i="1"/>
  <c r="D11796" i="1"/>
  <c r="E11796" i="1"/>
  <c r="F11796" i="1"/>
  <c r="G11796" i="1"/>
  <c r="H11796" i="1"/>
  <c r="I11796" i="1"/>
  <c r="J11796" i="1"/>
  <c r="K11796" i="1"/>
  <c r="L11796" i="1"/>
  <c r="A11797" i="1"/>
  <c r="B11797" i="1"/>
  <c r="C11797" i="1"/>
  <c r="D11797" i="1"/>
  <c r="E11797" i="1"/>
  <c r="F11797" i="1"/>
  <c r="G11797" i="1"/>
  <c r="H11797" i="1"/>
  <c r="I11797" i="1"/>
  <c r="J11797" i="1"/>
  <c r="K11797" i="1"/>
  <c r="L11797" i="1"/>
  <c r="A11798" i="1"/>
  <c r="B11798" i="1"/>
  <c r="C11798" i="1"/>
  <c r="D11798" i="1"/>
  <c r="E11798" i="1"/>
  <c r="F11798" i="1"/>
  <c r="G11798" i="1"/>
  <c r="H11798" i="1"/>
  <c r="I11798" i="1"/>
  <c r="J11798" i="1"/>
  <c r="K11798" i="1"/>
  <c r="L11798" i="1"/>
  <c r="A11799" i="1"/>
  <c r="B11799" i="1"/>
  <c r="C11799" i="1"/>
  <c r="D11799" i="1"/>
  <c r="E11799" i="1"/>
  <c r="F11799" i="1"/>
  <c r="G11799" i="1"/>
  <c r="H11799" i="1"/>
  <c r="I11799" i="1"/>
  <c r="J11799" i="1"/>
  <c r="K11799" i="1"/>
  <c r="L11799" i="1"/>
  <c r="A11800" i="1"/>
  <c r="B11800" i="1"/>
  <c r="C11800" i="1"/>
  <c r="D11800" i="1"/>
  <c r="E11800" i="1"/>
  <c r="F11800" i="1"/>
  <c r="G11800" i="1"/>
  <c r="H11800" i="1"/>
  <c r="I11800" i="1"/>
  <c r="J11800" i="1"/>
  <c r="K11800" i="1"/>
  <c r="L11800" i="1"/>
  <c r="A11801" i="1"/>
  <c r="B11801" i="1"/>
  <c r="C11801" i="1"/>
  <c r="D11801" i="1"/>
  <c r="E11801" i="1"/>
  <c r="F11801" i="1"/>
  <c r="G11801" i="1"/>
  <c r="H11801" i="1"/>
  <c r="I11801" i="1"/>
  <c r="J11801" i="1"/>
  <c r="K11801" i="1"/>
  <c r="L11801" i="1"/>
  <c r="A11802" i="1"/>
  <c r="B11802" i="1"/>
  <c r="C11802" i="1"/>
  <c r="D11802" i="1"/>
  <c r="E11802" i="1"/>
  <c r="F11802" i="1"/>
  <c r="G11802" i="1"/>
  <c r="H11802" i="1"/>
  <c r="I11802" i="1"/>
  <c r="J11802" i="1"/>
  <c r="K11802" i="1"/>
  <c r="L11802" i="1"/>
  <c r="A11803" i="1"/>
  <c r="B11803" i="1"/>
  <c r="C11803" i="1"/>
  <c r="D11803" i="1"/>
  <c r="E11803" i="1"/>
  <c r="F11803" i="1"/>
  <c r="G11803" i="1"/>
  <c r="H11803" i="1"/>
  <c r="I11803" i="1"/>
  <c r="J11803" i="1"/>
  <c r="K11803" i="1"/>
  <c r="L11803" i="1"/>
  <c r="A11804" i="1"/>
  <c r="B11804" i="1"/>
  <c r="C11804" i="1"/>
  <c r="D11804" i="1"/>
  <c r="E11804" i="1"/>
  <c r="F11804" i="1"/>
  <c r="G11804" i="1"/>
  <c r="H11804" i="1"/>
  <c r="I11804" i="1"/>
  <c r="J11804" i="1"/>
  <c r="K11804" i="1"/>
  <c r="L11804" i="1"/>
  <c r="A11805" i="1"/>
  <c r="B11805" i="1"/>
  <c r="C11805" i="1"/>
  <c r="D11805" i="1"/>
  <c r="E11805" i="1"/>
  <c r="F11805" i="1"/>
  <c r="G11805" i="1"/>
  <c r="H11805" i="1"/>
  <c r="I11805" i="1"/>
  <c r="J11805" i="1"/>
  <c r="K11805" i="1"/>
  <c r="L11805" i="1"/>
  <c r="A11806" i="1"/>
  <c r="B11806" i="1"/>
  <c r="C11806" i="1"/>
  <c r="D11806" i="1"/>
  <c r="E11806" i="1"/>
  <c r="F11806" i="1"/>
  <c r="G11806" i="1"/>
  <c r="H11806" i="1"/>
  <c r="I11806" i="1"/>
  <c r="J11806" i="1"/>
  <c r="K11806" i="1"/>
  <c r="L11806" i="1"/>
  <c r="A11807" i="1"/>
  <c r="B11807" i="1"/>
  <c r="C11807" i="1"/>
  <c r="D11807" i="1"/>
  <c r="E11807" i="1"/>
  <c r="F11807" i="1"/>
  <c r="G11807" i="1"/>
  <c r="H11807" i="1"/>
  <c r="I11807" i="1"/>
  <c r="J11807" i="1"/>
  <c r="K11807" i="1"/>
  <c r="L11807" i="1"/>
  <c r="A11808" i="1"/>
  <c r="B11808" i="1"/>
  <c r="C11808" i="1"/>
  <c r="D11808" i="1"/>
  <c r="E11808" i="1"/>
  <c r="F11808" i="1"/>
  <c r="G11808" i="1"/>
  <c r="H11808" i="1"/>
  <c r="I11808" i="1"/>
  <c r="J11808" i="1"/>
  <c r="K11808" i="1"/>
  <c r="L11808" i="1"/>
  <c r="A11809" i="1"/>
  <c r="B11809" i="1"/>
  <c r="C11809" i="1"/>
  <c r="D11809" i="1"/>
  <c r="E11809" i="1"/>
  <c r="F11809" i="1"/>
  <c r="G11809" i="1"/>
  <c r="H11809" i="1"/>
  <c r="I11809" i="1"/>
  <c r="J11809" i="1"/>
  <c r="K11809" i="1"/>
  <c r="L11809" i="1"/>
  <c r="A11810" i="1"/>
  <c r="B11810" i="1"/>
  <c r="C11810" i="1"/>
  <c r="D11810" i="1"/>
  <c r="E11810" i="1"/>
  <c r="F11810" i="1"/>
  <c r="G11810" i="1"/>
  <c r="H11810" i="1"/>
  <c r="I11810" i="1"/>
  <c r="J11810" i="1"/>
  <c r="K11810" i="1"/>
  <c r="L11810" i="1"/>
  <c r="A11811" i="1"/>
  <c r="B11811" i="1"/>
  <c r="C11811" i="1"/>
  <c r="D11811" i="1"/>
  <c r="E11811" i="1"/>
  <c r="F11811" i="1"/>
  <c r="G11811" i="1"/>
  <c r="H11811" i="1"/>
  <c r="I11811" i="1"/>
  <c r="J11811" i="1"/>
  <c r="K11811" i="1"/>
  <c r="L11811" i="1"/>
  <c r="A11812" i="1"/>
  <c r="B11812" i="1"/>
  <c r="C11812" i="1"/>
  <c r="D11812" i="1"/>
  <c r="E11812" i="1"/>
  <c r="F11812" i="1"/>
  <c r="G11812" i="1"/>
  <c r="H11812" i="1"/>
  <c r="I11812" i="1"/>
  <c r="J11812" i="1"/>
  <c r="K11812" i="1"/>
  <c r="L11812" i="1"/>
  <c r="A11813" i="1"/>
  <c r="B11813" i="1"/>
  <c r="C11813" i="1"/>
  <c r="D11813" i="1"/>
  <c r="E11813" i="1"/>
  <c r="F11813" i="1"/>
  <c r="G11813" i="1"/>
  <c r="H11813" i="1"/>
  <c r="I11813" i="1"/>
  <c r="J11813" i="1"/>
  <c r="K11813" i="1"/>
  <c r="L11813" i="1"/>
  <c r="A11814" i="1"/>
  <c r="B11814" i="1"/>
  <c r="C11814" i="1"/>
  <c r="D11814" i="1"/>
  <c r="E11814" i="1"/>
  <c r="F11814" i="1"/>
  <c r="G11814" i="1"/>
  <c r="H11814" i="1"/>
  <c r="I11814" i="1"/>
  <c r="J11814" i="1"/>
  <c r="K11814" i="1"/>
  <c r="L11814" i="1"/>
  <c r="A11815" i="1"/>
  <c r="B11815" i="1"/>
  <c r="C11815" i="1"/>
  <c r="D11815" i="1"/>
  <c r="E11815" i="1"/>
  <c r="F11815" i="1"/>
  <c r="G11815" i="1"/>
  <c r="H11815" i="1"/>
  <c r="I11815" i="1"/>
  <c r="J11815" i="1"/>
  <c r="K11815" i="1"/>
  <c r="L11815" i="1"/>
  <c r="A11816" i="1"/>
  <c r="B11816" i="1"/>
  <c r="C11816" i="1"/>
  <c r="D11816" i="1"/>
  <c r="E11816" i="1"/>
  <c r="F11816" i="1"/>
  <c r="G11816" i="1"/>
  <c r="H11816" i="1"/>
  <c r="I11816" i="1"/>
  <c r="J11816" i="1"/>
  <c r="K11816" i="1"/>
  <c r="L11816" i="1"/>
  <c r="A11817" i="1"/>
  <c r="B11817" i="1"/>
  <c r="C11817" i="1"/>
  <c r="D11817" i="1"/>
  <c r="E11817" i="1"/>
  <c r="F11817" i="1"/>
  <c r="G11817" i="1"/>
  <c r="H11817" i="1"/>
  <c r="I11817" i="1"/>
  <c r="J11817" i="1"/>
  <c r="K11817" i="1"/>
  <c r="L11817" i="1"/>
  <c r="A11818" i="1"/>
  <c r="B11818" i="1"/>
  <c r="C11818" i="1"/>
  <c r="D11818" i="1"/>
  <c r="E11818" i="1"/>
  <c r="F11818" i="1"/>
  <c r="G11818" i="1"/>
  <c r="H11818" i="1"/>
  <c r="I11818" i="1"/>
  <c r="J11818" i="1"/>
  <c r="K11818" i="1"/>
  <c r="L11818" i="1"/>
  <c r="A11819" i="1"/>
  <c r="B11819" i="1"/>
  <c r="C11819" i="1"/>
  <c r="D11819" i="1"/>
  <c r="E11819" i="1"/>
  <c r="F11819" i="1"/>
  <c r="G11819" i="1"/>
  <c r="H11819" i="1"/>
  <c r="I11819" i="1"/>
  <c r="J11819" i="1"/>
  <c r="K11819" i="1"/>
  <c r="L11819" i="1"/>
  <c r="A11820" i="1"/>
  <c r="B11820" i="1"/>
  <c r="C11820" i="1"/>
  <c r="D11820" i="1"/>
  <c r="E11820" i="1"/>
  <c r="F11820" i="1"/>
  <c r="G11820" i="1"/>
  <c r="H11820" i="1"/>
  <c r="I11820" i="1"/>
  <c r="J11820" i="1"/>
  <c r="K11820" i="1"/>
  <c r="L11820" i="1"/>
  <c r="A11821" i="1"/>
  <c r="B11821" i="1"/>
  <c r="C11821" i="1"/>
  <c r="D11821" i="1"/>
  <c r="E11821" i="1"/>
  <c r="F11821" i="1"/>
  <c r="G11821" i="1"/>
  <c r="H11821" i="1"/>
  <c r="I11821" i="1"/>
  <c r="J11821" i="1"/>
  <c r="K11821" i="1"/>
  <c r="L11821" i="1"/>
  <c r="A11822" i="1"/>
  <c r="B11822" i="1"/>
  <c r="C11822" i="1"/>
  <c r="D11822" i="1"/>
  <c r="E11822" i="1"/>
  <c r="F11822" i="1"/>
  <c r="G11822" i="1"/>
  <c r="H11822" i="1"/>
  <c r="I11822" i="1"/>
  <c r="J11822" i="1"/>
  <c r="K11822" i="1"/>
  <c r="L11822" i="1"/>
  <c r="A11823" i="1"/>
  <c r="B11823" i="1"/>
  <c r="C11823" i="1"/>
  <c r="D11823" i="1"/>
  <c r="E11823" i="1"/>
  <c r="F11823" i="1"/>
  <c r="G11823" i="1"/>
  <c r="H11823" i="1"/>
  <c r="I11823" i="1"/>
  <c r="J11823" i="1"/>
  <c r="K11823" i="1"/>
  <c r="L11823" i="1"/>
  <c r="A11824" i="1"/>
  <c r="B11824" i="1"/>
  <c r="C11824" i="1"/>
  <c r="D11824" i="1"/>
  <c r="E11824" i="1"/>
  <c r="F11824" i="1"/>
  <c r="G11824" i="1"/>
  <c r="H11824" i="1"/>
  <c r="I11824" i="1"/>
  <c r="J11824" i="1"/>
  <c r="K11824" i="1"/>
  <c r="L11824" i="1"/>
  <c r="A11825" i="1"/>
  <c r="B11825" i="1"/>
  <c r="C11825" i="1"/>
  <c r="D11825" i="1"/>
  <c r="E11825" i="1"/>
  <c r="F11825" i="1"/>
  <c r="G11825" i="1"/>
  <c r="H11825" i="1"/>
  <c r="I11825" i="1"/>
  <c r="J11825" i="1"/>
  <c r="K11825" i="1"/>
  <c r="L11825" i="1"/>
  <c r="A11826" i="1"/>
  <c r="B11826" i="1"/>
  <c r="C11826" i="1"/>
  <c r="D11826" i="1"/>
  <c r="E11826" i="1"/>
  <c r="F11826" i="1"/>
  <c r="G11826" i="1"/>
  <c r="H11826" i="1"/>
  <c r="I11826" i="1"/>
  <c r="J11826" i="1"/>
  <c r="K11826" i="1"/>
  <c r="L11826" i="1"/>
  <c r="A11827" i="1"/>
  <c r="B11827" i="1"/>
  <c r="C11827" i="1"/>
  <c r="D11827" i="1"/>
  <c r="E11827" i="1"/>
  <c r="F11827" i="1"/>
  <c r="G11827" i="1"/>
  <c r="H11827" i="1"/>
  <c r="I11827" i="1"/>
  <c r="J11827" i="1"/>
  <c r="K11827" i="1"/>
  <c r="L11827" i="1"/>
  <c r="A11828" i="1"/>
  <c r="B11828" i="1"/>
  <c r="C11828" i="1"/>
  <c r="D11828" i="1"/>
  <c r="E11828" i="1"/>
  <c r="F11828" i="1"/>
  <c r="G11828" i="1"/>
  <c r="H11828" i="1"/>
  <c r="I11828" i="1"/>
  <c r="J11828" i="1"/>
  <c r="K11828" i="1"/>
  <c r="L11828" i="1"/>
  <c r="A11829" i="1"/>
  <c r="B11829" i="1"/>
  <c r="C11829" i="1"/>
  <c r="D11829" i="1"/>
  <c r="E11829" i="1"/>
  <c r="F11829" i="1"/>
  <c r="G11829" i="1"/>
  <c r="H11829" i="1"/>
  <c r="I11829" i="1"/>
  <c r="J11829" i="1"/>
  <c r="K11829" i="1"/>
  <c r="L11829" i="1"/>
  <c r="A11830" i="1"/>
  <c r="B11830" i="1"/>
  <c r="C11830" i="1"/>
  <c r="D11830" i="1"/>
  <c r="E11830" i="1"/>
  <c r="F11830" i="1"/>
  <c r="G11830" i="1"/>
  <c r="H11830" i="1"/>
  <c r="I11830" i="1"/>
  <c r="J11830" i="1"/>
  <c r="K11830" i="1"/>
  <c r="L11830" i="1"/>
  <c r="A11831" i="1"/>
  <c r="B11831" i="1"/>
  <c r="C11831" i="1"/>
  <c r="D11831" i="1"/>
  <c r="E11831" i="1"/>
  <c r="F11831" i="1"/>
  <c r="G11831" i="1"/>
  <c r="H11831" i="1"/>
  <c r="I11831" i="1"/>
  <c r="J11831" i="1"/>
  <c r="K11831" i="1"/>
  <c r="L11831" i="1"/>
  <c r="A11832" i="1"/>
  <c r="B11832" i="1"/>
  <c r="C11832" i="1"/>
  <c r="D11832" i="1"/>
  <c r="E11832" i="1"/>
  <c r="F11832" i="1"/>
  <c r="G11832" i="1"/>
  <c r="H11832" i="1"/>
  <c r="I11832" i="1"/>
  <c r="J11832" i="1"/>
  <c r="K11832" i="1"/>
  <c r="L11832" i="1"/>
  <c r="A11833" i="1"/>
  <c r="B11833" i="1"/>
  <c r="C11833" i="1"/>
  <c r="D11833" i="1"/>
  <c r="E11833" i="1"/>
  <c r="F11833" i="1"/>
  <c r="G11833" i="1"/>
  <c r="H11833" i="1"/>
  <c r="I11833" i="1"/>
  <c r="J11833" i="1"/>
  <c r="K11833" i="1"/>
  <c r="L11833" i="1"/>
  <c r="A11834" i="1"/>
  <c r="B11834" i="1"/>
  <c r="C11834" i="1"/>
  <c r="D11834" i="1"/>
  <c r="E11834" i="1"/>
  <c r="F11834" i="1"/>
  <c r="G11834" i="1"/>
  <c r="H11834" i="1"/>
  <c r="I11834" i="1"/>
  <c r="J11834" i="1"/>
  <c r="K11834" i="1"/>
  <c r="L11834" i="1"/>
  <c r="A11835" i="1"/>
  <c r="B11835" i="1"/>
  <c r="C11835" i="1"/>
  <c r="D11835" i="1"/>
  <c r="E11835" i="1"/>
  <c r="F11835" i="1"/>
  <c r="G11835" i="1"/>
  <c r="H11835" i="1"/>
  <c r="I11835" i="1"/>
  <c r="J11835" i="1"/>
  <c r="K11835" i="1"/>
  <c r="L11835" i="1"/>
  <c r="A11836" i="1"/>
  <c r="B11836" i="1"/>
  <c r="C11836" i="1"/>
  <c r="D11836" i="1"/>
  <c r="E11836" i="1"/>
  <c r="F11836" i="1"/>
  <c r="G11836" i="1"/>
  <c r="H11836" i="1"/>
  <c r="I11836" i="1"/>
  <c r="J11836" i="1"/>
  <c r="K11836" i="1"/>
  <c r="L11836" i="1"/>
  <c r="A11837" i="1"/>
  <c r="B11837" i="1"/>
  <c r="C11837" i="1"/>
  <c r="D11837" i="1"/>
  <c r="E11837" i="1"/>
  <c r="F11837" i="1"/>
  <c r="G11837" i="1"/>
  <c r="H11837" i="1"/>
  <c r="I11837" i="1"/>
  <c r="J11837" i="1"/>
  <c r="K11837" i="1"/>
  <c r="L11837" i="1"/>
  <c r="A11838" i="1"/>
  <c r="B11838" i="1"/>
  <c r="C11838" i="1"/>
  <c r="D11838" i="1"/>
  <c r="E11838" i="1"/>
  <c r="F11838" i="1"/>
  <c r="G11838" i="1"/>
  <c r="H11838" i="1"/>
  <c r="I11838" i="1"/>
  <c r="J11838" i="1"/>
  <c r="K11838" i="1"/>
  <c r="L11838" i="1"/>
  <c r="A11839" i="1"/>
  <c r="B11839" i="1"/>
  <c r="C11839" i="1"/>
  <c r="D11839" i="1"/>
  <c r="E11839" i="1"/>
  <c r="F11839" i="1"/>
  <c r="G11839" i="1"/>
  <c r="H11839" i="1"/>
  <c r="I11839" i="1"/>
  <c r="J11839" i="1"/>
  <c r="K11839" i="1"/>
  <c r="L11839" i="1"/>
  <c r="A11840" i="1"/>
  <c r="B11840" i="1"/>
  <c r="C11840" i="1"/>
  <c r="D11840" i="1"/>
  <c r="E11840" i="1"/>
  <c r="F11840" i="1"/>
  <c r="G11840" i="1"/>
  <c r="H11840" i="1"/>
  <c r="I11840" i="1"/>
  <c r="J11840" i="1"/>
  <c r="K11840" i="1"/>
  <c r="L11840" i="1"/>
  <c r="A11841" i="1"/>
  <c r="B11841" i="1"/>
  <c r="C11841" i="1"/>
  <c r="D11841" i="1"/>
  <c r="E11841" i="1"/>
  <c r="F11841" i="1"/>
  <c r="G11841" i="1"/>
  <c r="H11841" i="1"/>
  <c r="I11841" i="1"/>
  <c r="J11841" i="1"/>
  <c r="K11841" i="1"/>
  <c r="L11841" i="1"/>
  <c r="A11842" i="1"/>
  <c r="B11842" i="1"/>
  <c r="C11842" i="1"/>
  <c r="D11842" i="1"/>
  <c r="E11842" i="1"/>
  <c r="F11842" i="1"/>
  <c r="G11842" i="1"/>
  <c r="H11842" i="1"/>
  <c r="I11842" i="1"/>
  <c r="J11842" i="1"/>
  <c r="K11842" i="1"/>
  <c r="L11842" i="1"/>
  <c r="A11843" i="1"/>
  <c r="B11843" i="1"/>
  <c r="C11843" i="1"/>
  <c r="D11843" i="1"/>
  <c r="E11843" i="1"/>
  <c r="F11843" i="1"/>
  <c r="G11843" i="1"/>
  <c r="H11843" i="1"/>
  <c r="I11843" i="1"/>
  <c r="J11843" i="1"/>
  <c r="K11843" i="1"/>
  <c r="L11843" i="1"/>
  <c r="A11844" i="1"/>
  <c r="B11844" i="1"/>
  <c r="C11844" i="1"/>
  <c r="D11844" i="1"/>
  <c r="E11844" i="1"/>
  <c r="F11844" i="1"/>
  <c r="G11844" i="1"/>
  <c r="H11844" i="1"/>
  <c r="I11844" i="1"/>
  <c r="J11844" i="1"/>
  <c r="K11844" i="1"/>
  <c r="L11844" i="1"/>
  <c r="A11845" i="1"/>
  <c r="B11845" i="1"/>
  <c r="C11845" i="1"/>
  <c r="D11845" i="1"/>
  <c r="E11845" i="1"/>
  <c r="F11845" i="1"/>
  <c r="G11845" i="1"/>
  <c r="H11845" i="1"/>
  <c r="I11845" i="1"/>
  <c r="J11845" i="1"/>
  <c r="K11845" i="1"/>
  <c r="L11845" i="1"/>
  <c r="A11846" i="1"/>
  <c r="B11846" i="1"/>
  <c r="C11846" i="1"/>
  <c r="D11846" i="1"/>
  <c r="E11846" i="1"/>
  <c r="F11846" i="1"/>
  <c r="G11846" i="1"/>
  <c r="H11846" i="1"/>
  <c r="I11846" i="1"/>
  <c r="J11846" i="1"/>
  <c r="K11846" i="1"/>
  <c r="L11846" i="1"/>
  <c r="A11847" i="1"/>
  <c r="B11847" i="1"/>
  <c r="C11847" i="1"/>
  <c r="D11847" i="1"/>
  <c r="E11847" i="1"/>
  <c r="F11847" i="1"/>
  <c r="G11847" i="1"/>
  <c r="H11847" i="1"/>
  <c r="I11847" i="1"/>
  <c r="J11847" i="1"/>
  <c r="K11847" i="1"/>
  <c r="L11847" i="1"/>
  <c r="A11848" i="1"/>
  <c r="B11848" i="1"/>
  <c r="C11848" i="1"/>
  <c r="D11848" i="1"/>
  <c r="E11848" i="1"/>
  <c r="F11848" i="1"/>
  <c r="G11848" i="1"/>
  <c r="H11848" i="1"/>
  <c r="I11848" i="1"/>
  <c r="J11848" i="1"/>
  <c r="K11848" i="1"/>
  <c r="L11848" i="1"/>
  <c r="A11849" i="1"/>
  <c r="B11849" i="1"/>
  <c r="C11849" i="1"/>
  <c r="D11849" i="1"/>
  <c r="E11849" i="1"/>
  <c r="F11849" i="1"/>
  <c r="G11849" i="1"/>
  <c r="H11849" i="1"/>
  <c r="I11849" i="1"/>
  <c r="J11849" i="1"/>
  <c r="K11849" i="1"/>
  <c r="L11849" i="1"/>
  <c r="A11850" i="1"/>
  <c r="B11850" i="1"/>
  <c r="C11850" i="1"/>
  <c r="D11850" i="1"/>
  <c r="E11850" i="1"/>
  <c r="F11850" i="1"/>
  <c r="G11850" i="1"/>
  <c r="H11850" i="1"/>
  <c r="I11850" i="1"/>
  <c r="J11850" i="1"/>
  <c r="K11850" i="1"/>
  <c r="L11850" i="1"/>
  <c r="A11851" i="1"/>
  <c r="B11851" i="1"/>
  <c r="C11851" i="1"/>
  <c r="D11851" i="1"/>
  <c r="E11851" i="1"/>
  <c r="F11851" i="1"/>
  <c r="G11851" i="1"/>
  <c r="H11851" i="1"/>
  <c r="I11851" i="1"/>
  <c r="J11851" i="1"/>
  <c r="K11851" i="1"/>
  <c r="L11851" i="1"/>
  <c r="A11852" i="1"/>
  <c r="B11852" i="1"/>
  <c r="C11852" i="1"/>
  <c r="D11852" i="1"/>
  <c r="E11852" i="1"/>
  <c r="F11852" i="1"/>
  <c r="G11852" i="1"/>
  <c r="H11852" i="1"/>
  <c r="I11852" i="1"/>
  <c r="J11852" i="1"/>
  <c r="K11852" i="1"/>
  <c r="L11852" i="1"/>
  <c r="A11853" i="1"/>
  <c r="B11853" i="1"/>
  <c r="C11853" i="1"/>
  <c r="D11853" i="1"/>
  <c r="E11853" i="1"/>
  <c r="F11853" i="1"/>
  <c r="G11853" i="1"/>
  <c r="H11853" i="1"/>
  <c r="I11853" i="1"/>
  <c r="J11853" i="1"/>
  <c r="K11853" i="1"/>
  <c r="L11853" i="1"/>
  <c r="A11854" i="1"/>
  <c r="B11854" i="1"/>
  <c r="C11854" i="1"/>
  <c r="D11854" i="1"/>
  <c r="E11854" i="1"/>
  <c r="F11854" i="1"/>
  <c r="G11854" i="1"/>
  <c r="H11854" i="1"/>
  <c r="I11854" i="1"/>
  <c r="J11854" i="1"/>
  <c r="K11854" i="1"/>
  <c r="L11854" i="1"/>
  <c r="A11855" i="1"/>
  <c r="B11855" i="1"/>
  <c r="C11855" i="1"/>
  <c r="D11855" i="1"/>
  <c r="E11855" i="1"/>
  <c r="F11855" i="1"/>
  <c r="G11855" i="1"/>
  <c r="H11855" i="1"/>
  <c r="I11855" i="1"/>
  <c r="J11855" i="1"/>
  <c r="K11855" i="1"/>
  <c r="L11855" i="1"/>
  <c r="A11856" i="1"/>
  <c r="B11856" i="1"/>
  <c r="C11856" i="1"/>
  <c r="D11856" i="1"/>
  <c r="E11856" i="1"/>
  <c r="F11856" i="1"/>
  <c r="G11856" i="1"/>
  <c r="H11856" i="1"/>
  <c r="I11856" i="1"/>
  <c r="J11856" i="1"/>
  <c r="K11856" i="1"/>
  <c r="L11856" i="1"/>
  <c r="A11857" i="1"/>
  <c r="B11857" i="1"/>
  <c r="C11857" i="1"/>
  <c r="D11857" i="1"/>
  <c r="E11857" i="1"/>
  <c r="F11857" i="1"/>
  <c r="G11857" i="1"/>
  <c r="H11857" i="1"/>
  <c r="I11857" i="1"/>
  <c r="J11857" i="1"/>
  <c r="K11857" i="1"/>
  <c r="L11857" i="1"/>
  <c r="A11858" i="1"/>
  <c r="B11858" i="1"/>
  <c r="C11858" i="1"/>
  <c r="D11858" i="1"/>
  <c r="E11858" i="1"/>
  <c r="F11858" i="1"/>
  <c r="G11858" i="1"/>
  <c r="H11858" i="1"/>
  <c r="I11858" i="1"/>
  <c r="J11858" i="1"/>
  <c r="K11858" i="1"/>
  <c r="L11858" i="1"/>
  <c r="A11859" i="1"/>
  <c r="B11859" i="1"/>
  <c r="C11859" i="1"/>
  <c r="D11859" i="1"/>
  <c r="E11859" i="1"/>
  <c r="F11859" i="1"/>
  <c r="G11859" i="1"/>
  <c r="H11859" i="1"/>
  <c r="I11859" i="1"/>
  <c r="J11859" i="1"/>
  <c r="K11859" i="1"/>
  <c r="L11859" i="1"/>
  <c r="A11860" i="1"/>
  <c r="B11860" i="1"/>
  <c r="C11860" i="1"/>
  <c r="D11860" i="1"/>
  <c r="E11860" i="1"/>
  <c r="F11860" i="1"/>
  <c r="G11860" i="1"/>
  <c r="H11860" i="1"/>
  <c r="I11860" i="1"/>
  <c r="J11860" i="1"/>
  <c r="K11860" i="1"/>
  <c r="L11860" i="1"/>
  <c r="A11861" i="1"/>
  <c r="B11861" i="1"/>
  <c r="C11861" i="1"/>
  <c r="D11861" i="1"/>
  <c r="E11861" i="1"/>
  <c r="F11861" i="1"/>
  <c r="G11861" i="1"/>
  <c r="H11861" i="1"/>
  <c r="I11861" i="1"/>
  <c r="J11861" i="1"/>
  <c r="K11861" i="1"/>
  <c r="L11861" i="1"/>
  <c r="A11862" i="1"/>
  <c r="B11862" i="1"/>
  <c r="C11862" i="1"/>
  <c r="D11862" i="1"/>
  <c r="E11862" i="1"/>
  <c r="F11862" i="1"/>
  <c r="G11862" i="1"/>
  <c r="H11862" i="1"/>
  <c r="I11862" i="1"/>
  <c r="J11862" i="1"/>
  <c r="K11862" i="1"/>
  <c r="L11862" i="1"/>
  <c r="A11863" i="1"/>
  <c r="B11863" i="1"/>
  <c r="C11863" i="1"/>
  <c r="D11863" i="1"/>
  <c r="E11863" i="1"/>
  <c r="F11863" i="1"/>
  <c r="G11863" i="1"/>
  <c r="H11863" i="1"/>
  <c r="I11863" i="1"/>
  <c r="J11863" i="1"/>
  <c r="K11863" i="1"/>
  <c r="L11863" i="1"/>
  <c r="A11864" i="1"/>
  <c r="B11864" i="1"/>
  <c r="C11864" i="1"/>
  <c r="D11864" i="1"/>
  <c r="E11864" i="1"/>
  <c r="F11864" i="1"/>
  <c r="G11864" i="1"/>
  <c r="H11864" i="1"/>
  <c r="I11864" i="1"/>
  <c r="J11864" i="1"/>
  <c r="K11864" i="1"/>
  <c r="L11864" i="1"/>
  <c r="A11865" i="1"/>
  <c r="B11865" i="1"/>
  <c r="C11865" i="1"/>
  <c r="D11865" i="1"/>
  <c r="E11865" i="1"/>
  <c r="F11865" i="1"/>
  <c r="G11865" i="1"/>
  <c r="H11865" i="1"/>
  <c r="I11865" i="1"/>
  <c r="J11865" i="1"/>
  <c r="K11865" i="1"/>
  <c r="L11865" i="1"/>
  <c r="A11866" i="1"/>
  <c r="B11866" i="1"/>
  <c r="C11866" i="1"/>
  <c r="D11866" i="1"/>
  <c r="E11866" i="1"/>
  <c r="F11866" i="1"/>
  <c r="G11866" i="1"/>
  <c r="H11866" i="1"/>
  <c r="I11866" i="1"/>
  <c r="J11866" i="1"/>
  <c r="K11866" i="1"/>
  <c r="L11866" i="1"/>
  <c r="A11867" i="1"/>
  <c r="B11867" i="1"/>
  <c r="C11867" i="1"/>
  <c r="D11867" i="1"/>
  <c r="E11867" i="1"/>
  <c r="F11867" i="1"/>
  <c r="G11867" i="1"/>
  <c r="H11867" i="1"/>
  <c r="I11867" i="1"/>
  <c r="J11867" i="1"/>
  <c r="K11867" i="1"/>
  <c r="L11867" i="1"/>
  <c r="A11868" i="1"/>
  <c r="B11868" i="1"/>
  <c r="C11868" i="1"/>
  <c r="D11868" i="1"/>
  <c r="E11868" i="1"/>
  <c r="F11868" i="1"/>
  <c r="G11868" i="1"/>
  <c r="H11868" i="1"/>
  <c r="I11868" i="1"/>
  <c r="J11868" i="1"/>
  <c r="K11868" i="1"/>
  <c r="L11868" i="1"/>
  <c r="A11869" i="1"/>
  <c r="B11869" i="1"/>
  <c r="C11869" i="1"/>
  <c r="D11869" i="1"/>
  <c r="E11869" i="1"/>
  <c r="F11869" i="1"/>
  <c r="G11869" i="1"/>
  <c r="H11869" i="1"/>
  <c r="I11869" i="1"/>
  <c r="J11869" i="1"/>
  <c r="K11869" i="1"/>
  <c r="L11869" i="1"/>
  <c r="A11870" i="1"/>
  <c r="B11870" i="1"/>
  <c r="C11870" i="1"/>
  <c r="D11870" i="1"/>
  <c r="E11870" i="1"/>
  <c r="F11870" i="1"/>
  <c r="G11870" i="1"/>
  <c r="H11870" i="1"/>
  <c r="I11870" i="1"/>
  <c r="J11870" i="1"/>
  <c r="K11870" i="1"/>
  <c r="L11870" i="1"/>
  <c r="A11871" i="1"/>
  <c r="B11871" i="1"/>
  <c r="C11871" i="1"/>
  <c r="D11871" i="1"/>
  <c r="E11871" i="1"/>
  <c r="F11871" i="1"/>
  <c r="G11871" i="1"/>
  <c r="H11871" i="1"/>
  <c r="I11871" i="1"/>
  <c r="J11871" i="1"/>
  <c r="K11871" i="1"/>
  <c r="L11871" i="1"/>
  <c r="A11872" i="1"/>
  <c r="B11872" i="1"/>
  <c r="C11872" i="1"/>
  <c r="D11872" i="1"/>
  <c r="E11872" i="1"/>
  <c r="F11872" i="1"/>
  <c r="G11872" i="1"/>
  <c r="H11872" i="1"/>
  <c r="I11872" i="1"/>
  <c r="J11872" i="1"/>
  <c r="K11872" i="1"/>
  <c r="L11872" i="1"/>
  <c r="A11873" i="1"/>
  <c r="B11873" i="1"/>
  <c r="C11873" i="1"/>
  <c r="D11873" i="1"/>
  <c r="E11873" i="1"/>
  <c r="F11873" i="1"/>
  <c r="G11873" i="1"/>
  <c r="H11873" i="1"/>
  <c r="I11873" i="1"/>
  <c r="J11873" i="1"/>
  <c r="K11873" i="1"/>
  <c r="L11873" i="1"/>
  <c r="A11874" i="1"/>
  <c r="B11874" i="1"/>
  <c r="C11874" i="1"/>
  <c r="D11874" i="1"/>
  <c r="E11874" i="1"/>
  <c r="F11874" i="1"/>
  <c r="G11874" i="1"/>
  <c r="H11874" i="1"/>
  <c r="I11874" i="1"/>
  <c r="J11874" i="1"/>
  <c r="K11874" i="1"/>
  <c r="L11874" i="1"/>
  <c r="A11875" i="1"/>
  <c r="B11875" i="1"/>
  <c r="C11875" i="1"/>
  <c r="D11875" i="1"/>
  <c r="E11875" i="1"/>
  <c r="F11875" i="1"/>
  <c r="G11875" i="1"/>
  <c r="H11875" i="1"/>
  <c r="I11875" i="1"/>
  <c r="J11875" i="1"/>
  <c r="K11875" i="1"/>
  <c r="L11875" i="1"/>
  <c r="A11876" i="1"/>
  <c r="B11876" i="1"/>
  <c r="C11876" i="1"/>
  <c r="D11876" i="1"/>
  <c r="E11876" i="1"/>
  <c r="F11876" i="1"/>
  <c r="G11876" i="1"/>
  <c r="H11876" i="1"/>
  <c r="I11876" i="1"/>
  <c r="J11876" i="1"/>
  <c r="K11876" i="1"/>
  <c r="L11876" i="1"/>
  <c r="A11877" i="1"/>
  <c r="B11877" i="1"/>
  <c r="C11877" i="1"/>
  <c r="D11877" i="1"/>
  <c r="E11877" i="1"/>
  <c r="F11877" i="1"/>
  <c r="G11877" i="1"/>
  <c r="H11877" i="1"/>
  <c r="I11877" i="1"/>
  <c r="J11877" i="1"/>
  <c r="K11877" i="1"/>
  <c r="L11877" i="1"/>
  <c r="A11878" i="1"/>
  <c r="B11878" i="1"/>
  <c r="C11878" i="1"/>
  <c r="D11878" i="1"/>
  <c r="E11878" i="1"/>
  <c r="F11878" i="1"/>
  <c r="G11878" i="1"/>
  <c r="H11878" i="1"/>
  <c r="I11878" i="1"/>
  <c r="J11878" i="1"/>
  <c r="K11878" i="1"/>
  <c r="L11878" i="1"/>
  <c r="A11879" i="1"/>
  <c r="B11879" i="1"/>
  <c r="C11879" i="1"/>
  <c r="D11879" i="1"/>
  <c r="E11879" i="1"/>
  <c r="F11879" i="1"/>
  <c r="G11879" i="1"/>
  <c r="H11879" i="1"/>
  <c r="I11879" i="1"/>
  <c r="J11879" i="1"/>
  <c r="K11879" i="1"/>
  <c r="L11879" i="1"/>
  <c r="A11880" i="1"/>
  <c r="B11880" i="1"/>
  <c r="C11880" i="1"/>
  <c r="D11880" i="1"/>
  <c r="E11880" i="1"/>
  <c r="F11880" i="1"/>
  <c r="G11880" i="1"/>
  <c r="H11880" i="1"/>
  <c r="I11880" i="1"/>
  <c r="J11880" i="1"/>
  <c r="K11880" i="1"/>
  <c r="L11880" i="1"/>
  <c r="A11881" i="1"/>
  <c r="B11881" i="1"/>
  <c r="C11881" i="1"/>
  <c r="D11881" i="1"/>
  <c r="E11881" i="1"/>
  <c r="F11881" i="1"/>
  <c r="G11881" i="1"/>
  <c r="H11881" i="1"/>
  <c r="I11881" i="1"/>
  <c r="J11881" i="1"/>
  <c r="K11881" i="1"/>
  <c r="L11881" i="1"/>
  <c r="A11882" i="1"/>
  <c r="B11882" i="1"/>
  <c r="C11882" i="1"/>
  <c r="D11882" i="1"/>
  <c r="E11882" i="1"/>
  <c r="F11882" i="1"/>
  <c r="G11882" i="1"/>
  <c r="H11882" i="1"/>
  <c r="I11882" i="1"/>
  <c r="J11882" i="1"/>
  <c r="K11882" i="1"/>
  <c r="L11882" i="1"/>
  <c r="A11883" i="1"/>
  <c r="B11883" i="1"/>
  <c r="C11883" i="1"/>
  <c r="D11883" i="1"/>
  <c r="E11883" i="1"/>
  <c r="F11883" i="1"/>
  <c r="G11883" i="1"/>
  <c r="H11883" i="1"/>
  <c r="I11883" i="1"/>
  <c r="J11883" i="1"/>
  <c r="K11883" i="1"/>
  <c r="L11883" i="1"/>
  <c r="A11884" i="1"/>
  <c r="B11884" i="1"/>
  <c r="C11884" i="1"/>
  <c r="D11884" i="1"/>
  <c r="E11884" i="1"/>
  <c r="F11884" i="1"/>
  <c r="G11884" i="1"/>
  <c r="H11884" i="1"/>
  <c r="I11884" i="1"/>
  <c r="J11884" i="1"/>
  <c r="K11884" i="1"/>
  <c r="L11884" i="1"/>
  <c r="A11885" i="1"/>
  <c r="B11885" i="1"/>
  <c r="C11885" i="1"/>
  <c r="D11885" i="1"/>
  <c r="E11885" i="1"/>
  <c r="F11885" i="1"/>
  <c r="G11885" i="1"/>
  <c r="H11885" i="1"/>
  <c r="I11885" i="1"/>
  <c r="J11885" i="1"/>
  <c r="K11885" i="1"/>
  <c r="L11885" i="1"/>
  <c r="A11886" i="1"/>
  <c r="B11886" i="1"/>
  <c r="C11886" i="1"/>
  <c r="D11886" i="1"/>
  <c r="E11886" i="1"/>
  <c r="F11886" i="1"/>
  <c r="G11886" i="1"/>
  <c r="H11886" i="1"/>
  <c r="I11886" i="1"/>
  <c r="J11886" i="1"/>
  <c r="K11886" i="1"/>
  <c r="L11886" i="1"/>
  <c r="A11887" i="1"/>
  <c r="B11887" i="1"/>
  <c r="C11887" i="1"/>
  <c r="D11887" i="1"/>
  <c r="E11887" i="1"/>
  <c r="F11887" i="1"/>
  <c r="G11887" i="1"/>
  <c r="H11887" i="1"/>
  <c r="I11887" i="1"/>
  <c r="J11887" i="1"/>
  <c r="K11887" i="1"/>
  <c r="L11887" i="1"/>
  <c r="A11888" i="1"/>
  <c r="B11888" i="1"/>
  <c r="C11888" i="1"/>
  <c r="D11888" i="1"/>
  <c r="E11888" i="1"/>
  <c r="F11888" i="1"/>
  <c r="G11888" i="1"/>
  <c r="H11888" i="1"/>
  <c r="I11888" i="1"/>
  <c r="J11888" i="1"/>
  <c r="K11888" i="1"/>
  <c r="L11888" i="1"/>
  <c r="A11889" i="1"/>
  <c r="B11889" i="1"/>
  <c r="C11889" i="1"/>
  <c r="D11889" i="1"/>
  <c r="E11889" i="1"/>
  <c r="F11889" i="1"/>
  <c r="G11889" i="1"/>
  <c r="H11889" i="1"/>
  <c r="I11889" i="1"/>
  <c r="J11889" i="1"/>
  <c r="K11889" i="1"/>
  <c r="L11889" i="1"/>
  <c r="A11890" i="1"/>
  <c r="B11890" i="1"/>
  <c r="C11890" i="1"/>
  <c r="D11890" i="1"/>
  <c r="E11890" i="1"/>
  <c r="F11890" i="1"/>
  <c r="G11890" i="1"/>
  <c r="H11890" i="1"/>
  <c r="I11890" i="1"/>
  <c r="J11890" i="1"/>
  <c r="K11890" i="1"/>
  <c r="L11890" i="1"/>
  <c r="A11891" i="1"/>
  <c r="B11891" i="1"/>
  <c r="C11891" i="1"/>
  <c r="D11891" i="1"/>
  <c r="E11891" i="1"/>
  <c r="F11891" i="1"/>
  <c r="G11891" i="1"/>
  <c r="H11891" i="1"/>
  <c r="I11891" i="1"/>
  <c r="J11891" i="1"/>
  <c r="K11891" i="1"/>
  <c r="L11891" i="1"/>
  <c r="A11892" i="1"/>
  <c r="B11892" i="1"/>
  <c r="C11892" i="1"/>
  <c r="D11892" i="1"/>
  <c r="E11892" i="1"/>
  <c r="F11892" i="1"/>
  <c r="G11892" i="1"/>
  <c r="H11892" i="1"/>
  <c r="I11892" i="1"/>
  <c r="J11892" i="1"/>
  <c r="K11892" i="1"/>
  <c r="L11892" i="1"/>
  <c r="A11893" i="1"/>
  <c r="B11893" i="1"/>
  <c r="C11893" i="1"/>
  <c r="D11893" i="1"/>
  <c r="E11893" i="1"/>
  <c r="F11893" i="1"/>
  <c r="G11893" i="1"/>
  <c r="H11893" i="1"/>
  <c r="I11893" i="1"/>
  <c r="J11893" i="1"/>
  <c r="K11893" i="1"/>
  <c r="L11893" i="1"/>
  <c r="A11894" i="1"/>
  <c r="B11894" i="1"/>
  <c r="C11894" i="1"/>
  <c r="D11894" i="1"/>
  <c r="E11894" i="1"/>
  <c r="F11894" i="1"/>
  <c r="G11894" i="1"/>
  <c r="H11894" i="1"/>
  <c r="I11894" i="1"/>
  <c r="J11894" i="1"/>
  <c r="K11894" i="1"/>
  <c r="L11894" i="1"/>
  <c r="A11895" i="1"/>
  <c r="B11895" i="1"/>
  <c r="C11895" i="1"/>
  <c r="D11895" i="1"/>
  <c r="E11895" i="1"/>
  <c r="F11895" i="1"/>
  <c r="G11895" i="1"/>
  <c r="H11895" i="1"/>
  <c r="I11895" i="1"/>
  <c r="J11895" i="1"/>
  <c r="K11895" i="1"/>
  <c r="L11895" i="1"/>
  <c r="A11896" i="1"/>
  <c r="B11896" i="1"/>
  <c r="C11896" i="1"/>
  <c r="D11896" i="1"/>
  <c r="E11896" i="1"/>
  <c r="F11896" i="1"/>
  <c r="G11896" i="1"/>
  <c r="H11896" i="1"/>
  <c r="I11896" i="1"/>
  <c r="J11896" i="1"/>
  <c r="K11896" i="1"/>
  <c r="L11896" i="1"/>
  <c r="A11897" i="1"/>
  <c r="B11897" i="1"/>
  <c r="C11897" i="1"/>
  <c r="D11897" i="1"/>
  <c r="E11897" i="1"/>
  <c r="F11897" i="1"/>
  <c r="G11897" i="1"/>
  <c r="H11897" i="1"/>
  <c r="I11897" i="1"/>
  <c r="J11897" i="1"/>
  <c r="K11897" i="1"/>
  <c r="L11897" i="1"/>
  <c r="A11898" i="1"/>
  <c r="B11898" i="1"/>
  <c r="C11898" i="1"/>
  <c r="D11898" i="1"/>
  <c r="E11898" i="1"/>
  <c r="F11898" i="1"/>
  <c r="G11898" i="1"/>
  <c r="H11898" i="1"/>
  <c r="I11898" i="1"/>
  <c r="J11898" i="1"/>
  <c r="K11898" i="1"/>
  <c r="L11898" i="1"/>
  <c r="A11899" i="1"/>
  <c r="B11899" i="1"/>
  <c r="C11899" i="1"/>
  <c r="D11899" i="1"/>
  <c r="E11899" i="1"/>
  <c r="F11899" i="1"/>
  <c r="G11899" i="1"/>
  <c r="H11899" i="1"/>
  <c r="I11899" i="1"/>
  <c r="J11899" i="1"/>
  <c r="K11899" i="1"/>
  <c r="L11899" i="1"/>
  <c r="A11900" i="1"/>
  <c r="B11900" i="1"/>
  <c r="C11900" i="1"/>
  <c r="D11900" i="1"/>
  <c r="E11900" i="1"/>
  <c r="F11900" i="1"/>
  <c r="G11900" i="1"/>
  <c r="H11900" i="1"/>
  <c r="I11900" i="1"/>
  <c r="J11900" i="1"/>
  <c r="K11900" i="1"/>
  <c r="L11900" i="1"/>
  <c r="A11901" i="1"/>
  <c r="B11901" i="1"/>
  <c r="C11901" i="1"/>
  <c r="D11901" i="1"/>
  <c r="E11901" i="1"/>
  <c r="F11901" i="1"/>
  <c r="G11901" i="1"/>
  <c r="H11901" i="1"/>
  <c r="I11901" i="1"/>
  <c r="J11901" i="1"/>
  <c r="K11901" i="1"/>
  <c r="L11901" i="1"/>
  <c r="A11902" i="1"/>
  <c r="B11902" i="1"/>
  <c r="C11902" i="1"/>
  <c r="D11902" i="1"/>
  <c r="E11902" i="1"/>
  <c r="F11902" i="1"/>
  <c r="G11902" i="1"/>
  <c r="H11902" i="1"/>
  <c r="I11902" i="1"/>
  <c r="J11902" i="1"/>
  <c r="K11902" i="1"/>
  <c r="L11902" i="1"/>
  <c r="A11903" i="1"/>
  <c r="B11903" i="1"/>
  <c r="C11903" i="1"/>
  <c r="D11903" i="1"/>
  <c r="E11903" i="1"/>
  <c r="F11903" i="1"/>
  <c r="G11903" i="1"/>
  <c r="H11903" i="1"/>
  <c r="I11903" i="1"/>
  <c r="J11903" i="1"/>
  <c r="K11903" i="1"/>
  <c r="L11903" i="1"/>
  <c r="A11904" i="1"/>
  <c r="B11904" i="1"/>
  <c r="C11904" i="1"/>
  <c r="D11904" i="1"/>
  <c r="E11904" i="1"/>
  <c r="F11904" i="1"/>
  <c r="G11904" i="1"/>
  <c r="H11904" i="1"/>
  <c r="I11904" i="1"/>
  <c r="J11904" i="1"/>
  <c r="K11904" i="1"/>
  <c r="L11904" i="1"/>
  <c r="A11905" i="1"/>
  <c r="B11905" i="1"/>
  <c r="C11905" i="1"/>
  <c r="D11905" i="1"/>
  <c r="E11905" i="1"/>
  <c r="F11905" i="1"/>
  <c r="G11905" i="1"/>
  <c r="H11905" i="1"/>
  <c r="I11905" i="1"/>
  <c r="J11905" i="1"/>
  <c r="K11905" i="1"/>
  <c r="L11905" i="1"/>
  <c r="A11906" i="1"/>
  <c r="B11906" i="1"/>
  <c r="C11906" i="1"/>
  <c r="D11906" i="1"/>
  <c r="E11906" i="1"/>
  <c r="F11906" i="1"/>
  <c r="G11906" i="1"/>
  <c r="H11906" i="1"/>
  <c r="I11906" i="1"/>
  <c r="J11906" i="1"/>
  <c r="K11906" i="1"/>
  <c r="L11906" i="1"/>
  <c r="A11907" i="1"/>
  <c r="B11907" i="1"/>
  <c r="C11907" i="1"/>
  <c r="D11907" i="1"/>
  <c r="E11907" i="1"/>
  <c r="F11907" i="1"/>
  <c r="G11907" i="1"/>
  <c r="H11907" i="1"/>
  <c r="I11907" i="1"/>
  <c r="J11907" i="1"/>
  <c r="K11907" i="1"/>
  <c r="L11907" i="1"/>
  <c r="A11908" i="1"/>
  <c r="B11908" i="1"/>
  <c r="C11908" i="1"/>
  <c r="D11908" i="1"/>
  <c r="E11908" i="1"/>
  <c r="F11908" i="1"/>
  <c r="G11908" i="1"/>
  <c r="H11908" i="1"/>
  <c r="I11908" i="1"/>
  <c r="J11908" i="1"/>
  <c r="K11908" i="1"/>
  <c r="L11908" i="1"/>
  <c r="A11909" i="1"/>
  <c r="B11909" i="1"/>
  <c r="C11909" i="1"/>
  <c r="D11909" i="1"/>
  <c r="E11909" i="1"/>
  <c r="F11909" i="1"/>
  <c r="G11909" i="1"/>
  <c r="H11909" i="1"/>
  <c r="I11909" i="1"/>
  <c r="J11909" i="1"/>
  <c r="K11909" i="1"/>
  <c r="L11909" i="1"/>
  <c r="A11910" i="1"/>
  <c r="B11910" i="1"/>
  <c r="C11910" i="1"/>
  <c r="D11910" i="1"/>
  <c r="E11910" i="1"/>
  <c r="F11910" i="1"/>
  <c r="G11910" i="1"/>
  <c r="H11910" i="1"/>
  <c r="I11910" i="1"/>
  <c r="J11910" i="1"/>
  <c r="K11910" i="1"/>
  <c r="L11910" i="1"/>
  <c r="A11911" i="1"/>
  <c r="B11911" i="1"/>
  <c r="C11911" i="1"/>
  <c r="D11911" i="1"/>
  <c r="E11911" i="1"/>
  <c r="F11911" i="1"/>
  <c r="G11911" i="1"/>
  <c r="H11911" i="1"/>
  <c r="I11911" i="1"/>
  <c r="J11911" i="1"/>
  <c r="K11911" i="1"/>
  <c r="L11911" i="1"/>
  <c r="A11912" i="1"/>
  <c r="B11912" i="1"/>
  <c r="C11912" i="1"/>
  <c r="D11912" i="1"/>
  <c r="E11912" i="1"/>
  <c r="F11912" i="1"/>
  <c r="G11912" i="1"/>
  <c r="H11912" i="1"/>
  <c r="I11912" i="1"/>
  <c r="J11912" i="1"/>
  <c r="K11912" i="1"/>
  <c r="L11912" i="1"/>
  <c r="A11913" i="1"/>
  <c r="B11913" i="1"/>
  <c r="C11913" i="1"/>
  <c r="D11913" i="1"/>
  <c r="E11913" i="1"/>
  <c r="F11913" i="1"/>
  <c r="G11913" i="1"/>
  <c r="H11913" i="1"/>
  <c r="I11913" i="1"/>
  <c r="J11913" i="1"/>
  <c r="K11913" i="1"/>
  <c r="L11913" i="1"/>
  <c r="A11914" i="1"/>
  <c r="B11914" i="1"/>
  <c r="C11914" i="1"/>
  <c r="D11914" i="1"/>
  <c r="E11914" i="1"/>
  <c r="F11914" i="1"/>
  <c r="G11914" i="1"/>
  <c r="H11914" i="1"/>
  <c r="I11914" i="1"/>
  <c r="J11914" i="1"/>
  <c r="K11914" i="1"/>
  <c r="L11914" i="1"/>
  <c r="A11915" i="1"/>
  <c r="B11915" i="1"/>
  <c r="C11915" i="1"/>
  <c r="D11915" i="1"/>
  <c r="E11915" i="1"/>
  <c r="F11915" i="1"/>
  <c r="G11915" i="1"/>
  <c r="H11915" i="1"/>
  <c r="I11915" i="1"/>
  <c r="J11915" i="1"/>
  <c r="K11915" i="1"/>
  <c r="L11915" i="1"/>
  <c r="A11916" i="1"/>
  <c r="B11916" i="1"/>
  <c r="C11916" i="1"/>
  <c r="D11916" i="1"/>
  <c r="E11916" i="1"/>
  <c r="F11916" i="1"/>
  <c r="G11916" i="1"/>
  <c r="H11916" i="1"/>
  <c r="I11916" i="1"/>
  <c r="J11916" i="1"/>
  <c r="K11916" i="1"/>
  <c r="L11916" i="1"/>
  <c r="A11917" i="1"/>
  <c r="B11917" i="1"/>
  <c r="C11917" i="1"/>
  <c r="D11917" i="1"/>
  <c r="E11917" i="1"/>
  <c r="F11917" i="1"/>
  <c r="G11917" i="1"/>
  <c r="H11917" i="1"/>
  <c r="I11917" i="1"/>
  <c r="J11917" i="1"/>
  <c r="K11917" i="1"/>
  <c r="L11917" i="1"/>
  <c r="A11918" i="1"/>
  <c r="B11918" i="1"/>
  <c r="C11918" i="1"/>
  <c r="D11918" i="1"/>
  <c r="E11918" i="1"/>
  <c r="F11918" i="1"/>
  <c r="G11918" i="1"/>
  <c r="H11918" i="1"/>
  <c r="I11918" i="1"/>
  <c r="J11918" i="1"/>
  <c r="K11918" i="1"/>
  <c r="L11918" i="1"/>
  <c r="A11919" i="1"/>
  <c r="B11919" i="1"/>
  <c r="C11919" i="1"/>
  <c r="D11919" i="1"/>
  <c r="E11919" i="1"/>
  <c r="F11919" i="1"/>
  <c r="G11919" i="1"/>
  <c r="H11919" i="1"/>
  <c r="I11919" i="1"/>
  <c r="J11919" i="1"/>
  <c r="K11919" i="1"/>
  <c r="L11919" i="1"/>
  <c r="A11920" i="1"/>
  <c r="B11920" i="1"/>
  <c r="C11920" i="1"/>
  <c r="D11920" i="1"/>
  <c r="E11920" i="1"/>
  <c r="F11920" i="1"/>
  <c r="G11920" i="1"/>
  <c r="H11920" i="1"/>
  <c r="I11920" i="1"/>
  <c r="J11920" i="1"/>
  <c r="K11920" i="1"/>
  <c r="L11920" i="1"/>
  <c r="A11921" i="1"/>
  <c r="B11921" i="1"/>
  <c r="C11921" i="1"/>
  <c r="D11921" i="1"/>
  <c r="E11921" i="1"/>
  <c r="F11921" i="1"/>
  <c r="G11921" i="1"/>
  <c r="H11921" i="1"/>
  <c r="I11921" i="1"/>
  <c r="J11921" i="1"/>
  <c r="K11921" i="1"/>
  <c r="L11921" i="1"/>
  <c r="A11922" i="1"/>
  <c r="B11922" i="1"/>
  <c r="C11922" i="1"/>
  <c r="D11922" i="1"/>
  <c r="E11922" i="1"/>
  <c r="F11922" i="1"/>
  <c r="G11922" i="1"/>
  <c r="H11922" i="1"/>
  <c r="I11922" i="1"/>
  <c r="J11922" i="1"/>
  <c r="K11922" i="1"/>
  <c r="L11922" i="1"/>
  <c r="A11923" i="1"/>
  <c r="B11923" i="1"/>
  <c r="C11923" i="1"/>
  <c r="D11923" i="1"/>
  <c r="E11923" i="1"/>
  <c r="F11923" i="1"/>
  <c r="G11923" i="1"/>
  <c r="H11923" i="1"/>
  <c r="I11923" i="1"/>
  <c r="J11923" i="1"/>
  <c r="K11923" i="1"/>
  <c r="L11923" i="1"/>
  <c r="A11924" i="1"/>
  <c r="B11924" i="1"/>
  <c r="C11924" i="1"/>
  <c r="D11924" i="1"/>
  <c r="E11924" i="1"/>
  <c r="F11924" i="1"/>
  <c r="G11924" i="1"/>
  <c r="H11924" i="1"/>
  <c r="I11924" i="1"/>
  <c r="J11924" i="1"/>
  <c r="K11924" i="1"/>
  <c r="L11924" i="1"/>
  <c r="A11925" i="1"/>
  <c r="B11925" i="1"/>
  <c r="C11925" i="1"/>
  <c r="D11925" i="1"/>
  <c r="E11925" i="1"/>
  <c r="F11925" i="1"/>
  <c r="G11925" i="1"/>
  <c r="H11925" i="1"/>
  <c r="I11925" i="1"/>
  <c r="J11925" i="1"/>
  <c r="K11925" i="1"/>
  <c r="L11925" i="1"/>
  <c r="A11926" i="1"/>
  <c r="B11926" i="1"/>
  <c r="C11926" i="1"/>
  <c r="D11926" i="1"/>
  <c r="E11926" i="1"/>
  <c r="F11926" i="1"/>
  <c r="G11926" i="1"/>
  <c r="H11926" i="1"/>
  <c r="I11926" i="1"/>
  <c r="J11926" i="1"/>
  <c r="K11926" i="1"/>
  <c r="L11926" i="1"/>
  <c r="A11927" i="1"/>
  <c r="B11927" i="1"/>
  <c r="C11927" i="1"/>
  <c r="D11927" i="1"/>
  <c r="E11927" i="1"/>
  <c r="F11927" i="1"/>
  <c r="G11927" i="1"/>
  <c r="H11927" i="1"/>
  <c r="I11927" i="1"/>
  <c r="J11927" i="1"/>
  <c r="K11927" i="1"/>
  <c r="L11927" i="1"/>
  <c r="A11928" i="1"/>
  <c r="B11928" i="1"/>
  <c r="C11928" i="1"/>
  <c r="D11928" i="1"/>
  <c r="E11928" i="1"/>
  <c r="F11928" i="1"/>
  <c r="G11928" i="1"/>
  <c r="H11928" i="1"/>
  <c r="I11928" i="1"/>
  <c r="J11928" i="1"/>
  <c r="K11928" i="1"/>
  <c r="L11928" i="1"/>
  <c r="A11929" i="1"/>
  <c r="B11929" i="1"/>
  <c r="C11929" i="1"/>
  <c r="D11929" i="1"/>
  <c r="E11929" i="1"/>
  <c r="F11929" i="1"/>
  <c r="G11929" i="1"/>
  <c r="H11929" i="1"/>
  <c r="I11929" i="1"/>
  <c r="J11929" i="1"/>
  <c r="K11929" i="1"/>
  <c r="L11929" i="1"/>
  <c r="A11930" i="1"/>
  <c r="B11930" i="1"/>
  <c r="C11930" i="1"/>
  <c r="D11930" i="1"/>
  <c r="E11930" i="1"/>
  <c r="F11930" i="1"/>
  <c r="G11930" i="1"/>
  <c r="H11930" i="1"/>
  <c r="I11930" i="1"/>
  <c r="J11930" i="1"/>
  <c r="K11930" i="1"/>
  <c r="L11930" i="1"/>
  <c r="A11931" i="1"/>
  <c r="B11931" i="1"/>
  <c r="C11931" i="1"/>
  <c r="D11931" i="1"/>
  <c r="E11931" i="1"/>
  <c r="F11931" i="1"/>
  <c r="G11931" i="1"/>
  <c r="H11931" i="1"/>
  <c r="I11931" i="1"/>
  <c r="J11931" i="1"/>
  <c r="K11931" i="1"/>
  <c r="L11931" i="1"/>
  <c r="A11932" i="1"/>
  <c r="B11932" i="1"/>
  <c r="C11932" i="1"/>
  <c r="D11932" i="1"/>
  <c r="E11932" i="1"/>
  <c r="F11932" i="1"/>
  <c r="G11932" i="1"/>
  <c r="H11932" i="1"/>
  <c r="I11932" i="1"/>
  <c r="J11932" i="1"/>
  <c r="K11932" i="1"/>
  <c r="L11932" i="1"/>
  <c r="A11933" i="1"/>
  <c r="B11933" i="1"/>
  <c r="C11933" i="1"/>
  <c r="D11933" i="1"/>
  <c r="E11933" i="1"/>
  <c r="F11933" i="1"/>
  <c r="G11933" i="1"/>
  <c r="H11933" i="1"/>
  <c r="I11933" i="1"/>
  <c r="J11933" i="1"/>
  <c r="K11933" i="1"/>
  <c r="L11933" i="1"/>
  <c r="A11934" i="1"/>
  <c r="B11934" i="1"/>
  <c r="C11934" i="1"/>
  <c r="D11934" i="1"/>
  <c r="E11934" i="1"/>
  <c r="F11934" i="1"/>
  <c r="G11934" i="1"/>
  <c r="H11934" i="1"/>
  <c r="I11934" i="1"/>
  <c r="J11934" i="1"/>
  <c r="K11934" i="1"/>
  <c r="L11934" i="1"/>
  <c r="A11935" i="1"/>
  <c r="B11935" i="1"/>
  <c r="C11935" i="1"/>
  <c r="D11935" i="1"/>
  <c r="E11935" i="1"/>
  <c r="F11935" i="1"/>
  <c r="G11935" i="1"/>
  <c r="H11935" i="1"/>
  <c r="I11935" i="1"/>
  <c r="J11935" i="1"/>
  <c r="K11935" i="1"/>
  <c r="L11935" i="1"/>
  <c r="A11936" i="1"/>
  <c r="B11936" i="1"/>
  <c r="C11936" i="1"/>
  <c r="D11936" i="1"/>
  <c r="E11936" i="1"/>
  <c r="F11936" i="1"/>
  <c r="G11936" i="1"/>
  <c r="H11936" i="1"/>
  <c r="I11936" i="1"/>
  <c r="J11936" i="1"/>
  <c r="K11936" i="1"/>
  <c r="L11936" i="1"/>
  <c r="A11937" i="1"/>
  <c r="B11937" i="1"/>
  <c r="C11937" i="1"/>
  <c r="D11937" i="1"/>
  <c r="E11937" i="1"/>
  <c r="F11937" i="1"/>
  <c r="G11937" i="1"/>
  <c r="H11937" i="1"/>
  <c r="I11937" i="1"/>
  <c r="J11937" i="1"/>
  <c r="K11937" i="1"/>
  <c r="L11937" i="1"/>
  <c r="A11938" i="1"/>
  <c r="B11938" i="1"/>
  <c r="C11938" i="1"/>
  <c r="D11938" i="1"/>
  <c r="E11938" i="1"/>
  <c r="F11938" i="1"/>
  <c r="G11938" i="1"/>
  <c r="H11938" i="1"/>
  <c r="I11938" i="1"/>
  <c r="J11938" i="1"/>
  <c r="K11938" i="1"/>
  <c r="L11938" i="1"/>
  <c r="A11939" i="1"/>
  <c r="B11939" i="1"/>
  <c r="C11939" i="1"/>
  <c r="D11939" i="1"/>
  <c r="E11939" i="1"/>
  <c r="F11939" i="1"/>
  <c r="G11939" i="1"/>
  <c r="H11939" i="1"/>
  <c r="I11939" i="1"/>
  <c r="J11939" i="1"/>
  <c r="K11939" i="1"/>
  <c r="L11939" i="1"/>
  <c r="A11940" i="1"/>
  <c r="B11940" i="1"/>
  <c r="C11940" i="1"/>
  <c r="D11940" i="1"/>
  <c r="E11940" i="1"/>
  <c r="F11940" i="1"/>
  <c r="G11940" i="1"/>
  <c r="H11940" i="1"/>
  <c r="I11940" i="1"/>
  <c r="J11940" i="1"/>
  <c r="K11940" i="1"/>
  <c r="L11940" i="1"/>
  <c r="A11941" i="1"/>
  <c r="B11941" i="1"/>
  <c r="C11941" i="1"/>
  <c r="D11941" i="1"/>
  <c r="E11941" i="1"/>
  <c r="F11941" i="1"/>
  <c r="G11941" i="1"/>
  <c r="H11941" i="1"/>
  <c r="I11941" i="1"/>
  <c r="J11941" i="1"/>
  <c r="K11941" i="1"/>
  <c r="L11941" i="1"/>
  <c r="A11942" i="1"/>
  <c r="B11942" i="1"/>
  <c r="C11942" i="1"/>
  <c r="D11942" i="1"/>
  <c r="E11942" i="1"/>
  <c r="F11942" i="1"/>
  <c r="G11942" i="1"/>
  <c r="H11942" i="1"/>
  <c r="I11942" i="1"/>
  <c r="J11942" i="1"/>
  <c r="K11942" i="1"/>
  <c r="L11942" i="1"/>
  <c r="A11943" i="1"/>
  <c r="B11943" i="1"/>
  <c r="C11943" i="1"/>
  <c r="D11943" i="1"/>
  <c r="E11943" i="1"/>
  <c r="F11943" i="1"/>
  <c r="G11943" i="1"/>
  <c r="H11943" i="1"/>
  <c r="I11943" i="1"/>
  <c r="J11943" i="1"/>
  <c r="K11943" i="1"/>
  <c r="L11943" i="1"/>
  <c r="A11944" i="1"/>
  <c r="B11944" i="1"/>
  <c r="C11944" i="1"/>
  <c r="D11944" i="1"/>
  <c r="E11944" i="1"/>
  <c r="F11944" i="1"/>
  <c r="G11944" i="1"/>
  <c r="H11944" i="1"/>
  <c r="I11944" i="1"/>
  <c r="J11944" i="1"/>
  <c r="K11944" i="1"/>
  <c r="L11944" i="1"/>
  <c r="A11945" i="1"/>
  <c r="B11945" i="1"/>
  <c r="C11945" i="1"/>
  <c r="D11945" i="1"/>
  <c r="E11945" i="1"/>
  <c r="F11945" i="1"/>
  <c r="G11945" i="1"/>
  <c r="H11945" i="1"/>
  <c r="I11945" i="1"/>
  <c r="J11945" i="1"/>
  <c r="K11945" i="1"/>
  <c r="L11945" i="1"/>
  <c r="A11946" i="1"/>
  <c r="B11946" i="1"/>
  <c r="C11946" i="1"/>
  <c r="D11946" i="1"/>
  <c r="E11946" i="1"/>
  <c r="F11946" i="1"/>
  <c r="G11946" i="1"/>
  <c r="H11946" i="1"/>
  <c r="I11946" i="1"/>
  <c r="J11946" i="1"/>
  <c r="K11946" i="1"/>
  <c r="L11946" i="1"/>
  <c r="A11947" i="1"/>
  <c r="B11947" i="1"/>
  <c r="C11947" i="1"/>
  <c r="D11947" i="1"/>
  <c r="E11947" i="1"/>
  <c r="F11947" i="1"/>
  <c r="G11947" i="1"/>
  <c r="H11947" i="1"/>
  <c r="I11947" i="1"/>
  <c r="J11947" i="1"/>
  <c r="K11947" i="1"/>
  <c r="L11947" i="1"/>
  <c r="A11948" i="1"/>
  <c r="B11948" i="1"/>
  <c r="C11948" i="1"/>
  <c r="D11948" i="1"/>
  <c r="E11948" i="1"/>
  <c r="F11948" i="1"/>
  <c r="G11948" i="1"/>
  <c r="H11948" i="1"/>
  <c r="I11948" i="1"/>
  <c r="J11948" i="1"/>
  <c r="K11948" i="1"/>
  <c r="L11948" i="1"/>
  <c r="A11949" i="1"/>
  <c r="B11949" i="1"/>
  <c r="C11949" i="1"/>
  <c r="D11949" i="1"/>
  <c r="E11949" i="1"/>
  <c r="F11949" i="1"/>
  <c r="G11949" i="1"/>
  <c r="H11949" i="1"/>
  <c r="I11949" i="1"/>
  <c r="J11949" i="1"/>
  <c r="K11949" i="1"/>
  <c r="L11949" i="1"/>
  <c r="A11950" i="1"/>
  <c r="B11950" i="1"/>
  <c r="C11950" i="1"/>
  <c r="D11950" i="1"/>
  <c r="E11950" i="1"/>
  <c r="F11950" i="1"/>
  <c r="G11950" i="1"/>
  <c r="H11950" i="1"/>
  <c r="I11950" i="1"/>
  <c r="J11950" i="1"/>
  <c r="K11950" i="1"/>
  <c r="L11950" i="1"/>
  <c r="A11951" i="1"/>
  <c r="B11951" i="1"/>
  <c r="C11951" i="1"/>
  <c r="D11951" i="1"/>
  <c r="E11951" i="1"/>
  <c r="F11951" i="1"/>
  <c r="G11951" i="1"/>
  <c r="H11951" i="1"/>
  <c r="I11951" i="1"/>
  <c r="J11951" i="1"/>
  <c r="K11951" i="1"/>
  <c r="L11951" i="1"/>
  <c r="A11952" i="1"/>
  <c r="B11952" i="1"/>
  <c r="C11952" i="1"/>
  <c r="D11952" i="1"/>
  <c r="E11952" i="1"/>
  <c r="F11952" i="1"/>
  <c r="G11952" i="1"/>
  <c r="H11952" i="1"/>
  <c r="I11952" i="1"/>
  <c r="J11952" i="1"/>
  <c r="K11952" i="1"/>
  <c r="L11952" i="1"/>
  <c r="A11953" i="1"/>
  <c r="B11953" i="1"/>
  <c r="C11953" i="1"/>
  <c r="D11953" i="1"/>
  <c r="E11953" i="1"/>
  <c r="F11953" i="1"/>
  <c r="G11953" i="1"/>
  <c r="H11953" i="1"/>
  <c r="I11953" i="1"/>
  <c r="J11953" i="1"/>
  <c r="K11953" i="1"/>
  <c r="L11953" i="1"/>
  <c r="A11954" i="1"/>
  <c r="B11954" i="1"/>
  <c r="C11954" i="1"/>
  <c r="D11954" i="1"/>
  <c r="E11954" i="1"/>
  <c r="F11954" i="1"/>
  <c r="G11954" i="1"/>
  <c r="H11954" i="1"/>
  <c r="I11954" i="1"/>
  <c r="J11954" i="1"/>
  <c r="K11954" i="1"/>
  <c r="L11954" i="1"/>
  <c r="A11955" i="1"/>
  <c r="B11955" i="1"/>
  <c r="C11955" i="1"/>
  <c r="D11955" i="1"/>
  <c r="E11955" i="1"/>
  <c r="F11955" i="1"/>
  <c r="G11955" i="1"/>
  <c r="H11955" i="1"/>
  <c r="I11955" i="1"/>
  <c r="J11955" i="1"/>
  <c r="K11955" i="1"/>
  <c r="L11955" i="1"/>
  <c r="A11956" i="1"/>
  <c r="B11956" i="1"/>
  <c r="C11956" i="1"/>
  <c r="D11956" i="1"/>
  <c r="E11956" i="1"/>
  <c r="F11956" i="1"/>
  <c r="G11956" i="1"/>
  <c r="H11956" i="1"/>
  <c r="I11956" i="1"/>
  <c r="J11956" i="1"/>
  <c r="K11956" i="1"/>
  <c r="L11956" i="1"/>
  <c r="A11957" i="1"/>
  <c r="B11957" i="1"/>
  <c r="C11957" i="1"/>
  <c r="D11957" i="1"/>
  <c r="E11957" i="1"/>
  <c r="F11957" i="1"/>
  <c r="G11957" i="1"/>
  <c r="H11957" i="1"/>
  <c r="I11957" i="1"/>
  <c r="J11957" i="1"/>
  <c r="K11957" i="1"/>
  <c r="L11957" i="1"/>
  <c r="A11958" i="1"/>
  <c r="B11958" i="1"/>
  <c r="C11958" i="1"/>
  <c r="D11958" i="1"/>
  <c r="E11958" i="1"/>
  <c r="F11958" i="1"/>
  <c r="G11958" i="1"/>
  <c r="H11958" i="1"/>
  <c r="I11958" i="1"/>
  <c r="J11958" i="1"/>
  <c r="K11958" i="1"/>
  <c r="L11958" i="1"/>
  <c r="A11959" i="1"/>
  <c r="B11959" i="1"/>
  <c r="C11959" i="1"/>
  <c r="D11959" i="1"/>
  <c r="E11959" i="1"/>
  <c r="F11959" i="1"/>
  <c r="G11959" i="1"/>
  <c r="H11959" i="1"/>
  <c r="I11959" i="1"/>
  <c r="J11959" i="1"/>
  <c r="K11959" i="1"/>
  <c r="L11959" i="1"/>
  <c r="A11960" i="1"/>
  <c r="B11960" i="1"/>
  <c r="C11960" i="1"/>
  <c r="D11960" i="1"/>
  <c r="E11960" i="1"/>
  <c r="F11960" i="1"/>
  <c r="G11960" i="1"/>
  <c r="H11960" i="1"/>
  <c r="I11960" i="1"/>
  <c r="J11960" i="1"/>
  <c r="K11960" i="1"/>
  <c r="L11960" i="1"/>
  <c r="A11961" i="1"/>
  <c r="B11961" i="1"/>
  <c r="C11961" i="1"/>
  <c r="D11961" i="1"/>
  <c r="E11961" i="1"/>
  <c r="F11961" i="1"/>
  <c r="G11961" i="1"/>
  <c r="H11961" i="1"/>
  <c r="I11961" i="1"/>
  <c r="J11961" i="1"/>
  <c r="K11961" i="1"/>
  <c r="L11961" i="1"/>
  <c r="A11962" i="1"/>
  <c r="B11962" i="1"/>
  <c r="C11962" i="1"/>
  <c r="D11962" i="1"/>
  <c r="E11962" i="1"/>
  <c r="F11962" i="1"/>
  <c r="G11962" i="1"/>
  <c r="H11962" i="1"/>
  <c r="I11962" i="1"/>
  <c r="J11962" i="1"/>
  <c r="K11962" i="1"/>
  <c r="L11962" i="1"/>
  <c r="A11963" i="1"/>
  <c r="B11963" i="1"/>
  <c r="C11963" i="1"/>
  <c r="D11963" i="1"/>
  <c r="E11963" i="1"/>
  <c r="F11963" i="1"/>
  <c r="G11963" i="1"/>
  <c r="H11963" i="1"/>
  <c r="I11963" i="1"/>
  <c r="J11963" i="1"/>
  <c r="K11963" i="1"/>
  <c r="L11963" i="1"/>
  <c r="A11964" i="1"/>
  <c r="B11964" i="1"/>
  <c r="C11964" i="1"/>
  <c r="D11964" i="1"/>
  <c r="E11964" i="1"/>
  <c r="F11964" i="1"/>
  <c r="G11964" i="1"/>
  <c r="H11964" i="1"/>
  <c r="I11964" i="1"/>
  <c r="J11964" i="1"/>
  <c r="K11964" i="1"/>
  <c r="L11964" i="1"/>
  <c r="A11965" i="1"/>
  <c r="B11965" i="1"/>
  <c r="C11965" i="1"/>
  <c r="D11965" i="1"/>
  <c r="E11965" i="1"/>
  <c r="F11965" i="1"/>
  <c r="G11965" i="1"/>
  <c r="H11965" i="1"/>
  <c r="I11965" i="1"/>
  <c r="J11965" i="1"/>
  <c r="K11965" i="1"/>
  <c r="L11965" i="1"/>
  <c r="A11966" i="1"/>
  <c r="B11966" i="1"/>
  <c r="C11966" i="1"/>
  <c r="D11966" i="1"/>
  <c r="E11966" i="1"/>
  <c r="F11966" i="1"/>
  <c r="G11966" i="1"/>
  <c r="H11966" i="1"/>
  <c r="I11966" i="1"/>
  <c r="J11966" i="1"/>
  <c r="K11966" i="1"/>
  <c r="L11966" i="1"/>
  <c r="A11967" i="1"/>
  <c r="B11967" i="1"/>
  <c r="C11967" i="1"/>
  <c r="D11967" i="1"/>
  <c r="E11967" i="1"/>
  <c r="F11967" i="1"/>
  <c r="G11967" i="1"/>
  <c r="H11967" i="1"/>
  <c r="I11967" i="1"/>
  <c r="J11967" i="1"/>
  <c r="K11967" i="1"/>
  <c r="L11967" i="1"/>
  <c r="A11968" i="1"/>
  <c r="B11968" i="1"/>
  <c r="C11968" i="1"/>
  <c r="D11968" i="1"/>
  <c r="E11968" i="1"/>
  <c r="F11968" i="1"/>
  <c r="G11968" i="1"/>
  <c r="H11968" i="1"/>
  <c r="I11968" i="1"/>
  <c r="J11968" i="1"/>
  <c r="K11968" i="1"/>
  <c r="L11968" i="1"/>
  <c r="A11969" i="1"/>
  <c r="B11969" i="1"/>
  <c r="C11969" i="1"/>
  <c r="D11969" i="1"/>
  <c r="E11969" i="1"/>
  <c r="F11969" i="1"/>
  <c r="G11969" i="1"/>
  <c r="H11969" i="1"/>
  <c r="I11969" i="1"/>
  <c r="J11969" i="1"/>
  <c r="K11969" i="1"/>
  <c r="L11969" i="1"/>
  <c r="A11970" i="1"/>
  <c r="B11970" i="1"/>
  <c r="C11970" i="1"/>
  <c r="D11970" i="1"/>
  <c r="E11970" i="1"/>
  <c r="F11970" i="1"/>
  <c r="G11970" i="1"/>
  <c r="H11970" i="1"/>
  <c r="I11970" i="1"/>
  <c r="J11970" i="1"/>
  <c r="K11970" i="1"/>
  <c r="L11970" i="1"/>
  <c r="A11971" i="1"/>
  <c r="B11971" i="1"/>
  <c r="C11971" i="1"/>
  <c r="D11971" i="1"/>
  <c r="E11971" i="1"/>
  <c r="F11971" i="1"/>
  <c r="G11971" i="1"/>
  <c r="H11971" i="1"/>
  <c r="I11971" i="1"/>
  <c r="J11971" i="1"/>
  <c r="K11971" i="1"/>
  <c r="L11971" i="1"/>
  <c r="A11972" i="1"/>
  <c r="B11972" i="1"/>
  <c r="C11972" i="1"/>
  <c r="D11972" i="1"/>
  <c r="E11972" i="1"/>
  <c r="F11972" i="1"/>
  <c r="G11972" i="1"/>
  <c r="H11972" i="1"/>
  <c r="I11972" i="1"/>
  <c r="J11972" i="1"/>
  <c r="K11972" i="1"/>
  <c r="L11972" i="1"/>
  <c r="A11973" i="1"/>
  <c r="B11973" i="1"/>
  <c r="C11973" i="1"/>
  <c r="D11973" i="1"/>
  <c r="E11973" i="1"/>
  <c r="F11973" i="1"/>
  <c r="G11973" i="1"/>
  <c r="H11973" i="1"/>
  <c r="I11973" i="1"/>
  <c r="J11973" i="1"/>
  <c r="K11973" i="1"/>
  <c r="L11973" i="1"/>
  <c r="A11974" i="1"/>
  <c r="B11974" i="1"/>
  <c r="C11974" i="1"/>
  <c r="D11974" i="1"/>
  <c r="E11974" i="1"/>
  <c r="F11974" i="1"/>
  <c r="G11974" i="1"/>
  <c r="H11974" i="1"/>
  <c r="I11974" i="1"/>
  <c r="J11974" i="1"/>
  <c r="K11974" i="1"/>
  <c r="L11974" i="1"/>
  <c r="A11975" i="1"/>
  <c r="B11975" i="1"/>
  <c r="C11975" i="1"/>
  <c r="D11975" i="1"/>
  <c r="E11975" i="1"/>
  <c r="F11975" i="1"/>
  <c r="G11975" i="1"/>
  <c r="H11975" i="1"/>
  <c r="I11975" i="1"/>
  <c r="J11975" i="1"/>
  <c r="K11975" i="1"/>
  <c r="L11975" i="1"/>
  <c r="A11976" i="1"/>
  <c r="B11976" i="1"/>
  <c r="C11976" i="1"/>
  <c r="D11976" i="1"/>
  <c r="E11976" i="1"/>
  <c r="F11976" i="1"/>
  <c r="G11976" i="1"/>
  <c r="H11976" i="1"/>
  <c r="I11976" i="1"/>
  <c r="J11976" i="1"/>
  <c r="K11976" i="1"/>
  <c r="L11976" i="1"/>
  <c r="A11977" i="1"/>
  <c r="B11977" i="1"/>
  <c r="C11977" i="1"/>
  <c r="D11977" i="1"/>
  <c r="E11977" i="1"/>
  <c r="F11977" i="1"/>
  <c r="G11977" i="1"/>
  <c r="H11977" i="1"/>
  <c r="I11977" i="1"/>
  <c r="J11977" i="1"/>
  <c r="K11977" i="1"/>
  <c r="L11977" i="1"/>
  <c r="A11978" i="1"/>
  <c r="B11978" i="1"/>
  <c r="C11978" i="1"/>
  <c r="D11978" i="1"/>
  <c r="E11978" i="1"/>
  <c r="F11978" i="1"/>
  <c r="G11978" i="1"/>
  <c r="H11978" i="1"/>
  <c r="I11978" i="1"/>
  <c r="J11978" i="1"/>
  <c r="K11978" i="1"/>
  <c r="L11978" i="1"/>
  <c r="A11979" i="1"/>
  <c r="B11979" i="1"/>
  <c r="C11979" i="1"/>
  <c r="D11979" i="1"/>
  <c r="E11979" i="1"/>
  <c r="F11979" i="1"/>
  <c r="G11979" i="1"/>
  <c r="H11979" i="1"/>
  <c r="I11979" i="1"/>
  <c r="J11979" i="1"/>
  <c r="K11979" i="1"/>
  <c r="L11979" i="1"/>
  <c r="A11980" i="1"/>
  <c r="B11980" i="1"/>
  <c r="C11980" i="1"/>
  <c r="D11980" i="1"/>
  <c r="E11980" i="1"/>
  <c r="F11980" i="1"/>
  <c r="G11980" i="1"/>
  <c r="H11980" i="1"/>
  <c r="I11980" i="1"/>
  <c r="J11980" i="1"/>
  <c r="K11980" i="1"/>
  <c r="L11980" i="1"/>
  <c r="A11981" i="1"/>
  <c r="B11981" i="1"/>
  <c r="C11981" i="1"/>
  <c r="D11981" i="1"/>
  <c r="E11981" i="1"/>
  <c r="F11981" i="1"/>
  <c r="G11981" i="1"/>
  <c r="H11981" i="1"/>
  <c r="I11981" i="1"/>
  <c r="J11981" i="1"/>
  <c r="K11981" i="1"/>
  <c r="L11981" i="1"/>
  <c r="A11982" i="1"/>
  <c r="B11982" i="1"/>
  <c r="C11982" i="1"/>
  <c r="D11982" i="1"/>
  <c r="E11982" i="1"/>
  <c r="F11982" i="1"/>
  <c r="G11982" i="1"/>
  <c r="H11982" i="1"/>
  <c r="I11982" i="1"/>
  <c r="J11982" i="1"/>
  <c r="K11982" i="1"/>
  <c r="L11982" i="1"/>
  <c r="A11983" i="1"/>
  <c r="B11983" i="1"/>
  <c r="C11983" i="1"/>
  <c r="D11983" i="1"/>
  <c r="E11983" i="1"/>
  <c r="F11983" i="1"/>
  <c r="G11983" i="1"/>
  <c r="H11983" i="1"/>
  <c r="I11983" i="1"/>
  <c r="J11983" i="1"/>
  <c r="K11983" i="1"/>
  <c r="L11983" i="1"/>
  <c r="A11984" i="1"/>
  <c r="B11984" i="1"/>
  <c r="C11984" i="1"/>
  <c r="D11984" i="1"/>
  <c r="E11984" i="1"/>
  <c r="F11984" i="1"/>
  <c r="G11984" i="1"/>
  <c r="H11984" i="1"/>
  <c r="I11984" i="1"/>
  <c r="J11984" i="1"/>
  <c r="K11984" i="1"/>
  <c r="L11984" i="1"/>
  <c r="A11985" i="1"/>
  <c r="B11985" i="1"/>
  <c r="C11985" i="1"/>
  <c r="D11985" i="1"/>
  <c r="E11985" i="1"/>
  <c r="F11985" i="1"/>
  <c r="G11985" i="1"/>
  <c r="H11985" i="1"/>
  <c r="I11985" i="1"/>
  <c r="J11985" i="1"/>
  <c r="K11985" i="1"/>
  <c r="L11985" i="1"/>
  <c r="A11986" i="1"/>
  <c r="B11986" i="1"/>
  <c r="C11986" i="1"/>
  <c r="D11986" i="1"/>
  <c r="E11986" i="1"/>
  <c r="F11986" i="1"/>
  <c r="G11986" i="1"/>
  <c r="H11986" i="1"/>
  <c r="I11986" i="1"/>
  <c r="J11986" i="1"/>
  <c r="K11986" i="1"/>
  <c r="L11986" i="1"/>
  <c r="A11987" i="1"/>
  <c r="B11987" i="1"/>
  <c r="C11987" i="1"/>
  <c r="D11987" i="1"/>
  <c r="E11987" i="1"/>
  <c r="F11987" i="1"/>
  <c r="G11987" i="1"/>
  <c r="H11987" i="1"/>
  <c r="I11987" i="1"/>
  <c r="J11987" i="1"/>
  <c r="K11987" i="1"/>
  <c r="L11987" i="1"/>
  <c r="A11988" i="1"/>
  <c r="B11988" i="1"/>
  <c r="C11988" i="1"/>
  <c r="D11988" i="1"/>
  <c r="E11988" i="1"/>
  <c r="F11988" i="1"/>
  <c r="G11988" i="1"/>
  <c r="H11988" i="1"/>
  <c r="I11988" i="1"/>
  <c r="J11988" i="1"/>
  <c r="K11988" i="1"/>
  <c r="L11988" i="1"/>
  <c r="A11989" i="1"/>
  <c r="B11989" i="1"/>
  <c r="C11989" i="1"/>
  <c r="D11989" i="1"/>
  <c r="E11989" i="1"/>
  <c r="F11989" i="1"/>
  <c r="G11989" i="1"/>
  <c r="H11989" i="1"/>
  <c r="I11989" i="1"/>
  <c r="J11989" i="1"/>
  <c r="K11989" i="1"/>
  <c r="L11989" i="1"/>
  <c r="A11990" i="1"/>
  <c r="B11990" i="1"/>
  <c r="C11990" i="1"/>
  <c r="D11990" i="1"/>
  <c r="E11990" i="1"/>
  <c r="F11990" i="1"/>
  <c r="G11990" i="1"/>
  <c r="H11990" i="1"/>
  <c r="I11990" i="1"/>
  <c r="J11990" i="1"/>
  <c r="K11990" i="1"/>
  <c r="L11990" i="1"/>
  <c r="A11991" i="1"/>
  <c r="B11991" i="1"/>
  <c r="C11991" i="1"/>
  <c r="D11991" i="1"/>
  <c r="E11991" i="1"/>
  <c r="F11991" i="1"/>
  <c r="G11991" i="1"/>
  <c r="H11991" i="1"/>
  <c r="I11991" i="1"/>
  <c r="J11991" i="1"/>
  <c r="K11991" i="1"/>
  <c r="L11991" i="1"/>
  <c r="A11992" i="1"/>
  <c r="B11992" i="1"/>
  <c r="C11992" i="1"/>
  <c r="D11992" i="1"/>
  <c r="E11992" i="1"/>
  <c r="F11992" i="1"/>
  <c r="G11992" i="1"/>
  <c r="H11992" i="1"/>
  <c r="I11992" i="1"/>
  <c r="J11992" i="1"/>
  <c r="K11992" i="1"/>
  <c r="L11992" i="1"/>
  <c r="A11993" i="1"/>
  <c r="B11993" i="1"/>
  <c r="C11993" i="1"/>
  <c r="D11993" i="1"/>
  <c r="E11993" i="1"/>
  <c r="F11993" i="1"/>
  <c r="G11993" i="1"/>
  <c r="H11993" i="1"/>
  <c r="I11993" i="1"/>
  <c r="J11993" i="1"/>
  <c r="K11993" i="1"/>
  <c r="L11993" i="1"/>
  <c r="A11994" i="1"/>
  <c r="B11994" i="1"/>
  <c r="C11994" i="1"/>
  <c r="D11994" i="1"/>
  <c r="E11994" i="1"/>
  <c r="F11994" i="1"/>
  <c r="G11994" i="1"/>
  <c r="H11994" i="1"/>
  <c r="I11994" i="1"/>
  <c r="J11994" i="1"/>
  <c r="K11994" i="1"/>
  <c r="L11994" i="1"/>
  <c r="A11995" i="1"/>
  <c r="B11995" i="1"/>
  <c r="C11995" i="1"/>
  <c r="D11995" i="1"/>
  <c r="E11995" i="1"/>
  <c r="F11995" i="1"/>
  <c r="G11995" i="1"/>
  <c r="H11995" i="1"/>
  <c r="I11995" i="1"/>
  <c r="J11995" i="1"/>
  <c r="K11995" i="1"/>
  <c r="L11995" i="1"/>
  <c r="A11996" i="1"/>
  <c r="B11996" i="1"/>
  <c r="C11996" i="1"/>
  <c r="D11996" i="1"/>
  <c r="E11996" i="1"/>
  <c r="F11996" i="1"/>
  <c r="G11996" i="1"/>
  <c r="H11996" i="1"/>
  <c r="I11996" i="1"/>
  <c r="J11996" i="1"/>
  <c r="K11996" i="1"/>
  <c r="L11996" i="1"/>
  <c r="A11997" i="1"/>
  <c r="B11997" i="1"/>
  <c r="C11997" i="1"/>
  <c r="D11997" i="1"/>
  <c r="E11997" i="1"/>
  <c r="F11997" i="1"/>
  <c r="G11997" i="1"/>
  <c r="H11997" i="1"/>
  <c r="I11997" i="1"/>
  <c r="J11997" i="1"/>
  <c r="K11997" i="1"/>
  <c r="L11997" i="1"/>
  <c r="A11998" i="1"/>
  <c r="B11998" i="1"/>
  <c r="C11998" i="1"/>
  <c r="D11998" i="1"/>
  <c r="E11998" i="1"/>
  <c r="F11998" i="1"/>
  <c r="G11998" i="1"/>
  <c r="H11998" i="1"/>
  <c r="I11998" i="1"/>
  <c r="J11998" i="1"/>
  <c r="K11998" i="1"/>
  <c r="L11998" i="1"/>
  <c r="A11999" i="1"/>
  <c r="B11999" i="1"/>
  <c r="C11999" i="1"/>
  <c r="D11999" i="1"/>
  <c r="E11999" i="1"/>
  <c r="F11999" i="1"/>
  <c r="G11999" i="1"/>
  <c r="H11999" i="1"/>
  <c r="I11999" i="1"/>
  <c r="J11999" i="1"/>
  <c r="K11999" i="1"/>
  <c r="L11999" i="1"/>
  <c r="A12000" i="1"/>
  <c r="B12000" i="1"/>
  <c r="C12000" i="1"/>
  <c r="D12000" i="1"/>
  <c r="E12000" i="1"/>
  <c r="F12000" i="1"/>
  <c r="G12000" i="1"/>
  <c r="H12000" i="1"/>
  <c r="I12000" i="1"/>
  <c r="J12000" i="1"/>
  <c r="K12000" i="1"/>
  <c r="L12000" i="1"/>
  <c r="A12001" i="1"/>
  <c r="B12001" i="1"/>
  <c r="C12001" i="1"/>
  <c r="D12001" i="1"/>
  <c r="E12001" i="1"/>
  <c r="F12001" i="1"/>
  <c r="G12001" i="1"/>
  <c r="H12001" i="1"/>
  <c r="I12001" i="1"/>
  <c r="J12001" i="1"/>
  <c r="K12001" i="1"/>
  <c r="L12001" i="1"/>
  <c r="A12002" i="1"/>
  <c r="B12002" i="1"/>
  <c r="C12002" i="1"/>
  <c r="D12002" i="1"/>
  <c r="E12002" i="1"/>
  <c r="F12002" i="1"/>
  <c r="G12002" i="1"/>
  <c r="H12002" i="1"/>
  <c r="I12002" i="1"/>
  <c r="J12002" i="1"/>
  <c r="K12002" i="1"/>
  <c r="L12002" i="1"/>
  <c r="A12003" i="1"/>
  <c r="B12003" i="1"/>
  <c r="C12003" i="1"/>
  <c r="D12003" i="1"/>
  <c r="E12003" i="1"/>
  <c r="F12003" i="1"/>
  <c r="G12003" i="1"/>
  <c r="H12003" i="1"/>
  <c r="I12003" i="1"/>
  <c r="J12003" i="1"/>
  <c r="K12003" i="1"/>
  <c r="L12003" i="1"/>
  <c r="A12004" i="1"/>
  <c r="B12004" i="1"/>
  <c r="C12004" i="1"/>
  <c r="D12004" i="1"/>
  <c r="E12004" i="1"/>
  <c r="F12004" i="1"/>
  <c r="G12004" i="1"/>
  <c r="H12004" i="1"/>
  <c r="I12004" i="1"/>
  <c r="J12004" i="1"/>
  <c r="K12004" i="1"/>
  <c r="L12004" i="1"/>
  <c r="A12005" i="1"/>
  <c r="B12005" i="1"/>
  <c r="C12005" i="1"/>
  <c r="D12005" i="1"/>
  <c r="E12005" i="1"/>
  <c r="F12005" i="1"/>
  <c r="G12005" i="1"/>
  <c r="H12005" i="1"/>
  <c r="I12005" i="1"/>
  <c r="J12005" i="1"/>
  <c r="K12005" i="1"/>
  <c r="L12005" i="1"/>
  <c r="A12006" i="1"/>
  <c r="B12006" i="1"/>
  <c r="C12006" i="1"/>
  <c r="D12006" i="1"/>
  <c r="E12006" i="1"/>
  <c r="F12006" i="1"/>
  <c r="G12006" i="1"/>
  <c r="H12006" i="1"/>
  <c r="I12006" i="1"/>
  <c r="J12006" i="1"/>
  <c r="K12006" i="1"/>
  <c r="L12006" i="1"/>
  <c r="A12007" i="1"/>
  <c r="B12007" i="1"/>
  <c r="C12007" i="1"/>
  <c r="D12007" i="1"/>
  <c r="E12007" i="1"/>
  <c r="F12007" i="1"/>
  <c r="G12007" i="1"/>
  <c r="H12007" i="1"/>
  <c r="I12007" i="1"/>
  <c r="J12007" i="1"/>
  <c r="K12007" i="1"/>
  <c r="L12007" i="1"/>
  <c r="A12008" i="1"/>
  <c r="B12008" i="1"/>
  <c r="C12008" i="1"/>
  <c r="D12008" i="1"/>
  <c r="E12008" i="1"/>
  <c r="F12008" i="1"/>
  <c r="G12008" i="1"/>
  <c r="H12008" i="1"/>
  <c r="I12008" i="1"/>
  <c r="J12008" i="1"/>
  <c r="K12008" i="1"/>
  <c r="L12008" i="1"/>
  <c r="A12009" i="1"/>
  <c r="B12009" i="1"/>
  <c r="C12009" i="1"/>
  <c r="D12009" i="1"/>
  <c r="E12009" i="1"/>
  <c r="F12009" i="1"/>
  <c r="G12009" i="1"/>
  <c r="H12009" i="1"/>
  <c r="I12009" i="1"/>
  <c r="J12009" i="1"/>
  <c r="K12009" i="1"/>
  <c r="L12009" i="1"/>
  <c r="A12010" i="1"/>
  <c r="B12010" i="1"/>
  <c r="C12010" i="1"/>
  <c r="D12010" i="1"/>
  <c r="E12010" i="1"/>
  <c r="F12010" i="1"/>
  <c r="G12010" i="1"/>
  <c r="H12010" i="1"/>
  <c r="I12010" i="1"/>
  <c r="J12010" i="1"/>
  <c r="K12010" i="1"/>
  <c r="L12010" i="1"/>
  <c r="A12011" i="1"/>
  <c r="B12011" i="1"/>
  <c r="C12011" i="1"/>
  <c r="D12011" i="1"/>
  <c r="E12011" i="1"/>
  <c r="F12011" i="1"/>
  <c r="G12011" i="1"/>
  <c r="H12011" i="1"/>
  <c r="I12011" i="1"/>
  <c r="J12011" i="1"/>
  <c r="K12011" i="1"/>
  <c r="L12011" i="1"/>
  <c r="A12012" i="1"/>
  <c r="B12012" i="1"/>
  <c r="C12012" i="1"/>
  <c r="D12012" i="1"/>
  <c r="E12012" i="1"/>
  <c r="F12012" i="1"/>
  <c r="G12012" i="1"/>
  <c r="H12012" i="1"/>
  <c r="I12012" i="1"/>
  <c r="J12012" i="1"/>
  <c r="K12012" i="1"/>
  <c r="L12012" i="1"/>
  <c r="A12013" i="1"/>
  <c r="B12013" i="1"/>
  <c r="C12013" i="1"/>
  <c r="D12013" i="1"/>
  <c r="E12013" i="1"/>
  <c r="F12013" i="1"/>
  <c r="G12013" i="1"/>
  <c r="H12013" i="1"/>
  <c r="I12013" i="1"/>
  <c r="J12013" i="1"/>
  <c r="K12013" i="1"/>
  <c r="L12013" i="1"/>
  <c r="A12014" i="1"/>
  <c r="B12014" i="1"/>
  <c r="C12014" i="1"/>
  <c r="D12014" i="1"/>
  <c r="E12014" i="1"/>
  <c r="F12014" i="1"/>
  <c r="G12014" i="1"/>
  <c r="H12014" i="1"/>
  <c r="I12014" i="1"/>
  <c r="J12014" i="1"/>
  <c r="K12014" i="1"/>
  <c r="L12014" i="1"/>
  <c r="A12015" i="1"/>
  <c r="B12015" i="1"/>
  <c r="C12015" i="1"/>
  <c r="D12015" i="1"/>
  <c r="E12015" i="1"/>
  <c r="F12015" i="1"/>
  <c r="G12015" i="1"/>
  <c r="H12015" i="1"/>
  <c r="I12015" i="1"/>
  <c r="J12015" i="1"/>
  <c r="K12015" i="1"/>
  <c r="L12015" i="1"/>
  <c r="A12016" i="1"/>
  <c r="B12016" i="1"/>
  <c r="C12016" i="1"/>
  <c r="D12016" i="1"/>
  <c r="E12016" i="1"/>
  <c r="F12016" i="1"/>
  <c r="G12016" i="1"/>
  <c r="H12016" i="1"/>
  <c r="I12016" i="1"/>
  <c r="J12016" i="1"/>
  <c r="K12016" i="1"/>
  <c r="L12016" i="1"/>
  <c r="A12017" i="1"/>
  <c r="B12017" i="1"/>
  <c r="C12017" i="1"/>
  <c r="D12017" i="1"/>
  <c r="E12017" i="1"/>
  <c r="F12017" i="1"/>
  <c r="G12017" i="1"/>
  <c r="H12017" i="1"/>
  <c r="I12017" i="1"/>
  <c r="J12017" i="1"/>
  <c r="K12017" i="1"/>
  <c r="L12017" i="1"/>
  <c r="A12018" i="1"/>
  <c r="B12018" i="1"/>
  <c r="C12018" i="1"/>
  <c r="D12018" i="1"/>
  <c r="E12018" i="1"/>
  <c r="F12018" i="1"/>
  <c r="G12018" i="1"/>
  <c r="H12018" i="1"/>
  <c r="I12018" i="1"/>
  <c r="J12018" i="1"/>
  <c r="K12018" i="1"/>
  <c r="L12018" i="1"/>
  <c r="A12019" i="1"/>
  <c r="B12019" i="1"/>
  <c r="C12019" i="1"/>
  <c r="D12019" i="1"/>
  <c r="E12019" i="1"/>
  <c r="F12019" i="1"/>
  <c r="G12019" i="1"/>
  <c r="H12019" i="1"/>
  <c r="I12019" i="1"/>
  <c r="J12019" i="1"/>
  <c r="K12019" i="1"/>
  <c r="L12019" i="1"/>
  <c r="A12020" i="1"/>
  <c r="B12020" i="1"/>
  <c r="C12020" i="1"/>
  <c r="D12020" i="1"/>
  <c r="E12020" i="1"/>
  <c r="F12020" i="1"/>
  <c r="G12020" i="1"/>
  <c r="H12020" i="1"/>
  <c r="I12020" i="1"/>
  <c r="J12020" i="1"/>
  <c r="K12020" i="1"/>
  <c r="L12020" i="1"/>
  <c r="A12021" i="1"/>
  <c r="B12021" i="1"/>
  <c r="C12021" i="1"/>
  <c r="D12021" i="1"/>
  <c r="E12021" i="1"/>
  <c r="F12021" i="1"/>
  <c r="G12021" i="1"/>
  <c r="H12021" i="1"/>
  <c r="I12021" i="1"/>
  <c r="J12021" i="1"/>
  <c r="K12021" i="1"/>
  <c r="L12021" i="1"/>
  <c r="A12022" i="1"/>
  <c r="B12022" i="1"/>
  <c r="C12022" i="1"/>
  <c r="D12022" i="1"/>
  <c r="E12022" i="1"/>
  <c r="F12022" i="1"/>
  <c r="G12022" i="1"/>
  <c r="H12022" i="1"/>
  <c r="I12022" i="1"/>
  <c r="J12022" i="1"/>
  <c r="K12022" i="1"/>
  <c r="L12022" i="1"/>
  <c r="A12023" i="1"/>
  <c r="B12023" i="1"/>
  <c r="C12023" i="1"/>
  <c r="D12023" i="1"/>
  <c r="E12023" i="1"/>
  <c r="F12023" i="1"/>
  <c r="G12023" i="1"/>
  <c r="H12023" i="1"/>
  <c r="I12023" i="1"/>
  <c r="J12023" i="1"/>
  <c r="K12023" i="1"/>
  <c r="L12023" i="1"/>
  <c r="A12024" i="1"/>
  <c r="B12024" i="1"/>
  <c r="C12024" i="1"/>
  <c r="D12024" i="1"/>
  <c r="E12024" i="1"/>
  <c r="F12024" i="1"/>
  <c r="G12024" i="1"/>
  <c r="H12024" i="1"/>
  <c r="I12024" i="1"/>
  <c r="J12024" i="1"/>
  <c r="K12024" i="1"/>
  <c r="L12024" i="1"/>
  <c r="A12025" i="1"/>
  <c r="B12025" i="1"/>
  <c r="C12025" i="1"/>
  <c r="D12025" i="1"/>
  <c r="E12025" i="1"/>
  <c r="F12025" i="1"/>
  <c r="G12025" i="1"/>
  <c r="H12025" i="1"/>
  <c r="I12025" i="1"/>
  <c r="J12025" i="1"/>
  <c r="K12025" i="1"/>
  <c r="L12025" i="1"/>
  <c r="A12026" i="1"/>
  <c r="B12026" i="1"/>
  <c r="C12026" i="1"/>
  <c r="D12026" i="1"/>
  <c r="E12026" i="1"/>
  <c r="F12026" i="1"/>
  <c r="G12026" i="1"/>
  <c r="H12026" i="1"/>
  <c r="I12026" i="1"/>
  <c r="J12026" i="1"/>
  <c r="K12026" i="1"/>
  <c r="L12026" i="1"/>
  <c r="A12027" i="1"/>
  <c r="B12027" i="1"/>
  <c r="C12027" i="1"/>
  <c r="D12027" i="1"/>
  <c r="E12027" i="1"/>
  <c r="F12027" i="1"/>
  <c r="G12027" i="1"/>
  <c r="H12027" i="1"/>
  <c r="I12027" i="1"/>
  <c r="J12027" i="1"/>
  <c r="K12027" i="1"/>
  <c r="L12027" i="1"/>
  <c r="A12028" i="1"/>
  <c r="B12028" i="1"/>
  <c r="C12028" i="1"/>
  <c r="D12028" i="1"/>
  <c r="E12028" i="1"/>
  <c r="F12028" i="1"/>
  <c r="G12028" i="1"/>
  <c r="H12028" i="1"/>
  <c r="I12028" i="1"/>
  <c r="J12028" i="1"/>
  <c r="K12028" i="1"/>
  <c r="L12028" i="1"/>
  <c r="A12029" i="1"/>
  <c r="B12029" i="1"/>
  <c r="C12029" i="1"/>
  <c r="D12029" i="1"/>
  <c r="E12029" i="1"/>
  <c r="F12029" i="1"/>
  <c r="G12029" i="1"/>
  <c r="H12029" i="1"/>
  <c r="I12029" i="1"/>
  <c r="J12029" i="1"/>
  <c r="K12029" i="1"/>
  <c r="L12029" i="1"/>
  <c r="A12030" i="1"/>
  <c r="B12030" i="1"/>
  <c r="C12030" i="1"/>
  <c r="D12030" i="1"/>
  <c r="E12030" i="1"/>
  <c r="F12030" i="1"/>
  <c r="G12030" i="1"/>
  <c r="H12030" i="1"/>
  <c r="I12030" i="1"/>
  <c r="J12030" i="1"/>
  <c r="K12030" i="1"/>
  <c r="L12030" i="1"/>
  <c r="A12031" i="1"/>
  <c r="B12031" i="1"/>
  <c r="C12031" i="1"/>
  <c r="D12031" i="1"/>
  <c r="E12031" i="1"/>
  <c r="F12031" i="1"/>
  <c r="G12031" i="1"/>
  <c r="H12031" i="1"/>
  <c r="I12031" i="1"/>
  <c r="J12031" i="1"/>
  <c r="K12031" i="1"/>
  <c r="L12031" i="1"/>
  <c r="A12032" i="1"/>
  <c r="B12032" i="1"/>
  <c r="C12032" i="1"/>
  <c r="D12032" i="1"/>
  <c r="E12032" i="1"/>
  <c r="F12032" i="1"/>
  <c r="G12032" i="1"/>
  <c r="H12032" i="1"/>
  <c r="I12032" i="1"/>
  <c r="J12032" i="1"/>
  <c r="K12032" i="1"/>
  <c r="L12032" i="1"/>
  <c r="A12033" i="1"/>
  <c r="B12033" i="1"/>
  <c r="C12033" i="1"/>
  <c r="D12033" i="1"/>
  <c r="E12033" i="1"/>
  <c r="F12033" i="1"/>
  <c r="G12033" i="1"/>
  <c r="H12033" i="1"/>
  <c r="I12033" i="1"/>
  <c r="J12033" i="1"/>
  <c r="K12033" i="1"/>
  <c r="L12033" i="1"/>
  <c r="A12034" i="1"/>
  <c r="B12034" i="1"/>
  <c r="C12034" i="1"/>
  <c r="D12034" i="1"/>
  <c r="E12034" i="1"/>
  <c r="F12034" i="1"/>
  <c r="G12034" i="1"/>
  <c r="H12034" i="1"/>
  <c r="I12034" i="1"/>
  <c r="J12034" i="1"/>
  <c r="K12034" i="1"/>
  <c r="L12034" i="1"/>
  <c r="A12035" i="1"/>
  <c r="B12035" i="1"/>
  <c r="C12035" i="1"/>
  <c r="D12035" i="1"/>
  <c r="E12035" i="1"/>
  <c r="F12035" i="1"/>
  <c r="G12035" i="1"/>
  <c r="H12035" i="1"/>
  <c r="I12035" i="1"/>
  <c r="J12035" i="1"/>
  <c r="K12035" i="1"/>
  <c r="L12035" i="1"/>
  <c r="A12036" i="1"/>
  <c r="B12036" i="1"/>
  <c r="C12036" i="1"/>
  <c r="D12036" i="1"/>
  <c r="E12036" i="1"/>
  <c r="F12036" i="1"/>
  <c r="G12036" i="1"/>
  <c r="H12036" i="1"/>
  <c r="I12036" i="1"/>
  <c r="J12036" i="1"/>
  <c r="K12036" i="1"/>
  <c r="L12036" i="1"/>
  <c r="A12037" i="1"/>
  <c r="B12037" i="1"/>
  <c r="C12037" i="1"/>
  <c r="D12037" i="1"/>
  <c r="E12037" i="1"/>
  <c r="F12037" i="1"/>
  <c r="G12037" i="1"/>
  <c r="H12037" i="1"/>
  <c r="I12037" i="1"/>
  <c r="J12037" i="1"/>
  <c r="K12037" i="1"/>
  <c r="L12037" i="1"/>
  <c r="A12038" i="1"/>
  <c r="B12038" i="1"/>
  <c r="C12038" i="1"/>
  <c r="D12038" i="1"/>
  <c r="E12038" i="1"/>
  <c r="F12038" i="1"/>
  <c r="G12038" i="1"/>
  <c r="H12038" i="1"/>
  <c r="I12038" i="1"/>
  <c r="J12038" i="1"/>
  <c r="K12038" i="1"/>
  <c r="L12038" i="1"/>
  <c r="A12039" i="1"/>
  <c r="B12039" i="1"/>
  <c r="C12039" i="1"/>
  <c r="D12039" i="1"/>
  <c r="E12039" i="1"/>
  <c r="F12039" i="1"/>
  <c r="G12039" i="1"/>
  <c r="H12039" i="1"/>
  <c r="I12039" i="1"/>
  <c r="J12039" i="1"/>
  <c r="K12039" i="1"/>
  <c r="L12039" i="1"/>
  <c r="A12040" i="1"/>
  <c r="B12040" i="1"/>
  <c r="C12040" i="1"/>
  <c r="D12040" i="1"/>
  <c r="E12040" i="1"/>
  <c r="F12040" i="1"/>
  <c r="G12040" i="1"/>
  <c r="H12040" i="1"/>
  <c r="I12040" i="1"/>
  <c r="J12040" i="1"/>
  <c r="K12040" i="1"/>
  <c r="L12040" i="1"/>
  <c r="A12041" i="1"/>
  <c r="B12041" i="1"/>
  <c r="C12041" i="1"/>
  <c r="D12041" i="1"/>
  <c r="E12041" i="1"/>
  <c r="F12041" i="1"/>
  <c r="G12041" i="1"/>
  <c r="H12041" i="1"/>
  <c r="I12041" i="1"/>
  <c r="J12041" i="1"/>
  <c r="K12041" i="1"/>
  <c r="L12041" i="1"/>
  <c r="A12042" i="1"/>
  <c r="B12042" i="1"/>
  <c r="C12042" i="1"/>
  <c r="D12042" i="1"/>
  <c r="E12042" i="1"/>
  <c r="F12042" i="1"/>
  <c r="G12042" i="1"/>
  <c r="H12042" i="1"/>
  <c r="I12042" i="1"/>
  <c r="J12042" i="1"/>
  <c r="K12042" i="1"/>
  <c r="L12042" i="1"/>
  <c r="A12043" i="1"/>
  <c r="B12043" i="1"/>
  <c r="C12043" i="1"/>
  <c r="D12043" i="1"/>
  <c r="E12043" i="1"/>
  <c r="F12043" i="1"/>
  <c r="G12043" i="1"/>
  <c r="H12043" i="1"/>
  <c r="I12043" i="1"/>
  <c r="J12043" i="1"/>
  <c r="K12043" i="1"/>
  <c r="L12043" i="1"/>
  <c r="A12044" i="1"/>
  <c r="B12044" i="1"/>
  <c r="C12044" i="1"/>
  <c r="D12044" i="1"/>
  <c r="E12044" i="1"/>
  <c r="F12044" i="1"/>
  <c r="G12044" i="1"/>
  <c r="H12044" i="1"/>
  <c r="I12044" i="1"/>
  <c r="J12044" i="1"/>
  <c r="K12044" i="1"/>
  <c r="L12044" i="1"/>
  <c r="A12045" i="1"/>
  <c r="B12045" i="1"/>
  <c r="C12045" i="1"/>
  <c r="D12045" i="1"/>
  <c r="E12045" i="1"/>
  <c r="F12045" i="1"/>
  <c r="G12045" i="1"/>
  <c r="H12045" i="1"/>
  <c r="I12045" i="1"/>
  <c r="J12045" i="1"/>
  <c r="K12045" i="1"/>
  <c r="L12045" i="1"/>
  <c r="A12046" i="1"/>
  <c r="B12046" i="1"/>
  <c r="C12046" i="1"/>
  <c r="D12046" i="1"/>
  <c r="E12046" i="1"/>
  <c r="F12046" i="1"/>
  <c r="G12046" i="1"/>
  <c r="H12046" i="1"/>
  <c r="I12046" i="1"/>
  <c r="J12046" i="1"/>
  <c r="K12046" i="1"/>
  <c r="L12046" i="1"/>
  <c r="A12047" i="1"/>
  <c r="B12047" i="1"/>
  <c r="C12047" i="1"/>
  <c r="D12047" i="1"/>
  <c r="E12047" i="1"/>
  <c r="F12047" i="1"/>
  <c r="G12047" i="1"/>
  <c r="H12047" i="1"/>
  <c r="I12047" i="1"/>
  <c r="J12047" i="1"/>
  <c r="K12047" i="1"/>
  <c r="L12047" i="1"/>
  <c r="A12048" i="1"/>
  <c r="B12048" i="1"/>
  <c r="C12048" i="1"/>
  <c r="D12048" i="1"/>
  <c r="E12048" i="1"/>
  <c r="F12048" i="1"/>
  <c r="G12048" i="1"/>
  <c r="H12048" i="1"/>
  <c r="I12048" i="1"/>
  <c r="J12048" i="1"/>
  <c r="K12048" i="1"/>
  <c r="L12048" i="1"/>
  <c r="A12049" i="1"/>
  <c r="B12049" i="1"/>
  <c r="C12049" i="1"/>
  <c r="D12049" i="1"/>
  <c r="E12049" i="1"/>
  <c r="F12049" i="1"/>
  <c r="G12049" i="1"/>
  <c r="H12049" i="1"/>
  <c r="I12049" i="1"/>
  <c r="J12049" i="1"/>
  <c r="K12049" i="1"/>
  <c r="L12049" i="1"/>
  <c r="A12050" i="1"/>
  <c r="B12050" i="1"/>
  <c r="C12050" i="1"/>
  <c r="D12050" i="1"/>
  <c r="E12050" i="1"/>
  <c r="F12050" i="1"/>
  <c r="G12050" i="1"/>
  <c r="H12050" i="1"/>
  <c r="I12050" i="1"/>
  <c r="J12050" i="1"/>
  <c r="K12050" i="1"/>
  <c r="L12050" i="1"/>
  <c r="A12051" i="1"/>
  <c r="B12051" i="1"/>
  <c r="C12051" i="1"/>
  <c r="D12051" i="1"/>
  <c r="E12051" i="1"/>
  <c r="F12051" i="1"/>
  <c r="G12051" i="1"/>
  <c r="H12051" i="1"/>
  <c r="I12051" i="1"/>
  <c r="J12051" i="1"/>
  <c r="K12051" i="1"/>
  <c r="L12051" i="1"/>
  <c r="A12052" i="1"/>
  <c r="B12052" i="1"/>
  <c r="C12052" i="1"/>
  <c r="D12052" i="1"/>
  <c r="E12052" i="1"/>
  <c r="F12052" i="1"/>
  <c r="G12052" i="1"/>
  <c r="H12052" i="1"/>
  <c r="I12052" i="1"/>
  <c r="J12052" i="1"/>
  <c r="K12052" i="1"/>
  <c r="L12052" i="1"/>
  <c r="A12053" i="1"/>
  <c r="B12053" i="1"/>
  <c r="C12053" i="1"/>
  <c r="D12053" i="1"/>
  <c r="E12053" i="1"/>
  <c r="F12053" i="1"/>
  <c r="G12053" i="1"/>
  <c r="H12053" i="1"/>
  <c r="I12053" i="1"/>
  <c r="J12053" i="1"/>
  <c r="K12053" i="1"/>
  <c r="L12053" i="1"/>
  <c r="A12054" i="1"/>
  <c r="B12054" i="1"/>
  <c r="C12054" i="1"/>
  <c r="D12054" i="1"/>
  <c r="E12054" i="1"/>
  <c r="F12054" i="1"/>
  <c r="G12054" i="1"/>
  <c r="H12054" i="1"/>
  <c r="I12054" i="1"/>
  <c r="J12054" i="1"/>
  <c r="K12054" i="1"/>
  <c r="L12054" i="1"/>
  <c r="A12055" i="1"/>
  <c r="B12055" i="1"/>
  <c r="C12055" i="1"/>
  <c r="D12055" i="1"/>
  <c r="E12055" i="1"/>
  <c r="F12055" i="1"/>
  <c r="G12055" i="1"/>
  <c r="H12055" i="1"/>
  <c r="I12055" i="1"/>
  <c r="J12055" i="1"/>
  <c r="K12055" i="1"/>
  <c r="L12055" i="1"/>
  <c r="A12056" i="1"/>
  <c r="B12056" i="1"/>
  <c r="C12056" i="1"/>
  <c r="D12056" i="1"/>
  <c r="E12056" i="1"/>
  <c r="F12056" i="1"/>
  <c r="G12056" i="1"/>
  <c r="H12056" i="1"/>
  <c r="I12056" i="1"/>
  <c r="J12056" i="1"/>
  <c r="K12056" i="1"/>
  <c r="L12056" i="1"/>
  <c r="A12057" i="1"/>
  <c r="B12057" i="1"/>
  <c r="C12057" i="1"/>
  <c r="D12057" i="1"/>
  <c r="E12057" i="1"/>
  <c r="F12057" i="1"/>
  <c r="G12057" i="1"/>
  <c r="H12057" i="1"/>
  <c r="I12057" i="1"/>
  <c r="J12057" i="1"/>
  <c r="K12057" i="1"/>
  <c r="L12057" i="1"/>
  <c r="A12058" i="1"/>
  <c r="B12058" i="1"/>
  <c r="C12058" i="1"/>
  <c r="D12058" i="1"/>
  <c r="E12058" i="1"/>
  <c r="F12058" i="1"/>
  <c r="G12058" i="1"/>
  <c r="H12058" i="1"/>
  <c r="I12058" i="1"/>
  <c r="J12058" i="1"/>
  <c r="K12058" i="1"/>
  <c r="L12058" i="1"/>
  <c r="A12059" i="1"/>
  <c r="B12059" i="1"/>
  <c r="C12059" i="1"/>
  <c r="D12059" i="1"/>
  <c r="E12059" i="1"/>
  <c r="F12059" i="1"/>
  <c r="G12059" i="1"/>
  <c r="H12059" i="1"/>
  <c r="I12059" i="1"/>
  <c r="J12059" i="1"/>
  <c r="K12059" i="1"/>
  <c r="L12059" i="1"/>
  <c r="A12060" i="1"/>
  <c r="B12060" i="1"/>
  <c r="C12060" i="1"/>
  <c r="D12060" i="1"/>
  <c r="E12060" i="1"/>
  <c r="F12060" i="1"/>
  <c r="G12060" i="1"/>
  <c r="H12060" i="1"/>
  <c r="I12060" i="1"/>
  <c r="J12060" i="1"/>
  <c r="K12060" i="1"/>
  <c r="L12060" i="1"/>
  <c r="A12061" i="1"/>
  <c r="B12061" i="1"/>
  <c r="C12061" i="1"/>
  <c r="D12061" i="1"/>
  <c r="E12061" i="1"/>
  <c r="F12061" i="1"/>
  <c r="G12061" i="1"/>
  <c r="H12061" i="1"/>
  <c r="I12061" i="1"/>
  <c r="J12061" i="1"/>
  <c r="K12061" i="1"/>
  <c r="L12061" i="1"/>
  <c r="A12062" i="1"/>
  <c r="B12062" i="1"/>
  <c r="C12062" i="1"/>
  <c r="D12062" i="1"/>
  <c r="E12062" i="1"/>
  <c r="F12062" i="1"/>
  <c r="G12062" i="1"/>
  <c r="H12062" i="1"/>
  <c r="I12062" i="1"/>
  <c r="J12062" i="1"/>
  <c r="K12062" i="1"/>
  <c r="L12062" i="1"/>
  <c r="A12063" i="1"/>
  <c r="B12063" i="1"/>
  <c r="C12063" i="1"/>
  <c r="D12063" i="1"/>
  <c r="E12063" i="1"/>
  <c r="F12063" i="1"/>
  <c r="G12063" i="1"/>
  <c r="H12063" i="1"/>
  <c r="I12063" i="1"/>
  <c r="J12063" i="1"/>
  <c r="K12063" i="1"/>
  <c r="L12063" i="1"/>
  <c r="A12064" i="1"/>
  <c r="B12064" i="1"/>
  <c r="C12064" i="1"/>
  <c r="D12064" i="1"/>
  <c r="E12064" i="1"/>
  <c r="F12064" i="1"/>
  <c r="G12064" i="1"/>
  <c r="H12064" i="1"/>
  <c r="I12064" i="1"/>
  <c r="J12064" i="1"/>
  <c r="K12064" i="1"/>
  <c r="L12064" i="1"/>
  <c r="A12065" i="1"/>
  <c r="B12065" i="1"/>
  <c r="C12065" i="1"/>
  <c r="D12065" i="1"/>
  <c r="E12065" i="1"/>
  <c r="F12065" i="1"/>
  <c r="G12065" i="1"/>
  <c r="H12065" i="1"/>
  <c r="I12065" i="1"/>
  <c r="J12065" i="1"/>
  <c r="K12065" i="1"/>
  <c r="L12065" i="1"/>
  <c r="A12066" i="1"/>
  <c r="B12066" i="1"/>
  <c r="C12066" i="1"/>
  <c r="D12066" i="1"/>
  <c r="E12066" i="1"/>
  <c r="F12066" i="1"/>
  <c r="G12066" i="1"/>
  <c r="H12066" i="1"/>
  <c r="I12066" i="1"/>
  <c r="J12066" i="1"/>
  <c r="K12066" i="1"/>
  <c r="L12066" i="1"/>
  <c r="A12067" i="1"/>
  <c r="B12067" i="1"/>
  <c r="C12067" i="1"/>
  <c r="D12067" i="1"/>
  <c r="E12067" i="1"/>
  <c r="F12067" i="1"/>
  <c r="G12067" i="1"/>
  <c r="H12067" i="1"/>
  <c r="I12067" i="1"/>
  <c r="J12067" i="1"/>
  <c r="K12067" i="1"/>
  <c r="L12067" i="1"/>
  <c r="A12068" i="1"/>
  <c r="B12068" i="1"/>
  <c r="C12068" i="1"/>
  <c r="D12068" i="1"/>
  <c r="E12068" i="1"/>
  <c r="F12068" i="1"/>
  <c r="G12068" i="1"/>
  <c r="H12068" i="1"/>
  <c r="I12068" i="1"/>
  <c r="J12068" i="1"/>
  <c r="K12068" i="1"/>
  <c r="L12068" i="1"/>
  <c r="A12069" i="1"/>
  <c r="B12069" i="1"/>
  <c r="C12069" i="1"/>
  <c r="D12069" i="1"/>
  <c r="E12069" i="1"/>
  <c r="F12069" i="1"/>
  <c r="G12069" i="1"/>
  <c r="H12069" i="1"/>
  <c r="I12069" i="1"/>
  <c r="J12069" i="1"/>
  <c r="K12069" i="1"/>
  <c r="L12069" i="1"/>
  <c r="A12070" i="1"/>
  <c r="B12070" i="1"/>
  <c r="C12070" i="1"/>
  <c r="D12070" i="1"/>
  <c r="E12070" i="1"/>
  <c r="F12070" i="1"/>
  <c r="G12070" i="1"/>
  <c r="H12070" i="1"/>
  <c r="I12070" i="1"/>
  <c r="J12070" i="1"/>
  <c r="K12070" i="1"/>
  <c r="L12070" i="1"/>
  <c r="A12071" i="1"/>
  <c r="B12071" i="1"/>
  <c r="C12071" i="1"/>
  <c r="D12071" i="1"/>
  <c r="E12071" i="1"/>
  <c r="F12071" i="1"/>
  <c r="G12071" i="1"/>
  <c r="H12071" i="1"/>
  <c r="I12071" i="1"/>
  <c r="J12071" i="1"/>
  <c r="K12071" i="1"/>
  <c r="L12071" i="1"/>
  <c r="A12072" i="1"/>
  <c r="B12072" i="1"/>
  <c r="C12072" i="1"/>
  <c r="D12072" i="1"/>
  <c r="E12072" i="1"/>
  <c r="F12072" i="1"/>
  <c r="G12072" i="1"/>
  <c r="H12072" i="1"/>
  <c r="I12072" i="1"/>
  <c r="J12072" i="1"/>
  <c r="K12072" i="1"/>
  <c r="L12072" i="1"/>
  <c r="A12073" i="1"/>
  <c r="B12073" i="1"/>
  <c r="C12073" i="1"/>
  <c r="D12073" i="1"/>
  <c r="E12073" i="1"/>
  <c r="F12073" i="1"/>
  <c r="G12073" i="1"/>
  <c r="H12073" i="1"/>
  <c r="I12073" i="1"/>
  <c r="J12073" i="1"/>
  <c r="K12073" i="1"/>
  <c r="L12073" i="1"/>
  <c r="A12074" i="1"/>
  <c r="B12074" i="1"/>
  <c r="C12074" i="1"/>
  <c r="D12074" i="1"/>
  <c r="E12074" i="1"/>
  <c r="F12074" i="1"/>
  <c r="G12074" i="1"/>
  <c r="H12074" i="1"/>
  <c r="I12074" i="1"/>
  <c r="J12074" i="1"/>
  <c r="K12074" i="1"/>
  <c r="L12074" i="1"/>
  <c r="A12075" i="1"/>
  <c r="B12075" i="1"/>
  <c r="C12075" i="1"/>
  <c r="D12075" i="1"/>
  <c r="E12075" i="1"/>
  <c r="F12075" i="1"/>
  <c r="G12075" i="1"/>
  <c r="H12075" i="1"/>
  <c r="I12075" i="1"/>
  <c r="J12075" i="1"/>
  <c r="K12075" i="1"/>
  <c r="L12075" i="1"/>
  <c r="A12076" i="1"/>
  <c r="B12076" i="1"/>
  <c r="C12076" i="1"/>
  <c r="D12076" i="1"/>
  <c r="E12076" i="1"/>
  <c r="F12076" i="1"/>
  <c r="G12076" i="1"/>
  <c r="H12076" i="1"/>
  <c r="I12076" i="1"/>
  <c r="J12076" i="1"/>
  <c r="K12076" i="1"/>
  <c r="L12076" i="1"/>
  <c r="A12077" i="1"/>
  <c r="B12077" i="1"/>
  <c r="C12077" i="1"/>
  <c r="D12077" i="1"/>
  <c r="E12077" i="1"/>
  <c r="F12077" i="1"/>
  <c r="G12077" i="1"/>
  <c r="H12077" i="1"/>
  <c r="I12077" i="1"/>
  <c r="J12077" i="1"/>
  <c r="K12077" i="1"/>
  <c r="L12077" i="1"/>
  <c r="A12078" i="1"/>
  <c r="B12078" i="1"/>
  <c r="C12078" i="1"/>
  <c r="D12078" i="1"/>
  <c r="E12078" i="1"/>
  <c r="F12078" i="1"/>
  <c r="G12078" i="1"/>
  <c r="H12078" i="1"/>
  <c r="I12078" i="1"/>
  <c r="J12078" i="1"/>
  <c r="K12078" i="1"/>
  <c r="L12078" i="1"/>
  <c r="A12079" i="1"/>
  <c r="B12079" i="1"/>
  <c r="C12079" i="1"/>
  <c r="D12079" i="1"/>
  <c r="E12079" i="1"/>
  <c r="F12079" i="1"/>
  <c r="G12079" i="1"/>
  <c r="H12079" i="1"/>
  <c r="I12079" i="1"/>
  <c r="J12079" i="1"/>
  <c r="K12079" i="1"/>
  <c r="L12079" i="1"/>
  <c r="A12080" i="1"/>
  <c r="B12080" i="1"/>
  <c r="C12080" i="1"/>
  <c r="D12080" i="1"/>
  <c r="E12080" i="1"/>
  <c r="F12080" i="1"/>
  <c r="G12080" i="1"/>
  <c r="H12080" i="1"/>
  <c r="I12080" i="1"/>
  <c r="J12080" i="1"/>
  <c r="K12080" i="1"/>
  <c r="L12080" i="1"/>
  <c r="A12081" i="1"/>
  <c r="B12081" i="1"/>
  <c r="C12081" i="1"/>
  <c r="D12081" i="1"/>
  <c r="E12081" i="1"/>
  <c r="F12081" i="1"/>
  <c r="G12081" i="1"/>
  <c r="H12081" i="1"/>
  <c r="I12081" i="1"/>
  <c r="J12081" i="1"/>
  <c r="K12081" i="1"/>
  <c r="L12081" i="1"/>
  <c r="A12082" i="1"/>
  <c r="B12082" i="1"/>
  <c r="C12082" i="1"/>
  <c r="D12082" i="1"/>
  <c r="E12082" i="1"/>
  <c r="F12082" i="1"/>
  <c r="G12082" i="1"/>
  <c r="H12082" i="1"/>
  <c r="I12082" i="1"/>
  <c r="J12082" i="1"/>
  <c r="K12082" i="1"/>
  <c r="L12082" i="1"/>
  <c r="A12083" i="1"/>
  <c r="B12083" i="1"/>
  <c r="C12083" i="1"/>
  <c r="D12083" i="1"/>
  <c r="E12083" i="1"/>
  <c r="F12083" i="1"/>
  <c r="G12083" i="1"/>
  <c r="H12083" i="1"/>
  <c r="I12083" i="1"/>
  <c r="J12083" i="1"/>
  <c r="K12083" i="1"/>
  <c r="L12083" i="1"/>
  <c r="A12084" i="1"/>
  <c r="B12084" i="1"/>
  <c r="C12084" i="1"/>
  <c r="D12084" i="1"/>
  <c r="E12084" i="1"/>
  <c r="F12084" i="1"/>
  <c r="G12084" i="1"/>
  <c r="H12084" i="1"/>
  <c r="I12084" i="1"/>
  <c r="J12084" i="1"/>
  <c r="K12084" i="1"/>
  <c r="L12084" i="1"/>
  <c r="A12085" i="1"/>
  <c r="B12085" i="1"/>
  <c r="C12085" i="1"/>
  <c r="D12085" i="1"/>
  <c r="E12085" i="1"/>
  <c r="F12085" i="1"/>
  <c r="G12085" i="1"/>
  <c r="H12085" i="1"/>
  <c r="I12085" i="1"/>
  <c r="J12085" i="1"/>
  <c r="K12085" i="1"/>
  <c r="L12085" i="1"/>
  <c r="A12086" i="1"/>
  <c r="B12086" i="1"/>
  <c r="C12086" i="1"/>
  <c r="D12086" i="1"/>
  <c r="E12086" i="1"/>
  <c r="F12086" i="1"/>
  <c r="G12086" i="1"/>
  <c r="H12086" i="1"/>
  <c r="I12086" i="1"/>
  <c r="J12086" i="1"/>
  <c r="K12086" i="1"/>
  <c r="L12086" i="1"/>
  <c r="A12087" i="1"/>
  <c r="B12087" i="1"/>
  <c r="C12087" i="1"/>
  <c r="D12087" i="1"/>
  <c r="E12087" i="1"/>
  <c r="F12087" i="1"/>
  <c r="G12087" i="1"/>
  <c r="H12087" i="1"/>
  <c r="I12087" i="1"/>
  <c r="J12087" i="1"/>
  <c r="K12087" i="1"/>
  <c r="L12087" i="1"/>
  <c r="A12088" i="1"/>
  <c r="B12088" i="1"/>
  <c r="C12088" i="1"/>
  <c r="D12088" i="1"/>
  <c r="E12088" i="1"/>
  <c r="F12088" i="1"/>
  <c r="G12088" i="1"/>
  <c r="H12088" i="1"/>
  <c r="I12088" i="1"/>
  <c r="J12088" i="1"/>
  <c r="K12088" i="1"/>
  <c r="L12088" i="1"/>
  <c r="A12089" i="1"/>
  <c r="B12089" i="1"/>
  <c r="C12089" i="1"/>
  <c r="D12089" i="1"/>
  <c r="E12089" i="1"/>
  <c r="F12089" i="1"/>
  <c r="G12089" i="1"/>
  <c r="H12089" i="1"/>
  <c r="I12089" i="1"/>
  <c r="J12089" i="1"/>
  <c r="K12089" i="1"/>
  <c r="L12089" i="1"/>
  <c r="A12090" i="1"/>
  <c r="B12090" i="1"/>
  <c r="C12090" i="1"/>
  <c r="D12090" i="1"/>
  <c r="E12090" i="1"/>
  <c r="F12090" i="1"/>
  <c r="G12090" i="1"/>
  <c r="H12090" i="1"/>
  <c r="I12090" i="1"/>
  <c r="J12090" i="1"/>
  <c r="K12090" i="1"/>
  <c r="L12090" i="1"/>
  <c r="A12091" i="1"/>
  <c r="B12091" i="1"/>
  <c r="C12091" i="1"/>
  <c r="D12091" i="1"/>
  <c r="E12091" i="1"/>
  <c r="F12091" i="1"/>
  <c r="G12091" i="1"/>
  <c r="H12091" i="1"/>
  <c r="I12091" i="1"/>
  <c r="J12091" i="1"/>
  <c r="K12091" i="1"/>
  <c r="L12091" i="1"/>
  <c r="A12092" i="1"/>
  <c r="B12092" i="1"/>
  <c r="C12092" i="1"/>
  <c r="D12092" i="1"/>
  <c r="E12092" i="1"/>
  <c r="F12092" i="1"/>
  <c r="G12092" i="1"/>
  <c r="H12092" i="1"/>
  <c r="I12092" i="1"/>
  <c r="J12092" i="1"/>
  <c r="K12092" i="1"/>
  <c r="L12092" i="1"/>
  <c r="A12093" i="1"/>
  <c r="B12093" i="1"/>
  <c r="C12093" i="1"/>
  <c r="D12093" i="1"/>
  <c r="E12093" i="1"/>
  <c r="F12093" i="1"/>
  <c r="G12093" i="1"/>
  <c r="H12093" i="1"/>
  <c r="I12093" i="1"/>
  <c r="J12093" i="1"/>
  <c r="K12093" i="1"/>
  <c r="L12093" i="1"/>
  <c r="A12094" i="1"/>
  <c r="B12094" i="1"/>
  <c r="C12094" i="1"/>
  <c r="D12094" i="1"/>
  <c r="E12094" i="1"/>
  <c r="F12094" i="1"/>
  <c r="G12094" i="1"/>
  <c r="H12094" i="1"/>
  <c r="I12094" i="1"/>
  <c r="J12094" i="1"/>
  <c r="K12094" i="1"/>
  <c r="L12094" i="1"/>
  <c r="A12095" i="1"/>
  <c r="B12095" i="1"/>
  <c r="C12095" i="1"/>
  <c r="D12095" i="1"/>
  <c r="E12095" i="1"/>
  <c r="F12095" i="1"/>
  <c r="G12095" i="1"/>
  <c r="H12095" i="1"/>
  <c r="I12095" i="1"/>
  <c r="J12095" i="1"/>
  <c r="K12095" i="1"/>
  <c r="L12095" i="1"/>
  <c r="A12096" i="1"/>
  <c r="B12096" i="1"/>
  <c r="C12096" i="1"/>
  <c r="D12096" i="1"/>
  <c r="E12096" i="1"/>
  <c r="F12096" i="1"/>
  <c r="G12096" i="1"/>
  <c r="H12096" i="1"/>
  <c r="I12096" i="1"/>
  <c r="J12096" i="1"/>
  <c r="K12096" i="1"/>
  <c r="L12096" i="1"/>
  <c r="A12097" i="1"/>
  <c r="B12097" i="1"/>
  <c r="C12097" i="1"/>
  <c r="D12097" i="1"/>
  <c r="E12097" i="1"/>
  <c r="F12097" i="1"/>
  <c r="G12097" i="1"/>
  <c r="H12097" i="1"/>
  <c r="I12097" i="1"/>
  <c r="J12097" i="1"/>
  <c r="K12097" i="1"/>
  <c r="L12097" i="1"/>
  <c r="A12098" i="1"/>
  <c r="B12098" i="1"/>
  <c r="C12098" i="1"/>
  <c r="D12098" i="1"/>
  <c r="E12098" i="1"/>
  <c r="F12098" i="1"/>
  <c r="G12098" i="1"/>
  <c r="H12098" i="1"/>
  <c r="I12098" i="1"/>
  <c r="J12098" i="1"/>
  <c r="K12098" i="1"/>
  <c r="L12098" i="1"/>
  <c r="A12099" i="1"/>
  <c r="B12099" i="1"/>
  <c r="C12099" i="1"/>
  <c r="D12099" i="1"/>
  <c r="E12099" i="1"/>
  <c r="F12099" i="1"/>
  <c r="G12099" i="1"/>
  <c r="H12099" i="1"/>
  <c r="I12099" i="1"/>
  <c r="J12099" i="1"/>
  <c r="K12099" i="1"/>
  <c r="L12099" i="1"/>
  <c r="A12100" i="1"/>
  <c r="B12100" i="1"/>
  <c r="C12100" i="1"/>
  <c r="D12100" i="1"/>
  <c r="E12100" i="1"/>
  <c r="F12100" i="1"/>
  <c r="G12100" i="1"/>
  <c r="H12100" i="1"/>
  <c r="I12100" i="1"/>
  <c r="J12100" i="1"/>
  <c r="K12100" i="1"/>
  <c r="L12100" i="1"/>
  <c r="A12101" i="1"/>
  <c r="B12101" i="1"/>
  <c r="C12101" i="1"/>
  <c r="D12101" i="1"/>
  <c r="E12101" i="1"/>
  <c r="F12101" i="1"/>
  <c r="G12101" i="1"/>
  <c r="H12101" i="1"/>
  <c r="I12101" i="1"/>
  <c r="J12101" i="1"/>
  <c r="K12101" i="1"/>
  <c r="L12101" i="1"/>
  <c r="A12102" i="1"/>
  <c r="B12102" i="1"/>
  <c r="C12102" i="1"/>
  <c r="D12102" i="1"/>
  <c r="E12102" i="1"/>
  <c r="F12102" i="1"/>
  <c r="G12102" i="1"/>
  <c r="H12102" i="1"/>
  <c r="I12102" i="1"/>
  <c r="J12102" i="1"/>
  <c r="K12102" i="1"/>
  <c r="L12102" i="1"/>
  <c r="A12103" i="1"/>
  <c r="B12103" i="1"/>
  <c r="C12103" i="1"/>
  <c r="D12103" i="1"/>
  <c r="E12103" i="1"/>
  <c r="F12103" i="1"/>
  <c r="G12103" i="1"/>
  <c r="H12103" i="1"/>
  <c r="I12103" i="1"/>
  <c r="J12103" i="1"/>
  <c r="K12103" i="1"/>
  <c r="L12103" i="1"/>
  <c r="A12104" i="1"/>
  <c r="B12104" i="1"/>
  <c r="C12104" i="1"/>
  <c r="D12104" i="1"/>
  <c r="E12104" i="1"/>
  <c r="F12104" i="1"/>
  <c r="G12104" i="1"/>
  <c r="H12104" i="1"/>
  <c r="I12104" i="1"/>
  <c r="J12104" i="1"/>
  <c r="K12104" i="1"/>
  <c r="L12104" i="1"/>
  <c r="A12105" i="1"/>
  <c r="B12105" i="1"/>
  <c r="C12105" i="1"/>
  <c r="D12105" i="1"/>
  <c r="E12105" i="1"/>
  <c r="F12105" i="1"/>
  <c r="G12105" i="1"/>
  <c r="H12105" i="1"/>
  <c r="I12105" i="1"/>
  <c r="J12105" i="1"/>
  <c r="K12105" i="1"/>
  <c r="L12105" i="1"/>
  <c r="A12106" i="1"/>
  <c r="B12106" i="1"/>
  <c r="C12106" i="1"/>
  <c r="D12106" i="1"/>
  <c r="E12106" i="1"/>
  <c r="F12106" i="1"/>
  <c r="G12106" i="1"/>
  <c r="H12106" i="1"/>
  <c r="I12106" i="1"/>
  <c r="J12106" i="1"/>
  <c r="K12106" i="1"/>
  <c r="L12106" i="1"/>
  <c r="A12107" i="1"/>
  <c r="B12107" i="1"/>
  <c r="C12107" i="1"/>
  <c r="D12107" i="1"/>
  <c r="E12107" i="1"/>
  <c r="F12107" i="1"/>
  <c r="G12107" i="1"/>
  <c r="H12107" i="1"/>
  <c r="I12107" i="1"/>
  <c r="J12107" i="1"/>
  <c r="K12107" i="1"/>
  <c r="L12107" i="1"/>
  <c r="A12108" i="1"/>
  <c r="B12108" i="1"/>
  <c r="C12108" i="1"/>
  <c r="D12108" i="1"/>
  <c r="E12108" i="1"/>
  <c r="F12108" i="1"/>
  <c r="G12108" i="1"/>
  <c r="H12108" i="1"/>
  <c r="I12108" i="1"/>
  <c r="J12108" i="1"/>
  <c r="K12108" i="1"/>
  <c r="L12108" i="1"/>
  <c r="A12109" i="1"/>
  <c r="B12109" i="1"/>
  <c r="C12109" i="1"/>
  <c r="D12109" i="1"/>
  <c r="E12109" i="1"/>
  <c r="F12109" i="1"/>
  <c r="G12109" i="1"/>
  <c r="H12109" i="1"/>
  <c r="I12109" i="1"/>
  <c r="J12109" i="1"/>
  <c r="K12109" i="1"/>
  <c r="L12109" i="1"/>
  <c r="A12110" i="1"/>
  <c r="B12110" i="1"/>
  <c r="C12110" i="1"/>
  <c r="D12110" i="1"/>
  <c r="E12110" i="1"/>
  <c r="F12110" i="1"/>
  <c r="G12110" i="1"/>
  <c r="H12110" i="1"/>
  <c r="I12110" i="1"/>
  <c r="J12110" i="1"/>
  <c r="K12110" i="1"/>
  <c r="L12110" i="1"/>
  <c r="A12111" i="1"/>
  <c r="B12111" i="1"/>
  <c r="C12111" i="1"/>
  <c r="D12111" i="1"/>
  <c r="E12111" i="1"/>
  <c r="F12111" i="1"/>
  <c r="G12111" i="1"/>
  <c r="H12111" i="1"/>
  <c r="I12111" i="1"/>
  <c r="J12111" i="1"/>
  <c r="K12111" i="1"/>
  <c r="L12111" i="1"/>
  <c r="A12112" i="1"/>
  <c r="B12112" i="1"/>
  <c r="C12112" i="1"/>
  <c r="D12112" i="1"/>
  <c r="E12112" i="1"/>
  <c r="F12112" i="1"/>
  <c r="G12112" i="1"/>
  <c r="H12112" i="1"/>
  <c r="I12112" i="1"/>
  <c r="J12112" i="1"/>
  <c r="K12112" i="1"/>
  <c r="L12112" i="1"/>
  <c r="A12113" i="1"/>
  <c r="B12113" i="1"/>
  <c r="C12113" i="1"/>
  <c r="D12113" i="1"/>
  <c r="E12113" i="1"/>
  <c r="F12113" i="1"/>
  <c r="G12113" i="1"/>
  <c r="H12113" i="1"/>
  <c r="I12113" i="1"/>
  <c r="J12113" i="1"/>
  <c r="K12113" i="1"/>
  <c r="L12113" i="1"/>
  <c r="A12114" i="1"/>
  <c r="B12114" i="1"/>
  <c r="C12114" i="1"/>
  <c r="D12114" i="1"/>
  <c r="E12114" i="1"/>
  <c r="F12114" i="1"/>
  <c r="G12114" i="1"/>
  <c r="H12114" i="1"/>
  <c r="I12114" i="1"/>
  <c r="J12114" i="1"/>
  <c r="K12114" i="1"/>
  <c r="L12114" i="1"/>
  <c r="A12115" i="1"/>
  <c r="B12115" i="1"/>
  <c r="C12115" i="1"/>
  <c r="D12115" i="1"/>
  <c r="E12115" i="1"/>
  <c r="F12115" i="1"/>
  <c r="G12115" i="1"/>
  <c r="H12115" i="1"/>
  <c r="I12115" i="1"/>
  <c r="J12115" i="1"/>
  <c r="K12115" i="1"/>
  <c r="L12115" i="1"/>
  <c r="A12116" i="1"/>
  <c r="B12116" i="1"/>
  <c r="C12116" i="1"/>
  <c r="D12116" i="1"/>
  <c r="E12116" i="1"/>
  <c r="F12116" i="1"/>
  <c r="G12116" i="1"/>
  <c r="H12116" i="1"/>
  <c r="I12116" i="1"/>
  <c r="J12116" i="1"/>
  <c r="K12116" i="1"/>
  <c r="L12116" i="1"/>
  <c r="A12117" i="1"/>
  <c r="B12117" i="1"/>
  <c r="C12117" i="1"/>
  <c r="D12117" i="1"/>
  <c r="E12117" i="1"/>
  <c r="F12117" i="1"/>
  <c r="G12117" i="1"/>
  <c r="H12117" i="1"/>
  <c r="I12117" i="1"/>
  <c r="J12117" i="1"/>
  <c r="K12117" i="1"/>
  <c r="L12117" i="1"/>
  <c r="A12118" i="1"/>
  <c r="B12118" i="1"/>
  <c r="C12118" i="1"/>
  <c r="D12118" i="1"/>
  <c r="E12118" i="1"/>
  <c r="F12118" i="1"/>
  <c r="G12118" i="1"/>
  <c r="H12118" i="1"/>
  <c r="I12118" i="1"/>
  <c r="J12118" i="1"/>
  <c r="K12118" i="1"/>
  <c r="L12118" i="1"/>
  <c r="A12119" i="1"/>
  <c r="B12119" i="1"/>
  <c r="C12119" i="1"/>
  <c r="D12119" i="1"/>
  <c r="E12119" i="1"/>
  <c r="F12119" i="1"/>
  <c r="G12119" i="1"/>
  <c r="H12119" i="1"/>
  <c r="I12119" i="1"/>
  <c r="J12119" i="1"/>
  <c r="K12119" i="1"/>
  <c r="L12119" i="1"/>
  <c r="A12120" i="1"/>
  <c r="B12120" i="1"/>
  <c r="C12120" i="1"/>
  <c r="D12120" i="1"/>
  <c r="E12120" i="1"/>
  <c r="F12120" i="1"/>
  <c r="G12120" i="1"/>
  <c r="H12120" i="1"/>
  <c r="I12120" i="1"/>
  <c r="J12120" i="1"/>
  <c r="K12120" i="1"/>
  <c r="L12120" i="1"/>
  <c r="A12121" i="1"/>
  <c r="B12121" i="1"/>
  <c r="C12121" i="1"/>
  <c r="D12121" i="1"/>
  <c r="E12121" i="1"/>
  <c r="F12121" i="1"/>
  <c r="G12121" i="1"/>
  <c r="H12121" i="1"/>
  <c r="I12121" i="1"/>
  <c r="J12121" i="1"/>
  <c r="K12121" i="1"/>
  <c r="L12121" i="1"/>
  <c r="A12122" i="1"/>
  <c r="B12122" i="1"/>
  <c r="C12122" i="1"/>
  <c r="D12122" i="1"/>
  <c r="E12122" i="1"/>
  <c r="F12122" i="1"/>
  <c r="G12122" i="1"/>
  <c r="H12122" i="1"/>
  <c r="I12122" i="1"/>
  <c r="J12122" i="1"/>
  <c r="K12122" i="1"/>
  <c r="L12122" i="1"/>
  <c r="A12123" i="1"/>
  <c r="B12123" i="1"/>
  <c r="C12123" i="1"/>
  <c r="D12123" i="1"/>
  <c r="E12123" i="1"/>
  <c r="F12123" i="1"/>
  <c r="G12123" i="1"/>
  <c r="H12123" i="1"/>
  <c r="I12123" i="1"/>
  <c r="J12123" i="1"/>
  <c r="K12123" i="1"/>
  <c r="L12123" i="1"/>
  <c r="A12124" i="1"/>
  <c r="B12124" i="1"/>
  <c r="C12124" i="1"/>
  <c r="D12124" i="1"/>
  <c r="E12124" i="1"/>
  <c r="F12124" i="1"/>
  <c r="G12124" i="1"/>
  <c r="H12124" i="1"/>
  <c r="I12124" i="1"/>
  <c r="J12124" i="1"/>
  <c r="K12124" i="1"/>
  <c r="L12124" i="1"/>
  <c r="A12125" i="1"/>
  <c r="B12125" i="1"/>
  <c r="C12125" i="1"/>
  <c r="D12125" i="1"/>
  <c r="E12125" i="1"/>
  <c r="F12125" i="1"/>
  <c r="G12125" i="1"/>
  <c r="H12125" i="1"/>
  <c r="I12125" i="1"/>
  <c r="J12125" i="1"/>
  <c r="K12125" i="1"/>
  <c r="L12125" i="1"/>
  <c r="A12126" i="1"/>
  <c r="B12126" i="1"/>
  <c r="C12126" i="1"/>
  <c r="D12126" i="1"/>
  <c r="E12126" i="1"/>
  <c r="F12126" i="1"/>
  <c r="G12126" i="1"/>
  <c r="H12126" i="1"/>
  <c r="I12126" i="1"/>
  <c r="J12126" i="1"/>
  <c r="K12126" i="1"/>
  <c r="L12126" i="1"/>
  <c r="A12127" i="1"/>
  <c r="B12127" i="1"/>
  <c r="C12127" i="1"/>
  <c r="D12127" i="1"/>
  <c r="E12127" i="1"/>
  <c r="F12127" i="1"/>
  <c r="G12127" i="1"/>
  <c r="H12127" i="1"/>
  <c r="I12127" i="1"/>
  <c r="J12127" i="1"/>
  <c r="K12127" i="1"/>
  <c r="L12127" i="1"/>
  <c r="A12128" i="1"/>
  <c r="B12128" i="1"/>
  <c r="C12128" i="1"/>
  <c r="D12128" i="1"/>
  <c r="E12128" i="1"/>
  <c r="F12128" i="1"/>
  <c r="G12128" i="1"/>
  <c r="H12128" i="1"/>
  <c r="I12128" i="1"/>
  <c r="J12128" i="1"/>
  <c r="K12128" i="1"/>
  <c r="L12128" i="1"/>
  <c r="A12129" i="1"/>
  <c r="B12129" i="1"/>
  <c r="C12129" i="1"/>
  <c r="D12129" i="1"/>
  <c r="E12129" i="1"/>
  <c r="F12129" i="1"/>
  <c r="G12129" i="1"/>
  <c r="H12129" i="1"/>
  <c r="I12129" i="1"/>
  <c r="J12129" i="1"/>
  <c r="K12129" i="1"/>
  <c r="L12129" i="1"/>
  <c r="A12130" i="1"/>
  <c r="B12130" i="1"/>
  <c r="C12130" i="1"/>
  <c r="D12130" i="1"/>
  <c r="E12130" i="1"/>
  <c r="F12130" i="1"/>
  <c r="G12130" i="1"/>
  <c r="H12130" i="1"/>
  <c r="I12130" i="1"/>
  <c r="J12130" i="1"/>
  <c r="K12130" i="1"/>
  <c r="L12130" i="1"/>
  <c r="A12131" i="1"/>
  <c r="B12131" i="1"/>
  <c r="C12131" i="1"/>
  <c r="D12131" i="1"/>
  <c r="E12131" i="1"/>
  <c r="F12131" i="1"/>
  <c r="G12131" i="1"/>
  <c r="H12131" i="1"/>
  <c r="I12131" i="1"/>
  <c r="J12131" i="1"/>
  <c r="K12131" i="1"/>
  <c r="L12131" i="1"/>
  <c r="A12132" i="1"/>
  <c r="B12132" i="1"/>
  <c r="C12132" i="1"/>
  <c r="D12132" i="1"/>
  <c r="E12132" i="1"/>
  <c r="F12132" i="1"/>
  <c r="G12132" i="1"/>
  <c r="H12132" i="1"/>
  <c r="I12132" i="1"/>
  <c r="J12132" i="1"/>
  <c r="K12132" i="1"/>
  <c r="L12132" i="1"/>
  <c r="A12133" i="1"/>
  <c r="B12133" i="1"/>
  <c r="C12133" i="1"/>
  <c r="D12133" i="1"/>
  <c r="E12133" i="1"/>
  <c r="F12133" i="1"/>
  <c r="G12133" i="1"/>
  <c r="H12133" i="1"/>
  <c r="I12133" i="1"/>
  <c r="J12133" i="1"/>
  <c r="K12133" i="1"/>
  <c r="L12133" i="1"/>
  <c r="A12134" i="1"/>
  <c r="B12134" i="1"/>
  <c r="C12134" i="1"/>
  <c r="D12134" i="1"/>
  <c r="E12134" i="1"/>
  <c r="F12134" i="1"/>
  <c r="G12134" i="1"/>
  <c r="H12134" i="1"/>
  <c r="I12134" i="1"/>
  <c r="J12134" i="1"/>
  <c r="K12134" i="1"/>
  <c r="L12134" i="1"/>
  <c r="A12135" i="1"/>
  <c r="B12135" i="1"/>
  <c r="C12135" i="1"/>
  <c r="D12135" i="1"/>
  <c r="E12135" i="1"/>
  <c r="F12135" i="1"/>
  <c r="G12135" i="1"/>
  <c r="H12135" i="1"/>
  <c r="I12135" i="1"/>
  <c r="J12135" i="1"/>
  <c r="K12135" i="1"/>
  <c r="L12135" i="1"/>
  <c r="A12136" i="1"/>
  <c r="B12136" i="1"/>
  <c r="C12136" i="1"/>
  <c r="D12136" i="1"/>
  <c r="E12136" i="1"/>
  <c r="F12136" i="1"/>
  <c r="G12136" i="1"/>
  <c r="H12136" i="1"/>
  <c r="I12136" i="1"/>
  <c r="J12136" i="1"/>
  <c r="K12136" i="1"/>
  <c r="L12136" i="1"/>
  <c r="A12137" i="1"/>
  <c r="B12137" i="1"/>
  <c r="C12137" i="1"/>
  <c r="D12137" i="1"/>
  <c r="E12137" i="1"/>
  <c r="F12137" i="1"/>
  <c r="G12137" i="1"/>
  <c r="H12137" i="1"/>
  <c r="I12137" i="1"/>
  <c r="J12137" i="1"/>
  <c r="K12137" i="1"/>
  <c r="L12137" i="1"/>
  <c r="A12138" i="1"/>
  <c r="B12138" i="1"/>
  <c r="C12138" i="1"/>
  <c r="D12138" i="1"/>
  <c r="E12138" i="1"/>
  <c r="F12138" i="1"/>
  <c r="G12138" i="1"/>
  <c r="H12138" i="1"/>
  <c r="I12138" i="1"/>
  <c r="J12138" i="1"/>
  <c r="K12138" i="1"/>
  <c r="L12138" i="1"/>
  <c r="A12139" i="1"/>
  <c r="B12139" i="1"/>
  <c r="C12139" i="1"/>
  <c r="D12139" i="1"/>
  <c r="E12139" i="1"/>
  <c r="F12139" i="1"/>
  <c r="G12139" i="1"/>
  <c r="H12139" i="1"/>
  <c r="I12139" i="1"/>
  <c r="J12139" i="1"/>
  <c r="K12139" i="1"/>
  <c r="L12139" i="1"/>
  <c r="A12140" i="1"/>
  <c r="B12140" i="1"/>
  <c r="C12140" i="1"/>
  <c r="D12140" i="1"/>
  <c r="E12140" i="1"/>
  <c r="F12140" i="1"/>
  <c r="G12140" i="1"/>
  <c r="H12140" i="1"/>
  <c r="I12140" i="1"/>
  <c r="J12140" i="1"/>
  <c r="K12140" i="1"/>
  <c r="L12140" i="1"/>
  <c r="A12141" i="1"/>
  <c r="B12141" i="1"/>
  <c r="C12141" i="1"/>
  <c r="D12141" i="1"/>
  <c r="E12141" i="1"/>
  <c r="F12141" i="1"/>
  <c r="G12141" i="1"/>
  <c r="H12141" i="1"/>
  <c r="I12141" i="1"/>
  <c r="J12141" i="1"/>
  <c r="K12141" i="1"/>
  <c r="L12141" i="1"/>
  <c r="A12142" i="1"/>
  <c r="B12142" i="1"/>
  <c r="C12142" i="1"/>
  <c r="D12142" i="1"/>
  <c r="E12142" i="1"/>
  <c r="F12142" i="1"/>
  <c r="G12142" i="1"/>
  <c r="H12142" i="1"/>
  <c r="I12142" i="1"/>
  <c r="J12142" i="1"/>
  <c r="K12142" i="1"/>
  <c r="L12142" i="1"/>
  <c r="A12143" i="1"/>
  <c r="B12143" i="1"/>
  <c r="C12143" i="1"/>
  <c r="D12143" i="1"/>
  <c r="E12143" i="1"/>
  <c r="F12143" i="1"/>
  <c r="G12143" i="1"/>
  <c r="H12143" i="1"/>
  <c r="I12143" i="1"/>
  <c r="J12143" i="1"/>
  <c r="K12143" i="1"/>
  <c r="L12143" i="1"/>
  <c r="A12144" i="1"/>
  <c r="B12144" i="1"/>
  <c r="C12144" i="1"/>
  <c r="D12144" i="1"/>
  <c r="E12144" i="1"/>
  <c r="F12144" i="1"/>
  <c r="G12144" i="1"/>
  <c r="H12144" i="1"/>
  <c r="I12144" i="1"/>
  <c r="J12144" i="1"/>
  <c r="K12144" i="1"/>
  <c r="L12144" i="1"/>
  <c r="A12145" i="1"/>
  <c r="B12145" i="1"/>
  <c r="C12145" i="1"/>
  <c r="D12145" i="1"/>
  <c r="E12145" i="1"/>
  <c r="F12145" i="1"/>
  <c r="G12145" i="1"/>
  <c r="H12145" i="1"/>
  <c r="I12145" i="1"/>
  <c r="J12145" i="1"/>
  <c r="K12145" i="1"/>
  <c r="L12145" i="1"/>
  <c r="A12146" i="1"/>
  <c r="B12146" i="1"/>
  <c r="C12146" i="1"/>
  <c r="D12146" i="1"/>
  <c r="E12146" i="1"/>
  <c r="F12146" i="1"/>
  <c r="G12146" i="1"/>
  <c r="H12146" i="1"/>
  <c r="I12146" i="1"/>
  <c r="J12146" i="1"/>
  <c r="K12146" i="1"/>
  <c r="L12146" i="1"/>
  <c r="A12147" i="1"/>
  <c r="B12147" i="1"/>
  <c r="C12147" i="1"/>
  <c r="D12147" i="1"/>
  <c r="E12147" i="1"/>
  <c r="F12147" i="1"/>
  <c r="G12147" i="1"/>
  <c r="H12147" i="1"/>
  <c r="I12147" i="1"/>
  <c r="J12147" i="1"/>
  <c r="K12147" i="1"/>
  <c r="L12147" i="1"/>
  <c r="A12148" i="1"/>
  <c r="B12148" i="1"/>
  <c r="C12148" i="1"/>
  <c r="D12148" i="1"/>
  <c r="E12148" i="1"/>
  <c r="F12148" i="1"/>
  <c r="G12148" i="1"/>
  <c r="H12148" i="1"/>
  <c r="I12148" i="1"/>
  <c r="J12148" i="1"/>
  <c r="K12148" i="1"/>
  <c r="L12148" i="1"/>
  <c r="A12149" i="1"/>
  <c r="B12149" i="1"/>
  <c r="C12149" i="1"/>
  <c r="D12149" i="1"/>
  <c r="E12149" i="1"/>
  <c r="F12149" i="1"/>
  <c r="G12149" i="1"/>
  <c r="H12149" i="1"/>
  <c r="I12149" i="1"/>
  <c r="J12149" i="1"/>
  <c r="K12149" i="1"/>
  <c r="L12149" i="1"/>
  <c r="A12150" i="1"/>
  <c r="B12150" i="1"/>
  <c r="C12150" i="1"/>
  <c r="D12150" i="1"/>
  <c r="E12150" i="1"/>
  <c r="F12150" i="1"/>
  <c r="G12150" i="1"/>
  <c r="H12150" i="1"/>
  <c r="I12150" i="1"/>
  <c r="J12150" i="1"/>
  <c r="K12150" i="1"/>
  <c r="L12150" i="1"/>
  <c r="A12151" i="1"/>
  <c r="B12151" i="1"/>
  <c r="C12151" i="1"/>
  <c r="D12151" i="1"/>
  <c r="E12151" i="1"/>
  <c r="F12151" i="1"/>
  <c r="G12151" i="1"/>
  <c r="H12151" i="1"/>
  <c r="I12151" i="1"/>
  <c r="J12151" i="1"/>
  <c r="K12151" i="1"/>
  <c r="L12151" i="1"/>
  <c r="A12152" i="1"/>
  <c r="B12152" i="1"/>
  <c r="C12152" i="1"/>
  <c r="D12152" i="1"/>
  <c r="E12152" i="1"/>
  <c r="F12152" i="1"/>
  <c r="G12152" i="1"/>
  <c r="H12152" i="1"/>
  <c r="I12152" i="1"/>
  <c r="J12152" i="1"/>
  <c r="K12152" i="1"/>
  <c r="L12152" i="1"/>
  <c r="A12153" i="1"/>
  <c r="B12153" i="1"/>
  <c r="C12153" i="1"/>
  <c r="D12153" i="1"/>
  <c r="E12153" i="1"/>
  <c r="F12153" i="1"/>
  <c r="G12153" i="1"/>
  <c r="H12153" i="1"/>
  <c r="I12153" i="1"/>
  <c r="J12153" i="1"/>
  <c r="K12153" i="1"/>
  <c r="L12153" i="1"/>
  <c r="A12154" i="1"/>
  <c r="B12154" i="1"/>
  <c r="C12154" i="1"/>
  <c r="D12154" i="1"/>
  <c r="E12154" i="1"/>
  <c r="F12154" i="1"/>
  <c r="G12154" i="1"/>
  <c r="H12154" i="1"/>
  <c r="I12154" i="1"/>
  <c r="J12154" i="1"/>
  <c r="K12154" i="1"/>
  <c r="L12154" i="1"/>
  <c r="A12155" i="1"/>
  <c r="B12155" i="1"/>
  <c r="C12155" i="1"/>
  <c r="D12155" i="1"/>
  <c r="E12155" i="1"/>
  <c r="F12155" i="1"/>
  <c r="G12155" i="1"/>
  <c r="H12155" i="1"/>
  <c r="I12155" i="1"/>
  <c r="J12155" i="1"/>
  <c r="K12155" i="1"/>
  <c r="L12155" i="1"/>
  <c r="A12156" i="1"/>
  <c r="B12156" i="1"/>
  <c r="C12156" i="1"/>
  <c r="D12156" i="1"/>
  <c r="E12156" i="1"/>
  <c r="F12156" i="1"/>
  <c r="G12156" i="1"/>
  <c r="H12156" i="1"/>
  <c r="I12156" i="1"/>
  <c r="J12156" i="1"/>
  <c r="K12156" i="1"/>
  <c r="L12156" i="1"/>
  <c r="A12157" i="1"/>
  <c r="B12157" i="1"/>
  <c r="C12157" i="1"/>
  <c r="D12157" i="1"/>
  <c r="E12157" i="1"/>
  <c r="F12157" i="1"/>
  <c r="G12157" i="1"/>
  <c r="H12157" i="1"/>
  <c r="I12157" i="1"/>
  <c r="J12157" i="1"/>
  <c r="K12157" i="1"/>
  <c r="L12157" i="1"/>
  <c r="A12158" i="1"/>
  <c r="B12158" i="1"/>
  <c r="C12158" i="1"/>
  <c r="D12158" i="1"/>
  <c r="E12158" i="1"/>
  <c r="F12158" i="1"/>
  <c r="G12158" i="1"/>
  <c r="H12158" i="1"/>
  <c r="I12158" i="1"/>
  <c r="J12158" i="1"/>
  <c r="K12158" i="1"/>
  <c r="L12158" i="1"/>
  <c r="A12159" i="1"/>
  <c r="B12159" i="1"/>
  <c r="C12159" i="1"/>
  <c r="D12159" i="1"/>
  <c r="E12159" i="1"/>
  <c r="F12159" i="1"/>
  <c r="G12159" i="1"/>
  <c r="H12159" i="1"/>
  <c r="I12159" i="1"/>
  <c r="J12159" i="1"/>
  <c r="K12159" i="1"/>
  <c r="L12159" i="1"/>
  <c r="A12160" i="1"/>
  <c r="B12160" i="1"/>
  <c r="C12160" i="1"/>
  <c r="D12160" i="1"/>
  <c r="E12160" i="1"/>
  <c r="F12160" i="1"/>
  <c r="G12160" i="1"/>
  <c r="H12160" i="1"/>
  <c r="I12160" i="1"/>
  <c r="J12160" i="1"/>
  <c r="K12160" i="1"/>
  <c r="L12160" i="1"/>
  <c r="A12161" i="1"/>
  <c r="B12161" i="1"/>
  <c r="C12161" i="1"/>
  <c r="D12161" i="1"/>
  <c r="E12161" i="1"/>
  <c r="F12161" i="1"/>
  <c r="G12161" i="1"/>
  <c r="H12161" i="1"/>
  <c r="I12161" i="1"/>
  <c r="J12161" i="1"/>
  <c r="K12161" i="1"/>
  <c r="L12161" i="1"/>
  <c r="A12162" i="1"/>
  <c r="B12162" i="1"/>
  <c r="C12162" i="1"/>
  <c r="D12162" i="1"/>
  <c r="E12162" i="1"/>
  <c r="F12162" i="1"/>
  <c r="G12162" i="1"/>
  <c r="H12162" i="1"/>
  <c r="I12162" i="1"/>
  <c r="J12162" i="1"/>
  <c r="K12162" i="1"/>
  <c r="L12162" i="1"/>
  <c r="A12163" i="1"/>
  <c r="B12163" i="1"/>
  <c r="C12163" i="1"/>
  <c r="D12163" i="1"/>
  <c r="E12163" i="1"/>
  <c r="F12163" i="1"/>
  <c r="G12163" i="1"/>
  <c r="H12163" i="1"/>
  <c r="I12163" i="1"/>
  <c r="J12163" i="1"/>
  <c r="K12163" i="1"/>
  <c r="L12163" i="1"/>
  <c r="A12164" i="1"/>
  <c r="B12164" i="1"/>
  <c r="C12164" i="1"/>
  <c r="D12164" i="1"/>
  <c r="E12164" i="1"/>
  <c r="F12164" i="1"/>
  <c r="G12164" i="1"/>
  <c r="H12164" i="1"/>
  <c r="I12164" i="1"/>
  <c r="J12164" i="1"/>
  <c r="K12164" i="1"/>
  <c r="L12164" i="1"/>
  <c r="A12165" i="1"/>
  <c r="B12165" i="1"/>
  <c r="C12165" i="1"/>
  <c r="D12165" i="1"/>
  <c r="E12165" i="1"/>
  <c r="F12165" i="1"/>
  <c r="G12165" i="1"/>
  <c r="H12165" i="1"/>
  <c r="I12165" i="1"/>
  <c r="J12165" i="1"/>
  <c r="K12165" i="1"/>
  <c r="L12165" i="1"/>
  <c r="A12166" i="1"/>
  <c r="B12166" i="1"/>
  <c r="C12166" i="1"/>
  <c r="D12166" i="1"/>
  <c r="E12166" i="1"/>
  <c r="F12166" i="1"/>
  <c r="G12166" i="1"/>
  <c r="H12166" i="1"/>
  <c r="I12166" i="1"/>
  <c r="J12166" i="1"/>
  <c r="K12166" i="1"/>
  <c r="L12166" i="1"/>
  <c r="A12167" i="1"/>
  <c r="B12167" i="1"/>
  <c r="C12167" i="1"/>
  <c r="D12167" i="1"/>
  <c r="E12167" i="1"/>
  <c r="F12167" i="1"/>
  <c r="G12167" i="1"/>
  <c r="H12167" i="1"/>
  <c r="I12167" i="1"/>
  <c r="J12167" i="1"/>
  <c r="K12167" i="1"/>
  <c r="L12167" i="1"/>
  <c r="A12168" i="1"/>
  <c r="B12168" i="1"/>
  <c r="C12168" i="1"/>
  <c r="D12168" i="1"/>
  <c r="E12168" i="1"/>
  <c r="F12168" i="1"/>
  <c r="G12168" i="1"/>
  <c r="H12168" i="1"/>
  <c r="I12168" i="1"/>
  <c r="J12168" i="1"/>
  <c r="K12168" i="1"/>
  <c r="L12168" i="1"/>
  <c r="A12169" i="1"/>
  <c r="B12169" i="1"/>
  <c r="C12169" i="1"/>
  <c r="D12169" i="1"/>
  <c r="E12169" i="1"/>
  <c r="F12169" i="1"/>
  <c r="G12169" i="1"/>
  <c r="H12169" i="1"/>
  <c r="I12169" i="1"/>
  <c r="J12169" i="1"/>
  <c r="K12169" i="1"/>
  <c r="L12169" i="1"/>
  <c r="A12170" i="1"/>
  <c r="B12170" i="1"/>
  <c r="C12170" i="1"/>
  <c r="D12170" i="1"/>
  <c r="E12170" i="1"/>
  <c r="F12170" i="1"/>
  <c r="G12170" i="1"/>
  <c r="H12170" i="1"/>
  <c r="I12170" i="1"/>
  <c r="J12170" i="1"/>
  <c r="K12170" i="1"/>
  <c r="L12170" i="1"/>
  <c r="A12171" i="1"/>
  <c r="B12171" i="1"/>
  <c r="C12171" i="1"/>
  <c r="D12171" i="1"/>
  <c r="E12171" i="1"/>
  <c r="F12171" i="1"/>
  <c r="G12171" i="1"/>
  <c r="H12171" i="1"/>
  <c r="I12171" i="1"/>
  <c r="J12171" i="1"/>
  <c r="K12171" i="1"/>
  <c r="L12171" i="1"/>
  <c r="A12172" i="1"/>
  <c r="B12172" i="1"/>
  <c r="C12172" i="1"/>
  <c r="D12172" i="1"/>
  <c r="E12172" i="1"/>
  <c r="F12172" i="1"/>
  <c r="G12172" i="1"/>
  <c r="H12172" i="1"/>
  <c r="I12172" i="1"/>
  <c r="J12172" i="1"/>
  <c r="K12172" i="1"/>
  <c r="L12172" i="1"/>
  <c r="A12173" i="1"/>
  <c r="B12173" i="1"/>
  <c r="C12173" i="1"/>
  <c r="D12173" i="1"/>
  <c r="E12173" i="1"/>
  <c r="F12173" i="1"/>
  <c r="G12173" i="1"/>
  <c r="H12173" i="1"/>
  <c r="I12173" i="1"/>
  <c r="J12173" i="1"/>
  <c r="K12173" i="1"/>
  <c r="L12173" i="1"/>
  <c r="A12174" i="1"/>
  <c r="B12174" i="1"/>
  <c r="C12174" i="1"/>
  <c r="D12174" i="1"/>
  <c r="E12174" i="1"/>
  <c r="F12174" i="1"/>
  <c r="G12174" i="1"/>
  <c r="H12174" i="1"/>
  <c r="I12174" i="1"/>
  <c r="J12174" i="1"/>
  <c r="K12174" i="1"/>
  <c r="L12174" i="1"/>
  <c r="A12175" i="1"/>
  <c r="B12175" i="1"/>
  <c r="C12175" i="1"/>
  <c r="D12175" i="1"/>
  <c r="E12175" i="1"/>
  <c r="F12175" i="1"/>
  <c r="G12175" i="1"/>
  <c r="H12175" i="1"/>
  <c r="I12175" i="1"/>
  <c r="J12175" i="1"/>
  <c r="K12175" i="1"/>
  <c r="L12175" i="1"/>
  <c r="A12176" i="1"/>
  <c r="B12176" i="1"/>
  <c r="C12176" i="1"/>
  <c r="D12176" i="1"/>
  <c r="E12176" i="1"/>
  <c r="F12176" i="1"/>
  <c r="G12176" i="1"/>
  <c r="H12176" i="1"/>
  <c r="I12176" i="1"/>
  <c r="J12176" i="1"/>
  <c r="K12176" i="1"/>
  <c r="L12176" i="1"/>
  <c r="A12177" i="1"/>
  <c r="B12177" i="1"/>
  <c r="C12177" i="1"/>
  <c r="D12177" i="1"/>
  <c r="E12177" i="1"/>
  <c r="F12177" i="1"/>
  <c r="G12177" i="1"/>
  <c r="H12177" i="1"/>
  <c r="I12177" i="1"/>
  <c r="J12177" i="1"/>
  <c r="K12177" i="1"/>
  <c r="L12177" i="1"/>
  <c r="A12178" i="1"/>
  <c r="B12178" i="1"/>
  <c r="C12178" i="1"/>
  <c r="D12178" i="1"/>
  <c r="E12178" i="1"/>
  <c r="F12178" i="1"/>
  <c r="G12178" i="1"/>
  <c r="H12178" i="1"/>
  <c r="I12178" i="1"/>
  <c r="J12178" i="1"/>
  <c r="K12178" i="1"/>
  <c r="L12178" i="1"/>
  <c r="A12179" i="1"/>
  <c r="B12179" i="1"/>
  <c r="C12179" i="1"/>
  <c r="D12179" i="1"/>
  <c r="E12179" i="1"/>
  <c r="F12179" i="1"/>
  <c r="G12179" i="1"/>
  <c r="H12179" i="1"/>
  <c r="I12179" i="1"/>
  <c r="J12179" i="1"/>
  <c r="K12179" i="1"/>
  <c r="L12179" i="1"/>
  <c r="A12180" i="1"/>
  <c r="B12180" i="1"/>
  <c r="C12180" i="1"/>
  <c r="D12180" i="1"/>
  <c r="E12180" i="1"/>
  <c r="F12180" i="1"/>
  <c r="G12180" i="1"/>
  <c r="H12180" i="1"/>
  <c r="I12180" i="1"/>
  <c r="J12180" i="1"/>
  <c r="K12180" i="1"/>
  <c r="L12180" i="1"/>
  <c r="A12181" i="1"/>
  <c r="B12181" i="1"/>
  <c r="C12181" i="1"/>
  <c r="D12181" i="1"/>
  <c r="E12181" i="1"/>
  <c r="F12181" i="1"/>
  <c r="G12181" i="1"/>
  <c r="H12181" i="1"/>
  <c r="I12181" i="1"/>
  <c r="J12181" i="1"/>
  <c r="K12181" i="1"/>
  <c r="L12181" i="1"/>
  <c r="A12182" i="1"/>
  <c r="B12182" i="1"/>
  <c r="C12182" i="1"/>
  <c r="D12182" i="1"/>
  <c r="E12182" i="1"/>
  <c r="F12182" i="1"/>
  <c r="G12182" i="1"/>
  <c r="H12182" i="1"/>
  <c r="I12182" i="1"/>
  <c r="J12182" i="1"/>
  <c r="K12182" i="1"/>
  <c r="L12182" i="1"/>
  <c r="A12183" i="1"/>
  <c r="B12183" i="1"/>
  <c r="C12183" i="1"/>
  <c r="D12183" i="1"/>
  <c r="E12183" i="1"/>
  <c r="F12183" i="1"/>
  <c r="G12183" i="1"/>
  <c r="H12183" i="1"/>
  <c r="I12183" i="1"/>
  <c r="J12183" i="1"/>
  <c r="K12183" i="1"/>
  <c r="L12183" i="1"/>
  <c r="A12184" i="1"/>
  <c r="B12184" i="1"/>
  <c r="C12184" i="1"/>
  <c r="D12184" i="1"/>
  <c r="E12184" i="1"/>
  <c r="F12184" i="1"/>
  <c r="G12184" i="1"/>
  <c r="H12184" i="1"/>
  <c r="I12184" i="1"/>
  <c r="J12184" i="1"/>
  <c r="K12184" i="1"/>
  <c r="L12184" i="1"/>
  <c r="A12185" i="1"/>
  <c r="B12185" i="1"/>
  <c r="C12185" i="1"/>
  <c r="D12185" i="1"/>
  <c r="E12185" i="1"/>
  <c r="F12185" i="1"/>
  <c r="G12185" i="1"/>
  <c r="H12185" i="1"/>
  <c r="I12185" i="1"/>
  <c r="J12185" i="1"/>
  <c r="K12185" i="1"/>
  <c r="L12185" i="1"/>
  <c r="A12186" i="1"/>
  <c r="B12186" i="1"/>
  <c r="C12186" i="1"/>
  <c r="D12186" i="1"/>
  <c r="E12186" i="1"/>
  <c r="F12186" i="1"/>
  <c r="G12186" i="1"/>
  <c r="H12186" i="1"/>
  <c r="I12186" i="1"/>
  <c r="J12186" i="1"/>
  <c r="K12186" i="1"/>
  <c r="L12186" i="1"/>
  <c r="A12187" i="1"/>
  <c r="B12187" i="1"/>
  <c r="C12187" i="1"/>
  <c r="D12187" i="1"/>
  <c r="E12187" i="1"/>
  <c r="F12187" i="1"/>
  <c r="G12187" i="1"/>
  <c r="H12187" i="1"/>
  <c r="I12187" i="1"/>
  <c r="J12187" i="1"/>
  <c r="K12187" i="1"/>
  <c r="L12187" i="1"/>
  <c r="A12188" i="1"/>
  <c r="B12188" i="1"/>
  <c r="C12188" i="1"/>
  <c r="D12188" i="1"/>
  <c r="E12188" i="1"/>
  <c r="F12188" i="1"/>
  <c r="G12188" i="1"/>
  <c r="H12188" i="1"/>
  <c r="I12188" i="1"/>
  <c r="J12188" i="1"/>
  <c r="K12188" i="1"/>
  <c r="L12188" i="1"/>
  <c r="A12189" i="1"/>
  <c r="B12189" i="1"/>
  <c r="C12189" i="1"/>
  <c r="D12189" i="1"/>
  <c r="E12189" i="1"/>
  <c r="F12189" i="1"/>
  <c r="G12189" i="1"/>
  <c r="H12189" i="1"/>
  <c r="I12189" i="1"/>
  <c r="J12189" i="1"/>
  <c r="K12189" i="1"/>
  <c r="L12189" i="1"/>
  <c r="A12190" i="1"/>
  <c r="B12190" i="1"/>
  <c r="C12190" i="1"/>
  <c r="D12190" i="1"/>
  <c r="E12190" i="1"/>
  <c r="F12190" i="1"/>
  <c r="G12190" i="1"/>
  <c r="H12190" i="1"/>
  <c r="I12190" i="1"/>
  <c r="J12190" i="1"/>
  <c r="K12190" i="1"/>
  <c r="L12190" i="1"/>
  <c r="A12191" i="1"/>
  <c r="B12191" i="1"/>
  <c r="C12191" i="1"/>
  <c r="D12191" i="1"/>
  <c r="E12191" i="1"/>
  <c r="F12191" i="1"/>
  <c r="G12191" i="1"/>
  <c r="H12191" i="1"/>
  <c r="I12191" i="1"/>
  <c r="J12191" i="1"/>
  <c r="K12191" i="1"/>
  <c r="L12191" i="1"/>
  <c r="A12192" i="1"/>
  <c r="B12192" i="1"/>
  <c r="C12192" i="1"/>
  <c r="D12192" i="1"/>
  <c r="E12192" i="1"/>
  <c r="F12192" i="1"/>
  <c r="G12192" i="1"/>
  <c r="H12192" i="1"/>
  <c r="I12192" i="1"/>
  <c r="J12192" i="1"/>
  <c r="K12192" i="1"/>
  <c r="L12192" i="1"/>
  <c r="A12193" i="1"/>
  <c r="B12193" i="1"/>
  <c r="C12193" i="1"/>
  <c r="D12193" i="1"/>
  <c r="E12193" i="1"/>
  <c r="F12193" i="1"/>
  <c r="G12193" i="1"/>
  <c r="H12193" i="1"/>
  <c r="I12193" i="1"/>
  <c r="J12193" i="1"/>
  <c r="K12193" i="1"/>
  <c r="L12193" i="1"/>
  <c r="A12194" i="1"/>
  <c r="B12194" i="1"/>
  <c r="C12194" i="1"/>
  <c r="D12194" i="1"/>
  <c r="E12194" i="1"/>
  <c r="F12194" i="1"/>
  <c r="G12194" i="1"/>
  <c r="H12194" i="1"/>
  <c r="I12194" i="1"/>
  <c r="J12194" i="1"/>
  <c r="K12194" i="1"/>
  <c r="L12194" i="1"/>
  <c r="A12195" i="1"/>
  <c r="B12195" i="1"/>
  <c r="C12195" i="1"/>
  <c r="D12195" i="1"/>
  <c r="E12195" i="1"/>
  <c r="F12195" i="1"/>
  <c r="G12195" i="1"/>
  <c r="H12195" i="1"/>
  <c r="I12195" i="1"/>
  <c r="J12195" i="1"/>
  <c r="K12195" i="1"/>
  <c r="L12195" i="1"/>
  <c r="A12196" i="1"/>
  <c r="B12196" i="1"/>
  <c r="C12196" i="1"/>
  <c r="D12196" i="1"/>
  <c r="E12196" i="1"/>
  <c r="F12196" i="1"/>
  <c r="G12196" i="1"/>
  <c r="H12196" i="1"/>
  <c r="I12196" i="1"/>
  <c r="J12196" i="1"/>
  <c r="K12196" i="1"/>
  <c r="L12196" i="1"/>
  <c r="A12197" i="1"/>
  <c r="B12197" i="1"/>
  <c r="C12197" i="1"/>
  <c r="D12197" i="1"/>
  <c r="E12197" i="1"/>
  <c r="F12197" i="1"/>
  <c r="G12197" i="1"/>
  <c r="H12197" i="1"/>
  <c r="I12197" i="1"/>
  <c r="J12197" i="1"/>
  <c r="K12197" i="1"/>
  <c r="L12197" i="1"/>
  <c r="A12198" i="1"/>
  <c r="B12198" i="1"/>
  <c r="C12198" i="1"/>
  <c r="D12198" i="1"/>
  <c r="E12198" i="1"/>
  <c r="F12198" i="1"/>
  <c r="G12198" i="1"/>
  <c r="H12198" i="1"/>
  <c r="I12198" i="1"/>
  <c r="J12198" i="1"/>
  <c r="K12198" i="1"/>
  <c r="L12198" i="1"/>
  <c r="A12199" i="1"/>
  <c r="B12199" i="1"/>
  <c r="C12199" i="1"/>
  <c r="D12199" i="1"/>
  <c r="E12199" i="1"/>
  <c r="F12199" i="1"/>
  <c r="G12199" i="1"/>
  <c r="H12199" i="1"/>
  <c r="I12199" i="1"/>
  <c r="J12199" i="1"/>
  <c r="K12199" i="1"/>
  <c r="L12199" i="1"/>
  <c r="A12200" i="1"/>
  <c r="B12200" i="1"/>
  <c r="C12200" i="1"/>
  <c r="D12200" i="1"/>
  <c r="E12200" i="1"/>
  <c r="F12200" i="1"/>
  <c r="G12200" i="1"/>
  <c r="H12200" i="1"/>
  <c r="I12200" i="1"/>
  <c r="J12200" i="1"/>
  <c r="K12200" i="1"/>
  <c r="L12200" i="1"/>
  <c r="A12201" i="1"/>
  <c r="B12201" i="1"/>
  <c r="C12201" i="1"/>
  <c r="D12201" i="1"/>
  <c r="E12201" i="1"/>
  <c r="F12201" i="1"/>
  <c r="G12201" i="1"/>
  <c r="H12201" i="1"/>
  <c r="I12201" i="1"/>
  <c r="J12201" i="1"/>
  <c r="K12201" i="1"/>
  <c r="L12201" i="1"/>
  <c r="A12202" i="1"/>
  <c r="B12202" i="1"/>
  <c r="C12202" i="1"/>
  <c r="D12202" i="1"/>
  <c r="E12202" i="1"/>
  <c r="F12202" i="1"/>
  <c r="G12202" i="1"/>
  <c r="H12202" i="1"/>
  <c r="I12202" i="1"/>
  <c r="J12202" i="1"/>
  <c r="K12202" i="1"/>
  <c r="L12202" i="1"/>
  <c r="A12203" i="1"/>
  <c r="B12203" i="1"/>
  <c r="C12203" i="1"/>
  <c r="D12203" i="1"/>
  <c r="E12203" i="1"/>
  <c r="F12203" i="1"/>
  <c r="G12203" i="1"/>
  <c r="H12203" i="1"/>
  <c r="I12203" i="1"/>
  <c r="J12203" i="1"/>
  <c r="K12203" i="1"/>
  <c r="L12203" i="1"/>
  <c r="A12204" i="1"/>
  <c r="B12204" i="1"/>
  <c r="C12204" i="1"/>
  <c r="D12204" i="1"/>
  <c r="E12204" i="1"/>
  <c r="F12204" i="1"/>
  <c r="G12204" i="1"/>
  <c r="H12204" i="1"/>
  <c r="I12204" i="1"/>
  <c r="J12204" i="1"/>
  <c r="K12204" i="1"/>
  <c r="L12204" i="1"/>
  <c r="A12205" i="1"/>
  <c r="B12205" i="1"/>
  <c r="C12205" i="1"/>
  <c r="D12205" i="1"/>
  <c r="E12205" i="1"/>
  <c r="F12205" i="1"/>
  <c r="G12205" i="1"/>
  <c r="H12205" i="1"/>
  <c r="I12205" i="1"/>
  <c r="J12205" i="1"/>
  <c r="K12205" i="1"/>
  <c r="L12205" i="1"/>
  <c r="A12206" i="1"/>
  <c r="B12206" i="1"/>
  <c r="C12206" i="1"/>
  <c r="D12206" i="1"/>
  <c r="E12206" i="1"/>
  <c r="F12206" i="1"/>
  <c r="G12206" i="1"/>
  <c r="H12206" i="1"/>
  <c r="I12206" i="1"/>
  <c r="J12206" i="1"/>
  <c r="K12206" i="1"/>
  <c r="L12206" i="1"/>
  <c r="A12207" i="1"/>
  <c r="B12207" i="1"/>
  <c r="C12207" i="1"/>
  <c r="D12207" i="1"/>
  <c r="E12207" i="1"/>
  <c r="F12207" i="1"/>
  <c r="G12207" i="1"/>
  <c r="H12207" i="1"/>
  <c r="I12207" i="1"/>
  <c r="J12207" i="1"/>
  <c r="K12207" i="1"/>
  <c r="L12207" i="1"/>
  <c r="A12208" i="1"/>
  <c r="B12208" i="1"/>
  <c r="C12208" i="1"/>
  <c r="D12208" i="1"/>
  <c r="E12208" i="1"/>
  <c r="F12208" i="1"/>
  <c r="G12208" i="1"/>
  <c r="H12208" i="1"/>
  <c r="I12208" i="1"/>
  <c r="J12208" i="1"/>
  <c r="K12208" i="1"/>
  <c r="L12208" i="1"/>
  <c r="A12209" i="1"/>
  <c r="B12209" i="1"/>
  <c r="C12209" i="1"/>
  <c r="D12209" i="1"/>
  <c r="E12209" i="1"/>
  <c r="F12209" i="1"/>
  <c r="G12209" i="1"/>
  <c r="H12209" i="1"/>
  <c r="I12209" i="1"/>
  <c r="J12209" i="1"/>
  <c r="K12209" i="1"/>
  <c r="L12209" i="1"/>
  <c r="A12210" i="1"/>
  <c r="B12210" i="1"/>
  <c r="C12210" i="1"/>
  <c r="D12210" i="1"/>
  <c r="E12210" i="1"/>
  <c r="F12210" i="1"/>
  <c r="G12210" i="1"/>
  <c r="H12210" i="1"/>
  <c r="I12210" i="1"/>
  <c r="J12210" i="1"/>
  <c r="K12210" i="1"/>
  <c r="L12210" i="1"/>
  <c r="A12211" i="1"/>
  <c r="B12211" i="1"/>
  <c r="C12211" i="1"/>
  <c r="D12211" i="1"/>
  <c r="E12211" i="1"/>
  <c r="F12211" i="1"/>
  <c r="G12211" i="1"/>
  <c r="H12211" i="1"/>
  <c r="I12211" i="1"/>
  <c r="J12211" i="1"/>
  <c r="K12211" i="1"/>
  <c r="L12211" i="1"/>
  <c r="A12212" i="1"/>
  <c r="B12212" i="1"/>
  <c r="C12212" i="1"/>
  <c r="D12212" i="1"/>
  <c r="E12212" i="1"/>
  <c r="F12212" i="1"/>
  <c r="G12212" i="1"/>
  <c r="H12212" i="1"/>
  <c r="I12212" i="1"/>
  <c r="J12212" i="1"/>
  <c r="K12212" i="1"/>
  <c r="L12212" i="1"/>
  <c r="A12213" i="1"/>
  <c r="B12213" i="1"/>
  <c r="C12213" i="1"/>
  <c r="D12213" i="1"/>
  <c r="E12213" i="1"/>
  <c r="F12213" i="1"/>
  <c r="G12213" i="1"/>
  <c r="H12213" i="1"/>
  <c r="I12213" i="1"/>
  <c r="J12213" i="1"/>
  <c r="K12213" i="1"/>
  <c r="L12213" i="1"/>
  <c r="A12214" i="1"/>
  <c r="B12214" i="1"/>
  <c r="C12214" i="1"/>
  <c r="D12214" i="1"/>
  <c r="E12214" i="1"/>
  <c r="F12214" i="1"/>
  <c r="G12214" i="1"/>
  <c r="H12214" i="1"/>
  <c r="I12214" i="1"/>
  <c r="J12214" i="1"/>
  <c r="K12214" i="1"/>
  <c r="L12214" i="1"/>
  <c r="A12215" i="1"/>
  <c r="B12215" i="1"/>
  <c r="C12215" i="1"/>
  <c r="D12215" i="1"/>
  <c r="E12215" i="1"/>
  <c r="F12215" i="1"/>
  <c r="G12215" i="1"/>
  <c r="H12215" i="1"/>
  <c r="I12215" i="1"/>
  <c r="J12215" i="1"/>
  <c r="K12215" i="1"/>
  <c r="L12215" i="1"/>
  <c r="A12216" i="1"/>
  <c r="B12216" i="1"/>
  <c r="C12216" i="1"/>
  <c r="D12216" i="1"/>
  <c r="E12216" i="1"/>
  <c r="F12216" i="1"/>
  <c r="G12216" i="1"/>
  <c r="H12216" i="1"/>
  <c r="I12216" i="1"/>
  <c r="J12216" i="1"/>
  <c r="K12216" i="1"/>
  <c r="L12216" i="1"/>
  <c r="A12217" i="1"/>
  <c r="B12217" i="1"/>
  <c r="C12217" i="1"/>
  <c r="D12217" i="1"/>
  <c r="E12217" i="1"/>
  <c r="F12217" i="1"/>
  <c r="G12217" i="1"/>
  <c r="H12217" i="1"/>
  <c r="I12217" i="1"/>
  <c r="J12217" i="1"/>
  <c r="K12217" i="1"/>
  <c r="L12217" i="1"/>
  <c r="A12218" i="1"/>
  <c r="B12218" i="1"/>
  <c r="C12218" i="1"/>
  <c r="D12218" i="1"/>
  <c r="E12218" i="1"/>
  <c r="F12218" i="1"/>
  <c r="G12218" i="1"/>
  <c r="H12218" i="1"/>
  <c r="I12218" i="1"/>
  <c r="J12218" i="1"/>
  <c r="K12218" i="1"/>
  <c r="L12218" i="1"/>
  <c r="A12219" i="1"/>
  <c r="B12219" i="1"/>
  <c r="C12219" i="1"/>
  <c r="D12219" i="1"/>
  <c r="E12219" i="1"/>
  <c r="F12219" i="1"/>
  <c r="G12219" i="1"/>
  <c r="H12219" i="1"/>
  <c r="I12219" i="1"/>
  <c r="J12219" i="1"/>
  <c r="K12219" i="1"/>
  <c r="L12219" i="1"/>
  <c r="A12220" i="1"/>
  <c r="B12220" i="1"/>
  <c r="C12220" i="1"/>
  <c r="D12220" i="1"/>
  <c r="E12220" i="1"/>
  <c r="F12220" i="1"/>
  <c r="G12220" i="1"/>
  <c r="H12220" i="1"/>
  <c r="I12220" i="1"/>
  <c r="J12220" i="1"/>
  <c r="K12220" i="1"/>
  <c r="L12220" i="1"/>
  <c r="A12221" i="1"/>
  <c r="B12221" i="1"/>
  <c r="C12221" i="1"/>
  <c r="D12221" i="1"/>
  <c r="E12221" i="1"/>
  <c r="F12221" i="1"/>
  <c r="G12221" i="1"/>
  <c r="H12221" i="1"/>
  <c r="I12221" i="1"/>
  <c r="J12221" i="1"/>
  <c r="K12221" i="1"/>
  <c r="L12221" i="1"/>
  <c r="A12222" i="1"/>
  <c r="B12222" i="1"/>
  <c r="C12222" i="1"/>
  <c r="D12222" i="1"/>
  <c r="E12222" i="1"/>
  <c r="F12222" i="1"/>
  <c r="G12222" i="1"/>
  <c r="H12222" i="1"/>
  <c r="I12222" i="1"/>
  <c r="J12222" i="1"/>
  <c r="K12222" i="1"/>
  <c r="L12222" i="1"/>
  <c r="A12223" i="1"/>
  <c r="B12223" i="1"/>
  <c r="C12223" i="1"/>
  <c r="D12223" i="1"/>
  <c r="E12223" i="1"/>
  <c r="F12223" i="1"/>
  <c r="G12223" i="1"/>
  <c r="H12223" i="1"/>
  <c r="I12223" i="1"/>
  <c r="J12223" i="1"/>
  <c r="K12223" i="1"/>
  <c r="L12223" i="1"/>
  <c r="A12224" i="1"/>
  <c r="B12224" i="1"/>
  <c r="C12224" i="1"/>
  <c r="D12224" i="1"/>
  <c r="E12224" i="1"/>
  <c r="F12224" i="1"/>
  <c r="G12224" i="1"/>
  <c r="H12224" i="1"/>
  <c r="I12224" i="1"/>
  <c r="J12224" i="1"/>
  <c r="K12224" i="1"/>
  <c r="L12224" i="1"/>
  <c r="A12225" i="1"/>
  <c r="B12225" i="1"/>
  <c r="C12225" i="1"/>
  <c r="D12225" i="1"/>
  <c r="E12225" i="1"/>
  <c r="F12225" i="1"/>
  <c r="G12225" i="1"/>
  <c r="H12225" i="1"/>
  <c r="I12225" i="1"/>
  <c r="J12225" i="1"/>
  <c r="K12225" i="1"/>
  <c r="L12225" i="1"/>
  <c r="A12226" i="1"/>
  <c r="B12226" i="1"/>
  <c r="C12226" i="1"/>
  <c r="D12226" i="1"/>
  <c r="E12226" i="1"/>
  <c r="F12226" i="1"/>
  <c r="G12226" i="1"/>
  <c r="H12226" i="1"/>
  <c r="I12226" i="1"/>
  <c r="J12226" i="1"/>
  <c r="K12226" i="1"/>
  <c r="L12226" i="1"/>
  <c r="A12227" i="1"/>
  <c r="B12227" i="1"/>
  <c r="C12227" i="1"/>
  <c r="D12227" i="1"/>
  <c r="E12227" i="1"/>
  <c r="F12227" i="1"/>
  <c r="G12227" i="1"/>
  <c r="H12227" i="1"/>
  <c r="I12227" i="1"/>
  <c r="J12227" i="1"/>
  <c r="K12227" i="1"/>
  <c r="L12227" i="1"/>
  <c r="A12228" i="1"/>
  <c r="B12228" i="1"/>
  <c r="C12228" i="1"/>
  <c r="D12228" i="1"/>
  <c r="E12228" i="1"/>
  <c r="F12228" i="1"/>
  <c r="G12228" i="1"/>
  <c r="H12228" i="1"/>
  <c r="I12228" i="1"/>
  <c r="J12228" i="1"/>
  <c r="K12228" i="1"/>
  <c r="L12228" i="1"/>
  <c r="A12229" i="1"/>
  <c r="B12229" i="1"/>
  <c r="C12229" i="1"/>
  <c r="D12229" i="1"/>
  <c r="E12229" i="1"/>
  <c r="F12229" i="1"/>
  <c r="G12229" i="1"/>
  <c r="H12229" i="1"/>
  <c r="I12229" i="1"/>
  <c r="J12229" i="1"/>
  <c r="K12229" i="1"/>
  <c r="L12229" i="1"/>
  <c r="A12230" i="1"/>
  <c r="B12230" i="1"/>
  <c r="C12230" i="1"/>
  <c r="D12230" i="1"/>
  <c r="E12230" i="1"/>
  <c r="F12230" i="1"/>
  <c r="G12230" i="1"/>
  <c r="H12230" i="1"/>
  <c r="I12230" i="1"/>
  <c r="J12230" i="1"/>
  <c r="K12230" i="1"/>
  <c r="L12230" i="1"/>
  <c r="A12231" i="1"/>
  <c r="B12231" i="1"/>
  <c r="C12231" i="1"/>
  <c r="D12231" i="1"/>
  <c r="E12231" i="1"/>
  <c r="F12231" i="1"/>
  <c r="G12231" i="1"/>
  <c r="H12231" i="1"/>
  <c r="I12231" i="1"/>
  <c r="J12231" i="1"/>
  <c r="K12231" i="1"/>
  <c r="L12231" i="1"/>
  <c r="A12232" i="1"/>
  <c r="B12232" i="1"/>
  <c r="C12232" i="1"/>
  <c r="D12232" i="1"/>
  <c r="E12232" i="1"/>
  <c r="F12232" i="1"/>
  <c r="G12232" i="1"/>
  <c r="H12232" i="1"/>
  <c r="I12232" i="1"/>
  <c r="J12232" i="1"/>
  <c r="K12232" i="1"/>
  <c r="L12232" i="1"/>
  <c r="A12233" i="1"/>
  <c r="B12233" i="1"/>
  <c r="C12233" i="1"/>
  <c r="D12233" i="1"/>
  <c r="E12233" i="1"/>
  <c r="F12233" i="1"/>
  <c r="G12233" i="1"/>
  <c r="H12233" i="1"/>
  <c r="I12233" i="1"/>
  <c r="J12233" i="1"/>
  <c r="K12233" i="1"/>
  <c r="L12233" i="1"/>
  <c r="A12234" i="1"/>
  <c r="B12234" i="1"/>
  <c r="C12234" i="1"/>
  <c r="D12234" i="1"/>
  <c r="E12234" i="1"/>
  <c r="F12234" i="1"/>
  <c r="G12234" i="1"/>
  <c r="H12234" i="1"/>
  <c r="I12234" i="1"/>
  <c r="J12234" i="1"/>
  <c r="K12234" i="1"/>
  <c r="L12234" i="1"/>
  <c r="A12235" i="1"/>
  <c r="B12235" i="1"/>
  <c r="C12235" i="1"/>
  <c r="D12235" i="1"/>
  <c r="E12235" i="1"/>
  <c r="F12235" i="1"/>
  <c r="G12235" i="1"/>
  <c r="H12235" i="1"/>
  <c r="I12235" i="1"/>
  <c r="J12235" i="1"/>
  <c r="K12235" i="1"/>
  <c r="L12235" i="1"/>
  <c r="A12236" i="1"/>
  <c r="B12236" i="1"/>
  <c r="C12236" i="1"/>
  <c r="D12236" i="1"/>
  <c r="E12236" i="1"/>
  <c r="F12236" i="1"/>
  <c r="G12236" i="1"/>
  <c r="H12236" i="1"/>
  <c r="I12236" i="1"/>
  <c r="J12236" i="1"/>
  <c r="K12236" i="1"/>
  <c r="L12236" i="1"/>
  <c r="A12237" i="1"/>
  <c r="B12237" i="1"/>
  <c r="C12237" i="1"/>
  <c r="D12237" i="1"/>
  <c r="E12237" i="1"/>
  <c r="F12237" i="1"/>
  <c r="G12237" i="1"/>
  <c r="H12237" i="1"/>
  <c r="I12237" i="1"/>
  <c r="J12237" i="1"/>
  <c r="K12237" i="1"/>
  <c r="L12237" i="1"/>
  <c r="A12238" i="1"/>
  <c r="B12238" i="1"/>
  <c r="C12238" i="1"/>
  <c r="D12238" i="1"/>
  <c r="E12238" i="1"/>
  <c r="F12238" i="1"/>
  <c r="G12238" i="1"/>
  <c r="H12238" i="1"/>
  <c r="I12238" i="1"/>
  <c r="J12238" i="1"/>
  <c r="K12238" i="1"/>
  <c r="L12238" i="1"/>
  <c r="A12239" i="1"/>
  <c r="B12239" i="1"/>
  <c r="C12239" i="1"/>
  <c r="D12239" i="1"/>
  <c r="E12239" i="1"/>
  <c r="F12239" i="1"/>
  <c r="G12239" i="1"/>
  <c r="H12239" i="1"/>
  <c r="I12239" i="1"/>
  <c r="J12239" i="1"/>
  <c r="K12239" i="1"/>
  <c r="L12239" i="1"/>
  <c r="A12240" i="1"/>
  <c r="B12240" i="1"/>
  <c r="C12240" i="1"/>
  <c r="D12240" i="1"/>
  <c r="E12240" i="1"/>
  <c r="F12240" i="1"/>
  <c r="G12240" i="1"/>
  <c r="H12240" i="1"/>
  <c r="I12240" i="1"/>
  <c r="J12240" i="1"/>
  <c r="K12240" i="1"/>
  <c r="L12240" i="1"/>
  <c r="A12241" i="1"/>
  <c r="B12241" i="1"/>
  <c r="C12241" i="1"/>
  <c r="D12241" i="1"/>
  <c r="E12241" i="1"/>
  <c r="F12241" i="1"/>
  <c r="G12241" i="1"/>
  <c r="H12241" i="1"/>
  <c r="I12241" i="1"/>
  <c r="J12241" i="1"/>
  <c r="K12241" i="1"/>
  <c r="L12241" i="1"/>
  <c r="A12242" i="1"/>
  <c r="B12242" i="1"/>
  <c r="C12242" i="1"/>
  <c r="D12242" i="1"/>
  <c r="E12242" i="1"/>
  <c r="F12242" i="1"/>
  <c r="G12242" i="1"/>
  <c r="H12242" i="1"/>
  <c r="I12242" i="1"/>
  <c r="J12242" i="1"/>
  <c r="K12242" i="1"/>
  <c r="L12242" i="1"/>
  <c r="A12243" i="1"/>
  <c r="B12243" i="1"/>
  <c r="C12243" i="1"/>
  <c r="D12243" i="1"/>
  <c r="E12243" i="1"/>
  <c r="F12243" i="1"/>
  <c r="G12243" i="1"/>
  <c r="H12243" i="1"/>
  <c r="I12243" i="1"/>
  <c r="J12243" i="1"/>
  <c r="K12243" i="1"/>
  <c r="L12243" i="1"/>
  <c r="A12244" i="1"/>
  <c r="B12244" i="1"/>
  <c r="C12244" i="1"/>
  <c r="D12244" i="1"/>
  <c r="E12244" i="1"/>
  <c r="F12244" i="1"/>
  <c r="G12244" i="1"/>
  <c r="H12244" i="1"/>
  <c r="I12244" i="1"/>
  <c r="J12244" i="1"/>
  <c r="K12244" i="1"/>
  <c r="L12244" i="1"/>
  <c r="A12245" i="1"/>
  <c r="B12245" i="1"/>
  <c r="C12245" i="1"/>
  <c r="D12245" i="1"/>
  <c r="E12245" i="1"/>
  <c r="F12245" i="1"/>
  <c r="G12245" i="1"/>
  <c r="H12245" i="1"/>
  <c r="I12245" i="1"/>
  <c r="J12245" i="1"/>
  <c r="K12245" i="1"/>
  <c r="L12245" i="1"/>
  <c r="A12246" i="1"/>
  <c r="B12246" i="1"/>
  <c r="C12246" i="1"/>
  <c r="D12246" i="1"/>
  <c r="E12246" i="1"/>
  <c r="F12246" i="1"/>
  <c r="G12246" i="1"/>
  <c r="H12246" i="1"/>
  <c r="I12246" i="1"/>
  <c r="J12246" i="1"/>
  <c r="K12246" i="1"/>
  <c r="L12246" i="1"/>
  <c r="A12247" i="1"/>
  <c r="B12247" i="1"/>
  <c r="C12247" i="1"/>
  <c r="D12247" i="1"/>
  <c r="E12247" i="1"/>
  <c r="F12247" i="1"/>
  <c r="G12247" i="1"/>
  <c r="H12247" i="1"/>
  <c r="I12247" i="1"/>
  <c r="J12247" i="1"/>
  <c r="K12247" i="1"/>
  <c r="L12247" i="1"/>
  <c r="A12248" i="1"/>
  <c r="B12248" i="1"/>
  <c r="C12248" i="1"/>
  <c r="D12248" i="1"/>
  <c r="E12248" i="1"/>
  <c r="F12248" i="1"/>
  <c r="G12248" i="1"/>
  <c r="H12248" i="1"/>
  <c r="I12248" i="1"/>
  <c r="J12248" i="1"/>
  <c r="K12248" i="1"/>
  <c r="L12248" i="1"/>
  <c r="A12249" i="1"/>
  <c r="B12249" i="1"/>
  <c r="C12249" i="1"/>
  <c r="D12249" i="1"/>
  <c r="E12249" i="1"/>
  <c r="F12249" i="1"/>
  <c r="G12249" i="1"/>
  <c r="H12249" i="1"/>
  <c r="I12249" i="1"/>
  <c r="J12249" i="1"/>
  <c r="K12249" i="1"/>
  <c r="L12249" i="1"/>
  <c r="A12250" i="1"/>
  <c r="B12250" i="1"/>
  <c r="C12250" i="1"/>
  <c r="D12250" i="1"/>
  <c r="E12250" i="1"/>
  <c r="F12250" i="1"/>
  <c r="G12250" i="1"/>
  <c r="H12250" i="1"/>
  <c r="I12250" i="1"/>
  <c r="J12250" i="1"/>
  <c r="K12250" i="1"/>
  <c r="L12250" i="1"/>
  <c r="A12251" i="1"/>
  <c r="B12251" i="1"/>
  <c r="C12251" i="1"/>
  <c r="D12251" i="1"/>
  <c r="E12251" i="1"/>
  <c r="F12251" i="1"/>
  <c r="G12251" i="1"/>
  <c r="H12251" i="1"/>
  <c r="I12251" i="1"/>
  <c r="J12251" i="1"/>
  <c r="K12251" i="1"/>
  <c r="L12251" i="1"/>
  <c r="A12252" i="1"/>
  <c r="B12252" i="1"/>
  <c r="C12252" i="1"/>
  <c r="D12252" i="1"/>
  <c r="E12252" i="1"/>
  <c r="F12252" i="1"/>
  <c r="G12252" i="1"/>
  <c r="H12252" i="1"/>
  <c r="I12252" i="1"/>
  <c r="J12252" i="1"/>
  <c r="K12252" i="1"/>
  <c r="L12252" i="1"/>
  <c r="A12253" i="1"/>
  <c r="B12253" i="1"/>
  <c r="C12253" i="1"/>
  <c r="D12253" i="1"/>
  <c r="E12253" i="1"/>
  <c r="F12253" i="1"/>
  <c r="G12253" i="1"/>
  <c r="H12253" i="1"/>
  <c r="I12253" i="1"/>
  <c r="J12253" i="1"/>
  <c r="K12253" i="1"/>
  <c r="L12253" i="1"/>
  <c r="A12254" i="1"/>
  <c r="B12254" i="1"/>
  <c r="C12254" i="1"/>
  <c r="D12254" i="1"/>
  <c r="E12254" i="1"/>
  <c r="F12254" i="1"/>
  <c r="G12254" i="1"/>
  <c r="H12254" i="1"/>
  <c r="I12254" i="1"/>
  <c r="J12254" i="1"/>
  <c r="K12254" i="1"/>
  <c r="L12254" i="1"/>
  <c r="A12255" i="1"/>
  <c r="B12255" i="1"/>
  <c r="C12255" i="1"/>
  <c r="D12255" i="1"/>
  <c r="E12255" i="1"/>
  <c r="F12255" i="1"/>
  <c r="G12255" i="1"/>
  <c r="H12255" i="1"/>
  <c r="I12255" i="1"/>
  <c r="J12255" i="1"/>
  <c r="K12255" i="1"/>
  <c r="L12255" i="1"/>
  <c r="A12256" i="1"/>
  <c r="B12256" i="1"/>
  <c r="C12256" i="1"/>
  <c r="D12256" i="1"/>
  <c r="E12256" i="1"/>
  <c r="F12256" i="1"/>
  <c r="G12256" i="1"/>
  <c r="H12256" i="1"/>
  <c r="I12256" i="1"/>
  <c r="J12256" i="1"/>
  <c r="K12256" i="1"/>
  <c r="L12256" i="1"/>
  <c r="A12257" i="1"/>
  <c r="B12257" i="1"/>
  <c r="C12257" i="1"/>
  <c r="D12257" i="1"/>
  <c r="E12257" i="1"/>
  <c r="F12257" i="1"/>
  <c r="G12257" i="1"/>
  <c r="H12257" i="1"/>
  <c r="I12257" i="1"/>
  <c r="J12257" i="1"/>
  <c r="K12257" i="1"/>
  <c r="L12257" i="1"/>
  <c r="A12258" i="1"/>
  <c r="B12258" i="1"/>
  <c r="C12258" i="1"/>
  <c r="D12258" i="1"/>
  <c r="E12258" i="1"/>
  <c r="F12258" i="1"/>
  <c r="G12258" i="1"/>
  <c r="H12258" i="1"/>
  <c r="I12258" i="1"/>
  <c r="J12258" i="1"/>
  <c r="K12258" i="1"/>
  <c r="L12258" i="1"/>
  <c r="A12259" i="1"/>
  <c r="B12259" i="1"/>
  <c r="C12259" i="1"/>
  <c r="D12259" i="1"/>
  <c r="E12259" i="1"/>
  <c r="F12259" i="1"/>
  <c r="G12259" i="1"/>
  <c r="H12259" i="1"/>
  <c r="I12259" i="1"/>
  <c r="J12259" i="1"/>
  <c r="K12259" i="1"/>
  <c r="L12259" i="1"/>
  <c r="A12260" i="1"/>
  <c r="B12260" i="1"/>
  <c r="C12260" i="1"/>
  <c r="D12260" i="1"/>
  <c r="E12260" i="1"/>
  <c r="F12260" i="1"/>
  <c r="G12260" i="1"/>
  <c r="H12260" i="1"/>
  <c r="I12260" i="1"/>
  <c r="J12260" i="1"/>
  <c r="K12260" i="1"/>
  <c r="L12260" i="1"/>
  <c r="A12261" i="1"/>
  <c r="B12261" i="1"/>
  <c r="C12261" i="1"/>
  <c r="D12261" i="1"/>
  <c r="E12261" i="1"/>
  <c r="F12261" i="1"/>
  <c r="G12261" i="1"/>
  <c r="H12261" i="1"/>
  <c r="I12261" i="1"/>
  <c r="J12261" i="1"/>
  <c r="K12261" i="1"/>
  <c r="L12261" i="1"/>
  <c r="A12262" i="1"/>
  <c r="B12262" i="1"/>
  <c r="C12262" i="1"/>
  <c r="D12262" i="1"/>
  <c r="E12262" i="1"/>
  <c r="F12262" i="1"/>
  <c r="G12262" i="1"/>
  <c r="H12262" i="1"/>
  <c r="I12262" i="1"/>
  <c r="J12262" i="1"/>
  <c r="K12262" i="1"/>
  <c r="L12262" i="1"/>
  <c r="A12263" i="1"/>
  <c r="B12263" i="1"/>
  <c r="C12263" i="1"/>
  <c r="D12263" i="1"/>
  <c r="E12263" i="1"/>
  <c r="F12263" i="1"/>
  <c r="G12263" i="1"/>
  <c r="H12263" i="1"/>
  <c r="I12263" i="1"/>
  <c r="J12263" i="1"/>
  <c r="K12263" i="1"/>
  <c r="L12263" i="1"/>
  <c r="A12264" i="1"/>
  <c r="B12264" i="1"/>
  <c r="C12264" i="1"/>
  <c r="D12264" i="1"/>
  <c r="E12264" i="1"/>
  <c r="F12264" i="1"/>
  <c r="G12264" i="1"/>
  <c r="H12264" i="1"/>
  <c r="I12264" i="1"/>
  <c r="J12264" i="1"/>
  <c r="K12264" i="1"/>
  <c r="L12264" i="1"/>
  <c r="A12265" i="1"/>
  <c r="B12265" i="1"/>
  <c r="C12265" i="1"/>
  <c r="D12265" i="1"/>
  <c r="E12265" i="1"/>
  <c r="F12265" i="1"/>
  <c r="G12265" i="1"/>
  <c r="H12265" i="1"/>
  <c r="I12265" i="1"/>
  <c r="J12265" i="1"/>
  <c r="K12265" i="1"/>
  <c r="L12265" i="1"/>
  <c r="A12266" i="1"/>
  <c r="B12266" i="1"/>
  <c r="C12266" i="1"/>
  <c r="D12266" i="1"/>
  <c r="E12266" i="1"/>
  <c r="F12266" i="1"/>
  <c r="G12266" i="1"/>
  <c r="H12266" i="1"/>
  <c r="I12266" i="1"/>
  <c r="J12266" i="1"/>
  <c r="K12266" i="1"/>
  <c r="L12266" i="1"/>
  <c r="A12267" i="1"/>
  <c r="B12267" i="1"/>
  <c r="C12267" i="1"/>
  <c r="D12267" i="1"/>
  <c r="E12267" i="1"/>
  <c r="F12267" i="1"/>
  <c r="G12267" i="1"/>
  <c r="H12267" i="1"/>
  <c r="I12267" i="1"/>
  <c r="J12267" i="1"/>
  <c r="K12267" i="1"/>
  <c r="L12267" i="1"/>
  <c r="A12268" i="1"/>
  <c r="B12268" i="1"/>
  <c r="C12268" i="1"/>
  <c r="D12268" i="1"/>
  <c r="E12268" i="1"/>
  <c r="F12268" i="1"/>
  <c r="G12268" i="1"/>
  <c r="H12268" i="1"/>
  <c r="I12268" i="1"/>
  <c r="J12268" i="1"/>
  <c r="K12268" i="1"/>
  <c r="L12268" i="1"/>
  <c r="A12269" i="1"/>
  <c r="B12269" i="1"/>
  <c r="C12269" i="1"/>
  <c r="D12269" i="1"/>
  <c r="E12269" i="1"/>
  <c r="F12269" i="1"/>
  <c r="G12269" i="1"/>
  <c r="H12269" i="1"/>
  <c r="I12269" i="1"/>
  <c r="J12269" i="1"/>
  <c r="K12269" i="1"/>
  <c r="L12269" i="1"/>
  <c r="A12270" i="1"/>
  <c r="B12270" i="1"/>
  <c r="C12270" i="1"/>
  <c r="D12270" i="1"/>
  <c r="E12270" i="1"/>
  <c r="F12270" i="1"/>
  <c r="G12270" i="1"/>
  <c r="H12270" i="1"/>
  <c r="I12270" i="1"/>
  <c r="J12270" i="1"/>
  <c r="K12270" i="1"/>
  <c r="L12270" i="1"/>
  <c r="A12271" i="1"/>
  <c r="B12271" i="1"/>
  <c r="C12271" i="1"/>
  <c r="D12271" i="1"/>
  <c r="E12271" i="1"/>
  <c r="F12271" i="1"/>
  <c r="G12271" i="1"/>
  <c r="H12271" i="1"/>
  <c r="I12271" i="1"/>
  <c r="J12271" i="1"/>
  <c r="K12271" i="1"/>
  <c r="L12271" i="1"/>
  <c r="A12272" i="1"/>
  <c r="B12272" i="1"/>
  <c r="C12272" i="1"/>
  <c r="D12272" i="1"/>
  <c r="E12272" i="1"/>
  <c r="F12272" i="1"/>
  <c r="G12272" i="1"/>
  <c r="H12272" i="1"/>
  <c r="I12272" i="1"/>
  <c r="J12272" i="1"/>
  <c r="K12272" i="1"/>
  <c r="L12272" i="1"/>
  <c r="A12273" i="1"/>
  <c r="B12273" i="1"/>
  <c r="C12273" i="1"/>
  <c r="D12273" i="1"/>
  <c r="E12273" i="1"/>
  <c r="F12273" i="1"/>
  <c r="G12273" i="1"/>
  <c r="H12273" i="1"/>
  <c r="I12273" i="1"/>
  <c r="J12273" i="1"/>
  <c r="K12273" i="1"/>
  <c r="L12273" i="1"/>
  <c r="A12274" i="1"/>
  <c r="B12274" i="1"/>
  <c r="C12274" i="1"/>
  <c r="D12274" i="1"/>
  <c r="E12274" i="1"/>
  <c r="F12274" i="1"/>
  <c r="G12274" i="1"/>
  <c r="H12274" i="1"/>
  <c r="I12274" i="1"/>
  <c r="J12274" i="1"/>
  <c r="K12274" i="1"/>
  <c r="L12274" i="1"/>
  <c r="A12275" i="1"/>
  <c r="B12275" i="1"/>
  <c r="C12275" i="1"/>
  <c r="D12275" i="1"/>
  <c r="E12275" i="1"/>
  <c r="F12275" i="1"/>
  <c r="G12275" i="1"/>
  <c r="H12275" i="1"/>
  <c r="I12275" i="1"/>
  <c r="J12275" i="1"/>
  <c r="K12275" i="1"/>
  <c r="L12275" i="1"/>
  <c r="A12276" i="1"/>
  <c r="B12276" i="1"/>
  <c r="C12276" i="1"/>
  <c r="D12276" i="1"/>
  <c r="E12276" i="1"/>
  <c r="F12276" i="1"/>
  <c r="G12276" i="1"/>
  <c r="H12276" i="1"/>
  <c r="I12276" i="1"/>
  <c r="J12276" i="1"/>
  <c r="K12276" i="1"/>
  <c r="L12276" i="1"/>
  <c r="A12277" i="1"/>
  <c r="B12277" i="1"/>
  <c r="C12277" i="1"/>
  <c r="D12277" i="1"/>
  <c r="E12277" i="1"/>
  <c r="F12277" i="1"/>
  <c r="G12277" i="1"/>
  <c r="H12277" i="1"/>
  <c r="I12277" i="1"/>
  <c r="J12277" i="1"/>
  <c r="K12277" i="1"/>
  <c r="L12277" i="1"/>
  <c r="A12278" i="1"/>
  <c r="B12278" i="1"/>
  <c r="C12278" i="1"/>
  <c r="D12278" i="1"/>
  <c r="E12278" i="1"/>
  <c r="F12278" i="1"/>
  <c r="G12278" i="1"/>
  <c r="H12278" i="1"/>
  <c r="I12278" i="1"/>
  <c r="J12278" i="1"/>
  <c r="K12278" i="1"/>
  <c r="L12278" i="1"/>
  <c r="A12279" i="1"/>
  <c r="B12279" i="1"/>
  <c r="C12279" i="1"/>
  <c r="D12279" i="1"/>
  <c r="E12279" i="1"/>
  <c r="F12279" i="1"/>
  <c r="G12279" i="1"/>
  <c r="H12279" i="1"/>
  <c r="I12279" i="1"/>
  <c r="J12279" i="1"/>
  <c r="K12279" i="1"/>
  <c r="L12279" i="1"/>
  <c r="A12280" i="1"/>
  <c r="B12280" i="1"/>
  <c r="C12280" i="1"/>
  <c r="D12280" i="1"/>
  <c r="E12280" i="1"/>
  <c r="F12280" i="1"/>
  <c r="G12280" i="1"/>
  <c r="H12280" i="1"/>
  <c r="I12280" i="1"/>
  <c r="J12280" i="1"/>
  <c r="K12280" i="1"/>
  <c r="L12280" i="1"/>
  <c r="A12281" i="1"/>
  <c r="B12281" i="1"/>
  <c r="C12281" i="1"/>
  <c r="D12281" i="1"/>
  <c r="E12281" i="1"/>
  <c r="F12281" i="1"/>
  <c r="G12281" i="1"/>
  <c r="H12281" i="1"/>
  <c r="I12281" i="1"/>
  <c r="J12281" i="1"/>
  <c r="K12281" i="1"/>
  <c r="L12281" i="1"/>
  <c r="A12282" i="1"/>
  <c r="B12282" i="1"/>
  <c r="C12282" i="1"/>
  <c r="D12282" i="1"/>
  <c r="E12282" i="1"/>
  <c r="F12282" i="1"/>
  <c r="G12282" i="1"/>
  <c r="H12282" i="1"/>
  <c r="I12282" i="1"/>
  <c r="J12282" i="1"/>
  <c r="K12282" i="1"/>
  <c r="L12282" i="1"/>
  <c r="A12283" i="1"/>
  <c r="B12283" i="1"/>
  <c r="C12283" i="1"/>
  <c r="D12283" i="1"/>
  <c r="E12283" i="1"/>
  <c r="F12283" i="1"/>
  <c r="G12283" i="1"/>
  <c r="H12283" i="1"/>
  <c r="I12283" i="1"/>
  <c r="J12283" i="1"/>
  <c r="K12283" i="1"/>
  <c r="L12283" i="1"/>
  <c r="A12284" i="1"/>
  <c r="B12284" i="1"/>
  <c r="C12284" i="1"/>
  <c r="D12284" i="1"/>
  <c r="E12284" i="1"/>
  <c r="F12284" i="1"/>
  <c r="G12284" i="1"/>
  <c r="H12284" i="1"/>
  <c r="I12284" i="1"/>
  <c r="J12284" i="1"/>
  <c r="K12284" i="1"/>
  <c r="L12284" i="1"/>
  <c r="A12285" i="1"/>
  <c r="B12285" i="1"/>
  <c r="C12285" i="1"/>
  <c r="D12285" i="1"/>
  <c r="E12285" i="1"/>
  <c r="F12285" i="1"/>
  <c r="G12285" i="1"/>
  <c r="H12285" i="1"/>
  <c r="I12285" i="1"/>
  <c r="J12285" i="1"/>
  <c r="K12285" i="1"/>
  <c r="L12285" i="1"/>
  <c r="A12286" i="1"/>
  <c r="B12286" i="1"/>
  <c r="C12286" i="1"/>
  <c r="D12286" i="1"/>
  <c r="E12286" i="1"/>
  <c r="F12286" i="1"/>
  <c r="G12286" i="1"/>
  <c r="H12286" i="1"/>
  <c r="I12286" i="1"/>
  <c r="J12286" i="1"/>
  <c r="K12286" i="1"/>
  <c r="L12286" i="1"/>
  <c r="A12287" i="1"/>
  <c r="B12287" i="1"/>
  <c r="C12287" i="1"/>
  <c r="D12287" i="1"/>
  <c r="E12287" i="1"/>
  <c r="F12287" i="1"/>
  <c r="G12287" i="1"/>
  <c r="H12287" i="1"/>
  <c r="I12287" i="1"/>
  <c r="J12287" i="1"/>
  <c r="K12287" i="1"/>
  <c r="L12287" i="1"/>
  <c r="A12288" i="1"/>
  <c r="B12288" i="1"/>
  <c r="C12288" i="1"/>
  <c r="D12288" i="1"/>
  <c r="E12288" i="1"/>
  <c r="F12288" i="1"/>
  <c r="G12288" i="1"/>
  <c r="H12288" i="1"/>
  <c r="I12288" i="1"/>
  <c r="J12288" i="1"/>
  <c r="K12288" i="1"/>
  <c r="L12288" i="1"/>
  <c r="A12289" i="1"/>
  <c r="B12289" i="1"/>
  <c r="C12289" i="1"/>
  <c r="D12289" i="1"/>
  <c r="E12289" i="1"/>
  <c r="F12289" i="1"/>
  <c r="G12289" i="1"/>
  <c r="H12289" i="1"/>
  <c r="I12289" i="1"/>
  <c r="J12289" i="1"/>
  <c r="K12289" i="1"/>
  <c r="L12289" i="1"/>
  <c r="A12290" i="1"/>
  <c r="B12290" i="1"/>
  <c r="C12290" i="1"/>
  <c r="D12290" i="1"/>
  <c r="E12290" i="1"/>
  <c r="F12290" i="1"/>
  <c r="G12290" i="1"/>
  <c r="H12290" i="1"/>
  <c r="I12290" i="1"/>
  <c r="J12290" i="1"/>
  <c r="K12290" i="1"/>
  <c r="L12290" i="1"/>
  <c r="A12291" i="1"/>
  <c r="B12291" i="1"/>
  <c r="C12291" i="1"/>
  <c r="D12291" i="1"/>
  <c r="E12291" i="1"/>
  <c r="F12291" i="1"/>
  <c r="G12291" i="1"/>
  <c r="H12291" i="1"/>
  <c r="I12291" i="1"/>
  <c r="J12291" i="1"/>
  <c r="K12291" i="1"/>
  <c r="L12291" i="1"/>
  <c r="A12292" i="1"/>
  <c r="B12292" i="1"/>
  <c r="C12292" i="1"/>
  <c r="D12292" i="1"/>
  <c r="E12292" i="1"/>
  <c r="F12292" i="1"/>
  <c r="G12292" i="1"/>
  <c r="H12292" i="1"/>
  <c r="I12292" i="1"/>
  <c r="J12292" i="1"/>
  <c r="K12292" i="1"/>
  <c r="L12292" i="1"/>
  <c r="A12293" i="1"/>
  <c r="B12293" i="1"/>
  <c r="C12293" i="1"/>
  <c r="D12293" i="1"/>
  <c r="E12293" i="1"/>
  <c r="F12293" i="1"/>
  <c r="G12293" i="1"/>
  <c r="H12293" i="1"/>
  <c r="I12293" i="1"/>
  <c r="J12293" i="1"/>
  <c r="K12293" i="1"/>
  <c r="L12293" i="1"/>
  <c r="A12294" i="1"/>
  <c r="B12294" i="1"/>
  <c r="C12294" i="1"/>
  <c r="D12294" i="1"/>
  <c r="E12294" i="1"/>
  <c r="F12294" i="1"/>
  <c r="G12294" i="1"/>
  <c r="H12294" i="1"/>
  <c r="I12294" i="1"/>
  <c r="J12294" i="1"/>
  <c r="K12294" i="1"/>
  <c r="L12294" i="1"/>
  <c r="A12295" i="1"/>
  <c r="B12295" i="1"/>
  <c r="C12295" i="1"/>
  <c r="D12295" i="1"/>
  <c r="E12295" i="1"/>
  <c r="F12295" i="1"/>
  <c r="G12295" i="1"/>
  <c r="H12295" i="1"/>
  <c r="I12295" i="1"/>
  <c r="J12295" i="1"/>
  <c r="K12295" i="1"/>
  <c r="L12295" i="1"/>
  <c r="A12296" i="1"/>
  <c r="B12296" i="1"/>
  <c r="C12296" i="1"/>
  <c r="D12296" i="1"/>
  <c r="E12296" i="1"/>
  <c r="F12296" i="1"/>
  <c r="G12296" i="1"/>
  <c r="H12296" i="1"/>
  <c r="I12296" i="1"/>
  <c r="J12296" i="1"/>
  <c r="K12296" i="1"/>
  <c r="L12296" i="1"/>
  <c r="A12297" i="1"/>
  <c r="B12297" i="1"/>
  <c r="C12297" i="1"/>
  <c r="D12297" i="1"/>
  <c r="E12297" i="1"/>
  <c r="F12297" i="1"/>
  <c r="G12297" i="1"/>
  <c r="H12297" i="1"/>
  <c r="I12297" i="1"/>
  <c r="J12297" i="1"/>
  <c r="K12297" i="1"/>
  <c r="L12297" i="1"/>
  <c r="A12298" i="1"/>
  <c r="B12298" i="1"/>
  <c r="C12298" i="1"/>
  <c r="D12298" i="1"/>
  <c r="E12298" i="1"/>
  <c r="F12298" i="1"/>
  <c r="G12298" i="1"/>
  <c r="H12298" i="1"/>
  <c r="I12298" i="1"/>
  <c r="J12298" i="1"/>
  <c r="K12298" i="1"/>
  <c r="L12298" i="1"/>
  <c r="A12299" i="1"/>
  <c r="B12299" i="1"/>
  <c r="C12299" i="1"/>
  <c r="D12299" i="1"/>
  <c r="E12299" i="1"/>
  <c r="F12299" i="1"/>
  <c r="G12299" i="1"/>
  <c r="H12299" i="1"/>
  <c r="I12299" i="1"/>
  <c r="J12299" i="1"/>
  <c r="K12299" i="1"/>
  <c r="L12299" i="1"/>
  <c r="A12300" i="1"/>
  <c r="B12300" i="1"/>
  <c r="C12300" i="1"/>
  <c r="D12300" i="1"/>
  <c r="E12300" i="1"/>
  <c r="F12300" i="1"/>
  <c r="G12300" i="1"/>
  <c r="H12300" i="1"/>
  <c r="I12300" i="1"/>
  <c r="J12300" i="1"/>
  <c r="K12300" i="1"/>
  <c r="L12300" i="1"/>
  <c r="A12301" i="1"/>
  <c r="B12301" i="1"/>
  <c r="C12301" i="1"/>
  <c r="D12301" i="1"/>
  <c r="E12301" i="1"/>
  <c r="F12301" i="1"/>
  <c r="G12301" i="1"/>
  <c r="H12301" i="1"/>
  <c r="I12301" i="1"/>
  <c r="J12301" i="1"/>
  <c r="K12301" i="1"/>
  <c r="L12301" i="1"/>
  <c r="A12302" i="1"/>
  <c r="B12302" i="1"/>
  <c r="C12302" i="1"/>
  <c r="D12302" i="1"/>
  <c r="E12302" i="1"/>
  <c r="F12302" i="1"/>
  <c r="G12302" i="1"/>
  <c r="H12302" i="1"/>
  <c r="I12302" i="1"/>
  <c r="J12302" i="1"/>
  <c r="K12302" i="1"/>
  <c r="L12302" i="1"/>
  <c r="A12303" i="1"/>
  <c r="B12303" i="1"/>
  <c r="C12303" i="1"/>
  <c r="D12303" i="1"/>
  <c r="E12303" i="1"/>
  <c r="F12303" i="1"/>
  <c r="G12303" i="1"/>
  <c r="H12303" i="1"/>
  <c r="I12303" i="1"/>
  <c r="J12303" i="1"/>
  <c r="K12303" i="1"/>
  <c r="L12303" i="1"/>
  <c r="A12304" i="1"/>
  <c r="B12304" i="1"/>
  <c r="C12304" i="1"/>
  <c r="D12304" i="1"/>
  <c r="E12304" i="1"/>
  <c r="F12304" i="1"/>
  <c r="G12304" i="1"/>
  <c r="H12304" i="1"/>
  <c r="I12304" i="1"/>
  <c r="J12304" i="1"/>
  <c r="K12304" i="1"/>
  <c r="L12304" i="1"/>
  <c r="A12305" i="1"/>
  <c r="B12305" i="1"/>
  <c r="C12305" i="1"/>
  <c r="D12305" i="1"/>
  <c r="E12305" i="1"/>
  <c r="F12305" i="1"/>
  <c r="G12305" i="1"/>
  <c r="H12305" i="1"/>
  <c r="I12305" i="1"/>
  <c r="J12305" i="1"/>
  <c r="K12305" i="1"/>
  <c r="L12305" i="1"/>
  <c r="A12306" i="1"/>
  <c r="B12306" i="1"/>
  <c r="C12306" i="1"/>
  <c r="D12306" i="1"/>
  <c r="E12306" i="1"/>
  <c r="F12306" i="1"/>
  <c r="G12306" i="1"/>
  <c r="H12306" i="1"/>
  <c r="I12306" i="1"/>
  <c r="J12306" i="1"/>
  <c r="K12306" i="1"/>
  <c r="L12306" i="1"/>
  <c r="A12307" i="1"/>
  <c r="B12307" i="1"/>
  <c r="C12307" i="1"/>
  <c r="D12307" i="1"/>
  <c r="E12307" i="1"/>
  <c r="F12307" i="1"/>
  <c r="G12307" i="1"/>
  <c r="H12307" i="1"/>
  <c r="I12307" i="1"/>
  <c r="J12307" i="1"/>
  <c r="K12307" i="1"/>
  <c r="L12307" i="1"/>
  <c r="A12308" i="1"/>
  <c r="B12308" i="1"/>
  <c r="C12308" i="1"/>
  <c r="D12308" i="1"/>
  <c r="E12308" i="1"/>
  <c r="F12308" i="1"/>
  <c r="G12308" i="1"/>
  <c r="H12308" i="1"/>
  <c r="I12308" i="1"/>
  <c r="J12308" i="1"/>
  <c r="K12308" i="1"/>
  <c r="L12308" i="1"/>
  <c r="A12309" i="1"/>
  <c r="B12309" i="1"/>
  <c r="C12309" i="1"/>
  <c r="D12309" i="1"/>
  <c r="E12309" i="1"/>
  <c r="F12309" i="1"/>
  <c r="G12309" i="1"/>
  <c r="H12309" i="1"/>
  <c r="I12309" i="1"/>
  <c r="J12309" i="1"/>
  <c r="K12309" i="1"/>
  <c r="L12309" i="1"/>
  <c r="A12310" i="1"/>
  <c r="B12310" i="1"/>
  <c r="C12310" i="1"/>
  <c r="D12310" i="1"/>
  <c r="E12310" i="1"/>
  <c r="F12310" i="1"/>
  <c r="G12310" i="1"/>
  <c r="H12310" i="1"/>
  <c r="I12310" i="1"/>
  <c r="J12310" i="1"/>
  <c r="K12310" i="1"/>
  <c r="L12310" i="1"/>
  <c r="A12311" i="1"/>
  <c r="B12311" i="1"/>
  <c r="C12311" i="1"/>
  <c r="D12311" i="1"/>
  <c r="E12311" i="1"/>
  <c r="F12311" i="1"/>
  <c r="G12311" i="1"/>
  <c r="H12311" i="1"/>
  <c r="I12311" i="1"/>
  <c r="J12311" i="1"/>
  <c r="K12311" i="1"/>
  <c r="L12311" i="1"/>
  <c r="A12312" i="1"/>
  <c r="B12312" i="1"/>
  <c r="C12312" i="1"/>
  <c r="D12312" i="1"/>
  <c r="E12312" i="1"/>
  <c r="F12312" i="1"/>
  <c r="G12312" i="1"/>
  <c r="H12312" i="1"/>
  <c r="I12312" i="1"/>
  <c r="J12312" i="1"/>
  <c r="K12312" i="1"/>
  <c r="L12312" i="1"/>
  <c r="A12313" i="1"/>
  <c r="B12313" i="1"/>
  <c r="C12313" i="1"/>
  <c r="D12313" i="1"/>
  <c r="E12313" i="1"/>
  <c r="F12313" i="1"/>
  <c r="G12313" i="1"/>
  <c r="H12313" i="1"/>
  <c r="I12313" i="1"/>
  <c r="J12313" i="1"/>
  <c r="K12313" i="1"/>
  <c r="L12313" i="1"/>
  <c r="A12314" i="1"/>
  <c r="B12314" i="1"/>
  <c r="C12314" i="1"/>
  <c r="D12314" i="1"/>
  <c r="E12314" i="1"/>
  <c r="F12314" i="1"/>
  <c r="G12314" i="1"/>
  <c r="H12314" i="1"/>
  <c r="I12314" i="1"/>
  <c r="J12314" i="1"/>
  <c r="K12314" i="1"/>
  <c r="L12314" i="1"/>
  <c r="A12315" i="1"/>
  <c r="B12315" i="1"/>
  <c r="C12315" i="1"/>
  <c r="D12315" i="1"/>
  <c r="E12315" i="1"/>
  <c r="F12315" i="1"/>
  <c r="G12315" i="1"/>
  <c r="H12315" i="1"/>
  <c r="I12315" i="1"/>
  <c r="J12315" i="1"/>
  <c r="K12315" i="1"/>
  <c r="L12315" i="1"/>
  <c r="A12316" i="1"/>
  <c r="B12316" i="1"/>
  <c r="C12316" i="1"/>
  <c r="D12316" i="1"/>
  <c r="E12316" i="1"/>
  <c r="F12316" i="1"/>
  <c r="G12316" i="1"/>
  <c r="H12316" i="1"/>
  <c r="I12316" i="1"/>
  <c r="J12316" i="1"/>
  <c r="K12316" i="1"/>
  <c r="L12316" i="1"/>
  <c r="A12317" i="1"/>
  <c r="B12317" i="1"/>
  <c r="C12317" i="1"/>
  <c r="D12317" i="1"/>
  <c r="E12317" i="1"/>
  <c r="F12317" i="1"/>
  <c r="G12317" i="1"/>
  <c r="H12317" i="1"/>
  <c r="I12317" i="1"/>
  <c r="J12317" i="1"/>
  <c r="K12317" i="1"/>
  <c r="L12317" i="1"/>
  <c r="A12318" i="1"/>
  <c r="B12318" i="1"/>
  <c r="C12318" i="1"/>
  <c r="D12318" i="1"/>
  <c r="E12318" i="1"/>
  <c r="F12318" i="1"/>
  <c r="G12318" i="1"/>
  <c r="H12318" i="1"/>
  <c r="I12318" i="1"/>
  <c r="J12318" i="1"/>
  <c r="K12318" i="1"/>
  <c r="L12318" i="1"/>
  <c r="A12319" i="1"/>
  <c r="B12319" i="1"/>
  <c r="C12319" i="1"/>
  <c r="D12319" i="1"/>
  <c r="E12319" i="1"/>
  <c r="F12319" i="1"/>
  <c r="G12319" i="1"/>
  <c r="H12319" i="1"/>
  <c r="I12319" i="1"/>
  <c r="J12319" i="1"/>
  <c r="K12319" i="1"/>
  <c r="L12319" i="1"/>
  <c r="A12320" i="1"/>
  <c r="B12320" i="1"/>
  <c r="C12320" i="1"/>
  <c r="D12320" i="1"/>
  <c r="E12320" i="1"/>
  <c r="F12320" i="1"/>
  <c r="G12320" i="1"/>
  <c r="H12320" i="1"/>
  <c r="I12320" i="1"/>
  <c r="J12320" i="1"/>
  <c r="K12320" i="1"/>
  <c r="L12320" i="1"/>
  <c r="A12321" i="1"/>
  <c r="B12321" i="1"/>
  <c r="C12321" i="1"/>
  <c r="D12321" i="1"/>
  <c r="E12321" i="1"/>
  <c r="F12321" i="1"/>
  <c r="G12321" i="1"/>
  <c r="H12321" i="1"/>
  <c r="I12321" i="1"/>
  <c r="J12321" i="1"/>
  <c r="K12321" i="1"/>
  <c r="L12321" i="1"/>
  <c r="A12322" i="1"/>
  <c r="B12322" i="1"/>
  <c r="C12322" i="1"/>
  <c r="D12322" i="1"/>
  <c r="E12322" i="1"/>
  <c r="F12322" i="1"/>
  <c r="G12322" i="1"/>
  <c r="H12322" i="1"/>
  <c r="I12322" i="1"/>
  <c r="J12322" i="1"/>
  <c r="K12322" i="1"/>
  <c r="L12322" i="1"/>
  <c r="A12323" i="1"/>
  <c r="B12323" i="1"/>
  <c r="C12323" i="1"/>
  <c r="D12323" i="1"/>
  <c r="E12323" i="1"/>
  <c r="F12323" i="1"/>
  <c r="G12323" i="1"/>
  <c r="H12323" i="1"/>
  <c r="I12323" i="1"/>
  <c r="J12323" i="1"/>
  <c r="K12323" i="1"/>
  <c r="L12323" i="1"/>
  <c r="A12324" i="1"/>
  <c r="B12324" i="1"/>
  <c r="C12324" i="1"/>
  <c r="D12324" i="1"/>
  <c r="E12324" i="1"/>
  <c r="F12324" i="1"/>
  <c r="G12324" i="1"/>
  <c r="H12324" i="1"/>
  <c r="I12324" i="1"/>
  <c r="J12324" i="1"/>
  <c r="K12324" i="1"/>
  <c r="L12324" i="1"/>
  <c r="A12325" i="1"/>
  <c r="B12325" i="1"/>
  <c r="C12325" i="1"/>
  <c r="D12325" i="1"/>
  <c r="E12325" i="1"/>
  <c r="F12325" i="1"/>
  <c r="G12325" i="1"/>
  <c r="H12325" i="1"/>
  <c r="I12325" i="1"/>
  <c r="J12325" i="1"/>
  <c r="K12325" i="1"/>
  <c r="L12325" i="1"/>
  <c r="A12326" i="1"/>
  <c r="B12326" i="1"/>
  <c r="C12326" i="1"/>
  <c r="D12326" i="1"/>
  <c r="E12326" i="1"/>
  <c r="F12326" i="1"/>
  <c r="G12326" i="1"/>
  <c r="H12326" i="1"/>
  <c r="I12326" i="1"/>
  <c r="J12326" i="1"/>
  <c r="K12326" i="1"/>
  <c r="L12326" i="1"/>
  <c r="A12327" i="1"/>
  <c r="B12327" i="1"/>
  <c r="C12327" i="1"/>
  <c r="D12327" i="1"/>
  <c r="E12327" i="1"/>
  <c r="F12327" i="1"/>
  <c r="G12327" i="1"/>
  <c r="H12327" i="1"/>
  <c r="I12327" i="1"/>
  <c r="J12327" i="1"/>
  <c r="K12327" i="1"/>
  <c r="L12327" i="1"/>
  <c r="A12328" i="1"/>
  <c r="B12328" i="1"/>
  <c r="C12328" i="1"/>
  <c r="D12328" i="1"/>
  <c r="E12328" i="1"/>
  <c r="F12328" i="1"/>
  <c r="G12328" i="1"/>
  <c r="H12328" i="1"/>
  <c r="I12328" i="1"/>
  <c r="J12328" i="1"/>
  <c r="K12328" i="1"/>
  <c r="L12328" i="1"/>
  <c r="A12329" i="1"/>
  <c r="B12329" i="1"/>
  <c r="C12329" i="1"/>
  <c r="D12329" i="1"/>
  <c r="E12329" i="1"/>
  <c r="F12329" i="1"/>
  <c r="G12329" i="1"/>
  <c r="H12329" i="1"/>
  <c r="I12329" i="1"/>
  <c r="J12329" i="1"/>
  <c r="K12329" i="1"/>
  <c r="L12329" i="1"/>
  <c r="A12330" i="1"/>
  <c r="B12330" i="1"/>
  <c r="C12330" i="1"/>
  <c r="D12330" i="1"/>
  <c r="E12330" i="1"/>
  <c r="F12330" i="1"/>
  <c r="G12330" i="1"/>
  <c r="H12330" i="1"/>
  <c r="I12330" i="1"/>
  <c r="J12330" i="1"/>
  <c r="K12330" i="1"/>
  <c r="L12330" i="1"/>
  <c r="A12331" i="1"/>
  <c r="B12331" i="1"/>
  <c r="C12331" i="1"/>
  <c r="D12331" i="1"/>
  <c r="E12331" i="1"/>
  <c r="F12331" i="1"/>
  <c r="G12331" i="1"/>
  <c r="H12331" i="1"/>
  <c r="I12331" i="1"/>
  <c r="J12331" i="1"/>
  <c r="K12331" i="1"/>
  <c r="L12331" i="1"/>
  <c r="A12332" i="1"/>
  <c r="B12332" i="1"/>
  <c r="C12332" i="1"/>
  <c r="D12332" i="1"/>
  <c r="E12332" i="1"/>
  <c r="F12332" i="1"/>
  <c r="G12332" i="1"/>
  <c r="H12332" i="1"/>
  <c r="I12332" i="1"/>
  <c r="J12332" i="1"/>
  <c r="K12332" i="1"/>
  <c r="L12332" i="1"/>
  <c r="A12333" i="1"/>
  <c r="B12333" i="1"/>
  <c r="C12333" i="1"/>
  <c r="D12333" i="1"/>
  <c r="E12333" i="1"/>
  <c r="F12333" i="1"/>
  <c r="G12333" i="1"/>
  <c r="H12333" i="1"/>
  <c r="I12333" i="1"/>
  <c r="J12333" i="1"/>
  <c r="K12333" i="1"/>
  <c r="L12333" i="1"/>
  <c r="A12334" i="1"/>
  <c r="B12334" i="1"/>
  <c r="C12334" i="1"/>
  <c r="D12334" i="1"/>
  <c r="E12334" i="1"/>
  <c r="F12334" i="1"/>
  <c r="G12334" i="1"/>
  <c r="H12334" i="1"/>
  <c r="I12334" i="1"/>
  <c r="J12334" i="1"/>
  <c r="K12334" i="1"/>
  <c r="L12334" i="1"/>
  <c r="A12335" i="1"/>
  <c r="B12335" i="1"/>
  <c r="C12335" i="1"/>
  <c r="D12335" i="1"/>
  <c r="E12335" i="1"/>
  <c r="F12335" i="1"/>
  <c r="G12335" i="1"/>
  <c r="H12335" i="1"/>
  <c r="I12335" i="1"/>
  <c r="J12335" i="1"/>
  <c r="K12335" i="1"/>
  <c r="L12335" i="1"/>
  <c r="A12336" i="1"/>
  <c r="B12336" i="1"/>
  <c r="C12336" i="1"/>
  <c r="D12336" i="1"/>
  <c r="E12336" i="1"/>
  <c r="F12336" i="1"/>
  <c r="G12336" i="1"/>
  <c r="H12336" i="1"/>
  <c r="I12336" i="1"/>
  <c r="J12336" i="1"/>
  <c r="K12336" i="1"/>
  <c r="L12336" i="1"/>
  <c r="A12337" i="1"/>
  <c r="B12337" i="1"/>
  <c r="C12337" i="1"/>
  <c r="D12337" i="1"/>
  <c r="E12337" i="1"/>
  <c r="F12337" i="1"/>
  <c r="G12337" i="1"/>
  <c r="H12337" i="1"/>
  <c r="I12337" i="1"/>
  <c r="J12337" i="1"/>
  <c r="K12337" i="1"/>
  <c r="L12337" i="1"/>
  <c r="A12338" i="1"/>
  <c r="B12338" i="1"/>
  <c r="C12338" i="1"/>
  <c r="D12338" i="1"/>
  <c r="E12338" i="1"/>
  <c r="F12338" i="1"/>
  <c r="G12338" i="1"/>
  <c r="H12338" i="1"/>
  <c r="I12338" i="1"/>
  <c r="J12338" i="1"/>
  <c r="K12338" i="1"/>
  <c r="L12338" i="1"/>
  <c r="A12339" i="1"/>
  <c r="B12339" i="1"/>
  <c r="C12339" i="1"/>
  <c r="D12339" i="1"/>
  <c r="E12339" i="1"/>
  <c r="F12339" i="1"/>
  <c r="G12339" i="1"/>
  <c r="H12339" i="1"/>
  <c r="I12339" i="1"/>
  <c r="J12339" i="1"/>
  <c r="K12339" i="1"/>
  <c r="L12339" i="1"/>
  <c r="A12340" i="1"/>
  <c r="B12340" i="1"/>
  <c r="C12340" i="1"/>
  <c r="D12340" i="1"/>
  <c r="E12340" i="1"/>
  <c r="F12340" i="1"/>
  <c r="G12340" i="1"/>
  <c r="H12340" i="1"/>
  <c r="I12340" i="1"/>
  <c r="J12340" i="1"/>
  <c r="K12340" i="1"/>
  <c r="L12340" i="1"/>
  <c r="A12341" i="1"/>
  <c r="B12341" i="1"/>
  <c r="C12341" i="1"/>
  <c r="D12341" i="1"/>
  <c r="E12341" i="1"/>
  <c r="F12341" i="1"/>
  <c r="G12341" i="1"/>
  <c r="H12341" i="1"/>
  <c r="I12341" i="1"/>
  <c r="J12341" i="1"/>
  <c r="K12341" i="1"/>
  <c r="L12341" i="1"/>
  <c r="A12342" i="1"/>
  <c r="B12342" i="1"/>
  <c r="C12342" i="1"/>
  <c r="D12342" i="1"/>
  <c r="E12342" i="1"/>
  <c r="F12342" i="1"/>
  <c r="G12342" i="1"/>
  <c r="H12342" i="1"/>
  <c r="I12342" i="1"/>
  <c r="J12342" i="1"/>
  <c r="K12342" i="1"/>
  <c r="L12342" i="1"/>
  <c r="A12343" i="1"/>
  <c r="B12343" i="1"/>
  <c r="C12343" i="1"/>
  <c r="D12343" i="1"/>
  <c r="E12343" i="1"/>
  <c r="F12343" i="1"/>
  <c r="G12343" i="1"/>
  <c r="H12343" i="1"/>
  <c r="I12343" i="1"/>
  <c r="J12343" i="1"/>
  <c r="K12343" i="1"/>
  <c r="L12343" i="1"/>
  <c r="A12344" i="1"/>
  <c r="B12344" i="1"/>
  <c r="C12344" i="1"/>
  <c r="D12344" i="1"/>
  <c r="E12344" i="1"/>
  <c r="F12344" i="1"/>
  <c r="G12344" i="1"/>
  <c r="H12344" i="1"/>
  <c r="I12344" i="1"/>
  <c r="J12344" i="1"/>
  <c r="K12344" i="1"/>
  <c r="L12344" i="1"/>
  <c r="A12345" i="1"/>
  <c r="B12345" i="1"/>
  <c r="C12345" i="1"/>
  <c r="D12345" i="1"/>
  <c r="E12345" i="1"/>
  <c r="F12345" i="1"/>
  <c r="G12345" i="1"/>
  <c r="H12345" i="1"/>
  <c r="I12345" i="1"/>
  <c r="J12345" i="1"/>
  <c r="K12345" i="1"/>
  <c r="L12345" i="1"/>
  <c r="A12346" i="1"/>
  <c r="B12346" i="1"/>
  <c r="C12346" i="1"/>
  <c r="D12346" i="1"/>
  <c r="E12346" i="1"/>
  <c r="F12346" i="1"/>
  <c r="G12346" i="1"/>
  <c r="H12346" i="1"/>
  <c r="I12346" i="1"/>
  <c r="J12346" i="1"/>
  <c r="K12346" i="1"/>
  <c r="L12346" i="1"/>
  <c r="A12347" i="1"/>
  <c r="B12347" i="1"/>
  <c r="C12347" i="1"/>
  <c r="D12347" i="1"/>
  <c r="E12347" i="1"/>
  <c r="F12347" i="1"/>
  <c r="G12347" i="1"/>
  <c r="H12347" i="1"/>
  <c r="I12347" i="1"/>
  <c r="J12347" i="1"/>
  <c r="K12347" i="1"/>
  <c r="L12347" i="1"/>
  <c r="A12348" i="1"/>
  <c r="B12348" i="1"/>
  <c r="C12348" i="1"/>
  <c r="D12348" i="1"/>
  <c r="E12348" i="1"/>
  <c r="F12348" i="1"/>
  <c r="G12348" i="1"/>
  <c r="H12348" i="1"/>
  <c r="I12348" i="1"/>
  <c r="J12348" i="1"/>
  <c r="K12348" i="1"/>
  <c r="L12348" i="1"/>
  <c r="A12349" i="1"/>
  <c r="B12349" i="1"/>
  <c r="C12349" i="1"/>
  <c r="D12349" i="1"/>
  <c r="E12349" i="1"/>
  <c r="F12349" i="1"/>
  <c r="G12349" i="1"/>
  <c r="H12349" i="1"/>
  <c r="I12349" i="1"/>
  <c r="J12349" i="1"/>
  <c r="K12349" i="1"/>
  <c r="L12349" i="1"/>
  <c r="A12350" i="1"/>
  <c r="B12350" i="1"/>
  <c r="C12350" i="1"/>
  <c r="D12350" i="1"/>
  <c r="E12350" i="1"/>
  <c r="F12350" i="1"/>
  <c r="G12350" i="1"/>
  <c r="H12350" i="1"/>
  <c r="I12350" i="1"/>
  <c r="J12350" i="1"/>
  <c r="K12350" i="1"/>
  <c r="L12350" i="1"/>
  <c r="A12351" i="1"/>
  <c r="B12351" i="1"/>
  <c r="C12351" i="1"/>
  <c r="D12351" i="1"/>
  <c r="E12351" i="1"/>
  <c r="F12351" i="1"/>
  <c r="G12351" i="1"/>
  <c r="H12351" i="1"/>
  <c r="I12351" i="1"/>
  <c r="J12351" i="1"/>
  <c r="K12351" i="1"/>
  <c r="L12351" i="1"/>
  <c r="A12352" i="1"/>
  <c r="B12352" i="1"/>
  <c r="C12352" i="1"/>
  <c r="D12352" i="1"/>
  <c r="E12352" i="1"/>
  <c r="F12352" i="1"/>
  <c r="G12352" i="1"/>
  <c r="H12352" i="1"/>
  <c r="I12352" i="1"/>
  <c r="J12352" i="1"/>
  <c r="K12352" i="1"/>
  <c r="L12352" i="1"/>
  <c r="A12353" i="1"/>
  <c r="B12353" i="1"/>
  <c r="C12353" i="1"/>
  <c r="D12353" i="1"/>
  <c r="E12353" i="1"/>
  <c r="F12353" i="1"/>
  <c r="G12353" i="1"/>
  <c r="H12353" i="1"/>
  <c r="I12353" i="1"/>
  <c r="J12353" i="1"/>
  <c r="K12353" i="1"/>
  <c r="L12353" i="1"/>
  <c r="A12354" i="1"/>
  <c r="B12354" i="1"/>
  <c r="C12354" i="1"/>
  <c r="D12354" i="1"/>
  <c r="E12354" i="1"/>
  <c r="F12354" i="1"/>
  <c r="G12354" i="1"/>
  <c r="H12354" i="1"/>
  <c r="I12354" i="1"/>
  <c r="J12354" i="1"/>
  <c r="K12354" i="1"/>
  <c r="L12354" i="1"/>
  <c r="A12355" i="1"/>
  <c r="B12355" i="1"/>
  <c r="C12355" i="1"/>
  <c r="D12355" i="1"/>
  <c r="E12355" i="1"/>
  <c r="F12355" i="1"/>
  <c r="G12355" i="1"/>
  <c r="H12355" i="1"/>
  <c r="I12355" i="1"/>
  <c r="J12355" i="1"/>
  <c r="K12355" i="1"/>
  <c r="L12355" i="1"/>
  <c r="A12356" i="1"/>
  <c r="B12356" i="1"/>
  <c r="C12356" i="1"/>
  <c r="D12356" i="1"/>
  <c r="E12356" i="1"/>
  <c r="F12356" i="1"/>
  <c r="G12356" i="1"/>
  <c r="H12356" i="1"/>
  <c r="I12356" i="1"/>
  <c r="J12356" i="1"/>
  <c r="K12356" i="1"/>
  <c r="L12356" i="1"/>
  <c r="A12357" i="1"/>
  <c r="B12357" i="1"/>
  <c r="C12357" i="1"/>
  <c r="D12357" i="1"/>
  <c r="E12357" i="1"/>
  <c r="F12357" i="1"/>
  <c r="G12357" i="1"/>
  <c r="H12357" i="1"/>
  <c r="I12357" i="1"/>
  <c r="J12357" i="1"/>
  <c r="K12357" i="1"/>
  <c r="L12357" i="1"/>
  <c r="A12358" i="1"/>
  <c r="B12358" i="1"/>
  <c r="C12358" i="1"/>
  <c r="D12358" i="1"/>
  <c r="E12358" i="1"/>
  <c r="F12358" i="1"/>
  <c r="G12358" i="1"/>
  <c r="H12358" i="1"/>
  <c r="I12358" i="1"/>
  <c r="J12358" i="1"/>
  <c r="K12358" i="1"/>
  <c r="L12358" i="1"/>
  <c r="A12359" i="1"/>
  <c r="B12359" i="1"/>
  <c r="C12359" i="1"/>
  <c r="D12359" i="1"/>
  <c r="E12359" i="1"/>
  <c r="F12359" i="1"/>
  <c r="G12359" i="1"/>
  <c r="H12359" i="1"/>
  <c r="I12359" i="1"/>
  <c r="J12359" i="1"/>
  <c r="K12359" i="1"/>
  <c r="L12359" i="1"/>
  <c r="A12360" i="1"/>
  <c r="B12360" i="1"/>
  <c r="C12360" i="1"/>
  <c r="D12360" i="1"/>
  <c r="E12360" i="1"/>
  <c r="F12360" i="1"/>
  <c r="G12360" i="1"/>
  <c r="H12360" i="1"/>
  <c r="I12360" i="1"/>
  <c r="J12360" i="1"/>
  <c r="K12360" i="1"/>
  <c r="L12360" i="1"/>
  <c r="A12361" i="1"/>
  <c r="B12361" i="1"/>
  <c r="C12361" i="1"/>
  <c r="D12361" i="1"/>
  <c r="E12361" i="1"/>
  <c r="F12361" i="1"/>
  <c r="G12361" i="1"/>
  <c r="H12361" i="1"/>
  <c r="I12361" i="1"/>
  <c r="J12361" i="1"/>
  <c r="K12361" i="1"/>
  <c r="L12361" i="1"/>
  <c r="A12362" i="1"/>
  <c r="B12362" i="1"/>
  <c r="C12362" i="1"/>
  <c r="D12362" i="1"/>
  <c r="E12362" i="1"/>
  <c r="F12362" i="1"/>
  <c r="G12362" i="1"/>
  <c r="H12362" i="1"/>
  <c r="I12362" i="1"/>
  <c r="J12362" i="1"/>
  <c r="K12362" i="1"/>
  <c r="L12362" i="1"/>
  <c r="A12363" i="1"/>
  <c r="B12363" i="1"/>
  <c r="C12363" i="1"/>
  <c r="D12363" i="1"/>
  <c r="E12363" i="1"/>
  <c r="F12363" i="1"/>
  <c r="G12363" i="1"/>
  <c r="H12363" i="1"/>
  <c r="I12363" i="1"/>
  <c r="J12363" i="1"/>
  <c r="K12363" i="1"/>
  <c r="L12363" i="1"/>
  <c r="A12364" i="1"/>
  <c r="B12364" i="1"/>
  <c r="C12364" i="1"/>
  <c r="D12364" i="1"/>
  <c r="E12364" i="1"/>
  <c r="F12364" i="1"/>
  <c r="G12364" i="1"/>
  <c r="H12364" i="1"/>
  <c r="I12364" i="1"/>
  <c r="J12364" i="1"/>
  <c r="K12364" i="1"/>
  <c r="L12364" i="1"/>
  <c r="A12365" i="1"/>
  <c r="B12365" i="1"/>
  <c r="C12365" i="1"/>
  <c r="D12365" i="1"/>
  <c r="E12365" i="1"/>
  <c r="F12365" i="1"/>
  <c r="G12365" i="1"/>
  <c r="H12365" i="1"/>
  <c r="I12365" i="1"/>
  <c r="J12365" i="1"/>
  <c r="K12365" i="1"/>
  <c r="L12365" i="1"/>
  <c r="A12366" i="1"/>
  <c r="B12366" i="1"/>
  <c r="C12366" i="1"/>
  <c r="D12366" i="1"/>
  <c r="E12366" i="1"/>
  <c r="F12366" i="1"/>
  <c r="G12366" i="1"/>
  <c r="H12366" i="1"/>
  <c r="I12366" i="1"/>
  <c r="J12366" i="1"/>
  <c r="K12366" i="1"/>
  <c r="L12366" i="1"/>
  <c r="A12367" i="1"/>
  <c r="B12367" i="1"/>
  <c r="C12367" i="1"/>
  <c r="D12367" i="1"/>
  <c r="E12367" i="1"/>
  <c r="F12367" i="1"/>
  <c r="G12367" i="1"/>
  <c r="H12367" i="1"/>
  <c r="I12367" i="1"/>
  <c r="J12367" i="1"/>
  <c r="K12367" i="1"/>
  <c r="L12367" i="1"/>
  <c r="A12368" i="1"/>
  <c r="B12368" i="1"/>
  <c r="C12368" i="1"/>
  <c r="D12368" i="1"/>
  <c r="E12368" i="1"/>
  <c r="F12368" i="1"/>
  <c r="G12368" i="1"/>
  <c r="H12368" i="1"/>
  <c r="I12368" i="1"/>
  <c r="J12368" i="1"/>
  <c r="K12368" i="1"/>
  <c r="L12368" i="1"/>
  <c r="A12369" i="1"/>
  <c r="B12369" i="1"/>
  <c r="C12369" i="1"/>
  <c r="D12369" i="1"/>
  <c r="E12369" i="1"/>
  <c r="F12369" i="1"/>
  <c r="G12369" i="1"/>
  <c r="H12369" i="1"/>
  <c r="I12369" i="1"/>
  <c r="J12369" i="1"/>
  <c r="K12369" i="1"/>
  <c r="L12369" i="1"/>
  <c r="A12370" i="1"/>
  <c r="B12370" i="1"/>
  <c r="C12370" i="1"/>
  <c r="D12370" i="1"/>
  <c r="E12370" i="1"/>
  <c r="F12370" i="1"/>
  <c r="G12370" i="1"/>
  <c r="H12370" i="1"/>
  <c r="I12370" i="1"/>
  <c r="J12370" i="1"/>
  <c r="K12370" i="1"/>
  <c r="L12370" i="1"/>
  <c r="A12371" i="1"/>
  <c r="B12371" i="1"/>
  <c r="C12371" i="1"/>
  <c r="D12371" i="1"/>
  <c r="E12371" i="1"/>
  <c r="F12371" i="1"/>
  <c r="G12371" i="1"/>
  <c r="H12371" i="1"/>
  <c r="I12371" i="1"/>
  <c r="J12371" i="1"/>
  <c r="K12371" i="1"/>
  <c r="L12371" i="1"/>
  <c r="A12372" i="1"/>
  <c r="B12372" i="1"/>
  <c r="C12372" i="1"/>
  <c r="D12372" i="1"/>
  <c r="E12372" i="1"/>
  <c r="F12372" i="1"/>
  <c r="G12372" i="1"/>
  <c r="H12372" i="1"/>
  <c r="I12372" i="1"/>
  <c r="J12372" i="1"/>
  <c r="K12372" i="1"/>
  <c r="L12372" i="1"/>
  <c r="A12373" i="1"/>
  <c r="B12373" i="1"/>
  <c r="C12373" i="1"/>
  <c r="D12373" i="1"/>
  <c r="E12373" i="1"/>
  <c r="F12373" i="1"/>
  <c r="G12373" i="1"/>
  <c r="H12373" i="1"/>
  <c r="I12373" i="1"/>
  <c r="J12373" i="1"/>
  <c r="K12373" i="1"/>
  <c r="L12373" i="1"/>
  <c r="A12374" i="1"/>
  <c r="B12374" i="1"/>
  <c r="C12374" i="1"/>
  <c r="D12374" i="1"/>
  <c r="E12374" i="1"/>
  <c r="F12374" i="1"/>
  <c r="G12374" i="1"/>
  <c r="H12374" i="1"/>
  <c r="I12374" i="1"/>
  <c r="J12374" i="1"/>
  <c r="K12374" i="1"/>
  <c r="L12374" i="1"/>
  <c r="A12375" i="1"/>
  <c r="B12375" i="1"/>
  <c r="C12375" i="1"/>
  <c r="D12375" i="1"/>
  <c r="E12375" i="1"/>
  <c r="F12375" i="1"/>
  <c r="G12375" i="1"/>
  <c r="H12375" i="1"/>
  <c r="I12375" i="1"/>
  <c r="J12375" i="1"/>
  <c r="K12375" i="1"/>
  <c r="L12375" i="1"/>
  <c r="A12376" i="1"/>
  <c r="B12376" i="1"/>
  <c r="C12376" i="1"/>
  <c r="D12376" i="1"/>
  <c r="E12376" i="1"/>
  <c r="F12376" i="1"/>
  <c r="G12376" i="1"/>
  <c r="H12376" i="1"/>
  <c r="I12376" i="1"/>
  <c r="J12376" i="1"/>
  <c r="K12376" i="1"/>
  <c r="L12376" i="1"/>
  <c r="A12377" i="1"/>
  <c r="B12377" i="1"/>
  <c r="C12377" i="1"/>
  <c r="D12377" i="1"/>
  <c r="E12377" i="1"/>
  <c r="F12377" i="1"/>
  <c r="G12377" i="1"/>
  <c r="H12377" i="1"/>
  <c r="I12377" i="1"/>
  <c r="J12377" i="1"/>
  <c r="K12377" i="1"/>
  <c r="L12377" i="1"/>
  <c r="A12378" i="1"/>
  <c r="B12378" i="1"/>
  <c r="C12378" i="1"/>
  <c r="D12378" i="1"/>
  <c r="E12378" i="1"/>
  <c r="F12378" i="1"/>
  <c r="G12378" i="1"/>
  <c r="H12378" i="1"/>
  <c r="I12378" i="1"/>
  <c r="J12378" i="1"/>
  <c r="K12378" i="1"/>
  <c r="L12378" i="1"/>
  <c r="A12379" i="1"/>
  <c r="B12379" i="1"/>
  <c r="C12379" i="1"/>
  <c r="D12379" i="1"/>
  <c r="E12379" i="1"/>
  <c r="F12379" i="1"/>
  <c r="G12379" i="1"/>
  <c r="H12379" i="1"/>
  <c r="I12379" i="1"/>
  <c r="J12379" i="1"/>
  <c r="K12379" i="1"/>
  <c r="L12379" i="1"/>
  <c r="A12380" i="1"/>
  <c r="B12380" i="1"/>
  <c r="C12380" i="1"/>
  <c r="D12380" i="1"/>
  <c r="E12380" i="1"/>
  <c r="F12380" i="1"/>
  <c r="G12380" i="1"/>
  <c r="H12380" i="1"/>
  <c r="I12380" i="1"/>
  <c r="J12380" i="1"/>
  <c r="K12380" i="1"/>
  <c r="L12380" i="1"/>
  <c r="A12381" i="1"/>
  <c r="B12381" i="1"/>
  <c r="C12381" i="1"/>
  <c r="D12381" i="1"/>
  <c r="E12381" i="1"/>
  <c r="F12381" i="1"/>
  <c r="G12381" i="1"/>
  <c r="H12381" i="1"/>
  <c r="I12381" i="1"/>
  <c r="J12381" i="1"/>
  <c r="K12381" i="1"/>
  <c r="L12381" i="1"/>
  <c r="A12382" i="1"/>
  <c r="B12382" i="1"/>
  <c r="C12382" i="1"/>
  <c r="D12382" i="1"/>
  <c r="E12382" i="1"/>
  <c r="F12382" i="1"/>
  <c r="G12382" i="1"/>
  <c r="H12382" i="1"/>
  <c r="I12382" i="1"/>
  <c r="J12382" i="1"/>
  <c r="K12382" i="1"/>
  <c r="L12382" i="1"/>
  <c r="A12383" i="1"/>
  <c r="B12383" i="1"/>
  <c r="C12383" i="1"/>
  <c r="D12383" i="1"/>
  <c r="E12383" i="1"/>
  <c r="F12383" i="1"/>
  <c r="G12383" i="1"/>
  <c r="H12383" i="1"/>
  <c r="I12383" i="1"/>
  <c r="J12383" i="1"/>
  <c r="K12383" i="1"/>
  <c r="L12383" i="1"/>
  <c r="A12384" i="1"/>
  <c r="B12384" i="1"/>
  <c r="C12384" i="1"/>
  <c r="D12384" i="1"/>
  <c r="E12384" i="1"/>
  <c r="F12384" i="1"/>
  <c r="G12384" i="1"/>
  <c r="H12384" i="1"/>
  <c r="I12384" i="1"/>
  <c r="J12384" i="1"/>
  <c r="K12384" i="1"/>
  <c r="L12384" i="1"/>
  <c r="A12385" i="1"/>
  <c r="B12385" i="1"/>
  <c r="C12385" i="1"/>
  <c r="D12385" i="1"/>
  <c r="E12385" i="1"/>
  <c r="F12385" i="1"/>
  <c r="G12385" i="1"/>
  <c r="H12385" i="1"/>
  <c r="I12385" i="1"/>
  <c r="J12385" i="1"/>
  <c r="K12385" i="1"/>
  <c r="L12385" i="1"/>
  <c r="A12386" i="1"/>
  <c r="B12386" i="1"/>
  <c r="C12386" i="1"/>
  <c r="D12386" i="1"/>
  <c r="E12386" i="1"/>
  <c r="F12386" i="1"/>
  <c r="G12386" i="1"/>
  <c r="H12386" i="1"/>
  <c r="I12386" i="1"/>
  <c r="J12386" i="1"/>
  <c r="K12386" i="1"/>
  <c r="L12386" i="1"/>
  <c r="A12387" i="1"/>
  <c r="B12387" i="1"/>
  <c r="C12387" i="1"/>
  <c r="D12387" i="1"/>
  <c r="E12387" i="1"/>
  <c r="F12387" i="1"/>
  <c r="G12387" i="1"/>
  <c r="H12387" i="1"/>
  <c r="I12387" i="1"/>
  <c r="J12387" i="1"/>
  <c r="K12387" i="1"/>
  <c r="L12387" i="1"/>
  <c r="A12388" i="1"/>
  <c r="B12388" i="1"/>
  <c r="C12388" i="1"/>
  <c r="D12388" i="1"/>
  <c r="E12388" i="1"/>
  <c r="F12388" i="1"/>
  <c r="G12388" i="1"/>
  <c r="H12388" i="1"/>
  <c r="I12388" i="1"/>
  <c r="J12388" i="1"/>
  <c r="K12388" i="1"/>
  <c r="L12388" i="1"/>
  <c r="A12389" i="1"/>
  <c r="B12389" i="1"/>
  <c r="C12389" i="1"/>
  <c r="D12389" i="1"/>
  <c r="E12389" i="1"/>
  <c r="F12389" i="1"/>
  <c r="G12389" i="1"/>
  <c r="H12389" i="1"/>
  <c r="I12389" i="1"/>
  <c r="J12389" i="1"/>
  <c r="K12389" i="1"/>
  <c r="L12389" i="1"/>
  <c r="A12390" i="1"/>
  <c r="B12390" i="1"/>
  <c r="C12390" i="1"/>
  <c r="D12390" i="1"/>
  <c r="E12390" i="1"/>
  <c r="F12390" i="1"/>
  <c r="G12390" i="1"/>
  <c r="H12390" i="1"/>
  <c r="I12390" i="1"/>
  <c r="J12390" i="1"/>
  <c r="K12390" i="1"/>
  <c r="L12390" i="1"/>
  <c r="A12391" i="1"/>
  <c r="B12391" i="1"/>
  <c r="C12391" i="1"/>
  <c r="D12391" i="1"/>
  <c r="E12391" i="1"/>
  <c r="F12391" i="1"/>
  <c r="G12391" i="1"/>
  <c r="H12391" i="1"/>
  <c r="I12391" i="1"/>
  <c r="J12391" i="1"/>
  <c r="K12391" i="1"/>
  <c r="L12391" i="1"/>
  <c r="A12392" i="1"/>
  <c r="B12392" i="1"/>
  <c r="C12392" i="1"/>
  <c r="D12392" i="1"/>
  <c r="E12392" i="1"/>
  <c r="F12392" i="1"/>
  <c r="G12392" i="1"/>
  <c r="H12392" i="1"/>
  <c r="I12392" i="1"/>
  <c r="J12392" i="1"/>
  <c r="K12392" i="1"/>
  <c r="L12392" i="1"/>
  <c r="A12393" i="1"/>
  <c r="B12393" i="1"/>
  <c r="C12393" i="1"/>
  <c r="D12393" i="1"/>
  <c r="E12393" i="1"/>
  <c r="F12393" i="1"/>
  <c r="G12393" i="1"/>
  <c r="H12393" i="1"/>
  <c r="I12393" i="1"/>
  <c r="J12393" i="1"/>
  <c r="K12393" i="1"/>
  <c r="L12393" i="1"/>
  <c r="A12394" i="1"/>
  <c r="B12394" i="1"/>
  <c r="C12394" i="1"/>
  <c r="D12394" i="1"/>
  <c r="E12394" i="1"/>
  <c r="F12394" i="1"/>
  <c r="G12394" i="1"/>
  <c r="H12394" i="1"/>
  <c r="I12394" i="1"/>
  <c r="J12394" i="1"/>
  <c r="K12394" i="1"/>
  <c r="L12394" i="1"/>
  <c r="A12395" i="1"/>
  <c r="B12395" i="1"/>
  <c r="C12395" i="1"/>
  <c r="D12395" i="1"/>
  <c r="E12395" i="1"/>
  <c r="F12395" i="1"/>
  <c r="G12395" i="1"/>
  <c r="H12395" i="1"/>
  <c r="I12395" i="1"/>
  <c r="J12395" i="1"/>
  <c r="K12395" i="1"/>
  <c r="L12395" i="1"/>
  <c r="A12396" i="1"/>
  <c r="B12396" i="1"/>
  <c r="C12396" i="1"/>
  <c r="D12396" i="1"/>
  <c r="E12396" i="1"/>
  <c r="F12396" i="1"/>
  <c r="G12396" i="1"/>
  <c r="H12396" i="1"/>
  <c r="I12396" i="1"/>
  <c r="J12396" i="1"/>
  <c r="K12396" i="1"/>
  <c r="L12396" i="1"/>
  <c r="A12397" i="1"/>
  <c r="B12397" i="1"/>
  <c r="C12397" i="1"/>
  <c r="D12397" i="1"/>
  <c r="E12397" i="1"/>
  <c r="F12397" i="1"/>
  <c r="G12397" i="1"/>
  <c r="H12397" i="1"/>
  <c r="I12397" i="1"/>
  <c r="J12397" i="1"/>
  <c r="K12397" i="1"/>
  <c r="L12397" i="1"/>
  <c r="A12398" i="1"/>
  <c r="B12398" i="1"/>
  <c r="C12398" i="1"/>
  <c r="D12398" i="1"/>
  <c r="E12398" i="1"/>
  <c r="F12398" i="1"/>
  <c r="G12398" i="1"/>
  <c r="H12398" i="1"/>
  <c r="I12398" i="1"/>
  <c r="J12398" i="1"/>
  <c r="K12398" i="1"/>
  <c r="L12398" i="1"/>
  <c r="A12399" i="1"/>
  <c r="B12399" i="1"/>
  <c r="C12399" i="1"/>
  <c r="D12399" i="1"/>
  <c r="E12399" i="1"/>
  <c r="F12399" i="1"/>
  <c r="G12399" i="1"/>
  <c r="H12399" i="1"/>
  <c r="I12399" i="1"/>
  <c r="J12399" i="1"/>
  <c r="K12399" i="1"/>
  <c r="L12399" i="1"/>
  <c r="A12400" i="1"/>
  <c r="B12400" i="1"/>
  <c r="C12400" i="1"/>
  <c r="D12400" i="1"/>
  <c r="E12400" i="1"/>
  <c r="F12400" i="1"/>
  <c r="G12400" i="1"/>
  <c r="H12400" i="1"/>
  <c r="I12400" i="1"/>
  <c r="J12400" i="1"/>
  <c r="K12400" i="1"/>
  <c r="L12400" i="1"/>
  <c r="A12401" i="1"/>
  <c r="B12401" i="1"/>
  <c r="C12401" i="1"/>
  <c r="D12401" i="1"/>
  <c r="E12401" i="1"/>
  <c r="F12401" i="1"/>
  <c r="G12401" i="1"/>
  <c r="H12401" i="1"/>
  <c r="I12401" i="1"/>
  <c r="J12401" i="1"/>
  <c r="K12401" i="1"/>
  <c r="L12401" i="1"/>
  <c r="A12402" i="1"/>
  <c r="B12402" i="1"/>
  <c r="C12402" i="1"/>
  <c r="D12402" i="1"/>
  <c r="E12402" i="1"/>
  <c r="F12402" i="1"/>
  <c r="G12402" i="1"/>
  <c r="H12402" i="1"/>
  <c r="I12402" i="1"/>
  <c r="J12402" i="1"/>
  <c r="K12402" i="1"/>
  <c r="L12402" i="1"/>
  <c r="A12403" i="1"/>
  <c r="B12403" i="1"/>
  <c r="C12403" i="1"/>
  <c r="D12403" i="1"/>
  <c r="E12403" i="1"/>
  <c r="F12403" i="1"/>
  <c r="G12403" i="1"/>
  <c r="H12403" i="1"/>
  <c r="I12403" i="1"/>
  <c r="J12403" i="1"/>
  <c r="K12403" i="1"/>
  <c r="L12403" i="1"/>
  <c r="A12404" i="1"/>
  <c r="B12404" i="1"/>
  <c r="C12404" i="1"/>
  <c r="D12404" i="1"/>
  <c r="E12404" i="1"/>
  <c r="F12404" i="1"/>
  <c r="G12404" i="1"/>
  <c r="H12404" i="1"/>
  <c r="I12404" i="1"/>
  <c r="J12404" i="1"/>
  <c r="K12404" i="1"/>
  <c r="L12404" i="1"/>
  <c r="A12405" i="1"/>
  <c r="B12405" i="1"/>
  <c r="C12405" i="1"/>
  <c r="D12405" i="1"/>
  <c r="E12405" i="1"/>
  <c r="F12405" i="1"/>
  <c r="G12405" i="1"/>
  <c r="H12405" i="1"/>
  <c r="I12405" i="1"/>
  <c r="J12405" i="1"/>
  <c r="K12405" i="1"/>
  <c r="L12405" i="1"/>
  <c r="A12406" i="1"/>
  <c r="B12406" i="1"/>
  <c r="C12406" i="1"/>
  <c r="D12406" i="1"/>
  <c r="E12406" i="1"/>
  <c r="F12406" i="1"/>
  <c r="G12406" i="1"/>
  <c r="H12406" i="1"/>
  <c r="I12406" i="1"/>
  <c r="J12406" i="1"/>
  <c r="K12406" i="1"/>
  <c r="L12406" i="1"/>
  <c r="A12407" i="1"/>
  <c r="B12407" i="1"/>
  <c r="C12407" i="1"/>
  <c r="D12407" i="1"/>
  <c r="E12407" i="1"/>
  <c r="F12407" i="1"/>
  <c r="G12407" i="1"/>
  <c r="H12407" i="1"/>
  <c r="I12407" i="1"/>
  <c r="J12407" i="1"/>
  <c r="K12407" i="1"/>
  <c r="L12407" i="1"/>
  <c r="A12408" i="1"/>
  <c r="B12408" i="1"/>
  <c r="C12408" i="1"/>
  <c r="D12408" i="1"/>
  <c r="E12408" i="1"/>
  <c r="F12408" i="1"/>
  <c r="G12408" i="1"/>
  <c r="H12408" i="1"/>
  <c r="I12408" i="1"/>
  <c r="J12408" i="1"/>
  <c r="K12408" i="1"/>
  <c r="L12408" i="1"/>
  <c r="A12409" i="1"/>
  <c r="B12409" i="1"/>
  <c r="C12409" i="1"/>
  <c r="D12409" i="1"/>
  <c r="E12409" i="1"/>
  <c r="F12409" i="1"/>
  <c r="G12409" i="1"/>
  <c r="H12409" i="1"/>
  <c r="I12409" i="1"/>
  <c r="J12409" i="1"/>
  <c r="K12409" i="1"/>
  <c r="L12409" i="1"/>
  <c r="A12410" i="1"/>
  <c r="B12410" i="1"/>
  <c r="C12410" i="1"/>
  <c r="D12410" i="1"/>
  <c r="E12410" i="1"/>
  <c r="F12410" i="1"/>
  <c r="G12410" i="1"/>
  <c r="H12410" i="1"/>
  <c r="I12410" i="1"/>
  <c r="J12410" i="1"/>
  <c r="K12410" i="1"/>
  <c r="L12410" i="1"/>
  <c r="A12411" i="1"/>
  <c r="B12411" i="1"/>
  <c r="C12411" i="1"/>
  <c r="D12411" i="1"/>
  <c r="E12411" i="1"/>
  <c r="F12411" i="1"/>
  <c r="G12411" i="1"/>
  <c r="H12411" i="1"/>
  <c r="I12411" i="1"/>
  <c r="J12411" i="1"/>
  <c r="K12411" i="1"/>
  <c r="L12411" i="1"/>
  <c r="A12412" i="1"/>
  <c r="B12412" i="1"/>
  <c r="C12412" i="1"/>
  <c r="D12412" i="1"/>
  <c r="E12412" i="1"/>
  <c r="F12412" i="1"/>
  <c r="G12412" i="1"/>
  <c r="H12412" i="1"/>
  <c r="I12412" i="1"/>
  <c r="J12412" i="1"/>
  <c r="K12412" i="1"/>
  <c r="L12412" i="1"/>
  <c r="A12413" i="1"/>
  <c r="B12413" i="1"/>
  <c r="C12413" i="1"/>
  <c r="D12413" i="1"/>
  <c r="E12413" i="1"/>
  <c r="F12413" i="1"/>
  <c r="G12413" i="1"/>
  <c r="H12413" i="1"/>
  <c r="I12413" i="1"/>
  <c r="J12413" i="1"/>
  <c r="K12413" i="1"/>
  <c r="L12413" i="1"/>
  <c r="A12414" i="1"/>
  <c r="B12414" i="1"/>
  <c r="C12414" i="1"/>
  <c r="D12414" i="1"/>
  <c r="E12414" i="1"/>
  <c r="F12414" i="1"/>
  <c r="G12414" i="1"/>
  <c r="H12414" i="1"/>
  <c r="I12414" i="1"/>
  <c r="J12414" i="1"/>
  <c r="K12414" i="1"/>
  <c r="L12414" i="1"/>
  <c r="A12415" i="1"/>
  <c r="B12415" i="1"/>
  <c r="C12415" i="1"/>
  <c r="D12415" i="1"/>
  <c r="E12415" i="1"/>
  <c r="F12415" i="1"/>
  <c r="G12415" i="1"/>
  <c r="H12415" i="1"/>
  <c r="I12415" i="1"/>
  <c r="J12415" i="1"/>
  <c r="K12415" i="1"/>
  <c r="L12415" i="1"/>
  <c r="A12416" i="1"/>
  <c r="B12416" i="1"/>
  <c r="C12416" i="1"/>
  <c r="D12416" i="1"/>
  <c r="E12416" i="1"/>
  <c r="F12416" i="1"/>
  <c r="G12416" i="1"/>
  <c r="H12416" i="1"/>
  <c r="I12416" i="1"/>
  <c r="J12416" i="1"/>
  <c r="K12416" i="1"/>
  <c r="L12416" i="1"/>
  <c r="A12417" i="1"/>
  <c r="B12417" i="1"/>
  <c r="C12417" i="1"/>
  <c r="D12417" i="1"/>
  <c r="E12417" i="1"/>
  <c r="F12417" i="1"/>
  <c r="G12417" i="1"/>
  <c r="H12417" i="1"/>
  <c r="I12417" i="1"/>
  <c r="J12417" i="1"/>
  <c r="K12417" i="1"/>
  <c r="L12417" i="1"/>
  <c r="A12418" i="1"/>
  <c r="B12418" i="1"/>
  <c r="C12418" i="1"/>
  <c r="D12418" i="1"/>
  <c r="E12418" i="1"/>
  <c r="F12418" i="1"/>
  <c r="G12418" i="1"/>
  <c r="H12418" i="1"/>
  <c r="I12418" i="1"/>
  <c r="J12418" i="1"/>
  <c r="K12418" i="1"/>
  <c r="L12418" i="1"/>
  <c r="A12419" i="1"/>
  <c r="B12419" i="1"/>
  <c r="C12419" i="1"/>
  <c r="D12419" i="1"/>
  <c r="E12419" i="1"/>
  <c r="F12419" i="1"/>
  <c r="G12419" i="1"/>
  <c r="H12419" i="1"/>
  <c r="I12419" i="1"/>
  <c r="J12419" i="1"/>
  <c r="K12419" i="1"/>
  <c r="L12419" i="1"/>
  <c r="A12420" i="1"/>
  <c r="B12420" i="1"/>
  <c r="C12420" i="1"/>
  <c r="D12420" i="1"/>
  <c r="E12420" i="1"/>
  <c r="F12420" i="1"/>
  <c r="G12420" i="1"/>
  <c r="H12420" i="1"/>
  <c r="I12420" i="1"/>
  <c r="J12420" i="1"/>
  <c r="K12420" i="1"/>
  <c r="L12420" i="1"/>
  <c r="A12421" i="1"/>
  <c r="B12421" i="1"/>
  <c r="C12421" i="1"/>
  <c r="D12421" i="1"/>
  <c r="E12421" i="1"/>
  <c r="F12421" i="1"/>
  <c r="G12421" i="1"/>
  <c r="H12421" i="1"/>
  <c r="I12421" i="1"/>
  <c r="J12421" i="1"/>
  <c r="K12421" i="1"/>
  <c r="L12421" i="1"/>
  <c r="A12422" i="1"/>
  <c r="B12422" i="1"/>
  <c r="C12422" i="1"/>
  <c r="D12422" i="1"/>
  <c r="E12422" i="1"/>
  <c r="F12422" i="1"/>
  <c r="G12422" i="1"/>
  <c r="H12422" i="1"/>
  <c r="I12422" i="1"/>
  <c r="J12422" i="1"/>
  <c r="K12422" i="1"/>
  <c r="L12422" i="1"/>
  <c r="A12423" i="1"/>
  <c r="B12423" i="1"/>
  <c r="C12423" i="1"/>
  <c r="D12423" i="1"/>
  <c r="E12423" i="1"/>
  <c r="F12423" i="1"/>
  <c r="G12423" i="1"/>
  <c r="H12423" i="1"/>
  <c r="I12423" i="1"/>
  <c r="J12423" i="1"/>
  <c r="K12423" i="1"/>
  <c r="L12423" i="1"/>
  <c r="A12424" i="1"/>
  <c r="B12424" i="1"/>
  <c r="C12424" i="1"/>
  <c r="D12424" i="1"/>
  <c r="E12424" i="1"/>
  <c r="F12424" i="1"/>
  <c r="G12424" i="1"/>
  <c r="H12424" i="1"/>
  <c r="I12424" i="1"/>
  <c r="J12424" i="1"/>
  <c r="K12424" i="1"/>
  <c r="L12424" i="1"/>
  <c r="A12425" i="1"/>
  <c r="B12425" i="1"/>
  <c r="C12425" i="1"/>
  <c r="D12425" i="1"/>
  <c r="E12425" i="1"/>
  <c r="F12425" i="1"/>
  <c r="G12425" i="1"/>
  <c r="H12425" i="1"/>
  <c r="I12425" i="1"/>
  <c r="J12425" i="1"/>
  <c r="K12425" i="1"/>
  <c r="L12425" i="1"/>
  <c r="A12426" i="1"/>
  <c r="B12426" i="1"/>
  <c r="C12426" i="1"/>
  <c r="D12426" i="1"/>
  <c r="E12426" i="1"/>
  <c r="F12426" i="1"/>
  <c r="G12426" i="1"/>
  <c r="H12426" i="1"/>
  <c r="I12426" i="1"/>
  <c r="J12426" i="1"/>
  <c r="K12426" i="1"/>
  <c r="L12426" i="1"/>
  <c r="A12427" i="1"/>
  <c r="B12427" i="1"/>
  <c r="C12427" i="1"/>
  <c r="D12427" i="1"/>
  <c r="E12427" i="1"/>
  <c r="F12427" i="1"/>
  <c r="G12427" i="1"/>
  <c r="H12427" i="1"/>
  <c r="I12427" i="1"/>
  <c r="J12427" i="1"/>
  <c r="K12427" i="1"/>
  <c r="L12427" i="1"/>
  <c r="A12428" i="1"/>
  <c r="B12428" i="1"/>
  <c r="C12428" i="1"/>
  <c r="D12428" i="1"/>
  <c r="E12428" i="1"/>
  <c r="F12428" i="1"/>
  <c r="G12428" i="1"/>
  <c r="H12428" i="1"/>
  <c r="I12428" i="1"/>
  <c r="J12428" i="1"/>
  <c r="K12428" i="1"/>
  <c r="L12428" i="1"/>
  <c r="A12429" i="1"/>
  <c r="B12429" i="1"/>
  <c r="C12429" i="1"/>
  <c r="D12429" i="1"/>
  <c r="E12429" i="1"/>
  <c r="F12429" i="1"/>
  <c r="G12429" i="1"/>
  <c r="H12429" i="1"/>
  <c r="I12429" i="1"/>
  <c r="J12429" i="1"/>
  <c r="K12429" i="1"/>
  <c r="L12429" i="1"/>
  <c r="A12430" i="1"/>
  <c r="B12430" i="1"/>
  <c r="C12430" i="1"/>
  <c r="D12430" i="1"/>
  <c r="E12430" i="1"/>
  <c r="F12430" i="1"/>
  <c r="G12430" i="1"/>
  <c r="H12430" i="1"/>
  <c r="I12430" i="1"/>
  <c r="J12430" i="1"/>
  <c r="K12430" i="1"/>
  <c r="L12430" i="1"/>
  <c r="A12431" i="1"/>
  <c r="B12431" i="1"/>
  <c r="C12431" i="1"/>
  <c r="D12431" i="1"/>
  <c r="E12431" i="1"/>
  <c r="F12431" i="1"/>
  <c r="G12431" i="1"/>
  <c r="H12431" i="1"/>
  <c r="I12431" i="1"/>
  <c r="J12431" i="1"/>
  <c r="K12431" i="1"/>
  <c r="L12431" i="1"/>
  <c r="A12432" i="1"/>
  <c r="B12432" i="1"/>
  <c r="C12432" i="1"/>
  <c r="D12432" i="1"/>
  <c r="E12432" i="1"/>
  <c r="F12432" i="1"/>
  <c r="G12432" i="1"/>
  <c r="H12432" i="1"/>
  <c r="I12432" i="1"/>
  <c r="J12432" i="1"/>
  <c r="K12432" i="1"/>
  <c r="L12432" i="1"/>
  <c r="A12433" i="1"/>
  <c r="B12433" i="1"/>
  <c r="C12433" i="1"/>
  <c r="D12433" i="1"/>
  <c r="E12433" i="1"/>
  <c r="F12433" i="1"/>
  <c r="G12433" i="1"/>
  <c r="H12433" i="1"/>
  <c r="I12433" i="1"/>
  <c r="J12433" i="1"/>
  <c r="K12433" i="1"/>
  <c r="L12433" i="1"/>
  <c r="A12434" i="1"/>
  <c r="B12434" i="1"/>
  <c r="C12434" i="1"/>
  <c r="D12434" i="1"/>
  <c r="E12434" i="1"/>
  <c r="F12434" i="1"/>
  <c r="G12434" i="1"/>
  <c r="H12434" i="1"/>
  <c r="I12434" i="1"/>
  <c r="J12434" i="1"/>
  <c r="K12434" i="1"/>
  <c r="L12434" i="1"/>
  <c r="A12435" i="1"/>
  <c r="B12435" i="1"/>
  <c r="C12435" i="1"/>
  <c r="D12435" i="1"/>
  <c r="E12435" i="1"/>
  <c r="F12435" i="1"/>
  <c r="G12435" i="1"/>
  <c r="H12435" i="1"/>
  <c r="I12435" i="1"/>
  <c r="J12435" i="1"/>
  <c r="K12435" i="1"/>
  <c r="L12435" i="1"/>
  <c r="A12436" i="1"/>
  <c r="B12436" i="1"/>
  <c r="C12436" i="1"/>
  <c r="D12436" i="1"/>
  <c r="E12436" i="1"/>
  <c r="F12436" i="1"/>
  <c r="G12436" i="1"/>
  <c r="H12436" i="1"/>
  <c r="I12436" i="1"/>
  <c r="J12436" i="1"/>
  <c r="K12436" i="1"/>
  <c r="L12436" i="1"/>
  <c r="A12437" i="1"/>
  <c r="B12437" i="1"/>
  <c r="C12437" i="1"/>
  <c r="D12437" i="1"/>
  <c r="E12437" i="1"/>
  <c r="F12437" i="1"/>
  <c r="G12437" i="1"/>
  <c r="H12437" i="1"/>
  <c r="I12437" i="1"/>
  <c r="J12437" i="1"/>
  <c r="K12437" i="1"/>
  <c r="L12437" i="1"/>
  <c r="A12438" i="1"/>
  <c r="B12438" i="1"/>
  <c r="C12438" i="1"/>
  <c r="D12438" i="1"/>
  <c r="E12438" i="1"/>
  <c r="F12438" i="1"/>
  <c r="G12438" i="1"/>
  <c r="H12438" i="1"/>
  <c r="I12438" i="1"/>
  <c r="J12438" i="1"/>
  <c r="K12438" i="1"/>
  <c r="L12438" i="1"/>
  <c r="A12439" i="1"/>
  <c r="B12439" i="1"/>
  <c r="C12439" i="1"/>
  <c r="D12439" i="1"/>
  <c r="E12439" i="1"/>
  <c r="F12439" i="1"/>
  <c r="G12439" i="1"/>
  <c r="H12439" i="1"/>
  <c r="I12439" i="1"/>
  <c r="J12439" i="1"/>
  <c r="K12439" i="1"/>
  <c r="L12439" i="1"/>
  <c r="A12440" i="1"/>
  <c r="B12440" i="1"/>
  <c r="C12440" i="1"/>
  <c r="D12440" i="1"/>
  <c r="E12440" i="1"/>
  <c r="F12440" i="1"/>
  <c r="G12440" i="1"/>
  <c r="H12440" i="1"/>
  <c r="I12440" i="1"/>
  <c r="J12440" i="1"/>
  <c r="K12440" i="1"/>
  <c r="L12440" i="1"/>
  <c r="A12441" i="1"/>
  <c r="B12441" i="1"/>
  <c r="C12441" i="1"/>
  <c r="D12441" i="1"/>
  <c r="E12441" i="1"/>
  <c r="F12441" i="1"/>
  <c r="G12441" i="1"/>
  <c r="H12441" i="1"/>
  <c r="I12441" i="1"/>
  <c r="J12441" i="1"/>
  <c r="K12441" i="1"/>
  <c r="L12441" i="1"/>
  <c r="A12442" i="1"/>
  <c r="B12442" i="1"/>
  <c r="C12442" i="1"/>
  <c r="D12442" i="1"/>
  <c r="E12442" i="1"/>
  <c r="F12442" i="1"/>
  <c r="G12442" i="1"/>
  <c r="H12442" i="1"/>
  <c r="I12442" i="1"/>
  <c r="J12442" i="1"/>
  <c r="K12442" i="1"/>
  <c r="L12442" i="1"/>
  <c r="A12443" i="1"/>
  <c r="B12443" i="1"/>
  <c r="C12443" i="1"/>
  <c r="D12443" i="1"/>
  <c r="E12443" i="1"/>
  <c r="F12443" i="1"/>
  <c r="G12443" i="1"/>
  <c r="H12443" i="1"/>
  <c r="I12443" i="1"/>
  <c r="J12443" i="1"/>
  <c r="K12443" i="1"/>
  <c r="L12443" i="1"/>
  <c r="A12444" i="1"/>
  <c r="B12444" i="1"/>
  <c r="C12444" i="1"/>
  <c r="D12444" i="1"/>
  <c r="E12444" i="1"/>
  <c r="F12444" i="1"/>
  <c r="G12444" i="1"/>
  <c r="H12444" i="1"/>
  <c r="I12444" i="1"/>
  <c r="J12444" i="1"/>
  <c r="K12444" i="1"/>
  <c r="L12444" i="1"/>
  <c r="A12445" i="1"/>
  <c r="B12445" i="1"/>
  <c r="C12445" i="1"/>
  <c r="D12445" i="1"/>
  <c r="E12445" i="1"/>
  <c r="F12445" i="1"/>
  <c r="G12445" i="1"/>
  <c r="H12445" i="1"/>
  <c r="I12445" i="1"/>
  <c r="J12445" i="1"/>
  <c r="K12445" i="1"/>
  <c r="L12445" i="1"/>
  <c r="A12446" i="1"/>
  <c r="B12446" i="1"/>
  <c r="C12446" i="1"/>
  <c r="D12446" i="1"/>
  <c r="E12446" i="1"/>
  <c r="F12446" i="1"/>
  <c r="G12446" i="1"/>
  <c r="H12446" i="1"/>
  <c r="I12446" i="1"/>
  <c r="J12446" i="1"/>
  <c r="K12446" i="1"/>
  <c r="L12446" i="1"/>
  <c r="A12447" i="1"/>
  <c r="B12447" i="1"/>
  <c r="C12447" i="1"/>
  <c r="D12447" i="1"/>
  <c r="E12447" i="1"/>
  <c r="F12447" i="1"/>
  <c r="G12447" i="1"/>
  <c r="H12447" i="1"/>
  <c r="I12447" i="1"/>
  <c r="J12447" i="1"/>
  <c r="K12447" i="1"/>
  <c r="L12447" i="1"/>
  <c r="A12448" i="1"/>
  <c r="B12448" i="1"/>
  <c r="C12448" i="1"/>
  <c r="D12448" i="1"/>
  <c r="E12448" i="1"/>
  <c r="F12448" i="1"/>
  <c r="G12448" i="1"/>
  <c r="H12448" i="1"/>
  <c r="I12448" i="1"/>
  <c r="J12448" i="1"/>
  <c r="K12448" i="1"/>
  <c r="L12448" i="1"/>
  <c r="A12449" i="1"/>
  <c r="B12449" i="1"/>
  <c r="C12449" i="1"/>
  <c r="D12449" i="1"/>
  <c r="E12449" i="1"/>
  <c r="F12449" i="1"/>
  <c r="G12449" i="1"/>
  <c r="H12449" i="1"/>
  <c r="I12449" i="1"/>
  <c r="J12449" i="1"/>
  <c r="K12449" i="1"/>
  <c r="L12449" i="1"/>
  <c r="A12450" i="1"/>
  <c r="B12450" i="1"/>
  <c r="C12450" i="1"/>
  <c r="D12450" i="1"/>
  <c r="E12450" i="1"/>
  <c r="F12450" i="1"/>
  <c r="G12450" i="1"/>
  <c r="H12450" i="1"/>
  <c r="I12450" i="1"/>
  <c r="J12450" i="1"/>
  <c r="K12450" i="1"/>
  <c r="L12450" i="1"/>
  <c r="A12451" i="1"/>
  <c r="B12451" i="1"/>
  <c r="C12451" i="1"/>
  <c r="D12451" i="1"/>
  <c r="E12451" i="1"/>
  <c r="F12451" i="1"/>
  <c r="G12451" i="1"/>
  <c r="H12451" i="1"/>
  <c r="I12451" i="1"/>
  <c r="J12451" i="1"/>
  <c r="K12451" i="1"/>
  <c r="L12451" i="1"/>
  <c r="A12452" i="1"/>
  <c r="B12452" i="1"/>
  <c r="C12452" i="1"/>
  <c r="D12452" i="1"/>
  <c r="E12452" i="1"/>
  <c r="F12452" i="1"/>
  <c r="G12452" i="1"/>
  <c r="H12452" i="1"/>
  <c r="I12452" i="1"/>
  <c r="J12452" i="1"/>
  <c r="K12452" i="1"/>
  <c r="L12452" i="1"/>
  <c r="A12453" i="1"/>
  <c r="B12453" i="1"/>
  <c r="C12453" i="1"/>
  <c r="D12453" i="1"/>
  <c r="E12453" i="1"/>
  <c r="F12453" i="1"/>
  <c r="G12453" i="1"/>
  <c r="H12453" i="1"/>
  <c r="I12453" i="1"/>
  <c r="J12453" i="1"/>
  <c r="K12453" i="1"/>
  <c r="L12453" i="1"/>
  <c r="A12454" i="1"/>
  <c r="B12454" i="1"/>
  <c r="C12454" i="1"/>
  <c r="D12454" i="1"/>
  <c r="E12454" i="1"/>
  <c r="F12454" i="1"/>
  <c r="G12454" i="1"/>
  <c r="H12454" i="1"/>
  <c r="I12454" i="1"/>
  <c r="J12454" i="1"/>
  <c r="K12454" i="1"/>
  <c r="L12454" i="1"/>
  <c r="A12455" i="1"/>
  <c r="B12455" i="1"/>
  <c r="C12455" i="1"/>
  <c r="D12455" i="1"/>
  <c r="E12455" i="1"/>
  <c r="F12455" i="1"/>
  <c r="G12455" i="1"/>
  <c r="H12455" i="1"/>
  <c r="I12455" i="1"/>
  <c r="J12455" i="1"/>
  <c r="K12455" i="1"/>
  <c r="L12455" i="1"/>
  <c r="A12456" i="1"/>
  <c r="B12456" i="1"/>
  <c r="C12456" i="1"/>
  <c r="D12456" i="1"/>
  <c r="E12456" i="1"/>
  <c r="F12456" i="1"/>
  <c r="G12456" i="1"/>
  <c r="H12456" i="1"/>
  <c r="I12456" i="1"/>
  <c r="J12456" i="1"/>
  <c r="K12456" i="1"/>
  <c r="L12456" i="1"/>
  <c r="A12457" i="1"/>
  <c r="B12457" i="1"/>
  <c r="C12457" i="1"/>
  <c r="D12457" i="1"/>
  <c r="E12457" i="1"/>
  <c r="F12457" i="1"/>
  <c r="G12457" i="1"/>
  <c r="H12457" i="1"/>
  <c r="I12457" i="1"/>
  <c r="J12457" i="1"/>
  <c r="K12457" i="1"/>
  <c r="L12457" i="1"/>
  <c r="A12458" i="1"/>
  <c r="B12458" i="1"/>
  <c r="C12458" i="1"/>
  <c r="D12458" i="1"/>
  <c r="E12458" i="1"/>
  <c r="F12458" i="1"/>
  <c r="G12458" i="1"/>
  <c r="H12458" i="1"/>
  <c r="I12458" i="1"/>
  <c r="J12458" i="1"/>
  <c r="K12458" i="1"/>
  <c r="L12458" i="1"/>
  <c r="A12459" i="1"/>
  <c r="B12459" i="1"/>
  <c r="C12459" i="1"/>
  <c r="D12459" i="1"/>
  <c r="E12459" i="1"/>
  <c r="F12459" i="1"/>
  <c r="G12459" i="1"/>
  <c r="H12459" i="1"/>
  <c r="I12459" i="1"/>
  <c r="J12459" i="1"/>
  <c r="K12459" i="1"/>
  <c r="L12459" i="1"/>
  <c r="A12460" i="1"/>
  <c r="B12460" i="1"/>
  <c r="C12460" i="1"/>
  <c r="D12460" i="1"/>
  <c r="E12460" i="1"/>
  <c r="F12460" i="1"/>
  <c r="G12460" i="1"/>
  <c r="H12460" i="1"/>
  <c r="I12460" i="1"/>
  <c r="J12460" i="1"/>
  <c r="K12460" i="1"/>
  <c r="L12460" i="1"/>
  <c r="A12461" i="1"/>
  <c r="B12461" i="1"/>
  <c r="C12461" i="1"/>
  <c r="D12461" i="1"/>
  <c r="E12461" i="1"/>
  <c r="F12461" i="1"/>
  <c r="G12461" i="1"/>
  <c r="H12461" i="1"/>
  <c r="I12461" i="1"/>
  <c r="J12461" i="1"/>
  <c r="K12461" i="1"/>
  <c r="L12461" i="1"/>
  <c r="A12462" i="1"/>
  <c r="B12462" i="1"/>
  <c r="C12462" i="1"/>
  <c r="D12462" i="1"/>
  <c r="E12462" i="1"/>
  <c r="F12462" i="1"/>
  <c r="G12462" i="1"/>
  <c r="H12462" i="1"/>
  <c r="I12462" i="1"/>
  <c r="J12462" i="1"/>
  <c r="K12462" i="1"/>
  <c r="L12462" i="1"/>
  <c r="A12463" i="1"/>
  <c r="B12463" i="1"/>
  <c r="C12463" i="1"/>
  <c r="D12463" i="1"/>
  <c r="E12463" i="1"/>
  <c r="F12463" i="1"/>
  <c r="G12463" i="1"/>
  <c r="H12463" i="1"/>
  <c r="I12463" i="1"/>
  <c r="J12463" i="1"/>
  <c r="K12463" i="1"/>
  <c r="L12463" i="1"/>
  <c r="A12464" i="1"/>
  <c r="B12464" i="1"/>
  <c r="C12464" i="1"/>
  <c r="D12464" i="1"/>
  <c r="E12464" i="1"/>
  <c r="F12464" i="1"/>
  <c r="G12464" i="1"/>
  <c r="H12464" i="1"/>
  <c r="I12464" i="1"/>
  <c r="J12464" i="1"/>
  <c r="K12464" i="1"/>
  <c r="L12464" i="1"/>
  <c r="A12465" i="1"/>
  <c r="B12465" i="1"/>
  <c r="C12465" i="1"/>
  <c r="D12465" i="1"/>
  <c r="E12465" i="1"/>
  <c r="F12465" i="1"/>
  <c r="G12465" i="1"/>
  <c r="H12465" i="1"/>
  <c r="I12465" i="1"/>
  <c r="J12465" i="1"/>
  <c r="K12465" i="1"/>
  <c r="L12465" i="1"/>
  <c r="A12466" i="1"/>
  <c r="B12466" i="1"/>
  <c r="C12466" i="1"/>
  <c r="D12466" i="1"/>
  <c r="E12466" i="1"/>
  <c r="F12466" i="1"/>
  <c r="G12466" i="1"/>
  <c r="H12466" i="1"/>
  <c r="I12466" i="1"/>
  <c r="J12466" i="1"/>
  <c r="K12466" i="1"/>
  <c r="L12466" i="1"/>
  <c r="A12467" i="1"/>
  <c r="B12467" i="1"/>
  <c r="C12467" i="1"/>
  <c r="D12467" i="1"/>
  <c r="E12467" i="1"/>
  <c r="F12467" i="1"/>
  <c r="G12467" i="1"/>
  <c r="H12467" i="1"/>
  <c r="I12467" i="1"/>
  <c r="J12467" i="1"/>
  <c r="K12467" i="1"/>
  <c r="L12467" i="1"/>
  <c r="A12468" i="1"/>
  <c r="B12468" i="1"/>
  <c r="C12468" i="1"/>
  <c r="D12468" i="1"/>
  <c r="E12468" i="1"/>
  <c r="F12468" i="1"/>
  <c r="G12468" i="1"/>
  <c r="H12468" i="1"/>
  <c r="I12468" i="1"/>
  <c r="J12468" i="1"/>
  <c r="K12468" i="1"/>
  <c r="L12468" i="1"/>
  <c r="A12469" i="1"/>
  <c r="B12469" i="1"/>
  <c r="C12469" i="1"/>
  <c r="D12469" i="1"/>
  <c r="E12469" i="1"/>
  <c r="F12469" i="1"/>
  <c r="G12469" i="1"/>
  <c r="H12469" i="1"/>
  <c r="I12469" i="1"/>
  <c r="J12469" i="1"/>
  <c r="K12469" i="1"/>
  <c r="L12469" i="1"/>
  <c r="A12470" i="1"/>
  <c r="B12470" i="1"/>
  <c r="C12470" i="1"/>
  <c r="D12470" i="1"/>
  <c r="E12470" i="1"/>
  <c r="F12470" i="1"/>
  <c r="G12470" i="1"/>
  <c r="H12470" i="1"/>
  <c r="I12470" i="1"/>
  <c r="J12470" i="1"/>
  <c r="K12470" i="1"/>
  <c r="L12470" i="1"/>
  <c r="A12471" i="1"/>
  <c r="B12471" i="1"/>
  <c r="C12471" i="1"/>
  <c r="D12471" i="1"/>
  <c r="E12471" i="1"/>
  <c r="F12471" i="1"/>
  <c r="G12471" i="1"/>
  <c r="H12471" i="1"/>
  <c r="I12471" i="1"/>
  <c r="J12471" i="1"/>
  <c r="K12471" i="1"/>
  <c r="L12471" i="1"/>
  <c r="A12472" i="1"/>
  <c r="B12472" i="1"/>
  <c r="C12472" i="1"/>
  <c r="D12472" i="1"/>
  <c r="E12472" i="1"/>
  <c r="F12472" i="1"/>
  <c r="G12472" i="1"/>
  <c r="H12472" i="1"/>
  <c r="I12472" i="1"/>
  <c r="J12472" i="1"/>
  <c r="K12472" i="1"/>
  <c r="L12472" i="1"/>
  <c r="A12473" i="1"/>
  <c r="B12473" i="1"/>
  <c r="C12473" i="1"/>
  <c r="D12473" i="1"/>
  <c r="E12473" i="1"/>
  <c r="F12473" i="1"/>
  <c r="G12473" i="1"/>
  <c r="H12473" i="1"/>
  <c r="I12473" i="1"/>
  <c r="J12473" i="1"/>
  <c r="K12473" i="1"/>
  <c r="L12473" i="1"/>
  <c r="A12474" i="1"/>
  <c r="B12474" i="1"/>
  <c r="C12474" i="1"/>
  <c r="D12474" i="1"/>
  <c r="E12474" i="1"/>
  <c r="F12474" i="1"/>
  <c r="G12474" i="1"/>
  <c r="H12474" i="1"/>
  <c r="I12474" i="1"/>
  <c r="J12474" i="1"/>
  <c r="K12474" i="1"/>
  <c r="L12474" i="1"/>
  <c r="A12475" i="1"/>
  <c r="B12475" i="1"/>
  <c r="C12475" i="1"/>
  <c r="D12475" i="1"/>
  <c r="E12475" i="1"/>
  <c r="F12475" i="1"/>
  <c r="G12475" i="1"/>
  <c r="H12475" i="1"/>
  <c r="I12475" i="1"/>
  <c r="J12475" i="1"/>
  <c r="K12475" i="1"/>
  <c r="L12475" i="1"/>
  <c r="A12476" i="1"/>
  <c r="B12476" i="1"/>
  <c r="C12476" i="1"/>
  <c r="D12476" i="1"/>
  <c r="E12476" i="1"/>
  <c r="F12476" i="1"/>
  <c r="G12476" i="1"/>
  <c r="H12476" i="1"/>
  <c r="I12476" i="1"/>
  <c r="J12476" i="1"/>
  <c r="K12476" i="1"/>
  <c r="L12476" i="1"/>
  <c r="A12477" i="1"/>
  <c r="B12477" i="1"/>
  <c r="C12477" i="1"/>
  <c r="D12477" i="1"/>
  <c r="E12477" i="1"/>
  <c r="F12477" i="1"/>
  <c r="G12477" i="1"/>
  <c r="H12477" i="1"/>
  <c r="I12477" i="1"/>
  <c r="J12477" i="1"/>
  <c r="K12477" i="1"/>
  <c r="L12477" i="1"/>
  <c r="A12478" i="1"/>
  <c r="B12478" i="1"/>
  <c r="C12478" i="1"/>
  <c r="D12478" i="1"/>
  <c r="E12478" i="1"/>
  <c r="F12478" i="1"/>
  <c r="G12478" i="1"/>
  <c r="H12478" i="1"/>
  <c r="I12478" i="1"/>
  <c r="J12478" i="1"/>
  <c r="K12478" i="1"/>
  <c r="L12478" i="1"/>
  <c r="A12479" i="1"/>
  <c r="B12479" i="1"/>
  <c r="C12479" i="1"/>
  <c r="D12479" i="1"/>
  <c r="E12479" i="1"/>
  <c r="F12479" i="1"/>
  <c r="G12479" i="1"/>
  <c r="H12479" i="1"/>
  <c r="I12479" i="1"/>
  <c r="J12479" i="1"/>
  <c r="K12479" i="1"/>
  <c r="L12479" i="1"/>
  <c r="A12480" i="1"/>
  <c r="B12480" i="1"/>
  <c r="C12480" i="1"/>
  <c r="D12480" i="1"/>
  <c r="E12480" i="1"/>
  <c r="F12480" i="1"/>
  <c r="G12480" i="1"/>
  <c r="H12480" i="1"/>
  <c r="I12480" i="1"/>
  <c r="J12480" i="1"/>
  <c r="K12480" i="1"/>
  <c r="L12480" i="1"/>
  <c r="A12481" i="1"/>
  <c r="B12481" i="1"/>
  <c r="C12481" i="1"/>
  <c r="D12481" i="1"/>
  <c r="E12481" i="1"/>
  <c r="F12481" i="1"/>
  <c r="G12481" i="1"/>
  <c r="H12481" i="1"/>
  <c r="I12481" i="1"/>
  <c r="J12481" i="1"/>
  <c r="K12481" i="1"/>
  <c r="L12481" i="1"/>
  <c r="A12482" i="1"/>
  <c r="B12482" i="1"/>
  <c r="C12482" i="1"/>
  <c r="D12482" i="1"/>
  <c r="E12482" i="1"/>
  <c r="F12482" i="1"/>
  <c r="G12482" i="1"/>
  <c r="H12482" i="1"/>
  <c r="I12482" i="1"/>
  <c r="J12482" i="1"/>
  <c r="K12482" i="1"/>
  <c r="L12482" i="1"/>
  <c r="A12483" i="1"/>
  <c r="B12483" i="1"/>
  <c r="C12483" i="1"/>
  <c r="D12483" i="1"/>
  <c r="E12483" i="1"/>
  <c r="F12483" i="1"/>
  <c r="G12483" i="1"/>
  <c r="H12483" i="1"/>
  <c r="I12483" i="1"/>
  <c r="J12483" i="1"/>
  <c r="K12483" i="1"/>
  <c r="L12483" i="1"/>
  <c r="A12484" i="1"/>
  <c r="B12484" i="1"/>
  <c r="C12484" i="1"/>
  <c r="D12484" i="1"/>
  <c r="E12484" i="1"/>
  <c r="F12484" i="1"/>
  <c r="G12484" i="1"/>
  <c r="H12484" i="1"/>
  <c r="I12484" i="1"/>
  <c r="J12484" i="1"/>
  <c r="K12484" i="1"/>
  <c r="L12484" i="1"/>
  <c r="A12485" i="1"/>
  <c r="B12485" i="1"/>
  <c r="C12485" i="1"/>
  <c r="D12485" i="1"/>
  <c r="E12485" i="1"/>
  <c r="F12485" i="1"/>
  <c r="G12485" i="1"/>
  <c r="H12485" i="1"/>
  <c r="I12485" i="1"/>
  <c r="J12485" i="1"/>
  <c r="K12485" i="1"/>
  <c r="L12485" i="1"/>
  <c r="A12486" i="1"/>
  <c r="B12486" i="1"/>
  <c r="C12486" i="1"/>
  <c r="D12486" i="1"/>
  <c r="E12486" i="1"/>
  <c r="F12486" i="1"/>
  <c r="G12486" i="1"/>
  <c r="H12486" i="1"/>
  <c r="I12486" i="1"/>
  <c r="J12486" i="1"/>
  <c r="K12486" i="1"/>
  <c r="L12486" i="1"/>
  <c r="A12487" i="1"/>
  <c r="B12487" i="1"/>
  <c r="C12487" i="1"/>
  <c r="D12487" i="1"/>
  <c r="E12487" i="1"/>
  <c r="F12487" i="1"/>
  <c r="G12487" i="1"/>
  <c r="H12487" i="1"/>
  <c r="I12487" i="1"/>
  <c r="J12487" i="1"/>
  <c r="K12487" i="1"/>
  <c r="L12487" i="1"/>
  <c r="A12488" i="1"/>
  <c r="B12488" i="1"/>
  <c r="C12488" i="1"/>
  <c r="D12488" i="1"/>
  <c r="E12488" i="1"/>
  <c r="F12488" i="1"/>
  <c r="G12488" i="1"/>
  <c r="H12488" i="1"/>
  <c r="I12488" i="1"/>
  <c r="J12488" i="1"/>
  <c r="K12488" i="1"/>
  <c r="L12488" i="1"/>
  <c r="A12489" i="1"/>
  <c r="B12489" i="1"/>
  <c r="C12489" i="1"/>
  <c r="D12489" i="1"/>
  <c r="E12489" i="1"/>
  <c r="F12489" i="1"/>
  <c r="G12489" i="1"/>
  <c r="H12489" i="1"/>
  <c r="I12489" i="1"/>
  <c r="J12489" i="1"/>
  <c r="K12489" i="1"/>
  <c r="L12489" i="1"/>
  <c r="A12490" i="1"/>
  <c r="B12490" i="1"/>
  <c r="C12490" i="1"/>
  <c r="D12490" i="1"/>
  <c r="E12490" i="1"/>
  <c r="F12490" i="1"/>
  <c r="G12490" i="1"/>
  <c r="H12490" i="1"/>
  <c r="I12490" i="1"/>
  <c r="J12490" i="1"/>
  <c r="K12490" i="1"/>
  <c r="L12490" i="1"/>
  <c r="A12491" i="1"/>
  <c r="B12491" i="1"/>
  <c r="C12491" i="1"/>
  <c r="D12491" i="1"/>
  <c r="E12491" i="1"/>
  <c r="F12491" i="1"/>
  <c r="G12491" i="1"/>
  <c r="H12491" i="1"/>
  <c r="I12491" i="1"/>
  <c r="J12491" i="1"/>
  <c r="K12491" i="1"/>
  <c r="L12491" i="1"/>
  <c r="A12492" i="1"/>
  <c r="B12492" i="1"/>
  <c r="C12492" i="1"/>
  <c r="D12492" i="1"/>
  <c r="E12492" i="1"/>
  <c r="F12492" i="1"/>
  <c r="G12492" i="1"/>
  <c r="H12492" i="1"/>
  <c r="I12492" i="1"/>
  <c r="J12492" i="1"/>
  <c r="K12492" i="1"/>
  <c r="L12492" i="1"/>
  <c r="A12493" i="1"/>
  <c r="B12493" i="1"/>
  <c r="C12493" i="1"/>
  <c r="D12493" i="1"/>
  <c r="E12493" i="1"/>
  <c r="F12493" i="1"/>
  <c r="G12493" i="1"/>
  <c r="H12493" i="1"/>
  <c r="I12493" i="1"/>
  <c r="J12493" i="1"/>
  <c r="K12493" i="1"/>
  <c r="L12493" i="1"/>
  <c r="A12494" i="1"/>
  <c r="B12494" i="1"/>
  <c r="C12494" i="1"/>
  <c r="D12494" i="1"/>
  <c r="E12494" i="1"/>
  <c r="F12494" i="1"/>
  <c r="G12494" i="1"/>
  <c r="H12494" i="1"/>
  <c r="I12494" i="1"/>
  <c r="J12494" i="1"/>
  <c r="K12494" i="1"/>
  <c r="L12494" i="1"/>
  <c r="A12495" i="1"/>
  <c r="B12495" i="1"/>
  <c r="C12495" i="1"/>
  <c r="D12495" i="1"/>
  <c r="E12495" i="1"/>
  <c r="F12495" i="1"/>
  <c r="G12495" i="1"/>
  <c r="H12495" i="1"/>
  <c r="I12495" i="1"/>
  <c r="J12495" i="1"/>
  <c r="K12495" i="1"/>
  <c r="L12495" i="1"/>
  <c r="A12496" i="1"/>
  <c r="B12496" i="1"/>
  <c r="C12496" i="1"/>
  <c r="D12496" i="1"/>
  <c r="E12496" i="1"/>
  <c r="F12496" i="1"/>
  <c r="G12496" i="1"/>
  <c r="H12496" i="1"/>
  <c r="I12496" i="1"/>
  <c r="J12496" i="1"/>
  <c r="K12496" i="1"/>
  <c r="L12496" i="1"/>
  <c r="A12497" i="1"/>
  <c r="B12497" i="1"/>
  <c r="C12497" i="1"/>
  <c r="D12497" i="1"/>
  <c r="E12497" i="1"/>
  <c r="F12497" i="1"/>
  <c r="G12497" i="1"/>
  <c r="H12497" i="1"/>
  <c r="I12497" i="1"/>
  <c r="J12497" i="1"/>
  <c r="K12497" i="1"/>
  <c r="L12497" i="1"/>
  <c r="A12498" i="1"/>
  <c r="B12498" i="1"/>
  <c r="C12498" i="1"/>
  <c r="D12498" i="1"/>
  <c r="E12498" i="1"/>
  <c r="F12498" i="1"/>
  <c r="G12498" i="1"/>
  <c r="H12498" i="1"/>
  <c r="I12498" i="1"/>
  <c r="J12498" i="1"/>
  <c r="K12498" i="1"/>
  <c r="L12498" i="1"/>
  <c r="A12499" i="1"/>
  <c r="B12499" i="1"/>
  <c r="C12499" i="1"/>
  <c r="D12499" i="1"/>
  <c r="E12499" i="1"/>
  <c r="F12499" i="1"/>
  <c r="G12499" i="1"/>
  <c r="H12499" i="1"/>
  <c r="I12499" i="1"/>
  <c r="J12499" i="1"/>
  <c r="K12499" i="1"/>
  <c r="L12499" i="1"/>
  <c r="A12500" i="1"/>
  <c r="B12500" i="1"/>
  <c r="C12500" i="1"/>
  <c r="D12500" i="1"/>
  <c r="E12500" i="1"/>
  <c r="F12500" i="1"/>
  <c r="G12500" i="1"/>
  <c r="H12500" i="1"/>
  <c r="I12500" i="1"/>
  <c r="J12500" i="1"/>
  <c r="K12500" i="1"/>
  <c r="L12500" i="1"/>
  <c r="A12501" i="1"/>
  <c r="B12501" i="1"/>
  <c r="C12501" i="1"/>
  <c r="D12501" i="1"/>
  <c r="E12501" i="1"/>
  <c r="F12501" i="1"/>
  <c r="G12501" i="1"/>
  <c r="H12501" i="1"/>
  <c r="I12501" i="1"/>
  <c r="J12501" i="1"/>
  <c r="K12501" i="1"/>
  <c r="L12501" i="1"/>
  <c r="A12502" i="1"/>
  <c r="B12502" i="1"/>
  <c r="C12502" i="1"/>
  <c r="D12502" i="1"/>
  <c r="E12502" i="1"/>
  <c r="F12502" i="1"/>
  <c r="G12502" i="1"/>
  <c r="H12502" i="1"/>
  <c r="I12502" i="1"/>
  <c r="J12502" i="1"/>
  <c r="K12502" i="1"/>
  <c r="L12502" i="1"/>
  <c r="A12503" i="1"/>
  <c r="B12503" i="1"/>
  <c r="C12503" i="1"/>
  <c r="D12503" i="1"/>
  <c r="E12503" i="1"/>
  <c r="F12503" i="1"/>
  <c r="G12503" i="1"/>
  <c r="H12503" i="1"/>
  <c r="I12503" i="1"/>
  <c r="J12503" i="1"/>
  <c r="K12503" i="1"/>
  <c r="L12503" i="1"/>
  <c r="A12504" i="1"/>
  <c r="B12504" i="1"/>
  <c r="C12504" i="1"/>
  <c r="D12504" i="1"/>
  <c r="E12504" i="1"/>
  <c r="F12504" i="1"/>
  <c r="G12504" i="1"/>
  <c r="H12504" i="1"/>
  <c r="I12504" i="1"/>
  <c r="J12504" i="1"/>
  <c r="K12504" i="1"/>
  <c r="L12504" i="1"/>
  <c r="A12505" i="1"/>
  <c r="B12505" i="1"/>
  <c r="C12505" i="1"/>
  <c r="D12505" i="1"/>
  <c r="E12505" i="1"/>
  <c r="F12505" i="1"/>
  <c r="G12505" i="1"/>
  <c r="H12505" i="1"/>
  <c r="I12505" i="1"/>
  <c r="J12505" i="1"/>
  <c r="K12505" i="1"/>
  <c r="L12505" i="1"/>
  <c r="A12506" i="1"/>
  <c r="B12506" i="1"/>
  <c r="C12506" i="1"/>
  <c r="D12506" i="1"/>
  <c r="E12506" i="1"/>
  <c r="F12506" i="1"/>
  <c r="G12506" i="1"/>
  <c r="H12506" i="1"/>
  <c r="I12506" i="1"/>
  <c r="J12506" i="1"/>
  <c r="K12506" i="1"/>
  <c r="L12506" i="1"/>
  <c r="A12507" i="1"/>
  <c r="B12507" i="1"/>
  <c r="C12507" i="1"/>
  <c r="D12507" i="1"/>
  <c r="E12507" i="1"/>
  <c r="F12507" i="1"/>
  <c r="G12507" i="1"/>
  <c r="H12507" i="1"/>
  <c r="I12507" i="1"/>
  <c r="J12507" i="1"/>
  <c r="K12507" i="1"/>
  <c r="L12507" i="1"/>
  <c r="A12508" i="1"/>
  <c r="B12508" i="1"/>
  <c r="C12508" i="1"/>
  <c r="D12508" i="1"/>
  <c r="E12508" i="1"/>
  <c r="F12508" i="1"/>
  <c r="G12508" i="1"/>
  <c r="H12508" i="1"/>
  <c r="I12508" i="1"/>
  <c r="J12508" i="1"/>
  <c r="K12508" i="1"/>
  <c r="L12508" i="1"/>
  <c r="A12509" i="1"/>
  <c r="B12509" i="1"/>
  <c r="C12509" i="1"/>
  <c r="D12509" i="1"/>
  <c r="E12509" i="1"/>
  <c r="F12509" i="1"/>
  <c r="G12509" i="1"/>
  <c r="H12509" i="1"/>
  <c r="I12509" i="1"/>
  <c r="J12509" i="1"/>
  <c r="K12509" i="1"/>
  <c r="L12509" i="1"/>
  <c r="A12510" i="1"/>
  <c r="B12510" i="1"/>
  <c r="C12510" i="1"/>
  <c r="D12510" i="1"/>
  <c r="E12510" i="1"/>
  <c r="F12510" i="1"/>
  <c r="G12510" i="1"/>
  <c r="H12510" i="1"/>
  <c r="I12510" i="1"/>
  <c r="J12510" i="1"/>
  <c r="K12510" i="1"/>
  <c r="L12510" i="1"/>
  <c r="A12511" i="1"/>
  <c r="B12511" i="1"/>
  <c r="C12511" i="1"/>
  <c r="D12511" i="1"/>
  <c r="E12511" i="1"/>
  <c r="F12511" i="1"/>
  <c r="G12511" i="1"/>
  <c r="H12511" i="1"/>
  <c r="I12511" i="1"/>
  <c r="J12511" i="1"/>
  <c r="K12511" i="1"/>
  <c r="L12511" i="1"/>
  <c r="A12512" i="1"/>
  <c r="B12512" i="1"/>
  <c r="C12512" i="1"/>
  <c r="D12512" i="1"/>
  <c r="E12512" i="1"/>
  <c r="F12512" i="1"/>
  <c r="G12512" i="1"/>
  <c r="H12512" i="1"/>
  <c r="I12512" i="1"/>
  <c r="J12512" i="1"/>
  <c r="K12512" i="1"/>
  <c r="L12512" i="1"/>
  <c r="A12513" i="1"/>
  <c r="B12513" i="1"/>
  <c r="C12513" i="1"/>
  <c r="D12513" i="1"/>
  <c r="E12513" i="1"/>
  <c r="F12513" i="1"/>
  <c r="G12513" i="1"/>
  <c r="H12513" i="1"/>
  <c r="I12513" i="1"/>
  <c r="J12513" i="1"/>
  <c r="K12513" i="1"/>
  <c r="L12513" i="1"/>
  <c r="A12514" i="1"/>
  <c r="B12514" i="1"/>
  <c r="C12514" i="1"/>
  <c r="D12514" i="1"/>
  <c r="E12514" i="1"/>
  <c r="F12514" i="1"/>
  <c r="G12514" i="1"/>
  <c r="H12514" i="1"/>
  <c r="I12514" i="1"/>
  <c r="J12514" i="1"/>
  <c r="K12514" i="1"/>
  <c r="L12514" i="1"/>
  <c r="A12515" i="1"/>
  <c r="B12515" i="1"/>
  <c r="C12515" i="1"/>
  <c r="D12515" i="1"/>
  <c r="E12515" i="1"/>
  <c r="F12515" i="1"/>
  <c r="G12515" i="1"/>
  <c r="H12515" i="1"/>
  <c r="I12515" i="1"/>
  <c r="J12515" i="1"/>
  <c r="K12515" i="1"/>
  <c r="L12515" i="1"/>
  <c r="A12516" i="1"/>
  <c r="B12516" i="1"/>
  <c r="C12516" i="1"/>
  <c r="D12516" i="1"/>
  <c r="E12516" i="1"/>
  <c r="F12516" i="1"/>
  <c r="G12516" i="1"/>
  <c r="H12516" i="1"/>
  <c r="I12516" i="1"/>
  <c r="J12516" i="1"/>
  <c r="K12516" i="1"/>
  <c r="L12516" i="1"/>
  <c r="A12517" i="1"/>
  <c r="B12517" i="1"/>
  <c r="C12517" i="1"/>
  <c r="D12517" i="1"/>
  <c r="E12517" i="1"/>
  <c r="F12517" i="1"/>
  <c r="G12517" i="1"/>
  <c r="H12517" i="1"/>
  <c r="I12517" i="1"/>
  <c r="J12517" i="1"/>
  <c r="K12517" i="1"/>
  <c r="L12517" i="1"/>
  <c r="A12518" i="1"/>
  <c r="B12518" i="1"/>
  <c r="C12518" i="1"/>
  <c r="D12518" i="1"/>
  <c r="E12518" i="1"/>
  <c r="F12518" i="1"/>
  <c r="G12518" i="1"/>
  <c r="H12518" i="1"/>
  <c r="I12518" i="1"/>
  <c r="J12518" i="1"/>
  <c r="K12518" i="1"/>
  <c r="L12518" i="1"/>
  <c r="A12519" i="1"/>
  <c r="B12519" i="1"/>
  <c r="C12519" i="1"/>
  <c r="D12519" i="1"/>
  <c r="E12519" i="1"/>
  <c r="F12519" i="1"/>
  <c r="G12519" i="1"/>
  <c r="H12519" i="1"/>
  <c r="I12519" i="1"/>
  <c r="J12519" i="1"/>
  <c r="K12519" i="1"/>
  <c r="L12519" i="1"/>
  <c r="A12520" i="1"/>
  <c r="B12520" i="1"/>
  <c r="C12520" i="1"/>
  <c r="D12520" i="1"/>
  <c r="E12520" i="1"/>
  <c r="F12520" i="1"/>
  <c r="G12520" i="1"/>
  <c r="H12520" i="1"/>
  <c r="I12520" i="1"/>
  <c r="J12520" i="1"/>
  <c r="K12520" i="1"/>
  <c r="L12520" i="1"/>
  <c r="A12521" i="1"/>
  <c r="B12521" i="1"/>
  <c r="C12521" i="1"/>
  <c r="D12521" i="1"/>
  <c r="E12521" i="1"/>
  <c r="F12521" i="1"/>
  <c r="G12521" i="1"/>
  <c r="H12521" i="1"/>
  <c r="I12521" i="1"/>
  <c r="J12521" i="1"/>
  <c r="K12521" i="1"/>
  <c r="L12521" i="1"/>
  <c r="A12522" i="1"/>
  <c r="B12522" i="1"/>
  <c r="C12522" i="1"/>
  <c r="D12522" i="1"/>
  <c r="E12522" i="1"/>
  <c r="F12522" i="1"/>
  <c r="G12522" i="1"/>
  <c r="H12522" i="1"/>
  <c r="I12522" i="1"/>
  <c r="J12522" i="1"/>
  <c r="K12522" i="1"/>
  <c r="L12522" i="1"/>
  <c r="A12523" i="1"/>
  <c r="B12523" i="1"/>
  <c r="C12523" i="1"/>
  <c r="D12523" i="1"/>
  <c r="E12523" i="1"/>
  <c r="F12523" i="1"/>
  <c r="G12523" i="1"/>
  <c r="H12523" i="1"/>
  <c r="I12523" i="1"/>
  <c r="J12523" i="1"/>
  <c r="K12523" i="1"/>
  <c r="L12523" i="1"/>
  <c r="A12524" i="1"/>
  <c r="B12524" i="1"/>
  <c r="C12524" i="1"/>
  <c r="D12524" i="1"/>
  <c r="E12524" i="1"/>
  <c r="F12524" i="1"/>
  <c r="G12524" i="1"/>
  <c r="H12524" i="1"/>
  <c r="I12524" i="1"/>
  <c r="J12524" i="1"/>
  <c r="K12524" i="1"/>
  <c r="L12524" i="1"/>
  <c r="A12525" i="1"/>
  <c r="B12525" i="1"/>
  <c r="C12525" i="1"/>
  <c r="D12525" i="1"/>
  <c r="E12525" i="1"/>
  <c r="F12525" i="1"/>
  <c r="G12525" i="1"/>
  <c r="H12525" i="1"/>
  <c r="I12525" i="1"/>
  <c r="J12525" i="1"/>
  <c r="K12525" i="1"/>
  <c r="L12525" i="1"/>
  <c r="A12526" i="1"/>
  <c r="B12526" i="1"/>
  <c r="C12526" i="1"/>
  <c r="D12526" i="1"/>
  <c r="E12526" i="1"/>
  <c r="F12526" i="1"/>
  <c r="G12526" i="1"/>
  <c r="H12526" i="1"/>
  <c r="I12526" i="1"/>
  <c r="J12526" i="1"/>
  <c r="K12526" i="1"/>
  <c r="L12526" i="1"/>
  <c r="A12527" i="1"/>
  <c r="B12527" i="1"/>
  <c r="C12527" i="1"/>
  <c r="D12527" i="1"/>
  <c r="E12527" i="1"/>
  <c r="F12527" i="1"/>
  <c r="G12527" i="1"/>
  <c r="H12527" i="1"/>
  <c r="I12527" i="1"/>
  <c r="J12527" i="1"/>
  <c r="K12527" i="1"/>
  <c r="L12527" i="1"/>
  <c r="A12528" i="1"/>
  <c r="B12528" i="1"/>
  <c r="C12528" i="1"/>
  <c r="D12528" i="1"/>
  <c r="E12528" i="1"/>
  <c r="F12528" i="1"/>
  <c r="G12528" i="1"/>
  <c r="H12528" i="1"/>
  <c r="I12528" i="1"/>
  <c r="J12528" i="1"/>
  <c r="K12528" i="1"/>
  <c r="L12528" i="1"/>
  <c r="A12529" i="1"/>
  <c r="B12529" i="1"/>
  <c r="C12529" i="1"/>
  <c r="D12529" i="1"/>
  <c r="E12529" i="1"/>
  <c r="F12529" i="1"/>
  <c r="G12529" i="1"/>
  <c r="H12529" i="1"/>
  <c r="I12529" i="1"/>
  <c r="J12529" i="1"/>
  <c r="K12529" i="1"/>
  <c r="L12529" i="1"/>
  <c r="A12530" i="1"/>
  <c r="B12530" i="1"/>
  <c r="C12530" i="1"/>
  <c r="D12530" i="1"/>
  <c r="E12530" i="1"/>
  <c r="F12530" i="1"/>
  <c r="G12530" i="1"/>
  <c r="H12530" i="1"/>
  <c r="I12530" i="1"/>
  <c r="J12530" i="1"/>
  <c r="K12530" i="1"/>
  <c r="L12530" i="1"/>
  <c r="A12531" i="1"/>
  <c r="B12531" i="1"/>
  <c r="C12531" i="1"/>
  <c r="D12531" i="1"/>
  <c r="E12531" i="1"/>
  <c r="F12531" i="1"/>
  <c r="G12531" i="1"/>
  <c r="H12531" i="1"/>
  <c r="I12531" i="1"/>
  <c r="J12531" i="1"/>
  <c r="K12531" i="1"/>
  <c r="L12531" i="1"/>
  <c r="A12532" i="1"/>
  <c r="B12532" i="1"/>
  <c r="C12532" i="1"/>
  <c r="D12532" i="1"/>
  <c r="E12532" i="1"/>
  <c r="F12532" i="1"/>
  <c r="G12532" i="1"/>
  <c r="H12532" i="1"/>
  <c r="I12532" i="1"/>
  <c r="J12532" i="1"/>
  <c r="K12532" i="1"/>
  <c r="L12532" i="1"/>
  <c r="A12533" i="1"/>
  <c r="B12533" i="1"/>
  <c r="C12533" i="1"/>
  <c r="D12533" i="1"/>
  <c r="E12533" i="1"/>
  <c r="F12533" i="1"/>
  <c r="G12533" i="1"/>
  <c r="H12533" i="1"/>
  <c r="I12533" i="1"/>
  <c r="J12533" i="1"/>
  <c r="K12533" i="1"/>
  <c r="L12533" i="1"/>
  <c r="A12534" i="1"/>
  <c r="B12534" i="1"/>
  <c r="C12534" i="1"/>
  <c r="D12534" i="1"/>
  <c r="E12534" i="1"/>
  <c r="F12534" i="1"/>
  <c r="G12534" i="1"/>
  <c r="H12534" i="1"/>
  <c r="I12534" i="1"/>
  <c r="J12534" i="1"/>
  <c r="K12534" i="1"/>
  <c r="L12534" i="1"/>
  <c r="A12535" i="1"/>
  <c r="B12535" i="1"/>
  <c r="C12535" i="1"/>
  <c r="D12535" i="1"/>
  <c r="E12535" i="1"/>
  <c r="F12535" i="1"/>
  <c r="G12535" i="1"/>
  <c r="H12535" i="1"/>
  <c r="I12535" i="1"/>
  <c r="J12535" i="1"/>
  <c r="K12535" i="1"/>
  <c r="L12535" i="1"/>
  <c r="A12536" i="1"/>
  <c r="B12536" i="1"/>
  <c r="C12536" i="1"/>
  <c r="D12536" i="1"/>
  <c r="E12536" i="1"/>
  <c r="F12536" i="1"/>
  <c r="G12536" i="1"/>
  <c r="H12536" i="1"/>
  <c r="I12536" i="1"/>
  <c r="J12536" i="1"/>
  <c r="K12536" i="1"/>
  <c r="L12536" i="1"/>
  <c r="A12537" i="1"/>
  <c r="B12537" i="1"/>
  <c r="C12537" i="1"/>
  <c r="D12537" i="1"/>
  <c r="E12537" i="1"/>
  <c r="F12537" i="1"/>
  <c r="G12537" i="1"/>
  <c r="H12537" i="1"/>
  <c r="I12537" i="1"/>
  <c r="J12537" i="1"/>
  <c r="K12537" i="1"/>
  <c r="L12537" i="1"/>
  <c r="A12538" i="1"/>
  <c r="B12538" i="1"/>
  <c r="C12538" i="1"/>
  <c r="D12538" i="1"/>
  <c r="E12538" i="1"/>
  <c r="F12538" i="1"/>
  <c r="G12538" i="1"/>
  <c r="H12538" i="1"/>
  <c r="I12538" i="1"/>
  <c r="J12538" i="1"/>
  <c r="K12538" i="1"/>
  <c r="L12538" i="1"/>
  <c r="A12539" i="1"/>
  <c r="B12539" i="1"/>
  <c r="C12539" i="1"/>
  <c r="D12539" i="1"/>
  <c r="E12539" i="1"/>
  <c r="F12539" i="1"/>
  <c r="G12539" i="1"/>
  <c r="H12539" i="1"/>
  <c r="I12539" i="1"/>
  <c r="J12539" i="1"/>
  <c r="K12539" i="1"/>
  <c r="L12539" i="1"/>
  <c r="A12540" i="1"/>
  <c r="B12540" i="1"/>
  <c r="C12540" i="1"/>
  <c r="D12540" i="1"/>
  <c r="E12540" i="1"/>
  <c r="F12540" i="1"/>
  <c r="G12540" i="1"/>
  <c r="H12540" i="1"/>
  <c r="I12540" i="1"/>
  <c r="J12540" i="1"/>
  <c r="K12540" i="1"/>
  <c r="L12540" i="1"/>
  <c r="A12541" i="1"/>
  <c r="B12541" i="1"/>
  <c r="C12541" i="1"/>
  <c r="D12541" i="1"/>
  <c r="E12541" i="1"/>
  <c r="F12541" i="1"/>
  <c r="G12541" i="1"/>
  <c r="H12541" i="1"/>
  <c r="I12541" i="1"/>
  <c r="J12541" i="1"/>
  <c r="K12541" i="1"/>
  <c r="L12541" i="1"/>
  <c r="A12542" i="1"/>
  <c r="B12542" i="1"/>
  <c r="C12542" i="1"/>
  <c r="D12542" i="1"/>
  <c r="E12542" i="1"/>
  <c r="F12542" i="1"/>
  <c r="G12542" i="1"/>
  <c r="H12542" i="1"/>
  <c r="I12542" i="1"/>
  <c r="J12542" i="1"/>
  <c r="K12542" i="1"/>
  <c r="L12542" i="1"/>
  <c r="A12543" i="1"/>
  <c r="B12543" i="1"/>
  <c r="C12543" i="1"/>
  <c r="D12543" i="1"/>
  <c r="E12543" i="1"/>
  <c r="F12543" i="1"/>
  <c r="G12543" i="1"/>
  <c r="H12543" i="1"/>
  <c r="I12543" i="1"/>
  <c r="J12543" i="1"/>
  <c r="K12543" i="1"/>
  <c r="L12543" i="1"/>
  <c r="A12544" i="1"/>
  <c r="B12544" i="1"/>
  <c r="C12544" i="1"/>
  <c r="D12544" i="1"/>
  <c r="E12544" i="1"/>
  <c r="F12544" i="1"/>
  <c r="G12544" i="1"/>
  <c r="H12544" i="1"/>
  <c r="I12544" i="1"/>
  <c r="J12544" i="1"/>
  <c r="K12544" i="1"/>
  <c r="L12544" i="1"/>
  <c r="A12545" i="1"/>
  <c r="B12545" i="1"/>
  <c r="C12545" i="1"/>
  <c r="D12545" i="1"/>
  <c r="E12545" i="1"/>
  <c r="F12545" i="1"/>
  <c r="G12545" i="1"/>
  <c r="H12545" i="1"/>
  <c r="I12545" i="1"/>
  <c r="J12545" i="1"/>
  <c r="K12545" i="1"/>
  <c r="L12545" i="1"/>
  <c r="A12546" i="1"/>
  <c r="B12546" i="1"/>
  <c r="C12546" i="1"/>
  <c r="D12546" i="1"/>
  <c r="E12546" i="1"/>
  <c r="F12546" i="1"/>
  <c r="G12546" i="1"/>
  <c r="H12546" i="1"/>
  <c r="I12546" i="1"/>
  <c r="J12546" i="1"/>
  <c r="K12546" i="1"/>
  <c r="L12546" i="1"/>
  <c r="A12547" i="1"/>
  <c r="B12547" i="1"/>
  <c r="C12547" i="1"/>
  <c r="D12547" i="1"/>
  <c r="E12547" i="1"/>
  <c r="F12547" i="1"/>
  <c r="G12547" i="1"/>
  <c r="H12547" i="1"/>
  <c r="I12547" i="1"/>
  <c r="J12547" i="1"/>
  <c r="K12547" i="1"/>
  <c r="L12547" i="1"/>
  <c r="A12548" i="1"/>
  <c r="B12548" i="1"/>
  <c r="C12548" i="1"/>
  <c r="D12548" i="1"/>
  <c r="E12548" i="1"/>
  <c r="F12548" i="1"/>
  <c r="G12548" i="1"/>
  <c r="H12548" i="1"/>
  <c r="I12548" i="1"/>
  <c r="J12548" i="1"/>
  <c r="K12548" i="1"/>
  <c r="L12548" i="1"/>
  <c r="A12549" i="1"/>
  <c r="B12549" i="1"/>
  <c r="C12549" i="1"/>
  <c r="D12549" i="1"/>
  <c r="E12549" i="1"/>
  <c r="F12549" i="1"/>
  <c r="G12549" i="1"/>
  <c r="H12549" i="1"/>
  <c r="I12549" i="1"/>
  <c r="J12549" i="1"/>
  <c r="K12549" i="1"/>
  <c r="L12549" i="1"/>
  <c r="A12550" i="1"/>
  <c r="B12550" i="1"/>
  <c r="C12550" i="1"/>
  <c r="D12550" i="1"/>
  <c r="E12550" i="1"/>
  <c r="F12550" i="1"/>
  <c r="G12550" i="1"/>
  <c r="H12550" i="1"/>
  <c r="I12550" i="1"/>
  <c r="J12550" i="1"/>
  <c r="K12550" i="1"/>
  <c r="L12550" i="1"/>
  <c r="A12551" i="1"/>
  <c r="B12551" i="1"/>
  <c r="C12551" i="1"/>
  <c r="D12551" i="1"/>
  <c r="E12551" i="1"/>
  <c r="F12551" i="1"/>
  <c r="G12551" i="1"/>
  <c r="H12551" i="1"/>
  <c r="I12551" i="1"/>
  <c r="J12551" i="1"/>
  <c r="K12551" i="1"/>
  <c r="L12551" i="1"/>
  <c r="A12552" i="1"/>
  <c r="B12552" i="1"/>
  <c r="C12552" i="1"/>
  <c r="D12552" i="1"/>
  <c r="E12552" i="1"/>
  <c r="F12552" i="1"/>
  <c r="G12552" i="1"/>
  <c r="H12552" i="1"/>
  <c r="I12552" i="1"/>
  <c r="J12552" i="1"/>
  <c r="K12552" i="1"/>
  <c r="L12552" i="1"/>
  <c r="A12553" i="1"/>
  <c r="B12553" i="1"/>
  <c r="C12553" i="1"/>
  <c r="D12553" i="1"/>
  <c r="E12553" i="1"/>
  <c r="F12553" i="1"/>
  <c r="G12553" i="1"/>
  <c r="H12553" i="1"/>
  <c r="I12553" i="1"/>
  <c r="J12553" i="1"/>
  <c r="K12553" i="1"/>
  <c r="L12553" i="1"/>
  <c r="A12554" i="1"/>
  <c r="B12554" i="1"/>
  <c r="C12554" i="1"/>
  <c r="D12554" i="1"/>
  <c r="E12554" i="1"/>
  <c r="F12554" i="1"/>
  <c r="G12554" i="1"/>
  <c r="H12554" i="1"/>
  <c r="I12554" i="1"/>
  <c r="J12554" i="1"/>
  <c r="K12554" i="1"/>
  <c r="L12554" i="1"/>
  <c r="A12555" i="1"/>
  <c r="B12555" i="1"/>
  <c r="C12555" i="1"/>
  <c r="D12555" i="1"/>
  <c r="E12555" i="1"/>
  <c r="F12555" i="1"/>
  <c r="G12555" i="1"/>
  <c r="H12555" i="1"/>
  <c r="I12555" i="1"/>
  <c r="J12555" i="1"/>
  <c r="K12555" i="1"/>
  <c r="L12555" i="1"/>
  <c r="A12556" i="1"/>
  <c r="B12556" i="1"/>
  <c r="C12556" i="1"/>
  <c r="D12556" i="1"/>
  <c r="E12556" i="1"/>
  <c r="F12556" i="1"/>
  <c r="G12556" i="1"/>
  <c r="H12556" i="1"/>
  <c r="I12556" i="1"/>
  <c r="J12556" i="1"/>
  <c r="K12556" i="1"/>
  <c r="L12556" i="1"/>
  <c r="A12557" i="1"/>
  <c r="B12557" i="1"/>
  <c r="C12557" i="1"/>
  <c r="D12557" i="1"/>
  <c r="E12557" i="1"/>
  <c r="F12557" i="1"/>
  <c r="G12557" i="1"/>
  <c r="H12557" i="1"/>
  <c r="I12557" i="1"/>
  <c r="J12557" i="1"/>
  <c r="K12557" i="1"/>
  <c r="L12557" i="1"/>
  <c r="A12558" i="1"/>
  <c r="B12558" i="1"/>
  <c r="C12558" i="1"/>
  <c r="D12558" i="1"/>
  <c r="E12558" i="1"/>
  <c r="F12558" i="1"/>
  <c r="G12558" i="1"/>
  <c r="H12558" i="1"/>
  <c r="I12558" i="1"/>
  <c r="J12558" i="1"/>
  <c r="K12558" i="1"/>
  <c r="L12558" i="1"/>
  <c r="A12559" i="1"/>
  <c r="B12559" i="1"/>
  <c r="C12559" i="1"/>
  <c r="D12559" i="1"/>
  <c r="E12559" i="1"/>
  <c r="F12559" i="1"/>
  <c r="G12559" i="1"/>
  <c r="H12559" i="1"/>
  <c r="I12559" i="1"/>
  <c r="J12559" i="1"/>
  <c r="K12559" i="1"/>
  <c r="L12559" i="1"/>
  <c r="A12560" i="1"/>
  <c r="B12560" i="1"/>
  <c r="C12560" i="1"/>
  <c r="D12560" i="1"/>
  <c r="E12560" i="1"/>
  <c r="F12560" i="1"/>
  <c r="G12560" i="1"/>
  <c r="H12560" i="1"/>
  <c r="I12560" i="1"/>
  <c r="J12560" i="1"/>
  <c r="K12560" i="1"/>
  <c r="L12560" i="1"/>
  <c r="A12561" i="1"/>
  <c r="B12561" i="1"/>
  <c r="C12561" i="1"/>
  <c r="D12561" i="1"/>
  <c r="E12561" i="1"/>
  <c r="F12561" i="1"/>
  <c r="G12561" i="1"/>
  <c r="H12561" i="1"/>
  <c r="I12561" i="1"/>
  <c r="J12561" i="1"/>
  <c r="K12561" i="1"/>
  <c r="L12561" i="1"/>
  <c r="A12562" i="1"/>
  <c r="B12562" i="1"/>
  <c r="C12562" i="1"/>
  <c r="D12562" i="1"/>
  <c r="E12562" i="1"/>
  <c r="F12562" i="1"/>
  <c r="G12562" i="1"/>
  <c r="H12562" i="1"/>
  <c r="I12562" i="1"/>
  <c r="J12562" i="1"/>
  <c r="K12562" i="1"/>
  <c r="L12562" i="1"/>
  <c r="A12563" i="1"/>
  <c r="B12563" i="1"/>
  <c r="C12563" i="1"/>
  <c r="D12563" i="1"/>
  <c r="E12563" i="1"/>
  <c r="F12563" i="1"/>
  <c r="G12563" i="1"/>
  <c r="H12563" i="1"/>
  <c r="I12563" i="1"/>
  <c r="J12563" i="1"/>
  <c r="K12563" i="1"/>
  <c r="L12563" i="1"/>
  <c r="A12564" i="1"/>
  <c r="B12564" i="1"/>
  <c r="C12564" i="1"/>
  <c r="D12564" i="1"/>
  <c r="E12564" i="1"/>
  <c r="F12564" i="1"/>
  <c r="G12564" i="1"/>
  <c r="H12564" i="1"/>
  <c r="I12564" i="1"/>
  <c r="J12564" i="1"/>
  <c r="K12564" i="1"/>
  <c r="L12564" i="1"/>
  <c r="A12565" i="1"/>
  <c r="B12565" i="1"/>
  <c r="C12565" i="1"/>
  <c r="D12565" i="1"/>
  <c r="E12565" i="1"/>
  <c r="F12565" i="1"/>
  <c r="G12565" i="1"/>
  <c r="H12565" i="1"/>
  <c r="I12565" i="1"/>
  <c r="J12565" i="1"/>
  <c r="K12565" i="1"/>
  <c r="L12565" i="1"/>
  <c r="A12566" i="1"/>
  <c r="B12566" i="1"/>
  <c r="C12566" i="1"/>
  <c r="D12566" i="1"/>
  <c r="E12566" i="1"/>
  <c r="F12566" i="1"/>
  <c r="G12566" i="1"/>
  <c r="H12566" i="1"/>
  <c r="I12566" i="1"/>
  <c r="J12566" i="1"/>
  <c r="K12566" i="1"/>
  <c r="L12566" i="1"/>
  <c r="A12567" i="1"/>
  <c r="B12567" i="1"/>
  <c r="C12567" i="1"/>
  <c r="D12567" i="1"/>
  <c r="E12567" i="1"/>
  <c r="F12567" i="1"/>
  <c r="G12567" i="1"/>
  <c r="H12567" i="1"/>
  <c r="I12567" i="1"/>
  <c r="J12567" i="1"/>
  <c r="K12567" i="1"/>
  <c r="L12567" i="1"/>
  <c r="A12568" i="1"/>
  <c r="B12568" i="1"/>
  <c r="C12568" i="1"/>
  <c r="D12568" i="1"/>
  <c r="E12568" i="1"/>
  <c r="F12568" i="1"/>
  <c r="G12568" i="1"/>
  <c r="H12568" i="1"/>
  <c r="I12568" i="1"/>
  <c r="J12568" i="1"/>
  <c r="K12568" i="1"/>
  <c r="L12568" i="1"/>
  <c r="A12569" i="1"/>
  <c r="B12569" i="1"/>
  <c r="C12569" i="1"/>
  <c r="D12569" i="1"/>
  <c r="E12569" i="1"/>
  <c r="F12569" i="1"/>
  <c r="G12569" i="1"/>
  <c r="H12569" i="1"/>
  <c r="I12569" i="1"/>
  <c r="J12569" i="1"/>
  <c r="K12569" i="1"/>
  <c r="L12569" i="1"/>
  <c r="A12570" i="1"/>
  <c r="B12570" i="1"/>
  <c r="C12570" i="1"/>
  <c r="D12570" i="1"/>
  <c r="E12570" i="1"/>
  <c r="F12570" i="1"/>
  <c r="G12570" i="1"/>
  <c r="H12570" i="1"/>
  <c r="I12570" i="1"/>
  <c r="J12570" i="1"/>
  <c r="K12570" i="1"/>
  <c r="L12570" i="1"/>
  <c r="A12571" i="1"/>
  <c r="B12571" i="1"/>
  <c r="C12571" i="1"/>
  <c r="D12571" i="1"/>
  <c r="E12571" i="1"/>
  <c r="F12571" i="1"/>
  <c r="G12571" i="1"/>
  <c r="H12571" i="1"/>
  <c r="I12571" i="1"/>
  <c r="J12571" i="1"/>
  <c r="K12571" i="1"/>
  <c r="L12571" i="1"/>
  <c r="A12572" i="1"/>
  <c r="B12572" i="1"/>
  <c r="C12572" i="1"/>
  <c r="D12572" i="1"/>
  <c r="E12572" i="1"/>
  <c r="F12572" i="1"/>
  <c r="G12572" i="1"/>
  <c r="H12572" i="1"/>
  <c r="I12572" i="1"/>
  <c r="J12572" i="1"/>
  <c r="K12572" i="1"/>
  <c r="L12572" i="1"/>
  <c r="A12573" i="1"/>
  <c r="B12573" i="1"/>
  <c r="C12573" i="1"/>
  <c r="D12573" i="1"/>
  <c r="E12573" i="1"/>
  <c r="F12573" i="1"/>
  <c r="G12573" i="1"/>
  <c r="H12573" i="1"/>
  <c r="I12573" i="1"/>
  <c r="J12573" i="1"/>
  <c r="K12573" i="1"/>
  <c r="L12573" i="1"/>
  <c r="A12574" i="1"/>
  <c r="B12574" i="1"/>
  <c r="C12574" i="1"/>
  <c r="D12574" i="1"/>
  <c r="E12574" i="1"/>
  <c r="F12574" i="1"/>
  <c r="G12574" i="1"/>
  <c r="H12574" i="1"/>
  <c r="I12574" i="1"/>
  <c r="J12574" i="1"/>
  <c r="K12574" i="1"/>
  <c r="L12574" i="1"/>
  <c r="A12575" i="1"/>
  <c r="B12575" i="1"/>
  <c r="C12575" i="1"/>
  <c r="D12575" i="1"/>
  <c r="E12575" i="1"/>
  <c r="F12575" i="1"/>
  <c r="G12575" i="1"/>
  <c r="H12575" i="1"/>
  <c r="I12575" i="1"/>
  <c r="J12575" i="1"/>
  <c r="K12575" i="1"/>
  <c r="L12575" i="1"/>
  <c r="A12576" i="1"/>
  <c r="B12576" i="1"/>
  <c r="C12576" i="1"/>
  <c r="D12576" i="1"/>
  <c r="E12576" i="1"/>
  <c r="F12576" i="1"/>
  <c r="G12576" i="1"/>
  <c r="H12576" i="1"/>
  <c r="I12576" i="1"/>
  <c r="J12576" i="1"/>
  <c r="K12576" i="1"/>
  <c r="L12576" i="1"/>
  <c r="A12577" i="1"/>
  <c r="B12577" i="1"/>
  <c r="C12577" i="1"/>
  <c r="D12577" i="1"/>
  <c r="E12577" i="1"/>
  <c r="F12577" i="1"/>
  <c r="G12577" i="1"/>
  <c r="H12577" i="1"/>
  <c r="I12577" i="1"/>
  <c r="J12577" i="1"/>
  <c r="K12577" i="1"/>
  <c r="L12577" i="1"/>
  <c r="A12578" i="1"/>
  <c r="B12578" i="1"/>
  <c r="C12578" i="1"/>
  <c r="D12578" i="1"/>
  <c r="E12578" i="1"/>
  <c r="F12578" i="1"/>
  <c r="G12578" i="1"/>
  <c r="H12578" i="1"/>
  <c r="I12578" i="1"/>
  <c r="J12578" i="1"/>
  <c r="K12578" i="1"/>
  <c r="L12578" i="1"/>
  <c r="A12579" i="1"/>
  <c r="B12579" i="1"/>
  <c r="C12579" i="1"/>
  <c r="D12579" i="1"/>
  <c r="E12579" i="1"/>
  <c r="F12579" i="1"/>
  <c r="G12579" i="1"/>
  <c r="H12579" i="1"/>
  <c r="I12579" i="1"/>
  <c r="J12579" i="1"/>
  <c r="K12579" i="1"/>
  <c r="L12579" i="1"/>
  <c r="A12580" i="1"/>
  <c r="B12580" i="1"/>
  <c r="C12580" i="1"/>
  <c r="D12580" i="1"/>
  <c r="E12580" i="1"/>
  <c r="F12580" i="1"/>
  <c r="G12580" i="1"/>
  <c r="H12580" i="1"/>
  <c r="I12580" i="1"/>
  <c r="J12580" i="1"/>
  <c r="K12580" i="1"/>
  <c r="L12580" i="1"/>
  <c r="A12581" i="1"/>
  <c r="B12581" i="1"/>
  <c r="C12581" i="1"/>
  <c r="D12581" i="1"/>
  <c r="E12581" i="1"/>
  <c r="F12581" i="1"/>
  <c r="G12581" i="1"/>
  <c r="H12581" i="1"/>
  <c r="I12581" i="1"/>
  <c r="J12581" i="1"/>
  <c r="K12581" i="1"/>
  <c r="L12581" i="1"/>
  <c r="A12582" i="1"/>
  <c r="B12582" i="1"/>
  <c r="C12582" i="1"/>
  <c r="D12582" i="1"/>
  <c r="E12582" i="1"/>
  <c r="F12582" i="1"/>
  <c r="G12582" i="1"/>
  <c r="H12582" i="1"/>
  <c r="I12582" i="1"/>
  <c r="J12582" i="1"/>
  <c r="K12582" i="1"/>
  <c r="L12582" i="1"/>
  <c r="A12583" i="1"/>
  <c r="B12583" i="1"/>
  <c r="C12583" i="1"/>
  <c r="D12583" i="1"/>
  <c r="E12583" i="1"/>
  <c r="F12583" i="1"/>
  <c r="G12583" i="1"/>
  <c r="H12583" i="1"/>
  <c r="I12583" i="1"/>
  <c r="J12583" i="1"/>
  <c r="K12583" i="1"/>
  <c r="L12583" i="1"/>
  <c r="A12584" i="1"/>
  <c r="B12584" i="1"/>
  <c r="C12584" i="1"/>
  <c r="D12584" i="1"/>
  <c r="E12584" i="1"/>
  <c r="F12584" i="1"/>
  <c r="G12584" i="1"/>
  <c r="H12584" i="1"/>
  <c r="I12584" i="1"/>
  <c r="J12584" i="1"/>
  <c r="K12584" i="1"/>
  <c r="L12584" i="1"/>
  <c r="A12585" i="1"/>
  <c r="B12585" i="1"/>
  <c r="C12585" i="1"/>
  <c r="D12585" i="1"/>
  <c r="E12585" i="1"/>
  <c r="F12585" i="1"/>
  <c r="G12585" i="1"/>
  <c r="H12585" i="1"/>
  <c r="I12585" i="1"/>
  <c r="J12585" i="1"/>
  <c r="K12585" i="1"/>
  <c r="L12585" i="1"/>
  <c r="A12586" i="1"/>
  <c r="B12586" i="1"/>
  <c r="C12586" i="1"/>
  <c r="D12586" i="1"/>
  <c r="E12586" i="1"/>
  <c r="F12586" i="1"/>
  <c r="G12586" i="1"/>
  <c r="H12586" i="1"/>
  <c r="I12586" i="1"/>
  <c r="J12586" i="1"/>
  <c r="K12586" i="1"/>
  <c r="L12586" i="1"/>
  <c r="A12587" i="1"/>
  <c r="B12587" i="1"/>
  <c r="C12587" i="1"/>
  <c r="D12587" i="1"/>
  <c r="E12587" i="1"/>
  <c r="F12587" i="1"/>
  <c r="G12587" i="1"/>
  <c r="H12587" i="1"/>
  <c r="I12587" i="1"/>
  <c r="J12587" i="1"/>
  <c r="K12587" i="1"/>
  <c r="L12587" i="1"/>
  <c r="A12588" i="1"/>
  <c r="B12588" i="1"/>
  <c r="C12588" i="1"/>
  <c r="D12588" i="1"/>
  <c r="E12588" i="1"/>
  <c r="F12588" i="1"/>
  <c r="G12588" i="1"/>
  <c r="H12588" i="1"/>
  <c r="I12588" i="1"/>
  <c r="J12588" i="1"/>
  <c r="K12588" i="1"/>
  <c r="L12588" i="1"/>
  <c r="A12589" i="1"/>
  <c r="B12589" i="1"/>
  <c r="C12589" i="1"/>
  <c r="D12589" i="1"/>
  <c r="E12589" i="1"/>
  <c r="F12589" i="1"/>
  <c r="G12589" i="1"/>
  <c r="H12589" i="1"/>
  <c r="I12589" i="1"/>
  <c r="J12589" i="1"/>
  <c r="K12589" i="1"/>
  <c r="L12589" i="1"/>
  <c r="A12590" i="1"/>
  <c r="B12590" i="1"/>
  <c r="C12590" i="1"/>
  <c r="D12590" i="1"/>
  <c r="E12590" i="1"/>
  <c r="F12590" i="1"/>
  <c r="G12590" i="1"/>
  <c r="H12590" i="1"/>
  <c r="I12590" i="1"/>
  <c r="J12590" i="1"/>
  <c r="K12590" i="1"/>
  <c r="L12590" i="1"/>
  <c r="A12591" i="1"/>
  <c r="B12591" i="1"/>
  <c r="C12591" i="1"/>
  <c r="D12591" i="1"/>
  <c r="E12591" i="1"/>
  <c r="F12591" i="1"/>
  <c r="G12591" i="1"/>
  <c r="H12591" i="1"/>
  <c r="I12591" i="1"/>
  <c r="J12591" i="1"/>
  <c r="K12591" i="1"/>
  <c r="L12591" i="1"/>
  <c r="A12592" i="1"/>
  <c r="B12592" i="1"/>
  <c r="C12592" i="1"/>
  <c r="D12592" i="1"/>
  <c r="E12592" i="1"/>
  <c r="F12592" i="1"/>
  <c r="G12592" i="1"/>
  <c r="H12592" i="1"/>
  <c r="I12592" i="1"/>
  <c r="J12592" i="1"/>
  <c r="K12592" i="1"/>
  <c r="L12592" i="1"/>
  <c r="A12593" i="1"/>
  <c r="B12593" i="1"/>
  <c r="C12593" i="1"/>
  <c r="D12593" i="1"/>
  <c r="E12593" i="1"/>
  <c r="F12593" i="1"/>
  <c r="G12593" i="1"/>
  <c r="H12593" i="1"/>
  <c r="I12593" i="1"/>
  <c r="J12593" i="1"/>
  <c r="K12593" i="1"/>
  <c r="L12593" i="1"/>
  <c r="A12594" i="1"/>
  <c r="B12594" i="1"/>
  <c r="C12594" i="1"/>
  <c r="D12594" i="1"/>
  <c r="E12594" i="1"/>
  <c r="F12594" i="1"/>
  <c r="G12594" i="1"/>
  <c r="H12594" i="1"/>
  <c r="I12594" i="1"/>
  <c r="J12594" i="1"/>
  <c r="K12594" i="1"/>
  <c r="L12594" i="1"/>
  <c r="A12595" i="1"/>
  <c r="B12595" i="1"/>
  <c r="C12595" i="1"/>
  <c r="D12595" i="1"/>
  <c r="E12595" i="1"/>
  <c r="F12595" i="1"/>
  <c r="G12595" i="1"/>
  <c r="H12595" i="1"/>
  <c r="I12595" i="1"/>
  <c r="J12595" i="1"/>
  <c r="K12595" i="1"/>
  <c r="L12595" i="1"/>
  <c r="A12596" i="1"/>
  <c r="B12596" i="1"/>
  <c r="C12596" i="1"/>
  <c r="D12596" i="1"/>
  <c r="E12596" i="1"/>
  <c r="F12596" i="1"/>
  <c r="G12596" i="1"/>
  <c r="H12596" i="1"/>
  <c r="I12596" i="1"/>
  <c r="J12596" i="1"/>
  <c r="K12596" i="1"/>
  <c r="L12596" i="1"/>
  <c r="A12597" i="1"/>
  <c r="B12597" i="1"/>
  <c r="C12597" i="1"/>
  <c r="D12597" i="1"/>
  <c r="E12597" i="1"/>
  <c r="F12597" i="1"/>
  <c r="G12597" i="1"/>
  <c r="H12597" i="1"/>
  <c r="I12597" i="1"/>
  <c r="J12597" i="1"/>
  <c r="K12597" i="1"/>
  <c r="L12597" i="1"/>
  <c r="A12598" i="1"/>
  <c r="B12598" i="1"/>
  <c r="C12598" i="1"/>
  <c r="D12598" i="1"/>
  <c r="E12598" i="1"/>
  <c r="F12598" i="1"/>
  <c r="G12598" i="1"/>
  <c r="H12598" i="1"/>
  <c r="I12598" i="1"/>
  <c r="J12598" i="1"/>
  <c r="K12598" i="1"/>
  <c r="L12598" i="1"/>
  <c r="A12599" i="1"/>
  <c r="B12599" i="1"/>
  <c r="C12599" i="1"/>
  <c r="D12599" i="1"/>
  <c r="E12599" i="1"/>
  <c r="F12599" i="1"/>
  <c r="G12599" i="1"/>
  <c r="H12599" i="1"/>
  <c r="I12599" i="1"/>
  <c r="J12599" i="1"/>
  <c r="K12599" i="1"/>
  <c r="L12599" i="1"/>
  <c r="A12600" i="1"/>
  <c r="B12600" i="1"/>
  <c r="C12600" i="1"/>
  <c r="D12600" i="1"/>
  <c r="E12600" i="1"/>
  <c r="F12600" i="1"/>
  <c r="G12600" i="1"/>
  <c r="H12600" i="1"/>
  <c r="I12600" i="1"/>
  <c r="J12600" i="1"/>
  <c r="K12600" i="1"/>
  <c r="L12600" i="1"/>
  <c r="A12601" i="1"/>
  <c r="B12601" i="1"/>
  <c r="C12601" i="1"/>
  <c r="D12601" i="1"/>
  <c r="E12601" i="1"/>
  <c r="F12601" i="1"/>
  <c r="G12601" i="1"/>
  <c r="H12601" i="1"/>
  <c r="I12601" i="1"/>
  <c r="J12601" i="1"/>
  <c r="K12601" i="1"/>
  <c r="L12601" i="1"/>
  <c r="A12602" i="1"/>
  <c r="B12602" i="1"/>
  <c r="C12602" i="1"/>
  <c r="D12602" i="1"/>
  <c r="E12602" i="1"/>
  <c r="F12602" i="1"/>
  <c r="G12602" i="1"/>
  <c r="H12602" i="1"/>
  <c r="I12602" i="1"/>
  <c r="J12602" i="1"/>
  <c r="K12602" i="1"/>
  <c r="L12602" i="1"/>
  <c r="A12603" i="1"/>
  <c r="B12603" i="1"/>
  <c r="C12603" i="1"/>
  <c r="D12603" i="1"/>
  <c r="E12603" i="1"/>
  <c r="F12603" i="1"/>
  <c r="G12603" i="1"/>
  <c r="H12603" i="1"/>
  <c r="I12603" i="1"/>
  <c r="J12603" i="1"/>
  <c r="K12603" i="1"/>
  <c r="L12603" i="1"/>
  <c r="A12604" i="1"/>
  <c r="B12604" i="1"/>
  <c r="C12604" i="1"/>
  <c r="D12604" i="1"/>
  <c r="E12604" i="1"/>
  <c r="F12604" i="1"/>
  <c r="G12604" i="1"/>
  <c r="H12604" i="1"/>
  <c r="I12604" i="1"/>
  <c r="J12604" i="1"/>
  <c r="K12604" i="1"/>
  <c r="L12604" i="1"/>
  <c r="A12605" i="1"/>
  <c r="B12605" i="1"/>
  <c r="C12605" i="1"/>
  <c r="D12605" i="1"/>
  <c r="E12605" i="1"/>
  <c r="F12605" i="1"/>
  <c r="G12605" i="1"/>
  <c r="H12605" i="1"/>
  <c r="I12605" i="1"/>
  <c r="J12605" i="1"/>
  <c r="K12605" i="1"/>
  <c r="L12605" i="1"/>
  <c r="A12606" i="1"/>
  <c r="B12606" i="1"/>
  <c r="C12606" i="1"/>
  <c r="D12606" i="1"/>
  <c r="E12606" i="1"/>
  <c r="F12606" i="1"/>
  <c r="G12606" i="1"/>
  <c r="H12606" i="1"/>
  <c r="I12606" i="1"/>
  <c r="J12606" i="1"/>
  <c r="K12606" i="1"/>
  <c r="L12606" i="1"/>
  <c r="A12607" i="1"/>
  <c r="B12607" i="1"/>
  <c r="C12607" i="1"/>
  <c r="D12607" i="1"/>
  <c r="E12607" i="1"/>
  <c r="F12607" i="1"/>
  <c r="G12607" i="1"/>
  <c r="H12607" i="1"/>
  <c r="I12607" i="1"/>
  <c r="J12607" i="1"/>
  <c r="K12607" i="1"/>
  <c r="L12607" i="1"/>
  <c r="A12608" i="1"/>
  <c r="B12608" i="1"/>
  <c r="C12608" i="1"/>
  <c r="D12608" i="1"/>
  <c r="E12608" i="1"/>
  <c r="F12608" i="1"/>
  <c r="G12608" i="1"/>
  <c r="H12608" i="1"/>
  <c r="I12608" i="1"/>
  <c r="J12608" i="1"/>
  <c r="K12608" i="1"/>
  <c r="L12608" i="1"/>
  <c r="A12609" i="1"/>
  <c r="B12609" i="1"/>
  <c r="C12609" i="1"/>
  <c r="D12609" i="1"/>
  <c r="E12609" i="1"/>
  <c r="F12609" i="1"/>
  <c r="G12609" i="1"/>
  <c r="H12609" i="1"/>
  <c r="I12609" i="1"/>
  <c r="J12609" i="1"/>
  <c r="K12609" i="1"/>
  <c r="L12609" i="1"/>
  <c r="A12610" i="1"/>
  <c r="B12610" i="1"/>
  <c r="C12610" i="1"/>
  <c r="D12610" i="1"/>
  <c r="E12610" i="1"/>
  <c r="F12610" i="1"/>
  <c r="G12610" i="1"/>
  <c r="H12610" i="1"/>
  <c r="I12610" i="1"/>
  <c r="J12610" i="1"/>
  <c r="K12610" i="1"/>
  <c r="L12610" i="1"/>
  <c r="A12611" i="1"/>
  <c r="B12611" i="1"/>
  <c r="C12611" i="1"/>
  <c r="D12611" i="1"/>
  <c r="E12611" i="1"/>
  <c r="F12611" i="1"/>
  <c r="G12611" i="1"/>
  <c r="H12611" i="1"/>
  <c r="I12611" i="1"/>
  <c r="J12611" i="1"/>
  <c r="K12611" i="1"/>
  <c r="L12611" i="1"/>
  <c r="A12612" i="1"/>
  <c r="B12612" i="1"/>
  <c r="C12612" i="1"/>
  <c r="D12612" i="1"/>
  <c r="E12612" i="1"/>
  <c r="F12612" i="1"/>
  <c r="G12612" i="1"/>
  <c r="H12612" i="1"/>
  <c r="I12612" i="1"/>
  <c r="J12612" i="1"/>
  <c r="K12612" i="1"/>
  <c r="L12612" i="1"/>
  <c r="A12613" i="1"/>
  <c r="B12613" i="1"/>
  <c r="C12613" i="1"/>
  <c r="D12613" i="1"/>
  <c r="E12613" i="1"/>
  <c r="F12613" i="1"/>
  <c r="G12613" i="1"/>
  <c r="H12613" i="1"/>
  <c r="I12613" i="1"/>
  <c r="J12613" i="1"/>
  <c r="K12613" i="1"/>
  <c r="L12613" i="1"/>
  <c r="A12614" i="1"/>
  <c r="B12614" i="1"/>
  <c r="C12614" i="1"/>
  <c r="D12614" i="1"/>
  <c r="E12614" i="1"/>
  <c r="F12614" i="1"/>
  <c r="G12614" i="1"/>
  <c r="H12614" i="1"/>
  <c r="I12614" i="1"/>
  <c r="J12614" i="1"/>
  <c r="K12614" i="1"/>
  <c r="L12614" i="1"/>
  <c r="A12615" i="1"/>
  <c r="B12615" i="1"/>
  <c r="C12615" i="1"/>
  <c r="D12615" i="1"/>
  <c r="E12615" i="1"/>
  <c r="F12615" i="1"/>
  <c r="G12615" i="1"/>
  <c r="H12615" i="1"/>
  <c r="I12615" i="1"/>
  <c r="J12615" i="1"/>
  <c r="K12615" i="1"/>
  <c r="L12615" i="1"/>
  <c r="A12616" i="1"/>
  <c r="B12616" i="1"/>
  <c r="C12616" i="1"/>
  <c r="D12616" i="1"/>
  <c r="E12616" i="1"/>
  <c r="F12616" i="1"/>
  <c r="G12616" i="1"/>
  <c r="H12616" i="1"/>
  <c r="I12616" i="1"/>
  <c r="J12616" i="1"/>
  <c r="K12616" i="1"/>
  <c r="L12616" i="1"/>
  <c r="A12617" i="1"/>
  <c r="B12617" i="1"/>
  <c r="C12617" i="1"/>
  <c r="D12617" i="1"/>
  <c r="E12617" i="1"/>
  <c r="F12617" i="1"/>
  <c r="G12617" i="1"/>
  <c r="H12617" i="1"/>
  <c r="I12617" i="1"/>
  <c r="J12617" i="1"/>
  <c r="K12617" i="1"/>
  <c r="L12617" i="1"/>
  <c r="A12618" i="1"/>
  <c r="B12618" i="1"/>
  <c r="C12618" i="1"/>
  <c r="D12618" i="1"/>
  <c r="E12618" i="1"/>
  <c r="F12618" i="1"/>
  <c r="G12618" i="1"/>
  <c r="H12618" i="1"/>
  <c r="I12618" i="1"/>
  <c r="J12618" i="1"/>
  <c r="K12618" i="1"/>
  <c r="L12618" i="1"/>
  <c r="A12619" i="1"/>
  <c r="B12619" i="1"/>
  <c r="C12619" i="1"/>
  <c r="D12619" i="1"/>
  <c r="E12619" i="1"/>
  <c r="F12619" i="1"/>
  <c r="G12619" i="1"/>
  <c r="H12619" i="1"/>
  <c r="I12619" i="1"/>
  <c r="J12619" i="1"/>
  <c r="K12619" i="1"/>
  <c r="L12619" i="1"/>
  <c r="A12620" i="1"/>
  <c r="B12620" i="1"/>
  <c r="C12620" i="1"/>
  <c r="D12620" i="1"/>
  <c r="E12620" i="1"/>
  <c r="F12620" i="1"/>
  <c r="G12620" i="1"/>
  <c r="H12620" i="1"/>
  <c r="I12620" i="1"/>
  <c r="J12620" i="1"/>
  <c r="K12620" i="1"/>
  <c r="L12620" i="1"/>
  <c r="A12621" i="1"/>
  <c r="B12621" i="1"/>
  <c r="C12621" i="1"/>
  <c r="D12621" i="1"/>
  <c r="E12621" i="1"/>
  <c r="F12621" i="1"/>
  <c r="G12621" i="1"/>
  <c r="H12621" i="1"/>
  <c r="I12621" i="1"/>
  <c r="J12621" i="1"/>
  <c r="K12621" i="1"/>
  <c r="L12621" i="1"/>
  <c r="A12622" i="1"/>
  <c r="B12622" i="1"/>
  <c r="C12622" i="1"/>
  <c r="D12622" i="1"/>
  <c r="E12622" i="1"/>
  <c r="F12622" i="1"/>
  <c r="G12622" i="1"/>
  <c r="H12622" i="1"/>
  <c r="I12622" i="1"/>
  <c r="J12622" i="1"/>
  <c r="K12622" i="1"/>
  <c r="L12622" i="1"/>
  <c r="A12623" i="1"/>
  <c r="B12623" i="1"/>
  <c r="C12623" i="1"/>
  <c r="D12623" i="1"/>
  <c r="E12623" i="1"/>
  <c r="F12623" i="1"/>
  <c r="G12623" i="1"/>
  <c r="H12623" i="1"/>
  <c r="I12623" i="1"/>
  <c r="J12623" i="1"/>
  <c r="K12623" i="1"/>
  <c r="L12623" i="1"/>
  <c r="A12624" i="1"/>
  <c r="B12624" i="1"/>
  <c r="C12624" i="1"/>
  <c r="D12624" i="1"/>
  <c r="E12624" i="1"/>
  <c r="F12624" i="1"/>
  <c r="G12624" i="1"/>
  <c r="H12624" i="1"/>
  <c r="I12624" i="1"/>
  <c r="J12624" i="1"/>
  <c r="K12624" i="1"/>
  <c r="L12624" i="1"/>
  <c r="A12625" i="1"/>
  <c r="B12625" i="1"/>
  <c r="C12625" i="1"/>
  <c r="D12625" i="1"/>
  <c r="E12625" i="1"/>
  <c r="F12625" i="1"/>
  <c r="G12625" i="1"/>
  <c r="H12625" i="1"/>
  <c r="I12625" i="1"/>
  <c r="J12625" i="1"/>
  <c r="K12625" i="1"/>
  <c r="L12625" i="1"/>
  <c r="A12626" i="1"/>
  <c r="B12626" i="1"/>
  <c r="C12626" i="1"/>
  <c r="D12626" i="1"/>
  <c r="E12626" i="1"/>
  <c r="F12626" i="1"/>
  <c r="G12626" i="1"/>
  <c r="H12626" i="1"/>
  <c r="I12626" i="1"/>
  <c r="J12626" i="1"/>
  <c r="K12626" i="1"/>
  <c r="L12626" i="1"/>
  <c r="A12627" i="1"/>
  <c r="B12627" i="1"/>
  <c r="C12627" i="1"/>
  <c r="D12627" i="1"/>
  <c r="E12627" i="1"/>
  <c r="F12627" i="1"/>
  <c r="G12627" i="1"/>
  <c r="H12627" i="1"/>
  <c r="I12627" i="1"/>
  <c r="J12627" i="1"/>
  <c r="K12627" i="1"/>
  <c r="L12627" i="1"/>
  <c r="A12628" i="1"/>
  <c r="B12628" i="1"/>
  <c r="C12628" i="1"/>
  <c r="D12628" i="1"/>
  <c r="E12628" i="1"/>
  <c r="F12628" i="1"/>
  <c r="G12628" i="1"/>
  <c r="H12628" i="1"/>
  <c r="I12628" i="1"/>
  <c r="J12628" i="1"/>
  <c r="K12628" i="1"/>
  <c r="L12628" i="1"/>
  <c r="A12629" i="1"/>
  <c r="B12629" i="1"/>
  <c r="C12629" i="1"/>
  <c r="D12629" i="1"/>
  <c r="E12629" i="1"/>
  <c r="F12629" i="1"/>
  <c r="G12629" i="1"/>
  <c r="H12629" i="1"/>
  <c r="I12629" i="1"/>
  <c r="J12629" i="1"/>
  <c r="K12629" i="1"/>
  <c r="L12629" i="1"/>
  <c r="A12630" i="1"/>
  <c r="B12630" i="1"/>
  <c r="C12630" i="1"/>
  <c r="D12630" i="1"/>
  <c r="E12630" i="1"/>
  <c r="F12630" i="1"/>
  <c r="G12630" i="1"/>
  <c r="H12630" i="1"/>
  <c r="I12630" i="1"/>
  <c r="J12630" i="1"/>
  <c r="K12630" i="1"/>
  <c r="L12630" i="1"/>
  <c r="A12631" i="1"/>
  <c r="B12631" i="1"/>
  <c r="C12631" i="1"/>
  <c r="D12631" i="1"/>
  <c r="E12631" i="1"/>
  <c r="F12631" i="1"/>
  <c r="G12631" i="1"/>
  <c r="H12631" i="1"/>
  <c r="I12631" i="1"/>
  <c r="J12631" i="1"/>
  <c r="K12631" i="1"/>
  <c r="L12631" i="1"/>
  <c r="A12632" i="1"/>
  <c r="B12632" i="1"/>
  <c r="C12632" i="1"/>
  <c r="D12632" i="1"/>
  <c r="E12632" i="1"/>
  <c r="F12632" i="1"/>
  <c r="G12632" i="1"/>
  <c r="H12632" i="1"/>
  <c r="I12632" i="1"/>
  <c r="J12632" i="1"/>
  <c r="K12632" i="1"/>
  <c r="L12632" i="1"/>
  <c r="A12633" i="1"/>
  <c r="B12633" i="1"/>
  <c r="C12633" i="1"/>
  <c r="D12633" i="1"/>
  <c r="E12633" i="1"/>
  <c r="F12633" i="1"/>
  <c r="G12633" i="1"/>
  <c r="H12633" i="1"/>
  <c r="I12633" i="1"/>
  <c r="J12633" i="1"/>
  <c r="K12633" i="1"/>
  <c r="L12633" i="1"/>
  <c r="A12634" i="1"/>
  <c r="B12634" i="1"/>
  <c r="C12634" i="1"/>
  <c r="D12634" i="1"/>
  <c r="E12634" i="1"/>
  <c r="F12634" i="1"/>
  <c r="G12634" i="1"/>
  <c r="H12634" i="1"/>
  <c r="I12634" i="1"/>
  <c r="J12634" i="1"/>
  <c r="K12634" i="1"/>
  <c r="L12634" i="1"/>
  <c r="A12635" i="1"/>
  <c r="B12635" i="1"/>
  <c r="C12635" i="1"/>
  <c r="D12635" i="1"/>
  <c r="E12635" i="1"/>
  <c r="F12635" i="1"/>
  <c r="G12635" i="1"/>
  <c r="H12635" i="1"/>
  <c r="I12635" i="1"/>
  <c r="J12635" i="1"/>
  <c r="K12635" i="1"/>
  <c r="L12635" i="1"/>
  <c r="A12636" i="1"/>
  <c r="B12636" i="1"/>
  <c r="C12636" i="1"/>
  <c r="D12636" i="1"/>
  <c r="E12636" i="1"/>
  <c r="F12636" i="1"/>
  <c r="G12636" i="1"/>
  <c r="H12636" i="1"/>
  <c r="I12636" i="1"/>
  <c r="J12636" i="1"/>
  <c r="K12636" i="1"/>
  <c r="L12636" i="1"/>
  <c r="A12637" i="1"/>
  <c r="B12637" i="1"/>
  <c r="C12637" i="1"/>
  <c r="D12637" i="1"/>
  <c r="E12637" i="1"/>
  <c r="F12637" i="1"/>
  <c r="G12637" i="1"/>
  <c r="H12637" i="1"/>
  <c r="I12637" i="1"/>
  <c r="J12637" i="1"/>
  <c r="K12637" i="1"/>
  <c r="L12637" i="1"/>
  <c r="A12638" i="1"/>
  <c r="B12638" i="1"/>
  <c r="C12638" i="1"/>
  <c r="D12638" i="1"/>
  <c r="E12638" i="1"/>
  <c r="F12638" i="1"/>
  <c r="G12638" i="1"/>
  <c r="H12638" i="1"/>
  <c r="I12638" i="1"/>
  <c r="J12638" i="1"/>
  <c r="K12638" i="1"/>
  <c r="L12638" i="1"/>
  <c r="A12639" i="1"/>
  <c r="B12639" i="1"/>
  <c r="C12639" i="1"/>
  <c r="D12639" i="1"/>
  <c r="E12639" i="1"/>
  <c r="F12639" i="1"/>
  <c r="G12639" i="1"/>
  <c r="H12639" i="1"/>
  <c r="I12639" i="1"/>
  <c r="J12639" i="1"/>
  <c r="K12639" i="1"/>
  <c r="L12639" i="1"/>
  <c r="A12640" i="1"/>
  <c r="B12640" i="1"/>
  <c r="C12640" i="1"/>
  <c r="D12640" i="1"/>
  <c r="E12640" i="1"/>
  <c r="F12640" i="1"/>
  <c r="G12640" i="1"/>
  <c r="H12640" i="1"/>
  <c r="I12640" i="1"/>
  <c r="J12640" i="1"/>
  <c r="K12640" i="1"/>
  <c r="L12640" i="1"/>
  <c r="A12641" i="1"/>
  <c r="B12641" i="1"/>
  <c r="C12641" i="1"/>
  <c r="D12641" i="1"/>
  <c r="E12641" i="1"/>
  <c r="F12641" i="1"/>
  <c r="G12641" i="1"/>
  <c r="H12641" i="1"/>
  <c r="I12641" i="1"/>
  <c r="J12641" i="1"/>
  <c r="K12641" i="1"/>
  <c r="L12641" i="1"/>
  <c r="A12642" i="1"/>
  <c r="B12642" i="1"/>
  <c r="C12642" i="1"/>
  <c r="D12642" i="1"/>
  <c r="E12642" i="1"/>
  <c r="F12642" i="1"/>
  <c r="G12642" i="1"/>
  <c r="H12642" i="1"/>
  <c r="I12642" i="1"/>
  <c r="J12642" i="1"/>
  <c r="K12642" i="1"/>
  <c r="L12642" i="1"/>
  <c r="A12643" i="1"/>
  <c r="B12643" i="1"/>
  <c r="C12643" i="1"/>
  <c r="D12643" i="1"/>
  <c r="E12643" i="1"/>
  <c r="F12643" i="1"/>
  <c r="G12643" i="1"/>
  <c r="H12643" i="1"/>
  <c r="I12643" i="1"/>
  <c r="J12643" i="1"/>
  <c r="K12643" i="1"/>
  <c r="L12643" i="1"/>
  <c r="A12644" i="1"/>
  <c r="B12644" i="1"/>
  <c r="C12644" i="1"/>
  <c r="D12644" i="1"/>
  <c r="E12644" i="1"/>
  <c r="F12644" i="1"/>
  <c r="G12644" i="1"/>
  <c r="H12644" i="1"/>
  <c r="I12644" i="1"/>
  <c r="J12644" i="1"/>
  <c r="K12644" i="1"/>
  <c r="L12644" i="1"/>
  <c r="A12645" i="1"/>
  <c r="B12645" i="1"/>
  <c r="C12645" i="1"/>
  <c r="D12645" i="1"/>
  <c r="E12645" i="1"/>
  <c r="F12645" i="1"/>
  <c r="G12645" i="1"/>
  <c r="H12645" i="1"/>
  <c r="I12645" i="1"/>
  <c r="J12645" i="1"/>
  <c r="K12645" i="1"/>
  <c r="L12645" i="1"/>
  <c r="A12646" i="1"/>
  <c r="B12646" i="1"/>
  <c r="C12646" i="1"/>
  <c r="D12646" i="1"/>
  <c r="E12646" i="1"/>
  <c r="F12646" i="1"/>
  <c r="G12646" i="1"/>
  <c r="H12646" i="1"/>
  <c r="I12646" i="1"/>
  <c r="J12646" i="1"/>
  <c r="K12646" i="1"/>
  <c r="L12646" i="1"/>
  <c r="A12647" i="1"/>
  <c r="B12647" i="1"/>
  <c r="C12647" i="1"/>
  <c r="D12647" i="1"/>
  <c r="E12647" i="1"/>
  <c r="F12647" i="1"/>
  <c r="G12647" i="1"/>
  <c r="H12647" i="1"/>
  <c r="I12647" i="1"/>
  <c r="J12647" i="1"/>
  <c r="K12647" i="1"/>
  <c r="L12647" i="1"/>
  <c r="A12648" i="1"/>
  <c r="B12648" i="1"/>
  <c r="C12648" i="1"/>
  <c r="D12648" i="1"/>
  <c r="E12648" i="1"/>
  <c r="F12648" i="1"/>
  <c r="G12648" i="1"/>
  <c r="H12648" i="1"/>
  <c r="I12648" i="1"/>
  <c r="J12648" i="1"/>
  <c r="K12648" i="1"/>
  <c r="L12648" i="1"/>
  <c r="A12649" i="1"/>
  <c r="B12649" i="1"/>
  <c r="C12649" i="1"/>
  <c r="D12649" i="1"/>
  <c r="E12649" i="1"/>
  <c r="F12649" i="1"/>
  <c r="G12649" i="1"/>
  <c r="H12649" i="1"/>
  <c r="I12649" i="1"/>
  <c r="J12649" i="1"/>
  <c r="K12649" i="1"/>
  <c r="L12649" i="1"/>
  <c r="A12650" i="1"/>
  <c r="B12650" i="1"/>
  <c r="C12650" i="1"/>
  <c r="D12650" i="1"/>
  <c r="E12650" i="1"/>
  <c r="F12650" i="1"/>
  <c r="G12650" i="1"/>
  <c r="H12650" i="1"/>
  <c r="I12650" i="1"/>
  <c r="J12650" i="1"/>
  <c r="K12650" i="1"/>
  <c r="L12650" i="1"/>
  <c r="A12651" i="1"/>
  <c r="B12651" i="1"/>
  <c r="C12651" i="1"/>
  <c r="D12651" i="1"/>
  <c r="E12651" i="1"/>
  <c r="F12651" i="1"/>
  <c r="G12651" i="1"/>
  <c r="H12651" i="1"/>
  <c r="I12651" i="1"/>
  <c r="J12651" i="1"/>
  <c r="K12651" i="1"/>
  <c r="L12651" i="1"/>
  <c r="A12652" i="1"/>
  <c r="B12652" i="1"/>
  <c r="C12652" i="1"/>
  <c r="D12652" i="1"/>
  <c r="E12652" i="1"/>
  <c r="F12652" i="1"/>
  <c r="G12652" i="1"/>
  <c r="H12652" i="1"/>
  <c r="I12652" i="1"/>
  <c r="J12652" i="1"/>
  <c r="K12652" i="1"/>
  <c r="L12652" i="1"/>
  <c r="A12653" i="1"/>
  <c r="B12653" i="1"/>
  <c r="C12653" i="1"/>
  <c r="D12653" i="1"/>
  <c r="E12653" i="1"/>
  <c r="F12653" i="1"/>
  <c r="G12653" i="1"/>
  <c r="H12653" i="1"/>
  <c r="I12653" i="1"/>
  <c r="J12653" i="1"/>
  <c r="K12653" i="1"/>
  <c r="L12653" i="1"/>
  <c r="A12654" i="1"/>
  <c r="B12654" i="1"/>
  <c r="C12654" i="1"/>
  <c r="D12654" i="1"/>
  <c r="E12654" i="1"/>
  <c r="F12654" i="1"/>
  <c r="G12654" i="1"/>
  <c r="H12654" i="1"/>
  <c r="I12654" i="1"/>
  <c r="J12654" i="1"/>
  <c r="K12654" i="1"/>
  <c r="L12654" i="1"/>
  <c r="A12655" i="1"/>
  <c r="B12655" i="1"/>
  <c r="C12655" i="1"/>
  <c r="D12655" i="1"/>
  <c r="E12655" i="1"/>
  <c r="F12655" i="1"/>
  <c r="G12655" i="1"/>
  <c r="H12655" i="1"/>
  <c r="I12655" i="1"/>
  <c r="J12655" i="1"/>
  <c r="K12655" i="1"/>
  <c r="L12655" i="1"/>
  <c r="A12656" i="1"/>
  <c r="B12656" i="1"/>
  <c r="C12656" i="1"/>
  <c r="D12656" i="1"/>
  <c r="E12656" i="1"/>
  <c r="F12656" i="1"/>
  <c r="G12656" i="1"/>
  <c r="H12656" i="1"/>
  <c r="I12656" i="1"/>
  <c r="J12656" i="1"/>
  <c r="K12656" i="1"/>
  <c r="L12656" i="1"/>
  <c r="A12657" i="1"/>
  <c r="B12657" i="1"/>
  <c r="C12657" i="1"/>
  <c r="D12657" i="1"/>
  <c r="E12657" i="1"/>
  <c r="F12657" i="1"/>
  <c r="G12657" i="1"/>
  <c r="H12657" i="1"/>
  <c r="I12657" i="1"/>
  <c r="J12657" i="1"/>
  <c r="K12657" i="1"/>
  <c r="L12657" i="1"/>
  <c r="A12658" i="1"/>
  <c r="B12658" i="1"/>
  <c r="C12658" i="1"/>
  <c r="D12658" i="1"/>
  <c r="E12658" i="1"/>
  <c r="F12658" i="1"/>
  <c r="G12658" i="1"/>
  <c r="H12658" i="1"/>
  <c r="I12658" i="1"/>
  <c r="J12658" i="1"/>
  <c r="K12658" i="1"/>
  <c r="L12658" i="1"/>
  <c r="A12659" i="1"/>
  <c r="B12659" i="1"/>
  <c r="C12659" i="1"/>
  <c r="D12659" i="1"/>
  <c r="E12659" i="1"/>
  <c r="F12659" i="1"/>
  <c r="G12659" i="1"/>
  <c r="H12659" i="1"/>
  <c r="I12659" i="1"/>
  <c r="J12659" i="1"/>
  <c r="K12659" i="1"/>
  <c r="L12659" i="1"/>
  <c r="A12660" i="1"/>
  <c r="B12660" i="1"/>
  <c r="C12660" i="1"/>
  <c r="D12660" i="1"/>
  <c r="E12660" i="1"/>
  <c r="F12660" i="1"/>
  <c r="G12660" i="1"/>
  <c r="H12660" i="1"/>
  <c r="I12660" i="1"/>
  <c r="J12660" i="1"/>
  <c r="K12660" i="1"/>
  <c r="L12660" i="1"/>
  <c r="A12661" i="1"/>
  <c r="B12661" i="1"/>
  <c r="C12661" i="1"/>
  <c r="D12661" i="1"/>
  <c r="E12661" i="1"/>
  <c r="F12661" i="1"/>
  <c r="G12661" i="1"/>
  <c r="H12661" i="1"/>
  <c r="I12661" i="1"/>
  <c r="J12661" i="1"/>
  <c r="K12661" i="1"/>
  <c r="L12661" i="1"/>
  <c r="A12662" i="1"/>
  <c r="B12662" i="1"/>
  <c r="C12662" i="1"/>
  <c r="D12662" i="1"/>
  <c r="E12662" i="1"/>
  <c r="F12662" i="1"/>
  <c r="G12662" i="1"/>
  <c r="H12662" i="1"/>
  <c r="I12662" i="1"/>
  <c r="J12662" i="1"/>
  <c r="K12662" i="1"/>
  <c r="L12662" i="1"/>
  <c r="A12663" i="1"/>
  <c r="B12663" i="1"/>
  <c r="C12663" i="1"/>
  <c r="D12663" i="1"/>
  <c r="E12663" i="1"/>
  <c r="F12663" i="1"/>
  <c r="G12663" i="1"/>
  <c r="H12663" i="1"/>
  <c r="I12663" i="1"/>
  <c r="J12663" i="1"/>
  <c r="K12663" i="1"/>
  <c r="L12663" i="1"/>
  <c r="A12664" i="1"/>
  <c r="B12664" i="1"/>
  <c r="C12664" i="1"/>
  <c r="D12664" i="1"/>
  <c r="E12664" i="1"/>
  <c r="F12664" i="1"/>
  <c r="G12664" i="1"/>
  <c r="H12664" i="1"/>
  <c r="I12664" i="1"/>
  <c r="J12664" i="1"/>
  <c r="K12664" i="1"/>
  <c r="L12664" i="1"/>
  <c r="A12665" i="1"/>
  <c r="B12665" i="1"/>
  <c r="C12665" i="1"/>
  <c r="D12665" i="1"/>
  <c r="E12665" i="1"/>
  <c r="F12665" i="1"/>
  <c r="G12665" i="1"/>
  <c r="H12665" i="1"/>
  <c r="I12665" i="1"/>
  <c r="J12665" i="1"/>
  <c r="K12665" i="1"/>
  <c r="L12665" i="1"/>
  <c r="A12666" i="1"/>
  <c r="B12666" i="1"/>
  <c r="C12666" i="1"/>
  <c r="D12666" i="1"/>
  <c r="E12666" i="1"/>
  <c r="F12666" i="1"/>
  <c r="G12666" i="1"/>
  <c r="H12666" i="1"/>
  <c r="I12666" i="1"/>
  <c r="J12666" i="1"/>
  <c r="K12666" i="1"/>
  <c r="L12666" i="1"/>
  <c r="A12667" i="1"/>
  <c r="B12667" i="1"/>
  <c r="C12667" i="1"/>
  <c r="D12667" i="1"/>
  <c r="E12667" i="1"/>
  <c r="F12667" i="1"/>
  <c r="G12667" i="1"/>
  <c r="H12667" i="1"/>
  <c r="I12667" i="1"/>
  <c r="J12667" i="1"/>
  <c r="K12667" i="1"/>
  <c r="L12667" i="1"/>
  <c r="A12668" i="1"/>
  <c r="B12668" i="1"/>
  <c r="C12668" i="1"/>
  <c r="D12668" i="1"/>
  <c r="E12668" i="1"/>
  <c r="F12668" i="1"/>
  <c r="G12668" i="1"/>
  <c r="H12668" i="1"/>
  <c r="I12668" i="1"/>
  <c r="J12668" i="1"/>
  <c r="K12668" i="1"/>
  <c r="L12668" i="1"/>
  <c r="A12669" i="1"/>
  <c r="B12669" i="1"/>
  <c r="C12669" i="1"/>
  <c r="D12669" i="1"/>
  <c r="E12669" i="1"/>
  <c r="F12669" i="1"/>
  <c r="G12669" i="1"/>
  <c r="H12669" i="1"/>
  <c r="I12669" i="1"/>
  <c r="J12669" i="1"/>
  <c r="K12669" i="1"/>
  <c r="L12669" i="1"/>
  <c r="A12670" i="1"/>
  <c r="B12670" i="1"/>
  <c r="C12670" i="1"/>
  <c r="D12670" i="1"/>
  <c r="E12670" i="1"/>
  <c r="F12670" i="1"/>
  <c r="G12670" i="1"/>
  <c r="H12670" i="1"/>
  <c r="I12670" i="1"/>
  <c r="J12670" i="1"/>
  <c r="K12670" i="1"/>
  <c r="L12670" i="1"/>
  <c r="A12671" i="1"/>
  <c r="B12671" i="1"/>
  <c r="C12671" i="1"/>
  <c r="D12671" i="1"/>
  <c r="E12671" i="1"/>
  <c r="F12671" i="1"/>
  <c r="G12671" i="1"/>
  <c r="H12671" i="1"/>
  <c r="I12671" i="1"/>
  <c r="J12671" i="1"/>
  <c r="K12671" i="1"/>
  <c r="L12671" i="1"/>
  <c r="A12672" i="1"/>
  <c r="B12672" i="1"/>
  <c r="C12672" i="1"/>
  <c r="D12672" i="1"/>
  <c r="E12672" i="1"/>
  <c r="F12672" i="1"/>
  <c r="G12672" i="1"/>
  <c r="H12672" i="1"/>
  <c r="I12672" i="1"/>
  <c r="J12672" i="1"/>
  <c r="K12672" i="1"/>
  <c r="L12672" i="1"/>
  <c r="A12673" i="1"/>
  <c r="B12673" i="1"/>
  <c r="C12673" i="1"/>
  <c r="D12673" i="1"/>
  <c r="E12673" i="1"/>
  <c r="F12673" i="1"/>
  <c r="G12673" i="1"/>
  <c r="H12673" i="1"/>
  <c r="I12673" i="1"/>
  <c r="J12673" i="1"/>
  <c r="K12673" i="1"/>
  <c r="L12673" i="1"/>
  <c r="A12674" i="1"/>
  <c r="B12674" i="1"/>
  <c r="C12674" i="1"/>
  <c r="D12674" i="1"/>
  <c r="E12674" i="1"/>
  <c r="F12674" i="1"/>
  <c r="G12674" i="1"/>
  <c r="H12674" i="1"/>
  <c r="I12674" i="1"/>
  <c r="J12674" i="1"/>
  <c r="K12674" i="1"/>
  <c r="L12674" i="1"/>
  <c r="A12675" i="1"/>
  <c r="B12675" i="1"/>
  <c r="C12675" i="1"/>
  <c r="D12675" i="1"/>
  <c r="E12675" i="1"/>
  <c r="F12675" i="1"/>
  <c r="G12675" i="1"/>
  <c r="H12675" i="1"/>
  <c r="I12675" i="1"/>
  <c r="J12675" i="1"/>
  <c r="K12675" i="1"/>
  <c r="L12675" i="1"/>
  <c r="A12676" i="1"/>
  <c r="B12676" i="1"/>
  <c r="C12676" i="1"/>
  <c r="D12676" i="1"/>
  <c r="E12676" i="1"/>
  <c r="F12676" i="1"/>
  <c r="G12676" i="1"/>
  <c r="H12676" i="1"/>
  <c r="I12676" i="1"/>
  <c r="J12676" i="1"/>
  <c r="K12676" i="1"/>
  <c r="L12676" i="1"/>
  <c r="A12677" i="1"/>
  <c r="B12677" i="1"/>
  <c r="C12677" i="1"/>
  <c r="D12677" i="1"/>
  <c r="E12677" i="1"/>
  <c r="F12677" i="1"/>
  <c r="G12677" i="1"/>
  <c r="H12677" i="1"/>
  <c r="I12677" i="1"/>
  <c r="J12677" i="1"/>
  <c r="K12677" i="1"/>
  <c r="L12677" i="1"/>
  <c r="A12678" i="1"/>
  <c r="B12678" i="1"/>
  <c r="C12678" i="1"/>
  <c r="D12678" i="1"/>
  <c r="E12678" i="1"/>
  <c r="F12678" i="1"/>
  <c r="G12678" i="1"/>
  <c r="H12678" i="1"/>
  <c r="I12678" i="1"/>
  <c r="J12678" i="1"/>
  <c r="K12678" i="1"/>
  <c r="L12678" i="1"/>
  <c r="A12679" i="1"/>
  <c r="B12679" i="1"/>
  <c r="C12679" i="1"/>
  <c r="D12679" i="1"/>
  <c r="E12679" i="1"/>
  <c r="F12679" i="1"/>
  <c r="G12679" i="1"/>
  <c r="H12679" i="1"/>
  <c r="I12679" i="1"/>
  <c r="J12679" i="1"/>
  <c r="K12679" i="1"/>
  <c r="L12679" i="1"/>
  <c r="A12680" i="1"/>
  <c r="B12680" i="1"/>
  <c r="C12680" i="1"/>
  <c r="D12680" i="1"/>
  <c r="E12680" i="1"/>
  <c r="F12680" i="1"/>
  <c r="G12680" i="1"/>
  <c r="H12680" i="1"/>
  <c r="I12680" i="1"/>
  <c r="J12680" i="1"/>
  <c r="K12680" i="1"/>
  <c r="L12680" i="1"/>
  <c r="A12681" i="1"/>
  <c r="B12681" i="1"/>
  <c r="C12681" i="1"/>
  <c r="D12681" i="1"/>
  <c r="E12681" i="1"/>
  <c r="F12681" i="1"/>
  <c r="G12681" i="1"/>
  <c r="H12681" i="1"/>
  <c r="I12681" i="1"/>
  <c r="J12681" i="1"/>
  <c r="K12681" i="1"/>
  <c r="L12681" i="1"/>
  <c r="A12682" i="1"/>
  <c r="B12682" i="1"/>
  <c r="C12682" i="1"/>
  <c r="D12682" i="1"/>
  <c r="E12682" i="1"/>
  <c r="F12682" i="1"/>
  <c r="G12682" i="1"/>
  <c r="H12682" i="1"/>
  <c r="I12682" i="1"/>
  <c r="J12682" i="1"/>
  <c r="K12682" i="1"/>
  <c r="L12682" i="1"/>
  <c r="A12683" i="1"/>
  <c r="B12683" i="1"/>
  <c r="C12683" i="1"/>
  <c r="D12683" i="1"/>
  <c r="E12683" i="1"/>
  <c r="F12683" i="1"/>
  <c r="G12683" i="1"/>
  <c r="H12683" i="1"/>
  <c r="I12683" i="1"/>
  <c r="J12683" i="1"/>
  <c r="K12683" i="1"/>
  <c r="L12683" i="1"/>
  <c r="A12684" i="1"/>
  <c r="B12684" i="1"/>
  <c r="C12684" i="1"/>
  <c r="D12684" i="1"/>
  <c r="E12684" i="1"/>
  <c r="F12684" i="1"/>
  <c r="G12684" i="1"/>
  <c r="H12684" i="1"/>
  <c r="I12684" i="1"/>
  <c r="J12684" i="1"/>
  <c r="K12684" i="1"/>
  <c r="L12684" i="1"/>
  <c r="A12685" i="1"/>
  <c r="B12685" i="1"/>
  <c r="C12685" i="1"/>
  <c r="D12685" i="1"/>
  <c r="E12685" i="1"/>
  <c r="F12685" i="1"/>
  <c r="G12685" i="1"/>
  <c r="H12685" i="1"/>
  <c r="I12685" i="1"/>
  <c r="J12685" i="1"/>
  <c r="K12685" i="1"/>
  <c r="L12685" i="1"/>
  <c r="A12686" i="1"/>
  <c r="B12686" i="1"/>
  <c r="C12686" i="1"/>
  <c r="D12686" i="1"/>
  <c r="E12686" i="1"/>
  <c r="F12686" i="1"/>
  <c r="G12686" i="1"/>
  <c r="H12686" i="1"/>
  <c r="I12686" i="1"/>
  <c r="J12686" i="1"/>
  <c r="K12686" i="1"/>
  <c r="L12686" i="1"/>
  <c r="A12687" i="1"/>
  <c r="B12687" i="1"/>
  <c r="C12687" i="1"/>
  <c r="D12687" i="1"/>
  <c r="E12687" i="1"/>
  <c r="F12687" i="1"/>
  <c r="G12687" i="1"/>
  <c r="H12687" i="1"/>
  <c r="I12687" i="1"/>
  <c r="J12687" i="1"/>
  <c r="K12687" i="1"/>
  <c r="L12687" i="1"/>
  <c r="A12688" i="1"/>
  <c r="B12688" i="1"/>
  <c r="C12688" i="1"/>
  <c r="D12688" i="1"/>
  <c r="E12688" i="1"/>
  <c r="F12688" i="1"/>
  <c r="G12688" i="1"/>
  <c r="H12688" i="1"/>
  <c r="I12688" i="1"/>
  <c r="J12688" i="1"/>
  <c r="K12688" i="1"/>
  <c r="L12688" i="1"/>
  <c r="A12689" i="1"/>
  <c r="B12689" i="1"/>
  <c r="C12689" i="1"/>
  <c r="D12689" i="1"/>
  <c r="E12689" i="1"/>
  <c r="F12689" i="1"/>
  <c r="G12689" i="1"/>
  <c r="H12689" i="1"/>
  <c r="I12689" i="1"/>
  <c r="J12689" i="1"/>
  <c r="K12689" i="1"/>
  <c r="L12689" i="1"/>
  <c r="A12690" i="1"/>
  <c r="B12690" i="1"/>
  <c r="C12690" i="1"/>
  <c r="D12690" i="1"/>
  <c r="E12690" i="1"/>
  <c r="F12690" i="1"/>
  <c r="G12690" i="1"/>
  <c r="H12690" i="1"/>
  <c r="I12690" i="1"/>
  <c r="J12690" i="1"/>
  <c r="K12690" i="1"/>
  <c r="L12690" i="1"/>
  <c r="A12691" i="1"/>
  <c r="B12691" i="1"/>
  <c r="C12691" i="1"/>
  <c r="D12691" i="1"/>
  <c r="E12691" i="1"/>
  <c r="F12691" i="1"/>
  <c r="G12691" i="1"/>
  <c r="H12691" i="1"/>
  <c r="I12691" i="1"/>
  <c r="J12691" i="1"/>
  <c r="K12691" i="1"/>
  <c r="L12691" i="1"/>
  <c r="A12692" i="1"/>
  <c r="B12692" i="1"/>
  <c r="C12692" i="1"/>
  <c r="D12692" i="1"/>
  <c r="E12692" i="1"/>
  <c r="F12692" i="1"/>
  <c r="G12692" i="1"/>
  <c r="H12692" i="1"/>
  <c r="I12692" i="1"/>
  <c r="J12692" i="1"/>
  <c r="K12692" i="1"/>
  <c r="L12692" i="1"/>
  <c r="A12693" i="1"/>
  <c r="B12693" i="1"/>
  <c r="C12693" i="1"/>
  <c r="D12693" i="1"/>
  <c r="E12693" i="1"/>
  <c r="F12693" i="1"/>
  <c r="G12693" i="1"/>
  <c r="H12693" i="1"/>
  <c r="I12693" i="1"/>
  <c r="J12693" i="1"/>
  <c r="K12693" i="1"/>
  <c r="L12693" i="1"/>
  <c r="A12694" i="1"/>
  <c r="B12694" i="1"/>
  <c r="C12694" i="1"/>
  <c r="D12694" i="1"/>
  <c r="E12694" i="1"/>
  <c r="F12694" i="1"/>
  <c r="G12694" i="1"/>
  <c r="H12694" i="1"/>
  <c r="I12694" i="1"/>
  <c r="J12694" i="1"/>
  <c r="K12694" i="1"/>
  <c r="L12694" i="1"/>
  <c r="A12695" i="1"/>
  <c r="B12695" i="1"/>
  <c r="C12695" i="1"/>
  <c r="D12695" i="1"/>
  <c r="E12695" i="1"/>
  <c r="F12695" i="1"/>
  <c r="G12695" i="1"/>
  <c r="H12695" i="1"/>
  <c r="I12695" i="1"/>
  <c r="J12695" i="1"/>
  <c r="K12695" i="1"/>
  <c r="L12695" i="1"/>
  <c r="A12696" i="1"/>
  <c r="B12696" i="1"/>
  <c r="C12696" i="1"/>
  <c r="D12696" i="1"/>
  <c r="E12696" i="1"/>
  <c r="F12696" i="1"/>
  <c r="G12696" i="1"/>
  <c r="H12696" i="1"/>
  <c r="I12696" i="1"/>
  <c r="J12696" i="1"/>
  <c r="K12696" i="1"/>
  <c r="L12696" i="1"/>
  <c r="A12697" i="1"/>
  <c r="B12697" i="1"/>
  <c r="C12697" i="1"/>
  <c r="D12697" i="1"/>
  <c r="E12697" i="1"/>
  <c r="F12697" i="1"/>
  <c r="G12697" i="1"/>
  <c r="H12697" i="1"/>
  <c r="I12697" i="1"/>
  <c r="J12697" i="1"/>
  <c r="K12697" i="1"/>
  <c r="L12697" i="1"/>
  <c r="A12698" i="1"/>
  <c r="B12698" i="1"/>
  <c r="C12698" i="1"/>
  <c r="D12698" i="1"/>
  <c r="E12698" i="1"/>
  <c r="F12698" i="1"/>
  <c r="G12698" i="1"/>
  <c r="H12698" i="1"/>
  <c r="I12698" i="1"/>
  <c r="J12698" i="1"/>
  <c r="K12698" i="1"/>
  <c r="L12698" i="1"/>
  <c r="A12699" i="1"/>
  <c r="B12699" i="1"/>
  <c r="C12699" i="1"/>
  <c r="D12699" i="1"/>
  <c r="E12699" i="1"/>
  <c r="F12699" i="1"/>
  <c r="G12699" i="1"/>
  <c r="H12699" i="1"/>
  <c r="I12699" i="1"/>
  <c r="J12699" i="1"/>
  <c r="K12699" i="1"/>
  <c r="L12699" i="1"/>
  <c r="A12700" i="1"/>
  <c r="B12700" i="1"/>
  <c r="C12700" i="1"/>
  <c r="D12700" i="1"/>
  <c r="E12700" i="1"/>
  <c r="F12700" i="1"/>
  <c r="G12700" i="1"/>
  <c r="H12700" i="1"/>
  <c r="I12700" i="1"/>
  <c r="J12700" i="1"/>
  <c r="K12700" i="1"/>
  <c r="L12700" i="1"/>
  <c r="A12701" i="1"/>
  <c r="B12701" i="1"/>
  <c r="C12701" i="1"/>
  <c r="D12701" i="1"/>
  <c r="E12701" i="1"/>
  <c r="F12701" i="1"/>
  <c r="G12701" i="1"/>
  <c r="H12701" i="1"/>
  <c r="I12701" i="1"/>
  <c r="J12701" i="1"/>
  <c r="K12701" i="1"/>
  <c r="L12701" i="1"/>
  <c r="A12702" i="1"/>
  <c r="B12702" i="1"/>
  <c r="C12702" i="1"/>
  <c r="D12702" i="1"/>
  <c r="E12702" i="1"/>
  <c r="F12702" i="1"/>
  <c r="G12702" i="1"/>
  <c r="H12702" i="1"/>
  <c r="I12702" i="1"/>
  <c r="J12702" i="1"/>
  <c r="K12702" i="1"/>
  <c r="L12702" i="1"/>
  <c r="A12703" i="1"/>
  <c r="B12703" i="1"/>
  <c r="C12703" i="1"/>
  <c r="D12703" i="1"/>
  <c r="E12703" i="1"/>
  <c r="F12703" i="1"/>
  <c r="G12703" i="1"/>
  <c r="H12703" i="1"/>
  <c r="I12703" i="1"/>
  <c r="J12703" i="1"/>
  <c r="K12703" i="1"/>
  <c r="L12703" i="1"/>
  <c r="A12704" i="1"/>
  <c r="B12704" i="1"/>
  <c r="C12704" i="1"/>
  <c r="D12704" i="1"/>
  <c r="E12704" i="1"/>
  <c r="F12704" i="1"/>
  <c r="G12704" i="1"/>
  <c r="H12704" i="1"/>
  <c r="I12704" i="1"/>
  <c r="J12704" i="1"/>
  <c r="K12704" i="1"/>
  <c r="L12704" i="1"/>
  <c r="A12705" i="1"/>
  <c r="B12705" i="1"/>
  <c r="C12705" i="1"/>
  <c r="D12705" i="1"/>
  <c r="E12705" i="1"/>
  <c r="F12705" i="1"/>
  <c r="G12705" i="1"/>
  <c r="H12705" i="1"/>
  <c r="I12705" i="1"/>
  <c r="J12705" i="1"/>
  <c r="K12705" i="1"/>
  <c r="L12705" i="1"/>
  <c r="A12706" i="1"/>
  <c r="B12706" i="1"/>
  <c r="C12706" i="1"/>
  <c r="D12706" i="1"/>
  <c r="E12706" i="1"/>
  <c r="F12706" i="1"/>
  <c r="G12706" i="1"/>
  <c r="H12706" i="1"/>
  <c r="I12706" i="1"/>
  <c r="J12706" i="1"/>
  <c r="K12706" i="1"/>
  <c r="L12706" i="1"/>
  <c r="A12707" i="1"/>
  <c r="B12707" i="1"/>
  <c r="C12707" i="1"/>
  <c r="D12707" i="1"/>
  <c r="E12707" i="1"/>
  <c r="F12707" i="1"/>
  <c r="G12707" i="1"/>
  <c r="H12707" i="1"/>
  <c r="I12707" i="1"/>
  <c r="J12707" i="1"/>
  <c r="K12707" i="1"/>
  <c r="L12707" i="1"/>
  <c r="A12708" i="1"/>
  <c r="B12708" i="1"/>
  <c r="C12708" i="1"/>
  <c r="D12708" i="1"/>
  <c r="E12708" i="1"/>
  <c r="F12708" i="1"/>
  <c r="G12708" i="1"/>
  <c r="H12708" i="1"/>
  <c r="I12708" i="1"/>
  <c r="J12708" i="1"/>
  <c r="K12708" i="1"/>
  <c r="L12708" i="1"/>
  <c r="A12709" i="1"/>
  <c r="B12709" i="1"/>
  <c r="C12709" i="1"/>
  <c r="D12709" i="1"/>
  <c r="E12709" i="1"/>
  <c r="F12709" i="1"/>
  <c r="G12709" i="1"/>
  <c r="H12709" i="1"/>
  <c r="I12709" i="1"/>
  <c r="J12709" i="1"/>
  <c r="K12709" i="1"/>
  <c r="L12709" i="1"/>
  <c r="A12710" i="1"/>
  <c r="B12710" i="1"/>
  <c r="C12710" i="1"/>
  <c r="D12710" i="1"/>
  <c r="E12710" i="1"/>
  <c r="F12710" i="1"/>
  <c r="G12710" i="1"/>
  <c r="H12710" i="1"/>
  <c r="I12710" i="1"/>
  <c r="J12710" i="1"/>
  <c r="K12710" i="1"/>
  <c r="L12710" i="1"/>
  <c r="A12711" i="1"/>
  <c r="B12711" i="1"/>
  <c r="C12711" i="1"/>
  <c r="D12711" i="1"/>
  <c r="E12711" i="1"/>
  <c r="F12711" i="1"/>
  <c r="G12711" i="1"/>
  <c r="H12711" i="1"/>
  <c r="I12711" i="1"/>
  <c r="J12711" i="1"/>
  <c r="K12711" i="1"/>
  <c r="L12711" i="1"/>
  <c r="A12712" i="1"/>
  <c r="B12712" i="1"/>
  <c r="C12712" i="1"/>
  <c r="D12712" i="1"/>
  <c r="E12712" i="1"/>
  <c r="F12712" i="1"/>
  <c r="G12712" i="1"/>
  <c r="H12712" i="1"/>
  <c r="I12712" i="1"/>
  <c r="J12712" i="1"/>
  <c r="K12712" i="1"/>
  <c r="L12712" i="1"/>
  <c r="A12713" i="1"/>
  <c r="B12713" i="1"/>
  <c r="C12713" i="1"/>
  <c r="D12713" i="1"/>
  <c r="E12713" i="1"/>
  <c r="F12713" i="1"/>
  <c r="G12713" i="1"/>
  <c r="H12713" i="1"/>
  <c r="I12713" i="1"/>
  <c r="J12713" i="1"/>
  <c r="K12713" i="1"/>
  <c r="L12713" i="1"/>
  <c r="A12714" i="1"/>
  <c r="B12714" i="1"/>
  <c r="C12714" i="1"/>
  <c r="D12714" i="1"/>
  <c r="E12714" i="1"/>
  <c r="F12714" i="1"/>
  <c r="G12714" i="1"/>
  <c r="H12714" i="1"/>
  <c r="I12714" i="1"/>
  <c r="J12714" i="1"/>
  <c r="K12714" i="1"/>
  <c r="L12714" i="1"/>
  <c r="A12715" i="1"/>
  <c r="B12715" i="1"/>
  <c r="C12715" i="1"/>
  <c r="D12715" i="1"/>
  <c r="E12715" i="1"/>
  <c r="F12715" i="1"/>
  <c r="G12715" i="1"/>
  <c r="H12715" i="1"/>
  <c r="I12715" i="1"/>
  <c r="J12715" i="1"/>
  <c r="K12715" i="1"/>
  <c r="L12715" i="1"/>
  <c r="A12716" i="1"/>
  <c r="B12716" i="1"/>
  <c r="C12716" i="1"/>
  <c r="D12716" i="1"/>
  <c r="E12716" i="1"/>
  <c r="F12716" i="1"/>
  <c r="G12716" i="1"/>
  <c r="H12716" i="1"/>
  <c r="I12716" i="1"/>
  <c r="J12716" i="1"/>
  <c r="K12716" i="1"/>
  <c r="L12716" i="1"/>
  <c r="A12717" i="1"/>
  <c r="B12717" i="1"/>
  <c r="C12717" i="1"/>
  <c r="D12717" i="1"/>
  <c r="E12717" i="1"/>
  <c r="F12717" i="1"/>
  <c r="G12717" i="1"/>
  <c r="H12717" i="1"/>
  <c r="I12717" i="1"/>
  <c r="J12717" i="1"/>
  <c r="K12717" i="1"/>
  <c r="L12717" i="1"/>
  <c r="A12718" i="1"/>
  <c r="B12718" i="1"/>
  <c r="C12718" i="1"/>
  <c r="D12718" i="1"/>
  <c r="E12718" i="1"/>
  <c r="F12718" i="1"/>
  <c r="G12718" i="1"/>
  <c r="H12718" i="1"/>
  <c r="I12718" i="1"/>
  <c r="J12718" i="1"/>
  <c r="K12718" i="1"/>
  <c r="L12718" i="1"/>
  <c r="A12719" i="1"/>
  <c r="B12719" i="1"/>
  <c r="C12719" i="1"/>
  <c r="D12719" i="1"/>
  <c r="E12719" i="1"/>
  <c r="F12719" i="1"/>
  <c r="G12719" i="1"/>
  <c r="H12719" i="1"/>
  <c r="I12719" i="1"/>
  <c r="J12719" i="1"/>
  <c r="K12719" i="1"/>
  <c r="L12719" i="1"/>
  <c r="A12720" i="1"/>
  <c r="B12720" i="1"/>
  <c r="C12720" i="1"/>
  <c r="D12720" i="1"/>
  <c r="E12720" i="1"/>
  <c r="F12720" i="1"/>
  <c r="G12720" i="1"/>
  <c r="H12720" i="1"/>
  <c r="I12720" i="1"/>
  <c r="J12720" i="1"/>
  <c r="K12720" i="1"/>
  <c r="L12720" i="1"/>
  <c r="A12721" i="1"/>
  <c r="B12721" i="1"/>
  <c r="C12721" i="1"/>
  <c r="D12721" i="1"/>
  <c r="E12721" i="1"/>
  <c r="F12721" i="1"/>
  <c r="G12721" i="1"/>
  <c r="H12721" i="1"/>
  <c r="I12721" i="1"/>
  <c r="J12721" i="1"/>
  <c r="K12721" i="1"/>
  <c r="L12721" i="1"/>
  <c r="A12722" i="1"/>
  <c r="B12722" i="1"/>
  <c r="C12722" i="1"/>
  <c r="D12722" i="1"/>
  <c r="E12722" i="1"/>
  <c r="F12722" i="1"/>
  <c r="G12722" i="1"/>
  <c r="H12722" i="1"/>
  <c r="I12722" i="1"/>
  <c r="J12722" i="1"/>
  <c r="K12722" i="1"/>
  <c r="L12722" i="1"/>
  <c r="A12723" i="1"/>
  <c r="B12723" i="1"/>
  <c r="C12723" i="1"/>
  <c r="D12723" i="1"/>
  <c r="E12723" i="1"/>
  <c r="F12723" i="1"/>
  <c r="G12723" i="1"/>
  <c r="H12723" i="1"/>
  <c r="I12723" i="1"/>
  <c r="J12723" i="1"/>
  <c r="K12723" i="1"/>
  <c r="L12723" i="1"/>
  <c r="A12724" i="1"/>
  <c r="B12724" i="1"/>
  <c r="C12724" i="1"/>
  <c r="D12724" i="1"/>
  <c r="E12724" i="1"/>
  <c r="F12724" i="1"/>
  <c r="G12724" i="1"/>
  <c r="H12724" i="1"/>
  <c r="I12724" i="1"/>
  <c r="J12724" i="1"/>
  <c r="K12724" i="1"/>
  <c r="L12724" i="1"/>
  <c r="A12725" i="1"/>
  <c r="B12725" i="1"/>
  <c r="C12725" i="1"/>
  <c r="D12725" i="1"/>
  <c r="E12725" i="1"/>
  <c r="F12725" i="1"/>
  <c r="G12725" i="1"/>
  <c r="H12725" i="1"/>
  <c r="I12725" i="1"/>
  <c r="J12725" i="1"/>
  <c r="K12725" i="1"/>
  <c r="L12725" i="1"/>
  <c r="A12726" i="1"/>
  <c r="B12726" i="1"/>
  <c r="C12726" i="1"/>
  <c r="D12726" i="1"/>
  <c r="E12726" i="1"/>
  <c r="F12726" i="1"/>
  <c r="G12726" i="1"/>
  <c r="H12726" i="1"/>
  <c r="I12726" i="1"/>
  <c r="J12726" i="1"/>
  <c r="K12726" i="1"/>
  <c r="L12726" i="1"/>
  <c r="A12727" i="1"/>
  <c r="B12727" i="1"/>
  <c r="C12727" i="1"/>
  <c r="D12727" i="1"/>
  <c r="E12727" i="1"/>
  <c r="F12727" i="1"/>
  <c r="G12727" i="1"/>
  <c r="H12727" i="1"/>
  <c r="I12727" i="1"/>
  <c r="J12727" i="1"/>
  <c r="K12727" i="1"/>
  <c r="L12727" i="1"/>
  <c r="A12728" i="1"/>
  <c r="B12728" i="1"/>
  <c r="C12728" i="1"/>
  <c r="D12728" i="1"/>
  <c r="E12728" i="1"/>
  <c r="F12728" i="1"/>
  <c r="G12728" i="1"/>
  <c r="H12728" i="1"/>
  <c r="I12728" i="1"/>
  <c r="J12728" i="1"/>
  <c r="K12728" i="1"/>
  <c r="L12728" i="1"/>
  <c r="A12729" i="1"/>
  <c r="B12729" i="1"/>
  <c r="C12729" i="1"/>
  <c r="D12729" i="1"/>
  <c r="E12729" i="1"/>
  <c r="F12729" i="1"/>
  <c r="G12729" i="1"/>
  <c r="H12729" i="1"/>
  <c r="I12729" i="1"/>
  <c r="J12729" i="1"/>
  <c r="K12729" i="1"/>
  <c r="L12729" i="1"/>
  <c r="A12730" i="1"/>
  <c r="B12730" i="1"/>
  <c r="C12730" i="1"/>
  <c r="D12730" i="1"/>
  <c r="E12730" i="1"/>
  <c r="F12730" i="1"/>
  <c r="G12730" i="1"/>
  <c r="H12730" i="1"/>
  <c r="I12730" i="1"/>
  <c r="J12730" i="1"/>
  <c r="K12730" i="1"/>
  <c r="L12730" i="1"/>
  <c r="A12731" i="1"/>
  <c r="B12731" i="1"/>
  <c r="C12731" i="1"/>
  <c r="D12731" i="1"/>
  <c r="E12731" i="1"/>
  <c r="F12731" i="1"/>
  <c r="G12731" i="1"/>
  <c r="H12731" i="1"/>
  <c r="I12731" i="1"/>
  <c r="J12731" i="1"/>
  <c r="K12731" i="1"/>
  <c r="L12731" i="1"/>
  <c r="A12732" i="1"/>
  <c r="B12732" i="1"/>
  <c r="C12732" i="1"/>
  <c r="D12732" i="1"/>
  <c r="E12732" i="1"/>
  <c r="F12732" i="1"/>
  <c r="G12732" i="1"/>
  <c r="H12732" i="1"/>
  <c r="I12732" i="1"/>
  <c r="J12732" i="1"/>
  <c r="K12732" i="1"/>
  <c r="L12732" i="1"/>
  <c r="A12733" i="1"/>
  <c r="B12733" i="1"/>
  <c r="C12733" i="1"/>
  <c r="D12733" i="1"/>
  <c r="E12733" i="1"/>
  <c r="F12733" i="1"/>
  <c r="G12733" i="1"/>
  <c r="H12733" i="1"/>
  <c r="I12733" i="1"/>
  <c r="J12733" i="1"/>
  <c r="K12733" i="1"/>
  <c r="L12733" i="1"/>
  <c r="A12734" i="1"/>
  <c r="B12734" i="1"/>
  <c r="C12734" i="1"/>
  <c r="D12734" i="1"/>
  <c r="E12734" i="1"/>
  <c r="F12734" i="1"/>
  <c r="G12734" i="1"/>
  <c r="H12734" i="1"/>
  <c r="I12734" i="1"/>
  <c r="J12734" i="1"/>
  <c r="K12734" i="1"/>
  <c r="L12734" i="1"/>
  <c r="A12735" i="1"/>
  <c r="B12735" i="1"/>
  <c r="C12735" i="1"/>
  <c r="D12735" i="1"/>
  <c r="E12735" i="1"/>
  <c r="F12735" i="1"/>
  <c r="G12735" i="1"/>
  <c r="H12735" i="1"/>
  <c r="I12735" i="1"/>
  <c r="J12735" i="1"/>
  <c r="K12735" i="1"/>
  <c r="L12735" i="1"/>
  <c r="A12736" i="1"/>
  <c r="B12736" i="1"/>
  <c r="C12736" i="1"/>
  <c r="D12736" i="1"/>
  <c r="E12736" i="1"/>
  <c r="F12736" i="1"/>
  <c r="G12736" i="1"/>
  <c r="H12736" i="1"/>
  <c r="I12736" i="1"/>
  <c r="J12736" i="1"/>
  <c r="K12736" i="1"/>
  <c r="L12736" i="1"/>
  <c r="A12737" i="1"/>
  <c r="B12737" i="1"/>
  <c r="C12737" i="1"/>
  <c r="D12737" i="1"/>
  <c r="E12737" i="1"/>
  <c r="F12737" i="1"/>
  <c r="G12737" i="1"/>
  <c r="H12737" i="1"/>
  <c r="I12737" i="1"/>
  <c r="J12737" i="1"/>
  <c r="K12737" i="1"/>
  <c r="L12737" i="1"/>
  <c r="A12738" i="1"/>
  <c r="B12738" i="1"/>
  <c r="C12738" i="1"/>
  <c r="D12738" i="1"/>
  <c r="E12738" i="1"/>
  <c r="F12738" i="1"/>
  <c r="G12738" i="1"/>
  <c r="H12738" i="1"/>
  <c r="I12738" i="1"/>
  <c r="J12738" i="1"/>
  <c r="K12738" i="1"/>
  <c r="L12738" i="1"/>
  <c r="A12739" i="1"/>
  <c r="B12739" i="1"/>
  <c r="C12739" i="1"/>
  <c r="D12739" i="1"/>
  <c r="E12739" i="1"/>
  <c r="F12739" i="1"/>
  <c r="G12739" i="1"/>
  <c r="H12739" i="1"/>
  <c r="I12739" i="1"/>
  <c r="J12739" i="1"/>
  <c r="K12739" i="1"/>
  <c r="L12739" i="1"/>
  <c r="A12740" i="1"/>
  <c r="B12740" i="1"/>
  <c r="C12740" i="1"/>
  <c r="D12740" i="1"/>
  <c r="E12740" i="1"/>
  <c r="F12740" i="1"/>
  <c r="G12740" i="1"/>
  <c r="H12740" i="1"/>
  <c r="I12740" i="1"/>
  <c r="J12740" i="1"/>
  <c r="K12740" i="1"/>
  <c r="L12740" i="1"/>
  <c r="A12741" i="1"/>
  <c r="B12741" i="1"/>
  <c r="C12741" i="1"/>
  <c r="D12741" i="1"/>
  <c r="E12741" i="1"/>
  <c r="F12741" i="1"/>
  <c r="G12741" i="1"/>
  <c r="H12741" i="1"/>
  <c r="I12741" i="1"/>
  <c r="J12741" i="1"/>
  <c r="K12741" i="1"/>
  <c r="L12741" i="1"/>
  <c r="A12742" i="1"/>
  <c r="B12742" i="1"/>
  <c r="C12742" i="1"/>
  <c r="D12742" i="1"/>
  <c r="E12742" i="1"/>
  <c r="F12742" i="1"/>
  <c r="G12742" i="1"/>
  <c r="H12742" i="1"/>
  <c r="I12742" i="1"/>
  <c r="J12742" i="1"/>
  <c r="K12742" i="1"/>
  <c r="L12742" i="1"/>
  <c r="A12743" i="1"/>
  <c r="B12743" i="1"/>
  <c r="C12743" i="1"/>
  <c r="D12743" i="1"/>
  <c r="E12743" i="1"/>
  <c r="F12743" i="1"/>
  <c r="G12743" i="1"/>
  <c r="H12743" i="1"/>
  <c r="I12743" i="1"/>
  <c r="J12743" i="1"/>
  <c r="K12743" i="1"/>
  <c r="L12743" i="1"/>
  <c r="A12744" i="1"/>
  <c r="B12744" i="1"/>
  <c r="C12744" i="1"/>
  <c r="D12744" i="1"/>
  <c r="E12744" i="1"/>
  <c r="F12744" i="1"/>
  <c r="G12744" i="1"/>
  <c r="H12744" i="1"/>
  <c r="I12744" i="1"/>
  <c r="J12744" i="1"/>
  <c r="K12744" i="1"/>
  <c r="L12744" i="1"/>
  <c r="A12745" i="1"/>
  <c r="B12745" i="1"/>
  <c r="C12745" i="1"/>
  <c r="D12745" i="1"/>
  <c r="E12745" i="1"/>
  <c r="F12745" i="1"/>
  <c r="G12745" i="1"/>
  <c r="H12745" i="1"/>
  <c r="I12745" i="1"/>
  <c r="J12745" i="1"/>
  <c r="K12745" i="1"/>
  <c r="L12745" i="1"/>
  <c r="A12746" i="1"/>
  <c r="B12746" i="1"/>
  <c r="C12746" i="1"/>
  <c r="D12746" i="1"/>
  <c r="E12746" i="1"/>
  <c r="F12746" i="1"/>
  <c r="G12746" i="1"/>
  <c r="H12746" i="1"/>
  <c r="I12746" i="1"/>
  <c r="J12746" i="1"/>
  <c r="K12746" i="1"/>
  <c r="L12746" i="1"/>
  <c r="A12747" i="1"/>
  <c r="B12747" i="1"/>
  <c r="C12747" i="1"/>
  <c r="D12747" i="1"/>
  <c r="E12747" i="1"/>
  <c r="F12747" i="1"/>
  <c r="G12747" i="1"/>
  <c r="H12747" i="1"/>
  <c r="I12747" i="1"/>
  <c r="J12747" i="1"/>
  <c r="K12747" i="1"/>
  <c r="L12747" i="1"/>
  <c r="A12748" i="1"/>
  <c r="B12748" i="1"/>
  <c r="C12748" i="1"/>
  <c r="D12748" i="1"/>
  <c r="E12748" i="1"/>
  <c r="F12748" i="1"/>
  <c r="G12748" i="1"/>
  <c r="H12748" i="1"/>
  <c r="I12748" i="1"/>
  <c r="J12748" i="1"/>
  <c r="K12748" i="1"/>
  <c r="L12748" i="1"/>
  <c r="A12749" i="1"/>
  <c r="B12749" i="1"/>
  <c r="C12749" i="1"/>
  <c r="D12749" i="1"/>
  <c r="E12749" i="1"/>
  <c r="F12749" i="1"/>
  <c r="G12749" i="1"/>
  <c r="H12749" i="1"/>
  <c r="I12749" i="1"/>
  <c r="J12749" i="1"/>
  <c r="K12749" i="1"/>
  <c r="L12749" i="1"/>
  <c r="A12750" i="1"/>
  <c r="B12750" i="1"/>
  <c r="C12750" i="1"/>
  <c r="D12750" i="1"/>
  <c r="E12750" i="1"/>
  <c r="F12750" i="1"/>
  <c r="G12750" i="1"/>
  <c r="H12750" i="1"/>
  <c r="I12750" i="1"/>
  <c r="J12750" i="1"/>
  <c r="K12750" i="1"/>
  <c r="L12750" i="1"/>
  <c r="A12751" i="1"/>
  <c r="B12751" i="1"/>
  <c r="C12751" i="1"/>
  <c r="D12751" i="1"/>
  <c r="E12751" i="1"/>
  <c r="F12751" i="1"/>
  <c r="G12751" i="1"/>
  <c r="H12751" i="1"/>
  <c r="I12751" i="1"/>
  <c r="J12751" i="1"/>
  <c r="K12751" i="1"/>
  <c r="L12751" i="1"/>
  <c r="A12752" i="1"/>
  <c r="B12752" i="1"/>
  <c r="C12752" i="1"/>
  <c r="D12752" i="1"/>
  <c r="E12752" i="1"/>
  <c r="F12752" i="1"/>
  <c r="G12752" i="1"/>
  <c r="H12752" i="1"/>
  <c r="I12752" i="1"/>
  <c r="J12752" i="1"/>
  <c r="K12752" i="1"/>
  <c r="L12752" i="1"/>
  <c r="A12753" i="1"/>
  <c r="B12753" i="1"/>
  <c r="C12753" i="1"/>
  <c r="D12753" i="1"/>
  <c r="E12753" i="1"/>
  <c r="F12753" i="1"/>
  <c r="G12753" i="1"/>
  <c r="H12753" i="1"/>
  <c r="I12753" i="1"/>
  <c r="J12753" i="1"/>
  <c r="K12753" i="1"/>
  <c r="L12753" i="1"/>
  <c r="A12754" i="1"/>
  <c r="B12754" i="1"/>
  <c r="C12754" i="1"/>
  <c r="D12754" i="1"/>
  <c r="E12754" i="1"/>
  <c r="F12754" i="1"/>
  <c r="G12754" i="1"/>
  <c r="H12754" i="1"/>
  <c r="I12754" i="1"/>
  <c r="J12754" i="1"/>
  <c r="K12754" i="1"/>
  <c r="L12754" i="1"/>
  <c r="A12755" i="1"/>
  <c r="B12755" i="1"/>
  <c r="C12755" i="1"/>
  <c r="D12755" i="1"/>
  <c r="E12755" i="1"/>
  <c r="F12755" i="1"/>
  <c r="G12755" i="1"/>
  <c r="H12755" i="1"/>
  <c r="I12755" i="1"/>
  <c r="J12755" i="1"/>
  <c r="K12755" i="1"/>
  <c r="L12755" i="1"/>
  <c r="A12756" i="1"/>
  <c r="B12756" i="1"/>
  <c r="C12756" i="1"/>
  <c r="D12756" i="1"/>
  <c r="E12756" i="1"/>
  <c r="F12756" i="1"/>
  <c r="G12756" i="1"/>
  <c r="H12756" i="1"/>
  <c r="I12756" i="1"/>
  <c r="J12756" i="1"/>
  <c r="K12756" i="1"/>
  <c r="L12756" i="1"/>
  <c r="A12757" i="1"/>
  <c r="B12757" i="1"/>
  <c r="C12757" i="1"/>
  <c r="D12757" i="1"/>
  <c r="E12757" i="1"/>
  <c r="F12757" i="1"/>
  <c r="G12757" i="1"/>
  <c r="H12757" i="1"/>
  <c r="I12757" i="1"/>
  <c r="J12757" i="1"/>
  <c r="K12757" i="1"/>
  <c r="L12757" i="1"/>
  <c r="A12758" i="1"/>
  <c r="B12758" i="1"/>
  <c r="C12758" i="1"/>
  <c r="D12758" i="1"/>
  <c r="E12758" i="1"/>
  <c r="F12758" i="1"/>
  <c r="G12758" i="1"/>
  <c r="H12758" i="1"/>
  <c r="I12758" i="1"/>
  <c r="J12758" i="1"/>
  <c r="K12758" i="1"/>
  <c r="L12758" i="1"/>
  <c r="A12759" i="1"/>
  <c r="B12759" i="1"/>
  <c r="C12759" i="1"/>
  <c r="D12759" i="1"/>
  <c r="E12759" i="1"/>
  <c r="F12759" i="1"/>
  <c r="G12759" i="1"/>
  <c r="H12759" i="1"/>
  <c r="I12759" i="1"/>
  <c r="J12759" i="1"/>
  <c r="K12759" i="1"/>
  <c r="L12759" i="1"/>
  <c r="A12760" i="1"/>
  <c r="B12760" i="1"/>
  <c r="C12760" i="1"/>
  <c r="D12760" i="1"/>
  <c r="E12760" i="1"/>
  <c r="F12760" i="1"/>
  <c r="G12760" i="1"/>
  <c r="H12760" i="1"/>
  <c r="I12760" i="1"/>
  <c r="J12760" i="1"/>
  <c r="K12760" i="1"/>
  <c r="L12760" i="1"/>
  <c r="A12761" i="1"/>
  <c r="B12761" i="1"/>
  <c r="C12761" i="1"/>
  <c r="D12761" i="1"/>
  <c r="E12761" i="1"/>
  <c r="F12761" i="1"/>
  <c r="G12761" i="1"/>
  <c r="H12761" i="1"/>
  <c r="I12761" i="1"/>
  <c r="J12761" i="1"/>
  <c r="K12761" i="1"/>
  <c r="L12761" i="1"/>
  <c r="A12762" i="1"/>
  <c r="B12762" i="1"/>
  <c r="C12762" i="1"/>
  <c r="D12762" i="1"/>
  <c r="E12762" i="1"/>
  <c r="F12762" i="1"/>
  <c r="G12762" i="1"/>
  <c r="H12762" i="1"/>
  <c r="I12762" i="1"/>
  <c r="J12762" i="1"/>
  <c r="K12762" i="1"/>
  <c r="L12762" i="1"/>
  <c r="A12763" i="1"/>
  <c r="B12763" i="1"/>
  <c r="C12763" i="1"/>
  <c r="D12763" i="1"/>
  <c r="E12763" i="1"/>
  <c r="F12763" i="1"/>
  <c r="G12763" i="1"/>
  <c r="H12763" i="1"/>
  <c r="I12763" i="1"/>
  <c r="J12763" i="1"/>
  <c r="K12763" i="1"/>
  <c r="L12763" i="1"/>
  <c r="A12764" i="1"/>
  <c r="B12764" i="1"/>
  <c r="C12764" i="1"/>
  <c r="D12764" i="1"/>
  <c r="E12764" i="1"/>
  <c r="F12764" i="1"/>
  <c r="G12764" i="1"/>
  <c r="H12764" i="1"/>
  <c r="I12764" i="1"/>
  <c r="J12764" i="1"/>
  <c r="K12764" i="1"/>
  <c r="L12764" i="1"/>
  <c r="A12765" i="1"/>
  <c r="B12765" i="1"/>
  <c r="C12765" i="1"/>
  <c r="D12765" i="1"/>
  <c r="E12765" i="1"/>
  <c r="F12765" i="1"/>
  <c r="G12765" i="1"/>
  <c r="H12765" i="1"/>
  <c r="I12765" i="1"/>
  <c r="J12765" i="1"/>
  <c r="K12765" i="1"/>
  <c r="L12765" i="1"/>
  <c r="A12766" i="1"/>
  <c r="B12766" i="1"/>
  <c r="C12766" i="1"/>
  <c r="D12766" i="1"/>
  <c r="E12766" i="1"/>
  <c r="F12766" i="1"/>
  <c r="G12766" i="1"/>
  <c r="H12766" i="1"/>
  <c r="I12766" i="1"/>
  <c r="J12766" i="1"/>
  <c r="K12766" i="1"/>
  <c r="L12766" i="1"/>
  <c r="A12767" i="1"/>
  <c r="B12767" i="1"/>
  <c r="C12767" i="1"/>
  <c r="D12767" i="1"/>
  <c r="E12767" i="1"/>
  <c r="F12767" i="1"/>
  <c r="G12767" i="1"/>
  <c r="H12767" i="1"/>
  <c r="I12767" i="1"/>
  <c r="J12767" i="1"/>
  <c r="K12767" i="1"/>
  <c r="L12767" i="1"/>
  <c r="A12768" i="1"/>
  <c r="B12768" i="1"/>
  <c r="C12768" i="1"/>
  <c r="D12768" i="1"/>
  <c r="E12768" i="1"/>
  <c r="F12768" i="1"/>
  <c r="G12768" i="1"/>
  <c r="H12768" i="1"/>
  <c r="I12768" i="1"/>
  <c r="J12768" i="1"/>
  <c r="K12768" i="1"/>
  <c r="L12768" i="1"/>
  <c r="A12769" i="1"/>
  <c r="B12769" i="1"/>
  <c r="C12769" i="1"/>
  <c r="D12769" i="1"/>
  <c r="E12769" i="1"/>
  <c r="F12769" i="1"/>
  <c r="G12769" i="1"/>
  <c r="H12769" i="1"/>
  <c r="I12769" i="1"/>
  <c r="J12769" i="1"/>
  <c r="K12769" i="1"/>
  <c r="L12769" i="1"/>
  <c r="A12770" i="1"/>
  <c r="B12770" i="1"/>
  <c r="C12770" i="1"/>
  <c r="D12770" i="1"/>
  <c r="E12770" i="1"/>
  <c r="F12770" i="1"/>
  <c r="G12770" i="1"/>
  <c r="H12770" i="1"/>
  <c r="I12770" i="1"/>
  <c r="J12770" i="1"/>
  <c r="K12770" i="1"/>
  <c r="L12770" i="1"/>
  <c r="A12771" i="1"/>
  <c r="B12771" i="1"/>
  <c r="C12771" i="1"/>
  <c r="D12771" i="1"/>
  <c r="E12771" i="1"/>
  <c r="F12771" i="1"/>
  <c r="G12771" i="1"/>
  <c r="H12771" i="1"/>
  <c r="I12771" i="1"/>
  <c r="J12771" i="1"/>
  <c r="K12771" i="1"/>
  <c r="L12771" i="1"/>
  <c r="A12772" i="1"/>
  <c r="B12772" i="1"/>
  <c r="C12772" i="1"/>
  <c r="D12772" i="1"/>
  <c r="E12772" i="1"/>
  <c r="F12772" i="1"/>
  <c r="G12772" i="1"/>
  <c r="H12772" i="1"/>
  <c r="I12772" i="1"/>
  <c r="J12772" i="1"/>
  <c r="K12772" i="1"/>
  <c r="L12772" i="1"/>
  <c r="A12773" i="1"/>
  <c r="B12773" i="1"/>
  <c r="C12773" i="1"/>
  <c r="D12773" i="1"/>
  <c r="E12773" i="1"/>
  <c r="F12773" i="1"/>
  <c r="G12773" i="1"/>
  <c r="H12773" i="1"/>
  <c r="I12773" i="1"/>
  <c r="J12773" i="1"/>
  <c r="K12773" i="1"/>
  <c r="L12773" i="1"/>
  <c r="A12774" i="1"/>
  <c r="B12774" i="1"/>
  <c r="C12774" i="1"/>
  <c r="D12774" i="1"/>
  <c r="E12774" i="1"/>
  <c r="F12774" i="1"/>
  <c r="G12774" i="1"/>
  <c r="H12774" i="1"/>
  <c r="I12774" i="1"/>
  <c r="J12774" i="1"/>
  <c r="K12774" i="1"/>
  <c r="L12774" i="1"/>
  <c r="A12775" i="1"/>
  <c r="B12775" i="1"/>
  <c r="C12775" i="1"/>
  <c r="D12775" i="1"/>
  <c r="E12775" i="1"/>
  <c r="F12775" i="1"/>
  <c r="G12775" i="1"/>
  <c r="H12775" i="1"/>
  <c r="I12775" i="1"/>
  <c r="J12775" i="1"/>
  <c r="K12775" i="1"/>
  <c r="L12775" i="1"/>
  <c r="A12776" i="1"/>
  <c r="B12776" i="1"/>
  <c r="C12776" i="1"/>
  <c r="D12776" i="1"/>
  <c r="E12776" i="1"/>
  <c r="F12776" i="1"/>
  <c r="G12776" i="1"/>
  <c r="H12776" i="1"/>
  <c r="I12776" i="1"/>
  <c r="J12776" i="1"/>
  <c r="K12776" i="1"/>
  <c r="L12776" i="1"/>
  <c r="A12777" i="1"/>
  <c r="B12777" i="1"/>
  <c r="C12777" i="1"/>
  <c r="D12777" i="1"/>
  <c r="E12777" i="1"/>
  <c r="F12777" i="1"/>
  <c r="G12777" i="1"/>
  <c r="H12777" i="1"/>
  <c r="I12777" i="1"/>
  <c r="J12777" i="1"/>
  <c r="K12777" i="1"/>
  <c r="L12777" i="1"/>
  <c r="A12778" i="1"/>
  <c r="B12778" i="1"/>
  <c r="C12778" i="1"/>
  <c r="D12778" i="1"/>
  <c r="E12778" i="1"/>
  <c r="F12778" i="1"/>
  <c r="G12778" i="1"/>
  <c r="H12778" i="1"/>
  <c r="I12778" i="1"/>
  <c r="J12778" i="1"/>
  <c r="K12778" i="1"/>
  <c r="L12778" i="1"/>
  <c r="A12779" i="1"/>
  <c r="B12779" i="1"/>
  <c r="C12779" i="1"/>
  <c r="D12779" i="1"/>
  <c r="E12779" i="1"/>
  <c r="F12779" i="1"/>
  <c r="G12779" i="1"/>
  <c r="H12779" i="1"/>
  <c r="I12779" i="1"/>
  <c r="J12779" i="1"/>
  <c r="K12779" i="1"/>
  <c r="L12779" i="1"/>
  <c r="A12780" i="1"/>
  <c r="B12780" i="1"/>
  <c r="C12780" i="1"/>
  <c r="D12780" i="1"/>
  <c r="E12780" i="1"/>
  <c r="F12780" i="1"/>
  <c r="G12780" i="1"/>
  <c r="H12780" i="1"/>
  <c r="I12780" i="1"/>
  <c r="J12780" i="1"/>
  <c r="K12780" i="1"/>
  <c r="L12780" i="1"/>
  <c r="A12781" i="1"/>
  <c r="B12781" i="1"/>
  <c r="C12781" i="1"/>
  <c r="D12781" i="1"/>
  <c r="E12781" i="1"/>
  <c r="F12781" i="1"/>
  <c r="G12781" i="1"/>
  <c r="H12781" i="1"/>
  <c r="I12781" i="1"/>
  <c r="J12781" i="1"/>
  <c r="K12781" i="1"/>
  <c r="L12781" i="1"/>
  <c r="A12782" i="1"/>
  <c r="B12782" i="1"/>
  <c r="C12782" i="1"/>
  <c r="D12782" i="1"/>
  <c r="E12782" i="1"/>
  <c r="F12782" i="1"/>
  <c r="G12782" i="1"/>
  <c r="H12782" i="1"/>
  <c r="I12782" i="1"/>
  <c r="J12782" i="1"/>
  <c r="K12782" i="1"/>
  <c r="L12782" i="1"/>
  <c r="A12783" i="1"/>
  <c r="B12783" i="1"/>
  <c r="C12783" i="1"/>
  <c r="D12783" i="1"/>
  <c r="E12783" i="1"/>
  <c r="F12783" i="1"/>
  <c r="G12783" i="1"/>
  <c r="H12783" i="1"/>
  <c r="I12783" i="1"/>
  <c r="J12783" i="1"/>
  <c r="K12783" i="1"/>
  <c r="L12783" i="1"/>
  <c r="A12784" i="1"/>
  <c r="B12784" i="1"/>
  <c r="C12784" i="1"/>
  <c r="D12784" i="1"/>
  <c r="E12784" i="1"/>
  <c r="F12784" i="1"/>
  <c r="G12784" i="1"/>
  <c r="H12784" i="1"/>
  <c r="I12784" i="1"/>
  <c r="J12784" i="1"/>
  <c r="K12784" i="1"/>
  <c r="L12784" i="1"/>
  <c r="A12785" i="1"/>
  <c r="B12785" i="1"/>
  <c r="C12785" i="1"/>
  <c r="D12785" i="1"/>
  <c r="E12785" i="1"/>
  <c r="F12785" i="1"/>
  <c r="G12785" i="1"/>
  <c r="H12785" i="1"/>
  <c r="I12785" i="1"/>
  <c r="J12785" i="1"/>
  <c r="K12785" i="1"/>
  <c r="L12785" i="1"/>
  <c r="A12786" i="1"/>
  <c r="B12786" i="1"/>
  <c r="C12786" i="1"/>
  <c r="D12786" i="1"/>
  <c r="E12786" i="1"/>
  <c r="F12786" i="1"/>
  <c r="G12786" i="1"/>
  <c r="H12786" i="1"/>
  <c r="I12786" i="1"/>
  <c r="J12786" i="1"/>
  <c r="K12786" i="1"/>
  <c r="L12786" i="1"/>
  <c r="A12787" i="1"/>
  <c r="B12787" i="1"/>
  <c r="C12787" i="1"/>
  <c r="D12787" i="1"/>
  <c r="E12787" i="1"/>
  <c r="F12787" i="1"/>
  <c r="G12787" i="1"/>
  <c r="H12787" i="1"/>
  <c r="I12787" i="1"/>
  <c r="J12787" i="1"/>
  <c r="K12787" i="1"/>
  <c r="L12787" i="1"/>
  <c r="A12788" i="1"/>
  <c r="B12788" i="1"/>
  <c r="C12788" i="1"/>
  <c r="D12788" i="1"/>
  <c r="E12788" i="1"/>
  <c r="F12788" i="1"/>
  <c r="G12788" i="1"/>
  <c r="H12788" i="1"/>
  <c r="I12788" i="1"/>
  <c r="J12788" i="1"/>
  <c r="K12788" i="1"/>
  <c r="L12788" i="1"/>
  <c r="A12789" i="1"/>
  <c r="B12789" i="1"/>
  <c r="C12789" i="1"/>
  <c r="D12789" i="1"/>
  <c r="E12789" i="1"/>
  <c r="F12789" i="1"/>
  <c r="G12789" i="1"/>
  <c r="H12789" i="1"/>
  <c r="I12789" i="1"/>
  <c r="J12789" i="1"/>
  <c r="K12789" i="1"/>
  <c r="L12789" i="1"/>
  <c r="A12790" i="1"/>
  <c r="B12790" i="1"/>
  <c r="C12790" i="1"/>
  <c r="D12790" i="1"/>
  <c r="E12790" i="1"/>
  <c r="F12790" i="1"/>
  <c r="G12790" i="1"/>
  <c r="H12790" i="1"/>
  <c r="I12790" i="1"/>
  <c r="J12790" i="1"/>
  <c r="K12790" i="1"/>
  <c r="L12790" i="1"/>
  <c r="A12791" i="1"/>
  <c r="B12791" i="1"/>
  <c r="C12791" i="1"/>
  <c r="D12791" i="1"/>
  <c r="E12791" i="1"/>
  <c r="F12791" i="1"/>
  <c r="G12791" i="1"/>
  <c r="H12791" i="1"/>
  <c r="I12791" i="1"/>
  <c r="J12791" i="1"/>
  <c r="K12791" i="1"/>
  <c r="L12791" i="1"/>
  <c r="A12792" i="1"/>
  <c r="B12792" i="1"/>
  <c r="C12792" i="1"/>
  <c r="D12792" i="1"/>
  <c r="E12792" i="1"/>
  <c r="F12792" i="1"/>
  <c r="G12792" i="1"/>
  <c r="H12792" i="1"/>
  <c r="I12792" i="1"/>
  <c r="J12792" i="1"/>
  <c r="K12792" i="1"/>
  <c r="L12792" i="1"/>
  <c r="A12793" i="1"/>
  <c r="B12793" i="1"/>
  <c r="C12793" i="1"/>
  <c r="D12793" i="1"/>
  <c r="E12793" i="1"/>
  <c r="F12793" i="1"/>
  <c r="G12793" i="1"/>
  <c r="H12793" i="1"/>
  <c r="I12793" i="1"/>
  <c r="J12793" i="1"/>
  <c r="K12793" i="1"/>
  <c r="L12793" i="1"/>
  <c r="A12794" i="1"/>
  <c r="B12794" i="1"/>
  <c r="C12794" i="1"/>
  <c r="D12794" i="1"/>
  <c r="E12794" i="1"/>
  <c r="F12794" i="1"/>
  <c r="G12794" i="1"/>
  <c r="H12794" i="1"/>
  <c r="I12794" i="1"/>
  <c r="J12794" i="1"/>
  <c r="K12794" i="1"/>
  <c r="L12794" i="1"/>
  <c r="A12795" i="1"/>
  <c r="B12795" i="1"/>
  <c r="C12795" i="1"/>
  <c r="D12795" i="1"/>
  <c r="E12795" i="1"/>
  <c r="F12795" i="1"/>
  <c r="G12795" i="1"/>
  <c r="H12795" i="1"/>
  <c r="I12795" i="1"/>
  <c r="J12795" i="1"/>
  <c r="K12795" i="1"/>
  <c r="L12795" i="1"/>
  <c r="A12796" i="1"/>
  <c r="B12796" i="1"/>
  <c r="C12796" i="1"/>
  <c r="D12796" i="1"/>
  <c r="E12796" i="1"/>
  <c r="F12796" i="1"/>
  <c r="G12796" i="1"/>
  <c r="H12796" i="1"/>
  <c r="I12796" i="1"/>
  <c r="J12796" i="1"/>
  <c r="K12796" i="1"/>
  <c r="L12796" i="1"/>
  <c r="A12797" i="1"/>
  <c r="B12797" i="1"/>
  <c r="C12797" i="1"/>
  <c r="D12797" i="1"/>
  <c r="E12797" i="1"/>
  <c r="F12797" i="1"/>
  <c r="G12797" i="1"/>
  <c r="H12797" i="1"/>
  <c r="I12797" i="1"/>
  <c r="J12797" i="1"/>
  <c r="K12797" i="1"/>
  <c r="L12797" i="1"/>
  <c r="A12798" i="1"/>
  <c r="B12798" i="1"/>
  <c r="C12798" i="1"/>
  <c r="D12798" i="1"/>
  <c r="E12798" i="1"/>
  <c r="F12798" i="1"/>
  <c r="G12798" i="1"/>
  <c r="H12798" i="1"/>
  <c r="I12798" i="1"/>
  <c r="J12798" i="1"/>
  <c r="K12798" i="1"/>
  <c r="L12798" i="1"/>
  <c r="A12799" i="1"/>
  <c r="B12799" i="1"/>
  <c r="C12799" i="1"/>
  <c r="D12799" i="1"/>
  <c r="E12799" i="1"/>
  <c r="F12799" i="1"/>
  <c r="G12799" i="1"/>
  <c r="H12799" i="1"/>
  <c r="I12799" i="1"/>
  <c r="J12799" i="1"/>
  <c r="K12799" i="1"/>
  <c r="L12799" i="1"/>
  <c r="A12800" i="1"/>
  <c r="B12800" i="1"/>
  <c r="C12800" i="1"/>
  <c r="D12800" i="1"/>
  <c r="E12800" i="1"/>
  <c r="F12800" i="1"/>
  <c r="G12800" i="1"/>
  <c r="H12800" i="1"/>
  <c r="I12800" i="1"/>
  <c r="J12800" i="1"/>
  <c r="K12800" i="1"/>
  <c r="L12800" i="1"/>
  <c r="A12801" i="1"/>
  <c r="B12801" i="1"/>
  <c r="C12801" i="1"/>
  <c r="D12801" i="1"/>
  <c r="E12801" i="1"/>
  <c r="F12801" i="1"/>
  <c r="G12801" i="1"/>
  <c r="H12801" i="1"/>
  <c r="I12801" i="1"/>
  <c r="J12801" i="1"/>
  <c r="K12801" i="1"/>
  <c r="L12801" i="1"/>
  <c r="A12802" i="1"/>
  <c r="B12802" i="1"/>
  <c r="C12802" i="1"/>
  <c r="D12802" i="1"/>
  <c r="E12802" i="1"/>
  <c r="F12802" i="1"/>
  <c r="G12802" i="1"/>
  <c r="H12802" i="1"/>
  <c r="I12802" i="1"/>
  <c r="J12802" i="1"/>
  <c r="K12802" i="1"/>
  <c r="L12802" i="1"/>
  <c r="A12803" i="1"/>
  <c r="B12803" i="1"/>
  <c r="C12803" i="1"/>
  <c r="D12803" i="1"/>
  <c r="E12803" i="1"/>
  <c r="F12803" i="1"/>
  <c r="G12803" i="1"/>
  <c r="H12803" i="1"/>
  <c r="I12803" i="1"/>
  <c r="J12803" i="1"/>
  <c r="K12803" i="1"/>
  <c r="L12803" i="1"/>
  <c r="A12804" i="1"/>
  <c r="B12804" i="1"/>
  <c r="C12804" i="1"/>
  <c r="D12804" i="1"/>
  <c r="E12804" i="1"/>
  <c r="F12804" i="1"/>
  <c r="G12804" i="1"/>
  <c r="H12804" i="1"/>
  <c r="I12804" i="1"/>
  <c r="J12804" i="1"/>
  <c r="K12804" i="1"/>
  <c r="L12804" i="1"/>
  <c r="A12805" i="1"/>
  <c r="B12805" i="1"/>
  <c r="C12805" i="1"/>
  <c r="D12805" i="1"/>
  <c r="E12805" i="1"/>
  <c r="F12805" i="1"/>
  <c r="G12805" i="1"/>
  <c r="H12805" i="1"/>
  <c r="I12805" i="1"/>
  <c r="J12805" i="1"/>
  <c r="K12805" i="1"/>
  <c r="L12805" i="1"/>
  <c r="A12806" i="1"/>
  <c r="B12806" i="1"/>
  <c r="C12806" i="1"/>
  <c r="D12806" i="1"/>
  <c r="E12806" i="1"/>
  <c r="F12806" i="1"/>
  <c r="G12806" i="1"/>
  <c r="H12806" i="1"/>
  <c r="I12806" i="1"/>
  <c r="J12806" i="1"/>
  <c r="K12806" i="1"/>
  <c r="L12806" i="1"/>
  <c r="A12807" i="1"/>
  <c r="B12807" i="1"/>
  <c r="C12807" i="1"/>
  <c r="D12807" i="1"/>
  <c r="E12807" i="1"/>
  <c r="F12807" i="1"/>
  <c r="G12807" i="1"/>
  <c r="H12807" i="1"/>
  <c r="I12807" i="1"/>
  <c r="J12807" i="1"/>
  <c r="K12807" i="1"/>
  <c r="L12807" i="1"/>
  <c r="A12808" i="1"/>
  <c r="B12808" i="1"/>
  <c r="C12808" i="1"/>
  <c r="D12808" i="1"/>
  <c r="E12808" i="1"/>
  <c r="F12808" i="1"/>
  <c r="G12808" i="1"/>
  <c r="H12808" i="1"/>
  <c r="I12808" i="1"/>
  <c r="J12808" i="1"/>
  <c r="K12808" i="1"/>
  <c r="L12808" i="1"/>
  <c r="A12809" i="1"/>
  <c r="B12809" i="1"/>
  <c r="C12809" i="1"/>
  <c r="D12809" i="1"/>
  <c r="E12809" i="1"/>
  <c r="F12809" i="1"/>
  <c r="G12809" i="1"/>
  <c r="H12809" i="1"/>
  <c r="I12809" i="1"/>
  <c r="J12809" i="1"/>
  <c r="K12809" i="1"/>
  <c r="L12809" i="1"/>
  <c r="A12810" i="1"/>
  <c r="B12810" i="1"/>
  <c r="C12810" i="1"/>
  <c r="D12810" i="1"/>
  <c r="E12810" i="1"/>
  <c r="F12810" i="1"/>
  <c r="G12810" i="1"/>
  <c r="H12810" i="1"/>
  <c r="I12810" i="1"/>
  <c r="J12810" i="1"/>
  <c r="K12810" i="1"/>
  <c r="L12810" i="1"/>
  <c r="A12811" i="1"/>
  <c r="B12811" i="1"/>
  <c r="C12811" i="1"/>
  <c r="D12811" i="1"/>
  <c r="E12811" i="1"/>
  <c r="F12811" i="1"/>
  <c r="G12811" i="1"/>
  <c r="H12811" i="1"/>
  <c r="I12811" i="1"/>
  <c r="J12811" i="1"/>
  <c r="K12811" i="1"/>
  <c r="L12811" i="1"/>
  <c r="A12812" i="1"/>
  <c r="B12812" i="1"/>
  <c r="C12812" i="1"/>
  <c r="D12812" i="1"/>
  <c r="E12812" i="1"/>
  <c r="F12812" i="1"/>
  <c r="G12812" i="1"/>
  <c r="H12812" i="1"/>
  <c r="I12812" i="1"/>
  <c r="J12812" i="1"/>
  <c r="K12812" i="1"/>
  <c r="L12812" i="1"/>
  <c r="A12813" i="1"/>
  <c r="B12813" i="1"/>
  <c r="C12813" i="1"/>
  <c r="D12813" i="1"/>
  <c r="E12813" i="1"/>
  <c r="F12813" i="1"/>
  <c r="G12813" i="1"/>
  <c r="H12813" i="1"/>
  <c r="I12813" i="1"/>
  <c r="J12813" i="1"/>
  <c r="K12813" i="1"/>
  <c r="L12813" i="1"/>
  <c r="A12814" i="1"/>
  <c r="B12814" i="1"/>
  <c r="C12814" i="1"/>
  <c r="D12814" i="1"/>
  <c r="E12814" i="1"/>
  <c r="F12814" i="1"/>
  <c r="G12814" i="1"/>
  <c r="H12814" i="1"/>
  <c r="I12814" i="1"/>
  <c r="J12814" i="1"/>
  <c r="K12814" i="1"/>
  <c r="L12814" i="1"/>
  <c r="A12815" i="1"/>
  <c r="B12815" i="1"/>
  <c r="C12815" i="1"/>
  <c r="D12815" i="1"/>
  <c r="E12815" i="1"/>
  <c r="F12815" i="1"/>
  <c r="G12815" i="1"/>
  <c r="H12815" i="1"/>
  <c r="I12815" i="1"/>
  <c r="J12815" i="1"/>
  <c r="K12815" i="1"/>
  <c r="L12815" i="1"/>
  <c r="A12816" i="1"/>
  <c r="B12816" i="1"/>
  <c r="C12816" i="1"/>
  <c r="D12816" i="1"/>
  <c r="E12816" i="1"/>
  <c r="F12816" i="1"/>
  <c r="G12816" i="1"/>
  <c r="H12816" i="1"/>
  <c r="I12816" i="1"/>
  <c r="J12816" i="1"/>
  <c r="K12816" i="1"/>
  <c r="L12816" i="1"/>
  <c r="A12817" i="1"/>
  <c r="B12817" i="1"/>
  <c r="C12817" i="1"/>
  <c r="D12817" i="1"/>
  <c r="E12817" i="1"/>
  <c r="F12817" i="1"/>
  <c r="G12817" i="1"/>
  <c r="H12817" i="1"/>
  <c r="I12817" i="1"/>
  <c r="J12817" i="1"/>
  <c r="K12817" i="1"/>
  <c r="L12817" i="1"/>
  <c r="A12818" i="1"/>
  <c r="B12818" i="1"/>
  <c r="C12818" i="1"/>
  <c r="D12818" i="1"/>
  <c r="E12818" i="1"/>
  <c r="F12818" i="1"/>
  <c r="G12818" i="1"/>
  <c r="H12818" i="1"/>
  <c r="I12818" i="1"/>
  <c r="J12818" i="1"/>
  <c r="K12818" i="1"/>
  <c r="L12818" i="1"/>
  <c r="A12819" i="1"/>
  <c r="B12819" i="1"/>
  <c r="C12819" i="1"/>
  <c r="D12819" i="1"/>
  <c r="E12819" i="1"/>
  <c r="F12819" i="1"/>
  <c r="G12819" i="1"/>
  <c r="H12819" i="1"/>
  <c r="I12819" i="1"/>
  <c r="J12819" i="1"/>
  <c r="K12819" i="1"/>
  <c r="L12819" i="1"/>
  <c r="A12820" i="1"/>
  <c r="B12820" i="1"/>
  <c r="C12820" i="1"/>
  <c r="D12820" i="1"/>
  <c r="E12820" i="1"/>
  <c r="F12820" i="1"/>
  <c r="G12820" i="1"/>
  <c r="H12820" i="1"/>
  <c r="I12820" i="1"/>
  <c r="J12820" i="1"/>
  <c r="K12820" i="1"/>
  <c r="L12820" i="1"/>
  <c r="A12821" i="1"/>
  <c r="B12821" i="1"/>
  <c r="C12821" i="1"/>
  <c r="D12821" i="1"/>
  <c r="E12821" i="1"/>
  <c r="F12821" i="1"/>
  <c r="G12821" i="1"/>
  <c r="H12821" i="1"/>
  <c r="I12821" i="1"/>
  <c r="J12821" i="1"/>
  <c r="K12821" i="1"/>
  <c r="L12821" i="1"/>
  <c r="A12822" i="1"/>
  <c r="B12822" i="1"/>
  <c r="C12822" i="1"/>
  <c r="D12822" i="1"/>
  <c r="E12822" i="1"/>
  <c r="F12822" i="1"/>
  <c r="G12822" i="1"/>
  <c r="H12822" i="1"/>
  <c r="I12822" i="1"/>
  <c r="J12822" i="1"/>
  <c r="K12822" i="1"/>
  <c r="L12822" i="1"/>
  <c r="A12823" i="1"/>
  <c r="B12823" i="1"/>
  <c r="C12823" i="1"/>
  <c r="D12823" i="1"/>
  <c r="E12823" i="1"/>
  <c r="F12823" i="1"/>
  <c r="G12823" i="1"/>
  <c r="H12823" i="1"/>
  <c r="I12823" i="1"/>
  <c r="J12823" i="1"/>
  <c r="K12823" i="1"/>
  <c r="L12823" i="1"/>
  <c r="A12824" i="1"/>
  <c r="B12824" i="1"/>
  <c r="C12824" i="1"/>
  <c r="D12824" i="1"/>
  <c r="E12824" i="1"/>
  <c r="F12824" i="1"/>
  <c r="G12824" i="1"/>
  <c r="H12824" i="1"/>
  <c r="I12824" i="1"/>
  <c r="J12824" i="1"/>
  <c r="K12824" i="1"/>
  <c r="L12824" i="1"/>
  <c r="A12825" i="1"/>
  <c r="B12825" i="1"/>
  <c r="C12825" i="1"/>
  <c r="D12825" i="1"/>
  <c r="E12825" i="1"/>
  <c r="F12825" i="1"/>
  <c r="G12825" i="1"/>
  <c r="H12825" i="1"/>
  <c r="I12825" i="1"/>
  <c r="J12825" i="1"/>
  <c r="K12825" i="1"/>
  <c r="L12825" i="1"/>
  <c r="A12826" i="1"/>
  <c r="B12826" i="1"/>
  <c r="C12826" i="1"/>
  <c r="D12826" i="1"/>
  <c r="E12826" i="1"/>
  <c r="F12826" i="1"/>
  <c r="G12826" i="1"/>
  <c r="H12826" i="1"/>
  <c r="I12826" i="1"/>
  <c r="J12826" i="1"/>
  <c r="K12826" i="1"/>
  <c r="L12826" i="1"/>
  <c r="A12827" i="1"/>
  <c r="B12827" i="1"/>
  <c r="C12827" i="1"/>
  <c r="D12827" i="1"/>
  <c r="E12827" i="1"/>
  <c r="F12827" i="1"/>
  <c r="G12827" i="1"/>
  <c r="H12827" i="1"/>
  <c r="I12827" i="1"/>
  <c r="J12827" i="1"/>
  <c r="K12827" i="1"/>
  <c r="L12827" i="1"/>
  <c r="A12828" i="1"/>
  <c r="B12828" i="1"/>
  <c r="C12828" i="1"/>
  <c r="D12828" i="1"/>
  <c r="E12828" i="1"/>
  <c r="F12828" i="1"/>
  <c r="G12828" i="1"/>
  <c r="H12828" i="1"/>
  <c r="I12828" i="1"/>
  <c r="J12828" i="1"/>
  <c r="K12828" i="1"/>
  <c r="L12828" i="1"/>
  <c r="A12829" i="1"/>
  <c r="B12829" i="1"/>
  <c r="C12829" i="1"/>
  <c r="D12829" i="1"/>
  <c r="E12829" i="1"/>
  <c r="F12829" i="1"/>
  <c r="G12829" i="1"/>
  <c r="H12829" i="1"/>
  <c r="I12829" i="1"/>
  <c r="J12829" i="1"/>
  <c r="K12829" i="1"/>
  <c r="L12829" i="1"/>
  <c r="A12830" i="1"/>
  <c r="B12830" i="1"/>
  <c r="C12830" i="1"/>
  <c r="D12830" i="1"/>
  <c r="E12830" i="1"/>
  <c r="F12830" i="1"/>
  <c r="G12830" i="1"/>
  <c r="H12830" i="1"/>
  <c r="I12830" i="1"/>
  <c r="J12830" i="1"/>
  <c r="K12830" i="1"/>
  <c r="L12830" i="1"/>
  <c r="A12831" i="1"/>
  <c r="B12831" i="1"/>
  <c r="C12831" i="1"/>
  <c r="D12831" i="1"/>
  <c r="E12831" i="1"/>
  <c r="F12831" i="1"/>
  <c r="G12831" i="1"/>
  <c r="H12831" i="1"/>
  <c r="I12831" i="1"/>
  <c r="J12831" i="1"/>
  <c r="K12831" i="1"/>
  <c r="L12831" i="1"/>
  <c r="A12832" i="1"/>
  <c r="B12832" i="1"/>
  <c r="C12832" i="1"/>
  <c r="D12832" i="1"/>
  <c r="E12832" i="1"/>
  <c r="F12832" i="1"/>
  <c r="G12832" i="1"/>
  <c r="H12832" i="1"/>
  <c r="I12832" i="1"/>
  <c r="J12832" i="1"/>
  <c r="K12832" i="1"/>
  <c r="L12832" i="1"/>
  <c r="A12833" i="1"/>
  <c r="B12833" i="1"/>
  <c r="C12833" i="1"/>
  <c r="D12833" i="1"/>
  <c r="E12833" i="1"/>
  <c r="F12833" i="1"/>
  <c r="G12833" i="1"/>
  <c r="H12833" i="1"/>
  <c r="I12833" i="1"/>
  <c r="J12833" i="1"/>
  <c r="K12833" i="1"/>
  <c r="L12833" i="1"/>
  <c r="A12834" i="1"/>
  <c r="B12834" i="1"/>
  <c r="C12834" i="1"/>
  <c r="D12834" i="1"/>
  <c r="E12834" i="1"/>
  <c r="F12834" i="1"/>
  <c r="G12834" i="1"/>
  <c r="H12834" i="1"/>
  <c r="I12834" i="1"/>
  <c r="J12834" i="1"/>
  <c r="K12834" i="1"/>
  <c r="L12834" i="1"/>
  <c r="A12835" i="1"/>
  <c r="B12835" i="1"/>
  <c r="C12835" i="1"/>
  <c r="D12835" i="1"/>
  <c r="E12835" i="1"/>
  <c r="F12835" i="1"/>
  <c r="G12835" i="1"/>
  <c r="H12835" i="1"/>
  <c r="I12835" i="1"/>
  <c r="J12835" i="1"/>
  <c r="K12835" i="1"/>
  <c r="L12835" i="1"/>
  <c r="A12836" i="1"/>
  <c r="B12836" i="1"/>
  <c r="C12836" i="1"/>
  <c r="D12836" i="1"/>
  <c r="E12836" i="1"/>
  <c r="F12836" i="1"/>
  <c r="G12836" i="1"/>
  <c r="H12836" i="1"/>
  <c r="I12836" i="1"/>
  <c r="J12836" i="1"/>
  <c r="K12836" i="1"/>
  <c r="L12836" i="1"/>
  <c r="A12837" i="1"/>
  <c r="B12837" i="1"/>
  <c r="C12837" i="1"/>
  <c r="D12837" i="1"/>
  <c r="E12837" i="1"/>
  <c r="F12837" i="1"/>
  <c r="G12837" i="1"/>
  <c r="H12837" i="1"/>
  <c r="I12837" i="1"/>
  <c r="J12837" i="1"/>
  <c r="K12837" i="1"/>
  <c r="L12837" i="1"/>
  <c r="A12838" i="1"/>
  <c r="B12838" i="1"/>
  <c r="C12838" i="1"/>
  <c r="D12838" i="1"/>
  <c r="E12838" i="1"/>
  <c r="F12838" i="1"/>
  <c r="G12838" i="1"/>
  <c r="H12838" i="1"/>
  <c r="I12838" i="1"/>
  <c r="J12838" i="1"/>
  <c r="K12838" i="1"/>
  <c r="L12838" i="1"/>
  <c r="A12839" i="1"/>
  <c r="B12839" i="1"/>
  <c r="C12839" i="1"/>
  <c r="D12839" i="1"/>
  <c r="E12839" i="1"/>
  <c r="F12839" i="1"/>
  <c r="G12839" i="1"/>
  <c r="H12839" i="1"/>
  <c r="I12839" i="1"/>
  <c r="J12839" i="1"/>
  <c r="K12839" i="1"/>
  <c r="L12839" i="1"/>
  <c r="A12840" i="1"/>
  <c r="B12840" i="1"/>
  <c r="C12840" i="1"/>
  <c r="D12840" i="1"/>
  <c r="E12840" i="1"/>
  <c r="F12840" i="1"/>
  <c r="G12840" i="1"/>
  <c r="H12840" i="1"/>
  <c r="I12840" i="1"/>
  <c r="J12840" i="1"/>
  <c r="K12840" i="1"/>
  <c r="L12840" i="1"/>
  <c r="A12841" i="1"/>
  <c r="B12841" i="1"/>
  <c r="C12841" i="1"/>
  <c r="D12841" i="1"/>
  <c r="E12841" i="1"/>
  <c r="F12841" i="1"/>
  <c r="G12841" i="1"/>
  <c r="H12841" i="1"/>
  <c r="I12841" i="1"/>
  <c r="J12841" i="1"/>
  <c r="K12841" i="1"/>
  <c r="L12841" i="1"/>
  <c r="A12842" i="1"/>
  <c r="B12842" i="1"/>
  <c r="C12842" i="1"/>
  <c r="D12842" i="1"/>
  <c r="E12842" i="1"/>
  <c r="F12842" i="1"/>
  <c r="G12842" i="1"/>
  <c r="H12842" i="1"/>
  <c r="I12842" i="1"/>
  <c r="J12842" i="1"/>
  <c r="K12842" i="1"/>
  <c r="L12842" i="1"/>
  <c r="A12843" i="1"/>
  <c r="B12843" i="1"/>
  <c r="C12843" i="1"/>
  <c r="D12843" i="1"/>
  <c r="E12843" i="1"/>
  <c r="F12843" i="1"/>
  <c r="G12843" i="1"/>
  <c r="H12843" i="1"/>
  <c r="I12843" i="1"/>
  <c r="J12843" i="1"/>
  <c r="K12843" i="1"/>
  <c r="L12843" i="1"/>
  <c r="A12844" i="1"/>
  <c r="B12844" i="1"/>
  <c r="C12844" i="1"/>
  <c r="D12844" i="1"/>
  <c r="E12844" i="1"/>
  <c r="F12844" i="1"/>
  <c r="G12844" i="1"/>
  <c r="H12844" i="1"/>
  <c r="I12844" i="1"/>
  <c r="J12844" i="1"/>
  <c r="K12844" i="1"/>
  <c r="L12844" i="1"/>
  <c r="A12845" i="1"/>
  <c r="B12845" i="1"/>
  <c r="C12845" i="1"/>
  <c r="D12845" i="1"/>
  <c r="E12845" i="1"/>
  <c r="F12845" i="1"/>
  <c r="G12845" i="1"/>
  <c r="H12845" i="1"/>
  <c r="I12845" i="1"/>
  <c r="J12845" i="1"/>
  <c r="K12845" i="1"/>
  <c r="L12845" i="1"/>
  <c r="A12846" i="1"/>
  <c r="B12846" i="1"/>
  <c r="C12846" i="1"/>
  <c r="D12846" i="1"/>
  <c r="E12846" i="1"/>
  <c r="F12846" i="1"/>
  <c r="G12846" i="1"/>
  <c r="H12846" i="1"/>
  <c r="I12846" i="1"/>
  <c r="J12846" i="1"/>
  <c r="K12846" i="1"/>
  <c r="L12846" i="1"/>
  <c r="A12847" i="1"/>
  <c r="B12847" i="1"/>
  <c r="C12847" i="1"/>
  <c r="D12847" i="1"/>
  <c r="E12847" i="1"/>
  <c r="F12847" i="1"/>
  <c r="G12847" i="1"/>
  <c r="H12847" i="1"/>
  <c r="I12847" i="1"/>
  <c r="J12847" i="1"/>
  <c r="K12847" i="1"/>
  <c r="L12847" i="1"/>
  <c r="A12848" i="1"/>
  <c r="B12848" i="1"/>
  <c r="C12848" i="1"/>
  <c r="D12848" i="1"/>
  <c r="E12848" i="1"/>
  <c r="F12848" i="1"/>
  <c r="G12848" i="1"/>
  <c r="H12848" i="1"/>
  <c r="I12848" i="1"/>
  <c r="J12848" i="1"/>
  <c r="K12848" i="1"/>
  <c r="L12848" i="1"/>
  <c r="A12849" i="1"/>
  <c r="B12849" i="1"/>
  <c r="C12849" i="1"/>
  <c r="D12849" i="1"/>
  <c r="E12849" i="1"/>
  <c r="F12849" i="1"/>
  <c r="G12849" i="1"/>
  <c r="H12849" i="1"/>
  <c r="I12849" i="1"/>
  <c r="J12849" i="1"/>
  <c r="K12849" i="1"/>
  <c r="L12849" i="1"/>
  <c r="A12850" i="1"/>
  <c r="B12850" i="1"/>
  <c r="C12850" i="1"/>
  <c r="D12850" i="1"/>
  <c r="E12850" i="1"/>
  <c r="F12850" i="1"/>
  <c r="G12850" i="1"/>
  <c r="H12850" i="1"/>
  <c r="I12850" i="1"/>
  <c r="J12850" i="1"/>
  <c r="K12850" i="1"/>
  <c r="L12850" i="1"/>
  <c r="A12851" i="1"/>
  <c r="B12851" i="1"/>
  <c r="C12851" i="1"/>
  <c r="D12851" i="1"/>
  <c r="E12851" i="1"/>
  <c r="F12851" i="1"/>
  <c r="G12851" i="1"/>
  <c r="H12851" i="1"/>
  <c r="I12851" i="1"/>
  <c r="J12851" i="1"/>
  <c r="K12851" i="1"/>
  <c r="L12851" i="1"/>
  <c r="A12852" i="1"/>
  <c r="B12852" i="1"/>
  <c r="C12852" i="1"/>
  <c r="D12852" i="1"/>
  <c r="E12852" i="1"/>
  <c r="F12852" i="1"/>
  <c r="G12852" i="1"/>
  <c r="H12852" i="1"/>
  <c r="I12852" i="1"/>
  <c r="J12852" i="1"/>
  <c r="K12852" i="1"/>
  <c r="L12852" i="1"/>
  <c r="A12853" i="1"/>
  <c r="B12853" i="1"/>
  <c r="C12853" i="1"/>
  <c r="D12853" i="1"/>
  <c r="E12853" i="1"/>
  <c r="F12853" i="1"/>
  <c r="G12853" i="1"/>
  <c r="H12853" i="1"/>
  <c r="I12853" i="1"/>
  <c r="J12853" i="1"/>
  <c r="K12853" i="1"/>
  <c r="L12853" i="1"/>
  <c r="A12854" i="1"/>
  <c r="B12854" i="1"/>
  <c r="C12854" i="1"/>
  <c r="D12854" i="1"/>
  <c r="E12854" i="1"/>
  <c r="F12854" i="1"/>
  <c r="G12854" i="1"/>
  <c r="H12854" i="1"/>
  <c r="I12854" i="1"/>
  <c r="J12854" i="1"/>
  <c r="K12854" i="1"/>
  <c r="L12854" i="1"/>
  <c r="A12855" i="1"/>
  <c r="B12855" i="1"/>
  <c r="C12855" i="1"/>
  <c r="D12855" i="1"/>
  <c r="E12855" i="1"/>
  <c r="F12855" i="1"/>
  <c r="G12855" i="1"/>
  <c r="H12855" i="1"/>
  <c r="I12855" i="1"/>
  <c r="J12855" i="1"/>
  <c r="K12855" i="1"/>
  <c r="L12855" i="1"/>
  <c r="A12856" i="1"/>
  <c r="B12856" i="1"/>
  <c r="C12856" i="1"/>
  <c r="D12856" i="1"/>
  <c r="E12856" i="1"/>
  <c r="F12856" i="1"/>
  <c r="G12856" i="1"/>
  <c r="H12856" i="1"/>
  <c r="I12856" i="1"/>
  <c r="J12856" i="1"/>
  <c r="K12856" i="1"/>
  <c r="L12856" i="1"/>
  <c r="A12857" i="1"/>
  <c r="B12857" i="1"/>
  <c r="C12857" i="1"/>
  <c r="D12857" i="1"/>
  <c r="E12857" i="1"/>
  <c r="F12857" i="1"/>
  <c r="G12857" i="1"/>
  <c r="H12857" i="1"/>
  <c r="I12857" i="1"/>
  <c r="J12857" i="1"/>
  <c r="K12857" i="1"/>
  <c r="L12857" i="1"/>
  <c r="A12858" i="1"/>
  <c r="B12858" i="1"/>
  <c r="C12858" i="1"/>
  <c r="D12858" i="1"/>
  <c r="E12858" i="1"/>
  <c r="F12858" i="1"/>
  <c r="G12858" i="1"/>
  <c r="H12858" i="1"/>
  <c r="I12858" i="1"/>
  <c r="J12858" i="1"/>
  <c r="K12858" i="1"/>
  <c r="L12858" i="1"/>
  <c r="A12859" i="1"/>
  <c r="B12859" i="1"/>
  <c r="C12859" i="1"/>
  <c r="D12859" i="1"/>
  <c r="E12859" i="1"/>
  <c r="F12859" i="1"/>
  <c r="G12859" i="1"/>
  <c r="H12859" i="1"/>
  <c r="I12859" i="1"/>
  <c r="J12859" i="1"/>
  <c r="K12859" i="1"/>
  <c r="L12859" i="1"/>
  <c r="A12860" i="1"/>
  <c r="B12860" i="1"/>
  <c r="C12860" i="1"/>
  <c r="D12860" i="1"/>
  <c r="E12860" i="1"/>
  <c r="F12860" i="1"/>
  <c r="G12860" i="1"/>
  <c r="H12860" i="1"/>
  <c r="I12860" i="1"/>
  <c r="J12860" i="1"/>
  <c r="K12860" i="1"/>
  <c r="L12860" i="1"/>
  <c r="A12861" i="1"/>
  <c r="B12861" i="1"/>
  <c r="C12861" i="1"/>
  <c r="D12861" i="1"/>
  <c r="E12861" i="1"/>
  <c r="F12861" i="1"/>
  <c r="G12861" i="1"/>
  <c r="H12861" i="1"/>
  <c r="I12861" i="1"/>
  <c r="J12861" i="1"/>
  <c r="K12861" i="1"/>
  <c r="L12861" i="1"/>
  <c r="A12862" i="1"/>
  <c r="B12862" i="1"/>
  <c r="C12862" i="1"/>
  <c r="D12862" i="1"/>
  <c r="E12862" i="1"/>
  <c r="F12862" i="1"/>
  <c r="G12862" i="1"/>
  <c r="H12862" i="1"/>
  <c r="I12862" i="1"/>
  <c r="J12862" i="1"/>
  <c r="K12862" i="1"/>
  <c r="L12862" i="1"/>
  <c r="A12863" i="1"/>
  <c r="B12863" i="1"/>
  <c r="C12863" i="1"/>
  <c r="D12863" i="1"/>
  <c r="E12863" i="1"/>
  <c r="F12863" i="1"/>
  <c r="G12863" i="1"/>
  <c r="H12863" i="1"/>
  <c r="I12863" i="1"/>
  <c r="J12863" i="1"/>
  <c r="K12863" i="1"/>
  <c r="L12863" i="1"/>
  <c r="A12864" i="1"/>
  <c r="B12864" i="1"/>
  <c r="C12864" i="1"/>
  <c r="D12864" i="1"/>
  <c r="E12864" i="1"/>
  <c r="F12864" i="1"/>
  <c r="G12864" i="1"/>
  <c r="H12864" i="1"/>
  <c r="I12864" i="1"/>
  <c r="J12864" i="1"/>
  <c r="K12864" i="1"/>
  <c r="L12864" i="1"/>
  <c r="A12865" i="1"/>
  <c r="B12865" i="1"/>
  <c r="C12865" i="1"/>
  <c r="D12865" i="1"/>
  <c r="E12865" i="1"/>
  <c r="F12865" i="1"/>
  <c r="G12865" i="1"/>
  <c r="H12865" i="1"/>
  <c r="I12865" i="1"/>
  <c r="J12865" i="1"/>
  <c r="K12865" i="1"/>
  <c r="L12865" i="1"/>
  <c r="A12866" i="1"/>
  <c r="B12866" i="1"/>
  <c r="C12866" i="1"/>
  <c r="D12866" i="1"/>
  <c r="E12866" i="1"/>
  <c r="F12866" i="1"/>
  <c r="G12866" i="1"/>
  <c r="H12866" i="1"/>
  <c r="I12866" i="1"/>
  <c r="J12866" i="1"/>
  <c r="K12866" i="1"/>
  <c r="L12866" i="1"/>
  <c r="A12867" i="1"/>
  <c r="B12867" i="1"/>
  <c r="C12867" i="1"/>
  <c r="D12867" i="1"/>
  <c r="E12867" i="1"/>
  <c r="F12867" i="1"/>
  <c r="G12867" i="1"/>
  <c r="H12867" i="1"/>
  <c r="I12867" i="1"/>
  <c r="J12867" i="1"/>
  <c r="K12867" i="1"/>
  <c r="L12867" i="1"/>
  <c r="A12868" i="1"/>
  <c r="B12868" i="1"/>
  <c r="C12868" i="1"/>
  <c r="D12868" i="1"/>
  <c r="E12868" i="1"/>
  <c r="F12868" i="1"/>
  <c r="G12868" i="1"/>
  <c r="H12868" i="1"/>
  <c r="I12868" i="1"/>
  <c r="J12868" i="1"/>
  <c r="K12868" i="1"/>
  <c r="L12868" i="1"/>
  <c r="A12869" i="1"/>
  <c r="B12869" i="1"/>
  <c r="C12869" i="1"/>
  <c r="D12869" i="1"/>
  <c r="E12869" i="1"/>
  <c r="F12869" i="1"/>
  <c r="G12869" i="1"/>
  <c r="H12869" i="1"/>
  <c r="I12869" i="1"/>
  <c r="J12869" i="1"/>
  <c r="K12869" i="1"/>
  <c r="L12869" i="1"/>
  <c r="A12870" i="1"/>
  <c r="B12870" i="1"/>
  <c r="C12870" i="1"/>
  <c r="D12870" i="1"/>
  <c r="E12870" i="1"/>
  <c r="F12870" i="1"/>
  <c r="G12870" i="1"/>
  <c r="H12870" i="1"/>
  <c r="I12870" i="1"/>
  <c r="J12870" i="1"/>
  <c r="K12870" i="1"/>
  <c r="L12870" i="1"/>
  <c r="A12871" i="1"/>
  <c r="B12871" i="1"/>
  <c r="C12871" i="1"/>
  <c r="D12871" i="1"/>
  <c r="E12871" i="1"/>
  <c r="F12871" i="1"/>
  <c r="G12871" i="1"/>
  <c r="H12871" i="1"/>
  <c r="I12871" i="1"/>
  <c r="J12871" i="1"/>
  <c r="K12871" i="1"/>
  <c r="L12871" i="1"/>
  <c r="A12872" i="1"/>
  <c r="B12872" i="1"/>
  <c r="C12872" i="1"/>
  <c r="D12872" i="1"/>
  <c r="E12872" i="1"/>
  <c r="F12872" i="1"/>
  <c r="G12872" i="1"/>
  <c r="H12872" i="1"/>
  <c r="I12872" i="1"/>
  <c r="J12872" i="1"/>
  <c r="K12872" i="1"/>
  <c r="L12872" i="1"/>
  <c r="A12873" i="1"/>
  <c r="B12873" i="1"/>
  <c r="C12873" i="1"/>
  <c r="D12873" i="1"/>
  <c r="E12873" i="1"/>
  <c r="F12873" i="1"/>
  <c r="G12873" i="1"/>
  <c r="H12873" i="1"/>
  <c r="I12873" i="1"/>
  <c r="J12873" i="1"/>
  <c r="K12873" i="1"/>
  <c r="L12873" i="1"/>
  <c r="A12874" i="1"/>
  <c r="B12874" i="1"/>
  <c r="C12874" i="1"/>
  <c r="D12874" i="1"/>
  <c r="E12874" i="1"/>
  <c r="F12874" i="1"/>
  <c r="G12874" i="1"/>
  <c r="H12874" i="1"/>
  <c r="I12874" i="1"/>
  <c r="J12874" i="1"/>
  <c r="K12874" i="1"/>
  <c r="L12874" i="1"/>
  <c r="A12875" i="1"/>
  <c r="B12875" i="1"/>
  <c r="C12875" i="1"/>
  <c r="D12875" i="1"/>
  <c r="E12875" i="1"/>
  <c r="F12875" i="1"/>
  <c r="G12875" i="1"/>
  <c r="H12875" i="1"/>
  <c r="I12875" i="1"/>
  <c r="J12875" i="1"/>
  <c r="K12875" i="1"/>
  <c r="L12875" i="1"/>
  <c r="A12876" i="1"/>
  <c r="B12876" i="1"/>
  <c r="C12876" i="1"/>
  <c r="D12876" i="1"/>
  <c r="E12876" i="1"/>
  <c r="F12876" i="1"/>
  <c r="G12876" i="1"/>
  <c r="H12876" i="1"/>
  <c r="I12876" i="1"/>
  <c r="J12876" i="1"/>
  <c r="K12876" i="1"/>
  <c r="L12876" i="1"/>
  <c r="A12877" i="1"/>
  <c r="B12877" i="1"/>
  <c r="C12877" i="1"/>
  <c r="D12877" i="1"/>
  <c r="E12877" i="1"/>
  <c r="F12877" i="1"/>
  <c r="G12877" i="1"/>
  <c r="H12877" i="1"/>
  <c r="I12877" i="1"/>
  <c r="J12877" i="1"/>
  <c r="K12877" i="1"/>
  <c r="L12877" i="1"/>
  <c r="A12878" i="1"/>
  <c r="B12878" i="1"/>
  <c r="C12878" i="1"/>
  <c r="D12878" i="1"/>
  <c r="E12878" i="1"/>
  <c r="F12878" i="1"/>
  <c r="G12878" i="1"/>
  <c r="H12878" i="1"/>
  <c r="I12878" i="1"/>
  <c r="J12878" i="1"/>
  <c r="K12878" i="1"/>
  <c r="L12878" i="1"/>
  <c r="A12879" i="1"/>
  <c r="B12879" i="1"/>
  <c r="C12879" i="1"/>
  <c r="D12879" i="1"/>
  <c r="E12879" i="1"/>
  <c r="F12879" i="1"/>
  <c r="G12879" i="1"/>
  <c r="H12879" i="1"/>
  <c r="I12879" i="1"/>
  <c r="J12879" i="1"/>
  <c r="K12879" i="1"/>
  <c r="L12879" i="1"/>
  <c r="A12880" i="1"/>
  <c r="B12880" i="1"/>
  <c r="C12880" i="1"/>
  <c r="D12880" i="1"/>
  <c r="E12880" i="1"/>
  <c r="F12880" i="1"/>
  <c r="G12880" i="1"/>
  <c r="H12880" i="1"/>
  <c r="I12880" i="1"/>
  <c r="J12880" i="1"/>
  <c r="K12880" i="1"/>
  <c r="L12880" i="1"/>
  <c r="A12881" i="1"/>
  <c r="B12881" i="1"/>
  <c r="C12881" i="1"/>
  <c r="D12881" i="1"/>
  <c r="E12881" i="1"/>
  <c r="F12881" i="1"/>
  <c r="G12881" i="1"/>
  <c r="H12881" i="1"/>
  <c r="I12881" i="1"/>
  <c r="J12881" i="1"/>
  <c r="K12881" i="1"/>
  <c r="L12881" i="1"/>
  <c r="A12882" i="1"/>
  <c r="B12882" i="1"/>
  <c r="C12882" i="1"/>
  <c r="D12882" i="1"/>
  <c r="E12882" i="1"/>
  <c r="F12882" i="1"/>
  <c r="G12882" i="1"/>
  <c r="H12882" i="1"/>
  <c r="I12882" i="1"/>
  <c r="J12882" i="1"/>
  <c r="K12882" i="1"/>
  <c r="L12882" i="1"/>
  <c r="A12883" i="1"/>
  <c r="B12883" i="1"/>
  <c r="C12883" i="1"/>
  <c r="D12883" i="1"/>
  <c r="E12883" i="1"/>
  <c r="F12883" i="1"/>
  <c r="G12883" i="1"/>
  <c r="H12883" i="1"/>
  <c r="I12883" i="1"/>
  <c r="J12883" i="1"/>
  <c r="K12883" i="1"/>
  <c r="L12883" i="1"/>
  <c r="A12884" i="1"/>
  <c r="B12884" i="1"/>
  <c r="C12884" i="1"/>
  <c r="D12884" i="1"/>
  <c r="E12884" i="1"/>
  <c r="F12884" i="1"/>
  <c r="G12884" i="1"/>
  <c r="H12884" i="1"/>
  <c r="I12884" i="1"/>
  <c r="J12884" i="1"/>
  <c r="K12884" i="1"/>
  <c r="L12884" i="1"/>
  <c r="A12885" i="1"/>
  <c r="B12885" i="1"/>
  <c r="C12885" i="1"/>
  <c r="D12885" i="1"/>
  <c r="E12885" i="1"/>
  <c r="F12885" i="1"/>
  <c r="G12885" i="1"/>
  <c r="H12885" i="1"/>
  <c r="I12885" i="1"/>
  <c r="J12885" i="1"/>
  <c r="K12885" i="1"/>
  <c r="L12885" i="1"/>
  <c r="A12886" i="1"/>
  <c r="B12886" i="1"/>
  <c r="C12886" i="1"/>
  <c r="D12886" i="1"/>
  <c r="E12886" i="1"/>
  <c r="F12886" i="1"/>
  <c r="G12886" i="1"/>
  <c r="H12886" i="1"/>
  <c r="I12886" i="1"/>
  <c r="J12886" i="1"/>
  <c r="K12886" i="1"/>
  <c r="L12886" i="1"/>
  <c r="A12887" i="1"/>
  <c r="B12887" i="1"/>
  <c r="C12887" i="1"/>
  <c r="D12887" i="1"/>
  <c r="E12887" i="1"/>
  <c r="F12887" i="1"/>
  <c r="G12887" i="1"/>
  <c r="H12887" i="1"/>
  <c r="I12887" i="1"/>
  <c r="J12887" i="1"/>
  <c r="K12887" i="1"/>
  <c r="L12887" i="1"/>
  <c r="A12888" i="1"/>
  <c r="B12888" i="1"/>
  <c r="C12888" i="1"/>
  <c r="D12888" i="1"/>
  <c r="E12888" i="1"/>
  <c r="F12888" i="1"/>
  <c r="G12888" i="1"/>
  <c r="H12888" i="1"/>
  <c r="I12888" i="1"/>
  <c r="J12888" i="1"/>
  <c r="K12888" i="1"/>
  <c r="L12888" i="1"/>
  <c r="A12889" i="1"/>
  <c r="B12889" i="1"/>
  <c r="C12889" i="1"/>
  <c r="D12889" i="1"/>
  <c r="E12889" i="1"/>
  <c r="F12889" i="1"/>
  <c r="G12889" i="1"/>
  <c r="H12889" i="1"/>
  <c r="I12889" i="1"/>
  <c r="J12889" i="1"/>
  <c r="K12889" i="1"/>
  <c r="L12889" i="1"/>
  <c r="A12890" i="1"/>
  <c r="B12890" i="1"/>
  <c r="C12890" i="1"/>
  <c r="D12890" i="1"/>
  <c r="E12890" i="1"/>
  <c r="F12890" i="1"/>
  <c r="G12890" i="1"/>
  <c r="H12890" i="1"/>
  <c r="I12890" i="1"/>
  <c r="J12890" i="1"/>
  <c r="K12890" i="1"/>
  <c r="L12890" i="1"/>
  <c r="A12891" i="1"/>
  <c r="B12891" i="1"/>
  <c r="C12891" i="1"/>
  <c r="D12891" i="1"/>
  <c r="E12891" i="1"/>
  <c r="F12891" i="1"/>
  <c r="G12891" i="1"/>
  <c r="H12891" i="1"/>
  <c r="I12891" i="1"/>
  <c r="J12891" i="1"/>
  <c r="K12891" i="1"/>
  <c r="L12891" i="1"/>
  <c r="A12892" i="1"/>
  <c r="B12892" i="1"/>
  <c r="C12892" i="1"/>
  <c r="D12892" i="1"/>
  <c r="E12892" i="1"/>
  <c r="F12892" i="1"/>
  <c r="G12892" i="1"/>
  <c r="H12892" i="1"/>
  <c r="I12892" i="1"/>
  <c r="J12892" i="1"/>
  <c r="K12892" i="1"/>
  <c r="L12892" i="1"/>
  <c r="A12893" i="1"/>
  <c r="B12893" i="1"/>
  <c r="C12893" i="1"/>
  <c r="D12893" i="1"/>
  <c r="E12893" i="1"/>
  <c r="F12893" i="1"/>
  <c r="G12893" i="1"/>
  <c r="H12893" i="1"/>
  <c r="I12893" i="1"/>
  <c r="J12893" i="1"/>
  <c r="K12893" i="1"/>
  <c r="L12893" i="1"/>
  <c r="A12894" i="1"/>
  <c r="B12894" i="1"/>
  <c r="C12894" i="1"/>
  <c r="D12894" i="1"/>
  <c r="E12894" i="1"/>
  <c r="F12894" i="1"/>
  <c r="G12894" i="1"/>
  <c r="H12894" i="1"/>
  <c r="I12894" i="1"/>
  <c r="J12894" i="1"/>
  <c r="K12894" i="1"/>
  <c r="L12894" i="1"/>
  <c r="A12895" i="1"/>
  <c r="B12895" i="1"/>
  <c r="C12895" i="1"/>
  <c r="D12895" i="1"/>
  <c r="E12895" i="1"/>
  <c r="F12895" i="1"/>
  <c r="G12895" i="1"/>
  <c r="H12895" i="1"/>
  <c r="I12895" i="1"/>
  <c r="J12895" i="1"/>
  <c r="K12895" i="1"/>
  <c r="L12895" i="1"/>
  <c r="A12896" i="1"/>
  <c r="B12896" i="1"/>
  <c r="C12896" i="1"/>
  <c r="D12896" i="1"/>
  <c r="E12896" i="1"/>
  <c r="F12896" i="1"/>
  <c r="G12896" i="1"/>
  <c r="H12896" i="1"/>
  <c r="I12896" i="1"/>
  <c r="J12896" i="1"/>
  <c r="K12896" i="1"/>
  <c r="L12896" i="1"/>
  <c r="A12897" i="1"/>
  <c r="B12897" i="1"/>
  <c r="C12897" i="1"/>
  <c r="D12897" i="1"/>
  <c r="E12897" i="1"/>
  <c r="F12897" i="1"/>
  <c r="G12897" i="1"/>
  <c r="H12897" i="1"/>
  <c r="I12897" i="1"/>
  <c r="J12897" i="1"/>
  <c r="K12897" i="1"/>
  <c r="L12897" i="1"/>
  <c r="A12898" i="1"/>
  <c r="B12898" i="1"/>
  <c r="C12898" i="1"/>
  <c r="D12898" i="1"/>
  <c r="E12898" i="1"/>
  <c r="F12898" i="1"/>
  <c r="G12898" i="1"/>
  <c r="H12898" i="1"/>
  <c r="I12898" i="1"/>
  <c r="J12898" i="1"/>
  <c r="K12898" i="1"/>
  <c r="L12898" i="1"/>
  <c r="A12899" i="1"/>
  <c r="B12899" i="1"/>
  <c r="C12899" i="1"/>
  <c r="D12899" i="1"/>
  <c r="E12899" i="1"/>
  <c r="F12899" i="1"/>
  <c r="G12899" i="1"/>
  <c r="H12899" i="1"/>
  <c r="I12899" i="1"/>
  <c r="J12899" i="1"/>
  <c r="K12899" i="1"/>
  <c r="L12899" i="1"/>
  <c r="A12900" i="1"/>
  <c r="B12900" i="1"/>
  <c r="C12900" i="1"/>
  <c r="D12900" i="1"/>
  <c r="E12900" i="1"/>
  <c r="F12900" i="1"/>
  <c r="G12900" i="1"/>
  <c r="H12900" i="1"/>
  <c r="I12900" i="1"/>
  <c r="J12900" i="1"/>
  <c r="K12900" i="1"/>
  <c r="L12900" i="1"/>
  <c r="A12901" i="1"/>
  <c r="B12901" i="1"/>
  <c r="C12901" i="1"/>
  <c r="D12901" i="1"/>
  <c r="E12901" i="1"/>
  <c r="F12901" i="1"/>
  <c r="G12901" i="1"/>
  <c r="H12901" i="1"/>
  <c r="I12901" i="1"/>
  <c r="J12901" i="1"/>
  <c r="K12901" i="1"/>
  <c r="L12901" i="1"/>
  <c r="A12902" i="1"/>
  <c r="B12902" i="1"/>
  <c r="C12902" i="1"/>
  <c r="D12902" i="1"/>
  <c r="E12902" i="1"/>
  <c r="F12902" i="1"/>
  <c r="G12902" i="1"/>
  <c r="H12902" i="1"/>
  <c r="I12902" i="1"/>
  <c r="J12902" i="1"/>
  <c r="K12902" i="1"/>
  <c r="L12902" i="1"/>
  <c r="A12903" i="1"/>
  <c r="B12903" i="1"/>
  <c r="C12903" i="1"/>
  <c r="D12903" i="1"/>
  <c r="E12903" i="1"/>
  <c r="F12903" i="1"/>
  <c r="G12903" i="1"/>
  <c r="H12903" i="1"/>
  <c r="I12903" i="1"/>
  <c r="J12903" i="1"/>
  <c r="K12903" i="1"/>
  <c r="L12903" i="1"/>
  <c r="A12904" i="1"/>
  <c r="B12904" i="1"/>
  <c r="C12904" i="1"/>
  <c r="D12904" i="1"/>
  <c r="E12904" i="1"/>
  <c r="F12904" i="1"/>
  <c r="G12904" i="1"/>
  <c r="H12904" i="1"/>
  <c r="I12904" i="1"/>
  <c r="J12904" i="1"/>
  <c r="K12904" i="1"/>
  <c r="L12904" i="1"/>
  <c r="A12905" i="1"/>
  <c r="B12905" i="1"/>
  <c r="C12905" i="1"/>
  <c r="D12905" i="1"/>
  <c r="E12905" i="1"/>
  <c r="F12905" i="1"/>
  <c r="G12905" i="1"/>
  <c r="H12905" i="1"/>
  <c r="I12905" i="1"/>
  <c r="J12905" i="1"/>
  <c r="K12905" i="1"/>
  <c r="L12905" i="1"/>
  <c r="A12906" i="1"/>
  <c r="B12906" i="1"/>
  <c r="C12906" i="1"/>
  <c r="D12906" i="1"/>
  <c r="E12906" i="1"/>
  <c r="F12906" i="1"/>
  <c r="G12906" i="1"/>
  <c r="H12906" i="1"/>
  <c r="I12906" i="1"/>
  <c r="J12906" i="1"/>
  <c r="K12906" i="1"/>
  <c r="L12906" i="1"/>
  <c r="A12907" i="1"/>
  <c r="B12907" i="1"/>
  <c r="C12907" i="1"/>
  <c r="D12907" i="1"/>
  <c r="E12907" i="1"/>
  <c r="F12907" i="1"/>
  <c r="G12907" i="1"/>
  <c r="H12907" i="1"/>
  <c r="I12907" i="1"/>
  <c r="J12907" i="1"/>
  <c r="K12907" i="1"/>
  <c r="L12907" i="1"/>
  <c r="A12908" i="1"/>
  <c r="B12908" i="1"/>
  <c r="C12908" i="1"/>
  <c r="D12908" i="1"/>
  <c r="E12908" i="1"/>
  <c r="F12908" i="1"/>
  <c r="G12908" i="1"/>
  <c r="H12908" i="1"/>
  <c r="I12908" i="1"/>
  <c r="J12908" i="1"/>
  <c r="K12908" i="1"/>
  <c r="L12908" i="1"/>
  <c r="A12909" i="1"/>
  <c r="B12909" i="1"/>
  <c r="C12909" i="1"/>
  <c r="D12909" i="1"/>
  <c r="E12909" i="1"/>
  <c r="F12909" i="1"/>
  <c r="G12909" i="1"/>
  <c r="H12909" i="1"/>
  <c r="I12909" i="1"/>
  <c r="J12909" i="1"/>
  <c r="K12909" i="1"/>
  <c r="L12909" i="1"/>
  <c r="A12910" i="1"/>
  <c r="B12910" i="1"/>
  <c r="C12910" i="1"/>
  <c r="D12910" i="1"/>
  <c r="E12910" i="1"/>
  <c r="F12910" i="1"/>
  <c r="G12910" i="1"/>
  <c r="H12910" i="1"/>
  <c r="I12910" i="1"/>
  <c r="J12910" i="1"/>
  <c r="K12910" i="1"/>
  <c r="L12910" i="1"/>
  <c r="A12911" i="1"/>
  <c r="B12911" i="1"/>
  <c r="C12911" i="1"/>
  <c r="D12911" i="1"/>
  <c r="E12911" i="1"/>
  <c r="F12911" i="1"/>
  <c r="G12911" i="1"/>
  <c r="H12911" i="1"/>
  <c r="I12911" i="1"/>
  <c r="J12911" i="1"/>
  <c r="K12911" i="1"/>
  <c r="L12911" i="1"/>
  <c r="A12912" i="1"/>
  <c r="B12912" i="1"/>
  <c r="C12912" i="1"/>
  <c r="D12912" i="1"/>
  <c r="E12912" i="1"/>
  <c r="F12912" i="1"/>
  <c r="G12912" i="1"/>
  <c r="H12912" i="1"/>
  <c r="I12912" i="1"/>
  <c r="J12912" i="1"/>
  <c r="K12912" i="1"/>
  <c r="L12912" i="1"/>
  <c r="A12913" i="1"/>
  <c r="B12913" i="1"/>
  <c r="C12913" i="1"/>
  <c r="D12913" i="1"/>
  <c r="E12913" i="1"/>
  <c r="F12913" i="1"/>
  <c r="G12913" i="1"/>
  <c r="H12913" i="1"/>
  <c r="I12913" i="1"/>
  <c r="J12913" i="1"/>
  <c r="K12913" i="1"/>
  <c r="L12913" i="1"/>
  <c r="A12914" i="1"/>
  <c r="B12914" i="1"/>
  <c r="C12914" i="1"/>
  <c r="D12914" i="1"/>
  <c r="E12914" i="1"/>
  <c r="F12914" i="1"/>
  <c r="G12914" i="1"/>
  <c r="H12914" i="1"/>
  <c r="I12914" i="1"/>
  <c r="J12914" i="1"/>
  <c r="K12914" i="1"/>
  <c r="L12914" i="1"/>
  <c r="A12915" i="1"/>
  <c r="B12915" i="1"/>
  <c r="C12915" i="1"/>
  <c r="D12915" i="1"/>
  <c r="E12915" i="1"/>
  <c r="F12915" i="1"/>
  <c r="G12915" i="1"/>
  <c r="H12915" i="1"/>
  <c r="I12915" i="1"/>
  <c r="J12915" i="1"/>
  <c r="K12915" i="1"/>
  <c r="L12915" i="1"/>
  <c r="A12916" i="1"/>
  <c r="B12916" i="1"/>
  <c r="C12916" i="1"/>
  <c r="D12916" i="1"/>
  <c r="E12916" i="1"/>
  <c r="F12916" i="1"/>
  <c r="G12916" i="1"/>
  <c r="H12916" i="1"/>
  <c r="I12916" i="1"/>
  <c r="J12916" i="1"/>
  <c r="K12916" i="1"/>
  <c r="L12916" i="1"/>
  <c r="A12917" i="1"/>
  <c r="B12917" i="1"/>
  <c r="C12917" i="1"/>
  <c r="D12917" i="1"/>
  <c r="E12917" i="1"/>
  <c r="F12917" i="1"/>
  <c r="G12917" i="1"/>
  <c r="H12917" i="1"/>
  <c r="I12917" i="1"/>
  <c r="J12917" i="1"/>
  <c r="K12917" i="1"/>
  <c r="L12917" i="1"/>
  <c r="A12918" i="1"/>
  <c r="B12918" i="1"/>
  <c r="C12918" i="1"/>
  <c r="D12918" i="1"/>
  <c r="E12918" i="1"/>
  <c r="F12918" i="1"/>
  <c r="G12918" i="1"/>
  <c r="H12918" i="1"/>
  <c r="I12918" i="1"/>
  <c r="J12918" i="1"/>
  <c r="K12918" i="1"/>
  <c r="L12918" i="1"/>
  <c r="A12919" i="1"/>
  <c r="B12919" i="1"/>
  <c r="C12919" i="1"/>
  <c r="D12919" i="1"/>
  <c r="E12919" i="1"/>
  <c r="F12919" i="1"/>
  <c r="G12919" i="1"/>
  <c r="H12919" i="1"/>
  <c r="I12919" i="1"/>
  <c r="J12919" i="1"/>
  <c r="K12919" i="1"/>
  <c r="L12919" i="1"/>
  <c r="A12920" i="1"/>
  <c r="B12920" i="1"/>
  <c r="C12920" i="1"/>
  <c r="D12920" i="1"/>
  <c r="E12920" i="1"/>
  <c r="F12920" i="1"/>
  <c r="G12920" i="1"/>
  <c r="H12920" i="1"/>
  <c r="I12920" i="1"/>
  <c r="J12920" i="1"/>
  <c r="K12920" i="1"/>
  <c r="L12920" i="1"/>
  <c r="A12921" i="1"/>
  <c r="B12921" i="1"/>
  <c r="C12921" i="1"/>
  <c r="D12921" i="1"/>
  <c r="E12921" i="1"/>
  <c r="F12921" i="1"/>
  <c r="G12921" i="1"/>
  <c r="H12921" i="1"/>
  <c r="I12921" i="1"/>
  <c r="J12921" i="1"/>
  <c r="K12921" i="1"/>
  <c r="L12921" i="1"/>
  <c r="A12922" i="1"/>
  <c r="B12922" i="1"/>
  <c r="C12922" i="1"/>
  <c r="D12922" i="1"/>
  <c r="E12922" i="1"/>
  <c r="F12922" i="1"/>
  <c r="G12922" i="1"/>
  <c r="H12922" i="1"/>
  <c r="I12922" i="1"/>
  <c r="J12922" i="1"/>
  <c r="K12922" i="1"/>
  <c r="L12922" i="1"/>
  <c r="A12923" i="1"/>
  <c r="B12923" i="1"/>
  <c r="C12923" i="1"/>
  <c r="D12923" i="1"/>
  <c r="E12923" i="1"/>
  <c r="F12923" i="1"/>
  <c r="G12923" i="1"/>
  <c r="H12923" i="1"/>
  <c r="I12923" i="1"/>
  <c r="J12923" i="1"/>
  <c r="K12923" i="1"/>
  <c r="L12923" i="1"/>
  <c r="A12924" i="1"/>
  <c r="B12924" i="1"/>
  <c r="C12924" i="1"/>
  <c r="D12924" i="1"/>
  <c r="E12924" i="1"/>
  <c r="F12924" i="1"/>
  <c r="G12924" i="1"/>
  <c r="H12924" i="1"/>
  <c r="I12924" i="1"/>
  <c r="J12924" i="1"/>
  <c r="K12924" i="1"/>
  <c r="L12924" i="1"/>
  <c r="A12925" i="1"/>
  <c r="B12925" i="1"/>
  <c r="C12925" i="1"/>
  <c r="D12925" i="1"/>
  <c r="E12925" i="1"/>
  <c r="F12925" i="1"/>
  <c r="G12925" i="1"/>
  <c r="H12925" i="1"/>
  <c r="I12925" i="1"/>
  <c r="J12925" i="1"/>
  <c r="K12925" i="1"/>
  <c r="L12925" i="1"/>
  <c r="A12926" i="1"/>
  <c r="B12926" i="1"/>
  <c r="C12926" i="1"/>
  <c r="D12926" i="1"/>
  <c r="E12926" i="1"/>
  <c r="F12926" i="1"/>
  <c r="G12926" i="1"/>
  <c r="H12926" i="1"/>
  <c r="I12926" i="1"/>
  <c r="J12926" i="1"/>
  <c r="K12926" i="1"/>
  <c r="L12926" i="1"/>
  <c r="A12927" i="1"/>
  <c r="B12927" i="1"/>
  <c r="C12927" i="1"/>
  <c r="D12927" i="1"/>
  <c r="E12927" i="1"/>
  <c r="F12927" i="1"/>
  <c r="G12927" i="1"/>
  <c r="H12927" i="1"/>
  <c r="I12927" i="1"/>
  <c r="J12927" i="1"/>
  <c r="K12927" i="1"/>
  <c r="L12927" i="1"/>
  <c r="A12928" i="1"/>
  <c r="B12928" i="1"/>
  <c r="C12928" i="1"/>
  <c r="D12928" i="1"/>
  <c r="E12928" i="1"/>
  <c r="F12928" i="1"/>
  <c r="G12928" i="1"/>
  <c r="H12928" i="1"/>
  <c r="I12928" i="1"/>
  <c r="J12928" i="1"/>
  <c r="K12928" i="1"/>
  <c r="L12928" i="1"/>
  <c r="A12929" i="1"/>
  <c r="B12929" i="1"/>
  <c r="C12929" i="1"/>
  <c r="D12929" i="1"/>
  <c r="E12929" i="1"/>
  <c r="F12929" i="1"/>
  <c r="G12929" i="1"/>
  <c r="H12929" i="1"/>
  <c r="I12929" i="1"/>
  <c r="J12929" i="1"/>
  <c r="K12929" i="1"/>
  <c r="L12929" i="1"/>
  <c r="A12930" i="1"/>
  <c r="B12930" i="1"/>
  <c r="C12930" i="1"/>
  <c r="D12930" i="1"/>
  <c r="E12930" i="1"/>
  <c r="F12930" i="1"/>
  <c r="G12930" i="1"/>
  <c r="H12930" i="1"/>
  <c r="I12930" i="1"/>
  <c r="J12930" i="1"/>
  <c r="K12930" i="1"/>
  <c r="L12930" i="1"/>
  <c r="A12931" i="1"/>
  <c r="B12931" i="1"/>
  <c r="C12931" i="1"/>
  <c r="D12931" i="1"/>
  <c r="E12931" i="1"/>
  <c r="F12931" i="1"/>
  <c r="G12931" i="1"/>
  <c r="H12931" i="1"/>
  <c r="I12931" i="1"/>
  <c r="J12931" i="1"/>
  <c r="K12931" i="1"/>
  <c r="L12931" i="1"/>
  <c r="A12932" i="1"/>
  <c r="B12932" i="1"/>
  <c r="C12932" i="1"/>
  <c r="D12932" i="1"/>
  <c r="E12932" i="1"/>
  <c r="F12932" i="1"/>
  <c r="G12932" i="1"/>
  <c r="H12932" i="1"/>
  <c r="I12932" i="1"/>
  <c r="J12932" i="1"/>
  <c r="K12932" i="1"/>
  <c r="L12932" i="1"/>
  <c r="A12933" i="1"/>
  <c r="B12933" i="1"/>
  <c r="C12933" i="1"/>
  <c r="D12933" i="1"/>
  <c r="E12933" i="1"/>
  <c r="F12933" i="1"/>
  <c r="G12933" i="1"/>
  <c r="H12933" i="1"/>
  <c r="I12933" i="1"/>
  <c r="J12933" i="1"/>
  <c r="K12933" i="1"/>
  <c r="L12933" i="1"/>
  <c r="A12934" i="1"/>
  <c r="B12934" i="1"/>
  <c r="C12934" i="1"/>
  <c r="D12934" i="1"/>
  <c r="E12934" i="1"/>
  <c r="F12934" i="1"/>
  <c r="G12934" i="1"/>
  <c r="H12934" i="1"/>
  <c r="I12934" i="1"/>
  <c r="J12934" i="1"/>
  <c r="K12934" i="1"/>
  <c r="L12934" i="1"/>
  <c r="A12935" i="1"/>
  <c r="B12935" i="1"/>
  <c r="C12935" i="1"/>
  <c r="D12935" i="1"/>
  <c r="E12935" i="1"/>
  <c r="F12935" i="1"/>
  <c r="G12935" i="1"/>
  <c r="H12935" i="1"/>
  <c r="I12935" i="1"/>
  <c r="J12935" i="1"/>
  <c r="K12935" i="1"/>
  <c r="L12935" i="1"/>
  <c r="A12936" i="1"/>
  <c r="B12936" i="1"/>
  <c r="C12936" i="1"/>
  <c r="D12936" i="1"/>
  <c r="E12936" i="1"/>
  <c r="F12936" i="1"/>
  <c r="G12936" i="1"/>
  <c r="H12936" i="1"/>
  <c r="I12936" i="1"/>
  <c r="J12936" i="1"/>
  <c r="K12936" i="1"/>
  <c r="L12936" i="1"/>
  <c r="A12937" i="1"/>
  <c r="B12937" i="1"/>
  <c r="C12937" i="1"/>
  <c r="D12937" i="1"/>
  <c r="E12937" i="1"/>
  <c r="F12937" i="1"/>
  <c r="G12937" i="1"/>
  <c r="H12937" i="1"/>
  <c r="I12937" i="1"/>
  <c r="J12937" i="1"/>
  <c r="K12937" i="1"/>
  <c r="L12937" i="1"/>
  <c r="A12938" i="1"/>
  <c r="B12938" i="1"/>
  <c r="C12938" i="1"/>
  <c r="D12938" i="1"/>
  <c r="E12938" i="1"/>
  <c r="F12938" i="1"/>
  <c r="G12938" i="1"/>
  <c r="H12938" i="1"/>
  <c r="I12938" i="1"/>
  <c r="J12938" i="1"/>
  <c r="K12938" i="1"/>
  <c r="L12938" i="1"/>
  <c r="A12939" i="1"/>
  <c r="B12939" i="1"/>
  <c r="C12939" i="1"/>
  <c r="D12939" i="1"/>
  <c r="E12939" i="1"/>
  <c r="F12939" i="1"/>
  <c r="G12939" i="1"/>
  <c r="H12939" i="1"/>
  <c r="I12939" i="1"/>
  <c r="J12939" i="1"/>
  <c r="K12939" i="1"/>
  <c r="L12939" i="1"/>
  <c r="A12940" i="1"/>
  <c r="B12940" i="1"/>
  <c r="C12940" i="1"/>
  <c r="D12940" i="1"/>
  <c r="E12940" i="1"/>
  <c r="F12940" i="1"/>
  <c r="G12940" i="1"/>
  <c r="H12940" i="1"/>
  <c r="I12940" i="1"/>
  <c r="J12940" i="1"/>
  <c r="K12940" i="1"/>
  <c r="L12940" i="1"/>
  <c r="A12941" i="1"/>
  <c r="B12941" i="1"/>
  <c r="C12941" i="1"/>
  <c r="D12941" i="1"/>
  <c r="E12941" i="1"/>
  <c r="F12941" i="1"/>
  <c r="G12941" i="1"/>
  <c r="H12941" i="1"/>
  <c r="I12941" i="1"/>
  <c r="J12941" i="1"/>
  <c r="K12941" i="1"/>
  <c r="L12941" i="1"/>
  <c r="A12942" i="1"/>
  <c r="B12942" i="1"/>
  <c r="C12942" i="1"/>
  <c r="D12942" i="1"/>
  <c r="E12942" i="1"/>
  <c r="F12942" i="1"/>
  <c r="G12942" i="1"/>
  <c r="H12942" i="1"/>
  <c r="I12942" i="1"/>
  <c r="J12942" i="1"/>
  <c r="K12942" i="1"/>
  <c r="L12942" i="1"/>
  <c r="A12943" i="1"/>
  <c r="B12943" i="1"/>
  <c r="C12943" i="1"/>
  <c r="D12943" i="1"/>
  <c r="E12943" i="1"/>
  <c r="F12943" i="1"/>
  <c r="G12943" i="1"/>
  <c r="H12943" i="1"/>
  <c r="I12943" i="1"/>
  <c r="J12943" i="1"/>
  <c r="K12943" i="1"/>
  <c r="L12943" i="1"/>
  <c r="A12944" i="1"/>
  <c r="B12944" i="1"/>
  <c r="C12944" i="1"/>
  <c r="D12944" i="1"/>
  <c r="E12944" i="1"/>
  <c r="F12944" i="1"/>
  <c r="G12944" i="1"/>
  <c r="H12944" i="1"/>
  <c r="I12944" i="1"/>
  <c r="J12944" i="1"/>
  <c r="K12944" i="1"/>
  <c r="L12944" i="1"/>
  <c r="A12945" i="1"/>
  <c r="B12945" i="1"/>
  <c r="C12945" i="1"/>
  <c r="D12945" i="1"/>
  <c r="E12945" i="1"/>
  <c r="F12945" i="1"/>
  <c r="G12945" i="1"/>
  <c r="H12945" i="1"/>
  <c r="I12945" i="1"/>
  <c r="J12945" i="1"/>
  <c r="K12945" i="1"/>
  <c r="L12945" i="1"/>
  <c r="A12946" i="1"/>
  <c r="B12946" i="1"/>
  <c r="C12946" i="1"/>
  <c r="D12946" i="1"/>
  <c r="E12946" i="1"/>
  <c r="F12946" i="1"/>
  <c r="G12946" i="1"/>
  <c r="H12946" i="1"/>
  <c r="I12946" i="1"/>
  <c r="J12946" i="1"/>
  <c r="K12946" i="1"/>
  <c r="L12946" i="1"/>
  <c r="A12947" i="1"/>
  <c r="B12947" i="1"/>
  <c r="C12947" i="1"/>
  <c r="D12947" i="1"/>
  <c r="E12947" i="1"/>
  <c r="F12947" i="1"/>
  <c r="G12947" i="1"/>
  <c r="H12947" i="1"/>
  <c r="I12947" i="1"/>
  <c r="J12947" i="1"/>
  <c r="K12947" i="1"/>
  <c r="L12947" i="1"/>
  <c r="A12948" i="1"/>
  <c r="B12948" i="1"/>
  <c r="C12948" i="1"/>
  <c r="D12948" i="1"/>
  <c r="E12948" i="1"/>
  <c r="F12948" i="1"/>
  <c r="G12948" i="1"/>
  <c r="H12948" i="1"/>
  <c r="I12948" i="1"/>
  <c r="J12948" i="1"/>
  <c r="K12948" i="1"/>
  <c r="L12948" i="1"/>
  <c r="A12949" i="1"/>
  <c r="B12949" i="1"/>
  <c r="C12949" i="1"/>
  <c r="D12949" i="1"/>
  <c r="E12949" i="1"/>
  <c r="F12949" i="1"/>
  <c r="G12949" i="1"/>
  <c r="H12949" i="1"/>
  <c r="I12949" i="1"/>
  <c r="J12949" i="1"/>
  <c r="K12949" i="1"/>
  <c r="L12949" i="1"/>
  <c r="A12950" i="1"/>
  <c r="B12950" i="1"/>
  <c r="C12950" i="1"/>
  <c r="D12950" i="1"/>
  <c r="E12950" i="1"/>
  <c r="F12950" i="1"/>
  <c r="G12950" i="1"/>
  <c r="H12950" i="1"/>
  <c r="I12950" i="1"/>
  <c r="J12950" i="1"/>
  <c r="K12950" i="1"/>
  <c r="L12950" i="1"/>
  <c r="A12951" i="1"/>
  <c r="B12951" i="1"/>
  <c r="C12951" i="1"/>
  <c r="D12951" i="1"/>
  <c r="E12951" i="1"/>
  <c r="F12951" i="1"/>
  <c r="G12951" i="1"/>
  <c r="H12951" i="1"/>
  <c r="I12951" i="1"/>
  <c r="J12951" i="1"/>
  <c r="K12951" i="1"/>
  <c r="L12951" i="1"/>
  <c r="A12952" i="1"/>
  <c r="B12952" i="1"/>
  <c r="C12952" i="1"/>
  <c r="D12952" i="1"/>
  <c r="E12952" i="1"/>
  <c r="F12952" i="1"/>
  <c r="G12952" i="1"/>
  <c r="H12952" i="1"/>
  <c r="I12952" i="1"/>
  <c r="J12952" i="1"/>
  <c r="K12952" i="1"/>
  <c r="L12952" i="1"/>
  <c r="A12953" i="1"/>
  <c r="B12953" i="1"/>
  <c r="C12953" i="1"/>
  <c r="D12953" i="1"/>
  <c r="E12953" i="1"/>
  <c r="F12953" i="1"/>
  <c r="G12953" i="1"/>
  <c r="H12953" i="1"/>
  <c r="I12953" i="1"/>
  <c r="J12953" i="1"/>
  <c r="K12953" i="1"/>
  <c r="L12953" i="1"/>
  <c r="A12954" i="1"/>
  <c r="B12954" i="1"/>
  <c r="C12954" i="1"/>
  <c r="D12954" i="1"/>
  <c r="E12954" i="1"/>
  <c r="F12954" i="1"/>
  <c r="G12954" i="1"/>
  <c r="H12954" i="1"/>
  <c r="I12954" i="1"/>
  <c r="J12954" i="1"/>
  <c r="K12954" i="1"/>
  <c r="L12954" i="1"/>
  <c r="A12955" i="1"/>
  <c r="B12955" i="1"/>
  <c r="C12955" i="1"/>
  <c r="D12955" i="1"/>
  <c r="E12955" i="1"/>
  <c r="F12955" i="1"/>
  <c r="G12955" i="1"/>
  <c r="H12955" i="1"/>
  <c r="I12955" i="1"/>
  <c r="J12955" i="1"/>
  <c r="K12955" i="1"/>
  <c r="L12955" i="1"/>
  <c r="A12956" i="1"/>
  <c r="B12956" i="1"/>
  <c r="C12956" i="1"/>
  <c r="D12956" i="1"/>
  <c r="E12956" i="1"/>
  <c r="F12956" i="1"/>
  <c r="G12956" i="1"/>
  <c r="H12956" i="1"/>
  <c r="I12956" i="1"/>
  <c r="J12956" i="1"/>
  <c r="K12956" i="1"/>
  <c r="L12956" i="1"/>
  <c r="A12957" i="1"/>
  <c r="B12957" i="1"/>
  <c r="C12957" i="1"/>
  <c r="D12957" i="1"/>
  <c r="E12957" i="1"/>
  <c r="F12957" i="1"/>
  <c r="G12957" i="1"/>
  <c r="H12957" i="1"/>
  <c r="I12957" i="1"/>
  <c r="J12957" i="1"/>
  <c r="K12957" i="1"/>
  <c r="L12957" i="1"/>
  <c r="A12958" i="1"/>
  <c r="B12958" i="1"/>
  <c r="C12958" i="1"/>
  <c r="D12958" i="1"/>
  <c r="E12958" i="1"/>
  <c r="F12958" i="1"/>
  <c r="G12958" i="1"/>
  <c r="H12958" i="1"/>
  <c r="I12958" i="1"/>
  <c r="J12958" i="1"/>
  <c r="K12958" i="1"/>
  <c r="L12958" i="1"/>
  <c r="A12959" i="1"/>
  <c r="B12959" i="1"/>
  <c r="C12959" i="1"/>
  <c r="D12959" i="1"/>
  <c r="E12959" i="1"/>
  <c r="F12959" i="1"/>
  <c r="G12959" i="1"/>
  <c r="H12959" i="1"/>
  <c r="I12959" i="1"/>
  <c r="J12959" i="1"/>
  <c r="K12959" i="1"/>
  <c r="L12959" i="1"/>
  <c r="A12960" i="1"/>
  <c r="B12960" i="1"/>
  <c r="C12960" i="1"/>
  <c r="D12960" i="1"/>
  <c r="E12960" i="1"/>
  <c r="F12960" i="1"/>
  <c r="G12960" i="1"/>
  <c r="H12960" i="1"/>
  <c r="I12960" i="1"/>
  <c r="J12960" i="1"/>
  <c r="K12960" i="1"/>
  <c r="L12960" i="1"/>
  <c r="A12961" i="1"/>
  <c r="B12961" i="1"/>
  <c r="C12961" i="1"/>
  <c r="D12961" i="1"/>
  <c r="E12961" i="1"/>
  <c r="F12961" i="1"/>
  <c r="G12961" i="1"/>
  <c r="H12961" i="1"/>
  <c r="I12961" i="1"/>
  <c r="J12961" i="1"/>
  <c r="K12961" i="1"/>
  <c r="L12961" i="1"/>
  <c r="A12962" i="1"/>
  <c r="B12962" i="1"/>
  <c r="C12962" i="1"/>
  <c r="D12962" i="1"/>
  <c r="E12962" i="1"/>
  <c r="F12962" i="1"/>
  <c r="G12962" i="1"/>
  <c r="H12962" i="1"/>
  <c r="I12962" i="1"/>
  <c r="J12962" i="1"/>
  <c r="K12962" i="1"/>
  <c r="L12962" i="1"/>
  <c r="A12963" i="1"/>
  <c r="B12963" i="1"/>
  <c r="C12963" i="1"/>
  <c r="D12963" i="1"/>
  <c r="E12963" i="1"/>
  <c r="F12963" i="1"/>
  <c r="G12963" i="1"/>
  <c r="H12963" i="1"/>
  <c r="I12963" i="1"/>
  <c r="J12963" i="1"/>
  <c r="K12963" i="1"/>
  <c r="L12963" i="1"/>
  <c r="A12964" i="1"/>
  <c r="B12964" i="1"/>
  <c r="C12964" i="1"/>
  <c r="D12964" i="1"/>
  <c r="E12964" i="1"/>
  <c r="F12964" i="1"/>
  <c r="G12964" i="1"/>
  <c r="H12964" i="1"/>
  <c r="I12964" i="1"/>
  <c r="J12964" i="1"/>
  <c r="K12964" i="1"/>
  <c r="L12964" i="1"/>
  <c r="A12965" i="1"/>
  <c r="B12965" i="1"/>
  <c r="C12965" i="1"/>
  <c r="D12965" i="1"/>
  <c r="E12965" i="1"/>
  <c r="F12965" i="1"/>
  <c r="G12965" i="1"/>
  <c r="H12965" i="1"/>
  <c r="I12965" i="1"/>
  <c r="J12965" i="1"/>
  <c r="K12965" i="1"/>
  <c r="L12965" i="1"/>
  <c r="A12966" i="1"/>
  <c r="B12966" i="1"/>
  <c r="C12966" i="1"/>
  <c r="D12966" i="1"/>
  <c r="E12966" i="1"/>
  <c r="F12966" i="1"/>
  <c r="G12966" i="1"/>
  <c r="H12966" i="1"/>
  <c r="I12966" i="1"/>
  <c r="J12966" i="1"/>
  <c r="K12966" i="1"/>
  <c r="L12966" i="1"/>
  <c r="A12967" i="1"/>
  <c r="B12967" i="1"/>
  <c r="C12967" i="1"/>
  <c r="D12967" i="1"/>
  <c r="E12967" i="1"/>
  <c r="F12967" i="1"/>
  <c r="G12967" i="1"/>
  <c r="H12967" i="1"/>
  <c r="I12967" i="1"/>
  <c r="J12967" i="1"/>
  <c r="K12967" i="1"/>
  <c r="L12967" i="1"/>
  <c r="A12968" i="1"/>
  <c r="B12968" i="1"/>
  <c r="C12968" i="1"/>
  <c r="D12968" i="1"/>
  <c r="E12968" i="1"/>
  <c r="F12968" i="1"/>
  <c r="G12968" i="1"/>
  <c r="H12968" i="1"/>
  <c r="I12968" i="1"/>
  <c r="J12968" i="1"/>
  <c r="K12968" i="1"/>
  <c r="L12968" i="1"/>
  <c r="A12969" i="1"/>
  <c r="B12969" i="1"/>
  <c r="C12969" i="1"/>
  <c r="D12969" i="1"/>
  <c r="E12969" i="1"/>
  <c r="F12969" i="1"/>
  <c r="G12969" i="1"/>
  <c r="H12969" i="1"/>
  <c r="I12969" i="1"/>
  <c r="J12969" i="1"/>
  <c r="K12969" i="1"/>
  <c r="L12969" i="1"/>
  <c r="A12970" i="1"/>
  <c r="B12970" i="1"/>
  <c r="C12970" i="1"/>
  <c r="D12970" i="1"/>
  <c r="E12970" i="1"/>
  <c r="F12970" i="1"/>
  <c r="G12970" i="1"/>
  <c r="H12970" i="1"/>
  <c r="I12970" i="1"/>
  <c r="J12970" i="1"/>
  <c r="K12970" i="1"/>
  <c r="L12970" i="1"/>
  <c r="A12971" i="1"/>
  <c r="B12971" i="1"/>
  <c r="C12971" i="1"/>
  <c r="D12971" i="1"/>
  <c r="E12971" i="1"/>
  <c r="F12971" i="1"/>
  <c r="G12971" i="1"/>
  <c r="H12971" i="1"/>
  <c r="I12971" i="1"/>
  <c r="J12971" i="1"/>
  <c r="K12971" i="1"/>
  <c r="L12971" i="1"/>
  <c r="A12972" i="1"/>
  <c r="B12972" i="1"/>
  <c r="C12972" i="1"/>
  <c r="D12972" i="1"/>
  <c r="E12972" i="1"/>
  <c r="F12972" i="1"/>
  <c r="G12972" i="1"/>
  <c r="H12972" i="1"/>
  <c r="I12972" i="1"/>
  <c r="J12972" i="1"/>
  <c r="K12972" i="1"/>
  <c r="L12972" i="1"/>
  <c r="A12973" i="1"/>
  <c r="B12973" i="1"/>
  <c r="C12973" i="1"/>
  <c r="D12973" i="1"/>
  <c r="E12973" i="1"/>
  <c r="F12973" i="1"/>
  <c r="G12973" i="1"/>
  <c r="H12973" i="1"/>
  <c r="I12973" i="1"/>
  <c r="J12973" i="1"/>
  <c r="K12973" i="1"/>
  <c r="L12973" i="1"/>
  <c r="A12974" i="1"/>
  <c r="B12974" i="1"/>
  <c r="C12974" i="1"/>
  <c r="D12974" i="1"/>
  <c r="E12974" i="1"/>
  <c r="F12974" i="1"/>
  <c r="G12974" i="1"/>
  <c r="H12974" i="1"/>
  <c r="I12974" i="1"/>
  <c r="J12974" i="1"/>
  <c r="K12974" i="1"/>
  <c r="L12974" i="1"/>
  <c r="A12975" i="1"/>
  <c r="B12975" i="1"/>
  <c r="C12975" i="1"/>
  <c r="D12975" i="1"/>
  <c r="E12975" i="1"/>
  <c r="F12975" i="1"/>
  <c r="G12975" i="1"/>
  <c r="H12975" i="1"/>
  <c r="I12975" i="1"/>
  <c r="J12975" i="1"/>
  <c r="K12975" i="1"/>
  <c r="L12975" i="1"/>
  <c r="A12976" i="1"/>
  <c r="B12976" i="1"/>
  <c r="C12976" i="1"/>
  <c r="D12976" i="1"/>
  <c r="E12976" i="1"/>
  <c r="F12976" i="1"/>
  <c r="G12976" i="1"/>
  <c r="H12976" i="1"/>
  <c r="I12976" i="1"/>
  <c r="J12976" i="1"/>
  <c r="K12976" i="1"/>
  <c r="L12976" i="1"/>
  <c r="A12977" i="1"/>
  <c r="B12977" i="1"/>
  <c r="C12977" i="1"/>
  <c r="D12977" i="1"/>
  <c r="E12977" i="1"/>
  <c r="F12977" i="1"/>
  <c r="G12977" i="1"/>
  <c r="H12977" i="1"/>
  <c r="I12977" i="1"/>
  <c r="J12977" i="1"/>
  <c r="K12977" i="1"/>
  <c r="L12977" i="1"/>
  <c r="A12978" i="1"/>
  <c r="B12978" i="1"/>
  <c r="C12978" i="1"/>
  <c r="D12978" i="1"/>
  <c r="E12978" i="1"/>
  <c r="F12978" i="1"/>
  <c r="G12978" i="1"/>
  <c r="H12978" i="1"/>
  <c r="I12978" i="1"/>
  <c r="J12978" i="1"/>
  <c r="K12978" i="1"/>
  <c r="L12978" i="1"/>
  <c r="A12979" i="1"/>
  <c r="B12979" i="1"/>
  <c r="C12979" i="1"/>
  <c r="D12979" i="1"/>
  <c r="E12979" i="1"/>
  <c r="F12979" i="1"/>
  <c r="G12979" i="1"/>
  <c r="H12979" i="1"/>
  <c r="I12979" i="1"/>
  <c r="J12979" i="1"/>
  <c r="K12979" i="1"/>
  <c r="L12979" i="1"/>
  <c r="A12980" i="1"/>
  <c r="B12980" i="1"/>
  <c r="C12980" i="1"/>
  <c r="D12980" i="1"/>
  <c r="E12980" i="1"/>
  <c r="F12980" i="1"/>
  <c r="G12980" i="1"/>
  <c r="H12980" i="1"/>
  <c r="I12980" i="1"/>
  <c r="J12980" i="1"/>
  <c r="K12980" i="1"/>
  <c r="L12980" i="1"/>
  <c r="A12981" i="1"/>
  <c r="B12981" i="1"/>
  <c r="C12981" i="1"/>
  <c r="D12981" i="1"/>
  <c r="E12981" i="1"/>
  <c r="F12981" i="1"/>
  <c r="G12981" i="1"/>
  <c r="H12981" i="1"/>
  <c r="I12981" i="1"/>
  <c r="J12981" i="1"/>
  <c r="K12981" i="1"/>
  <c r="L12981" i="1"/>
  <c r="A12982" i="1"/>
  <c r="B12982" i="1"/>
  <c r="C12982" i="1"/>
  <c r="D12982" i="1"/>
  <c r="E12982" i="1"/>
  <c r="F12982" i="1"/>
  <c r="G12982" i="1"/>
  <c r="H12982" i="1"/>
  <c r="I12982" i="1"/>
  <c r="J12982" i="1"/>
  <c r="K12982" i="1"/>
  <c r="L12982" i="1"/>
  <c r="A12983" i="1"/>
  <c r="B12983" i="1"/>
  <c r="C12983" i="1"/>
  <c r="D12983" i="1"/>
  <c r="E12983" i="1"/>
  <c r="F12983" i="1"/>
  <c r="G12983" i="1"/>
  <c r="H12983" i="1"/>
  <c r="I12983" i="1"/>
  <c r="J12983" i="1"/>
  <c r="K12983" i="1"/>
  <c r="L12983" i="1"/>
  <c r="A12984" i="1"/>
  <c r="B12984" i="1"/>
  <c r="C12984" i="1"/>
  <c r="D12984" i="1"/>
  <c r="E12984" i="1"/>
  <c r="F12984" i="1"/>
  <c r="G12984" i="1"/>
  <c r="H12984" i="1"/>
  <c r="I12984" i="1"/>
  <c r="J12984" i="1"/>
  <c r="K12984" i="1"/>
  <c r="L12984" i="1"/>
  <c r="A12985" i="1"/>
  <c r="B12985" i="1"/>
  <c r="C12985" i="1"/>
  <c r="D12985" i="1"/>
  <c r="E12985" i="1"/>
  <c r="F12985" i="1"/>
  <c r="G12985" i="1"/>
  <c r="H12985" i="1"/>
  <c r="I12985" i="1"/>
  <c r="J12985" i="1"/>
  <c r="K12985" i="1"/>
  <c r="L12985" i="1"/>
  <c r="A12986" i="1"/>
  <c r="B12986" i="1"/>
  <c r="C12986" i="1"/>
  <c r="D12986" i="1"/>
  <c r="E12986" i="1"/>
  <c r="F12986" i="1"/>
  <c r="G12986" i="1"/>
  <c r="H12986" i="1"/>
  <c r="I12986" i="1"/>
  <c r="J12986" i="1"/>
  <c r="K12986" i="1"/>
  <c r="L12986" i="1"/>
  <c r="A12987" i="1"/>
  <c r="B12987" i="1"/>
  <c r="C12987" i="1"/>
  <c r="D12987" i="1"/>
  <c r="E12987" i="1"/>
  <c r="F12987" i="1"/>
  <c r="G12987" i="1"/>
  <c r="H12987" i="1"/>
  <c r="I12987" i="1"/>
  <c r="J12987" i="1"/>
  <c r="K12987" i="1"/>
  <c r="L12987" i="1"/>
  <c r="A12988" i="1"/>
  <c r="B12988" i="1"/>
  <c r="C12988" i="1"/>
  <c r="D12988" i="1"/>
  <c r="E12988" i="1"/>
  <c r="F12988" i="1"/>
  <c r="G12988" i="1"/>
  <c r="H12988" i="1"/>
  <c r="I12988" i="1"/>
  <c r="J12988" i="1"/>
  <c r="K12988" i="1"/>
  <c r="L12988" i="1"/>
  <c r="A12989" i="1"/>
  <c r="B12989" i="1"/>
  <c r="C12989" i="1"/>
  <c r="D12989" i="1"/>
  <c r="E12989" i="1"/>
  <c r="F12989" i="1"/>
  <c r="G12989" i="1"/>
  <c r="H12989" i="1"/>
  <c r="I12989" i="1"/>
  <c r="J12989" i="1"/>
  <c r="K12989" i="1"/>
  <c r="L12989" i="1"/>
  <c r="A12990" i="1"/>
  <c r="B12990" i="1"/>
  <c r="C12990" i="1"/>
  <c r="D12990" i="1"/>
  <c r="E12990" i="1"/>
  <c r="F12990" i="1"/>
  <c r="G12990" i="1"/>
  <c r="H12990" i="1"/>
  <c r="I12990" i="1"/>
  <c r="J12990" i="1"/>
  <c r="K12990" i="1"/>
  <c r="L12990" i="1"/>
  <c r="A12991" i="1"/>
  <c r="B12991" i="1"/>
  <c r="C12991" i="1"/>
  <c r="D12991" i="1"/>
  <c r="E12991" i="1"/>
  <c r="F12991" i="1"/>
  <c r="G12991" i="1"/>
  <c r="H12991" i="1"/>
  <c r="I12991" i="1"/>
  <c r="J12991" i="1"/>
  <c r="K12991" i="1"/>
  <c r="L12991" i="1"/>
  <c r="A12992" i="1"/>
  <c r="B12992" i="1"/>
  <c r="C12992" i="1"/>
  <c r="D12992" i="1"/>
  <c r="E12992" i="1"/>
  <c r="F12992" i="1"/>
  <c r="G12992" i="1"/>
  <c r="H12992" i="1"/>
  <c r="I12992" i="1"/>
  <c r="J12992" i="1"/>
  <c r="K12992" i="1"/>
  <c r="L12992" i="1"/>
  <c r="A12993" i="1"/>
  <c r="B12993" i="1"/>
  <c r="C12993" i="1"/>
  <c r="D12993" i="1"/>
  <c r="E12993" i="1"/>
  <c r="F12993" i="1"/>
  <c r="G12993" i="1"/>
  <c r="H12993" i="1"/>
  <c r="I12993" i="1"/>
  <c r="J12993" i="1"/>
  <c r="K12993" i="1"/>
  <c r="L12993" i="1"/>
  <c r="A12994" i="1"/>
  <c r="B12994" i="1"/>
  <c r="C12994" i="1"/>
  <c r="D12994" i="1"/>
  <c r="E12994" i="1"/>
  <c r="F12994" i="1"/>
  <c r="G12994" i="1"/>
  <c r="H12994" i="1"/>
  <c r="I12994" i="1"/>
  <c r="J12994" i="1"/>
  <c r="K12994" i="1"/>
  <c r="L12994" i="1"/>
  <c r="A12995" i="1"/>
  <c r="B12995" i="1"/>
  <c r="C12995" i="1"/>
  <c r="D12995" i="1"/>
  <c r="E12995" i="1"/>
  <c r="F12995" i="1"/>
  <c r="G12995" i="1"/>
  <c r="H12995" i="1"/>
  <c r="I12995" i="1"/>
  <c r="J12995" i="1"/>
  <c r="K12995" i="1"/>
  <c r="L12995" i="1"/>
  <c r="A12996" i="1"/>
  <c r="B12996" i="1"/>
  <c r="C12996" i="1"/>
  <c r="D12996" i="1"/>
  <c r="E12996" i="1"/>
  <c r="F12996" i="1"/>
  <c r="G12996" i="1"/>
  <c r="H12996" i="1"/>
  <c r="I12996" i="1"/>
  <c r="J12996" i="1"/>
  <c r="K12996" i="1"/>
  <c r="L12996" i="1"/>
  <c r="A12997" i="1"/>
  <c r="B12997" i="1"/>
  <c r="C12997" i="1"/>
  <c r="D12997" i="1"/>
  <c r="E12997" i="1"/>
  <c r="F12997" i="1"/>
  <c r="G12997" i="1"/>
  <c r="H12997" i="1"/>
  <c r="I12997" i="1"/>
  <c r="J12997" i="1"/>
  <c r="K12997" i="1"/>
  <c r="L12997" i="1"/>
  <c r="A12998" i="1"/>
  <c r="B12998" i="1"/>
  <c r="C12998" i="1"/>
  <c r="D12998" i="1"/>
  <c r="E12998" i="1"/>
  <c r="F12998" i="1"/>
  <c r="G12998" i="1"/>
  <c r="H12998" i="1"/>
  <c r="I12998" i="1"/>
  <c r="J12998" i="1"/>
  <c r="K12998" i="1"/>
  <c r="L12998" i="1"/>
  <c r="A12999" i="1"/>
  <c r="B12999" i="1"/>
  <c r="C12999" i="1"/>
  <c r="D12999" i="1"/>
  <c r="E12999" i="1"/>
  <c r="F12999" i="1"/>
  <c r="G12999" i="1"/>
  <c r="H12999" i="1"/>
  <c r="I12999" i="1"/>
  <c r="J12999" i="1"/>
  <c r="K12999" i="1"/>
  <c r="L12999" i="1"/>
  <c r="A13000" i="1"/>
  <c r="B13000" i="1"/>
  <c r="C13000" i="1"/>
  <c r="D13000" i="1"/>
  <c r="E13000" i="1"/>
  <c r="F13000" i="1"/>
  <c r="G13000" i="1"/>
  <c r="H13000" i="1"/>
  <c r="I13000" i="1"/>
  <c r="J13000" i="1"/>
  <c r="K13000" i="1"/>
  <c r="L13000" i="1"/>
  <c r="A13001" i="1"/>
  <c r="B13001" i="1"/>
  <c r="C13001" i="1"/>
  <c r="D13001" i="1"/>
  <c r="E13001" i="1"/>
  <c r="F13001" i="1"/>
  <c r="G13001" i="1"/>
  <c r="H13001" i="1"/>
  <c r="I13001" i="1"/>
  <c r="J13001" i="1"/>
  <c r="K13001" i="1"/>
  <c r="L13001" i="1"/>
  <c r="A13002" i="1"/>
  <c r="B13002" i="1"/>
  <c r="C13002" i="1"/>
  <c r="D13002" i="1"/>
  <c r="E13002" i="1"/>
  <c r="F13002" i="1"/>
  <c r="G13002" i="1"/>
  <c r="H13002" i="1"/>
  <c r="I13002" i="1"/>
  <c r="J13002" i="1"/>
  <c r="K13002" i="1"/>
  <c r="L13002" i="1"/>
  <c r="A13003" i="1"/>
  <c r="B13003" i="1"/>
  <c r="C13003" i="1"/>
  <c r="D13003" i="1"/>
  <c r="E13003" i="1"/>
  <c r="F13003" i="1"/>
  <c r="G13003" i="1"/>
  <c r="H13003" i="1"/>
  <c r="I13003" i="1"/>
  <c r="J13003" i="1"/>
  <c r="K13003" i="1"/>
  <c r="L13003" i="1"/>
  <c r="A13004" i="1"/>
  <c r="B13004" i="1"/>
  <c r="C13004" i="1"/>
  <c r="D13004" i="1"/>
  <c r="E13004" i="1"/>
  <c r="F13004" i="1"/>
  <c r="G13004" i="1"/>
  <c r="H13004" i="1"/>
  <c r="I13004" i="1"/>
  <c r="J13004" i="1"/>
  <c r="K13004" i="1"/>
  <c r="L13004" i="1"/>
  <c r="A13005" i="1"/>
  <c r="B13005" i="1"/>
  <c r="C13005" i="1"/>
  <c r="D13005" i="1"/>
  <c r="E13005" i="1"/>
  <c r="F13005" i="1"/>
  <c r="G13005" i="1"/>
  <c r="H13005" i="1"/>
  <c r="I13005" i="1"/>
  <c r="J13005" i="1"/>
  <c r="K13005" i="1"/>
  <c r="L13005" i="1"/>
  <c r="A13006" i="1"/>
  <c r="B13006" i="1"/>
  <c r="C13006" i="1"/>
  <c r="D13006" i="1"/>
  <c r="E13006" i="1"/>
  <c r="F13006" i="1"/>
  <c r="G13006" i="1"/>
  <c r="H13006" i="1"/>
  <c r="I13006" i="1"/>
  <c r="J13006" i="1"/>
  <c r="K13006" i="1"/>
  <c r="L13006" i="1"/>
  <c r="A13007" i="1"/>
  <c r="B13007" i="1"/>
  <c r="C13007" i="1"/>
  <c r="D13007" i="1"/>
  <c r="E13007" i="1"/>
  <c r="F13007" i="1"/>
  <c r="G13007" i="1"/>
  <c r="H13007" i="1"/>
  <c r="I13007" i="1"/>
  <c r="J13007" i="1"/>
  <c r="K13007" i="1"/>
  <c r="L13007" i="1"/>
  <c r="A13008" i="1"/>
  <c r="B13008" i="1"/>
  <c r="C13008" i="1"/>
  <c r="D13008" i="1"/>
  <c r="E13008" i="1"/>
  <c r="F13008" i="1"/>
  <c r="G13008" i="1"/>
  <c r="H13008" i="1"/>
  <c r="I13008" i="1"/>
  <c r="J13008" i="1"/>
  <c r="K13008" i="1"/>
  <c r="L13008" i="1"/>
  <c r="A13009" i="1"/>
  <c r="B13009" i="1"/>
  <c r="C13009" i="1"/>
  <c r="D13009" i="1"/>
  <c r="E13009" i="1"/>
  <c r="F13009" i="1"/>
  <c r="G13009" i="1"/>
  <c r="H13009" i="1"/>
  <c r="I13009" i="1"/>
  <c r="J13009" i="1"/>
  <c r="K13009" i="1"/>
  <c r="L13009" i="1"/>
  <c r="A13010" i="1"/>
  <c r="B13010" i="1"/>
  <c r="C13010" i="1"/>
  <c r="D13010" i="1"/>
  <c r="E13010" i="1"/>
  <c r="F13010" i="1"/>
  <c r="G13010" i="1"/>
  <c r="H13010" i="1"/>
  <c r="I13010" i="1"/>
  <c r="J13010" i="1"/>
  <c r="K13010" i="1"/>
  <c r="L13010" i="1"/>
  <c r="A13011" i="1"/>
  <c r="B13011" i="1"/>
  <c r="C13011" i="1"/>
  <c r="D13011" i="1"/>
  <c r="E13011" i="1"/>
  <c r="F13011" i="1"/>
  <c r="G13011" i="1"/>
  <c r="H13011" i="1"/>
  <c r="I13011" i="1"/>
  <c r="J13011" i="1"/>
  <c r="K13011" i="1"/>
  <c r="L13011" i="1"/>
  <c r="A13012" i="1"/>
  <c r="B13012" i="1"/>
  <c r="C13012" i="1"/>
  <c r="D13012" i="1"/>
  <c r="E13012" i="1"/>
  <c r="F13012" i="1"/>
  <c r="G13012" i="1"/>
  <c r="H13012" i="1"/>
  <c r="I13012" i="1"/>
  <c r="J13012" i="1"/>
  <c r="K13012" i="1"/>
  <c r="L13012" i="1"/>
  <c r="A13013" i="1"/>
  <c r="B13013" i="1"/>
  <c r="C13013" i="1"/>
  <c r="D13013" i="1"/>
  <c r="E13013" i="1"/>
  <c r="F13013" i="1"/>
  <c r="G13013" i="1"/>
  <c r="H13013" i="1"/>
  <c r="I13013" i="1"/>
  <c r="J13013" i="1"/>
  <c r="K13013" i="1"/>
  <c r="L13013" i="1"/>
  <c r="A13014" i="1"/>
  <c r="B13014" i="1"/>
  <c r="C13014" i="1"/>
  <c r="D13014" i="1"/>
  <c r="E13014" i="1"/>
  <c r="F13014" i="1"/>
  <c r="G13014" i="1"/>
  <c r="H13014" i="1"/>
  <c r="I13014" i="1"/>
  <c r="J13014" i="1"/>
  <c r="K13014" i="1"/>
  <c r="L13014" i="1"/>
  <c r="A13015" i="1"/>
  <c r="B13015" i="1"/>
  <c r="C13015" i="1"/>
  <c r="D13015" i="1"/>
  <c r="E13015" i="1"/>
  <c r="F13015" i="1"/>
  <c r="G13015" i="1"/>
  <c r="H13015" i="1"/>
  <c r="I13015" i="1"/>
  <c r="J13015" i="1"/>
  <c r="K13015" i="1"/>
  <c r="L13015" i="1"/>
  <c r="A13016" i="1"/>
  <c r="B13016" i="1"/>
  <c r="C13016" i="1"/>
  <c r="D13016" i="1"/>
  <c r="E13016" i="1"/>
  <c r="F13016" i="1"/>
  <c r="G13016" i="1"/>
  <c r="H13016" i="1"/>
  <c r="I13016" i="1"/>
  <c r="J13016" i="1"/>
  <c r="K13016" i="1"/>
  <c r="L13016" i="1"/>
  <c r="A13017" i="1"/>
  <c r="B13017" i="1"/>
  <c r="C13017" i="1"/>
  <c r="D13017" i="1"/>
  <c r="E13017" i="1"/>
  <c r="F13017" i="1"/>
  <c r="G13017" i="1"/>
  <c r="H13017" i="1"/>
  <c r="I13017" i="1"/>
  <c r="J13017" i="1"/>
  <c r="K13017" i="1"/>
  <c r="L13017" i="1"/>
  <c r="A13018" i="1"/>
  <c r="B13018" i="1"/>
  <c r="C13018" i="1"/>
  <c r="D13018" i="1"/>
  <c r="E13018" i="1"/>
  <c r="F13018" i="1"/>
  <c r="G13018" i="1"/>
  <c r="H13018" i="1"/>
  <c r="I13018" i="1"/>
  <c r="J13018" i="1"/>
  <c r="K13018" i="1"/>
  <c r="L13018" i="1"/>
  <c r="A13019" i="1"/>
  <c r="B13019" i="1"/>
  <c r="C13019" i="1"/>
  <c r="D13019" i="1"/>
  <c r="E13019" i="1"/>
  <c r="F13019" i="1"/>
  <c r="G13019" i="1"/>
  <c r="H13019" i="1"/>
  <c r="I13019" i="1"/>
  <c r="J13019" i="1"/>
  <c r="K13019" i="1"/>
  <c r="L13019" i="1"/>
  <c r="A13020" i="1"/>
  <c r="B13020" i="1"/>
  <c r="C13020" i="1"/>
  <c r="D13020" i="1"/>
  <c r="E13020" i="1"/>
  <c r="F13020" i="1"/>
  <c r="G13020" i="1"/>
  <c r="H13020" i="1"/>
  <c r="I13020" i="1"/>
  <c r="J13020" i="1"/>
  <c r="K13020" i="1"/>
  <c r="L13020" i="1"/>
  <c r="A13021" i="1"/>
  <c r="B13021" i="1"/>
  <c r="C13021" i="1"/>
  <c r="D13021" i="1"/>
  <c r="E13021" i="1"/>
  <c r="F13021" i="1"/>
  <c r="G13021" i="1"/>
  <c r="H13021" i="1"/>
  <c r="I13021" i="1"/>
  <c r="J13021" i="1"/>
  <c r="K13021" i="1"/>
  <c r="L13021" i="1"/>
  <c r="A13022" i="1"/>
  <c r="B13022" i="1"/>
  <c r="C13022" i="1"/>
  <c r="D13022" i="1"/>
  <c r="E13022" i="1"/>
  <c r="F13022" i="1"/>
  <c r="G13022" i="1"/>
  <c r="H13022" i="1"/>
  <c r="I13022" i="1"/>
  <c r="J13022" i="1"/>
  <c r="K13022" i="1"/>
  <c r="L13022" i="1"/>
  <c r="A13023" i="1"/>
  <c r="B13023" i="1"/>
  <c r="C13023" i="1"/>
  <c r="D13023" i="1"/>
  <c r="E13023" i="1"/>
  <c r="F13023" i="1"/>
  <c r="G13023" i="1"/>
  <c r="H13023" i="1"/>
  <c r="I13023" i="1"/>
  <c r="J13023" i="1"/>
  <c r="K13023" i="1"/>
  <c r="L13023" i="1"/>
  <c r="A13024" i="1"/>
  <c r="B13024" i="1"/>
  <c r="C13024" i="1"/>
  <c r="D13024" i="1"/>
  <c r="E13024" i="1"/>
  <c r="F13024" i="1"/>
  <c r="G13024" i="1"/>
  <c r="H13024" i="1"/>
  <c r="I13024" i="1"/>
  <c r="J13024" i="1"/>
  <c r="K13024" i="1"/>
  <c r="L13024" i="1"/>
  <c r="A13025" i="1"/>
  <c r="B13025" i="1"/>
  <c r="C13025" i="1"/>
  <c r="D13025" i="1"/>
  <c r="E13025" i="1"/>
  <c r="F13025" i="1"/>
  <c r="G13025" i="1"/>
  <c r="H13025" i="1"/>
  <c r="I13025" i="1"/>
  <c r="J13025" i="1"/>
  <c r="K13025" i="1"/>
  <c r="L13025" i="1"/>
  <c r="A13026" i="1"/>
  <c r="B13026" i="1"/>
  <c r="C13026" i="1"/>
  <c r="D13026" i="1"/>
  <c r="E13026" i="1"/>
  <c r="F13026" i="1"/>
  <c r="G13026" i="1"/>
  <c r="H13026" i="1"/>
  <c r="I13026" i="1"/>
  <c r="J13026" i="1"/>
  <c r="K13026" i="1"/>
  <c r="L13026" i="1"/>
  <c r="A13027" i="1"/>
  <c r="B13027" i="1"/>
  <c r="C13027" i="1"/>
  <c r="D13027" i="1"/>
  <c r="E13027" i="1"/>
  <c r="F13027" i="1"/>
  <c r="G13027" i="1"/>
  <c r="H13027" i="1"/>
  <c r="I13027" i="1"/>
  <c r="J13027" i="1"/>
  <c r="K13027" i="1"/>
  <c r="L13027" i="1"/>
  <c r="A13028" i="1"/>
  <c r="B13028" i="1"/>
  <c r="C13028" i="1"/>
  <c r="D13028" i="1"/>
  <c r="E13028" i="1"/>
  <c r="F13028" i="1"/>
  <c r="G13028" i="1"/>
  <c r="H13028" i="1"/>
  <c r="I13028" i="1"/>
  <c r="J13028" i="1"/>
  <c r="K13028" i="1"/>
  <c r="L13028" i="1"/>
  <c r="A13029" i="1"/>
  <c r="B13029" i="1"/>
  <c r="C13029" i="1"/>
  <c r="D13029" i="1"/>
  <c r="E13029" i="1"/>
  <c r="F13029" i="1"/>
  <c r="G13029" i="1"/>
  <c r="H13029" i="1"/>
  <c r="I13029" i="1"/>
  <c r="J13029" i="1"/>
  <c r="K13029" i="1"/>
  <c r="L13029" i="1"/>
  <c r="A13030" i="1"/>
  <c r="B13030" i="1"/>
  <c r="C13030" i="1"/>
  <c r="D13030" i="1"/>
  <c r="E13030" i="1"/>
  <c r="F13030" i="1"/>
  <c r="G13030" i="1"/>
  <c r="H13030" i="1"/>
  <c r="I13030" i="1"/>
  <c r="J13030" i="1"/>
  <c r="K13030" i="1"/>
  <c r="L13030" i="1"/>
  <c r="A13031" i="1"/>
  <c r="B13031" i="1"/>
  <c r="C13031" i="1"/>
  <c r="D13031" i="1"/>
  <c r="E13031" i="1"/>
  <c r="F13031" i="1"/>
  <c r="G13031" i="1"/>
  <c r="H13031" i="1"/>
  <c r="I13031" i="1"/>
  <c r="J13031" i="1"/>
  <c r="K13031" i="1"/>
  <c r="L13031" i="1"/>
  <c r="A13032" i="1"/>
  <c r="B13032" i="1"/>
  <c r="C13032" i="1"/>
  <c r="D13032" i="1"/>
  <c r="E13032" i="1"/>
  <c r="F13032" i="1"/>
  <c r="G13032" i="1"/>
  <c r="H13032" i="1"/>
  <c r="I13032" i="1"/>
  <c r="J13032" i="1"/>
  <c r="K13032" i="1"/>
  <c r="L13032" i="1"/>
  <c r="A13033" i="1"/>
  <c r="B13033" i="1"/>
  <c r="C13033" i="1"/>
  <c r="D13033" i="1"/>
  <c r="E13033" i="1"/>
  <c r="F13033" i="1"/>
  <c r="G13033" i="1"/>
  <c r="H13033" i="1"/>
  <c r="I13033" i="1"/>
  <c r="J13033" i="1"/>
  <c r="K13033" i="1"/>
  <c r="L13033" i="1"/>
  <c r="A13034" i="1"/>
  <c r="B13034" i="1"/>
  <c r="C13034" i="1"/>
  <c r="D13034" i="1"/>
  <c r="E13034" i="1"/>
  <c r="F13034" i="1"/>
  <c r="G13034" i="1"/>
  <c r="H13034" i="1"/>
  <c r="I13034" i="1"/>
  <c r="J13034" i="1"/>
  <c r="K13034" i="1"/>
  <c r="L13034" i="1"/>
  <c r="A13035" i="1"/>
  <c r="B13035" i="1"/>
  <c r="C13035" i="1"/>
  <c r="D13035" i="1"/>
  <c r="E13035" i="1"/>
  <c r="F13035" i="1"/>
  <c r="G13035" i="1"/>
  <c r="H13035" i="1"/>
  <c r="I13035" i="1"/>
  <c r="J13035" i="1"/>
  <c r="K13035" i="1"/>
  <c r="L13035" i="1"/>
  <c r="A13036" i="1"/>
  <c r="B13036" i="1"/>
  <c r="C13036" i="1"/>
  <c r="D13036" i="1"/>
  <c r="E13036" i="1"/>
  <c r="F13036" i="1"/>
  <c r="G13036" i="1"/>
  <c r="H13036" i="1"/>
  <c r="I13036" i="1"/>
  <c r="J13036" i="1"/>
  <c r="K13036" i="1"/>
  <c r="L13036" i="1"/>
  <c r="A13037" i="1"/>
  <c r="B13037" i="1"/>
  <c r="C13037" i="1"/>
  <c r="D13037" i="1"/>
  <c r="E13037" i="1"/>
  <c r="F13037" i="1"/>
  <c r="G13037" i="1"/>
  <c r="H13037" i="1"/>
  <c r="I13037" i="1"/>
  <c r="J13037" i="1"/>
  <c r="K13037" i="1"/>
  <c r="L13037" i="1"/>
  <c r="A13038" i="1"/>
  <c r="B13038" i="1"/>
  <c r="C13038" i="1"/>
  <c r="D13038" i="1"/>
  <c r="E13038" i="1"/>
  <c r="F13038" i="1"/>
  <c r="G13038" i="1"/>
  <c r="H13038" i="1"/>
  <c r="I13038" i="1"/>
  <c r="J13038" i="1"/>
  <c r="K13038" i="1"/>
  <c r="L13038" i="1"/>
  <c r="A13039" i="1"/>
  <c r="B13039" i="1"/>
  <c r="C13039" i="1"/>
  <c r="D13039" i="1"/>
  <c r="E13039" i="1"/>
  <c r="F13039" i="1"/>
  <c r="G13039" i="1"/>
  <c r="H13039" i="1"/>
  <c r="I13039" i="1"/>
  <c r="J13039" i="1"/>
  <c r="K13039" i="1"/>
  <c r="L13039" i="1"/>
  <c r="A13040" i="1"/>
  <c r="B13040" i="1"/>
  <c r="C13040" i="1"/>
  <c r="D13040" i="1"/>
  <c r="E13040" i="1"/>
  <c r="F13040" i="1"/>
  <c r="G13040" i="1"/>
  <c r="H13040" i="1"/>
  <c r="I13040" i="1"/>
  <c r="J13040" i="1"/>
  <c r="K13040" i="1"/>
  <c r="L13040" i="1"/>
  <c r="A13041" i="1"/>
  <c r="B13041" i="1"/>
  <c r="C13041" i="1"/>
  <c r="D13041" i="1"/>
  <c r="E13041" i="1"/>
  <c r="F13041" i="1"/>
  <c r="G13041" i="1"/>
  <c r="H13041" i="1"/>
  <c r="I13041" i="1"/>
  <c r="J13041" i="1"/>
  <c r="K13041" i="1"/>
  <c r="L13041" i="1"/>
  <c r="A13042" i="1"/>
  <c r="B13042" i="1"/>
  <c r="C13042" i="1"/>
  <c r="D13042" i="1"/>
  <c r="E13042" i="1"/>
  <c r="F13042" i="1"/>
  <c r="G13042" i="1"/>
  <c r="H13042" i="1"/>
  <c r="I13042" i="1"/>
  <c r="J13042" i="1"/>
  <c r="K13042" i="1"/>
  <c r="L13042" i="1"/>
  <c r="A13043" i="1"/>
  <c r="B13043" i="1"/>
  <c r="C13043" i="1"/>
  <c r="D13043" i="1"/>
  <c r="E13043" i="1"/>
  <c r="F13043" i="1"/>
  <c r="G13043" i="1"/>
  <c r="H13043" i="1"/>
  <c r="I13043" i="1"/>
  <c r="J13043" i="1"/>
  <c r="K13043" i="1"/>
  <c r="L13043" i="1"/>
  <c r="A13044" i="1"/>
  <c r="B13044" i="1"/>
  <c r="C13044" i="1"/>
  <c r="D13044" i="1"/>
  <c r="E13044" i="1"/>
  <c r="F13044" i="1"/>
  <c r="G13044" i="1"/>
  <c r="H13044" i="1"/>
  <c r="I13044" i="1"/>
  <c r="J13044" i="1"/>
  <c r="K13044" i="1"/>
  <c r="L13044" i="1"/>
  <c r="A13045" i="1"/>
  <c r="B13045" i="1"/>
  <c r="C13045" i="1"/>
  <c r="D13045" i="1"/>
  <c r="E13045" i="1"/>
  <c r="F13045" i="1"/>
  <c r="G13045" i="1"/>
  <c r="H13045" i="1"/>
  <c r="I13045" i="1"/>
  <c r="J13045" i="1"/>
  <c r="K13045" i="1"/>
  <c r="L13045" i="1"/>
  <c r="A13046" i="1"/>
  <c r="B13046" i="1"/>
  <c r="C13046" i="1"/>
  <c r="D13046" i="1"/>
  <c r="E13046" i="1"/>
  <c r="F13046" i="1"/>
  <c r="G13046" i="1"/>
  <c r="H13046" i="1"/>
  <c r="I13046" i="1"/>
  <c r="J13046" i="1"/>
  <c r="K13046" i="1"/>
  <c r="L13046" i="1"/>
  <c r="A13047" i="1"/>
  <c r="B13047" i="1"/>
  <c r="C13047" i="1"/>
  <c r="D13047" i="1"/>
  <c r="E13047" i="1"/>
  <c r="F13047" i="1"/>
  <c r="G13047" i="1"/>
  <c r="H13047" i="1"/>
  <c r="I13047" i="1"/>
  <c r="J13047" i="1"/>
  <c r="K13047" i="1"/>
  <c r="L13047" i="1"/>
  <c r="A13048" i="1"/>
  <c r="B13048" i="1"/>
  <c r="C13048" i="1"/>
  <c r="D13048" i="1"/>
  <c r="E13048" i="1"/>
  <c r="F13048" i="1"/>
  <c r="G13048" i="1"/>
  <c r="H13048" i="1"/>
  <c r="I13048" i="1"/>
  <c r="J13048" i="1"/>
  <c r="K13048" i="1"/>
  <c r="L13048" i="1"/>
  <c r="A13049" i="1"/>
  <c r="B13049" i="1"/>
  <c r="C13049" i="1"/>
  <c r="D13049" i="1"/>
  <c r="E13049" i="1"/>
  <c r="F13049" i="1"/>
  <c r="G13049" i="1"/>
  <c r="H13049" i="1"/>
  <c r="I13049" i="1"/>
  <c r="J13049" i="1"/>
  <c r="K13049" i="1"/>
  <c r="L13049" i="1"/>
  <c r="A13050" i="1"/>
  <c r="B13050" i="1"/>
  <c r="C13050" i="1"/>
  <c r="D13050" i="1"/>
  <c r="E13050" i="1"/>
  <c r="F13050" i="1"/>
  <c r="G13050" i="1"/>
  <c r="H13050" i="1"/>
  <c r="I13050" i="1"/>
  <c r="J13050" i="1"/>
  <c r="K13050" i="1"/>
  <c r="L13050" i="1"/>
  <c r="A13051" i="1"/>
  <c r="B13051" i="1"/>
  <c r="C13051" i="1"/>
  <c r="D13051" i="1"/>
  <c r="E13051" i="1"/>
  <c r="F13051" i="1"/>
  <c r="G13051" i="1"/>
  <c r="H13051" i="1"/>
  <c r="I13051" i="1"/>
  <c r="J13051" i="1"/>
  <c r="K13051" i="1"/>
  <c r="L13051" i="1"/>
  <c r="A13052" i="1"/>
  <c r="B13052" i="1"/>
  <c r="C13052" i="1"/>
  <c r="D13052" i="1"/>
  <c r="E13052" i="1"/>
  <c r="F13052" i="1"/>
  <c r="G13052" i="1"/>
  <c r="H13052" i="1"/>
  <c r="I13052" i="1"/>
  <c r="J13052" i="1"/>
  <c r="K13052" i="1"/>
  <c r="L13052" i="1"/>
  <c r="A13053" i="1"/>
  <c r="B13053" i="1"/>
  <c r="C13053" i="1"/>
  <c r="D13053" i="1"/>
  <c r="E13053" i="1"/>
  <c r="F13053" i="1"/>
  <c r="G13053" i="1"/>
  <c r="H13053" i="1"/>
  <c r="I13053" i="1"/>
  <c r="J13053" i="1"/>
  <c r="K13053" i="1"/>
  <c r="L13053" i="1"/>
  <c r="A13054" i="1"/>
  <c r="B13054" i="1"/>
  <c r="C13054" i="1"/>
  <c r="D13054" i="1"/>
  <c r="E13054" i="1"/>
  <c r="F13054" i="1"/>
  <c r="G13054" i="1"/>
  <c r="H13054" i="1"/>
  <c r="I13054" i="1"/>
  <c r="J13054" i="1"/>
  <c r="K13054" i="1"/>
  <c r="L13054" i="1"/>
  <c r="A13055" i="1"/>
  <c r="B13055" i="1"/>
  <c r="C13055" i="1"/>
  <c r="D13055" i="1"/>
  <c r="E13055" i="1"/>
  <c r="F13055" i="1"/>
  <c r="G13055" i="1"/>
  <c r="H13055" i="1"/>
  <c r="I13055" i="1"/>
  <c r="J13055" i="1"/>
  <c r="K13055" i="1"/>
  <c r="L13055" i="1"/>
  <c r="A13056" i="1"/>
  <c r="B13056" i="1"/>
  <c r="C13056" i="1"/>
  <c r="D13056" i="1"/>
  <c r="E13056" i="1"/>
  <c r="F13056" i="1"/>
  <c r="G13056" i="1"/>
  <c r="H13056" i="1"/>
  <c r="I13056" i="1"/>
  <c r="J13056" i="1"/>
  <c r="K13056" i="1"/>
  <c r="L13056" i="1"/>
  <c r="A13057" i="1"/>
  <c r="B13057" i="1"/>
  <c r="C13057" i="1"/>
  <c r="D13057" i="1"/>
  <c r="E13057" i="1"/>
  <c r="F13057" i="1"/>
  <c r="G13057" i="1"/>
  <c r="H13057" i="1"/>
  <c r="I13057" i="1"/>
  <c r="J13057" i="1"/>
  <c r="K13057" i="1"/>
  <c r="L13057" i="1"/>
  <c r="A13058" i="1"/>
  <c r="B13058" i="1"/>
  <c r="C13058" i="1"/>
  <c r="D13058" i="1"/>
  <c r="E13058" i="1"/>
  <c r="F13058" i="1"/>
  <c r="G13058" i="1"/>
  <c r="H13058" i="1"/>
  <c r="I13058" i="1"/>
  <c r="J13058" i="1"/>
  <c r="K13058" i="1"/>
  <c r="L13058" i="1"/>
  <c r="A13059" i="1"/>
  <c r="B13059" i="1"/>
  <c r="C13059" i="1"/>
  <c r="D13059" i="1"/>
  <c r="E13059" i="1"/>
  <c r="F13059" i="1"/>
  <c r="G13059" i="1"/>
  <c r="H13059" i="1"/>
  <c r="I13059" i="1"/>
  <c r="J13059" i="1"/>
  <c r="K13059" i="1"/>
  <c r="L13059" i="1"/>
  <c r="A13060" i="1"/>
  <c r="B13060" i="1"/>
  <c r="C13060" i="1"/>
  <c r="D13060" i="1"/>
  <c r="E13060" i="1"/>
  <c r="F13060" i="1"/>
  <c r="G13060" i="1"/>
  <c r="H13060" i="1"/>
  <c r="I13060" i="1"/>
  <c r="J13060" i="1"/>
  <c r="K13060" i="1"/>
  <c r="L13060" i="1"/>
  <c r="A13061" i="1"/>
  <c r="B13061" i="1"/>
  <c r="C13061" i="1"/>
  <c r="D13061" i="1"/>
  <c r="E13061" i="1"/>
  <c r="F13061" i="1"/>
  <c r="G13061" i="1"/>
  <c r="H13061" i="1"/>
  <c r="I13061" i="1"/>
  <c r="J13061" i="1"/>
  <c r="K13061" i="1"/>
  <c r="L13061" i="1"/>
  <c r="A13062" i="1"/>
  <c r="B13062" i="1"/>
  <c r="C13062" i="1"/>
  <c r="D13062" i="1"/>
  <c r="E13062" i="1"/>
  <c r="F13062" i="1"/>
  <c r="G13062" i="1"/>
  <c r="H13062" i="1"/>
  <c r="I13062" i="1"/>
  <c r="J13062" i="1"/>
  <c r="K13062" i="1"/>
  <c r="L13062" i="1"/>
  <c r="A13063" i="1"/>
  <c r="B13063" i="1"/>
  <c r="C13063" i="1"/>
  <c r="D13063" i="1"/>
  <c r="E13063" i="1"/>
  <c r="F13063" i="1"/>
  <c r="G13063" i="1"/>
  <c r="H13063" i="1"/>
  <c r="I13063" i="1"/>
  <c r="J13063" i="1"/>
  <c r="K13063" i="1"/>
  <c r="L13063" i="1"/>
  <c r="A13064" i="1"/>
  <c r="B13064" i="1"/>
  <c r="C13064" i="1"/>
  <c r="D13064" i="1"/>
  <c r="E13064" i="1"/>
  <c r="F13064" i="1"/>
  <c r="G13064" i="1"/>
  <c r="H13064" i="1"/>
  <c r="I13064" i="1"/>
  <c r="J13064" i="1"/>
  <c r="K13064" i="1"/>
  <c r="L13064" i="1"/>
  <c r="A13065" i="1"/>
  <c r="B13065" i="1"/>
  <c r="C13065" i="1"/>
  <c r="D13065" i="1"/>
  <c r="E13065" i="1"/>
  <c r="F13065" i="1"/>
  <c r="G13065" i="1"/>
  <c r="H13065" i="1"/>
  <c r="I13065" i="1"/>
  <c r="J13065" i="1"/>
  <c r="K13065" i="1"/>
  <c r="L13065" i="1"/>
  <c r="A13066" i="1"/>
  <c r="B13066" i="1"/>
  <c r="C13066" i="1"/>
  <c r="D13066" i="1"/>
  <c r="E13066" i="1"/>
  <c r="F13066" i="1"/>
  <c r="G13066" i="1"/>
  <c r="H13066" i="1"/>
  <c r="I13066" i="1"/>
  <c r="J13066" i="1"/>
  <c r="K13066" i="1"/>
  <c r="L13066" i="1"/>
  <c r="A13067" i="1"/>
  <c r="B13067" i="1"/>
  <c r="C13067" i="1"/>
  <c r="D13067" i="1"/>
  <c r="E13067" i="1"/>
  <c r="F13067" i="1"/>
  <c r="G13067" i="1"/>
  <c r="H13067" i="1"/>
  <c r="I13067" i="1"/>
  <c r="J13067" i="1"/>
  <c r="K13067" i="1"/>
  <c r="L13067" i="1"/>
  <c r="A13068" i="1"/>
  <c r="B13068" i="1"/>
  <c r="C13068" i="1"/>
  <c r="D13068" i="1"/>
  <c r="E13068" i="1"/>
  <c r="F13068" i="1"/>
  <c r="G13068" i="1"/>
  <c r="H13068" i="1"/>
  <c r="I13068" i="1"/>
  <c r="J13068" i="1"/>
  <c r="K13068" i="1"/>
  <c r="L13068" i="1"/>
  <c r="A13069" i="1"/>
  <c r="B13069" i="1"/>
  <c r="C13069" i="1"/>
  <c r="D13069" i="1"/>
  <c r="E13069" i="1"/>
  <c r="F13069" i="1"/>
  <c r="G13069" i="1"/>
  <c r="H13069" i="1"/>
  <c r="I13069" i="1"/>
  <c r="J13069" i="1"/>
  <c r="K13069" i="1"/>
  <c r="L13069" i="1"/>
  <c r="A13070" i="1"/>
  <c r="B13070" i="1"/>
  <c r="C13070" i="1"/>
  <c r="D13070" i="1"/>
  <c r="E13070" i="1"/>
  <c r="F13070" i="1"/>
  <c r="G13070" i="1"/>
  <c r="H13070" i="1"/>
  <c r="I13070" i="1"/>
  <c r="J13070" i="1"/>
  <c r="K13070" i="1"/>
  <c r="L13070" i="1"/>
  <c r="A13071" i="1"/>
  <c r="B13071" i="1"/>
  <c r="C13071" i="1"/>
  <c r="D13071" i="1"/>
  <c r="E13071" i="1"/>
  <c r="F13071" i="1"/>
  <c r="G13071" i="1"/>
  <c r="H13071" i="1"/>
  <c r="I13071" i="1"/>
  <c r="J13071" i="1"/>
  <c r="K13071" i="1"/>
  <c r="L13071" i="1"/>
  <c r="A13072" i="1"/>
  <c r="B13072" i="1"/>
  <c r="C13072" i="1"/>
  <c r="D13072" i="1"/>
  <c r="E13072" i="1"/>
  <c r="F13072" i="1"/>
  <c r="G13072" i="1"/>
  <c r="H13072" i="1"/>
  <c r="I13072" i="1"/>
  <c r="J13072" i="1"/>
  <c r="K13072" i="1"/>
  <c r="L13072" i="1"/>
  <c r="A13073" i="1"/>
  <c r="B13073" i="1"/>
  <c r="C13073" i="1"/>
  <c r="D13073" i="1"/>
  <c r="E13073" i="1"/>
  <c r="F13073" i="1"/>
  <c r="G13073" i="1"/>
  <c r="H13073" i="1"/>
  <c r="I13073" i="1"/>
  <c r="J13073" i="1"/>
  <c r="K13073" i="1"/>
  <c r="L13073" i="1"/>
  <c r="A13074" i="1"/>
  <c r="B13074" i="1"/>
  <c r="C13074" i="1"/>
  <c r="D13074" i="1"/>
  <c r="E13074" i="1"/>
  <c r="F13074" i="1"/>
  <c r="G13074" i="1"/>
  <c r="H13074" i="1"/>
  <c r="I13074" i="1"/>
  <c r="J13074" i="1"/>
  <c r="K13074" i="1"/>
  <c r="L13074" i="1"/>
  <c r="A13075" i="1"/>
  <c r="B13075" i="1"/>
  <c r="C13075" i="1"/>
  <c r="D13075" i="1"/>
  <c r="E13075" i="1"/>
  <c r="F13075" i="1"/>
  <c r="G13075" i="1"/>
  <c r="H13075" i="1"/>
  <c r="I13075" i="1"/>
  <c r="J13075" i="1"/>
  <c r="K13075" i="1"/>
  <c r="L13075" i="1"/>
  <c r="A13076" i="1"/>
  <c r="B13076" i="1"/>
  <c r="C13076" i="1"/>
  <c r="D13076" i="1"/>
  <c r="E13076" i="1"/>
  <c r="F13076" i="1"/>
  <c r="G13076" i="1"/>
  <c r="H13076" i="1"/>
  <c r="I13076" i="1"/>
  <c r="J13076" i="1"/>
  <c r="K13076" i="1"/>
  <c r="L13076" i="1"/>
  <c r="A13077" i="1"/>
  <c r="B13077" i="1"/>
  <c r="C13077" i="1"/>
  <c r="D13077" i="1"/>
  <c r="E13077" i="1"/>
  <c r="F13077" i="1"/>
  <c r="G13077" i="1"/>
  <c r="H13077" i="1"/>
  <c r="I13077" i="1"/>
  <c r="J13077" i="1"/>
  <c r="K13077" i="1"/>
  <c r="L13077" i="1"/>
  <c r="A13078" i="1"/>
  <c r="B13078" i="1"/>
  <c r="C13078" i="1"/>
  <c r="D13078" i="1"/>
  <c r="E13078" i="1"/>
  <c r="F13078" i="1"/>
  <c r="G13078" i="1"/>
  <c r="H13078" i="1"/>
  <c r="I13078" i="1"/>
  <c r="J13078" i="1"/>
  <c r="K13078" i="1"/>
  <c r="L13078" i="1"/>
  <c r="A13079" i="1"/>
  <c r="B13079" i="1"/>
  <c r="C13079" i="1"/>
  <c r="D13079" i="1"/>
  <c r="E13079" i="1"/>
  <c r="F13079" i="1"/>
  <c r="G13079" i="1"/>
  <c r="H13079" i="1"/>
  <c r="I13079" i="1"/>
  <c r="J13079" i="1"/>
  <c r="K13079" i="1"/>
  <c r="L13079" i="1"/>
  <c r="A13080" i="1"/>
  <c r="B13080" i="1"/>
  <c r="C13080" i="1"/>
  <c r="D13080" i="1"/>
  <c r="E13080" i="1"/>
  <c r="F13080" i="1"/>
  <c r="G13080" i="1"/>
  <c r="H13080" i="1"/>
  <c r="I13080" i="1"/>
  <c r="J13080" i="1"/>
  <c r="K13080" i="1"/>
  <c r="L13080" i="1"/>
  <c r="A13081" i="1"/>
  <c r="B13081" i="1"/>
  <c r="C13081" i="1"/>
  <c r="D13081" i="1"/>
  <c r="E13081" i="1"/>
  <c r="F13081" i="1"/>
  <c r="G13081" i="1"/>
  <c r="H13081" i="1"/>
  <c r="I13081" i="1"/>
  <c r="J13081" i="1"/>
  <c r="K13081" i="1"/>
  <c r="L13081" i="1"/>
  <c r="A13082" i="1"/>
  <c r="B13082" i="1"/>
  <c r="C13082" i="1"/>
  <c r="D13082" i="1"/>
  <c r="E13082" i="1"/>
  <c r="F13082" i="1"/>
  <c r="G13082" i="1"/>
  <c r="H13082" i="1"/>
  <c r="I13082" i="1"/>
  <c r="J13082" i="1"/>
  <c r="K13082" i="1"/>
  <c r="L13082" i="1"/>
  <c r="A13083" i="1"/>
  <c r="B13083" i="1"/>
  <c r="C13083" i="1"/>
  <c r="D13083" i="1"/>
  <c r="E13083" i="1"/>
  <c r="F13083" i="1"/>
  <c r="G13083" i="1"/>
  <c r="H13083" i="1"/>
  <c r="I13083" i="1"/>
  <c r="J13083" i="1"/>
  <c r="K13083" i="1"/>
  <c r="L13083" i="1"/>
  <c r="A13084" i="1"/>
  <c r="B13084" i="1"/>
  <c r="C13084" i="1"/>
  <c r="D13084" i="1"/>
  <c r="E13084" i="1"/>
  <c r="F13084" i="1"/>
  <c r="G13084" i="1"/>
  <c r="H13084" i="1"/>
  <c r="I13084" i="1"/>
  <c r="J13084" i="1"/>
  <c r="K13084" i="1"/>
  <c r="L13084" i="1"/>
  <c r="A13085" i="1"/>
  <c r="B13085" i="1"/>
  <c r="C13085" i="1"/>
  <c r="D13085" i="1"/>
  <c r="E13085" i="1"/>
  <c r="F13085" i="1"/>
  <c r="G13085" i="1"/>
  <c r="H13085" i="1"/>
  <c r="I13085" i="1"/>
  <c r="J13085" i="1"/>
  <c r="K13085" i="1"/>
  <c r="L13085" i="1"/>
  <c r="A13086" i="1"/>
  <c r="B13086" i="1"/>
  <c r="C13086" i="1"/>
  <c r="D13086" i="1"/>
  <c r="E13086" i="1"/>
  <c r="F13086" i="1"/>
  <c r="G13086" i="1"/>
  <c r="H13086" i="1"/>
  <c r="I13086" i="1"/>
  <c r="J13086" i="1"/>
  <c r="K13086" i="1"/>
  <c r="L13086" i="1"/>
  <c r="A13087" i="1"/>
  <c r="B13087" i="1"/>
  <c r="C13087" i="1"/>
  <c r="D13087" i="1"/>
  <c r="E13087" i="1"/>
  <c r="F13087" i="1"/>
  <c r="G13087" i="1"/>
  <c r="H13087" i="1"/>
  <c r="I13087" i="1"/>
  <c r="J13087" i="1"/>
  <c r="K13087" i="1"/>
  <c r="L13087" i="1"/>
  <c r="A13088" i="1"/>
  <c r="B13088" i="1"/>
  <c r="C13088" i="1"/>
  <c r="D13088" i="1"/>
  <c r="E13088" i="1"/>
  <c r="F13088" i="1"/>
  <c r="G13088" i="1"/>
  <c r="H13088" i="1"/>
  <c r="I13088" i="1"/>
  <c r="J13088" i="1"/>
  <c r="K13088" i="1"/>
  <c r="L13088" i="1"/>
  <c r="A13089" i="1"/>
  <c r="B13089" i="1"/>
  <c r="C13089" i="1"/>
  <c r="D13089" i="1"/>
  <c r="E13089" i="1"/>
  <c r="F13089" i="1"/>
  <c r="G13089" i="1"/>
  <c r="H13089" i="1"/>
  <c r="I13089" i="1"/>
  <c r="J13089" i="1"/>
  <c r="K13089" i="1"/>
  <c r="L13089" i="1"/>
  <c r="A13090" i="1"/>
  <c r="B13090" i="1"/>
  <c r="C13090" i="1"/>
  <c r="D13090" i="1"/>
  <c r="E13090" i="1"/>
  <c r="F13090" i="1"/>
  <c r="G13090" i="1"/>
  <c r="H13090" i="1"/>
  <c r="I13090" i="1"/>
  <c r="J13090" i="1"/>
  <c r="K13090" i="1"/>
  <c r="L13090" i="1"/>
  <c r="A13091" i="1"/>
  <c r="B13091" i="1"/>
  <c r="C13091" i="1"/>
  <c r="D13091" i="1"/>
  <c r="E13091" i="1"/>
  <c r="F13091" i="1"/>
  <c r="G13091" i="1"/>
  <c r="H13091" i="1"/>
  <c r="I13091" i="1"/>
  <c r="J13091" i="1"/>
  <c r="K13091" i="1"/>
  <c r="L13091" i="1"/>
  <c r="A13092" i="1"/>
  <c r="B13092" i="1"/>
  <c r="C13092" i="1"/>
  <c r="D13092" i="1"/>
  <c r="E13092" i="1"/>
  <c r="F13092" i="1"/>
  <c r="G13092" i="1"/>
  <c r="H13092" i="1"/>
  <c r="I13092" i="1"/>
  <c r="J13092" i="1"/>
  <c r="K13092" i="1"/>
  <c r="L13092" i="1"/>
  <c r="A13093" i="1"/>
  <c r="B13093" i="1"/>
  <c r="C13093" i="1"/>
  <c r="D13093" i="1"/>
  <c r="E13093" i="1"/>
  <c r="F13093" i="1"/>
  <c r="G13093" i="1"/>
  <c r="H13093" i="1"/>
  <c r="I13093" i="1"/>
  <c r="J13093" i="1"/>
  <c r="K13093" i="1"/>
  <c r="L13093" i="1"/>
  <c r="A13094" i="1"/>
  <c r="B13094" i="1"/>
  <c r="C13094" i="1"/>
  <c r="D13094" i="1"/>
  <c r="E13094" i="1"/>
  <c r="F13094" i="1"/>
  <c r="G13094" i="1"/>
  <c r="H13094" i="1"/>
  <c r="I13094" i="1"/>
  <c r="J13094" i="1"/>
  <c r="K13094" i="1"/>
  <c r="L13094" i="1"/>
  <c r="A13095" i="1"/>
  <c r="B13095" i="1"/>
  <c r="C13095" i="1"/>
  <c r="D13095" i="1"/>
  <c r="E13095" i="1"/>
  <c r="F13095" i="1"/>
  <c r="G13095" i="1"/>
  <c r="H13095" i="1"/>
  <c r="I13095" i="1"/>
  <c r="J13095" i="1"/>
  <c r="K13095" i="1"/>
  <c r="L13095" i="1"/>
  <c r="A13096" i="1"/>
  <c r="B13096" i="1"/>
  <c r="C13096" i="1"/>
  <c r="D13096" i="1"/>
  <c r="E13096" i="1"/>
  <c r="F13096" i="1"/>
  <c r="G13096" i="1"/>
  <c r="H13096" i="1"/>
  <c r="I13096" i="1"/>
  <c r="J13096" i="1"/>
  <c r="K13096" i="1"/>
  <c r="L13096" i="1"/>
  <c r="A13097" i="1"/>
  <c r="B13097" i="1"/>
  <c r="C13097" i="1"/>
  <c r="D13097" i="1"/>
  <c r="E13097" i="1"/>
  <c r="F13097" i="1"/>
  <c r="G13097" i="1"/>
  <c r="H13097" i="1"/>
  <c r="I13097" i="1"/>
  <c r="J13097" i="1"/>
  <c r="K13097" i="1"/>
  <c r="L13097" i="1"/>
  <c r="A13098" i="1"/>
  <c r="B13098" i="1"/>
  <c r="C13098" i="1"/>
  <c r="D13098" i="1"/>
  <c r="E13098" i="1"/>
  <c r="F13098" i="1"/>
  <c r="G13098" i="1"/>
  <c r="H13098" i="1"/>
  <c r="I13098" i="1"/>
  <c r="J13098" i="1"/>
  <c r="K13098" i="1"/>
  <c r="L13098" i="1"/>
  <c r="A13099" i="1"/>
  <c r="B13099" i="1"/>
  <c r="C13099" i="1"/>
  <c r="D13099" i="1"/>
  <c r="E13099" i="1"/>
  <c r="F13099" i="1"/>
  <c r="G13099" i="1"/>
  <c r="H13099" i="1"/>
  <c r="I13099" i="1"/>
  <c r="J13099" i="1"/>
  <c r="K13099" i="1"/>
  <c r="L13099" i="1"/>
  <c r="A13100" i="1"/>
  <c r="B13100" i="1"/>
  <c r="C13100" i="1"/>
  <c r="D13100" i="1"/>
  <c r="E13100" i="1"/>
  <c r="F13100" i="1"/>
  <c r="G13100" i="1"/>
  <c r="H13100" i="1"/>
  <c r="I13100" i="1"/>
  <c r="J13100" i="1"/>
  <c r="K13100" i="1"/>
  <c r="L13100" i="1"/>
  <c r="A13101" i="1"/>
  <c r="B13101" i="1"/>
  <c r="C13101" i="1"/>
  <c r="D13101" i="1"/>
  <c r="E13101" i="1"/>
  <c r="F13101" i="1"/>
  <c r="G13101" i="1"/>
  <c r="H13101" i="1"/>
  <c r="I13101" i="1"/>
  <c r="J13101" i="1"/>
  <c r="K13101" i="1"/>
  <c r="L13101" i="1"/>
  <c r="A13102" i="1"/>
  <c r="B13102" i="1"/>
  <c r="C13102" i="1"/>
  <c r="D13102" i="1"/>
  <c r="E13102" i="1"/>
  <c r="F13102" i="1"/>
  <c r="G13102" i="1"/>
  <c r="H13102" i="1"/>
  <c r="I13102" i="1"/>
  <c r="J13102" i="1"/>
  <c r="K13102" i="1"/>
  <c r="L13102" i="1"/>
  <c r="A13103" i="1"/>
  <c r="B13103" i="1"/>
  <c r="C13103" i="1"/>
  <c r="D13103" i="1"/>
  <c r="E13103" i="1"/>
  <c r="F13103" i="1"/>
  <c r="G13103" i="1"/>
  <c r="H13103" i="1"/>
  <c r="I13103" i="1"/>
  <c r="J13103" i="1"/>
  <c r="K13103" i="1"/>
  <c r="L13103" i="1"/>
  <c r="A13104" i="1"/>
  <c r="B13104" i="1"/>
  <c r="C13104" i="1"/>
  <c r="D13104" i="1"/>
  <c r="E13104" i="1"/>
  <c r="F13104" i="1"/>
  <c r="G13104" i="1"/>
  <c r="H13104" i="1"/>
  <c r="I13104" i="1"/>
  <c r="J13104" i="1"/>
  <c r="K13104" i="1"/>
  <c r="L13104" i="1"/>
  <c r="A13105" i="1"/>
  <c r="B13105" i="1"/>
  <c r="C13105" i="1"/>
  <c r="D13105" i="1"/>
  <c r="E13105" i="1"/>
  <c r="F13105" i="1"/>
  <c r="G13105" i="1"/>
  <c r="H13105" i="1"/>
  <c r="I13105" i="1"/>
  <c r="J13105" i="1"/>
  <c r="K13105" i="1"/>
  <c r="L13105" i="1"/>
  <c r="A13106" i="1"/>
  <c r="B13106" i="1"/>
  <c r="C13106" i="1"/>
  <c r="D13106" i="1"/>
  <c r="E13106" i="1"/>
  <c r="F13106" i="1"/>
  <c r="G13106" i="1"/>
  <c r="H13106" i="1"/>
  <c r="I13106" i="1"/>
  <c r="J13106" i="1"/>
  <c r="K13106" i="1"/>
  <c r="L13106" i="1"/>
  <c r="A13107" i="1"/>
  <c r="B13107" i="1"/>
  <c r="C13107" i="1"/>
  <c r="D13107" i="1"/>
  <c r="E13107" i="1"/>
  <c r="F13107" i="1"/>
  <c r="G13107" i="1"/>
  <c r="H13107" i="1"/>
  <c r="I13107" i="1"/>
  <c r="J13107" i="1"/>
  <c r="K13107" i="1"/>
  <c r="L13107" i="1"/>
  <c r="A13108" i="1"/>
  <c r="B13108" i="1"/>
  <c r="C13108" i="1"/>
  <c r="D13108" i="1"/>
  <c r="E13108" i="1"/>
  <c r="F13108" i="1"/>
  <c r="G13108" i="1"/>
  <c r="H13108" i="1"/>
  <c r="I13108" i="1"/>
  <c r="J13108" i="1"/>
  <c r="K13108" i="1"/>
  <c r="L13108" i="1"/>
  <c r="A13109" i="1"/>
  <c r="B13109" i="1"/>
  <c r="C13109" i="1"/>
  <c r="D13109" i="1"/>
  <c r="E13109" i="1"/>
  <c r="F13109" i="1"/>
  <c r="G13109" i="1"/>
  <c r="H13109" i="1"/>
  <c r="I13109" i="1"/>
  <c r="J13109" i="1"/>
  <c r="K13109" i="1"/>
  <c r="L13109" i="1"/>
  <c r="A13110" i="1"/>
  <c r="B13110" i="1"/>
  <c r="C13110" i="1"/>
  <c r="D13110" i="1"/>
  <c r="E13110" i="1"/>
  <c r="F13110" i="1"/>
  <c r="G13110" i="1"/>
  <c r="H13110" i="1"/>
  <c r="I13110" i="1"/>
  <c r="J13110" i="1"/>
  <c r="K13110" i="1"/>
  <c r="L13110" i="1"/>
  <c r="A13111" i="1"/>
  <c r="B13111" i="1"/>
  <c r="C13111" i="1"/>
  <c r="D13111" i="1"/>
  <c r="E13111" i="1"/>
  <c r="F13111" i="1"/>
  <c r="G13111" i="1"/>
  <c r="H13111" i="1"/>
  <c r="I13111" i="1"/>
  <c r="J13111" i="1"/>
  <c r="K13111" i="1"/>
  <c r="L13111" i="1"/>
  <c r="A13112" i="1"/>
  <c r="B13112" i="1"/>
  <c r="C13112" i="1"/>
  <c r="D13112" i="1"/>
  <c r="E13112" i="1"/>
  <c r="F13112" i="1"/>
  <c r="G13112" i="1"/>
  <c r="H13112" i="1"/>
  <c r="I13112" i="1"/>
  <c r="J13112" i="1"/>
  <c r="K13112" i="1"/>
  <c r="L13112" i="1"/>
  <c r="A13113" i="1"/>
  <c r="B13113" i="1"/>
  <c r="C13113" i="1"/>
  <c r="D13113" i="1"/>
  <c r="E13113" i="1"/>
  <c r="F13113" i="1"/>
  <c r="G13113" i="1"/>
  <c r="H13113" i="1"/>
  <c r="I13113" i="1"/>
  <c r="J13113" i="1"/>
  <c r="K13113" i="1"/>
  <c r="L13113" i="1"/>
  <c r="A13114" i="1"/>
  <c r="B13114" i="1"/>
  <c r="C13114" i="1"/>
  <c r="D13114" i="1"/>
  <c r="E13114" i="1"/>
  <c r="F13114" i="1"/>
  <c r="G13114" i="1"/>
  <c r="H13114" i="1"/>
  <c r="I13114" i="1"/>
  <c r="J13114" i="1"/>
  <c r="K13114" i="1"/>
  <c r="L13114" i="1"/>
  <c r="A13115" i="1"/>
  <c r="B13115" i="1"/>
  <c r="C13115" i="1"/>
  <c r="D13115" i="1"/>
  <c r="E13115" i="1"/>
  <c r="F13115" i="1"/>
  <c r="G13115" i="1"/>
  <c r="H13115" i="1"/>
  <c r="I13115" i="1"/>
  <c r="J13115" i="1"/>
  <c r="K13115" i="1"/>
  <c r="L13115" i="1"/>
  <c r="A13116" i="1"/>
  <c r="B13116" i="1"/>
  <c r="C13116" i="1"/>
  <c r="D13116" i="1"/>
  <c r="E13116" i="1"/>
  <c r="F13116" i="1"/>
  <c r="G13116" i="1"/>
  <c r="H13116" i="1"/>
  <c r="I13116" i="1"/>
  <c r="J13116" i="1"/>
  <c r="K13116" i="1"/>
  <c r="L13116" i="1"/>
  <c r="A13117" i="1"/>
  <c r="B13117" i="1"/>
  <c r="C13117" i="1"/>
  <c r="D13117" i="1"/>
  <c r="E13117" i="1"/>
  <c r="F13117" i="1"/>
  <c r="G13117" i="1"/>
  <c r="H13117" i="1"/>
  <c r="I13117" i="1"/>
  <c r="J13117" i="1"/>
  <c r="K13117" i="1"/>
  <c r="L13117" i="1"/>
  <c r="A13118" i="1"/>
  <c r="B13118" i="1"/>
  <c r="C13118" i="1"/>
  <c r="D13118" i="1"/>
  <c r="E13118" i="1"/>
  <c r="F13118" i="1"/>
  <c r="G13118" i="1"/>
  <c r="H13118" i="1"/>
  <c r="I13118" i="1"/>
  <c r="J13118" i="1"/>
  <c r="K13118" i="1"/>
  <c r="L13118" i="1"/>
  <c r="A13119" i="1"/>
  <c r="B13119" i="1"/>
  <c r="C13119" i="1"/>
  <c r="D13119" i="1"/>
  <c r="E13119" i="1"/>
  <c r="F13119" i="1"/>
  <c r="G13119" i="1"/>
  <c r="H13119" i="1"/>
  <c r="I13119" i="1"/>
  <c r="J13119" i="1"/>
  <c r="K13119" i="1"/>
  <c r="L13119" i="1"/>
  <c r="A13120" i="1"/>
  <c r="B13120" i="1"/>
  <c r="C13120" i="1"/>
  <c r="D13120" i="1"/>
  <c r="E13120" i="1"/>
  <c r="F13120" i="1"/>
  <c r="G13120" i="1"/>
  <c r="H13120" i="1"/>
  <c r="I13120" i="1"/>
  <c r="J13120" i="1"/>
  <c r="K13120" i="1"/>
  <c r="L13120" i="1"/>
  <c r="A13121" i="1"/>
  <c r="B13121" i="1"/>
  <c r="C13121" i="1"/>
  <c r="D13121" i="1"/>
  <c r="E13121" i="1"/>
  <c r="F13121" i="1"/>
  <c r="G13121" i="1"/>
  <c r="H13121" i="1"/>
  <c r="I13121" i="1"/>
  <c r="J13121" i="1"/>
  <c r="K13121" i="1"/>
  <c r="L13121" i="1"/>
  <c r="A13122" i="1"/>
  <c r="B13122" i="1"/>
  <c r="C13122" i="1"/>
  <c r="D13122" i="1"/>
  <c r="E13122" i="1"/>
  <c r="F13122" i="1"/>
  <c r="G13122" i="1"/>
  <c r="H13122" i="1"/>
  <c r="I13122" i="1"/>
  <c r="J13122" i="1"/>
  <c r="K13122" i="1"/>
  <c r="L13122" i="1"/>
  <c r="A13123" i="1"/>
  <c r="B13123" i="1"/>
  <c r="C13123" i="1"/>
  <c r="D13123" i="1"/>
  <c r="E13123" i="1"/>
  <c r="F13123" i="1"/>
  <c r="G13123" i="1"/>
  <c r="H13123" i="1"/>
  <c r="I13123" i="1"/>
  <c r="J13123" i="1"/>
  <c r="K13123" i="1"/>
  <c r="L13123" i="1"/>
  <c r="A13124" i="1"/>
  <c r="B13124" i="1"/>
  <c r="C13124" i="1"/>
  <c r="D13124" i="1"/>
  <c r="E13124" i="1"/>
  <c r="F13124" i="1"/>
  <c r="G13124" i="1"/>
  <c r="H13124" i="1"/>
  <c r="I13124" i="1"/>
  <c r="J13124" i="1"/>
  <c r="K13124" i="1"/>
  <c r="L13124" i="1"/>
  <c r="A13125" i="1"/>
  <c r="B13125" i="1"/>
  <c r="C13125" i="1"/>
  <c r="D13125" i="1"/>
  <c r="E13125" i="1"/>
  <c r="F13125" i="1"/>
  <c r="G13125" i="1"/>
  <c r="H13125" i="1"/>
  <c r="I13125" i="1"/>
  <c r="J13125" i="1"/>
  <c r="K13125" i="1"/>
  <c r="L13125" i="1"/>
  <c r="A13126" i="1"/>
  <c r="B13126" i="1"/>
  <c r="C13126" i="1"/>
  <c r="D13126" i="1"/>
  <c r="E13126" i="1"/>
  <c r="F13126" i="1"/>
  <c r="G13126" i="1"/>
  <c r="H13126" i="1"/>
  <c r="I13126" i="1"/>
  <c r="J13126" i="1"/>
  <c r="K13126" i="1"/>
  <c r="L13126" i="1"/>
  <c r="A13127" i="1"/>
  <c r="B13127" i="1"/>
  <c r="C13127" i="1"/>
  <c r="D13127" i="1"/>
  <c r="E13127" i="1"/>
  <c r="F13127" i="1"/>
  <c r="G13127" i="1"/>
  <c r="H13127" i="1"/>
  <c r="I13127" i="1"/>
  <c r="J13127" i="1"/>
  <c r="K13127" i="1"/>
  <c r="L13127" i="1"/>
  <c r="A13128" i="1"/>
  <c r="B13128" i="1"/>
  <c r="C13128" i="1"/>
  <c r="D13128" i="1"/>
  <c r="E13128" i="1"/>
  <c r="F13128" i="1"/>
  <c r="G13128" i="1"/>
  <c r="H13128" i="1"/>
  <c r="I13128" i="1"/>
  <c r="J13128" i="1"/>
  <c r="K13128" i="1"/>
  <c r="L13128" i="1"/>
  <c r="A13129" i="1"/>
  <c r="B13129" i="1"/>
  <c r="C13129" i="1"/>
  <c r="D13129" i="1"/>
  <c r="E13129" i="1"/>
  <c r="F13129" i="1"/>
  <c r="G13129" i="1"/>
  <c r="H13129" i="1"/>
  <c r="I13129" i="1"/>
  <c r="J13129" i="1"/>
  <c r="K13129" i="1"/>
  <c r="L13129" i="1"/>
  <c r="A13130" i="1"/>
  <c r="B13130" i="1"/>
  <c r="C13130" i="1"/>
  <c r="D13130" i="1"/>
  <c r="E13130" i="1"/>
  <c r="F13130" i="1"/>
  <c r="G13130" i="1"/>
  <c r="H13130" i="1"/>
  <c r="I13130" i="1"/>
  <c r="J13130" i="1"/>
  <c r="K13130" i="1"/>
  <c r="L13130" i="1"/>
  <c r="A13131" i="1"/>
  <c r="B13131" i="1"/>
  <c r="C13131" i="1"/>
  <c r="D13131" i="1"/>
  <c r="E13131" i="1"/>
  <c r="F13131" i="1"/>
  <c r="G13131" i="1"/>
  <c r="H13131" i="1"/>
  <c r="I13131" i="1"/>
  <c r="J13131" i="1"/>
  <c r="K13131" i="1"/>
  <c r="L13131" i="1"/>
  <c r="A13132" i="1"/>
  <c r="B13132" i="1"/>
  <c r="C13132" i="1"/>
  <c r="D13132" i="1"/>
  <c r="E13132" i="1"/>
  <c r="F13132" i="1"/>
  <c r="G13132" i="1"/>
  <c r="H13132" i="1"/>
  <c r="I13132" i="1"/>
  <c r="J13132" i="1"/>
  <c r="K13132" i="1"/>
  <c r="L13132" i="1"/>
  <c r="A13133" i="1"/>
  <c r="B13133" i="1"/>
  <c r="C13133" i="1"/>
  <c r="D13133" i="1"/>
  <c r="E13133" i="1"/>
  <c r="F13133" i="1"/>
  <c r="G13133" i="1"/>
  <c r="H13133" i="1"/>
  <c r="I13133" i="1"/>
  <c r="J13133" i="1"/>
  <c r="K13133" i="1"/>
  <c r="L13133" i="1"/>
  <c r="A13134" i="1"/>
  <c r="B13134" i="1"/>
  <c r="C13134" i="1"/>
  <c r="D13134" i="1"/>
  <c r="E13134" i="1"/>
  <c r="F13134" i="1"/>
  <c r="G13134" i="1"/>
  <c r="H13134" i="1"/>
  <c r="I13134" i="1"/>
  <c r="J13134" i="1"/>
  <c r="K13134" i="1"/>
  <c r="L13134" i="1"/>
  <c r="A13135" i="1"/>
  <c r="B13135" i="1"/>
  <c r="C13135" i="1"/>
  <c r="D13135" i="1"/>
  <c r="E13135" i="1"/>
  <c r="F13135" i="1"/>
  <c r="G13135" i="1"/>
  <c r="H13135" i="1"/>
  <c r="I13135" i="1"/>
  <c r="J13135" i="1"/>
  <c r="K13135" i="1"/>
  <c r="L13135" i="1"/>
  <c r="A13136" i="1"/>
  <c r="B13136" i="1"/>
  <c r="C13136" i="1"/>
  <c r="D13136" i="1"/>
  <c r="E13136" i="1"/>
  <c r="F13136" i="1"/>
  <c r="G13136" i="1"/>
  <c r="H13136" i="1"/>
  <c r="I13136" i="1"/>
  <c r="J13136" i="1"/>
  <c r="K13136" i="1"/>
  <c r="L13136" i="1"/>
  <c r="A13137" i="1"/>
  <c r="B13137" i="1"/>
  <c r="C13137" i="1"/>
  <c r="D13137" i="1"/>
  <c r="E13137" i="1"/>
  <c r="F13137" i="1"/>
  <c r="G13137" i="1"/>
  <c r="H13137" i="1"/>
  <c r="I13137" i="1"/>
  <c r="J13137" i="1"/>
  <c r="K13137" i="1"/>
  <c r="L13137" i="1"/>
  <c r="A13138" i="1"/>
  <c r="B13138" i="1"/>
  <c r="C13138" i="1"/>
  <c r="D13138" i="1"/>
  <c r="E13138" i="1"/>
  <c r="F13138" i="1"/>
  <c r="G13138" i="1"/>
  <c r="H13138" i="1"/>
  <c r="I13138" i="1"/>
  <c r="J13138" i="1"/>
  <c r="K13138" i="1"/>
  <c r="L13138" i="1"/>
  <c r="A13139" i="1"/>
  <c r="B13139" i="1"/>
  <c r="C13139" i="1"/>
  <c r="D13139" i="1"/>
  <c r="E13139" i="1"/>
  <c r="F13139" i="1"/>
  <c r="G13139" i="1"/>
  <c r="H13139" i="1"/>
  <c r="I13139" i="1"/>
  <c r="J13139" i="1"/>
  <c r="K13139" i="1"/>
  <c r="L13139" i="1"/>
  <c r="A13140" i="1"/>
  <c r="B13140" i="1"/>
  <c r="C13140" i="1"/>
  <c r="D13140" i="1"/>
  <c r="E13140" i="1"/>
  <c r="F13140" i="1"/>
  <c r="G13140" i="1"/>
  <c r="H13140" i="1"/>
  <c r="I13140" i="1"/>
  <c r="J13140" i="1"/>
  <c r="K13140" i="1"/>
  <c r="L13140" i="1"/>
  <c r="A13141" i="1"/>
  <c r="B13141" i="1"/>
  <c r="C13141" i="1"/>
  <c r="D13141" i="1"/>
  <c r="E13141" i="1"/>
  <c r="F13141" i="1"/>
  <c r="G13141" i="1"/>
  <c r="H13141" i="1"/>
  <c r="I13141" i="1"/>
  <c r="J13141" i="1"/>
  <c r="K13141" i="1"/>
  <c r="L13141" i="1"/>
  <c r="A13142" i="1"/>
  <c r="B13142" i="1"/>
  <c r="C13142" i="1"/>
  <c r="D13142" i="1"/>
  <c r="E13142" i="1"/>
  <c r="F13142" i="1"/>
  <c r="G13142" i="1"/>
  <c r="H13142" i="1"/>
  <c r="I13142" i="1"/>
  <c r="J13142" i="1"/>
  <c r="K13142" i="1"/>
  <c r="L13142" i="1"/>
  <c r="A13143" i="1"/>
  <c r="B13143" i="1"/>
  <c r="C13143" i="1"/>
  <c r="D13143" i="1"/>
  <c r="E13143" i="1"/>
  <c r="F13143" i="1"/>
  <c r="G13143" i="1"/>
  <c r="H13143" i="1"/>
  <c r="I13143" i="1"/>
  <c r="J13143" i="1"/>
  <c r="K13143" i="1"/>
  <c r="L13143" i="1"/>
  <c r="A13144" i="1"/>
  <c r="B13144" i="1"/>
  <c r="C13144" i="1"/>
  <c r="D13144" i="1"/>
  <c r="E13144" i="1"/>
  <c r="F13144" i="1"/>
  <c r="G13144" i="1"/>
  <c r="H13144" i="1"/>
  <c r="I13144" i="1"/>
  <c r="J13144" i="1"/>
  <c r="K13144" i="1"/>
  <c r="L13144" i="1"/>
  <c r="A13145" i="1"/>
  <c r="B13145" i="1"/>
  <c r="C13145" i="1"/>
  <c r="D13145" i="1"/>
  <c r="E13145" i="1"/>
  <c r="F13145" i="1"/>
  <c r="G13145" i="1"/>
  <c r="H13145" i="1"/>
  <c r="I13145" i="1"/>
  <c r="J13145" i="1"/>
  <c r="K13145" i="1"/>
  <c r="L13145" i="1"/>
  <c r="A13146" i="1"/>
  <c r="B13146" i="1"/>
  <c r="C13146" i="1"/>
  <c r="D13146" i="1"/>
  <c r="E13146" i="1"/>
  <c r="F13146" i="1"/>
  <c r="G13146" i="1"/>
  <c r="H13146" i="1"/>
  <c r="I13146" i="1"/>
  <c r="J13146" i="1"/>
  <c r="K13146" i="1"/>
  <c r="L13146" i="1"/>
  <c r="A13147" i="1"/>
  <c r="B13147" i="1"/>
  <c r="C13147" i="1"/>
  <c r="D13147" i="1"/>
  <c r="E13147" i="1"/>
  <c r="F13147" i="1"/>
  <c r="G13147" i="1"/>
  <c r="H13147" i="1"/>
  <c r="I13147" i="1"/>
  <c r="J13147" i="1"/>
  <c r="K13147" i="1"/>
  <c r="L13147" i="1"/>
  <c r="A13148" i="1"/>
  <c r="B13148" i="1"/>
  <c r="C13148" i="1"/>
  <c r="D13148" i="1"/>
  <c r="E13148" i="1"/>
  <c r="F13148" i="1"/>
  <c r="G13148" i="1"/>
  <c r="H13148" i="1"/>
  <c r="I13148" i="1"/>
  <c r="J13148" i="1"/>
  <c r="K13148" i="1"/>
  <c r="L13148" i="1"/>
  <c r="A13149" i="1"/>
  <c r="B13149" i="1"/>
  <c r="C13149" i="1"/>
  <c r="D13149" i="1"/>
  <c r="E13149" i="1"/>
  <c r="F13149" i="1"/>
  <c r="G13149" i="1"/>
  <c r="H13149" i="1"/>
  <c r="I13149" i="1"/>
  <c r="J13149" i="1"/>
  <c r="K13149" i="1"/>
  <c r="L13149" i="1"/>
  <c r="A13150" i="1"/>
  <c r="B13150" i="1"/>
  <c r="C13150" i="1"/>
  <c r="D13150" i="1"/>
  <c r="E13150" i="1"/>
  <c r="F13150" i="1"/>
  <c r="G13150" i="1"/>
  <c r="H13150" i="1"/>
  <c r="I13150" i="1"/>
  <c r="J13150" i="1"/>
  <c r="K13150" i="1"/>
  <c r="L13150" i="1"/>
  <c r="A13151" i="1"/>
  <c r="B13151" i="1"/>
  <c r="C13151" i="1"/>
  <c r="D13151" i="1"/>
  <c r="E13151" i="1"/>
  <c r="F13151" i="1"/>
  <c r="G13151" i="1"/>
  <c r="H13151" i="1"/>
  <c r="I13151" i="1"/>
  <c r="J13151" i="1"/>
  <c r="K13151" i="1"/>
  <c r="L13151" i="1"/>
  <c r="A13152" i="1"/>
  <c r="B13152" i="1"/>
  <c r="C13152" i="1"/>
  <c r="D13152" i="1"/>
  <c r="E13152" i="1"/>
  <c r="F13152" i="1"/>
  <c r="G13152" i="1"/>
  <c r="H13152" i="1"/>
  <c r="I13152" i="1"/>
  <c r="J13152" i="1"/>
  <c r="K13152" i="1"/>
  <c r="L13152" i="1"/>
  <c r="A13153" i="1"/>
  <c r="B13153" i="1"/>
  <c r="C13153" i="1"/>
  <c r="D13153" i="1"/>
  <c r="E13153" i="1"/>
  <c r="F13153" i="1"/>
  <c r="G13153" i="1"/>
  <c r="H13153" i="1"/>
  <c r="I13153" i="1"/>
  <c r="J13153" i="1"/>
  <c r="K13153" i="1"/>
  <c r="L13153" i="1"/>
  <c r="A13154" i="1"/>
  <c r="B13154" i="1"/>
  <c r="C13154" i="1"/>
  <c r="D13154" i="1"/>
  <c r="E13154" i="1"/>
  <c r="F13154" i="1"/>
  <c r="G13154" i="1"/>
  <c r="H13154" i="1"/>
  <c r="I13154" i="1"/>
  <c r="J13154" i="1"/>
  <c r="K13154" i="1"/>
  <c r="L13154" i="1"/>
  <c r="A13155" i="1"/>
  <c r="B13155" i="1"/>
  <c r="C13155" i="1"/>
  <c r="D13155" i="1"/>
  <c r="E13155" i="1"/>
  <c r="F13155" i="1"/>
  <c r="G13155" i="1"/>
  <c r="H13155" i="1"/>
  <c r="I13155" i="1"/>
  <c r="J13155" i="1"/>
  <c r="K13155" i="1"/>
  <c r="L13155" i="1"/>
  <c r="A13156" i="1"/>
  <c r="B13156" i="1"/>
  <c r="C13156" i="1"/>
  <c r="D13156" i="1"/>
  <c r="E13156" i="1"/>
  <c r="F13156" i="1"/>
  <c r="G13156" i="1"/>
  <c r="H13156" i="1"/>
  <c r="I13156" i="1"/>
  <c r="J13156" i="1"/>
  <c r="K13156" i="1"/>
  <c r="L13156" i="1"/>
  <c r="A13157" i="1"/>
  <c r="B13157" i="1"/>
  <c r="C13157" i="1"/>
  <c r="D13157" i="1"/>
  <c r="E13157" i="1"/>
  <c r="F13157" i="1"/>
  <c r="G13157" i="1"/>
  <c r="H13157" i="1"/>
  <c r="I13157" i="1"/>
  <c r="J13157" i="1"/>
  <c r="K13157" i="1"/>
  <c r="L13157" i="1"/>
  <c r="A13158" i="1"/>
  <c r="B13158" i="1"/>
  <c r="C13158" i="1"/>
  <c r="D13158" i="1"/>
  <c r="E13158" i="1"/>
  <c r="F13158" i="1"/>
  <c r="G13158" i="1"/>
  <c r="H13158" i="1"/>
  <c r="I13158" i="1"/>
  <c r="J13158" i="1"/>
  <c r="K13158" i="1"/>
  <c r="L13158" i="1"/>
  <c r="A13159" i="1"/>
  <c r="B13159" i="1"/>
  <c r="C13159" i="1"/>
  <c r="D13159" i="1"/>
  <c r="E13159" i="1"/>
  <c r="F13159" i="1"/>
  <c r="G13159" i="1"/>
  <c r="H13159" i="1"/>
  <c r="I13159" i="1"/>
  <c r="J13159" i="1"/>
  <c r="K13159" i="1"/>
  <c r="L13159" i="1"/>
  <c r="A13160" i="1"/>
  <c r="B13160" i="1"/>
  <c r="C13160" i="1"/>
  <c r="D13160" i="1"/>
  <c r="E13160" i="1"/>
  <c r="F13160" i="1"/>
  <c r="G13160" i="1"/>
  <c r="H13160" i="1"/>
  <c r="I13160" i="1"/>
  <c r="J13160" i="1"/>
  <c r="K13160" i="1"/>
  <c r="L13160" i="1"/>
  <c r="A13161" i="1"/>
  <c r="B13161" i="1"/>
  <c r="C13161" i="1"/>
  <c r="D13161" i="1"/>
  <c r="E13161" i="1"/>
  <c r="F13161" i="1"/>
  <c r="G13161" i="1"/>
  <c r="H13161" i="1"/>
  <c r="I13161" i="1"/>
  <c r="J13161" i="1"/>
  <c r="K13161" i="1"/>
  <c r="L13161" i="1"/>
  <c r="A13162" i="1"/>
  <c r="B13162" i="1"/>
  <c r="C13162" i="1"/>
  <c r="D13162" i="1"/>
  <c r="E13162" i="1"/>
  <c r="F13162" i="1"/>
  <c r="G13162" i="1"/>
  <c r="H13162" i="1"/>
  <c r="I13162" i="1"/>
  <c r="J13162" i="1"/>
  <c r="K13162" i="1"/>
  <c r="L13162" i="1"/>
  <c r="A13163" i="1"/>
  <c r="B13163" i="1"/>
  <c r="C13163" i="1"/>
  <c r="D13163" i="1"/>
  <c r="E13163" i="1"/>
  <c r="F13163" i="1"/>
  <c r="G13163" i="1"/>
  <c r="H13163" i="1"/>
  <c r="I13163" i="1"/>
  <c r="J13163" i="1"/>
  <c r="K13163" i="1"/>
  <c r="L13163" i="1"/>
  <c r="A13164" i="1"/>
  <c r="B13164" i="1"/>
  <c r="C13164" i="1"/>
  <c r="D13164" i="1"/>
  <c r="E13164" i="1"/>
  <c r="F13164" i="1"/>
  <c r="G13164" i="1"/>
  <c r="H13164" i="1"/>
  <c r="I13164" i="1"/>
  <c r="J13164" i="1"/>
  <c r="K13164" i="1"/>
  <c r="L13164" i="1"/>
  <c r="A13165" i="1"/>
  <c r="B13165" i="1"/>
  <c r="C13165" i="1"/>
  <c r="D13165" i="1"/>
  <c r="E13165" i="1"/>
  <c r="F13165" i="1"/>
  <c r="G13165" i="1"/>
  <c r="H13165" i="1"/>
  <c r="I13165" i="1"/>
  <c r="J13165" i="1"/>
  <c r="K13165" i="1"/>
  <c r="L13165" i="1"/>
  <c r="A13166" i="1"/>
  <c r="B13166" i="1"/>
  <c r="C13166" i="1"/>
  <c r="D13166" i="1"/>
  <c r="E13166" i="1"/>
  <c r="F13166" i="1"/>
  <c r="G13166" i="1"/>
  <c r="H13166" i="1"/>
  <c r="I13166" i="1"/>
  <c r="J13166" i="1"/>
  <c r="K13166" i="1"/>
  <c r="L13166" i="1"/>
  <c r="A13167" i="1"/>
  <c r="B13167" i="1"/>
  <c r="C13167" i="1"/>
  <c r="D13167" i="1"/>
  <c r="E13167" i="1"/>
  <c r="F13167" i="1"/>
  <c r="G13167" i="1"/>
  <c r="H13167" i="1"/>
  <c r="I13167" i="1"/>
  <c r="J13167" i="1"/>
  <c r="K13167" i="1"/>
  <c r="L13167" i="1"/>
  <c r="A13168" i="1"/>
  <c r="B13168" i="1"/>
  <c r="C13168" i="1"/>
  <c r="D13168" i="1"/>
  <c r="E13168" i="1"/>
  <c r="F13168" i="1"/>
  <c r="G13168" i="1"/>
  <c r="H13168" i="1"/>
  <c r="I13168" i="1"/>
  <c r="J13168" i="1"/>
  <c r="K13168" i="1"/>
  <c r="L13168" i="1"/>
  <c r="A13169" i="1"/>
  <c r="B13169" i="1"/>
  <c r="C13169" i="1"/>
  <c r="D13169" i="1"/>
  <c r="E13169" i="1"/>
  <c r="F13169" i="1"/>
  <c r="G13169" i="1"/>
  <c r="H13169" i="1"/>
  <c r="I13169" i="1"/>
  <c r="J13169" i="1"/>
  <c r="K13169" i="1"/>
  <c r="L13169" i="1"/>
  <c r="A13170" i="1"/>
  <c r="B13170" i="1"/>
  <c r="C13170" i="1"/>
  <c r="D13170" i="1"/>
  <c r="E13170" i="1"/>
  <c r="F13170" i="1"/>
  <c r="G13170" i="1"/>
  <c r="H13170" i="1"/>
  <c r="I13170" i="1"/>
  <c r="J13170" i="1"/>
  <c r="K13170" i="1"/>
  <c r="L13170" i="1"/>
  <c r="A13171" i="1"/>
  <c r="B13171" i="1"/>
  <c r="C13171" i="1"/>
  <c r="D13171" i="1"/>
  <c r="E13171" i="1"/>
  <c r="F13171" i="1"/>
  <c r="G13171" i="1"/>
  <c r="H13171" i="1"/>
  <c r="I13171" i="1"/>
  <c r="J13171" i="1"/>
  <c r="K13171" i="1"/>
  <c r="L13171" i="1"/>
  <c r="A13172" i="1"/>
  <c r="B13172" i="1"/>
  <c r="C13172" i="1"/>
  <c r="D13172" i="1"/>
  <c r="E13172" i="1"/>
  <c r="F13172" i="1"/>
  <c r="G13172" i="1"/>
  <c r="H13172" i="1"/>
  <c r="I13172" i="1"/>
  <c r="J13172" i="1"/>
  <c r="K13172" i="1"/>
  <c r="L13172" i="1"/>
  <c r="A13173" i="1"/>
  <c r="B13173" i="1"/>
  <c r="C13173" i="1"/>
  <c r="D13173" i="1"/>
  <c r="E13173" i="1"/>
  <c r="F13173" i="1"/>
  <c r="G13173" i="1"/>
  <c r="H13173" i="1"/>
  <c r="I13173" i="1"/>
  <c r="J13173" i="1"/>
  <c r="K13173" i="1"/>
  <c r="L13173" i="1"/>
  <c r="A13174" i="1"/>
  <c r="B13174" i="1"/>
  <c r="C13174" i="1"/>
  <c r="D13174" i="1"/>
  <c r="E13174" i="1"/>
  <c r="F13174" i="1"/>
  <c r="G13174" i="1"/>
  <c r="H13174" i="1"/>
  <c r="I13174" i="1"/>
  <c r="J13174" i="1"/>
  <c r="K13174" i="1"/>
  <c r="L13174" i="1"/>
  <c r="A13175" i="1"/>
  <c r="B13175" i="1"/>
  <c r="C13175" i="1"/>
  <c r="D13175" i="1"/>
  <c r="E13175" i="1"/>
  <c r="F13175" i="1"/>
  <c r="G13175" i="1"/>
  <c r="H13175" i="1"/>
  <c r="I13175" i="1"/>
  <c r="J13175" i="1"/>
  <c r="K13175" i="1"/>
  <c r="L13175" i="1"/>
  <c r="A13176" i="1"/>
  <c r="B13176" i="1"/>
  <c r="C13176" i="1"/>
  <c r="D13176" i="1"/>
  <c r="E13176" i="1"/>
  <c r="F13176" i="1"/>
  <c r="G13176" i="1"/>
  <c r="H13176" i="1"/>
  <c r="I13176" i="1"/>
  <c r="J13176" i="1"/>
  <c r="K13176" i="1"/>
  <c r="L13176" i="1"/>
  <c r="A13177" i="1"/>
  <c r="B13177" i="1"/>
  <c r="C13177" i="1"/>
  <c r="D13177" i="1"/>
  <c r="E13177" i="1"/>
  <c r="F13177" i="1"/>
  <c r="G13177" i="1"/>
  <c r="H13177" i="1"/>
  <c r="I13177" i="1"/>
  <c r="J13177" i="1"/>
  <c r="K13177" i="1"/>
  <c r="L13177" i="1"/>
  <c r="A13178" i="1"/>
  <c r="B13178" i="1"/>
  <c r="C13178" i="1"/>
  <c r="D13178" i="1"/>
  <c r="E13178" i="1"/>
  <c r="F13178" i="1"/>
  <c r="G13178" i="1"/>
  <c r="H13178" i="1"/>
  <c r="I13178" i="1"/>
  <c r="J13178" i="1"/>
  <c r="K13178" i="1"/>
  <c r="L13178" i="1"/>
  <c r="A13179" i="1"/>
  <c r="B13179" i="1"/>
  <c r="C13179" i="1"/>
  <c r="D13179" i="1"/>
  <c r="E13179" i="1"/>
  <c r="F13179" i="1"/>
  <c r="G13179" i="1"/>
  <c r="H13179" i="1"/>
  <c r="I13179" i="1"/>
  <c r="J13179" i="1"/>
  <c r="K13179" i="1"/>
  <c r="L13179" i="1"/>
  <c r="A13180" i="1"/>
  <c r="B13180" i="1"/>
  <c r="C13180" i="1"/>
  <c r="D13180" i="1"/>
  <c r="E13180" i="1"/>
  <c r="F13180" i="1"/>
  <c r="G13180" i="1"/>
  <c r="H13180" i="1"/>
  <c r="I13180" i="1"/>
  <c r="J13180" i="1"/>
  <c r="K13180" i="1"/>
  <c r="L13180" i="1"/>
  <c r="A13181" i="1"/>
  <c r="B13181" i="1"/>
  <c r="C13181" i="1"/>
  <c r="D13181" i="1"/>
  <c r="E13181" i="1"/>
  <c r="F13181" i="1"/>
  <c r="G13181" i="1"/>
  <c r="H13181" i="1"/>
  <c r="I13181" i="1"/>
  <c r="J13181" i="1"/>
  <c r="K13181" i="1"/>
  <c r="L13181" i="1"/>
  <c r="A13182" i="1"/>
  <c r="B13182" i="1"/>
  <c r="C13182" i="1"/>
  <c r="D13182" i="1"/>
  <c r="E13182" i="1"/>
  <c r="F13182" i="1"/>
  <c r="G13182" i="1"/>
  <c r="H13182" i="1"/>
  <c r="I13182" i="1"/>
  <c r="J13182" i="1"/>
  <c r="K13182" i="1"/>
  <c r="L13182" i="1"/>
  <c r="A13183" i="1"/>
  <c r="B13183" i="1"/>
  <c r="C13183" i="1"/>
  <c r="D13183" i="1"/>
  <c r="E13183" i="1"/>
  <c r="F13183" i="1"/>
  <c r="G13183" i="1"/>
  <c r="H13183" i="1"/>
  <c r="I13183" i="1"/>
  <c r="J13183" i="1"/>
  <c r="K13183" i="1"/>
  <c r="L13183" i="1"/>
  <c r="A13184" i="1"/>
  <c r="B13184" i="1"/>
  <c r="C13184" i="1"/>
  <c r="D13184" i="1"/>
  <c r="E13184" i="1"/>
  <c r="F13184" i="1"/>
  <c r="G13184" i="1"/>
  <c r="H13184" i="1"/>
  <c r="I13184" i="1"/>
  <c r="J13184" i="1"/>
  <c r="K13184" i="1"/>
  <c r="L13184" i="1"/>
  <c r="A13185" i="1"/>
  <c r="B13185" i="1"/>
  <c r="C13185" i="1"/>
  <c r="D13185" i="1"/>
  <c r="E13185" i="1"/>
  <c r="F13185" i="1"/>
  <c r="G13185" i="1"/>
  <c r="H13185" i="1"/>
  <c r="I13185" i="1"/>
  <c r="J13185" i="1"/>
  <c r="K13185" i="1"/>
  <c r="L13185" i="1"/>
  <c r="A13186" i="1"/>
  <c r="B13186" i="1"/>
  <c r="C13186" i="1"/>
  <c r="D13186" i="1"/>
  <c r="E13186" i="1"/>
  <c r="F13186" i="1"/>
  <c r="G13186" i="1"/>
  <c r="H13186" i="1"/>
  <c r="I13186" i="1"/>
  <c r="J13186" i="1"/>
  <c r="K13186" i="1"/>
  <c r="L13186" i="1"/>
  <c r="A13187" i="1"/>
  <c r="B13187" i="1"/>
  <c r="C13187" i="1"/>
  <c r="D13187" i="1"/>
  <c r="E13187" i="1"/>
  <c r="F13187" i="1"/>
  <c r="G13187" i="1"/>
  <c r="H13187" i="1"/>
  <c r="I13187" i="1"/>
  <c r="J13187" i="1"/>
  <c r="K13187" i="1"/>
  <c r="L13187" i="1"/>
  <c r="A13188" i="1"/>
  <c r="B13188" i="1"/>
  <c r="C13188" i="1"/>
  <c r="D13188" i="1"/>
  <c r="E13188" i="1"/>
  <c r="F13188" i="1"/>
  <c r="G13188" i="1"/>
  <c r="H13188" i="1"/>
  <c r="I13188" i="1"/>
  <c r="J13188" i="1"/>
  <c r="K13188" i="1"/>
  <c r="L13188" i="1"/>
  <c r="A13189" i="1"/>
  <c r="B13189" i="1"/>
  <c r="C13189" i="1"/>
  <c r="D13189" i="1"/>
  <c r="E13189" i="1"/>
  <c r="F13189" i="1"/>
  <c r="G13189" i="1"/>
  <c r="H13189" i="1"/>
  <c r="I13189" i="1"/>
  <c r="J13189" i="1"/>
  <c r="K13189" i="1"/>
  <c r="L13189" i="1"/>
  <c r="A13190" i="1"/>
  <c r="B13190" i="1"/>
  <c r="C13190" i="1"/>
  <c r="D13190" i="1"/>
  <c r="E13190" i="1"/>
  <c r="F13190" i="1"/>
  <c r="G13190" i="1"/>
  <c r="H13190" i="1"/>
  <c r="I13190" i="1"/>
  <c r="J13190" i="1"/>
  <c r="K13190" i="1"/>
  <c r="L13190" i="1"/>
  <c r="A13191" i="1"/>
  <c r="B13191" i="1"/>
  <c r="C13191" i="1"/>
  <c r="D13191" i="1"/>
  <c r="E13191" i="1"/>
  <c r="F13191" i="1"/>
  <c r="G13191" i="1"/>
  <c r="H13191" i="1"/>
  <c r="I13191" i="1"/>
  <c r="J13191" i="1"/>
  <c r="K13191" i="1"/>
  <c r="L13191" i="1"/>
  <c r="A13192" i="1"/>
  <c r="B13192" i="1"/>
  <c r="C13192" i="1"/>
  <c r="D13192" i="1"/>
  <c r="E13192" i="1"/>
  <c r="F13192" i="1"/>
  <c r="G13192" i="1"/>
  <c r="H13192" i="1"/>
  <c r="I13192" i="1"/>
  <c r="J13192" i="1"/>
  <c r="K13192" i="1"/>
  <c r="L13192" i="1"/>
  <c r="A13193" i="1"/>
  <c r="B13193" i="1"/>
  <c r="C13193" i="1"/>
  <c r="D13193" i="1"/>
  <c r="E13193" i="1"/>
  <c r="F13193" i="1"/>
  <c r="G13193" i="1"/>
  <c r="H13193" i="1"/>
  <c r="I13193" i="1"/>
  <c r="J13193" i="1"/>
  <c r="K13193" i="1"/>
  <c r="L13193" i="1"/>
  <c r="A13194" i="1"/>
  <c r="B13194" i="1"/>
  <c r="C13194" i="1"/>
  <c r="D13194" i="1"/>
  <c r="E13194" i="1"/>
  <c r="F13194" i="1"/>
  <c r="G13194" i="1"/>
  <c r="H13194" i="1"/>
  <c r="I13194" i="1"/>
  <c r="J13194" i="1"/>
  <c r="K13194" i="1"/>
  <c r="L13194" i="1"/>
  <c r="A13195" i="1"/>
  <c r="B13195" i="1"/>
  <c r="C13195" i="1"/>
  <c r="D13195" i="1"/>
  <c r="E13195" i="1"/>
  <c r="F13195" i="1"/>
  <c r="G13195" i="1"/>
  <c r="H13195" i="1"/>
  <c r="I13195" i="1"/>
  <c r="J13195" i="1"/>
  <c r="K13195" i="1"/>
  <c r="L13195" i="1"/>
  <c r="A13196" i="1"/>
  <c r="B13196" i="1"/>
  <c r="C13196" i="1"/>
  <c r="D13196" i="1"/>
  <c r="E13196" i="1"/>
  <c r="F13196" i="1"/>
  <c r="G13196" i="1"/>
  <c r="H13196" i="1"/>
  <c r="I13196" i="1"/>
  <c r="J13196" i="1"/>
  <c r="K13196" i="1"/>
  <c r="L13196" i="1"/>
  <c r="A13197" i="1"/>
  <c r="B13197" i="1"/>
  <c r="C13197" i="1"/>
  <c r="D13197" i="1"/>
  <c r="E13197" i="1"/>
  <c r="F13197" i="1"/>
  <c r="G13197" i="1"/>
  <c r="H13197" i="1"/>
  <c r="I13197" i="1"/>
  <c r="J13197" i="1"/>
  <c r="K13197" i="1"/>
  <c r="L13197" i="1"/>
  <c r="A13198" i="1"/>
  <c r="B13198" i="1"/>
  <c r="C13198" i="1"/>
  <c r="D13198" i="1"/>
  <c r="E13198" i="1"/>
  <c r="F13198" i="1"/>
  <c r="G13198" i="1"/>
  <c r="H13198" i="1"/>
  <c r="I13198" i="1"/>
  <c r="J13198" i="1"/>
  <c r="K13198" i="1"/>
  <c r="L13198" i="1"/>
  <c r="A13199" i="1"/>
  <c r="B13199" i="1"/>
  <c r="C13199" i="1"/>
  <c r="D13199" i="1"/>
  <c r="E13199" i="1"/>
  <c r="F13199" i="1"/>
  <c r="G13199" i="1"/>
  <c r="H13199" i="1"/>
  <c r="I13199" i="1"/>
  <c r="J13199" i="1"/>
  <c r="K13199" i="1"/>
  <c r="L13199" i="1"/>
  <c r="A13200" i="1"/>
  <c r="B13200" i="1"/>
  <c r="C13200" i="1"/>
  <c r="D13200" i="1"/>
  <c r="E13200" i="1"/>
  <c r="F13200" i="1"/>
  <c r="G13200" i="1"/>
  <c r="H13200" i="1"/>
  <c r="I13200" i="1"/>
  <c r="J13200" i="1"/>
  <c r="K13200" i="1"/>
  <c r="L13200" i="1"/>
  <c r="A13201" i="1"/>
  <c r="B13201" i="1"/>
  <c r="C13201" i="1"/>
  <c r="D13201" i="1"/>
  <c r="E13201" i="1"/>
  <c r="F13201" i="1"/>
  <c r="G13201" i="1"/>
  <c r="H13201" i="1"/>
  <c r="I13201" i="1"/>
  <c r="J13201" i="1"/>
  <c r="K13201" i="1"/>
  <c r="L13201" i="1"/>
  <c r="A13202" i="1"/>
  <c r="B13202" i="1"/>
  <c r="C13202" i="1"/>
  <c r="D13202" i="1"/>
  <c r="E13202" i="1"/>
  <c r="F13202" i="1"/>
  <c r="G13202" i="1"/>
  <c r="H13202" i="1"/>
  <c r="I13202" i="1"/>
  <c r="J13202" i="1"/>
  <c r="K13202" i="1"/>
  <c r="L13202" i="1"/>
  <c r="A13203" i="1"/>
  <c r="B13203" i="1"/>
  <c r="C13203" i="1"/>
  <c r="D13203" i="1"/>
  <c r="E13203" i="1"/>
  <c r="F13203" i="1"/>
  <c r="G13203" i="1"/>
  <c r="H13203" i="1"/>
  <c r="I13203" i="1"/>
  <c r="J13203" i="1"/>
  <c r="K13203" i="1"/>
  <c r="L13203" i="1"/>
  <c r="A13204" i="1"/>
  <c r="B13204" i="1"/>
  <c r="C13204" i="1"/>
  <c r="D13204" i="1"/>
  <c r="E13204" i="1"/>
  <c r="F13204" i="1"/>
  <c r="G13204" i="1"/>
  <c r="H13204" i="1"/>
  <c r="I13204" i="1"/>
  <c r="J13204" i="1"/>
  <c r="K13204" i="1"/>
  <c r="L13204" i="1"/>
  <c r="A13205" i="1"/>
  <c r="B13205" i="1"/>
  <c r="C13205" i="1"/>
  <c r="D13205" i="1"/>
  <c r="E13205" i="1"/>
  <c r="F13205" i="1"/>
  <c r="G13205" i="1"/>
  <c r="H13205" i="1"/>
  <c r="I13205" i="1"/>
  <c r="J13205" i="1"/>
  <c r="K13205" i="1"/>
  <c r="L13205" i="1"/>
  <c r="A13206" i="1"/>
  <c r="B13206" i="1"/>
  <c r="C13206" i="1"/>
  <c r="D13206" i="1"/>
  <c r="E13206" i="1"/>
  <c r="F13206" i="1"/>
  <c r="G13206" i="1"/>
  <c r="H13206" i="1"/>
  <c r="I13206" i="1"/>
  <c r="J13206" i="1"/>
  <c r="K13206" i="1"/>
  <c r="L13206" i="1"/>
  <c r="A13207" i="1"/>
  <c r="B13207" i="1"/>
  <c r="C13207" i="1"/>
  <c r="D13207" i="1"/>
  <c r="E13207" i="1"/>
  <c r="F13207" i="1"/>
  <c r="G13207" i="1"/>
  <c r="H13207" i="1"/>
  <c r="I13207" i="1"/>
  <c r="J13207" i="1"/>
  <c r="K13207" i="1"/>
  <c r="L13207" i="1"/>
  <c r="A13208" i="1"/>
  <c r="B13208" i="1"/>
  <c r="C13208" i="1"/>
  <c r="D13208" i="1"/>
  <c r="E13208" i="1"/>
  <c r="F13208" i="1"/>
  <c r="G13208" i="1"/>
  <c r="H13208" i="1"/>
  <c r="I13208" i="1"/>
  <c r="J13208" i="1"/>
  <c r="K13208" i="1"/>
  <c r="L13208" i="1"/>
  <c r="A13209" i="1"/>
  <c r="B13209" i="1"/>
  <c r="C13209" i="1"/>
  <c r="D13209" i="1"/>
  <c r="E13209" i="1"/>
  <c r="F13209" i="1"/>
  <c r="G13209" i="1"/>
  <c r="H13209" i="1"/>
  <c r="I13209" i="1"/>
  <c r="J13209" i="1"/>
  <c r="K13209" i="1"/>
  <c r="L13209" i="1"/>
  <c r="A13210" i="1"/>
  <c r="B13210" i="1"/>
  <c r="C13210" i="1"/>
  <c r="D13210" i="1"/>
  <c r="E13210" i="1"/>
  <c r="F13210" i="1"/>
  <c r="G13210" i="1"/>
  <c r="H13210" i="1"/>
  <c r="I13210" i="1"/>
  <c r="J13210" i="1"/>
  <c r="K13210" i="1"/>
  <c r="L13210" i="1"/>
  <c r="A13211" i="1"/>
  <c r="B13211" i="1"/>
  <c r="C13211" i="1"/>
  <c r="D13211" i="1"/>
  <c r="E13211" i="1"/>
  <c r="F13211" i="1"/>
  <c r="G13211" i="1"/>
  <c r="H13211" i="1"/>
  <c r="I13211" i="1"/>
  <c r="J13211" i="1"/>
  <c r="K13211" i="1"/>
  <c r="L13211" i="1"/>
  <c r="A13212" i="1"/>
  <c r="B13212" i="1"/>
  <c r="C13212" i="1"/>
  <c r="D13212" i="1"/>
  <c r="E13212" i="1"/>
  <c r="F13212" i="1"/>
  <c r="G13212" i="1"/>
  <c r="H13212" i="1"/>
  <c r="I13212" i="1"/>
  <c r="J13212" i="1"/>
  <c r="K13212" i="1"/>
  <c r="L13212" i="1"/>
  <c r="A13213" i="1"/>
  <c r="B13213" i="1"/>
  <c r="C13213" i="1"/>
  <c r="D13213" i="1"/>
  <c r="E13213" i="1"/>
  <c r="F13213" i="1"/>
  <c r="G13213" i="1"/>
  <c r="H13213" i="1"/>
  <c r="I13213" i="1"/>
  <c r="J13213" i="1"/>
  <c r="K13213" i="1"/>
  <c r="L13213" i="1"/>
  <c r="A13214" i="1"/>
  <c r="B13214" i="1"/>
  <c r="C13214" i="1"/>
  <c r="D13214" i="1"/>
  <c r="E13214" i="1"/>
  <c r="F13214" i="1"/>
  <c r="G13214" i="1"/>
  <c r="H13214" i="1"/>
  <c r="I13214" i="1"/>
  <c r="J13214" i="1"/>
  <c r="K13214" i="1"/>
  <c r="L13214" i="1"/>
  <c r="A13215" i="1"/>
  <c r="B13215" i="1"/>
  <c r="C13215" i="1"/>
  <c r="D13215" i="1"/>
  <c r="E13215" i="1"/>
  <c r="F13215" i="1"/>
  <c r="G13215" i="1"/>
  <c r="H13215" i="1"/>
  <c r="I13215" i="1"/>
  <c r="J13215" i="1"/>
  <c r="K13215" i="1"/>
  <c r="L13215" i="1"/>
  <c r="A13216" i="1"/>
  <c r="B13216" i="1"/>
  <c r="C13216" i="1"/>
  <c r="D13216" i="1"/>
  <c r="E13216" i="1"/>
  <c r="F13216" i="1"/>
  <c r="G13216" i="1"/>
  <c r="H13216" i="1"/>
  <c r="I13216" i="1"/>
  <c r="J13216" i="1"/>
  <c r="K13216" i="1"/>
  <c r="L13216" i="1"/>
  <c r="A13217" i="1"/>
  <c r="B13217" i="1"/>
  <c r="C13217" i="1"/>
  <c r="D13217" i="1"/>
  <c r="E13217" i="1"/>
  <c r="F13217" i="1"/>
  <c r="G13217" i="1"/>
  <c r="H13217" i="1"/>
  <c r="I13217" i="1"/>
  <c r="J13217" i="1"/>
  <c r="K13217" i="1"/>
  <c r="L13217" i="1"/>
  <c r="A13218" i="1"/>
  <c r="B13218" i="1"/>
  <c r="C13218" i="1"/>
  <c r="D13218" i="1"/>
  <c r="E13218" i="1"/>
  <c r="F13218" i="1"/>
  <c r="G13218" i="1"/>
  <c r="H13218" i="1"/>
  <c r="I13218" i="1"/>
  <c r="J13218" i="1"/>
  <c r="K13218" i="1"/>
  <c r="L13218" i="1"/>
  <c r="A13219" i="1"/>
  <c r="B13219" i="1"/>
  <c r="C13219" i="1"/>
  <c r="D13219" i="1"/>
  <c r="E13219" i="1"/>
  <c r="F13219" i="1"/>
  <c r="G13219" i="1"/>
  <c r="H13219" i="1"/>
  <c r="I13219" i="1"/>
  <c r="J13219" i="1"/>
  <c r="K13219" i="1"/>
  <c r="L13219" i="1"/>
  <c r="A13220" i="1"/>
  <c r="B13220" i="1"/>
  <c r="C13220" i="1"/>
  <c r="D13220" i="1"/>
  <c r="E13220" i="1"/>
  <c r="F13220" i="1"/>
  <c r="G13220" i="1"/>
  <c r="H13220" i="1"/>
  <c r="I13220" i="1"/>
  <c r="J13220" i="1"/>
  <c r="K13220" i="1"/>
  <c r="L13220" i="1"/>
  <c r="A13221" i="1"/>
  <c r="B13221" i="1"/>
  <c r="C13221" i="1"/>
  <c r="D13221" i="1"/>
  <c r="E13221" i="1"/>
  <c r="F13221" i="1"/>
  <c r="G13221" i="1"/>
  <c r="H13221" i="1"/>
  <c r="I13221" i="1"/>
  <c r="J13221" i="1"/>
  <c r="K13221" i="1"/>
  <c r="L13221" i="1"/>
  <c r="A13222" i="1"/>
  <c r="B13222" i="1"/>
  <c r="C13222" i="1"/>
  <c r="D13222" i="1"/>
  <c r="E13222" i="1"/>
  <c r="F13222" i="1"/>
  <c r="G13222" i="1"/>
  <c r="H13222" i="1"/>
  <c r="I13222" i="1"/>
  <c r="J13222" i="1"/>
  <c r="K13222" i="1"/>
  <c r="L13222" i="1"/>
  <c r="A13223" i="1"/>
  <c r="B13223" i="1"/>
  <c r="C13223" i="1"/>
  <c r="D13223" i="1"/>
  <c r="E13223" i="1"/>
  <c r="F13223" i="1"/>
  <c r="G13223" i="1"/>
  <c r="H13223" i="1"/>
  <c r="I13223" i="1"/>
  <c r="J13223" i="1"/>
  <c r="K13223" i="1"/>
  <c r="L13223" i="1"/>
  <c r="A13224" i="1"/>
  <c r="B13224" i="1"/>
  <c r="C13224" i="1"/>
  <c r="D13224" i="1"/>
  <c r="E13224" i="1"/>
  <c r="F13224" i="1"/>
  <c r="G13224" i="1"/>
  <c r="H13224" i="1"/>
  <c r="I13224" i="1"/>
  <c r="J13224" i="1"/>
  <c r="K13224" i="1"/>
  <c r="L13224" i="1"/>
  <c r="A13225" i="1"/>
  <c r="B13225" i="1"/>
  <c r="C13225" i="1"/>
  <c r="D13225" i="1"/>
  <c r="E13225" i="1"/>
  <c r="F13225" i="1"/>
  <c r="G13225" i="1"/>
  <c r="H13225" i="1"/>
  <c r="I13225" i="1"/>
  <c r="J13225" i="1"/>
  <c r="K13225" i="1"/>
  <c r="L13225" i="1"/>
  <c r="A13226" i="1"/>
  <c r="B13226" i="1"/>
  <c r="C13226" i="1"/>
  <c r="D13226" i="1"/>
  <c r="E13226" i="1"/>
  <c r="F13226" i="1"/>
  <c r="G13226" i="1"/>
  <c r="H13226" i="1"/>
  <c r="I13226" i="1"/>
  <c r="J13226" i="1"/>
  <c r="K13226" i="1"/>
  <c r="L13226" i="1"/>
  <c r="A13227" i="1"/>
  <c r="B13227" i="1"/>
  <c r="C13227" i="1"/>
  <c r="D13227" i="1"/>
  <c r="E13227" i="1"/>
  <c r="F13227" i="1"/>
  <c r="G13227" i="1"/>
  <c r="H13227" i="1"/>
  <c r="I13227" i="1"/>
  <c r="J13227" i="1"/>
  <c r="K13227" i="1"/>
  <c r="L13227" i="1"/>
  <c r="A13228" i="1"/>
  <c r="B13228" i="1"/>
  <c r="C13228" i="1"/>
  <c r="D13228" i="1"/>
  <c r="E13228" i="1"/>
  <c r="F13228" i="1"/>
  <c r="G13228" i="1"/>
  <c r="H13228" i="1"/>
  <c r="I13228" i="1"/>
  <c r="J13228" i="1"/>
  <c r="K13228" i="1"/>
  <c r="L13228" i="1"/>
  <c r="A13229" i="1"/>
  <c r="B13229" i="1"/>
  <c r="C13229" i="1"/>
  <c r="D13229" i="1"/>
  <c r="E13229" i="1"/>
  <c r="F13229" i="1"/>
  <c r="G13229" i="1"/>
  <c r="H13229" i="1"/>
  <c r="I13229" i="1"/>
  <c r="J13229" i="1"/>
  <c r="K13229" i="1"/>
  <c r="L13229" i="1"/>
  <c r="A13230" i="1"/>
  <c r="B13230" i="1"/>
  <c r="C13230" i="1"/>
  <c r="D13230" i="1"/>
  <c r="E13230" i="1"/>
  <c r="F13230" i="1"/>
  <c r="G13230" i="1"/>
  <c r="H13230" i="1"/>
  <c r="I13230" i="1"/>
  <c r="J13230" i="1"/>
  <c r="K13230" i="1"/>
  <c r="L13230" i="1"/>
  <c r="A13231" i="1"/>
  <c r="B13231" i="1"/>
  <c r="C13231" i="1"/>
  <c r="D13231" i="1"/>
  <c r="E13231" i="1"/>
  <c r="F13231" i="1"/>
  <c r="G13231" i="1"/>
  <c r="H13231" i="1"/>
  <c r="I13231" i="1"/>
  <c r="J13231" i="1"/>
  <c r="K13231" i="1"/>
  <c r="L13231" i="1"/>
  <c r="A13232" i="1"/>
  <c r="B13232" i="1"/>
  <c r="C13232" i="1"/>
  <c r="D13232" i="1"/>
  <c r="E13232" i="1"/>
  <c r="F13232" i="1"/>
  <c r="G13232" i="1"/>
  <c r="H13232" i="1"/>
  <c r="I13232" i="1"/>
  <c r="J13232" i="1"/>
  <c r="K13232" i="1"/>
  <c r="L13232" i="1"/>
  <c r="A13233" i="1"/>
  <c r="B13233" i="1"/>
  <c r="C13233" i="1"/>
  <c r="D13233" i="1"/>
  <c r="E13233" i="1"/>
  <c r="F13233" i="1"/>
  <c r="G13233" i="1"/>
  <c r="H13233" i="1"/>
  <c r="I13233" i="1"/>
  <c r="J13233" i="1"/>
  <c r="K13233" i="1"/>
  <c r="L13233" i="1"/>
  <c r="A13234" i="1"/>
  <c r="B13234" i="1"/>
  <c r="C13234" i="1"/>
  <c r="D13234" i="1"/>
  <c r="E13234" i="1"/>
  <c r="F13234" i="1"/>
  <c r="G13234" i="1"/>
  <c r="H13234" i="1"/>
  <c r="I13234" i="1"/>
  <c r="J13234" i="1"/>
  <c r="K13234" i="1"/>
  <c r="L13234" i="1"/>
  <c r="A13235" i="1"/>
  <c r="B13235" i="1"/>
  <c r="C13235" i="1"/>
  <c r="D13235" i="1"/>
  <c r="E13235" i="1"/>
  <c r="F13235" i="1"/>
  <c r="G13235" i="1"/>
  <c r="H13235" i="1"/>
  <c r="I13235" i="1"/>
  <c r="J13235" i="1"/>
  <c r="K13235" i="1"/>
  <c r="L13235" i="1"/>
  <c r="A13236" i="1"/>
  <c r="B13236" i="1"/>
  <c r="C13236" i="1"/>
  <c r="D13236" i="1"/>
  <c r="E13236" i="1"/>
  <c r="F13236" i="1"/>
  <c r="G13236" i="1"/>
  <c r="H13236" i="1"/>
  <c r="I13236" i="1"/>
  <c r="J13236" i="1"/>
  <c r="K13236" i="1"/>
  <c r="L13236" i="1"/>
  <c r="A13237" i="1"/>
  <c r="B13237" i="1"/>
  <c r="C13237" i="1"/>
  <c r="D13237" i="1"/>
  <c r="E13237" i="1"/>
  <c r="F13237" i="1"/>
  <c r="G13237" i="1"/>
  <c r="H13237" i="1"/>
  <c r="I13237" i="1"/>
  <c r="J13237" i="1"/>
  <c r="K13237" i="1"/>
  <c r="L13237" i="1"/>
  <c r="A13238" i="1"/>
  <c r="B13238" i="1"/>
  <c r="C13238" i="1"/>
  <c r="D13238" i="1"/>
  <c r="E13238" i="1"/>
  <c r="F13238" i="1"/>
  <c r="G13238" i="1"/>
  <c r="H13238" i="1"/>
  <c r="I13238" i="1"/>
  <c r="J13238" i="1"/>
  <c r="K13238" i="1"/>
  <c r="L13238" i="1"/>
  <c r="A13239" i="1"/>
  <c r="B13239" i="1"/>
  <c r="C13239" i="1"/>
  <c r="D13239" i="1"/>
  <c r="E13239" i="1"/>
  <c r="F13239" i="1"/>
  <c r="G13239" i="1"/>
  <c r="H13239" i="1"/>
  <c r="I13239" i="1"/>
  <c r="J13239" i="1"/>
  <c r="K13239" i="1"/>
  <c r="L13239" i="1"/>
  <c r="A13240" i="1"/>
  <c r="B13240" i="1"/>
  <c r="C13240" i="1"/>
  <c r="D13240" i="1"/>
  <c r="E13240" i="1"/>
  <c r="F13240" i="1"/>
  <c r="G13240" i="1"/>
  <c r="H13240" i="1"/>
  <c r="I13240" i="1"/>
  <c r="J13240" i="1"/>
  <c r="K13240" i="1"/>
  <c r="L13240" i="1"/>
  <c r="A13241" i="1"/>
  <c r="B13241" i="1"/>
  <c r="C13241" i="1"/>
  <c r="D13241" i="1"/>
  <c r="E13241" i="1"/>
  <c r="F13241" i="1"/>
  <c r="G13241" i="1"/>
  <c r="H13241" i="1"/>
  <c r="I13241" i="1"/>
  <c r="J13241" i="1"/>
  <c r="K13241" i="1"/>
  <c r="L13241" i="1"/>
  <c r="A13242" i="1"/>
  <c r="B13242" i="1"/>
  <c r="C13242" i="1"/>
  <c r="D13242" i="1"/>
  <c r="E13242" i="1"/>
  <c r="F13242" i="1"/>
  <c r="G13242" i="1"/>
  <c r="H13242" i="1"/>
  <c r="I13242" i="1"/>
  <c r="J13242" i="1"/>
  <c r="K13242" i="1"/>
  <c r="L13242" i="1"/>
  <c r="A13243" i="1"/>
  <c r="B13243" i="1"/>
  <c r="C13243" i="1"/>
  <c r="D13243" i="1"/>
  <c r="E13243" i="1"/>
  <c r="F13243" i="1"/>
  <c r="G13243" i="1"/>
  <c r="H13243" i="1"/>
  <c r="I13243" i="1"/>
  <c r="J13243" i="1"/>
  <c r="K13243" i="1"/>
  <c r="L13243" i="1"/>
  <c r="A13244" i="1"/>
  <c r="B13244" i="1"/>
  <c r="C13244" i="1"/>
  <c r="D13244" i="1"/>
  <c r="E13244" i="1"/>
  <c r="F13244" i="1"/>
  <c r="G13244" i="1"/>
  <c r="H13244" i="1"/>
  <c r="I13244" i="1"/>
  <c r="J13244" i="1"/>
  <c r="K13244" i="1"/>
  <c r="L13244" i="1"/>
  <c r="A13245" i="1"/>
  <c r="B13245" i="1"/>
  <c r="C13245" i="1"/>
  <c r="D13245" i="1"/>
  <c r="E13245" i="1"/>
  <c r="F13245" i="1"/>
  <c r="G13245" i="1"/>
  <c r="H13245" i="1"/>
  <c r="I13245" i="1"/>
  <c r="J13245" i="1"/>
  <c r="K13245" i="1"/>
  <c r="L13245" i="1"/>
  <c r="A13246" i="1"/>
  <c r="B13246" i="1"/>
  <c r="C13246" i="1"/>
  <c r="D13246" i="1"/>
  <c r="E13246" i="1"/>
  <c r="F13246" i="1"/>
  <c r="G13246" i="1"/>
  <c r="H13246" i="1"/>
  <c r="I13246" i="1"/>
  <c r="J13246" i="1"/>
  <c r="K13246" i="1"/>
  <c r="L13246" i="1"/>
  <c r="A13247" i="1"/>
  <c r="B13247" i="1"/>
  <c r="C13247" i="1"/>
  <c r="D13247" i="1"/>
  <c r="E13247" i="1"/>
  <c r="F13247" i="1"/>
  <c r="G13247" i="1"/>
  <c r="H13247" i="1"/>
  <c r="I13247" i="1"/>
  <c r="J13247" i="1"/>
  <c r="K13247" i="1"/>
  <c r="L13247" i="1"/>
  <c r="A13248" i="1"/>
  <c r="B13248" i="1"/>
  <c r="C13248" i="1"/>
  <c r="D13248" i="1"/>
  <c r="E13248" i="1"/>
  <c r="F13248" i="1"/>
  <c r="G13248" i="1"/>
  <c r="H13248" i="1"/>
  <c r="I13248" i="1"/>
  <c r="J13248" i="1"/>
  <c r="K13248" i="1"/>
  <c r="L13248" i="1"/>
  <c r="A13249" i="1"/>
  <c r="B13249" i="1"/>
  <c r="C13249" i="1"/>
  <c r="D13249" i="1"/>
  <c r="E13249" i="1"/>
  <c r="F13249" i="1"/>
  <c r="G13249" i="1"/>
  <c r="H13249" i="1"/>
  <c r="I13249" i="1"/>
  <c r="J13249" i="1"/>
  <c r="K13249" i="1"/>
  <c r="L13249" i="1"/>
  <c r="A13250" i="1"/>
  <c r="B13250" i="1"/>
  <c r="C13250" i="1"/>
  <c r="D13250" i="1"/>
  <c r="E13250" i="1"/>
  <c r="F13250" i="1"/>
  <c r="G13250" i="1"/>
  <c r="H13250" i="1"/>
  <c r="I13250" i="1"/>
  <c r="J13250" i="1"/>
  <c r="K13250" i="1"/>
  <c r="L13250" i="1"/>
  <c r="A13251" i="1"/>
  <c r="B13251" i="1"/>
  <c r="C13251" i="1"/>
  <c r="D13251" i="1"/>
  <c r="E13251" i="1"/>
  <c r="F13251" i="1"/>
  <c r="G13251" i="1"/>
  <c r="H13251" i="1"/>
  <c r="I13251" i="1"/>
  <c r="J13251" i="1"/>
  <c r="K13251" i="1"/>
  <c r="L13251" i="1"/>
  <c r="A13252" i="1"/>
  <c r="B13252" i="1"/>
  <c r="C13252" i="1"/>
  <c r="D13252" i="1"/>
  <c r="E13252" i="1"/>
  <c r="F13252" i="1"/>
  <c r="G13252" i="1"/>
  <c r="H13252" i="1"/>
  <c r="I13252" i="1"/>
  <c r="J13252" i="1"/>
  <c r="K13252" i="1"/>
  <c r="L13252" i="1"/>
  <c r="A13253" i="1"/>
  <c r="B13253" i="1"/>
  <c r="C13253" i="1"/>
  <c r="D13253" i="1"/>
  <c r="E13253" i="1"/>
  <c r="F13253" i="1"/>
  <c r="G13253" i="1"/>
  <c r="H13253" i="1"/>
  <c r="I13253" i="1"/>
  <c r="J13253" i="1"/>
  <c r="K13253" i="1"/>
  <c r="L13253" i="1"/>
  <c r="A13254" i="1"/>
  <c r="B13254" i="1"/>
  <c r="C13254" i="1"/>
  <c r="D13254" i="1"/>
  <c r="E13254" i="1"/>
  <c r="F13254" i="1"/>
  <c r="G13254" i="1"/>
  <c r="H13254" i="1"/>
  <c r="I13254" i="1"/>
  <c r="J13254" i="1"/>
  <c r="K13254" i="1"/>
  <c r="L13254" i="1"/>
  <c r="A13255" i="1"/>
  <c r="B13255" i="1"/>
  <c r="C13255" i="1"/>
  <c r="D13255" i="1"/>
  <c r="E13255" i="1"/>
  <c r="F13255" i="1"/>
  <c r="G13255" i="1"/>
  <c r="H13255" i="1"/>
  <c r="I13255" i="1"/>
  <c r="J13255" i="1"/>
  <c r="K13255" i="1"/>
  <c r="L13255" i="1"/>
  <c r="A13256" i="1"/>
  <c r="B13256" i="1"/>
  <c r="C13256" i="1"/>
  <c r="D13256" i="1"/>
  <c r="E13256" i="1"/>
  <c r="F13256" i="1"/>
  <c r="G13256" i="1"/>
  <c r="H13256" i="1"/>
  <c r="I13256" i="1"/>
  <c r="J13256" i="1"/>
  <c r="K13256" i="1"/>
  <c r="L13256" i="1"/>
  <c r="A13257" i="1"/>
  <c r="B13257" i="1"/>
  <c r="C13257" i="1"/>
  <c r="D13257" i="1"/>
  <c r="E13257" i="1"/>
  <c r="F13257" i="1"/>
  <c r="G13257" i="1"/>
  <c r="H13257" i="1"/>
  <c r="I13257" i="1"/>
  <c r="J13257" i="1"/>
  <c r="K13257" i="1"/>
  <c r="L13257" i="1"/>
  <c r="A13258" i="1"/>
  <c r="B13258" i="1"/>
  <c r="C13258" i="1"/>
  <c r="D13258" i="1"/>
  <c r="E13258" i="1"/>
  <c r="F13258" i="1"/>
  <c r="G13258" i="1"/>
  <c r="H13258" i="1"/>
  <c r="I13258" i="1"/>
  <c r="J13258" i="1"/>
  <c r="K13258" i="1"/>
  <c r="L13258" i="1"/>
  <c r="A13259" i="1"/>
  <c r="B13259" i="1"/>
  <c r="C13259" i="1"/>
  <c r="D13259" i="1"/>
  <c r="E13259" i="1"/>
  <c r="F13259" i="1"/>
  <c r="G13259" i="1"/>
  <c r="H13259" i="1"/>
  <c r="I13259" i="1"/>
  <c r="J13259" i="1"/>
  <c r="K13259" i="1"/>
  <c r="L13259" i="1"/>
  <c r="A13260" i="1"/>
  <c r="B13260" i="1"/>
  <c r="C13260" i="1"/>
  <c r="D13260" i="1"/>
  <c r="E13260" i="1"/>
  <c r="F13260" i="1"/>
  <c r="G13260" i="1"/>
  <c r="H13260" i="1"/>
  <c r="I13260" i="1"/>
  <c r="J13260" i="1"/>
  <c r="K13260" i="1"/>
  <c r="L13260" i="1"/>
  <c r="A13261" i="1"/>
  <c r="B13261" i="1"/>
  <c r="C13261" i="1"/>
  <c r="D13261" i="1"/>
  <c r="E13261" i="1"/>
  <c r="F13261" i="1"/>
  <c r="G13261" i="1"/>
  <c r="H13261" i="1"/>
  <c r="I13261" i="1"/>
  <c r="J13261" i="1"/>
  <c r="K13261" i="1"/>
  <c r="L13261" i="1"/>
  <c r="A13262" i="1"/>
  <c r="B13262" i="1"/>
  <c r="C13262" i="1"/>
  <c r="D13262" i="1"/>
  <c r="E13262" i="1"/>
  <c r="F13262" i="1"/>
  <c r="G13262" i="1"/>
  <c r="H13262" i="1"/>
  <c r="I13262" i="1"/>
  <c r="J13262" i="1"/>
  <c r="K13262" i="1"/>
  <c r="L13262" i="1"/>
  <c r="A13263" i="1"/>
  <c r="B13263" i="1"/>
  <c r="C13263" i="1"/>
  <c r="D13263" i="1"/>
  <c r="E13263" i="1"/>
  <c r="F13263" i="1"/>
  <c r="G13263" i="1"/>
  <c r="H13263" i="1"/>
  <c r="I13263" i="1"/>
  <c r="J13263" i="1"/>
  <c r="K13263" i="1"/>
  <c r="L13263" i="1"/>
  <c r="A13264" i="1"/>
  <c r="B13264" i="1"/>
  <c r="C13264" i="1"/>
  <c r="D13264" i="1"/>
  <c r="E13264" i="1"/>
  <c r="F13264" i="1"/>
  <c r="G13264" i="1"/>
  <c r="H13264" i="1"/>
  <c r="I13264" i="1"/>
  <c r="J13264" i="1"/>
  <c r="K13264" i="1"/>
  <c r="L13264" i="1"/>
  <c r="A13265" i="1"/>
  <c r="B13265" i="1"/>
  <c r="C13265" i="1"/>
  <c r="D13265" i="1"/>
  <c r="E13265" i="1"/>
  <c r="F13265" i="1"/>
  <c r="G13265" i="1"/>
  <c r="H13265" i="1"/>
  <c r="I13265" i="1"/>
  <c r="J13265" i="1"/>
  <c r="K13265" i="1"/>
  <c r="L13265" i="1"/>
  <c r="A13266" i="1"/>
  <c r="B13266" i="1"/>
  <c r="C13266" i="1"/>
  <c r="D13266" i="1"/>
  <c r="E13266" i="1"/>
  <c r="F13266" i="1"/>
  <c r="G13266" i="1"/>
  <c r="H13266" i="1"/>
  <c r="I13266" i="1"/>
  <c r="J13266" i="1"/>
  <c r="K13266" i="1"/>
  <c r="L13266" i="1"/>
  <c r="A13267" i="1"/>
  <c r="B13267" i="1"/>
  <c r="C13267" i="1"/>
  <c r="D13267" i="1"/>
  <c r="E13267" i="1"/>
  <c r="F13267" i="1"/>
  <c r="G13267" i="1"/>
  <c r="H13267" i="1"/>
  <c r="I13267" i="1"/>
  <c r="J13267" i="1"/>
  <c r="K13267" i="1"/>
  <c r="L13267" i="1"/>
  <c r="A13268" i="1"/>
  <c r="B13268" i="1"/>
  <c r="C13268" i="1"/>
  <c r="D13268" i="1"/>
  <c r="E13268" i="1"/>
  <c r="F13268" i="1"/>
  <c r="G13268" i="1"/>
  <c r="H13268" i="1"/>
  <c r="I13268" i="1"/>
  <c r="J13268" i="1"/>
  <c r="K13268" i="1"/>
  <c r="L13268" i="1"/>
  <c r="A13269" i="1"/>
  <c r="B13269" i="1"/>
  <c r="C13269" i="1"/>
  <c r="D13269" i="1"/>
  <c r="E13269" i="1"/>
  <c r="F13269" i="1"/>
  <c r="G13269" i="1"/>
  <c r="H13269" i="1"/>
  <c r="I13269" i="1"/>
  <c r="J13269" i="1"/>
  <c r="K13269" i="1"/>
  <c r="L13269" i="1"/>
  <c r="A13270" i="1"/>
  <c r="B13270" i="1"/>
  <c r="C13270" i="1"/>
  <c r="D13270" i="1"/>
  <c r="E13270" i="1"/>
  <c r="F13270" i="1"/>
  <c r="G13270" i="1"/>
  <c r="H13270" i="1"/>
  <c r="I13270" i="1"/>
  <c r="J13270" i="1"/>
  <c r="K13270" i="1"/>
  <c r="L13270" i="1"/>
  <c r="A13271" i="1"/>
  <c r="B13271" i="1"/>
  <c r="C13271" i="1"/>
  <c r="D13271" i="1"/>
  <c r="E13271" i="1"/>
  <c r="F13271" i="1"/>
  <c r="G13271" i="1"/>
  <c r="H13271" i="1"/>
  <c r="I13271" i="1"/>
  <c r="J13271" i="1"/>
  <c r="K13271" i="1"/>
  <c r="L13271" i="1"/>
  <c r="A13272" i="1"/>
  <c r="B13272" i="1"/>
  <c r="C13272" i="1"/>
  <c r="D13272" i="1"/>
  <c r="E13272" i="1"/>
  <c r="F13272" i="1"/>
  <c r="G13272" i="1"/>
  <c r="H13272" i="1"/>
  <c r="I13272" i="1"/>
  <c r="J13272" i="1"/>
  <c r="K13272" i="1"/>
  <c r="L13272" i="1"/>
  <c r="A13273" i="1"/>
  <c r="B13273" i="1"/>
  <c r="C13273" i="1"/>
  <c r="D13273" i="1"/>
  <c r="E13273" i="1"/>
  <c r="F13273" i="1"/>
  <c r="G13273" i="1"/>
  <c r="H13273" i="1"/>
  <c r="I13273" i="1"/>
  <c r="J13273" i="1"/>
  <c r="K13273" i="1"/>
  <c r="L13273" i="1"/>
  <c r="A13274" i="1"/>
  <c r="B13274" i="1"/>
  <c r="C13274" i="1"/>
  <c r="D13274" i="1"/>
  <c r="E13274" i="1"/>
  <c r="F13274" i="1"/>
  <c r="G13274" i="1"/>
  <c r="H13274" i="1"/>
  <c r="I13274" i="1"/>
  <c r="J13274" i="1"/>
  <c r="K13274" i="1"/>
  <c r="L13274" i="1"/>
  <c r="A13275" i="1"/>
  <c r="B13275" i="1"/>
  <c r="C13275" i="1"/>
  <c r="D13275" i="1"/>
  <c r="E13275" i="1"/>
  <c r="F13275" i="1"/>
  <c r="G13275" i="1"/>
  <c r="H13275" i="1"/>
  <c r="I13275" i="1"/>
  <c r="J13275" i="1"/>
  <c r="K13275" i="1"/>
  <c r="L13275" i="1"/>
  <c r="A13276" i="1"/>
  <c r="B13276" i="1"/>
  <c r="C13276" i="1"/>
  <c r="D13276" i="1"/>
  <c r="E13276" i="1"/>
  <c r="F13276" i="1"/>
  <c r="G13276" i="1"/>
  <c r="H13276" i="1"/>
  <c r="I13276" i="1"/>
  <c r="J13276" i="1"/>
  <c r="K13276" i="1"/>
  <c r="L13276" i="1"/>
  <c r="A13277" i="1"/>
  <c r="B13277" i="1"/>
  <c r="C13277" i="1"/>
  <c r="D13277" i="1"/>
  <c r="E13277" i="1"/>
  <c r="F13277" i="1"/>
  <c r="G13277" i="1"/>
  <c r="H13277" i="1"/>
  <c r="I13277" i="1"/>
  <c r="J13277" i="1"/>
  <c r="K13277" i="1"/>
  <c r="L13277" i="1"/>
  <c r="A13278" i="1"/>
  <c r="B13278" i="1"/>
  <c r="C13278" i="1"/>
  <c r="D13278" i="1"/>
  <c r="E13278" i="1"/>
  <c r="F13278" i="1"/>
  <c r="G13278" i="1"/>
  <c r="H13278" i="1"/>
  <c r="I13278" i="1"/>
  <c r="J13278" i="1"/>
  <c r="K13278" i="1"/>
  <c r="L13278" i="1"/>
  <c r="A13279" i="1"/>
  <c r="B13279" i="1"/>
  <c r="C13279" i="1"/>
  <c r="D13279" i="1"/>
  <c r="E13279" i="1"/>
  <c r="F13279" i="1"/>
  <c r="G13279" i="1"/>
  <c r="H13279" i="1"/>
  <c r="I13279" i="1"/>
  <c r="J13279" i="1"/>
  <c r="K13279" i="1"/>
  <c r="L13279" i="1"/>
  <c r="A13280" i="1"/>
  <c r="B13280" i="1"/>
  <c r="C13280" i="1"/>
  <c r="D13280" i="1"/>
  <c r="E13280" i="1"/>
  <c r="F13280" i="1"/>
  <c r="G13280" i="1"/>
  <c r="H13280" i="1"/>
  <c r="I13280" i="1"/>
  <c r="J13280" i="1"/>
  <c r="K13280" i="1"/>
  <c r="L13280" i="1"/>
  <c r="A13281" i="1"/>
  <c r="B13281" i="1"/>
  <c r="C13281" i="1"/>
  <c r="D13281" i="1"/>
  <c r="E13281" i="1"/>
  <c r="F13281" i="1"/>
  <c r="G13281" i="1"/>
  <c r="H13281" i="1"/>
  <c r="I13281" i="1"/>
  <c r="J13281" i="1"/>
  <c r="K13281" i="1"/>
  <c r="L13281" i="1"/>
  <c r="A13282" i="1"/>
  <c r="B13282" i="1"/>
  <c r="C13282" i="1"/>
  <c r="D13282" i="1"/>
  <c r="E13282" i="1"/>
  <c r="F13282" i="1"/>
  <c r="G13282" i="1"/>
  <c r="H13282" i="1"/>
  <c r="I13282" i="1"/>
  <c r="J13282" i="1"/>
  <c r="K13282" i="1"/>
  <c r="L13282" i="1"/>
  <c r="A13283" i="1"/>
  <c r="B13283" i="1"/>
  <c r="C13283" i="1"/>
  <c r="D13283" i="1"/>
  <c r="E13283" i="1"/>
  <c r="F13283" i="1"/>
  <c r="G13283" i="1"/>
  <c r="H13283" i="1"/>
  <c r="I13283" i="1"/>
  <c r="J13283" i="1"/>
  <c r="K13283" i="1"/>
  <c r="L13283" i="1"/>
  <c r="A13284" i="1"/>
  <c r="B13284" i="1"/>
  <c r="C13284" i="1"/>
  <c r="D13284" i="1"/>
  <c r="E13284" i="1"/>
  <c r="F13284" i="1"/>
  <c r="G13284" i="1"/>
  <c r="H13284" i="1"/>
  <c r="I13284" i="1"/>
  <c r="J13284" i="1"/>
  <c r="K13284" i="1"/>
  <c r="L13284" i="1"/>
  <c r="A13285" i="1"/>
  <c r="B13285" i="1"/>
  <c r="C13285" i="1"/>
  <c r="D13285" i="1"/>
  <c r="E13285" i="1"/>
  <c r="F13285" i="1"/>
  <c r="G13285" i="1"/>
  <c r="H13285" i="1"/>
  <c r="I13285" i="1"/>
  <c r="J13285" i="1"/>
  <c r="K13285" i="1"/>
  <c r="L13285" i="1"/>
  <c r="A13286" i="1"/>
  <c r="B13286" i="1"/>
  <c r="C13286" i="1"/>
  <c r="D13286" i="1"/>
  <c r="E13286" i="1"/>
  <c r="F13286" i="1"/>
  <c r="G13286" i="1"/>
  <c r="H13286" i="1"/>
  <c r="I13286" i="1"/>
  <c r="J13286" i="1"/>
  <c r="K13286" i="1"/>
  <c r="L13286" i="1"/>
  <c r="A13287" i="1"/>
  <c r="B13287" i="1"/>
  <c r="C13287" i="1"/>
  <c r="D13287" i="1"/>
  <c r="E13287" i="1"/>
  <c r="F13287" i="1"/>
  <c r="G13287" i="1"/>
  <c r="H13287" i="1"/>
  <c r="I13287" i="1"/>
  <c r="J13287" i="1"/>
  <c r="K13287" i="1"/>
  <c r="L13287" i="1"/>
  <c r="A13288" i="1"/>
  <c r="B13288" i="1"/>
  <c r="C13288" i="1"/>
  <c r="D13288" i="1"/>
  <c r="E13288" i="1"/>
  <c r="F13288" i="1"/>
  <c r="G13288" i="1"/>
  <c r="H13288" i="1"/>
  <c r="I13288" i="1"/>
  <c r="J13288" i="1"/>
  <c r="K13288" i="1"/>
  <c r="L13288" i="1"/>
  <c r="A13289" i="1"/>
  <c r="B13289" i="1"/>
  <c r="C13289" i="1"/>
  <c r="D13289" i="1"/>
  <c r="E13289" i="1"/>
  <c r="F13289" i="1"/>
  <c r="G13289" i="1"/>
  <c r="H13289" i="1"/>
  <c r="I13289" i="1"/>
  <c r="J13289" i="1"/>
  <c r="K13289" i="1"/>
  <c r="L13289" i="1"/>
  <c r="A13290" i="1"/>
  <c r="B13290" i="1"/>
  <c r="C13290" i="1"/>
  <c r="D13290" i="1"/>
  <c r="E13290" i="1"/>
  <c r="F13290" i="1"/>
  <c r="G13290" i="1"/>
  <c r="H13290" i="1"/>
  <c r="I13290" i="1"/>
  <c r="J13290" i="1"/>
  <c r="K13290" i="1"/>
  <c r="L13290" i="1"/>
  <c r="A13291" i="1"/>
  <c r="B13291" i="1"/>
  <c r="C13291" i="1"/>
  <c r="D13291" i="1"/>
  <c r="E13291" i="1"/>
  <c r="F13291" i="1"/>
  <c r="G13291" i="1"/>
  <c r="H13291" i="1"/>
  <c r="I13291" i="1"/>
  <c r="J13291" i="1"/>
  <c r="K13291" i="1"/>
  <c r="L13291" i="1"/>
  <c r="A13292" i="1"/>
  <c r="B13292" i="1"/>
  <c r="C13292" i="1"/>
  <c r="D13292" i="1"/>
  <c r="E13292" i="1"/>
  <c r="F13292" i="1"/>
  <c r="G13292" i="1"/>
  <c r="H13292" i="1"/>
  <c r="I13292" i="1"/>
  <c r="J13292" i="1"/>
  <c r="K13292" i="1"/>
  <c r="L13292" i="1"/>
  <c r="A13293" i="1"/>
  <c r="B13293" i="1"/>
  <c r="C13293" i="1"/>
  <c r="D13293" i="1"/>
  <c r="E13293" i="1"/>
  <c r="F13293" i="1"/>
  <c r="G13293" i="1"/>
  <c r="H13293" i="1"/>
  <c r="I13293" i="1"/>
  <c r="J13293" i="1"/>
  <c r="K13293" i="1"/>
  <c r="L13293" i="1"/>
  <c r="A13294" i="1"/>
  <c r="B13294" i="1"/>
  <c r="C13294" i="1"/>
  <c r="D13294" i="1"/>
  <c r="E13294" i="1"/>
  <c r="F13294" i="1"/>
  <c r="G13294" i="1"/>
  <c r="H13294" i="1"/>
  <c r="I13294" i="1"/>
  <c r="J13294" i="1"/>
  <c r="K13294" i="1"/>
  <c r="L13294" i="1"/>
  <c r="A13295" i="1"/>
  <c r="B13295" i="1"/>
  <c r="C13295" i="1"/>
  <c r="D13295" i="1"/>
  <c r="E13295" i="1"/>
  <c r="F13295" i="1"/>
  <c r="G13295" i="1"/>
  <c r="H13295" i="1"/>
  <c r="I13295" i="1"/>
  <c r="J13295" i="1"/>
  <c r="K13295" i="1"/>
  <c r="L13295" i="1"/>
  <c r="A13296" i="1"/>
  <c r="B13296" i="1"/>
  <c r="C13296" i="1"/>
  <c r="D13296" i="1"/>
  <c r="E13296" i="1"/>
  <c r="F13296" i="1"/>
  <c r="G13296" i="1"/>
  <c r="H13296" i="1"/>
  <c r="I13296" i="1"/>
  <c r="J13296" i="1"/>
  <c r="K13296" i="1"/>
  <c r="L13296" i="1"/>
  <c r="A13297" i="1"/>
  <c r="B13297" i="1"/>
  <c r="C13297" i="1"/>
  <c r="D13297" i="1"/>
  <c r="E13297" i="1"/>
  <c r="F13297" i="1"/>
  <c r="G13297" i="1"/>
  <c r="H13297" i="1"/>
  <c r="I13297" i="1"/>
  <c r="J13297" i="1"/>
  <c r="K13297" i="1"/>
  <c r="L13297" i="1"/>
  <c r="A13298" i="1"/>
  <c r="B13298" i="1"/>
  <c r="C13298" i="1"/>
  <c r="D13298" i="1"/>
  <c r="E13298" i="1"/>
  <c r="F13298" i="1"/>
  <c r="G13298" i="1"/>
  <c r="H13298" i="1"/>
  <c r="I13298" i="1"/>
  <c r="J13298" i="1"/>
  <c r="K13298" i="1"/>
  <c r="L13298" i="1"/>
  <c r="A13299" i="1"/>
  <c r="B13299" i="1"/>
  <c r="C13299" i="1"/>
  <c r="D13299" i="1"/>
  <c r="E13299" i="1"/>
  <c r="F13299" i="1"/>
  <c r="G13299" i="1"/>
  <c r="H13299" i="1"/>
  <c r="I13299" i="1"/>
  <c r="J13299" i="1"/>
  <c r="K13299" i="1"/>
  <c r="L13299" i="1"/>
  <c r="A13300" i="1"/>
  <c r="B13300" i="1"/>
  <c r="C13300" i="1"/>
  <c r="D13300" i="1"/>
  <c r="E13300" i="1"/>
  <c r="F13300" i="1"/>
  <c r="G13300" i="1"/>
  <c r="H13300" i="1"/>
  <c r="I13300" i="1"/>
  <c r="J13300" i="1"/>
  <c r="K13300" i="1"/>
  <c r="L13300" i="1"/>
  <c r="A13301" i="1"/>
  <c r="B13301" i="1"/>
  <c r="C13301" i="1"/>
  <c r="D13301" i="1"/>
  <c r="E13301" i="1"/>
  <c r="F13301" i="1"/>
  <c r="G13301" i="1"/>
  <c r="H13301" i="1"/>
  <c r="I13301" i="1"/>
  <c r="J13301" i="1"/>
  <c r="K13301" i="1"/>
  <c r="L13301" i="1"/>
  <c r="A13302" i="1"/>
  <c r="B13302" i="1"/>
  <c r="C13302" i="1"/>
  <c r="D13302" i="1"/>
  <c r="E13302" i="1"/>
  <c r="F13302" i="1"/>
  <c r="G13302" i="1"/>
  <c r="H13302" i="1"/>
  <c r="I13302" i="1"/>
  <c r="J13302" i="1"/>
  <c r="K13302" i="1"/>
  <c r="L13302" i="1"/>
  <c r="A13303" i="1"/>
  <c r="B13303" i="1"/>
  <c r="C13303" i="1"/>
  <c r="D13303" i="1"/>
  <c r="E13303" i="1"/>
  <c r="F13303" i="1"/>
  <c r="G13303" i="1"/>
  <c r="H13303" i="1"/>
  <c r="I13303" i="1"/>
  <c r="J13303" i="1"/>
  <c r="K13303" i="1"/>
  <c r="L13303" i="1"/>
  <c r="A13304" i="1"/>
  <c r="B13304" i="1"/>
  <c r="C13304" i="1"/>
  <c r="D13304" i="1"/>
  <c r="E13304" i="1"/>
  <c r="F13304" i="1"/>
  <c r="G13304" i="1"/>
  <c r="H13304" i="1"/>
  <c r="I13304" i="1"/>
  <c r="J13304" i="1"/>
  <c r="K13304" i="1"/>
  <c r="L13304" i="1"/>
  <c r="A13305" i="1"/>
  <c r="B13305" i="1"/>
  <c r="C13305" i="1"/>
  <c r="D13305" i="1"/>
  <c r="E13305" i="1"/>
  <c r="F13305" i="1"/>
  <c r="G13305" i="1"/>
  <c r="H13305" i="1"/>
  <c r="I13305" i="1"/>
  <c r="J13305" i="1"/>
  <c r="K13305" i="1"/>
  <c r="L13305" i="1"/>
  <c r="A13306" i="1"/>
  <c r="B13306" i="1"/>
  <c r="C13306" i="1"/>
  <c r="D13306" i="1"/>
  <c r="E13306" i="1"/>
  <c r="F13306" i="1"/>
  <c r="G13306" i="1"/>
  <c r="H13306" i="1"/>
  <c r="I13306" i="1"/>
  <c r="J13306" i="1"/>
  <c r="K13306" i="1"/>
  <c r="L13306" i="1"/>
  <c r="A13307" i="1"/>
  <c r="B13307" i="1"/>
  <c r="C13307" i="1"/>
  <c r="D13307" i="1"/>
  <c r="E13307" i="1"/>
  <c r="F13307" i="1"/>
  <c r="G13307" i="1"/>
  <c r="H13307" i="1"/>
  <c r="I13307" i="1"/>
  <c r="J13307" i="1"/>
  <c r="K13307" i="1"/>
  <c r="L13307" i="1"/>
  <c r="A13308" i="1"/>
  <c r="B13308" i="1"/>
  <c r="C13308" i="1"/>
  <c r="D13308" i="1"/>
  <c r="E13308" i="1"/>
  <c r="F13308" i="1"/>
  <c r="G13308" i="1"/>
  <c r="H13308" i="1"/>
  <c r="I13308" i="1"/>
  <c r="J13308" i="1"/>
  <c r="K13308" i="1"/>
  <c r="L13308" i="1"/>
  <c r="A13309" i="1"/>
  <c r="B13309" i="1"/>
  <c r="C13309" i="1"/>
  <c r="D13309" i="1"/>
  <c r="E13309" i="1"/>
  <c r="F13309" i="1"/>
  <c r="G13309" i="1"/>
  <c r="H13309" i="1"/>
  <c r="I13309" i="1"/>
  <c r="J13309" i="1"/>
  <c r="K13309" i="1"/>
  <c r="L13309" i="1"/>
  <c r="A13310" i="1"/>
  <c r="B13310" i="1"/>
  <c r="C13310" i="1"/>
  <c r="D13310" i="1"/>
  <c r="E13310" i="1"/>
  <c r="F13310" i="1"/>
  <c r="G13310" i="1"/>
  <c r="H13310" i="1"/>
  <c r="I13310" i="1"/>
  <c r="J13310" i="1"/>
  <c r="K13310" i="1"/>
  <c r="L13310" i="1"/>
  <c r="A13311" i="1"/>
  <c r="B13311" i="1"/>
  <c r="C13311" i="1"/>
  <c r="D13311" i="1"/>
  <c r="E13311" i="1"/>
  <c r="F13311" i="1"/>
  <c r="G13311" i="1"/>
  <c r="H13311" i="1"/>
  <c r="I13311" i="1"/>
  <c r="J13311" i="1"/>
  <c r="K13311" i="1"/>
  <c r="L13311" i="1"/>
  <c r="A13312" i="1"/>
  <c r="B13312" i="1"/>
  <c r="C13312" i="1"/>
  <c r="D13312" i="1"/>
  <c r="E13312" i="1"/>
  <c r="F13312" i="1"/>
  <c r="G13312" i="1"/>
  <c r="H13312" i="1"/>
  <c r="I13312" i="1"/>
  <c r="J13312" i="1"/>
  <c r="K13312" i="1"/>
  <c r="L13312" i="1"/>
  <c r="A13313" i="1"/>
  <c r="B13313" i="1"/>
  <c r="C13313" i="1"/>
  <c r="D13313" i="1"/>
  <c r="E13313" i="1"/>
  <c r="F13313" i="1"/>
  <c r="G13313" i="1"/>
  <c r="H13313" i="1"/>
  <c r="I13313" i="1"/>
  <c r="J13313" i="1"/>
  <c r="K13313" i="1"/>
  <c r="L13313" i="1"/>
  <c r="A13314" i="1"/>
  <c r="B13314" i="1"/>
  <c r="C13314" i="1"/>
  <c r="D13314" i="1"/>
  <c r="E13314" i="1"/>
  <c r="F13314" i="1"/>
  <c r="G13314" i="1"/>
  <c r="H13314" i="1"/>
  <c r="I13314" i="1"/>
  <c r="J13314" i="1"/>
  <c r="K13314" i="1"/>
  <c r="L13314" i="1"/>
  <c r="A13315" i="1"/>
  <c r="B13315" i="1"/>
  <c r="C13315" i="1"/>
  <c r="D13315" i="1"/>
  <c r="E13315" i="1"/>
  <c r="F13315" i="1"/>
  <c r="G13315" i="1"/>
  <c r="H13315" i="1"/>
  <c r="I13315" i="1"/>
  <c r="J13315" i="1"/>
  <c r="K13315" i="1"/>
  <c r="L13315" i="1"/>
  <c r="A13316" i="1"/>
  <c r="B13316" i="1"/>
  <c r="C13316" i="1"/>
  <c r="D13316" i="1"/>
  <c r="E13316" i="1"/>
  <c r="F13316" i="1"/>
  <c r="G13316" i="1"/>
  <c r="H13316" i="1"/>
  <c r="I13316" i="1"/>
  <c r="J13316" i="1"/>
  <c r="K13316" i="1"/>
  <c r="L13316" i="1"/>
  <c r="A13317" i="1"/>
  <c r="B13317" i="1"/>
  <c r="C13317" i="1"/>
  <c r="D13317" i="1"/>
  <c r="E13317" i="1"/>
  <c r="F13317" i="1"/>
  <c r="G13317" i="1"/>
  <c r="H13317" i="1"/>
  <c r="I13317" i="1"/>
  <c r="J13317" i="1"/>
  <c r="K13317" i="1"/>
  <c r="L13317" i="1"/>
  <c r="A13318" i="1"/>
  <c r="B13318" i="1"/>
  <c r="C13318" i="1"/>
  <c r="D13318" i="1"/>
  <c r="E13318" i="1"/>
  <c r="F13318" i="1"/>
  <c r="G13318" i="1"/>
  <c r="H13318" i="1"/>
  <c r="I13318" i="1"/>
  <c r="J13318" i="1"/>
  <c r="K13318" i="1"/>
  <c r="L13318" i="1"/>
  <c r="A13319" i="1"/>
  <c r="B13319" i="1"/>
  <c r="C13319" i="1"/>
  <c r="D13319" i="1"/>
  <c r="E13319" i="1"/>
  <c r="F13319" i="1"/>
  <c r="G13319" i="1"/>
  <c r="H13319" i="1"/>
  <c r="I13319" i="1"/>
  <c r="J13319" i="1"/>
  <c r="K13319" i="1"/>
  <c r="L13319" i="1"/>
  <c r="A13320" i="1"/>
  <c r="B13320" i="1"/>
  <c r="C13320" i="1"/>
  <c r="D13320" i="1"/>
  <c r="E13320" i="1"/>
  <c r="F13320" i="1"/>
  <c r="G13320" i="1"/>
  <c r="H13320" i="1"/>
  <c r="I13320" i="1"/>
  <c r="J13320" i="1"/>
  <c r="K13320" i="1"/>
  <c r="L13320" i="1"/>
  <c r="A13321" i="1"/>
  <c r="B13321" i="1"/>
  <c r="C13321" i="1"/>
  <c r="D13321" i="1"/>
  <c r="E13321" i="1"/>
  <c r="F13321" i="1"/>
  <c r="G13321" i="1"/>
  <c r="H13321" i="1"/>
  <c r="I13321" i="1"/>
  <c r="J13321" i="1"/>
  <c r="K13321" i="1"/>
  <c r="L13321" i="1"/>
  <c r="A13322" i="1"/>
  <c r="B13322" i="1"/>
  <c r="C13322" i="1"/>
  <c r="D13322" i="1"/>
  <c r="E13322" i="1"/>
  <c r="F13322" i="1"/>
  <c r="G13322" i="1"/>
  <c r="H13322" i="1"/>
  <c r="I13322" i="1"/>
  <c r="J13322" i="1"/>
  <c r="K13322" i="1"/>
  <c r="L13322" i="1"/>
  <c r="A13323" i="1"/>
  <c r="B13323" i="1"/>
  <c r="C13323" i="1"/>
  <c r="D13323" i="1"/>
  <c r="E13323" i="1"/>
  <c r="F13323" i="1"/>
  <c r="G13323" i="1"/>
  <c r="H13323" i="1"/>
  <c r="I13323" i="1"/>
  <c r="J13323" i="1"/>
  <c r="K13323" i="1"/>
  <c r="L13323" i="1"/>
  <c r="A13324" i="1"/>
  <c r="B13324" i="1"/>
  <c r="C13324" i="1"/>
  <c r="D13324" i="1"/>
  <c r="E13324" i="1"/>
  <c r="F13324" i="1"/>
  <c r="G13324" i="1"/>
  <c r="H13324" i="1"/>
  <c r="I13324" i="1"/>
  <c r="J13324" i="1"/>
  <c r="K13324" i="1"/>
  <c r="L13324" i="1"/>
  <c r="A13325" i="1"/>
  <c r="B13325" i="1"/>
  <c r="C13325" i="1"/>
  <c r="D13325" i="1"/>
  <c r="E13325" i="1"/>
  <c r="F13325" i="1"/>
  <c r="G13325" i="1"/>
  <c r="H13325" i="1"/>
  <c r="I13325" i="1"/>
  <c r="J13325" i="1"/>
  <c r="K13325" i="1"/>
  <c r="L13325" i="1"/>
  <c r="A13326" i="1"/>
  <c r="B13326" i="1"/>
  <c r="C13326" i="1"/>
  <c r="D13326" i="1"/>
  <c r="E13326" i="1"/>
  <c r="F13326" i="1"/>
  <c r="G13326" i="1"/>
  <c r="H13326" i="1"/>
  <c r="I13326" i="1"/>
  <c r="J13326" i="1"/>
  <c r="K13326" i="1"/>
  <c r="L13326" i="1"/>
  <c r="A13327" i="1"/>
  <c r="B13327" i="1"/>
  <c r="C13327" i="1"/>
  <c r="D13327" i="1"/>
  <c r="E13327" i="1"/>
  <c r="F13327" i="1"/>
  <c r="G13327" i="1"/>
  <c r="H13327" i="1"/>
  <c r="I13327" i="1"/>
  <c r="J13327" i="1"/>
  <c r="K13327" i="1"/>
  <c r="L13327" i="1"/>
  <c r="A13328" i="1"/>
  <c r="B13328" i="1"/>
  <c r="C13328" i="1"/>
  <c r="D13328" i="1"/>
  <c r="E13328" i="1"/>
  <c r="F13328" i="1"/>
  <c r="G13328" i="1"/>
  <c r="H13328" i="1"/>
  <c r="I13328" i="1"/>
  <c r="J13328" i="1"/>
  <c r="K13328" i="1"/>
  <c r="L13328" i="1"/>
  <c r="A13329" i="1"/>
  <c r="B13329" i="1"/>
  <c r="C13329" i="1"/>
  <c r="D13329" i="1"/>
  <c r="E13329" i="1"/>
  <c r="F13329" i="1"/>
  <c r="G13329" i="1"/>
  <c r="H13329" i="1"/>
  <c r="I13329" i="1"/>
  <c r="J13329" i="1"/>
  <c r="K13329" i="1"/>
  <c r="L13329" i="1"/>
  <c r="A13330" i="1"/>
  <c r="B13330" i="1"/>
  <c r="C13330" i="1"/>
  <c r="D13330" i="1"/>
  <c r="E13330" i="1"/>
  <c r="F13330" i="1"/>
  <c r="G13330" i="1"/>
  <c r="H13330" i="1"/>
  <c r="I13330" i="1"/>
  <c r="J13330" i="1"/>
  <c r="K13330" i="1"/>
  <c r="L13330" i="1"/>
  <c r="A13331" i="1"/>
  <c r="B13331" i="1"/>
  <c r="C13331" i="1"/>
  <c r="D13331" i="1"/>
  <c r="E13331" i="1"/>
  <c r="F13331" i="1"/>
  <c r="G13331" i="1"/>
  <c r="H13331" i="1"/>
  <c r="I13331" i="1"/>
  <c r="J13331" i="1"/>
  <c r="K13331" i="1"/>
  <c r="L13331" i="1"/>
  <c r="A13332" i="1"/>
  <c r="B13332" i="1"/>
  <c r="C13332" i="1"/>
  <c r="D13332" i="1"/>
  <c r="E13332" i="1"/>
  <c r="F13332" i="1"/>
  <c r="G13332" i="1"/>
  <c r="H13332" i="1"/>
  <c r="I13332" i="1"/>
  <c r="J13332" i="1"/>
  <c r="K13332" i="1"/>
  <c r="L13332" i="1"/>
  <c r="A13333" i="1"/>
  <c r="B13333" i="1"/>
  <c r="C13333" i="1"/>
  <c r="D13333" i="1"/>
  <c r="E13333" i="1"/>
  <c r="F13333" i="1"/>
  <c r="G13333" i="1"/>
  <c r="H13333" i="1"/>
  <c r="I13333" i="1"/>
  <c r="J13333" i="1"/>
  <c r="K13333" i="1"/>
  <c r="L13333" i="1"/>
  <c r="A13334" i="1"/>
  <c r="B13334" i="1"/>
  <c r="C13334" i="1"/>
  <c r="D13334" i="1"/>
  <c r="E13334" i="1"/>
  <c r="F13334" i="1"/>
  <c r="G13334" i="1"/>
  <c r="H13334" i="1"/>
  <c r="I13334" i="1"/>
  <c r="J13334" i="1"/>
  <c r="K13334" i="1"/>
  <c r="L13334" i="1"/>
  <c r="A13335" i="1"/>
  <c r="B13335" i="1"/>
  <c r="C13335" i="1"/>
  <c r="D13335" i="1"/>
  <c r="E13335" i="1"/>
  <c r="F13335" i="1"/>
  <c r="G13335" i="1"/>
  <c r="H13335" i="1"/>
  <c r="I13335" i="1"/>
  <c r="J13335" i="1"/>
  <c r="K13335" i="1"/>
  <c r="L13335" i="1"/>
  <c r="A13336" i="1"/>
  <c r="B13336" i="1"/>
  <c r="C13336" i="1"/>
  <c r="D13336" i="1"/>
  <c r="E13336" i="1"/>
  <c r="F13336" i="1"/>
  <c r="G13336" i="1"/>
  <c r="H13336" i="1"/>
  <c r="I13336" i="1"/>
  <c r="J13336" i="1"/>
  <c r="K13336" i="1"/>
  <c r="L13336" i="1"/>
  <c r="A13337" i="1"/>
  <c r="B13337" i="1"/>
  <c r="C13337" i="1"/>
  <c r="D13337" i="1"/>
  <c r="E13337" i="1"/>
  <c r="F13337" i="1"/>
  <c r="G13337" i="1"/>
  <c r="H13337" i="1"/>
  <c r="I13337" i="1"/>
  <c r="J13337" i="1"/>
  <c r="K13337" i="1"/>
  <c r="L13337" i="1"/>
  <c r="A13338" i="1"/>
  <c r="B13338" i="1"/>
  <c r="C13338" i="1"/>
  <c r="D13338" i="1"/>
  <c r="E13338" i="1"/>
  <c r="F13338" i="1"/>
  <c r="G13338" i="1"/>
  <c r="H13338" i="1"/>
  <c r="I13338" i="1"/>
  <c r="J13338" i="1"/>
  <c r="K13338" i="1"/>
  <c r="L13338" i="1"/>
  <c r="A13339" i="1"/>
  <c r="B13339" i="1"/>
  <c r="C13339" i="1"/>
  <c r="D13339" i="1"/>
  <c r="E13339" i="1"/>
  <c r="F13339" i="1"/>
  <c r="G13339" i="1"/>
  <c r="H13339" i="1"/>
  <c r="I13339" i="1"/>
  <c r="J13339" i="1"/>
  <c r="K13339" i="1"/>
  <c r="L13339" i="1"/>
  <c r="A13340" i="1"/>
  <c r="B13340" i="1"/>
  <c r="C13340" i="1"/>
  <c r="D13340" i="1"/>
  <c r="E13340" i="1"/>
  <c r="F13340" i="1"/>
  <c r="G13340" i="1"/>
  <c r="H13340" i="1"/>
  <c r="I13340" i="1"/>
  <c r="J13340" i="1"/>
  <c r="K13340" i="1"/>
  <c r="L13340" i="1"/>
  <c r="A13341" i="1"/>
  <c r="B13341" i="1"/>
  <c r="C13341" i="1"/>
  <c r="D13341" i="1"/>
  <c r="E13341" i="1"/>
  <c r="F13341" i="1"/>
  <c r="G13341" i="1"/>
  <c r="H13341" i="1"/>
  <c r="I13341" i="1"/>
  <c r="J13341" i="1"/>
  <c r="K13341" i="1"/>
  <c r="L13341" i="1"/>
  <c r="A13342" i="1"/>
  <c r="B13342" i="1"/>
  <c r="C13342" i="1"/>
  <c r="D13342" i="1"/>
  <c r="E13342" i="1"/>
  <c r="F13342" i="1"/>
  <c r="G13342" i="1"/>
  <c r="H13342" i="1"/>
  <c r="I13342" i="1"/>
  <c r="J13342" i="1"/>
  <c r="K13342" i="1"/>
  <c r="L13342" i="1"/>
  <c r="A13343" i="1"/>
  <c r="B13343" i="1"/>
  <c r="C13343" i="1"/>
  <c r="D13343" i="1"/>
  <c r="E13343" i="1"/>
  <c r="F13343" i="1"/>
  <c r="G13343" i="1"/>
  <c r="H13343" i="1"/>
  <c r="I13343" i="1"/>
  <c r="J13343" i="1"/>
  <c r="K13343" i="1"/>
  <c r="L13343" i="1"/>
  <c r="A13344" i="1"/>
  <c r="B13344" i="1"/>
  <c r="C13344" i="1"/>
  <c r="D13344" i="1"/>
  <c r="E13344" i="1"/>
  <c r="F13344" i="1"/>
  <c r="G13344" i="1"/>
  <c r="H13344" i="1"/>
  <c r="I13344" i="1"/>
  <c r="J13344" i="1"/>
  <c r="K13344" i="1"/>
  <c r="L13344" i="1"/>
  <c r="A13345" i="1"/>
  <c r="B13345" i="1"/>
  <c r="C13345" i="1"/>
  <c r="D13345" i="1"/>
  <c r="E13345" i="1"/>
  <c r="F13345" i="1"/>
  <c r="G13345" i="1"/>
  <c r="H13345" i="1"/>
  <c r="I13345" i="1"/>
  <c r="J13345" i="1"/>
  <c r="K13345" i="1"/>
  <c r="L13345" i="1"/>
  <c r="A13346" i="1"/>
  <c r="B13346" i="1"/>
  <c r="C13346" i="1"/>
  <c r="D13346" i="1"/>
  <c r="E13346" i="1"/>
  <c r="F13346" i="1"/>
  <c r="G13346" i="1"/>
  <c r="H13346" i="1"/>
  <c r="I13346" i="1"/>
  <c r="J13346" i="1"/>
  <c r="K13346" i="1"/>
  <c r="L13346" i="1"/>
  <c r="A13347" i="1"/>
  <c r="B13347" i="1"/>
  <c r="C13347" i="1"/>
  <c r="D13347" i="1"/>
  <c r="E13347" i="1"/>
  <c r="F13347" i="1"/>
  <c r="G13347" i="1"/>
  <c r="H13347" i="1"/>
  <c r="I13347" i="1"/>
  <c r="J13347" i="1"/>
  <c r="K13347" i="1"/>
  <c r="L13347" i="1"/>
  <c r="A13348" i="1"/>
  <c r="B13348" i="1"/>
  <c r="C13348" i="1"/>
  <c r="D13348" i="1"/>
  <c r="E13348" i="1"/>
  <c r="F13348" i="1"/>
  <c r="G13348" i="1"/>
  <c r="H13348" i="1"/>
  <c r="I13348" i="1"/>
  <c r="J13348" i="1"/>
  <c r="K13348" i="1"/>
  <c r="L13348" i="1"/>
  <c r="A13349" i="1"/>
  <c r="B13349" i="1"/>
  <c r="C13349" i="1"/>
  <c r="D13349" i="1"/>
  <c r="E13349" i="1"/>
  <c r="F13349" i="1"/>
  <c r="G13349" i="1"/>
  <c r="H13349" i="1"/>
  <c r="I13349" i="1"/>
  <c r="J13349" i="1"/>
  <c r="K13349" i="1"/>
  <c r="L13349" i="1"/>
  <c r="A13350" i="1"/>
  <c r="B13350" i="1"/>
  <c r="C13350" i="1"/>
  <c r="D13350" i="1"/>
  <c r="E13350" i="1"/>
  <c r="F13350" i="1"/>
  <c r="G13350" i="1"/>
  <c r="H13350" i="1"/>
  <c r="I13350" i="1"/>
  <c r="J13350" i="1"/>
  <c r="K13350" i="1"/>
  <c r="L13350" i="1"/>
  <c r="A13351" i="1"/>
  <c r="B13351" i="1"/>
  <c r="C13351" i="1"/>
  <c r="D13351" i="1"/>
  <c r="E13351" i="1"/>
  <c r="F13351" i="1"/>
  <c r="G13351" i="1"/>
  <c r="H13351" i="1"/>
  <c r="I13351" i="1"/>
  <c r="J13351" i="1"/>
  <c r="K13351" i="1"/>
  <c r="L13351" i="1"/>
  <c r="A13352" i="1"/>
  <c r="B13352" i="1"/>
  <c r="C13352" i="1"/>
  <c r="D13352" i="1"/>
  <c r="E13352" i="1"/>
  <c r="F13352" i="1"/>
  <c r="G13352" i="1"/>
  <c r="H13352" i="1"/>
  <c r="I13352" i="1"/>
  <c r="J13352" i="1"/>
  <c r="K13352" i="1"/>
  <c r="L13352" i="1"/>
  <c r="A13353" i="1"/>
  <c r="B13353" i="1"/>
  <c r="C13353" i="1"/>
  <c r="D13353" i="1"/>
  <c r="E13353" i="1"/>
  <c r="F13353" i="1"/>
  <c r="G13353" i="1"/>
  <c r="H13353" i="1"/>
  <c r="I13353" i="1"/>
  <c r="J13353" i="1"/>
  <c r="K13353" i="1"/>
  <c r="L13353" i="1"/>
  <c r="A13354" i="1"/>
  <c r="B13354" i="1"/>
  <c r="C13354" i="1"/>
  <c r="D13354" i="1"/>
  <c r="E13354" i="1"/>
  <c r="F13354" i="1"/>
  <c r="G13354" i="1"/>
  <c r="H13354" i="1"/>
  <c r="I13354" i="1"/>
  <c r="J13354" i="1"/>
  <c r="K13354" i="1"/>
  <c r="L13354" i="1"/>
  <c r="A13355" i="1"/>
  <c r="B13355" i="1"/>
  <c r="C13355" i="1"/>
  <c r="D13355" i="1"/>
  <c r="E13355" i="1"/>
  <c r="F13355" i="1"/>
  <c r="G13355" i="1"/>
  <c r="H13355" i="1"/>
  <c r="I13355" i="1"/>
  <c r="J13355" i="1"/>
  <c r="K13355" i="1"/>
  <c r="L13355" i="1"/>
  <c r="A13356" i="1"/>
  <c r="B13356" i="1"/>
  <c r="C13356" i="1"/>
  <c r="D13356" i="1"/>
  <c r="E13356" i="1"/>
  <c r="F13356" i="1"/>
  <c r="G13356" i="1"/>
  <c r="H13356" i="1"/>
  <c r="I13356" i="1"/>
  <c r="J13356" i="1"/>
  <c r="K13356" i="1"/>
  <c r="L13356" i="1"/>
  <c r="A13357" i="1"/>
  <c r="B13357" i="1"/>
  <c r="C13357" i="1"/>
  <c r="D13357" i="1"/>
  <c r="E13357" i="1"/>
  <c r="F13357" i="1"/>
  <c r="G13357" i="1"/>
  <c r="H13357" i="1"/>
  <c r="I13357" i="1"/>
  <c r="J13357" i="1"/>
  <c r="K13357" i="1"/>
  <c r="L13357" i="1"/>
  <c r="A13358" i="1"/>
  <c r="B13358" i="1"/>
  <c r="C13358" i="1"/>
  <c r="D13358" i="1"/>
  <c r="E13358" i="1"/>
  <c r="F13358" i="1"/>
  <c r="G13358" i="1"/>
  <c r="H13358" i="1"/>
  <c r="I13358" i="1"/>
  <c r="J13358" i="1"/>
  <c r="K13358" i="1"/>
  <c r="L13358" i="1"/>
  <c r="A13359" i="1"/>
  <c r="B13359" i="1"/>
  <c r="C13359" i="1"/>
  <c r="D13359" i="1"/>
  <c r="E13359" i="1"/>
  <c r="F13359" i="1"/>
  <c r="G13359" i="1"/>
  <c r="H13359" i="1"/>
  <c r="I13359" i="1"/>
  <c r="J13359" i="1"/>
  <c r="K13359" i="1"/>
  <c r="L13359" i="1"/>
  <c r="A13360" i="1"/>
  <c r="B13360" i="1"/>
  <c r="C13360" i="1"/>
  <c r="D13360" i="1"/>
  <c r="E13360" i="1"/>
  <c r="F13360" i="1"/>
  <c r="G13360" i="1"/>
  <c r="H13360" i="1"/>
  <c r="I13360" i="1"/>
  <c r="J13360" i="1"/>
  <c r="K13360" i="1"/>
  <c r="L13360" i="1"/>
  <c r="A13361" i="1"/>
  <c r="B13361" i="1"/>
  <c r="C13361" i="1"/>
  <c r="D13361" i="1"/>
  <c r="E13361" i="1"/>
  <c r="F13361" i="1"/>
  <c r="G13361" i="1"/>
  <c r="H13361" i="1"/>
  <c r="I13361" i="1"/>
  <c r="J13361" i="1"/>
  <c r="K13361" i="1"/>
  <c r="L13361" i="1"/>
  <c r="A13362" i="1"/>
  <c r="B13362" i="1"/>
  <c r="C13362" i="1"/>
  <c r="D13362" i="1"/>
  <c r="E13362" i="1"/>
  <c r="F13362" i="1"/>
  <c r="G13362" i="1"/>
  <c r="H13362" i="1"/>
  <c r="I13362" i="1"/>
  <c r="J13362" i="1"/>
  <c r="K13362" i="1"/>
  <c r="L13362" i="1"/>
  <c r="A13363" i="1"/>
  <c r="B13363" i="1"/>
  <c r="C13363" i="1"/>
  <c r="D13363" i="1"/>
  <c r="E13363" i="1"/>
  <c r="F13363" i="1"/>
  <c r="G13363" i="1"/>
  <c r="H13363" i="1"/>
  <c r="I13363" i="1"/>
  <c r="J13363" i="1"/>
  <c r="K13363" i="1"/>
  <c r="L13363" i="1"/>
  <c r="A13364" i="1"/>
  <c r="B13364" i="1"/>
  <c r="C13364" i="1"/>
  <c r="D13364" i="1"/>
  <c r="E13364" i="1"/>
  <c r="F13364" i="1"/>
  <c r="G13364" i="1"/>
  <c r="H13364" i="1"/>
  <c r="I13364" i="1"/>
  <c r="J13364" i="1"/>
  <c r="K13364" i="1"/>
  <c r="L13364" i="1"/>
  <c r="A13365" i="1"/>
  <c r="B13365" i="1"/>
  <c r="C13365" i="1"/>
  <c r="D13365" i="1"/>
  <c r="E13365" i="1"/>
  <c r="F13365" i="1"/>
  <c r="G13365" i="1"/>
  <c r="H13365" i="1"/>
  <c r="I13365" i="1"/>
  <c r="J13365" i="1"/>
  <c r="K13365" i="1"/>
  <c r="L13365" i="1"/>
  <c r="A13366" i="1"/>
  <c r="B13366" i="1"/>
  <c r="C13366" i="1"/>
  <c r="D13366" i="1"/>
  <c r="E13366" i="1"/>
  <c r="F13366" i="1"/>
  <c r="G13366" i="1"/>
  <c r="H13366" i="1"/>
  <c r="I13366" i="1"/>
  <c r="J13366" i="1"/>
  <c r="K13366" i="1"/>
  <c r="L13366" i="1"/>
  <c r="A13367" i="1"/>
  <c r="B13367" i="1"/>
  <c r="C13367" i="1"/>
  <c r="D13367" i="1"/>
  <c r="E13367" i="1"/>
  <c r="F13367" i="1"/>
  <c r="G13367" i="1"/>
  <c r="H13367" i="1"/>
  <c r="I13367" i="1"/>
  <c r="J13367" i="1"/>
  <c r="K13367" i="1"/>
  <c r="L13367" i="1"/>
  <c r="A13368" i="1"/>
  <c r="B13368" i="1"/>
  <c r="C13368" i="1"/>
  <c r="D13368" i="1"/>
  <c r="E13368" i="1"/>
  <c r="F13368" i="1"/>
  <c r="G13368" i="1"/>
  <c r="H13368" i="1"/>
  <c r="I13368" i="1"/>
  <c r="J13368" i="1"/>
  <c r="K13368" i="1"/>
  <c r="L13368" i="1"/>
  <c r="A13369" i="1"/>
  <c r="B13369" i="1"/>
  <c r="C13369" i="1"/>
  <c r="D13369" i="1"/>
  <c r="E13369" i="1"/>
  <c r="F13369" i="1"/>
  <c r="G13369" i="1"/>
  <c r="H13369" i="1"/>
  <c r="I13369" i="1"/>
  <c r="J13369" i="1"/>
  <c r="K13369" i="1"/>
  <c r="L13369" i="1"/>
  <c r="A13370" i="1"/>
  <c r="B13370" i="1"/>
  <c r="C13370" i="1"/>
  <c r="D13370" i="1"/>
  <c r="E13370" i="1"/>
  <c r="F13370" i="1"/>
  <c r="G13370" i="1"/>
  <c r="H13370" i="1"/>
  <c r="I13370" i="1"/>
  <c r="J13370" i="1"/>
  <c r="K13370" i="1"/>
  <c r="L13370" i="1"/>
  <c r="A13371" i="1"/>
  <c r="B13371" i="1"/>
  <c r="C13371" i="1"/>
  <c r="D13371" i="1"/>
  <c r="E13371" i="1"/>
  <c r="F13371" i="1"/>
  <c r="G13371" i="1"/>
  <c r="H13371" i="1"/>
  <c r="I13371" i="1"/>
  <c r="J13371" i="1"/>
  <c r="K13371" i="1"/>
  <c r="L13371" i="1"/>
  <c r="A13372" i="1"/>
  <c r="B13372" i="1"/>
  <c r="C13372" i="1"/>
  <c r="D13372" i="1"/>
  <c r="E13372" i="1"/>
  <c r="F13372" i="1"/>
  <c r="G13372" i="1"/>
  <c r="H13372" i="1"/>
  <c r="I13372" i="1"/>
  <c r="J13372" i="1"/>
  <c r="K13372" i="1"/>
  <c r="L13372" i="1"/>
  <c r="A13373" i="1"/>
  <c r="B13373" i="1"/>
  <c r="C13373" i="1"/>
  <c r="D13373" i="1"/>
  <c r="E13373" i="1"/>
  <c r="F13373" i="1"/>
  <c r="G13373" i="1"/>
  <c r="H13373" i="1"/>
  <c r="I13373" i="1"/>
  <c r="J13373" i="1"/>
  <c r="K13373" i="1"/>
  <c r="L13373" i="1"/>
  <c r="A13374" i="1"/>
  <c r="B13374" i="1"/>
  <c r="C13374" i="1"/>
  <c r="D13374" i="1"/>
  <c r="E13374" i="1"/>
  <c r="F13374" i="1"/>
  <c r="G13374" i="1"/>
  <c r="H13374" i="1"/>
  <c r="I13374" i="1"/>
  <c r="J13374" i="1"/>
  <c r="K13374" i="1"/>
  <c r="L13374" i="1"/>
  <c r="A13375" i="1"/>
  <c r="B13375" i="1"/>
  <c r="C13375" i="1"/>
  <c r="D13375" i="1"/>
  <c r="E13375" i="1"/>
  <c r="F13375" i="1"/>
  <c r="G13375" i="1"/>
  <c r="H13375" i="1"/>
  <c r="I13375" i="1"/>
  <c r="J13375" i="1"/>
  <c r="K13375" i="1"/>
  <c r="L13375" i="1"/>
  <c r="A13376" i="1"/>
  <c r="B13376" i="1"/>
  <c r="C13376" i="1"/>
  <c r="D13376" i="1"/>
  <c r="E13376" i="1"/>
  <c r="F13376" i="1"/>
  <c r="G13376" i="1"/>
  <c r="H13376" i="1"/>
  <c r="I13376" i="1"/>
  <c r="J13376" i="1"/>
  <c r="K13376" i="1"/>
  <c r="L13376" i="1"/>
  <c r="A13377" i="1"/>
  <c r="B13377" i="1"/>
  <c r="C13377" i="1"/>
  <c r="D13377" i="1"/>
  <c r="E13377" i="1"/>
  <c r="F13377" i="1"/>
  <c r="G13377" i="1"/>
  <c r="H13377" i="1"/>
  <c r="I13377" i="1"/>
  <c r="J13377" i="1"/>
  <c r="K13377" i="1"/>
  <c r="L13377" i="1"/>
  <c r="A13378" i="1"/>
  <c r="B13378" i="1"/>
  <c r="C13378" i="1"/>
  <c r="D13378" i="1"/>
  <c r="E13378" i="1"/>
  <c r="F13378" i="1"/>
  <c r="G13378" i="1"/>
  <c r="H13378" i="1"/>
  <c r="I13378" i="1"/>
  <c r="J13378" i="1"/>
  <c r="K13378" i="1"/>
  <c r="L13378" i="1"/>
  <c r="A13379" i="1"/>
  <c r="B13379" i="1"/>
  <c r="C13379" i="1"/>
  <c r="D13379" i="1"/>
  <c r="E13379" i="1"/>
  <c r="F13379" i="1"/>
  <c r="G13379" i="1"/>
  <c r="H13379" i="1"/>
  <c r="I13379" i="1"/>
  <c r="J13379" i="1"/>
  <c r="K13379" i="1"/>
  <c r="L13379" i="1"/>
  <c r="A13380" i="1"/>
  <c r="B13380" i="1"/>
  <c r="C13380" i="1"/>
  <c r="D13380" i="1"/>
  <c r="E13380" i="1"/>
  <c r="F13380" i="1"/>
  <c r="G13380" i="1"/>
  <c r="H13380" i="1"/>
  <c r="I13380" i="1"/>
  <c r="J13380" i="1"/>
  <c r="K13380" i="1"/>
  <c r="L13380" i="1"/>
  <c r="A13381" i="1"/>
  <c r="B13381" i="1"/>
  <c r="C13381" i="1"/>
  <c r="D13381" i="1"/>
  <c r="E13381" i="1"/>
  <c r="F13381" i="1"/>
  <c r="G13381" i="1"/>
  <c r="H13381" i="1"/>
  <c r="I13381" i="1"/>
  <c r="J13381" i="1"/>
  <c r="K13381" i="1"/>
  <c r="L13381" i="1"/>
  <c r="A13382" i="1"/>
  <c r="B13382" i="1"/>
  <c r="C13382" i="1"/>
  <c r="D13382" i="1"/>
  <c r="E13382" i="1"/>
  <c r="F13382" i="1"/>
  <c r="G13382" i="1"/>
  <c r="H13382" i="1"/>
  <c r="I13382" i="1"/>
  <c r="J13382" i="1"/>
  <c r="K13382" i="1"/>
  <c r="L13382" i="1"/>
  <c r="A13383" i="1"/>
  <c r="B13383" i="1"/>
  <c r="C13383" i="1"/>
  <c r="D13383" i="1"/>
  <c r="E13383" i="1"/>
  <c r="F13383" i="1"/>
  <c r="G13383" i="1"/>
  <c r="H13383" i="1"/>
  <c r="I13383" i="1"/>
  <c r="J13383" i="1"/>
  <c r="K13383" i="1"/>
  <c r="L13383" i="1"/>
  <c r="A13384" i="1"/>
  <c r="B13384" i="1"/>
  <c r="C13384" i="1"/>
  <c r="D13384" i="1"/>
  <c r="E13384" i="1"/>
  <c r="F13384" i="1"/>
  <c r="G13384" i="1"/>
  <c r="H13384" i="1"/>
  <c r="I13384" i="1"/>
  <c r="J13384" i="1"/>
  <c r="K13384" i="1"/>
  <c r="L13384" i="1"/>
  <c r="A13385" i="1"/>
  <c r="B13385" i="1"/>
  <c r="C13385" i="1"/>
  <c r="D13385" i="1"/>
  <c r="E13385" i="1"/>
  <c r="F13385" i="1"/>
  <c r="G13385" i="1"/>
  <c r="H13385" i="1"/>
  <c r="I13385" i="1"/>
  <c r="J13385" i="1"/>
  <c r="K13385" i="1"/>
  <c r="L13385" i="1"/>
  <c r="A13386" i="1"/>
  <c r="B13386" i="1"/>
  <c r="C13386" i="1"/>
  <c r="D13386" i="1"/>
  <c r="E13386" i="1"/>
  <c r="F13386" i="1"/>
  <c r="G13386" i="1"/>
  <c r="H13386" i="1"/>
  <c r="I13386" i="1"/>
  <c r="J13386" i="1"/>
  <c r="K13386" i="1"/>
  <c r="L13386" i="1"/>
  <c r="A13387" i="1"/>
  <c r="B13387" i="1"/>
  <c r="C13387" i="1"/>
  <c r="D13387" i="1"/>
  <c r="E13387" i="1"/>
  <c r="F13387" i="1"/>
  <c r="G13387" i="1"/>
  <c r="H13387" i="1"/>
  <c r="I13387" i="1"/>
  <c r="J13387" i="1"/>
  <c r="K13387" i="1"/>
  <c r="L13387" i="1"/>
  <c r="A13388" i="1"/>
  <c r="B13388" i="1"/>
  <c r="C13388" i="1"/>
  <c r="D13388" i="1"/>
  <c r="E13388" i="1"/>
  <c r="F13388" i="1"/>
  <c r="G13388" i="1"/>
  <c r="H13388" i="1"/>
  <c r="I13388" i="1"/>
  <c r="J13388" i="1"/>
  <c r="K13388" i="1"/>
  <c r="L13388" i="1"/>
  <c r="A13389" i="1"/>
  <c r="B13389" i="1"/>
  <c r="C13389" i="1"/>
  <c r="D13389" i="1"/>
  <c r="E13389" i="1"/>
  <c r="F13389" i="1"/>
  <c r="G13389" i="1"/>
  <c r="H13389" i="1"/>
  <c r="I13389" i="1"/>
  <c r="J13389" i="1"/>
  <c r="K13389" i="1"/>
  <c r="L13389" i="1"/>
  <c r="A13390" i="1"/>
  <c r="B13390" i="1"/>
  <c r="C13390" i="1"/>
  <c r="D13390" i="1"/>
  <c r="E13390" i="1"/>
  <c r="F13390" i="1"/>
  <c r="G13390" i="1"/>
  <c r="H13390" i="1"/>
  <c r="I13390" i="1"/>
  <c r="J13390" i="1"/>
  <c r="K13390" i="1"/>
  <c r="L13390" i="1"/>
  <c r="A13391" i="1"/>
  <c r="B13391" i="1"/>
  <c r="C13391" i="1"/>
  <c r="D13391" i="1"/>
  <c r="E13391" i="1"/>
  <c r="F13391" i="1"/>
  <c r="G13391" i="1"/>
  <c r="H13391" i="1"/>
  <c r="I13391" i="1"/>
  <c r="J13391" i="1"/>
  <c r="K13391" i="1"/>
  <c r="L13391" i="1"/>
  <c r="A13392" i="1"/>
  <c r="B13392" i="1"/>
  <c r="C13392" i="1"/>
  <c r="D13392" i="1"/>
  <c r="E13392" i="1"/>
  <c r="F13392" i="1"/>
  <c r="G13392" i="1"/>
  <c r="H13392" i="1"/>
  <c r="I13392" i="1"/>
  <c r="J13392" i="1"/>
  <c r="K13392" i="1"/>
  <c r="L13392" i="1"/>
  <c r="A13393" i="1"/>
  <c r="B13393" i="1"/>
  <c r="C13393" i="1"/>
  <c r="D13393" i="1"/>
  <c r="E13393" i="1"/>
  <c r="F13393" i="1"/>
  <c r="G13393" i="1"/>
  <c r="H13393" i="1"/>
  <c r="I13393" i="1"/>
  <c r="J13393" i="1"/>
  <c r="K13393" i="1"/>
  <c r="L13393" i="1"/>
  <c r="A13394" i="1"/>
  <c r="B13394" i="1"/>
  <c r="C13394" i="1"/>
  <c r="D13394" i="1"/>
  <c r="E13394" i="1"/>
  <c r="F13394" i="1"/>
  <c r="G13394" i="1"/>
  <c r="H13394" i="1"/>
  <c r="I13394" i="1"/>
  <c r="J13394" i="1"/>
  <c r="K13394" i="1"/>
  <c r="L13394" i="1"/>
  <c r="A13395" i="1"/>
  <c r="B13395" i="1"/>
  <c r="C13395" i="1"/>
  <c r="D13395" i="1"/>
  <c r="E13395" i="1"/>
  <c r="F13395" i="1"/>
  <c r="G13395" i="1"/>
  <c r="H13395" i="1"/>
  <c r="I13395" i="1"/>
  <c r="J13395" i="1"/>
  <c r="K13395" i="1"/>
  <c r="L13395" i="1"/>
  <c r="A13396" i="1"/>
  <c r="B13396" i="1"/>
  <c r="C13396" i="1"/>
  <c r="D13396" i="1"/>
  <c r="E13396" i="1"/>
  <c r="F13396" i="1"/>
  <c r="G13396" i="1"/>
  <c r="H13396" i="1"/>
  <c r="I13396" i="1"/>
  <c r="J13396" i="1"/>
  <c r="K13396" i="1"/>
  <c r="L13396" i="1"/>
  <c r="A13397" i="1"/>
  <c r="B13397" i="1"/>
  <c r="C13397" i="1"/>
  <c r="D13397" i="1"/>
  <c r="E13397" i="1"/>
  <c r="F13397" i="1"/>
  <c r="G13397" i="1"/>
  <c r="H13397" i="1"/>
  <c r="I13397" i="1"/>
  <c r="J13397" i="1"/>
  <c r="K13397" i="1"/>
  <c r="L13397" i="1"/>
  <c r="A13398" i="1"/>
  <c r="B13398" i="1"/>
  <c r="C13398" i="1"/>
  <c r="D13398" i="1"/>
  <c r="E13398" i="1"/>
  <c r="F13398" i="1"/>
  <c r="G13398" i="1"/>
  <c r="H13398" i="1"/>
  <c r="I13398" i="1"/>
  <c r="J13398" i="1"/>
  <c r="K13398" i="1"/>
  <c r="L13398" i="1"/>
  <c r="A13399" i="1"/>
  <c r="B13399" i="1"/>
  <c r="C13399" i="1"/>
  <c r="D13399" i="1"/>
  <c r="E13399" i="1"/>
  <c r="F13399" i="1"/>
  <c r="G13399" i="1"/>
  <c r="H13399" i="1"/>
  <c r="I13399" i="1"/>
  <c r="J13399" i="1"/>
  <c r="K13399" i="1"/>
  <c r="L13399" i="1"/>
  <c r="A13400" i="1"/>
  <c r="B13400" i="1"/>
  <c r="C13400" i="1"/>
  <c r="D13400" i="1"/>
  <c r="E13400" i="1"/>
  <c r="F13400" i="1"/>
  <c r="G13400" i="1"/>
  <c r="H13400" i="1"/>
  <c r="I13400" i="1"/>
  <c r="J13400" i="1"/>
  <c r="K13400" i="1"/>
  <c r="L13400" i="1"/>
  <c r="A13401" i="1"/>
  <c r="B13401" i="1"/>
  <c r="C13401" i="1"/>
  <c r="D13401" i="1"/>
  <c r="E13401" i="1"/>
  <c r="F13401" i="1"/>
  <c r="G13401" i="1"/>
  <c r="H13401" i="1"/>
  <c r="I13401" i="1"/>
  <c r="J13401" i="1"/>
  <c r="K13401" i="1"/>
  <c r="L13401" i="1"/>
  <c r="A13402" i="1"/>
  <c r="B13402" i="1"/>
  <c r="C13402" i="1"/>
  <c r="D13402" i="1"/>
  <c r="E13402" i="1"/>
  <c r="F13402" i="1"/>
  <c r="G13402" i="1"/>
  <c r="H13402" i="1"/>
  <c r="I13402" i="1"/>
  <c r="J13402" i="1"/>
  <c r="K13402" i="1"/>
  <c r="L13402" i="1"/>
  <c r="A13403" i="1"/>
  <c r="B13403" i="1"/>
  <c r="C13403" i="1"/>
  <c r="D13403" i="1"/>
  <c r="E13403" i="1"/>
  <c r="F13403" i="1"/>
  <c r="G13403" i="1"/>
  <c r="H13403" i="1"/>
  <c r="I13403" i="1"/>
  <c r="J13403" i="1"/>
  <c r="K13403" i="1"/>
  <c r="L13403" i="1"/>
  <c r="A13404" i="1"/>
  <c r="B13404" i="1"/>
  <c r="C13404" i="1"/>
  <c r="D13404" i="1"/>
  <c r="E13404" i="1"/>
  <c r="F13404" i="1"/>
  <c r="G13404" i="1"/>
  <c r="H13404" i="1"/>
  <c r="I13404" i="1"/>
  <c r="J13404" i="1"/>
  <c r="K13404" i="1"/>
  <c r="L13404" i="1"/>
  <c r="A13405" i="1"/>
  <c r="B13405" i="1"/>
  <c r="C13405" i="1"/>
  <c r="D13405" i="1"/>
  <c r="E13405" i="1"/>
  <c r="F13405" i="1"/>
  <c r="G13405" i="1"/>
  <c r="H13405" i="1"/>
  <c r="I13405" i="1"/>
  <c r="J13405" i="1"/>
  <c r="K13405" i="1"/>
  <c r="L13405" i="1"/>
  <c r="A13406" i="1"/>
  <c r="B13406" i="1"/>
  <c r="C13406" i="1"/>
  <c r="D13406" i="1"/>
  <c r="E13406" i="1"/>
  <c r="F13406" i="1"/>
  <c r="G13406" i="1"/>
  <c r="H13406" i="1"/>
  <c r="I13406" i="1"/>
  <c r="J13406" i="1"/>
  <c r="K13406" i="1"/>
  <c r="L13406" i="1"/>
  <c r="A13407" i="1"/>
  <c r="B13407" i="1"/>
  <c r="C13407" i="1"/>
  <c r="D13407" i="1"/>
  <c r="E13407" i="1"/>
  <c r="F13407" i="1"/>
  <c r="G13407" i="1"/>
  <c r="H13407" i="1"/>
  <c r="I13407" i="1"/>
  <c r="J13407" i="1"/>
  <c r="K13407" i="1"/>
  <c r="L13407" i="1"/>
  <c r="A13408" i="1"/>
  <c r="B13408" i="1"/>
  <c r="C13408" i="1"/>
  <c r="D13408" i="1"/>
  <c r="E13408" i="1"/>
  <c r="F13408" i="1"/>
  <c r="G13408" i="1"/>
  <c r="H13408" i="1"/>
  <c r="I13408" i="1"/>
  <c r="J13408" i="1"/>
  <c r="K13408" i="1"/>
  <c r="L13408" i="1"/>
  <c r="A13409" i="1"/>
  <c r="B13409" i="1"/>
  <c r="C13409" i="1"/>
  <c r="D13409" i="1"/>
  <c r="E13409" i="1"/>
  <c r="F13409" i="1"/>
  <c r="G13409" i="1"/>
  <c r="H13409" i="1"/>
  <c r="I13409" i="1"/>
  <c r="J13409" i="1"/>
  <c r="K13409" i="1"/>
  <c r="L13409" i="1"/>
  <c r="A13410" i="1"/>
  <c r="B13410" i="1"/>
  <c r="C13410" i="1"/>
  <c r="D13410" i="1"/>
  <c r="E13410" i="1"/>
  <c r="F13410" i="1"/>
  <c r="G13410" i="1"/>
  <c r="H13410" i="1"/>
  <c r="I13410" i="1"/>
  <c r="J13410" i="1"/>
  <c r="K13410" i="1"/>
  <c r="L13410" i="1"/>
  <c r="A13411" i="1"/>
  <c r="B13411" i="1"/>
  <c r="C13411" i="1"/>
  <c r="D13411" i="1"/>
  <c r="E13411" i="1"/>
  <c r="F13411" i="1"/>
  <c r="G13411" i="1"/>
  <c r="H13411" i="1"/>
  <c r="I13411" i="1"/>
  <c r="J13411" i="1"/>
  <c r="K13411" i="1"/>
  <c r="L13411" i="1"/>
  <c r="A13412" i="1"/>
  <c r="B13412" i="1"/>
  <c r="C13412" i="1"/>
  <c r="D13412" i="1"/>
  <c r="E13412" i="1"/>
  <c r="F13412" i="1"/>
  <c r="G13412" i="1"/>
  <c r="H13412" i="1"/>
  <c r="I13412" i="1"/>
  <c r="J13412" i="1"/>
  <c r="K13412" i="1"/>
  <c r="L13412" i="1"/>
  <c r="A13413" i="1"/>
  <c r="B13413" i="1"/>
  <c r="C13413" i="1"/>
  <c r="D13413" i="1"/>
  <c r="E13413" i="1"/>
  <c r="F13413" i="1"/>
  <c r="G13413" i="1"/>
  <c r="H13413" i="1"/>
  <c r="I13413" i="1"/>
  <c r="J13413" i="1"/>
  <c r="K13413" i="1"/>
  <c r="L13413" i="1"/>
  <c r="A13414" i="1"/>
  <c r="B13414" i="1"/>
  <c r="C13414" i="1"/>
  <c r="D13414" i="1"/>
  <c r="E13414" i="1"/>
  <c r="F13414" i="1"/>
  <c r="G13414" i="1"/>
  <c r="H13414" i="1"/>
  <c r="I13414" i="1"/>
  <c r="J13414" i="1"/>
  <c r="K13414" i="1"/>
  <c r="L13414" i="1"/>
  <c r="A13415" i="1"/>
  <c r="B13415" i="1"/>
  <c r="C13415" i="1"/>
  <c r="D13415" i="1"/>
  <c r="E13415" i="1"/>
  <c r="F13415" i="1"/>
  <c r="G13415" i="1"/>
  <c r="H13415" i="1"/>
  <c r="I13415" i="1"/>
  <c r="J13415" i="1"/>
  <c r="K13415" i="1"/>
  <c r="L13415" i="1"/>
  <c r="A13416" i="1"/>
  <c r="B13416" i="1"/>
  <c r="C13416" i="1"/>
  <c r="D13416" i="1"/>
  <c r="E13416" i="1"/>
  <c r="F13416" i="1"/>
  <c r="G13416" i="1"/>
  <c r="H13416" i="1"/>
  <c r="I13416" i="1"/>
  <c r="J13416" i="1"/>
  <c r="K13416" i="1"/>
  <c r="L13416" i="1"/>
  <c r="A13417" i="1"/>
  <c r="B13417" i="1"/>
  <c r="C13417" i="1"/>
  <c r="D13417" i="1"/>
  <c r="E13417" i="1"/>
  <c r="F13417" i="1"/>
  <c r="G13417" i="1"/>
  <c r="H13417" i="1"/>
  <c r="I13417" i="1"/>
  <c r="J13417" i="1"/>
  <c r="K13417" i="1"/>
  <c r="L13417" i="1"/>
  <c r="A13418" i="1"/>
  <c r="B13418" i="1"/>
  <c r="C13418" i="1"/>
  <c r="D13418" i="1"/>
  <c r="E13418" i="1"/>
  <c r="F13418" i="1"/>
  <c r="G13418" i="1"/>
  <c r="H13418" i="1"/>
  <c r="I13418" i="1"/>
  <c r="J13418" i="1"/>
  <c r="K13418" i="1"/>
  <c r="L13418" i="1"/>
  <c r="A13419" i="1"/>
  <c r="B13419" i="1"/>
  <c r="C13419" i="1"/>
  <c r="D13419" i="1"/>
  <c r="E13419" i="1"/>
  <c r="F13419" i="1"/>
  <c r="G13419" i="1"/>
  <c r="H13419" i="1"/>
  <c r="I13419" i="1"/>
  <c r="J13419" i="1"/>
  <c r="K13419" i="1"/>
  <c r="L13419" i="1"/>
  <c r="A13420" i="1"/>
  <c r="B13420" i="1"/>
  <c r="C13420" i="1"/>
  <c r="D13420" i="1"/>
  <c r="E13420" i="1"/>
  <c r="F13420" i="1"/>
  <c r="G13420" i="1"/>
  <c r="H13420" i="1"/>
  <c r="I13420" i="1"/>
  <c r="J13420" i="1"/>
  <c r="K13420" i="1"/>
  <c r="L13420" i="1"/>
  <c r="A13421" i="1"/>
  <c r="B13421" i="1"/>
  <c r="C13421" i="1"/>
  <c r="D13421" i="1"/>
  <c r="E13421" i="1"/>
  <c r="F13421" i="1"/>
  <c r="G13421" i="1"/>
  <c r="H13421" i="1"/>
  <c r="I13421" i="1"/>
  <c r="J13421" i="1"/>
  <c r="K13421" i="1"/>
  <c r="L13421" i="1"/>
  <c r="A13422" i="1"/>
  <c r="B13422" i="1"/>
  <c r="C13422" i="1"/>
  <c r="D13422" i="1"/>
  <c r="E13422" i="1"/>
  <c r="F13422" i="1"/>
  <c r="G13422" i="1"/>
  <c r="H13422" i="1"/>
  <c r="I13422" i="1"/>
  <c r="J13422" i="1"/>
  <c r="K13422" i="1"/>
  <c r="L13422" i="1"/>
  <c r="A13423" i="1"/>
  <c r="B13423" i="1"/>
  <c r="C13423" i="1"/>
  <c r="D13423" i="1"/>
  <c r="E13423" i="1"/>
  <c r="F13423" i="1"/>
  <c r="G13423" i="1"/>
  <c r="H13423" i="1"/>
  <c r="I13423" i="1"/>
  <c r="J13423" i="1"/>
  <c r="K13423" i="1"/>
  <c r="L13423" i="1"/>
  <c r="A13424" i="1"/>
  <c r="B13424" i="1"/>
  <c r="C13424" i="1"/>
  <c r="D13424" i="1"/>
  <c r="E13424" i="1"/>
  <c r="F13424" i="1"/>
  <c r="G13424" i="1"/>
  <c r="H13424" i="1"/>
  <c r="I13424" i="1"/>
  <c r="J13424" i="1"/>
  <c r="K13424" i="1"/>
  <c r="L13424" i="1"/>
  <c r="A13425" i="1"/>
  <c r="B13425" i="1"/>
  <c r="C13425" i="1"/>
  <c r="D13425" i="1"/>
  <c r="E13425" i="1"/>
  <c r="F13425" i="1"/>
  <c r="G13425" i="1"/>
  <c r="H13425" i="1"/>
  <c r="I13425" i="1"/>
  <c r="J13425" i="1"/>
  <c r="K13425" i="1"/>
  <c r="L13425" i="1"/>
  <c r="A13426" i="1"/>
  <c r="B13426" i="1"/>
  <c r="C13426" i="1"/>
  <c r="D13426" i="1"/>
  <c r="E13426" i="1"/>
  <c r="F13426" i="1"/>
  <c r="G13426" i="1"/>
  <c r="H13426" i="1"/>
  <c r="I13426" i="1"/>
  <c r="J13426" i="1"/>
  <c r="K13426" i="1"/>
  <c r="L13426" i="1"/>
  <c r="A13427" i="1"/>
  <c r="B13427" i="1"/>
  <c r="C13427" i="1"/>
  <c r="D13427" i="1"/>
  <c r="E13427" i="1"/>
  <c r="F13427" i="1"/>
  <c r="G13427" i="1"/>
  <c r="H13427" i="1"/>
  <c r="I13427" i="1"/>
  <c r="J13427" i="1"/>
  <c r="K13427" i="1"/>
  <c r="L13427" i="1"/>
  <c r="A13428" i="1"/>
  <c r="B13428" i="1"/>
  <c r="C13428" i="1"/>
  <c r="D13428" i="1"/>
  <c r="E13428" i="1"/>
  <c r="F13428" i="1"/>
  <c r="G13428" i="1"/>
  <c r="H13428" i="1"/>
  <c r="I13428" i="1"/>
  <c r="J13428" i="1"/>
  <c r="K13428" i="1"/>
  <c r="L13428" i="1"/>
  <c r="A13429" i="1"/>
  <c r="B13429" i="1"/>
  <c r="C13429" i="1"/>
  <c r="D13429" i="1"/>
  <c r="E13429" i="1"/>
  <c r="F13429" i="1"/>
  <c r="G13429" i="1"/>
  <c r="H13429" i="1"/>
  <c r="I13429" i="1"/>
  <c r="J13429" i="1"/>
  <c r="K13429" i="1"/>
  <c r="L13429" i="1"/>
  <c r="A13430" i="1"/>
  <c r="B13430" i="1"/>
  <c r="C13430" i="1"/>
  <c r="D13430" i="1"/>
  <c r="E13430" i="1"/>
  <c r="F13430" i="1"/>
  <c r="G13430" i="1"/>
  <c r="H13430" i="1"/>
  <c r="I13430" i="1"/>
  <c r="J13430" i="1"/>
  <c r="K13430" i="1"/>
  <c r="L13430" i="1"/>
  <c r="A13431" i="1"/>
  <c r="B13431" i="1"/>
  <c r="C13431" i="1"/>
  <c r="D13431" i="1"/>
  <c r="E13431" i="1"/>
  <c r="F13431" i="1"/>
  <c r="G13431" i="1"/>
  <c r="H13431" i="1"/>
  <c r="I13431" i="1"/>
  <c r="J13431" i="1"/>
  <c r="K13431" i="1"/>
  <c r="L13431" i="1"/>
  <c r="A13432" i="1"/>
  <c r="B13432" i="1"/>
  <c r="C13432" i="1"/>
  <c r="D13432" i="1"/>
  <c r="E13432" i="1"/>
  <c r="F13432" i="1"/>
  <c r="G13432" i="1"/>
  <c r="H13432" i="1"/>
  <c r="I13432" i="1"/>
  <c r="J13432" i="1"/>
  <c r="K13432" i="1"/>
  <c r="L13432" i="1"/>
  <c r="A13433" i="1"/>
  <c r="B13433" i="1"/>
  <c r="C13433" i="1"/>
  <c r="D13433" i="1"/>
  <c r="E13433" i="1"/>
  <c r="F13433" i="1"/>
  <c r="G13433" i="1"/>
  <c r="H13433" i="1"/>
  <c r="I13433" i="1"/>
  <c r="J13433" i="1"/>
  <c r="K13433" i="1"/>
  <c r="L13433" i="1"/>
  <c r="A13434" i="1"/>
  <c r="B13434" i="1"/>
  <c r="C13434" i="1"/>
  <c r="D13434" i="1"/>
  <c r="E13434" i="1"/>
  <c r="F13434" i="1"/>
  <c r="G13434" i="1"/>
  <c r="H13434" i="1"/>
  <c r="I13434" i="1"/>
  <c r="J13434" i="1"/>
  <c r="K13434" i="1"/>
  <c r="L13434" i="1"/>
  <c r="A13435" i="1"/>
  <c r="B13435" i="1"/>
  <c r="C13435" i="1"/>
  <c r="D13435" i="1"/>
  <c r="E13435" i="1"/>
  <c r="F13435" i="1"/>
  <c r="G13435" i="1"/>
  <c r="H13435" i="1"/>
  <c r="I13435" i="1"/>
  <c r="J13435" i="1"/>
  <c r="K13435" i="1"/>
  <c r="L13435" i="1"/>
  <c r="A13436" i="1"/>
  <c r="B13436" i="1"/>
  <c r="C13436" i="1"/>
  <c r="D13436" i="1"/>
  <c r="E13436" i="1"/>
  <c r="F13436" i="1"/>
  <c r="G13436" i="1"/>
  <c r="H13436" i="1"/>
  <c r="I13436" i="1"/>
  <c r="J13436" i="1"/>
  <c r="K13436" i="1"/>
  <c r="L13436" i="1"/>
  <c r="A13437" i="1"/>
  <c r="B13437" i="1"/>
  <c r="C13437" i="1"/>
  <c r="D13437" i="1"/>
  <c r="E13437" i="1"/>
  <c r="F13437" i="1"/>
  <c r="G13437" i="1"/>
  <c r="H13437" i="1"/>
  <c r="I13437" i="1"/>
  <c r="J13437" i="1"/>
  <c r="K13437" i="1"/>
  <c r="L13437" i="1"/>
  <c r="A13438" i="1"/>
  <c r="B13438" i="1"/>
  <c r="C13438" i="1"/>
  <c r="D13438" i="1"/>
  <c r="E13438" i="1"/>
  <c r="F13438" i="1"/>
  <c r="G13438" i="1"/>
  <c r="H13438" i="1"/>
  <c r="I13438" i="1"/>
  <c r="J13438" i="1"/>
  <c r="K13438" i="1"/>
  <c r="L13438" i="1"/>
  <c r="A13439" i="1"/>
  <c r="B13439" i="1"/>
  <c r="C13439" i="1"/>
  <c r="D13439" i="1"/>
  <c r="E13439" i="1"/>
  <c r="F13439" i="1"/>
  <c r="G13439" i="1"/>
  <c r="H13439" i="1"/>
  <c r="I13439" i="1"/>
  <c r="J13439" i="1"/>
  <c r="K13439" i="1"/>
  <c r="L13439" i="1"/>
  <c r="A13440" i="1"/>
  <c r="B13440" i="1"/>
  <c r="C13440" i="1"/>
  <c r="D13440" i="1"/>
  <c r="E13440" i="1"/>
  <c r="F13440" i="1"/>
  <c r="G13440" i="1"/>
  <c r="H13440" i="1"/>
  <c r="I13440" i="1"/>
  <c r="J13440" i="1"/>
  <c r="K13440" i="1"/>
  <c r="L13440" i="1"/>
  <c r="A13441" i="1"/>
  <c r="B13441" i="1"/>
  <c r="C13441" i="1"/>
  <c r="D13441" i="1"/>
  <c r="E13441" i="1"/>
  <c r="F13441" i="1"/>
  <c r="G13441" i="1"/>
  <c r="H13441" i="1"/>
  <c r="I13441" i="1"/>
  <c r="J13441" i="1"/>
  <c r="K13441" i="1"/>
  <c r="L13441" i="1"/>
  <c r="A13442" i="1"/>
  <c r="B13442" i="1"/>
  <c r="C13442" i="1"/>
  <c r="D13442" i="1"/>
  <c r="E13442" i="1"/>
  <c r="F13442" i="1"/>
  <c r="G13442" i="1"/>
  <c r="H13442" i="1"/>
  <c r="I13442" i="1"/>
  <c r="J13442" i="1"/>
  <c r="K13442" i="1"/>
  <c r="L13442" i="1"/>
  <c r="A13443" i="1"/>
  <c r="B13443" i="1"/>
  <c r="C13443" i="1"/>
  <c r="D13443" i="1"/>
  <c r="E13443" i="1"/>
  <c r="F13443" i="1"/>
  <c r="G13443" i="1"/>
  <c r="H13443" i="1"/>
  <c r="I13443" i="1"/>
  <c r="J13443" i="1"/>
  <c r="K13443" i="1"/>
  <c r="L13443" i="1"/>
  <c r="A13444" i="1"/>
  <c r="B13444" i="1"/>
  <c r="C13444" i="1"/>
  <c r="D13444" i="1"/>
  <c r="E13444" i="1"/>
  <c r="F13444" i="1"/>
  <c r="G13444" i="1"/>
  <c r="H13444" i="1"/>
  <c r="I13444" i="1"/>
  <c r="J13444" i="1"/>
  <c r="K13444" i="1"/>
  <c r="L13444" i="1"/>
  <c r="A13445" i="1"/>
  <c r="B13445" i="1"/>
  <c r="C13445" i="1"/>
  <c r="D13445" i="1"/>
  <c r="E13445" i="1"/>
  <c r="F13445" i="1"/>
  <c r="G13445" i="1"/>
  <c r="H13445" i="1"/>
  <c r="I13445" i="1"/>
  <c r="J13445" i="1"/>
  <c r="K13445" i="1"/>
  <c r="L13445" i="1"/>
  <c r="A13446" i="1"/>
  <c r="B13446" i="1"/>
  <c r="C13446" i="1"/>
  <c r="D13446" i="1"/>
  <c r="E13446" i="1"/>
  <c r="F13446" i="1"/>
  <c r="G13446" i="1"/>
  <c r="H13446" i="1"/>
  <c r="I13446" i="1"/>
  <c r="J13446" i="1"/>
  <c r="K13446" i="1"/>
  <c r="L13446" i="1"/>
  <c r="A13447" i="1"/>
  <c r="B13447" i="1"/>
  <c r="C13447" i="1"/>
  <c r="D13447" i="1"/>
  <c r="E13447" i="1"/>
  <c r="F13447" i="1"/>
  <c r="G13447" i="1"/>
  <c r="H13447" i="1"/>
  <c r="I13447" i="1"/>
  <c r="J13447" i="1"/>
  <c r="K13447" i="1"/>
  <c r="L13447" i="1"/>
  <c r="A13448" i="1"/>
  <c r="B13448" i="1"/>
  <c r="C13448" i="1"/>
  <c r="D13448" i="1"/>
  <c r="E13448" i="1"/>
  <c r="F13448" i="1"/>
  <c r="G13448" i="1"/>
  <c r="H13448" i="1"/>
  <c r="I13448" i="1"/>
  <c r="J13448" i="1"/>
  <c r="K13448" i="1"/>
  <c r="L13448" i="1"/>
  <c r="A13449" i="1"/>
  <c r="B13449" i="1"/>
  <c r="C13449" i="1"/>
  <c r="D13449" i="1"/>
  <c r="E13449" i="1"/>
  <c r="F13449" i="1"/>
  <c r="G13449" i="1"/>
  <c r="H13449" i="1"/>
  <c r="I13449" i="1"/>
  <c r="J13449" i="1"/>
  <c r="K13449" i="1"/>
  <c r="L13449" i="1"/>
  <c r="A13450" i="1"/>
  <c r="B13450" i="1"/>
  <c r="C13450" i="1"/>
  <c r="D13450" i="1"/>
  <c r="E13450" i="1"/>
  <c r="F13450" i="1"/>
  <c r="G13450" i="1"/>
  <c r="H13450" i="1"/>
  <c r="I13450" i="1"/>
  <c r="J13450" i="1"/>
  <c r="K13450" i="1"/>
  <c r="L13450" i="1"/>
  <c r="A13451" i="1"/>
  <c r="B13451" i="1"/>
  <c r="C13451" i="1"/>
  <c r="D13451" i="1"/>
  <c r="E13451" i="1"/>
  <c r="F13451" i="1"/>
  <c r="G13451" i="1"/>
  <c r="H13451" i="1"/>
  <c r="I13451" i="1"/>
  <c r="J13451" i="1"/>
  <c r="K13451" i="1"/>
  <c r="L13451" i="1"/>
  <c r="A13452" i="1"/>
  <c r="B13452" i="1"/>
  <c r="C13452" i="1"/>
  <c r="D13452" i="1"/>
  <c r="E13452" i="1"/>
  <c r="F13452" i="1"/>
  <c r="G13452" i="1"/>
  <c r="H13452" i="1"/>
  <c r="I13452" i="1"/>
  <c r="J13452" i="1"/>
  <c r="K13452" i="1"/>
  <c r="L13452" i="1"/>
  <c r="A13453" i="1"/>
  <c r="B13453" i="1"/>
  <c r="C13453" i="1"/>
  <c r="D13453" i="1"/>
  <c r="E13453" i="1"/>
  <c r="F13453" i="1"/>
  <c r="G13453" i="1"/>
  <c r="H13453" i="1"/>
  <c r="I13453" i="1"/>
  <c r="J13453" i="1"/>
  <c r="K13453" i="1"/>
  <c r="L13453" i="1"/>
  <c r="A13454" i="1"/>
  <c r="B13454" i="1"/>
  <c r="C13454" i="1"/>
  <c r="D13454" i="1"/>
  <c r="E13454" i="1"/>
  <c r="F13454" i="1"/>
  <c r="G13454" i="1"/>
  <c r="H13454" i="1"/>
  <c r="I13454" i="1"/>
  <c r="J13454" i="1"/>
  <c r="K13454" i="1"/>
  <c r="L13454" i="1"/>
  <c r="A13455" i="1"/>
  <c r="B13455" i="1"/>
  <c r="C13455" i="1"/>
  <c r="D13455" i="1"/>
  <c r="E13455" i="1"/>
  <c r="F13455" i="1"/>
  <c r="G13455" i="1"/>
  <c r="H13455" i="1"/>
  <c r="I13455" i="1"/>
  <c r="J13455" i="1"/>
  <c r="K13455" i="1"/>
  <c r="L13455" i="1"/>
  <c r="A13456" i="1"/>
  <c r="B13456" i="1"/>
  <c r="C13456" i="1"/>
  <c r="D13456" i="1"/>
  <c r="E13456" i="1"/>
  <c r="F13456" i="1"/>
  <c r="G13456" i="1"/>
  <c r="H13456" i="1"/>
  <c r="I13456" i="1"/>
  <c r="J13456" i="1"/>
  <c r="K13456" i="1"/>
  <c r="L13456" i="1"/>
  <c r="A13457" i="1"/>
  <c r="B13457" i="1"/>
  <c r="C13457" i="1"/>
  <c r="D13457" i="1"/>
  <c r="E13457" i="1"/>
  <c r="F13457" i="1"/>
  <c r="G13457" i="1"/>
  <c r="H13457" i="1"/>
  <c r="I13457" i="1"/>
  <c r="J13457" i="1"/>
  <c r="K13457" i="1"/>
  <c r="L13457" i="1"/>
  <c r="A13458" i="1"/>
  <c r="B13458" i="1"/>
  <c r="C13458" i="1"/>
  <c r="D13458" i="1"/>
  <c r="E13458" i="1"/>
  <c r="F13458" i="1"/>
  <c r="G13458" i="1"/>
  <c r="H13458" i="1"/>
  <c r="I13458" i="1"/>
  <c r="J13458" i="1"/>
  <c r="K13458" i="1"/>
  <c r="L13458" i="1"/>
  <c r="A13459" i="1"/>
  <c r="B13459" i="1"/>
  <c r="C13459" i="1"/>
  <c r="D13459" i="1"/>
  <c r="E13459" i="1"/>
  <c r="F13459" i="1"/>
  <c r="G13459" i="1"/>
  <c r="H13459" i="1"/>
  <c r="I13459" i="1"/>
  <c r="J13459" i="1"/>
  <c r="K13459" i="1"/>
  <c r="L13459" i="1"/>
  <c r="A13460" i="1"/>
  <c r="B13460" i="1"/>
  <c r="C13460" i="1"/>
  <c r="D13460" i="1"/>
  <c r="E13460" i="1"/>
  <c r="F13460" i="1"/>
  <c r="G13460" i="1"/>
  <c r="H13460" i="1"/>
  <c r="I13460" i="1"/>
  <c r="J13460" i="1"/>
  <c r="K13460" i="1"/>
  <c r="L13460" i="1"/>
  <c r="A13461" i="1"/>
  <c r="B13461" i="1"/>
  <c r="C13461" i="1"/>
  <c r="D13461" i="1"/>
  <c r="E13461" i="1"/>
  <c r="F13461" i="1"/>
  <c r="G13461" i="1"/>
  <c r="H13461" i="1"/>
  <c r="I13461" i="1"/>
  <c r="J13461" i="1"/>
  <c r="K13461" i="1"/>
  <c r="L13461" i="1"/>
  <c r="A13462" i="1"/>
  <c r="B13462" i="1"/>
  <c r="C13462" i="1"/>
  <c r="D13462" i="1"/>
  <c r="E13462" i="1"/>
  <c r="F13462" i="1"/>
  <c r="G13462" i="1"/>
  <c r="H13462" i="1"/>
  <c r="I13462" i="1"/>
  <c r="J13462" i="1"/>
  <c r="K13462" i="1"/>
  <c r="L13462" i="1"/>
  <c r="A13463" i="1"/>
  <c r="B13463" i="1"/>
  <c r="C13463" i="1"/>
  <c r="D13463" i="1"/>
  <c r="E13463" i="1"/>
  <c r="F13463" i="1"/>
  <c r="G13463" i="1"/>
  <c r="H13463" i="1"/>
  <c r="I13463" i="1"/>
  <c r="J13463" i="1"/>
  <c r="K13463" i="1"/>
  <c r="L13463" i="1"/>
  <c r="A13464" i="1"/>
  <c r="B13464" i="1"/>
  <c r="C13464" i="1"/>
  <c r="D13464" i="1"/>
  <c r="E13464" i="1"/>
  <c r="F13464" i="1"/>
  <c r="G13464" i="1"/>
  <c r="H13464" i="1"/>
  <c r="I13464" i="1"/>
  <c r="J13464" i="1"/>
  <c r="K13464" i="1"/>
  <c r="L13464" i="1"/>
  <c r="A13465" i="1"/>
  <c r="B13465" i="1"/>
  <c r="C13465" i="1"/>
  <c r="D13465" i="1"/>
  <c r="E13465" i="1"/>
  <c r="F13465" i="1"/>
  <c r="G13465" i="1"/>
  <c r="H13465" i="1"/>
  <c r="I13465" i="1"/>
  <c r="J13465" i="1"/>
  <c r="K13465" i="1"/>
  <c r="L13465" i="1"/>
  <c r="A13466" i="1"/>
  <c r="B13466" i="1"/>
  <c r="C13466" i="1"/>
  <c r="D13466" i="1"/>
  <c r="E13466" i="1"/>
  <c r="F13466" i="1"/>
  <c r="G13466" i="1"/>
  <c r="H13466" i="1"/>
  <c r="I13466" i="1"/>
  <c r="J13466" i="1"/>
  <c r="K13466" i="1"/>
  <c r="L13466" i="1"/>
  <c r="A13467" i="1"/>
  <c r="B13467" i="1"/>
  <c r="C13467" i="1"/>
  <c r="D13467" i="1"/>
  <c r="E13467" i="1"/>
  <c r="F13467" i="1"/>
  <c r="G13467" i="1"/>
  <c r="H13467" i="1"/>
  <c r="I13467" i="1"/>
  <c r="J13467" i="1"/>
  <c r="K13467" i="1"/>
  <c r="L13467" i="1"/>
  <c r="A13468" i="1"/>
  <c r="B13468" i="1"/>
  <c r="C13468" i="1"/>
  <c r="D13468" i="1"/>
  <c r="E13468" i="1"/>
  <c r="F13468" i="1"/>
  <c r="G13468" i="1"/>
  <c r="H13468" i="1"/>
  <c r="I13468" i="1"/>
  <c r="J13468" i="1"/>
  <c r="K13468" i="1"/>
  <c r="L13468" i="1"/>
  <c r="A13469" i="1"/>
  <c r="B13469" i="1"/>
  <c r="C13469" i="1"/>
  <c r="D13469" i="1"/>
  <c r="E13469" i="1"/>
  <c r="F13469" i="1"/>
  <c r="G13469" i="1"/>
  <c r="H13469" i="1"/>
  <c r="I13469" i="1"/>
  <c r="J13469" i="1"/>
  <c r="K13469" i="1"/>
  <c r="L13469" i="1"/>
  <c r="A13470" i="1"/>
  <c r="B13470" i="1"/>
  <c r="C13470" i="1"/>
  <c r="D13470" i="1"/>
  <c r="E13470" i="1"/>
  <c r="F13470" i="1"/>
  <c r="G13470" i="1"/>
  <c r="H13470" i="1"/>
  <c r="I13470" i="1"/>
  <c r="J13470" i="1"/>
  <c r="K13470" i="1"/>
  <c r="L13470" i="1"/>
  <c r="A13471" i="1"/>
  <c r="B13471" i="1"/>
  <c r="C13471" i="1"/>
  <c r="D13471" i="1"/>
  <c r="E13471" i="1"/>
  <c r="F13471" i="1"/>
  <c r="G13471" i="1"/>
  <c r="H13471" i="1"/>
  <c r="I13471" i="1"/>
  <c r="J13471" i="1"/>
  <c r="K13471" i="1"/>
  <c r="L13471" i="1"/>
  <c r="A13472" i="1"/>
  <c r="B13472" i="1"/>
  <c r="C13472" i="1"/>
  <c r="D13472" i="1"/>
  <c r="E13472" i="1"/>
  <c r="F13472" i="1"/>
  <c r="G13472" i="1"/>
  <c r="H13472" i="1"/>
  <c r="I13472" i="1"/>
  <c r="J13472" i="1"/>
  <c r="K13472" i="1"/>
  <c r="L13472" i="1"/>
  <c r="A13473" i="1"/>
  <c r="B13473" i="1"/>
  <c r="C13473" i="1"/>
  <c r="D13473" i="1"/>
  <c r="E13473" i="1"/>
  <c r="F13473" i="1"/>
  <c r="G13473" i="1"/>
  <c r="H13473" i="1"/>
  <c r="I13473" i="1"/>
  <c r="J13473" i="1"/>
  <c r="K13473" i="1"/>
  <c r="L13473" i="1"/>
  <c r="A13474" i="1"/>
  <c r="B13474" i="1"/>
  <c r="C13474" i="1"/>
  <c r="D13474" i="1"/>
  <c r="E13474" i="1"/>
  <c r="F13474" i="1"/>
  <c r="G13474" i="1"/>
  <c r="H13474" i="1"/>
  <c r="I13474" i="1"/>
  <c r="J13474" i="1"/>
  <c r="K13474" i="1"/>
  <c r="L13474" i="1"/>
  <c r="A13475" i="1"/>
  <c r="B13475" i="1"/>
  <c r="C13475" i="1"/>
  <c r="D13475" i="1"/>
  <c r="E13475" i="1"/>
  <c r="F13475" i="1"/>
  <c r="G13475" i="1"/>
  <c r="H13475" i="1"/>
  <c r="I13475" i="1"/>
  <c r="J13475" i="1"/>
  <c r="K13475" i="1"/>
  <c r="L13475" i="1"/>
  <c r="A13476" i="1"/>
  <c r="B13476" i="1"/>
  <c r="C13476" i="1"/>
  <c r="D13476" i="1"/>
  <c r="E13476" i="1"/>
  <c r="F13476" i="1"/>
  <c r="G13476" i="1"/>
  <c r="H13476" i="1"/>
  <c r="I13476" i="1"/>
  <c r="J13476" i="1"/>
  <c r="K13476" i="1"/>
  <c r="L13476" i="1"/>
  <c r="A13477" i="1"/>
  <c r="B13477" i="1"/>
  <c r="C13477" i="1"/>
  <c r="D13477" i="1"/>
  <c r="E13477" i="1"/>
  <c r="F13477" i="1"/>
  <c r="G13477" i="1"/>
  <c r="H13477" i="1"/>
  <c r="I13477" i="1"/>
  <c r="J13477" i="1"/>
  <c r="K13477" i="1"/>
  <c r="L13477" i="1"/>
  <c r="A13478" i="1"/>
  <c r="B13478" i="1"/>
  <c r="C13478" i="1"/>
  <c r="D13478" i="1"/>
  <c r="E13478" i="1"/>
  <c r="F13478" i="1"/>
  <c r="G13478" i="1"/>
  <c r="H13478" i="1"/>
  <c r="I13478" i="1"/>
  <c r="J13478" i="1"/>
  <c r="K13478" i="1"/>
  <c r="L13478" i="1"/>
  <c r="A13479" i="1"/>
  <c r="B13479" i="1"/>
  <c r="C13479" i="1"/>
  <c r="D13479" i="1"/>
  <c r="E13479" i="1"/>
  <c r="F13479" i="1"/>
  <c r="G13479" i="1"/>
  <c r="H13479" i="1"/>
  <c r="I13479" i="1"/>
  <c r="J13479" i="1"/>
  <c r="K13479" i="1"/>
  <c r="L13479" i="1"/>
  <c r="A13480" i="1"/>
  <c r="B13480" i="1"/>
  <c r="C13480" i="1"/>
  <c r="D13480" i="1"/>
  <c r="E13480" i="1"/>
  <c r="F13480" i="1"/>
  <c r="G13480" i="1"/>
  <c r="H13480" i="1"/>
  <c r="I13480" i="1"/>
  <c r="J13480" i="1"/>
  <c r="K13480" i="1"/>
  <c r="L13480" i="1"/>
  <c r="A13481" i="1"/>
  <c r="B13481" i="1"/>
  <c r="C13481" i="1"/>
  <c r="D13481" i="1"/>
  <c r="E13481" i="1"/>
  <c r="F13481" i="1"/>
  <c r="G13481" i="1"/>
  <c r="H13481" i="1"/>
  <c r="I13481" i="1"/>
  <c r="J13481" i="1"/>
  <c r="K13481" i="1"/>
  <c r="L13481" i="1"/>
  <c r="A13482" i="1"/>
  <c r="B13482" i="1"/>
  <c r="C13482" i="1"/>
  <c r="D13482" i="1"/>
  <c r="E13482" i="1"/>
  <c r="F13482" i="1"/>
  <c r="G13482" i="1"/>
  <c r="H13482" i="1"/>
  <c r="I13482" i="1"/>
  <c r="J13482" i="1"/>
  <c r="K13482" i="1"/>
  <c r="L13482" i="1"/>
  <c r="A13483" i="1"/>
  <c r="B13483" i="1"/>
  <c r="C13483" i="1"/>
  <c r="D13483" i="1"/>
  <c r="E13483" i="1"/>
  <c r="F13483" i="1"/>
  <c r="G13483" i="1"/>
  <c r="H13483" i="1"/>
  <c r="I13483" i="1"/>
  <c r="J13483" i="1"/>
  <c r="K13483" i="1"/>
  <c r="L13483" i="1"/>
  <c r="A13484" i="1"/>
  <c r="B13484" i="1"/>
  <c r="C13484" i="1"/>
  <c r="D13484" i="1"/>
  <c r="E13484" i="1"/>
  <c r="F13484" i="1"/>
  <c r="G13484" i="1"/>
  <c r="H13484" i="1"/>
  <c r="I13484" i="1"/>
  <c r="J13484" i="1"/>
  <c r="K13484" i="1"/>
  <c r="L13484" i="1"/>
  <c r="A13485" i="1"/>
  <c r="B13485" i="1"/>
  <c r="C13485" i="1"/>
  <c r="D13485" i="1"/>
  <c r="E13485" i="1"/>
  <c r="F13485" i="1"/>
  <c r="G13485" i="1"/>
  <c r="H13485" i="1"/>
  <c r="I13485" i="1"/>
  <c r="J13485" i="1"/>
  <c r="K13485" i="1"/>
  <c r="L13485" i="1"/>
  <c r="A13486" i="1"/>
  <c r="B13486" i="1"/>
  <c r="C13486" i="1"/>
  <c r="D13486" i="1"/>
  <c r="E13486" i="1"/>
  <c r="F13486" i="1"/>
  <c r="G13486" i="1"/>
  <c r="H13486" i="1"/>
  <c r="I13486" i="1"/>
  <c r="J13486" i="1"/>
  <c r="K13486" i="1"/>
  <c r="L13486" i="1"/>
  <c r="A13487" i="1"/>
  <c r="B13487" i="1"/>
  <c r="C13487" i="1"/>
  <c r="D13487" i="1"/>
  <c r="E13487" i="1"/>
  <c r="F13487" i="1"/>
  <c r="G13487" i="1"/>
  <c r="H13487" i="1"/>
  <c r="I13487" i="1"/>
  <c r="J13487" i="1"/>
  <c r="K13487" i="1"/>
  <c r="L13487" i="1"/>
  <c r="A13488" i="1"/>
  <c r="B13488" i="1"/>
  <c r="C13488" i="1"/>
  <c r="D13488" i="1"/>
  <c r="E13488" i="1"/>
  <c r="F13488" i="1"/>
  <c r="G13488" i="1"/>
  <c r="H13488" i="1"/>
  <c r="I13488" i="1"/>
  <c r="J13488" i="1"/>
  <c r="K13488" i="1"/>
  <c r="L13488" i="1"/>
  <c r="A13489" i="1"/>
  <c r="B13489" i="1"/>
  <c r="C13489" i="1"/>
  <c r="D13489" i="1"/>
  <c r="E13489" i="1"/>
  <c r="F13489" i="1"/>
  <c r="G13489" i="1"/>
  <c r="H13489" i="1"/>
  <c r="I13489" i="1"/>
  <c r="J13489" i="1"/>
  <c r="K13489" i="1"/>
  <c r="L13489" i="1"/>
  <c r="A13490" i="1"/>
  <c r="B13490" i="1"/>
  <c r="C13490" i="1"/>
  <c r="D13490" i="1"/>
  <c r="E13490" i="1"/>
  <c r="F13490" i="1"/>
  <c r="G13490" i="1"/>
  <c r="H13490" i="1"/>
  <c r="I13490" i="1"/>
  <c r="J13490" i="1"/>
  <c r="K13490" i="1"/>
  <c r="L13490" i="1"/>
  <c r="A13491" i="1"/>
  <c r="B13491" i="1"/>
  <c r="C13491" i="1"/>
  <c r="D13491" i="1"/>
  <c r="E13491" i="1"/>
  <c r="F13491" i="1"/>
  <c r="G13491" i="1"/>
  <c r="H13491" i="1"/>
  <c r="I13491" i="1"/>
  <c r="J13491" i="1"/>
  <c r="K13491" i="1"/>
  <c r="L13491" i="1"/>
  <c r="A13492" i="1"/>
  <c r="B13492" i="1"/>
  <c r="C13492" i="1"/>
  <c r="D13492" i="1"/>
  <c r="E13492" i="1"/>
  <c r="F13492" i="1"/>
  <c r="G13492" i="1"/>
  <c r="H13492" i="1"/>
  <c r="I13492" i="1"/>
  <c r="J13492" i="1"/>
  <c r="K13492" i="1"/>
  <c r="L13492" i="1"/>
  <c r="A13493" i="1"/>
  <c r="B13493" i="1"/>
  <c r="C13493" i="1"/>
  <c r="D13493" i="1"/>
  <c r="E13493" i="1"/>
  <c r="F13493" i="1"/>
  <c r="G13493" i="1"/>
  <c r="H13493" i="1"/>
  <c r="I13493" i="1"/>
  <c r="J13493" i="1"/>
  <c r="K13493" i="1"/>
  <c r="L13493" i="1"/>
  <c r="A13494" i="1"/>
  <c r="B13494" i="1"/>
  <c r="C13494" i="1"/>
  <c r="D13494" i="1"/>
  <c r="E13494" i="1"/>
  <c r="F13494" i="1"/>
  <c r="G13494" i="1"/>
  <c r="H13494" i="1"/>
  <c r="I13494" i="1"/>
  <c r="J13494" i="1"/>
  <c r="K13494" i="1"/>
  <c r="L13494" i="1"/>
  <c r="A13495" i="1"/>
  <c r="B13495" i="1"/>
  <c r="C13495" i="1"/>
  <c r="D13495" i="1"/>
  <c r="E13495" i="1"/>
  <c r="F13495" i="1"/>
  <c r="G13495" i="1"/>
  <c r="H13495" i="1"/>
  <c r="I13495" i="1"/>
  <c r="J13495" i="1"/>
  <c r="K13495" i="1"/>
  <c r="L13495" i="1"/>
  <c r="A13496" i="1"/>
  <c r="B13496" i="1"/>
  <c r="C13496" i="1"/>
  <c r="D13496" i="1"/>
  <c r="E13496" i="1"/>
  <c r="F13496" i="1"/>
  <c r="G13496" i="1"/>
  <c r="H13496" i="1"/>
  <c r="I13496" i="1"/>
  <c r="J13496" i="1"/>
  <c r="K13496" i="1"/>
  <c r="L13496" i="1"/>
  <c r="A13497" i="1"/>
  <c r="B13497" i="1"/>
  <c r="C13497" i="1"/>
  <c r="D13497" i="1"/>
  <c r="E13497" i="1"/>
  <c r="F13497" i="1"/>
  <c r="G13497" i="1"/>
  <c r="H13497" i="1"/>
  <c r="I13497" i="1"/>
  <c r="J13497" i="1"/>
  <c r="K13497" i="1"/>
  <c r="L13497" i="1"/>
  <c r="A13498" i="1"/>
  <c r="B13498" i="1"/>
  <c r="C13498" i="1"/>
  <c r="D13498" i="1"/>
  <c r="E13498" i="1"/>
  <c r="F13498" i="1"/>
  <c r="G13498" i="1"/>
  <c r="H13498" i="1"/>
  <c r="I13498" i="1"/>
  <c r="J13498" i="1"/>
  <c r="K13498" i="1"/>
  <c r="L13498" i="1"/>
  <c r="A13499" i="1"/>
  <c r="B13499" i="1"/>
  <c r="C13499" i="1"/>
  <c r="D13499" i="1"/>
  <c r="E13499" i="1"/>
  <c r="F13499" i="1"/>
  <c r="G13499" i="1"/>
  <c r="H13499" i="1"/>
  <c r="I13499" i="1"/>
  <c r="J13499" i="1"/>
  <c r="K13499" i="1"/>
  <c r="L13499" i="1"/>
  <c r="A13500" i="1"/>
  <c r="B13500" i="1"/>
  <c r="C13500" i="1"/>
  <c r="D13500" i="1"/>
  <c r="E13500" i="1"/>
  <c r="F13500" i="1"/>
  <c r="G13500" i="1"/>
  <c r="H13500" i="1"/>
  <c r="I13500" i="1"/>
  <c r="J13500" i="1"/>
  <c r="K13500" i="1"/>
  <c r="L13500" i="1"/>
  <c r="A13501" i="1"/>
  <c r="B13501" i="1"/>
  <c r="C13501" i="1"/>
  <c r="D13501" i="1"/>
  <c r="E13501" i="1"/>
  <c r="F13501" i="1"/>
  <c r="G13501" i="1"/>
  <c r="H13501" i="1"/>
  <c r="I13501" i="1"/>
  <c r="J13501" i="1"/>
  <c r="K13501" i="1"/>
  <c r="L13501" i="1"/>
  <c r="A13502" i="1"/>
  <c r="B13502" i="1"/>
  <c r="C13502" i="1"/>
  <c r="D13502" i="1"/>
  <c r="E13502" i="1"/>
  <c r="F13502" i="1"/>
  <c r="G13502" i="1"/>
  <c r="H13502" i="1"/>
  <c r="I13502" i="1"/>
  <c r="J13502" i="1"/>
  <c r="K13502" i="1"/>
  <c r="L13502" i="1"/>
  <c r="A13503" i="1"/>
  <c r="B13503" i="1"/>
  <c r="C13503" i="1"/>
  <c r="D13503" i="1"/>
  <c r="E13503" i="1"/>
  <c r="F13503" i="1"/>
  <c r="G13503" i="1"/>
  <c r="H13503" i="1"/>
  <c r="I13503" i="1"/>
  <c r="J13503" i="1"/>
  <c r="K13503" i="1"/>
  <c r="L13503" i="1"/>
  <c r="A13504" i="1"/>
  <c r="B13504" i="1"/>
  <c r="C13504" i="1"/>
  <c r="D13504" i="1"/>
  <c r="E13504" i="1"/>
  <c r="F13504" i="1"/>
  <c r="G13504" i="1"/>
  <c r="H13504" i="1"/>
  <c r="I13504" i="1"/>
  <c r="J13504" i="1"/>
  <c r="K13504" i="1"/>
  <c r="L13504" i="1"/>
  <c r="A13505" i="1"/>
  <c r="B13505" i="1"/>
  <c r="C13505" i="1"/>
  <c r="D13505" i="1"/>
  <c r="E13505" i="1"/>
  <c r="F13505" i="1"/>
  <c r="G13505" i="1"/>
  <c r="H13505" i="1"/>
  <c r="I13505" i="1"/>
  <c r="J13505" i="1"/>
  <c r="K13505" i="1"/>
  <c r="L13505" i="1"/>
  <c r="A13506" i="1"/>
  <c r="B13506" i="1"/>
  <c r="C13506" i="1"/>
  <c r="D13506" i="1"/>
  <c r="E13506" i="1"/>
  <c r="F13506" i="1"/>
  <c r="G13506" i="1"/>
  <c r="H13506" i="1"/>
  <c r="I13506" i="1"/>
  <c r="J13506" i="1"/>
  <c r="K13506" i="1"/>
  <c r="L13506" i="1"/>
  <c r="A13507" i="1"/>
  <c r="B13507" i="1"/>
  <c r="C13507" i="1"/>
  <c r="D13507" i="1"/>
  <c r="E13507" i="1"/>
  <c r="F13507" i="1"/>
  <c r="G13507" i="1"/>
  <c r="H13507" i="1"/>
  <c r="I13507" i="1"/>
  <c r="J13507" i="1"/>
  <c r="K13507" i="1"/>
  <c r="L13507" i="1"/>
  <c r="A13508" i="1"/>
  <c r="B13508" i="1"/>
  <c r="C13508" i="1"/>
  <c r="D13508" i="1"/>
  <c r="E13508" i="1"/>
  <c r="F13508" i="1"/>
  <c r="G13508" i="1"/>
  <c r="H13508" i="1"/>
  <c r="I13508" i="1"/>
  <c r="J13508" i="1"/>
  <c r="K13508" i="1"/>
  <c r="L13508" i="1"/>
  <c r="A13509" i="1"/>
  <c r="B13509" i="1"/>
  <c r="C13509" i="1"/>
  <c r="D13509" i="1"/>
  <c r="E13509" i="1"/>
  <c r="F13509" i="1"/>
  <c r="G13509" i="1"/>
  <c r="H13509" i="1"/>
  <c r="I13509" i="1"/>
  <c r="J13509" i="1"/>
  <c r="K13509" i="1"/>
  <c r="L13509" i="1"/>
  <c r="A13510" i="1"/>
  <c r="B13510" i="1"/>
  <c r="C13510" i="1"/>
  <c r="D13510" i="1"/>
  <c r="E13510" i="1"/>
  <c r="F13510" i="1"/>
  <c r="G13510" i="1"/>
  <c r="H13510" i="1"/>
  <c r="I13510" i="1"/>
  <c r="J13510" i="1"/>
  <c r="K13510" i="1"/>
  <c r="L13510" i="1"/>
  <c r="A13511" i="1"/>
  <c r="B13511" i="1"/>
  <c r="C13511" i="1"/>
  <c r="D13511" i="1"/>
  <c r="E13511" i="1"/>
  <c r="F13511" i="1"/>
  <c r="G13511" i="1"/>
  <c r="H13511" i="1"/>
  <c r="I13511" i="1"/>
  <c r="J13511" i="1"/>
  <c r="K13511" i="1"/>
  <c r="L13511" i="1"/>
  <c r="A13512" i="1"/>
  <c r="B13512" i="1"/>
  <c r="C13512" i="1"/>
  <c r="D13512" i="1"/>
  <c r="E13512" i="1"/>
  <c r="F13512" i="1"/>
  <c r="G13512" i="1"/>
  <c r="H13512" i="1"/>
  <c r="I13512" i="1"/>
  <c r="J13512" i="1"/>
  <c r="K13512" i="1"/>
  <c r="L13512" i="1"/>
  <c r="A13513" i="1"/>
  <c r="B13513" i="1"/>
  <c r="C13513" i="1"/>
  <c r="D13513" i="1"/>
  <c r="E13513" i="1"/>
  <c r="F13513" i="1"/>
  <c r="G13513" i="1"/>
  <c r="H13513" i="1"/>
  <c r="I13513" i="1"/>
  <c r="J13513" i="1"/>
  <c r="K13513" i="1"/>
  <c r="L13513" i="1"/>
  <c r="A13514" i="1"/>
  <c r="B13514" i="1"/>
  <c r="C13514" i="1"/>
  <c r="D13514" i="1"/>
  <c r="E13514" i="1"/>
  <c r="F13514" i="1"/>
  <c r="G13514" i="1"/>
  <c r="H13514" i="1"/>
  <c r="I13514" i="1"/>
  <c r="J13514" i="1"/>
  <c r="K13514" i="1"/>
  <c r="L13514" i="1"/>
  <c r="A13515" i="1"/>
  <c r="B13515" i="1"/>
  <c r="C13515" i="1"/>
  <c r="D13515" i="1"/>
  <c r="E13515" i="1"/>
  <c r="F13515" i="1"/>
  <c r="G13515" i="1"/>
  <c r="H13515" i="1"/>
  <c r="I13515" i="1"/>
  <c r="J13515" i="1"/>
  <c r="K13515" i="1"/>
  <c r="L13515" i="1"/>
  <c r="A13516" i="1"/>
  <c r="B13516" i="1"/>
  <c r="C13516" i="1"/>
  <c r="D13516" i="1"/>
  <c r="E13516" i="1"/>
  <c r="F13516" i="1"/>
  <c r="G13516" i="1"/>
  <c r="H13516" i="1"/>
  <c r="I13516" i="1"/>
  <c r="J13516" i="1"/>
  <c r="K13516" i="1"/>
  <c r="L13516" i="1"/>
  <c r="A13517" i="1"/>
  <c r="B13517" i="1"/>
  <c r="C13517" i="1"/>
  <c r="D13517" i="1"/>
  <c r="E13517" i="1"/>
  <c r="F13517" i="1"/>
  <c r="G13517" i="1"/>
  <c r="H13517" i="1"/>
  <c r="I13517" i="1"/>
  <c r="J13517" i="1"/>
  <c r="K13517" i="1"/>
  <c r="L13517" i="1"/>
  <c r="A13518" i="1"/>
  <c r="B13518" i="1"/>
  <c r="C13518" i="1"/>
  <c r="D13518" i="1"/>
  <c r="E13518" i="1"/>
  <c r="F13518" i="1"/>
  <c r="G13518" i="1"/>
  <c r="H13518" i="1"/>
  <c r="I13518" i="1"/>
  <c r="J13518" i="1"/>
  <c r="K13518" i="1"/>
  <c r="L13518" i="1"/>
  <c r="A13519" i="1"/>
  <c r="B13519" i="1"/>
  <c r="C13519" i="1"/>
  <c r="D13519" i="1"/>
  <c r="E13519" i="1"/>
  <c r="F13519" i="1"/>
  <c r="G13519" i="1"/>
  <c r="H13519" i="1"/>
  <c r="I13519" i="1"/>
  <c r="J13519" i="1"/>
  <c r="K13519" i="1"/>
  <c r="L13519" i="1"/>
  <c r="A13520" i="1"/>
  <c r="B13520" i="1"/>
  <c r="C13520" i="1"/>
  <c r="D13520" i="1"/>
  <c r="E13520" i="1"/>
  <c r="F13520" i="1"/>
  <c r="G13520" i="1"/>
  <c r="H13520" i="1"/>
  <c r="I13520" i="1"/>
  <c r="J13520" i="1"/>
  <c r="K13520" i="1"/>
  <c r="L13520" i="1"/>
  <c r="A13521" i="1"/>
  <c r="B13521" i="1"/>
  <c r="C13521" i="1"/>
  <c r="D13521" i="1"/>
  <c r="E13521" i="1"/>
  <c r="F13521" i="1"/>
  <c r="G13521" i="1"/>
  <c r="H13521" i="1"/>
  <c r="I13521" i="1"/>
  <c r="J13521" i="1"/>
  <c r="K13521" i="1"/>
  <c r="L13521" i="1"/>
  <c r="A13522" i="1"/>
  <c r="B13522" i="1"/>
  <c r="C13522" i="1"/>
  <c r="D13522" i="1"/>
  <c r="E13522" i="1"/>
  <c r="F13522" i="1"/>
  <c r="G13522" i="1"/>
  <c r="H13522" i="1"/>
  <c r="I13522" i="1"/>
  <c r="J13522" i="1"/>
  <c r="K13522" i="1"/>
  <c r="L13522" i="1"/>
  <c r="A13523" i="1"/>
  <c r="B13523" i="1"/>
  <c r="C13523" i="1"/>
  <c r="D13523" i="1"/>
  <c r="E13523" i="1"/>
  <c r="F13523" i="1"/>
  <c r="G13523" i="1"/>
  <c r="H13523" i="1"/>
  <c r="I13523" i="1"/>
  <c r="J13523" i="1"/>
  <c r="K13523" i="1"/>
  <c r="L13523" i="1"/>
  <c r="A13524" i="1"/>
  <c r="B13524" i="1"/>
  <c r="C13524" i="1"/>
  <c r="D13524" i="1"/>
  <c r="E13524" i="1"/>
  <c r="F13524" i="1"/>
  <c r="G13524" i="1"/>
  <c r="H13524" i="1"/>
  <c r="I13524" i="1"/>
  <c r="J13524" i="1"/>
  <c r="K13524" i="1"/>
  <c r="L13524" i="1"/>
  <c r="A13525" i="1"/>
  <c r="B13525" i="1"/>
  <c r="C13525" i="1"/>
  <c r="D13525" i="1"/>
  <c r="E13525" i="1"/>
  <c r="F13525" i="1"/>
  <c r="G13525" i="1"/>
  <c r="H13525" i="1"/>
  <c r="I13525" i="1"/>
  <c r="J13525" i="1"/>
  <c r="K13525" i="1"/>
  <c r="L13525" i="1"/>
  <c r="A13526" i="1"/>
  <c r="B13526" i="1"/>
  <c r="C13526" i="1"/>
  <c r="D13526" i="1"/>
  <c r="E13526" i="1"/>
  <c r="F13526" i="1"/>
  <c r="G13526" i="1"/>
  <c r="H13526" i="1"/>
  <c r="I13526" i="1"/>
  <c r="J13526" i="1"/>
  <c r="K13526" i="1"/>
  <c r="L13526" i="1"/>
  <c r="A13527" i="1"/>
  <c r="B13527" i="1"/>
  <c r="C13527" i="1"/>
  <c r="D13527" i="1"/>
  <c r="E13527" i="1"/>
  <c r="F13527" i="1"/>
  <c r="G13527" i="1"/>
  <c r="H13527" i="1"/>
  <c r="I13527" i="1"/>
  <c r="J13527" i="1"/>
  <c r="K13527" i="1"/>
  <c r="L13527" i="1"/>
  <c r="A13528" i="1"/>
  <c r="B13528" i="1"/>
  <c r="C13528" i="1"/>
  <c r="D13528" i="1"/>
  <c r="E13528" i="1"/>
  <c r="F13528" i="1"/>
  <c r="G13528" i="1"/>
  <c r="H13528" i="1"/>
  <c r="I13528" i="1"/>
  <c r="J13528" i="1"/>
  <c r="K13528" i="1"/>
  <c r="L13528" i="1"/>
  <c r="A13529" i="1"/>
  <c r="B13529" i="1"/>
  <c r="C13529" i="1"/>
  <c r="D13529" i="1"/>
  <c r="E13529" i="1"/>
  <c r="F13529" i="1"/>
  <c r="G13529" i="1"/>
  <c r="H13529" i="1"/>
  <c r="I13529" i="1"/>
  <c r="J13529" i="1"/>
  <c r="K13529" i="1"/>
  <c r="L13529" i="1"/>
  <c r="A13530" i="1"/>
  <c r="B13530" i="1"/>
  <c r="C13530" i="1"/>
  <c r="D13530" i="1"/>
  <c r="E13530" i="1"/>
  <c r="F13530" i="1"/>
  <c r="G13530" i="1"/>
  <c r="H13530" i="1"/>
  <c r="I13530" i="1"/>
  <c r="J13530" i="1"/>
  <c r="K13530" i="1"/>
  <c r="L13530" i="1"/>
  <c r="A13531" i="1"/>
  <c r="B13531" i="1"/>
  <c r="C13531" i="1"/>
  <c r="D13531" i="1"/>
  <c r="E13531" i="1"/>
  <c r="F13531" i="1"/>
  <c r="G13531" i="1"/>
  <c r="H13531" i="1"/>
  <c r="I13531" i="1"/>
  <c r="J13531" i="1"/>
  <c r="K13531" i="1"/>
  <c r="L13531" i="1"/>
  <c r="A13532" i="1"/>
  <c r="B13532" i="1"/>
  <c r="C13532" i="1"/>
  <c r="D13532" i="1"/>
  <c r="E13532" i="1"/>
  <c r="F13532" i="1"/>
  <c r="G13532" i="1"/>
  <c r="H13532" i="1"/>
  <c r="I13532" i="1"/>
  <c r="J13532" i="1"/>
  <c r="K13532" i="1"/>
  <c r="L13532" i="1"/>
  <c r="A13533" i="1"/>
  <c r="B13533" i="1"/>
  <c r="C13533" i="1"/>
  <c r="D13533" i="1"/>
  <c r="E13533" i="1"/>
  <c r="F13533" i="1"/>
  <c r="G13533" i="1"/>
  <c r="H13533" i="1"/>
  <c r="I13533" i="1"/>
  <c r="J13533" i="1"/>
  <c r="K13533" i="1"/>
  <c r="L13533" i="1"/>
  <c r="A13534" i="1"/>
  <c r="B13534" i="1"/>
  <c r="C13534" i="1"/>
  <c r="D13534" i="1"/>
  <c r="E13534" i="1"/>
  <c r="F13534" i="1"/>
  <c r="G13534" i="1"/>
  <c r="H13534" i="1"/>
  <c r="I13534" i="1"/>
  <c r="J13534" i="1"/>
  <c r="K13534" i="1"/>
  <c r="L13534" i="1"/>
  <c r="A13535" i="1"/>
  <c r="B13535" i="1"/>
  <c r="C13535" i="1"/>
  <c r="D13535" i="1"/>
  <c r="E13535" i="1"/>
  <c r="F13535" i="1"/>
  <c r="G13535" i="1"/>
  <c r="H13535" i="1"/>
  <c r="I13535" i="1"/>
  <c r="J13535" i="1"/>
  <c r="K13535" i="1"/>
  <c r="L13535" i="1"/>
  <c r="A13536" i="1"/>
  <c r="B13536" i="1"/>
  <c r="C13536" i="1"/>
  <c r="D13536" i="1"/>
  <c r="E13536" i="1"/>
  <c r="F13536" i="1"/>
  <c r="G13536" i="1"/>
  <c r="H13536" i="1"/>
  <c r="I13536" i="1"/>
  <c r="J13536" i="1"/>
  <c r="K13536" i="1"/>
  <c r="L13536" i="1"/>
  <c r="A13537" i="1"/>
  <c r="B13537" i="1"/>
  <c r="C13537" i="1"/>
  <c r="D13537" i="1"/>
  <c r="E13537" i="1"/>
  <c r="F13537" i="1"/>
  <c r="G13537" i="1"/>
  <c r="H13537" i="1"/>
  <c r="I13537" i="1"/>
  <c r="J13537" i="1"/>
  <c r="K13537" i="1"/>
  <c r="L13537" i="1"/>
  <c r="A13538" i="1"/>
  <c r="B13538" i="1"/>
  <c r="C13538" i="1"/>
  <c r="D13538" i="1"/>
  <c r="E13538" i="1"/>
  <c r="F13538" i="1"/>
  <c r="G13538" i="1"/>
  <c r="H13538" i="1"/>
  <c r="I13538" i="1"/>
  <c r="J13538" i="1"/>
  <c r="K13538" i="1"/>
  <c r="L13538" i="1"/>
  <c r="A13539" i="1"/>
  <c r="B13539" i="1"/>
  <c r="C13539" i="1"/>
  <c r="D13539" i="1"/>
  <c r="E13539" i="1"/>
  <c r="F13539" i="1"/>
  <c r="G13539" i="1"/>
  <c r="H13539" i="1"/>
  <c r="I13539" i="1"/>
  <c r="J13539" i="1"/>
  <c r="K13539" i="1"/>
  <c r="L13539" i="1"/>
  <c r="A13540" i="1"/>
  <c r="B13540" i="1"/>
  <c r="C13540" i="1"/>
  <c r="D13540" i="1"/>
  <c r="E13540" i="1"/>
  <c r="F13540" i="1"/>
  <c r="G13540" i="1"/>
  <c r="H13540" i="1"/>
  <c r="I13540" i="1"/>
  <c r="J13540" i="1"/>
  <c r="K13540" i="1"/>
  <c r="L13540" i="1"/>
  <c r="A13541" i="1"/>
  <c r="B13541" i="1"/>
  <c r="C13541" i="1"/>
  <c r="D13541" i="1"/>
  <c r="E13541" i="1"/>
  <c r="F13541" i="1"/>
  <c r="G13541" i="1"/>
  <c r="H13541" i="1"/>
  <c r="I13541" i="1"/>
  <c r="J13541" i="1"/>
  <c r="K13541" i="1"/>
  <c r="L13541" i="1"/>
  <c r="A13542" i="1"/>
  <c r="B13542" i="1"/>
  <c r="C13542" i="1"/>
  <c r="D13542" i="1"/>
  <c r="E13542" i="1"/>
  <c r="F13542" i="1"/>
  <c r="G13542" i="1"/>
  <c r="H13542" i="1"/>
  <c r="I13542" i="1"/>
  <c r="J13542" i="1"/>
  <c r="K13542" i="1"/>
  <c r="L13542" i="1"/>
  <c r="A13543" i="1"/>
  <c r="B13543" i="1"/>
  <c r="C13543" i="1"/>
  <c r="D13543" i="1"/>
  <c r="E13543" i="1"/>
  <c r="F13543" i="1"/>
  <c r="G13543" i="1"/>
  <c r="H13543" i="1"/>
  <c r="I13543" i="1"/>
  <c r="J13543" i="1"/>
  <c r="K13543" i="1"/>
  <c r="L13543" i="1"/>
  <c r="A13544" i="1"/>
  <c r="B13544" i="1"/>
  <c r="C13544" i="1"/>
  <c r="D13544" i="1"/>
  <c r="E13544" i="1"/>
  <c r="F13544" i="1"/>
  <c r="G13544" i="1"/>
  <c r="H13544" i="1"/>
  <c r="I13544" i="1"/>
  <c r="J13544" i="1"/>
  <c r="K13544" i="1"/>
  <c r="L13544" i="1"/>
  <c r="A13545" i="1"/>
  <c r="B13545" i="1"/>
  <c r="C13545" i="1"/>
  <c r="D13545" i="1"/>
  <c r="E13545" i="1"/>
  <c r="F13545" i="1"/>
  <c r="G13545" i="1"/>
  <c r="H13545" i="1"/>
  <c r="I13545" i="1"/>
  <c r="J13545" i="1"/>
  <c r="K13545" i="1"/>
  <c r="L13545" i="1"/>
  <c r="A13546" i="1"/>
  <c r="B13546" i="1"/>
  <c r="C13546" i="1"/>
  <c r="D13546" i="1"/>
  <c r="E13546" i="1"/>
  <c r="F13546" i="1"/>
  <c r="G13546" i="1"/>
  <c r="H13546" i="1"/>
  <c r="I13546" i="1"/>
  <c r="J13546" i="1"/>
  <c r="K13546" i="1"/>
  <c r="L13546" i="1"/>
  <c r="A13547" i="1"/>
  <c r="B13547" i="1"/>
  <c r="C13547" i="1"/>
  <c r="D13547" i="1"/>
  <c r="E13547" i="1"/>
  <c r="F13547" i="1"/>
  <c r="G13547" i="1"/>
  <c r="H13547" i="1"/>
  <c r="I13547" i="1"/>
  <c r="J13547" i="1"/>
  <c r="K13547" i="1"/>
  <c r="L13547" i="1"/>
  <c r="A13548" i="1"/>
  <c r="B13548" i="1"/>
  <c r="C13548" i="1"/>
  <c r="D13548" i="1"/>
  <c r="E13548" i="1"/>
  <c r="F13548" i="1"/>
  <c r="G13548" i="1"/>
  <c r="H13548" i="1"/>
  <c r="I13548" i="1"/>
  <c r="J13548" i="1"/>
  <c r="K13548" i="1"/>
  <c r="L13548" i="1"/>
  <c r="A13549" i="1"/>
  <c r="B13549" i="1"/>
  <c r="C13549" i="1"/>
  <c r="D13549" i="1"/>
  <c r="E13549" i="1"/>
  <c r="F13549" i="1"/>
  <c r="G13549" i="1"/>
  <c r="H13549" i="1"/>
  <c r="I13549" i="1"/>
  <c r="J13549" i="1"/>
  <c r="K13549" i="1"/>
  <c r="L13549" i="1"/>
  <c r="A13550" i="1"/>
  <c r="B13550" i="1"/>
  <c r="C13550" i="1"/>
  <c r="D13550" i="1"/>
  <c r="E13550" i="1"/>
  <c r="F13550" i="1"/>
  <c r="G13550" i="1"/>
  <c r="H13550" i="1"/>
  <c r="I13550" i="1"/>
  <c r="J13550" i="1"/>
  <c r="K13550" i="1"/>
  <c r="L13550" i="1"/>
  <c r="A13551" i="1"/>
  <c r="B13551" i="1"/>
  <c r="C13551" i="1"/>
  <c r="D13551" i="1"/>
  <c r="E13551" i="1"/>
  <c r="F13551" i="1"/>
  <c r="G13551" i="1"/>
  <c r="H13551" i="1"/>
  <c r="I13551" i="1"/>
  <c r="J13551" i="1"/>
  <c r="K13551" i="1"/>
  <c r="L13551" i="1"/>
  <c r="A13552" i="1"/>
  <c r="B13552" i="1"/>
  <c r="C13552" i="1"/>
  <c r="D13552" i="1"/>
  <c r="E13552" i="1"/>
  <c r="F13552" i="1"/>
  <c r="G13552" i="1"/>
  <c r="H13552" i="1"/>
  <c r="I13552" i="1"/>
  <c r="J13552" i="1"/>
  <c r="K13552" i="1"/>
  <c r="L13552" i="1"/>
  <c r="A13553" i="1"/>
  <c r="B13553" i="1"/>
  <c r="C13553" i="1"/>
  <c r="D13553" i="1"/>
  <c r="E13553" i="1"/>
  <c r="F13553" i="1"/>
  <c r="G13553" i="1"/>
  <c r="H13553" i="1"/>
  <c r="I13553" i="1"/>
  <c r="J13553" i="1"/>
  <c r="K13553" i="1"/>
  <c r="L13553" i="1"/>
  <c r="A13554" i="1"/>
  <c r="B13554" i="1"/>
  <c r="C13554" i="1"/>
  <c r="D13554" i="1"/>
  <c r="E13554" i="1"/>
  <c r="F13554" i="1"/>
  <c r="G13554" i="1"/>
  <c r="H13554" i="1"/>
  <c r="I13554" i="1"/>
  <c r="J13554" i="1"/>
  <c r="K13554" i="1"/>
  <c r="L13554" i="1"/>
  <c r="A13555" i="1"/>
  <c r="B13555" i="1"/>
  <c r="C13555" i="1"/>
  <c r="D13555" i="1"/>
  <c r="E13555" i="1"/>
  <c r="F13555" i="1"/>
  <c r="G13555" i="1"/>
  <c r="H13555" i="1"/>
  <c r="I13555" i="1"/>
  <c r="J13555" i="1"/>
  <c r="K13555" i="1"/>
  <c r="L13555" i="1"/>
  <c r="A13556" i="1"/>
  <c r="B13556" i="1"/>
  <c r="C13556" i="1"/>
  <c r="D13556" i="1"/>
  <c r="E13556" i="1"/>
  <c r="F13556" i="1"/>
  <c r="G13556" i="1"/>
  <c r="H13556" i="1"/>
  <c r="I13556" i="1"/>
  <c r="J13556" i="1"/>
  <c r="K13556" i="1"/>
  <c r="L13556" i="1"/>
  <c r="A13557" i="1"/>
  <c r="B13557" i="1"/>
  <c r="C13557" i="1"/>
  <c r="D13557" i="1"/>
  <c r="E13557" i="1"/>
  <c r="F13557" i="1"/>
  <c r="G13557" i="1"/>
  <c r="H13557" i="1"/>
  <c r="I13557" i="1"/>
  <c r="J13557" i="1"/>
  <c r="K13557" i="1"/>
  <c r="L13557" i="1"/>
  <c r="A13558" i="1"/>
  <c r="B13558" i="1"/>
  <c r="C13558" i="1"/>
  <c r="D13558" i="1"/>
  <c r="E13558" i="1"/>
  <c r="F13558" i="1"/>
  <c r="G13558" i="1"/>
  <c r="H13558" i="1"/>
  <c r="I13558" i="1"/>
  <c r="J13558" i="1"/>
  <c r="K13558" i="1"/>
  <c r="L13558" i="1"/>
  <c r="A13559" i="1"/>
  <c r="B13559" i="1"/>
  <c r="C13559" i="1"/>
  <c r="D13559" i="1"/>
  <c r="E13559" i="1"/>
  <c r="F13559" i="1"/>
  <c r="G13559" i="1"/>
  <c r="H13559" i="1"/>
  <c r="I13559" i="1"/>
  <c r="J13559" i="1"/>
  <c r="K13559" i="1"/>
  <c r="L13559" i="1"/>
  <c r="A13560" i="1"/>
  <c r="B13560" i="1"/>
  <c r="C13560" i="1"/>
  <c r="D13560" i="1"/>
  <c r="E13560" i="1"/>
  <c r="F13560" i="1"/>
  <c r="G13560" i="1"/>
  <c r="H13560" i="1"/>
  <c r="I13560" i="1"/>
  <c r="J13560" i="1"/>
  <c r="K13560" i="1"/>
  <c r="L13560" i="1"/>
  <c r="A13561" i="1"/>
  <c r="B13561" i="1"/>
  <c r="C13561" i="1"/>
  <c r="D13561" i="1"/>
  <c r="E13561" i="1"/>
  <c r="F13561" i="1"/>
  <c r="G13561" i="1"/>
  <c r="H13561" i="1"/>
  <c r="I13561" i="1"/>
  <c r="J13561" i="1"/>
  <c r="K13561" i="1"/>
  <c r="L13561" i="1"/>
  <c r="A13562" i="1"/>
  <c r="B13562" i="1"/>
  <c r="C13562" i="1"/>
  <c r="D13562" i="1"/>
  <c r="E13562" i="1"/>
  <c r="F13562" i="1"/>
  <c r="G13562" i="1"/>
  <c r="H13562" i="1"/>
  <c r="I13562" i="1"/>
  <c r="J13562" i="1"/>
  <c r="K13562" i="1"/>
  <c r="L13562" i="1"/>
  <c r="A13563" i="1"/>
  <c r="B13563" i="1"/>
  <c r="C13563" i="1"/>
  <c r="D13563" i="1"/>
  <c r="E13563" i="1"/>
  <c r="F13563" i="1"/>
  <c r="G13563" i="1"/>
  <c r="H13563" i="1"/>
  <c r="I13563" i="1"/>
  <c r="J13563" i="1"/>
  <c r="K13563" i="1"/>
  <c r="L13563" i="1"/>
  <c r="A13564" i="1"/>
  <c r="B13564" i="1"/>
  <c r="C13564" i="1"/>
  <c r="D13564" i="1"/>
  <c r="E13564" i="1"/>
  <c r="F13564" i="1"/>
  <c r="G13564" i="1"/>
  <c r="H13564" i="1"/>
  <c r="I13564" i="1"/>
  <c r="J13564" i="1"/>
  <c r="K13564" i="1"/>
  <c r="L13564" i="1"/>
  <c r="A13565" i="1"/>
  <c r="B13565" i="1"/>
  <c r="C13565" i="1"/>
  <c r="D13565" i="1"/>
  <c r="E13565" i="1"/>
  <c r="F13565" i="1"/>
  <c r="G13565" i="1"/>
  <c r="H13565" i="1"/>
  <c r="I13565" i="1"/>
  <c r="J13565" i="1"/>
  <c r="K13565" i="1"/>
  <c r="L13565" i="1"/>
  <c r="A13566" i="1"/>
  <c r="B13566" i="1"/>
  <c r="C13566" i="1"/>
  <c r="D13566" i="1"/>
  <c r="E13566" i="1"/>
  <c r="F13566" i="1"/>
  <c r="G13566" i="1"/>
  <c r="H13566" i="1"/>
  <c r="I13566" i="1"/>
  <c r="J13566" i="1"/>
  <c r="K13566" i="1"/>
  <c r="L13566" i="1"/>
  <c r="A13567" i="1"/>
  <c r="B13567" i="1"/>
  <c r="C13567" i="1"/>
  <c r="D13567" i="1"/>
  <c r="E13567" i="1"/>
  <c r="F13567" i="1"/>
  <c r="G13567" i="1"/>
  <c r="H13567" i="1"/>
  <c r="I13567" i="1"/>
  <c r="J13567" i="1"/>
  <c r="K13567" i="1"/>
  <c r="L13567" i="1"/>
  <c r="A13568" i="1"/>
  <c r="B13568" i="1"/>
  <c r="C13568" i="1"/>
  <c r="D13568" i="1"/>
  <c r="E13568" i="1"/>
  <c r="F13568" i="1"/>
  <c r="G13568" i="1"/>
  <c r="H13568" i="1"/>
  <c r="I13568" i="1"/>
  <c r="J13568" i="1"/>
  <c r="K13568" i="1"/>
  <c r="L13568" i="1"/>
  <c r="A13569" i="1"/>
  <c r="B13569" i="1"/>
  <c r="C13569" i="1"/>
  <c r="D13569" i="1"/>
  <c r="E13569" i="1"/>
  <c r="F13569" i="1"/>
  <c r="G13569" i="1"/>
  <c r="H13569" i="1"/>
  <c r="I13569" i="1"/>
  <c r="J13569" i="1"/>
  <c r="K13569" i="1"/>
  <c r="L13569" i="1"/>
  <c r="A13570" i="1"/>
  <c r="B13570" i="1"/>
  <c r="C13570" i="1"/>
  <c r="D13570" i="1"/>
  <c r="E13570" i="1"/>
  <c r="F13570" i="1"/>
  <c r="G13570" i="1"/>
  <c r="H13570" i="1"/>
  <c r="I13570" i="1"/>
  <c r="J13570" i="1"/>
  <c r="K13570" i="1"/>
  <c r="L13570" i="1"/>
  <c r="A13571" i="1"/>
  <c r="B13571" i="1"/>
  <c r="C13571" i="1"/>
  <c r="D13571" i="1"/>
  <c r="E13571" i="1"/>
  <c r="F13571" i="1"/>
  <c r="G13571" i="1"/>
  <c r="H13571" i="1"/>
  <c r="I13571" i="1"/>
  <c r="J13571" i="1"/>
  <c r="K13571" i="1"/>
  <c r="L13571" i="1"/>
  <c r="A13572" i="1"/>
  <c r="B13572" i="1"/>
  <c r="C13572" i="1"/>
  <c r="D13572" i="1"/>
  <c r="E13572" i="1"/>
  <c r="F13572" i="1"/>
  <c r="G13572" i="1"/>
  <c r="H13572" i="1"/>
  <c r="I13572" i="1"/>
  <c r="J13572" i="1"/>
  <c r="K13572" i="1"/>
  <c r="L13572" i="1"/>
  <c r="A13573" i="1"/>
  <c r="B13573" i="1"/>
  <c r="C13573" i="1"/>
  <c r="D13573" i="1"/>
  <c r="E13573" i="1"/>
  <c r="F13573" i="1"/>
  <c r="G13573" i="1"/>
  <c r="H13573" i="1"/>
  <c r="I13573" i="1"/>
  <c r="J13573" i="1"/>
  <c r="K13573" i="1"/>
  <c r="L13573" i="1"/>
  <c r="A13574" i="1"/>
  <c r="B13574" i="1"/>
  <c r="C13574" i="1"/>
  <c r="D13574" i="1"/>
  <c r="E13574" i="1"/>
  <c r="F13574" i="1"/>
  <c r="G13574" i="1"/>
  <c r="H13574" i="1"/>
  <c r="I13574" i="1"/>
  <c r="J13574" i="1"/>
  <c r="K13574" i="1"/>
  <c r="L13574" i="1"/>
  <c r="A13575" i="1"/>
  <c r="B13575" i="1"/>
  <c r="C13575" i="1"/>
  <c r="D13575" i="1"/>
  <c r="E13575" i="1"/>
  <c r="F13575" i="1"/>
  <c r="G13575" i="1"/>
  <c r="H13575" i="1"/>
  <c r="I13575" i="1"/>
  <c r="J13575" i="1"/>
  <c r="K13575" i="1"/>
  <c r="L13575" i="1"/>
  <c r="A13576" i="1"/>
  <c r="B13576" i="1"/>
  <c r="C13576" i="1"/>
  <c r="D13576" i="1"/>
  <c r="E13576" i="1"/>
  <c r="F13576" i="1"/>
  <c r="G13576" i="1"/>
  <c r="H13576" i="1"/>
  <c r="I13576" i="1"/>
  <c r="J13576" i="1"/>
  <c r="K13576" i="1"/>
  <c r="L13576" i="1"/>
  <c r="A13577" i="1"/>
  <c r="B13577" i="1"/>
  <c r="C13577" i="1"/>
  <c r="D13577" i="1"/>
  <c r="E13577" i="1"/>
  <c r="F13577" i="1"/>
  <c r="G13577" i="1"/>
  <c r="H13577" i="1"/>
  <c r="I13577" i="1"/>
  <c r="J13577" i="1"/>
  <c r="K13577" i="1"/>
  <c r="L13577" i="1"/>
  <c r="A13578" i="1"/>
  <c r="B13578" i="1"/>
  <c r="C13578" i="1"/>
  <c r="D13578" i="1"/>
  <c r="E13578" i="1"/>
  <c r="F13578" i="1"/>
  <c r="G13578" i="1"/>
  <c r="H13578" i="1"/>
  <c r="I13578" i="1"/>
  <c r="J13578" i="1"/>
  <c r="K13578" i="1"/>
  <c r="L13578" i="1"/>
  <c r="A13579" i="1"/>
  <c r="B13579" i="1"/>
  <c r="C13579" i="1"/>
  <c r="D13579" i="1"/>
  <c r="E13579" i="1"/>
  <c r="F13579" i="1"/>
  <c r="G13579" i="1"/>
  <c r="H13579" i="1"/>
  <c r="I13579" i="1"/>
  <c r="J13579" i="1"/>
  <c r="K13579" i="1"/>
  <c r="L13579" i="1"/>
  <c r="A13580" i="1"/>
  <c r="B13580" i="1"/>
  <c r="C13580" i="1"/>
  <c r="D13580" i="1"/>
  <c r="E13580" i="1"/>
  <c r="F13580" i="1"/>
  <c r="G13580" i="1"/>
  <c r="H13580" i="1"/>
  <c r="I13580" i="1"/>
  <c r="J13580" i="1"/>
  <c r="K13580" i="1"/>
  <c r="L13580" i="1"/>
  <c r="A13581" i="1"/>
  <c r="B13581" i="1"/>
  <c r="C13581" i="1"/>
  <c r="D13581" i="1"/>
  <c r="E13581" i="1"/>
  <c r="F13581" i="1"/>
  <c r="G13581" i="1"/>
  <c r="H13581" i="1"/>
  <c r="I13581" i="1"/>
  <c r="J13581" i="1"/>
  <c r="K13581" i="1"/>
  <c r="L13581" i="1"/>
  <c r="A13582" i="1"/>
  <c r="B13582" i="1"/>
  <c r="C13582" i="1"/>
  <c r="D13582" i="1"/>
  <c r="E13582" i="1"/>
  <c r="F13582" i="1"/>
  <c r="G13582" i="1"/>
  <c r="H13582" i="1"/>
  <c r="I13582" i="1"/>
  <c r="J13582" i="1"/>
  <c r="K13582" i="1"/>
  <c r="L13582" i="1"/>
  <c r="A13583" i="1"/>
  <c r="B13583" i="1"/>
  <c r="C13583" i="1"/>
  <c r="D13583" i="1"/>
  <c r="E13583" i="1"/>
  <c r="F13583" i="1"/>
  <c r="G13583" i="1"/>
  <c r="H13583" i="1"/>
  <c r="I13583" i="1"/>
  <c r="J13583" i="1"/>
  <c r="K13583" i="1"/>
  <c r="L13583" i="1"/>
  <c r="A13584" i="1"/>
  <c r="B13584" i="1"/>
  <c r="C13584" i="1"/>
  <c r="D13584" i="1"/>
  <c r="E13584" i="1"/>
  <c r="F13584" i="1"/>
  <c r="G13584" i="1"/>
  <c r="H13584" i="1"/>
  <c r="I13584" i="1"/>
  <c r="J13584" i="1"/>
  <c r="K13584" i="1"/>
  <c r="L13584" i="1"/>
  <c r="A13585" i="1"/>
  <c r="B13585" i="1"/>
  <c r="C13585" i="1"/>
  <c r="D13585" i="1"/>
  <c r="E13585" i="1"/>
  <c r="F13585" i="1"/>
  <c r="G13585" i="1"/>
  <c r="H13585" i="1"/>
  <c r="I13585" i="1"/>
  <c r="J13585" i="1"/>
  <c r="K13585" i="1"/>
  <c r="L13585" i="1"/>
  <c r="A13586" i="1"/>
  <c r="B13586" i="1"/>
  <c r="C13586" i="1"/>
  <c r="D13586" i="1"/>
  <c r="E13586" i="1"/>
  <c r="F13586" i="1"/>
  <c r="G13586" i="1"/>
  <c r="H13586" i="1"/>
  <c r="I13586" i="1"/>
  <c r="J13586" i="1"/>
  <c r="K13586" i="1"/>
  <c r="L13586" i="1"/>
  <c r="A13587" i="1"/>
  <c r="B13587" i="1"/>
  <c r="C13587" i="1"/>
  <c r="D13587" i="1"/>
  <c r="E13587" i="1"/>
  <c r="F13587" i="1"/>
  <c r="G13587" i="1"/>
  <c r="H13587" i="1"/>
  <c r="I13587" i="1"/>
  <c r="J13587" i="1"/>
  <c r="K13587" i="1"/>
  <c r="L13587" i="1"/>
  <c r="A13588" i="1"/>
  <c r="B13588" i="1"/>
  <c r="C13588" i="1"/>
  <c r="D13588" i="1"/>
  <c r="E13588" i="1"/>
  <c r="F13588" i="1"/>
  <c r="G13588" i="1"/>
  <c r="H13588" i="1"/>
  <c r="I13588" i="1"/>
  <c r="J13588" i="1"/>
  <c r="K13588" i="1"/>
  <c r="L13588" i="1"/>
  <c r="A13589" i="1"/>
  <c r="B13589" i="1"/>
  <c r="C13589" i="1"/>
  <c r="D13589" i="1"/>
  <c r="E13589" i="1"/>
  <c r="F13589" i="1"/>
  <c r="G13589" i="1"/>
  <c r="H13589" i="1"/>
  <c r="I13589" i="1"/>
  <c r="J13589" i="1"/>
  <c r="K13589" i="1"/>
  <c r="L13589" i="1"/>
  <c r="A13590" i="1"/>
  <c r="B13590" i="1"/>
  <c r="C13590" i="1"/>
  <c r="D13590" i="1"/>
  <c r="E13590" i="1"/>
  <c r="F13590" i="1"/>
  <c r="G13590" i="1"/>
  <c r="H13590" i="1"/>
  <c r="I13590" i="1"/>
  <c r="J13590" i="1"/>
  <c r="K13590" i="1"/>
  <c r="L13590" i="1"/>
  <c r="A13591" i="1"/>
  <c r="B13591" i="1"/>
  <c r="C13591" i="1"/>
  <c r="D13591" i="1"/>
  <c r="E13591" i="1"/>
  <c r="F13591" i="1"/>
  <c r="G13591" i="1"/>
  <c r="H13591" i="1"/>
  <c r="I13591" i="1"/>
  <c r="J13591" i="1"/>
  <c r="K13591" i="1"/>
  <c r="L13591" i="1"/>
  <c r="A13592" i="1"/>
  <c r="B13592" i="1"/>
  <c r="C13592" i="1"/>
  <c r="D13592" i="1"/>
  <c r="E13592" i="1"/>
  <c r="F13592" i="1"/>
  <c r="G13592" i="1"/>
  <c r="H13592" i="1"/>
  <c r="I13592" i="1"/>
  <c r="J13592" i="1"/>
  <c r="K13592" i="1"/>
  <c r="L13592" i="1"/>
  <c r="A13593" i="1"/>
  <c r="B13593" i="1"/>
  <c r="C13593" i="1"/>
  <c r="D13593" i="1"/>
  <c r="E13593" i="1"/>
  <c r="F13593" i="1"/>
  <c r="G13593" i="1"/>
  <c r="H13593" i="1"/>
  <c r="I13593" i="1"/>
  <c r="J13593" i="1"/>
  <c r="K13593" i="1"/>
  <c r="L13593" i="1"/>
  <c r="A13594" i="1"/>
  <c r="B13594" i="1"/>
  <c r="C13594" i="1"/>
  <c r="D13594" i="1"/>
  <c r="E13594" i="1"/>
  <c r="F13594" i="1"/>
  <c r="G13594" i="1"/>
  <c r="H13594" i="1"/>
  <c r="I13594" i="1"/>
  <c r="J13594" i="1"/>
  <c r="K13594" i="1"/>
  <c r="L13594" i="1"/>
  <c r="A13595" i="1"/>
  <c r="B13595" i="1"/>
  <c r="C13595" i="1"/>
  <c r="D13595" i="1"/>
  <c r="E13595" i="1"/>
  <c r="F13595" i="1"/>
  <c r="G13595" i="1"/>
  <c r="H13595" i="1"/>
  <c r="I13595" i="1"/>
  <c r="J13595" i="1"/>
  <c r="K13595" i="1"/>
  <c r="L13595" i="1"/>
  <c r="A13596" i="1"/>
  <c r="B13596" i="1"/>
  <c r="C13596" i="1"/>
  <c r="D13596" i="1"/>
  <c r="E13596" i="1"/>
  <c r="F13596" i="1"/>
  <c r="G13596" i="1"/>
  <c r="H13596" i="1"/>
  <c r="I13596" i="1"/>
  <c r="J13596" i="1"/>
  <c r="K13596" i="1"/>
  <c r="L13596" i="1"/>
  <c r="A13597" i="1"/>
  <c r="B13597" i="1"/>
  <c r="C13597" i="1"/>
  <c r="D13597" i="1"/>
  <c r="E13597" i="1"/>
  <c r="F13597" i="1"/>
  <c r="G13597" i="1"/>
  <c r="H13597" i="1"/>
  <c r="I13597" i="1"/>
  <c r="J13597" i="1"/>
  <c r="K13597" i="1"/>
  <c r="L13597" i="1"/>
  <c r="A13598" i="1"/>
  <c r="B13598" i="1"/>
  <c r="C13598" i="1"/>
  <c r="D13598" i="1"/>
  <c r="E13598" i="1"/>
  <c r="F13598" i="1"/>
  <c r="G13598" i="1"/>
  <c r="H13598" i="1"/>
  <c r="I13598" i="1"/>
  <c r="J13598" i="1"/>
  <c r="K13598" i="1"/>
  <c r="L13598" i="1"/>
  <c r="A13599" i="1"/>
  <c r="B13599" i="1"/>
  <c r="C13599" i="1"/>
  <c r="D13599" i="1"/>
  <c r="E13599" i="1"/>
  <c r="F13599" i="1"/>
  <c r="G13599" i="1"/>
  <c r="H13599" i="1"/>
  <c r="I13599" i="1"/>
  <c r="J13599" i="1"/>
  <c r="K13599" i="1"/>
  <c r="L13599" i="1"/>
  <c r="A13600" i="1"/>
  <c r="B13600" i="1"/>
  <c r="C13600" i="1"/>
  <c r="D13600" i="1"/>
  <c r="E13600" i="1"/>
  <c r="F13600" i="1"/>
  <c r="G13600" i="1"/>
  <c r="H13600" i="1"/>
  <c r="I13600" i="1"/>
  <c r="J13600" i="1"/>
  <c r="K13600" i="1"/>
  <c r="L13600" i="1"/>
  <c r="A13601" i="1"/>
  <c r="B13601" i="1"/>
  <c r="C13601" i="1"/>
  <c r="D13601" i="1"/>
  <c r="E13601" i="1"/>
  <c r="F13601" i="1"/>
  <c r="G13601" i="1"/>
  <c r="H13601" i="1"/>
  <c r="I13601" i="1"/>
  <c r="J13601" i="1"/>
  <c r="K13601" i="1"/>
  <c r="L13601" i="1"/>
  <c r="A13602" i="1"/>
  <c r="B13602" i="1"/>
  <c r="C13602" i="1"/>
  <c r="D13602" i="1"/>
  <c r="E13602" i="1"/>
  <c r="F13602" i="1"/>
  <c r="G13602" i="1"/>
  <c r="H13602" i="1"/>
  <c r="I13602" i="1"/>
  <c r="J13602" i="1"/>
  <c r="K13602" i="1"/>
  <c r="L13602" i="1"/>
  <c r="A13603" i="1"/>
  <c r="B13603" i="1"/>
  <c r="C13603" i="1"/>
  <c r="D13603" i="1"/>
  <c r="E13603" i="1"/>
  <c r="F13603" i="1"/>
  <c r="G13603" i="1"/>
  <c r="H13603" i="1"/>
  <c r="I13603" i="1"/>
  <c r="J13603" i="1"/>
  <c r="K13603" i="1"/>
  <c r="L13603" i="1"/>
  <c r="A13604" i="1"/>
  <c r="B13604" i="1"/>
  <c r="C13604" i="1"/>
  <c r="D13604" i="1"/>
  <c r="E13604" i="1"/>
  <c r="F13604" i="1"/>
  <c r="G13604" i="1"/>
  <c r="H13604" i="1"/>
  <c r="I13604" i="1"/>
  <c r="J13604" i="1"/>
  <c r="K13604" i="1"/>
  <c r="L13604" i="1"/>
  <c r="A13605" i="1"/>
  <c r="B13605" i="1"/>
  <c r="C13605" i="1"/>
  <c r="D13605" i="1"/>
  <c r="E13605" i="1"/>
  <c r="F13605" i="1"/>
  <c r="G13605" i="1"/>
  <c r="H13605" i="1"/>
  <c r="I13605" i="1"/>
  <c r="J13605" i="1"/>
  <c r="K13605" i="1"/>
  <c r="L13605" i="1"/>
  <c r="A13606" i="1"/>
  <c r="B13606" i="1"/>
  <c r="C13606" i="1"/>
  <c r="D13606" i="1"/>
  <c r="E13606" i="1"/>
  <c r="F13606" i="1"/>
  <c r="G13606" i="1"/>
  <c r="H13606" i="1"/>
  <c r="I13606" i="1"/>
  <c r="J13606" i="1"/>
  <c r="K13606" i="1"/>
  <c r="L13606" i="1"/>
  <c r="A13607" i="1"/>
  <c r="B13607" i="1"/>
  <c r="C13607" i="1"/>
  <c r="D13607" i="1"/>
  <c r="E13607" i="1"/>
  <c r="F13607" i="1"/>
  <c r="G13607" i="1"/>
  <c r="H13607" i="1"/>
  <c r="I13607" i="1"/>
  <c r="J13607" i="1"/>
  <c r="K13607" i="1"/>
  <c r="L13607" i="1"/>
  <c r="A13608" i="1"/>
  <c r="B13608" i="1"/>
  <c r="C13608" i="1"/>
  <c r="D13608" i="1"/>
  <c r="E13608" i="1"/>
  <c r="F13608" i="1"/>
  <c r="G13608" i="1"/>
  <c r="H13608" i="1"/>
  <c r="I13608" i="1"/>
  <c r="J13608" i="1"/>
  <c r="K13608" i="1"/>
  <c r="L13608" i="1"/>
  <c r="A13609" i="1"/>
  <c r="B13609" i="1"/>
  <c r="C13609" i="1"/>
  <c r="D13609" i="1"/>
  <c r="E13609" i="1"/>
  <c r="F13609" i="1"/>
  <c r="G13609" i="1"/>
  <c r="H13609" i="1"/>
  <c r="I13609" i="1"/>
  <c r="J13609" i="1"/>
  <c r="K13609" i="1"/>
  <c r="L13609" i="1"/>
  <c r="A13610" i="1"/>
  <c r="B13610" i="1"/>
  <c r="C13610" i="1"/>
  <c r="D13610" i="1"/>
  <c r="E13610" i="1"/>
  <c r="F13610" i="1"/>
  <c r="G13610" i="1"/>
  <c r="H13610" i="1"/>
  <c r="I13610" i="1"/>
  <c r="J13610" i="1"/>
  <c r="K13610" i="1"/>
  <c r="L13610" i="1"/>
  <c r="A13611" i="1"/>
  <c r="B13611" i="1"/>
  <c r="C13611" i="1"/>
  <c r="D13611" i="1"/>
  <c r="E13611" i="1"/>
  <c r="F13611" i="1"/>
  <c r="G13611" i="1"/>
  <c r="H13611" i="1"/>
  <c r="I13611" i="1"/>
  <c r="J13611" i="1"/>
  <c r="K13611" i="1"/>
  <c r="L13611" i="1"/>
  <c r="A13612" i="1"/>
  <c r="B13612" i="1"/>
  <c r="C13612" i="1"/>
  <c r="D13612" i="1"/>
  <c r="E13612" i="1"/>
  <c r="F13612" i="1"/>
  <c r="G13612" i="1"/>
  <c r="H13612" i="1"/>
  <c r="I13612" i="1"/>
  <c r="J13612" i="1"/>
  <c r="K13612" i="1"/>
  <c r="L13612" i="1"/>
  <c r="A13613" i="1"/>
  <c r="B13613" i="1"/>
  <c r="C13613" i="1"/>
  <c r="D13613" i="1"/>
  <c r="E13613" i="1"/>
  <c r="F13613" i="1"/>
  <c r="G13613" i="1"/>
  <c r="H13613" i="1"/>
  <c r="I13613" i="1"/>
  <c r="J13613" i="1"/>
  <c r="K13613" i="1"/>
  <c r="L13613" i="1"/>
  <c r="A13614" i="1"/>
  <c r="B13614" i="1"/>
  <c r="C13614" i="1"/>
  <c r="D13614" i="1"/>
  <c r="E13614" i="1"/>
  <c r="F13614" i="1"/>
  <c r="G13614" i="1"/>
  <c r="H13614" i="1"/>
  <c r="I13614" i="1"/>
  <c r="J13614" i="1"/>
  <c r="K13614" i="1"/>
  <c r="L13614" i="1"/>
  <c r="A13615" i="1"/>
  <c r="B13615" i="1"/>
  <c r="C13615" i="1"/>
  <c r="D13615" i="1"/>
  <c r="E13615" i="1"/>
  <c r="F13615" i="1"/>
  <c r="G13615" i="1"/>
  <c r="H13615" i="1"/>
  <c r="I13615" i="1"/>
  <c r="J13615" i="1"/>
  <c r="K13615" i="1"/>
  <c r="L13615" i="1"/>
  <c r="A13616" i="1"/>
  <c r="B13616" i="1"/>
  <c r="C13616" i="1"/>
  <c r="D13616" i="1"/>
  <c r="E13616" i="1"/>
  <c r="F13616" i="1"/>
  <c r="G13616" i="1"/>
  <c r="H13616" i="1"/>
  <c r="I13616" i="1"/>
  <c r="J13616" i="1"/>
  <c r="K13616" i="1"/>
  <c r="L13616" i="1"/>
  <c r="A13617" i="1"/>
  <c r="B13617" i="1"/>
  <c r="C13617" i="1"/>
  <c r="D13617" i="1"/>
  <c r="E13617" i="1"/>
  <c r="F13617" i="1"/>
  <c r="G13617" i="1"/>
  <c r="H13617" i="1"/>
  <c r="I13617" i="1"/>
  <c r="J13617" i="1"/>
  <c r="K13617" i="1"/>
  <c r="L13617" i="1"/>
  <c r="A13618" i="1"/>
  <c r="B13618" i="1"/>
  <c r="C13618" i="1"/>
  <c r="D13618" i="1"/>
  <c r="E13618" i="1"/>
  <c r="F13618" i="1"/>
  <c r="G13618" i="1"/>
  <c r="H13618" i="1"/>
  <c r="I13618" i="1"/>
  <c r="J13618" i="1"/>
  <c r="K13618" i="1"/>
  <c r="L13618" i="1"/>
  <c r="A13619" i="1"/>
  <c r="B13619" i="1"/>
  <c r="C13619" i="1"/>
  <c r="D13619" i="1"/>
  <c r="E13619" i="1"/>
  <c r="F13619" i="1"/>
  <c r="G13619" i="1"/>
  <c r="H13619" i="1"/>
  <c r="I13619" i="1"/>
  <c r="J13619" i="1"/>
  <c r="K13619" i="1"/>
  <c r="L13619" i="1"/>
  <c r="A13620" i="1"/>
  <c r="B13620" i="1"/>
  <c r="C13620" i="1"/>
  <c r="D13620" i="1"/>
  <c r="E13620" i="1"/>
  <c r="F13620" i="1"/>
  <c r="G13620" i="1"/>
  <c r="H13620" i="1"/>
  <c r="I13620" i="1"/>
  <c r="J13620" i="1"/>
  <c r="K13620" i="1"/>
  <c r="L13620" i="1"/>
  <c r="A13621" i="1"/>
  <c r="B13621" i="1"/>
  <c r="C13621" i="1"/>
  <c r="D13621" i="1"/>
  <c r="E13621" i="1"/>
  <c r="F13621" i="1"/>
  <c r="G13621" i="1"/>
  <c r="H13621" i="1"/>
  <c r="I13621" i="1"/>
  <c r="J13621" i="1"/>
  <c r="K13621" i="1"/>
  <c r="L13621" i="1"/>
  <c r="A13622" i="1"/>
  <c r="B13622" i="1"/>
  <c r="C13622" i="1"/>
  <c r="D13622" i="1"/>
  <c r="E13622" i="1"/>
  <c r="F13622" i="1"/>
  <c r="G13622" i="1"/>
  <c r="H13622" i="1"/>
  <c r="I13622" i="1"/>
  <c r="J13622" i="1"/>
  <c r="K13622" i="1"/>
  <c r="L13622" i="1"/>
  <c r="A13623" i="1"/>
  <c r="B13623" i="1"/>
  <c r="C13623" i="1"/>
  <c r="D13623" i="1"/>
  <c r="E13623" i="1"/>
  <c r="F13623" i="1"/>
  <c r="G13623" i="1"/>
  <c r="H13623" i="1"/>
  <c r="I13623" i="1"/>
  <c r="J13623" i="1"/>
  <c r="K13623" i="1"/>
  <c r="L13623" i="1"/>
  <c r="A13624" i="1"/>
  <c r="B13624" i="1"/>
  <c r="C13624" i="1"/>
  <c r="D13624" i="1"/>
  <c r="E13624" i="1"/>
  <c r="F13624" i="1"/>
  <c r="G13624" i="1"/>
  <c r="H13624" i="1"/>
  <c r="I13624" i="1"/>
  <c r="J13624" i="1"/>
  <c r="K13624" i="1"/>
  <c r="L13624" i="1"/>
  <c r="A13625" i="1"/>
  <c r="B13625" i="1"/>
  <c r="C13625" i="1"/>
  <c r="D13625" i="1"/>
  <c r="E13625" i="1"/>
  <c r="F13625" i="1"/>
  <c r="G13625" i="1"/>
  <c r="H13625" i="1"/>
  <c r="I13625" i="1"/>
  <c r="J13625" i="1"/>
  <c r="K13625" i="1"/>
  <c r="L13625" i="1"/>
  <c r="A13626" i="1"/>
  <c r="B13626" i="1"/>
  <c r="C13626" i="1"/>
  <c r="D13626" i="1"/>
  <c r="E13626" i="1"/>
  <c r="F13626" i="1"/>
  <c r="G13626" i="1"/>
  <c r="H13626" i="1"/>
  <c r="I13626" i="1"/>
  <c r="J13626" i="1"/>
  <c r="K13626" i="1"/>
  <c r="L13626" i="1"/>
  <c r="A13627" i="1"/>
  <c r="B13627" i="1"/>
  <c r="C13627" i="1"/>
  <c r="D13627" i="1"/>
  <c r="E13627" i="1"/>
  <c r="F13627" i="1"/>
  <c r="G13627" i="1"/>
  <c r="H13627" i="1"/>
  <c r="I13627" i="1"/>
  <c r="J13627" i="1"/>
  <c r="K13627" i="1"/>
  <c r="L13627" i="1"/>
  <c r="A13628" i="1"/>
  <c r="B13628" i="1"/>
  <c r="C13628" i="1"/>
  <c r="D13628" i="1"/>
  <c r="E13628" i="1"/>
  <c r="F13628" i="1"/>
  <c r="G13628" i="1"/>
  <c r="H13628" i="1"/>
  <c r="I13628" i="1"/>
  <c r="J13628" i="1"/>
  <c r="K13628" i="1"/>
  <c r="L13628" i="1"/>
  <c r="A13629" i="1"/>
  <c r="B13629" i="1"/>
  <c r="C13629" i="1"/>
  <c r="D13629" i="1"/>
  <c r="E13629" i="1"/>
  <c r="F13629" i="1"/>
  <c r="G13629" i="1"/>
  <c r="H13629" i="1"/>
  <c r="I13629" i="1"/>
  <c r="J13629" i="1"/>
  <c r="K13629" i="1"/>
  <c r="L13629" i="1"/>
  <c r="A13630" i="1"/>
  <c r="B13630" i="1"/>
  <c r="C13630" i="1"/>
  <c r="D13630" i="1"/>
  <c r="E13630" i="1"/>
  <c r="F13630" i="1"/>
  <c r="G13630" i="1"/>
  <c r="H13630" i="1"/>
  <c r="I13630" i="1"/>
  <c r="J13630" i="1"/>
  <c r="K13630" i="1"/>
  <c r="L13630" i="1"/>
  <c r="A13631" i="1"/>
  <c r="B13631" i="1"/>
  <c r="C13631" i="1"/>
  <c r="D13631" i="1"/>
  <c r="E13631" i="1"/>
  <c r="F13631" i="1"/>
  <c r="G13631" i="1"/>
  <c r="H13631" i="1"/>
  <c r="I13631" i="1"/>
  <c r="J13631" i="1"/>
  <c r="K13631" i="1"/>
  <c r="L13631" i="1"/>
  <c r="A13632" i="1"/>
  <c r="B13632" i="1"/>
  <c r="C13632" i="1"/>
  <c r="D13632" i="1"/>
  <c r="E13632" i="1"/>
  <c r="F13632" i="1"/>
  <c r="G13632" i="1"/>
  <c r="H13632" i="1"/>
  <c r="I13632" i="1"/>
  <c r="J13632" i="1"/>
  <c r="K13632" i="1"/>
  <c r="L13632" i="1"/>
  <c r="A13633" i="1"/>
  <c r="B13633" i="1"/>
  <c r="C13633" i="1"/>
  <c r="D13633" i="1"/>
  <c r="E13633" i="1"/>
  <c r="F13633" i="1"/>
  <c r="G13633" i="1"/>
  <c r="H13633" i="1"/>
  <c r="I13633" i="1"/>
  <c r="J13633" i="1"/>
  <c r="K13633" i="1"/>
  <c r="L13633" i="1"/>
  <c r="A13634" i="1"/>
  <c r="B13634" i="1"/>
  <c r="C13634" i="1"/>
  <c r="D13634" i="1"/>
  <c r="E13634" i="1"/>
  <c r="F13634" i="1"/>
  <c r="G13634" i="1"/>
  <c r="H13634" i="1"/>
  <c r="I13634" i="1"/>
  <c r="J13634" i="1"/>
  <c r="K13634" i="1"/>
  <c r="L13634" i="1"/>
  <c r="A13635" i="1"/>
  <c r="B13635" i="1"/>
  <c r="C13635" i="1"/>
  <c r="D13635" i="1"/>
  <c r="E13635" i="1"/>
  <c r="F13635" i="1"/>
  <c r="G13635" i="1"/>
  <c r="H13635" i="1"/>
  <c r="I13635" i="1"/>
  <c r="J13635" i="1"/>
  <c r="K13635" i="1"/>
  <c r="L13635" i="1"/>
  <c r="A13636" i="1"/>
  <c r="B13636" i="1"/>
  <c r="C13636" i="1"/>
  <c r="D13636" i="1"/>
  <c r="E13636" i="1"/>
  <c r="F13636" i="1"/>
  <c r="G13636" i="1"/>
  <c r="H13636" i="1"/>
  <c r="I13636" i="1"/>
  <c r="J13636" i="1"/>
  <c r="K13636" i="1"/>
  <c r="L13636" i="1"/>
  <c r="A13637" i="1"/>
  <c r="B13637" i="1"/>
  <c r="C13637" i="1"/>
  <c r="D13637" i="1"/>
  <c r="E13637" i="1"/>
  <c r="F13637" i="1"/>
  <c r="G13637" i="1"/>
  <c r="H13637" i="1"/>
  <c r="I13637" i="1"/>
  <c r="J13637" i="1"/>
  <c r="K13637" i="1"/>
  <c r="L13637" i="1"/>
  <c r="A13638" i="1"/>
  <c r="B13638" i="1"/>
  <c r="C13638" i="1"/>
  <c r="D13638" i="1"/>
  <c r="E13638" i="1"/>
  <c r="F13638" i="1"/>
  <c r="G13638" i="1"/>
  <c r="H13638" i="1"/>
  <c r="I13638" i="1"/>
  <c r="J13638" i="1"/>
  <c r="K13638" i="1"/>
  <c r="L13638" i="1"/>
  <c r="A13639" i="1"/>
  <c r="B13639" i="1"/>
  <c r="C13639" i="1"/>
  <c r="D13639" i="1"/>
  <c r="E13639" i="1"/>
  <c r="F13639" i="1"/>
  <c r="G13639" i="1"/>
  <c r="H13639" i="1"/>
  <c r="I13639" i="1"/>
  <c r="J13639" i="1"/>
  <c r="K13639" i="1"/>
  <c r="L13639" i="1"/>
  <c r="A13640" i="1"/>
  <c r="B13640" i="1"/>
  <c r="C13640" i="1"/>
  <c r="D13640" i="1"/>
  <c r="E13640" i="1"/>
  <c r="F13640" i="1"/>
  <c r="G13640" i="1"/>
  <c r="H13640" i="1"/>
  <c r="I13640" i="1"/>
  <c r="J13640" i="1"/>
  <c r="K13640" i="1"/>
  <c r="L13640" i="1"/>
  <c r="A13641" i="1"/>
  <c r="B13641" i="1"/>
  <c r="C13641" i="1"/>
  <c r="D13641" i="1"/>
  <c r="E13641" i="1"/>
  <c r="F13641" i="1"/>
  <c r="G13641" i="1"/>
  <c r="H13641" i="1"/>
  <c r="I13641" i="1"/>
  <c r="J13641" i="1"/>
  <c r="K13641" i="1"/>
  <c r="L13641" i="1"/>
  <c r="A13642" i="1"/>
  <c r="B13642" i="1"/>
  <c r="C13642" i="1"/>
  <c r="D13642" i="1"/>
  <c r="E13642" i="1"/>
  <c r="F13642" i="1"/>
  <c r="G13642" i="1"/>
  <c r="H13642" i="1"/>
  <c r="I13642" i="1"/>
  <c r="J13642" i="1"/>
  <c r="K13642" i="1"/>
  <c r="L13642" i="1"/>
  <c r="A13643" i="1"/>
  <c r="B13643" i="1"/>
  <c r="C13643" i="1"/>
  <c r="D13643" i="1"/>
  <c r="E13643" i="1"/>
  <c r="F13643" i="1"/>
  <c r="G13643" i="1"/>
  <c r="H13643" i="1"/>
  <c r="I13643" i="1"/>
  <c r="J13643" i="1"/>
  <c r="K13643" i="1"/>
  <c r="L13643" i="1"/>
  <c r="A13644" i="1"/>
  <c r="B13644" i="1"/>
  <c r="C13644" i="1"/>
  <c r="D13644" i="1"/>
  <c r="E13644" i="1"/>
  <c r="F13644" i="1"/>
  <c r="G13644" i="1"/>
  <c r="H13644" i="1"/>
  <c r="I13644" i="1"/>
  <c r="J13644" i="1"/>
  <c r="K13644" i="1"/>
  <c r="L13644" i="1"/>
  <c r="A13645" i="1"/>
  <c r="B13645" i="1"/>
  <c r="C13645" i="1"/>
  <c r="D13645" i="1"/>
  <c r="E13645" i="1"/>
  <c r="F13645" i="1"/>
  <c r="G13645" i="1"/>
  <c r="H13645" i="1"/>
  <c r="I13645" i="1"/>
  <c r="J13645" i="1"/>
  <c r="K13645" i="1"/>
  <c r="L13645" i="1"/>
  <c r="A13646" i="1"/>
  <c r="B13646" i="1"/>
  <c r="C13646" i="1"/>
  <c r="D13646" i="1"/>
  <c r="E13646" i="1"/>
  <c r="F13646" i="1"/>
  <c r="G13646" i="1"/>
  <c r="H13646" i="1"/>
  <c r="I13646" i="1"/>
  <c r="J13646" i="1"/>
  <c r="K13646" i="1"/>
  <c r="L13646" i="1"/>
  <c r="A13647" i="1"/>
  <c r="B13647" i="1"/>
  <c r="C13647" i="1"/>
  <c r="D13647" i="1"/>
  <c r="E13647" i="1"/>
  <c r="F13647" i="1"/>
  <c r="G13647" i="1"/>
  <c r="H13647" i="1"/>
  <c r="I13647" i="1"/>
  <c r="J13647" i="1"/>
  <c r="K13647" i="1"/>
  <c r="L13647" i="1"/>
  <c r="A13648" i="1"/>
  <c r="B13648" i="1"/>
  <c r="C13648" i="1"/>
  <c r="D13648" i="1"/>
  <c r="E13648" i="1"/>
  <c r="F13648" i="1"/>
  <c r="G13648" i="1"/>
  <c r="H13648" i="1"/>
  <c r="I13648" i="1"/>
  <c r="J13648" i="1"/>
  <c r="K13648" i="1"/>
  <c r="L13648" i="1"/>
  <c r="A13649" i="1"/>
  <c r="B13649" i="1"/>
  <c r="C13649" i="1"/>
  <c r="D13649" i="1"/>
  <c r="E13649" i="1"/>
  <c r="F13649" i="1"/>
  <c r="G13649" i="1"/>
  <c r="H13649" i="1"/>
  <c r="I13649" i="1"/>
  <c r="J13649" i="1"/>
  <c r="K13649" i="1"/>
  <c r="L13649" i="1"/>
  <c r="A13650" i="1"/>
  <c r="B13650" i="1"/>
  <c r="C13650" i="1"/>
  <c r="D13650" i="1"/>
  <c r="E13650" i="1"/>
  <c r="F13650" i="1"/>
  <c r="G13650" i="1"/>
  <c r="H13650" i="1"/>
  <c r="I13650" i="1"/>
  <c r="J13650" i="1"/>
  <c r="K13650" i="1"/>
  <c r="L13650" i="1"/>
  <c r="A13651" i="1"/>
  <c r="B13651" i="1"/>
  <c r="C13651" i="1"/>
  <c r="D13651" i="1"/>
  <c r="E13651" i="1"/>
  <c r="F13651" i="1"/>
  <c r="G13651" i="1"/>
  <c r="H13651" i="1"/>
  <c r="I13651" i="1"/>
  <c r="J13651" i="1"/>
  <c r="K13651" i="1"/>
  <c r="L13651" i="1"/>
  <c r="A13652" i="1"/>
  <c r="B13652" i="1"/>
  <c r="C13652" i="1"/>
  <c r="D13652" i="1"/>
  <c r="E13652" i="1"/>
  <c r="F13652" i="1"/>
  <c r="G13652" i="1"/>
  <c r="H13652" i="1"/>
  <c r="I13652" i="1"/>
  <c r="J13652" i="1"/>
  <c r="K13652" i="1"/>
  <c r="L13652" i="1"/>
  <c r="A13653" i="1"/>
  <c r="B13653" i="1"/>
  <c r="C13653" i="1"/>
  <c r="D13653" i="1"/>
  <c r="E13653" i="1"/>
  <c r="F13653" i="1"/>
  <c r="G13653" i="1"/>
  <c r="H13653" i="1"/>
  <c r="I13653" i="1"/>
  <c r="J13653" i="1"/>
  <c r="K13653" i="1"/>
  <c r="L13653" i="1"/>
  <c r="A13654" i="1"/>
  <c r="B13654" i="1"/>
  <c r="C13654" i="1"/>
  <c r="D13654" i="1"/>
  <c r="E13654" i="1"/>
  <c r="F13654" i="1"/>
  <c r="G13654" i="1"/>
  <c r="H13654" i="1"/>
  <c r="I13654" i="1"/>
  <c r="J13654" i="1"/>
  <c r="K13654" i="1"/>
  <c r="L13654" i="1"/>
  <c r="A13655" i="1"/>
  <c r="B13655" i="1"/>
  <c r="C13655" i="1"/>
  <c r="D13655" i="1"/>
  <c r="E13655" i="1"/>
  <c r="F13655" i="1"/>
  <c r="G13655" i="1"/>
  <c r="H13655" i="1"/>
  <c r="I13655" i="1"/>
  <c r="J13655" i="1"/>
  <c r="K13655" i="1"/>
  <c r="L13655" i="1"/>
  <c r="A13656" i="1"/>
  <c r="B13656" i="1"/>
  <c r="C13656" i="1"/>
  <c r="D13656" i="1"/>
  <c r="E13656" i="1"/>
  <c r="F13656" i="1"/>
  <c r="G13656" i="1"/>
  <c r="H13656" i="1"/>
  <c r="I13656" i="1"/>
  <c r="J13656" i="1"/>
  <c r="K13656" i="1"/>
  <c r="L13656" i="1"/>
  <c r="A13657" i="1"/>
  <c r="B13657" i="1"/>
  <c r="C13657" i="1"/>
  <c r="D13657" i="1"/>
  <c r="E13657" i="1"/>
  <c r="F13657" i="1"/>
  <c r="G13657" i="1"/>
  <c r="H13657" i="1"/>
  <c r="I13657" i="1"/>
  <c r="J13657" i="1"/>
  <c r="K13657" i="1"/>
  <c r="L13657" i="1"/>
  <c r="A13658" i="1"/>
  <c r="B13658" i="1"/>
  <c r="C13658" i="1"/>
  <c r="D13658" i="1"/>
  <c r="E13658" i="1"/>
  <c r="F13658" i="1"/>
  <c r="G13658" i="1"/>
  <c r="H13658" i="1"/>
  <c r="I13658" i="1"/>
  <c r="J13658" i="1"/>
  <c r="K13658" i="1"/>
  <c r="L13658" i="1"/>
  <c r="A13659" i="1"/>
  <c r="B13659" i="1"/>
  <c r="C13659" i="1"/>
  <c r="D13659" i="1"/>
  <c r="E13659" i="1"/>
  <c r="F13659" i="1"/>
  <c r="G13659" i="1"/>
  <c r="H13659" i="1"/>
  <c r="I13659" i="1"/>
  <c r="J13659" i="1"/>
  <c r="K13659" i="1"/>
  <c r="L13659" i="1"/>
  <c r="A13660" i="1"/>
  <c r="B13660" i="1"/>
  <c r="C13660" i="1"/>
  <c r="D13660" i="1"/>
  <c r="E13660" i="1"/>
  <c r="F13660" i="1"/>
  <c r="G13660" i="1"/>
  <c r="H13660" i="1"/>
  <c r="I13660" i="1"/>
  <c r="J13660" i="1"/>
  <c r="K13660" i="1"/>
  <c r="L13660" i="1"/>
  <c r="A13661" i="1"/>
  <c r="B13661" i="1"/>
  <c r="C13661" i="1"/>
  <c r="D13661" i="1"/>
  <c r="E13661" i="1"/>
  <c r="F13661" i="1"/>
  <c r="G13661" i="1"/>
  <c r="H13661" i="1"/>
  <c r="I13661" i="1"/>
  <c r="J13661" i="1"/>
  <c r="K13661" i="1"/>
  <c r="L13661" i="1"/>
  <c r="A13662" i="1"/>
  <c r="B13662" i="1"/>
  <c r="C13662" i="1"/>
  <c r="D13662" i="1"/>
  <c r="E13662" i="1"/>
  <c r="F13662" i="1"/>
  <c r="G13662" i="1"/>
  <c r="H13662" i="1"/>
  <c r="I13662" i="1"/>
  <c r="J13662" i="1"/>
  <c r="K13662" i="1"/>
  <c r="L13662" i="1"/>
  <c r="A13663" i="1"/>
  <c r="B13663" i="1"/>
  <c r="C13663" i="1"/>
  <c r="D13663" i="1"/>
  <c r="E13663" i="1"/>
  <c r="F13663" i="1"/>
  <c r="G13663" i="1"/>
  <c r="H13663" i="1"/>
  <c r="I13663" i="1"/>
  <c r="J13663" i="1"/>
  <c r="K13663" i="1"/>
  <c r="L13663" i="1"/>
  <c r="A13664" i="1"/>
  <c r="B13664" i="1"/>
  <c r="C13664" i="1"/>
  <c r="D13664" i="1"/>
  <c r="E13664" i="1"/>
  <c r="F13664" i="1"/>
  <c r="G13664" i="1"/>
  <c r="H13664" i="1"/>
  <c r="I13664" i="1"/>
  <c r="J13664" i="1"/>
  <c r="K13664" i="1"/>
  <c r="L13664" i="1"/>
  <c r="A13665" i="1"/>
  <c r="B13665" i="1"/>
  <c r="C13665" i="1"/>
  <c r="D13665" i="1"/>
  <c r="E13665" i="1"/>
  <c r="F13665" i="1"/>
  <c r="G13665" i="1"/>
  <c r="H13665" i="1"/>
  <c r="I13665" i="1"/>
  <c r="J13665" i="1"/>
  <c r="K13665" i="1"/>
  <c r="L13665" i="1"/>
  <c r="A13666" i="1"/>
  <c r="B13666" i="1"/>
  <c r="C13666" i="1"/>
  <c r="D13666" i="1"/>
  <c r="E13666" i="1"/>
  <c r="F13666" i="1"/>
  <c r="G13666" i="1"/>
  <c r="H13666" i="1"/>
  <c r="I13666" i="1"/>
  <c r="J13666" i="1"/>
  <c r="K13666" i="1"/>
  <c r="L13666" i="1"/>
  <c r="A13667" i="1"/>
  <c r="B13667" i="1"/>
  <c r="C13667" i="1"/>
  <c r="D13667" i="1"/>
  <c r="E13667" i="1"/>
  <c r="F13667" i="1"/>
  <c r="G13667" i="1"/>
  <c r="H13667" i="1"/>
  <c r="I13667" i="1"/>
  <c r="J13667" i="1"/>
  <c r="K13667" i="1"/>
  <c r="L13667" i="1"/>
  <c r="A13668" i="1"/>
  <c r="B13668" i="1"/>
  <c r="C13668" i="1"/>
  <c r="D13668" i="1"/>
  <c r="E13668" i="1"/>
  <c r="F13668" i="1"/>
  <c r="G13668" i="1"/>
  <c r="H13668" i="1"/>
  <c r="I13668" i="1"/>
  <c r="J13668" i="1"/>
  <c r="K13668" i="1"/>
  <c r="L13668" i="1"/>
  <c r="A13669" i="1"/>
  <c r="B13669" i="1"/>
  <c r="C13669" i="1"/>
  <c r="D13669" i="1"/>
  <c r="E13669" i="1"/>
  <c r="F13669" i="1"/>
  <c r="G13669" i="1"/>
  <c r="H13669" i="1"/>
  <c r="I13669" i="1"/>
  <c r="J13669" i="1"/>
  <c r="K13669" i="1"/>
  <c r="L13669" i="1"/>
  <c r="A13670" i="1"/>
  <c r="B13670" i="1"/>
  <c r="C13670" i="1"/>
  <c r="D13670" i="1"/>
  <c r="E13670" i="1"/>
  <c r="F13670" i="1"/>
  <c r="G13670" i="1"/>
  <c r="H13670" i="1"/>
  <c r="I13670" i="1"/>
  <c r="J13670" i="1"/>
  <c r="K13670" i="1"/>
  <c r="L13670" i="1"/>
  <c r="A13671" i="1"/>
  <c r="B13671" i="1"/>
  <c r="C13671" i="1"/>
  <c r="D13671" i="1"/>
  <c r="E13671" i="1"/>
  <c r="F13671" i="1"/>
  <c r="G13671" i="1"/>
  <c r="H13671" i="1"/>
  <c r="I13671" i="1"/>
  <c r="J13671" i="1"/>
  <c r="K13671" i="1"/>
  <c r="L13671" i="1"/>
  <c r="A13672" i="1"/>
  <c r="B13672" i="1"/>
  <c r="C13672" i="1"/>
  <c r="D13672" i="1"/>
  <c r="E13672" i="1"/>
  <c r="F13672" i="1"/>
  <c r="G13672" i="1"/>
  <c r="H13672" i="1"/>
  <c r="I13672" i="1"/>
  <c r="J13672" i="1"/>
  <c r="K13672" i="1"/>
  <c r="L13672" i="1"/>
  <c r="A13673" i="1"/>
  <c r="B13673" i="1"/>
  <c r="C13673" i="1"/>
  <c r="D13673" i="1"/>
  <c r="E13673" i="1"/>
  <c r="F13673" i="1"/>
  <c r="G13673" i="1"/>
  <c r="H13673" i="1"/>
  <c r="I13673" i="1"/>
  <c r="J13673" i="1"/>
  <c r="K13673" i="1"/>
  <c r="L13673" i="1"/>
  <c r="A13674" i="1"/>
  <c r="B13674" i="1"/>
  <c r="C13674" i="1"/>
  <c r="D13674" i="1"/>
  <c r="E13674" i="1"/>
  <c r="F13674" i="1"/>
  <c r="G13674" i="1"/>
  <c r="H13674" i="1"/>
  <c r="I13674" i="1"/>
  <c r="J13674" i="1"/>
  <c r="K13674" i="1"/>
  <c r="L13674" i="1"/>
  <c r="A13675" i="1"/>
  <c r="B13675" i="1"/>
  <c r="C13675" i="1"/>
  <c r="D13675" i="1"/>
  <c r="E13675" i="1"/>
  <c r="F13675" i="1"/>
  <c r="G13675" i="1"/>
  <c r="H13675" i="1"/>
  <c r="I13675" i="1"/>
  <c r="J13675" i="1"/>
  <c r="K13675" i="1"/>
  <c r="L13675" i="1"/>
  <c r="A13676" i="1"/>
  <c r="B13676" i="1"/>
  <c r="C13676" i="1"/>
  <c r="D13676" i="1"/>
  <c r="E13676" i="1"/>
  <c r="F13676" i="1"/>
  <c r="G13676" i="1"/>
  <c r="H13676" i="1"/>
  <c r="I13676" i="1"/>
  <c r="J13676" i="1"/>
  <c r="K13676" i="1"/>
  <c r="L13676" i="1"/>
  <c r="A13677" i="1"/>
  <c r="B13677" i="1"/>
  <c r="C13677" i="1"/>
  <c r="D13677" i="1"/>
  <c r="E13677" i="1"/>
  <c r="F13677" i="1"/>
  <c r="G13677" i="1"/>
  <c r="H13677" i="1"/>
  <c r="I13677" i="1"/>
  <c r="J13677" i="1"/>
  <c r="K13677" i="1"/>
  <c r="L13677" i="1"/>
  <c r="A13678" i="1"/>
  <c r="B13678" i="1"/>
  <c r="C13678" i="1"/>
  <c r="D13678" i="1"/>
  <c r="E13678" i="1"/>
  <c r="F13678" i="1"/>
  <c r="G13678" i="1"/>
  <c r="H13678" i="1"/>
  <c r="I13678" i="1"/>
  <c r="J13678" i="1"/>
  <c r="K13678" i="1"/>
  <c r="L13678" i="1"/>
  <c r="A13679" i="1"/>
  <c r="B13679" i="1"/>
  <c r="C13679" i="1"/>
  <c r="D13679" i="1"/>
  <c r="E13679" i="1"/>
  <c r="F13679" i="1"/>
  <c r="G13679" i="1"/>
  <c r="H13679" i="1"/>
  <c r="I13679" i="1"/>
  <c r="J13679" i="1"/>
  <c r="K13679" i="1"/>
  <c r="L13679" i="1"/>
  <c r="A13680" i="1"/>
  <c r="B13680" i="1"/>
  <c r="C13680" i="1"/>
  <c r="D13680" i="1"/>
  <c r="E13680" i="1"/>
  <c r="F13680" i="1"/>
  <c r="G13680" i="1"/>
  <c r="H13680" i="1"/>
  <c r="I13680" i="1"/>
  <c r="J13680" i="1"/>
  <c r="K13680" i="1"/>
  <c r="L13680" i="1"/>
  <c r="A13681" i="1"/>
  <c r="B13681" i="1"/>
  <c r="C13681" i="1"/>
  <c r="D13681" i="1"/>
  <c r="E13681" i="1"/>
  <c r="F13681" i="1"/>
  <c r="G13681" i="1"/>
  <c r="H13681" i="1"/>
  <c r="I13681" i="1"/>
  <c r="J13681" i="1"/>
  <c r="K13681" i="1"/>
  <c r="L13681" i="1"/>
  <c r="A13682" i="1"/>
  <c r="B13682" i="1"/>
  <c r="C13682" i="1"/>
  <c r="D13682" i="1"/>
  <c r="E13682" i="1"/>
  <c r="F13682" i="1"/>
  <c r="G13682" i="1"/>
  <c r="H13682" i="1"/>
  <c r="I13682" i="1"/>
  <c r="J13682" i="1"/>
  <c r="K13682" i="1"/>
  <c r="L13682" i="1"/>
  <c r="A13683" i="1"/>
  <c r="B13683" i="1"/>
  <c r="C13683" i="1"/>
  <c r="D13683" i="1"/>
  <c r="E13683" i="1"/>
  <c r="F13683" i="1"/>
  <c r="G13683" i="1"/>
  <c r="H13683" i="1"/>
  <c r="I13683" i="1"/>
  <c r="J13683" i="1"/>
  <c r="K13683" i="1"/>
  <c r="L13683" i="1"/>
  <c r="A13684" i="1"/>
  <c r="B13684" i="1"/>
  <c r="C13684" i="1"/>
  <c r="D13684" i="1"/>
  <c r="E13684" i="1"/>
  <c r="F13684" i="1"/>
  <c r="G13684" i="1"/>
  <c r="H13684" i="1"/>
  <c r="I13684" i="1"/>
  <c r="J13684" i="1"/>
  <c r="K13684" i="1"/>
  <c r="L13684" i="1"/>
  <c r="A13685" i="1"/>
  <c r="B13685" i="1"/>
  <c r="C13685" i="1"/>
  <c r="D13685" i="1"/>
  <c r="E13685" i="1"/>
  <c r="F13685" i="1"/>
  <c r="G13685" i="1"/>
  <c r="H13685" i="1"/>
  <c r="I13685" i="1"/>
  <c r="J13685" i="1"/>
  <c r="K13685" i="1"/>
  <c r="L13685" i="1"/>
  <c r="A13686" i="1"/>
  <c r="B13686" i="1"/>
  <c r="C13686" i="1"/>
  <c r="D13686" i="1"/>
  <c r="E13686" i="1"/>
  <c r="F13686" i="1"/>
  <c r="G13686" i="1"/>
  <c r="H13686" i="1"/>
  <c r="I13686" i="1"/>
  <c r="J13686" i="1"/>
  <c r="K13686" i="1"/>
  <c r="L13686" i="1"/>
  <c r="A13687" i="1"/>
  <c r="B13687" i="1"/>
  <c r="C13687" i="1"/>
  <c r="D13687" i="1"/>
  <c r="E13687" i="1"/>
  <c r="F13687" i="1"/>
  <c r="G13687" i="1"/>
  <c r="H13687" i="1"/>
  <c r="I13687" i="1"/>
  <c r="J13687" i="1"/>
  <c r="K13687" i="1"/>
  <c r="L13687" i="1"/>
  <c r="A13688" i="1"/>
  <c r="B13688" i="1"/>
  <c r="C13688" i="1"/>
  <c r="D13688" i="1"/>
  <c r="E13688" i="1"/>
  <c r="F13688" i="1"/>
  <c r="G13688" i="1"/>
  <c r="H13688" i="1"/>
  <c r="I13688" i="1"/>
  <c r="J13688" i="1"/>
  <c r="K13688" i="1"/>
  <c r="L13688" i="1"/>
  <c r="A13689" i="1"/>
  <c r="B13689" i="1"/>
  <c r="C13689" i="1"/>
  <c r="D13689" i="1"/>
  <c r="E13689" i="1"/>
  <c r="F13689" i="1"/>
  <c r="G13689" i="1"/>
  <c r="H13689" i="1"/>
  <c r="I13689" i="1"/>
  <c r="J13689" i="1"/>
  <c r="K13689" i="1"/>
  <c r="L13689" i="1"/>
  <c r="A13690" i="1"/>
  <c r="B13690" i="1"/>
  <c r="C13690" i="1"/>
  <c r="D13690" i="1"/>
  <c r="E13690" i="1"/>
  <c r="F13690" i="1"/>
  <c r="G13690" i="1"/>
  <c r="H13690" i="1"/>
  <c r="I13690" i="1"/>
  <c r="J13690" i="1"/>
  <c r="K13690" i="1"/>
  <c r="L13690" i="1"/>
  <c r="A13691" i="1"/>
  <c r="B13691" i="1"/>
  <c r="C13691" i="1"/>
  <c r="D13691" i="1"/>
  <c r="E13691" i="1"/>
  <c r="F13691" i="1"/>
  <c r="G13691" i="1"/>
  <c r="H13691" i="1"/>
  <c r="I13691" i="1"/>
  <c r="J13691" i="1"/>
  <c r="K13691" i="1"/>
  <c r="L13691" i="1"/>
  <c r="A13692" i="1"/>
  <c r="B13692" i="1"/>
  <c r="C13692" i="1"/>
  <c r="D13692" i="1"/>
  <c r="E13692" i="1"/>
  <c r="F13692" i="1"/>
  <c r="G13692" i="1"/>
  <c r="H13692" i="1"/>
  <c r="I13692" i="1"/>
  <c r="J13692" i="1"/>
  <c r="K13692" i="1"/>
  <c r="L13692" i="1"/>
  <c r="A13693" i="1"/>
  <c r="B13693" i="1"/>
  <c r="C13693" i="1"/>
  <c r="D13693" i="1"/>
  <c r="E13693" i="1"/>
  <c r="F13693" i="1"/>
  <c r="G13693" i="1"/>
  <c r="H13693" i="1"/>
  <c r="I13693" i="1"/>
  <c r="J13693" i="1"/>
  <c r="K13693" i="1"/>
  <c r="L13693" i="1"/>
  <c r="A13694" i="1"/>
  <c r="B13694" i="1"/>
  <c r="C13694" i="1"/>
  <c r="D13694" i="1"/>
  <c r="E13694" i="1"/>
  <c r="F13694" i="1"/>
  <c r="G13694" i="1"/>
  <c r="H13694" i="1"/>
  <c r="I13694" i="1"/>
  <c r="J13694" i="1"/>
  <c r="K13694" i="1"/>
  <c r="L13694" i="1"/>
  <c r="A13695" i="1"/>
  <c r="B13695" i="1"/>
  <c r="C13695" i="1"/>
  <c r="D13695" i="1"/>
  <c r="E13695" i="1"/>
  <c r="F13695" i="1"/>
  <c r="G13695" i="1"/>
  <c r="H13695" i="1"/>
  <c r="I13695" i="1"/>
  <c r="J13695" i="1"/>
  <c r="K13695" i="1"/>
  <c r="L13695" i="1"/>
  <c r="A13696" i="1"/>
  <c r="B13696" i="1"/>
  <c r="C13696" i="1"/>
  <c r="D13696" i="1"/>
  <c r="E13696" i="1"/>
  <c r="F13696" i="1"/>
  <c r="G13696" i="1"/>
  <c r="H13696" i="1"/>
  <c r="I13696" i="1"/>
  <c r="J13696" i="1"/>
  <c r="K13696" i="1"/>
  <c r="L13696" i="1"/>
  <c r="A13697" i="1"/>
  <c r="B13697" i="1"/>
  <c r="C13697" i="1"/>
  <c r="D13697" i="1"/>
  <c r="E13697" i="1"/>
  <c r="F13697" i="1"/>
  <c r="G13697" i="1"/>
  <c r="H13697" i="1"/>
  <c r="I13697" i="1"/>
  <c r="J13697" i="1"/>
  <c r="K13697" i="1"/>
  <c r="L13697" i="1"/>
  <c r="A13698" i="1"/>
  <c r="B13698" i="1"/>
  <c r="C13698" i="1"/>
  <c r="D13698" i="1"/>
  <c r="E13698" i="1"/>
  <c r="F13698" i="1"/>
  <c r="G13698" i="1"/>
  <c r="H13698" i="1"/>
  <c r="I13698" i="1"/>
  <c r="J13698" i="1"/>
  <c r="K13698" i="1"/>
  <c r="L13698" i="1"/>
  <c r="A13699" i="1"/>
  <c r="B13699" i="1"/>
  <c r="C13699" i="1"/>
  <c r="D13699" i="1"/>
  <c r="E13699" i="1"/>
  <c r="F13699" i="1"/>
  <c r="G13699" i="1"/>
  <c r="H13699" i="1"/>
  <c r="I13699" i="1"/>
  <c r="J13699" i="1"/>
  <c r="K13699" i="1"/>
  <c r="L13699" i="1"/>
  <c r="A13700" i="1"/>
  <c r="B13700" i="1"/>
  <c r="C13700" i="1"/>
  <c r="D13700" i="1"/>
  <c r="E13700" i="1"/>
  <c r="F13700" i="1"/>
  <c r="G13700" i="1"/>
  <c r="H13700" i="1"/>
  <c r="I13700" i="1"/>
  <c r="J13700" i="1"/>
  <c r="K13700" i="1"/>
  <c r="L13700" i="1"/>
  <c r="A13701" i="1"/>
  <c r="B13701" i="1"/>
  <c r="C13701" i="1"/>
  <c r="D13701" i="1"/>
  <c r="E13701" i="1"/>
  <c r="F13701" i="1"/>
  <c r="G13701" i="1"/>
  <c r="H13701" i="1"/>
  <c r="I13701" i="1"/>
  <c r="J13701" i="1"/>
  <c r="K13701" i="1"/>
  <c r="L13701" i="1"/>
  <c r="A13702" i="1"/>
  <c r="B13702" i="1"/>
  <c r="C13702" i="1"/>
  <c r="D13702" i="1"/>
  <c r="E13702" i="1"/>
  <c r="F13702" i="1"/>
  <c r="G13702" i="1"/>
  <c r="H13702" i="1"/>
  <c r="I13702" i="1"/>
  <c r="J13702" i="1"/>
  <c r="K13702" i="1"/>
  <c r="L13702" i="1"/>
  <c r="A13703" i="1"/>
  <c r="B13703" i="1"/>
  <c r="C13703" i="1"/>
  <c r="D13703" i="1"/>
  <c r="E13703" i="1"/>
  <c r="F13703" i="1"/>
  <c r="G13703" i="1"/>
  <c r="H13703" i="1"/>
  <c r="I13703" i="1"/>
  <c r="J13703" i="1"/>
  <c r="K13703" i="1"/>
  <c r="L13703" i="1"/>
  <c r="A13704" i="1"/>
  <c r="B13704" i="1"/>
  <c r="C13704" i="1"/>
  <c r="D13704" i="1"/>
  <c r="E13704" i="1"/>
  <c r="F13704" i="1"/>
  <c r="G13704" i="1"/>
  <c r="H13704" i="1"/>
  <c r="I13704" i="1"/>
  <c r="J13704" i="1"/>
  <c r="K13704" i="1"/>
  <c r="L13704" i="1"/>
  <c r="A13705" i="1"/>
  <c r="B13705" i="1"/>
  <c r="C13705" i="1"/>
  <c r="D13705" i="1"/>
  <c r="E13705" i="1"/>
  <c r="F13705" i="1"/>
  <c r="G13705" i="1"/>
  <c r="H13705" i="1"/>
  <c r="I13705" i="1"/>
  <c r="J13705" i="1"/>
  <c r="K13705" i="1"/>
  <c r="L13705" i="1"/>
  <c r="A13706" i="1"/>
  <c r="B13706" i="1"/>
  <c r="C13706" i="1"/>
  <c r="D13706" i="1"/>
  <c r="E13706" i="1"/>
  <c r="F13706" i="1"/>
  <c r="G13706" i="1"/>
  <c r="H13706" i="1"/>
  <c r="I13706" i="1"/>
  <c r="J13706" i="1"/>
  <c r="K13706" i="1"/>
  <c r="L13706" i="1"/>
  <c r="A13707" i="1"/>
  <c r="B13707" i="1"/>
  <c r="C13707" i="1"/>
  <c r="D13707" i="1"/>
  <c r="E13707" i="1"/>
  <c r="F13707" i="1"/>
  <c r="G13707" i="1"/>
  <c r="H13707" i="1"/>
  <c r="I13707" i="1"/>
  <c r="J13707" i="1"/>
  <c r="K13707" i="1"/>
  <c r="L13707" i="1"/>
  <c r="A13708" i="1"/>
  <c r="B13708" i="1"/>
  <c r="C13708" i="1"/>
  <c r="D13708" i="1"/>
  <c r="E13708" i="1"/>
  <c r="F13708" i="1"/>
  <c r="G13708" i="1"/>
  <c r="H13708" i="1"/>
  <c r="I13708" i="1"/>
  <c r="J13708" i="1"/>
  <c r="K13708" i="1"/>
  <c r="L13708" i="1"/>
  <c r="A13709" i="1"/>
  <c r="B13709" i="1"/>
  <c r="C13709" i="1"/>
  <c r="D13709" i="1"/>
  <c r="E13709" i="1"/>
  <c r="F13709" i="1"/>
  <c r="G13709" i="1"/>
  <c r="H13709" i="1"/>
  <c r="I13709" i="1"/>
  <c r="J13709" i="1"/>
  <c r="K13709" i="1"/>
  <c r="L13709" i="1"/>
  <c r="A13710" i="1"/>
  <c r="B13710" i="1"/>
  <c r="C13710" i="1"/>
  <c r="D13710" i="1"/>
  <c r="E13710" i="1"/>
  <c r="F13710" i="1"/>
  <c r="G13710" i="1"/>
  <c r="H13710" i="1"/>
  <c r="I13710" i="1"/>
  <c r="J13710" i="1"/>
  <c r="K13710" i="1"/>
  <c r="L13710" i="1"/>
  <c r="A13711" i="1"/>
  <c r="B13711" i="1"/>
  <c r="C13711" i="1"/>
  <c r="D13711" i="1"/>
  <c r="E13711" i="1"/>
  <c r="F13711" i="1"/>
  <c r="G13711" i="1"/>
  <c r="H13711" i="1"/>
  <c r="I13711" i="1"/>
  <c r="J13711" i="1"/>
  <c r="K13711" i="1"/>
  <c r="L13711" i="1"/>
  <c r="A13712" i="1"/>
  <c r="B13712" i="1"/>
  <c r="C13712" i="1"/>
  <c r="D13712" i="1"/>
  <c r="E13712" i="1"/>
  <c r="F13712" i="1"/>
  <c r="G13712" i="1"/>
  <c r="H13712" i="1"/>
  <c r="I13712" i="1"/>
  <c r="J13712" i="1"/>
  <c r="K13712" i="1"/>
  <c r="L13712" i="1"/>
  <c r="A13713" i="1"/>
  <c r="B13713" i="1"/>
  <c r="C13713" i="1"/>
  <c r="D13713" i="1"/>
  <c r="E13713" i="1"/>
  <c r="F13713" i="1"/>
  <c r="G13713" i="1"/>
  <c r="H13713" i="1"/>
  <c r="I13713" i="1"/>
  <c r="J13713" i="1"/>
  <c r="K13713" i="1"/>
  <c r="L13713" i="1"/>
  <c r="A13714" i="1"/>
  <c r="B13714" i="1"/>
  <c r="C13714" i="1"/>
  <c r="D13714" i="1"/>
  <c r="E13714" i="1"/>
  <c r="F13714" i="1"/>
  <c r="G13714" i="1"/>
  <c r="H13714" i="1"/>
  <c r="I13714" i="1"/>
  <c r="J13714" i="1"/>
  <c r="K13714" i="1"/>
  <c r="L13714" i="1"/>
  <c r="A13715" i="1"/>
  <c r="B13715" i="1"/>
  <c r="C13715" i="1"/>
  <c r="D13715" i="1"/>
  <c r="E13715" i="1"/>
  <c r="F13715" i="1"/>
  <c r="G13715" i="1"/>
  <c r="H13715" i="1"/>
  <c r="I13715" i="1"/>
  <c r="J13715" i="1"/>
  <c r="K13715" i="1"/>
  <c r="L13715" i="1"/>
  <c r="A13716" i="1"/>
  <c r="B13716" i="1"/>
  <c r="C13716" i="1"/>
  <c r="D13716" i="1"/>
  <c r="E13716" i="1"/>
  <c r="F13716" i="1"/>
  <c r="G13716" i="1"/>
  <c r="H13716" i="1"/>
  <c r="I13716" i="1"/>
  <c r="J13716" i="1"/>
  <c r="K13716" i="1"/>
  <c r="L13716" i="1"/>
  <c r="A13717" i="1"/>
  <c r="B13717" i="1"/>
  <c r="C13717" i="1"/>
  <c r="D13717" i="1"/>
  <c r="E13717" i="1"/>
  <c r="F13717" i="1"/>
  <c r="G13717" i="1"/>
  <c r="H13717" i="1"/>
  <c r="I13717" i="1"/>
  <c r="J13717" i="1"/>
  <c r="K13717" i="1"/>
  <c r="L13717" i="1"/>
  <c r="A13718" i="1"/>
  <c r="B13718" i="1"/>
  <c r="C13718" i="1"/>
  <c r="D13718" i="1"/>
  <c r="E13718" i="1"/>
  <c r="F13718" i="1"/>
  <c r="G13718" i="1"/>
  <c r="H13718" i="1"/>
  <c r="I13718" i="1"/>
  <c r="J13718" i="1"/>
  <c r="K13718" i="1"/>
  <c r="L13718" i="1"/>
  <c r="A13719" i="1"/>
  <c r="B13719" i="1"/>
  <c r="C13719" i="1"/>
  <c r="D13719" i="1"/>
  <c r="E13719" i="1"/>
  <c r="F13719" i="1"/>
  <c r="G13719" i="1"/>
  <c r="H13719" i="1"/>
  <c r="I13719" i="1"/>
  <c r="J13719" i="1"/>
  <c r="K13719" i="1"/>
  <c r="L13719" i="1"/>
  <c r="A13720" i="1"/>
  <c r="B13720" i="1"/>
  <c r="C13720" i="1"/>
  <c r="D13720" i="1"/>
  <c r="E13720" i="1"/>
  <c r="F13720" i="1"/>
  <c r="G13720" i="1"/>
  <c r="H13720" i="1"/>
  <c r="I13720" i="1"/>
  <c r="J13720" i="1"/>
  <c r="K13720" i="1"/>
  <c r="L13720" i="1"/>
  <c r="A13721" i="1"/>
  <c r="B13721" i="1"/>
  <c r="C13721" i="1"/>
  <c r="D13721" i="1"/>
  <c r="E13721" i="1"/>
  <c r="F13721" i="1"/>
  <c r="G13721" i="1"/>
  <c r="H13721" i="1"/>
  <c r="I13721" i="1"/>
  <c r="J13721" i="1"/>
  <c r="K13721" i="1"/>
  <c r="L13721" i="1"/>
  <c r="A13722" i="1"/>
  <c r="B13722" i="1"/>
  <c r="C13722" i="1"/>
  <c r="D13722" i="1"/>
  <c r="E13722" i="1"/>
  <c r="F13722" i="1"/>
  <c r="G13722" i="1"/>
  <c r="H13722" i="1"/>
  <c r="I13722" i="1"/>
  <c r="J13722" i="1"/>
  <c r="K13722" i="1"/>
  <c r="L13722" i="1"/>
  <c r="A13723" i="1"/>
  <c r="B13723" i="1"/>
  <c r="C13723" i="1"/>
  <c r="D13723" i="1"/>
  <c r="E13723" i="1"/>
  <c r="F13723" i="1"/>
  <c r="G13723" i="1"/>
  <c r="H13723" i="1"/>
  <c r="I13723" i="1"/>
  <c r="J13723" i="1"/>
  <c r="K13723" i="1"/>
  <c r="L13723" i="1"/>
  <c r="A13724" i="1"/>
  <c r="B13724" i="1"/>
  <c r="C13724" i="1"/>
  <c r="D13724" i="1"/>
  <c r="E13724" i="1"/>
  <c r="F13724" i="1"/>
  <c r="G13724" i="1"/>
  <c r="H13724" i="1"/>
  <c r="I13724" i="1"/>
  <c r="J13724" i="1"/>
  <c r="K13724" i="1"/>
  <c r="L13724" i="1"/>
  <c r="A13725" i="1"/>
  <c r="B13725" i="1"/>
  <c r="C13725" i="1"/>
  <c r="D13725" i="1"/>
  <c r="E13725" i="1"/>
  <c r="F13725" i="1"/>
  <c r="G13725" i="1"/>
  <c r="H13725" i="1"/>
  <c r="I13725" i="1"/>
  <c r="J13725" i="1"/>
  <c r="K13725" i="1"/>
  <c r="L13725" i="1"/>
  <c r="A13726" i="1"/>
  <c r="B13726" i="1"/>
  <c r="C13726" i="1"/>
  <c r="D13726" i="1"/>
  <c r="E13726" i="1"/>
  <c r="F13726" i="1"/>
  <c r="G13726" i="1"/>
  <c r="H13726" i="1"/>
  <c r="I13726" i="1"/>
  <c r="J13726" i="1"/>
  <c r="K13726" i="1"/>
  <c r="L13726" i="1"/>
  <c r="A13727" i="1"/>
  <c r="B13727" i="1"/>
  <c r="C13727" i="1"/>
  <c r="D13727" i="1"/>
  <c r="E13727" i="1"/>
  <c r="F13727" i="1"/>
  <c r="G13727" i="1"/>
  <c r="H13727" i="1"/>
  <c r="I13727" i="1"/>
  <c r="J13727" i="1"/>
  <c r="K13727" i="1"/>
  <c r="L13727" i="1"/>
  <c r="A13728" i="1"/>
  <c r="B13728" i="1"/>
  <c r="C13728" i="1"/>
  <c r="D13728" i="1"/>
  <c r="E13728" i="1"/>
  <c r="F13728" i="1"/>
  <c r="G13728" i="1"/>
  <c r="H13728" i="1"/>
  <c r="I13728" i="1"/>
  <c r="J13728" i="1"/>
  <c r="K13728" i="1"/>
  <c r="L13728" i="1"/>
  <c r="A13729" i="1"/>
  <c r="B13729" i="1"/>
  <c r="C13729" i="1"/>
  <c r="D13729" i="1"/>
  <c r="E13729" i="1"/>
  <c r="F13729" i="1"/>
  <c r="G13729" i="1"/>
  <c r="H13729" i="1"/>
  <c r="I13729" i="1"/>
  <c r="J13729" i="1"/>
  <c r="K13729" i="1"/>
  <c r="L13729" i="1"/>
  <c r="A13730" i="1"/>
  <c r="B13730" i="1"/>
  <c r="C13730" i="1"/>
  <c r="D13730" i="1"/>
  <c r="E13730" i="1"/>
  <c r="F13730" i="1"/>
  <c r="G13730" i="1"/>
  <c r="H13730" i="1"/>
  <c r="I13730" i="1"/>
  <c r="J13730" i="1"/>
  <c r="K13730" i="1"/>
  <c r="L13730" i="1"/>
  <c r="A13731" i="1"/>
  <c r="B13731" i="1"/>
  <c r="C13731" i="1"/>
  <c r="D13731" i="1"/>
  <c r="E13731" i="1"/>
  <c r="F13731" i="1"/>
  <c r="G13731" i="1"/>
  <c r="H13731" i="1"/>
  <c r="I13731" i="1"/>
  <c r="J13731" i="1"/>
  <c r="K13731" i="1"/>
  <c r="L13731" i="1"/>
  <c r="A13732" i="1"/>
  <c r="B13732" i="1"/>
  <c r="C13732" i="1"/>
  <c r="D13732" i="1"/>
  <c r="E13732" i="1"/>
  <c r="F13732" i="1"/>
  <c r="G13732" i="1"/>
  <c r="H13732" i="1"/>
  <c r="I13732" i="1"/>
  <c r="J13732" i="1"/>
  <c r="K13732" i="1"/>
  <c r="L13732" i="1"/>
  <c r="A13733" i="1"/>
  <c r="B13733" i="1"/>
  <c r="C13733" i="1"/>
  <c r="D13733" i="1"/>
  <c r="E13733" i="1"/>
  <c r="F13733" i="1"/>
  <c r="G13733" i="1"/>
  <c r="H13733" i="1"/>
  <c r="I13733" i="1"/>
  <c r="J13733" i="1"/>
  <c r="K13733" i="1"/>
  <c r="L13733" i="1"/>
  <c r="A13734" i="1"/>
  <c r="B13734" i="1"/>
  <c r="C13734" i="1"/>
  <c r="D13734" i="1"/>
  <c r="E13734" i="1"/>
  <c r="F13734" i="1"/>
  <c r="G13734" i="1"/>
  <c r="H13734" i="1"/>
  <c r="I13734" i="1"/>
  <c r="J13734" i="1"/>
  <c r="K13734" i="1"/>
  <c r="L13734" i="1"/>
  <c r="A13735" i="1"/>
  <c r="B13735" i="1"/>
  <c r="C13735" i="1"/>
  <c r="D13735" i="1"/>
  <c r="E13735" i="1"/>
  <c r="F13735" i="1"/>
  <c r="G13735" i="1"/>
  <c r="H13735" i="1"/>
  <c r="I13735" i="1"/>
  <c r="J13735" i="1"/>
  <c r="K13735" i="1"/>
  <c r="L13735" i="1"/>
  <c r="A13736" i="1"/>
  <c r="B13736" i="1"/>
  <c r="C13736" i="1"/>
  <c r="D13736" i="1"/>
  <c r="E13736" i="1"/>
  <c r="F13736" i="1"/>
  <c r="G13736" i="1"/>
  <c r="H13736" i="1"/>
  <c r="I13736" i="1"/>
  <c r="J13736" i="1"/>
  <c r="K13736" i="1"/>
  <c r="L13736" i="1"/>
  <c r="A13737" i="1"/>
  <c r="B13737" i="1"/>
  <c r="C13737" i="1"/>
  <c r="D13737" i="1"/>
  <c r="E13737" i="1"/>
  <c r="F13737" i="1"/>
  <c r="G13737" i="1"/>
  <c r="H13737" i="1"/>
  <c r="I13737" i="1"/>
  <c r="J13737" i="1"/>
  <c r="K13737" i="1"/>
  <c r="L13737" i="1"/>
  <c r="A13738" i="1"/>
  <c r="B13738" i="1"/>
  <c r="C13738" i="1"/>
  <c r="D13738" i="1"/>
  <c r="E13738" i="1"/>
  <c r="F13738" i="1"/>
  <c r="G13738" i="1"/>
  <c r="H13738" i="1"/>
  <c r="I13738" i="1"/>
  <c r="J13738" i="1"/>
  <c r="K13738" i="1"/>
  <c r="L13738" i="1"/>
  <c r="A13739" i="1"/>
  <c r="B13739" i="1"/>
  <c r="C13739" i="1"/>
  <c r="D13739" i="1"/>
  <c r="E13739" i="1"/>
  <c r="F13739" i="1"/>
  <c r="G13739" i="1"/>
  <c r="H13739" i="1"/>
  <c r="I13739" i="1"/>
  <c r="J13739" i="1"/>
  <c r="K13739" i="1"/>
  <c r="L13739" i="1"/>
  <c r="A13740" i="1"/>
  <c r="B13740" i="1"/>
  <c r="C13740" i="1"/>
  <c r="D13740" i="1"/>
  <c r="E13740" i="1"/>
  <c r="F13740" i="1"/>
  <c r="G13740" i="1"/>
  <c r="H13740" i="1"/>
  <c r="I13740" i="1"/>
  <c r="J13740" i="1"/>
  <c r="K13740" i="1"/>
  <c r="L13740" i="1"/>
  <c r="A13741" i="1"/>
  <c r="B13741" i="1"/>
  <c r="C13741" i="1"/>
  <c r="D13741" i="1"/>
  <c r="E13741" i="1"/>
  <c r="F13741" i="1"/>
  <c r="G13741" i="1"/>
  <c r="H13741" i="1"/>
  <c r="I13741" i="1"/>
  <c r="J13741" i="1"/>
  <c r="K13741" i="1"/>
  <c r="L13741" i="1"/>
  <c r="A13742" i="1"/>
  <c r="B13742" i="1"/>
  <c r="C13742" i="1"/>
  <c r="D13742" i="1"/>
  <c r="E13742" i="1"/>
  <c r="F13742" i="1"/>
  <c r="G13742" i="1"/>
  <c r="H13742" i="1"/>
  <c r="I13742" i="1"/>
  <c r="J13742" i="1"/>
  <c r="K13742" i="1"/>
  <c r="L13742" i="1"/>
  <c r="A13743" i="1"/>
  <c r="B13743" i="1"/>
  <c r="C13743" i="1"/>
  <c r="D13743" i="1"/>
  <c r="E13743" i="1"/>
  <c r="F13743" i="1"/>
  <c r="G13743" i="1"/>
  <c r="H13743" i="1"/>
  <c r="I13743" i="1"/>
  <c r="J13743" i="1"/>
  <c r="K13743" i="1"/>
  <c r="L13743" i="1"/>
  <c r="A13744" i="1"/>
  <c r="B13744" i="1"/>
  <c r="C13744" i="1"/>
  <c r="D13744" i="1"/>
  <c r="E13744" i="1"/>
  <c r="F13744" i="1"/>
  <c r="G13744" i="1"/>
  <c r="H13744" i="1"/>
  <c r="I13744" i="1"/>
  <c r="J13744" i="1"/>
  <c r="K13744" i="1"/>
  <c r="L13744" i="1"/>
  <c r="A13745" i="1"/>
  <c r="B13745" i="1"/>
  <c r="C13745" i="1"/>
  <c r="D13745" i="1"/>
  <c r="E13745" i="1"/>
  <c r="F13745" i="1"/>
  <c r="G13745" i="1"/>
  <c r="H13745" i="1"/>
  <c r="I13745" i="1"/>
  <c r="J13745" i="1"/>
  <c r="K13745" i="1"/>
  <c r="L13745" i="1"/>
  <c r="A13746" i="1"/>
  <c r="B13746" i="1"/>
  <c r="C13746" i="1"/>
  <c r="D13746" i="1"/>
  <c r="E13746" i="1"/>
  <c r="F13746" i="1"/>
  <c r="G13746" i="1"/>
  <c r="H13746" i="1"/>
  <c r="I13746" i="1"/>
  <c r="J13746" i="1"/>
  <c r="K13746" i="1"/>
  <c r="L13746" i="1"/>
  <c r="A13747" i="1"/>
  <c r="B13747" i="1"/>
  <c r="C13747" i="1"/>
  <c r="D13747" i="1"/>
  <c r="E13747" i="1"/>
  <c r="F13747" i="1"/>
  <c r="G13747" i="1"/>
  <c r="H13747" i="1"/>
  <c r="I13747" i="1"/>
  <c r="J13747" i="1"/>
  <c r="K13747" i="1"/>
  <c r="L13747" i="1"/>
  <c r="A13748" i="1"/>
  <c r="B13748" i="1"/>
  <c r="C13748" i="1"/>
  <c r="D13748" i="1"/>
  <c r="E13748" i="1"/>
  <c r="F13748" i="1"/>
  <c r="G13748" i="1"/>
  <c r="H13748" i="1"/>
  <c r="I13748" i="1"/>
  <c r="J13748" i="1"/>
  <c r="K13748" i="1"/>
  <c r="L13748" i="1"/>
  <c r="A13749" i="1"/>
  <c r="B13749" i="1"/>
  <c r="C13749" i="1"/>
  <c r="D13749" i="1"/>
  <c r="E13749" i="1"/>
  <c r="F13749" i="1"/>
  <c r="G13749" i="1"/>
  <c r="H13749" i="1"/>
  <c r="I13749" i="1"/>
  <c r="J13749" i="1"/>
  <c r="K13749" i="1"/>
  <c r="L13749" i="1"/>
  <c r="A13750" i="1"/>
  <c r="B13750" i="1"/>
  <c r="C13750" i="1"/>
  <c r="D13750" i="1"/>
  <c r="E13750" i="1"/>
  <c r="F13750" i="1"/>
  <c r="G13750" i="1"/>
  <c r="H13750" i="1"/>
  <c r="I13750" i="1"/>
  <c r="J13750" i="1"/>
  <c r="K13750" i="1"/>
  <c r="L13750" i="1"/>
  <c r="A13751" i="1"/>
  <c r="B13751" i="1"/>
  <c r="C13751" i="1"/>
  <c r="D13751" i="1"/>
  <c r="E13751" i="1"/>
  <c r="F13751" i="1"/>
  <c r="G13751" i="1"/>
  <c r="H13751" i="1"/>
  <c r="I13751" i="1"/>
  <c r="J13751" i="1"/>
  <c r="K13751" i="1"/>
  <c r="L13751" i="1"/>
  <c r="A13752" i="1"/>
  <c r="B13752" i="1"/>
  <c r="C13752" i="1"/>
  <c r="D13752" i="1"/>
  <c r="E13752" i="1"/>
  <c r="F13752" i="1"/>
  <c r="G13752" i="1"/>
  <c r="H13752" i="1"/>
  <c r="I13752" i="1"/>
  <c r="J13752" i="1"/>
  <c r="K13752" i="1"/>
  <c r="L13752" i="1"/>
  <c r="A13753" i="1"/>
  <c r="B13753" i="1"/>
  <c r="C13753" i="1"/>
  <c r="D13753" i="1"/>
  <c r="E13753" i="1"/>
  <c r="F13753" i="1"/>
  <c r="G13753" i="1"/>
  <c r="H13753" i="1"/>
  <c r="I13753" i="1"/>
  <c r="J13753" i="1"/>
  <c r="K13753" i="1"/>
  <c r="L13753" i="1"/>
  <c r="A13754" i="1"/>
  <c r="B13754" i="1"/>
  <c r="C13754" i="1"/>
  <c r="D13754" i="1"/>
  <c r="E13754" i="1"/>
  <c r="F13754" i="1"/>
  <c r="G13754" i="1"/>
  <c r="H13754" i="1"/>
  <c r="I13754" i="1"/>
  <c r="J13754" i="1"/>
  <c r="K13754" i="1"/>
  <c r="L13754" i="1"/>
  <c r="A13755" i="1"/>
  <c r="B13755" i="1"/>
  <c r="C13755" i="1"/>
  <c r="D13755" i="1"/>
  <c r="E13755" i="1"/>
  <c r="F13755" i="1"/>
  <c r="G13755" i="1"/>
  <c r="H13755" i="1"/>
  <c r="I13755" i="1"/>
  <c r="J13755" i="1"/>
  <c r="K13755" i="1"/>
  <c r="L13755" i="1"/>
  <c r="A13756" i="1"/>
  <c r="B13756" i="1"/>
  <c r="C13756" i="1"/>
  <c r="D13756" i="1"/>
  <c r="E13756" i="1"/>
  <c r="F13756" i="1"/>
  <c r="G13756" i="1"/>
  <c r="H13756" i="1"/>
  <c r="I13756" i="1"/>
  <c r="J13756" i="1"/>
  <c r="K13756" i="1"/>
  <c r="L13756" i="1"/>
  <c r="A13757" i="1"/>
  <c r="B13757" i="1"/>
  <c r="C13757" i="1"/>
  <c r="D13757" i="1"/>
  <c r="E13757" i="1"/>
  <c r="F13757" i="1"/>
  <c r="G13757" i="1"/>
  <c r="H13757" i="1"/>
  <c r="I13757" i="1"/>
  <c r="J13757" i="1"/>
  <c r="K13757" i="1"/>
  <c r="L13757" i="1"/>
  <c r="A13758" i="1"/>
  <c r="B13758" i="1"/>
  <c r="C13758" i="1"/>
  <c r="D13758" i="1"/>
  <c r="E13758" i="1"/>
  <c r="F13758" i="1"/>
  <c r="G13758" i="1"/>
  <c r="H13758" i="1"/>
  <c r="I13758" i="1"/>
  <c r="J13758" i="1"/>
  <c r="K13758" i="1"/>
  <c r="L13758" i="1"/>
  <c r="A13759" i="1"/>
  <c r="B13759" i="1"/>
  <c r="C13759" i="1"/>
  <c r="D13759" i="1"/>
  <c r="E13759" i="1"/>
  <c r="F13759" i="1"/>
  <c r="G13759" i="1"/>
  <c r="H13759" i="1"/>
  <c r="I13759" i="1"/>
  <c r="J13759" i="1"/>
  <c r="K13759" i="1"/>
  <c r="L13759" i="1"/>
  <c r="A13760" i="1"/>
  <c r="B13760" i="1"/>
  <c r="C13760" i="1"/>
  <c r="D13760" i="1"/>
  <c r="E13760" i="1"/>
  <c r="F13760" i="1"/>
  <c r="G13760" i="1"/>
  <c r="H13760" i="1"/>
  <c r="I13760" i="1"/>
  <c r="J13760" i="1"/>
  <c r="K13760" i="1"/>
  <c r="L13760" i="1"/>
  <c r="A13761" i="1"/>
  <c r="B13761" i="1"/>
  <c r="C13761" i="1"/>
  <c r="D13761" i="1"/>
  <c r="E13761" i="1"/>
  <c r="F13761" i="1"/>
  <c r="G13761" i="1"/>
  <c r="H13761" i="1"/>
  <c r="I13761" i="1"/>
  <c r="J13761" i="1"/>
  <c r="K13761" i="1"/>
  <c r="L13761" i="1"/>
  <c r="A13762" i="1"/>
  <c r="B13762" i="1"/>
  <c r="C13762" i="1"/>
  <c r="D13762" i="1"/>
  <c r="E13762" i="1"/>
  <c r="F13762" i="1"/>
  <c r="G13762" i="1"/>
  <c r="H13762" i="1"/>
  <c r="I13762" i="1"/>
  <c r="J13762" i="1"/>
  <c r="K13762" i="1"/>
  <c r="L13762" i="1"/>
  <c r="A13763" i="1"/>
  <c r="B13763" i="1"/>
  <c r="C13763" i="1"/>
  <c r="D13763" i="1"/>
  <c r="E13763" i="1"/>
  <c r="F13763" i="1"/>
  <c r="G13763" i="1"/>
  <c r="H13763" i="1"/>
  <c r="I13763" i="1"/>
  <c r="J13763" i="1"/>
  <c r="K13763" i="1"/>
  <c r="L13763" i="1"/>
  <c r="A13764" i="1"/>
  <c r="B13764" i="1"/>
  <c r="C13764" i="1"/>
  <c r="D13764" i="1"/>
  <c r="E13764" i="1"/>
  <c r="F13764" i="1"/>
  <c r="G13764" i="1"/>
  <c r="H13764" i="1"/>
  <c r="I13764" i="1"/>
  <c r="J13764" i="1"/>
  <c r="K13764" i="1"/>
  <c r="L13764" i="1"/>
  <c r="A13765" i="1"/>
  <c r="B13765" i="1"/>
  <c r="C13765" i="1"/>
  <c r="D13765" i="1"/>
  <c r="E13765" i="1"/>
  <c r="F13765" i="1"/>
  <c r="G13765" i="1"/>
  <c r="H13765" i="1"/>
  <c r="I13765" i="1"/>
  <c r="J13765" i="1"/>
  <c r="K13765" i="1"/>
  <c r="L13765" i="1"/>
  <c r="A13766" i="1"/>
  <c r="B13766" i="1"/>
  <c r="C13766" i="1"/>
  <c r="D13766" i="1"/>
  <c r="E13766" i="1"/>
  <c r="F13766" i="1"/>
  <c r="G13766" i="1"/>
  <c r="H13766" i="1"/>
  <c r="I13766" i="1"/>
  <c r="J13766" i="1"/>
  <c r="K13766" i="1"/>
  <c r="L13766" i="1"/>
  <c r="A13767" i="1"/>
  <c r="B13767" i="1"/>
  <c r="C13767" i="1"/>
  <c r="D13767" i="1"/>
  <c r="E13767" i="1"/>
  <c r="F13767" i="1"/>
  <c r="G13767" i="1"/>
  <c r="H13767" i="1"/>
  <c r="I13767" i="1"/>
  <c r="J13767" i="1"/>
  <c r="K13767" i="1"/>
  <c r="L13767" i="1"/>
  <c r="A13768" i="1"/>
  <c r="B13768" i="1"/>
  <c r="C13768" i="1"/>
  <c r="D13768" i="1"/>
  <c r="E13768" i="1"/>
  <c r="F13768" i="1"/>
  <c r="G13768" i="1"/>
  <c r="H13768" i="1"/>
  <c r="I13768" i="1"/>
  <c r="J13768" i="1"/>
  <c r="K13768" i="1"/>
  <c r="L13768" i="1"/>
  <c r="A13769" i="1"/>
  <c r="B13769" i="1"/>
  <c r="C13769" i="1"/>
  <c r="D13769" i="1"/>
  <c r="E13769" i="1"/>
  <c r="F13769" i="1"/>
  <c r="G13769" i="1"/>
  <c r="H13769" i="1"/>
  <c r="I13769" i="1"/>
  <c r="J13769" i="1"/>
  <c r="K13769" i="1"/>
  <c r="L13769" i="1"/>
  <c r="A13770" i="1"/>
  <c r="B13770" i="1"/>
  <c r="C13770" i="1"/>
  <c r="D13770" i="1"/>
  <c r="E13770" i="1"/>
  <c r="F13770" i="1"/>
  <c r="G13770" i="1"/>
  <c r="H13770" i="1"/>
  <c r="I13770" i="1"/>
  <c r="J13770" i="1"/>
  <c r="K13770" i="1"/>
  <c r="L13770" i="1"/>
  <c r="A13771" i="1"/>
  <c r="B13771" i="1"/>
  <c r="C13771" i="1"/>
  <c r="D13771" i="1"/>
  <c r="E13771" i="1"/>
  <c r="F13771" i="1"/>
  <c r="G13771" i="1"/>
  <c r="H13771" i="1"/>
  <c r="I13771" i="1"/>
  <c r="J13771" i="1"/>
  <c r="K13771" i="1"/>
  <c r="L13771" i="1"/>
  <c r="A13772" i="1"/>
  <c r="B13772" i="1"/>
  <c r="C13772" i="1"/>
  <c r="D13772" i="1"/>
  <c r="E13772" i="1"/>
  <c r="F13772" i="1"/>
  <c r="G13772" i="1"/>
  <c r="H13772" i="1"/>
  <c r="I13772" i="1"/>
  <c r="J13772" i="1"/>
  <c r="K13772" i="1"/>
  <c r="L13772" i="1"/>
  <c r="A13773" i="1"/>
  <c r="B13773" i="1"/>
  <c r="C13773" i="1"/>
  <c r="D13773" i="1"/>
  <c r="E13773" i="1"/>
  <c r="F13773" i="1"/>
  <c r="G13773" i="1"/>
  <c r="H13773" i="1"/>
  <c r="I13773" i="1"/>
  <c r="J13773" i="1"/>
  <c r="K13773" i="1"/>
  <c r="L13773" i="1"/>
  <c r="A13774" i="1"/>
  <c r="B13774" i="1"/>
  <c r="C13774" i="1"/>
  <c r="D13774" i="1"/>
  <c r="E13774" i="1"/>
  <c r="F13774" i="1"/>
  <c r="G13774" i="1"/>
  <c r="H13774" i="1"/>
  <c r="I13774" i="1"/>
  <c r="J13774" i="1"/>
  <c r="K13774" i="1"/>
  <c r="L13774" i="1"/>
  <c r="A13775" i="1"/>
  <c r="B13775" i="1"/>
  <c r="C13775" i="1"/>
  <c r="D13775" i="1"/>
  <c r="E13775" i="1"/>
  <c r="F13775" i="1"/>
  <c r="G13775" i="1"/>
  <c r="H13775" i="1"/>
  <c r="I13775" i="1"/>
  <c r="J13775" i="1"/>
  <c r="K13775" i="1"/>
  <c r="L13775" i="1"/>
  <c r="A13776" i="1"/>
  <c r="B13776" i="1"/>
  <c r="C13776" i="1"/>
  <c r="D13776" i="1"/>
  <c r="E13776" i="1"/>
  <c r="F13776" i="1"/>
  <c r="G13776" i="1"/>
  <c r="H13776" i="1"/>
  <c r="I13776" i="1"/>
  <c r="J13776" i="1"/>
  <c r="K13776" i="1"/>
  <c r="L13776" i="1"/>
  <c r="A13777" i="1"/>
  <c r="B13777" i="1"/>
  <c r="C13777" i="1"/>
  <c r="D13777" i="1"/>
  <c r="E13777" i="1"/>
  <c r="F13777" i="1"/>
  <c r="G13777" i="1"/>
  <c r="H13777" i="1"/>
  <c r="I13777" i="1"/>
  <c r="J13777" i="1"/>
  <c r="K13777" i="1"/>
  <c r="L13777" i="1"/>
  <c r="A13778" i="1"/>
  <c r="B13778" i="1"/>
  <c r="C13778" i="1"/>
  <c r="D13778" i="1"/>
  <c r="E13778" i="1"/>
  <c r="F13778" i="1"/>
  <c r="G13778" i="1"/>
  <c r="H13778" i="1"/>
  <c r="I13778" i="1"/>
  <c r="J13778" i="1"/>
  <c r="K13778" i="1"/>
  <c r="L13778" i="1"/>
  <c r="A13779" i="1"/>
  <c r="B13779" i="1"/>
  <c r="C13779" i="1"/>
  <c r="D13779" i="1"/>
  <c r="E13779" i="1"/>
  <c r="F13779" i="1"/>
  <c r="G13779" i="1"/>
  <c r="H13779" i="1"/>
  <c r="I13779" i="1"/>
  <c r="J13779" i="1"/>
  <c r="K13779" i="1"/>
  <c r="L13779" i="1"/>
  <c r="A13780" i="1"/>
  <c r="B13780" i="1"/>
  <c r="C13780" i="1"/>
  <c r="D13780" i="1"/>
  <c r="E13780" i="1"/>
  <c r="F13780" i="1"/>
  <c r="G13780" i="1"/>
  <c r="H13780" i="1"/>
  <c r="I13780" i="1"/>
  <c r="J13780" i="1"/>
  <c r="K13780" i="1"/>
  <c r="L13780" i="1"/>
  <c r="A13781" i="1"/>
  <c r="B13781" i="1"/>
  <c r="C13781" i="1"/>
  <c r="D13781" i="1"/>
  <c r="E13781" i="1"/>
  <c r="F13781" i="1"/>
  <c r="G13781" i="1"/>
  <c r="H13781" i="1"/>
  <c r="I13781" i="1"/>
  <c r="J13781" i="1"/>
  <c r="K13781" i="1"/>
  <c r="L13781" i="1"/>
  <c r="A13782" i="1"/>
  <c r="B13782" i="1"/>
  <c r="C13782" i="1"/>
  <c r="D13782" i="1"/>
  <c r="E13782" i="1"/>
  <c r="F13782" i="1"/>
  <c r="G13782" i="1"/>
  <c r="H13782" i="1"/>
  <c r="I13782" i="1"/>
  <c r="J13782" i="1"/>
  <c r="K13782" i="1"/>
  <c r="L13782" i="1"/>
  <c r="A13783" i="1"/>
  <c r="B13783" i="1"/>
  <c r="C13783" i="1"/>
  <c r="D13783" i="1"/>
  <c r="E13783" i="1"/>
  <c r="F13783" i="1"/>
  <c r="G13783" i="1"/>
  <c r="H13783" i="1"/>
  <c r="I13783" i="1"/>
  <c r="J13783" i="1"/>
  <c r="K13783" i="1"/>
  <c r="L13783" i="1"/>
  <c r="A13784" i="1"/>
  <c r="B13784" i="1"/>
  <c r="C13784" i="1"/>
  <c r="D13784" i="1"/>
  <c r="E13784" i="1"/>
  <c r="F13784" i="1"/>
  <c r="G13784" i="1"/>
  <c r="H13784" i="1"/>
  <c r="I13784" i="1"/>
  <c r="J13784" i="1"/>
  <c r="K13784" i="1"/>
  <c r="L13784" i="1"/>
  <c r="A13785" i="1"/>
  <c r="B13785" i="1"/>
  <c r="C13785" i="1"/>
  <c r="D13785" i="1"/>
  <c r="E13785" i="1"/>
  <c r="F13785" i="1"/>
  <c r="G13785" i="1"/>
  <c r="H13785" i="1"/>
  <c r="I13785" i="1"/>
  <c r="J13785" i="1"/>
  <c r="K13785" i="1"/>
  <c r="L13785" i="1"/>
  <c r="A13786" i="1"/>
  <c r="B13786" i="1"/>
  <c r="C13786" i="1"/>
  <c r="D13786" i="1"/>
  <c r="E13786" i="1"/>
  <c r="F13786" i="1"/>
  <c r="G13786" i="1"/>
  <c r="H13786" i="1"/>
  <c r="I13786" i="1"/>
  <c r="J13786" i="1"/>
  <c r="K13786" i="1"/>
  <c r="L13786" i="1"/>
  <c r="A13787" i="1"/>
  <c r="B13787" i="1"/>
  <c r="C13787" i="1"/>
  <c r="D13787" i="1"/>
  <c r="E13787" i="1"/>
  <c r="F13787" i="1"/>
  <c r="G13787" i="1"/>
  <c r="H13787" i="1"/>
  <c r="I13787" i="1"/>
  <c r="J13787" i="1"/>
  <c r="K13787" i="1"/>
  <c r="L13787" i="1"/>
  <c r="A13788" i="1"/>
  <c r="B13788" i="1"/>
  <c r="C13788" i="1"/>
  <c r="D13788" i="1"/>
  <c r="E13788" i="1"/>
  <c r="F13788" i="1"/>
  <c r="G13788" i="1"/>
  <c r="H13788" i="1"/>
  <c r="I13788" i="1"/>
  <c r="J13788" i="1"/>
  <c r="K13788" i="1"/>
  <c r="L13788" i="1"/>
  <c r="A13789" i="1"/>
  <c r="B13789" i="1"/>
  <c r="C13789" i="1"/>
  <c r="D13789" i="1"/>
  <c r="E13789" i="1"/>
  <c r="F13789" i="1"/>
  <c r="G13789" i="1"/>
  <c r="H13789" i="1"/>
  <c r="I13789" i="1"/>
  <c r="J13789" i="1"/>
  <c r="K13789" i="1"/>
  <c r="L13789" i="1"/>
  <c r="A13790" i="1"/>
  <c r="B13790" i="1"/>
  <c r="C13790" i="1"/>
  <c r="D13790" i="1"/>
  <c r="E13790" i="1"/>
  <c r="F13790" i="1"/>
  <c r="G13790" i="1"/>
  <c r="H13790" i="1"/>
  <c r="I13790" i="1"/>
  <c r="J13790" i="1"/>
  <c r="K13790" i="1"/>
  <c r="L13790" i="1"/>
  <c r="A13791" i="1"/>
  <c r="B13791" i="1"/>
  <c r="C13791" i="1"/>
  <c r="D13791" i="1"/>
  <c r="E13791" i="1"/>
  <c r="F13791" i="1"/>
  <c r="G13791" i="1"/>
  <c r="H13791" i="1"/>
  <c r="I13791" i="1"/>
  <c r="J13791" i="1"/>
  <c r="K13791" i="1"/>
  <c r="L13791" i="1"/>
  <c r="A13792" i="1"/>
  <c r="B13792" i="1"/>
  <c r="C13792" i="1"/>
  <c r="D13792" i="1"/>
  <c r="E13792" i="1"/>
  <c r="F13792" i="1"/>
  <c r="G13792" i="1"/>
  <c r="H13792" i="1"/>
  <c r="I13792" i="1"/>
  <c r="J13792" i="1"/>
  <c r="K13792" i="1"/>
  <c r="L13792" i="1"/>
  <c r="A13793" i="1"/>
  <c r="B13793" i="1"/>
  <c r="C13793" i="1"/>
  <c r="D13793" i="1"/>
  <c r="E13793" i="1"/>
  <c r="F13793" i="1"/>
  <c r="G13793" i="1"/>
  <c r="H13793" i="1"/>
  <c r="I13793" i="1"/>
  <c r="J13793" i="1"/>
  <c r="K13793" i="1"/>
  <c r="L13793" i="1"/>
  <c r="A13794" i="1"/>
  <c r="B13794" i="1"/>
  <c r="C13794" i="1"/>
  <c r="D13794" i="1"/>
  <c r="E13794" i="1"/>
  <c r="F13794" i="1"/>
  <c r="G13794" i="1"/>
  <c r="H13794" i="1"/>
  <c r="I13794" i="1"/>
  <c r="J13794" i="1"/>
  <c r="K13794" i="1"/>
  <c r="L13794" i="1"/>
  <c r="A13795" i="1"/>
  <c r="B13795" i="1"/>
  <c r="C13795" i="1"/>
  <c r="D13795" i="1"/>
  <c r="E13795" i="1"/>
  <c r="F13795" i="1"/>
  <c r="G13795" i="1"/>
  <c r="H13795" i="1"/>
  <c r="I13795" i="1"/>
  <c r="J13795" i="1"/>
  <c r="K13795" i="1"/>
  <c r="L13795" i="1"/>
  <c r="A13796" i="1"/>
  <c r="B13796" i="1"/>
  <c r="C13796" i="1"/>
  <c r="D13796" i="1"/>
  <c r="E13796" i="1"/>
  <c r="F13796" i="1"/>
  <c r="G13796" i="1"/>
  <c r="H13796" i="1"/>
  <c r="I13796" i="1"/>
  <c r="J13796" i="1"/>
  <c r="K13796" i="1"/>
  <c r="L13796" i="1"/>
  <c r="A13797" i="1"/>
  <c r="B13797" i="1"/>
  <c r="C13797" i="1"/>
  <c r="D13797" i="1"/>
  <c r="E13797" i="1"/>
  <c r="F13797" i="1"/>
  <c r="G13797" i="1"/>
  <c r="H13797" i="1"/>
  <c r="I13797" i="1"/>
  <c r="J13797" i="1"/>
  <c r="K13797" i="1"/>
  <c r="L13797" i="1"/>
  <c r="A13798" i="1"/>
  <c r="B13798" i="1"/>
  <c r="C13798" i="1"/>
  <c r="D13798" i="1"/>
  <c r="E13798" i="1"/>
  <c r="F13798" i="1"/>
  <c r="G13798" i="1"/>
  <c r="H13798" i="1"/>
  <c r="I13798" i="1"/>
  <c r="J13798" i="1"/>
  <c r="K13798" i="1"/>
  <c r="L13798" i="1"/>
  <c r="A13799" i="1"/>
  <c r="B13799" i="1"/>
  <c r="C13799" i="1"/>
  <c r="D13799" i="1"/>
  <c r="E13799" i="1"/>
  <c r="F13799" i="1"/>
  <c r="G13799" i="1"/>
  <c r="H13799" i="1"/>
  <c r="I13799" i="1"/>
  <c r="J13799" i="1"/>
  <c r="K13799" i="1"/>
  <c r="L13799" i="1"/>
  <c r="A13800" i="1"/>
  <c r="B13800" i="1"/>
  <c r="C13800" i="1"/>
  <c r="D13800" i="1"/>
  <c r="E13800" i="1"/>
  <c r="F13800" i="1"/>
  <c r="G13800" i="1"/>
  <c r="H13800" i="1"/>
  <c r="I13800" i="1"/>
  <c r="J13800" i="1"/>
  <c r="K13800" i="1"/>
  <c r="L13800" i="1"/>
  <c r="A13801" i="1"/>
  <c r="B13801" i="1"/>
  <c r="C13801" i="1"/>
  <c r="D13801" i="1"/>
  <c r="E13801" i="1"/>
  <c r="F13801" i="1"/>
  <c r="G13801" i="1"/>
  <c r="H13801" i="1"/>
  <c r="I13801" i="1"/>
  <c r="J13801" i="1"/>
  <c r="K13801" i="1"/>
  <c r="L13801" i="1"/>
  <c r="A13802" i="1"/>
  <c r="B13802" i="1"/>
  <c r="C13802" i="1"/>
  <c r="D13802" i="1"/>
  <c r="E13802" i="1"/>
  <c r="F13802" i="1"/>
  <c r="G13802" i="1"/>
  <c r="H13802" i="1"/>
  <c r="I13802" i="1"/>
  <c r="J13802" i="1"/>
  <c r="K13802" i="1"/>
  <c r="L13802" i="1"/>
  <c r="A13803" i="1"/>
  <c r="B13803" i="1"/>
  <c r="C13803" i="1"/>
  <c r="D13803" i="1"/>
  <c r="E13803" i="1"/>
  <c r="F13803" i="1"/>
  <c r="G13803" i="1"/>
  <c r="H13803" i="1"/>
  <c r="I13803" i="1"/>
  <c r="J13803" i="1"/>
  <c r="K13803" i="1"/>
  <c r="L13803" i="1"/>
  <c r="A13804" i="1"/>
  <c r="B13804" i="1"/>
  <c r="C13804" i="1"/>
  <c r="D13804" i="1"/>
  <c r="E13804" i="1"/>
  <c r="F13804" i="1"/>
  <c r="G13804" i="1"/>
  <c r="H13804" i="1"/>
  <c r="I13804" i="1"/>
  <c r="J13804" i="1"/>
  <c r="K13804" i="1"/>
  <c r="L13804" i="1"/>
  <c r="A13805" i="1"/>
  <c r="B13805" i="1"/>
  <c r="C13805" i="1"/>
  <c r="D13805" i="1"/>
  <c r="E13805" i="1"/>
  <c r="F13805" i="1"/>
  <c r="G13805" i="1"/>
  <c r="H13805" i="1"/>
  <c r="I13805" i="1"/>
  <c r="J13805" i="1"/>
  <c r="K13805" i="1"/>
  <c r="L13805" i="1"/>
  <c r="A13806" i="1"/>
  <c r="B13806" i="1"/>
  <c r="C13806" i="1"/>
  <c r="D13806" i="1"/>
  <c r="E13806" i="1"/>
  <c r="F13806" i="1"/>
  <c r="G13806" i="1"/>
  <c r="H13806" i="1"/>
  <c r="I13806" i="1"/>
  <c r="J13806" i="1"/>
  <c r="K13806" i="1"/>
  <c r="L13806" i="1"/>
  <c r="A13807" i="1"/>
  <c r="B13807" i="1"/>
  <c r="C13807" i="1"/>
  <c r="D13807" i="1"/>
  <c r="E13807" i="1"/>
  <c r="F13807" i="1"/>
  <c r="G13807" i="1"/>
  <c r="H13807" i="1"/>
  <c r="I13807" i="1"/>
  <c r="J13807" i="1"/>
  <c r="K13807" i="1"/>
  <c r="L13807" i="1"/>
  <c r="A13808" i="1"/>
  <c r="B13808" i="1"/>
  <c r="C13808" i="1"/>
  <c r="D13808" i="1"/>
  <c r="E13808" i="1"/>
  <c r="F13808" i="1"/>
  <c r="G13808" i="1"/>
  <c r="H13808" i="1"/>
  <c r="I13808" i="1"/>
  <c r="J13808" i="1"/>
  <c r="K13808" i="1"/>
  <c r="L13808" i="1"/>
  <c r="A13809" i="1"/>
  <c r="B13809" i="1"/>
  <c r="C13809" i="1"/>
  <c r="D13809" i="1"/>
  <c r="E13809" i="1"/>
  <c r="F13809" i="1"/>
  <c r="G13809" i="1"/>
  <c r="H13809" i="1"/>
  <c r="I13809" i="1"/>
  <c r="J13809" i="1"/>
  <c r="K13809" i="1"/>
  <c r="L13809" i="1"/>
  <c r="A13810" i="1"/>
  <c r="B13810" i="1"/>
  <c r="C13810" i="1"/>
  <c r="D13810" i="1"/>
  <c r="E13810" i="1"/>
  <c r="F13810" i="1"/>
  <c r="G13810" i="1"/>
  <c r="H13810" i="1"/>
  <c r="I13810" i="1"/>
  <c r="J13810" i="1"/>
  <c r="K13810" i="1"/>
  <c r="L13810" i="1"/>
  <c r="A13811" i="1"/>
  <c r="B13811" i="1"/>
  <c r="C13811" i="1"/>
  <c r="D13811" i="1"/>
  <c r="E13811" i="1"/>
  <c r="F13811" i="1"/>
  <c r="G13811" i="1"/>
  <c r="H13811" i="1"/>
  <c r="I13811" i="1"/>
  <c r="J13811" i="1"/>
  <c r="K13811" i="1"/>
  <c r="L13811" i="1"/>
  <c r="A13812" i="1"/>
  <c r="B13812" i="1"/>
  <c r="C13812" i="1"/>
  <c r="D13812" i="1"/>
  <c r="E13812" i="1"/>
  <c r="F13812" i="1"/>
  <c r="G13812" i="1"/>
  <c r="H13812" i="1"/>
  <c r="I13812" i="1"/>
  <c r="J13812" i="1"/>
  <c r="K13812" i="1"/>
  <c r="L13812" i="1"/>
  <c r="A13813" i="1"/>
  <c r="B13813" i="1"/>
  <c r="C13813" i="1"/>
  <c r="D13813" i="1"/>
  <c r="E13813" i="1"/>
  <c r="F13813" i="1"/>
  <c r="G13813" i="1"/>
  <c r="H13813" i="1"/>
  <c r="I13813" i="1"/>
  <c r="J13813" i="1"/>
  <c r="K13813" i="1"/>
  <c r="L13813" i="1"/>
  <c r="A13814" i="1"/>
  <c r="B13814" i="1"/>
  <c r="C13814" i="1"/>
  <c r="D13814" i="1"/>
  <c r="E13814" i="1"/>
  <c r="F13814" i="1"/>
  <c r="G13814" i="1"/>
  <c r="H13814" i="1"/>
  <c r="I13814" i="1"/>
  <c r="J13814" i="1"/>
  <c r="K13814" i="1"/>
  <c r="L13814" i="1"/>
  <c r="A13815" i="1"/>
  <c r="B13815" i="1"/>
  <c r="C13815" i="1"/>
  <c r="D13815" i="1"/>
  <c r="E13815" i="1"/>
  <c r="F13815" i="1"/>
  <c r="G13815" i="1"/>
  <c r="H13815" i="1"/>
  <c r="I13815" i="1"/>
  <c r="J13815" i="1"/>
  <c r="K13815" i="1"/>
  <c r="L13815" i="1"/>
  <c r="A13816" i="1"/>
  <c r="B13816" i="1"/>
  <c r="C13816" i="1"/>
  <c r="D13816" i="1"/>
  <c r="E13816" i="1"/>
  <c r="F13816" i="1"/>
  <c r="G13816" i="1"/>
  <c r="H13816" i="1"/>
  <c r="I13816" i="1"/>
  <c r="J13816" i="1"/>
  <c r="K13816" i="1"/>
  <c r="L13816" i="1"/>
  <c r="A13817" i="1"/>
  <c r="B13817" i="1"/>
  <c r="C13817" i="1"/>
  <c r="D13817" i="1"/>
  <c r="E13817" i="1"/>
  <c r="F13817" i="1"/>
  <c r="G13817" i="1"/>
  <c r="H13817" i="1"/>
  <c r="I13817" i="1"/>
  <c r="J13817" i="1"/>
  <c r="K13817" i="1"/>
  <c r="L13817" i="1"/>
  <c r="A13818" i="1"/>
  <c r="B13818" i="1"/>
  <c r="C13818" i="1"/>
  <c r="D13818" i="1"/>
  <c r="E13818" i="1"/>
  <c r="F13818" i="1"/>
  <c r="G13818" i="1"/>
  <c r="H13818" i="1"/>
  <c r="I13818" i="1"/>
  <c r="J13818" i="1"/>
  <c r="K13818" i="1"/>
  <c r="L13818" i="1"/>
  <c r="A13819" i="1"/>
  <c r="B13819" i="1"/>
  <c r="C13819" i="1"/>
  <c r="D13819" i="1"/>
  <c r="E13819" i="1"/>
  <c r="F13819" i="1"/>
  <c r="G13819" i="1"/>
  <c r="H13819" i="1"/>
  <c r="I13819" i="1"/>
  <c r="J13819" i="1"/>
  <c r="K13819" i="1"/>
  <c r="L13819" i="1"/>
  <c r="A13820" i="1"/>
  <c r="B13820" i="1"/>
  <c r="C13820" i="1"/>
  <c r="D13820" i="1"/>
  <c r="E13820" i="1"/>
  <c r="F13820" i="1"/>
  <c r="G13820" i="1"/>
  <c r="H13820" i="1"/>
  <c r="I13820" i="1"/>
  <c r="J13820" i="1"/>
  <c r="K13820" i="1"/>
  <c r="L13820" i="1"/>
  <c r="A13821" i="1"/>
  <c r="B13821" i="1"/>
  <c r="C13821" i="1"/>
  <c r="D13821" i="1"/>
  <c r="E13821" i="1"/>
  <c r="F13821" i="1"/>
  <c r="G13821" i="1"/>
  <c r="H13821" i="1"/>
  <c r="I13821" i="1"/>
  <c r="J13821" i="1"/>
  <c r="K13821" i="1"/>
  <c r="L13821" i="1"/>
  <c r="A13822" i="1"/>
  <c r="B13822" i="1"/>
  <c r="C13822" i="1"/>
  <c r="D13822" i="1"/>
  <c r="E13822" i="1"/>
  <c r="F13822" i="1"/>
  <c r="G13822" i="1"/>
  <c r="H13822" i="1"/>
  <c r="I13822" i="1"/>
  <c r="J13822" i="1"/>
  <c r="K13822" i="1"/>
  <c r="L13822" i="1"/>
  <c r="A13823" i="1"/>
  <c r="B13823" i="1"/>
  <c r="C13823" i="1"/>
  <c r="D13823" i="1"/>
  <c r="E13823" i="1"/>
  <c r="F13823" i="1"/>
  <c r="G13823" i="1"/>
  <c r="H13823" i="1"/>
  <c r="I13823" i="1"/>
  <c r="J13823" i="1"/>
  <c r="K13823" i="1"/>
  <c r="L13823" i="1"/>
  <c r="A13824" i="1"/>
  <c r="B13824" i="1"/>
  <c r="C13824" i="1"/>
  <c r="D13824" i="1"/>
  <c r="E13824" i="1"/>
  <c r="F13824" i="1"/>
  <c r="G13824" i="1"/>
  <c r="H13824" i="1"/>
  <c r="I13824" i="1"/>
  <c r="J13824" i="1"/>
  <c r="K13824" i="1"/>
  <c r="L13824" i="1"/>
  <c r="A13825" i="1"/>
  <c r="B13825" i="1"/>
  <c r="C13825" i="1"/>
  <c r="D13825" i="1"/>
  <c r="E13825" i="1"/>
  <c r="F13825" i="1"/>
  <c r="G13825" i="1"/>
  <c r="H13825" i="1"/>
  <c r="I13825" i="1"/>
  <c r="J13825" i="1"/>
  <c r="K13825" i="1"/>
  <c r="L13825" i="1"/>
  <c r="A13826" i="1"/>
  <c r="B13826" i="1"/>
  <c r="C13826" i="1"/>
  <c r="D13826" i="1"/>
  <c r="E13826" i="1"/>
  <c r="F13826" i="1"/>
  <c r="G13826" i="1"/>
  <c r="H13826" i="1"/>
  <c r="I13826" i="1"/>
  <c r="J13826" i="1"/>
  <c r="K13826" i="1"/>
  <c r="L13826" i="1"/>
  <c r="A13827" i="1"/>
  <c r="B13827" i="1"/>
  <c r="C13827" i="1"/>
  <c r="D13827" i="1"/>
  <c r="E13827" i="1"/>
  <c r="F13827" i="1"/>
  <c r="G13827" i="1"/>
  <c r="H13827" i="1"/>
  <c r="I13827" i="1"/>
  <c r="J13827" i="1"/>
  <c r="K13827" i="1"/>
  <c r="L13827" i="1"/>
  <c r="A13828" i="1"/>
  <c r="B13828" i="1"/>
  <c r="C13828" i="1"/>
  <c r="D13828" i="1"/>
  <c r="E13828" i="1"/>
  <c r="F13828" i="1"/>
  <c r="G13828" i="1"/>
  <c r="H13828" i="1"/>
  <c r="I13828" i="1"/>
  <c r="J13828" i="1"/>
  <c r="K13828" i="1"/>
  <c r="L13828" i="1"/>
  <c r="A13829" i="1"/>
  <c r="B13829" i="1"/>
  <c r="C13829" i="1"/>
  <c r="D13829" i="1"/>
  <c r="E13829" i="1"/>
  <c r="F13829" i="1"/>
  <c r="G13829" i="1"/>
  <c r="H13829" i="1"/>
  <c r="I13829" i="1"/>
  <c r="J13829" i="1"/>
  <c r="K13829" i="1"/>
  <c r="L13829" i="1"/>
  <c r="A13830" i="1"/>
  <c r="B13830" i="1"/>
  <c r="C13830" i="1"/>
  <c r="D13830" i="1"/>
  <c r="E13830" i="1"/>
  <c r="F13830" i="1"/>
  <c r="G13830" i="1"/>
  <c r="H13830" i="1"/>
  <c r="I13830" i="1"/>
  <c r="J13830" i="1"/>
  <c r="K13830" i="1"/>
  <c r="L13830" i="1"/>
  <c r="A13831" i="1"/>
  <c r="B13831" i="1"/>
  <c r="C13831" i="1"/>
  <c r="D13831" i="1"/>
  <c r="E13831" i="1"/>
  <c r="F13831" i="1"/>
  <c r="G13831" i="1"/>
  <c r="H13831" i="1"/>
  <c r="I13831" i="1"/>
  <c r="J13831" i="1"/>
  <c r="K13831" i="1"/>
  <c r="L13831" i="1"/>
  <c r="A13832" i="1"/>
  <c r="B13832" i="1"/>
  <c r="C13832" i="1"/>
  <c r="D13832" i="1"/>
  <c r="E13832" i="1"/>
  <c r="F13832" i="1"/>
  <c r="G13832" i="1"/>
  <c r="H13832" i="1"/>
  <c r="I13832" i="1"/>
  <c r="J13832" i="1"/>
  <c r="K13832" i="1"/>
  <c r="L13832" i="1"/>
  <c r="A13833" i="1"/>
  <c r="B13833" i="1"/>
  <c r="C13833" i="1"/>
  <c r="D13833" i="1"/>
  <c r="E13833" i="1"/>
  <c r="F13833" i="1"/>
  <c r="G13833" i="1"/>
  <c r="H13833" i="1"/>
  <c r="I13833" i="1"/>
  <c r="J13833" i="1"/>
  <c r="K13833" i="1"/>
  <c r="L13833" i="1"/>
  <c r="A13834" i="1"/>
  <c r="B13834" i="1"/>
  <c r="C13834" i="1"/>
  <c r="D13834" i="1"/>
  <c r="E13834" i="1"/>
  <c r="F13834" i="1"/>
  <c r="G13834" i="1"/>
  <c r="H13834" i="1"/>
  <c r="I13834" i="1"/>
  <c r="J13834" i="1"/>
  <c r="K13834" i="1"/>
  <c r="L13834" i="1"/>
  <c r="A13835" i="1"/>
  <c r="B13835" i="1"/>
  <c r="C13835" i="1"/>
  <c r="D13835" i="1"/>
  <c r="E13835" i="1"/>
  <c r="F13835" i="1"/>
  <c r="G13835" i="1"/>
  <c r="H13835" i="1"/>
  <c r="I13835" i="1"/>
  <c r="J13835" i="1"/>
  <c r="K13835" i="1"/>
  <c r="L13835" i="1"/>
  <c r="A13836" i="1"/>
  <c r="B13836" i="1"/>
  <c r="C13836" i="1"/>
  <c r="D13836" i="1"/>
  <c r="E13836" i="1"/>
  <c r="F13836" i="1"/>
  <c r="G13836" i="1"/>
  <c r="H13836" i="1"/>
  <c r="I13836" i="1"/>
  <c r="J13836" i="1"/>
  <c r="K13836" i="1"/>
  <c r="L13836" i="1"/>
  <c r="A13837" i="1"/>
  <c r="B13837" i="1"/>
  <c r="C13837" i="1"/>
  <c r="D13837" i="1"/>
  <c r="E13837" i="1"/>
  <c r="F13837" i="1"/>
  <c r="G13837" i="1"/>
  <c r="H13837" i="1"/>
  <c r="I13837" i="1"/>
  <c r="J13837" i="1"/>
  <c r="K13837" i="1"/>
  <c r="L13837" i="1"/>
  <c r="A13838" i="1"/>
  <c r="B13838" i="1"/>
  <c r="C13838" i="1"/>
  <c r="D13838" i="1"/>
  <c r="E13838" i="1"/>
  <c r="F13838" i="1"/>
  <c r="G13838" i="1"/>
  <c r="H13838" i="1"/>
  <c r="I13838" i="1"/>
  <c r="J13838" i="1"/>
  <c r="K13838" i="1"/>
  <c r="L13838" i="1"/>
  <c r="A13839" i="1"/>
  <c r="B13839" i="1"/>
  <c r="C13839" i="1"/>
  <c r="D13839" i="1"/>
  <c r="E13839" i="1"/>
  <c r="F13839" i="1"/>
  <c r="G13839" i="1"/>
  <c r="H13839" i="1"/>
  <c r="I13839" i="1"/>
  <c r="J13839" i="1"/>
  <c r="K13839" i="1"/>
  <c r="L13839" i="1"/>
  <c r="A13840" i="1"/>
  <c r="B13840" i="1"/>
  <c r="C13840" i="1"/>
  <c r="D13840" i="1"/>
  <c r="E13840" i="1"/>
  <c r="F13840" i="1"/>
  <c r="G13840" i="1"/>
  <c r="H13840" i="1"/>
  <c r="I13840" i="1"/>
  <c r="J13840" i="1"/>
  <c r="K13840" i="1"/>
  <c r="L13840" i="1"/>
  <c r="A13841" i="1"/>
  <c r="B13841" i="1"/>
  <c r="C13841" i="1"/>
  <c r="D13841" i="1"/>
  <c r="E13841" i="1"/>
  <c r="F13841" i="1"/>
  <c r="G13841" i="1"/>
  <c r="H13841" i="1"/>
  <c r="I13841" i="1"/>
  <c r="J13841" i="1"/>
  <c r="K13841" i="1"/>
  <c r="L13841" i="1"/>
  <c r="A13842" i="1"/>
  <c r="B13842" i="1"/>
  <c r="C13842" i="1"/>
  <c r="D13842" i="1"/>
  <c r="E13842" i="1"/>
  <c r="F13842" i="1"/>
  <c r="G13842" i="1"/>
  <c r="H13842" i="1"/>
  <c r="I13842" i="1"/>
  <c r="J13842" i="1"/>
  <c r="K13842" i="1"/>
  <c r="L13842" i="1"/>
  <c r="A13843" i="1"/>
  <c r="B13843" i="1"/>
  <c r="C13843" i="1"/>
  <c r="D13843" i="1"/>
  <c r="E13843" i="1"/>
  <c r="F13843" i="1"/>
  <c r="G13843" i="1"/>
  <c r="H13843" i="1"/>
  <c r="I13843" i="1"/>
  <c r="J13843" i="1"/>
  <c r="K13843" i="1"/>
  <c r="L13843" i="1"/>
  <c r="A13844" i="1"/>
  <c r="B13844" i="1"/>
  <c r="C13844" i="1"/>
  <c r="D13844" i="1"/>
  <c r="E13844" i="1"/>
  <c r="F13844" i="1"/>
  <c r="G13844" i="1"/>
  <c r="H13844" i="1"/>
  <c r="I13844" i="1"/>
  <c r="J13844" i="1"/>
  <c r="K13844" i="1"/>
  <c r="L13844" i="1"/>
  <c r="A13845" i="1"/>
  <c r="B13845" i="1"/>
  <c r="C13845" i="1"/>
  <c r="D13845" i="1"/>
  <c r="E13845" i="1"/>
  <c r="F13845" i="1"/>
  <c r="G13845" i="1"/>
  <c r="H13845" i="1"/>
  <c r="I13845" i="1"/>
  <c r="J13845" i="1"/>
  <c r="K13845" i="1"/>
  <c r="L13845" i="1"/>
  <c r="A13846" i="1"/>
  <c r="B13846" i="1"/>
  <c r="C13846" i="1"/>
  <c r="D13846" i="1"/>
  <c r="E13846" i="1"/>
  <c r="F13846" i="1"/>
  <c r="G13846" i="1"/>
  <c r="H13846" i="1"/>
  <c r="I13846" i="1"/>
  <c r="J13846" i="1"/>
  <c r="K13846" i="1"/>
  <c r="L13846" i="1"/>
  <c r="A13847" i="1"/>
  <c r="B13847" i="1"/>
  <c r="C13847" i="1"/>
  <c r="D13847" i="1"/>
  <c r="E13847" i="1"/>
  <c r="F13847" i="1"/>
  <c r="G13847" i="1"/>
  <c r="H13847" i="1"/>
  <c r="I13847" i="1"/>
  <c r="J13847" i="1"/>
  <c r="K13847" i="1"/>
  <c r="L13847" i="1"/>
  <c r="A13848" i="1"/>
  <c r="B13848" i="1"/>
  <c r="C13848" i="1"/>
  <c r="D13848" i="1"/>
  <c r="E13848" i="1"/>
  <c r="F13848" i="1"/>
  <c r="G13848" i="1"/>
  <c r="H13848" i="1"/>
  <c r="I13848" i="1"/>
  <c r="J13848" i="1"/>
  <c r="K13848" i="1"/>
  <c r="L13848" i="1"/>
  <c r="A13849" i="1"/>
  <c r="B13849" i="1"/>
  <c r="C13849" i="1"/>
  <c r="D13849" i="1"/>
  <c r="E13849" i="1"/>
  <c r="F13849" i="1"/>
  <c r="G13849" i="1"/>
  <c r="H13849" i="1"/>
  <c r="I13849" i="1"/>
  <c r="J13849" i="1"/>
  <c r="K13849" i="1"/>
  <c r="L13849" i="1"/>
  <c r="A13850" i="1"/>
  <c r="B13850" i="1"/>
  <c r="C13850" i="1"/>
  <c r="D13850" i="1"/>
  <c r="E13850" i="1"/>
  <c r="F13850" i="1"/>
  <c r="G13850" i="1"/>
  <c r="H13850" i="1"/>
  <c r="I13850" i="1"/>
  <c r="J13850" i="1"/>
  <c r="K13850" i="1"/>
  <c r="L13850" i="1"/>
  <c r="A13851" i="1"/>
  <c r="B13851" i="1"/>
  <c r="C13851" i="1"/>
  <c r="D13851" i="1"/>
  <c r="E13851" i="1"/>
  <c r="F13851" i="1"/>
  <c r="G13851" i="1"/>
  <c r="H13851" i="1"/>
  <c r="I13851" i="1"/>
  <c r="J13851" i="1"/>
  <c r="K13851" i="1"/>
  <c r="L13851" i="1"/>
  <c r="A13852" i="1"/>
  <c r="B13852" i="1"/>
  <c r="C13852" i="1"/>
  <c r="D13852" i="1"/>
  <c r="E13852" i="1"/>
  <c r="F13852" i="1"/>
  <c r="G13852" i="1"/>
  <c r="H13852" i="1"/>
  <c r="I13852" i="1"/>
  <c r="J13852" i="1"/>
  <c r="K13852" i="1"/>
  <c r="L13852" i="1"/>
  <c r="A13853" i="1"/>
  <c r="B13853" i="1"/>
  <c r="C13853" i="1"/>
  <c r="D13853" i="1"/>
  <c r="E13853" i="1"/>
  <c r="F13853" i="1"/>
  <c r="G13853" i="1"/>
  <c r="H13853" i="1"/>
  <c r="I13853" i="1"/>
  <c r="J13853" i="1"/>
  <c r="K13853" i="1"/>
  <c r="L13853" i="1"/>
  <c r="A13854" i="1"/>
  <c r="B13854" i="1"/>
  <c r="C13854" i="1"/>
  <c r="D13854" i="1"/>
  <c r="E13854" i="1"/>
  <c r="F13854" i="1"/>
  <c r="G13854" i="1"/>
  <c r="H13854" i="1"/>
  <c r="I13854" i="1"/>
  <c r="J13854" i="1"/>
  <c r="K13854" i="1"/>
  <c r="L13854" i="1"/>
  <c r="A13855" i="1"/>
  <c r="B13855" i="1"/>
  <c r="C13855" i="1"/>
  <c r="D13855" i="1"/>
  <c r="E13855" i="1"/>
  <c r="F13855" i="1"/>
  <c r="G13855" i="1"/>
  <c r="H13855" i="1"/>
  <c r="I13855" i="1"/>
  <c r="J13855" i="1"/>
  <c r="K13855" i="1"/>
  <c r="L13855" i="1"/>
  <c r="A13856" i="1"/>
  <c r="B13856" i="1"/>
  <c r="C13856" i="1"/>
  <c r="D13856" i="1"/>
  <c r="E13856" i="1"/>
  <c r="F13856" i="1"/>
  <c r="G13856" i="1"/>
  <c r="H13856" i="1"/>
  <c r="I13856" i="1"/>
  <c r="J13856" i="1"/>
  <c r="K13856" i="1"/>
  <c r="L13856" i="1"/>
  <c r="A13857" i="1"/>
  <c r="B13857" i="1"/>
  <c r="C13857" i="1"/>
  <c r="D13857" i="1"/>
  <c r="E13857" i="1"/>
  <c r="F13857" i="1"/>
  <c r="G13857" i="1"/>
  <c r="H13857" i="1"/>
  <c r="I13857" i="1"/>
  <c r="J13857" i="1"/>
  <c r="K13857" i="1"/>
  <c r="L13857" i="1"/>
  <c r="A13858" i="1"/>
  <c r="B13858" i="1"/>
  <c r="C13858" i="1"/>
  <c r="D13858" i="1"/>
  <c r="E13858" i="1"/>
  <c r="F13858" i="1"/>
  <c r="G13858" i="1"/>
  <c r="H13858" i="1"/>
  <c r="I13858" i="1"/>
  <c r="J13858" i="1"/>
  <c r="K13858" i="1"/>
  <c r="L13858" i="1"/>
  <c r="A13859" i="1"/>
  <c r="B13859" i="1"/>
  <c r="C13859" i="1"/>
  <c r="D13859" i="1"/>
  <c r="E13859" i="1"/>
  <c r="F13859" i="1"/>
  <c r="G13859" i="1"/>
  <c r="H13859" i="1"/>
  <c r="I13859" i="1"/>
  <c r="J13859" i="1"/>
  <c r="K13859" i="1"/>
  <c r="L13859" i="1"/>
  <c r="A13860" i="1"/>
  <c r="B13860" i="1"/>
  <c r="C13860" i="1"/>
  <c r="D13860" i="1"/>
  <c r="E13860" i="1"/>
  <c r="F13860" i="1"/>
  <c r="G13860" i="1"/>
  <c r="H13860" i="1"/>
  <c r="I13860" i="1"/>
  <c r="J13860" i="1"/>
  <c r="K13860" i="1"/>
  <c r="L13860" i="1"/>
  <c r="A13861" i="1"/>
  <c r="B13861" i="1"/>
  <c r="C13861" i="1"/>
  <c r="D13861" i="1"/>
  <c r="E13861" i="1"/>
  <c r="F13861" i="1"/>
  <c r="G13861" i="1"/>
  <c r="H13861" i="1"/>
  <c r="I13861" i="1"/>
  <c r="J13861" i="1"/>
  <c r="K13861" i="1"/>
  <c r="L13861" i="1"/>
  <c r="A13862" i="1"/>
  <c r="B13862" i="1"/>
  <c r="C13862" i="1"/>
  <c r="D13862" i="1"/>
  <c r="E13862" i="1"/>
  <c r="F13862" i="1"/>
  <c r="G13862" i="1"/>
  <c r="H13862" i="1"/>
  <c r="I13862" i="1"/>
  <c r="J13862" i="1"/>
  <c r="K13862" i="1"/>
  <c r="L13862" i="1"/>
  <c r="A13863" i="1"/>
  <c r="B13863" i="1"/>
  <c r="C13863" i="1"/>
  <c r="D13863" i="1"/>
  <c r="E13863" i="1"/>
  <c r="F13863" i="1"/>
  <c r="G13863" i="1"/>
  <c r="H13863" i="1"/>
  <c r="I13863" i="1"/>
  <c r="J13863" i="1"/>
  <c r="K13863" i="1"/>
  <c r="L13863" i="1"/>
  <c r="A13864" i="1"/>
  <c r="B13864" i="1"/>
  <c r="C13864" i="1"/>
  <c r="D13864" i="1"/>
  <c r="E13864" i="1"/>
  <c r="F13864" i="1"/>
  <c r="G13864" i="1"/>
  <c r="H13864" i="1"/>
  <c r="I13864" i="1"/>
  <c r="J13864" i="1"/>
  <c r="K13864" i="1"/>
  <c r="L13864" i="1"/>
  <c r="A13865" i="1"/>
  <c r="B13865" i="1"/>
  <c r="C13865" i="1"/>
  <c r="D13865" i="1"/>
  <c r="E13865" i="1"/>
  <c r="F13865" i="1"/>
  <c r="G13865" i="1"/>
  <c r="H13865" i="1"/>
  <c r="I13865" i="1"/>
  <c r="J13865" i="1"/>
  <c r="K13865" i="1"/>
  <c r="L13865" i="1"/>
  <c r="A13866" i="1"/>
  <c r="B13866" i="1"/>
  <c r="C13866" i="1"/>
  <c r="D13866" i="1"/>
  <c r="E13866" i="1"/>
  <c r="F13866" i="1"/>
  <c r="G13866" i="1"/>
  <c r="H13866" i="1"/>
  <c r="I13866" i="1"/>
  <c r="J13866" i="1"/>
  <c r="K13866" i="1"/>
  <c r="L13866" i="1"/>
  <c r="A13867" i="1"/>
  <c r="B13867" i="1"/>
  <c r="C13867" i="1"/>
  <c r="D13867" i="1"/>
  <c r="E13867" i="1"/>
  <c r="F13867" i="1"/>
  <c r="G13867" i="1"/>
  <c r="H13867" i="1"/>
  <c r="I13867" i="1"/>
  <c r="J13867" i="1"/>
  <c r="K13867" i="1"/>
  <c r="L13867" i="1"/>
  <c r="A13868" i="1"/>
  <c r="B13868" i="1"/>
  <c r="C13868" i="1"/>
  <c r="D13868" i="1"/>
  <c r="E13868" i="1"/>
  <c r="F13868" i="1"/>
  <c r="G13868" i="1"/>
  <c r="H13868" i="1"/>
  <c r="I13868" i="1"/>
  <c r="J13868" i="1"/>
  <c r="K13868" i="1"/>
  <c r="L13868" i="1"/>
  <c r="A13869" i="1"/>
  <c r="B13869" i="1"/>
  <c r="C13869" i="1"/>
  <c r="D13869" i="1"/>
  <c r="E13869" i="1"/>
  <c r="F13869" i="1"/>
  <c r="G13869" i="1"/>
  <c r="H13869" i="1"/>
  <c r="I13869" i="1"/>
  <c r="J13869" i="1"/>
  <c r="K13869" i="1"/>
  <c r="L13869" i="1"/>
  <c r="A13870" i="1"/>
  <c r="B13870" i="1"/>
  <c r="C13870" i="1"/>
  <c r="D13870" i="1"/>
  <c r="E13870" i="1"/>
  <c r="F13870" i="1"/>
  <c r="G13870" i="1"/>
  <c r="H13870" i="1"/>
  <c r="I13870" i="1"/>
  <c r="J13870" i="1"/>
  <c r="K13870" i="1"/>
  <c r="L13870" i="1"/>
  <c r="A13871" i="1"/>
  <c r="B13871" i="1"/>
  <c r="C13871" i="1"/>
  <c r="D13871" i="1"/>
  <c r="E13871" i="1"/>
  <c r="F13871" i="1"/>
  <c r="G13871" i="1"/>
  <c r="H13871" i="1"/>
  <c r="I13871" i="1"/>
  <c r="J13871" i="1"/>
  <c r="K13871" i="1"/>
  <c r="L13871" i="1"/>
  <c r="A13872" i="1"/>
  <c r="B13872" i="1"/>
  <c r="C13872" i="1"/>
  <c r="D13872" i="1"/>
  <c r="E13872" i="1"/>
  <c r="F13872" i="1"/>
  <c r="G13872" i="1"/>
  <c r="H13872" i="1"/>
  <c r="I13872" i="1"/>
  <c r="J13872" i="1"/>
  <c r="K13872" i="1"/>
  <c r="L13872" i="1"/>
  <c r="A13873" i="1"/>
  <c r="B13873" i="1"/>
  <c r="C13873" i="1"/>
  <c r="D13873" i="1"/>
  <c r="E13873" i="1"/>
  <c r="F13873" i="1"/>
  <c r="G13873" i="1"/>
  <c r="H13873" i="1"/>
  <c r="I13873" i="1"/>
  <c r="J13873" i="1"/>
  <c r="K13873" i="1"/>
  <c r="L13873" i="1"/>
  <c r="A13874" i="1"/>
  <c r="B13874" i="1"/>
  <c r="C13874" i="1"/>
  <c r="D13874" i="1"/>
  <c r="E13874" i="1"/>
  <c r="F13874" i="1"/>
  <c r="G13874" i="1"/>
  <c r="H13874" i="1"/>
  <c r="I13874" i="1"/>
  <c r="J13874" i="1"/>
  <c r="K13874" i="1"/>
  <c r="L13874" i="1"/>
  <c r="A13875" i="1"/>
  <c r="B13875" i="1"/>
  <c r="C13875" i="1"/>
  <c r="D13875" i="1"/>
  <c r="E13875" i="1"/>
  <c r="F13875" i="1"/>
  <c r="G13875" i="1"/>
  <c r="H13875" i="1"/>
  <c r="I13875" i="1"/>
  <c r="J13875" i="1"/>
  <c r="K13875" i="1"/>
  <c r="L13875" i="1"/>
  <c r="A13876" i="1"/>
  <c r="B13876" i="1"/>
  <c r="C13876" i="1"/>
  <c r="D13876" i="1"/>
  <c r="E13876" i="1"/>
  <c r="F13876" i="1"/>
  <c r="G13876" i="1"/>
  <c r="H13876" i="1"/>
  <c r="I13876" i="1"/>
  <c r="J13876" i="1"/>
  <c r="K13876" i="1"/>
  <c r="L13876" i="1"/>
  <c r="A13877" i="1"/>
  <c r="B13877" i="1"/>
  <c r="C13877" i="1"/>
  <c r="D13877" i="1"/>
  <c r="E13877" i="1"/>
  <c r="F13877" i="1"/>
  <c r="G13877" i="1"/>
  <c r="H13877" i="1"/>
  <c r="I13877" i="1"/>
  <c r="J13877" i="1"/>
  <c r="K13877" i="1"/>
  <c r="L13877" i="1"/>
  <c r="A13878" i="1"/>
  <c r="B13878" i="1"/>
  <c r="C13878" i="1"/>
  <c r="D13878" i="1"/>
  <c r="E13878" i="1"/>
  <c r="F13878" i="1"/>
  <c r="G13878" i="1"/>
  <c r="H13878" i="1"/>
  <c r="I13878" i="1"/>
  <c r="J13878" i="1"/>
  <c r="K13878" i="1"/>
  <c r="L13878" i="1"/>
  <c r="A13879" i="1"/>
  <c r="B13879" i="1"/>
  <c r="C13879" i="1"/>
  <c r="D13879" i="1"/>
  <c r="E13879" i="1"/>
  <c r="F13879" i="1"/>
  <c r="G13879" i="1"/>
  <c r="H13879" i="1"/>
  <c r="I13879" i="1"/>
  <c r="J13879" i="1"/>
  <c r="K13879" i="1"/>
  <c r="L13879" i="1"/>
  <c r="A13880" i="1"/>
  <c r="B13880" i="1"/>
  <c r="C13880" i="1"/>
  <c r="D13880" i="1"/>
  <c r="E13880" i="1"/>
  <c r="F13880" i="1"/>
  <c r="G13880" i="1"/>
  <c r="H13880" i="1"/>
  <c r="I13880" i="1"/>
  <c r="J13880" i="1"/>
  <c r="K13880" i="1"/>
  <c r="L13880" i="1"/>
  <c r="A13881" i="1"/>
  <c r="B13881" i="1"/>
  <c r="C13881" i="1"/>
  <c r="D13881" i="1"/>
  <c r="E13881" i="1"/>
  <c r="F13881" i="1"/>
  <c r="G13881" i="1"/>
  <c r="H13881" i="1"/>
  <c r="I13881" i="1"/>
  <c r="J13881" i="1"/>
  <c r="K13881" i="1"/>
  <c r="L13881" i="1"/>
  <c r="A13882" i="1"/>
  <c r="B13882" i="1"/>
  <c r="C13882" i="1"/>
  <c r="D13882" i="1"/>
  <c r="E13882" i="1"/>
  <c r="F13882" i="1"/>
  <c r="G13882" i="1"/>
  <c r="H13882" i="1"/>
  <c r="I13882" i="1"/>
  <c r="J13882" i="1"/>
  <c r="K13882" i="1"/>
  <c r="L13882" i="1"/>
  <c r="A13883" i="1"/>
  <c r="B13883" i="1"/>
  <c r="C13883" i="1"/>
  <c r="D13883" i="1"/>
  <c r="E13883" i="1"/>
  <c r="F13883" i="1"/>
  <c r="G13883" i="1"/>
  <c r="H13883" i="1"/>
  <c r="I13883" i="1"/>
  <c r="J13883" i="1"/>
  <c r="K13883" i="1"/>
  <c r="L13883" i="1"/>
  <c r="A13884" i="1"/>
  <c r="B13884" i="1"/>
  <c r="C13884" i="1"/>
  <c r="D13884" i="1"/>
  <c r="E13884" i="1"/>
  <c r="F13884" i="1"/>
  <c r="G13884" i="1"/>
  <c r="H13884" i="1"/>
  <c r="I13884" i="1"/>
  <c r="J13884" i="1"/>
  <c r="K13884" i="1"/>
  <c r="L13884" i="1"/>
  <c r="A13885" i="1"/>
  <c r="B13885" i="1"/>
  <c r="C13885" i="1"/>
  <c r="D13885" i="1"/>
  <c r="E13885" i="1"/>
  <c r="F13885" i="1"/>
  <c r="G13885" i="1"/>
  <c r="H13885" i="1"/>
  <c r="I13885" i="1"/>
  <c r="J13885" i="1"/>
  <c r="K13885" i="1"/>
  <c r="L13885" i="1"/>
  <c r="A13886" i="1"/>
  <c r="B13886" i="1"/>
  <c r="C13886" i="1"/>
  <c r="D13886" i="1"/>
  <c r="E13886" i="1"/>
  <c r="F13886" i="1"/>
  <c r="G13886" i="1"/>
  <c r="H13886" i="1"/>
  <c r="I13886" i="1"/>
  <c r="J13886" i="1"/>
  <c r="K13886" i="1"/>
  <c r="L13886" i="1"/>
  <c r="A13887" i="1"/>
  <c r="B13887" i="1"/>
  <c r="C13887" i="1"/>
  <c r="D13887" i="1"/>
  <c r="E13887" i="1"/>
  <c r="F13887" i="1"/>
  <c r="G13887" i="1"/>
  <c r="H13887" i="1"/>
  <c r="I13887" i="1"/>
  <c r="J13887" i="1"/>
  <c r="K13887" i="1"/>
  <c r="L13887" i="1"/>
  <c r="A13888" i="1"/>
  <c r="B13888" i="1"/>
  <c r="C13888" i="1"/>
  <c r="D13888" i="1"/>
  <c r="E13888" i="1"/>
  <c r="F13888" i="1"/>
  <c r="G13888" i="1"/>
  <c r="H13888" i="1"/>
  <c r="I13888" i="1"/>
  <c r="J13888" i="1"/>
  <c r="K13888" i="1"/>
  <c r="L13888" i="1"/>
  <c r="A13889" i="1"/>
  <c r="B13889" i="1"/>
  <c r="C13889" i="1"/>
  <c r="D13889" i="1"/>
  <c r="E13889" i="1"/>
  <c r="F13889" i="1"/>
  <c r="G13889" i="1"/>
  <c r="H13889" i="1"/>
  <c r="I13889" i="1"/>
  <c r="J13889" i="1"/>
  <c r="K13889" i="1"/>
  <c r="L13889" i="1"/>
  <c r="A13890" i="1"/>
  <c r="B13890" i="1"/>
  <c r="C13890" i="1"/>
  <c r="D13890" i="1"/>
  <c r="E13890" i="1"/>
  <c r="F13890" i="1"/>
  <c r="G13890" i="1"/>
  <c r="H13890" i="1"/>
  <c r="I13890" i="1"/>
  <c r="J13890" i="1"/>
  <c r="K13890" i="1"/>
  <c r="L13890" i="1"/>
  <c r="A13891" i="1"/>
  <c r="B13891" i="1"/>
  <c r="C13891" i="1"/>
  <c r="D13891" i="1"/>
  <c r="E13891" i="1"/>
  <c r="F13891" i="1"/>
  <c r="G13891" i="1"/>
  <c r="H13891" i="1"/>
  <c r="I13891" i="1"/>
  <c r="J13891" i="1"/>
  <c r="K13891" i="1"/>
  <c r="L13891" i="1"/>
  <c r="A13892" i="1"/>
  <c r="B13892" i="1"/>
  <c r="C13892" i="1"/>
  <c r="D13892" i="1"/>
  <c r="E13892" i="1"/>
  <c r="F13892" i="1"/>
  <c r="G13892" i="1"/>
  <c r="H13892" i="1"/>
  <c r="I13892" i="1"/>
  <c r="J13892" i="1"/>
  <c r="K13892" i="1"/>
  <c r="L13892" i="1"/>
  <c r="A13893" i="1"/>
  <c r="B13893" i="1"/>
  <c r="C13893" i="1"/>
  <c r="D13893" i="1"/>
  <c r="E13893" i="1"/>
  <c r="F13893" i="1"/>
  <c r="G13893" i="1"/>
  <c r="H13893" i="1"/>
  <c r="I13893" i="1"/>
  <c r="J13893" i="1"/>
  <c r="K13893" i="1"/>
  <c r="L13893" i="1"/>
  <c r="A13894" i="1"/>
  <c r="B13894" i="1"/>
  <c r="C13894" i="1"/>
  <c r="D13894" i="1"/>
  <c r="E13894" i="1"/>
  <c r="F13894" i="1"/>
  <c r="G13894" i="1"/>
  <c r="H13894" i="1"/>
  <c r="I13894" i="1"/>
  <c r="J13894" i="1"/>
  <c r="K13894" i="1"/>
  <c r="L13894" i="1"/>
  <c r="A13895" i="1"/>
  <c r="B13895" i="1"/>
  <c r="C13895" i="1"/>
  <c r="D13895" i="1"/>
  <c r="E13895" i="1"/>
  <c r="F13895" i="1"/>
  <c r="G13895" i="1"/>
  <c r="H13895" i="1"/>
  <c r="I13895" i="1"/>
  <c r="J13895" i="1"/>
  <c r="K13895" i="1"/>
  <c r="L13895" i="1"/>
  <c r="A13896" i="1"/>
  <c r="B13896" i="1"/>
  <c r="C13896" i="1"/>
  <c r="D13896" i="1"/>
  <c r="E13896" i="1"/>
  <c r="F13896" i="1"/>
  <c r="G13896" i="1"/>
  <c r="H13896" i="1"/>
  <c r="I13896" i="1"/>
  <c r="J13896" i="1"/>
  <c r="K13896" i="1"/>
  <c r="L13896" i="1"/>
  <c r="A13897" i="1"/>
  <c r="B13897" i="1"/>
  <c r="C13897" i="1"/>
  <c r="D13897" i="1"/>
  <c r="E13897" i="1"/>
  <c r="F13897" i="1"/>
  <c r="G13897" i="1"/>
  <c r="H13897" i="1"/>
  <c r="I13897" i="1"/>
  <c r="J13897" i="1"/>
  <c r="K13897" i="1"/>
  <c r="L13897" i="1"/>
  <c r="A13898" i="1"/>
  <c r="B13898" i="1"/>
  <c r="C13898" i="1"/>
  <c r="D13898" i="1"/>
  <c r="E13898" i="1"/>
  <c r="F13898" i="1"/>
  <c r="G13898" i="1"/>
  <c r="H13898" i="1"/>
  <c r="I13898" i="1"/>
  <c r="J13898" i="1"/>
  <c r="K13898" i="1"/>
  <c r="L13898" i="1"/>
  <c r="A13899" i="1"/>
  <c r="B13899" i="1"/>
  <c r="C13899" i="1"/>
  <c r="D13899" i="1"/>
  <c r="E13899" i="1"/>
  <c r="F13899" i="1"/>
  <c r="G13899" i="1"/>
  <c r="H13899" i="1"/>
  <c r="I13899" i="1"/>
  <c r="J13899" i="1"/>
  <c r="K13899" i="1"/>
  <c r="L13899" i="1"/>
  <c r="A13900" i="1"/>
  <c r="B13900" i="1"/>
  <c r="C13900" i="1"/>
  <c r="D13900" i="1"/>
  <c r="E13900" i="1"/>
  <c r="F13900" i="1"/>
  <c r="G13900" i="1"/>
  <c r="H13900" i="1"/>
  <c r="I13900" i="1"/>
  <c r="J13900" i="1"/>
  <c r="K13900" i="1"/>
  <c r="L13900" i="1"/>
  <c r="A13901" i="1"/>
  <c r="B13901" i="1"/>
  <c r="C13901" i="1"/>
  <c r="D13901" i="1"/>
  <c r="E13901" i="1"/>
  <c r="F13901" i="1"/>
  <c r="G13901" i="1"/>
  <c r="H13901" i="1"/>
  <c r="I13901" i="1"/>
  <c r="J13901" i="1"/>
  <c r="K13901" i="1"/>
  <c r="L13901" i="1"/>
  <c r="A13902" i="1"/>
  <c r="B13902" i="1"/>
  <c r="C13902" i="1"/>
  <c r="D13902" i="1"/>
  <c r="E13902" i="1"/>
  <c r="F13902" i="1"/>
  <c r="G13902" i="1"/>
  <c r="H13902" i="1"/>
  <c r="I13902" i="1"/>
  <c r="J13902" i="1"/>
  <c r="K13902" i="1"/>
  <c r="L13902" i="1"/>
  <c r="A13903" i="1"/>
  <c r="B13903" i="1"/>
  <c r="C13903" i="1"/>
  <c r="D13903" i="1"/>
  <c r="E13903" i="1"/>
  <c r="F13903" i="1"/>
  <c r="G13903" i="1"/>
  <c r="H13903" i="1"/>
  <c r="I13903" i="1"/>
  <c r="J13903" i="1"/>
  <c r="K13903" i="1"/>
  <c r="L13903" i="1"/>
  <c r="A13904" i="1"/>
  <c r="B13904" i="1"/>
  <c r="C13904" i="1"/>
  <c r="D13904" i="1"/>
  <c r="E13904" i="1"/>
  <c r="F13904" i="1"/>
  <c r="G13904" i="1"/>
  <c r="H13904" i="1"/>
  <c r="I13904" i="1"/>
  <c r="J13904" i="1"/>
  <c r="K13904" i="1"/>
  <c r="L13904" i="1"/>
  <c r="A13905" i="1"/>
  <c r="B13905" i="1"/>
  <c r="C13905" i="1"/>
  <c r="D13905" i="1"/>
  <c r="E13905" i="1"/>
  <c r="F13905" i="1"/>
  <c r="G13905" i="1"/>
  <c r="H13905" i="1"/>
  <c r="I13905" i="1"/>
  <c r="J13905" i="1"/>
  <c r="K13905" i="1"/>
  <c r="L13905" i="1"/>
  <c r="A13906" i="1"/>
  <c r="B13906" i="1"/>
  <c r="C13906" i="1"/>
  <c r="D13906" i="1"/>
  <c r="E13906" i="1"/>
  <c r="F13906" i="1"/>
  <c r="G13906" i="1"/>
  <c r="H13906" i="1"/>
  <c r="I13906" i="1"/>
  <c r="J13906" i="1"/>
  <c r="K13906" i="1"/>
  <c r="L13906" i="1"/>
  <c r="A13907" i="1"/>
  <c r="B13907" i="1"/>
  <c r="C13907" i="1"/>
  <c r="D13907" i="1"/>
  <c r="E13907" i="1"/>
  <c r="F13907" i="1"/>
  <c r="G13907" i="1"/>
  <c r="H13907" i="1"/>
  <c r="I13907" i="1"/>
  <c r="J13907" i="1"/>
  <c r="K13907" i="1"/>
  <c r="L13907" i="1"/>
  <c r="A13908" i="1"/>
  <c r="B13908" i="1"/>
  <c r="C13908" i="1"/>
  <c r="D13908" i="1"/>
  <c r="E13908" i="1"/>
  <c r="F13908" i="1"/>
  <c r="G13908" i="1"/>
  <c r="H13908" i="1"/>
  <c r="I13908" i="1"/>
  <c r="J13908" i="1"/>
  <c r="K13908" i="1"/>
  <c r="L13908" i="1"/>
  <c r="A13909" i="1"/>
  <c r="B13909" i="1"/>
  <c r="C13909" i="1"/>
  <c r="D13909" i="1"/>
  <c r="E13909" i="1"/>
  <c r="F13909" i="1"/>
  <c r="G13909" i="1"/>
  <c r="H13909" i="1"/>
  <c r="I13909" i="1"/>
  <c r="J13909" i="1"/>
  <c r="K13909" i="1"/>
  <c r="L13909" i="1"/>
  <c r="A13910" i="1"/>
  <c r="B13910" i="1"/>
  <c r="C13910" i="1"/>
  <c r="D13910" i="1"/>
  <c r="E13910" i="1"/>
  <c r="F13910" i="1"/>
  <c r="G13910" i="1"/>
  <c r="H13910" i="1"/>
  <c r="I13910" i="1"/>
  <c r="J13910" i="1"/>
  <c r="K13910" i="1"/>
  <c r="L13910" i="1"/>
  <c r="A13911" i="1"/>
  <c r="B13911" i="1"/>
  <c r="C13911" i="1"/>
  <c r="D13911" i="1"/>
  <c r="E13911" i="1"/>
  <c r="F13911" i="1"/>
  <c r="G13911" i="1"/>
  <c r="H13911" i="1"/>
  <c r="I13911" i="1"/>
  <c r="J13911" i="1"/>
  <c r="K13911" i="1"/>
  <c r="L13911" i="1"/>
  <c r="A13912" i="1"/>
  <c r="B13912" i="1"/>
  <c r="C13912" i="1"/>
  <c r="D13912" i="1"/>
  <c r="E13912" i="1"/>
  <c r="F13912" i="1"/>
  <c r="G13912" i="1"/>
  <c r="H13912" i="1"/>
  <c r="I13912" i="1"/>
  <c r="J13912" i="1"/>
  <c r="K13912" i="1"/>
  <c r="L13912" i="1"/>
  <c r="A13913" i="1"/>
  <c r="B13913" i="1"/>
  <c r="C13913" i="1"/>
  <c r="D13913" i="1"/>
  <c r="E13913" i="1"/>
  <c r="F13913" i="1"/>
  <c r="G13913" i="1"/>
  <c r="H13913" i="1"/>
  <c r="I13913" i="1"/>
  <c r="J13913" i="1"/>
  <c r="K13913" i="1"/>
  <c r="L13913" i="1"/>
  <c r="A13914" i="1"/>
  <c r="B13914" i="1"/>
  <c r="C13914" i="1"/>
  <c r="D13914" i="1"/>
  <c r="E13914" i="1"/>
  <c r="F13914" i="1"/>
  <c r="G13914" i="1"/>
  <c r="H13914" i="1"/>
  <c r="I13914" i="1"/>
  <c r="J13914" i="1"/>
  <c r="K13914" i="1"/>
  <c r="L13914" i="1"/>
  <c r="A13915" i="1"/>
  <c r="B13915" i="1"/>
  <c r="C13915" i="1"/>
  <c r="D13915" i="1"/>
  <c r="E13915" i="1"/>
  <c r="F13915" i="1"/>
  <c r="G13915" i="1"/>
  <c r="H13915" i="1"/>
  <c r="I13915" i="1"/>
  <c r="J13915" i="1"/>
  <c r="K13915" i="1"/>
  <c r="L13915" i="1"/>
  <c r="A13916" i="1"/>
  <c r="B13916" i="1"/>
  <c r="C13916" i="1"/>
  <c r="D13916" i="1"/>
  <c r="E13916" i="1"/>
  <c r="F13916" i="1"/>
  <c r="G13916" i="1"/>
  <c r="H13916" i="1"/>
  <c r="I13916" i="1"/>
  <c r="J13916" i="1"/>
  <c r="K13916" i="1"/>
  <c r="L13916" i="1"/>
  <c r="A13917" i="1"/>
  <c r="B13917" i="1"/>
  <c r="C13917" i="1"/>
  <c r="D13917" i="1"/>
  <c r="E13917" i="1"/>
  <c r="F13917" i="1"/>
  <c r="G13917" i="1"/>
  <c r="H13917" i="1"/>
  <c r="I13917" i="1"/>
  <c r="J13917" i="1"/>
  <c r="K13917" i="1"/>
  <c r="L13917" i="1"/>
  <c r="A13918" i="1"/>
  <c r="B13918" i="1"/>
  <c r="C13918" i="1"/>
  <c r="D13918" i="1"/>
  <c r="E13918" i="1"/>
  <c r="F13918" i="1"/>
  <c r="G13918" i="1"/>
  <c r="H13918" i="1"/>
  <c r="I13918" i="1"/>
  <c r="J13918" i="1"/>
  <c r="K13918" i="1"/>
  <c r="L13918" i="1"/>
  <c r="A13919" i="1"/>
  <c r="B13919" i="1"/>
  <c r="C13919" i="1"/>
  <c r="D13919" i="1"/>
  <c r="E13919" i="1"/>
  <c r="F13919" i="1"/>
  <c r="G13919" i="1"/>
  <c r="H13919" i="1"/>
  <c r="I13919" i="1"/>
  <c r="J13919" i="1"/>
  <c r="K13919" i="1"/>
  <c r="L13919" i="1"/>
  <c r="A13920" i="1"/>
  <c r="B13920" i="1"/>
  <c r="C13920" i="1"/>
  <c r="D13920" i="1"/>
  <c r="E13920" i="1"/>
  <c r="F13920" i="1"/>
  <c r="G13920" i="1"/>
  <c r="H13920" i="1"/>
  <c r="I13920" i="1"/>
  <c r="J13920" i="1"/>
  <c r="K13920" i="1"/>
  <c r="L13920" i="1"/>
  <c r="A13921" i="1"/>
  <c r="B13921" i="1"/>
  <c r="C13921" i="1"/>
  <c r="D13921" i="1"/>
  <c r="E13921" i="1"/>
  <c r="F13921" i="1"/>
  <c r="G13921" i="1"/>
  <c r="H13921" i="1"/>
  <c r="I13921" i="1"/>
  <c r="J13921" i="1"/>
  <c r="K13921" i="1"/>
  <c r="L13921" i="1"/>
  <c r="A13922" i="1"/>
  <c r="B13922" i="1"/>
  <c r="C13922" i="1"/>
  <c r="D13922" i="1"/>
  <c r="E13922" i="1"/>
  <c r="F13922" i="1"/>
  <c r="G13922" i="1"/>
  <c r="H13922" i="1"/>
  <c r="I13922" i="1"/>
  <c r="J13922" i="1"/>
  <c r="K13922" i="1"/>
  <c r="L13922" i="1"/>
  <c r="A13923" i="1"/>
  <c r="B13923" i="1"/>
  <c r="C13923" i="1"/>
  <c r="D13923" i="1"/>
  <c r="E13923" i="1"/>
  <c r="F13923" i="1"/>
  <c r="G13923" i="1"/>
  <c r="H13923" i="1"/>
  <c r="I13923" i="1"/>
  <c r="J13923" i="1"/>
  <c r="K13923" i="1"/>
  <c r="L13923" i="1"/>
  <c r="A13924" i="1"/>
  <c r="B13924" i="1"/>
  <c r="C13924" i="1"/>
  <c r="D13924" i="1"/>
  <c r="E13924" i="1"/>
  <c r="F13924" i="1"/>
  <c r="G13924" i="1"/>
  <c r="H13924" i="1"/>
  <c r="I13924" i="1"/>
  <c r="J13924" i="1"/>
  <c r="K13924" i="1"/>
  <c r="L13924" i="1"/>
  <c r="A13925" i="1"/>
  <c r="B13925" i="1"/>
  <c r="C13925" i="1"/>
  <c r="D13925" i="1"/>
  <c r="E13925" i="1"/>
  <c r="F13925" i="1"/>
  <c r="G13925" i="1"/>
  <c r="H13925" i="1"/>
  <c r="I13925" i="1"/>
  <c r="J13925" i="1"/>
  <c r="K13925" i="1"/>
  <c r="L13925" i="1"/>
  <c r="A13926" i="1"/>
  <c r="B13926" i="1"/>
  <c r="C13926" i="1"/>
  <c r="D13926" i="1"/>
  <c r="E13926" i="1"/>
  <c r="F13926" i="1"/>
  <c r="G13926" i="1"/>
  <c r="H13926" i="1"/>
  <c r="I13926" i="1"/>
  <c r="J13926" i="1"/>
  <c r="K13926" i="1"/>
  <c r="L13926" i="1"/>
  <c r="A13927" i="1"/>
  <c r="B13927" i="1"/>
  <c r="C13927" i="1"/>
  <c r="D13927" i="1"/>
  <c r="E13927" i="1"/>
  <c r="F13927" i="1"/>
  <c r="G13927" i="1"/>
  <c r="H13927" i="1"/>
  <c r="I13927" i="1"/>
  <c r="J13927" i="1"/>
  <c r="K13927" i="1"/>
  <c r="L13927" i="1"/>
  <c r="A13928" i="1"/>
  <c r="B13928" i="1"/>
  <c r="C13928" i="1"/>
  <c r="D13928" i="1"/>
  <c r="E13928" i="1"/>
  <c r="F13928" i="1"/>
  <c r="G13928" i="1"/>
  <c r="H13928" i="1"/>
  <c r="I13928" i="1"/>
  <c r="J13928" i="1"/>
  <c r="K13928" i="1"/>
  <c r="L13928" i="1"/>
  <c r="A13929" i="1"/>
  <c r="B13929" i="1"/>
  <c r="C13929" i="1"/>
  <c r="D13929" i="1"/>
  <c r="E13929" i="1"/>
  <c r="F13929" i="1"/>
  <c r="G13929" i="1"/>
  <c r="H13929" i="1"/>
  <c r="I13929" i="1"/>
  <c r="J13929" i="1"/>
  <c r="K13929" i="1"/>
  <c r="L13929" i="1"/>
  <c r="A13930" i="1"/>
  <c r="B13930" i="1"/>
  <c r="C13930" i="1"/>
  <c r="D13930" i="1"/>
  <c r="E13930" i="1"/>
  <c r="F13930" i="1"/>
  <c r="G13930" i="1"/>
  <c r="H13930" i="1"/>
  <c r="I13930" i="1"/>
  <c r="J13930" i="1"/>
  <c r="K13930" i="1"/>
  <c r="L13930" i="1"/>
  <c r="A13931" i="1"/>
  <c r="B13931" i="1"/>
  <c r="C13931" i="1"/>
  <c r="D13931" i="1"/>
  <c r="E13931" i="1"/>
  <c r="F13931" i="1"/>
  <c r="G13931" i="1"/>
  <c r="H13931" i="1"/>
  <c r="I13931" i="1"/>
  <c r="J13931" i="1"/>
  <c r="K13931" i="1"/>
  <c r="L13931" i="1"/>
  <c r="A13932" i="1"/>
  <c r="B13932" i="1"/>
  <c r="C13932" i="1"/>
  <c r="D13932" i="1"/>
  <c r="E13932" i="1"/>
  <c r="F13932" i="1"/>
  <c r="G13932" i="1"/>
  <c r="H13932" i="1"/>
  <c r="I13932" i="1"/>
  <c r="J13932" i="1"/>
  <c r="K13932" i="1"/>
  <c r="L13932" i="1"/>
  <c r="A13933" i="1"/>
  <c r="B13933" i="1"/>
  <c r="C13933" i="1"/>
  <c r="D13933" i="1"/>
  <c r="E13933" i="1"/>
  <c r="F13933" i="1"/>
  <c r="G13933" i="1"/>
  <c r="H13933" i="1"/>
  <c r="I13933" i="1"/>
  <c r="J13933" i="1"/>
  <c r="K13933" i="1"/>
  <c r="L13933" i="1"/>
  <c r="A13934" i="1"/>
  <c r="B13934" i="1"/>
  <c r="C13934" i="1"/>
  <c r="D13934" i="1"/>
  <c r="E13934" i="1"/>
  <c r="F13934" i="1"/>
  <c r="G13934" i="1"/>
  <c r="H13934" i="1"/>
  <c r="I13934" i="1"/>
  <c r="J13934" i="1"/>
  <c r="K13934" i="1"/>
  <c r="L13934" i="1"/>
  <c r="A13935" i="1"/>
  <c r="B13935" i="1"/>
  <c r="C13935" i="1"/>
  <c r="D13935" i="1"/>
  <c r="E13935" i="1"/>
  <c r="F13935" i="1"/>
  <c r="G13935" i="1"/>
  <c r="H13935" i="1"/>
  <c r="I13935" i="1"/>
  <c r="J13935" i="1"/>
  <c r="K13935" i="1"/>
  <c r="L13935" i="1"/>
  <c r="A13936" i="1"/>
  <c r="B13936" i="1"/>
  <c r="C13936" i="1"/>
  <c r="D13936" i="1"/>
  <c r="E13936" i="1"/>
  <c r="F13936" i="1"/>
  <c r="G13936" i="1"/>
  <c r="H13936" i="1"/>
  <c r="I13936" i="1"/>
  <c r="J13936" i="1"/>
  <c r="K13936" i="1"/>
  <c r="L13936" i="1"/>
  <c r="A13937" i="1"/>
  <c r="B13937" i="1"/>
  <c r="C13937" i="1"/>
  <c r="D13937" i="1"/>
  <c r="E13937" i="1"/>
  <c r="F13937" i="1"/>
  <c r="G13937" i="1"/>
  <c r="H13937" i="1"/>
  <c r="I13937" i="1"/>
  <c r="J13937" i="1"/>
  <c r="K13937" i="1"/>
  <c r="L13937" i="1"/>
  <c r="A13938" i="1"/>
  <c r="B13938" i="1"/>
  <c r="C13938" i="1"/>
  <c r="D13938" i="1"/>
  <c r="E13938" i="1"/>
  <c r="F13938" i="1"/>
  <c r="G13938" i="1"/>
  <c r="H13938" i="1"/>
  <c r="I13938" i="1"/>
  <c r="J13938" i="1"/>
  <c r="K13938" i="1"/>
  <c r="L13938" i="1"/>
  <c r="A13939" i="1"/>
  <c r="B13939" i="1"/>
  <c r="C13939" i="1"/>
  <c r="D13939" i="1"/>
  <c r="E13939" i="1"/>
  <c r="F13939" i="1"/>
  <c r="G13939" i="1"/>
  <c r="H13939" i="1"/>
  <c r="I13939" i="1"/>
  <c r="J13939" i="1"/>
  <c r="K13939" i="1"/>
  <c r="L13939" i="1"/>
  <c r="A13940" i="1"/>
  <c r="B13940" i="1"/>
  <c r="C13940" i="1"/>
  <c r="D13940" i="1"/>
  <c r="E13940" i="1"/>
  <c r="F13940" i="1"/>
  <c r="G13940" i="1"/>
  <c r="H13940" i="1"/>
  <c r="I13940" i="1"/>
  <c r="J13940" i="1"/>
  <c r="K13940" i="1"/>
  <c r="L13940" i="1"/>
  <c r="A13941" i="1"/>
  <c r="B13941" i="1"/>
  <c r="C13941" i="1"/>
  <c r="D13941" i="1"/>
  <c r="E13941" i="1"/>
  <c r="F13941" i="1"/>
  <c r="G13941" i="1"/>
  <c r="H13941" i="1"/>
  <c r="I13941" i="1"/>
  <c r="J13941" i="1"/>
  <c r="K13941" i="1"/>
  <c r="L13941" i="1"/>
  <c r="A13942" i="1"/>
  <c r="B13942" i="1"/>
  <c r="C13942" i="1"/>
  <c r="D13942" i="1"/>
  <c r="E13942" i="1"/>
  <c r="F13942" i="1"/>
  <c r="G13942" i="1"/>
  <c r="H13942" i="1"/>
  <c r="I13942" i="1"/>
  <c r="J13942" i="1"/>
  <c r="K13942" i="1"/>
  <c r="L13942" i="1"/>
  <c r="A13943" i="1"/>
  <c r="B13943" i="1"/>
  <c r="C13943" i="1"/>
  <c r="D13943" i="1"/>
  <c r="E13943" i="1"/>
  <c r="F13943" i="1"/>
  <c r="G13943" i="1"/>
  <c r="H13943" i="1"/>
  <c r="I13943" i="1"/>
  <c r="J13943" i="1"/>
  <c r="K13943" i="1"/>
  <c r="L13943" i="1"/>
  <c r="A13944" i="1"/>
  <c r="B13944" i="1"/>
  <c r="C13944" i="1"/>
  <c r="D13944" i="1"/>
  <c r="E13944" i="1"/>
  <c r="F13944" i="1"/>
  <c r="G13944" i="1"/>
  <c r="H13944" i="1"/>
  <c r="I13944" i="1"/>
  <c r="J13944" i="1"/>
  <c r="K13944" i="1"/>
  <c r="L13944" i="1"/>
  <c r="A13945" i="1"/>
  <c r="B13945" i="1"/>
  <c r="C13945" i="1"/>
  <c r="D13945" i="1"/>
  <c r="E13945" i="1"/>
  <c r="F13945" i="1"/>
  <c r="G13945" i="1"/>
  <c r="H13945" i="1"/>
  <c r="I13945" i="1"/>
  <c r="J13945" i="1"/>
  <c r="K13945" i="1"/>
  <c r="L13945" i="1"/>
  <c r="A13946" i="1"/>
  <c r="B13946" i="1"/>
  <c r="C13946" i="1"/>
  <c r="D13946" i="1"/>
  <c r="E13946" i="1"/>
  <c r="F13946" i="1"/>
  <c r="G13946" i="1"/>
  <c r="H13946" i="1"/>
  <c r="I13946" i="1"/>
  <c r="J13946" i="1"/>
  <c r="K13946" i="1"/>
  <c r="L13946" i="1"/>
  <c r="A13947" i="1"/>
  <c r="B13947" i="1"/>
  <c r="C13947" i="1"/>
  <c r="D13947" i="1"/>
  <c r="E13947" i="1"/>
  <c r="F13947" i="1"/>
  <c r="G13947" i="1"/>
  <c r="H13947" i="1"/>
  <c r="I13947" i="1"/>
  <c r="J13947" i="1"/>
  <c r="K13947" i="1"/>
  <c r="L13947" i="1"/>
  <c r="A13948" i="1"/>
  <c r="B13948" i="1"/>
  <c r="C13948" i="1"/>
  <c r="D13948" i="1"/>
  <c r="E13948" i="1"/>
  <c r="F13948" i="1"/>
  <c r="G13948" i="1"/>
  <c r="H13948" i="1"/>
  <c r="I13948" i="1"/>
  <c r="J13948" i="1"/>
  <c r="K13948" i="1"/>
  <c r="L13948" i="1"/>
  <c r="A13949" i="1"/>
  <c r="B13949" i="1"/>
  <c r="C13949" i="1"/>
  <c r="D13949" i="1"/>
  <c r="E13949" i="1"/>
  <c r="F13949" i="1"/>
  <c r="G13949" i="1"/>
  <c r="H13949" i="1"/>
  <c r="I13949" i="1"/>
  <c r="J13949" i="1"/>
  <c r="K13949" i="1"/>
  <c r="L13949" i="1"/>
  <c r="A13950" i="1"/>
  <c r="B13950" i="1"/>
  <c r="C13950" i="1"/>
  <c r="D13950" i="1"/>
  <c r="E13950" i="1"/>
  <c r="F13950" i="1"/>
  <c r="G13950" i="1"/>
  <c r="H13950" i="1"/>
  <c r="I13950" i="1"/>
  <c r="J13950" i="1"/>
  <c r="K13950" i="1"/>
  <c r="L13950" i="1"/>
  <c r="A13951" i="1"/>
  <c r="B13951" i="1"/>
  <c r="C13951" i="1"/>
  <c r="D13951" i="1"/>
  <c r="E13951" i="1"/>
  <c r="F13951" i="1"/>
  <c r="G13951" i="1"/>
  <c r="H13951" i="1"/>
  <c r="I13951" i="1"/>
  <c r="J13951" i="1"/>
  <c r="K13951" i="1"/>
  <c r="L13951" i="1"/>
  <c r="A13952" i="1"/>
  <c r="B13952" i="1"/>
  <c r="C13952" i="1"/>
  <c r="D13952" i="1"/>
  <c r="E13952" i="1"/>
  <c r="F13952" i="1"/>
  <c r="G13952" i="1"/>
  <c r="H13952" i="1"/>
  <c r="I13952" i="1"/>
  <c r="J13952" i="1"/>
  <c r="K13952" i="1"/>
  <c r="L13952" i="1"/>
  <c r="A13953" i="1"/>
  <c r="B13953" i="1"/>
  <c r="C13953" i="1"/>
  <c r="D13953" i="1"/>
  <c r="E13953" i="1"/>
  <c r="F13953" i="1"/>
  <c r="G13953" i="1"/>
  <c r="H13953" i="1"/>
  <c r="I13953" i="1"/>
  <c r="J13953" i="1"/>
  <c r="K13953" i="1"/>
  <c r="L13953" i="1"/>
  <c r="A13954" i="1"/>
  <c r="B13954" i="1"/>
  <c r="C13954" i="1"/>
  <c r="D13954" i="1"/>
  <c r="E13954" i="1"/>
  <c r="F13954" i="1"/>
  <c r="G13954" i="1"/>
  <c r="H13954" i="1"/>
  <c r="I13954" i="1"/>
  <c r="J13954" i="1"/>
  <c r="K13954" i="1"/>
  <c r="L13954" i="1"/>
  <c r="A13955" i="1"/>
  <c r="B13955" i="1"/>
  <c r="C13955" i="1"/>
  <c r="D13955" i="1"/>
  <c r="E13955" i="1"/>
  <c r="F13955" i="1"/>
  <c r="G13955" i="1"/>
  <c r="H13955" i="1"/>
  <c r="I13955" i="1"/>
  <c r="J13955" i="1"/>
  <c r="K13955" i="1"/>
  <c r="L13955" i="1"/>
  <c r="A13956" i="1"/>
  <c r="B13956" i="1"/>
  <c r="C13956" i="1"/>
  <c r="D13956" i="1"/>
  <c r="E13956" i="1"/>
  <c r="F13956" i="1"/>
  <c r="G13956" i="1"/>
  <c r="H13956" i="1"/>
  <c r="I13956" i="1"/>
  <c r="J13956" i="1"/>
  <c r="K13956" i="1"/>
  <c r="L13956" i="1"/>
  <c r="A13957" i="1"/>
  <c r="B13957" i="1"/>
  <c r="C13957" i="1"/>
  <c r="D13957" i="1"/>
  <c r="E13957" i="1"/>
  <c r="F13957" i="1"/>
  <c r="G13957" i="1"/>
  <c r="H13957" i="1"/>
  <c r="I13957" i="1"/>
  <c r="J13957" i="1"/>
  <c r="K13957" i="1"/>
  <c r="L13957" i="1"/>
  <c r="A13958" i="1"/>
  <c r="B13958" i="1"/>
  <c r="C13958" i="1"/>
  <c r="D13958" i="1"/>
  <c r="E13958" i="1"/>
  <c r="F13958" i="1"/>
  <c r="G13958" i="1"/>
  <c r="H13958" i="1"/>
  <c r="I13958" i="1"/>
  <c r="J13958" i="1"/>
  <c r="K13958" i="1"/>
  <c r="L13958" i="1"/>
  <c r="A13959" i="1"/>
  <c r="B13959" i="1"/>
  <c r="C13959" i="1"/>
  <c r="D13959" i="1"/>
  <c r="E13959" i="1"/>
  <c r="F13959" i="1"/>
  <c r="G13959" i="1"/>
  <c r="H13959" i="1"/>
  <c r="I13959" i="1"/>
  <c r="J13959" i="1"/>
  <c r="K13959" i="1"/>
  <c r="L13959" i="1"/>
  <c r="A13960" i="1"/>
  <c r="B13960" i="1"/>
  <c r="C13960" i="1"/>
  <c r="D13960" i="1"/>
  <c r="E13960" i="1"/>
  <c r="F13960" i="1"/>
  <c r="G13960" i="1"/>
  <c r="H13960" i="1"/>
  <c r="I13960" i="1"/>
  <c r="J13960" i="1"/>
  <c r="K13960" i="1"/>
  <c r="L13960" i="1"/>
  <c r="A13961" i="1"/>
  <c r="B13961" i="1"/>
  <c r="C13961" i="1"/>
  <c r="D13961" i="1"/>
  <c r="E13961" i="1"/>
  <c r="F13961" i="1"/>
  <c r="G13961" i="1"/>
  <c r="H13961" i="1"/>
  <c r="I13961" i="1"/>
  <c r="J13961" i="1"/>
  <c r="K13961" i="1"/>
  <c r="L13961" i="1"/>
  <c r="A13962" i="1"/>
  <c r="B13962" i="1"/>
  <c r="C13962" i="1"/>
  <c r="D13962" i="1"/>
  <c r="E13962" i="1"/>
  <c r="F13962" i="1"/>
  <c r="G13962" i="1"/>
  <c r="H13962" i="1"/>
  <c r="I13962" i="1"/>
  <c r="J13962" i="1"/>
  <c r="K13962" i="1"/>
  <c r="L13962" i="1"/>
  <c r="A13963" i="1"/>
  <c r="B13963" i="1"/>
  <c r="C13963" i="1"/>
  <c r="D13963" i="1"/>
  <c r="E13963" i="1"/>
  <c r="F13963" i="1"/>
  <c r="G13963" i="1"/>
  <c r="H13963" i="1"/>
  <c r="I13963" i="1"/>
  <c r="J13963" i="1"/>
  <c r="K13963" i="1"/>
  <c r="L13963" i="1"/>
  <c r="A13964" i="1"/>
  <c r="B13964" i="1"/>
  <c r="C13964" i="1"/>
  <c r="D13964" i="1"/>
  <c r="E13964" i="1"/>
  <c r="F13964" i="1"/>
  <c r="G13964" i="1"/>
  <c r="H13964" i="1"/>
  <c r="I13964" i="1"/>
  <c r="J13964" i="1"/>
  <c r="K13964" i="1"/>
  <c r="L13964" i="1"/>
  <c r="A13965" i="1"/>
  <c r="B13965" i="1"/>
  <c r="C13965" i="1"/>
  <c r="D13965" i="1"/>
  <c r="E13965" i="1"/>
  <c r="F13965" i="1"/>
  <c r="G13965" i="1"/>
  <c r="H13965" i="1"/>
  <c r="I13965" i="1"/>
  <c r="J13965" i="1"/>
  <c r="K13965" i="1"/>
  <c r="L13965" i="1"/>
  <c r="A13966" i="1"/>
  <c r="B13966" i="1"/>
  <c r="C13966" i="1"/>
  <c r="D13966" i="1"/>
  <c r="E13966" i="1"/>
  <c r="F13966" i="1"/>
  <c r="G13966" i="1"/>
  <c r="H13966" i="1"/>
  <c r="I13966" i="1"/>
  <c r="J13966" i="1"/>
  <c r="K13966" i="1"/>
  <c r="L13966" i="1"/>
  <c r="A13967" i="1"/>
  <c r="B13967" i="1"/>
  <c r="C13967" i="1"/>
  <c r="D13967" i="1"/>
  <c r="E13967" i="1"/>
  <c r="F13967" i="1"/>
  <c r="G13967" i="1"/>
  <c r="H13967" i="1"/>
  <c r="I13967" i="1"/>
  <c r="J13967" i="1"/>
  <c r="K13967" i="1"/>
  <c r="L13967" i="1"/>
  <c r="A13968" i="1"/>
  <c r="B13968" i="1"/>
  <c r="C13968" i="1"/>
  <c r="D13968" i="1"/>
  <c r="E13968" i="1"/>
  <c r="F13968" i="1"/>
  <c r="G13968" i="1"/>
  <c r="H13968" i="1"/>
  <c r="I13968" i="1"/>
  <c r="J13968" i="1"/>
  <c r="K13968" i="1"/>
  <c r="L13968" i="1"/>
  <c r="A13969" i="1"/>
  <c r="B13969" i="1"/>
  <c r="C13969" i="1"/>
  <c r="D13969" i="1"/>
  <c r="E13969" i="1"/>
  <c r="F13969" i="1"/>
  <c r="G13969" i="1"/>
  <c r="H13969" i="1"/>
  <c r="I13969" i="1"/>
  <c r="J13969" i="1"/>
  <c r="K13969" i="1"/>
  <c r="L13969" i="1"/>
  <c r="A13970" i="1"/>
  <c r="B13970" i="1"/>
  <c r="C13970" i="1"/>
  <c r="D13970" i="1"/>
  <c r="E13970" i="1"/>
  <c r="F13970" i="1"/>
  <c r="G13970" i="1"/>
  <c r="H13970" i="1"/>
  <c r="I13970" i="1"/>
  <c r="J13970" i="1"/>
  <c r="K13970" i="1"/>
  <c r="L13970" i="1"/>
  <c r="A13971" i="1"/>
  <c r="B13971" i="1"/>
  <c r="C13971" i="1"/>
  <c r="D13971" i="1"/>
  <c r="E13971" i="1"/>
  <c r="F13971" i="1"/>
  <c r="G13971" i="1"/>
  <c r="H13971" i="1"/>
  <c r="I13971" i="1"/>
  <c r="J13971" i="1"/>
  <c r="K13971" i="1"/>
  <c r="L13971" i="1"/>
  <c r="A13972" i="1"/>
  <c r="B13972" i="1"/>
  <c r="C13972" i="1"/>
  <c r="D13972" i="1"/>
  <c r="E13972" i="1"/>
  <c r="F13972" i="1"/>
  <c r="G13972" i="1"/>
  <c r="H13972" i="1"/>
  <c r="I13972" i="1"/>
  <c r="J13972" i="1"/>
  <c r="K13972" i="1"/>
  <c r="L13972" i="1"/>
  <c r="A13973" i="1"/>
  <c r="B13973" i="1"/>
  <c r="C13973" i="1"/>
  <c r="D13973" i="1"/>
  <c r="E13973" i="1"/>
  <c r="F13973" i="1"/>
  <c r="G13973" i="1"/>
  <c r="H13973" i="1"/>
  <c r="I13973" i="1"/>
  <c r="J13973" i="1"/>
  <c r="K13973" i="1"/>
  <c r="L13973" i="1"/>
  <c r="A13974" i="1"/>
  <c r="B13974" i="1"/>
  <c r="C13974" i="1"/>
  <c r="D13974" i="1"/>
  <c r="E13974" i="1"/>
  <c r="F13974" i="1"/>
  <c r="G13974" i="1"/>
  <c r="H13974" i="1"/>
  <c r="I13974" i="1"/>
  <c r="J13974" i="1"/>
  <c r="K13974" i="1"/>
  <c r="L13974" i="1"/>
  <c r="A13975" i="1"/>
  <c r="B13975" i="1"/>
  <c r="C13975" i="1"/>
  <c r="D13975" i="1"/>
  <c r="E13975" i="1"/>
  <c r="F13975" i="1"/>
  <c r="G13975" i="1"/>
  <c r="H13975" i="1"/>
  <c r="I13975" i="1"/>
  <c r="J13975" i="1"/>
  <c r="K13975" i="1"/>
  <c r="L13975" i="1"/>
  <c r="A13976" i="1"/>
  <c r="B13976" i="1"/>
  <c r="C13976" i="1"/>
  <c r="D13976" i="1"/>
  <c r="E13976" i="1"/>
  <c r="F13976" i="1"/>
  <c r="G13976" i="1"/>
  <c r="H13976" i="1"/>
  <c r="I13976" i="1"/>
  <c r="J13976" i="1"/>
  <c r="K13976" i="1"/>
  <c r="L13976" i="1"/>
  <c r="A13977" i="1"/>
  <c r="B13977" i="1"/>
  <c r="C13977" i="1"/>
  <c r="D13977" i="1"/>
  <c r="E13977" i="1"/>
  <c r="F13977" i="1"/>
  <c r="G13977" i="1"/>
  <c r="H13977" i="1"/>
  <c r="I13977" i="1"/>
  <c r="J13977" i="1"/>
  <c r="K13977" i="1"/>
  <c r="L13977" i="1"/>
  <c r="A13978" i="1"/>
  <c r="B13978" i="1"/>
  <c r="C13978" i="1"/>
  <c r="D13978" i="1"/>
  <c r="E13978" i="1"/>
  <c r="F13978" i="1"/>
  <c r="G13978" i="1"/>
  <c r="H13978" i="1"/>
  <c r="I13978" i="1"/>
  <c r="J13978" i="1"/>
  <c r="K13978" i="1"/>
  <c r="L13978" i="1"/>
  <c r="A13979" i="1"/>
  <c r="B13979" i="1"/>
  <c r="C13979" i="1"/>
  <c r="D13979" i="1"/>
  <c r="E13979" i="1"/>
  <c r="F13979" i="1"/>
  <c r="G13979" i="1"/>
  <c r="H13979" i="1"/>
  <c r="I13979" i="1"/>
  <c r="J13979" i="1"/>
  <c r="K13979" i="1"/>
  <c r="L13979" i="1"/>
  <c r="A13980" i="1"/>
  <c r="B13980" i="1"/>
  <c r="C13980" i="1"/>
  <c r="D13980" i="1"/>
  <c r="E13980" i="1"/>
  <c r="F13980" i="1"/>
  <c r="G13980" i="1"/>
  <c r="H13980" i="1"/>
  <c r="I13980" i="1"/>
  <c r="J13980" i="1"/>
  <c r="K13980" i="1"/>
  <c r="L13980" i="1"/>
  <c r="A13981" i="1"/>
  <c r="B13981" i="1"/>
  <c r="C13981" i="1"/>
  <c r="D13981" i="1"/>
  <c r="E13981" i="1"/>
  <c r="F13981" i="1"/>
  <c r="G13981" i="1"/>
  <c r="H13981" i="1"/>
  <c r="I13981" i="1"/>
  <c r="J13981" i="1"/>
  <c r="K13981" i="1"/>
  <c r="L13981" i="1"/>
  <c r="A13982" i="1"/>
  <c r="B13982" i="1"/>
  <c r="C13982" i="1"/>
  <c r="D13982" i="1"/>
  <c r="E13982" i="1"/>
  <c r="F13982" i="1"/>
  <c r="G13982" i="1"/>
  <c r="H13982" i="1"/>
  <c r="I13982" i="1"/>
  <c r="J13982" i="1"/>
  <c r="K13982" i="1"/>
  <c r="L13982" i="1"/>
  <c r="A13983" i="1"/>
  <c r="B13983" i="1"/>
  <c r="C13983" i="1"/>
  <c r="D13983" i="1"/>
  <c r="E13983" i="1"/>
  <c r="F13983" i="1"/>
  <c r="G13983" i="1"/>
  <c r="H13983" i="1"/>
  <c r="I13983" i="1"/>
  <c r="J13983" i="1"/>
  <c r="K13983" i="1"/>
  <c r="L13983" i="1"/>
  <c r="A13984" i="1"/>
  <c r="B13984" i="1"/>
  <c r="C13984" i="1"/>
  <c r="D13984" i="1"/>
  <c r="E13984" i="1"/>
  <c r="F13984" i="1"/>
  <c r="G13984" i="1"/>
  <c r="H13984" i="1"/>
  <c r="I13984" i="1"/>
  <c r="J13984" i="1"/>
  <c r="K13984" i="1"/>
  <c r="L13984" i="1"/>
  <c r="A13985" i="1"/>
  <c r="B13985" i="1"/>
  <c r="C13985" i="1"/>
  <c r="D13985" i="1"/>
  <c r="E13985" i="1"/>
  <c r="F13985" i="1"/>
  <c r="G13985" i="1"/>
  <c r="H13985" i="1"/>
  <c r="I13985" i="1"/>
  <c r="J13985" i="1"/>
  <c r="K13985" i="1"/>
  <c r="L13985" i="1"/>
  <c r="A13986" i="1"/>
  <c r="B13986" i="1"/>
  <c r="C13986" i="1"/>
  <c r="D13986" i="1"/>
  <c r="E13986" i="1"/>
  <c r="F13986" i="1"/>
  <c r="G13986" i="1"/>
  <c r="H13986" i="1"/>
  <c r="I13986" i="1"/>
  <c r="J13986" i="1"/>
  <c r="K13986" i="1"/>
  <c r="L13986" i="1"/>
  <c r="A13987" i="1"/>
  <c r="B13987" i="1"/>
  <c r="C13987" i="1"/>
  <c r="D13987" i="1"/>
  <c r="E13987" i="1"/>
  <c r="F13987" i="1"/>
  <c r="G13987" i="1"/>
  <c r="H13987" i="1"/>
  <c r="I13987" i="1"/>
  <c r="J13987" i="1"/>
  <c r="K13987" i="1"/>
  <c r="L13987" i="1"/>
  <c r="A13988" i="1"/>
  <c r="B13988" i="1"/>
  <c r="C13988" i="1"/>
  <c r="D13988" i="1"/>
  <c r="E13988" i="1"/>
  <c r="F13988" i="1"/>
  <c r="G13988" i="1"/>
  <c r="H13988" i="1"/>
  <c r="I13988" i="1"/>
  <c r="J13988" i="1"/>
  <c r="K13988" i="1"/>
  <c r="L13988" i="1"/>
  <c r="A13989" i="1"/>
  <c r="B13989" i="1"/>
  <c r="C13989" i="1"/>
  <c r="D13989" i="1"/>
  <c r="E13989" i="1"/>
  <c r="F13989" i="1"/>
  <c r="G13989" i="1"/>
  <c r="H13989" i="1"/>
  <c r="I13989" i="1"/>
  <c r="J13989" i="1"/>
  <c r="K13989" i="1"/>
  <c r="L13989" i="1"/>
  <c r="A13990" i="1"/>
  <c r="B13990" i="1"/>
  <c r="C13990" i="1"/>
  <c r="D13990" i="1"/>
  <c r="E13990" i="1"/>
  <c r="F13990" i="1"/>
  <c r="G13990" i="1"/>
  <c r="H13990" i="1"/>
  <c r="I13990" i="1"/>
  <c r="J13990" i="1"/>
  <c r="K13990" i="1"/>
  <c r="L13990" i="1"/>
  <c r="A13991" i="1"/>
  <c r="B13991" i="1"/>
  <c r="C13991" i="1"/>
  <c r="D13991" i="1"/>
  <c r="E13991" i="1"/>
  <c r="F13991" i="1"/>
  <c r="G13991" i="1"/>
  <c r="H13991" i="1"/>
  <c r="I13991" i="1"/>
  <c r="J13991" i="1"/>
  <c r="K13991" i="1"/>
  <c r="L13991" i="1"/>
  <c r="A13992" i="1"/>
  <c r="B13992" i="1"/>
  <c r="C13992" i="1"/>
  <c r="D13992" i="1"/>
  <c r="E13992" i="1"/>
  <c r="F13992" i="1"/>
  <c r="G13992" i="1"/>
  <c r="H13992" i="1"/>
  <c r="I13992" i="1"/>
  <c r="J13992" i="1"/>
  <c r="K13992" i="1"/>
  <c r="L13992" i="1"/>
  <c r="A13993" i="1"/>
  <c r="B13993" i="1"/>
  <c r="C13993" i="1"/>
  <c r="D13993" i="1"/>
  <c r="E13993" i="1"/>
  <c r="F13993" i="1"/>
  <c r="G13993" i="1"/>
  <c r="H13993" i="1"/>
  <c r="I13993" i="1"/>
  <c r="J13993" i="1"/>
  <c r="K13993" i="1"/>
  <c r="L13993" i="1"/>
  <c r="A13994" i="1"/>
  <c r="B13994" i="1"/>
  <c r="C13994" i="1"/>
  <c r="D13994" i="1"/>
  <c r="E13994" i="1"/>
  <c r="F13994" i="1"/>
  <c r="G13994" i="1"/>
  <c r="H13994" i="1"/>
  <c r="I13994" i="1"/>
  <c r="J13994" i="1"/>
  <c r="K13994" i="1"/>
  <c r="L13994" i="1"/>
  <c r="A13995" i="1"/>
  <c r="B13995" i="1"/>
  <c r="C13995" i="1"/>
  <c r="D13995" i="1"/>
  <c r="E13995" i="1"/>
  <c r="F13995" i="1"/>
  <c r="G13995" i="1"/>
  <c r="H13995" i="1"/>
  <c r="I13995" i="1"/>
  <c r="J13995" i="1"/>
  <c r="K13995" i="1"/>
  <c r="L13995" i="1"/>
  <c r="A13996" i="1"/>
  <c r="B13996" i="1"/>
  <c r="C13996" i="1"/>
  <c r="D13996" i="1"/>
  <c r="E13996" i="1"/>
  <c r="F13996" i="1"/>
  <c r="G13996" i="1"/>
  <c r="H13996" i="1"/>
  <c r="I13996" i="1"/>
  <c r="J13996" i="1"/>
  <c r="K13996" i="1"/>
  <c r="L13996" i="1"/>
  <c r="A13997" i="1"/>
  <c r="B13997" i="1"/>
  <c r="C13997" i="1"/>
  <c r="D13997" i="1"/>
  <c r="E13997" i="1"/>
  <c r="F13997" i="1"/>
  <c r="G13997" i="1"/>
  <c r="H13997" i="1"/>
  <c r="I13997" i="1"/>
  <c r="J13997" i="1"/>
  <c r="K13997" i="1"/>
  <c r="L13997" i="1"/>
  <c r="A13998" i="1"/>
  <c r="B13998" i="1"/>
  <c r="C13998" i="1"/>
  <c r="D13998" i="1"/>
  <c r="E13998" i="1"/>
  <c r="F13998" i="1"/>
  <c r="G13998" i="1"/>
  <c r="H13998" i="1"/>
  <c r="I13998" i="1"/>
  <c r="J13998" i="1"/>
  <c r="K13998" i="1"/>
  <c r="L13998" i="1"/>
  <c r="A13999" i="1"/>
  <c r="B13999" i="1"/>
  <c r="C13999" i="1"/>
  <c r="D13999" i="1"/>
  <c r="E13999" i="1"/>
  <c r="F13999" i="1"/>
  <c r="G13999" i="1"/>
  <c r="H13999" i="1"/>
  <c r="I13999" i="1"/>
  <c r="J13999" i="1"/>
  <c r="K13999" i="1"/>
  <c r="L13999" i="1"/>
  <c r="A14000" i="1"/>
  <c r="B14000" i="1"/>
  <c r="C14000" i="1"/>
  <c r="D14000" i="1"/>
  <c r="E14000" i="1"/>
  <c r="F14000" i="1"/>
  <c r="G14000" i="1"/>
  <c r="H14000" i="1"/>
  <c r="I14000" i="1"/>
  <c r="J14000" i="1"/>
  <c r="K14000" i="1"/>
  <c r="L14000" i="1"/>
  <c r="A14001" i="1"/>
  <c r="B14001" i="1"/>
  <c r="C14001" i="1"/>
  <c r="D14001" i="1"/>
  <c r="E14001" i="1"/>
  <c r="F14001" i="1"/>
  <c r="G14001" i="1"/>
  <c r="H14001" i="1"/>
  <c r="I14001" i="1"/>
  <c r="J14001" i="1"/>
  <c r="K14001" i="1"/>
  <c r="L14001" i="1"/>
  <c r="A14002" i="1"/>
  <c r="B14002" i="1"/>
  <c r="C14002" i="1"/>
  <c r="D14002" i="1"/>
  <c r="E14002" i="1"/>
  <c r="F14002" i="1"/>
  <c r="G14002" i="1"/>
  <c r="H14002" i="1"/>
  <c r="I14002" i="1"/>
  <c r="J14002" i="1"/>
  <c r="K14002" i="1"/>
  <c r="L14002" i="1"/>
  <c r="A14003" i="1"/>
  <c r="B14003" i="1"/>
  <c r="C14003" i="1"/>
  <c r="D14003" i="1"/>
  <c r="E14003" i="1"/>
  <c r="F14003" i="1"/>
  <c r="G14003" i="1"/>
  <c r="H14003" i="1"/>
  <c r="I14003" i="1"/>
  <c r="J14003" i="1"/>
  <c r="K14003" i="1"/>
  <c r="L14003" i="1"/>
  <c r="A14004" i="1"/>
  <c r="B14004" i="1"/>
  <c r="C14004" i="1"/>
  <c r="D14004" i="1"/>
  <c r="E14004" i="1"/>
  <c r="F14004" i="1"/>
  <c r="G14004" i="1"/>
  <c r="H14004" i="1"/>
  <c r="I14004" i="1"/>
  <c r="J14004" i="1"/>
  <c r="K14004" i="1"/>
  <c r="L14004" i="1"/>
  <c r="A14005" i="1"/>
  <c r="B14005" i="1"/>
  <c r="C14005" i="1"/>
  <c r="D14005" i="1"/>
  <c r="E14005" i="1"/>
  <c r="F14005" i="1"/>
  <c r="G14005" i="1"/>
  <c r="H14005" i="1"/>
  <c r="I14005" i="1"/>
  <c r="J14005" i="1"/>
  <c r="K14005" i="1"/>
  <c r="L14005" i="1"/>
  <c r="A14006" i="1"/>
  <c r="B14006" i="1"/>
  <c r="C14006" i="1"/>
  <c r="D14006" i="1"/>
  <c r="E14006" i="1"/>
  <c r="F14006" i="1"/>
  <c r="G14006" i="1"/>
  <c r="H14006" i="1"/>
  <c r="I14006" i="1"/>
  <c r="J14006" i="1"/>
  <c r="K14006" i="1"/>
  <c r="L14006" i="1"/>
  <c r="A14007" i="1"/>
  <c r="B14007" i="1"/>
  <c r="C14007" i="1"/>
  <c r="D14007" i="1"/>
  <c r="E14007" i="1"/>
  <c r="F14007" i="1"/>
  <c r="G14007" i="1"/>
  <c r="H14007" i="1"/>
  <c r="I14007" i="1"/>
  <c r="J14007" i="1"/>
  <c r="K14007" i="1"/>
  <c r="L14007" i="1"/>
  <c r="A14008" i="1"/>
  <c r="B14008" i="1"/>
  <c r="C14008" i="1"/>
  <c r="D14008" i="1"/>
  <c r="E14008" i="1"/>
  <c r="F14008" i="1"/>
  <c r="G14008" i="1"/>
  <c r="H14008" i="1"/>
  <c r="I14008" i="1"/>
  <c r="J14008" i="1"/>
  <c r="K14008" i="1"/>
  <c r="L14008" i="1"/>
  <c r="A14009" i="1"/>
  <c r="B14009" i="1"/>
  <c r="C14009" i="1"/>
  <c r="D14009" i="1"/>
  <c r="E14009" i="1"/>
  <c r="F14009" i="1"/>
  <c r="G14009" i="1"/>
  <c r="H14009" i="1"/>
  <c r="I14009" i="1"/>
  <c r="J14009" i="1"/>
  <c r="K14009" i="1"/>
  <c r="L14009" i="1"/>
  <c r="A14010" i="1"/>
  <c r="B14010" i="1"/>
  <c r="C14010" i="1"/>
  <c r="D14010" i="1"/>
  <c r="E14010" i="1"/>
  <c r="F14010" i="1"/>
  <c r="G14010" i="1"/>
  <c r="H14010" i="1"/>
  <c r="I14010" i="1"/>
  <c r="J14010" i="1"/>
  <c r="K14010" i="1"/>
  <c r="L14010" i="1"/>
  <c r="A14011" i="1"/>
  <c r="B14011" i="1"/>
  <c r="C14011" i="1"/>
  <c r="D14011" i="1"/>
  <c r="E14011" i="1"/>
  <c r="F14011" i="1"/>
  <c r="G14011" i="1"/>
  <c r="H14011" i="1"/>
  <c r="I14011" i="1"/>
  <c r="J14011" i="1"/>
  <c r="K14011" i="1"/>
  <c r="L14011" i="1"/>
  <c r="A14012" i="1"/>
  <c r="B14012" i="1"/>
  <c r="C14012" i="1"/>
  <c r="D14012" i="1"/>
  <c r="E14012" i="1"/>
  <c r="F14012" i="1"/>
  <c r="G14012" i="1"/>
  <c r="H14012" i="1"/>
  <c r="I14012" i="1"/>
  <c r="J14012" i="1"/>
  <c r="K14012" i="1"/>
  <c r="L14012" i="1"/>
  <c r="A14013" i="1"/>
  <c r="B14013" i="1"/>
  <c r="C14013" i="1"/>
  <c r="D14013" i="1"/>
  <c r="E14013" i="1"/>
  <c r="F14013" i="1"/>
  <c r="G14013" i="1"/>
  <c r="H14013" i="1"/>
  <c r="I14013" i="1"/>
  <c r="J14013" i="1"/>
  <c r="K14013" i="1"/>
  <c r="L14013" i="1"/>
  <c r="A14014" i="1"/>
  <c r="B14014" i="1"/>
  <c r="C14014" i="1"/>
  <c r="D14014" i="1"/>
  <c r="E14014" i="1"/>
  <c r="F14014" i="1"/>
  <c r="G14014" i="1"/>
  <c r="H14014" i="1"/>
  <c r="I14014" i="1"/>
  <c r="J14014" i="1"/>
  <c r="K14014" i="1"/>
  <c r="L14014" i="1"/>
  <c r="A14015" i="1"/>
  <c r="B14015" i="1"/>
  <c r="C14015" i="1"/>
  <c r="D14015" i="1"/>
  <c r="E14015" i="1"/>
  <c r="F14015" i="1"/>
  <c r="G14015" i="1"/>
  <c r="H14015" i="1"/>
  <c r="I14015" i="1"/>
  <c r="J14015" i="1"/>
  <c r="K14015" i="1"/>
  <c r="L14015" i="1"/>
  <c r="A14016" i="1"/>
  <c r="B14016" i="1"/>
  <c r="C14016" i="1"/>
  <c r="D14016" i="1"/>
  <c r="E14016" i="1"/>
  <c r="F14016" i="1"/>
  <c r="G14016" i="1"/>
  <c r="H14016" i="1"/>
  <c r="I14016" i="1"/>
  <c r="J14016" i="1"/>
  <c r="K14016" i="1"/>
  <c r="L14016" i="1"/>
  <c r="A14017" i="1"/>
  <c r="B14017" i="1"/>
  <c r="C14017" i="1"/>
  <c r="D14017" i="1"/>
  <c r="E14017" i="1"/>
  <c r="F14017" i="1"/>
  <c r="G14017" i="1"/>
  <c r="H14017" i="1"/>
  <c r="I14017" i="1"/>
  <c r="J14017" i="1"/>
  <c r="K14017" i="1"/>
  <c r="L14017" i="1"/>
  <c r="A14018" i="1"/>
  <c r="B14018" i="1"/>
  <c r="C14018" i="1"/>
  <c r="D14018" i="1"/>
  <c r="E14018" i="1"/>
  <c r="F14018" i="1"/>
  <c r="G14018" i="1"/>
  <c r="H14018" i="1"/>
  <c r="I14018" i="1"/>
  <c r="J14018" i="1"/>
  <c r="K14018" i="1"/>
  <c r="L14018" i="1"/>
  <c r="A14019" i="1"/>
  <c r="B14019" i="1"/>
  <c r="C14019" i="1"/>
  <c r="D14019" i="1"/>
  <c r="E14019" i="1"/>
  <c r="F14019" i="1"/>
  <c r="G14019" i="1"/>
  <c r="H14019" i="1"/>
  <c r="I14019" i="1"/>
  <c r="J14019" i="1"/>
  <c r="K14019" i="1"/>
  <c r="L14019" i="1"/>
  <c r="A14020" i="1"/>
  <c r="B14020" i="1"/>
  <c r="C14020" i="1"/>
  <c r="D14020" i="1"/>
  <c r="E14020" i="1"/>
  <c r="F14020" i="1"/>
  <c r="G14020" i="1"/>
  <c r="H14020" i="1"/>
  <c r="I14020" i="1"/>
  <c r="J14020" i="1"/>
  <c r="K14020" i="1"/>
  <c r="L14020" i="1"/>
  <c r="A14021" i="1"/>
  <c r="B14021" i="1"/>
  <c r="C14021" i="1"/>
  <c r="D14021" i="1"/>
  <c r="E14021" i="1"/>
  <c r="F14021" i="1"/>
  <c r="G14021" i="1"/>
  <c r="H14021" i="1"/>
  <c r="I14021" i="1"/>
  <c r="J14021" i="1"/>
  <c r="K14021" i="1"/>
  <c r="L14021" i="1"/>
  <c r="A14022" i="1"/>
  <c r="B14022" i="1"/>
  <c r="C14022" i="1"/>
  <c r="D14022" i="1"/>
  <c r="E14022" i="1"/>
  <c r="F14022" i="1"/>
  <c r="G14022" i="1"/>
  <c r="H14022" i="1"/>
  <c r="I14022" i="1"/>
  <c r="J14022" i="1"/>
  <c r="K14022" i="1"/>
  <c r="L14022" i="1"/>
  <c r="A14023" i="1"/>
  <c r="B14023" i="1"/>
  <c r="C14023" i="1"/>
  <c r="D14023" i="1"/>
  <c r="E14023" i="1"/>
  <c r="F14023" i="1"/>
  <c r="G14023" i="1"/>
  <c r="H14023" i="1"/>
  <c r="I14023" i="1"/>
  <c r="J14023" i="1"/>
  <c r="K14023" i="1"/>
  <c r="L14023" i="1"/>
  <c r="A14024" i="1"/>
  <c r="B14024" i="1"/>
  <c r="C14024" i="1"/>
  <c r="D14024" i="1"/>
  <c r="E14024" i="1"/>
  <c r="F14024" i="1"/>
  <c r="G14024" i="1"/>
  <c r="H14024" i="1"/>
  <c r="I14024" i="1"/>
  <c r="J14024" i="1"/>
  <c r="K14024" i="1"/>
  <c r="L14024" i="1"/>
  <c r="A14025" i="1"/>
  <c r="B14025" i="1"/>
  <c r="C14025" i="1"/>
  <c r="D14025" i="1"/>
  <c r="E14025" i="1"/>
  <c r="F14025" i="1"/>
  <c r="G14025" i="1"/>
  <c r="H14025" i="1"/>
  <c r="I14025" i="1"/>
  <c r="J14025" i="1"/>
  <c r="K14025" i="1"/>
  <c r="L14025" i="1"/>
  <c r="A14026" i="1"/>
  <c r="B14026" i="1"/>
  <c r="C14026" i="1"/>
  <c r="D14026" i="1"/>
  <c r="E14026" i="1"/>
  <c r="F14026" i="1"/>
  <c r="G14026" i="1"/>
  <c r="H14026" i="1"/>
  <c r="I14026" i="1"/>
  <c r="J14026" i="1"/>
  <c r="K14026" i="1"/>
  <c r="L14026" i="1"/>
  <c r="A14027" i="1"/>
  <c r="B14027" i="1"/>
  <c r="C14027" i="1"/>
  <c r="D14027" i="1"/>
  <c r="E14027" i="1"/>
  <c r="F14027" i="1"/>
  <c r="G14027" i="1"/>
  <c r="H14027" i="1"/>
  <c r="I14027" i="1"/>
  <c r="J14027" i="1"/>
  <c r="K14027" i="1"/>
  <c r="L14027" i="1"/>
  <c r="A14028" i="1"/>
  <c r="B14028" i="1"/>
  <c r="C14028" i="1"/>
  <c r="D14028" i="1"/>
  <c r="E14028" i="1"/>
  <c r="F14028" i="1"/>
  <c r="G14028" i="1"/>
  <c r="H14028" i="1"/>
  <c r="I14028" i="1"/>
  <c r="J14028" i="1"/>
  <c r="K14028" i="1"/>
  <c r="L14028" i="1"/>
  <c r="A14029" i="1"/>
  <c r="B14029" i="1"/>
  <c r="C14029" i="1"/>
  <c r="D14029" i="1"/>
  <c r="E14029" i="1"/>
  <c r="F14029" i="1"/>
  <c r="G14029" i="1"/>
  <c r="H14029" i="1"/>
  <c r="I14029" i="1"/>
  <c r="J14029" i="1"/>
  <c r="K14029" i="1"/>
  <c r="L14029" i="1"/>
  <c r="A14030" i="1"/>
  <c r="B14030" i="1"/>
  <c r="C14030" i="1"/>
  <c r="D14030" i="1"/>
  <c r="E14030" i="1"/>
  <c r="F14030" i="1"/>
  <c r="G14030" i="1"/>
  <c r="H14030" i="1"/>
  <c r="I14030" i="1"/>
  <c r="J14030" i="1"/>
  <c r="K14030" i="1"/>
  <c r="L14030" i="1"/>
  <c r="A14031" i="1"/>
  <c r="B14031" i="1"/>
  <c r="C14031" i="1"/>
  <c r="D14031" i="1"/>
  <c r="E14031" i="1"/>
  <c r="F14031" i="1"/>
  <c r="G14031" i="1"/>
  <c r="H14031" i="1"/>
  <c r="I14031" i="1"/>
  <c r="J14031" i="1"/>
  <c r="K14031" i="1"/>
  <c r="L14031" i="1"/>
  <c r="A14032" i="1"/>
  <c r="B14032" i="1"/>
  <c r="C14032" i="1"/>
  <c r="D14032" i="1"/>
  <c r="E14032" i="1"/>
  <c r="F14032" i="1"/>
  <c r="G14032" i="1"/>
  <c r="H14032" i="1"/>
  <c r="I14032" i="1"/>
  <c r="J14032" i="1"/>
  <c r="K14032" i="1"/>
  <c r="L14032" i="1"/>
  <c r="A14033" i="1"/>
  <c r="B14033" i="1"/>
  <c r="C14033" i="1"/>
  <c r="D14033" i="1"/>
  <c r="E14033" i="1"/>
  <c r="F14033" i="1"/>
  <c r="G14033" i="1"/>
  <c r="H14033" i="1"/>
  <c r="I14033" i="1"/>
  <c r="J14033" i="1"/>
  <c r="K14033" i="1"/>
  <c r="L14033" i="1"/>
  <c r="A14034" i="1"/>
  <c r="B14034" i="1"/>
  <c r="C14034" i="1"/>
  <c r="D14034" i="1"/>
  <c r="E14034" i="1"/>
  <c r="F14034" i="1"/>
  <c r="G14034" i="1"/>
  <c r="H14034" i="1"/>
  <c r="I14034" i="1"/>
  <c r="J14034" i="1"/>
  <c r="K14034" i="1"/>
  <c r="L14034" i="1"/>
  <c r="A14035" i="1"/>
  <c r="B14035" i="1"/>
  <c r="C14035" i="1"/>
  <c r="D14035" i="1"/>
  <c r="E14035" i="1"/>
  <c r="F14035" i="1"/>
  <c r="G14035" i="1"/>
  <c r="H14035" i="1"/>
  <c r="I14035" i="1"/>
  <c r="J14035" i="1"/>
  <c r="K14035" i="1"/>
  <c r="L14035" i="1"/>
  <c r="A14036" i="1"/>
  <c r="B14036" i="1"/>
  <c r="C14036" i="1"/>
  <c r="D14036" i="1"/>
  <c r="E14036" i="1"/>
  <c r="F14036" i="1"/>
  <c r="G14036" i="1"/>
  <c r="H14036" i="1"/>
  <c r="I14036" i="1"/>
  <c r="J14036" i="1"/>
  <c r="K14036" i="1"/>
  <c r="L14036" i="1"/>
  <c r="A14037" i="1"/>
  <c r="B14037" i="1"/>
  <c r="C14037" i="1"/>
  <c r="D14037" i="1"/>
  <c r="E14037" i="1"/>
  <c r="F14037" i="1"/>
  <c r="G14037" i="1"/>
  <c r="H14037" i="1"/>
  <c r="I14037" i="1"/>
  <c r="J14037" i="1"/>
  <c r="K14037" i="1"/>
  <c r="L14037" i="1"/>
  <c r="A14038" i="1"/>
  <c r="B14038" i="1"/>
  <c r="C14038" i="1"/>
  <c r="D14038" i="1"/>
  <c r="E14038" i="1"/>
  <c r="F14038" i="1"/>
  <c r="G14038" i="1"/>
  <c r="H14038" i="1"/>
  <c r="I14038" i="1"/>
  <c r="J14038" i="1"/>
  <c r="K14038" i="1"/>
  <c r="L14038" i="1"/>
  <c r="A14039" i="1"/>
  <c r="B14039" i="1"/>
  <c r="C14039" i="1"/>
  <c r="D14039" i="1"/>
  <c r="E14039" i="1"/>
  <c r="F14039" i="1"/>
  <c r="G14039" i="1"/>
  <c r="H14039" i="1"/>
  <c r="I14039" i="1"/>
  <c r="J14039" i="1"/>
  <c r="K14039" i="1"/>
  <c r="L14039" i="1"/>
  <c r="A14040" i="1"/>
  <c r="B14040" i="1"/>
  <c r="C14040" i="1"/>
  <c r="D14040" i="1"/>
  <c r="E14040" i="1"/>
  <c r="F14040" i="1"/>
  <c r="G14040" i="1"/>
  <c r="H14040" i="1"/>
  <c r="I14040" i="1"/>
  <c r="J14040" i="1"/>
  <c r="K14040" i="1"/>
  <c r="L14040" i="1"/>
  <c r="A14041" i="1"/>
  <c r="B14041" i="1"/>
  <c r="C14041" i="1"/>
  <c r="D14041" i="1"/>
  <c r="E14041" i="1"/>
  <c r="F14041" i="1"/>
  <c r="G14041" i="1"/>
  <c r="H14041" i="1"/>
  <c r="I14041" i="1"/>
  <c r="J14041" i="1"/>
  <c r="K14041" i="1"/>
  <c r="L14041" i="1"/>
  <c r="A14042" i="1"/>
  <c r="B14042" i="1"/>
  <c r="C14042" i="1"/>
  <c r="D14042" i="1"/>
  <c r="E14042" i="1"/>
  <c r="F14042" i="1"/>
  <c r="G14042" i="1"/>
  <c r="H14042" i="1"/>
  <c r="I14042" i="1"/>
  <c r="J14042" i="1"/>
  <c r="K14042" i="1"/>
  <c r="L14042" i="1"/>
  <c r="A14043" i="1"/>
  <c r="B14043" i="1"/>
  <c r="C14043" i="1"/>
  <c r="D14043" i="1"/>
  <c r="E14043" i="1"/>
  <c r="F14043" i="1"/>
  <c r="G14043" i="1"/>
  <c r="H14043" i="1"/>
  <c r="I14043" i="1"/>
  <c r="J14043" i="1"/>
  <c r="K14043" i="1"/>
  <c r="L14043" i="1"/>
  <c r="A14044" i="1"/>
  <c r="B14044" i="1"/>
  <c r="C14044" i="1"/>
  <c r="D14044" i="1"/>
  <c r="E14044" i="1"/>
  <c r="F14044" i="1"/>
  <c r="G14044" i="1"/>
  <c r="H14044" i="1"/>
  <c r="I14044" i="1"/>
  <c r="J14044" i="1"/>
  <c r="K14044" i="1"/>
  <c r="L14044" i="1"/>
  <c r="A14045" i="1"/>
  <c r="B14045" i="1"/>
  <c r="C14045" i="1"/>
  <c r="D14045" i="1"/>
  <c r="E14045" i="1"/>
  <c r="F14045" i="1"/>
  <c r="G14045" i="1"/>
  <c r="H14045" i="1"/>
  <c r="I14045" i="1"/>
  <c r="J14045" i="1"/>
  <c r="K14045" i="1"/>
  <c r="L14045" i="1"/>
  <c r="A14046" i="1"/>
  <c r="B14046" i="1"/>
  <c r="C14046" i="1"/>
  <c r="D14046" i="1"/>
  <c r="E14046" i="1"/>
  <c r="F14046" i="1"/>
  <c r="G14046" i="1"/>
  <c r="H14046" i="1"/>
  <c r="I14046" i="1"/>
  <c r="J14046" i="1"/>
  <c r="K14046" i="1"/>
  <c r="L14046" i="1"/>
  <c r="A14047" i="1"/>
  <c r="B14047" i="1"/>
  <c r="C14047" i="1"/>
  <c r="D14047" i="1"/>
  <c r="E14047" i="1"/>
  <c r="F14047" i="1"/>
  <c r="G14047" i="1"/>
  <c r="H14047" i="1"/>
  <c r="I14047" i="1"/>
  <c r="J14047" i="1"/>
  <c r="K14047" i="1"/>
  <c r="L14047" i="1"/>
  <c r="A14048" i="1"/>
  <c r="B14048" i="1"/>
  <c r="C14048" i="1"/>
  <c r="D14048" i="1"/>
  <c r="E14048" i="1"/>
  <c r="F14048" i="1"/>
  <c r="G14048" i="1"/>
  <c r="H14048" i="1"/>
  <c r="I14048" i="1"/>
  <c r="J14048" i="1"/>
  <c r="K14048" i="1"/>
  <c r="L14048" i="1"/>
  <c r="A14049" i="1"/>
  <c r="B14049" i="1"/>
  <c r="C14049" i="1"/>
  <c r="D14049" i="1"/>
  <c r="E14049" i="1"/>
  <c r="F14049" i="1"/>
  <c r="G14049" i="1"/>
  <c r="H14049" i="1"/>
  <c r="I14049" i="1"/>
  <c r="J14049" i="1"/>
  <c r="K14049" i="1"/>
  <c r="L14049" i="1"/>
  <c r="A14050" i="1"/>
  <c r="B14050" i="1"/>
  <c r="C14050" i="1"/>
  <c r="D14050" i="1"/>
  <c r="E14050" i="1"/>
  <c r="F14050" i="1"/>
  <c r="G14050" i="1"/>
  <c r="H14050" i="1"/>
  <c r="I14050" i="1"/>
  <c r="J14050" i="1"/>
  <c r="K14050" i="1"/>
  <c r="L14050" i="1"/>
  <c r="A14051" i="1"/>
  <c r="B14051" i="1"/>
  <c r="C14051" i="1"/>
  <c r="D14051" i="1"/>
  <c r="E14051" i="1"/>
  <c r="F14051" i="1"/>
  <c r="G14051" i="1"/>
  <c r="H14051" i="1"/>
  <c r="I14051" i="1"/>
  <c r="J14051" i="1"/>
  <c r="K14051" i="1"/>
  <c r="L14051" i="1"/>
  <c r="A14052" i="1"/>
  <c r="B14052" i="1"/>
  <c r="C14052" i="1"/>
  <c r="D14052" i="1"/>
  <c r="E14052" i="1"/>
  <c r="F14052" i="1"/>
  <c r="G14052" i="1"/>
  <c r="H14052" i="1"/>
  <c r="I14052" i="1"/>
  <c r="J14052" i="1"/>
  <c r="K14052" i="1"/>
  <c r="L14052" i="1"/>
  <c r="A14053" i="1"/>
  <c r="B14053" i="1"/>
  <c r="C14053" i="1"/>
  <c r="D14053" i="1"/>
  <c r="E14053" i="1"/>
  <c r="F14053" i="1"/>
  <c r="G14053" i="1"/>
  <c r="H14053" i="1"/>
  <c r="I14053" i="1"/>
  <c r="J14053" i="1"/>
  <c r="K14053" i="1"/>
  <c r="L14053" i="1"/>
  <c r="A14054" i="1"/>
  <c r="B14054" i="1"/>
  <c r="C14054" i="1"/>
  <c r="D14054" i="1"/>
  <c r="E14054" i="1"/>
  <c r="F14054" i="1"/>
  <c r="G14054" i="1"/>
  <c r="H14054" i="1"/>
  <c r="I14054" i="1"/>
  <c r="J14054" i="1"/>
  <c r="K14054" i="1"/>
  <c r="L14054" i="1"/>
  <c r="A14055" i="1"/>
  <c r="B14055" i="1"/>
  <c r="C14055" i="1"/>
  <c r="D14055" i="1"/>
  <c r="E14055" i="1"/>
  <c r="F14055" i="1"/>
  <c r="G14055" i="1"/>
  <c r="H14055" i="1"/>
  <c r="I14055" i="1"/>
  <c r="J14055" i="1"/>
  <c r="K14055" i="1"/>
  <c r="L14055" i="1"/>
  <c r="A14056" i="1"/>
  <c r="B14056" i="1"/>
  <c r="C14056" i="1"/>
  <c r="D14056" i="1"/>
  <c r="E14056" i="1"/>
  <c r="F14056" i="1"/>
  <c r="G14056" i="1"/>
  <c r="H14056" i="1"/>
  <c r="I14056" i="1"/>
  <c r="J14056" i="1"/>
  <c r="K14056" i="1"/>
  <c r="L14056" i="1"/>
  <c r="A14057" i="1"/>
  <c r="B14057" i="1"/>
  <c r="C14057" i="1"/>
  <c r="D14057" i="1"/>
  <c r="E14057" i="1"/>
  <c r="F14057" i="1"/>
  <c r="G14057" i="1"/>
  <c r="H14057" i="1"/>
  <c r="I14057" i="1"/>
  <c r="J14057" i="1"/>
  <c r="K14057" i="1"/>
  <c r="L14057" i="1"/>
  <c r="A14058" i="1"/>
  <c r="B14058" i="1"/>
  <c r="C14058" i="1"/>
  <c r="D14058" i="1"/>
  <c r="E14058" i="1"/>
  <c r="F14058" i="1"/>
  <c r="G14058" i="1"/>
  <c r="H14058" i="1"/>
  <c r="I14058" i="1"/>
  <c r="J14058" i="1"/>
  <c r="K14058" i="1"/>
  <c r="L14058" i="1"/>
  <c r="A14059" i="1"/>
  <c r="B14059" i="1"/>
  <c r="C14059" i="1"/>
  <c r="D14059" i="1"/>
  <c r="E14059" i="1"/>
  <c r="F14059" i="1"/>
  <c r="G14059" i="1"/>
  <c r="H14059" i="1"/>
  <c r="I14059" i="1"/>
  <c r="J14059" i="1"/>
  <c r="K14059" i="1"/>
  <c r="L14059" i="1"/>
  <c r="A14060" i="1"/>
  <c r="B14060" i="1"/>
  <c r="C14060" i="1"/>
  <c r="D14060" i="1"/>
  <c r="E14060" i="1"/>
  <c r="F14060" i="1"/>
  <c r="G14060" i="1"/>
  <c r="H14060" i="1"/>
  <c r="I14060" i="1"/>
  <c r="J14060" i="1"/>
  <c r="K14060" i="1"/>
  <c r="L14060" i="1"/>
  <c r="A14061" i="1"/>
  <c r="B14061" i="1"/>
  <c r="C14061" i="1"/>
  <c r="D14061" i="1"/>
  <c r="E14061" i="1"/>
  <c r="F14061" i="1"/>
  <c r="G14061" i="1"/>
  <c r="H14061" i="1"/>
  <c r="I14061" i="1"/>
  <c r="J14061" i="1"/>
  <c r="K14061" i="1"/>
  <c r="L14061" i="1"/>
  <c r="A14062" i="1"/>
  <c r="B14062" i="1"/>
  <c r="C14062" i="1"/>
  <c r="D14062" i="1"/>
  <c r="E14062" i="1"/>
  <c r="F14062" i="1"/>
  <c r="G14062" i="1"/>
  <c r="H14062" i="1"/>
  <c r="I14062" i="1"/>
  <c r="J14062" i="1"/>
  <c r="K14062" i="1"/>
  <c r="L14062" i="1"/>
  <c r="A14063" i="1"/>
  <c r="B14063" i="1"/>
  <c r="C14063" i="1"/>
  <c r="D14063" i="1"/>
  <c r="E14063" i="1"/>
  <c r="F14063" i="1"/>
  <c r="G14063" i="1"/>
  <c r="H14063" i="1"/>
  <c r="I14063" i="1"/>
  <c r="J14063" i="1"/>
  <c r="K14063" i="1"/>
  <c r="L14063" i="1"/>
  <c r="A14064" i="1"/>
  <c r="B14064" i="1"/>
  <c r="C14064" i="1"/>
  <c r="D14064" i="1"/>
  <c r="E14064" i="1"/>
  <c r="F14064" i="1"/>
  <c r="G14064" i="1"/>
  <c r="H14064" i="1"/>
  <c r="I14064" i="1"/>
  <c r="J14064" i="1"/>
  <c r="K14064" i="1"/>
  <c r="L14064" i="1"/>
  <c r="A14065" i="1"/>
  <c r="B14065" i="1"/>
  <c r="C14065" i="1"/>
  <c r="D14065" i="1"/>
  <c r="E14065" i="1"/>
  <c r="F14065" i="1"/>
  <c r="G14065" i="1"/>
  <c r="H14065" i="1"/>
  <c r="I14065" i="1"/>
  <c r="J14065" i="1"/>
  <c r="K14065" i="1"/>
  <c r="L14065" i="1"/>
  <c r="A14066" i="1"/>
  <c r="B14066" i="1"/>
  <c r="C14066" i="1"/>
  <c r="D14066" i="1"/>
  <c r="E14066" i="1"/>
  <c r="F14066" i="1"/>
  <c r="G14066" i="1"/>
  <c r="H14066" i="1"/>
  <c r="I14066" i="1"/>
  <c r="J14066" i="1"/>
  <c r="K14066" i="1"/>
  <c r="L14066" i="1"/>
  <c r="A14067" i="1"/>
  <c r="B14067" i="1"/>
  <c r="C14067" i="1"/>
  <c r="D14067" i="1"/>
  <c r="E14067" i="1"/>
  <c r="F14067" i="1"/>
  <c r="G14067" i="1"/>
  <c r="H14067" i="1"/>
  <c r="I14067" i="1"/>
  <c r="J14067" i="1"/>
  <c r="K14067" i="1"/>
  <c r="L14067" i="1"/>
  <c r="A14068" i="1"/>
  <c r="B14068" i="1"/>
  <c r="C14068" i="1"/>
  <c r="D14068" i="1"/>
  <c r="E14068" i="1"/>
  <c r="F14068" i="1"/>
  <c r="G14068" i="1"/>
  <c r="H14068" i="1"/>
  <c r="I14068" i="1"/>
  <c r="J14068" i="1"/>
  <c r="K14068" i="1"/>
  <c r="L14068" i="1"/>
  <c r="A14069" i="1"/>
  <c r="B14069" i="1"/>
  <c r="C14069" i="1"/>
  <c r="D14069" i="1"/>
  <c r="E14069" i="1"/>
  <c r="F14069" i="1"/>
  <c r="G14069" i="1"/>
  <c r="H14069" i="1"/>
  <c r="I14069" i="1"/>
  <c r="J14069" i="1"/>
  <c r="K14069" i="1"/>
  <c r="L14069" i="1"/>
  <c r="A14070" i="1"/>
  <c r="B14070" i="1"/>
  <c r="C14070" i="1"/>
  <c r="D14070" i="1"/>
  <c r="E14070" i="1"/>
  <c r="F14070" i="1"/>
  <c r="G14070" i="1"/>
  <c r="H14070" i="1"/>
  <c r="I14070" i="1"/>
  <c r="J14070" i="1"/>
  <c r="K14070" i="1"/>
  <c r="L14070" i="1"/>
  <c r="A14071" i="1"/>
  <c r="B14071" i="1"/>
  <c r="C14071" i="1"/>
  <c r="D14071" i="1"/>
  <c r="E14071" i="1"/>
  <c r="F14071" i="1"/>
  <c r="G14071" i="1"/>
  <c r="H14071" i="1"/>
  <c r="I14071" i="1"/>
  <c r="J14071" i="1"/>
  <c r="K14071" i="1"/>
  <c r="L14071" i="1"/>
  <c r="A14072" i="1"/>
  <c r="B14072" i="1"/>
  <c r="C14072" i="1"/>
  <c r="D14072" i="1"/>
  <c r="E14072" i="1"/>
  <c r="F14072" i="1"/>
  <c r="G14072" i="1"/>
  <c r="H14072" i="1"/>
  <c r="I14072" i="1"/>
  <c r="J14072" i="1"/>
  <c r="K14072" i="1"/>
  <c r="L14072" i="1"/>
  <c r="A14073" i="1"/>
  <c r="B14073" i="1"/>
  <c r="C14073" i="1"/>
  <c r="D14073" i="1"/>
  <c r="E14073" i="1"/>
  <c r="F14073" i="1"/>
  <c r="G14073" i="1"/>
  <c r="H14073" i="1"/>
  <c r="I14073" i="1"/>
  <c r="J14073" i="1"/>
  <c r="K14073" i="1"/>
  <c r="L14073" i="1"/>
  <c r="A14074" i="1"/>
  <c r="B14074" i="1"/>
  <c r="C14074" i="1"/>
  <c r="D14074" i="1"/>
  <c r="E14074" i="1"/>
  <c r="F14074" i="1"/>
  <c r="G14074" i="1"/>
  <c r="H14074" i="1"/>
  <c r="I14074" i="1"/>
  <c r="J14074" i="1"/>
  <c r="K14074" i="1"/>
  <c r="L14074" i="1"/>
  <c r="A14075" i="1"/>
  <c r="B14075" i="1"/>
  <c r="C14075" i="1"/>
  <c r="D14075" i="1"/>
  <c r="E14075" i="1"/>
  <c r="F14075" i="1"/>
  <c r="G14075" i="1"/>
  <c r="H14075" i="1"/>
  <c r="I14075" i="1"/>
  <c r="J14075" i="1"/>
  <c r="K14075" i="1"/>
  <c r="L14075" i="1"/>
  <c r="A14076" i="1"/>
  <c r="B14076" i="1"/>
  <c r="C14076" i="1"/>
  <c r="D14076" i="1"/>
  <c r="E14076" i="1"/>
  <c r="F14076" i="1"/>
  <c r="G14076" i="1"/>
  <c r="H14076" i="1"/>
  <c r="I14076" i="1"/>
  <c r="J14076" i="1"/>
  <c r="K14076" i="1"/>
  <c r="L14076" i="1"/>
  <c r="A14077" i="1"/>
  <c r="B14077" i="1"/>
  <c r="C14077" i="1"/>
  <c r="D14077" i="1"/>
  <c r="E14077" i="1"/>
  <c r="F14077" i="1"/>
  <c r="G14077" i="1"/>
  <c r="H14077" i="1"/>
  <c r="I14077" i="1"/>
  <c r="J14077" i="1"/>
  <c r="K14077" i="1"/>
  <c r="L14077" i="1"/>
  <c r="A14078" i="1"/>
  <c r="B14078" i="1"/>
  <c r="C14078" i="1"/>
  <c r="D14078" i="1"/>
  <c r="E14078" i="1"/>
  <c r="F14078" i="1"/>
  <c r="G14078" i="1"/>
  <c r="H14078" i="1"/>
  <c r="I14078" i="1"/>
  <c r="J14078" i="1"/>
  <c r="K14078" i="1"/>
  <c r="L14078" i="1"/>
  <c r="A14079" i="1"/>
  <c r="B14079" i="1"/>
  <c r="C14079" i="1"/>
  <c r="D14079" i="1"/>
  <c r="E14079" i="1"/>
  <c r="F14079" i="1"/>
  <c r="G14079" i="1"/>
  <c r="H14079" i="1"/>
  <c r="I14079" i="1"/>
  <c r="J14079" i="1"/>
  <c r="K14079" i="1"/>
  <c r="L14079" i="1"/>
  <c r="A14080" i="1"/>
  <c r="B14080" i="1"/>
  <c r="C14080" i="1"/>
  <c r="D14080" i="1"/>
  <c r="E14080" i="1"/>
  <c r="F14080" i="1"/>
  <c r="G14080" i="1"/>
  <c r="H14080" i="1"/>
  <c r="I14080" i="1"/>
  <c r="J14080" i="1"/>
  <c r="K14080" i="1"/>
  <c r="L14080" i="1"/>
  <c r="A14081" i="1"/>
  <c r="B14081" i="1"/>
  <c r="C14081" i="1"/>
  <c r="D14081" i="1"/>
  <c r="E14081" i="1"/>
  <c r="F14081" i="1"/>
  <c r="G14081" i="1"/>
  <c r="H14081" i="1"/>
  <c r="I14081" i="1"/>
  <c r="J14081" i="1"/>
  <c r="K14081" i="1"/>
  <c r="L14081" i="1"/>
  <c r="A14082" i="1"/>
  <c r="B14082" i="1"/>
  <c r="C14082" i="1"/>
  <c r="D14082" i="1"/>
  <c r="E14082" i="1"/>
  <c r="F14082" i="1"/>
  <c r="G14082" i="1"/>
  <c r="H14082" i="1"/>
  <c r="I14082" i="1"/>
  <c r="J14082" i="1"/>
  <c r="K14082" i="1"/>
  <c r="L14082" i="1"/>
  <c r="A14083" i="1"/>
  <c r="B14083" i="1"/>
  <c r="C14083" i="1"/>
  <c r="D14083" i="1"/>
  <c r="E14083" i="1"/>
  <c r="F14083" i="1"/>
  <c r="G14083" i="1"/>
  <c r="H14083" i="1"/>
  <c r="I14083" i="1"/>
  <c r="J14083" i="1"/>
  <c r="K14083" i="1"/>
  <c r="L14083" i="1"/>
  <c r="A14084" i="1"/>
  <c r="B14084" i="1"/>
  <c r="C14084" i="1"/>
  <c r="D14084" i="1"/>
  <c r="E14084" i="1"/>
  <c r="F14084" i="1"/>
  <c r="G14084" i="1"/>
  <c r="H14084" i="1"/>
  <c r="I14084" i="1"/>
  <c r="J14084" i="1"/>
  <c r="K14084" i="1"/>
  <c r="L14084" i="1"/>
  <c r="A14085" i="1"/>
  <c r="B14085" i="1"/>
  <c r="C14085" i="1"/>
  <c r="D14085" i="1"/>
  <c r="E14085" i="1"/>
  <c r="F14085" i="1"/>
  <c r="G14085" i="1"/>
  <c r="H14085" i="1"/>
  <c r="I14085" i="1"/>
  <c r="J14085" i="1"/>
  <c r="K14085" i="1"/>
  <c r="L14085" i="1"/>
  <c r="A14086" i="1"/>
  <c r="B14086" i="1"/>
  <c r="C14086" i="1"/>
  <c r="D14086" i="1"/>
  <c r="E14086" i="1"/>
  <c r="F14086" i="1"/>
  <c r="G14086" i="1"/>
  <c r="H14086" i="1"/>
  <c r="I14086" i="1"/>
  <c r="J14086" i="1"/>
  <c r="K14086" i="1"/>
  <c r="L14086" i="1"/>
  <c r="A14087" i="1"/>
  <c r="B14087" i="1"/>
  <c r="C14087" i="1"/>
  <c r="D14087" i="1"/>
  <c r="E14087" i="1"/>
  <c r="F14087" i="1"/>
  <c r="G14087" i="1"/>
  <c r="H14087" i="1"/>
  <c r="I14087" i="1"/>
  <c r="J14087" i="1"/>
  <c r="K14087" i="1"/>
  <c r="L14087" i="1"/>
  <c r="A14088" i="1"/>
  <c r="B14088" i="1"/>
  <c r="C14088" i="1"/>
  <c r="D14088" i="1"/>
  <c r="E14088" i="1"/>
  <c r="F14088" i="1"/>
  <c r="G14088" i="1"/>
  <c r="H14088" i="1"/>
  <c r="I14088" i="1"/>
  <c r="J14088" i="1"/>
  <c r="K14088" i="1"/>
  <c r="L14088" i="1"/>
  <c r="A14089" i="1"/>
  <c r="B14089" i="1"/>
  <c r="C14089" i="1"/>
  <c r="D14089" i="1"/>
  <c r="E14089" i="1"/>
  <c r="F14089" i="1"/>
  <c r="G14089" i="1"/>
  <c r="H14089" i="1"/>
  <c r="I14089" i="1"/>
  <c r="J14089" i="1"/>
  <c r="K14089" i="1"/>
  <c r="L14089" i="1"/>
  <c r="A14090" i="1"/>
  <c r="B14090" i="1"/>
  <c r="C14090" i="1"/>
  <c r="D14090" i="1"/>
  <c r="E14090" i="1"/>
  <c r="F14090" i="1"/>
  <c r="G14090" i="1"/>
  <c r="H14090" i="1"/>
  <c r="I14090" i="1"/>
  <c r="J14090" i="1"/>
  <c r="K14090" i="1"/>
  <c r="L14090" i="1"/>
  <c r="A14091" i="1"/>
  <c r="B14091" i="1"/>
  <c r="C14091" i="1"/>
  <c r="D14091" i="1"/>
  <c r="E14091" i="1"/>
  <c r="F14091" i="1"/>
  <c r="G14091" i="1"/>
  <c r="H14091" i="1"/>
  <c r="I14091" i="1"/>
  <c r="J14091" i="1"/>
  <c r="K14091" i="1"/>
  <c r="L14091" i="1"/>
  <c r="A14092" i="1"/>
  <c r="B14092" i="1"/>
  <c r="C14092" i="1"/>
  <c r="D14092" i="1"/>
  <c r="E14092" i="1"/>
  <c r="F14092" i="1"/>
  <c r="G14092" i="1"/>
  <c r="H14092" i="1"/>
  <c r="I14092" i="1"/>
  <c r="J14092" i="1"/>
  <c r="K14092" i="1"/>
  <c r="L14092" i="1"/>
  <c r="A14093" i="1"/>
  <c r="B14093" i="1"/>
  <c r="C14093" i="1"/>
  <c r="D14093" i="1"/>
  <c r="E14093" i="1"/>
  <c r="F14093" i="1"/>
  <c r="G14093" i="1"/>
  <c r="H14093" i="1"/>
  <c r="I14093" i="1"/>
  <c r="J14093" i="1"/>
  <c r="K14093" i="1"/>
  <c r="L14093" i="1"/>
  <c r="A14094" i="1"/>
  <c r="B14094" i="1"/>
  <c r="C14094" i="1"/>
  <c r="D14094" i="1"/>
  <c r="E14094" i="1"/>
  <c r="F14094" i="1"/>
  <c r="G14094" i="1"/>
  <c r="H14094" i="1"/>
  <c r="I14094" i="1"/>
  <c r="J14094" i="1"/>
  <c r="K14094" i="1"/>
  <c r="L14094" i="1"/>
  <c r="A14095" i="1"/>
  <c r="B14095" i="1"/>
  <c r="C14095" i="1"/>
  <c r="D14095" i="1"/>
  <c r="E14095" i="1"/>
  <c r="F14095" i="1"/>
  <c r="G14095" i="1"/>
  <c r="H14095" i="1"/>
  <c r="I14095" i="1"/>
  <c r="J14095" i="1"/>
  <c r="K14095" i="1"/>
  <c r="L14095" i="1"/>
  <c r="A14096" i="1"/>
  <c r="B14096" i="1"/>
  <c r="C14096" i="1"/>
  <c r="D14096" i="1"/>
  <c r="E14096" i="1"/>
  <c r="F14096" i="1"/>
  <c r="G14096" i="1"/>
  <c r="H14096" i="1"/>
  <c r="I14096" i="1"/>
  <c r="J14096" i="1"/>
  <c r="K14096" i="1"/>
  <c r="L14096" i="1"/>
  <c r="A14097" i="1"/>
  <c r="B14097" i="1"/>
  <c r="C14097" i="1"/>
  <c r="D14097" i="1"/>
  <c r="E14097" i="1"/>
  <c r="F14097" i="1"/>
  <c r="G14097" i="1"/>
  <c r="H14097" i="1"/>
  <c r="I14097" i="1"/>
  <c r="J14097" i="1"/>
  <c r="K14097" i="1"/>
  <c r="L14097" i="1"/>
  <c r="A14098" i="1"/>
  <c r="B14098" i="1"/>
  <c r="C14098" i="1"/>
  <c r="D14098" i="1"/>
  <c r="E14098" i="1"/>
  <c r="F14098" i="1"/>
  <c r="G14098" i="1"/>
  <c r="H14098" i="1"/>
  <c r="I14098" i="1"/>
  <c r="J14098" i="1"/>
  <c r="K14098" i="1"/>
  <c r="L14098" i="1"/>
  <c r="A14099" i="1"/>
  <c r="B14099" i="1"/>
  <c r="C14099" i="1"/>
  <c r="D14099" i="1"/>
  <c r="E14099" i="1"/>
  <c r="F14099" i="1"/>
  <c r="G14099" i="1"/>
  <c r="H14099" i="1"/>
  <c r="I14099" i="1"/>
  <c r="J14099" i="1"/>
  <c r="K14099" i="1"/>
  <c r="L14099" i="1"/>
  <c r="A14100" i="1"/>
  <c r="B14100" i="1"/>
  <c r="C14100" i="1"/>
  <c r="D14100" i="1"/>
  <c r="E14100" i="1"/>
  <c r="F14100" i="1"/>
  <c r="G14100" i="1"/>
  <c r="H14100" i="1"/>
  <c r="I14100" i="1"/>
  <c r="J14100" i="1"/>
  <c r="K14100" i="1"/>
  <c r="L14100" i="1"/>
  <c r="A14101" i="1"/>
  <c r="B14101" i="1"/>
  <c r="C14101" i="1"/>
  <c r="D14101" i="1"/>
  <c r="E14101" i="1"/>
  <c r="F14101" i="1"/>
  <c r="G14101" i="1"/>
  <c r="H14101" i="1"/>
  <c r="I14101" i="1"/>
  <c r="J14101" i="1"/>
  <c r="K14101" i="1"/>
  <c r="L14101" i="1"/>
  <c r="A14102" i="1"/>
  <c r="B14102" i="1"/>
  <c r="C14102" i="1"/>
  <c r="D14102" i="1"/>
  <c r="E14102" i="1"/>
  <c r="F14102" i="1"/>
  <c r="G14102" i="1"/>
  <c r="H14102" i="1"/>
  <c r="I14102" i="1"/>
  <c r="J14102" i="1"/>
  <c r="K14102" i="1"/>
  <c r="L14102" i="1"/>
  <c r="A14103" i="1"/>
  <c r="B14103" i="1"/>
  <c r="C14103" i="1"/>
  <c r="D14103" i="1"/>
  <c r="E14103" i="1"/>
  <c r="F14103" i="1"/>
  <c r="G14103" i="1"/>
  <c r="H14103" i="1"/>
  <c r="I14103" i="1"/>
  <c r="J14103" i="1"/>
  <c r="K14103" i="1"/>
  <c r="L14103" i="1"/>
  <c r="A14104" i="1"/>
  <c r="B14104" i="1"/>
  <c r="C14104" i="1"/>
  <c r="D14104" i="1"/>
  <c r="E14104" i="1"/>
  <c r="F14104" i="1"/>
  <c r="G14104" i="1"/>
  <c r="H14104" i="1"/>
  <c r="I14104" i="1"/>
  <c r="J14104" i="1"/>
  <c r="K14104" i="1"/>
  <c r="L14104" i="1"/>
  <c r="A14105" i="1"/>
  <c r="B14105" i="1"/>
  <c r="C14105" i="1"/>
  <c r="D14105" i="1"/>
  <c r="E14105" i="1"/>
  <c r="F14105" i="1"/>
  <c r="G14105" i="1"/>
  <c r="H14105" i="1"/>
  <c r="I14105" i="1"/>
  <c r="J14105" i="1"/>
  <c r="K14105" i="1"/>
  <c r="L14105" i="1"/>
  <c r="A14106" i="1"/>
  <c r="B14106" i="1"/>
  <c r="C14106" i="1"/>
  <c r="D14106" i="1"/>
  <c r="E14106" i="1"/>
  <c r="F14106" i="1"/>
  <c r="G14106" i="1"/>
  <c r="H14106" i="1"/>
  <c r="I14106" i="1"/>
  <c r="J14106" i="1"/>
  <c r="K14106" i="1"/>
  <c r="L14106" i="1"/>
  <c r="A14107" i="1"/>
  <c r="B14107" i="1"/>
  <c r="C14107" i="1"/>
  <c r="D14107" i="1"/>
  <c r="E14107" i="1"/>
  <c r="F14107" i="1"/>
  <c r="G14107" i="1"/>
  <c r="H14107" i="1"/>
  <c r="I14107" i="1"/>
  <c r="J14107" i="1"/>
  <c r="K14107" i="1"/>
  <c r="L14107" i="1"/>
  <c r="A14108" i="1"/>
  <c r="B14108" i="1"/>
  <c r="C14108" i="1"/>
  <c r="D14108" i="1"/>
  <c r="E14108" i="1"/>
  <c r="F14108" i="1"/>
  <c r="G14108" i="1"/>
  <c r="H14108" i="1"/>
  <c r="I14108" i="1"/>
  <c r="J14108" i="1"/>
  <c r="K14108" i="1"/>
  <c r="L14108" i="1"/>
  <c r="A14109" i="1"/>
  <c r="B14109" i="1"/>
  <c r="C14109" i="1"/>
  <c r="D14109" i="1"/>
  <c r="E14109" i="1"/>
  <c r="F14109" i="1"/>
  <c r="G14109" i="1"/>
  <c r="H14109" i="1"/>
  <c r="I14109" i="1"/>
  <c r="J14109" i="1"/>
  <c r="K14109" i="1"/>
  <c r="L14109" i="1"/>
  <c r="A14110" i="1"/>
  <c r="B14110" i="1"/>
  <c r="C14110" i="1"/>
  <c r="D14110" i="1"/>
  <c r="E14110" i="1"/>
  <c r="F14110" i="1"/>
  <c r="G14110" i="1"/>
  <c r="H14110" i="1"/>
  <c r="I14110" i="1"/>
  <c r="J14110" i="1"/>
  <c r="K14110" i="1"/>
  <c r="L14110" i="1"/>
  <c r="A14111" i="1"/>
  <c r="B14111" i="1"/>
  <c r="C14111" i="1"/>
  <c r="D14111" i="1"/>
  <c r="E14111" i="1"/>
  <c r="F14111" i="1"/>
  <c r="G14111" i="1"/>
  <c r="H14111" i="1"/>
  <c r="I14111" i="1"/>
  <c r="J14111" i="1"/>
  <c r="K14111" i="1"/>
  <c r="L14111" i="1"/>
  <c r="A14112" i="1"/>
  <c r="B14112" i="1"/>
  <c r="C14112" i="1"/>
  <c r="D14112" i="1"/>
  <c r="E14112" i="1"/>
  <c r="F14112" i="1"/>
  <c r="G14112" i="1"/>
  <c r="H14112" i="1"/>
  <c r="I14112" i="1"/>
  <c r="J14112" i="1"/>
  <c r="K14112" i="1"/>
  <c r="L14112" i="1"/>
  <c r="A14113" i="1"/>
  <c r="B14113" i="1"/>
  <c r="C14113" i="1"/>
  <c r="D14113" i="1"/>
  <c r="E14113" i="1"/>
  <c r="F14113" i="1"/>
  <c r="G14113" i="1"/>
  <c r="H14113" i="1"/>
  <c r="I14113" i="1"/>
  <c r="J14113" i="1"/>
  <c r="K14113" i="1"/>
  <c r="L14113" i="1"/>
  <c r="A14114" i="1"/>
  <c r="B14114" i="1"/>
  <c r="C14114" i="1"/>
  <c r="D14114" i="1"/>
  <c r="E14114" i="1"/>
  <c r="F14114" i="1"/>
  <c r="G14114" i="1"/>
  <c r="H14114" i="1"/>
  <c r="I14114" i="1"/>
  <c r="J14114" i="1"/>
  <c r="K14114" i="1"/>
  <c r="L14114" i="1"/>
  <c r="A14115" i="1"/>
  <c r="B14115" i="1"/>
  <c r="C14115" i="1"/>
  <c r="D14115" i="1"/>
  <c r="E14115" i="1"/>
  <c r="F14115" i="1"/>
  <c r="G14115" i="1"/>
  <c r="H14115" i="1"/>
  <c r="I14115" i="1"/>
  <c r="J14115" i="1"/>
  <c r="K14115" i="1"/>
  <c r="L14115" i="1"/>
  <c r="A14116" i="1"/>
  <c r="B14116" i="1"/>
  <c r="C14116" i="1"/>
  <c r="D14116" i="1"/>
  <c r="E14116" i="1"/>
  <c r="F14116" i="1"/>
  <c r="G14116" i="1"/>
  <c r="H14116" i="1"/>
  <c r="I14116" i="1"/>
  <c r="J14116" i="1"/>
  <c r="K14116" i="1"/>
  <c r="L14116" i="1"/>
  <c r="A14117" i="1"/>
  <c r="B14117" i="1"/>
  <c r="C14117" i="1"/>
  <c r="D14117" i="1"/>
  <c r="E14117" i="1"/>
  <c r="F14117" i="1"/>
  <c r="G14117" i="1"/>
  <c r="H14117" i="1"/>
  <c r="I14117" i="1"/>
  <c r="J14117" i="1"/>
  <c r="K14117" i="1"/>
  <c r="L14117" i="1"/>
  <c r="A14118" i="1"/>
  <c r="B14118" i="1"/>
  <c r="C14118" i="1"/>
  <c r="D14118" i="1"/>
  <c r="E14118" i="1"/>
  <c r="F14118" i="1"/>
  <c r="G14118" i="1"/>
  <c r="H14118" i="1"/>
  <c r="I14118" i="1"/>
  <c r="J14118" i="1"/>
  <c r="K14118" i="1"/>
  <c r="L14118" i="1"/>
  <c r="A14119" i="1"/>
  <c r="B14119" i="1"/>
  <c r="C14119" i="1"/>
  <c r="D14119" i="1"/>
  <c r="E14119" i="1"/>
  <c r="F14119" i="1"/>
  <c r="G14119" i="1"/>
  <c r="H14119" i="1"/>
  <c r="I14119" i="1"/>
  <c r="J14119" i="1"/>
  <c r="K14119" i="1"/>
  <c r="L14119" i="1"/>
  <c r="A14120" i="1"/>
  <c r="B14120" i="1"/>
  <c r="C14120" i="1"/>
  <c r="D14120" i="1"/>
  <c r="E14120" i="1"/>
  <c r="F14120" i="1"/>
  <c r="G14120" i="1"/>
  <c r="H14120" i="1"/>
  <c r="I14120" i="1"/>
  <c r="J14120" i="1"/>
  <c r="K14120" i="1"/>
  <c r="L14120" i="1"/>
  <c r="A14121" i="1"/>
  <c r="B14121" i="1"/>
  <c r="C14121" i="1"/>
  <c r="D14121" i="1"/>
  <c r="E14121" i="1"/>
  <c r="F14121" i="1"/>
  <c r="G14121" i="1"/>
  <c r="H14121" i="1"/>
  <c r="I14121" i="1"/>
  <c r="J14121" i="1"/>
  <c r="K14121" i="1"/>
  <c r="L14121" i="1"/>
  <c r="A14122" i="1"/>
  <c r="B14122" i="1"/>
  <c r="C14122" i="1"/>
  <c r="D14122" i="1"/>
  <c r="E14122" i="1"/>
  <c r="F14122" i="1"/>
  <c r="G14122" i="1"/>
  <c r="H14122" i="1"/>
  <c r="I14122" i="1"/>
  <c r="J14122" i="1"/>
  <c r="K14122" i="1"/>
  <c r="L14122" i="1"/>
  <c r="A14123" i="1"/>
  <c r="B14123" i="1"/>
  <c r="C14123" i="1"/>
  <c r="D14123" i="1"/>
  <c r="E14123" i="1"/>
  <c r="F14123" i="1"/>
  <c r="G14123" i="1"/>
  <c r="H14123" i="1"/>
  <c r="I14123" i="1"/>
  <c r="J14123" i="1"/>
  <c r="K14123" i="1"/>
  <c r="L14123" i="1"/>
  <c r="A14124" i="1"/>
  <c r="B14124" i="1"/>
  <c r="C14124" i="1"/>
  <c r="D14124" i="1"/>
  <c r="E14124" i="1"/>
  <c r="F14124" i="1"/>
  <c r="G14124" i="1"/>
  <c r="H14124" i="1"/>
  <c r="I14124" i="1"/>
  <c r="J14124" i="1"/>
  <c r="K14124" i="1"/>
  <c r="L14124" i="1"/>
  <c r="A14125" i="1"/>
  <c r="B14125" i="1"/>
  <c r="C14125" i="1"/>
  <c r="D14125" i="1"/>
  <c r="E14125" i="1"/>
  <c r="F14125" i="1"/>
  <c r="G14125" i="1"/>
  <c r="H14125" i="1"/>
  <c r="I14125" i="1"/>
  <c r="J14125" i="1"/>
  <c r="K14125" i="1"/>
  <c r="L14125" i="1"/>
  <c r="A14126" i="1"/>
  <c r="B14126" i="1"/>
  <c r="C14126" i="1"/>
  <c r="D14126" i="1"/>
  <c r="E14126" i="1"/>
  <c r="F14126" i="1"/>
  <c r="G14126" i="1"/>
  <c r="H14126" i="1"/>
  <c r="I14126" i="1"/>
  <c r="J14126" i="1"/>
  <c r="K14126" i="1"/>
  <c r="L14126" i="1"/>
  <c r="A14127" i="1"/>
  <c r="B14127" i="1"/>
  <c r="C14127" i="1"/>
  <c r="D14127" i="1"/>
  <c r="E14127" i="1"/>
  <c r="F14127" i="1"/>
  <c r="G14127" i="1"/>
  <c r="H14127" i="1"/>
  <c r="I14127" i="1"/>
  <c r="J14127" i="1"/>
  <c r="K14127" i="1"/>
  <c r="L14127" i="1"/>
  <c r="A14128" i="1"/>
  <c r="B14128" i="1"/>
  <c r="C14128" i="1"/>
  <c r="D14128" i="1"/>
  <c r="E14128" i="1"/>
  <c r="F14128" i="1"/>
  <c r="G14128" i="1"/>
  <c r="H14128" i="1"/>
  <c r="I14128" i="1"/>
  <c r="J14128" i="1"/>
  <c r="K14128" i="1"/>
  <c r="L14128" i="1"/>
  <c r="A14129" i="1"/>
  <c r="B14129" i="1"/>
  <c r="C14129" i="1"/>
  <c r="D14129" i="1"/>
  <c r="E14129" i="1"/>
  <c r="F14129" i="1"/>
  <c r="G14129" i="1"/>
  <c r="H14129" i="1"/>
  <c r="I14129" i="1"/>
  <c r="J14129" i="1"/>
  <c r="K14129" i="1"/>
  <c r="L14129" i="1"/>
  <c r="A14130" i="1"/>
  <c r="B14130" i="1"/>
  <c r="C14130" i="1"/>
  <c r="D14130" i="1"/>
  <c r="E14130" i="1"/>
  <c r="F14130" i="1"/>
  <c r="G14130" i="1"/>
  <c r="H14130" i="1"/>
  <c r="I14130" i="1"/>
  <c r="J14130" i="1"/>
  <c r="K14130" i="1"/>
  <c r="L14130" i="1"/>
  <c r="A14131" i="1"/>
  <c r="B14131" i="1"/>
  <c r="C14131" i="1"/>
  <c r="D14131" i="1"/>
  <c r="E14131" i="1"/>
  <c r="F14131" i="1"/>
  <c r="G14131" i="1"/>
  <c r="H14131" i="1"/>
  <c r="I14131" i="1"/>
  <c r="J14131" i="1"/>
  <c r="K14131" i="1"/>
  <c r="L14131" i="1"/>
  <c r="A14132" i="1"/>
  <c r="B14132" i="1"/>
  <c r="C14132" i="1"/>
  <c r="D14132" i="1"/>
  <c r="E14132" i="1"/>
  <c r="F14132" i="1"/>
  <c r="G14132" i="1"/>
  <c r="H14132" i="1"/>
  <c r="I14132" i="1"/>
  <c r="J14132" i="1"/>
  <c r="K14132" i="1"/>
  <c r="L14132" i="1"/>
  <c r="A14133" i="1"/>
  <c r="B14133" i="1"/>
  <c r="C14133" i="1"/>
  <c r="D14133" i="1"/>
  <c r="E14133" i="1"/>
  <c r="F14133" i="1"/>
  <c r="G14133" i="1"/>
  <c r="H14133" i="1"/>
  <c r="I14133" i="1"/>
  <c r="J14133" i="1"/>
  <c r="K14133" i="1"/>
  <c r="L14133" i="1"/>
  <c r="A14134" i="1"/>
  <c r="B14134" i="1"/>
  <c r="C14134" i="1"/>
  <c r="D14134" i="1"/>
  <c r="E14134" i="1"/>
  <c r="F14134" i="1"/>
  <c r="G14134" i="1"/>
  <c r="H14134" i="1"/>
  <c r="I14134" i="1"/>
  <c r="J14134" i="1"/>
  <c r="K14134" i="1"/>
  <c r="L14134" i="1"/>
  <c r="A14135" i="1"/>
  <c r="B14135" i="1"/>
  <c r="C14135" i="1"/>
  <c r="D14135" i="1"/>
  <c r="E14135" i="1"/>
  <c r="F14135" i="1"/>
  <c r="G14135" i="1"/>
  <c r="H14135" i="1"/>
  <c r="I14135" i="1"/>
  <c r="J14135" i="1"/>
  <c r="K14135" i="1"/>
  <c r="L14135" i="1"/>
  <c r="A14136" i="1"/>
  <c r="B14136" i="1"/>
  <c r="C14136" i="1"/>
  <c r="D14136" i="1"/>
  <c r="E14136" i="1"/>
  <c r="F14136" i="1"/>
  <c r="G14136" i="1"/>
  <c r="H14136" i="1"/>
  <c r="I14136" i="1"/>
  <c r="J14136" i="1"/>
  <c r="K14136" i="1"/>
  <c r="L14136" i="1"/>
  <c r="A14137" i="1"/>
  <c r="B14137" i="1"/>
  <c r="C14137" i="1"/>
  <c r="D14137" i="1"/>
  <c r="E14137" i="1"/>
  <c r="F14137" i="1"/>
  <c r="G14137" i="1"/>
  <c r="H14137" i="1"/>
  <c r="I14137" i="1"/>
  <c r="J14137" i="1"/>
  <c r="K14137" i="1"/>
  <c r="L14137" i="1"/>
  <c r="A14138" i="1"/>
  <c r="B14138" i="1"/>
  <c r="C14138" i="1"/>
  <c r="D14138" i="1"/>
  <c r="E14138" i="1"/>
  <c r="F14138" i="1"/>
  <c r="G14138" i="1"/>
  <c r="H14138" i="1"/>
  <c r="I14138" i="1"/>
  <c r="J14138" i="1"/>
  <c r="K14138" i="1"/>
  <c r="L14138" i="1"/>
  <c r="A14139" i="1"/>
  <c r="B14139" i="1"/>
  <c r="C14139" i="1"/>
  <c r="D14139" i="1"/>
  <c r="E14139" i="1"/>
  <c r="F14139" i="1"/>
  <c r="G14139" i="1"/>
  <c r="H14139" i="1"/>
  <c r="I14139" i="1"/>
  <c r="J14139" i="1"/>
  <c r="K14139" i="1"/>
  <c r="L14139" i="1"/>
  <c r="A14140" i="1"/>
  <c r="B14140" i="1"/>
  <c r="C14140" i="1"/>
  <c r="D14140" i="1"/>
  <c r="E14140" i="1"/>
  <c r="F14140" i="1"/>
  <c r="G14140" i="1"/>
  <c r="H14140" i="1"/>
  <c r="I14140" i="1"/>
  <c r="J14140" i="1"/>
  <c r="K14140" i="1"/>
  <c r="L14140" i="1"/>
  <c r="A14141" i="1"/>
  <c r="B14141" i="1"/>
  <c r="C14141" i="1"/>
  <c r="D14141" i="1"/>
  <c r="E14141" i="1"/>
  <c r="F14141" i="1"/>
  <c r="G14141" i="1"/>
  <c r="H14141" i="1"/>
  <c r="I14141" i="1"/>
  <c r="J14141" i="1"/>
  <c r="K14141" i="1"/>
  <c r="L14141" i="1"/>
  <c r="A14142" i="1"/>
  <c r="B14142" i="1"/>
  <c r="C14142" i="1"/>
  <c r="D14142" i="1"/>
  <c r="E14142" i="1"/>
  <c r="F14142" i="1"/>
  <c r="G14142" i="1"/>
  <c r="H14142" i="1"/>
  <c r="I14142" i="1"/>
  <c r="J14142" i="1"/>
  <c r="K14142" i="1"/>
  <c r="L14142" i="1"/>
  <c r="A14143" i="1"/>
  <c r="B14143" i="1"/>
  <c r="C14143" i="1"/>
  <c r="D14143" i="1"/>
  <c r="E14143" i="1"/>
  <c r="F14143" i="1"/>
  <c r="G14143" i="1"/>
  <c r="H14143" i="1"/>
  <c r="I14143" i="1"/>
  <c r="J14143" i="1"/>
  <c r="K14143" i="1"/>
  <c r="L14143" i="1"/>
  <c r="A14144" i="1"/>
  <c r="B14144" i="1"/>
  <c r="C14144" i="1"/>
  <c r="D14144" i="1"/>
  <c r="E14144" i="1"/>
  <c r="F14144" i="1"/>
  <c r="G14144" i="1"/>
  <c r="H14144" i="1"/>
  <c r="I14144" i="1"/>
  <c r="J14144" i="1"/>
  <c r="K14144" i="1"/>
  <c r="L14144" i="1"/>
  <c r="A14145" i="1"/>
  <c r="B14145" i="1"/>
  <c r="C14145" i="1"/>
  <c r="D14145" i="1"/>
  <c r="E14145" i="1"/>
  <c r="F14145" i="1"/>
  <c r="G14145" i="1"/>
  <c r="H14145" i="1"/>
  <c r="I14145" i="1"/>
  <c r="J14145" i="1"/>
  <c r="K14145" i="1"/>
  <c r="L14145" i="1"/>
  <c r="A14146" i="1"/>
  <c r="B14146" i="1"/>
  <c r="C14146" i="1"/>
  <c r="D14146" i="1"/>
  <c r="E14146" i="1"/>
  <c r="F14146" i="1"/>
  <c r="G14146" i="1"/>
  <c r="H14146" i="1"/>
  <c r="I14146" i="1"/>
  <c r="J14146" i="1"/>
  <c r="K14146" i="1"/>
  <c r="L14146" i="1"/>
  <c r="A14147" i="1"/>
  <c r="B14147" i="1"/>
  <c r="C14147" i="1"/>
  <c r="D14147" i="1"/>
  <c r="E14147" i="1"/>
  <c r="F14147" i="1"/>
  <c r="G14147" i="1"/>
  <c r="H14147" i="1"/>
  <c r="I14147" i="1"/>
  <c r="J14147" i="1"/>
  <c r="K14147" i="1"/>
  <c r="L14147" i="1"/>
  <c r="A14148" i="1"/>
  <c r="B14148" i="1"/>
  <c r="C14148" i="1"/>
  <c r="D14148" i="1"/>
  <c r="E14148" i="1"/>
  <c r="F14148" i="1"/>
  <c r="G14148" i="1"/>
  <c r="H14148" i="1"/>
  <c r="I14148" i="1"/>
  <c r="J14148" i="1"/>
  <c r="K14148" i="1"/>
  <c r="L14148" i="1"/>
  <c r="A14149" i="1"/>
  <c r="B14149" i="1"/>
  <c r="C14149" i="1"/>
  <c r="D14149" i="1"/>
  <c r="E14149" i="1"/>
  <c r="F14149" i="1"/>
  <c r="G14149" i="1"/>
  <c r="H14149" i="1"/>
  <c r="I14149" i="1"/>
  <c r="J14149" i="1"/>
  <c r="K14149" i="1"/>
  <c r="L14149" i="1"/>
  <c r="A14150" i="1"/>
  <c r="B14150" i="1"/>
  <c r="C14150" i="1"/>
  <c r="D14150" i="1"/>
  <c r="E14150" i="1"/>
  <c r="F14150" i="1"/>
  <c r="G14150" i="1"/>
  <c r="H14150" i="1"/>
  <c r="I14150" i="1"/>
  <c r="J14150" i="1"/>
  <c r="K14150" i="1"/>
  <c r="L14150" i="1"/>
  <c r="A14151" i="1"/>
  <c r="B14151" i="1"/>
  <c r="C14151" i="1"/>
  <c r="D14151" i="1"/>
  <c r="E14151" i="1"/>
  <c r="F14151" i="1"/>
  <c r="G14151" i="1"/>
  <c r="H14151" i="1"/>
  <c r="I14151" i="1"/>
  <c r="J14151" i="1"/>
  <c r="K14151" i="1"/>
  <c r="L14151" i="1"/>
  <c r="A14152" i="1"/>
  <c r="B14152" i="1"/>
  <c r="C14152" i="1"/>
  <c r="D14152" i="1"/>
  <c r="E14152" i="1"/>
  <c r="F14152" i="1"/>
  <c r="G14152" i="1"/>
  <c r="H14152" i="1"/>
  <c r="I14152" i="1"/>
  <c r="J14152" i="1"/>
  <c r="K14152" i="1"/>
  <c r="L14152" i="1"/>
  <c r="A14153" i="1"/>
  <c r="B14153" i="1"/>
  <c r="C14153" i="1"/>
  <c r="D14153" i="1"/>
  <c r="E14153" i="1"/>
  <c r="F14153" i="1"/>
  <c r="G14153" i="1"/>
  <c r="H14153" i="1"/>
  <c r="I14153" i="1"/>
  <c r="J14153" i="1"/>
  <c r="K14153" i="1"/>
  <c r="L14153" i="1"/>
  <c r="A14154" i="1"/>
  <c r="B14154" i="1"/>
  <c r="C14154" i="1"/>
  <c r="D14154" i="1"/>
  <c r="E14154" i="1"/>
  <c r="F14154" i="1"/>
  <c r="G14154" i="1"/>
  <c r="H14154" i="1"/>
  <c r="I14154" i="1"/>
  <c r="J14154" i="1"/>
  <c r="K14154" i="1"/>
  <c r="L14154" i="1"/>
  <c r="A14155" i="1"/>
  <c r="B14155" i="1"/>
  <c r="C14155" i="1"/>
  <c r="D14155" i="1"/>
  <c r="E14155" i="1"/>
  <c r="F14155" i="1"/>
  <c r="G14155" i="1"/>
  <c r="H14155" i="1"/>
  <c r="I14155" i="1"/>
  <c r="J14155" i="1"/>
  <c r="K14155" i="1"/>
  <c r="L14155" i="1"/>
  <c r="A14156" i="1"/>
  <c r="B14156" i="1"/>
  <c r="C14156" i="1"/>
  <c r="D14156" i="1"/>
  <c r="E14156" i="1"/>
  <c r="F14156" i="1"/>
  <c r="G14156" i="1"/>
  <c r="H14156" i="1"/>
  <c r="I14156" i="1"/>
  <c r="J14156" i="1"/>
  <c r="K14156" i="1"/>
  <c r="L14156" i="1"/>
  <c r="A14157" i="1"/>
  <c r="B14157" i="1"/>
  <c r="C14157" i="1"/>
  <c r="D14157" i="1"/>
  <c r="E14157" i="1"/>
  <c r="F14157" i="1"/>
  <c r="G14157" i="1"/>
  <c r="H14157" i="1"/>
  <c r="I14157" i="1"/>
  <c r="J14157" i="1"/>
  <c r="K14157" i="1"/>
  <c r="L14157" i="1"/>
  <c r="A14158" i="1"/>
  <c r="B14158" i="1"/>
  <c r="C14158" i="1"/>
  <c r="D14158" i="1"/>
  <c r="E14158" i="1"/>
  <c r="F14158" i="1"/>
  <c r="G14158" i="1"/>
  <c r="H14158" i="1"/>
  <c r="I14158" i="1"/>
  <c r="J14158" i="1"/>
  <c r="K14158" i="1"/>
  <c r="L14158" i="1"/>
  <c r="A14159" i="1"/>
  <c r="B14159" i="1"/>
  <c r="C14159" i="1"/>
  <c r="D14159" i="1"/>
  <c r="E14159" i="1"/>
  <c r="F14159" i="1"/>
  <c r="G14159" i="1"/>
  <c r="H14159" i="1"/>
  <c r="I14159" i="1"/>
  <c r="J14159" i="1"/>
  <c r="K14159" i="1"/>
  <c r="L14159" i="1"/>
  <c r="A14160" i="1"/>
  <c r="B14160" i="1"/>
  <c r="C14160" i="1"/>
  <c r="D14160" i="1"/>
  <c r="E14160" i="1"/>
  <c r="F14160" i="1"/>
  <c r="G14160" i="1"/>
  <c r="H14160" i="1"/>
  <c r="I14160" i="1"/>
  <c r="J14160" i="1"/>
  <c r="K14160" i="1"/>
  <c r="L14160" i="1"/>
  <c r="A14161" i="1"/>
  <c r="B14161" i="1"/>
  <c r="C14161" i="1"/>
  <c r="D14161" i="1"/>
  <c r="E14161" i="1"/>
  <c r="F14161" i="1"/>
  <c r="G14161" i="1"/>
  <c r="H14161" i="1"/>
  <c r="I14161" i="1"/>
  <c r="J14161" i="1"/>
  <c r="K14161" i="1"/>
  <c r="L14161" i="1"/>
  <c r="A14162" i="1"/>
  <c r="B14162" i="1"/>
  <c r="C14162" i="1"/>
  <c r="D14162" i="1"/>
  <c r="E14162" i="1"/>
  <c r="F14162" i="1"/>
  <c r="G14162" i="1"/>
  <c r="H14162" i="1"/>
  <c r="I14162" i="1"/>
  <c r="J14162" i="1"/>
  <c r="K14162" i="1"/>
  <c r="L14162" i="1"/>
  <c r="A14163" i="1"/>
  <c r="B14163" i="1"/>
  <c r="C14163" i="1"/>
  <c r="D14163" i="1"/>
  <c r="E14163" i="1"/>
  <c r="F14163" i="1"/>
  <c r="G14163" i="1"/>
  <c r="H14163" i="1"/>
  <c r="I14163" i="1"/>
  <c r="J14163" i="1"/>
  <c r="K14163" i="1"/>
  <c r="L14163" i="1"/>
  <c r="A14164" i="1"/>
  <c r="B14164" i="1"/>
  <c r="C14164" i="1"/>
  <c r="D14164" i="1"/>
  <c r="E14164" i="1"/>
  <c r="F14164" i="1"/>
  <c r="G14164" i="1"/>
  <c r="H14164" i="1"/>
  <c r="I14164" i="1"/>
  <c r="J14164" i="1"/>
  <c r="K14164" i="1"/>
  <c r="L14164" i="1"/>
  <c r="A14165" i="1"/>
  <c r="B14165" i="1"/>
  <c r="C14165" i="1"/>
  <c r="D14165" i="1"/>
  <c r="E14165" i="1"/>
  <c r="F14165" i="1"/>
  <c r="G14165" i="1"/>
  <c r="H14165" i="1"/>
  <c r="I14165" i="1"/>
  <c r="J14165" i="1"/>
  <c r="K14165" i="1"/>
  <c r="L14165" i="1"/>
  <c r="A14166" i="1"/>
  <c r="B14166" i="1"/>
  <c r="C14166" i="1"/>
  <c r="D14166" i="1"/>
  <c r="E14166" i="1"/>
  <c r="F14166" i="1"/>
  <c r="G14166" i="1"/>
  <c r="H14166" i="1"/>
  <c r="I14166" i="1"/>
  <c r="J14166" i="1"/>
  <c r="K14166" i="1"/>
  <c r="L14166" i="1"/>
  <c r="A14167" i="1"/>
  <c r="B14167" i="1"/>
  <c r="C14167" i="1"/>
  <c r="D14167" i="1"/>
  <c r="E14167" i="1"/>
  <c r="F14167" i="1"/>
  <c r="G14167" i="1"/>
  <c r="H14167" i="1"/>
  <c r="I14167" i="1"/>
  <c r="J14167" i="1"/>
  <c r="K14167" i="1"/>
  <c r="L14167" i="1"/>
  <c r="A14168" i="1"/>
  <c r="B14168" i="1"/>
  <c r="C14168" i="1"/>
  <c r="D14168" i="1"/>
  <c r="E14168" i="1"/>
  <c r="F14168" i="1"/>
  <c r="G14168" i="1"/>
  <c r="H14168" i="1"/>
  <c r="I14168" i="1"/>
  <c r="J14168" i="1"/>
  <c r="K14168" i="1"/>
  <c r="L14168" i="1"/>
  <c r="A14169" i="1"/>
  <c r="B14169" i="1"/>
  <c r="C14169" i="1"/>
  <c r="D14169" i="1"/>
  <c r="E14169" i="1"/>
  <c r="F14169" i="1"/>
  <c r="G14169" i="1"/>
  <c r="H14169" i="1"/>
  <c r="I14169" i="1"/>
  <c r="J14169" i="1"/>
  <c r="K14169" i="1"/>
  <c r="L14169" i="1"/>
  <c r="A14170" i="1"/>
  <c r="B14170" i="1"/>
  <c r="C14170" i="1"/>
  <c r="D14170" i="1"/>
  <c r="E14170" i="1"/>
  <c r="F14170" i="1"/>
  <c r="G14170" i="1"/>
  <c r="H14170" i="1"/>
  <c r="I14170" i="1"/>
  <c r="J14170" i="1"/>
  <c r="K14170" i="1"/>
  <c r="L14170" i="1"/>
  <c r="A14171" i="1"/>
  <c r="B14171" i="1"/>
  <c r="C14171" i="1"/>
  <c r="D14171" i="1"/>
  <c r="E14171" i="1"/>
  <c r="F14171" i="1"/>
  <c r="G14171" i="1"/>
  <c r="H14171" i="1"/>
  <c r="I14171" i="1"/>
  <c r="J14171" i="1"/>
  <c r="K14171" i="1"/>
  <c r="L14171" i="1"/>
  <c r="A14172" i="1"/>
  <c r="B14172" i="1"/>
  <c r="C14172" i="1"/>
  <c r="D14172" i="1"/>
  <c r="E14172" i="1"/>
  <c r="F14172" i="1"/>
  <c r="G14172" i="1"/>
  <c r="H14172" i="1"/>
  <c r="I14172" i="1"/>
  <c r="J14172" i="1"/>
  <c r="K14172" i="1"/>
  <c r="L14172" i="1"/>
  <c r="A14173" i="1"/>
  <c r="B14173" i="1"/>
  <c r="C14173" i="1"/>
  <c r="D14173" i="1"/>
  <c r="E14173" i="1"/>
  <c r="F14173" i="1"/>
  <c r="G14173" i="1"/>
  <c r="H14173" i="1"/>
  <c r="I14173" i="1"/>
  <c r="J14173" i="1"/>
  <c r="K14173" i="1"/>
  <c r="L14173" i="1"/>
  <c r="A14174" i="1"/>
  <c r="B14174" i="1"/>
  <c r="C14174" i="1"/>
  <c r="D14174" i="1"/>
  <c r="E14174" i="1"/>
  <c r="F14174" i="1"/>
  <c r="G14174" i="1"/>
  <c r="H14174" i="1"/>
  <c r="I14174" i="1"/>
  <c r="J14174" i="1"/>
  <c r="K14174" i="1"/>
  <c r="L14174" i="1"/>
  <c r="A14175" i="1"/>
  <c r="B14175" i="1"/>
  <c r="C14175" i="1"/>
  <c r="D14175" i="1"/>
  <c r="E14175" i="1"/>
  <c r="F14175" i="1"/>
  <c r="G14175" i="1"/>
  <c r="H14175" i="1"/>
  <c r="I14175" i="1"/>
  <c r="J14175" i="1"/>
  <c r="K14175" i="1"/>
  <c r="L14175" i="1"/>
  <c r="A14176" i="1"/>
  <c r="B14176" i="1"/>
  <c r="C14176" i="1"/>
  <c r="D14176" i="1"/>
  <c r="E14176" i="1"/>
  <c r="F14176" i="1"/>
  <c r="G14176" i="1"/>
  <c r="H14176" i="1"/>
  <c r="I14176" i="1"/>
  <c r="J14176" i="1"/>
  <c r="K14176" i="1"/>
  <c r="L14176" i="1"/>
  <c r="A14177" i="1"/>
  <c r="B14177" i="1"/>
  <c r="C14177" i="1"/>
  <c r="D14177" i="1"/>
  <c r="E14177" i="1"/>
  <c r="F14177" i="1"/>
  <c r="G14177" i="1"/>
  <c r="H14177" i="1"/>
  <c r="I14177" i="1"/>
  <c r="J14177" i="1"/>
  <c r="K14177" i="1"/>
  <c r="L14177" i="1"/>
  <c r="A14178" i="1"/>
  <c r="B14178" i="1"/>
  <c r="C14178" i="1"/>
  <c r="D14178" i="1"/>
  <c r="E14178" i="1"/>
  <c r="F14178" i="1"/>
  <c r="G14178" i="1"/>
  <c r="H14178" i="1"/>
  <c r="I14178" i="1"/>
  <c r="J14178" i="1"/>
  <c r="K14178" i="1"/>
  <c r="L14178" i="1"/>
  <c r="A14179" i="1"/>
  <c r="B14179" i="1"/>
  <c r="C14179" i="1"/>
  <c r="D14179" i="1"/>
  <c r="E14179" i="1"/>
  <c r="F14179" i="1"/>
  <c r="G14179" i="1"/>
  <c r="H14179" i="1"/>
  <c r="I14179" i="1"/>
  <c r="J14179" i="1"/>
  <c r="K14179" i="1"/>
  <c r="L14179" i="1"/>
  <c r="A14180" i="1"/>
  <c r="B14180" i="1"/>
  <c r="C14180" i="1"/>
  <c r="D14180" i="1"/>
  <c r="E14180" i="1"/>
  <c r="F14180" i="1"/>
  <c r="G14180" i="1"/>
  <c r="H14180" i="1"/>
  <c r="I14180" i="1"/>
  <c r="J14180" i="1"/>
  <c r="K14180" i="1"/>
  <c r="L14180" i="1"/>
  <c r="A14181" i="1"/>
  <c r="B14181" i="1"/>
  <c r="C14181" i="1"/>
  <c r="D14181" i="1"/>
  <c r="E14181" i="1"/>
  <c r="F14181" i="1"/>
  <c r="G14181" i="1"/>
  <c r="H14181" i="1"/>
  <c r="I14181" i="1"/>
  <c r="J14181" i="1"/>
  <c r="K14181" i="1"/>
  <c r="L14181" i="1"/>
  <c r="A14182" i="1"/>
  <c r="B14182" i="1"/>
  <c r="C14182" i="1"/>
  <c r="D14182" i="1"/>
  <c r="E14182" i="1"/>
  <c r="F14182" i="1"/>
  <c r="G14182" i="1"/>
  <c r="H14182" i="1"/>
  <c r="I14182" i="1"/>
  <c r="J14182" i="1"/>
  <c r="K14182" i="1"/>
  <c r="L14182" i="1"/>
  <c r="A14183" i="1"/>
  <c r="B14183" i="1"/>
  <c r="C14183" i="1"/>
  <c r="D14183" i="1"/>
  <c r="E14183" i="1"/>
  <c r="F14183" i="1"/>
  <c r="G14183" i="1"/>
  <c r="H14183" i="1"/>
  <c r="I14183" i="1"/>
  <c r="J14183" i="1"/>
  <c r="K14183" i="1"/>
  <c r="L14183" i="1"/>
  <c r="A14184" i="1"/>
  <c r="B14184" i="1"/>
  <c r="C14184" i="1"/>
  <c r="D14184" i="1"/>
  <c r="E14184" i="1"/>
  <c r="F14184" i="1"/>
  <c r="G14184" i="1"/>
  <c r="H14184" i="1"/>
  <c r="I14184" i="1"/>
  <c r="J14184" i="1"/>
  <c r="K14184" i="1"/>
  <c r="L14184" i="1"/>
  <c r="A14185" i="1"/>
  <c r="B14185" i="1"/>
  <c r="C14185" i="1"/>
  <c r="D14185" i="1"/>
  <c r="E14185" i="1"/>
  <c r="F14185" i="1"/>
  <c r="G14185" i="1"/>
  <c r="H14185" i="1"/>
  <c r="I14185" i="1"/>
  <c r="J14185" i="1"/>
  <c r="K14185" i="1"/>
  <c r="L14185" i="1"/>
  <c r="A14186" i="1"/>
  <c r="B14186" i="1"/>
  <c r="C14186" i="1"/>
  <c r="D14186" i="1"/>
  <c r="E14186" i="1"/>
  <c r="F14186" i="1"/>
  <c r="G14186" i="1"/>
  <c r="H14186" i="1"/>
  <c r="I14186" i="1"/>
  <c r="J14186" i="1"/>
  <c r="K14186" i="1"/>
  <c r="L14186" i="1"/>
  <c r="A14187" i="1"/>
  <c r="B14187" i="1"/>
  <c r="C14187" i="1"/>
  <c r="D14187" i="1"/>
  <c r="E14187" i="1"/>
  <c r="F14187" i="1"/>
  <c r="G14187" i="1"/>
  <c r="H14187" i="1"/>
  <c r="I14187" i="1"/>
  <c r="J14187" i="1"/>
  <c r="K14187" i="1"/>
  <c r="L14187" i="1"/>
  <c r="A14188" i="1"/>
  <c r="B14188" i="1"/>
  <c r="C14188" i="1"/>
  <c r="D14188" i="1"/>
  <c r="E14188" i="1"/>
  <c r="F14188" i="1"/>
  <c r="G14188" i="1"/>
  <c r="H14188" i="1"/>
  <c r="I14188" i="1"/>
  <c r="J14188" i="1"/>
  <c r="K14188" i="1"/>
  <c r="L14188" i="1"/>
  <c r="A14189" i="1"/>
  <c r="B14189" i="1"/>
  <c r="C14189" i="1"/>
  <c r="D14189" i="1"/>
  <c r="E14189" i="1"/>
  <c r="F14189" i="1"/>
  <c r="G14189" i="1"/>
  <c r="H14189" i="1"/>
  <c r="I14189" i="1"/>
  <c r="J14189" i="1"/>
  <c r="K14189" i="1"/>
  <c r="L14189" i="1"/>
  <c r="A14190" i="1"/>
  <c r="B14190" i="1"/>
  <c r="C14190" i="1"/>
  <c r="D14190" i="1"/>
  <c r="E14190" i="1"/>
  <c r="F14190" i="1"/>
  <c r="G14190" i="1"/>
  <c r="H14190" i="1"/>
  <c r="I14190" i="1"/>
  <c r="J14190" i="1"/>
  <c r="K14190" i="1"/>
  <c r="L14190" i="1"/>
  <c r="A14191" i="1"/>
  <c r="B14191" i="1"/>
  <c r="C14191" i="1"/>
  <c r="D14191" i="1"/>
  <c r="E14191" i="1"/>
  <c r="F14191" i="1"/>
  <c r="G14191" i="1"/>
  <c r="H14191" i="1"/>
  <c r="I14191" i="1"/>
  <c r="J14191" i="1"/>
  <c r="K14191" i="1"/>
  <c r="L14191" i="1"/>
  <c r="A14192" i="1"/>
  <c r="B14192" i="1"/>
  <c r="C14192" i="1"/>
  <c r="D14192" i="1"/>
  <c r="E14192" i="1"/>
  <c r="F14192" i="1"/>
  <c r="G14192" i="1"/>
  <c r="H14192" i="1"/>
  <c r="I14192" i="1"/>
  <c r="J14192" i="1"/>
  <c r="K14192" i="1"/>
  <c r="L14192" i="1"/>
  <c r="A14193" i="1"/>
  <c r="B14193" i="1"/>
  <c r="C14193" i="1"/>
  <c r="D14193" i="1"/>
  <c r="E14193" i="1"/>
  <c r="F14193" i="1"/>
  <c r="G14193" i="1"/>
  <c r="H14193" i="1"/>
  <c r="I14193" i="1"/>
  <c r="J14193" i="1"/>
  <c r="K14193" i="1"/>
  <c r="L14193" i="1"/>
  <c r="A14194" i="1"/>
  <c r="B14194" i="1"/>
  <c r="C14194" i="1"/>
  <c r="D14194" i="1"/>
  <c r="E14194" i="1"/>
  <c r="F14194" i="1"/>
  <c r="G14194" i="1"/>
  <c r="H14194" i="1"/>
  <c r="I14194" i="1"/>
  <c r="J14194" i="1"/>
  <c r="K14194" i="1"/>
  <c r="L14194" i="1"/>
  <c r="A14195" i="1"/>
  <c r="B14195" i="1"/>
  <c r="C14195" i="1"/>
  <c r="D14195" i="1"/>
  <c r="E14195" i="1"/>
  <c r="F14195" i="1"/>
  <c r="G14195" i="1"/>
  <c r="H14195" i="1"/>
  <c r="I14195" i="1"/>
  <c r="J14195" i="1"/>
  <c r="K14195" i="1"/>
  <c r="L14195" i="1"/>
  <c r="A14196" i="1"/>
  <c r="B14196" i="1"/>
  <c r="C14196" i="1"/>
  <c r="D14196" i="1"/>
  <c r="E14196" i="1"/>
  <c r="F14196" i="1"/>
  <c r="G14196" i="1"/>
  <c r="H14196" i="1"/>
  <c r="I14196" i="1"/>
  <c r="J14196" i="1"/>
  <c r="K14196" i="1"/>
  <c r="L14196" i="1"/>
  <c r="A14197" i="1"/>
  <c r="B14197" i="1"/>
  <c r="C14197" i="1"/>
  <c r="D14197" i="1"/>
  <c r="E14197" i="1"/>
  <c r="F14197" i="1"/>
  <c r="G14197" i="1"/>
  <c r="H14197" i="1"/>
  <c r="I14197" i="1"/>
  <c r="J14197" i="1"/>
  <c r="K14197" i="1"/>
  <c r="L14197" i="1"/>
  <c r="A14198" i="1"/>
  <c r="B14198" i="1"/>
  <c r="C14198" i="1"/>
  <c r="D14198" i="1"/>
  <c r="E14198" i="1"/>
  <c r="F14198" i="1"/>
  <c r="G14198" i="1"/>
  <c r="H14198" i="1"/>
  <c r="I14198" i="1"/>
  <c r="J14198" i="1"/>
  <c r="K14198" i="1"/>
  <c r="L14198" i="1"/>
  <c r="A14199" i="1"/>
  <c r="B14199" i="1"/>
  <c r="C14199" i="1"/>
  <c r="D14199" i="1"/>
  <c r="E14199" i="1"/>
  <c r="F14199" i="1"/>
  <c r="G14199" i="1"/>
  <c r="H14199" i="1"/>
  <c r="I14199" i="1"/>
  <c r="J14199" i="1"/>
  <c r="K14199" i="1"/>
  <c r="L14199" i="1"/>
  <c r="A14200" i="1"/>
  <c r="B14200" i="1"/>
  <c r="C14200" i="1"/>
  <c r="D14200" i="1"/>
  <c r="E14200" i="1"/>
  <c r="F14200" i="1"/>
  <c r="G14200" i="1"/>
  <c r="H14200" i="1"/>
  <c r="I14200" i="1"/>
  <c r="J14200" i="1"/>
  <c r="K14200" i="1"/>
  <c r="L14200" i="1"/>
  <c r="A14201" i="1"/>
  <c r="B14201" i="1"/>
  <c r="C14201" i="1"/>
  <c r="D14201" i="1"/>
  <c r="E14201" i="1"/>
  <c r="F14201" i="1"/>
  <c r="G14201" i="1"/>
  <c r="H14201" i="1"/>
  <c r="I14201" i="1"/>
  <c r="J14201" i="1"/>
  <c r="K14201" i="1"/>
  <c r="L14201" i="1"/>
  <c r="A14202" i="1"/>
  <c r="B14202" i="1"/>
  <c r="C14202" i="1"/>
  <c r="D14202" i="1"/>
  <c r="E14202" i="1"/>
  <c r="F14202" i="1"/>
  <c r="G14202" i="1"/>
  <c r="H14202" i="1"/>
  <c r="I14202" i="1"/>
  <c r="J14202" i="1"/>
  <c r="K14202" i="1"/>
  <c r="L14202" i="1"/>
  <c r="A14203" i="1"/>
  <c r="B14203" i="1"/>
  <c r="C14203" i="1"/>
  <c r="D14203" i="1"/>
  <c r="E14203" i="1"/>
  <c r="F14203" i="1"/>
  <c r="G14203" i="1"/>
  <c r="H14203" i="1"/>
  <c r="I14203" i="1"/>
  <c r="J14203" i="1"/>
  <c r="K14203" i="1"/>
  <c r="L14203" i="1"/>
  <c r="A14204" i="1"/>
  <c r="B14204" i="1"/>
  <c r="C14204" i="1"/>
  <c r="D14204" i="1"/>
  <c r="E14204" i="1"/>
  <c r="F14204" i="1"/>
  <c r="G14204" i="1"/>
  <c r="H14204" i="1"/>
  <c r="I14204" i="1"/>
  <c r="J14204" i="1"/>
  <c r="K14204" i="1"/>
  <c r="L14204" i="1"/>
  <c r="A14205" i="1"/>
  <c r="B14205" i="1"/>
  <c r="C14205" i="1"/>
  <c r="D14205" i="1"/>
  <c r="E14205" i="1"/>
  <c r="F14205" i="1"/>
  <c r="G14205" i="1"/>
  <c r="H14205" i="1"/>
  <c r="I14205" i="1"/>
  <c r="J14205" i="1"/>
  <c r="K14205" i="1"/>
  <c r="L14205" i="1"/>
  <c r="A14206" i="1"/>
  <c r="B14206" i="1"/>
  <c r="C14206" i="1"/>
  <c r="D14206" i="1"/>
  <c r="E14206" i="1"/>
  <c r="F14206" i="1"/>
  <c r="G14206" i="1"/>
  <c r="H14206" i="1"/>
  <c r="I14206" i="1"/>
  <c r="J14206" i="1"/>
  <c r="K14206" i="1"/>
  <c r="L14206" i="1"/>
  <c r="A14207" i="1"/>
  <c r="B14207" i="1"/>
  <c r="C14207" i="1"/>
  <c r="D14207" i="1"/>
  <c r="E14207" i="1"/>
  <c r="F14207" i="1"/>
  <c r="G14207" i="1"/>
  <c r="H14207" i="1"/>
  <c r="I14207" i="1"/>
  <c r="J14207" i="1"/>
  <c r="K14207" i="1"/>
  <c r="L14207" i="1"/>
  <c r="A14208" i="1"/>
  <c r="B14208" i="1"/>
  <c r="C14208" i="1"/>
  <c r="D14208" i="1"/>
  <c r="E14208" i="1"/>
  <c r="F14208" i="1"/>
  <c r="G14208" i="1"/>
  <c r="H14208" i="1"/>
  <c r="I14208" i="1"/>
  <c r="J14208" i="1"/>
  <c r="K14208" i="1"/>
  <c r="L14208" i="1"/>
  <c r="A14209" i="1"/>
  <c r="B14209" i="1"/>
  <c r="C14209" i="1"/>
  <c r="D14209" i="1"/>
  <c r="E14209" i="1"/>
  <c r="F14209" i="1"/>
  <c r="G14209" i="1"/>
  <c r="H14209" i="1"/>
  <c r="I14209" i="1"/>
  <c r="J14209" i="1"/>
  <c r="K14209" i="1"/>
  <c r="L14209" i="1"/>
  <c r="A14210" i="1"/>
  <c r="B14210" i="1"/>
  <c r="C14210" i="1"/>
  <c r="D14210" i="1"/>
  <c r="E14210" i="1"/>
  <c r="F14210" i="1"/>
  <c r="G14210" i="1"/>
  <c r="H14210" i="1"/>
  <c r="I14210" i="1"/>
  <c r="J14210" i="1"/>
  <c r="K14210" i="1"/>
  <c r="L14210" i="1"/>
  <c r="A14211" i="1"/>
  <c r="B14211" i="1"/>
  <c r="C14211" i="1"/>
  <c r="D14211" i="1"/>
  <c r="E14211" i="1"/>
  <c r="F14211" i="1"/>
  <c r="G14211" i="1"/>
  <c r="H14211" i="1"/>
  <c r="I14211" i="1"/>
  <c r="J14211" i="1"/>
  <c r="K14211" i="1"/>
  <c r="L14211" i="1"/>
  <c r="A14212" i="1"/>
  <c r="B14212" i="1"/>
  <c r="C14212" i="1"/>
  <c r="D14212" i="1"/>
  <c r="E14212" i="1"/>
  <c r="F14212" i="1"/>
  <c r="G14212" i="1"/>
  <c r="H14212" i="1"/>
  <c r="I14212" i="1"/>
  <c r="J14212" i="1"/>
  <c r="K14212" i="1"/>
  <c r="L14212" i="1"/>
  <c r="A14213" i="1"/>
  <c r="B14213" i="1"/>
  <c r="C14213" i="1"/>
  <c r="D14213" i="1"/>
  <c r="E14213" i="1"/>
  <c r="F14213" i="1"/>
  <c r="G14213" i="1"/>
  <c r="H14213" i="1"/>
  <c r="I14213" i="1"/>
  <c r="J14213" i="1"/>
  <c r="K14213" i="1"/>
  <c r="L14213" i="1"/>
  <c r="A14214" i="1"/>
  <c r="B14214" i="1"/>
  <c r="C14214" i="1"/>
  <c r="D14214" i="1"/>
  <c r="E14214" i="1"/>
  <c r="F14214" i="1"/>
  <c r="G14214" i="1"/>
  <c r="H14214" i="1"/>
  <c r="I14214" i="1"/>
  <c r="J14214" i="1"/>
  <c r="K14214" i="1"/>
  <c r="L14214" i="1"/>
  <c r="A14215" i="1"/>
  <c r="B14215" i="1"/>
  <c r="C14215" i="1"/>
  <c r="D14215" i="1"/>
  <c r="E14215" i="1"/>
  <c r="F14215" i="1"/>
  <c r="G14215" i="1"/>
  <c r="H14215" i="1"/>
  <c r="I14215" i="1"/>
  <c r="J14215" i="1"/>
  <c r="K14215" i="1"/>
  <c r="L14215" i="1"/>
  <c r="A14216" i="1"/>
  <c r="B14216" i="1"/>
  <c r="C14216" i="1"/>
  <c r="D14216" i="1"/>
  <c r="E14216" i="1"/>
  <c r="F14216" i="1"/>
  <c r="G14216" i="1"/>
  <c r="H14216" i="1"/>
  <c r="I14216" i="1"/>
  <c r="J14216" i="1"/>
  <c r="K14216" i="1"/>
  <c r="L14216" i="1"/>
  <c r="A14217" i="1"/>
  <c r="B14217" i="1"/>
  <c r="C14217" i="1"/>
  <c r="D14217" i="1"/>
  <c r="E14217" i="1"/>
  <c r="F14217" i="1"/>
  <c r="G14217" i="1"/>
  <c r="H14217" i="1"/>
  <c r="I14217" i="1"/>
  <c r="J14217" i="1"/>
  <c r="K14217" i="1"/>
  <c r="L14217" i="1"/>
  <c r="A14218" i="1"/>
  <c r="B14218" i="1"/>
  <c r="C14218" i="1"/>
  <c r="D14218" i="1"/>
  <c r="E14218" i="1"/>
  <c r="F14218" i="1"/>
  <c r="G14218" i="1"/>
  <c r="H14218" i="1"/>
  <c r="I14218" i="1"/>
  <c r="J14218" i="1"/>
  <c r="K14218" i="1"/>
  <c r="L14218" i="1"/>
  <c r="A14219" i="1"/>
  <c r="B14219" i="1"/>
  <c r="C14219" i="1"/>
  <c r="D14219" i="1"/>
  <c r="E14219" i="1"/>
  <c r="F14219" i="1"/>
  <c r="G14219" i="1"/>
  <c r="H14219" i="1"/>
  <c r="I14219" i="1"/>
  <c r="J14219" i="1"/>
  <c r="K14219" i="1"/>
  <c r="L14219" i="1"/>
  <c r="A14220" i="1"/>
  <c r="B14220" i="1"/>
  <c r="C14220" i="1"/>
  <c r="D14220" i="1"/>
  <c r="E14220" i="1"/>
  <c r="F14220" i="1"/>
  <c r="G14220" i="1"/>
  <c r="H14220" i="1"/>
  <c r="I14220" i="1"/>
  <c r="J14220" i="1"/>
  <c r="K14220" i="1"/>
  <c r="L14220" i="1"/>
  <c r="A14221" i="1"/>
  <c r="B14221" i="1"/>
  <c r="C14221" i="1"/>
  <c r="D14221" i="1"/>
  <c r="E14221" i="1"/>
  <c r="F14221" i="1"/>
  <c r="G14221" i="1"/>
  <c r="H14221" i="1"/>
  <c r="I14221" i="1"/>
  <c r="J14221" i="1"/>
  <c r="K14221" i="1"/>
  <c r="L14221" i="1"/>
  <c r="A14222" i="1"/>
  <c r="B14222" i="1"/>
  <c r="C14222" i="1"/>
  <c r="D14222" i="1"/>
  <c r="E14222" i="1"/>
  <c r="F14222" i="1"/>
  <c r="G14222" i="1"/>
  <c r="H14222" i="1"/>
  <c r="I14222" i="1"/>
  <c r="J14222" i="1"/>
  <c r="K14222" i="1"/>
  <c r="L14222" i="1"/>
  <c r="A14223" i="1"/>
  <c r="B14223" i="1"/>
  <c r="C14223" i="1"/>
  <c r="D14223" i="1"/>
  <c r="E14223" i="1"/>
  <c r="F14223" i="1"/>
  <c r="G14223" i="1"/>
  <c r="H14223" i="1"/>
  <c r="I14223" i="1"/>
  <c r="J14223" i="1"/>
  <c r="K14223" i="1"/>
  <c r="L14223" i="1"/>
  <c r="A14224" i="1"/>
  <c r="B14224" i="1"/>
  <c r="C14224" i="1"/>
  <c r="D14224" i="1"/>
  <c r="E14224" i="1"/>
  <c r="F14224" i="1"/>
  <c r="G14224" i="1"/>
  <c r="H14224" i="1"/>
  <c r="I14224" i="1"/>
  <c r="J14224" i="1"/>
  <c r="K14224" i="1"/>
  <c r="L14224" i="1"/>
  <c r="A14225" i="1"/>
  <c r="B14225" i="1"/>
  <c r="C14225" i="1"/>
  <c r="D14225" i="1"/>
  <c r="E14225" i="1"/>
  <c r="F14225" i="1"/>
  <c r="G14225" i="1"/>
  <c r="H14225" i="1"/>
  <c r="I14225" i="1"/>
  <c r="J14225" i="1"/>
  <c r="K14225" i="1"/>
  <c r="L14225" i="1"/>
  <c r="A14226" i="1"/>
  <c r="B14226" i="1"/>
  <c r="C14226" i="1"/>
  <c r="D14226" i="1"/>
  <c r="E14226" i="1"/>
  <c r="F14226" i="1"/>
  <c r="G14226" i="1"/>
  <c r="H14226" i="1"/>
  <c r="I14226" i="1"/>
  <c r="J14226" i="1"/>
  <c r="K14226" i="1"/>
  <c r="L14226" i="1"/>
  <c r="A14227" i="1"/>
  <c r="B14227" i="1"/>
  <c r="C14227" i="1"/>
  <c r="D14227" i="1"/>
  <c r="E14227" i="1"/>
  <c r="F14227" i="1"/>
  <c r="G14227" i="1"/>
  <c r="H14227" i="1"/>
  <c r="I14227" i="1"/>
  <c r="J14227" i="1"/>
  <c r="K14227" i="1"/>
  <c r="L14227" i="1"/>
  <c r="A14228" i="1"/>
  <c r="B14228" i="1"/>
  <c r="C14228" i="1"/>
  <c r="D14228" i="1"/>
  <c r="E14228" i="1"/>
  <c r="F14228" i="1"/>
  <c r="G14228" i="1"/>
  <c r="H14228" i="1"/>
  <c r="I14228" i="1"/>
  <c r="J14228" i="1"/>
  <c r="K14228" i="1"/>
  <c r="L14228" i="1"/>
  <c r="A14229" i="1"/>
  <c r="B14229" i="1"/>
  <c r="C14229" i="1"/>
  <c r="D14229" i="1"/>
  <c r="E14229" i="1"/>
  <c r="F14229" i="1"/>
  <c r="G14229" i="1"/>
  <c r="H14229" i="1"/>
  <c r="I14229" i="1"/>
  <c r="J14229" i="1"/>
  <c r="K14229" i="1"/>
  <c r="L14229" i="1"/>
  <c r="A14230" i="1"/>
  <c r="B14230" i="1"/>
  <c r="C14230" i="1"/>
  <c r="D14230" i="1"/>
  <c r="E14230" i="1"/>
  <c r="F14230" i="1"/>
  <c r="G14230" i="1"/>
  <c r="H14230" i="1"/>
  <c r="I14230" i="1"/>
  <c r="J14230" i="1"/>
  <c r="K14230" i="1"/>
  <c r="L14230" i="1"/>
  <c r="A14231" i="1"/>
  <c r="B14231" i="1"/>
  <c r="C14231" i="1"/>
  <c r="D14231" i="1"/>
  <c r="E14231" i="1"/>
  <c r="F14231" i="1"/>
  <c r="G14231" i="1"/>
  <c r="H14231" i="1"/>
  <c r="I14231" i="1"/>
  <c r="J14231" i="1"/>
  <c r="K14231" i="1"/>
  <c r="L14231" i="1"/>
  <c r="A14232" i="1"/>
  <c r="B14232" i="1"/>
  <c r="C14232" i="1"/>
  <c r="D14232" i="1"/>
  <c r="E14232" i="1"/>
  <c r="F14232" i="1"/>
  <c r="G14232" i="1"/>
  <c r="H14232" i="1"/>
  <c r="I14232" i="1"/>
  <c r="J14232" i="1"/>
  <c r="K14232" i="1"/>
  <c r="L14232" i="1"/>
  <c r="A14233" i="1"/>
  <c r="B14233" i="1"/>
  <c r="C14233" i="1"/>
  <c r="D14233" i="1"/>
  <c r="E14233" i="1"/>
  <c r="F14233" i="1"/>
  <c r="G14233" i="1"/>
  <c r="H14233" i="1"/>
  <c r="I14233" i="1"/>
  <c r="J14233" i="1"/>
  <c r="K14233" i="1"/>
  <c r="L14233" i="1"/>
  <c r="A14234" i="1"/>
  <c r="B14234" i="1"/>
  <c r="C14234" i="1"/>
  <c r="D14234" i="1"/>
  <c r="E14234" i="1"/>
  <c r="F14234" i="1"/>
  <c r="G14234" i="1"/>
  <c r="H14234" i="1"/>
  <c r="I14234" i="1"/>
  <c r="J14234" i="1"/>
  <c r="K14234" i="1"/>
  <c r="L14234" i="1"/>
  <c r="A14235" i="1"/>
  <c r="B14235" i="1"/>
  <c r="C14235" i="1"/>
  <c r="D14235" i="1"/>
  <c r="E14235" i="1"/>
  <c r="F14235" i="1"/>
  <c r="G14235" i="1"/>
  <c r="H14235" i="1"/>
  <c r="I14235" i="1"/>
  <c r="J14235" i="1"/>
  <c r="K14235" i="1"/>
  <c r="L14235" i="1"/>
  <c r="A14236" i="1"/>
  <c r="B14236" i="1"/>
  <c r="C14236" i="1"/>
  <c r="D14236" i="1"/>
  <c r="E14236" i="1"/>
  <c r="F14236" i="1"/>
  <c r="G14236" i="1"/>
  <c r="H14236" i="1"/>
  <c r="I14236" i="1"/>
  <c r="J14236" i="1"/>
  <c r="K14236" i="1"/>
  <c r="L14236" i="1"/>
  <c r="A14237" i="1"/>
  <c r="B14237" i="1"/>
  <c r="C14237" i="1"/>
  <c r="D14237" i="1"/>
  <c r="E14237" i="1"/>
  <c r="F14237" i="1"/>
  <c r="G14237" i="1"/>
  <c r="H14237" i="1"/>
  <c r="I14237" i="1"/>
  <c r="J14237" i="1"/>
  <c r="K14237" i="1"/>
  <c r="L14237" i="1"/>
  <c r="A14238" i="1"/>
  <c r="B14238" i="1"/>
  <c r="C14238" i="1"/>
  <c r="D14238" i="1"/>
  <c r="E14238" i="1"/>
  <c r="F14238" i="1"/>
  <c r="G14238" i="1"/>
  <c r="H14238" i="1"/>
  <c r="I14238" i="1"/>
  <c r="J14238" i="1"/>
  <c r="K14238" i="1"/>
  <c r="L14238" i="1"/>
  <c r="A14239" i="1"/>
  <c r="B14239" i="1"/>
  <c r="C14239" i="1"/>
  <c r="D14239" i="1"/>
  <c r="E14239" i="1"/>
  <c r="F14239" i="1"/>
  <c r="G14239" i="1"/>
  <c r="H14239" i="1"/>
  <c r="I14239" i="1"/>
  <c r="J14239" i="1"/>
  <c r="K14239" i="1"/>
  <c r="L14239" i="1"/>
  <c r="A14240" i="1"/>
  <c r="B14240" i="1"/>
  <c r="C14240" i="1"/>
  <c r="D14240" i="1"/>
  <c r="E14240" i="1"/>
  <c r="F14240" i="1"/>
  <c r="G14240" i="1"/>
  <c r="H14240" i="1"/>
  <c r="I14240" i="1"/>
  <c r="J14240" i="1"/>
  <c r="K14240" i="1"/>
  <c r="L14240" i="1"/>
  <c r="A14241" i="1"/>
  <c r="B14241" i="1"/>
  <c r="C14241" i="1"/>
  <c r="D14241" i="1"/>
  <c r="E14241" i="1"/>
  <c r="F14241" i="1"/>
  <c r="G14241" i="1"/>
  <c r="H14241" i="1"/>
  <c r="I14241" i="1"/>
  <c r="J14241" i="1"/>
  <c r="K14241" i="1"/>
  <c r="L14241" i="1"/>
  <c r="A14242" i="1"/>
  <c r="B14242" i="1"/>
  <c r="C14242" i="1"/>
  <c r="D14242" i="1"/>
  <c r="E14242" i="1"/>
  <c r="F14242" i="1"/>
  <c r="G14242" i="1"/>
  <c r="H14242" i="1"/>
  <c r="I14242" i="1"/>
  <c r="J14242" i="1"/>
  <c r="K14242" i="1"/>
  <c r="L14242" i="1"/>
  <c r="A14243" i="1"/>
  <c r="B14243" i="1"/>
  <c r="C14243" i="1"/>
  <c r="D14243" i="1"/>
  <c r="E14243" i="1"/>
  <c r="F14243" i="1"/>
  <c r="G14243" i="1"/>
  <c r="H14243" i="1"/>
  <c r="I14243" i="1"/>
  <c r="J14243" i="1"/>
  <c r="K14243" i="1"/>
  <c r="L14243" i="1"/>
  <c r="A14244" i="1"/>
  <c r="B14244" i="1"/>
  <c r="C14244" i="1"/>
  <c r="D14244" i="1"/>
  <c r="E14244" i="1"/>
  <c r="F14244" i="1"/>
  <c r="G14244" i="1"/>
  <c r="H14244" i="1"/>
  <c r="I14244" i="1"/>
  <c r="J14244" i="1"/>
  <c r="K14244" i="1"/>
  <c r="L14244" i="1"/>
  <c r="A14245" i="1"/>
  <c r="B14245" i="1"/>
  <c r="C14245" i="1"/>
  <c r="D14245" i="1"/>
  <c r="E14245" i="1"/>
  <c r="F14245" i="1"/>
  <c r="G14245" i="1"/>
  <c r="H14245" i="1"/>
  <c r="I14245" i="1"/>
  <c r="J14245" i="1"/>
  <c r="K14245" i="1"/>
  <c r="L14245" i="1"/>
  <c r="A14246" i="1"/>
  <c r="B14246" i="1"/>
  <c r="C14246" i="1"/>
  <c r="D14246" i="1"/>
  <c r="E14246" i="1"/>
  <c r="F14246" i="1"/>
  <c r="G14246" i="1"/>
  <c r="H14246" i="1"/>
  <c r="I14246" i="1"/>
  <c r="J14246" i="1"/>
  <c r="K14246" i="1"/>
  <c r="L14246" i="1"/>
  <c r="A14247" i="1"/>
  <c r="B14247" i="1"/>
  <c r="C14247" i="1"/>
  <c r="D14247" i="1"/>
  <c r="E14247" i="1"/>
  <c r="F14247" i="1"/>
  <c r="G14247" i="1"/>
  <c r="H14247" i="1"/>
  <c r="I14247" i="1"/>
  <c r="J14247" i="1"/>
  <c r="K14247" i="1"/>
  <c r="L14247" i="1"/>
  <c r="A14248" i="1"/>
  <c r="B14248" i="1"/>
  <c r="C14248" i="1"/>
  <c r="D14248" i="1"/>
  <c r="E14248" i="1"/>
  <c r="F14248" i="1"/>
  <c r="G14248" i="1"/>
  <c r="H14248" i="1"/>
  <c r="I14248" i="1"/>
  <c r="J14248" i="1"/>
  <c r="K14248" i="1"/>
  <c r="L14248" i="1"/>
  <c r="A14249" i="1"/>
  <c r="B14249" i="1"/>
  <c r="C14249" i="1"/>
  <c r="D14249" i="1"/>
  <c r="E14249" i="1"/>
  <c r="F14249" i="1"/>
  <c r="G14249" i="1"/>
  <c r="H14249" i="1"/>
  <c r="I14249" i="1"/>
  <c r="J14249" i="1"/>
  <c r="K14249" i="1"/>
  <c r="L14249" i="1"/>
  <c r="A14250" i="1"/>
  <c r="B14250" i="1"/>
  <c r="C14250" i="1"/>
  <c r="D14250" i="1"/>
  <c r="E14250" i="1"/>
  <c r="F14250" i="1"/>
  <c r="G14250" i="1"/>
  <c r="H14250" i="1"/>
  <c r="I14250" i="1"/>
  <c r="J14250" i="1"/>
  <c r="K14250" i="1"/>
  <c r="L14250" i="1"/>
  <c r="A14251" i="1"/>
  <c r="B14251" i="1"/>
  <c r="C14251" i="1"/>
  <c r="D14251" i="1"/>
  <c r="E14251" i="1"/>
  <c r="F14251" i="1"/>
  <c r="G14251" i="1"/>
  <c r="H14251" i="1"/>
  <c r="I14251" i="1"/>
  <c r="J14251" i="1"/>
  <c r="K14251" i="1"/>
  <c r="L14251" i="1"/>
  <c r="A14252" i="1"/>
  <c r="B14252" i="1"/>
  <c r="C14252" i="1"/>
  <c r="D14252" i="1"/>
  <c r="E14252" i="1"/>
  <c r="F14252" i="1"/>
  <c r="G14252" i="1"/>
  <c r="H14252" i="1"/>
  <c r="I14252" i="1"/>
  <c r="J14252" i="1"/>
  <c r="K14252" i="1"/>
  <c r="L14252" i="1"/>
  <c r="A14253" i="1"/>
  <c r="B14253" i="1"/>
  <c r="C14253" i="1"/>
  <c r="D14253" i="1"/>
  <c r="E14253" i="1"/>
  <c r="F14253" i="1"/>
  <c r="G14253" i="1"/>
  <c r="H14253" i="1"/>
  <c r="I14253" i="1"/>
  <c r="J14253" i="1"/>
  <c r="K14253" i="1"/>
  <c r="L14253" i="1"/>
  <c r="A14254" i="1"/>
  <c r="B14254" i="1"/>
  <c r="C14254" i="1"/>
  <c r="D14254" i="1"/>
  <c r="E14254" i="1"/>
  <c r="F14254" i="1"/>
  <c r="G14254" i="1"/>
  <c r="H14254" i="1"/>
  <c r="I14254" i="1"/>
  <c r="J14254" i="1"/>
  <c r="K14254" i="1"/>
  <c r="L14254" i="1"/>
  <c r="A14255" i="1"/>
  <c r="B14255" i="1"/>
  <c r="C14255" i="1"/>
  <c r="D14255" i="1"/>
  <c r="E14255" i="1"/>
  <c r="F14255" i="1"/>
  <c r="G14255" i="1"/>
  <c r="H14255" i="1"/>
  <c r="I14255" i="1"/>
  <c r="J14255" i="1"/>
  <c r="K14255" i="1"/>
  <c r="L14255" i="1"/>
  <c r="A14256" i="1"/>
  <c r="B14256" i="1"/>
  <c r="C14256" i="1"/>
  <c r="D14256" i="1"/>
  <c r="E14256" i="1"/>
  <c r="F14256" i="1"/>
  <c r="G14256" i="1"/>
  <c r="H14256" i="1"/>
  <c r="I14256" i="1"/>
  <c r="J14256" i="1"/>
  <c r="K14256" i="1"/>
  <c r="L14256" i="1"/>
  <c r="A14257" i="1"/>
  <c r="B14257" i="1"/>
  <c r="C14257" i="1"/>
  <c r="D14257" i="1"/>
  <c r="E14257" i="1"/>
  <c r="F14257" i="1"/>
  <c r="G14257" i="1"/>
  <c r="H14257" i="1"/>
  <c r="I14257" i="1"/>
  <c r="J14257" i="1"/>
  <c r="K14257" i="1"/>
  <c r="L14257" i="1"/>
  <c r="A14258" i="1"/>
  <c r="B14258" i="1"/>
  <c r="C14258" i="1"/>
  <c r="D14258" i="1"/>
  <c r="E14258" i="1"/>
  <c r="F14258" i="1"/>
  <c r="G14258" i="1"/>
  <c r="H14258" i="1"/>
  <c r="I14258" i="1"/>
  <c r="J14258" i="1"/>
  <c r="K14258" i="1"/>
  <c r="L14258" i="1"/>
  <c r="A14259" i="1"/>
  <c r="B14259" i="1"/>
  <c r="C14259" i="1"/>
  <c r="D14259" i="1"/>
  <c r="E14259" i="1"/>
  <c r="F14259" i="1"/>
  <c r="G14259" i="1"/>
  <c r="H14259" i="1"/>
  <c r="I14259" i="1"/>
  <c r="J14259" i="1"/>
  <c r="K14259" i="1"/>
  <c r="L14259" i="1"/>
  <c r="A14260" i="1"/>
  <c r="B14260" i="1"/>
  <c r="C14260" i="1"/>
  <c r="D14260" i="1"/>
  <c r="E14260" i="1"/>
  <c r="F14260" i="1"/>
  <c r="G14260" i="1"/>
  <c r="H14260" i="1"/>
  <c r="I14260" i="1"/>
  <c r="J14260" i="1"/>
  <c r="K14260" i="1"/>
  <c r="L14260" i="1"/>
  <c r="A14261" i="1"/>
  <c r="B14261" i="1"/>
  <c r="C14261" i="1"/>
  <c r="D14261" i="1"/>
  <c r="E14261" i="1"/>
  <c r="F14261" i="1"/>
  <c r="G14261" i="1"/>
  <c r="H14261" i="1"/>
  <c r="I14261" i="1"/>
  <c r="J14261" i="1"/>
  <c r="K14261" i="1"/>
  <c r="L14261" i="1"/>
  <c r="A14262" i="1"/>
  <c r="B14262" i="1"/>
  <c r="C14262" i="1"/>
  <c r="D14262" i="1"/>
  <c r="E14262" i="1"/>
  <c r="F14262" i="1"/>
  <c r="G14262" i="1"/>
  <c r="H14262" i="1"/>
  <c r="I14262" i="1"/>
  <c r="J14262" i="1"/>
  <c r="K14262" i="1"/>
  <c r="L14262" i="1"/>
  <c r="A14263" i="1"/>
  <c r="B14263" i="1"/>
  <c r="C14263" i="1"/>
  <c r="D14263" i="1"/>
  <c r="E14263" i="1"/>
  <c r="F14263" i="1"/>
  <c r="G14263" i="1"/>
  <c r="H14263" i="1"/>
  <c r="I14263" i="1"/>
  <c r="J14263" i="1"/>
  <c r="K14263" i="1"/>
  <c r="L14263" i="1"/>
  <c r="A14264" i="1"/>
  <c r="B14264" i="1"/>
  <c r="C14264" i="1"/>
  <c r="D14264" i="1"/>
  <c r="E14264" i="1"/>
  <c r="F14264" i="1"/>
  <c r="G14264" i="1"/>
  <c r="H14264" i="1"/>
  <c r="I14264" i="1"/>
  <c r="J14264" i="1"/>
  <c r="K14264" i="1"/>
  <c r="L14264" i="1"/>
  <c r="A14265" i="1"/>
  <c r="B14265" i="1"/>
  <c r="C14265" i="1"/>
  <c r="D14265" i="1"/>
  <c r="E14265" i="1"/>
  <c r="F14265" i="1"/>
  <c r="G14265" i="1"/>
  <c r="H14265" i="1"/>
  <c r="I14265" i="1"/>
  <c r="J14265" i="1"/>
  <c r="K14265" i="1"/>
  <c r="L14265" i="1"/>
  <c r="A14266" i="1"/>
  <c r="B14266" i="1"/>
  <c r="C14266" i="1"/>
  <c r="D14266" i="1"/>
  <c r="E14266" i="1"/>
  <c r="F14266" i="1"/>
  <c r="G14266" i="1"/>
  <c r="H14266" i="1"/>
  <c r="I14266" i="1"/>
  <c r="J14266" i="1"/>
  <c r="K14266" i="1"/>
  <c r="L14266" i="1"/>
  <c r="A14267" i="1"/>
  <c r="B14267" i="1"/>
  <c r="C14267" i="1"/>
  <c r="D14267" i="1"/>
  <c r="E14267" i="1"/>
  <c r="F14267" i="1"/>
  <c r="G14267" i="1"/>
  <c r="H14267" i="1"/>
  <c r="I14267" i="1"/>
  <c r="J14267" i="1"/>
  <c r="K14267" i="1"/>
  <c r="L14267" i="1"/>
  <c r="A14268" i="1"/>
  <c r="B14268" i="1"/>
  <c r="C14268" i="1"/>
  <c r="D14268" i="1"/>
  <c r="E14268" i="1"/>
  <c r="F14268" i="1"/>
  <c r="G14268" i="1"/>
  <c r="H14268" i="1"/>
  <c r="I14268" i="1"/>
  <c r="J14268" i="1"/>
  <c r="K14268" i="1"/>
  <c r="L14268" i="1"/>
  <c r="A14269" i="1"/>
  <c r="B14269" i="1"/>
  <c r="C14269" i="1"/>
  <c r="D14269" i="1"/>
  <c r="E14269" i="1"/>
  <c r="F14269" i="1"/>
  <c r="G14269" i="1"/>
  <c r="H14269" i="1"/>
  <c r="I14269" i="1"/>
  <c r="J14269" i="1"/>
  <c r="K14269" i="1"/>
  <c r="L14269" i="1"/>
  <c r="A14270" i="1"/>
  <c r="B14270" i="1"/>
  <c r="C14270" i="1"/>
  <c r="D14270" i="1"/>
  <c r="E14270" i="1"/>
  <c r="F14270" i="1"/>
  <c r="G14270" i="1"/>
  <c r="H14270" i="1"/>
  <c r="I14270" i="1"/>
  <c r="J14270" i="1"/>
  <c r="K14270" i="1"/>
  <c r="L14270" i="1"/>
  <c r="A14271" i="1"/>
  <c r="B14271" i="1"/>
  <c r="C14271" i="1"/>
  <c r="D14271" i="1"/>
  <c r="E14271" i="1"/>
  <c r="F14271" i="1"/>
  <c r="G14271" i="1"/>
  <c r="H14271" i="1"/>
  <c r="I14271" i="1"/>
  <c r="J14271" i="1"/>
  <c r="K14271" i="1"/>
  <c r="L14271" i="1"/>
  <c r="A14272" i="1"/>
  <c r="B14272" i="1"/>
  <c r="C14272" i="1"/>
  <c r="D14272" i="1"/>
  <c r="E14272" i="1"/>
  <c r="F14272" i="1"/>
  <c r="G14272" i="1"/>
  <c r="H14272" i="1"/>
  <c r="I14272" i="1"/>
  <c r="J14272" i="1"/>
  <c r="K14272" i="1"/>
  <c r="L14272" i="1"/>
  <c r="A14273" i="1"/>
  <c r="B14273" i="1"/>
  <c r="C14273" i="1"/>
  <c r="D14273" i="1"/>
  <c r="E14273" i="1"/>
  <c r="F14273" i="1"/>
  <c r="G14273" i="1"/>
  <c r="H14273" i="1"/>
  <c r="I14273" i="1"/>
  <c r="J14273" i="1"/>
  <c r="K14273" i="1"/>
  <c r="L14273" i="1"/>
  <c r="A14274" i="1"/>
  <c r="B14274" i="1"/>
  <c r="C14274" i="1"/>
  <c r="D14274" i="1"/>
  <c r="E14274" i="1"/>
  <c r="F14274" i="1"/>
  <c r="G14274" i="1"/>
  <c r="H14274" i="1"/>
  <c r="I14274" i="1"/>
  <c r="J14274" i="1"/>
  <c r="K14274" i="1"/>
  <c r="L14274" i="1"/>
  <c r="A14275" i="1"/>
  <c r="B14275" i="1"/>
  <c r="C14275" i="1"/>
  <c r="D14275" i="1"/>
  <c r="E14275" i="1"/>
  <c r="F14275" i="1"/>
  <c r="G14275" i="1"/>
  <c r="H14275" i="1"/>
  <c r="I14275" i="1"/>
  <c r="J14275" i="1"/>
  <c r="K14275" i="1"/>
  <c r="L14275" i="1"/>
  <c r="A14276" i="1"/>
  <c r="B14276" i="1"/>
  <c r="C14276" i="1"/>
  <c r="D14276" i="1"/>
  <c r="E14276" i="1"/>
  <c r="F14276" i="1"/>
  <c r="G14276" i="1"/>
  <c r="H14276" i="1"/>
  <c r="I14276" i="1"/>
  <c r="J14276" i="1"/>
  <c r="K14276" i="1"/>
  <c r="L14276" i="1"/>
  <c r="A14277" i="1"/>
  <c r="B14277" i="1"/>
  <c r="C14277" i="1"/>
  <c r="D14277" i="1"/>
  <c r="E14277" i="1"/>
  <c r="F14277" i="1"/>
  <c r="G14277" i="1"/>
  <c r="H14277" i="1"/>
  <c r="I14277" i="1"/>
  <c r="J14277" i="1"/>
  <c r="K14277" i="1"/>
  <c r="L14277" i="1"/>
  <c r="A14278" i="1"/>
  <c r="B14278" i="1"/>
  <c r="C14278" i="1"/>
  <c r="D14278" i="1"/>
  <c r="E14278" i="1"/>
  <c r="F14278" i="1"/>
  <c r="G14278" i="1"/>
  <c r="H14278" i="1"/>
  <c r="I14278" i="1"/>
  <c r="J14278" i="1"/>
  <c r="K14278" i="1"/>
  <c r="L14278" i="1"/>
  <c r="A14279" i="1"/>
  <c r="B14279" i="1"/>
  <c r="C14279" i="1"/>
  <c r="D14279" i="1"/>
  <c r="E14279" i="1"/>
  <c r="F14279" i="1"/>
  <c r="G14279" i="1"/>
  <c r="H14279" i="1"/>
  <c r="I14279" i="1"/>
  <c r="J14279" i="1"/>
  <c r="K14279" i="1"/>
  <c r="L14279" i="1"/>
  <c r="A14280" i="1"/>
  <c r="B14280" i="1"/>
  <c r="C14280" i="1"/>
  <c r="D14280" i="1"/>
  <c r="E14280" i="1"/>
  <c r="F14280" i="1"/>
  <c r="G14280" i="1"/>
  <c r="H14280" i="1"/>
  <c r="I14280" i="1"/>
  <c r="J14280" i="1"/>
  <c r="K14280" i="1"/>
  <c r="L14280" i="1"/>
  <c r="A14281" i="1"/>
  <c r="B14281" i="1"/>
  <c r="C14281" i="1"/>
  <c r="D14281" i="1"/>
  <c r="E14281" i="1"/>
  <c r="F14281" i="1"/>
  <c r="G14281" i="1"/>
  <c r="H14281" i="1"/>
  <c r="I14281" i="1"/>
  <c r="J14281" i="1"/>
  <c r="K14281" i="1"/>
  <c r="L14281" i="1"/>
  <c r="A14282" i="1"/>
  <c r="B14282" i="1"/>
  <c r="C14282" i="1"/>
  <c r="D14282" i="1"/>
  <c r="E14282" i="1"/>
  <c r="F14282" i="1"/>
  <c r="G14282" i="1"/>
  <c r="H14282" i="1"/>
  <c r="I14282" i="1"/>
  <c r="J14282" i="1"/>
  <c r="K14282" i="1"/>
  <c r="L14282" i="1"/>
  <c r="A14283" i="1"/>
  <c r="B14283" i="1"/>
  <c r="C14283" i="1"/>
  <c r="D14283" i="1"/>
  <c r="E14283" i="1"/>
  <c r="F14283" i="1"/>
  <c r="G14283" i="1"/>
  <c r="H14283" i="1"/>
  <c r="I14283" i="1"/>
  <c r="J14283" i="1"/>
  <c r="K14283" i="1"/>
  <c r="L14283" i="1"/>
  <c r="A14284" i="1"/>
  <c r="B14284" i="1"/>
  <c r="C14284" i="1"/>
  <c r="D14284" i="1"/>
  <c r="E14284" i="1"/>
  <c r="F14284" i="1"/>
  <c r="G14284" i="1"/>
  <c r="H14284" i="1"/>
  <c r="I14284" i="1"/>
  <c r="J14284" i="1"/>
  <c r="K14284" i="1"/>
  <c r="L14284" i="1"/>
  <c r="A14285" i="1"/>
  <c r="B14285" i="1"/>
  <c r="C14285" i="1"/>
  <c r="D14285" i="1"/>
  <c r="E14285" i="1"/>
  <c r="F14285" i="1"/>
  <c r="G14285" i="1"/>
  <c r="H14285" i="1"/>
  <c r="I14285" i="1"/>
  <c r="J14285" i="1"/>
  <c r="K14285" i="1"/>
  <c r="L14285" i="1"/>
  <c r="A14286" i="1"/>
  <c r="B14286" i="1"/>
  <c r="C14286" i="1"/>
  <c r="D14286" i="1"/>
  <c r="E14286" i="1"/>
  <c r="F14286" i="1"/>
  <c r="G14286" i="1"/>
  <c r="H14286" i="1"/>
  <c r="I14286" i="1"/>
  <c r="J14286" i="1"/>
  <c r="K14286" i="1"/>
  <c r="L14286" i="1"/>
  <c r="A14287" i="1"/>
  <c r="B14287" i="1"/>
  <c r="C14287" i="1"/>
  <c r="D14287" i="1"/>
  <c r="E14287" i="1"/>
  <c r="F14287" i="1"/>
  <c r="G14287" i="1"/>
  <c r="H14287" i="1"/>
  <c r="I14287" i="1"/>
  <c r="J14287" i="1"/>
  <c r="K14287" i="1"/>
  <c r="L14287" i="1"/>
  <c r="A14288" i="1"/>
  <c r="B14288" i="1"/>
  <c r="C14288" i="1"/>
  <c r="D14288" i="1"/>
  <c r="E14288" i="1"/>
  <c r="F14288" i="1"/>
  <c r="G14288" i="1"/>
  <c r="H14288" i="1"/>
  <c r="I14288" i="1"/>
  <c r="J14288" i="1"/>
  <c r="K14288" i="1"/>
  <c r="L14288" i="1"/>
  <c r="A14289" i="1"/>
  <c r="B14289" i="1"/>
  <c r="C14289" i="1"/>
  <c r="D14289" i="1"/>
  <c r="E14289" i="1"/>
  <c r="F14289" i="1"/>
  <c r="G14289" i="1"/>
  <c r="H14289" i="1"/>
  <c r="I14289" i="1"/>
  <c r="J14289" i="1"/>
  <c r="K14289" i="1"/>
  <c r="L14289" i="1"/>
  <c r="A14290" i="1"/>
  <c r="B14290" i="1"/>
  <c r="C14290" i="1"/>
  <c r="D14290" i="1"/>
  <c r="E14290" i="1"/>
  <c r="F14290" i="1"/>
  <c r="G14290" i="1"/>
  <c r="H14290" i="1"/>
  <c r="I14290" i="1"/>
  <c r="J14290" i="1"/>
  <c r="K14290" i="1"/>
  <c r="L14290" i="1"/>
  <c r="A14291" i="1"/>
  <c r="B14291" i="1"/>
  <c r="C14291" i="1"/>
  <c r="D14291" i="1"/>
  <c r="E14291" i="1"/>
  <c r="F14291" i="1"/>
  <c r="G14291" i="1"/>
  <c r="H14291" i="1"/>
  <c r="I14291" i="1"/>
  <c r="J14291" i="1"/>
  <c r="K14291" i="1"/>
  <c r="L14291" i="1"/>
  <c r="A14292" i="1"/>
  <c r="B14292" i="1"/>
  <c r="C14292" i="1"/>
  <c r="D14292" i="1"/>
  <c r="E14292" i="1"/>
  <c r="F14292" i="1"/>
  <c r="G14292" i="1"/>
  <c r="H14292" i="1"/>
  <c r="I14292" i="1"/>
  <c r="J14292" i="1"/>
  <c r="K14292" i="1"/>
  <c r="L14292" i="1"/>
  <c r="A14293" i="1"/>
  <c r="B14293" i="1"/>
  <c r="C14293" i="1"/>
  <c r="D14293" i="1"/>
  <c r="E14293" i="1"/>
  <c r="F14293" i="1"/>
  <c r="G14293" i="1"/>
  <c r="H14293" i="1"/>
  <c r="I14293" i="1"/>
  <c r="J14293" i="1"/>
  <c r="K14293" i="1"/>
  <c r="L14293" i="1"/>
  <c r="A14294" i="1"/>
  <c r="B14294" i="1"/>
  <c r="C14294" i="1"/>
  <c r="D14294" i="1"/>
  <c r="E14294" i="1"/>
  <c r="F14294" i="1"/>
  <c r="G14294" i="1"/>
  <c r="H14294" i="1"/>
  <c r="I14294" i="1"/>
  <c r="J14294" i="1"/>
  <c r="K14294" i="1"/>
  <c r="L14294" i="1"/>
  <c r="A14295" i="1"/>
  <c r="B14295" i="1"/>
  <c r="C14295" i="1"/>
  <c r="D14295" i="1"/>
  <c r="E14295" i="1"/>
  <c r="F14295" i="1"/>
  <c r="G14295" i="1"/>
  <c r="H14295" i="1"/>
  <c r="I14295" i="1"/>
  <c r="J14295" i="1"/>
  <c r="K14295" i="1"/>
  <c r="L14295" i="1"/>
  <c r="A14296" i="1"/>
  <c r="B14296" i="1"/>
  <c r="C14296" i="1"/>
  <c r="D14296" i="1"/>
  <c r="E14296" i="1"/>
  <c r="F14296" i="1"/>
  <c r="G14296" i="1"/>
  <c r="H14296" i="1"/>
  <c r="I14296" i="1"/>
  <c r="J14296" i="1"/>
  <c r="K14296" i="1"/>
  <c r="L14296" i="1"/>
  <c r="A14297" i="1"/>
  <c r="B14297" i="1"/>
  <c r="C14297" i="1"/>
  <c r="D14297" i="1"/>
  <c r="E14297" i="1"/>
  <c r="F14297" i="1"/>
  <c r="G14297" i="1"/>
  <c r="H14297" i="1"/>
  <c r="I14297" i="1"/>
  <c r="J14297" i="1"/>
  <c r="K14297" i="1"/>
  <c r="L14297" i="1"/>
  <c r="A14298" i="1"/>
  <c r="B14298" i="1"/>
  <c r="C14298" i="1"/>
  <c r="D14298" i="1"/>
  <c r="E14298" i="1"/>
  <c r="F14298" i="1"/>
  <c r="G14298" i="1"/>
  <c r="H14298" i="1"/>
  <c r="I14298" i="1"/>
  <c r="J14298" i="1"/>
  <c r="K14298" i="1"/>
  <c r="L14298" i="1"/>
  <c r="A14299" i="1"/>
  <c r="B14299" i="1"/>
  <c r="C14299" i="1"/>
  <c r="D14299" i="1"/>
  <c r="E14299" i="1"/>
  <c r="F14299" i="1"/>
  <c r="G14299" i="1"/>
  <c r="H14299" i="1"/>
  <c r="I14299" i="1"/>
  <c r="J14299" i="1"/>
  <c r="K14299" i="1"/>
  <c r="L14299" i="1"/>
  <c r="A14300" i="1"/>
  <c r="B14300" i="1"/>
  <c r="C14300" i="1"/>
  <c r="D14300" i="1"/>
  <c r="E14300" i="1"/>
  <c r="F14300" i="1"/>
  <c r="G14300" i="1"/>
  <c r="H14300" i="1"/>
  <c r="I14300" i="1"/>
  <c r="J14300" i="1"/>
  <c r="K14300" i="1"/>
  <c r="L14300" i="1"/>
  <c r="A14301" i="1"/>
  <c r="B14301" i="1"/>
  <c r="C14301" i="1"/>
  <c r="D14301" i="1"/>
  <c r="E14301" i="1"/>
  <c r="F14301" i="1"/>
  <c r="G14301" i="1"/>
  <c r="H14301" i="1"/>
  <c r="I14301" i="1"/>
  <c r="J14301" i="1"/>
  <c r="K14301" i="1"/>
  <c r="L14301" i="1"/>
  <c r="A14302" i="1"/>
  <c r="B14302" i="1"/>
  <c r="C14302" i="1"/>
  <c r="D14302" i="1"/>
  <c r="E14302" i="1"/>
  <c r="F14302" i="1"/>
  <c r="G14302" i="1"/>
  <c r="H14302" i="1"/>
  <c r="I14302" i="1"/>
  <c r="J14302" i="1"/>
  <c r="K14302" i="1"/>
  <c r="L14302" i="1"/>
  <c r="A14303" i="1"/>
  <c r="B14303" i="1"/>
  <c r="C14303" i="1"/>
  <c r="D14303" i="1"/>
  <c r="E14303" i="1"/>
  <c r="F14303" i="1"/>
  <c r="G14303" i="1"/>
  <c r="H14303" i="1"/>
  <c r="I14303" i="1"/>
  <c r="J14303" i="1"/>
  <c r="K14303" i="1"/>
  <c r="L14303" i="1"/>
  <c r="A14304" i="1"/>
  <c r="B14304" i="1"/>
  <c r="C14304" i="1"/>
  <c r="D14304" i="1"/>
  <c r="E14304" i="1"/>
  <c r="F14304" i="1"/>
  <c r="G14304" i="1"/>
  <c r="H14304" i="1"/>
  <c r="I14304" i="1"/>
  <c r="J14304" i="1"/>
  <c r="K14304" i="1"/>
  <c r="L14304" i="1"/>
  <c r="A14305" i="1"/>
  <c r="B14305" i="1"/>
  <c r="C14305" i="1"/>
  <c r="D14305" i="1"/>
  <c r="E14305" i="1"/>
  <c r="F14305" i="1"/>
  <c r="G14305" i="1"/>
  <c r="H14305" i="1"/>
  <c r="I14305" i="1"/>
  <c r="J14305" i="1"/>
  <c r="K14305" i="1"/>
  <c r="L14305" i="1"/>
  <c r="A14306" i="1"/>
  <c r="B14306" i="1"/>
  <c r="C14306" i="1"/>
  <c r="D14306" i="1"/>
  <c r="E14306" i="1"/>
  <c r="F14306" i="1"/>
  <c r="G14306" i="1"/>
  <c r="H14306" i="1"/>
  <c r="I14306" i="1"/>
  <c r="J14306" i="1"/>
  <c r="K14306" i="1"/>
  <c r="L14306" i="1"/>
  <c r="A14307" i="1"/>
  <c r="B14307" i="1"/>
  <c r="C14307" i="1"/>
  <c r="D14307" i="1"/>
  <c r="E14307" i="1"/>
  <c r="F14307" i="1"/>
  <c r="G14307" i="1"/>
  <c r="H14307" i="1"/>
  <c r="I14307" i="1"/>
  <c r="J14307" i="1"/>
  <c r="K14307" i="1"/>
  <c r="L14307" i="1"/>
  <c r="A14308" i="1"/>
  <c r="B14308" i="1"/>
  <c r="C14308" i="1"/>
  <c r="D14308" i="1"/>
  <c r="E14308" i="1"/>
  <c r="F14308" i="1"/>
  <c r="G14308" i="1"/>
  <c r="H14308" i="1"/>
  <c r="I14308" i="1"/>
  <c r="J14308" i="1"/>
  <c r="K14308" i="1"/>
  <c r="L14308" i="1"/>
  <c r="A14309" i="1"/>
  <c r="B14309" i="1"/>
  <c r="C14309" i="1"/>
  <c r="D14309" i="1"/>
  <c r="E14309" i="1"/>
  <c r="F14309" i="1"/>
  <c r="G14309" i="1"/>
  <c r="H14309" i="1"/>
  <c r="I14309" i="1"/>
  <c r="J14309" i="1"/>
  <c r="K14309" i="1"/>
  <c r="L14309" i="1"/>
  <c r="A14310" i="1"/>
  <c r="B14310" i="1"/>
  <c r="C14310" i="1"/>
  <c r="D14310" i="1"/>
  <c r="E14310" i="1"/>
  <c r="F14310" i="1"/>
  <c r="G14310" i="1"/>
  <c r="H14310" i="1"/>
  <c r="I14310" i="1"/>
  <c r="J14310" i="1"/>
  <c r="K14310" i="1"/>
  <c r="L14310" i="1"/>
  <c r="A14311" i="1"/>
  <c r="B14311" i="1"/>
  <c r="C14311" i="1"/>
  <c r="D14311" i="1"/>
  <c r="E14311" i="1"/>
  <c r="F14311" i="1"/>
  <c r="G14311" i="1"/>
  <c r="H14311" i="1"/>
  <c r="I14311" i="1"/>
  <c r="J14311" i="1"/>
  <c r="K14311" i="1"/>
  <c r="L14311" i="1"/>
  <c r="A14312" i="1"/>
  <c r="B14312" i="1"/>
  <c r="C14312" i="1"/>
  <c r="D14312" i="1"/>
  <c r="E14312" i="1"/>
  <c r="F14312" i="1"/>
  <c r="G14312" i="1"/>
  <c r="H14312" i="1"/>
  <c r="I14312" i="1"/>
  <c r="J14312" i="1"/>
  <c r="K14312" i="1"/>
  <c r="L14312" i="1"/>
  <c r="A14313" i="1"/>
  <c r="B14313" i="1"/>
  <c r="C14313" i="1"/>
  <c r="D14313" i="1"/>
  <c r="E14313" i="1"/>
  <c r="F14313" i="1"/>
  <c r="G14313" i="1"/>
  <c r="H14313" i="1"/>
  <c r="I14313" i="1"/>
  <c r="J14313" i="1"/>
  <c r="K14313" i="1"/>
  <c r="L14313" i="1"/>
  <c r="A14314" i="1"/>
  <c r="B14314" i="1"/>
  <c r="C14314" i="1"/>
  <c r="D14314" i="1"/>
  <c r="E14314" i="1"/>
  <c r="F14314" i="1"/>
  <c r="G14314" i="1"/>
  <c r="H14314" i="1"/>
  <c r="I14314" i="1"/>
  <c r="J14314" i="1"/>
  <c r="K14314" i="1"/>
  <c r="L14314" i="1"/>
  <c r="A14315" i="1"/>
  <c r="B14315" i="1"/>
  <c r="C14315" i="1"/>
  <c r="D14315" i="1"/>
  <c r="E14315" i="1"/>
  <c r="F14315" i="1"/>
  <c r="G14315" i="1"/>
  <c r="H14315" i="1"/>
  <c r="I14315" i="1"/>
  <c r="J14315" i="1"/>
  <c r="K14315" i="1"/>
  <c r="L14315" i="1"/>
  <c r="A14316" i="1"/>
  <c r="B14316" i="1"/>
  <c r="C14316" i="1"/>
  <c r="D14316" i="1"/>
  <c r="E14316" i="1"/>
  <c r="F14316" i="1"/>
  <c r="G14316" i="1"/>
  <c r="H14316" i="1"/>
  <c r="I14316" i="1"/>
  <c r="J14316" i="1"/>
  <c r="K14316" i="1"/>
  <c r="L14316" i="1"/>
  <c r="A14317" i="1"/>
  <c r="B14317" i="1"/>
  <c r="C14317" i="1"/>
  <c r="D14317" i="1"/>
  <c r="E14317" i="1"/>
  <c r="F14317" i="1"/>
  <c r="G14317" i="1"/>
  <c r="H14317" i="1"/>
  <c r="I14317" i="1"/>
  <c r="J14317" i="1"/>
  <c r="K14317" i="1"/>
  <c r="L14317" i="1"/>
  <c r="A14318" i="1"/>
  <c r="B14318" i="1"/>
  <c r="C14318" i="1"/>
  <c r="D14318" i="1"/>
  <c r="E14318" i="1"/>
  <c r="F14318" i="1"/>
  <c r="G14318" i="1"/>
  <c r="H14318" i="1"/>
  <c r="I14318" i="1"/>
  <c r="J14318" i="1"/>
  <c r="K14318" i="1"/>
  <c r="L14318" i="1"/>
  <c r="A14319" i="1"/>
  <c r="B14319" i="1"/>
  <c r="C14319" i="1"/>
  <c r="D14319" i="1"/>
  <c r="E14319" i="1"/>
  <c r="F14319" i="1"/>
  <c r="G14319" i="1"/>
  <c r="H14319" i="1"/>
  <c r="I14319" i="1"/>
  <c r="J14319" i="1"/>
  <c r="K14319" i="1"/>
  <c r="L14319" i="1"/>
  <c r="A14320" i="1"/>
  <c r="B14320" i="1"/>
  <c r="C14320" i="1"/>
  <c r="D14320" i="1"/>
  <c r="E14320" i="1"/>
  <c r="F14320" i="1"/>
  <c r="G14320" i="1"/>
  <c r="H14320" i="1"/>
  <c r="I14320" i="1"/>
  <c r="J14320" i="1"/>
  <c r="K14320" i="1"/>
  <c r="L14320" i="1"/>
  <c r="A14321" i="1"/>
  <c r="B14321" i="1"/>
  <c r="C14321" i="1"/>
  <c r="D14321" i="1"/>
  <c r="E14321" i="1"/>
  <c r="F14321" i="1"/>
  <c r="G14321" i="1"/>
  <c r="H14321" i="1"/>
  <c r="I14321" i="1"/>
  <c r="J14321" i="1"/>
  <c r="K14321" i="1"/>
  <c r="L14321" i="1"/>
  <c r="A14322" i="1"/>
  <c r="B14322" i="1"/>
  <c r="C14322" i="1"/>
  <c r="D14322" i="1"/>
  <c r="E14322" i="1"/>
  <c r="F14322" i="1"/>
  <c r="G14322" i="1"/>
  <c r="H14322" i="1"/>
  <c r="I14322" i="1"/>
  <c r="J14322" i="1"/>
  <c r="K14322" i="1"/>
  <c r="L14322" i="1"/>
  <c r="A14323" i="1"/>
  <c r="B14323" i="1"/>
  <c r="C14323" i="1"/>
  <c r="D14323" i="1"/>
  <c r="E14323" i="1"/>
  <c r="F14323" i="1"/>
  <c r="G14323" i="1"/>
  <c r="H14323" i="1"/>
  <c r="I14323" i="1"/>
  <c r="J14323" i="1"/>
  <c r="K14323" i="1"/>
  <c r="L14323" i="1"/>
  <c r="A14324" i="1"/>
  <c r="B14324" i="1"/>
  <c r="C14324" i="1"/>
  <c r="D14324" i="1"/>
  <c r="E14324" i="1"/>
  <c r="F14324" i="1"/>
  <c r="G14324" i="1"/>
  <c r="H14324" i="1"/>
  <c r="I14324" i="1"/>
  <c r="J14324" i="1"/>
  <c r="K14324" i="1"/>
  <c r="L14324" i="1"/>
  <c r="A14325" i="1"/>
  <c r="B14325" i="1"/>
  <c r="C14325" i="1"/>
  <c r="D14325" i="1"/>
  <c r="E14325" i="1"/>
  <c r="F14325" i="1"/>
  <c r="G14325" i="1"/>
  <c r="H14325" i="1"/>
  <c r="I14325" i="1"/>
  <c r="J14325" i="1"/>
  <c r="K14325" i="1"/>
  <c r="L14325" i="1"/>
  <c r="A14326" i="1"/>
  <c r="B14326" i="1"/>
  <c r="C14326" i="1"/>
  <c r="D14326" i="1"/>
  <c r="E14326" i="1"/>
  <c r="F14326" i="1"/>
  <c r="G14326" i="1"/>
  <c r="H14326" i="1"/>
  <c r="I14326" i="1"/>
  <c r="J14326" i="1"/>
  <c r="K14326" i="1"/>
  <c r="L14326" i="1"/>
  <c r="A14327" i="1"/>
  <c r="B14327" i="1"/>
  <c r="C14327" i="1"/>
  <c r="D14327" i="1"/>
  <c r="E14327" i="1"/>
  <c r="F14327" i="1"/>
  <c r="G14327" i="1"/>
  <c r="H14327" i="1"/>
  <c r="I14327" i="1"/>
  <c r="J14327" i="1"/>
  <c r="K14327" i="1"/>
  <c r="L14327" i="1"/>
  <c r="A14328" i="1"/>
  <c r="B14328" i="1"/>
  <c r="C14328" i="1"/>
  <c r="D14328" i="1"/>
  <c r="E14328" i="1"/>
  <c r="F14328" i="1"/>
  <c r="G14328" i="1"/>
  <c r="H14328" i="1"/>
  <c r="I14328" i="1"/>
  <c r="J14328" i="1"/>
  <c r="K14328" i="1"/>
  <c r="L14328" i="1"/>
  <c r="A14329" i="1"/>
  <c r="B14329" i="1"/>
  <c r="C14329" i="1"/>
  <c r="D14329" i="1"/>
  <c r="E14329" i="1"/>
  <c r="F14329" i="1"/>
  <c r="G14329" i="1"/>
  <c r="H14329" i="1"/>
  <c r="I14329" i="1"/>
  <c r="J14329" i="1"/>
  <c r="K14329" i="1"/>
  <c r="L14329" i="1"/>
  <c r="A14330" i="1"/>
  <c r="B14330" i="1"/>
  <c r="C14330" i="1"/>
  <c r="D14330" i="1"/>
  <c r="E14330" i="1"/>
  <c r="F14330" i="1"/>
  <c r="G14330" i="1"/>
  <c r="H14330" i="1"/>
  <c r="I14330" i="1"/>
  <c r="J14330" i="1"/>
  <c r="K14330" i="1"/>
  <c r="L14330" i="1"/>
  <c r="A14331" i="1"/>
  <c r="B14331" i="1"/>
  <c r="C14331" i="1"/>
  <c r="D14331" i="1"/>
  <c r="E14331" i="1"/>
  <c r="F14331" i="1"/>
  <c r="G14331" i="1"/>
  <c r="H14331" i="1"/>
  <c r="I14331" i="1"/>
  <c r="J14331" i="1"/>
  <c r="K14331" i="1"/>
  <c r="L14331" i="1"/>
  <c r="A14332" i="1"/>
  <c r="B14332" i="1"/>
  <c r="C14332" i="1"/>
  <c r="D14332" i="1"/>
  <c r="E14332" i="1"/>
  <c r="F14332" i="1"/>
  <c r="G14332" i="1"/>
  <c r="H14332" i="1"/>
  <c r="I14332" i="1"/>
  <c r="J14332" i="1"/>
  <c r="K14332" i="1"/>
  <c r="L14332" i="1"/>
  <c r="A14333" i="1"/>
  <c r="B14333" i="1"/>
  <c r="C14333" i="1"/>
  <c r="D14333" i="1"/>
  <c r="E14333" i="1"/>
  <c r="F14333" i="1"/>
  <c r="G14333" i="1"/>
  <c r="H14333" i="1"/>
  <c r="I14333" i="1"/>
  <c r="J14333" i="1"/>
  <c r="K14333" i="1"/>
  <c r="L14333" i="1"/>
  <c r="A14334" i="1"/>
  <c r="B14334" i="1"/>
  <c r="C14334" i="1"/>
  <c r="D14334" i="1"/>
  <c r="E14334" i="1"/>
  <c r="F14334" i="1"/>
  <c r="G14334" i="1"/>
  <c r="H14334" i="1"/>
  <c r="I14334" i="1"/>
  <c r="J14334" i="1"/>
  <c r="K14334" i="1"/>
  <c r="L14334" i="1"/>
  <c r="A14335" i="1"/>
  <c r="B14335" i="1"/>
  <c r="C14335" i="1"/>
  <c r="D14335" i="1"/>
  <c r="E14335" i="1"/>
  <c r="F14335" i="1"/>
  <c r="G14335" i="1"/>
  <c r="H14335" i="1"/>
  <c r="I14335" i="1"/>
  <c r="J14335" i="1"/>
  <c r="K14335" i="1"/>
  <c r="L14335" i="1"/>
  <c r="A14336" i="1"/>
  <c r="B14336" i="1"/>
  <c r="C14336" i="1"/>
  <c r="D14336" i="1"/>
  <c r="E14336" i="1"/>
  <c r="F14336" i="1"/>
  <c r="G14336" i="1"/>
  <c r="H14336" i="1"/>
  <c r="I14336" i="1"/>
  <c r="J14336" i="1"/>
  <c r="K14336" i="1"/>
  <c r="L14336" i="1"/>
  <c r="A14337" i="1"/>
  <c r="B14337" i="1"/>
  <c r="C14337" i="1"/>
  <c r="D14337" i="1"/>
  <c r="E14337" i="1"/>
  <c r="F14337" i="1"/>
  <c r="G14337" i="1"/>
  <c r="H14337" i="1"/>
  <c r="I14337" i="1"/>
  <c r="J14337" i="1"/>
  <c r="K14337" i="1"/>
  <c r="L14337" i="1"/>
  <c r="A14338" i="1"/>
  <c r="B14338" i="1"/>
  <c r="C14338" i="1"/>
  <c r="D14338" i="1"/>
  <c r="E14338" i="1"/>
  <c r="F14338" i="1"/>
  <c r="G14338" i="1"/>
  <c r="H14338" i="1"/>
  <c r="I14338" i="1"/>
  <c r="J14338" i="1"/>
  <c r="K14338" i="1"/>
  <c r="L14338" i="1"/>
  <c r="A14339" i="1"/>
  <c r="B14339" i="1"/>
  <c r="C14339" i="1"/>
  <c r="D14339" i="1"/>
  <c r="E14339" i="1"/>
  <c r="F14339" i="1"/>
  <c r="G14339" i="1"/>
  <c r="H14339" i="1"/>
  <c r="I14339" i="1"/>
  <c r="J14339" i="1"/>
  <c r="K14339" i="1"/>
  <c r="L14339" i="1"/>
  <c r="A14340" i="1"/>
  <c r="B14340" i="1"/>
  <c r="C14340" i="1"/>
  <c r="D14340" i="1"/>
  <c r="E14340" i="1"/>
  <c r="F14340" i="1"/>
  <c r="G14340" i="1"/>
  <c r="H14340" i="1"/>
  <c r="I14340" i="1"/>
  <c r="J14340" i="1"/>
  <c r="K14340" i="1"/>
  <c r="L14340" i="1"/>
  <c r="A14341" i="1"/>
  <c r="B14341" i="1"/>
  <c r="C14341" i="1"/>
  <c r="D14341" i="1"/>
  <c r="E14341" i="1"/>
  <c r="F14341" i="1"/>
  <c r="G14341" i="1"/>
  <c r="H14341" i="1"/>
  <c r="I14341" i="1"/>
  <c r="J14341" i="1"/>
  <c r="K14341" i="1"/>
  <c r="L14341" i="1"/>
  <c r="A14342" i="1"/>
  <c r="B14342" i="1"/>
  <c r="C14342" i="1"/>
  <c r="D14342" i="1"/>
  <c r="E14342" i="1"/>
  <c r="F14342" i="1"/>
  <c r="G14342" i="1"/>
  <c r="H14342" i="1"/>
  <c r="I14342" i="1"/>
  <c r="J14342" i="1"/>
  <c r="K14342" i="1"/>
  <c r="L14342" i="1"/>
  <c r="A14343" i="1"/>
  <c r="B14343" i="1"/>
  <c r="C14343" i="1"/>
  <c r="D14343" i="1"/>
  <c r="E14343" i="1"/>
  <c r="F14343" i="1"/>
  <c r="G14343" i="1"/>
  <c r="H14343" i="1"/>
  <c r="I14343" i="1"/>
  <c r="J14343" i="1"/>
  <c r="K14343" i="1"/>
  <c r="L14343" i="1"/>
  <c r="A14344" i="1"/>
  <c r="B14344" i="1"/>
  <c r="C14344" i="1"/>
  <c r="D14344" i="1"/>
  <c r="E14344" i="1"/>
  <c r="F14344" i="1"/>
  <c r="G14344" i="1"/>
  <c r="H14344" i="1"/>
  <c r="I14344" i="1"/>
  <c r="J14344" i="1"/>
  <c r="K14344" i="1"/>
  <c r="L14344" i="1"/>
  <c r="A14345" i="1"/>
  <c r="B14345" i="1"/>
  <c r="C14345" i="1"/>
  <c r="D14345" i="1"/>
  <c r="E14345" i="1"/>
  <c r="F14345" i="1"/>
  <c r="G14345" i="1"/>
  <c r="H14345" i="1"/>
  <c r="I14345" i="1"/>
  <c r="J14345" i="1"/>
  <c r="K14345" i="1"/>
  <c r="L14345" i="1"/>
  <c r="A14346" i="1"/>
  <c r="B14346" i="1"/>
  <c r="C14346" i="1"/>
  <c r="D14346" i="1"/>
  <c r="E14346" i="1"/>
  <c r="F14346" i="1"/>
  <c r="G14346" i="1"/>
  <c r="H14346" i="1"/>
  <c r="I14346" i="1"/>
  <c r="J14346" i="1"/>
  <c r="K14346" i="1"/>
  <c r="L14346" i="1"/>
  <c r="A14347" i="1"/>
  <c r="B14347" i="1"/>
  <c r="C14347" i="1"/>
  <c r="D14347" i="1"/>
  <c r="E14347" i="1"/>
  <c r="F14347" i="1"/>
  <c r="G14347" i="1"/>
  <c r="H14347" i="1"/>
  <c r="I14347" i="1"/>
  <c r="J14347" i="1"/>
  <c r="K14347" i="1"/>
  <c r="L14347" i="1"/>
  <c r="A14348" i="1"/>
  <c r="B14348" i="1"/>
  <c r="C14348" i="1"/>
  <c r="D14348" i="1"/>
  <c r="E14348" i="1"/>
  <c r="F14348" i="1"/>
  <c r="G14348" i="1"/>
  <c r="H14348" i="1"/>
  <c r="I14348" i="1"/>
  <c r="J14348" i="1"/>
  <c r="K14348" i="1"/>
  <c r="L14348" i="1"/>
  <c r="A14349" i="1"/>
  <c r="B14349" i="1"/>
  <c r="C14349" i="1"/>
  <c r="D14349" i="1"/>
  <c r="E14349" i="1"/>
  <c r="F14349" i="1"/>
  <c r="G14349" i="1"/>
  <c r="H14349" i="1"/>
  <c r="I14349" i="1"/>
  <c r="J14349" i="1"/>
  <c r="K14349" i="1"/>
  <c r="L14349" i="1"/>
  <c r="A14350" i="1"/>
  <c r="B14350" i="1"/>
  <c r="C14350" i="1"/>
  <c r="D14350" i="1"/>
  <c r="E14350" i="1"/>
  <c r="F14350" i="1"/>
  <c r="G14350" i="1"/>
  <c r="H14350" i="1"/>
  <c r="I14350" i="1"/>
  <c r="J14350" i="1"/>
  <c r="K14350" i="1"/>
  <c r="L14350" i="1"/>
  <c r="A14351" i="1"/>
  <c r="B14351" i="1"/>
  <c r="C14351" i="1"/>
  <c r="D14351" i="1"/>
  <c r="E14351" i="1"/>
  <c r="F14351" i="1"/>
  <c r="G14351" i="1"/>
  <c r="H14351" i="1"/>
  <c r="I14351" i="1"/>
  <c r="J14351" i="1"/>
  <c r="K14351" i="1"/>
  <c r="L14351" i="1"/>
  <c r="A14352" i="1"/>
  <c r="B14352" i="1"/>
  <c r="C14352" i="1"/>
  <c r="D14352" i="1"/>
  <c r="E14352" i="1"/>
  <c r="F14352" i="1"/>
  <c r="G14352" i="1"/>
  <c r="H14352" i="1"/>
  <c r="I14352" i="1"/>
  <c r="J14352" i="1"/>
  <c r="K14352" i="1"/>
  <c r="L14352" i="1"/>
  <c r="A14353" i="1"/>
  <c r="B14353" i="1"/>
  <c r="C14353" i="1"/>
  <c r="D14353" i="1"/>
  <c r="E14353" i="1"/>
  <c r="F14353" i="1"/>
  <c r="G14353" i="1"/>
  <c r="H14353" i="1"/>
  <c r="I14353" i="1"/>
  <c r="J14353" i="1"/>
  <c r="K14353" i="1"/>
  <c r="L14353" i="1"/>
  <c r="A14354" i="1"/>
  <c r="B14354" i="1"/>
  <c r="C14354" i="1"/>
  <c r="D14354" i="1"/>
  <c r="E14354" i="1"/>
  <c r="F14354" i="1"/>
  <c r="G14354" i="1"/>
  <c r="H14354" i="1"/>
  <c r="I14354" i="1"/>
  <c r="J14354" i="1"/>
  <c r="K14354" i="1"/>
  <c r="L14354" i="1"/>
  <c r="A14355" i="1"/>
  <c r="B14355" i="1"/>
  <c r="C14355" i="1"/>
  <c r="D14355" i="1"/>
  <c r="E14355" i="1"/>
  <c r="F14355" i="1"/>
  <c r="G14355" i="1"/>
  <c r="H14355" i="1"/>
  <c r="I14355" i="1"/>
  <c r="J14355" i="1"/>
  <c r="K14355" i="1"/>
  <c r="L14355" i="1"/>
  <c r="A14356" i="1"/>
  <c r="B14356" i="1"/>
  <c r="C14356" i="1"/>
  <c r="D14356" i="1"/>
  <c r="E14356" i="1"/>
  <c r="F14356" i="1"/>
  <c r="G14356" i="1"/>
  <c r="H14356" i="1"/>
  <c r="I14356" i="1"/>
  <c r="J14356" i="1"/>
  <c r="K14356" i="1"/>
  <c r="L14356" i="1"/>
  <c r="A14357" i="1"/>
  <c r="B14357" i="1"/>
  <c r="C14357" i="1"/>
  <c r="D14357" i="1"/>
  <c r="E14357" i="1"/>
  <c r="F14357" i="1"/>
  <c r="G14357" i="1"/>
  <c r="H14357" i="1"/>
  <c r="I14357" i="1"/>
  <c r="J14357" i="1"/>
  <c r="K14357" i="1"/>
  <c r="L14357" i="1"/>
  <c r="A14358" i="1"/>
  <c r="B14358" i="1"/>
  <c r="C14358" i="1"/>
  <c r="D14358" i="1"/>
  <c r="E14358" i="1"/>
  <c r="F14358" i="1"/>
  <c r="G14358" i="1"/>
  <c r="H14358" i="1"/>
  <c r="I14358" i="1"/>
  <c r="J14358" i="1"/>
  <c r="K14358" i="1"/>
  <c r="L14358" i="1"/>
  <c r="A14359" i="1"/>
  <c r="B14359" i="1"/>
  <c r="C14359" i="1"/>
  <c r="D14359" i="1"/>
  <c r="E14359" i="1"/>
  <c r="F14359" i="1"/>
  <c r="G14359" i="1"/>
  <c r="H14359" i="1"/>
  <c r="I14359" i="1"/>
  <c r="J14359" i="1"/>
  <c r="K14359" i="1"/>
  <c r="L14359" i="1"/>
  <c r="A14360" i="1"/>
  <c r="B14360" i="1"/>
  <c r="C14360" i="1"/>
  <c r="D14360" i="1"/>
  <c r="E14360" i="1"/>
  <c r="F14360" i="1"/>
  <c r="G14360" i="1"/>
  <c r="H14360" i="1"/>
  <c r="I14360" i="1"/>
  <c r="J14360" i="1"/>
  <c r="K14360" i="1"/>
  <c r="L14360" i="1"/>
  <c r="A14361" i="1"/>
  <c r="B14361" i="1"/>
  <c r="C14361" i="1"/>
  <c r="D14361" i="1"/>
  <c r="E14361" i="1"/>
  <c r="F14361" i="1"/>
  <c r="G14361" i="1"/>
  <c r="H14361" i="1"/>
  <c r="I14361" i="1"/>
  <c r="J14361" i="1"/>
  <c r="K14361" i="1"/>
  <c r="L14361" i="1"/>
  <c r="A14362" i="1"/>
  <c r="B14362" i="1"/>
  <c r="C14362" i="1"/>
  <c r="D14362" i="1"/>
  <c r="E14362" i="1"/>
  <c r="F14362" i="1"/>
  <c r="G14362" i="1"/>
  <c r="H14362" i="1"/>
  <c r="I14362" i="1"/>
  <c r="J14362" i="1"/>
  <c r="K14362" i="1"/>
  <c r="L14362" i="1"/>
  <c r="A14363" i="1"/>
  <c r="B14363" i="1"/>
  <c r="C14363" i="1"/>
  <c r="D14363" i="1"/>
  <c r="E14363" i="1"/>
  <c r="F14363" i="1"/>
  <c r="G14363" i="1"/>
  <c r="H14363" i="1"/>
  <c r="I14363" i="1"/>
  <c r="J14363" i="1"/>
  <c r="K14363" i="1"/>
  <c r="L14363" i="1"/>
  <c r="A14364" i="1"/>
  <c r="B14364" i="1"/>
  <c r="C14364" i="1"/>
  <c r="D14364" i="1"/>
  <c r="E14364" i="1"/>
  <c r="F14364" i="1"/>
  <c r="G14364" i="1"/>
  <c r="H14364" i="1"/>
  <c r="I14364" i="1"/>
  <c r="J14364" i="1"/>
  <c r="K14364" i="1"/>
  <c r="L14364" i="1"/>
  <c r="A14365" i="1"/>
  <c r="B14365" i="1"/>
  <c r="C14365" i="1"/>
  <c r="D14365" i="1"/>
  <c r="E14365" i="1"/>
  <c r="F14365" i="1"/>
  <c r="G14365" i="1"/>
  <c r="H14365" i="1"/>
  <c r="I14365" i="1"/>
  <c r="J14365" i="1"/>
  <c r="K14365" i="1"/>
  <c r="L14365" i="1"/>
  <c r="A14366" i="1"/>
  <c r="B14366" i="1"/>
  <c r="C14366" i="1"/>
  <c r="D14366" i="1"/>
  <c r="E14366" i="1"/>
  <c r="F14366" i="1"/>
  <c r="G14366" i="1"/>
  <c r="H14366" i="1"/>
  <c r="I14366" i="1"/>
  <c r="J14366" i="1"/>
  <c r="K14366" i="1"/>
  <c r="L14366" i="1"/>
  <c r="A14367" i="1"/>
  <c r="B14367" i="1"/>
  <c r="C14367" i="1"/>
  <c r="D14367" i="1"/>
  <c r="E14367" i="1"/>
  <c r="F14367" i="1"/>
  <c r="G14367" i="1"/>
  <c r="H14367" i="1"/>
  <c r="I14367" i="1"/>
  <c r="J14367" i="1"/>
  <c r="K14367" i="1"/>
  <c r="L14367" i="1"/>
  <c r="A14368" i="1"/>
  <c r="B14368" i="1"/>
  <c r="C14368" i="1"/>
  <c r="D14368" i="1"/>
  <c r="E14368" i="1"/>
  <c r="F14368" i="1"/>
  <c r="G14368" i="1"/>
  <c r="H14368" i="1"/>
  <c r="I14368" i="1"/>
  <c r="J14368" i="1"/>
  <c r="K14368" i="1"/>
  <c r="L14368" i="1"/>
  <c r="A14369" i="1"/>
  <c r="B14369" i="1"/>
  <c r="C14369" i="1"/>
  <c r="D14369" i="1"/>
  <c r="E14369" i="1"/>
  <c r="F14369" i="1"/>
  <c r="G14369" i="1"/>
  <c r="H14369" i="1"/>
  <c r="I14369" i="1"/>
  <c r="J14369" i="1"/>
  <c r="K14369" i="1"/>
  <c r="L14369" i="1"/>
  <c r="A14370" i="1"/>
  <c r="B14370" i="1"/>
  <c r="C14370" i="1"/>
  <c r="D14370" i="1"/>
  <c r="E14370" i="1"/>
  <c r="F14370" i="1"/>
  <c r="G14370" i="1"/>
  <c r="H14370" i="1"/>
  <c r="I14370" i="1"/>
  <c r="J14370" i="1"/>
  <c r="K14370" i="1"/>
  <c r="L14370" i="1"/>
  <c r="A14371" i="1"/>
  <c r="B14371" i="1"/>
  <c r="C14371" i="1"/>
  <c r="D14371" i="1"/>
  <c r="E14371" i="1"/>
  <c r="F14371" i="1"/>
  <c r="G14371" i="1"/>
  <c r="H14371" i="1"/>
  <c r="I14371" i="1"/>
  <c r="J14371" i="1"/>
  <c r="K14371" i="1"/>
  <c r="L14371" i="1"/>
  <c r="A14372" i="1"/>
  <c r="B14372" i="1"/>
  <c r="C14372" i="1"/>
  <c r="D14372" i="1"/>
  <c r="E14372" i="1"/>
  <c r="F14372" i="1"/>
  <c r="G14372" i="1"/>
  <c r="H14372" i="1"/>
  <c r="I14372" i="1"/>
  <c r="J14372" i="1"/>
  <c r="K14372" i="1"/>
  <c r="L14372" i="1"/>
  <c r="A14373" i="1"/>
  <c r="B14373" i="1"/>
  <c r="C14373" i="1"/>
  <c r="D14373" i="1"/>
  <c r="E14373" i="1"/>
  <c r="F14373" i="1"/>
  <c r="G14373" i="1"/>
  <c r="H14373" i="1"/>
  <c r="I14373" i="1"/>
  <c r="J14373" i="1"/>
  <c r="K14373" i="1"/>
  <c r="L14373" i="1"/>
  <c r="A14374" i="1"/>
  <c r="B14374" i="1"/>
  <c r="C14374" i="1"/>
  <c r="D14374" i="1"/>
  <c r="E14374" i="1"/>
  <c r="F14374" i="1"/>
  <c r="G14374" i="1"/>
  <c r="H14374" i="1"/>
  <c r="I14374" i="1"/>
  <c r="J14374" i="1"/>
  <c r="K14374" i="1"/>
  <c r="L14374" i="1"/>
  <c r="A14375" i="1"/>
  <c r="B14375" i="1"/>
  <c r="C14375" i="1"/>
  <c r="D14375" i="1"/>
  <c r="E14375" i="1"/>
  <c r="F14375" i="1"/>
  <c r="G14375" i="1"/>
  <c r="H14375" i="1"/>
  <c r="I14375" i="1"/>
  <c r="J14375" i="1"/>
  <c r="K14375" i="1"/>
  <c r="L14375" i="1"/>
  <c r="A14376" i="1"/>
  <c r="B14376" i="1"/>
  <c r="C14376" i="1"/>
  <c r="D14376" i="1"/>
  <c r="E14376" i="1"/>
  <c r="F14376" i="1"/>
  <c r="G14376" i="1"/>
  <c r="H14376" i="1"/>
  <c r="I14376" i="1"/>
  <c r="J14376" i="1"/>
  <c r="K14376" i="1"/>
  <c r="L14376" i="1"/>
  <c r="A14377" i="1"/>
  <c r="B14377" i="1"/>
  <c r="C14377" i="1"/>
  <c r="D14377" i="1"/>
  <c r="E14377" i="1"/>
  <c r="F14377" i="1"/>
  <c r="G14377" i="1"/>
  <c r="H14377" i="1"/>
  <c r="I14377" i="1"/>
  <c r="J14377" i="1"/>
  <c r="K14377" i="1"/>
  <c r="L14377" i="1"/>
  <c r="A14378" i="1"/>
  <c r="B14378" i="1"/>
  <c r="C14378" i="1"/>
  <c r="D14378" i="1"/>
  <c r="E14378" i="1"/>
  <c r="F14378" i="1"/>
  <c r="G14378" i="1"/>
  <c r="H14378" i="1"/>
  <c r="I14378" i="1"/>
  <c r="J14378" i="1"/>
  <c r="K14378" i="1"/>
  <c r="L14378" i="1"/>
  <c r="A14379" i="1"/>
  <c r="B14379" i="1"/>
  <c r="C14379" i="1"/>
  <c r="D14379" i="1"/>
  <c r="E14379" i="1"/>
  <c r="F14379" i="1"/>
  <c r="G14379" i="1"/>
  <c r="H14379" i="1"/>
  <c r="I14379" i="1"/>
  <c r="J14379" i="1"/>
  <c r="K14379" i="1"/>
  <c r="L14379" i="1"/>
  <c r="A14380" i="1"/>
  <c r="B14380" i="1"/>
  <c r="C14380" i="1"/>
  <c r="D14380" i="1"/>
  <c r="E14380" i="1"/>
  <c r="F14380" i="1"/>
  <c r="G14380" i="1"/>
  <c r="H14380" i="1"/>
  <c r="I14380" i="1"/>
  <c r="J14380" i="1"/>
  <c r="K14380" i="1"/>
  <c r="L14380" i="1"/>
  <c r="A14381" i="1"/>
  <c r="B14381" i="1"/>
  <c r="C14381" i="1"/>
  <c r="D14381" i="1"/>
  <c r="E14381" i="1"/>
  <c r="F14381" i="1"/>
  <c r="G14381" i="1"/>
  <c r="H14381" i="1"/>
  <c r="I14381" i="1"/>
  <c r="J14381" i="1"/>
  <c r="K14381" i="1"/>
  <c r="L14381" i="1"/>
  <c r="A14382" i="1"/>
  <c r="B14382" i="1"/>
  <c r="C14382" i="1"/>
  <c r="D14382" i="1"/>
  <c r="E14382" i="1"/>
  <c r="F14382" i="1"/>
  <c r="G14382" i="1"/>
  <c r="H14382" i="1"/>
  <c r="I14382" i="1"/>
  <c r="J14382" i="1"/>
  <c r="K14382" i="1"/>
  <c r="L14382" i="1"/>
  <c r="A14383" i="1"/>
  <c r="B14383" i="1"/>
  <c r="C14383" i="1"/>
  <c r="D14383" i="1"/>
  <c r="E14383" i="1"/>
  <c r="F14383" i="1"/>
  <c r="G14383" i="1"/>
  <c r="H14383" i="1"/>
  <c r="I14383" i="1"/>
  <c r="J14383" i="1"/>
  <c r="K14383" i="1"/>
  <c r="L14383" i="1"/>
  <c r="A14384" i="1"/>
  <c r="B14384" i="1"/>
  <c r="C14384" i="1"/>
  <c r="D14384" i="1"/>
  <c r="E14384" i="1"/>
  <c r="F14384" i="1"/>
  <c r="G14384" i="1"/>
  <c r="H14384" i="1"/>
  <c r="I14384" i="1"/>
  <c r="J14384" i="1"/>
  <c r="K14384" i="1"/>
  <c r="L14384" i="1"/>
  <c r="A14385" i="1"/>
  <c r="B14385" i="1"/>
  <c r="C14385" i="1"/>
  <c r="D14385" i="1"/>
  <c r="E14385" i="1"/>
  <c r="F14385" i="1"/>
  <c r="G14385" i="1"/>
  <c r="H14385" i="1"/>
  <c r="I14385" i="1"/>
  <c r="J14385" i="1"/>
  <c r="K14385" i="1"/>
  <c r="L14385" i="1"/>
  <c r="A14386" i="1"/>
  <c r="B14386" i="1"/>
  <c r="C14386" i="1"/>
  <c r="D14386" i="1"/>
  <c r="E14386" i="1"/>
  <c r="F14386" i="1"/>
  <c r="G14386" i="1"/>
  <c r="H14386" i="1"/>
  <c r="I14386" i="1"/>
  <c r="J14386" i="1"/>
  <c r="K14386" i="1"/>
  <c r="L14386" i="1"/>
  <c r="A14387" i="1"/>
  <c r="B14387" i="1"/>
  <c r="C14387" i="1"/>
  <c r="D14387" i="1"/>
  <c r="E14387" i="1"/>
  <c r="F14387" i="1"/>
  <c r="G14387" i="1"/>
  <c r="H14387" i="1"/>
  <c r="I14387" i="1"/>
  <c r="J14387" i="1"/>
  <c r="K14387" i="1"/>
  <c r="L14387" i="1"/>
  <c r="A14388" i="1"/>
  <c r="B14388" i="1"/>
  <c r="C14388" i="1"/>
  <c r="D14388" i="1"/>
  <c r="E14388" i="1"/>
  <c r="F14388" i="1"/>
  <c r="G14388" i="1"/>
  <c r="H14388" i="1"/>
  <c r="I14388" i="1"/>
  <c r="J14388" i="1"/>
  <c r="K14388" i="1"/>
  <c r="L14388" i="1"/>
  <c r="A14389" i="1"/>
  <c r="B14389" i="1"/>
  <c r="C14389" i="1"/>
  <c r="D14389" i="1"/>
  <c r="E14389" i="1"/>
  <c r="F14389" i="1"/>
  <c r="G14389" i="1"/>
  <c r="H14389" i="1"/>
  <c r="I14389" i="1"/>
  <c r="J14389" i="1"/>
  <c r="K14389" i="1"/>
  <c r="L14389" i="1"/>
  <c r="A14390" i="1"/>
  <c r="B14390" i="1"/>
  <c r="C14390" i="1"/>
  <c r="D14390" i="1"/>
  <c r="E14390" i="1"/>
  <c r="F14390" i="1"/>
  <c r="G14390" i="1"/>
  <c r="H14390" i="1"/>
  <c r="I14390" i="1"/>
  <c r="J14390" i="1"/>
  <c r="K14390" i="1"/>
  <c r="L14390" i="1"/>
  <c r="A14391" i="1"/>
  <c r="B14391" i="1"/>
  <c r="C14391" i="1"/>
  <c r="D14391" i="1"/>
  <c r="E14391" i="1"/>
  <c r="F14391" i="1"/>
  <c r="G14391" i="1"/>
  <c r="H14391" i="1"/>
  <c r="I14391" i="1"/>
  <c r="J14391" i="1"/>
  <c r="K14391" i="1"/>
  <c r="L14391" i="1"/>
  <c r="A14392" i="1"/>
  <c r="B14392" i="1"/>
  <c r="C14392" i="1"/>
  <c r="D14392" i="1"/>
  <c r="E14392" i="1"/>
  <c r="F14392" i="1"/>
  <c r="G14392" i="1"/>
  <c r="H14392" i="1"/>
  <c r="I14392" i="1"/>
  <c r="J14392" i="1"/>
  <c r="K14392" i="1"/>
  <c r="L14392" i="1"/>
  <c r="A14393" i="1"/>
  <c r="B14393" i="1"/>
  <c r="C14393" i="1"/>
  <c r="D14393" i="1"/>
  <c r="E14393" i="1"/>
  <c r="F14393" i="1"/>
  <c r="G14393" i="1"/>
  <c r="H14393" i="1"/>
  <c r="I14393" i="1"/>
  <c r="J14393" i="1"/>
  <c r="K14393" i="1"/>
  <c r="L14393" i="1"/>
  <c r="A14394" i="1"/>
  <c r="B14394" i="1"/>
  <c r="C14394" i="1"/>
  <c r="D14394" i="1"/>
  <c r="E14394" i="1"/>
  <c r="F14394" i="1"/>
  <c r="G14394" i="1"/>
  <c r="H14394" i="1"/>
  <c r="I14394" i="1"/>
  <c r="J14394" i="1"/>
  <c r="K14394" i="1"/>
  <c r="L14394" i="1"/>
  <c r="A14395" i="1"/>
  <c r="B14395" i="1"/>
  <c r="C14395" i="1"/>
  <c r="D14395" i="1"/>
  <c r="E14395" i="1"/>
  <c r="F14395" i="1"/>
  <c r="G14395" i="1"/>
  <c r="H14395" i="1"/>
  <c r="I14395" i="1"/>
  <c r="J14395" i="1"/>
  <c r="K14395" i="1"/>
  <c r="L14395" i="1"/>
  <c r="A14396" i="1"/>
  <c r="B14396" i="1"/>
  <c r="C14396" i="1"/>
  <c r="D14396" i="1"/>
  <c r="E14396" i="1"/>
  <c r="F14396" i="1"/>
  <c r="G14396" i="1"/>
  <c r="H14396" i="1"/>
  <c r="I14396" i="1"/>
  <c r="J14396" i="1"/>
  <c r="K14396" i="1"/>
  <c r="L14396" i="1"/>
  <c r="A14397" i="1"/>
  <c r="B14397" i="1"/>
  <c r="C14397" i="1"/>
  <c r="D14397" i="1"/>
  <c r="E14397" i="1"/>
  <c r="F14397" i="1"/>
  <c r="G14397" i="1"/>
  <c r="H14397" i="1"/>
  <c r="I14397" i="1"/>
  <c r="J14397" i="1"/>
  <c r="K14397" i="1"/>
  <c r="L14397" i="1"/>
  <c r="A14398" i="1"/>
  <c r="B14398" i="1"/>
  <c r="C14398" i="1"/>
  <c r="D14398" i="1"/>
  <c r="E14398" i="1"/>
  <c r="F14398" i="1"/>
  <c r="G14398" i="1"/>
  <c r="H14398" i="1"/>
  <c r="I14398" i="1"/>
  <c r="J14398" i="1"/>
  <c r="K14398" i="1"/>
  <c r="L14398" i="1"/>
  <c r="A14399" i="1"/>
  <c r="B14399" i="1"/>
  <c r="C14399" i="1"/>
  <c r="D14399" i="1"/>
  <c r="E14399" i="1"/>
  <c r="F14399" i="1"/>
  <c r="G14399" i="1"/>
  <c r="H14399" i="1"/>
  <c r="I14399" i="1"/>
  <c r="J14399" i="1"/>
  <c r="K14399" i="1"/>
  <c r="L14399" i="1"/>
  <c r="A14400" i="1"/>
  <c r="B14400" i="1"/>
  <c r="C14400" i="1"/>
  <c r="D14400" i="1"/>
  <c r="E14400" i="1"/>
  <c r="F14400" i="1"/>
  <c r="G14400" i="1"/>
  <c r="H14400" i="1"/>
  <c r="I14400" i="1"/>
  <c r="J14400" i="1"/>
  <c r="K14400" i="1"/>
  <c r="L14400" i="1"/>
  <c r="A14401" i="1"/>
  <c r="B14401" i="1"/>
  <c r="C14401" i="1"/>
  <c r="D14401" i="1"/>
  <c r="E14401" i="1"/>
  <c r="F14401" i="1"/>
  <c r="G14401" i="1"/>
  <c r="H14401" i="1"/>
  <c r="I14401" i="1"/>
  <c r="J14401" i="1"/>
  <c r="K14401" i="1"/>
  <c r="L14401" i="1"/>
  <c r="A14402" i="1"/>
  <c r="B14402" i="1"/>
  <c r="C14402" i="1"/>
  <c r="D14402" i="1"/>
  <c r="E14402" i="1"/>
  <c r="F14402" i="1"/>
  <c r="G14402" i="1"/>
  <c r="H14402" i="1"/>
  <c r="I14402" i="1"/>
  <c r="J14402" i="1"/>
  <c r="K14402" i="1"/>
  <c r="L14402" i="1"/>
  <c r="A14403" i="1"/>
  <c r="B14403" i="1"/>
  <c r="C14403" i="1"/>
  <c r="D14403" i="1"/>
  <c r="E14403" i="1"/>
  <c r="F14403" i="1"/>
  <c r="G14403" i="1"/>
  <c r="H14403" i="1"/>
  <c r="I14403" i="1"/>
  <c r="J14403" i="1"/>
  <c r="K14403" i="1"/>
  <c r="L14403" i="1"/>
  <c r="A14404" i="1"/>
  <c r="B14404" i="1"/>
  <c r="C14404" i="1"/>
  <c r="D14404" i="1"/>
  <c r="E14404" i="1"/>
  <c r="F14404" i="1"/>
  <c r="G14404" i="1"/>
  <c r="H14404" i="1"/>
  <c r="I14404" i="1"/>
  <c r="J14404" i="1"/>
  <c r="K14404" i="1"/>
  <c r="L14404" i="1"/>
  <c r="A14405" i="1"/>
  <c r="B14405" i="1"/>
  <c r="C14405" i="1"/>
  <c r="D14405" i="1"/>
  <c r="E14405" i="1"/>
  <c r="F14405" i="1"/>
  <c r="G14405" i="1"/>
  <c r="H14405" i="1"/>
  <c r="I14405" i="1"/>
  <c r="J14405" i="1"/>
  <c r="K14405" i="1"/>
  <c r="L14405" i="1"/>
  <c r="A14406" i="1"/>
  <c r="B14406" i="1"/>
  <c r="C14406" i="1"/>
  <c r="D14406" i="1"/>
  <c r="E14406" i="1"/>
  <c r="F14406" i="1"/>
  <c r="G14406" i="1"/>
  <c r="H14406" i="1"/>
  <c r="I14406" i="1"/>
  <c r="J14406" i="1"/>
  <c r="K14406" i="1"/>
  <c r="L14406" i="1"/>
  <c r="A14407" i="1"/>
  <c r="B14407" i="1"/>
  <c r="C14407" i="1"/>
  <c r="D14407" i="1"/>
  <c r="E14407" i="1"/>
  <c r="F14407" i="1"/>
  <c r="G14407" i="1"/>
  <c r="H14407" i="1"/>
  <c r="I14407" i="1"/>
  <c r="J14407" i="1"/>
  <c r="K14407" i="1"/>
  <c r="L14407" i="1"/>
  <c r="A14408" i="1"/>
  <c r="B14408" i="1"/>
  <c r="C14408" i="1"/>
  <c r="D14408" i="1"/>
  <c r="E14408" i="1"/>
  <c r="F14408" i="1"/>
  <c r="G14408" i="1"/>
  <c r="H14408" i="1"/>
  <c r="I14408" i="1"/>
  <c r="J14408" i="1"/>
  <c r="K14408" i="1"/>
  <c r="L14408" i="1"/>
  <c r="A14409" i="1"/>
  <c r="B14409" i="1"/>
  <c r="C14409" i="1"/>
  <c r="D14409" i="1"/>
  <c r="E14409" i="1"/>
  <c r="F14409" i="1"/>
  <c r="G14409" i="1"/>
  <c r="H14409" i="1"/>
  <c r="I14409" i="1"/>
  <c r="J14409" i="1"/>
  <c r="K14409" i="1"/>
  <c r="L14409" i="1"/>
  <c r="A14410" i="1"/>
  <c r="B14410" i="1"/>
  <c r="C14410" i="1"/>
  <c r="D14410" i="1"/>
  <c r="E14410" i="1"/>
  <c r="F14410" i="1"/>
  <c r="G14410" i="1"/>
  <c r="H14410" i="1"/>
  <c r="I14410" i="1"/>
  <c r="J14410" i="1"/>
  <c r="K14410" i="1"/>
  <c r="L14410" i="1"/>
  <c r="A14411" i="1"/>
  <c r="B14411" i="1"/>
  <c r="C14411" i="1"/>
  <c r="D14411" i="1"/>
  <c r="E14411" i="1"/>
  <c r="F14411" i="1"/>
  <c r="G14411" i="1"/>
  <c r="H14411" i="1"/>
  <c r="I14411" i="1"/>
  <c r="J14411" i="1"/>
  <c r="K14411" i="1"/>
  <c r="L14411" i="1"/>
  <c r="A14412" i="1"/>
  <c r="B14412" i="1"/>
  <c r="C14412" i="1"/>
  <c r="D14412" i="1"/>
  <c r="E14412" i="1"/>
  <c r="F14412" i="1"/>
  <c r="G14412" i="1"/>
  <c r="H14412" i="1"/>
  <c r="I14412" i="1"/>
  <c r="J14412" i="1"/>
  <c r="K14412" i="1"/>
  <c r="L14412" i="1"/>
  <c r="A14413" i="1"/>
  <c r="B14413" i="1"/>
  <c r="C14413" i="1"/>
  <c r="D14413" i="1"/>
  <c r="E14413" i="1"/>
  <c r="F14413" i="1"/>
  <c r="G14413" i="1"/>
  <c r="H14413" i="1"/>
  <c r="I14413" i="1"/>
  <c r="J14413" i="1"/>
  <c r="K14413" i="1"/>
  <c r="L14413" i="1"/>
  <c r="A14414" i="1"/>
  <c r="B14414" i="1"/>
  <c r="C14414" i="1"/>
  <c r="D14414" i="1"/>
  <c r="E14414" i="1"/>
  <c r="F14414" i="1"/>
  <c r="G14414" i="1"/>
  <c r="H14414" i="1"/>
  <c r="I14414" i="1"/>
  <c r="J14414" i="1"/>
  <c r="K14414" i="1"/>
  <c r="L14414" i="1"/>
  <c r="A14415" i="1"/>
  <c r="B14415" i="1"/>
  <c r="C14415" i="1"/>
  <c r="D14415" i="1"/>
  <c r="E14415" i="1"/>
  <c r="F14415" i="1"/>
  <c r="G14415" i="1"/>
  <c r="H14415" i="1"/>
  <c r="I14415" i="1"/>
  <c r="J14415" i="1"/>
  <c r="K14415" i="1"/>
  <c r="L14415" i="1"/>
  <c r="A14416" i="1"/>
  <c r="B14416" i="1"/>
  <c r="C14416" i="1"/>
  <c r="D14416" i="1"/>
  <c r="E14416" i="1"/>
  <c r="F14416" i="1"/>
  <c r="G14416" i="1"/>
  <c r="H14416" i="1"/>
  <c r="I14416" i="1"/>
  <c r="J14416" i="1"/>
  <c r="K14416" i="1"/>
  <c r="L14416" i="1"/>
  <c r="A14417" i="1"/>
  <c r="B14417" i="1"/>
  <c r="C14417" i="1"/>
  <c r="D14417" i="1"/>
  <c r="E14417" i="1"/>
  <c r="F14417" i="1"/>
  <c r="G14417" i="1"/>
  <c r="H14417" i="1"/>
  <c r="I14417" i="1"/>
  <c r="J14417" i="1"/>
  <c r="K14417" i="1"/>
  <c r="L14417" i="1"/>
  <c r="A14418" i="1"/>
  <c r="B14418" i="1"/>
  <c r="C14418" i="1"/>
  <c r="D14418" i="1"/>
  <c r="E14418" i="1"/>
  <c r="F14418" i="1"/>
  <c r="G14418" i="1"/>
  <c r="H14418" i="1"/>
  <c r="I14418" i="1"/>
  <c r="J14418" i="1"/>
  <c r="K14418" i="1"/>
  <c r="L14418" i="1"/>
  <c r="A14419" i="1"/>
  <c r="B14419" i="1"/>
  <c r="C14419" i="1"/>
  <c r="D14419" i="1"/>
  <c r="E14419" i="1"/>
  <c r="F14419" i="1"/>
  <c r="G14419" i="1"/>
  <c r="H14419" i="1"/>
  <c r="I14419" i="1"/>
  <c r="J14419" i="1"/>
  <c r="K14419" i="1"/>
  <c r="L14419" i="1"/>
  <c r="A14420" i="1"/>
  <c r="B14420" i="1"/>
  <c r="C14420" i="1"/>
  <c r="D14420" i="1"/>
  <c r="E14420" i="1"/>
  <c r="F14420" i="1"/>
  <c r="G14420" i="1"/>
  <c r="H14420" i="1"/>
  <c r="I14420" i="1"/>
  <c r="J14420" i="1"/>
  <c r="K14420" i="1"/>
  <c r="L14420" i="1"/>
  <c r="A14421" i="1"/>
  <c r="B14421" i="1"/>
  <c r="C14421" i="1"/>
  <c r="D14421" i="1"/>
  <c r="E14421" i="1"/>
  <c r="F14421" i="1"/>
  <c r="G14421" i="1"/>
  <c r="H14421" i="1"/>
  <c r="I14421" i="1"/>
  <c r="J14421" i="1"/>
  <c r="K14421" i="1"/>
  <c r="L14421" i="1"/>
  <c r="A14422" i="1"/>
  <c r="B14422" i="1"/>
  <c r="C14422" i="1"/>
  <c r="D14422" i="1"/>
  <c r="E14422" i="1"/>
  <c r="F14422" i="1"/>
  <c r="G14422" i="1"/>
  <c r="H14422" i="1"/>
  <c r="I14422" i="1"/>
  <c r="J14422" i="1"/>
  <c r="K14422" i="1"/>
  <c r="L14422" i="1"/>
  <c r="A14423" i="1"/>
  <c r="B14423" i="1"/>
  <c r="C14423" i="1"/>
  <c r="D14423" i="1"/>
  <c r="E14423" i="1"/>
  <c r="F14423" i="1"/>
  <c r="G14423" i="1"/>
  <c r="H14423" i="1"/>
  <c r="I14423" i="1"/>
  <c r="J14423" i="1"/>
  <c r="K14423" i="1"/>
  <c r="L14423" i="1"/>
  <c r="A14424" i="1"/>
  <c r="B14424" i="1"/>
  <c r="C14424" i="1"/>
  <c r="D14424" i="1"/>
  <c r="E14424" i="1"/>
  <c r="F14424" i="1"/>
  <c r="G14424" i="1"/>
  <c r="H14424" i="1"/>
  <c r="I14424" i="1"/>
  <c r="J14424" i="1"/>
  <c r="K14424" i="1"/>
  <c r="L14424" i="1"/>
  <c r="A14425" i="1"/>
  <c r="B14425" i="1"/>
  <c r="C14425" i="1"/>
  <c r="D14425" i="1"/>
  <c r="E14425" i="1"/>
  <c r="F14425" i="1"/>
  <c r="G14425" i="1"/>
  <c r="H14425" i="1"/>
  <c r="I14425" i="1"/>
  <c r="J14425" i="1"/>
  <c r="K14425" i="1"/>
  <c r="L14425" i="1"/>
  <c r="A14426" i="1"/>
  <c r="B14426" i="1"/>
  <c r="C14426" i="1"/>
  <c r="D14426" i="1"/>
  <c r="E14426" i="1"/>
  <c r="F14426" i="1"/>
  <c r="G14426" i="1"/>
  <c r="H14426" i="1"/>
  <c r="I14426" i="1"/>
  <c r="J14426" i="1"/>
  <c r="K14426" i="1"/>
  <c r="L14426" i="1"/>
  <c r="A14427" i="1"/>
  <c r="B14427" i="1"/>
  <c r="C14427" i="1"/>
  <c r="D14427" i="1"/>
  <c r="E14427" i="1"/>
  <c r="F14427" i="1"/>
  <c r="G14427" i="1"/>
  <c r="H14427" i="1"/>
  <c r="I14427" i="1"/>
  <c r="J14427" i="1"/>
  <c r="K14427" i="1"/>
  <c r="L14427" i="1"/>
  <c r="A14428" i="1"/>
  <c r="B14428" i="1"/>
  <c r="C14428" i="1"/>
  <c r="D14428" i="1"/>
  <c r="E14428" i="1"/>
  <c r="F14428" i="1"/>
  <c r="G14428" i="1"/>
  <c r="H14428" i="1"/>
  <c r="I14428" i="1"/>
  <c r="J14428" i="1"/>
  <c r="K14428" i="1"/>
  <c r="L14428" i="1"/>
  <c r="A14429" i="1"/>
  <c r="B14429" i="1"/>
  <c r="C14429" i="1"/>
  <c r="D14429" i="1"/>
  <c r="E14429" i="1"/>
  <c r="F14429" i="1"/>
  <c r="G14429" i="1"/>
  <c r="H14429" i="1"/>
  <c r="I14429" i="1"/>
  <c r="J14429" i="1"/>
  <c r="K14429" i="1"/>
  <c r="L14429" i="1"/>
  <c r="A14430" i="1"/>
  <c r="B14430" i="1"/>
  <c r="C14430" i="1"/>
  <c r="D14430" i="1"/>
  <c r="E14430" i="1"/>
  <c r="F14430" i="1"/>
  <c r="G14430" i="1"/>
  <c r="H14430" i="1"/>
  <c r="I14430" i="1"/>
  <c r="J14430" i="1"/>
  <c r="K14430" i="1"/>
  <c r="L14430" i="1"/>
  <c r="A14431" i="1"/>
  <c r="B14431" i="1"/>
  <c r="C14431" i="1"/>
  <c r="D14431" i="1"/>
  <c r="E14431" i="1"/>
  <c r="F14431" i="1"/>
  <c r="G14431" i="1"/>
  <c r="H14431" i="1"/>
  <c r="I14431" i="1"/>
  <c r="J14431" i="1"/>
  <c r="K14431" i="1"/>
  <c r="L14431" i="1"/>
  <c r="A14432" i="1"/>
  <c r="B14432" i="1"/>
  <c r="C14432" i="1"/>
  <c r="D14432" i="1"/>
  <c r="E14432" i="1"/>
  <c r="F14432" i="1"/>
  <c r="G14432" i="1"/>
  <c r="H14432" i="1"/>
  <c r="I14432" i="1"/>
  <c r="J14432" i="1"/>
  <c r="K14432" i="1"/>
  <c r="L14432" i="1"/>
  <c r="A14433" i="1"/>
  <c r="B14433" i="1"/>
  <c r="C14433" i="1"/>
  <c r="D14433" i="1"/>
  <c r="E14433" i="1"/>
  <c r="F14433" i="1"/>
  <c r="G14433" i="1"/>
  <c r="H14433" i="1"/>
  <c r="I14433" i="1"/>
  <c r="J14433" i="1"/>
  <c r="K14433" i="1"/>
  <c r="L14433" i="1"/>
  <c r="A14434" i="1"/>
  <c r="B14434" i="1"/>
  <c r="C14434" i="1"/>
  <c r="D14434" i="1"/>
  <c r="E14434" i="1"/>
  <c r="F14434" i="1"/>
  <c r="G14434" i="1"/>
  <c r="H14434" i="1"/>
  <c r="I14434" i="1"/>
  <c r="J14434" i="1"/>
  <c r="K14434" i="1"/>
  <c r="L14434" i="1"/>
  <c r="A14435" i="1"/>
  <c r="B14435" i="1"/>
  <c r="C14435" i="1"/>
  <c r="D14435" i="1"/>
  <c r="E14435" i="1"/>
  <c r="F14435" i="1"/>
  <c r="G14435" i="1"/>
  <c r="H14435" i="1"/>
  <c r="I14435" i="1"/>
  <c r="J14435" i="1"/>
  <c r="K14435" i="1"/>
  <c r="L14435" i="1"/>
  <c r="A14436" i="1"/>
  <c r="B14436" i="1"/>
  <c r="C14436" i="1"/>
  <c r="D14436" i="1"/>
  <c r="E14436" i="1"/>
  <c r="F14436" i="1"/>
  <c r="G14436" i="1"/>
  <c r="H14436" i="1"/>
  <c r="I14436" i="1"/>
  <c r="J14436" i="1"/>
  <c r="K14436" i="1"/>
  <c r="L14436" i="1"/>
  <c r="A14437" i="1"/>
  <c r="B14437" i="1"/>
  <c r="C14437" i="1"/>
  <c r="D14437" i="1"/>
  <c r="E14437" i="1"/>
  <c r="F14437" i="1"/>
  <c r="G14437" i="1"/>
  <c r="H14437" i="1"/>
  <c r="I14437" i="1"/>
  <c r="J14437" i="1"/>
  <c r="K14437" i="1"/>
  <c r="L14437" i="1"/>
  <c r="A14438" i="1"/>
  <c r="B14438" i="1"/>
  <c r="C14438" i="1"/>
  <c r="D14438" i="1"/>
  <c r="E14438" i="1"/>
  <c r="F14438" i="1"/>
  <c r="G14438" i="1"/>
  <c r="H14438" i="1"/>
  <c r="I14438" i="1"/>
  <c r="J14438" i="1"/>
  <c r="K14438" i="1"/>
  <c r="L14438" i="1"/>
  <c r="A14439" i="1"/>
  <c r="B14439" i="1"/>
  <c r="C14439" i="1"/>
  <c r="D14439" i="1"/>
  <c r="E14439" i="1"/>
  <c r="F14439" i="1"/>
  <c r="G14439" i="1"/>
  <c r="H14439" i="1"/>
  <c r="I14439" i="1"/>
  <c r="J14439" i="1"/>
  <c r="K14439" i="1"/>
  <c r="L14439" i="1"/>
  <c r="A14440" i="1"/>
  <c r="B14440" i="1"/>
  <c r="C14440" i="1"/>
  <c r="D14440" i="1"/>
  <c r="E14440" i="1"/>
  <c r="F14440" i="1"/>
  <c r="G14440" i="1"/>
  <c r="H14440" i="1"/>
  <c r="I14440" i="1"/>
  <c r="J14440" i="1"/>
  <c r="K14440" i="1"/>
  <c r="L14440" i="1"/>
  <c r="A14441" i="1"/>
  <c r="B14441" i="1"/>
  <c r="C14441" i="1"/>
  <c r="D14441" i="1"/>
  <c r="E14441" i="1"/>
  <c r="F14441" i="1"/>
  <c r="G14441" i="1"/>
  <c r="H14441" i="1"/>
  <c r="I14441" i="1"/>
  <c r="J14441" i="1"/>
  <c r="K14441" i="1"/>
  <c r="L14441" i="1"/>
  <c r="A14442" i="1"/>
  <c r="B14442" i="1"/>
  <c r="C14442" i="1"/>
  <c r="D14442" i="1"/>
  <c r="E14442" i="1"/>
  <c r="F14442" i="1"/>
  <c r="G14442" i="1"/>
  <c r="H14442" i="1"/>
  <c r="I14442" i="1"/>
  <c r="J14442" i="1"/>
  <c r="K14442" i="1"/>
  <c r="L14442" i="1"/>
  <c r="A14443" i="1"/>
  <c r="B14443" i="1"/>
  <c r="C14443" i="1"/>
  <c r="D14443" i="1"/>
  <c r="E14443" i="1"/>
  <c r="F14443" i="1"/>
  <c r="G14443" i="1"/>
  <c r="H14443" i="1"/>
  <c r="I14443" i="1"/>
  <c r="J14443" i="1"/>
  <c r="K14443" i="1"/>
  <c r="L14443" i="1"/>
  <c r="A14444" i="1"/>
  <c r="B14444" i="1"/>
  <c r="C14444" i="1"/>
  <c r="D14444" i="1"/>
  <c r="E14444" i="1"/>
  <c r="F14444" i="1"/>
  <c r="G14444" i="1"/>
  <c r="H14444" i="1"/>
  <c r="I14444" i="1"/>
  <c r="J14444" i="1"/>
  <c r="K14444" i="1"/>
  <c r="L14444" i="1"/>
  <c r="A14445" i="1"/>
  <c r="B14445" i="1"/>
  <c r="C14445" i="1"/>
  <c r="D14445" i="1"/>
  <c r="E14445" i="1"/>
  <c r="F14445" i="1"/>
  <c r="G14445" i="1"/>
  <c r="H14445" i="1"/>
  <c r="I14445" i="1"/>
  <c r="J14445" i="1"/>
  <c r="K14445" i="1"/>
  <c r="L14445" i="1"/>
  <c r="A14446" i="1"/>
  <c r="B14446" i="1"/>
  <c r="C14446" i="1"/>
  <c r="D14446" i="1"/>
  <c r="E14446" i="1"/>
  <c r="F14446" i="1"/>
  <c r="G14446" i="1"/>
  <c r="H14446" i="1"/>
  <c r="I14446" i="1"/>
  <c r="J14446" i="1"/>
  <c r="K14446" i="1"/>
  <c r="L14446" i="1"/>
  <c r="A14447" i="1"/>
  <c r="B14447" i="1"/>
  <c r="C14447" i="1"/>
  <c r="D14447" i="1"/>
  <c r="E14447" i="1"/>
  <c r="F14447" i="1"/>
  <c r="G14447" i="1"/>
  <c r="H14447" i="1"/>
  <c r="I14447" i="1"/>
  <c r="J14447" i="1"/>
  <c r="K14447" i="1"/>
  <c r="L14447" i="1"/>
  <c r="A14448" i="1"/>
  <c r="B14448" i="1"/>
  <c r="C14448" i="1"/>
  <c r="D14448" i="1"/>
  <c r="E14448" i="1"/>
  <c r="F14448" i="1"/>
  <c r="G14448" i="1"/>
  <c r="H14448" i="1"/>
  <c r="I14448" i="1"/>
  <c r="J14448" i="1"/>
  <c r="K14448" i="1"/>
  <c r="L14448" i="1"/>
  <c r="A14449" i="1"/>
  <c r="B14449" i="1"/>
  <c r="C14449" i="1"/>
  <c r="D14449" i="1"/>
  <c r="E14449" i="1"/>
  <c r="F14449" i="1"/>
  <c r="G14449" i="1"/>
  <c r="H14449" i="1"/>
  <c r="I14449" i="1"/>
  <c r="J14449" i="1"/>
  <c r="K14449" i="1"/>
  <c r="L14449" i="1"/>
  <c r="A14450" i="1"/>
  <c r="B14450" i="1"/>
  <c r="C14450" i="1"/>
  <c r="D14450" i="1"/>
  <c r="E14450" i="1"/>
  <c r="F14450" i="1"/>
  <c r="G14450" i="1"/>
  <c r="H14450" i="1"/>
  <c r="I14450" i="1"/>
  <c r="J14450" i="1"/>
  <c r="K14450" i="1"/>
  <c r="L14450" i="1"/>
  <c r="A14451" i="1"/>
  <c r="B14451" i="1"/>
  <c r="C14451" i="1"/>
  <c r="D14451" i="1"/>
  <c r="E14451" i="1"/>
  <c r="F14451" i="1"/>
  <c r="G14451" i="1"/>
  <c r="H14451" i="1"/>
  <c r="I14451" i="1"/>
  <c r="J14451" i="1"/>
  <c r="K14451" i="1"/>
  <c r="L14451" i="1"/>
  <c r="A14452" i="1"/>
  <c r="B14452" i="1"/>
  <c r="C14452" i="1"/>
  <c r="D14452" i="1"/>
  <c r="E14452" i="1"/>
  <c r="F14452" i="1"/>
  <c r="G14452" i="1"/>
  <c r="H14452" i="1"/>
  <c r="I14452" i="1"/>
  <c r="J14452" i="1"/>
  <c r="K14452" i="1"/>
  <c r="L14452" i="1"/>
  <c r="A14453" i="1"/>
  <c r="B14453" i="1"/>
  <c r="C14453" i="1"/>
  <c r="D14453" i="1"/>
  <c r="E14453" i="1"/>
  <c r="F14453" i="1"/>
  <c r="G14453" i="1"/>
  <c r="H14453" i="1"/>
  <c r="I14453" i="1"/>
  <c r="J14453" i="1"/>
  <c r="K14453" i="1"/>
  <c r="L14453" i="1"/>
  <c r="A14454" i="1"/>
  <c r="B14454" i="1"/>
  <c r="C14454" i="1"/>
  <c r="D14454" i="1"/>
  <c r="E14454" i="1"/>
  <c r="F14454" i="1"/>
  <c r="G14454" i="1"/>
  <c r="H14454" i="1"/>
  <c r="I14454" i="1"/>
  <c r="J14454" i="1"/>
  <c r="K14454" i="1"/>
  <c r="L14454" i="1"/>
  <c r="A14455" i="1"/>
  <c r="B14455" i="1"/>
  <c r="C14455" i="1"/>
  <c r="D14455" i="1"/>
  <c r="E14455" i="1"/>
  <c r="F14455" i="1"/>
  <c r="G14455" i="1"/>
  <c r="H14455" i="1"/>
  <c r="I14455" i="1"/>
  <c r="J14455" i="1"/>
  <c r="K14455" i="1"/>
  <c r="L14455" i="1"/>
  <c r="A14456" i="1"/>
  <c r="B14456" i="1"/>
  <c r="C14456" i="1"/>
  <c r="D14456" i="1"/>
  <c r="E14456" i="1"/>
  <c r="F14456" i="1"/>
  <c r="G14456" i="1"/>
  <c r="H14456" i="1"/>
  <c r="I14456" i="1"/>
  <c r="J14456" i="1"/>
  <c r="K14456" i="1"/>
  <c r="L14456" i="1"/>
  <c r="A14457" i="1"/>
  <c r="B14457" i="1"/>
  <c r="C14457" i="1"/>
  <c r="D14457" i="1"/>
  <c r="E14457" i="1"/>
  <c r="F14457" i="1"/>
  <c r="G14457" i="1"/>
  <c r="H14457" i="1"/>
  <c r="I14457" i="1"/>
  <c r="J14457" i="1"/>
  <c r="K14457" i="1"/>
  <c r="L14457" i="1"/>
  <c r="A14458" i="1"/>
  <c r="B14458" i="1"/>
  <c r="C14458" i="1"/>
  <c r="D14458" i="1"/>
  <c r="E14458" i="1"/>
  <c r="F14458" i="1"/>
  <c r="G14458" i="1"/>
  <c r="H14458" i="1"/>
  <c r="I14458" i="1"/>
  <c r="J14458" i="1"/>
  <c r="K14458" i="1"/>
  <c r="L14458" i="1"/>
  <c r="A14459" i="1"/>
  <c r="B14459" i="1"/>
  <c r="C14459" i="1"/>
  <c r="D14459" i="1"/>
  <c r="E14459" i="1"/>
  <c r="F14459" i="1"/>
  <c r="G14459" i="1"/>
  <c r="H14459" i="1"/>
  <c r="I14459" i="1"/>
  <c r="J14459" i="1"/>
  <c r="K14459" i="1"/>
  <c r="L14459" i="1"/>
  <c r="A14460" i="1"/>
  <c r="B14460" i="1"/>
  <c r="C14460" i="1"/>
  <c r="D14460" i="1"/>
  <c r="E14460" i="1"/>
  <c r="F14460" i="1"/>
  <c r="G14460" i="1"/>
  <c r="H14460" i="1"/>
  <c r="I14460" i="1"/>
  <c r="J14460" i="1"/>
  <c r="K14460" i="1"/>
  <c r="L14460" i="1"/>
  <c r="A14461" i="1"/>
  <c r="B14461" i="1"/>
  <c r="C14461" i="1"/>
  <c r="D14461" i="1"/>
  <c r="E14461" i="1"/>
  <c r="F14461" i="1"/>
  <c r="G14461" i="1"/>
  <c r="H14461" i="1"/>
  <c r="I14461" i="1"/>
  <c r="J14461" i="1"/>
  <c r="K14461" i="1"/>
  <c r="L14461" i="1"/>
  <c r="A14462" i="1"/>
  <c r="B14462" i="1"/>
  <c r="C14462" i="1"/>
  <c r="D14462" i="1"/>
  <c r="E14462" i="1"/>
  <c r="F14462" i="1"/>
  <c r="G14462" i="1"/>
  <c r="H14462" i="1"/>
  <c r="I14462" i="1"/>
  <c r="J14462" i="1"/>
  <c r="K14462" i="1"/>
  <c r="L14462" i="1"/>
  <c r="A14463" i="1"/>
  <c r="B14463" i="1"/>
  <c r="C14463" i="1"/>
  <c r="D14463" i="1"/>
  <c r="E14463" i="1"/>
  <c r="F14463" i="1"/>
  <c r="G14463" i="1"/>
  <c r="H14463" i="1"/>
  <c r="I14463" i="1"/>
  <c r="J14463" i="1"/>
  <c r="K14463" i="1"/>
  <c r="L14463" i="1"/>
  <c r="A14464" i="1"/>
  <c r="B14464" i="1"/>
  <c r="C14464" i="1"/>
  <c r="D14464" i="1"/>
  <c r="E14464" i="1"/>
  <c r="F14464" i="1"/>
  <c r="G14464" i="1"/>
  <c r="H14464" i="1"/>
  <c r="I14464" i="1"/>
  <c r="J14464" i="1"/>
  <c r="K14464" i="1"/>
  <c r="L14464" i="1"/>
  <c r="A14465" i="1"/>
  <c r="B14465" i="1"/>
  <c r="C14465" i="1"/>
  <c r="D14465" i="1"/>
  <c r="E14465" i="1"/>
  <c r="F14465" i="1"/>
  <c r="G14465" i="1"/>
  <c r="H14465" i="1"/>
  <c r="I14465" i="1"/>
  <c r="J14465" i="1"/>
  <c r="K14465" i="1"/>
  <c r="L14465" i="1"/>
  <c r="A14466" i="1"/>
  <c r="B14466" i="1"/>
  <c r="C14466" i="1"/>
  <c r="D14466" i="1"/>
  <c r="E14466" i="1"/>
  <c r="F14466" i="1"/>
  <c r="G14466" i="1"/>
  <c r="H14466" i="1"/>
  <c r="I14466" i="1"/>
  <c r="J14466" i="1"/>
  <c r="K14466" i="1"/>
  <c r="L14466" i="1"/>
  <c r="A14467" i="1"/>
  <c r="B14467" i="1"/>
  <c r="C14467" i="1"/>
  <c r="D14467" i="1"/>
  <c r="E14467" i="1"/>
  <c r="F14467" i="1"/>
  <c r="G14467" i="1"/>
  <c r="H14467" i="1"/>
  <c r="I14467" i="1"/>
  <c r="J14467" i="1"/>
  <c r="K14467" i="1"/>
  <c r="L14467" i="1"/>
  <c r="A14468" i="1"/>
  <c r="B14468" i="1"/>
  <c r="C14468" i="1"/>
  <c r="D14468" i="1"/>
  <c r="E14468" i="1"/>
  <c r="F14468" i="1"/>
  <c r="G14468" i="1"/>
  <c r="H14468" i="1"/>
  <c r="I14468" i="1"/>
  <c r="J14468" i="1"/>
  <c r="K14468" i="1"/>
  <c r="L14468" i="1"/>
  <c r="A14469" i="1"/>
  <c r="B14469" i="1"/>
  <c r="C14469" i="1"/>
  <c r="D14469" i="1"/>
  <c r="E14469" i="1"/>
  <c r="F14469" i="1"/>
  <c r="G14469" i="1"/>
  <c r="H14469" i="1"/>
  <c r="I14469" i="1"/>
  <c r="J14469" i="1"/>
  <c r="K14469" i="1"/>
  <c r="L14469" i="1"/>
  <c r="A14470" i="1"/>
  <c r="B14470" i="1"/>
  <c r="C14470" i="1"/>
  <c r="D14470" i="1"/>
  <c r="E14470" i="1"/>
  <c r="F14470" i="1"/>
  <c r="G14470" i="1"/>
  <c r="H14470" i="1"/>
  <c r="I14470" i="1"/>
  <c r="J14470" i="1"/>
  <c r="K14470" i="1"/>
  <c r="L14470" i="1"/>
  <c r="A14471" i="1"/>
  <c r="B14471" i="1"/>
  <c r="C14471" i="1"/>
  <c r="D14471" i="1"/>
  <c r="E14471" i="1"/>
  <c r="F14471" i="1"/>
  <c r="G14471" i="1"/>
  <c r="H14471" i="1"/>
  <c r="I14471" i="1"/>
  <c r="J14471" i="1"/>
  <c r="K14471" i="1"/>
  <c r="L14471" i="1"/>
  <c r="A14472" i="1"/>
  <c r="B14472" i="1"/>
  <c r="C14472" i="1"/>
  <c r="D14472" i="1"/>
  <c r="E14472" i="1"/>
  <c r="F14472" i="1"/>
  <c r="G14472" i="1"/>
  <c r="H14472" i="1"/>
  <c r="I14472" i="1"/>
  <c r="J14472" i="1"/>
  <c r="K14472" i="1"/>
  <c r="L14472" i="1"/>
  <c r="A14473" i="1"/>
  <c r="B14473" i="1"/>
  <c r="C14473" i="1"/>
  <c r="D14473" i="1"/>
  <c r="E14473" i="1"/>
  <c r="F14473" i="1"/>
  <c r="G14473" i="1"/>
  <c r="H14473" i="1"/>
  <c r="I14473" i="1"/>
  <c r="J14473" i="1"/>
  <c r="K14473" i="1"/>
  <c r="L14473" i="1"/>
  <c r="A14474" i="1"/>
  <c r="B14474" i="1"/>
  <c r="C14474" i="1"/>
  <c r="D14474" i="1"/>
  <c r="E14474" i="1"/>
  <c r="F14474" i="1"/>
  <c r="G14474" i="1"/>
  <c r="H14474" i="1"/>
  <c r="I14474" i="1"/>
  <c r="J14474" i="1"/>
  <c r="K14474" i="1"/>
  <c r="L14474" i="1"/>
  <c r="A14475" i="1"/>
  <c r="B14475" i="1"/>
  <c r="C14475" i="1"/>
  <c r="D14475" i="1"/>
  <c r="E14475" i="1"/>
  <c r="F14475" i="1"/>
  <c r="G14475" i="1"/>
  <c r="H14475" i="1"/>
  <c r="I14475" i="1"/>
  <c r="J14475" i="1"/>
  <c r="K14475" i="1"/>
  <c r="L14475" i="1"/>
  <c r="A14476" i="1"/>
  <c r="B14476" i="1"/>
  <c r="C14476" i="1"/>
  <c r="D14476" i="1"/>
  <c r="E14476" i="1"/>
  <c r="F14476" i="1"/>
  <c r="G14476" i="1"/>
  <c r="H14476" i="1"/>
  <c r="I14476" i="1"/>
  <c r="J14476" i="1"/>
  <c r="K14476" i="1"/>
  <c r="L14476" i="1"/>
  <c r="A14477" i="1"/>
  <c r="B14477" i="1"/>
  <c r="C14477" i="1"/>
  <c r="D14477" i="1"/>
  <c r="E14477" i="1"/>
  <c r="F14477" i="1"/>
  <c r="G14477" i="1"/>
  <c r="H14477" i="1"/>
  <c r="I14477" i="1"/>
  <c r="J14477" i="1"/>
  <c r="K14477" i="1"/>
  <c r="L14477" i="1"/>
  <c r="A14478" i="1"/>
  <c r="B14478" i="1"/>
  <c r="C14478" i="1"/>
  <c r="D14478" i="1"/>
  <c r="E14478" i="1"/>
  <c r="F14478" i="1"/>
  <c r="G14478" i="1"/>
  <c r="H14478" i="1"/>
  <c r="I14478" i="1"/>
  <c r="J14478" i="1"/>
  <c r="K14478" i="1"/>
  <c r="L14478" i="1"/>
  <c r="A14479" i="1"/>
  <c r="B14479" i="1"/>
  <c r="C14479" i="1"/>
  <c r="D14479" i="1"/>
  <c r="E14479" i="1"/>
  <c r="F14479" i="1"/>
  <c r="G14479" i="1"/>
  <c r="H14479" i="1"/>
  <c r="I14479" i="1"/>
  <c r="J14479" i="1"/>
  <c r="K14479" i="1"/>
  <c r="L14479" i="1"/>
  <c r="A14480" i="1"/>
  <c r="B14480" i="1"/>
  <c r="C14480" i="1"/>
  <c r="D14480" i="1"/>
  <c r="E14480" i="1"/>
  <c r="F14480" i="1"/>
  <c r="G14480" i="1"/>
  <c r="H14480" i="1"/>
  <c r="I14480" i="1"/>
  <c r="J14480" i="1"/>
  <c r="K14480" i="1"/>
  <c r="L14480" i="1"/>
  <c r="A14481" i="1"/>
  <c r="B14481" i="1"/>
  <c r="C14481" i="1"/>
  <c r="D14481" i="1"/>
  <c r="E14481" i="1"/>
  <c r="F14481" i="1"/>
  <c r="G14481" i="1"/>
  <c r="H14481" i="1"/>
  <c r="I14481" i="1"/>
  <c r="J14481" i="1"/>
  <c r="K14481" i="1"/>
  <c r="L14481" i="1"/>
  <c r="A14482" i="1"/>
  <c r="B14482" i="1"/>
  <c r="C14482" i="1"/>
  <c r="D14482" i="1"/>
  <c r="E14482" i="1"/>
  <c r="F14482" i="1"/>
  <c r="G14482" i="1"/>
  <c r="H14482" i="1"/>
  <c r="I14482" i="1"/>
  <c r="J14482" i="1"/>
  <c r="K14482" i="1"/>
  <c r="L14482" i="1"/>
  <c r="A14483" i="1"/>
  <c r="B14483" i="1"/>
  <c r="C14483" i="1"/>
  <c r="D14483" i="1"/>
  <c r="E14483" i="1"/>
  <c r="F14483" i="1"/>
  <c r="G14483" i="1"/>
  <c r="H14483" i="1"/>
  <c r="I14483" i="1"/>
  <c r="J14483" i="1"/>
  <c r="K14483" i="1"/>
  <c r="L14483" i="1"/>
  <c r="A14484" i="1"/>
  <c r="B14484" i="1"/>
  <c r="C14484" i="1"/>
  <c r="D14484" i="1"/>
  <c r="E14484" i="1"/>
  <c r="F14484" i="1"/>
  <c r="G14484" i="1"/>
  <c r="H14484" i="1"/>
  <c r="I14484" i="1"/>
  <c r="J14484" i="1"/>
  <c r="K14484" i="1"/>
  <c r="L14484" i="1"/>
  <c r="A14485" i="1"/>
  <c r="B14485" i="1"/>
  <c r="C14485" i="1"/>
  <c r="D14485" i="1"/>
  <c r="E14485" i="1"/>
  <c r="F14485" i="1"/>
  <c r="G14485" i="1"/>
  <c r="H14485" i="1"/>
  <c r="I14485" i="1"/>
  <c r="J14485" i="1"/>
  <c r="K14485" i="1"/>
  <c r="L14485" i="1"/>
  <c r="A14486" i="1"/>
  <c r="B14486" i="1"/>
  <c r="C14486" i="1"/>
  <c r="D14486" i="1"/>
  <c r="E14486" i="1"/>
  <c r="F14486" i="1"/>
  <c r="G14486" i="1"/>
  <c r="H14486" i="1"/>
  <c r="I14486" i="1"/>
  <c r="J14486" i="1"/>
  <c r="K14486" i="1"/>
  <c r="L14486" i="1"/>
  <c r="A14487" i="1"/>
  <c r="B14487" i="1"/>
  <c r="C14487" i="1"/>
  <c r="D14487" i="1"/>
  <c r="E14487" i="1"/>
  <c r="F14487" i="1"/>
  <c r="G14487" i="1"/>
  <c r="H14487" i="1"/>
  <c r="I14487" i="1"/>
  <c r="J14487" i="1"/>
  <c r="K14487" i="1"/>
  <c r="L14487" i="1"/>
  <c r="A14488" i="1"/>
  <c r="B14488" i="1"/>
  <c r="C14488" i="1"/>
  <c r="D14488" i="1"/>
  <c r="E14488" i="1"/>
  <c r="F14488" i="1"/>
  <c r="G14488" i="1"/>
  <c r="H14488" i="1"/>
  <c r="I14488" i="1"/>
  <c r="J14488" i="1"/>
  <c r="K14488" i="1"/>
  <c r="L14488" i="1"/>
  <c r="A14489" i="1"/>
  <c r="B14489" i="1"/>
  <c r="C14489" i="1"/>
  <c r="D14489" i="1"/>
  <c r="E14489" i="1"/>
  <c r="F14489" i="1"/>
  <c r="G14489" i="1"/>
  <c r="H14489" i="1"/>
  <c r="I14489" i="1"/>
  <c r="J14489" i="1"/>
  <c r="K14489" i="1"/>
  <c r="L14489" i="1"/>
  <c r="A14490" i="1"/>
  <c r="B14490" i="1"/>
  <c r="C14490" i="1"/>
  <c r="D14490" i="1"/>
  <c r="E14490" i="1"/>
  <c r="F14490" i="1"/>
  <c r="G14490" i="1"/>
  <c r="H14490" i="1"/>
  <c r="I14490" i="1"/>
  <c r="J14490" i="1"/>
  <c r="K14490" i="1"/>
  <c r="L14490" i="1"/>
  <c r="A14491" i="1"/>
  <c r="B14491" i="1"/>
  <c r="C14491" i="1"/>
  <c r="D14491" i="1"/>
  <c r="E14491" i="1"/>
  <c r="F14491" i="1"/>
  <c r="G14491" i="1"/>
  <c r="H14491" i="1"/>
  <c r="I14491" i="1"/>
  <c r="J14491" i="1"/>
  <c r="K14491" i="1"/>
  <c r="L14491" i="1"/>
  <c r="A14492" i="1"/>
  <c r="B14492" i="1"/>
  <c r="C14492" i="1"/>
  <c r="D14492" i="1"/>
  <c r="E14492" i="1"/>
  <c r="F14492" i="1"/>
  <c r="G14492" i="1"/>
  <c r="H14492" i="1"/>
  <c r="I14492" i="1"/>
  <c r="J14492" i="1"/>
  <c r="K14492" i="1"/>
  <c r="L14492" i="1"/>
  <c r="A14493" i="1"/>
  <c r="B14493" i="1"/>
  <c r="C14493" i="1"/>
  <c r="D14493" i="1"/>
  <c r="E14493" i="1"/>
  <c r="F14493" i="1"/>
  <c r="G14493" i="1"/>
  <c r="H14493" i="1"/>
  <c r="I14493" i="1"/>
  <c r="J14493" i="1"/>
  <c r="K14493" i="1"/>
  <c r="L14493" i="1"/>
  <c r="A14494" i="1"/>
  <c r="B14494" i="1"/>
  <c r="C14494" i="1"/>
  <c r="D14494" i="1"/>
  <c r="E14494" i="1"/>
  <c r="F14494" i="1"/>
  <c r="G14494" i="1"/>
  <c r="H14494" i="1"/>
  <c r="I14494" i="1"/>
  <c r="J14494" i="1"/>
  <c r="K14494" i="1"/>
  <c r="L14494" i="1"/>
  <c r="A14495" i="1"/>
  <c r="B14495" i="1"/>
  <c r="C14495" i="1"/>
  <c r="D14495" i="1"/>
  <c r="E14495" i="1"/>
  <c r="F14495" i="1"/>
  <c r="G14495" i="1"/>
  <c r="H14495" i="1"/>
  <c r="I14495" i="1"/>
  <c r="J14495" i="1"/>
  <c r="K14495" i="1"/>
  <c r="L14495" i="1"/>
  <c r="A14496" i="1"/>
  <c r="B14496" i="1"/>
  <c r="C14496" i="1"/>
  <c r="D14496" i="1"/>
  <c r="E14496" i="1"/>
  <c r="F14496" i="1"/>
  <c r="G14496" i="1"/>
  <c r="H14496" i="1"/>
  <c r="I14496" i="1"/>
  <c r="J14496" i="1"/>
  <c r="K14496" i="1"/>
  <c r="L14496" i="1"/>
  <c r="A14497" i="1"/>
  <c r="B14497" i="1"/>
  <c r="C14497" i="1"/>
  <c r="D14497" i="1"/>
  <c r="E14497" i="1"/>
  <c r="F14497" i="1"/>
  <c r="G14497" i="1"/>
  <c r="H14497" i="1"/>
  <c r="I14497" i="1"/>
  <c r="J14497" i="1"/>
  <c r="K14497" i="1"/>
  <c r="L14497" i="1"/>
  <c r="A14498" i="1"/>
  <c r="B14498" i="1"/>
  <c r="C14498" i="1"/>
  <c r="D14498" i="1"/>
  <c r="E14498" i="1"/>
  <c r="F14498" i="1"/>
  <c r="G14498" i="1"/>
  <c r="H14498" i="1"/>
  <c r="I14498" i="1"/>
  <c r="J14498" i="1"/>
  <c r="K14498" i="1"/>
  <c r="L14498" i="1"/>
  <c r="A14499" i="1"/>
  <c r="B14499" i="1"/>
  <c r="C14499" i="1"/>
  <c r="D14499" i="1"/>
  <c r="E14499" i="1"/>
  <c r="F14499" i="1"/>
  <c r="G14499" i="1"/>
  <c r="H14499" i="1"/>
  <c r="I14499" i="1"/>
  <c r="J14499" i="1"/>
  <c r="K14499" i="1"/>
  <c r="L14499" i="1"/>
  <c r="A14500" i="1"/>
  <c r="B14500" i="1"/>
  <c r="C14500" i="1"/>
  <c r="D14500" i="1"/>
  <c r="E14500" i="1"/>
  <c r="F14500" i="1"/>
  <c r="G14500" i="1"/>
  <c r="H14500" i="1"/>
  <c r="I14500" i="1"/>
  <c r="J14500" i="1"/>
  <c r="K14500" i="1"/>
  <c r="L14500" i="1"/>
  <c r="A14501" i="1"/>
  <c r="B14501" i="1"/>
  <c r="C14501" i="1"/>
  <c r="D14501" i="1"/>
  <c r="E14501" i="1"/>
  <c r="F14501" i="1"/>
  <c r="G14501" i="1"/>
  <c r="H14501" i="1"/>
  <c r="I14501" i="1"/>
  <c r="J14501" i="1"/>
  <c r="K14501" i="1"/>
  <c r="L14501" i="1"/>
  <c r="A14502" i="1"/>
  <c r="B14502" i="1"/>
  <c r="C14502" i="1"/>
  <c r="D14502" i="1"/>
  <c r="E14502" i="1"/>
  <c r="F14502" i="1"/>
  <c r="G14502" i="1"/>
  <c r="H14502" i="1"/>
  <c r="I14502" i="1"/>
  <c r="J14502" i="1"/>
  <c r="K14502" i="1"/>
  <c r="L14502" i="1"/>
  <c r="A14503" i="1"/>
  <c r="B14503" i="1"/>
  <c r="C14503" i="1"/>
  <c r="D14503" i="1"/>
  <c r="E14503" i="1"/>
  <c r="F14503" i="1"/>
  <c r="G14503" i="1"/>
  <c r="H14503" i="1"/>
  <c r="I14503" i="1"/>
  <c r="J14503" i="1"/>
  <c r="K14503" i="1"/>
  <c r="L14503" i="1"/>
  <c r="A14504" i="1"/>
  <c r="B14504" i="1"/>
  <c r="C14504" i="1"/>
  <c r="D14504" i="1"/>
  <c r="E14504" i="1"/>
  <c r="F14504" i="1"/>
  <c r="G14504" i="1"/>
  <c r="H14504" i="1"/>
  <c r="I14504" i="1"/>
  <c r="J14504" i="1"/>
  <c r="K14504" i="1"/>
  <c r="L14504" i="1"/>
  <c r="A14505" i="1"/>
  <c r="B14505" i="1"/>
  <c r="C14505" i="1"/>
  <c r="D14505" i="1"/>
  <c r="E14505" i="1"/>
  <c r="F14505" i="1"/>
  <c r="G14505" i="1"/>
  <c r="H14505" i="1"/>
  <c r="I14505" i="1"/>
  <c r="J14505" i="1"/>
  <c r="K14505" i="1"/>
  <c r="L14505" i="1"/>
  <c r="A14506" i="1"/>
  <c r="B14506" i="1"/>
  <c r="C14506" i="1"/>
  <c r="D14506" i="1"/>
  <c r="E14506" i="1"/>
  <c r="F14506" i="1"/>
  <c r="G14506" i="1"/>
  <c r="H14506" i="1"/>
  <c r="I14506" i="1"/>
  <c r="J14506" i="1"/>
  <c r="K14506" i="1"/>
  <c r="L14506" i="1"/>
  <c r="A14507" i="1"/>
  <c r="B14507" i="1"/>
  <c r="C14507" i="1"/>
  <c r="D14507" i="1"/>
  <c r="E14507" i="1"/>
  <c r="F14507" i="1"/>
  <c r="G14507" i="1"/>
  <c r="H14507" i="1"/>
  <c r="I14507" i="1"/>
  <c r="J14507" i="1"/>
  <c r="K14507" i="1"/>
  <c r="L14507" i="1"/>
  <c r="A14508" i="1"/>
  <c r="B14508" i="1"/>
  <c r="C14508" i="1"/>
  <c r="D14508" i="1"/>
  <c r="E14508" i="1"/>
  <c r="F14508" i="1"/>
  <c r="G14508" i="1"/>
  <c r="H14508" i="1"/>
  <c r="I14508" i="1"/>
  <c r="J14508" i="1"/>
  <c r="K14508" i="1"/>
  <c r="L14508" i="1"/>
  <c r="A14509" i="1"/>
  <c r="B14509" i="1"/>
  <c r="C14509" i="1"/>
  <c r="D14509" i="1"/>
  <c r="E14509" i="1"/>
  <c r="F14509" i="1"/>
  <c r="G14509" i="1"/>
  <c r="H14509" i="1"/>
  <c r="I14509" i="1"/>
  <c r="J14509" i="1"/>
  <c r="K14509" i="1"/>
  <c r="L14509" i="1"/>
  <c r="A14510" i="1"/>
  <c r="B14510" i="1"/>
  <c r="C14510" i="1"/>
  <c r="D14510" i="1"/>
  <c r="E14510" i="1"/>
  <c r="F14510" i="1"/>
  <c r="G14510" i="1"/>
  <c r="H14510" i="1"/>
  <c r="I14510" i="1"/>
  <c r="J14510" i="1"/>
  <c r="K14510" i="1"/>
  <c r="L14510" i="1"/>
  <c r="A14511" i="1"/>
  <c r="B14511" i="1"/>
  <c r="C14511" i="1"/>
  <c r="D14511" i="1"/>
  <c r="E14511" i="1"/>
  <c r="F14511" i="1"/>
  <c r="G14511" i="1"/>
  <c r="H14511" i="1"/>
  <c r="I14511" i="1"/>
  <c r="J14511" i="1"/>
  <c r="K14511" i="1"/>
  <c r="L14511" i="1"/>
  <c r="A14512" i="1"/>
  <c r="B14512" i="1"/>
  <c r="C14512" i="1"/>
  <c r="D14512" i="1"/>
  <c r="E14512" i="1"/>
  <c r="F14512" i="1"/>
  <c r="G14512" i="1"/>
  <c r="H14512" i="1"/>
  <c r="I14512" i="1"/>
  <c r="J14512" i="1"/>
  <c r="K14512" i="1"/>
  <c r="L14512" i="1"/>
  <c r="A14513" i="1"/>
  <c r="B14513" i="1"/>
  <c r="C14513" i="1"/>
  <c r="D14513" i="1"/>
  <c r="E14513" i="1"/>
  <c r="F14513" i="1"/>
  <c r="G14513" i="1"/>
  <c r="H14513" i="1"/>
  <c r="I14513" i="1"/>
  <c r="J14513" i="1"/>
  <c r="K14513" i="1"/>
  <c r="L14513" i="1"/>
  <c r="A14514" i="1"/>
  <c r="B14514" i="1"/>
  <c r="C14514" i="1"/>
  <c r="D14514" i="1"/>
  <c r="E14514" i="1"/>
  <c r="F14514" i="1"/>
  <c r="G14514" i="1"/>
  <c r="H14514" i="1"/>
  <c r="I14514" i="1"/>
  <c r="J14514" i="1"/>
  <c r="K14514" i="1"/>
  <c r="L14514" i="1"/>
  <c r="A14515" i="1"/>
  <c r="B14515" i="1"/>
  <c r="C14515" i="1"/>
  <c r="D14515" i="1"/>
  <c r="E14515" i="1"/>
  <c r="F14515" i="1"/>
  <c r="G14515" i="1"/>
  <c r="H14515" i="1"/>
  <c r="I14515" i="1"/>
  <c r="J14515" i="1"/>
  <c r="K14515" i="1"/>
  <c r="L14515" i="1"/>
  <c r="A14516" i="1"/>
  <c r="B14516" i="1"/>
  <c r="C14516" i="1"/>
  <c r="D14516" i="1"/>
  <c r="E14516" i="1"/>
  <c r="F14516" i="1"/>
  <c r="G14516" i="1"/>
  <c r="H14516" i="1"/>
  <c r="I14516" i="1"/>
  <c r="J14516" i="1"/>
  <c r="K14516" i="1"/>
  <c r="L14516" i="1"/>
  <c r="A14517" i="1"/>
  <c r="B14517" i="1"/>
  <c r="C14517" i="1"/>
  <c r="D14517" i="1"/>
  <c r="E14517" i="1"/>
  <c r="F14517" i="1"/>
  <c r="G14517" i="1"/>
  <c r="H14517" i="1"/>
  <c r="I14517" i="1"/>
  <c r="J14517" i="1"/>
  <c r="K14517" i="1"/>
  <c r="L14517" i="1"/>
  <c r="A14518" i="1"/>
  <c r="B14518" i="1"/>
  <c r="C14518" i="1"/>
  <c r="D14518" i="1"/>
  <c r="E14518" i="1"/>
  <c r="F14518" i="1"/>
  <c r="G14518" i="1"/>
  <c r="H14518" i="1"/>
  <c r="I14518" i="1"/>
  <c r="J14518" i="1"/>
  <c r="K14518" i="1"/>
  <c r="L14518" i="1"/>
  <c r="A14519" i="1"/>
  <c r="B14519" i="1"/>
  <c r="C14519" i="1"/>
  <c r="D14519" i="1"/>
  <c r="E14519" i="1"/>
  <c r="F14519" i="1"/>
  <c r="G14519" i="1"/>
  <c r="H14519" i="1"/>
  <c r="I14519" i="1"/>
  <c r="J14519" i="1"/>
  <c r="K14519" i="1"/>
  <c r="L14519" i="1"/>
  <c r="A14520" i="1"/>
  <c r="B14520" i="1"/>
  <c r="C14520" i="1"/>
  <c r="D14520" i="1"/>
  <c r="E14520" i="1"/>
  <c r="F14520" i="1"/>
  <c r="G14520" i="1"/>
  <c r="H14520" i="1"/>
  <c r="I14520" i="1"/>
  <c r="J14520" i="1"/>
  <c r="K14520" i="1"/>
  <c r="L14520" i="1"/>
  <c r="A14521" i="1"/>
  <c r="B14521" i="1"/>
  <c r="C14521" i="1"/>
  <c r="D14521" i="1"/>
  <c r="E14521" i="1"/>
  <c r="F14521" i="1"/>
  <c r="G14521" i="1"/>
  <c r="H14521" i="1"/>
  <c r="I14521" i="1"/>
  <c r="J14521" i="1"/>
  <c r="K14521" i="1"/>
  <c r="L14521" i="1"/>
  <c r="A14522" i="1"/>
  <c r="B14522" i="1"/>
  <c r="C14522" i="1"/>
  <c r="D14522" i="1"/>
  <c r="E14522" i="1"/>
  <c r="F14522" i="1"/>
  <c r="G14522" i="1"/>
  <c r="H14522" i="1"/>
  <c r="I14522" i="1"/>
  <c r="J14522" i="1"/>
  <c r="K14522" i="1"/>
  <c r="L14522" i="1"/>
  <c r="A14523" i="1"/>
  <c r="B14523" i="1"/>
  <c r="C14523" i="1"/>
  <c r="D14523" i="1"/>
  <c r="E14523" i="1"/>
  <c r="F14523" i="1"/>
  <c r="G14523" i="1"/>
  <c r="H14523" i="1"/>
  <c r="I14523" i="1"/>
  <c r="J14523" i="1"/>
  <c r="K14523" i="1"/>
  <c r="L14523" i="1"/>
  <c r="A14524" i="1"/>
  <c r="B14524" i="1"/>
  <c r="C14524" i="1"/>
  <c r="D14524" i="1"/>
  <c r="E14524" i="1"/>
  <c r="F14524" i="1"/>
  <c r="G14524" i="1"/>
  <c r="H14524" i="1"/>
  <c r="I14524" i="1"/>
  <c r="J14524" i="1"/>
  <c r="K14524" i="1"/>
  <c r="L14524" i="1"/>
  <c r="A14525" i="1"/>
  <c r="B14525" i="1"/>
  <c r="C14525" i="1"/>
  <c r="D14525" i="1"/>
  <c r="E14525" i="1"/>
  <c r="F14525" i="1"/>
  <c r="G14525" i="1"/>
  <c r="H14525" i="1"/>
  <c r="I14525" i="1"/>
  <c r="J14525" i="1"/>
  <c r="K14525" i="1"/>
  <c r="L14525" i="1"/>
  <c r="A14526" i="1"/>
  <c r="B14526" i="1"/>
  <c r="C14526" i="1"/>
  <c r="D14526" i="1"/>
  <c r="E14526" i="1"/>
  <c r="F14526" i="1"/>
  <c r="G14526" i="1"/>
  <c r="H14526" i="1"/>
  <c r="I14526" i="1"/>
  <c r="J14526" i="1"/>
  <c r="K14526" i="1"/>
  <c r="L14526" i="1"/>
  <c r="A14527" i="1"/>
  <c r="B14527" i="1"/>
  <c r="C14527" i="1"/>
  <c r="D14527" i="1"/>
  <c r="E14527" i="1"/>
  <c r="F14527" i="1"/>
  <c r="G14527" i="1"/>
  <c r="H14527" i="1"/>
  <c r="I14527" i="1"/>
  <c r="J14527" i="1"/>
  <c r="K14527" i="1"/>
  <c r="L14527" i="1"/>
  <c r="A14528" i="1"/>
  <c r="B14528" i="1"/>
  <c r="C14528" i="1"/>
  <c r="D14528" i="1"/>
  <c r="E14528" i="1"/>
  <c r="F14528" i="1"/>
  <c r="G14528" i="1"/>
  <c r="H14528" i="1"/>
  <c r="I14528" i="1"/>
  <c r="J14528" i="1"/>
  <c r="K14528" i="1"/>
  <c r="L14528" i="1"/>
  <c r="A14529" i="1"/>
  <c r="B14529" i="1"/>
  <c r="C14529" i="1"/>
  <c r="D14529" i="1"/>
  <c r="E14529" i="1"/>
  <c r="F14529" i="1"/>
  <c r="G14529" i="1"/>
  <c r="H14529" i="1"/>
  <c r="I14529" i="1"/>
  <c r="J14529" i="1"/>
  <c r="K14529" i="1"/>
  <c r="L14529" i="1"/>
  <c r="A14530" i="1"/>
  <c r="B14530" i="1"/>
  <c r="C14530" i="1"/>
  <c r="D14530" i="1"/>
  <c r="E14530" i="1"/>
  <c r="F14530" i="1"/>
  <c r="G14530" i="1"/>
  <c r="H14530" i="1"/>
  <c r="I14530" i="1"/>
  <c r="J14530" i="1"/>
  <c r="K14530" i="1"/>
  <c r="L14530" i="1"/>
  <c r="A14531" i="1"/>
  <c r="B14531" i="1"/>
  <c r="C14531" i="1"/>
  <c r="D14531" i="1"/>
  <c r="E14531" i="1"/>
  <c r="F14531" i="1"/>
  <c r="G14531" i="1"/>
  <c r="H14531" i="1"/>
  <c r="I14531" i="1"/>
  <c r="J14531" i="1"/>
  <c r="K14531" i="1"/>
  <c r="L14531" i="1"/>
  <c r="A14532" i="1"/>
  <c r="B14532" i="1"/>
  <c r="C14532" i="1"/>
  <c r="D14532" i="1"/>
  <c r="E14532" i="1"/>
  <c r="F14532" i="1"/>
  <c r="G14532" i="1"/>
  <c r="H14532" i="1"/>
  <c r="I14532" i="1"/>
  <c r="J14532" i="1"/>
  <c r="K14532" i="1"/>
  <c r="L14532" i="1"/>
  <c r="A14533" i="1"/>
  <c r="B14533" i="1"/>
  <c r="C14533" i="1"/>
  <c r="D14533" i="1"/>
  <c r="E14533" i="1"/>
  <c r="F14533" i="1"/>
  <c r="G14533" i="1"/>
  <c r="H14533" i="1"/>
  <c r="I14533" i="1"/>
  <c r="J14533" i="1"/>
  <c r="K14533" i="1"/>
  <c r="L14533" i="1"/>
  <c r="A14534" i="1"/>
  <c r="B14534" i="1"/>
  <c r="C14534" i="1"/>
  <c r="D14534" i="1"/>
  <c r="E14534" i="1"/>
  <c r="F14534" i="1"/>
  <c r="G14534" i="1"/>
  <c r="H14534" i="1"/>
  <c r="I14534" i="1"/>
  <c r="J14534" i="1"/>
  <c r="K14534" i="1"/>
  <c r="L14534" i="1"/>
  <c r="A14535" i="1"/>
  <c r="B14535" i="1"/>
  <c r="C14535" i="1"/>
  <c r="D14535" i="1"/>
  <c r="E14535" i="1"/>
  <c r="F14535" i="1"/>
  <c r="G14535" i="1"/>
  <c r="H14535" i="1"/>
  <c r="I14535" i="1"/>
  <c r="J14535" i="1"/>
  <c r="K14535" i="1"/>
  <c r="L14535" i="1"/>
  <c r="A14536" i="1"/>
  <c r="B14536" i="1"/>
  <c r="C14536" i="1"/>
  <c r="D14536" i="1"/>
  <c r="E14536" i="1"/>
  <c r="F14536" i="1"/>
  <c r="G14536" i="1"/>
  <c r="H14536" i="1"/>
  <c r="I14536" i="1"/>
  <c r="J14536" i="1"/>
  <c r="K14536" i="1"/>
  <c r="L14536" i="1"/>
  <c r="A14537" i="1"/>
  <c r="B14537" i="1"/>
  <c r="C14537" i="1"/>
  <c r="D14537" i="1"/>
  <c r="E14537" i="1"/>
  <c r="F14537" i="1"/>
  <c r="G14537" i="1"/>
  <c r="H14537" i="1"/>
  <c r="I14537" i="1"/>
  <c r="J14537" i="1"/>
  <c r="K14537" i="1"/>
  <c r="L14537" i="1"/>
  <c r="A14538" i="1"/>
  <c r="B14538" i="1"/>
  <c r="C14538" i="1"/>
  <c r="D14538" i="1"/>
  <c r="E14538" i="1"/>
  <c r="F14538" i="1"/>
  <c r="G14538" i="1"/>
  <c r="H14538" i="1"/>
  <c r="I14538" i="1"/>
  <c r="J14538" i="1"/>
  <c r="K14538" i="1"/>
  <c r="L14538" i="1"/>
  <c r="A14539" i="1"/>
  <c r="B14539" i="1"/>
  <c r="C14539" i="1"/>
  <c r="D14539" i="1"/>
  <c r="E14539" i="1"/>
  <c r="F14539" i="1"/>
  <c r="G14539" i="1"/>
  <c r="H14539" i="1"/>
  <c r="I14539" i="1"/>
  <c r="J14539" i="1"/>
  <c r="K14539" i="1"/>
  <c r="L14539" i="1"/>
  <c r="A14540" i="1"/>
  <c r="B14540" i="1"/>
  <c r="C14540" i="1"/>
  <c r="D14540" i="1"/>
  <c r="E14540" i="1"/>
  <c r="F14540" i="1"/>
  <c r="G14540" i="1"/>
  <c r="H14540" i="1"/>
  <c r="I14540" i="1"/>
  <c r="J14540" i="1"/>
  <c r="K14540" i="1"/>
  <c r="L14540" i="1"/>
  <c r="A14541" i="1"/>
  <c r="B14541" i="1"/>
  <c r="C14541" i="1"/>
  <c r="D14541" i="1"/>
  <c r="E14541" i="1"/>
  <c r="F14541" i="1"/>
  <c r="G14541" i="1"/>
  <c r="H14541" i="1"/>
  <c r="I14541" i="1"/>
  <c r="J14541" i="1"/>
  <c r="K14541" i="1"/>
  <c r="L14541" i="1"/>
  <c r="A14542" i="1"/>
  <c r="B14542" i="1"/>
  <c r="C14542" i="1"/>
  <c r="D14542" i="1"/>
  <c r="E14542" i="1"/>
  <c r="F14542" i="1"/>
  <c r="G14542" i="1"/>
  <c r="H14542" i="1"/>
  <c r="I14542" i="1"/>
  <c r="J14542" i="1"/>
  <c r="K14542" i="1"/>
  <c r="L14542" i="1"/>
  <c r="A14543" i="1"/>
  <c r="B14543" i="1"/>
  <c r="C14543" i="1"/>
  <c r="D14543" i="1"/>
  <c r="E14543" i="1"/>
  <c r="F14543" i="1"/>
  <c r="G14543" i="1"/>
  <c r="H14543" i="1"/>
  <c r="I14543" i="1"/>
  <c r="J14543" i="1"/>
  <c r="K14543" i="1"/>
  <c r="L14543" i="1"/>
  <c r="A14544" i="1"/>
  <c r="B14544" i="1"/>
  <c r="C14544" i="1"/>
  <c r="D14544" i="1"/>
  <c r="E14544" i="1"/>
  <c r="F14544" i="1"/>
  <c r="G14544" i="1"/>
  <c r="H14544" i="1"/>
  <c r="I14544" i="1"/>
  <c r="J14544" i="1"/>
  <c r="K14544" i="1"/>
  <c r="L14544" i="1"/>
  <c r="A14545" i="1"/>
  <c r="B14545" i="1"/>
  <c r="C14545" i="1"/>
  <c r="D14545" i="1"/>
  <c r="E14545" i="1"/>
  <c r="F14545" i="1"/>
  <c r="G14545" i="1"/>
  <c r="H14545" i="1"/>
  <c r="I14545" i="1"/>
  <c r="J14545" i="1"/>
  <c r="K14545" i="1"/>
  <c r="L14545" i="1"/>
  <c r="A14546" i="1"/>
  <c r="B14546" i="1"/>
  <c r="C14546" i="1"/>
  <c r="D14546" i="1"/>
  <c r="E14546" i="1"/>
  <c r="F14546" i="1"/>
  <c r="G14546" i="1"/>
  <c r="H14546" i="1"/>
  <c r="I14546" i="1"/>
  <c r="J14546" i="1"/>
  <c r="K14546" i="1"/>
  <c r="L14546" i="1"/>
  <c r="A14547" i="1"/>
  <c r="B14547" i="1"/>
  <c r="C14547" i="1"/>
  <c r="D14547" i="1"/>
  <c r="E14547" i="1"/>
  <c r="F14547" i="1"/>
  <c r="G14547" i="1"/>
  <c r="H14547" i="1"/>
  <c r="I14547" i="1"/>
  <c r="J14547" i="1"/>
  <c r="K14547" i="1"/>
  <c r="L14547" i="1"/>
  <c r="A14548" i="1"/>
  <c r="B14548" i="1"/>
  <c r="C14548" i="1"/>
  <c r="D14548" i="1"/>
  <c r="E14548" i="1"/>
  <c r="F14548" i="1"/>
  <c r="G14548" i="1"/>
  <c r="H14548" i="1"/>
  <c r="I14548" i="1"/>
  <c r="J14548" i="1"/>
  <c r="K14548" i="1"/>
  <c r="L14548" i="1"/>
  <c r="A14549" i="1"/>
  <c r="B14549" i="1"/>
  <c r="C14549" i="1"/>
  <c r="D14549" i="1"/>
  <c r="E14549" i="1"/>
  <c r="F14549" i="1"/>
  <c r="G14549" i="1"/>
  <c r="H14549" i="1"/>
  <c r="I14549" i="1"/>
  <c r="J14549" i="1"/>
  <c r="K14549" i="1"/>
  <c r="L14549" i="1"/>
  <c r="A14550" i="1"/>
  <c r="B14550" i="1"/>
  <c r="C14550" i="1"/>
  <c r="D14550" i="1"/>
  <c r="E14550" i="1"/>
  <c r="F14550" i="1"/>
  <c r="G14550" i="1"/>
  <c r="H14550" i="1"/>
  <c r="I14550" i="1"/>
  <c r="J14550" i="1"/>
  <c r="K14550" i="1"/>
  <c r="L14550" i="1"/>
  <c r="A14551" i="1"/>
  <c r="B14551" i="1"/>
  <c r="C14551" i="1"/>
  <c r="D14551" i="1"/>
  <c r="E14551" i="1"/>
  <c r="F14551" i="1"/>
  <c r="G14551" i="1"/>
  <c r="H14551" i="1"/>
  <c r="I14551" i="1"/>
  <c r="J14551" i="1"/>
  <c r="K14551" i="1"/>
  <c r="L14551" i="1"/>
  <c r="A14552" i="1"/>
  <c r="B14552" i="1"/>
  <c r="C14552" i="1"/>
  <c r="D14552" i="1"/>
  <c r="E14552" i="1"/>
  <c r="F14552" i="1"/>
  <c r="G14552" i="1"/>
  <c r="H14552" i="1"/>
  <c r="I14552" i="1"/>
  <c r="J14552" i="1"/>
  <c r="K14552" i="1"/>
  <c r="L14552" i="1"/>
  <c r="A14553" i="1"/>
  <c r="B14553" i="1"/>
  <c r="C14553" i="1"/>
  <c r="D14553" i="1"/>
  <c r="E14553" i="1"/>
  <c r="F14553" i="1"/>
  <c r="G14553" i="1"/>
  <c r="H14553" i="1"/>
  <c r="I14553" i="1"/>
  <c r="J14553" i="1"/>
  <c r="K14553" i="1"/>
  <c r="L14553" i="1"/>
  <c r="A14554" i="1"/>
  <c r="B14554" i="1"/>
  <c r="C14554" i="1"/>
  <c r="D14554" i="1"/>
  <c r="E14554" i="1"/>
  <c r="F14554" i="1"/>
  <c r="G14554" i="1"/>
  <c r="H14554" i="1"/>
  <c r="I14554" i="1"/>
  <c r="J14554" i="1"/>
  <c r="K14554" i="1"/>
  <c r="L14554" i="1"/>
  <c r="A14555" i="1"/>
  <c r="B14555" i="1"/>
  <c r="C14555" i="1"/>
  <c r="D14555" i="1"/>
  <c r="E14555" i="1"/>
  <c r="F14555" i="1"/>
  <c r="G14555" i="1"/>
  <c r="H14555" i="1"/>
  <c r="I14555" i="1"/>
  <c r="J14555" i="1"/>
  <c r="K14555" i="1"/>
  <c r="L14555" i="1"/>
  <c r="A14556" i="1"/>
  <c r="B14556" i="1"/>
  <c r="C14556" i="1"/>
  <c r="D14556" i="1"/>
  <c r="E14556" i="1"/>
  <c r="F14556" i="1"/>
  <c r="G14556" i="1"/>
  <c r="H14556" i="1"/>
  <c r="I14556" i="1"/>
  <c r="J14556" i="1"/>
  <c r="K14556" i="1"/>
  <c r="L14556" i="1"/>
  <c r="A14557" i="1"/>
  <c r="B14557" i="1"/>
  <c r="C14557" i="1"/>
  <c r="D14557" i="1"/>
  <c r="E14557" i="1"/>
  <c r="F14557" i="1"/>
  <c r="G14557" i="1"/>
  <c r="H14557" i="1"/>
  <c r="I14557" i="1"/>
  <c r="J14557" i="1"/>
  <c r="K14557" i="1"/>
  <c r="L14557" i="1"/>
  <c r="A14558" i="1"/>
  <c r="B14558" i="1"/>
  <c r="C14558" i="1"/>
  <c r="D14558" i="1"/>
  <c r="E14558" i="1"/>
  <c r="F14558" i="1"/>
  <c r="G14558" i="1"/>
  <c r="H14558" i="1"/>
  <c r="I14558" i="1"/>
  <c r="J14558" i="1"/>
  <c r="K14558" i="1"/>
  <c r="L14558" i="1"/>
  <c r="A14559" i="1"/>
  <c r="B14559" i="1"/>
  <c r="C14559" i="1"/>
  <c r="D14559" i="1"/>
  <c r="E14559" i="1"/>
  <c r="F14559" i="1"/>
  <c r="G14559" i="1"/>
  <c r="H14559" i="1"/>
  <c r="I14559" i="1"/>
  <c r="J14559" i="1"/>
  <c r="K14559" i="1"/>
  <c r="L14559" i="1"/>
  <c r="A14560" i="1"/>
  <c r="B14560" i="1"/>
  <c r="C14560" i="1"/>
  <c r="D14560" i="1"/>
  <c r="E14560" i="1"/>
  <c r="F14560" i="1"/>
  <c r="G14560" i="1"/>
  <c r="H14560" i="1"/>
  <c r="I14560" i="1"/>
  <c r="J14560" i="1"/>
  <c r="K14560" i="1"/>
  <c r="L14560" i="1"/>
  <c r="A14561" i="1"/>
  <c r="B14561" i="1"/>
  <c r="C14561" i="1"/>
  <c r="D14561" i="1"/>
  <c r="E14561" i="1"/>
  <c r="F14561" i="1"/>
  <c r="G14561" i="1"/>
  <c r="H14561" i="1"/>
  <c r="I14561" i="1"/>
  <c r="J14561" i="1"/>
  <c r="K14561" i="1"/>
  <c r="L14561" i="1"/>
  <c r="A14562" i="1"/>
  <c r="B14562" i="1"/>
  <c r="C14562" i="1"/>
  <c r="D14562" i="1"/>
  <c r="E14562" i="1"/>
  <c r="F14562" i="1"/>
  <c r="G14562" i="1"/>
  <c r="H14562" i="1"/>
  <c r="I14562" i="1"/>
  <c r="J14562" i="1"/>
  <c r="K14562" i="1"/>
  <c r="L14562" i="1"/>
  <c r="A14563" i="1"/>
  <c r="B14563" i="1"/>
  <c r="C14563" i="1"/>
  <c r="D14563" i="1"/>
  <c r="E14563" i="1"/>
  <c r="F14563" i="1"/>
  <c r="G14563" i="1"/>
  <c r="H14563" i="1"/>
  <c r="I14563" i="1"/>
  <c r="J14563" i="1"/>
  <c r="K14563" i="1"/>
  <c r="L14563" i="1"/>
  <c r="A14564" i="1"/>
  <c r="B14564" i="1"/>
  <c r="C14564" i="1"/>
  <c r="D14564" i="1"/>
  <c r="E14564" i="1"/>
  <c r="F14564" i="1"/>
  <c r="G14564" i="1"/>
  <c r="H14564" i="1"/>
  <c r="I14564" i="1"/>
  <c r="J14564" i="1"/>
  <c r="K14564" i="1"/>
  <c r="L14564" i="1"/>
  <c r="A14565" i="1"/>
  <c r="B14565" i="1"/>
  <c r="C14565" i="1"/>
  <c r="D14565" i="1"/>
  <c r="E14565" i="1"/>
  <c r="F14565" i="1"/>
  <c r="G14565" i="1"/>
  <c r="H14565" i="1"/>
  <c r="I14565" i="1"/>
  <c r="J14565" i="1"/>
  <c r="K14565" i="1"/>
  <c r="L14565" i="1"/>
  <c r="A14566" i="1"/>
  <c r="B14566" i="1"/>
  <c r="C14566" i="1"/>
  <c r="D14566" i="1"/>
  <c r="E14566" i="1"/>
  <c r="F14566" i="1"/>
  <c r="G14566" i="1"/>
  <c r="H14566" i="1"/>
  <c r="I14566" i="1"/>
  <c r="J14566" i="1"/>
  <c r="K14566" i="1"/>
  <c r="L14566" i="1"/>
  <c r="A14567" i="1"/>
  <c r="B14567" i="1"/>
  <c r="C14567" i="1"/>
  <c r="D14567" i="1"/>
  <c r="E14567" i="1"/>
  <c r="F14567" i="1"/>
  <c r="G14567" i="1"/>
  <c r="H14567" i="1"/>
  <c r="I14567" i="1"/>
  <c r="J14567" i="1"/>
  <c r="K14567" i="1"/>
  <c r="L14567" i="1"/>
  <c r="A14568" i="1"/>
  <c r="B14568" i="1"/>
  <c r="C14568" i="1"/>
  <c r="D14568" i="1"/>
  <c r="E14568" i="1"/>
  <c r="F14568" i="1"/>
  <c r="G14568" i="1"/>
  <c r="H14568" i="1"/>
  <c r="I14568" i="1"/>
  <c r="J14568" i="1"/>
  <c r="K14568" i="1"/>
  <c r="L14568" i="1"/>
  <c r="A14569" i="1"/>
  <c r="B14569" i="1"/>
  <c r="C14569" i="1"/>
  <c r="D14569" i="1"/>
  <c r="E14569" i="1"/>
  <c r="F14569" i="1"/>
  <c r="G14569" i="1"/>
  <c r="H14569" i="1"/>
  <c r="I14569" i="1"/>
  <c r="J14569" i="1"/>
  <c r="K14569" i="1"/>
  <c r="L14569" i="1"/>
  <c r="A14570" i="1"/>
  <c r="B14570" i="1"/>
  <c r="C14570" i="1"/>
  <c r="D14570" i="1"/>
  <c r="E14570" i="1"/>
  <c r="F14570" i="1"/>
  <c r="G14570" i="1"/>
  <c r="H14570" i="1"/>
  <c r="I14570" i="1"/>
  <c r="J14570" i="1"/>
  <c r="K14570" i="1"/>
  <c r="L14570" i="1"/>
  <c r="A14571" i="1"/>
  <c r="B14571" i="1"/>
  <c r="C14571" i="1"/>
  <c r="D14571" i="1"/>
  <c r="E14571" i="1"/>
  <c r="F14571" i="1"/>
  <c r="G14571" i="1"/>
  <c r="H14571" i="1"/>
  <c r="I14571" i="1"/>
  <c r="J14571" i="1"/>
  <c r="K14571" i="1"/>
  <c r="L14571" i="1"/>
  <c r="A14572" i="1"/>
  <c r="B14572" i="1"/>
  <c r="C14572" i="1"/>
  <c r="D14572" i="1"/>
  <c r="E14572" i="1"/>
  <c r="F14572" i="1"/>
  <c r="G14572" i="1"/>
  <c r="H14572" i="1"/>
  <c r="I14572" i="1"/>
  <c r="J14572" i="1"/>
  <c r="K14572" i="1"/>
  <c r="L14572" i="1"/>
  <c r="A14573" i="1"/>
  <c r="B14573" i="1"/>
  <c r="C14573" i="1"/>
  <c r="D14573" i="1"/>
  <c r="E14573" i="1"/>
  <c r="F14573" i="1"/>
  <c r="G14573" i="1"/>
  <c r="H14573" i="1"/>
  <c r="I14573" i="1"/>
  <c r="J14573" i="1"/>
  <c r="K14573" i="1"/>
  <c r="L14573" i="1"/>
  <c r="A14574" i="1"/>
  <c r="B14574" i="1"/>
  <c r="C14574" i="1"/>
  <c r="D14574" i="1"/>
  <c r="E14574" i="1"/>
  <c r="F14574" i="1"/>
  <c r="G14574" i="1"/>
  <c r="H14574" i="1"/>
  <c r="I14574" i="1"/>
  <c r="J14574" i="1"/>
  <c r="K14574" i="1"/>
  <c r="L14574" i="1"/>
  <c r="A14575" i="1"/>
  <c r="B14575" i="1"/>
  <c r="C14575" i="1"/>
  <c r="D14575" i="1"/>
  <c r="E14575" i="1"/>
  <c r="F14575" i="1"/>
  <c r="G14575" i="1"/>
  <c r="H14575" i="1"/>
  <c r="I14575" i="1"/>
  <c r="J14575" i="1"/>
  <c r="K14575" i="1"/>
  <c r="L14575" i="1"/>
  <c r="A14576" i="1"/>
  <c r="B14576" i="1"/>
  <c r="C14576" i="1"/>
  <c r="D14576" i="1"/>
  <c r="E14576" i="1"/>
  <c r="F14576" i="1"/>
  <c r="G14576" i="1"/>
  <c r="H14576" i="1"/>
  <c r="I14576" i="1"/>
  <c r="J14576" i="1"/>
  <c r="K14576" i="1"/>
  <c r="L14576" i="1"/>
  <c r="A14577" i="1"/>
  <c r="B14577" i="1"/>
  <c r="C14577" i="1"/>
  <c r="D14577" i="1"/>
  <c r="E14577" i="1"/>
  <c r="F14577" i="1"/>
  <c r="G14577" i="1"/>
  <c r="H14577" i="1"/>
  <c r="I14577" i="1"/>
  <c r="J14577" i="1"/>
  <c r="K14577" i="1"/>
  <c r="L14577" i="1"/>
  <c r="A14578" i="1"/>
  <c r="B14578" i="1"/>
  <c r="C14578" i="1"/>
  <c r="D14578" i="1"/>
  <c r="E14578" i="1"/>
  <c r="F14578" i="1"/>
  <c r="G14578" i="1"/>
  <c r="H14578" i="1"/>
  <c r="I14578" i="1"/>
  <c r="J14578" i="1"/>
  <c r="K14578" i="1"/>
  <c r="L14578" i="1"/>
  <c r="A14579" i="1"/>
  <c r="B14579" i="1"/>
  <c r="C14579" i="1"/>
  <c r="D14579" i="1"/>
  <c r="E14579" i="1"/>
  <c r="F14579" i="1"/>
  <c r="G14579" i="1"/>
  <c r="H14579" i="1"/>
  <c r="I14579" i="1"/>
  <c r="J14579" i="1"/>
  <c r="K14579" i="1"/>
  <c r="L14579" i="1"/>
  <c r="A14580" i="1"/>
  <c r="B14580" i="1"/>
  <c r="C14580" i="1"/>
  <c r="D14580" i="1"/>
  <c r="E14580" i="1"/>
  <c r="F14580" i="1"/>
  <c r="G14580" i="1"/>
  <c r="H14580" i="1"/>
  <c r="I14580" i="1"/>
  <c r="J14580" i="1"/>
  <c r="K14580" i="1"/>
  <c r="L14580" i="1"/>
  <c r="A14581" i="1"/>
  <c r="B14581" i="1"/>
  <c r="C14581" i="1"/>
  <c r="D14581" i="1"/>
  <c r="E14581" i="1"/>
  <c r="F14581" i="1"/>
  <c r="G14581" i="1"/>
  <c r="H14581" i="1"/>
  <c r="I14581" i="1"/>
  <c r="J14581" i="1"/>
  <c r="K14581" i="1"/>
  <c r="L14581" i="1"/>
  <c r="A14582" i="1"/>
  <c r="B14582" i="1"/>
  <c r="C14582" i="1"/>
  <c r="D14582" i="1"/>
  <c r="E14582" i="1"/>
  <c r="F14582" i="1"/>
  <c r="G14582" i="1"/>
  <c r="H14582" i="1"/>
  <c r="I14582" i="1"/>
  <c r="J14582" i="1"/>
  <c r="K14582" i="1"/>
  <c r="L14582" i="1"/>
  <c r="A14583" i="1"/>
  <c r="B14583" i="1"/>
  <c r="C14583" i="1"/>
  <c r="D14583" i="1"/>
  <c r="E14583" i="1"/>
  <c r="F14583" i="1"/>
  <c r="G14583" i="1"/>
  <c r="H14583" i="1"/>
  <c r="I14583" i="1"/>
  <c r="J14583" i="1"/>
  <c r="K14583" i="1"/>
  <c r="L14583" i="1"/>
  <c r="A14584" i="1"/>
  <c r="B14584" i="1"/>
  <c r="C14584" i="1"/>
  <c r="D14584" i="1"/>
  <c r="E14584" i="1"/>
  <c r="F14584" i="1"/>
  <c r="G14584" i="1"/>
  <c r="H14584" i="1"/>
  <c r="I14584" i="1"/>
  <c r="J14584" i="1"/>
  <c r="K14584" i="1"/>
  <c r="L14584" i="1"/>
  <c r="A14585" i="1"/>
  <c r="B14585" i="1"/>
  <c r="C14585" i="1"/>
  <c r="D14585" i="1"/>
  <c r="E14585" i="1"/>
  <c r="F14585" i="1"/>
  <c r="G14585" i="1"/>
  <c r="H14585" i="1"/>
  <c r="I14585" i="1"/>
  <c r="J14585" i="1"/>
  <c r="K14585" i="1"/>
  <c r="L14585" i="1"/>
  <c r="A14586" i="1"/>
  <c r="B14586" i="1"/>
  <c r="C14586" i="1"/>
  <c r="D14586" i="1"/>
  <c r="E14586" i="1"/>
  <c r="F14586" i="1"/>
  <c r="G14586" i="1"/>
  <c r="H14586" i="1"/>
  <c r="I14586" i="1"/>
  <c r="J14586" i="1"/>
  <c r="K14586" i="1"/>
  <c r="L14586" i="1"/>
  <c r="A14587" i="1"/>
  <c r="B14587" i="1"/>
  <c r="C14587" i="1"/>
  <c r="D14587" i="1"/>
  <c r="E14587" i="1"/>
  <c r="F14587" i="1"/>
  <c r="G14587" i="1"/>
  <c r="H14587" i="1"/>
  <c r="I14587" i="1"/>
  <c r="J14587" i="1"/>
  <c r="K14587" i="1"/>
  <c r="L14587" i="1"/>
  <c r="A14588" i="1"/>
  <c r="B14588" i="1"/>
  <c r="C14588" i="1"/>
  <c r="D14588" i="1"/>
  <c r="E14588" i="1"/>
  <c r="F14588" i="1"/>
  <c r="G14588" i="1"/>
  <c r="H14588" i="1"/>
  <c r="I14588" i="1"/>
  <c r="J14588" i="1"/>
  <c r="K14588" i="1"/>
  <c r="L14588" i="1"/>
  <c r="A14589" i="1"/>
  <c r="B14589" i="1"/>
  <c r="C14589" i="1"/>
  <c r="D14589" i="1"/>
  <c r="E14589" i="1"/>
  <c r="F14589" i="1"/>
  <c r="G14589" i="1"/>
  <c r="H14589" i="1"/>
  <c r="I14589" i="1"/>
  <c r="J14589" i="1"/>
  <c r="K14589" i="1"/>
  <c r="L14589" i="1"/>
  <c r="A14590" i="1"/>
  <c r="B14590" i="1"/>
  <c r="C14590" i="1"/>
  <c r="D14590" i="1"/>
  <c r="E14590" i="1"/>
  <c r="F14590" i="1"/>
  <c r="G14590" i="1"/>
  <c r="H14590" i="1"/>
  <c r="I14590" i="1"/>
  <c r="J14590" i="1"/>
  <c r="K14590" i="1"/>
  <c r="L14590" i="1"/>
  <c r="A14591" i="1"/>
  <c r="B14591" i="1"/>
  <c r="C14591" i="1"/>
  <c r="D14591" i="1"/>
  <c r="E14591" i="1"/>
  <c r="F14591" i="1"/>
  <c r="G14591" i="1"/>
  <c r="H14591" i="1"/>
  <c r="I14591" i="1"/>
  <c r="J14591" i="1"/>
  <c r="K14591" i="1"/>
  <c r="L14591" i="1"/>
  <c r="A14592" i="1"/>
  <c r="B14592" i="1"/>
  <c r="C14592" i="1"/>
  <c r="D14592" i="1"/>
  <c r="E14592" i="1"/>
  <c r="F14592" i="1"/>
  <c r="G14592" i="1"/>
  <c r="H14592" i="1"/>
  <c r="I14592" i="1"/>
  <c r="J14592" i="1"/>
  <c r="K14592" i="1"/>
  <c r="L14592" i="1"/>
  <c r="A14593" i="1"/>
  <c r="B14593" i="1"/>
  <c r="C14593" i="1"/>
  <c r="D14593" i="1"/>
  <c r="E14593" i="1"/>
  <c r="F14593" i="1"/>
  <c r="G14593" i="1"/>
  <c r="H14593" i="1"/>
  <c r="I14593" i="1"/>
  <c r="J14593" i="1"/>
  <c r="K14593" i="1"/>
  <c r="L14593" i="1"/>
  <c r="A14594" i="1"/>
  <c r="B14594" i="1"/>
  <c r="C14594" i="1"/>
  <c r="D14594" i="1"/>
  <c r="E14594" i="1"/>
  <c r="F14594" i="1"/>
  <c r="G14594" i="1"/>
  <c r="H14594" i="1"/>
  <c r="I14594" i="1"/>
  <c r="J14594" i="1"/>
  <c r="K14594" i="1"/>
  <c r="L14594" i="1"/>
  <c r="A14595" i="1"/>
  <c r="B14595" i="1"/>
  <c r="C14595" i="1"/>
  <c r="D14595" i="1"/>
  <c r="E14595" i="1"/>
  <c r="F14595" i="1"/>
  <c r="G14595" i="1"/>
  <c r="H14595" i="1"/>
  <c r="I14595" i="1"/>
  <c r="J14595" i="1"/>
  <c r="K14595" i="1"/>
  <c r="L14595" i="1"/>
  <c r="A14596" i="1"/>
  <c r="B14596" i="1"/>
  <c r="C14596" i="1"/>
  <c r="D14596" i="1"/>
  <c r="E14596" i="1"/>
  <c r="F14596" i="1"/>
  <c r="G14596" i="1"/>
  <c r="H14596" i="1"/>
  <c r="I14596" i="1"/>
  <c r="J14596" i="1"/>
  <c r="K14596" i="1"/>
  <c r="L14596" i="1"/>
  <c r="A14597" i="1"/>
  <c r="B14597" i="1"/>
  <c r="C14597" i="1"/>
  <c r="D14597" i="1"/>
  <c r="E14597" i="1"/>
  <c r="F14597" i="1"/>
  <c r="G14597" i="1"/>
  <c r="H14597" i="1"/>
  <c r="I14597" i="1"/>
  <c r="J14597" i="1"/>
  <c r="K14597" i="1"/>
  <c r="L14597" i="1"/>
  <c r="A14598" i="1"/>
  <c r="B14598" i="1"/>
  <c r="C14598" i="1"/>
  <c r="D14598" i="1"/>
  <c r="E14598" i="1"/>
  <c r="F14598" i="1"/>
  <c r="G14598" i="1"/>
  <c r="H14598" i="1"/>
  <c r="I14598" i="1"/>
  <c r="J14598" i="1"/>
  <c r="K14598" i="1"/>
  <c r="L14598" i="1"/>
  <c r="A14599" i="1"/>
  <c r="B14599" i="1"/>
  <c r="C14599" i="1"/>
  <c r="D14599" i="1"/>
  <c r="E14599" i="1"/>
  <c r="F14599" i="1"/>
  <c r="G14599" i="1"/>
  <c r="H14599" i="1"/>
  <c r="I14599" i="1"/>
  <c r="J14599" i="1"/>
  <c r="K14599" i="1"/>
  <c r="L14599" i="1"/>
  <c r="A14600" i="1"/>
  <c r="B14600" i="1"/>
  <c r="C14600" i="1"/>
  <c r="D14600" i="1"/>
  <c r="E14600" i="1"/>
  <c r="F14600" i="1"/>
  <c r="G14600" i="1"/>
  <c r="H14600" i="1"/>
  <c r="I14600" i="1"/>
  <c r="J14600" i="1"/>
  <c r="K14600" i="1"/>
  <c r="L14600" i="1"/>
  <c r="A14601" i="1"/>
  <c r="B14601" i="1"/>
  <c r="C14601" i="1"/>
  <c r="D14601" i="1"/>
  <c r="E14601" i="1"/>
  <c r="F14601" i="1"/>
  <c r="G14601" i="1"/>
  <c r="H14601" i="1"/>
  <c r="I14601" i="1"/>
  <c r="J14601" i="1"/>
  <c r="K14601" i="1"/>
  <c r="L14601" i="1"/>
  <c r="A14602" i="1"/>
  <c r="B14602" i="1"/>
  <c r="C14602" i="1"/>
  <c r="D14602" i="1"/>
  <c r="E14602" i="1"/>
  <c r="F14602" i="1"/>
  <c r="G14602" i="1"/>
  <c r="H14602" i="1"/>
  <c r="I14602" i="1"/>
  <c r="J14602" i="1"/>
  <c r="K14602" i="1"/>
  <c r="L14602" i="1"/>
  <c r="A14603" i="1"/>
  <c r="B14603" i="1"/>
  <c r="C14603" i="1"/>
  <c r="D14603" i="1"/>
  <c r="E14603" i="1"/>
  <c r="F14603" i="1"/>
  <c r="G14603" i="1"/>
  <c r="H14603" i="1"/>
  <c r="I14603" i="1"/>
  <c r="J14603" i="1"/>
  <c r="K14603" i="1"/>
  <c r="L14603" i="1"/>
  <c r="A14604" i="1"/>
  <c r="B14604" i="1"/>
  <c r="C14604" i="1"/>
  <c r="D14604" i="1"/>
  <c r="E14604" i="1"/>
  <c r="F14604" i="1"/>
  <c r="G14604" i="1"/>
  <c r="H14604" i="1"/>
  <c r="I14604" i="1"/>
  <c r="J14604" i="1"/>
  <c r="K14604" i="1"/>
  <c r="L14604" i="1"/>
  <c r="A14605" i="1"/>
  <c r="B14605" i="1"/>
  <c r="C14605" i="1"/>
  <c r="D14605" i="1"/>
  <c r="E14605" i="1"/>
  <c r="F14605" i="1"/>
  <c r="G14605" i="1"/>
  <c r="H14605" i="1"/>
  <c r="I14605" i="1"/>
  <c r="J14605" i="1"/>
  <c r="K14605" i="1"/>
  <c r="L14605" i="1"/>
  <c r="A14606" i="1"/>
  <c r="B14606" i="1"/>
  <c r="C14606" i="1"/>
  <c r="D14606" i="1"/>
  <c r="E14606" i="1"/>
  <c r="F14606" i="1"/>
  <c r="G14606" i="1"/>
  <c r="H14606" i="1"/>
  <c r="I14606" i="1"/>
  <c r="J14606" i="1"/>
  <c r="K14606" i="1"/>
  <c r="L14606" i="1"/>
  <c r="A14607" i="1"/>
  <c r="B14607" i="1"/>
  <c r="C14607" i="1"/>
  <c r="D14607" i="1"/>
  <c r="E14607" i="1"/>
  <c r="F14607" i="1"/>
  <c r="G14607" i="1"/>
  <c r="H14607" i="1"/>
  <c r="I14607" i="1"/>
  <c r="J14607" i="1"/>
  <c r="K14607" i="1"/>
  <c r="L14607" i="1"/>
  <c r="A14608" i="1"/>
  <c r="B14608" i="1"/>
  <c r="C14608" i="1"/>
  <c r="D14608" i="1"/>
  <c r="E14608" i="1"/>
  <c r="F14608" i="1"/>
  <c r="G14608" i="1"/>
  <c r="H14608" i="1"/>
  <c r="I14608" i="1"/>
  <c r="J14608" i="1"/>
  <c r="K14608" i="1"/>
  <c r="L14608" i="1"/>
  <c r="A14609" i="1"/>
  <c r="B14609" i="1"/>
  <c r="C14609" i="1"/>
  <c r="D14609" i="1"/>
  <c r="E14609" i="1"/>
  <c r="F14609" i="1"/>
  <c r="G14609" i="1"/>
  <c r="H14609" i="1"/>
  <c r="I14609" i="1"/>
  <c r="J14609" i="1"/>
  <c r="K14609" i="1"/>
  <c r="L14609" i="1"/>
  <c r="A14610" i="1"/>
  <c r="B14610" i="1"/>
  <c r="C14610" i="1"/>
  <c r="D14610" i="1"/>
  <c r="E14610" i="1"/>
  <c r="F14610" i="1"/>
  <c r="G14610" i="1"/>
  <c r="H14610" i="1"/>
  <c r="I14610" i="1"/>
  <c r="J14610" i="1"/>
  <c r="K14610" i="1"/>
  <c r="L14610" i="1"/>
  <c r="A14611" i="1"/>
  <c r="B14611" i="1"/>
  <c r="C14611" i="1"/>
  <c r="D14611" i="1"/>
  <c r="E14611" i="1"/>
  <c r="F14611" i="1"/>
  <c r="G14611" i="1"/>
  <c r="H14611" i="1"/>
  <c r="I14611" i="1"/>
  <c r="J14611" i="1"/>
  <c r="K14611" i="1"/>
  <c r="L14611" i="1"/>
  <c r="A14612" i="1"/>
  <c r="B14612" i="1"/>
  <c r="C14612" i="1"/>
  <c r="D14612" i="1"/>
  <c r="E14612" i="1"/>
  <c r="F14612" i="1"/>
  <c r="G14612" i="1"/>
  <c r="H14612" i="1"/>
  <c r="I14612" i="1"/>
  <c r="J14612" i="1"/>
  <c r="K14612" i="1"/>
  <c r="L14612" i="1"/>
  <c r="A14613" i="1"/>
  <c r="B14613" i="1"/>
  <c r="C14613" i="1"/>
  <c r="D14613" i="1"/>
  <c r="E14613" i="1"/>
  <c r="F14613" i="1"/>
  <c r="G14613" i="1"/>
  <c r="H14613" i="1"/>
  <c r="I14613" i="1"/>
  <c r="J14613" i="1"/>
  <c r="K14613" i="1"/>
  <c r="L14613" i="1"/>
  <c r="A14614" i="1"/>
  <c r="B14614" i="1"/>
  <c r="C14614" i="1"/>
  <c r="D14614" i="1"/>
  <c r="E14614" i="1"/>
  <c r="F14614" i="1"/>
  <c r="G14614" i="1"/>
  <c r="H14614" i="1"/>
  <c r="I14614" i="1"/>
  <c r="J14614" i="1"/>
  <c r="K14614" i="1"/>
  <c r="L14614" i="1"/>
  <c r="A14615" i="1"/>
  <c r="B14615" i="1"/>
  <c r="C14615" i="1"/>
  <c r="D14615" i="1"/>
  <c r="E14615" i="1"/>
  <c r="F14615" i="1"/>
  <c r="G14615" i="1"/>
  <c r="H14615" i="1"/>
  <c r="I14615" i="1"/>
  <c r="J14615" i="1"/>
  <c r="K14615" i="1"/>
  <c r="L14615" i="1"/>
  <c r="A14616" i="1"/>
  <c r="B14616" i="1"/>
  <c r="C14616" i="1"/>
  <c r="D14616" i="1"/>
  <c r="E14616" i="1"/>
  <c r="F14616" i="1"/>
  <c r="G14616" i="1"/>
  <c r="H14616" i="1"/>
  <c r="I14616" i="1"/>
  <c r="J14616" i="1"/>
  <c r="K14616" i="1"/>
  <c r="L14616" i="1"/>
  <c r="A14617" i="1"/>
  <c r="B14617" i="1"/>
  <c r="C14617" i="1"/>
  <c r="D14617" i="1"/>
  <c r="E14617" i="1"/>
  <c r="F14617" i="1"/>
  <c r="G14617" i="1"/>
  <c r="H14617" i="1"/>
  <c r="I14617" i="1"/>
  <c r="J14617" i="1"/>
  <c r="K14617" i="1"/>
  <c r="L14617" i="1"/>
  <c r="A14618" i="1"/>
  <c r="B14618" i="1"/>
  <c r="C14618" i="1"/>
  <c r="D14618" i="1"/>
  <c r="E14618" i="1"/>
  <c r="F14618" i="1"/>
  <c r="G14618" i="1"/>
  <c r="H14618" i="1"/>
  <c r="I14618" i="1"/>
  <c r="J14618" i="1"/>
  <c r="K14618" i="1"/>
  <c r="L14618" i="1"/>
  <c r="A14619" i="1"/>
  <c r="B14619" i="1"/>
  <c r="C14619" i="1"/>
  <c r="D14619" i="1"/>
  <c r="E14619" i="1"/>
  <c r="F14619" i="1"/>
  <c r="G14619" i="1"/>
  <c r="H14619" i="1"/>
  <c r="I14619" i="1"/>
  <c r="J14619" i="1"/>
  <c r="K14619" i="1"/>
  <c r="L14619" i="1"/>
  <c r="A14620" i="1"/>
  <c r="B14620" i="1"/>
  <c r="C14620" i="1"/>
  <c r="D14620" i="1"/>
  <c r="E14620" i="1"/>
  <c r="F14620" i="1"/>
  <c r="G14620" i="1"/>
  <c r="H14620" i="1"/>
  <c r="I14620" i="1"/>
  <c r="J14620" i="1"/>
  <c r="K14620" i="1"/>
  <c r="L14620" i="1"/>
  <c r="A14621" i="1"/>
  <c r="B14621" i="1"/>
  <c r="C14621" i="1"/>
  <c r="D14621" i="1"/>
  <c r="E14621" i="1"/>
  <c r="F14621" i="1"/>
  <c r="G14621" i="1"/>
  <c r="H14621" i="1"/>
  <c r="I14621" i="1"/>
  <c r="J14621" i="1"/>
  <c r="K14621" i="1"/>
  <c r="L14621" i="1"/>
  <c r="A14622" i="1"/>
  <c r="B14622" i="1"/>
  <c r="C14622" i="1"/>
  <c r="D14622" i="1"/>
  <c r="E14622" i="1"/>
  <c r="F14622" i="1"/>
  <c r="G14622" i="1"/>
  <c r="H14622" i="1"/>
  <c r="I14622" i="1"/>
  <c r="J14622" i="1"/>
  <c r="K14622" i="1"/>
  <c r="L14622" i="1"/>
  <c r="A14623" i="1"/>
  <c r="B14623" i="1"/>
  <c r="C14623" i="1"/>
  <c r="D14623" i="1"/>
  <c r="E14623" i="1"/>
  <c r="F14623" i="1"/>
  <c r="G14623" i="1"/>
  <c r="H14623" i="1"/>
  <c r="I14623" i="1"/>
  <c r="J14623" i="1"/>
  <c r="K14623" i="1"/>
  <c r="L14623" i="1"/>
  <c r="A14624" i="1"/>
  <c r="B14624" i="1"/>
  <c r="C14624" i="1"/>
  <c r="D14624" i="1"/>
  <c r="E14624" i="1"/>
  <c r="F14624" i="1"/>
  <c r="G14624" i="1"/>
  <c r="H14624" i="1"/>
  <c r="I14624" i="1"/>
  <c r="J14624" i="1"/>
  <c r="K14624" i="1"/>
  <c r="L14624" i="1"/>
  <c r="A14625" i="1"/>
  <c r="B14625" i="1"/>
  <c r="C14625" i="1"/>
  <c r="D14625" i="1"/>
  <c r="E14625" i="1"/>
  <c r="F14625" i="1"/>
  <c r="G14625" i="1"/>
  <c r="H14625" i="1"/>
  <c r="I14625" i="1"/>
  <c r="J14625" i="1"/>
  <c r="K14625" i="1"/>
  <c r="L14625" i="1"/>
  <c r="A14626" i="1"/>
  <c r="B14626" i="1"/>
  <c r="C14626" i="1"/>
  <c r="D14626" i="1"/>
  <c r="E14626" i="1"/>
  <c r="F14626" i="1"/>
  <c r="G14626" i="1"/>
  <c r="H14626" i="1"/>
  <c r="I14626" i="1"/>
  <c r="J14626" i="1"/>
  <c r="K14626" i="1"/>
  <c r="L14626" i="1"/>
  <c r="A14627" i="1"/>
  <c r="B14627" i="1"/>
  <c r="C14627" i="1"/>
  <c r="D14627" i="1"/>
  <c r="E14627" i="1"/>
  <c r="F14627" i="1"/>
  <c r="G14627" i="1"/>
  <c r="H14627" i="1"/>
  <c r="I14627" i="1"/>
  <c r="J14627" i="1"/>
  <c r="K14627" i="1"/>
  <c r="L14627" i="1"/>
  <c r="A14628" i="1"/>
  <c r="B14628" i="1"/>
  <c r="C14628" i="1"/>
  <c r="D14628" i="1"/>
  <c r="E14628" i="1"/>
  <c r="F14628" i="1"/>
  <c r="G14628" i="1"/>
  <c r="H14628" i="1"/>
  <c r="I14628" i="1"/>
  <c r="J14628" i="1"/>
  <c r="K14628" i="1"/>
  <c r="L14628" i="1"/>
  <c r="A14629" i="1"/>
  <c r="B14629" i="1"/>
  <c r="C14629" i="1"/>
  <c r="D14629" i="1"/>
  <c r="E14629" i="1"/>
  <c r="F14629" i="1"/>
  <c r="G14629" i="1"/>
  <c r="H14629" i="1"/>
  <c r="I14629" i="1"/>
  <c r="J14629" i="1"/>
  <c r="K14629" i="1"/>
  <c r="L14629" i="1"/>
  <c r="A14630" i="1"/>
  <c r="B14630" i="1"/>
  <c r="C14630" i="1"/>
  <c r="D14630" i="1"/>
  <c r="E14630" i="1"/>
  <c r="F14630" i="1"/>
  <c r="G14630" i="1"/>
  <c r="H14630" i="1"/>
  <c r="I14630" i="1"/>
  <c r="J14630" i="1"/>
  <c r="K14630" i="1"/>
  <c r="L14630" i="1"/>
  <c r="A14631" i="1"/>
  <c r="B14631" i="1"/>
  <c r="C14631" i="1"/>
  <c r="D14631" i="1"/>
  <c r="E14631" i="1"/>
  <c r="F14631" i="1"/>
  <c r="G14631" i="1"/>
  <c r="H14631" i="1"/>
  <c r="I14631" i="1"/>
  <c r="J14631" i="1"/>
  <c r="K14631" i="1"/>
  <c r="L14631" i="1"/>
  <c r="A14632" i="1"/>
  <c r="B14632" i="1"/>
  <c r="C14632" i="1"/>
  <c r="D14632" i="1"/>
  <c r="E14632" i="1"/>
  <c r="F14632" i="1"/>
  <c r="G14632" i="1"/>
  <c r="H14632" i="1"/>
  <c r="I14632" i="1"/>
  <c r="J14632" i="1"/>
  <c r="K14632" i="1"/>
  <c r="L14632" i="1"/>
  <c r="A14633" i="1"/>
  <c r="B14633" i="1"/>
  <c r="C14633" i="1"/>
  <c r="D14633" i="1"/>
  <c r="E14633" i="1"/>
  <c r="F14633" i="1"/>
  <c r="G14633" i="1"/>
  <c r="H14633" i="1"/>
  <c r="I14633" i="1"/>
  <c r="J14633" i="1"/>
  <c r="K14633" i="1"/>
  <c r="L14633" i="1"/>
  <c r="A14634" i="1"/>
  <c r="B14634" i="1"/>
  <c r="C14634" i="1"/>
  <c r="D14634" i="1"/>
  <c r="E14634" i="1"/>
  <c r="F14634" i="1"/>
  <c r="G14634" i="1"/>
  <c r="H14634" i="1"/>
  <c r="I14634" i="1"/>
  <c r="J14634" i="1"/>
  <c r="K14634" i="1"/>
  <c r="L14634" i="1"/>
  <c r="A14635" i="1"/>
  <c r="B14635" i="1"/>
  <c r="C14635" i="1"/>
  <c r="D14635" i="1"/>
  <c r="E14635" i="1"/>
  <c r="F14635" i="1"/>
  <c r="G14635" i="1"/>
  <c r="H14635" i="1"/>
  <c r="I14635" i="1"/>
  <c r="J14635" i="1"/>
  <c r="K14635" i="1"/>
  <c r="L14635" i="1"/>
  <c r="A14636" i="1"/>
  <c r="B14636" i="1"/>
  <c r="C14636" i="1"/>
  <c r="D14636" i="1"/>
  <c r="E14636" i="1"/>
  <c r="F14636" i="1"/>
  <c r="G14636" i="1"/>
  <c r="H14636" i="1"/>
  <c r="I14636" i="1"/>
  <c r="J14636" i="1"/>
  <c r="K14636" i="1"/>
  <c r="L14636" i="1"/>
  <c r="A14637" i="1"/>
  <c r="B14637" i="1"/>
  <c r="C14637" i="1"/>
  <c r="D14637" i="1"/>
  <c r="E14637" i="1"/>
  <c r="F14637" i="1"/>
  <c r="G14637" i="1"/>
  <c r="H14637" i="1"/>
  <c r="I14637" i="1"/>
  <c r="J14637" i="1"/>
  <c r="K14637" i="1"/>
  <c r="L14637" i="1"/>
  <c r="A14638" i="1"/>
  <c r="B14638" i="1"/>
  <c r="C14638" i="1"/>
  <c r="D14638" i="1"/>
  <c r="E14638" i="1"/>
  <c r="F14638" i="1"/>
  <c r="G14638" i="1"/>
  <c r="H14638" i="1"/>
  <c r="I14638" i="1"/>
  <c r="J14638" i="1"/>
  <c r="K14638" i="1"/>
  <c r="L14638" i="1"/>
  <c r="A14639" i="1"/>
  <c r="B14639" i="1"/>
  <c r="C14639" i="1"/>
  <c r="D14639" i="1"/>
  <c r="E14639" i="1"/>
  <c r="F14639" i="1"/>
  <c r="G14639" i="1"/>
  <c r="H14639" i="1"/>
  <c r="I14639" i="1"/>
  <c r="J14639" i="1"/>
  <c r="K14639" i="1"/>
  <c r="L14639" i="1"/>
  <c r="A14640" i="1"/>
  <c r="B14640" i="1"/>
  <c r="C14640" i="1"/>
  <c r="D14640" i="1"/>
  <c r="E14640" i="1"/>
  <c r="F14640" i="1"/>
  <c r="G14640" i="1"/>
  <c r="H14640" i="1"/>
  <c r="I14640" i="1"/>
  <c r="J14640" i="1"/>
  <c r="K14640" i="1"/>
  <c r="L14640" i="1"/>
  <c r="A14641" i="1"/>
  <c r="B14641" i="1"/>
  <c r="C14641" i="1"/>
  <c r="D14641" i="1"/>
  <c r="E14641" i="1"/>
  <c r="F14641" i="1"/>
  <c r="G14641" i="1"/>
  <c r="H14641" i="1"/>
  <c r="I14641" i="1"/>
  <c r="J14641" i="1"/>
  <c r="K14641" i="1"/>
  <c r="L14641" i="1"/>
  <c r="A14642" i="1"/>
  <c r="B14642" i="1"/>
  <c r="C14642" i="1"/>
  <c r="D14642" i="1"/>
  <c r="E14642" i="1"/>
  <c r="F14642" i="1"/>
  <c r="G14642" i="1"/>
  <c r="H14642" i="1"/>
  <c r="I14642" i="1"/>
  <c r="J14642" i="1"/>
  <c r="K14642" i="1"/>
  <c r="L14642" i="1"/>
  <c r="A14643" i="1"/>
  <c r="B14643" i="1"/>
  <c r="C14643" i="1"/>
  <c r="D14643" i="1"/>
  <c r="E14643" i="1"/>
  <c r="F14643" i="1"/>
  <c r="G14643" i="1"/>
  <c r="H14643" i="1"/>
  <c r="I14643" i="1"/>
  <c r="J14643" i="1"/>
  <c r="K14643" i="1"/>
  <c r="L14643" i="1"/>
  <c r="A14644" i="1"/>
  <c r="B14644" i="1"/>
  <c r="C14644" i="1"/>
  <c r="D14644" i="1"/>
  <c r="E14644" i="1"/>
  <c r="F14644" i="1"/>
  <c r="G14644" i="1"/>
  <c r="H14644" i="1"/>
  <c r="I14644" i="1"/>
  <c r="J14644" i="1"/>
  <c r="K14644" i="1"/>
  <c r="L14644" i="1"/>
  <c r="A14645" i="1"/>
  <c r="B14645" i="1"/>
  <c r="C14645" i="1"/>
  <c r="D14645" i="1"/>
  <c r="E14645" i="1"/>
  <c r="F14645" i="1"/>
  <c r="G14645" i="1"/>
  <c r="H14645" i="1"/>
  <c r="I14645" i="1"/>
  <c r="J14645" i="1"/>
  <c r="K14645" i="1"/>
  <c r="L14645" i="1"/>
  <c r="A14646" i="1"/>
  <c r="B14646" i="1"/>
  <c r="C14646" i="1"/>
  <c r="D14646" i="1"/>
  <c r="E14646" i="1"/>
  <c r="F14646" i="1"/>
  <c r="G14646" i="1"/>
  <c r="H14646" i="1"/>
  <c r="I14646" i="1"/>
  <c r="J14646" i="1"/>
  <c r="K14646" i="1"/>
  <c r="L14646" i="1"/>
  <c r="A14647" i="1"/>
  <c r="B14647" i="1"/>
  <c r="C14647" i="1"/>
  <c r="D14647" i="1"/>
  <c r="E14647" i="1"/>
  <c r="F14647" i="1"/>
  <c r="G14647" i="1"/>
  <c r="H14647" i="1"/>
  <c r="I14647" i="1"/>
  <c r="J14647" i="1"/>
  <c r="K14647" i="1"/>
  <c r="L14647" i="1"/>
  <c r="A14648" i="1"/>
  <c r="B14648" i="1"/>
  <c r="C14648" i="1"/>
  <c r="D14648" i="1"/>
  <c r="E14648" i="1"/>
  <c r="F14648" i="1"/>
  <c r="G14648" i="1"/>
  <c r="H14648" i="1"/>
  <c r="I14648" i="1"/>
  <c r="J14648" i="1"/>
  <c r="K14648" i="1"/>
  <c r="L14648" i="1"/>
  <c r="A14649" i="1"/>
  <c r="B14649" i="1"/>
  <c r="C14649" i="1"/>
  <c r="D14649" i="1"/>
  <c r="E14649" i="1"/>
  <c r="F14649" i="1"/>
  <c r="G14649" i="1"/>
  <c r="H14649" i="1"/>
  <c r="I14649" i="1"/>
  <c r="J14649" i="1"/>
  <c r="K14649" i="1"/>
  <c r="L14649" i="1"/>
  <c r="A14650" i="1"/>
  <c r="B14650" i="1"/>
  <c r="C14650" i="1"/>
  <c r="D14650" i="1"/>
  <c r="E14650" i="1"/>
  <c r="F14650" i="1"/>
  <c r="G14650" i="1"/>
  <c r="H14650" i="1"/>
  <c r="I14650" i="1"/>
  <c r="J14650" i="1"/>
  <c r="K14650" i="1"/>
  <c r="L14650" i="1"/>
  <c r="A14651" i="1"/>
  <c r="B14651" i="1"/>
  <c r="C14651" i="1"/>
  <c r="D14651" i="1"/>
  <c r="E14651" i="1"/>
  <c r="F14651" i="1"/>
  <c r="G14651" i="1"/>
  <c r="H14651" i="1"/>
  <c r="I14651" i="1"/>
  <c r="J14651" i="1"/>
  <c r="K14651" i="1"/>
  <c r="L14651" i="1"/>
  <c r="A14652" i="1"/>
  <c r="B14652" i="1"/>
  <c r="C14652" i="1"/>
  <c r="D14652" i="1"/>
  <c r="E14652" i="1"/>
  <c r="F14652" i="1"/>
  <c r="G14652" i="1"/>
  <c r="H14652" i="1"/>
  <c r="I14652" i="1"/>
  <c r="J14652" i="1"/>
  <c r="K14652" i="1"/>
  <c r="L14652" i="1"/>
  <c r="A14653" i="1"/>
  <c r="B14653" i="1"/>
  <c r="C14653" i="1"/>
  <c r="D14653" i="1"/>
  <c r="E14653" i="1"/>
  <c r="F14653" i="1"/>
  <c r="G14653" i="1"/>
  <c r="H14653" i="1"/>
  <c r="I14653" i="1"/>
  <c r="J14653" i="1"/>
  <c r="K14653" i="1"/>
  <c r="L14653" i="1"/>
  <c r="A14654" i="1"/>
  <c r="B14654" i="1"/>
  <c r="C14654" i="1"/>
  <c r="D14654" i="1"/>
  <c r="E14654" i="1"/>
  <c r="F14654" i="1"/>
  <c r="G14654" i="1"/>
  <c r="H14654" i="1"/>
  <c r="I14654" i="1"/>
  <c r="J14654" i="1"/>
  <c r="K14654" i="1"/>
  <c r="L14654" i="1"/>
  <c r="A14655" i="1"/>
  <c r="B14655" i="1"/>
  <c r="C14655" i="1"/>
  <c r="D14655" i="1"/>
  <c r="E14655" i="1"/>
  <c r="F14655" i="1"/>
  <c r="G14655" i="1"/>
  <c r="H14655" i="1"/>
  <c r="I14655" i="1"/>
  <c r="J14655" i="1"/>
  <c r="K14655" i="1"/>
  <c r="L14655" i="1"/>
  <c r="A14656" i="1"/>
  <c r="B14656" i="1"/>
  <c r="C14656" i="1"/>
  <c r="D14656" i="1"/>
  <c r="E14656" i="1"/>
  <c r="F14656" i="1"/>
  <c r="G14656" i="1"/>
  <c r="H14656" i="1"/>
  <c r="I14656" i="1"/>
  <c r="J14656" i="1"/>
  <c r="K14656" i="1"/>
  <c r="L14656" i="1"/>
  <c r="A14657" i="1"/>
  <c r="B14657" i="1"/>
  <c r="C14657" i="1"/>
  <c r="D14657" i="1"/>
  <c r="E14657" i="1"/>
  <c r="F14657" i="1"/>
  <c r="G14657" i="1"/>
  <c r="H14657" i="1"/>
  <c r="I14657" i="1"/>
  <c r="J14657" i="1"/>
  <c r="K14657" i="1"/>
  <c r="L14657" i="1"/>
  <c r="A14658" i="1"/>
  <c r="B14658" i="1"/>
  <c r="C14658" i="1"/>
  <c r="D14658" i="1"/>
  <c r="E14658" i="1"/>
  <c r="F14658" i="1"/>
  <c r="G14658" i="1"/>
  <c r="H14658" i="1"/>
  <c r="I14658" i="1"/>
  <c r="J14658" i="1"/>
  <c r="K14658" i="1"/>
  <c r="L14658" i="1"/>
  <c r="A14659" i="1"/>
  <c r="B14659" i="1"/>
  <c r="C14659" i="1"/>
  <c r="D14659" i="1"/>
  <c r="E14659" i="1"/>
  <c r="F14659" i="1"/>
  <c r="G14659" i="1"/>
  <c r="H14659" i="1"/>
  <c r="I14659" i="1"/>
  <c r="J14659" i="1"/>
  <c r="K14659" i="1"/>
  <c r="L14659" i="1"/>
  <c r="A14660" i="1"/>
  <c r="B14660" i="1"/>
  <c r="C14660" i="1"/>
  <c r="D14660" i="1"/>
  <c r="E14660" i="1"/>
  <c r="F14660" i="1"/>
  <c r="G14660" i="1"/>
  <c r="H14660" i="1"/>
  <c r="I14660" i="1"/>
  <c r="J14660" i="1"/>
  <c r="K14660" i="1"/>
  <c r="L14660" i="1"/>
  <c r="A14661" i="1"/>
  <c r="B14661" i="1"/>
  <c r="C14661" i="1"/>
  <c r="D14661" i="1"/>
  <c r="E14661" i="1"/>
  <c r="F14661" i="1"/>
  <c r="G14661" i="1"/>
  <c r="H14661" i="1"/>
  <c r="I14661" i="1"/>
  <c r="J14661" i="1"/>
  <c r="K14661" i="1"/>
  <c r="L14661" i="1"/>
  <c r="A14662" i="1"/>
  <c r="B14662" i="1"/>
  <c r="C14662" i="1"/>
  <c r="D14662" i="1"/>
  <c r="E14662" i="1"/>
  <c r="F14662" i="1"/>
  <c r="G14662" i="1"/>
  <c r="H14662" i="1"/>
  <c r="I14662" i="1"/>
  <c r="J14662" i="1"/>
  <c r="K14662" i="1"/>
  <c r="L14662" i="1"/>
  <c r="A14663" i="1"/>
  <c r="B14663" i="1"/>
  <c r="C14663" i="1"/>
  <c r="D14663" i="1"/>
  <c r="E14663" i="1"/>
  <c r="F14663" i="1"/>
  <c r="G14663" i="1"/>
  <c r="H14663" i="1"/>
  <c r="I14663" i="1"/>
  <c r="J14663" i="1"/>
  <c r="K14663" i="1"/>
  <c r="L14663" i="1"/>
  <c r="A14664" i="1"/>
  <c r="B14664" i="1"/>
  <c r="C14664" i="1"/>
  <c r="D14664" i="1"/>
  <c r="E14664" i="1"/>
  <c r="F14664" i="1"/>
  <c r="G14664" i="1"/>
  <c r="H14664" i="1"/>
  <c r="I14664" i="1"/>
  <c r="J14664" i="1"/>
  <c r="K14664" i="1"/>
  <c r="L14664" i="1"/>
  <c r="A14665" i="1"/>
  <c r="B14665" i="1"/>
  <c r="C14665" i="1"/>
  <c r="D14665" i="1"/>
  <c r="E14665" i="1"/>
  <c r="F14665" i="1"/>
  <c r="G14665" i="1"/>
  <c r="H14665" i="1"/>
  <c r="I14665" i="1"/>
  <c r="J14665" i="1"/>
  <c r="K14665" i="1"/>
  <c r="L14665" i="1"/>
  <c r="A14666" i="1"/>
  <c r="B14666" i="1"/>
  <c r="C14666" i="1"/>
  <c r="D14666" i="1"/>
  <c r="E14666" i="1"/>
  <c r="F14666" i="1"/>
  <c r="G14666" i="1"/>
  <c r="H14666" i="1"/>
  <c r="I14666" i="1"/>
  <c r="J14666" i="1"/>
  <c r="K14666" i="1"/>
  <c r="L14666" i="1"/>
  <c r="A14667" i="1"/>
  <c r="B14667" i="1"/>
  <c r="C14667" i="1"/>
  <c r="D14667" i="1"/>
  <c r="E14667" i="1"/>
  <c r="F14667" i="1"/>
  <c r="G14667" i="1"/>
  <c r="H14667" i="1"/>
  <c r="I14667" i="1"/>
  <c r="J14667" i="1"/>
  <c r="K14667" i="1"/>
  <c r="L14667" i="1"/>
  <c r="A14668" i="1"/>
  <c r="B14668" i="1"/>
  <c r="C14668" i="1"/>
  <c r="D14668" i="1"/>
  <c r="E14668" i="1"/>
  <c r="F14668" i="1"/>
  <c r="G14668" i="1"/>
  <c r="H14668" i="1"/>
  <c r="I14668" i="1"/>
  <c r="J14668" i="1"/>
  <c r="K14668" i="1"/>
  <c r="L14668" i="1"/>
  <c r="A14669" i="1"/>
  <c r="B14669" i="1"/>
  <c r="C14669" i="1"/>
  <c r="D14669" i="1"/>
  <c r="E14669" i="1"/>
  <c r="F14669" i="1"/>
  <c r="G14669" i="1"/>
  <c r="H14669" i="1"/>
  <c r="I14669" i="1"/>
  <c r="J14669" i="1"/>
  <c r="K14669" i="1"/>
  <c r="L14669" i="1"/>
  <c r="A14670" i="1"/>
  <c r="B14670" i="1"/>
  <c r="C14670" i="1"/>
  <c r="D14670" i="1"/>
  <c r="E14670" i="1"/>
  <c r="F14670" i="1"/>
  <c r="G14670" i="1"/>
  <c r="H14670" i="1"/>
  <c r="I14670" i="1"/>
  <c r="J14670" i="1"/>
  <c r="K14670" i="1"/>
  <c r="L14670" i="1"/>
  <c r="A14671" i="1"/>
  <c r="B14671" i="1"/>
  <c r="C14671" i="1"/>
  <c r="D14671" i="1"/>
  <c r="E14671" i="1"/>
  <c r="F14671" i="1"/>
  <c r="G14671" i="1"/>
  <c r="H14671" i="1"/>
  <c r="I14671" i="1"/>
  <c r="J14671" i="1"/>
  <c r="K14671" i="1"/>
  <c r="L14671" i="1"/>
  <c r="A14672" i="1"/>
  <c r="B14672" i="1"/>
  <c r="C14672" i="1"/>
  <c r="D14672" i="1"/>
  <c r="E14672" i="1"/>
  <c r="F14672" i="1"/>
  <c r="G14672" i="1"/>
  <c r="H14672" i="1"/>
  <c r="I14672" i="1"/>
  <c r="J14672" i="1"/>
  <c r="K14672" i="1"/>
  <c r="L14672" i="1"/>
  <c r="A14673" i="1"/>
  <c r="B14673" i="1"/>
  <c r="C14673" i="1"/>
  <c r="D14673" i="1"/>
  <c r="E14673" i="1"/>
  <c r="F14673" i="1"/>
  <c r="G14673" i="1"/>
  <c r="H14673" i="1"/>
  <c r="I14673" i="1"/>
  <c r="J14673" i="1"/>
  <c r="K14673" i="1"/>
  <c r="L14673" i="1"/>
  <c r="A14674" i="1"/>
  <c r="B14674" i="1"/>
  <c r="C14674" i="1"/>
  <c r="D14674" i="1"/>
  <c r="E14674" i="1"/>
  <c r="F14674" i="1"/>
  <c r="G14674" i="1"/>
  <c r="H14674" i="1"/>
  <c r="I14674" i="1"/>
  <c r="J14674" i="1"/>
  <c r="K14674" i="1"/>
  <c r="L14674" i="1"/>
  <c r="A14675" i="1"/>
  <c r="B14675" i="1"/>
  <c r="C14675" i="1"/>
  <c r="D14675" i="1"/>
  <c r="E14675" i="1"/>
  <c r="F14675" i="1"/>
  <c r="G14675" i="1"/>
  <c r="H14675" i="1"/>
  <c r="I14675" i="1"/>
  <c r="J14675" i="1"/>
  <c r="K14675" i="1"/>
  <c r="L14675" i="1"/>
  <c r="A14676" i="1"/>
  <c r="B14676" i="1"/>
  <c r="C14676" i="1"/>
  <c r="D14676" i="1"/>
  <c r="E14676" i="1"/>
  <c r="F14676" i="1"/>
  <c r="G14676" i="1"/>
  <c r="H14676" i="1"/>
  <c r="I14676" i="1"/>
  <c r="J14676" i="1"/>
  <c r="K14676" i="1"/>
  <c r="L14676" i="1"/>
  <c r="A14677" i="1"/>
  <c r="B14677" i="1"/>
  <c r="C14677" i="1"/>
  <c r="D14677" i="1"/>
  <c r="E14677" i="1"/>
  <c r="F14677" i="1"/>
  <c r="G14677" i="1"/>
  <c r="H14677" i="1"/>
  <c r="I14677" i="1"/>
  <c r="J14677" i="1"/>
  <c r="K14677" i="1"/>
  <c r="L14677" i="1"/>
  <c r="A14678" i="1"/>
  <c r="B14678" i="1"/>
  <c r="C14678" i="1"/>
  <c r="D14678" i="1"/>
  <c r="E14678" i="1"/>
  <c r="F14678" i="1"/>
  <c r="G14678" i="1"/>
  <c r="H14678" i="1"/>
  <c r="I14678" i="1"/>
  <c r="J14678" i="1"/>
  <c r="K14678" i="1"/>
  <c r="L14678" i="1"/>
  <c r="A14679" i="1"/>
  <c r="B14679" i="1"/>
  <c r="C14679" i="1"/>
  <c r="D14679" i="1"/>
  <c r="E14679" i="1"/>
  <c r="F14679" i="1"/>
  <c r="G14679" i="1"/>
  <c r="H14679" i="1"/>
  <c r="I14679" i="1"/>
  <c r="J14679" i="1"/>
  <c r="K14679" i="1"/>
  <c r="L14679" i="1"/>
  <c r="A14680" i="1"/>
  <c r="B14680" i="1"/>
  <c r="C14680" i="1"/>
  <c r="D14680" i="1"/>
  <c r="E14680" i="1"/>
  <c r="F14680" i="1"/>
  <c r="G14680" i="1"/>
  <c r="H14680" i="1"/>
  <c r="I14680" i="1"/>
  <c r="J14680" i="1"/>
  <c r="K14680" i="1"/>
  <c r="L14680" i="1"/>
  <c r="A14681" i="1"/>
  <c r="B14681" i="1"/>
  <c r="C14681" i="1"/>
  <c r="D14681" i="1"/>
  <c r="E14681" i="1"/>
  <c r="F14681" i="1"/>
  <c r="G14681" i="1"/>
  <c r="H14681" i="1"/>
  <c r="I14681" i="1"/>
  <c r="J14681" i="1"/>
  <c r="K14681" i="1"/>
  <c r="L14681" i="1"/>
  <c r="A14682" i="1"/>
  <c r="B14682" i="1"/>
  <c r="C14682" i="1"/>
  <c r="D14682" i="1"/>
  <c r="E14682" i="1"/>
  <c r="F14682" i="1"/>
  <c r="G14682" i="1"/>
  <c r="H14682" i="1"/>
  <c r="I14682" i="1"/>
  <c r="J14682" i="1"/>
  <c r="K14682" i="1"/>
  <c r="L14682" i="1"/>
  <c r="A14683" i="1"/>
  <c r="B14683" i="1"/>
  <c r="C14683" i="1"/>
  <c r="D14683" i="1"/>
  <c r="E14683" i="1"/>
  <c r="F14683" i="1"/>
  <c r="G14683" i="1"/>
  <c r="H14683" i="1"/>
  <c r="I14683" i="1"/>
  <c r="J14683" i="1"/>
  <c r="K14683" i="1"/>
  <c r="L14683" i="1"/>
  <c r="A14684" i="1"/>
  <c r="B14684" i="1"/>
  <c r="C14684" i="1"/>
  <c r="D14684" i="1"/>
  <c r="E14684" i="1"/>
  <c r="F14684" i="1"/>
  <c r="G14684" i="1"/>
  <c r="H14684" i="1"/>
  <c r="I14684" i="1"/>
  <c r="J14684" i="1"/>
  <c r="K14684" i="1"/>
  <c r="L14684" i="1"/>
  <c r="A14685" i="1"/>
  <c r="B14685" i="1"/>
  <c r="C14685" i="1"/>
  <c r="D14685" i="1"/>
  <c r="E14685" i="1"/>
  <c r="F14685" i="1"/>
  <c r="G14685" i="1"/>
  <c r="H14685" i="1"/>
  <c r="I14685" i="1"/>
  <c r="J14685" i="1"/>
  <c r="K14685" i="1"/>
  <c r="L14685" i="1"/>
  <c r="A14686" i="1"/>
  <c r="B14686" i="1"/>
  <c r="C14686" i="1"/>
  <c r="D14686" i="1"/>
  <c r="E14686" i="1"/>
  <c r="F14686" i="1"/>
  <c r="G14686" i="1"/>
  <c r="H14686" i="1"/>
  <c r="I14686" i="1"/>
  <c r="J14686" i="1"/>
  <c r="K14686" i="1"/>
  <c r="L14686" i="1"/>
  <c r="A14687" i="1"/>
  <c r="B14687" i="1"/>
  <c r="C14687" i="1"/>
  <c r="D14687" i="1"/>
  <c r="E14687" i="1"/>
  <c r="F14687" i="1"/>
  <c r="G14687" i="1"/>
  <c r="H14687" i="1"/>
  <c r="I14687" i="1"/>
  <c r="J14687" i="1"/>
  <c r="K14687" i="1"/>
  <c r="L14687" i="1"/>
  <c r="A14688" i="1"/>
  <c r="B14688" i="1"/>
  <c r="C14688" i="1"/>
  <c r="D14688" i="1"/>
  <c r="E14688" i="1"/>
  <c r="F14688" i="1"/>
  <c r="G14688" i="1"/>
  <c r="H14688" i="1"/>
  <c r="I14688" i="1"/>
  <c r="J14688" i="1"/>
  <c r="K14688" i="1"/>
  <c r="L14688" i="1"/>
  <c r="A14689" i="1"/>
  <c r="B14689" i="1"/>
  <c r="C14689" i="1"/>
  <c r="D14689" i="1"/>
  <c r="E14689" i="1"/>
  <c r="F14689" i="1"/>
  <c r="G14689" i="1"/>
  <c r="H14689" i="1"/>
  <c r="I14689" i="1"/>
  <c r="J14689" i="1"/>
  <c r="K14689" i="1"/>
  <c r="L14689" i="1"/>
  <c r="A14690" i="1"/>
  <c r="B14690" i="1"/>
  <c r="C14690" i="1"/>
  <c r="D14690" i="1"/>
  <c r="E14690" i="1"/>
  <c r="F14690" i="1"/>
  <c r="G14690" i="1"/>
  <c r="H14690" i="1"/>
  <c r="I14690" i="1"/>
  <c r="J14690" i="1"/>
  <c r="K14690" i="1"/>
  <c r="L14690" i="1"/>
  <c r="A14691" i="1"/>
  <c r="B14691" i="1"/>
  <c r="C14691" i="1"/>
  <c r="D14691" i="1"/>
  <c r="E14691" i="1"/>
  <c r="F14691" i="1"/>
  <c r="G14691" i="1"/>
  <c r="H14691" i="1"/>
  <c r="I14691" i="1"/>
  <c r="J14691" i="1"/>
  <c r="K14691" i="1"/>
  <c r="L14691" i="1"/>
  <c r="A14692" i="1"/>
  <c r="B14692" i="1"/>
  <c r="C14692" i="1"/>
  <c r="D14692" i="1"/>
  <c r="E14692" i="1"/>
  <c r="F14692" i="1"/>
  <c r="G14692" i="1"/>
  <c r="H14692" i="1"/>
  <c r="I14692" i="1"/>
  <c r="J14692" i="1"/>
  <c r="K14692" i="1"/>
  <c r="L14692" i="1"/>
  <c r="A14693" i="1"/>
  <c r="B14693" i="1"/>
  <c r="C14693" i="1"/>
  <c r="D14693" i="1"/>
  <c r="E14693" i="1"/>
  <c r="F14693" i="1"/>
  <c r="G14693" i="1"/>
  <c r="H14693" i="1"/>
  <c r="I14693" i="1"/>
  <c r="J14693" i="1"/>
  <c r="K14693" i="1"/>
  <c r="L14693" i="1"/>
  <c r="A14694" i="1"/>
  <c r="B14694" i="1"/>
  <c r="C14694" i="1"/>
  <c r="D14694" i="1"/>
  <c r="E14694" i="1"/>
  <c r="F14694" i="1"/>
  <c r="G14694" i="1"/>
  <c r="H14694" i="1"/>
  <c r="I14694" i="1"/>
  <c r="J14694" i="1"/>
  <c r="K14694" i="1"/>
  <c r="L14694" i="1"/>
  <c r="A14695" i="1"/>
  <c r="B14695" i="1"/>
  <c r="C14695" i="1"/>
  <c r="D14695" i="1"/>
  <c r="E14695" i="1"/>
  <c r="F14695" i="1"/>
  <c r="G14695" i="1"/>
  <c r="H14695" i="1"/>
  <c r="I14695" i="1"/>
  <c r="J14695" i="1"/>
  <c r="K14695" i="1"/>
  <c r="L14695" i="1"/>
  <c r="A14696" i="1"/>
  <c r="B14696" i="1"/>
  <c r="C14696" i="1"/>
  <c r="D14696" i="1"/>
  <c r="E14696" i="1"/>
  <c r="F14696" i="1"/>
  <c r="G14696" i="1"/>
  <c r="H14696" i="1"/>
  <c r="I14696" i="1"/>
  <c r="J14696" i="1"/>
  <c r="K14696" i="1"/>
  <c r="L14696" i="1"/>
  <c r="A14697" i="1"/>
  <c r="B14697" i="1"/>
  <c r="C14697" i="1"/>
  <c r="D14697" i="1"/>
  <c r="E14697" i="1"/>
  <c r="F14697" i="1"/>
  <c r="G14697" i="1"/>
  <c r="H14697" i="1"/>
  <c r="I14697" i="1"/>
  <c r="J14697" i="1"/>
  <c r="K14697" i="1"/>
  <c r="L14697" i="1"/>
  <c r="A14698" i="1"/>
  <c r="B14698" i="1"/>
  <c r="C14698" i="1"/>
  <c r="D14698" i="1"/>
  <c r="E14698" i="1"/>
  <c r="F14698" i="1"/>
  <c r="G14698" i="1"/>
  <c r="H14698" i="1"/>
  <c r="I14698" i="1"/>
  <c r="J14698" i="1"/>
  <c r="K14698" i="1"/>
  <c r="L14698" i="1"/>
  <c r="A14699" i="1"/>
  <c r="B14699" i="1"/>
  <c r="C14699" i="1"/>
  <c r="D14699" i="1"/>
  <c r="E14699" i="1"/>
  <c r="F14699" i="1"/>
  <c r="G14699" i="1"/>
  <c r="H14699" i="1"/>
  <c r="I14699" i="1"/>
  <c r="J14699" i="1"/>
  <c r="K14699" i="1"/>
  <c r="L14699" i="1"/>
  <c r="A14700" i="1"/>
  <c r="B14700" i="1"/>
  <c r="C14700" i="1"/>
  <c r="D14700" i="1"/>
  <c r="E14700" i="1"/>
  <c r="F14700" i="1"/>
  <c r="G14700" i="1"/>
  <c r="H14700" i="1"/>
  <c r="I14700" i="1"/>
  <c r="J14700" i="1"/>
  <c r="K14700" i="1"/>
  <c r="L14700" i="1"/>
  <c r="A14701" i="1"/>
  <c r="B14701" i="1"/>
  <c r="C14701" i="1"/>
  <c r="D14701" i="1"/>
  <c r="E14701" i="1"/>
  <c r="F14701" i="1"/>
  <c r="G14701" i="1"/>
  <c r="H14701" i="1"/>
  <c r="I14701" i="1"/>
  <c r="J14701" i="1"/>
  <c r="K14701" i="1"/>
  <c r="L14701" i="1"/>
  <c r="A14702" i="1"/>
  <c r="B14702" i="1"/>
  <c r="C14702" i="1"/>
  <c r="D14702" i="1"/>
  <c r="E14702" i="1"/>
  <c r="F14702" i="1"/>
  <c r="G14702" i="1"/>
  <c r="H14702" i="1"/>
  <c r="I14702" i="1"/>
  <c r="J14702" i="1"/>
  <c r="K14702" i="1"/>
  <c r="L14702" i="1"/>
  <c r="A14703" i="1"/>
  <c r="B14703" i="1"/>
  <c r="C14703" i="1"/>
  <c r="D14703" i="1"/>
  <c r="E14703" i="1"/>
  <c r="F14703" i="1"/>
  <c r="G14703" i="1"/>
  <c r="H14703" i="1"/>
  <c r="I14703" i="1"/>
  <c r="J14703" i="1"/>
  <c r="K14703" i="1"/>
  <c r="L14703" i="1"/>
  <c r="A14704" i="1"/>
  <c r="B14704" i="1"/>
  <c r="C14704" i="1"/>
  <c r="D14704" i="1"/>
  <c r="E14704" i="1"/>
  <c r="F14704" i="1"/>
  <c r="G14704" i="1"/>
  <c r="H14704" i="1"/>
  <c r="I14704" i="1"/>
  <c r="J14704" i="1"/>
  <c r="K14704" i="1"/>
  <c r="L14704" i="1"/>
  <c r="A14705" i="1"/>
  <c r="B14705" i="1"/>
  <c r="C14705" i="1"/>
  <c r="D14705" i="1"/>
  <c r="E14705" i="1"/>
  <c r="F14705" i="1"/>
  <c r="G14705" i="1"/>
  <c r="H14705" i="1"/>
  <c r="I14705" i="1"/>
  <c r="J14705" i="1"/>
  <c r="K14705" i="1"/>
  <c r="L14705" i="1"/>
  <c r="A14706" i="1"/>
  <c r="B14706" i="1"/>
  <c r="C14706" i="1"/>
  <c r="D14706" i="1"/>
  <c r="E14706" i="1"/>
  <c r="F14706" i="1"/>
  <c r="G14706" i="1"/>
  <c r="H14706" i="1"/>
  <c r="I14706" i="1"/>
  <c r="J14706" i="1"/>
  <c r="K14706" i="1"/>
  <c r="L14706" i="1"/>
  <c r="A14707" i="1"/>
  <c r="B14707" i="1"/>
  <c r="C14707" i="1"/>
  <c r="D14707" i="1"/>
  <c r="E14707" i="1"/>
  <c r="F14707" i="1"/>
  <c r="G14707" i="1"/>
  <c r="H14707" i="1"/>
  <c r="I14707" i="1"/>
  <c r="J14707" i="1"/>
  <c r="K14707" i="1"/>
  <c r="L14707" i="1"/>
  <c r="A14708" i="1"/>
  <c r="B14708" i="1"/>
  <c r="C14708" i="1"/>
  <c r="D14708" i="1"/>
  <c r="E14708" i="1"/>
  <c r="F14708" i="1"/>
  <c r="G14708" i="1"/>
  <c r="H14708" i="1"/>
  <c r="I14708" i="1"/>
  <c r="J14708" i="1"/>
  <c r="K14708" i="1"/>
  <c r="L14708" i="1"/>
  <c r="A14709" i="1"/>
  <c r="B14709" i="1"/>
  <c r="C14709" i="1"/>
  <c r="D14709" i="1"/>
  <c r="E14709" i="1"/>
  <c r="F14709" i="1"/>
  <c r="G14709" i="1"/>
  <c r="H14709" i="1"/>
  <c r="I14709" i="1"/>
  <c r="J14709" i="1"/>
  <c r="K14709" i="1"/>
  <c r="L14709" i="1"/>
  <c r="A14710" i="1"/>
  <c r="B14710" i="1"/>
  <c r="C14710" i="1"/>
  <c r="D14710" i="1"/>
  <c r="E14710" i="1"/>
  <c r="F14710" i="1"/>
  <c r="G14710" i="1"/>
  <c r="H14710" i="1"/>
  <c r="I14710" i="1"/>
  <c r="J14710" i="1"/>
  <c r="K14710" i="1"/>
  <c r="L14710" i="1"/>
  <c r="A14711" i="1"/>
  <c r="B14711" i="1"/>
  <c r="C14711" i="1"/>
  <c r="D14711" i="1"/>
  <c r="E14711" i="1"/>
  <c r="F14711" i="1"/>
  <c r="G14711" i="1"/>
  <c r="H14711" i="1"/>
  <c r="I14711" i="1"/>
  <c r="J14711" i="1"/>
  <c r="K14711" i="1"/>
  <c r="L14711" i="1"/>
  <c r="A14712" i="1"/>
  <c r="B14712" i="1"/>
  <c r="C14712" i="1"/>
  <c r="D14712" i="1"/>
  <c r="E14712" i="1"/>
  <c r="F14712" i="1"/>
  <c r="G14712" i="1"/>
  <c r="H14712" i="1"/>
  <c r="I14712" i="1"/>
  <c r="J14712" i="1"/>
  <c r="K14712" i="1"/>
  <c r="L14712" i="1"/>
  <c r="A14713" i="1"/>
  <c r="B14713" i="1"/>
  <c r="C14713" i="1"/>
  <c r="D14713" i="1"/>
  <c r="E14713" i="1"/>
  <c r="F14713" i="1"/>
  <c r="G14713" i="1"/>
  <c r="H14713" i="1"/>
  <c r="I14713" i="1"/>
  <c r="J14713" i="1"/>
  <c r="K14713" i="1"/>
  <c r="L14713" i="1"/>
  <c r="A14714" i="1"/>
  <c r="B14714" i="1"/>
  <c r="C14714" i="1"/>
  <c r="D14714" i="1"/>
  <c r="E14714" i="1"/>
  <c r="F14714" i="1"/>
  <c r="G14714" i="1"/>
  <c r="H14714" i="1"/>
  <c r="I14714" i="1"/>
  <c r="J14714" i="1"/>
  <c r="K14714" i="1"/>
  <c r="L14714" i="1"/>
  <c r="A14715" i="1"/>
  <c r="B14715" i="1"/>
  <c r="C14715" i="1"/>
  <c r="D14715" i="1"/>
  <c r="E14715" i="1"/>
  <c r="F14715" i="1"/>
  <c r="G14715" i="1"/>
  <c r="H14715" i="1"/>
  <c r="I14715" i="1"/>
  <c r="J14715" i="1"/>
  <c r="K14715" i="1"/>
  <c r="L14715" i="1"/>
  <c r="A14716" i="1"/>
  <c r="B14716" i="1"/>
  <c r="C14716" i="1"/>
  <c r="D14716" i="1"/>
  <c r="E14716" i="1"/>
  <c r="F14716" i="1"/>
  <c r="G14716" i="1"/>
  <c r="H14716" i="1"/>
  <c r="I14716" i="1"/>
  <c r="J14716" i="1"/>
  <c r="K14716" i="1"/>
  <c r="L14716" i="1"/>
  <c r="A14717" i="1"/>
  <c r="B14717" i="1"/>
  <c r="C14717" i="1"/>
  <c r="D14717" i="1"/>
  <c r="E14717" i="1"/>
  <c r="F14717" i="1"/>
  <c r="G14717" i="1"/>
  <c r="H14717" i="1"/>
  <c r="I14717" i="1"/>
  <c r="J14717" i="1"/>
  <c r="K14717" i="1"/>
  <c r="L14717" i="1"/>
  <c r="A14718" i="1"/>
  <c r="B14718" i="1"/>
  <c r="C14718" i="1"/>
  <c r="D14718" i="1"/>
  <c r="E14718" i="1"/>
  <c r="F14718" i="1"/>
  <c r="G14718" i="1"/>
  <c r="H14718" i="1"/>
  <c r="I14718" i="1"/>
  <c r="J14718" i="1"/>
  <c r="K14718" i="1"/>
  <c r="L14718" i="1"/>
  <c r="A14719" i="1"/>
  <c r="B14719" i="1"/>
  <c r="C14719" i="1"/>
  <c r="D14719" i="1"/>
  <c r="E14719" i="1"/>
  <c r="F14719" i="1"/>
  <c r="G14719" i="1"/>
  <c r="H14719" i="1"/>
  <c r="I14719" i="1"/>
  <c r="J14719" i="1"/>
  <c r="K14719" i="1"/>
  <c r="L14719" i="1"/>
  <c r="A14720" i="1"/>
  <c r="B14720" i="1"/>
  <c r="C14720" i="1"/>
  <c r="D14720" i="1"/>
  <c r="E14720" i="1"/>
  <c r="F14720" i="1"/>
  <c r="G14720" i="1"/>
  <c r="H14720" i="1"/>
  <c r="I14720" i="1"/>
  <c r="J14720" i="1"/>
  <c r="K14720" i="1"/>
  <c r="L14720" i="1"/>
  <c r="A14721" i="1"/>
  <c r="B14721" i="1"/>
  <c r="C14721" i="1"/>
  <c r="D14721" i="1"/>
  <c r="E14721" i="1"/>
  <c r="F14721" i="1"/>
  <c r="G14721" i="1"/>
  <c r="H14721" i="1"/>
  <c r="I14721" i="1"/>
  <c r="J14721" i="1"/>
  <c r="K14721" i="1"/>
  <c r="L14721" i="1"/>
  <c r="A14722" i="1"/>
  <c r="B14722" i="1"/>
  <c r="C14722" i="1"/>
  <c r="D14722" i="1"/>
  <c r="E14722" i="1"/>
  <c r="F14722" i="1"/>
  <c r="G14722" i="1"/>
  <c r="H14722" i="1"/>
  <c r="I14722" i="1"/>
  <c r="J14722" i="1"/>
  <c r="K14722" i="1"/>
  <c r="L14722" i="1"/>
  <c r="A14723" i="1"/>
  <c r="B14723" i="1"/>
  <c r="C14723" i="1"/>
  <c r="D14723" i="1"/>
  <c r="E14723" i="1"/>
  <c r="F14723" i="1"/>
  <c r="G14723" i="1"/>
  <c r="H14723" i="1"/>
  <c r="I14723" i="1"/>
  <c r="J14723" i="1"/>
  <c r="K14723" i="1"/>
  <c r="L14723" i="1"/>
  <c r="A14724" i="1"/>
  <c r="B14724" i="1"/>
  <c r="C14724" i="1"/>
  <c r="D14724" i="1"/>
  <c r="E14724" i="1"/>
  <c r="F14724" i="1"/>
  <c r="G14724" i="1"/>
  <c r="H14724" i="1"/>
  <c r="I14724" i="1"/>
  <c r="J14724" i="1"/>
  <c r="K14724" i="1"/>
  <c r="L14724" i="1"/>
  <c r="A14725" i="1"/>
  <c r="B14725" i="1"/>
  <c r="C14725" i="1"/>
  <c r="D14725" i="1"/>
  <c r="E14725" i="1"/>
  <c r="F14725" i="1"/>
  <c r="G14725" i="1"/>
  <c r="H14725" i="1"/>
  <c r="I14725" i="1"/>
  <c r="J14725" i="1"/>
  <c r="K14725" i="1"/>
  <c r="L14725" i="1"/>
  <c r="A14726" i="1"/>
  <c r="B14726" i="1"/>
  <c r="C14726" i="1"/>
  <c r="D14726" i="1"/>
  <c r="E14726" i="1"/>
  <c r="F14726" i="1"/>
  <c r="G14726" i="1"/>
  <c r="H14726" i="1"/>
  <c r="I14726" i="1"/>
  <c r="J14726" i="1"/>
  <c r="K14726" i="1"/>
  <c r="L14726" i="1"/>
  <c r="A14727" i="1"/>
  <c r="B14727" i="1"/>
  <c r="C14727" i="1"/>
  <c r="D14727" i="1"/>
  <c r="E14727" i="1"/>
  <c r="F14727" i="1"/>
  <c r="G14727" i="1"/>
  <c r="H14727" i="1"/>
  <c r="I14727" i="1"/>
  <c r="J14727" i="1"/>
  <c r="K14727" i="1"/>
  <c r="L14727" i="1"/>
  <c r="A14728" i="1"/>
  <c r="B14728" i="1"/>
  <c r="C14728" i="1"/>
  <c r="D14728" i="1"/>
  <c r="E14728" i="1"/>
  <c r="F14728" i="1"/>
  <c r="G14728" i="1"/>
  <c r="H14728" i="1"/>
  <c r="I14728" i="1"/>
  <c r="J14728" i="1"/>
  <c r="K14728" i="1"/>
  <c r="L14728" i="1"/>
  <c r="A14729" i="1"/>
  <c r="B14729" i="1"/>
  <c r="C14729" i="1"/>
  <c r="D14729" i="1"/>
  <c r="E14729" i="1"/>
  <c r="F14729" i="1"/>
  <c r="G14729" i="1"/>
  <c r="H14729" i="1"/>
  <c r="I14729" i="1"/>
  <c r="J14729" i="1"/>
  <c r="K14729" i="1"/>
  <c r="L14729" i="1"/>
  <c r="A14730" i="1"/>
  <c r="B14730" i="1"/>
  <c r="C14730" i="1"/>
  <c r="D14730" i="1"/>
  <c r="E14730" i="1"/>
  <c r="F14730" i="1"/>
  <c r="G14730" i="1"/>
  <c r="H14730" i="1"/>
  <c r="I14730" i="1"/>
  <c r="J14730" i="1"/>
  <c r="K14730" i="1"/>
  <c r="L14730" i="1"/>
  <c r="A14731" i="1"/>
  <c r="B14731" i="1"/>
  <c r="C14731" i="1"/>
  <c r="D14731" i="1"/>
  <c r="E14731" i="1"/>
  <c r="F14731" i="1"/>
  <c r="G14731" i="1"/>
  <c r="H14731" i="1"/>
  <c r="I14731" i="1"/>
  <c r="J14731" i="1"/>
  <c r="K14731" i="1"/>
  <c r="L14731" i="1"/>
  <c r="A14732" i="1"/>
  <c r="B14732" i="1"/>
  <c r="C14732" i="1"/>
  <c r="D14732" i="1"/>
  <c r="E14732" i="1"/>
  <c r="F14732" i="1"/>
  <c r="G14732" i="1"/>
  <c r="H14732" i="1"/>
  <c r="I14732" i="1"/>
  <c r="J14732" i="1"/>
  <c r="K14732" i="1"/>
  <c r="L14732" i="1"/>
  <c r="A14733" i="1"/>
  <c r="B14733" i="1"/>
  <c r="C14733" i="1"/>
  <c r="D14733" i="1"/>
  <c r="E14733" i="1"/>
  <c r="F14733" i="1"/>
  <c r="G14733" i="1"/>
  <c r="H14733" i="1"/>
  <c r="I14733" i="1"/>
  <c r="J14733" i="1"/>
  <c r="K14733" i="1"/>
  <c r="L14733" i="1"/>
  <c r="A14734" i="1"/>
  <c r="B14734" i="1"/>
  <c r="C14734" i="1"/>
  <c r="D14734" i="1"/>
  <c r="E14734" i="1"/>
  <c r="F14734" i="1"/>
  <c r="G14734" i="1"/>
  <c r="H14734" i="1"/>
  <c r="I14734" i="1"/>
  <c r="J14734" i="1"/>
  <c r="K14734" i="1"/>
  <c r="L14734" i="1"/>
  <c r="A14735" i="1"/>
  <c r="B14735" i="1"/>
  <c r="C14735" i="1"/>
  <c r="D14735" i="1"/>
  <c r="E14735" i="1"/>
  <c r="F14735" i="1"/>
  <c r="G14735" i="1"/>
  <c r="H14735" i="1"/>
  <c r="I14735" i="1"/>
  <c r="J14735" i="1"/>
  <c r="K14735" i="1"/>
  <c r="L14735" i="1"/>
  <c r="A14736" i="1"/>
  <c r="B14736" i="1"/>
  <c r="C14736" i="1"/>
  <c r="D14736" i="1"/>
  <c r="E14736" i="1"/>
  <c r="F14736" i="1"/>
  <c r="G14736" i="1"/>
  <c r="H14736" i="1"/>
  <c r="I14736" i="1"/>
  <c r="J14736" i="1"/>
  <c r="K14736" i="1"/>
  <c r="L14736" i="1"/>
  <c r="A14737" i="1"/>
  <c r="B14737" i="1"/>
  <c r="C14737" i="1"/>
  <c r="D14737" i="1"/>
  <c r="E14737" i="1"/>
  <c r="F14737" i="1"/>
  <c r="G14737" i="1"/>
  <c r="H14737" i="1"/>
  <c r="I14737" i="1"/>
  <c r="J14737" i="1"/>
  <c r="K14737" i="1"/>
  <c r="L14737" i="1"/>
  <c r="A14738" i="1"/>
  <c r="B14738" i="1"/>
  <c r="C14738" i="1"/>
  <c r="D14738" i="1"/>
  <c r="E14738" i="1"/>
  <c r="F14738" i="1"/>
  <c r="G14738" i="1"/>
  <c r="H14738" i="1"/>
  <c r="I14738" i="1"/>
  <c r="J14738" i="1"/>
  <c r="K14738" i="1"/>
  <c r="L14738" i="1"/>
  <c r="A14739" i="1"/>
  <c r="B14739" i="1"/>
  <c r="C14739" i="1"/>
  <c r="D14739" i="1"/>
  <c r="E14739" i="1"/>
  <c r="F14739" i="1"/>
  <c r="G14739" i="1"/>
  <c r="H14739" i="1"/>
  <c r="I14739" i="1"/>
  <c r="J14739" i="1"/>
  <c r="K14739" i="1"/>
  <c r="L14739" i="1"/>
  <c r="A14740" i="1"/>
  <c r="B14740" i="1"/>
  <c r="C14740" i="1"/>
  <c r="D14740" i="1"/>
  <c r="E14740" i="1"/>
  <c r="F14740" i="1"/>
  <c r="G14740" i="1"/>
  <c r="H14740" i="1"/>
  <c r="I14740" i="1"/>
  <c r="J14740" i="1"/>
  <c r="K14740" i="1"/>
  <c r="L14740" i="1"/>
  <c r="A14741" i="1"/>
  <c r="B14741" i="1"/>
  <c r="C14741" i="1"/>
  <c r="D14741" i="1"/>
  <c r="E14741" i="1"/>
  <c r="F14741" i="1"/>
  <c r="G14741" i="1"/>
  <c r="H14741" i="1"/>
  <c r="I14741" i="1"/>
  <c r="J14741" i="1"/>
  <c r="K14741" i="1"/>
  <c r="L14741" i="1"/>
  <c r="A14742" i="1"/>
  <c r="B14742" i="1"/>
  <c r="C14742" i="1"/>
  <c r="D14742" i="1"/>
  <c r="E14742" i="1"/>
  <c r="F14742" i="1"/>
  <c r="G14742" i="1"/>
  <c r="H14742" i="1"/>
  <c r="I14742" i="1"/>
  <c r="J14742" i="1"/>
  <c r="K14742" i="1"/>
  <c r="L14742" i="1"/>
  <c r="A14743" i="1"/>
  <c r="B14743" i="1"/>
  <c r="C14743" i="1"/>
  <c r="D14743" i="1"/>
  <c r="E14743" i="1"/>
  <c r="F14743" i="1"/>
  <c r="G14743" i="1"/>
  <c r="H14743" i="1"/>
  <c r="I14743" i="1"/>
  <c r="J14743" i="1"/>
  <c r="K14743" i="1"/>
  <c r="L14743" i="1"/>
  <c r="A14744" i="1"/>
  <c r="B14744" i="1"/>
  <c r="C14744" i="1"/>
  <c r="D14744" i="1"/>
  <c r="E14744" i="1"/>
  <c r="F14744" i="1"/>
  <c r="G14744" i="1"/>
  <c r="H14744" i="1"/>
  <c r="I14744" i="1"/>
  <c r="J14744" i="1"/>
  <c r="K14744" i="1"/>
  <c r="L14744" i="1"/>
  <c r="A14745" i="1"/>
  <c r="B14745" i="1"/>
  <c r="C14745" i="1"/>
  <c r="D14745" i="1"/>
  <c r="E14745" i="1"/>
  <c r="F14745" i="1"/>
  <c r="G14745" i="1"/>
  <c r="H14745" i="1"/>
  <c r="I14745" i="1"/>
  <c r="J14745" i="1"/>
  <c r="K14745" i="1"/>
  <c r="L14745" i="1"/>
  <c r="A14746" i="1"/>
  <c r="B14746" i="1"/>
  <c r="C14746" i="1"/>
  <c r="D14746" i="1"/>
  <c r="E14746" i="1"/>
  <c r="F14746" i="1"/>
  <c r="G14746" i="1"/>
  <c r="H14746" i="1"/>
  <c r="I14746" i="1"/>
  <c r="J14746" i="1"/>
  <c r="K14746" i="1"/>
  <c r="L14746" i="1"/>
  <c r="A14747" i="1"/>
  <c r="B14747" i="1"/>
  <c r="C14747" i="1"/>
  <c r="D14747" i="1"/>
  <c r="E14747" i="1"/>
  <c r="F14747" i="1"/>
  <c r="G14747" i="1"/>
  <c r="H14747" i="1"/>
  <c r="I14747" i="1"/>
  <c r="J14747" i="1"/>
  <c r="K14747" i="1"/>
  <c r="L14747" i="1"/>
  <c r="A14748" i="1"/>
  <c r="B14748" i="1"/>
  <c r="C14748" i="1"/>
  <c r="D14748" i="1"/>
  <c r="E14748" i="1"/>
  <c r="F14748" i="1"/>
  <c r="G14748" i="1"/>
  <c r="H14748" i="1"/>
  <c r="I14748" i="1"/>
  <c r="J14748" i="1"/>
  <c r="K14748" i="1"/>
  <c r="L14748" i="1"/>
  <c r="A14749" i="1"/>
  <c r="B14749" i="1"/>
  <c r="C14749" i="1"/>
  <c r="D14749" i="1"/>
  <c r="E14749" i="1"/>
  <c r="F14749" i="1"/>
  <c r="G14749" i="1"/>
  <c r="H14749" i="1"/>
  <c r="I14749" i="1"/>
  <c r="J14749" i="1"/>
  <c r="K14749" i="1"/>
  <c r="L14749" i="1"/>
  <c r="A14750" i="1"/>
  <c r="B14750" i="1"/>
  <c r="C14750" i="1"/>
  <c r="D14750" i="1"/>
  <c r="E14750" i="1"/>
  <c r="F14750" i="1"/>
  <c r="G14750" i="1"/>
  <c r="H14750" i="1"/>
  <c r="I14750" i="1"/>
  <c r="J14750" i="1"/>
  <c r="K14750" i="1"/>
  <c r="L14750" i="1"/>
  <c r="A14751" i="1"/>
  <c r="B14751" i="1"/>
  <c r="C14751" i="1"/>
  <c r="D14751" i="1"/>
  <c r="E14751" i="1"/>
  <c r="F14751" i="1"/>
  <c r="G14751" i="1"/>
  <c r="H14751" i="1"/>
  <c r="I14751" i="1"/>
  <c r="J14751" i="1"/>
  <c r="K14751" i="1"/>
  <c r="L14751" i="1"/>
  <c r="A14752" i="1"/>
  <c r="B14752" i="1"/>
  <c r="C14752" i="1"/>
  <c r="D14752" i="1"/>
  <c r="E14752" i="1"/>
  <c r="F14752" i="1"/>
  <c r="G14752" i="1"/>
  <c r="H14752" i="1"/>
  <c r="I14752" i="1"/>
  <c r="J14752" i="1"/>
  <c r="K14752" i="1"/>
  <c r="L14752" i="1"/>
  <c r="A14753" i="1"/>
  <c r="B14753" i="1"/>
  <c r="C14753" i="1"/>
  <c r="D14753" i="1"/>
  <c r="E14753" i="1"/>
  <c r="F14753" i="1"/>
  <c r="G14753" i="1"/>
  <c r="H14753" i="1"/>
  <c r="I14753" i="1"/>
  <c r="J14753" i="1"/>
  <c r="K14753" i="1"/>
  <c r="L14753" i="1"/>
  <c r="A14754" i="1"/>
  <c r="B14754" i="1"/>
  <c r="C14754" i="1"/>
  <c r="D14754" i="1"/>
  <c r="E14754" i="1"/>
  <c r="F14754" i="1"/>
  <c r="G14754" i="1"/>
  <c r="H14754" i="1"/>
  <c r="I14754" i="1"/>
  <c r="J14754" i="1"/>
  <c r="K14754" i="1"/>
  <c r="L14754" i="1"/>
  <c r="A14755" i="1"/>
  <c r="B14755" i="1"/>
  <c r="C14755" i="1"/>
  <c r="D14755" i="1"/>
  <c r="E14755" i="1"/>
  <c r="F14755" i="1"/>
  <c r="G14755" i="1"/>
  <c r="H14755" i="1"/>
  <c r="I14755" i="1"/>
  <c r="J14755" i="1"/>
  <c r="K14755" i="1"/>
  <c r="L14755" i="1"/>
  <c r="A14756" i="1"/>
  <c r="B14756" i="1"/>
  <c r="C14756" i="1"/>
  <c r="D14756" i="1"/>
  <c r="E14756" i="1"/>
  <c r="F14756" i="1"/>
  <c r="G14756" i="1"/>
  <c r="H14756" i="1"/>
  <c r="I14756" i="1"/>
  <c r="J14756" i="1"/>
  <c r="K14756" i="1"/>
  <c r="L14756" i="1"/>
  <c r="A14757" i="1"/>
  <c r="B14757" i="1"/>
  <c r="C14757" i="1"/>
  <c r="D14757" i="1"/>
  <c r="E14757" i="1"/>
  <c r="F14757" i="1"/>
  <c r="G14757" i="1"/>
  <c r="H14757" i="1"/>
  <c r="I14757" i="1"/>
  <c r="J14757" i="1"/>
  <c r="K14757" i="1"/>
  <c r="L14757" i="1"/>
  <c r="A14758" i="1"/>
  <c r="B14758" i="1"/>
  <c r="C14758" i="1"/>
  <c r="D14758" i="1"/>
  <c r="E14758" i="1"/>
  <c r="F14758" i="1"/>
  <c r="G14758" i="1"/>
  <c r="H14758" i="1"/>
  <c r="I14758" i="1"/>
  <c r="J14758" i="1"/>
  <c r="K14758" i="1"/>
  <c r="L14758" i="1"/>
  <c r="A14759" i="1"/>
  <c r="B14759" i="1"/>
  <c r="C14759" i="1"/>
  <c r="D14759" i="1"/>
  <c r="E14759" i="1"/>
  <c r="F14759" i="1"/>
  <c r="G14759" i="1"/>
  <c r="H14759" i="1"/>
  <c r="I14759" i="1"/>
  <c r="J14759" i="1"/>
  <c r="K14759" i="1"/>
  <c r="L14759" i="1"/>
  <c r="A14760" i="1"/>
  <c r="B14760" i="1"/>
  <c r="C14760" i="1"/>
  <c r="D14760" i="1"/>
  <c r="E14760" i="1"/>
  <c r="F14760" i="1"/>
  <c r="G14760" i="1"/>
  <c r="H14760" i="1"/>
  <c r="I14760" i="1"/>
  <c r="J14760" i="1"/>
  <c r="K14760" i="1"/>
  <c r="L14760" i="1"/>
  <c r="A14761" i="1"/>
  <c r="B14761" i="1"/>
  <c r="C14761" i="1"/>
  <c r="D14761" i="1"/>
  <c r="E14761" i="1"/>
  <c r="F14761" i="1"/>
  <c r="G14761" i="1"/>
  <c r="H14761" i="1"/>
  <c r="I14761" i="1"/>
  <c r="J14761" i="1"/>
  <c r="K14761" i="1"/>
  <c r="L14761" i="1"/>
  <c r="A14762" i="1"/>
  <c r="B14762" i="1"/>
  <c r="C14762" i="1"/>
  <c r="D14762" i="1"/>
  <c r="E14762" i="1"/>
  <c r="F14762" i="1"/>
  <c r="G14762" i="1"/>
  <c r="H14762" i="1"/>
  <c r="I14762" i="1"/>
  <c r="J14762" i="1"/>
  <c r="K14762" i="1"/>
  <c r="L14762" i="1"/>
  <c r="A14763" i="1"/>
  <c r="B14763" i="1"/>
  <c r="C14763" i="1"/>
  <c r="D14763" i="1"/>
  <c r="E14763" i="1"/>
  <c r="F14763" i="1"/>
  <c r="G14763" i="1"/>
  <c r="H14763" i="1"/>
  <c r="I14763" i="1"/>
  <c r="J14763" i="1"/>
  <c r="K14763" i="1"/>
  <c r="L14763" i="1"/>
  <c r="A14764" i="1"/>
  <c r="B14764" i="1"/>
  <c r="C14764" i="1"/>
  <c r="D14764" i="1"/>
  <c r="E14764" i="1"/>
  <c r="F14764" i="1"/>
  <c r="G14764" i="1"/>
  <c r="H14764" i="1"/>
  <c r="I14764" i="1"/>
  <c r="J14764" i="1"/>
  <c r="K14764" i="1"/>
  <c r="L14764" i="1"/>
  <c r="A14765" i="1"/>
  <c r="B14765" i="1"/>
  <c r="C14765" i="1"/>
  <c r="D14765" i="1"/>
  <c r="E14765" i="1"/>
  <c r="F14765" i="1"/>
  <c r="G14765" i="1"/>
  <c r="H14765" i="1"/>
  <c r="I14765" i="1"/>
  <c r="J14765" i="1"/>
  <c r="K14765" i="1"/>
  <c r="L14765" i="1"/>
  <c r="A14766" i="1"/>
  <c r="B14766" i="1"/>
  <c r="C14766" i="1"/>
  <c r="D14766" i="1"/>
  <c r="E14766" i="1"/>
  <c r="F14766" i="1"/>
  <c r="G14766" i="1"/>
  <c r="H14766" i="1"/>
  <c r="I14766" i="1"/>
  <c r="J14766" i="1"/>
  <c r="K14766" i="1"/>
  <c r="L14766" i="1"/>
  <c r="A14767" i="1"/>
  <c r="B14767" i="1"/>
  <c r="C14767" i="1"/>
  <c r="D14767" i="1"/>
  <c r="E14767" i="1"/>
  <c r="F14767" i="1"/>
  <c r="G14767" i="1"/>
  <c r="H14767" i="1"/>
  <c r="I14767" i="1"/>
  <c r="J14767" i="1"/>
  <c r="K14767" i="1"/>
  <c r="L14767" i="1"/>
  <c r="A14768" i="1"/>
  <c r="B14768" i="1"/>
  <c r="C14768" i="1"/>
  <c r="D14768" i="1"/>
  <c r="E14768" i="1"/>
  <c r="F14768" i="1"/>
  <c r="G14768" i="1"/>
  <c r="H14768" i="1"/>
  <c r="I14768" i="1"/>
  <c r="J14768" i="1"/>
  <c r="K14768" i="1"/>
  <c r="L14768" i="1"/>
  <c r="A14769" i="1"/>
  <c r="B14769" i="1"/>
  <c r="C14769" i="1"/>
  <c r="D14769" i="1"/>
  <c r="E14769" i="1"/>
  <c r="F14769" i="1"/>
  <c r="G14769" i="1"/>
  <c r="H14769" i="1"/>
  <c r="I14769" i="1"/>
  <c r="J14769" i="1"/>
  <c r="K14769" i="1"/>
  <c r="L14769" i="1"/>
  <c r="A14770" i="1"/>
  <c r="B14770" i="1"/>
  <c r="C14770" i="1"/>
  <c r="D14770" i="1"/>
  <c r="E14770" i="1"/>
  <c r="F14770" i="1"/>
  <c r="G14770" i="1"/>
  <c r="H14770" i="1"/>
  <c r="I14770" i="1"/>
  <c r="J14770" i="1"/>
  <c r="K14770" i="1"/>
  <c r="L14770" i="1"/>
  <c r="A14771" i="1"/>
  <c r="B14771" i="1"/>
  <c r="C14771" i="1"/>
  <c r="D14771" i="1"/>
  <c r="E14771" i="1"/>
  <c r="F14771" i="1"/>
  <c r="G14771" i="1"/>
  <c r="H14771" i="1"/>
  <c r="I14771" i="1"/>
  <c r="J14771" i="1"/>
  <c r="K14771" i="1"/>
  <c r="L14771" i="1"/>
  <c r="A14772" i="1"/>
  <c r="B14772" i="1"/>
  <c r="C14772" i="1"/>
  <c r="D14772" i="1"/>
  <c r="E14772" i="1"/>
  <c r="F14772" i="1"/>
  <c r="G14772" i="1"/>
  <c r="H14772" i="1"/>
  <c r="I14772" i="1"/>
  <c r="J14772" i="1"/>
  <c r="K14772" i="1"/>
  <c r="L14772" i="1"/>
  <c r="A14773" i="1"/>
  <c r="B14773" i="1"/>
  <c r="C14773" i="1"/>
  <c r="D14773" i="1"/>
  <c r="E14773" i="1"/>
  <c r="F14773" i="1"/>
  <c r="G14773" i="1"/>
  <c r="H14773" i="1"/>
  <c r="I14773" i="1"/>
  <c r="J14773" i="1"/>
  <c r="K14773" i="1"/>
  <c r="L14773" i="1"/>
  <c r="A14774" i="1"/>
  <c r="B14774" i="1"/>
  <c r="C14774" i="1"/>
  <c r="D14774" i="1"/>
  <c r="E14774" i="1"/>
  <c r="F14774" i="1"/>
  <c r="G14774" i="1"/>
  <c r="H14774" i="1"/>
  <c r="I14774" i="1"/>
  <c r="J14774" i="1"/>
  <c r="K14774" i="1"/>
  <c r="L14774" i="1"/>
  <c r="A14775" i="1"/>
  <c r="B14775" i="1"/>
  <c r="C14775" i="1"/>
  <c r="D14775" i="1"/>
  <c r="E14775" i="1"/>
  <c r="F14775" i="1"/>
  <c r="G14775" i="1"/>
  <c r="H14775" i="1"/>
  <c r="I14775" i="1"/>
  <c r="J14775" i="1"/>
  <c r="K14775" i="1"/>
  <c r="L14775" i="1"/>
  <c r="A14776" i="1"/>
  <c r="B14776" i="1"/>
  <c r="C14776" i="1"/>
  <c r="D14776" i="1"/>
  <c r="E14776" i="1"/>
  <c r="F14776" i="1"/>
  <c r="G14776" i="1"/>
  <c r="H14776" i="1"/>
  <c r="I14776" i="1"/>
  <c r="J14776" i="1"/>
  <c r="K14776" i="1"/>
  <c r="L14776" i="1"/>
  <c r="A14777" i="1"/>
  <c r="B14777" i="1"/>
  <c r="C14777" i="1"/>
  <c r="D14777" i="1"/>
  <c r="E14777" i="1"/>
  <c r="F14777" i="1"/>
  <c r="G14777" i="1"/>
  <c r="H14777" i="1"/>
  <c r="I14777" i="1"/>
  <c r="J14777" i="1"/>
  <c r="K14777" i="1"/>
  <c r="L14777" i="1"/>
  <c r="A14778" i="1"/>
  <c r="B14778" i="1"/>
  <c r="C14778" i="1"/>
  <c r="D14778" i="1"/>
  <c r="E14778" i="1"/>
  <c r="F14778" i="1"/>
  <c r="G14778" i="1"/>
  <c r="H14778" i="1"/>
  <c r="I14778" i="1"/>
  <c r="J14778" i="1"/>
  <c r="K14778" i="1"/>
  <c r="L14778" i="1"/>
  <c r="A14779" i="1"/>
  <c r="B14779" i="1"/>
  <c r="C14779" i="1"/>
  <c r="D14779" i="1"/>
  <c r="E14779" i="1"/>
  <c r="F14779" i="1"/>
  <c r="G14779" i="1"/>
  <c r="H14779" i="1"/>
  <c r="I14779" i="1"/>
  <c r="J14779" i="1"/>
  <c r="K14779" i="1"/>
  <c r="L14779" i="1"/>
  <c r="A14780" i="1"/>
  <c r="B14780" i="1"/>
  <c r="C14780" i="1"/>
  <c r="D14780" i="1"/>
  <c r="E14780" i="1"/>
  <c r="F14780" i="1"/>
  <c r="G14780" i="1"/>
  <c r="H14780" i="1"/>
  <c r="I14780" i="1"/>
  <c r="J14780" i="1"/>
  <c r="K14780" i="1"/>
  <c r="L14780" i="1"/>
  <c r="A14781" i="1"/>
  <c r="B14781" i="1"/>
  <c r="C14781" i="1"/>
  <c r="D14781" i="1"/>
  <c r="E14781" i="1"/>
  <c r="F14781" i="1"/>
  <c r="G14781" i="1"/>
  <c r="H14781" i="1"/>
  <c r="I14781" i="1"/>
  <c r="J14781" i="1"/>
  <c r="K14781" i="1"/>
  <c r="L14781" i="1"/>
  <c r="A14782" i="1"/>
  <c r="B14782" i="1"/>
  <c r="C14782" i="1"/>
  <c r="D14782" i="1"/>
  <c r="E14782" i="1"/>
  <c r="F14782" i="1"/>
  <c r="G14782" i="1"/>
  <c r="H14782" i="1"/>
  <c r="I14782" i="1"/>
  <c r="J14782" i="1"/>
  <c r="K14782" i="1"/>
  <c r="L14782" i="1"/>
  <c r="A14783" i="1"/>
  <c r="B14783" i="1"/>
  <c r="C14783" i="1"/>
  <c r="D14783" i="1"/>
  <c r="E14783" i="1"/>
  <c r="F14783" i="1"/>
  <c r="G14783" i="1"/>
  <c r="H14783" i="1"/>
  <c r="I14783" i="1"/>
  <c r="J14783" i="1"/>
  <c r="K14783" i="1"/>
  <c r="L14783" i="1"/>
  <c r="A14784" i="1"/>
  <c r="B14784" i="1"/>
  <c r="C14784" i="1"/>
  <c r="D14784" i="1"/>
  <c r="E14784" i="1"/>
  <c r="F14784" i="1"/>
  <c r="G14784" i="1"/>
  <c r="H14784" i="1"/>
  <c r="I14784" i="1"/>
  <c r="J14784" i="1"/>
  <c r="K14784" i="1"/>
  <c r="L14784" i="1"/>
  <c r="A14785" i="1"/>
  <c r="B14785" i="1"/>
  <c r="C14785" i="1"/>
  <c r="D14785" i="1"/>
  <c r="E14785" i="1"/>
  <c r="F14785" i="1"/>
  <c r="G14785" i="1"/>
  <c r="H14785" i="1"/>
  <c r="I14785" i="1"/>
  <c r="J14785" i="1"/>
  <c r="K14785" i="1"/>
  <c r="L14785" i="1"/>
  <c r="A14786" i="1"/>
  <c r="B14786" i="1"/>
  <c r="C14786" i="1"/>
  <c r="D14786" i="1"/>
  <c r="E14786" i="1"/>
  <c r="F14786" i="1"/>
  <c r="G14786" i="1"/>
  <c r="H14786" i="1"/>
  <c r="I14786" i="1"/>
  <c r="J14786" i="1"/>
  <c r="K14786" i="1"/>
  <c r="L14786" i="1"/>
  <c r="A14787" i="1"/>
  <c r="B14787" i="1"/>
  <c r="C14787" i="1"/>
  <c r="D14787" i="1"/>
  <c r="E14787" i="1"/>
  <c r="F14787" i="1"/>
  <c r="G14787" i="1"/>
  <c r="H14787" i="1"/>
  <c r="I14787" i="1"/>
  <c r="J14787" i="1"/>
  <c r="K14787" i="1"/>
  <c r="L14787" i="1"/>
  <c r="A14788" i="1"/>
  <c r="B14788" i="1"/>
  <c r="C14788" i="1"/>
  <c r="D14788" i="1"/>
  <c r="E14788" i="1"/>
  <c r="F14788" i="1"/>
  <c r="G14788" i="1"/>
  <c r="H14788" i="1"/>
  <c r="I14788" i="1"/>
  <c r="J14788" i="1"/>
  <c r="K14788" i="1"/>
  <c r="L14788" i="1"/>
  <c r="A14789" i="1"/>
  <c r="B14789" i="1"/>
  <c r="C14789" i="1"/>
  <c r="D14789" i="1"/>
  <c r="E14789" i="1"/>
  <c r="F14789" i="1"/>
  <c r="G14789" i="1"/>
  <c r="H14789" i="1"/>
  <c r="I14789" i="1"/>
  <c r="J14789" i="1"/>
  <c r="K14789" i="1"/>
  <c r="L14789" i="1"/>
  <c r="A14790" i="1"/>
  <c r="B14790" i="1"/>
  <c r="C14790" i="1"/>
  <c r="D14790" i="1"/>
  <c r="E14790" i="1"/>
  <c r="F14790" i="1"/>
  <c r="G14790" i="1"/>
  <c r="H14790" i="1"/>
  <c r="I14790" i="1"/>
  <c r="J14790" i="1"/>
  <c r="K14790" i="1"/>
  <c r="L14790" i="1"/>
  <c r="A14791" i="1"/>
  <c r="B14791" i="1"/>
  <c r="C14791" i="1"/>
  <c r="D14791" i="1"/>
  <c r="E14791" i="1"/>
  <c r="F14791" i="1"/>
  <c r="G14791" i="1"/>
  <c r="H14791" i="1"/>
  <c r="I14791" i="1"/>
  <c r="J14791" i="1"/>
  <c r="K14791" i="1"/>
  <c r="L14791" i="1"/>
  <c r="A14792" i="1"/>
  <c r="B14792" i="1"/>
  <c r="C14792" i="1"/>
  <c r="D14792" i="1"/>
  <c r="E14792" i="1"/>
  <c r="F14792" i="1"/>
  <c r="G14792" i="1"/>
  <c r="H14792" i="1"/>
  <c r="I14792" i="1"/>
  <c r="J14792" i="1"/>
  <c r="K14792" i="1"/>
  <c r="L14792" i="1"/>
  <c r="A14793" i="1"/>
  <c r="B14793" i="1"/>
  <c r="C14793" i="1"/>
  <c r="D14793" i="1"/>
  <c r="E14793" i="1"/>
  <c r="F14793" i="1"/>
  <c r="G14793" i="1"/>
  <c r="H14793" i="1"/>
  <c r="I14793" i="1"/>
  <c r="J14793" i="1"/>
  <c r="K14793" i="1"/>
  <c r="L14793" i="1"/>
  <c r="A14794" i="1"/>
  <c r="B14794" i="1"/>
  <c r="C14794" i="1"/>
  <c r="D14794" i="1"/>
  <c r="E14794" i="1"/>
  <c r="F14794" i="1"/>
  <c r="G14794" i="1"/>
  <c r="H14794" i="1"/>
  <c r="I14794" i="1"/>
  <c r="J14794" i="1"/>
  <c r="K14794" i="1"/>
  <c r="L14794" i="1"/>
  <c r="A14795" i="1"/>
  <c r="B14795" i="1"/>
  <c r="C14795" i="1"/>
  <c r="D14795" i="1"/>
  <c r="E14795" i="1"/>
  <c r="F14795" i="1"/>
  <c r="G14795" i="1"/>
  <c r="H14795" i="1"/>
  <c r="I14795" i="1"/>
  <c r="J14795" i="1"/>
  <c r="K14795" i="1"/>
  <c r="L14795" i="1"/>
  <c r="A14796" i="1"/>
  <c r="B14796" i="1"/>
  <c r="C14796" i="1"/>
  <c r="D14796" i="1"/>
  <c r="E14796" i="1"/>
  <c r="F14796" i="1"/>
  <c r="G14796" i="1"/>
  <c r="H14796" i="1"/>
  <c r="I14796" i="1"/>
  <c r="J14796" i="1"/>
  <c r="K14796" i="1"/>
  <c r="L14796" i="1"/>
  <c r="A14797" i="1"/>
  <c r="B14797" i="1"/>
  <c r="C14797" i="1"/>
  <c r="D14797" i="1"/>
  <c r="E14797" i="1"/>
  <c r="F14797" i="1"/>
  <c r="G14797" i="1"/>
  <c r="H14797" i="1"/>
  <c r="I14797" i="1"/>
  <c r="J14797" i="1"/>
  <c r="K14797" i="1"/>
  <c r="L14797" i="1"/>
  <c r="A14798" i="1"/>
  <c r="B14798" i="1"/>
  <c r="C14798" i="1"/>
  <c r="D14798" i="1"/>
  <c r="E14798" i="1"/>
  <c r="F14798" i="1"/>
  <c r="G14798" i="1"/>
  <c r="H14798" i="1"/>
  <c r="I14798" i="1"/>
  <c r="J14798" i="1"/>
  <c r="K14798" i="1"/>
  <c r="L14798" i="1"/>
  <c r="A14799" i="1"/>
  <c r="B14799" i="1"/>
  <c r="C14799" i="1"/>
  <c r="D14799" i="1"/>
  <c r="E14799" i="1"/>
  <c r="F14799" i="1"/>
  <c r="G14799" i="1"/>
  <c r="H14799" i="1"/>
  <c r="I14799" i="1"/>
  <c r="J14799" i="1"/>
  <c r="K14799" i="1"/>
  <c r="L14799" i="1"/>
  <c r="A14800" i="1"/>
  <c r="B14800" i="1"/>
  <c r="C14800" i="1"/>
  <c r="D14800" i="1"/>
  <c r="E14800" i="1"/>
  <c r="F14800" i="1"/>
  <c r="G14800" i="1"/>
  <c r="H14800" i="1"/>
  <c r="I14800" i="1"/>
  <c r="J14800" i="1"/>
  <c r="K14800" i="1"/>
  <c r="L14800" i="1"/>
  <c r="A14801" i="1"/>
  <c r="B14801" i="1"/>
  <c r="C14801" i="1"/>
  <c r="D14801" i="1"/>
  <c r="E14801" i="1"/>
  <c r="F14801" i="1"/>
  <c r="G14801" i="1"/>
  <c r="H14801" i="1"/>
  <c r="I14801" i="1"/>
  <c r="J14801" i="1"/>
  <c r="K14801" i="1"/>
  <c r="L14801" i="1"/>
  <c r="A14802" i="1"/>
  <c r="B14802" i="1"/>
  <c r="C14802" i="1"/>
  <c r="D14802" i="1"/>
  <c r="E14802" i="1"/>
  <c r="F14802" i="1"/>
  <c r="G14802" i="1"/>
  <c r="H14802" i="1"/>
  <c r="I14802" i="1"/>
  <c r="J14802" i="1"/>
  <c r="K14802" i="1"/>
  <c r="L14802" i="1"/>
  <c r="A14803" i="1"/>
  <c r="B14803" i="1"/>
  <c r="C14803" i="1"/>
  <c r="D14803" i="1"/>
  <c r="E14803" i="1"/>
  <c r="F14803" i="1"/>
  <c r="G14803" i="1"/>
  <c r="H14803" i="1"/>
  <c r="I14803" i="1"/>
  <c r="J14803" i="1"/>
  <c r="K14803" i="1"/>
  <c r="L14803" i="1"/>
  <c r="A14804" i="1"/>
  <c r="B14804" i="1"/>
  <c r="C14804" i="1"/>
  <c r="D14804" i="1"/>
  <c r="E14804" i="1"/>
  <c r="F14804" i="1"/>
  <c r="G14804" i="1"/>
  <c r="H14804" i="1"/>
  <c r="I14804" i="1"/>
  <c r="J14804" i="1"/>
  <c r="K14804" i="1"/>
  <c r="L14804" i="1"/>
  <c r="A14805" i="1"/>
  <c r="B14805" i="1"/>
  <c r="C14805" i="1"/>
  <c r="D14805" i="1"/>
  <c r="E14805" i="1"/>
  <c r="F14805" i="1"/>
  <c r="G14805" i="1"/>
  <c r="H14805" i="1"/>
  <c r="I14805" i="1"/>
  <c r="J14805" i="1"/>
  <c r="K14805" i="1"/>
  <c r="L14805" i="1"/>
  <c r="A14806" i="1"/>
  <c r="B14806" i="1"/>
  <c r="C14806" i="1"/>
  <c r="D14806" i="1"/>
  <c r="E14806" i="1"/>
  <c r="F14806" i="1"/>
  <c r="G14806" i="1"/>
  <c r="H14806" i="1"/>
  <c r="I14806" i="1"/>
  <c r="J14806" i="1"/>
  <c r="K14806" i="1"/>
  <c r="L14806" i="1"/>
  <c r="A14807" i="1"/>
  <c r="B14807" i="1"/>
  <c r="C14807" i="1"/>
  <c r="D14807" i="1"/>
  <c r="E14807" i="1"/>
  <c r="F14807" i="1"/>
  <c r="G14807" i="1"/>
  <c r="H14807" i="1"/>
  <c r="I14807" i="1"/>
  <c r="J14807" i="1"/>
  <c r="K14807" i="1"/>
  <c r="L14807" i="1"/>
  <c r="A14808" i="1"/>
  <c r="B14808" i="1"/>
  <c r="C14808" i="1"/>
  <c r="D14808" i="1"/>
  <c r="E14808" i="1"/>
  <c r="F14808" i="1"/>
  <c r="G14808" i="1"/>
  <c r="H14808" i="1"/>
  <c r="I14808" i="1"/>
  <c r="J14808" i="1"/>
  <c r="K14808" i="1"/>
  <c r="L14808" i="1"/>
  <c r="A14809" i="1"/>
  <c r="B14809" i="1"/>
  <c r="C14809" i="1"/>
  <c r="D14809" i="1"/>
  <c r="E14809" i="1"/>
  <c r="F14809" i="1"/>
  <c r="G14809" i="1"/>
  <c r="H14809" i="1"/>
  <c r="I14809" i="1"/>
  <c r="J14809" i="1"/>
  <c r="K14809" i="1"/>
  <c r="L14809" i="1"/>
  <c r="A14810" i="1"/>
  <c r="B14810" i="1"/>
  <c r="C14810" i="1"/>
  <c r="D14810" i="1"/>
  <c r="E14810" i="1"/>
  <c r="F14810" i="1"/>
  <c r="G14810" i="1"/>
  <c r="H14810" i="1"/>
  <c r="I14810" i="1"/>
  <c r="J14810" i="1"/>
  <c r="K14810" i="1"/>
  <c r="L14810" i="1"/>
  <c r="A14811" i="1"/>
  <c r="B14811" i="1"/>
  <c r="C14811" i="1"/>
  <c r="D14811" i="1"/>
  <c r="E14811" i="1"/>
  <c r="F14811" i="1"/>
  <c r="G14811" i="1"/>
  <c r="H14811" i="1"/>
  <c r="I14811" i="1"/>
  <c r="J14811" i="1"/>
  <c r="K14811" i="1"/>
  <c r="L14811" i="1"/>
  <c r="A14812" i="1"/>
  <c r="B14812" i="1"/>
  <c r="C14812" i="1"/>
  <c r="D14812" i="1"/>
  <c r="E14812" i="1"/>
  <c r="F14812" i="1"/>
  <c r="G14812" i="1"/>
  <c r="H14812" i="1"/>
  <c r="I14812" i="1"/>
  <c r="J14812" i="1"/>
  <c r="K14812" i="1"/>
  <c r="L14812" i="1"/>
  <c r="A14813" i="1"/>
  <c r="B14813" i="1"/>
  <c r="C14813" i="1"/>
  <c r="D14813" i="1"/>
  <c r="E14813" i="1"/>
  <c r="F14813" i="1"/>
  <c r="G14813" i="1"/>
  <c r="H14813" i="1"/>
  <c r="I14813" i="1"/>
  <c r="J14813" i="1"/>
  <c r="K14813" i="1"/>
  <c r="L14813" i="1"/>
  <c r="A14814" i="1"/>
  <c r="B14814" i="1"/>
  <c r="C14814" i="1"/>
  <c r="D14814" i="1"/>
  <c r="E14814" i="1"/>
  <c r="F14814" i="1"/>
  <c r="G14814" i="1"/>
  <c r="H14814" i="1"/>
  <c r="I14814" i="1"/>
  <c r="J14814" i="1"/>
  <c r="K14814" i="1"/>
  <c r="L14814" i="1"/>
  <c r="A14815" i="1"/>
  <c r="B14815" i="1"/>
  <c r="C14815" i="1"/>
  <c r="D14815" i="1"/>
  <c r="E14815" i="1"/>
  <c r="F14815" i="1"/>
  <c r="G14815" i="1"/>
  <c r="H14815" i="1"/>
  <c r="I14815" i="1"/>
  <c r="J14815" i="1"/>
  <c r="K14815" i="1"/>
  <c r="L14815" i="1"/>
  <c r="A14816" i="1"/>
  <c r="B14816" i="1"/>
  <c r="C14816" i="1"/>
  <c r="D14816" i="1"/>
  <c r="E14816" i="1"/>
  <c r="F14816" i="1"/>
  <c r="G14816" i="1"/>
  <c r="H14816" i="1"/>
  <c r="I14816" i="1"/>
  <c r="J14816" i="1"/>
  <c r="K14816" i="1"/>
  <c r="L14816" i="1"/>
  <c r="A14817" i="1"/>
  <c r="B14817" i="1"/>
  <c r="C14817" i="1"/>
  <c r="D14817" i="1"/>
  <c r="E14817" i="1"/>
  <c r="F14817" i="1"/>
  <c r="G14817" i="1"/>
  <c r="H14817" i="1"/>
  <c r="I14817" i="1"/>
  <c r="J14817" i="1"/>
  <c r="K14817" i="1"/>
  <c r="L14817" i="1"/>
  <c r="A14818" i="1"/>
  <c r="B14818" i="1"/>
  <c r="C14818" i="1"/>
  <c r="D14818" i="1"/>
  <c r="E14818" i="1"/>
  <c r="F14818" i="1"/>
  <c r="G14818" i="1"/>
  <c r="H14818" i="1"/>
  <c r="I14818" i="1"/>
  <c r="J14818" i="1"/>
  <c r="K14818" i="1"/>
  <c r="L14818" i="1"/>
  <c r="A14819" i="1"/>
  <c r="B14819" i="1"/>
  <c r="C14819" i="1"/>
  <c r="D14819" i="1"/>
  <c r="E14819" i="1"/>
  <c r="F14819" i="1"/>
  <c r="G14819" i="1"/>
  <c r="H14819" i="1"/>
  <c r="I14819" i="1"/>
  <c r="J14819" i="1"/>
  <c r="K14819" i="1"/>
  <c r="L14819" i="1"/>
  <c r="A14820" i="1"/>
  <c r="B14820" i="1"/>
  <c r="C14820" i="1"/>
  <c r="D14820" i="1"/>
  <c r="E14820" i="1"/>
  <c r="F14820" i="1"/>
  <c r="G14820" i="1"/>
  <c r="H14820" i="1"/>
  <c r="I14820" i="1"/>
  <c r="J14820" i="1"/>
  <c r="K14820" i="1"/>
  <c r="L14820" i="1"/>
  <c r="A14821" i="1"/>
  <c r="B14821" i="1"/>
  <c r="C14821" i="1"/>
  <c r="D14821" i="1"/>
  <c r="E14821" i="1"/>
  <c r="F14821" i="1"/>
  <c r="G14821" i="1"/>
  <c r="H14821" i="1"/>
  <c r="I14821" i="1"/>
  <c r="J14821" i="1"/>
  <c r="K14821" i="1"/>
  <c r="L14821" i="1"/>
  <c r="A14822" i="1"/>
  <c r="B14822" i="1"/>
  <c r="C14822" i="1"/>
  <c r="D14822" i="1"/>
  <c r="E14822" i="1"/>
  <c r="F14822" i="1"/>
  <c r="G14822" i="1"/>
  <c r="H14822" i="1"/>
  <c r="I14822" i="1"/>
  <c r="J14822" i="1"/>
  <c r="K14822" i="1"/>
  <c r="L14822" i="1"/>
  <c r="A14823" i="1"/>
  <c r="B14823" i="1"/>
  <c r="C14823" i="1"/>
  <c r="D14823" i="1"/>
  <c r="E14823" i="1"/>
  <c r="F14823" i="1"/>
  <c r="G14823" i="1"/>
  <c r="H14823" i="1"/>
  <c r="I14823" i="1"/>
  <c r="J14823" i="1"/>
  <c r="K14823" i="1"/>
  <c r="L14823" i="1"/>
  <c r="A14824" i="1"/>
  <c r="B14824" i="1"/>
  <c r="C14824" i="1"/>
  <c r="D14824" i="1"/>
  <c r="E14824" i="1"/>
  <c r="F14824" i="1"/>
  <c r="G14824" i="1"/>
  <c r="H14824" i="1"/>
  <c r="I14824" i="1"/>
  <c r="J14824" i="1"/>
  <c r="K14824" i="1"/>
  <c r="L14824" i="1"/>
  <c r="A14825" i="1"/>
  <c r="B14825" i="1"/>
  <c r="C14825" i="1"/>
  <c r="D14825" i="1"/>
  <c r="E14825" i="1"/>
  <c r="F14825" i="1"/>
  <c r="G14825" i="1"/>
  <c r="H14825" i="1"/>
  <c r="I14825" i="1"/>
  <c r="J14825" i="1"/>
  <c r="K14825" i="1"/>
  <c r="L14825" i="1"/>
  <c r="A14826" i="1"/>
  <c r="B14826" i="1"/>
  <c r="C14826" i="1"/>
  <c r="D14826" i="1"/>
  <c r="E14826" i="1"/>
  <c r="F14826" i="1"/>
  <c r="G14826" i="1"/>
  <c r="H14826" i="1"/>
  <c r="I14826" i="1"/>
  <c r="J14826" i="1"/>
  <c r="K14826" i="1"/>
  <c r="L14826" i="1"/>
  <c r="A14827" i="1"/>
  <c r="B14827" i="1"/>
  <c r="C14827" i="1"/>
  <c r="D14827" i="1"/>
  <c r="E14827" i="1"/>
  <c r="F14827" i="1"/>
  <c r="G14827" i="1"/>
  <c r="H14827" i="1"/>
  <c r="I14827" i="1"/>
  <c r="J14827" i="1"/>
  <c r="K14827" i="1"/>
  <c r="L14827" i="1"/>
  <c r="A14828" i="1"/>
  <c r="B14828" i="1"/>
  <c r="C14828" i="1"/>
  <c r="D14828" i="1"/>
  <c r="E14828" i="1"/>
  <c r="F14828" i="1"/>
  <c r="G14828" i="1"/>
  <c r="H14828" i="1"/>
  <c r="I14828" i="1"/>
  <c r="J14828" i="1"/>
  <c r="K14828" i="1"/>
  <c r="L14828" i="1"/>
  <c r="A14829" i="1"/>
  <c r="B14829" i="1"/>
  <c r="C14829" i="1"/>
  <c r="D14829" i="1"/>
  <c r="E14829" i="1"/>
  <c r="F14829" i="1"/>
  <c r="G14829" i="1"/>
  <c r="H14829" i="1"/>
  <c r="I14829" i="1"/>
  <c r="J14829" i="1"/>
  <c r="K14829" i="1"/>
  <c r="L14829" i="1"/>
  <c r="A14830" i="1"/>
  <c r="B14830" i="1"/>
  <c r="C14830" i="1"/>
  <c r="D14830" i="1"/>
  <c r="E14830" i="1"/>
  <c r="F14830" i="1"/>
  <c r="G14830" i="1"/>
  <c r="H14830" i="1"/>
  <c r="I14830" i="1"/>
  <c r="J14830" i="1"/>
  <c r="K14830" i="1"/>
  <c r="L14830" i="1"/>
  <c r="A14831" i="1"/>
  <c r="B14831" i="1"/>
  <c r="C14831" i="1"/>
  <c r="D14831" i="1"/>
  <c r="E14831" i="1"/>
  <c r="F14831" i="1"/>
  <c r="G14831" i="1"/>
  <c r="H14831" i="1"/>
  <c r="I14831" i="1"/>
  <c r="J14831" i="1"/>
  <c r="K14831" i="1"/>
  <c r="L14831" i="1"/>
  <c r="A14832" i="1"/>
  <c r="B14832" i="1"/>
  <c r="C14832" i="1"/>
  <c r="D14832" i="1"/>
  <c r="E14832" i="1"/>
  <c r="F14832" i="1"/>
  <c r="G14832" i="1"/>
  <c r="H14832" i="1"/>
  <c r="I14832" i="1"/>
  <c r="J14832" i="1"/>
  <c r="K14832" i="1"/>
  <c r="L14832" i="1"/>
  <c r="A14833" i="1"/>
  <c r="B14833" i="1"/>
  <c r="C14833" i="1"/>
  <c r="D14833" i="1"/>
  <c r="E14833" i="1"/>
  <c r="F14833" i="1"/>
  <c r="G14833" i="1"/>
  <c r="H14833" i="1"/>
  <c r="I14833" i="1"/>
  <c r="J14833" i="1"/>
  <c r="K14833" i="1"/>
  <c r="L14833" i="1"/>
  <c r="A14834" i="1"/>
  <c r="B14834" i="1"/>
  <c r="C14834" i="1"/>
  <c r="D14834" i="1"/>
  <c r="E14834" i="1"/>
  <c r="F14834" i="1"/>
  <c r="G14834" i="1"/>
  <c r="H14834" i="1"/>
  <c r="I14834" i="1"/>
  <c r="J14834" i="1"/>
  <c r="K14834" i="1"/>
  <c r="L14834" i="1"/>
  <c r="A14835" i="1"/>
  <c r="B14835" i="1"/>
  <c r="C14835" i="1"/>
  <c r="D14835" i="1"/>
  <c r="E14835" i="1"/>
  <c r="F14835" i="1"/>
  <c r="G14835" i="1"/>
  <c r="H14835" i="1"/>
  <c r="I14835" i="1"/>
  <c r="J14835" i="1"/>
  <c r="K14835" i="1"/>
  <c r="L14835" i="1"/>
  <c r="A14836" i="1"/>
  <c r="B14836" i="1"/>
  <c r="C14836" i="1"/>
  <c r="D14836" i="1"/>
  <c r="E14836" i="1"/>
  <c r="F14836" i="1"/>
  <c r="G14836" i="1"/>
  <c r="H14836" i="1"/>
  <c r="I14836" i="1"/>
  <c r="J14836" i="1"/>
  <c r="K14836" i="1"/>
  <c r="L14836" i="1"/>
  <c r="A14837" i="1"/>
  <c r="B14837" i="1"/>
  <c r="C14837" i="1"/>
  <c r="D14837" i="1"/>
  <c r="E14837" i="1"/>
  <c r="F14837" i="1"/>
  <c r="G14837" i="1"/>
  <c r="H14837" i="1"/>
  <c r="I14837" i="1"/>
  <c r="J14837" i="1"/>
  <c r="K14837" i="1"/>
  <c r="L14837" i="1"/>
  <c r="A14838" i="1"/>
  <c r="B14838" i="1"/>
  <c r="C14838" i="1"/>
  <c r="D14838" i="1"/>
  <c r="E14838" i="1"/>
  <c r="F14838" i="1"/>
  <c r="G14838" i="1"/>
  <c r="H14838" i="1"/>
  <c r="I14838" i="1"/>
  <c r="J14838" i="1"/>
  <c r="K14838" i="1"/>
  <c r="L14838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38"/>
  <sheetViews>
    <sheetView tabSelected="1" zoomScale="80" zoomScaleNormal="80" workbookViewId="0">
      <selection sqref="A1:XFD7"/>
    </sheetView>
  </sheetViews>
  <sheetFormatPr defaultRowHeight="14.5" x14ac:dyDescent="0.35"/>
  <cols>
    <col min="1" max="1" width="36.54296875" bestFit="1" customWidth="1"/>
    <col min="2" max="2" width="40.26953125" bestFit="1" customWidth="1"/>
    <col min="3" max="3" width="40.7265625" bestFit="1" customWidth="1"/>
    <col min="4" max="4" width="24.54296875" bestFit="1" customWidth="1"/>
    <col min="5" max="5" width="14.453125" bestFit="1" customWidth="1"/>
    <col min="6" max="6" width="12.453125" bestFit="1" customWidth="1"/>
    <col min="7" max="7" width="44.81640625" bestFit="1" customWidth="1"/>
    <col min="8" max="8" width="40.7265625" bestFit="1" customWidth="1"/>
    <col min="9" max="9" width="27.1796875" bestFit="1" customWidth="1"/>
    <col min="10" max="10" width="13.26953125" bestFit="1" customWidth="1"/>
    <col min="11" max="11" width="19.54296875" bestFit="1" customWidth="1"/>
    <col min="12" max="12" width="21.453125" bestFit="1" customWidth="1"/>
  </cols>
  <sheetData>
    <row r="1" spans="1:12" x14ac:dyDescent="0.35">
      <c r="A1" t="str">
        <f>T("Hierarchy Level 5 Name")</f>
        <v>Hierarchy Level 5 Name</v>
      </c>
      <c r="B1" t="str">
        <f>T("Company Address 1")</f>
        <v>Company Address 1</v>
      </c>
      <c r="C1" t="str">
        <f>T("Company Address 2")</f>
        <v>Company Address 2</v>
      </c>
      <c r="D1" t="str">
        <f>T("Company City")</f>
        <v>Company City</v>
      </c>
      <c r="E1" t="str">
        <f>T("Company State")</f>
        <v>Company State</v>
      </c>
      <c r="F1" t="str">
        <f>T("Company Zip")</f>
        <v>Company Zip</v>
      </c>
      <c r="G1" t="str">
        <f>T("Account Address 1")</f>
        <v>Account Address 1</v>
      </c>
      <c r="H1" t="str">
        <f>T("Account Address 2")</f>
        <v>Account Address 2</v>
      </c>
      <c r="I1" t="str">
        <f>T("Account City")</f>
        <v>Account City</v>
      </c>
      <c r="J1" t="str">
        <f>T("Account State")</f>
        <v>Account State</v>
      </c>
      <c r="K1" t="str">
        <f>T("Account Fax Number")</f>
        <v>Account Fax Number</v>
      </c>
      <c r="L1" t="str">
        <f>T("Account Work Number")</f>
        <v>Account Work Number</v>
      </c>
    </row>
    <row r="2" spans="1:12" x14ac:dyDescent="0.35">
      <c r="A2" t="str">
        <f t="shared" ref="A2:A15" si="0">T("NLSC MICRO")</f>
        <v>NLSC MICRO</v>
      </c>
      <c r="B2" t="str">
        <f t="shared" ref="B2:B9" si="1">T("JCAB")</f>
        <v>JCAB</v>
      </c>
      <c r="C2" t="str">
        <f t="shared" ref="C2:C9" si="2">T("U ST BLDG 434 RM 113")</f>
        <v>U ST BLDG 434 RM 113</v>
      </c>
      <c r="D2" t="str">
        <f t="shared" ref="D2:D15" si="3">T("BREMERTON")</f>
        <v>BREMERTON</v>
      </c>
      <c r="E2" t="str">
        <f t="shared" ref="E2:E15" si="4">T("WA")</f>
        <v>WA</v>
      </c>
      <c r="F2" t="str">
        <f t="shared" ref="F2:F15" si="5">T("983140001")</f>
        <v>983140001</v>
      </c>
      <c r="G2" t="str">
        <f>T("120 S DEWEY STREET")</f>
        <v>120 S DEWEY STREET</v>
      </c>
      <c r="H2" t="str">
        <f>T("")</f>
        <v/>
      </c>
      <c r="I2" t="str">
        <f t="shared" ref="I2:I15" si="6">T("BREMERTON")</f>
        <v>BREMERTON</v>
      </c>
      <c r="J2" t="str">
        <f t="shared" ref="J2:J15" si="7">T("WA")</f>
        <v>WA</v>
      </c>
      <c r="K2" t="str">
        <f>T("3606275900")</f>
        <v>3606275900</v>
      </c>
      <c r="L2" t="str">
        <f>T("3606275902")</f>
        <v>3606275902</v>
      </c>
    </row>
    <row r="3" spans="1:12" x14ac:dyDescent="0.35">
      <c r="A3" t="str">
        <f t="shared" si="0"/>
        <v>NLSC MICRO</v>
      </c>
      <c r="B3" t="str">
        <f t="shared" si="1"/>
        <v>JCAB</v>
      </c>
      <c r="C3" t="str">
        <f t="shared" si="2"/>
        <v>U ST BLDG 434 RM 113</v>
      </c>
      <c r="D3" t="str">
        <f t="shared" si="3"/>
        <v>BREMERTON</v>
      </c>
      <c r="E3" t="str">
        <f t="shared" si="4"/>
        <v>WA</v>
      </c>
      <c r="F3" t="str">
        <f t="shared" si="5"/>
        <v>983140001</v>
      </c>
      <c r="G3" t="str">
        <f>T("120 SOUTH DEWEY ST")</f>
        <v>120 SOUTH DEWEY ST</v>
      </c>
      <c r="H3" t="str">
        <f>T("")</f>
        <v/>
      </c>
      <c r="I3" t="str">
        <f t="shared" si="6"/>
        <v>BREMERTON</v>
      </c>
      <c r="J3" t="str">
        <f t="shared" si="7"/>
        <v>WA</v>
      </c>
      <c r="K3" t="str">
        <f>T("000000000000000000")</f>
        <v>000000000000000000</v>
      </c>
      <c r="L3" t="str">
        <f>T("8084734690")</f>
        <v>8084734690</v>
      </c>
    </row>
    <row r="4" spans="1:12" x14ac:dyDescent="0.35">
      <c r="A4" t="str">
        <f t="shared" si="0"/>
        <v>NLSC MICRO</v>
      </c>
      <c r="B4" t="str">
        <f t="shared" si="1"/>
        <v>JCAB</v>
      </c>
      <c r="C4" t="str">
        <f t="shared" si="2"/>
        <v>U ST BLDG 434 RM 113</v>
      </c>
      <c r="D4" t="str">
        <f t="shared" si="3"/>
        <v>BREMERTON</v>
      </c>
      <c r="E4" t="str">
        <f t="shared" si="4"/>
        <v>WA</v>
      </c>
      <c r="F4" t="str">
        <f t="shared" si="5"/>
        <v>983140001</v>
      </c>
      <c r="G4" t="str">
        <f t="shared" ref="G4:G9" si="8">T("JCAB")</f>
        <v>JCAB</v>
      </c>
      <c r="H4" t="str">
        <f>T("120 SOUTH DEWEY ST")</f>
        <v>120 SOUTH DEWEY ST</v>
      </c>
      <c r="I4" t="str">
        <f t="shared" si="6"/>
        <v>BREMERTON</v>
      </c>
      <c r="J4" t="str">
        <f t="shared" si="7"/>
        <v>WA</v>
      </c>
      <c r="K4" t="str">
        <f>T("000000000000000000")</f>
        <v>000000000000000000</v>
      </c>
      <c r="L4" t="str">
        <f>T("3606275901")</f>
        <v>3606275901</v>
      </c>
    </row>
    <row r="5" spans="1:12" x14ac:dyDescent="0.35">
      <c r="A5" t="str">
        <f t="shared" si="0"/>
        <v>NLSC MICRO</v>
      </c>
      <c r="B5" t="str">
        <f t="shared" si="1"/>
        <v>JCAB</v>
      </c>
      <c r="C5" t="str">
        <f t="shared" si="2"/>
        <v>U ST BLDG 434 RM 113</v>
      </c>
      <c r="D5" t="str">
        <f t="shared" si="3"/>
        <v>BREMERTON</v>
      </c>
      <c r="E5" t="str">
        <f t="shared" si="4"/>
        <v>WA</v>
      </c>
      <c r="F5" t="str">
        <f t="shared" si="5"/>
        <v>983140001</v>
      </c>
      <c r="G5" t="str">
        <f t="shared" si="8"/>
        <v>JCAB</v>
      </c>
      <c r="H5" t="str">
        <f>T("120 SOUTH DEWEY ST")</f>
        <v>120 SOUTH DEWEY ST</v>
      </c>
      <c r="I5" t="str">
        <f t="shared" si="6"/>
        <v>BREMERTON</v>
      </c>
      <c r="J5" t="str">
        <f t="shared" si="7"/>
        <v>WA</v>
      </c>
      <c r="K5" t="str">
        <f>T("3606275900")</f>
        <v>3606275900</v>
      </c>
      <c r="L5" t="str">
        <f>T("3606275919")</f>
        <v>3606275919</v>
      </c>
    </row>
    <row r="6" spans="1:12" x14ac:dyDescent="0.35">
      <c r="A6" t="str">
        <f t="shared" si="0"/>
        <v>NLSC MICRO</v>
      </c>
      <c r="B6" t="str">
        <f t="shared" si="1"/>
        <v>JCAB</v>
      </c>
      <c r="C6" t="str">
        <f t="shared" si="2"/>
        <v>U ST BLDG 434 RM 113</v>
      </c>
      <c r="D6" t="str">
        <f t="shared" si="3"/>
        <v>BREMERTON</v>
      </c>
      <c r="E6" t="str">
        <f t="shared" si="4"/>
        <v>WA</v>
      </c>
      <c r="F6" t="str">
        <f t="shared" si="5"/>
        <v>983140001</v>
      </c>
      <c r="G6" t="str">
        <f t="shared" si="8"/>
        <v>JCAB</v>
      </c>
      <c r="H6" t="str">
        <f>T("120 SOUTH DEWEY STREET")</f>
        <v>120 SOUTH DEWEY STREET</v>
      </c>
      <c r="I6" t="str">
        <f t="shared" si="6"/>
        <v>BREMERTON</v>
      </c>
      <c r="J6" t="str">
        <f t="shared" si="7"/>
        <v>WA</v>
      </c>
      <c r="K6" t="str">
        <f>T("3606275900")</f>
        <v>3606275900</v>
      </c>
      <c r="L6" t="str">
        <f>T("3606275909")</f>
        <v>3606275909</v>
      </c>
    </row>
    <row r="7" spans="1:12" x14ac:dyDescent="0.35">
      <c r="A7" t="str">
        <f t="shared" si="0"/>
        <v>NLSC MICRO</v>
      </c>
      <c r="B7" t="str">
        <f t="shared" si="1"/>
        <v>JCAB</v>
      </c>
      <c r="C7" t="str">
        <f t="shared" si="2"/>
        <v>U ST BLDG 434 RM 113</v>
      </c>
      <c r="D7" t="str">
        <f t="shared" si="3"/>
        <v>BREMERTON</v>
      </c>
      <c r="E7" t="str">
        <f t="shared" si="4"/>
        <v>WA</v>
      </c>
      <c r="F7" t="str">
        <f t="shared" si="5"/>
        <v>983140001</v>
      </c>
      <c r="G7" t="str">
        <f t="shared" si="8"/>
        <v>JCAB</v>
      </c>
      <c r="H7" t="str">
        <f>T("U ST BLDG 434 RM 113")</f>
        <v>U ST BLDG 434 RM 113</v>
      </c>
      <c r="I7" t="str">
        <f t="shared" si="6"/>
        <v>BREMERTON</v>
      </c>
      <c r="J7" t="str">
        <f t="shared" si="7"/>
        <v>WA</v>
      </c>
      <c r="K7" t="str">
        <f>T("")</f>
        <v/>
      </c>
      <c r="L7" t="str">
        <f>T("3606275907")</f>
        <v>3606275907</v>
      </c>
    </row>
    <row r="8" spans="1:12" x14ac:dyDescent="0.35">
      <c r="A8" t="str">
        <f t="shared" si="0"/>
        <v>NLSC MICRO</v>
      </c>
      <c r="B8" t="str">
        <f t="shared" si="1"/>
        <v>JCAB</v>
      </c>
      <c r="C8" t="str">
        <f t="shared" si="2"/>
        <v>U ST BLDG 434 RM 113</v>
      </c>
      <c r="D8" t="str">
        <f t="shared" si="3"/>
        <v>BREMERTON</v>
      </c>
      <c r="E8" t="str">
        <f t="shared" si="4"/>
        <v>WA</v>
      </c>
      <c r="F8" t="str">
        <f t="shared" si="5"/>
        <v>983140001</v>
      </c>
      <c r="G8" t="str">
        <f t="shared" si="8"/>
        <v>JCAB</v>
      </c>
      <c r="H8" t="str">
        <f>T("U ST BLDG 434 RM 113")</f>
        <v>U ST BLDG 434 RM 113</v>
      </c>
      <c r="I8" t="str">
        <f t="shared" si="6"/>
        <v>BREMERTON</v>
      </c>
      <c r="J8" t="str">
        <f t="shared" si="7"/>
        <v>WA</v>
      </c>
      <c r="K8" t="str">
        <f>T("000000000000000000")</f>
        <v>000000000000000000</v>
      </c>
      <c r="L8" t="str">
        <f>T("3606275901")</f>
        <v>3606275901</v>
      </c>
    </row>
    <row r="9" spans="1:12" x14ac:dyDescent="0.35">
      <c r="A9" t="str">
        <f t="shared" si="0"/>
        <v>NLSC MICRO</v>
      </c>
      <c r="B9" t="str">
        <f t="shared" si="1"/>
        <v>JCAB</v>
      </c>
      <c r="C9" t="str">
        <f t="shared" si="2"/>
        <v>U ST BLDG 434 RM 113</v>
      </c>
      <c r="D9" t="str">
        <f t="shared" si="3"/>
        <v>BREMERTON</v>
      </c>
      <c r="E9" t="str">
        <f t="shared" si="4"/>
        <v>WA</v>
      </c>
      <c r="F9" t="str">
        <f t="shared" si="5"/>
        <v>983140001</v>
      </c>
      <c r="G9" t="str">
        <f t="shared" si="8"/>
        <v>JCAB</v>
      </c>
      <c r="H9" t="str">
        <f>T("U ST BLDG 434 RM 113")</f>
        <v>U ST BLDG 434 RM 113</v>
      </c>
      <c r="I9" t="str">
        <f t="shared" si="6"/>
        <v>BREMERTON</v>
      </c>
      <c r="J9" t="str">
        <f t="shared" si="7"/>
        <v>WA</v>
      </c>
      <c r="K9" t="str">
        <f>T("000000000000000000")</f>
        <v>000000000000000000</v>
      </c>
      <c r="L9" t="str">
        <f>T("3606275905")</f>
        <v>3606275905</v>
      </c>
    </row>
    <row r="10" spans="1:12" x14ac:dyDescent="0.35">
      <c r="A10" t="str">
        <f t="shared" si="0"/>
        <v>NLSC MICRO</v>
      </c>
      <c r="B10" t="str">
        <f t="shared" ref="B10:B15" si="9">T("U ST BLDG 434 RM 113")</f>
        <v>U ST BLDG 434 RM 113</v>
      </c>
      <c r="C10" t="str">
        <f t="shared" ref="C10:C21" si="10">T("")</f>
        <v/>
      </c>
      <c r="D10" t="str">
        <f t="shared" si="3"/>
        <v>BREMERTON</v>
      </c>
      <c r="E10" t="str">
        <f t="shared" si="4"/>
        <v>WA</v>
      </c>
      <c r="F10" t="str">
        <f t="shared" si="5"/>
        <v>983140001</v>
      </c>
      <c r="G10" t="str">
        <f>T("120 SOUTH DEWEY STREET")</f>
        <v>120 SOUTH DEWEY STREET</v>
      </c>
      <c r="H10" t="str">
        <f>T("")</f>
        <v/>
      </c>
      <c r="I10" t="str">
        <f t="shared" si="6"/>
        <v>BREMERTON</v>
      </c>
      <c r="J10" t="str">
        <f t="shared" si="7"/>
        <v>WA</v>
      </c>
      <c r="K10" t="str">
        <f>T("000000000000000000")</f>
        <v>000000000000000000</v>
      </c>
      <c r="L10" t="str">
        <f>T("3606275916")</f>
        <v>3606275916</v>
      </c>
    </row>
    <row r="11" spans="1:12" x14ac:dyDescent="0.35">
      <c r="A11" t="str">
        <f t="shared" si="0"/>
        <v>NLSC MICRO</v>
      </c>
      <c r="B11" t="str">
        <f t="shared" si="9"/>
        <v>U ST BLDG 434 RM 113</v>
      </c>
      <c r="C11" t="str">
        <f t="shared" si="10"/>
        <v/>
      </c>
      <c r="D11" t="str">
        <f t="shared" si="3"/>
        <v>BREMERTON</v>
      </c>
      <c r="E11" t="str">
        <f t="shared" si="4"/>
        <v>WA</v>
      </c>
      <c r="F11" t="str">
        <f t="shared" si="5"/>
        <v>983140001</v>
      </c>
      <c r="G11" t="str">
        <f>T("JCAB")</f>
        <v>JCAB</v>
      </c>
      <c r="H11" t="str">
        <f>T("120 SOUTH DEWEY ST")</f>
        <v>120 SOUTH DEWEY ST</v>
      </c>
      <c r="I11" t="str">
        <f t="shared" si="6"/>
        <v>BREMERTON</v>
      </c>
      <c r="J11" t="str">
        <f t="shared" si="7"/>
        <v>WA</v>
      </c>
      <c r="K11" t="str">
        <f>T("000000000000000000")</f>
        <v>000000000000000000</v>
      </c>
      <c r="L11" t="str">
        <f>T("3606275904")</f>
        <v>3606275904</v>
      </c>
    </row>
    <row r="12" spans="1:12" x14ac:dyDescent="0.35">
      <c r="A12" t="str">
        <f t="shared" si="0"/>
        <v>NLSC MICRO</v>
      </c>
      <c r="B12" t="str">
        <f t="shared" si="9"/>
        <v>U ST BLDG 434 RM 113</v>
      </c>
      <c r="C12" t="str">
        <f t="shared" si="10"/>
        <v/>
      </c>
      <c r="D12" t="str">
        <f t="shared" si="3"/>
        <v>BREMERTON</v>
      </c>
      <c r="E12" t="str">
        <f t="shared" si="4"/>
        <v>WA</v>
      </c>
      <c r="F12" t="str">
        <f t="shared" si="5"/>
        <v>983140001</v>
      </c>
      <c r="G12" t="str">
        <f>T("JCAB")</f>
        <v>JCAB</v>
      </c>
      <c r="H12" t="str">
        <f>T("120 SOUTH DEWEY ST")</f>
        <v>120 SOUTH DEWEY ST</v>
      </c>
      <c r="I12" t="str">
        <f t="shared" si="6"/>
        <v>BREMERTON</v>
      </c>
      <c r="J12" t="str">
        <f t="shared" si="7"/>
        <v>WA</v>
      </c>
      <c r="K12" t="str">
        <f>T("3606275900")</f>
        <v>3606275900</v>
      </c>
      <c r="L12" t="str">
        <f>T("3606275903")</f>
        <v>3606275903</v>
      </c>
    </row>
    <row r="13" spans="1:12" x14ac:dyDescent="0.35">
      <c r="A13" t="str">
        <f t="shared" si="0"/>
        <v>NLSC MICRO</v>
      </c>
      <c r="B13" t="str">
        <f t="shared" si="9"/>
        <v>U ST BLDG 434 RM 113</v>
      </c>
      <c r="C13" t="str">
        <f t="shared" si="10"/>
        <v/>
      </c>
      <c r="D13" t="str">
        <f t="shared" si="3"/>
        <v>BREMERTON</v>
      </c>
      <c r="E13" t="str">
        <f t="shared" si="4"/>
        <v>WA</v>
      </c>
      <c r="F13" t="str">
        <f t="shared" si="5"/>
        <v>983140001</v>
      </c>
      <c r="G13" t="str">
        <f>T("JCAB")</f>
        <v>JCAB</v>
      </c>
      <c r="H13" t="str">
        <f>T("U ST BLDG 434 RM 113")</f>
        <v>U ST BLDG 434 RM 113</v>
      </c>
      <c r="I13" t="str">
        <f t="shared" si="6"/>
        <v>BREMERTON</v>
      </c>
      <c r="J13" t="str">
        <f t="shared" si="7"/>
        <v>WA</v>
      </c>
      <c r="K13" t="str">
        <f>T("000000000000000000")</f>
        <v>000000000000000000</v>
      </c>
      <c r="L13" t="str">
        <f>T("3606275903")</f>
        <v>3606275903</v>
      </c>
    </row>
    <row r="14" spans="1:12" x14ac:dyDescent="0.35">
      <c r="A14" t="str">
        <f t="shared" si="0"/>
        <v>NLSC MICRO</v>
      </c>
      <c r="B14" t="str">
        <f t="shared" si="9"/>
        <v>U ST BLDG 434 RM 113</v>
      </c>
      <c r="C14" t="str">
        <f t="shared" si="10"/>
        <v/>
      </c>
      <c r="D14" t="str">
        <f t="shared" si="3"/>
        <v>BREMERTON</v>
      </c>
      <c r="E14" t="str">
        <f t="shared" si="4"/>
        <v>WA</v>
      </c>
      <c r="F14" t="str">
        <f t="shared" si="5"/>
        <v>983140001</v>
      </c>
      <c r="G14" t="str">
        <f>T("JCAB")</f>
        <v>JCAB</v>
      </c>
      <c r="H14" t="str">
        <f>T("U STREET BLDG 434 ROOM 113")</f>
        <v>U STREET BLDG 434 ROOM 113</v>
      </c>
      <c r="I14" t="str">
        <f t="shared" si="6"/>
        <v>BREMERTON</v>
      </c>
      <c r="J14" t="str">
        <f t="shared" si="7"/>
        <v>WA</v>
      </c>
      <c r="K14" t="str">
        <f>T("000000000000000000")</f>
        <v>000000000000000000</v>
      </c>
      <c r="L14" t="str">
        <f>T("3606275902")</f>
        <v>3606275902</v>
      </c>
    </row>
    <row r="15" spans="1:12" x14ac:dyDescent="0.35">
      <c r="A15" t="str">
        <f t="shared" si="0"/>
        <v>NLSC MICRO</v>
      </c>
      <c r="B15" t="str">
        <f t="shared" si="9"/>
        <v>U ST BLDG 434 RM 113</v>
      </c>
      <c r="C15" t="str">
        <f t="shared" si="10"/>
        <v/>
      </c>
      <c r="D15" t="str">
        <f t="shared" si="3"/>
        <v>BREMERTON</v>
      </c>
      <c r="E15" t="str">
        <f t="shared" si="4"/>
        <v>WA</v>
      </c>
      <c r="F15" t="str">
        <f t="shared" si="5"/>
        <v>983140001</v>
      </c>
      <c r="G15" t="str">
        <f>T("U ST BLDG 434 RM 113")</f>
        <v>U ST BLDG 434 RM 113</v>
      </c>
      <c r="H15" t="str">
        <f>T("")</f>
        <v/>
      </c>
      <c r="I15" t="str">
        <f t="shared" si="6"/>
        <v>BREMERTON</v>
      </c>
      <c r="J15" t="str">
        <f t="shared" si="7"/>
        <v>WA</v>
      </c>
      <c r="K15" t="str">
        <f>T("")</f>
        <v/>
      </c>
      <c r="L15" t="str">
        <f>T("3606275905")</f>
        <v>3606275905</v>
      </c>
    </row>
    <row r="16" spans="1:12" x14ac:dyDescent="0.35">
      <c r="A16" t="str">
        <f t="shared" ref="A16:A35" si="11">T("USPACOM")</f>
        <v>USPACOM</v>
      </c>
      <c r="B16" t="str">
        <f t="shared" ref="B16:B31" si="12">T("BLDG 700 ELROD RD")</f>
        <v>BLDG 700 ELROD RD</v>
      </c>
      <c r="C16" t="str">
        <f t="shared" si="10"/>
        <v/>
      </c>
      <c r="D16" t="str">
        <f t="shared" ref="D16:D33" si="13">T("CAMP SMITH")</f>
        <v>CAMP SMITH</v>
      </c>
      <c r="E16" t="str">
        <f t="shared" ref="E16:E33" si="14">T("HI")</f>
        <v>HI</v>
      </c>
      <c r="F16" t="str">
        <f>T("968610000")</f>
        <v>968610000</v>
      </c>
      <c r="G16" t="str">
        <f>T("BLDG 700 ELROD RD")</f>
        <v>BLDG 700 ELROD RD</v>
      </c>
      <c r="H16" t="str">
        <f>T("")</f>
        <v/>
      </c>
      <c r="I16" t="str">
        <f>T("CAMP SMITH")</f>
        <v>CAMP SMITH</v>
      </c>
      <c r="J16" t="str">
        <f t="shared" ref="J16:J33" si="15">T("HI")</f>
        <v>HI</v>
      </c>
      <c r="K16" t="str">
        <f>T("")</f>
        <v/>
      </c>
      <c r="L16" t="str">
        <f>T("8084779017")</f>
        <v>8084779017</v>
      </c>
    </row>
    <row r="17" spans="1:12" x14ac:dyDescent="0.35">
      <c r="A17" t="str">
        <f t="shared" si="11"/>
        <v>USPACOM</v>
      </c>
      <c r="B17" t="str">
        <f t="shared" si="12"/>
        <v>BLDG 700 ELROD RD</v>
      </c>
      <c r="C17" t="str">
        <f t="shared" si="10"/>
        <v/>
      </c>
      <c r="D17" t="str">
        <f t="shared" si="13"/>
        <v>CAMP SMITH</v>
      </c>
      <c r="E17" t="str">
        <f t="shared" si="14"/>
        <v>HI</v>
      </c>
      <c r="F17" t="str">
        <f>T("968610000")</f>
        <v>968610000</v>
      </c>
      <c r="G17" t="str">
        <f>T("BLDG 700 ELROD RD")</f>
        <v>BLDG 700 ELROD RD</v>
      </c>
      <c r="H17" t="str">
        <f>T("BOX 64026 CODE J02HQ2")</f>
        <v>BOX 64026 CODE J02HQ2</v>
      </c>
      <c r="I17" t="str">
        <f>T("CAMP H M SMITH")</f>
        <v>CAMP H M SMITH</v>
      </c>
      <c r="J17" t="str">
        <f t="shared" si="15"/>
        <v>HI</v>
      </c>
      <c r="K17" t="str">
        <f>T("000000000000000000")</f>
        <v>000000000000000000</v>
      </c>
      <c r="L17" t="str">
        <f>T("8084779624")</f>
        <v>8084779624</v>
      </c>
    </row>
    <row r="18" spans="1:12" x14ac:dyDescent="0.35">
      <c r="A18" t="str">
        <f t="shared" si="11"/>
        <v>USPACOM</v>
      </c>
      <c r="B18" t="str">
        <f t="shared" si="12"/>
        <v>BLDG 700 ELROD RD</v>
      </c>
      <c r="C18" t="str">
        <f t="shared" si="10"/>
        <v/>
      </c>
      <c r="D18" t="str">
        <f t="shared" si="13"/>
        <v>CAMP SMITH</v>
      </c>
      <c r="E18" t="str">
        <f t="shared" si="14"/>
        <v>HI</v>
      </c>
      <c r="F18" t="str">
        <f>T("968610000")</f>
        <v>968610000</v>
      </c>
      <c r="G18" t="str">
        <f>T("BLDG 700 ELROD ROAD")</f>
        <v>BLDG 700 ELROD ROAD</v>
      </c>
      <c r="H18" t="str">
        <f>T("")</f>
        <v/>
      </c>
      <c r="I18" t="str">
        <f>T("CAMP HM SMITH")</f>
        <v>CAMP HM SMITH</v>
      </c>
      <c r="J18" t="str">
        <f t="shared" si="15"/>
        <v>HI</v>
      </c>
      <c r="K18" t="str">
        <f>T("8084770234")</f>
        <v>8084770234</v>
      </c>
      <c r="L18" t="str">
        <f>T("8084779015")</f>
        <v>8084779015</v>
      </c>
    </row>
    <row r="19" spans="1:12" x14ac:dyDescent="0.35">
      <c r="A19" t="str">
        <f t="shared" si="11"/>
        <v>USPACOM</v>
      </c>
      <c r="B19" t="str">
        <f t="shared" si="12"/>
        <v>BLDG 700 ELROD RD</v>
      </c>
      <c r="C19" t="str">
        <f t="shared" si="10"/>
        <v/>
      </c>
      <c r="D19" t="str">
        <f t="shared" si="13"/>
        <v>CAMP SMITH</v>
      </c>
      <c r="E19" t="str">
        <f t="shared" si="14"/>
        <v>HI</v>
      </c>
      <c r="F19" t="str">
        <f>T("968610000")</f>
        <v>968610000</v>
      </c>
      <c r="G19" t="str">
        <f>T("BLDG 700 ELROD ROAD")</f>
        <v>BLDG 700 ELROD ROAD</v>
      </c>
      <c r="H19" t="str">
        <f>T("")</f>
        <v/>
      </c>
      <c r="I19" t="str">
        <f>T("CAMP HM SMITH")</f>
        <v>CAMP HM SMITH</v>
      </c>
      <c r="J19" t="str">
        <f t="shared" si="15"/>
        <v>HI</v>
      </c>
      <c r="K19" t="str">
        <f>T("8084770234")</f>
        <v>8084770234</v>
      </c>
      <c r="L19" t="str">
        <f>T("8084779053")</f>
        <v>8084779053</v>
      </c>
    </row>
    <row r="20" spans="1:12" x14ac:dyDescent="0.35">
      <c r="A20" t="str">
        <f t="shared" si="11"/>
        <v>USPACOM</v>
      </c>
      <c r="B20" t="str">
        <f t="shared" si="12"/>
        <v>BLDG 700 ELROD RD</v>
      </c>
      <c r="C20" t="str">
        <f t="shared" si="10"/>
        <v/>
      </c>
      <c r="D20" t="str">
        <f t="shared" si="13"/>
        <v>CAMP SMITH</v>
      </c>
      <c r="E20" t="str">
        <f t="shared" si="14"/>
        <v>HI</v>
      </c>
      <c r="F20" t="str">
        <f>T("968614028")</f>
        <v>968614028</v>
      </c>
      <c r="G20" t="str">
        <f t="shared" ref="G20:G25" si="16">T("BLDG 700 ELROD RD")</f>
        <v>BLDG 700 ELROD RD</v>
      </c>
      <c r="H20" t="str">
        <f>T("")</f>
        <v/>
      </c>
      <c r="I20" t="str">
        <f>T("CAMP HM SMITH")</f>
        <v>CAMP HM SMITH</v>
      </c>
      <c r="J20" t="str">
        <f t="shared" si="15"/>
        <v>HI</v>
      </c>
      <c r="K20" t="str">
        <f>T("8084777839")</f>
        <v>8084777839</v>
      </c>
      <c r="L20" t="str">
        <f>T("8084777611")</f>
        <v>8084777611</v>
      </c>
    </row>
    <row r="21" spans="1:12" x14ac:dyDescent="0.35">
      <c r="A21" t="str">
        <f t="shared" si="11"/>
        <v>USPACOM</v>
      </c>
      <c r="B21" t="str">
        <f t="shared" si="12"/>
        <v>BLDG 700 ELROD RD</v>
      </c>
      <c r="C21" t="str">
        <f t="shared" si="10"/>
        <v/>
      </c>
      <c r="D21" t="str">
        <f t="shared" si="13"/>
        <v>CAMP SMITH</v>
      </c>
      <c r="E21" t="str">
        <f t="shared" si="14"/>
        <v>HI</v>
      </c>
      <c r="F21" t="str">
        <f>T("968614028")</f>
        <v>968614028</v>
      </c>
      <c r="G21" t="str">
        <f t="shared" si="16"/>
        <v>BLDG 700 ELROD RD</v>
      </c>
      <c r="H21" t="str">
        <f>T("")</f>
        <v/>
      </c>
      <c r="I21" t="str">
        <f>T("CAMP SMITH")</f>
        <v>CAMP SMITH</v>
      </c>
      <c r="J21" t="str">
        <f t="shared" si="15"/>
        <v>HI</v>
      </c>
      <c r="K21" t="str">
        <f>T("808-477-7839")</f>
        <v>808-477-7839</v>
      </c>
      <c r="L21" t="str">
        <f>T("8084777299")</f>
        <v>8084777299</v>
      </c>
    </row>
    <row r="22" spans="1:12" x14ac:dyDescent="0.35">
      <c r="A22" t="str">
        <f t="shared" si="11"/>
        <v>USPACOM</v>
      </c>
      <c r="B22" t="str">
        <f t="shared" si="12"/>
        <v>BLDG 700 ELROD RD</v>
      </c>
      <c r="C22" t="str">
        <f>T("BOX 64015 CODE J5")</f>
        <v>BOX 64015 CODE J5</v>
      </c>
      <c r="D22" t="str">
        <f t="shared" si="13"/>
        <v>CAMP SMITH</v>
      </c>
      <c r="E22" t="str">
        <f t="shared" si="14"/>
        <v>HI</v>
      </c>
      <c r="F22" t="str">
        <f>T("968614015")</f>
        <v>968614015</v>
      </c>
      <c r="G22" t="str">
        <f t="shared" si="16"/>
        <v>BLDG 700 ELROD RD</v>
      </c>
      <c r="H22" t="str">
        <f>T("")</f>
        <v/>
      </c>
      <c r="I22" t="str">
        <f>T("CAMP H M SMITH")</f>
        <v>CAMP H M SMITH</v>
      </c>
      <c r="J22" t="str">
        <f t="shared" si="15"/>
        <v>HI</v>
      </c>
      <c r="K22" t="str">
        <f>T("8084770821")</f>
        <v>8084770821</v>
      </c>
      <c r="L22" t="str">
        <f>T("8084779481")</f>
        <v>8084779481</v>
      </c>
    </row>
    <row r="23" spans="1:12" x14ac:dyDescent="0.35">
      <c r="A23" t="str">
        <f t="shared" si="11"/>
        <v>USPACOM</v>
      </c>
      <c r="B23" t="str">
        <f t="shared" si="12"/>
        <v>BLDG 700 ELROD RD</v>
      </c>
      <c r="C23" t="str">
        <f>T("BOX 64015 CODE J5")</f>
        <v>BOX 64015 CODE J5</v>
      </c>
      <c r="D23" t="str">
        <f t="shared" si="13"/>
        <v>CAMP SMITH</v>
      </c>
      <c r="E23" t="str">
        <f t="shared" si="14"/>
        <v>HI</v>
      </c>
      <c r="F23" t="str">
        <f>T("968614015")</f>
        <v>968614015</v>
      </c>
      <c r="G23" t="str">
        <f t="shared" si="16"/>
        <v>BLDG 700 ELROD RD</v>
      </c>
      <c r="H23" t="str">
        <f>T("BOX 64015 CODE J5")</f>
        <v>BOX 64015 CODE J5</v>
      </c>
      <c r="I23" t="str">
        <f>T("CAMP SMITH")</f>
        <v>CAMP SMITH</v>
      </c>
      <c r="J23" t="str">
        <f t="shared" si="15"/>
        <v>HI</v>
      </c>
      <c r="K23" t="str">
        <f>T("000000000000000000")</f>
        <v>000000000000000000</v>
      </c>
      <c r="L23" t="str">
        <f>T("8084770217")</f>
        <v>8084770217</v>
      </c>
    </row>
    <row r="24" spans="1:12" x14ac:dyDescent="0.35">
      <c r="A24" t="str">
        <f t="shared" si="11"/>
        <v>USPACOM</v>
      </c>
      <c r="B24" t="str">
        <f t="shared" si="12"/>
        <v>BLDG 700 ELROD RD</v>
      </c>
      <c r="C24" t="str">
        <f>T("BOX 64015 CODE J5")</f>
        <v>BOX 64015 CODE J5</v>
      </c>
      <c r="D24" t="str">
        <f t="shared" si="13"/>
        <v>CAMP SMITH</v>
      </c>
      <c r="E24" t="str">
        <f t="shared" si="14"/>
        <v>HI</v>
      </c>
      <c r="F24" t="str">
        <f>T("968614015")</f>
        <v>968614015</v>
      </c>
      <c r="G24" t="str">
        <f t="shared" si="16"/>
        <v>BLDG 700 ELROD RD</v>
      </c>
      <c r="H24" t="str">
        <f>T("PO BOX 64015")</f>
        <v>PO BOX 64015</v>
      </c>
      <c r="I24" t="str">
        <f>T("CAMP H M SMITH")</f>
        <v>CAMP H M SMITH</v>
      </c>
      <c r="J24" t="str">
        <f t="shared" si="15"/>
        <v>HI</v>
      </c>
      <c r="K24" t="str">
        <f>T("000000000000000000")</f>
        <v>000000000000000000</v>
      </c>
      <c r="L24" t="str">
        <f>T("8084777686")</f>
        <v>8084777686</v>
      </c>
    </row>
    <row r="25" spans="1:12" x14ac:dyDescent="0.35">
      <c r="A25" t="str">
        <f t="shared" si="11"/>
        <v>USPACOM</v>
      </c>
      <c r="B25" t="str">
        <f t="shared" si="12"/>
        <v>BLDG 700 ELROD RD</v>
      </c>
      <c r="C25" t="str">
        <f>T("BOX 64029 CODE J3")</f>
        <v>BOX 64029 CODE J3</v>
      </c>
      <c r="D25" t="str">
        <f t="shared" si="13"/>
        <v>CAMP SMITH</v>
      </c>
      <c r="E25" t="str">
        <f t="shared" si="14"/>
        <v>HI</v>
      </c>
      <c r="F25" t="str">
        <f t="shared" ref="F25:F31" si="17">T("968614029")</f>
        <v>968614029</v>
      </c>
      <c r="G25" t="str">
        <f t="shared" si="16"/>
        <v>BLDG 700 ELROD RD</v>
      </c>
      <c r="H25" t="str">
        <f>T("BOX 64029 CODE J3")</f>
        <v>BOX 64029 CODE J3</v>
      </c>
      <c r="I25" t="str">
        <f>T("CAMP SMITH")</f>
        <v>CAMP SMITH</v>
      </c>
      <c r="J25" t="str">
        <f t="shared" si="15"/>
        <v>HI</v>
      </c>
      <c r="K25" t="str">
        <f>T("8084779087")</f>
        <v>8084779087</v>
      </c>
      <c r="L25" t="str">
        <f>T("8084777395")</f>
        <v>8084777395</v>
      </c>
    </row>
    <row r="26" spans="1:12" x14ac:dyDescent="0.35">
      <c r="A26" t="str">
        <f t="shared" si="11"/>
        <v>USPACOM</v>
      </c>
      <c r="B26" t="str">
        <f t="shared" si="12"/>
        <v>BLDG 700 ELROD RD</v>
      </c>
      <c r="C26" t="str">
        <f>T("BOX 64029 CODE J3")</f>
        <v>BOX 64029 CODE J3</v>
      </c>
      <c r="D26" t="str">
        <f t="shared" si="13"/>
        <v>CAMP SMITH</v>
      </c>
      <c r="E26" t="str">
        <f t="shared" si="14"/>
        <v>HI</v>
      </c>
      <c r="F26" t="str">
        <f t="shared" si="17"/>
        <v>968614029</v>
      </c>
      <c r="G26" t="str">
        <f>T("BLDG 700 ELROD ROAD")</f>
        <v>BLDG 700 ELROD ROAD</v>
      </c>
      <c r="H26" t="str">
        <f>T("")</f>
        <v/>
      </c>
      <c r="I26" t="str">
        <f>T("CAMP HM SMITH")</f>
        <v>CAMP HM SMITH</v>
      </c>
      <c r="J26" t="str">
        <f t="shared" si="15"/>
        <v>HI</v>
      </c>
      <c r="K26" t="str">
        <f>T("000000000000000000")</f>
        <v>000000000000000000</v>
      </c>
      <c r="L26" t="str">
        <f>T("8084770029")</f>
        <v>8084770029</v>
      </c>
    </row>
    <row r="27" spans="1:12" x14ac:dyDescent="0.35">
      <c r="A27" t="str">
        <f t="shared" si="11"/>
        <v>USPACOM</v>
      </c>
      <c r="B27" t="str">
        <f t="shared" si="12"/>
        <v>BLDG 700 ELROD RD</v>
      </c>
      <c r="C27" t="str">
        <f>T("BOX 64029 CODE J621")</f>
        <v>BOX 64029 CODE J621</v>
      </c>
      <c r="D27" t="str">
        <f t="shared" si="13"/>
        <v>CAMP SMITH</v>
      </c>
      <c r="E27" t="str">
        <f t="shared" si="14"/>
        <v>HI</v>
      </c>
      <c r="F27" t="str">
        <f t="shared" si="17"/>
        <v>968614029</v>
      </c>
      <c r="G27" t="str">
        <f>T("BLDG 700 ELROD RD")</f>
        <v>BLDG 700 ELROD RD</v>
      </c>
      <c r="H27" t="str">
        <f>T("")</f>
        <v/>
      </c>
      <c r="I27" t="str">
        <f>T("CAMP H.M. SMITH")</f>
        <v>CAMP H.M. SMITH</v>
      </c>
      <c r="J27" t="str">
        <f t="shared" si="15"/>
        <v>HI</v>
      </c>
      <c r="K27" t="str">
        <f>T("000000000000000000")</f>
        <v>000000000000000000</v>
      </c>
      <c r="L27" t="str">
        <f>T("8084779276")</f>
        <v>8084779276</v>
      </c>
    </row>
    <row r="28" spans="1:12" x14ac:dyDescent="0.35">
      <c r="A28" t="str">
        <f t="shared" si="11"/>
        <v>USPACOM</v>
      </c>
      <c r="B28" t="str">
        <f t="shared" si="12"/>
        <v>BLDG 700 ELROD RD</v>
      </c>
      <c r="C28" t="str">
        <f>T("BOX 64029 CODE J621")</f>
        <v>BOX 64029 CODE J621</v>
      </c>
      <c r="D28" t="str">
        <f t="shared" si="13"/>
        <v>CAMP SMITH</v>
      </c>
      <c r="E28" t="str">
        <f t="shared" si="14"/>
        <v>HI</v>
      </c>
      <c r="F28" t="str">
        <f t="shared" si="17"/>
        <v>968614029</v>
      </c>
      <c r="G28" t="str">
        <f>T("BLDG 700 ELROD RD")</f>
        <v>BLDG 700 ELROD RD</v>
      </c>
      <c r="H28" t="str">
        <f>T("BOX 64029 CODE J621")</f>
        <v>BOX 64029 CODE J621</v>
      </c>
      <c r="I28" t="str">
        <f>T("CAMP SMITH")</f>
        <v>CAMP SMITH</v>
      </c>
      <c r="J28" t="str">
        <f t="shared" si="15"/>
        <v>HI</v>
      </c>
      <c r="K28" t="str">
        <f>T("808-477-7657")</f>
        <v>808-477-7657</v>
      </c>
      <c r="L28" t="str">
        <f>T("8084777659")</f>
        <v>8084777659</v>
      </c>
    </row>
    <row r="29" spans="1:12" x14ac:dyDescent="0.35">
      <c r="A29" t="str">
        <f t="shared" si="11"/>
        <v>USPACOM</v>
      </c>
      <c r="B29" t="str">
        <f t="shared" si="12"/>
        <v>BLDG 700 ELROD RD</v>
      </c>
      <c r="C29" t="str">
        <f>T("BOX 64029 CODE J621")</f>
        <v>BOX 64029 CODE J621</v>
      </c>
      <c r="D29" t="str">
        <f t="shared" si="13"/>
        <v>CAMP SMITH</v>
      </c>
      <c r="E29" t="str">
        <f t="shared" si="14"/>
        <v>HI</v>
      </c>
      <c r="F29" t="str">
        <f t="shared" si="17"/>
        <v>968614029</v>
      </c>
      <c r="G29" t="str">
        <f>T("BOX 64029 CODE J6")</f>
        <v>BOX 64029 CODE J6</v>
      </c>
      <c r="H29" t="str">
        <f>T("")</f>
        <v/>
      </c>
      <c r="I29" t="str">
        <f>T("CAMP H M SMITH")</f>
        <v>CAMP H M SMITH</v>
      </c>
      <c r="J29" t="str">
        <f t="shared" si="15"/>
        <v>HI</v>
      </c>
      <c r="K29" t="str">
        <f>T("8084773120")</f>
        <v>8084773120</v>
      </c>
      <c r="L29" t="str">
        <f>T("8084778006")</f>
        <v>8084778006</v>
      </c>
    </row>
    <row r="30" spans="1:12" x14ac:dyDescent="0.35">
      <c r="A30" t="str">
        <f t="shared" si="11"/>
        <v>USPACOM</v>
      </c>
      <c r="B30" t="str">
        <f t="shared" si="12"/>
        <v>BLDG 700 ELROD RD</v>
      </c>
      <c r="C30" t="str">
        <f>T("BOX 64029 CODE J621")</f>
        <v>BOX 64029 CODE J621</v>
      </c>
      <c r="D30" t="str">
        <f t="shared" si="13"/>
        <v>CAMP SMITH</v>
      </c>
      <c r="E30" t="str">
        <f t="shared" si="14"/>
        <v>HI</v>
      </c>
      <c r="F30" t="str">
        <f t="shared" si="17"/>
        <v>968614029</v>
      </c>
      <c r="G30" t="str">
        <f>T("ELROD ROAD BUILDING 700")</f>
        <v>ELROD ROAD BUILDING 700</v>
      </c>
      <c r="H30" t="str">
        <f>T("")</f>
        <v/>
      </c>
      <c r="I30" t="str">
        <f>T("CAMP H.M. SMITH")</f>
        <v>CAMP H.M. SMITH</v>
      </c>
      <c r="J30" t="str">
        <f t="shared" si="15"/>
        <v>HI</v>
      </c>
      <c r="K30" t="str">
        <f>T("8084777496")</f>
        <v>8084777496</v>
      </c>
      <c r="L30" t="str">
        <f>T("8084779131")</f>
        <v>8084779131</v>
      </c>
    </row>
    <row r="31" spans="1:12" x14ac:dyDescent="0.35">
      <c r="A31" t="str">
        <f t="shared" si="11"/>
        <v>USPACOM</v>
      </c>
      <c r="B31" t="str">
        <f t="shared" si="12"/>
        <v>BLDG 700 ELROD RD</v>
      </c>
      <c r="C31" t="str">
        <f>T("BOX 64029 CODE J621")</f>
        <v>BOX 64029 CODE J621</v>
      </c>
      <c r="D31" t="str">
        <f t="shared" si="13"/>
        <v>CAMP SMITH</v>
      </c>
      <c r="E31" t="str">
        <f t="shared" si="14"/>
        <v>HI</v>
      </c>
      <c r="F31" t="str">
        <f t="shared" si="17"/>
        <v>968614029</v>
      </c>
      <c r="G31" t="str">
        <f>T("ELROD ROAD BUILDING 700")</f>
        <v>ELROD ROAD BUILDING 700</v>
      </c>
      <c r="H31" t="str">
        <f>T("")</f>
        <v/>
      </c>
      <c r="I31" t="str">
        <f>T("CAMP HM SMITH")</f>
        <v>CAMP HM SMITH</v>
      </c>
      <c r="J31" t="str">
        <f t="shared" si="15"/>
        <v>HI</v>
      </c>
      <c r="K31" t="str">
        <f>T("000000000000000000")</f>
        <v>000000000000000000</v>
      </c>
      <c r="L31" t="str">
        <f>T("8084777619")</f>
        <v>8084777619</v>
      </c>
    </row>
    <row r="32" spans="1:12" x14ac:dyDescent="0.35">
      <c r="A32" t="str">
        <f t="shared" si="11"/>
        <v>USPACOM</v>
      </c>
      <c r="B32" t="str">
        <f>T("BLDG 700 ELROD ROAD")</f>
        <v>BLDG 700 ELROD ROAD</v>
      </c>
      <c r="C32" t="str">
        <f>T("BOX 64017 CODE J152")</f>
        <v>BOX 64017 CODE J152</v>
      </c>
      <c r="D32" t="str">
        <f t="shared" si="13"/>
        <v>CAMP SMITH</v>
      </c>
      <c r="E32" t="str">
        <f t="shared" si="14"/>
        <v>HI</v>
      </c>
      <c r="F32" t="str">
        <f>T("968614017")</f>
        <v>968614017</v>
      </c>
      <c r="G32" t="str">
        <f>T("BLDG 700 ELROD ROAD")</f>
        <v>BLDG 700 ELROD ROAD</v>
      </c>
      <c r="H32" t="str">
        <f>T("BOX 64017 CODE J152")</f>
        <v>BOX 64017 CODE J152</v>
      </c>
      <c r="I32" t="str">
        <f>T("CAMP SMITH")</f>
        <v>CAMP SMITH</v>
      </c>
      <c r="J32" t="str">
        <f t="shared" si="15"/>
        <v>HI</v>
      </c>
      <c r="K32" t="str">
        <f>T("000000000000000000")</f>
        <v>000000000000000000</v>
      </c>
      <c r="L32" t="str">
        <f>T("8084779469")</f>
        <v>8084779469</v>
      </c>
    </row>
    <row r="33" spans="1:12" x14ac:dyDescent="0.35">
      <c r="A33" t="str">
        <f t="shared" si="11"/>
        <v>USPACOM</v>
      </c>
      <c r="B33" t="str">
        <f>T("BLDG 700 ELROD ROAD")</f>
        <v>BLDG 700 ELROD ROAD</v>
      </c>
      <c r="C33" t="str">
        <f>T("BOX 64017 CODE J152")</f>
        <v>BOX 64017 CODE J152</v>
      </c>
      <c r="D33" t="str">
        <f t="shared" si="13"/>
        <v>CAMP SMITH</v>
      </c>
      <c r="E33" t="str">
        <f t="shared" si="14"/>
        <v>HI</v>
      </c>
      <c r="F33" t="str">
        <f>T("968614017")</f>
        <v>968614017</v>
      </c>
      <c r="G33" t="str">
        <f>T("USPACOM J15")</f>
        <v>USPACOM J15</v>
      </c>
      <c r="H33" t="str">
        <f>T("ELROD RD BLDG 700")</f>
        <v>ELROD RD BLDG 700</v>
      </c>
      <c r="I33" t="str">
        <f>T("CAMP H.M SMITH")</f>
        <v>CAMP H.M SMITH</v>
      </c>
      <c r="J33" t="str">
        <f t="shared" si="15"/>
        <v>HI</v>
      </c>
      <c r="K33" t="str">
        <f>T("8084777877")</f>
        <v>8084777877</v>
      </c>
      <c r="L33" t="str">
        <f>T("8084770856")</f>
        <v>8084770856</v>
      </c>
    </row>
    <row r="34" spans="1:12" x14ac:dyDescent="0.35">
      <c r="A34" t="str">
        <f t="shared" si="11"/>
        <v>USPACOM</v>
      </c>
      <c r="B34" t="str">
        <f>T("PENTAGON ROOM 2D835")</f>
        <v>PENTAGON ROOM 2D835</v>
      </c>
      <c r="C34" t="str">
        <f t="shared" ref="C34:C39" si="18">T("")</f>
        <v/>
      </c>
      <c r="D34" t="str">
        <f>T("WASHINGTON")</f>
        <v>WASHINGTON</v>
      </c>
      <c r="E34" t="str">
        <f>T("DC")</f>
        <v>DC</v>
      </c>
      <c r="F34" t="str">
        <f>T("203180001")</f>
        <v>203180001</v>
      </c>
      <c r="G34" t="str">
        <f>T("PENTAGON RM 2D835")</f>
        <v>PENTAGON RM 2D835</v>
      </c>
      <c r="H34" t="str">
        <f>T("")</f>
        <v/>
      </c>
      <c r="I34" t="str">
        <f>T("WASHINGTON")</f>
        <v>WASHINGTON</v>
      </c>
      <c r="J34" t="str">
        <f>T("DC")</f>
        <v>DC</v>
      </c>
      <c r="K34" t="str">
        <f>T("7036938580")</f>
        <v>7036938580</v>
      </c>
      <c r="L34" t="str">
        <f>T("7036936436")</f>
        <v>7036936436</v>
      </c>
    </row>
    <row r="35" spans="1:12" x14ac:dyDescent="0.35">
      <c r="A35" t="str">
        <f t="shared" si="11"/>
        <v>USPACOM</v>
      </c>
      <c r="B35" t="str">
        <f>T("PENTAGON ROOM 2D835")</f>
        <v>PENTAGON ROOM 2D835</v>
      </c>
      <c r="C35" t="str">
        <f t="shared" si="18"/>
        <v/>
      </c>
      <c r="D35" t="str">
        <f>T("WASHINGTON")</f>
        <v>WASHINGTON</v>
      </c>
      <c r="E35" t="str">
        <f>T("DC")</f>
        <v>DC</v>
      </c>
      <c r="F35" t="str">
        <f>T("203180001")</f>
        <v>203180001</v>
      </c>
      <c r="G35" t="str">
        <f>T("PENTAGON ROOM 2D835")</f>
        <v>PENTAGON ROOM 2D835</v>
      </c>
      <c r="H35" t="str">
        <f>T("")</f>
        <v/>
      </c>
      <c r="I35" t="str">
        <f>T("WASHINGTON")</f>
        <v>WASHINGTON</v>
      </c>
      <c r="J35" t="str">
        <f>T("DC")</f>
        <v>DC</v>
      </c>
      <c r="K35" t="str">
        <f>T("703-693-8580")</f>
        <v>703-693-8580</v>
      </c>
      <c r="L35" t="str">
        <f>T("7036936436")</f>
        <v>7036936436</v>
      </c>
    </row>
    <row r="36" spans="1:12" x14ac:dyDescent="0.35">
      <c r="A36" t="str">
        <f>T("JIATFW")</f>
        <v>JIATFW</v>
      </c>
      <c r="B36" t="str">
        <f>T("BOX 64033")</f>
        <v>BOX 64033</v>
      </c>
      <c r="C36" t="str">
        <f t="shared" si="18"/>
        <v/>
      </c>
      <c r="D36" t="str">
        <f>T("CAMP SMITH")</f>
        <v>CAMP SMITH</v>
      </c>
      <c r="E36" t="str">
        <f>T("HI")</f>
        <v>HI</v>
      </c>
      <c r="F36" t="str">
        <f>T("968614033")</f>
        <v>968614033</v>
      </c>
      <c r="G36" t="str">
        <f>T("BOX 64033")</f>
        <v>BOX 64033</v>
      </c>
      <c r="H36" t="str">
        <f>T("")</f>
        <v/>
      </c>
      <c r="I36" t="str">
        <f>T("CAMP SMITH")</f>
        <v>CAMP SMITH</v>
      </c>
      <c r="J36" t="str">
        <f>T("HI")</f>
        <v>HI</v>
      </c>
      <c r="K36" t="str">
        <f>T("8084779703")</f>
        <v>8084779703</v>
      </c>
      <c r="L36" t="str">
        <f>T("8084779752")</f>
        <v>8084779752</v>
      </c>
    </row>
    <row r="37" spans="1:12" x14ac:dyDescent="0.35">
      <c r="A37" t="str">
        <f>T("JIATFW")</f>
        <v>JIATFW</v>
      </c>
      <c r="B37" t="str">
        <f>T("BOX 64033")</f>
        <v>BOX 64033</v>
      </c>
      <c r="C37" t="str">
        <f t="shared" si="18"/>
        <v/>
      </c>
      <c r="D37" t="str">
        <f>T("CAMP SMITH")</f>
        <v>CAMP SMITH</v>
      </c>
      <c r="E37" t="str">
        <f>T("HI")</f>
        <v>HI</v>
      </c>
      <c r="F37" t="str">
        <f>T("968614033")</f>
        <v>968614033</v>
      </c>
      <c r="G37" t="str">
        <f>T("JIATF WEST")</f>
        <v>JIATF WEST</v>
      </c>
      <c r="H37" t="str">
        <f>T("700 ELROD ROAD BLDG 700 ROOM 131")</f>
        <v>700 ELROD ROAD BLDG 700 ROOM 131</v>
      </c>
      <c r="I37" t="str">
        <f>T("CAMP H M SMITH")</f>
        <v>CAMP H M SMITH</v>
      </c>
      <c r="J37" t="str">
        <f>T("HI")</f>
        <v>HI</v>
      </c>
      <c r="K37" t="str">
        <f>T("000000000000000000")</f>
        <v>000000000000000000</v>
      </c>
      <c r="L37" t="str">
        <f>T("8084779774")</f>
        <v>8084779774</v>
      </c>
    </row>
    <row r="38" spans="1:12" x14ac:dyDescent="0.35">
      <c r="A38" t="str">
        <f>T("JIATFW")</f>
        <v>JIATFW</v>
      </c>
      <c r="B38" t="str">
        <f>T("BOX 64033")</f>
        <v>BOX 64033</v>
      </c>
      <c r="C38" t="str">
        <f t="shared" si="18"/>
        <v/>
      </c>
      <c r="D38" t="str">
        <f>T("CAMP SMITH")</f>
        <v>CAMP SMITH</v>
      </c>
      <c r="E38" t="str">
        <f>T("HI")</f>
        <v>HI</v>
      </c>
      <c r="F38" t="str">
        <f>T("968614033")</f>
        <v>968614033</v>
      </c>
      <c r="G38" t="str">
        <f>T("JIATF WEST")</f>
        <v>JIATF WEST</v>
      </c>
      <c r="H38" t="str">
        <f>T("BOX 63033")</f>
        <v>BOX 63033</v>
      </c>
      <c r="I38" t="str">
        <f>T("CAMP HM SMITH")</f>
        <v>CAMP HM SMITH</v>
      </c>
      <c r="J38" t="str">
        <f>T("HI")</f>
        <v>HI</v>
      </c>
      <c r="K38" t="str">
        <f>T("000000000000000000")</f>
        <v>000000000000000000</v>
      </c>
      <c r="L38" t="str">
        <f>T("8084779714")</f>
        <v>8084779714</v>
      </c>
    </row>
    <row r="39" spans="1:12" x14ac:dyDescent="0.35">
      <c r="A39" t="str">
        <f>T("JIATFW")</f>
        <v>JIATFW</v>
      </c>
      <c r="B39" t="str">
        <f>T("BOX 64033")</f>
        <v>BOX 64033</v>
      </c>
      <c r="C39" t="str">
        <f t="shared" si="18"/>
        <v/>
      </c>
      <c r="D39" t="str">
        <f>T("CAMP SMITH")</f>
        <v>CAMP SMITH</v>
      </c>
      <c r="E39" t="str">
        <f>T("HI")</f>
        <v>HI</v>
      </c>
      <c r="F39" t="str">
        <f>T("968614033")</f>
        <v>968614033</v>
      </c>
      <c r="G39" t="str">
        <f>T("JIATF WEST")</f>
        <v>JIATF WEST</v>
      </c>
      <c r="H39" t="str">
        <f>T("BOX 64033")</f>
        <v>BOX 64033</v>
      </c>
      <c r="I39" t="str">
        <f>T("CAMP H M SMITH")</f>
        <v>CAMP H M SMITH</v>
      </c>
      <c r="J39" t="str">
        <f>T("HI")</f>
        <v>HI</v>
      </c>
      <c r="K39" t="str">
        <f>T("8084779776")</f>
        <v>8084779776</v>
      </c>
      <c r="L39" t="str">
        <f>T("8084779774")</f>
        <v>8084779774</v>
      </c>
    </row>
    <row r="40" spans="1:12" x14ac:dyDescent="0.35">
      <c r="A40" t="str">
        <f t="shared" ref="A40:A46" si="19">T("N68912 ALASKAN COMMAND")</f>
        <v>N68912 ALASKAN COMMAND</v>
      </c>
      <c r="B40" t="str">
        <f t="shared" ref="B40:B45" si="20">T("9480 PEASE AVE")</f>
        <v>9480 PEASE AVE</v>
      </c>
      <c r="C40" t="str">
        <f>T("SUITE 212")</f>
        <v>SUITE 212</v>
      </c>
      <c r="D40" t="str">
        <f>T("JBER")</f>
        <v>JBER</v>
      </c>
      <c r="E40" t="str">
        <f t="shared" ref="E40:E46" si="21">T("AK")</f>
        <v>AK</v>
      </c>
      <c r="F40" t="str">
        <f t="shared" ref="F40:F46" si="22">T("995062101")</f>
        <v>995062101</v>
      </c>
      <c r="G40" t="str">
        <f>T("9480 PEASE AVE")</f>
        <v>9480 PEASE AVE</v>
      </c>
      <c r="H40" t="str">
        <f>T("SUITE 212")</f>
        <v>SUITE 212</v>
      </c>
      <c r="I40" t="str">
        <f>T("JBER")</f>
        <v>JBER</v>
      </c>
      <c r="J40" t="str">
        <f t="shared" ref="J40:J46" si="23">T("AK")</f>
        <v>AK</v>
      </c>
      <c r="K40" t="str">
        <f>T("")</f>
        <v/>
      </c>
      <c r="L40" t="str">
        <f>T("9075524125")</f>
        <v>9075524125</v>
      </c>
    </row>
    <row r="41" spans="1:12" x14ac:dyDescent="0.35">
      <c r="A41" t="str">
        <f t="shared" si="19"/>
        <v>N68912 ALASKAN COMMAND</v>
      </c>
      <c r="B41" t="str">
        <f t="shared" si="20"/>
        <v>9480 PEASE AVE</v>
      </c>
      <c r="C41" t="str">
        <f>T("SUITE 212")</f>
        <v>SUITE 212</v>
      </c>
      <c r="D41" t="str">
        <f>T("JBER")</f>
        <v>JBER</v>
      </c>
      <c r="E41" t="str">
        <f t="shared" si="21"/>
        <v>AK</v>
      </c>
      <c r="F41" t="str">
        <f t="shared" si="22"/>
        <v>995062101</v>
      </c>
      <c r="G41" t="str">
        <f>T("9480 PEASE AVE STE 212")</f>
        <v>9480 PEASE AVE STE 212</v>
      </c>
      <c r="H41" t="str">
        <f>T("")</f>
        <v/>
      </c>
      <c r="I41" t="str">
        <f>T("ELMENDORF AFB")</f>
        <v>ELMENDORF AFB</v>
      </c>
      <c r="J41" t="str">
        <f t="shared" si="23"/>
        <v>AK</v>
      </c>
      <c r="K41" t="str">
        <f>T("000000000000000000")</f>
        <v>000000000000000000</v>
      </c>
      <c r="L41" t="str">
        <f>T("9075521835")</f>
        <v>9075521835</v>
      </c>
    </row>
    <row r="42" spans="1:12" x14ac:dyDescent="0.35">
      <c r="A42" t="str">
        <f t="shared" si="19"/>
        <v>N68912 ALASKAN COMMAND</v>
      </c>
      <c r="B42" t="str">
        <f t="shared" si="20"/>
        <v>9480 PEASE AVE</v>
      </c>
      <c r="C42" t="str">
        <f>T("SUITE 212")</f>
        <v>SUITE 212</v>
      </c>
      <c r="D42" t="str">
        <f>T("JBER")</f>
        <v>JBER</v>
      </c>
      <c r="E42" t="str">
        <f t="shared" si="21"/>
        <v>AK</v>
      </c>
      <c r="F42" t="str">
        <f t="shared" si="22"/>
        <v>995062101</v>
      </c>
      <c r="G42" t="str">
        <f>T("9480 PEASE AVE SUITE 303")</f>
        <v>9480 PEASE AVE SUITE 303</v>
      </c>
      <c r="H42" t="str">
        <f>T("")</f>
        <v/>
      </c>
      <c r="I42" t="str">
        <f>T("ELMENDORF AFB")</f>
        <v>ELMENDORF AFB</v>
      </c>
      <c r="J42" t="str">
        <f t="shared" si="23"/>
        <v>AK</v>
      </c>
      <c r="K42" t="str">
        <f>T("000000000000000000")</f>
        <v>000000000000000000</v>
      </c>
      <c r="L42" t="str">
        <f>T("9075523227")</f>
        <v>9075523227</v>
      </c>
    </row>
    <row r="43" spans="1:12" x14ac:dyDescent="0.35">
      <c r="A43" t="str">
        <f t="shared" si="19"/>
        <v>N68912 ALASKAN COMMAND</v>
      </c>
      <c r="B43" t="str">
        <f t="shared" si="20"/>
        <v>9480 PEASE AVE</v>
      </c>
      <c r="C43" t="str">
        <f>T("SUITE 301")</f>
        <v>SUITE 301</v>
      </c>
      <c r="D43" t="str">
        <f>T("ELMENDORF AFB")</f>
        <v>ELMENDORF AFB</v>
      </c>
      <c r="E43" t="str">
        <f t="shared" si="21"/>
        <v>AK</v>
      </c>
      <c r="F43" t="str">
        <f t="shared" si="22"/>
        <v>995062101</v>
      </c>
      <c r="G43" t="str">
        <f>T("9480 PEASE AVE")</f>
        <v>9480 PEASE AVE</v>
      </c>
      <c r="H43" t="str">
        <f>T("SUITE 301")</f>
        <v>SUITE 301</v>
      </c>
      <c r="I43" t="str">
        <f>T("ELMENDORF AFB")</f>
        <v>ELMENDORF AFB</v>
      </c>
      <c r="J43" t="str">
        <f t="shared" si="23"/>
        <v>AK</v>
      </c>
      <c r="K43" t="str">
        <f>T("")</f>
        <v/>
      </c>
      <c r="L43" t="str">
        <f>T("9075522112")</f>
        <v>9075522112</v>
      </c>
    </row>
    <row r="44" spans="1:12" x14ac:dyDescent="0.35">
      <c r="A44" t="str">
        <f t="shared" si="19"/>
        <v>N68912 ALASKAN COMMAND</v>
      </c>
      <c r="B44" t="str">
        <f t="shared" si="20"/>
        <v>9480 PEASE AVE</v>
      </c>
      <c r="C44" t="str">
        <f>T("SUITE 301")</f>
        <v>SUITE 301</v>
      </c>
      <c r="D44" t="str">
        <f>T("ELMENDORF AFB")</f>
        <v>ELMENDORF AFB</v>
      </c>
      <c r="E44" t="str">
        <f t="shared" si="21"/>
        <v>AK</v>
      </c>
      <c r="F44" t="str">
        <f t="shared" si="22"/>
        <v>995062101</v>
      </c>
      <c r="G44" t="str">
        <f>T("9480 PEASE AVE SUITE 212")</f>
        <v>9480 PEASE AVE SUITE 212</v>
      </c>
      <c r="H44" t="str">
        <f>T("")</f>
        <v/>
      </c>
      <c r="I44" t="str">
        <f>T("ELMENDORF AFB")</f>
        <v>ELMENDORF AFB</v>
      </c>
      <c r="J44" t="str">
        <f t="shared" si="23"/>
        <v>AK</v>
      </c>
      <c r="K44" t="str">
        <f>T("000000000000000000")</f>
        <v>000000000000000000</v>
      </c>
      <c r="L44" t="str">
        <f>T("9075521410")</f>
        <v>9075521410</v>
      </c>
    </row>
    <row r="45" spans="1:12" x14ac:dyDescent="0.35">
      <c r="A45" t="str">
        <f t="shared" si="19"/>
        <v>N68912 ALASKAN COMMAND</v>
      </c>
      <c r="B45" t="str">
        <f t="shared" si="20"/>
        <v>9480 PEASE AVE</v>
      </c>
      <c r="C45" t="str">
        <f>T("SUITE 301")</f>
        <v>SUITE 301</v>
      </c>
      <c r="D45" t="str">
        <f>T("ELMENDORF AFB")</f>
        <v>ELMENDORF AFB</v>
      </c>
      <c r="E45" t="str">
        <f t="shared" si="21"/>
        <v>AK</v>
      </c>
      <c r="F45" t="str">
        <f t="shared" si="22"/>
        <v>995062101</v>
      </c>
      <c r="G45" t="str">
        <f>T("9480 PEASE AVE SUITE 212")</f>
        <v>9480 PEASE AVE SUITE 212</v>
      </c>
      <c r="H45" t="str">
        <f>T("")</f>
        <v/>
      </c>
      <c r="I45" t="str">
        <f>T("ELMENDORF AFB")</f>
        <v>ELMENDORF AFB</v>
      </c>
      <c r="J45" t="str">
        <f t="shared" si="23"/>
        <v>AK</v>
      </c>
      <c r="K45" t="str">
        <f>T("000000000000000000")</f>
        <v>000000000000000000</v>
      </c>
      <c r="L45" t="str">
        <f>T("9075529443")</f>
        <v>9075529443</v>
      </c>
    </row>
    <row r="46" spans="1:12" x14ac:dyDescent="0.35">
      <c r="A46" t="str">
        <f t="shared" si="19"/>
        <v>N68912 ALASKAN COMMAND</v>
      </c>
      <c r="B46" t="str">
        <f>T("9480 PEASE AVE SUITE 103")</f>
        <v>9480 PEASE AVE SUITE 103</v>
      </c>
      <c r="C46" t="str">
        <f>T("")</f>
        <v/>
      </c>
      <c r="D46" t="str">
        <f>T("JBER")</f>
        <v>JBER</v>
      </c>
      <c r="E46" t="str">
        <f t="shared" si="21"/>
        <v>AK</v>
      </c>
      <c r="F46" t="str">
        <f t="shared" si="22"/>
        <v>995062101</v>
      </c>
      <c r="G46" t="str">
        <f>T("9480 PEASE AVE SUITE 103")</f>
        <v>9480 PEASE AVE SUITE 103</v>
      </c>
      <c r="H46" t="str">
        <f>T("")</f>
        <v/>
      </c>
      <c r="I46" t="str">
        <f>T("JBER")</f>
        <v>JBER</v>
      </c>
      <c r="J46" t="str">
        <f t="shared" si="23"/>
        <v>AK</v>
      </c>
      <c r="K46" t="str">
        <f>T("")</f>
        <v/>
      </c>
      <c r="L46" t="str">
        <f>T("9075524904")</f>
        <v>9075524904</v>
      </c>
    </row>
    <row r="47" spans="1:12" x14ac:dyDescent="0.35">
      <c r="A47" t="str">
        <f>T("JPAC")</f>
        <v>JPAC</v>
      </c>
      <c r="B47" t="str">
        <f>T("310 WORCHESTER AVE")</f>
        <v>310 WORCHESTER AVE</v>
      </c>
      <c r="C47" t="str">
        <f>T("BLDG 45")</f>
        <v>BLDG 45</v>
      </c>
      <c r="D47" t="str">
        <f>T("HICKAM AFB")</f>
        <v>HICKAM AFB</v>
      </c>
      <c r="E47" t="str">
        <f t="shared" ref="E47:E68" si="24">T("HI")</f>
        <v>HI</v>
      </c>
      <c r="F47" t="str">
        <f>T("968535501")</f>
        <v>968535501</v>
      </c>
      <c r="G47" t="str">
        <f>T("310 WORCHESTER AVE")</f>
        <v>310 WORCHESTER AVE</v>
      </c>
      <c r="H47" t="str">
        <f>T("BLDG 45")</f>
        <v>BLDG 45</v>
      </c>
      <c r="I47" t="str">
        <f>T("HICKAM AFB")</f>
        <v>HICKAM AFB</v>
      </c>
      <c r="J47" t="str">
        <f t="shared" ref="J47:J68" si="25">T("HI")</f>
        <v>HI</v>
      </c>
      <c r="K47" t="str">
        <f>T("")</f>
        <v/>
      </c>
      <c r="L47" t="str">
        <f>T("8084481754")</f>
        <v>8084481754</v>
      </c>
    </row>
    <row r="48" spans="1:12" x14ac:dyDescent="0.35">
      <c r="A48" t="str">
        <f t="shared" ref="A48:A62" si="26">T("SOCPAC/SOJ4")</f>
        <v>SOCPAC/SOJ4</v>
      </c>
      <c r="B48" t="str">
        <f t="shared" ref="B48:B57" si="27">T("SOCPAC")</f>
        <v>SOCPAC</v>
      </c>
      <c r="C48" t="str">
        <f t="shared" ref="C48:C57" si="28">T("BLDG 20 ELROD RD")</f>
        <v>BLDG 20 ELROD RD</v>
      </c>
      <c r="D48" t="str">
        <f>T("CAMP H M SMITH")</f>
        <v>CAMP H M SMITH</v>
      </c>
      <c r="E48" t="str">
        <f t="shared" si="24"/>
        <v>HI</v>
      </c>
      <c r="F48" t="str">
        <f t="shared" ref="F48:F62" si="29">T("968610000")</f>
        <v>968610000</v>
      </c>
      <c r="G48" t="str">
        <f>T("BLDG 20 ELROD ROAD ROOM 214")</f>
        <v>BLDG 20 ELROD ROAD ROOM 214</v>
      </c>
      <c r="H48" t="str">
        <f>T("")</f>
        <v/>
      </c>
      <c r="I48" t="str">
        <f>T("CAMP SMITH")</f>
        <v>CAMP SMITH</v>
      </c>
      <c r="J48" t="str">
        <f t="shared" si="25"/>
        <v>HI</v>
      </c>
      <c r="K48" t="str">
        <f>T("000000000000000000")</f>
        <v>000000000000000000</v>
      </c>
      <c r="L48" t="str">
        <f>T("8084771633")</f>
        <v>8084771633</v>
      </c>
    </row>
    <row r="49" spans="1:12" x14ac:dyDescent="0.35">
      <c r="A49" t="str">
        <f t="shared" si="26"/>
        <v>SOCPAC/SOJ4</v>
      </c>
      <c r="B49" t="str">
        <f t="shared" si="27"/>
        <v>SOCPAC</v>
      </c>
      <c r="C49" t="str">
        <f t="shared" si="28"/>
        <v>BLDG 20 ELROD RD</v>
      </c>
      <c r="D49" t="str">
        <f>T("CAMP H M SMITH")</f>
        <v>CAMP H M SMITH</v>
      </c>
      <c r="E49" t="str">
        <f t="shared" si="24"/>
        <v>HI</v>
      </c>
      <c r="F49" t="str">
        <f t="shared" si="29"/>
        <v>968610000</v>
      </c>
      <c r="G49" t="str">
        <f>T("SOCPAC")</f>
        <v>SOCPAC</v>
      </c>
      <c r="H49" t="str">
        <f>T("BLDG 20 ELROD RD")</f>
        <v>BLDG 20 ELROD RD</v>
      </c>
      <c r="I49" t="str">
        <f>T("CAMP H M SMITH")</f>
        <v>CAMP H M SMITH</v>
      </c>
      <c r="J49" t="str">
        <f t="shared" si="25"/>
        <v>HI</v>
      </c>
      <c r="K49" t="str">
        <f>T("")</f>
        <v/>
      </c>
      <c r="L49" t="str">
        <f>T("8084777905")</f>
        <v>8084777905</v>
      </c>
    </row>
    <row r="50" spans="1:12" x14ac:dyDescent="0.35">
      <c r="A50" t="str">
        <f t="shared" si="26"/>
        <v>SOCPAC/SOJ4</v>
      </c>
      <c r="B50" t="str">
        <f t="shared" si="27"/>
        <v>SOCPAC</v>
      </c>
      <c r="C50" t="str">
        <f t="shared" si="28"/>
        <v>BLDG 20 ELROD RD</v>
      </c>
      <c r="D50" t="str">
        <f t="shared" ref="D50:D68" si="30">T("CAMP SMITH")</f>
        <v>CAMP SMITH</v>
      </c>
      <c r="E50" t="str">
        <f t="shared" si="24"/>
        <v>HI</v>
      </c>
      <c r="F50" t="str">
        <f t="shared" si="29"/>
        <v>968610000</v>
      </c>
      <c r="G50" t="str">
        <f>T("BLDG 20 ELROD RD")</f>
        <v>BLDG 20 ELROD RD</v>
      </c>
      <c r="H50" t="str">
        <f>T("ATTN APC LCDR RYAN WODELE X1463")</f>
        <v>ATTN APC LCDR RYAN WODELE X1463</v>
      </c>
      <c r="I50" t="str">
        <f>T("CAMP H M SMITH")</f>
        <v>CAMP H M SMITH</v>
      </c>
      <c r="J50" t="str">
        <f t="shared" si="25"/>
        <v>HI</v>
      </c>
      <c r="K50" t="str">
        <f>T("000000000000000000")</f>
        <v>000000000000000000</v>
      </c>
      <c r="L50" t="str">
        <f>T("8084771463")</f>
        <v>8084771463</v>
      </c>
    </row>
    <row r="51" spans="1:12" x14ac:dyDescent="0.35">
      <c r="A51" t="str">
        <f t="shared" si="26"/>
        <v>SOCPAC/SOJ4</v>
      </c>
      <c r="B51" t="str">
        <f t="shared" si="27"/>
        <v>SOCPAC</v>
      </c>
      <c r="C51" t="str">
        <f t="shared" si="28"/>
        <v>BLDG 20 ELROD RD</v>
      </c>
      <c r="D51" t="str">
        <f t="shared" si="30"/>
        <v>CAMP SMITH</v>
      </c>
      <c r="E51" t="str">
        <f t="shared" si="24"/>
        <v>HI</v>
      </c>
      <c r="F51" t="str">
        <f t="shared" si="29"/>
        <v>968610000</v>
      </c>
      <c r="G51" t="str">
        <f>T("BLDG 20 ELROD RD")</f>
        <v>BLDG 20 ELROD RD</v>
      </c>
      <c r="H51" t="str">
        <f>T("ATTN SOCPAC APC LCDR RYAN WODELE")</f>
        <v>ATTN SOCPAC APC LCDR RYAN WODELE</v>
      </c>
      <c r="I51" t="str">
        <f>T("HONOLULU")</f>
        <v>HONOLULU</v>
      </c>
      <c r="J51" t="str">
        <f t="shared" si="25"/>
        <v>HI</v>
      </c>
      <c r="K51" t="str">
        <f>T("000000000000000000")</f>
        <v>000000000000000000</v>
      </c>
      <c r="L51" t="str">
        <f>T("8084771463")</f>
        <v>8084771463</v>
      </c>
    </row>
    <row r="52" spans="1:12" x14ac:dyDescent="0.35">
      <c r="A52" t="str">
        <f t="shared" si="26"/>
        <v>SOCPAC/SOJ4</v>
      </c>
      <c r="B52" t="str">
        <f t="shared" si="27"/>
        <v>SOCPAC</v>
      </c>
      <c r="C52" t="str">
        <f t="shared" si="28"/>
        <v>BLDG 20 ELROD RD</v>
      </c>
      <c r="D52" t="str">
        <f t="shared" si="30"/>
        <v>CAMP SMITH</v>
      </c>
      <c r="E52" t="str">
        <f t="shared" si="24"/>
        <v>HI</v>
      </c>
      <c r="F52" t="str">
        <f t="shared" si="29"/>
        <v>968610000</v>
      </c>
      <c r="G52" t="str">
        <f>T("BLDG 20 ELROD RD RM 214")</f>
        <v>BLDG 20 ELROD RD RM 214</v>
      </c>
      <c r="H52" t="str">
        <f>T("SOCPAC SOJ4")</f>
        <v>SOCPAC SOJ4</v>
      </c>
      <c r="I52" t="str">
        <f t="shared" ref="I52:I59" si="31">T("CAMP SMITH")</f>
        <v>CAMP SMITH</v>
      </c>
      <c r="J52" t="str">
        <f t="shared" si="25"/>
        <v>HI</v>
      </c>
      <c r="K52" t="str">
        <f>T("000000000000000000")</f>
        <v>000000000000000000</v>
      </c>
      <c r="L52" t="str">
        <f>T("8084776180")</f>
        <v>8084776180</v>
      </c>
    </row>
    <row r="53" spans="1:12" x14ac:dyDescent="0.35">
      <c r="A53" t="str">
        <f t="shared" si="26"/>
        <v>SOCPAC/SOJ4</v>
      </c>
      <c r="B53" t="str">
        <f t="shared" si="27"/>
        <v>SOCPAC</v>
      </c>
      <c r="C53" t="str">
        <f t="shared" si="28"/>
        <v>BLDG 20 ELROD RD</v>
      </c>
      <c r="D53" t="str">
        <f t="shared" si="30"/>
        <v>CAMP SMITH</v>
      </c>
      <c r="E53" t="str">
        <f t="shared" si="24"/>
        <v>HI</v>
      </c>
      <c r="F53" t="str">
        <f t="shared" si="29"/>
        <v>968610000</v>
      </c>
      <c r="G53" t="str">
        <f>T("BLDG 20 ELROD ROAD")</f>
        <v>BLDG 20 ELROD ROAD</v>
      </c>
      <c r="H53" t="str">
        <f>T("RM 146 ATTN R PHILLIPS/LCDR WODELE")</f>
        <v>RM 146 ATTN R PHILLIPS/LCDR WODELE</v>
      </c>
      <c r="I53" t="str">
        <f t="shared" si="31"/>
        <v>CAMP SMITH</v>
      </c>
      <c r="J53" t="str">
        <f t="shared" si="25"/>
        <v>HI</v>
      </c>
      <c r="K53" t="str">
        <f>T("000000000000000000")</f>
        <v>000000000000000000</v>
      </c>
      <c r="L53" t="str">
        <f>T("8084779505")</f>
        <v>8084779505</v>
      </c>
    </row>
    <row r="54" spans="1:12" x14ac:dyDescent="0.35">
      <c r="A54" t="str">
        <f t="shared" si="26"/>
        <v>SOCPAC/SOJ4</v>
      </c>
      <c r="B54" t="str">
        <f t="shared" si="27"/>
        <v>SOCPAC</v>
      </c>
      <c r="C54" t="str">
        <f t="shared" si="28"/>
        <v>BLDG 20 ELROD RD</v>
      </c>
      <c r="D54" t="str">
        <f t="shared" si="30"/>
        <v>CAMP SMITH</v>
      </c>
      <c r="E54" t="str">
        <f t="shared" si="24"/>
        <v>HI</v>
      </c>
      <c r="F54" t="str">
        <f t="shared" si="29"/>
        <v>968610000</v>
      </c>
      <c r="G54" t="str">
        <f>T("SOCPAC")</f>
        <v>SOCPAC</v>
      </c>
      <c r="H54" t="str">
        <f>T("BLDG 20 ELROD RD")</f>
        <v>BLDG 20 ELROD RD</v>
      </c>
      <c r="I54" t="str">
        <f t="shared" si="31"/>
        <v>CAMP SMITH</v>
      </c>
      <c r="J54" t="str">
        <f t="shared" si="25"/>
        <v>HI</v>
      </c>
      <c r="K54" t="str">
        <f>T("808-477-7910")</f>
        <v>808-477-7910</v>
      </c>
      <c r="L54" t="str">
        <f>T("8084770132")</f>
        <v>8084770132</v>
      </c>
    </row>
    <row r="55" spans="1:12" x14ac:dyDescent="0.35">
      <c r="A55" t="str">
        <f t="shared" si="26"/>
        <v>SOCPAC/SOJ4</v>
      </c>
      <c r="B55" t="str">
        <f t="shared" si="27"/>
        <v>SOCPAC</v>
      </c>
      <c r="C55" t="str">
        <f t="shared" si="28"/>
        <v>BLDG 20 ELROD RD</v>
      </c>
      <c r="D55" t="str">
        <f t="shared" si="30"/>
        <v>CAMP SMITH</v>
      </c>
      <c r="E55" t="str">
        <f t="shared" si="24"/>
        <v>HI</v>
      </c>
      <c r="F55" t="str">
        <f t="shared" si="29"/>
        <v>968610000</v>
      </c>
      <c r="G55" t="str">
        <f>T("SOCPAC")</f>
        <v>SOCPAC</v>
      </c>
      <c r="H55" t="str">
        <f>T("BLDG 20 ELROD RD")</f>
        <v>BLDG 20 ELROD RD</v>
      </c>
      <c r="I55" t="str">
        <f t="shared" si="31"/>
        <v>CAMP SMITH</v>
      </c>
      <c r="J55" t="str">
        <f t="shared" si="25"/>
        <v>HI</v>
      </c>
      <c r="K55" t="str">
        <f>T("808-477-7910")</f>
        <v>808-477-7910</v>
      </c>
      <c r="L55" t="str">
        <f>T("8084773512")</f>
        <v>8084773512</v>
      </c>
    </row>
    <row r="56" spans="1:12" x14ac:dyDescent="0.35">
      <c r="A56" t="str">
        <f t="shared" si="26"/>
        <v>SOCPAC/SOJ4</v>
      </c>
      <c r="B56" t="str">
        <f t="shared" si="27"/>
        <v>SOCPAC</v>
      </c>
      <c r="C56" t="str">
        <f t="shared" si="28"/>
        <v>BLDG 20 ELROD RD</v>
      </c>
      <c r="D56" t="str">
        <f t="shared" si="30"/>
        <v>CAMP SMITH</v>
      </c>
      <c r="E56" t="str">
        <f t="shared" si="24"/>
        <v>HI</v>
      </c>
      <c r="F56" t="str">
        <f t="shared" si="29"/>
        <v>968610000</v>
      </c>
      <c r="G56" t="str">
        <f>T("SOCPAC/SOJ4")</f>
        <v>SOCPAC/SOJ4</v>
      </c>
      <c r="H56" t="str">
        <f>T("BLDG 20 ELROD RD")</f>
        <v>BLDG 20 ELROD RD</v>
      </c>
      <c r="I56" t="str">
        <f t="shared" si="31"/>
        <v>CAMP SMITH</v>
      </c>
      <c r="J56" t="str">
        <f t="shared" si="25"/>
        <v>HI</v>
      </c>
      <c r="K56" t="str">
        <f>T("8084777910")</f>
        <v>8084777910</v>
      </c>
      <c r="L56" t="str">
        <f>T("8084779963")</f>
        <v>8084779963</v>
      </c>
    </row>
    <row r="57" spans="1:12" x14ac:dyDescent="0.35">
      <c r="A57" t="str">
        <f t="shared" si="26"/>
        <v>SOCPAC/SOJ4</v>
      </c>
      <c r="B57" t="str">
        <f t="shared" si="27"/>
        <v>SOCPAC</v>
      </c>
      <c r="C57" t="str">
        <f t="shared" si="28"/>
        <v>BLDG 20 ELROD RD</v>
      </c>
      <c r="D57" t="str">
        <f t="shared" si="30"/>
        <v>CAMP SMITH</v>
      </c>
      <c r="E57" t="str">
        <f t="shared" si="24"/>
        <v>HI</v>
      </c>
      <c r="F57" t="str">
        <f t="shared" si="29"/>
        <v>968610000</v>
      </c>
      <c r="G57" t="str">
        <f>T("SOCPAC/SOJ4")</f>
        <v>SOCPAC/SOJ4</v>
      </c>
      <c r="H57" t="str">
        <f>T("BLDG 20 ELROD ROAD RM 121")</f>
        <v>BLDG 20 ELROD ROAD RM 121</v>
      </c>
      <c r="I57" t="str">
        <f t="shared" si="31"/>
        <v>CAMP SMITH</v>
      </c>
      <c r="J57" t="str">
        <f t="shared" si="25"/>
        <v>HI</v>
      </c>
      <c r="K57" t="str">
        <f>T("000000000000000000")</f>
        <v>000000000000000000</v>
      </c>
      <c r="L57" t="str">
        <f>T("8084779963")</f>
        <v>8084779963</v>
      </c>
    </row>
    <row r="58" spans="1:12" x14ac:dyDescent="0.35">
      <c r="A58" t="str">
        <f t="shared" si="26"/>
        <v>SOCPAC/SOJ4</v>
      </c>
      <c r="B58" t="str">
        <f>T("SOCPAC SOJ6")</f>
        <v>SOCPAC SOJ6</v>
      </c>
      <c r="C58" t="str">
        <f>T("BLDG 20, ELROD RD.")</f>
        <v>BLDG 20, ELROD RD.</v>
      </c>
      <c r="D58" t="str">
        <f t="shared" si="30"/>
        <v>CAMP SMITH</v>
      </c>
      <c r="E58" t="str">
        <f t="shared" si="24"/>
        <v>HI</v>
      </c>
      <c r="F58" t="str">
        <f t="shared" si="29"/>
        <v>968610000</v>
      </c>
      <c r="G58" t="str">
        <f>T("SOCPAC SOJ6")</f>
        <v>SOCPAC SOJ6</v>
      </c>
      <c r="H58" t="str">
        <f>T("BLDG 20, ELROD RD.")</f>
        <v>BLDG 20, ELROD RD.</v>
      </c>
      <c r="I58" t="str">
        <f t="shared" si="31"/>
        <v>CAMP SMITH</v>
      </c>
      <c r="J58" t="str">
        <f t="shared" si="25"/>
        <v>HI</v>
      </c>
      <c r="K58" t="str">
        <f>T("")</f>
        <v/>
      </c>
      <c r="L58" t="str">
        <f>T("8084779506")</f>
        <v>8084779506</v>
      </c>
    </row>
    <row r="59" spans="1:12" x14ac:dyDescent="0.35">
      <c r="A59" t="str">
        <f t="shared" si="26"/>
        <v>SOCPAC/SOJ4</v>
      </c>
      <c r="B59" t="str">
        <f>T("SOCPAC/LSF")</f>
        <v>SOCPAC/LSF</v>
      </c>
      <c r="C59" t="str">
        <f>T("BLDG 20 ELROD RD")</f>
        <v>BLDG 20 ELROD RD</v>
      </c>
      <c r="D59" t="str">
        <f t="shared" si="30"/>
        <v>CAMP SMITH</v>
      </c>
      <c r="E59" t="str">
        <f t="shared" si="24"/>
        <v>HI</v>
      </c>
      <c r="F59" t="str">
        <f t="shared" si="29"/>
        <v>968610000</v>
      </c>
      <c r="G59" t="str">
        <f>T("SOCPAC/LSF")</f>
        <v>SOCPAC/LSF</v>
      </c>
      <c r="H59" t="str">
        <f>T("BLDG 20 ELROD RD")</f>
        <v>BLDG 20 ELROD RD</v>
      </c>
      <c r="I59" t="str">
        <f t="shared" si="31"/>
        <v>CAMP SMITH</v>
      </c>
      <c r="J59" t="str">
        <f t="shared" si="25"/>
        <v>HI</v>
      </c>
      <c r="K59" t="str">
        <f>T("000000000000000000")</f>
        <v>000000000000000000</v>
      </c>
      <c r="L59" t="str">
        <f>T("6566907243")</f>
        <v>6566907243</v>
      </c>
    </row>
    <row r="60" spans="1:12" x14ac:dyDescent="0.35">
      <c r="A60" t="str">
        <f t="shared" si="26"/>
        <v>SOCPAC/SOJ4</v>
      </c>
      <c r="B60" t="str">
        <f>T("SOCPAC/LSF")</f>
        <v>SOCPAC/LSF</v>
      </c>
      <c r="C60" t="str">
        <f>T("BLDG 20 ELROD RD")</f>
        <v>BLDG 20 ELROD RD</v>
      </c>
      <c r="D60" t="str">
        <f t="shared" si="30"/>
        <v>CAMP SMITH</v>
      </c>
      <c r="E60" t="str">
        <f t="shared" si="24"/>
        <v>HI</v>
      </c>
      <c r="F60" t="str">
        <f t="shared" si="29"/>
        <v>968610000</v>
      </c>
      <c r="G60" t="str">
        <f>T("SOCPAC/SOJ4")</f>
        <v>SOCPAC/SOJ4</v>
      </c>
      <c r="H60" t="str">
        <f>T("BLDG 20 ELROD ROAD")</f>
        <v>BLDG 20 ELROD ROAD</v>
      </c>
      <c r="I60" t="str">
        <f>T("CAMP H M SMITH")</f>
        <v>CAMP H M SMITH</v>
      </c>
      <c r="J60" t="str">
        <f t="shared" si="25"/>
        <v>HI</v>
      </c>
      <c r="K60" t="str">
        <f>T("000000000000000000")</f>
        <v>000000000000000000</v>
      </c>
      <c r="L60" t="str">
        <f>T("6569907243")</f>
        <v>6569907243</v>
      </c>
    </row>
    <row r="61" spans="1:12" x14ac:dyDescent="0.35">
      <c r="A61" t="str">
        <f t="shared" si="26"/>
        <v>SOCPAC/SOJ4</v>
      </c>
      <c r="B61" t="str">
        <f>T("SOCPAC/SOJ2")</f>
        <v>SOCPAC/SOJ2</v>
      </c>
      <c r="C61" t="str">
        <f>T("BLDG 20 ELROD ROAD")</f>
        <v>BLDG 20 ELROD ROAD</v>
      </c>
      <c r="D61" t="str">
        <f t="shared" si="30"/>
        <v>CAMP SMITH</v>
      </c>
      <c r="E61" t="str">
        <f t="shared" si="24"/>
        <v>HI</v>
      </c>
      <c r="F61" t="str">
        <f t="shared" si="29"/>
        <v>968610000</v>
      </c>
      <c r="G61" t="str">
        <f>T("SOCPAC/SOJ2")</f>
        <v>SOCPAC/SOJ2</v>
      </c>
      <c r="H61" t="str">
        <f>T("BLDG 20 ELROD ROAD")</f>
        <v>BLDG 20 ELROD ROAD</v>
      </c>
      <c r="I61" t="str">
        <f>T("CAMP SMITH")</f>
        <v>CAMP SMITH</v>
      </c>
      <c r="J61" t="str">
        <f t="shared" si="25"/>
        <v>HI</v>
      </c>
      <c r="K61" t="str">
        <f>T("")</f>
        <v/>
      </c>
      <c r="L61" t="str">
        <f>T("8084770826")</f>
        <v>8084770826</v>
      </c>
    </row>
    <row r="62" spans="1:12" x14ac:dyDescent="0.35">
      <c r="A62" t="str">
        <f t="shared" si="26"/>
        <v>SOCPAC/SOJ4</v>
      </c>
      <c r="B62" t="str">
        <f>T("SOCPAC/SOJ4")</f>
        <v>SOCPAC/SOJ4</v>
      </c>
      <c r="C62" t="str">
        <f>T("BLDG 20 ELROD RD")</f>
        <v>BLDG 20 ELROD RD</v>
      </c>
      <c r="D62" t="str">
        <f t="shared" si="30"/>
        <v>CAMP SMITH</v>
      </c>
      <c r="E62" t="str">
        <f t="shared" si="24"/>
        <v>HI</v>
      </c>
      <c r="F62" t="str">
        <f t="shared" si="29"/>
        <v>968610000</v>
      </c>
      <c r="G62" t="str">
        <f>T("SOCPAC/SOJ4")</f>
        <v>SOCPAC/SOJ4</v>
      </c>
      <c r="H62" t="str">
        <f>T("BLDG 20 ELROD RD")</f>
        <v>BLDG 20 ELROD RD</v>
      </c>
      <c r="I62" t="str">
        <f>T("CAMP SMITH")</f>
        <v>CAMP SMITH</v>
      </c>
      <c r="J62" t="str">
        <f t="shared" si="25"/>
        <v>HI</v>
      </c>
      <c r="K62" t="str">
        <f>T("")</f>
        <v/>
      </c>
      <c r="L62" t="str">
        <f>T("8084779505")</f>
        <v>8084779505</v>
      </c>
    </row>
    <row r="63" spans="1:12" x14ac:dyDescent="0.35">
      <c r="A63" t="str">
        <f t="shared" ref="A63:A68" si="32">T("HQ USPACOM ORF")</f>
        <v>HQ USPACOM ORF</v>
      </c>
      <c r="B63" t="str">
        <f t="shared" ref="B63:B68" si="33">T("BOX 64018 CODE J843")</f>
        <v>BOX 64018 CODE J843</v>
      </c>
      <c r="C63" t="str">
        <f t="shared" ref="C63:C72" si="34">T("")</f>
        <v/>
      </c>
      <c r="D63" t="str">
        <f t="shared" si="30"/>
        <v>CAMP SMITH</v>
      </c>
      <c r="E63" t="str">
        <f t="shared" si="24"/>
        <v>HI</v>
      </c>
      <c r="F63" t="str">
        <f t="shared" ref="F63:F68" si="35">T("968614018")</f>
        <v>968614018</v>
      </c>
      <c r="G63" t="str">
        <f>T("87-1033 KAIHOOLULU ST")</f>
        <v>87-1033 KAIHOOLULU ST</v>
      </c>
      <c r="H63" t="str">
        <f>T("")</f>
        <v/>
      </c>
      <c r="I63" t="str">
        <f>T("WAIANAE")</f>
        <v>WAIANAE</v>
      </c>
      <c r="J63" t="str">
        <f t="shared" si="25"/>
        <v>HI</v>
      </c>
      <c r="K63" t="str">
        <f>T("8084772032")</f>
        <v>8084772032</v>
      </c>
      <c r="L63" t="str">
        <f>T("1111111111")</f>
        <v>1111111111</v>
      </c>
    </row>
    <row r="64" spans="1:12" x14ac:dyDescent="0.35">
      <c r="A64" t="str">
        <f t="shared" si="32"/>
        <v>HQ USPACOM ORF</v>
      </c>
      <c r="B64" t="str">
        <f t="shared" si="33"/>
        <v>BOX 64018 CODE J843</v>
      </c>
      <c r="C64" t="str">
        <f t="shared" si="34"/>
        <v/>
      </c>
      <c r="D64" t="str">
        <f t="shared" si="30"/>
        <v>CAMP SMITH</v>
      </c>
      <c r="E64" t="str">
        <f t="shared" si="24"/>
        <v>HI</v>
      </c>
      <c r="F64" t="str">
        <f t="shared" si="35"/>
        <v>968614018</v>
      </c>
      <c r="G64" t="str">
        <f>T("BOX 64018 CODE J843")</f>
        <v>BOX 64018 CODE J843</v>
      </c>
      <c r="H64" t="str">
        <f>T("")</f>
        <v/>
      </c>
      <c r="I64" t="str">
        <f>T("CAMP SMITH")</f>
        <v>CAMP SMITH</v>
      </c>
      <c r="J64" t="str">
        <f t="shared" si="25"/>
        <v>HI</v>
      </c>
      <c r="K64" t="str">
        <f>T("8084772032")</f>
        <v>8084772032</v>
      </c>
      <c r="L64" t="str">
        <f>T("8084777344")</f>
        <v>8084777344</v>
      </c>
    </row>
    <row r="65" spans="1:12" x14ac:dyDescent="0.35">
      <c r="A65" t="str">
        <f t="shared" si="32"/>
        <v>HQ USPACOM ORF</v>
      </c>
      <c r="B65" t="str">
        <f t="shared" si="33"/>
        <v>BOX 64018 CODE J843</v>
      </c>
      <c r="C65" t="str">
        <f t="shared" si="34"/>
        <v/>
      </c>
      <c r="D65" t="str">
        <f t="shared" si="30"/>
        <v>CAMP SMITH</v>
      </c>
      <c r="E65" t="str">
        <f t="shared" si="24"/>
        <v>HI</v>
      </c>
      <c r="F65" t="str">
        <f t="shared" si="35"/>
        <v>968614018</v>
      </c>
      <c r="G65" t="str">
        <f>T("HQ USPACOM")</f>
        <v>HQ USPACOM</v>
      </c>
      <c r="H65" t="str">
        <f>T("P O BOX 64018 CODE J84")</f>
        <v>P O BOX 64018 CODE J84</v>
      </c>
      <c r="I65" t="str">
        <f>T("CAMP H M SMITH")</f>
        <v>CAMP H M SMITH</v>
      </c>
      <c r="J65" t="str">
        <f t="shared" si="25"/>
        <v>HI</v>
      </c>
      <c r="K65" t="str">
        <f>T("000000000000000000")</f>
        <v>000000000000000000</v>
      </c>
      <c r="L65" t="str">
        <f>T("8084777634")</f>
        <v>8084777634</v>
      </c>
    </row>
    <row r="66" spans="1:12" x14ac:dyDescent="0.35">
      <c r="A66" t="str">
        <f t="shared" si="32"/>
        <v>HQ USPACOM ORF</v>
      </c>
      <c r="B66" t="str">
        <f t="shared" si="33"/>
        <v>BOX 64018 CODE J843</v>
      </c>
      <c r="C66" t="str">
        <f t="shared" si="34"/>
        <v/>
      </c>
      <c r="D66" t="str">
        <f t="shared" si="30"/>
        <v>CAMP SMITH</v>
      </c>
      <c r="E66" t="str">
        <f t="shared" si="24"/>
        <v>HI</v>
      </c>
      <c r="F66" t="str">
        <f t="shared" si="35"/>
        <v>968614018</v>
      </c>
      <c r="G66" t="str">
        <f>T("HQ USPACOM")</f>
        <v>HQ USPACOM</v>
      </c>
      <c r="H66" t="str">
        <f>T("PO BOX 64018 CODE J84")</f>
        <v>PO BOX 64018 CODE J84</v>
      </c>
      <c r="I66" t="str">
        <f>T("CAMP H M SMITH")</f>
        <v>CAMP H M SMITH</v>
      </c>
      <c r="J66" t="str">
        <f t="shared" si="25"/>
        <v>HI</v>
      </c>
      <c r="K66" t="str">
        <f>T("8084772032")</f>
        <v>8084772032</v>
      </c>
      <c r="L66" t="str">
        <f>T("8084777780")</f>
        <v>8084777780</v>
      </c>
    </row>
    <row r="67" spans="1:12" x14ac:dyDescent="0.35">
      <c r="A67" t="str">
        <f t="shared" si="32"/>
        <v>HQ USPACOM ORF</v>
      </c>
      <c r="B67" t="str">
        <f t="shared" si="33"/>
        <v>BOX 64018 CODE J843</v>
      </c>
      <c r="C67" t="str">
        <f t="shared" si="34"/>
        <v/>
      </c>
      <c r="D67" t="str">
        <f t="shared" si="30"/>
        <v>CAMP SMITH</v>
      </c>
      <c r="E67" t="str">
        <f t="shared" si="24"/>
        <v>HI</v>
      </c>
      <c r="F67" t="str">
        <f t="shared" si="35"/>
        <v>968614018</v>
      </c>
      <c r="G67" t="str">
        <f>T("HQ USPACOM")</f>
        <v>HQ USPACOM</v>
      </c>
      <c r="H67" t="str">
        <f>T("PO BOX 64037 CODE J84")</f>
        <v>PO BOX 64037 CODE J84</v>
      </c>
      <c r="I67" t="str">
        <f>T("CAMP H M SMITH")</f>
        <v>CAMP H M SMITH</v>
      </c>
      <c r="J67" t="str">
        <f t="shared" si="25"/>
        <v>HI</v>
      </c>
      <c r="K67" t="str">
        <f>T("000000000000000000")</f>
        <v>000000000000000000</v>
      </c>
      <c r="L67" t="str">
        <f>T("8083882186")</f>
        <v>8083882186</v>
      </c>
    </row>
    <row r="68" spans="1:12" x14ac:dyDescent="0.35">
      <c r="A68" t="str">
        <f t="shared" si="32"/>
        <v>HQ USPACOM ORF</v>
      </c>
      <c r="B68" t="str">
        <f t="shared" si="33"/>
        <v>BOX 64018 CODE J843</v>
      </c>
      <c r="C68" t="str">
        <f t="shared" si="34"/>
        <v/>
      </c>
      <c r="D68" t="str">
        <f t="shared" si="30"/>
        <v>CAMP SMITH</v>
      </c>
      <c r="E68" t="str">
        <f t="shared" si="24"/>
        <v>HI</v>
      </c>
      <c r="F68" t="str">
        <f t="shared" si="35"/>
        <v>968614018</v>
      </c>
      <c r="G68" t="str">
        <f>T("USPACOM")</f>
        <v>USPACOM</v>
      </c>
      <c r="H68" t="str">
        <f>T("BOX 64037 CODE J84")</f>
        <v>BOX 64037 CODE J84</v>
      </c>
      <c r="I68" t="str">
        <f>T("CAMP H M SMITH")</f>
        <v>CAMP H M SMITH</v>
      </c>
      <c r="J68" t="str">
        <f t="shared" si="25"/>
        <v>HI</v>
      </c>
      <c r="K68" t="str">
        <f>T("8084770242")</f>
        <v>8084770242</v>
      </c>
      <c r="L68" t="str">
        <f>T("8084770217")</f>
        <v>8084770217</v>
      </c>
    </row>
    <row r="69" spans="1:12" x14ac:dyDescent="0.35">
      <c r="A69" t="str">
        <f t="shared" ref="A69:A114" si="36">T("NAVAL HISTORY AND HERITAGE CMD")</f>
        <v>NAVAL HISTORY AND HERITAGE CMD</v>
      </c>
      <c r="B69" t="str">
        <f>T("610 FARRAGUT AVE")</f>
        <v>610 FARRAGUT AVE</v>
      </c>
      <c r="C69" t="str">
        <f t="shared" si="34"/>
        <v/>
      </c>
      <c r="D69" t="str">
        <f>T("GREAT LAKES")</f>
        <v>GREAT LAKES</v>
      </c>
      <c r="E69" t="str">
        <f>T("IL")</f>
        <v>IL</v>
      </c>
      <c r="F69" t="str">
        <f>T("600882915")</f>
        <v>600882915</v>
      </c>
      <c r="G69" t="str">
        <f>T("610 FARRAGUT AVE")</f>
        <v>610 FARRAGUT AVE</v>
      </c>
      <c r="H69" t="str">
        <f>T("")</f>
        <v/>
      </c>
      <c r="I69" t="str">
        <f>T("GREAT LAKES")</f>
        <v>GREAT LAKES</v>
      </c>
      <c r="J69" t="str">
        <f>T("IL")</f>
        <v>IL</v>
      </c>
      <c r="K69" t="str">
        <f>T("")</f>
        <v/>
      </c>
      <c r="L69" t="str">
        <f>T("1111111111")</f>
        <v>1111111111</v>
      </c>
    </row>
    <row r="70" spans="1:12" x14ac:dyDescent="0.35">
      <c r="A70" t="str">
        <f t="shared" si="36"/>
        <v>NAVAL HISTORY AND HERITAGE CMD</v>
      </c>
      <c r="B70" t="str">
        <f>T("610 FARRAGUT AVE")</f>
        <v>610 FARRAGUT AVE</v>
      </c>
      <c r="C70" t="str">
        <f t="shared" si="34"/>
        <v/>
      </c>
      <c r="D70" t="str">
        <f>T("GREAT LAKES")</f>
        <v>GREAT LAKES</v>
      </c>
      <c r="E70" t="str">
        <f>T("IL")</f>
        <v>IL</v>
      </c>
      <c r="F70" t="str">
        <f>T("600882915")</f>
        <v>600882915</v>
      </c>
      <c r="G70" t="str">
        <f>T("610 FARRAGUT AVE")</f>
        <v>610 FARRAGUT AVE</v>
      </c>
      <c r="H70" t="str">
        <f>T("")</f>
        <v/>
      </c>
      <c r="I70" t="str">
        <f>T("GREAT LAKES")</f>
        <v>GREAT LAKES</v>
      </c>
      <c r="J70" t="str">
        <f>T("IL")</f>
        <v>IL</v>
      </c>
      <c r="K70" t="str">
        <f>T("000000000000000000")</f>
        <v>000000000000000000</v>
      </c>
      <c r="L70" t="str">
        <f>T("8476883154")</f>
        <v>8476883154</v>
      </c>
    </row>
    <row r="71" spans="1:12" x14ac:dyDescent="0.35">
      <c r="A71" t="str">
        <f t="shared" si="36"/>
        <v>NAVAL HISTORY AND HERITAGE CMD</v>
      </c>
      <c r="B71" t="str">
        <f>T("686 CUSHING RD")</f>
        <v>686 CUSHING RD</v>
      </c>
      <c r="C71" t="str">
        <f t="shared" si="34"/>
        <v/>
      </c>
      <c r="D71" t="str">
        <f>T("NEWPORT")</f>
        <v>NEWPORT</v>
      </c>
      <c r="E71" t="str">
        <f>T("RI")</f>
        <v>RI</v>
      </c>
      <c r="F71" t="str">
        <f>T("028411213")</f>
        <v>028411213</v>
      </c>
      <c r="G71" t="str">
        <f>T("686 CUSHING RD")</f>
        <v>686 CUSHING RD</v>
      </c>
      <c r="H71" t="str">
        <f>T("")</f>
        <v/>
      </c>
      <c r="I71" t="str">
        <f>T("NEWPORT")</f>
        <v>NEWPORT</v>
      </c>
      <c r="J71" t="str">
        <f>T("RI")</f>
        <v>RI</v>
      </c>
      <c r="K71" t="str">
        <f>T("")</f>
        <v/>
      </c>
      <c r="L71" t="str">
        <f>T("4018411296")</f>
        <v>4018411296</v>
      </c>
    </row>
    <row r="72" spans="1:12" x14ac:dyDescent="0.35">
      <c r="A72" t="str">
        <f t="shared" si="36"/>
        <v>NAVAL HISTORY AND HERITAGE CMD</v>
      </c>
      <c r="B72" t="str">
        <f>T("686 CUSHING RD")</f>
        <v>686 CUSHING RD</v>
      </c>
      <c r="C72" t="str">
        <f t="shared" si="34"/>
        <v/>
      </c>
      <c r="D72" t="str">
        <f>T("NEWPORT")</f>
        <v>NEWPORT</v>
      </c>
      <c r="E72" t="str">
        <f>T("RI")</f>
        <v>RI</v>
      </c>
      <c r="F72" t="str">
        <f>T("028411213")</f>
        <v>028411213</v>
      </c>
      <c r="G72" t="str">
        <f>T("NAVAL WAR COLLEGE MUSEUM")</f>
        <v>NAVAL WAR COLLEGE MUSEUM</v>
      </c>
      <c r="H72" t="str">
        <f>T("686 CUSHING ROAD")</f>
        <v>686 CUSHING ROAD</v>
      </c>
      <c r="I72" t="str">
        <f>T("NEWPORT")</f>
        <v>NEWPORT</v>
      </c>
      <c r="J72" t="str">
        <f>T("RI")</f>
        <v>RI</v>
      </c>
      <c r="K72" t="str">
        <f>T("4018417074")</f>
        <v>4018417074</v>
      </c>
      <c r="L72" t="str">
        <f>T("4018412101")</f>
        <v>4018412101</v>
      </c>
    </row>
    <row r="73" spans="1:12" x14ac:dyDescent="0.35">
      <c r="A73" t="str">
        <f t="shared" si="36"/>
        <v>NAVAL HISTORY AND HERITAGE CMD</v>
      </c>
      <c r="B73" t="str">
        <f>T("8000 JEFFERSON DAVIS HWY")</f>
        <v>8000 JEFFERSON DAVIS HWY</v>
      </c>
      <c r="C73" t="str">
        <f>T("BUILDING 54 SOUTH TOWER")</f>
        <v>BUILDING 54 SOUTH TOWER</v>
      </c>
      <c r="D73" t="str">
        <f>T("RICHMOND")</f>
        <v>RICHMOND</v>
      </c>
      <c r="E73" t="str">
        <f>T("VA")</f>
        <v>VA</v>
      </c>
      <c r="F73" t="str">
        <f>T("232975002")</f>
        <v>232975002</v>
      </c>
      <c r="G73" t="str">
        <f>T("8000 JEFFERSON DAVIS HIGHWAY")</f>
        <v>8000 JEFFERSON DAVIS HIGHWAY</v>
      </c>
      <c r="H73" t="str">
        <f>T("BUILDING 54 SOUTH TOWER")</f>
        <v>BUILDING 54 SOUTH TOWER</v>
      </c>
      <c r="I73" t="str">
        <f>T("RICHMOND")</f>
        <v>RICHMOND</v>
      </c>
      <c r="J73" t="str">
        <f>T("VA")</f>
        <v>VA</v>
      </c>
      <c r="K73" t="str">
        <f>T("000000000000000000")</f>
        <v>000000000000000000</v>
      </c>
      <c r="L73" t="str">
        <f>T("8042793711")</f>
        <v>8042793711</v>
      </c>
    </row>
    <row r="74" spans="1:12" x14ac:dyDescent="0.35">
      <c r="A74" t="str">
        <f t="shared" si="36"/>
        <v>NAVAL HISTORY AND HERITAGE CMD</v>
      </c>
      <c r="B74" t="str">
        <f>T("8000 JEFFERSON DAVIS HWY")</f>
        <v>8000 JEFFERSON DAVIS HWY</v>
      </c>
      <c r="C74" t="str">
        <f>T("BUILDING 54 SOUTH TOWER")</f>
        <v>BUILDING 54 SOUTH TOWER</v>
      </c>
      <c r="D74" t="str">
        <f>T("RICHMOND")</f>
        <v>RICHMOND</v>
      </c>
      <c r="E74" t="str">
        <f>T("VA")</f>
        <v>VA</v>
      </c>
      <c r="F74" t="str">
        <f>T("232975002")</f>
        <v>232975002</v>
      </c>
      <c r="G74" t="str">
        <f>T("8000 JEFFERSON DAVIS HWY")</f>
        <v>8000 JEFFERSON DAVIS HWY</v>
      </c>
      <c r="H74" t="str">
        <f>T("BUILDING 54 SOUTH TOWER")</f>
        <v>BUILDING 54 SOUTH TOWER</v>
      </c>
      <c r="I74" t="str">
        <f>T("RICHMOND")</f>
        <v>RICHMOND</v>
      </c>
      <c r="J74" t="str">
        <f>T("VA")</f>
        <v>VA</v>
      </c>
      <c r="K74" t="str">
        <f>T("000000000000000000")</f>
        <v>000000000000000000</v>
      </c>
      <c r="L74" t="str">
        <f>T("8042791081")</f>
        <v>8042791081</v>
      </c>
    </row>
    <row r="75" spans="1:12" x14ac:dyDescent="0.35">
      <c r="A75" t="str">
        <f t="shared" si="36"/>
        <v>NAVAL HISTORY AND HERITAGE CMD</v>
      </c>
      <c r="B75" t="str">
        <f>T("805 KIDDER BREESE ST SE")</f>
        <v>805 KIDDER BREESE ST SE</v>
      </c>
      <c r="C75" t="str">
        <f t="shared" ref="C75:C83" si="37">T("")</f>
        <v/>
      </c>
      <c r="D75" t="str">
        <f>T("WASHINGTON")</f>
        <v>WASHINGTON</v>
      </c>
      <c r="E75" t="str">
        <f t="shared" ref="E75:E85" si="38">T("DC")</f>
        <v>DC</v>
      </c>
      <c r="F75" t="str">
        <f t="shared" ref="F75:F85" si="39">T("203745110")</f>
        <v>203745110</v>
      </c>
      <c r="G75" t="str">
        <f>T("805 KIDDER BREESE ST")</f>
        <v>805 KIDDER BREESE ST</v>
      </c>
      <c r="H75" t="str">
        <f t="shared" ref="H75:H84" si="40">T("")</f>
        <v/>
      </c>
      <c r="I75" t="str">
        <f>T("WASHINGTON")</f>
        <v>WASHINGTON</v>
      </c>
      <c r="J75" t="str">
        <f t="shared" ref="J75:J85" si="41">T("DC")</f>
        <v>DC</v>
      </c>
      <c r="K75" t="str">
        <f>T("000000000000000000")</f>
        <v>000000000000000000</v>
      </c>
      <c r="L75" t="str">
        <f>T("2024332097")</f>
        <v>2024332097</v>
      </c>
    </row>
    <row r="76" spans="1:12" x14ac:dyDescent="0.35">
      <c r="A76" t="str">
        <f t="shared" si="36"/>
        <v>NAVAL HISTORY AND HERITAGE CMD</v>
      </c>
      <c r="B76" t="str">
        <f>T("805 KIDDER BREESE ST SE")</f>
        <v>805 KIDDER BREESE ST SE</v>
      </c>
      <c r="C76" t="str">
        <f t="shared" si="37"/>
        <v/>
      </c>
      <c r="D76" t="str">
        <f>T("WASHINGTON")</f>
        <v>WASHINGTON</v>
      </c>
      <c r="E76" t="str">
        <f t="shared" si="38"/>
        <v>DC</v>
      </c>
      <c r="F76" t="str">
        <f t="shared" si="39"/>
        <v>203745110</v>
      </c>
      <c r="G76" t="str">
        <f>T("805 KIDDER BREESE ST SE")</f>
        <v>805 KIDDER BREESE ST SE</v>
      </c>
      <c r="H76" t="str">
        <f t="shared" si="40"/>
        <v/>
      </c>
      <c r="I76" t="str">
        <f>T("WASHINGTON")</f>
        <v>WASHINGTON</v>
      </c>
      <c r="J76" t="str">
        <f t="shared" si="41"/>
        <v>DC</v>
      </c>
      <c r="K76" t="str">
        <f>T("")</f>
        <v/>
      </c>
      <c r="L76" t="str">
        <f>T("2026850025")</f>
        <v>2026850025</v>
      </c>
    </row>
    <row r="77" spans="1:12" x14ac:dyDescent="0.35">
      <c r="A77" t="str">
        <f t="shared" si="36"/>
        <v>NAVAL HISTORY AND HERITAGE CMD</v>
      </c>
      <c r="B77" t="str">
        <f>T("805 KIDDER BREESE ST SE")</f>
        <v>805 KIDDER BREESE ST SE</v>
      </c>
      <c r="C77" t="str">
        <f t="shared" si="37"/>
        <v/>
      </c>
      <c r="D77" t="str">
        <f>T("WASHINGTON")</f>
        <v>WASHINGTON</v>
      </c>
      <c r="E77" t="str">
        <f t="shared" si="38"/>
        <v>DC</v>
      </c>
      <c r="F77" t="str">
        <f t="shared" si="39"/>
        <v>203745110</v>
      </c>
      <c r="G77" t="str">
        <f>T("805 KIDDER BREESE ST SE")</f>
        <v>805 KIDDER BREESE ST SE</v>
      </c>
      <c r="H77" t="str">
        <f t="shared" si="40"/>
        <v/>
      </c>
      <c r="I77" t="str">
        <f>T("WASHINGTON")</f>
        <v>WASHINGTON</v>
      </c>
      <c r="J77" t="str">
        <f t="shared" si="41"/>
        <v>DC</v>
      </c>
      <c r="K77" t="str">
        <f t="shared" ref="K77:K86" si="42">T("000000000000000000")</f>
        <v>000000000000000000</v>
      </c>
      <c r="L77" t="str">
        <f>T("2024332097")</f>
        <v>2024332097</v>
      </c>
    </row>
    <row r="78" spans="1:12" x14ac:dyDescent="0.35">
      <c r="A78" t="str">
        <f t="shared" si="36"/>
        <v>NAVAL HISTORY AND HERITAGE CMD</v>
      </c>
      <c r="B78" t="str">
        <f>T("805 KIDDER BREESE ST SE")</f>
        <v>805 KIDDER BREESE ST SE</v>
      </c>
      <c r="C78" t="str">
        <f t="shared" si="37"/>
        <v/>
      </c>
      <c r="D78" t="str">
        <f>T("WASHINGTON")</f>
        <v>WASHINGTON</v>
      </c>
      <c r="E78" t="str">
        <f t="shared" si="38"/>
        <v>DC</v>
      </c>
      <c r="F78" t="str">
        <f t="shared" si="39"/>
        <v>203745110</v>
      </c>
      <c r="G78" t="str">
        <f>T("805 KIDDER BREESE ST SE")</f>
        <v>805 KIDDER BREESE ST SE</v>
      </c>
      <c r="H78" t="str">
        <f t="shared" si="40"/>
        <v/>
      </c>
      <c r="I78" t="str">
        <f>T("WASHINGTON NAVY YARD")</f>
        <v>WASHINGTON NAVY YARD</v>
      </c>
      <c r="J78" t="str">
        <f t="shared" si="41"/>
        <v>DC</v>
      </c>
      <c r="K78" t="str">
        <f t="shared" si="42"/>
        <v>000000000000000000</v>
      </c>
      <c r="L78" t="str">
        <f>T("2024337880")</f>
        <v>2024337880</v>
      </c>
    </row>
    <row r="79" spans="1:12" x14ac:dyDescent="0.35">
      <c r="A79" t="str">
        <f t="shared" si="36"/>
        <v>NAVAL HISTORY AND HERITAGE CMD</v>
      </c>
      <c r="B79" t="str">
        <f>T("805 KIDDER BREESE ST, SE")</f>
        <v>805 KIDDER BREESE ST, SE</v>
      </c>
      <c r="C79" t="str">
        <f t="shared" si="37"/>
        <v/>
      </c>
      <c r="D79" t="str">
        <f>T("WASHINGTON NA")</f>
        <v>WASHINGTON NA</v>
      </c>
      <c r="E79" t="str">
        <f t="shared" si="38"/>
        <v>DC</v>
      </c>
      <c r="F79" t="str">
        <f t="shared" si="39"/>
        <v>203745110</v>
      </c>
      <c r="G79" t="str">
        <f>T("805 KIDDER BREESE ST SE")</f>
        <v>805 KIDDER BREESE ST SE</v>
      </c>
      <c r="H79" t="str">
        <f t="shared" si="40"/>
        <v/>
      </c>
      <c r="I79" t="str">
        <f>T("WASHINGTON")</f>
        <v>WASHINGTON</v>
      </c>
      <c r="J79" t="str">
        <f t="shared" si="41"/>
        <v>DC</v>
      </c>
      <c r="K79" t="str">
        <f t="shared" si="42"/>
        <v>000000000000000000</v>
      </c>
      <c r="L79" t="str">
        <f>T("2026851192")</f>
        <v>2026851192</v>
      </c>
    </row>
    <row r="80" spans="1:12" x14ac:dyDescent="0.35">
      <c r="A80" t="str">
        <f t="shared" si="36"/>
        <v>NAVAL HISTORY AND HERITAGE CMD</v>
      </c>
      <c r="B80" t="str">
        <f>T("805 KIDDER BREESE ST, SE")</f>
        <v>805 KIDDER BREESE ST, SE</v>
      </c>
      <c r="C80" t="str">
        <f t="shared" si="37"/>
        <v/>
      </c>
      <c r="D80" t="str">
        <f>T("WASHINGTON NA")</f>
        <v>WASHINGTON NA</v>
      </c>
      <c r="E80" t="str">
        <f t="shared" si="38"/>
        <v>DC</v>
      </c>
      <c r="F80" t="str">
        <f t="shared" si="39"/>
        <v>203745110</v>
      </c>
      <c r="G80" t="str">
        <f>T("805 KIDDER BREESE ST, SE")</f>
        <v>805 KIDDER BREESE ST, SE</v>
      </c>
      <c r="H80" t="str">
        <f t="shared" si="40"/>
        <v/>
      </c>
      <c r="I80" t="str">
        <f>T("WASHINGTON NA")</f>
        <v>WASHINGTON NA</v>
      </c>
      <c r="J80" t="str">
        <f t="shared" si="41"/>
        <v>DC</v>
      </c>
      <c r="K80" t="str">
        <f t="shared" si="42"/>
        <v>000000000000000000</v>
      </c>
      <c r="L80" t="str">
        <f>T("2024330765")</f>
        <v>2024330765</v>
      </c>
    </row>
    <row r="81" spans="1:12" x14ac:dyDescent="0.35">
      <c r="A81" t="str">
        <f t="shared" si="36"/>
        <v>NAVAL HISTORY AND HERITAGE CMD</v>
      </c>
      <c r="B81" t="str">
        <f>T("805 KIDDER BREESE ST, SE")</f>
        <v>805 KIDDER BREESE ST, SE</v>
      </c>
      <c r="C81" t="str">
        <f t="shared" si="37"/>
        <v/>
      </c>
      <c r="D81" t="str">
        <f>T("WASHINGTON NA")</f>
        <v>WASHINGTON NA</v>
      </c>
      <c r="E81" t="str">
        <f t="shared" si="38"/>
        <v>DC</v>
      </c>
      <c r="F81" t="str">
        <f t="shared" si="39"/>
        <v>203745110</v>
      </c>
      <c r="G81" t="str">
        <f>T("805 KIDDER BREESE STREET SE")</f>
        <v>805 KIDDER BREESE STREET SE</v>
      </c>
      <c r="H81" t="str">
        <f t="shared" si="40"/>
        <v/>
      </c>
      <c r="I81" t="str">
        <f>T("WASHINGTON NAVY YARD")</f>
        <v>WASHINGTON NAVY YARD</v>
      </c>
      <c r="J81" t="str">
        <f t="shared" si="41"/>
        <v>DC</v>
      </c>
      <c r="K81" t="str">
        <f t="shared" si="42"/>
        <v>000000000000000000</v>
      </c>
      <c r="L81" t="str">
        <f>T("2024339731")</f>
        <v>2024339731</v>
      </c>
    </row>
    <row r="82" spans="1:12" x14ac:dyDescent="0.35">
      <c r="A82" t="str">
        <f t="shared" si="36"/>
        <v>NAVAL HISTORY AND HERITAGE CMD</v>
      </c>
      <c r="B82" t="str">
        <f>T("805 KIDDER BREESE STREET SE")</f>
        <v>805 KIDDER BREESE STREET SE</v>
      </c>
      <c r="C82" t="str">
        <f t="shared" si="37"/>
        <v/>
      </c>
      <c r="D82" t="str">
        <f>T("WASHINGTON")</f>
        <v>WASHINGTON</v>
      </c>
      <c r="E82" t="str">
        <f t="shared" si="38"/>
        <v>DC</v>
      </c>
      <c r="F82" t="str">
        <f t="shared" si="39"/>
        <v>203745110</v>
      </c>
      <c r="G82" t="str">
        <f>T("805 KIDDER BREESE ST SE")</f>
        <v>805 KIDDER BREESE ST SE</v>
      </c>
      <c r="H82" t="str">
        <f t="shared" si="40"/>
        <v/>
      </c>
      <c r="I82" t="str">
        <f>T("WASHINGTON NAVY YARD")</f>
        <v>WASHINGTON NAVY YARD</v>
      </c>
      <c r="J82" t="str">
        <f t="shared" si="41"/>
        <v>DC</v>
      </c>
      <c r="K82" t="str">
        <f t="shared" si="42"/>
        <v>000000000000000000</v>
      </c>
      <c r="L82" t="str">
        <f>T("2027813345")</f>
        <v>2027813345</v>
      </c>
    </row>
    <row r="83" spans="1:12" x14ac:dyDescent="0.35">
      <c r="A83" t="str">
        <f t="shared" si="36"/>
        <v>NAVAL HISTORY AND HERITAGE CMD</v>
      </c>
      <c r="B83" t="str">
        <f>T("805 KIDDER BREESE STREET SE")</f>
        <v>805 KIDDER BREESE STREET SE</v>
      </c>
      <c r="C83" t="str">
        <f t="shared" si="37"/>
        <v/>
      </c>
      <c r="D83" t="str">
        <f>T("WASHINGTON")</f>
        <v>WASHINGTON</v>
      </c>
      <c r="E83" t="str">
        <f t="shared" si="38"/>
        <v>DC</v>
      </c>
      <c r="F83" t="str">
        <f t="shared" si="39"/>
        <v>203745110</v>
      </c>
      <c r="G83" t="str">
        <f>T("805 KIDDER BREESE STREET SE")</f>
        <v>805 KIDDER BREESE STREET SE</v>
      </c>
      <c r="H83" t="str">
        <f t="shared" si="40"/>
        <v/>
      </c>
      <c r="I83" t="str">
        <f>T("WASHINGTON")</f>
        <v>WASHINGTON</v>
      </c>
      <c r="J83" t="str">
        <f t="shared" si="41"/>
        <v>DC</v>
      </c>
      <c r="K83" t="str">
        <f t="shared" si="42"/>
        <v>000000000000000000</v>
      </c>
      <c r="L83" t="str">
        <f>T("2027810856")</f>
        <v>2027810856</v>
      </c>
    </row>
    <row r="84" spans="1:12" x14ac:dyDescent="0.35">
      <c r="A84" t="str">
        <f t="shared" si="36"/>
        <v>NAVAL HISTORY AND HERITAGE CMD</v>
      </c>
      <c r="B84" t="str">
        <f>T("805 KIDDER BREESE STREET, SE")</f>
        <v>805 KIDDER BREESE STREET, SE</v>
      </c>
      <c r="C84" t="str">
        <f>T("MUSEUM SYSTEM OFFICE")</f>
        <v>MUSEUM SYSTEM OFFICE</v>
      </c>
      <c r="D84" t="str">
        <f>T("WASHINGTON")</f>
        <v>WASHINGTON</v>
      </c>
      <c r="E84" t="str">
        <f t="shared" si="38"/>
        <v>DC</v>
      </c>
      <c r="F84" t="str">
        <f t="shared" si="39"/>
        <v>203745110</v>
      </c>
      <c r="G84" t="str">
        <f>T("805 KIDDER BREESE ST SE")</f>
        <v>805 KIDDER BREESE ST SE</v>
      </c>
      <c r="H84" t="str">
        <f t="shared" si="40"/>
        <v/>
      </c>
      <c r="I84" t="str">
        <f>T("WASHINGTON")</f>
        <v>WASHINGTON</v>
      </c>
      <c r="J84" t="str">
        <f t="shared" si="41"/>
        <v>DC</v>
      </c>
      <c r="K84" t="str">
        <f t="shared" si="42"/>
        <v>000000000000000000</v>
      </c>
      <c r="L84" t="str">
        <f>T("2026852541")</f>
        <v>2026852541</v>
      </c>
    </row>
    <row r="85" spans="1:12" x14ac:dyDescent="0.35">
      <c r="A85" t="str">
        <f t="shared" si="36"/>
        <v>NAVAL HISTORY AND HERITAGE CMD</v>
      </c>
      <c r="B85" t="str">
        <f>T("805 KIDDER BREESE STREET, SE")</f>
        <v>805 KIDDER BREESE STREET, SE</v>
      </c>
      <c r="C85" t="str">
        <f>T("MUSEUM SYSTEM OFFICE")</f>
        <v>MUSEUM SYSTEM OFFICE</v>
      </c>
      <c r="D85" t="str">
        <f>T("WASHINGTON")</f>
        <v>WASHINGTON</v>
      </c>
      <c r="E85" t="str">
        <f t="shared" si="38"/>
        <v>DC</v>
      </c>
      <c r="F85" t="str">
        <f t="shared" si="39"/>
        <v>203745110</v>
      </c>
      <c r="G85" t="str">
        <f>T("805 KIDDER BREESE STREET, SE")</f>
        <v>805 KIDDER BREESE STREET, SE</v>
      </c>
      <c r="H85" t="str">
        <f>T("MUSEUM SYSTEM OFFICE")</f>
        <v>MUSEUM SYSTEM OFFICE</v>
      </c>
      <c r="I85" t="str">
        <f>T("WASHINGTON")</f>
        <v>WASHINGTON</v>
      </c>
      <c r="J85" t="str">
        <f t="shared" si="41"/>
        <v>DC</v>
      </c>
      <c r="K85" t="str">
        <f t="shared" si="42"/>
        <v>000000000000000000</v>
      </c>
      <c r="L85" t="str">
        <f>T("2024330765")</f>
        <v>2024330765</v>
      </c>
    </row>
    <row r="86" spans="1:12" x14ac:dyDescent="0.35">
      <c r="A86" t="str">
        <f t="shared" si="36"/>
        <v>NAVAL HISTORY AND HERITAGE CMD</v>
      </c>
      <c r="B86" t="str">
        <f>T("HAMPTON ROADS NAVY MUSEUM")</f>
        <v>HAMPTON ROADS NAVY MUSEUM</v>
      </c>
      <c r="C86" t="str">
        <f>T("1 WATERSIDE DR SUITE 248")</f>
        <v>1 WATERSIDE DR SUITE 248</v>
      </c>
      <c r="D86" t="str">
        <f>T("NORFOLK")</f>
        <v>NORFOLK</v>
      </c>
      <c r="E86" t="str">
        <f>T("VA")</f>
        <v>VA</v>
      </c>
      <c r="F86" t="str">
        <f>T("235101607")</f>
        <v>235101607</v>
      </c>
      <c r="G86" t="str">
        <f>T("1 WATERSIDE DR")</f>
        <v>1 WATERSIDE DR</v>
      </c>
      <c r="H86" t="str">
        <f>T("STE 248")</f>
        <v>STE 248</v>
      </c>
      <c r="I86" t="str">
        <f>T("NORFOLK")</f>
        <v>NORFOLK</v>
      </c>
      <c r="J86" t="str">
        <f>T("VA")</f>
        <v>VA</v>
      </c>
      <c r="K86" t="str">
        <f t="shared" si="42"/>
        <v>000000000000000000</v>
      </c>
      <c r="L86" t="str">
        <f>T("7573222987")</f>
        <v>7573222987</v>
      </c>
    </row>
    <row r="87" spans="1:12" x14ac:dyDescent="0.35">
      <c r="A87" t="str">
        <f t="shared" si="36"/>
        <v>NAVAL HISTORY AND HERITAGE CMD</v>
      </c>
      <c r="B87" t="str">
        <f>T("HAMPTON ROADS NAVY MUSEUM")</f>
        <v>HAMPTON ROADS NAVY MUSEUM</v>
      </c>
      <c r="C87" t="str">
        <f>T("1 WATERSIDE DR SUITE 248")</f>
        <v>1 WATERSIDE DR SUITE 248</v>
      </c>
      <c r="D87" t="str">
        <f>T("NORFOLK")</f>
        <v>NORFOLK</v>
      </c>
      <c r="E87" t="str">
        <f>T("VA")</f>
        <v>VA</v>
      </c>
      <c r="F87" t="str">
        <f>T("235101607")</f>
        <v>235101607</v>
      </c>
      <c r="G87" t="str">
        <f>T("HAMPTON ROADS NAVY MUSEUM")</f>
        <v>HAMPTON ROADS NAVY MUSEUM</v>
      </c>
      <c r="H87" t="str">
        <f>T("1 WATERSIDE DR SUITE 248")</f>
        <v>1 WATERSIDE DR SUITE 248</v>
      </c>
      <c r="I87" t="str">
        <f>T("NORFOLK")</f>
        <v>NORFOLK</v>
      </c>
      <c r="J87" t="str">
        <f>T("VA")</f>
        <v>VA</v>
      </c>
      <c r="K87" t="str">
        <f>T("7574451867")</f>
        <v>7574451867</v>
      </c>
      <c r="L87" t="str">
        <f>T("7573222990")</f>
        <v>7573222990</v>
      </c>
    </row>
    <row r="88" spans="1:12" x14ac:dyDescent="0.35">
      <c r="A88" t="str">
        <f t="shared" si="36"/>
        <v>NAVAL HISTORY AND HERITAGE CMD</v>
      </c>
      <c r="B88" t="str">
        <f>T("NATL MUSEUM NAVAL AVIATION")</f>
        <v>NATL MUSEUM NAVAL AVIATION</v>
      </c>
      <c r="C88" t="str">
        <f>T("1750 RADFORD BLVD SUITE C")</f>
        <v>1750 RADFORD BLVD SUITE C</v>
      </c>
      <c r="D88" t="str">
        <f>T("PENSACOLA")</f>
        <v>PENSACOLA</v>
      </c>
      <c r="E88" t="str">
        <f>T("FL")</f>
        <v>FL</v>
      </c>
      <c r="F88" t="str">
        <f>T("325085402")</f>
        <v>325085402</v>
      </c>
      <c r="G88" t="str">
        <f>T("1750 RADFORD BLVD STE C")</f>
        <v>1750 RADFORD BLVD STE C</v>
      </c>
      <c r="H88" t="str">
        <f>T("")</f>
        <v/>
      </c>
      <c r="I88" t="str">
        <f>T("PENSACOLA")</f>
        <v>PENSACOLA</v>
      </c>
      <c r="J88" t="str">
        <f>T("FL")</f>
        <v>FL</v>
      </c>
      <c r="K88" t="str">
        <f>T("000000000000000000")</f>
        <v>000000000000000000</v>
      </c>
      <c r="L88" t="str">
        <f>T("8504523604")</f>
        <v>8504523604</v>
      </c>
    </row>
    <row r="89" spans="1:12" x14ac:dyDescent="0.35">
      <c r="A89" t="str">
        <f t="shared" si="36"/>
        <v>NAVAL HISTORY AND HERITAGE CMD</v>
      </c>
      <c r="B89" t="str">
        <f>T("NATL MUSEUM NAVAL AVIATION")</f>
        <v>NATL MUSEUM NAVAL AVIATION</v>
      </c>
      <c r="C89" t="str">
        <f>T("1750 RADFORD BLVD SUITE C")</f>
        <v>1750 RADFORD BLVD SUITE C</v>
      </c>
      <c r="D89" t="str">
        <f>T("PENSACOLA")</f>
        <v>PENSACOLA</v>
      </c>
      <c r="E89" t="str">
        <f>T("FL")</f>
        <v>FL</v>
      </c>
      <c r="F89" t="str">
        <f>T("325085402")</f>
        <v>325085402</v>
      </c>
      <c r="G89" t="str">
        <f>T("1750 RADFORD BLVD SUITE C")</f>
        <v>1750 RADFORD BLVD SUITE C</v>
      </c>
      <c r="H89" t="str">
        <f>T("")</f>
        <v/>
      </c>
      <c r="I89" t="str">
        <f>T("PENSACOLA")</f>
        <v>PENSACOLA</v>
      </c>
      <c r="J89" t="str">
        <f>T("FL")</f>
        <v>FL</v>
      </c>
      <c r="K89" t="str">
        <f>T("8504523296")</f>
        <v>8504523296</v>
      </c>
      <c r="L89" t="str">
        <f>T("8504523604")</f>
        <v>8504523604</v>
      </c>
    </row>
    <row r="90" spans="1:12" x14ac:dyDescent="0.35">
      <c r="A90" t="str">
        <f t="shared" si="36"/>
        <v>NAVAL HISTORY AND HERITAGE CMD</v>
      </c>
      <c r="B90" t="str">
        <f>T("NATL MUSEUM NAVAL AVIATION")</f>
        <v>NATL MUSEUM NAVAL AVIATION</v>
      </c>
      <c r="C90" t="str">
        <f>T("1750 RADFORD BLVD SUITE C")</f>
        <v>1750 RADFORD BLVD SUITE C</v>
      </c>
      <c r="D90" t="str">
        <f>T("PENSACOLA")</f>
        <v>PENSACOLA</v>
      </c>
      <c r="E90" t="str">
        <f>T("FL")</f>
        <v>FL</v>
      </c>
      <c r="F90" t="str">
        <f>T("325085402")</f>
        <v>325085402</v>
      </c>
      <c r="G90" t="str">
        <f>T("NATL MUSEUM NAVAL AVIATION")</f>
        <v>NATL MUSEUM NAVAL AVIATION</v>
      </c>
      <c r="H90" t="str">
        <f>T("1750 RADFORD BLVD SUITE C")</f>
        <v>1750 RADFORD BLVD SUITE C</v>
      </c>
      <c r="I90" t="str">
        <f>T("PENSACOLA")</f>
        <v>PENSACOLA</v>
      </c>
      <c r="J90" t="str">
        <f>T("FL")</f>
        <v>FL</v>
      </c>
      <c r="K90" t="str">
        <f>T("8504523296")</f>
        <v>8504523296</v>
      </c>
      <c r="L90" t="str">
        <f>T("8504203604")</f>
        <v>8504203604</v>
      </c>
    </row>
    <row r="91" spans="1:12" x14ac:dyDescent="0.35">
      <c r="A91" t="str">
        <f t="shared" si="36"/>
        <v>NAVAL HISTORY AND HERITAGE CMD</v>
      </c>
      <c r="B91" t="str">
        <f>T("NATL MUSEUM NAVAL AVIATION")</f>
        <v>NATL MUSEUM NAVAL AVIATION</v>
      </c>
      <c r="C91" t="str">
        <f>T("1750 RADFORD BLVD SUITE C")</f>
        <v>1750 RADFORD BLVD SUITE C</v>
      </c>
      <c r="D91" t="str">
        <f>T("PENSACOLA")</f>
        <v>PENSACOLA</v>
      </c>
      <c r="E91" t="str">
        <f>T("FL")</f>
        <v>FL</v>
      </c>
      <c r="F91" t="str">
        <f>T("325085402")</f>
        <v>325085402</v>
      </c>
      <c r="G91" t="str">
        <f>T("NATL MUSEUM NAVAL AVIATION")</f>
        <v>NATL MUSEUM NAVAL AVIATION</v>
      </c>
      <c r="H91" t="str">
        <f>T("1750 RADFORD BLVD SUITE C")</f>
        <v>1750 RADFORD BLVD SUITE C</v>
      </c>
      <c r="I91" t="str">
        <f>T("PENSACOLA")</f>
        <v>PENSACOLA</v>
      </c>
      <c r="J91" t="str">
        <f>T("FL")</f>
        <v>FL</v>
      </c>
      <c r="K91" t="str">
        <f>T("8504523296")</f>
        <v>8504523296</v>
      </c>
      <c r="L91" t="str">
        <f>T("8504523604")</f>
        <v>8504523604</v>
      </c>
    </row>
    <row r="92" spans="1:12" x14ac:dyDescent="0.35">
      <c r="A92" t="str">
        <f t="shared" si="36"/>
        <v>NAVAL HISTORY AND HERITAGE CMD</v>
      </c>
      <c r="B92" t="str">
        <f>T("NAVAL HISTORICAL CENTER")</f>
        <v>NAVAL HISTORICAL CENTER</v>
      </c>
      <c r="C92" t="str">
        <f>T("805 KIDDER BREESE STREET SE")</f>
        <v>805 KIDDER BREESE STREET SE</v>
      </c>
      <c r="D92" t="str">
        <f>T("WASHINGTON NAVY YARD")</f>
        <v>WASHINGTON NAVY YARD</v>
      </c>
      <c r="E92" t="str">
        <f>T("DC")</f>
        <v>DC</v>
      </c>
      <c r="F92" t="str">
        <f>T("203745055")</f>
        <v>203745055</v>
      </c>
      <c r="G92" t="str">
        <f>T("NAVAL HISTORICAL CENTER")</f>
        <v>NAVAL HISTORICAL CENTER</v>
      </c>
      <c r="H92" t="str">
        <f>T("805 KIDDER BREESE STREET SE")</f>
        <v>805 KIDDER BREESE STREET SE</v>
      </c>
      <c r="I92" t="str">
        <f>T("WASHINGTON NAVY YARD")</f>
        <v>WASHINGTON NAVY YARD</v>
      </c>
      <c r="J92" t="str">
        <f>T("DC")</f>
        <v>DC</v>
      </c>
      <c r="K92" t="str">
        <f>T("2024338200")</f>
        <v>2024338200</v>
      </c>
      <c r="L92" t="str">
        <f>T("2024339727")</f>
        <v>2024339727</v>
      </c>
    </row>
    <row r="93" spans="1:12" x14ac:dyDescent="0.35">
      <c r="A93" t="str">
        <f t="shared" si="36"/>
        <v>NAVAL HISTORY AND HERITAGE CMD</v>
      </c>
      <c r="B93" t="str">
        <f>T("NAVAL HISTORICAL CENTER")</f>
        <v>NAVAL HISTORICAL CENTER</v>
      </c>
      <c r="C93" t="str">
        <f>T("805 KIDDER BREESE STREET SE")</f>
        <v>805 KIDDER BREESE STREET SE</v>
      </c>
      <c r="D93" t="str">
        <f>T("WASHINGTON NAVY YARD")</f>
        <v>WASHINGTON NAVY YARD</v>
      </c>
      <c r="E93" t="str">
        <f>T("DC")</f>
        <v>DC</v>
      </c>
      <c r="F93" t="str">
        <f>T("203745055")</f>
        <v>203745055</v>
      </c>
      <c r="G93" t="str">
        <f>T("NAVAL HISTORY AND HERITAGE CMD")</f>
        <v>NAVAL HISTORY AND HERITAGE CMD</v>
      </c>
      <c r="H93" t="str">
        <f>T("805 KIDDER BREESE ST SE")</f>
        <v>805 KIDDER BREESE ST SE</v>
      </c>
      <c r="I93" t="str">
        <f>T("WASHINGTON NAVY YARD")</f>
        <v>WASHINGTON NAVY YARD</v>
      </c>
      <c r="J93" t="str">
        <f>T("DC")</f>
        <v>DC</v>
      </c>
      <c r="K93" t="str">
        <f>T("000000000000000000")</f>
        <v>000000000000000000</v>
      </c>
      <c r="L93" t="str">
        <f>T("2024336901")</f>
        <v>2024336901</v>
      </c>
    </row>
    <row r="94" spans="1:12" x14ac:dyDescent="0.35">
      <c r="A94" t="str">
        <f t="shared" si="36"/>
        <v>NAVAL HISTORY AND HERITAGE CMD</v>
      </c>
      <c r="B94" t="str">
        <f>T("NAVAL HISTORY AND HERITAGE")</f>
        <v>NAVAL HISTORY AND HERITAGE</v>
      </c>
      <c r="C94" t="str">
        <f>T("118 MARYLAND AVE PREBLE HALL")</f>
        <v>118 MARYLAND AVE PREBLE HALL</v>
      </c>
      <c r="D94" t="str">
        <f>T("ANNAPOLIS")</f>
        <v>ANNAPOLIS</v>
      </c>
      <c r="E94" t="str">
        <f>T("MD")</f>
        <v>MD</v>
      </c>
      <c r="F94" t="str">
        <f>T("214021321")</f>
        <v>214021321</v>
      </c>
      <c r="G94" t="str">
        <f>T("118 MARYLAND AVENUE")</f>
        <v>118 MARYLAND AVENUE</v>
      </c>
      <c r="H94" t="str">
        <f>T("")</f>
        <v/>
      </c>
      <c r="I94" t="str">
        <f>T("ANNAPOLIS")</f>
        <v>ANNAPOLIS</v>
      </c>
      <c r="J94" t="str">
        <f>T("MD")</f>
        <v>MD</v>
      </c>
      <c r="K94" t="str">
        <f>T("000000000000000000")</f>
        <v>000000000000000000</v>
      </c>
      <c r="L94" t="str">
        <f>T("4102935254")</f>
        <v>4102935254</v>
      </c>
    </row>
    <row r="95" spans="1:12" x14ac:dyDescent="0.35">
      <c r="A95" t="str">
        <f t="shared" si="36"/>
        <v>NAVAL HISTORY AND HERITAGE CMD</v>
      </c>
      <c r="B95" t="str">
        <f>T("NAVAL HISTORY AND HERITAGE")</f>
        <v>NAVAL HISTORY AND HERITAGE</v>
      </c>
      <c r="C95" t="str">
        <f>T("118 MARYLAND AVE PREBLE HALL")</f>
        <v>118 MARYLAND AVE PREBLE HALL</v>
      </c>
      <c r="D95" t="str">
        <f>T("ANNAPOLIS")</f>
        <v>ANNAPOLIS</v>
      </c>
      <c r="E95" t="str">
        <f>T("MD")</f>
        <v>MD</v>
      </c>
      <c r="F95" t="str">
        <f>T("214021321")</f>
        <v>214021321</v>
      </c>
      <c r="G95" t="str">
        <f>T("NAVAL HISTORY AND HERITAGE")</f>
        <v>NAVAL HISTORY AND HERITAGE</v>
      </c>
      <c r="H95" t="str">
        <f>T("118 MARYLAND AVE PREBLE HALL")</f>
        <v>118 MARYLAND AVE PREBLE HALL</v>
      </c>
      <c r="I95" t="str">
        <f>T("ANNAPOLIS")</f>
        <v>ANNAPOLIS</v>
      </c>
      <c r="J95" t="str">
        <f>T("MD")</f>
        <v>MD</v>
      </c>
      <c r="K95" t="str">
        <f>T("")</f>
        <v/>
      </c>
      <c r="L95" t="str">
        <f>T("4102935275")</f>
        <v>4102935275</v>
      </c>
    </row>
    <row r="96" spans="1:12" x14ac:dyDescent="0.35">
      <c r="A96" t="str">
        <f t="shared" si="36"/>
        <v>NAVAL HISTORY AND HERITAGE CMD</v>
      </c>
      <c r="B96" t="str">
        <f>T("NAVAL HISTORY AND HERITAGE")</f>
        <v>NAVAL HISTORY AND HERITAGE</v>
      </c>
      <c r="C96" t="str">
        <f>T("805 KIDDER BREESE STREET SE")</f>
        <v>805 KIDDER BREESE STREET SE</v>
      </c>
      <c r="D96" t="str">
        <f t="shared" ref="D96:D107" si="43">T("WASHINGTON")</f>
        <v>WASHINGTON</v>
      </c>
      <c r="E96" t="str">
        <f t="shared" ref="E96:E107" si="44">T("DC")</f>
        <v>DC</v>
      </c>
      <c r="F96" t="str">
        <f t="shared" ref="F96:F107" si="45">T("203745110")</f>
        <v>203745110</v>
      </c>
      <c r="G96" t="str">
        <f>T("805 KIDDER BREESE ST SE")</f>
        <v>805 KIDDER BREESE ST SE</v>
      </c>
      <c r="H96" t="str">
        <f>T("")</f>
        <v/>
      </c>
      <c r="I96" t="str">
        <f>T("WASHINGTON NAVY YARD")</f>
        <v>WASHINGTON NAVY YARD</v>
      </c>
      <c r="J96" t="str">
        <f t="shared" ref="J96:J107" si="46">T("DC")</f>
        <v>DC</v>
      </c>
      <c r="K96" t="str">
        <f>T("000000000000000000")</f>
        <v>000000000000000000</v>
      </c>
      <c r="L96" t="str">
        <f>T("2024337886")</f>
        <v>2024337886</v>
      </c>
    </row>
    <row r="97" spans="1:12" x14ac:dyDescent="0.35">
      <c r="A97" t="str">
        <f t="shared" si="36"/>
        <v>NAVAL HISTORY AND HERITAGE CMD</v>
      </c>
      <c r="B97" t="str">
        <f>T("NAVAL HISTORY AND HERITAGE")</f>
        <v>NAVAL HISTORY AND HERITAGE</v>
      </c>
      <c r="C97" t="str">
        <f>T("805 KIDDER BREESE STREET SE")</f>
        <v>805 KIDDER BREESE STREET SE</v>
      </c>
      <c r="D97" t="str">
        <f t="shared" si="43"/>
        <v>WASHINGTON</v>
      </c>
      <c r="E97" t="str">
        <f t="shared" si="44"/>
        <v>DC</v>
      </c>
      <c r="F97" t="str">
        <f t="shared" si="45"/>
        <v>203745110</v>
      </c>
      <c r="G97" t="str">
        <f>T("NAVAL HISTORY AND HERITAGE")</f>
        <v>NAVAL HISTORY AND HERITAGE</v>
      </c>
      <c r="H97" t="str">
        <f>T("805 KIDDER BREESE STREET SE")</f>
        <v>805 KIDDER BREESE STREET SE</v>
      </c>
      <c r="I97" t="str">
        <f>T("WASHINGTON")</f>
        <v>WASHINGTON</v>
      </c>
      <c r="J97" t="str">
        <f t="shared" si="46"/>
        <v>DC</v>
      </c>
      <c r="K97" t="str">
        <f>T("")</f>
        <v/>
      </c>
      <c r="L97" t="str">
        <f>T("2024337874")</f>
        <v>2024337874</v>
      </c>
    </row>
    <row r="98" spans="1:12" x14ac:dyDescent="0.35">
      <c r="A98" t="str">
        <f t="shared" si="36"/>
        <v>NAVAL HISTORY AND HERITAGE CMD</v>
      </c>
      <c r="B98" t="str">
        <f>T("NAVAL HISTORY AND HERITAGE CMD")</f>
        <v>NAVAL HISTORY AND HERITAGE CMD</v>
      </c>
      <c r="C98" t="str">
        <f>T("805 KIDDER BREESE STREET SE")</f>
        <v>805 KIDDER BREESE STREET SE</v>
      </c>
      <c r="D98" t="str">
        <f t="shared" si="43"/>
        <v>WASHINGTON</v>
      </c>
      <c r="E98" t="str">
        <f t="shared" si="44"/>
        <v>DC</v>
      </c>
      <c r="F98" t="str">
        <f t="shared" si="45"/>
        <v>203745110</v>
      </c>
      <c r="G98" t="str">
        <f>T("805 KIDDER BREESE ST SE")</f>
        <v>805 KIDDER BREESE ST SE</v>
      </c>
      <c r="H98" t="str">
        <f>T("")</f>
        <v/>
      </c>
      <c r="I98" t="str">
        <f>T("WASHINGTON")</f>
        <v>WASHINGTON</v>
      </c>
      <c r="J98" t="str">
        <f t="shared" si="46"/>
        <v>DC</v>
      </c>
      <c r="K98" t="str">
        <f>T("000000000000000000")</f>
        <v>000000000000000000</v>
      </c>
      <c r="L98" t="str">
        <f>T("2027811173")</f>
        <v>2027811173</v>
      </c>
    </row>
    <row r="99" spans="1:12" x14ac:dyDescent="0.35">
      <c r="A99" t="str">
        <f t="shared" si="36"/>
        <v>NAVAL HISTORY AND HERITAGE CMD</v>
      </c>
      <c r="B99" t="str">
        <f>T("NAVAL HISTORY AND HERITAGE CMD")</f>
        <v>NAVAL HISTORY AND HERITAGE CMD</v>
      </c>
      <c r="C99" t="str">
        <f>T("805 KIDDER BREESE STREET SE")</f>
        <v>805 KIDDER BREESE STREET SE</v>
      </c>
      <c r="D99" t="str">
        <f t="shared" si="43"/>
        <v>WASHINGTON</v>
      </c>
      <c r="E99" t="str">
        <f t="shared" si="44"/>
        <v>DC</v>
      </c>
      <c r="F99" t="str">
        <f t="shared" si="45"/>
        <v>203745110</v>
      </c>
      <c r="G99" t="str">
        <f>T("NAVAL HISTORY AND HERITAGE CMD")</f>
        <v>NAVAL HISTORY AND HERITAGE CMD</v>
      </c>
      <c r="H99" t="str">
        <f>T("805 KIDDER BREESE STREET SE")</f>
        <v>805 KIDDER BREESE STREET SE</v>
      </c>
      <c r="I99" t="str">
        <f>T("WASHINGTON")</f>
        <v>WASHINGTON</v>
      </c>
      <c r="J99" t="str">
        <f t="shared" si="46"/>
        <v>DC</v>
      </c>
      <c r="K99" t="str">
        <f>T("")</f>
        <v/>
      </c>
      <c r="L99" t="str">
        <f>T("2024339587")</f>
        <v>2024339587</v>
      </c>
    </row>
    <row r="100" spans="1:12" x14ac:dyDescent="0.35">
      <c r="A100" t="str">
        <f t="shared" si="36"/>
        <v>NAVAL HISTORY AND HERITAGE CMD</v>
      </c>
      <c r="B100" t="str">
        <f t="shared" ref="B100:B105" si="47">T("NAVAL HISTORY AND HERITAGE COMMAND")</f>
        <v>NAVAL HISTORY AND HERITAGE COMMAND</v>
      </c>
      <c r="C100" t="str">
        <f t="shared" ref="C100:C107" si="48">T("805 KIDDER BREESE ST SE")</f>
        <v>805 KIDDER BREESE ST SE</v>
      </c>
      <c r="D100" t="str">
        <f t="shared" si="43"/>
        <v>WASHINGTON</v>
      </c>
      <c r="E100" t="str">
        <f t="shared" si="44"/>
        <v>DC</v>
      </c>
      <c r="F100" t="str">
        <f t="shared" si="45"/>
        <v>203745110</v>
      </c>
      <c r="G100" t="str">
        <f>T("805 KIDDER BREESE SE")</f>
        <v>805 KIDDER BREESE SE</v>
      </c>
      <c r="H100" t="str">
        <f>T("")</f>
        <v/>
      </c>
      <c r="I100" t="str">
        <f>T("WASHINGTON")</f>
        <v>WASHINGTON</v>
      </c>
      <c r="J100" t="str">
        <f t="shared" si="46"/>
        <v>DC</v>
      </c>
      <c r="K100" t="str">
        <f>T("000000000000000000")</f>
        <v>000000000000000000</v>
      </c>
      <c r="L100" t="str">
        <f>T("2027812601")</f>
        <v>2027812601</v>
      </c>
    </row>
    <row r="101" spans="1:12" x14ac:dyDescent="0.35">
      <c r="A101" t="str">
        <f t="shared" si="36"/>
        <v>NAVAL HISTORY AND HERITAGE CMD</v>
      </c>
      <c r="B101" t="str">
        <f t="shared" si="47"/>
        <v>NAVAL HISTORY AND HERITAGE COMMAND</v>
      </c>
      <c r="C101" t="str">
        <f t="shared" si="48"/>
        <v>805 KIDDER BREESE ST SE</v>
      </c>
      <c r="D101" t="str">
        <f t="shared" si="43"/>
        <v>WASHINGTON</v>
      </c>
      <c r="E101" t="str">
        <f t="shared" si="44"/>
        <v>DC</v>
      </c>
      <c r="F101" t="str">
        <f t="shared" si="45"/>
        <v>203745110</v>
      </c>
      <c r="G101" t="str">
        <f>T("805 KIDDER BREESE ST")</f>
        <v>805 KIDDER BREESE ST</v>
      </c>
      <c r="H101" t="str">
        <f>T("")</f>
        <v/>
      </c>
      <c r="I101" t="str">
        <f>T("WASHINGTON")</f>
        <v>WASHINGTON</v>
      </c>
      <c r="J101" t="str">
        <f t="shared" si="46"/>
        <v>DC</v>
      </c>
      <c r="K101" t="str">
        <f>T("000000000000000000")</f>
        <v>000000000000000000</v>
      </c>
      <c r="L101" t="str">
        <f>T("2027814921")</f>
        <v>2027814921</v>
      </c>
    </row>
    <row r="102" spans="1:12" x14ac:dyDescent="0.35">
      <c r="A102" t="str">
        <f t="shared" si="36"/>
        <v>NAVAL HISTORY AND HERITAGE CMD</v>
      </c>
      <c r="B102" t="str">
        <f t="shared" si="47"/>
        <v>NAVAL HISTORY AND HERITAGE COMMAND</v>
      </c>
      <c r="C102" t="str">
        <f t="shared" si="48"/>
        <v>805 KIDDER BREESE ST SE</v>
      </c>
      <c r="D102" t="str">
        <f t="shared" si="43"/>
        <v>WASHINGTON</v>
      </c>
      <c r="E102" t="str">
        <f t="shared" si="44"/>
        <v>DC</v>
      </c>
      <c r="F102" t="str">
        <f t="shared" si="45"/>
        <v>203745110</v>
      </c>
      <c r="G102" t="str">
        <f>T("805 KIDDER BREESE ST SE")</f>
        <v>805 KIDDER BREESE ST SE</v>
      </c>
      <c r="H102" t="str">
        <f>T("")</f>
        <v/>
      </c>
      <c r="I102" t="str">
        <f>T("WASHINGTON NAVY YARD")</f>
        <v>WASHINGTON NAVY YARD</v>
      </c>
      <c r="J102" t="str">
        <f t="shared" si="46"/>
        <v>DC</v>
      </c>
      <c r="K102" t="str">
        <f>T("2024332833")</f>
        <v>2024332833</v>
      </c>
      <c r="L102" t="str">
        <f>T("2024333224")</f>
        <v>2024333224</v>
      </c>
    </row>
    <row r="103" spans="1:12" x14ac:dyDescent="0.35">
      <c r="A103" t="str">
        <f t="shared" si="36"/>
        <v>NAVAL HISTORY AND HERITAGE CMD</v>
      </c>
      <c r="B103" t="str">
        <f t="shared" si="47"/>
        <v>NAVAL HISTORY AND HERITAGE COMMAND</v>
      </c>
      <c r="C103" t="str">
        <f t="shared" si="48"/>
        <v>805 KIDDER BREESE ST SE</v>
      </c>
      <c r="D103" t="str">
        <f t="shared" si="43"/>
        <v>WASHINGTON</v>
      </c>
      <c r="E103" t="str">
        <f t="shared" si="44"/>
        <v>DC</v>
      </c>
      <c r="F103" t="str">
        <f t="shared" si="45"/>
        <v>203745110</v>
      </c>
      <c r="G103" t="str">
        <f>T("805 KIDDER BREESE STREET SE")</f>
        <v>805 KIDDER BREESE STREET SE</v>
      </c>
      <c r="H103" t="str">
        <f>T("")</f>
        <v/>
      </c>
      <c r="I103" t="str">
        <f>T("WASHINGTON")</f>
        <v>WASHINGTON</v>
      </c>
      <c r="J103" t="str">
        <f t="shared" si="46"/>
        <v>DC</v>
      </c>
      <c r="K103" t="str">
        <f>T("000000000000000000")</f>
        <v>000000000000000000</v>
      </c>
      <c r="L103" t="str">
        <f>T("2027815041")</f>
        <v>2027815041</v>
      </c>
    </row>
    <row r="104" spans="1:12" x14ac:dyDescent="0.35">
      <c r="A104" t="str">
        <f t="shared" si="36"/>
        <v>NAVAL HISTORY AND HERITAGE CMD</v>
      </c>
      <c r="B104" t="str">
        <f t="shared" si="47"/>
        <v>NAVAL HISTORY AND HERITAGE COMMAND</v>
      </c>
      <c r="C104" t="str">
        <f t="shared" si="48"/>
        <v>805 KIDDER BREESE ST SE</v>
      </c>
      <c r="D104" t="str">
        <f t="shared" si="43"/>
        <v>WASHINGTON</v>
      </c>
      <c r="E104" t="str">
        <f t="shared" si="44"/>
        <v>DC</v>
      </c>
      <c r="F104" t="str">
        <f t="shared" si="45"/>
        <v>203745110</v>
      </c>
      <c r="G104" t="str">
        <f>T("NAVAL HISTORY AND HERITAGE COMMAND")</f>
        <v>NAVAL HISTORY AND HERITAGE COMMAND</v>
      </c>
      <c r="H104" t="str">
        <f>T("805 KIDDER BREESE ST SE")</f>
        <v>805 KIDDER BREESE ST SE</v>
      </c>
      <c r="I104" t="str">
        <f>T("WASHINGTON")</f>
        <v>WASHINGTON</v>
      </c>
      <c r="J104" t="str">
        <f t="shared" si="46"/>
        <v>DC</v>
      </c>
      <c r="K104" t="str">
        <f>T("")</f>
        <v/>
      </c>
      <c r="L104" t="str">
        <f>T("2024334935")</f>
        <v>2024334935</v>
      </c>
    </row>
    <row r="105" spans="1:12" x14ac:dyDescent="0.35">
      <c r="A105" t="str">
        <f t="shared" si="36"/>
        <v>NAVAL HISTORY AND HERITAGE CMD</v>
      </c>
      <c r="B105" t="str">
        <f t="shared" si="47"/>
        <v>NAVAL HISTORY AND HERITAGE COMMAND</v>
      </c>
      <c r="C105" t="str">
        <f t="shared" si="48"/>
        <v>805 KIDDER BREESE ST SE</v>
      </c>
      <c r="D105" t="str">
        <f t="shared" si="43"/>
        <v>WASHINGTON</v>
      </c>
      <c r="E105" t="str">
        <f t="shared" si="44"/>
        <v>DC</v>
      </c>
      <c r="F105" t="str">
        <f t="shared" si="45"/>
        <v>203745110</v>
      </c>
      <c r="G105" t="str">
        <f>T("NAVAL HISTORY AND HERITAGE COMMAND")</f>
        <v>NAVAL HISTORY AND HERITAGE COMMAND</v>
      </c>
      <c r="H105" t="str">
        <f>T("805 KIDDER BREESE ST SE")</f>
        <v>805 KIDDER BREESE ST SE</v>
      </c>
      <c r="I105" t="str">
        <f>T("WASHINGTON")</f>
        <v>WASHINGTON</v>
      </c>
      <c r="J105" t="str">
        <f t="shared" si="46"/>
        <v>DC</v>
      </c>
      <c r="K105" t="str">
        <f>T("")</f>
        <v/>
      </c>
      <c r="L105" t="str">
        <f>T("2027811998")</f>
        <v>2027811998</v>
      </c>
    </row>
    <row r="106" spans="1:12" x14ac:dyDescent="0.35">
      <c r="A106" t="str">
        <f t="shared" si="36"/>
        <v>NAVAL HISTORY AND HERITAGE CMD</v>
      </c>
      <c r="B106" t="str">
        <f>T("NAVY ART GALLERY")</f>
        <v>NAVY ART GALLERY</v>
      </c>
      <c r="C106" t="str">
        <f t="shared" si="48"/>
        <v>805 KIDDER BREESE ST SE</v>
      </c>
      <c r="D106" t="str">
        <f t="shared" si="43"/>
        <v>WASHINGTON</v>
      </c>
      <c r="E106" t="str">
        <f t="shared" si="44"/>
        <v>DC</v>
      </c>
      <c r="F106" t="str">
        <f t="shared" si="45"/>
        <v>203745110</v>
      </c>
      <c r="G106" t="str">
        <f>T("NAVAL HISTORY AND HERITAGE CMD")</f>
        <v>NAVAL HISTORY AND HERITAGE CMD</v>
      </c>
      <c r="H106" t="str">
        <f>T("805 KIDDER BREESE ST SE")</f>
        <v>805 KIDDER BREESE ST SE</v>
      </c>
      <c r="I106" t="str">
        <f>T("WASHINGTON")</f>
        <v>WASHINGTON</v>
      </c>
      <c r="J106" t="str">
        <f t="shared" si="46"/>
        <v>DC</v>
      </c>
      <c r="K106" t="str">
        <f>T("000000000000000000")</f>
        <v>000000000000000000</v>
      </c>
      <c r="L106" t="str">
        <f>T("2024339336")</f>
        <v>2024339336</v>
      </c>
    </row>
    <row r="107" spans="1:12" x14ac:dyDescent="0.35">
      <c r="A107" t="str">
        <f t="shared" si="36"/>
        <v>NAVAL HISTORY AND HERITAGE CMD</v>
      </c>
      <c r="B107" t="str">
        <f>T("NAVY ART GALLERY")</f>
        <v>NAVY ART GALLERY</v>
      </c>
      <c r="C107" t="str">
        <f t="shared" si="48"/>
        <v>805 KIDDER BREESE ST SE</v>
      </c>
      <c r="D107" t="str">
        <f t="shared" si="43"/>
        <v>WASHINGTON</v>
      </c>
      <c r="E107" t="str">
        <f t="shared" si="44"/>
        <v>DC</v>
      </c>
      <c r="F107" t="str">
        <f t="shared" si="45"/>
        <v>203745110</v>
      </c>
      <c r="G107" t="str">
        <f>T("NAVY ART GALLERY")</f>
        <v>NAVY ART GALLERY</v>
      </c>
      <c r="H107" t="str">
        <f>T("805 KIDDER BREESE ST SE")</f>
        <v>805 KIDDER BREESE ST SE</v>
      </c>
      <c r="I107" t="str">
        <f>T("WASHINGTON")</f>
        <v>WASHINGTON</v>
      </c>
      <c r="J107" t="str">
        <f t="shared" si="46"/>
        <v>DC</v>
      </c>
      <c r="K107" t="str">
        <f>T("000000000000000000")</f>
        <v>000000000000000000</v>
      </c>
      <c r="L107" t="str">
        <f>T("2024337701")</f>
        <v>2024337701</v>
      </c>
    </row>
    <row r="108" spans="1:12" x14ac:dyDescent="0.35">
      <c r="A108" t="str">
        <f t="shared" si="36"/>
        <v>NAVAL HISTORY AND HERITAGE CMD</v>
      </c>
      <c r="B108" t="str">
        <f>T("NAVY MUSEUMS NORTHWEST")</f>
        <v>NAVY MUSEUMS NORTHWEST</v>
      </c>
      <c r="C108" t="str">
        <f>T("1103 HUNLEY RD")</f>
        <v>1103 HUNLEY RD</v>
      </c>
      <c r="D108" t="str">
        <f>T("SILVERDALE")</f>
        <v>SILVERDALE</v>
      </c>
      <c r="E108" t="str">
        <f>T("WA")</f>
        <v>WA</v>
      </c>
      <c r="F108" t="str">
        <f>T("983151102")</f>
        <v>983151102</v>
      </c>
      <c r="G108" t="str">
        <f>T("1103 HUNLEY RD")</f>
        <v>1103 HUNLEY RD</v>
      </c>
      <c r="H108" t="str">
        <f>T("")</f>
        <v/>
      </c>
      <c r="I108" t="str">
        <f>T("SILVERDALE")</f>
        <v>SILVERDALE</v>
      </c>
      <c r="J108" t="str">
        <f>T("WA")</f>
        <v>WA</v>
      </c>
      <c r="K108" t="str">
        <f>T("3603967944")</f>
        <v>3603967944</v>
      </c>
      <c r="L108" t="str">
        <f>T("3603965548")</f>
        <v>3603965548</v>
      </c>
    </row>
    <row r="109" spans="1:12" x14ac:dyDescent="0.35">
      <c r="A109" t="str">
        <f t="shared" si="36"/>
        <v>NAVAL HISTORY AND HERITAGE CMD</v>
      </c>
      <c r="B109" t="str">
        <f>T("NAVY MUSEUMS NORTHWEST")</f>
        <v>NAVY MUSEUMS NORTHWEST</v>
      </c>
      <c r="C109" t="str">
        <f>T("1103 HUNLEY RD")</f>
        <v>1103 HUNLEY RD</v>
      </c>
      <c r="D109" t="str">
        <f>T("SILVERDALE")</f>
        <v>SILVERDALE</v>
      </c>
      <c r="E109" t="str">
        <f>T("WA")</f>
        <v>WA</v>
      </c>
      <c r="F109" t="str">
        <f>T("983151102")</f>
        <v>983151102</v>
      </c>
      <c r="G109" t="str">
        <f>T("251 FIRST STREET")</f>
        <v>251 FIRST STREET</v>
      </c>
      <c r="H109" t="str">
        <f>T("")</f>
        <v/>
      </c>
      <c r="I109" t="str">
        <f>T("BREMERTON")</f>
        <v>BREMERTON</v>
      </c>
      <c r="J109" t="str">
        <f>T("WA")</f>
        <v>WA</v>
      </c>
      <c r="K109" t="str">
        <f>T("3606272273")</f>
        <v>3606272273</v>
      </c>
      <c r="L109" t="str">
        <f>T("3606272271")</f>
        <v>3606272271</v>
      </c>
    </row>
    <row r="110" spans="1:12" x14ac:dyDescent="0.35">
      <c r="A110" t="str">
        <f t="shared" si="36"/>
        <v>NAVAL HISTORY AND HERITAGE CMD</v>
      </c>
      <c r="B110" t="str">
        <f>T("NAVY MUSEUMS NORTHWEST")</f>
        <v>NAVY MUSEUMS NORTHWEST</v>
      </c>
      <c r="C110" t="str">
        <f>T("1103 HUNLEY RD")</f>
        <v>1103 HUNLEY RD</v>
      </c>
      <c r="D110" t="str">
        <f>T("SILVERDALE")</f>
        <v>SILVERDALE</v>
      </c>
      <c r="E110" t="str">
        <f>T("WA")</f>
        <v>WA</v>
      </c>
      <c r="F110" t="str">
        <f>T("983151102")</f>
        <v>983151102</v>
      </c>
      <c r="G110" t="str">
        <f>T("NAVY MUSEUMS NORTHWEST")</f>
        <v>NAVY MUSEUMS NORTHWEST</v>
      </c>
      <c r="H110" t="str">
        <f>T("1103 HUNLEY RD")</f>
        <v>1103 HUNLEY RD</v>
      </c>
      <c r="I110" t="str">
        <f>T("SILVERDALE")</f>
        <v>SILVERDALE</v>
      </c>
      <c r="J110" t="str">
        <f>T("WA")</f>
        <v>WA</v>
      </c>
      <c r="K110" t="str">
        <f>T("")</f>
        <v/>
      </c>
      <c r="L110" t="str">
        <f>T("3603964164")</f>
        <v>3603964164</v>
      </c>
    </row>
    <row r="111" spans="1:12" x14ac:dyDescent="0.35">
      <c r="A111" t="str">
        <f t="shared" si="36"/>
        <v>NAVAL HISTORY AND HERITAGE CMD</v>
      </c>
      <c r="B111" t="str">
        <f>T("US NAVY SEABEE MUSEUM")</f>
        <v>US NAVY SEABEE MUSEUM</v>
      </c>
      <c r="C111" t="str">
        <f>T("99 23RD AVE")</f>
        <v>99 23RD AVE</v>
      </c>
      <c r="D111" t="str">
        <f>T("PORT HUENEME")</f>
        <v>PORT HUENEME</v>
      </c>
      <c r="E111" t="str">
        <f>T("CA")</f>
        <v>CA</v>
      </c>
      <c r="F111" t="str">
        <f>T("930430001")</f>
        <v>930430001</v>
      </c>
      <c r="G111" t="str">
        <f>T("1001 ADDOR ST")</f>
        <v>1001 ADDOR ST</v>
      </c>
      <c r="H111" t="str">
        <f>T("BLDG 100")</f>
        <v>BLDG 100</v>
      </c>
      <c r="I111" t="str">
        <f>T("PORT HUENEME")</f>
        <v>PORT HUENEME</v>
      </c>
      <c r="J111" t="str">
        <f>T("CA")</f>
        <v>CA</v>
      </c>
      <c r="K111" t="str">
        <f>T("000000000000000000")</f>
        <v>000000000000000000</v>
      </c>
      <c r="L111" t="str">
        <f>T("8059826183")</f>
        <v>8059826183</v>
      </c>
    </row>
    <row r="112" spans="1:12" x14ac:dyDescent="0.35">
      <c r="A112" t="str">
        <f t="shared" si="36"/>
        <v>NAVAL HISTORY AND HERITAGE CMD</v>
      </c>
      <c r="B112" t="str">
        <f>T("US NAVY SEABEE MUSEUM")</f>
        <v>US NAVY SEABEE MUSEUM</v>
      </c>
      <c r="C112" t="str">
        <f>T("99 23RD AVE")</f>
        <v>99 23RD AVE</v>
      </c>
      <c r="D112" t="str">
        <f>T("PORT HUENEME")</f>
        <v>PORT HUENEME</v>
      </c>
      <c r="E112" t="str">
        <f>T("CA")</f>
        <v>CA</v>
      </c>
      <c r="F112" t="str">
        <f>T("930430001")</f>
        <v>930430001</v>
      </c>
      <c r="G112" t="str">
        <f>T("US NAVY SEABEE MUSEUM")</f>
        <v>US NAVY SEABEE MUSEUM</v>
      </c>
      <c r="H112" t="str">
        <f>T("99 23RD AVE")</f>
        <v>99 23RD AVE</v>
      </c>
      <c r="I112" t="str">
        <f>T("PORT HUENEME")</f>
        <v>PORT HUENEME</v>
      </c>
      <c r="J112" t="str">
        <f>T("CA")</f>
        <v>CA</v>
      </c>
      <c r="K112" t="str">
        <f>T("000000000000000000")</f>
        <v>000000000000000000</v>
      </c>
      <c r="L112" t="str">
        <f>T("8059825167")</f>
        <v>8059825167</v>
      </c>
    </row>
    <row r="113" spans="1:12" x14ac:dyDescent="0.35">
      <c r="A113" t="str">
        <f t="shared" si="36"/>
        <v>NAVAL HISTORY AND HERITAGE CMD</v>
      </c>
      <c r="B113" t="str">
        <f>T("US SUBMARINE FORCE MUSEUM")</f>
        <v>US SUBMARINE FORCE MUSEUM</v>
      </c>
      <c r="C113" t="str">
        <f>T("1 CRYSTAL LAKE RD")</f>
        <v>1 CRYSTAL LAKE RD</v>
      </c>
      <c r="D113" t="str">
        <f>T("GROTON")</f>
        <v>GROTON</v>
      </c>
      <c r="E113" t="str">
        <f>T("CT")</f>
        <v>CT</v>
      </c>
      <c r="F113" t="str">
        <f>T("063492300")</f>
        <v>063492300</v>
      </c>
      <c r="G113" t="str">
        <f>T("HISTORIC SHIP NAUTILUS")</f>
        <v>HISTORIC SHIP NAUTILUS</v>
      </c>
      <c r="H113" t="str">
        <f>T("PO BOX 571")</f>
        <v>PO BOX 571</v>
      </c>
      <c r="I113" t="str">
        <f>T("GROTON")</f>
        <v>GROTON</v>
      </c>
      <c r="J113" t="str">
        <f>T("CT")</f>
        <v>CT</v>
      </c>
      <c r="K113" t="str">
        <f>T("8606944150")</f>
        <v>8606944150</v>
      </c>
      <c r="L113" t="str">
        <f>T("8606945627")</f>
        <v>8606945627</v>
      </c>
    </row>
    <row r="114" spans="1:12" x14ac:dyDescent="0.35">
      <c r="A114" t="str">
        <f t="shared" si="36"/>
        <v>NAVAL HISTORY AND HERITAGE CMD</v>
      </c>
      <c r="B114" t="str">
        <f>T("US SUBMARINE FORCE MUSEUM")</f>
        <v>US SUBMARINE FORCE MUSEUM</v>
      </c>
      <c r="C114" t="str">
        <f>T("1 CRYSTAL LAKE RD")</f>
        <v>1 CRYSTAL LAKE RD</v>
      </c>
      <c r="D114" t="str">
        <f>T("GROTON")</f>
        <v>GROTON</v>
      </c>
      <c r="E114" t="str">
        <f>T("CT")</f>
        <v>CT</v>
      </c>
      <c r="F114" t="str">
        <f>T("063492300")</f>
        <v>063492300</v>
      </c>
      <c r="G114" t="str">
        <f>T("US SUBMARINE FORCE MUSEUM")</f>
        <v>US SUBMARINE FORCE MUSEUM</v>
      </c>
      <c r="H114" t="str">
        <f>T("1 CRYSTAL LAKE RD")</f>
        <v>1 CRYSTAL LAKE RD</v>
      </c>
      <c r="I114" t="str">
        <f>T("GROTON")</f>
        <v>GROTON</v>
      </c>
      <c r="J114" t="str">
        <f>T("CT")</f>
        <v>CT</v>
      </c>
      <c r="K114" t="str">
        <f>T("8606944150")</f>
        <v>8606944150</v>
      </c>
      <c r="L114" t="str">
        <f>T("8606944276")</f>
        <v>8606944276</v>
      </c>
    </row>
    <row r="115" spans="1:12" x14ac:dyDescent="0.35">
      <c r="A115" t="str">
        <f t="shared" ref="A115:A121" si="49">T("COMNAVSAFECEN")</f>
        <v>COMNAVSAFECEN</v>
      </c>
      <c r="B115" t="str">
        <f>T("375 A ST")</f>
        <v>375 A ST</v>
      </c>
      <c r="C115" t="str">
        <f t="shared" ref="C115:C127" si="50">T("")</f>
        <v/>
      </c>
      <c r="D115" t="str">
        <f t="shared" ref="D115:D126" si="51">T("NORFOLK")</f>
        <v>NORFOLK</v>
      </c>
      <c r="E115" t="str">
        <f t="shared" ref="E115:E126" si="52">T("VA")</f>
        <v>VA</v>
      </c>
      <c r="F115" t="str">
        <f t="shared" ref="F115:F121" si="53">T("235114303")</f>
        <v>235114303</v>
      </c>
      <c r="G115" t="str">
        <f>T("375 A ST")</f>
        <v>375 A ST</v>
      </c>
      <c r="H115" t="str">
        <f t="shared" ref="H115:H120" si="54">T("")</f>
        <v/>
      </c>
      <c r="I115" t="str">
        <f t="shared" ref="I115:I125" si="55">T("NORFOLK")</f>
        <v>NORFOLK</v>
      </c>
      <c r="J115" t="str">
        <f t="shared" ref="J115:J125" si="56">T("VA")</f>
        <v>VA</v>
      </c>
      <c r="K115" t="str">
        <f>T("757 444 3520 7191")</f>
        <v>757 444 3520 7191</v>
      </c>
      <c r="L115" t="str">
        <f>T("7574443520")</f>
        <v>7574443520</v>
      </c>
    </row>
    <row r="116" spans="1:12" x14ac:dyDescent="0.35">
      <c r="A116" t="str">
        <f t="shared" si="49"/>
        <v>COMNAVSAFECEN</v>
      </c>
      <c r="B116" t="str">
        <f>T("375 A ST")</f>
        <v>375 A ST</v>
      </c>
      <c r="C116" t="str">
        <f t="shared" si="50"/>
        <v/>
      </c>
      <c r="D116" t="str">
        <f t="shared" si="51"/>
        <v>NORFOLK</v>
      </c>
      <c r="E116" t="str">
        <f t="shared" si="52"/>
        <v>VA</v>
      </c>
      <c r="F116" t="str">
        <f t="shared" si="53"/>
        <v>235114303</v>
      </c>
      <c r="G116" t="str">
        <f>T("375 A STREET")</f>
        <v>375 A STREET</v>
      </c>
      <c r="H116" t="str">
        <f t="shared" si="54"/>
        <v/>
      </c>
      <c r="I116" t="str">
        <f t="shared" si="55"/>
        <v>NORFOLK</v>
      </c>
      <c r="J116" t="str">
        <f t="shared" si="56"/>
        <v>VA</v>
      </c>
      <c r="K116" t="str">
        <f>T("000000000000000000")</f>
        <v>000000000000000000</v>
      </c>
      <c r="L116" t="str">
        <f>T("7574443520")</f>
        <v>7574443520</v>
      </c>
    </row>
    <row r="117" spans="1:12" x14ac:dyDescent="0.35">
      <c r="A117" t="str">
        <f t="shared" si="49"/>
        <v>COMNAVSAFECEN</v>
      </c>
      <c r="B117" t="str">
        <f>T("375 A ST")</f>
        <v>375 A ST</v>
      </c>
      <c r="C117" t="str">
        <f t="shared" si="50"/>
        <v/>
      </c>
      <c r="D117" t="str">
        <f t="shared" si="51"/>
        <v>NORFOLK</v>
      </c>
      <c r="E117" t="str">
        <f t="shared" si="52"/>
        <v>VA</v>
      </c>
      <c r="F117" t="str">
        <f t="shared" si="53"/>
        <v>235114303</v>
      </c>
      <c r="G117" t="str">
        <f>T("375 A STREET")</f>
        <v>375 A STREET</v>
      </c>
      <c r="H117" t="str">
        <f t="shared" si="54"/>
        <v/>
      </c>
      <c r="I117" t="str">
        <f t="shared" si="55"/>
        <v>NORFOLK</v>
      </c>
      <c r="J117" t="str">
        <f t="shared" si="56"/>
        <v>VA</v>
      </c>
      <c r="K117" t="str">
        <f>T("7574443520719")</f>
        <v>7574443520719</v>
      </c>
      <c r="L117" t="str">
        <f>T("1111111111")</f>
        <v>1111111111</v>
      </c>
    </row>
    <row r="118" spans="1:12" x14ac:dyDescent="0.35">
      <c r="A118" t="str">
        <f t="shared" si="49"/>
        <v>COMNAVSAFECEN</v>
      </c>
      <c r="B118" t="str">
        <f>T("375 A ST")</f>
        <v>375 A ST</v>
      </c>
      <c r="C118" t="str">
        <f t="shared" si="50"/>
        <v/>
      </c>
      <c r="D118" t="str">
        <f t="shared" si="51"/>
        <v>NORFOLK</v>
      </c>
      <c r="E118" t="str">
        <f t="shared" si="52"/>
        <v>VA</v>
      </c>
      <c r="F118" t="str">
        <f t="shared" si="53"/>
        <v>235114303</v>
      </c>
      <c r="G118" t="str">
        <f>T("375 A STREET")</f>
        <v>375 A STREET</v>
      </c>
      <c r="H118" t="str">
        <f t="shared" si="54"/>
        <v/>
      </c>
      <c r="I118" t="str">
        <f t="shared" si="55"/>
        <v>NORFOLK</v>
      </c>
      <c r="J118" t="str">
        <f t="shared" si="56"/>
        <v>VA</v>
      </c>
      <c r="K118" t="str">
        <f>T("7574447971")</f>
        <v>7574447971</v>
      </c>
      <c r="L118" t="str">
        <f>T("7574443520")</f>
        <v>7574443520</v>
      </c>
    </row>
    <row r="119" spans="1:12" x14ac:dyDescent="0.35">
      <c r="A119" t="str">
        <f t="shared" si="49"/>
        <v>COMNAVSAFECEN</v>
      </c>
      <c r="B119" t="str">
        <f>T("375 A STREET")</f>
        <v>375 A STREET</v>
      </c>
      <c r="C119" t="str">
        <f t="shared" si="50"/>
        <v/>
      </c>
      <c r="D119" t="str">
        <f t="shared" si="51"/>
        <v>NORFOLK</v>
      </c>
      <c r="E119" t="str">
        <f t="shared" si="52"/>
        <v>VA</v>
      </c>
      <c r="F119" t="str">
        <f t="shared" si="53"/>
        <v>235114303</v>
      </c>
      <c r="G119" t="str">
        <f>T("375 A STREET")</f>
        <v>375 A STREET</v>
      </c>
      <c r="H119" t="str">
        <f t="shared" si="54"/>
        <v/>
      </c>
      <c r="I119" t="str">
        <f t="shared" si="55"/>
        <v>NORFOLK</v>
      </c>
      <c r="J119" t="str">
        <f t="shared" si="56"/>
        <v>VA</v>
      </c>
      <c r="K119" t="str">
        <f>T("7574453520 7191")</f>
        <v>7574453520 7191</v>
      </c>
      <c r="L119" t="str">
        <f>T("7574443520")</f>
        <v>7574443520</v>
      </c>
    </row>
    <row r="120" spans="1:12" x14ac:dyDescent="0.35">
      <c r="A120" t="str">
        <f t="shared" si="49"/>
        <v>COMNAVSAFECEN</v>
      </c>
      <c r="B120" t="str">
        <f>T("375 A STREET")</f>
        <v>375 A STREET</v>
      </c>
      <c r="C120" t="str">
        <f t="shared" si="50"/>
        <v/>
      </c>
      <c r="D120" t="str">
        <f t="shared" si="51"/>
        <v>NORFOLK</v>
      </c>
      <c r="E120" t="str">
        <f t="shared" si="52"/>
        <v>VA</v>
      </c>
      <c r="F120" t="str">
        <f t="shared" si="53"/>
        <v>235114303</v>
      </c>
      <c r="G120" t="str">
        <f>T("9080 BREEZY POINT CRESCENT")</f>
        <v>9080 BREEZY POINT CRESCENT</v>
      </c>
      <c r="H120" t="str">
        <f t="shared" si="54"/>
        <v/>
      </c>
      <c r="I120" t="str">
        <f t="shared" si="55"/>
        <v>NORFOLK</v>
      </c>
      <c r="J120" t="str">
        <f t="shared" si="56"/>
        <v>VA</v>
      </c>
      <c r="K120" t="str">
        <f>T("000000000000000000")</f>
        <v>000000000000000000</v>
      </c>
      <c r="L120" t="str">
        <f>T("7574458778")</f>
        <v>7574458778</v>
      </c>
    </row>
    <row r="121" spans="1:12" x14ac:dyDescent="0.35">
      <c r="A121" t="str">
        <f t="shared" si="49"/>
        <v>COMNAVSAFECEN</v>
      </c>
      <c r="B121" t="str">
        <f>T("375 A STREET")</f>
        <v>375 A STREET</v>
      </c>
      <c r="C121" t="str">
        <f t="shared" si="50"/>
        <v/>
      </c>
      <c r="D121" t="str">
        <f t="shared" si="51"/>
        <v>NORFOLK</v>
      </c>
      <c r="E121" t="str">
        <f t="shared" si="52"/>
        <v>VA</v>
      </c>
      <c r="F121" t="str">
        <f t="shared" si="53"/>
        <v>235114303</v>
      </c>
      <c r="G121" t="str">
        <f>T("9080 BREEZY POINT CRESCENT")</f>
        <v>9080 BREEZY POINT CRESCENT</v>
      </c>
      <c r="H121" t="str">
        <f>T("CODE 013")</f>
        <v>CODE 013</v>
      </c>
      <c r="I121" t="str">
        <f t="shared" si="55"/>
        <v>NORFOLK</v>
      </c>
      <c r="J121" t="str">
        <f t="shared" si="56"/>
        <v>VA</v>
      </c>
      <c r="K121" t="str">
        <f>T("000000000000000000")</f>
        <v>000000000000000000</v>
      </c>
      <c r="L121" t="str">
        <f>T("7574458778")</f>
        <v>7574458778</v>
      </c>
    </row>
    <row r="122" spans="1:12" x14ac:dyDescent="0.35">
      <c r="A122" t="str">
        <f>T("COMOPTEVFOR")</f>
        <v>COMOPTEVFOR</v>
      </c>
      <c r="B122" t="str">
        <f>T("7970 DIVEN ST")</f>
        <v>7970 DIVEN ST</v>
      </c>
      <c r="C122" t="str">
        <f t="shared" si="50"/>
        <v/>
      </c>
      <c r="D122" t="str">
        <f t="shared" si="51"/>
        <v>NORFOLK</v>
      </c>
      <c r="E122" t="str">
        <f t="shared" si="52"/>
        <v>VA</v>
      </c>
      <c r="F122" t="str">
        <f>T("235051498")</f>
        <v>235051498</v>
      </c>
      <c r="G122" t="str">
        <f>T("7970 DIVEN ST")</f>
        <v>7970 DIVEN ST</v>
      </c>
      <c r="H122" t="str">
        <f>T("")</f>
        <v/>
      </c>
      <c r="I122" t="str">
        <f t="shared" si="55"/>
        <v>NORFOLK</v>
      </c>
      <c r="J122" t="str">
        <f t="shared" si="56"/>
        <v>VA</v>
      </c>
      <c r="K122" t="str">
        <f>T("")</f>
        <v/>
      </c>
      <c r="L122" t="str">
        <f>T("7572825546")</f>
        <v>7572825546</v>
      </c>
    </row>
    <row r="123" spans="1:12" x14ac:dyDescent="0.35">
      <c r="A123" t="str">
        <f>T("COMOPTEVFOR")</f>
        <v>COMOPTEVFOR</v>
      </c>
      <c r="B123" t="str">
        <f>T("7970 DIVEN STREET")</f>
        <v>7970 DIVEN STREET</v>
      </c>
      <c r="C123" t="str">
        <f t="shared" si="50"/>
        <v/>
      </c>
      <c r="D123" t="str">
        <f t="shared" si="51"/>
        <v>NORFOLK</v>
      </c>
      <c r="E123" t="str">
        <f t="shared" si="52"/>
        <v>VA</v>
      </c>
      <c r="F123" t="str">
        <f>T("235051498")</f>
        <v>235051498</v>
      </c>
      <c r="G123" t="str">
        <f>T("7970 DIVEN ST")</f>
        <v>7970 DIVEN ST</v>
      </c>
      <c r="H123" t="str">
        <f>T("")</f>
        <v/>
      </c>
      <c r="I123" t="str">
        <f t="shared" si="55"/>
        <v>NORFOLK</v>
      </c>
      <c r="J123" t="str">
        <f t="shared" si="56"/>
        <v>VA</v>
      </c>
      <c r="K123" t="str">
        <f>T("7572825502")</f>
        <v>7572825502</v>
      </c>
      <c r="L123" t="str">
        <f>T("7572825546")</f>
        <v>7572825546</v>
      </c>
    </row>
    <row r="124" spans="1:12" x14ac:dyDescent="0.35">
      <c r="A124" t="str">
        <f>T("COMOPTEVFOR")</f>
        <v>COMOPTEVFOR</v>
      </c>
      <c r="B124" t="str">
        <f>T("7970 DIVEN STREET")</f>
        <v>7970 DIVEN STREET</v>
      </c>
      <c r="C124" t="str">
        <f t="shared" si="50"/>
        <v/>
      </c>
      <c r="D124" t="str">
        <f t="shared" si="51"/>
        <v>NORFOLK</v>
      </c>
      <c r="E124" t="str">
        <f t="shared" si="52"/>
        <v>VA</v>
      </c>
      <c r="F124" t="str">
        <f>T("235051498")</f>
        <v>235051498</v>
      </c>
      <c r="G124" t="str">
        <f>T("7970 DIVEN ST")</f>
        <v>7970 DIVEN ST</v>
      </c>
      <c r="H124" t="str">
        <f>T("")</f>
        <v/>
      </c>
      <c r="I124" t="str">
        <f t="shared" si="55"/>
        <v>NORFOLK</v>
      </c>
      <c r="J124" t="str">
        <f t="shared" si="56"/>
        <v>VA</v>
      </c>
      <c r="K124" t="str">
        <f>T("7572825546 3418")</f>
        <v>7572825546 3418</v>
      </c>
      <c r="L124" t="str">
        <f>T("7572825546")</f>
        <v>7572825546</v>
      </c>
    </row>
    <row r="125" spans="1:12" x14ac:dyDescent="0.35">
      <c r="A125" t="str">
        <f>T("COMOPTEVFOR")</f>
        <v>COMOPTEVFOR</v>
      </c>
      <c r="B125" t="str">
        <f>T("7970 DIVEN STREET")</f>
        <v>7970 DIVEN STREET</v>
      </c>
      <c r="C125" t="str">
        <f t="shared" si="50"/>
        <v/>
      </c>
      <c r="D125" t="str">
        <f t="shared" si="51"/>
        <v>NORFOLK</v>
      </c>
      <c r="E125" t="str">
        <f t="shared" si="52"/>
        <v>VA</v>
      </c>
      <c r="F125" t="str">
        <f>T("235051498")</f>
        <v>235051498</v>
      </c>
      <c r="G125" t="str">
        <f>T("7970 DIVEN STREET")</f>
        <v>7970 DIVEN STREET</v>
      </c>
      <c r="H125" t="str">
        <f>T("")</f>
        <v/>
      </c>
      <c r="I125" t="str">
        <f t="shared" si="55"/>
        <v>NORFOLK</v>
      </c>
      <c r="J125" t="str">
        <f t="shared" si="56"/>
        <v>VA</v>
      </c>
      <c r="K125" t="str">
        <f>T("")</f>
        <v/>
      </c>
      <c r="L125" t="str">
        <f>T("7572825546")</f>
        <v>7572825546</v>
      </c>
    </row>
    <row r="126" spans="1:12" x14ac:dyDescent="0.35">
      <c r="A126" t="str">
        <f>T("COMOPTEVFOR")</f>
        <v>COMOPTEVFOR</v>
      </c>
      <c r="B126" t="str">
        <f>T("7970 DIVEN STREET")</f>
        <v>7970 DIVEN STREET</v>
      </c>
      <c r="C126" t="str">
        <f t="shared" si="50"/>
        <v/>
      </c>
      <c r="D126" t="str">
        <f t="shared" si="51"/>
        <v>NORFOLK</v>
      </c>
      <c r="E126" t="str">
        <f t="shared" si="52"/>
        <v>VA</v>
      </c>
      <c r="F126" t="str">
        <f>T("235051498")</f>
        <v>235051498</v>
      </c>
      <c r="G126" t="str">
        <f>T("AIRTEVRON NINE")</f>
        <v>AIRTEVRON NINE</v>
      </c>
      <c r="H126" t="str">
        <f>T("1 ADMINISTRATIVE CIR MS 1016")</f>
        <v>1 ADMINISTRATIVE CIR MS 1016</v>
      </c>
      <c r="I126" t="str">
        <f>T("RIDGECREST")</f>
        <v>RIDGECREST</v>
      </c>
      <c r="J126" t="str">
        <f>T("CA")</f>
        <v>CA</v>
      </c>
      <c r="K126" t="str">
        <f>T("7572825502")</f>
        <v>7572825502</v>
      </c>
      <c r="L126" t="str">
        <f>T("7609395759")</f>
        <v>7609395759</v>
      </c>
    </row>
    <row r="127" spans="1:12" x14ac:dyDescent="0.35">
      <c r="A127" t="str">
        <f t="shared" ref="A127:A158" si="57">T("DEPT OF NAVY/FIELD SUPPORT ACT")</f>
        <v>DEPT OF NAVY/FIELD SUPPORT ACT</v>
      </c>
      <c r="B127" t="str">
        <f t="shared" ref="B127:B173" si="58">T("2000 NAVY PENTAGON")</f>
        <v>2000 NAVY PENTAGON</v>
      </c>
      <c r="C127" t="str">
        <f t="shared" si="50"/>
        <v/>
      </c>
      <c r="D127" t="str">
        <f t="shared" ref="D127:D158" si="59">T("WASHINGTON")</f>
        <v>WASHINGTON</v>
      </c>
      <c r="E127" t="str">
        <f t="shared" ref="E127:E158" si="60">T("DC")</f>
        <v>DC</v>
      </c>
      <c r="F127" t="str">
        <f t="shared" ref="F127:F158" si="61">T("203502000")</f>
        <v>203502000</v>
      </c>
      <c r="G127" t="str">
        <f>T("2000 NAVY PENTAGON")</f>
        <v>2000 NAVY PENTAGON</v>
      </c>
      <c r="H127" t="str">
        <f>T("")</f>
        <v/>
      </c>
      <c r="I127" t="str">
        <f t="shared" ref="I127:I144" si="62">T("WASHINGTON")</f>
        <v>WASHINGTON</v>
      </c>
      <c r="J127" t="str">
        <f t="shared" ref="J127:J158" si="63">T("DC")</f>
        <v>DC</v>
      </c>
      <c r="K127" t="str">
        <f>T("")</f>
        <v/>
      </c>
      <c r="L127" t="str">
        <f>T("7036956197")</f>
        <v>7036956197</v>
      </c>
    </row>
    <row r="128" spans="1:12" x14ac:dyDescent="0.35">
      <c r="A128" t="str">
        <f t="shared" si="57"/>
        <v>DEPT OF NAVY/FIELD SUPPORT ACT</v>
      </c>
      <c r="B128" t="str">
        <f t="shared" si="58"/>
        <v>2000 NAVY PENTAGON</v>
      </c>
      <c r="C128" t="str">
        <f>T("N811F")</f>
        <v>N811F</v>
      </c>
      <c r="D128" t="str">
        <f t="shared" si="59"/>
        <v>WASHINGTON</v>
      </c>
      <c r="E128" t="str">
        <f t="shared" si="60"/>
        <v>DC</v>
      </c>
      <c r="F128" t="str">
        <f t="shared" si="61"/>
        <v>203502000</v>
      </c>
      <c r="G128" t="str">
        <f>T("2000 NAVY PENTAGON")</f>
        <v>2000 NAVY PENTAGON</v>
      </c>
      <c r="H128" t="str">
        <f>T("N811F")</f>
        <v>N811F</v>
      </c>
      <c r="I128" t="str">
        <f t="shared" si="62"/>
        <v>WASHINGTON</v>
      </c>
      <c r="J128" t="str">
        <f t="shared" si="63"/>
        <v>DC</v>
      </c>
      <c r="K128" t="str">
        <f>T("7036140364")</f>
        <v>7036140364</v>
      </c>
      <c r="L128" t="str">
        <f>T("7036938891")</f>
        <v>7036938891</v>
      </c>
    </row>
    <row r="129" spans="1:12" x14ac:dyDescent="0.35">
      <c r="A129" t="str">
        <f t="shared" si="57"/>
        <v>DEPT OF NAVY/FIELD SUPPORT ACT</v>
      </c>
      <c r="B129" t="str">
        <f t="shared" si="58"/>
        <v>2000 NAVY PENTAGON</v>
      </c>
      <c r="C129" t="str">
        <f>T("N811F")</f>
        <v>N811F</v>
      </c>
      <c r="D129" t="str">
        <f t="shared" si="59"/>
        <v>WASHINGTON</v>
      </c>
      <c r="E129" t="str">
        <f t="shared" si="60"/>
        <v>DC</v>
      </c>
      <c r="F129" t="str">
        <f t="shared" si="61"/>
        <v>203502000</v>
      </c>
      <c r="G129" t="str">
        <f>T("2000 NAVY/PENTAGON")</f>
        <v>2000 NAVY/PENTAGON</v>
      </c>
      <c r="H129" t="str">
        <f>T("")</f>
        <v/>
      </c>
      <c r="I129" t="str">
        <f t="shared" si="62"/>
        <v>WASHINGTON</v>
      </c>
      <c r="J129" t="str">
        <f t="shared" si="63"/>
        <v>DC</v>
      </c>
      <c r="K129" t="str">
        <f>T("7036140364")</f>
        <v>7036140364</v>
      </c>
      <c r="L129" t="str">
        <f>T("7036926277")</f>
        <v>7036926277</v>
      </c>
    </row>
    <row r="130" spans="1:12" x14ac:dyDescent="0.35">
      <c r="A130" t="str">
        <f t="shared" si="57"/>
        <v>DEPT OF NAVY/FIELD SUPPORT ACT</v>
      </c>
      <c r="B130" t="str">
        <f t="shared" si="58"/>
        <v>2000 NAVY PENTAGON</v>
      </c>
      <c r="C130" t="str">
        <f>T("OPNAV N0958 5E200")</f>
        <v>OPNAV N0958 5E200</v>
      </c>
      <c r="D130" t="str">
        <f t="shared" si="59"/>
        <v>WASHINGTON</v>
      </c>
      <c r="E130" t="str">
        <f t="shared" si="60"/>
        <v>DC</v>
      </c>
      <c r="F130" t="str">
        <f t="shared" si="61"/>
        <v>203502000</v>
      </c>
      <c r="G130" t="str">
        <f>T("2000 NAVY PENTAGON")</f>
        <v>2000 NAVY PENTAGON</v>
      </c>
      <c r="H130" t="str">
        <f>T("OPNAV N0958 5E200")</f>
        <v>OPNAV N0958 5E200</v>
      </c>
      <c r="I130" t="str">
        <f t="shared" si="62"/>
        <v>WASHINGTON</v>
      </c>
      <c r="J130" t="str">
        <f t="shared" si="63"/>
        <v>DC</v>
      </c>
      <c r="K130" t="str">
        <f>T("7036147668")</f>
        <v>7036147668</v>
      </c>
      <c r="L130" t="str">
        <f>T("7036141613")</f>
        <v>7036141613</v>
      </c>
    </row>
    <row r="131" spans="1:12" x14ac:dyDescent="0.35">
      <c r="A131" t="str">
        <f t="shared" si="57"/>
        <v>DEPT OF NAVY/FIELD SUPPORT ACT</v>
      </c>
      <c r="B131" t="str">
        <f t="shared" si="58"/>
        <v>2000 NAVY PENTAGON</v>
      </c>
      <c r="C131" t="str">
        <f>T("OPNAV N0958 5E200")</f>
        <v>OPNAV N0958 5E200</v>
      </c>
      <c r="D131" t="str">
        <f t="shared" si="59"/>
        <v>WASHINGTON</v>
      </c>
      <c r="E131" t="str">
        <f t="shared" si="60"/>
        <v>DC</v>
      </c>
      <c r="F131" t="str">
        <f t="shared" si="61"/>
        <v>203502000</v>
      </c>
      <c r="G131" t="str">
        <f>T("2000 NAVY PENTAGON")</f>
        <v>2000 NAVY PENTAGON</v>
      </c>
      <c r="H131" t="str">
        <f>T("ROOM 5E254")</f>
        <v>ROOM 5E254</v>
      </c>
      <c r="I131" t="str">
        <f t="shared" si="62"/>
        <v>WASHINGTON</v>
      </c>
      <c r="J131" t="str">
        <f t="shared" si="63"/>
        <v>DC</v>
      </c>
      <c r="K131" t="str">
        <f>T("000000000000000000")</f>
        <v>000000000000000000</v>
      </c>
      <c r="L131" t="str">
        <f>T("5712568552")</f>
        <v>5712568552</v>
      </c>
    </row>
    <row r="132" spans="1:12" x14ac:dyDescent="0.35">
      <c r="A132" t="str">
        <f t="shared" si="57"/>
        <v>DEPT OF NAVY/FIELD SUPPORT ACT</v>
      </c>
      <c r="B132" t="str">
        <f t="shared" si="58"/>
        <v>2000 NAVY PENTAGON</v>
      </c>
      <c r="C132" t="str">
        <f>T("OPNAV N0958 5E200")</f>
        <v>OPNAV N0958 5E200</v>
      </c>
      <c r="D132" t="str">
        <f t="shared" si="59"/>
        <v>WASHINGTON</v>
      </c>
      <c r="E132" t="str">
        <f t="shared" si="60"/>
        <v>DC</v>
      </c>
      <c r="F132" t="str">
        <f t="shared" si="61"/>
        <v>203502000</v>
      </c>
      <c r="G132" t="str">
        <f>T("OFFICE OF THE CHIEF OF NAVY RESERVE")</f>
        <v>OFFICE OF THE CHIEF OF NAVY RESERVE</v>
      </c>
      <c r="H132" t="str">
        <f>T("2000 NAVY PENTAGON")</f>
        <v>2000 NAVY PENTAGON</v>
      </c>
      <c r="I132" t="str">
        <f t="shared" si="62"/>
        <v>WASHINGTON</v>
      </c>
      <c r="J132" t="str">
        <f t="shared" si="63"/>
        <v>DC</v>
      </c>
      <c r="K132" t="str">
        <f>T("000000000000000000")</f>
        <v>000000000000000000</v>
      </c>
      <c r="L132" t="str">
        <f>T("7036147251")</f>
        <v>7036147251</v>
      </c>
    </row>
    <row r="133" spans="1:12" x14ac:dyDescent="0.35">
      <c r="A133" t="str">
        <f t="shared" si="57"/>
        <v>DEPT OF NAVY/FIELD SUPPORT ACT</v>
      </c>
      <c r="B133" t="str">
        <f t="shared" si="58"/>
        <v>2000 NAVY PENTAGON</v>
      </c>
      <c r="C133" t="str">
        <f>T("RM 1D479")</f>
        <v>RM 1D479</v>
      </c>
      <c r="D133" t="str">
        <f t="shared" si="59"/>
        <v>WASHINGTON</v>
      </c>
      <c r="E133" t="str">
        <f t="shared" si="60"/>
        <v>DC</v>
      </c>
      <c r="F133" t="str">
        <f t="shared" si="61"/>
        <v>203502000</v>
      </c>
      <c r="G133" t="str">
        <f>T("2000 NAVY PENTAGON")</f>
        <v>2000 NAVY PENTAGON</v>
      </c>
      <c r="H133" t="str">
        <f>T("RM 1D479")</f>
        <v>RM 1D479</v>
      </c>
      <c r="I133" t="str">
        <f t="shared" si="62"/>
        <v>WASHINGTON</v>
      </c>
      <c r="J133" t="str">
        <f t="shared" si="63"/>
        <v>DC</v>
      </c>
      <c r="K133" t="str">
        <f>T("000000000000000000")</f>
        <v>000000000000000000</v>
      </c>
      <c r="L133" t="str">
        <f>T("7036141724")</f>
        <v>7036141724</v>
      </c>
    </row>
    <row r="134" spans="1:12" x14ac:dyDescent="0.35">
      <c r="A134" t="str">
        <f t="shared" si="57"/>
        <v>DEPT OF NAVY/FIELD SUPPORT ACT</v>
      </c>
      <c r="B134" t="str">
        <f t="shared" si="58"/>
        <v>2000 NAVY PENTAGON</v>
      </c>
      <c r="C134" t="str">
        <f>T("RM 1D479")</f>
        <v>RM 1D479</v>
      </c>
      <c r="D134" t="str">
        <f t="shared" si="59"/>
        <v>WASHINGTON</v>
      </c>
      <c r="E134" t="str">
        <f t="shared" si="60"/>
        <v>DC</v>
      </c>
      <c r="F134" t="str">
        <f t="shared" si="61"/>
        <v>203502000</v>
      </c>
      <c r="G134" t="str">
        <f>T("2000 NAVY PENTAGON")</f>
        <v>2000 NAVY PENTAGON</v>
      </c>
      <c r="H134" t="str">
        <f>T("RM 1D479")</f>
        <v>RM 1D479</v>
      </c>
      <c r="I134" t="str">
        <f t="shared" si="62"/>
        <v>WASHINGTON</v>
      </c>
      <c r="J134" t="str">
        <f t="shared" si="63"/>
        <v>DC</v>
      </c>
      <c r="K134" t="str">
        <f>T("000000000000000000")</f>
        <v>000000000000000000</v>
      </c>
      <c r="L134" t="str">
        <f>T("7036141764")</f>
        <v>7036141764</v>
      </c>
    </row>
    <row r="135" spans="1:12" x14ac:dyDescent="0.35">
      <c r="A135" t="str">
        <f t="shared" si="57"/>
        <v>DEPT OF NAVY/FIELD SUPPORT ACT</v>
      </c>
      <c r="B135" t="str">
        <f t="shared" si="58"/>
        <v>2000 NAVY PENTAGON</v>
      </c>
      <c r="C135" t="str">
        <f>T("RM 4E392")</f>
        <v>RM 4E392</v>
      </c>
      <c r="D135" t="str">
        <f t="shared" si="59"/>
        <v>WASHINGTON</v>
      </c>
      <c r="E135" t="str">
        <f t="shared" si="60"/>
        <v>DC</v>
      </c>
      <c r="F135" t="str">
        <f t="shared" si="61"/>
        <v>203502000</v>
      </c>
      <c r="G135" t="str">
        <f>T("2000 NAVY PENTAGON")</f>
        <v>2000 NAVY PENTAGON</v>
      </c>
      <c r="H135" t="str">
        <f>T("RM 1E392")</f>
        <v>RM 1E392</v>
      </c>
      <c r="I135" t="str">
        <f t="shared" si="62"/>
        <v>WASHINGTON</v>
      </c>
      <c r="J135" t="str">
        <f t="shared" si="63"/>
        <v>DC</v>
      </c>
      <c r="K135" t="str">
        <f>T("000000000000000000")</f>
        <v>000000000000000000</v>
      </c>
      <c r="L135" t="str">
        <f>T("7036145643")</f>
        <v>7036145643</v>
      </c>
    </row>
    <row r="136" spans="1:12" x14ac:dyDescent="0.35">
      <c r="A136" t="str">
        <f t="shared" si="57"/>
        <v>DEPT OF NAVY/FIELD SUPPORT ACT</v>
      </c>
      <c r="B136" t="str">
        <f t="shared" si="58"/>
        <v>2000 NAVY PENTAGON</v>
      </c>
      <c r="C136" t="str">
        <f>T("RM 4E392")</f>
        <v>RM 4E392</v>
      </c>
      <c r="D136" t="str">
        <f t="shared" si="59"/>
        <v>WASHINGTON</v>
      </c>
      <c r="E136" t="str">
        <f t="shared" si="60"/>
        <v>DC</v>
      </c>
      <c r="F136" t="str">
        <f t="shared" si="61"/>
        <v>203502000</v>
      </c>
      <c r="G136" t="str">
        <f>T("2000 NAVY PENTAGON")</f>
        <v>2000 NAVY PENTAGON</v>
      </c>
      <c r="H136" t="str">
        <f>T("RM 4E392")</f>
        <v>RM 4E392</v>
      </c>
      <c r="I136" t="str">
        <f t="shared" si="62"/>
        <v>WASHINGTON</v>
      </c>
      <c r="J136" t="str">
        <f t="shared" si="63"/>
        <v>DC</v>
      </c>
      <c r="K136" t="str">
        <f>T("")</f>
        <v/>
      </c>
      <c r="L136" t="str">
        <f>T("7036955592")</f>
        <v>7036955592</v>
      </c>
    </row>
    <row r="137" spans="1:12" x14ac:dyDescent="0.35">
      <c r="A137" t="str">
        <f t="shared" si="57"/>
        <v>DEPT OF NAVY/FIELD SUPPORT ACT</v>
      </c>
      <c r="B137" t="str">
        <f t="shared" si="58"/>
        <v>2000 NAVY PENTAGON</v>
      </c>
      <c r="C137" t="str">
        <f>T("RM 4E392")</f>
        <v>RM 4E392</v>
      </c>
      <c r="D137" t="str">
        <f t="shared" si="59"/>
        <v>WASHINGTON</v>
      </c>
      <c r="E137" t="str">
        <f t="shared" si="60"/>
        <v>DC</v>
      </c>
      <c r="F137" t="str">
        <f t="shared" si="61"/>
        <v>203502000</v>
      </c>
      <c r="G137" t="str">
        <f>T("2000 NAVY PENTAGON RM 4E392")</f>
        <v>2000 NAVY PENTAGON RM 4E392</v>
      </c>
      <c r="H137" t="str">
        <f>T("")</f>
        <v/>
      </c>
      <c r="I137" t="str">
        <f t="shared" si="62"/>
        <v>WASHINGTON</v>
      </c>
      <c r="J137" t="str">
        <f t="shared" si="63"/>
        <v>DC</v>
      </c>
      <c r="K137" t="str">
        <f>T("000000000000000000")</f>
        <v>000000000000000000</v>
      </c>
      <c r="L137" t="str">
        <f>T("7036144445")</f>
        <v>7036144445</v>
      </c>
    </row>
    <row r="138" spans="1:12" x14ac:dyDescent="0.35">
      <c r="A138" t="str">
        <f t="shared" si="57"/>
        <v>DEPT OF NAVY/FIELD SUPPORT ACT</v>
      </c>
      <c r="B138" t="str">
        <f t="shared" si="58"/>
        <v>2000 NAVY PENTAGON</v>
      </c>
      <c r="C138" t="str">
        <f t="shared" ref="C138:C144" si="64">T("RM 4E443")</f>
        <v>RM 4E443</v>
      </c>
      <c r="D138" t="str">
        <f t="shared" si="59"/>
        <v>WASHINGTON</v>
      </c>
      <c r="E138" t="str">
        <f t="shared" si="60"/>
        <v>DC</v>
      </c>
      <c r="F138" t="str">
        <f t="shared" si="61"/>
        <v>203502000</v>
      </c>
      <c r="G138" t="str">
        <f>T("2000 NAVY PENTAGON")</f>
        <v>2000 NAVY PENTAGON</v>
      </c>
      <c r="H138" t="str">
        <f>T("RM 4E443")</f>
        <v>RM 4E443</v>
      </c>
      <c r="I138" t="str">
        <f t="shared" si="62"/>
        <v>WASHINGTON</v>
      </c>
      <c r="J138" t="str">
        <f t="shared" si="63"/>
        <v>DC</v>
      </c>
      <c r="K138" t="str">
        <f>T("")</f>
        <v/>
      </c>
      <c r="L138" t="str">
        <f>T("7036141117")</f>
        <v>7036141117</v>
      </c>
    </row>
    <row r="139" spans="1:12" x14ac:dyDescent="0.35">
      <c r="A139" t="str">
        <f t="shared" si="57"/>
        <v>DEPT OF NAVY/FIELD SUPPORT ACT</v>
      </c>
      <c r="B139" t="str">
        <f t="shared" si="58"/>
        <v>2000 NAVY PENTAGON</v>
      </c>
      <c r="C139" t="str">
        <f t="shared" si="64"/>
        <v>RM 4E443</v>
      </c>
      <c r="D139" t="str">
        <f t="shared" si="59"/>
        <v>WASHINGTON</v>
      </c>
      <c r="E139" t="str">
        <f t="shared" si="60"/>
        <v>DC</v>
      </c>
      <c r="F139" t="str">
        <f t="shared" si="61"/>
        <v>203502000</v>
      </c>
      <c r="G139" t="str">
        <f>T("2000 NAVY PENTAGON")</f>
        <v>2000 NAVY PENTAGON</v>
      </c>
      <c r="H139" t="str">
        <f>T("RM 4E548")</f>
        <v>RM 4E548</v>
      </c>
      <c r="I139" t="str">
        <f t="shared" si="62"/>
        <v>WASHINGTON</v>
      </c>
      <c r="J139" t="str">
        <f t="shared" si="63"/>
        <v>DC</v>
      </c>
      <c r="K139" t="str">
        <f>T("000000000000000000")</f>
        <v>000000000000000000</v>
      </c>
      <c r="L139" t="str">
        <f>T("7036957073")</f>
        <v>7036957073</v>
      </c>
    </row>
    <row r="140" spans="1:12" x14ac:dyDescent="0.35">
      <c r="A140" t="str">
        <f t="shared" si="57"/>
        <v>DEPT OF NAVY/FIELD SUPPORT ACT</v>
      </c>
      <c r="B140" t="str">
        <f t="shared" si="58"/>
        <v>2000 NAVY PENTAGON</v>
      </c>
      <c r="C140" t="str">
        <f t="shared" si="64"/>
        <v>RM 4E443</v>
      </c>
      <c r="D140" t="str">
        <f t="shared" si="59"/>
        <v>WASHINGTON</v>
      </c>
      <c r="E140" t="str">
        <f t="shared" si="60"/>
        <v>DC</v>
      </c>
      <c r="F140" t="str">
        <f t="shared" si="61"/>
        <v>203502000</v>
      </c>
      <c r="G140" t="str">
        <f>T("2000 NAVY PENTAGON RM 1D677")</f>
        <v>2000 NAVY PENTAGON RM 1D677</v>
      </c>
      <c r="H140" t="str">
        <f>T("")</f>
        <v/>
      </c>
      <c r="I140" t="str">
        <f t="shared" si="62"/>
        <v>WASHINGTON</v>
      </c>
      <c r="J140" t="str">
        <f t="shared" si="63"/>
        <v>DC</v>
      </c>
      <c r="K140" t="str">
        <f>T("000000000000000000")</f>
        <v>000000000000000000</v>
      </c>
      <c r="L140" t="str">
        <f>T("7036934575")</f>
        <v>7036934575</v>
      </c>
    </row>
    <row r="141" spans="1:12" x14ac:dyDescent="0.35">
      <c r="A141" t="str">
        <f t="shared" si="57"/>
        <v>DEPT OF NAVY/FIELD SUPPORT ACT</v>
      </c>
      <c r="B141" t="str">
        <f t="shared" si="58"/>
        <v>2000 NAVY PENTAGON</v>
      </c>
      <c r="C141" t="str">
        <f t="shared" si="64"/>
        <v>RM 4E443</v>
      </c>
      <c r="D141" t="str">
        <f t="shared" si="59"/>
        <v>WASHINGTON</v>
      </c>
      <c r="E141" t="str">
        <f t="shared" si="60"/>
        <v>DC</v>
      </c>
      <c r="F141" t="str">
        <f t="shared" si="61"/>
        <v>203502000</v>
      </c>
      <c r="G141" t="str">
        <f>T("2000 NAVY PENTAGON RM 1D721")</f>
        <v>2000 NAVY PENTAGON RM 1D721</v>
      </c>
      <c r="H141" t="str">
        <f>T("")</f>
        <v/>
      </c>
      <c r="I141" t="str">
        <f t="shared" si="62"/>
        <v>WASHINGTON</v>
      </c>
      <c r="J141" t="str">
        <f t="shared" si="63"/>
        <v>DC</v>
      </c>
      <c r="K141" t="str">
        <f>T("000000000000000000")</f>
        <v>000000000000000000</v>
      </c>
      <c r="L141" t="str">
        <f>T("7036929414")</f>
        <v>7036929414</v>
      </c>
    </row>
    <row r="142" spans="1:12" x14ac:dyDescent="0.35">
      <c r="A142" t="str">
        <f t="shared" si="57"/>
        <v>DEPT OF NAVY/FIELD SUPPORT ACT</v>
      </c>
      <c r="B142" t="str">
        <f t="shared" si="58"/>
        <v>2000 NAVY PENTAGON</v>
      </c>
      <c r="C142" t="str">
        <f t="shared" si="64"/>
        <v>RM 4E443</v>
      </c>
      <c r="D142" t="str">
        <f t="shared" si="59"/>
        <v>WASHINGTON</v>
      </c>
      <c r="E142" t="str">
        <f t="shared" si="60"/>
        <v>DC</v>
      </c>
      <c r="F142" t="str">
        <f t="shared" si="61"/>
        <v>203502000</v>
      </c>
      <c r="G142" t="str">
        <f>T("2000 NAVY PENTAGON RM 4C453")</f>
        <v>2000 NAVY PENTAGON RM 4C453</v>
      </c>
      <c r="H142" t="str">
        <f>T("")</f>
        <v/>
      </c>
      <c r="I142" t="str">
        <f t="shared" si="62"/>
        <v>WASHINGTON</v>
      </c>
      <c r="J142" t="str">
        <f t="shared" si="63"/>
        <v>DC</v>
      </c>
      <c r="K142" t="str">
        <f>T("000000000000000000")</f>
        <v>000000000000000000</v>
      </c>
      <c r="L142" t="str">
        <f>T("7036932809")</f>
        <v>7036932809</v>
      </c>
    </row>
    <row r="143" spans="1:12" x14ac:dyDescent="0.35">
      <c r="A143" t="str">
        <f t="shared" si="57"/>
        <v>DEPT OF NAVY/FIELD SUPPORT ACT</v>
      </c>
      <c r="B143" t="str">
        <f t="shared" si="58"/>
        <v>2000 NAVY PENTAGON</v>
      </c>
      <c r="C143" t="str">
        <f t="shared" si="64"/>
        <v>RM 4E443</v>
      </c>
      <c r="D143" t="str">
        <f t="shared" si="59"/>
        <v>WASHINGTON</v>
      </c>
      <c r="E143" t="str">
        <f t="shared" si="60"/>
        <v>DC</v>
      </c>
      <c r="F143" t="str">
        <f t="shared" si="61"/>
        <v>203502000</v>
      </c>
      <c r="G143" t="str">
        <f>T("2000 NAVY PENTAGON RM 5A268")</f>
        <v>2000 NAVY PENTAGON RM 5A268</v>
      </c>
      <c r="H143" t="str">
        <f>T("")</f>
        <v/>
      </c>
      <c r="I143" t="str">
        <f t="shared" si="62"/>
        <v>WASHINGTON</v>
      </c>
      <c r="J143" t="str">
        <f t="shared" si="63"/>
        <v>DC</v>
      </c>
      <c r="K143" t="str">
        <f>T("000000000000000000")</f>
        <v>000000000000000000</v>
      </c>
      <c r="L143" t="str">
        <f>T("7036955481")</f>
        <v>7036955481</v>
      </c>
    </row>
    <row r="144" spans="1:12" x14ac:dyDescent="0.35">
      <c r="A144" t="str">
        <f t="shared" si="57"/>
        <v>DEPT OF NAVY/FIELD SUPPORT ACT</v>
      </c>
      <c r="B144" t="str">
        <f t="shared" si="58"/>
        <v>2000 NAVY PENTAGON</v>
      </c>
      <c r="C144" t="str">
        <f t="shared" si="64"/>
        <v>RM 4E443</v>
      </c>
      <c r="D144" t="str">
        <f t="shared" si="59"/>
        <v>WASHINGTON</v>
      </c>
      <c r="E144" t="str">
        <f t="shared" si="60"/>
        <v>DC</v>
      </c>
      <c r="F144" t="str">
        <f t="shared" si="61"/>
        <v>203502000</v>
      </c>
      <c r="G144" t="str">
        <f>T("2000 NAVY/PENTAGON")</f>
        <v>2000 NAVY/PENTAGON</v>
      </c>
      <c r="H144" t="str">
        <f>T("")</f>
        <v/>
      </c>
      <c r="I144" t="str">
        <f t="shared" si="62"/>
        <v>WASHINGTON</v>
      </c>
      <c r="J144" t="str">
        <f t="shared" si="63"/>
        <v>DC</v>
      </c>
      <c r="K144" t="str">
        <f>T("7036974254")</f>
        <v>7036974254</v>
      </c>
      <c r="L144" t="str">
        <f>T("7036973705")</f>
        <v>7036973705</v>
      </c>
    </row>
    <row r="145" spans="1:12" x14ac:dyDescent="0.35">
      <c r="A145" t="str">
        <f t="shared" si="57"/>
        <v>DEPT OF NAVY/FIELD SUPPORT ACT</v>
      </c>
      <c r="B145" t="str">
        <f t="shared" si="58"/>
        <v>2000 NAVY PENTAGON</v>
      </c>
      <c r="C145" t="str">
        <f t="shared" ref="C145:C153" si="65">T("RM 4E563")</f>
        <v>RM 4E563</v>
      </c>
      <c r="D145" t="str">
        <f t="shared" si="59"/>
        <v>WASHINGTON</v>
      </c>
      <c r="E145" t="str">
        <f t="shared" si="60"/>
        <v>DC</v>
      </c>
      <c r="F145" t="str">
        <f t="shared" si="61"/>
        <v>203502000</v>
      </c>
      <c r="G145" t="str">
        <f>T("1013 O STREET SE")</f>
        <v>1013 O STREET SE</v>
      </c>
      <c r="H145" t="str">
        <f>T("BUILDING 166 SUITE 311")</f>
        <v>BUILDING 166 SUITE 311</v>
      </c>
      <c r="I145" t="str">
        <f>T("WASHINGTON NAVY YARD")</f>
        <v>WASHINGTON NAVY YARD</v>
      </c>
      <c r="J145" t="str">
        <f t="shared" si="63"/>
        <v>DC</v>
      </c>
      <c r="K145" t="str">
        <f>T("000000000000000000")</f>
        <v>000000000000000000</v>
      </c>
      <c r="L145" t="str">
        <f>T("2026859636")</f>
        <v>2026859636</v>
      </c>
    </row>
    <row r="146" spans="1:12" x14ac:dyDescent="0.35">
      <c r="A146" t="str">
        <f t="shared" si="57"/>
        <v>DEPT OF NAVY/FIELD SUPPORT ACT</v>
      </c>
      <c r="B146" t="str">
        <f t="shared" si="58"/>
        <v>2000 NAVY PENTAGON</v>
      </c>
      <c r="C146" t="str">
        <f t="shared" si="65"/>
        <v>RM 4E563</v>
      </c>
      <c r="D146" t="str">
        <f t="shared" si="59"/>
        <v>WASHINGTON</v>
      </c>
      <c r="E146" t="str">
        <f t="shared" si="60"/>
        <v>DC</v>
      </c>
      <c r="F146" t="str">
        <f t="shared" si="61"/>
        <v>203502000</v>
      </c>
      <c r="G146" t="str">
        <f>T("2000 NAVY PENTAGON")</f>
        <v>2000 NAVY PENTAGON</v>
      </c>
      <c r="H146" t="str">
        <f>T("RM 4C669")</f>
        <v>RM 4C669</v>
      </c>
      <c r="I146" t="str">
        <f t="shared" ref="I146:I152" si="66">T("WASHINGTON")</f>
        <v>WASHINGTON</v>
      </c>
      <c r="J146" t="str">
        <f t="shared" si="63"/>
        <v>DC</v>
      </c>
      <c r="K146" t="str">
        <f>T("000000000000000000")</f>
        <v>000000000000000000</v>
      </c>
      <c r="L146" t="str">
        <f>T("7036931580")</f>
        <v>7036931580</v>
      </c>
    </row>
    <row r="147" spans="1:12" x14ac:dyDescent="0.35">
      <c r="A147" t="str">
        <f t="shared" si="57"/>
        <v>DEPT OF NAVY/FIELD SUPPORT ACT</v>
      </c>
      <c r="B147" t="str">
        <f t="shared" si="58"/>
        <v>2000 NAVY PENTAGON</v>
      </c>
      <c r="C147" t="str">
        <f t="shared" si="65"/>
        <v>RM 4E563</v>
      </c>
      <c r="D147" t="str">
        <f t="shared" si="59"/>
        <v>WASHINGTON</v>
      </c>
      <c r="E147" t="str">
        <f t="shared" si="60"/>
        <v>DC</v>
      </c>
      <c r="F147" t="str">
        <f t="shared" si="61"/>
        <v>203502000</v>
      </c>
      <c r="G147" t="str">
        <f>T("2000 NAVY PENTAGON")</f>
        <v>2000 NAVY PENTAGON</v>
      </c>
      <c r="H147" t="str">
        <f>T("RM 4E563")</f>
        <v>RM 4E563</v>
      </c>
      <c r="I147" t="str">
        <f t="shared" si="66"/>
        <v>WASHINGTON</v>
      </c>
      <c r="J147" t="str">
        <f t="shared" si="63"/>
        <v>DC</v>
      </c>
      <c r="K147" t="str">
        <f>T("7036925357")</f>
        <v>7036925357</v>
      </c>
      <c r="L147" t="str">
        <f>T("7036955715")</f>
        <v>7036955715</v>
      </c>
    </row>
    <row r="148" spans="1:12" x14ac:dyDescent="0.35">
      <c r="A148" t="str">
        <f t="shared" si="57"/>
        <v>DEPT OF NAVY/FIELD SUPPORT ACT</v>
      </c>
      <c r="B148" t="str">
        <f t="shared" si="58"/>
        <v>2000 NAVY PENTAGON</v>
      </c>
      <c r="C148" t="str">
        <f t="shared" si="65"/>
        <v>RM 4E563</v>
      </c>
      <c r="D148" t="str">
        <f t="shared" si="59"/>
        <v>WASHINGTON</v>
      </c>
      <c r="E148" t="str">
        <f t="shared" si="60"/>
        <v>DC</v>
      </c>
      <c r="F148" t="str">
        <f t="shared" si="61"/>
        <v>203502000</v>
      </c>
      <c r="G148" t="str">
        <f>T("2000 NAVY PENTAGON")</f>
        <v>2000 NAVY PENTAGON</v>
      </c>
      <c r="H148" t="str">
        <f>T("RM 4E569")</f>
        <v>RM 4E569</v>
      </c>
      <c r="I148" t="str">
        <f t="shared" si="66"/>
        <v>WASHINGTON</v>
      </c>
      <c r="J148" t="str">
        <f t="shared" si="63"/>
        <v>DC</v>
      </c>
      <c r="K148" t="str">
        <f t="shared" ref="K148:K155" si="67">T("000000000000000000")</f>
        <v>000000000000000000</v>
      </c>
      <c r="L148" t="str">
        <f>T("7036925299")</f>
        <v>7036925299</v>
      </c>
    </row>
    <row r="149" spans="1:12" x14ac:dyDescent="0.35">
      <c r="A149" t="str">
        <f t="shared" si="57"/>
        <v>DEPT OF NAVY/FIELD SUPPORT ACT</v>
      </c>
      <c r="B149" t="str">
        <f t="shared" si="58"/>
        <v>2000 NAVY PENTAGON</v>
      </c>
      <c r="C149" t="str">
        <f t="shared" si="65"/>
        <v>RM 4E563</v>
      </c>
      <c r="D149" t="str">
        <f t="shared" si="59"/>
        <v>WASHINGTON</v>
      </c>
      <c r="E149" t="str">
        <f t="shared" si="60"/>
        <v>DC</v>
      </c>
      <c r="F149" t="str">
        <f t="shared" si="61"/>
        <v>203502000</v>
      </c>
      <c r="G149" t="str">
        <f>T("2000 NAVY PENTAGON")</f>
        <v>2000 NAVY PENTAGON</v>
      </c>
      <c r="H149" t="str">
        <f>T("ROOM 4E562")</f>
        <v>ROOM 4E562</v>
      </c>
      <c r="I149" t="str">
        <f t="shared" si="66"/>
        <v>WASHINGTON</v>
      </c>
      <c r="J149" t="str">
        <f t="shared" si="63"/>
        <v>DC</v>
      </c>
      <c r="K149" t="str">
        <f t="shared" si="67"/>
        <v>000000000000000000</v>
      </c>
      <c r="L149" t="str">
        <f>T("7036929040")</f>
        <v>7036929040</v>
      </c>
    </row>
    <row r="150" spans="1:12" x14ac:dyDescent="0.35">
      <c r="A150" t="str">
        <f t="shared" si="57"/>
        <v>DEPT OF NAVY/FIELD SUPPORT ACT</v>
      </c>
      <c r="B150" t="str">
        <f t="shared" si="58"/>
        <v>2000 NAVY PENTAGON</v>
      </c>
      <c r="C150" t="str">
        <f t="shared" si="65"/>
        <v>RM 4E563</v>
      </c>
      <c r="D150" t="str">
        <f t="shared" si="59"/>
        <v>WASHINGTON</v>
      </c>
      <c r="E150" t="str">
        <f t="shared" si="60"/>
        <v>DC</v>
      </c>
      <c r="F150" t="str">
        <f t="shared" si="61"/>
        <v>203502000</v>
      </c>
      <c r="G150" t="str">
        <f>T("2000 NAVY PENTAGON RM 4C669")</f>
        <v>2000 NAVY PENTAGON RM 4C669</v>
      </c>
      <c r="H150" t="str">
        <f>T("")</f>
        <v/>
      </c>
      <c r="I150" t="str">
        <f t="shared" si="66"/>
        <v>WASHINGTON</v>
      </c>
      <c r="J150" t="str">
        <f t="shared" si="63"/>
        <v>DC</v>
      </c>
      <c r="K150" t="str">
        <f t="shared" si="67"/>
        <v>000000000000000000</v>
      </c>
      <c r="L150" t="str">
        <f>T("7036931579")</f>
        <v>7036931579</v>
      </c>
    </row>
    <row r="151" spans="1:12" x14ac:dyDescent="0.35">
      <c r="A151" t="str">
        <f t="shared" si="57"/>
        <v>DEPT OF NAVY/FIELD SUPPORT ACT</v>
      </c>
      <c r="B151" t="str">
        <f t="shared" si="58"/>
        <v>2000 NAVY PENTAGON</v>
      </c>
      <c r="C151" t="str">
        <f t="shared" si="65"/>
        <v>RM 4E563</v>
      </c>
      <c r="D151" t="str">
        <f t="shared" si="59"/>
        <v>WASHINGTON</v>
      </c>
      <c r="E151" t="str">
        <f t="shared" si="60"/>
        <v>DC</v>
      </c>
      <c r="F151" t="str">
        <f t="shared" si="61"/>
        <v>203502000</v>
      </c>
      <c r="G151" t="str">
        <f>T("2000 NAVY PENTAGON RM 5A514A")</f>
        <v>2000 NAVY PENTAGON RM 5A514A</v>
      </c>
      <c r="H151" t="str">
        <f>T("")</f>
        <v/>
      </c>
      <c r="I151" t="str">
        <f t="shared" si="66"/>
        <v>WASHINGTON</v>
      </c>
      <c r="J151" t="str">
        <f t="shared" si="63"/>
        <v>DC</v>
      </c>
      <c r="K151" t="str">
        <f t="shared" si="67"/>
        <v>000000000000000000</v>
      </c>
      <c r="L151" t="str">
        <f>T("7036972806")</f>
        <v>7036972806</v>
      </c>
    </row>
    <row r="152" spans="1:12" x14ac:dyDescent="0.35">
      <c r="A152" t="str">
        <f t="shared" si="57"/>
        <v>DEPT OF NAVY/FIELD SUPPORT ACT</v>
      </c>
      <c r="B152" t="str">
        <f t="shared" si="58"/>
        <v>2000 NAVY PENTAGON</v>
      </c>
      <c r="C152" t="str">
        <f t="shared" si="65"/>
        <v>RM 4E563</v>
      </c>
      <c r="D152" t="str">
        <f t="shared" si="59"/>
        <v>WASHINGTON</v>
      </c>
      <c r="E152" t="str">
        <f t="shared" si="60"/>
        <v>DC</v>
      </c>
      <c r="F152" t="str">
        <f t="shared" si="61"/>
        <v>203502000</v>
      </c>
      <c r="G152" t="str">
        <f>T("2000 NAVY PENTAGON RM 5A514A")</f>
        <v>2000 NAVY PENTAGON RM 5A514A</v>
      </c>
      <c r="H152" t="str">
        <f>T("")</f>
        <v/>
      </c>
      <c r="I152" t="str">
        <f t="shared" si="66"/>
        <v>WASHINGTON</v>
      </c>
      <c r="J152" t="str">
        <f t="shared" si="63"/>
        <v>DC</v>
      </c>
      <c r="K152" t="str">
        <f t="shared" si="67"/>
        <v>000000000000000000</v>
      </c>
      <c r="L152" t="str">
        <f>T("7036976858")</f>
        <v>7036976858</v>
      </c>
    </row>
    <row r="153" spans="1:12" x14ac:dyDescent="0.35">
      <c r="A153" t="str">
        <f t="shared" si="57"/>
        <v>DEPT OF NAVY/FIELD SUPPORT ACT</v>
      </c>
      <c r="B153" t="str">
        <f t="shared" si="58"/>
        <v>2000 NAVY PENTAGON</v>
      </c>
      <c r="C153" t="str">
        <f t="shared" si="65"/>
        <v>RM 4E563</v>
      </c>
      <c r="D153" t="str">
        <f t="shared" si="59"/>
        <v>WASHINGTON</v>
      </c>
      <c r="E153" t="str">
        <f t="shared" si="60"/>
        <v>DC</v>
      </c>
      <c r="F153" t="str">
        <f t="shared" si="61"/>
        <v>203502000</v>
      </c>
      <c r="G153" t="str">
        <f>T("720 KENNON ST SE")</f>
        <v>720 KENNON ST SE</v>
      </c>
      <c r="H153" t="str">
        <f>T("BLDG 36 RM 135")</f>
        <v>BLDG 36 RM 135</v>
      </c>
      <c r="I153" t="str">
        <f>T("WASHINGTON NAVY YARD")</f>
        <v>WASHINGTON NAVY YARD</v>
      </c>
      <c r="J153" t="str">
        <f t="shared" si="63"/>
        <v>DC</v>
      </c>
      <c r="K153" t="str">
        <f t="shared" si="67"/>
        <v>000000000000000000</v>
      </c>
      <c r="L153" t="str">
        <f>T("2026856550")</f>
        <v>2026856550</v>
      </c>
    </row>
    <row r="154" spans="1:12" x14ac:dyDescent="0.35">
      <c r="A154" t="str">
        <f t="shared" si="57"/>
        <v>DEPT OF NAVY/FIELD SUPPORT ACT</v>
      </c>
      <c r="B154" t="str">
        <f t="shared" si="58"/>
        <v>2000 NAVY PENTAGON</v>
      </c>
      <c r="C154" t="str">
        <f>T("RM 4E662")</f>
        <v>RM 4E662</v>
      </c>
      <c r="D154" t="str">
        <f t="shared" si="59"/>
        <v>WASHINGTON</v>
      </c>
      <c r="E154" t="str">
        <f t="shared" si="60"/>
        <v>DC</v>
      </c>
      <c r="F154" t="str">
        <f t="shared" si="61"/>
        <v>203502000</v>
      </c>
      <c r="G154" t="str">
        <f>T("2000 NAVY PENTAGON")</f>
        <v>2000 NAVY PENTAGON</v>
      </c>
      <c r="H154" t="str">
        <f>T("")</f>
        <v/>
      </c>
      <c r="I154" t="str">
        <f t="shared" ref="I154:I177" si="68">T("WASHINGTON")</f>
        <v>WASHINGTON</v>
      </c>
      <c r="J154" t="str">
        <f t="shared" si="63"/>
        <v>DC</v>
      </c>
      <c r="K154" t="str">
        <f t="shared" si="67"/>
        <v>000000000000000000</v>
      </c>
      <c r="L154" t="str">
        <f>T("7036922035")</f>
        <v>7036922035</v>
      </c>
    </row>
    <row r="155" spans="1:12" x14ac:dyDescent="0.35">
      <c r="A155" t="str">
        <f t="shared" si="57"/>
        <v>DEPT OF NAVY/FIELD SUPPORT ACT</v>
      </c>
      <c r="B155" t="str">
        <f t="shared" si="58"/>
        <v>2000 NAVY PENTAGON</v>
      </c>
      <c r="C155" t="str">
        <f>T("RM 4E662")</f>
        <v>RM 4E662</v>
      </c>
      <c r="D155" t="str">
        <f t="shared" si="59"/>
        <v>WASHINGTON</v>
      </c>
      <c r="E155" t="str">
        <f t="shared" si="60"/>
        <v>DC</v>
      </c>
      <c r="F155" t="str">
        <f t="shared" si="61"/>
        <v>203502000</v>
      </c>
      <c r="G155" t="str">
        <f>T("2000 NAVY PENTAGON")</f>
        <v>2000 NAVY PENTAGON</v>
      </c>
      <c r="H155" t="str">
        <f>T("RM 4E409")</f>
        <v>RM 4E409</v>
      </c>
      <c r="I155" t="str">
        <f t="shared" si="68"/>
        <v>WASHINGTON</v>
      </c>
      <c r="J155" t="str">
        <f t="shared" si="63"/>
        <v>DC</v>
      </c>
      <c r="K155" t="str">
        <f t="shared" si="67"/>
        <v>000000000000000000</v>
      </c>
      <c r="L155" t="str">
        <f>T("7036955664")</f>
        <v>7036955664</v>
      </c>
    </row>
    <row r="156" spans="1:12" x14ac:dyDescent="0.35">
      <c r="A156" t="str">
        <f t="shared" si="57"/>
        <v>DEPT OF NAVY/FIELD SUPPORT ACT</v>
      </c>
      <c r="B156" t="str">
        <f t="shared" si="58"/>
        <v>2000 NAVY PENTAGON</v>
      </c>
      <c r="C156" t="str">
        <f>T("RM 4E662")</f>
        <v>RM 4E662</v>
      </c>
      <c r="D156" t="str">
        <f t="shared" si="59"/>
        <v>WASHINGTON</v>
      </c>
      <c r="E156" t="str">
        <f t="shared" si="60"/>
        <v>DC</v>
      </c>
      <c r="F156" t="str">
        <f t="shared" si="61"/>
        <v>203502000</v>
      </c>
      <c r="G156" t="str">
        <f>T("2000 NAVY PENTAGON")</f>
        <v>2000 NAVY PENTAGON</v>
      </c>
      <c r="H156" t="str">
        <f>T("RM 4E662")</f>
        <v>RM 4E662</v>
      </c>
      <c r="I156" t="str">
        <f t="shared" si="68"/>
        <v>WASHINGTON</v>
      </c>
      <c r="J156" t="str">
        <f t="shared" si="63"/>
        <v>DC</v>
      </c>
      <c r="K156" t="str">
        <f>T("7036939408")</f>
        <v>7036939408</v>
      </c>
      <c r="L156" t="str">
        <f>T("7036950532")</f>
        <v>7036950532</v>
      </c>
    </row>
    <row r="157" spans="1:12" x14ac:dyDescent="0.35">
      <c r="A157" t="str">
        <f t="shared" si="57"/>
        <v>DEPT OF NAVY/FIELD SUPPORT ACT</v>
      </c>
      <c r="B157" t="str">
        <f t="shared" si="58"/>
        <v>2000 NAVY PENTAGON</v>
      </c>
      <c r="C157" t="str">
        <f>T("ROOM 2D88A")</f>
        <v>ROOM 2D88A</v>
      </c>
      <c r="D157" t="str">
        <f t="shared" si="59"/>
        <v>WASHINGTON</v>
      </c>
      <c r="E157" t="str">
        <f t="shared" si="60"/>
        <v>DC</v>
      </c>
      <c r="F157" t="str">
        <f t="shared" si="61"/>
        <v>203502000</v>
      </c>
      <c r="G157" t="str">
        <f>T("2000 NAVY PENTAGON")</f>
        <v>2000 NAVY PENTAGON</v>
      </c>
      <c r="H157" t="str">
        <f>T("RM 2E281")</f>
        <v>RM 2E281</v>
      </c>
      <c r="I157" t="str">
        <f t="shared" si="68"/>
        <v>WASHINGTON</v>
      </c>
      <c r="J157" t="str">
        <f t="shared" si="63"/>
        <v>DC</v>
      </c>
      <c r="K157" t="str">
        <f>T("000000000000000000")</f>
        <v>000000000000000000</v>
      </c>
      <c r="L157" t="str">
        <f>T("7036955778")</f>
        <v>7036955778</v>
      </c>
    </row>
    <row r="158" spans="1:12" x14ac:dyDescent="0.35">
      <c r="A158" t="str">
        <f t="shared" si="57"/>
        <v>DEPT OF NAVY/FIELD SUPPORT ACT</v>
      </c>
      <c r="B158" t="str">
        <f t="shared" si="58"/>
        <v>2000 NAVY PENTAGON</v>
      </c>
      <c r="C158" t="str">
        <f>T("ROOM 2D88A")</f>
        <v>ROOM 2D88A</v>
      </c>
      <c r="D158" t="str">
        <f t="shared" si="59"/>
        <v>WASHINGTON</v>
      </c>
      <c r="E158" t="str">
        <f t="shared" si="60"/>
        <v>DC</v>
      </c>
      <c r="F158" t="str">
        <f t="shared" si="61"/>
        <v>203502000</v>
      </c>
      <c r="G158" t="str">
        <f>T("2000 NAVY PENTAGON")</f>
        <v>2000 NAVY PENTAGON</v>
      </c>
      <c r="H158" t="str">
        <f>T("ROOM 2D88A")</f>
        <v>ROOM 2D88A</v>
      </c>
      <c r="I158" t="str">
        <f t="shared" si="68"/>
        <v>WASHINGTON</v>
      </c>
      <c r="J158" t="str">
        <f t="shared" si="63"/>
        <v>DC</v>
      </c>
      <c r="K158" t="str">
        <f>T("7036040032")</f>
        <v>7036040032</v>
      </c>
      <c r="L158" t="str">
        <f>T("7036954735")</f>
        <v>7036954735</v>
      </c>
    </row>
    <row r="159" spans="1:12" x14ac:dyDescent="0.35">
      <c r="A159" t="str">
        <f t="shared" ref="A159:A187" si="69">T("DEPT OF NAVY/FIELD SUPPORT ACT")</f>
        <v>DEPT OF NAVY/FIELD SUPPORT ACT</v>
      </c>
      <c r="B159" t="str">
        <f t="shared" si="58"/>
        <v>2000 NAVY PENTAGON</v>
      </c>
      <c r="C159" t="str">
        <f>T("ROOM 2D88A")</f>
        <v>ROOM 2D88A</v>
      </c>
      <c r="D159" t="str">
        <f t="shared" ref="D159:D177" si="70">T("WASHINGTON")</f>
        <v>WASHINGTON</v>
      </c>
      <c r="E159" t="str">
        <f t="shared" ref="E159:E177" si="71">T("DC")</f>
        <v>DC</v>
      </c>
      <c r="F159" t="str">
        <f t="shared" ref="F159:F177" si="72">T("203502000")</f>
        <v>203502000</v>
      </c>
      <c r="G159" t="str">
        <f>T("2000 NAVY PENTAGON RM 2D288A")</f>
        <v>2000 NAVY PENTAGON RM 2D288A</v>
      </c>
      <c r="H159" t="str">
        <f>T("")</f>
        <v/>
      </c>
      <c r="I159" t="str">
        <f t="shared" si="68"/>
        <v>WASHINGTON</v>
      </c>
      <c r="J159" t="str">
        <f t="shared" ref="J159:J177" si="73">T("DC")</f>
        <v>DC</v>
      </c>
      <c r="K159" t="str">
        <f t="shared" ref="K159:K164" si="74">T("000000000000000000")</f>
        <v>000000000000000000</v>
      </c>
      <c r="L159" t="str">
        <f>T("7036954797")</f>
        <v>7036954797</v>
      </c>
    </row>
    <row r="160" spans="1:12" x14ac:dyDescent="0.35">
      <c r="A160" t="str">
        <f t="shared" si="69"/>
        <v>DEPT OF NAVY/FIELD SUPPORT ACT</v>
      </c>
      <c r="B160" t="str">
        <f t="shared" si="58"/>
        <v>2000 NAVY PENTAGON</v>
      </c>
      <c r="C160" t="str">
        <f t="shared" ref="C160:C170" si="75">T("ROOM 4E409")</f>
        <v>ROOM 4E409</v>
      </c>
      <c r="D160" t="str">
        <f t="shared" si="70"/>
        <v>WASHINGTON</v>
      </c>
      <c r="E160" t="str">
        <f t="shared" si="71"/>
        <v>DC</v>
      </c>
      <c r="F160" t="str">
        <f t="shared" si="72"/>
        <v>203502000</v>
      </c>
      <c r="G160" t="str">
        <f t="shared" ref="G160:G167" si="76">T("2000 NAVY PENTAGON")</f>
        <v>2000 NAVY PENTAGON</v>
      </c>
      <c r="H160" t="str">
        <f>T("")</f>
        <v/>
      </c>
      <c r="I160" t="str">
        <f t="shared" si="68"/>
        <v>WASHINGTON</v>
      </c>
      <c r="J160" t="str">
        <f t="shared" si="73"/>
        <v>DC</v>
      </c>
      <c r="K160" t="str">
        <f t="shared" si="74"/>
        <v>000000000000000000</v>
      </c>
      <c r="L160" t="str">
        <f>T("7036142813")</f>
        <v>7036142813</v>
      </c>
    </row>
    <row r="161" spans="1:12" x14ac:dyDescent="0.35">
      <c r="A161" t="str">
        <f t="shared" si="69"/>
        <v>DEPT OF NAVY/FIELD SUPPORT ACT</v>
      </c>
      <c r="B161" t="str">
        <f t="shared" si="58"/>
        <v>2000 NAVY PENTAGON</v>
      </c>
      <c r="C161" t="str">
        <f t="shared" si="75"/>
        <v>ROOM 4E409</v>
      </c>
      <c r="D161" t="str">
        <f t="shared" si="70"/>
        <v>WASHINGTON</v>
      </c>
      <c r="E161" t="str">
        <f t="shared" si="71"/>
        <v>DC</v>
      </c>
      <c r="F161" t="str">
        <f t="shared" si="72"/>
        <v>203502000</v>
      </c>
      <c r="G161" t="str">
        <f t="shared" si="76"/>
        <v>2000 NAVY PENTAGON</v>
      </c>
      <c r="H161" t="str">
        <f>T("")</f>
        <v/>
      </c>
      <c r="I161" t="str">
        <f t="shared" si="68"/>
        <v>WASHINGTON</v>
      </c>
      <c r="J161" t="str">
        <f t="shared" si="73"/>
        <v>DC</v>
      </c>
      <c r="K161" t="str">
        <f t="shared" si="74"/>
        <v>000000000000000000</v>
      </c>
      <c r="L161" t="str">
        <f>T("7036145634")</f>
        <v>7036145634</v>
      </c>
    </row>
    <row r="162" spans="1:12" x14ac:dyDescent="0.35">
      <c r="A162" t="str">
        <f t="shared" si="69"/>
        <v>DEPT OF NAVY/FIELD SUPPORT ACT</v>
      </c>
      <c r="B162" t="str">
        <f t="shared" si="58"/>
        <v>2000 NAVY PENTAGON</v>
      </c>
      <c r="C162" t="str">
        <f t="shared" si="75"/>
        <v>ROOM 4E409</v>
      </c>
      <c r="D162" t="str">
        <f t="shared" si="70"/>
        <v>WASHINGTON</v>
      </c>
      <c r="E162" t="str">
        <f t="shared" si="71"/>
        <v>DC</v>
      </c>
      <c r="F162" t="str">
        <f t="shared" si="72"/>
        <v>203502000</v>
      </c>
      <c r="G162" t="str">
        <f t="shared" si="76"/>
        <v>2000 NAVY PENTAGON</v>
      </c>
      <c r="H162" t="str">
        <f>T("")</f>
        <v/>
      </c>
      <c r="I162" t="str">
        <f t="shared" si="68"/>
        <v>WASHINGTON</v>
      </c>
      <c r="J162" t="str">
        <f t="shared" si="73"/>
        <v>DC</v>
      </c>
      <c r="K162" t="str">
        <f t="shared" si="74"/>
        <v>000000000000000000</v>
      </c>
      <c r="L162" t="str">
        <f>T("7036921574")</f>
        <v>7036921574</v>
      </c>
    </row>
    <row r="163" spans="1:12" x14ac:dyDescent="0.35">
      <c r="A163" t="str">
        <f t="shared" si="69"/>
        <v>DEPT OF NAVY/FIELD SUPPORT ACT</v>
      </c>
      <c r="B163" t="str">
        <f t="shared" si="58"/>
        <v>2000 NAVY PENTAGON</v>
      </c>
      <c r="C163" t="str">
        <f t="shared" si="75"/>
        <v>ROOM 4E409</v>
      </c>
      <c r="D163" t="str">
        <f t="shared" si="70"/>
        <v>WASHINGTON</v>
      </c>
      <c r="E163" t="str">
        <f t="shared" si="71"/>
        <v>DC</v>
      </c>
      <c r="F163" t="str">
        <f t="shared" si="72"/>
        <v>203502000</v>
      </c>
      <c r="G163" t="str">
        <f t="shared" si="76"/>
        <v>2000 NAVY PENTAGON</v>
      </c>
      <c r="H163" t="str">
        <f>T("RM 4E409")</f>
        <v>RM 4E409</v>
      </c>
      <c r="I163" t="str">
        <f t="shared" si="68"/>
        <v>WASHINGTON</v>
      </c>
      <c r="J163" t="str">
        <f t="shared" si="73"/>
        <v>DC</v>
      </c>
      <c r="K163" t="str">
        <f t="shared" si="74"/>
        <v>000000000000000000</v>
      </c>
      <c r="L163" t="str">
        <f>T("7036143927")</f>
        <v>7036143927</v>
      </c>
    </row>
    <row r="164" spans="1:12" x14ac:dyDescent="0.35">
      <c r="A164" t="str">
        <f t="shared" si="69"/>
        <v>DEPT OF NAVY/FIELD SUPPORT ACT</v>
      </c>
      <c r="B164" t="str">
        <f t="shared" si="58"/>
        <v>2000 NAVY PENTAGON</v>
      </c>
      <c r="C164" t="str">
        <f t="shared" si="75"/>
        <v>ROOM 4E409</v>
      </c>
      <c r="D164" t="str">
        <f t="shared" si="70"/>
        <v>WASHINGTON</v>
      </c>
      <c r="E164" t="str">
        <f t="shared" si="71"/>
        <v>DC</v>
      </c>
      <c r="F164" t="str">
        <f t="shared" si="72"/>
        <v>203502000</v>
      </c>
      <c r="G164" t="str">
        <f t="shared" si="76"/>
        <v>2000 NAVY PENTAGON</v>
      </c>
      <c r="H164" t="str">
        <f>T("RM 4E409")</f>
        <v>RM 4E409</v>
      </c>
      <c r="I164" t="str">
        <f t="shared" si="68"/>
        <v>WASHINGTON</v>
      </c>
      <c r="J164" t="str">
        <f t="shared" si="73"/>
        <v>DC</v>
      </c>
      <c r="K164" t="str">
        <f t="shared" si="74"/>
        <v>000000000000000000</v>
      </c>
      <c r="L164" t="str">
        <f>T("7036932801")</f>
        <v>7036932801</v>
      </c>
    </row>
    <row r="165" spans="1:12" x14ac:dyDescent="0.35">
      <c r="A165" t="str">
        <f t="shared" si="69"/>
        <v>DEPT OF NAVY/FIELD SUPPORT ACT</v>
      </c>
      <c r="B165" t="str">
        <f t="shared" si="58"/>
        <v>2000 NAVY PENTAGON</v>
      </c>
      <c r="C165" t="str">
        <f t="shared" si="75"/>
        <v>ROOM 4E409</v>
      </c>
      <c r="D165" t="str">
        <f t="shared" si="70"/>
        <v>WASHINGTON</v>
      </c>
      <c r="E165" t="str">
        <f t="shared" si="71"/>
        <v>DC</v>
      </c>
      <c r="F165" t="str">
        <f t="shared" si="72"/>
        <v>203502000</v>
      </c>
      <c r="G165" t="str">
        <f t="shared" si="76"/>
        <v>2000 NAVY PENTAGON</v>
      </c>
      <c r="H165" t="str">
        <f>T("ROOM 4E409")</f>
        <v>ROOM 4E409</v>
      </c>
      <c r="I165" t="str">
        <f t="shared" si="68"/>
        <v>WASHINGTON</v>
      </c>
      <c r="J165" t="str">
        <f t="shared" si="73"/>
        <v>DC</v>
      </c>
      <c r="K165" t="str">
        <f>T("")</f>
        <v/>
      </c>
      <c r="L165" t="str">
        <f>T("7036144660")</f>
        <v>7036144660</v>
      </c>
    </row>
    <row r="166" spans="1:12" x14ac:dyDescent="0.35">
      <c r="A166" t="str">
        <f t="shared" si="69"/>
        <v>DEPT OF NAVY/FIELD SUPPORT ACT</v>
      </c>
      <c r="B166" t="str">
        <f t="shared" si="58"/>
        <v>2000 NAVY PENTAGON</v>
      </c>
      <c r="C166" t="str">
        <f t="shared" si="75"/>
        <v>ROOM 4E409</v>
      </c>
      <c r="D166" t="str">
        <f t="shared" si="70"/>
        <v>WASHINGTON</v>
      </c>
      <c r="E166" t="str">
        <f t="shared" si="71"/>
        <v>DC</v>
      </c>
      <c r="F166" t="str">
        <f t="shared" si="72"/>
        <v>203502000</v>
      </c>
      <c r="G166" t="str">
        <f t="shared" si="76"/>
        <v>2000 NAVY PENTAGON</v>
      </c>
      <c r="H166" t="str">
        <f>T("ROOM 4E409")</f>
        <v>ROOM 4E409</v>
      </c>
      <c r="I166" t="str">
        <f t="shared" si="68"/>
        <v>WASHINGTON</v>
      </c>
      <c r="J166" t="str">
        <f t="shared" si="73"/>
        <v>DC</v>
      </c>
      <c r="K166" t="str">
        <f>T("000000000000000000")</f>
        <v>000000000000000000</v>
      </c>
      <c r="L166" t="str">
        <f>T("7036959273")</f>
        <v>7036959273</v>
      </c>
    </row>
    <row r="167" spans="1:12" x14ac:dyDescent="0.35">
      <c r="A167" t="str">
        <f t="shared" si="69"/>
        <v>DEPT OF NAVY/FIELD SUPPORT ACT</v>
      </c>
      <c r="B167" t="str">
        <f t="shared" si="58"/>
        <v>2000 NAVY PENTAGON</v>
      </c>
      <c r="C167" t="str">
        <f t="shared" si="75"/>
        <v>ROOM 4E409</v>
      </c>
      <c r="D167" t="str">
        <f t="shared" si="70"/>
        <v>WASHINGTON</v>
      </c>
      <c r="E167" t="str">
        <f t="shared" si="71"/>
        <v>DC</v>
      </c>
      <c r="F167" t="str">
        <f t="shared" si="72"/>
        <v>203502000</v>
      </c>
      <c r="G167" t="str">
        <f t="shared" si="76"/>
        <v>2000 NAVY PENTAGON</v>
      </c>
      <c r="H167" t="str">
        <f>T("ROOM 5E188")</f>
        <v>ROOM 5E188</v>
      </c>
      <c r="I167" t="str">
        <f t="shared" si="68"/>
        <v>WASHINGTON</v>
      </c>
      <c r="J167" t="str">
        <f t="shared" si="73"/>
        <v>DC</v>
      </c>
      <c r="K167" t="str">
        <f>T("000000000000000000")</f>
        <v>000000000000000000</v>
      </c>
      <c r="L167" t="str">
        <f>T("7036132303")</f>
        <v>7036132303</v>
      </c>
    </row>
    <row r="168" spans="1:12" x14ac:dyDescent="0.35">
      <c r="A168" t="str">
        <f t="shared" si="69"/>
        <v>DEPT OF NAVY/FIELD SUPPORT ACT</v>
      </c>
      <c r="B168" t="str">
        <f t="shared" si="58"/>
        <v>2000 NAVY PENTAGON</v>
      </c>
      <c r="C168" t="str">
        <f t="shared" si="75"/>
        <v>ROOM 4E409</v>
      </c>
      <c r="D168" t="str">
        <f t="shared" si="70"/>
        <v>WASHINGTON</v>
      </c>
      <c r="E168" t="str">
        <f t="shared" si="71"/>
        <v>DC</v>
      </c>
      <c r="F168" t="str">
        <f t="shared" si="72"/>
        <v>203502000</v>
      </c>
      <c r="G168" t="str">
        <f>T("2000 NAVY PENTAGON RM 4E409")</f>
        <v>2000 NAVY PENTAGON RM 4E409</v>
      </c>
      <c r="H168" t="str">
        <f>T("")</f>
        <v/>
      </c>
      <c r="I168" t="str">
        <f t="shared" si="68"/>
        <v>WASHINGTON</v>
      </c>
      <c r="J168" t="str">
        <f t="shared" si="73"/>
        <v>DC</v>
      </c>
      <c r="K168" t="str">
        <f>T("000000000000000000")</f>
        <v>000000000000000000</v>
      </c>
      <c r="L168" t="str">
        <f>T("7036979587")</f>
        <v>7036979587</v>
      </c>
    </row>
    <row r="169" spans="1:12" x14ac:dyDescent="0.35">
      <c r="A169" t="str">
        <f t="shared" si="69"/>
        <v>DEPT OF NAVY/FIELD SUPPORT ACT</v>
      </c>
      <c r="B169" t="str">
        <f t="shared" si="58"/>
        <v>2000 NAVY PENTAGON</v>
      </c>
      <c r="C169" t="str">
        <f t="shared" si="75"/>
        <v>ROOM 4E409</v>
      </c>
      <c r="D169" t="str">
        <f t="shared" si="70"/>
        <v>WASHINGTON</v>
      </c>
      <c r="E169" t="str">
        <f t="shared" si="71"/>
        <v>DC</v>
      </c>
      <c r="F169" t="str">
        <f t="shared" si="72"/>
        <v>203502000</v>
      </c>
      <c r="G169" t="str">
        <f>T("2000 NAVY PENTAGON RM 5B453")</f>
        <v>2000 NAVY PENTAGON RM 5B453</v>
      </c>
      <c r="H169" t="str">
        <f>T("")</f>
        <v/>
      </c>
      <c r="I169" t="str">
        <f t="shared" si="68"/>
        <v>WASHINGTON</v>
      </c>
      <c r="J169" t="str">
        <f t="shared" si="73"/>
        <v>DC</v>
      </c>
      <c r="K169" t="str">
        <f>T("000000000000000000")</f>
        <v>000000000000000000</v>
      </c>
      <c r="L169" t="str">
        <f>T("5405390001")</f>
        <v>5405390001</v>
      </c>
    </row>
    <row r="170" spans="1:12" x14ac:dyDescent="0.35">
      <c r="A170" t="str">
        <f t="shared" si="69"/>
        <v>DEPT OF NAVY/FIELD SUPPORT ACT</v>
      </c>
      <c r="B170" t="str">
        <f t="shared" si="58"/>
        <v>2000 NAVY PENTAGON</v>
      </c>
      <c r="C170" t="str">
        <f t="shared" si="75"/>
        <v>ROOM 4E409</v>
      </c>
      <c r="D170" t="str">
        <f t="shared" si="70"/>
        <v>WASHINGTON</v>
      </c>
      <c r="E170" t="str">
        <f t="shared" si="71"/>
        <v>DC</v>
      </c>
      <c r="F170" t="str">
        <f t="shared" si="72"/>
        <v>203502000</v>
      </c>
      <c r="G170" t="str">
        <f>T("2000 NAVY PENTAGON RM 5C459")</f>
        <v>2000 NAVY PENTAGON RM 5C459</v>
      </c>
      <c r="H170" t="str">
        <f>T("")</f>
        <v/>
      </c>
      <c r="I170" t="str">
        <f t="shared" si="68"/>
        <v>WASHINGTON</v>
      </c>
      <c r="J170" t="str">
        <f t="shared" si="73"/>
        <v>DC</v>
      </c>
      <c r="K170" t="str">
        <f>T("000000000000000000")</f>
        <v>000000000000000000</v>
      </c>
      <c r="L170" t="str">
        <f>T("7036923071")</f>
        <v>7036923071</v>
      </c>
    </row>
    <row r="171" spans="1:12" x14ac:dyDescent="0.35">
      <c r="A171" t="str">
        <f t="shared" si="69"/>
        <v>DEPT OF NAVY/FIELD SUPPORT ACT</v>
      </c>
      <c r="B171" t="str">
        <f t="shared" si="58"/>
        <v>2000 NAVY PENTAGON</v>
      </c>
      <c r="C171" t="str">
        <f>T("ROOM 4E642")</f>
        <v>ROOM 4E642</v>
      </c>
      <c r="D171" t="str">
        <f t="shared" si="70"/>
        <v>WASHINGTON</v>
      </c>
      <c r="E171" t="str">
        <f t="shared" si="71"/>
        <v>DC</v>
      </c>
      <c r="F171" t="str">
        <f t="shared" si="72"/>
        <v>203502000</v>
      </c>
      <c r="G171" t="str">
        <f>T("2000 NAVY PENTAGON")</f>
        <v>2000 NAVY PENTAGON</v>
      </c>
      <c r="H171" t="str">
        <f>T("ROOM 4E642")</f>
        <v>ROOM 4E642</v>
      </c>
      <c r="I171" t="str">
        <f t="shared" si="68"/>
        <v>WASHINGTON</v>
      </c>
      <c r="J171" t="str">
        <f t="shared" si="73"/>
        <v>DC</v>
      </c>
      <c r="K171" t="str">
        <f>T("7036140401")</f>
        <v>7036140401</v>
      </c>
      <c r="L171" t="str">
        <f>T("7036142020")</f>
        <v>7036142020</v>
      </c>
    </row>
    <row r="172" spans="1:12" x14ac:dyDescent="0.35">
      <c r="A172" t="str">
        <f t="shared" si="69"/>
        <v>DEPT OF NAVY/FIELD SUPPORT ACT</v>
      </c>
      <c r="B172" t="str">
        <f t="shared" si="58"/>
        <v>2000 NAVY PENTAGON</v>
      </c>
      <c r="C172" t="str">
        <f>T("ROOM 4E642")</f>
        <v>ROOM 4E642</v>
      </c>
      <c r="D172" t="str">
        <f t="shared" si="70"/>
        <v>WASHINGTON</v>
      </c>
      <c r="E172" t="str">
        <f t="shared" si="71"/>
        <v>DC</v>
      </c>
      <c r="F172" t="str">
        <f t="shared" si="72"/>
        <v>203502000</v>
      </c>
      <c r="G172" t="str">
        <f>T("2000 NAVY PENTAGON RM 4E642")</f>
        <v>2000 NAVY PENTAGON RM 4E642</v>
      </c>
      <c r="H172" t="str">
        <f>T("")</f>
        <v/>
      </c>
      <c r="I172" t="str">
        <f t="shared" si="68"/>
        <v>WASHINGTON</v>
      </c>
      <c r="J172" t="str">
        <f t="shared" si="73"/>
        <v>DC</v>
      </c>
      <c r="K172" t="str">
        <f>T("000000000000000000")</f>
        <v>000000000000000000</v>
      </c>
      <c r="L172" t="str">
        <f>T("7036140045")</f>
        <v>7036140045</v>
      </c>
    </row>
    <row r="173" spans="1:12" x14ac:dyDescent="0.35">
      <c r="A173" t="str">
        <f t="shared" si="69"/>
        <v>DEPT OF NAVY/FIELD SUPPORT ACT</v>
      </c>
      <c r="B173" t="str">
        <f t="shared" si="58"/>
        <v>2000 NAVY PENTAGON</v>
      </c>
      <c r="C173" t="str">
        <f>T("ROOM 4E642")</f>
        <v>ROOM 4E642</v>
      </c>
      <c r="D173" t="str">
        <f t="shared" si="70"/>
        <v>WASHINGTON</v>
      </c>
      <c r="E173" t="str">
        <f t="shared" si="71"/>
        <v>DC</v>
      </c>
      <c r="F173" t="str">
        <f t="shared" si="72"/>
        <v>203502000</v>
      </c>
      <c r="G173" t="str">
        <f>T("2000 NAVY PENTAGON ROOM")</f>
        <v>2000 NAVY PENTAGON ROOM</v>
      </c>
      <c r="H173" t="str">
        <f>T("ROOM 4E642")</f>
        <v>ROOM 4E642</v>
      </c>
      <c r="I173" t="str">
        <f t="shared" si="68"/>
        <v>WASHINGTON</v>
      </c>
      <c r="J173" t="str">
        <f t="shared" si="73"/>
        <v>DC</v>
      </c>
      <c r="K173" t="str">
        <f>T("000000000000000000")</f>
        <v>000000000000000000</v>
      </c>
      <c r="L173" t="str">
        <f>T("7036142020")</f>
        <v>7036142020</v>
      </c>
    </row>
    <row r="174" spans="1:12" x14ac:dyDescent="0.35">
      <c r="A174" t="str">
        <f t="shared" si="69"/>
        <v>DEPT OF NAVY/FIELD SUPPORT ACT</v>
      </c>
      <c r="B174" t="str">
        <f>T("2000 NAVY PENTAGON RM 4E438")</f>
        <v>2000 NAVY PENTAGON RM 4E438</v>
      </c>
      <c r="C174" t="str">
        <f>T("")</f>
        <v/>
      </c>
      <c r="D174" t="str">
        <f t="shared" si="70"/>
        <v>WASHINGTON</v>
      </c>
      <c r="E174" t="str">
        <f t="shared" si="71"/>
        <v>DC</v>
      </c>
      <c r="F174" t="str">
        <f t="shared" si="72"/>
        <v>203502000</v>
      </c>
      <c r="G174" t="str">
        <f>T("2000 NAVY PENTAGON")</f>
        <v>2000 NAVY PENTAGON</v>
      </c>
      <c r="H174" t="str">
        <f>T("")</f>
        <v/>
      </c>
      <c r="I174" t="str">
        <f t="shared" si="68"/>
        <v>WASHINGTON</v>
      </c>
      <c r="J174" t="str">
        <f t="shared" si="73"/>
        <v>DC</v>
      </c>
      <c r="K174" t="str">
        <f>T("000000000000000000")</f>
        <v>000000000000000000</v>
      </c>
      <c r="L174" t="str">
        <f>T("7036929084")</f>
        <v>7036929084</v>
      </c>
    </row>
    <row r="175" spans="1:12" x14ac:dyDescent="0.35">
      <c r="A175" t="str">
        <f t="shared" si="69"/>
        <v>DEPT OF NAVY/FIELD SUPPORT ACT</v>
      </c>
      <c r="B175" t="str">
        <f>T("2000 NAVY PENTAGON RM 4E438")</f>
        <v>2000 NAVY PENTAGON RM 4E438</v>
      </c>
      <c r="C175" t="str">
        <f>T("")</f>
        <v/>
      </c>
      <c r="D175" t="str">
        <f t="shared" si="70"/>
        <v>WASHINGTON</v>
      </c>
      <c r="E175" t="str">
        <f t="shared" si="71"/>
        <v>DC</v>
      </c>
      <c r="F175" t="str">
        <f t="shared" si="72"/>
        <v>203502000</v>
      </c>
      <c r="G175" t="str">
        <f>T("2000 NAVY PENTAGON RM 4E438")</f>
        <v>2000 NAVY PENTAGON RM 4E438</v>
      </c>
      <c r="H175" t="str">
        <f>T("")</f>
        <v/>
      </c>
      <c r="I175" t="str">
        <f t="shared" si="68"/>
        <v>WASHINGTON</v>
      </c>
      <c r="J175" t="str">
        <f t="shared" si="73"/>
        <v>DC</v>
      </c>
      <c r="K175" t="str">
        <f>T("")</f>
        <v/>
      </c>
      <c r="L175" t="str">
        <f>T("7036934873")</f>
        <v>7036934873</v>
      </c>
    </row>
    <row r="176" spans="1:12" x14ac:dyDescent="0.35">
      <c r="A176" t="str">
        <f t="shared" si="69"/>
        <v>DEPT OF NAVY/FIELD SUPPORT ACT</v>
      </c>
      <c r="B176" t="str">
        <f>T("2000 PENTAGON N931")</f>
        <v>2000 PENTAGON N931</v>
      </c>
      <c r="C176" t="str">
        <f>T("")</f>
        <v/>
      </c>
      <c r="D176" t="str">
        <f t="shared" si="70"/>
        <v>WASHINGTON</v>
      </c>
      <c r="E176" t="str">
        <f t="shared" si="71"/>
        <v>DC</v>
      </c>
      <c r="F176" t="str">
        <f t="shared" si="72"/>
        <v>203502000</v>
      </c>
      <c r="G176" t="str">
        <f>T("2000 NAVY PENTAGON")</f>
        <v>2000 NAVY PENTAGON</v>
      </c>
      <c r="H176" t="str">
        <f>T("")</f>
        <v/>
      </c>
      <c r="I176" t="str">
        <f t="shared" si="68"/>
        <v>WASHINGTON</v>
      </c>
      <c r="J176" t="str">
        <f t="shared" si="73"/>
        <v>DC</v>
      </c>
      <c r="K176" t="str">
        <f>T("000000000000000000")</f>
        <v>000000000000000000</v>
      </c>
      <c r="L176" t="str">
        <f>T("7035712951")</f>
        <v>7035712951</v>
      </c>
    </row>
    <row r="177" spans="1:12" x14ac:dyDescent="0.35">
      <c r="A177" t="str">
        <f t="shared" si="69"/>
        <v>DEPT OF NAVY/FIELD SUPPORT ACT</v>
      </c>
      <c r="B177" t="str">
        <f>T("2000 PENTAGON N931")</f>
        <v>2000 PENTAGON N931</v>
      </c>
      <c r="C177" t="str">
        <f>T("")</f>
        <v/>
      </c>
      <c r="D177" t="str">
        <f t="shared" si="70"/>
        <v>WASHINGTON</v>
      </c>
      <c r="E177" t="str">
        <f t="shared" si="71"/>
        <v>DC</v>
      </c>
      <c r="F177" t="str">
        <f t="shared" si="72"/>
        <v>203502000</v>
      </c>
      <c r="G177" t="str">
        <f>T("2000 PENTAGON N931")</f>
        <v>2000 PENTAGON N931</v>
      </c>
      <c r="H177" t="str">
        <f>T("")</f>
        <v/>
      </c>
      <c r="I177" t="str">
        <f t="shared" si="68"/>
        <v>WASHINGTON</v>
      </c>
      <c r="J177" t="str">
        <f t="shared" si="73"/>
        <v>DC</v>
      </c>
      <c r="K177" t="str">
        <f>T("7036930055")</f>
        <v>7036930055</v>
      </c>
      <c r="L177" t="str">
        <f>T("7036956747")</f>
        <v>7036956747</v>
      </c>
    </row>
    <row r="178" spans="1:12" x14ac:dyDescent="0.35">
      <c r="A178" t="str">
        <f t="shared" si="69"/>
        <v>DEPT OF NAVY/FIELD SUPPORT ACT</v>
      </c>
      <c r="B178" t="str">
        <f>T("CHARLESTOWN NAVY YARD")</f>
        <v>CHARLESTOWN NAVY YARD</v>
      </c>
      <c r="C178" t="str">
        <f>T("BLDG 5")</f>
        <v>BLDG 5</v>
      </c>
      <c r="D178" t="str">
        <f>T("CHARLESTOWN")</f>
        <v>CHARLESTOWN</v>
      </c>
      <c r="E178" t="str">
        <f>T("MA")</f>
        <v>MA</v>
      </c>
      <c r="F178" t="str">
        <f>T("021294558")</f>
        <v>021294558</v>
      </c>
      <c r="G178" t="str">
        <f>T("93 CHELSEA ST")</f>
        <v>93 CHELSEA ST</v>
      </c>
      <c r="H178" t="str">
        <f>T("BUILDING 5 CHARLESTOWN NAVY YARD")</f>
        <v>BUILDING 5 CHARLESTOWN NAVY YARD</v>
      </c>
      <c r="I178" t="str">
        <f>T("CHARLESTOWN")</f>
        <v>CHARLESTOWN</v>
      </c>
      <c r="J178" t="str">
        <f>T("MA")</f>
        <v>MA</v>
      </c>
      <c r="K178" t="str">
        <f t="shared" ref="K178:K183" si="77">T("000000000000000000")</f>
        <v>000000000000000000</v>
      </c>
      <c r="L178" t="str">
        <f>T("6172425595")</f>
        <v>6172425595</v>
      </c>
    </row>
    <row r="179" spans="1:12" x14ac:dyDescent="0.35">
      <c r="A179" t="str">
        <f t="shared" si="69"/>
        <v>DEPT OF NAVY/FIELD SUPPORT ACT</v>
      </c>
      <c r="B179" t="str">
        <f>T("CHARLESTOWN NAVY YARD")</f>
        <v>CHARLESTOWN NAVY YARD</v>
      </c>
      <c r="C179" t="str">
        <f>T("BLDG 5")</f>
        <v>BLDG 5</v>
      </c>
      <c r="D179" t="str">
        <f>T("CHARLESTOWN")</f>
        <v>CHARLESTOWN</v>
      </c>
      <c r="E179" t="str">
        <f>T("MA")</f>
        <v>MA</v>
      </c>
      <c r="F179" t="str">
        <f>T("021294558")</f>
        <v>021294558</v>
      </c>
      <c r="G179" t="str">
        <f>T("CHARLESTOWN NAVY YARD")</f>
        <v>CHARLESTOWN NAVY YARD</v>
      </c>
      <c r="H179" t="str">
        <f>T("BLDG 5")</f>
        <v>BLDG 5</v>
      </c>
      <c r="I179" t="str">
        <f>T("CHARLESTOWN")</f>
        <v>CHARLESTOWN</v>
      </c>
      <c r="J179" t="str">
        <f>T("MA")</f>
        <v>MA</v>
      </c>
      <c r="K179" t="str">
        <f t="shared" si="77"/>
        <v>000000000000000000</v>
      </c>
      <c r="L179" t="str">
        <f>T("6172425595")</f>
        <v>6172425595</v>
      </c>
    </row>
    <row r="180" spans="1:12" x14ac:dyDescent="0.35">
      <c r="A180" t="str">
        <f t="shared" si="69"/>
        <v>DEPT OF NAVY/FIELD SUPPORT ACT</v>
      </c>
      <c r="B180" t="str">
        <f>T("CHARLESTOWN NAVY YARD")</f>
        <v>CHARLESTOWN NAVY YARD</v>
      </c>
      <c r="C180" t="str">
        <f>T("BLDG 5")</f>
        <v>BLDG 5</v>
      </c>
      <c r="D180" t="str">
        <f>T("CHARLESTOWN")</f>
        <v>CHARLESTOWN</v>
      </c>
      <c r="E180" t="str">
        <f>T("MA")</f>
        <v>MA</v>
      </c>
      <c r="F180" t="str">
        <f>T("021294558")</f>
        <v>021294558</v>
      </c>
      <c r="G180" t="str">
        <f>T("CHARLESTOWN NAVY YARD")</f>
        <v>CHARLESTOWN NAVY YARD</v>
      </c>
      <c r="H180" t="str">
        <f>T("BUILDING 5")</f>
        <v>BUILDING 5</v>
      </c>
      <c r="I180" t="str">
        <f>T("CHARLESTOWN")</f>
        <v>CHARLESTOWN</v>
      </c>
      <c r="J180" t="str">
        <f>T("MA")</f>
        <v>MA</v>
      </c>
      <c r="K180" t="str">
        <f t="shared" si="77"/>
        <v>000000000000000000</v>
      </c>
      <c r="L180" t="str">
        <f>T("6172425595")</f>
        <v>6172425595</v>
      </c>
    </row>
    <row r="181" spans="1:12" x14ac:dyDescent="0.35">
      <c r="A181" t="str">
        <f t="shared" si="69"/>
        <v>DEPT OF NAVY/FIELD SUPPORT ACT</v>
      </c>
      <c r="B181" t="str">
        <f>T("CHARLESTOWN NAVY YARD")</f>
        <v>CHARLESTOWN NAVY YARD</v>
      </c>
      <c r="C181" t="str">
        <f>T("BLDG 5")</f>
        <v>BLDG 5</v>
      </c>
      <c r="D181" t="str">
        <f>T("CHARLESTOWN")</f>
        <v>CHARLESTOWN</v>
      </c>
      <c r="E181" t="str">
        <f>T("MA")</f>
        <v>MA</v>
      </c>
      <c r="F181" t="str">
        <f>T("021294558")</f>
        <v>021294558</v>
      </c>
      <c r="G181" t="str">
        <f>T("USS CONSTITUTION")</f>
        <v>USS CONSTITUTION</v>
      </c>
      <c r="H181" t="str">
        <f>T("CHARLESTOWN NAVY YARD BLDG 5")</f>
        <v>CHARLESTOWN NAVY YARD BLDG 5</v>
      </c>
      <c r="I181" t="str">
        <f>T("CHARLESTOWN")</f>
        <v>CHARLESTOWN</v>
      </c>
      <c r="J181" t="str">
        <f>T("MA")</f>
        <v>MA</v>
      </c>
      <c r="K181" t="str">
        <f t="shared" si="77"/>
        <v>000000000000000000</v>
      </c>
      <c r="L181" t="str">
        <f>T("6172425595")</f>
        <v>6172425595</v>
      </c>
    </row>
    <row r="182" spans="1:12" x14ac:dyDescent="0.35">
      <c r="A182" t="str">
        <f t="shared" si="69"/>
        <v>DEPT OF NAVY/FIELD SUPPORT ACT</v>
      </c>
      <c r="B182" t="str">
        <f>T("CHIEF OF CHAPLAINS")</f>
        <v>CHIEF OF CHAPLAINS</v>
      </c>
      <c r="C182" t="str">
        <f>T("2000 NAVY PENTAGON")</f>
        <v>2000 NAVY PENTAGON</v>
      </c>
      <c r="D182" t="str">
        <f t="shared" ref="D182:D190" si="78">T("WASHINGTON")</f>
        <v>WASHINGTON</v>
      </c>
      <c r="E182" t="str">
        <f t="shared" ref="E182:E190" si="79">T("DC")</f>
        <v>DC</v>
      </c>
      <c r="F182" t="str">
        <f>T("203502000")</f>
        <v>203502000</v>
      </c>
      <c r="G182" t="str">
        <f>T("2000 NAVY PENTAGON")</f>
        <v>2000 NAVY PENTAGON</v>
      </c>
      <c r="H182" t="str">
        <f>T("ROOM 5E270")</f>
        <v>ROOM 5E270</v>
      </c>
      <c r="I182" t="str">
        <f t="shared" ref="I182:I188" si="80">T("WASHINGTON")</f>
        <v>WASHINGTON</v>
      </c>
      <c r="J182" t="str">
        <f t="shared" ref="J182:J190" si="81">T("DC")</f>
        <v>DC</v>
      </c>
      <c r="K182" t="str">
        <f t="shared" si="77"/>
        <v>000000000000000000</v>
      </c>
      <c r="L182" t="str">
        <f>T("7036145563")</f>
        <v>7036145563</v>
      </c>
    </row>
    <row r="183" spans="1:12" x14ac:dyDescent="0.35">
      <c r="A183" t="str">
        <f t="shared" si="69"/>
        <v>DEPT OF NAVY/FIELD SUPPORT ACT</v>
      </c>
      <c r="B183" t="str">
        <f>T("CHIEF OF CHAPLAINS")</f>
        <v>CHIEF OF CHAPLAINS</v>
      </c>
      <c r="C183" t="str">
        <f>T("2000 NAVY PENTAGON")</f>
        <v>2000 NAVY PENTAGON</v>
      </c>
      <c r="D183" t="str">
        <f t="shared" si="78"/>
        <v>WASHINGTON</v>
      </c>
      <c r="E183" t="str">
        <f t="shared" si="79"/>
        <v>DC</v>
      </c>
      <c r="F183" t="str">
        <f>T("203502000")</f>
        <v>203502000</v>
      </c>
      <c r="G183" t="str">
        <f>T("2000 NAVY PENTAGON RM 5E270")</f>
        <v>2000 NAVY PENTAGON RM 5E270</v>
      </c>
      <c r="H183" t="str">
        <f>T("N097")</f>
        <v>N097</v>
      </c>
      <c r="I183" t="str">
        <f t="shared" si="80"/>
        <v>WASHINGTON</v>
      </c>
      <c r="J183" t="str">
        <f t="shared" si="81"/>
        <v>DC</v>
      </c>
      <c r="K183" t="str">
        <f t="shared" si="77"/>
        <v>000000000000000000</v>
      </c>
      <c r="L183" t="str">
        <f>T("7036145563")</f>
        <v>7036145563</v>
      </c>
    </row>
    <row r="184" spans="1:12" x14ac:dyDescent="0.35">
      <c r="A184" t="str">
        <f t="shared" si="69"/>
        <v>DEPT OF NAVY/FIELD SUPPORT ACT</v>
      </c>
      <c r="B184" t="str">
        <f>T("CHIEF OF CHAPLAINS")</f>
        <v>CHIEF OF CHAPLAINS</v>
      </c>
      <c r="C184" t="str">
        <f>T("2000 NAVY PENTAGON")</f>
        <v>2000 NAVY PENTAGON</v>
      </c>
      <c r="D184" t="str">
        <f t="shared" si="78"/>
        <v>WASHINGTON</v>
      </c>
      <c r="E184" t="str">
        <f t="shared" si="79"/>
        <v>DC</v>
      </c>
      <c r="F184" t="str">
        <f>T("203502000")</f>
        <v>203502000</v>
      </c>
      <c r="G184" t="str">
        <f>T("CHIEF OF CHAPLAINS")</f>
        <v>CHIEF OF CHAPLAINS</v>
      </c>
      <c r="H184" t="str">
        <f>T("2000 NAVY PENTAGON")</f>
        <v>2000 NAVY PENTAGON</v>
      </c>
      <c r="I184" t="str">
        <f t="shared" si="80"/>
        <v>WASHINGTON</v>
      </c>
      <c r="J184" t="str">
        <f t="shared" si="81"/>
        <v>DC</v>
      </c>
      <c r="K184" t="str">
        <f>T("")</f>
        <v/>
      </c>
      <c r="L184" t="str">
        <f>T("7036935411")</f>
        <v>7036935411</v>
      </c>
    </row>
    <row r="185" spans="1:12" x14ac:dyDescent="0.35">
      <c r="A185" t="str">
        <f t="shared" si="69"/>
        <v>DEPT OF NAVY/FIELD SUPPORT ACT</v>
      </c>
      <c r="B185" t="str">
        <f>T("RAVEN ROCK MOUNTAIN COMPLEX")</f>
        <v>RAVEN ROCK MOUNTAIN COMPLEX</v>
      </c>
      <c r="C185" t="str">
        <f>T("4755 PASTURE RD HNGR 5")</f>
        <v>4755 PASTURE RD HNGR 5</v>
      </c>
      <c r="D185" t="str">
        <f t="shared" si="78"/>
        <v>WASHINGTON</v>
      </c>
      <c r="E185" t="str">
        <f t="shared" si="79"/>
        <v>DC</v>
      </c>
      <c r="F185" t="str">
        <f>T("203010001")</f>
        <v>203010001</v>
      </c>
      <c r="G185" t="str">
        <f>T("RAVEN ROCK MOUNTAIN COMPLEX")</f>
        <v>RAVEN ROCK MOUNTAIN COMPLEX</v>
      </c>
      <c r="H185" t="str">
        <f>T("1155 DEFENSE PENTAGON")</f>
        <v>1155 DEFENSE PENTAGON</v>
      </c>
      <c r="I185" t="str">
        <f t="shared" si="80"/>
        <v>WASHINGTON</v>
      </c>
      <c r="J185" t="str">
        <f t="shared" si="81"/>
        <v>DC</v>
      </c>
      <c r="K185" t="str">
        <f>T("000000000000000000")</f>
        <v>000000000000000000</v>
      </c>
      <c r="L185" t="str">
        <f>T("3018783387")</f>
        <v>3018783387</v>
      </c>
    </row>
    <row r="186" spans="1:12" x14ac:dyDescent="0.35">
      <c r="A186" t="str">
        <f t="shared" si="69"/>
        <v>DEPT OF NAVY/FIELD SUPPORT ACT</v>
      </c>
      <c r="B186" t="str">
        <f>T("RAVEN ROCK MOUNTAIN COMPLEX")</f>
        <v>RAVEN ROCK MOUNTAIN COMPLEX</v>
      </c>
      <c r="C186" t="str">
        <f>T("4755 PASTURE RD HNGR 5")</f>
        <v>4755 PASTURE RD HNGR 5</v>
      </c>
      <c r="D186" t="str">
        <f t="shared" si="78"/>
        <v>WASHINGTON</v>
      </c>
      <c r="E186" t="str">
        <f t="shared" si="79"/>
        <v>DC</v>
      </c>
      <c r="F186" t="str">
        <f>T("203010001")</f>
        <v>203010001</v>
      </c>
      <c r="G186" t="str">
        <f>T("RAVEN ROCK MOUNTAIN COMPLEX")</f>
        <v>RAVEN ROCK MOUNTAIN COMPLEX</v>
      </c>
      <c r="H186" t="str">
        <f>T("1155 DEFENSE PENTAGON")</f>
        <v>1155 DEFENSE PENTAGON</v>
      </c>
      <c r="I186" t="str">
        <f t="shared" si="80"/>
        <v>WASHINGTON</v>
      </c>
      <c r="J186" t="str">
        <f t="shared" si="81"/>
        <v>DC</v>
      </c>
      <c r="K186" t="str">
        <f>T("000000000000000000")</f>
        <v>000000000000000000</v>
      </c>
      <c r="L186" t="str">
        <f>T("3018783568")</f>
        <v>3018783568</v>
      </c>
    </row>
    <row r="187" spans="1:12" x14ac:dyDescent="0.35">
      <c r="A187" t="str">
        <f t="shared" si="69"/>
        <v>DEPT OF NAVY/FIELD SUPPORT ACT</v>
      </c>
      <c r="B187" t="str">
        <f>T("RAVEN ROCK MOUNTAIN COMPLEX")</f>
        <v>RAVEN ROCK MOUNTAIN COMPLEX</v>
      </c>
      <c r="C187" t="str">
        <f>T("4755 PASTURE RD HNGR 5")</f>
        <v>4755 PASTURE RD HNGR 5</v>
      </c>
      <c r="D187" t="str">
        <f t="shared" si="78"/>
        <v>WASHINGTON</v>
      </c>
      <c r="E187" t="str">
        <f t="shared" si="79"/>
        <v>DC</v>
      </c>
      <c r="F187" t="str">
        <f>T("203010001")</f>
        <v>203010001</v>
      </c>
      <c r="G187" t="str">
        <f>T("RAVEN ROCK MOUNTAIN COMPLEX")</f>
        <v>RAVEN ROCK MOUNTAIN COMPLEX</v>
      </c>
      <c r="H187" t="str">
        <f>T("4755 PASTURE RD HNGR 5")</f>
        <v>4755 PASTURE RD HNGR 5</v>
      </c>
      <c r="I187" t="str">
        <f t="shared" si="80"/>
        <v>WASHINGTON</v>
      </c>
      <c r="J187" t="str">
        <f t="shared" si="81"/>
        <v>DC</v>
      </c>
      <c r="K187" t="str">
        <f>T("000000000000000000")</f>
        <v>000000000000000000</v>
      </c>
      <c r="L187" t="str">
        <f>T("3018783584")</f>
        <v>3018783584</v>
      </c>
    </row>
    <row r="188" spans="1:12" x14ac:dyDescent="0.35">
      <c r="A188" t="str">
        <f>T("FSA WASH DC")</f>
        <v>FSA WASH DC</v>
      </c>
      <c r="B188" t="str">
        <f>T("1013 O ST SE SUITE 301")</f>
        <v>1013 O ST SE SUITE 301</v>
      </c>
      <c r="C188" t="str">
        <f>T("SUITE 301")</f>
        <v>SUITE 301</v>
      </c>
      <c r="D188" t="str">
        <f t="shared" si="78"/>
        <v>WASHINGTON</v>
      </c>
      <c r="E188" t="str">
        <f t="shared" si="79"/>
        <v>DC</v>
      </c>
      <c r="F188" t="str">
        <f>T("203745108")</f>
        <v>203745108</v>
      </c>
      <c r="G188" t="str">
        <f>T("1013 O ST SE SUITE 301")</f>
        <v>1013 O ST SE SUITE 301</v>
      </c>
      <c r="H188" t="str">
        <f>T("SUITE 301")</f>
        <v>SUITE 301</v>
      </c>
      <c r="I188" t="str">
        <f t="shared" si="80"/>
        <v>WASHINGTON</v>
      </c>
      <c r="J188" t="str">
        <f t="shared" si="81"/>
        <v>DC</v>
      </c>
      <c r="K188" t="str">
        <f>T("2026851541")</f>
        <v>2026851541</v>
      </c>
      <c r="L188" t="str">
        <f>T("2026851514")</f>
        <v>2026851514</v>
      </c>
    </row>
    <row r="189" spans="1:12" x14ac:dyDescent="0.35">
      <c r="A189" t="str">
        <f>T("FSA WASH DC")</f>
        <v>FSA WASH DC</v>
      </c>
      <c r="B189" t="str">
        <f>T("1013 O ST SE SUITE 301")</f>
        <v>1013 O ST SE SUITE 301</v>
      </c>
      <c r="C189" t="str">
        <f>T("SUITE 301")</f>
        <v>SUITE 301</v>
      </c>
      <c r="D189" t="str">
        <f t="shared" si="78"/>
        <v>WASHINGTON</v>
      </c>
      <c r="E189" t="str">
        <f t="shared" si="79"/>
        <v>DC</v>
      </c>
      <c r="F189" t="str">
        <f>T("203745108")</f>
        <v>203745108</v>
      </c>
      <c r="G189" t="str">
        <f>T("1013 O STREET SE")</f>
        <v>1013 O STREET SE</v>
      </c>
      <c r="H189" t="str">
        <f>T("BLDG 166 SUITE 301")</f>
        <v>BLDG 166 SUITE 301</v>
      </c>
      <c r="I189" t="str">
        <f>T("WASHINGTON NAVY YARD")</f>
        <v>WASHINGTON NAVY YARD</v>
      </c>
      <c r="J189" t="str">
        <f t="shared" si="81"/>
        <v>DC</v>
      </c>
      <c r="K189" t="str">
        <f>T("2026851541")</f>
        <v>2026851541</v>
      </c>
      <c r="L189" t="str">
        <f>T("2026851503")</f>
        <v>2026851503</v>
      </c>
    </row>
    <row r="190" spans="1:12" x14ac:dyDescent="0.35">
      <c r="A190" t="str">
        <f>T("FSA WASH DC")</f>
        <v>FSA WASH DC</v>
      </c>
      <c r="B190" t="str">
        <f>T("1013 O ST SE SUITE 301")</f>
        <v>1013 O ST SE SUITE 301</v>
      </c>
      <c r="C190" t="str">
        <f>T("SUITE 301")</f>
        <v>SUITE 301</v>
      </c>
      <c r="D190" t="str">
        <f t="shared" si="78"/>
        <v>WASHINGTON</v>
      </c>
      <c r="E190" t="str">
        <f t="shared" si="79"/>
        <v>DC</v>
      </c>
      <c r="F190" t="str">
        <f>T("203745108")</f>
        <v>203745108</v>
      </c>
      <c r="G190" t="str">
        <f>T("1013 O STREET SE SUITE 301")</f>
        <v>1013 O STREET SE SUITE 301</v>
      </c>
      <c r="H190" t="str">
        <f>T("")</f>
        <v/>
      </c>
      <c r="I190" t="str">
        <f>T("WASHINGTON NAVY YARD")</f>
        <v>WASHINGTON NAVY YARD</v>
      </c>
      <c r="J190" t="str">
        <f t="shared" si="81"/>
        <v>DC</v>
      </c>
      <c r="K190" t="str">
        <f>T("000000000000000000")</f>
        <v>000000000000000000</v>
      </c>
      <c r="L190" t="str">
        <f>T("2026851522")</f>
        <v>2026851522</v>
      </c>
    </row>
    <row r="191" spans="1:12" x14ac:dyDescent="0.35">
      <c r="A191" t="str">
        <f>T("NHC DET BOSTON")</f>
        <v>NHC DET BOSTON</v>
      </c>
      <c r="B191" t="str">
        <f>T("CHARLESTOWN NAVY YD")</f>
        <v>CHARLESTOWN NAVY YD</v>
      </c>
      <c r="C191" t="str">
        <f>T("BLDG 24")</f>
        <v>BLDG 24</v>
      </c>
      <c r="D191" t="str">
        <f>T("CHARLESTOWN")</f>
        <v>CHARLESTOWN</v>
      </c>
      <c r="E191" t="str">
        <f>T("MA")</f>
        <v>MA</v>
      </c>
      <c r="F191" t="str">
        <f>T("021290000")</f>
        <v>021290000</v>
      </c>
      <c r="G191" t="str">
        <f>T("CHARLESTOWN NAVY YD")</f>
        <v>CHARLESTOWN NAVY YD</v>
      </c>
      <c r="H191" t="str">
        <f>T("BLDG 24")</f>
        <v>BLDG 24</v>
      </c>
      <c r="I191" t="str">
        <f>T("CHARLESTOWN")</f>
        <v>CHARLESTOWN</v>
      </c>
      <c r="J191" t="str">
        <f>T("MA")</f>
        <v>MA</v>
      </c>
      <c r="K191" t="str">
        <f>T("6172415232")</f>
        <v>6172415232</v>
      </c>
      <c r="L191" t="str">
        <f>T("6172420752")</f>
        <v>6172420752</v>
      </c>
    </row>
    <row r="192" spans="1:12" x14ac:dyDescent="0.35">
      <c r="A192" t="str">
        <f>T("NHC DET BOSTON")</f>
        <v>NHC DET BOSTON</v>
      </c>
      <c r="B192" t="str">
        <f>T("CHARLESTOWN NAVY YD")</f>
        <v>CHARLESTOWN NAVY YD</v>
      </c>
      <c r="C192" t="str">
        <f>T("BLDG 24")</f>
        <v>BLDG 24</v>
      </c>
      <c r="D192" t="str">
        <f>T("CHARLESTOWN")</f>
        <v>CHARLESTOWN</v>
      </c>
      <c r="E192" t="str">
        <f>T("MA")</f>
        <v>MA</v>
      </c>
      <c r="F192" t="str">
        <f>T("021290000")</f>
        <v>021290000</v>
      </c>
      <c r="G192" t="str">
        <f>T("NAVAL HISTORICAL CENTER BOSTON")</f>
        <v>NAVAL HISTORICAL CENTER BOSTON</v>
      </c>
      <c r="H192" t="str">
        <f>T("BLDG 24 CHARLESTOWN NAVY YARD")</f>
        <v>BLDG 24 CHARLESTOWN NAVY YARD</v>
      </c>
      <c r="I192" t="str">
        <f>T("CHARLESTOWN")</f>
        <v>CHARLESTOWN</v>
      </c>
      <c r="J192" t="str">
        <f>T("MA")</f>
        <v>MA</v>
      </c>
      <c r="K192" t="str">
        <f>T("6172415232")</f>
        <v>6172415232</v>
      </c>
      <c r="L192" t="str">
        <f>T("6173372385")</f>
        <v>6173372385</v>
      </c>
    </row>
    <row r="193" spans="1:12" x14ac:dyDescent="0.35">
      <c r="A193" t="str">
        <f>T("NHC DET BOSTON")</f>
        <v>NHC DET BOSTON</v>
      </c>
      <c r="B193" t="str">
        <f>T("CHARLESTOWN NAVY YD")</f>
        <v>CHARLESTOWN NAVY YD</v>
      </c>
      <c r="C193" t="str">
        <f>T("BLDG 24")</f>
        <v>BLDG 24</v>
      </c>
      <c r="D193" t="str">
        <f>T("CHARLESTOWN")</f>
        <v>CHARLESTOWN</v>
      </c>
      <c r="E193" t="str">
        <f>T("MA")</f>
        <v>MA</v>
      </c>
      <c r="F193" t="str">
        <f>T("021290000")</f>
        <v>021290000</v>
      </c>
      <c r="G193" t="str">
        <f>T("NHC DET BOSTON")</f>
        <v>NHC DET BOSTON</v>
      </c>
      <c r="H193" t="str">
        <f>T("BLDG 24 CHARLESTOWN NAVY YARD")</f>
        <v>BLDG 24 CHARLESTOWN NAVY YARD</v>
      </c>
      <c r="I193" t="str">
        <f>T("CHARLESTOWN")</f>
        <v>CHARLESTOWN</v>
      </c>
      <c r="J193" t="str">
        <f>T("MA")</f>
        <v>MA</v>
      </c>
      <c r="K193" t="str">
        <f>T("000000000000000000")</f>
        <v>000000000000000000</v>
      </c>
      <c r="L193" t="str">
        <f>T("6173372385")</f>
        <v>6173372385</v>
      </c>
    </row>
    <row r="194" spans="1:12" x14ac:dyDescent="0.35">
      <c r="A194" t="str">
        <f>T("NHC DET BOSTON")</f>
        <v>NHC DET BOSTON</v>
      </c>
      <c r="B194" t="str">
        <f>T("CHARLESTOWN NAVY YD")</f>
        <v>CHARLESTOWN NAVY YD</v>
      </c>
      <c r="C194" t="str">
        <f>T("BLDG 24")</f>
        <v>BLDG 24</v>
      </c>
      <c r="D194" t="str">
        <f>T("CHARLESTOWN")</f>
        <v>CHARLESTOWN</v>
      </c>
      <c r="E194" t="str">
        <f>T("MA")</f>
        <v>MA</v>
      </c>
      <c r="F194" t="str">
        <f>T("021290000")</f>
        <v>021290000</v>
      </c>
      <c r="G194" t="str">
        <f>T("NHHC DET BOSTON")</f>
        <v>NHHC DET BOSTON</v>
      </c>
      <c r="H194" t="str">
        <f>T("BLDG 24 BNHP CHARLESTOWN NAVY YARD")</f>
        <v>BLDG 24 BNHP CHARLESTOWN NAVY YARD</v>
      </c>
      <c r="I194" t="str">
        <f>T("CHARLESTOWN")</f>
        <v>CHARLESTOWN</v>
      </c>
      <c r="J194" t="str">
        <f>T("MA")</f>
        <v>MA</v>
      </c>
      <c r="K194" t="str">
        <f>T("6172415232")</f>
        <v>6172415232</v>
      </c>
      <c r="L194" t="str">
        <f>T("6173372383")</f>
        <v>6173372383</v>
      </c>
    </row>
    <row r="195" spans="1:12" x14ac:dyDescent="0.35">
      <c r="A195" t="str">
        <f>T("NHC DET BOSTON")</f>
        <v>NHC DET BOSTON</v>
      </c>
      <c r="B195" t="str">
        <f>T("CHARLESTOWN NAVY YD")</f>
        <v>CHARLESTOWN NAVY YD</v>
      </c>
      <c r="C195" t="str">
        <f>T("BLDG 24")</f>
        <v>BLDG 24</v>
      </c>
      <c r="D195" t="str">
        <f>T("CHARLESTOWN")</f>
        <v>CHARLESTOWN</v>
      </c>
      <c r="E195" t="str">
        <f>T("MA")</f>
        <v>MA</v>
      </c>
      <c r="F195" t="str">
        <f>T("021290000")</f>
        <v>021290000</v>
      </c>
      <c r="G195" t="str">
        <f>T("USS CONSTITUTION")</f>
        <v>USS CONSTITUTION</v>
      </c>
      <c r="H195" t="str">
        <f>T("BLDG 24 CHARLESTOWN NAVY YARD")</f>
        <v>BLDG 24 CHARLESTOWN NAVY YARD</v>
      </c>
      <c r="I195" t="str">
        <f>T("CHARLESTOWN")</f>
        <v>CHARLESTOWN</v>
      </c>
      <c r="J195" t="str">
        <f>T("MA")</f>
        <v>MA</v>
      </c>
      <c r="K195" t="str">
        <f>T("6172415232")</f>
        <v>6172415232</v>
      </c>
      <c r="L195" t="str">
        <f>T("6173372382")</f>
        <v>6173372382</v>
      </c>
    </row>
    <row r="196" spans="1:12" x14ac:dyDescent="0.35">
      <c r="A196" t="str">
        <f t="shared" ref="A196:A204" si="82">T("US NAVY BAND")</f>
        <v>US NAVY BAND</v>
      </c>
      <c r="B196" t="str">
        <f t="shared" ref="B196:B204" si="83">T("617 WARRINGTON AVENUE SE")</f>
        <v>617 WARRINGTON AVENUE SE</v>
      </c>
      <c r="C196" t="str">
        <f t="shared" ref="C196:C204" si="84">T("WASHINGTON NAVY YARD")</f>
        <v>WASHINGTON NAVY YARD</v>
      </c>
      <c r="D196" t="str">
        <f t="shared" ref="D196:D204" si="85">T("WASHINGTON")</f>
        <v>WASHINGTON</v>
      </c>
      <c r="E196" t="str">
        <f t="shared" ref="E196:E204" si="86">T("DC")</f>
        <v>DC</v>
      </c>
      <c r="F196" t="str">
        <f t="shared" ref="F196:F204" si="87">T("203745123")</f>
        <v>203745123</v>
      </c>
      <c r="G196" t="str">
        <f>T("617 WARRINGTON AVE SE")</f>
        <v>617 WARRINGTON AVE SE</v>
      </c>
      <c r="H196" t="str">
        <f>T("")</f>
        <v/>
      </c>
      <c r="I196" t="str">
        <f>T("WASHINGTON")</f>
        <v>WASHINGTON</v>
      </c>
      <c r="J196" t="str">
        <f t="shared" ref="J196:J204" si="88">T("DC")</f>
        <v>DC</v>
      </c>
      <c r="K196" t="str">
        <f t="shared" ref="K196:K201" si="89">T("2024338475")</f>
        <v>2024338475</v>
      </c>
      <c r="L196" t="str">
        <f>T("2024336259")</f>
        <v>2024336259</v>
      </c>
    </row>
    <row r="197" spans="1:12" x14ac:dyDescent="0.35">
      <c r="A197" t="str">
        <f t="shared" si="82"/>
        <v>US NAVY BAND</v>
      </c>
      <c r="B197" t="str">
        <f t="shared" si="83"/>
        <v>617 WARRINGTON AVENUE SE</v>
      </c>
      <c r="C197" t="str">
        <f t="shared" si="84"/>
        <v>WASHINGTON NAVY YARD</v>
      </c>
      <c r="D197" t="str">
        <f t="shared" si="85"/>
        <v>WASHINGTON</v>
      </c>
      <c r="E197" t="str">
        <f t="shared" si="86"/>
        <v>DC</v>
      </c>
      <c r="F197" t="str">
        <f t="shared" si="87"/>
        <v>203745123</v>
      </c>
      <c r="G197" t="str">
        <f>T("617 WARRINGTON AVE SE")</f>
        <v>617 WARRINGTON AVE SE</v>
      </c>
      <c r="H197" t="str">
        <f>T("")</f>
        <v/>
      </c>
      <c r="I197" t="str">
        <f>T("WASHINGTON")</f>
        <v>WASHINGTON</v>
      </c>
      <c r="J197" t="str">
        <f t="shared" si="88"/>
        <v>DC</v>
      </c>
      <c r="K197" t="str">
        <f t="shared" si="89"/>
        <v>2024338475</v>
      </c>
      <c r="L197" t="str">
        <f>T("2024339436")</f>
        <v>2024339436</v>
      </c>
    </row>
    <row r="198" spans="1:12" x14ac:dyDescent="0.35">
      <c r="A198" t="str">
        <f t="shared" si="82"/>
        <v>US NAVY BAND</v>
      </c>
      <c r="B198" t="str">
        <f t="shared" si="83"/>
        <v>617 WARRINGTON AVENUE SE</v>
      </c>
      <c r="C198" t="str">
        <f t="shared" si="84"/>
        <v>WASHINGTON NAVY YARD</v>
      </c>
      <c r="D198" t="str">
        <f t="shared" si="85"/>
        <v>WASHINGTON</v>
      </c>
      <c r="E198" t="str">
        <f t="shared" si="86"/>
        <v>DC</v>
      </c>
      <c r="F198" t="str">
        <f t="shared" si="87"/>
        <v>203745123</v>
      </c>
      <c r="G198" t="str">
        <f>T("617 WARRINGTON AVENUE SE")</f>
        <v>617 WARRINGTON AVENUE SE</v>
      </c>
      <c r="H198" t="str">
        <f>T("")</f>
        <v/>
      </c>
      <c r="I198" t="str">
        <f>T("WASHINGTON NAVY YARD")</f>
        <v>WASHINGTON NAVY YARD</v>
      </c>
      <c r="J198" t="str">
        <f t="shared" si="88"/>
        <v>DC</v>
      </c>
      <c r="K198" t="str">
        <f t="shared" si="89"/>
        <v>2024338475</v>
      </c>
      <c r="L198" t="str">
        <f>T("2024333638")</f>
        <v>2024333638</v>
      </c>
    </row>
    <row r="199" spans="1:12" x14ac:dyDescent="0.35">
      <c r="A199" t="str">
        <f t="shared" si="82"/>
        <v>US NAVY BAND</v>
      </c>
      <c r="B199" t="str">
        <f t="shared" si="83"/>
        <v>617 WARRINGTON AVENUE SE</v>
      </c>
      <c r="C199" t="str">
        <f t="shared" si="84"/>
        <v>WASHINGTON NAVY YARD</v>
      </c>
      <c r="D199" t="str">
        <f t="shared" si="85"/>
        <v>WASHINGTON</v>
      </c>
      <c r="E199" t="str">
        <f t="shared" si="86"/>
        <v>DC</v>
      </c>
      <c r="F199" t="str">
        <f t="shared" si="87"/>
        <v>203745123</v>
      </c>
      <c r="G199" t="str">
        <f>T("617 WARRINGTON AVENUE SE")</f>
        <v>617 WARRINGTON AVENUE SE</v>
      </c>
      <c r="H199" t="str">
        <f>T("")</f>
        <v/>
      </c>
      <c r="I199" t="str">
        <f>T("WASHINGTON NAVY YARD")</f>
        <v>WASHINGTON NAVY YARD</v>
      </c>
      <c r="J199" t="str">
        <f t="shared" si="88"/>
        <v>DC</v>
      </c>
      <c r="K199" t="str">
        <f t="shared" si="89"/>
        <v>2024338475</v>
      </c>
      <c r="L199" t="str">
        <f>T("2024336087")</f>
        <v>2024336087</v>
      </c>
    </row>
    <row r="200" spans="1:12" x14ac:dyDescent="0.35">
      <c r="A200" t="str">
        <f t="shared" si="82"/>
        <v>US NAVY BAND</v>
      </c>
      <c r="B200" t="str">
        <f t="shared" si="83"/>
        <v>617 WARRINGTON AVENUE SE</v>
      </c>
      <c r="C200" t="str">
        <f t="shared" si="84"/>
        <v>WASHINGTON NAVY YARD</v>
      </c>
      <c r="D200" t="str">
        <f t="shared" si="85"/>
        <v>WASHINGTON</v>
      </c>
      <c r="E200" t="str">
        <f t="shared" si="86"/>
        <v>DC</v>
      </c>
      <c r="F200" t="str">
        <f t="shared" si="87"/>
        <v>203745123</v>
      </c>
      <c r="G200" t="str">
        <f>T("617 WARRINGTON AVENUE SE")</f>
        <v>617 WARRINGTON AVENUE SE</v>
      </c>
      <c r="H200" t="str">
        <f>T("WASHINGTON NAVY YARD")</f>
        <v>WASHINGTON NAVY YARD</v>
      </c>
      <c r="I200" t="str">
        <f>T("WASHINGTON")</f>
        <v>WASHINGTON</v>
      </c>
      <c r="J200" t="str">
        <f t="shared" si="88"/>
        <v>DC</v>
      </c>
      <c r="K200" t="str">
        <f t="shared" si="89"/>
        <v>2024338475</v>
      </c>
      <c r="L200" t="str">
        <f>T("2024336087")</f>
        <v>2024336087</v>
      </c>
    </row>
    <row r="201" spans="1:12" x14ac:dyDescent="0.35">
      <c r="A201" t="str">
        <f t="shared" si="82"/>
        <v>US NAVY BAND</v>
      </c>
      <c r="B201" t="str">
        <f t="shared" si="83"/>
        <v>617 WARRINGTON AVENUE SE</v>
      </c>
      <c r="C201" t="str">
        <f t="shared" si="84"/>
        <v>WASHINGTON NAVY YARD</v>
      </c>
      <c r="D201" t="str">
        <f t="shared" si="85"/>
        <v>WASHINGTON</v>
      </c>
      <c r="E201" t="str">
        <f t="shared" si="86"/>
        <v>DC</v>
      </c>
      <c r="F201" t="str">
        <f t="shared" si="87"/>
        <v>203745123</v>
      </c>
      <c r="G201" t="str">
        <f>T("US NAVY BAND")</f>
        <v>US NAVY BAND</v>
      </c>
      <c r="H201" t="str">
        <f>T("617 WARRINGTON AVE SE")</f>
        <v>617 WARRINGTON AVE SE</v>
      </c>
      <c r="I201" t="str">
        <f>T("WASHINGTON")</f>
        <v>WASHINGTON</v>
      </c>
      <c r="J201" t="str">
        <f t="shared" si="88"/>
        <v>DC</v>
      </c>
      <c r="K201" t="str">
        <f t="shared" si="89"/>
        <v>2024338475</v>
      </c>
      <c r="L201" t="str">
        <f>T("2024333638")</f>
        <v>2024333638</v>
      </c>
    </row>
    <row r="202" spans="1:12" x14ac:dyDescent="0.35">
      <c r="A202" t="str">
        <f t="shared" si="82"/>
        <v>US NAVY BAND</v>
      </c>
      <c r="B202" t="str">
        <f t="shared" si="83"/>
        <v>617 WARRINGTON AVENUE SE</v>
      </c>
      <c r="C202" t="str">
        <f t="shared" si="84"/>
        <v>WASHINGTON NAVY YARD</v>
      </c>
      <c r="D202" t="str">
        <f t="shared" si="85"/>
        <v>WASHINGTON</v>
      </c>
      <c r="E202" t="str">
        <f t="shared" si="86"/>
        <v>DC</v>
      </c>
      <c r="F202" t="str">
        <f t="shared" si="87"/>
        <v>203745123</v>
      </c>
      <c r="G202" t="str">
        <f>T("US NAVY BAND")</f>
        <v>US NAVY BAND</v>
      </c>
      <c r="H202" t="str">
        <f>T("617 WARRINGTON AVE SE")</f>
        <v>617 WARRINGTON AVE SE</v>
      </c>
      <c r="I202" t="str">
        <f>T("WASHINGTON NAVY YARD")</f>
        <v>WASHINGTON NAVY YARD</v>
      </c>
      <c r="J202" t="str">
        <f t="shared" si="88"/>
        <v>DC</v>
      </c>
      <c r="K202" t="str">
        <f>T("000000000000000000")</f>
        <v>000000000000000000</v>
      </c>
      <c r="L202" t="str">
        <f>T("2024336087")</f>
        <v>2024336087</v>
      </c>
    </row>
    <row r="203" spans="1:12" x14ac:dyDescent="0.35">
      <c r="A203" t="str">
        <f t="shared" si="82"/>
        <v>US NAVY BAND</v>
      </c>
      <c r="B203" t="str">
        <f t="shared" si="83"/>
        <v>617 WARRINGTON AVENUE SE</v>
      </c>
      <c r="C203" t="str">
        <f t="shared" si="84"/>
        <v>WASHINGTON NAVY YARD</v>
      </c>
      <c r="D203" t="str">
        <f t="shared" si="85"/>
        <v>WASHINGTON</v>
      </c>
      <c r="E203" t="str">
        <f t="shared" si="86"/>
        <v>DC</v>
      </c>
      <c r="F203" t="str">
        <f t="shared" si="87"/>
        <v>203745123</v>
      </c>
      <c r="G203" t="str">
        <f>T("US NAVY BAND")</f>
        <v>US NAVY BAND</v>
      </c>
      <c r="H203" t="str">
        <f>T("617 WARRINGTON AVE SE")</f>
        <v>617 WARRINGTON AVE SE</v>
      </c>
      <c r="I203" t="str">
        <f>T("WASHINGTON NAVY YARD")</f>
        <v>WASHINGTON NAVY YARD</v>
      </c>
      <c r="J203" t="str">
        <f t="shared" si="88"/>
        <v>DC</v>
      </c>
      <c r="K203" t="str">
        <f>T("2024338475")</f>
        <v>2024338475</v>
      </c>
      <c r="L203" t="str">
        <f>T("7039633936")</f>
        <v>7039633936</v>
      </c>
    </row>
    <row r="204" spans="1:12" x14ac:dyDescent="0.35">
      <c r="A204" t="str">
        <f t="shared" si="82"/>
        <v>US NAVY BAND</v>
      </c>
      <c r="B204" t="str">
        <f t="shared" si="83"/>
        <v>617 WARRINGTON AVENUE SE</v>
      </c>
      <c r="C204" t="str">
        <f t="shared" si="84"/>
        <v>WASHINGTON NAVY YARD</v>
      </c>
      <c r="D204" t="str">
        <f t="shared" si="85"/>
        <v>WASHINGTON</v>
      </c>
      <c r="E204" t="str">
        <f t="shared" si="86"/>
        <v>DC</v>
      </c>
      <c r="F204" t="str">
        <f t="shared" si="87"/>
        <v>203745123</v>
      </c>
      <c r="G204" t="str">
        <f>T("US NAVY BAND")</f>
        <v>US NAVY BAND</v>
      </c>
      <c r="H204" t="str">
        <f>T("617 WARRINGTON AVENUE SE")</f>
        <v>617 WARRINGTON AVENUE SE</v>
      </c>
      <c r="I204" t="str">
        <f>T("WASHINGTON NAVY YARD")</f>
        <v>WASHINGTON NAVY YARD</v>
      </c>
      <c r="J204" t="str">
        <f t="shared" si="88"/>
        <v>DC</v>
      </c>
      <c r="K204" t="str">
        <f>T("2024338475")</f>
        <v>2024338475</v>
      </c>
      <c r="L204" t="str">
        <f>T("5127979135")</f>
        <v>5127979135</v>
      </c>
    </row>
    <row r="205" spans="1:12" x14ac:dyDescent="0.35">
      <c r="A205" t="str">
        <f t="shared" ref="A205:A232" si="90">T("NAVY BAND FLEET ACTIVITIES")</f>
        <v>NAVY BAND FLEET ACTIVITIES</v>
      </c>
      <c r="B205" t="str">
        <f>T("1103A HUNLEY ROAD")</f>
        <v>1103A HUNLEY ROAD</v>
      </c>
      <c r="C205" t="str">
        <f>T("")</f>
        <v/>
      </c>
      <c r="D205" t="str">
        <f>T("SILVERDALE")</f>
        <v>SILVERDALE</v>
      </c>
      <c r="E205" t="str">
        <f>T("WA")</f>
        <v>WA</v>
      </c>
      <c r="F205" t="str">
        <f>T("983151102")</f>
        <v>983151102</v>
      </c>
      <c r="G205" t="str">
        <f>T("1103A HUNLEY ROAD")</f>
        <v>1103A HUNLEY ROAD</v>
      </c>
      <c r="H205" t="str">
        <f>T("")</f>
        <v/>
      </c>
      <c r="I205" t="str">
        <f>T("SILVERDALE")</f>
        <v>SILVERDALE</v>
      </c>
      <c r="J205" t="str">
        <f>T("WA")</f>
        <v>WA</v>
      </c>
      <c r="K205" t="str">
        <f>T("3603153457")</f>
        <v>3603153457</v>
      </c>
      <c r="L205" t="str">
        <f>T("3603153452")</f>
        <v>3603153452</v>
      </c>
    </row>
    <row r="206" spans="1:12" x14ac:dyDescent="0.35">
      <c r="A206" t="str">
        <f t="shared" si="90"/>
        <v>NAVY BAND FLEET ACTIVITIES</v>
      </c>
      <c r="B206" t="str">
        <f>T("1103A HUNLEY ROAD")</f>
        <v>1103A HUNLEY ROAD</v>
      </c>
      <c r="C206" t="str">
        <f>T("")</f>
        <v/>
      </c>
      <c r="D206" t="str">
        <f>T("SILVERDALE")</f>
        <v>SILVERDALE</v>
      </c>
      <c r="E206" t="str">
        <f>T("WA")</f>
        <v>WA</v>
      </c>
      <c r="F206" t="str">
        <f>T("983151102")</f>
        <v>983151102</v>
      </c>
      <c r="G206" t="str">
        <f>T("1103A HUNLEY ROAD")</f>
        <v>1103A HUNLEY ROAD</v>
      </c>
      <c r="H206" t="str">
        <f>T("")</f>
        <v/>
      </c>
      <c r="I206" t="str">
        <f>T("SILVERDALE")</f>
        <v>SILVERDALE</v>
      </c>
      <c r="J206" t="str">
        <f>T("WA")</f>
        <v>WA</v>
      </c>
      <c r="K206" t="str">
        <f>T("3603154561")</f>
        <v>3603154561</v>
      </c>
      <c r="L206" t="str">
        <f>T("3603153456")</f>
        <v>3603153456</v>
      </c>
    </row>
    <row r="207" spans="1:12" x14ac:dyDescent="0.35">
      <c r="A207" t="str">
        <f t="shared" si="90"/>
        <v>NAVY BAND FLEET ACTIVITIES</v>
      </c>
      <c r="B207" t="str">
        <f>T("2815 BARRY PLACE")</f>
        <v>2815 BARRY PLACE</v>
      </c>
      <c r="C207" t="str">
        <f>T("BLDG 150")</f>
        <v>BLDG 150</v>
      </c>
      <c r="D207" t="str">
        <f>T("GREAT LAKES")</f>
        <v>GREAT LAKES</v>
      </c>
      <c r="E207" t="str">
        <f>T("IL")</f>
        <v>IL</v>
      </c>
      <c r="F207" t="str">
        <f>T("600882816")</f>
        <v>600882816</v>
      </c>
      <c r="G207" t="str">
        <f>T("2815 BARRY PLACE")</f>
        <v>2815 BARRY PLACE</v>
      </c>
      <c r="H207" t="str">
        <f>T("BLDG 150")</f>
        <v>BLDG 150</v>
      </c>
      <c r="I207" t="str">
        <f>T("GREAT LAKES")</f>
        <v>GREAT LAKES</v>
      </c>
      <c r="J207" t="str">
        <f>T("IL")</f>
        <v>IL</v>
      </c>
      <c r="K207" t="str">
        <f>T("8476883796")</f>
        <v>8476883796</v>
      </c>
      <c r="L207" t="str">
        <f>T("8476884760")</f>
        <v>8476884760</v>
      </c>
    </row>
    <row r="208" spans="1:12" x14ac:dyDescent="0.35">
      <c r="A208" t="str">
        <f t="shared" si="90"/>
        <v>NAVY BAND FLEET ACTIVITIES</v>
      </c>
      <c r="B208" t="str">
        <f>T("2815 BARRY PLACE")</f>
        <v>2815 BARRY PLACE</v>
      </c>
      <c r="C208" t="str">
        <f>T("BLDG 150")</f>
        <v>BLDG 150</v>
      </c>
      <c r="D208" t="str">
        <f>T("GREAT LAKES")</f>
        <v>GREAT LAKES</v>
      </c>
      <c r="E208" t="str">
        <f>T("IL")</f>
        <v>IL</v>
      </c>
      <c r="F208" t="str">
        <f>T("600882816")</f>
        <v>600882816</v>
      </c>
      <c r="G208" t="str">
        <f>T("2815 BARRY PLACE")</f>
        <v>2815 BARRY PLACE</v>
      </c>
      <c r="H208" t="str">
        <f>T("BUILDING 150")</f>
        <v>BUILDING 150</v>
      </c>
      <c r="I208" t="str">
        <f>T("GREAT LAKES")</f>
        <v>GREAT LAKES</v>
      </c>
      <c r="J208" t="str">
        <f>T("IL")</f>
        <v>IL</v>
      </c>
      <c r="K208" t="str">
        <f>T("8476883798")</f>
        <v>8476883798</v>
      </c>
      <c r="L208" t="str">
        <f>T("8476884760")</f>
        <v>8476884760</v>
      </c>
    </row>
    <row r="209" spans="1:12" x14ac:dyDescent="0.35">
      <c r="A209" t="str">
        <f t="shared" si="90"/>
        <v>NAVY BAND FLEET ACTIVITIES</v>
      </c>
      <c r="B209" t="str">
        <f>T("347 EASTON STREET")</f>
        <v>347 EASTON STREET</v>
      </c>
      <c r="C209" t="str">
        <f t="shared" ref="C209:C221" si="91">T("")</f>
        <v/>
      </c>
      <c r="D209" t="str">
        <f>T("NEWPORT")</f>
        <v>NEWPORT</v>
      </c>
      <c r="E209" t="str">
        <f>T("RI")</f>
        <v>RI</v>
      </c>
      <c r="F209" t="str">
        <f>T("028411503")</f>
        <v>028411503</v>
      </c>
      <c r="G209" t="str">
        <f>T("347 EASTON STREET")</f>
        <v>347 EASTON STREET</v>
      </c>
      <c r="H209" t="str">
        <f>T("")</f>
        <v/>
      </c>
      <c r="I209" t="str">
        <f>T("NEWPORT")</f>
        <v>NEWPORT</v>
      </c>
      <c r="J209" t="str">
        <f>T("RI")</f>
        <v>RI</v>
      </c>
      <c r="K209" t="str">
        <f>T("401-841-4561")</f>
        <v>401-841-4561</v>
      </c>
      <c r="L209" t="str">
        <f>T("4018414127")</f>
        <v>4018414127</v>
      </c>
    </row>
    <row r="210" spans="1:12" x14ac:dyDescent="0.35">
      <c r="A210" t="str">
        <f t="shared" si="90"/>
        <v>NAVY BAND FLEET ACTIVITIES</v>
      </c>
      <c r="B210" t="str">
        <f>T("347 EASTON STREET")</f>
        <v>347 EASTON STREET</v>
      </c>
      <c r="C210" t="str">
        <f t="shared" si="91"/>
        <v/>
      </c>
      <c r="D210" t="str">
        <f>T("NEWPORT")</f>
        <v>NEWPORT</v>
      </c>
      <c r="E210" t="str">
        <f>T("RI")</f>
        <v>RI</v>
      </c>
      <c r="F210" t="str">
        <f>T("028411503")</f>
        <v>028411503</v>
      </c>
      <c r="G210" t="str">
        <f>T("347 EASTON STREET")</f>
        <v>347 EASTON STREET</v>
      </c>
      <c r="H210" t="str">
        <f>T("")</f>
        <v/>
      </c>
      <c r="I210" t="str">
        <f>T("NEWPORT")</f>
        <v>NEWPORT</v>
      </c>
      <c r="J210" t="str">
        <f>T("RI")</f>
        <v>RI</v>
      </c>
      <c r="K210" t="str">
        <f>T("4018414561")</f>
        <v>4018414561</v>
      </c>
      <c r="L210" t="str">
        <f>T("4018417006")</f>
        <v>4018417006</v>
      </c>
    </row>
    <row r="211" spans="1:12" x14ac:dyDescent="0.35">
      <c r="A211" t="str">
        <f t="shared" si="90"/>
        <v>NAVY BAND FLEET ACTIVITIES</v>
      </c>
      <c r="B211" t="str">
        <f t="shared" ref="B211:B218" si="92">T("370 8TH STREET")</f>
        <v>370 8TH STREET</v>
      </c>
      <c r="C211" t="str">
        <f t="shared" si="91"/>
        <v/>
      </c>
      <c r="D211" t="str">
        <f>T("NORFOLK")</f>
        <v>NORFOLK</v>
      </c>
      <c r="E211" t="str">
        <f>T("VA")</f>
        <v>VA</v>
      </c>
      <c r="F211" t="str">
        <f>T("235114217")</f>
        <v>235114217</v>
      </c>
      <c r="G211" t="str">
        <f>T("370 8T STREET")</f>
        <v>370 8T STREET</v>
      </c>
      <c r="H211" t="str">
        <f>T("")</f>
        <v/>
      </c>
      <c r="I211" t="str">
        <f>T("NORFOLK")</f>
        <v>NORFOLK</v>
      </c>
      <c r="J211" t="str">
        <f>T("VA")</f>
        <v>VA</v>
      </c>
      <c r="K211" t="str">
        <f>T("7574446650")</f>
        <v>7574446650</v>
      </c>
      <c r="L211" t="str">
        <f>T("7574441957")</f>
        <v>7574441957</v>
      </c>
    </row>
    <row r="212" spans="1:12" x14ac:dyDescent="0.35">
      <c r="A212" t="str">
        <f t="shared" si="90"/>
        <v>NAVY BAND FLEET ACTIVITIES</v>
      </c>
      <c r="B212" t="str">
        <f t="shared" si="92"/>
        <v>370 8TH STREET</v>
      </c>
      <c r="C212" t="str">
        <f t="shared" si="91"/>
        <v/>
      </c>
      <c r="D212" t="str">
        <f>T("NORFOLK")</f>
        <v>NORFOLK</v>
      </c>
      <c r="E212" t="str">
        <f>T("VA")</f>
        <v>VA</v>
      </c>
      <c r="F212" t="str">
        <f>T("235114217")</f>
        <v>235114217</v>
      </c>
      <c r="G212" t="str">
        <f>T("370 8TH AVENUE")</f>
        <v>370 8TH AVENUE</v>
      </c>
      <c r="H212" t="str">
        <f>T("")</f>
        <v/>
      </c>
      <c r="I212" t="str">
        <f>T("NORFOLK")</f>
        <v>NORFOLK</v>
      </c>
      <c r="J212" t="str">
        <f>T("VA")</f>
        <v>VA</v>
      </c>
      <c r="K212" t="str">
        <f>T("7574446650")</f>
        <v>7574446650</v>
      </c>
      <c r="L212" t="str">
        <f>T("7574441957")</f>
        <v>7574441957</v>
      </c>
    </row>
    <row r="213" spans="1:12" x14ac:dyDescent="0.35">
      <c r="A213" t="str">
        <f t="shared" si="90"/>
        <v>NAVY BAND FLEET ACTIVITIES</v>
      </c>
      <c r="B213" t="str">
        <f t="shared" si="92"/>
        <v>370 8TH STREET</v>
      </c>
      <c r="C213" t="str">
        <f t="shared" si="91"/>
        <v/>
      </c>
      <c r="D213" t="str">
        <f>T("NORFOLK")</f>
        <v>NORFOLK</v>
      </c>
      <c r="E213" t="str">
        <f>T("VA")</f>
        <v>VA</v>
      </c>
      <c r="F213" t="str">
        <f>T("235114217")</f>
        <v>235114217</v>
      </c>
      <c r="G213" t="str">
        <f>T("370 8TH STREET")</f>
        <v>370 8TH STREET</v>
      </c>
      <c r="H213" t="str">
        <f>T("")</f>
        <v/>
      </c>
      <c r="I213" t="str">
        <f>T("NORFOLK")</f>
        <v>NORFOLK</v>
      </c>
      <c r="J213" t="str">
        <f>T("VA")</f>
        <v>VA</v>
      </c>
      <c r="K213" t="str">
        <f>T("7575646650")</f>
        <v>7575646650</v>
      </c>
      <c r="L213" t="str">
        <f>T("7574450937")</f>
        <v>7574450937</v>
      </c>
    </row>
    <row r="214" spans="1:12" x14ac:dyDescent="0.35">
      <c r="A214" t="str">
        <f t="shared" si="90"/>
        <v>NAVY BAND FLEET ACTIVITIES</v>
      </c>
      <c r="B214" t="str">
        <f t="shared" si="92"/>
        <v>370 8TH STREET</v>
      </c>
      <c r="C214" t="str">
        <f t="shared" si="91"/>
        <v/>
      </c>
      <c r="D214" t="str">
        <f>T("NORFOLK")</f>
        <v>NORFOLK</v>
      </c>
      <c r="E214" t="str">
        <f>T("VA")</f>
        <v>VA</v>
      </c>
      <c r="F214" t="str">
        <f>T("235114217")</f>
        <v>235114217</v>
      </c>
      <c r="G214" t="str">
        <f>T("US FLEET FORCES BAND")</f>
        <v>US FLEET FORCES BAND</v>
      </c>
      <c r="H214" t="str">
        <f>T("370 8TH ST")</f>
        <v>370 8TH ST</v>
      </c>
      <c r="I214" t="str">
        <f>T("NORFOLK")</f>
        <v>NORFOLK</v>
      </c>
      <c r="J214" t="str">
        <f>T("VA")</f>
        <v>VA</v>
      </c>
      <c r="K214" t="str">
        <f>T("7474446650")</f>
        <v>7474446650</v>
      </c>
      <c r="L214" t="str">
        <f>T("7574441957")</f>
        <v>7574441957</v>
      </c>
    </row>
    <row r="215" spans="1:12" x14ac:dyDescent="0.35">
      <c r="A215" t="str">
        <f t="shared" si="90"/>
        <v>NAVY BAND FLEET ACTIVITIES</v>
      </c>
      <c r="B215" t="str">
        <f t="shared" si="92"/>
        <v>370 8TH STREET</v>
      </c>
      <c r="C215" t="str">
        <f t="shared" si="91"/>
        <v/>
      </c>
      <c r="D215" t="str">
        <f>T("SAN DIEGO")</f>
        <v>SAN DIEGO</v>
      </c>
      <c r="E215" t="str">
        <f>T("CA")</f>
        <v>CA</v>
      </c>
      <c r="F215" t="str">
        <f>T("921360001")</f>
        <v>921360001</v>
      </c>
      <c r="G215" t="str">
        <f>T("3320 NORMAN SCOTT RD STE 1")</f>
        <v>3320 NORMAN SCOTT RD STE 1</v>
      </c>
      <c r="H215" t="str">
        <f>T("")</f>
        <v/>
      </c>
      <c r="I215" t="str">
        <f>T("SAN DIEGO")</f>
        <v>SAN DIEGO</v>
      </c>
      <c r="J215" t="str">
        <f>T("CA")</f>
        <v>CA</v>
      </c>
      <c r="K215" t="str">
        <f>T("6195566960")</f>
        <v>6195566960</v>
      </c>
      <c r="L215" t="str">
        <f>T("6195567011")</f>
        <v>6195567011</v>
      </c>
    </row>
    <row r="216" spans="1:12" x14ac:dyDescent="0.35">
      <c r="A216" t="str">
        <f t="shared" si="90"/>
        <v>NAVY BAND FLEET ACTIVITIES</v>
      </c>
      <c r="B216" t="str">
        <f t="shared" si="92"/>
        <v>370 8TH STREET</v>
      </c>
      <c r="C216" t="str">
        <f t="shared" si="91"/>
        <v/>
      </c>
      <c r="D216" t="str">
        <f>T("SAN DIEGO")</f>
        <v>SAN DIEGO</v>
      </c>
      <c r="E216" t="str">
        <f>T("CA")</f>
        <v>CA</v>
      </c>
      <c r="F216" t="str">
        <f>T("921360001")</f>
        <v>921360001</v>
      </c>
      <c r="G216" t="str">
        <f>T("3320 NORMAN SCOTT ROAD")</f>
        <v>3320 NORMAN SCOTT ROAD</v>
      </c>
      <c r="H216" t="str">
        <f>T("SUITE 1")</f>
        <v>SUITE 1</v>
      </c>
      <c r="I216" t="str">
        <f>T("SAN DIEGO")</f>
        <v>SAN DIEGO</v>
      </c>
      <c r="J216" t="str">
        <f>T("CA")</f>
        <v>CA</v>
      </c>
      <c r="K216" t="str">
        <f>T("000000000000000000")</f>
        <v>000000000000000000</v>
      </c>
      <c r="L216" t="str">
        <f>T("6195567011")</f>
        <v>6195567011</v>
      </c>
    </row>
    <row r="217" spans="1:12" x14ac:dyDescent="0.35">
      <c r="A217" t="str">
        <f t="shared" si="90"/>
        <v>NAVY BAND FLEET ACTIVITIES</v>
      </c>
      <c r="B217" t="str">
        <f t="shared" si="92"/>
        <v>370 8TH STREET</v>
      </c>
      <c r="C217" t="str">
        <f t="shared" si="91"/>
        <v/>
      </c>
      <c r="D217" t="str">
        <f>T("SAN DIEGO")</f>
        <v>SAN DIEGO</v>
      </c>
      <c r="E217" t="str">
        <f>T("CA")</f>
        <v>CA</v>
      </c>
      <c r="F217" t="str">
        <f>T("921360001")</f>
        <v>921360001</v>
      </c>
      <c r="G217" t="str">
        <f>T("3320 NORMAN SCOTT ROAD")</f>
        <v>3320 NORMAN SCOTT ROAD</v>
      </c>
      <c r="H217" t="str">
        <f>T("SUITE 1")</f>
        <v>SUITE 1</v>
      </c>
      <c r="I217" t="str">
        <f>T("SAN DIEGO")</f>
        <v>SAN DIEGO</v>
      </c>
      <c r="J217" t="str">
        <f>T("CA")</f>
        <v>CA</v>
      </c>
      <c r="K217" t="str">
        <f>T("6195566960")</f>
        <v>6195566960</v>
      </c>
      <c r="L217" t="str">
        <f>T("6195567011")</f>
        <v>6195567011</v>
      </c>
    </row>
    <row r="218" spans="1:12" x14ac:dyDescent="0.35">
      <c r="A218" t="str">
        <f t="shared" si="90"/>
        <v>NAVY BAND FLEET ACTIVITIES</v>
      </c>
      <c r="B218" t="str">
        <f t="shared" si="92"/>
        <v>370 8TH STREET</v>
      </c>
      <c r="C218" t="str">
        <f t="shared" si="91"/>
        <v/>
      </c>
      <c r="D218" t="str">
        <f>T("SAN DIEGO")</f>
        <v>SAN DIEGO</v>
      </c>
      <c r="E218" t="str">
        <f>T("CA")</f>
        <v>CA</v>
      </c>
      <c r="F218" t="str">
        <f>T("921360001")</f>
        <v>921360001</v>
      </c>
      <c r="G218" t="str">
        <f>T("370 8TH STREET")</f>
        <v>370 8TH STREET</v>
      </c>
      <c r="H218" t="str">
        <f>T("")</f>
        <v/>
      </c>
      <c r="I218" t="str">
        <f>T("SAN DIEGO")</f>
        <v>SAN DIEGO</v>
      </c>
      <c r="J218" t="str">
        <f>T("CA")</f>
        <v>CA</v>
      </c>
      <c r="K218" t="str">
        <f>T("6195566960")</f>
        <v>6195566960</v>
      </c>
      <c r="L218" t="str">
        <f>T("6195567103")</f>
        <v>6195567103</v>
      </c>
    </row>
    <row r="219" spans="1:12" x14ac:dyDescent="0.35">
      <c r="A219" t="str">
        <f t="shared" si="90"/>
        <v>NAVY BAND FLEET ACTIVITIES</v>
      </c>
      <c r="B219" t="str">
        <f>T("380 NEVILLE WAY")</f>
        <v>380 NEVILLE WAY</v>
      </c>
      <c r="C219" t="str">
        <f t="shared" si="91"/>
        <v/>
      </c>
      <c r="D219" t="str">
        <f>T("JBPHH")</f>
        <v>JBPHH</v>
      </c>
      <c r="E219" t="str">
        <f>T("HI")</f>
        <v>HI</v>
      </c>
      <c r="F219" t="str">
        <f>T("968604910")</f>
        <v>968604910</v>
      </c>
      <c r="G219" t="str">
        <f>T("380 NEVILLE WAY")</f>
        <v>380 NEVILLE WAY</v>
      </c>
      <c r="H219" t="str">
        <f>T("")</f>
        <v/>
      </c>
      <c r="I219" t="str">
        <f>T("JBPHH")</f>
        <v>JBPHH</v>
      </c>
      <c r="J219" t="str">
        <f>T("HI")</f>
        <v>HI</v>
      </c>
      <c r="K219" t="str">
        <f>T("000000000000000000")</f>
        <v>000000000000000000</v>
      </c>
      <c r="L219" t="str">
        <f>T("8084744690")</f>
        <v>8084744690</v>
      </c>
    </row>
    <row r="220" spans="1:12" x14ac:dyDescent="0.35">
      <c r="A220" t="str">
        <f t="shared" si="90"/>
        <v>NAVY BAND FLEET ACTIVITIES</v>
      </c>
      <c r="B220" t="str">
        <f>T("380 NEVILLE WAY")</f>
        <v>380 NEVILLE WAY</v>
      </c>
      <c r="C220" t="str">
        <f t="shared" si="91"/>
        <v/>
      </c>
      <c r="D220" t="str">
        <f>T("JBPHH")</f>
        <v>JBPHH</v>
      </c>
      <c r="E220" t="str">
        <f>T("HI")</f>
        <v>HI</v>
      </c>
      <c r="F220" t="str">
        <f>T("968604910")</f>
        <v>968604910</v>
      </c>
      <c r="G220" t="str">
        <f>T("380 NEVILLE WAY")</f>
        <v>380 NEVILLE WAY</v>
      </c>
      <c r="H220" t="str">
        <f>T("")</f>
        <v/>
      </c>
      <c r="I220" t="str">
        <f>T("JBPHH")</f>
        <v>JBPHH</v>
      </c>
      <c r="J220" t="str">
        <f>T("HI")</f>
        <v>HI</v>
      </c>
      <c r="K220" t="str">
        <f>T("8084744689")</f>
        <v>8084744689</v>
      </c>
      <c r="L220" t="str">
        <f>T("8084742480")</f>
        <v>8084742480</v>
      </c>
    </row>
    <row r="221" spans="1:12" x14ac:dyDescent="0.35">
      <c r="A221" t="str">
        <f t="shared" si="90"/>
        <v>NAVY BAND FLEET ACTIVITIES</v>
      </c>
      <c r="B221" t="str">
        <f>T("380 NEVILLE WAY")</f>
        <v>380 NEVILLE WAY</v>
      </c>
      <c r="C221" t="str">
        <f t="shared" si="91"/>
        <v/>
      </c>
      <c r="D221" t="str">
        <f>T("JBPHH")</f>
        <v>JBPHH</v>
      </c>
      <c r="E221" t="str">
        <f>T("HI")</f>
        <v>HI</v>
      </c>
      <c r="F221" t="str">
        <f>T("968604910")</f>
        <v>968604910</v>
      </c>
      <c r="G221" t="str">
        <f>T("380 NEVILLE WAY")</f>
        <v>380 NEVILLE WAY</v>
      </c>
      <c r="H221" t="str">
        <f>T("")</f>
        <v/>
      </c>
      <c r="I221" t="str">
        <f>T("PEARL HARBOR")</f>
        <v>PEARL HARBOR</v>
      </c>
      <c r="J221" t="str">
        <f>T("HI")</f>
        <v>HI</v>
      </c>
      <c r="K221" t="str">
        <f>T("8084744689")</f>
        <v>8084744689</v>
      </c>
      <c r="L221" t="str">
        <f>T("8084744151")</f>
        <v>8084744151</v>
      </c>
    </row>
    <row r="222" spans="1:12" x14ac:dyDescent="0.35">
      <c r="A222" t="str">
        <f t="shared" si="90"/>
        <v>NAVY BAND FLEET ACTIVITIES</v>
      </c>
      <c r="B222" t="str">
        <f>T("5722 INTEGRITY DRIVE")</f>
        <v>5722 INTEGRITY DRIVE</v>
      </c>
      <c r="C222" t="str">
        <f>T("BLDG 780")</f>
        <v>BLDG 780</v>
      </c>
      <c r="D222" t="str">
        <f>T("MILLINGTON")</f>
        <v>MILLINGTON</v>
      </c>
      <c r="E222" t="str">
        <f>T("TN")</f>
        <v>TN</v>
      </c>
      <c r="F222" t="str">
        <f>T("380545028")</f>
        <v>380545028</v>
      </c>
      <c r="G222" t="str">
        <f>T("5722 INTEGRITY DR BLDG 780")</f>
        <v>5722 INTEGRITY DR BLDG 780</v>
      </c>
      <c r="H222" t="str">
        <f>T("NSA MILLINGTON")</f>
        <v>NSA MILLINGTON</v>
      </c>
      <c r="I222" t="str">
        <f>T("MILLINGTON")</f>
        <v>MILLINGTON</v>
      </c>
      <c r="J222" t="str">
        <f>T("TN")</f>
        <v>TN</v>
      </c>
      <c r="K222" t="str">
        <f>T("9018742614")</f>
        <v>9018742614</v>
      </c>
      <c r="L222" t="str">
        <f>T("9018744315")</f>
        <v>9018744315</v>
      </c>
    </row>
    <row r="223" spans="1:12" x14ac:dyDescent="0.35">
      <c r="A223" t="str">
        <f t="shared" si="90"/>
        <v>NAVY BAND FLEET ACTIVITIES</v>
      </c>
      <c r="B223" t="str">
        <f>T("5722 INTEGRITY DRIVE")</f>
        <v>5722 INTEGRITY DRIVE</v>
      </c>
      <c r="C223" t="str">
        <f>T("BLDG 780")</f>
        <v>BLDG 780</v>
      </c>
      <c r="D223" t="str">
        <f>T("MILLINGTON")</f>
        <v>MILLINGTON</v>
      </c>
      <c r="E223" t="str">
        <f>T("TN")</f>
        <v>TN</v>
      </c>
      <c r="F223" t="str">
        <f>T("380545028")</f>
        <v>380545028</v>
      </c>
      <c r="G223" t="str">
        <f>T("5722 INTEGRITY DR BLDG 780")</f>
        <v>5722 INTEGRITY DR BLDG 780</v>
      </c>
      <c r="H223" t="str">
        <f>T("NSA MILLINGTON")</f>
        <v>NSA MILLINGTON</v>
      </c>
      <c r="I223" t="str">
        <f>T("MILLINGTON")</f>
        <v>MILLINGTON</v>
      </c>
      <c r="J223" t="str">
        <f>T("TN")</f>
        <v>TN</v>
      </c>
      <c r="K223" t="str">
        <f>T("9018742614")</f>
        <v>9018742614</v>
      </c>
      <c r="L223" t="str">
        <f>T("9018745762")</f>
        <v>9018745762</v>
      </c>
    </row>
    <row r="224" spans="1:12" x14ac:dyDescent="0.35">
      <c r="A224" t="str">
        <f t="shared" si="90"/>
        <v>NAVY BAND FLEET ACTIVITIES</v>
      </c>
      <c r="B224" t="str">
        <f>T("5722 INTEGRITY DRIVE")</f>
        <v>5722 INTEGRITY DRIVE</v>
      </c>
      <c r="C224" t="str">
        <f>T("BLDG 780")</f>
        <v>BLDG 780</v>
      </c>
      <c r="D224" t="str">
        <f>T("MILLINGTON")</f>
        <v>MILLINGTON</v>
      </c>
      <c r="E224" t="str">
        <f>T("TN")</f>
        <v>TN</v>
      </c>
      <c r="F224" t="str">
        <f>T("380545028")</f>
        <v>380545028</v>
      </c>
      <c r="G224" t="str">
        <f>T("5722 INTEGRITY DRIVE")</f>
        <v>5722 INTEGRITY DRIVE</v>
      </c>
      <c r="H224" t="str">
        <f>T("BLDG 780")</f>
        <v>BLDG 780</v>
      </c>
      <c r="I224" t="str">
        <f>T("MILLINGTON")</f>
        <v>MILLINGTON</v>
      </c>
      <c r="J224" t="str">
        <f>T("TN")</f>
        <v>TN</v>
      </c>
      <c r="K224" t="str">
        <f>T("9018742619")</f>
        <v>9018742619</v>
      </c>
      <c r="L224" t="str">
        <f>T("9018744314")</f>
        <v>9018744314</v>
      </c>
    </row>
    <row r="225" spans="1:12" x14ac:dyDescent="0.35">
      <c r="A225" t="str">
        <f t="shared" si="90"/>
        <v>NAVY BAND FLEET ACTIVITIES</v>
      </c>
      <c r="B225" t="str">
        <f>T("6801 ROOSEVELT AVE BLDG 12")</f>
        <v>6801 ROOSEVELT AVE BLDG 12</v>
      </c>
      <c r="C225" t="str">
        <f>T("NAVAL AIR STATION JACKSONVILLE")</f>
        <v>NAVAL AIR STATION JACKSONVILLE</v>
      </c>
      <c r="D225" t="str">
        <f>T("JACKSONVILLE")</f>
        <v>JACKSONVILLE</v>
      </c>
      <c r="E225" t="str">
        <f>T("FL")</f>
        <v>FL</v>
      </c>
      <c r="F225" t="str">
        <f>T("322121192")</f>
        <v>322121192</v>
      </c>
      <c r="G225" t="str">
        <f>T("6801 ROOSEVELT AVE")</f>
        <v>6801 ROOSEVELT AVE</v>
      </c>
      <c r="H225" t="str">
        <f>T("BUILDING 12")</f>
        <v>BUILDING 12</v>
      </c>
      <c r="I225" t="str">
        <f>T("JACKSONVILLE")</f>
        <v>JACKSONVILLE</v>
      </c>
      <c r="J225" t="str">
        <f>T("FL")</f>
        <v>FL</v>
      </c>
      <c r="K225" t="str">
        <f>T("9045425676")</f>
        <v>9045425676</v>
      </c>
      <c r="L225" t="str">
        <f>T("9045428062")</f>
        <v>9045428062</v>
      </c>
    </row>
    <row r="226" spans="1:12" x14ac:dyDescent="0.35">
      <c r="A226" t="str">
        <f t="shared" si="90"/>
        <v>NAVY BAND FLEET ACTIVITIES</v>
      </c>
      <c r="B226" t="str">
        <f>T("6801 ROOSEVELT AVE BLDG 12")</f>
        <v>6801 ROOSEVELT AVE BLDG 12</v>
      </c>
      <c r="C226" t="str">
        <f>T("NAVAL AIR STATION JACKSONVILLE")</f>
        <v>NAVAL AIR STATION JACKSONVILLE</v>
      </c>
      <c r="D226" t="str">
        <f>T("JACKSONVILLE")</f>
        <v>JACKSONVILLE</v>
      </c>
      <c r="E226" t="str">
        <f>T("FL")</f>
        <v>FL</v>
      </c>
      <c r="F226" t="str">
        <f>T("322121192")</f>
        <v>322121192</v>
      </c>
      <c r="G226" t="str">
        <f>T("6801 ROOSEVELT AVE BLDG 12")</f>
        <v>6801 ROOSEVELT AVE BLDG 12</v>
      </c>
      <c r="H226" t="str">
        <f>T("NAVAL AIR STATION JACKSONVILLE")</f>
        <v>NAVAL AIR STATION JACKSONVILLE</v>
      </c>
      <c r="I226" t="str">
        <f>T("JACKSONVILLE")</f>
        <v>JACKSONVILLE</v>
      </c>
      <c r="J226" t="str">
        <f>T("FL")</f>
        <v>FL</v>
      </c>
      <c r="K226" t="str">
        <f>T("9045425676")</f>
        <v>9045425676</v>
      </c>
      <c r="L226" t="str">
        <f>T("9045428063")</f>
        <v>9045428063</v>
      </c>
    </row>
    <row r="227" spans="1:12" x14ac:dyDescent="0.35">
      <c r="A227" t="str">
        <f t="shared" si="90"/>
        <v>NAVY BAND FLEET ACTIVITIES</v>
      </c>
      <c r="B227" t="str">
        <f>T("PSC 473 BOX 86")</f>
        <v>PSC 473 BOX 86</v>
      </c>
      <c r="C227" t="str">
        <f t="shared" ref="C227:C232" si="93">T("")</f>
        <v/>
      </c>
      <c r="D227" t="str">
        <f t="shared" ref="D227:D232" si="94">T("FPO")</f>
        <v>FPO</v>
      </c>
      <c r="E227" t="str">
        <f>T("AP")</f>
        <v>AP</v>
      </c>
      <c r="F227" t="str">
        <f>T("963490001")</f>
        <v>963490001</v>
      </c>
      <c r="G227" t="str">
        <f>T("PSC 473 BOX 86")</f>
        <v>PSC 473 BOX 86</v>
      </c>
      <c r="H227" t="str">
        <f t="shared" ref="H227:H232" si="95">T("")</f>
        <v/>
      </c>
      <c r="I227" t="str">
        <f t="shared" ref="I227:I232" si="96">T("FPO")</f>
        <v>FPO</v>
      </c>
      <c r="J227" t="str">
        <f>T("AP")</f>
        <v>AP</v>
      </c>
      <c r="K227" t="str">
        <f>T("011814686979")</f>
        <v>011814686979</v>
      </c>
      <c r="L227" t="str">
        <f>T("1111111111")</f>
        <v>1111111111</v>
      </c>
    </row>
    <row r="228" spans="1:12" x14ac:dyDescent="0.35">
      <c r="A228" t="str">
        <f t="shared" si="90"/>
        <v>NAVY BAND FLEET ACTIVITIES</v>
      </c>
      <c r="B228" t="str">
        <f>T("PSC 473 BOX 86")</f>
        <v>PSC 473 BOX 86</v>
      </c>
      <c r="C228" t="str">
        <f t="shared" si="93"/>
        <v/>
      </c>
      <c r="D228" t="str">
        <f t="shared" si="94"/>
        <v>FPO</v>
      </c>
      <c r="E228" t="str">
        <f>T("AP")</f>
        <v>AP</v>
      </c>
      <c r="F228" t="str">
        <f>T("963490001")</f>
        <v>963490001</v>
      </c>
      <c r="G228" t="str">
        <f>T("PSC 473 BOX 86")</f>
        <v>PSC 473 BOX 86</v>
      </c>
      <c r="H228" t="str">
        <f t="shared" si="95"/>
        <v/>
      </c>
      <c r="I228" t="str">
        <f t="shared" si="96"/>
        <v>FPO</v>
      </c>
      <c r="J228" t="str">
        <f>T("AP")</f>
        <v>AP</v>
      </c>
      <c r="K228" t="str">
        <f>T("3152437850")</f>
        <v>3152437850</v>
      </c>
      <c r="L228" t="str">
        <f>T("3152436974")</f>
        <v>3152436974</v>
      </c>
    </row>
    <row r="229" spans="1:12" x14ac:dyDescent="0.35">
      <c r="A229" t="str">
        <f t="shared" si="90"/>
        <v>NAVY BAND FLEET ACTIVITIES</v>
      </c>
      <c r="B229" t="str">
        <f>T("PSC 473 BOX 86")</f>
        <v>PSC 473 BOX 86</v>
      </c>
      <c r="C229" t="str">
        <f t="shared" si="93"/>
        <v/>
      </c>
      <c r="D229" t="str">
        <f t="shared" si="94"/>
        <v>FPO</v>
      </c>
      <c r="E229" t="str">
        <f>T("AP")</f>
        <v>AP</v>
      </c>
      <c r="F229" t="str">
        <f>T("963490001")</f>
        <v>963490001</v>
      </c>
      <c r="G229" t="str">
        <f>T("PSC 473 BOX 86")</f>
        <v>PSC 473 BOX 86</v>
      </c>
      <c r="H229" t="str">
        <f t="shared" si="95"/>
        <v/>
      </c>
      <c r="I229" t="str">
        <f t="shared" si="96"/>
        <v>FPO</v>
      </c>
      <c r="J229" t="str">
        <f>T("AP")</f>
        <v>AP</v>
      </c>
      <c r="K229" t="str">
        <f>T("3152437850")</f>
        <v>3152437850</v>
      </c>
      <c r="L229" t="str">
        <f>T("3152436979")</f>
        <v>3152436979</v>
      </c>
    </row>
    <row r="230" spans="1:12" x14ac:dyDescent="0.35">
      <c r="A230" t="str">
        <f t="shared" si="90"/>
        <v>NAVY BAND FLEET ACTIVITIES</v>
      </c>
      <c r="B230" t="str">
        <f>T("PSC 817 BOX 47")</f>
        <v>PSC 817 BOX 47</v>
      </c>
      <c r="C230" t="str">
        <f t="shared" si="93"/>
        <v/>
      </c>
      <c r="D230" t="str">
        <f t="shared" si="94"/>
        <v>FPO</v>
      </c>
      <c r="E230" t="str">
        <f>T("AE")</f>
        <v>AE</v>
      </c>
      <c r="F230" t="str">
        <f>T("096220001")</f>
        <v>096220001</v>
      </c>
      <c r="G230" t="str">
        <f>T("PSC 817 BOX 47")</f>
        <v>PSC 817 BOX 47</v>
      </c>
      <c r="H230" t="str">
        <f t="shared" si="95"/>
        <v/>
      </c>
      <c r="I230" t="str">
        <f t="shared" si="96"/>
        <v>FPO</v>
      </c>
      <c r="J230" t="str">
        <f>T("AE")</f>
        <v>AE</v>
      </c>
      <c r="K230" t="str">
        <f>T("011390815686725")</f>
        <v>011390815686725</v>
      </c>
      <c r="L230" t="str">
        <f>T("1111111111")</f>
        <v>1111111111</v>
      </c>
    </row>
    <row r="231" spans="1:12" x14ac:dyDescent="0.35">
      <c r="A231" t="str">
        <f t="shared" si="90"/>
        <v>NAVY BAND FLEET ACTIVITIES</v>
      </c>
      <c r="B231" t="str">
        <f>T("PSC 817 BOX 47")</f>
        <v>PSC 817 BOX 47</v>
      </c>
      <c r="C231" t="str">
        <f t="shared" si="93"/>
        <v/>
      </c>
      <c r="D231" t="str">
        <f t="shared" si="94"/>
        <v>FPO</v>
      </c>
      <c r="E231" t="str">
        <f>T("AE")</f>
        <v>AE</v>
      </c>
      <c r="F231" t="str">
        <f>T("096220001")</f>
        <v>096220001</v>
      </c>
      <c r="G231" t="str">
        <f>T("PSC 817 BOX 47")</f>
        <v>PSC 817 BOX 47</v>
      </c>
      <c r="H231" t="str">
        <f t="shared" si="95"/>
        <v/>
      </c>
      <c r="I231" t="str">
        <f t="shared" si="96"/>
        <v>FPO</v>
      </c>
      <c r="J231" t="str">
        <f>T("AE")</f>
        <v>AE</v>
      </c>
      <c r="K231" t="str">
        <f>T("011390815686728")</f>
        <v>011390815686728</v>
      </c>
      <c r="L231" t="str">
        <f>T("3156265368")</f>
        <v>3156265368</v>
      </c>
    </row>
    <row r="232" spans="1:12" x14ac:dyDescent="0.35">
      <c r="A232" t="str">
        <f t="shared" si="90"/>
        <v>NAVY BAND FLEET ACTIVITIES</v>
      </c>
      <c r="B232" t="str">
        <f>T("PSC 817 BOX 47")</f>
        <v>PSC 817 BOX 47</v>
      </c>
      <c r="C232" t="str">
        <f t="shared" si="93"/>
        <v/>
      </c>
      <c r="D232" t="str">
        <f t="shared" si="94"/>
        <v>FPO</v>
      </c>
      <c r="E232" t="str">
        <f>T("AE")</f>
        <v>AE</v>
      </c>
      <c r="F232" t="str">
        <f>T("096220001")</f>
        <v>096220001</v>
      </c>
      <c r="G232" t="str">
        <f>T("PSC 817 BOX 47")</f>
        <v>PSC 817 BOX 47</v>
      </c>
      <c r="H232" t="str">
        <f t="shared" si="95"/>
        <v/>
      </c>
      <c r="I232" t="str">
        <f t="shared" si="96"/>
        <v>FPO</v>
      </c>
      <c r="J232" t="str">
        <f>T("AE")</f>
        <v>AE</v>
      </c>
      <c r="K232" t="str">
        <f>T("3146266725")</f>
        <v>3146266725</v>
      </c>
      <c r="L232" t="str">
        <f>T("3146266730")</f>
        <v>3146266730</v>
      </c>
    </row>
    <row r="233" spans="1:12" x14ac:dyDescent="0.35">
      <c r="A233" t="str">
        <f t="shared" ref="A233:A256" si="97">T("ZZ DELETE - DON/AA")</f>
        <v>ZZ DELETE - DON/AA</v>
      </c>
      <c r="B233" t="str">
        <f t="shared" ref="B233:B251" si="98">T("1000 NAVY PENTAGON")</f>
        <v>1000 NAVY PENTAGON</v>
      </c>
      <c r="C233" t="str">
        <f>T("RM 5E541")</f>
        <v>RM 5E541</v>
      </c>
      <c r="D233" t="str">
        <f t="shared" ref="D233:D251" si="99">T("WASHINGTON")</f>
        <v>WASHINGTON</v>
      </c>
      <c r="E233" t="str">
        <f t="shared" ref="E233:E251" si="100">T("DC")</f>
        <v>DC</v>
      </c>
      <c r="F233" t="str">
        <f t="shared" ref="F233:F251" si="101">T("203501000")</f>
        <v>203501000</v>
      </c>
      <c r="G233" t="str">
        <f t="shared" ref="G233:G247" si="102">T("1000 NAVY PENTAGON")</f>
        <v>1000 NAVY PENTAGON</v>
      </c>
      <c r="H233" t="str">
        <f>T("RM 5E541")</f>
        <v>RM 5E541</v>
      </c>
      <c r="I233" t="str">
        <f t="shared" ref="I233:I251" si="103">T("WASHINGTON")</f>
        <v>WASHINGTON</v>
      </c>
      <c r="J233" t="str">
        <f t="shared" ref="J233:J251" si="104">T("DC")</f>
        <v>DC</v>
      </c>
      <c r="K233" t="str">
        <f>T("")</f>
        <v/>
      </c>
      <c r="L233" t="str">
        <f>T("7036142620")</f>
        <v>7036142620</v>
      </c>
    </row>
    <row r="234" spans="1:12" x14ac:dyDescent="0.35">
      <c r="A234" t="str">
        <f t="shared" si="97"/>
        <v>ZZ DELETE - DON/AA</v>
      </c>
      <c r="B234" t="str">
        <f t="shared" si="98"/>
        <v>1000 NAVY PENTAGON</v>
      </c>
      <c r="C234" t="str">
        <f>T("RM 5E541")</f>
        <v>RM 5E541</v>
      </c>
      <c r="D234" t="str">
        <f t="shared" si="99"/>
        <v>WASHINGTON</v>
      </c>
      <c r="E234" t="str">
        <f t="shared" si="100"/>
        <v>DC</v>
      </c>
      <c r="F234" t="str">
        <f t="shared" si="101"/>
        <v>203501000</v>
      </c>
      <c r="G234" t="str">
        <f t="shared" si="102"/>
        <v>1000 NAVY PENTAGON</v>
      </c>
      <c r="H234" t="str">
        <f>T("ROOM 5E541")</f>
        <v>ROOM 5E541</v>
      </c>
      <c r="I234" t="str">
        <f t="shared" si="103"/>
        <v>WASHINGTON</v>
      </c>
      <c r="J234" t="str">
        <f t="shared" si="104"/>
        <v>DC</v>
      </c>
      <c r="K234" t="str">
        <f>T("000000000000000000")</f>
        <v>000000000000000000</v>
      </c>
      <c r="L234" t="str">
        <f>T("7036144511")</f>
        <v>7036144511</v>
      </c>
    </row>
    <row r="235" spans="1:12" x14ac:dyDescent="0.35">
      <c r="A235" t="str">
        <f t="shared" si="97"/>
        <v>ZZ DELETE - DON/AA</v>
      </c>
      <c r="B235" t="str">
        <f t="shared" si="98"/>
        <v>1000 NAVY PENTAGON</v>
      </c>
      <c r="C235" t="str">
        <f>T("ROOM 4A710A")</f>
        <v>ROOM 4A710A</v>
      </c>
      <c r="D235" t="str">
        <f t="shared" si="99"/>
        <v>WASHINGTON</v>
      </c>
      <c r="E235" t="str">
        <f t="shared" si="100"/>
        <v>DC</v>
      </c>
      <c r="F235" t="str">
        <f t="shared" si="101"/>
        <v>203501000</v>
      </c>
      <c r="G235" t="str">
        <f t="shared" si="102"/>
        <v>1000 NAVY PENTAGON</v>
      </c>
      <c r="H235" t="str">
        <f>T("RM 4A710A")</f>
        <v>RM 4A710A</v>
      </c>
      <c r="I235" t="str">
        <f t="shared" si="103"/>
        <v>WASHINGTON</v>
      </c>
      <c r="J235" t="str">
        <f t="shared" si="104"/>
        <v>DC</v>
      </c>
      <c r="K235" t="str">
        <f>T("7036926052")</f>
        <v>7036926052</v>
      </c>
      <c r="L235" t="str">
        <f>T("7036925914")</f>
        <v>7036925914</v>
      </c>
    </row>
    <row r="236" spans="1:12" x14ac:dyDescent="0.35">
      <c r="A236" t="str">
        <f t="shared" si="97"/>
        <v>ZZ DELETE - DON/AA</v>
      </c>
      <c r="B236" t="str">
        <f t="shared" si="98"/>
        <v>1000 NAVY PENTAGON</v>
      </c>
      <c r="C236" t="str">
        <f>T("ROOM 4A710A")</f>
        <v>ROOM 4A710A</v>
      </c>
      <c r="D236" t="str">
        <f t="shared" si="99"/>
        <v>WASHINGTON</v>
      </c>
      <c r="E236" t="str">
        <f t="shared" si="100"/>
        <v>DC</v>
      </c>
      <c r="F236" t="str">
        <f t="shared" si="101"/>
        <v>203501000</v>
      </c>
      <c r="G236" t="str">
        <f t="shared" si="102"/>
        <v>1000 NAVY PENTAGON</v>
      </c>
      <c r="H236" t="str">
        <f>T("ROOM 4A710")</f>
        <v>ROOM 4A710</v>
      </c>
      <c r="I236" t="str">
        <f t="shared" si="103"/>
        <v>WASHINGTON</v>
      </c>
      <c r="J236" t="str">
        <f t="shared" si="104"/>
        <v>DC</v>
      </c>
      <c r="K236" t="str">
        <f>T("000000000000000000")</f>
        <v>000000000000000000</v>
      </c>
      <c r="L236" t="str">
        <f>T("7036934068")</f>
        <v>7036934068</v>
      </c>
    </row>
    <row r="237" spans="1:12" x14ac:dyDescent="0.35">
      <c r="A237" t="str">
        <f t="shared" si="97"/>
        <v>ZZ DELETE - DON/AA</v>
      </c>
      <c r="B237" t="str">
        <f t="shared" si="98"/>
        <v>1000 NAVY PENTAGON</v>
      </c>
      <c r="C237" t="str">
        <f>T("ROOM 4A710A")</f>
        <v>ROOM 4A710A</v>
      </c>
      <c r="D237" t="str">
        <f t="shared" si="99"/>
        <v>WASHINGTON</v>
      </c>
      <c r="E237" t="str">
        <f t="shared" si="100"/>
        <v>DC</v>
      </c>
      <c r="F237" t="str">
        <f t="shared" si="101"/>
        <v>203501000</v>
      </c>
      <c r="G237" t="str">
        <f t="shared" si="102"/>
        <v>1000 NAVY PENTAGON</v>
      </c>
      <c r="H237" t="str">
        <f>T("ROOM 4A710A")</f>
        <v>ROOM 4A710A</v>
      </c>
      <c r="I237" t="str">
        <f t="shared" si="103"/>
        <v>WASHINGTON</v>
      </c>
      <c r="J237" t="str">
        <f t="shared" si="104"/>
        <v>DC</v>
      </c>
      <c r="K237" t="str">
        <f>T("000000000000000000")</f>
        <v>000000000000000000</v>
      </c>
      <c r="L237" t="str">
        <f>T("7036925966")</f>
        <v>7036925966</v>
      </c>
    </row>
    <row r="238" spans="1:12" x14ac:dyDescent="0.35">
      <c r="A238" t="str">
        <f t="shared" si="97"/>
        <v>ZZ DELETE - DON/AA</v>
      </c>
      <c r="B238" t="str">
        <f t="shared" si="98"/>
        <v>1000 NAVY PENTAGON</v>
      </c>
      <c r="C238" t="str">
        <f>T("ROOM 4A710A")</f>
        <v>ROOM 4A710A</v>
      </c>
      <c r="D238" t="str">
        <f t="shared" si="99"/>
        <v>WASHINGTON</v>
      </c>
      <c r="E238" t="str">
        <f t="shared" si="100"/>
        <v>DC</v>
      </c>
      <c r="F238" t="str">
        <f t="shared" si="101"/>
        <v>203501000</v>
      </c>
      <c r="G238" t="str">
        <f t="shared" si="102"/>
        <v>1000 NAVY PENTAGON</v>
      </c>
      <c r="H238" t="str">
        <f>T("ROOM 4A710A")</f>
        <v>ROOM 4A710A</v>
      </c>
      <c r="I238" t="str">
        <f t="shared" si="103"/>
        <v>WASHINGTON</v>
      </c>
      <c r="J238" t="str">
        <f t="shared" si="104"/>
        <v>DC</v>
      </c>
      <c r="K238" t="str">
        <f>T("7036926052")</f>
        <v>7036926052</v>
      </c>
      <c r="L238" t="str">
        <f>T("7036926050")</f>
        <v>7036926050</v>
      </c>
    </row>
    <row r="239" spans="1:12" x14ac:dyDescent="0.35">
      <c r="A239" t="str">
        <f t="shared" si="97"/>
        <v>ZZ DELETE - DON/AA</v>
      </c>
      <c r="B239" t="str">
        <f t="shared" si="98"/>
        <v>1000 NAVY PENTAGON</v>
      </c>
      <c r="C239" t="str">
        <f>T("ROOM 4A732")</f>
        <v>ROOM 4A732</v>
      </c>
      <c r="D239" t="str">
        <f t="shared" si="99"/>
        <v>WASHINGTON</v>
      </c>
      <c r="E239" t="str">
        <f t="shared" si="100"/>
        <v>DC</v>
      </c>
      <c r="F239" t="str">
        <f t="shared" si="101"/>
        <v>203501000</v>
      </c>
      <c r="G239" t="str">
        <f t="shared" si="102"/>
        <v>1000 NAVY PENTAGON</v>
      </c>
      <c r="H239" t="str">
        <f>T("ROOM 4A732")</f>
        <v>ROOM 4A732</v>
      </c>
      <c r="I239" t="str">
        <f t="shared" si="103"/>
        <v>WASHINGTON</v>
      </c>
      <c r="J239" t="str">
        <f t="shared" si="104"/>
        <v>DC</v>
      </c>
      <c r="K239" t="str">
        <f>T("7036930144")</f>
        <v>7036930144</v>
      </c>
      <c r="L239" t="str">
        <f>T("7036930681")</f>
        <v>7036930681</v>
      </c>
    </row>
    <row r="240" spans="1:12" x14ac:dyDescent="0.35">
      <c r="A240" t="str">
        <f t="shared" si="97"/>
        <v>ZZ DELETE - DON/AA</v>
      </c>
      <c r="B240" t="str">
        <f t="shared" si="98"/>
        <v>1000 NAVY PENTAGON</v>
      </c>
      <c r="C240" t="str">
        <f>T("ROOM 4A732")</f>
        <v>ROOM 4A732</v>
      </c>
      <c r="D240" t="str">
        <f t="shared" si="99"/>
        <v>WASHINGTON</v>
      </c>
      <c r="E240" t="str">
        <f t="shared" si="100"/>
        <v>DC</v>
      </c>
      <c r="F240" t="str">
        <f t="shared" si="101"/>
        <v>203501000</v>
      </c>
      <c r="G240" t="str">
        <f t="shared" si="102"/>
        <v>1000 NAVY PENTAGON</v>
      </c>
      <c r="H240" t="str">
        <f>T("ROOM 4A732")</f>
        <v>ROOM 4A732</v>
      </c>
      <c r="I240" t="str">
        <f t="shared" si="103"/>
        <v>WASHINGTON</v>
      </c>
      <c r="J240" t="str">
        <f t="shared" si="104"/>
        <v>DC</v>
      </c>
      <c r="K240" t="str">
        <f>T("7036930144")</f>
        <v>7036930144</v>
      </c>
      <c r="L240" t="str">
        <f>T("7036950229")</f>
        <v>7036950229</v>
      </c>
    </row>
    <row r="241" spans="1:12" x14ac:dyDescent="0.35">
      <c r="A241" t="str">
        <f t="shared" si="97"/>
        <v>ZZ DELETE - DON/AA</v>
      </c>
      <c r="B241" t="str">
        <f t="shared" si="98"/>
        <v>1000 NAVY PENTAGON</v>
      </c>
      <c r="C241" t="str">
        <f>T("ROOM 4B746")</f>
        <v>ROOM 4B746</v>
      </c>
      <c r="D241" t="str">
        <f t="shared" si="99"/>
        <v>WASHINGTON</v>
      </c>
      <c r="E241" t="str">
        <f t="shared" si="100"/>
        <v>DC</v>
      </c>
      <c r="F241" t="str">
        <f t="shared" si="101"/>
        <v>203501000</v>
      </c>
      <c r="G241" t="str">
        <f t="shared" si="102"/>
        <v>1000 NAVY PENTAGON</v>
      </c>
      <c r="H241" t="str">
        <f>T("RM 4B746")</f>
        <v>RM 4B746</v>
      </c>
      <c r="I241" t="str">
        <f t="shared" si="103"/>
        <v>WASHINGTON</v>
      </c>
      <c r="J241" t="str">
        <f t="shared" si="104"/>
        <v>DC</v>
      </c>
      <c r="K241" t="str">
        <f>T("7036972579")</f>
        <v>7036972579</v>
      </c>
      <c r="L241" t="str">
        <f>T("5712562349")</f>
        <v>5712562349</v>
      </c>
    </row>
    <row r="242" spans="1:12" x14ac:dyDescent="0.35">
      <c r="A242" t="str">
        <f t="shared" si="97"/>
        <v>ZZ DELETE - DON/AA</v>
      </c>
      <c r="B242" t="str">
        <f t="shared" si="98"/>
        <v>1000 NAVY PENTAGON</v>
      </c>
      <c r="C242" t="str">
        <f>T("ROOM 4B746")</f>
        <v>ROOM 4B746</v>
      </c>
      <c r="D242" t="str">
        <f t="shared" si="99"/>
        <v>WASHINGTON</v>
      </c>
      <c r="E242" t="str">
        <f t="shared" si="100"/>
        <v>DC</v>
      </c>
      <c r="F242" t="str">
        <f t="shared" si="101"/>
        <v>203501000</v>
      </c>
      <c r="G242" t="str">
        <f t="shared" si="102"/>
        <v>1000 NAVY PENTAGON</v>
      </c>
      <c r="H242" t="str">
        <f>T("ROOM 4B746")</f>
        <v>ROOM 4B746</v>
      </c>
      <c r="I242" t="str">
        <f t="shared" si="103"/>
        <v>WASHINGTON</v>
      </c>
      <c r="J242" t="str">
        <f t="shared" si="104"/>
        <v>DC</v>
      </c>
      <c r="K242" t="str">
        <f>T("7036926866")</f>
        <v>7036926866</v>
      </c>
      <c r="L242" t="str">
        <f>T("7036930257")</f>
        <v>7036930257</v>
      </c>
    </row>
    <row r="243" spans="1:12" x14ac:dyDescent="0.35">
      <c r="A243" t="str">
        <f t="shared" si="97"/>
        <v>ZZ DELETE - DON/AA</v>
      </c>
      <c r="B243" t="str">
        <f t="shared" si="98"/>
        <v>1000 NAVY PENTAGON</v>
      </c>
      <c r="C243" t="str">
        <f>T("ROOM 4B746")</f>
        <v>ROOM 4B746</v>
      </c>
      <c r="D243" t="str">
        <f t="shared" si="99"/>
        <v>WASHINGTON</v>
      </c>
      <c r="E243" t="str">
        <f t="shared" si="100"/>
        <v>DC</v>
      </c>
      <c r="F243" t="str">
        <f t="shared" si="101"/>
        <v>203501000</v>
      </c>
      <c r="G243" t="str">
        <f t="shared" si="102"/>
        <v>1000 NAVY PENTAGON</v>
      </c>
      <c r="H243" t="str">
        <f>T("ROOM 4B746")</f>
        <v>ROOM 4B746</v>
      </c>
      <c r="I243" t="str">
        <f t="shared" si="103"/>
        <v>WASHINGTON</v>
      </c>
      <c r="J243" t="str">
        <f t="shared" si="104"/>
        <v>DC</v>
      </c>
      <c r="K243" t="str">
        <f>T("7036931190")</f>
        <v>7036931190</v>
      </c>
      <c r="L243" t="str">
        <f>T("7035716280")</f>
        <v>7035716280</v>
      </c>
    </row>
    <row r="244" spans="1:12" x14ac:dyDescent="0.35">
      <c r="A244" t="str">
        <f t="shared" si="97"/>
        <v>ZZ DELETE - DON/AA</v>
      </c>
      <c r="B244" t="str">
        <f t="shared" si="98"/>
        <v>1000 NAVY PENTAGON</v>
      </c>
      <c r="C244" t="str">
        <f>T("ROOM 4B746")</f>
        <v>ROOM 4B746</v>
      </c>
      <c r="D244" t="str">
        <f t="shared" si="99"/>
        <v>WASHINGTON</v>
      </c>
      <c r="E244" t="str">
        <f t="shared" si="100"/>
        <v>DC</v>
      </c>
      <c r="F244" t="str">
        <f t="shared" si="101"/>
        <v>203501000</v>
      </c>
      <c r="G244" t="str">
        <f t="shared" si="102"/>
        <v>1000 NAVY PENTAGON</v>
      </c>
      <c r="H244" t="str">
        <f>T("ROOM 5E158")</f>
        <v>ROOM 5E158</v>
      </c>
      <c r="I244" t="str">
        <f t="shared" si="103"/>
        <v>WASHINGTON</v>
      </c>
      <c r="J244" t="str">
        <f t="shared" si="104"/>
        <v>DC</v>
      </c>
      <c r="K244" t="str">
        <f>T("000000000000000000")</f>
        <v>000000000000000000</v>
      </c>
      <c r="L244" t="str">
        <f>T("7036143257")</f>
        <v>7036143257</v>
      </c>
    </row>
    <row r="245" spans="1:12" x14ac:dyDescent="0.35">
      <c r="A245" t="str">
        <f t="shared" si="97"/>
        <v>ZZ DELETE - DON/AA</v>
      </c>
      <c r="B245" t="str">
        <f t="shared" si="98"/>
        <v>1000 NAVY PENTAGON</v>
      </c>
      <c r="C245" t="str">
        <f>T("ROOM 5B539A")</f>
        <v>ROOM 5B539A</v>
      </c>
      <c r="D245" t="str">
        <f t="shared" si="99"/>
        <v>WASHINGTON</v>
      </c>
      <c r="E245" t="str">
        <f t="shared" si="100"/>
        <v>DC</v>
      </c>
      <c r="F245" t="str">
        <f t="shared" si="101"/>
        <v>203501000</v>
      </c>
      <c r="G245" t="str">
        <f t="shared" si="102"/>
        <v>1000 NAVY PENTAGON</v>
      </c>
      <c r="H245" t="str">
        <f>T("ROOM 5B539A")</f>
        <v>ROOM 5B539A</v>
      </c>
      <c r="I245" t="str">
        <f t="shared" si="103"/>
        <v>WASHINGTON</v>
      </c>
      <c r="J245" t="str">
        <f t="shared" si="104"/>
        <v>DC</v>
      </c>
      <c r="K245" t="str">
        <f>T("000000000000000000")</f>
        <v>000000000000000000</v>
      </c>
      <c r="L245" t="str">
        <f>T("7036950548")</f>
        <v>7036950548</v>
      </c>
    </row>
    <row r="246" spans="1:12" x14ac:dyDescent="0.35">
      <c r="A246" t="str">
        <f t="shared" si="97"/>
        <v>ZZ DELETE - DON/AA</v>
      </c>
      <c r="B246" t="str">
        <f t="shared" si="98"/>
        <v>1000 NAVY PENTAGON</v>
      </c>
      <c r="C246" t="str">
        <f>T("ROOM 5B539A")</f>
        <v>ROOM 5B539A</v>
      </c>
      <c r="D246" t="str">
        <f t="shared" si="99"/>
        <v>WASHINGTON</v>
      </c>
      <c r="E246" t="str">
        <f t="shared" si="100"/>
        <v>DC</v>
      </c>
      <c r="F246" t="str">
        <f t="shared" si="101"/>
        <v>203501000</v>
      </c>
      <c r="G246" t="str">
        <f t="shared" si="102"/>
        <v>1000 NAVY PENTAGON</v>
      </c>
      <c r="H246" t="str">
        <f>T("ROOM 5B539A")</f>
        <v>ROOM 5B539A</v>
      </c>
      <c r="I246" t="str">
        <f t="shared" si="103"/>
        <v>WASHINGTON</v>
      </c>
      <c r="J246" t="str">
        <f t="shared" si="104"/>
        <v>DC</v>
      </c>
      <c r="K246" t="str">
        <f>T("7036931190")</f>
        <v>7036931190</v>
      </c>
      <c r="L246" t="str">
        <f>T("7036930991")</f>
        <v>7036930991</v>
      </c>
    </row>
    <row r="247" spans="1:12" x14ac:dyDescent="0.35">
      <c r="A247" t="str">
        <f t="shared" si="97"/>
        <v>ZZ DELETE - DON/AA</v>
      </c>
      <c r="B247" t="str">
        <f t="shared" si="98"/>
        <v>1000 NAVY PENTAGON</v>
      </c>
      <c r="C247" t="str">
        <f>T("ROOM 5E140")</f>
        <v>ROOM 5E140</v>
      </c>
      <c r="D247" t="str">
        <f t="shared" si="99"/>
        <v>WASHINGTON</v>
      </c>
      <c r="E247" t="str">
        <f t="shared" si="100"/>
        <v>DC</v>
      </c>
      <c r="F247" t="str">
        <f t="shared" si="101"/>
        <v>203501000</v>
      </c>
      <c r="G247" t="str">
        <f t="shared" si="102"/>
        <v>1000 NAVY PENTAGON</v>
      </c>
      <c r="H247" t="str">
        <f>T("ROOM 5E140")</f>
        <v>ROOM 5E140</v>
      </c>
      <c r="I247" t="str">
        <f t="shared" si="103"/>
        <v>WASHINGTON</v>
      </c>
      <c r="J247" t="str">
        <f t="shared" si="104"/>
        <v>DC</v>
      </c>
      <c r="K247" t="str">
        <f>T("")</f>
        <v/>
      </c>
      <c r="L247" t="str">
        <f>T("7036920243")</f>
        <v>7036920243</v>
      </c>
    </row>
    <row r="248" spans="1:12" x14ac:dyDescent="0.35">
      <c r="A248" t="str">
        <f t="shared" si="97"/>
        <v>ZZ DELETE - DON/AA</v>
      </c>
      <c r="B248" t="str">
        <f t="shared" si="98"/>
        <v>1000 NAVY PENTAGON</v>
      </c>
      <c r="C248" t="str">
        <f>T("ROOM 5E140")</f>
        <v>ROOM 5E140</v>
      </c>
      <c r="D248" t="str">
        <f t="shared" si="99"/>
        <v>WASHINGTON</v>
      </c>
      <c r="E248" t="str">
        <f t="shared" si="100"/>
        <v>DC</v>
      </c>
      <c r="F248" t="str">
        <f t="shared" si="101"/>
        <v>203501000</v>
      </c>
      <c r="G248" t="str">
        <f>T("1000 NAVY PENTAGON ROOM 4A276")</f>
        <v>1000 NAVY PENTAGON ROOM 4A276</v>
      </c>
      <c r="H248" t="str">
        <f>T("")</f>
        <v/>
      </c>
      <c r="I248" t="str">
        <f t="shared" si="103"/>
        <v>WASHINGTON</v>
      </c>
      <c r="J248" t="str">
        <f t="shared" si="104"/>
        <v>DC</v>
      </c>
      <c r="K248" t="str">
        <f>T("000000000000000000")</f>
        <v>000000000000000000</v>
      </c>
      <c r="L248" t="str">
        <f>T("7036956009")</f>
        <v>7036956009</v>
      </c>
    </row>
    <row r="249" spans="1:12" x14ac:dyDescent="0.35">
      <c r="A249" t="str">
        <f t="shared" si="97"/>
        <v>ZZ DELETE - DON/AA</v>
      </c>
      <c r="B249" t="str">
        <f t="shared" si="98"/>
        <v>1000 NAVY PENTAGON</v>
      </c>
      <c r="C249" t="str">
        <f>T("ROOM 5E158")</f>
        <v>ROOM 5E158</v>
      </c>
      <c r="D249" t="str">
        <f t="shared" si="99"/>
        <v>WASHINGTON</v>
      </c>
      <c r="E249" t="str">
        <f t="shared" si="100"/>
        <v>DC</v>
      </c>
      <c r="F249" t="str">
        <f t="shared" si="101"/>
        <v>203501000</v>
      </c>
      <c r="G249" t="str">
        <f>T("1000 NAVY PENTAGON")</f>
        <v>1000 NAVY PENTAGON</v>
      </c>
      <c r="H249" t="str">
        <f>T("ROOM 5E158")</f>
        <v>ROOM 5E158</v>
      </c>
      <c r="I249" t="str">
        <f t="shared" si="103"/>
        <v>WASHINGTON</v>
      </c>
      <c r="J249" t="str">
        <f t="shared" si="104"/>
        <v>DC</v>
      </c>
      <c r="K249" t="str">
        <f>T("000000000000000000")</f>
        <v>000000000000000000</v>
      </c>
      <c r="L249" t="str">
        <f>T("7036930193")</f>
        <v>7036930193</v>
      </c>
    </row>
    <row r="250" spans="1:12" x14ac:dyDescent="0.35">
      <c r="A250" t="str">
        <f t="shared" si="97"/>
        <v>ZZ DELETE - DON/AA</v>
      </c>
      <c r="B250" t="str">
        <f t="shared" si="98"/>
        <v>1000 NAVY PENTAGON</v>
      </c>
      <c r="C250" t="str">
        <f>T("ROOM 5E158")</f>
        <v>ROOM 5E158</v>
      </c>
      <c r="D250" t="str">
        <f t="shared" si="99"/>
        <v>WASHINGTON</v>
      </c>
      <c r="E250" t="str">
        <f t="shared" si="100"/>
        <v>DC</v>
      </c>
      <c r="F250" t="str">
        <f t="shared" si="101"/>
        <v>203501000</v>
      </c>
      <c r="G250" t="str">
        <f>T("1000 NAVY PENTAGON")</f>
        <v>1000 NAVY PENTAGON</v>
      </c>
      <c r="H250" t="str">
        <f>T("ROOM 5E158")</f>
        <v>ROOM 5E158</v>
      </c>
      <c r="I250" t="str">
        <f t="shared" si="103"/>
        <v>WASHINGTON</v>
      </c>
      <c r="J250" t="str">
        <f t="shared" si="104"/>
        <v>DC</v>
      </c>
      <c r="K250" t="str">
        <f>T("7036142599")</f>
        <v>7036142599</v>
      </c>
      <c r="L250" t="str">
        <f>T("7036144291")</f>
        <v>7036144291</v>
      </c>
    </row>
    <row r="251" spans="1:12" x14ac:dyDescent="0.35">
      <c r="A251" t="str">
        <f t="shared" si="97"/>
        <v>ZZ DELETE - DON/AA</v>
      </c>
      <c r="B251" t="str">
        <f t="shared" si="98"/>
        <v>1000 NAVY PENTAGON</v>
      </c>
      <c r="C251" t="str">
        <f>T("ROOM 5E158")</f>
        <v>ROOM 5E158</v>
      </c>
      <c r="D251" t="str">
        <f t="shared" si="99"/>
        <v>WASHINGTON</v>
      </c>
      <c r="E251" t="str">
        <f t="shared" si="100"/>
        <v>DC</v>
      </c>
      <c r="F251" t="str">
        <f t="shared" si="101"/>
        <v>203501000</v>
      </c>
      <c r="G251" t="str">
        <f>T("1000 NAVY PENTAGON ROOM 5E148")</f>
        <v>1000 NAVY PENTAGON ROOM 5E148</v>
      </c>
      <c r="H251" t="str">
        <f>T("")</f>
        <v/>
      </c>
      <c r="I251" t="str">
        <f t="shared" si="103"/>
        <v>WASHINGTON</v>
      </c>
      <c r="J251" t="str">
        <f t="shared" si="104"/>
        <v>DC</v>
      </c>
      <c r="K251" t="str">
        <f>T("000000000000000000")</f>
        <v>000000000000000000</v>
      </c>
      <c r="L251" t="str">
        <f>T("7036973296")</f>
        <v>7036973296</v>
      </c>
    </row>
    <row r="252" spans="1:12" x14ac:dyDescent="0.35">
      <c r="A252" t="str">
        <f t="shared" si="97"/>
        <v>ZZ DELETE - DON/AA</v>
      </c>
      <c r="B252" t="str">
        <f>T("201 12TH STREET SOUTH")</f>
        <v>201 12TH STREET SOUTH</v>
      </c>
      <c r="C252" t="str">
        <f>T("ROOM 701A")</f>
        <v>ROOM 701A</v>
      </c>
      <c r="D252" t="str">
        <f t="shared" ref="D252:D257" si="105">T("ARLINGTON")</f>
        <v>ARLINGTON</v>
      </c>
      <c r="E252" t="str">
        <f t="shared" ref="E252:E257" si="106">T("VA")</f>
        <v>VA</v>
      </c>
      <c r="F252" t="str">
        <f>T("222025406")</f>
        <v>222025406</v>
      </c>
      <c r="G252" t="str">
        <f>T("201 12TH ST SOUTH")</f>
        <v>201 12TH ST SOUTH</v>
      </c>
      <c r="H252" t="str">
        <f>T("ROOM 701A")</f>
        <v>ROOM 701A</v>
      </c>
      <c r="I252" t="str">
        <f t="shared" ref="I252:I257" si="107">T("ARLINGTON")</f>
        <v>ARLINGTON</v>
      </c>
      <c r="J252" t="str">
        <f t="shared" ref="J252:J257" si="108">T("VA")</f>
        <v>VA</v>
      </c>
      <c r="K252" t="str">
        <f>T("000000000000000000")</f>
        <v>000000000000000000</v>
      </c>
      <c r="L252" t="str">
        <f>T("5713059407")</f>
        <v>5713059407</v>
      </c>
    </row>
    <row r="253" spans="1:12" x14ac:dyDescent="0.35">
      <c r="A253" t="str">
        <f t="shared" si="97"/>
        <v>ZZ DELETE - DON/AA</v>
      </c>
      <c r="B253" t="str">
        <f>T("201 12TH STREET SOUTH")</f>
        <v>201 12TH STREET SOUTH</v>
      </c>
      <c r="C253" t="str">
        <f>T("ROOM 701A")</f>
        <v>ROOM 701A</v>
      </c>
      <c r="D253" t="str">
        <f t="shared" si="105"/>
        <v>ARLINGTON</v>
      </c>
      <c r="E253" t="str">
        <f t="shared" si="106"/>
        <v>VA</v>
      </c>
      <c r="F253" t="str">
        <f>T("222025406")</f>
        <v>222025406</v>
      </c>
      <c r="G253" t="str">
        <f>T("201 12TH STREET SOUTH")</f>
        <v>201 12TH STREET SOUTH</v>
      </c>
      <c r="H253" t="str">
        <f>T("ROOM 701A")</f>
        <v>ROOM 701A</v>
      </c>
      <c r="I253" t="str">
        <f t="shared" si="107"/>
        <v>ARLINGTON</v>
      </c>
      <c r="J253" t="str">
        <f t="shared" si="108"/>
        <v>VA</v>
      </c>
      <c r="K253" t="str">
        <f>T("000000000000000000")</f>
        <v>000000000000000000</v>
      </c>
      <c r="L253" t="str">
        <f>T("7036010526")</f>
        <v>7036010526</v>
      </c>
    </row>
    <row r="254" spans="1:12" x14ac:dyDescent="0.35">
      <c r="A254" t="str">
        <f t="shared" si="97"/>
        <v>ZZ DELETE - DON/AA</v>
      </c>
      <c r="B254" t="str">
        <f>T("2521 SOUTH CLARK STREET")</f>
        <v>2521 SOUTH CLARK STREET</v>
      </c>
      <c r="C254" t="str">
        <f>T("SUITE 8-02")</f>
        <v>SUITE 8-02</v>
      </c>
      <c r="D254" t="str">
        <f t="shared" si="105"/>
        <v>ARLINGTON</v>
      </c>
      <c r="E254" t="str">
        <f t="shared" si="106"/>
        <v>VA</v>
      </c>
      <c r="F254" t="str">
        <f>T("222023909")</f>
        <v>222023909</v>
      </c>
      <c r="G254" t="str">
        <f>T("2521 SOUTH CLARK STREET")</f>
        <v>2521 SOUTH CLARK STREET</v>
      </c>
      <c r="H254" t="str">
        <f>T("RM 8-02")</f>
        <v>RM 8-02</v>
      </c>
      <c r="I254" t="str">
        <f t="shared" si="107"/>
        <v>ARLINGTON</v>
      </c>
      <c r="J254" t="str">
        <f t="shared" si="108"/>
        <v>VA</v>
      </c>
      <c r="K254" t="str">
        <f>T("000000000000000000")</f>
        <v>000000000000000000</v>
      </c>
      <c r="L254" t="str">
        <f>T("7036011791")</f>
        <v>7036011791</v>
      </c>
    </row>
    <row r="255" spans="1:12" x14ac:dyDescent="0.35">
      <c r="A255" t="str">
        <f t="shared" si="97"/>
        <v>ZZ DELETE - DON/AA</v>
      </c>
      <c r="B255" t="str">
        <f>T("2521 SOUTH CLARK STREET")</f>
        <v>2521 SOUTH CLARK STREET</v>
      </c>
      <c r="C255" t="str">
        <f>T("SUITE 8-02")</f>
        <v>SUITE 8-02</v>
      </c>
      <c r="D255" t="str">
        <f t="shared" si="105"/>
        <v>ARLINGTON</v>
      </c>
      <c r="E255" t="str">
        <f t="shared" si="106"/>
        <v>VA</v>
      </c>
      <c r="F255" t="str">
        <f>T("222023909")</f>
        <v>222023909</v>
      </c>
      <c r="G255" t="str">
        <f>T("2521 SOUTH CLARK STREET")</f>
        <v>2521 SOUTH CLARK STREET</v>
      </c>
      <c r="H255" t="str">
        <f>T("SUITE 8-02")</f>
        <v>SUITE 8-02</v>
      </c>
      <c r="I255" t="str">
        <f t="shared" si="107"/>
        <v>ARLINGTON</v>
      </c>
      <c r="J255" t="str">
        <f t="shared" si="108"/>
        <v>VA</v>
      </c>
      <c r="K255" t="str">
        <f>T("7036011825")</f>
        <v>7036011825</v>
      </c>
      <c r="L255" t="str">
        <f>T("7036015997")</f>
        <v>7036015997</v>
      </c>
    </row>
    <row r="256" spans="1:12" x14ac:dyDescent="0.35">
      <c r="A256" t="str">
        <f t="shared" si="97"/>
        <v>ZZ DELETE - DON/AA</v>
      </c>
      <c r="B256" t="str">
        <f>T("701 S COURTHOUSE ROAD")</f>
        <v>701 S COURTHOUSE ROAD</v>
      </c>
      <c r="C256" t="str">
        <f>T("SUITE 1200")</f>
        <v>SUITE 1200</v>
      </c>
      <c r="D256" t="str">
        <f t="shared" si="105"/>
        <v>ARLINGTON</v>
      </c>
      <c r="E256" t="str">
        <f t="shared" si="106"/>
        <v>VA</v>
      </c>
      <c r="F256" t="str">
        <f>T("222042485")</f>
        <v>222042485</v>
      </c>
      <c r="G256" t="str">
        <f>T("701 S COURTHOUSE ROAD")</f>
        <v>701 S COURTHOUSE ROAD</v>
      </c>
      <c r="H256" t="str">
        <f>T("SUITE 1200")</f>
        <v>SUITE 1200</v>
      </c>
      <c r="I256" t="str">
        <f t="shared" si="107"/>
        <v>ARLINGTON</v>
      </c>
      <c r="J256" t="str">
        <f t="shared" si="108"/>
        <v>VA</v>
      </c>
      <c r="K256" t="str">
        <f>T("7036041006")</f>
        <v>7036041006</v>
      </c>
      <c r="L256" t="str">
        <f>T("7036044626")</f>
        <v>7036044626</v>
      </c>
    </row>
    <row r="257" spans="1:12" x14ac:dyDescent="0.35">
      <c r="A257" t="str">
        <f>T("ZZ DELETE BCNR")</f>
        <v>ZZ DELETE BCNR</v>
      </c>
      <c r="B257" t="str">
        <f>T("BCNR")</f>
        <v>BCNR</v>
      </c>
      <c r="C257" t="str">
        <f>T("701 S COURTHOUSE RD BE 140")</f>
        <v>701 S COURTHOUSE RD BE 140</v>
      </c>
      <c r="D257" t="str">
        <f t="shared" si="105"/>
        <v>ARLINGTON</v>
      </c>
      <c r="E257" t="str">
        <f t="shared" si="106"/>
        <v>VA</v>
      </c>
      <c r="F257" t="str">
        <f>T("222042190")</f>
        <v>222042190</v>
      </c>
      <c r="G257" t="str">
        <f>T("BCNR")</f>
        <v>BCNR</v>
      </c>
      <c r="H257" t="str">
        <f>T("701 S COURTHOUSE RD BE 140")</f>
        <v>701 S COURTHOUSE RD BE 140</v>
      </c>
      <c r="I257" t="str">
        <f t="shared" si="107"/>
        <v>ARLINGTON</v>
      </c>
      <c r="J257" t="str">
        <f t="shared" si="108"/>
        <v>VA</v>
      </c>
      <c r="K257" t="str">
        <f>T("7036043437")</f>
        <v>7036043437</v>
      </c>
      <c r="L257" t="str">
        <f>T("7036149810")</f>
        <v>7036149810</v>
      </c>
    </row>
    <row r="258" spans="1:12" x14ac:dyDescent="0.35">
      <c r="A258" t="str">
        <f t="shared" ref="A258:A270" si="109">T("JUDGE ADVOCATE GENERAL")</f>
        <v>JUDGE ADVOCATE GENERAL</v>
      </c>
      <c r="B258" t="str">
        <f t="shared" ref="B258:B267" si="110">T("JCAB")</f>
        <v>JCAB</v>
      </c>
      <c r="C258" t="str">
        <f>T("120 SOUTH DEWEY ST")</f>
        <v>120 SOUTH DEWEY ST</v>
      </c>
      <c r="D258" t="str">
        <f t="shared" ref="D258:D268" si="111">T("BREMERTON")</f>
        <v>BREMERTON</v>
      </c>
      <c r="E258" t="str">
        <f t="shared" ref="E258:E268" si="112">T("WA")</f>
        <v>WA</v>
      </c>
      <c r="F258" t="str">
        <f>T("983145020")</f>
        <v>983145020</v>
      </c>
      <c r="G258" t="str">
        <f t="shared" ref="G258:G267" si="113">T("JCAB")</f>
        <v>JCAB</v>
      </c>
      <c r="H258" t="str">
        <f>T("120 S DEWEY ST")</f>
        <v>120 S DEWEY ST</v>
      </c>
      <c r="I258" t="str">
        <f t="shared" ref="I258:I268" si="114">T("BREMERTON")</f>
        <v>BREMERTON</v>
      </c>
      <c r="J258" t="str">
        <f t="shared" ref="J258:J268" si="115">T("WA")</f>
        <v>WA</v>
      </c>
      <c r="K258" t="str">
        <f t="shared" ref="K258:K266" si="116">T("000000000000000000")</f>
        <v>000000000000000000</v>
      </c>
      <c r="L258" t="str">
        <f>T("3606275919")</f>
        <v>3606275919</v>
      </c>
    </row>
    <row r="259" spans="1:12" x14ac:dyDescent="0.35">
      <c r="A259" t="str">
        <f t="shared" si="109"/>
        <v>JUDGE ADVOCATE GENERAL</v>
      </c>
      <c r="B259" t="str">
        <f t="shared" si="110"/>
        <v>JCAB</v>
      </c>
      <c r="C259" t="str">
        <f>T("120 SOUTH DEWEY ST")</f>
        <v>120 SOUTH DEWEY ST</v>
      </c>
      <c r="D259" t="str">
        <f t="shared" si="111"/>
        <v>BREMERTON</v>
      </c>
      <c r="E259" t="str">
        <f t="shared" si="112"/>
        <v>WA</v>
      </c>
      <c r="F259" t="str">
        <f>T("983145020")</f>
        <v>983145020</v>
      </c>
      <c r="G259" t="str">
        <f t="shared" si="113"/>
        <v>JCAB</v>
      </c>
      <c r="H259" t="str">
        <f>T("120 SOUTH DEWEY ST")</f>
        <v>120 SOUTH DEWEY ST</v>
      </c>
      <c r="I259" t="str">
        <f t="shared" si="114"/>
        <v>BREMERTON</v>
      </c>
      <c r="J259" t="str">
        <f t="shared" si="115"/>
        <v>WA</v>
      </c>
      <c r="K259" t="str">
        <f t="shared" si="116"/>
        <v>000000000000000000</v>
      </c>
      <c r="L259" t="str">
        <f>T("3606275907")</f>
        <v>3606275907</v>
      </c>
    </row>
    <row r="260" spans="1:12" x14ac:dyDescent="0.35">
      <c r="A260" t="str">
        <f t="shared" si="109"/>
        <v>JUDGE ADVOCATE GENERAL</v>
      </c>
      <c r="B260" t="str">
        <f t="shared" si="110"/>
        <v>JCAB</v>
      </c>
      <c r="C260" t="str">
        <f>T("120 SOUTH DEWEY ST")</f>
        <v>120 SOUTH DEWEY ST</v>
      </c>
      <c r="D260" t="str">
        <f t="shared" si="111"/>
        <v>BREMERTON</v>
      </c>
      <c r="E260" t="str">
        <f t="shared" si="112"/>
        <v>WA</v>
      </c>
      <c r="F260" t="str">
        <f>T("983145020")</f>
        <v>983145020</v>
      </c>
      <c r="G260" t="str">
        <f t="shared" si="113"/>
        <v>JCAB</v>
      </c>
      <c r="H260" t="str">
        <f t="shared" ref="H260:H267" si="117">T("U ST BLDG 434 RM 113")</f>
        <v>U ST BLDG 434 RM 113</v>
      </c>
      <c r="I260" t="str">
        <f t="shared" si="114"/>
        <v>BREMERTON</v>
      </c>
      <c r="J260" t="str">
        <f t="shared" si="115"/>
        <v>WA</v>
      </c>
      <c r="K260" t="str">
        <f t="shared" si="116"/>
        <v>000000000000000000</v>
      </c>
      <c r="L260" t="str">
        <f>T("3606275901")</f>
        <v>3606275901</v>
      </c>
    </row>
    <row r="261" spans="1:12" x14ac:dyDescent="0.35">
      <c r="A261" t="str">
        <f t="shared" si="109"/>
        <v>JUDGE ADVOCATE GENERAL</v>
      </c>
      <c r="B261" t="str">
        <f t="shared" si="110"/>
        <v>JCAB</v>
      </c>
      <c r="C261" t="str">
        <f t="shared" ref="C261:C267" si="118">T("U ST BLDG 434 RM 113")</f>
        <v>U ST BLDG 434 RM 113</v>
      </c>
      <c r="D261" t="str">
        <f t="shared" si="111"/>
        <v>BREMERTON</v>
      </c>
      <c r="E261" t="str">
        <f t="shared" si="112"/>
        <v>WA</v>
      </c>
      <c r="F261" t="str">
        <f>T("983140001")</f>
        <v>983140001</v>
      </c>
      <c r="G261" t="str">
        <f t="shared" si="113"/>
        <v>JCAB</v>
      </c>
      <c r="H261" t="str">
        <f t="shared" si="117"/>
        <v>U ST BLDG 434 RM 113</v>
      </c>
      <c r="I261" t="str">
        <f t="shared" si="114"/>
        <v>BREMERTON</v>
      </c>
      <c r="J261" t="str">
        <f t="shared" si="115"/>
        <v>WA</v>
      </c>
      <c r="K261" t="str">
        <f t="shared" si="116"/>
        <v>000000000000000000</v>
      </c>
      <c r="L261" t="str">
        <f>T("3605557777")</f>
        <v>3605557777</v>
      </c>
    </row>
    <row r="262" spans="1:12" x14ac:dyDescent="0.35">
      <c r="A262" t="str">
        <f t="shared" si="109"/>
        <v>JUDGE ADVOCATE GENERAL</v>
      </c>
      <c r="B262" t="str">
        <f t="shared" si="110"/>
        <v>JCAB</v>
      </c>
      <c r="C262" t="str">
        <f t="shared" si="118"/>
        <v>U ST BLDG 434 RM 113</v>
      </c>
      <c r="D262" t="str">
        <f t="shared" si="111"/>
        <v>BREMERTON</v>
      </c>
      <c r="E262" t="str">
        <f t="shared" si="112"/>
        <v>WA</v>
      </c>
      <c r="F262" t="str">
        <f>T("983140001")</f>
        <v>983140001</v>
      </c>
      <c r="G262" t="str">
        <f t="shared" si="113"/>
        <v>JCAB</v>
      </c>
      <c r="H262" t="str">
        <f t="shared" si="117"/>
        <v>U ST BLDG 434 RM 113</v>
      </c>
      <c r="I262" t="str">
        <f t="shared" si="114"/>
        <v>BREMERTON</v>
      </c>
      <c r="J262" t="str">
        <f t="shared" si="115"/>
        <v>WA</v>
      </c>
      <c r="K262" t="str">
        <f t="shared" si="116"/>
        <v>000000000000000000</v>
      </c>
      <c r="L262" t="str">
        <f>T("3606275916")</f>
        <v>3606275916</v>
      </c>
    </row>
    <row r="263" spans="1:12" x14ac:dyDescent="0.35">
      <c r="A263" t="str">
        <f t="shared" si="109"/>
        <v>JUDGE ADVOCATE GENERAL</v>
      </c>
      <c r="B263" t="str">
        <f t="shared" si="110"/>
        <v>JCAB</v>
      </c>
      <c r="C263" t="str">
        <f t="shared" si="118"/>
        <v>U ST BLDG 434 RM 113</v>
      </c>
      <c r="D263" t="str">
        <f t="shared" si="111"/>
        <v>BREMERTON</v>
      </c>
      <c r="E263" t="str">
        <f t="shared" si="112"/>
        <v>WA</v>
      </c>
      <c r="F263" t="str">
        <f>T("983145020")</f>
        <v>983145020</v>
      </c>
      <c r="G263" t="str">
        <f t="shared" si="113"/>
        <v>JCAB</v>
      </c>
      <c r="H263" t="str">
        <f t="shared" si="117"/>
        <v>U ST BLDG 434 RM 113</v>
      </c>
      <c r="I263" t="str">
        <f t="shared" si="114"/>
        <v>BREMERTON</v>
      </c>
      <c r="J263" t="str">
        <f t="shared" si="115"/>
        <v>WA</v>
      </c>
      <c r="K263" t="str">
        <f t="shared" si="116"/>
        <v>000000000000000000</v>
      </c>
      <c r="L263" t="str">
        <f>T("3606275901")</f>
        <v>3606275901</v>
      </c>
    </row>
    <row r="264" spans="1:12" x14ac:dyDescent="0.35">
      <c r="A264" t="str">
        <f t="shared" si="109"/>
        <v>JUDGE ADVOCATE GENERAL</v>
      </c>
      <c r="B264" t="str">
        <f t="shared" si="110"/>
        <v>JCAB</v>
      </c>
      <c r="C264" t="str">
        <f t="shared" si="118"/>
        <v>U ST BLDG 434 RM 113</v>
      </c>
      <c r="D264" t="str">
        <f t="shared" si="111"/>
        <v>BREMERTON</v>
      </c>
      <c r="E264" t="str">
        <f t="shared" si="112"/>
        <v>WA</v>
      </c>
      <c r="F264" t="str">
        <f>T("983145020")</f>
        <v>983145020</v>
      </c>
      <c r="G264" t="str">
        <f t="shared" si="113"/>
        <v>JCAB</v>
      </c>
      <c r="H264" t="str">
        <f t="shared" si="117"/>
        <v>U ST BLDG 434 RM 113</v>
      </c>
      <c r="I264" t="str">
        <f t="shared" si="114"/>
        <v>BREMERTON</v>
      </c>
      <c r="J264" t="str">
        <f t="shared" si="115"/>
        <v>WA</v>
      </c>
      <c r="K264" t="str">
        <f t="shared" si="116"/>
        <v>000000000000000000</v>
      </c>
      <c r="L264" t="str">
        <f>T("3606275902")</f>
        <v>3606275902</v>
      </c>
    </row>
    <row r="265" spans="1:12" x14ac:dyDescent="0.35">
      <c r="A265" t="str">
        <f t="shared" si="109"/>
        <v>JUDGE ADVOCATE GENERAL</v>
      </c>
      <c r="B265" t="str">
        <f t="shared" si="110"/>
        <v>JCAB</v>
      </c>
      <c r="C265" t="str">
        <f t="shared" si="118"/>
        <v>U ST BLDG 434 RM 113</v>
      </c>
      <c r="D265" t="str">
        <f t="shared" si="111"/>
        <v>BREMERTON</v>
      </c>
      <c r="E265" t="str">
        <f t="shared" si="112"/>
        <v>WA</v>
      </c>
      <c r="F265" t="str">
        <f>T("983145020")</f>
        <v>983145020</v>
      </c>
      <c r="G265" t="str">
        <f t="shared" si="113"/>
        <v>JCAB</v>
      </c>
      <c r="H265" t="str">
        <f t="shared" si="117"/>
        <v>U ST BLDG 434 RM 113</v>
      </c>
      <c r="I265" t="str">
        <f t="shared" si="114"/>
        <v>BREMERTON</v>
      </c>
      <c r="J265" t="str">
        <f t="shared" si="115"/>
        <v>WA</v>
      </c>
      <c r="K265" t="str">
        <f t="shared" si="116"/>
        <v>000000000000000000</v>
      </c>
      <c r="L265" t="str">
        <f>T("3606275903")</f>
        <v>3606275903</v>
      </c>
    </row>
    <row r="266" spans="1:12" x14ac:dyDescent="0.35">
      <c r="A266" t="str">
        <f t="shared" si="109"/>
        <v>JUDGE ADVOCATE GENERAL</v>
      </c>
      <c r="B266" t="str">
        <f t="shared" si="110"/>
        <v>JCAB</v>
      </c>
      <c r="C266" t="str">
        <f t="shared" si="118"/>
        <v>U ST BLDG 434 RM 113</v>
      </c>
      <c r="D266" t="str">
        <f t="shared" si="111"/>
        <v>BREMERTON</v>
      </c>
      <c r="E266" t="str">
        <f t="shared" si="112"/>
        <v>WA</v>
      </c>
      <c r="F266" t="str">
        <f>T("983145020")</f>
        <v>983145020</v>
      </c>
      <c r="G266" t="str">
        <f t="shared" si="113"/>
        <v>JCAB</v>
      </c>
      <c r="H266" t="str">
        <f t="shared" si="117"/>
        <v>U ST BLDG 434 RM 113</v>
      </c>
      <c r="I266" t="str">
        <f t="shared" si="114"/>
        <v>BREMERTON</v>
      </c>
      <c r="J266" t="str">
        <f t="shared" si="115"/>
        <v>WA</v>
      </c>
      <c r="K266" t="str">
        <f t="shared" si="116"/>
        <v>000000000000000000</v>
      </c>
      <c r="L266" t="str">
        <f>T("3606275904")</f>
        <v>3606275904</v>
      </c>
    </row>
    <row r="267" spans="1:12" x14ac:dyDescent="0.35">
      <c r="A267" t="str">
        <f t="shared" si="109"/>
        <v>JUDGE ADVOCATE GENERAL</v>
      </c>
      <c r="B267" t="str">
        <f t="shared" si="110"/>
        <v>JCAB</v>
      </c>
      <c r="C267" t="str">
        <f t="shared" si="118"/>
        <v>U ST BLDG 434 RM 113</v>
      </c>
      <c r="D267" t="str">
        <f t="shared" si="111"/>
        <v>BREMERTON</v>
      </c>
      <c r="E267" t="str">
        <f t="shared" si="112"/>
        <v>WA</v>
      </c>
      <c r="F267" t="str">
        <f>T("983145020")</f>
        <v>983145020</v>
      </c>
      <c r="G267" t="str">
        <f t="shared" si="113"/>
        <v>JCAB</v>
      </c>
      <c r="H267" t="str">
        <f t="shared" si="117"/>
        <v>U ST BLDG 434 RM 113</v>
      </c>
      <c r="I267" t="str">
        <f t="shared" si="114"/>
        <v>BREMERTON</v>
      </c>
      <c r="J267" t="str">
        <f t="shared" si="115"/>
        <v>WA</v>
      </c>
      <c r="K267" t="str">
        <f>T("3606275900")</f>
        <v>3606275900</v>
      </c>
      <c r="L267" t="str">
        <f>T("3606275916")</f>
        <v>3606275916</v>
      </c>
    </row>
    <row r="268" spans="1:12" x14ac:dyDescent="0.35">
      <c r="A268" t="str">
        <f t="shared" si="109"/>
        <v>JUDGE ADVOCATE GENERAL</v>
      </c>
      <c r="B268" t="str">
        <f>T("JCAB U ST BLDG 434")</f>
        <v>JCAB U ST BLDG 434</v>
      </c>
      <c r="C268" t="str">
        <f>T("RM 113")</f>
        <v>RM 113</v>
      </c>
      <c r="D268" t="str">
        <f t="shared" si="111"/>
        <v>BREMERTON</v>
      </c>
      <c r="E268" t="str">
        <f t="shared" si="112"/>
        <v>WA</v>
      </c>
      <c r="F268" t="str">
        <f>T("983140001")</f>
        <v>983140001</v>
      </c>
      <c r="G268" t="str">
        <f>T("JCAB U ST BLDG 434")</f>
        <v>JCAB U ST BLDG 434</v>
      </c>
      <c r="H268" t="str">
        <f>T("RM 113")</f>
        <v>RM 113</v>
      </c>
      <c r="I268" t="str">
        <f t="shared" si="114"/>
        <v>BREMERTON</v>
      </c>
      <c r="J268" t="str">
        <f t="shared" si="115"/>
        <v>WA</v>
      </c>
      <c r="K268" t="str">
        <f>T("000000000000000000")</f>
        <v>000000000000000000</v>
      </c>
      <c r="L268" t="str">
        <f>T("3606275904")</f>
        <v>3606275904</v>
      </c>
    </row>
    <row r="269" spans="1:12" x14ac:dyDescent="0.35">
      <c r="A269" t="str">
        <f t="shared" si="109"/>
        <v>JUDGE ADVOCATE GENERAL</v>
      </c>
      <c r="B269" t="str">
        <f>T("JUDGE ADVOCATE GENERAL CODE 64")</f>
        <v>JUDGE ADVOCATE GENERAL CODE 64</v>
      </c>
      <c r="C269" t="str">
        <f>T("1322 PATTERSON AVE SE CODE 64")</f>
        <v>1322 PATTERSON AVE SE CODE 64</v>
      </c>
      <c r="D269" t="str">
        <f>T("WASHINGTON NAVY YARD")</f>
        <v>WASHINGTON NAVY YARD</v>
      </c>
      <c r="E269" t="str">
        <f>T("DC")</f>
        <v>DC</v>
      </c>
      <c r="F269" t="str">
        <f>T("203745107")</f>
        <v>203745107</v>
      </c>
      <c r="G269" t="str">
        <f>T("JUDGE ADVOCATE GENERAL CODE 64")</f>
        <v>JUDGE ADVOCATE GENERAL CODE 64</v>
      </c>
      <c r="H269" t="str">
        <f>T("1322 PATTERSON AVE SE CODE 64")</f>
        <v>1322 PATTERSON AVE SE CODE 64</v>
      </c>
      <c r="I269" t="str">
        <f>T("WASHINGTON NAVY YARD")</f>
        <v>WASHINGTON NAVY YARD</v>
      </c>
      <c r="J269" t="str">
        <f>T("DC")</f>
        <v>DC</v>
      </c>
      <c r="K269" t="str">
        <f>T("")</f>
        <v/>
      </c>
      <c r="L269" t="str">
        <f>T("2026855281")</f>
        <v>2026855281</v>
      </c>
    </row>
    <row r="270" spans="1:12" x14ac:dyDescent="0.35">
      <c r="A270" t="str">
        <f t="shared" si="109"/>
        <v>JUDGE ADVOCATE GENERAL</v>
      </c>
      <c r="B270" t="str">
        <f>T("U ST BLDG 434 RM 113")</f>
        <v>U ST BLDG 434 RM 113</v>
      </c>
      <c r="C270" t="str">
        <f>T("")</f>
        <v/>
      </c>
      <c r="D270" t="str">
        <f>T("BREMERTON")</f>
        <v>BREMERTON</v>
      </c>
      <c r="E270" t="str">
        <f>T("WA")</f>
        <v>WA</v>
      </c>
      <c r="F270" t="str">
        <f>T("983140001")</f>
        <v>983140001</v>
      </c>
      <c r="G270" t="str">
        <f>T("U ST BLDG 434 RM 113")</f>
        <v>U ST BLDG 434 RM 113</v>
      </c>
      <c r="H270" t="str">
        <f>T("")</f>
        <v/>
      </c>
      <c r="I270" t="str">
        <f>T("BREMERTON")</f>
        <v>BREMERTON</v>
      </c>
      <c r="J270" t="str">
        <f>T("WA")</f>
        <v>WA</v>
      </c>
      <c r="K270" t="str">
        <f>T("000000000000000000")</f>
        <v>000000000000000000</v>
      </c>
      <c r="L270" t="str">
        <f>T("3606275916")</f>
        <v>3606275916</v>
      </c>
    </row>
    <row r="271" spans="1:12" x14ac:dyDescent="0.35">
      <c r="A271" t="str">
        <f>T("ZZ DELETE OGC")</f>
        <v>ZZ DELETE OGC</v>
      </c>
      <c r="B271" t="str">
        <f>T("OFFICE OF THE GENERAL COUN")</f>
        <v>OFFICE OF THE GENERAL COUN</v>
      </c>
      <c r="C271" t="str">
        <f>T("1000 NAVY PENTAGON")</f>
        <v>1000 NAVY PENTAGON</v>
      </c>
      <c r="D271" t="str">
        <f t="shared" ref="D271:D288" si="119">T("WASHINGTON")</f>
        <v>WASHINGTON</v>
      </c>
      <c r="E271" t="str">
        <f t="shared" ref="E271:E288" si="120">T("DC")</f>
        <v>DC</v>
      </c>
      <c r="F271" t="str">
        <f t="shared" ref="F271:F288" si="121">T("203501000")</f>
        <v>203501000</v>
      </c>
      <c r="G271" t="str">
        <f>T("OFFICE OF THE GENERAL COUN")</f>
        <v>OFFICE OF THE GENERAL COUN</v>
      </c>
      <c r="H271" t="str">
        <f>T("1000 NAVY PENTAGON")</f>
        <v>1000 NAVY PENTAGON</v>
      </c>
      <c r="I271" t="str">
        <f t="shared" ref="I271:I288" si="122">T("WASHINGTON")</f>
        <v>WASHINGTON</v>
      </c>
      <c r="J271" t="str">
        <f t="shared" ref="J271:J288" si="123">T("DC")</f>
        <v>DC</v>
      </c>
      <c r="K271" t="str">
        <f>T("7036971878")</f>
        <v>7036971878</v>
      </c>
      <c r="L271" t="str">
        <f>T("7036972278")</f>
        <v>7036972278</v>
      </c>
    </row>
    <row r="272" spans="1:12" x14ac:dyDescent="0.35">
      <c r="A272" t="str">
        <f>T("ASN FM&amp;C")</f>
        <v>ASN FM&amp;C</v>
      </c>
      <c r="B272" t="str">
        <f t="shared" ref="B272:B288" si="124">T("1000 NAVY PENTAGON")</f>
        <v>1000 NAVY PENTAGON</v>
      </c>
      <c r="C272" t="str">
        <f>T("")</f>
        <v/>
      </c>
      <c r="D272" t="str">
        <f t="shared" si="119"/>
        <v>WASHINGTON</v>
      </c>
      <c r="E272" t="str">
        <f t="shared" si="120"/>
        <v>DC</v>
      </c>
      <c r="F272" t="str">
        <f t="shared" si="121"/>
        <v>203501000</v>
      </c>
      <c r="G272" t="str">
        <f>T("1000 NAVY PENTAGON")</f>
        <v>1000 NAVY PENTAGON</v>
      </c>
      <c r="H272" t="str">
        <f>T("")</f>
        <v/>
      </c>
      <c r="I272" t="str">
        <f t="shared" si="122"/>
        <v>WASHINGTON</v>
      </c>
      <c r="J272" t="str">
        <f t="shared" si="123"/>
        <v>DC</v>
      </c>
      <c r="K272" t="str">
        <f>T("")</f>
        <v/>
      </c>
      <c r="L272" t="str">
        <f>T("7036924883")</f>
        <v>7036924883</v>
      </c>
    </row>
    <row r="273" spans="1:12" x14ac:dyDescent="0.35">
      <c r="A273" t="str">
        <f>T("ASN FM&amp;C")</f>
        <v>ASN FM&amp;C</v>
      </c>
      <c r="B273" t="str">
        <f t="shared" si="124"/>
        <v>1000 NAVY PENTAGON</v>
      </c>
      <c r="C273" t="str">
        <f>T("")</f>
        <v/>
      </c>
      <c r="D273" t="str">
        <f t="shared" si="119"/>
        <v>WASHINGTON</v>
      </c>
      <c r="E273" t="str">
        <f t="shared" si="120"/>
        <v>DC</v>
      </c>
      <c r="F273" t="str">
        <f t="shared" si="121"/>
        <v>203501000</v>
      </c>
      <c r="G273" t="str">
        <f>T("1000 PENTAGON WAY")</f>
        <v>1000 PENTAGON WAY</v>
      </c>
      <c r="H273" t="str">
        <f>T("RM 4C449")</f>
        <v>RM 4C449</v>
      </c>
      <c r="I273" t="str">
        <f t="shared" si="122"/>
        <v>WASHINGTON</v>
      </c>
      <c r="J273" t="str">
        <f t="shared" si="123"/>
        <v>DC</v>
      </c>
      <c r="K273" t="str">
        <f t="shared" ref="K273:K278" si="125">T("000000000000000000")</f>
        <v>000000000000000000</v>
      </c>
      <c r="L273" t="str">
        <f>T("7036924885")</f>
        <v>7036924885</v>
      </c>
    </row>
    <row r="274" spans="1:12" x14ac:dyDescent="0.35">
      <c r="A274" t="str">
        <f>T("ASN FM&amp;C")</f>
        <v>ASN FM&amp;C</v>
      </c>
      <c r="B274" t="str">
        <f t="shared" si="124"/>
        <v>1000 NAVY PENTAGON</v>
      </c>
      <c r="C274" t="str">
        <f>T("")</f>
        <v/>
      </c>
      <c r="D274" t="str">
        <f t="shared" si="119"/>
        <v>WASHINGTON</v>
      </c>
      <c r="E274" t="str">
        <f t="shared" si="120"/>
        <v>DC</v>
      </c>
      <c r="F274" t="str">
        <f t="shared" si="121"/>
        <v>203501000</v>
      </c>
      <c r="G274" t="str">
        <f>T("1000 PENTAGON WAY")</f>
        <v>1000 PENTAGON WAY</v>
      </c>
      <c r="H274" t="str">
        <f>T("ROOM 4C449")</f>
        <v>ROOM 4C449</v>
      </c>
      <c r="I274" t="str">
        <f t="shared" si="122"/>
        <v>WASHINGTON</v>
      </c>
      <c r="J274" t="str">
        <f t="shared" si="123"/>
        <v>DC</v>
      </c>
      <c r="K274" t="str">
        <f t="shared" si="125"/>
        <v>000000000000000000</v>
      </c>
      <c r="L274" t="str">
        <f>T("7036924914")</f>
        <v>7036924914</v>
      </c>
    </row>
    <row r="275" spans="1:12" x14ac:dyDescent="0.35">
      <c r="A275" t="str">
        <f t="shared" ref="A275:A293" si="126">T("SECNAV")</f>
        <v>SECNAV</v>
      </c>
      <c r="B275" t="str">
        <f t="shared" si="124"/>
        <v>1000 NAVY PENTAGON</v>
      </c>
      <c r="C275" t="str">
        <f>T("ROOM 4B746")</f>
        <v>ROOM 4B746</v>
      </c>
      <c r="D275" t="str">
        <f t="shared" si="119"/>
        <v>WASHINGTON</v>
      </c>
      <c r="E275" t="str">
        <f t="shared" si="120"/>
        <v>DC</v>
      </c>
      <c r="F275" t="str">
        <f t="shared" si="121"/>
        <v>203501000</v>
      </c>
      <c r="G275" t="str">
        <f>T("1000 NAVY PENTAGON")</f>
        <v>1000 NAVY PENTAGON</v>
      </c>
      <c r="H275" t="str">
        <f>T("RM 4B746")</f>
        <v>RM 4B746</v>
      </c>
      <c r="I275" t="str">
        <f t="shared" si="122"/>
        <v>WASHINGTON</v>
      </c>
      <c r="J275" t="str">
        <f t="shared" si="123"/>
        <v>DC</v>
      </c>
      <c r="K275" t="str">
        <f t="shared" si="125"/>
        <v>000000000000000000</v>
      </c>
      <c r="L275" t="str">
        <f>T("7036143155")</f>
        <v>7036143155</v>
      </c>
    </row>
    <row r="276" spans="1:12" x14ac:dyDescent="0.35">
      <c r="A276" t="str">
        <f t="shared" si="126"/>
        <v>SECNAV</v>
      </c>
      <c r="B276" t="str">
        <f t="shared" si="124"/>
        <v>1000 NAVY PENTAGON</v>
      </c>
      <c r="C276" t="str">
        <f>T("ROOM 4B746")</f>
        <v>ROOM 4B746</v>
      </c>
      <c r="D276" t="str">
        <f t="shared" si="119"/>
        <v>WASHINGTON</v>
      </c>
      <c r="E276" t="str">
        <f t="shared" si="120"/>
        <v>DC</v>
      </c>
      <c r="F276" t="str">
        <f t="shared" si="121"/>
        <v>203501000</v>
      </c>
      <c r="G276" t="str">
        <f>T("1000 NAVY PENTAGON")</f>
        <v>1000 NAVY PENTAGON</v>
      </c>
      <c r="H276" t="str">
        <f>T("RM 4E763")</f>
        <v>RM 4E763</v>
      </c>
      <c r="I276" t="str">
        <f t="shared" si="122"/>
        <v>WASHINGTON</v>
      </c>
      <c r="J276" t="str">
        <f t="shared" si="123"/>
        <v>DC</v>
      </c>
      <c r="K276" t="str">
        <f t="shared" si="125"/>
        <v>000000000000000000</v>
      </c>
      <c r="L276" t="str">
        <f>T("7036926838")</f>
        <v>7036926838</v>
      </c>
    </row>
    <row r="277" spans="1:12" x14ac:dyDescent="0.35">
      <c r="A277" t="str">
        <f t="shared" si="126"/>
        <v>SECNAV</v>
      </c>
      <c r="B277" t="str">
        <f t="shared" si="124"/>
        <v>1000 NAVY PENTAGON</v>
      </c>
      <c r="C277" t="str">
        <f>T("ROOM 4B746")</f>
        <v>ROOM 4B746</v>
      </c>
      <c r="D277" t="str">
        <f t="shared" si="119"/>
        <v>WASHINGTON</v>
      </c>
      <c r="E277" t="str">
        <f t="shared" si="120"/>
        <v>DC</v>
      </c>
      <c r="F277" t="str">
        <f t="shared" si="121"/>
        <v>203501000</v>
      </c>
      <c r="G277" t="str">
        <f>T("1000 NAVY PENTAGON")</f>
        <v>1000 NAVY PENTAGON</v>
      </c>
      <c r="H277" t="str">
        <f>T("ROOM 4B746")</f>
        <v>ROOM 4B746</v>
      </c>
      <c r="I277" t="str">
        <f t="shared" si="122"/>
        <v>WASHINGTON</v>
      </c>
      <c r="J277" t="str">
        <f t="shared" si="123"/>
        <v>DC</v>
      </c>
      <c r="K277" t="str">
        <f t="shared" si="125"/>
        <v>000000000000000000</v>
      </c>
      <c r="L277" t="str">
        <f>T("7036927929")</f>
        <v>7036927929</v>
      </c>
    </row>
    <row r="278" spans="1:12" x14ac:dyDescent="0.35">
      <c r="A278" t="str">
        <f t="shared" si="126"/>
        <v>SECNAV</v>
      </c>
      <c r="B278" t="str">
        <f t="shared" si="124"/>
        <v>1000 NAVY PENTAGON</v>
      </c>
      <c r="C278" t="str">
        <f>T("ROOM 4B746")</f>
        <v>ROOM 4B746</v>
      </c>
      <c r="D278" t="str">
        <f t="shared" si="119"/>
        <v>WASHINGTON</v>
      </c>
      <c r="E278" t="str">
        <f t="shared" si="120"/>
        <v>DC</v>
      </c>
      <c r="F278" t="str">
        <f t="shared" si="121"/>
        <v>203501000</v>
      </c>
      <c r="G278" t="str">
        <f>T("1000 NAVY PENTAGON RM 4B255")</f>
        <v>1000 NAVY PENTAGON RM 4B255</v>
      </c>
      <c r="H278" t="str">
        <f>T("")</f>
        <v/>
      </c>
      <c r="I278" t="str">
        <f t="shared" si="122"/>
        <v>WASHINGTON</v>
      </c>
      <c r="J278" t="str">
        <f t="shared" si="123"/>
        <v>DC</v>
      </c>
      <c r="K278" t="str">
        <f t="shared" si="125"/>
        <v>000000000000000000</v>
      </c>
      <c r="L278" t="str">
        <f>T("7036951924")</f>
        <v>7036951924</v>
      </c>
    </row>
    <row r="279" spans="1:12" x14ac:dyDescent="0.35">
      <c r="A279" t="str">
        <f t="shared" si="126"/>
        <v>SECNAV</v>
      </c>
      <c r="B279" t="str">
        <f t="shared" si="124"/>
        <v>1000 NAVY PENTAGON</v>
      </c>
      <c r="C279" t="str">
        <f>T("ROOM 4B746")</f>
        <v>ROOM 4B746</v>
      </c>
      <c r="D279" t="str">
        <f t="shared" si="119"/>
        <v>WASHINGTON</v>
      </c>
      <c r="E279" t="str">
        <f t="shared" si="120"/>
        <v>DC</v>
      </c>
      <c r="F279" t="str">
        <f t="shared" si="121"/>
        <v>203501000</v>
      </c>
      <c r="G279" t="str">
        <f>T("1000 NAVY PENTAGON RM 4B255")</f>
        <v>1000 NAVY PENTAGON RM 4B255</v>
      </c>
      <c r="H279" t="str">
        <f>T("")</f>
        <v/>
      </c>
      <c r="I279" t="str">
        <f t="shared" si="122"/>
        <v>WASHINGTON</v>
      </c>
      <c r="J279" t="str">
        <f t="shared" si="123"/>
        <v>DC</v>
      </c>
      <c r="K279" t="str">
        <f>T("7036952952")</f>
        <v>7036952952</v>
      </c>
      <c r="L279" t="str">
        <f>T("7036951858")</f>
        <v>7036951858</v>
      </c>
    </row>
    <row r="280" spans="1:12" x14ac:dyDescent="0.35">
      <c r="A280" t="str">
        <f t="shared" si="126"/>
        <v>SECNAV</v>
      </c>
      <c r="B280" t="str">
        <f t="shared" si="124"/>
        <v>1000 NAVY PENTAGON</v>
      </c>
      <c r="C280" t="str">
        <f t="shared" ref="C280:C285" si="127">T("ROOM 4D652")</f>
        <v>ROOM 4D652</v>
      </c>
      <c r="D280" t="str">
        <f t="shared" si="119"/>
        <v>WASHINGTON</v>
      </c>
      <c r="E280" t="str">
        <f t="shared" si="120"/>
        <v>DC</v>
      </c>
      <c r="F280" t="str">
        <f t="shared" si="121"/>
        <v>203501000</v>
      </c>
      <c r="G280" t="str">
        <f>T("1000 NAVY PENTAGON")</f>
        <v>1000 NAVY PENTAGON</v>
      </c>
      <c r="H280" t="str">
        <f>T("ROOM 4D652")</f>
        <v>ROOM 4D652</v>
      </c>
      <c r="I280" t="str">
        <f t="shared" si="122"/>
        <v>WASHINGTON</v>
      </c>
      <c r="J280" t="str">
        <f t="shared" si="123"/>
        <v>DC</v>
      </c>
      <c r="K280" t="str">
        <f>T("000000000000000000")</f>
        <v>000000000000000000</v>
      </c>
      <c r="L280" t="str">
        <f>T("7036928125")</f>
        <v>7036928125</v>
      </c>
    </row>
    <row r="281" spans="1:12" x14ac:dyDescent="0.35">
      <c r="A281" t="str">
        <f t="shared" si="126"/>
        <v>SECNAV</v>
      </c>
      <c r="B281" t="str">
        <f t="shared" si="124"/>
        <v>1000 NAVY PENTAGON</v>
      </c>
      <c r="C281" t="str">
        <f t="shared" si="127"/>
        <v>ROOM 4D652</v>
      </c>
      <c r="D281" t="str">
        <f t="shared" si="119"/>
        <v>WASHINGTON</v>
      </c>
      <c r="E281" t="str">
        <f t="shared" si="120"/>
        <v>DC</v>
      </c>
      <c r="F281" t="str">
        <f t="shared" si="121"/>
        <v>203501000</v>
      </c>
      <c r="G281" t="str">
        <f>T("1000 NAVY PENTAGON")</f>
        <v>1000 NAVY PENTAGON</v>
      </c>
      <c r="H281" t="str">
        <f>T("ROOM 4D652")</f>
        <v>ROOM 4D652</v>
      </c>
      <c r="I281" t="str">
        <f t="shared" si="122"/>
        <v>WASHINGTON</v>
      </c>
      <c r="J281" t="str">
        <f t="shared" si="123"/>
        <v>DC</v>
      </c>
      <c r="K281" t="str">
        <f>T("000000000000000000")</f>
        <v>000000000000000000</v>
      </c>
      <c r="L281" t="str">
        <f>T("7036977491")</f>
        <v>7036977491</v>
      </c>
    </row>
    <row r="282" spans="1:12" x14ac:dyDescent="0.35">
      <c r="A282" t="str">
        <f t="shared" si="126"/>
        <v>SECNAV</v>
      </c>
      <c r="B282" t="str">
        <f t="shared" si="124"/>
        <v>1000 NAVY PENTAGON</v>
      </c>
      <c r="C282" t="str">
        <f t="shared" si="127"/>
        <v>ROOM 4D652</v>
      </c>
      <c r="D282" t="str">
        <f t="shared" si="119"/>
        <v>WASHINGTON</v>
      </c>
      <c r="E282" t="str">
        <f t="shared" si="120"/>
        <v>DC</v>
      </c>
      <c r="F282" t="str">
        <f t="shared" si="121"/>
        <v>203501000</v>
      </c>
      <c r="G282" t="str">
        <f>T("1000 NAVY PENTAGON")</f>
        <v>1000 NAVY PENTAGON</v>
      </c>
      <c r="H282" t="str">
        <f>T("ROOM 4D652")</f>
        <v>ROOM 4D652</v>
      </c>
      <c r="I282" t="str">
        <f t="shared" si="122"/>
        <v>WASHINGTON</v>
      </c>
      <c r="J282" t="str">
        <f t="shared" si="123"/>
        <v>DC</v>
      </c>
      <c r="K282" t="str">
        <f>T("7036973991")</f>
        <v>7036973991</v>
      </c>
      <c r="L282" t="str">
        <f>T("7036928109")</f>
        <v>7036928109</v>
      </c>
    </row>
    <row r="283" spans="1:12" x14ac:dyDescent="0.35">
      <c r="A283" t="str">
        <f t="shared" si="126"/>
        <v>SECNAV</v>
      </c>
      <c r="B283" t="str">
        <f t="shared" si="124"/>
        <v>1000 NAVY PENTAGON</v>
      </c>
      <c r="C283" t="str">
        <f t="shared" si="127"/>
        <v>ROOM 4D652</v>
      </c>
      <c r="D283" t="str">
        <f t="shared" si="119"/>
        <v>WASHINGTON</v>
      </c>
      <c r="E283" t="str">
        <f t="shared" si="120"/>
        <v>DC</v>
      </c>
      <c r="F283" t="str">
        <f t="shared" si="121"/>
        <v>203501000</v>
      </c>
      <c r="G283" t="str">
        <f>T("1000 NAVY PENTAGON")</f>
        <v>1000 NAVY PENTAGON</v>
      </c>
      <c r="H283" t="str">
        <f>T("ROOM 4D652")</f>
        <v>ROOM 4D652</v>
      </c>
      <c r="I283" t="str">
        <f t="shared" si="122"/>
        <v>WASHINGTON</v>
      </c>
      <c r="J283" t="str">
        <f t="shared" si="123"/>
        <v>DC</v>
      </c>
      <c r="K283" t="str">
        <f>T("7036973991")</f>
        <v>7036973991</v>
      </c>
      <c r="L283" t="str">
        <f>T("7036953888")</f>
        <v>7036953888</v>
      </c>
    </row>
    <row r="284" spans="1:12" x14ac:dyDescent="0.35">
      <c r="A284" t="str">
        <f t="shared" si="126"/>
        <v>SECNAV</v>
      </c>
      <c r="B284" t="str">
        <f t="shared" si="124"/>
        <v>1000 NAVY PENTAGON</v>
      </c>
      <c r="C284" t="str">
        <f t="shared" si="127"/>
        <v>ROOM 4D652</v>
      </c>
      <c r="D284" t="str">
        <f t="shared" si="119"/>
        <v>WASHINGTON</v>
      </c>
      <c r="E284" t="str">
        <f t="shared" si="120"/>
        <v>DC</v>
      </c>
      <c r="F284" t="str">
        <f t="shared" si="121"/>
        <v>203501000</v>
      </c>
      <c r="G284" t="str">
        <f>T("OFFICE OF THE SECRETARY OF THE NAVY")</f>
        <v>OFFICE OF THE SECRETARY OF THE NAVY</v>
      </c>
      <c r="H284" t="str">
        <f>T("ROOM 4D652")</f>
        <v>ROOM 4D652</v>
      </c>
      <c r="I284" t="str">
        <f t="shared" si="122"/>
        <v>WASHINGTON</v>
      </c>
      <c r="J284" t="str">
        <f t="shared" si="123"/>
        <v>DC</v>
      </c>
      <c r="K284" t="str">
        <f>T("7036973991")</f>
        <v>7036973991</v>
      </c>
      <c r="L284" t="str">
        <f>T("7036952258")</f>
        <v>7036952258</v>
      </c>
    </row>
    <row r="285" spans="1:12" x14ac:dyDescent="0.35">
      <c r="A285" t="str">
        <f t="shared" si="126"/>
        <v>SECNAV</v>
      </c>
      <c r="B285" t="str">
        <f t="shared" si="124"/>
        <v>1000 NAVY PENTAGON</v>
      </c>
      <c r="C285" t="str">
        <f t="shared" si="127"/>
        <v>ROOM 4D652</v>
      </c>
      <c r="D285" t="str">
        <f t="shared" si="119"/>
        <v>WASHINGTON</v>
      </c>
      <c r="E285" t="str">
        <f t="shared" si="120"/>
        <v>DC</v>
      </c>
      <c r="F285" t="str">
        <f t="shared" si="121"/>
        <v>203501000</v>
      </c>
      <c r="G285" t="str">
        <f>T("OFFICE OF THE SECRETARY OF THE NAVY")</f>
        <v>OFFICE OF THE SECRETARY OF THE NAVY</v>
      </c>
      <c r="H285" t="str">
        <f>T("ROOM 4E686")</f>
        <v>ROOM 4E686</v>
      </c>
      <c r="I285" t="str">
        <f t="shared" si="122"/>
        <v>WASHINGTON</v>
      </c>
      <c r="J285" t="str">
        <f t="shared" si="123"/>
        <v>DC</v>
      </c>
      <c r="K285" t="str">
        <f>T("7036939545")</f>
        <v>7036939545</v>
      </c>
      <c r="L285" t="str">
        <f>T("7036953131")</f>
        <v>7036953131</v>
      </c>
    </row>
    <row r="286" spans="1:12" x14ac:dyDescent="0.35">
      <c r="A286" t="str">
        <f t="shared" si="126"/>
        <v>SECNAV</v>
      </c>
      <c r="B286" t="str">
        <f t="shared" si="124"/>
        <v>1000 NAVY PENTAGON</v>
      </c>
      <c r="C286" t="str">
        <f>T("ROOM 4E572")</f>
        <v>ROOM 4E572</v>
      </c>
      <c r="D286" t="str">
        <f t="shared" si="119"/>
        <v>WASHINGTON</v>
      </c>
      <c r="E286" t="str">
        <f t="shared" si="120"/>
        <v>DC</v>
      </c>
      <c r="F286" t="str">
        <f t="shared" si="121"/>
        <v>203501000</v>
      </c>
      <c r="G286" t="str">
        <f>T("1000 NAVY PENTAGON")</f>
        <v>1000 NAVY PENTAGON</v>
      </c>
      <c r="H286" t="str">
        <f>T("ROOM 4E572")</f>
        <v>ROOM 4E572</v>
      </c>
      <c r="I286" t="str">
        <f t="shared" si="122"/>
        <v>WASHINGTON</v>
      </c>
      <c r="J286" t="str">
        <f t="shared" si="123"/>
        <v>DC</v>
      </c>
      <c r="K286" t="str">
        <f>T("000000000000000000")</f>
        <v>000000000000000000</v>
      </c>
      <c r="L286" t="str">
        <f>T("7036147068")</f>
        <v>7036147068</v>
      </c>
    </row>
    <row r="287" spans="1:12" x14ac:dyDescent="0.35">
      <c r="A287" t="str">
        <f t="shared" si="126"/>
        <v>SECNAV</v>
      </c>
      <c r="B287" t="str">
        <f t="shared" si="124"/>
        <v>1000 NAVY PENTAGON</v>
      </c>
      <c r="C287" t="str">
        <f>T("ROOM 4E615")</f>
        <v>ROOM 4E615</v>
      </c>
      <c r="D287" t="str">
        <f t="shared" si="119"/>
        <v>WASHINGTON</v>
      </c>
      <c r="E287" t="str">
        <f t="shared" si="120"/>
        <v>DC</v>
      </c>
      <c r="F287" t="str">
        <f t="shared" si="121"/>
        <v>203501000</v>
      </c>
      <c r="G287" t="str">
        <f>T("1000 NAVY PENTAGON")</f>
        <v>1000 NAVY PENTAGON</v>
      </c>
      <c r="H287" t="str">
        <f>T("ROOM 4E615")</f>
        <v>ROOM 4E615</v>
      </c>
      <c r="I287" t="str">
        <f t="shared" si="122"/>
        <v>WASHINGTON</v>
      </c>
      <c r="J287" t="str">
        <f t="shared" si="123"/>
        <v>DC</v>
      </c>
      <c r="K287" t="str">
        <f>T("000000000000000000")</f>
        <v>000000000000000000</v>
      </c>
      <c r="L287" t="str">
        <f>T("7036954211")</f>
        <v>7036954211</v>
      </c>
    </row>
    <row r="288" spans="1:12" x14ac:dyDescent="0.35">
      <c r="A288" t="str">
        <f t="shared" si="126"/>
        <v>SECNAV</v>
      </c>
      <c r="B288" t="str">
        <f t="shared" si="124"/>
        <v>1000 NAVY PENTAGON</v>
      </c>
      <c r="C288" t="str">
        <f>T("ROOM 4E615")</f>
        <v>ROOM 4E615</v>
      </c>
      <c r="D288" t="str">
        <f t="shared" si="119"/>
        <v>WASHINGTON</v>
      </c>
      <c r="E288" t="str">
        <f t="shared" si="120"/>
        <v>DC</v>
      </c>
      <c r="F288" t="str">
        <f t="shared" si="121"/>
        <v>203501000</v>
      </c>
      <c r="G288" t="str">
        <f>T("1000 NAVY PENTAGON")</f>
        <v>1000 NAVY PENTAGON</v>
      </c>
      <c r="H288" t="str">
        <f>T("ROOM 4E615")</f>
        <v>ROOM 4E615</v>
      </c>
      <c r="I288" t="str">
        <f t="shared" si="122"/>
        <v>WASHINGTON</v>
      </c>
      <c r="J288" t="str">
        <f t="shared" si="123"/>
        <v>DC</v>
      </c>
      <c r="K288" t="str">
        <f>T("000000000000000000")</f>
        <v>000000000000000000</v>
      </c>
      <c r="L288" t="str">
        <f>T("7036954233")</f>
        <v>7036954233</v>
      </c>
    </row>
    <row r="289" spans="1:12" x14ac:dyDescent="0.35">
      <c r="A289" t="str">
        <f t="shared" si="126"/>
        <v>SECNAV</v>
      </c>
      <c r="B289" t="str">
        <f>T("701 S COURTHOUSE ROAD")</f>
        <v>701 S COURTHOUSE ROAD</v>
      </c>
      <c r="C289" t="str">
        <f>T("SUITE 1200")</f>
        <v>SUITE 1200</v>
      </c>
      <c r="D289" t="str">
        <f>T("ARLINGTON")</f>
        <v>ARLINGTON</v>
      </c>
      <c r="E289" t="str">
        <f>T("VA")</f>
        <v>VA</v>
      </c>
      <c r="F289" t="str">
        <f>T("222042485")</f>
        <v>222042485</v>
      </c>
      <c r="G289" t="str">
        <f>T("701 S COURTHOUSE RD")</f>
        <v>701 S COURTHOUSE RD</v>
      </c>
      <c r="H289" t="str">
        <f>T("STE 1200")</f>
        <v>STE 1200</v>
      </c>
      <c r="I289" t="str">
        <f>T("ARLINGTON")</f>
        <v>ARLINGTON</v>
      </c>
      <c r="J289" t="str">
        <f>T("VA")</f>
        <v>VA</v>
      </c>
      <c r="K289" t="str">
        <f>T("7036041006")</f>
        <v>7036041006</v>
      </c>
      <c r="L289" t="str">
        <f>T("7036044534")</f>
        <v>7036044534</v>
      </c>
    </row>
    <row r="290" spans="1:12" x14ac:dyDescent="0.35">
      <c r="A290" t="str">
        <f t="shared" si="126"/>
        <v>SECNAV</v>
      </c>
      <c r="B290" t="str">
        <f>T("701 S COURTHOUSE ROAD")</f>
        <v>701 S COURTHOUSE ROAD</v>
      </c>
      <c r="C290" t="str">
        <f>T("SUITE 1200")</f>
        <v>SUITE 1200</v>
      </c>
      <c r="D290" t="str">
        <f>T("ARLINGTON")</f>
        <v>ARLINGTON</v>
      </c>
      <c r="E290" t="str">
        <f>T("VA")</f>
        <v>VA</v>
      </c>
      <c r="F290" t="str">
        <f>T("222042485")</f>
        <v>222042485</v>
      </c>
      <c r="G290" t="str">
        <f>T("701 S COURTHOUSE RD STE 1J165")</f>
        <v>701 S COURTHOUSE RD STE 1J165</v>
      </c>
      <c r="H290" t="str">
        <f>T("")</f>
        <v/>
      </c>
      <c r="I290" t="str">
        <f>T("ARLINGTON")</f>
        <v>ARLINGTON</v>
      </c>
      <c r="J290" t="str">
        <f>T("VA")</f>
        <v>VA</v>
      </c>
      <c r="K290" t="str">
        <f>T("000000000000000000")</f>
        <v>000000000000000000</v>
      </c>
      <c r="L290" t="str">
        <f>T("7036044534")</f>
        <v>7036044534</v>
      </c>
    </row>
    <row r="291" spans="1:12" x14ac:dyDescent="0.35">
      <c r="A291" t="str">
        <f t="shared" si="126"/>
        <v>SECNAV</v>
      </c>
      <c r="B291" t="str">
        <f>T("701 S COURTHOUSE ROAD")</f>
        <v>701 S COURTHOUSE ROAD</v>
      </c>
      <c r="C291" t="str">
        <f>T("SUITE 1200")</f>
        <v>SUITE 1200</v>
      </c>
      <c r="D291" t="str">
        <f>T("ARLINGTON")</f>
        <v>ARLINGTON</v>
      </c>
      <c r="E291" t="str">
        <f>T("VA")</f>
        <v>VA</v>
      </c>
      <c r="F291" t="str">
        <f>T("222042485")</f>
        <v>222042485</v>
      </c>
      <c r="G291" t="str">
        <f>T("701 S COURTHOUSE ROAD")</f>
        <v>701 S COURTHOUSE ROAD</v>
      </c>
      <c r="H291" t="str">
        <f>T("SUITE 1200")</f>
        <v>SUITE 1200</v>
      </c>
      <c r="I291" t="str">
        <f>T("ARLINGTON")</f>
        <v>ARLINGTON</v>
      </c>
      <c r="J291" t="str">
        <f>T("VA")</f>
        <v>VA</v>
      </c>
      <c r="K291" t="str">
        <f>T("000000000000000000")</f>
        <v>000000000000000000</v>
      </c>
      <c r="L291" t="str">
        <f>T("7036971668")</f>
        <v>7036971668</v>
      </c>
    </row>
    <row r="292" spans="1:12" x14ac:dyDescent="0.35">
      <c r="A292" t="str">
        <f t="shared" si="126"/>
        <v>SECNAV</v>
      </c>
      <c r="B292" t="str">
        <f>T("720 KENNON ST SE")</f>
        <v>720 KENNON ST SE</v>
      </c>
      <c r="C292" t="str">
        <f>T("BLDG 36 ROOM 207")</f>
        <v>BLDG 36 ROOM 207</v>
      </c>
      <c r="D292" t="str">
        <f t="shared" ref="D292:D298" si="128">T("WASHINGTON")</f>
        <v>WASHINGTON</v>
      </c>
      <c r="E292" t="str">
        <f t="shared" ref="E292:E298" si="129">T("DC")</f>
        <v>DC</v>
      </c>
      <c r="F292" t="str">
        <f>T("203745106")</f>
        <v>203745106</v>
      </c>
      <c r="G292" t="str">
        <f>T("720 KENNON AVENUE SE")</f>
        <v>720 KENNON AVENUE SE</v>
      </c>
      <c r="H292" t="str">
        <f>T("BLDG 36 ROOM 207")</f>
        <v>BLDG 36 ROOM 207</v>
      </c>
      <c r="I292" t="str">
        <f>T("WASHINGTON NAVY YARD")</f>
        <v>WASHINGTON NAVY YARD</v>
      </c>
      <c r="J292" t="str">
        <f t="shared" ref="J292:J299" si="130">T("DC")</f>
        <v>DC</v>
      </c>
      <c r="K292" t="str">
        <f>T("000000000000000000")</f>
        <v>000000000000000000</v>
      </c>
      <c r="L292" t="str">
        <f>T("2026856485")</f>
        <v>2026856485</v>
      </c>
    </row>
    <row r="293" spans="1:12" x14ac:dyDescent="0.35">
      <c r="A293" t="str">
        <f t="shared" si="126"/>
        <v>SECNAV</v>
      </c>
      <c r="B293" t="str">
        <f>T("720 KENNON ST SE")</f>
        <v>720 KENNON ST SE</v>
      </c>
      <c r="C293" t="str">
        <f>T("BLDG 36 ROOM 207")</f>
        <v>BLDG 36 ROOM 207</v>
      </c>
      <c r="D293" t="str">
        <f t="shared" si="128"/>
        <v>WASHINGTON</v>
      </c>
      <c r="E293" t="str">
        <f t="shared" si="129"/>
        <v>DC</v>
      </c>
      <c r="F293" t="str">
        <f>T("203745106")</f>
        <v>203745106</v>
      </c>
      <c r="G293" t="str">
        <f>T("720 KENNON ST SE")</f>
        <v>720 KENNON ST SE</v>
      </c>
      <c r="H293" t="str">
        <f>T("BLDG 36 ROOM 207")</f>
        <v>BLDG 36 ROOM 207</v>
      </c>
      <c r="I293" t="str">
        <f t="shared" ref="I293:I299" si="131">T("WASHINGTON")</f>
        <v>WASHINGTON</v>
      </c>
      <c r="J293" t="str">
        <f t="shared" si="130"/>
        <v>DC</v>
      </c>
      <c r="K293" t="str">
        <f>T("000000000000000000")</f>
        <v>000000000000000000</v>
      </c>
      <c r="L293" t="str">
        <f>T("2026856488")</f>
        <v>2026856488</v>
      </c>
    </row>
    <row r="294" spans="1:12" x14ac:dyDescent="0.35">
      <c r="A294" t="str">
        <f t="shared" ref="A294:A301" si="132">T("DUSN POLICY")</f>
        <v>DUSN POLICY</v>
      </c>
      <c r="B294" t="str">
        <f>T("1000 NAVY PENTAGON")</f>
        <v>1000 NAVY PENTAGON</v>
      </c>
      <c r="C294" t="str">
        <f>T("ROOM 1D469")</f>
        <v>ROOM 1D469</v>
      </c>
      <c r="D294" t="str">
        <f t="shared" si="128"/>
        <v>WASHINGTON</v>
      </c>
      <c r="E294" t="str">
        <f t="shared" si="129"/>
        <v>DC</v>
      </c>
      <c r="F294" t="str">
        <f>T("203501000")</f>
        <v>203501000</v>
      </c>
      <c r="G294" t="str">
        <f>T("1000 NAVY PENTAGON")</f>
        <v>1000 NAVY PENTAGON</v>
      </c>
      <c r="H294" t="str">
        <f>T("ROOM 1D469")</f>
        <v>ROOM 1D469</v>
      </c>
      <c r="I294" t="str">
        <f t="shared" si="131"/>
        <v>WASHINGTON</v>
      </c>
      <c r="J294" t="str">
        <f t="shared" si="130"/>
        <v>DC</v>
      </c>
      <c r="K294" t="str">
        <f>T("")</f>
        <v/>
      </c>
      <c r="L294" t="str">
        <f>T("7036142263")</f>
        <v>7036142263</v>
      </c>
    </row>
    <row r="295" spans="1:12" x14ac:dyDescent="0.35">
      <c r="A295" t="str">
        <f t="shared" si="132"/>
        <v>DUSN POLICY</v>
      </c>
      <c r="B295" t="str">
        <f>T("1000 NAVY PENTAGON")</f>
        <v>1000 NAVY PENTAGON</v>
      </c>
      <c r="C295" t="str">
        <f>T("ROOM 1D469")</f>
        <v>ROOM 1D469</v>
      </c>
      <c r="D295" t="str">
        <f t="shared" si="128"/>
        <v>WASHINGTON</v>
      </c>
      <c r="E295" t="str">
        <f t="shared" si="129"/>
        <v>DC</v>
      </c>
      <c r="F295" t="str">
        <f>T("203501000")</f>
        <v>203501000</v>
      </c>
      <c r="G295" t="str">
        <f>T("1000 NAVY PENTAGON RM 5E158")</f>
        <v>1000 NAVY PENTAGON RM 5E158</v>
      </c>
      <c r="H295" t="str">
        <f>T("")</f>
        <v/>
      </c>
      <c r="I295" t="str">
        <f t="shared" si="131"/>
        <v>WASHINGTON</v>
      </c>
      <c r="J295" t="str">
        <f t="shared" si="130"/>
        <v>DC</v>
      </c>
      <c r="K295" t="str">
        <f>T("000000000000000000")</f>
        <v>000000000000000000</v>
      </c>
      <c r="L295" t="str">
        <f>T("7036939277")</f>
        <v>7036939277</v>
      </c>
    </row>
    <row r="296" spans="1:12" x14ac:dyDescent="0.35">
      <c r="A296" t="str">
        <f t="shared" si="132"/>
        <v>DUSN POLICY</v>
      </c>
      <c r="B296" t="str">
        <f>T("1000 NAVY PENTAGON")</f>
        <v>1000 NAVY PENTAGON</v>
      </c>
      <c r="C296" t="str">
        <f>T("ROOM 4B746")</f>
        <v>ROOM 4B746</v>
      </c>
      <c r="D296" t="str">
        <f t="shared" si="128"/>
        <v>WASHINGTON</v>
      </c>
      <c r="E296" t="str">
        <f t="shared" si="129"/>
        <v>DC</v>
      </c>
      <c r="F296" t="str">
        <f>T("203501000")</f>
        <v>203501000</v>
      </c>
      <c r="G296" t="str">
        <f>T("1000 NAVY PENTAGON")</f>
        <v>1000 NAVY PENTAGON</v>
      </c>
      <c r="H296" t="str">
        <f>T("ROOM 4B746")</f>
        <v>ROOM 4B746</v>
      </c>
      <c r="I296" t="str">
        <f t="shared" si="131"/>
        <v>WASHINGTON</v>
      </c>
      <c r="J296" t="str">
        <f t="shared" si="130"/>
        <v>DC</v>
      </c>
      <c r="K296" t="str">
        <f>T("7036936465")</f>
        <v>7036936465</v>
      </c>
      <c r="L296" t="str">
        <f>T("7036927929")</f>
        <v>7036927929</v>
      </c>
    </row>
    <row r="297" spans="1:12" x14ac:dyDescent="0.35">
      <c r="A297" t="str">
        <f t="shared" si="132"/>
        <v>DUSN POLICY</v>
      </c>
      <c r="B297" t="str">
        <f>T("1000 NAVY PENTAGON")</f>
        <v>1000 NAVY PENTAGON</v>
      </c>
      <c r="C297" t="str">
        <f>T("ROOM 4E572")</f>
        <v>ROOM 4E572</v>
      </c>
      <c r="D297" t="str">
        <f t="shared" si="128"/>
        <v>WASHINGTON</v>
      </c>
      <c r="E297" t="str">
        <f t="shared" si="129"/>
        <v>DC</v>
      </c>
      <c r="F297" t="str">
        <f>T("203501000")</f>
        <v>203501000</v>
      </c>
      <c r="G297" t="str">
        <f>T("1000 NAVY PENTAGON")</f>
        <v>1000 NAVY PENTAGON</v>
      </c>
      <c r="H297" t="str">
        <f>T("RM 4E572")</f>
        <v>RM 4E572</v>
      </c>
      <c r="I297" t="str">
        <f t="shared" si="131"/>
        <v>WASHINGTON</v>
      </c>
      <c r="J297" t="str">
        <f t="shared" si="130"/>
        <v>DC</v>
      </c>
      <c r="K297" t="str">
        <f>T("7036957412")</f>
        <v>7036957412</v>
      </c>
      <c r="L297" t="str">
        <f>T("7036147038")</f>
        <v>7036147038</v>
      </c>
    </row>
    <row r="298" spans="1:12" x14ac:dyDescent="0.35">
      <c r="A298" t="str">
        <f t="shared" si="132"/>
        <v>DUSN POLICY</v>
      </c>
      <c r="B298" t="str">
        <f>T("1000 NAVY PENTAGON")</f>
        <v>1000 NAVY PENTAGON</v>
      </c>
      <c r="C298" t="str">
        <f>T("ROOM 4E572")</f>
        <v>ROOM 4E572</v>
      </c>
      <c r="D298" t="str">
        <f t="shared" si="128"/>
        <v>WASHINGTON</v>
      </c>
      <c r="E298" t="str">
        <f t="shared" si="129"/>
        <v>DC</v>
      </c>
      <c r="F298" t="str">
        <f>T("203501000")</f>
        <v>203501000</v>
      </c>
      <c r="G298" t="str">
        <f>T("1000 NAVY PENTAGON")</f>
        <v>1000 NAVY PENTAGON</v>
      </c>
      <c r="H298" t="str">
        <f>T("ROOM 4E572")</f>
        <v>ROOM 4E572</v>
      </c>
      <c r="I298" t="str">
        <f t="shared" si="131"/>
        <v>WASHINGTON</v>
      </c>
      <c r="J298" t="str">
        <f t="shared" si="130"/>
        <v>DC</v>
      </c>
      <c r="K298" t="str">
        <f>T("")</f>
        <v/>
      </c>
      <c r="L298" t="str">
        <f>T("7036147068")</f>
        <v>7036147068</v>
      </c>
    </row>
    <row r="299" spans="1:12" x14ac:dyDescent="0.35">
      <c r="A299" t="str">
        <f t="shared" si="132"/>
        <v>DUSN POLICY</v>
      </c>
      <c r="B299" t="str">
        <f>T("701 12TH ST N")</f>
        <v>701 12TH ST N</v>
      </c>
      <c r="C299" t="str">
        <f>T("SUITE 701D")</f>
        <v>SUITE 701D</v>
      </c>
      <c r="D299" t="str">
        <f>T("ARLINGTON")</f>
        <v>ARLINGTON</v>
      </c>
      <c r="E299" t="str">
        <f>T("VA")</f>
        <v>VA</v>
      </c>
      <c r="F299" t="str">
        <f>T("222010000")</f>
        <v>222010000</v>
      </c>
      <c r="G299" t="str">
        <f>T("1000 NAVY PENTAGON")</f>
        <v>1000 NAVY PENTAGON</v>
      </c>
      <c r="H299" t="str">
        <f>T("RM 4E572")</f>
        <v>RM 4E572</v>
      </c>
      <c r="I299" t="str">
        <f t="shared" si="131"/>
        <v>WASHINGTON</v>
      </c>
      <c r="J299" t="str">
        <f t="shared" si="130"/>
        <v>DC</v>
      </c>
      <c r="K299" t="str">
        <f>T("000000000000000000")</f>
        <v>000000000000000000</v>
      </c>
      <c r="L299" t="str">
        <f>T("7036010478")</f>
        <v>7036010478</v>
      </c>
    </row>
    <row r="300" spans="1:12" x14ac:dyDescent="0.35">
      <c r="A300" t="str">
        <f t="shared" si="132"/>
        <v>DUSN POLICY</v>
      </c>
      <c r="B300" t="str">
        <f>T("701 12TH ST N")</f>
        <v>701 12TH ST N</v>
      </c>
      <c r="C300" t="str">
        <f>T("SUITE 701D")</f>
        <v>SUITE 701D</v>
      </c>
      <c r="D300" t="str">
        <f>T("ARLINGTON")</f>
        <v>ARLINGTON</v>
      </c>
      <c r="E300" t="str">
        <f>T("VA")</f>
        <v>VA</v>
      </c>
      <c r="F300" t="str">
        <f>T("222010000")</f>
        <v>222010000</v>
      </c>
      <c r="G300" t="str">
        <f>T("201 12TH STREET N")</f>
        <v>201 12TH STREET N</v>
      </c>
      <c r="H300" t="str">
        <f>T("SUITE 701E")</f>
        <v>SUITE 701E</v>
      </c>
      <c r="I300" t="str">
        <f>T("ARLINGTON")</f>
        <v>ARLINGTON</v>
      </c>
      <c r="J300" t="str">
        <f>T("VA")</f>
        <v>VA</v>
      </c>
      <c r="K300" t="str">
        <f>T("000000000000000000")</f>
        <v>000000000000000000</v>
      </c>
      <c r="L300" t="str">
        <f>T("7036010478")</f>
        <v>7036010478</v>
      </c>
    </row>
    <row r="301" spans="1:12" x14ac:dyDescent="0.35">
      <c r="A301" t="str">
        <f t="shared" si="132"/>
        <v>DUSN POLICY</v>
      </c>
      <c r="B301" t="str">
        <f>T("701 12TH ST N")</f>
        <v>701 12TH ST N</v>
      </c>
      <c r="C301" t="str">
        <f>T("SUITE 701D")</f>
        <v>SUITE 701D</v>
      </c>
      <c r="D301" t="str">
        <f>T("ARLINGTON")</f>
        <v>ARLINGTON</v>
      </c>
      <c r="E301" t="str">
        <f>T("VA")</f>
        <v>VA</v>
      </c>
      <c r="F301" t="str">
        <f>T("222010000")</f>
        <v>222010000</v>
      </c>
      <c r="G301" t="str">
        <f>T("701 12TH ST N")</f>
        <v>701 12TH ST N</v>
      </c>
      <c r="H301" t="str">
        <f>T("SUITE 701D")</f>
        <v>SUITE 701D</v>
      </c>
      <c r="I301" t="str">
        <f>T("ARLINGTON")</f>
        <v>ARLINGTON</v>
      </c>
      <c r="J301" t="str">
        <f>T("VA")</f>
        <v>VA</v>
      </c>
      <c r="K301" t="str">
        <f>T("")</f>
        <v/>
      </c>
      <c r="L301" t="str">
        <f>T("7036010537")</f>
        <v>7036010537</v>
      </c>
    </row>
    <row r="302" spans="1:12" x14ac:dyDescent="0.35">
      <c r="A302" t="str">
        <f>T("ZZ DELETE CHINFO")</f>
        <v>ZZ DELETE CHINFO</v>
      </c>
      <c r="B302" t="str">
        <f>T("1000 NAVY PENTAGON")</f>
        <v>1000 NAVY PENTAGON</v>
      </c>
      <c r="C302" t="str">
        <f>T("ROOM 4B463")</f>
        <v>ROOM 4B463</v>
      </c>
      <c r="D302" t="str">
        <f t="shared" ref="D302:D311" si="133">T("WASHINGTON")</f>
        <v>WASHINGTON</v>
      </c>
      <c r="E302" t="str">
        <f t="shared" ref="E302:E311" si="134">T("DC")</f>
        <v>DC</v>
      </c>
      <c r="F302" t="str">
        <f>T("203501000")</f>
        <v>203501000</v>
      </c>
      <c r="G302" t="str">
        <f>T("1000 NAVY PENTAGON")</f>
        <v>1000 NAVY PENTAGON</v>
      </c>
      <c r="H302" t="str">
        <f>T("ROOM 4B463")</f>
        <v>ROOM 4B463</v>
      </c>
      <c r="I302" t="str">
        <f t="shared" ref="I302:I311" si="135">T("WASHINGTON")</f>
        <v>WASHINGTON</v>
      </c>
      <c r="J302" t="str">
        <f t="shared" ref="J302:J311" si="136">T("DC")</f>
        <v>DC</v>
      </c>
      <c r="K302" t="str">
        <f>T("7036955416")</f>
        <v>7036955416</v>
      </c>
      <c r="L302" t="str">
        <f>T("7036924750")</f>
        <v>7036924750</v>
      </c>
    </row>
    <row r="303" spans="1:12" x14ac:dyDescent="0.35">
      <c r="A303" t="str">
        <f>T("DON CIO")</f>
        <v>DON CIO</v>
      </c>
      <c r="B303" t="str">
        <f>T("DON CHIEF INFORMATION OFFICER")</f>
        <v>DON CHIEF INFORMATION OFFICER</v>
      </c>
      <c r="C303" t="str">
        <f>T("1000 NAVY PENTAGON RM 4B255")</f>
        <v>1000 NAVY PENTAGON RM 4B255</v>
      </c>
      <c r="D303" t="str">
        <f t="shared" si="133"/>
        <v>WASHINGTON</v>
      </c>
      <c r="E303" t="str">
        <f t="shared" si="134"/>
        <v>DC</v>
      </c>
      <c r="F303" t="str">
        <f>T("203501000")</f>
        <v>203501000</v>
      </c>
      <c r="G303" t="str">
        <f>T("1000 NAVY PENTAGON RM 4B255")</f>
        <v>1000 NAVY PENTAGON RM 4B255</v>
      </c>
      <c r="H303" t="str">
        <f>T("")</f>
        <v/>
      </c>
      <c r="I303" t="str">
        <f t="shared" si="135"/>
        <v>WASHINGTON</v>
      </c>
      <c r="J303" t="str">
        <f t="shared" si="136"/>
        <v>DC</v>
      </c>
      <c r="K303" t="str">
        <f>T("7036952952")</f>
        <v>7036952952</v>
      </c>
      <c r="L303" t="str">
        <f>T("7036951924")</f>
        <v>7036951924</v>
      </c>
    </row>
    <row r="304" spans="1:12" x14ac:dyDescent="0.35">
      <c r="A304" t="str">
        <f>T("DON CIO")</f>
        <v>DON CIO</v>
      </c>
      <c r="B304" t="str">
        <f>T("DON CHIEF INFORMATION OFFICER")</f>
        <v>DON CHIEF INFORMATION OFFICER</v>
      </c>
      <c r="C304" t="str">
        <f>T("1000 NAVY PENTAGON RM 4B255")</f>
        <v>1000 NAVY PENTAGON RM 4B255</v>
      </c>
      <c r="D304" t="str">
        <f t="shared" si="133"/>
        <v>WASHINGTON</v>
      </c>
      <c r="E304" t="str">
        <f t="shared" si="134"/>
        <v>DC</v>
      </c>
      <c r="F304" t="str">
        <f>T("203501000")</f>
        <v>203501000</v>
      </c>
      <c r="G304" t="str">
        <f>T("1000 NAVY PENTAGON RM 4B255")</f>
        <v>1000 NAVY PENTAGON RM 4B255</v>
      </c>
      <c r="H304" t="str">
        <f>T("")</f>
        <v/>
      </c>
      <c r="I304" t="str">
        <f t="shared" si="135"/>
        <v>WASHINGTON</v>
      </c>
      <c r="J304" t="str">
        <f t="shared" si="136"/>
        <v>DC</v>
      </c>
      <c r="K304" t="str">
        <f>T("7036952952")</f>
        <v>7036952952</v>
      </c>
      <c r="L304" t="str">
        <f>T("7036970001")</f>
        <v>7036970001</v>
      </c>
    </row>
    <row r="305" spans="1:12" x14ac:dyDescent="0.35">
      <c r="A305" t="str">
        <f>T("DON CIO")</f>
        <v>DON CIO</v>
      </c>
      <c r="B305" t="str">
        <f>T("DON CHIEF INFORMATION OFFICER")</f>
        <v>DON CHIEF INFORMATION OFFICER</v>
      </c>
      <c r="C305" t="str">
        <f>T("1000 NAVY PENTAGON RM 4B255")</f>
        <v>1000 NAVY PENTAGON RM 4B255</v>
      </c>
      <c r="D305" t="str">
        <f t="shared" si="133"/>
        <v>WASHINGTON</v>
      </c>
      <c r="E305" t="str">
        <f t="shared" si="134"/>
        <v>DC</v>
      </c>
      <c r="F305" t="str">
        <f>T("203501000")</f>
        <v>203501000</v>
      </c>
      <c r="G305" t="str">
        <f>T("DON CHIEF INFORMATION OFFICER")</f>
        <v>DON CHIEF INFORMATION OFFICER</v>
      </c>
      <c r="H305" t="str">
        <f>T("1000 NAVY PENTAGON RM 4B255")</f>
        <v>1000 NAVY PENTAGON RM 4B255</v>
      </c>
      <c r="I305" t="str">
        <f t="shared" si="135"/>
        <v>WASHINGTON</v>
      </c>
      <c r="J305" t="str">
        <f t="shared" si="136"/>
        <v>DC</v>
      </c>
      <c r="K305" t="str">
        <f>T("7036952952")</f>
        <v>7036952952</v>
      </c>
      <c r="L305" t="str">
        <f>T("7036952913")</f>
        <v>7036952913</v>
      </c>
    </row>
    <row r="306" spans="1:12" x14ac:dyDescent="0.35">
      <c r="A306" t="str">
        <f>T("ZZ DELETE ASN M&amp;RA")</f>
        <v>ZZ DELETE ASN M&amp;RA</v>
      </c>
      <c r="B306" t="str">
        <f>T("1000 NAVY PENTAGON")</f>
        <v>1000 NAVY PENTAGON</v>
      </c>
      <c r="C306" t="str">
        <f>T("ROOM 4E590")</f>
        <v>ROOM 4E590</v>
      </c>
      <c r="D306" t="str">
        <f t="shared" si="133"/>
        <v>WASHINGTON</v>
      </c>
      <c r="E306" t="str">
        <f t="shared" si="134"/>
        <v>DC</v>
      </c>
      <c r="F306" t="str">
        <f>T("203501000")</f>
        <v>203501000</v>
      </c>
      <c r="G306" t="str">
        <f>T("1000 NAVY PENTAGON")</f>
        <v>1000 NAVY PENTAGON</v>
      </c>
      <c r="H306" t="str">
        <f>T("ROOM 4E590")</f>
        <v>ROOM 4E590</v>
      </c>
      <c r="I306" t="str">
        <f t="shared" si="135"/>
        <v>WASHINGTON</v>
      </c>
      <c r="J306" t="str">
        <f t="shared" si="136"/>
        <v>DC</v>
      </c>
      <c r="K306" t="str">
        <f>T("7036143889")</f>
        <v>7036143889</v>
      </c>
      <c r="L306" t="str">
        <f>T("7036972179")</f>
        <v>7036972179</v>
      </c>
    </row>
    <row r="307" spans="1:12" x14ac:dyDescent="0.35">
      <c r="A307" t="str">
        <f>T("NAVAL AUDIT SERVICE")</f>
        <v>NAVAL AUDIT SERVICE</v>
      </c>
      <c r="B307" t="str">
        <f>T("1006 BEATTY PL SE")</f>
        <v>1006 BEATTY PL SE</v>
      </c>
      <c r="C307" t="str">
        <f>T("BLDG 219")</f>
        <v>BLDG 219</v>
      </c>
      <c r="D307" t="str">
        <f t="shared" si="133"/>
        <v>WASHINGTON</v>
      </c>
      <c r="E307" t="str">
        <f t="shared" si="134"/>
        <v>DC</v>
      </c>
      <c r="F307" t="str">
        <f>T("203745148")</f>
        <v>203745148</v>
      </c>
      <c r="G307" t="str">
        <f>T("1006 BEATTY PL SE")</f>
        <v>1006 BEATTY PL SE</v>
      </c>
      <c r="H307" t="str">
        <f>T("BLDG 219")</f>
        <v>BLDG 219</v>
      </c>
      <c r="I307" t="str">
        <f t="shared" si="135"/>
        <v>WASHINGTON</v>
      </c>
      <c r="J307" t="str">
        <f t="shared" si="136"/>
        <v>DC</v>
      </c>
      <c r="K307" t="str">
        <f>T("2024335980")</f>
        <v>2024335980</v>
      </c>
      <c r="L307" t="str">
        <f>T("2024335132")</f>
        <v>2024335132</v>
      </c>
    </row>
    <row r="308" spans="1:12" x14ac:dyDescent="0.35">
      <c r="A308" t="str">
        <f>T("NAVAL AUDIT SERVICE")</f>
        <v>NAVAL AUDIT SERVICE</v>
      </c>
      <c r="B308" t="str">
        <f>T("1006 BEATTY PL SE")</f>
        <v>1006 BEATTY PL SE</v>
      </c>
      <c r="C308" t="str">
        <f>T("BLDG 219")</f>
        <v>BLDG 219</v>
      </c>
      <c r="D308" t="str">
        <f t="shared" si="133"/>
        <v>WASHINGTON</v>
      </c>
      <c r="E308" t="str">
        <f t="shared" si="134"/>
        <v>DC</v>
      </c>
      <c r="F308" t="str">
        <f>T("203745148")</f>
        <v>203745148</v>
      </c>
      <c r="G308" t="str">
        <f>T("1006 BEATTY PLACE SE")</f>
        <v>1006 BEATTY PLACE SE</v>
      </c>
      <c r="H308" t="str">
        <f>T("WASHINGTON NAVY YARD")</f>
        <v>WASHINGTON NAVY YARD</v>
      </c>
      <c r="I308" t="str">
        <f t="shared" si="135"/>
        <v>WASHINGTON</v>
      </c>
      <c r="J308" t="str">
        <f t="shared" si="136"/>
        <v>DC</v>
      </c>
      <c r="K308" t="str">
        <f>T("2024335980")</f>
        <v>2024335980</v>
      </c>
      <c r="L308" t="str">
        <f>T("2024336165")</f>
        <v>2024336165</v>
      </c>
    </row>
    <row r="309" spans="1:12" x14ac:dyDescent="0.35">
      <c r="A309" t="str">
        <f>T("NAVAL AUDIT SERVICE")</f>
        <v>NAVAL AUDIT SERVICE</v>
      </c>
      <c r="B309" t="str">
        <f>T("1006 BEATTY PL SE")</f>
        <v>1006 BEATTY PL SE</v>
      </c>
      <c r="C309" t="str">
        <f>T("BLDG 219")</f>
        <v>BLDG 219</v>
      </c>
      <c r="D309" t="str">
        <f t="shared" si="133"/>
        <v>WASHINGTON</v>
      </c>
      <c r="E309" t="str">
        <f t="shared" si="134"/>
        <v>DC</v>
      </c>
      <c r="F309" t="str">
        <f>T("203745148")</f>
        <v>203745148</v>
      </c>
      <c r="G309" t="str">
        <f>T("WASH NAVY YARD BLDG 219-3")</f>
        <v>WASH NAVY YARD BLDG 219-3</v>
      </c>
      <c r="H309" t="str">
        <f>T("1006 BEATTY PLACE SE")</f>
        <v>1006 BEATTY PLACE SE</v>
      </c>
      <c r="I309" t="str">
        <f t="shared" si="135"/>
        <v>WASHINGTON</v>
      </c>
      <c r="J309" t="str">
        <f t="shared" si="136"/>
        <v>DC</v>
      </c>
      <c r="K309" t="str">
        <f>T("000000000000000000")</f>
        <v>000000000000000000</v>
      </c>
      <c r="L309" t="str">
        <f>T("2024336122")</f>
        <v>2024336122</v>
      </c>
    </row>
    <row r="310" spans="1:12" x14ac:dyDescent="0.35">
      <c r="A310" t="str">
        <f>T("NAVAL AUDIT SERVICE")</f>
        <v>NAVAL AUDIT SERVICE</v>
      </c>
      <c r="B310" t="str">
        <f>T("1006 BEATTY PLACE SE")</f>
        <v>1006 BEATTY PLACE SE</v>
      </c>
      <c r="C310" t="str">
        <f>T("BLDG 219")</f>
        <v>BLDG 219</v>
      </c>
      <c r="D310" t="str">
        <f t="shared" si="133"/>
        <v>WASHINGTON</v>
      </c>
      <c r="E310" t="str">
        <f t="shared" si="134"/>
        <v>DC</v>
      </c>
      <c r="F310" t="str">
        <f>T("203745148")</f>
        <v>203745148</v>
      </c>
      <c r="G310" t="str">
        <f>T("1006 BEATTY PLACE SE")</f>
        <v>1006 BEATTY PLACE SE</v>
      </c>
      <c r="H310" t="str">
        <f>T("BLDG 219")</f>
        <v>BLDG 219</v>
      </c>
      <c r="I310" t="str">
        <f t="shared" si="135"/>
        <v>WASHINGTON</v>
      </c>
      <c r="J310" t="str">
        <f t="shared" si="136"/>
        <v>DC</v>
      </c>
      <c r="K310" t="str">
        <f>T("2024335980")</f>
        <v>2024335980</v>
      </c>
      <c r="L310" t="str">
        <f>T("2024335132")</f>
        <v>2024335132</v>
      </c>
    </row>
    <row r="311" spans="1:12" x14ac:dyDescent="0.35">
      <c r="A311" t="str">
        <f>T("NAVAL AUDIT SERVICE")</f>
        <v>NAVAL AUDIT SERVICE</v>
      </c>
      <c r="B311" t="str">
        <f>T("1006 BEATTY PLACE SE")</f>
        <v>1006 BEATTY PLACE SE</v>
      </c>
      <c r="C311" t="str">
        <f>T("BLDG 219")</f>
        <v>BLDG 219</v>
      </c>
      <c r="D311" t="str">
        <f t="shared" si="133"/>
        <v>WASHINGTON</v>
      </c>
      <c r="E311" t="str">
        <f t="shared" si="134"/>
        <v>DC</v>
      </c>
      <c r="F311" t="str">
        <f>T("203745148")</f>
        <v>203745148</v>
      </c>
      <c r="G311" t="str">
        <f>T("1006 BEATTY PLACE SE")</f>
        <v>1006 BEATTY PLACE SE</v>
      </c>
      <c r="H311" t="str">
        <f>T("WASHINGTON NAVY YARD BLD 219")</f>
        <v>WASHINGTON NAVY YARD BLD 219</v>
      </c>
      <c r="I311" t="str">
        <f t="shared" si="135"/>
        <v>WASHINGTON</v>
      </c>
      <c r="J311" t="str">
        <f t="shared" si="136"/>
        <v>DC</v>
      </c>
      <c r="K311" t="str">
        <f>T("000000000000000000")</f>
        <v>000000000000000000</v>
      </c>
      <c r="L311" t="str">
        <f>T("2024335107")</f>
        <v>2024335107</v>
      </c>
    </row>
    <row r="312" spans="1:12" x14ac:dyDescent="0.35">
      <c r="A312" t="str">
        <f t="shared" ref="A312:A343" si="137">T("NCIS HQ")</f>
        <v>NCIS HQ</v>
      </c>
      <c r="B312" t="str">
        <f>T("1003 SUNFISH DR")</f>
        <v>1003 SUNFISH DR</v>
      </c>
      <c r="C312" t="str">
        <f t="shared" ref="C312:C321" si="138">T("")</f>
        <v/>
      </c>
      <c r="D312" t="str">
        <f>T("SILVERDALE")</f>
        <v>SILVERDALE</v>
      </c>
      <c r="E312" t="str">
        <f>T("WA")</f>
        <v>WA</v>
      </c>
      <c r="F312" t="str">
        <f>T("983159622")</f>
        <v>983159622</v>
      </c>
      <c r="G312" t="str">
        <f>T("1003 SUNFISH DR")</f>
        <v>1003 SUNFISH DR</v>
      </c>
      <c r="H312" t="str">
        <f>T("")</f>
        <v/>
      </c>
      <c r="I312" t="str">
        <f>T("SILVERDALE")</f>
        <v>SILVERDALE</v>
      </c>
      <c r="J312" t="str">
        <f>T("WA")</f>
        <v>WA</v>
      </c>
      <c r="K312" t="str">
        <f>T("000000000000000000")</f>
        <v>000000000000000000</v>
      </c>
      <c r="L312" t="str">
        <f>T("3603964660")</f>
        <v>3603964660</v>
      </c>
    </row>
    <row r="313" spans="1:12" x14ac:dyDescent="0.35">
      <c r="A313" t="str">
        <f t="shared" si="137"/>
        <v>NCIS HQ</v>
      </c>
      <c r="B313" t="str">
        <f>T("1003 SUNFISH DR")</f>
        <v>1003 SUNFISH DR</v>
      </c>
      <c r="C313" t="str">
        <f t="shared" si="138"/>
        <v/>
      </c>
      <c r="D313" t="str">
        <f>T("SILVERDALE")</f>
        <v>SILVERDALE</v>
      </c>
      <c r="E313" t="str">
        <f>T("WA")</f>
        <v>WA</v>
      </c>
      <c r="F313" t="str">
        <f>T("983159622")</f>
        <v>983159622</v>
      </c>
      <c r="G313" t="str">
        <f>T("1003 SUNFISH DR")</f>
        <v>1003 SUNFISH DR</v>
      </c>
      <c r="H313" t="str">
        <f>T("")</f>
        <v/>
      </c>
      <c r="I313" t="str">
        <f>T("SILVERDALE")</f>
        <v>SILVERDALE</v>
      </c>
      <c r="J313" t="str">
        <f>T("WA")</f>
        <v>WA</v>
      </c>
      <c r="K313" t="str">
        <f>T("3603967009")</f>
        <v>3603967009</v>
      </c>
      <c r="L313" t="str">
        <f>T("3603964660")</f>
        <v>3603964660</v>
      </c>
    </row>
    <row r="314" spans="1:12" x14ac:dyDescent="0.35">
      <c r="A314" t="str">
        <f t="shared" si="137"/>
        <v>NCIS HQ</v>
      </c>
      <c r="B314" t="str">
        <f>T("1003 SUNFISH DR")</f>
        <v>1003 SUNFISH DR</v>
      </c>
      <c r="C314" t="str">
        <f t="shared" si="138"/>
        <v/>
      </c>
      <c r="D314" t="str">
        <f>T("SILVERDALE")</f>
        <v>SILVERDALE</v>
      </c>
      <c r="E314" t="str">
        <f>T("WA")</f>
        <v>WA</v>
      </c>
      <c r="F314" t="str">
        <f>T("983159622")</f>
        <v>983159622</v>
      </c>
      <c r="G314" t="str">
        <f>T("260 WEST PIONEER WAY")</f>
        <v>260 WEST PIONEER WAY</v>
      </c>
      <c r="H314" t="str">
        <f>T("BLDG 13")</f>
        <v>BLDG 13</v>
      </c>
      <c r="I314" t="str">
        <f>T("OAK HARBOR")</f>
        <v>OAK HARBOR</v>
      </c>
      <c r="J314" t="str">
        <f>T("WA")</f>
        <v>WA</v>
      </c>
      <c r="K314" t="str">
        <f>T("000000000000000000")</f>
        <v>000000000000000000</v>
      </c>
      <c r="L314" t="str">
        <f>T("3602573359")</f>
        <v>3602573359</v>
      </c>
    </row>
    <row r="315" spans="1:12" x14ac:dyDescent="0.35">
      <c r="A315" t="str">
        <f t="shared" si="137"/>
        <v>NCIS HQ</v>
      </c>
      <c r="B315" t="str">
        <f>T("1006 BEATTY PLACE BLDG 219")</f>
        <v>1006 BEATTY PLACE BLDG 219</v>
      </c>
      <c r="C315" t="str">
        <f t="shared" si="138"/>
        <v/>
      </c>
      <c r="D315" t="str">
        <f>T("WASHINGTON")</f>
        <v>WASHINGTON</v>
      </c>
      <c r="E315" t="str">
        <f>T("DC")</f>
        <v>DC</v>
      </c>
      <c r="F315" t="str">
        <f>T("203745148")</f>
        <v>203745148</v>
      </c>
      <c r="G315" t="str">
        <f>T("1006 BEATTY PLACE BLDG 219")</f>
        <v>1006 BEATTY PLACE BLDG 219</v>
      </c>
      <c r="H315" t="str">
        <f>T("")</f>
        <v/>
      </c>
      <c r="I315" t="str">
        <f>T("WASHINGTON")</f>
        <v>WASHINGTON</v>
      </c>
      <c r="J315" t="str">
        <f>T("DC")</f>
        <v>DC</v>
      </c>
      <c r="K315" t="str">
        <f>T("2023590588")</f>
        <v>2023590588</v>
      </c>
      <c r="L315" t="str">
        <f>T("2024336043")</f>
        <v>2024336043</v>
      </c>
    </row>
    <row r="316" spans="1:12" x14ac:dyDescent="0.35">
      <c r="A316" t="str">
        <f t="shared" si="137"/>
        <v>NCIS HQ</v>
      </c>
      <c r="B316" t="str">
        <f>T("1006 BEATTY PLACE BLDG 219")</f>
        <v>1006 BEATTY PLACE BLDG 219</v>
      </c>
      <c r="C316" t="str">
        <f t="shared" si="138"/>
        <v/>
      </c>
      <c r="D316" t="str">
        <f>T("WASHINGTON")</f>
        <v>WASHINGTON</v>
      </c>
      <c r="E316" t="str">
        <f>T("DC")</f>
        <v>DC</v>
      </c>
      <c r="F316" t="str">
        <f>T("203745148")</f>
        <v>203745148</v>
      </c>
      <c r="G316" t="str">
        <f>T("293 INDEPENDENCE BLVD")</f>
        <v>293 INDEPENDENCE BLVD</v>
      </c>
      <c r="H316" t="str">
        <f>T("PEMBROKE 5 SUITE 500")</f>
        <v>PEMBROKE 5 SUITE 500</v>
      </c>
      <c r="I316" t="str">
        <f>T("VIRGINIA BEACH")</f>
        <v>VIRGINIA BEACH</v>
      </c>
      <c r="J316" t="str">
        <f t="shared" ref="J316:J321" si="139">T("VA")</f>
        <v>VA</v>
      </c>
      <c r="K316" t="str">
        <f>T("000000000000000000")</f>
        <v>000000000000000000</v>
      </c>
      <c r="L316" t="str">
        <f>T("7574442880")</f>
        <v>7574442880</v>
      </c>
    </row>
    <row r="317" spans="1:12" x14ac:dyDescent="0.35">
      <c r="A317" t="str">
        <f t="shared" si="137"/>
        <v>NCIS HQ</v>
      </c>
      <c r="B317" t="str">
        <f>T("1006 BEATTY PLACE BLDG 219")</f>
        <v>1006 BEATTY PLACE BLDG 219</v>
      </c>
      <c r="C317" t="str">
        <f t="shared" si="138"/>
        <v/>
      </c>
      <c r="D317" t="str">
        <f>T("WASHINGTON")</f>
        <v>WASHINGTON</v>
      </c>
      <c r="E317" t="str">
        <f>T("DC")</f>
        <v>DC</v>
      </c>
      <c r="F317" t="str">
        <f>T("203745148")</f>
        <v>203745148</v>
      </c>
      <c r="G317" t="str">
        <f>T("RUSSELL-KNOX BLDG")</f>
        <v>RUSSELL-KNOX BLDG</v>
      </c>
      <c r="H317" t="str">
        <f>T("27130 TELEGRAPH ROAD")</f>
        <v>27130 TELEGRAPH ROAD</v>
      </c>
      <c r="I317" t="str">
        <f>T("QUANTICO")</f>
        <v>QUANTICO</v>
      </c>
      <c r="J317" t="str">
        <f t="shared" si="139"/>
        <v>VA</v>
      </c>
      <c r="K317" t="str">
        <f>T("000000000000000000")</f>
        <v>000000000000000000</v>
      </c>
      <c r="L317" t="str">
        <f>T("5713059171")</f>
        <v>5713059171</v>
      </c>
    </row>
    <row r="318" spans="1:12" x14ac:dyDescent="0.35">
      <c r="A318" t="str">
        <f t="shared" si="137"/>
        <v>NCIS HQ</v>
      </c>
      <c r="B318" t="str">
        <f>T("1329 BELLINGER BLVD")</f>
        <v>1329 BELLINGER BLVD</v>
      </c>
      <c r="C318" t="str">
        <f t="shared" si="138"/>
        <v/>
      </c>
      <c r="D318" t="str">
        <f>T("NORFOLK")</f>
        <v>NORFOLK</v>
      </c>
      <c r="E318" t="str">
        <f>T("VA")</f>
        <v>VA</v>
      </c>
      <c r="F318" t="str">
        <f>T("235112329")</f>
        <v>235112329</v>
      </c>
      <c r="G318" t="str">
        <f>T("1329 BELLINGER BLVD")</f>
        <v>1329 BELLINGER BLVD</v>
      </c>
      <c r="H318" t="str">
        <f>T("")</f>
        <v/>
      </c>
      <c r="I318" t="str">
        <f>T("NORFOLK")</f>
        <v>NORFOLK</v>
      </c>
      <c r="J318" t="str">
        <f t="shared" si="139"/>
        <v>VA</v>
      </c>
      <c r="K318" t="str">
        <f>T("000000000000000000")</f>
        <v>000000000000000000</v>
      </c>
      <c r="L318" t="str">
        <f>T("7574445823")</f>
        <v>7574445823</v>
      </c>
    </row>
    <row r="319" spans="1:12" x14ac:dyDescent="0.35">
      <c r="A319" t="str">
        <f t="shared" si="137"/>
        <v>NCIS HQ</v>
      </c>
      <c r="B319" t="str">
        <f>T("1329 BELLINGER BLVD")</f>
        <v>1329 BELLINGER BLVD</v>
      </c>
      <c r="C319" t="str">
        <f t="shared" si="138"/>
        <v/>
      </c>
      <c r="D319" t="str">
        <f>T("NORFOLK")</f>
        <v>NORFOLK</v>
      </c>
      <c r="E319" t="str">
        <f>T("VA")</f>
        <v>VA</v>
      </c>
      <c r="F319" t="str">
        <f>T("235112329")</f>
        <v>235112329</v>
      </c>
      <c r="G319" t="str">
        <f>T("1329 BELLINGER BLVD")</f>
        <v>1329 BELLINGER BLVD</v>
      </c>
      <c r="H319" t="str">
        <f>T("")</f>
        <v/>
      </c>
      <c r="I319" t="str">
        <f>T("NORFOLK")</f>
        <v>NORFOLK</v>
      </c>
      <c r="J319" t="str">
        <f t="shared" si="139"/>
        <v>VA</v>
      </c>
      <c r="K319" t="str">
        <f>T("000000000000000000")</f>
        <v>000000000000000000</v>
      </c>
      <c r="L319" t="str">
        <f>T("7574446105")</f>
        <v>7574446105</v>
      </c>
    </row>
    <row r="320" spans="1:12" x14ac:dyDescent="0.35">
      <c r="A320" t="str">
        <f t="shared" si="137"/>
        <v>NCIS HQ</v>
      </c>
      <c r="B320" t="str">
        <f>T("1329 BELLINGER BLVD")</f>
        <v>1329 BELLINGER BLVD</v>
      </c>
      <c r="C320" t="str">
        <f t="shared" si="138"/>
        <v/>
      </c>
      <c r="D320" t="str">
        <f>T("NORFOLK")</f>
        <v>NORFOLK</v>
      </c>
      <c r="E320" t="str">
        <f>T("VA")</f>
        <v>VA</v>
      </c>
      <c r="F320" t="str">
        <f>T("235112329")</f>
        <v>235112329</v>
      </c>
      <c r="G320" t="str">
        <f>T("1329 BELLINGER BLVD")</f>
        <v>1329 BELLINGER BLVD</v>
      </c>
      <c r="H320" t="str">
        <f>T("")</f>
        <v/>
      </c>
      <c r="I320" t="str">
        <f>T("NORFOLK")</f>
        <v>NORFOLK</v>
      </c>
      <c r="J320" t="str">
        <f t="shared" si="139"/>
        <v>VA</v>
      </c>
      <c r="K320" t="str">
        <f>T("000000000000000000")</f>
        <v>000000000000000000</v>
      </c>
      <c r="L320" t="str">
        <f>T("7574446615")</f>
        <v>7574446615</v>
      </c>
    </row>
    <row r="321" spans="1:12" x14ac:dyDescent="0.35">
      <c r="A321" t="str">
        <f t="shared" si="137"/>
        <v>NCIS HQ</v>
      </c>
      <c r="B321" t="str">
        <f>T("1329 BELLINGER BLVD")</f>
        <v>1329 BELLINGER BLVD</v>
      </c>
      <c r="C321" t="str">
        <f t="shared" si="138"/>
        <v/>
      </c>
      <c r="D321" t="str">
        <f>T("NORFOLK")</f>
        <v>NORFOLK</v>
      </c>
      <c r="E321" t="str">
        <f>T("VA")</f>
        <v>VA</v>
      </c>
      <c r="F321" t="str">
        <f>T("235112329")</f>
        <v>235112329</v>
      </c>
      <c r="G321" t="str">
        <f>T("1329 BELLINGER BLVD")</f>
        <v>1329 BELLINGER BLVD</v>
      </c>
      <c r="H321" t="str">
        <f>T("")</f>
        <v/>
      </c>
      <c r="I321" t="str">
        <f>T("NORFOLK")</f>
        <v>NORFOLK</v>
      </c>
      <c r="J321" t="str">
        <f t="shared" si="139"/>
        <v>VA</v>
      </c>
      <c r="K321" t="str">
        <f>T("7574443139")</f>
        <v>7574443139</v>
      </c>
      <c r="L321" t="str">
        <f>T("7574446105")</f>
        <v>7574446105</v>
      </c>
    </row>
    <row r="322" spans="1:12" x14ac:dyDescent="0.35">
      <c r="A322" t="str">
        <f t="shared" si="137"/>
        <v>NCIS HQ</v>
      </c>
      <c r="B322" t="str">
        <f>T("181 WAINWRIGHT RD 3RD FL")</f>
        <v>181 WAINWRIGHT RD 3RD FL</v>
      </c>
      <c r="C322" t="str">
        <f>T("HALLIGAN HALL")</f>
        <v>HALLIGAN HALL</v>
      </c>
      <c r="D322" t="str">
        <f>T("ANNAPOLIX")</f>
        <v>ANNAPOLIX</v>
      </c>
      <c r="E322" t="str">
        <f>T("MD")</f>
        <v>MD</v>
      </c>
      <c r="F322" t="str">
        <f>T("214021236")</f>
        <v>214021236</v>
      </c>
      <c r="G322" t="str">
        <f>T("181 WAINWRIGHT RD 3RD FL")</f>
        <v>181 WAINWRIGHT RD 3RD FL</v>
      </c>
      <c r="H322" t="str">
        <f>T("HALLIGAN HALL")</f>
        <v>HALLIGAN HALL</v>
      </c>
      <c r="I322" t="str">
        <f>T("ANNAPOLIX")</f>
        <v>ANNAPOLIX</v>
      </c>
      <c r="J322" t="str">
        <f>T("MD")</f>
        <v>MD</v>
      </c>
      <c r="K322" t="str">
        <f>T("4102932521")</f>
        <v>4102932521</v>
      </c>
      <c r="L322" t="str">
        <f>T("4102933664")</f>
        <v>4102933664</v>
      </c>
    </row>
    <row r="323" spans="1:12" x14ac:dyDescent="0.35">
      <c r="A323" t="str">
        <f t="shared" si="137"/>
        <v>NCIS HQ</v>
      </c>
      <c r="B323" t="str">
        <f>T("181 WAINWRIGHT RD 3RD FL")</f>
        <v>181 WAINWRIGHT RD 3RD FL</v>
      </c>
      <c r="C323" t="str">
        <f>T("HALLIGAN HALL")</f>
        <v>HALLIGAN HALL</v>
      </c>
      <c r="D323" t="str">
        <f>T("ANNAPOLIX")</f>
        <v>ANNAPOLIX</v>
      </c>
      <c r="E323" t="str">
        <f>T("MD")</f>
        <v>MD</v>
      </c>
      <c r="F323" t="str">
        <f>T("214021236")</f>
        <v>214021236</v>
      </c>
      <c r="G323" t="str">
        <f>T("2713 MITSCHER RD SW")</f>
        <v>2713 MITSCHER RD SW</v>
      </c>
      <c r="H323" t="str">
        <f>T("BLDG 168 STE 200")</f>
        <v>BLDG 168 STE 200</v>
      </c>
      <c r="I323" t="str">
        <f>T("ANACOSTIA ANNEX")</f>
        <v>ANACOSTIA ANNEX</v>
      </c>
      <c r="J323" t="str">
        <f>T("DC")</f>
        <v>DC</v>
      </c>
      <c r="K323" t="str">
        <f>T("000000000000000000")</f>
        <v>000000000000000000</v>
      </c>
      <c r="L323" t="str">
        <f>T("2024333858")</f>
        <v>2024333858</v>
      </c>
    </row>
    <row r="324" spans="1:12" x14ac:dyDescent="0.35">
      <c r="A324" t="str">
        <f t="shared" si="137"/>
        <v>NCIS HQ</v>
      </c>
      <c r="B324" t="str">
        <f>T("181 WAINWRIGHT RD 3RD FL")</f>
        <v>181 WAINWRIGHT RD 3RD FL</v>
      </c>
      <c r="C324" t="str">
        <f>T("HALLIGAN HALL")</f>
        <v>HALLIGAN HALL</v>
      </c>
      <c r="D324" t="str">
        <f>T("ANNAPOLIX")</f>
        <v>ANNAPOLIX</v>
      </c>
      <c r="E324" t="str">
        <f>T("MD")</f>
        <v>MD</v>
      </c>
      <c r="F324" t="str">
        <f>T("214021236")</f>
        <v>214021236</v>
      </c>
      <c r="G324" t="str">
        <f>T("NCIS WASHINGTON FIELD OFFICE")</f>
        <v>NCIS WASHINGTON FIELD OFFICE</v>
      </c>
      <c r="H324" t="str">
        <f>T("2713 MITSCHER RD SW BLDG 168 STE2000")</f>
        <v>2713 MITSCHER RD SW BLDG 168 STE2000</v>
      </c>
      <c r="I324" t="str">
        <f>T("ANACOSTIA")</f>
        <v>ANACOSTIA</v>
      </c>
      <c r="J324" t="str">
        <f>T("DC")</f>
        <v>DC</v>
      </c>
      <c r="K324" t="str">
        <f>T("2024336055")</f>
        <v>2024336055</v>
      </c>
      <c r="L324" t="str">
        <f>T("2024334460")</f>
        <v>2024334460</v>
      </c>
    </row>
    <row r="325" spans="1:12" x14ac:dyDescent="0.35">
      <c r="A325" t="str">
        <f t="shared" si="137"/>
        <v>NCIS HQ</v>
      </c>
      <c r="B325" t="str">
        <f>T("251 18TH ST SOUTH")</f>
        <v>251 18TH ST SOUTH</v>
      </c>
      <c r="C325" t="str">
        <f>T("STE 905")</f>
        <v>STE 905</v>
      </c>
      <c r="D325" t="str">
        <f>T("ARLINGTON")</f>
        <v>ARLINGTON</v>
      </c>
      <c r="E325" t="str">
        <f t="shared" ref="E325:E353" si="140">T("VA")</f>
        <v>VA</v>
      </c>
      <c r="F325" t="str">
        <f>T("222023543")</f>
        <v>222023543</v>
      </c>
      <c r="G325" t="str">
        <f>T("251 18TH ST SOUTH")</f>
        <v>251 18TH ST SOUTH</v>
      </c>
      <c r="H325" t="str">
        <f>T("STE 905")</f>
        <v>STE 905</v>
      </c>
      <c r="I325" t="str">
        <f>T("ARLINGTON")</f>
        <v>ARLINGTON</v>
      </c>
      <c r="J325" t="str">
        <f>T("VA")</f>
        <v>VA</v>
      </c>
      <c r="K325" t="str">
        <f>T("7036997185")</f>
        <v>7036997185</v>
      </c>
      <c r="L325" t="str">
        <f>T("7036997174")</f>
        <v>7036997174</v>
      </c>
    </row>
    <row r="326" spans="1:12" x14ac:dyDescent="0.35">
      <c r="A326" t="str">
        <f t="shared" si="137"/>
        <v>NCIS HQ</v>
      </c>
      <c r="B326" t="str">
        <f>T("251 18TH ST SOUTH")</f>
        <v>251 18TH ST SOUTH</v>
      </c>
      <c r="C326" t="str">
        <f>T("STE 905")</f>
        <v>STE 905</v>
      </c>
      <c r="D326" t="str">
        <f>T("ARLINGTON")</f>
        <v>ARLINGTON</v>
      </c>
      <c r="E326" t="str">
        <f t="shared" si="140"/>
        <v>VA</v>
      </c>
      <c r="F326" t="str">
        <f>T("222023543")</f>
        <v>222023543</v>
      </c>
      <c r="G326" t="str">
        <f>T("2713 MITSCHER RD")</f>
        <v>2713 MITSCHER RD</v>
      </c>
      <c r="H326" t="str">
        <f>T("SUITE 300")</f>
        <v>SUITE 300</v>
      </c>
      <c r="I326" t="str">
        <f>T("JOINT BASE ANACOSTIA BOL")</f>
        <v>JOINT BASE ANACOSTIA BOL</v>
      </c>
      <c r="J326" t="str">
        <f>T("DC")</f>
        <v>DC</v>
      </c>
      <c r="K326" t="str">
        <f>T("000000000000000000")</f>
        <v>000000000000000000</v>
      </c>
      <c r="L326" t="str">
        <f>T("2024336064")</f>
        <v>2024336064</v>
      </c>
    </row>
    <row r="327" spans="1:12" x14ac:dyDescent="0.35">
      <c r="A327" t="str">
        <f t="shared" si="137"/>
        <v>NCIS HQ</v>
      </c>
      <c r="B327" t="str">
        <f t="shared" ref="B327:B353" si="141">T("27130 TELEGRAPH RD")</f>
        <v>27130 TELEGRAPH RD</v>
      </c>
      <c r="C327" t="str">
        <f t="shared" ref="C327:C340" si="142">T("")</f>
        <v/>
      </c>
      <c r="D327" t="str">
        <f t="shared" ref="D327:D353" si="143">T("QUANTICO")</f>
        <v>QUANTICO</v>
      </c>
      <c r="E327" t="str">
        <f t="shared" si="140"/>
        <v>VA</v>
      </c>
      <c r="F327" t="str">
        <f t="shared" ref="F327:F353" si="144">T("221342253")</f>
        <v>221342253</v>
      </c>
      <c r="G327" t="str">
        <f t="shared" ref="G327:G339" si="145">T("27130 TELEGRAPH RD")</f>
        <v>27130 TELEGRAPH RD</v>
      </c>
      <c r="H327" t="str">
        <f t="shared" ref="H327:H333" si="146">T("")</f>
        <v/>
      </c>
      <c r="I327" t="str">
        <f t="shared" ref="I327:I353" si="147">T("QUANTICO")</f>
        <v>QUANTICO</v>
      </c>
      <c r="J327" t="str">
        <f t="shared" ref="J327:J353" si="148">T("VA")</f>
        <v>VA</v>
      </c>
      <c r="K327" t="str">
        <f>T("")</f>
        <v/>
      </c>
      <c r="L327" t="str">
        <f>T("5713054801")</f>
        <v>5713054801</v>
      </c>
    </row>
    <row r="328" spans="1:12" x14ac:dyDescent="0.35">
      <c r="A328" t="str">
        <f t="shared" si="137"/>
        <v>NCIS HQ</v>
      </c>
      <c r="B328" t="str">
        <f t="shared" si="141"/>
        <v>27130 TELEGRAPH RD</v>
      </c>
      <c r="C328" t="str">
        <f t="shared" si="142"/>
        <v/>
      </c>
      <c r="D328" t="str">
        <f t="shared" si="143"/>
        <v>QUANTICO</v>
      </c>
      <c r="E328" t="str">
        <f t="shared" si="140"/>
        <v>VA</v>
      </c>
      <c r="F328" t="str">
        <f t="shared" si="144"/>
        <v>221342253</v>
      </c>
      <c r="G328" t="str">
        <f t="shared" si="145"/>
        <v>27130 TELEGRAPH RD</v>
      </c>
      <c r="H328" t="str">
        <f t="shared" si="146"/>
        <v/>
      </c>
      <c r="I328" t="str">
        <f t="shared" si="147"/>
        <v>QUANTICO</v>
      </c>
      <c r="J328" t="str">
        <f t="shared" si="148"/>
        <v>VA</v>
      </c>
      <c r="K328" t="str">
        <f>T("")</f>
        <v/>
      </c>
      <c r="L328" t="str">
        <f>T("5713055555")</f>
        <v>5713055555</v>
      </c>
    </row>
    <row r="329" spans="1:12" x14ac:dyDescent="0.35">
      <c r="A329" t="str">
        <f t="shared" si="137"/>
        <v>NCIS HQ</v>
      </c>
      <c r="B329" t="str">
        <f t="shared" si="141"/>
        <v>27130 TELEGRAPH RD</v>
      </c>
      <c r="C329" t="str">
        <f t="shared" si="142"/>
        <v/>
      </c>
      <c r="D329" t="str">
        <f t="shared" si="143"/>
        <v>QUANTICO</v>
      </c>
      <c r="E329" t="str">
        <f t="shared" si="140"/>
        <v>VA</v>
      </c>
      <c r="F329" t="str">
        <f t="shared" si="144"/>
        <v>221342253</v>
      </c>
      <c r="G329" t="str">
        <f t="shared" si="145"/>
        <v>27130 TELEGRAPH RD</v>
      </c>
      <c r="H329" t="str">
        <f t="shared" si="146"/>
        <v/>
      </c>
      <c r="I329" t="str">
        <f t="shared" si="147"/>
        <v>QUANTICO</v>
      </c>
      <c r="J329" t="str">
        <f t="shared" si="148"/>
        <v>VA</v>
      </c>
      <c r="K329" t="str">
        <f>T("")</f>
        <v/>
      </c>
      <c r="L329" t="str">
        <f>T("5713059065")</f>
        <v>5713059065</v>
      </c>
    </row>
    <row r="330" spans="1:12" x14ac:dyDescent="0.35">
      <c r="A330" t="str">
        <f t="shared" si="137"/>
        <v>NCIS HQ</v>
      </c>
      <c r="B330" t="str">
        <f t="shared" si="141"/>
        <v>27130 TELEGRAPH RD</v>
      </c>
      <c r="C330" t="str">
        <f t="shared" si="142"/>
        <v/>
      </c>
      <c r="D330" t="str">
        <f t="shared" si="143"/>
        <v>QUANTICO</v>
      </c>
      <c r="E330" t="str">
        <f t="shared" si="140"/>
        <v>VA</v>
      </c>
      <c r="F330" t="str">
        <f t="shared" si="144"/>
        <v>221342253</v>
      </c>
      <c r="G330" t="str">
        <f t="shared" si="145"/>
        <v>27130 TELEGRAPH RD</v>
      </c>
      <c r="H330" t="str">
        <f t="shared" si="146"/>
        <v/>
      </c>
      <c r="I330" t="str">
        <f t="shared" si="147"/>
        <v>QUANTICO</v>
      </c>
      <c r="J330" t="str">
        <f t="shared" si="148"/>
        <v>VA</v>
      </c>
      <c r="K330" t="str">
        <f>T("")</f>
        <v/>
      </c>
      <c r="L330" t="str">
        <f>T("5713059070")</f>
        <v>5713059070</v>
      </c>
    </row>
    <row r="331" spans="1:12" x14ac:dyDescent="0.35">
      <c r="A331" t="str">
        <f t="shared" si="137"/>
        <v>NCIS HQ</v>
      </c>
      <c r="B331" t="str">
        <f t="shared" si="141"/>
        <v>27130 TELEGRAPH RD</v>
      </c>
      <c r="C331" t="str">
        <f t="shared" si="142"/>
        <v/>
      </c>
      <c r="D331" t="str">
        <f t="shared" si="143"/>
        <v>QUANTICO</v>
      </c>
      <c r="E331" t="str">
        <f t="shared" si="140"/>
        <v>VA</v>
      </c>
      <c r="F331" t="str">
        <f t="shared" si="144"/>
        <v>221342253</v>
      </c>
      <c r="G331" t="str">
        <f t="shared" si="145"/>
        <v>27130 TELEGRAPH RD</v>
      </c>
      <c r="H331" t="str">
        <f t="shared" si="146"/>
        <v/>
      </c>
      <c r="I331" t="str">
        <f t="shared" si="147"/>
        <v>QUANTICO</v>
      </c>
      <c r="J331" t="str">
        <f t="shared" si="148"/>
        <v>VA</v>
      </c>
      <c r="K331" t="str">
        <f>T("000000000000000000")</f>
        <v>000000000000000000</v>
      </c>
      <c r="L331" t="str">
        <f>T("5713054501")</f>
        <v>5713054501</v>
      </c>
    </row>
    <row r="332" spans="1:12" x14ac:dyDescent="0.35">
      <c r="A332" t="str">
        <f t="shared" si="137"/>
        <v>NCIS HQ</v>
      </c>
      <c r="B332" t="str">
        <f t="shared" si="141"/>
        <v>27130 TELEGRAPH RD</v>
      </c>
      <c r="C332" t="str">
        <f t="shared" si="142"/>
        <v/>
      </c>
      <c r="D332" t="str">
        <f t="shared" si="143"/>
        <v>QUANTICO</v>
      </c>
      <c r="E332" t="str">
        <f t="shared" si="140"/>
        <v>VA</v>
      </c>
      <c r="F332" t="str">
        <f t="shared" si="144"/>
        <v>221342253</v>
      </c>
      <c r="G332" t="str">
        <f t="shared" si="145"/>
        <v>27130 TELEGRAPH RD</v>
      </c>
      <c r="H332" t="str">
        <f t="shared" si="146"/>
        <v/>
      </c>
      <c r="I332" t="str">
        <f t="shared" si="147"/>
        <v>QUANTICO</v>
      </c>
      <c r="J332" t="str">
        <f t="shared" si="148"/>
        <v>VA</v>
      </c>
      <c r="K332" t="str">
        <f>T("000000000000000000")</f>
        <v>000000000000000000</v>
      </c>
      <c r="L332" t="str">
        <f>T("5713059110")</f>
        <v>5713059110</v>
      </c>
    </row>
    <row r="333" spans="1:12" x14ac:dyDescent="0.35">
      <c r="A333" t="str">
        <f t="shared" si="137"/>
        <v>NCIS HQ</v>
      </c>
      <c r="B333" t="str">
        <f t="shared" si="141"/>
        <v>27130 TELEGRAPH RD</v>
      </c>
      <c r="C333" t="str">
        <f t="shared" si="142"/>
        <v/>
      </c>
      <c r="D333" t="str">
        <f t="shared" si="143"/>
        <v>QUANTICO</v>
      </c>
      <c r="E333" t="str">
        <f t="shared" si="140"/>
        <v>VA</v>
      </c>
      <c r="F333" t="str">
        <f t="shared" si="144"/>
        <v>221342253</v>
      </c>
      <c r="G333" t="str">
        <f t="shared" si="145"/>
        <v>27130 TELEGRAPH RD</v>
      </c>
      <c r="H333" t="str">
        <f t="shared" si="146"/>
        <v/>
      </c>
      <c r="I333" t="str">
        <f t="shared" si="147"/>
        <v>QUANTICO</v>
      </c>
      <c r="J333" t="str">
        <f t="shared" si="148"/>
        <v>VA</v>
      </c>
      <c r="K333" t="str">
        <f>T("2024339898")</f>
        <v>2024339898</v>
      </c>
      <c r="L333" t="str">
        <f>T("2026851443")</f>
        <v>2026851443</v>
      </c>
    </row>
    <row r="334" spans="1:12" x14ac:dyDescent="0.35">
      <c r="A334" t="str">
        <f t="shared" si="137"/>
        <v>NCIS HQ</v>
      </c>
      <c r="B334" t="str">
        <f t="shared" si="141"/>
        <v>27130 TELEGRAPH RD</v>
      </c>
      <c r="C334" t="str">
        <f t="shared" si="142"/>
        <v/>
      </c>
      <c r="D334" t="str">
        <f t="shared" si="143"/>
        <v>QUANTICO</v>
      </c>
      <c r="E334" t="str">
        <f t="shared" si="140"/>
        <v>VA</v>
      </c>
      <c r="F334" t="str">
        <f t="shared" si="144"/>
        <v>221342253</v>
      </c>
      <c r="G334" t="str">
        <f t="shared" si="145"/>
        <v>27130 TELEGRAPH RD</v>
      </c>
      <c r="H334" t="str">
        <f>T("CODE 15")</f>
        <v>CODE 15</v>
      </c>
      <c r="I334" t="str">
        <f t="shared" si="147"/>
        <v>QUANTICO</v>
      </c>
      <c r="J334" t="str">
        <f t="shared" si="148"/>
        <v>VA</v>
      </c>
      <c r="K334" t="str">
        <f t="shared" ref="K334:K340" si="149">T("000000000000000000")</f>
        <v>000000000000000000</v>
      </c>
      <c r="L334" t="str">
        <f>T("5713051111")</f>
        <v>5713051111</v>
      </c>
    </row>
    <row r="335" spans="1:12" x14ac:dyDescent="0.35">
      <c r="A335" t="str">
        <f t="shared" si="137"/>
        <v>NCIS HQ</v>
      </c>
      <c r="B335" t="str">
        <f t="shared" si="141"/>
        <v>27130 TELEGRAPH RD</v>
      </c>
      <c r="C335" t="str">
        <f t="shared" si="142"/>
        <v/>
      </c>
      <c r="D335" t="str">
        <f t="shared" si="143"/>
        <v>QUANTICO</v>
      </c>
      <c r="E335" t="str">
        <f t="shared" si="140"/>
        <v>VA</v>
      </c>
      <c r="F335" t="str">
        <f t="shared" si="144"/>
        <v>221342253</v>
      </c>
      <c r="G335" t="str">
        <f t="shared" si="145"/>
        <v>27130 TELEGRAPH RD</v>
      </c>
      <c r="H335" t="str">
        <f>T("RKB")</f>
        <v>RKB</v>
      </c>
      <c r="I335" t="str">
        <f t="shared" si="147"/>
        <v>QUANTICO</v>
      </c>
      <c r="J335" t="str">
        <f t="shared" si="148"/>
        <v>VA</v>
      </c>
      <c r="K335" t="str">
        <f t="shared" si="149"/>
        <v>000000000000000000</v>
      </c>
      <c r="L335" t="str">
        <f>T("5713054509")</f>
        <v>5713054509</v>
      </c>
    </row>
    <row r="336" spans="1:12" x14ac:dyDescent="0.35">
      <c r="A336" t="str">
        <f t="shared" si="137"/>
        <v>NCIS HQ</v>
      </c>
      <c r="B336" t="str">
        <f t="shared" si="141"/>
        <v>27130 TELEGRAPH RD</v>
      </c>
      <c r="C336" t="str">
        <f t="shared" si="142"/>
        <v/>
      </c>
      <c r="D336" t="str">
        <f t="shared" si="143"/>
        <v>QUANTICO</v>
      </c>
      <c r="E336" t="str">
        <f t="shared" si="140"/>
        <v>VA</v>
      </c>
      <c r="F336" t="str">
        <f t="shared" si="144"/>
        <v>221342253</v>
      </c>
      <c r="G336" t="str">
        <f t="shared" si="145"/>
        <v>27130 TELEGRAPH RD</v>
      </c>
      <c r="H336" t="str">
        <f>T("RKB")</f>
        <v>RKB</v>
      </c>
      <c r="I336" t="str">
        <f t="shared" si="147"/>
        <v>QUANTICO</v>
      </c>
      <c r="J336" t="str">
        <f t="shared" si="148"/>
        <v>VA</v>
      </c>
      <c r="K336" t="str">
        <f t="shared" si="149"/>
        <v>000000000000000000</v>
      </c>
      <c r="L336" t="str">
        <f>T("5713059282")</f>
        <v>5713059282</v>
      </c>
    </row>
    <row r="337" spans="1:12" x14ac:dyDescent="0.35">
      <c r="A337" t="str">
        <f t="shared" si="137"/>
        <v>NCIS HQ</v>
      </c>
      <c r="B337" t="str">
        <f t="shared" si="141"/>
        <v>27130 TELEGRAPH RD</v>
      </c>
      <c r="C337" t="str">
        <f t="shared" si="142"/>
        <v/>
      </c>
      <c r="D337" t="str">
        <f t="shared" si="143"/>
        <v>QUANTICO</v>
      </c>
      <c r="E337" t="str">
        <f t="shared" si="140"/>
        <v>VA</v>
      </c>
      <c r="F337" t="str">
        <f t="shared" si="144"/>
        <v>221342253</v>
      </c>
      <c r="G337" t="str">
        <f t="shared" si="145"/>
        <v>27130 TELEGRAPH RD</v>
      </c>
      <c r="H337" t="str">
        <f>T("RKB")</f>
        <v>RKB</v>
      </c>
      <c r="I337" t="str">
        <f t="shared" si="147"/>
        <v>QUANTICO</v>
      </c>
      <c r="J337" t="str">
        <f t="shared" si="148"/>
        <v>VA</v>
      </c>
      <c r="K337" t="str">
        <f t="shared" si="149"/>
        <v>000000000000000000</v>
      </c>
      <c r="L337" t="str">
        <f>T("5713059290")</f>
        <v>5713059290</v>
      </c>
    </row>
    <row r="338" spans="1:12" x14ac:dyDescent="0.35">
      <c r="A338" t="str">
        <f t="shared" si="137"/>
        <v>NCIS HQ</v>
      </c>
      <c r="B338" t="str">
        <f t="shared" si="141"/>
        <v>27130 TELEGRAPH RD</v>
      </c>
      <c r="C338" t="str">
        <f t="shared" si="142"/>
        <v/>
      </c>
      <c r="D338" t="str">
        <f t="shared" si="143"/>
        <v>QUANTICO</v>
      </c>
      <c r="E338" t="str">
        <f t="shared" si="140"/>
        <v>VA</v>
      </c>
      <c r="F338" t="str">
        <f t="shared" si="144"/>
        <v>221342253</v>
      </c>
      <c r="G338" t="str">
        <f t="shared" si="145"/>
        <v>27130 TELEGRAPH RD</v>
      </c>
      <c r="H338" t="str">
        <f>T("RKB")</f>
        <v>RKB</v>
      </c>
      <c r="I338" t="str">
        <f t="shared" si="147"/>
        <v>QUANTICO</v>
      </c>
      <c r="J338" t="str">
        <f t="shared" si="148"/>
        <v>VA</v>
      </c>
      <c r="K338" t="str">
        <f t="shared" si="149"/>
        <v>000000000000000000</v>
      </c>
      <c r="L338" t="str">
        <f>T("5713059470")</f>
        <v>5713059470</v>
      </c>
    </row>
    <row r="339" spans="1:12" x14ac:dyDescent="0.35">
      <c r="A339" t="str">
        <f t="shared" si="137"/>
        <v>NCIS HQ</v>
      </c>
      <c r="B339" t="str">
        <f t="shared" si="141"/>
        <v>27130 TELEGRAPH RD</v>
      </c>
      <c r="C339" t="str">
        <f t="shared" si="142"/>
        <v/>
      </c>
      <c r="D339" t="str">
        <f t="shared" si="143"/>
        <v>QUANTICO</v>
      </c>
      <c r="E339" t="str">
        <f t="shared" si="140"/>
        <v>VA</v>
      </c>
      <c r="F339" t="str">
        <f t="shared" si="144"/>
        <v>221342253</v>
      </c>
      <c r="G339" t="str">
        <f t="shared" si="145"/>
        <v>27130 TELEGRAPH RD</v>
      </c>
      <c r="H339" t="str">
        <f>T("RKB")</f>
        <v>RKB</v>
      </c>
      <c r="I339" t="str">
        <f t="shared" si="147"/>
        <v>QUANTICO</v>
      </c>
      <c r="J339" t="str">
        <f t="shared" si="148"/>
        <v>VA</v>
      </c>
      <c r="K339" t="str">
        <f t="shared" si="149"/>
        <v>000000000000000000</v>
      </c>
      <c r="L339" t="str">
        <f>T("5713059541")</f>
        <v>5713059541</v>
      </c>
    </row>
    <row r="340" spans="1:12" x14ac:dyDescent="0.35">
      <c r="A340" t="str">
        <f t="shared" si="137"/>
        <v>NCIS HQ</v>
      </c>
      <c r="B340" t="str">
        <f t="shared" si="141"/>
        <v>27130 TELEGRAPH RD</v>
      </c>
      <c r="C340" t="str">
        <f t="shared" si="142"/>
        <v/>
      </c>
      <c r="D340" t="str">
        <f t="shared" si="143"/>
        <v>QUANTICO</v>
      </c>
      <c r="E340" t="str">
        <f t="shared" si="140"/>
        <v>VA</v>
      </c>
      <c r="F340" t="str">
        <f t="shared" si="144"/>
        <v>221342253</v>
      </c>
      <c r="G340" t="str">
        <f>T("NAVAL CRIMINAL INVESTIGATIVE SERVICE")</f>
        <v>NAVAL CRIMINAL INVESTIGATIVE SERVICE</v>
      </c>
      <c r="H340" t="str">
        <f>T("27130 TELEGRAPH RD")</f>
        <v>27130 TELEGRAPH RD</v>
      </c>
      <c r="I340" t="str">
        <f t="shared" si="147"/>
        <v>QUANTICO</v>
      </c>
      <c r="J340" t="str">
        <f t="shared" si="148"/>
        <v>VA</v>
      </c>
      <c r="K340" t="str">
        <f t="shared" si="149"/>
        <v>000000000000000000</v>
      </c>
      <c r="L340" t="str">
        <f>T("5713059902")</f>
        <v>5713059902</v>
      </c>
    </row>
    <row r="341" spans="1:12" x14ac:dyDescent="0.35">
      <c r="A341" t="str">
        <f t="shared" si="137"/>
        <v>NCIS HQ</v>
      </c>
      <c r="B341" t="str">
        <f t="shared" si="141"/>
        <v>27130 TELEGRAPH RD</v>
      </c>
      <c r="C341" t="str">
        <f>T("CODE 11A")</f>
        <v>CODE 11A</v>
      </c>
      <c r="D341" t="str">
        <f t="shared" si="143"/>
        <v>QUANTICO</v>
      </c>
      <c r="E341" t="str">
        <f t="shared" si="140"/>
        <v>VA</v>
      </c>
      <c r="F341" t="str">
        <f t="shared" si="144"/>
        <v>221342253</v>
      </c>
      <c r="G341" t="str">
        <f>T("27130 TELEGRAPH RD")</f>
        <v>27130 TELEGRAPH RD</v>
      </c>
      <c r="H341" t="str">
        <f>T("CODE 11A")</f>
        <v>CODE 11A</v>
      </c>
      <c r="I341" t="str">
        <f t="shared" si="147"/>
        <v>QUANTICO</v>
      </c>
      <c r="J341" t="str">
        <f t="shared" si="148"/>
        <v>VA</v>
      </c>
      <c r="K341" t="str">
        <f>T("")</f>
        <v/>
      </c>
      <c r="L341" t="str">
        <f>T("5713059244")</f>
        <v>5713059244</v>
      </c>
    </row>
    <row r="342" spans="1:12" x14ac:dyDescent="0.35">
      <c r="A342" t="str">
        <f t="shared" si="137"/>
        <v>NCIS HQ</v>
      </c>
      <c r="B342" t="str">
        <f t="shared" si="141"/>
        <v>27130 TELEGRAPH RD</v>
      </c>
      <c r="C342" t="str">
        <f>T("CODE 11A")</f>
        <v>CODE 11A</v>
      </c>
      <c r="D342" t="str">
        <f t="shared" si="143"/>
        <v>QUANTICO</v>
      </c>
      <c r="E342" t="str">
        <f t="shared" si="140"/>
        <v>VA</v>
      </c>
      <c r="F342" t="str">
        <f t="shared" si="144"/>
        <v>221342253</v>
      </c>
      <c r="G342" t="str">
        <f>T("27130 TELEGRAPH RD")</f>
        <v>27130 TELEGRAPH RD</v>
      </c>
      <c r="H342" t="str">
        <f>T("RKB")</f>
        <v>RKB</v>
      </c>
      <c r="I342" t="str">
        <f t="shared" si="147"/>
        <v>QUANTICO</v>
      </c>
      <c r="J342" t="str">
        <f t="shared" si="148"/>
        <v>VA</v>
      </c>
      <c r="K342" t="str">
        <f t="shared" ref="K342:K349" si="150">T("000000000000000000")</f>
        <v>000000000000000000</v>
      </c>
      <c r="L342" t="str">
        <f>T("5713059356")</f>
        <v>5713059356</v>
      </c>
    </row>
    <row r="343" spans="1:12" x14ac:dyDescent="0.35">
      <c r="A343" t="str">
        <f t="shared" si="137"/>
        <v>NCIS HQ</v>
      </c>
      <c r="B343" t="str">
        <f t="shared" si="141"/>
        <v>27130 TELEGRAPH RD</v>
      </c>
      <c r="C343" t="str">
        <f t="shared" ref="C343:C350" si="151">T("RKB")</f>
        <v>RKB</v>
      </c>
      <c r="D343" t="str">
        <f t="shared" si="143"/>
        <v>QUANTICO</v>
      </c>
      <c r="E343" t="str">
        <f t="shared" si="140"/>
        <v>VA</v>
      </c>
      <c r="F343" t="str">
        <f t="shared" si="144"/>
        <v>221342253</v>
      </c>
      <c r="G343" t="str">
        <f>T("27130 TELEGRAPH")</f>
        <v>27130 TELEGRAPH</v>
      </c>
      <c r="H343" t="str">
        <f>T("")</f>
        <v/>
      </c>
      <c r="I343" t="str">
        <f t="shared" si="147"/>
        <v>QUANTICO</v>
      </c>
      <c r="J343" t="str">
        <f t="shared" si="148"/>
        <v>VA</v>
      </c>
      <c r="K343" t="str">
        <f t="shared" si="150"/>
        <v>000000000000000000</v>
      </c>
      <c r="L343" t="str">
        <f>T("5713059739")</f>
        <v>5713059739</v>
      </c>
    </row>
    <row r="344" spans="1:12" x14ac:dyDescent="0.35">
      <c r="A344" t="str">
        <f t="shared" ref="A344:A375" si="152">T("NCIS HQ")</f>
        <v>NCIS HQ</v>
      </c>
      <c r="B344" t="str">
        <f t="shared" si="141"/>
        <v>27130 TELEGRAPH RD</v>
      </c>
      <c r="C344" t="str">
        <f t="shared" si="151"/>
        <v>RKB</v>
      </c>
      <c r="D344" t="str">
        <f t="shared" si="143"/>
        <v>QUANTICO</v>
      </c>
      <c r="E344" t="str">
        <f t="shared" si="140"/>
        <v>VA</v>
      </c>
      <c r="F344" t="str">
        <f t="shared" si="144"/>
        <v>221342253</v>
      </c>
      <c r="G344" t="str">
        <f>T("27130 TELEGRAPH")</f>
        <v>27130 TELEGRAPH</v>
      </c>
      <c r="H344" t="str">
        <f>T("RKB")</f>
        <v>RKB</v>
      </c>
      <c r="I344" t="str">
        <f t="shared" si="147"/>
        <v>QUANTICO</v>
      </c>
      <c r="J344" t="str">
        <f t="shared" si="148"/>
        <v>VA</v>
      </c>
      <c r="K344" t="str">
        <f t="shared" si="150"/>
        <v>000000000000000000</v>
      </c>
      <c r="L344" t="str">
        <f>T("5713059736")</f>
        <v>5713059736</v>
      </c>
    </row>
    <row r="345" spans="1:12" x14ac:dyDescent="0.35">
      <c r="A345" t="str">
        <f t="shared" si="152"/>
        <v>NCIS HQ</v>
      </c>
      <c r="B345" t="str">
        <f t="shared" si="141"/>
        <v>27130 TELEGRAPH RD</v>
      </c>
      <c r="C345" t="str">
        <f t="shared" si="151"/>
        <v>RKB</v>
      </c>
      <c r="D345" t="str">
        <f t="shared" si="143"/>
        <v>QUANTICO</v>
      </c>
      <c r="E345" t="str">
        <f t="shared" si="140"/>
        <v>VA</v>
      </c>
      <c r="F345" t="str">
        <f t="shared" si="144"/>
        <v>221342253</v>
      </c>
      <c r="G345" t="str">
        <f t="shared" ref="G345:G353" si="153">T("27130 TELEGRAPH RD")</f>
        <v>27130 TELEGRAPH RD</v>
      </c>
      <c r="H345" t="str">
        <f>T("")</f>
        <v/>
      </c>
      <c r="I345" t="str">
        <f t="shared" si="147"/>
        <v>QUANTICO</v>
      </c>
      <c r="J345" t="str">
        <f t="shared" si="148"/>
        <v>VA</v>
      </c>
      <c r="K345" t="str">
        <f t="shared" si="150"/>
        <v>000000000000000000</v>
      </c>
      <c r="L345" t="str">
        <f>T("5713054749")</f>
        <v>5713054749</v>
      </c>
    </row>
    <row r="346" spans="1:12" x14ac:dyDescent="0.35">
      <c r="A346" t="str">
        <f t="shared" si="152"/>
        <v>NCIS HQ</v>
      </c>
      <c r="B346" t="str">
        <f t="shared" si="141"/>
        <v>27130 TELEGRAPH RD</v>
      </c>
      <c r="C346" t="str">
        <f t="shared" si="151"/>
        <v>RKB</v>
      </c>
      <c r="D346" t="str">
        <f t="shared" si="143"/>
        <v>QUANTICO</v>
      </c>
      <c r="E346" t="str">
        <f t="shared" si="140"/>
        <v>VA</v>
      </c>
      <c r="F346" t="str">
        <f t="shared" si="144"/>
        <v>221342253</v>
      </c>
      <c r="G346" t="str">
        <f t="shared" si="153"/>
        <v>27130 TELEGRAPH RD</v>
      </c>
      <c r="H346" t="str">
        <f>T("RKB")</f>
        <v>RKB</v>
      </c>
      <c r="I346" t="str">
        <f t="shared" si="147"/>
        <v>QUANTICO</v>
      </c>
      <c r="J346" t="str">
        <f t="shared" si="148"/>
        <v>VA</v>
      </c>
      <c r="K346" t="str">
        <f t="shared" si="150"/>
        <v>000000000000000000</v>
      </c>
      <c r="L346" t="str">
        <f>T("5713059023")</f>
        <v>5713059023</v>
      </c>
    </row>
    <row r="347" spans="1:12" x14ac:dyDescent="0.35">
      <c r="A347" t="str">
        <f t="shared" si="152"/>
        <v>NCIS HQ</v>
      </c>
      <c r="B347" t="str">
        <f t="shared" si="141"/>
        <v>27130 TELEGRAPH RD</v>
      </c>
      <c r="C347" t="str">
        <f t="shared" si="151"/>
        <v>RKB</v>
      </c>
      <c r="D347" t="str">
        <f t="shared" si="143"/>
        <v>QUANTICO</v>
      </c>
      <c r="E347" t="str">
        <f t="shared" si="140"/>
        <v>VA</v>
      </c>
      <c r="F347" t="str">
        <f t="shared" si="144"/>
        <v>221342253</v>
      </c>
      <c r="G347" t="str">
        <f t="shared" si="153"/>
        <v>27130 TELEGRAPH RD</v>
      </c>
      <c r="H347" t="str">
        <f>T("RKB")</f>
        <v>RKB</v>
      </c>
      <c r="I347" t="str">
        <f t="shared" si="147"/>
        <v>QUANTICO</v>
      </c>
      <c r="J347" t="str">
        <f t="shared" si="148"/>
        <v>VA</v>
      </c>
      <c r="K347" t="str">
        <f t="shared" si="150"/>
        <v>000000000000000000</v>
      </c>
      <c r="L347" t="str">
        <f>T("5713059029")</f>
        <v>5713059029</v>
      </c>
    </row>
    <row r="348" spans="1:12" x14ac:dyDescent="0.35">
      <c r="A348" t="str">
        <f t="shared" si="152"/>
        <v>NCIS HQ</v>
      </c>
      <c r="B348" t="str">
        <f t="shared" si="141"/>
        <v>27130 TELEGRAPH RD</v>
      </c>
      <c r="C348" t="str">
        <f t="shared" si="151"/>
        <v>RKB</v>
      </c>
      <c r="D348" t="str">
        <f t="shared" si="143"/>
        <v>QUANTICO</v>
      </c>
      <c r="E348" t="str">
        <f t="shared" si="140"/>
        <v>VA</v>
      </c>
      <c r="F348" t="str">
        <f t="shared" si="144"/>
        <v>221342253</v>
      </c>
      <c r="G348" t="str">
        <f t="shared" si="153"/>
        <v>27130 TELEGRAPH RD</v>
      </c>
      <c r="H348" t="str">
        <f>T("RKB")</f>
        <v>RKB</v>
      </c>
      <c r="I348" t="str">
        <f t="shared" si="147"/>
        <v>QUANTICO</v>
      </c>
      <c r="J348" t="str">
        <f t="shared" si="148"/>
        <v>VA</v>
      </c>
      <c r="K348" t="str">
        <f t="shared" si="150"/>
        <v>000000000000000000</v>
      </c>
      <c r="L348" t="str">
        <f>T("5713059183")</f>
        <v>5713059183</v>
      </c>
    </row>
    <row r="349" spans="1:12" x14ac:dyDescent="0.35">
      <c r="A349" t="str">
        <f t="shared" si="152"/>
        <v>NCIS HQ</v>
      </c>
      <c r="B349" t="str">
        <f t="shared" si="141"/>
        <v>27130 TELEGRAPH RD</v>
      </c>
      <c r="C349" t="str">
        <f t="shared" si="151"/>
        <v>RKB</v>
      </c>
      <c r="D349" t="str">
        <f t="shared" si="143"/>
        <v>QUANTICO</v>
      </c>
      <c r="E349" t="str">
        <f t="shared" si="140"/>
        <v>VA</v>
      </c>
      <c r="F349" t="str">
        <f t="shared" si="144"/>
        <v>221342253</v>
      </c>
      <c r="G349" t="str">
        <f t="shared" si="153"/>
        <v>27130 TELEGRAPH RD</v>
      </c>
      <c r="H349" t="str">
        <f>T("RKB")</f>
        <v>RKB</v>
      </c>
      <c r="I349" t="str">
        <f t="shared" si="147"/>
        <v>QUANTICO</v>
      </c>
      <c r="J349" t="str">
        <f t="shared" si="148"/>
        <v>VA</v>
      </c>
      <c r="K349" t="str">
        <f t="shared" si="150"/>
        <v>000000000000000000</v>
      </c>
      <c r="L349" t="str">
        <f>T("5713059739")</f>
        <v>5713059739</v>
      </c>
    </row>
    <row r="350" spans="1:12" x14ac:dyDescent="0.35">
      <c r="A350" t="str">
        <f t="shared" si="152"/>
        <v>NCIS HQ</v>
      </c>
      <c r="B350" t="str">
        <f t="shared" si="141"/>
        <v>27130 TELEGRAPH RD</v>
      </c>
      <c r="C350" t="str">
        <f t="shared" si="151"/>
        <v>RKB</v>
      </c>
      <c r="D350" t="str">
        <f t="shared" si="143"/>
        <v>QUANTICO</v>
      </c>
      <c r="E350" t="str">
        <f t="shared" si="140"/>
        <v>VA</v>
      </c>
      <c r="F350" t="str">
        <f t="shared" si="144"/>
        <v>221342253</v>
      </c>
      <c r="G350" t="str">
        <f t="shared" si="153"/>
        <v>27130 TELEGRAPH RD</v>
      </c>
      <c r="H350" t="str">
        <f>T("RKB")</f>
        <v>RKB</v>
      </c>
      <c r="I350" t="str">
        <f t="shared" si="147"/>
        <v>QUANTICO</v>
      </c>
      <c r="J350" t="str">
        <f t="shared" si="148"/>
        <v>VA</v>
      </c>
      <c r="K350" t="str">
        <f>T("2024337116")</f>
        <v>2024337116</v>
      </c>
      <c r="L350" t="str">
        <f>T("5713059179")</f>
        <v>5713059179</v>
      </c>
    </row>
    <row r="351" spans="1:12" x14ac:dyDescent="0.35">
      <c r="A351" t="str">
        <f t="shared" si="152"/>
        <v>NCIS HQ</v>
      </c>
      <c r="B351" t="str">
        <f t="shared" si="141"/>
        <v>27130 TELEGRAPH RD</v>
      </c>
      <c r="C351" t="str">
        <f>T("RUSSELL-KNOX BLDG")</f>
        <v>RUSSELL-KNOX BLDG</v>
      </c>
      <c r="D351" t="str">
        <f t="shared" si="143"/>
        <v>QUANTICO</v>
      </c>
      <c r="E351" t="str">
        <f t="shared" si="140"/>
        <v>VA</v>
      </c>
      <c r="F351" t="str">
        <f t="shared" si="144"/>
        <v>221342253</v>
      </c>
      <c r="G351" t="str">
        <f t="shared" si="153"/>
        <v>27130 TELEGRAPH RD</v>
      </c>
      <c r="H351" t="str">
        <f>T("")</f>
        <v/>
      </c>
      <c r="I351" t="str">
        <f t="shared" si="147"/>
        <v>QUANTICO</v>
      </c>
      <c r="J351" t="str">
        <f t="shared" si="148"/>
        <v>VA</v>
      </c>
      <c r="K351" t="str">
        <f>T("000000000000000000")</f>
        <v>000000000000000000</v>
      </c>
      <c r="L351" t="str">
        <f>T("5713059588")</f>
        <v>5713059588</v>
      </c>
    </row>
    <row r="352" spans="1:12" x14ac:dyDescent="0.35">
      <c r="A352" t="str">
        <f t="shared" si="152"/>
        <v>NCIS HQ</v>
      </c>
      <c r="B352" t="str">
        <f t="shared" si="141"/>
        <v>27130 TELEGRAPH RD</v>
      </c>
      <c r="C352" t="str">
        <f>T("RUSSELL-KNOX BLDG")</f>
        <v>RUSSELL-KNOX BLDG</v>
      </c>
      <c r="D352" t="str">
        <f t="shared" si="143"/>
        <v>QUANTICO</v>
      </c>
      <c r="E352" t="str">
        <f t="shared" si="140"/>
        <v>VA</v>
      </c>
      <c r="F352" t="str">
        <f t="shared" si="144"/>
        <v>221342253</v>
      </c>
      <c r="G352" t="str">
        <f t="shared" si="153"/>
        <v>27130 TELEGRAPH RD</v>
      </c>
      <c r="H352" t="str">
        <f>T("RKB")</f>
        <v>RKB</v>
      </c>
      <c r="I352" t="str">
        <f t="shared" si="147"/>
        <v>QUANTICO</v>
      </c>
      <c r="J352" t="str">
        <f t="shared" si="148"/>
        <v>VA</v>
      </c>
      <c r="K352" t="str">
        <f>T("000000000000000000")</f>
        <v>000000000000000000</v>
      </c>
      <c r="L352" t="str">
        <f>T("5713059644")</f>
        <v>5713059644</v>
      </c>
    </row>
    <row r="353" spans="1:12" x14ac:dyDescent="0.35">
      <c r="A353" t="str">
        <f t="shared" si="152"/>
        <v>NCIS HQ</v>
      </c>
      <c r="B353" t="str">
        <f t="shared" si="141"/>
        <v>27130 TELEGRAPH RD</v>
      </c>
      <c r="C353" t="str">
        <f>T("RUSSELL-KNOX BLDG")</f>
        <v>RUSSELL-KNOX BLDG</v>
      </c>
      <c r="D353" t="str">
        <f t="shared" si="143"/>
        <v>QUANTICO</v>
      </c>
      <c r="E353" t="str">
        <f t="shared" si="140"/>
        <v>VA</v>
      </c>
      <c r="F353" t="str">
        <f t="shared" si="144"/>
        <v>221342253</v>
      </c>
      <c r="G353" t="str">
        <f t="shared" si="153"/>
        <v>27130 TELEGRAPH RD</v>
      </c>
      <c r="H353" t="str">
        <f>T("RUSSELL-KNOX BLDG")</f>
        <v>RUSSELL-KNOX BLDG</v>
      </c>
      <c r="I353" t="str">
        <f t="shared" si="147"/>
        <v>QUANTICO</v>
      </c>
      <c r="J353" t="str">
        <f t="shared" si="148"/>
        <v>VA</v>
      </c>
      <c r="K353" t="str">
        <f>T("2024339147")</f>
        <v>2024339147</v>
      </c>
      <c r="L353" t="str">
        <f>T("5713051111")</f>
        <v>5713051111</v>
      </c>
    </row>
    <row r="354" spans="1:12" x14ac:dyDescent="0.35">
      <c r="A354" t="str">
        <f t="shared" si="152"/>
        <v>NCIS HQ</v>
      </c>
      <c r="B354" t="str">
        <f>T("2822 DOHERTY DR SW STE 411")</f>
        <v>2822 DOHERTY DR SW STE 411</v>
      </c>
      <c r="C354" t="str">
        <f>T("SUITE 411")</f>
        <v>SUITE 411</v>
      </c>
      <c r="D354" t="str">
        <f>T("WASHINGTON")</f>
        <v>WASHINGTON</v>
      </c>
      <c r="E354" t="str">
        <f t="shared" ref="E354:E363" si="154">T("DC")</f>
        <v>DC</v>
      </c>
      <c r="F354" t="str">
        <f>T("203730001")</f>
        <v>203730001</v>
      </c>
      <c r="G354" t="str">
        <f>T("2713 MITSCHER RD SW BLDG 168")</f>
        <v>2713 MITSCHER RD SW BLDG 168</v>
      </c>
      <c r="H354" t="str">
        <f>T("SUITE 200")</f>
        <v>SUITE 200</v>
      </c>
      <c r="I354" t="str">
        <f>T("ANACOSTIA")</f>
        <v>ANACOSTIA</v>
      </c>
      <c r="J354" t="str">
        <f>T("DC")</f>
        <v>DC</v>
      </c>
      <c r="K354" t="str">
        <f>T("000000000000000000")</f>
        <v>000000000000000000</v>
      </c>
      <c r="L354" t="str">
        <f>T("2024332419")</f>
        <v>2024332419</v>
      </c>
    </row>
    <row r="355" spans="1:12" x14ac:dyDescent="0.35">
      <c r="A355" t="str">
        <f t="shared" si="152"/>
        <v>NCIS HQ</v>
      </c>
      <c r="B355" t="str">
        <f>T("2822 DOHERTY DR SW STE 411")</f>
        <v>2822 DOHERTY DR SW STE 411</v>
      </c>
      <c r="C355" t="str">
        <f>T("SUITE 411")</f>
        <v>SUITE 411</v>
      </c>
      <c r="D355" t="str">
        <f>T("WASHINGTON")</f>
        <v>WASHINGTON</v>
      </c>
      <c r="E355" t="str">
        <f t="shared" si="154"/>
        <v>DC</v>
      </c>
      <c r="F355" t="str">
        <f>T("203730001")</f>
        <v>203730001</v>
      </c>
      <c r="G355" t="str">
        <f>T("2713 MITSCHER RD SW BLDG 168 STE 300")</f>
        <v>2713 MITSCHER RD SW BLDG 168 STE 300</v>
      </c>
      <c r="H355" t="str">
        <f>T("")</f>
        <v/>
      </c>
      <c r="I355" t="str">
        <f>T("JOINT BASE ANACOSTIA BOL")</f>
        <v>JOINT BASE ANACOSTIA BOL</v>
      </c>
      <c r="J355" t="str">
        <f>T("DC")</f>
        <v>DC</v>
      </c>
      <c r="K355" t="str">
        <f>T("000000000000000000")</f>
        <v>000000000000000000</v>
      </c>
      <c r="L355" t="str">
        <f>T("2024332110")</f>
        <v>2024332110</v>
      </c>
    </row>
    <row r="356" spans="1:12" x14ac:dyDescent="0.35">
      <c r="A356" t="str">
        <f t="shared" si="152"/>
        <v>NCIS HQ</v>
      </c>
      <c r="B356" t="str">
        <f>T("2822 DOHERTY DR SW STE 411")</f>
        <v>2822 DOHERTY DR SW STE 411</v>
      </c>
      <c r="C356" t="str">
        <f>T("SUITE 411")</f>
        <v>SUITE 411</v>
      </c>
      <c r="D356" t="str">
        <f>T("WASHINGTON")</f>
        <v>WASHINGTON</v>
      </c>
      <c r="E356" t="str">
        <f t="shared" si="154"/>
        <v>DC</v>
      </c>
      <c r="F356" t="str">
        <f>T("203730001")</f>
        <v>203730001</v>
      </c>
      <c r="G356" t="str">
        <f>T("2822 DOHERTY DR SW STE 411")</f>
        <v>2822 DOHERTY DR SW STE 411</v>
      </c>
      <c r="H356" t="str">
        <f>T("SUITE 411")</f>
        <v>SUITE 411</v>
      </c>
      <c r="I356" t="str">
        <f>T("WASHINGTON")</f>
        <v>WASHINGTON</v>
      </c>
      <c r="J356" t="str">
        <f>T("DC")</f>
        <v>DC</v>
      </c>
      <c r="K356" t="str">
        <f>T("2024332742")</f>
        <v>2024332742</v>
      </c>
      <c r="L356" t="str">
        <f>T("2024332562")</f>
        <v>2024332562</v>
      </c>
    </row>
    <row r="357" spans="1:12" x14ac:dyDescent="0.35">
      <c r="A357" t="str">
        <f t="shared" si="152"/>
        <v>NCIS HQ</v>
      </c>
      <c r="B357" t="str">
        <f t="shared" ref="B357:B363" si="155">T("2822 DOHERTY DRIVE SW BLDG 94")</f>
        <v>2822 DOHERTY DRIVE SW BLDG 94</v>
      </c>
      <c r="C357" t="str">
        <f t="shared" ref="C357:C363" si="156">T("JOINT BASE ANACOSTIA")</f>
        <v>JOINT BASE ANACOSTIA</v>
      </c>
      <c r="D357" t="str">
        <f t="shared" ref="D357:D363" si="157">T("BOLLING")</f>
        <v>BOLLING</v>
      </c>
      <c r="E357" t="str">
        <f t="shared" si="154"/>
        <v>DC</v>
      </c>
      <c r="F357" t="str">
        <f t="shared" ref="F357:F363" si="158">T("203730000")</f>
        <v>203730000</v>
      </c>
      <c r="G357" t="str">
        <f>T("2713 MITSCHER RD SW")</f>
        <v>2713 MITSCHER RD SW</v>
      </c>
      <c r="H357" t="str">
        <f>T("BLDG 168 STE 200")</f>
        <v>BLDG 168 STE 200</v>
      </c>
      <c r="I357" t="str">
        <f>T("ANACOSTIA")</f>
        <v>ANACOSTIA</v>
      </c>
      <c r="J357" t="str">
        <f>T("DC")</f>
        <v>DC</v>
      </c>
      <c r="K357" t="str">
        <f>T("000000000000000000")</f>
        <v>000000000000000000</v>
      </c>
      <c r="L357" t="str">
        <f>T("2024332564")</f>
        <v>2024332564</v>
      </c>
    </row>
    <row r="358" spans="1:12" x14ac:dyDescent="0.35">
      <c r="A358" t="str">
        <f t="shared" si="152"/>
        <v>NCIS HQ</v>
      </c>
      <c r="B358" t="str">
        <f t="shared" si="155"/>
        <v>2822 DOHERTY DRIVE SW BLDG 94</v>
      </c>
      <c r="C358" t="str">
        <f t="shared" si="156"/>
        <v>JOINT BASE ANACOSTIA</v>
      </c>
      <c r="D358" t="str">
        <f t="shared" si="157"/>
        <v>BOLLING</v>
      </c>
      <c r="E358" t="str">
        <f t="shared" si="154"/>
        <v>DC</v>
      </c>
      <c r="F358" t="str">
        <f t="shared" si="158"/>
        <v>203730000</v>
      </c>
      <c r="G358" t="str">
        <f>T("27130 TELEGRAPH")</f>
        <v>27130 TELEGRAPH</v>
      </c>
      <c r="H358" t="str">
        <f>T("RKB")</f>
        <v>RKB</v>
      </c>
      <c r="I358" t="str">
        <f>T("QUANTICO")</f>
        <v>QUANTICO</v>
      </c>
      <c r="J358" t="str">
        <f>T("VA")</f>
        <v>VA</v>
      </c>
      <c r="K358" t="str">
        <f>T("000000000000000000")</f>
        <v>000000000000000000</v>
      </c>
      <c r="L358" t="str">
        <f>T("5713059588")</f>
        <v>5713059588</v>
      </c>
    </row>
    <row r="359" spans="1:12" x14ac:dyDescent="0.35">
      <c r="A359" t="str">
        <f t="shared" si="152"/>
        <v>NCIS HQ</v>
      </c>
      <c r="B359" t="str">
        <f t="shared" si="155"/>
        <v>2822 DOHERTY DRIVE SW BLDG 94</v>
      </c>
      <c r="C359" t="str">
        <f t="shared" si="156"/>
        <v>JOINT BASE ANACOSTIA</v>
      </c>
      <c r="D359" t="str">
        <f t="shared" si="157"/>
        <v>BOLLING</v>
      </c>
      <c r="E359" t="str">
        <f t="shared" si="154"/>
        <v>DC</v>
      </c>
      <c r="F359" t="str">
        <f t="shared" si="158"/>
        <v>203730000</v>
      </c>
      <c r="G359" t="str">
        <f>T("2822 DOHERTY DRIVE SW BLDG 94")</f>
        <v>2822 DOHERTY DRIVE SW BLDG 94</v>
      </c>
      <c r="H359" t="str">
        <f>T("JOINT BASE ANACOSTIA")</f>
        <v>JOINT BASE ANACOSTIA</v>
      </c>
      <c r="I359" t="str">
        <f>T("BOLLING")</f>
        <v>BOLLING</v>
      </c>
      <c r="J359" t="str">
        <f>T("DC")</f>
        <v>DC</v>
      </c>
      <c r="K359" t="str">
        <f>T("")</f>
        <v/>
      </c>
      <c r="L359" t="str">
        <f>T("2024332563")</f>
        <v>2024332563</v>
      </c>
    </row>
    <row r="360" spans="1:12" x14ac:dyDescent="0.35">
      <c r="A360" t="str">
        <f t="shared" si="152"/>
        <v>NCIS HQ</v>
      </c>
      <c r="B360" t="str">
        <f t="shared" si="155"/>
        <v>2822 DOHERTY DRIVE SW BLDG 94</v>
      </c>
      <c r="C360" t="str">
        <f t="shared" si="156"/>
        <v>JOINT BASE ANACOSTIA</v>
      </c>
      <c r="D360" t="str">
        <f t="shared" si="157"/>
        <v>BOLLING</v>
      </c>
      <c r="E360" t="str">
        <f t="shared" si="154"/>
        <v>DC</v>
      </c>
      <c r="F360" t="str">
        <f t="shared" si="158"/>
        <v>203730000</v>
      </c>
      <c r="G360" t="str">
        <f>T("3405 WELLES ST")</f>
        <v>3405 WELLES ST</v>
      </c>
      <c r="H360" t="str">
        <f>T("BLDG 57 SUITE 1")</f>
        <v>BLDG 57 SUITE 1</v>
      </c>
      <c r="I360" t="str">
        <f>T("SAN DIEGO")</f>
        <v>SAN DIEGO</v>
      </c>
      <c r="J360" t="str">
        <f>T("CA")</f>
        <v>CA</v>
      </c>
      <c r="K360" t="str">
        <f>T("000000000000000000")</f>
        <v>000000000000000000</v>
      </c>
      <c r="L360" t="str">
        <f>T("6195567507")</f>
        <v>6195567507</v>
      </c>
    </row>
    <row r="361" spans="1:12" x14ac:dyDescent="0.35">
      <c r="A361" t="str">
        <f t="shared" si="152"/>
        <v>NCIS HQ</v>
      </c>
      <c r="B361" t="str">
        <f t="shared" si="155"/>
        <v>2822 DOHERTY DRIVE SW BLDG 94</v>
      </c>
      <c r="C361" t="str">
        <f t="shared" si="156"/>
        <v>JOINT BASE ANACOSTIA</v>
      </c>
      <c r="D361" t="str">
        <f t="shared" si="157"/>
        <v>BOLLING</v>
      </c>
      <c r="E361" t="str">
        <f t="shared" si="154"/>
        <v>DC</v>
      </c>
      <c r="F361" t="str">
        <f t="shared" si="158"/>
        <v>203730000</v>
      </c>
      <c r="G361" t="str">
        <f>T("9079 HAMPTON BLVD")</f>
        <v>9079 HAMPTON BLVD</v>
      </c>
      <c r="H361" t="str">
        <f>T("STE 110")</f>
        <v>STE 110</v>
      </c>
      <c r="I361" t="str">
        <f>T("NORFOLK")</f>
        <v>NORFOLK</v>
      </c>
      <c r="J361" t="str">
        <f>T("VA")</f>
        <v>VA</v>
      </c>
      <c r="K361" t="str">
        <f>T("000000000000000000")</f>
        <v>000000000000000000</v>
      </c>
      <c r="L361" t="str">
        <f>T("7574458308")</f>
        <v>7574458308</v>
      </c>
    </row>
    <row r="362" spans="1:12" x14ac:dyDescent="0.35">
      <c r="A362" t="str">
        <f t="shared" si="152"/>
        <v>NCIS HQ</v>
      </c>
      <c r="B362" t="str">
        <f t="shared" si="155"/>
        <v>2822 DOHERTY DRIVE SW BLDG 94</v>
      </c>
      <c r="C362" t="str">
        <f t="shared" si="156"/>
        <v>JOINT BASE ANACOSTIA</v>
      </c>
      <c r="D362" t="str">
        <f t="shared" si="157"/>
        <v>BOLLING</v>
      </c>
      <c r="E362" t="str">
        <f t="shared" si="154"/>
        <v>DC</v>
      </c>
      <c r="F362" t="str">
        <f t="shared" si="158"/>
        <v>203730000</v>
      </c>
      <c r="G362" t="str">
        <f>T("CYBER OPS FIELD OFFICE")</f>
        <v>CYBER OPS FIELD OFFICE</v>
      </c>
      <c r="H362" t="str">
        <f>T("2713 MITSCHER RD SW BLDG 68 STE 200")</f>
        <v>2713 MITSCHER RD SW BLDG 68 STE 200</v>
      </c>
      <c r="I362" t="str">
        <f>T("ANACOSTIA")</f>
        <v>ANACOSTIA</v>
      </c>
      <c r="J362" t="str">
        <f>T("DC")</f>
        <v>DC</v>
      </c>
      <c r="K362" t="str">
        <f>T("000000000000000000")</f>
        <v>000000000000000000</v>
      </c>
      <c r="L362" t="str">
        <f>T("2024339824")</f>
        <v>2024339824</v>
      </c>
    </row>
    <row r="363" spans="1:12" x14ac:dyDescent="0.35">
      <c r="A363" t="str">
        <f t="shared" si="152"/>
        <v>NCIS HQ</v>
      </c>
      <c r="B363" t="str">
        <f t="shared" si="155"/>
        <v>2822 DOHERTY DRIVE SW BLDG 94</v>
      </c>
      <c r="C363" t="str">
        <f t="shared" si="156"/>
        <v>JOINT BASE ANACOSTIA</v>
      </c>
      <c r="D363" t="str">
        <f t="shared" si="157"/>
        <v>BOLLING</v>
      </c>
      <c r="E363" t="str">
        <f t="shared" si="154"/>
        <v>DC</v>
      </c>
      <c r="F363" t="str">
        <f t="shared" si="158"/>
        <v>203730000</v>
      </c>
      <c r="G363" t="str">
        <f>T("PSC 476 BOX 75")</f>
        <v>PSC 476 BOX 75</v>
      </c>
      <c r="H363" t="str">
        <f>T("")</f>
        <v/>
      </c>
      <c r="I363" t="str">
        <f>T("FPO")</f>
        <v>FPO</v>
      </c>
      <c r="J363" t="str">
        <f>T("AP")</f>
        <v>AP</v>
      </c>
      <c r="K363" t="str">
        <f>T("000000000000000000")</f>
        <v>000000000000000000</v>
      </c>
      <c r="L363" t="str">
        <f>T("3152523621")</f>
        <v>3152523621</v>
      </c>
    </row>
    <row r="364" spans="1:12" x14ac:dyDescent="0.35">
      <c r="A364" t="str">
        <f t="shared" si="152"/>
        <v>NCIS HQ</v>
      </c>
      <c r="B364" t="str">
        <f>T("3405 WELLES ST STE 1")</f>
        <v>3405 WELLES ST STE 1</v>
      </c>
      <c r="C364" t="str">
        <f>T("")</f>
        <v/>
      </c>
      <c r="D364" t="str">
        <f>T("SAN DIEGO")</f>
        <v>SAN DIEGO</v>
      </c>
      <c r="E364" t="str">
        <f>T("CA")</f>
        <v>CA</v>
      </c>
      <c r="F364" t="str">
        <f>T("921365050")</f>
        <v>921365050</v>
      </c>
      <c r="G364" t="str">
        <f>T("3405 WELLES ST STE 1")</f>
        <v>3405 WELLES ST STE 1</v>
      </c>
      <c r="H364" t="str">
        <f>T("")</f>
        <v/>
      </c>
      <c r="I364" t="str">
        <f>T("SAN DIEGO")</f>
        <v>SAN DIEGO</v>
      </c>
      <c r="J364" t="str">
        <f>T("CA")</f>
        <v>CA</v>
      </c>
      <c r="K364" t="str">
        <f>T("6195560999")</f>
        <v>6195560999</v>
      </c>
      <c r="L364" t="str">
        <f>T("6195565622")</f>
        <v>6195565622</v>
      </c>
    </row>
    <row r="365" spans="1:12" x14ac:dyDescent="0.35">
      <c r="A365" t="str">
        <f t="shared" si="152"/>
        <v>NCIS HQ</v>
      </c>
      <c r="B365" t="str">
        <f>T("3405 WELLES ST STE 1")</f>
        <v>3405 WELLES ST STE 1</v>
      </c>
      <c r="C365" t="str">
        <f>T("")</f>
        <v/>
      </c>
      <c r="D365" t="str">
        <f>T("SAN DIEGO")</f>
        <v>SAN DIEGO</v>
      </c>
      <c r="E365" t="str">
        <f>T("CA")</f>
        <v>CA</v>
      </c>
      <c r="F365" t="str">
        <f>T("921365050")</f>
        <v>921365050</v>
      </c>
      <c r="G365" t="str">
        <f>T("3405 WELLES ST SUITE 1")</f>
        <v>3405 WELLES ST SUITE 1</v>
      </c>
      <c r="H365" t="str">
        <f>T("")</f>
        <v/>
      </c>
      <c r="I365" t="str">
        <f>T("SAN DIEGO")</f>
        <v>SAN DIEGO</v>
      </c>
      <c r="J365" t="str">
        <f>T("CA")</f>
        <v>CA</v>
      </c>
      <c r="K365" t="str">
        <f t="shared" ref="K365:K372" si="159">T("000000000000000000")</f>
        <v>000000000000000000</v>
      </c>
      <c r="L365" t="str">
        <f>T("6195561526")</f>
        <v>6195561526</v>
      </c>
    </row>
    <row r="366" spans="1:12" x14ac:dyDescent="0.35">
      <c r="A366" t="str">
        <f t="shared" si="152"/>
        <v>NCIS HQ</v>
      </c>
      <c r="B366" t="str">
        <f>T("3405 WELLES ST STE 1")</f>
        <v>3405 WELLES ST STE 1</v>
      </c>
      <c r="C366" t="str">
        <f>T("")</f>
        <v/>
      </c>
      <c r="D366" t="str">
        <f>T("SAN DIEGO")</f>
        <v>SAN DIEGO</v>
      </c>
      <c r="E366" t="str">
        <f>T("CA")</f>
        <v>CA</v>
      </c>
      <c r="F366" t="str">
        <f>T("921365050")</f>
        <v>921365050</v>
      </c>
      <c r="G366" t="str">
        <f>T("3405 WELLES ST SUITE 1")</f>
        <v>3405 WELLES ST SUITE 1</v>
      </c>
      <c r="H366" t="str">
        <f>T("")</f>
        <v/>
      </c>
      <c r="I366" t="str">
        <f>T("SAN DIEGO")</f>
        <v>SAN DIEGO</v>
      </c>
      <c r="J366" t="str">
        <f>T("CA")</f>
        <v>CA</v>
      </c>
      <c r="K366" t="str">
        <f t="shared" si="159"/>
        <v>000000000000000000</v>
      </c>
      <c r="L366" t="str">
        <f>T("6195566101")</f>
        <v>6195566101</v>
      </c>
    </row>
    <row r="367" spans="1:12" x14ac:dyDescent="0.35">
      <c r="A367" t="str">
        <f t="shared" si="152"/>
        <v>NCIS HQ</v>
      </c>
      <c r="B367" t="str">
        <f>T("3405 WELLES ST STE 1")</f>
        <v>3405 WELLES ST STE 1</v>
      </c>
      <c r="C367" t="str">
        <f>T("")</f>
        <v/>
      </c>
      <c r="D367" t="str">
        <f>T("SAN DIEGO")</f>
        <v>SAN DIEGO</v>
      </c>
      <c r="E367" t="str">
        <f>T("CA")</f>
        <v>CA</v>
      </c>
      <c r="F367" t="str">
        <f>T("921365050")</f>
        <v>921365050</v>
      </c>
      <c r="G367" t="str">
        <f>T("730 ENTERPRISE BLVD WING 4 RM 4008")</f>
        <v>730 ENTERPRISE BLVD WING 4 RM 4008</v>
      </c>
      <c r="H367" t="str">
        <f>T("NAVAL AIR STATION")</f>
        <v>NAVAL AIR STATION</v>
      </c>
      <c r="I367" t="str">
        <f>T("LEMOORE")</f>
        <v>LEMOORE</v>
      </c>
      <c r="J367" t="str">
        <f>T("CA")</f>
        <v>CA</v>
      </c>
      <c r="K367" t="str">
        <f t="shared" si="159"/>
        <v>000000000000000000</v>
      </c>
      <c r="L367" t="str">
        <f>T("5599983375")</f>
        <v>5599983375</v>
      </c>
    </row>
    <row r="368" spans="1:12" x14ac:dyDescent="0.35">
      <c r="A368" t="str">
        <f t="shared" si="152"/>
        <v>NCIS HQ</v>
      </c>
      <c r="B368" t="str">
        <f>T("3405 WELLES ST STE 1")</f>
        <v>3405 WELLES ST STE 1</v>
      </c>
      <c r="C368" t="str">
        <f>T("")</f>
        <v/>
      </c>
      <c r="D368" t="str">
        <f>T("SAN DIEGO")</f>
        <v>SAN DIEGO</v>
      </c>
      <c r="E368" t="str">
        <f>T("CA")</f>
        <v>CA</v>
      </c>
      <c r="F368" t="str">
        <f>T("921365050")</f>
        <v>921365050</v>
      </c>
      <c r="G368" t="str">
        <f>T("NCISRA CHINA LAKE")</f>
        <v>NCISRA CHINA LAKE</v>
      </c>
      <c r="H368" t="str">
        <f>T("1 ADMINISTRATION CIRCLE STOP 1319")</f>
        <v>1 ADMINISTRATION CIRCLE STOP 1319</v>
      </c>
      <c r="I368" t="str">
        <f>T("RIDGECREST")</f>
        <v>RIDGECREST</v>
      </c>
      <c r="J368" t="str">
        <f>T("CA")</f>
        <v>CA</v>
      </c>
      <c r="K368" t="str">
        <f t="shared" si="159"/>
        <v>000000000000000000</v>
      </c>
      <c r="L368" t="str">
        <f>T("7609396646")</f>
        <v>7609396646</v>
      </c>
    </row>
    <row r="369" spans="1:12" x14ac:dyDescent="0.35">
      <c r="A369" t="str">
        <f t="shared" si="152"/>
        <v>NCIS HQ</v>
      </c>
      <c r="B369" t="str">
        <f>T("344 MEYERKORD AVE 3")</f>
        <v>344 MEYERKORD AVE 3</v>
      </c>
      <c r="C369" t="str">
        <f>T("NAVAL STATION")</f>
        <v>NAVAL STATION</v>
      </c>
      <c r="D369" t="str">
        <f>T("NEWPORT")</f>
        <v>NEWPORT</v>
      </c>
      <c r="E369" t="str">
        <f>T("RI")</f>
        <v>RI</v>
      </c>
      <c r="F369" t="str">
        <f>T("028411607")</f>
        <v>028411607</v>
      </c>
      <c r="G369" t="str">
        <f>T("201 ROUTE 34 BLDG C-8")</f>
        <v>201 ROUTE 34 BLDG C-8</v>
      </c>
      <c r="H369" t="str">
        <f>T("")</f>
        <v/>
      </c>
      <c r="I369" t="str">
        <f>T("COLTS NECK")</f>
        <v>COLTS NECK</v>
      </c>
      <c r="J369" t="str">
        <f>T("NJ")</f>
        <v>NJ</v>
      </c>
      <c r="K369" t="str">
        <f t="shared" si="159"/>
        <v>000000000000000000</v>
      </c>
      <c r="L369" t="str">
        <f>T("7328662235")</f>
        <v>7328662235</v>
      </c>
    </row>
    <row r="370" spans="1:12" x14ac:dyDescent="0.35">
      <c r="A370" t="str">
        <f t="shared" si="152"/>
        <v>NCIS HQ</v>
      </c>
      <c r="B370" t="str">
        <f>T("344 MEYERKORD AVE 3")</f>
        <v>344 MEYERKORD AVE 3</v>
      </c>
      <c r="C370" t="str">
        <f>T("NAVAL STATION")</f>
        <v>NAVAL STATION</v>
      </c>
      <c r="D370" t="str">
        <f>T("NEWPORT")</f>
        <v>NEWPORT</v>
      </c>
      <c r="E370" t="str">
        <f>T("RI")</f>
        <v>RI</v>
      </c>
      <c r="F370" t="str">
        <f>T("028411607")</f>
        <v>028411607</v>
      </c>
      <c r="G370" t="str">
        <f>T("2540A PAUL JONES ST 2ND DECK")</f>
        <v>2540A PAUL JONES ST 2ND DECK</v>
      </c>
      <c r="H370" t="str">
        <f>T("")</f>
        <v/>
      </c>
      <c r="I370" t="str">
        <f>T("GREAT LAKES")</f>
        <v>GREAT LAKES</v>
      </c>
      <c r="J370" t="str">
        <f>T("IL")</f>
        <v>IL</v>
      </c>
      <c r="K370" t="str">
        <f t="shared" si="159"/>
        <v>000000000000000000</v>
      </c>
      <c r="L370" t="str">
        <f>T("8476885655")</f>
        <v>8476885655</v>
      </c>
    </row>
    <row r="371" spans="1:12" x14ac:dyDescent="0.35">
      <c r="A371" t="str">
        <f t="shared" si="152"/>
        <v>NCIS HQ</v>
      </c>
      <c r="B371" t="str">
        <f>T("344 MEYERKORD AVE 3")</f>
        <v>344 MEYERKORD AVE 3</v>
      </c>
      <c r="C371" t="str">
        <f>T("NAVAL STATION")</f>
        <v>NAVAL STATION</v>
      </c>
      <c r="D371" t="str">
        <f>T("NEWPORT")</f>
        <v>NEWPORT</v>
      </c>
      <c r="E371" t="str">
        <f>T("RI")</f>
        <v>RI</v>
      </c>
      <c r="F371" t="str">
        <f>T("028411607")</f>
        <v>028411607</v>
      </c>
      <c r="G371" t="str">
        <f>T("305 BRONSON AVE BLDG 2B")</f>
        <v>305 BRONSON AVE BLDG 2B</v>
      </c>
      <c r="H371" t="str">
        <f>T("SUITE 100")</f>
        <v>SUITE 100</v>
      </c>
      <c r="I371" t="str">
        <f>T("GREAT LAKES")</f>
        <v>GREAT LAKES</v>
      </c>
      <c r="J371" t="str">
        <f>T("IL")</f>
        <v>IL</v>
      </c>
      <c r="K371" t="str">
        <f t="shared" si="159"/>
        <v>000000000000000000</v>
      </c>
      <c r="L371" t="str">
        <f>T("8476883613")</f>
        <v>8476883613</v>
      </c>
    </row>
    <row r="372" spans="1:12" x14ac:dyDescent="0.35">
      <c r="A372" t="str">
        <f t="shared" si="152"/>
        <v>NCIS HQ</v>
      </c>
      <c r="B372" t="str">
        <f>T("344 MEYERKORD AVE 3")</f>
        <v>344 MEYERKORD AVE 3</v>
      </c>
      <c r="C372" t="str">
        <f>T("NAVAL STATION")</f>
        <v>NAVAL STATION</v>
      </c>
      <c r="D372" t="str">
        <f>T("NEWPORT")</f>
        <v>NEWPORT</v>
      </c>
      <c r="E372" t="str">
        <f>T("RI")</f>
        <v>RI</v>
      </c>
      <c r="F372" t="str">
        <f>T("028411607")</f>
        <v>028411607</v>
      </c>
      <c r="G372" t="str">
        <f>T("344 MEYERKORD AVE 3")</f>
        <v>344 MEYERKORD AVE 3</v>
      </c>
      <c r="H372" t="str">
        <f>T("NAVAL STATION")</f>
        <v>NAVAL STATION</v>
      </c>
      <c r="I372" t="str">
        <f>T("NEWPORT")</f>
        <v>NEWPORT</v>
      </c>
      <c r="J372" t="str">
        <f>T("RI")</f>
        <v>RI</v>
      </c>
      <c r="K372" t="str">
        <f t="shared" si="159"/>
        <v>000000000000000000</v>
      </c>
      <c r="L372" t="str">
        <f>T("4018413704")</f>
        <v>4018413704</v>
      </c>
    </row>
    <row r="373" spans="1:12" x14ac:dyDescent="0.35">
      <c r="A373" t="str">
        <f t="shared" si="152"/>
        <v>NCIS HQ</v>
      </c>
      <c r="B373" t="str">
        <f>T("344 MEYERKORD AVE 3")</f>
        <v>344 MEYERKORD AVE 3</v>
      </c>
      <c r="C373" t="str">
        <f>T("NAVAL STATION")</f>
        <v>NAVAL STATION</v>
      </c>
      <c r="D373" t="str">
        <f>T("NEWPORT")</f>
        <v>NEWPORT</v>
      </c>
      <c r="E373" t="str">
        <f>T("RI")</f>
        <v>RI</v>
      </c>
      <c r="F373" t="str">
        <f>T("028411607")</f>
        <v>028411607</v>
      </c>
      <c r="G373" t="str">
        <f>T("344 MEYERKORD AVE 3")</f>
        <v>344 MEYERKORD AVE 3</v>
      </c>
      <c r="H373" t="str">
        <f>T("NAVAL STATION")</f>
        <v>NAVAL STATION</v>
      </c>
      <c r="I373" t="str">
        <f>T("NEWPORT")</f>
        <v>NEWPORT</v>
      </c>
      <c r="J373" t="str">
        <f>T("RI")</f>
        <v>RI</v>
      </c>
      <c r="K373" t="str">
        <f>T("4018413976")</f>
        <v>4018413976</v>
      </c>
      <c r="L373" t="str">
        <f>T("4018413704")</f>
        <v>4018413704</v>
      </c>
    </row>
    <row r="374" spans="1:12" x14ac:dyDescent="0.35">
      <c r="A374" t="str">
        <f t="shared" si="152"/>
        <v>NCIS HQ</v>
      </c>
      <c r="B374" t="str">
        <f>T("449 SOUTH AVE")</f>
        <v>449 SOUTH AVE</v>
      </c>
      <c r="C374" t="str">
        <f>T("BLDG 221")</f>
        <v>BLDG 221</v>
      </c>
      <c r="D374" t="str">
        <f>T("PEARL HARBOR")</f>
        <v>PEARL HARBOR</v>
      </c>
      <c r="E374" t="str">
        <f>T("HI")</f>
        <v>HI</v>
      </c>
      <c r="F374" t="str">
        <f>T("968604988")</f>
        <v>968604988</v>
      </c>
      <c r="G374" t="str">
        <f>T("449 SOUTH AVE")</f>
        <v>449 SOUTH AVE</v>
      </c>
      <c r="H374" t="str">
        <f>T("BLDG 221")</f>
        <v>BLDG 221</v>
      </c>
      <c r="I374" t="str">
        <f>T("PEARL HARBOR")</f>
        <v>PEARL HARBOR</v>
      </c>
      <c r="J374" t="str">
        <f>T("HI")</f>
        <v>HI</v>
      </c>
      <c r="K374" t="str">
        <f>T("8084741210")</f>
        <v>8084741210</v>
      </c>
      <c r="L374" t="str">
        <f>T("8084741218")</f>
        <v>8084741218</v>
      </c>
    </row>
    <row r="375" spans="1:12" x14ac:dyDescent="0.35">
      <c r="A375" t="str">
        <f t="shared" si="152"/>
        <v>NCIS HQ</v>
      </c>
      <c r="B375" t="str">
        <f>T("449 SOUTH AVE")</f>
        <v>449 SOUTH AVE</v>
      </c>
      <c r="C375" t="str">
        <f>T("BLDG 221")</f>
        <v>BLDG 221</v>
      </c>
      <c r="D375" t="str">
        <f>T("PEARL HARBOR")</f>
        <v>PEARL HARBOR</v>
      </c>
      <c r="E375" t="str">
        <f>T("HI")</f>
        <v>HI</v>
      </c>
      <c r="F375" t="str">
        <f>T("968604988")</f>
        <v>968604988</v>
      </c>
      <c r="G375" t="str">
        <f>T("449 SOUTH AVE BLDG 221")</f>
        <v>449 SOUTH AVE BLDG 221</v>
      </c>
      <c r="H375" t="str">
        <f>T("")</f>
        <v/>
      </c>
      <c r="I375" t="str">
        <f>T("PEARL HARBOR")</f>
        <v>PEARL HARBOR</v>
      </c>
      <c r="J375" t="str">
        <f>T("HI")</f>
        <v>HI</v>
      </c>
      <c r="K375" t="str">
        <f>T("000000000000000000")</f>
        <v>000000000000000000</v>
      </c>
      <c r="L375" t="str">
        <f>T("8044749060")</f>
        <v>8044749060</v>
      </c>
    </row>
    <row r="376" spans="1:12" x14ac:dyDescent="0.35">
      <c r="A376" t="str">
        <f t="shared" ref="A376:A407" si="160">T("NCIS HQ")</f>
        <v>NCIS HQ</v>
      </c>
      <c r="B376" t="str">
        <f>T("449 SOUTH AVE")</f>
        <v>449 SOUTH AVE</v>
      </c>
      <c r="C376" t="str">
        <f>T("BLDG 221")</f>
        <v>BLDG 221</v>
      </c>
      <c r="D376" t="str">
        <f>T("PEARL HARBOR")</f>
        <v>PEARL HARBOR</v>
      </c>
      <c r="E376" t="str">
        <f>T("HI")</f>
        <v>HI</v>
      </c>
      <c r="F376" t="str">
        <f>T("968604988")</f>
        <v>968604988</v>
      </c>
      <c r="G376" t="str">
        <f>T("CONSOLIDATED EVIDENCE")</f>
        <v>CONSOLIDATED EVIDENCE</v>
      </c>
      <c r="H376" t="str">
        <f>T("160 KEAN RD")</f>
        <v>160 KEAN RD</v>
      </c>
      <c r="I376" t="str">
        <f>T("PEARL HARBOR")</f>
        <v>PEARL HARBOR</v>
      </c>
      <c r="J376" t="str">
        <f>T("HI")</f>
        <v>HI</v>
      </c>
      <c r="K376" t="str">
        <f>T("000000000000000000")</f>
        <v>000000000000000000</v>
      </c>
      <c r="L376" t="str">
        <f>T("8084711686")</f>
        <v>8084711686</v>
      </c>
    </row>
    <row r="377" spans="1:12" x14ac:dyDescent="0.35">
      <c r="A377" t="str">
        <f t="shared" si="160"/>
        <v>NCIS HQ</v>
      </c>
      <c r="B377" t="str">
        <f>T("449 SOUTH AVE")</f>
        <v>449 SOUTH AVE</v>
      </c>
      <c r="C377" t="str">
        <f>T("BLDG 221")</f>
        <v>BLDG 221</v>
      </c>
      <c r="D377" t="str">
        <f>T("PEARL HARBOR")</f>
        <v>PEARL HARBOR</v>
      </c>
      <c r="E377" t="str">
        <f>T("HI")</f>
        <v>HI</v>
      </c>
      <c r="F377" t="str">
        <f>T("968604988")</f>
        <v>968604988</v>
      </c>
      <c r="G377" t="str">
        <f>T("PSC 455 BOX 164")</f>
        <v>PSC 455 BOX 164</v>
      </c>
      <c r="H377" t="str">
        <f>T("")</f>
        <v/>
      </c>
      <c r="I377" t="str">
        <f>T("FPO")</f>
        <v>FPO</v>
      </c>
      <c r="J377" t="str">
        <f>T("AP")</f>
        <v>AP</v>
      </c>
      <c r="K377" t="str">
        <f>T("000000000000000000")</f>
        <v>000000000000000000</v>
      </c>
      <c r="L377" t="str">
        <f>T("6713397220")</f>
        <v>6713397220</v>
      </c>
    </row>
    <row r="378" spans="1:12" x14ac:dyDescent="0.35">
      <c r="A378" t="str">
        <f t="shared" si="160"/>
        <v>NCIS HQ</v>
      </c>
      <c r="B378" t="str">
        <f>T("716 SICARD ST SE")</f>
        <v>716 SICARD ST SE</v>
      </c>
      <c r="C378" t="str">
        <f>T("SUITE 2000")</f>
        <v>SUITE 2000</v>
      </c>
      <c r="D378" t="str">
        <f>T("WASHINGTON")</f>
        <v>WASHINGTON</v>
      </c>
      <c r="E378" t="str">
        <f t="shared" ref="E378:E384" si="161">T("DC")</f>
        <v>DC</v>
      </c>
      <c r="F378" t="str">
        <f t="shared" ref="F378:F384" si="162">T("203885380")</f>
        <v>203885380</v>
      </c>
      <c r="G378" t="str">
        <f>T("2713 MITSCHER RD SW STE 100")</f>
        <v>2713 MITSCHER RD SW STE 100</v>
      </c>
      <c r="H378" t="str">
        <f>T("BLDG 168")</f>
        <v>BLDG 168</v>
      </c>
      <c r="I378" t="str">
        <f>T("ANACOSTIA ANNEX")</f>
        <v>ANACOSTIA ANNEX</v>
      </c>
      <c r="J378" t="str">
        <f>T("DC")</f>
        <v>DC</v>
      </c>
      <c r="K378" t="str">
        <f>T("2024336701")</f>
        <v>2024336701</v>
      </c>
      <c r="L378" t="str">
        <f>T("2024335274")</f>
        <v>2024335274</v>
      </c>
    </row>
    <row r="379" spans="1:12" x14ac:dyDescent="0.35">
      <c r="A379" t="str">
        <f t="shared" si="160"/>
        <v>NCIS HQ</v>
      </c>
      <c r="B379" t="str">
        <f>T("716 SICARD ST SE")</f>
        <v>716 SICARD ST SE</v>
      </c>
      <c r="C379" t="str">
        <f>T("SUITE 2000")</f>
        <v>SUITE 2000</v>
      </c>
      <c r="D379" t="str">
        <f>T("WASHINGTON")</f>
        <v>WASHINGTON</v>
      </c>
      <c r="E379" t="str">
        <f t="shared" si="161"/>
        <v>DC</v>
      </c>
      <c r="F379" t="str">
        <f t="shared" si="162"/>
        <v>203885380</v>
      </c>
      <c r="G379" t="str">
        <f>T("716 SICARD ST SE")</f>
        <v>716 SICARD ST SE</v>
      </c>
      <c r="H379" t="str">
        <f>T("SUITE 2000")</f>
        <v>SUITE 2000</v>
      </c>
      <c r="I379" t="str">
        <f>T("WASHINGTON")</f>
        <v>WASHINGTON</v>
      </c>
      <c r="J379" t="str">
        <f>T("DC")</f>
        <v>DC</v>
      </c>
      <c r="K379" t="str">
        <f>T("2024336701")</f>
        <v>2024336701</v>
      </c>
      <c r="L379" t="str">
        <f>T("2026850576")</f>
        <v>2026850576</v>
      </c>
    </row>
    <row r="380" spans="1:12" x14ac:dyDescent="0.35">
      <c r="A380" t="str">
        <f t="shared" si="160"/>
        <v>NCIS HQ</v>
      </c>
      <c r="B380" t="str">
        <f>T("716 SICARD ST STE 2000")</f>
        <v>716 SICARD ST STE 2000</v>
      </c>
      <c r="C380" t="str">
        <f>T("CODE 2485")</f>
        <v>CODE 2485</v>
      </c>
      <c r="D380" t="str">
        <f>T("WASHGTON NVY YRD")</f>
        <v>WASHGTON NVY YRD</v>
      </c>
      <c r="E380" t="str">
        <f t="shared" si="161"/>
        <v>DC</v>
      </c>
      <c r="F380" t="str">
        <f t="shared" si="162"/>
        <v>203885380</v>
      </c>
      <c r="G380" t="str">
        <f>T("12730 TELEGRAPH RD")</f>
        <v>12730 TELEGRAPH RD</v>
      </c>
      <c r="H380" t="str">
        <f>T("RUSSELL-KNOX BLDG")</f>
        <v>RUSSELL-KNOX BLDG</v>
      </c>
      <c r="I380" t="str">
        <f>T("QUANTICO")</f>
        <v>QUANTICO</v>
      </c>
      <c r="J380" t="str">
        <f>T("VA")</f>
        <v>VA</v>
      </c>
      <c r="K380" t="str">
        <f>T("000000000000000000")</f>
        <v>000000000000000000</v>
      </c>
      <c r="L380" t="str">
        <f>T("5713059652")</f>
        <v>5713059652</v>
      </c>
    </row>
    <row r="381" spans="1:12" x14ac:dyDescent="0.35">
      <c r="A381" t="str">
        <f t="shared" si="160"/>
        <v>NCIS HQ</v>
      </c>
      <c r="B381" t="str">
        <f>T("716 SICARD ST STE 2000")</f>
        <v>716 SICARD ST STE 2000</v>
      </c>
      <c r="C381" t="str">
        <f>T("CODE 2485")</f>
        <v>CODE 2485</v>
      </c>
      <c r="D381" t="str">
        <f>T("WASHGTON NVY YRD")</f>
        <v>WASHGTON NVY YRD</v>
      </c>
      <c r="E381" t="str">
        <f t="shared" si="161"/>
        <v>DC</v>
      </c>
      <c r="F381" t="str">
        <f t="shared" si="162"/>
        <v>203885380</v>
      </c>
      <c r="G381" t="str">
        <f>T("27130 TELEGRAPH")</f>
        <v>27130 TELEGRAPH</v>
      </c>
      <c r="H381" t="str">
        <f>T("")</f>
        <v/>
      </c>
      <c r="I381" t="str">
        <f>T("QUANTICO")</f>
        <v>QUANTICO</v>
      </c>
      <c r="J381" t="str">
        <f>T("VA")</f>
        <v>VA</v>
      </c>
      <c r="K381" t="str">
        <f>T("000000000000000000")</f>
        <v>000000000000000000</v>
      </c>
      <c r="L381" t="str">
        <f>T("5713059192")</f>
        <v>5713059192</v>
      </c>
    </row>
    <row r="382" spans="1:12" x14ac:dyDescent="0.35">
      <c r="A382" t="str">
        <f t="shared" si="160"/>
        <v>NCIS HQ</v>
      </c>
      <c r="B382" t="str">
        <f>T("716 SICARD ST STE 2000")</f>
        <v>716 SICARD ST STE 2000</v>
      </c>
      <c r="C382" t="str">
        <f>T("CODE 2485")</f>
        <v>CODE 2485</v>
      </c>
      <c r="D382" t="str">
        <f>T("WASHGTON NVY YRD")</f>
        <v>WASHGTON NVY YRD</v>
      </c>
      <c r="E382" t="str">
        <f t="shared" si="161"/>
        <v>DC</v>
      </c>
      <c r="F382" t="str">
        <f t="shared" si="162"/>
        <v>203885380</v>
      </c>
      <c r="G382" t="str">
        <f>T("3405 WELLES ST STE 1")</f>
        <v>3405 WELLES ST STE 1</v>
      </c>
      <c r="H382" t="str">
        <f>T("")</f>
        <v/>
      </c>
      <c r="I382" t="str">
        <f>T("SAN DIEGO")</f>
        <v>SAN DIEGO</v>
      </c>
      <c r="J382" t="str">
        <f>T("CA")</f>
        <v>CA</v>
      </c>
      <c r="K382" t="str">
        <f>T("000000000000000000")</f>
        <v>000000000000000000</v>
      </c>
      <c r="L382" t="str">
        <f>T("7607253207")</f>
        <v>7607253207</v>
      </c>
    </row>
    <row r="383" spans="1:12" x14ac:dyDescent="0.35">
      <c r="A383" t="str">
        <f t="shared" si="160"/>
        <v>NCIS HQ</v>
      </c>
      <c r="B383" t="str">
        <f>T("716 SICARD ST STE 2000")</f>
        <v>716 SICARD ST STE 2000</v>
      </c>
      <c r="C383" t="str">
        <f>T("CODE 2485")</f>
        <v>CODE 2485</v>
      </c>
      <c r="D383" t="str">
        <f>T("WASHGTON NVY YRD")</f>
        <v>WASHGTON NVY YRD</v>
      </c>
      <c r="E383" t="str">
        <f t="shared" si="161"/>
        <v>DC</v>
      </c>
      <c r="F383" t="str">
        <f t="shared" si="162"/>
        <v>203885380</v>
      </c>
      <c r="G383" t="str">
        <f>T("716 SICARD ST STE 2000")</f>
        <v>716 SICARD ST STE 2000</v>
      </c>
      <c r="H383" t="str">
        <f>T("CODE 2485")</f>
        <v>CODE 2485</v>
      </c>
      <c r="I383" t="str">
        <f>T("WASHGTON NVY YRD")</f>
        <v>WASHGTON NVY YRD</v>
      </c>
      <c r="J383" t="str">
        <f>T("DC")</f>
        <v>DC</v>
      </c>
      <c r="K383" t="str">
        <f>T("2024337116")</f>
        <v>2024337116</v>
      </c>
      <c r="L383" t="str">
        <f>T("2024332157")</f>
        <v>2024332157</v>
      </c>
    </row>
    <row r="384" spans="1:12" x14ac:dyDescent="0.35">
      <c r="A384" t="str">
        <f t="shared" si="160"/>
        <v>NCIS HQ</v>
      </c>
      <c r="B384" t="str">
        <f>T("716 SICARD ST STE 2000")</f>
        <v>716 SICARD ST STE 2000</v>
      </c>
      <c r="C384" t="str">
        <f>T("CODE 2485")</f>
        <v>CODE 2485</v>
      </c>
      <c r="D384" t="str">
        <f>T("WASHGTON NVY YRD")</f>
        <v>WASHGTON NVY YRD</v>
      </c>
      <c r="E384" t="str">
        <f t="shared" si="161"/>
        <v>DC</v>
      </c>
      <c r="F384" t="str">
        <f t="shared" si="162"/>
        <v>203885380</v>
      </c>
      <c r="G384" t="str">
        <f>T("P O BOX 64137")</f>
        <v>P O BOX 64137</v>
      </c>
      <c r="H384" t="str">
        <f>T("")</f>
        <v/>
      </c>
      <c r="I384" t="str">
        <f>T("CAMP H M SMITH")</f>
        <v>CAMP H M SMITH</v>
      </c>
      <c r="J384" t="str">
        <f>T("HI")</f>
        <v>HI</v>
      </c>
      <c r="K384" t="str">
        <f>T("8084778087")</f>
        <v>8084778087</v>
      </c>
      <c r="L384" t="str">
        <f>T("8084778092")</f>
        <v>8084778092</v>
      </c>
    </row>
    <row r="385" spans="1:12" x14ac:dyDescent="0.35">
      <c r="A385" t="str">
        <f t="shared" si="160"/>
        <v>NCIS HQ</v>
      </c>
      <c r="B385" t="str">
        <f>T("BUILDING 1576")</f>
        <v>BUILDING 1576</v>
      </c>
      <c r="C385" t="str">
        <f>T("NAVAL STATION MAYPORT")</f>
        <v>NAVAL STATION MAYPORT</v>
      </c>
      <c r="D385" t="str">
        <f>T("MAYPORT")</f>
        <v>MAYPORT</v>
      </c>
      <c r="E385" t="str">
        <f>T("FL")</f>
        <v>FL</v>
      </c>
      <c r="F385" t="str">
        <f>T("322280076")</f>
        <v>322280076</v>
      </c>
      <c r="G385" t="str">
        <f>T("1576 MASSEY AVE")</f>
        <v>1576 MASSEY AVE</v>
      </c>
      <c r="H385" t="str">
        <f>T("")</f>
        <v/>
      </c>
      <c r="I385" t="str">
        <f>T("MAYPORT")</f>
        <v>MAYPORT</v>
      </c>
      <c r="J385" t="str">
        <f>T("FL")</f>
        <v>FL</v>
      </c>
      <c r="K385" t="str">
        <f>T("000000000000000000")</f>
        <v>000000000000000000</v>
      </c>
      <c r="L385" t="str">
        <f>T("9042705502")</f>
        <v>9042705502</v>
      </c>
    </row>
    <row r="386" spans="1:12" x14ac:dyDescent="0.35">
      <c r="A386" t="str">
        <f t="shared" si="160"/>
        <v>NCIS HQ</v>
      </c>
      <c r="B386" t="str">
        <f>T("BUILDING 1576")</f>
        <v>BUILDING 1576</v>
      </c>
      <c r="C386" t="str">
        <f>T("NAVAL STATION MAYPORT")</f>
        <v>NAVAL STATION MAYPORT</v>
      </c>
      <c r="D386" t="str">
        <f>T("MAYPORT")</f>
        <v>MAYPORT</v>
      </c>
      <c r="E386" t="str">
        <f>T("FL")</f>
        <v>FL</v>
      </c>
      <c r="F386" t="str">
        <f>T("322280076")</f>
        <v>322280076</v>
      </c>
      <c r="G386" t="str">
        <f>T("BUILDING 1576")</f>
        <v>BUILDING 1576</v>
      </c>
      <c r="H386" t="str">
        <f>T("NAVAL STATION MAYPORT")</f>
        <v>NAVAL STATION MAYPORT</v>
      </c>
      <c r="I386" t="str">
        <f>T("MAYPORT")</f>
        <v>MAYPORT</v>
      </c>
      <c r="J386" t="str">
        <f>T("FL")</f>
        <v>FL</v>
      </c>
      <c r="K386" t="str">
        <f>T("9042706050")</f>
        <v>9042706050</v>
      </c>
      <c r="L386" t="str">
        <f>T("9042705361")</f>
        <v>9042705361</v>
      </c>
    </row>
    <row r="387" spans="1:12" x14ac:dyDescent="0.35">
      <c r="A387" t="str">
        <f t="shared" si="160"/>
        <v>NCIS HQ</v>
      </c>
      <c r="B387" t="str">
        <f>T("BUILDING 1576")</f>
        <v>BUILDING 1576</v>
      </c>
      <c r="C387" t="str">
        <f>T("NAVAL STATION MAYPORT")</f>
        <v>NAVAL STATION MAYPORT</v>
      </c>
      <c r="D387" t="str">
        <f>T("MAYPORT")</f>
        <v>MAYPORT</v>
      </c>
      <c r="E387" t="str">
        <f>T("FL")</f>
        <v>FL</v>
      </c>
      <c r="F387" t="str">
        <f>T("322280076")</f>
        <v>322280076</v>
      </c>
      <c r="G387" t="str">
        <f>T("NCIS SEFO BALTIMORE ST")</f>
        <v>NCIS SEFO BALTIMORE ST</v>
      </c>
      <c r="H387" t="str">
        <f>T("PO BOX 280076")</f>
        <v>PO BOX 280076</v>
      </c>
      <c r="I387" t="str">
        <f>T("MAYPORT")</f>
        <v>MAYPORT</v>
      </c>
      <c r="J387" t="str">
        <f>T("FL")</f>
        <v>FL</v>
      </c>
      <c r="K387" t="str">
        <f>T("000000000000000000")</f>
        <v>000000000000000000</v>
      </c>
      <c r="L387" t="str">
        <f>T("9042705361")</f>
        <v>9042705361</v>
      </c>
    </row>
    <row r="388" spans="1:12" x14ac:dyDescent="0.35">
      <c r="A388" t="str">
        <f t="shared" si="160"/>
        <v>NCIS HQ</v>
      </c>
      <c r="B388" t="str">
        <f>T("BUILDING 1576")</f>
        <v>BUILDING 1576</v>
      </c>
      <c r="C388" t="str">
        <f>T("NAVAL STATION MAYPORT")</f>
        <v>NAVAL STATION MAYPORT</v>
      </c>
      <c r="D388" t="str">
        <f>T("MAYPORT")</f>
        <v>MAYPORT</v>
      </c>
      <c r="E388" t="str">
        <f>T("FL")</f>
        <v>FL</v>
      </c>
      <c r="F388" t="str">
        <f>T("322280076")</f>
        <v>322280076</v>
      </c>
      <c r="G388" t="str">
        <f>T("PO BOX 280076")</f>
        <v>PO BOX 280076</v>
      </c>
      <c r="H388" t="str">
        <f>T("NAVAL STATION")</f>
        <v>NAVAL STATION</v>
      </c>
      <c r="I388" t="str">
        <f>T("JACKSONVILLE")</f>
        <v>JACKSONVILLE</v>
      </c>
      <c r="J388" t="str">
        <f>T("FL")</f>
        <v>FL</v>
      </c>
      <c r="K388" t="str">
        <f>T("000000000000000000")</f>
        <v>000000000000000000</v>
      </c>
      <c r="L388" t="str">
        <f>T("9042705361")</f>
        <v>9042705361</v>
      </c>
    </row>
    <row r="389" spans="1:12" x14ac:dyDescent="0.35">
      <c r="A389" t="str">
        <f t="shared" si="160"/>
        <v>NCIS HQ</v>
      </c>
      <c r="B389" t="str">
        <f>T("CRFO 1131 CHAPEL CROSSING RD")</f>
        <v>CRFO 1131 CHAPEL CROSSING RD</v>
      </c>
      <c r="C389" t="str">
        <f>T("305 KIEFER CIRCLE")</f>
        <v>305 KIEFER CIRCLE</v>
      </c>
      <c r="D389" t="str">
        <f>T("GLYNCO")</f>
        <v>GLYNCO</v>
      </c>
      <c r="E389" t="str">
        <f>T("GA")</f>
        <v>GA</v>
      </c>
      <c r="F389" t="str">
        <f>T("315240001")</f>
        <v>315240001</v>
      </c>
      <c r="G389" t="str">
        <f>T("1131 CHAPEL CROSSING RD")</f>
        <v>1131 CHAPEL CROSSING RD</v>
      </c>
      <c r="H389" t="str">
        <f>T("305 KEIFER CIRCLE")</f>
        <v>305 KEIFER CIRCLE</v>
      </c>
      <c r="I389" t="str">
        <f>T("BRUNSWICK")</f>
        <v>BRUNSWICK</v>
      </c>
      <c r="J389" t="str">
        <f>T("GA")</f>
        <v>GA</v>
      </c>
      <c r="K389" t="str">
        <f>T("000000000000000000")</f>
        <v>000000000000000000</v>
      </c>
      <c r="L389" t="str">
        <f>T("9122673463")</f>
        <v>9122673463</v>
      </c>
    </row>
    <row r="390" spans="1:12" x14ac:dyDescent="0.35">
      <c r="A390" t="str">
        <f t="shared" si="160"/>
        <v>NCIS HQ</v>
      </c>
      <c r="B390" t="str">
        <f>T("CRFO 1131 CHAPEL CROSSING RD")</f>
        <v>CRFO 1131 CHAPEL CROSSING RD</v>
      </c>
      <c r="C390" t="str">
        <f>T("305 KIEFER CIRCLE")</f>
        <v>305 KIEFER CIRCLE</v>
      </c>
      <c r="D390" t="str">
        <f>T("GLYNCO")</f>
        <v>GLYNCO</v>
      </c>
      <c r="E390" t="str">
        <f>T("GA")</f>
        <v>GA</v>
      </c>
      <c r="F390" t="str">
        <f>T("315240001")</f>
        <v>315240001</v>
      </c>
      <c r="G390" t="str">
        <f>T("1131 CHAPEL CROSSING RD BLDG 305")</f>
        <v>1131 CHAPEL CROSSING RD BLDG 305</v>
      </c>
      <c r="H390" t="str">
        <f>T("KIEFER CIRCLE")</f>
        <v>KIEFER CIRCLE</v>
      </c>
      <c r="I390" t="str">
        <f>T("GLYNCO")</f>
        <v>GLYNCO</v>
      </c>
      <c r="J390" t="str">
        <f>T("GA")</f>
        <v>GA</v>
      </c>
      <c r="K390" t="str">
        <f>T("000000000000000000")</f>
        <v>000000000000000000</v>
      </c>
      <c r="L390" t="str">
        <f>T("9125544281")</f>
        <v>9125544281</v>
      </c>
    </row>
    <row r="391" spans="1:12" x14ac:dyDescent="0.35">
      <c r="A391" t="str">
        <f t="shared" si="160"/>
        <v>NCIS HQ</v>
      </c>
      <c r="B391" t="str">
        <f>T("CRFO 1131 CHAPEL CROSSING RD")</f>
        <v>CRFO 1131 CHAPEL CROSSING RD</v>
      </c>
      <c r="C391" t="str">
        <f>T("305 KIEFER CIRCLE")</f>
        <v>305 KIEFER CIRCLE</v>
      </c>
      <c r="D391" t="str">
        <f>T("GLYNCO")</f>
        <v>GLYNCO</v>
      </c>
      <c r="E391" t="str">
        <f>T("GA")</f>
        <v>GA</v>
      </c>
      <c r="F391" t="str">
        <f>T("315240001")</f>
        <v>315240001</v>
      </c>
      <c r="G391" t="str">
        <f>T("1131 CHAPEL CROSSING ROAD")</f>
        <v>1131 CHAPEL CROSSING ROAD</v>
      </c>
      <c r="H391" t="str">
        <f>T("305 KIEFER CIRCLE")</f>
        <v>305 KIEFER CIRCLE</v>
      </c>
      <c r="I391" t="str">
        <f>T("BRUNSWICK")</f>
        <v>BRUNSWICK</v>
      </c>
      <c r="J391" t="str">
        <f>T("GA")</f>
        <v>GA</v>
      </c>
      <c r="K391" t="str">
        <f>T("000000000000000000")</f>
        <v>000000000000000000</v>
      </c>
      <c r="L391" t="str">
        <f>T("9122673463")</f>
        <v>9122673463</v>
      </c>
    </row>
    <row r="392" spans="1:12" x14ac:dyDescent="0.35">
      <c r="A392" t="str">
        <f t="shared" si="160"/>
        <v>NCIS HQ</v>
      </c>
      <c r="B392" t="str">
        <f>T("CRFO 1131 CHAPEL CROSSING RD")</f>
        <v>CRFO 1131 CHAPEL CROSSING RD</v>
      </c>
      <c r="C392" t="str">
        <f>T("305 KIEFER CIRCLE")</f>
        <v>305 KIEFER CIRCLE</v>
      </c>
      <c r="D392" t="str">
        <f>T("GLYNCO")</f>
        <v>GLYNCO</v>
      </c>
      <c r="E392" t="str">
        <f>T("GA")</f>
        <v>GA</v>
      </c>
      <c r="F392" t="str">
        <f>T("315240001")</f>
        <v>315240001</v>
      </c>
      <c r="G392" t="str">
        <f>T("CRFO 1131 CHAPEL CROSSING RD")</f>
        <v>CRFO 1131 CHAPEL CROSSING RD</v>
      </c>
      <c r="H392" t="str">
        <f>T("305 KIEFER CIRCLE")</f>
        <v>305 KIEFER CIRCLE</v>
      </c>
      <c r="I392" t="str">
        <f>T("GLYNCO")</f>
        <v>GLYNCO</v>
      </c>
      <c r="J392" t="str">
        <f>T("GA")</f>
        <v>GA</v>
      </c>
      <c r="K392" t="str">
        <f>T("9122673466")</f>
        <v>9122673466</v>
      </c>
      <c r="L392" t="str">
        <f>T("9122673460")</f>
        <v>9122673460</v>
      </c>
    </row>
    <row r="393" spans="1:12" x14ac:dyDescent="0.35">
      <c r="A393" t="str">
        <f t="shared" si="160"/>
        <v>NCIS HQ</v>
      </c>
      <c r="B393" t="str">
        <f>T("FMD RKB")</f>
        <v>FMD RKB</v>
      </c>
      <c r="C393" t="str">
        <f>T("27130 TELEGRAPH RD")</f>
        <v>27130 TELEGRAPH RD</v>
      </c>
      <c r="D393" t="str">
        <f>T("QUANTICO")</f>
        <v>QUANTICO</v>
      </c>
      <c r="E393" t="str">
        <f>T("VA")</f>
        <v>VA</v>
      </c>
      <c r="F393" t="str">
        <f>T("221342253")</f>
        <v>221342253</v>
      </c>
      <c r="G393" t="str">
        <f>T("27130 TELEGRAPH")</f>
        <v>27130 TELEGRAPH</v>
      </c>
      <c r="H393" t="str">
        <f>T("RKB")</f>
        <v>RKB</v>
      </c>
      <c r="I393" t="str">
        <f>T("QUANTICO")</f>
        <v>QUANTICO</v>
      </c>
      <c r="J393" t="str">
        <f>T("VA")</f>
        <v>VA</v>
      </c>
      <c r="K393" t="str">
        <f>T("000000000000000000")</f>
        <v>000000000000000000</v>
      </c>
      <c r="L393" t="str">
        <f>T("5713054553")</f>
        <v>5713054553</v>
      </c>
    </row>
    <row r="394" spans="1:12" x14ac:dyDescent="0.35">
      <c r="A394" t="str">
        <f t="shared" si="160"/>
        <v>NCIS HQ</v>
      </c>
      <c r="B394" t="str">
        <f>T("FMD RKB")</f>
        <v>FMD RKB</v>
      </c>
      <c r="C394" t="str">
        <f>T("27130 TELEGRAPH RD")</f>
        <v>27130 TELEGRAPH RD</v>
      </c>
      <c r="D394" t="str">
        <f>T("QUANTICO")</f>
        <v>QUANTICO</v>
      </c>
      <c r="E394" t="str">
        <f>T("VA")</f>
        <v>VA</v>
      </c>
      <c r="F394" t="str">
        <f>T("221342253")</f>
        <v>221342253</v>
      </c>
      <c r="G394" t="str">
        <f>T("BLDG 3000 2735 MCCARD RD")</f>
        <v>BLDG 3000 2735 MCCARD RD</v>
      </c>
      <c r="H394" t="str">
        <f>T("")</f>
        <v/>
      </c>
      <c r="I394" t="str">
        <f>T("QUANTICO")</f>
        <v>QUANTICO</v>
      </c>
      <c r="J394" t="str">
        <f>T("VA")</f>
        <v>VA</v>
      </c>
      <c r="K394" t="str">
        <f>T("000000000000000000")</f>
        <v>000000000000000000</v>
      </c>
      <c r="L394" t="str">
        <f>T("7036179898")</f>
        <v>7036179898</v>
      </c>
    </row>
    <row r="395" spans="1:12" x14ac:dyDescent="0.35">
      <c r="A395" t="str">
        <f t="shared" si="160"/>
        <v>NCIS HQ</v>
      </c>
      <c r="B395" t="str">
        <f>T("FMD RKB")</f>
        <v>FMD RKB</v>
      </c>
      <c r="C395" t="str">
        <f>T("27130 TELEGRAPH RD")</f>
        <v>27130 TELEGRAPH RD</v>
      </c>
      <c r="D395" t="str">
        <f>T("QUANTICO")</f>
        <v>QUANTICO</v>
      </c>
      <c r="E395" t="str">
        <f>T("VA")</f>
        <v>VA</v>
      </c>
      <c r="F395" t="str">
        <f>T("221342253")</f>
        <v>221342253</v>
      </c>
      <c r="G395" t="str">
        <f>T("FMD RKB")</f>
        <v>FMD RKB</v>
      </c>
      <c r="H395" t="str">
        <f>T("27130 TELEGRAPH RD")</f>
        <v>27130 TELEGRAPH RD</v>
      </c>
      <c r="I395" t="str">
        <f>T("QUANTICO")</f>
        <v>QUANTICO</v>
      </c>
      <c r="J395" t="str">
        <f>T("VA")</f>
        <v>VA</v>
      </c>
      <c r="K395" t="str">
        <f>T("5713054564")</f>
        <v>5713054564</v>
      </c>
      <c r="L395" t="str">
        <f>T("5713054551")</f>
        <v>5713054551</v>
      </c>
    </row>
    <row r="396" spans="1:12" x14ac:dyDescent="0.35">
      <c r="A396" t="str">
        <f t="shared" si="160"/>
        <v>NCIS HQ</v>
      </c>
      <c r="B396" t="str">
        <f t="shared" ref="B396:B401" si="163">T("H32")</f>
        <v>H32</v>
      </c>
      <c r="C396" t="str">
        <f t="shared" ref="C396:C401" si="164">T("JULIAN C SMITH DR")</f>
        <v>JULIAN C SMITH DR</v>
      </c>
      <c r="D396" t="str">
        <f t="shared" ref="D396:D401" si="165">T("CAMP LEJEUNE")</f>
        <v>CAMP LEJEUNE</v>
      </c>
      <c r="E396" t="str">
        <f t="shared" ref="E396:E401" si="166">T("NC")</f>
        <v>NC</v>
      </c>
      <c r="F396" t="str">
        <f t="shared" ref="F396:F401" si="167">T("285471603")</f>
        <v>285471603</v>
      </c>
      <c r="G396" t="str">
        <f>T("1661 REDBANK RD")</f>
        <v>1661 REDBANK RD</v>
      </c>
      <c r="H396" t="str">
        <f>T("")</f>
        <v/>
      </c>
      <c r="I396" t="str">
        <f>T("GOOSE CREEK")</f>
        <v>GOOSE CREEK</v>
      </c>
      <c r="J396" t="str">
        <f>T("SC")</f>
        <v>SC</v>
      </c>
      <c r="K396" t="str">
        <f>T("000000000000000000")</f>
        <v>000000000000000000</v>
      </c>
      <c r="L396" t="str">
        <f>T("8437947788")</f>
        <v>8437947788</v>
      </c>
    </row>
    <row r="397" spans="1:12" x14ac:dyDescent="0.35">
      <c r="A397" t="str">
        <f t="shared" si="160"/>
        <v>NCIS HQ</v>
      </c>
      <c r="B397" t="str">
        <f t="shared" si="163"/>
        <v>H32</v>
      </c>
      <c r="C397" t="str">
        <f t="shared" si="164"/>
        <v>JULIAN C SMITH DR</v>
      </c>
      <c r="D397" t="str">
        <f t="shared" si="165"/>
        <v>CAMP LEJEUNE</v>
      </c>
      <c r="E397" t="str">
        <f t="shared" si="166"/>
        <v>NC</v>
      </c>
      <c r="F397" t="str">
        <f t="shared" si="167"/>
        <v>285471603</v>
      </c>
      <c r="G397" t="str">
        <f>T("BLDG H-32")</f>
        <v>BLDG H-32</v>
      </c>
      <c r="H397" t="str">
        <f>T("")</f>
        <v/>
      </c>
      <c r="I397" t="str">
        <f>T("CAMP LEJEUNE")</f>
        <v>CAMP LEJEUNE</v>
      </c>
      <c r="J397" t="str">
        <f>T("NC")</f>
        <v>NC</v>
      </c>
      <c r="K397" t="str">
        <f>T("9104518241")</f>
        <v>9104518241</v>
      </c>
      <c r="L397" t="str">
        <f>T("9104505020")</f>
        <v>9104505020</v>
      </c>
    </row>
    <row r="398" spans="1:12" x14ac:dyDescent="0.35">
      <c r="A398" t="str">
        <f t="shared" si="160"/>
        <v>NCIS HQ</v>
      </c>
      <c r="B398" t="str">
        <f t="shared" si="163"/>
        <v>H32</v>
      </c>
      <c r="C398" t="str">
        <f t="shared" si="164"/>
        <v>JULIAN C SMITH DR</v>
      </c>
      <c r="D398" t="str">
        <f t="shared" si="165"/>
        <v>CAMP LEJEUNE</v>
      </c>
      <c r="E398" t="str">
        <f t="shared" si="166"/>
        <v>NC</v>
      </c>
      <c r="F398" t="str">
        <f t="shared" si="167"/>
        <v>285471603</v>
      </c>
      <c r="G398" t="str">
        <f>T("H-32 JULIAN C SMITH DRIVE")</f>
        <v>H-32 JULIAN C SMITH DRIVE</v>
      </c>
      <c r="H398" t="str">
        <f>T("")</f>
        <v/>
      </c>
      <c r="I398" t="str">
        <f>T("CAMP LEJEUNE")</f>
        <v>CAMP LEJEUNE</v>
      </c>
      <c r="J398" t="str">
        <f>T("NC")</f>
        <v>NC</v>
      </c>
      <c r="K398" t="str">
        <f>T("000000000000000000")</f>
        <v>000000000000000000</v>
      </c>
      <c r="L398" t="str">
        <f>T("9104516517")</f>
        <v>9104516517</v>
      </c>
    </row>
    <row r="399" spans="1:12" x14ac:dyDescent="0.35">
      <c r="A399" t="str">
        <f t="shared" si="160"/>
        <v>NCIS HQ</v>
      </c>
      <c r="B399" t="str">
        <f t="shared" si="163"/>
        <v>H32</v>
      </c>
      <c r="C399" t="str">
        <f t="shared" si="164"/>
        <v>JULIAN C SMITH DR</v>
      </c>
      <c r="D399" t="str">
        <f t="shared" si="165"/>
        <v>CAMP LEJEUNE</v>
      </c>
      <c r="E399" t="str">
        <f t="shared" si="166"/>
        <v>NC</v>
      </c>
      <c r="F399" t="str">
        <f t="shared" si="167"/>
        <v>285471603</v>
      </c>
      <c r="G399" t="str">
        <f>T("H32")</f>
        <v>H32</v>
      </c>
      <c r="H399" t="str">
        <f>T("JULIAN C SMITH DR")</f>
        <v>JULIAN C SMITH DR</v>
      </c>
      <c r="I399" t="str">
        <f>T("CAMP LEJEUNE")</f>
        <v>CAMP LEJEUNE</v>
      </c>
      <c r="J399" t="str">
        <f>T("NC")</f>
        <v>NC</v>
      </c>
      <c r="K399" t="str">
        <f>T("9104518206")</f>
        <v>9104518206</v>
      </c>
      <c r="L399" t="str">
        <f>T("9104516512")</f>
        <v>9104516512</v>
      </c>
    </row>
    <row r="400" spans="1:12" x14ac:dyDescent="0.35">
      <c r="A400" t="str">
        <f t="shared" si="160"/>
        <v>NCIS HQ</v>
      </c>
      <c r="B400" t="str">
        <f t="shared" si="163"/>
        <v>H32</v>
      </c>
      <c r="C400" t="str">
        <f t="shared" si="164"/>
        <v>JULIAN C SMITH DR</v>
      </c>
      <c r="D400" t="str">
        <f t="shared" si="165"/>
        <v>CAMP LEJEUNE</v>
      </c>
      <c r="E400" t="str">
        <f t="shared" si="166"/>
        <v>NC</v>
      </c>
      <c r="F400" t="str">
        <f t="shared" si="167"/>
        <v>285471603</v>
      </c>
      <c r="G400" t="str">
        <f>T("NCISRA CHERRY POINT")</f>
        <v>NCISRA CHERRY POINT</v>
      </c>
      <c r="H400" t="str">
        <f>T("PSC 8083 BLDG 487")</f>
        <v>PSC 8083 BLDG 487</v>
      </c>
      <c r="I400" t="str">
        <f>T("CHERRY POINT")</f>
        <v>CHERRY POINT</v>
      </c>
      <c r="J400" t="str">
        <f>T("NC")</f>
        <v>NC</v>
      </c>
      <c r="K400" t="str">
        <f>T("000000000000000000")</f>
        <v>000000000000000000</v>
      </c>
      <c r="L400" t="str">
        <f>T("2524667412")</f>
        <v>2524667412</v>
      </c>
    </row>
    <row r="401" spans="1:12" x14ac:dyDescent="0.35">
      <c r="A401" t="str">
        <f t="shared" si="160"/>
        <v>NCIS HQ</v>
      </c>
      <c r="B401" t="str">
        <f t="shared" si="163"/>
        <v>H32</v>
      </c>
      <c r="C401" t="str">
        <f t="shared" si="164"/>
        <v>JULIAN C SMITH DR</v>
      </c>
      <c r="D401" t="str">
        <f t="shared" si="165"/>
        <v>CAMP LEJEUNE</v>
      </c>
      <c r="E401" t="str">
        <f t="shared" si="166"/>
        <v>NC</v>
      </c>
      <c r="F401" t="str">
        <f t="shared" si="167"/>
        <v>285471603</v>
      </c>
      <c r="G401" t="str">
        <f>T("NCISRA PARRIS ISLAND BLDG 163")</f>
        <v>NCISRA PARRIS ISLAND BLDG 163</v>
      </c>
      <c r="H401" t="str">
        <f>T("MARINE CORPS RECRUIT DEPOT")</f>
        <v>MARINE CORPS RECRUIT DEPOT</v>
      </c>
      <c r="I401" t="str">
        <f>T("PARRIS ISLAND")</f>
        <v>PARRIS ISLAND</v>
      </c>
      <c r="J401" t="str">
        <f>T("SC")</f>
        <v>SC</v>
      </c>
      <c r="K401" t="str">
        <f>T("000000000000000000")</f>
        <v>000000000000000000</v>
      </c>
      <c r="L401" t="str">
        <f>T("8432283288")</f>
        <v>8432283288</v>
      </c>
    </row>
    <row r="402" spans="1:12" x14ac:dyDescent="0.35">
      <c r="A402" t="str">
        <f t="shared" si="160"/>
        <v>NCIS HQ</v>
      </c>
      <c r="B402" t="str">
        <f>T("NCIS CENTRAL FIELD OFFICE")</f>
        <v>NCIS CENTRAL FIELD OFFICE</v>
      </c>
      <c r="C402" t="str">
        <f>T("305 BRONSON AVE BLDG 2B RM 100")</f>
        <v>305 BRONSON AVE BLDG 2B RM 100</v>
      </c>
      <c r="D402" t="str">
        <f>T("GREAT LAKES")</f>
        <v>GREAT LAKES</v>
      </c>
      <c r="E402" t="str">
        <f>T("IL")</f>
        <v>IL</v>
      </c>
      <c r="F402" t="str">
        <f>T("600882900")</f>
        <v>600882900</v>
      </c>
      <c r="G402" t="str">
        <f>T("NCIS CENTRAL FIELD OFFICE")</f>
        <v>NCIS CENTRAL FIELD OFFICE</v>
      </c>
      <c r="H402" t="str">
        <f>T("305 BRONSON AVE BLDG 2B RM 100")</f>
        <v>305 BRONSON AVE BLDG 2B RM 100</v>
      </c>
      <c r="I402" t="str">
        <f>T("GREAT LAKES")</f>
        <v>GREAT LAKES</v>
      </c>
      <c r="J402" t="str">
        <f>T("IL")</f>
        <v>IL</v>
      </c>
      <c r="K402" t="str">
        <f>T("")</f>
        <v/>
      </c>
      <c r="L402" t="str">
        <f>T("8476883613")</f>
        <v>8476883613</v>
      </c>
    </row>
    <row r="403" spans="1:12" x14ac:dyDescent="0.35">
      <c r="A403" t="str">
        <f t="shared" si="160"/>
        <v>NCIS HQ</v>
      </c>
      <c r="B403" t="str">
        <f>T("NCIS CODE 10A2")</f>
        <v>NCIS CODE 10A2</v>
      </c>
      <c r="C403" t="str">
        <f>T("27130 TELEGRAPH")</f>
        <v>27130 TELEGRAPH</v>
      </c>
      <c r="D403" t="str">
        <f>T("QUANTICO")</f>
        <v>QUANTICO</v>
      </c>
      <c r="E403" t="str">
        <f>T("VA")</f>
        <v>VA</v>
      </c>
      <c r="F403" t="str">
        <f>T("221342253")</f>
        <v>221342253</v>
      </c>
      <c r="G403" t="str">
        <f>T("27130 TELEGRAPH RD")</f>
        <v>27130 TELEGRAPH RD</v>
      </c>
      <c r="H403" t="str">
        <f>T("RKB")</f>
        <v>RKB</v>
      </c>
      <c r="I403" t="str">
        <f>T("QUANTICO")</f>
        <v>QUANTICO</v>
      </c>
      <c r="J403" t="str">
        <f>T("VA")</f>
        <v>VA</v>
      </c>
      <c r="K403" t="str">
        <f>T("000000000000000000")</f>
        <v>000000000000000000</v>
      </c>
      <c r="L403" t="str">
        <f>T("5713059340")</f>
        <v>5713059340</v>
      </c>
    </row>
    <row r="404" spans="1:12" x14ac:dyDescent="0.35">
      <c r="A404" t="str">
        <f t="shared" si="160"/>
        <v>NCIS HQ</v>
      </c>
      <c r="B404" t="str">
        <f>T("NCIS CODE 10A2")</f>
        <v>NCIS CODE 10A2</v>
      </c>
      <c r="C404" t="str">
        <f>T("27130 TELEGRAPH")</f>
        <v>27130 TELEGRAPH</v>
      </c>
      <c r="D404" t="str">
        <f>T("QUANTICO")</f>
        <v>QUANTICO</v>
      </c>
      <c r="E404" t="str">
        <f>T("VA")</f>
        <v>VA</v>
      </c>
      <c r="F404" t="str">
        <f>T("221342253")</f>
        <v>221342253</v>
      </c>
      <c r="G404" t="str">
        <f>T("27130 TELEGRAPH RD")</f>
        <v>27130 TELEGRAPH RD</v>
      </c>
      <c r="H404" t="str">
        <f>T("RKB")</f>
        <v>RKB</v>
      </c>
      <c r="I404" t="str">
        <f>T("QUANTICO")</f>
        <v>QUANTICO</v>
      </c>
      <c r="J404" t="str">
        <f>T("VA")</f>
        <v>VA</v>
      </c>
      <c r="K404" t="str">
        <f>T("000000000000000000")</f>
        <v>000000000000000000</v>
      </c>
      <c r="L404" t="str">
        <f>T("5713059402")</f>
        <v>5713059402</v>
      </c>
    </row>
    <row r="405" spans="1:12" x14ac:dyDescent="0.35">
      <c r="A405" t="str">
        <f t="shared" si="160"/>
        <v>NCIS HQ</v>
      </c>
      <c r="B405" t="str">
        <f>T("NCIS CODE 10A2")</f>
        <v>NCIS CODE 10A2</v>
      </c>
      <c r="C405" t="str">
        <f>T("27130 TELEGRAPH")</f>
        <v>27130 TELEGRAPH</v>
      </c>
      <c r="D405" t="str">
        <f>T("QUANTICO")</f>
        <v>QUANTICO</v>
      </c>
      <c r="E405" t="str">
        <f>T("VA")</f>
        <v>VA</v>
      </c>
      <c r="F405" t="str">
        <f>T("221342253")</f>
        <v>221342253</v>
      </c>
      <c r="G405" t="str">
        <f>T("NCIS CODE 10A2")</f>
        <v>NCIS CODE 10A2</v>
      </c>
      <c r="H405" t="str">
        <f>T("27130 TELEGRAPH")</f>
        <v>27130 TELEGRAPH</v>
      </c>
      <c r="I405" t="str">
        <f>T("QUANTICO")</f>
        <v>QUANTICO</v>
      </c>
      <c r="J405" t="str">
        <f>T("VA")</f>
        <v>VA</v>
      </c>
      <c r="K405" t="str">
        <f>T("")</f>
        <v/>
      </c>
      <c r="L405" t="str">
        <f>T("5713059341")</f>
        <v>5713059341</v>
      </c>
    </row>
    <row r="406" spans="1:12" x14ac:dyDescent="0.35">
      <c r="A406" t="str">
        <f t="shared" si="160"/>
        <v>NCIS HQ</v>
      </c>
      <c r="B406" t="str">
        <f>T("NCIS CODE 11B")</f>
        <v>NCIS CODE 11B</v>
      </c>
      <c r="C406" t="str">
        <f>T("27130 TELEGRAPH RD")</f>
        <v>27130 TELEGRAPH RD</v>
      </c>
      <c r="D406" t="str">
        <f>T("QUANTICO")</f>
        <v>QUANTICO</v>
      </c>
      <c r="E406" t="str">
        <f>T("VA")</f>
        <v>VA</v>
      </c>
      <c r="F406" t="str">
        <f>T("221342253")</f>
        <v>221342253</v>
      </c>
      <c r="G406" t="str">
        <f>T("NCIS CODE 11B")</f>
        <v>NCIS CODE 11B</v>
      </c>
      <c r="H406" t="str">
        <f>T("27130 TELEGRAPH RD")</f>
        <v>27130 TELEGRAPH RD</v>
      </c>
      <c r="I406" t="str">
        <f>T("QUANTICO")</f>
        <v>QUANTICO</v>
      </c>
      <c r="J406" t="str">
        <f>T("VA")</f>
        <v>VA</v>
      </c>
      <c r="K406" t="str">
        <f>T("")</f>
        <v/>
      </c>
      <c r="L406" t="str">
        <f>T("5713059252")</f>
        <v>5713059252</v>
      </c>
    </row>
    <row r="407" spans="1:12" x14ac:dyDescent="0.35">
      <c r="A407" t="str">
        <f t="shared" si="160"/>
        <v>NCIS HQ</v>
      </c>
      <c r="B407" t="str">
        <f t="shared" ref="B407:B414" si="168">T("NCIS FAR EAST")</f>
        <v>NCIS FAR EAST</v>
      </c>
      <c r="C407" t="str">
        <f t="shared" ref="C407:C414" si="169">T("PSC 473 BOX 76")</f>
        <v>PSC 473 BOX 76</v>
      </c>
      <c r="D407" t="str">
        <f t="shared" ref="D407:D414" si="170">T("FPO")</f>
        <v>FPO</v>
      </c>
      <c r="E407" t="str">
        <f t="shared" ref="E407:E414" si="171">T("AP")</f>
        <v>AP</v>
      </c>
      <c r="F407" t="str">
        <f t="shared" ref="F407:F414" si="172">T("963490001")</f>
        <v>963490001</v>
      </c>
      <c r="G407" t="str">
        <f>T("BLDG 497")</f>
        <v>BLDG 497</v>
      </c>
      <c r="H407" t="str">
        <f>T("CAMP FOSTER OKINAWA")</f>
        <v>CAMP FOSTER OKINAWA</v>
      </c>
      <c r="I407" t="str">
        <f>T("FPO")</f>
        <v>FPO</v>
      </c>
      <c r="J407" t="str">
        <f t="shared" ref="J407:J414" si="173">T("AP")</f>
        <v>AP</v>
      </c>
      <c r="K407" t="str">
        <f>T("000000000000000000")</f>
        <v>000000000000000000</v>
      </c>
      <c r="L407" t="str">
        <f>T("3156450213")</f>
        <v>3156450213</v>
      </c>
    </row>
    <row r="408" spans="1:12" x14ac:dyDescent="0.35">
      <c r="A408" t="str">
        <f t="shared" ref="A408:A439" si="174">T("NCIS HQ")</f>
        <v>NCIS HQ</v>
      </c>
      <c r="B408" t="str">
        <f t="shared" si="168"/>
        <v>NCIS FAR EAST</v>
      </c>
      <c r="C408" t="str">
        <f t="shared" si="169"/>
        <v>PSC 473 BOX 76</v>
      </c>
      <c r="D408" t="str">
        <f t="shared" si="170"/>
        <v>FPO</v>
      </c>
      <c r="E408" t="str">
        <f t="shared" si="171"/>
        <v>AP</v>
      </c>
      <c r="F408" t="str">
        <f t="shared" si="172"/>
        <v>963490001</v>
      </c>
      <c r="G408" t="str">
        <f>T("NCIS FAR EAST")</f>
        <v>NCIS FAR EAST</v>
      </c>
      <c r="H408" t="str">
        <f>T("PSC 473 BOX 76")</f>
        <v>PSC 473 BOX 76</v>
      </c>
      <c r="I408" t="str">
        <f>T("FPO")</f>
        <v>FPO</v>
      </c>
      <c r="J408" t="str">
        <f t="shared" si="173"/>
        <v>AP</v>
      </c>
      <c r="K408" t="str">
        <f>T("01181468166358")</f>
        <v>01181468166358</v>
      </c>
      <c r="L408" t="str">
        <f>T("1111111111")</f>
        <v>1111111111</v>
      </c>
    </row>
    <row r="409" spans="1:12" x14ac:dyDescent="0.35">
      <c r="A409" t="str">
        <f t="shared" si="174"/>
        <v>NCIS HQ</v>
      </c>
      <c r="B409" t="str">
        <f t="shared" si="168"/>
        <v>NCIS FAR EAST</v>
      </c>
      <c r="C409" t="str">
        <f t="shared" si="169"/>
        <v>PSC 473 BOX 76</v>
      </c>
      <c r="D409" t="str">
        <f t="shared" si="170"/>
        <v>FPO</v>
      </c>
      <c r="E409" t="str">
        <f t="shared" si="171"/>
        <v>AP</v>
      </c>
      <c r="F409" t="str">
        <f t="shared" si="172"/>
        <v>963490001</v>
      </c>
      <c r="G409" t="str">
        <f>T("NCIS-CNFK")</f>
        <v>NCIS-CNFK</v>
      </c>
      <c r="H409" t="str">
        <f>T("UNIT 15250")</f>
        <v>UNIT 15250</v>
      </c>
      <c r="I409" t="str">
        <f>T("APO")</f>
        <v>APO</v>
      </c>
      <c r="J409" t="str">
        <f t="shared" si="173"/>
        <v>AP</v>
      </c>
      <c r="K409" t="str">
        <f t="shared" ref="K409:K419" si="175">T("000000000000000000")</f>
        <v>000000000000000000</v>
      </c>
      <c r="L409" t="str">
        <f>T("8227983284")</f>
        <v>8227983284</v>
      </c>
    </row>
    <row r="410" spans="1:12" x14ac:dyDescent="0.35">
      <c r="A410" t="str">
        <f t="shared" si="174"/>
        <v>NCIS HQ</v>
      </c>
      <c r="B410" t="str">
        <f t="shared" si="168"/>
        <v>NCIS FAR EAST</v>
      </c>
      <c r="C410" t="str">
        <f t="shared" si="169"/>
        <v>PSC 473 BOX 76</v>
      </c>
      <c r="D410" t="str">
        <f t="shared" si="170"/>
        <v>FPO</v>
      </c>
      <c r="E410" t="str">
        <f t="shared" si="171"/>
        <v>AP</v>
      </c>
      <c r="F410" t="str">
        <f t="shared" si="172"/>
        <v>963490001</v>
      </c>
      <c r="G410" t="str">
        <f>T("PSC 473 BOX 76")</f>
        <v>PSC 473 BOX 76</v>
      </c>
      <c r="H410" t="str">
        <f t="shared" ref="H410:H419" si="176">T("")</f>
        <v/>
      </c>
      <c r="I410" t="str">
        <f>T("FPO")</f>
        <v>FPO</v>
      </c>
      <c r="J410" t="str">
        <f t="shared" si="173"/>
        <v>AP</v>
      </c>
      <c r="K410" t="str">
        <f t="shared" si="175"/>
        <v>000000000000000000</v>
      </c>
      <c r="L410" t="str">
        <f>T("3152436628")</f>
        <v>3152436628</v>
      </c>
    </row>
    <row r="411" spans="1:12" x14ac:dyDescent="0.35">
      <c r="A411" t="str">
        <f t="shared" si="174"/>
        <v>NCIS HQ</v>
      </c>
      <c r="B411" t="str">
        <f t="shared" si="168"/>
        <v>NCIS FAR EAST</v>
      </c>
      <c r="C411" t="str">
        <f t="shared" si="169"/>
        <v>PSC 473 BOX 76</v>
      </c>
      <c r="D411" t="str">
        <f t="shared" si="170"/>
        <v>FPO</v>
      </c>
      <c r="E411" t="str">
        <f t="shared" si="171"/>
        <v>AP</v>
      </c>
      <c r="F411" t="str">
        <f t="shared" si="172"/>
        <v>963490001</v>
      </c>
      <c r="G411" t="str">
        <f>T("PSC 473 BOX 76")</f>
        <v>PSC 473 BOX 76</v>
      </c>
      <c r="H411" t="str">
        <f t="shared" si="176"/>
        <v/>
      </c>
      <c r="I411" t="str">
        <f>T("FPO")</f>
        <v>FPO</v>
      </c>
      <c r="J411" t="str">
        <f t="shared" si="173"/>
        <v>AP</v>
      </c>
      <c r="K411" t="str">
        <f t="shared" si="175"/>
        <v>000000000000000000</v>
      </c>
      <c r="L411" t="str">
        <f>T("3152437535")</f>
        <v>3152437535</v>
      </c>
    </row>
    <row r="412" spans="1:12" x14ac:dyDescent="0.35">
      <c r="A412" t="str">
        <f t="shared" si="174"/>
        <v>NCIS HQ</v>
      </c>
      <c r="B412" t="str">
        <f t="shared" si="168"/>
        <v>NCIS FAR EAST</v>
      </c>
      <c r="C412" t="str">
        <f t="shared" si="169"/>
        <v>PSC 473 BOX 76</v>
      </c>
      <c r="D412" t="str">
        <f t="shared" si="170"/>
        <v>FPO</v>
      </c>
      <c r="E412" t="str">
        <f t="shared" si="171"/>
        <v>AP</v>
      </c>
      <c r="F412" t="str">
        <f t="shared" si="172"/>
        <v>963490001</v>
      </c>
      <c r="G412" t="str">
        <f>T("PSC 476 BOX 75")</f>
        <v>PSC 476 BOX 75</v>
      </c>
      <c r="H412" t="str">
        <f t="shared" si="176"/>
        <v/>
      </c>
      <c r="I412" t="str">
        <f>T("FPO")</f>
        <v>FPO</v>
      </c>
      <c r="J412" t="str">
        <f t="shared" si="173"/>
        <v>AP</v>
      </c>
      <c r="K412" t="str">
        <f t="shared" si="175"/>
        <v>000000000000000000</v>
      </c>
      <c r="L412" t="str">
        <f>T("3012523621")</f>
        <v>3012523621</v>
      </c>
    </row>
    <row r="413" spans="1:12" x14ac:dyDescent="0.35">
      <c r="A413" t="str">
        <f t="shared" si="174"/>
        <v>NCIS HQ</v>
      </c>
      <c r="B413" t="str">
        <f t="shared" si="168"/>
        <v>NCIS FAR EAST</v>
      </c>
      <c r="C413" t="str">
        <f t="shared" si="169"/>
        <v>PSC 473 BOX 76</v>
      </c>
      <c r="D413" t="str">
        <f t="shared" si="170"/>
        <v>FPO</v>
      </c>
      <c r="E413" t="str">
        <f t="shared" si="171"/>
        <v>AP</v>
      </c>
      <c r="F413" t="str">
        <f t="shared" si="172"/>
        <v>963490001</v>
      </c>
      <c r="G413" t="str">
        <f>T("PSC 477 BOX 8")</f>
        <v>PSC 477 BOX 8</v>
      </c>
      <c r="H413" t="str">
        <f t="shared" si="176"/>
        <v/>
      </c>
      <c r="I413" t="str">
        <f>T("FPO")</f>
        <v>FPO</v>
      </c>
      <c r="J413" t="str">
        <f t="shared" si="173"/>
        <v>AP</v>
      </c>
      <c r="K413" t="str">
        <f t="shared" si="175"/>
        <v>000000000000000000</v>
      </c>
      <c r="L413" t="str">
        <f>T("3152643223")</f>
        <v>3152643223</v>
      </c>
    </row>
    <row r="414" spans="1:12" x14ac:dyDescent="0.35">
      <c r="A414" t="str">
        <f t="shared" si="174"/>
        <v>NCIS HQ</v>
      </c>
      <c r="B414" t="str">
        <f t="shared" si="168"/>
        <v>NCIS FAR EAST</v>
      </c>
      <c r="C414" t="str">
        <f t="shared" si="169"/>
        <v>PSC 473 BOX 76</v>
      </c>
      <c r="D414" t="str">
        <f t="shared" si="170"/>
        <v>FPO</v>
      </c>
      <c r="E414" t="str">
        <f t="shared" si="171"/>
        <v>AP</v>
      </c>
      <c r="F414" t="str">
        <f t="shared" si="172"/>
        <v>963490001</v>
      </c>
      <c r="G414" t="str">
        <f>T("PSC 561 BOX 1870")</f>
        <v>PSC 561 BOX 1870</v>
      </c>
      <c r="H414" t="str">
        <f t="shared" si="176"/>
        <v/>
      </c>
      <c r="I414" t="str">
        <f>T("FPO")</f>
        <v>FPO</v>
      </c>
      <c r="J414" t="str">
        <f t="shared" si="173"/>
        <v>AP</v>
      </c>
      <c r="K414" t="str">
        <f t="shared" si="175"/>
        <v>000000000000000000</v>
      </c>
      <c r="L414" t="str">
        <f>T("3152535580")</f>
        <v>3152535580</v>
      </c>
    </row>
    <row r="415" spans="1:12" x14ac:dyDescent="0.35">
      <c r="A415" t="str">
        <f t="shared" si="174"/>
        <v>NCIS HQ</v>
      </c>
      <c r="B415" t="str">
        <f t="shared" ref="B415:B421" si="177">T("NCIS MWPE BX 555238")</f>
        <v>NCIS MWPE BX 555238</v>
      </c>
      <c r="C415" t="str">
        <f t="shared" ref="C415:C421" si="178">T("BLDG 1224 17TH ST")</f>
        <v>BLDG 1224 17TH ST</v>
      </c>
      <c r="D415" t="str">
        <f t="shared" ref="D415:D421" si="179">T("CAMP PENDLETON")</f>
        <v>CAMP PENDLETON</v>
      </c>
      <c r="E415" t="str">
        <f t="shared" ref="E415:E421" si="180">T("CA")</f>
        <v>CA</v>
      </c>
      <c r="F415" t="str">
        <f t="shared" ref="F415:F421" si="181">T("920555238")</f>
        <v>920555238</v>
      </c>
      <c r="G415" t="str">
        <f>T("10373 S FALL AVE")</f>
        <v>10373 S FALL AVE</v>
      </c>
      <c r="H415" t="str">
        <f t="shared" si="176"/>
        <v/>
      </c>
      <c r="I415" t="str">
        <f>T("YUMA")</f>
        <v>YUMA</v>
      </c>
      <c r="J415" t="str">
        <f>T("AZ")</f>
        <v>AZ</v>
      </c>
      <c r="K415" t="str">
        <f t="shared" si="175"/>
        <v>000000000000000000</v>
      </c>
      <c r="L415" t="str">
        <f>T("9282692305")</f>
        <v>9282692305</v>
      </c>
    </row>
    <row r="416" spans="1:12" x14ac:dyDescent="0.35">
      <c r="A416" t="str">
        <f t="shared" si="174"/>
        <v>NCIS HQ</v>
      </c>
      <c r="B416" t="str">
        <f t="shared" si="177"/>
        <v>NCIS MWPE BX 555238</v>
      </c>
      <c r="C416" t="str">
        <f t="shared" si="178"/>
        <v>BLDG 1224 17TH ST</v>
      </c>
      <c r="D416" t="str">
        <f t="shared" si="179"/>
        <v>CAMP PENDLETON</v>
      </c>
      <c r="E416" t="str">
        <f t="shared" si="180"/>
        <v>CA</v>
      </c>
      <c r="F416" t="str">
        <f t="shared" si="181"/>
        <v>920555238</v>
      </c>
      <c r="G416" t="str">
        <f>T("120101 DELUZ RD")</f>
        <v>120101 DELUZ RD</v>
      </c>
      <c r="H416" t="str">
        <f t="shared" si="176"/>
        <v/>
      </c>
      <c r="I416" t="str">
        <f>T("CAMP PENDLETON")</f>
        <v>CAMP PENDLETON</v>
      </c>
      <c r="J416" t="str">
        <f t="shared" ref="J416:J421" si="182">T("CA")</f>
        <v>CA</v>
      </c>
      <c r="K416" t="str">
        <f t="shared" si="175"/>
        <v>000000000000000000</v>
      </c>
      <c r="L416" t="str">
        <f>T("7607255159")</f>
        <v>7607255159</v>
      </c>
    </row>
    <row r="417" spans="1:12" x14ac:dyDescent="0.35">
      <c r="A417" t="str">
        <f t="shared" si="174"/>
        <v>NCIS HQ</v>
      </c>
      <c r="B417" t="str">
        <f t="shared" si="177"/>
        <v>NCIS MWPE BX 555238</v>
      </c>
      <c r="C417" t="str">
        <f t="shared" si="178"/>
        <v>BLDG 1224 17TH ST</v>
      </c>
      <c r="D417" t="str">
        <f t="shared" si="179"/>
        <v>CAMP PENDLETON</v>
      </c>
      <c r="E417" t="str">
        <f t="shared" si="180"/>
        <v>CA</v>
      </c>
      <c r="F417" t="str">
        <f t="shared" si="181"/>
        <v>920555238</v>
      </c>
      <c r="G417" t="str">
        <f>T("555238")</f>
        <v>555238</v>
      </c>
      <c r="H417" t="str">
        <f t="shared" si="176"/>
        <v/>
      </c>
      <c r="I417" t="str">
        <f>T("CAMP PENDLETON")</f>
        <v>CAMP PENDLETON</v>
      </c>
      <c r="J417" t="str">
        <f t="shared" si="182"/>
        <v>CA</v>
      </c>
      <c r="K417" t="str">
        <f t="shared" si="175"/>
        <v>000000000000000000</v>
      </c>
      <c r="L417" t="str">
        <f>T("7607255633")</f>
        <v>7607255633</v>
      </c>
    </row>
    <row r="418" spans="1:12" x14ac:dyDescent="0.35">
      <c r="A418" t="str">
        <f t="shared" si="174"/>
        <v>NCIS HQ</v>
      </c>
      <c r="B418" t="str">
        <f t="shared" si="177"/>
        <v>NCIS MWPE BX 555238</v>
      </c>
      <c r="C418" t="str">
        <f t="shared" si="178"/>
        <v>BLDG 1224 17TH ST</v>
      </c>
      <c r="D418" t="str">
        <f t="shared" si="179"/>
        <v>CAMP PENDLETON</v>
      </c>
      <c r="E418" t="str">
        <f t="shared" si="180"/>
        <v>CA</v>
      </c>
      <c r="F418" t="str">
        <f t="shared" si="181"/>
        <v>920555238</v>
      </c>
      <c r="G418" t="str">
        <f>T("BLDG 1031 BOX 788117")</f>
        <v>BLDG 1031 BOX 788117</v>
      </c>
      <c r="H418" t="str">
        <f t="shared" si="176"/>
        <v/>
      </c>
      <c r="I418" t="str">
        <f>T("TWENTYNINE PALMS")</f>
        <v>TWENTYNINE PALMS</v>
      </c>
      <c r="J418" t="str">
        <f t="shared" si="182"/>
        <v>CA</v>
      </c>
      <c r="K418" t="str">
        <f t="shared" si="175"/>
        <v>000000000000000000</v>
      </c>
      <c r="L418" t="str">
        <f>T("7608306612")</f>
        <v>7608306612</v>
      </c>
    </row>
    <row r="419" spans="1:12" x14ac:dyDescent="0.35">
      <c r="A419" t="str">
        <f t="shared" si="174"/>
        <v>NCIS HQ</v>
      </c>
      <c r="B419" t="str">
        <f t="shared" si="177"/>
        <v>NCIS MWPE BX 555238</v>
      </c>
      <c r="C419" t="str">
        <f t="shared" si="178"/>
        <v>BLDG 1224 17TH ST</v>
      </c>
      <c r="D419" t="str">
        <f t="shared" si="179"/>
        <v>CAMP PENDLETON</v>
      </c>
      <c r="E419" t="str">
        <f t="shared" si="180"/>
        <v>CA</v>
      </c>
      <c r="F419" t="str">
        <f t="shared" si="181"/>
        <v>920555238</v>
      </c>
      <c r="G419" t="str">
        <f>T("BOX 555238")</f>
        <v>BOX 555238</v>
      </c>
      <c r="H419" t="str">
        <f t="shared" si="176"/>
        <v/>
      </c>
      <c r="I419" t="str">
        <f>T("CAMP PENDLETON")</f>
        <v>CAMP PENDLETON</v>
      </c>
      <c r="J419" t="str">
        <f t="shared" si="182"/>
        <v>CA</v>
      </c>
      <c r="K419" t="str">
        <f t="shared" si="175"/>
        <v>000000000000000000</v>
      </c>
      <c r="L419" t="str">
        <f>T("7607255158")</f>
        <v>7607255158</v>
      </c>
    </row>
    <row r="420" spans="1:12" x14ac:dyDescent="0.35">
      <c r="A420" t="str">
        <f t="shared" si="174"/>
        <v>NCIS HQ</v>
      </c>
      <c r="B420" t="str">
        <f t="shared" si="177"/>
        <v>NCIS MWPE BX 555238</v>
      </c>
      <c r="C420" t="str">
        <f t="shared" si="178"/>
        <v>BLDG 1224 17TH ST</v>
      </c>
      <c r="D420" t="str">
        <f t="shared" si="179"/>
        <v>CAMP PENDLETON</v>
      </c>
      <c r="E420" t="str">
        <f t="shared" si="180"/>
        <v>CA</v>
      </c>
      <c r="F420" t="str">
        <f t="shared" si="181"/>
        <v>920555238</v>
      </c>
      <c r="G420" t="str">
        <f>T("NCIS MWPE BX 555238")</f>
        <v>NCIS MWPE BX 555238</v>
      </c>
      <c r="H420" t="str">
        <f>T("BLDG 1224 17TH ST")</f>
        <v>BLDG 1224 17TH ST</v>
      </c>
      <c r="I420" t="str">
        <f>T("CAMP PENDLETON")</f>
        <v>CAMP PENDLETON</v>
      </c>
      <c r="J420" t="str">
        <f t="shared" si="182"/>
        <v>CA</v>
      </c>
      <c r="K420" t="str">
        <f>T("7607255814")</f>
        <v>7607255814</v>
      </c>
      <c r="L420" t="str">
        <f>T("7607255158")</f>
        <v>7607255158</v>
      </c>
    </row>
    <row r="421" spans="1:12" x14ac:dyDescent="0.35">
      <c r="A421" t="str">
        <f t="shared" si="174"/>
        <v>NCIS HQ</v>
      </c>
      <c r="B421" t="str">
        <f t="shared" si="177"/>
        <v>NCIS MWPE BX 555238</v>
      </c>
      <c r="C421" t="str">
        <f t="shared" si="178"/>
        <v>BLDG 1224 17TH ST</v>
      </c>
      <c r="D421" t="str">
        <f t="shared" si="179"/>
        <v>CAMP PENDLETON</v>
      </c>
      <c r="E421" t="str">
        <f t="shared" si="180"/>
        <v>CA</v>
      </c>
      <c r="F421" t="str">
        <f t="shared" si="181"/>
        <v>920555238</v>
      </c>
      <c r="G421" t="str">
        <f>T("PO BOX 452138")</f>
        <v>PO BOX 452138</v>
      </c>
      <c r="H421" t="str">
        <f>T("MCAS MIRAMAR")</f>
        <v>MCAS MIRAMAR</v>
      </c>
      <c r="I421" t="str">
        <f>T("SAN DIEGO")</f>
        <v>SAN DIEGO</v>
      </c>
      <c r="J421" t="str">
        <f t="shared" si="182"/>
        <v>CA</v>
      </c>
      <c r="K421" t="str">
        <f>T("000000000000000000")</f>
        <v>000000000000000000</v>
      </c>
      <c r="L421" t="str">
        <f>T("7607258413")</f>
        <v>7607258413</v>
      </c>
    </row>
    <row r="422" spans="1:12" x14ac:dyDescent="0.35">
      <c r="A422" t="str">
        <f t="shared" si="174"/>
        <v>NCIS HQ</v>
      </c>
      <c r="B422" t="str">
        <f>T("NCIS RUSSELL KNOX BLDG")</f>
        <v>NCIS RUSSELL KNOX BLDG</v>
      </c>
      <c r="C422" t="str">
        <f>T("27130 TELEGRAPH RD")</f>
        <v>27130 TELEGRAPH RD</v>
      </c>
      <c r="D422" t="str">
        <f>T("QUANTICO")</f>
        <v>QUANTICO</v>
      </c>
      <c r="E422" t="str">
        <f>T("VA")</f>
        <v>VA</v>
      </c>
      <c r="F422" t="str">
        <f>T("221342253")</f>
        <v>221342253</v>
      </c>
      <c r="G422" t="str">
        <f>T("27130 TELEGRAPH")</f>
        <v>27130 TELEGRAPH</v>
      </c>
      <c r="H422" t="str">
        <f>T("RKB")</f>
        <v>RKB</v>
      </c>
      <c r="I422" t="str">
        <f>T("QUANTICO")</f>
        <v>QUANTICO</v>
      </c>
      <c r="J422" t="str">
        <f>T("VA")</f>
        <v>VA</v>
      </c>
      <c r="K422" t="str">
        <f>T("000000000000000000")</f>
        <v>000000000000000000</v>
      </c>
      <c r="L422" t="str">
        <f>T("5713059019")</f>
        <v>5713059019</v>
      </c>
    </row>
    <row r="423" spans="1:12" x14ac:dyDescent="0.35">
      <c r="A423" t="str">
        <f t="shared" si="174"/>
        <v>NCIS HQ</v>
      </c>
      <c r="B423" t="str">
        <f>T("NCIS RUSSELL KNOX BLDG")</f>
        <v>NCIS RUSSELL KNOX BLDG</v>
      </c>
      <c r="C423" t="str">
        <f>T("27130 TELEGRAPH RD")</f>
        <v>27130 TELEGRAPH RD</v>
      </c>
      <c r="D423" t="str">
        <f>T("QUANTICO")</f>
        <v>QUANTICO</v>
      </c>
      <c r="E423" t="str">
        <f>T("VA")</f>
        <v>VA</v>
      </c>
      <c r="F423" t="str">
        <f>T("221342253")</f>
        <v>221342253</v>
      </c>
      <c r="G423" t="str">
        <f>T("NCIS RUSSELL KNOX BLDG")</f>
        <v>NCIS RUSSELL KNOX BLDG</v>
      </c>
      <c r="H423" t="str">
        <f>T("27130 TELEGRAPH RD")</f>
        <v>27130 TELEGRAPH RD</v>
      </c>
      <c r="I423" t="str">
        <f>T("QUANTICO")</f>
        <v>QUANTICO</v>
      </c>
      <c r="J423" t="str">
        <f>T("VA")</f>
        <v>VA</v>
      </c>
      <c r="K423" t="str">
        <f>T("5713054005")</f>
        <v>5713054005</v>
      </c>
      <c r="L423" t="str">
        <f>T("5713059044")</f>
        <v>5713059044</v>
      </c>
    </row>
    <row r="424" spans="1:12" x14ac:dyDescent="0.35">
      <c r="A424" t="str">
        <f t="shared" si="174"/>
        <v>NCIS HQ</v>
      </c>
      <c r="B424" t="str">
        <f t="shared" ref="B424:B429" si="183">T("NCIS-FLETC")</f>
        <v>NCIS-FLETC</v>
      </c>
      <c r="C424" t="str">
        <f t="shared" ref="C424:C429" si="184">T("TOWNHOUSE 392")</f>
        <v>TOWNHOUSE 392</v>
      </c>
      <c r="D424" t="str">
        <f t="shared" ref="D424:D429" si="185">T("GLYNCO")</f>
        <v>GLYNCO</v>
      </c>
      <c r="E424" t="str">
        <f t="shared" ref="E424:E429" si="186">T("GA")</f>
        <v>GA</v>
      </c>
      <c r="F424" t="str">
        <f t="shared" ref="F424:F429" si="187">T("315240000")</f>
        <v>315240000</v>
      </c>
      <c r="G424" t="str">
        <f>T("27130 TELEGRAPH")</f>
        <v>27130 TELEGRAPH</v>
      </c>
      <c r="H424" t="str">
        <f>T("RKB")</f>
        <v>RKB</v>
      </c>
      <c r="I424" t="str">
        <f>T("QUANTICO")</f>
        <v>QUANTICO</v>
      </c>
      <c r="J424" t="str">
        <f>T("VA")</f>
        <v>VA</v>
      </c>
      <c r="K424" t="str">
        <f>T("000000000000000000")</f>
        <v>000000000000000000</v>
      </c>
      <c r="L424" t="str">
        <f>T("5713059411")</f>
        <v>5713059411</v>
      </c>
    </row>
    <row r="425" spans="1:12" x14ac:dyDescent="0.35">
      <c r="A425" t="str">
        <f t="shared" si="174"/>
        <v>NCIS HQ</v>
      </c>
      <c r="B425" t="str">
        <f t="shared" si="183"/>
        <v>NCIS-FLETC</v>
      </c>
      <c r="C425" t="str">
        <f t="shared" si="184"/>
        <v>TOWNHOUSE 392</v>
      </c>
      <c r="D425" t="str">
        <f t="shared" si="185"/>
        <v>GLYNCO</v>
      </c>
      <c r="E425" t="str">
        <f t="shared" si="186"/>
        <v>GA</v>
      </c>
      <c r="F425" t="str">
        <f t="shared" si="187"/>
        <v>315240000</v>
      </c>
      <c r="G425" t="str">
        <f>T("27130 TELEGRAPH RD")</f>
        <v>27130 TELEGRAPH RD</v>
      </c>
      <c r="H425" t="str">
        <f>T("")</f>
        <v/>
      </c>
      <c r="I425" t="str">
        <f>T("QUANTICO")</f>
        <v>QUANTICO</v>
      </c>
      <c r="J425" t="str">
        <f>T("VA")</f>
        <v>VA</v>
      </c>
      <c r="K425" t="str">
        <f>T("2024339164")</f>
        <v>2024339164</v>
      </c>
      <c r="L425" t="str">
        <f>T("5713059222")</f>
        <v>5713059222</v>
      </c>
    </row>
    <row r="426" spans="1:12" x14ac:dyDescent="0.35">
      <c r="A426" t="str">
        <f t="shared" si="174"/>
        <v>NCIS HQ</v>
      </c>
      <c r="B426" t="str">
        <f t="shared" si="183"/>
        <v>NCIS-FLETC</v>
      </c>
      <c r="C426" t="str">
        <f t="shared" si="184"/>
        <v>TOWNHOUSE 392</v>
      </c>
      <c r="D426" t="str">
        <f t="shared" si="185"/>
        <v>GLYNCO</v>
      </c>
      <c r="E426" t="str">
        <f t="shared" si="186"/>
        <v>GA</v>
      </c>
      <c r="F426" t="str">
        <f t="shared" si="187"/>
        <v>315240000</v>
      </c>
      <c r="G426" t="str">
        <f>T("NCIS TRAINING ACADEMY")</f>
        <v>NCIS TRAINING ACADEMY</v>
      </c>
      <c r="H426" t="str">
        <f>T("TOWNHOUSE 394 FLETC")</f>
        <v>TOWNHOUSE 394 FLETC</v>
      </c>
      <c r="I426" t="str">
        <f>T("GLYNCO")</f>
        <v>GLYNCO</v>
      </c>
      <c r="J426" t="str">
        <f>T("GA")</f>
        <v>GA</v>
      </c>
      <c r="K426" t="str">
        <f>T("000000000000000000")</f>
        <v>000000000000000000</v>
      </c>
      <c r="L426" t="str">
        <f>T("9122672462")</f>
        <v>9122672462</v>
      </c>
    </row>
    <row r="427" spans="1:12" x14ac:dyDescent="0.35">
      <c r="A427" t="str">
        <f t="shared" si="174"/>
        <v>NCIS HQ</v>
      </c>
      <c r="B427" t="str">
        <f t="shared" si="183"/>
        <v>NCIS-FLETC</v>
      </c>
      <c r="C427" t="str">
        <f t="shared" si="184"/>
        <v>TOWNHOUSE 392</v>
      </c>
      <c r="D427" t="str">
        <f t="shared" si="185"/>
        <v>GLYNCO</v>
      </c>
      <c r="E427" t="str">
        <f t="shared" si="186"/>
        <v>GA</v>
      </c>
      <c r="F427" t="str">
        <f t="shared" si="187"/>
        <v>315240000</v>
      </c>
      <c r="G427" t="str">
        <f>T("NCIS-FLETC")</f>
        <v>NCIS-FLETC</v>
      </c>
      <c r="H427" t="str">
        <f>T("TOWNHOUSE 392")</f>
        <v>TOWNHOUSE 392</v>
      </c>
      <c r="I427" t="str">
        <f>T("GLYNCO")</f>
        <v>GLYNCO</v>
      </c>
      <c r="J427" t="str">
        <f>T("GA")</f>
        <v>GA</v>
      </c>
      <c r="K427" t="str">
        <f>T("9122673004")</f>
        <v>9122673004</v>
      </c>
      <c r="L427" t="str">
        <f>T("9122805474")</f>
        <v>9122805474</v>
      </c>
    </row>
    <row r="428" spans="1:12" x14ac:dyDescent="0.35">
      <c r="A428" t="str">
        <f t="shared" si="174"/>
        <v>NCIS HQ</v>
      </c>
      <c r="B428" t="str">
        <f t="shared" si="183"/>
        <v>NCIS-FLETC</v>
      </c>
      <c r="C428" t="str">
        <f t="shared" si="184"/>
        <v>TOWNHOUSE 392</v>
      </c>
      <c r="D428" t="str">
        <f t="shared" si="185"/>
        <v>GLYNCO</v>
      </c>
      <c r="E428" t="str">
        <f t="shared" si="186"/>
        <v>GA</v>
      </c>
      <c r="F428" t="str">
        <f t="shared" si="187"/>
        <v>315240000</v>
      </c>
      <c r="G428" t="str">
        <f>T("NCIS/FLETC 388C MARANA")</f>
        <v>NCIS/FLETC 388C MARANA</v>
      </c>
      <c r="H428" t="str">
        <f>T("")</f>
        <v/>
      </c>
      <c r="I428" t="str">
        <f>T("GLYNCO")</f>
        <v>GLYNCO</v>
      </c>
      <c r="J428" t="str">
        <f>T("GA")</f>
        <v>GA</v>
      </c>
      <c r="K428" t="str">
        <f t="shared" ref="K428:K435" si="188">T("000000000000000000")</f>
        <v>000000000000000000</v>
      </c>
      <c r="L428" t="str">
        <f>T("9125544749")</f>
        <v>9125544749</v>
      </c>
    </row>
    <row r="429" spans="1:12" x14ac:dyDescent="0.35">
      <c r="A429" t="str">
        <f t="shared" si="174"/>
        <v>NCIS HQ</v>
      </c>
      <c r="B429" t="str">
        <f t="shared" si="183"/>
        <v>NCIS-FLETC</v>
      </c>
      <c r="C429" t="str">
        <f t="shared" si="184"/>
        <v>TOWNHOUSE 392</v>
      </c>
      <c r="D429" t="str">
        <f t="shared" si="185"/>
        <v>GLYNCO</v>
      </c>
      <c r="E429" t="str">
        <f t="shared" si="186"/>
        <v>GA</v>
      </c>
      <c r="F429" t="str">
        <f t="shared" si="187"/>
        <v>315240000</v>
      </c>
      <c r="G429" t="str">
        <f>T("TOWNHOUSE 388B")</f>
        <v>TOWNHOUSE 388B</v>
      </c>
      <c r="H429" t="str">
        <f>T("FLETC")</f>
        <v>FLETC</v>
      </c>
      <c r="I429" t="str">
        <f>T("GLYNCO")</f>
        <v>GLYNCO</v>
      </c>
      <c r="J429" t="str">
        <f>T("GA")</f>
        <v>GA</v>
      </c>
      <c r="K429" t="str">
        <f t="shared" si="188"/>
        <v>000000000000000000</v>
      </c>
      <c r="L429" t="str">
        <f>T("9122805475")</f>
        <v>9122805475</v>
      </c>
    </row>
    <row r="430" spans="1:12" x14ac:dyDescent="0.35">
      <c r="A430" t="str">
        <f t="shared" si="174"/>
        <v>NCIS HQ</v>
      </c>
      <c r="B430" t="str">
        <f>T("NCISFO EUROPE")</f>
        <v>NCISFO EUROPE</v>
      </c>
      <c r="C430" t="str">
        <f>T("PSC 817 BOX 36")</f>
        <v>PSC 817 BOX 36</v>
      </c>
      <c r="D430" t="str">
        <f t="shared" ref="D430:D442" si="189">T("FPO")</f>
        <v>FPO</v>
      </c>
      <c r="E430" t="str">
        <f t="shared" ref="E430:E438" si="190">T("AE")</f>
        <v>AE</v>
      </c>
      <c r="F430" t="str">
        <f>T("096220001")</f>
        <v>096220001</v>
      </c>
      <c r="G430" t="str">
        <f>T("NCISFO EUROPE")</f>
        <v>NCISFO EUROPE</v>
      </c>
      <c r="H430" t="str">
        <f>T("PSC 817 BOX 36")</f>
        <v>PSC 817 BOX 36</v>
      </c>
      <c r="I430" t="str">
        <f t="shared" ref="I430:I441" si="191">T("FPO")</f>
        <v>FPO</v>
      </c>
      <c r="J430" t="str">
        <f t="shared" ref="J430:J438" si="192">T("AE")</f>
        <v>AE</v>
      </c>
      <c r="K430" t="str">
        <f t="shared" si="188"/>
        <v>000000000000000000</v>
      </c>
      <c r="L430" t="str">
        <f>T("1111111111")</f>
        <v>1111111111</v>
      </c>
    </row>
    <row r="431" spans="1:12" x14ac:dyDescent="0.35">
      <c r="A431" t="str">
        <f t="shared" si="174"/>
        <v>NCIS HQ</v>
      </c>
      <c r="B431" t="str">
        <f>T("NCISFO EUROPE")</f>
        <v>NCISFO EUROPE</v>
      </c>
      <c r="C431" t="str">
        <f>T("PSC 817 BOX 36")</f>
        <v>PSC 817 BOX 36</v>
      </c>
      <c r="D431" t="str">
        <f t="shared" si="189"/>
        <v>FPO</v>
      </c>
      <c r="E431" t="str">
        <f t="shared" si="190"/>
        <v>AE</v>
      </c>
      <c r="F431" t="str">
        <f>T("096220001")</f>
        <v>096220001</v>
      </c>
      <c r="G431" t="str">
        <f>T("PSC 817 BOX 36")</f>
        <v>PSC 817 BOX 36</v>
      </c>
      <c r="H431" t="str">
        <f t="shared" ref="H431:H442" si="193">T("")</f>
        <v/>
      </c>
      <c r="I431" t="str">
        <f t="shared" si="191"/>
        <v>FPO</v>
      </c>
      <c r="J431" t="str">
        <f t="shared" si="192"/>
        <v>AE</v>
      </c>
      <c r="K431" t="str">
        <f t="shared" si="188"/>
        <v>000000000000000000</v>
      </c>
      <c r="L431" t="str">
        <f>T("1111111111")</f>
        <v>1111111111</v>
      </c>
    </row>
    <row r="432" spans="1:12" x14ac:dyDescent="0.35">
      <c r="A432" t="str">
        <f t="shared" si="174"/>
        <v>NCIS HQ</v>
      </c>
      <c r="B432" t="str">
        <f>T("NCISFO EUROPE")</f>
        <v>NCISFO EUROPE</v>
      </c>
      <c r="C432" t="str">
        <f>T("PSC 817 BOX 36")</f>
        <v>PSC 817 BOX 36</v>
      </c>
      <c r="D432" t="str">
        <f t="shared" si="189"/>
        <v>FPO</v>
      </c>
      <c r="E432" t="str">
        <f t="shared" si="190"/>
        <v>AE</v>
      </c>
      <c r="F432" t="str">
        <f>T("096220001")</f>
        <v>096220001</v>
      </c>
      <c r="G432" t="str">
        <f>T("PSC 817 BOX 36")</f>
        <v>PSC 817 BOX 36</v>
      </c>
      <c r="H432" t="str">
        <f t="shared" si="193"/>
        <v/>
      </c>
      <c r="I432" t="str">
        <f t="shared" si="191"/>
        <v>FPO</v>
      </c>
      <c r="J432" t="str">
        <f t="shared" si="192"/>
        <v>AE</v>
      </c>
      <c r="K432" t="str">
        <f t="shared" si="188"/>
        <v>000000000000000000</v>
      </c>
      <c r="L432" t="str">
        <f>T("3146264320")</f>
        <v>3146264320</v>
      </c>
    </row>
    <row r="433" spans="1:12" x14ac:dyDescent="0.35">
      <c r="A433" t="str">
        <f t="shared" si="174"/>
        <v>NCIS HQ</v>
      </c>
      <c r="B433" t="str">
        <f>T("NCISFO EUROPE")</f>
        <v>NCISFO EUROPE</v>
      </c>
      <c r="C433" t="str">
        <f>T("PSC 817 BOX 36")</f>
        <v>PSC 817 BOX 36</v>
      </c>
      <c r="D433" t="str">
        <f t="shared" si="189"/>
        <v>FPO</v>
      </c>
      <c r="E433" t="str">
        <f t="shared" si="190"/>
        <v>AE</v>
      </c>
      <c r="F433" t="str">
        <f>T("096220001")</f>
        <v>096220001</v>
      </c>
      <c r="G433" t="str">
        <f>T("PSC 817 BOX 36")</f>
        <v>PSC 817 BOX 36</v>
      </c>
      <c r="H433" t="str">
        <f t="shared" si="193"/>
        <v/>
      </c>
      <c r="I433" t="str">
        <f t="shared" si="191"/>
        <v>FPO</v>
      </c>
      <c r="J433" t="str">
        <f t="shared" si="192"/>
        <v>AE</v>
      </c>
      <c r="K433" t="str">
        <f t="shared" si="188"/>
        <v>000000000000000000</v>
      </c>
      <c r="L433" t="str">
        <f>T("3156263187")</f>
        <v>3156263187</v>
      </c>
    </row>
    <row r="434" spans="1:12" x14ac:dyDescent="0.35">
      <c r="A434" t="str">
        <f t="shared" si="174"/>
        <v>NCIS HQ</v>
      </c>
      <c r="B434" t="str">
        <f>T("NCISFO EUROPE")</f>
        <v>NCISFO EUROPE</v>
      </c>
      <c r="C434" t="str">
        <f>T("PSC 817 BOX 36")</f>
        <v>PSC 817 BOX 36</v>
      </c>
      <c r="D434" t="str">
        <f t="shared" si="189"/>
        <v>FPO</v>
      </c>
      <c r="E434" t="str">
        <f t="shared" si="190"/>
        <v>AE</v>
      </c>
      <c r="F434" t="str">
        <f>T("096220001")</f>
        <v>096220001</v>
      </c>
      <c r="G434" t="str">
        <f>T("PSC 817 BOX 36")</f>
        <v>PSC 817 BOX 36</v>
      </c>
      <c r="H434" t="str">
        <f t="shared" si="193"/>
        <v/>
      </c>
      <c r="I434" t="str">
        <f t="shared" si="191"/>
        <v>FPO</v>
      </c>
      <c r="J434" t="str">
        <f t="shared" si="192"/>
        <v>AE</v>
      </c>
      <c r="K434" t="str">
        <f t="shared" si="188"/>
        <v>000000000000000000</v>
      </c>
      <c r="L434" t="str">
        <f>T("3177271926")</f>
        <v>3177271926</v>
      </c>
    </row>
    <row r="435" spans="1:12" x14ac:dyDescent="0.35">
      <c r="A435" t="str">
        <f t="shared" si="174"/>
        <v>NCIS HQ</v>
      </c>
      <c r="B435" t="str">
        <f>T("PSC 451 BOX 400")</f>
        <v>PSC 451 BOX 400</v>
      </c>
      <c r="C435" t="str">
        <f t="shared" ref="C435:C442" si="194">T("")</f>
        <v/>
      </c>
      <c r="D435" t="str">
        <f t="shared" si="189"/>
        <v>FPO</v>
      </c>
      <c r="E435" t="str">
        <f t="shared" si="190"/>
        <v>AE</v>
      </c>
      <c r="F435" t="str">
        <f>T("098342800")</f>
        <v>098342800</v>
      </c>
      <c r="G435" t="str">
        <f>T("PSC 451 BOX 400")</f>
        <v>PSC 451 BOX 400</v>
      </c>
      <c r="H435" t="str">
        <f t="shared" si="193"/>
        <v/>
      </c>
      <c r="I435" t="str">
        <f t="shared" si="191"/>
        <v>FPO</v>
      </c>
      <c r="J435" t="str">
        <f t="shared" si="192"/>
        <v>AE</v>
      </c>
      <c r="K435" t="str">
        <f t="shared" si="188"/>
        <v>000000000000000000</v>
      </c>
      <c r="L435" t="str">
        <f>T("9733231268")</f>
        <v>9733231268</v>
      </c>
    </row>
    <row r="436" spans="1:12" x14ac:dyDescent="0.35">
      <c r="A436" t="str">
        <f t="shared" si="174"/>
        <v>NCIS HQ</v>
      </c>
      <c r="B436" t="str">
        <f>T("PSC 451 BOX 400")</f>
        <v>PSC 451 BOX 400</v>
      </c>
      <c r="C436" t="str">
        <f t="shared" si="194"/>
        <v/>
      </c>
      <c r="D436" t="str">
        <f t="shared" si="189"/>
        <v>FPO</v>
      </c>
      <c r="E436" t="str">
        <f t="shared" si="190"/>
        <v>AE</v>
      </c>
      <c r="F436" t="str">
        <f>T("098342800")</f>
        <v>098342800</v>
      </c>
      <c r="G436" t="str">
        <f>T("PSC 451 BOX 400")</f>
        <v>PSC 451 BOX 400</v>
      </c>
      <c r="H436" t="str">
        <f t="shared" si="193"/>
        <v/>
      </c>
      <c r="I436" t="str">
        <f t="shared" si="191"/>
        <v>FPO</v>
      </c>
      <c r="J436" t="str">
        <f t="shared" si="192"/>
        <v>AE</v>
      </c>
      <c r="K436" t="str">
        <f>T("01197317854116")</f>
        <v>01197317854116</v>
      </c>
      <c r="L436" t="str">
        <f>T("1111111111")</f>
        <v>1111111111</v>
      </c>
    </row>
    <row r="437" spans="1:12" x14ac:dyDescent="0.35">
      <c r="A437" t="str">
        <f t="shared" si="174"/>
        <v>NCIS HQ</v>
      </c>
      <c r="B437" t="str">
        <f>T("PSC 451 BOX 400")</f>
        <v>PSC 451 BOX 400</v>
      </c>
      <c r="C437" t="str">
        <f t="shared" si="194"/>
        <v/>
      </c>
      <c r="D437" t="str">
        <f t="shared" si="189"/>
        <v>FPO</v>
      </c>
      <c r="E437" t="str">
        <f t="shared" si="190"/>
        <v>AE</v>
      </c>
      <c r="F437" t="str">
        <f>T("098342800")</f>
        <v>098342800</v>
      </c>
      <c r="G437" t="str">
        <f>T("PSC 851 BOX 520")</f>
        <v>PSC 851 BOX 520</v>
      </c>
      <c r="H437" t="str">
        <f t="shared" si="193"/>
        <v/>
      </c>
      <c r="I437" t="str">
        <f t="shared" si="191"/>
        <v>FPO</v>
      </c>
      <c r="J437" t="str">
        <f t="shared" si="192"/>
        <v>AE</v>
      </c>
      <c r="K437" t="str">
        <f>T("000000000000000000")</f>
        <v>000000000000000000</v>
      </c>
      <c r="L437" t="str">
        <f>T("3184393975")</f>
        <v>3184393975</v>
      </c>
    </row>
    <row r="438" spans="1:12" x14ac:dyDescent="0.35">
      <c r="A438" t="str">
        <f t="shared" si="174"/>
        <v>NCIS HQ</v>
      </c>
      <c r="B438" t="str">
        <f>T("PSC 451 BOX 400")</f>
        <v>PSC 451 BOX 400</v>
      </c>
      <c r="C438" t="str">
        <f t="shared" si="194"/>
        <v/>
      </c>
      <c r="D438" t="str">
        <f t="shared" si="189"/>
        <v>FPO</v>
      </c>
      <c r="E438" t="str">
        <f t="shared" si="190"/>
        <v>AE</v>
      </c>
      <c r="F438" t="str">
        <f>T("098342800")</f>
        <v>098342800</v>
      </c>
      <c r="G438" t="str">
        <f>T("PSC 851 BOX 520")</f>
        <v>PSC 851 BOX 520</v>
      </c>
      <c r="H438" t="str">
        <f t="shared" si="193"/>
        <v/>
      </c>
      <c r="I438" t="str">
        <f t="shared" si="191"/>
        <v>FPO</v>
      </c>
      <c r="J438" t="str">
        <f t="shared" si="192"/>
        <v>AE</v>
      </c>
      <c r="K438" t="str">
        <f>T("000000000000000000")</f>
        <v>000000000000000000</v>
      </c>
      <c r="L438" t="str">
        <f>T("3184394123")</f>
        <v>3184394123</v>
      </c>
    </row>
    <row r="439" spans="1:12" x14ac:dyDescent="0.35">
      <c r="A439" t="str">
        <f t="shared" si="174"/>
        <v>NCIS HQ</v>
      </c>
      <c r="B439" t="str">
        <f>T("PSC 470 BOX 2900")</f>
        <v>PSC 470 BOX 2900</v>
      </c>
      <c r="C439" t="str">
        <f t="shared" si="194"/>
        <v/>
      </c>
      <c r="D439" t="str">
        <f t="shared" si="189"/>
        <v>FPO</v>
      </c>
      <c r="E439" t="str">
        <f>T("AP")</f>
        <v>AP</v>
      </c>
      <c r="F439" t="str">
        <f>T("965342900")</f>
        <v>965342900</v>
      </c>
      <c r="G439" t="str">
        <f>T("PSC 470 BOX 2900")</f>
        <v>PSC 470 BOX 2900</v>
      </c>
      <c r="H439" t="str">
        <f t="shared" si="193"/>
        <v/>
      </c>
      <c r="I439" t="str">
        <f t="shared" si="191"/>
        <v>FPO</v>
      </c>
      <c r="J439" t="str">
        <f>T("AP")</f>
        <v>AP</v>
      </c>
      <c r="K439" t="str">
        <f>T("000000000000000000")</f>
        <v>000000000000000000</v>
      </c>
      <c r="L439" t="str">
        <f>T("3154212913")</f>
        <v>3154212913</v>
      </c>
    </row>
    <row r="440" spans="1:12" x14ac:dyDescent="0.35">
      <c r="A440" t="str">
        <f t="shared" ref="A440:A449" si="195">T("NCIS HQ")</f>
        <v>NCIS HQ</v>
      </c>
      <c r="B440" t="str">
        <f>T("PSC 470 BOX 2900")</f>
        <v>PSC 470 BOX 2900</v>
      </c>
      <c r="C440" t="str">
        <f t="shared" si="194"/>
        <v/>
      </c>
      <c r="D440" t="str">
        <f t="shared" si="189"/>
        <v>FPO</v>
      </c>
      <c r="E440" t="str">
        <f>T("AP")</f>
        <v>AP</v>
      </c>
      <c r="F440" t="str">
        <f>T("965342900")</f>
        <v>965342900</v>
      </c>
      <c r="G440" t="str">
        <f>T("PSC 470 BOX 2900")</f>
        <v>PSC 470 BOX 2900</v>
      </c>
      <c r="H440" t="str">
        <f t="shared" si="193"/>
        <v/>
      </c>
      <c r="I440" t="str">
        <f t="shared" si="191"/>
        <v>FPO</v>
      </c>
      <c r="J440" t="str">
        <f>T("AP")</f>
        <v>AP</v>
      </c>
      <c r="K440" t="str">
        <f>T("000000000000000000")</f>
        <v>000000000000000000</v>
      </c>
      <c r="L440" t="str">
        <f>T("6567502029")</f>
        <v>6567502029</v>
      </c>
    </row>
    <row r="441" spans="1:12" x14ac:dyDescent="0.35">
      <c r="A441" t="str">
        <f t="shared" si="195"/>
        <v>NCIS HQ</v>
      </c>
      <c r="B441" t="str">
        <f>T("PSC 470 BOX 2900")</f>
        <v>PSC 470 BOX 2900</v>
      </c>
      <c r="C441" t="str">
        <f t="shared" si="194"/>
        <v/>
      </c>
      <c r="D441" t="str">
        <f t="shared" si="189"/>
        <v>FPO</v>
      </c>
      <c r="E441" t="str">
        <f>T("AP")</f>
        <v>AP</v>
      </c>
      <c r="F441" t="str">
        <f>T("965342900")</f>
        <v>965342900</v>
      </c>
      <c r="G441" t="str">
        <f>T("PSC 470 BOX 2900")</f>
        <v>PSC 470 BOX 2900</v>
      </c>
      <c r="H441" t="str">
        <f t="shared" si="193"/>
        <v/>
      </c>
      <c r="I441" t="str">
        <f t="shared" si="191"/>
        <v>FPO</v>
      </c>
      <c r="J441" t="str">
        <f>T("AP")</f>
        <v>AP</v>
      </c>
      <c r="K441" t="str">
        <f>T("6567052406")</f>
        <v>6567052406</v>
      </c>
      <c r="L441" t="str">
        <f>T("6567502402")</f>
        <v>6567502402</v>
      </c>
    </row>
    <row r="442" spans="1:12" x14ac:dyDescent="0.35">
      <c r="A442" t="str">
        <f t="shared" si="195"/>
        <v>NCIS HQ</v>
      </c>
      <c r="B442" t="str">
        <f>T("PSC 470 BOX 2900")</f>
        <v>PSC 470 BOX 2900</v>
      </c>
      <c r="C442" t="str">
        <f t="shared" si="194"/>
        <v/>
      </c>
      <c r="D442" t="str">
        <f t="shared" si="189"/>
        <v>FPO</v>
      </c>
      <c r="E442" t="str">
        <f>T("AP")</f>
        <v>AP</v>
      </c>
      <c r="F442" t="str">
        <f>T("965342900")</f>
        <v>965342900</v>
      </c>
      <c r="G442" t="str">
        <f>T("UNIT 8600 BOX 1440")</f>
        <v>UNIT 8600 BOX 1440</v>
      </c>
      <c r="H442" t="str">
        <f t="shared" si="193"/>
        <v/>
      </c>
      <c r="I442" t="str">
        <f>T("DPO")</f>
        <v>DPO</v>
      </c>
      <c r="J442" t="str">
        <f>T("AP")</f>
        <v>AP</v>
      </c>
      <c r="K442" t="str">
        <f>T("000000000000000000")</f>
        <v>000000000000000000</v>
      </c>
      <c r="L442" t="str">
        <f>T("6323012122")</f>
        <v>6323012122</v>
      </c>
    </row>
    <row r="443" spans="1:12" x14ac:dyDescent="0.35">
      <c r="A443" t="str">
        <f t="shared" si="195"/>
        <v>NCIS HQ</v>
      </c>
      <c r="B443" t="str">
        <f>T("STAAT PAC BLDG 91 ROOSVELT")</f>
        <v>STAAT PAC BLDG 91 ROOSVELT</v>
      </c>
      <c r="C443" t="str">
        <f>T("NASNI")</f>
        <v>NASNI</v>
      </c>
      <c r="D443" t="str">
        <f>T("SAN DIEGO")</f>
        <v>SAN DIEGO</v>
      </c>
      <c r="E443" t="str">
        <f>T("CA")</f>
        <v>CA</v>
      </c>
      <c r="F443" t="str">
        <f>T("921357053")</f>
        <v>921357053</v>
      </c>
      <c r="G443" t="str">
        <f>T("140 SYLVESTER RD")</f>
        <v>140 SYLVESTER RD</v>
      </c>
      <c r="H443" t="str">
        <f>T("BLDG 138 POINT LOMA SUB BASE")</f>
        <v>BLDG 138 POINT LOMA SUB BASE</v>
      </c>
      <c r="I443" t="str">
        <f>T("SAN DIEGO")</f>
        <v>SAN DIEGO</v>
      </c>
      <c r="J443" t="str">
        <f>T("CA")</f>
        <v>CA</v>
      </c>
      <c r="K443" t="str">
        <f>T("6195537048")</f>
        <v>6195537048</v>
      </c>
      <c r="L443" t="str">
        <f>T("6195536835")</f>
        <v>6195536835</v>
      </c>
    </row>
    <row r="444" spans="1:12" x14ac:dyDescent="0.35">
      <c r="A444" t="str">
        <f t="shared" si="195"/>
        <v>NCIS HQ</v>
      </c>
      <c r="B444" t="str">
        <f>T("STAAT PAC BLDG 91 ROOSVELT")</f>
        <v>STAAT PAC BLDG 91 ROOSVELT</v>
      </c>
      <c r="C444" t="str">
        <f>T("NASNI")</f>
        <v>NASNI</v>
      </c>
      <c r="D444" t="str">
        <f>T("SAN DIEGO")</f>
        <v>SAN DIEGO</v>
      </c>
      <c r="E444" t="str">
        <f>T("CA")</f>
        <v>CA</v>
      </c>
      <c r="F444" t="str">
        <f>T("921357053")</f>
        <v>921357053</v>
      </c>
      <c r="G444" t="str">
        <f>T("NCIS STAAT PAC")</f>
        <v>NCIS STAAT PAC</v>
      </c>
      <c r="H444" t="str">
        <f>T("PO BOX 357053")</f>
        <v>PO BOX 357053</v>
      </c>
      <c r="I444" t="str">
        <f>T("SAN DIEGO")</f>
        <v>SAN DIEGO</v>
      </c>
      <c r="J444" t="str">
        <f>T("CA")</f>
        <v>CA</v>
      </c>
      <c r="K444" t="str">
        <f>T("000000000000000000")</f>
        <v>000000000000000000</v>
      </c>
      <c r="L444" t="str">
        <f>T("6197677535")</f>
        <v>6197677535</v>
      </c>
    </row>
    <row r="445" spans="1:12" x14ac:dyDescent="0.35">
      <c r="A445" t="str">
        <f t="shared" si="195"/>
        <v>NCIS HQ</v>
      </c>
      <c r="B445" t="str">
        <f>T("STAAT PAC BLDG 91 ROOSVELT")</f>
        <v>STAAT PAC BLDG 91 ROOSVELT</v>
      </c>
      <c r="C445" t="str">
        <f>T("NASNI")</f>
        <v>NASNI</v>
      </c>
      <c r="D445" t="str">
        <f>T("SAN DIEGO")</f>
        <v>SAN DIEGO</v>
      </c>
      <c r="E445" t="str">
        <f>T("CA")</f>
        <v>CA</v>
      </c>
      <c r="F445" t="str">
        <f>T("921357053")</f>
        <v>921357053</v>
      </c>
      <c r="G445" t="str">
        <f>T("P O BOX 357053")</f>
        <v>P O BOX 357053</v>
      </c>
      <c r="H445" t="str">
        <f>T("")</f>
        <v/>
      </c>
      <c r="I445" t="str">
        <f>T("SAN DIEGO")</f>
        <v>SAN DIEGO</v>
      </c>
      <c r="J445" t="str">
        <f>T("CA")</f>
        <v>CA</v>
      </c>
      <c r="K445" t="str">
        <f>T("000000000000000000")</f>
        <v>000000000000000000</v>
      </c>
      <c r="L445" t="str">
        <f>T("6195458934")</f>
        <v>6195458934</v>
      </c>
    </row>
    <row r="446" spans="1:12" x14ac:dyDescent="0.35">
      <c r="A446" t="str">
        <f t="shared" si="195"/>
        <v>NCIS HQ</v>
      </c>
      <c r="B446" t="str">
        <f>T("STAAT PAC BLDG 91 ROOSVELT")</f>
        <v>STAAT PAC BLDG 91 ROOSVELT</v>
      </c>
      <c r="C446" t="str">
        <f>T("NASNI")</f>
        <v>NASNI</v>
      </c>
      <c r="D446" t="str">
        <f>T("SAN DIEGO")</f>
        <v>SAN DIEGO</v>
      </c>
      <c r="E446" t="str">
        <f>T("CA")</f>
        <v>CA</v>
      </c>
      <c r="F446" t="str">
        <f>T("921357053")</f>
        <v>921357053</v>
      </c>
      <c r="G446" t="str">
        <f>T("STAAT PAC BLDG 91 ROOSVELT")</f>
        <v>STAAT PAC BLDG 91 ROOSVELT</v>
      </c>
      <c r="H446" t="str">
        <f>T("NASNI")</f>
        <v>NASNI</v>
      </c>
      <c r="I446" t="str">
        <f>T("SAN DIEGO")</f>
        <v>SAN DIEGO</v>
      </c>
      <c r="J446" t="str">
        <f>T("CA")</f>
        <v>CA</v>
      </c>
      <c r="K446" t="str">
        <f>T("6195456166")</f>
        <v>6195456166</v>
      </c>
      <c r="L446" t="str">
        <f>T("6197677572")</f>
        <v>6197677572</v>
      </c>
    </row>
    <row r="447" spans="1:12" x14ac:dyDescent="0.35">
      <c r="A447" t="str">
        <f t="shared" si="195"/>
        <v>NCIS HQ</v>
      </c>
      <c r="B447" t="str">
        <f>T("STAATLANT")</f>
        <v>STAATLANT</v>
      </c>
      <c r="C447" t="str">
        <f>T("1430 HELICOPTER RD STE 250")</f>
        <v>1430 HELICOPTER RD STE 250</v>
      </c>
      <c r="D447" t="str">
        <f>T("NORFOLK")</f>
        <v>NORFOLK</v>
      </c>
      <c r="E447" t="str">
        <f>T("VA")</f>
        <v>VA</v>
      </c>
      <c r="F447" t="str">
        <f>T("234598946")</f>
        <v>234598946</v>
      </c>
      <c r="G447" t="str">
        <f>T("1430 HELICOPTER RD")</f>
        <v>1430 HELICOPTER RD</v>
      </c>
      <c r="H447" t="str">
        <f>T("")</f>
        <v/>
      </c>
      <c r="I447" t="str">
        <f>T("VIRGINIA BEACH")</f>
        <v>VIRGINIA BEACH</v>
      </c>
      <c r="J447" t="str">
        <f>T("VA")</f>
        <v>VA</v>
      </c>
      <c r="K447" t="str">
        <f>T("000000000000000000")</f>
        <v>000000000000000000</v>
      </c>
      <c r="L447" t="str">
        <f>T("7574627893")</f>
        <v>7574627893</v>
      </c>
    </row>
    <row r="448" spans="1:12" x14ac:dyDescent="0.35">
      <c r="A448" t="str">
        <f t="shared" si="195"/>
        <v>NCIS HQ</v>
      </c>
      <c r="B448" t="str">
        <f>T("STAATLANT")</f>
        <v>STAATLANT</v>
      </c>
      <c r="C448" t="str">
        <f>T("1430 HELICOPTER RD STE 250")</f>
        <v>1430 HELICOPTER RD STE 250</v>
      </c>
      <c r="D448" t="str">
        <f>T("NORFOLK")</f>
        <v>NORFOLK</v>
      </c>
      <c r="E448" t="str">
        <f>T("VA")</f>
        <v>VA</v>
      </c>
      <c r="F448" t="str">
        <f>T("234598946")</f>
        <v>234598946</v>
      </c>
      <c r="G448" t="str">
        <f>T("1430 HELICOPTER RD SUITE 250")</f>
        <v>1430 HELICOPTER RD SUITE 250</v>
      </c>
      <c r="H448" t="str">
        <f>T("")</f>
        <v/>
      </c>
      <c r="I448" t="str">
        <f>T("VIRGINIA BEACH")</f>
        <v>VIRGINIA BEACH</v>
      </c>
      <c r="J448" t="str">
        <f>T("VA")</f>
        <v>VA</v>
      </c>
      <c r="K448" t="str">
        <f>T("000000000000000000")</f>
        <v>000000000000000000</v>
      </c>
      <c r="L448" t="str">
        <f>T("7574623732")</f>
        <v>7574623732</v>
      </c>
    </row>
    <row r="449" spans="1:12" x14ac:dyDescent="0.35">
      <c r="A449" t="str">
        <f t="shared" si="195"/>
        <v>NCIS HQ</v>
      </c>
      <c r="B449" t="str">
        <f>T("STAATLANT")</f>
        <v>STAATLANT</v>
      </c>
      <c r="C449" t="str">
        <f>T("1430 HELICOPTER RD STE 250")</f>
        <v>1430 HELICOPTER RD STE 250</v>
      </c>
      <c r="D449" t="str">
        <f>T("NORFOLK")</f>
        <v>NORFOLK</v>
      </c>
      <c r="E449" t="str">
        <f>T("VA")</f>
        <v>VA</v>
      </c>
      <c r="F449" t="str">
        <f>T("234598946")</f>
        <v>234598946</v>
      </c>
      <c r="G449" t="str">
        <f>T("STAATLANT")</f>
        <v>STAATLANT</v>
      </c>
      <c r="H449" t="str">
        <f>T("1430 HELICOPTER RD STE 250")</f>
        <v>1430 HELICOPTER RD STE 250</v>
      </c>
      <c r="I449" t="str">
        <f>T("NORFOLK")</f>
        <v>NORFOLK</v>
      </c>
      <c r="J449" t="str">
        <f>T("VA")</f>
        <v>VA</v>
      </c>
      <c r="K449" t="str">
        <f>T("7574624997")</f>
        <v>7574624997</v>
      </c>
      <c r="L449" t="str">
        <f>T("7574623085")</f>
        <v>7574623085</v>
      </c>
    </row>
    <row r="450" spans="1:12" x14ac:dyDescent="0.35">
      <c r="A450" t="str">
        <f>T("ZZ DELETE NPASE")</f>
        <v>ZZ DELETE NPASE</v>
      </c>
      <c r="B450" t="str">
        <f>T("9420 THIRD AVENUE STE 100")</f>
        <v>9420 THIRD AVENUE STE 100</v>
      </c>
      <c r="C450" t="str">
        <f>T("FLEET PUBLIC AFFAIRS CENTER")</f>
        <v>FLEET PUBLIC AFFAIRS CENTER</v>
      </c>
      <c r="D450" t="str">
        <f>T("NORFOLK")</f>
        <v>NORFOLK</v>
      </c>
      <c r="E450" t="str">
        <f>T("VA")</f>
        <v>VA</v>
      </c>
      <c r="F450" t="str">
        <f>T("235112131")</f>
        <v>235112131</v>
      </c>
      <c r="G450" t="str">
        <f>T("9420 THIRD AVENUE STE 100")</f>
        <v>9420 THIRD AVENUE STE 100</v>
      </c>
      <c r="H450" t="str">
        <f>T("FLEET PUBLIC AFFAIRS CENTER")</f>
        <v>FLEET PUBLIC AFFAIRS CENTER</v>
      </c>
      <c r="I450" t="str">
        <f>T("NORFOLK")</f>
        <v>NORFOLK</v>
      </c>
      <c r="J450" t="str">
        <f>T("VA")</f>
        <v>VA</v>
      </c>
      <c r="K450" t="str">
        <f>T("7574450334")</f>
        <v>7574450334</v>
      </c>
      <c r="L450" t="str">
        <f>T("7574443388")</f>
        <v>7574443388</v>
      </c>
    </row>
    <row r="451" spans="1:12" x14ac:dyDescent="0.35">
      <c r="A451" t="str">
        <f t="shared" ref="A451:A463" si="196">T("DON/AA ORF")</f>
        <v>DON/AA ORF</v>
      </c>
      <c r="B451" t="str">
        <f>T("1000 NAVY PENTAGON")</f>
        <v>1000 NAVY PENTAGON</v>
      </c>
      <c r="C451" t="str">
        <f>T("RM 4A732")</f>
        <v>RM 4A732</v>
      </c>
      <c r="D451" t="str">
        <f t="shared" ref="D451:D474" si="197">T("WASHINGTON")</f>
        <v>WASHINGTON</v>
      </c>
      <c r="E451" t="str">
        <f t="shared" ref="E451:E488" si="198">T("DC")</f>
        <v>DC</v>
      </c>
      <c r="F451" t="str">
        <f>T("203501000")</f>
        <v>203501000</v>
      </c>
      <c r="G451" t="str">
        <f>T("1000 NAVY PENTAGON")</f>
        <v>1000 NAVY PENTAGON</v>
      </c>
      <c r="H451" t="str">
        <f>T("RM 4A732")</f>
        <v>RM 4A732</v>
      </c>
      <c r="I451" t="str">
        <f t="shared" ref="I451:I468" si="199">T("WASHINGTON")</f>
        <v>WASHINGTON</v>
      </c>
      <c r="J451" t="str">
        <f t="shared" ref="J451:J488" si="200">T("DC")</f>
        <v>DC</v>
      </c>
      <c r="K451" t="str">
        <f>T("7036930144")</f>
        <v>7036930144</v>
      </c>
      <c r="L451" t="str">
        <f>T("7036930933")</f>
        <v>7036930933</v>
      </c>
    </row>
    <row r="452" spans="1:12" x14ac:dyDescent="0.35">
      <c r="A452" t="str">
        <f t="shared" si="196"/>
        <v>DON/AA ORF</v>
      </c>
      <c r="B452" t="str">
        <f>T("1000 NAVY PENTAGON")</f>
        <v>1000 NAVY PENTAGON</v>
      </c>
      <c r="C452" t="str">
        <f>T("RM 4A732")</f>
        <v>RM 4A732</v>
      </c>
      <c r="D452" t="str">
        <f t="shared" si="197"/>
        <v>WASHINGTON</v>
      </c>
      <c r="E452" t="str">
        <f t="shared" si="198"/>
        <v>DC</v>
      </c>
      <c r="F452" t="str">
        <f>T("203501000")</f>
        <v>203501000</v>
      </c>
      <c r="G452" t="str">
        <f>T("1000 NAVY PENTAGON")</f>
        <v>1000 NAVY PENTAGON</v>
      </c>
      <c r="H452" t="str">
        <f>T("ROOM 4A732")</f>
        <v>ROOM 4A732</v>
      </c>
      <c r="I452" t="str">
        <f t="shared" si="199"/>
        <v>WASHINGTON</v>
      </c>
      <c r="J452" t="str">
        <f t="shared" si="200"/>
        <v>DC</v>
      </c>
      <c r="K452" t="str">
        <f t="shared" ref="K452:K461" si="201">T("000000000000000000")</f>
        <v>000000000000000000</v>
      </c>
      <c r="L452" t="str">
        <f>T("7036952258")</f>
        <v>7036952258</v>
      </c>
    </row>
    <row r="453" spans="1:12" x14ac:dyDescent="0.35">
      <c r="A453" t="str">
        <f t="shared" si="196"/>
        <v>DON/AA ORF</v>
      </c>
      <c r="B453" t="str">
        <f>T("1000 NAVY PENTAGON")</f>
        <v>1000 NAVY PENTAGON</v>
      </c>
      <c r="C453" t="str">
        <f>T("RM 4A732")</f>
        <v>RM 4A732</v>
      </c>
      <c r="D453" t="str">
        <f t="shared" si="197"/>
        <v>WASHINGTON</v>
      </c>
      <c r="E453" t="str">
        <f t="shared" si="198"/>
        <v>DC</v>
      </c>
      <c r="F453" t="str">
        <f>T("203501000")</f>
        <v>203501000</v>
      </c>
      <c r="G453" t="str">
        <f>T("1000 NAVY PENTAGON ROOM 4A732")</f>
        <v>1000 NAVY PENTAGON ROOM 4A732</v>
      </c>
      <c r="H453" t="str">
        <f t="shared" ref="H453:H461" si="202">T("")</f>
        <v/>
      </c>
      <c r="I453" t="str">
        <f t="shared" si="199"/>
        <v>WASHINGTON</v>
      </c>
      <c r="J453" t="str">
        <f t="shared" si="200"/>
        <v>DC</v>
      </c>
      <c r="K453" t="str">
        <f t="shared" si="201"/>
        <v>000000000000000000</v>
      </c>
      <c r="L453" t="str">
        <f>T("6197674788")</f>
        <v>6197674788</v>
      </c>
    </row>
    <row r="454" spans="1:12" x14ac:dyDescent="0.35">
      <c r="A454" t="str">
        <f t="shared" si="196"/>
        <v>DON/AA ORF</v>
      </c>
      <c r="B454" t="str">
        <f>T("1000 NAVY PENTAGON")</f>
        <v>1000 NAVY PENTAGON</v>
      </c>
      <c r="C454" t="str">
        <f>T("RM 4A732")</f>
        <v>RM 4A732</v>
      </c>
      <c r="D454" t="str">
        <f t="shared" si="197"/>
        <v>WASHINGTON</v>
      </c>
      <c r="E454" t="str">
        <f t="shared" si="198"/>
        <v>DC</v>
      </c>
      <c r="F454" t="str">
        <f>T("203501000")</f>
        <v>203501000</v>
      </c>
      <c r="G454" t="str">
        <f>T("1000 NAVY PENTAGON ROOM 4A732")</f>
        <v>1000 NAVY PENTAGON ROOM 4A732</v>
      </c>
      <c r="H454" t="str">
        <f t="shared" si="202"/>
        <v/>
      </c>
      <c r="I454" t="str">
        <f t="shared" si="199"/>
        <v>WASHINGTON</v>
      </c>
      <c r="J454" t="str">
        <f t="shared" si="200"/>
        <v>DC</v>
      </c>
      <c r="K454" t="str">
        <f t="shared" si="201"/>
        <v>000000000000000000</v>
      </c>
      <c r="L454" t="str">
        <f>T("7036951402")</f>
        <v>7036951402</v>
      </c>
    </row>
    <row r="455" spans="1:12" x14ac:dyDescent="0.35">
      <c r="A455" t="str">
        <f t="shared" si="196"/>
        <v>DON/AA ORF</v>
      </c>
      <c r="B455" t="str">
        <f>T("1000 NAVY PENTAGON")</f>
        <v>1000 NAVY PENTAGON</v>
      </c>
      <c r="C455" t="str">
        <f>T("RM 4A732")</f>
        <v>RM 4A732</v>
      </c>
      <c r="D455" t="str">
        <f t="shared" si="197"/>
        <v>WASHINGTON</v>
      </c>
      <c r="E455" t="str">
        <f t="shared" si="198"/>
        <v>DC</v>
      </c>
      <c r="F455" t="str">
        <f>T("203501000")</f>
        <v>203501000</v>
      </c>
      <c r="G455" t="str">
        <f>T("1000 NAVY PENTAGON ROOM 4A732")</f>
        <v>1000 NAVY PENTAGON ROOM 4A732</v>
      </c>
      <c r="H455" t="str">
        <f t="shared" si="202"/>
        <v/>
      </c>
      <c r="I455" t="str">
        <f t="shared" si="199"/>
        <v>WASHINGTON</v>
      </c>
      <c r="J455" t="str">
        <f t="shared" si="200"/>
        <v>DC</v>
      </c>
      <c r="K455" t="str">
        <f t="shared" si="201"/>
        <v>000000000000000000</v>
      </c>
      <c r="L455" t="str">
        <f>T("7036953131")</f>
        <v>7036953131</v>
      </c>
    </row>
    <row r="456" spans="1:12" x14ac:dyDescent="0.35">
      <c r="A456" t="str">
        <f t="shared" si="196"/>
        <v>DON/AA ORF</v>
      </c>
      <c r="B456" t="str">
        <f t="shared" ref="B456:B463" si="203">T("3000 MARINE CORPS PENTAGON")</f>
        <v>3000 MARINE CORPS PENTAGON</v>
      </c>
      <c r="C456" t="str">
        <f t="shared" ref="C456:C463" si="204">T("ROOM 4C645")</f>
        <v>ROOM 4C645</v>
      </c>
      <c r="D456" t="str">
        <f t="shared" si="197"/>
        <v>WASHINGTON</v>
      </c>
      <c r="E456" t="str">
        <f t="shared" si="198"/>
        <v>DC</v>
      </c>
      <c r="F456" t="str">
        <f t="shared" ref="F456:F463" si="205">T("203503000")</f>
        <v>203503000</v>
      </c>
      <c r="G456" t="str">
        <f>T("1000 NAVY PENTAGON RM 4A732")</f>
        <v>1000 NAVY PENTAGON RM 4A732</v>
      </c>
      <c r="H456" t="str">
        <f t="shared" si="202"/>
        <v/>
      </c>
      <c r="I456" t="str">
        <f t="shared" si="199"/>
        <v>WASHINGTON</v>
      </c>
      <c r="J456" t="str">
        <f t="shared" si="200"/>
        <v>DC</v>
      </c>
      <c r="K456" t="str">
        <f t="shared" si="201"/>
        <v>000000000000000000</v>
      </c>
      <c r="L456" t="str">
        <f>T("2024332524")</f>
        <v>2024332524</v>
      </c>
    </row>
    <row r="457" spans="1:12" x14ac:dyDescent="0.35">
      <c r="A457" t="str">
        <f t="shared" si="196"/>
        <v>DON/AA ORF</v>
      </c>
      <c r="B457" t="str">
        <f t="shared" si="203"/>
        <v>3000 MARINE CORPS PENTAGON</v>
      </c>
      <c r="C457" t="str">
        <f t="shared" si="204"/>
        <v>ROOM 4C645</v>
      </c>
      <c r="D457" t="str">
        <f t="shared" si="197"/>
        <v>WASHINGTON</v>
      </c>
      <c r="E457" t="str">
        <f t="shared" si="198"/>
        <v>DC</v>
      </c>
      <c r="F457" t="str">
        <f t="shared" si="205"/>
        <v>203503000</v>
      </c>
      <c r="G457" t="str">
        <f>T("1000 NAVY PENTAGON ROOM 4A732")</f>
        <v>1000 NAVY PENTAGON ROOM 4A732</v>
      </c>
      <c r="H457" t="str">
        <f t="shared" si="202"/>
        <v/>
      </c>
      <c r="I457" t="str">
        <f t="shared" si="199"/>
        <v>WASHINGTON</v>
      </c>
      <c r="J457" t="str">
        <f t="shared" si="200"/>
        <v>DC</v>
      </c>
      <c r="K457" t="str">
        <f t="shared" si="201"/>
        <v>000000000000000000</v>
      </c>
      <c r="L457" t="str">
        <f>T("2024331072")</f>
        <v>2024331072</v>
      </c>
    </row>
    <row r="458" spans="1:12" x14ac:dyDescent="0.35">
      <c r="A458" t="str">
        <f t="shared" si="196"/>
        <v>DON/AA ORF</v>
      </c>
      <c r="B458" t="str">
        <f t="shared" si="203"/>
        <v>3000 MARINE CORPS PENTAGON</v>
      </c>
      <c r="C458" t="str">
        <f t="shared" si="204"/>
        <v>ROOM 4C645</v>
      </c>
      <c r="D458" t="str">
        <f t="shared" si="197"/>
        <v>WASHINGTON</v>
      </c>
      <c r="E458" t="str">
        <f t="shared" si="198"/>
        <v>DC</v>
      </c>
      <c r="F458" t="str">
        <f t="shared" si="205"/>
        <v>203503000</v>
      </c>
      <c r="G458" t="str">
        <f>T("1000 NAVY PENTAGON ROOM 4A732")</f>
        <v>1000 NAVY PENTAGON ROOM 4A732</v>
      </c>
      <c r="H458" t="str">
        <f t="shared" si="202"/>
        <v/>
      </c>
      <c r="I458" t="str">
        <f t="shared" si="199"/>
        <v>WASHINGTON</v>
      </c>
      <c r="J458" t="str">
        <f t="shared" si="200"/>
        <v>DC</v>
      </c>
      <c r="K458" t="str">
        <f t="shared" si="201"/>
        <v>000000000000000000</v>
      </c>
      <c r="L458" t="str">
        <f>T("2024332524")</f>
        <v>2024332524</v>
      </c>
    </row>
    <row r="459" spans="1:12" x14ac:dyDescent="0.35">
      <c r="A459" t="str">
        <f t="shared" si="196"/>
        <v>DON/AA ORF</v>
      </c>
      <c r="B459" t="str">
        <f t="shared" si="203"/>
        <v>3000 MARINE CORPS PENTAGON</v>
      </c>
      <c r="C459" t="str">
        <f t="shared" si="204"/>
        <v>ROOM 4C645</v>
      </c>
      <c r="D459" t="str">
        <f t="shared" si="197"/>
        <v>WASHINGTON</v>
      </c>
      <c r="E459" t="str">
        <f t="shared" si="198"/>
        <v>DC</v>
      </c>
      <c r="F459" t="str">
        <f t="shared" si="205"/>
        <v>203503000</v>
      </c>
      <c r="G459" t="str">
        <f>T("1000 NAVY PENTAGON ROOM 4A732")</f>
        <v>1000 NAVY PENTAGON ROOM 4A732</v>
      </c>
      <c r="H459" t="str">
        <f t="shared" si="202"/>
        <v/>
      </c>
      <c r="I459" t="str">
        <f t="shared" si="199"/>
        <v>WASHINGTON</v>
      </c>
      <c r="J459" t="str">
        <f t="shared" si="200"/>
        <v>DC</v>
      </c>
      <c r="K459" t="str">
        <f t="shared" si="201"/>
        <v>000000000000000000</v>
      </c>
      <c r="L459" t="str">
        <f>T("2024336707")</f>
        <v>2024336707</v>
      </c>
    </row>
    <row r="460" spans="1:12" x14ac:dyDescent="0.35">
      <c r="A460" t="str">
        <f t="shared" si="196"/>
        <v>DON/AA ORF</v>
      </c>
      <c r="B460" t="str">
        <f t="shared" si="203"/>
        <v>3000 MARINE CORPS PENTAGON</v>
      </c>
      <c r="C460" t="str">
        <f t="shared" si="204"/>
        <v>ROOM 4C645</v>
      </c>
      <c r="D460" t="str">
        <f t="shared" si="197"/>
        <v>WASHINGTON</v>
      </c>
      <c r="E460" t="str">
        <f t="shared" si="198"/>
        <v>DC</v>
      </c>
      <c r="F460" t="str">
        <f t="shared" si="205"/>
        <v>203503000</v>
      </c>
      <c r="G460" t="str">
        <f>T("1000 NAVY PENTAGON ROOM 4A732")</f>
        <v>1000 NAVY PENTAGON ROOM 4A732</v>
      </c>
      <c r="H460" t="str">
        <f t="shared" si="202"/>
        <v/>
      </c>
      <c r="I460" t="str">
        <f t="shared" si="199"/>
        <v>WASHINGTON</v>
      </c>
      <c r="J460" t="str">
        <f t="shared" si="200"/>
        <v>DC</v>
      </c>
      <c r="K460" t="str">
        <f t="shared" si="201"/>
        <v>000000000000000000</v>
      </c>
      <c r="L460" t="str">
        <f>T("7036141872")</f>
        <v>7036141872</v>
      </c>
    </row>
    <row r="461" spans="1:12" x14ac:dyDescent="0.35">
      <c r="A461" t="str">
        <f t="shared" si="196"/>
        <v>DON/AA ORF</v>
      </c>
      <c r="B461" t="str">
        <f t="shared" si="203"/>
        <v>3000 MARINE CORPS PENTAGON</v>
      </c>
      <c r="C461" t="str">
        <f t="shared" si="204"/>
        <v>ROOM 4C645</v>
      </c>
      <c r="D461" t="str">
        <f t="shared" si="197"/>
        <v>WASHINGTON</v>
      </c>
      <c r="E461" t="str">
        <f t="shared" si="198"/>
        <v>DC</v>
      </c>
      <c r="F461" t="str">
        <f t="shared" si="205"/>
        <v>203503000</v>
      </c>
      <c r="G461" t="str">
        <f>T("1000 NAVY PENTAGON ROOM 4A732")</f>
        <v>1000 NAVY PENTAGON ROOM 4A732</v>
      </c>
      <c r="H461" t="str">
        <f t="shared" si="202"/>
        <v/>
      </c>
      <c r="I461" t="str">
        <f t="shared" si="199"/>
        <v>WASHINGTON</v>
      </c>
      <c r="J461" t="str">
        <f t="shared" si="200"/>
        <v>DC</v>
      </c>
      <c r="K461" t="str">
        <f t="shared" si="201"/>
        <v>000000000000000000</v>
      </c>
      <c r="L461" t="str">
        <f>T("7036971352")</f>
        <v>7036971352</v>
      </c>
    </row>
    <row r="462" spans="1:12" x14ac:dyDescent="0.35">
      <c r="A462" t="str">
        <f t="shared" si="196"/>
        <v>DON/AA ORF</v>
      </c>
      <c r="B462" t="str">
        <f t="shared" si="203"/>
        <v>3000 MARINE CORPS PENTAGON</v>
      </c>
      <c r="C462" t="str">
        <f t="shared" si="204"/>
        <v>ROOM 4C645</v>
      </c>
      <c r="D462" t="str">
        <f t="shared" si="197"/>
        <v>WASHINGTON</v>
      </c>
      <c r="E462" t="str">
        <f t="shared" si="198"/>
        <v>DC</v>
      </c>
      <c r="F462" t="str">
        <f t="shared" si="205"/>
        <v>203503000</v>
      </c>
      <c r="G462" t="str">
        <f>T("3000 MARINE CORPS PENTAGON")</f>
        <v>3000 MARINE CORPS PENTAGON</v>
      </c>
      <c r="H462" t="str">
        <f>T("ROOM 4C645")</f>
        <v>ROOM 4C645</v>
      </c>
      <c r="I462" t="str">
        <f t="shared" si="199"/>
        <v>WASHINGTON</v>
      </c>
      <c r="J462" t="str">
        <f t="shared" si="200"/>
        <v>DC</v>
      </c>
      <c r="K462" t="str">
        <f>T("")</f>
        <v/>
      </c>
      <c r="L462" t="str">
        <f>T("7036141872")</f>
        <v>7036141872</v>
      </c>
    </row>
    <row r="463" spans="1:12" x14ac:dyDescent="0.35">
      <c r="A463" t="str">
        <f t="shared" si="196"/>
        <v>DON/AA ORF</v>
      </c>
      <c r="B463" t="str">
        <f t="shared" si="203"/>
        <v>3000 MARINE CORPS PENTAGON</v>
      </c>
      <c r="C463" t="str">
        <f t="shared" si="204"/>
        <v>ROOM 4C645</v>
      </c>
      <c r="D463" t="str">
        <f t="shared" si="197"/>
        <v>WASHINGTON</v>
      </c>
      <c r="E463" t="str">
        <f t="shared" si="198"/>
        <v>DC</v>
      </c>
      <c r="F463" t="str">
        <f t="shared" si="205"/>
        <v>203503000</v>
      </c>
      <c r="G463" t="str">
        <f>T("8TH AND I ST SE")</f>
        <v>8TH AND I ST SE</v>
      </c>
      <c r="H463" t="str">
        <f>T("")</f>
        <v/>
      </c>
      <c r="I463" t="str">
        <f t="shared" si="199"/>
        <v>WASHINGTON</v>
      </c>
      <c r="J463" t="str">
        <f t="shared" si="200"/>
        <v>DC</v>
      </c>
      <c r="K463" t="str">
        <f>T("000000000000000000")</f>
        <v>000000000000000000</v>
      </c>
      <c r="L463" t="str">
        <f>T("7036140054")</f>
        <v>7036140054</v>
      </c>
    </row>
    <row r="464" spans="1:12" x14ac:dyDescent="0.35">
      <c r="A464" t="str">
        <f>T("NAVY OLA")</f>
        <v>NAVY OLA</v>
      </c>
      <c r="B464" t="str">
        <f>T("1300 NAVY PENTAGON")</f>
        <v>1300 NAVY PENTAGON</v>
      </c>
      <c r="C464" t="str">
        <f>T("ROOM 4C549")</f>
        <v>ROOM 4C549</v>
      </c>
      <c r="D464" t="str">
        <f t="shared" si="197"/>
        <v>WASHINGTON</v>
      </c>
      <c r="E464" t="str">
        <f t="shared" si="198"/>
        <v>DC</v>
      </c>
      <c r="F464" t="str">
        <f>T("203500001")</f>
        <v>203500001</v>
      </c>
      <c r="G464" t="str">
        <f>T("1300 NAVY PENTAGON")</f>
        <v>1300 NAVY PENTAGON</v>
      </c>
      <c r="H464" t="str">
        <f>T("RM 4C549")</f>
        <v>RM 4C549</v>
      </c>
      <c r="I464" t="str">
        <f t="shared" si="199"/>
        <v>WASHINGTON</v>
      </c>
      <c r="J464" t="str">
        <f t="shared" si="200"/>
        <v>DC</v>
      </c>
      <c r="K464" t="str">
        <f>T("000000000000000000")</f>
        <v>000000000000000000</v>
      </c>
      <c r="L464" t="str">
        <f>T("7036954998")</f>
        <v>7036954998</v>
      </c>
    </row>
    <row r="465" spans="1:12" x14ac:dyDescent="0.35">
      <c r="A465" t="str">
        <f>T("NAVY OLA")</f>
        <v>NAVY OLA</v>
      </c>
      <c r="B465" t="str">
        <f>T("1300 NAVY PENTAGON")</f>
        <v>1300 NAVY PENTAGON</v>
      </c>
      <c r="C465" t="str">
        <f>T("ROOM 4C549")</f>
        <v>ROOM 4C549</v>
      </c>
      <c r="D465" t="str">
        <f t="shared" si="197"/>
        <v>WASHINGTON</v>
      </c>
      <c r="E465" t="str">
        <f t="shared" si="198"/>
        <v>DC</v>
      </c>
      <c r="F465" t="str">
        <f>T("203500001")</f>
        <v>203500001</v>
      </c>
      <c r="G465" t="str">
        <f>T("1300 NAVY PENTAGON")</f>
        <v>1300 NAVY PENTAGON</v>
      </c>
      <c r="H465" t="str">
        <f>T("RM 4C549")</f>
        <v>RM 4C549</v>
      </c>
      <c r="I465" t="str">
        <f t="shared" si="199"/>
        <v>WASHINGTON</v>
      </c>
      <c r="J465" t="str">
        <f t="shared" si="200"/>
        <v>DC</v>
      </c>
      <c r="K465" t="str">
        <f>T("7036147656")</f>
        <v>7036147656</v>
      </c>
      <c r="L465" t="str">
        <f>T("7036959359")</f>
        <v>7036959359</v>
      </c>
    </row>
    <row r="466" spans="1:12" x14ac:dyDescent="0.35">
      <c r="A466" t="str">
        <f>T("NAVY OLA")</f>
        <v>NAVY OLA</v>
      </c>
      <c r="B466" t="str">
        <f>T("1300 NAVY PENTAGON")</f>
        <v>1300 NAVY PENTAGON</v>
      </c>
      <c r="C466" t="str">
        <f>T("ROOM 4C549")</f>
        <v>ROOM 4C549</v>
      </c>
      <c r="D466" t="str">
        <f t="shared" si="197"/>
        <v>WASHINGTON</v>
      </c>
      <c r="E466" t="str">
        <f t="shared" si="198"/>
        <v>DC</v>
      </c>
      <c r="F466" t="str">
        <f>T("203500001")</f>
        <v>203500001</v>
      </c>
      <c r="G466" t="str">
        <f>T("1300 NAVY PENTAGON")</f>
        <v>1300 NAVY PENTAGON</v>
      </c>
      <c r="H466" t="str">
        <f>T("ROOM 4C549")</f>
        <v>ROOM 4C549</v>
      </c>
      <c r="I466" t="str">
        <f t="shared" si="199"/>
        <v>WASHINGTON</v>
      </c>
      <c r="J466" t="str">
        <f t="shared" si="200"/>
        <v>DC</v>
      </c>
      <c r="K466" t="str">
        <f>T("7036147656")</f>
        <v>7036147656</v>
      </c>
      <c r="L466" t="str">
        <f>T("7036954816")</f>
        <v>7036954816</v>
      </c>
    </row>
    <row r="467" spans="1:12" x14ac:dyDescent="0.35">
      <c r="A467" t="str">
        <f>T("ZZ DELETE - OCHR")</f>
        <v>ZZ DELETE - OCHR</v>
      </c>
      <c r="B467" t="str">
        <f>T("614 SICARD ST SE")</f>
        <v>614 SICARD ST SE</v>
      </c>
      <c r="C467" t="str">
        <f>T("")</f>
        <v/>
      </c>
      <c r="D467" t="str">
        <f t="shared" si="197"/>
        <v>WASHINGTON</v>
      </c>
      <c r="E467" t="str">
        <f t="shared" si="198"/>
        <v>DC</v>
      </c>
      <c r="F467" t="str">
        <f>T("203767000")</f>
        <v>203767000</v>
      </c>
      <c r="G467" t="str">
        <f>T("614 SICARD ST SE")</f>
        <v>614 SICARD ST SE</v>
      </c>
      <c r="H467" t="str">
        <f>T("")</f>
        <v/>
      </c>
      <c r="I467" t="str">
        <f t="shared" si="199"/>
        <v>WASHINGTON</v>
      </c>
      <c r="J467" t="str">
        <f t="shared" si="200"/>
        <v>DC</v>
      </c>
      <c r="K467" t="str">
        <f>T("2026856617")</f>
        <v>2026856617</v>
      </c>
      <c r="L467" t="str">
        <f>T("2026856410")</f>
        <v>2026856410</v>
      </c>
    </row>
    <row r="468" spans="1:12" x14ac:dyDescent="0.35">
      <c r="A468" t="str">
        <f>T("ZZ DELETE - OCHR")</f>
        <v>ZZ DELETE - OCHR</v>
      </c>
      <c r="B468" t="str">
        <f>T("614 SICARD ST SE")</f>
        <v>614 SICARD ST SE</v>
      </c>
      <c r="C468" t="str">
        <f>T("")</f>
        <v/>
      </c>
      <c r="D468" t="str">
        <f t="shared" si="197"/>
        <v>WASHINGTON</v>
      </c>
      <c r="E468" t="str">
        <f t="shared" si="198"/>
        <v>DC</v>
      </c>
      <c r="F468" t="str">
        <f>T("203767000")</f>
        <v>203767000</v>
      </c>
      <c r="G468" t="str">
        <f>T("614 SICARD ST SE")</f>
        <v>614 SICARD ST SE</v>
      </c>
      <c r="H468" t="str">
        <f>T("STE 100 BLDG 201")</f>
        <v>STE 100 BLDG 201</v>
      </c>
      <c r="I468" t="str">
        <f t="shared" si="199"/>
        <v>WASHINGTON</v>
      </c>
      <c r="J468" t="str">
        <f t="shared" si="200"/>
        <v>DC</v>
      </c>
      <c r="K468" t="str">
        <f>T("000000000000000000")</f>
        <v>000000000000000000</v>
      </c>
      <c r="L468" t="str">
        <f>T("2026856417")</f>
        <v>2026856417</v>
      </c>
    </row>
    <row r="469" spans="1:12" x14ac:dyDescent="0.35">
      <c r="A469" t="str">
        <f>T("ZZ DELETE - OCHR")</f>
        <v>ZZ DELETE - OCHR</v>
      </c>
      <c r="B469" t="str">
        <f>T("614 SICARD ST SE")</f>
        <v>614 SICARD ST SE</v>
      </c>
      <c r="C469" t="str">
        <f>T("")</f>
        <v/>
      </c>
      <c r="D469" t="str">
        <f t="shared" si="197"/>
        <v>WASHINGTON</v>
      </c>
      <c r="E469" t="str">
        <f t="shared" si="198"/>
        <v>DC</v>
      </c>
      <c r="F469" t="str">
        <f>T("203767000")</f>
        <v>203767000</v>
      </c>
      <c r="G469" t="str">
        <f>T("614 SICARD ST SE SUITE 100")</f>
        <v>614 SICARD ST SE SUITE 100</v>
      </c>
      <c r="H469" t="str">
        <f>T("")</f>
        <v/>
      </c>
      <c r="I469" t="str">
        <f>T("WASHINGTON NAVY YARD")</f>
        <v>WASHINGTON NAVY YARD</v>
      </c>
      <c r="J469" t="str">
        <f t="shared" si="200"/>
        <v>DC</v>
      </c>
      <c r="K469" t="str">
        <f>T("2026856617")</f>
        <v>2026856617</v>
      </c>
      <c r="L469" t="str">
        <f>T("2026856435")</f>
        <v>2026856435</v>
      </c>
    </row>
    <row r="470" spans="1:12" x14ac:dyDescent="0.35">
      <c r="A470" t="str">
        <f>T("ZZ DELETE - OCHR")</f>
        <v>ZZ DELETE - OCHR</v>
      </c>
      <c r="B470" t="str">
        <f>T("614 SICARD ST SE")</f>
        <v>614 SICARD ST SE</v>
      </c>
      <c r="C470" t="str">
        <f>T("")</f>
        <v/>
      </c>
      <c r="D470" t="str">
        <f t="shared" si="197"/>
        <v>WASHINGTON</v>
      </c>
      <c r="E470" t="str">
        <f t="shared" si="198"/>
        <v>DC</v>
      </c>
      <c r="F470" t="str">
        <f>T("203767000")</f>
        <v>203767000</v>
      </c>
      <c r="G470" t="str">
        <f>T("614 SICARD STREET SE STE 100")</f>
        <v>614 SICARD STREET SE STE 100</v>
      </c>
      <c r="H470" t="str">
        <f>T("")</f>
        <v/>
      </c>
      <c r="I470" t="str">
        <f>T("WASHINGTON NAVY YARD")</f>
        <v>WASHINGTON NAVY YARD</v>
      </c>
      <c r="J470" t="str">
        <f t="shared" si="200"/>
        <v>DC</v>
      </c>
      <c r="K470" t="str">
        <f>T("000000000000000000")</f>
        <v>000000000000000000</v>
      </c>
      <c r="L470" t="str">
        <f>T("2026856587")</f>
        <v>2026856587</v>
      </c>
    </row>
    <row r="471" spans="1:12" x14ac:dyDescent="0.35">
      <c r="A471" t="str">
        <f>T("NAVAL INSPECTOR GENERAL")</f>
        <v>NAVAL INSPECTOR GENERAL</v>
      </c>
      <c r="B471" t="str">
        <f>T("1254 9TH ST SE BLDG 172")</f>
        <v>1254 9TH ST SE BLDG 172</v>
      </c>
      <c r="C471" t="str">
        <f>T("WASHINGTON NAVY YARD")</f>
        <v>WASHINGTON NAVY YARD</v>
      </c>
      <c r="D471" t="str">
        <f t="shared" si="197"/>
        <v>WASHINGTON</v>
      </c>
      <c r="E471" t="str">
        <f t="shared" si="198"/>
        <v>DC</v>
      </c>
      <c r="F471" t="str">
        <f>T("203745101")</f>
        <v>203745101</v>
      </c>
      <c r="G471" t="str">
        <f>T("1254 9TH ST SE BLDG 172")</f>
        <v>1254 9TH ST SE BLDG 172</v>
      </c>
      <c r="H471" t="str">
        <f>T("")</f>
        <v/>
      </c>
      <c r="I471" t="str">
        <f>T("WASHINGTON")</f>
        <v>WASHINGTON</v>
      </c>
      <c r="J471" t="str">
        <f t="shared" si="200"/>
        <v>DC</v>
      </c>
      <c r="K471" t="str">
        <f>T("000000000000000000")</f>
        <v>000000000000000000</v>
      </c>
      <c r="L471" t="str">
        <f>T("2024332000")</f>
        <v>2024332000</v>
      </c>
    </row>
    <row r="472" spans="1:12" x14ac:dyDescent="0.35">
      <c r="A472" t="str">
        <f>T("NAVAL INSPECTOR GENERAL")</f>
        <v>NAVAL INSPECTOR GENERAL</v>
      </c>
      <c r="B472" t="str">
        <f>T("1254 9TH ST SE BLDG 172")</f>
        <v>1254 9TH ST SE BLDG 172</v>
      </c>
      <c r="C472" t="str">
        <f>T("WASHINGTON NAVY YARD")</f>
        <v>WASHINGTON NAVY YARD</v>
      </c>
      <c r="D472" t="str">
        <f t="shared" si="197"/>
        <v>WASHINGTON</v>
      </c>
      <c r="E472" t="str">
        <f t="shared" si="198"/>
        <v>DC</v>
      </c>
      <c r="F472" t="str">
        <f>T("203745101")</f>
        <v>203745101</v>
      </c>
      <c r="G472" t="str">
        <f>T("1254 9TH ST SE BLDG 172")</f>
        <v>1254 9TH ST SE BLDG 172</v>
      </c>
      <c r="H472" t="str">
        <f>T("WASHINGTON NAVY YARD")</f>
        <v>WASHINGTON NAVY YARD</v>
      </c>
      <c r="I472" t="str">
        <f>T("WASHINGTON")</f>
        <v>WASHINGTON</v>
      </c>
      <c r="J472" t="str">
        <f t="shared" si="200"/>
        <v>DC</v>
      </c>
      <c r="K472" t="str">
        <f>T("2024330914")</f>
        <v>2024330914</v>
      </c>
      <c r="L472" t="str">
        <f>T("2024332465")</f>
        <v>2024332465</v>
      </c>
    </row>
    <row r="473" spans="1:12" x14ac:dyDescent="0.35">
      <c r="A473" t="str">
        <f>T("NAVAL INSPECTOR GENERAL")</f>
        <v>NAVAL INSPECTOR GENERAL</v>
      </c>
      <c r="B473" t="str">
        <f>T("1254 9TH ST SE BLDG 172")</f>
        <v>1254 9TH ST SE BLDG 172</v>
      </c>
      <c r="C473" t="str">
        <f>T("WASHINGTON NAVY YARD")</f>
        <v>WASHINGTON NAVY YARD</v>
      </c>
      <c r="D473" t="str">
        <f t="shared" si="197"/>
        <v>WASHINGTON</v>
      </c>
      <c r="E473" t="str">
        <f t="shared" si="198"/>
        <v>DC</v>
      </c>
      <c r="F473" t="str">
        <f>T("203745101")</f>
        <v>203745101</v>
      </c>
      <c r="G473" t="str">
        <f>T("1254 NINTH STREET SE")</f>
        <v>1254 NINTH STREET SE</v>
      </c>
      <c r="H473" t="str">
        <f>T("BLDG 172")</f>
        <v>BLDG 172</v>
      </c>
      <c r="I473" t="str">
        <f>T("WASHINGTON")</f>
        <v>WASHINGTON</v>
      </c>
      <c r="J473" t="str">
        <f t="shared" si="200"/>
        <v>DC</v>
      </c>
      <c r="K473" t="str">
        <f>T("000000000000000000")</f>
        <v>000000000000000000</v>
      </c>
      <c r="L473" t="str">
        <f>T("2024334834")</f>
        <v>2024334834</v>
      </c>
    </row>
    <row r="474" spans="1:12" x14ac:dyDescent="0.35">
      <c r="A474" t="str">
        <f>T("NAVAL INSPECTOR GENERAL")</f>
        <v>NAVAL INSPECTOR GENERAL</v>
      </c>
      <c r="B474" t="str">
        <f>T("1254 9TH ST SE BLDG 172")</f>
        <v>1254 9TH ST SE BLDG 172</v>
      </c>
      <c r="C474" t="str">
        <f>T("WASHINGTON NAVY YARD")</f>
        <v>WASHINGTON NAVY YARD</v>
      </c>
      <c r="D474" t="str">
        <f t="shared" si="197"/>
        <v>WASHINGTON</v>
      </c>
      <c r="E474" t="str">
        <f t="shared" si="198"/>
        <v>DC</v>
      </c>
      <c r="F474" t="str">
        <f>T("203745101")</f>
        <v>203745101</v>
      </c>
      <c r="G474" t="str">
        <f>T("1254 NINTH STREET SE BLDG 172")</f>
        <v>1254 NINTH STREET SE BLDG 172</v>
      </c>
      <c r="H474" t="str">
        <f>T("")</f>
        <v/>
      </c>
      <c r="I474" t="str">
        <f>T("WASHINGTON NAVY YARD")</f>
        <v>WASHINGTON NAVY YARD</v>
      </c>
      <c r="J474" t="str">
        <f t="shared" si="200"/>
        <v>DC</v>
      </c>
      <c r="K474" t="str">
        <f>T("000000000000000000")</f>
        <v>000000000000000000</v>
      </c>
      <c r="L474" t="str">
        <f>T("2024336573")</f>
        <v>2024336573</v>
      </c>
    </row>
    <row r="475" spans="1:12" x14ac:dyDescent="0.35">
      <c r="A475" t="str">
        <f>T("ZZ DELETE AMS")</f>
        <v>ZZ DELETE AMS</v>
      </c>
      <c r="B475" t="str">
        <f>T("1333 ISAAC HULL AVE")</f>
        <v>1333 ISAAC HULL AVE</v>
      </c>
      <c r="C475" t="str">
        <f>T("ATTN SEA 05H5")</f>
        <v>ATTN SEA 05H5</v>
      </c>
      <c r="D475" t="str">
        <f>T("WASHINGTON NA")</f>
        <v>WASHINGTON NA</v>
      </c>
      <c r="E475" t="str">
        <f t="shared" si="198"/>
        <v>DC</v>
      </c>
      <c r="F475" t="str">
        <f>T("203760005")</f>
        <v>203760005</v>
      </c>
      <c r="G475" t="str">
        <f>T("1333 ISAAC HULL AVE")</f>
        <v>1333 ISAAC HULL AVE</v>
      </c>
      <c r="H475" t="str">
        <f>T("ATTN SEA 05H5")</f>
        <v>ATTN SEA 05H5</v>
      </c>
      <c r="I475" t="str">
        <f>T("WASHINGTON NA")</f>
        <v>WASHINGTON NA</v>
      </c>
      <c r="J475" t="str">
        <f t="shared" si="200"/>
        <v>DC</v>
      </c>
      <c r="K475" t="str">
        <f>T("2027814550")</f>
        <v>2027814550</v>
      </c>
      <c r="L475" t="str">
        <f>T("2027811758")</f>
        <v>2027811758</v>
      </c>
    </row>
    <row r="476" spans="1:12" x14ac:dyDescent="0.35">
      <c r="A476" t="str">
        <f>T("ZZ DELETE - ASN RDA")</f>
        <v>ZZ DELETE - ASN RDA</v>
      </c>
      <c r="B476" t="str">
        <f t="shared" ref="B476:B481" si="206">T("1000 NAVY PENTAGON")</f>
        <v>1000 NAVY PENTAGON</v>
      </c>
      <c r="C476" t="str">
        <f>T("RM 4C656")</f>
        <v>RM 4C656</v>
      </c>
      <c r="D476" t="str">
        <f t="shared" ref="D476:D481" si="207">T("WASHINGTON")</f>
        <v>WASHINGTON</v>
      </c>
      <c r="E476" t="str">
        <f t="shared" si="198"/>
        <v>DC</v>
      </c>
      <c r="F476" t="str">
        <f t="shared" ref="F476:F481" si="208">T("203501000")</f>
        <v>203501000</v>
      </c>
      <c r="G476" t="str">
        <f>T("1000 NAVY PENTAGON")</f>
        <v>1000 NAVY PENTAGON</v>
      </c>
      <c r="H476" t="str">
        <f>T("RM 4C656")</f>
        <v>RM 4C656</v>
      </c>
      <c r="I476" t="str">
        <f t="shared" ref="I476:I481" si="209">T("WASHINGTON")</f>
        <v>WASHINGTON</v>
      </c>
      <c r="J476" t="str">
        <f t="shared" si="200"/>
        <v>DC</v>
      </c>
      <c r="K476" t="str">
        <f>T("000000000000000000")</f>
        <v>000000000000000000</v>
      </c>
      <c r="L476" t="str">
        <f>T("7036143839")</f>
        <v>7036143839</v>
      </c>
    </row>
    <row r="477" spans="1:12" x14ac:dyDescent="0.35">
      <c r="A477" t="str">
        <f>T("ZZ DELETE - ASN RDA")</f>
        <v>ZZ DELETE - ASN RDA</v>
      </c>
      <c r="B477" t="str">
        <f t="shared" si="206"/>
        <v>1000 NAVY PENTAGON</v>
      </c>
      <c r="C477" t="str">
        <f>T("RM 4C656")</f>
        <v>RM 4C656</v>
      </c>
      <c r="D477" t="str">
        <f t="shared" si="207"/>
        <v>WASHINGTON</v>
      </c>
      <c r="E477" t="str">
        <f t="shared" si="198"/>
        <v>DC</v>
      </c>
      <c r="F477" t="str">
        <f t="shared" si="208"/>
        <v>203501000</v>
      </c>
      <c r="G477" t="str">
        <f>T("1000 NAVY PENTAGON")</f>
        <v>1000 NAVY PENTAGON</v>
      </c>
      <c r="H477" t="str">
        <f>T("RM 4C656")</f>
        <v>RM 4C656</v>
      </c>
      <c r="I477" t="str">
        <f t="shared" si="209"/>
        <v>WASHINGTON</v>
      </c>
      <c r="J477" t="str">
        <f t="shared" si="200"/>
        <v>DC</v>
      </c>
      <c r="K477" t="str">
        <f>T("7036143192")</f>
        <v>7036143192</v>
      </c>
      <c r="L477" t="str">
        <f>T("7036145316")</f>
        <v>7036145316</v>
      </c>
    </row>
    <row r="478" spans="1:12" x14ac:dyDescent="0.35">
      <c r="A478" t="str">
        <f>T("ZZ DELETE - ASN RDA")</f>
        <v>ZZ DELETE - ASN RDA</v>
      </c>
      <c r="B478" t="str">
        <f t="shared" si="206"/>
        <v>1000 NAVY PENTAGON</v>
      </c>
      <c r="C478" t="str">
        <f>T("RM 4C656")</f>
        <v>RM 4C656</v>
      </c>
      <c r="D478" t="str">
        <f t="shared" si="207"/>
        <v>WASHINGTON</v>
      </c>
      <c r="E478" t="str">
        <f t="shared" si="198"/>
        <v>DC</v>
      </c>
      <c r="F478" t="str">
        <f t="shared" si="208"/>
        <v>203501000</v>
      </c>
      <c r="G478" t="str">
        <f>T("1000 NAVY PENTAGON")</f>
        <v>1000 NAVY PENTAGON</v>
      </c>
      <c r="H478" t="str">
        <f>T("RM BF992A")</f>
        <v>RM BF992A</v>
      </c>
      <c r="I478" t="str">
        <f t="shared" si="209"/>
        <v>WASHINGTON</v>
      </c>
      <c r="J478" t="str">
        <f t="shared" si="200"/>
        <v>DC</v>
      </c>
      <c r="K478" t="str">
        <f>T("000000000000000000")</f>
        <v>000000000000000000</v>
      </c>
      <c r="L478" t="str">
        <f>T("7036149600")</f>
        <v>7036149600</v>
      </c>
    </row>
    <row r="479" spans="1:12" x14ac:dyDescent="0.35">
      <c r="A479" t="str">
        <f>T("ZZ DELETE ASN EI&amp;E")</f>
        <v>ZZ DELETE ASN EI&amp;E</v>
      </c>
      <c r="B479" t="str">
        <f t="shared" si="206"/>
        <v>1000 NAVY PENTAGON</v>
      </c>
      <c r="C479" t="str">
        <f>T("ROOM 4E739")</f>
        <v>ROOM 4E739</v>
      </c>
      <c r="D479" t="str">
        <f t="shared" si="207"/>
        <v>WASHINGTON</v>
      </c>
      <c r="E479" t="str">
        <f t="shared" si="198"/>
        <v>DC</v>
      </c>
      <c r="F479" t="str">
        <f t="shared" si="208"/>
        <v>203501000</v>
      </c>
      <c r="G479" t="str">
        <f>T("1000 NAVY PENTAGON")</f>
        <v>1000 NAVY PENTAGON</v>
      </c>
      <c r="H479" t="str">
        <f>T("RM 4E739")</f>
        <v>RM 4E739</v>
      </c>
      <c r="I479" t="str">
        <f t="shared" si="209"/>
        <v>WASHINGTON</v>
      </c>
      <c r="J479" t="str">
        <f t="shared" si="200"/>
        <v>DC</v>
      </c>
      <c r="K479" t="str">
        <f>T("7036931165")</f>
        <v>7036931165</v>
      </c>
      <c r="L479" t="str">
        <f>T("7036934528")</f>
        <v>7036934528</v>
      </c>
    </row>
    <row r="480" spans="1:12" x14ac:dyDescent="0.35">
      <c r="A480" t="str">
        <f>T("ZZ DELETE ASN EI&amp;E")</f>
        <v>ZZ DELETE ASN EI&amp;E</v>
      </c>
      <c r="B480" t="str">
        <f t="shared" si="206"/>
        <v>1000 NAVY PENTAGON</v>
      </c>
      <c r="C480" t="str">
        <f>T("ROOM 4E739")</f>
        <v>ROOM 4E739</v>
      </c>
      <c r="D480" t="str">
        <f t="shared" si="207"/>
        <v>WASHINGTON</v>
      </c>
      <c r="E480" t="str">
        <f t="shared" si="198"/>
        <v>DC</v>
      </c>
      <c r="F480" t="str">
        <f t="shared" si="208"/>
        <v>203501000</v>
      </c>
      <c r="G480" t="str">
        <f>T("1000 NAVY PENTAGON")</f>
        <v>1000 NAVY PENTAGON</v>
      </c>
      <c r="H480" t="str">
        <f>T("ROOM 4E739")</f>
        <v>ROOM 4E739</v>
      </c>
      <c r="I480" t="str">
        <f t="shared" si="209"/>
        <v>WASHINGTON</v>
      </c>
      <c r="J480" t="str">
        <f t="shared" si="200"/>
        <v>DC</v>
      </c>
      <c r="K480" t="str">
        <f>T("7036931165")</f>
        <v>7036931165</v>
      </c>
      <c r="L480" t="str">
        <f>T("7036934531")</f>
        <v>7036934531</v>
      </c>
    </row>
    <row r="481" spans="1:12" x14ac:dyDescent="0.35">
      <c r="A481" t="str">
        <f>T("ZZ DELETE ASN EI&amp;E")</f>
        <v>ZZ DELETE ASN EI&amp;E</v>
      </c>
      <c r="B481" t="str">
        <f t="shared" si="206"/>
        <v>1000 NAVY PENTAGON</v>
      </c>
      <c r="C481" t="str">
        <f>T("ROOM 4E739")</f>
        <v>ROOM 4E739</v>
      </c>
      <c r="D481" t="str">
        <f t="shared" si="207"/>
        <v>WASHINGTON</v>
      </c>
      <c r="E481" t="str">
        <f t="shared" si="198"/>
        <v>DC</v>
      </c>
      <c r="F481" t="str">
        <f t="shared" si="208"/>
        <v>203501000</v>
      </c>
      <c r="G481" t="str">
        <f>T("1000 NAVY PENTAGON RM 4E739")</f>
        <v>1000 NAVY PENTAGON RM 4E739</v>
      </c>
      <c r="H481" t="str">
        <f>T("")</f>
        <v/>
      </c>
      <c r="I481" t="str">
        <f t="shared" si="209"/>
        <v>WASHINGTON</v>
      </c>
      <c r="J481" t="str">
        <f t="shared" si="200"/>
        <v>DC</v>
      </c>
      <c r="K481" t="str">
        <f>T("7036931165")</f>
        <v>7036931165</v>
      </c>
      <c r="L481" t="str">
        <f>T("7036145516")</f>
        <v>7036145516</v>
      </c>
    </row>
    <row r="482" spans="1:12" x14ac:dyDescent="0.35">
      <c r="A482" t="str">
        <f>T("ZZ DELETE")</f>
        <v>ZZ DELETE</v>
      </c>
      <c r="B482" t="str">
        <f>T("720 KENNON ST SE")</f>
        <v>720 KENNON ST SE</v>
      </c>
      <c r="C482" t="str">
        <f>T("BLDG 36 ROOM 207")</f>
        <v>BLDG 36 ROOM 207</v>
      </c>
      <c r="D482" t="str">
        <f>T("WASHINGTON NAVY YARD")</f>
        <v>WASHINGTON NAVY YARD</v>
      </c>
      <c r="E482" t="str">
        <f t="shared" si="198"/>
        <v>DC</v>
      </c>
      <c r="F482" t="str">
        <f>T("203745106")</f>
        <v>203745106</v>
      </c>
      <c r="G482" t="str">
        <f>T("720 KENNON ST SE")</f>
        <v>720 KENNON ST SE</v>
      </c>
      <c r="H482" t="str">
        <f>T("BLDG 36 ROOM 207")</f>
        <v>BLDG 36 ROOM 207</v>
      </c>
      <c r="I482" t="str">
        <f>T("WASHINGTON NAVY YARD")</f>
        <v>WASHINGTON NAVY YARD</v>
      </c>
      <c r="J482" t="str">
        <f t="shared" si="200"/>
        <v>DC</v>
      </c>
      <c r="K482" t="str">
        <f>T("2026856865")</f>
        <v>2026856865</v>
      </c>
      <c r="L482" t="str">
        <f>T("2026856488")</f>
        <v>2026856488</v>
      </c>
    </row>
    <row r="483" spans="1:12" x14ac:dyDescent="0.35">
      <c r="A483" t="str">
        <f>T("ZZ DELETE SECNAV CORB")</f>
        <v>ZZ DELETE SECNAV CORB</v>
      </c>
      <c r="B483" t="str">
        <f>T("720 KENNON ST SE")</f>
        <v>720 KENNON ST SE</v>
      </c>
      <c r="C483" t="str">
        <f>T("STE 309")</f>
        <v>STE 309</v>
      </c>
      <c r="D483" t="str">
        <f>T("WASHINGTON")</f>
        <v>WASHINGTON</v>
      </c>
      <c r="E483" t="str">
        <f t="shared" si="198"/>
        <v>DC</v>
      </c>
      <c r="F483" t="str">
        <f>T("203745023")</f>
        <v>203745023</v>
      </c>
      <c r="G483" t="str">
        <f>T("720 KENNON ST SE")</f>
        <v>720 KENNON ST SE</v>
      </c>
      <c r="H483" t="str">
        <f>T("STE 309")</f>
        <v>STE 309</v>
      </c>
      <c r="I483" t="str">
        <f>T("WASHINGTON")</f>
        <v>WASHINGTON</v>
      </c>
      <c r="J483" t="str">
        <f t="shared" si="200"/>
        <v>DC</v>
      </c>
      <c r="K483" t="str">
        <f>T("6026856610")</f>
        <v>6026856610</v>
      </c>
      <c r="L483" t="str">
        <f>T("2026856402")</f>
        <v>2026856402</v>
      </c>
    </row>
    <row r="484" spans="1:12" x14ac:dyDescent="0.35">
      <c r="A484" t="str">
        <f>T("ZZ DELETE NIPO")</f>
        <v>ZZ DELETE NIPO</v>
      </c>
      <c r="B484" t="str">
        <f>T("1250 10TH ST SE")</f>
        <v>1250 10TH ST SE</v>
      </c>
      <c r="C484" t="str">
        <f>T("")</f>
        <v/>
      </c>
      <c r="D484" t="str">
        <f>T("WASHINGTON NAVY YARD")</f>
        <v>WASHINGTON NAVY YARD</v>
      </c>
      <c r="E484" t="str">
        <f t="shared" si="198"/>
        <v>DC</v>
      </c>
      <c r="F484" t="str">
        <f>T("203745115")</f>
        <v>203745115</v>
      </c>
      <c r="G484" t="str">
        <f>T("10TH ST. S.E. BLDG 200")</f>
        <v>10TH ST. S.E. BLDG 200</v>
      </c>
      <c r="H484" t="str">
        <f>T("WNY")</f>
        <v>WNY</v>
      </c>
      <c r="I484" t="str">
        <f>T("WASHINGTON")</f>
        <v>WASHINGTON</v>
      </c>
      <c r="J484" t="str">
        <f t="shared" si="200"/>
        <v>DC</v>
      </c>
      <c r="K484" t="str">
        <f>T("000000000000000000")</f>
        <v>000000000000000000</v>
      </c>
      <c r="L484" t="str">
        <f>T("2024336202")</f>
        <v>2024336202</v>
      </c>
    </row>
    <row r="485" spans="1:12" x14ac:dyDescent="0.35">
      <c r="A485" t="str">
        <f>T("ZZ DELETE NIPO")</f>
        <v>ZZ DELETE NIPO</v>
      </c>
      <c r="B485" t="str">
        <f>T("1250 10TH ST SE")</f>
        <v>1250 10TH ST SE</v>
      </c>
      <c r="C485" t="str">
        <f>T("")</f>
        <v/>
      </c>
      <c r="D485" t="str">
        <f>T("WASHINGTON NAVY YARD")</f>
        <v>WASHINGTON NAVY YARD</v>
      </c>
      <c r="E485" t="str">
        <f t="shared" si="198"/>
        <v>DC</v>
      </c>
      <c r="F485" t="str">
        <f>T("203745115")</f>
        <v>203745115</v>
      </c>
      <c r="G485" t="str">
        <f>T("1250 10TH ST SE")</f>
        <v>1250 10TH ST SE</v>
      </c>
      <c r="H485" t="str">
        <f>T("")</f>
        <v/>
      </c>
      <c r="I485" t="str">
        <f>T("WASHINGTON NAVY YARD")</f>
        <v>WASHINGTON NAVY YARD</v>
      </c>
      <c r="J485" t="str">
        <f t="shared" si="200"/>
        <v>DC</v>
      </c>
      <c r="K485" t="str">
        <f>T("")</f>
        <v/>
      </c>
      <c r="L485" t="str">
        <f>T("2024335604")</f>
        <v>2024335604</v>
      </c>
    </row>
    <row r="486" spans="1:12" x14ac:dyDescent="0.35">
      <c r="A486" t="str">
        <f>T("ZZ DELETE NIPO")</f>
        <v>ZZ DELETE NIPO</v>
      </c>
      <c r="B486" t="str">
        <f>T("1250 10TH ST SE")</f>
        <v>1250 10TH ST SE</v>
      </c>
      <c r="C486" t="str">
        <f>T("")</f>
        <v/>
      </c>
      <c r="D486" t="str">
        <f>T("WASHINGTON NAVY YARD")</f>
        <v>WASHINGTON NAVY YARD</v>
      </c>
      <c r="E486" t="str">
        <f t="shared" si="198"/>
        <v>DC</v>
      </c>
      <c r="F486" t="str">
        <f>T("203745115")</f>
        <v>203745115</v>
      </c>
      <c r="G486" t="str">
        <f>T("1250 10TH ST SE")</f>
        <v>1250 10TH ST SE</v>
      </c>
      <c r="H486" t="str">
        <f>T("STE 2000")</f>
        <v>STE 2000</v>
      </c>
      <c r="I486" t="str">
        <f>T("WASHINGTON NAVY YARD")</f>
        <v>WASHINGTON NAVY YARD</v>
      </c>
      <c r="J486" t="str">
        <f t="shared" si="200"/>
        <v>DC</v>
      </c>
      <c r="K486" t="str">
        <f>T("2024336667")</f>
        <v>2024336667</v>
      </c>
      <c r="L486" t="str">
        <f>T("2024335620")</f>
        <v>2024335620</v>
      </c>
    </row>
    <row r="487" spans="1:12" x14ac:dyDescent="0.35">
      <c r="A487" t="str">
        <f>T("ZZ DELETE NIPO")</f>
        <v>ZZ DELETE NIPO</v>
      </c>
      <c r="B487" t="str">
        <f>T("1250 10TH ST SE")</f>
        <v>1250 10TH ST SE</v>
      </c>
      <c r="C487" t="str">
        <f>T("")</f>
        <v/>
      </c>
      <c r="D487" t="str">
        <f>T("WASHINGTON NAVY YARD")</f>
        <v>WASHINGTON NAVY YARD</v>
      </c>
      <c r="E487" t="str">
        <f t="shared" si="198"/>
        <v>DC</v>
      </c>
      <c r="F487" t="str">
        <f>T("203745115")</f>
        <v>203745115</v>
      </c>
      <c r="G487" t="str">
        <f>T("1250 10TH ST SE")</f>
        <v>1250 10TH ST SE</v>
      </c>
      <c r="H487" t="str">
        <f>T("STE 2000")</f>
        <v>STE 2000</v>
      </c>
      <c r="I487" t="str">
        <f>T("WASHINGTON NAVY YARD")</f>
        <v>WASHINGTON NAVY YARD</v>
      </c>
      <c r="J487" t="str">
        <f t="shared" si="200"/>
        <v>DC</v>
      </c>
      <c r="K487" t="str">
        <f>T("7032758054")</f>
        <v>7032758054</v>
      </c>
      <c r="L487" t="str">
        <f>T("7032758044")</f>
        <v>7032758044</v>
      </c>
    </row>
    <row r="488" spans="1:12" x14ac:dyDescent="0.35">
      <c r="A488" t="str">
        <f>T("ZZ DELETE OGC WNY")</f>
        <v>ZZ DELETE OGC WNY</v>
      </c>
      <c r="B488" t="str">
        <f>T("1000 NAVY PENTAGON")</f>
        <v>1000 NAVY PENTAGON</v>
      </c>
      <c r="C488" t="str">
        <f>T("ROOM 5A532")</f>
        <v>ROOM 5A532</v>
      </c>
      <c r="D488" t="str">
        <f>T("WASHINGTON")</f>
        <v>WASHINGTON</v>
      </c>
      <c r="E488" t="str">
        <f t="shared" si="198"/>
        <v>DC</v>
      </c>
      <c r="F488" t="str">
        <f>T("203501000")</f>
        <v>203501000</v>
      </c>
      <c r="G488" t="str">
        <f>T("1000 NAVY PENTAGON")</f>
        <v>1000 NAVY PENTAGON</v>
      </c>
      <c r="H488" t="str">
        <f>T("ROOM 5A532")</f>
        <v>ROOM 5A532</v>
      </c>
      <c r="I488" t="str">
        <f>T("WASHINGTON")</f>
        <v>WASHINGTON</v>
      </c>
      <c r="J488" t="str">
        <f t="shared" si="200"/>
        <v>DC</v>
      </c>
      <c r="K488" t="str">
        <f>T("7036971878")</f>
        <v>7036971878</v>
      </c>
      <c r="L488" t="str">
        <f>T("7036972278")</f>
        <v>7036972278</v>
      </c>
    </row>
    <row r="489" spans="1:12" x14ac:dyDescent="0.35">
      <c r="A489" t="str">
        <f>T("ZZ DELETE - OCHR NOR")</f>
        <v>ZZ DELETE - OCHR NOR</v>
      </c>
      <c r="B489" t="str">
        <f>T("OCHR NORFOLK OPS CENTER")</f>
        <v>OCHR NORFOLK OPS CENTER</v>
      </c>
      <c r="C489" t="str">
        <f>T("NNSY BLDG 17")</f>
        <v>NNSY BLDG 17</v>
      </c>
      <c r="D489" t="str">
        <f>T("PORTSMOUTH")</f>
        <v>PORTSMOUTH</v>
      </c>
      <c r="E489" t="str">
        <f>T("VA")</f>
        <v>VA</v>
      </c>
      <c r="F489" t="str">
        <f>T("237090000")</f>
        <v>237090000</v>
      </c>
      <c r="G489" t="str">
        <f>T("NNSY BLDG 17")</f>
        <v>NNSY BLDG 17</v>
      </c>
      <c r="H489" t="str">
        <f>T("")</f>
        <v/>
      </c>
      <c r="I489" t="str">
        <f>T("PORTSMOUTH")</f>
        <v>PORTSMOUTH</v>
      </c>
      <c r="J489" t="str">
        <f>T("VA")</f>
        <v>VA</v>
      </c>
      <c r="K489" t="str">
        <f>T("000000000000000000")</f>
        <v>000000000000000000</v>
      </c>
      <c r="L489" t="str">
        <f>T("7573967063")</f>
        <v>7573967063</v>
      </c>
    </row>
    <row r="490" spans="1:12" x14ac:dyDescent="0.35">
      <c r="A490" t="str">
        <f>T("ZZ DELETE - OCHR NOR")</f>
        <v>ZZ DELETE - OCHR NOR</v>
      </c>
      <c r="B490" t="str">
        <f>T("OCHR NORFOLK OPS CENTER")</f>
        <v>OCHR NORFOLK OPS CENTER</v>
      </c>
      <c r="C490" t="str">
        <f>T("NNSY BLDG 17")</f>
        <v>NNSY BLDG 17</v>
      </c>
      <c r="D490" t="str">
        <f>T("PORTSMOUTH")</f>
        <v>PORTSMOUTH</v>
      </c>
      <c r="E490" t="str">
        <f>T("VA")</f>
        <v>VA</v>
      </c>
      <c r="F490" t="str">
        <f>T("237090000")</f>
        <v>237090000</v>
      </c>
      <c r="G490" t="str">
        <f>T("NNSY BLDG 17")</f>
        <v>NNSY BLDG 17</v>
      </c>
      <c r="H490" t="str">
        <f>T("")</f>
        <v/>
      </c>
      <c r="I490" t="str">
        <f>T("PORTSMOUTH")</f>
        <v>PORTSMOUTH</v>
      </c>
      <c r="J490" t="str">
        <f>T("VA")</f>
        <v>VA</v>
      </c>
      <c r="K490" t="str">
        <f>T("000000000000000000")</f>
        <v>000000000000000000</v>
      </c>
      <c r="L490" t="str">
        <f>T("7573967073")</f>
        <v>7573967073</v>
      </c>
    </row>
    <row r="491" spans="1:12" x14ac:dyDescent="0.35">
      <c r="A491" t="str">
        <f>T("ZZ DELETE - OCHR NOR")</f>
        <v>ZZ DELETE - OCHR NOR</v>
      </c>
      <c r="B491" t="str">
        <f>T("OCHR NORFOLK OPS CENTER")</f>
        <v>OCHR NORFOLK OPS CENTER</v>
      </c>
      <c r="C491" t="str">
        <f>T("NNSY BLDG 17")</f>
        <v>NNSY BLDG 17</v>
      </c>
      <c r="D491" t="str">
        <f>T("PORTSMOUTH")</f>
        <v>PORTSMOUTH</v>
      </c>
      <c r="E491" t="str">
        <f>T("VA")</f>
        <v>VA</v>
      </c>
      <c r="F491" t="str">
        <f>T("237090000")</f>
        <v>237090000</v>
      </c>
      <c r="G491" t="str">
        <f>T("OCHR NORFOLK OPERATIONS CENTER")</f>
        <v>OCHR NORFOLK OPERATIONS CENTER</v>
      </c>
      <c r="H491" t="str">
        <f>T("NNSY BLDG 17")</f>
        <v>NNSY BLDG 17</v>
      </c>
      <c r="I491" t="str">
        <f>T("PORTSMOUTH")</f>
        <v>PORTSMOUTH</v>
      </c>
      <c r="J491" t="str">
        <f>T("VA")</f>
        <v>VA</v>
      </c>
      <c r="K491" t="str">
        <f>T("000000000000000000")</f>
        <v>000000000000000000</v>
      </c>
      <c r="L491" t="str">
        <f>T("7573967073")</f>
        <v>7573967073</v>
      </c>
    </row>
    <row r="492" spans="1:12" x14ac:dyDescent="0.35">
      <c r="A492" t="str">
        <f>T("ZZ DELETE - OCHR NOR")</f>
        <v>ZZ DELETE - OCHR NOR</v>
      </c>
      <c r="B492" t="str">
        <f>T("OCHR NORFOLK OPS CENTER")</f>
        <v>OCHR NORFOLK OPS CENTER</v>
      </c>
      <c r="C492" t="str">
        <f>T("NNSY BLDG 17")</f>
        <v>NNSY BLDG 17</v>
      </c>
      <c r="D492" t="str">
        <f>T("PORTSMOUTH")</f>
        <v>PORTSMOUTH</v>
      </c>
      <c r="E492" t="str">
        <f>T("VA")</f>
        <v>VA</v>
      </c>
      <c r="F492" t="str">
        <f>T("237090000")</f>
        <v>237090000</v>
      </c>
      <c r="G492" t="str">
        <f>T("OCHR NORFOLK OPS CENTER")</f>
        <v>OCHR NORFOLK OPS CENTER</v>
      </c>
      <c r="H492" t="str">
        <f>T("NNSY BLDG 17")</f>
        <v>NNSY BLDG 17</v>
      </c>
      <c r="I492" t="str">
        <f>T("PORTSMOUTH")</f>
        <v>PORTSMOUTH</v>
      </c>
      <c r="J492" t="str">
        <f>T("VA")</f>
        <v>VA</v>
      </c>
      <c r="K492" t="str">
        <f>T("")</f>
        <v/>
      </c>
      <c r="L492" t="str">
        <f>T("7573967049")</f>
        <v>7573967049</v>
      </c>
    </row>
    <row r="493" spans="1:12" x14ac:dyDescent="0.35">
      <c r="A493" t="str">
        <f>T("ZZ DELETE - OCHR SAN")</f>
        <v>ZZ DELETE - OCHR SAN</v>
      </c>
      <c r="B493" t="str">
        <f>T("6300 MIRAMAR WAY")</f>
        <v>6300 MIRAMAR WAY</v>
      </c>
      <c r="C493" t="str">
        <f>T("BLDG 6300")</f>
        <v>BLDG 6300</v>
      </c>
      <c r="D493" t="str">
        <f>T("SAN DIEGO")</f>
        <v>SAN DIEGO</v>
      </c>
      <c r="E493" t="str">
        <f>T("CA")</f>
        <v>CA</v>
      </c>
      <c r="F493" t="str">
        <f>T("921455400")</f>
        <v>921455400</v>
      </c>
      <c r="G493" t="str">
        <f>T("6300 MIRAMAR WAY")</f>
        <v>6300 MIRAMAR WAY</v>
      </c>
      <c r="H493" t="str">
        <f>T("BLDG 6300")</f>
        <v>BLDG 6300</v>
      </c>
      <c r="I493" t="str">
        <f>T("SAN DIEGO")</f>
        <v>SAN DIEGO</v>
      </c>
      <c r="J493" t="str">
        <f>T("CA")</f>
        <v>CA</v>
      </c>
      <c r="K493" t="str">
        <f>T("8585775974")</f>
        <v>8585775974</v>
      </c>
      <c r="L493" t="str">
        <f>T("8585775576")</f>
        <v>8585775576</v>
      </c>
    </row>
    <row r="494" spans="1:12" x14ac:dyDescent="0.35">
      <c r="A494" t="str">
        <f>T("ZZ DELETE - OCHR SAN")</f>
        <v>ZZ DELETE - OCHR SAN</v>
      </c>
      <c r="B494" t="str">
        <f>T("6300 MIRAMAR WAY")</f>
        <v>6300 MIRAMAR WAY</v>
      </c>
      <c r="C494" t="str">
        <f>T("BLDG 6300")</f>
        <v>BLDG 6300</v>
      </c>
      <c r="D494" t="str">
        <f>T("SAN DIEGO")</f>
        <v>SAN DIEGO</v>
      </c>
      <c r="E494" t="str">
        <f>T("CA")</f>
        <v>CA</v>
      </c>
      <c r="F494" t="str">
        <f>T("921455400")</f>
        <v>921455400</v>
      </c>
      <c r="G494" t="str">
        <f>T("6300 MIRAMAR WAY BLD 6300")</f>
        <v>6300 MIRAMAR WAY BLD 6300</v>
      </c>
      <c r="H494" t="str">
        <f>T("")</f>
        <v/>
      </c>
      <c r="I494" t="str">
        <f>T("SAN DIEGO")</f>
        <v>SAN DIEGO</v>
      </c>
      <c r="J494" t="str">
        <f>T("CA")</f>
        <v>CA</v>
      </c>
      <c r="K494" t="str">
        <f>T("8585775566")</f>
        <v>8585775566</v>
      </c>
      <c r="L494" t="str">
        <f>T("8585775584")</f>
        <v>8585775584</v>
      </c>
    </row>
    <row r="495" spans="1:12" x14ac:dyDescent="0.35">
      <c r="A495" t="str">
        <f>T("ZZ DELETE - OCHR SAN")</f>
        <v>ZZ DELETE - OCHR SAN</v>
      </c>
      <c r="B495" t="str">
        <f>T("6300 MIRAMAR WAY")</f>
        <v>6300 MIRAMAR WAY</v>
      </c>
      <c r="C495" t="str">
        <f>T("BLDG 6300")</f>
        <v>BLDG 6300</v>
      </c>
      <c r="D495" t="str">
        <f>T("SAN DIEGO")</f>
        <v>SAN DIEGO</v>
      </c>
      <c r="E495" t="str">
        <f>T("CA")</f>
        <v>CA</v>
      </c>
      <c r="F495" t="str">
        <f>T("921455400")</f>
        <v>921455400</v>
      </c>
      <c r="G495" t="str">
        <f>T("PO BOX 452015")</f>
        <v>PO BOX 452015</v>
      </c>
      <c r="H495" t="str">
        <f>T("BUILDING 6300")</f>
        <v>BUILDING 6300</v>
      </c>
      <c r="I495" t="str">
        <f>T("SAN DIEGO")</f>
        <v>SAN DIEGO</v>
      </c>
      <c r="J495" t="str">
        <f>T("CA")</f>
        <v>CA</v>
      </c>
      <c r="K495" t="str">
        <f>T("000000000000000000")</f>
        <v>000000000000000000</v>
      </c>
      <c r="L495" t="str">
        <f>T("8585775570")</f>
        <v>8585775570</v>
      </c>
    </row>
    <row r="496" spans="1:12" x14ac:dyDescent="0.35">
      <c r="A496" t="str">
        <f t="shared" ref="A496:A502" si="210">T("OCHR SILVERDALE OPS CENTER")</f>
        <v>OCHR SILVERDALE OPS CENTER</v>
      </c>
      <c r="B496" t="str">
        <f t="shared" ref="B496:B502" si="211">T("3230 NW RANDALL WAY")</f>
        <v>3230 NW RANDALL WAY</v>
      </c>
      <c r="C496" t="str">
        <f t="shared" ref="C496:C508" si="212">T("")</f>
        <v/>
      </c>
      <c r="D496" t="str">
        <f t="shared" ref="D496:D502" si="213">T("SILVERDALE")</f>
        <v>SILVERDALE</v>
      </c>
      <c r="E496" t="str">
        <f t="shared" ref="E496:E502" si="214">T("WA")</f>
        <v>WA</v>
      </c>
      <c r="F496" t="str">
        <f t="shared" ref="F496:F502" si="215">T("983837952")</f>
        <v>983837952</v>
      </c>
      <c r="G496" t="str">
        <f t="shared" ref="G496:G502" si="216">T("3230 NW RANDALL WAY")</f>
        <v>3230 NW RANDALL WAY</v>
      </c>
      <c r="H496" t="str">
        <f t="shared" ref="H496:H508" si="217">T("")</f>
        <v/>
      </c>
      <c r="I496" t="str">
        <f t="shared" ref="I496:I502" si="218">T("SILVERDALE")</f>
        <v>SILVERDALE</v>
      </c>
      <c r="J496" t="str">
        <f t="shared" ref="J496:J502" si="219">T("WA")</f>
        <v>WA</v>
      </c>
      <c r="K496" t="str">
        <f>T("000000000000000000")</f>
        <v>000000000000000000</v>
      </c>
      <c r="L496" t="str">
        <f>T("3603158083")</f>
        <v>3603158083</v>
      </c>
    </row>
    <row r="497" spans="1:12" x14ac:dyDescent="0.35">
      <c r="A497" t="str">
        <f t="shared" si="210"/>
        <v>OCHR SILVERDALE OPS CENTER</v>
      </c>
      <c r="B497" t="str">
        <f t="shared" si="211"/>
        <v>3230 NW RANDALL WAY</v>
      </c>
      <c r="C497" t="str">
        <f t="shared" si="212"/>
        <v/>
      </c>
      <c r="D497" t="str">
        <f t="shared" si="213"/>
        <v>SILVERDALE</v>
      </c>
      <c r="E497" t="str">
        <f t="shared" si="214"/>
        <v>WA</v>
      </c>
      <c r="F497" t="str">
        <f t="shared" si="215"/>
        <v>983837952</v>
      </c>
      <c r="G497" t="str">
        <f t="shared" si="216"/>
        <v>3230 NW RANDALL WAY</v>
      </c>
      <c r="H497" t="str">
        <f t="shared" si="217"/>
        <v/>
      </c>
      <c r="I497" t="str">
        <f t="shared" si="218"/>
        <v>SILVERDALE</v>
      </c>
      <c r="J497" t="str">
        <f t="shared" si="219"/>
        <v>WA</v>
      </c>
      <c r="K497" t="str">
        <f t="shared" ref="K497:K502" si="220">T("3603158025")</f>
        <v>3603158025</v>
      </c>
      <c r="L497" t="str">
        <f>T("3603158001")</f>
        <v>3603158001</v>
      </c>
    </row>
    <row r="498" spans="1:12" x14ac:dyDescent="0.35">
      <c r="A498" t="str">
        <f t="shared" si="210"/>
        <v>OCHR SILVERDALE OPS CENTER</v>
      </c>
      <c r="B498" t="str">
        <f t="shared" si="211"/>
        <v>3230 NW RANDALL WAY</v>
      </c>
      <c r="C498" t="str">
        <f t="shared" si="212"/>
        <v/>
      </c>
      <c r="D498" t="str">
        <f t="shared" si="213"/>
        <v>SILVERDALE</v>
      </c>
      <c r="E498" t="str">
        <f t="shared" si="214"/>
        <v>WA</v>
      </c>
      <c r="F498" t="str">
        <f t="shared" si="215"/>
        <v>983837952</v>
      </c>
      <c r="G498" t="str">
        <f t="shared" si="216"/>
        <v>3230 NW RANDALL WAY</v>
      </c>
      <c r="H498" t="str">
        <f t="shared" si="217"/>
        <v/>
      </c>
      <c r="I498" t="str">
        <f t="shared" si="218"/>
        <v>SILVERDALE</v>
      </c>
      <c r="J498" t="str">
        <f t="shared" si="219"/>
        <v>WA</v>
      </c>
      <c r="K498" t="str">
        <f t="shared" si="220"/>
        <v>3603158025</v>
      </c>
      <c r="L498" t="str">
        <f>T("3603158068")</f>
        <v>3603158068</v>
      </c>
    </row>
    <row r="499" spans="1:12" x14ac:dyDescent="0.35">
      <c r="A499" t="str">
        <f t="shared" si="210"/>
        <v>OCHR SILVERDALE OPS CENTER</v>
      </c>
      <c r="B499" t="str">
        <f t="shared" si="211"/>
        <v>3230 NW RANDALL WAY</v>
      </c>
      <c r="C499" t="str">
        <f t="shared" si="212"/>
        <v/>
      </c>
      <c r="D499" t="str">
        <f t="shared" si="213"/>
        <v>SILVERDALE</v>
      </c>
      <c r="E499" t="str">
        <f t="shared" si="214"/>
        <v>WA</v>
      </c>
      <c r="F499" t="str">
        <f t="shared" si="215"/>
        <v>983837952</v>
      </c>
      <c r="G499" t="str">
        <f t="shared" si="216"/>
        <v>3230 NW RANDALL WAY</v>
      </c>
      <c r="H499" t="str">
        <f t="shared" si="217"/>
        <v/>
      </c>
      <c r="I499" t="str">
        <f t="shared" si="218"/>
        <v>SILVERDALE</v>
      </c>
      <c r="J499" t="str">
        <f t="shared" si="219"/>
        <v>WA</v>
      </c>
      <c r="K499" t="str">
        <f t="shared" si="220"/>
        <v>3603158025</v>
      </c>
      <c r="L499" t="str">
        <f>T("3603158078")</f>
        <v>3603158078</v>
      </c>
    </row>
    <row r="500" spans="1:12" x14ac:dyDescent="0.35">
      <c r="A500" t="str">
        <f t="shared" si="210"/>
        <v>OCHR SILVERDALE OPS CENTER</v>
      </c>
      <c r="B500" t="str">
        <f t="shared" si="211"/>
        <v>3230 NW RANDALL WAY</v>
      </c>
      <c r="C500" t="str">
        <f t="shared" si="212"/>
        <v/>
      </c>
      <c r="D500" t="str">
        <f t="shared" si="213"/>
        <v>SILVERDALE</v>
      </c>
      <c r="E500" t="str">
        <f t="shared" si="214"/>
        <v>WA</v>
      </c>
      <c r="F500" t="str">
        <f t="shared" si="215"/>
        <v>983837952</v>
      </c>
      <c r="G500" t="str">
        <f t="shared" si="216"/>
        <v>3230 NW RANDALL WAY</v>
      </c>
      <c r="H500" t="str">
        <f t="shared" si="217"/>
        <v/>
      </c>
      <c r="I500" t="str">
        <f t="shared" si="218"/>
        <v>SILVERDALE</v>
      </c>
      <c r="J500" t="str">
        <f t="shared" si="219"/>
        <v>WA</v>
      </c>
      <c r="K500" t="str">
        <f t="shared" si="220"/>
        <v>3603158025</v>
      </c>
      <c r="L500" t="str">
        <f>T("3603158083")</f>
        <v>3603158083</v>
      </c>
    </row>
    <row r="501" spans="1:12" x14ac:dyDescent="0.35">
      <c r="A501" t="str">
        <f t="shared" si="210"/>
        <v>OCHR SILVERDALE OPS CENTER</v>
      </c>
      <c r="B501" t="str">
        <f t="shared" si="211"/>
        <v>3230 NW RANDALL WAY</v>
      </c>
      <c r="C501" t="str">
        <f t="shared" si="212"/>
        <v/>
      </c>
      <c r="D501" t="str">
        <f t="shared" si="213"/>
        <v>SILVERDALE</v>
      </c>
      <c r="E501" t="str">
        <f t="shared" si="214"/>
        <v>WA</v>
      </c>
      <c r="F501" t="str">
        <f t="shared" si="215"/>
        <v>983837952</v>
      </c>
      <c r="G501" t="str">
        <f t="shared" si="216"/>
        <v>3230 NW RANDALL WAY</v>
      </c>
      <c r="H501" t="str">
        <f t="shared" si="217"/>
        <v/>
      </c>
      <c r="I501" t="str">
        <f t="shared" si="218"/>
        <v>SILVERDALE</v>
      </c>
      <c r="J501" t="str">
        <f t="shared" si="219"/>
        <v>WA</v>
      </c>
      <c r="K501" t="str">
        <f t="shared" si="220"/>
        <v>3603158025</v>
      </c>
      <c r="L501" t="str">
        <f>T("3603158084")</f>
        <v>3603158084</v>
      </c>
    </row>
    <row r="502" spans="1:12" x14ac:dyDescent="0.35">
      <c r="A502" t="str">
        <f t="shared" si="210"/>
        <v>OCHR SILVERDALE OPS CENTER</v>
      </c>
      <c r="B502" t="str">
        <f t="shared" si="211"/>
        <v>3230 NW RANDALL WAY</v>
      </c>
      <c r="C502" t="str">
        <f t="shared" si="212"/>
        <v/>
      </c>
      <c r="D502" t="str">
        <f t="shared" si="213"/>
        <v>SILVERDALE</v>
      </c>
      <c r="E502" t="str">
        <f t="shared" si="214"/>
        <v>WA</v>
      </c>
      <c r="F502" t="str">
        <f t="shared" si="215"/>
        <v>983837952</v>
      </c>
      <c r="G502" t="str">
        <f t="shared" si="216"/>
        <v>3230 NW RANDALL WAY</v>
      </c>
      <c r="H502" t="str">
        <f t="shared" si="217"/>
        <v/>
      </c>
      <c r="I502" t="str">
        <f t="shared" si="218"/>
        <v>SILVERDALE</v>
      </c>
      <c r="J502" t="str">
        <f t="shared" si="219"/>
        <v>WA</v>
      </c>
      <c r="K502" t="str">
        <f t="shared" si="220"/>
        <v>3603158025</v>
      </c>
      <c r="L502" t="str">
        <f>T("3603158195")</f>
        <v>3603158195</v>
      </c>
    </row>
    <row r="503" spans="1:12" x14ac:dyDescent="0.35">
      <c r="A503" t="str">
        <f t="shared" ref="A503:A508" si="221">T("ZZ DELETE - OCHR STE")</f>
        <v>ZZ DELETE - OCHR STE</v>
      </c>
      <c r="B503" t="str">
        <f>T("9110 LEONARD KIMBLE RD")</f>
        <v>9110 LEONARD KIMBLE RD</v>
      </c>
      <c r="C503" t="str">
        <f t="shared" si="212"/>
        <v/>
      </c>
      <c r="D503" t="str">
        <f t="shared" ref="D503:D508" si="222">T("STENNIS SP CT")</f>
        <v>STENNIS SP CT</v>
      </c>
      <c r="E503" t="str">
        <f t="shared" ref="E503:E508" si="223">T("MS")</f>
        <v>MS</v>
      </c>
      <c r="F503" t="str">
        <f>T("395220002")</f>
        <v>395220002</v>
      </c>
      <c r="G503" t="str">
        <f>T("9110 LEONARD KIMBLE RD")</f>
        <v>9110 LEONARD KIMBLE RD</v>
      </c>
      <c r="H503" t="str">
        <f t="shared" si="217"/>
        <v/>
      </c>
      <c r="I503" t="str">
        <f>T("STENNIS SP CT")</f>
        <v>STENNIS SP CT</v>
      </c>
      <c r="J503" t="str">
        <f t="shared" ref="J503:J508" si="224">T("MS")</f>
        <v>MS</v>
      </c>
      <c r="K503" t="str">
        <f>T("2288131004")</f>
        <v>2288131004</v>
      </c>
      <c r="L503" t="str">
        <f>T("2288131015")</f>
        <v>2288131015</v>
      </c>
    </row>
    <row r="504" spans="1:12" x14ac:dyDescent="0.35">
      <c r="A504" t="str">
        <f t="shared" si="221"/>
        <v>ZZ DELETE - OCHR STE</v>
      </c>
      <c r="B504" t="str">
        <f>T("9110 LEONARD KIMBLE RD")</f>
        <v>9110 LEONARD KIMBLE RD</v>
      </c>
      <c r="C504" t="str">
        <f t="shared" si="212"/>
        <v/>
      </c>
      <c r="D504" t="str">
        <f t="shared" si="222"/>
        <v>STENNIS SP CT</v>
      </c>
      <c r="E504" t="str">
        <f t="shared" si="223"/>
        <v>MS</v>
      </c>
      <c r="F504" t="str">
        <f>T("395220002")</f>
        <v>395220002</v>
      </c>
      <c r="G504" t="str">
        <f>T("9110 LEONARD KIMBLE RD")</f>
        <v>9110 LEONARD KIMBLE RD</v>
      </c>
      <c r="H504" t="str">
        <f t="shared" si="217"/>
        <v/>
      </c>
      <c r="I504" t="str">
        <f>T("STENNIS SPACE CENTER")</f>
        <v>STENNIS SPACE CENTER</v>
      </c>
      <c r="J504" t="str">
        <f t="shared" si="224"/>
        <v>MS</v>
      </c>
      <c r="K504" t="str">
        <f>T("000000000000000000")</f>
        <v>000000000000000000</v>
      </c>
      <c r="L504" t="str">
        <f>T("2288131177")</f>
        <v>2288131177</v>
      </c>
    </row>
    <row r="505" spans="1:12" x14ac:dyDescent="0.35">
      <c r="A505" t="str">
        <f t="shared" si="221"/>
        <v>ZZ DELETE - OCHR STE</v>
      </c>
      <c r="B505" t="str">
        <f>T("9110 LEONARD KIMBLE RD")</f>
        <v>9110 LEONARD KIMBLE RD</v>
      </c>
      <c r="C505" t="str">
        <f t="shared" si="212"/>
        <v/>
      </c>
      <c r="D505" t="str">
        <f t="shared" si="222"/>
        <v>STENNIS SP CT</v>
      </c>
      <c r="E505" t="str">
        <f t="shared" si="223"/>
        <v>MS</v>
      </c>
      <c r="F505" t="str">
        <f>T("395220002")</f>
        <v>395220002</v>
      </c>
      <c r="G505" t="str">
        <f>T("9110 LEONARD KIMBLE RD")</f>
        <v>9110 LEONARD KIMBLE RD</v>
      </c>
      <c r="H505" t="str">
        <f t="shared" si="217"/>
        <v/>
      </c>
      <c r="I505" t="str">
        <f>T("STENNIS SPACE CENTER")</f>
        <v>STENNIS SPACE CENTER</v>
      </c>
      <c r="J505" t="str">
        <f t="shared" si="224"/>
        <v>MS</v>
      </c>
      <c r="K505" t="str">
        <f>T("2288131221")</f>
        <v>2288131221</v>
      </c>
      <c r="L505" t="str">
        <f>T("2288131020")</f>
        <v>2288131020</v>
      </c>
    </row>
    <row r="506" spans="1:12" x14ac:dyDescent="0.35">
      <c r="A506" t="str">
        <f t="shared" si="221"/>
        <v>ZZ DELETE - OCHR STE</v>
      </c>
      <c r="B506" t="str">
        <f>T("9110 LEONARD KMIBALL RD")</f>
        <v>9110 LEONARD KMIBALL RD</v>
      </c>
      <c r="C506" t="str">
        <f t="shared" si="212"/>
        <v/>
      </c>
      <c r="D506" t="str">
        <f t="shared" si="222"/>
        <v>STENNIS SP CT</v>
      </c>
      <c r="E506" t="str">
        <f t="shared" si="223"/>
        <v>MS</v>
      </c>
      <c r="F506" t="str">
        <f>T("395220001")</f>
        <v>395220001</v>
      </c>
      <c r="G506" t="str">
        <f>T("9110 LEONARD KIMBLE RD")</f>
        <v>9110 LEONARD KIMBLE RD</v>
      </c>
      <c r="H506" t="str">
        <f t="shared" si="217"/>
        <v/>
      </c>
      <c r="I506" t="str">
        <f>T("STENNIS SPACE CENTER")</f>
        <v>STENNIS SPACE CENTER</v>
      </c>
      <c r="J506" t="str">
        <f t="shared" si="224"/>
        <v>MS</v>
      </c>
      <c r="K506" t="str">
        <f>T("000000000000000000")</f>
        <v>000000000000000000</v>
      </c>
      <c r="L506" t="str">
        <f>T("2288131012")</f>
        <v>2288131012</v>
      </c>
    </row>
    <row r="507" spans="1:12" x14ac:dyDescent="0.35">
      <c r="A507" t="str">
        <f t="shared" si="221"/>
        <v>ZZ DELETE - OCHR STE</v>
      </c>
      <c r="B507" t="str">
        <f>T("9110 LEONARD KMIBALL RD")</f>
        <v>9110 LEONARD KMIBALL RD</v>
      </c>
      <c r="C507" t="str">
        <f t="shared" si="212"/>
        <v/>
      </c>
      <c r="D507" t="str">
        <f t="shared" si="222"/>
        <v>STENNIS SP CT</v>
      </c>
      <c r="E507" t="str">
        <f t="shared" si="223"/>
        <v>MS</v>
      </c>
      <c r="F507" t="str">
        <f>T("395220001")</f>
        <v>395220001</v>
      </c>
      <c r="G507" t="str">
        <f>T("9110 LEONARD KIMBLE RD")</f>
        <v>9110 LEONARD KIMBLE RD</v>
      </c>
      <c r="H507" t="str">
        <f t="shared" si="217"/>
        <v/>
      </c>
      <c r="I507" t="str">
        <f>T("STENNIS SPACE CENTER")</f>
        <v>STENNIS SPACE CENTER</v>
      </c>
      <c r="J507" t="str">
        <f t="shared" si="224"/>
        <v>MS</v>
      </c>
      <c r="K507" t="str">
        <f>T("2288131004")</f>
        <v>2288131004</v>
      </c>
      <c r="L507" t="str">
        <f>T("2288131020")</f>
        <v>2288131020</v>
      </c>
    </row>
    <row r="508" spans="1:12" x14ac:dyDescent="0.35">
      <c r="A508" t="str">
        <f t="shared" si="221"/>
        <v>ZZ DELETE - OCHR STE</v>
      </c>
      <c r="B508" t="str">
        <f>T("9110 LEONARD KMIBALL RD")</f>
        <v>9110 LEONARD KMIBALL RD</v>
      </c>
      <c r="C508" t="str">
        <f t="shared" si="212"/>
        <v/>
      </c>
      <c r="D508" t="str">
        <f t="shared" si="222"/>
        <v>STENNIS SP CT</v>
      </c>
      <c r="E508" t="str">
        <f t="shared" si="223"/>
        <v>MS</v>
      </c>
      <c r="F508" t="str">
        <f>T("395220001")</f>
        <v>395220001</v>
      </c>
      <c r="G508" t="str">
        <f>T("9110 LEONARD KMIBALL RD")</f>
        <v>9110 LEONARD KMIBALL RD</v>
      </c>
      <c r="H508" t="str">
        <f t="shared" si="217"/>
        <v/>
      </c>
      <c r="I508" t="str">
        <f>T("STENNIS SP CT")</f>
        <v>STENNIS SP CT</v>
      </c>
      <c r="J508" t="str">
        <f t="shared" si="224"/>
        <v>MS</v>
      </c>
      <c r="K508" t="str">
        <f>T("")</f>
        <v/>
      </c>
      <c r="L508" t="str">
        <f>T("2288131015")</f>
        <v>2288131015</v>
      </c>
    </row>
    <row r="509" spans="1:12" x14ac:dyDescent="0.35">
      <c r="A509" t="str">
        <f t="shared" ref="A509:A515" si="225">T("DON/AA")</f>
        <v>DON/AA</v>
      </c>
      <c r="B509" t="str">
        <f>T("1000 NAVY PENTAGON")</f>
        <v>1000 NAVY PENTAGON</v>
      </c>
      <c r="C509" t="str">
        <f>T("RM 5E158")</f>
        <v>RM 5E158</v>
      </c>
      <c r="D509" t="str">
        <f>T("WASHINGTON")</f>
        <v>WASHINGTON</v>
      </c>
      <c r="E509" t="str">
        <f>T("DC")</f>
        <v>DC</v>
      </c>
      <c r="F509" t="str">
        <f>T("203501000")</f>
        <v>203501000</v>
      </c>
      <c r="G509" t="str">
        <f>T("1000 NAVY PENTAGON")</f>
        <v>1000 NAVY PENTAGON</v>
      </c>
      <c r="H509" t="str">
        <f>T("RM 5E158")</f>
        <v>RM 5E158</v>
      </c>
      <c r="I509" t="str">
        <f>T("WASHINGTON")</f>
        <v>WASHINGTON</v>
      </c>
      <c r="J509" t="str">
        <f>T("DC")</f>
        <v>DC</v>
      </c>
      <c r="K509" t="str">
        <f>T("000000000000000000")</f>
        <v>000000000000000000</v>
      </c>
      <c r="L509" t="str">
        <f>T("7036935886")</f>
        <v>7036935886</v>
      </c>
    </row>
    <row r="510" spans="1:12" x14ac:dyDescent="0.35">
      <c r="A510" t="str">
        <f t="shared" si="225"/>
        <v>DON/AA</v>
      </c>
      <c r="B510" t="str">
        <f>T("1000 NAVY PENTAGON")</f>
        <v>1000 NAVY PENTAGON</v>
      </c>
      <c r="C510" t="str">
        <f>T("RM 5E158")</f>
        <v>RM 5E158</v>
      </c>
      <c r="D510" t="str">
        <f>T("WASHINGTON")</f>
        <v>WASHINGTON</v>
      </c>
      <c r="E510" t="str">
        <f>T("DC")</f>
        <v>DC</v>
      </c>
      <c r="F510" t="str">
        <f>T("203501000")</f>
        <v>203501000</v>
      </c>
      <c r="G510" t="str">
        <f>T("1000 NAVY PENTAGON")</f>
        <v>1000 NAVY PENTAGON</v>
      </c>
      <c r="H510" t="str">
        <f>T("RM 5E158")</f>
        <v>RM 5E158</v>
      </c>
      <c r="I510" t="str">
        <f>T("WASHINGTON")</f>
        <v>WASHINGTON</v>
      </c>
      <c r="J510" t="str">
        <f>T("DC")</f>
        <v>DC</v>
      </c>
      <c r="K510" t="str">
        <f>T("000000000000000000")</f>
        <v>000000000000000000</v>
      </c>
      <c r="L510" t="str">
        <f>T("7036973215")</f>
        <v>7036973215</v>
      </c>
    </row>
    <row r="511" spans="1:12" x14ac:dyDescent="0.35">
      <c r="A511" t="str">
        <f t="shared" si="225"/>
        <v>DON/AA</v>
      </c>
      <c r="B511" t="str">
        <f>T("1000 NAVY PENTAGON")</f>
        <v>1000 NAVY PENTAGON</v>
      </c>
      <c r="C511" t="str">
        <f>T("RM 5E158")</f>
        <v>RM 5E158</v>
      </c>
      <c r="D511" t="str">
        <f>T("WASHINGTON")</f>
        <v>WASHINGTON</v>
      </c>
      <c r="E511" t="str">
        <f>T("DC")</f>
        <v>DC</v>
      </c>
      <c r="F511" t="str">
        <f>T("203501000")</f>
        <v>203501000</v>
      </c>
      <c r="G511" t="str">
        <f>T("1000 NAVY PENTAGON")</f>
        <v>1000 NAVY PENTAGON</v>
      </c>
      <c r="H511" t="str">
        <f>T("RM 5E158")</f>
        <v>RM 5E158</v>
      </c>
      <c r="I511" t="str">
        <f>T("WASHINGTON")</f>
        <v>WASHINGTON</v>
      </c>
      <c r="J511" t="str">
        <f>T("DC")</f>
        <v>DC</v>
      </c>
      <c r="K511" t="str">
        <f>T("7036972579")</f>
        <v>7036972579</v>
      </c>
      <c r="L511" t="str">
        <f>T("7036973215")</f>
        <v>7036973215</v>
      </c>
    </row>
    <row r="512" spans="1:12" x14ac:dyDescent="0.35">
      <c r="A512" t="str">
        <f t="shared" si="225"/>
        <v>DON/AA</v>
      </c>
      <c r="B512" t="str">
        <f>T("1000 NAVY PENTAGON")</f>
        <v>1000 NAVY PENTAGON</v>
      </c>
      <c r="C512" t="str">
        <f>T("RM 5E158")</f>
        <v>RM 5E158</v>
      </c>
      <c r="D512" t="str">
        <f>T("WASHINGTON")</f>
        <v>WASHINGTON</v>
      </c>
      <c r="E512" t="str">
        <f>T("DC")</f>
        <v>DC</v>
      </c>
      <c r="F512" t="str">
        <f>T("203501000")</f>
        <v>203501000</v>
      </c>
      <c r="G512" t="str">
        <f>T("1000 NAVY PENTAGON")</f>
        <v>1000 NAVY PENTAGON</v>
      </c>
      <c r="H512" t="str">
        <f>T("ROM 5E158")</f>
        <v>ROM 5E158</v>
      </c>
      <c r="I512" t="str">
        <f>T("WASHINGTON")</f>
        <v>WASHINGTON</v>
      </c>
      <c r="J512" t="str">
        <f>T("DC")</f>
        <v>DC</v>
      </c>
      <c r="K512" t="str">
        <f>T("000000000000000000")</f>
        <v>000000000000000000</v>
      </c>
      <c r="L512" t="str">
        <f>T("7036951111")</f>
        <v>7036951111</v>
      </c>
    </row>
    <row r="513" spans="1:12" x14ac:dyDescent="0.35">
      <c r="A513" t="str">
        <f t="shared" si="225"/>
        <v>DON/AA</v>
      </c>
      <c r="B513" t="str">
        <f>T("1000 NAVY PENTAGON")</f>
        <v>1000 NAVY PENTAGON</v>
      </c>
      <c r="C513" t="str">
        <f>T("RM 5E158")</f>
        <v>RM 5E158</v>
      </c>
      <c r="D513" t="str">
        <f>T("WASHINGTON")</f>
        <v>WASHINGTON</v>
      </c>
      <c r="E513" t="str">
        <f>T("DC")</f>
        <v>DC</v>
      </c>
      <c r="F513" t="str">
        <f>T("203501000")</f>
        <v>203501000</v>
      </c>
      <c r="G513" t="str">
        <f>T("1000 NAVY PENTAGON")</f>
        <v>1000 NAVY PENTAGON</v>
      </c>
      <c r="H513" t="str">
        <f>T("ROOM 5E158")</f>
        <v>ROOM 5E158</v>
      </c>
      <c r="I513" t="str">
        <f>T("WASHINGTON")</f>
        <v>WASHINGTON</v>
      </c>
      <c r="J513" t="str">
        <f>T("DC")</f>
        <v>DC</v>
      </c>
      <c r="K513" t="str">
        <f>T("000000000000000000")</f>
        <v>000000000000000000</v>
      </c>
      <c r="L513" t="str">
        <f>T("7035711755")</f>
        <v>7035711755</v>
      </c>
    </row>
    <row r="514" spans="1:12" x14ac:dyDescent="0.35">
      <c r="A514" t="str">
        <f t="shared" si="225"/>
        <v>DON/AA</v>
      </c>
      <c r="B514" t="str">
        <f>T("2521 SOUTH CLARK ST")</f>
        <v>2521 SOUTH CLARK ST</v>
      </c>
      <c r="C514" t="str">
        <f>T("RM 8-02")</f>
        <v>RM 8-02</v>
      </c>
      <c r="D514" t="str">
        <f>T("ARLINGTON")</f>
        <v>ARLINGTON</v>
      </c>
      <c r="E514" t="str">
        <f>T("VA")</f>
        <v>VA</v>
      </c>
      <c r="F514" t="str">
        <f>T("222023909")</f>
        <v>222023909</v>
      </c>
      <c r="G514" t="str">
        <f>T("2521 SOUTH CLARK ST")</f>
        <v>2521 SOUTH CLARK ST</v>
      </c>
      <c r="H514" t="str">
        <f>T("RM 8-02")</f>
        <v>RM 8-02</v>
      </c>
      <c r="I514" t="str">
        <f>T("ARLINGTON")</f>
        <v>ARLINGTON</v>
      </c>
      <c r="J514" t="str">
        <f>T("VA")</f>
        <v>VA</v>
      </c>
      <c r="K514" t="str">
        <f>T("000000000000000000")</f>
        <v>000000000000000000</v>
      </c>
      <c r="L514" t="str">
        <f>T("7036015997")</f>
        <v>7036015997</v>
      </c>
    </row>
    <row r="515" spans="1:12" x14ac:dyDescent="0.35">
      <c r="A515" t="str">
        <f t="shared" si="225"/>
        <v>DON/AA</v>
      </c>
      <c r="B515" t="str">
        <f>T("2521 SOUTH CLARK ST")</f>
        <v>2521 SOUTH CLARK ST</v>
      </c>
      <c r="C515" t="str">
        <f>T("RM 8-02")</f>
        <v>RM 8-02</v>
      </c>
      <c r="D515" t="str">
        <f>T("ARLINGTON")</f>
        <v>ARLINGTON</v>
      </c>
      <c r="E515" t="str">
        <f>T("VA")</f>
        <v>VA</v>
      </c>
      <c r="F515" t="str">
        <f>T("222023909")</f>
        <v>222023909</v>
      </c>
      <c r="G515" t="str">
        <f>T("2521 SOUTH CLARK STREET")</f>
        <v>2521 SOUTH CLARK STREET</v>
      </c>
      <c r="H515" t="str">
        <f>T("RM 8-02")</f>
        <v>RM 8-02</v>
      </c>
      <c r="I515" t="str">
        <f>T("ARLINGTON")</f>
        <v>ARLINGTON</v>
      </c>
      <c r="J515" t="str">
        <f>T("VA")</f>
        <v>VA</v>
      </c>
      <c r="K515" t="str">
        <f>T("000000000000000000")</f>
        <v>000000000000000000</v>
      </c>
      <c r="L515" t="str">
        <f>T("7036011791")</f>
        <v>7036011791</v>
      </c>
    </row>
    <row r="516" spans="1:12" x14ac:dyDescent="0.35">
      <c r="A516" t="str">
        <f>T("NACC")</f>
        <v>NACC</v>
      </c>
      <c r="B516" t="str">
        <f>T("PO BOX 2033, 5450 CARLISLE PIKE")</f>
        <v>PO BOX 2033, 5450 CARLISLE PIKE</v>
      </c>
      <c r="C516" t="str">
        <f>T("BUILDING 214")</f>
        <v>BUILDING 214</v>
      </c>
      <c r="D516" t="str">
        <f>T("MECHANICSBURG")</f>
        <v>MECHANICSBURG</v>
      </c>
      <c r="E516" t="str">
        <f>T("PA")</f>
        <v>PA</v>
      </c>
      <c r="F516" t="str">
        <f>T("170550784")</f>
        <v>170550784</v>
      </c>
      <c r="G516" t="str">
        <f>T("PO BOX 2033")</f>
        <v>PO BOX 2033</v>
      </c>
      <c r="H516" t="str">
        <f>T("5450 CARLISLE PIKE")</f>
        <v>5450 CARLISLE PIKE</v>
      </c>
      <c r="I516" t="str">
        <f>T("MECHANICSBURG")</f>
        <v>MECHANICSBURG</v>
      </c>
      <c r="J516" t="str">
        <f>T("PA")</f>
        <v>PA</v>
      </c>
      <c r="K516" t="str">
        <f>T("7176051980")</f>
        <v>7176051980</v>
      </c>
      <c r="L516" t="str">
        <f>T("7176052714")</f>
        <v>7176052714</v>
      </c>
    </row>
    <row r="517" spans="1:12" x14ac:dyDescent="0.35">
      <c r="A517" t="str">
        <f>T("NACC")</f>
        <v>NACC</v>
      </c>
      <c r="B517" t="str">
        <f>T("PO BOX 2033, 5450 CARLISLE PIKE")</f>
        <v>PO BOX 2033, 5450 CARLISLE PIKE</v>
      </c>
      <c r="C517" t="str">
        <f>T("BUILDING 214")</f>
        <v>BUILDING 214</v>
      </c>
      <c r="D517" t="str">
        <f>T("MECHANICSBURG")</f>
        <v>MECHANICSBURG</v>
      </c>
      <c r="E517" t="str">
        <f>T("PA")</f>
        <v>PA</v>
      </c>
      <c r="F517" t="str">
        <f>T("170550784")</f>
        <v>170550784</v>
      </c>
      <c r="G517" t="str">
        <f>T("PO BOX 2033, 5450 CARLISLE PIKE")</f>
        <v>PO BOX 2033, 5450 CARLISLE PIKE</v>
      </c>
      <c r="H517" t="str">
        <f>T("BUILDING 214")</f>
        <v>BUILDING 214</v>
      </c>
      <c r="I517" t="str">
        <f>T("MECHANICSBURG")</f>
        <v>MECHANICSBURG</v>
      </c>
      <c r="J517" t="str">
        <f>T("PA")</f>
        <v>PA</v>
      </c>
      <c r="K517" t="str">
        <f>T("7176051980")</f>
        <v>7176051980</v>
      </c>
      <c r="L517" t="str">
        <f>T("7176052668")</f>
        <v>7176052668</v>
      </c>
    </row>
    <row r="518" spans="1:12" x14ac:dyDescent="0.35">
      <c r="A518" t="str">
        <f>T("ZZ DELETE - JGPO")</f>
        <v>ZZ DELETE - JGPO</v>
      </c>
      <c r="B518" t="str">
        <f>T("2221 SOUTH CLARK STREET")</f>
        <v>2221 SOUTH CLARK STREET</v>
      </c>
      <c r="C518" t="str">
        <f>T("STE 900")</f>
        <v>STE 900</v>
      </c>
      <c r="D518" t="str">
        <f>T("ARLINGTON")</f>
        <v>ARLINGTON</v>
      </c>
      <c r="E518" t="str">
        <f>T("VA")</f>
        <v>VA</v>
      </c>
      <c r="F518" t="str">
        <f>T("222023742")</f>
        <v>222023742</v>
      </c>
      <c r="G518" t="str">
        <f>T("201 12TH STREET SOUTH")</f>
        <v>201 12TH STREET SOUTH</v>
      </c>
      <c r="H518" t="str">
        <f>T("STE 701E")</f>
        <v>STE 701E</v>
      </c>
      <c r="I518" t="str">
        <f>T("ARLINGTON")</f>
        <v>ARLINGTON</v>
      </c>
      <c r="J518" t="str">
        <f>T("VA")</f>
        <v>VA</v>
      </c>
      <c r="K518" t="str">
        <f>T("7036025564")</f>
        <v>7036025564</v>
      </c>
      <c r="L518" t="str">
        <f>T("7036028008")</f>
        <v>7036028008</v>
      </c>
    </row>
    <row r="519" spans="1:12" x14ac:dyDescent="0.35">
      <c r="A519" t="str">
        <f>T("ZZ DELETE - JGPO")</f>
        <v>ZZ DELETE - JGPO</v>
      </c>
      <c r="B519" t="str">
        <f>T("2221 SOUTH CLARK STREET")</f>
        <v>2221 SOUTH CLARK STREET</v>
      </c>
      <c r="C519" t="str">
        <f>T("STE 900")</f>
        <v>STE 900</v>
      </c>
      <c r="D519" t="str">
        <f>T("ARLINGTON")</f>
        <v>ARLINGTON</v>
      </c>
      <c r="E519" t="str">
        <f>T("VA")</f>
        <v>VA</v>
      </c>
      <c r="F519" t="str">
        <f>T("222023742")</f>
        <v>222023742</v>
      </c>
      <c r="G519" t="str">
        <f>T("2221 SOUTH CLARK STREET")</f>
        <v>2221 SOUTH CLARK STREET</v>
      </c>
      <c r="H519" t="str">
        <f>T("STE 900")</f>
        <v>STE 900</v>
      </c>
      <c r="I519" t="str">
        <f>T("ARLINGTON")</f>
        <v>ARLINGTON</v>
      </c>
      <c r="J519" t="str">
        <f>T("VA")</f>
        <v>VA</v>
      </c>
      <c r="K519" t="str">
        <f>T("")</f>
        <v/>
      </c>
      <c r="L519" t="str">
        <f>T("7036023041")</f>
        <v>7036023041</v>
      </c>
    </row>
    <row r="520" spans="1:12" x14ac:dyDescent="0.35">
      <c r="A520" t="str">
        <f>T("ZZ DELETE - JGPO")</f>
        <v>ZZ DELETE - JGPO</v>
      </c>
      <c r="B520" t="str">
        <f>T("GUAM")</f>
        <v>GUAM</v>
      </c>
      <c r="C520" t="str">
        <f>T("")</f>
        <v/>
      </c>
      <c r="D520" t="str">
        <f>T("GUAM")</f>
        <v>GUAM</v>
      </c>
      <c r="E520" t="str">
        <f>T("VA")</f>
        <v>VA</v>
      </c>
      <c r="F520" t="str">
        <f>T("222023742")</f>
        <v>222023742</v>
      </c>
      <c r="G520" t="str">
        <f>T("GUAM")</f>
        <v>GUAM</v>
      </c>
      <c r="H520" t="str">
        <f>T("")</f>
        <v/>
      </c>
      <c r="I520" t="str">
        <f>T("GUAM")</f>
        <v>GUAM</v>
      </c>
      <c r="J520" t="str">
        <f>T("VA")</f>
        <v>VA</v>
      </c>
      <c r="K520" t="str">
        <f>T("")</f>
        <v/>
      </c>
      <c r="L520" t="str">
        <f>T("6713396156")</f>
        <v>6713396156</v>
      </c>
    </row>
    <row r="521" spans="1:12" x14ac:dyDescent="0.35">
      <c r="A521" t="str">
        <f>T("CNO/VCNO ORF")</f>
        <v>CNO/VCNO ORF</v>
      </c>
      <c r="B521" t="str">
        <f>T("1000 NAVY PENTAGON")</f>
        <v>1000 NAVY PENTAGON</v>
      </c>
      <c r="C521" t="str">
        <f>T("RM 4A732")</f>
        <v>RM 4A732</v>
      </c>
      <c r="D521" t="str">
        <f>T("WASHINGTON")</f>
        <v>WASHINGTON</v>
      </c>
      <c r="E521" t="str">
        <f>T("DC")</f>
        <v>DC</v>
      </c>
      <c r="F521" t="str">
        <f>T("203501000")</f>
        <v>203501000</v>
      </c>
      <c r="G521" t="str">
        <f>T("1000 NAVY PENTAGON")</f>
        <v>1000 NAVY PENTAGON</v>
      </c>
      <c r="H521" t="str">
        <f>T("")</f>
        <v/>
      </c>
      <c r="I521" t="str">
        <f>T("WASHINGTON")</f>
        <v>WASHINGTON</v>
      </c>
      <c r="J521" t="str">
        <f>T("DC")</f>
        <v>DC</v>
      </c>
      <c r="K521" t="str">
        <f>T("000000000000000000")</f>
        <v>000000000000000000</v>
      </c>
      <c r="L521" t="str">
        <f>T("7036142020")</f>
        <v>7036142020</v>
      </c>
    </row>
    <row r="522" spans="1:12" x14ac:dyDescent="0.35">
      <c r="A522" t="str">
        <f>T("CNO/VCNO ORF")</f>
        <v>CNO/VCNO ORF</v>
      </c>
      <c r="B522" t="str">
        <f>T("1000 NAVY PENTAGON")</f>
        <v>1000 NAVY PENTAGON</v>
      </c>
      <c r="C522" t="str">
        <f>T("RM 4A732")</f>
        <v>RM 4A732</v>
      </c>
      <c r="D522" t="str">
        <f>T("WASHINGTON")</f>
        <v>WASHINGTON</v>
      </c>
      <c r="E522" t="str">
        <f>T("DC")</f>
        <v>DC</v>
      </c>
      <c r="F522" t="str">
        <f>T("203501000")</f>
        <v>203501000</v>
      </c>
      <c r="G522" t="str">
        <f>T("1000 NAVY PENTAGON")</f>
        <v>1000 NAVY PENTAGON</v>
      </c>
      <c r="H522" t="str">
        <f>T("RM 4A732")</f>
        <v>RM 4A732</v>
      </c>
      <c r="I522" t="str">
        <f>T("WASHINGTON")</f>
        <v>WASHINGTON</v>
      </c>
      <c r="J522" t="str">
        <f>T("DC")</f>
        <v>DC</v>
      </c>
      <c r="K522" t="str">
        <f>T("000000000000000000")</f>
        <v>000000000000000000</v>
      </c>
      <c r="L522" t="str">
        <f>T("7036977644")</f>
        <v>7036977644</v>
      </c>
    </row>
    <row r="523" spans="1:12" x14ac:dyDescent="0.35">
      <c r="A523" t="str">
        <f>T("CNO/VCNO ORF")</f>
        <v>CNO/VCNO ORF</v>
      </c>
      <c r="B523" t="str">
        <f>T("1000 NAVY PENTAGON")</f>
        <v>1000 NAVY PENTAGON</v>
      </c>
      <c r="C523" t="str">
        <f>T("RM 4A732")</f>
        <v>RM 4A732</v>
      </c>
      <c r="D523" t="str">
        <f>T("WASHINGTON")</f>
        <v>WASHINGTON</v>
      </c>
      <c r="E523" t="str">
        <f>T("DC")</f>
        <v>DC</v>
      </c>
      <c r="F523" t="str">
        <f>T("203501000")</f>
        <v>203501000</v>
      </c>
      <c r="G523" t="str">
        <f>T("1000 NAVY PENTAGON")</f>
        <v>1000 NAVY PENTAGON</v>
      </c>
      <c r="H523" t="str">
        <f>T("RM 4A732")</f>
        <v>RM 4A732</v>
      </c>
      <c r="I523" t="str">
        <f>T("WASHINGTON")</f>
        <v>WASHINGTON</v>
      </c>
      <c r="J523" t="str">
        <f>T("DC")</f>
        <v>DC</v>
      </c>
      <c r="K523" t="str">
        <f>T("7036930144")</f>
        <v>7036930144</v>
      </c>
      <c r="L523" t="str">
        <f>T("7036935752")</f>
        <v>7036935752</v>
      </c>
    </row>
    <row r="524" spans="1:12" x14ac:dyDescent="0.35">
      <c r="A524" t="str">
        <f>T("OCHR PHILADELPHIA OPS CENTER")</f>
        <v>OCHR PHILADELPHIA OPS CENTER</v>
      </c>
      <c r="B524" t="str">
        <f>T("700 ROBBINS AVE")</f>
        <v>700 ROBBINS AVE</v>
      </c>
      <c r="C524" t="str">
        <f>T("BLDG 9")</f>
        <v>BLDG 9</v>
      </c>
      <c r="D524" t="str">
        <f>T("PHILADELPHIA")</f>
        <v>PHILADELPHIA</v>
      </c>
      <c r="E524" t="str">
        <f>T("PA")</f>
        <v>PA</v>
      </c>
      <c r="F524" t="str">
        <f>T("191115009")</f>
        <v>191115009</v>
      </c>
      <c r="G524" t="str">
        <f>T("700 ROBBINS AVE")</f>
        <v>700 ROBBINS AVE</v>
      </c>
      <c r="H524" t="str">
        <f>T("BLDG 9")</f>
        <v>BLDG 9</v>
      </c>
      <c r="I524" t="str">
        <f>T("PHILA")</f>
        <v>PHILA</v>
      </c>
      <c r="J524" t="str">
        <f>T("PA")</f>
        <v>PA</v>
      </c>
      <c r="K524" t="str">
        <f>T("2156970224")</f>
        <v>2156970224</v>
      </c>
      <c r="L524" t="str">
        <f>T("2156970485")</f>
        <v>2156970485</v>
      </c>
    </row>
    <row r="525" spans="1:12" x14ac:dyDescent="0.35">
      <c r="A525" t="str">
        <f>T("OCHR PHILADELPHIA OPS CENTER")</f>
        <v>OCHR PHILADELPHIA OPS CENTER</v>
      </c>
      <c r="B525" t="str">
        <f>T("700 ROBBINS AVE")</f>
        <v>700 ROBBINS AVE</v>
      </c>
      <c r="C525" t="str">
        <f>T("BLDG 9")</f>
        <v>BLDG 9</v>
      </c>
      <c r="D525" t="str">
        <f>T("PHILADELPHIA")</f>
        <v>PHILADELPHIA</v>
      </c>
      <c r="E525" t="str">
        <f>T("PA")</f>
        <v>PA</v>
      </c>
      <c r="F525" t="str">
        <f>T("191115009")</f>
        <v>191115009</v>
      </c>
      <c r="G525" t="str">
        <f>T("700 ROBBINS AVE")</f>
        <v>700 ROBBINS AVE</v>
      </c>
      <c r="H525" t="str">
        <f>T("BLDG 9")</f>
        <v>BLDG 9</v>
      </c>
      <c r="I525" t="str">
        <f>T("PHILADELPHIA")</f>
        <v>PHILADELPHIA</v>
      </c>
      <c r="J525" t="str">
        <f>T("PA")</f>
        <v>PA</v>
      </c>
      <c r="K525" t="str">
        <f>T("2156970224")</f>
        <v>2156970224</v>
      </c>
      <c r="L525" t="str">
        <f>T("2156970482")</f>
        <v>2156970482</v>
      </c>
    </row>
    <row r="526" spans="1:12" x14ac:dyDescent="0.35">
      <c r="A526" t="str">
        <f>T("OCHR PHILADELPHIA OPS CENTER")</f>
        <v>OCHR PHILADELPHIA OPS CENTER</v>
      </c>
      <c r="B526" t="str">
        <f>T("700 ROBBINS AVE")</f>
        <v>700 ROBBINS AVE</v>
      </c>
      <c r="C526" t="str">
        <f>T("BLDG 9")</f>
        <v>BLDG 9</v>
      </c>
      <c r="D526" t="str">
        <f>T("PHILADELPHIA")</f>
        <v>PHILADELPHIA</v>
      </c>
      <c r="E526" t="str">
        <f>T("PA")</f>
        <v>PA</v>
      </c>
      <c r="F526" t="str">
        <f>T("191115009")</f>
        <v>191115009</v>
      </c>
      <c r="G526" t="str">
        <f>T("700 ROBBINS AVE")</f>
        <v>700 ROBBINS AVE</v>
      </c>
      <c r="H526" t="str">
        <f>T("BLDG 9")</f>
        <v>BLDG 9</v>
      </c>
      <c r="I526" t="str">
        <f>T("PHILADELPHIA")</f>
        <v>PHILADELPHIA</v>
      </c>
      <c r="J526" t="str">
        <f>T("PA")</f>
        <v>PA</v>
      </c>
      <c r="K526" t="str">
        <f>T("2156970420")</f>
        <v>2156970420</v>
      </c>
      <c r="L526" t="str">
        <f>T("2156970489")</f>
        <v>2156970489</v>
      </c>
    </row>
    <row r="527" spans="1:12" x14ac:dyDescent="0.35">
      <c r="A527" t="str">
        <f>T("CHINFO INTERNAL")</f>
        <v>CHINFO INTERNAL</v>
      </c>
      <c r="B527" t="str">
        <f>T("1000 NAVY PENTAGON")</f>
        <v>1000 NAVY PENTAGON</v>
      </c>
      <c r="C527" t="str">
        <f>T("ROOM 4B463")</f>
        <v>ROOM 4B463</v>
      </c>
      <c r="D527" t="str">
        <f>T("WASHINGTON")</f>
        <v>WASHINGTON</v>
      </c>
      <c r="E527" t="str">
        <f>T("DC")</f>
        <v>DC</v>
      </c>
      <c r="F527" t="str">
        <f>T("203501000")</f>
        <v>203501000</v>
      </c>
      <c r="G527" t="str">
        <f>T("1000 NAVY PENTAGON")</f>
        <v>1000 NAVY PENTAGON</v>
      </c>
      <c r="H527" t="str">
        <f>T("ROOM 4B463")</f>
        <v>ROOM 4B463</v>
      </c>
      <c r="I527" t="str">
        <f>T("WASHINGTON")</f>
        <v>WASHINGTON</v>
      </c>
      <c r="J527" t="str">
        <f>T("DC")</f>
        <v>DC</v>
      </c>
      <c r="K527" t="str">
        <f t="shared" ref="K527:K535" si="226">T("000000000000000000")</f>
        <v>000000000000000000</v>
      </c>
      <c r="L527" t="str">
        <f>T("7036924750")</f>
        <v>7036924750</v>
      </c>
    </row>
    <row r="528" spans="1:12" x14ac:dyDescent="0.35">
      <c r="A528" t="str">
        <f>T("CHINFO INTERNAL")</f>
        <v>CHINFO INTERNAL</v>
      </c>
      <c r="B528" t="str">
        <f>T("1000 NAVY PENTAGON")</f>
        <v>1000 NAVY PENTAGON</v>
      </c>
      <c r="C528" t="str">
        <f>T("ROOM 4B463")</f>
        <v>ROOM 4B463</v>
      </c>
      <c r="D528" t="str">
        <f>T("WASHINGTON")</f>
        <v>WASHINGTON</v>
      </c>
      <c r="E528" t="str">
        <f>T("DC")</f>
        <v>DC</v>
      </c>
      <c r="F528" t="str">
        <f>T("203501000")</f>
        <v>203501000</v>
      </c>
      <c r="G528" t="str">
        <f>T("1200 NAVY PENTAGON")</f>
        <v>1200 NAVY PENTAGON</v>
      </c>
      <c r="H528" t="str">
        <f>T("ROOM 4B463")</f>
        <v>ROOM 4B463</v>
      </c>
      <c r="I528" t="str">
        <f>T("WASHINGTON")</f>
        <v>WASHINGTON</v>
      </c>
      <c r="J528" t="str">
        <f>T("DC")</f>
        <v>DC</v>
      </c>
      <c r="K528" t="str">
        <f t="shared" si="226"/>
        <v>000000000000000000</v>
      </c>
      <c r="L528" t="str">
        <f>T("7036924760")</f>
        <v>7036924760</v>
      </c>
    </row>
    <row r="529" spans="1:12" x14ac:dyDescent="0.35">
      <c r="A529" t="str">
        <f>T("CHINFO INTERNAL")</f>
        <v>CHINFO INTERNAL</v>
      </c>
      <c r="B529" t="str">
        <f>T("1000 NAVY PENTAGON")</f>
        <v>1000 NAVY PENTAGON</v>
      </c>
      <c r="C529" t="str">
        <f>T("ROOM 4B463")</f>
        <v>ROOM 4B463</v>
      </c>
      <c r="D529" t="str">
        <f>T("WASHINGTON")</f>
        <v>WASHINGTON</v>
      </c>
      <c r="E529" t="str">
        <f>T("DC")</f>
        <v>DC</v>
      </c>
      <c r="F529" t="str">
        <f>T("203501000")</f>
        <v>203501000</v>
      </c>
      <c r="G529" t="str">
        <f>T("1200 NAVY PENTAGON")</f>
        <v>1200 NAVY PENTAGON</v>
      </c>
      <c r="H529" t="str">
        <f>T("ROOM 4B514")</f>
        <v>ROOM 4B514</v>
      </c>
      <c r="I529" t="str">
        <f>T("WASHINGTON")</f>
        <v>WASHINGTON</v>
      </c>
      <c r="J529" t="str">
        <f>T("DC")</f>
        <v>DC</v>
      </c>
      <c r="K529" t="str">
        <f t="shared" si="226"/>
        <v>000000000000000000</v>
      </c>
      <c r="L529" t="str">
        <f>T("7036970250")</f>
        <v>7036970250</v>
      </c>
    </row>
    <row r="530" spans="1:12" x14ac:dyDescent="0.35">
      <c r="A530" t="str">
        <f>T("NPASE")</f>
        <v>NPASE</v>
      </c>
      <c r="B530" t="str">
        <f>T("9420 THIRD AVE")</f>
        <v>9420 THIRD AVE</v>
      </c>
      <c r="C530" t="str">
        <f>T("SUITE 100")</f>
        <v>SUITE 100</v>
      </c>
      <c r="D530" t="str">
        <f>T("NORFOLK")</f>
        <v>NORFOLK</v>
      </c>
      <c r="E530" t="str">
        <f>T("VA")</f>
        <v>VA</v>
      </c>
      <c r="F530" t="str">
        <f>T("235112131")</f>
        <v>235112131</v>
      </c>
      <c r="G530" t="str">
        <f>T("9420 THIRD AVE")</f>
        <v>9420 THIRD AVE</v>
      </c>
      <c r="H530" t="str">
        <f>T("SUITE 100")</f>
        <v>SUITE 100</v>
      </c>
      <c r="I530" t="str">
        <f>T("NORFOLK")</f>
        <v>NORFOLK</v>
      </c>
      <c r="J530" t="str">
        <f>T("VA")</f>
        <v>VA</v>
      </c>
      <c r="K530" t="str">
        <f t="shared" si="226"/>
        <v>000000000000000000</v>
      </c>
      <c r="L530" t="str">
        <f>T("7574444610")</f>
        <v>7574444610</v>
      </c>
    </row>
    <row r="531" spans="1:12" x14ac:dyDescent="0.35">
      <c r="A531" t="str">
        <f>T("NPASE")</f>
        <v>NPASE</v>
      </c>
      <c r="B531" t="str">
        <f>T("9420 THIRD AVE")</f>
        <v>9420 THIRD AVE</v>
      </c>
      <c r="C531" t="str">
        <f>T("SUITE 100")</f>
        <v>SUITE 100</v>
      </c>
      <c r="D531" t="str">
        <f>T("NORFOLK")</f>
        <v>NORFOLK</v>
      </c>
      <c r="E531" t="str">
        <f>T("VA")</f>
        <v>VA</v>
      </c>
      <c r="F531" t="str">
        <f>T("235112131")</f>
        <v>235112131</v>
      </c>
      <c r="G531" t="str">
        <f>T("9420 THIRD AVE STE 100")</f>
        <v>9420 THIRD AVE STE 100</v>
      </c>
      <c r="H531" t="str">
        <f>T("")</f>
        <v/>
      </c>
      <c r="I531" t="str">
        <f>T("NORFOLK")</f>
        <v>NORFOLK</v>
      </c>
      <c r="J531" t="str">
        <f>T("VA")</f>
        <v>VA</v>
      </c>
      <c r="K531" t="str">
        <f t="shared" si="226"/>
        <v>000000000000000000</v>
      </c>
      <c r="L531" t="str">
        <f>T("7574444616")</f>
        <v>7574444616</v>
      </c>
    </row>
    <row r="532" spans="1:12" x14ac:dyDescent="0.35">
      <c r="A532" t="str">
        <f>T("CHINFO AMS")</f>
        <v>CHINFO AMS</v>
      </c>
      <c r="B532" t="str">
        <f>T("1333 ISAAC HULL AVE SE")</f>
        <v>1333 ISAAC HULL AVE SE</v>
      </c>
      <c r="C532" t="str">
        <f>T("ATTN SEA 05H5")</f>
        <v>ATTN SEA 05H5</v>
      </c>
      <c r="D532" t="str">
        <f t="shared" ref="D532:D544" si="227">T("WASHINGTON")</f>
        <v>WASHINGTON</v>
      </c>
      <c r="E532" t="str">
        <f t="shared" ref="E532:E544" si="228">T("DC")</f>
        <v>DC</v>
      </c>
      <c r="F532" t="str">
        <f>T("203760005")</f>
        <v>203760005</v>
      </c>
      <c r="G532" t="str">
        <f>T("1333 ISAAC HULL AVE BLDG 197")</f>
        <v>1333 ISAAC HULL AVE BLDG 197</v>
      </c>
      <c r="H532" t="str">
        <f>T("")</f>
        <v/>
      </c>
      <c r="I532" t="str">
        <f>T("WASHINGTON NAVY YARD")</f>
        <v>WASHINGTON NAVY YARD</v>
      </c>
      <c r="J532" t="str">
        <f>T("DC")</f>
        <v>DC</v>
      </c>
      <c r="K532" t="str">
        <f t="shared" si="226"/>
        <v>000000000000000000</v>
      </c>
      <c r="L532" t="str">
        <f>T("2027813699")</f>
        <v>2027813699</v>
      </c>
    </row>
    <row r="533" spans="1:12" x14ac:dyDescent="0.35">
      <c r="A533" t="str">
        <f>T("CHINFO AMS")</f>
        <v>CHINFO AMS</v>
      </c>
      <c r="B533" t="str">
        <f>T("1333 ISAAC HULL AVE SE")</f>
        <v>1333 ISAAC HULL AVE SE</v>
      </c>
      <c r="C533" t="str">
        <f>T("ATTN SEA 05H5")</f>
        <v>ATTN SEA 05H5</v>
      </c>
      <c r="D533" t="str">
        <f t="shared" si="227"/>
        <v>WASHINGTON</v>
      </c>
      <c r="E533" t="str">
        <f t="shared" si="228"/>
        <v>DC</v>
      </c>
      <c r="F533" t="str">
        <f>T("203760005")</f>
        <v>203760005</v>
      </c>
      <c r="G533" t="str">
        <f>T("1333 ISAAC HULL AVE SE")</f>
        <v>1333 ISAAC HULL AVE SE</v>
      </c>
      <c r="H533" t="str">
        <f>T("ATTN SEA 05H5")</f>
        <v>ATTN SEA 05H5</v>
      </c>
      <c r="I533" t="str">
        <f>T("WASHINGTON")</f>
        <v>WASHINGTON</v>
      </c>
      <c r="J533" t="str">
        <f>T("DC")</f>
        <v>DC</v>
      </c>
      <c r="K533" t="str">
        <f t="shared" si="226"/>
        <v>000000000000000000</v>
      </c>
      <c r="L533" t="str">
        <f>T("2027811758")</f>
        <v>2027811758</v>
      </c>
    </row>
    <row r="534" spans="1:12" x14ac:dyDescent="0.35">
      <c r="A534" t="str">
        <f>T("CHINFO AMS")</f>
        <v>CHINFO AMS</v>
      </c>
      <c r="B534" t="str">
        <f>T("1333 ISAAC HULL AVE SE")</f>
        <v>1333 ISAAC HULL AVE SE</v>
      </c>
      <c r="C534" t="str">
        <f>T("ATTN SEA 05H5")</f>
        <v>ATTN SEA 05H5</v>
      </c>
      <c r="D534" t="str">
        <f t="shared" si="227"/>
        <v>WASHINGTON</v>
      </c>
      <c r="E534" t="str">
        <f t="shared" si="228"/>
        <v>DC</v>
      </c>
      <c r="F534" t="str">
        <f>T("203760005")</f>
        <v>203760005</v>
      </c>
      <c r="G534" t="str">
        <f>T("1333 ISAAC HULL AVENUE SE BLDG 197")</f>
        <v>1333 ISAAC HULL AVENUE SE BLDG 197</v>
      </c>
      <c r="H534" t="str">
        <f>T("NAVSEA SYSTEMS COMMAND")</f>
        <v>NAVSEA SYSTEMS COMMAND</v>
      </c>
      <c r="I534" t="str">
        <f>T("WASHINGTON")</f>
        <v>WASHINGTON</v>
      </c>
      <c r="J534" t="str">
        <f>T("DC")</f>
        <v>DC</v>
      </c>
      <c r="K534" t="str">
        <f t="shared" si="226"/>
        <v>000000000000000000</v>
      </c>
      <c r="L534" t="str">
        <f>T("2027815125")</f>
        <v>2027815125</v>
      </c>
    </row>
    <row r="535" spans="1:12" x14ac:dyDescent="0.35">
      <c r="A535" t="str">
        <f>T("CHINFO AMS")</f>
        <v>CHINFO AMS</v>
      </c>
      <c r="B535" t="str">
        <f>T("1333 ISAAC HULL AVE SE")</f>
        <v>1333 ISAAC HULL AVE SE</v>
      </c>
      <c r="C535" t="str">
        <f>T("ATTN SEA 05H5")</f>
        <v>ATTN SEA 05H5</v>
      </c>
      <c r="D535" t="str">
        <f t="shared" si="227"/>
        <v>WASHINGTON</v>
      </c>
      <c r="E535" t="str">
        <f t="shared" si="228"/>
        <v>DC</v>
      </c>
      <c r="F535" t="str">
        <f>T("203760005")</f>
        <v>203760005</v>
      </c>
      <c r="G535" t="str">
        <f>T("9376 3RD AVE BLDG V-64")</f>
        <v>9376 3RD AVE BLDG V-64</v>
      </c>
      <c r="H535" t="str">
        <f>T("SUITE 150")</f>
        <v>SUITE 150</v>
      </c>
      <c r="I535" t="str">
        <f>T("NORFOLK")</f>
        <v>NORFOLK</v>
      </c>
      <c r="J535" t="str">
        <f>T("VA")</f>
        <v>VA</v>
      </c>
      <c r="K535" t="str">
        <f t="shared" si="226"/>
        <v>000000000000000000</v>
      </c>
      <c r="L535" t="str">
        <f>T("7574454253")</f>
        <v>7574454253</v>
      </c>
    </row>
    <row r="536" spans="1:12" x14ac:dyDescent="0.35">
      <c r="A536" t="str">
        <f>T("CHINFO AMS")</f>
        <v>CHINFO AMS</v>
      </c>
      <c r="B536" t="str">
        <f>T("1333 ISAAC HULL AVE SE")</f>
        <v>1333 ISAAC HULL AVE SE</v>
      </c>
      <c r="C536" t="str">
        <f>T("ATTN SEA 05H5")</f>
        <v>ATTN SEA 05H5</v>
      </c>
      <c r="D536" t="str">
        <f t="shared" si="227"/>
        <v>WASHINGTON</v>
      </c>
      <c r="E536" t="str">
        <f t="shared" si="228"/>
        <v>DC</v>
      </c>
      <c r="F536" t="str">
        <f>T("203760005")</f>
        <v>203760005</v>
      </c>
      <c r="G536" t="str">
        <f>T("CHINFO FSD SAN DIEGO")</f>
        <v>CHINFO FSD SAN DIEGO</v>
      </c>
      <c r="H536" t="str">
        <f>T("4755 RAILROAD WAY STE 101")</f>
        <v>4755 RAILROAD WAY STE 101</v>
      </c>
      <c r="I536" t="str">
        <f>T("SAN DIEGO")</f>
        <v>SAN DIEGO</v>
      </c>
      <c r="J536" t="str">
        <f>T("CA")</f>
        <v>CA</v>
      </c>
      <c r="K536" t="str">
        <f>T("6197676721")</f>
        <v>6197676721</v>
      </c>
      <c r="L536" t="str">
        <f>T("6197676700")</f>
        <v>6197676700</v>
      </c>
    </row>
    <row r="537" spans="1:12" x14ac:dyDescent="0.35">
      <c r="A537" t="str">
        <f>T("CHINFO EXTERNAL")</f>
        <v>CHINFO EXTERNAL</v>
      </c>
      <c r="B537" t="str">
        <f t="shared" ref="B537:B544" si="229">T("1000 NAVY PENTAGON")</f>
        <v>1000 NAVY PENTAGON</v>
      </c>
      <c r="C537" t="str">
        <f>T("ROOM 4B463")</f>
        <v>ROOM 4B463</v>
      </c>
      <c r="D537" t="str">
        <f t="shared" si="227"/>
        <v>WASHINGTON</v>
      </c>
      <c r="E537" t="str">
        <f t="shared" si="228"/>
        <v>DC</v>
      </c>
      <c r="F537" t="str">
        <f t="shared" ref="F537:F544" si="230">T("203501000")</f>
        <v>203501000</v>
      </c>
      <c r="G537" t="str">
        <f>T("1000 NAVY PENTAGON")</f>
        <v>1000 NAVY PENTAGON</v>
      </c>
      <c r="H537" t="str">
        <f>T("ROOM 4B463")</f>
        <v>ROOM 4B463</v>
      </c>
      <c r="I537" t="str">
        <f t="shared" ref="I537:I544" si="231">T("WASHINGTON")</f>
        <v>WASHINGTON</v>
      </c>
      <c r="J537" t="str">
        <f t="shared" ref="J537:J544" si="232">T("DC")</f>
        <v>DC</v>
      </c>
      <c r="K537" t="str">
        <f>T("000000000000000000")</f>
        <v>000000000000000000</v>
      </c>
      <c r="L537" t="str">
        <f>T("7036924750")</f>
        <v>7036924750</v>
      </c>
    </row>
    <row r="538" spans="1:12" x14ac:dyDescent="0.35">
      <c r="A538" t="str">
        <f>T("CHINFO EXTERNAL")</f>
        <v>CHINFO EXTERNAL</v>
      </c>
      <c r="B538" t="str">
        <f t="shared" si="229"/>
        <v>1000 NAVY PENTAGON</v>
      </c>
      <c r="C538" t="str">
        <f>T("ROOM 4B463")</f>
        <v>ROOM 4B463</v>
      </c>
      <c r="D538" t="str">
        <f t="shared" si="227"/>
        <v>WASHINGTON</v>
      </c>
      <c r="E538" t="str">
        <f t="shared" si="228"/>
        <v>DC</v>
      </c>
      <c r="F538" t="str">
        <f t="shared" si="230"/>
        <v>203501000</v>
      </c>
      <c r="G538" t="str">
        <f>T("1200 NAVY PENTAGON")</f>
        <v>1200 NAVY PENTAGON</v>
      </c>
      <c r="H538" t="str">
        <f>T("ROOM 4B463")</f>
        <v>ROOM 4B463</v>
      </c>
      <c r="I538" t="str">
        <f t="shared" si="231"/>
        <v>WASHINGTON</v>
      </c>
      <c r="J538" t="str">
        <f t="shared" si="232"/>
        <v>DC</v>
      </c>
      <c r="K538" t="str">
        <f>T("000000000000000000")</f>
        <v>000000000000000000</v>
      </c>
      <c r="L538" t="str">
        <f>T("7036924760")</f>
        <v>7036924760</v>
      </c>
    </row>
    <row r="539" spans="1:12" x14ac:dyDescent="0.35">
      <c r="A539" t="str">
        <f>T("CHINFO EXTERNAL")</f>
        <v>CHINFO EXTERNAL</v>
      </c>
      <c r="B539" t="str">
        <f t="shared" si="229"/>
        <v>1000 NAVY PENTAGON</v>
      </c>
      <c r="C539" t="str">
        <f>T("ROOM 4B463")</f>
        <v>ROOM 4B463</v>
      </c>
      <c r="D539" t="str">
        <f t="shared" si="227"/>
        <v>WASHINGTON</v>
      </c>
      <c r="E539" t="str">
        <f t="shared" si="228"/>
        <v>DC</v>
      </c>
      <c r="F539" t="str">
        <f t="shared" si="230"/>
        <v>203501000</v>
      </c>
      <c r="G539" t="str">
        <f>T("1200 NAVY PENTAGON")</f>
        <v>1200 NAVY PENTAGON</v>
      </c>
      <c r="H539" t="str">
        <f>T("ROOM 4B514")</f>
        <v>ROOM 4B514</v>
      </c>
      <c r="I539" t="str">
        <f t="shared" si="231"/>
        <v>WASHINGTON</v>
      </c>
      <c r="J539" t="str">
        <f t="shared" si="232"/>
        <v>DC</v>
      </c>
      <c r="K539" t="str">
        <f>T("000000000000000000")</f>
        <v>000000000000000000</v>
      </c>
      <c r="L539" t="str">
        <f>T("7036970250")</f>
        <v>7036970250</v>
      </c>
    </row>
    <row r="540" spans="1:12" x14ac:dyDescent="0.35">
      <c r="A540" t="str">
        <f>T("DON OGC")</f>
        <v>DON OGC</v>
      </c>
      <c r="B540" t="str">
        <f t="shared" si="229"/>
        <v>1000 NAVY PENTAGON</v>
      </c>
      <c r="C540" t="str">
        <f>T("ROOM 5A532")</f>
        <v>ROOM 5A532</v>
      </c>
      <c r="D540" t="str">
        <f t="shared" si="227"/>
        <v>WASHINGTON</v>
      </c>
      <c r="E540" t="str">
        <f t="shared" si="228"/>
        <v>DC</v>
      </c>
      <c r="F540" t="str">
        <f t="shared" si="230"/>
        <v>203501000</v>
      </c>
      <c r="G540" t="str">
        <f>T("1000 NAVY PENTAGON")</f>
        <v>1000 NAVY PENTAGON</v>
      </c>
      <c r="H540" t="str">
        <f>T("ROOM 5A532")</f>
        <v>ROOM 5A532</v>
      </c>
      <c r="I540" t="str">
        <f t="shared" si="231"/>
        <v>WASHINGTON</v>
      </c>
      <c r="J540" t="str">
        <f t="shared" si="232"/>
        <v>DC</v>
      </c>
      <c r="K540" t="str">
        <f>T("000000000000000000")</f>
        <v>000000000000000000</v>
      </c>
      <c r="L540" t="str">
        <f>T("7036922278")</f>
        <v>7036922278</v>
      </c>
    </row>
    <row r="541" spans="1:12" x14ac:dyDescent="0.35">
      <c r="A541" t="str">
        <f>T("DON OGC")</f>
        <v>DON OGC</v>
      </c>
      <c r="B541" t="str">
        <f t="shared" si="229"/>
        <v>1000 NAVY PENTAGON</v>
      </c>
      <c r="C541" t="str">
        <f>T("ROOM 5A532")</f>
        <v>ROOM 5A532</v>
      </c>
      <c r="D541" t="str">
        <f t="shared" si="227"/>
        <v>WASHINGTON</v>
      </c>
      <c r="E541" t="str">
        <f t="shared" si="228"/>
        <v>DC</v>
      </c>
      <c r="F541" t="str">
        <f t="shared" si="230"/>
        <v>203501000</v>
      </c>
      <c r="G541" t="str">
        <f>T("1000 NAVY PENTAGON RM 5A532")</f>
        <v>1000 NAVY PENTAGON RM 5A532</v>
      </c>
      <c r="H541" t="str">
        <f>T("")</f>
        <v/>
      </c>
      <c r="I541" t="str">
        <f t="shared" si="231"/>
        <v>WASHINGTON</v>
      </c>
      <c r="J541" t="str">
        <f t="shared" si="232"/>
        <v>DC</v>
      </c>
      <c r="K541" t="str">
        <f>T("000000000000000000")</f>
        <v>000000000000000000</v>
      </c>
      <c r="L541" t="str">
        <f>T("7036972097")</f>
        <v>7036972097</v>
      </c>
    </row>
    <row r="542" spans="1:12" x14ac:dyDescent="0.35">
      <c r="A542" t="str">
        <f>T("NAVY LITIGATION OFFICE")</f>
        <v>NAVY LITIGATION OFFICE</v>
      </c>
      <c r="B542" t="str">
        <f t="shared" si="229"/>
        <v>1000 NAVY PENTAGON</v>
      </c>
      <c r="C542" t="str">
        <f>T("ROOM 5A532")</f>
        <v>ROOM 5A532</v>
      </c>
      <c r="D542" t="str">
        <f t="shared" si="227"/>
        <v>WASHINGTON</v>
      </c>
      <c r="E542" t="str">
        <f t="shared" si="228"/>
        <v>DC</v>
      </c>
      <c r="F542" t="str">
        <f t="shared" si="230"/>
        <v>203501000</v>
      </c>
      <c r="G542" t="str">
        <f>T("1000 NAVY PENTAGON")</f>
        <v>1000 NAVY PENTAGON</v>
      </c>
      <c r="H542" t="str">
        <f>T("")</f>
        <v/>
      </c>
      <c r="I542" t="str">
        <f t="shared" si="231"/>
        <v>WASHINGTON</v>
      </c>
      <c r="J542" t="str">
        <f t="shared" si="232"/>
        <v>DC</v>
      </c>
      <c r="K542" t="str">
        <f>T("7036971878")</f>
        <v>7036971878</v>
      </c>
      <c r="L542" t="str">
        <f>T("2026856966")</f>
        <v>2026856966</v>
      </c>
    </row>
    <row r="543" spans="1:12" x14ac:dyDescent="0.35">
      <c r="A543" t="str">
        <f>T("NAVY LITIGATION OFFICE")</f>
        <v>NAVY LITIGATION OFFICE</v>
      </c>
      <c r="B543" t="str">
        <f t="shared" si="229"/>
        <v>1000 NAVY PENTAGON</v>
      </c>
      <c r="C543" t="str">
        <f>T("ROOM 5A532")</f>
        <v>ROOM 5A532</v>
      </c>
      <c r="D543" t="str">
        <f t="shared" si="227"/>
        <v>WASHINGTON</v>
      </c>
      <c r="E543" t="str">
        <f t="shared" si="228"/>
        <v>DC</v>
      </c>
      <c r="F543" t="str">
        <f t="shared" si="230"/>
        <v>203501000</v>
      </c>
      <c r="G543" t="str">
        <f>T("1000 NAVY PENTAGON")</f>
        <v>1000 NAVY PENTAGON</v>
      </c>
      <c r="H543" t="str">
        <f>T("ROOM 5A532")</f>
        <v>ROOM 5A532</v>
      </c>
      <c r="I543" t="str">
        <f t="shared" si="231"/>
        <v>WASHINGTON</v>
      </c>
      <c r="J543" t="str">
        <f t="shared" si="232"/>
        <v>DC</v>
      </c>
      <c r="K543" t="str">
        <f>T("000000000000000000")</f>
        <v>000000000000000000</v>
      </c>
      <c r="L543" t="str">
        <f>T("7036922278")</f>
        <v>7036922278</v>
      </c>
    </row>
    <row r="544" spans="1:12" x14ac:dyDescent="0.35">
      <c r="A544" t="str">
        <f>T("NAVY LITIGATION OFFICE")</f>
        <v>NAVY LITIGATION OFFICE</v>
      </c>
      <c r="B544" t="str">
        <f t="shared" si="229"/>
        <v>1000 NAVY PENTAGON</v>
      </c>
      <c r="C544" t="str">
        <f>T("ROOM 5A532")</f>
        <v>ROOM 5A532</v>
      </c>
      <c r="D544" t="str">
        <f t="shared" si="227"/>
        <v>WASHINGTON</v>
      </c>
      <c r="E544" t="str">
        <f t="shared" si="228"/>
        <v>DC</v>
      </c>
      <c r="F544" t="str">
        <f t="shared" si="230"/>
        <v>203501000</v>
      </c>
      <c r="G544" t="str">
        <f>T("1000 NAVY PENTAGON RM 5A532")</f>
        <v>1000 NAVY PENTAGON RM 5A532</v>
      </c>
      <c r="H544" t="str">
        <f>T("")</f>
        <v/>
      </c>
      <c r="I544" t="str">
        <f t="shared" si="231"/>
        <v>WASHINGTON</v>
      </c>
      <c r="J544" t="str">
        <f t="shared" si="232"/>
        <v>DC</v>
      </c>
      <c r="K544" t="str">
        <f>T("7036971878")</f>
        <v>7036971878</v>
      </c>
      <c r="L544" t="str">
        <f>T("2026856966")</f>
        <v>2026856966</v>
      </c>
    </row>
    <row r="545" spans="1:12" x14ac:dyDescent="0.35">
      <c r="A545" t="str">
        <f>T("BCNR")</f>
        <v>BCNR</v>
      </c>
      <c r="B545" t="str">
        <f>T("701 S COURTHOUSE RD BLDG 140")</f>
        <v>701 S COURTHOUSE RD BLDG 140</v>
      </c>
      <c r="C545" t="str">
        <f>T("")</f>
        <v/>
      </c>
      <c r="D545" t="str">
        <f>T("ARLINGTON")</f>
        <v>ARLINGTON</v>
      </c>
      <c r="E545" t="str">
        <f>T("VA")</f>
        <v>VA</v>
      </c>
      <c r="F545" t="str">
        <f>T("222042190")</f>
        <v>222042190</v>
      </c>
      <c r="G545" t="str">
        <f>T("701 S COURTHOUSE RD")</f>
        <v>701 S COURTHOUSE RD</v>
      </c>
      <c r="H545" t="str">
        <f>T("BE140")</f>
        <v>BE140</v>
      </c>
      <c r="I545" t="str">
        <f>T("ARLINGTON")</f>
        <v>ARLINGTON</v>
      </c>
      <c r="J545" t="str">
        <f>T("VA")</f>
        <v>VA</v>
      </c>
      <c r="K545" t="str">
        <f>T("000000000000000000")</f>
        <v>000000000000000000</v>
      </c>
      <c r="L545" t="str">
        <f>T("7036046884")</f>
        <v>7036046884</v>
      </c>
    </row>
    <row r="546" spans="1:12" x14ac:dyDescent="0.35">
      <c r="A546" t="str">
        <f>T("BCNR")</f>
        <v>BCNR</v>
      </c>
      <c r="B546" t="str">
        <f>T("701 S COURTHOUSE RD BLDG 140")</f>
        <v>701 S COURTHOUSE RD BLDG 140</v>
      </c>
      <c r="C546" t="str">
        <f>T("")</f>
        <v/>
      </c>
      <c r="D546" t="str">
        <f>T("ARLINGTON")</f>
        <v>ARLINGTON</v>
      </c>
      <c r="E546" t="str">
        <f>T("VA")</f>
        <v>VA</v>
      </c>
      <c r="F546" t="str">
        <f>T("222042190")</f>
        <v>222042190</v>
      </c>
      <c r="G546" t="str">
        <f>T("701 S COURTHOUSE RD BLDG 140")</f>
        <v>701 S COURTHOUSE RD BLDG 140</v>
      </c>
      <c r="H546" t="str">
        <f>T("")</f>
        <v/>
      </c>
      <c r="I546" t="str">
        <f>T("ARLINGTON")</f>
        <v>ARLINGTON</v>
      </c>
      <c r="J546" t="str">
        <f>T("VA")</f>
        <v>VA</v>
      </c>
      <c r="K546" t="str">
        <f>T("000000000000000000")</f>
        <v>000000000000000000</v>
      </c>
      <c r="L546" t="str">
        <f>T("7036043417")</f>
        <v>7036043417</v>
      </c>
    </row>
    <row r="547" spans="1:12" x14ac:dyDescent="0.35">
      <c r="A547" t="str">
        <f>T("ASN M&amp;RA")</f>
        <v>ASN M&amp;RA</v>
      </c>
      <c r="B547" t="str">
        <f>T("1000 NAVY PENTAGON")</f>
        <v>1000 NAVY PENTAGON</v>
      </c>
      <c r="C547" t="str">
        <f>T("ROOM 4E590")</f>
        <v>ROOM 4E590</v>
      </c>
      <c r="D547" t="str">
        <f>T("WASHINGTON")</f>
        <v>WASHINGTON</v>
      </c>
      <c r="E547" t="str">
        <f t="shared" ref="E547:E554" si="233">T("DC")</f>
        <v>DC</v>
      </c>
      <c r="F547" t="str">
        <f>T("203501000")</f>
        <v>203501000</v>
      </c>
      <c r="G547" t="str">
        <f>T("1000 NAVY PENTAGON")</f>
        <v>1000 NAVY PENTAGON</v>
      </c>
      <c r="H547" t="str">
        <f>T("RM 4E590")</f>
        <v>RM 4E590</v>
      </c>
      <c r="I547" t="str">
        <f>T("WASHINGTON")</f>
        <v>WASHINGTON</v>
      </c>
      <c r="J547" t="str">
        <f>T("DC")</f>
        <v>DC</v>
      </c>
      <c r="K547" t="str">
        <f>T("7036971457")</f>
        <v>7036971457</v>
      </c>
      <c r="L547" t="str">
        <f>T("7036954367")</f>
        <v>7036954367</v>
      </c>
    </row>
    <row r="548" spans="1:12" x14ac:dyDescent="0.35">
      <c r="A548" t="str">
        <f>T("ASN M&amp;RA")</f>
        <v>ASN M&amp;RA</v>
      </c>
      <c r="B548" t="str">
        <f>T("1000 NAVY PENTAGON")</f>
        <v>1000 NAVY PENTAGON</v>
      </c>
      <c r="C548" t="str">
        <f>T("ROOM 4E590")</f>
        <v>ROOM 4E590</v>
      </c>
      <c r="D548" t="str">
        <f>T("WASHINGTON")</f>
        <v>WASHINGTON</v>
      </c>
      <c r="E548" t="str">
        <f t="shared" si="233"/>
        <v>DC</v>
      </c>
      <c r="F548" t="str">
        <f>T("203501000")</f>
        <v>203501000</v>
      </c>
      <c r="G548" t="str">
        <f>T("1000 NAVY PENTAGON")</f>
        <v>1000 NAVY PENTAGON</v>
      </c>
      <c r="H548" t="str">
        <f>T("ROOM 4E590")</f>
        <v>ROOM 4E590</v>
      </c>
      <c r="I548" t="str">
        <f>T("WASHINGTON")</f>
        <v>WASHINGTON</v>
      </c>
      <c r="J548" t="str">
        <f>T("DC")</f>
        <v>DC</v>
      </c>
      <c r="K548" t="str">
        <f>T("000000000000000000")</f>
        <v>000000000000000000</v>
      </c>
      <c r="L548" t="str">
        <f>T("7036144439")</f>
        <v>7036144439</v>
      </c>
    </row>
    <row r="549" spans="1:12" x14ac:dyDescent="0.35">
      <c r="A549" t="str">
        <f>T("ASN M&amp;RA")</f>
        <v>ASN M&amp;RA</v>
      </c>
      <c r="B549" t="str">
        <f>T("1000 NAVY PENTAGON")</f>
        <v>1000 NAVY PENTAGON</v>
      </c>
      <c r="C549" t="str">
        <f>T("ROOM 4E590")</f>
        <v>ROOM 4E590</v>
      </c>
      <c r="D549" t="str">
        <f>T("WASHINGTON")</f>
        <v>WASHINGTON</v>
      </c>
      <c r="E549" t="str">
        <f t="shared" si="233"/>
        <v>DC</v>
      </c>
      <c r="F549" t="str">
        <f>T("203501000")</f>
        <v>203501000</v>
      </c>
      <c r="G549" t="str">
        <f>T("1000 NAVY PENTAGON")</f>
        <v>1000 NAVY PENTAGON</v>
      </c>
      <c r="H549" t="str">
        <f>T("ROOM 4E590")</f>
        <v>ROOM 4E590</v>
      </c>
      <c r="I549" t="str">
        <f>T("WASHINGTON")</f>
        <v>WASHINGTON</v>
      </c>
      <c r="J549" t="str">
        <f>T("DC")</f>
        <v>DC</v>
      </c>
      <c r="K549" t="str">
        <f>T("000000000000000000")</f>
        <v>000000000000000000</v>
      </c>
      <c r="L549" t="str">
        <f>T("7036956472")</f>
        <v>7036956472</v>
      </c>
    </row>
    <row r="550" spans="1:12" x14ac:dyDescent="0.35">
      <c r="A550" t="str">
        <f>T("ASN M&amp;RA")</f>
        <v>ASN M&amp;RA</v>
      </c>
      <c r="B550" t="str">
        <f>T("1000 NAVY PENTAGON")</f>
        <v>1000 NAVY PENTAGON</v>
      </c>
      <c r="C550" t="str">
        <f>T("ROOM 4E590")</f>
        <v>ROOM 4E590</v>
      </c>
      <c r="D550" t="str">
        <f>T("WASHINGTON")</f>
        <v>WASHINGTON</v>
      </c>
      <c r="E550" t="str">
        <f t="shared" si="233"/>
        <v>DC</v>
      </c>
      <c r="F550" t="str">
        <f>T("203501000")</f>
        <v>203501000</v>
      </c>
      <c r="G550" t="str">
        <f>T("201 12TH ST S STE 701A")</f>
        <v>201 12TH ST S STE 701A</v>
      </c>
      <c r="H550" t="str">
        <f>T("")</f>
        <v/>
      </c>
      <c r="I550" t="str">
        <f>T("ARLINGTON")</f>
        <v>ARLINGTON</v>
      </c>
      <c r="J550" t="str">
        <f>T("VA")</f>
        <v>VA</v>
      </c>
      <c r="K550" t="str">
        <f>T("000000000000000000")</f>
        <v>000000000000000000</v>
      </c>
      <c r="L550" t="str">
        <f>T("7036010502")</f>
        <v>7036010502</v>
      </c>
    </row>
    <row r="551" spans="1:12" x14ac:dyDescent="0.35">
      <c r="A551" t="str">
        <f>T("SECNAV CORB")</f>
        <v>SECNAV CORB</v>
      </c>
      <c r="B551" t="str">
        <f>T("720 KENNON ST SE")</f>
        <v>720 KENNON ST SE</v>
      </c>
      <c r="C551" t="str">
        <f>T("STE 309")</f>
        <v>STE 309</v>
      </c>
      <c r="D551" t="str">
        <f>T("WASHINGTON NAVY YARD")</f>
        <v>WASHINGTON NAVY YARD</v>
      </c>
      <c r="E551" t="str">
        <f t="shared" si="233"/>
        <v>DC</v>
      </c>
      <c r="F551" t="str">
        <f>T("203745023")</f>
        <v>203745023</v>
      </c>
      <c r="G551" t="str">
        <f>T("720 KENNON ST SE")</f>
        <v>720 KENNON ST SE</v>
      </c>
      <c r="H551" t="str">
        <f>T("STE 309")</f>
        <v>STE 309</v>
      </c>
      <c r="I551" t="str">
        <f>T("WASHINGTON NAVY YARD")</f>
        <v>WASHINGTON NAVY YARD</v>
      </c>
      <c r="J551" t="str">
        <f>T("DC")</f>
        <v>DC</v>
      </c>
      <c r="K551" t="str">
        <f>T("000000000000000000")</f>
        <v>000000000000000000</v>
      </c>
      <c r="L551" t="str">
        <f>T("2026856402")</f>
        <v>2026856402</v>
      </c>
    </row>
    <row r="552" spans="1:12" x14ac:dyDescent="0.35">
      <c r="A552" t="str">
        <f>T("SECNAV CORB")</f>
        <v>SECNAV CORB</v>
      </c>
      <c r="B552" t="str">
        <f>T("720 KENNON ST SE")</f>
        <v>720 KENNON ST SE</v>
      </c>
      <c r="C552" t="str">
        <f>T("STE 309")</f>
        <v>STE 309</v>
      </c>
      <c r="D552" t="str">
        <f>T("WASHINGTON NAVY YARD")</f>
        <v>WASHINGTON NAVY YARD</v>
      </c>
      <c r="E552" t="str">
        <f t="shared" si="233"/>
        <v>DC</v>
      </c>
      <c r="F552" t="str">
        <f>T("203745023")</f>
        <v>203745023</v>
      </c>
      <c r="G552" t="str">
        <f>T("720 KENNON ST SE")</f>
        <v>720 KENNON ST SE</v>
      </c>
      <c r="H552" t="str">
        <f>T("STE NO 309")</f>
        <v>STE NO 309</v>
      </c>
      <c r="I552" t="str">
        <f>T("WASHINGTON NAVY YARD")</f>
        <v>WASHINGTON NAVY YARD</v>
      </c>
      <c r="J552" t="str">
        <f>T("DC")</f>
        <v>DC</v>
      </c>
      <c r="K552" t="str">
        <f>T("000000000000000000")</f>
        <v>000000000000000000</v>
      </c>
      <c r="L552" t="str">
        <f>T("2026856405")</f>
        <v>2026856405</v>
      </c>
    </row>
    <row r="553" spans="1:12" x14ac:dyDescent="0.35">
      <c r="A553" t="str">
        <f>T("JGPO")</f>
        <v>JGPO</v>
      </c>
      <c r="B553" t="str">
        <f>T("1000 NAVY PENTAGON")</f>
        <v>1000 NAVY PENTAGON</v>
      </c>
      <c r="C553" t="str">
        <f>T("ROOM 4E739")</f>
        <v>ROOM 4E739</v>
      </c>
      <c r="D553" t="str">
        <f>T("WASHINGTON")</f>
        <v>WASHINGTON</v>
      </c>
      <c r="E553" t="str">
        <f t="shared" si="233"/>
        <v>DC</v>
      </c>
      <c r="F553" t="str">
        <f>T("203501000")</f>
        <v>203501000</v>
      </c>
      <c r="G553" t="str">
        <f>T("1000 NAVY PENTAGON")</f>
        <v>1000 NAVY PENTAGON</v>
      </c>
      <c r="H553" t="str">
        <f>T("4E739")</f>
        <v>4E739</v>
      </c>
      <c r="I553" t="str">
        <f>T("WASHINGTON")</f>
        <v>WASHINGTON</v>
      </c>
      <c r="J553" t="str">
        <f>T("DC")</f>
        <v>DC</v>
      </c>
      <c r="K553" t="str">
        <f>T("7036025564")</f>
        <v>7036025564</v>
      </c>
      <c r="L553" t="str">
        <f>T("7036028008")</f>
        <v>7036028008</v>
      </c>
    </row>
    <row r="554" spans="1:12" x14ac:dyDescent="0.35">
      <c r="A554" t="str">
        <f>T("JGPO")</f>
        <v>JGPO</v>
      </c>
      <c r="B554" t="str">
        <f>T("1000 NAVY PENTAGON")</f>
        <v>1000 NAVY PENTAGON</v>
      </c>
      <c r="C554" t="str">
        <f>T("ROOM 4E739")</f>
        <v>ROOM 4E739</v>
      </c>
      <c r="D554" t="str">
        <f>T("WASHINGTON")</f>
        <v>WASHINGTON</v>
      </c>
      <c r="E554" t="str">
        <f t="shared" si="233"/>
        <v>DC</v>
      </c>
      <c r="F554" t="str">
        <f>T("203501000")</f>
        <v>203501000</v>
      </c>
      <c r="G554" t="str">
        <f>T("1000 NAVY PENTAGON")</f>
        <v>1000 NAVY PENTAGON</v>
      </c>
      <c r="H554" t="str">
        <f>T("ROOM 4E739")</f>
        <v>ROOM 4E739</v>
      </c>
      <c r="I554" t="str">
        <f>T("WASHINGTON")</f>
        <v>WASHINGTON</v>
      </c>
      <c r="J554" t="str">
        <f>T("DC")</f>
        <v>DC</v>
      </c>
      <c r="K554" t="str">
        <f>T("000000000000000000")</f>
        <v>000000000000000000</v>
      </c>
      <c r="L554" t="str">
        <f>T("7036023041")</f>
        <v>7036023041</v>
      </c>
    </row>
    <row r="555" spans="1:12" x14ac:dyDescent="0.35">
      <c r="A555" t="str">
        <f>T("JGPO")</f>
        <v>JGPO</v>
      </c>
      <c r="B555" t="str">
        <f>T("2221 SOUTH CLARK STREET")</f>
        <v>2221 SOUTH CLARK STREET</v>
      </c>
      <c r="C555" t="str">
        <f>T("SUITE 900")</f>
        <v>SUITE 900</v>
      </c>
      <c r="D555" t="str">
        <f>T("ARLINGTON")</f>
        <v>ARLINGTON</v>
      </c>
      <c r="E555" t="str">
        <f>T("VA")</f>
        <v>VA</v>
      </c>
      <c r="F555" t="str">
        <f>T("222023742")</f>
        <v>222023742</v>
      </c>
      <c r="G555" t="str">
        <f>T("2221 SOUTH CLARK STREET")</f>
        <v>2221 SOUTH CLARK STREET</v>
      </c>
      <c r="H555" t="str">
        <f>T("SUITE 900")</f>
        <v>SUITE 900</v>
      </c>
      <c r="I555" t="str">
        <f>T("ARLINGTON")</f>
        <v>ARLINGTON</v>
      </c>
      <c r="J555" t="str">
        <f>T("VA")</f>
        <v>VA</v>
      </c>
      <c r="K555" t="str">
        <f>T("000000000000000000")</f>
        <v>000000000000000000</v>
      </c>
      <c r="L555" t="str">
        <f>T("7036023041")</f>
        <v>7036023041</v>
      </c>
    </row>
    <row r="556" spans="1:12" x14ac:dyDescent="0.35">
      <c r="A556" t="str">
        <f>T("ASN EI&amp;E")</f>
        <v>ASN EI&amp;E</v>
      </c>
      <c r="B556" t="str">
        <f>T("1000 NAVY PENTAGON")</f>
        <v>1000 NAVY PENTAGON</v>
      </c>
      <c r="C556" t="str">
        <f>T("RM 4E739")</f>
        <v>RM 4E739</v>
      </c>
      <c r="D556" t="str">
        <f>T("WASHINGTON")</f>
        <v>WASHINGTON</v>
      </c>
      <c r="E556" t="str">
        <f>T("DC")</f>
        <v>DC</v>
      </c>
      <c r="F556" t="str">
        <f>T("203501000")</f>
        <v>203501000</v>
      </c>
      <c r="G556" t="str">
        <f>T("1000 NAVY PENTAGON")</f>
        <v>1000 NAVY PENTAGON</v>
      </c>
      <c r="H556" t="str">
        <f>T("RM 4E739")</f>
        <v>RM 4E739</v>
      </c>
      <c r="I556" t="str">
        <f>T("WASHINGTON")</f>
        <v>WASHINGTON</v>
      </c>
      <c r="J556" t="str">
        <f>T("DC")</f>
        <v>DC</v>
      </c>
      <c r="K556" t="str">
        <f>T("000000000000000000")</f>
        <v>000000000000000000</v>
      </c>
      <c r="L556" t="str">
        <f>T("7036934531")</f>
        <v>7036934531</v>
      </c>
    </row>
    <row r="557" spans="1:12" x14ac:dyDescent="0.35">
      <c r="A557" t="str">
        <f>T("ASN EI&amp;E")</f>
        <v>ASN EI&amp;E</v>
      </c>
      <c r="B557" t="str">
        <f>T("1000 NAVY PENTAGON")</f>
        <v>1000 NAVY PENTAGON</v>
      </c>
      <c r="C557" t="str">
        <f>T("RM 4E739")</f>
        <v>RM 4E739</v>
      </c>
      <c r="D557" t="str">
        <f>T("WASHINGTON")</f>
        <v>WASHINGTON</v>
      </c>
      <c r="E557" t="str">
        <f>T("DC")</f>
        <v>DC</v>
      </c>
      <c r="F557" t="str">
        <f>T("203501000")</f>
        <v>203501000</v>
      </c>
      <c r="G557" t="str">
        <f>T("1000 NAVY PENTAGON")</f>
        <v>1000 NAVY PENTAGON</v>
      </c>
      <c r="H557" t="str">
        <f>T("RM 4E739")</f>
        <v>RM 4E739</v>
      </c>
      <c r="I557" t="str">
        <f>T("WASHINGTON")</f>
        <v>WASHINGTON</v>
      </c>
      <c r="J557" t="str">
        <f>T("DC")</f>
        <v>DC</v>
      </c>
      <c r="K557" t="str">
        <f>T("7036931165")</f>
        <v>7036931165</v>
      </c>
      <c r="L557" t="str">
        <f>T("7036934528")</f>
        <v>7036934528</v>
      </c>
    </row>
    <row r="558" spans="1:12" x14ac:dyDescent="0.35">
      <c r="A558" t="str">
        <f>T("ASN EI&amp;E")</f>
        <v>ASN EI&amp;E</v>
      </c>
      <c r="B558" t="str">
        <f>T("1000 NAVY PENTAGON")</f>
        <v>1000 NAVY PENTAGON</v>
      </c>
      <c r="C558" t="str">
        <f>T("RM 4E739")</f>
        <v>RM 4E739</v>
      </c>
      <c r="D558" t="str">
        <f>T("WASHINGTON")</f>
        <v>WASHINGTON</v>
      </c>
      <c r="E558" t="str">
        <f>T("DC")</f>
        <v>DC</v>
      </c>
      <c r="F558" t="str">
        <f>T("203501000")</f>
        <v>203501000</v>
      </c>
      <c r="G558" t="str">
        <f>T("1000 NAVY PENTAGON RM 4E739")</f>
        <v>1000 NAVY PENTAGON RM 4E739</v>
      </c>
      <c r="H558" t="str">
        <f>T("")</f>
        <v/>
      </c>
      <c r="I558" t="str">
        <f>T("WASHINGTON")</f>
        <v>WASHINGTON</v>
      </c>
      <c r="J558" t="str">
        <f>T("DC")</f>
        <v>DC</v>
      </c>
      <c r="K558" t="str">
        <f>T("7036931165")</f>
        <v>7036931165</v>
      </c>
      <c r="L558" t="str">
        <f>T("7036145516")</f>
        <v>7036145516</v>
      </c>
    </row>
    <row r="559" spans="1:12" x14ac:dyDescent="0.35">
      <c r="A559" t="str">
        <f>T("ASN EI&amp;E")</f>
        <v>ASN EI&amp;E</v>
      </c>
      <c r="B559" t="str">
        <f>T("1000 NAVY PENTAGON")</f>
        <v>1000 NAVY PENTAGON</v>
      </c>
      <c r="C559" t="str">
        <f>T("RM 4E739")</f>
        <v>RM 4E739</v>
      </c>
      <c r="D559" t="str">
        <f>T("WASHINGTON")</f>
        <v>WASHINGTON</v>
      </c>
      <c r="E559" t="str">
        <f>T("DC")</f>
        <v>DC</v>
      </c>
      <c r="F559" t="str">
        <f>T("203501000")</f>
        <v>203501000</v>
      </c>
      <c r="G559" t="str">
        <f>T("1000 NAVY PENTAGON RM 4E739")</f>
        <v>1000 NAVY PENTAGON RM 4E739</v>
      </c>
      <c r="H559" t="str">
        <f>T("")</f>
        <v/>
      </c>
      <c r="I559" t="str">
        <f>T("WASHINGTON")</f>
        <v>WASHINGTON</v>
      </c>
      <c r="J559" t="str">
        <f>T("DC")</f>
        <v>DC</v>
      </c>
      <c r="K559" t="str">
        <f>T("7036931165")</f>
        <v>7036931165</v>
      </c>
      <c r="L559" t="str">
        <f>T("7036970921")</f>
        <v>7036970921</v>
      </c>
    </row>
    <row r="560" spans="1:12" x14ac:dyDescent="0.35">
      <c r="A560" t="str">
        <f>T("NACC")</f>
        <v>NACC</v>
      </c>
      <c r="B560" t="str">
        <f>T("PO BOX 2033 5450 CARLISLE PIKE")</f>
        <v>PO BOX 2033 5450 CARLISLE PIKE</v>
      </c>
      <c r="C560" t="str">
        <f>T("BLDG 214")</f>
        <v>BLDG 214</v>
      </c>
      <c r="D560" t="str">
        <f>T("MECHANICSBURG")</f>
        <v>MECHANICSBURG</v>
      </c>
      <c r="E560" t="str">
        <f>T("PA")</f>
        <v>PA</v>
      </c>
      <c r="F560" t="str">
        <f>T("170550784")</f>
        <v>170550784</v>
      </c>
      <c r="G560" t="str">
        <f>T("PO BOX 2033")</f>
        <v>PO BOX 2033</v>
      </c>
      <c r="H560" t="str">
        <f>T("5450 CARLISLE PIKE")</f>
        <v>5450 CARLISLE PIKE</v>
      </c>
      <c r="I560" t="str">
        <f>T("MECHANICSBURG")</f>
        <v>MECHANICSBURG</v>
      </c>
      <c r="J560" t="str">
        <f>T("PA")</f>
        <v>PA</v>
      </c>
      <c r="K560" t="str">
        <f>T("7176051980")</f>
        <v>7176051980</v>
      </c>
      <c r="L560" t="str">
        <f>T("7176052714")</f>
        <v>7176052714</v>
      </c>
    </row>
    <row r="561" spans="1:12" x14ac:dyDescent="0.35">
      <c r="A561" t="str">
        <f>T("NACC")</f>
        <v>NACC</v>
      </c>
      <c r="B561" t="str">
        <f>T("PO BOX 2033 5450 CARLISLE PIKE")</f>
        <v>PO BOX 2033 5450 CARLISLE PIKE</v>
      </c>
      <c r="C561" t="str">
        <f>T("BLDG 214")</f>
        <v>BLDG 214</v>
      </c>
      <c r="D561" t="str">
        <f>T("MECHANICSBURG")</f>
        <v>MECHANICSBURG</v>
      </c>
      <c r="E561" t="str">
        <f>T("PA")</f>
        <v>PA</v>
      </c>
      <c r="F561" t="str">
        <f>T("170550784")</f>
        <v>170550784</v>
      </c>
      <c r="G561" t="str">
        <f>T("PO BOX 2033 5450 CARLISLE PIKE")</f>
        <v>PO BOX 2033 5450 CARLISLE PIKE</v>
      </c>
      <c r="H561" t="str">
        <f>T("BLDG 214")</f>
        <v>BLDG 214</v>
      </c>
      <c r="I561" t="str">
        <f>T("MECHANICSBURG")</f>
        <v>MECHANICSBURG</v>
      </c>
      <c r="J561" t="str">
        <f>T("PA")</f>
        <v>PA</v>
      </c>
      <c r="K561" t="str">
        <f t="shared" ref="K561:K566" si="234">T("000000000000000000")</f>
        <v>000000000000000000</v>
      </c>
      <c r="L561" t="str">
        <f>T("7176052668")</f>
        <v>7176052668</v>
      </c>
    </row>
    <row r="562" spans="1:12" x14ac:dyDescent="0.35">
      <c r="A562" t="str">
        <f>T("ASN RD&amp;A")</f>
        <v>ASN RD&amp;A</v>
      </c>
      <c r="B562" t="str">
        <f>T("1000 NAVY PENTAGON")</f>
        <v>1000 NAVY PENTAGON</v>
      </c>
      <c r="C562" t="str">
        <f>T("RM 4C656")</f>
        <v>RM 4C656</v>
      </c>
      <c r="D562" t="str">
        <f>T("WASHINGTON")</f>
        <v>WASHINGTON</v>
      </c>
      <c r="E562" t="str">
        <f t="shared" ref="E562:E571" si="235">T("DC")</f>
        <v>DC</v>
      </c>
      <c r="F562" t="str">
        <f>T("203501000")</f>
        <v>203501000</v>
      </c>
      <c r="G562" t="str">
        <f>T("1000 NAVY PENTAGON")</f>
        <v>1000 NAVY PENTAGON</v>
      </c>
      <c r="H562" t="str">
        <f>T("RM 4C656")</f>
        <v>RM 4C656</v>
      </c>
      <c r="I562" t="str">
        <f>T("WASHINGTON")</f>
        <v>WASHINGTON</v>
      </c>
      <c r="J562" t="str">
        <f t="shared" ref="J562:J571" si="236">T("DC")</f>
        <v>DC</v>
      </c>
      <c r="K562" t="str">
        <f t="shared" si="234"/>
        <v>000000000000000000</v>
      </c>
      <c r="L562" t="str">
        <f>T("7036143839")</f>
        <v>7036143839</v>
      </c>
    </row>
    <row r="563" spans="1:12" x14ac:dyDescent="0.35">
      <c r="A563" t="str">
        <f>T("ASN RD&amp;A")</f>
        <v>ASN RD&amp;A</v>
      </c>
      <c r="B563" t="str">
        <f>T("1000 NAVY PENTAGON")</f>
        <v>1000 NAVY PENTAGON</v>
      </c>
      <c r="C563" t="str">
        <f>T("RM 4C656")</f>
        <v>RM 4C656</v>
      </c>
      <c r="D563" t="str">
        <f>T("WASHINGTON")</f>
        <v>WASHINGTON</v>
      </c>
      <c r="E563" t="str">
        <f t="shared" si="235"/>
        <v>DC</v>
      </c>
      <c r="F563" t="str">
        <f>T("203501000")</f>
        <v>203501000</v>
      </c>
      <c r="G563" t="str">
        <f>T("1000 NAVY PENTAGON")</f>
        <v>1000 NAVY PENTAGON</v>
      </c>
      <c r="H563" t="str">
        <f>T("RM 4C656")</f>
        <v>RM 4C656</v>
      </c>
      <c r="I563" t="str">
        <f>T("WASHINGTON")</f>
        <v>WASHINGTON</v>
      </c>
      <c r="J563" t="str">
        <f t="shared" si="236"/>
        <v>DC</v>
      </c>
      <c r="K563" t="str">
        <f t="shared" si="234"/>
        <v>000000000000000000</v>
      </c>
      <c r="L563" t="str">
        <f>T("7036145316")</f>
        <v>7036145316</v>
      </c>
    </row>
    <row r="564" spans="1:12" x14ac:dyDescent="0.35">
      <c r="A564" t="str">
        <f>T("ASN RD&amp;A")</f>
        <v>ASN RD&amp;A</v>
      </c>
      <c r="B564" t="str">
        <f>T("1000 NAVY PENTAGON")</f>
        <v>1000 NAVY PENTAGON</v>
      </c>
      <c r="C564" t="str">
        <f>T("RM 4C656")</f>
        <v>RM 4C656</v>
      </c>
      <c r="D564" t="str">
        <f>T("WASHINGTON")</f>
        <v>WASHINGTON</v>
      </c>
      <c r="E564" t="str">
        <f t="shared" si="235"/>
        <v>DC</v>
      </c>
      <c r="F564" t="str">
        <f>T("203501000")</f>
        <v>203501000</v>
      </c>
      <c r="G564" t="str">
        <f>T("1000 NAVY PENTAGON")</f>
        <v>1000 NAVY PENTAGON</v>
      </c>
      <c r="H564" t="str">
        <f>T("RM BF992A")</f>
        <v>RM BF992A</v>
      </c>
      <c r="I564" t="str">
        <f>T("WASHINGTON")</f>
        <v>WASHINGTON</v>
      </c>
      <c r="J564" t="str">
        <f t="shared" si="236"/>
        <v>DC</v>
      </c>
      <c r="K564" t="str">
        <f t="shared" si="234"/>
        <v>000000000000000000</v>
      </c>
      <c r="L564" t="str">
        <f>T("7036149600")</f>
        <v>7036149600</v>
      </c>
    </row>
    <row r="565" spans="1:12" x14ac:dyDescent="0.35">
      <c r="A565" t="str">
        <f>T("NIPO")</f>
        <v>NIPO</v>
      </c>
      <c r="B565" t="str">
        <f>T("1250 10TH ST SE")</f>
        <v>1250 10TH ST SE</v>
      </c>
      <c r="C565" t="str">
        <f>T("")</f>
        <v/>
      </c>
      <c r="D565" t="str">
        <f>T("WASHINGTON NA")</f>
        <v>WASHINGTON NA</v>
      </c>
      <c r="E565" t="str">
        <f t="shared" si="235"/>
        <v>DC</v>
      </c>
      <c r="F565" t="str">
        <f>T("203745115")</f>
        <v>203745115</v>
      </c>
      <c r="G565" t="str">
        <f>T("1250 10TH ST S E")</f>
        <v>1250 10TH ST S E</v>
      </c>
      <c r="H565" t="str">
        <f>T("")</f>
        <v/>
      </c>
      <c r="I565" t="str">
        <f>T("WASHINGTON")</f>
        <v>WASHINGTON</v>
      </c>
      <c r="J565" t="str">
        <f t="shared" si="236"/>
        <v>DC</v>
      </c>
      <c r="K565" t="str">
        <f t="shared" si="234"/>
        <v>000000000000000000</v>
      </c>
      <c r="L565" t="str">
        <f>T("2024335628")</f>
        <v>2024335628</v>
      </c>
    </row>
    <row r="566" spans="1:12" x14ac:dyDescent="0.35">
      <c r="A566" t="str">
        <f>T("NIPO")</f>
        <v>NIPO</v>
      </c>
      <c r="B566" t="str">
        <f>T("1250 10TH ST SE")</f>
        <v>1250 10TH ST SE</v>
      </c>
      <c r="C566" t="str">
        <f>T("")</f>
        <v/>
      </c>
      <c r="D566" t="str">
        <f>T("WASHINGTON NA")</f>
        <v>WASHINGTON NA</v>
      </c>
      <c r="E566" t="str">
        <f t="shared" si="235"/>
        <v>DC</v>
      </c>
      <c r="F566" t="str">
        <f>T("203745115")</f>
        <v>203745115</v>
      </c>
      <c r="G566" t="str">
        <f>T("1250 10TH ST SE")</f>
        <v>1250 10TH ST SE</v>
      </c>
      <c r="H566" t="str">
        <f>T("")</f>
        <v/>
      </c>
      <c r="I566" t="str">
        <f>T("WASHINGTON NA")</f>
        <v>WASHINGTON NA</v>
      </c>
      <c r="J566" t="str">
        <f t="shared" si="236"/>
        <v>DC</v>
      </c>
      <c r="K566" t="str">
        <f t="shared" si="234"/>
        <v>000000000000000000</v>
      </c>
      <c r="L566" t="str">
        <f>T("2024335604")</f>
        <v>2024335604</v>
      </c>
    </row>
    <row r="567" spans="1:12" x14ac:dyDescent="0.35">
      <c r="A567" t="str">
        <f>T("NIPO")</f>
        <v>NIPO</v>
      </c>
      <c r="B567" t="str">
        <f>T("1250 10TH ST SE")</f>
        <v>1250 10TH ST SE</v>
      </c>
      <c r="C567" t="str">
        <f>T("")</f>
        <v/>
      </c>
      <c r="D567" t="str">
        <f>T("WASHINGTON NA")</f>
        <v>WASHINGTON NA</v>
      </c>
      <c r="E567" t="str">
        <f t="shared" si="235"/>
        <v>DC</v>
      </c>
      <c r="F567" t="str">
        <f>T("203745115")</f>
        <v>203745115</v>
      </c>
      <c r="G567" t="str">
        <f>T("1250 10TH ST SE")</f>
        <v>1250 10TH ST SE</v>
      </c>
      <c r="H567" t="str">
        <f>T("STE 2000")</f>
        <v>STE 2000</v>
      </c>
      <c r="I567" t="str">
        <f>T("WASHINGTON NAVY YARD")</f>
        <v>WASHINGTON NAVY YARD</v>
      </c>
      <c r="J567" t="str">
        <f t="shared" si="236"/>
        <v>DC</v>
      </c>
      <c r="K567" t="str">
        <f>T("2024336667")</f>
        <v>2024336667</v>
      </c>
      <c r="L567" t="str">
        <f>T("2024335620")</f>
        <v>2024335620</v>
      </c>
    </row>
    <row r="568" spans="1:12" x14ac:dyDescent="0.35">
      <c r="A568" t="str">
        <f>T("NIPO")</f>
        <v>NIPO</v>
      </c>
      <c r="B568" t="str">
        <f>T("1250 10TH ST SE")</f>
        <v>1250 10TH ST SE</v>
      </c>
      <c r="C568" t="str">
        <f>T("")</f>
        <v/>
      </c>
      <c r="D568" t="str">
        <f>T("WASHINGTON NA")</f>
        <v>WASHINGTON NA</v>
      </c>
      <c r="E568" t="str">
        <f t="shared" si="235"/>
        <v>DC</v>
      </c>
      <c r="F568" t="str">
        <f>T("203745115")</f>
        <v>203745115</v>
      </c>
      <c r="G568" t="str">
        <f>T("1250 10TH ST SE")</f>
        <v>1250 10TH ST SE</v>
      </c>
      <c r="H568" t="str">
        <f>T("STE 2000")</f>
        <v>STE 2000</v>
      </c>
      <c r="I568" t="str">
        <f>T("WASHINGTON NAVY YARD")</f>
        <v>WASHINGTON NAVY YARD</v>
      </c>
      <c r="J568" t="str">
        <f t="shared" si="236"/>
        <v>DC</v>
      </c>
      <c r="K568" t="str">
        <f>T("7032758054")</f>
        <v>7032758054</v>
      </c>
      <c r="L568" t="str">
        <f>T("7032758044")</f>
        <v>7032758044</v>
      </c>
    </row>
    <row r="569" spans="1:12" x14ac:dyDescent="0.35">
      <c r="A569" t="str">
        <f>T("OCHR HQ")</f>
        <v>OCHR HQ</v>
      </c>
      <c r="B569" t="str">
        <f>T("614 SICARD ST SE")</f>
        <v>614 SICARD ST SE</v>
      </c>
      <c r="C569" t="str">
        <f>T("SUITE 100")</f>
        <v>SUITE 100</v>
      </c>
      <c r="D569" t="str">
        <f>T("WASHINGTON NAVY")</f>
        <v>WASHINGTON NAVY</v>
      </c>
      <c r="E569" t="str">
        <f t="shared" si="235"/>
        <v>DC</v>
      </c>
      <c r="F569" t="str">
        <f>T("203767000")</f>
        <v>203767000</v>
      </c>
      <c r="G569" t="str">
        <f>T("614 SICARD ST SE")</f>
        <v>614 SICARD ST SE</v>
      </c>
      <c r="H569" t="str">
        <f>T("SUITE 100")</f>
        <v>SUITE 100</v>
      </c>
      <c r="I569" t="str">
        <f>T("WASHINGTON NAVY")</f>
        <v>WASHINGTON NAVY</v>
      </c>
      <c r="J569" t="str">
        <f t="shared" si="236"/>
        <v>DC</v>
      </c>
      <c r="K569" t="str">
        <f>T("000000000000000000")</f>
        <v>000000000000000000</v>
      </c>
      <c r="L569" t="str">
        <f>T("2026856410")</f>
        <v>2026856410</v>
      </c>
    </row>
    <row r="570" spans="1:12" x14ac:dyDescent="0.35">
      <c r="A570" t="str">
        <f>T("OCHR HQ")</f>
        <v>OCHR HQ</v>
      </c>
      <c r="B570" t="str">
        <f>T("614 SICARD ST SE")</f>
        <v>614 SICARD ST SE</v>
      </c>
      <c r="C570" t="str">
        <f>T("SUITE 100")</f>
        <v>SUITE 100</v>
      </c>
      <c r="D570" t="str">
        <f>T("WASHINGTON NAVY")</f>
        <v>WASHINGTON NAVY</v>
      </c>
      <c r="E570" t="str">
        <f t="shared" si="235"/>
        <v>DC</v>
      </c>
      <c r="F570" t="str">
        <f>T("203767000")</f>
        <v>203767000</v>
      </c>
      <c r="G570" t="str">
        <f>T("614 SICARD ST SE STE 100")</f>
        <v>614 SICARD ST SE STE 100</v>
      </c>
      <c r="H570" t="str">
        <f>T("WASHINGTON NAVY YARD")</f>
        <v>WASHINGTON NAVY YARD</v>
      </c>
      <c r="I570" t="str">
        <f>T("WASHINGTON")</f>
        <v>WASHINGTON</v>
      </c>
      <c r="J570" t="str">
        <f t="shared" si="236"/>
        <v>DC</v>
      </c>
      <c r="K570" t="str">
        <f>T("2026856617")</f>
        <v>2026856617</v>
      </c>
      <c r="L570" t="str">
        <f>T("2026856417")</f>
        <v>2026856417</v>
      </c>
    </row>
    <row r="571" spans="1:12" x14ac:dyDescent="0.35">
      <c r="A571" t="str">
        <f>T("OCHR HQ")</f>
        <v>OCHR HQ</v>
      </c>
      <c r="B571" t="str">
        <f>T("614 SICARD ST SE")</f>
        <v>614 SICARD ST SE</v>
      </c>
      <c r="C571" t="str">
        <f>T("SUITE 100")</f>
        <v>SUITE 100</v>
      </c>
      <c r="D571" t="str">
        <f>T("WASHINGTON NAVY")</f>
        <v>WASHINGTON NAVY</v>
      </c>
      <c r="E571" t="str">
        <f t="shared" si="235"/>
        <v>DC</v>
      </c>
      <c r="F571" t="str">
        <f>T("203767000")</f>
        <v>203767000</v>
      </c>
      <c r="G571" t="str">
        <f>T("614 SICARD STREET SE STE 100")</f>
        <v>614 SICARD STREET SE STE 100</v>
      </c>
      <c r="H571" t="str">
        <f>T("")</f>
        <v/>
      </c>
      <c r="I571" t="str">
        <f>T("WASHINGTON NAVY YARD")</f>
        <v>WASHINGTON NAVY YARD</v>
      </c>
      <c r="J571" t="str">
        <f t="shared" si="236"/>
        <v>DC</v>
      </c>
      <c r="K571" t="str">
        <f>T("000000000000000000")</f>
        <v>000000000000000000</v>
      </c>
      <c r="L571" t="str">
        <f>T("2026856587")</f>
        <v>2026856587</v>
      </c>
    </row>
    <row r="572" spans="1:12" x14ac:dyDescent="0.35">
      <c r="A572" t="str">
        <f t="shared" ref="A572:B574" si="237">T("OCHR NORFOLK OPS CENTER")</f>
        <v>OCHR NORFOLK OPS CENTER</v>
      </c>
      <c r="B572" t="str">
        <f t="shared" si="237"/>
        <v>OCHR NORFOLK OPS CENTER</v>
      </c>
      <c r="C572" t="str">
        <f>T("NNSY BLDG 17")</f>
        <v>NNSY BLDG 17</v>
      </c>
      <c r="D572" t="str">
        <f>T("PORTSMOUTH")</f>
        <v>PORTSMOUTH</v>
      </c>
      <c r="E572" t="str">
        <f>T("VA")</f>
        <v>VA</v>
      </c>
      <c r="F572" t="str">
        <f>T("237090000")</f>
        <v>237090000</v>
      </c>
      <c r="G572" t="str">
        <f>T("NNSY BLDG 17")</f>
        <v>NNSY BLDG 17</v>
      </c>
      <c r="H572" t="str">
        <f>T("")</f>
        <v/>
      </c>
      <c r="I572" t="str">
        <f>T("PORTSMOUTH")</f>
        <v>PORTSMOUTH</v>
      </c>
      <c r="J572" t="str">
        <f>T("VA")</f>
        <v>VA</v>
      </c>
      <c r="K572" t="str">
        <f>T("000000000000000000")</f>
        <v>000000000000000000</v>
      </c>
      <c r="L572" t="str">
        <f>T("7573967063")</f>
        <v>7573967063</v>
      </c>
    </row>
    <row r="573" spans="1:12" x14ac:dyDescent="0.35">
      <c r="A573" t="str">
        <f t="shared" si="237"/>
        <v>OCHR NORFOLK OPS CENTER</v>
      </c>
      <c r="B573" t="str">
        <f t="shared" si="237"/>
        <v>OCHR NORFOLK OPS CENTER</v>
      </c>
      <c r="C573" t="str">
        <f>T("NNSY BLDG 17")</f>
        <v>NNSY BLDG 17</v>
      </c>
      <c r="D573" t="str">
        <f>T("PORTSMOUTH")</f>
        <v>PORTSMOUTH</v>
      </c>
      <c r="E573" t="str">
        <f>T("VA")</f>
        <v>VA</v>
      </c>
      <c r="F573" t="str">
        <f>T("237090000")</f>
        <v>237090000</v>
      </c>
      <c r="G573" t="str">
        <f>T("OCHR NORFOLK OPERATIONS CENTER")</f>
        <v>OCHR NORFOLK OPERATIONS CENTER</v>
      </c>
      <c r="H573" t="str">
        <f>T("NNSY BLDG 17")</f>
        <v>NNSY BLDG 17</v>
      </c>
      <c r="I573" t="str">
        <f>T("PORTSMOUTH")</f>
        <v>PORTSMOUTH</v>
      </c>
      <c r="J573" t="str">
        <f>T("VA")</f>
        <v>VA</v>
      </c>
      <c r="K573" t="str">
        <f>T("000000000000000000")</f>
        <v>000000000000000000</v>
      </c>
      <c r="L573" t="str">
        <f>T("7573967073")</f>
        <v>7573967073</v>
      </c>
    </row>
    <row r="574" spans="1:12" x14ac:dyDescent="0.35">
      <c r="A574" t="str">
        <f t="shared" si="237"/>
        <v>OCHR NORFOLK OPS CENTER</v>
      </c>
      <c r="B574" t="str">
        <f t="shared" si="237"/>
        <v>OCHR NORFOLK OPS CENTER</v>
      </c>
      <c r="C574" t="str">
        <f>T("NNSY BLDG 17")</f>
        <v>NNSY BLDG 17</v>
      </c>
      <c r="D574" t="str">
        <f>T("PORTSMOUTH")</f>
        <v>PORTSMOUTH</v>
      </c>
      <c r="E574" t="str">
        <f>T("VA")</f>
        <v>VA</v>
      </c>
      <c r="F574" t="str">
        <f>T("237090000")</f>
        <v>237090000</v>
      </c>
      <c r="G574" t="str">
        <f>T("OCHR NORFOLK OPS CENTER")</f>
        <v>OCHR NORFOLK OPS CENTER</v>
      </c>
      <c r="H574" t="str">
        <f>T("NNSY BLDG 17")</f>
        <v>NNSY BLDG 17</v>
      </c>
      <c r="I574" t="str">
        <f>T("PORTSMOUTH")</f>
        <v>PORTSMOUTH</v>
      </c>
      <c r="J574" t="str">
        <f>T("VA")</f>
        <v>VA</v>
      </c>
      <c r="K574" t="str">
        <f>T("000000000000000000")</f>
        <v>000000000000000000</v>
      </c>
      <c r="L574" t="str">
        <f>T("7573967049")</f>
        <v>7573967049</v>
      </c>
    </row>
    <row r="575" spans="1:12" x14ac:dyDescent="0.35">
      <c r="A575" t="str">
        <f>T("OCHR SAN DIEGO OPS CENTER")</f>
        <v>OCHR SAN DIEGO OPS CENTER</v>
      </c>
      <c r="B575" t="str">
        <f>T("6300 MIRAMAR WAY")</f>
        <v>6300 MIRAMAR WAY</v>
      </c>
      <c r="C575" t="str">
        <f>T("BLDG 6300")</f>
        <v>BLDG 6300</v>
      </c>
      <c r="D575" t="str">
        <f>T("SAN DIEGO")</f>
        <v>SAN DIEGO</v>
      </c>
      <c r="E575" t="str">
        <f>T("CA")</f>
        <v>CA</v>
      </c>
      <c r="F575" t="str">
        <f>T("921455400")</f>
        <v>921455400</v>
      </c>
      <c r="G575" t="str">
        <f>T("6300 MIRAMAR WAY")</f>
        <v>6300 MIRAMAR WAY</v>
      </c>
      <c r="H575" t="str">
        <f>T("BLDG 6300")</f>
        <v>BLDG 6300</v>
      </c>
      <c r="I575" t="str">
        <f>T("SAN DIEGO")</f>
        <v>SAN DIEGO</v>
      </c>
      <c r="J575" t="str">
        <f>T("CA")</f>
        <v>CA</v>
      </c>
      <c r="K575" t="str">
        <f>T("000000000000000000")</f>
        <v>000000000000000000</v>
      </c>
      <c r="L575" t="str">
        <f>T("8585775581")</f>
        <v>8585775581</v>
      </c>
    </row>
    <row r="576" spans="1:12" x14ac:dyDescent="0.35">
      <c r="A576" t="str">
        <f>T("OCHR SAN DIEGO OPS CENTER")</f>
        <v>OCHR SAN DIEGO OPS CENTER</v>
      </c>
      <c r="B576" t="str">
        <f>T("6300 MIRAMAR WAY")</f>
        <v>6300 MIRAMAR WAY</v>
      </c>
      <c r="C576" t="str">
        <f>T("BLDG 6300")</f>
        <v>BLDG 6300</v>
      </c>
      <c r="D576" t="str">
        <f>T("SAN DIEGO")</f>
        <v>SAN DIEGO</v>
      </c>
      <c r="E576" t="str">
        <f>T("CA")</f>
        <v>CA</v>
      </c>
      <c r="F576" t="str">
        <f>T("921455400")</f>
        <v>921455400</v>
      </c>
      <c r="G576" t="str">
        <f>T("6300 MIRAMAR WAY BLD 6300")</f>
        <v>6300 MIRAMAR WAY BLD 6300</v>
      </c>
      <c r="H576" t="str">
        <f>T("")</f>
        <v/>
      </c>
      <c r="I576" t="str">
        <f>T("SAN DIEGO")</f>
        <v>SAN DIEGO</v>
      </c>
      <c r="J576" t="str">
        <f>T("CA")</f>
        <v>CA</v>
      </c>
      <c r="K576" t="str">
        <f>T("8585775566")</f>
        <v>8585775566</v>
      </c>
      <c r="L576" t="str">
        <f>T("8585775584")</f>
        <v>8585775584</v>
      </c>
    </row>
    <row r="577" spans="1:12" x14ac:dyDescent="0.35">
      <c r="A577" t="str">
        <f>T("OCHR SAN DIEGO OPS CENTER")</f>
        <v>OCHR SAN DIEGO OPS CENTER</v>
      </c>
      <c r="B577" t="str">
        <f>T("6300 MIRAMAR WAY")</f>
        <v>6300 MIRAMAR WAY</v>
      </c>
      <c r="C577" t="str">
        <f>T("BLDG 6300")</f>
        <v>BLDG 6300</v>
      </c>
      <c r="D577" t="str">
        <f>T("SAN DIEGO")</f>
        <v>SAN DIEGO</v>
      </c>
      <c r="E577" t="str">
        <f>T("CA")</f>
        <v>CA</v>
      </c>
      <c r="F577" t="str">
        <f>T("921455400")</f>
        <v>921455400</v>
      </c>
      <c r="G577" t="str">
        <f>T("6300 MIRAMAR WAY BLDG 6300")</f>
        <v>6300 MIRAMAR WAY BLDG 6300</v>
      </c>
      <c r="H577" t="str">
        <f>T("")</f>
        <v/>
      </c>
      <c r="I577" t="str">
        <f>T("SAN DIEGO")</f>
        <v>SAN DIEGO</v>
      </c>
      <c r="J577" t="str">
        <f>T("CA")</f>
        <v>CA</v>
      </c>
      <c r="K577" t="str">
        <f>T("8585775848")</f>
        <v>8585775848</v>
      </c>
      <c r="L577" t="str">
        <f>T("8585775577")</f>
        <v>8585775577</v>
      </c>
    </row>
    <row r="578" spans="1:12" x14ac:dyDescent="0.35">
      <c r="A578" t="str">
        <f>T("OCHR SAN DIEGO OPS CENTER")</f>
        <v>OCHR SAN DIEGO OPS CENTER</v>
      </c>
      <c r="B578" t="str">
        <f>T("6300 MIRAMAR WAY")</f>
        <v>6300 MIRAMAR WAY</v>
      </c>
      <c r="C578" t="str">
        <f>T("BLDG 6300")</f>
        <v>BLDG 6300</v>
      </c>
      <c r="D578" t="str">
        <f>T("SAN DIEGO")</f>
        <v>SAN DIEGO</v>
      </c>
      <c r="E578" t="str">
        <f>T("CA")</f>
        <v>CA</v>
      </c>
      <c r="F578" t="str">
        <f>T("921455400")</f>
        <v>921455400</v>
      </c>
      <c r="G578" t="str">
        <f>T("PO BOX 452015")</f>
        <v>PO BOX 452015</v>
      </c>
      <c r="H578" t="str">
        <f>T("BUILDING 6300")</f>
        <v>BUILDING 6300</v>
      </c>
      <c r="I578" t="str">
        <f>T("SAN DIEGO")</f>
        <v>SAN DIEGO</v>
      </c>
      <c r="J578" t="str">
        <f>T("CA")</f>
        <v>CA</v>
      </c>
      <c r="K578" t="str">
        <f>T("000000000000000000")</f>
        <v>000000000000000000</v>
      </c>
      <c r="L578" t="str">
        <f>T("8585775570")</f>
        <v>8585775570</v>
      </c>
    </row>
    <row r="579" spans="1:12" x14ac:dyDescent="0.35">
      <c r="A579" t="str">
        <f t="shared" ref="A579:A585" si="238">T("OCHR SILVERDALE OPCS CENTER")</f>
        <v>OCHR SILVERDALE OPCS CENTER</v>
      </c>
      <c r="B579" t="str">
        <f t="shared" ref="B579:B585" si="239">T("3230 NW RANDALL WAY")</f>
        <v>3230 NW RANDALL WAY</v>
      </c>
      <c r="C579" t="str">
        <f t="shared" ref="C579:C585" si="240">T("")</f>
        <v/>
      </c>
      <c r="D579" t="str">
        <f t="shared" ref="D579:D585" si="241">T("SILVERDALE")</f>
        <v>SILVERDALE</v>
      </c>
      <c r="E579" t="str">
        <f t="shared" ref="E579:E585" si="242">T("WA")</f>
        <v>WA</v>
      </c>
      <c r="F579" t="str">
        <f t="shared" ref="F579:F585" si="243">T("983837952")</f>
        <v>983837952</v>
      </c>
      <c r="G579" t="str">
        <f t="shared" ref="G579:G584" si="244">T("3230 NW RANDALL WAY")</f>
        <v>3230 NW RANDALL WAY</v>
      </c>
      <c r="H579" t="str">
        <f t="shared" ref="H579:H584" si="245">T("")</f>
        <v/>
      </c>
      <c r="I579" t="str">
        <f t="shared" ref="I579:I585" si="246">T("SILVERDALE")</f>
        <v>SILVERDALE</v>
      </c>
      <c r="J579" t="str">
        <f t="shared" ref="J579:J585" si="247">T("WA")</f>
        <v>WA</v>
      </c>
      <c r="K579" t="str">
        <f>T("000000000000000000")</f>
        <v>000000000000000000</v>
      </c>
      <c r="L579" t="str">
        <f>T("3603158068")</f>
        <v>3603158068</v>
      </c>
    </row>
    <row r="580" spans="1:12" x14ac:dyDescent="0.35">
      <c r="A580" t="str">
        <f t="shared" si="238"/>
        <v>OCHR SILVERDALE OPCS CENTER</v>
      </c>
      <c r="B580" t="str">
        <f t="shared" si="239"/>
        <v>3230 NW RANDALL WAY</v>
      </c>
      <c r="C580" t="str">
        <f t="shared" si="240"/>
        <v/>
      </c>
      <c r="D580" t="str">
        <f t="shared" si="241"/>
        <v>SILVERDALE</v>
      </c>
      <c r="E580" t="str">
        <f t="shared" si="242"/>
        <v>WA</v>
      </c>
      <c r="F580" t="str">
        <f t="shared" si="243"/>
        <v>983837952</v>
      </c>
      <c r="G580" t="str">
        <f t="shared" si="244"/>
        <v>3230 NW RANDALL WAY</v>
      </c>
      <c r="H580" t="str">
        <f t="shared" si="245"/>
        <v/>
      </c>
      <c r="I580" t="str">
        <f t="shared" si="246"/>
        <v>SILVERDALE</v>
      </c>
      <c r="J580" t="str">
        <f t="shared" si="247"/>
        <v>WA</v>
      </c>
      <c r="K580" t="str">
        <f t="shared" ref="K580:K585" si="248">T("3603158025")</f>
        <v>3603158025</v>
      </c>
      <c r="L580" t="str">
        <f>T("3603158001")</f>
        <v>3603158001</v>
      </c>
    </row>
    <row r="581" spans="1:12" x14ac:dyDescent="0.35">
      <c r="A581" t="str">
        <f t="shared" si="238"/>
        <v>OCHR SILVERDALE OPCS CENTER</v>
      </c>
      <c r="B581" t="str">
        <f t="shared" si="239"/>
        <v>3230 NW RANDALL WAY</v>
      </c>
      <c r="C581" t="str">
        <f t="shared" si="240"/>
        <v/>
      </c>
      <c r="D581" t="str">
        <f t="shared" si="241"/>
        <v>SILVERDALE</v>
      </c>
      <c r="E581" t="str">
        <f t="shared" si="242"/>
        <v>WA</v>
      </c>
      <c r="F581" t="str">
        <f t="shared" si="243"/>
        <v>983837952</v>
      </c>
      <c r="G581" t="str">
        <f t="shared" si="244"/>
        <v>3230 NW RANDALL WAY</v>
      </c>
      <c r="H581" t="str">
        <f t="shared" si="245"/>
        <v/>
      </c>
      <c r="I581" t="str">
        <f t="shared" si="246"/>
        <v>SILVERDALE</v>
      </c>
      <c r="J581" t="str">
        <f t="shared" si="247"/>
        <v>WA</v>
      </c>
      <c r="K581" t="str">
        <f t="shared" si="248"/>
        <v>3603158025</v>
      </c>
      <c r="L581" t="str">
        <f>T("3603158078")</f>
        <v>3603158078</v>
      </c>
    </row>
    <row r="582" spans="1:12" x14ac:dyDescent="0.35">
      <c r="A582" t="str">
        <f t="shared" si="238"/>
        <v>OCHR SILVERDALE OPCS CENTER</v>
      </c>
      <c r="B582" t="str">
        <f t="shared" si="239"/>
        <v>3230 NW RANDALL WAY</v>
      </c>
      <c r="C582" t="str">
        <f t="shared" si="240"/>
        <v/>
      </c>
      <c r="D582" t="str">
        <f t="shared" si="241"/>
        <v>SILVERDALE</v>
      </c>
      <c r="E582" t="str">
        <f t="shared" si="242"/>
        <v>WA</v>
      </c>
      <c r="F582" t="str">
        <f t="shared" si="243"/>
        <v>983837952</v>
      </c>
      <c r="G582" t="str">
        <f t="shared" si="244"/>
        <v>3230 NW RANDALL WAY</v>
      </c>
      <c r="H582" t="str">
        <f t="shared" si="245"/>
        <v/>
      </c>
      <c r="I582" t="str">
        <f t="shared" si="246"/>
        <v>SILVERDALE</v>
      </c>
      <c r="J582" t="str">
        <f t="shared" si="247"/>
        <v>WA</v>
      </c>
      <c r="K582" t="str">
        <f t="shared" si="248"/>
        <v>3603158025</v>
      </c>
      <c r="L582" t="str">
        <f>T("3603158083")</f>
        <v>3603158083</v>
      </c>
    </row>
    <row r="583" spans="1:12" x14ac:dyDescent="0.35">
      <c r="A583" t="str">
        <f t="shared" si="238"/>
        <v>OCHR SILVERDALE OPCS CENTER</v>
      </c>
      <c r="B583" t="str">
        <f t="shared" si="239"/>
        <v>3230 NW RANDALL WAY</v>
      </c>
      <c r="C583" t="str">
        <f t="shared" si="240"/>
        <v/>
      </c>
      <c r="D583" t="str">
        <f t="shared" si="241"/>
        <v>SILVERDALE</v>
      </c>
      <c r="E583" t="str">
        <f t="shared" si="242"/>
        <v>WA</v>
      </c>
      <c r="F583" t="str">
        <f t="shared" si="243"/>
        <v>983837952</v>
      </c>
      <c r="G583" t="str">
        <f t="shared" si="244"/>
        <v>3230 NW RANDALL WAY</v>
      </c>
      <c r="H583" t="str">
        <f t="shared" si="245"/>
        <v/>
      </c>
      <c r="I583" t="str">
        <f t="shared" si="246"/>
        <v>SILVERDALE</v>
      </c>
      <c r="J583" t="str">
        <f t="shared" si="247"/>
        <v>WA</v>
      </c>
      <c r="K583" t="str">
        <f t="shared" si="248"/>
        <v>3603158025</v>
      </c>
      <c r="L583" t="str">
        <f>T("3603158084")</f>
        <v>3603158084</v>
      </c>
    </row>
    <row r="584" spans="1:12" x14ac:dyDescent="0.35">
      <c r="A584" t="str">
        <f t="shared" si="238"/>
        <v>OCHR SILVERDALE OPCS CENTER</v>
      </c>
      <c r="B584" t="str">
        <f t="shared" si="239"/>
        <v>3230 NW RANDALL WAY</v>
      </c>
      <c r="C584" t="str">
        <f t="shared" si="240"/>
        <v/>
      </c>
      <c r="D584" t="str">
        <f t="shared" si="241"/>
        <v>SILVERDALE</v>
      </c>
      <c r="E584" t="str">
        <f t="shared" si="242"/>
        <v>WA</v>
      </c>
      <c r="F584" t="str">
        <f t="shared" si="243"/>
        <v>983837952</v>
      </c>
      <c r="G584" t="str">
        <f t="shared" si="244"/>
        <v>3230 NW RANDALL WAY</v>
      </c>
      <c r="H584" t="str">
        <f t="shared" si="245"/>
        <v/>
      </c>
      <c r="I584" t="str">
        <f t="shared" si="246"/>
        <v>SILVERDALE</v>
      </c>
      <c r="J584" t="str">
        <f t="shared" si="247"/>
        <v>WA</v>
      </c>
      <c r="K584" t="str">
        <f t="shared" si="248"/>
        <v>3603158025</v>
      </c>
      <c r="L584" t="str">
        <f>T("3603158195")</f>
        <v>3603158195</v>
      </c>
    </row>
    <row r="585" spans="1:12" x14ac:dyDescent="0.35">
      <c r="A585" t="str">
        <f t="shared" si="238"/>
        <v>OCHR SILVERDALE OPCS CENTER</v>
      </c>
      <c r="B585" t="str">
        <f t="shared" si="239"/>
        <v>3230 NW RANDALL WAY</v>
      </c>
      <c r="C585" t="str">
        <f t="shared" si="240"/>
        <v/>
      </c>
      <c r="D585" t="str">
        <f t="shared" si="241"/>
        <v>SILVERDALE</v>
      </c>
      <c r="E585" t="str">
        <f t="shared" si="242"/>
        <v>WA</v>
      </c>
      <c r="F585" t="str">
        <f t="shared" si="243"/>
        <v>983837952</v>
      </c>
      <c r="G585" t="str">
        <f>T("OCHR SILVERDALE")</f>
        <v>OCHR SILVERDALE</v>
      </c>
      <c r="H585" t="str">
        <f>T("3230 NW RANDALL WAY")</f>
        <v>3230 NW RANDALL WAY</v>
      </c>
      <c r="I585" t="str">
        <f t="shared" si="246"/>
        <v>SILVERDALE</v>
      </c>
      <c r="J585" t="str">
        <f t="shared" si="247"/>
        <v>WA</v>
      </c>
      <c r="K585" t="str">
        <f t="shared" si="248"/>
        <v>3603158025</v>
      </c>
      <c r="L585" t="str">
        <f>T("3603158078")</f>
        <v>3603158078</v>
      </c>
    </row>
    <row r="586" spans="1:12" x14ac:dyDescent="0.35">
      <c r="A586" t="str">
        <f>T("OCHR PHILADELPHIA OPS CENTER")</f>
        <v>OCHR PHILADELPHIA OPS CENTER</v>
      </c>
      <c r="B586" t="str">
        <f>T("700 ROBBINS AVE")</f>
        <v>700 ROBBINS AVE</v>
      </c>
      <c r="C586" t="str">
        <f>T("BLDG 9")</f>
        <v>BLDG 9</v>
      </c>
      <c r="D586" t="str">
        <f>T("PHILADELPHIA")</f>
        <v>PHILADELPHIA</v>
      </c>
      <c r="E586" t="str">
        <f>T("PA")</f>
        <v>PA</v>
      </c>
      <c r="F586" t="str">
        <f>T("191115009")</f>
        <v>191115009</v>
      </c>
      <c r="G586" t="str">
        <f>T("700 ROBBINS AVE")</f>
        <v>700 ROBBINS AVE</v>
      </c>
      <c r="H586" t="str">
        <f>T("BLDG 9")</f>
        <v>BLDG 9</v>
      </c>
      <c r="I586" t="str">
        <f>T("PHILA")</f>
        <v>PHILA</v>
      </c>
      <c r="J586" t="str">
        <f>T("PA")</f>
        <v>PA</v>
      </c>
      <c r="K586" t="str">
        <f>T("2156970224")</f>
        <v>2156970224</v>
      </c>
      <c r="L586" t="str">
        <f>T("2156970485")</f>
        <v>2156970485</v>
      </c>
    </row>
    <row r="587" spans="1:12" x14ac:dyDescent="0.35">
      <c r="A587" t="str">
        <f>T("OCHR PHILADELPHIA OPS CENTER")</f>
        <v>OCHR PHILADELPHIA OPS CENTER</v>
      </c>
      <c r="B587" t="str">
        <f>T("700 ROBBINS AVE")</f>
        <v>700 ROBBINS AVE</v>
      </c>
      <c r="C587" t="str">
        <f>T("BLDG 9")</f>
        <v>BLDG 9</v>
      </c>
      <c r="D587" t="str">
        <f>T("PHILADELPHIA")</f>
        <v>PHILADELPHIA</v>
      </c>
      <c r="E587" t="str">
        <f>T("PA")</f>
        <v>PA</v>
      </c>
      <c r="F587" t="str">
        <f>T("191115009")</f>
        <v>191115009</v>
      </c>
      <c r="G587" t="str">
        <f>T("700 ROBBINS AVE")</f>
        <v>700 ROBBINS AVE</v>
      </c>
      <c r="H587" t="str">
        <f>T("BLDG 9")</f>
        <v>BLDG 9</v>
      </c>
      <c r="I587" t="str">
        <f>T("PHILADELPHIA")</f>
        <v>PHILADELPHIA</v>
      </c>
      <c r="J587" t="str">
        <f>T("PA")</f>
        <v>PA</v>
      </c>
      <c r="K587" t="str">
        <f>T("000000000000000000")</f>
        <v>000000000000000000</v>
      </c>
      <c r="L587" t="str">
        <f>T("2156970489")</f>
        <v>2156970489</v>
      </c>
    </row>
    <row r="588" spans="1:12" x14ac:dyDescent="0.35">
      <c r="A588" t="str">
        <f>T("OCHR PHILADELPHIA OPS CENTER")</f>
        <v>OCHR PHILADELPHIA OPS CENTER</v>
      </c>
      <c r="B588" t="str">
        <f>T("700 ROBBINS AVE")</f>
        <v>700 ROBBINS AVE</v>
      </c>
      <c r="C588" t="str">
        <f>T("BLDG 9")</f>
        <v>BLDG 9</v>
      </c>
      <c r="D588" t="str">
        <f>T("PHILADELPHIA")</f>
        <v>PHILADELPHIA</v>
      </c>
      <c r="E588" t="str">
        <f>T("PA")</f>
        <v>PA</v>
      </c>
      <c r="F588" t="str">
        <f>T("191115009")</f>
        <v>191115009</v>
      </c>
      <c r="G588" t="str">
        <f>T("700 ROBBINS AVE")</f>
        <v>700 ROBBINS AVE</v>
      </c>
      <c r="H588" t="str">
        <f>T("BLDG 9")</f>
        <v>BLDG 9</v>
      </c>
      <c r="I588" t="str">
        <f>T("PHILADELPHIA")</f>
        <v>PHILADELPHIA</v>
      </c>
      <c r="J588" t="str">
        <f>T("PA")</f>
        <v>PA</v>
      </c>
      <c r="K588" t="str">
        <f>T("2156970224")</f>
        <v>2156970224</v>
      </c>
      <c r="L588" t="str">
        <f>T("2156970482")</f>
        <v>2156970482</v>
      </c>
    </row>
    <row r="589" spans="1:12" x14ac:dyDescent="0.35">
      <c r="A589" t="str">
        <f>T("OCHR PHILADELPHIA OPS CENTER")</f>
        <v>OCHR PHILADELPHIA OPS CENTER</v>
      </c>
      <c r="B589" t="str">
        <f>T("700 ROBBINS AVE")</f>
        <v>700 ROBBINS AVE</v>
      </c>
      <c r="C589" t="str">
        <f>T("BLDG 9")</f>
        <v>BLDG 9</v>
      </c>
      <c r="D589" t="str">
        <f>T("PHILADELPHIA")</f>
        <v>PHILADELPHIA</v>
      </c>
      <c r="E589" t="str">
        <f>T("PA")</f>
        <v>PA</v>
      </c>
      <c r="F589" t="str">
        <f>T("191115009")</f>
        <v>191115009</v>
      </c>
      <c r="G589" t="str">
        <f>T("700 ROBBINS AVE")</f>
        <v>700 ROBBINS AVE</v>
      </c>
      <c r="H589" t="str">
        <f>T("BLDG 9")</f>
        <v>BLDG 9</v>
      </c>
      <c r="I589" t="str">
        <f>T("PHILADELPHIA")</f>
        <v>PHILADELPHIA</v>
      </c>
      <c r="J589" t="str">
        <f>T("PA")</f>
        <v>PA</v>
      </c>
      <c r="K589" t="str">
        <f>T("2156970355")</f>
        <v>2156970355</v>
      </c>
      <c r="L589" t="str">
        <f>T("2156970359")</f>
        <v>2156970359</v>
      </c>
    </row>
    <row r="590" spans="1:12" x14ac:dyDescent="0.35">
      <c r="A590" t="str">
        <f t="shared" ref="A590:A595" si="249">T("OCHR STENNIS OPS CENTER")</f>
        <v>OCHR STENNIS OPS CENTER</v>
      </c>
      <c r="B590" t="str">
        <f>T("")</f>
        <v/>
      </c>
      <c r="C590" t="str">
        <f>T("")</f>
        <v/>
      </c>
      <c r="D590" t="str">
        <f>T("")</f>
        <v/>
      </c>
      <c r="E590" t="str">
        <f>T("")</f>
        <v/>
      </c>
      <c r="F590" t="str">
        <f>T("")</f>
        <v/>
      </c>
      <c r="G590" t="str">
        <f t="shared" ref="G590:G595" si="250">T("9110 LEONARD KIMBLE RD")</f>
        <v>9110 LEONARD KIMBLE RD</v>
      </c>
      <c r="H590" t="str">
        <f t="shared" ref="H590:H595" si="251">T("")</f>
        <v/>
      </c>
      <c r="I590" t="str">
        <f>T("STENNIS CTR")</f>
        <v>STENNIS CTR</v>
      </c>
      <c r="J590" t="str">
        <f t="shared" ref="J590:J595" si="252">T("MS")</f>
        <v>MS</v>
      </c>
      <c r="K590" t="str">
        <f>T("000000000000000000")</f>
        <v>000000000000000000</v>
      </c>
      <c r="L590" t="str">
        <f>T("2288131015")</f>
        <v>2288131015</v>
      </c>
    </row>
    <row r="591" spans="1:12" x14ac:dyDescent="0.35">
      <c r="A591" t="str">
        <f t="shared" si="249"/>
        <v>OCHR STENNIS OPS CENTER</v>
      </c>
      <c r="B591" t="str">
        <f>T("9110 LEONARD KIMBLE RD")</f>
        <v>9110 LEONARD KIMBLE RD</v>
      </c>
      <c r="C591" t="str">
        <f>T("")</f>
        <v/>
      </c>
      <c r="D591" t="str">
        <f>T("STENNIS CTR")</f>
        <v>STENNIS CTR</v>
      </c>
      <c r="E591" t="str">
        <f>T("MS")</f>
        <v>MS</v>
      </c>
      <c r="F591" t="str">
        <f>T("395220002")</f>
        <v>395220002</v>
      </c>
      <c r="G591" t="str">
        <f t="shared" si="250"/>
        <v>9110 LEONARD KIMBLE RD</v>
      </c>
      <c r="H591" t="str">
        <f t="shared" si="251"/>
        <v/>
      </c>
      <c r="I591" t="str">
        <f>T("STENNIS CTR")</f>
        <v>STENNIS CTR</v>
      </c>
      <c r="J591" t="str">
        <f t="shared" si="252"/>
        <v>MS</v>
      </c>
      <c r="K591" t="str">
        <f>T("000000000000000000")</f>
        <v>000000000000000000</v>
      </c>
      <c r="L591" t="str">
        <f>T("2288131015")</f>
        <v>2288131015</v>
      </c>
    </row>
    <row r="592" spans="1:12" x14ac:dyDescent="0.35">
      <c r="A592" t="str">
        <f t="shared" si="249"/>
        <v>OCHR STENNIS OPS CENTER</v>
      </c>
      <c r="B592" t="str">
        <f>T("9110 LEONARD KIMBLE RD")</f>
        <v>9110 LEONARD KIMBLE RD</v>
      </c>
      <c r="C592" t="str">
        <f>T("")</f>
        <v/>
      </c>
      <c r="D592" t="str">
        <f>T("STENNIS CTR")</f>
        <v>STENNIS CTR</v>
      </c>
      <c r="E592" t="str">
        <f>T("MS")</f>
        <v>MS</v>
      </c>
      <c r="F592" t="str">
        <f>T("395220002")</f>
        <v>395220002</v>
      </c>
      <c r="G592" t="str">
        <f t="shared" si="250"/>
        <v>9110 LEONARD KIMBLE RD</v>
      </c>
      <c r="H592" t="str">
        <f t="shared" si="251"/>
        <v/>
      </c>
      <c r="I592" t="str">
        <f>T("STENNIS SPACE CENTER")</f>
        <v>STENNIS SPACE CENTER</v>
      </c>
      <c r="J592" t="str">
        <f t="shared" si="252"/>
        <v>MS</v>
      </c>
      <c r="K592" t="str">
        <f>T("000000000000000000")</f>
        <v>000000000000000000</v>
      </c>
      <c r="L592" t="str">
        <f>T("2288131012")</f>
        <v>2288131012</v>
      </c>
    </row>
    <row r="593" spans="1:12" x14ac:dyDescent="0.35">
      <c r="A593" t="str">
        <f t="shared" si="249"/>
        <v>OCHR STENNIS OPS CENTER</v>
      </c>
      <c r="B593" t="str">
        <f>T("9110 LEONARD KIMBLE RD")</f>
        <v>9110 LEONARD KIMBLE RD</v>
      </c>
      <c r="C593" t="str">
        <f>T("")</f>
        <v/>
      </c>
      <c r="D593" t="str">
        <f>T("STENNIS CTR")</f>
        <v>STENNIS CTR</v>
      </c>
      <c r="E593" t="str">
        <f>T("MS")</f>
        <v>MS</v>
      </c>
      <c r="F593" t="str">
        <f>T("395220002")</f>
        <v>395220002</v>
      </c>
      <c r="G593" t="str">
        <f t="shared" si="250"/>
        <v>9110 LEONARD KIMBLE RD</v>
      </c>
      <c r="H593" t="str">
        <f t="shared" si="251"/>
        <v/>
      </c>
      <c r="I593" t="str">
        <f>T("STENNIS SPACE CENTER")</f>
        <v>STENNIS SPACE CENTER</v>
      </c>
      <c r="J593" t="str">
        <f t="shared" si="252"/>
        <v>MS</v>
      </c>
      <c r="K593" t="str">
        <f>T("000000000000000000")</f>
        <v>000000000000000000</v>
      </c>
      <c r="L593" t="str">
        <f>T("2288131177")</f>
        <v>2288131177</v>
      </c>
    </row>
    <row r="594" spans="1:12" x14ac:dyDescent="0.35">
      <c r="A594" t="str">
        <f t="shared" si="249"/>
        <v>OCHR STENNIS OPS CENTER</v>
      </c>
      <c r="B594" t="str">
        <f>T("9110 LEONARD KIMBLE RD")</f>
        <v>9110 LEONARD KIMBLE RD</v>
      </c>
      <c r="C594" t="str">
        <f>T("")</f>
        <v/>
      </c>
      <c r="D594" t="str">
        <f>T("STENNIS CTR")</f>
        <v>STENNIS CTR</v>
      </c>
      <c r="E594" t="str">
        <f>T("MS")</f>
        <v>MS</v>
      </c>
      <c r="F594" t="str">
        <f>T("395220002")</f>
        <v>395220002</v>
      </c>
      <c r="G594" t="str">
        <f t="shared" si="250"/>
        <v>9110 LEONARD KIMBLE RD</v>
      </c>
      <c r="H594" t="str">
        <f t="shared" si="251"/>
        <v/>
      </c>
      <c r="I594" t="str">
        <f>T("STENNIS SPACE CENTER")</f>
        <v>STENNIS SPACE CENTER</v>
      </c>
      <c r="J594" t="str">
        <f t="shared" si="252"/>
        <v>MS</v>
      </c>
      <c r="K594" t="str">
        <f>T("2288131004")</f>
        <v>2288131004</v>
      </c>
      <c r="L594" t="str">
        <f>T("2288131020")</f>
        <v>2288131020</v>
      </c>
    </row>
    <row r="595" spans="1:12" x14ac:dyDescent="0.35">
      <c r="A595" t="str">
        <f t="shared" si="249"/>
        <v>OCHR STENNIS OPS CENTER</v>
      </c>
      <c r="B595" t="str">
        <f>T("9110 LEONARD KIMBLE RD")</f>
        <v>9110 LEONARD KIMBLE RD</v>
      </c>
      <c r="C595" t="str">
        <f>T("")</f>
        <v/>
      </c>
      <c r="D595" t="str">
        <f>T("STENNIS CTR")</f>
        <v>STENNIS CTR</v>
      </c>
      <c r="E595" t="str">
        <f>T("MS")</f>
        <v>MS</v>
      </c>
      <c r="F595" t="str">
        <f>T("395220002")</f>
        <v>395220002</v>
      </c>
      <c r="G595" t="str">
        <f t="shared" si="250"/>
        <v>9110 LEONARD KIMBLE RD</v>
      </c>
      <c r="H595" t="str">
        <f t="shared" si="251"/>
        <v/>
      </c>
      <c r="I595" t="str">
        <f>T("STENNIS SPACE CENTER")</f>
        <v>STENNIS SPACE CENTER</v>
      </c>
      <c r="J595" t="str">
        <f t="shared" si="252"/>
        <v>MS</v>
      </c>
      <c r="K595" t="str">
        <f>T("2288131221")</f>
        <v>2288131221</v>
      </c>
      <c r="L595" t="str">
        <f>T("2288131020")</f>
        <v>2288131020</v>
      </c>
    </row>
    <row r="596" spans="1:12" x14ac:dyDescent="0.35">
      <c r="A596" t="str">
        <f t="shared" ref="A596:A640" si="253">T("OFFICE OF NAVAL RESEARCH")</f>
        <v>OFFICE OF NAVAL RESEARCH</v>
      </c>
      <c r="B596" t="str">
        <f>T("100 ALABAMA ST SW")</f>
        <v>100 ALABAMA ST SW</v>
      </c>
      <c r="C596" t="str">
        <f>T("SUITE 4R15")</f>
        <v>SUITE 4R15</v>
      </c>
      <c r="D596" t="str">
        <f>T("ATLANTA")</f>
        <v>ATLANTA</v>
      </c>
      <c r="E596" t="str">
        <f>T("GA")</f>
        <v>GA</v>
      </c>
      <c r="F596" t="str">
        <f>T("303038704")</f>
        <v>303038704</v>
      </c>
      <c r="G596" t="str">
        <f>T("100 ALABAMA ST SW")</f>
        <v>100 ALABAMA ST SW</v>
      </c>
      <c r="H596" t="str">
        <f>T("SUITE 4R15")</f>
        <v>SUITE 4R15</v>
      </c>
      <c r="I596" t="str">
        <f>T("ATLANTA")</f>
        <v>ATLANTA</v>
      </c>
      <c r="J596" t="str">
        <f>T("GA")</f>
        <v>GA</v>
      </c>
      <c r="K596" t="str">
        <f>T("404 562 1610")</f>
        <v>404 562 1610</v>
      </c>
      <c r="L596" t="str">
        <f>T("4045621601")</f>
        <v>4045621601</v>
      </c>
    </row>
    <row r="597" spans="1:12" x14ac:dyDescent="0.35">
      <c r="A597" t="str">
        <f t="shared" si="253"/>
        <v>OFFICE OF NAVAL RESEARCH</v>
      </c>
      <c r="B597" t="str">
        <f>T("100 ALABAMA ST SW")</f>
        <v>100 ALABAMA ST SW</v>
      </c>
      <c r="C597" t="str">
        <f>T("SUITE 4R15")</f>
        <v>SUITE 4R15</v>
      </c>
      <c r="D597" t="str">
        <f>T("ATLANTA")</f>
        <v>ATLANTA</v>
      </c>
      <c r="E597" t="str">
        <f>T("GA")</f>
        <v>GA</v>
      </c>
      <c r="F597" t="str">
        <f>T("303038704")</f>
        <v>303038704</v>
      </c>
      <c r="G597" t="str">
        <f>T("100 ALABAMA STREET SW")</f>
        <v>100 ALABAMA STREET SW</v>
      </c>
      <c r="H597" t="str">
        <f>T("CODE 243 SUITE 4R15")</f>
        <v>CODE 243 SUITE 4R15</v>
      </c>
      <c r="I597" t="str">
        <f>T("ATLANTA")</f>
        <v>ATLANTA</v>
      </c>
      <c r="J597" t="str">
        <f>T("GA")</f>
        <v>GA</v>
      </c>
      <c r="K597" t="str">
        <f>T("000000000000000000")</f>
        <v>000000000000000000</v>
      </c>
      <c r="L597" t="str">
        <f>T("4045621600")</f>
        <v>4045621600</v>
      </c>
    </row>
    <row r="598" spans="1:12" x14ac:dyDescent="0.35">
      <c r="A598" t="str">
        <f t="shared" si="253"/>
        <v>OFFICE OF NAVAL RESEARCH</v>
      </c>
      <c r="B598" t="str">
        <f>T("140 SYLVESTER ROAD")</f>
        <v>140 SYLVESTER ROAD</v>
      </c>
      <c r="C598" t="str">
        <f>T("CODE 246 RM 218")</f>
        <v>CODE 246 RM 218</v>
      </c>
      <c r="D598" t="str">
        <f>T("SAN DIEGO")</f>
        <v>SAN DIEGO</v>
      </c>
      <c r="E598" t="str">
        <f>T("CA")</f>
        <v>CA</v>
      </c>
      <c r="F598" t="str">
        <f>T("921063521")</f>
        <v>921063521</v>
      </c>
      <c r="G598" t="str">
        <f>T("140 SYLVESTER ROAD")</f>
        <v>140 SYLVESTER ROAD</v>
      </c>
      <c r="H598" t="str">
        <f>T("CODE 246 RM 218")</f>
        <v>CODE 246 RM 218</v>
      </c>
      <c r="I598" t="str">
        <f>T("SAN DIEGO")</f>
        <v>SAN DIEGO</v>
      </c>
      <c r="J598" t="str">
        <f>T("CA")</f>
        <v>CA</v>
      </c>
      <c r="K598" t="str">
        <f>T("619 221 5615")</f>
        <v>619 221 5615</v>
      </c>
      <c r="L598" t="str">
        <f>T("6192215487")</f>
        <v>6192215487</v>
      </c>
    </row>
    <row r="599" spans="1:12" x14ac:dyDescent="0.35">
      <c r="A599" t="str">
        <f t="shared" si="253"/>
        <v>OFFICE OF NAVAL RESEARCH</v>
      </c>
      <c r="B599" t="str">
        <f>T("140 SYLVESTER ROAD")</f>
        <v>140 SYLVESTER ROAD</v>
      </c>
      <c r="C599" t="str">
        <f>T("CODE 246 RM 218")</f>
        <v>CODE 246 RM 218</v>
      </c>
      <c r="D599" t="str">
        <f>T("SAN DIEGO")</f>
        <v>SAN DIEGO</v>
      </c>
      <c r="E599" t="str">
        <f>T("CA")</f>
        <v>CA</v>
      </c>
      <c r="F599" t="str">
        <f>T("921063521")</f>
        <v>921063521</v>
      </c>
      <c r="G599" t="str">
        <f>T("CODE 246 140 SYLVESTER ROAD")</f>
        <v>CODE 246 140 SYLVESTER ROAD</v>
      </c>
      <c r="H599" t="str">
        <f>T("BUILDING 140 ROOM 218")</f>
        <v>BUILDING 140 ROOM 218</v>
      </c>
      <c r="I599" t="str">
        <f>T("SAN DIEGO")</f>
        <v>SAN DIEGO</v>
      </c>
      <c r="J599" t="str">
        <f>T("CA")</f>
        <v>CA</v>
      </c>
      <c r="K599" t="str">
        <f>T("6192215602")</f>
        <v>6192215602</v>
      </c>
      <c r="L599" t="str">
        <f>T("6192215484")</f>
        <v>6192215484</v>
      </c>
    </row>
    <row r="600" spans="1:12" x14ac:dyDescent="0.35">
      <c r="A600" t="str">
        <f t="shared" si="253"/>
        <v>OFFICE OF NAVAL RESEARCH</v>
      </c>
      <c r="B600" t="str">
        <f>T("230 S DEARBORN ST STE 380")</f>
        <v>230 S DEARBORN ST STE 380</v>
      </c>
      <c r="C600" t="str">
        <f>T("J C KLUCZYNSKI FED BLDG CODE 245")</f>
        <v>J C KLUCZYNSKI FED BLDG CODE 245</v>
      </c>
      <c r="D600" t="str">
        <f>T("CHICAGO")</f>
        <v>CHICAGO</v>
      </c>
      <c r="E600" t="str">
        <f>T("IL")</f>
        <v>IL</v>
      </c>
      <c r="F600" t="str">
        <f>T("606041595")</f>
        <v>606041595</v>
      </c>
      <c r="G600" t="str">
        <f>T("230 S DEARBORN ST STE 380")</f>
        <v>230 S DEARBORN ST STE 380</v>
      </c>
      <c r="H600" t="str">
        <f>T("J C KLUCZYNSKI FED BLDG CODE 245")</f>
        <v>J C KLUCZYNSKI FED BLDG CODE 245</v>
      </c>
      <c r="I600" t="str">
        <f>T("CHICAGO")</f>
        <v>CHICAGO</v>
      </c>
      <c r="J600" t="str">
        <f>T("IL")</f>
        <v>IL</v>
      </c>
      <c r="K600" t="str">
        <f>T("3123536089")</f>
        <v>3123536089</v>
      </c>
      <c r="L600" t="str">
        <f>T("3128862626")</f>
        <v>3128862626</v>
      </c>
    </row>
    <row r="601" spans="1:12" x14ac:dyDescent="0.35">
      <c r="A601" t="str">
        <f t="shared" si="253"/>
        <v>OFFICE OF NAVAL RESEARCH</v>
      </c>
      <c r="B601" t="str">
        <f>T("230 S DEARBORN ST STE 380")</f>
        <v>230 S DEARBORN ST STE 380</v>
      </c>
      <c r="C601" t="str">
        <f>T("J C KLUCZYNSKI FED BLDG CODE 245")</f>
        <v>J C KLUCZYNSKI FED BLDG CODE 245</v>
      </c>
      <c r="D601" t="str">
        <f>T("CHICAGO")</f>
        <v>CHICAGO</v>
      </c>
      <c r="E601" t="str">
        <f>T("IL")</f>
        <v>IL</v>
      </c>
      <c r="F601" t="str">
        <f>T("606041595")</f>
        <v>606041595</v>
      </c>
      <c r="G601" t="str">
        <f>T("230 S DEARBORN STREET SUITE 380")</f>
        <v>230 S DEARBORN STREET SUITE 380</v>
      </c>
      <c r="H601" t="str">
        <f>T("JOHN C KLUCZYNSKI FED BLDG")</f>
        <v>JOHN C KLUCZYNSKI FED BLDG</v>
      </c>
      <c r="I601" t="str">
        <f>T("CHICAGO")</f>
        <v>CHICAGO</v>
      </c>
      <c r="J601" t="str">
        <f>T("IL")</f>
        <v>IL</v>
      </c>
      <c r="K601" t="str">
        <f>T("3123536089")</f>
        <v>3123536089</v>
      </c>
      <c r="L601" t="str">
        <f>T("3128862625")</f>
        <v>3128862625</v>
      </c>
    </row>
    <row r="602" spans="1:12" x14ac:dyDescent="0.35">
      <c r="A602" t="str">
        <f t="shared" si="253"/>
        <v>OFFICE OF NAVAL RESEARCH</v>
      </c>
      <c r="B602" t="str">
        <f>T("300 5TH AVENUE SUITE 710")</f>
        <v>300 5TH AVENUE SUITE 710</v>
      </c>
      <c r="C602" t="str">
        <f>T("CODE 247")</f>
        <v>CODE 247</v>
      </c>
      <c r="D602" t="str">
        <f>T("SEATTLE")</f>
        <v>SEATTLE</v>
      </c>
      <c r="E602" t="str">
        <f>T("WA")</f>
        <v>WA</v>
      </c>
      <c r="F602" t="str">
        <f>T("981043251")</f>
        <v>981043251</v>
      </c>
      <c r="G602" t="str">
        <f>T("300 5TH AVENUE SUITE 710")</f>
        <v>300 5TH AVENUE SUITE 710</v>
      </c>
      <c r="H602" t="str">
        <f>T("")</f>
        <v/>
      </c>
      <c r="I602" t="str">
        <f>T("SEATTLE")</f>
        <v>SEATTLE</v>
      </c>
      <c r="J602" t="str">
        <f>T("WA")</f>
        <v>WA</v>
      </c>
      <c r="K602" t="str">
        <f>T("2065487272")</f>
        <v>2065487272</v>
      </c>
      <c r="L602" t="str">
        <f>T("2065487235")</f>
        <v>2065487235</v>
      </c>
    </row>
    <row r="603" spans="1:12" x14ac:dyDescent="0.35">
      <c r="A603" t="str">
        <f t="shared" si="253"/>
        <v>OFFICE OF NAVAL RESEARCH</v>
      </c>
      <c r="B603" t="str">
        <f>T("300 5TH AVENUE SUITE 710")</f>
        <v>300 5TH AVENUE SUITE 710</v>
      </c>
      <c r="C603" t="str">
        <f>T("CODE 247")</f>
        <v>CODE 247</v>
      </c>
      <c r="D603" t="str">
        <f>T("SEATTLE")</f>
        <v>SEATTLE</v>
      </c>
      <c r="E603" t="str">
        <f>T("WA")</f>
        <v>WA</v>
      </c>
      <c r="F603" t="str">
        <f>T("981043251")</f>
        <v>981043251</v>
      </c>
      <c r="G603" t="str">
        <f>T("300 5TH AVENUE SUITE 710")</f>
        <v>300 5TH AVENUE SUITE 710</v>
      </c>
      <c r="H603" t="str">
        <f>T("CODE 247")</f>
        <v>CODE 247</v>
      </c>
      <c r="I603" t="str">
        <f>T("SEATTLE")</f>
        <v>SEATTLE</v>
      </c>
      <c r="J603" t="str">
        <f>T("WA")</f>
        <v>WA</v>
      </c>
      <c r="K603" t="str">
        <f>T("2065487272")</f>
        <v>2065487272</v>
      </c>
      <c r="L603" t="str">
        <f>T("2065487236")</f>
        <v>2065487236</v>
      </c>
    </row>
    <row r="604" spans="1:12" x14ac:dyDescent="0.35">
      <c r="A604" t="str">
        <f t="shared" si="253"/>
        <v>OFFICE OF NAVAL RESEARCH</v>
      </c>
      <c r="B604" t="str">
        <f>T("495 SUMMER ST RM 627")</f>
        <v>495 SUMMER ST RM 627</v>
      </c>
      <c r="C604" t="str">
        <f>T("CODE 244")</f>
        <v>CODE 244</v>
      </c>
      <c r="D604" t="str">
        <f>T("BOSTON")</f>
        <v>BOSTON</v>
      </c>
      <c r="E604" t="str">
        <f>T("MA")</f>
        <v>MA</v>
      </c>
      <c r="F604" t="str">
        <f>T("022102109")</f>
        <v>022102109</v>
      </c>
      <c r="G604" t="str">
        <f>T("495 SUMMER ST RM 627")</f>
        <v>495 SUMMER ST RM 627</v>
      </c>
      <c r="H604" t="str">
        <f>T("CODE 244")</f>
        <v>CODE 244</v>
      </c>
      <c r="I604" t="str">
        <f>T("BOSTON")</f>
        <v>BOSTON</v>
      </c>
      <c r="J604" t="str">
        <f>T("MA")</f>
        <v>MA</v>
      </c>
      <c r="K604" t="str">
        <f>T("6177534605")</f>
        <v>6177534605</v>
      </c>
      <c r="L604" t="str">
        <f>T("6177534628")</f>
        <v>6177534628</v>
      </c>
    </row>
    <row r="605" spans="1:12" x14ac:dyDescent="0.35">
      <c r="A605" t="str">
        <f t="shared" si="253"/>
        <v>OFFICE OF NAVAL RESEARCH</v>
      </c>
      <c r="B605" t="str">
        <f>T("495 SUMMER ST RM 627")</f>
        <v>495 SUMMER ST RM 627</v>
      </c>
      <c r="C605" t="str">
        <f>T("CODE 244")</f>
        <v>CODE 244</v>
      </c>
      <c r="D605" t="str">
        <f>T("BOSTON")</f>
        <v>BOSTON</v>
      </c>
      <c r="E605" t="str">
        <f>T("MA")</f>
        <v>MA</v>
      </c>
      <c r="F605" t="str">
        <f>T("022102109")</f>
        <v>022102109</v>
      </c>
      <c r="G605" t="str">
        <f>T("495 SUMMER STREET")</f>
        <v>495 SUMMER STREET</v>
      </c>
      <c r="H605" t="str">
        <f>T("ONR CODE 244 ROOM 627")</f>
        <v>ONR CODE 244 ROOM 627</v>
      </c>
      <c r="I605" t="str">
        <f>T("BOSTON")</f>
        <v>BOSTON</v>
      </c>
      <c r="J605" t="str">
        <f>T("MA")</f>
        <v>MA</v>
      </c>
      <c r="K605" t="str">
        <f>T("000000000000000000")</f>
        <v>000000000000000000</v>
      </c>
      <c r="L605" t="str">
        <f>T("6177534004")</f>
        <v>6177534004</v>
      </c>
    </row>
    <row r="606" spans="1:12" x14ac:dyDescent="0.35">
      <c r="A606" t="str">
        <f t="shared" si="253"/>
        <v>OFFICE OF NAVAL RESEARCH</v>
      </c>
      <c r="B606" t="str">
        <f>T("575 N. RANDOLPH STREET")</f>
        <v>575 N. RANDOLPH STREET</v>
      </c>
      <c r="C606" t="str">
        <f>T("ONR CODE 32, ROOM 1008")</f>
        <v>ONR CODE 32, ROOM 1008</v>
      </c>
      <c r="D606" t="str">
        <f t="shared" ref="D606:D640" si="254">T("ARLINGTON")</f>
        <v>ARLINGTON</v>
      </c>
      <c r="E606" t="str">
        <f t="shared" ref="E606:E640" si="255">T("VA")</f>
        <v>VA</v>
      </c>
      <c r="F606" t="str">
        <f>T("222032112")</f>
        <v>222032112</v>
      </c>
      <c r="G606" t="str">
        <f>T("575 N. RANDOLPH STREET")</f>
        <v>575 N. RANDOLPH STREET</v>
      </c>
      <c r="H606" t="str">
        <f>T("ONR CODE 32, ROOM 1008")</f>
        <v>ONR CODE 32, ROOM 1008</v>
      </c>
      <c r="I606" t="str">
        <f t="shared" ref="I606:I640" si="256">T("ARLINGTON")</f>
        <v>ARLINGTON</v>
      </c>
      <c r="J606" t="str">
        <f t="shared" ref="J606:J640" si="257">T("VA")</f>
        <v>VA</v>
      </c>
      <c r="K606" t="str">
        <f>T("000000000000000000")</f>
        <v>000000000000000000</v>
      </c>
      <c r="L606" t="str">
        <f>T("7036964125")</f>
        <v>7036964125</v>
      </c>
    </row>
    <row r="607" spans="1:12" x14ac:dyDescent="0.35">
      <c r="A607" t="str">
        <f t="shared" si="253"/>
        <v>OFFICE OF NAVAL RESEARCH</v>
      </c>
      <c r="B607" t="str">
        <f>T("575 N. RANDOLPH STREET")</f>
        <v>575 N. RANDOLPH STREET</v>
      </c>
      <c r="C607" t="str">
        <f>T("ONR CODE 32, ROOM 1008")</f>
        <v>ONR CODE 32, ROOM 1008</v>
      </c>
      <c r="D607" t="str">
        <f t="shared" si="254"/>
        <v>ARLINGTON</v>
      </c>
      <c r="E607" t="str">
        <f t="shared" si="255"/>
        <v>VA</v>
      </c>
      <c r="F607" t="str">
        <f>T("222032112")</f>
        <v>222032112</v>
      </c>
      <c r="G607" t="str">
        <f>T("875 NORTH RANDOLPH STREET")</f>
        <v>875 NORTH RANDOLPH STREET</v>
      </c>
      <c r="H607" t="str">
        <f>T("ONR CODE 322 ROOM 1002A")</f>
        <v>ONR CODE 322 ROOM 1002A</v>
      </c>
      <c r="I607" t="str">
        <f t="shared" si="256"/>
        <v>ARLINGTON</v>
      </c>
      <c r="J607" t="str">
        <f t="shared" si="257"/>
        <v>VA</v>
      </c>
      <c r="K607" t="str">
        <f>T("7036962007")</f>
        <v>7036962007</v>
      </c>
      <c r="L607" t="str">
        <f>T("7036968128")</f>
        <v>7036968128</v>
      </c>
    </row>
    <row r="608" spans="1:12" x14ac:dyDescent="0.35">
      <c r="A608" t="str">
        <f t="shared" si="253"/>
        <v>OFFICE OF NAVAL RESEARCH</v>
      </c>
      <c r="B608" t="str">
        <f t="shared" ref="B608:B625" si="258">T("875 N RANDOLPH ST")</f>
        <v>875 N RANDOLPH ST</v>
      </c>
      <c r="C608" t="str">
        <f>T("CIO OFC ROOM 502")</f>
        <v>CIO OFC ROOM 502</v>
      </c>
      <c r="D608" t="str">
        <f t="shared" si="254"/>
        <v>ARLINGTON</v>
      </c>
      <c r="E608" t="str">
        <f t="shared" si="255"/>
        <v>VA</v>
      </c>
      <c r="F608" t="str">
        <f t="shared" ref="F608:F632" si="259">T("222031986")</f>
        <v>222031986</v>
      </c>
      <c r="G608" t="str">
        <f>T("875 N RANDOLPH ST")</f>
        <v>875 N RANDOLPH ST</v>
      </c>
      <c r="H608" t="str">
        <f>T("CIO OFC ROOM 502")</f>
        <v>CIO OFC ROOM 502</v>
      </c>
      <c r="I608" t="str">
        <f t="shared" si="256"/>
        <v>ARLINGTON</v>
      </c>
      <c r="J608" t="str">
        <f t="shared" si="257"/>
        <v>VA</v>
      </c>
      <c r="K608" t="str">
        <f>T("703 696 6156")</f>
        <v>703 696 6156</v>
      </c>
      <c r="L608" t="str">
        <f>T("7036964015")</f>
        <v>7036964015</v>
      </c>
    </row>
    <row r="609" spans="1:12" x14ac:dyDescent="0.35">
      <c r="A609" t="str">
        <f t="shared" si="253"/>
        <v>OFFICE OF NAVAL RESEARCH</v>
      </c>
      <c r="B609" t="str">
        <f t="shared" si="258"/>
        <v>875 N RANDOLPH ST</v>
      </c>
      <c r="C609" t="str">
        <f>T("CODE 03TSB RM261")</f>
        <v>CODE 03TSB RM261</v>
      </c>
      <c r="D609" t="str">
        <f t="shared" si="254"/>
        <v>ARLINGTON</v>
      </c>
      <c r="E609" t="str">
        <f t="shared" si="255"/>
        <v>VA</v>
      </c>
      <c r="F609" t="str">
        <f t="shared" si="259"/>
        <v>222031986</v>
      </c>
      <c r="G609" t="str">
        <f>T("875 N RANDOLPH ST")</f>
        <v>875 N RANDOLPH ST</v>
      </c>
      <c r="H609" t="str">
        <f>T("CODE 03TSB RM261")</f>
        <v>CODE 03TSB RM261</v>
      </c>
      <c r="I609" t="str">
        <f t="shared" si="256"/>
        <v>ARLINGTON</v>
      </c>
      <c r="J609" t="str">
        <f t="shared" si="257"/>
        <v>VA</v>
      </c>
      <c r="K609" t="str">
        <f>T("")</f>
        <v/>
      </c>
      <c r="L609" t="str">
        <f>T("7036963475")</f>
        <v>7036963475</v>
      </c>
    </row>
    <row r="610" spans="1:12" x14ac:dyDescent="0.35">
      <c r="A610" t="str">
        <f t="shared" si="253"/>
        <v>OFFICE OF NAVAL RESEARCH</v>
      </c>
      <c r="B610" t="str">
        <f t="shared" si="258"/>
        <v>875 N RANDOLPH ST</v>
      </c>
      <c r="C610" t="str">
        <f>T("CODE 03TSB RM261")</f>
        <v>CODE 03TSB RM261</v>
      </c>
      <c r="D610" t="str">
        <f t="shared" si="254"/>
        <v>ARLINGTON</v>
      </c>
      <c r="E610" t="str">
        <f t="shared" si="255"/>
        <v>VA</v>
      </c>
      <c r="F610" t="str">
        <f t="shared" si="259"/>
        <v>222031986</v>
      </c>
      <c r="G610" t="str">
        <f>T("875 NORTH RANDOLPH STREET")</f>
        <v>875 NORTH RANDOLPH STREET</v>
      </c>
      <c r="H610" t="str">
        <f>T("ONR CODE 03T ROOM 1406")</f>
        <v>ONR CODE 03T ROOM 1406</v>
      </c>
      <c r="I610" t="str">
        <f t="shared" si="256"/>
        <v>ARLINGTON</v>
      </c>
      <c r="J610" t="str">
        <f t="shared" si="257"/>
        <v>VA</v>
      </c>
      <c r="K610" t="str">
        <f>T("000000000000000000")</f>
        <v>000000000000000000</v>
      </c>
      <c r="L610" t="str">
        <f>T("7036964024")</f>
        <v>7036964024</v>
      </c>
    </row>
    <row r="611" spans="1:12" x14ac:dyDescent="0.35">
      <c r="A611" t="str">
        <f t="shared" si="253"/>
        <v>OFFICE OF NAVAL RESEARCH</v>
      </c>
      <c r="B611" t="str">
        <f t="shared" si="258"/>
        <v>875 N RANDOLPH ST</v>
      </c>
      <c r="C611" t="str">
        <f>T("CODE 33 RM 655")</f>
        <v>CODE 33 RM 655</v>
      </c>
      <c r="D611" t="str">
        <f t="shared" si="254"/>
        <v>ARLINGTON</v>
      </c>
      <c r="E611" t="str">
        <f t="shared" si="255"/>
        <v>VA</v>
      </c>
      <c r="F611" t="str">
        <f t="shared" si="259"/>
        <v>222031986</v>
      </c>
      <c r="G611" t="str">
        <f>T("875 N RANDOLPH ST")</f>
        <v>875 N RANDOLPH ST</v>
      </c>
      <c r="H611" t="str">
        <f>T("CODE 33 RM 655")</f>
        <v>CODE 33 RM 655</v>
      </c>
      <c r="I611" t="str">
        <f t="shared" si="256"/>
        <v>ARLINGTON</v>
      </c>
      <c r="J611" t="str">
        <f t="shared" si="257"/>
        <v>VA</v>
      </c>
      <c r="K611" t="str">
        <f>T("703 696 0934")</f>
        <v>703 696 0934</v>
      </c>
      <c r="L611" t="str">
        <f>T("7036965642")</f>
        <v>7036965642</v>
      </c>
    </row>
    <row r="612" spans="1:12" x14ac:dyDescent="0.35">
      <c r="A612" t="str">
        <f t="shared" si="253"/>
        <v>OFFICE OF NAVAL RESEARCH</v>
      </c>
      <c r="B612" t="str">
        <f t="shared" si="258"/>
        <v>875 N RANDOLPH ST</v>
      </c>
      <c r="C612" t="str">
        <f>T("CODE 33 RM 655")</f>
        <v>CODE 33 RM 655</v>
      </c>
      <c r="D612" t="str">
        <f t="shared" si="254"/>
        <v>ARLINGTON</v>
      </c>
      <c r="E612" t="str">
        <f t="shared" si="255"/>
        <v>VA</v>
      </c>
      <c r="F612" t="str">
        <f t="shared" si="259"/>
        <v>222031986</v>
      </c>
      <c r="G612" t="str">
        <f>T("875 NORTH RANDOLPH STREET")</f>
        <v>875 NORTH RANDOLPH STREET</v>
      </c>
      <c r="H612" t="str">
        <f>T("ONR CODE 33 ROOM 610")</f>
        <v>ONR CODE 33 ROOM 610</v>
      </c>
      <c r="I612" t="str">
        <f t="shared" si="256"/>
        <v>ARLINGTON</v>
      </c>
      <c r="J612" t="str">
        <f t="shared" si="257"/>
        <v>VA</v>
      </c>
      <c r="K612" t="str">
        <f>T("7036964097")</f>
        <v>7036964097</v>
      </c>
      <c r="L612" t="str">
        <f>T("7036964744")</f>
        <v>7036964744</v>
      </c>
    </row>
    <row r="613" spans="1:12" x14ac:dyDescent="0.35">
      <c r="A613" t="str">
        <f t="shared" si="253"/>
        <v>OFFICE OF NAVAL RESEARCH</v>
      </c>
      <c r="B613" t="str">
        <f t="shared" si="258"/>
        <v>875 N RANDOLPH ST</v>
      </c>
      <c r="C613" t="str">
        <f>T("OFFIC OF COUNSEL RM 523")</f>
        <v>OFFIC OF COUNSEL RM 523</v>
      </c>
      <c r="D613" t="str">
        <f t="shared" si="254"/>
        <v>ARLINGTON</v>
      </c>
      <c r="E613" t="str">
        <f t="shared" si="255"/>
        <v>VA</v>
      </c>
      <c r="F613" t="str">
        <f t="shared" si="259"/>
        <v>222031986</v>
      </c>
      <c r="G613" t="str">
        <f>T("875 N RANDOLPH ST")</f>
        <v>875 N RANDOLPH ST</v>
      </c>
      <c r="H613" t="str">
        <f>T("OFFIC OF COUNSEL RM 523")</f>
        <v>OFFIC OF COUNSEL RM 523</v>
      </c>
      <c r="I613" t="str">
        <f t="shared" si="256"/>
        <v>ARLINGTON</v>
      </c>
      <c r="J613" t="str">
        <f t="shared" si="257"/>
        <v>VA</v>
      </c>
      <c r="K613" t="str">
        <f>T("703 696 6909")</f>
        <v>703 696 6909</v>
      </c>
      <c r="L613" t="str">
        <f>T("7036964007")</f>
        <v>7036964007</v>
      </c>
    </row>
    <row r="614" spans="1:12" x14ac:dyDescent="0.35">
      <c r="A614" t="str">
        <f t="shared" si="253"/>
        <v>OFFICE OF NAVAL RESEARCH</v>
      </c>
      <c r="B614" t="str">
        <f t="shared" si="258"/>
        <v>875 N RANDOLPH ST</v>
      </c>
      <c r="C614" t="str">
        <f>T("OFFIC OF COUNSEL RM 523")</f>
        <v>OFFIC OF COUNSEL RM 523</v>
      </c>
      <c r="D614" t="str">
        <f t="shared" si="254"/>
        <v>ARLINGTON</v>
      </c>
      <c r="E614" t="str">
        <f t="shared" si="255"/>
        <v>VA</v>
      </c>
      <c r="F614" t="str">
        <f t="shared" si="259"/>
        <v>222031986</v>
      </c>
      <c r="G614" t="str">
        <f>T("875 N RANDOLPH STREET")</f>
        <v>875 N RANDOLPH STREET</v>
      </c>
      <c r="H614" t="str">
        <f>T("ONR CODE 00CC ROOM 518")</f>
        <v>ONR CODE 00CC ROOM 518</v>
      </c>
      <c r="I614" t="str">
        <f t="shared" si="256"/>
        <v>ARLINGTON</v>
      </c>
      <c r="J614" t="str">
        <f t="shared" si="257"/>
        <v>VA</v>
      </c>
      <c r="K614" t="str">
        <f>T("7036966909")</f>
        <v>7036966909</v>
      </c>
      <c r="L614" t="str">
        <f>T("7036964010")</f>
        <v>7036964010</v>
      </c>
    </row>
    <row r="615" spans="1:12" x14ac:dyDescent="0.35">
      <c r="A615" t="str">
        <f t="shared" si="253"/>
        <v>OFFICE OF NAVAL RESEARCH</v>
      </c>
      <c r="B615" t="str">
        <f t="shared" si="258"/>
        <v>875 N RANDOLPH ST</v>
      </c>
      <c r="C615" t="str">
        <f>T("ONR CODE 02, ROOM 1244")</f>
        <v>ONR CODE 02, ROOM 1244</v>
      </c>
      <c r="D615" t="str">
        <f t="shared" si="254"/>
        <v>ARLINGTON</v>
      </c>
      <c r="E615" t="str">
        <f t="shared" si="255"/>
        <v>VA</v>
      </c>
      <c r="F615" t="str">
        <f t="shared" si="259"/>
        <v>222031986</v>
      </c>
      <c r="G615" t="str">
        <f>T("875 N RANDOLPH ST")</f>
        <v>875 N RANDOLPH ST</v>
      </c>
      <c r="H615" t="str">
        <f>T("ONR CODE 02, ROOM 1244")</f>
        <v>ONR CODE 02, ROOM 1244</v>
      </c>
      <c r="I615" t="str">
        <f t="shared" si="256"/>
        <v>ARLINGTON</v>
      </c>
      <c r="J615" t="str">
        <f t="shared" si="257"/>
        <v>VA</v>
      </c>
      <c r="K615" t="str">
        <f>T("703 696 4430")</f>
        <v>703 696 4430</v>
      </c>
      <c r="L615" t="str">
        <f>T("7036964601")</f>
        <v>7036964601</v>
      </c>
    </row>
    <row r="616" spans="1:12" x14ac:dyDescent="0.35">
      <c r="A616" t="str">
        <f t="shared" si="253"/>
        <v>OFFICE OF NAVAL RESEARCH</v>
      </c>
      <c r="B616" t="str">
        <f t="shared" si="258"/>
        <v>875 N RANDOLPH ST</v>
      </c>
      <c r="C616" t="str">
        <f>T("ONR CODE 02, ROOM 1244")</f>
        <v>ONR CODE 02, ROOM 1244</v>
      </c>
      <c r="D616" t="str">
        <f t="shared" si="254"/>
        <v>ARLINGTON</v>
      </c>
      <c r="E616" t="str">
        <f t="shared" si="255"/>
        <v>VA</v>
      </c>
      <c r="F616" t="str">
        <f t="shared" si="259"/>
        <v>222031986</v>
      </c>
      <c r="G616" t="str">
        <f>T("875 N RANDOLPH STREET")</f>
        <v>875 N RANDOLPH STREET</v>
      </c>
      <c r="H616" t="str">
        <f>T("ONR CODE 02A ROOM A1239")</f>
        <v>ONR CODE 02A ROOM A1239</v>
      </c>
      <c r="I616" t="str">
        <f t="shared" si="256"/>
        <v>ARLINGTON</v>
      </c>
      <c r="J616" t="str">
        <f t="shared" si="257"/>
        <v>VA</v>
      </c>
      <c r="K616" t="str">
        <f>T("000000000000000000")</f>
        <v>000000000000000000</v>
      </c>
      <c r="L616" t="str">
        <f>T("7036964259")</f>
        <v>7036964259</v>
      </c>
    </row>
    <row r="617" spans="1:12" x14ac:dyDescent="0.35">
      <c r="A617" t="str">
        <f t="shared" si="253"/>
        <v>OFFICE OF NAVAL RESEARCH</v>
      </c>
      <c r="B617" t="str">
        <f t="shared" si="258"/>
        <v>875 N RANDOLPH ST</v>
      </c>
      <c r="C617" t="str">
        <f>T("ONR CODE 02, ROOM 1244")</f>
        <v>ONR CODE 02, ROOM 1244</v>
      </c>
      <c r="D617" t="str">
        <f t="shared" si="254"/>
        <v>ARLINGTON</v>
      </c>
      <c r="E617" t="str">
        <f t="shared" si="255"/>
        <v>VA</v>
      </c>
      <c r="F617" t="str">
        <f t="shared" si="259"/>
        <v>222031986</v>
      </c>
      <c r="G617" t="str">
        <f>T("875 NORTH RANDOLPH STREET")</f>
        <v>875 NORTH RANDOLPH STREET</v>
      </c>
      <c r="H617" t="str">
        <f>T("ONR CODE 22 ROOM 1234B")</f>
        <v>ONR CODE 22 ROOM 1234B</v>
      </c>
      <c r="I617" t="str">
        <f t="shared" si="256"/>
        <v>ARLINGTON</v>
      </c>
      <c r="J617" t="str">
        <f t="shared" si="257"/>
        <v>VA</v>
      </c>
      <c r="K617" t="str">
        <f>T("000000000000000000")</f>
        <v>000000000000000000</v>
      </c>
      <c r="L617" t="str">
        <f>T("7036966847")</f>
        <v>7036966847</v>
      </c>
    </row>
    <row r="618" spans="1:12" x14ac:dyDescent="0.35">
      <c r="A618" t="str">
        <f t="shared" si="253"/>
        <v>OFFICE OF NAVAL RESEARCH</v>
      </c>
      <c r="B618" t="str">
        <f t="shared" si="258"/>
        <v>875 N RANDOLPH ST</v>
      </c>
      <c r="C618" t="str">
        <f>T("ONR CODE 31 RM 1110")</f>
        <v>ONR CODE 31 RM 1110</v>
      </c>
      <c r="D618" t="str">
        <f t="shared" si="254"/>
        <v>ARLINGTON</v>
      </c>
      <c r="E618" t="str">
        <f t="shared" si="255"/>
        <v>VA</v>
      </c>
      <c r="F618" t="str">
        <f t="shared" si="259"/>
        <v>222031986</v>
      </c>
      <c r="G618" t="str">
        <f>T("875 N RANDOLPH ST")</f>
        <v>875 N RANDOLPH ST</v>
      </c>
      <c r="H618" t="str">
        <f>T("ONR CODE 31 RM 1110")</f>
        <v>ONR CODE 31 RM 1110</v>
      </c>
      <c r="I618" t="str">
        <f t="shared" si="256"/>
        <v>ARLINGTON</v>
      </c>
      <c r="J618" t="str">
        <f t="shared" si="257"/>
        <v>VA</v>
      </c>
      <c r="K618" t="str">
        <f>T("000000000000000000")</f>
        <v>000000000000000000</v>
      </c>
      <c r="L618" t="str">
        <f>T("7036966828")</f>
        <v>7036966828</v>
      </c>
    </row>
    <row r="619" spans="1:12" x14ac:dyDescent="0.35">
      <c r="A619" t="str">
        <f t="shared" si="253"/>
        <v>OFFICE OF NAVAL RESEARCH</v>
      </c>
      <c r="B619" t="str">
        <f t="shared" si="258"/>
        <v>875 N RANDOLPH ST</v>
      </c>
      <c r="C619" t="str">
        <f>T("ONR CODE 31 RM 1110")</f>
        <v>ONR CODE 31 RM 1110</v>
      </c>
      <c r="D619" t="str">
        <f t="shared" si="254"/>
        <v>ARLINGTON</v>
      </c>
      <c r="E619" t="str">
        <f t="shared" si="255"/>
        <v>VA</v>
      </c>
      <c r="F619" t="str">
        <f t="shared" si="259"/>
        <v>222031986</v>
      </c>
      <c r="G619" t="str">
        <f>T("875 N RANDOLPH STREET")</f>
        <v>875 N RANDOLPH STREET</v>
      </c>
      <c r="H619" t="str">
        <f>T("ONR CODE 31 ROOM W1105A")</f>
        <v>ONR CODE 31 ROOM W1105A</v>
      </c>
      <c r="I619" t="str">
        <f t="shared" si="256"/>
        <v>ARLINGTON</v>
      </c>
      <c r="J619" t="str">
        <f t="shared" si="257"/>
        <v>VA</v>
      </c>
      <c r="K619" t="str">
        <f>T("7036961331")</f>
        <v>7036961331</v>
      </c>
      <c r="L619" t="str">
        <f>T("7036965428")</f>
        <v>7036965428</v>
      </c>
    </row>
    <row r="620" spans="1:12" x14ac:dyDescent="0.35">
      <c r="A620" t="str">
        <f t="shared" si="253"/>
        <v>OFFICE OF NAVAL RESEARCH</v>
      </c>
      <c r="B620" t="str">
        <f t="shared" si="258"/>
        <v>875 N RANDOLPH ST</v>
      </c>
      <c r="C620" t="str">
        <f>T("ONR, BDPA, ROOM 1217")</f>
        <v>ONR, BDPA, ROOM 1217</v>
      </c>
      <c r="D620" t="str">
        <f t="shared" si="254"/>
        <v>ARLINGTON</v>
      </c>
      <c r="E620" t="str">
        <f t="shared" si="255"/>
        <v>VA</v>
      </c>
      <c r="F620" t="str">
        <f t="shared" si="259"/>
        <v>222031986</v>
      </c>
      <c r="G620" t="str">
        <f>T("875 N RANDOLPH ST")</f>
        <v>875 N RANDOLPH ST</v>
      </c>
      <c r="H620" t="str">
        <f>T("ONR, BDPA, ROOM 1217")</f>
        <v>ONR, BDPA, ROOM 1217</v>
      </c>
      <c r="I620" t="str">
        <f t="shared" si="256"/>
        <v>ARLINGTON</v>
      </c>
      <c r="J620" t="str">
        <f t="shared" si="257"/>
        <v>VA</v>
      </c>
      <c r="K620" t="str">
        <f>T("000000000000000000")</f>
        <v>000000000000000000</v>
      </c>
      <c r="L620" t="str">
        <f>T("7036960738")</f>
        <v>7036960738</v>
      </c>
    </row>
    <row r="621" spans="1:12" x14ac:dyDescent="0.35">
      <c r="A621" t="str">
        <f t="shared" si="253"/>
        <v>OFFICE OF NAVAL RESEARCH</v>
      </c>
      <c r="B621" t="str">
        <f t="shared" si="258"/>
        <v>875 N RANDOLPH ST</v>
      </c>
      <c r="C621" t="str">
        <f>T("ONR, BDPA, ROOM 1217")</f>
        <v>ONR, BDPA, ROOM 1217</v>
      </c>
      <c r="D621" t="str">
        <f t="shared" si="254"/>
        <v>ARLINGTON</v>
      </c>
      <c r="E621" t="str">
        <f t="shared" si="255"/>
        <v>VA</v>
      </c>
      <c r="F621" t="str">
        <f t="shared" si="259"/>
        <v>222031986</v>
      </c>
      <c r="G621" t="str">
        <f>T("875 N RANDOLPH STREET")</f>
        <v>875 N RANDOLPH STREET</v>
      </c>
      <c r="H621" t="str">
        <f>T("ONR BDPA ROOM W1208")</f>
        <v>ONR BDPA ROOM W1208</v>
      </c>
      <c r="I621" t="str">
        <f t="shared" si="256"/>
        <v>ARLINGTON</v>
      </c>
      <c r="J621" t="str">
        <f t="shared" si="257"/>
        <v>VA</v>
      </c>
      <c r="K621" t="str">
        <f>T("7036965940")</f>
        <v>7036965940</v>
      </c>
      <c r="L621" t="str">
        <f>T("7036965033")</f>
        <v>7036965033</v>
      </c>
    </row>
    <row r="622" spans="1:12" x14ac:dyDescent="0.35">
      <c r="A622" t="str">
        <f t="shared" si="253"/>
        <v>OFFICE OF NAVAL RESEARCH</v>
      </c>
      <c r="B622" t="str">
        <f t="shared" si="258"/>
        <v>875 N RANDOLPH ST</v>
      </c>
      <c r="C622" t="str">
        <f>T("ONRCODE 08B RM 955")</f>
        <v>ONRCODE 08B RM 955</v>
      </c>
      <c r="D622" t="str">
        <f t="shared" si="254"/>
        <v>ARLINGTON</v>
      </c>
      <c r="E622" t="str">
        <f t="shared" si="255"/>
        <v>VA</v>
      </c>
      <c r="F622" t="str">
        <f t="shared" si="259"/>
        <v>222031986</v>
      </c>
      <c r="G622" t="str">
        <f>T("875 N RANDOLPH ST")</f>
        <v>875 N RANDOLPH ST</v>
      </c>
      <c r="H622" t="str">
        <f>T("ONRCODE 08B RM 955")</f>
        <v>ONRCODE 08B RM 955</v>
      </c>
      <c r="I622" t="str">
        <f t="shared" si="256"/>
        <v>ARLINGTON</v>
      </c>
      <c r="J622" t="str">
        <f t="shared" si="257"/>
        <v>VA</v>
      </c>
      <c r="K622" t="str">
        <f>T("7036964435")</f>
        <v>7036964435</v>
      </c>
      <c r="L622" t="str">
        <f>T("7036964280")</f>
        <v>7036964280</v>
      </c>
    </row>
    <row r="623" spans="1:12" x14ac:dyDescent="0.35">
      <c r="A623" t="str">
        <f t="shared" si="253"/>
        <v>OFFICE OF NAVAL RESEARCH</v>
      </c>
      <c r="B623" t="str">
        <f t="shared" si="258"/>
        <v>875 N RANDOLPH ST</v>
      </c>
      <c r="C623" t="str">
        <f>T("ONRCODE 08B RM 955")</f>
        <v>ONRCODE 08B RM 955</v>
      </c>
      <c r="D623" t="str">
        <f t="shared" si="254"/>
        <v>ARLINGTON</v>
      </c>
      <c r="E623" t="str">
        <f t="shared" si="255"/>
        <v>VA</v>
      </c>
      <c r="F623" t="str">
        <f t="shared" si="259"/>
        <v>222031986</v>
      </c>
      <c r="G623" t="str">
        <f>T("875 N RANDOLPH STREET STE 1425")</f>
        <v>875 N RANDOLPH STREET STE 1425</v>
      </c>
      <c r="H623" t="str">
        <f>T("ONR CODE 08 ROOM 957")</f>
        <v>ONR CODE 08 ROOM 957</v>
      </c>
      <c r="I623" t="str">
        <f t="shared" si="256"/>
        <v>ARLINGTON</v>
      </c>
      <c r="J623" t="str">
        <f t="shared" si="257"/>
        <v>VA</v>
      </c>
      <c r="K623" t="str">
        <f>T("7036964435")</f>
        <v>7036964435</v>
      </c>
      <c r="L623" t="str">
        <f>T("7035882954")</f>
        <v>7035882954</v>
      </c>
    </row>
    <row r="624" spans="1:12" x14ac:dyDescent="0.35">
      <c r="A624" t="str">
        <f t="shared" si="253"/>
        <v>OFFICE OF NAVAL RESEARCH</v>
      </c>
      <c r="B624" t="str">
        <f t="shared" si="258"/>
        <v>875 N RANDOLPH ST</v>
      </c>
      <c r="C624" t="str">
        <f>T("STE 1425 ONR CODE 41 RM 625")</f>
        <v>STE 1425 ONR CODE 41 RM 625</v>
      </c>
      <c r="D624" t="str">
        <f t="shared" si="254"/>
        <v>ARLINGTON</v>
      </c>
      <c r="E624" t="str">
        <f t="shared" si="255"/>
        <v>VA</v>
      </c>
      <c r="F624" t="str">
        <f t="shared" si="259"/>
        <v>222031986</v>
      </c>
      <c r="G624" t="str">
        <f>T("875 N RANDOLPH ST")</f>
        <v>875 N RANDOLPH ST</v>
      </c>
      <c r="H624" t="str">
        <f>T("STE 1425 ONR CODE 41 RM 625")</f>
        <v>STE 1425 ONR CODE 41 RM 625</v>
      </c>
      <c r="I624" t="str">
        <f t="shared" si="256"/>
        <v>ARLINGTON</v>
      </c>
      <c r="J624" t="str">
        <f t="shared" si="257"/>
        <v>VA</v>
      </c>
      <c r="K624" t="str">
        <f>T("7036964097")</f>
        <v>7036964097</v>
      </c>
      <c r="L624" t="str">
        <f>T("7036964613")</f>
        <v>7036964613</v>
      </c>
    </row>
    <row r="625" spans="1:12" x14ac:dyDescent="0.35">
      <c r="A625" t="str">
        <f t="shared" si="253"/>
        <v>OFFICE OF NAVAL RESEARCH</v>
      </c>
      <c r="B625" t="str">
        <f t="shared" si="258"/>
        <v>875 N RANDOLPH ST</v>
      </c>
      <c r="C625" t="str">
        <f>T("STE 1425 ONR CODE 41 RM 625")</f>
        <v>STE 1425 ONR CODE 41 RM 625</v>
      </c>
      <c r="D625" t="str">
        <f t="shared" si="254"/>
        <v>ARLINGTON</v>
      </c>
      <c r="E625" t="str">
        <f t="shared" si="255"/>
        <v>VA</v>
      </c>
      <c r="F625" t="str">
        <f t="shared" si="259"/>
        <v>222031986</v>
      </c>
      <c r="G625" t="str">
        <f>T("875 NORTH RANDOLPH STREET")</f>
        <v>875 NORTH RANDOLPH STREET</v>
      </c>
      <c r="H625" t="str">
        <f>T("ONR CODE 42 ROOM 611L")</f>
        <v>ONR CODE 42 ROOM 611L</v>
      </c>
      <c r="I625" t="str">
        <f t="shared" si="256"/>
        <v>ARLINGTON</v>
      </c>
      <c r="J625" t="str">
        <f t="shared" si="257"/>
        <v>VA</v>
      </c>
      <c r="K625" t="str">
        <f>T("7036964097")</f>
        <v>7036964097</v>
      </c>
      <c r="L625" t="str">
        <f>T("7036964623")</f>
        <v>7036964623</v>
      </c>
    </row>
    <row r="626" spans="1:12" x14ac:dyDescent="0.35">
      <c r="A626" t="str">
        <f t="shared" si="253"/>
        <v>OFFICE OF NAVAL RESEARCH</v>
      </c>
      <c r="B626" t="str">
        <f>T("875 N RANDOLPH ST RM 1143A")</f>
        <v>875 N RANDOLPH ST RM 1143A</v>
      </c>
      <c r="C626" t="str">
        <f>T("ONR CODE 35")</f>
        <v>ONR CODE 35</v>
      </c>
      <c r="D626" t="str">
        <f t="shared" si="254"/>
        <v>ARLINGTON</v>
      </c>
      <c r="E626" t="str">
        <f t="shared" si="255"/>
        <v>VA</v>
      </c>
      <c r="F626" t="str">
        <f t="shared" si="259"/>
        <v>222031986</v>
      </c>
      <c r="G626" t="str">
        <f>T("875 N RANDOLPH ST RM 1143A")</f>
        <v>875 N RANDOLPH ST RM 1143A</v>
      </c>
      <c r="H626" t="str">
        <f>T("ONR CODE 35")</f>
        <v>ONR CODE 35</v>
      </c>
      <c r="I626" t="str">
        <f t="shared" si="256"/>
        <v>ARLINGTON</v>
      </c>
      <c r="J626" t="str">
        <f t="shared" si="257"/>
        <v>VA</v>
      </c>
      <c r="K626" t="str">
        <f>T("000000000000000000")</f>
        <v>000000000000000000</v>
      </c>
      <c r="L626" t="str">
        <f>T("7036962094")</f>
        <v>7036962094</v>
      </c>
    </row>
    <row r="627" spans="1:12" x14ac:dyDescent="0.35">
      <c r="A627" t="str">
        <f t="shared" si="253"/>
        <v>OFFICE OF NAVAL RESEARCH</v>
      </c>
      <c r="B627" t="str">
        <f>T("875 N RANDOLPH ST RM 1143A")</f>
        <v>875 N RANDOLPH ST RM 1143A</v>
      </c>
      <c r="C627" t="str">
        <f>T("ONR CODE 35")</f>
        <v>ONR CODE 35</v>
      </c>
      <c r="D627" t="str">
        <f t="shared" si="254"/>
        <v>ARLINGTON</v>
      </c>
      <c r="E627" t="str">
        <f t="shared" si="255"/>
        <v>VA</v>
      </c>
      <c r="F627" t="str">
        <f t="shared" si="259"/>
        <v>222031986</v>
      </c>
      <c r="G627" t="str">
        <f>T("875 N RANDOLPH STREET ROOM 1150")</f>
        <v>875 N RANDOLPH STREET ROOM 1150</v>
      </c>
      <c r="H627" t="str">
        <f>T("ONR CODE 35")</f>
        <v>ONR CODE 35</v>
      </c>
      <c r="I627" t="str">
        <f t="shared" si="256"/>
        <v>ARLINGTON</v>
      </c>
      <c r="J627" t="str">
        <f t="shared" si="257"/>
        <v>VA</v>
      </c>
      <c r="K627" t="str">
        <f>T("7036964274")</f>
        <v>7036964274</v>
      </c>
      <c r="L627" t="str">
        <f>T("7036964771")</f>
        <v>7036964771</v>
      </c>
    </row>
    <row r="628" spans="1:12" x14ac:dyDescent="0.35">
      <c r="A628" t="str">
        <f t="shared" si="253"/>
        <v>OFFICE OF NAVAL RESEARCH</v>
      </c>
      <c r="B628" t="str">
        <f>T("875 N RANDOLPH ST RM 626")</f>
        <v>875 N RANDOLPH ST RM 626</v>
      </c>
      <c r="C628" t="str">
        <f>T("ONR CODE BD043")</f>
        <v>ONR CODE BD043</v>
      </c>
      <c r="D628" t="str">
        <f t="shared" si="254"/>
        <v>ARLINGTON</v>
      </c>
      <c r="E628" t="str">
        <f t="shared" si="255"/>
        <v>VA</v>
      </c>
      <c r="F628" t="str">
        <f t="shared" si="259"/>
        <v>222031986</v>
      </c>
      <c r="G628" t="str">
        <f>T("875 N RANDOLPH ST RM 626")</f>
        <v>875 N RANDOLPH ST RM 626</v>
      </c>
      <c r="H628" t="str">
        <f>T("ONR CODE BD043")</f>
        <v>ONR CODE BD043</v>
      </c>
      <c r="I628" t="str">
        <f t="shared" si="256"/>
        <v>ARLINGTON</v>
      </c>
      <c r="J628" t="str">
        <f t="shared" si="257"/>
        <v>VA</v>
      </c>
      <c r="K628" t="str">
        <f>T("703-696-5126")</f>
        <v>703-696-5126</v>
      </c>
      <c r="L628" t="str">
        <f>T("7036962971")</f>
        <v>7036962971</v>
      </c>
    </row>
    <row r="629" spans="1:12" x14ac:dyDescent="0.35">
      <c r="A629" t="str">
        <f t="shared" si="253"/>
        <v>OFFICE OF NAVAL RESEARCH</v>
      </c>
      <c r="B629" t="str">
        <f>T("875 N RANDOLPH ST RM 626")</f>
        <v>875 N RANDOLPH ST RM 626</v>
      </c>
      <c r="C629" t="str">
        <f>T("ONR CODE BD043")</f>
        <v>ONR CODE BD043</v>
      </c>
      <c r="D629" t="str">
        <f t="shared" si="254"/>
        <v>ARLINGTON</v>
      </c>
      <c r="E629" t="str">
        <f t="shared" si="255"/>
        <v>VA</v>
      </c>
      <c r="F629" t="str">
        <f t="shared" si="259"/>
        <v>222031986</v>
      </c>
      <c r="G629" t="str">
        <f>T("875 NORTH RANDOLPH STREET")</f>
        <v>875 NORTH RANDOLPH STREET</v>
      </c>
      <c r="H629" t="str">
        <f>T("ONR CODE 41 ROOM W611D")</f>
        <v>ONR CODE 41 ROOM W611D</v>
      </c>
      <c r="I629" t="str">
        <f t="shared" si="256"/>
        <v>ARLINGTON</v>
      </c>
      <c r="J629" t="str">
        <f t="shared" si="257"/>
        <v>VA</v>
      </c>
      <c r="K629" t="str">
        <f>T("7036964097")</f>
        <v>7036964097</v>
      </c>
      <c r="L629" t="str">
        <f>T("7036964098")</f>
        <v>7036964098</v>
      </c>
    </row>
    <row r="630" spans="1:12" x14ac:dyDescent="0.35">
      <c r="A630" t="str">
        <f t="shared" si="253"/>
        <v>OFFICE OF NAVAL RESEARCH</v>
      </c>
      <c r="B630" t="str">
        <f>T("875 N RANDOLPH ST RM 626")</f>
        <v>875 N RANDOLPH ST RM 626</v>
      </c>
      <c r="C630" t="str">
        <f>T("ONR CODE BD043")</f>
        <v>ONR CODE BD043</v>
      </c>
      <c r="D630" t="str">
        <f t="shared" si="254"/>
        <v>ARLINGTON</v>
      </c>
      <c r="E630" t="str">
        <f t="shared" si="255"/>
        <v>VA</v>
      </c>
      <c r="F630" t="str">
        <f t="shared" si="259"/>
        <v>222031986</v>
      </c>
      <c r="G630" t="str">
        <f>T("875 NORTH RANDOLPH STREET")</f>
        <v>875 NORTH RANDOLPH STREET</v>
      </c>
      <c r="H630" t="str">
        <f>T("ONR CODE 42 ROOM 616")</f>
        <v>ONR CODE 42 ROOM 616</v>
      </c>
      <c r="I630" t="str">
        <f t="shared" si="256"/>
        <v>ARLINGTON</v>
      </c>
      <c r="J630" t="str">
        <f t="shared" si="257"/>
        <v>VA</v>
      </c>
      <c r="K630" t="str">
        <f>T("7036965383")</f>
        <v>7036965383</v>
      </c>
      <c r="L630" t="str">
        <f>T("7036966699")</f>
        <v>7036966699</v>
      </c>
    </row>
    <row r="631" spans="1:12" x14ac:dyDescent="0.35">
      <c r="A631" t="str">
        <f t="shared" si="253"/>
        <v>OFFICE OF NAVAL RESEARCH</v>
      </c>
      <c r="B631" t="str">
        <f>T("875 N RANDOLPH ST RM535")</f>
        <v>875 N RANDOLPH ST RM535</v>
      </c>
      <c r="C631" t="str">
        <f>T("CODE 01HR")</f>
        <v>CODE 01HR</v>
      </c>
      <c r="D631" t="str">
        <f t="shared" si="254"/>
        <v>ARLINGTON</v>
      </c>
      <c r="E631" t="str">
        <f t="shared" si="255"/>
        <v>VA</v>
      </c>
      <c r="F631" t="str">
        <f t="shared" si="259"/>
        <v>222031986</v>
      </c>
      <c r="G631" t="str">
        <f>T("875 N RANDOLPH ST RM535")</f>
        <v>875 N RANDOLPH ST RM535</v>
      </c>
      <c r="H631" t="str">
        <f>T("CODE 01HR")</f>
        <v>CODE 01HR</v>
      </c>
      <c r="I631" t="str">
        <f t="shared" si="256"/>
        <v>ARLINGTON</v>
      </c>
      <c r="J631" t="str">
        <f t="shared" si="257"/>
        <v>VA</v>
      </c>
      <c r="K631" t="str">
        <f>T("7036963334")</f>
        <v>7036963334</v>
      </c>
      <c r="L631" t="str">
        <f>T("7036960383")</f>
        <v>7036960383</v>
      </c>
    </row>
    <row r="632" spans="1:12" x14ac:dyDescent="0.35">
      <c r="A632" t="str">
        <f t="shared" si="253"/>
        <v>OFFICE OF NAVAL RESEARCH</v>
      </c>
      <c r="B632" t="str">
        <f>T("875 N RANDOLPH ST RM535")</f>
        <v>875 N RANDOLPH ST RM535</v>
      </c>
      <c r="C632" t="str">
        <f>T("CODE 01HR")</f>
        <v>CODE 01HR</v>
      </c>
      <c r="D632" t="str">
        <f t="shared" si="254"/>
        <v>ARLINGTON</v>
      </c>
      <c r="E632" t="str">
        <f t="shared" si="255"/>
        <v>VA</v>
      </c>
      <c r="F632" t="str">
        <f t="shared" si="259"/>
        <v>222031986</v>
      </c>
      <c r="G632" t="str">
        <f>T("875 N RANDOLPH STREET")</f>
        <v>875 N RANDOLPH STREET</v>
      </c>
      <c r="H632" t="str">
        <f>T("CODE 01HR ROOM 530")</f>
        <v>CODE 01HR ROOM 530</v>
      </c>
      <c r="I632" t="str">
        <f t="shared" si="256"/>
        <v>ARLINGTON</v>
      </c>
      <c r="J632" t="str">
        <f t="shared" si="257"/>
        <v>VA</v>
      </c>
      <c r="K632" t="str">
        <f>T("7036965184")</f>
        <v>7036965184</v>
      </c>
      <c r="L632" t="str">
        <f>T("7036964587")</f>
        <v>7036964587</v>
      </c>
    </row>
    <row r="633" spans="1:12" x14ac:dyDescent="0.35">
      <c r="A633" t="str">
        <f t="shared" si="253"/>
        <v>OFFICE OF NAVAL RESEARCH</v>
      </c>
      <c r="B633" t="str">
        <f>T("875 N RANDOLPH ST, STE 1425")</f>
        <v>875 N RANDOLPH ST, STE 1425</v>
      </c>
      <c r="C633" t="str">
        <f>T("ONR GLOBAL ROOM 1426")</f>
        <v>ONR GLOBAL ROOM 1426</v>
      </c>
      <c r="D633" t="str">
        <f t="shared" si="254"/>
        <v>ARLINGTON</v>
      </c>
      <c r="E633" t="str">
        <f t="shared" si="255"/>
        <v>VA</v>
      </c>
      <c r="F633" t="str">
        <f>T("222031995")</f>
        <v>222031995</v>
      </c>
      <c r="G633" t="str">
        <f>T("875 N RANDOLPH ST, STE 1425")</f>
        <v>875 N RANDOLPH ST, STE 1425</v>
      </c>
      <c r="H633" t="str">
        <f>T("ONR GLOBAL ROOM 1426")</f>
        <v>ONR GLOBAL ROOM 1426</v>
      </c>
      <c r="I633" t="str">
        <f t="shared" si="256"/>
        <v>ARLINGTON</v>
      </c>
      <c r="J633" t="str">
        <f t="shared" si="257"/>
        <v>VA</v>
      </c>
      <c r="K633" t="str">
        <f>T("7036961275")</f>
        <v>7036961275</v>
      </c>
      <c r="L633" t="str">
        <f>T("7035882214")</f>
        <v>7035882214</v>
      </c>
    </row>
    <row r="634" spans="1:12" x14ac:dyDescent="0.35">
      <c r="A634" t="str">
        <f t="shared" si="253"/>
        <v>OFFICE OF NAVAL RESEARCH</v>
      </c>
      <c r="B634" t="str">
        <f>T("875 N RANDOLPH ST, STE 1425")</f>
        <v>875 N RANDOLPH ST, STE 1425</v>
      </c>
      <c r="C634" t="str">
        <f>T("ONR GLOBAL ROOM 1426")</f>
        <v>ONR GLOBAL ROOM 1426</v>
      </c>
      <c r="D634" t="str">
        <f t="shared" si="254"/>
        <v>ARLINGTON</v>
      </c>
      <c r="E634" t="str">
        <f t="shared" si="255"/>
        <v>VA</v>
      </c>
      <c r="F634" t="str">
        <f>T("222031995")</f>
        <v>222031995</v>
      </c>
      <c r="G634" t="str">
        <f>T("875 N RANDOLPH STREET")</f>
        <v>875 N RANDOLPH STREET</v>
      </c>
      <c r="H634" t="str">
        <f>T("ONRG ROOM 1425C")</f>
        <v>ONRG ROOM 1425C</v>
      </c>
      <c r="I634" t="str">
        <f t="shared" si="256"/>
        <v>ARLINGTON</v>
      </c>
      <c r="J634" t="str">
        <f t="shared" si="257"/>
        <v>VA</v>
      </c>
      <c r="K634" t="str">
        <f>T("7036964815")</f>
        <v>7036964815</v>
      </c>
      <c r="L634" t="str">
        <f>T("7036962966")</f>
        <v>7036962966</v>
      </c>
    </row>
    <row r="635" spans="1:12" x14ac:dyDescent="0.35">
      <c r="A635" t="str">
        <f t="shared" si="253"/>
        <v>OFFICE OF NAVAL RESEARCH</v>
      </c>
      <c r="B635" t="str">
        <f>T("875 N. RANDOLPH ST.")</f>
        <v>875 N. RANDOLPH ST.</v>
      </c>
      <c r="C635" t="str">
        <f>T("ROOM 1163")</f>
        <v>ROOM 1163</v>
      </c>
      <c r="D635" t="str">
        <f t="shared" si="254"/>
        <v>ARLINGTON</v>
      </c>
      <c r="E635" t="str">
        <f t="shared" si="255"/>
        <v>VA</v>
      </c>
      <c r="F635" t="str">
        <f t="shared" ref="F635:F640" si="260">T("222031986")</f>
        <v>222031986</v>
      </c>
      <c r="G635" t="str">
        <f>T("875 N RANDOLPH STREET STE 1425")</f>
        <v>875 N RANDOLPH STREET STE 1425</v>
      </c>
      <c r="H635" t="str">
        <f>T("ONR CODE 30 ROOM 1151A")</f>
        <v>ONR CODE 30 ROOM 1151A</v>
      </c>
      <c r="I635" t="str">
        <f t="shared" si="256"/>
        <v>ARLINGTON</v>
      </c>
      <c r="J635" t="str">
        <f t="shared" si="257"/>
        <v>VA</v>
      </c>
      <c r="K635" t="str">
        <f>T("000000000000000000")</f>
        <v>000000000000000000</v>
      </c>
      <c r="L635" t="str">
        <f>T("7036962041")</f>
        <v>7036962041</v>
      </c>
    </row>
    <row r="636" spans="1:12" x14ac:dyDescent="0.35">
      <c r="A636" t="str">
        <f t="shared" si="253"/>
        <v>OFFICE OF NAVAL RESEARCH</v>
      </c>
      <c r="B636" t="str">
        <f>T("875 N. RANDOLPH ST.")</f>
        <v>875 N. RANDOLPH ST.</v>
      </c>
      <c r="C636" t="str">
        <f>T("ROOM 1163")</f>
        <v>ROOM 1163</v>
      </c>
      <c r="D636" t="str">
        <f t="shared" si="254"/>
        <v>ARLINGTON</v>
      </c>
      <c r="E636" t="str">
        <f t="shared" si="255"/>
        <v>VA</v>
      </c>
      <c r="F636" t="str">
        <f t="shared" si="260"/>
        <v>222031986</v>
      </c>
      <c r="G636" t="str">
        <f>T("875 N. RANDOLPH ST.")</f>
        <v>875 N. RANDOLPH ST.</v>
      </c>
      <c r="H636" t="str">
        <f>T("ROOM 1163")</f>
        <v>ROOM 1163</v>
      </c>
      <c r="I636" t="str">
        <f t="shared" si="256"/>
        <v>ARLINGTON</v>
      </c>
      <c r="J636" t="str">
        <f t="shared" si="257"/>
        <v>VA</v>
      </c>
      <c r="K636" t="str">
        <f>T("703-696-1331")</f>
        <v>703-696-1331</v>
      </c>
      <c r="L636" t="str">
        <f>T("7035880549")</f>
        <v>7035880549</v>
      </c>
    </row>
    <row r="637" spans="1:12" x14ac:dyDescent="0.35">
      <c r="A637" t="str">
        <f t="shared" si="253"/>
        <v>OFFICE OF NAVAL RESEARCH</v>
      </c>
      <c r="B637" t="str">
        <f>T("875 N. RANDOLPH STREET")</f>
        <v>875 N. RANDOLPH STREET</v>
      </c>
      <c r="C637" t="str">
        <f>T("ONR CODE 34, ROOM 1032")</f>
        <v>ONR CODE 34, ROOM 1032</v>
      </c>
      <c r="D637" t="str">
        <f t="shared" si="254"/>
        <v>ARLINGTON</v>
      </c>
      <c r="E637" t="str">
        <f t="shared" si="255"/>
        <v>VA</v>
      </c>
      <c r="F637" t="str">
        <f t="shared" si="260"/>
        <v>222031986</v>
      </c>
      <c r="G637" t="str">
        <f>T("875 N RANDOLPH STREET")</f>
        <v>875 N RANDOLPH STREET</v>
      </c>
      <c r="H637" t="str">
        <f>T("ONR CODE 34 ROOM 1037")</f>
        <v>ONR CODE 34 ROOM 1037</v>
      </c>
      <c r="I637" t="str">
        <f t="shared" si="256"/>
        <v>ARLINGTON</v>
      </c>
      <c r="J637" t="str">
        <f t="shared" si="257"/>
        <v>VA</v>
      </c>
      <c r="K637" t="str">
        <f>T("7036961212")</f>
        <v>7036961212</v>
      </c>
      <c r="L637" t="str">
        <f>T("7036969554")</f>
        <v>7036969554</v>
      </c>
    </row>
    <row r="638" spans="1:12" x14ac:dyDescent="0.35">
      <c r="A638" t="str">
        <f t="shared" si="253"/>
        <v>OFFICE OF NAVAL RESEARCH</v>
      </c>
      <c r="B638" t="str">
        <f>T("875 N. RANDOLPH STREET")</f>
        <v>875 N. RANDOLPH STREET</v>
      </c>
      <c r="C638" t="str">
        <f>T("ONR CODE 34, ROOM 1032")</f>
        <v>ONR CODE 34, ROOM 1032</v>
      </c>
      <c r="D638" t="str">
        <f t="shared" si="254"/>
        <v>ARLINGTON</v>
      </c>
      <c r="E638" t="str">
        <f t="shared" si="255"/>
        <v>VA</v>
      </c>
      <c r="F638" t="str">
        <f t="shared" si="260"/>
        <v>222031986</v>
      </c>
      <c r="G638" t="str">
        <f>T("875 N. RANDOLPH STREET")</f>
        <v>875 N. RANDOLPH STREET</v>
      </c>
      <c r="H638" t="str">
        <f>T("ONR CODE 34, ROOM 1032")</f>
        <v>ONR CODE 34, ROOM 1032</v>
      </c>
      <c r="I638" t="str">
        <f t="shared" si="256"/>
        <v>ARLINGTON</v>
      </c>
      <c r="J638" t="str">
        <f t="shared" si="257"/>
        <v>VA</v>
      </c>
      <c r="K638" t="str">
        <f>T("7036960332")</f>
        <v>7036960332</v>
      </c>
      <c r="L638" t="str">
        <f>T("7036960618")</f>
        <v>7036960618</v>
      </c>
    </row>
    <row r="639" spans="1:12" x14ac:dyDescent="0.35">
      <c r="A639" t="str">
        <f t="shared" si="253"/>
        <v>OFFICE OF NAVAL RESEARCH</v>
      </c>
      <c r="B639" t="str">
        <f>T("875 N. RANDOLPH STREET")</f>
        <v>875 N. RANDOLPH STREET</v>
      </c>
      <c r="C639" t="str">
        <f>T("ONR CODE BDLA, ROOM 1209")</f>
        <v>ONR CODE BDLA, ROOM 1209</v>
      </c>
      <c r="D639" t="str">
        <f t="shared" si="254"/>
        <v>ARLINGTON</v>
      </c>
      <c r="E639" t="str">
        <f t="shared" si="255"/>
        <v>VA</v>
      </c>
      <c r="F639" t="str">
        <f t="shared" si="260"/>
        <v>222031986</v>
      </c>
      <c r="G639" t="str">
        <f>T("875 N RANDOLPH STREET")</f>
        <v>875 N RANDOLPH STREET</v>
      </c>
      <c r="H639" t="str">
        <f>T("ONR BDLA ROOM W1208")</f>
        <v>ONR BDLA ROOM W1208</v>
      </c>
      <c r="I639" t="str">
        <f t="shared" si="256"/>
        <v>ARLINGTON</v>
      </c>
      <c r="J639" t="str">
        <f t="shared" si="257"/>
        <v>VA</v>
      </c>
      <c r="K639" t="str">
        <f>T("7036965940")</f>
        <v>7036965940</v>
      </c>
      <c r="L639" t="str">
        <f>T("7036965033")</f>
        <v>7036965033</v>
      </c>
    </row>
    <row r="640" spans="1:12" x14ac:dyDescent="0.35">
      <c r="A640" t="str">
        <f t="shared" si="253"/>
        <v>OFFICE OF NAVAL RESEARCH</v>
      </c>
      <c r="B640" t="str">
        <f>T("875 N. RANDOLPH STREET")</f>
        <v>875 N. RANDOLPH STREET</v>
      </c>
      <c r="C640" t="str">
        <f>T("ONR CODE BDLA, ROOM 1209")</f>
        <v>ONR CODE BDLA, ROOM 1209</v>
      </c>
      <c r="D640" t="str">
        <f t="shared" si="254"/>
        <v>ARLINGTON</v>
      </c>
      <c r="E640" t="str">
        <f t="shared" si="255"/>
        <v>VA</v>
      </c>
      <c r="F640" t="str">
        <f t="shared" si="260"/>
        <v>222031986</v>
      </c>
      <c r="G640" t="str">
        <f>T("875 N. RANDOLPH STREET")</f>
        <v>875 N. RANDOLPH STREET</v>
      </c>
      <c r="H640" t="str">
        <f>T("ONR CODE BDLA, ROOM 1209")</f>
        <v>ONR CODE BDLA, ROOM 1209</v>
      </c>
      <c r="I640" t="str">
        <f t="shared" si="256"/>
        <v>ARLINGTON</v>
      </c>
      <c r="J640" t="str">
        <f t="shared" si="257"/>
        <v>VA</v>
      </c>
      <c r="K640" t="str">
        <f>T("7036965940")</f>
        <v>7036965940</v>
      </c>
      <c r="L640" t="str">
        <f>T("7036964917")</f>
        <v>7036964917</v>
      </c>
    </row>
    <row r="641" spans="1:12" x14ac:dyDescent="0.35">
      <c r="A641" t="str">
        <f t="shared" ref="A641:A704" si="261">T("NAVAL RESEARCH LABORATORY")</f>
        <v>NAVAL RESEARCH LABORATORY</v>
      </c>
      <c r="B641" t="str">
        <f>T("105 BALCH BLVD")</f>
        <v>105 BALCH BLVD</v>
      </c>
      <c r="C641" t="str">
        <f>T("ROOM A19 CODE 7442")</f>
        <v>ROOM A19 CODE 7442</v>
      </c>
      <c r="D641" t="str">
        <f>T("STENNIS SPACE CENTER")</f>
        <v>STENNIS SPACE CENTER</v>
      </c>
      <c r="E641" t="str">
        <f>T("MS")</f>
        <v>MS</v>
      </c>
      <c r="F641" t="str">
        <f>T("395290001")</f>
        <v>395290001</v>
      </c>
      <c r="G641" t="str">
        <f>T("105 BALCH BLVD")</f>
        <v>105 BALCH BLVD</v>
      </c>
      <c r="H641" t="str">
        <f>T("ROOM A19 CODE 7442")</f>
        <v>ROOM A19 CODE 7442</v>
      </c>
      <c r="I641" t="str">
        <f>T("STENNIS SPACE CENTER")</f>
        <v>STENNIS SPACE CENTER</v>
      </c>
      <c r="J641" t="str">
        <f>T("MS")</f>
        <v>MS</v>
      </c>
      <c r="K641" t="str">
        <f>T("228-688-4853")</f>
        <v>228-688-4853</v>
      </c>
      <c r="L641" t="str">
        <f>T("2286885185")</f>
        <v>2286885185</v>
      </c>
    </row>
    <row r="642" spans="1:12" x14ac:dyDescent="0.35">
      <c r="A642" t="str">
        <f t="shared" si="261"/>
        <v>NAVAL RESEARCH LABORATORY</v>
      </c>
      <c r="B642" t="str">
        <f t="shared" ref="B642:B664" si="262">T("4555 OVERLOOK AV SW")</f>
        <v>4555 OVERLOOK AV SW</v>
      </c>
      <c r="C642" t="str">
        <f>T("CODE 1008")</f>
        <v>CODE 1008</v>
      </c>
      <c r="D642" t="str">
        <f t="shared" ref="D642:D705" si="263">T("WASHINGTON")</f>
        <v>WASHINGTON</v>
      </c>
      <c r="E642" t="str">
        <f t="shared" ref="E642:E705" si="264">T("DC")</f>
        <v>DC</v>
      </c>
      <c r="F642" t="str">
        <f t="shared" ref="F642:F705" si="265">T("203750001")</f>
        <v>203750001</v>
      </c>
      <c r="G642" t="str">
        <f>T("4555 OVERLOOK AV SW")</f>
        <v>4555 OVERLOOK AV SW</v>
      </c>
      <c r="H642" t="str">
        <f>T("CODE 1008")</f>
        <v>CODE 1008</v>
      </c>
      <c r="I642" t="str">
        <f t="shared" ref="I642:I662" si="266">T("WASHINGTON")</f>
        <v>WASHINGTON</v>
      </c>
      <c r="J642" t="str">
        <f t="shared" ref="J642:J662" si="267">T("DC")</f>
        <v>DC</v>
      </c>
      <c r="K642" t="str">
        <f>T("202 404 8317")</f>
        <v>202 404 8317</v>
      </c>
      <c r="L642" t="str">
        <f>T("2027677606")</f>
        <v>2027677606</v>
      </c>
    </row>
    <row r="643" spans="1:12" x14ac:dyDescent="0.35">
      <c r="A643" t="str">
        <f t="shared" si="261"/>
        <v>NAVAL RESEARCH LABORATORY</v>
      </c>
      <c r="B643" t="str">
        <f t="shared" si="262"/>
        <v>4555 OVERLOOK AV SW</v>
      </c>
      <c r="C643" t="str">
        <f>T("CODE 1008")</f>
        <v>CODE 1008</v>
      </c>
      <c r="D643" t="str">
        <f t="shared" si="263"/>
        <v>WASHINGTON</v>
      </c>
      <c r="E643" t="str">
        <f t="shared" si="264"/>
        <v>DC</v>
      </c>
      <c r="F643" t="str">
        <f t="shared" si="265"/>
        <v>203750001</v>
      </c>
      <c r="G643" t="str">
        <f>T("4555 OVERLOOK AVENUE SW")</f>
        <v>4555 OVERLOOK AVENUE SW</v>
      </c>
      <c r="H643" t="str">
        <f>T("CODE 1008 11")</f>
        <v>CODE 1008 11</v>
      </c>
      <c r="I643" t="str">
        <f t="shared" si="266"/>
        <v>WASHINGTON</v>
      </c>
      <c r="J643" t="str">
        <f t="shared" si="267"/>
        <v>DC</v>
      </c>
      <c r="K643" t="str">
        <f>T("2024048317")</f>
        <v>2024048317</v>
      </c>
      <c r="L643" t="str">
        <f>T("2027677605")</f>
        <v>2027677605</v>
      </c>
    </row>
    <row r="644" spans="1:12" x14ac:dyDescent="0.35">
      <c r="A644" t="str">
        <f t="shared" si="261"/>
        <v>NAVAL RESEARCH LABORATORY</v>
      </c>
      <c r="B644" t="str">
        <f t="shared" si="262"/>
        <v>4555 OVERLOOK AV SW</v>
      </c>
      <c r="C644" t="str">
        <f>T("CODE 1008")</f>
        <v>CODE 1008</v>
      </c>
      <c r="D644" t="str">
        <f t="shared" si="263"/>
        <v>WASHINGTON</v>
      </c>
      <c r="E644" t="str">
        <f t="shared" si="264"/>
        <v>DC</v>
      </c>
      <c r="F644" t="str">
        <f t="shared" si="265"/>
        <v>203750001</v>
      </c>
      <c r="G644" t="str">
        <f>T("4555 OVERLOOK AVENUE SW")</f>
        <v>4555 OVERLOOK AVENUE SW</v>
      </c>
      <c r="H644" t="str">
        <f>T("CODE 1008 2")</f>
        <v>CODE 1008 2</v>
      </c>
      <c r="I644" t="str">
        <f t="shared" si="266"/>
        <v>WASHINGTON</v>
      </c>
      <c r="J644" t="str">
        <f t="shared" si="267"/>
        <v>DC</v>
      </c>
      <c r="K644" t="str">
        <f>T("2024047380")</f>
        <v>2024047380</v>
      </c>
      <c r="L644" t="str">
        <f>T("2027673427")</f>
        <v>2027673427</v>
      </c>
    </row>
    <row r="645" spans="1:12" x14ac:dyDescent="0.35">
      <c r="A645" t="str">
        <f t="shared" si="261"/>
        <v>NAVAL RESEARCH LABORATORY</v>
      </c>
      <c r="B645" t="str">
        <f t="shared" si="262"/>
        <v>4555 OVERLOOK AV SW</v>
      </c>
      <c r="C645" t="str">
        <f t="shared" ref="C645:C650" si="268">T("CODE 3402")</f>
        <v>CODE 3402</v>
      </c>
      <c r="D645" t="str">
        <f t="shared" si="263"/>
        <v>WASHINGTON</v>
      </c>
      <c r="E645" t="str">
        <f t="shared" si="264"/>
        <v>DC</v>
      </c>
      <c r="F645" t="str">
        <f t="shared" si="265"/>
        <v>203750001</v>
      </c>
      <c r="G645" t="str">
        <f>T("4555 OVERLOOK AV SW")</f>
        <v>4555 OVERLOOK AV SW</v>
      </c>
      <c r="H645" t="str">
        <f>T("CODE 3402")</f>
        <v>CODE 3402</v>
      </c>
      <c r="I645" t="str">
        <f t="shared" si="266"/>
        <v>WASHINGTON</v>
      </c>
      <c r="J645" t="str">
        <f t="shared" si="267"/>
        <v>DC</v>
      </c>
      <c r="K645" t="str">
        <f>T("2027673815")</f>
        <v>2027673815</v>
      </c>
      <c r="L645" t="str">
        <f>T("2024041701")</f>
        <v>2024041701</v>
      </c>
    </row>
    <row r="646" spans="1:12" x14ac:dyDescent="0.35">
      <c r="A646" t="str">
        <f t="shared" si="261"/>
        <v>NAVAL RESEARCH LABORATORY</v>
      </c>
      <c r="B646" t="str">
        <f t="shared" si="262"/>
        <v>4555 OVERLOOK AV SW</v>
      </c>
      <c r="C646" t="str">
        <f t="shared" si="268"/>
        <v>CODE 3402</v>
      </c>
      <c r="D646" t="str">
        <f t="shared" si="263"/>
        <v>WASHINGTON</v>
      </c>
      <c r="E646" t="str">
        <f t="shared" si="264"/>
        <v>DC</v>
      </c>
      <c r="F646" t="str">
        <f t="shared" si="265"/>
        <v>203750001</v>
      </c>
      <c r="G646" t="str">
        <f>T("4555 OVERLOOK AVE SW")</f>
        <v>4555 OVERLOOK AVE SW</v>
      </c>
      <c r="H646" t="str">
        <f>T("CODE 3400")</f>
        <v>CODE 3400</v>
      </c>
      <c r="I646" t="str">
        <f t="shared" si="266"/>
        <v>WASHINGTON</v>
      </c>
      <c r="J646" t="str">
        <f t="shared" si="267"/>
        <v>DC</v>
      </c>
      <c r="K646" t="str">
        <f>T("2027673815")</f>
        <v>2027673815</v>
      </c>
      <c r="L646" t="str">
        <f>T("2027673871")</f>
        <v>2027673871</v>
      </c>
    </row>
    <row r="647" spans="1:12" x14ac:dyDescent="0.35">
      <c r="A647" t="str">
        <f t="shared" si="261"/>
        <v>NAVAL RESEARCH LABORATORY</v>
      </c>
      <c r="B647" t="str">
        <f t="shared" si="262"/>
        <v>4555 OVERLOOK AV SW</v>
      </c>
      <c r="C647" t="str">
        <f t="shared" si="268"/>
        <v>CODE 3402</v>
      </c>
      <c r="D647" t="str">
        <f t="shared" si="263"/>
        <v>WASHINGTON</v>
      </c>
      <c r="E647" t="str">
        <f t="shared" si="264"/>
        <v>DC</v>
      </c>
      <c r="F647" t="str">
        <f t="shared" si="265"/>
        <v>203750001</v>
      </c>
      <c r="G647" t="str">
        <f>T("4555 OVERLOOK AVE SW")</f>
        <v>4555 OVERLOOK AVE SW</v>
      </c>
      <c r="H647" t="str">
        <f>T("CODE 3412 1")</f>
        <v>CODE 3412 1</v>
      </c>
      <c r="I647" t="str">
        <f t="shared" si="266"/>
        <v>WASHINGTON</v>
      </c>
      <c r="J647" t="str">
        <f t="shared" si="267"/>
        <v>DC</v>
      </c>
      <c r="K647" t="str">
        <f>T("000000000000000000")</f>
        <v>000000000000000000</v>
      </c>
      <c r="L647" t="str">
        <f>T("2027672243")</f>
        <v>2027672243</v>
      </c>
    </row>
    <row r="648" spans="1:12" x14ac:dyDescent="0.35">
      <c r="A648" t="str">
        <f t="shared" si="261"/>
        <v>NAVAL RESEARCH LABORATORY</v>
      </c>
      <c r="B648" t="str">
        <f t="shared" si="262"/>
        <v>4555 OVERLOOK AV SW</v>
      </c>
      <c r="C648" t="str">
        <f t="shared" si="268"/>
        <v>CODE 3402</v>
      </c>
      <c r="D648" t="str">
        <f t="shared" si="263"/>
        <v>WASHINGTON</v>
      </c>
      <c r="E648" t="str">
        <f t="shared" si="264"/>
        <v>DC</v>
      </c>
      <c r="F648" t="str">
        <f t="shared" si="265"/>
        <v>203750001</v>
      </c>
      <c r="G648" t="str">
        <f>T("4555 OVERLOOK AVE SW")</f>
        <v>4555 OVERLOOK AVE SW</v>
      </c>
      <c r="H648" t="str">
        <f>T("CODE 3430")</f>
        <v>CODE 3430</v>
      </c>
      <c r="I648" t="str">
        <f t="shared" si="266"/>
        <v>WASHINGTON</v>
      </c>
      <c r="J648" t="str">
        <f t="shared" si="267"/>
        <v>DC</v>
      </c>
      <c r="K648" t="str">
        <f>T("000000000000000000")</f>
        <v>000000000000000000</v>
      </c>
      <c r="L648" t="str">
        <f>T("2024044963")</f>
        <v>2024044963</v>
      </c>
    </row>
    <row r="649" spans="1:12" x14ac:dyDescent="0.35">
      <c r="A649" t="str">
        <f t="shared" si="261"/>
        <v>NAVAL RESEARCH LABORATORY</v>
      </c>
      <c r="B649" t="str">
        <f t="shared" si="262"/>
        <v>4555 OVERLOOK AV SW</v>
      </c>
      <c r="C649" t="str">
        <f t="shared" si="268"/>
        <v>CODE 3402</v>
      </c>
      <c r="D649" t="str">
        <f t="shared" si="263"/>
        <v>WASHINGTON</v>
      </c>
      <c r="E649" t="str">
        <f t="shared" si="264"/>
        <v>DC</v>
      </c>
      <c r="F649" t="str">
        <f t="shared" si="265"/>
        <v>203750001</v>
      </c>
      <c r="G649" t="str">
        <f>T("4555 OVERLOOK AVENUE SW")</f>
        <v>4555 OVERLOOK AVENUE SW</v>
      </c>
      <c r="H649" t="str">
        <f>T("CODE 3402")</f>
        <v>CODE 3402</v>
      </c>
      <c r="I649" t="str">
        <f t="shared" si="266"/>
        <v>WASHINGTON</v>
      </c>
      <c r="J649" t="str">
        <f t="shared" si="267"/>
        <v>DC</v>
      </c>
      <c r="K649" t="str">
        <f>T("000000000000000000")</f>
        <v>000000000000000000</v>
      </c>
      <c r="L649" t="str">
        <f>T("2027673872")</f>
        <v>2027673872</v>
      </c>
    </row>
    <row r="650" spans="1:12" x14ac:dyDescent="0.35">
      <c r="A650" t="str">
        <f t="shared" si="261"/>
        <v>NAVAL RESEARCH LABORATORY</v>
      </c>
      <c r="B650" t="str">
        <f t="shared" si="262"/>
        <v>4555 OVERLOOK AV SW</v>
      </c>
      <c r="C650" t="str">
        <f t="shared" si="268"/>
        <v>CODE 3402</v>
      </c>
      <c r="D650" t="str">
        <f t="shared" si="263"/>
        <v>WASHINGTON</v>
      </c>
      <c r="E650" t="str">
        <f t="shared" si="264"/>
        <v>DC</v>
      </c>
      <c r="F650" t="str">
        <f t="shared" si="265"/>
        <v>203750001</v>
      </c>
      <c r="G650" t="str">
        <f>T("4555 OVERLOOK AVENUE SW")</f>
        <v>4555 OVERLOOK AVENUE SW</v>
      </c>
      <c r="H650" t="str">
        <f>T("CODE 3453")</f>
        <v>CODE 3453</v>
      </c>
      <c r="I650" t="str">
        <f t="shared" si="266"/>
        <v>WASHINGTON</v>
      </c>
      <c r="J650" t="str">
        <f t="shared" si="267"/>
        <v>DC</v>
      </c>
      <c r="K650" t="str">
        <f>T("2027670123")</f>
        <v>2027670123</v>
      </c>
      <c r="L650" t="str">
        <f>T("2027670117")</f>
        <v>2027670117</v>
      </c>
    </row>
    <row r="651" spans="1:12" x14ac:dyDescent="0.35">
      <c r="A651" t="str">
        <f t="shared" si="261"/>
        <v>NAVAL RESEARCH LABORATORY</v>
      </c>
      <c r="B651" t="str">
        <f t="shared" si="262"/>
        <v>4555 OVERLOOK AV SW</v>
      </c>
      <c r="C651" t="str">
        <f>T("CODE 5702")</f>
        <v>CODE 5702</v>
      </c>
      <c r="D651" t="str">
        <f t="shared" si="263"/>
        <v>WASHINGTON</v>
      </c>
      <c r="E651" t="str">
        <f t="shared" si="264"/>
        <v>DC</v>
      </c>
      <c r="F651" t="str">
        <f t="shared" si="265"/>
        <v>203750001</v>
      </c>
      <c r="G651" t="str">
        <f>T("4555 OVERLOOK AV SW")</f>
        <v>4555 OVERLOOK AV SW</v>
      </c>
      <c r="H651" t="str">
        <f>T("CODE 5702")</f>
        <v>CODE 5702</v>
      </c>
      <c r="I651" t="str">
        <f t="shared" si="266"/>
        <v>WASHINGTON</v>
      </c>
      <c r="J651" t="str">
        <f t="shared" si="267"/>
        <v>DC</v>
      </c>
      <c r="K651" t="str">
        <f>T("2027674277")</f>
        <v>2027674277</v>
      </c>
      <c r="L651" t="str">
        <f>T("2027674880")</f>
        <v>2027674880</v>
      </c>
    </row>
    <row r="652" spans="1:12" x14ac:dyDescent="0.35">
      <c r="A652" t="str">
        <f t="shared" si="261"/>
        <v>NAVAL RESEARCH LABORATORY</v>
      </c>
      <c r="B652" t="str">
        <f t="shared" si="262"/>
        <v>4555 OVERLOOK AV SW</v>
      </c>
      <c r="C652" t="str">
        <f>T("CODE 5702")</f>
        <v>CODE 5702</v>
      </c>
      <c r="D652" t="str">
        <f t="shared" si="263"/>
        <v>WASHINGTON</v>
      </c>
      <c r="E652" t="str">
        <f t="shared" si="264"/>
        <v>DC</v>
      </c>
      <c r="F652" t="str">
        <f t="shared" si="265"/>
        <v>203750001</v>
      </c>
      <c r="G652" t="str">
        <f>T("4555 OVERLOOK AVENUE SW")</f>
        <v>4555 OVERLOOK AVENUE SW</v>
      </c>
      <c r="H652" t="str">
        <f>T("CODE 5708")</f>
        <v>CODE 5708</v>
      </c>
      <c r="I652" t="str">
        <f t="shared" si="266"/>
        <v>WASHINGTON</v>
      </c>
      <c r="J652" t="str">
        <f t="shared" si="267"/>
        <v>DC</v>
      </c>
      <c r="K652" t="str">
        <f>T("000000000000000000")</f>
        <v>000000000000000000</v>
      </c>
      <c r="L652" t="str">
        <f>T("2022795281")</f>
        <v>2022795281</v>
      </c>
    </row>
    <row r="653" spans="1:12" x14ac:dyDescent="0.35">
      <c r="A653" t="str">
        <f t="shared" si="261"/>
        <v>NAVAL RESEARCH LABORATORY</v>
      </c>
      <c r="B653" t="str">
        <f t="shared" si="262"/>
        <v>4555 OVERLOOK AV SW</v>
      </c>
      <c r="C653" t="str">
        <f>T("CODE 5702")</f>
        <v>CODE 5702</v>
      </c>
      <c r="D653" t="str">
        <f t="shared" si="263"/>
        <v>WASHINGTON</v>
      </c>
      <c r="E653" t="str">
        <f t="shared" si="264"/>
        <v>DC</v>
      </c>
      <c r="F653" t="str">
        <f t="shared" si="265"/>
        <v>203750001</v>
      </c>
      <c r="G653" t="str">
        <f>T("4555 OVERLOOK AVENUE SW")</f>
        <v>4555 OVERLOOK AVENUE SW</v>
      </c>
      <c r="H653" t="str">
        <f>T("CODE 5770")</f>
        <v>CODE 5770</v>
      </c>
      <c r="I653" t="str">
        <f t="shared" si="266"/>
        <v>WASHINGTON</v>
      </c>
      <c r="J653" t="str">
        <f t="shared" si="267"/>
        <v>DC</v>
      </c>
      <c r="K653" t="str">
        <f>T("2027676767")</f>
        <v>2027676767</v>
      </c>
      <c r="L653" t="str">
        <f>T("2027672897")</f>
        <v>2027672897</v>
      </c>
    </row>
    <row r="654" spans="1:12" x14ac:dyDescent="0.35">
      <c r="A654" t="str">
        <f t="shared" si="261"/>
        <v>NAVAL RESEARCH LABORATORY</v>
      </c>
      <c r="B654" t="str">
        <f t="shared" si="262"/>
        <v>4555 OVERLOOK AV SW</v>
      </c>
      <c r="C654" t="str">
        <f>T("CODE 5702")</f>
        <v>CODE 5702</v>
      </c>
      <c r="D654" t="str">
        <f t="shared" si="263"/>
        <v>WASHINGTON</v>
      </c>
      <c r="E654" t="str">
        <f t="shared" si="264"/>
        <v>DC</v>
      </c>
      <c r="F654" t="str">
        <f t="shared" si="265"/>
        <v>203750001</v>
      </c>
      <c r="G654" t="str">
        <f>T("4555 OVERLOOK AVENUE SW")</f>
        <v>4555 OVERLOOK AVENUE SW</v>
      </c>
      <c r="H654" t="str">
        <f>T("CODE 5775")</f>
        <v>CODE 5775</v>
      </c>
      <c r="I654" t="str">
        <f t="shared" si="266"/>
        <v>WASHINGTON</v>
      </c>
      <c r="J654" t="str">
        <f t="shared" si="267"/>
        <v>DC</v>
      </c>
      <c r="K654" t="str">
        <f>T("000000000000000000")</f>
        <v>000000000000000000</v>
      </c>
      <c r="L654" t="str">
        <f>T("2024044547")</f>
        <v>2024044547</v>
      </c>
    </row>
    <row r="655" spans="1:12" x14ac:dyDescent="0.35">
      <c r="A655" t="str">
        <f t="shared" si="261"/>
        <v>NAVAL RESEARCH LABORATORY</v>
      </c>
      <c r="B655" t="str">
        <f t="shared" si="262"/>
        <v>4555 OVERLOOK AV SW</v>
      </c>
      <c r="C655" t="str">
        <f>T("CODE 5702")</f>
        <v>CODE 5702</v>
      </c>
      <c r="D655" t="str">
        <f t="shared" si="263"/>
        <v>WASHINGTON</v>
      </c>
      <c r="E655" t="str">
        <f t="shared" si="264"/>
        <v>DC</v>
      </c>
      <c r="F655" t="str">
        <f t="shared" si="265"/>
        <v>203750001</v>
      </c>
      <c r="G655" t="str">
        <f>T("CODE 5702")</f>
        <v>CODE 5702</v>
      </c>
      <c r="H655" t="str">
        <f>T("4555 OVERLOOK AVENUE SW")</f>
        <v>4555 OVERLOOK AVENUE SW</v>
      </c>
      <c r="I655" t="str">
        <f t="shared" si="266"/>
        <v>WASHINGTON</v>
      </c>
      <c r="J655" t="str">
        <f t="shared" si="267"/>
        <v>DC</v>
      </c>
      <c r="K655" t="str">
        <f>T("2027671310")</f>
        <v>2027671310</v>
      </c>
      <c r="L655" t="str">
        <f>T("2024047603")</f>
        <v>2024047603</v>
      </c>
    </row>
    <row r="656" spans="1:12" x14ac:dyDescent="0.35">
      <c r="A656" t="str">
        <f t="shared" si="261"/>
        <v>NAVAL RESEARCH LABORATORY</v>
      </c>
      <c r="B656" t="str">
        <f t="shared" si="262"/>
        <v>4555 OVERLOOK AV SW</v>
      </c>
      <c r="C656" t="str">
        <f>T("CODE 5712")</f>
        <v>CODE 5712</v>
      </c>
      <c r="D656" t="str">
        <f t="shared" si="263"/>
        <v>WASHINGTON</v>
      </c>
      <c r="E656" t="str">
        <f t="shared" si="264"/>
        <v>DC</v>
      </c>
      <c r="F656" t="str">
        <f t="shared" si="265"/>
        <v>203750001</v>
      </c>
      <c r="G656" t="str">
        <f>T("4555 OVERLOOK AV SW")</f>
        <v>4555 OVERLOOK AV SW</v>
      </c>
      <c r="H656" t="str">
        <f>T("CODE 5712")</f>
        <v>CODE 5712</v>
      </c>
      <c r="I656" t="str">
        <f t="shared" si="266"/>
        <v>WASHINGTON</v>
      </c>
      <c r="J656" t="str">
        <f t="shared" si="267"/>
        <v>DC</v>
      </c>
      <c r="K656" t="str">
        <f>T("2027672845")</f>
        <v>2027672845</v>
      </c>
      <c r="L656" t="str">
        <f>T("2027671434")</f>
        <v>2027671434</v>
      </c>
    </row>
    <row r="657" spans="1:12" x14ac:dyDescent="0.35">
      <c r="A657" t="str">
        <f t="shared" si="261"/>
        <v>NAVAL RESEARCH LABORATORY</v>
      </c>
      <c r="B657" t="str">
        <f t="shared" si="262"/>
        <v>4555 OVERLOOK AV SW</v>
      </c>
      <c r="C657" t="str">
        <f>T("CODE 5712")</f>
        <v>CODE 5712</v>
      </c>
      <c r="D657" t="str">
        <f t="shared" si="263"/>
        <v>WASHINGTON</v>
      </c>
      <c r="E657" t="str">
        <f t="shared" si="264"/>
        <v>DC</v>
      </c>
      <c r="F657" t="str">
        <f t="shared" si="265"/>
        <v>203750001</v>
      </c>
      <c r="G657" t="str">
        <f>T("4555 OVERLOOK AVE SW")</f>
        <v>4555 OVERLOOK AVE SW</v>
      </c>
      <c r="H657" t="str">
        <f>T("CODE 8150")</f>
        <v>CODE 8150</v>
      </c>
      <c r="I657" t="str">
        <f t="shared" si="266"/>
        <v>WASHINGTON</v>
      </c>
      <c r="J657" t="str">
        <f t="shared" si="267"/>
        <v>DC</v>
      </c>
      <c r="K657" t="str">
        <f>T("000000000000000000")</f>
        <v>000000000000000000</v>
      </c>
      <c r="L657" t="str">
        <f>T("2027672595")</f>
        <v>2027672595</v>
      </c>
    </row>
    <row r="658" spans="1:12" x14ac:dyDescent="0.35">
      <c r="A658" t="str">
        <f t="shared" si="261"/>
        <v>NAVAL RESEARCH LABORATORY</v>
      </c>
      <c r="B658" t="str">
        <f t="shared" si="262"/>
        <v>4555 OVERLOOK AV SW</v>
      </c>
      <c r="C658" t="str">
        <f>T("CODE 5712")</f>
        <v>CODE 5712</v>
      </c>
      <c r="D658" t="str">
        <f t="shared" si="263"/>
        <v>WASHINGTON</v>
      </c>
      <c r="E658" t="str">
        <f t="shared" si="264"/>
        <v>DC</v>
      </c>
      <c r="F658" t="str">
        <f t="shared" si="265"/>
        <v>203750001</v>
      </c>
      <c r="G658" t="str">
        <f>T("4555 OVERLOOK AVE SW")</f>
        <v>4555 OVERLOOK AVE SW</v>
      </c>
      <c r="H658" t="str">
        <f>T("CODE 8150")</f>
        <v>CODE 8150</v>
      </c>
      <c r="I658" t="str">
        <f t="shared" si="266"/>
        <v>WASHINGTON</v>
      </c>
      <c r="J658" t="str">
        <f t="shared" si="267"/>
        <v>DC</v>
      </c>
      <c r="K658" t="str">
        <f>T("000000000000000000")</f>
        <v>000000000000000000</v>
      </c>
      <c r="L658" t="str">
        <f>T("2027672597")</f>
        <v>2027672597</v>
      </c>
    </row>
    <row r="659" spans="1:12" x14ac:dyDescent="0.35">
      <c r="A659" t="str">
        <f t="shared" si="261"/>
        <v>NAVAL RESEARCH LABORATORY</v>
      </c>
      <c r="B659" t="str">
        <f t="shared" si="262"/>
        <v>4555 OVERLOOK AV SW</v>
      </c>
      <c r="C659" t="str">
        <f t="shared" ref="C659:C664" si="269">T("CODE 7102")</f>
        <v>CODE 7102</v>
      </c>
      <c r="D659" t="str">
        <f t="shared" si="263"/>
        <v>WASHINGTON</v>
      </c>
      <c r="E659" t="str">
        <f t="shared" si="264"/>
        <v>DC</v>
      </c>
      <c r="F659" t="str">
        <f t="shared" si="265"/>
        <v>203750001</v>
      </c>
      <c r="G659" t="str">
        <f>T("4555 OVERLOOK AV SW")</f>
        <v>4555 OVERLOOK AV SW</v>
      </c>
      <c r="H659" t="str">
        <f>T("CODE 7102")</f>
        <v>CODE 7102</v>
      </c>
      <c r="I659" t="str">
        <f t="shared" si="266"/>
        <v>WASHINGTON</v>
      </c>
      <c r="J659" t="str">
        <f t="shared" si="267"/>
        <v>DC</v>
      </c>
      <c r="K659" t="str">
        <f>T("2027672824")</f>
        <v>2027672824</v>
      </c>
      <c r="L659" t="str">
        <f>T("2027673176")</f>
        <v>2027673176</v>
      </c>
    </row>
    <row r="660" spans="1:12" x14ac:dyDescent="0.35">
      <c r="A660" t="str">
        <f t="shared" si="261"/>
        <v>NAVAL RESEARCH LABORATORY</v>
      </c>
      <c r="B660" t="str">
        <f t="shared" si="262"/>
        <v>4555 OVERLOOK AV SW</v>
      </c>
      <c r="C660" t="str">
        <f t="shared" si="269"/>
        <v>CODE 7102</v>
      </c>
      <c r="D660" t="str">
        <f t="shared" si="263"/>
        <v>WASHINGTON</v>
      </c>
      <c r="E660" t="str">
        <f t="shared" si="264"/>
        <v>DC</v>
      </c>
      <c r="F660" t="str">
        <f t="shared" si="265"/>
        <v>203750001</v>
      </c>
      <c r="G660" t="str">
        <f>T("4555 OVERLOOK AVE SW")</f>
        <v>4555 OVERLOOK AVE SW</v>
      </c>
      <c r="H660" t="str">
        <f>T("CODE 7102")</f>
        <v>CODE 7102</v>
      </c>
      <c r="I660" t="str">
        <f t="shared" si="266"/>
        <v>WASHINGTON</v>
      </c>
      <c r="J660" t="str">
        <f t="shared" si="267"/>
        <v>DC</v>
      </c>
      <c r="K660" t="str">
        <f>T("2024043636")</f>
        <v>2024043636</v>
      </c>
      <c r="L660" t="str">
        <f>T("2024043166")</f>
        <v>2024043166</v>
      </c>
    </row>
    <row r="661" spans="1:12" x14ac:dyDescent="0.35">
      <c r="A661" t="str">
        <f t="shared" si="261"/>
        <v>NAVAL RESEARCH LABORATORY</v>
      </c>
      <c r="B661" t="str">
        <f t="shared" si="262"/>
        <v>4555 OVERLOOK AV SW</v>
      </c>
      <c r="C661" t="str">
        <f t="shared" si="269"/>
        <v>CODE 7102</v>
      </c>
      <c r="D661" t="str">
        <f t="shared" si="263"/>
        <v>WASHINGTON</v>
      </c>
      <c r="E661" t="str">
        <f t="shared" si="264"/>
        <v>DC</v>
      </c>
      <c r="F661" t="str">
        <f t="shared" si="265"/>
        <v>203750001</v>
      </c>
      <c r="G661" t="str">
        <f>T("4555 OVERLOOK AVE SW")</f>
        <v>4555 OVERLOOK AVE SW</v>
      </c>
      <c r="H661" t="str">
        <f>T("CODE 7102B")</f>
        <v>CODE 7102B</v>
      </c>
      <c r="I661" t="str">
        <f t="shared" si="266"/>
        <v>WASHINGTON</v>
      </c>
      <c r="J661" t="str">
        <f t="shared" si="267"/>
        <v>DC</v>
      </c>
      <c r="K661" t="str">
        <f>T("000000000000000000")</f>
        <v>000000000000000000</v>
      </c>
      <c r="L661" t="str">
        <f>T("2027670711")</f>
        <v>2027670711</v>
      </c>
    </row>
    <row r="662" spans="1:12" x14ac:dyDescent="0.35">
      <c r="A662" t="str">
        <f t="shared" si="261"/>
        <v>NAVAL RESEARCH LABORATORY</v>
      </c>
      <c r="B662" t="str">
        <f t="shared" si="262"/>
        <v>4555 OVERLOOK AV SW</v>
      </c>
      <c r="C662" t="str">
        <f t="shared" si="269"/>
        <v>CODE 7102</v>
      </c>
      <c r="D662" t="str">
        <f t="shared" si="263"/>
        <v>WASHINGTON</v>
      </c>
      <c r="E662" t="str">
        <f t="shared" si="264"/>
        <v>DC</v>
      </c>
      <c r="F662" t="str">
        <f t="shared" si="265"/>
        <v>203750001</v>
      </c>
      <c r="G662" t="str">
        <f>T("4555 OVERLOOK AVENUE SW")</f>
        <v>4555 OVERLOOK AVENUE SW</v>
      </c>
      <c r="H662" t="str">
        <f>T("CODE 7130")</f>
        <v>CODE 7130</v>
      </c>
      <c r="I662" t="str">
        <f t="shared" si="266"/>
        <v>WASHINGTON</v>
      </c>
      <c r="J662" t="str">
        <f t="shared" si="267"/>
        <v>DC</v>
      </c>
      <c r="K662" t="str">
        <f>T("2024047420")</f>
        <v>2024047420</v>
      </c>
      <c r="L662" t="str">
        <f>T("2024047275")</f>
        <v>2024047275</v>
      </c>
    </row>
    <row r="663" spans="1:12" x14ac:dyDescent="0.35">
      <c r="A663" t="str">
        <f t="shared" si="261"/>
        <v>NAVAL RESEARCH LABORATORY</v>
      </c>
      <c r="B663" t="str">
        <f t="shared" si="262"/>
        <v>4555 OVERLOOK AV SW</v>
      </c>
      <c r="C663" t="str">
        <f t="shared" si="269"/>
        <v>CODE 7102</v>
      </c>
      <c r="D663" t="str">
        <f t="shared" si="263"/>
        <v>WASHINGTON</v>
      </c>
      <c r="E663" t="str">
        <f t="shared" si="264"/>
        <v>DC</v>
      </c>
      <c r="F663" t="str">
        <f t="shared" si="265"/>
        <v>203750001</v>
      </c>
      <c r="G663" t="str">
        <f>T("BLDG 1005 RM A22")</f>
        <v>BLDG 1005 RM A22</v>
      </c>
      <c r="H663" t="str">
        <f>T("CODE 7180")</f>
        <v>CODE 7180</v>
      </c>
      <c r="I663" t="str">
        <f>T("STENNIS SPACE CENTER")</f>
        <v>STENNIS SPACE CENTER</v>
      </c>
      <c r="J663" t="str">
        <f>T("MS")</f>
        <v>MS</v>
      </c>
      <c r="K663" t="str">
        <f>T("2286885049")</f>
        <v>2286885049</v>
      </c>
      <c r="L663" t="str">
        <f>T("2286885978")</f>
        <v>2286885978</v>
      </c>
    </row>
    <row r="664" spans="1:12" x14ac:dyDescent="0.35">
      <c r="A664" t="str">
        <f t="shared" si="261"/>
        <v>NAVAL RESEARCH LABORATORY</v>
      </c>
      <c r="B664" t="str">
        <f t="shared" si="262"/>
        <v>4555 OVERLOOK AV SW</v>
      </c>
      <c r="C664" t="str">
        <f t="shared" si="269"/>
        <v>CODE 7102</v>
      </c>
      <c r="D664" t="str">
        <f t="shared" si="263"/>
        <v>WASHINGTON</v>
      </c>
      <c r="E664" t="str">
        <f t="shared" si="264"/>
        <v>DC</v>
      </c>
      <c r="F664" t="str">
        <f t="shared" si="265"/>
        <v>203750001</v>
      </c>
      <c r="G664" t="str">
        <f>T("CODE 7102")</f>
        <v>CODE 7102</v>
      </c>
      <c r="H664" t="str">
        <f>T("4555 OVERLOOK AVENUE SW")</f>
        <v>4555 OVERLOOK AVENUE SW</v>
      </c>
      <c r="I664" t="str">
        <f t="shared" ref="I664:I727" si="270">T("WASHINGTON")</f>
        <v>WASHINGTON</v>
      </c>
      <c r="J664" t="str">
        <f t="shared" ref="J664:J727" si="271">T("DC")</f>
        <v>DC</v>
      </c>
      <c r="K664" t="str">
        <f>T("2027672824")</f>
        <v>2027672824</v>
      </c>
      <c r="L664" t="str">
        <f>T("2027672822")</f>
        <v>2027672822</v>
      </c>
    </row>
    <row r="665" spans="1:12" x14ac:dyDescent="0.35">
      <c r="A665" t="str">
        <f t="shared" si="261"/>
        <v>NAVAL RESEARCH LABORATORY</v>
      </c>
      <c r="B665" t="str">
        <f t="shared" ref="B665:B728" si="272">T("4555 OVERLOOK AVE SW")</f>
        <v>4555 OVERLOOK AVE SW</v>
      </c>
      <c r="C665" t="str">
        <f>T("")</f>
        <v/>
      </c>
      <c r="D665" t="str">
        <f t="shared" si="263"/>
        <v>WASHINGTON</v>
      </c>
      <c r="E665" t="str">
        <f t="shared" si="264"/>
        <v>DC</v>
      </c>
      <c r="F665" t="str">
        <f t="shared" si="265"/>
        <v>203750001</v>
      </c>
      <c r="G665" t="str">
        <f>T("4555 OVERLOOK AV SW")</f>
        <v>4555 OVERLOOK AV SW</v>
      </c>
      <c r="H665" t="str">
        <f>T("CODE 5722")</f>
        <v>CODE 5722</v>
      </c>
      <c r="I665" t="str">
        <f t="shared" si="270"/>
        <v>WASHINGTON</v>
      </c>
      <c r="J665" t="str">
        <f t="shared" si="271"/>
        <v>DC</v>
      </c>
      <c r="K665" t="str">
        <f>T("000000000000000000")</f>
        <v>000000000000000000</v>
      </c>
      <c r="L665" t="str">
        <f>T("2024047634")</f>
        <v>2024047634</v>
      </c>
    </row>
    <row r="666" spans="1:12" x14ac:dyDescent="0.35">
      <c r="A666" t="str">
        <f t="shared" si="261"/>
        <v>NAVAL RESEARCH LABORATORY</v>
      </c>
      <c r="B666" t="str">
        <f t="shared" si="272"/>
        <v>4555 OVERLOOK AVE SW</v>
      </c>
      <c r="C666" t="str">
        <f>T("")</f>
        <v/>
      </c>
      <c r="D666" t="str">
        <f t="shared" si="263"/>
        <v>WASHINGTON</v>
      </c>
      <c r="E666" t="str">
        <f t="shared" si="264"/>
        <v>DC</v>
      </c>
      <c r="F666" t="str">
        <f t="shared" si="265"/>
        <v>203750001</v>
      </c>
      <c r="G666" t="str">
        <f>T("4555 OVERLOOK AVE SW")</f>
        <v>4555 OVERLOOK AVE SW</v>
      </c>
      <c r="H666" t="str">
        <f>T("")</f>
        <v/>
      </c>
      <c r="I666" t="str">
        <f t="shared" si="270"/>
        <v>WASHINGTON</v>
      </c>
      <c r="J666" t="str">
        <f t="shared" si="271"/>
        <v>DC</v>
      </c>
      <c r="K666" t="str">
        <f>T("2027675819")</f>
        <v>2027675819</v>
      </c>
      <c r="L666" t="str">
        <f>T("2024043699")</f>
        <v>2024043699</v>
      </c>
    </row>
    <row r="667" spans="1:12" x14ac:dyDescent="0.35">
      <c r="A667" t="str">
        <f t="shared" si="261"/>
        <v>NAVAL RESEARCH LABORATORY</v>
      </c>
      <c r="B667" t="str">
        <f t="shared" si="272"/>
        <v>4555 OVERLOOK AVE SW</v>
      </c>
      <c r="C667" t="str">
        <f>T("")</f>
        <v/>
      </c>
      <c r="D667" t="str">
        <f t="shared" si="263"/>
        <v>WASHINGTON</v>
      </c>
      <c r="E667" t="str">
        <f t="shared" si="264"/>
        <v>DC</v>
      </c>
      <c r="F667" t="str">
        <f t="shared" si="265"/>
        <v>203750001</v>
      </c>
      <c r="G667" t="str">
        <f>T("4555 OVERLOOK AVE SW")</f>
        <v>4555 OVERLOOK AVE SW</v>
      </c>
      <c r="H667" t="str">
        <f>T("CODE 5720")</f>
        <v>CODE 5720</v>
      </c>
      <c r="I667" t="str">
        <f t="shared" si="270"/>
        <v>WASHINGTON</v>
      </c>
      <c r="J667" t="str">
        <f t="shared" si="271"/>
        <v>DC</v>
      </c>
      <c r="K667" t="str">
        <f>T("000000000000000000")</f>
        <v>000000000000000000</v>
      </c>
      <c r="L667" t="str">
        <f>T("2027673131")</f>
        <v>2027673131</v>
      </c>
    </row>
    <row r="668" spans="1:12" x14ac:dyDescent="0.35">
      <c r="A668" t="str">
        <f t="shared" si="261"/>
        <v>NAVAL RESEARCH LABORATORY</v>
      </c>
      <c r="B668" t="str">
        <f t="shared" si="272"/>
        <v>4555 OVERLOOK AVE SW</v>
      </c>
      <c r="C668" t="str">
        <f>T("")</f>
        <v/>
      </c>
      <c r="D668" t="str">
        <f t="shared" si="263"/>
        <v>WASHINGTON</v>
      </c>
      <c r="E668" t="str">
        <f t="shared" si="264"/>
        <v>DC</v>
      </c>
      <c r="F668" t="str">
        <f t="shared" si="265"/>
        <v>203750001</v>
      </c>
      <c r="G668" t="str">
        <f>T("CODE 5724")</f>
        <v>CODE 5724</v>
      </c>
      <c r="H668" t="str">
        <f>T("4555 OVERLOOK AVENUE SW")</f>
        <v>4555 OVERLOOK AVENUE SW</v>
      </c>
      <c r="I668" t="str">
        <f t="shared" si="270"/>
        <v>WASHINGTON</v>
      </c>
      <c r="J668" t="str">
        <f t="shared" si="271"/>
        <v>DC</v>
      </c>
      <c r="K668" t="str">
        <f>T("2027675819")</f>
        <v>2027675819</v>
      </c>
      <c r="L668" t="str">
        <f>T("2024041961")</f>
        <v>2024041961</v>
      </c>
    </row>
    <row r="669" spans="1:12" x14ac:dyDescent="0.35">
      <c r="A669" t="str">
        <f t="shared" si="261"/>
        <v>NAVAL RESEARCH LABORATORY</v>
      </c>
      <c r="B669" t="str">
        <f t="shared" si="272"/>
        <v>4555 OVERLOOK AVE SW</v>
      </c>
      <c r="C669" t="str">
        <f>T("ATTN CODE 5762")</f>
        <v>ATTN CODE 5762</v>
      </c>
      <c r="D669" t="str">
        <f t="shared" si="263"/>
        <v>WASHINGTON</v>
      </c>
      <c r="E669" t="str">
        <f t="shared" si="264"/>
        <v>DC</v>
      </c>
      <c r="F669" t="str">
        <f t="shared" si="265"/>
        <v>203750001</v>
      </c>
      <c r="G669" t="str">
        <f>T("4555 OVERLOOK AVE SW")</f>
        <v>4555 OVERLOOK AVE SW</v>
      </c>
      <c r="H669" t="str">
        <f>T("ATTN CODE 5762")</f>
        <v>ATTN CODE 5762</v>
      </c>
      <c r="I669" t="str">
        <f t="shared" si="270"/>
        <v>WASHINGTON</v>
      </c>
      <c r="J669" t="str">
        <f t="shared" si="271"/>
        <v>DC</v>
      </c>
      <c r="K669" t="str">
        <f>T("2027670818")</f>
        <v>2027670818</v>
      </c>
      <c r="L669" t="str">
        <f>T("2027672208")</f>
        <v>2027672208</v>
      </c>
    </row>
    <row r="670" spans="1:12" x14ac:dyDescent="0.35">
      <c r="A670" t="str">
        <f t="shared" si="261"/>
        <v>NAVAL RESEARCH LABORATORY</v>
      </c>
      <c r="B670" t="str">
        <f t="shared" si="272"/>
        <v>4555 OVERLOOK AVE SW</v>
      </c>
      <c r="C670" t="str">
        <f>T("ATTN CODE 5762")</f>
        <v>ATTN CODE 5762</v>
      </c>
      <c r="D670" t="str">
        <f t="shared" si="263"/>
        <v>WASHINGTON</v>
      </c>
      <c r="E670" t="str">
        <f t="shared" si="264"/>
        <v>DC</v>
      </c>
      <c r="F670" t="str">
        <f t="shared" si="265"/>
        <v>203750001</v>
      </c>
      <c r="G670" t="str">
        <f>T("4555 OVERLOOK AVENUE SW")</f>
        <v>4555 OVERLOOK AVENUE SW</v>
      </c>
      <c r="H670" t="str">
        <f>T("CODE 5760")</f>
        <v>CODE 5760</v>
      </c>
      <c r="I670" t="str">
        <f t="shared" si="270"/>
        <v>WASHINGTON</v>
      </c>
      <c r="J670" t="str">
        <f t="shared" si="271"/>
        <v>DC</v>
      </c>
      <c r="K670" t="str">
        <f>T("2027670818")</f>
        <v>2027670818</v>
      </c>
      <c r="L670" t="str">
        <f>T("2024048937")</f>
        <v>2024048937</v>
      </c>
    </row>
    <row r="671" spans="1:12" x14ac:dyDescent="0.35">
      <c r="A671" t="str">
        <f t="shared" si="261"/>
        <v>NAVAL RESEARCH LABORATORY</v>
      </c>
      <c r="B671" t="str">
        <f t="shared" si="272"/>
        <v>4555 OVERLOOK AVE SW</v>
      </c>
      <c r="C671" t="str">
        <f>T("ATTN CODE 5762")</f>
        <v>ATTN CODE 5762</v>
      </c>
      <c r="D671" t="str">
        <f t="shared" si="263"/>
        <v>WASHINGTON</v>
      </c>
      <c r="E671" t="str">
        <f t="shared" si="264"/>
        <v>DC</v>
      </c>
      <c r="F671" t="str">
        <f t="shared" si="265"/>
        <v>203750001</v>
      </c>
      <c r="G671" t="str">
        <f>T("4555 OVERLOOK AVENUE SW")</f>
        <v>4555 OVERLOOK AVENUE SW</v>
      </c>
      <c r="H671" t="str">
        <f>T("CODE 5760")</f>
        <v>CODE 5760</v>
      </c>
      <c r="I671" t="str">
        <f t="shared" si="270"/>
        <v>WASHINGTON</v>
      </c>
      <c r="J671" t="str">
        <f t="shared" si="271"/>
        <v>DC</v>
      </c>
      <c r="K671" t="str">
        <f>T("2027670818")</f>
        <v>2027670818</v>
      </c>
      <c r="L671" t="str">
        <f>T("2027672462")</f>
        <v>2027672462</v>
      </c>
    </row>
    <row r="672" spans="1:12" x14ac:dyDescent="0.35">
      <c r="A672" t="str">
        <f t="shared" si="261"/>
        <v>NAVAL RESEARCH LABORATORY</v>
      </c>
      <c r="B672" t="str">
        <f t="shared" si="272"/>
        <v>4555 OVERLOOK AVE SW</v>
      </c>
      <c r="C672" t="str">
        <f>T("ATTN CODE 5762")</f>
        <v>ATTN CODE 5762</v>
      </c>
      <c r="D672" t="str">
        <f t="shared" si="263"/>
        <v>WASHINGTON</v>
      </c>
      <c r="E672" t="str">
        <f t="shared" si="264"/>
        <v>DC</v>
      </c>
      <c r="F672" t="str">
        <f t="shared" si="265"/>
        <v>203750001</v>
      </c>
      <c r="G672" t="str">
        <f>T("4555 OVERLOOK AVENUE SW")</f>
        <v>4555 OVERLOOK AVENUE SW</v>
      </c>
      <c r="H672" t="str">
        <f>T("CODE 5762")</f>
        <v>CODE 5762</v>
      </c>
      <c r="I672" t="str">
        <f t="shared" si="270"/>
        <v>WASHINGTON</v>
      </c>
      <c r="J672" t="str">
        <f t="shared" si="271"/>
        <v>DC</v>
      </c>
      <c r="K672" t="str">
        <f>T("2027670818")</f>
        <v>2027670818</v>
      </c>
      <c r="L672" t="str">
        <f>T("2024045318")</f>
        <v>2024045318</v>
      </c>
    </row>
    <row r="673" spans="1:12" x14ac:dyDescent="0.35">
      <c r="A673" t="str">
        <f t="shared" si="261"/>
        <v>NAVAL RESEARCH LABORATORY</v>
      </c>
      <c r="B673" t="str">
        <f t="shared" si="272"/>
        <v>4555 OVERLOOK AVE SW</v>
      </c>
      <c r="C673" t="str">
        <f>T("ATTN CODE 5762")</f>
        <v>ATTN CODE 5762</v>
      </c>
      <c r="D673" t="str">
        <f t="shared" si="263"/>
        <v>WASHINGTON</v>
      </c>
      <c r="E673" t="str">
        <f t="shared" si="264"/>
        <v>DC</v>
      </c>
      <c r="F673" t="str">
        <f t="shared" si="265"/>
        <v>203750001</v>
      </c>
      <c r="G673" t="str">
        <f>T("CODE 5760")</f>
        <v>CODE 5760</v>
      </c>
      <c r="H673" t="str">
        <f>T("4555 OVERLOOK AVENUE SW")</f>
        <v>4555 OVERLOOK AVENUE SW</v>
      </c>
      <c r="I673" t="str">
        <f t="shared" si="270"/>
        <v>WASHINGTON</v>
      </c>
      <c r="J673" t="str">
        <f t="shared" si="271"/>
        <v>DC</v>
      </c>
      <c r="K673" t="str">
        <f>T("2027676352")</f>
        <v>2027676352</v>
      </c>
      <c r="L673" t="str">
        <f>T("2024042731")</f>
        <v>2024042731</v>
      </c>
    </row>
    <row r="674" spans="1:12" x14ac:dyDescent="0.35">
      <c r="A674" t="str">
        <f t="shared" si="261"/>
        <v>NAVAL RESEARCH LABORATORY</v>
      </c>
      <c r="B674" t="str">
        <f t="shared" si="272"/>
        <v>4555 OVERLOOK AVE SW</v>
      </c>
      <c r="C674" t="str">
        <f t="shared" ref="C674:C680" si="273">T("CODE 1006")</f>
        <v>CODE 1006</v>
      </c>
      <c r="D674" t="str">
        <f t="shared" si="263"/>
        <v>WASHINGTON</v>
      </c>
      <c r="E674" t="str">
        <f t="shared" si="264"/>
        <v>DC</v>
      </c>
      <c r="F674" t="str">
        <f t="shared" si="265"/>
        <v>203750001</v>
      </c>
      <c r="G674" t="str">
        <f>T("4555 OVERLOOK AVE SW")</f>
        <v>4555 OVERLOOK AVE SW</v>
      </c>
      <c r="H674" t="str">
        <f>T("CODE 1006")</f>
        <v>CODE 1006</v>
      </c>
      <c r="I674" t="str">
        <f t="shared" si="270"/>
        <v>WASHINGTON</v>
      </c>
      <c r="J674" t="str">
        <f t="shared" si="271"/>
        <v>DC</v>
      </c>
      <c r="K674" t="str">
        <f>T("2027672432")</f>
        <v>2027672432</v>
      </c>
      <c r="L674" t="str">
        <f>T("2027673370")</f>
        <v>2027673370</v>
      </c>
    </row>
    <row r="675" spans="1:12" x14ac:dyDescent="0.35">
      <c r="A675" t="str">
        <f t="shared" si="261"/>
        <v>NAVAL RESEARCH LABORATORY</v>
      </c>
      <c r="B675" t="str">
        <f t="shared" si="272"/>
        <v>4555 OVERLOOK AVE SW</v>
      </c>
      <c r="C675" t="str">
        <f t="shared" si="273"/>
        <v>CODE 1006</v>
      </c>
      <c r="D675" t="str">
        <f t="shared" si="263"/>
        <v>WASHINGTON</v>
      </c>
      <c r="E675" t="str">
        <f t="shared" si="264"/>
        <v>DC</v>
      </c>
      <c r="F675" t="str">
        <f t="shared" si="265"/>
        <v>203750001</v>
      </c>
      <c r="G675" t="str">
        <f>T("4555 OVERLOOK AVE SW")</f>
        <v>4555 OVERLOOK AVE SW</v>
      </c>
      <c r="H675" t="str">
        <f>T("CODE 1100")</f>
        <v>CODE 1100</v>
      </c>
      <c r="I675" t="str">
        <f t="shared" si="270"/>
        <v>WASHINGTON</v>
      </c>
      <c r="J675" t="str">
        <f t="shared" si="271"/>
        <v>DC</v>
      </c>
      <c r="K675" t="str">
        <f>T("000000000000000000")</f>
        <v>000000000000000000</v>
      </c>
      <c r="L675" t="str">
        <f>T("2027671804")</f>
        <v>2027671804</v>
      </c>
    </row>
    <row r="676" spans="1:12" x14ac:dyDescent="0.35">
      <c r="A676" t="str">
        <f t="shared" si="261"/>
        <v>NAVAL RESEARCH LABORATORY</v>
      </c>
      <c r="B676" t="str">
        <f t="shared" si="272"/>
        <v>4555 OVERLOOK AVE SW</v>
      </c>
      <c r="C676" t="str">
        <f t="shared" si="273"/>
        <v>CODE 1006</v>
      </c>
      <c r="D676" t="str">
        <f t="shared" si="263"/>
        <v>WASHINGTON</v>
      </c>
      <c r="E676" t="str">
        <f t="shared" si="264"/>
        <v>DC</v>
      </c>
      <c r="F676" t="str">
        <f t="shared" si="265"/>
        <v>203750001</v>
      </c>
      <c r="G676" t="str">
        <f>T("4555 OVERLOOK AVENUE SW")</f>
        <v>4555 OVERLOOK AVENUE SW</v>
      </c>
      <c r="H676" t="str">
        <f>T("CODE 1000")</f>
        <v>CODE 1000</v>
      </c>
      <c r="I676" t="str">
        <f t="shared" si="270"/>
        <v>WASHINGTON</v>
      </c>
      <c r="J676" t="str">
        <f t="shared" si="271"/>
        <v>DC</v>
      </c>
      <c r="K676" t="str">
        <f>T("2024047419")</f>
        <v>2024047419</v>
      </c>
      <c r="L676" t="str">
        <f>T("2027673404")</f>
        <v>2027673404</v>
      </c>
    </row>
    <row r="677" spans="1:12" x14ac:dyDescent="0.35">
      <c r="A677" t="str">
        <f t="shared" si="261"/>
        <v>NAVAL RESEARCH LABORATORY</v>
      </c>
      <c r="B677" t="str">
        <f t="shared" si="272"/>
        <v>4555 OVERLOOK AVE SW</v>
      </c>
      <c r="C677" t="str">
        <f t="shared" si="273"/>
        <v>CODE 1006</v>
      </c>
      <c r="D677" t="str">
        <f t="shared" si="263"/>
        <v>WASHINGTON</v>
      </c>
      <c r="E677" t="str">
        <f t="shared" si="264"/>
        <v>DC</v>
      </c>
      <c r="F677" t="str">
        <f t="shared" si="265"/>
        <v>203750001</v>
      </c>
      <c r="G677" t="str">
        <f>T("4555 OVERLOOK AVENUE SW")</f>
        <v>4555 OVERLOOK AVENUE SW</v>
      </c>
      <c r="H677" t="str">
        <f>T("CODE 1030")</f>
        <v>CODE 1030</v>
      </c>
      <c r="I677" t="str">
        <f t="shared" si="270"/>
        <v>WASHINGTON</v>
      </c>
      <c r="J677" t="str">
        <f t="shared" si="271"/>
        <v>DC</v>
      </c>
      <c r="K677" t="str">
        <f>T("2027676991")</f>
        <v>2027676991</v>
      </c>
      <c r="L677" t="str">
        <f>T("2027672541")</f>
        <v>2027672541</v>
      </c>
    </row>
    <row r="678" spans="1:12" x14ac:dyDescent="0.35">
      <c r="A678" t="str">
        <f t="shared" si="261"/>
        <v>NAVAL RESEARCH LABORATORY</v>
      </c>
      <c r="B678" t="str">
        <f t="shared" si="272"/>
        <v>4555 OVERLOOK AVE SW</v>
      </c>
      <c r="C678" t="str">
        <f t="shared" si="273"/>
        <v>CODE 1006</v>
      </c>
      <c r="D678" t="str">
        <f t="shared" si="263"/>
        <v>WASHINGTON</v>
      </c>
      <c r="E678" t="str">
        <f t="shared" si="264"/>
        <v>DC</v>
      </c>
      <c r="F678" t="str">
        <f t="shared" si="265"/>
        <v>203750001</v>
      </c>
      <c r="G678" t="str">
        <f>T("4555 OVERLOOK AVENUE SW")</f>
        <v>4555 OVERLOOK AVENUE SW</v>
      </c>
      <c r="H678" t="str">
        <f>T("CODE 1700")</f>
        <v>CODE 1700</v>
      </c>
      <c r="I678" t="str">
        <f t="shared" si="270"/>
        <v>WASHINGTON</v>
      </c>
      <c r="J678" t="str">
        <f t="shared" si="271"/>
        <v>DC</v>
      </c>
      <c r="K678" t="str">
        <f>T("2024043278")</f>
        <v>2024043278</v>
      </c>
      <c r="L678" t="str">
        <f>T("2027670653")</f>
        <v>2027670653</v>
      </c>
    </row>
    <row r="679" spans="1:12" x14ac:dyDescent="0.35">
      <c r="A679" t="str">
        <f t="shared" si="261"/>
        <v>NAVAL RESEARCH LABORATORY</v>
      </c>
      <c r="B679" t="str">
        <f t="shared" si="272"/>
        <v>4555 OVERLOOK AVE SW</v>
      </c>
      <c r="C679" t="str">
        <f t="shared" si="273"/>
        <v>CODE 1006</v>
      </c>
      <c r="D679" t="str">
        <f t="shared" si="263"/>
        <v>WASHINGTON</v>
      </c>
      <c r="E679" t="str">
        <f t="shared" si="264"/>
        <v>DC</v>
      </c>
      <c r="F679" t="str">
        <f t="shared" si="265"/>
        <v>203750001</v>
      </c>
      <c r="G679" t="str">
        <f>T("BLDG 43 RM 218")</f>
        <v>BLDG 43 RM 218</v>
      </c>
      <c r="H679" t="str">
        <f>T("CODE 7000")</f>
        <v>CODE 7000</v>
      </c>
      <c r="I679" t="str">
        <f t="shared" si="270"/>
        <v>WASHINGTON</v>
      </c>
      <c r="J679" t="str">
        <f t="shared" si="271"/>
        <v>DC</v>
      </c>
      <c r="K679" t="str">
        <f>T("000000000000000000")</f>
        <v>000000000000000000</v>
      </c>
      <c r="L679" t="str">
        <f>T("2024048174")</f>
        <v>2024048174</v>
      </c>
    </row>
    <row r="680" spans="1:12" x14ac:dyDescent="0.35">
      <c r="A680" t="str">
        <f t="shared" si="261"/>
        <v>NAVAL RESEARCH LABORATORY</v>
      </c>
      <c r="B680" t="str">
        <f t="shared" si="272"/>
        <v>4555 OVERLOOK AVE SW</v>
      </c>
      <c r="C680" t="str">
        <f t="shared" si="273"/>
        <v>CODE 1006</v>
      </c>
      <c r="D680" t="str">
        <f t="shared" si="263"/>
        <v>WASHINGTON</v>
      </c>
      <c r="E680" t="str">
        <f t="shared" si="264"/>
        <v>DC</v>
      </c>
      <c r="F680" t="str">
        <f t="shared" si="265"/>
        <v>203750001</v>
      </c>
      <c r="G680" t="str">
        <f>T("CODE 1006A")</f>
        <v>CODE 1006A</v>
      </c>
      <c r="H680" t="str">
        <f>T("4555 OVERLOOK AVENUE")</f>
        <v>4555 OVERLOOK AVENUE</v>
      </c>
      <c r="I680" t="str">
        <f t="shared" si="270"/>
        <v>WASHINGTON</v>
      </c>
      <c r="J680" t="str">
        <f t="shared" si="271"/>
        <v>DC</v>
      </c>
      <c r="K680" t="str">
        <f>T("000000000000000000")</f>
        <v>000000000000000000</v>
      </c>
      <c r="L680" t="str">
        <f>T("2024047478")</f>
        <v>2024047478</v>
      </c>
    </row>
    <row r="681" spans="1:12" x14ac:dyDescent="0.35">
      <c r="A681" t="str">
        <f t="shared" si="261"/>
        <v>NAVAL RESEARCH LABORATORY</v>
      </c>
      <c r="B681" t="str">
        <f t="shared" si="272"/>
        <v>4555 OVERLOOK AVE SW</v>
      </c>
      <c r="C681" t="str">
        <f>T("CODE 1006.2")</f>
        <v>CODE 1006.2</v>
      </c>
      <c r="D681" t="str">
        <f t="shared" si="263"/>
        <v>WASHINGTON</v>
      </c>
      <c r="E681" t="str">
        <f t="shared" si="264"/>
        <v>DC</v>
      </c>
      <c r="F681" t="str">
        <f t="shared" si="265"/>
        <v>203750001</v>
      </c>
      <c r="G681" t="str">
        <f>T("4555 OVERLOOK AVE SW")</f>
        <v>4555 OVERLOOK AVE SW</v>
      </c>
      <c r="H681" t="str">
        <f>T("CODE 1006.2")</f>
        <v>CODE 1006.2</v>
      </c>
      <c r="I681" t="str">
        <f t="shared" si="270"/>
        <v>WASHINGTON</v>
      </c>
      <c r="J681" t="str">
        <f t="shared" si="271"/>
        <v>DC</v>
      </c>
      <c r="K681" t="str">
        <f>T("202 767 2432")</f>
        <v>202 767 2432</v>
      </c>
      <c r="L681" t="str">
        <f>T("2027672668")</f>
        <v>2027672668</v>
      </c>
    </row>
    <row r="682" spans="1:12" x14ac:dyDescent="0.35">
      <c r="A682" t="str">
        <f t="shared" si="261"/>
        <v>NAVAL RESEARCH LABORATORY</v>
      </c>
      <c r="B682" t="str">
        <f t="shared" si="272"/>
        <v>4555 OVERLOOK AVE SW</v>
      </c>
      <c r="C682" t="str">
        <f>T("CODE 1006.2")</f>
        <v>CODE 1006.2</v>
      </c>
      <c r="D682" t="str">
        <f t="shared" si="263"/>
        <v>WASHINGTON</v>
      </c>
      <c r="E682" t="str">
        <f t="shared" si="264"/>
        <v>DC</v>
      </c>
      <c r="F682" t="str">
        <f t="shared" si="265"/>
        <v>203750001</v>
      </c>
      <c r="G682" t="str">
        <f>T("4555 OVERLOOK AVENUE SW")</f>
        <v>4555 OVERLOOK AVENUE SW</v>
      </c>
      <c r="H682" t="str">
        <f>T("CODE 1004")</f>
        <v>CODE 1004</v>
      </c>
      <c r="I682" t="str">
        <f t="shared" si="270"/>
        <v>WASHINGTON</v>
      </c>
      <c r="J682" t="str">
        <f t="shared" si="271"/>
        <v>DC</v>
      </c>
      <c r="K682" t="str">
        <f>T("2024047920")</f>
        <v>2024047920</v>
      </c>
      <c r="L682" t="str">
        <f>T("2027671328")</f>
        <v>2027671328</v>
      </c>
    </row>
    <row r="683" spans="1:12" x14ac:dyDescent="0.35">
      <c r="A683" t="str">
        <f t="shared" si="261"/>
        <v>NAVAL RESEARCH LABORATORY</v>
      </c>
      <c r="B683" t="str">
        <f t="shared" si="272"/>
        <v>4555 OVERLOOK AVE SW</v>
      </c>
      <c r="C683" t="str">
        <f>T("CODE 1006.2")</f>
        <v>CODE 1006.2</v>
      </c>
      <c r="D683" t="str">
        <f t="shared" si="263"/>
        <v>WASHINGTON</v>
      </c>
      <c r="E683" t="str">
        <f t="shared" si="264"/>
        <v>DC</v>
      </c>
      <c r="F683" t="str">
        <f t="shared" si="265"/>
        <v>203750001</v>
      </c>
      <c r="G683" t="str">
        <f>T("4555 OVERLOOK AVENUE SW")</f>
        <v>4555 OVERLOOK AVENUE SW</v>
      </c>
      <c r="H683" t="str">
        <f>T("CODE 5000")</f>
        <v>CODE 5000</v>
      </c>
      <c r="I683" t="str">
        <f t="shared" si="270"/>
        <v>WASHINGTON</v>
      </c>
      <c r="J683" t="str">
        <f t="shared" si="271"/>
        <v>DC</v>
      </c>
      <c r="K683" t="str">
        <f>T("2024041207")</f>
        <v>2024041207</v>
      </c>
      <c r="L683" t="str">
        <f>T("2027673324")</f>
        <v>2027673324</v>
      </c>
    </row>
    <row r="684" spans="1:12" x14ac:dyDescent="0.35">
      <c r="A684" t="str">
        <f t="shared" si="261"/>
        <v>NAVAL RESEARCH LABORATORY</v>
      </c>
      <c r="B684" t="str">
        <f t="shared" si="272"/>
        <v>4555 OVERLOOK AVE SW</v>
      </c>
      <c r="C684" t="str">
        <f>T("CODE 1006.2")</f>
        <v>CODE 1006.2</v>
      </c>
      <c r="D684" t="str">
        <f t="shared" si="263"/>
        <v>WASHINGTON</v>
      </c>
      <c r="E684" t="str">
        <f t="shared" si="264"/>
        <v>DC</v>
      </c>
      <c r="F684" t="str">
        <f t="shared" si="265"/>
        <v>203750001</v>
      </c>
      <c r="G684" t="str">
        <f>T("4555 OVERLOOK AVENUE SW")</f>
        <v>4555 OVERLOOK AVENUE SW</v>
      </c>
      <c r="H684" t="str">
        <f>T("CODE 6000")</f>
        <v>CODE 6000</v>
      </c>
      <c r="I684" t="str">
        <f t="shared" si="270"/>
        <v>WASHINGTON</v>
      </c>
      <c r="J684" t="str">
        <f t="shared" si="271"/>
        <v>DC</v>
      </c>
      <c r="K684" t="str">
        <f>T("000000000000000000")</f>
        <v>000000000000000000</v>
      </c>
      <c r="L684" t="str">
        <f>T("2027672538")</f>
        <v>2027672538</v>
      </c>
    </row>
    <row r="685" spans="1:12" x14ac:dyDescent="0.35">
      <c r="A685" t="str">
        <f t="shared" si="261"/>
        <v>NAVAL RESEARCH LABORATORY</v>
      </c>
      <c r="B685" t="str">
        <f t="shared" si="272"/>
        <v>4555 OVERLOOK AVE SW</v>
      </c>
      <c r="C685" t="str">
        <f>T("CODE 1202")</f>
        <v>CODE 1202</v>
      </c>
      <c r="D685" t="str">
        <f t="shared" si="263"/>
        <v>WASHINGTON</v>
      </c>
      <c r="E685" t="str">
        <f t="shared" si="264"/>
        <v>DC</v>
      </c>
      <c r="F685" t="str">
        <f t="shared" si="265"/>
        <v>203750001</v>
      </c>
      <c r="G685" t="str">
        <f t="shared" ref="G685:G694" si="274">T("4555 OVERLOOK AVE SW")</f>
        <v>4555 OVERLOOK AVE SW</v>
      </c>
      <c r="H685" t="str">
        <f>T("CODE 1202")</f>
        <v>CODE 1202</v>
      </c>
      <c r="I685" t="str">
        <f t="shared" si="270"/>
        <v>WASHINGTON</v>
      </c>
      <c r="J685" t="str">
        <f t="shared" si="271"/>
        <v>DC</v>
      </c>
      <c r="K685" t="str">
        <f>T("2024041987")</f>
        <v>2024041987</v>
      </c>
      <c r="L685" t="str">
        <f>T("2024041986")</f>
        <v>2024041986</v>
      </c>
    </row>
    <row r="686" spans="1:12" x14ac:dyDescent="0.35">
      <c r="A686" t="str">
        <f t="shared" si="261"/>
        <v>NAVAL RESEARCH LABORATORY</v>
      </c>
      <c r="B686" t="str">
        <f t="shared" si="272"/>
        <v>4555 OVERLOOK AVE SW</v>
      </c>
      <c r="C686" t="str">
        <f>T("CODE 1202")</f>
        <v>CODE 1202</v>
      </c>
      <c r="D686" t="str">
        <f t="shared" si="263"/>
        <v>WASHINGTON</v>
      </c>
      <c r="E686" t="str">
        <f t="shared" si="264"/>
        <v>DC</v>
      </c>
      <c r="F686" t="str">
        <f t="shared" si="265"/>
        <v>203750001</v>
      </c>
      <c r="G686" t="str">
        <f t="shared" si="274"/>
        <v>4555 OVERLOOK AVE SW</v>
      </c>
      <c r="H686" t="str">
        <f>T("CODE 1202")</f>
        <v>CODE 1202</v>
      </c>
      <c r="I686" t="str">
        <f t="shared" si="270"/>
        <v>WASHINGTON</v>
      </c>
      <c r="J686" t="str">
        <f t="shared" si="271"/>
        <v>DC</v>
      </c>
      <c r="K686" t="str">
        <f>T("2024041987")</f>
        <v>2024041987</v>
      </c>
      <c r="L686" t="str">
        <f>T("2024042055")</f>
        <v>2024042055</v>
      </c>
    </row>
    <row r="687" spans="1:12" x14ac:dyDescent="0.35">
      <c r="A687" t="str">
        <f t="shared" si="261"/>
        <v>NAVAL RESEARCH LABORATORY</v>
      </c>
      <c r="B687" t="str">
        <f t="shared" si="272"/>
        <v>4555 OVERLOOK AVE SW</v>
      </c>
      <c r="C687" t="str">
        <f>T("CODE 1202")</f>
        <v>CODE 1202</v>
      </c>
      <c r="D687" t="str">
        <f t="shared" si="263"/>
        <v>WASHINGTON</v>
      </c>
      <c r="E687" t="str">
        <f t="shared" si="264"/>
        <v>DC</v>
      </c>
      <c r="F687" t="str">
        <f t="shared" si="265"/>
        <v>203750001</v>
      </c>
      <c r="G687" t="str">
        <f t="shared" si="274"/>
        <v>4555 OVERLOOK AVE SW</v>
      </c>
      <c r="H687" t="str">
        <f>T("CODE 1220")</f>
        <v>CODE 1220</v>
      </c>
      <c r="I687" t="str">
        <f t="shared" si="270"/>
        <v>WASHINGTON</v>
      </c>
      <c r="J687" t="str">
        <f t="shared" si="271"/>
        <v>DC</v>
      </c>
      <c r="K687" t="str">
        <f>T("2024041991")</f>
        <v>2024041991</v>
      </c>
      <c r="L687" t="str">
        <f>T("2024041685")</f>
        <v>2024041685</v>
      </c>
    </row>
    <row r="688" spans="1:12" x14ac:dyDescent="0.35">
      <c r="A688" t="str">
        <f t="shared" si="261"/>
        <v>NAVAL RESEARCH LABORATORY</v>
      </c>
      <c r="B688" t="str">
        <f t="shared" si="272"/>
        <v>4555 OVERLOOK AVE SW</v>
      </c>
      <c r="C688" t="str">
        <f>T("CODE 1202")</f>
        <v>CODE 1202</v>
      </c>
      <c r="D688" t="str">
        <f t="shared" si="263"/>
        <v>WASHINGTON</v>
      </c>
      <c r="E688" t="str">
        <f t="shared" si="264"/>
        <v>DC</v>
      </c>
      <c r="F688" t="str">
        <f t="shared" si="265"/>
        <v>203750001</v>
      </c>
      <c r="G688" t="str">
        <f t="shared" si="274"/>
        <v>4555 OVERLOOK AVE SW</v>
      </c>
      <c r="H688" t="str">
        <f>T("CODE 1230")</f>
        <v>CODE 1230</v>
      </c>
      <c r="I688" t="str">
        <f t="shared" si="270"/>
        <v>WASHINGTON</v>
      </c>
      <c r="J688" t="str">
        <f t="shared" si="271"/>
        <v>DC</v>
      </c>
      <c r="K688" t="str">
        <f>T("2027679046")</f>
        <v>2027679046</v>
      </c>
      <c r="L688" t="str">
        <f>T("2027671380")</f>
        <v>2027671380</v>
      </c>
    </row>
    <row r="689" spans="1:12" x14ac:dyDescent="0.35">
      <c r="A689" t="str">
        <f t="shared" si="261"/>
        <v>NAVAL RESEARCH LABORATORY</v>
      </c>
      <c r="B689" t="str">
        <f t="shared" si="272"/>
        <v>4555 OVERLOOK AVE SW</v>
      </c>
      <c r="C689" t="str">
        <f>T("CODE 1202")</f>
        <v>CODE 1202</v>
      </c>
      <c r="D689" t="str">
        <f t="shared" si="263"/>
        <v>WASHINGTON</v>
      </c>
      <c r="E689" t="str">
        <f t="shared" si="264"/>
        <v>DC</v>
      </c>
      <c r="F689" t="str">
        <f t="shared" si="265"/>
        <v>203750001</v>
      </c>
      <c r="G689" t="str">
        <f t="shared" si="274"/>
        <v>4555 OVERLOOK AVE SW</v>
      </c>
      <c r="H689" t="str">
        <f>T("CODE 1231")</f>
        <v>CODE 1231</v>
      </c>
      <c r="I689" t="str">
        <f t="shared" si="270"/>
        <v>WASHINGTON</v>
      </c>
      <c r="J689" t="str">
        <f t="shared" si="271"/>
        <v>DC</v>
      </c>
      <c r="K689" t="str">
        <f>T("2024041254")</f>
        <v>2024041254</v>
      </c>
      <c r="L689" t="str">
        <f>T("2027673711")</f>
        <v>2027673711</v>
      </c>
    </row>
    <row r="690" spans="1:12" x14ac:dyDescent="0.35">
      <c r="A690" t="str">
        <f t="shared" si="261"/>
        <v>NAVAL RESEARCH LABORATORY</v>
      </c>
      <c r="B690" t="str">
        <f t="shared" si="272"/>
        <v>4555 OVERLOOK AVE SW</v>
      </c>
      <c r="C690" t="str">
        <f>T("CODE 1400")</f>
        <v>CODE 1400</v>
      </c>
      <c r="D690" t="str">
        <f t="shared" si="263"/>
        <v>WASHINGTON</v>
      </c>
      <c r="E690" t="str">
        <f t="shared" si="264"/>
        <v>DC</v>
      </c>
      <c r="F690" t="str">
        <f t="shared" si="265"/>
        <v>203750001</v>
      </c>
      <c r="G690" t="str">
        <f t="shared" si="274"/>
        <v>4555 OVERLOOK AVE SW</v>
      </c>
      <c r="H690" t="str">
        <f>T("CODE 1400")</f>
        <v>CODE 1400</v>
      </c>
      <c r="I690" t="str">
        <f t="shared" si="270"/>
        <v>WASHINGTON</v>
      </c>
      <c r="J690" t="str">
        <f t="shared" si="271"/>
        <v>DC</v>
      </c>
      <c r="K690" t="str">
        <f>T("202-404-1254")</f>
        <v>202-404-1254</v>
      </c>
      <c r="L690" t="str">
        <f>T("2027672103")</f>
        <v>2027672103</v>
      </c>
    </row>
    <row r="691" spans="1:12" x14ac:dyDescent="0.35">
      <c r="A691" t="str">
        <f t="shared" si="261"/>
        <v>NAVAL RESEARCH LABORATORY</v>
      </c>
      <c r="B691" t="str">
        <f t="shared" si="272"/>
        <v>4555 OVERLOOK AVE SW</v>
      </c>
      <c r="C691" t="str">
        <f>T("CODE 1400")</f>
        <v>CODE 1400</v>
      </c>
      <c r="D691" t="str">
        <f t="shared" si="263"/>
        <v>WASHINGTON</v>
      </c>
      <c r="E691" t="str">
        <f t="shared" si="264"/>
        <v>DC</v>
      </c>
      <c r="F691" t="str">
        <f t="shared" si="265"/>
        <v>203750001</v>
      </c>
      <c r="G691" t="str">
        <f t="shared" si="274"/>
        <v>4555 OVERLOOK AVE SW</v>
      </c>
      <c r="H691" t="str">
        <f>T("CODE 1400")</f>
        <v>CODE 1400</v>
      </c>
      <c r="I691" t="str">
        <f t="shared" si="270"/>
        <v>WASHINGTON</v>
      </c>
      <c r="J691" t="str">
        <f t="shared" si="271"/>
        <v>DC</v>
      </c>
      <c r="K691" t="str">
        <f>T("2024041254")</f>
        <v>2024041254</v>
      </c>
      <c r="L691" t="str">
        <f>T("2027677627")</f>
        <v>2027677627</v>
      </c>
    </row>
    <row r="692" spans="1:12" x14ac:dyDescent="0.35">
      <c r="A692" t="str">
        <f t="shared" si="261"/>
        <v>NAVAL RESEARCH LABORATORY</v>
      </c>
      <c r="B692" t="str">
        <f t="shared" si="272"/>
        <v>4555 OVERLOOK AVE SW</v>
      </c>
      <c r="C692" t="str">
        <f>T("CODE 1402")</f>
        <v>CODE 1402</v>
      </c>
      <c r="D692" t="str">
        <f t="shared" si="263"/>
        <v>WASHINGTON</v>
      </c>
      <c r="E692" t="str">
        <f t="shared" si="264"/>
        <v>DC</v>
      </c>
      <c r="F692" t="str">
        <f t="shared" si="265"/>
        <v>203750001</v>
      </c>
      <c r="G692" t="str">
        <f t="shared" si="274"/>
        <v>4555 OVERLOOK AVE SW</v>
      </c>
      <c r="H692" t="str">
        <f>T("CODE 1402")</f>
        <v>CODE 1402</v>
      </c>
      <c r="I692" t="str">
        <f t="shared" si="270"/>
        <v>WASHINGTON</v>
      </c>
      <c r="J692" t="str">
        <f t="shared" si="271"/>
        <v>DC</v>
      </c>
      <c r="K692" t="str">
        <f>T("202-404-8176")</f>
        <v>202-404-8176</v>
      </c>
      <c r="L692" t="str">
        <f>T("2027676058")</f>
        <v>2027676058</v>
      </c>
    </row>
    <row r="693" spans="1:12" x14ac:dyDescent="0.35">
      <c r="A693" t="str">
        <f t="shared" si="261"/>
        <v>NAVAL RESEARCH LABORATORY</v>
      </c>
      <c r="B693" t="str">
        <f t="shared" si="272"/>
        <v>4555 OVERLOOK AVE SW</v>
      </c>
      <c r="C693" t="str">
        <f>T("CODE 1600")</f>
        <v>CODE 1600</v>
      </c>
      <c r="D693" t="str">
        <f t="shared" si="263"/>
        <v>WASHINGTON</v>
      </c>
      <c r="E693" t="str">
        <f t="shared" si="264"/>
        <v>DC</v>
      </c>
      <c r="F693" t="str">
        <f t="shared" si="265"/>
        <v>203750001</v>
      </c>
      <c r="G693" t="str">
        <f t="shared" si="274"/>
        <v>4555 OVERLOOK AVE SW</v>
      </c>
      <c r="H693" t="str">
        <f>T("CODE 1600")</f>
        <v>CODE 1600</v>
      </c>
      <c r="I693" t="str">
        <f t="shared" si="270"/>
        <v>WASHINGTON</v>
      </c>
      <c r="J693" t="str">
        <f t="shared" si="271"/>
        <v>DC</v>
      </c>
      <c r="K693" t="str">
        <f>T("000000000000000000")</f>
        <v>000000000000000000</v>
      </c>
      <c r="L693" t="str">
        <f>T("3017578515")</f>
        <v>3017578515</v>
      </c>
    </row>
    <row r="694" spans="1:12" x14ac:dyDescent="0.35">
      <c r="A694" t="str">
        <f t="shared" si="261"/>
        <v>NAVAL RESEARCH LABORATORY</v>
      </c>
      <c r="B694" t="str">
        <f t="shared" si="272"/>
        <v>4555 OVERLOOK AVE SW</v>
      </c>
      <c r="C694" t="str">
        <f>T("CODE 1600")</f>
        <v>CODE 1600</v>
      </c>
      <c r="D694" t="str">
        <f t="shared" si="263"/>
        <v>WASHINGTON</v>
      </c>
      <c r="E694" t="str">
        <f t="shared" si="264"/>
        <v>DC</v>
      </c>
      <c r="F694" t="str">
        <f t="shared" si="265"/>
        <v>203750001</v>
      </c>
      <c r="G694" t="str">
        <f t="shared" si="274"/>
        <v>4555 OVERLOOK AVE SW</v>
      </c>
      <c r="H694" t="str">
        <f>T("CODE 1600")</f>
        <v>CODE 1600</v>
      </c>
      <c r="I694" t="str">
        <f t="shared" si="270"/>
        <v>WASHINGTON</v>
      </c>
      <c r="J694" t="str">
        <f t="shared" si="271"/>
        <v>DC</v>
      </c>
      <c r="K694" t="str">
        <f>T("3013423908")</f>
        <v>3013423908</v>
      </c>
      <c r="L694" t="str">
        <f>T("3033423503")</f>
        <v>3033423503</v>
      </c>
    </row>
    <row r="695" spans="1:12" x14ac:dyDescent="0.35">
      <c r="A695" t="str">
        <f t="shared" si="261"/>
        <v>NAVAL RESEARCH LABORATORY</v>
      </c>
      <c r="B695" t="str">
        <f t="shared" si="272"/>
        <v>4555 OVERLOOK AVE SW</v>
      </c>
      <c r="C695" t="str">
        <f>T("CODE 1802")</f>
        <v>CODE 1802</v>
      </c>
      <c r="D695" t="str">
        <f t="shared" si="263"/>
        <v>WASHINGTON</v>
      </c>
      <c r="E695" t="str">
        <f t="shared" si="264"/>
        <v>DC</v>
      </c>
      <c r="F695" t="str">
        <f t="shared" si="265"/>
        <v>203750001</v>
      </c>
      <c r="G695" t="str">
        <f>T("4555 OVERLOOK AV SW")</f>
        <v>4555 OVERLOOK AV SW</v>
      </c>
      <c r="H695" t="str">
        <f>T("CODE 1830")</f>
        <v>CODE 1830</v>
      </c>
      <c r="I695" t="str">
        <f t="shared" si="270"/>
        <v>WASHINGTON</v>
      </c>
      <c r="J695" t="str">
        <f t="shared" si="271"/>
        <v>DC</v>
      </c>
      <c r="K695" t="str">
        <f>T("000000000000000000")</f>
        <v>000000000000000000</v>
      </c>
      <c r="L695" t="str">
        <f>T("2024041001")</f>
        <v>2024041001</v>
      </c>
    </row>
    <row r="696" spans="1:12" x14ac:dyDescent="0.35">
      <c r="A696" t="str">
        <f t="shared" si="261"/>
        <v>NAVAL RESEARCH LABORATORY</v>
      </c>
      <c r="B696" t="str">
        <f t="shared" si="272"/>
        <v>4555 OVERLOOK AVE SW</v>
      </c>
      <c r="C696" t="str">
        <f>T("CODE 1802")</f>
        <v>CODE 1802</v>
      </c>
      <c r="D696" t="str">
        <f t="shared" si="263"/>
        <v>WASHINGTON</v>
      </c>
      <c r="E696" t="str">
        <f t="shared" si="264"/>
        <v>DC</v>
      </c>
      <c r="F696" t="str">
        <f t="shared" si="265"/>
        <v>203750001</v>
      </c>
      <c r="G696" t="str">
        <f>T("4555 OVERLOOK AVE SW")</f>
        <v>4555 OVERLOOK AVE SW</v>
      </c>
      <c r="H696" t="str">
        <f>T("CODE 1802")</f>
        <v>CODE 1802</v>
      </c>
      <c r="I696" t="str">
        <f t="shared" si="270"/>
        <v>WASHINGTON</v>
      </c>
      <c r="J696" t="str">
        <f t="shared" si="271"/>
        <v>DC</v>
      </c>
      <c r="K696" t="str">
        <f>T("2024047248")</f>
        <v>2024047248</v>
      </c>
      <c r="L696" t="str">
        <f>T("2027678230")</f>
        <v>2027678230</v>
      </c>
    </row>
    <row r="697" spans="1:12" x14ac:dyDescent="0.35">
      <c r="A697" t="str">
        <f t="shared" si="261"/>
        <v>NAVAL RESEARCH LABORATORY</v>
      </c>
      <c r="B697" t="str">
        <f t="shared" si="272"/>
        <v>4555 OVERLOOK AVE SW</v>
      </c>
      <c r="C697" t="str">
        <f>T("CODE 1802")</f>
        <v>CODE 1802</v>
      </c>
      <c r="D697" t="str">
        <f t="shared" si="263"/>
        <v>WASHINGTON</v>
      </c>
      <c r="E697" t="str">
        <f t="shared" si="264"/>
        <v>DC</v>
      </c>
      <c r="F697" t="str">
        <f t="shared" si="265"/>
        <v>203750001</v>
      </c>
      <c r="G697" t="str">
        <f>T("4555 OVERLOOK AVE SW")</f>
        <v>4555 OVERLOOK AVE SW</v>
      </c>
      <c r="H697" t="str">
        <f>T("CODE 1802")</f>
        <v>CODE 1802</v>
      </c>
      <c r="I697" t="str">
        <f t="shared" si="270"/>
        <v>WASHINGTON</v>
      </c>
      <c r="J697" t="str">
        <f t="shared" si="271"/>
        <v>DC</v>
      </c>
      <c r="K697" t="str">
        <f>T("2027678216")</f>
        <v>2027678216</v>
      </c>
      <c r="L697" t="str">
        <f>T("2024042797")</f>
        <v>2024042797</v>
      </c>
    </row>
    <row r="698" spans="1:12" x14ac:dyDescent="0.35">
      <c r="A698" t="str">
        <f t="shared" si="261"/>
        <v>NAVAL RESEARCH LABORATORY</v>
      </c>
      <c r="B698" t="str">
        <f t="shared" si="272"/>
        <v>4555 OVERLOOK AVE SW</v>
      </c>
      <c r="C698" t="str">
        <f>T("CODE 1802")</f>
        <v>CODE 1802</v>
      </c>
      <c r="D698" t="str">
        <f t="shared" si="263"/>
        <v>WASHINGTON</v>
      </c>
      <c r="E698" t="str">
        <f t="shared" si="264"/>
        <v>DC</v>
      </c>
      <c r="F698" t="str">
        <f t="shared" si="265"/>
        <v>203750001</v>
      </c>
      <c r="G698" t="str">
        <f>T("4555 OVERLOOK AVENUE SW")</f>
        <v>4555 OVERLOOK AVENUE SW</v>
      </c>
      <c r="H698" t="str">
        <f>T("CODE 1810")</f>
        <v>CODE 1810</v>
      </c>
      <c r="I698" t="str">
        <f t="shared" si="270"/>
        <v>WASHINGTON</v>
      </c>
      <c r="J698" t="str">
        <f t="shared" si="271"/>
        <v>DC</v>
      </c>
      <c r="K698" t="str">
        <f>T("2027670437")</f>
        <v>2027670437</v>
      </c>
      <c r="L698" t="str">
        <f>T("2024041812")</f>
        <v>2024041812</v>
      </c>
    </row>
    <row r="699" spans="1:12" x14ac:dyDescent="0.35">
      <c r="A699" t="str">
        <f t="shared" si="261"/>
        <v>NAVAL RESEARCH LABORATORY</v>
      </c>
      <c r="B699" t="str">
        <f t="shared" si="272"/>
        <v>4555 OVERLOOK AVE SW</v>
      </c>
      <c r="C699" t="str">
        <f>T("CODE 1850")</f>
        <v>CODE 1850</v>
      </c>
      <c r="D699" t="str">
        <f t="shared" si="263"/>
        <v>WASHINGTON</v>
      </c>
      <c r="E699" t="str">
        <f t="shared" si="264"/>
        <v>DC</v>
      </c>
      <c r="F699" t="str">
        <f t="shared" si="265"/>
        <v>203750001</v>
      </c>
      <c r="G699" t="str">
        <f>T("4555 OVERLOOK AVE SW")</f>
        <v>4555 OVERLOOK AVE SW</v>
      </c>
      <c r="H699" t="str">
        <f>T("CODE 1802")</f>
        <v>CODE 1802</v>
      </c>
      <c r="I699" t="str">
        <f t="shared" si="270"/>
        <v>WASHINGTON</v>
      </c>
      <c r="J699" t="str">
        <f t="shared" si="271"/>
        <v>DC</v>
      </c>
      <c r="K699" t="str">
        <f>T("000000000000000000")</f>
        <v>000000000000000000</v>
      </c>
      <c r="L699" t="str">
        <f>T("2024042797")</f>
        <v>2024042797</v>
      </c>
    </row>
    <row r="700" spans="1:12" x14ac:dyDescent="0.35">
      <c r="A700" t="str">
        <f t="shared" si="261"/>
        <v>NAVAL RESEARCH LABORATORY</v>
      </c>
      <c r="B700" t="str">
        <f t="shared" si="272"/>
        <v>4555 OVERLOOK AVE SW</v>
      </c>
      <c r="C700" t="str">
        <f>T("CODE 1850")</f>
        <v>CODE 1850</v>
      </c>
      <c r="D700" t="str">
        <f t="shared" si="263"/>
        <v>WASHINGTON</v>
      </c>
      <c r="E700" t="str">
        <f t="shared" si="264"/>
        <v>DC</v>
      </c>
      <c r="F700" t="str">
        <f t="shared" si="265"/>
        <v>203750001</v>
      </c>
      <c r="G700" t="str">
        <f>T("4555 OVERLOOK AVE SW")</f>
        <v>4555 OVERLOOK AVE SW</v>
      </c>
      <c r="H700" t="str">
        <f>T("CODE 1850")</f>
        <v>CODE 1850</v>
      </c>
      <c r="I700" t="str">
        <f t="shared" si="270"/>
        <v>WASHINGTON</v>
      </c>
      <c r="J700" t="str">
        <f t="shared" si="271"/>
        <v>DC</v>
      </c>
      <c r="K700" t="str">
        <f>T("2024047227")</f>
        <v>2024047227</v>
      </c>
      <c r="L700" t="str">
        <f>T("2027672957")</f>
        <v>2027672957</v>
      </c>
    </row>
    <row r="701" spans="1:12" x14ac:dyDescent="0.35">
      <c r="A701" t="str">
        <f t="shared" si="261"/>
        <v>NAVAL RESEARCH LABORATORY</v>
      </c>
      <c r="B701" t="str">
        <f t="shared" si="272"/>
        <v>4555 OVERLOOK AVE SW</v>
      </c>
      <c r="C701" t="str">
        <f>T("CODE 3302")</f>
        <v>CODE 3302</v>
      </c>
      <c r="D701" t="str">
        <f t="shared" si="263"/>
        <v>WASHINGTON</v>
      </c>
      <c r="E701" t="str">
        <f t="shared" si="264"/>
        <v>DC</v>
      </c>
      <c r="F701" t="str">
        <f t="shared" si="265"/>
        <v>203750001</v>
      </c>
      <c r="G701" t="str">
        <f>T("4555 OVERLOOK AVE SW")</f>
        <v>4555 OVERLOOK AVE SW</v>
      </c>
      <c r="H701" t="str">
        <f>T("CODE 3030")</f>
        <v>CODE 3030</v>
      </c>
      <c r="I701" t="str">
        <f t="shared" si="270"/>
        <v>WASHINGTON</v>
      </c>
      <c r="J701" t="str">
        <f t="shared" si="271"/>
        <v>DC</v>
      </c>
      <c r="K701" t="str">
        <f>T("000000000000000000")</f>
        <v>000000000000000000</v>
      </c>
      <c r="L701" t="str">
        <f>T("2024044928")</f>
        <v>2024044928</v>
      </c>
    </row>
    <row r="702" spans="1:12" x14ac:dyDescent="0.35">
      <c r="A702" t="str">
        <f t="shared" si="261"/>
        <v>NAVAL RESEARCH LABORATORY</v>
      </c>
      <c r="B702" t="str">
        <f t="shared" si="272"/>
        <v>4555 OVERLOOK AVE SW</v>
      </c>
      <c r="C702" t="str">
        <f>T("CODE 3302")</f>
        <v>CODE 3302</v>
      </c>
      <c r="D702" t="str">
        <f t="shared" si="263"/>
        <v>WASHINGTON</v>
      </c>
      <c r="E702" t="str">
        <f t="shared" si="264"/>
        <v>DC</v>
      </c>
      <c r="F702" t="str">
        <f t="shared" si="265"/>
        <v>203750001</v>
      </c>
      <c r="G702" t="str">
        <f>T("4555 OVERLOOK AVE SW")</f>
        <v>4555 OVERLOOK AVE SW</v>
      </c>
      <c r="H702" t="str">
        <f>T("CODE 3302")</f>
        <v>CODE 3302</v>
      </c>
      <c r="I702" t="str">
        <f t="shared" si="270"/>
        <v>WASHINGTON</v>
      </c>
      <c r="J702" t="str">
        <f t="shared" si="271"/>
        <v>DC</v>
      </c>
      <c r="K702" t="str">
        <f>T("")</f>
        <v/>
      </c>
      <c r="L702" t="str">
        <f>T("2027672950")</f>
        <v>2027672950</v>
      </c>
    </row>
    <row r="703" spans="1:12" x14ac:dyDescent="0.35">
      <c r="A703" t="str">
        <f t="shared" si="261"/>
        <v>NAVAL RESEARCH LABORATORY</v>
      </c>
      <c r="B703" t="str">
        <f t="shared" si="272"/>
        <v>4555 OVERLOOK AVE SW</v>
      </c>
      <c r="C703" t="str">
        <f>T("CODE 3302")</f>
        <v>CODE 3302</v>
      </c>
      <c r="D703" t="str">
        <f t="shared" si="263"/>
        <v>WASHINGTON</v>
      </c>
      <c r="E703" t="str">
        <f t="shared" si="264"/>
        <v>DC</v>
      </c>
      <c r="F703" t="str">
        <f t="shared" si="265"/>
        <v>203750001</v>
      </c>
      <c r="G703" t="str">
        <f>T("4555 OVERLOOK AVENUE SW")</f>
        <v>4555 OVERLOOK AVENUE SW</v>
      </c>
      <c r="H703" t="str">
        <f>T("CODE 3302")</f>
        <v>CODE 3302</v>
      </c>
      <c r="I703" t="str">
        <f t="shared" si="270"/>
        <v>WASHINGTON</v>
      </c>
      <c r="J703" t="str">
        <f t="shared" si="271"/>
        <v>DC</v>
      </c>
      <c r="K703" t="str">
        <f>T("000000000000000000")</f>
        <v>000000000000000000</v>
      </c>
      <c r="L703" t="str">
        <f>T("2027676914")</f>
        <v>2027676914</v>
      </c>
    </row>
    <row r="704" spans="1:12" x14ac:dyDescent="0.35">
      <c r="A704" t="str">
        <f t="shared" si="261"/>
        <v>NAVAL RESEARCH LABORATORY</v>
      </c>
      <c r="B704" t="str">
        <f t="shared" si="272"/>
        <v>4555 OVERLOOK AVE SW</v>
      </c>
      <c r="C704" t="str">
        <f>T("CODE 3302")</f>
        <v>CODE 3302</v>
      </c>
      <c r="D704" t="str">
        <f t="shared" si="263"/>
        <v>WASHINGTON</v>
      </c>
      <c r="E704" t="str">
        <f t="shared" si="264"/>
        <v>DC</v>
      </c>
      <c r="F704" t="str">
        <f t="shared" si="265"/>
        <v>203750001</v>
      </c>
      <c r="G704" t="str">
        <f>T("4555 OVERLOOK AVENUE SW")</f>
        <v>4555 OVERLOOK AVENUE SW</v>
      </c>
      <c r="H704" t="str">
        <f>T("CODE 3352 2")</f>
        <v>CODE 3352 2</v>
      </c>
      <c r="I704" t="str">
        <f t="shared" si="270"/>
        <v>WASHINGTON</v>
      </c>
      <c r="J704" t="str">
        <f t="shared" si="271"/>
        <v>DC</v>
      </c>
      <c r="K704" t="str">
        <f>T("2027670818")</f>
        <v>2027670818</v>
      </c>
      <c r="L704" t="str">
        <f>T("2027673444")</f>
        <v>2027673444</v>
      </c>
    </row>
    <row r="705" spans="1:12" x14ac:dyDescent="0.35">
      <c r="A705" t="str">
        <f t="shared" ref="A705:A768" si="275">T("NAVAL RESEARCH LABORATORY")</f>
        <v>NAVAL RESEARCH LABORATORY</v>
      </c>
      <c r="B705" t="str">
        <f t="shared" si="272"/>
        <v>4555 OVERLOOK AVE SW</v>
      </c>
      <c r="C705" t="str">
        <f t="shared" ref="C705:C710" si="276">T("CODE 3403")</f>
        <v>CODE 3403</v>
      </c>
      <c r="D705" t="str">
        <f t="shared" si="263"/>
        <v>WASHINGTON</v>
      </c>
      <c r="E705" t="str">
        <f t="shared" si="264"/>
        <v>DC</v>
      </c>
      <c r="F705" t="str">
        <f t="shared" si="265"/>
        <v>203750001</v>
      </c>
      <c r="G705" t="str">
        <f>T("4555 OVERLOOK AV SW")</f>
        <v>4555 OVERLOOK AV SW</v>
      </c>
      <c r="H705" t="str">
        <f>T("CODE 3412")</f>
        <v>CODE 3412</v>
      </c>
      <c r="I705" t="str">
        <f t="shared" si="270"/>
        <v>WASHINGTON</v>
      </c>
      <c r="J705" t="str">
        <f t="shared" si="271"/>
        <v>DC</v>
      </c>
      <c r="K705" t="str">
        <f>T("000000000000000000")</f>
        <v>000000000000000000</v>
      </c>
      <c r="L705" t="str">
        <f>T("2024041714")</f>
        <v>2024041714</v>
      </c>
    </row>
    <row r="706" spans="1:12" x14ac:dyDescent="0.35">
      <c r="A706" t="str">
        <f t="shared" si="275"/>
        <v>NAVAL RESEARCH LABORATORY</v>
      </c>
      <c r="B706" t="str">
        <f t="shared" si="272"/>
        <v>4555 OVERLOOK AVE SW</v>
      </c>
      <c r="C706" t="str">
        <f t="shared" si="276"/>
        <v>CODE 3403</v>
      </c>
      <c r="D706" t="str">
        <f t="shared" ref="D706:D769" si="277">T("WASHINGTON")</f>
        <v>WASHINGTON</v>
      </c>
      <c r="E706" t="str">
        <f t="shared" ref="E706:E769" si="278">T("DC")</f>
        <v>DC</v>
      </c>
      <c r="F706" t="str">
        <f t="shared" ref="F706:F769" si="279">T("203750001")</f>
        <v>203750001</v>
      </c>
      <c r="G706" t="str">
        <f>T("4555 OVERLOOK AVE SW")</f>
        <v>4555 OVERLOOK AVE SW</v>
      </c>
      <c r="H706" t="str">
        <f>T("CODE 3402")</f>
        <v>CODE 3402</v>
      </c>
      <c r="I706" t="str">
        <f t="shared" si="270"/>
        <v>WASHINGTON</v>
      </c>
      <c r="J706" t="str">
        <f t="shared" si="271"/>
        <v>DC</v>
      </c>
      <c r="K706" t="str">
        <f>T("2024041254")</f>
        <v>2024041254</v>
      </c>
      <c r="L706" t="str">
        <f>T("2027673872")</f>
        <v>2027673872</v>
      </c>
    </row>
    <row r="707" spans="1:12" x14ac:dyDescent="0.35">
      <c r="A707" t="str">
        <f t="shared" si="275"/>
        <v>NAVAL RESEARCH LABORATORY</v>
      </c>
      <c r="B707" t="str">
        <f t="shared" si="272"/>
        <v>4555 OVERLOOK AVE SW</v>
      </c>
      <c r="C707" t="str">
        <f t="shared" si="276"/>
        <v>CODE 3403</v>
      </c>
      <c r="D707" t="str">
        <f t="shared" si="277"/>
        <v>WASHINGTON</v>
      </c>
      <c r="E707" t="str">
        <f t="shared" si="278"/>
        <v>DC</v>
      </c>
      <c r="F707" t="str">
        <f t="shared" si="279"/>
        <v>203750001</v>
      </c>
      <c r="G707" t="str">
        <f>T("4555 OVERLOOK AVE SW")</f>
        <v>4555 OVERLOOK AVE SW</v>
      </c>
      <c r="H707" t="str">
        <f>T("CODE 3403")</f>
        <v>CODE 3403</v>
      </c>
      <c r="I707" t="str">
        <f t="shared" si="270"/>
        <v>WASHINGTON</v>
      </c>
      <c r="J707" t="str">
        <f t="shared" si="271"/>
        <v>DC</v>
      </c>
      <c r="K707" t="str">
        <f>T("202-767-3815")</f>
        <v>202-767-3815</v>
      </c>
      <c r="L707" t="str">
        <f>T("2027679057")</f>
        <v>2027679057</v>
      </c>
    </row>
    <row r="708" spans="1:12" x14ac:dyDescent="0.35">
      <c r="A708" t="str">
        <f t="shared" si="275"/>
        <v>NAVAL RESEARCH LABORATORY</v>
      </c>
      <c r="B708" t="str">
        <f t="shared" si="272"/>
        <v>4555 OVERLOOK AVE SW</v>
      </c>
      <c r="C708" t="str">
        <f t="shared" si="276"/>
        <v>CODE 3403</v>
      </c>
      <c r="D708" t="str">
        <f t="shared" si="277"/>
        <v>WASHINGTON</v>
      </c>
      <c r="E708" t="str">
        <f t="shared" si="278"/>
        <v>DC</v>
      </c>
      <c r="F708" t="str">
        <f t="shared" si="279"/>
        <v>203750001</v>
      </c>
      <c r="G708" t="str">
        <f>T("4555 OVERLOOK AVE SW")</f>
        <v>4555 OVERLOOK AVE SW</v>
      </c>
      <c r="H708" t="str">
        <f>T("CODE 3403")</f>
        <v>CODE 3403</v>
      </c>
      <c r="I708" t="str">
        <f t="shared" si="270"/>
        <v>WASHINGTON</v>
      </c>
      <c r="J708" t="str">
        <f t="shared" si="271"/>
        <v>DC</v>
      </c>
      <c r="K708" t="str">
        <f>T("2024041254")</f>
        <v>2024041254</v>
      </c>
      <c r="L708" t="str">
        <f>T("2024047403")</f>
        <v>2024047403</v>
      </c>
    </row>
    <row r="709" spans="1:12" x14ac:dyDescent="0.35">
      <c r="A709" t="str">
        <f t="shared" si="275"/>
        <v>NAVAL RESEARCH LABORATORY</v>
      </c>
      <c r="B709" t="str">
        <f t="shared" si="272"/>
        <v>4555 OVERLOOK AVE SW</v>
      </c>
      <c r="C709" t="str">
        <f t="shared" si="276"/>
        <v>CODE 3403</v>
      </c>
      <c r="D709" t="str">
        <f t="shared" si="277"/>
        <v>WASHINGTON</v>
      </c>
      <c r="E709" t="str">
        <f t="shared" si="278"/>
        <v>DC</v>
      </c>
      <c r="F709" t="str">
        <f t="shared" si="279"/>
        <v>203750001</v>
      </c>
      <c r="G709" t="str">
        <f>T("4555 OVERLOOK AVE SW")</f>
        <v>4555 OVERLOOK AVE SW</v>
      </c>
      <c r="H709" t="str">
        <f>T("CODE 3411")</f>
        <v>CODE 3411</v>
      </c>
      <c r="I709" t="str">
        <f t="shared" si="270"/>
        <v>WASHINGTON</v>
      </c>
      <c r="J709" t="str">
        <f t="shared" si="271"/>
        <v>DC</v>
      </c>
      <c r="K709" t="str">
        <f>T("2027673793")</f>
        <v>2027673793</v>
      </c>
      <c r="L709" t="str">
        <f>T("2027671995")</f>
        <v>2027671995</v>
      </c>
    </row>
    <row r="710" spans="1:12" x14ac:dyDescent="0.35">
      <c r="A710" t="str">
        <f t="shared" si="275"/>
        <v>NAVAL RESEARCH LABORATORY</v>
      </c>
      <c r="B710" t="str">
        <f t="shared" si="272"/>
        <v>4555 OVERLOOK AVE SW</v>
      </c>
      <c r="C710" t="str">
        <f t="shared" si="276"/>
        <v>CODE 3403</v>
      </c>
      <c r="D710" t="str">
        <f t="shared" si="277"/>
        <v>WASHINGTON</v>
      </c>
      <c r="E710" t="str">
        <f t="shared" si="278"/>
        <v>DC</v>
      </c>
      <c r="F710" t="str">
        <f t="shared" si="279"/>
        <v>203750001</v>
      </c>
      <c r="G710" t="str">
        <f>T("4555 OVERLOOK AVE SW")</f>
        <v>4555 OVERLOOK AVE SW</v>
      </c>
      <c r="H710" t="str">
        <f>T("CODE 3412 1")</f>
        <v>CODE 3412 1</v>
      </c>
      <c r="I710" t="str">
        <f t="shared" si="270"/>
        <v>WASHINGTON</v>
      </c>
      <c r="J710" t="str">
        <f t="shared" si="271"/>
        <v>DC</v>
      </c>
      <c r="K710" t="str">
        <f>T("000000000000000000")</f>
        <v>000000000000000000</v>
      </c>
      <c r="L710" t="str">
        <f>T("2027672243")</f>
        <v>2027672243</v>
      </c>
    </row>
    <row r="711" spans="1:12" x14ac:dyDescent="0.35">
      <c r="A711" t="str">
        <f t="shared" si="275"/>
        <v>NAVAL RESEARCH LABORATORY</v>
      </c>
      <c r="B711" t="str">
        <f t="shared" si="272"/>
        <v>4555 OVERLOOK AVE SW</v>
      </c>
      <c r="C711" t="str">
        <f t="shared" ref="C711:C724" si="280">T("CODE 3410")</f>
        <v>CODE 3410</v>
      </c>
      <c r="D711" t="str">
        <f t="shared" si="277"/>
        <v>WASHINGTON</v>
      </c>
      <c r="E711" t="str">
        <f t="shared" si="278"/>
        <v>DC</v>
      </c>
      <c r="F711" t="str">
        <f t="shared" si="279"/>
        <v>203750001</v>
      </c>
      <c r="G711" t="str">
        <f>T("4555 OVERLOOK AVE")</f>
        <v>4555 OVERLOOK AVE</v>
      </c>
      <c r="H711" t="str">
        <f>T("CODE 3412 1")</f>
        <v>CODE 3412 1</v>
      </c>
      <c r="I711" t="str">
        <f t="shared" si="270"/>
        <v>WASHINGTON</v>
      </c>
      <c r="J711" t="str">
        <f t="shared" si="271"/>
        <v>DC</v>
      </c>
      <c r="K711" t="str">
        <f>T("000000000000000000")</f>
        <v>000000000000000000</v>
      </c>
      <c r="L711" t="str">
        <f>T("2027673452")</f>
        <v>2027673452</v>
      </c>
    </row>
    <row r="712" spans="1:12" x14ac:dyDescent="0.35">
      <c r="A712" t="str">
        <f t="shared" si="275"/>
        <v>NAVAL RESEARCH LABORATORY</v>
      </c>
      <c r="B712" t="str">
        <f t="shared" si="272"/>
        <v>4555 OVERLOOK AVE SW</v>
      </c>
      <c r="C712" t="str">
        <f t="shared" si="280"/>
        <v>CODE 3410</v>
      </c>
      <c r="D712" t="str">
        <f t="shared" si="277"/>
        <v>WASHINGTON</v>
      </c>
      <c r="E712" t="str">
        <f t="shared" si="278"/>
        <v>DC</v>
      </c>
      <c r="F712" t="str">
        <f t="shared" si="279"/>
        <v>203750001</v>
      </c>
      <c r="G712" t="str">
        <f>T("4555 OVERLOOK AVE")</f>
        <v>4555 OVERLOOK AVE</v>
      </c>
      <c r="H712" t="str">
        <f>T("CODE 3412 1")</f>
        <v>CODE 3412 1</v>
      </c>
      <c r="I712" t="str">
        <f t="shared" si="270"/>
        <v>WASHINGTON</v>
      </c>
      <c r="J712" t="str">
        <f t="shared" si="271"/>
        <v>DC</v>
      </c>
      <c r="K712" t="str">
        <f>T("2027676678")</f>
        <v>2027676678</v>
      </c>
      <c r="L712" t="str">
        <f>T("2027672474")</f>
        <v>2027672474</v>
      </c>
    </row>
    <row r="713" spans="1:12" x14ac:dyDescent="0.35">
      <c r="A713" t="str">
        <f t="shared" si="275"/>
        <v>NAVAL RESEARCH LABORATORY</v>
      </c>
      <c r="B713" t="str">
        <f t="shared" si="272"/>
        <v>4555 OVERLOOK AVE SW</v>
      </c>
      <c r="C713" t="str">
        <f t="shared" si="280"/>
        <v>CODE 3410</v>
      </c>
      <c r="D713" t="str">
        <f t="shared" si="277"/>
        <v>WASHINGTON</v>
      </c>
      <c r="E713" t="str">
        <f t="shared" si="278"/>
        <v>DC</v>
      </c>
      <c r="F713" t="str">
        <f t="shared" si="279"/>
        <v>203750001</v>
      </c>
      <c r="G713" t="str">
        <f>T("4555 OVERLOOK AVE S W")</f>
        <v>4555 OVERLOOK AVE S W</v>
      </c>
      <c r="H713" t="str">
        <f>T("CODE 3412 12")</f>
        <v>CODE 3412 12</v>
      </c>
      <c r="I713" t="str">
        <f t="shared" si="270"/>
        <v>WASHINGTON</v>
      </c>
      <c r="J713" t="str">
        <f t="shared" si="271"/>
        <v>DC</v>
      </c>
      <c r="K713" t="str">
        <f>T("2027671254")</f>
        <v>2027671254</v>
      </c>
      <c r="L713" t="str">
        <f>T("2027670288")</f>
        <v>2027670288</v>
      </c>
    </row>
    <row r="714" spans="1:12" x14ac:dyDescent="0.35">
      <c r="A714" t="str">
        <f t="shared" si="275"/>
        <v>NAVAL RESEARCH LABORATORY</v>
      </c>
      <c r="B714" t="str">
        <f t="shared" si="272"/>
        <v>4555 OVERLOOK AVE SW</v>
      </c>
      <c r="C714" t="str">
        <f t="shared" si="280"/>
        <v>CODE 3410</v>
      </c>
      <c r="D714" t="str">
        <f t="shared" si="277"/>
        <v>WASHINGTON</v>
      </c>
      <c r="E714" t="str">
        <f t="shared" si="278"/>
        <v>DC</v>
      </c>
      <c r="F714" t="str">
        <f t="shared" si="279"/>
        <v>203750001</v>
      </c>
      <c r="G714" t="str">
        <f t="shared" ref="G714:G724" si="281">T("4555 OVERLOOK AVE SW")</f>
        <v>4555 OVERLOOK AVE SW</v>
      </c>
      <c r="H714" t="str">
        <f>T("BLDG 32 CODE 3412 1")</f>
        <v>BLDG 32 CODE 3412 1</v>
      </c>
      <c r="I714" t="str">
        <f t="shared" si="270"/>
        <v>WASHINGTON</v>
      </c>
      <c r="J714" t="str">
        <f t="shared" si="271"/>
        <v>DC</v>
      </c>
      <c r="K714" t="str">
        <f>T("2027671254")</f>
        <v>2027671254</v>
      </c>
      <c r="L714" t="str">
        <f>T("2027672321")</f>
        <v>2027672321</v>
      </c>
    </row>
    <row r="715" spans="1:12" x14ac:dyDescent="0.35">
      <c r="A715" t="str">
        <f t="shared" si="275"/>
        <v>NAVAL RESEARCH LABORATORY</v>
      </c>
      <c r="B715" t="str">
        <f t="shared" si="272"/>
        <v>4555 OVERLOOK AVE SW</v>
      </c>
      <c r="C715" t="str">
        <f t="shared" si="280"/>
        <v>CODE 3410</v>
      </c>
      <c r="D715" t="str">
        <f t="shared" si="277"/>
        <v>WASHINGTON</v>
      </c>
      <c r="E715" t="str">
        <f t="shared" si="278"/>
        <v>DC</v>
      </c>
      <c r="F715" t="str">
        <f t="shared" si="279"/>
        <v>203750001</v>
      </c>
      <c r="G715" t="str">
        <f t="shared" si="281"/>
        <v>4555 OVERLOOK AVE SW</v>
      </c>
      <c r="H715" t="str">
        <f>T("CODE 3403")</f>
        <v>CODE 3403</v>
      </c>
      <c r="I715" t="str">
        <f t="shared" si="270"/>
        <v>WASHINGTON</v>
      </c>
      <c r="J715" t="str">
        <f t="shared" si="271"/>
        <v>DC</v>
      </c>
      <c r="K715" t="str">
        <f>T("2024041254")</f>
        <v>2024041254</v>
      </c>
      <c r="L715" t="str">
        <f>T("2027679057")</f>
        <v>2027679057</v>
      </c>
    </row>
    <row r="716" spans="1:12" x14ac:dyDescent="0.35">
      <c r="A716" t="str">
        <f t="shared" si="275"/>
        <v>NAVAL RESEARCH LABORATORY</v>
      </c>
      <c r="B716" t="str">
        <f t="shared" si="272"/>
        <v>4555 OVERLOOK AVE SW</v>
      </c>
      <c r="C716" t="str">
        <f t="shared" si="280"/>
        <v>CODE 3410</v>
      </c>
      <c r="D716" t="str">
        <f t="shared" si="277"/>
        <v>WASHINGTON</v>
      </c>
      <c r="E716" t="str">
        <f t="shared" si="278"/>
        <v>DC</v>
      </c>
      <c r="F716" t="str">
        <f t="shared" si="279"/>
        <v>203750001</v>
      </c>
      <c r="G716" t="str">
        <f t="shared" si="281"/>
        <v>4555 OVERLOOK AVE SW</v>
      </c>
      <c r="H716" t="str">
        <f>T("CODE 3410")</f>
        <v>CODE 3410</v>
      </c>
      <c r="I716" t="str">
        <f t="shared" si="270"/>
        <v>WASHINGTON</v>
      </c>
      <c r="J716" t="str">
        <f t="shared" si="271"/>
        <v>DC</v>
      </c>
      <c r="K716" t="str">
        <f>T("000000000000000000")</f>
        <v>000000000000000000</v>
      </c>
      <c r="L716" t="str">
        <f>T("2027676331")</f>
        <v>2027676331</v>
      </c>
    </row>
    <row r="717" spans="1:12" x14ac:dyDescent="0.35">
      <c r="A717" t="str">
        <f t="shared" si="275"/>
        <v>NAVAL RESEARCH LABORATORY</v>
      </c>
      <c r="B717" t="str">
        <f t="shared" si="272"/>
        <v>4555 OVERLOOK AVE SW</v>
      </c>
      <c r="C717" t="str">
        <f t="shared" si="280"/>
        <v>CODE 3410</v>
      </c>
      <c r="D717" t="str">
        <f t="shared" si="277"/>
        <v>WASHINGTON</v>
      </c>
      <c r="E717" t="str">
        <f t="shared" si="278"/>
        <v>DC</v>
      </c>
      <c r="F717" t="str">
        <f t="shared" si="279"/>
        <v>203750001</v>
      </c>
      <c r="G717" t="str">
        <f t="shared" si="281"/>
        <v>4555 OVERLOOK AVE SW</v>
      </c>
      <c r="H717" t="str">
        <f>T("CODE 3410")</f>
        <v>CODE 3410</v>
      </c>
      <c r="I717" t="str">
        <f t="shared" si="270"/>
        <v>WASHINGTON</v>
      </c>
      <c r="J717" t="str">
        <f t="shared" si="271"/>
        <v>DC</v>
      </c>
      <c r="K717" t="str">
        <f>T("2024047016")</f>
        <v>2024047016</v>
      </c>
      <c r="L717" t="str">
        <f>T("2027672243")</f>
        <v>2027672243</v>
      </c>
    </row>
    <row r="718" spans="1:12" x14ac:dyDescent="0.35">
      <c r="A718" t="str">
        <f t="shared" si="275"/>
        <v>NAVAL RESEARCH LABORATORY</v>
      </c>
      <c r="B718" t="str">
        <f t="shared" si="272"/>
        <v>4555 OVERLOOK AVE SW</v>
      </c>
      <c r="C718" t="str">
        <f t="shared" si="280"/>
        <v>CODE 3410</v>
      </c>
      <c r="D718" t="str">
        <f t="shared" si="277"/>
        <v>WASHINGTON</v>
      </c>
      <c r="E718" t="str">
        <f t="shared" si="278"/>
        <v>DC</v>
      </c>
      <c r="F718" t="str">
        <f t="shared" si="279"/>
        <v>203750001</v>
      </c>
      <c r="G718" t="str">
        <f t="shared" si="281"/>
        <v>4555 OVERLOOK AVE SW</v>
      </c>
      <c r="H718" t="str">
        <f>T("CODE 3412")</f>
        <v>CODE 3412</v>
      </c>
      <c r="I718" t="str">
        <f t="shared" si="270"/>
        <v>WASHINGTON</v>
      </c>
      <c r="J718" t="str">
        <f t="shared" si="271"/>
        <v>DC</v>
      </c>
      <c r="K718" t="str">
        <f>T("2022021254")</f>
        <v>2022021254</v>
      </c>
      <c r="L718" t="str">
        <f>T("2024041714")</f>
        <v>2024041714</v>
      </c>
    </row>
    <row r="719" spans="1:12" x14ac:dyDescent="0.35">
      <c r="A719" t="str">
        <f t="shared" si="275"/>
        <v>NAVAL RESEARCH LABORATORY</v>
      </c>
      <c r="B719" t="str">
        <f t="shared" si="272"/>
        <v>4555 OVERLOOK AVE SW</v>
      </c>
      <c r="C719" t="str">
        <f t="shared" si="280"/>
        <v>CODE 3410</v>
      </c>
      <c r="D719" t="str">
        <f t="shared" si="277"/>
        <v>WASHINGTON</v>
      </c>
      <c r="E719" t="str">
        <f t="shared" si="278"/>
        <v>DC</v>
      </c>
      <c r="F719" t="str">
        <f t="shared" si="279"/>
        <v>203750001</v>
      </c>
      <c r="G719" t="str">
        <f t="shared" si="281"/>
        <v>4555 OVERLOOK AVE SW</v>
      </c>
      <c r="H719" t="str">
        <f>T("CODE 3412")</f>
        <v>CODE 3412</v>
      </c>
      <c r="I719" t="str">
        <f t="shared" si="270"/>
        <v>WASHINGTON</v>
      </c>
      <c r="J719" t="str">
        <f t="shared" si="271"/>
        <v>DC</v>
      </c>
      <c r="K719" t="str">
        <f>T("2024041254")</f>
        <v>2024041254</v>
      </c>
      <c r="L719" t="str">
        <f>T("2024041005")</f>
        <v>2024041005</v>
      </c>
    </row>
    <row r="720" spans="1:12" x14ac:dyDescent="0.35">
      <c r="A720" t="str">
        <f t="shared" si="275"/>
        <v>NAVAL RESEARCH LABORATORY</v>
      </c>
      <c r="B720" t="str">
        <f t="shared" si="272"/>
        <v>4555 OVERLOOK AVE SW</v>
      </c>
      <c r="C720" t="str">
        <f t="shared" si="280"/>
        <v>CODE 3410</v>
      </c>
      <c r="D720" t="str">
        <f t="shared" si="277"/>
        <v>WASHINGTON</v>
      </c>
      <c r="E720" t="str">
        <f t="shared" si="278"/>
        <v>DC</v>
      </c>
      <c r="F720" t="str">
        <f t="shared" si="279"/>
        <v>203750001</v>
      </c>
      <c r="G720" t="str">
        <f t="shared" si="281"/>
        <v>4555 OVERLOOK AVE SW</v>
      </c>
      <c r="H720" t="str">
        <f>T("CODE 3412")</f>
        <v>CODE 3412</v>
      </c>
      <c r="I720" t="str">
        <f t="shared" si="270"/>
        <v>WASHINGTON</v>
      </c>
      <c r="J720" t="str">
        <f t="shared" si="271"/>
        <v>DC</v>
      </c>
      <c r="K720" t="str">
        <f>T("2024041254")</f>
        <v>2024041254</v>
      </c>
      <c r="L720" t="str">
        <f>T("2027676985")</f>
        <v>2027676985</v>
      </c>
    </row>
    <row r="721" spans="1:12" x14ac:dyDescent="0.35">
      <c r="A721" t="str">
        <f t="shared" si="275"/>
        <v>NAVAL RESEARCH LABORATORY</v>
      </c>
      <c r="B721" t="str">
        <f t="shared" si="272"/>
        <v>4555 OVERLOOK AVE SW</v>
      </c>
      <c r="C721" t="str">
        <f t="shared" si="280"/>
        <v>CODE 3410</v>
      </c>
      <c r="D721" t="str">
        <f t="shared" si="277"/>
        <v>WASHINGTON</v>
      </c>
      <c r="E721" t="str">
        <f t="shared" si="278"/>
        <v>DC</v>
      </c>
      <c r="F721" t="str">
        <f t="shared" si="279"/>
        <v>203750001</v>
      </c>
      <c r="G721" t="str">
        <f t="shared" si="281"/>
        <v>4555 OVERLOOK AVE SW</v>
      </c>
      <c r="H721" t="str">
        <f>T("CODE 3412")</f>
        <v>CODE 3412</v>
      </c>
      <c r="I721" t="str">
        <f t="shared" si="270"/>
        <v>WASHINGTON</v>
      </c>
      <c r="J721" t="str">
        <f t="shared" si="271"/>
        <v>DC</v>
      </c>
      <c r="K721" t="str">
        <f>T("2027670367")</f>
        <v>2027670367</v>
      </c>
      <c r="L721" t="str">
        <f>T("2024041708")</f>
        <v>2024041708</v>
      </c>
    </row>
    <row r="722" spans="1:12" x14ac:dyDescent="0.35">
      <c r="A722" t="str">
        <f t="shared" si="275"/>
        <v>NAVAL RESEARCH LABORATORY</v>
      </c>
      <c r="B722" t="str">
        <f t="shared" si="272"/>
        <v>4555 OVERLOOK AVE SW</v>
      </c>
      <c r="C722" t="str">
        <f t="shared" si="280"/>
        <v>CODE 3410</v>
      </c>
      <c r="D722" t="str">
        <f t="shared" si="277"/>
        <v>WASHINGTON</v>
      </c>
      <c r="E722" t="str">
        <f t="shared" si="278"/>
        <v>DC</v>
      </c>
      <c r="F722" t="str">
        <f t="shared" si="279"/>
        <v>203750001</v>
      </c>
      <c r="G722" t="str">
        <f t="shared" si="281"/>
        <v>4555 OVERLOOK AVE SW</v>
      </c>
      <c r="H722" t="str">
        <f>T("CODE 3412 1")</f>
        <v>CODE 3412 1</v>
      </c>
      <c r="I722" t="str">
        <f t="shared" si="270"/>
        <v>WASHINGTON</v>
      </c>
      <c r="J722" t="str">
        <f t="shared" si="271"/>
        <v>DC</v>
      </c>
      <c r="K722" t="str">
        <f>T("2024041254")</f>
        <v>2024041254</v>
      </c>
      <c r="L722" t="str">
        <f>T("2027672243")</f>
        <v>2027672243</v>
      </c>
    </row>
    <row r="723" spans="1:12" x14ac:dyDescent="0.35">
      <c r="A723" t="str">
        <f t="shared" si="275"/>
        <v>NAVAL RESEARCH LABORATORY</v>
      </c>
      <c r="B723" t="str">
        <f t="shared" si="272"/>
        <v>4555 OVERLOOK AVE SW</v>
      </c>
      <c r="C723" t="str">
        <f t="shared" si="280"/>
        <v>CODE 3410</v>
      </c>
      <c r="D723" t="str">
        <f t="shared" si="277"/>
        <v>WASHINGTON</v>
      </c>
      <c r="E723" t="str">
        <f t="shared" si="278"/>
        <v>DC</v>
      </c>
      <c r="F723" t="str">
        <f t="shared" si="279"/>
        <v>203750001</v>
      </c>
      <c r="G723" t="str">
        <f t="shared" si="281"/>
        <v>4555 OVERLOOK AVE SW</v>
      </c>
      <c r="H723" t="str">
        <f>T("CODE 3412 1")</f>
        <v>CODE 3412 1</v>
      </c>
      <c r="I723" t="str">
        <f t="shared" si="270"/>
        <v>WASHINGTON</v>
      </c>
      <c r="J723" t="str">
        <f t="shared" si="271"/>
        <v>DC</v>
      </c>
      <c r="K723" t="str">
        <f>T("2024041254")</f>
        <v>2024041254</v>
      </c>
      <c r="L723" t="str">
        <f>T("2027676678")</f>
        <v>2027676678</v>
      </c>
    </row>
    <row r="724" spans="1:12" x14ac:dyDescent="0.35">
      <c r="A724" t="str">
        <f t="shared" si="275"/>
        <v>NAVAL RESEARCH LABORATORY</v>
      </c>
      <c r="B724" t="str">
        <f t="shared" si="272"/>
        <v>4555 OVERLOOK AVE SW</v>
      </c>
      <c r="C724" t="str">
        <f t="shared" si="280"/>
        <v>CODE 3410</v>
      </c>
      <c r="D724" t="str">
        <f t="shared" si="277"/>
        <v>WASHINGTON</v>
      </c>
      <c r="E724" t="str">
        <f t="shared" si="278"/>
        <v>DC</v>
      </c>
      <c r="F724" t="str">
        <f t="shared" si="279"/>
        <v>203750001</v>
      </c>
      <c r="G724" t="str">
        <f t="shared" si="281"/>
        <v>4555 OVERLOOK AVE SW</v>
      </c>
      <c r="H724" t="str">
        <f>T("CODE 3412 BLDG 32")</f>
        <v>CODE 3412 BLDG 32</v>
      </c>
      <c r="I724" t="str">
        <f t="shared" si="270"/>
        <v>WASHINGTON</v>
      </c>
      <c r="J724" t="str">
        <f t="shared" si="271"/>
        <v>DC</v>
      </c>
      <c r="K724" t="str">
        <f>T("2024047670022")</f>
        <v>2024047670022</v>
      </c>
      <c r="L724" t="str">
        <f>T("2027670022")</f>
        <v>2027670022</v>
      </c>
    </row>
    <row r="725" spans="1:12" x14ac:dyDescent="0.35">
      <c r="A725" t="str">
        <f t="shared" si="275"/>
        <v>NAVAL RESEARCH LABORATORY</v>
      </c>
      <c r="B725" t="str">
        <f t="shared" si="272"/>
        <v>4555 OVERLOOK AVE SW</v>
      </c>
      <c r="C725" t="str">
        <f t="shared" ref="C725:C746" si="282">T("CODE 3411")</f>
        <v>CODE 3411</v>
      </c>
      <c r="D725" t="str">
        <f t="shared" si="277"/>
        <v>WASHINGTON</v>
      </c>
      <c r="E725" t="str">
        <f t="shared" si="278"/>
        <v>DC</v>
      </c>
      <c r="F725" t="str">
        <f t="shared" si="279"/>
        <v>203750001</v>
      </c>
      <c r="G725" t="str">
        <f>T("4555 OVERLOOK AV SW")</f>
        <v>4555 OVERLOOK AV SW</v>
      </c>
      <c r="H725" t="str">
        <f>T("CODE 3412")</f>
        <v>CODE 3412</v>
      </c>
      <c r="I725" t="str">
        <f t="shared" si="270"/>
        <v>WASHINGTON</v>
      </c>
      <c r="J725" t="str">
        <f t="shared" si="271"/>
        <v>DC</v>
      </c>
      <c r="K725" t="str">
        <f>T("000000000000000000")</f>
        <v>000000000000000000</v>
      </c>
      <c r="L725" t="str">
        <f>T("2024041714")</f>
        <v>2024041714</v>
      </c>
    </row>
    <row r="726" spans="1:12" x14ac:dyDescent="0.35">
      <c r="A726" t="str">
        <f t="shared" si="275"/>
        <v>NAVAL RESEARCH LABORATORY</v>
      </c>
      <c r="B726" t="str">
        <f t="shared" si="272"/>
        <v>4555 OVERLOOK AVE SW</v>
      </c>
      <c r="C726" t="str">
        <f t="shared" si="282"/>
        <v>CODE 3411</v>
      </c>
      <c r="D726" t="str">
        <f t="shared" si="277"/>
        <v>WASHINGTON</v>
      </c>
      <c r="E726" t="str">
        <f t="shared" si="278"/>
        <v>DC</v>
      </c>
      <c r="F726" t="str">
        <f t="shared" si="279"/>
        <v>203750001</v>
      </c>
      <c r="G726" t="str">
        <f>T("4555 OVERLOOK AVE")</f>
        <v>4555 OVERLOOK AVE</v>
      </c>
      <c r="H726" t="str">
        <f>T("CODE 3412 1")</f>
        <v>CODE 3412 1</v>
      </c>
      <c r="I726" t="str">
        <f t="shared" si="270"/>
        <v>WASHINGTON</v>
      </c>
      <c r="J726" t="str">
        <f t="shared" si="271"/>
        <v>DC</v>
      </c>
      <c r="K726" t="str">
        <f>T("2027676678")</f>
        <v>2027676678</v>
      </c>
      <c r="L726" t="str">
        <f>T("2027672243")</f>
        <v>2027672243</v>
      </c>
    </row>
    <row r="727" spans="1:12" x14ac:dyDescent="0.35">
      <c r="A727" t="str">
        <f t="shared" si="275"/>
        <v>NAVAL RESEARCH LABORATORY</v>
      </c>
      <c r="B727" t="str">
        <f t="shared" si="272"/>
        <v>4555 OVERLOOK AVE SW</v>
      </c>
      <c r="C727" t="str">
        <f t="shared" si="282"/>
        <v>CODE 3411</v>
      </c>
      <c r="D727" t="str">
        <f t="shared" si="277"/>
        <v>WASHINGTON</v>
      </c>
      <c r="E727" t="str">
        <f t="shared" si="278"/>
        <v>DC</v>
      </c>
      <c r="F727" t="str">
        <f t="shared" si="279"/>
        <v>203750001</v>
      </c>
      <c r="G727" t="str">
        <f>T("4555 OVERLOOK AVE")</f>
        <v>4555 OVERLOOK AVE</v>
      </c>
      <c r="H727" t="str">
        <f>T("CODE 3412 1")</f>
        <v>CODE 3412 1</v>
      </c>
      <c r="I727" t="str">
        <f t="shared" si="270"/>
        <v>WASHINGTON</v>
      </c>
      <c r="J727" t="str">
        <f t="shared" si="271"/>
        <v>DC</v>
      </c>
      <c r="K727" t="str">
        <f>T("2027676678")</f>
        <v>2027676678</v>
      </c>
      <c r="L727" t="str">
        <f>T("2027672474")</f>
        <v>2027672474</v>
      </c>
    </row>
    <row r="728" spans="1:12" x14ac:dyDescent="0.35">
      <c r="A728" t="str">
        <f t="shared" si="275"/>
        <v>NAVAL RESEARCH LABORATORY</v>
      </c>
      <c r="B728" t="str">
        <f t="shared" si="272"/>
        <v>4555 OVERLOOK AVE SW</v>
      </c>
      <c r="C728" t="str">
        <f t="shared" si="282"/>
        <v>CODE 3411</v>
      </c>
      <c r="D728" t="str">
        <f t="shared" si="277"/>
        <v>WASHINGTON</v>
      </c>
      <c r="E728" t="str">
        <f t="shared" si="278"/>
        <v>DC</v>
      </c>
      <c r="F728" t="str">
        <f t="shared" si="279"/>
        <v>203750001</v>
      </c>
      <c r="G728" t="str">
        <f>T("4555 OVERLOOK AVE")</f>
        <v>4555 OVERLOOK AVE</v>
      </c>
      <c r="H728" t="str">
        <f>T("CODE 3412 2")</f>
        <v>CODE 3412 2</v>
      </c>
      <c r="I728" t="str">
        <f t="shared" ref="I728:I791" si="283">T("WASHINGTON")</f>
        <v>WASHINGTON</v>
      </c>
      <c r="J728" t="str">
        <f t="shared" ref="J728:J791" si="284">T("DC")</f>
        <v>DC</v>
      </c>
      <c r="K728" t="str">
        <f>T("2027670685")</f>
        <v>2027670685</v>
      </c>
      <c r="L728" t="str">
        <f>T("2027670105")</f>
        <v>2027670105</v>
      </c>
    </row>
    <row r="729" spans="1:12" x14ac:dyDescent="0.35">
      <c r="A729" t="str">
        <f t="shared" si="275"/>
        <v>NAVAL RESEARCH LABORATORY</v>
      </c>
      <c r="B729" t="str">
        <f t="shared" ref="B729:B792" si="285">T("4555 OVERLOOK AVE SW")</f>
        <v>4555 OVERLOOK AVE SW</v>
      </c>
      <c r="C729" t="str">
        <f t="shared" si="282"/>
        <v>CODE 3411</v>
      </c>
      <c r="D729" t="str">
        <f t="shared" si="277"/>
        <v>WASHINGTON</v>
      </c>
      <c r="E729" t="str">
        <f t="shared" si="278"/>
        <v>DC</v>
      </c>
      <c r="F729" t="str">
        <f t="shared" si="279"/>
        <v>203750001</v>
      </c>
      <c r="G729" t="str">
        <f>T("4555 OVERLOOK AVE")</f>
        <v>4555 OVERLOOK AVE</v>
      </c>
      <c r="H729" t="str">
        <f>T("CODE 3412 2")</f>
        <v>CODE 3412 2</v>
      </c>
      <c r="I729" t="str">
        <f t="shared" si="283"/>
        <v>WASHINGTON</v>
      </c>
      <c r="J729" t="str">
        <f t="shared" si="284"/>
        <v>DC</v>
      </c>
      <c r="K729" t="str">
        <f>T("2027671708")</f>
        <v>2027671708</v>
      </c>
      <c r="L729" t="str">
        <f>T("2027671993")</f>
        <v>2027671993</v>
      </c>
    </row>
    <row r="730" spans="1:12" x14ac:dyDescent="0.35">
      <c r="A730" t="str">
        <f t="shared" si="275"/>
        <v>NAVAL RESEARCH LABORATORY</v>
      </c>
      <c r="B730" t="str">
        <f t="shared" si="285"/>
        <v>4555 OVERLOOK AVE SW</v>
      </c>
      <c r="C730" t="str">
        <f t="shared" si="282"/>
        <v>CODE 3411</v>
      </c>
      <c r="D730" t="str">
        <f t="shared" si="277"/>
        <v>WASHINGTON</v>
      </c>
      <c r="E730" t="str">
        <f t="shared" si="278"/>
        <v>DC</v>
      </c>
      <c r="F730" t="str">
        <f t="shared" si="279"/>
        <v>203750001</v>
      </c>
      <c r="G730" t="str">
        <f>T("4555 OVERLOOK AVE S W")</f>
        <v>4555 OVERLOOK AVE S W</v>
      </c>
      <c r="H730" t="str">
        <f>T("CODE 3410")</f>
        <v>CODE 3410</v>
      </c>
      <c r="I730" t="str">
        <f t="shared" si="283"/>
        <v>WASHINGTON</v>
      </c>
      <c r="J730" t="str">
        <f t="shared" si="284"/>
        <v>DC</v>
      </c>
      <c r="K730" t="str">
        <f>T("2027670367")</f>
        <v>2027670367</v>
      </c>
      <c r="L730" t="str">
        <f>T("2024042231")</f>
        <v>2024042231</v>
      </c>
    </row>
    <row r="731" spans="1:12" x14ac:dyDescent="0.35">
      <c r="A731" t="str">
        <f t="shared" si="275"/>
        <v>NAVAL RESEARCH LABORATORY</v>
      </c>
      <c r="B731" t="str">
        <f t="shared" si="285"/>
        <v>4555 OVERLOOK AVE SW</v>
      </c>
      <c r="C731" t="str">
        <f t="shared" si="282"/>
        <v>CODE 3411</v>
      </c>
      <c r="D731" t="str">
        <f t="shared" si="277"/>
        <v>WASHINGTON</v>
      </c>
      <c r="E731" t="str">
        <f t="shared" si="278"/>
        <v>DC</v>
      </c>
      <c r="F731" t="str">
        <f t="shared" si="279"/>
        <v>203750001</v>
      </c>
      <c r="G731" t="str">
        <f t="shared" ref="G731:G743" si="286">T("4555 OVERLOOK AVE SW")</f>
        <v>4555 OVERLOOK AVE SW</v>
      </c>
      <c r="H731" t="str">
        <f>T("CODE 3411")</f>
        <v>CODE 3411</v>
      </c>
      <c r="I731" t="str">
        <f t="shared" si="283"/>
        <v>WASHINGTON</v>
      </c>
      <c r="J731" t="str">
        <f t="shared" si="284"/>
        <v>DC</v>
      </c>
      <c r="K731" t="str">
        <f>T("")</f>
        <v/>
      </c>
      <c r="L731" t="str">
        <f>T("2027671993")</f>
        <v>2027671993</v>
      </c>
    </row>
    <row r="732" spans="1:12" x14ac:dyDescent="0.35">
      <c r="A732" t="str">
        <f t="shared" si="275"/>
        <v>NAVAL RESEARCH LABORATORY</v>
      </c>
      <c r="B732" t="str">
        <f t="shared" si="285"/>
        <v>4555 OVERLOOK AVE SW</v>
      </c>
      <c r="C732" t="str">
        <f t="shared" si="282"/>
        <v>CODE 3411</v>
      </c>
      <c r="D732" t="str">
        <f t="shared" si="277"/>
        <v>WASHINGTON</v>
      </c>
      <c r="E732" t="str">
        <f t="shared" si="278"/>
        <v>DC</v>
      </c>
      <c r="F732" t="str">
        <f t="shared" si="279"/>
        <v>203750001</v>
      </c>
      <c r="G732" t="str">
        <f t="shared" si="286"/>
        <v>4555 OVERLOOK AVE SW</v>
      </c>
      <c r="H732" t="str">
        <f>T("CODE 3411")</f>
        <v>CODE 3411</v>
      </c>
      <c r="I732" t="str">
        <f t="shared" si="283"/>
        <v>WASHINGTON</v>
      </c>
      <c r="J732" t="str">
        <f t="shared" si="284"/>
        <v>DC</v>
      </c>
      <c r="K732" t="str">
        <f>T("2024047596")</f>
        <v>2024047596</v>
      </c>
      <c r="L732" t="str">
        <f>T("2027671995")</f>
        <v>2027671995</v>
      </c>
    </row>
    <row r="733" spans="1:12" x14ac:dyDescent="0.35">
      <c r="A733" t="str">
        <f t="shared" si="275"/>
        <v>NAVAL RESEARCH LABORATORY</v>
      </c>
      <c r="B733" t="str">
        <f t="shared" si="285"/>
        <v>4555 OVERLOOK AVE SW</v>
      </c>
      <c r="C733" t="str">
        <f t="shared" si="282"/>
        <v>CODE 3411</v>
      </c>
      <c r="D733" t="str">
        <f t="shared" si="277"/>
        <v>WASHINGTON</v>
      </c>
      <c r="E733" t="str">
        <f t="shared" si="278"/>
        <v>DC</v>
      </c>
      <c r="F733" t="str">
        <f t="shared" si="279"/>
        <v>203750001</v>
      </c>
      <c r="G733" t="str">
        <f t="shared" si="286"/>
        <v>4555 OVERLOOK AVE SW</v>
      </c>
      <c r="H733" t="str">
        <f>T("CODE 3411")</f>
        <v>CODE 3411</v>
      </c>
      <c r="I733" t="str">
        <f t="shared" si="283"/>
        <v>WASHINGTON</v>
      </c>
      <c r="J733" t="str">
        <f t="shared" si="284"/>
        <v>DC</v>
      </c>
      <c r="K733" t="str">
        <f>T("2027672992")</f>
        <v>2027672992</v>
      </c>
      <c r="L733" t="str">
        <f>T("2027672303")</f>
        <v>2027672303</v>
      </c>
    </row>
    <row r="734" spans="1:12" x14ac:dyDescent="0.35">
      <c r="A734" t="str">
        <f t="shared" si="275"/>
        <v>NAVAL RESEARCH LABORATORY</v>
      </c>
      <c r="B734" t="str">
        <f t="shared" si="285"/>
        <v>4555 OVERLOOK AVE SW</v>
      </c>
      <c r="C734" t="str">
        <f t="shared" si="282"/>
        <v>CODE 3411</v>
      </c>
      <c r="D734" t="str">
        <f t="shared" si="277"/>
        <v>WASHINGTON</v>
      </c>
      <c r="E734" t="str">
        <f t="shared" si="278"/>
        <v>DC</v>
      </c>
      <c r="F734" t="str">
        <f t="shared" si="279"/>
        <v>203750001</v>
      </c>
      <c r="G734" t="str">
        <f t="shared" si="286"/>
        <v>4555 OVERLOOK AVE SW</v>
      </c>
      <c r="H734" t="str">
        <f>T("CODE 3411")</f>
        <v>CODE 3411</v>
      </c>
      <c r="I734" t="str">
        <f t="shared" si="283"/>
        <v>WASHINGTON</v>
      </c>
      <c r="J734" t="str">
        <f t="shared" si="284"/>
        <v>DC</v>
      </c>
      <c r="K734" t="str">
        <f>T("2027673793")</f>
        <v>2027673793</v>
      </c>
      <c r="L734" t="str">
        <f>T("2027671995")</f>
        <v>2027671995</v>
      </c>
    </row>
    <row r="735" spans="1:12" x14ac:dyDescent="0.35">
      <c r="A735" t="str">
        <f t="shared" si="275"/>
        <v>NAVAL RESEARCH LABORATORY</v>
      </c>
      <c r="B735" t="str">
        <f t="shared" si="285"/>
        <v>4555 OVERLOOK AVE SW</v>
      </c>
      <c r="C735" t="str">
        <f t="shared" si="282"/>
        <v>CODE 3411</v>
      </c>
      <c r="D735" t="str">
        <f t="shared" si="277"/>
        <v>WASHINGTON</v>
      </c>
      <c r="E735" t="str">
        <f t="shared" si="278"/>
        <v>DC</v>
      </c>
      <c r="F735" t="str">
        <f t="shared" si="279"/>
        <v>203750001</v>
      </c>
      <c r="G735" t="str">
        <f t="shared" si="286"/>
        <v>4555 OVERLOOK AVE SW</v>
      </c>
      <c r="H735" t="str">
        <f>T("CODE 3412")</f>
        <v>CODE 3412</v>
      </c>
      <c r="I735" t="str">
        <f t="shared" si="283"/>
        <v>WASHINGTON</v>
      </c>
      <c r="J735" t="str">
        <f t="shared" si="284"/>
        <v>DC</v>
      </c>
      <c r="K735" t="str">
        <f>T("2027671708")</f>
        <v>2027671708</v>
      </c>
      <c r="L735" t="str">
        <f>T("2027673320")</f>
        <v>2027673320</v>
      </c>
    </row>
    <row r="736" spans="1:12" x14ac:dyDescent="0.35">
      <c r="A736" t="str">
        <f t="shared" si="275"/>
        <v>NAVAL RESEARCH LABORATORY</v>
      </c>
      <c r="B736" t="str">
        <f t="shared" si="285"/>
        <v>4555 OVERLOOK AVE SW</v>
      </c>
      <c r="C736" t="str">
        <f t="shared" si="282"/>
        <v>CODE 3411</v>
      </c>
      <c r="D736" t="str">
        <f t="shared" si="277"/>
        <v>WASHINGTON</v>
      </c>
      <c r="E736" t="str">
        <f t="shared" si="278"/>
        <v>DC</v>
      </c>
      <c r="F736" t="str">
        <f t="shared" si="279"/>
        <v>203750001</v>
      </c>
      <c r="G736" t="str">
        <f t="shared" si="286"/>
        <v>4555 OVERLOOK AVE SW</v>
      </c>
      <c r="H736" t="str">
        <f>T("CODE 3412 1")</f>
        <v>CODE 3412 1</v>
      </c>
      <c r="I736" t="str">
        <f t="shared" si="283"/>
        <v>WASHINGTON</v>
      </c>
      <c r="J736" t="str">
        <f t="shared" si="284"/>
        <v>DC</v>
      </c>
      <c r="K736" t="str">
        <f>T("2027676678")</f>
        <v>2027676678</v>
      </c>
      <c r="L736" t="str">
        <f>T("2027672022")</f>
        <v>2027672022</v>
      </c>
    </row>
    <row r="737" spans="1:12" x14ac:dyDescent="0.35">
      <c r="A737" t="str">
        <f t="shared" si="275"/>
        <v>NAVAL RESEARCH LABORATORY</v>
      </c>
      <c r="B737" t="str">
        <f t="shared" si="285"/>
        <v>4555 OVERLOOK AVE SW</v>
      </c>
      <c r="C737" t="str">
        <f t="shared" si="282"/>
        <v>CODE 3411</v>
      </c>
      <c r="D737" t="str">
        <f t="shared" si="277"/>
        <v>WASHINGTON</v>
      </c>
      <c r="E737" t="str">
        <f t="shared" si="278"/>
        <v>DC</v>
      </c>
      <c r="F737" t="str">
        <f t="shared" si="279"/>
        <v>203750001</v>
      </c>
      <c r="G737" t="str">
        <f t="shared" si="286"/>
        <v>4555 OVERLOOK AVE SW</v>
      </c>
      <c r="H737" t="str">
        <f t="shared" ref="H737:H742" si="287">T("CODE 3412 2")</f>
        <v>CODE 3412 2</v>
      </c>
      <c r="I737" t="str">
        <f t="shared" si="283"/>
        <v>WASHINGTON</v>
      </c>
      <c r="J737" t="str">
        <f t="shared" si="284"/>
        <v>DC</v>
      </c>
      <c r="K737" t="str">
        <f>T("2024041254")</f>
        <v>2024041254</v>
      </c>
      <c r="L737" t="str">
        <f>T("2024041055")</f>
        <v>2024041055</v>
      </c>
    </row>
    <row r="738" spans="1:12" x14ac:dyDescent="0.35">
      <c r="A738" t="str">
        <f t="shared" si="275"/>
        <v>NAVAL RESEARCH LABORATORY</v>
      </c>
      <c r="B738" t="str">
        <f t="shared" si="285"/>
        <v>4555 OVERLOOK AVE SW</v>
      </c>
      <c r="C738" t="str">
        <f t="shared" si="282"/>
        <v>CODE 3411</v>
      </c>
      <c r="D738" t="str">
        <f t="shared" si="277"/>
        <v>WASHINGTON</v>
      </c>
      <c r="E738" t="str">
        <f t="shared" si="278"/>
        <v>DC</v>
      </c>
      <c r="F738" t="str">
        <f t="shared" si="279"/>
        <v>203750001</v>
      </c>
      <c r="G738" t="str">
        <f t="shared" si="286"/>
        <v>4555 OVERLOOK AVE SW</v>
      </c>
      <c r="H738" t="str">
        <f t="shared" si="287"/>
        <v>CODE 3412 2</v>
      </c>
      <c r="I738" t="str">
        <f t="shared" si="283"/>
        <v>WASHINGTON</v>
      </c>
      <c r="J738" t="str">
        <f t="shared" si="284"/>
        <v>DC</v>
      </c>
      <c r="K738" t="str">
        <f>T("2024041254")</f>
        <v>2024041254</v>
      </c>
      <c r="L738" t="str">
        <f>T("2027671681")</f>
        <v>2027671681</v>
      </c>
    </row>
    <row r="739" spans="1:12" x14ac:dyDescent="0.35">
      <c r="A739" t="str">
        <f t="shared" si="275"/>
        <v>NAVAL RESEARCH LABORATORY</v>
      </c>
      <c r="B739" t="str">
        <f t="shared" si="285"/>
        <v>4555 OVERLOOK AVE SW</v>
      </c>
      <c r="C739" t="str">
        <f t="shared" si="282"/>
        <v>CODE 3411</v>
      </c>
      <c r="D739" t="str">
        <f t="shared" si="277"/>
        <v>WASHINGTON</v>
      </c>
      <c r="E739" t="str">
        <f t="shared" si="278"/>
        <v>DC</v>
      </c>
      <c r="F739" t="str">
        <f t="shared" si="279"/>
        <v>203750001</v>
      </c>
      <c r="G739" t="str">
        <f t="shared" si="286"/>
        <v>4555 OVERLOOK AVE SW</v>
      </c>
      <c r="H739" t="str">
        <f t="shared" si="287"/>
        <v>CODE 3412 2</v>
      </c>
      <c r="I739" t="str">
        <f t="shared" si="283"/>
        <v>WASHINGTON</v>
      </c>
      <c r="J739" t="str">
        <f t="shared" si="284"/>
        <v>DC</v>
      </c>
      <c r="K739" t="str">
        <f>T("2024041254")</f>
        <v>2024041254</v>
      </c>
      <c r="L739" t="str">
        <f>T("2027671993")</f>
        <v>2027671993</v>
      </c>
    </row>
    <row r="740" spans="1:12" x14ac:dyDescent="0.35">
      <c r="A740" t="str">
        <f t="shared" si="275"/>
        <v>NAVAL RESEARCH LABORATORY</v>
      </c>
      <c r="B740" t="str">
        <f t="shared" si="285"/>
        <v>4555 OVERLOOK AVE SW</v>
      </c>
      <c r="C740" t="str">
        <f t="shared" si="282"/>
        <v>CODE 3411</v>
      </c>
      <c r="D740" t="str">
        <f t="shared" si="277"/>
        <v>WASHINGTON</v>
      </c>
      <c r="E740" t="str">
        <f t="shared" si="278"/>
        <v>DC</v>
      </c>
      <c r="F740" t="str">
        <f t="shared" si="279"/>
        <v>203750001</v>
      </c>
      <c r="G740" t="str">
        <f t="shared" si="286"/>
        <v>4555 OVERLOOK AVE SW</v>
      </c>
      <c r="H740" t="str">
        <f t="shared" si="287"/>
        <v>CODE 3412 2</v>
      </c>
      <c r="I740" t="str">
        <f t="shared" si="283"/>
        <v>WASHINGTON</v>
      </c>
      <c r="J740" t="str">
        <f t="shared" si="284"/>
        <v>DC</v>
      </c>
      <c r="K740" t="str">
        <f>T("2024046348")</f>
        <v>2024046348</v>
      </c>
      <c r="L740" t="str">
        <f>T("2027671993")</f>
        <v>2027671993</v>
      </c>
    </row>
    <row r="741" spans="1:12" x14ac:dyDescent="0.35">
      <c r="A741" t="str">
        <f t="shared" si="275"/>
        <v>NAVAL RESEARCH LABORATORY</v>
      </c>
      <c r="B741" t="str">
        <f t="shared" si="285"/>
        <v>4555 OVERLOOK AVE SW</v>
      </c>
      <c r="C741" t="str">
        <f t="shared" si="282"/>
        <v>CODE 3411</v>
      </c>
      <c r="D741" t="str">
        <f t="shared" si="277"/>
        <v>WASHINGTON</v>
      </c>
      <c r="E741" t="str">
        <f t="shared" si="278"/>
        <v>DC</v>
      </c>
      <c r="F741" t="str">
        <f t="shared" si="279"/>
        <v>203750001</v>
      </c>
      <c r="G741" t="str">
        <f t="shared" si="286"/>
        <v>4555 OVERLOOK AVE SW</v>
      </c>
      <c r="H741" t="str">
        <f t="shared" si="287"/>
        <v>CODE 3412 2</v>
      </c>
      <c r="I741" t="str">
        <f t="shared" si="283"/>
        <v>WASHINGTON</v>
      </c>
      <c r="J741" t="str">
        <f t="shared" si="284"/>
        <v>DC</v>
      </c>
      <c r="K741" t="str">
        <f>T("2027671708")</f>
        <v>2027671708</v>
      </c>
      <c r="L741" t="str">
        <f>T("2024048582")</f>
        <v>2024048582</v>
      </c>
    </row>
    <row r="742" spans="1:12" x14ac:dyDescent="0.35">
      <c r="A742" t="str">
        <f t="shared" si="275"/>
        <v>NAVAL RESEARCH LABORATORY</v>
      </c>
      <c r="B742" t="str">
        <f t="shared" si="285"/>
        <v>4555 OVERLOOK AVE SW</v>
      </c>
      <c r="C742" t="str">
        <f t="shared" si="282"/>
        <v>CODE 3411</v>
      </c>
      <c r="D742" t="str">
        <f t="shared" si="277"/>
        <v>WASHINGTON</v>
      </c>
      <c r="E742" t="str">
        <f t="shared" si="278"/>
        <v>DC</v>
      </c>
      <c r="F742" t="str">
        <f t="shared" si="279"/>
        <v>203750001</v>
      </c>
      <c r="G742" t="str">
        <f t="shared" si="286"/>
        <v>4555 OVERLOOK AVE SW</v>
      </c>
      <c r="H742" t="str">
        <f t="shared" si="287"/>
        <v>CODE 3412 2</v>
      </c>
      <c r="I742" t="str">
        <f t="shared" si="283"/>
        <v>WASHINGTON</v>
      </c>
      <c r="J742" t="str">
        <f t="shared" si="284"/>
        <v>DC</v>
      </c>
      <c r="K742" t="str">
        <f>T("2027671708")</f>
        <v>2027671708</v>
      </c>
      <c r="L742" t="str">
        <f>T("2027673663")</f>
        <v>2027673663</v>
      </c>
    </row>
    <row r="743" spans="1:12" x14ac:dyDescent="0.35">
      <c r="A743" t="str">
        <f t="shared" si="275"/>
        <v>NAVAL RESEARCH LABORATORY</v>
      </c>
      <c r="B743" t="str">
        <f t="shared" si="285"/>
        <v>4555 OVERLOOK AVE SW</v>
      </c>
      <c r="C743" t="str">
        <f t="shared" si="282"/>
        <v>CODE 3411</v>
      </c>
      <c r="D743" t="str">
        <f t="shared" si="277"/>
        <v>WASHINGTON</v>
      </c>
      <c r="E743" t="str">
        <f t="shared" si="278"/>
        <v>DC</v>
      </c>
      <c r="F743" t="str">
        <f t="shared" si="279"/>
        <v>203750001</v>
      </c>
      <c r="G743" t="str">
        <f t="shared" si="286"/>
        <v>4555 OVERLOOK AVE SW</v>
      </c>
      <c r="H743" t="str">
        <f>T("CODE 3412 3")</f>
        <v>CODE 3412 3</v>
      </c>
      <c r="I743" t="str">
        <f t="shared" si="283"/>
        <v>WASHINGTON</v>
      </c>
      <c r="J743" t="str">
        <f t="shared" si="284"/>
        <v>DC</v>
      </c>
      <c r="K743" t="str">
        <f>T("2024041254")</f>
        <v>2024041254</v>
      </c>
      <c r="L743" t="str">
        <f>T("2027671454")</f>
        <v>2027671454</v>
      </c>
    </row>
    <row r="744" spans="1:12" x14ac:dyDescent="0.35">
      <c r="A744" t="str">
        <f t="shared" si="275"/>
        <v>NAVAL RESEARCH LABORATORY</v>
      </c>
      <c r="B744" t="str">
        <f t="shared" si="285"/>
        <v>4555 OVERLOOK AVE SW</v>
      </c>
      <c r="C744" t="str">
        <f t="shared" si="282"/>
        <v>CODE 3411</v>
      </c>
      <c r="D744" t="str">
        <f t="shared" si="277"/>
        <v>WASHINGTON</v>
      </c>
      <c r="E744" t="str">
        <f t="shared" si="278"/>
        <v>DC</v>
      </c>
      <c r="F744" t="str">
        <f t="shared" si="279"/>
        <v>203750001</v>
      </c>
      <c r="G744" t="str">
        <f>T("4555 OVERLOOK AVENUE SW")</f>
        <v>4555 OVERLOOK AVENUE SW</v>
      </c>
      <c r="H744" t="str">
        <f>T("CODE 3403")</f>
        <v>CODE 3403</v>
      </c>
      <c r="I744" t="str">
        <f t="shared" si="283"/>
        <v>WASHINGTON</v>
      </c>
      <c r="J744" t="str">
        <f t="shared" si="284"/>
        <v>DC</v>
      </c>
      <c r="K744" t="str">
        <f>T("2027673815")</f>
        <v>2027673815</v>
      </c>
      <c r="L744" t="str">
        <f>T("2027679057")</f>
        <v>2027679057</v>
      </c>
    </row>
    <row r="745" spans="1:12" x14ac:dyDescent="0.35">
      <c r="A745" t="str">
        <f t="shared" si="275"/>
        <v>NAVAL RESEARCH LABORATORY</v>
      </c>
      <c r="B745" t="str">
        <f t="shared" si="285"/>
        <v>4555 OVERLOOK AVE SW</v>
      </c>
      <c r="C745" t="str">
        <f t="shared" si="282"/>
        <v>CODE 3411</v>
      </c>
      <c r="D745" t="str">
        <f t="shared" si="277"/>
        <v>WASHINGTON</v>
      </c>
      <c r="E745" t="str">
        <f t="shared" si="278"/>
        <v>DC</v>
      </c>
      <c r="F745" t="str">
        <f t="shared" si="279"/>
        <v>203750001</v>
      </c>
      <c r="G745" t="str">
        <f>T("4555 OVERLOOK AVENUE SW")</f>
        <v>4555 OVERLOOK AVENUE SW</v>
      </c>
      <c r="H745" t="str">
        <f>T("CODE 3412")</f>
        <v>CODE 3412</v>
      </c>
      <c r="I745" t="str">
        <f t="shared" si="283"/>
        <v>WASHINGTON</v>
      </c>
      <c r="J745" t="str">
        <f t="shared" si="284"/>
        <v>DC</v>
      </c>
      <c r="K745" t="str">
        <f>T("2027671254")</f>
        <v>2027671254</v>
      </c>
      <c r="L745" t="str">
        <f>T("2027671995")</f>
        <v>2027671995</v>
      </c>
    </row>
    <row r="746" spans="1:12" x14ac:dyDescent="0.35">
      <c r="A746" t="str">
        <f t="shared" si="275"/>
        <v>NAVAL RESEARCH LABORATORY</v>
      </c>
      <c r="B746" t="str">
        <f t="shared" si="285"/>
        <v>4555 OVERLOOK AVE SW</v>
      </c>
      <c r="C746" t="str">
        <f t="shared" si="282"/>
        <v>CODE 3411</v>
      </c>
      <c r="D746" t="str">
        <f t="shared" si="277"/>
        <v>WASHINGTON</v>
      </c>
      <c r="E746" t="str">
        <f t="shared" si="278"/>
        <v>DC</v>
      </c>
      <c r="F746" t="str">
        <f t="shared" si="279"/>
        <v>203750001</v>
      </c>
      <c r="G746" t="str">
        <f>T("4555 OVERLOOK AVENUE SW")</f>
        <v>4555 OVERLOOK AVENUE SW</v>
      </c>
      <c r="H746" t="str">
        <f>T("CODE 3412.2")</f>
        <v>CODE 3412.2</v>
      </c>
      <c r="I746" t="str">
        <f t="shared" si="283"/>
        <v>WASHINGTON</v>
      </c>
      <c r="J746" t="str">
        <f t="shared" si="284"/>
        <v>DC</v>
      </c>
      <c r="K746" t="str">
        <f>T("2027671708")</f>
        <v>2027671708</v>
      </c>
      <c r="L746" t="str">
        <f>T("2027672819")</f>
        <v>2027672819</v>
      </c>
    </row>
    <row r="747" spans="1:12" x14ac:dyDescent="0.35">
      <c r="A747" t="str">
        <f t="shared" si="275"/>
        <v>NAVAL RESEARCH LABORATORY</v>
      </c>
      <c r="B747" t="str">
        <f t="shared" si="285"/>
        <v>4555 OVERLOOK AVE SW</v>
      </c>
      <c r="C747" t="str">
        <f>T("CODE 3430")</f>
        <v>CODE 3430</v>
      </c>
      <c r="D747" t="str">
        <f t="shared" si="277"/>
        <v>WASHINGTON</v>
      </c>
      <c r="E747" t="str">
        <f t="shared" si="278"/>
        <v>DC</v>
      </c>
      <c r="F747" t="str">
        <f t="shared" si="279"/>
        <v>203750001</v>
      </c>
      <c r="G747" t="str">
        <f>T("4555 OVERLOOK AVE SW")</f>
        <v>4555 OVERLOOK AVE SW</v>
      </c>
      <c r="H747" t="str">
        <f>T("CODE 3430")</f>
        <v>CODE 3430</v>
      </c>
      <c r="I747" t="str">
        <f t="shared" si="283"/>
        <v>WASHINGTON</v>
      </c>
      <c r="J747" t="str">
        <f t="shared" si="284"/>
        <v>DC</v>
      </c>
      <c r="K747" t="str">
        <f>T("000000000000000000")</f>
        <v>000000000000000000</v>
      </c>
      <c r="L747" t="str">
        <f>T("2024044965")</f>
        <v>2024044965</v>
      </c>
    </row>
    <row r="748" spans="1:12" x14ac:dyDescent="0.35">
      <c r="A748" t="str">
        <f t="shared" si="275"/>
        <v>NAVAL RESEARCH LABORATORY</v>
      </c>
      <c r="B748" t="str">
        <f t="shared" si="285"/>
        <v>4555 OVERLOOK AVE SW</v>
      </c>
      <c r="C748" t="str">
        <f>T("CODE 3430")</f>
        <v>CODE 3430</v>
      </c>
      <c r="D748" t="str">
        <f t="shared" si="277"/>
        <v>WASHINGTON</v>
      </c>
      <c r="E748" t="str">
        <f t="shared" si="278"/>
        <v>DC</v>
      </c>
      <c r="F748" t="str">
        <f t="shared" si="279"/>
        <v>203750001</v>
      </c>
      <c r="G748" t="str">
        <f>T("4555 OVERLOOK AVE SW")</f>
        <v>4555 OVERLOOK AVE SW</v>
      </c>
      <c r="H748" t="str">
        <f>T("CODE 3430")</f>
        <v>CODE 3430</v>
      </c>
      <c r="I748" t="str">
        <f t="shared" si="283"/>
        <v>WASHINGTON</v>
      </c>
      <c r="J748" t="str">
        <f t="shared" si="284"/>
        <v>DC</v>
      </c>
      <c r="K748" t="str">
        <f>T("2024048681")</f>
        <v>2024048681</v>
      </c>
      <c r="L748" t="str">
        <f>T("2024044963")</f>
        <v>2024044963</v>
      </c>
    </row>
    <row r="749" spans="1:12" x14ac:dyDescent="0.35">
      <c r="A749" t="str">
        <f t="shared" si="275"/>
        <v>NAVAL RESEARCH LABORATORY</v>
      </c>
      <c r="B749" t="str">
        <f t="shared" si="285"/>
        <v>4555 OVERLOOK AVE SW</v>
      </c>
      <c r="C749" t="str">
        <f>T("CODE 3430")</f>
        <v>CODE 3430</v>
      </c>
      <c r="D749" t="str">
        <f t="shared" si="277"/>
        <v>WASHINGTON</v>
      </c>
      <c r="E749" t="str">
        <f t="shared" si="278"/>
        <v>DC</v>
      </c>
      <c r="F749" t="str">
        <f t="shared" si="279"/>
        <v>203750001</v>
      </c>
      <c r="G749" t="str">
        <f>T("4555 OVERLOOK AVENUE SW")</f>
        <v>4555 OVERLOOK AVENUE SW</v>
      </c>
      <c r="H749" t="str">
        <f>T("CODE 3430")</f>
        <v>CODE 3430</v>
      </c>
      <c r="I749" t="str">
        <f t="shared" si="283"/>
        <v>WASHINGTON</v>
      </c>
      <c r="J749" t="str">
        <f t="shared" si="284"/>
        <v>DC</v>
      </c>
      <c r="K749" t="str">
        <f>T("000000000000000000")</f>
        <v>000000000000000000</v>
      </c>
      <c r="L749" t="str">
        <f>T("2024044973")</f>
        <v>2024044973</v>
      </c>
    </row>
    <row r="750" spans="1:12" x14ac:dyDescent="0.35">
      <c r="A750" t="str">
        <f t="shared" si="275"/>
        <v>NAVAL RESEARCH LABORATORY</v>
      </c>
      <c r="B750" t="str">
        <f t="shared" si="285"/>
        <v>4555 OVERLOOK AVE SW</v>
      </c>
      <c r="C750" t="str">
        <f>T("CODE 3502")</f>
        <v>CODE 3502</v>
      </c>
      <c r="D750" t="str">
        <f t="shared" si="277"/>
        <v>WASHINGTON</v>
      </c>
      <c r="E750" t="str">
        <f t="shared" si="278"/>
        <v>DC</v>
      </c>
      <c r="F750" t="str">
        <f t="shared" si="279"/>
        <v>203750001</v>
      </c>
      <c r="G750" t="str">
        <f>T("4555 OVERLOOK AVE S W")</f>
        <v>4555 OVERLOOK AVE S W</v>
      </c>
      <c r="H750" t="str">
        <f>T("CODE 3500")</f>
        <v>CODE 3500</v>
      </c>
      <c r="I750" t="str">
        <f t="shared" si="283"/>
        <v>WASHINGTON</v>
      </c>
      <c r="J750" t="str">
        <f t="shared" si="284"/>
        <v>DC</v>
      </c>
      <c r="K750" t="str">
        <f>T("000000000000000000")</f>
        <v>000000000000000000</v>
      </c>
      <c r="L750" t="str">
        <f>T("2024044197")</f>
        <v>2024044197</v>
      </c>
    </row>
    <row r="751" spans="1:12" x14ac:dyDescent="0.35">
      <c r="A751" t="str">
        <f t="shared" si="275"/>
        <v>NAVAL RESEARCH LABORATORY</v>
      </c>
      <c r="B751" t="str">
        <f t="shared" si="285"/>
        <v>4555 OVERLOOK AVE SW</v>
      </c>
      <c r="C751" t="str">
        <f>T("CODE 3502")</f>
        <v>CODE 3502</v>
      </c>
      <c r="D751" t="str">
        <f t="shared" si="277"/>
        <v>WASHINGTON</v>
      </c>
      <c r="E751" t="str">
        <f t="shared" si="278"/>
        <v>DC</v>
      </c>
      <c r="F751" t="str">
        <f t="shared" si="279"/>
        <v>203750001</v>
      </c>
      <c r="G751" t="str">
        <f>T("4555 OVERLOOK AVE SW")</f>
        <v>4555 OVERLOOK AVE SW</v>
      </c>
      <c r="H751" t="str">
        <f>T("CODE 3502")</f>
        <v>CODE 3502</v>
      </c>
      <c r="I751" t="str">
        <f t="shared" si="283"/>
        <v>WASHINGTON</v>
      </c>
      <c r="J751" t="str">
        <f t="shared" si="284"/>
        <v>DC</v>
      </c>
      <c r="K751" t="str">
        <f>T("202 404 7203")</f>
        <v>202 404 7203</v>
      </c>
      <c r="L751" t="str">
        <f>T("2024044312")</f>
        <v>2024044312</v>
      </c>
    </row>
    <row r="752" spans="1:12" x14ac:dyDescent="0.35">
      <c r="A752" t="str">
        <f t="shared" si="275"/>
        <v>NAVAL RESEARCH LABORATORY</v>
      </c>
      <c r="B752" t="str">
        <f t="shared" si="285"/>
        <v>4555 OVERLOOK AVE SW</v>
      </c>
      <c r="C752" t="str">
        <f>T("CODE 3502")</f>
        <v>CODE 3502</v>
      </c>
      <c r="D752" t="str">
        <f t="shared" si="277"/>
        <v>WASHINGTON</v>
      </c>
      <c r="E752" t="str">
        <f t="shared" si="278"/>
        <v>DC</v>
      </c>
      <c r="F752" t="str">
        <f t="shared" si="279"/>
        <v>203750001</v>
      </c>
      <c r="G752" t="str">
        <f>T("4555 OVERLOOK AVENUE SW")</f>
        <v>4555 OVERLOOK AVENUE SW</v>
      </c>
      <c r="H752" t="str">
        <f>T("CODE 3502 2")</f>
        <v>CODE 3502 2</v>
      </c>
      <c r="I752" t="str">
        <f t="shared" si="283"/>
        <v>WASHINGTON</v>
      </c>
      <c r="J752" t="str">
        <f t="shared" si="284"/>
        <v>DC</v>
      </c>
      <c r="K752" t="str">
        <f>T("2024048684")</f>
        <v>2024048684</v>
      </c>
      <c r="L752" t="str">
        <f>T("2027672520")</f>
        <v>2027672520</v>
      </c>
    </row>
    <row r="753" spans="1:12" x14ac:dyDescent="0.35">
      <c r="A753" t="str">
        <f t="shared" si="275"/>
        <v>NAVAL RESEARCH LABORATORY</v>
      </c>
      <c r="B753" t="str">
        <f t="shared" si="285"/>
        <v>4555 OVERLOOK AVE SW</v>
      </c>
      <c r="C753" t="str">
        <f>T("CODE 3502")</f>
        <v>CODE 3502</v>
      </c>
      <c r="D753" t="str">
        <f t="shared" si="277"/>
        <v>WASHINGTON</v>
      </c>
      <c r="E753" t="str">
        <f t="shared" si="278"/>
        <v>DC</v>
      </c>
      <c r="F753" t="str">
        <f t="shared" si="279"/>
        <v>203750001</v>
      </c>
      <c r="G753" t="str">
        <f>T("4555 OVERLOOK AVENUE SW")</f>
        <v>4555 OVERLOOK AVENUE SW</v>
      </c>
      <c r="H753" t="str">
        <f>T("CODE 3524")</f>
        <v>CODE 3524</v>
      </c>
      <c r="I753" t="str">
        <f t="shared" si="283"/>
        <v>WASHINGTON</v>
      </c>
      <c r="J753" t="str">
        <f t="shared" si="284"/>
        <v>DC</v>
      </c>
      <c r="K753" t="str">
        <f>T("2024048684")</f>
        <v>2024048684</v>
      </c>
      <c r="L753" t="str">
        <f>T("2027673502")</f>
        <v>2027673502</v>
      </c>
    </row>
    <row r="754" spans="1:12" x14ac:dyDescent="0.35">
      <c r="A754" t="str">
        <f t="shared" si="275"/>
        <v>NAVAL RESEARCH LABORATORY</v>
      </c>
      <c r="B754" t="str">
        <f t="shared" si="285"/>
        <v>4555 OVERLOOK AVE SW</v>
      </c>
      <c r="C754" t="str">
        <f>T("CODE 3502")</f>
        <v>CODE 3502</v>
      </c>
      <c r="D754" t="str">
        <f t="shared" si="277"/>
        <v>WASHINGTON</v>
      </c>
      <c r="E754" t="str">
        <f t="shared" si="278"/>
        <v>DC</v>
      </c>
      <c r="F754" t="str">
        <f t="shared" si="279"/>
        <v>203750001</v>
      </c>
      <c r="G754" t="str">
        <f>T("4555 OVERLOOK AVENUE SW")</f>
        <v>4555 OVERLOOK AVENUE SW</v>
      </c>
      <c r="H754" t="str">
        <f>T("CODE 3524")</f>
        <v>CODE 3524</v>
      </c>
      <c r="I754" t="str">
        <f t="shared" si="283"/>
        <v>WASHINGTON</v>
      </c>
      <c r="J754" t="str">
        <f t="shared" si="284"/>
        <v>DC</v>
      </c>
      <c r="K754" t="str">
        <f>T("2024048684")</f>
        <v>2024048684</v>
      </c>
      <c r="L754" t="str">
        <f>T("2027678918")</f>
        <v>2027678918</v>
      </c>
    </row>
    <row r="755" spans="1:12" x14ac:dyDescent="0.35">
      <c r="A755" t="str">
        <f t="shared" si="275"/>
        <v>NAVAL RESEARCH LABORATORY</v>
      </c>
      <c r="B755" t="str">
        <f t="shared" si="285"/>
        <v>4555 OVERLOOK AVE SW</v>
      </c>
      <c r="C755" t="str">
        <f t="shared" ref="C755:C766" si="288">T("CODE 5302")</f>
        <v>CODE 5302</v>
      </c>
      <c r="D755" t="str">
        <f t="shared" si="277"/>
        <v>WASHINGTON</v>
      </c>
      <c r="E755" t="str">
        <f t="shared" si="278"/>
        <v>DC</v>
      </c>
      <c r="F755" t="str">
        <f t="shared" si="279"/>
        <v>203750001</v>
      </c>
      <c r="G755" t="str">
        <f>T("4555 OVERLOOK AVE")</f>
        <v>4555 OVERLOOK AVE</v>
      </c>
      <c r="H755" t="str">
        <f>T("CODE 5340")</f>
        <v>CODE 5340</v>
      </c>
      <c r="I755" t="str">
        <f t="shared" si="283"/>
        <v>WASHINGTON</v>
      </c>
      <c r="J755" t="str">
        <f t="shared" si="284"/>
        <v>DC</v>
      </c>
      <c r="K755" t="str">
        <f>T("2024041254")</f>
        <v>2024041254</v>
      </c>
      <c r="L755" t="str">
        <f>T("2027673552")</f>
        <v>2027673552</v>
      </c>
    </row>
    <row r="756" spans="1:12" x14ac:dyDescent="0.35">
      <c r="A756" t="str">
        <f t="shared" si="275"/>
        <v>NAVAL RESEARCH LABORATORY</v>
      </c>
      <c r="B756" t="str">
        <f t="shared" si="285"/>
        <v>4555 OVERLOOK AVE SW</v>
      </c>
      <c r="C756" t="str">
        <f t="shared" si="288"/>
        <v>CODE 5302</v>
      </c>
      <c r="D756" t="str">
        <f t="shared" si="277"/>
        <v>WASHINGTON</v>
      </c>
      <c r="E756" t="str">
        <f t="shared" si="278"/>
        <v>DC</v>
      </c>
      <c r="F756" t="str">
        <f t="shared" si="279"/>
        <v>203750001</v>
      </c>
      <c r="G756" t="str">
        <f t="shared" ref="G756:G761" si="289">T("4555 OVERLOOK AVE SW")</f>
        <v>4555 OVERLOOK AVE SW</v>
      </c>
      <c r="H756" t="str">
        <f>T("CODE 5302")</f>
        <v>CODE 5302</v>
      </c>
      <c r="I756" t="str">
        <f t="shared" si="283"/>
        <v>WASHINGTON</v>
      </c>
      <c r="J756" t="str">
        <f t="shared" si="284"/>
        <v>DC</v>
      </c>
      <c r="K756" t="str">
        <f>T("2024043712")</f>
        <v>2024043712</v>
      </c>
      <c r="L756" t="str">
        <f>T("2024041856")</f>
        <v>2024041856</v>
      </c>
    </row>
    <row r="757" spans="1:12" x14ac:dyDescent="0.35">
      <c r="A757" t="str">
        <f t="shared" si="275"/>
        <v>NAVAL RESEARCH LABORATORY</v>
      </c>
      <c r="B757" t="str">
        <f t="shared" si="285"/>
        <v>4555 OVERLOOK AVE SW</v>
      </c>
      <c r="C757" t="str">
        <f t="shared" si="288"/>
        <v>CODE 5302</v>
      </c>
      <c r="D757" t="str">
        <f t="shared" si="277"/>
        <v>WASHINGTON</v>
      </c>
      <c r="E757" t="str">
        <f t="shared" si="278"/>
        <v>DC</v>
      </c>
      <c r="F757" t="str">
        <f t="shared" si="279"/>
        <v>203750001</v>
      </c>
      <c r="G757" t="str">
        <f t="shared" si="289"/>
        <v>4555 OVERLOOK AVE SW</v>
      </c>
      <c r="H757" t="str">
        <f>T("CODE 5302")</f>
        <v>CODE 5302</v>
      </c>
      <c r="I757" t="str">
        <f t="shared" si="283"/>
        <v>WASHINGTON</v>
      </c>
      <c r="J757" t="str">
        <f t="shared" si="284"/>
        <v>DC</v>
      </c>
      <c r="K757" t="str">
        <f>T("2027673658")</f>
        <v>2027673658</v>
      </c>
      <c r="L757" t="str">
        <f>T("2027673251")</f>
        <v>2027673251</v>
      </c>
    </row>
    <row r="758" spans="1:12" x14ac:dyDescent="0.35">
      <c r="A758" t="str">
        <f t="shared" si="275"/>
        <v>NAVAL RESEARCH LABORATORY</v>
      </c>
      <c r="B758" t="str">
        <f t="shared" si="285"/>
        <v>4555 OVERLOOK AVE SW</v>
      </c>
      <c r="C758" t="str">
        <f t="shared" si="288"/>
        <v>CODE 5302</v>
      </c>
      <c r="D758" t="str">
        <f t="shared" si="277"/>
        <v>WASHINGTON</v>
      </c>
      <c r="E758" t="str">
        <f t="shared" si="278"/>
        <v>DC</v>
      </c>
      <c r="F758" t="str">
        <f t="shared" si="279"/>
        <v>203750001</v>
      </c>
      <c r="G758" t="str">
        <f t="shared" si="289"/>
        <v>4555 OVERLOOK AVE SW</v>
      </c>
      <c r="H758" t="str">
        <f>T("CODE 5302")</f>
        <v>CODE 5302</v>
      </c>
      <c r="I758" t="str">
        <f t="shared" si="283"/>
        <v>WASHINGTON</v>
      </c>
      <c r="J758" t="str">
        <f t="shared" si="284"/>
        <v>DC</v>
      </c>
      <c r="K758" t="str">
        <f>T("2027673658")</f>
        <v>2027673658</v>
      </c>
      <c r="L758" t="str">
        <f>T("2027673252")</f>
        <v>2027673252</v>
      </c>
    </row>
    <row r="759" spans="1:12" x14ac:dyDescent="0.35">
      <c r="A759" t="str">
        <f t="shared" si="275"/>
        <v>NAVAL RESEARCH LABORATORY</v>
      </c>
      <c r="B759" t="str">
        <f t="shared" si="285"/>
        <v>4555 OVERLOOK AVE SW</v>
      </c>
      <c r="C759" t="str">
        <f t="shared" si="288"/>
        <v>CODE 5302</v>
      </c>
      <c r="D759" t="str">
        <f t="shared" si="277"/>
        <v>WASHINGTON</v>
      </c>
      <c r="E759" t="str">
        <f t="shared" si="278"/>
        <v>DC</v>
      </c>
      <c r="F759" t="str">
        <f t="shared" si="279"/>
        <v>203750001</v>
      </c>
      <c r="G759" t="str">
        <f t="shared" si="289"/>
        <v>4555 OVERLOOK AVE SW</v>
      </c>
      <c r="H759" t="str">
        <f>T("CODE 5327")</f>
        <v>CODE 5327</v>
      </c>
      <c r="I759" t="str">
        <f t="shared" si="283"/>
        <v>WASHINGTON</v>
      </c>
      <c r="J759" t="str">
        <f t="shared" si="284"/>
        <v>DC</v>
      </c>
      <c r="K759" t="str">
        <f>T("2024047999")</f>
        <v>2024047999</v>
      </c>
      <c r="L759" t="str">
        <f>T("2027670607")</f>
        <v>2027670607</v>
      </c>
    </row>
    <row r="760" spans="1:12" x14ac:dyDescent="0.35">
      <c r="A760" t="str">
        <f t="shared" si="275"/>
        <v>NAVAL RESEARCH LABORATORY</v>
      </c>
      <c r="B760" t="str">
        <f t="shared" si="285"/>
        <v>4555 OVERLOOK AVE SW</v>
      </c>
      <c r="C760" t="str">
        <f t="shared" si="288"/>
        <v>CODE 5302</v>
      </c>
      <c r="D760" t="str">
        <f t="shared" si="277"/>
        <v>WASHINGTON</v>
      </c>
      <c r="E760" t="str">
        <f t="shared" si="278"/>
        <v>DC</v>
      </c>
      <c r="F760" t="str">
        <f t="shared" si="279"/>
        <v>203750001</v>
      </c>
      <c r="G760" t="str">
        <f t="shared" si="289"/>
        <v>4555 OVERLOOK AVE SW</v>
      </c>
      <c r="H760" t="str">
        <f>T("CODE 5340 1")</f>
        <v>CODE 5340 1</v>
      </c>
      <c r="I760" t="str">
        <f t="shared" si="283"/>
        <v>WASHINGTON</v>
      </c>
      <c r="J760" t="str">
        <f t="shared" si="284"/>
        <v>DC</v>
      </c>
      <c r="K760" t="str">
        <f>T("2024048687")</f>
        <v>2024048687</v>
      </c>
      <c r="L760" t="str">
        <f>T("2024045436")</f>
        <v>2024045436</v>
      </c>
    </row>
    <row r="761" spans="1:12" x14ac:dyDescent="0.35">
      <c r="A761" t="str">
        <f t="shared" si="275"/>
        <v>NAVAL RESEARCH LABORATORY</v>
      </c>
      <c r="B761" t="str">
        <f t="shared" si="285"/>
        <v>4555 OVERLOOK AVE SW</v>
      </c>
      <c r="C761" t="str">
        <f t="shared" si="288"/>
        <v>CODE 5302</v>
      </c>
      <c r="D761" t="str">
        <f t="shared" si="277"/>
        <v>WASHINGTON</v>
      </c>
      <c r="E761" t="str">
        <f t="shared" si="278"/>
        <v>DC</v>
      </c>
      <c r="F761" t="str">
        <f t="shared" si="279"/>
        <v>203750001</v>
      </c>
      <c r="G761" t="str">
        <f t="shared" si="289"/>
        <v>4555 OVERLOOK AVE SW</v>
      </c>
      <c r="H761" t="str">
        <f>T("CODE 5344")</f>
        <v>CODE 5344</v>
      </c>
      <c r="I761" t="str">
        <f t="shared" si="283"/>
        <v>WASHINGTON</v>
      </c>
      <c r="J761" t="str">
        <f t="shared" si="284"/>
        <v>DC</v>
      </c>
      <c r="K761" t="str">
        <f t="shared" ref="K761:K767" si="290">T("000000000000000000")</f>
        <v>000000000000000000</v>
      </c>
      <c r="L761" t="str">
        <f>T("2024041926")</f>
        <v>2024041926</v>
      </c>
    </row>
    <row r="762" spans="1:12" x14ac:dyDescent="0.35">
      <c r="A762" t="str">
        <f t="shared" si="275"/>
        <v>NAVAL RESEARCH LABORATORY</v>
      </c>
      <c r="B762" t="str">
        <f t="shared" si="285"/>
        <v>4555 OVERLOOK AVE SW</v>
      </c>
      <c r="C762" t="str">
        <f t="shared" si="288"/>
        <v>CODE 5302</v>
      </c>
      <c r="D762" t="str">
        <f t="shared" si="277"/>
        <v>WASHINGTON</v>
      </c>
      <c r="E762" t="str">
        <f t="shared" si="278"/>
        <v>DC</v>
      </c>
      <c r="F762" t="str">
        <f t="shared" si="279"/>
        <v>203750001</v>
      </c>
      <c r="G762" t="str">
        <f>T("4555 OVERLOOK AVENEUE SW")</f>
        <v>4555 OVERLOOK AVENEUE SW</v>
      </c>
      <c r="H762" t="str">
        <f>T("CODE 5348")</f>
        <v>CODE 5348</v>
      </c>
      <c r="I762" t="str">
        <f t="shared" si="283"/>
        <v>WASHINGTON</v>
      </c>
      <c r="J762" t="str">
        <f t="shared" si="284"/>
        <v>DC</v>
      </c>
      <c r="K762" t="str">
        <f t="shared" si="290"/>
        <v>000000000000000000</v>
      </c>
      <c r="L762" t="str">
        <f>T("2024045414")</f>
        <v>2024045414</v>
      </c>
    </row>
    <row r="763" spans="1:12" x14ac:dyDescent="0.35">
      <c r="A763" t="str">
        <f t="shared" si="275"/>
        <v>NAVAL RESEARCH LABORATORY</v>
      </c>
      <c r="B763" t="str">
        <f t="shared" si="285"/>
        <v>4555 OVERLOOK AVE SW</v>
      </c>
      <c r="C763" t="str">
        <f t="shared" si="288"/>
        <v>CODE 5302</v>
      </c>
      <c r="D763" t="str">
        <f t="shared" si="277"/>
        <v>WASHINGTON</v>
      </c>
      <c r="E763" t="str">
        <f t="shared" si="278"/>
        <v>DC</v>
      </c>
      <c r="F763" t="str">
        <f t="shared" si="279"/>
        <v>203750001</v>
      </c>
      <c r="G763" t="str">
        <f>T("4555 OVERLOOK AVENUE SW")</f>
        <v>4555 OVERLOOK AVENUE SW</v>
      </c>
      <c r="H763" t="str">
        <f>T("")</f>
        <v/>
      </c>
      <c r="I763" t="str">
        <f t="shared" si="283"/>
        <v>WASHINGTON</v>
      </c>
      <c r="J763" t="str">
        <f t="shared" si="284"/>
        <v>DC</v>
      </c>
      <c r="K763" t="str">
        <f t="shared" si="290"/>
        <v>000000000000000000</v>
      </c>
      <c r="L763" t="str">
        <f>T("2027674873")</f>
        <v>2027674873</v>
      </c>
    </row>
    <row r="764" spans="1:12" x14ac:dyDescent="0.35">
      <c r="A764" t="str">
        <f t="shared" si="275"/>
        <v>NAVAL RESEARCH LABORATORY</v>
      </c>
      <c r="B764" t="str">
        <f t="shared" si="285"/>
        <v>4555 OVERLOOK AVE SW</v>
      </c>
      <c r="C764" t="str">
        <f t="shared" si="288"/>
        <v>CODE 5302</v>
      </c>
      <c r="D764" t="str">
        <f t="shared" si="277"/>
        <v>WASHINGTON</v>
      </c>
      <c r="E764" t="str">
        <f t="shared" si="278"/>
        <v>DC</v>
      </c>
      <c r="F764" t="str">
        <f t="shared" si="279"/>
        <v>203750001</v>
      </c>
      <c r="G764" t="str">
        <f>T("4555 OVERLOOK AVENUE SW")</f>
        <v>4555 OVERLOOK AVENUE SW</v>
      </c>
      <c r="H764" t="str">
        <f>T("CODE 5317")</f>
        <v>CODE 5317</v>
      </c>
      <c r="I764" t="str">
        <f t="shared" si="283"/>
        <v>WASHINGTON</v>
      </c>
      <c r="J764" t="str">
        <f t="shared" si="284"/>
        <v>DC</v>
      </c>
      <c r="K764" t="str">
        <f t="shared" si="290"/>
        <v>000000000000000000</v>
      </c>
      <c r="L764" t="str">
        <f>T("2027673402")</f>
        <v>2027673402</v>
      </c>
    </row>
    <row r="765" spans="1:12" x14ac:dyDescent="0.35">
      <c r="A765" t="str">
        <f t="shared" si="275"/>
        <v>NAVAL RESEARCH LABORATORY</v>
      </c>
      <c r="B765" t="str">
        <f t="shared" si="285"/>
        <v>4555 OVERLOOK AVE SW</v>
      </c>
      <c r="C765" t="str">
        <f t="shared" si="288"/>
        <v>CODE 5302</v>
      </c>
      <c r="D765" t="str">
        <f t="shared" si="277"/>
        <v>WASHINGTON</v>
      </c>
      <c r="E765" t="str">
        <f t="shared" si="278"/>
        <v>DC</v>
      </c>
      <c r="F765" t="str">
        <f t="shared" si="279"/>
        <v>203750001</v>
      </c>
      <c r="G765" t="str">
        <f>T("4555 OVERLOOK AVENUE SW")</f>
        <v>4555 OVERLOOK AVENUE SW</v>
      </c>
      <c r="H765" t="str">
        <f>T("CODE 5327")</f>
        <v>CODE 5327</v>
      </c>
      <c r="I765" t="str">
        <f t="shared" si="283"/>
        <v>WASHINGTON</v>
      </c>
      <c r="J765" t="str">
        <f t="shared" si="284"/>
        <v>DC</v>
      </c>
      <c r="K765" t="str">
        <f t="shared" si="290"/>
        <v>000000000000000000</v>
      </c>
      <c r="L765" t="str">
        <f>T("2024045637")</f>
        <v>2024045637</v>
      </c>
    </row>
    <row r="766" spans="1:12" x14ac:dyDescent="0.35">
      <c r="A766" t="str">
        <f t="shared" si="275"/>
        <v>NAVAL RESEARCH LABORATORY</v>
      </c>
      <c r="B766" t="str">
        <f t="shared" si="285"/>
        <v>4555 OVERLOOK AVE SW</v>
      </c>
      <c r="C766" t="str">
        <f t="shared" si="288"/>
        <v>CODE 5302</v>
      </c>
      <c r="D766" t="str">
        <f t="shared" si="277"/>
        <v>WASHINGTON</v>
      </c>
      <c r="E766" t="str">
        <f t="shared" si="278"/>
        <v>DC</v>
      </c>
      <c r="F766" t="str">
        <f t="shared" si="279"/>
        <v>203750001</v>
      </c>
      <c r="G766" t="str">
        <f>T("CODE 5317")</f>
        <v>CODE 5317</v>
      </c>
      <c r="H766" t="str">
        <f>T("4555 OVERLOOK AVE SW")</f>
        <v>4555 OVERLOOK AVE SW</v>
      </c>
      <c r="I766" t="str">
        <f t="shared" si="283"/>
        <v>WASHINGTON</v>
      </c>
      <c r="J766" t="str">
        <f t="shared" si="284"/>
        <v>DC</v>
      </c>
      <c r="K766" t="str">
        <f t="shared" si="290"/>
        <v>000000000000000000</v>
      </c>
      <c r="L766" t="str">
        <f>T("2027675157")</f>
        <v>2027675157</v>
      </c>
    </row>
    <row r="767" spans="1:12" x14ac:dyDescent="0.35">
      <c r="A767" t="str">
        <f t="shared" si="275"/>
        <v>NAVAL RESEARCH LABORATORY</v>
      </c>
      <c r="B767" t="str">
        <f t="shared" si="285"/>
        <v>4555 OVERLOOK AVE SW</v>
      </c>
      <c r="C767" t="str">
        <f t="shared" ref="C767:C774" si="291">T("CODE 5502")</f>
        <v>CODE 5502</v>
      </c>
      <c r="D767" t="str">
        <f t="shared" si="277"/>
        <v>WASHINGTON</v>
      </c>
      <c r="E767" t="str">
        <f t="shared" si="278"/>
        <v>DC</v>
      </c>
      <c r="F767" t="str">
        <f t="shared" si="279"/>
        <v>203750001</v>
      </c>
      <c r="G767" t="str">
        <f>T("4555 OVERLOOK AVE")</f>
        <v>4555 OVERLOOK AVE</v>
      </c>
      <c r="H767" t="str">
        <f>T("CODE 5510")</f>
        <v>CODE 5510</v>
      </c>
      <c r="I767" t="str">
        <f t="shared" si="283"/>
        <v>WASHINGTON</v>
      </c>
      <c r="J767" t="str">
        <f t="shared" si="284"/>
        <v>DC</v>
      </c>
      <c r="K767" t="str">
        <f t="shared" si="290"/>
        <v>000000000000000000</v>
      </c>
      <c r="L767" t="str">
        <f>T("2024047037")</f>
        <v>2024047037</v>
      </c>
    </row>
    <row r="768" spans="1:12" x14ac:dyDescent="0.35">
      <c r="A768" t="str">
        <f t="shared" si="275"/>
        <v>NAVAL RESEARCH LABORATORY</v>
      </c>
      <c r="B768" t="str">
        <f t="shared" si="285"/>
        <v>4555 OVERLOOK AVE SW</v>
      </c>
      <c r="C768" t="str">
        <f t="shared" si="291"/>
        <v>CODE 5502</v>
      </c>
      <c r="D768" t="str">
        <f t="shared" si="277"/>
        <v>WASHINGTON</v>
      </c>
      <c r="E768" t="str">
        <f t="shared" si="278"/>
        <v>DC</v>
      </c>
      <c r="F768" t="str">
        <f t="shared" si="279"/>
        <v>203750001</v>
      </c>
      <c r="G768" t="str">
        <f>T("4555 OVERLOOK AVE SW")</f>
        <v>4555 OVERLOOK AVE SW</v>
      </c>
      <c r="H768" t="str">
        <f>T("CODE 5502")</f>
        <v>CODE 5502</v>
      </c>
      <c r="I768" t="str">
        <f t="shared" si="283"/>
        <v>WASHINGTON</v>
      </c>
      <c r="J768" t="str">
        <f t="shared" si="284"/>
        <v>DC</v>
      </c>
      <c r="K768" t="str">
        <f>T("202 767 9197")</f>
        <v>202 767 9197</v>
      </c>
      <c r="L768" t="str">
        <f>T("2027672054")</f>
        <v>2027672054</v>
      </c>
    </row>
    <row r="769" spans="1:12" x14ac:dyDescent="0.35">
      <c r="A769" t="str">
        <f t="shared" ref="A769:A832" si="292">T("NAVAL RESEARCH LABORATORY")</f>
        <v>NAVAL RESEARCH LABORATORY</v>
      </c>
      <c r="B769" t="str">
        <f t="shared" si="285"/>
        <v>4555 OVERLOOK AVE SW</v>
      </c>
      <c r="C769" t="str">
        <f t="shared" si="291"/>
        <v>CODE 5502</v>
      </c>
      <c r="D769" t="str">
        <f t="shared" si="277"/>
        <v>WASHINGTON</v>
      </c>
      <c r="E769" t="str">
        <f t="shared" si="278"/>
        <v>DC</v>
      </c>
      <c r="F769" t="str">
        <f t="shared" si="279"/>
        <v>203750001</v>
      </c>
      <c r="G769" t="str">
        <f>T("4555 OVERLOOK AVE SW")</f>
        <v>4555 OVERLOOK AVE SW</v>
      </c>
      <c r="H769" t="str">
        <f>T("CODE 5550")</f>
        <v>CODE 5550</v>
      </c>
      <c r="I769" t="str">
        <f t="shared" si="283"/>
        <v>WASHINGTON</v>
      </c>
      <c r="J769" t="str">
        <f t="shared" si="284"/>
        <v>DC</v>
      </c>
      <c r="K769" t="str">
        <f>T("000000000000000000")</f>
        <v>000000000000000000</v>
      </c>
      <c r="L769" t="str">
        <f>T("2027672772")</f>
        <v>2027672772</v>
      </c>
    </row>
    <row r="770" spans="1:12" x14ac:dyDescent="0.35">
      <c r="A770" t="str">
        <f t="shared" si="292"/>
        <v>NAVAL RESEARCH LABORATORY</v>
      </c>
      <c r="B770" t="str">
        <f t="shared" si="285"/>
        <v>4555 OVERLOOK AVE SW</v>
      </c>
      <c r="C770" t="str">
        <f t="shared" si="291"/>
        <v>CODE 5502</v>
      </c>
      <c r="D770" t="str">
        <f t="shared" ref="D770:D833" si="293">T("WASHINGTON")</f>
        <v>WASHINGTON</v>
      </c>
      <c r="E770" t="str">
        <f t="shared" ref="E770:E833" si="294">T("DC")</f>
        <v>DC</v>
      </c>
      <c r="F770" t="str">
        <f t="shared" ref="F770:F833" si="295">T("203750001")</f>
        <v>203750001</v>
      </c>
      <c r="G770" t="str">
        <f>T("4555 OVERLOOK AVENUE SW")</f>
        <v>4555 OVERLOOK AVENUE SW</v>
      </c>
      <c r="H770" t="str">
        <f>T("CODE 5502")</f>
        <v>CODE 5502</v>
      </c>
      <c r="I770" t="str">
        <f t="shared" si="283"/>
        <v>WASHINGTON</v>
      </c>
      <c r="J770" t="str">
        <f t="shared" si="284"/>
        <v>DC</v>
      </c>
      <c r="K770" t="str">
        <f>T("")</f>
        <v/>
      </c>
      <c r="L770" t="str">
        <f>T("2027672883")</f>
        <v>2027672883</v>
      </c>
    </row>
    <row r="771" spans="1:12" x14ac:dyDescent="0.35">
      <c r="A771" t="str">
        <f t="shared" si="292"/>
        <v>NAVAL RESEARCH LABORATORY</v>
      </c>
      <c r="B771" t="str">
        <f t="shared" si="285"/>
        <v>4555 OVERLOOK AVE SW</v>
      </c>
      <c r="C771" t="str">
        <f t="shared" si="291"/>
        <v>CODE 5502</v>
      </c>
      <c r="D771" t="str">
        <f t="shared" si="293"/>
        <v>WASHINGTON</v>
      </c>
      <c r="E771" t="str">
        <f t="shared" si="294"/>
        <v>DC</v>
      </c>
      <c r="F771" t="str">
        <f t="shared" si="295"/>
        <v>203750001</v>
      </c>
      <c r="G771" t="str">
        <f>T("4555 OVERLOOK AVENUE SW")</f>
        <v>4555 OVERLOOK AVENUE SW</v>
      </c>
      <c r="H771" t="str">
        <f>T("CODE 5502")</f>
        <v>CODE 5502</v>
      </c>
      <c r="I771" t="str">
        <f t="shared" si="283"/>
        <v>WASHINGTON</v>
      </c>
      <c r="J771" t="str">
        <f t="shared" si="284"/>
        <v>DC</v>
      </c>
      <c r="K771" t="str">
        <f>T("2027670786")</f>
        <v>2027670786</v>
      </c>
      <c r="L771" t="str">
        <f>T("2027676185")</f>
        <v>2027676185</v>
      </c>
    </row>
    <row r="772" spans="1:12" x14ac:dyDescent="0.35">
      <c r="A772" t="str">
        <f t="shared" si="292"/>
        <v>NAVAL RESEARCH LABORATORY</v>
      </c>
      <c r="B772" t="str">
        <f t="shared" si="285"/>
        <v>4555 OVERLOOK AVE SW</v>
      </c>
      <c r="C772" t="str">
        <f t="shared" si="291"/>
        <v>CODE 5502</v>
      </c>
      <c r="D772" t="str">
        <f t="shared" si="293"/>
        <v>WASHINGTON</v>
      </c>
      <c r="E772" t="str">
        <f t="shared" si="294"/>
        <v>DC</v>
      </c>
      <c r="F772" t="str">
        <f t="shared" si="295"/>
        <v>203750001</v>
      </c>
      <c r="G772" t="str">
        <f>T("4555 OVERLOOK AVENUE SW")</f>
        <v>4555 OVERLOOK AVENUE SW</v>
      </c>
      <c r="H772" t="str">
        <f>T("CODE 5540")</f>
        <v>CODE 5540</v>
      </c>
      <c r="I772" t="str">
        <f t="shared" si="283"/>
        <v>WASHINGTON</v>
      </c>
      <c r="J772" t="str">
        <f t="shared" si="284"/>
        <v>DC</v>
      </c>
      <c r="K772" t="str">
        <f>T("000000000000000000")</f>
        <v>000000000000000000</v>
      </c>
      <c r="L772" t="str">
        <f>T("2024047311")</f>
        <v>2024047311</v>
      </c>
    </row>
    <row r="773" spans="1:12" x14ac:dyDescent="0.35">
      <c r="A773" t="str">
        <f t="shared" si="292"/>
        <v>NAVAL RESEARCH LABORATORY</v>
      </c>
      <c r="B773" t="str">
        <f t="shared" si="285"/>
        <v>4555 OVERLOOK AVE SW</v>
      </c>
      <c r="C773" t="str">
        <f t="shared" si="291"/>
        <v>CODE 5502</v>
      </c>
      <c r="D773" t="str">
        <f t="shared" si="293"/>
        <v>WASHINGTON</v>
      </c>
      <c r="E773" t="str">
        <f t="shared" si="294"/>
        <v>DC</v>
      </c>
      <c r="F773" t="str">
        <f t="shared" si="295"/>
        <v>203750001</v>
      </c>
      <c r="G773" t="str">
        <f>T("4555 OVERLOOK AVENUE SW")</f>
        <v>4555 OVERLOOK AVENUE SW</v>
      </c>
      <c r="H773" t="str">
        <f>T("CODE 5550")</f>
        <v>CODE 5550</v>
      </c>
      <c r="I773" t="str">
        <f t="shared" si="283"/>
        <v>WASHINGTON</v>
      </c>
      <c r="J773" t="str">
        <f t="shared" si="284"/>
        <v>DC</v>
      </c>
      <c r="K773" t="str">
        <f>T("2027670786")</f>
        <v>2027670786</v>
      </c>
      <c r="L773" t="str">
        <f>T("2027676185")</f>
        <v>2027676185</v>
      </c>
    </row>
    <row r="774" spans="1:12" x14ac:dyDescent="0.35">
      <c r="A774" t="str">
        <f t="shared" si="292"/>
        <v>NAVAL RESEARCH LABORATORY</v>
      </c>
      <c r="B774" t="str">
        <f t="shared" si="285"/>
        <v>4555 OVERLOOK AVE SW</v>
      </c>
      <c r="C774" t="str">
        <f t="shared" si="291"/>
        <v>CODE 5502</v>
      </c>
      <c r="D774" t="str">
        <f t="shared" si="293"/>
        <v>WASHINGTON</v>
      </c>
      <c r="E774" t="str">
        <f t="shared" si="294"/>
        <v>DC</v>
      </c>
      <c r="F774" t="str">
        <f t="shared" si="295"/>
        <v>203750001</v>
      </c>
      <c r="G774" t="str">
        <f>T("4555 OVERLOOK AVENUE SW")</f>
        <v>4555 OVERLOOK AVENUE SW</v>
      </c>
      <c r="H774" t="str">
        <f>T("CODE 5555")</f>
        <v>CODE 5555</v>
      </c>
      <c r="I774" t="str">
        <f t="shared" si="283"/>
        <v>WASHINGTON</v>
      </c>
      <c r="J774" t="str">
        <f t="shared" si="284"/>
        <v>DC</v>
      </c>
      <c r="K774" t="str">
        <f>T("000000000000000000")</f>
        <v>000000000000000000</v>
      </c>
      <c r="L774" t="str">
        <f>T("2024043928")</f>
        <v>2024043928</v>
      </c>
    </row>
    <row r="775" spans="1:12" x14ac:dyDescent="0.35">
      <c r="A775" t="str">
        <f t="shared" si="292"/>
        <v>NAVAL RESEARCH LABORATORY</v>
      </c>
      <c r="B775" t="str">
        <f t="shared" si="285"/>
        <v>4555 OVERLOOK AVE SW</v>
      </c>
      <c r="C775" t="str">
        <f>T("CODE 5522")</f>
        <v>CODE 5522</v>
      </c>
      <c r="D775" t="str">
        <f t="shared" si="293"/>
        <v>WASHINGTON</v>
      </c>
      <c r="E775" t="str">
        <f t="shared" si="294"/>
        <v>DC</v>
      </c>
      <c r="F775" t="str">
        <f t="shared" si="295"/>
        <v>203750001</v>
      </c>
      <c r="G775" t="str">
        <f>T("4555 OVERLOOK AVE SW")</f>
        <v>4555 OVERLOOK AVE SW</v>
      </c>
      <c r="H775" t="str">
        <f>T("CODE 5522")</f>
        <v>CODE 5522</v>
      </c>
      <c r="I775" t="str">
        <f t="shared" si="283"/>
        <v>WASHINGTON</v>
      </c>
      <c r="J775" t="str">
        <f t="shared" si="284"/>
        <v>DC</v>
      </c>
      <c r="K775" t="str">
        <f>T("202-767-1191")</f>
        <v>202-767-1191</v>
      </c>
      <c r="L775" t="str">
        <f>T("2024047122")</f>
        <v>2024047122</v>
      </c>
    </row>
    <row r="776" spans="1:12" x14ac:dyDescent="0.35">
      <c r="A776" t="str">
        <f t="shared" si="292"/>
        <v>NAVAL RESEARCH LABORATORY</v>
      </c>
      <c r="B776" t="str">
        <f t="shared" si="285"/>
        <v>4555 OVERLOOK AVE SW</v>
      </c>
      <c r="C776" t="str">
        <f>T("CODE 5522")</f>
        <v>CODE 5522</v>
      </c>
      <c r="D776" t="str">
        <f t="shared" si="293"/>
        <v>WASHINGTON</v>
      </c>
      <c r="E776" t="str">
        <f t="shared" si="294"/>
        <v>DC</v>
      </c>
      <c r="F776" t="str">
        <f t="shared" si="295"/>
        <v>203750001</v>
      </c>
      <c r="G776" t="str">
        <f>T("4555 OVERLOOK AVE SW")</f>
        <v>4555 OVERLOOK AVE SW</v>
      </c>
      <c r="H776" t="str">
        <f>T("CODE 5580")</f>
        <v>CODE 5580</v>
      </c>
      <c r="I776" t="str">
        <f t="shared" si="283"/>
        <v>WASHINGTON</v>
      </c>
      <c r="J776" t="str">
        <f t="shared" si="284"/>
        <v>DC</v>
      </c>
      <c r="K776" t="str">
        <f>T("000000000000000000")</f>
        <v>000000000000000000</v>
      </c>
      <c r="L776" t="str">
        <f>T("2027670329")</f>
        <v>2027670329</v>
      </c>
    </row>
    <row r="777" spans="1:12" x14ac:dyDescent="0.35">
      <c r="A777" t="str">
        <f t="shared" si="292"/>
        <v>NAVAL RESEARCH LABORATORY</v>
      </c>
      <c r="B777" t="str">
        <f t="shared" si="285"/>
        <v>4555 OVERLOOK AVE SW</v>
      </c>
      <c r="C777" t="str">
        <f>T("CODE 5522")</f>
        <v>CODE 5522</v>
      </c>
      <c r="D777" t="str">
        <f t="shared" si="293"/>
        <v>WASHINGTON</v>
      </c>
      <c r="E777" t="str">
        <f t="shared" si="294"/>
        <v>DC</v>
      </c>
      <c r="F777" t="str">
        <f t="shared" si="295"/>
        <v>203750001</v>
      </c>
      <c r="G777" t="str">
        <f>T("4555 OVERLOOK AVENUE SW")</f>
        <v>4555 OVERLOOK AVENUE SW</v>
      </c>
      <c r="H777" t="str">
        <f>T("CODE 5520")</f>
        <v>CODE 5520</v>
      </c>
      <c r="I777" t="str">
        <f t="shared" si="283"/>
        <v>WASHINGTON</v>
      </c>
      <c r="J777" t="str">
        <f t="shared" si="284"/>
        <v>DC</v>
      </c>
      <c r="K777" t="str">
        <f>T("000000000000000000")</f>
        <v>000000000000000000</v>
      </c>
      <c r="L777" t="str">
        <f>T("2024044997")</f>
        <v>2024044997</v>
      </c>
    </row>
    <row r="778" spans="1:12" x14ac:dyDescent="0.35">
      <c r="A778" t="str">
        <f t="shared" si="292"/>
        <v>NAVAL RESEARCH LABORATORY</v>
      </c>
      <c r="B778" t="str">
        <f t="shared" si="285"/>
        <v>4555 OVERLOOK AVE SW</v>
      </c>
      <c r="C778" t="str">
        <f>T("CODE 5522")</f>
        <v>CODE 5522</v>
      </c>
      <c r="D778" t="str">
        <f t="shared" si="293"/>
        <v>WASHINGTON</v>
      </c>
      <c r="E778" t="str">
        <f t="shared" si="294"/>
        <v>DC</v>
      </c>
      <c r="F778" t="str">
        <f t="shared" si="295"/>
        <v>203750001</v>
      </c>
      <c r="G778" t="str">
        <f>T("4555 OVERLOOK AVENUE SW")</f>
        <v>4555 OVERLOOK AVENUE SW</v>
      </c>
      <c r="H778" t="str">
        <f>T("CODE 5524")</f>
        <v>CODE 5524</v>
      </c>
      <c r="I778" t="str">
        <f t="shared" si="283"/>
        <v>WASHINGTON</v>
      </c>
      <c r="J778" t="str">
        <f t="shared" si="284"/>
        <v>DC</v>
      </c>
      <c r="K778" t="str">
        <f>T("2027671628")</f>
        <v>2027671628</v>
      </c>
      <c r="L778" t="str">
        <f>T("2024043411")</f>
        <v>2024043411</v>
      </c>
    </row>
    <row r="779" spans="1:12" x14ac:dyDescent="0.35">
      <c r="A779" t="str">
        <f t="shared" si="292"/>
        <v>NAVAL RESEARCH LABORATORY</v>
      </c>
      <c r="B779" t="str">
        <f t="shared" si="285"/>
        <v>4555 OVERLOOK AVE SW</v>
      </c>
      <c r="C779" t="str">
        <f t="shared" ref="C779:C785" si="296">T("CODE 5540")</f>
        <v>CODE 5540</v>
      </c>
      <c r="D779" t="str">
        <f t="shared" si="293"/>
        <v>WASHINGTON</v>
      </c>
      <c r="E779" t="str">
        <f t="shared" si="294"/>
        <v>DC</v>
      </c>
      <c r="F779" t="str">
        <f t="shared" si="295"/>
        <v>203750001</v>
      </c>
      <c r="G779" t="str">
        <f>T("4555 OVERLOOK AVE SW")</f>
        <v>4555 OVERLOOK AVE SW</v>
      </c>
      <c r="H779" t="str">
        <f>T("CODE 5540")</f>
        <v>CODE 5540</v>
      </c>
      <c r="I779" t="str">
        <f t="shared" si="283"/>
        <v>WASHINGTON</v>
      </c>
      <c r="J779" t="str">
        <f t="shared" si="284"/>
        <v>DC</v>
      </c>
      <c r="K779" t="str">
        <f>T("2024047942")</f>
        <v>2024047942</v>
      </c>
      <c r="L779" t="str">
        <f>T("2024047311")</f>
        <v>2024047311</v>
      </c>
    </row>
    <row r="780" spans="1:12" x14ac:dyDescent="0.35">
      <c r="A780" t="str">
        <f t="shared" si="292"/>
        <v>NAVAL RESEARCH LABORATORY</v>
      </c>
      <c r="B780" t="str">
        <f t="shared" si="285"/>
        <v>4555 OVERLOOK AVE SW</v>
      </c>
      <c r="C780" t="str">
        <f t="shared" si="296"/>
        <v>CODE 5540</v>
      </c>
      <c r="D780" t="str">
        <f t="shared" si="293"/>
        <v>WASHINGTON</v>
      </c>
      <c r="E780" t="str">
        <f t="shared" si="294"/>
        <v>DC</v>
      </c>
      <c r="F780" t="str">
        <f t="shared" si="295"/>
        <v>203750001</v>
      </c>
      <c r="G780" t="str">
        <f t="shared" ref="G780:G785" si="297">T("4555 OVERLOOK AVENUE SW")</f>
        <v>4555 OVERLOOK AVENUE SW</v>
      </c>
      <c r="H780" t="str">
        <f>T("CODE 5540")</f>
        <v>CODE 5540</v>
      </c>
      <c r="I780" t="str">
        <f t="shared" si="283"/>
        <v>WASHINGTON</v>
      </c>
      <c r="J780" t="str">
        <f t="shared" si="284"/>
        <v>DC</v>
      </c>
      <c r="K780" t="str">
        <f>T("2024041167")</f>
        <v>2024041167</v>
      </c>
      <c r="L780" t="str">
        <f>T("2024043748")</f>
        <v>2024043748</v>
      </c>
    </row>
    <row r="781" spans="1:12" x14ac:dyDescent="0.35">
      <c r="A781" t="str">
        <f t="shared" si="292"/>
        <v>NAVAL RESEARCH LABORATORY</v>
      </c>
      <c r="B781" t="str">
        <f t="shared" si="285"/>
        <v>4555 OVERLOOK AVE SW</v>
      </c>
      <c r="C781" t="str">
        <f t="shared" si="296"/>
        <v>CODE 5540</v>
      </c>
      <c r="D781" t="str">
        <f t="shared" si="293"/>
        <v>WASHINGTON</v>
      </c>
      <c r="E781" t="str">
        <f t="shared" si="294"/>
        <v>DC</v>
      </c>
      <c r="F781" t="str">
        <f t="shared" si="295"/>
        <v>203750001</v>
      </c>
      <c r="G781" t="str">
        <f t="shared" si="297"/>
        <v>4555 OVERLOOK AVENUE SW</v>
      </c>
      <c r="H781" t="str">
        <f>T("CODE 5541")</f>
        <v>CODE 5541</v>
      </c>
      <c r="I781" t="str">
        <f t="shared" si="283"/>
        <v>WASHINGTON</v>
      </c>
      <c r="J781" t="str">
        <f t="shared" si="284"/>
        <v>DC</v>
      </c>
      <c r="K781" t="str">
        <f>T("2027671060")</f>
        <v>2027671060</v>
      </c>
      <c r="L781" t="str">
        <f>T("2027672582")</f>
        <v>2027672582</v>
      </c>
    </row>
    <row r="782" spans="1:12" x14ac:dyDescent="0.35">
      <c r="A782" t="str">
        <f t="shared" si="292"/>
        <v>NAVAL RESEARCH LABORATORY</v>
      </c>
      <c r="B782" t="str">
        <f t="shared" si="285"/>
        <v>4555 OVERLOOK AVE SW</v>
      </c>
      <c r="C782" t="str">
        <f t="shared" si="296"/>
        <v>CODE 5540</v>
      </c>
      <c r="D782" t="str">
        <f t="shared" si="293"/>
        <v>WASHINGTON</v>
      </c>
      <c r="E782" t="str">
        <f t="shared" si="294"/>
        <v>DC</v>
      </c>
      <c r="F782" t="str">
        <f t="shared" si="295"/>
        <v>203750001</v>
      </c>
      <c r="G782" t="str">
        <f t="shared" si="297"/>
        <v>4555 OVERLOOK AVENUE SW</v>
      </c>
      <c r="H782" t="str">
        <f>T("CODE 5542")</f>
        <v>CODE 5542</v>
      </c>
      <c r="I782" t="str">
        <f t="shared" si="283"/>
        <v>WASHINGTON</v>
      </c>
      <c r="J782" t="str">
        <f t="shared" si="284"/>
        <v>DC</v>
      </c>
      <c r="K782" t="str">
        <f>T("000000000000000000")</f>
        <v>000000000000000000</v>
      </c>
      <c r="L782" t="str">
        <f>T("2027676698")</f>
        <v>2027676698</v>
      </c>
    </row>
    <row r="783" spans="1:12" x14ac:dyDescent="0.35">
      <c r="A783" t="str">
        <f t="shared" si="292"/>
        <v>NAVAL RESEARCH LABORATORY</v>
      </c>
      <c r="B783" t="str">
        <f t="shared" si="285"/>
        <v>4555 OVERLOOK AVE SW</v>
      </c>
      <c r="C783" t="str">
        <f t="shared" si="296"/>
        <v>CODE 5540</v>
      </c>
      <c r="D783" t="str">
        <f t="shared" si="293"/>
        <v>WASHINGTON</v>
      </c>
      <c r="E783" t="str">
        <f t="shared" si="294"/>
        <v>DC</v>
      </c>
      <c r="F783" t="str">
        <f t="shared" si="295"/>
        <v>203750001</v>
      </c>
      <c r="G783" t="str">
        <f t="shared" si="297"/>
        <v>4555 OVERLOOK AVENUE SW</v>
      </c>
      <c r="H783" t="str">
        <f>T("CODE 5544")</f>
        <v>CODE 5544</v>
      </c>
      <c r="I783" t="str">
        <f t="shared" si="283"/>
        <v>WASHINGTON</v>
      </c>
      <c r="J783" t="str">
        <f t="shared" si="284"/>
        <v>DC</v>
      </c>
      <c r="K783" t="str">
        <f>T("000000000000000000")</f>
        <v>000000000000000000</v>
      </c>
      <c r="L783" t="str">
        <f>T("2024041770")</f>
        <v>2024041770</v>
      </c>
    </row>
    <row r="784" spans="1:12" x14ac:dyDescent="0.35">
      <c r="A784" t="str">
        <f t="shared" si="292"/>
        <v>NAVAL RESEARCH LABORATORY</v>
      </c>
      <c r="B784" t="str">
        <f t="shared" si="285"/>
        <v>4555 OVERLOOK AVE SW</v>
      </c>
      <c r="C784" t="str">
        <f t="shared" si="296"/>
        <v>CODE 5540</v>
      </c>
      <c r="D784" t="str">
        <f t="shared" si="293"/>
        <v>WASHINGTON</v>
      </c>
      <c r="E784" t="str">
        <f t="shared" si="294"/>
        <v>DC</v>
      </c>
      <c r="F784" t="str">
        <f t="shared" si="295"/>
        <v>203750001</v>
      </c>
      <c r="G784" t="str">
        <f t="shared" si="297"/>
        <v>4555 OVERLOOK AVENUE SW</v>
      </c>
      <c r="H784" t="str">
        <f>T("CODE 5544")</f>
        <v>CODE 5544</v>
      </c>
      <c r="I784" t="str">
        <f t="shared" si="283"/>
        <v>WASHINGTON</v>
      </c>
      <c r="J784" t="str">
        <f t="shared" si="284"/>
        <v>DC</v>
      </c>
      <c r="K784" t="str">
        <f>T("000000000000000000")</f>
        <v>000000000000000000</v>
      </c>
      <c r="L784" t="str">
        <f>T("2027672634")</f>
        <v>2027672634</v>
      </c>
    </row>
    <row r="785" spans="1:12" x14ac:dyDescent="0.35">
      <c r="A785" t="str">
        <f t="shared" si="292"/>
        <v>NAVAL RESEARCH LABORATORY</v>
      </c>
      <c r="B785" t="str">
        <f t="shared" si="285"/>
        <v>4555 OVERLOOK AVE SW</v>
      </c>
      <c r="C785" t="str">
        <f t="shared" si="296"/>
        <v>CODE 5540</v>
      </c>
      <c r="D785" t="str">
        <f t="shared" si="293"/>
        <v>WASHINGTON</v>
      </c>
      <c r="E785" t="str">
        <f t="shared" si="294"/>
        <v>DC</v>
      </c>
      <c r="F785" t="str">
        <f t="shared" si="295"/>
        <v>203750001</v>
      </c>
      <c r="G785" t="str">
        <f t="shared" si="297"/>
        <v>4555 OVERLOOK AVENUE SW</v>
      </c>
      <c r="H785" t="str">
        <f>T("CODE 5545")</f>
        <v>CODE 5545</v>
      </c>
      <c r="I785" t="str">
        <f t="shared" si="283"/>
        <v>WASHINGTON</v>
      </c>
      <c r="J785" t="str">
        <f t="shared" si="284"/>
        <v>DC</v>
      </c>
      <c r="K785" t="str">
        <f>T("000000000000000000")</f>
        <v>000000000000000000</v>
      </c>
      <c r="L785" t="str">
        <f>T("2027670521")</f>
        <v>2027670521</v>
      </c>
    </row>
    <row r="786" spans="1:12" x14ac:dyDescent="0.35">
      <c r="A786" t="str">
        <f t="shared" si="292"/>
        <v>NAVAL RESEARCH LABORATORY</v>
      </c>
      <c r="B786" t="str">
        <f t="shared" si="285"/>
        <v>4555 OVERLOOK AVE SW</v>
      </c>
      <c r="C786" t="str">
        <f t="shared" ref="C786:C791" si="298">T("CODE 5590")</f>
        <v>CODE 5590</v>
      </c>
      <c r="D786" t="str">
        <f t="shared" si="293"/>
        <v>WASHINGTON</v>
      </c>
      <c r="E786" t="str">
        <f t="shared" si="294"/>
        <v>DC</v>
      </c>
      <c r="F786" t="str">
        <f t="shared" si="295"/>
        <v>203750001</v>
      </c>
      <c r="G786" t="str">
        <f>T("4555 OVERLOOK AVE SW")</f>
        <v>4555 OVERLOOK AVE SW</v>
      </c>
      <c r="H786" t="str">
        <f>T("CODE 5590")</f>
        <v>CODE 5590</v>
      </c>
      <c r="I786" t="str">
        <f t="shared" si="283"/>
        <v>WASHINGTON</v>
      </c>
      <c r="J786" t="str">
        <f t="shared" si="284"/>
        <v>DC</v>
      </c>
      <c r="K786" t="str">
        <f>T("")</f>
        <v/>
      </c>
      <c r="L786" t="str">
        <f>T("2024047339")</f>
        <v>2024047339</v>
      </c>
    </row>
    <row r="787" spans="1:12" x14ac:dyDescent="0.35">
      <c r="A787" t="str">
        <f t="shared" si="292"/>
        <v>NAVAL RESEARCH LABORATORY</v>
      </c>
      <c r="B787" t="str">
        <f t="shared" si="285"/>
        <v>4555 OVERLOOK AVE SW</v>
      </c>
      <c r="C787" t="str">
        <f t="shared" si="298"/>
        <v>CODE 5590</v>
      </c>
      <c r="D787" t="str">
        <f t="shared" si="293"/>
        <v>WASHINGTON</v>
      </c>
      <c r="E787" t="str">
        <f t="shared" si="294"/>
        <v>DC</v>
      </c>
      <c r="F787" t="str">
        <f t="shared" si="295"/>
        <v>203750001</v>
      </c>
      <c r="G787" t="str">
        <f>T("4555 OVERLOOK AVE SW")</f>
        <v>4555 OVERLOOK AVE SW</v>
      </c>
      <c r="H787" t="str">
        <f>T("CODE 5595")</f>
        <v>CODE 5595</v>
      </c>
      <c r="I787" t="str">
        <f t="shared" si="283"/>
        <v>WASHINGTON</v>
      </c>
      <c r="J787" t="str">
        <f t="shared" si="284"/>
        <v>DC</v>
      </c>
      <c r="K787" t="str">
        <f>T("000000000000000000")</f>
        <v>000000000000000000</v>
      </c>
      <c r="L787" t="str">
        <f>T("2027671401")</f>
        <v>2027671401</v>
      </c>
    </row>
    <row r="788" spans="1:12" x14ac:dyDescent="0.35">
      <c r="A788" t="str">
        <f t="shared" si="292"/>
        <v>NAVAL RESEARCH LABORATORY</v>
      </c>
      <c r="B788" t="str">
        <f t="shared" si="285"/>
        <v>4555 OVERLOOK AVE SW</v>
      </c>
      <c r="C788" t="str">
        <f t="shared" si="298"/>
        <v>CODE 5590</v>
      </c>
      <c r="D788" t="str">
        <f t="shared" si="293"/>
        <v>WASHINGTON</v>
      </c>
      <c r="E788" t="str">
        <f t="shared" si="294"/>
        <v>DC</v>
      </c>
      <c r="F788" t="str">
        <f t="shared" si="295"/>
        <v>203750001</v>
      </c>
      <c r="G788" t="str">
        <f>T("4555 OVERLOOK AVENUE SW")</f>
        <v>4555 OVERLOOK AVENUE SW</v>
      </c>
      <c r="H788" t="str">
        <f>T("CODE 5596")</f>
        <v>CODE 5596</v>
      </c>
      <c r="I788" t="str">
        <f t="shared" si="283"/>
        <v>WASHINGTON</v>
      </c>
      <c r="J788" t="str">
        <f t="shared" si="284"/>
        <v>DC</v>
      </c>
      <c r="K788" t="str">
        <f>T("2027673352")</f>
        <v>2027673352</v>
      </c>
      <c r="L788" t="str">
        <f>T("2027677521")</f>
        <v>2027677521</v>
      </c>
    </row>
    <row r="789" spans="1:12" x14ac:dyDescent="0.35">
      <c r="A789" t="str">
        <f t="shared" si="292"/>
        <v>NAVAL RESEARCH LABORATORY</v>
      </c>
      <c r="B789" t="str">
        <f t="shared" si="285"/>
        <v>4555 OVERLOOK AVE SW</v>
      </c>
      <c r="C789" t="str">
        <f t="shared" si="298"/>
        <v>CODE 5590</v>
      </c>
      <c r="D789" t="str">
        <f t="shared" si="293"/>
        <v>WASHINGTON</v>
      </c>
      <c r="E789" t="str">
        <f t="shared" si="294"/>
        <v>DC</v>
      </c>
      <c r="F789" t="str">
        <f t="shared" si="295"/>
        <v>203750001</v>
      </c>
      <c r="G789" t="str">
        <f>T("4555 OVERLOOK AVENUE SW")</f>
        <v>4555 OVERLOOK AVENUE SW</v>
      </c>
      <c r="H789" t="str">
        <f>T("CODE 5596 3")</f>
        <v>CODE 5596 3</v>
      </c>
      <c r="I789" t="str">
        <f t="shared" si="283"/>
        <v>WASHINGTON</v>
      </c>
      <c r="J789" t="str">
        <f t="shared" si="284"/>
        <v>DC</v>
      </c>
      <c r="K789" t="str">
        <f>T("2024048176")</f>
        <v>2024048176</v>
      </c>
      <c r="L789" t="str">
        <f>T("2027673425")</f>
        <v>2027673425</v>
      </c>
    </row>
    <row r="790" spans="1:12" x14ac:dyDescent="0.35">
      <c r="A790" t="str">
        <f t="shared" si="292"/>
        <v>NAVAL RESEARCH LABORATORY</v>
      </c>
      <c r="B790" t="str">
        <f t="shared" si="285"/>
        <v>4555 OVERLOOK AVE SW</v>
      </c>
      <c r="C790" t="str">
        <f t="shared" si="298"/>
        <v>CODE 5590</v>
      </c>
      <c r="D790" t="str">
        <f t="shared" si="293"/>
        <v>WASHINGTON</v>
      </c>
      <c r="E790" t="str">
        <f t="shared" si="294"/>
        <v>DC</v>
      </c>
      <c r="F790" t="str">
        <f t="shared" si="295"/>
        <v>203750001</v>
      </c>
      <c r="G790" t="str">
        <f>T("CODE 5590")</f>
        <v>CODE 5590</v>
      </c>
      <c r="H790" t="str">
        <f>T("4555 OVERLOOK AVENUE SW")</f>
        <v>4555 OVERLOOK AVENUE SW</v>
      </c>
      <c r="I790" t="str">
        <f t="shared" si="283"/>
        <v>WASHINGTON</v>
      </c>
      <c r="J790" t="str">
        <f t="shared" si="284"/>
        <v>DC</v>
      </c>
      <c r="K790" t="str">
        <f>T("2024047402")</f>
        <v>2024047402</v>
      </c>
      <c r="L790" t="str">
        <f>T("2027672586")</f>
        <v>2027672586</v>
      </c>
    </row>
    <row r="791" spans="1:12" x14ac:dyDescent="0.35">
      <c r="A791" t="str">
        <f t="shared" si="292"/>
        <v>NAVAL RESEARCH LABORATORY</v>
      </c>
      <c r="B791" t="str">
        <f t="shared" si="285"/>
        <v>4555 OVERLOOK AVE SW</v>
      </c>
      <c r="C791" t="str">
        <f t="shared" si="298"/>
        <v>CODE 5590</v>
      </c>
      <c r="D791" t="str">
        <f t="shared" si="293"/>
        <v>WASHINGTON</v>
      </c>
      <c r="E791" t="str">
        <f t="shared" si="294"/>
        <v>DC</v>
      </c>
      <c r="F791" t="str">
        <f t="shared" si="295"/>
        <v>203750001</v>
      </c>
      <c r="G791" t="str">
        <f>T("CODE 5596")</f>
        <v>CODE 5596</v>
      </c>
      <c r="H791" t="str">
        <f>T("4555 OVERLOOK AVENUE SW")</f>
        <v>4555 OVERLOOK AVENUE SW</v>
      </c>
      <c r="I791" t="str">
        <f t="shared" si="283"/>
        <v>WASHINGTON</v>
      </c>
      <c r="J791" t="str">
        <f t="shared" si="284"/>
        <v>DC</v>
      </c>
      <c r="K791" t="str">
        <f>T("2027673352")</f>
        <v>2027673352</v>
      </c>
      <c r="L791" t="str">
        <f>T("2027677514")</f>
        <v>2027677514</v>
      </c>
    </row>
    <row r="792" spans="1:12" x14ac:dyDescent="0.35">
      <c r="A792" t="str">
        <f t="shared" si="292"/>
        <v>NAVAL RESEARCH LABORATORY</v>
      </c>
      <c r="B792" t="str">
        <f t="shared" si="285"/>
        <v>4555 OVERLOOK AVE SW</v>
      </c>
      <c r="C792" t="str">
        <f t="shared" ref="C792:C797" si="299">T("CODE 5602")</f>
        <v>CODE 5602</v>
      </c>
      <c r="D792" t="str">
        <f t="shared" si="293"/>
        <v>WASHINGTON</v>
      </c>
      <c r="E792" t="str">
        <f t="shared" si="294"/>
        <v>DC</v>
      </c>
      <c r="F792" t="str">
        <f t="shared" si="295"/>
        <v>203750001</v>
      </c>
      <c r="G792" t="str">
        <f>T("4555 OVERLOOK AVE SW")</f>
        <v>4555 OVERLOOK AVE SW</v>
      </c>
      <c r="H792" t="str">
        <f>T("CODE 5602")</f>
        <v>CODE 5602</v>
      </c>
      <c r="I792" t="str">
        <f t="shared" ref="I792:I855" si="300">T("WASHINGTON")</f>
        <v>WASHINGTON</v>
      </c>
      <c r="J792" t="str">
        <f t="shared" ref="J792:J855" si="301">T("DC")</f>
        <v>DC</v>
      </c>
      <c r="K792" t="str">
        <f>T("2024047493")</f>
        <v>2024047493</v>
      </c>
      <c r="L792" t="str">
        <f>T("2027879306")</f>
        <v>2027879306</v>
      </c>
    </row>
    <row r="793" spans="1:12" x14ac:dyDescent="0.35">
      <c r="A793" t="str">
        <f t="shared" si="292"/>
        <v>NAVAL RESEARCH LABORATORY</v>
      </c>
      <c r="B793" t="str">
        <f t="shared" ref="B793:B856" si="302">T("4555 OVERLOOK AVE SW")</f>
        <v>4555 OVERLOOK AVE SW</v>
      </c>
      <c r="C793" t="str">
        <f t="shared" si="299"/>
        <v>CODE 5602</v>
      </c>
      <c r="D793" t="str">
        <f t="shared" si="293"/>
        <v>WASHINGTON</v>
      </c>
      <c r="E793" t="str">
        <f t="shared" si="294"/>
        <v>DC</v>
      </c>
      <c r="F793" t="str">
        <f t="shared" si="295"/>
        <v>203750001</v>
      </c>
      <c r="G793" t="str">
        <f>T("4555 OVERLOOK AVE SW")</f>
        <v>4555 OVERLOOK AVE SW</v>
      </c>
      <c r="H793" t="str">
        <f>T("CODE 5602")</f>
        <v>CODE 5602</v>
      </c>
      <c r="I793" t="str">
        <f t="shared" si="300"/>
        <v>WASHINGTON</v>
      </c>
      <c r="J793" t="str">
        <f t="shared" si="301"/>
        <v>DC</v>
      </c>
      <c r="K793" t="str">
        <f>T("2027679300")</f>
        <v>2027679300</v>
      </c>
      <c r="L793" t="str">
        <f>T("2027672855")</f>
        <v>2027672855</v>
      </c>
    </row>
    <row r="794" spans="1:12" x14ac:dyDescent="0.35">
      <c r="A794" t="str">
        <f t="shared" si="292"/>
        <v>NAVAL RESEARCH LABORATORY</v>
      </c>
      <c r="B794" t="str">
        <f t="shared" si="302"/>
        <v>4555 OVERLOOK AVE SW</v>
      </c>
      <c r="C794" t="str">
        <f t="shared" si="299"/>
        <v>CODE 5602</v>
      </c>
      <c r="D794" t="str">
        <f t="shared" si="293"/>
        <v>WASHINGTON</v>
      </c>
      <c r="E794" t="str">
        <f t="shared" si="294"/>
        <v>DC</v>
      </c>
      <c r="F794" t="str">
        <f t="shared" si="295"/>
        <v>203750001</v>
      </c>
      <c r="G794" t="str">
        <f>T("4555 OVERLOOK AVE SW")</f>
        <v>4555 OVERLOOK AVE SW</v>
      </c>
      <c r="H794" t="str">
        <f>T("CODE 5610")</f>
        <v>CODE 5610</v>
      </c>
      <c r="I794" t="str">
        <f t="shared" si="300"/>
        <v>WASHINGTON</v>
      </c>
      <c r="J794" t="str">
        <f t="shared" si="301"/>
        <v>DC</v>
      </c>
      <c r="K794" t="str">
        <f>T("2024048114")</f>
        <v>2024048114</v>
      </c>
      <c r="L794" t="str">
        <f>T("2027676986")</f>
        <v>2027676986</v>
      </c>
    </row>
    <row r="795" spans="1:12" x14ac:dyDescent="0.35">
      <c r="A795" t="str">
        <f t="shared" si="292"/>
        <v>NAVAL RESEARCH LABORATORY</v>
      </c>
      <c r="B795" t="str">
        <f t="shared" si="302"/>
        <v>4555 OVERLOOK AVE SW</v>
      </c>
      <c r="C795" t="str">
        <f t="shared" si="299"/>
        <v>CODE 5602</v>
      </c>
      <c r="D795" t="str">
        <f t="shared" si="293"/>
        <v>WASHINGTON</v>
      </c>
      <c r="E795" t="str">
        <f t="shared" si="294"/>
        <v>DC</v>
      </c>
      <c r="F795" t="str">
        <f t="shared" si="295"/>
        <v>203750001</v>
      </c>
      <c r="G795" t="str">
        <f>T("4555 OVERLOOK AVE SW")</f>
        <v>4555 OVERLOOK AVE SW</v>
      </c>
      <c r="H795" t="str">
        <f>T("CODE 5620")</f>
        <v>CODE 5620</v>
      </c>
      <c r="I795" t="str">
        <f t="shared" si="300"/>
        <v>WASHINGTON</v>
      </c>
      <c r="J795" t="str">
        <f t="shared" si="301"/>
        <v>DC</v>
      </c>
      <c r="K795" t="str">
        <f>T("2024047493")</f>
        <v>2024047493</v>
      </c>
      <c r="L795" t="str">
        <f>T("2027679321")</f>
        <v>2027679321</v>
      </c>
    </row>
    <row r="796" spans="1:12" x14ac:dyDescent="0.35">
      <c r="A796" t="str">
        <f t="shared" si="292"/>
        <v>NAVAL RESEARCH LABORATORY</v>
      </c>
      <c r="B796" t="str">
        <f t="shared" si="302"/>
        <v>4555 OVERLOOK AVE SW</v>
      </c>
      <c r="C796" t="str">
        <f t="shared" si="299"/>
        <v>CODE 5602</v>
      </c>
      <c r="D796" t="str">
        <f t="shared" si="293"/>
        <v>WASHINGTON</v>
      </c>
      <c r="E796" t="str">
        <f t="shared" si="294"/>
        <v>DC</v>
      </c>
      <c r="F796" t="str">
        <f t="shared" si="295"/>
        <v>203750001</v>
      </c>
      <c r="G796" t="str">
        <f>T("4555 OVERLOOK AVENUE SW")</f>
        <v>4555 OVERLOOK AVENUE SW</v>
      </c>
      <c r="H796" t="str">
        <f>T("CODE 5602")</f>
        <v>CODE 5602</v>
      </c>
      <c r="I796" t="str">
        <f t="shared" si="300"/>
        <v>WASHINGTON</v>
      </c>
      <c r="J796" t="str">
        <f t="shared" si="301"/>
        <v>DC</v>
      </c>
      <c r="K796" t="str">
        <f>T("000000000000000000")</f>
        <v>000000000000000000</v>
      </c>
      <c r="L796" t="str">
        <f>T("2027673354")</f>
        <v>2027673354</v>
      </c>
    </row>
    <row r="797" spans="1:12" x14ac:dyDescent="0.35">
      <c r="A797" t="str">
        <f t="shared" si="292"/>
        <v>NAVAL RESEARCH LABORATORY</v>
      </c>
      <c r="B797" t="str">
        <f t="shared" si="302"/>
        <v>4555 OVERLOOK AVE SW</v>
      </c>
      <c r="C797" t="str">
        <f t="shared" si="299"/>
        <v>CODE 5602</v>
      </c>
      <c r="D797" t="str">
        <f t="shared" si="293"/>
        <v>WASHINGTON</v>
      </c>
      <c r="E797" t="str">
        <f t="shared" si="294"/>
        <v>DC</v>
      </c>
      <c r="F797" t="str">
        <f t="shared" si="295"/>
        <v>203750001</v>
      </c>
      <c r="G797" t="str">
        <f>T("4555 OVERLOOK AVENUE SW")</f>
        <v>4555 OVERLOOK AVENUE SW</v>
      </c>
      <c r="H797" t="str">
        <f>T("CODE 5602")</f>
        <v>CODE 5602</v>
      </c>
      <c r="I797" t="str">
        <f t="shared" si="300"/>
        <v>WASHINGTON</v>
      </c>
      <c r="J797" t="str">
        <f t="shared" si="301"/>
        <v>DC</v>
      </c>
      <c r="K797" t="str">
        <f>T("2024041254")</f>
        <v>2024041254</v>
      </c>
      <c r="L797" t="str">
        <f>T("2027679306")</f>
        <v>2027679306</v>
      </c>
    </row>
    <row r="798" spans="1:12" x14ac:dyDescent="0.35">
      <c r="A798" t="str">
        <f t="shared" si="292"/>
        <v>NAVAL RESEARCH LABORATORY</v>
      </c>
      <c r="B798" t="str">
        <f t="shared" si="302"/>
        <v>4555 OVERLOOK AVE SW</v>
      </c>
      <c r="C798" t="str">
        <f>T("CODE 5610")</f>
        <v>CODE 5610</v>
      </c>
      <c r="D798" t="str">
        <f t="shared" si="293"/>
        <v>WASHINGTON</v>
      </c>
      <c r="E798" t="str">
        <f t="shared" si="294"/>
        <v>DC</v>
      </c>
      <c r="F798" t="str">
        <f t="shared" si="295"/>
        <v>203750001</v>
      </c>
      <c r="G798" t="str">
        <f>T("4555 OVERLOOK AVE SW")</f>
        <v>4555 OVERLOOK AVE SW</v>
      </c>
      <c r="H798" t="str">
        <f>T("CODE 5610")</f>
        <v>CODE 5610</v>
      </c>
      <c r="I798" t="str">
        <f t="shared" si="300"/>
        <v>WASHINGTON</v>
      </c>
      <c r="J798" t="str">
        <f t="shared" si="301"/>
        <v>DC</v>
      </c>
      <c r="K798" t="str">
        <f>T("000000000000000000")</f>
        <v>000000000000000000</v>
      </c>
      <c r="L798" t="str">
        <f>T("2027679468")</f>
        <v>2027679468</v>
      </c>
    </row>
    <row r="799" spans="1:12" x14ac:dyDescent="0.35">
      <c r="A799" t="str">
        <f t="shared" si="292"/>
        <v>NAVAL RESEARCH LABORATORY</v>
      </c>
      <c r="B799" t="str">
        <f t="shared" si="302"/>
        <v>4555 OVERLOOK AVE SW</v>
      </c>
      <c r="C799" t="str">
        <f>T("CODE 5610")</f>
        <v>CODE 5610</v>
      </c>
      <c r="D799" t="str">
        <f t="shared" si="293"/>
        <v>WASHINGTON</v>
      </c>
      <c r="E799" t="str">
        <f t="shared" si="294"/>
        <v>DC</v>
      </c>
      <c r="F799" t="str">
        <f t="shared" si="295"/>
        <v>203750001</v>
      </c>
      <c r="G799" t="str">
        <f>T("4555 OVERLOOK AVENUE SW")</f>
        <v>4555 OVERLOOK AVENUE SW</v>
      </c>
      <c r="H799" t="str">
        <f>T("CODE 5670")</f>
        <v>CODE 5670</v>
      </c>
      <c r="I799" t="str">
        <f t="shared" si="300"/>
        <v>WASHINGTON</v>
      </c>
      <c r="J799" t="str">
        <f t="shared" si="301"/>
        <v>DC</v>
      </c>
      <c r="K799" t="str">
        <f>T("000000000000000000")</f>
        <v>000000000000000000</v>
      </c>
      <c r="L799" t="str">
        <f>T("2027675369")</f>
        <v>2027675369</v>
      </c>
    </row>
    <row r="800" spans="1:12" x14ac:dyDescent="0.35">
      <c r="A800" t="str">
        <f t="shared" si="292"/>
        <v>NAVAL RESEARCH LABORATORY</v>
      </c>
      <c r="B800" t="str">
        <f t="shared" si="302"/>
        <v>4555 OVERLOOK AVE SW</v>
      </c>
      <c r="C800" t="str">
        <f>T("CODE 5650")</f>
        <v>CODE 5650</v>
      </c>
      <c r="D800" t="str">
        <f t="shared" si="293"/>
        <v>WASHINGTON</v>
      </c>
      <c r="E800" t="str">
        <f t="shared" si="294"/>
        <v>DC</v>
      </c>
      <c r="F800" t="str">
        <f t="shared" si="295"/>
        <v>203750001</v>
      </c>
      <c r="G800" t="str">
        <f>T("4555 OVERLOOK AVE SW")</f>
        <v>4555 OVERLOOK AVE SW</v>
      </c>
      <c r="H800" t="str">
        <f>T("CODE 5650")</f>
        <v>CODE 5650</v>
      </c>
      <c r="I800" t="str">
        <f t="shared" si="300"/>
        <v>WASHINGTON</v>
      </c>
      <c r="J800" t="str">
        <f t="shared" si="301"/>
        <v>DC</v>
      </c>
      <c r="K800" t="str">
        <f>T("2024048645")</f>
        <v>2024048645</v>
      </c>
      <c r="L800" t="str">
        <f>T("2027673045")</f>
        <v>2027673045</v>
      </c>
    </row>
    <row r="801" spans="1:12" x14ac:dyDescent="0.35">
      <c r="A801" t="str">
        <f t="shared" si="292"/>
        <v>NAVAL RESEARCH LABORATORY</v>
      </c>
      <c r="B801" t="str">
        <f t="shared" si="302"/>
        <v>4555 OVERLOOK AVE SW</v>
      </c>
      <c r="C801" t="str">
        <f>T("CODE 5650")</f>
        <v>CODE 5650</v>
      </c>
      <c r="D801" t="str">
        <f t="shared" si="293"/>
        <v>WASHINGTON</v>
      </c>
      <c r="E801" t="str">
        <f t="shared" si="294"/>
        <v>DC</v>
      </c>
      <c r="F801" t="str">
        <f t="shared" si="295"/>
        <v>203750001</v>
      </c>
      <c r="G801" t="str">
        <f>T("4555 OVERLOOK AVE SW")</f>
        <v>4555 OVERLOOK AVE SW</v>
      </c>
      <c r="H801" t="str">
        <f>T("CODE 5650")</f>
        <v>CODE 5650</v>
      </c>
      <c r="I801" t="str">
        <f t="shared" si="300"/>
        <v>WASHINGTON</v>
      </c>
      <c r="J801" t="str">
        <f t="shared" si="301"/>
        <v>DC</v>
      </c>
      <c r="K801" t="str">
        <f>T("2024048645")</f>
        <v>2024048645</v>
      </c>
      <c r="L801" t="str">
        <f>T("2027679360")</f>
        <v>2027679360</v>
      </c>
    </row>
    <row r="802" spans="1:12" x14ac:dyDescent="0.35">
      <c r="A802" t="str">
        <f t="shared" si="292"/>
        <v>NAVAL RESEARCH LABORATORY</v>
      </c>
      <c r="B802" t="str">
        <f t="shared" si="302"/>
        <v>4555 OVERLOOK AVE SW</v>
      </c>
      <c r="C802" t="str">
        <f t="shared" ref="C802:C808" si="303">T("CODE 5715")</f>
        <v>CODE 5715</v>
      </c>
      <c r="D802" t="str">
        <f t="shared" si="293"/>
        <v>WASHINGTON</v>
      </c>
      <c r="E802" t="str">
        <f t="shared" si="294"/>
        <v>DC</v>
      </c>
      <c r="F802" t="str">
        <f t="shared" si="295"/>
        <v>203750001</v>
      </c>
      <c r="G802" t="str">
        <f>T("4555 OVERLOOK AV SW")</f>
        <v>4555 OVERLOOK AV SW</v>
      </c>
      <c r="H802" t="str">
        <f>T("CODE 5712")</f>
        <v>CODE 5712</v>
      </c>
      <c r="I802" t="str">
        <f t="shared" si="300"/>
        <v>WASHINGTON</v>
      </c>
      <c r="J802" t="str">
        <f t="shared" si="301"/>
        <v>DC</v>
      </c>
      <c r="K802" t="str">
        <f>T("000000000000000000")</f>
        <v>000000000000000000</v>
      </c>
      <c r="L802" t="str">
        <f>T("2027675852")</f>
        <v>2027675852</v>
      </c>
    </row>
    <row r="803" spans="1:12" x14ac:dyDescent="0.35">
      <c r="A803" t="str">
        <f t="shared" si="292"/>
        <v>NAVAL RESEARCH LABORATORY</v>
      </c>
      <c r="B803" t="str">
        <f t="shared" si="302"/>
        <v>4555 OVERLOOK AVE SW</v>
      </c>
      <c r="C803" t="str">
        <f t="shared" si="303"/>
        <v>CODE 5715</v>
      </c>
      <c r="D803" t="str">
        <f t="shared" si="293"/>
        <v>WASHINGTON</v>
      </c>
      <c r="E803" t="str">
        <f t="shared" si="294"/>
        <v>DC</v>
      </c>
      <c r="F803" t="str">
        <f t="shared" si="295"/>
        <v>203750001</v>
      </c>
      <c r="G803" t="str">
        <f>T("4555 OVERLOOK AVE SW")</f>
        <v>4555 OVERLOOK AVE SW</v>
      </c>
      <c r="H803" t="str">
        <f>T("CODE 5712")</f>
        <v>CODE 5712</v>
      </c>
      <c r="I803" t="str">
        <f t="shared" si="300"/>
        <v>WASHINGTON</v>
      </c>
      <c r="J803" t="str">
        <f t="shared" si="301"/>
        <v>DC</v>
      </c>
      <c r="K803" t="str">
        <f>T("000000000000000000")</f>
        <v>000000000000000000</v>
      </c>
      <c r="L803" t="str">
        <f>T("2024041605")</f>
        <v>2024041605</v>
      </c>
    </row>
    <row r="804" spans="1:12" x14ac:dyDescent="0.35">
      <c r="A804" t="str">
        <f t="shared" si="292"/>
        <v>NAVAL RESEARCH LABORATORY</v>
      </c>
      <c r="B804" t="str">
        <f t="shared" si="302"/>
        <v>4555 OVERLOOK AVE SW</v>
      </c>
      <c r="C804" t="str">
        <f t="shared" si="303"/>
        <v>CODE 5715</v>
      </c>
      <c r="D804" t="str">
        <f t="shared" si="293"/>
        <v>WASHINGTON</v>
      </c>
      <c r="E804" t="str">
        <f t="shared" si="294"/>
        <v>DC</v>
      </c>
      <c r="F804" t="str">
        <f t="shared" si="295"/>
        <v>203750001</v>
      </c>
      <c r="G804" t="str">
        <f>T("4555 OVERLOOK AVE SW")</f>
        <v>4555 OVERLOOK AVE SW</v>
      </c>
      <c r="H804" t="str">
        <f>T("CODE 5712")</f>
        <v>CODE 5712</v>
      </c>
      <c r="I804" t="str">
        <f t="shared" si="300"/>
        <v>WASHINGTON</v>
      </c>
      <c r="J804" t="str">
        <f t="shared" si="301"/>
        <v>DC</v>
      </c>
      <c r="K804" t="str">
        <f>T("000000000000000000")</f>
        <v>000000000000000000</v>
      </c>
      <c r="L804" t="str">
        <f>T("2027674121")</f>
        <v>2027674121</v>
      </c>
    </row>
    <row r="805" spans="1:12" x14ac:dyDescent="0.35">
      <c r="A805" t="str">
        <f t="shared" si="292"/>
        <v>NAVAL RESEARCH LABORATORY</v>
      </c>
      <c r="B805" t="str">
        <f t="shared" si="302"/>
        <v>4555 OVERLOOK AVE SW</v>
      </c>
      <c r="C805" t="str">
        <f t="shared" si="303"/>
        <v>CODE 5715</v>
      </c>
      <c r="D805" t="str">
        <f t="shared" si="293"/>
        <v>WASHINGTON</v>
      </c>
      <c r="E805" t="str">
        <f t="shared" si="294"/>
        <v>DC</v>
      </c>
      <c r="F805" t="str">
        <f t="shared" si="295"/>
        <v>203750001</v>
      </c>
      <c r="G805" t="str">
        <f>T("4555 OVERLOOK AVE SW")</f>
        <v>4555 OVERLOOK AVE SW</v>
      </c>
      <c r="H805" t="str">
        <f>T("CODE 5715")</f>
        <v>CODE 5715</v>
      </c>
      <c r="I805" t="str">
        <f t="shared" si="300"/>
        <v>WASHINGTON</v>
      </c>
      <c r="J805" t="str">
        <f t="shared" si="301"/>
        <v>DC</v>
      </c>
      <c r="K805" t="str">
        <f>T("2024045452")</f>
        <v>2024045452</v>
      </c>
      <c r="L805" t="str">
        <f>T("2024042627")</f>
        <v>2024042627</v>
      </c>
    </row>
    <row r="806" spans="1:12" x14ac:dyDescent="0.35">
      <c r="A806" t="str">
        <f t="shared" si="292"/>
        <v>NAVAL RESEARCH LABORATORY</v>
      </c>
      <c r="B806" t="str">
        <f t="shared" si="302"/>
        <v>4555 OVERLOOK AVE SW</v>
      </c>
      <c r="C806" t="str">
        <f t="shared" si="303"/>
        <v>CODE 5715</v>
      </c>
      <c r="D806" t="str">
        <f t="shared" si="293"/>
        <v>WASHINGTON</v>
      </c>
      <c r="E806" t="str">
        <f t="shared" si="294"/>
        <v>DC</v>
      </c>
      <c r="F806" t="str">
        <f t="shared" si="295"/>
        <v>203750001</v>
      </c>
      <c r="G806" t="str">
        <f>T("4555 OVERLOOK AVENUE SW")</f>
        <v>4555 OVERLOOK AVENUE SW</v>
      </c>
      <c r="H806" t="str">
        <f>T("CODE 5712")</f>
        <v>CODE 5712</v>
      </c>
      <c r="I806" t="str">
        <f t="shared" si="300"/>
        <v>WASHINGTON</v>
      </c>
      <c r="J806" t="str">
        <f t="shared" si="301"/>
        <v>DC</v>
      </c>
      <c r="K806" t="str">
        <f>T("2024043018")</f>
        <v>2024043018</v>
      </c>
      <c r="L806" t="str">
        <f>T("2027676353")</f>
        <v>2027676353</v>
      </c>
    </row>
    <row r="807" spans="1:12" x14ac:dyDescent="0.35">
      <c r="A807" t="str">
        <f t="shared" si="292"/>
        <v>NAVAL RESEARCH LABORATORY</v>
      </c>
      <c r="B807" t="str">
        <f t="shared" si="302"/>
        <v>4555 OVERLOOK AVE SW</v>
      </c>
      <c r="C807" t="str">
        <f t="shared" si="303"/>
        <v>CODE 5715</v>
      </c>
      <c r="D807" t="str">
        <f t="shared" si="293"/>
        <v>WASHINGTON</v>
      </c>
      <c r="E807" t="str">
        <f t="shared" si="294"/>
        <v>DC</v>
      </c>
      <c r="F807" t="str">
        <f t="shared" si="295"/>
        <v>203750001</v>
      </c>
      <c r="G807" t="str">
        <f>T("4555 OVERLOOK AVENUE SW")</f>
        <v>4555 OVERLOOK AVENUE SW</v>
      </c>
      <c r="H807" t="str">
        <f>T("CODE 5713")</f>
        <v>CODE 5713</v>
      </c>
      <c r="I807" t="str">
        <f t="shared" si="300"/>
        <v>WASHINGTON</v>
      </c>
      <c r="J807" t="str">
        <f t="shared" si="301"/>
        <v>DC</v>
      </c>
      <c r="K807" t="str">
        <f>T("2024043018")</f>
        <v>2024043018</v>
      </c>
      <c r="L807" t="str">
        <f>T("2027672449")</f>
        <v>2027672449</v>
      </c>
    </row>
    <row r="808" spans="1:12" x14ac:dyDescent="0.35">
      <c r="A808" t="str">
        <f t="shared" si="292"/>
        <v>NAVAL RESEARCH LABORATORY</v>
      </c>
      <c r="B808" t="str">
        <f t="shared" si="302"/>
        <v>4555 OVERLOOK AVE SW</v>
      </c>
      <c r="C808" t="str">
        <f t="shared" si="303"/>
        <v>CODE 5715</v>
      </c>
      <c r="D808" t="str">
        <f t="shared" si="293"/>
        <v>WASHINGTON</v>
      </c>
      <c r="E808" t="str">
        <f t="shared" si="294"/>
        <v>DC</v>
      </c>
      <c r="F808" t="str">
        <f t="shared" si="295"/>
        <v>203750001</v>
      </c>
      <c r="G808" t="str">
        <f>T("4555 OVERLOOK AVENUE SW")</f>
        <v>4555 OVERLOOK AVENUE SW</v>
      </c>
      <c r="H808" t="str">
        <f>T("CODE 5715")</f>
        <v>CODE 5715</v>
      </c>
      <c r="I808" t="str">
        <f t="shared" si="300"/>
        <v>WASHINGTON</v>
      </c>
      <c r="J808" t="str">
        <f t="shared" si="301"/>
        <v>DC</v>
      </c>
      <c r="K808" t="str">
        <f>T("2024045452")</f>
        <v>2024045452</v>
      </c>
      <c r="L808" t="str">
        <f>T("2024041223")</f>
        <v>2024041223</v>
      </c>
    </row>
    <row r="809" spans="1:12" x14ac:dyDescent="0.35">
      <c r="A809" t="str">
        <f t="shared" si="292"/>
        <v>NAVAL RESEARCH LABORATORY</v>
      </c>
      <c r="B809" t="str">
        <f t="shared" si="302"/>
        <v>4555 OVERLOOK AVE SW</v>
      </c>
      <c r="C809" t="str">
        <f>T("CODE 5731")</f>
        <v>CODE 5731</v>
      </c>
      <c r="D809" t="str">
        <f t="shared" si="293"/>
        <v>WASHINGTON</v>
      </c>
      <c r="E809" t="str">
        <f t="shared" si="294"/>
        <v>DC</v>
      </c>
      <c r="F809" t="str">
        <f t="shared" si="295"/>
        <v>203750001</v>
      </c>
      <c r="G809" t="str">
        <f>T("4555 OVERLOOK AVE SW")</f>
        <v>4555 OVERLOOK AVE SW</v>
      </c>
      <c r="H809" t="str">
        <f>T("CODE 5731")</f>
        <v>CODE 5731</v>
      </c>
      <c r="I809" t="str">
        <f t="shared" si="300"/>
        <v>WASHINGTON</v>
      </c>
      <c r="J809" t="str">
        <f t="shared" si="301"/>
        <v>DC</v>
      </c>
      <c r="K809" t="str">
        <f>T("2024047661")</f>
        <v>2024047661</v>
      </c>
      <c r="L809" t="str">
        <f>T("2024043014")</f>
        <v>2024043014</v>
      </c>
    </row>
    <row r="810" spans="1:12" x14ac:dyDescent="0.35">
      <c r="A810" t="str">
        <f t="shared" si="292"/>
        <v>NAVAL RESEARCH LABORATORY</v>
      </c>
      <c r="B810" t="str">
        <f t="shared" si="302"/>
        <v>4555 OVERLOOK AVE SW</v>
      </c>
      <c r="C810" t="str">
        <f>T("CODE 5731")</f>
        <v>CODE 5731</v>
      </c>
      <c r="D810" t="str">
        <f t="shared" si="293"/>
        <v>WASHINGTON</v>
      </c>
      <c r="E810" t="str">
        <f t="shared" si="294"/>
        <v>DC</v>
      </c>
      <c r="F810" t="str">
        <f t="shared" si="295"/>
        <v>203750001</v>
      </c>
      <c r="G810" t="str">
        <f>T("4555 OVERLOOK AVENUE SW")</f>
        <v>4555 OVERLOOK AVENUE SW</v>
      </c>
      <c r="H810" t="str">
        <f>T("CODE 5730")</f>
        <v>CODE 5730</v>
      </c>
      <c r="I810" t="str">
        <f t="shared" si="300"/>
        <v>WASHINGTON</v>
      </c>
      <c r="J810" t="str">
        <f t="shared" si="301"/>
        <v>DC</v>
      </c>
      <c r="K810" t="str">
        <f>T("000000000000000000")</f>
        <v>000000000000000000</v>
      </c>
      <c r="L810" t="str">
        <f>T("2027673024")</f>
        <v>2027673024</v>
      </c>
    </row>
    <row r="811" spans="1:12" x14ac:dyDescent="0.35">
      <c r="A811" t="str">
        <f t="shared" si="292"/>
        <v>NAVAL RESEARCH LABORATORY</v>
      </c>
      <c r="B811" t="str">
        <f t="shared" si="302"/>
        <v>4555 OVERLOOK AVE SW</v>
      </c>
      <c r="C811" t="str">
        <f>T("CODE 5731")</f>
        <v>CODE 5731</v>
      </c>
      <c r="D811" t="str">
        <f t="shared" si="293"/>
        <v>WASHINGTON</v>
      </c>
      <c r="E811" t="str">
        <f t="shared" si="294"/>
        <v>DC</v>
      </c>
      <c r="F811" t="str">
        <f t="shared" si="295"/>
        <v>203750001</v>
      </c>
      <c r="G811" t="str">
        <f>T("4555 OVERLOOK AVENUE SW")</f>
        <v>4555 OVERLOOK AVENUE SW</v>
      </c>
      <c r="H811" t="str">
        <f>T("CODE 5730")</f>
        <v>CODE 5730</v>
      </c>
      <c r="I811" t="str">
        <f t="shared" si="300"/>
        <v>WASHINGTON</v>
      </c>
      <c r="J811" t="str">
        <f t="shared" si="301"/>
        <v>DC</v>
      </c>
      <c r="K811" t="str">
        <f>T("000000000000000000")</f>
        <v>000000000000000000</v>
      </c>
      <c r="L811" t="str">
        <f>T("2027676194")</f>
        <v>2027676194</v>
      </c>
    </row>
    <row r="812" spans="1:12" x14ac:dyDescent="0.35">
      <c r="A812" t="str">
        <f t="shared" si="292"/>
        <v>NAVAL RESEARCH LABORATORY</v>
      </c>
      <c r="B812" t="str">
        <f t="shared" si="302"/>
        <v>4555 OVERLOOK AVE SW</v>
      </c>
      <c r="C812" t="str">
        <f>T("CODE 5731")</f>
        <v>CODE 5731</v>
      </c>
      <c r="D812" t="str">
        <f t="shared" si="293"/>
        <v>WASHINGTON</v>
      </c>
      <c r="E812" t="str">
        <f t="shared" si="294"/>
        <v>DC</v>
      </c>
      <c r="F812" t="str">
        <f t="shared" si="295"/>
        <v>203750001</v>
      </c>
      <c r="G812" t="str">
        <f>T("4555 OVERLOOK AVENUE SW")</f>
        <v>4555 OVERLOOK AVENUE SW</v>
      </c>
      <c r="H812" t="str">
        <f>T("CODE 5732")</f>
        <v>CODE 5732</v>
      </c>
      <c r="I812" t="str">
        <f t="shared" si="300"/>
        <v>WASHINGTON</v>
      </c>
      <c r="J812" t="str">
        <f t="shared" si="301"/>
        <v>DC</v>
      </c>
      <c r="K812" t="str">
        <f>T("2024047661")</f>
        <v>2024047661</v>
      </c>
      <c r="L812" t="str">
        <f>T("2024047652")</f>
        <v>2024047652</v>
      </c>
    </row>
    <row r="813" spans="1:12" x14ac:dyDescent="0.35">
      <c r="A813" t="str">
        <f t="shared" si="292"/>
        <v>NAVAL RESEARCH LABORATORY</v>
      </c>
      <c r="B813" t="str">
        <f t="shared" si="302"/>
        <v>4555 OVERLOOK AVE SW</v>
      </c>
      <c r="C813" t="str">
        <f>T("CODE 5770")</f>
        <v>CODE 5770</v>
      </c>
      <c r="D813" t="str">
        <f t="shared" si="293"/>
        <v>WASHINGTON</v>
      </c>
      <c r="E813" t="str">
        <f t="shared" si="294"/>
        <v>DC</v>
      </c>
      <c r="F813" t="str">
        <f t="shared" si="295"/>
        <v>203750001</v>
      </c>
      <c r="G813" t="str">
        <f>T("4555 OVERLOOK AVE SW")</f>
        <v>4555 OVERLOOK AVE SW</v>
      </c>
      <c r="H813" t="str">
        <f>T("CODE 5770")</f>
        <v>CODE 5770</v>
      </c>
      <c r="I813" t="str">
        <f t="shared" si="300"/>
        <v>WASHINGTON</v>
      </c>
      <c r="J813" t="str">
        <f t="shared" si="301"/>
        <v>DC</v>
      </c>
      <c r="K813" t="str">
        <f>T("202-767-6767")</f>
        <v>202-767-6767</v>
      </c>
      <c r="L813" t="str">
        <f>T("2024047619")</f>
        <v>2024047619</v>
      </c>
    </row>
    <row r="814" spans="1:12" x14ac:dyDescent="0.35">
      <c r="A814" t="str">
        <f t="shared" si="292"/>
        <v>NAVAL RESEARCH LABORATORY</v>
      </c>
      <c r="B814" t="str">
        <f t="shared" si="302"/>
        <v>4555 OVERLOOK AVE SW</v>
      </c>
      <c r="C814" t="str">
        <f>T("CODE 6040.2")</f>
        <v>CODE 6040.2</v>
      </c>
      <c r="D814" t="str">
        <f t="shared" si="293"/>
        <v>WASHINGTON</v>
      </c>
      <c r="E814" t="str">
        <f t="shared" si="294"/>
        <v>DC</v>
      </c>
      <c r="F814" t="str">
        <f t="shared" si="295"/>
        <v>203750001</v>
      </c>
      <c r="G814" t="str">
        <f>T("4555 OVERLOOK AVE SW")</f>
        <v>4555 OVERLOOK AVE SW</v>
      </c>
      <c r="H814" t="str">
        <f>T("CODE 6040.2")</f>
        <v>CODE 6040.2</v>
      </c>
      <c r="I814" t="str">
        <f t="shared" si="300"/>
        <v>WASHINGTON</v>
      </c>
      <c r="J814" t="str">
        <f t="shared" si="301"/>
        <v>DC</v>
      </c>
      <c r="K814" t="str">
        <f>T("2024043712")</f>
        <v>2024043712</v>
      </c>
      <c r="L814" t="str">
        <f>T("2027678713")</f>
        <v>2027678713</v>
      </c>
    </row>
    <row r="815" spans="1:12" x14ac:dyDescent="0.35">
      <c r="A815" t="str">
        <f t="shared" si="292"/>
        <v>NAVAL RESEARCH LABORATORY</v>
      </c>
      <c r="B815" t="str">
        <f t="shared" si="302"/>
        <v>4555 OVERLOOK AVE SW</v>
      </c>
      <c r="C815" t="str">
        <f>T("CODE 6040.2")</f>
        <v>CODE 6040.2</v>
      </c>
      <c r="D815" t="str">
        <f t="shared" si="293"/>
        <v>WASHINGTON</v>
      </c>
      <c r="E815" t="str">
        <f t="shared" si="294"/>
        <v>DC</v>
      </c>
      <c r="F815" t="str">
        <f t="shared" si="295"/>
        <v>203750001</v>
      </c>
      <c r="G815" t="str">
        <f>T("4555 OVERLOOK AVENUE SW")</f>
        <v>4555 OVERLOOK AVENUE SW</v>
      </c>
      <c r="H815" t="str">
        <f>T("CODE 6040")</f>
        <v>CODE 6040</v>
      </c>
      <c r="I815" t="str">
        <f t="shared" si="300"/>
        <v>WASHINGTON</v>
      </c>
      <c r="J815" t="str">
        <f t="shared" si="301"/>
        <v>DC</v>
      </c>
      <c r="K815" t="str">
        <f>T("2024043712")</f>
        <v>2024043712</v>
      </c>
      <c r="L815" t="str">
        <f>T("2024041064")</f>
        <v>2024041064</v>
      </c>
    </row>
    <row r="816" spans="1:12" x14ac:dyDescent="0.35">
      <c r="A816" t="str">
        <f t="shared" si="292"/>
        <v>NAVAL RESEARCH LABORATORY</v>
      </c>
      <c r="B816" t="str">
        <f t="shared" si="302"/>
        <v>4555 OVERLOOK AVE SW</v>
      </c>
      <c r="C816" t="str">
        <f>T("CODE 6040.2")</f>
        <v>CODE 6040.2</v>
      </c>
      <c r="D816" t="str">
        <f t="shared" si="293"/>
        <v>WASHINGTON</v>
      </c>
      <c r="E816" t="str">
        <f t="shared" si="294"/>
        <v>DC</v>
      </c>
      <c r="F816" t="str">
        <f t="shared" si="295"/>
        <v>203750001</v>
      </c>
      <c r="G816" t="str">
        <f>T("4555 OVERLOOK AVENUE SW")</f>
        <v>4555 OVERLOOK AVENUE SW</v>
      </c>
      <c r="H816" t="str">
        <f>T("CODE 6042")</f>
        <v>CODE 6042</v>
      </c>
      <c r="I816" t="str">
        <f t="shared" si="300"/>
        <v>WASHINGTON</v>
      </c>
      <c r="J816" t="str">
        <f t="shared" si="301"/>
        <v>DC</v>
      </c>
      <c r="K816" t="str">
        <f>T("2027674798")</f>
        <v>2027674798</v>
      </c>
      <c r="L816" t="str">
        <f>T("2024041063")</f>
        <v>2024041063</v>
      </c>
    </row>
    <row r="817" spans="1:12" x14ac:dyDescent="0.35">
      <c r="A817" t="str">
        <f t="shared" si="292"/>
        <v>NAVAL RESEARCH LABORATORY</v>
      </c>
      <c r="B817" t="str">
        <f t="shared" si="302"/>
        <v>4555 OVERLOOK AVE SW</v>
      </c>
      <c r="C817" t="str">
        <f>T("CODE 6040.2")</f>
        <v>CODE 6040.2</v>
      </c>
      <c r="D817" t="str">
        <f t="shared" si="293"/>
        <v>WASHINGTON</v>
      </c>
      <c r="E817" t="str">
        <f t="shared" si="294"/>
        <v>DC</v>
      </c>
      <c r="F817" t="str">
        <f t="shared" si="295"/>
        <v>203750001</v>
      </c>
      <c r="G817" t="str">
        <f>T("4555 OVERLOOK AVENUE SW")</f>
        <v>4555 OVERLOOK AVENUE SW</v>
      </c>
      <c r="H817" t="str">
        <f>T("CODE 6043")</f>
        <v>CODE 6043</v>
      </c>
      <c r="I817" t="str">
        <f t="shared" si="300"/>
        <v>WASHINGTON</v>
      </c>
      <c r="J817" t="str">
        <f t="shared" si="301"/>
        <v>DC</v>
      </c>
      <c r="K817" t="str">
        <f>T("2024043712")</f>
        <v>2024043712</v>
      </c>
      <c r="L817" t="str">
        <f>T("2027676182")</f>
        <v>2027676182</v>
      </c>
    </row>
    <row r="818" spans="1:12" x14ac:dyDescent="0.35">
      <c r="A818" t="str">
        <f t="shared" si="292"/>
        <v>NAVAL RESEARCH LABORATORY</v>
      </c>
      <c r="B818" t="str">
        <f t="shared" si="302"/>
        <v>4555 OVERLOOK AVE SW</v>
      </c>
      <c r="C818" t="str">
        <f t="shared" ref="C818:C825" si="304">T("CODE 6110")</f>
        <v>CODE 6110</v>
      </c>
      <c r="D818" t="str">
        <f t="shared" si="293"/>
        <v>WASHINGTON</v>
      </c>
      <c r="E818" t="str">
        <f t="shared" si="294"/>
        <v>DC</v>
      </c>
      <c r="F818" t="str">
        <f t="shared" si="295"/>
        <v>203750001</v>
      </c>
      <c r="G818" t="str">
        <f>T("4555 OVERLOOK AVE SW")</f>
        <v>4555 OVERLOOK AVE SW</v>
      </c>
      <c r="H818" t="str">
        <f>T("CODE 6102")</f>
        <v>CODE 6102</v>
      </c>
      <c r="I818" t="str">
        <f t="shared" si="300"/>
        <v>WASHINGTON</v>
      </c>
      <c r="J818" t="str">
        <f t="shared" si="301"/>
        <v>DC</v>
      </c>
      <c r="K818" t="str">
        <f>T("000000000000000000")</f>
        <v>000000000000000000</v>
      </c>
      <c r="L818" t="str">
        <f>T("2027673546")</f>
        <v>2027673546</v>
      </c>
    </row>
    <row r="819" spans="1:12" x14ac:dyDescent="0.35">
      <c r="A819" t="str">
        <f t="shared" si="292"/>
        <v>NAVAL RESEARCH LABORATORY</v>
      </c>
      <c r="B819" t="str">
        <f t="shared" si="302"/>
        <v>4555 OVERLOOK AVE SW</v>
      </c>
      <c r="C819" t="str">
        <f t="shared" si="304"/>
        <v>CODE 6110</v>
      </c>
      <c r="D819" t="str">
        <f t="shared" si="293"/>
        <v>WASHINGTON</v>
      </c>
      <c r="E819" t="str">
        <f t="shared" si="294"/>
        <v>DC</v>
      </c>
      <c r="F819" t="str">
        <f t="shared" si="295"/>
        <v>203750001</v>
      </c>
      <c r="G819" t="str">
        <f>T("4555 OVERLOOK AVE SW")</f>
        <v>4555 OVERLOOK AVE SW</v>
      </c>
      <c r="H819" t="str">
        <f>T("CODE 6102 BLDG 207 RM 103")</f>
        <v>CODE 6102 BLDG 207 RM 103</v>
      </c>
      <c r="I819" t="str">
        <f t="shared" si="300"/>
        <v>WASHINGTON</v>
      </c>
      <c r="J819" t="str">
        <f t="shared" si="301"/>
        <v>DC</v>
      </c>
      <c r="K819" t="str">
        <f>T("000000000000000000")</f>
        <v>000000000000000000</v>
      </c>
      <c r="L819" t="str">
        <f>T("2027672169")</f>
        <v>2027672169</v>
      </c>
    </row>
    <row r="820" spans="1:12" x14ac:dyDescent="0.35">
      <c r="A820" t="str">
        <f t="shared" si="292"/>
        <v>NAVAL RESEARCH LABORATORY</v>
      </c>
      <c r="B820" t="str">
        <f t="shared" si="302"/>
        <v>4555 OVERLOOK AVE SW</v>
      </c>
      <c r="C820" t="str">
        <f t="shared" si="304"/>
        <v>CODE 6110</v>
      </c>
      <c r="D820" t="str">
        <f t="shared" si="293"/>
        <v>WASHINGTON</v>
      </c>
      <c r="E820" t="str">
        <f t="shared" si="294"/>
        <v>DC</v>
      </c>
      <c r="F820" t="str">
        <f t="shared" si="295"/>
        <v>203750001</v>
      </c>
      <c r="G820" t="str">
        <f>T("4555 OVERLOOK AVE SW")</f>
        <v>4555 OVERLOOK AVE SW</v>
      </c>
      <c r="H820" t="str">
        <f>T("CODE 6110")</f>
        <v>CODE 6110</v>
      </c>
      <c r="I820" t="str">
        <f t="shared" si="300"/>
        <v>WASHINGTON</v>
      </c>
      <c r="J820" t="str">
        <f t="shared" si="301"/>
        <v>DC</v>
      </c>
      <c r="K820" t="str">
        <f>T("")</f>
        <v/>
      </c>
      <c r="L820" t="str">
        <f>T("2027673026")</f>
        <v>2027673026</v>
      </c>
    </row>
    <row r="821" spans="1:12" x14ac:dyDescent="0.35">
      <c r="A821" t="str">
        <f t="shared" si="292"/>
        <v>NAVAL RESEARCH LABORATORY</v>
      </c>
      <c r="B821" t="str">
        <f t="shared" si="302"/>
        <v>4555 OVERLOOK AVE SW</v>
      </c>
      <c r="C821" t="str">
        <f t="shared" si="304"/>
        <v>CODE 6110</v>
      </c>
      <c r="D821" t="str">
        <f t="shared" si="293"/>
        <v>WASHINGTON</v>
      </c>
      <c r="E821" t="str">
        <f t="shared" si="294"/>
        <v>DC</v>
      </c>
      <c r="F821" t="str">
        <f t="shared" si="295"/>
        <v>203750001</v>
      </c>
      <c r="G821" t="str">
        <f>T("4555 OVERLOOK AVENUE SW")</f>
        <v>4555 OVERLOOK AVENUE SW</v>
      </c>
      <c r="H821" t="str">
        <f>T("")</f>
        <v/>
      </c>
      <c r="I821" t="str">
        <f t="shared" si="300"/>
        <v>WASHINGTON</v>
      </c>
      <c r="J821" t="str">
        <f t="shared" si="301"/>
        <v>DC</v>
      </c>
      <c r="K821" t="str">
        <f>T("2027671525")</f>
        <v>2027671525</v>
      </c>
      <c r="L821" t="str">
        <f>T("2024044150")</f>
        <v>2024044150</v>
      </c>
    </row>
    <row r="822" spans="1:12" x14ac:dyDescent="0.35">
      <c r="A822" t="str">
        <f t="shared" si="292"/>
        <v>NAVAL RESEARCH LABORATORY</v>
      </c>
      <c r="B822" t="str">
        <f t="shared" si="302"/>
        <v>4555 OVERLOOK AVE SW</v>
      </c>
      <c r="C822" t="str">
        <f t="shared" si="304"/>
        <v>CODE 6110</v>
      </c>
      <c r="D822" t="str">
        <f t="shared" si="293"/>
        <v>WASHINGTON</v>
      </c>
      <c r="E822" t="str">
        <f t="shared" si="294"/>
        <v>DC</v>
      </c>
      <c r="F822" t="str">
        <f t="shared" si="295"/>
        <v>203750001</v>
      </c>
      <c r="G822" t="str">
        <f>T("4555 OVERLOOK AVENUE SW")</f>
        <v>4555 OVERLOOK AVENUE SW</v>
      </c>
      <c r="H822" t="str">
        <f>T("CODE 6102")</f>
        <v>CODE 6102</v>
      </c>
      <c r="I822" t="str">
        <f t="shared" si="300"/>
        <v>WASHINGTON</v>
      </c>
      <c r="J822" t="str">
        <f t="shared" si="301"/>
        <v>DC</v>
      </c>
      <c r="K822" t="str">
        <f>T("2027670062")</f>
        <v>2027670062</v>
      </c>
      <c r="L822" t="str">
        <f>T("2027673546")</f>
        <v>2027673546</v>
      </c>
    </row>
    <row r="823" spans="1:12" x14ac:dyDescent="0.35">
      <c r="A823" t="str">
        <f t="shared" si="292"/>
        <v>NAVAL RESEARCH LABORATORY</v>
      </c>
      <c r="B823" t="str">
        <f t="shared" si="302"/>
        <v>4555 OVERLOOK AVE SW</v>
      </c>
      <c r="C823" t="str">
        <f t="shared" si="304"/>
        <v>CODE 6110</v>
      </c>
      <c r="D823" t="str">
        <f t="shared" si="293"/>
        <v>WASHINGTON</v>
      </c>
      <c r="E823" t="str">
        <f t="shared" si="294"/>
        <v>DC</v>
      </c>
      <c r="F823" t="str">
        <f t="shared" si="295"/>
        <v>203750001</v>
      </c>
      <c r="G823" t="str">
        <f>T("4555 OVERLOOK AVENUE SW")</f>
        <v>4555 OVERLOOK AVENUE SW</v>
      </c>
      <c r="H823" t="str">
        <f>T("CODE 6130")</f>
        <v>CODE 6130</v>
      </c>
      <c r="I823" t="str">
        <f t="shared" si="300"/>
        <v>WASHINGTON</v>
      </c>
      <c r="J823" t="str">
        <f t="shared" si="301"/>
        <v>DC</v>
      </c>
      <c r="K823" t="str">
        <f>T("000000000000000000")</f>
        <v>000000000000000000</v>
      </c>
      <c r="L823" t="str">
        <f>T("2027672465")</f>
        <v>2027672465</v>
      </c>
    </row>
    <row r="824" spans="1:12" x14ac:dyDescent="0.35">
      <c r="A824" t="str">
        <f t="shared" si="292"/>
        <v>NAVAL RESEARCH LABORATORY</v>
      </c>
      <c r="B824" t="str">
        <f t="shared" si="302"/>
        <v>4555 OVERLOOK AVE SW</v>
      </c>
      <c r="C824" t="str">
        <f t="shared" si="304"/>
        <v>CODE 6110</v>
      </c>
      <c r="D824" t="str">
        <f t="shared" si="293"/>
        <v>WASHINGTON</v>
      </c>
      <c r="E824" t="str">
        <f t="shared" si="294"/>
        <v>DC</v>
      </c>
      <c r="F824" t="str">
        <f t="shared" si="295"/>
        <v>203750001</v>
      </c>
      <c r="G824" t="str">
        <f>T("4555 OVERLOOK AVENUE SW")</f>
        <v>4555 OVERLOOK AVENUE SW</v>
      </c>
      <c r="H824" t="str">
        <f>T("CODE 6177")</f>
        <v>CODE 6177</v>
      </c>
      <c r="I824" t="str">
        <f t="shared" si="300"/>
        <v>WASHINGTON</v>
      </c>
      <c r="J824" t="str">
        <f t="shared" si="301"/>
        <v>DC</v>
      </c>
      <c r="K824" t="str">
        <f>T("000000000000000000")</f>
        <v>000000000000000000</v>
      </c>
      <c r="L824" t="str">
        <f>T("2027672519")</f>
        <v>2027672519</v>
      </c>
    </row>
    <row r="825" spans="1:12" x14ac:dyDescent="0.35">
      <c r="A825" t="str">
        <f t="shared" si="292"/>
        <v>NAVAL RESEARCH LABORATORY</v>
      </c>
      <c r="B825" t="str">
        <f t="shared" si="302"/>
        <v>4555 OVERLOOK AVE SW</v>
      </c>
      <c r="C825" t="str">
        <f t="shared" si="304"/>
        <v>CODE 6110</v>
      </c>
      <c r="D825" t="str">
        <f t="shared" si="293"/>
        <v>WASHINGTON</v>
      </c>
      <c r="E825" t="str">
        <f t="shared" si="294"/>
        <v>DC</v>
      </c>
      <c r="F825" t="str">
        <f t="shared" si="295"/>
        <v>203750001</v>
      </c>
      <c r="G825" t="str">
        <f>T("4555 OVERLOOK AVENUE SW")</f>
        <v>4555 OVERLOOK AVENUE SW</v>
      </c>
      <c r="H825" t="str">
        <f>T("CODE 6186")</f>
        <v>CODE 6186</v>
      </c>
      <c r="I825" t="str">
        <f t="shared" si="300"/>
        <v>WASHINGTON</v>
      </c>
      <c r="J825" t="str">
        <f t="shared" si="301"/>
        <v>DC</v>
      </c>
      <c r="K825" t="str">
        <f>T("2514330354")</f>
        <v>2514330354</v>
      </c>
      <c r="L825" t="str">
        <f>T("2514330354")</f>
        <v>2514330354</v>
      </c>
    </row>
    <row r="826" spans="1:12" x14ac:dyDescent="0.35">
      <c r="A826" t="str">
        <f t="shared" si="292"/>
        <v>NAVAL RESEARCH LABORATORY</v>
      </c>
      <c r="B826" t="str">
        <f t="shared" si="302"/>
        <v>4555 OVERLOOK AVE SW</v>
      </c>
      <c r="C826" t="str">
        <f t="shared" ref="C826:C831" si="305">T("CODE 6302")</f>
        <v>CODE 6302</v>
      </c>
      <c r="D826" t="str">
        <f t="shared" si="293"/>
        <v>WASHINGTON</v>
      </c>
      <c r="E826" t="str">
        <f t="shared" si="294"/>
        <v>DC</v>
      </c>
      <c r="F826" t="str">
        <f t="shared" si="295"/>
        <v>203750001</v>
      </c>
      <c r="G826" t="str">
        <f>T("4555 OVERLOOK AVE SW")</f>
        <v>4555 OVERLOOK AVE SW</v>
      </c>
      <c r="H826" t="str">
        <f>T("CODE 6302")</f>
        <v>CODE 6302</v>
      </c>
      <c r="I826" t="str">
        <f t="shared" si="300"/>
        <v>WASHINGTON</v>
      </c>
      <c r="J826" t="str">
        <f t="shared" si="301"/>
        <v>DC</v>
      </c>
      <c r="K826" t="str">
        <f>T("202 767 4470")</f>
        <v>202 767 4470</v>
      </c>
      <c r="L826" t="str">
        <f>T("2027672458")</f>
        <v>2027672458</v>
      </c>
    </row>
    <row r="827" spans="1:12" x14ac:dyDescent="0.35">
      <c r="A827" t="str">
        <f t="shared" si="292"/>
        <v>NAVAL RESEARCH LABORATORY</v>
      </c>
      <c r="B827" t="str">
        <f t="shared" si="302"/>
        <v>4555 OVERLOOK AVE SW</v>
      </c>
      <c r="C827" t="str">
        <f t="shared" si="305"/>
        <v>CODE 6302</v>
      </c>
      <c r="D827" t="str">
        <f t="shared" si="293"/>
        <v>WASHINGTON</v>
      </c>
      <c r="E827" t="str">
        <f t="shared" si="294"/>
        <v>DC</v>
      </c>
      <c r="F827" t="str">
        <f t="shared" si="295"/>
        <v>203750001</v>
      </c>
      <c r="G827" t="str">
        <f>T("4555 OVERLOOK AVE SW")</f>
        <v>4555 OVERLOOK AVE SW</v>
      </c>
      <c r="H827" t="str">
        <f>T("CODE 6350 BLDG 28 RM 202")</f>
        <v>CODE 6350 BLDG 28 RM 202</v>
      </c>
      <c r="I827" t="str">
        <f t="shared" si="300"/>
        <v>WASHINGTON</v>
      </c>
      <c r="J827" t="str">
        <f t="shared" si="301"/>
        <v>DC</v>
      </c>
      <c r="K827" t="str">
        <f>T("2024041011")</f>
        <v>2024041011</v>
      </c>
      <c r="L827" t="str">
        <f>T("2027672442")</f>
        <v>2027672442</v>
      </c>
    </row>
    <row r="828" spans="1:12" x14ac:dyDescent="0.35">
      <c r="A828" t="str">
        <f t="shared" si="292"/>
        <v>NAVAL RESEARCH LABORATORY</v>
      </c>
      <c r="B828" t="str">
        <f t="shared" si="302"/>
        <v>4555 OVERLOOK AVE SW</v>
      </c>
      <c r="C828" t="str">
        <f t="shared" si="305"/>
        <v>CODE 6302</v>
      </c>
      <c r="D828" t="str">
        <f t="shared" si="293"/>
        <v>WASHINGTON</v>
      </c>
      <c r="E828" t="str">
        <f t="shared" si="294"/>
        <v>DC</v>
      </c>
      <c r="F828" t="str">
        <f t="shared" si="295"/>
        <v>203750001</v>
      </c>
      <c r="G828" t="str">
        <f>T("4555 OVERLOOK AVE SW")</f>
        <v>4555 OVERLOOK AVE SW</v>
      </c>
      <c r="H828" t="str">
        <f>T("CODE 6390")</f>
        <v>CODE 6390</v>
      </c>
      <c r="I828" t="str">
        <f t="shared" si="300"/>
        <v>WASHINGTON</v>
      </c>
      <c r="J828" t="str">
        <f t="shared" si="301"/>
        <v>DC</v>
      </c>
      <c r="K828" t="str">
        <f>T("2024047546")</f>
        <v>2024047546</v>
      </c>
      <c r="L828" t="str">
        <f>T("2024044419")</f>
        <v>2024044419</v>
      </c>
    </row>
    <row r="829" spans="1:12" x14ac:dyDescent="0.35">
      <c r="A829" t="str">
        <f t="shared" si="292"/>
        <v>NAVAL RESEARCH LABORATORY</v>
      </c>
      <c r="B829" t="str">
        <f t="shared" si="302"/>
        <v>4555 OVERLOOK AVE SW</v>
      </c>
      <c r="C829" t="str">
        <f t="shared" si="305"/>
        <v>CODE 6302</v>
      </c>
      <c r="D829" t="str">
        <f t="shared" si="293"/>
        <v>WASHINGTON</v>
      </c>
      <c r="E829" t="str">
        <f t="shared" si="294"/>
        <v>DC</v>
      </c>
      <c r="F829" t="str">
        <f t="shared" si="295"/>
        <v>203750001</v>
      </c>
      <c r="G829" t="str">
        <f>T("4555 OVERLOOK AVENUE SW")</f>
        <v>4555 OVERLOOK AVENUE SW</v>
      </c>
      <c r="H829" t="str">
        <f>T("CODE 6302")</f>
        <v>CODE 6302</v>
      </c>
      <c r="I829" t="str">
        <f t="shared" si="300"/>
        <v>WASHINGTON</v>
      </c>
      <c r="J829" t="str">
        <f t="shared" si="301"/>
        <v>DC</v>
      </c>
      <c r="K829" t="str">
        <f>T("000000000000000000")</f>
        <v>000000000000000000</v>
      </c>
      <c r="L829" t="str">
        <f>T("2027673246")</f>
        <v>2027673246</v>
      </c>
    </row>
    <row r="830" spans="1:12" x14ac:dyDescent="0.35">
      <c r="A830" t="str">
        <f t="shared" si="292"/>
        <v>NAVAL RESEARCH LABORATORY</v>
      </c>
      <c r="B830" t="str">
        <f t="shared" si="302"/>
        <v>4555 OVERLOOK AVE SW</v>
      </c>
      <c r="C830" t="str">
        <f t="shared" si="305"/>
        <v>CODE 6302</v>
      </c>
      <c r="D830" t="str">
        <f t="shared" si="293"/>
        <v>WASHINGTON</v>
      </c>
      <c r="E830" t="str">
        <f t="shared" si="294"/>
        <v>DC</v>
      </c>
      <c r="F830" t="str">
        <f t="shared" si="295"/>
        <v>203750001</v>
      </c>
      <c r="G830" t="str">
        <f>T("4555 OVERLOOK AVENUE SW")</f>
        <v>4555 OVERLOOK AVENUE SW</v>
      </c>
      <c r="H830" t="str">
        <f>T("CODE 6302")</f>
        <v>CODE 6302</v>
      </c>
      <c r="I830" t="str">
        <f t="shared" si="300"/>
        <v>WASHINGTON</v>
      </c>
      <c r="J830" t="str">
        <f t="shared" si="301"/>
        <v>DC</v>
      </c>
      <c r="K830" t="str">
        <f>T("000000000000000000")</f>
        <v>000000000000000000</v>
      </c>
      <c r="L830" t="str">
        <f>T("2027674163")</f>
        <v>2027674163</v>
      </c>
    </row>
    <row r="831" spans="1:12" x14ac:dyDescent="0.35">
      <c r="A831" t="str">
        <f t="shared" si="292"/>
        <v>NAVAL RESEARCH LABORATORY</v>
      </c>
      <c r="B831" t="str">
        <f t="shared" si="302"/>
        <v>4555 OVERLOOK AVE SW</v>
      </c>
      <c r="C831" t="str">
        <f t="shared" si="305"/>
        <v>CODE 6302</v>
      </c>
      <c r="D831" t="str">
        <f t="shared" si="293"/>
        <v>WASHINGTON</v>
      </c>
      <c r="E831" t="str">
        <f t="shared" si="294"/>
        <v>DC</v>
      </c>
      <c r="F831" t="str">
        <f t="shared" si="295"/>
        <v>203750001</v>
      </c>
      <c r="G831" t="str">
        <f>T("4555 OVERLOOK AVENUE SW")</f>
        <v>4555 OVERLOOK AVENUE SW</v>
      </c>
      <c r="H831" t="str">
        <f>T("CODE 6390")</f>
        <v>CODE 6390</v>
      </c>
      <c r="I831" t="str">
        <f t="shared" si="300"/>
        <v>WASHINGTON</v>
      </c>
      <c r="J831" t="str">
        <f t="shared" si="301"/>
        <v>DC</v>
      </c>
      <c r="K831" t="str">
        <f>T("000000000000000000")</f>
        <v>000000000000000000</v>
      </c>
      <c r="L831" t="str">
        <f>T("2027674800")</f>
        <v>2027674800</v>
      </c>
    </row>
    <row r="832" spans="1:12" x14ac:dyDescent="0.35">
      <c r="A832" t="str">
        <f t="shared" si="292"/>
        <v>NAVAL RESEARCH LABORATORY</v>
      </c>
      <c r="B832" t="str">
        <f t="shared" si="302"/>
        <v>4555 OVERLOOK AVE SW</v>
      </c>
      <c r="C832" t="str">
        <f>T("CODE 6721")</f>
        <v>CODE 6721</v>
      </c>
      <c r="D832" t="str">
        <f t="shared" si="293"/>
        <v>WASHINGTON</v>
      </c>
      <c r="E832" t="str">
        <f t="shared" si="294"/>
        <v>DC</v>
      </c>
      <c r="F832" t="str">
        <f t="shared" si="295"/>
        <v>203750001</v>
      </c>
      <c r="G832" t="str">
        <f>T("4555 OVERLOOK AVE S W")</f>
        <v>4555 OVERLOOK AVE S W</v>
      </c>
      <c r="H832" t="str">
        <f>T("CODE 6720")</f>
        <v>CODE 6720</v>
      </c>
      <c r="I832" t="str">
        <f t="shared" si="300"/>
        <v>WASHINGTON</v>
      </c>
      <c r="J832" t="str">
        <f t="shared" si="301"/>
        <v>DC</v>
      </c>
      <c r="K832" t="str">
        <f>T("2024047596")</f>
        <v>2024047596</v>
      </c>
      <c r="L832" t="str">
        <f>T("2027670163")</f>
        <v>2027670163</v>
      </c>
    </row>
    <row r="833" spans="1:12" x14ac:dyDescent="0.35">
      <c r="A833" t="str">
        <f t="shared" ref="A833:A896" si="306">T("NAVAL RESEARCH LABORATORY")</f>
        <v>NAVAL RESEARCH LABORATORY</v>
      </c>
      <c r="B833" t="str">
        <f t="shared" si="302"/>
        <v>4555 OVERLOOK AVE SW</v>
      </c>
      <c r="C833" t="str">
        <f>T("CODE 6721")</f>
        <v>CODE 6721</v>
      </c>
      <c r="D833" t="str">
        <f t="shared" si="293"/>
        <v>WASHINGTON</v>
      </c>
      <c r="E833" t="str">
        <f t="shared" si="294"/>
        <v>DC</v>
      </c>
      <c r="F833" t="str">
        <f t="shared" si="295"/>
        <v>203750001</v>
      </c>
      <c r="G833" t="str">
        <f t="shared" ref="G833:G839" si="307">T("4555 OVERLOOK AVE SW")</f>
        <v>4555 OVERLOOK AVE SW</v>
      </c>
      <c r="H833" t="str">
        <f>T("CODE 6721")</f>
        <v>CODE 6721</v>
      </c>
      <c r="I833" t="str">
        <f t="shared" si="300"/>
        <v>WASHINGTON</v>
      </c>
      <c r="J833" t="str">
        <f t="shared" si="301"/>
        <v>DC</v>
      </c>
      <c r="K833" t="str">
        <f>T("2024047596")</f>
        <v>2024047596</v>
      </c>
      <c r="L833" t="str">
        <f>T("2027673169")</f>
        <v>2027673169</v>
      </c>
    </row>
    <row r="834" spans="1:12" x14ac:dyDescent="0.35">
      <c r="A834" t="str">
        <f t="shared" si="306"/>
        <v>NAVAL RESEARCH LABORATORY</v>
      </c>
      <c r="B834" t="str">
        <f t="shared" si="302"/>
        <v>4555 OVERLOOK AVE SW</v>
      </c>
      <c r="C834" t="str">
        <f>T("CODE 6730")</f>
        <v>CODE 6730</v>
      </c>
      <c r="D834" t="str">
        <f t="shared" ref="D834:D897" si="308">T("WASHINGTON")</f>
        <v>WASHINGTON</v>
      </c>
      <c r="E834" t="str">
        <f t="shared" ref="E834:E897" si="309">T("DC")</f>
        <v>DC</v>
      </c>
      <c r="F834" t="str">
        <f t="shared" ref="F834:F895" si="310">T("203750001")</f>
        <v>203750001</v>
      </c>
      <c r="G834" t="str">
        <f t="shared" si="307"/>
        <v>4555 OVERLOOK AVE SW</v>
      </c>
      <c r="H834" t="str">
        <f>T("CODE 6730")</f>
        <v>CODE 6730</v>
      </c>
      <c r="I834" t="str">
        <f t="shared" si="300"/>
        <v>WASHINGTON</v>
      </c>
      <c r="J834" t="str">
        <f t="shared" si="301"/>
        <v>DC</v>
      </c>
      <c r="K834" t="str">
        <f>T("2027670046")</f>
        <v>2027670046</v>
      </c>
      <c r="L834" t="str">
        <f>T("2027670689")</f>
        <v>2027670689</v>
      </c>
    </row>
    <row r="835" spans="1:12" x14ac:dyDescent="0.35">
      <c r="A835" t="str">
        <f t="shared" si="306"/>
        <v>NAVAL RESEARCH LABORATORY</v>
      </c>
      <c r="B835" t="str">
        <f t="shared" si="302"/>
        <v>4555 OVERLOOK AVE SW</v>
      </c>
      <c r="C835" t="str">
        <f>T("CODE 6730")</f>
        <v>CODE 6730</v>
      </c>
      <c r="D835" t="str">
        <f t="shared" si="308"/>
        <v>WASHINGTON</v>
      </c>
      <c r="E835" t="str">
        <f t="shared" si="309"/>
        <v>DC</v>
      </c>
      <c r="F835" t="str">
        <f t="shared" si="310"/>
        <v>203750001</v>
      </c>
      <c r="G835" t="str">
        <f t="shared" si="307"/>
        <v>4555 OVERLOOK AVE SW</v>
      </c>
      <c r="H835" t="str">
        <f>T("CODE 6735")</f>
        <v>CODE 6735</v>
      </c>
      <c r="I835" t="str">
        <f t="shared" si="300"/>
        <v>WASHINGTON</v>
      </c>
      <c r="J835" t="str">
        <f t="shared" si="301"/>
        <v>DC</v>
      </c>
      <c r="K835" t="str">
        <f>T("000000000000000000")</f>
        <v>000000000000000000</v>
      </c>
      <c r="L835" t="str">
        <f>T("2027672730")</f>
        <v>2027672730</v>
      </c>
    </row>
    <row r="836" spans="1:12" x14ac:dyDescent="0.35">
      <c r="A836" t="str">
        <f t="shared" si="306"/>
        <v>NAVAL RESEARCH LABORATORY</v>
      </c>
      <c r="B836" t="str">
        <f t="shared" si="302"/>
        <v>4555 OVERLOOK AVE SW</v>
      </c>
      <c r="C836" t="str">
        <f>T("CODE 6730")</f>
        <v>CODE 6730</v>
      </c>
      <c r="D836" t="str">
        <f t="shared" si="308"/>
        <v>WASHINGTON</v>
      </c>
      <c r="E836" t="str">
        <f t="shared" si="309"/>
        <v>DC</v>
      </c>
      <c r="F836" t="str">
        <f t="shared" si="310"/>
        <v>203750001</v>
      </c>
      <c r="G836" t="str">
        <f t="shared" si="307"/>
        <v>4555 OVERLOOK AVE SW</v>
      </c>
      <c r="H836" t="str">
        <f>T("WASHINGTON DC")</f>
        <v>WASHINGTON DC</v>
      </c>
      <c r="I836" t="str">
        <f t="shared" si="300"/>
        <v>WASHINGTON</v>
      </c>
      <c r="J836" t="str">
        <f t="shared" si="301"/>
        <v>DC</v>
      </c>
      <c r="K836" t="str">
        <f>T("2027670046")</f>
        <v>2027670046</v>
      </c>
      <c r="L836" t="str">
        <f>T("2027677530")</f>
        <v>2027677530</v>
      </c>
    </row>
    <row r="837" spans="1:12" x14ac:dyDescent="0.35">
      <c r="A837" t="str">
        <f t="shared" si="306"/>
        <v>NAVAL RESEARCH LABORATORY</v>
      </c>
      <c r="B837" t="str">
        <f t="shared" si="302"/>
        <v>4555 OVERLOOK AVE SW</v>
      </c>
      <c r="C837" t="str">
        <f>T("CODE 6752")</f>
        <v>CODE 6752</v>
      </c>
      <c r="D837" t="str">
        <f t="shared" si="308"/>
        <v>WASHINGTON</v>
      </c>
      <c r="E837" t="str">
        <f t="shared" si="309"/>
        <v>DC</v>
      </c>
      <c r="F837" t="str">
        <f t="shared" si="310"/>
        <v>203750001</v>
      </c>
      <c r="G837" t="str">
        <f t="shared" si="307"/>
        <v>4555 OVERLOOK AVE SW</v>
      </c>
      <c r="H837" t="str">
        <f>T("CODE 6752")</f>
        <v>CODE 6752</v>
      </c>
      <c r="I837" t="str">
        <f t="shared" si="300"/>
        <v>WASHINGTON</v>
      </c>
      <c r="J837" t="str">
        <f t="shared" si="301"/>
        <v>DC</v>
      </c>
      <c r="K837" t="str">
        <f>T("000000000000000000")</f>
        <v>000000000000000000</v>
      </c>
      <c r="L837" t="str">
        <f>T("2027677464")</f>
        <v>2027677464</v>
      </c>
    </row>
    <row r="838" spans="1:12" x14ac:dyDescent="0.35">
      <c r="A838" t="str">
        <f t="shared" si="306"/>
        <v>NAVAL RESEARCH LABORATORY</v>
      </c>
      <c r="B838" t="str">
        <f t="shared" si="302"/>
        <v>4555 OVERLOOK AVE SW</v>
      </c>
      <c r="C838" t="str">
        <f>T("CODE 6752")</f>
        <v>CODE 6752</v>
      </c>
      <c r="D838" t="str">
        <f t="shared" si="308"/>
        <v>WASHINGTON</v>
      </c>
      <c r="E838" t="str">
        <f t="shared" si="309"/>
        <v>DC</v>
      </c>
      <c r="F838" t="str">
        <f t="shared" si="310"/>
        <v>203750001</v>
      </c>
      <c r="G838" t="str">
        <f t="shared" si="307"/>
        <v>4555 OVERLOOK AVE SW</v>
      </c>
      <c r="H838" t="str">
        <f>T("CODE 6752")</f>
        <v>CODE 6752</v>
      </c>
      <c r="I838" t="str">
        <f t="shared" si="300"/>
        <v>WASHINGTON</v>
      </c>
      <c r="J838" t="str">
        <f t="shared" si="301"/>
        <v>DC</v>
      </c>
      <c r="K838" t="str">
        <f>T("2027673553")</f>
        <v>2027673553</v>
      </c>
      <c r="L838" t="str">
        <f>T("2027670332")</f>
        <v>2027670332</v>
      </c>
    </row>
    <row r="839" spans="1:12" x14ac:dyDescent="0.35">
      <c r="A839" t="str">
        <f t="shared" si="306"/>
        <v>NAVAL RESEARCH LABORATORY</v>
      </c>
      <c r="B839" t="str">
        <f t="shared" si="302"/>
        <v>4555 OVERLOOK AVE SW</v>
      </c>
      <c r="C839" t="str">
        <f>T("CODE 6752")</f>
        <v>CODE 6752</v>
      </c>
      <c r="D839" t="str">
        <f t="shared" si="308"/>
        <v>WASHINGTON</v>
      </c>
      <c r="E839" t="str">
        <f t="shared" si="309"/>
        <v>DC</v>
      </c>
      <c r="F839" t="str">
        <f t="shared" si="310"/>
        <v>203750001</v>
      </c>
      <c r="G839" t="str">
        <f t="shared" si="307"/>
        <v>4555 OVERLOOK AVE SW</v>
      </c>
      <c r="H839" t="str">
        <f>T("CODE 6752")</f>
        <v>CODE 6752</v>
      </c>
      <c r="I839" t="str">
        <f t="shared" si="300"/>
        <v>WASHINGTON</v>
      </c>
      <c r="J839" t="str">
        <f t="shared" si="301"/>
        <v>DC</v>
      </c>
      <c r="K839" t="str">
        <f>T("2027673553")</f>
        <v>2027673553</v>
      </c>
      <c r="L839" t="str">
        <f>T("2027671843")</f>
        <v>2027671843</v>
      </c>
    </row>
    <row r="840" spans="1:12" x14ac:dyDescent="0.35">
      <c r="A840" t="str">
        <f t="shared" si="306"/>
        <v>NAVAL RESEARCH LABORATORY</v>
      </c>
      <c r="B840" t="str">
        <f t="shared" si="302"/>
        <v>4555 OVERLOOK AVE SW</v>
      </c>
      <c r="C840" t="str">
        <f>T("CODE 6752")</f>
        <v>CODE 6752</v>
      </c>
      <c r="D840" t="str">
        <f t="shared" si="308"/>
        <v>WASHINGTON</v>
      </c>
      <c r="E840" t="str">
        <f t="shared" si="309"/>
        <v>DC</v>
      </c>
      <c r="F840" t="str">
        <f t="shared" si="310"/>
        <v>203750001</v>
      </c>
      <c r="G840" t="str">
        <f>T("4555 OVERLOOK AVENUE SW")</f>
        <v>4555 OVERLOOK AVENUE SW</v>
      </c>
      <c r="H840" t="str">
        <f>T("CODE 6750")</f>
        <v>CODE 6750</v>
      </c>
      <c r="I840" t="str">
        <f t="shared" si="300"/>
        <v>WASHINGTON</v>
      </c>
      <c r="J840" t="str">
        <f t="shared" si="301"/>
        <v>DC</v>
      </c>
      <c r="K840" t="str">
        <f>T("000000000000000000")</f>
        <v>000000000000000000</v>
      </c>
      <c r="L840" t="str">
        <f>T("2027672077")</f>
        <v>2027672077</v>
      </c>
    </row>
    <row r="841" spans="1:12" x14ac:dyDescent="0.35">
      <c r="A841" t="str">
        <f t="shared" si="306"/>
        <v>NAVAL RESEARCH LABORATORY</v>
      </c>
      <c r="B841" t="str">
        <f t="shared" si="302"/>
        <v>4555 OVERLOOK AVE SW</v>
      </c>
      <c r="C841" t="str">
        <f>T("CODE 6752")</f>
        <v>CODE 6752</v>
      </c>
      <c r="D841" t="str">
        <f t="shared" si="308"/>
        <v>WASHINGTON</v>
      </c>
      <c r="E841" t="str">
        <f t="shared" si="309"/>
        <v>DC</v>
      </c>
      <c r="F841" t="str">
        <f t="shared" si="310"/>
        <v>203750001</v>
      </c>
      <c r="G841" t="str">
        <f>T("4555 OVERLOOK AVENUE SW")</f>
        <v>4555 OVERLOOK AVENUE SW</v>
      </c>
      <c r="H841" t="str">
        <f>T("CODE 6755")</f>
        <v>CODE 6755</v>
      </c>
      <c r="I841" t="str">
        <f t="shared" si="300"/>
        <v>WASHINGTON</v>
      </c>
      <c r="J841" t="str">
        <f t="shared" si="301"/>
        <v>DC</v>
      </c>
      <c r="K841" t="str">
        <f>T("2027673553")</f>
        <v>2027673553</v>
      </c>
      <c r="L841" t="str">
        <f>T("2024045405")</f>
        <v>2024045405</v>
      </c>
    </row>
    <row r="842" spans="1:12" x14ac:dyDescent="0.35">
      <c r="A842" t="str">
        <f t="shared" si="306"/>
        <v>NAVAL RESEARCH LABORATORY</v>
      </c>
      <c r="B842" t="str">
        <f t="shared" si="302"/>
        <v>4555 OVERLOOK AVE SW</v>
      </c>
      <c r="C842" t="str">
        <f t="shared" ref="C842:C847" si="311">T("CODE 6773")</f>
        <v>CODE 6773</v>
      </c>
      <c r="D842" t="str">
        <f t="shared" si="308"/>
        <v>WASHINGTON</v>
      </c>
      <c r="E842" t="str">
        <f t="shared" si="309"/>
        <v>DC</v>
      </c>
      <c r="F842" t="str">
        <f t="shared" si="310"/>
        <v>203750001</v>
      </c>
      <c r="G842" t="str">
        <f>T("4555 OVERLOOK AVE SW")</f>
        <v>4555 OVERLOOK AVE SW</v>
      </c>
      <c r="H842" t="str">
        <f>T("CODE 6773")</f>
        <v>CODE 6773</v>
      </c>
      <c r="I842" t="str">
        <f t="shared" si="300"/>
        <v>WASHINGTON</v>
      </c>
      <c r="J842" t="str">
        <f t="shared" si="301"/>
        <v>DC</v>
      </c>
      <c r="K842" t="str">
        <f>T("000000000000000000")</f>
        <v>000000000000000000</v>
      </c>
      <c r="L842" t="str">
        <f>T("2027677153")</f>
        <v>2027677153</v>
      </c>
    </row>
    <row r="843" spans="1:12" x14ac:dyDescent="0.35">
      <c r="A843" t="str">
        <f t="shared" si="306"/>
        <v>NAVAL RESEARCH LABORATORY</v>
      </c>
      <c r="B843" t="str">
        <f t="shared" si="302"/>
        <v>4555 OVERLOOK AVE SW</v>
      </c>
      <c r="C843" t="str">
        <f t="shared" si="311"/>
        <v>CODE 6773</v>
      </c>
      <c r="D843" t="str">
        <f t="shared" si="308"/>
        <v>WASHINGTON</v>
      </c>
      <c r="E843" t="str">
        <f t="shared" si="309"/>
        <v>DC</v>
      </c>
      <c r="F843" t="str">
        <f t="shared" si="310"/>
        <v>203750001</v>
      </c>
      <c r="G843" t="str">
        <f>T("4555 OVERLOOK AVE SW")</f>
        <v>4555 OVERLOOK AVE SW</v>
      </c>
      <c r="H843" t="str">
        <f>T("CODE 6773")</f>
        <v>CODE 6773</v>
      </c>
      <c r="I843" t="str">
        <f t="shared" si="300"/>
        <v>WASHINGTON</v>
      </c>
      <c r="J843" t="str">
        <f t="shared" si="301"/>
        <v>DC</v>
      </c>
      <c r="K843" t="str">
        <f>T("2027672012")</f>
        <v>2027672012</v>
      </c>
      <c r="L843" t="str">
        <f>T("2027678373")</f>
        <v>2027678373</v>
      </c>
    </row>
    <row r="844" spans="1:12" x14ac:dyDescent="0.35">
      <c r="A844" t="str">
        <f t="shared" si="306"/>
        <v>NAVAL RESEARCH LABORATORY</v>
      </c>
      <c r="B844" t="str">
        <f t="shared" si="302"/>
        <v>4555 OVERLOOK AVE SW</v>
      </c>
      <c r="C844" t="str">
        <f t="shared" si="311"/>
        <v>CODE 6773</v>
      </c>
      <c r="D844" t="str">
        <f t="shared" si="308"/>
        <v>WASHINGTON</v>
      </c>
      <c r="E844" t="str">
        <f t="shared" si="309"/>
        <v>DC</v>
      </c>
      <c r="F844" t="str">
        <f t="shared" si="310"/>
        <v>203750001</v>
      </c>
      <c r="G844" t="str">
        <f>T("4555 OVERLOOK AVENUE SW")</f>
        <v>4555 OVERLOOK AVENUE SW</v>
      </c>
      <c r="H844" t="str">
        <f>T("CODE 6773")</f>
        <v>CODE 6773</v>
      </c>
      <c r="I844" t="str">
        <f t="shared" si="300"/>
        <v>WASHINGTON</v>
      </c>
      <c r="J844" t="str">
        <f t="shared" si="301"/>
        <v>DC</v>
      </c>
      <c r="K844" t="str">
        <f>T("000000000000000000")</f>
        <v>000000000000000000</v>
      </c>
      <c r="L844" t="str">
        <f>T("2027678486")</f>
        <v>2027678486</v>
      </c>
    </row>
    <row r="845" spans="1:12" x14ac:dyDescent="0.35">
      <c r="A845" t="str">
        <f t="shared" si="306"/>
        <v>NAVAL RESEARCH LABORATORY</v>
      </c>
      <c r="B845" t="str">
        <f t="shared" si="302"/>
        <v>4555 OVERLOOK AVE SW</v>
      </c>
      <c r="C845" t="str">
        <f t="shared" si="311"/>
        <v>CODE 6773</v>
      </c>
      <c r="D845" t="str">
        <f t="shared" si="308"/>
        <v>WASHINGTON</v>
      </c>
      <c r="E845" t="str">
        <f t="shared" si="309"/>
        <v>DC</v>
      </c>
      <c r="F845" t="str">
        <f t="shared" si="310"/>
        <v>203750001</v>
      </c>
      <c r="G845" t="str">
        <f>T("4555 OVERLOOK AVENUE SW")</f>
        <v>4555 OVERLOOK AVENUE SW</v>
      </c>
      <c r="H845" t="str">
        <f>T("CODE 6777")</f>
        <v>CODE 6777</v>
      </c>
      <c r="I845" t="str">
        <f t="shared" si="300"/>
        <v>WASHINGTON</v>
      </c>
      <c r="J845" t="str">
        <f t="shared" si="301"/>
        <v>DC</v>
      </c>
      <c r="K845" t="str">
        <f>T("000000000000000000")</f>
        <v>000000000000000000</v>
      </c>
      <c r="L845" t="str">
        <f>T("2024045324")</f>
        <v>2024045324</v>
      </c>
    </row>
    <row r="846" spans="1:12" x14ac:dyDescent="0.35">
      <c r="A846" t="str">
        <f t="shared" si="306"/>
        <v>NAVAL RESEARCH LABORATORY</v>
      </c>
      <c r="B846" t="str">
        <f t="shared" si="302"/>
        <v>4555 OVERLOOK AVE SW</v>
      </c>
      <c r="C846" t="str">
        <f t="shared" si="311"/>
        <v>CODE 6773</v>
      </c>
      <c r="D846" t="str">
        <f t="shared" si="308"/>
        <v>WASHINGTON</v>
      </c>
      <c r="E846" t="str">
        <f t="shared" si="309"/>
        <v>DC</v>
      </c>
      <c r="F846" t="str">
        <f t="shared" si="310"/>
        <v>203750001</v>
      </c>
      <c r="G846" t="str">
        <f>T("4555 OVERLOOK AVENUE SW")</f>
        <v>4555 OVERLOOK AVENUE SW</v>
      </c>
      <c r="H846" t="str">
        <f>T("CODE 6777")</f>
        <v>CODE 6777</v>
      </c>
      <c r="I846" t="str">
        <f t="shared" si="300"/>
        <v>WASHINGTON</v>
      </c>
      <c r="J846" t="str">
        <f t="shared" si="301"/>
        <v>DC</v>
      </c>
      <c r="K846" t="str">
        <f>T("000000000000000000")</f>
        <v>000000000000000000</v>
      </c>
      <c r="L846" t="str">
        <f>T("2027678385")</f>
        <v>2027678385</v>
      </c>
    </row>
    <row r="847" spans="1:12" x14ac:dyDescent="0.35">
      <c r="A847" t="str">
        <f t="shared" si="306"/>
        <v>NAVAL RESEARCH LABORATORY</v>
      </c>
      <c r="B847" t="str">
        <f t="shared" si="302"/>
        <v>4555 OVERLOOK AVE SW</v>
      </c>
      <c r="C847" t="str">
        <f t="shared" si="311"/>
        <v>CODE 6773</v>
      </c>
      <c r="D847" t="str">
        <f t="shared" si="308"/>
        <v>WASHINGTON</v>
      </c>
      <c r="E847" t="str">
        <f t="shared" si="309"/>
        <v>DC</v>
      </c>
      <c r="F847" t="str">
        <f t="shared" si="310"/>
        <v>203750001</v>
      </c>
      <c r="G847" t="str">
        <f>T("BLDG 101 RM 105/CODE 6777")</f>
        <v>BLDG 101 RM 105/CODE 6777</v>
      </c>
      <c r="H847" t="str">
        <f>T("4555 OVERLOOK AVE SW")</f>
        <v>4555 OVERLOOK AVE SW</v>
      </c>
      <c r="I847" t="str">
        <f t="shared" si="300"/>
        <v>WASHINGTON</v>
      </c>
      <c r="J847" t="str">
        <f t="shared" si="301"/>
        <v>DC</v>
      </c>
      <c r="K847" t="str">
        <f>T("000000000000000000")</f>
        <v>000000000000000000</v>
      </c>
      <c r="L847" t="str">
        <f>T("2024044365")</f>
        <v>2024044365</v>
      </c>
    </row>
    <row r="848" spans="1:12" x14ac:dyDescent="0.35">
      <c r="A848" t="str">
        <f t="shared" si="306"/>
        <v>NAVAL RESEARCH LABORATORY</v>
      </c>
      <c r="B848" t="str">
        <f t="shared" si="302"/>
        <v>4555 OVERLOOK AVE SW</v>
      </c>
      <c r="C848" t="str">
        <f t="shared" ref="C848:C857" si="312">T("CODE 6802")</f>
        <v>CODE 6802</v>
      </c>
      <c r="D848" t="str">
        <f t="shared" si="308"/>
        <v>WASHINGTON</v>
      </c>
      <c r="E848" t="str">
        <f t="shared" si="309"/>
        <v>DC</v>
      </c>
      <c r="F848" t="str">
        <f t="shared" si="310"/>
        <v>203750001</v>
      </c>
      <c r="G848" t="str">
        <f>T("4555 OVERLOOK AVE SW")</f>
        <v>4555 OVERLOOK AVE SW</v>
      </c>
      <c r="H848" t="str">
        <f>T("CODE 6802")</f>
        <v>CODE 6802</v>
      </c>
      <c r="I848" t="str">
        <f t="shared" si="300"/>
        <v>WASHINGTON</v>
      </c>
      <c r="J848" t="str">
        <f t="shared" si="301"/>
        <v>DC</v>
      </c>
      <c r="K848" t="str">
        <f>T("2027670546")</f>
        <v>2027670546</v>
      </c>
      <c r="L848" t="str">
        <f>T("2027673692")</f>
        <v>2027673692</v>
      </c>
    </row>
    <row r="849" spans="1:12" x14ac:dyDescent="0.35">
      <c r="A849" t="str">
        <f t="shared" si="306"/>
        <v>NAVAL RESEARCH LABORATORY</v>
      </c>
      <c r="B849" t="str">
        <f t="shared" si="302"/>
        <v>4555 OVERLOOK AVE SW</v>
      </c>
      <c r="C849" t="str">
        <f t="shared" si="312"/>
        <v>CODE 6802</v>
      </c>
      <c r="D849" t="str">
        <f t="shared" si="308"/>
        <v>WASHINGTON</v>
      </c>
      <c r="E849" t="str">
        <f t="shared" si="309"/>
        <v>DC</v>
      </c>
      <c r="F849" t="str">
        <f t="shared" si="310"/>
        <v>203750001</v>
      </c>
      <c r="G849" t="str">
        <f t="shared" ref="G849:G857" si="313">T("4555 OVERLOOK AVENUE SW")</f>
        <v>4555 OVERLOOK AVENUE SW</v>
      </c>
      <c r="H849" t="str">
        <f>T("")</f>
        <v/>
      </c>
      <c r="I849" t="str">
        <f t="shared" si="300"/>
        <v>WASHINGTON</v>
      </c>
      <c r="J849" t="str">
        <f t="shared" si="301"/>
        <v>DC</v>
      </c>
      <c r="K849" t="str">
        <f>T("2027671165")</f>
        <v>2027671165</v>
      </c>
      <c r="L849" t="str">
        <f>T("2024046760")</f>
        <v>2024046760</v>
      </c>
    </row>
    <row r="850" spans="1:12" x14ac:dyDescent="0.35">
      <c r="A850" t="str">
        <f t="shared" si="306"/>
        <v>NAVAL RESEARCH LABORATORY</v>
      </c>
      <c r="B850" t="str">
        <f t="shared" si="302"/>
        <v>4555 OVERLOOK AVE SW</v>
      </c>
      <c r="C850" t="str">
        <f t="shared" si="312"/>
        <v>CODE 6802</v>
      </c>
      <c r="D850" t="str">
        <f t="shared" si="308"/>
        <v>WASHINGTON</v>
      </c>
      <c r="E850" t="str">
        <f t="shared" si="309"/>
        <v>DC</v>
      </c>
      <c r="F850" t="str">
        <f t="shared" si="310"/>
        <v>203750001</v>
      </c>
      <c r="G850" t="str">
        <f t="shared" si="313"/>
        <v>4555 OVERLOOK AVENUE SW</v>
      </c>
      <c r="H850" t="str">
        <f>T("CODE 6800")</f>
        <v>CODE 6800</v>
      </c>
      <c r="I850" t="str">
        <f t="shared" si="300"/>
        <v>WASHINGTON</v>
      </c>
      <c r="J850" t="str">
        <f t="shared" si="301"/>
        <v>DC</v>
      </c>
      <c r="K850" t="str">
        <f>T("000000000000000000")</f>
        <v>000000000000000000</v>
      </c>
      <c r="L850" t="str">
        <f>T("2027675472")</f>
        <v>2027675472</v>
      </c>
    </row>
    <row r="851" spans="1:12" x14ac:dyDescent="0.35">
      <c r="A851" t="str">
        <f t="shared" si="306"/>
        <v>NAVAL RESEARCH LABORATORY</v>
      </c>
      <c r="B851" t="str">
        <f t="shared" si="302"/>
        <v>4555 OVERLOOK AVE SW</v>
      </c>
      <c r="C851" t="str">
        <f t="shared" si="312"/>
        <v>CODE 6802</v>
      </c>
      <c r="D851" t="str">
        <f t="shared" si="308"/>
        <v>WASHINGTON</v>
      </c>
      <c r="E851" t="str">
        <f t="shared" si="309"/>
        <v>DC</v>
      </c>
      <c r="F851" t="str">
        <f t="shared" si="310"/>
        <v>203750001</v>
      </c>
      <c r="G851" t="str">
        <f t="shared" si="313"/>
        <v>4555 OVERLOOK AVENUE SW</v>
      </c>
      <c r="H851" t="str">
        <f>T("CODE 6800")</f>
        <v>CODE 6800</v>
      </c>
      <c r="I851" t="str">
        <f t="shared" si="300"/>
        <v>WASHINGTON</v>
      </c>
      <c r="J851" t="str">
        <f t="shared" si="301"/>
        <v>DC</v>
      </c>
      <c r="K851" t="str">
        <f>T("2027673577")</f>
        <v>2027673577</v>
      </c>
      <c r="L851" t="str">
        <f>T("2027670421")</f>
        <v>2027670421</v>
      </c>
    </row>
    <row r="852" spans="1:12" x14ac:dyDescent="0.35">
      <c r="A852" t="str">
        <f t="shared" si="306"/>
        <v>NAVAL RESEARCH LABORATORY</v>
      </c>
      <c r="B852" t="str">
        <f t="shared" si="302"/>
        <v>4555 OVERLOOK AVE SW</v>
      </c>
      <c r="C852" t="str">
        <f t="shared" si="312"/>
        <v>CODE 6802</v>
      </c>
      <c r="D852" t="str">
        <f t="shared" si="308"/>
        <v>WASHINGTON</v>
      </c>
      <c r="E852" t="str">
        <f t="shared" si="309"/>
        <v>DC</v>
      </c>
      <c r="F852" t="str">
        <f t="shared" si="310"/>
        <v>203750001</v>
      </c>
      <c r="G852" t="str">
        <f t="shared" si="313"/>
        <v>4555 OVERLOOK AVENUE SW</v>
      </c>
      <c r="H852" t="str">
        <f>T("CODE 6802")</f>
        <v>CODE 6802</v>
      </c>
      <c r="I852" t="str">
        <f t="shared" si="300"/>
        <v>WASHINGTON</v>
      </c>
      <c r="J852" t="str">
        <f t="shared" si="301"/>
        <v>DC</v>
      </c>
      <c r="K852" t="str">
        <f>T("2027671032")</f>
        <v>2027671032</v>
      </c>
      <c r="L852" t="str">
        <f>T("2024044445")</f>
        <v>2024044445</v>
      </c>
    </row>
    <row r="853" spans="1:12" x14ac:dyDescent="0.35">
      <c r="A853" t="str">
        <f t="shared" si="306"/>
        <v>NAVAL RESEARCH LABORATORY</v>
      </c>
      <c r="B853" t="str">
        <f t="shared" si="302"/>
        <v>4555 OVERLOOK AVE SW</v>
      </c>
      <c r="C853" t="str">
        <f t="shared" si="312"/>
        <v>CODE 6802</v>
      </c>
      <c r="D853" t="str">
        <f t="shared" si="308"/>
        <v>WASHINGTON</v>
      </c>
      <c r="E853" t="str">
        <f t="shared" si="309"/>
        <v>DC</v>
      </c>
      <c r="F853" t="str">
        <f t="shared" si="310"/>
        <v>203750001</v>
      </c>
      <c r="G853" t="str">
        <f t="shared" si="313"/>
        <v>4555 OVERLOOK AVENUE SW</v>
      </c>
      <c r="H853" t="str">
        <f>T("CODE 6810")</f>
        <v>CODE 6810</v>
      </c>
      <c r="I853" t="str">
        <f t="shared" si="300"/>
        <v>WASHINGTON</v>
      </c>
      <c r="J853" t="str">
        <f t="shared" si="301"/>
        <v>DC</v>
      </c>
      <c r="K853" t="str">
        <f>T("2024047194")</f>
        <v>2024047194</v>
      </c>
      <c r="L853" t="str">
        <f>T("2027675473")</f>
        <v>2027675473</v>
      </c>
    </row>
    <row r="854" spans="1:12" x14ac:dyDescent="0.35">
      <c r="A854" t="str">
        <f t="shared" si="306"/>
        <v>NAVAL RESEARCH LABORATORY</v>
      </c>
      <c r="B854" t="str">
        <f t="shared" si="302"/>
        <v>4555 OVERLOOK AVE SW</v>
      </c>
      <c r="C854" t="str">
        <f t="shared" si="312"/>
        <v>CODE 6802</v>
      </c>
      <c r="D854" t="str">
        <f t="shared" si="308"/>
        <v>WASHINGTON</v>
      </c>
      <c r="E854" t="str">
        <f t="shared" si="309"/>
        <v>DC</v>
      </c>
      <c r="F854" t="str">
        <f t="shared" si="310"/>
        <v>203750001</v>
      </c>
      <c r="G854" t="str">
        <f t="shared" si="313"/>
        <v>4555 OVERLOOK AVENUE SW</v>
      </c>
      <c r="H854" t="str">
        <f>T("CODE 6850")</f>
        <v>CODE 6850</v>
      </c>
      <c r="I854" t="str">
        <f t="shared" si="300"/>
        <v>WASHINGTON</v>
      </c>
      <c r="J854" t="str">
        <f t="shared" si="301"/>
        <v>DC</v>
      </c>
      <c r="K854" t="str">
        <f>T("2027670455")</f>
        <v>2027670455</v>
      </c>
      <c r="L854" t="str">
        <f>T("2027672810")</f>
        <v>2027672810</v>
      </c>
    </row>
    <row r="855" spans="1:12" x14ac:dyDescent="0.35">
      <c r="A855" t="str">
        <f t="shared" si="306"/>
        <v>NAVAL RESEARCH LABORATORY</v>
      </c>
      <c r="B855" t="str">
        <f t="shared" si="302"/>
        <v>4555 OVERLOOK AVE SW</v>
      </c>
      <c r="C855" t="str">
        <f t="shared" si="312"/>
        <v>CODE 6802</v>
      </c>
      <c r="D855" t="str">
        <f t="shared" si="308"/>
        <v>WASHINGTON</v>
      </c>
      <c r="E855" t="str">
        <f t="shared" si="309"/>
        <v>DC</v>
      </c>
      <c r="F855" t="str">
        <f t="shared" si="310"/>
        <v>203750001</v>
      </c>
      <c r="G855" t="str">
        <f t="shared" si="313"/>
        <v>4555 OVERLOOK AVENUE SW</v>
      </c>
      <c r="H855" t="str">
        <f>T("CODE 6860")</f>
        <v>CODE 6860</v>
      </c>
      <c r="I855" t="str">
        <f t="shared" si="300"/>
        <v>WASHINGTON</v>
      </c>
      <c r="J855" t="str">
        <f t="shared" si="301"/>
        <v>DC</v>
      </c>
      <c r="K855" t="str">
        <f>T("2027671032")</f>
        <v>2027671032</v>
      </c>
      <c r="L855" t="str">
        <f>T("2027673097")</f>
        <v>2027673097</v>
      </c>
    </row>
    <row r="856" spans="1:12" x14ac:dyDescent="0.35">
      <c r="A856" t="str">
        <f t="shared" si="306"/>
        <v>NAVAL RESEARCH LABORATORY</v>
      </c>
      <c r="B856" t="str">
        <f t="shared" si="302"/>
        <v>4555 OVERLOOK AVE SW</v>
      </c>
      <c r="C856" t="str">
        <f t="shared" si="312"/>
        <v>CODE 6802</v>
      </c>
      <c r="D856" t="str">
        <f t="shared" si="308"/>
        <v>WASHINGTON</v>
      </c>
      <c r="E856" t="str">
        <f t="shared" si="309"/>
        <v>DC</v>
      </c>
      <c r="F856" t="str">
        <f t="shared" si="310"/>
        <v>203750001</v>
      </c>
      <c r="G856" t="str">
        <f t="shared" si="313"/>
        <v>4555 OVERLOOK AVENUE SW</v>
      </c>
      <c r="H856" t="str">
        <f>T("CODE 6870")</f>
        <v>CODE 6870</v>
      </c>
      <c r="I856" t="str">
        <f t="shared" ref="I856:I869" si="314">T("WASHINGTON")</f>
        <v>WASHINGTON</v>
      </c>
      <c r="J856" t="str">
        <f t="shared" ref="J856:J869" si="315">T("DC")</f>
        <v>DC</v>
      </c>
      <c r="K856" t="str">
        <f>T("2027675450")</f>
        <v>2027675450</v>
      </c>
      <c r="L856" t="str">
        <f>T("2027673434")</f>
        <v>2027673434</v>
      </c>
    </row>
    <row r="857" spans="1:12" x14ac:dyDescent="0.35">
      <c r="A857" t="str">
        <f t="shared" si="306"/>
        <v>NAVAL RESEARCH LABORATORY</v>
      </c>
      <c r="B857" t="str">
        <f t="shared" ref="B857:B893" si="316">T("4555 OVERLOOK AVE SW")</f>
        <v>4555 OVERLOOK AVE SW</v>
      </c>
      <c r="C857" t="str">
        <f t="shared" si="312"/>
        <v>CODE 6802</v>
      </c>
      <c r="D857" t="str">
        <f t="shared" si="308"/>
        <v>WASHINGTON</v>
      </c>
      <c r="E857" t="str">
        <f t="shared" si="309"/>
        <v>DC</v>
      </c>
      <c r="F857" t="str">
        <f t="shared" si="310"/>
        <v>203750001</v>
      </c>
      <c r="G857" t="str">
        <f t="shared" si="313"/>
        <v>4555 OVERLOOK AVENUE SW</v>
      </c>
      <c r="H857" t="str">
        <f>T("CODE 6880")</f>
        <v>CODE 6880</v>
      </c>
      <c r="I857" t="str">
        <f t="shared" si="314"/>
        <v>WASHINGTON</v>
      </c>
      <c r="J857" t="str">
        <f t="shared" si="315"/>
        <v>DC</v>
      </c>
      <c r="K857" t="str">
        <f>T("2027673601")</f>
        <v>2027673601</v>
      </c>
      <c r="L857" t="str">
        <f>T("2027673097")</f>
        <v>2027673097</v>
      </c>
    </row>
    <row r="858" spans="1:12" x14ac:dyDescent="0.35">
      <c r="A858" t="str">
        <f t="shared" si="306"/>
        <v>NAVAL RESEARCH LABORATORY</v>
      </c>
      <c r="B858" t="str">
        <f t="shared" si="316"/>
        <v>4555 OVERLOOK AVE SW</v>
      </c>
      <c r="C858" t="str">
        <f>T("CODE 6900A")</f>
        <v>CODE 6900A</v>
      </c>
      <c r="D858" t="str">
        <f t="shared" si="308"/>
        <v>WASHINGTON</v>
      </c>
      <c r="E858" t="str">
        <f t="shared" si="309"/>
        <v>DC</v>
      </c>
      <c r="F858" t="str">
        <f t="shared" si="310"/>
        <v>203750001</v>
      </c>
      <c r="G858" t="str">
        <f>T("4555 OVERLOOK AVE SW")</f>
        <v>4555 OVERLOOK AVE SW</v>
      </c>
      <c r="H858" t="str">
        <f>T("CODE 6900")</f>
        <v>CODE 6900</v>
      </c>
      <c r="I858" t="str">
        <f t="shared" si="314"/>
        <v>WASHINGTON</v>
      </c>
      <c r="J858" t="str">
        <f t="shared" si="315"/>
        <v>DC</v>
      </c>
      <c r="K858" t="str">
        <f>T("2024041254")</f>
        <v>2024041254</v>
      </c>
      <c r="L858" t="str">
        <f>T("2024046014")</f>
        <v>2024046014</v>
      </c>
    </row>
    <row r="859" spans="1:12" x14ac:dyDescent="0.35">
      <c r="A859" t="str">
        <f t="shared" si="306"/>
        <v>NAVAL RESEARCH LABORATORY</v>
      </c>
      <c r="B859" t="str">
        <f t="shared" si="316"/>
        <v>4555 OVERLOOK AVE SW</v>
      </c>
      <c r="C859" t="str">
        <f>T("CODE 6900A")</f>
        <v>CODE 6900A</v>
      </c>
      <c r="D859" t="str">
        <f t="shared" si="308"/>
        <v>WASHINGTON</v>
      </c>
      <c r="E859" t="str">
        <f t="shared" si="309"/>
        <v>DC</v>
      </c>
      <c r="F859" t="str">
        <f t="shared" si="310"/>
        <v>203750001</v>
      </c>
      <c r="G859" t="str">
        <f>T("4555 OVERLOOK AVE SW")</f>
        <v>4555 OVERLOOK AVE SW</v>
      </c>
      <c r="H859" t="str">
        <f>T("CODE 6900A")</f>
        <v>CODE 6900A</v>
      </c>
      <c r="I859" t="str">
        <f t="shared" si="314"/>
        <v>WASHINGTON</v>
      </c>
      <c r="J859" t="str">
        <f t="shared" si="315"/>
        <v>DC</v>
      </c>
      <c r="K859" t="str">
        <f>T("2024048897")</f>
        <v>2024048897</v>
      </c>
      <c r="L859" t="str">
        <f>T("2024046010")</f>
        <v>2024046010</v>
      </c>
    </row>
    <row r="860" spans="1:12" x14ac:dyDescent="0.35">
      <c r="A860" t="str">
        <f t="shared" si="306"/>
        <v>NAVAL RESEARCH LABORATORY</v>
      </c>
      <c r="B860" t="str">
        <f t="shared" si="316"/>
        <v>4555 OVERLOOK AVE SW</v>
      </c>
      <c r="C860" t="str">
        <f>T("CODE 6900A")</f>
        <v>CODE 6900A</v>
      </c>
      <c r="D860" t="str">
        <f t="shared" si="308"/>
        <v>WASHINGTON</v>
      </c>
      <c r="E860" t="str">
        <f t="shared" si="309"/>
        <v>DC</v>
      </c>
      <c r="F860" t="str">
        <f t="shared" si="310"/>
        <v>203750001</v>
      </c>
      <c r="G860" t="str">
        <f>T("4555 OVERLOOK AVE SW")</f>
        <v>4555 OVERLOOK AVE SW</v>
      </c>
      <c r="H860" t="str">
        <f>T("CODE 6901")</f>
        <v>CODE 6901</v>
      </c>
      <c r="I860" t="str">
        <f t="shared" si="314"/>
        <v>WASHINGTON</v>
      </c>
      <c r="J860" t="str">
        <f t="shared" si="315"/>
        <v>DC</v>
      </c>
      <c r="K860" t="str">
        <f>T("2024041207")</f>
        <v>2024041207</v>
      </c>
      <c r="L860" t="str">
        <f>T("2024046001")</f>
        <v>2024046001</v>
      </c>
    </row>
    <row r="861" spans="1:12" x14ac:dyDescent="0.35">
      <c r="A861" t="str">
        <f t="shared" si="306"/>
        <v>NAVAL RESEARCH LABORATORY</v>
      </c>
      <c r="B861" t="str">
        <f t="shared" si="316"/>
        <v>4555 OVERLOOK AVE SW</v>
      </c>
      <c r="C861" t="str">
        <f>T("CODE 6900A")</f>
        <v>CODE 6900A</v>
      </c>
      <c r="D861" t="str">
        <f t="shared" si="308"/>
        <v>WASHINGTON</v>
      </c>
      <c r="E861" t="str">
        <f t="shared" si="309"/>
        <v>DC</v>
      </c>
      <c r="F861" t="str">
        <f t="shared" si="310"/>
        <v>203750001</v>
      </c>
      <c r="G861" t="str">
        <f>T("CODE 6902")</f>
        <v>CODE 6902</v>
      </c>
      <c r="H861" t="str">
        <f>T("4555 OVERLOOK AVE SW")</f>
        <v>4555 OVERLOOK AVE SW</v>
      </c>
      <c r="I861" t="str">
        <f t="shared" si="314"/>
        <v>WASHINGTON</v>
      </c>
      <c r="J861" t="str">
        <f t="shared" si="315"/>
        <v>DC</v>
      </c>
      <c r="K861" t="str">
        <f>T("2024041254")</f>
        <v>2024041254</v>
      </c>
      <c r="L861" t="str">
        <f>T("2024046039")</f>
        <v>2024046039</v>
      </c>
    </row>
    <row r="862" spans="1:12" x14ac:dyDescent="0.35">
      <c r="A862" t="str">
        <f t="shared" si="306"/>
        <v>NAVAL RESEARCH LABORATORY</v>
      </c>
      <c r="B862" t="str">
        <f t="shared" si="316"/>
        <v>4555 OVERLOOK AVE SW</v>
      </c>
      <c r="C862" t="str">
        <f t="shared" ref="C862:C868" si="317">T("CODE 7202")</f>
        <v>CODE 7202</v>
      </c>
      <c r="D862" t="str">
        <f t="shared" si="308"/>
        <v>WASHINGTON</v>
      </c>
      <c r="E862" t="str">
        <f t="shared" si="309"/>
        <v>DC</v>
      </c>
      <c r="F862" t="str">
        <f t="shared" si="310"/>
        <v>203750001</v>
      </c>
      <c r="G862" t="str">
        <f>T("4555 OVERLOOK AVE")</f>
        <v>4555 OVERLOOK AVE</v>
      </c>
      <c r="H862" t="str">
        <f>T("CODE 7230")</f>
        <v>CODE 7230</v>
      </c>
      <c r="I862" t="str">
        <f t="shared" si="314"/>
        <v>WASHINGTON</v>
      </c>
      <c r="J862" t="str">
        <f t="shared" si="315"/>
        <v>DC</v>
      </c>
      <c r="K862" t="str">
        <f>T("2024045689")</f>
        <v>2024045689</v>
      </c>
      <c r="L862" t="str">
        <f>T("2027672176")</f>
        <v>2027672176</v>
      </c>
    </row>
    <row r="863" spans="1:12" x14ac:dyDescent="0.35">
      <c r="A863" t="str">
        <f t="shared" si="306"/>
        <v>NAVAL RESEARCH LABORATORY</v>
      </c>
      <c r="B863" t="str">
        <f t="shared" si="316"/>
        <v>4555 OVERLOOK AVE SW</v>
      </c>
      <c r="C863" t="str">
        <f t="shared" si="317"/>
        <v>CODE 7202</v>
      </c>
      <c r="D863" t="str">
        <f t="shared" si="308"/>
        <v>WASHINGTON</v>
      </c>
      <c r="E863" t="str">
        <f t="shared" si="309"/>
        <v>DC</v>
      </c>
      <c r="F863" t="str">
        <f t="shared" si="310"/>
        <v>203750001</v>
      </c>
      <c r="G863" t="str">
        <f t="shared" ref="G863:G869" si="318">T("4555 OVERLOOK AVE SW")</f>
        <v>4555 OVERLOOK AVE SW</v>
      </c>
      <c r="H863" t="str">
        <f>T("CODE 7200")</f>
        <v>CODE 7200</v>
      </c>
      <c r="I863" t="str">
        <f t="shared" si="314"/>
        <v>WASHINGTON</v>
      </c>
      <c r="J863" t="str">
        <f t="shared" si="315"/>
        <v>DC</v>
      </c>
      <c r="K863" t="str">
        <f>T("2024047453")</f>
        <v>2024047453</v>
      </c>
      <c r="L863" t="str">
        <f>T("2027672351")</f>
        <v>2027672351</v>
      </c>
    </row>
    <row r="864" spans="1:12" x14ac:dyDescent="0.35">
      <c r="A864" t="str">
        <f t="shared" si="306"/>
        <v>NAVAL RESEARCH LABORATORY</v>
      </c>
      <c r="B864" t="str">
        <f t="shared" si="316"/>
        <v>4555 OVERLOOK AVE SW</v>
      </c>
      <c r="C864" t="str">
        <f t="shared" si="317"/>
        <v>CODE 7202</v>
      </c>
      <c r="D864" t="str">
        <f t="shared" si="308"/>
        <v>WASHINGTON</v>
      </c>
      <c r="E864" t="str">
        <f t="shared" si="309"/>
        <v>DC</v>
      </c>
      <c r="F864" t="str">
        <f t="shared" si="310"/>
        <v>203750001</v>
      </c>
      <c r="G864" t="str">
        <f t="shared" si="318"/>
        <v>4555 OVERLOOK AVE SW</v>
      </c>
      <c r="H864" t="str">
        <f>T("CODE 7202")</f>
        <v>CODE 7202</v>
      </c>
      <c r="I864" t="str">
        <f t="shared" si="314"/>
        <v>WASHINGTON</v>
      </c>
      <c r="J864" t="str">
        <f t="shared" si="315"/>
        <v>DC</v>
      </c>
      <c r="K864" t="str">
        <f>T("202-404-1254")</f>
        <v>202-404-1254</v>
      </c>
      <c r="L864" t="str">
        <f>T("2027678234")</f>
        <v>2027678234</v>
      </c>
    </row>
    <row r="865" spans="1:12" x14ac:dyDescent="0.35">
      <c r="A865" t="str">
        <f t="shared" si="306"/>
        <v>NAVAL RESEARCH LABORATORY</v>
      </c>
      <c r="B865" t="str">
        <f t="shared" si="316"/>
        <v>4555 OVERLOOK AVE SW</v>
      </c>
      <c r="C865" t="str">
        <f t="shared" si="317"/>
        <v>CODE 7202</v>
      </c>
      <c r="D865" t="str">
        <f t="shared" si="308"/>
        <v>WASHINGTON</v>
      </c>
      <c r="E865" t="str">
        <f t="shared" si="309"/>
        <v>DC</v>
      </c>
      <c r="F865" t="str">
        <f t="shared" si="310"/>
        <v>203750001</v>
      </c>
      <c r="G865" t="str">
        <f t="shared" si="318"/>
        <v>4555 OVERLOOK AVE SW</v>
      </c>
      <c r="H865" t="str">
        <f>T("CODE 7202")</f>
        <v>CODE 7202</v>
      </c>
      <c r="I865" t="str">
        <f t="shared" si="314"/>
        <v>WASHINGTON</v>
      </c>
      <c r="J865" t="str">
        <f t="shared" si="315"/>
        <v>DC</v>
      </c>
      <c r="K865" t="str">
        <f>T("2024042289")</f>
        <v>2024042289</v>
      </c>
      <c r="L865" t="str">
        <f>T("2027678233")</f>
        <v>2027678233</v>
      </c>
    </row>
    <row r="866" spans="1:12" x14ac:dyDescent="0.35">
      <c r="A866" t="str">
        <f t="shared" si="306"/>
        <v>NAVAL RESEARCH LABORATORY</v>
      </c>
      <c r="B866" t="str">
        <f t="shared" si="316"/>
        <v>4555 OVERLOOK AVE SW</v>
      </c>
      <c r="C866" t="str">
        <f t="shared" si="317"/>
        <v>CODE 7202</v>
      </c>
      <c r="D866" t="str">
        <f t="shared" si="308"/>
        <v>WASHINGTON</v>
      </c>
      <c r="E866" t="str">
        <f t="shared" si="309"/>
        <v>DC</v>
      </c>
      <c r="F866" t="str">
        <f t="shared" si="310"/>
        <v>203750001</v>
      </c>
      <c r="G866" t="str">
        <f t="shared" si="318"/>
        <v>4555 OVERLOOK AVE SW</v>
      </c>
      <c r="H866" t="str">
        <f>T("CODE 7215")</f>
        <v>CODE 7215</v>
      </c>
      <c r="I866" t="str">
        <f t="shared" si="314"/>
        <v>WASHINGTON</v>
      </c>
      <c r="J866" t="str">
        <f t="shared" si="315"/>
        <v>DC</v>
      </c>
      <c r="K866" t="str">
        <f>T("2024048894")</f>
        <v>2024048894</v>
      </c>
      <c r="L866" t="str">
        <f>T("2027672437")</f>
        <v>2027672437</v>
      </c>
    </row>
    <row r="867" spans="1:12" x14ac:dyDescent="0.35">
      <c r="A867" t="str">
        <f t="shared" si="306"/>
        <v>NAVAL RESEARCH LABORATORY</v>
      </c>
      <c r="B867" t="str">
        <f t="shared" si="316"/>
        <v>4555 OVERLOOK AVE SW</v>
      </c>
      <c r="C867" t="str">
        <f t="shared" si="317"/>
        <v>CODE 7202</v>
      </c>
      <c r="D867" t="str">
        <f t="shared" si="308"/>
        <v>WASHINGTON</v>
      </c>
      <c r="E867" t="str">
        <f t="shared" si="309"/>
        <v>DC</v>
      </c>
      <c r="F867" t="str">
        <f t="shared" si="310"/>
        <v>203750001</v>
      </c>
      <c r="G867" t="str">
        <f t="shared" si="318"/>
        <v>4555 OVERLOOK AVE SW</v>
      </c>
      <c r="H867" t="str">
        <f>T("CODE 7220")</f>
        <v>CODE 7220</v>
      </c>
      <c r="I867" t="str">
        <f t="shared" si="314"/>
        <v>WASHINGTON</v>
      </c>
      <c r="J867" t="str">
        <f t="shared" si="315"/>
        <v>DC</v>
      </c>
      <c r="K867" t="str">
        <f>T("2024041254")</f>
        <v>2024041254</v>
      </c>
      <c r="L867" t="str">
        <f>T("2027673670")</f>
        <v>2027673670</v>
      </c>
    </row>
    <row r="868" spans="1:12" x14ac:dyDescent="0.35">
      <c r="A868" t="str">
        <f t="shared" si="306"/>
        <v>NAVAL RESEARCH LABORATORY</v>
      </c>
      <c r="B868" t="str">
        <f t="shared" si="316"/>
        <v>4555 OVERLOOK AVE SW</v>
      </c>
      <c r="C868" t="str">
        <f t="shared" si="317"/>
        <v>CODE 7202</v>
      </c>
      <c r="D868" t="str">
        <f t="shared" si="308"/>
        <v>WASHINGTON</v>
      </c>
      <c r="E868" t="str">
        <f t="shared" si="309"/>
        <v>DC</v>
      </c>
      <c r="F868" t="str">
        <f t="shared" si="310"/>
        <v>203750001</v>
      </c>
      <c r="G868" t="str">
        <f t="shared" si="318"/>
        <v>4555 OVERLOOK AVE SW</v>
      </c>
      <c r="H868" t="str">
        <f>T("CODE 7234")</f>
        <v>CODE 7234</v>
      </c>
      <c r="I868" t="str">
        <f t="shared" si="314"/>
        <v>WASHINGTON</v>
      </c>
      <c r="J868" t="str">
        <f t="shared" si="315"/>
        <v>DC</v>
      </c>
      <c r="K868" t="str">
        <f>T("2024048894")</f>
        <v>2024048894</v>
      </c>
      <c r="L868" t="str">
        <f>T("2027677081")</f>
        <v>2027677081</v>
      </c>
    </row>
    <row r="869" spans="1:12" x14ac:dyDescent="0.35">
      <c r="A869" t="str">
        <f t="shared" si="306"/>
        <v>NAVAL RESEARCH LABORATORY</v>
      </c>
      <c r="B869" t="str">
        <f t="shared" si="316"/>
        <v>4555 OVERLOOK AVE SW</v>
      </c>
      <c r="C869" t="str">
        <f>T("CODE 7422")</f>
        <v>CODE 7422</v>
      </c>
      <c r="D869" t="str">
        <f t="shared" si="308"/>
        <v>WASHINGTON</v>
      </c>
      <c r="E869" t="str">
        <f t="shared" si="309"/>
        <v>DC</v>
      </c>
      <c r="F869" t="str">
        <f t="shared" si="310"/>
        <v>203750001</v>
      </c>
      <c r="G869" t="str">
        <f t="shared" si="318"/>
        <v>4555 OVERLOOK AVE SW</v>
      </c>
      <c r="H869" t="str">
        <f>T("CODE 7422")</f>
        <v>CODE 7422</v>
      </c>
      <c r="I869" t="str">
        <f t="shared" si="314"/>
        <v>WASHINGTON</v>
      </c>
      <c r="J869" t="str">
        <f t="shared" si="315"/>
        <v>DC</v>
      </c>
      <c r="K869" t="str">
        <f>T("2027670167")</f>
        <v>2027670167</v>
      </c>
      <c r="L869" t="str">
        <f>T("2024041125")</f>
        <v>2024041125</v>
      </c>
    </row>
    <row r="870" spans="1:12" x14ac:dyDescent="0.35">
      <c r="A870" t="str">
        <f t="shared" si="306"/>
        <v>NAVAL RESEARCH LABORATORY</v>
      </c>
      <c r="B870" t="str">
        <f t="shared" si="316"/>
        <v>4555 OVERLOOK AVE SW</v>
      </c>
      <c r="C870" t="str">
        <f>T("CODE 7434")</f>
        <v>CODE 7434</v>
      </c>
      <c r="D870" t="str">
        <f t="shared" si="308"/>
        <v>WASHINGTON</v>
      </c>
      <c r="E870" t="str">
        <f t="shared" si="309"/>
        <v>DC</v>
      </c>
      <c r="F870" t="str">
        <f t="shared" si="310"/>
        <v>203750001</v>
      </c>
      <c r="G870" t="str">
        <f>T("1005 BALCH BLVD")</f>
        <v>1005 BALCH BLVD</v>
      </c>
      <c r="H870" t="str">
        <f>T("STENNIS SPACE CENTER CODE 7434")</f>
        <v>STENNIS SPACE CENTER CODE 7434</v>
      </c>
      <c r="I870" t="str">
        <f>T("STENNIS CTR")</f>
        <v>STENNIS CTR</v>
      </c>
      <c r="J870" t="str">
        <f>T("MS")</f>
        <v>MS</v>
      </c>
      <c r="K870" t="str">
        <f>T("2024041254")</f>
        <v>2024041254</v>
      </c>
      <c r="L870" t="str">
        <f>T("2286884314")</f>
        <v>2286884314</v>
      </c>
    </row>
    <row r="871" spans="1:12" x14ac:dyDescent="0.35">
      <c r="A871" t="str">
        <f t="shared" si="306"/>
        <v>NAVAL RESEARCH LABORATORY</v>
      </c>
      <c r="B871" t="str">
        <f t="shared" si="316"/>
        <v>4555 OVERLOOK AVE SW</v>
      </c>
      <c r="C871" t="str">
        <f>T("CODE 7434")</f>
        <v>CODE 7434</v>
      </c>
      <c r="D871" t="str">
        <f t="shared" si="308"/>
        <v>WASHINGTON</v>
      </c>
      <c r="E871" t="str">
        <f t="shared" si="309"/>
        <v>DC</v>
      </c>
      <c r="F871" t="str">
        <f t="shared" si="310"/>
        <v>203750001</v>
      </c>
      <c r="G871" t="str">
        <f>T("4555 OVERLOOK AVE SW")</f>
        <v>4555 OVERLOOK AVE SW</v>
      </c>
      <c r="H871" t="str">
        <f>T("CODE 7434")</f>
        <v>CODE 7434</v>
      </c>
      <c r="I871" t="str">
        <f>T("WASHINGTON")</f>
        <v>WASHINGTON</v>
      </c>
      <c r="J871" t="str">
        <f>T("DC")</f>
        <v>DC</v>
      </c>
      <c r="K871" t="str">
        <f>T("2286885752")</f>
        <v>2286885752</v>
      </c>
      <c r="L871" t="str">
        <f>T("2286884435")</f>
        <v>2286884435</v>
      </c>
    </row>
    <row r="872" spans="1:12" x14ac:dyDescent="0.35">
      <c r="A872" t="str">
        <f t="shared" si="306"/>
        <v>NAVAL RESEARCH LABORATORY</v>
      </c>
      <c r="B872" t="str">
        <f t="shared" si="316"/>
        <v>4555 OVERLOOK AVE SW</v>
      </c>
      <c r="C872" t="str">
        <f>T("CODE 7434")</f>
        <v>CODE 7434</v>
      </c>
      <c r="D872" t="str">
        <f t="shared" si="308"/>
        <v>WASHINGTON</v>
      </c>
      <c r="E872" t="str">
        <f t="shared" si="309"/>
        <v>DC</v>
      </c>
      <c r="F872" t="str">
        <f t="shared" si="310"/>
        <v>203750001</v>
      </c>
      <c r="G872" t="str">
        <f>T("STENNIS SPACE CENTER")</f>
        <v>STENNIS SPACE CENTER</v>
      </c>
      <c r="H872" t="str">
        <f>T("CODE 7431 BLDG 1005")</f>
        <v>CODE 7431 BLDG 1005</v>
      </c>
      <c r="I872" t="str">
        <f>T("STENNIS SPACE CENTER")</f>
        <v>STENNIS SPACE CENTER</v>
      </c>
      <c r="J872" t="str">
        <f>T("MS")</f>
        <v>MS</v>
      </c>
      <c r="K872" t="str">
        <f>T("2286885752")</f>
        <v>2286885752</v>
      </c>
      <c r="L872" t="str">
        <f>T("2286885825")</f>
        <v>2286885825</v>
      </c>
    </row>
    <row r="873" spans="1:12" x14ac:dyDescent="0.35">
      <c r="A873" t="str">
        <f t="shared" si="306"/>
        <v>NAVAL RESEARCH LABORATORY</v>
      </c>
      <c r="B873" t="str">
        <f t="shared" si="316"/>
        <v>4555 OVERLOOK AVE SW</v>
      </c>
      <c r="C873" t="str">
        <f>T("CODE 7434")</f>
        <v>CODE 7434</v>
      </c>
      <c r="D873" t="str">
        <f t="shared" si="308"/>
        <v>WASHINGTON</v>
      </c>
      <c r="E873" t="str">
        <f t="shared" si="309"/>
        <v>DC</v>
      </c>
      <c r="F873" t="str">
        <f t="shared" si="310"/>
        <v>203750001</v>
      </c>
      <c r="G873" t="str">
        <f>T("STENNIS SPACE CENTER")</f>
        <v>STENNIS SPACE CENTER</v>
      </c>
      <c r="H873" t="str">
        <f>T("CODE 7432 BLDG 1005 B4")</f>
        <v>CODE 7432 BLDG 1005 B4</v>
      </c>
      <c r="I873" t="str">
        <f>T("STENNIS SPACE CENTER")</f>
        <v>STENNIS SPACE CENTER</v>
      </c>
      <c r="J873" t="str">
        <f>T("MS")</f>
        <v>MS</v>
      </c>
      <c r="K873" t="str">
        <f>T("2286885752")</f>
        <v>2286885752</v>
      </c>
      <c r="L873" t="str">
        <f>T("2286884828")</f>
        <v>2286884828</v>
      </c>
    </row>
    <row r="874" spans="1:12" x14ac:dyDescent="0.35">
      <c r="A874" t="str">
        <f t="shared" si="306"/>
        <v>NAVAL RESEARCH LABORATORY</v>
      </c>
      <c r="B874" t="str">
        <f t="shared" si="316"/>
        <v>4555 OVERLOOK AVE SW</v>
      </c>
      <c r="C874" t="str">
        <f t="shared" ref="C874:C880" si="319">T("CODE 7602")</f>
        <v>CODE 7602</v>
      </c>
      <c r="D874" t="str">
        <f t="shared" si="308"/>
        <v>WASHINGTON</v>
      </c>
      <c r="E874" t="str">
        <f t="shared" si="309"/>
        <v>DC</v>
      </c>
      <c r="F874" t="str">
        <f t="shared" si="310"/>
        <v>203750001</v>
      </c>
      <c r="G874" t="str">
        <f>T("4555 OVERLOOK AVE SW")</f>
        <v>4555 OVERLOOK AVE SW</v>
      </c>
      <c r="H874" t="str">
        <f>T("CODE 7602")</f>
        <v>CODE 7602</v>
      </c>
      <c r="I874" t="str">
        <f t="shared" ref="I874:I903" si="320">T("WASHINGTON")</f>
        <v>WASHINGTON</v>
      </c>
      <c r="J874" t="str">
        <f t="shared" ref="J874:J903" si="321">T("DC")</f>
        <v>DC</v>
      </c>
      <c r="K874" t="str">
        <f>T("000000000000000000")</f>
        <v>000000000000000000</v>
      </c>
      <c r="L874" t="str">
        <f>T("2027673637")</f>
        <v>2027673637</v>
      </c>
    </row>
    <row r="875" spans="1:12" x14ac:dyDescent="0.35">
      <c r="A875" t="str">
        <f t="shared" si="306"/>
        <v>NAVAL RESEARCH LABORATORY</v>
      </c>
      <c r="B875" t="str">
        <f t="shared" si="316"/>
        <v>4555 OVERLOOK AVE SW</v>
      </c>
      <c r="C875" t="str">
        <f t="shared" si="319"/>
        <v>CODE 7602</v>
      </c>
      <c r="D875" t="str">
        <f t="shared" si="308"/>
        <v>WASHINGTON</v>
      </c>
      <c r="E875" t="str">
        <f t="shared" si="309"/>
        <v>DC</v>
      </c>
      <c r="F875" t="str">
        <f t="shared" si="310"/>
        <v>203750001</v>
      </c>
      <c r="G875" t="str">
        <f>T("4555 OVERLOOK AVE SW")</f>
        <v>4555 OVERLOOK AVE SW</v>
      </c>
      <c r="H875" t="str">
        <f>T("CODE 7602")</f>
        <v>CODE 7602</v>
      </c>
      <c r="I875" t="str">
        <f t="shared" si="320"/>
        <v>WASHINGTON</v>
      </c>
      <c r="J875" t="str">
        <f t="shared" si="321"/>
        <v>DC</v>
      </c>
      <c r="K875" t="str">
        <f>T("202 404 1350")</f>
        <v>202 404 1350</v>
      </c>
      <c r="L875" t="str">
        <f>T("2027673631")</f>
        <v>2027673631</v>
      </c>
    </row>
    <row r="876" spans="1:12" x14ac:dyDescent="0.35">
      <c r="A876" t="str">
        <f t="shared" si="306"/>
        <v>NAVAL RESEARCH LABORATORY</v>
      </c>
      <c r="B876" t="str">
        <f t="shared" si="316"/>
        <v>4555 OVERLOOK AVE SW</v>
      </c>
      <c r="C876" t="str">
        <f t="shared" si="319"/>
        <v>CODE 7602</v>
      </c>
      <c r="D876" t="str">
        <f t="shared" si="308"/>
        <v>WASHINGTON</v>
      </c>
      <c r="E876" t="str">
        <f t="shared" si="309"/>
        <v>DC</v>
      </c>
      <c r="F876" t="str">
        <f t="shared" si="310"/>
        <v>203750001</v>
      </c>
      <c r="G876" t="str">
        <f>T("4555 OVERLOOK AVE SW")</f>
        <v>4555 OVERLOOK AVE SW</v>
      </c>
      <c r="H876" t="str">
        <f>T("CODE 7602")</f>
        <v>CODE 7602</v>
      </c>
      <c r="I876" t="str">
        <f t="shared" si="320"/>
        <v>WASHINGTON</v>
      </c>
      <c r="J876" t="str">
        <f t="shared" si="321"/>
        <v>DC</v>
      </c>
      <c r="K876" t="str">
        <f>T("2024041350")</f>
        <v>2024041350</v>
      </c>
      <c r="L876" t="str">
        <f>T("2027673637")</f>
        <v>2027673637</v>
      </c>
    </row>
    <row r="877" spans="1:12" x14ac:dyDescent="0.35">
      <c r="A877" t="str">
        <f t="shared" si="306"/>
        <v>NAVAL RESEARCH LABORATORY</v>
      </c>
      <c r="B877" t="str">
        <f t="shared" si="316"/>
        <v>4555 OVERLOOK AVE SW</v>
      </c>
      <c r="C877" t="str">
        <f t="shared" si="319"/>
        <v>CODE 7602</v>
      </c>
      <c r="D877" t="str">
        <f t="shared" si="308"/>
        <v>WASHINGTON</v>
      </c>
      <c r="E877" t="str">
        <f t="shared" si="309"/>
        <v>DC</v>
      </c>
      <c r="F877" t="str">
        <f t="shared" si="310"/>
        <v>203750001</v>
      </c>
      <c r="G877" t="str">
        <f>T("4555 OVERLOOK AVE SW")</f>
        <v>4555 OVERLOOK AVE SW</v>
      </c>
      <c r="H877" t="str">
        <f>T("CODE 7630")</f>
        <v>CODE 7630</v>
      </c>
      <c r="I877" t="str">
        <f t="shared" si="320"/>
        <v>WASHINGTON</v>
      </c>
      <c r="J877" t="str">
        <f t="shared" si="321"/>
        <v>DC</v>
      </c>
      <c r="K877" t="str">
        <f>T("2024047997")</f>
        <v>2024047997</v>
      </c>
      <c r="L877" t="str">
        <f>T("2024041451")</f>
        <v>2024041451</v>
      </c>
    </row>
    <row r="878" spans="1:12" x14ac:dyDescent="0.35">
      <c r="A878" t="str">
        <f t="shared" si="306"/>
        <v>NAVAL RESEARCH LABORATORY</v>
      </c>
      <c r="B878" t="str">
        <f t="shared" si="316"/>
        <v>4555 OVERLOOK AVE SW</v>
      </c>
      <c r="C878" t="str">
        <f t="shared" si="319"/>
        <v>CODE 7602</v>
      </c>
      <c r="D878" t="str">
        <f t="shared" si="308"/>
        <v>WASHINGTON</v>
      </c>
      <c r="E878" t="str">
        <f t="shared" si="309"/>
        <v>DC</v>
      </c>
      <c r="F878" t="str">
        <f t="shared" si="310"/>
        <v>203750001</v>
      </c>
      <c r="G878" t="str">
        <f>T("4555 OVERLOOK AVE SW")</f>
        <v>4555 OVERLOOK AVE SW</v>
      </c>
      <c r="H878" t="str">
        <f>T("CODE 7650")</f>
        <v>CODE 7650</v>
      </c>
      <c r="I878" t="str">
        <f t="shared" si="320"/>
        <v>WASHINGTON</v>
      </c>
      <c r="J878" t="str">
        <f t="shared" si="321"/>
        <v>DC</v>
      </c>
      <c r="K878" t="str">
        <f>T("2027676473")</f>
        <v>2027676473</v>
      </c>
      <c r="L878" t="str">
        <f>T("2027675952")</f>
        <v>2027675952</v>
      </c>
    </row>
    <row r="879" spans="1:12" x14ac:dyDescent="0.35">
      <c r="A879" t="str">
        <f t="shared" si="306"/>
        <v>NAVAL RESEARCH LABORATORY</v>
      </c>
      <c r="B879" t="str">
        <f t="shared" si="316"/>
        <v>4555 OVERLOOK AVE SW</v>
      </c>
      <c r="C879" t="str">
        <f t="shared" si="319"/>
        <v>CODE 7602</v>
      </c>
      <c r="D879" t="str">
        <f t="shared" si="308"/>
        <v>WASHINGTON</v>
      </c>
      <c r="E879" t="str">
        <f t="shared" si="309"/>
        <v>DC</v>
      </c>
      <c r="F879" t="str">
        <f t="shared" si="310"/>
        <v>203750001</v>
      </c>
      <c r="G879" t="str">
        <f>T("4555 OVERLOOK AVENUE SW")</f>
        <v>4555 OVERLOOK AVENUE SW</v>
      </c>
      <c r="H879" t="str">
        <f>T("CODE 7602")</f>
        <v>CODE 7602</v>
      </c>
      <c r="I879" t="str">
        <f t="shared" si="320"/>
        <v>WASHINGTON</v>
      </c>
      <c r="J879" t="str">
        <f t="shared" si="321"/>
        <v>DC</v>
      </c>
      <c r="K879" t="str">
        <f>T("000000000000000000")</f>
        <v>000000000000000000</v>
      </c>
      <c r="L879" t="str">
        <f>T("2027673631")</f>
        <v>2027673631</v>
      </c>
    </row>
    <row r="880" spans="1:12" x14ac:dyDescent="0.35">
      <c r="A880" t="str">
        <f t="shared" si="306"/>
        <v>NAVAL RESEARCH LABORATORY</v>
      </c>
      <c r="B880" t="str">
        <f t="shared" si="316"/>
        <v>4555 OVERLOOK AVE SW</v>
      </c>
      <c r="C880" t="str">
        <f t="shared" si="319"/>
        <v>CODE 7602</v>
      </c>
      <c r="D880" t="str">
        <f t="shared" si="308"/>
        <v>WASHINGTON</v>
      </c>
      <c r="E880" t="str">
        <f t="shared" si="309"/>
        <v>DC</v>
      </c>
      <c r="F880" t="str">
        <f t="shared" si="310"/>
        <v>203750001</v>
      </c>
      <c r="G880" t="str">
        <f>T("4555 OVERLOOK AVENUE SW")</f>
        <v>4555 OVERLOOK AVENUE SW</v>
      </c>
      <c r="H880" t="str">
        <f>T("CODE 7660")</f>
        <v>CODE 7660</v>
      </c>
      <c r="I880" t="str">
        <f t="shared" si="320"/>
        <v>WASHINGTON</v>
      </c>
      <c r="J880" t="str">
        <f t="shared" si="321"/>
        <v>DC</v>
      </c>
      <c r="K880" t="str">
        <f>T("000000000000000000")</f>
        <v>000000000000000000</v>
      </c>
      <c r="L880" t="str">
        <f>T("2027672263")</f>
        <v>2027672263</v>
      </c>
    </row>
    <row r="881" spans="1:12" x14ac:dyDescent="0.35">
      <c r="A881" t="str">
        <f t="shared" si="306"/>
        <v>NAVAL RESEARCH LABORATORY</v>
      </c>
      <c r="B881" t="str">
        <f t="shared" si="316"/>
        <v>4555 OVERLOOK AVE SW</v>
      </c>
      <c r="C881" t="str">
        <f>T("CODE 8112")</f>
        <v>CODE 8112</v>
      </c>
      <c r="D881" t="str">
        <f t="shared" si="308"/>
        <v>WASHINGTON</v>
      </c>
      <c r="E881" t="str">
        <f t="shared" si="309"/>
        <v>DC</v>
      </c>
      <c r="F881" t="str">
        <f t="shared" si="310"/>
        <v>203750001</v>
      </c>
      <c r="G881" t="str">
        <f>T("4555 OVERLOOK AVE SW")</f>
        <v>4555 OVERLOOK AVE SW</v>
      </c>
      <c r="H881" t="str">
        <f>T("BLG 259 RM 1156")</f>
        <v>BLG 259 RM 1156</v>
      </c>
      <c r="I881" t="str">
        <f t="shared" si="320"/>
        <v>WASHINGTON</v>
      </c>
      <c r="J881" t="str">
        <f t="shared" si="321"/>
        <v>DC</v>
      </c>
      <c r="K881" t="str">
        <f>T("000000000000000000")</f>
        <v>000000000000000000</v>
      </c>
      <c r="L881" t="str">
        <f>T("2022797190")</f>
        <v>2022797190</v>
      </c>
    </row>
    <row r="882" spans="1:12" x14ac:dyDescent="0.35">
      <c r="A882" t="str">
        <f t="shared" si="306"/>
        <v>NAVAL RESEARCH LABORATORY</v>
      </c>
      <c r="B882" t="str">
        <f t="shared" si="316"/>
        <v>4555 OVERLOOK AVE SW</v>
      </c>
      <c r="C882" t="str">
        <f>T("CODE 8112")</f>
        <v>CODE 8112</v>
      </c>
      <c r="D882" t="str">
        <f t="shared" si="308"/>
        <v>WASHINGTON</v>
      </c>
      <c r="E882" t="str">
        <f t="shared" si="309"/>
        <v>DC</v>
      </c>
      <c r="F882" t="str">
        <f t="shared" si="310"/>
        <v>203750001</v>
      </c>
      <c r="G882" t="str">
        <f>T("4555 OVERLOOK AVE SW")</f>
        <v>4555 OVERLOOK AVE SW</v>
      </c>
      <c r="H882" t="str">
        <f>T("CODE 8112")</f>
        <v>CODE 8112</v>
      </c>
      <c r="I882" t="str">
        <f t="shared" si="320"/>
        <v>WASHINGTON</v>
      </c>
      <c r="J882" t="str">
        <f t="shared" si="321"/>
        <v>DC</v>
      </c>
      <c r="K882" t="str">
        <f>T("")</f>
        <v/>
      </c>
      <c r="L882" t="str">
        <f>T("2024044075")</f>
        <v>2024044075</v>
      </c>
    </row>
    <row r="883" spans="1:12" x14ac:dyDescent="0.35">
      <c r="A883" t="str">
        <f t="shared" si="306"/>
        <v>NAVAL RESEARCH LABORATORY</v>
      </c>
      <c r="B883" t="str">
        <f t="shared" si="316"/>
        <v>4555 OVERLOOK AVE SW</v>
      </c>
      <c r="C883" t="str">
        <f>T("CODE 8121")</f>
        <v>CODE 8121</v>
      </c>
      <c r="D883" t="str">
        <f t="shared" si="308"/>
        <v>WASHINGTON</v>
      </c>
      <c r="E883" t="str">
        <f t="shared" si="309"/>
        <v>DC</v>
      </c>
      <c r="F883" t="str">
        <f t="shared" si="310"/>
        <v>203750001</v>
      </c>
      <c r="G883" t="str">
        <f>T("4555 OVERLOOK AVE S W")</f>
        <v>4555 OVERLOOK AVE S W</v>
      </c>
      <c r="H883" t="str">
        <f>T("CODE 8123")</f>
        <v>CODE 8123</v>
      </c>
      <c r="I883" t="str">
        <f t="shared" si="320"/>
        <v>WASHINGTON</v>
      </c>
      <c r="J883" t="str">
        <f t="shared" si="321"/>
        <v>DC</v>
      </c>
      <c r="K883" t="str">
        <f>T("2024042248")</f>
        <v>2024042248</v>
      </c>
      <c r="L883" t="str">
        <f>T("2022794634")</f>
        <v>2022794634</v>
      </c>
    </row>
    <row r="884" spans="1:12" x14ac:dyDescent="0.35">
      <c r="A884" t="str">
        <f t="shared" si="306"/>
        <v>NAVAL RESEARCH LABORATORY</v>
      </c>
      <c r="B884" t="str">
        <f t="shared" si="316"/>
        <v>4555 OVERLOOK AVE SW</v>
      </c>
      <c r="C884" t="str">
        <f>T("CODE 8121")</f>
        <v>CODE 8121</v>
      </c>
      <c r="D884" t="str">
        <f t="shared" si="308"/>
        <v>WASHINGTON</v>
      </c>
      <c r="E884" t="str">
        <f t="shared" si="309"/>
        <v>DC</v>
      </c>
      <c r="F884" t="str">
        <f t="shared" si="310"/>
        <v>203750001</v>
      </c>
      <c r="G884" t="str">
        <f>T("4555 OVERLOOK AVE SW")</f>
        <v>4555 OVERLOOK AVE SW</v>
      </c>
      <c r="H884" t="str">
        <f>T("CODE 8120")</f>
        <v>CODE 8120</v>
      </c>
      <c r="I884" t="str">
        <f t="shared" si="320"/>
        <v>WASHINGTON</v>
      </c>
      <c r="J884" t="str">
        <f t="shared" si="321"/>
        <v>DC</v>
      </c>
      <c r="K884" t="str">
        <f>T("000000000000000000")</f>
        <v>000000000000000000</v>
      </c>
      <c r="L884" t="str">
        <f>T("2022797187")</f>
        <v>2022797187</v>
      </c>
    </row>
    <row r="885" spans="1:12" x14ac:dyDescent="0.35">
      <c r="A885" t="str">
        <f t="shared" si="306"/>
        <v>NAVAL RESEARCH LABORATORY</v>
      </c>
      <c r="B885" t="str">
        <f t="shared" si="316"/>
        <v>4555 OVERLOOK AVE SW</v>
      </c>
      <c r="C885" t="str">
        <f>T("CODE 8121")</f>
        <v>CODE 8121</v>
      </c>
      <c r="D885" t="str">
        <f t="shared" si="308"/>
        <v>WASHINGTON</v>
      </c>
      <c r="E885" t="str">
        <f t="shared" si="309"/>
        <v>DC</v>
      </c>
      <c r="F885" t="str">
        <f t="shared" si="310"/>
        <v>203750001</v>
      </c>
      <c r="G885" t="str">
        <f>T("4555 OVERLOOK AVE SW")</f>
        <v>4555 OVERLOOK AVE SW</v>
      </c>
      <c r="H885" t="str">
        <f>T("CODE 8121")</f>
        <v>CODE 8121</v>
      </c>
      <c r="I885" t="str">
        <f t="shared" si="320"/>
        <v>WASHINGTON</v>
      </c>
      <c r="J885" t="str">
        <f t="shared" si="321"/>
        <v>DC</v>
      </c>
      <c r="K885" t="str">
        <f>T("2027676611")</f>
        <v>2027676611</v>
      </c>
      <c r="L885" t="str">
        <f>T("2027670162")</f>
        <v>2027670162</v>
      </c>
    </row>
    <row r="886" spans="1:12" x14ac:dyDescent="0.35">
      <c r="A886" t="str">
        <f t="shared" si="306"/>
        <v>NAVAL RESEARCH LABORATORY</v>
      </c>
      <c r="B886" t="str">
        <f t="shared" si="316"/>
        <v>4555 OVERLOOK AVE SW</v>
      </c>
      <c r="C886" t="str">
        <f>T("CODE 8121")</f>
        <v>CODE 8121</v>
      </c>
      <c r="D886" t="str">
        <f t="shared" si="308"/>
        <v>WASHINGTON</v>
      </c>
      <c r="E886" t="str">
        <f t="shared" si="309"/>
        <v>DC</v>
      </c>
      <c r="F886" t="str">
        <f t="shared" si="310"/>
        <v>203750001</v>
      </c>
      <c r="G886" t="str">
        <f>T("4555 OVERLOOK AVENUE SW")</f>
        <v>4555 OVERLOOK AVENUE SW</v>
      </c>
      <c r="H886" t="str">
        <f>T("CODE 8123")</f>
        <v>CODE 8123</v>
      </c>
      <c r="I886" t="str">
        <f t="shared" si="320"/>
        <v>WASHINGTON</v>
      </c>
      <c r="J886" t="str">
        <f t="shared" si="321"/>
        <v>DC</v>
      </c>
      <c r="K886" t="str">
        <f>T("000000000000000000")</f>
        <v>000000000000000000</v>
      </c>
      <c r="L886" t="str">
        <f>T("2024044240")</f>
        <v>2024044240</v>
      </c>
    </row>
    <row r="887" spans="1:12" x14ac:dyDescent="0.35">
      <c r="A887" t="str">
        <f t="shared" si="306"/>
        <v>NAVAL RESEARCH LABORATORY</v>
      </c>
      <c r="B887" t="str">
        <f t="shared" si="316"/>
        <v>4555 OVERLOOK AVE SW</v>
      </c>
      <c r="C887" t="str">
        <f>T("CODE 8210")</f>
        <v>CODE 8210</v>
      </c>
      <c r="D887" t="str">
        <f t="shared" si="308"/>
        <v>WASHINGTON</v>
      </c>
      <c r="E887" t="str">
        <f t="shared" si="309"/>
        <v>DC</v>
      </c>
      <c r="F887" t="str">
        <f t="shared" si="310"/>
        <v>203750001</v>
      </c>
      <c r="G887" t="str">
        <f>T("4555 OVERLOOK AVE SW")</f>
        <v>4555 OVERLOOK AVE SW</v>
      </c>
      <c r="H887" t="str">
        <f>T("CODE 8210")</f>
        <v>CODE 8210</v>
      </c>
      <c r="I887" t="str">
        <f t="shared" si="320"/>
        <v>WASHINGTON</v>
      </c>
      <c r="J887" t="str">
        <f t="shared" si="321"/>
        <v>DC</v>
      </c>
      <c r="K887" t="str">
        <f>T("2024042057")</f>
        <v>2024042057</v>
      </c>
      <c r="L887" t="str">
        <f>T("2024043041")</f>
        <v>2024043041</v>
      </c>
    </row>
    <row r="888" spans="1:12" x14ac:dyDescent="0.35">
      <c r="A888" t="str">
        <f t="shared" si="306"/>
        <v>NAVAL RESEARCH LABORATORY</v>
      </c>
      <c r="B888" t="str">
        <f t="shared" si="316"/>
        <v>4555 OVERLOOK AVE SW</v>
      </c>
      <c r="C888" t="str">
        <f>T("CODE 8210")</f>
        <v>CODE 8210</v>
      </c>
      <c r="D888" t="str">
        <f t="shared" si="308"/>
        <v>WASHINGTON</v>
      </c>
      <c r="E888" t="str">
        <f t="shared" si="309"/>
        <v>DC</v>
      </c>
      <c r="F888" t="str">
        <f t="shared" si="310"/>
        <v>203750001</v>
      </c>
      <c r="G888" t="str">
        <f>T("4555 OVERLOOK AVENUE SW")</f>
        <v>4555 OVERLOOK AVENUE SW</v>
      </c>
      <c r="H888" t="str">
        <f>T("CODE 8210")</f>
        <v>CODE 8210</v>
      </c>
      <c r="I888" t="str">
        <f t="shared" si="320"/>
        <v>WASHINGTON</v>
      </c>
      <c r="J888" t="str">
        <f t="shared" si="321"/>
        <v>DC</v>
      </c>
      <c r="K888" t="str">
        <f>T("000000000000000000")</f>
        <v>000000000000000000</v>
      </c>
      <c r="L888" t="str">
        <f>T("2027670027")</f>
        <v>2027670027</v>
      </c>
    </row>
    <row r="889" spans="1:12" x14ac:dyDescent="0.35">
      <c r="A889" t="str">
        <f t="shared" si="306"/>
        <v>NAVAL RESEARCH LABORATORY</v>
      </c>
      <c r="B889" t="str">
        <f t="shared" si="316"/>
        <v>4555 OVERLOOK AVE SW</v>
      </c>
      <c r="C889" t="str">
        <f>T("CODE 8221")</f>
        <v>CODE 8221</v>
      </c>
      <c r="D889" t="str">
        <f t="shared" si="308"/>
        <v>WASHINGTON</v>
      </c>
      <c r="E889" t="str">
        <f t="shared" si="309"/>
        <v>DC</v>
      </c>
      <c r="F889" t="str">
        <f t="shared" si="310"/>
        <v>203750001</v>
      </c>
      <c r="G889" t="str">
        <f t="shared" ref="G889:G894" si="322">T("4555 OVERLOOK AVE SW")</f>
        <v>4555 OVERLOOK AVE SW</v>
      </c>
      <c r="H889" t="str">
        <f>T("CODE 8221")</f>
        <v>CODE 8221</v>
      </c>
      <c r="I889" t="str">
        <f t="shared" si="320"/>
        <v>WASHINGTON</v>
      </c>
      <c r="J889" t="str">
        <f t="shared" si="321"/>
        <v>DC</v>
      </c>
      <c r="K889" t="str">
        <f>T("000000000000000000")</f>
        <v>000000000000000000</v>
      </c>
      <c r="L889" t="str">
        <f>T("2024047432")</f>
        <v>2024047432</v>
      </c>
    </row>
    <row r="890" spans="1:12" x14ac:dyDescent="0.35">
      <c r="A890" t="str">
        <f t="shared" si="306"/>
        <v>NAVAL RESEARCH LABORATORY</v>
      </c>
      <c r="B890" t="str">
        <f t="shared" si="316"/>
        <v>4555 OVERLOOK AVE SW</v>
      </c>
      <c r="C890" t="str">
        <f>T("CODE 8230")</f>
        <v>CODE 8230</v>
      </c>
      <c r="D890" t="str">
        <f t="shared" si="308"/>
        <v>WASHINGTON</v>
      </c>
      <c r="E890" t="str">
        <f t="shared" si="309"/>
        <v>DC</v>
      </c>
      <c r="F890" t="str">
        <f t="shared" si="310"/>
        <v>203750001</v>
      </c>
      <c r="G890" t="str">
        <f t="shared" si="322"/>
        <v>4555 OVERLOOK AVE SW</v>
      </c>
      <c r="H890" t="str">
        <f>T("CODE 8230")</f>
        <v>CODE 8230</v>
      </c>
      <c r="I890" t="str">
        <f t="shared" si="320"/>
        <v>WASHINGTON</v>
      </c>
      <c r="J890" t="str">
        <f t="shared" si="321"/>
        <v>DC</v>
      </c>
      <c r="K890" t="str">
        <f>T("000000000000000000")</f>
        <v>000000000000000000</v>
      </c>
      <c r="L890" t="str">
        <f>T("2024047410")</f>
        <v>2024047410</v>
      </c>
    </row>
    <row r="891" spans="1:12" x14ac:dyDescent="0.35">
      <c r="A891" t="str">
        <f t="shared" si="306"/>
        <v>NAVAL RESEARCH LABORATORY</v>
      </c>
      <c r="B891" t="str">
        <f t="shared" si="316"/>
        <v>4555 OVERLOOK AVE SW</v>
      </c>
      <c r="C891" t="str">
        <f>T("NRL BLDG 222 CODE 3202")</f>
        <v>NRL BLDG 222 CODE 3202</v>
      </c>
      <c r="D891" t="str">
        <f t="shared" si="308"/>
        <v>WASHINGTON</v>
      </c>
      <c r="E891" t="str">
        <f t="shared" si="309"/>
        <v>DC</v>
      </c>
      <c r="F891" t="str">
        <f t="shared" si="310"/>
        <v>203750001</v>
      </c>
      <c r="G891" t="str">
        <f t="shared" si="322"/>
        <v>4555 OVERLOOK AVE SW</v>
      </c>
      <c r="H891" t="str">
        <f>T("CODE 3202")</f>
        <v>CODE 3202</v>
      </c>
      <c r="I891" t="str">
        <f t="shared" si="320"/>
        <v>WASHINGTON</v>
      </c>
      <c r="J891" t="str">
        <f t="shared" si="321"/>
        <v>DC</v>
      </c>
      <c r="K891" t="str">
        <f>T("2027675896")</f>
        <v>2027675896</v>
      </c>
      <c r="L891" t="str">
        <f>T("2027676613")</f>
        <v>2027676613</v>
      </c>
    </row>
    <row r="892" spans="1:12" x14ac:dyDescent="0.35">
      <c r="A892" t="str">
        <f t="shared" si="306"/>
        <v>NAVAL RESEARCH LABORATORY</v>
      </c>
      <c r="B892" t="str">
        <f t="shared" si="316"/>
        <v>4555 OVERLOOK AVE SW</v>
      </c>
      <c r="C892" t="str">
        <f>T("NRL BLDG 222 CODE 3202")</f>
        <v>NRL BLDG 222 CODE 3202</v>
      </c>
      <c r="D892" t="str">
        <f t="shared" si="308"/>
        <v>WASHINGTON</v>
      </c>
      <c r="E892" t="str">
        <f t="shared" si="309"/>
        <v>DC</v>
      </c>
      <c r="F892" t="str">
        <f t="shared" si="310"/>
        <v>203750001</v>
      </c>
      <c r="G892" t="str">
        <f t="shared" si="322"/>
        <v>4555 OVERLOOK AVE SW</v>
      </c>
      <c r="H892" t="str">
        <f>T("CODE 3202")</f>
        <v>CODE 3202</v>
      </c>
      <c r="I892" t="str">
        <f t="shared" si="320"/>
        <v>WASHINGTON</v>
      </c>
      <c r="J892" t="str">
        <f t="shared" si="321"/>
        <v>DC</v>
      </c>
      <c r="K892" t="str">
        <f>T("2027676197")</f>
        <v>2027676197</v>
      </c>
      <c r="L892" t="str">
        <f>T("2024041345")</f>
        <v>2024041345</v>
      </c>
    </row>
    <row r="893" spans="1:12" x14ac:dyDescent="0.35">
      <c r="A893" t="str">
        <f t="shared" si="306"/>
        <v>NAVAL RESEARCH LABORATORY</v>
      </c>
      <c r="B893" t="str">
        <f t="shared" si="316"/>
        <v>4555 OVERLOOK AVE SW</v>
      </c>
      <c r="C893" t="str">
        <f>T("NRL BLDG 222 CODE 3202")</f>
        <v>NRL BLDG 222 CODE 3202</v>
      </c>
      <c r="D893" t="str">
        <f t="shared" si="308"/>
        <v>WASHINGTON</v>
      </c>
      <c r="E893" t="str">
        <f t="shared" si="309"/>
        <v>DC</v>
      </c>
      <c r="F893" t="str">
        <f t="shared" si="310"/>
        <v>203750001</v>
      </c>
      <c r="G893" t="str">
        <f t="shared" si="322"/>
        <v>4555 OVERLOOK AVE SW</v>
      </c>
      <c r="H893" t="str">
        <f>T("NRL BLDG 222 CODE 3202")</f>
        <v>NRL BLDG 222 CODE 3202</v>
      </c>
      <c r="I893" t="str">
        <f t="shared" si="320"/>
        <v>WASHINGTON</v>
      </c>
      <c r="J893" t="str">
        <f t="shared" si="321"/>
        <v>DC</v>
      </c>
      <c r="K893" t="str">
        <f>T("")</f>
        <v/>
      </c>
      <c r="L893" t="str">
        <f>T("2027675227")</f>
        <v>2027675227</v>
      </c>
    </row>
    <row r="894" spans="1:12" x14ac:dyDescent="0.35">
      <c r="A894" t="str">
        <f t="shared" si="306"/>
        <v>NAVAL RESEARCH LABORATORY</v>
      </c>
      <c r="B894" t="str">
        <f>T("4555 OVERLOOK AVE SW9")</f>
        <v>4555 OVERLOOK AVE SW9</v>
      </c>
      <c r="C894" t="str">
        <f>T("CODE 8141")</f>
        <v>CODE 8141</v>
      </c>
      <c r="D894" t="str">
        <f t="shared" si="308"/>
        <v>WASHINGTON</v>
      </c>
      <c r="E894" t="str">
        <f t="shared" si="309"/>
        <v>DC</v>
      </c>
      <c r="F894" t="str">
        <f t="shared" si="310"/>
        <v>203750001</v>
      </c>
      <c r="G894" t="str">
        <f t="shared" si="322"/>
        <v>4555 OVERLOOK AVE SW</v>
      </c>
      <c r="H894" t="str">
        <f>T("CODE 8140 BLDG 259 RM1155")</f>
        <v>CODE 8140 BLDG 259 RM1155</v>
      </c>
      <c r="I894" t="str">
        <f t="shared" si="320"/>
        <v>WASHINGTON</v>
      </c>
      <c r="J894" t="str">
        <f t="shared" si="321"/>
        <v>DC</v>
      </c>
      <c r="K894" t="str">
        <f>T("000000000000000000")</f>
        <v>000000000000000000</v>
      </c>
      <c r="L894" t="str">
        <f>T("2022797201")</f>
        <v>2022797201</v>
      </c>
    </row>
    <row r="895" spans="1:12" x14ac:dyDescent="0.35">
      <c r="A895" t="str">
        <f t="shared" si="306"/>
        <v>NAVAL RESEARCH LABORATORY</v>
      </c>
      <c r="B895" t="str">
        <f>T("4555 OVERLOOK AVE SW9")</f>
        <v>4555 OVERLOOK AVE SW9</v>
      </c>
      <c r="C895" t="str">
        <f>T("CODE 8141")</f>
        <v>CODE 8141</v>
      </c>
      <c r="D895" t="str">
        <f t="shared" si="308"/>
        <v>WASHINGTON</v>
      </c>
      <c r="E895" t="str">
        <f t="shared" si="309"/>
        <v>DC</v>
      </c>
      <c r="F895" t="str">
        <f t="shared" si="310"/>
        <v>203750001</v>
      </c>
      <c r="G895" t="str">
        <f>T("4555 OVERLOOK AVE SW9")</f>
        <v>4555 OVERLOOK AVE SW9</v>
      </c>
      <c r="H895" t="str">
        <f>T("CODE 8141")</f>
        <v>CODE 8141</v>
      </c>
      <c r="I895" t="str">
        <f t="shared" si="320"/>
        <v>WASHINGTON</v>
      </c>
      <c r="J895" t="str">
        <f t="shared" si="321"/>
        <v>DC</v>
      </c>
      <c r="K895" t="str">
        <f>T("2024041254")</f>
        <v>2024041254</v>
      </c>
      <c r="L895" t="str">
        <f>T("2022794285")</f>
        <v>2022794285</v>
      </c>
    </row>
    <row r="896" spans="1:12" x14ac:dyDescent="0.35">
      <c r="A896" t="str">
        <f t="shared" si="306"/>
        <v>NAVAL RESEARCH LABORATORY</v>
      </c>
      <c r="B896" t="str">
        <f t="shared" ref="B896:B903" si="323">T("4555 OVERLOOK AVENUE SW")</f>
        <v>4555 OVERLOOK AVENUE SW</v>
      </c>
      <c r="C896" t="str">
        <f>T("CODE 3502")</f>
        <v>CODE 3502</v>
      </c>
      <c r="D896" t="str">
        <f t="shared" si="308"/>
        <v>WASHINGTON</v>
      </c>
      <c r="E896" t="str">
        <f t="shared" si="309"/>
        <v>DC</v>
      </c>
      <c r="F896" t="str">
        <f>T("203755000")</f>
        <v>203755000</v>
      </c>
      <c r="G896" t="str">
        <f>T("4555 OVERLOOK AVENUE SW")</f>
        <v>4555 OVERLOOK AVENUE SW</v>
      </c>
      <c r="H896" t="str">
        <f>T("CODE 3502")</f>
        <v>CODE 3502</v>
      </c>
      <c r="I896" t="str">
        <f t="shared" si="320"/>
        <v>WASHINGTON</v>
      </c>
      <c r="J896" t="str">
        <f t="shared" si="321"/>
        <v>DC</v>
      </c>
      <c r="K896" t="str">
        <f>T("2024047696")</f>
        <v>2024047696</v>
      </c>
      <c r="L896" t="str">
        <f>T("2027672691")</f>
        <v>2027672691</v>
      </c>
    </row>
    <row r="897" spans="1:12" x14ac:dyDescent="0.35">
      <c r="A897" t="str">
        <f t="shared" ref="A897:A950" si="324">T("NAVAL RESEARCH LABORATORY")</f>
        <v>NAVAL RESEARCH LABORATORY</v>
      </c>
      <c r="B897" t="str">
        <f t="shared" si="323"/>
        <v>4555 OVERLOOK AVENUE SW</v>
      </c>
      <c r="C897" t="str">
        <f>T("CODE 3502")</f>
        <v>CODE 3502</v>
      </c>
      <c r="D897" t="str">
        <f t="shared" si="308"/>
        <v>WASHINGTON</v>
      </c>
      <c r="E897" t="str">
        <f t="shared" si="309"/>
        <v>DC</v>
      </c>
      <c r="F897" t="str">
        <f>T("203755000")</f>
        <v>203755000</v>
      </c>
      <c r="G897" t="str">
        <f>T("4555 OVERLOOK AVENUE SW")</f>
        <v>4555 OVERLOOK AVENUE SW</v>
      </c>
      <c r="H897" t="str">
        <f>T("CODE 3541")</f>
        <v>CODE 3541</v>
      </c>
      <c r="I897" t="str">
        <f t="shared" si="320"/>
        <v>WASHINGTON</v>
      </c>
      <c r="J897" t="str">
        <f t="shared" si="321"/>
        <v>DC</v>
      </c>
      <c r="K897" t="str">
        <f>T("000000000000000000")</f>
        <v>000000000000000000</v>
      </c>
      <c r="L897" t="str">
        <f>T("2024044415")</f>
        <v>2024044415</v>
      </c>
    </row>
    <row r="898" spans="1:12" x14ac:dyDescent="0.35">
      <c r="A898" t="str">
        <f t="shared" si="324"/>
        <v>NAVAL RESEARCH LABORATORY</v>
      </c>
      <c r="B898" t="str">
        <f t="shared" si="323"/>
        <v>4555 OVERLOOK AVENUE SW</v>
      </c>
      <c r="C898" t="str">
        <f>T("CODE 3502")</f>
        <v>CODE 3502</v>
      </c>
      <c r="D898" t="str">
        <f t="shared" ref="D898:D903" si="325">T("WASHINGTON")</f>
        <v>WASHINGTON</v>
      </c>
      <c r="E898" t="str">
        <f t="shared" ref="E898:E903" si="326">T("DC")</f>
        <v>DC</v>
      </c>
      <c r="F898" t="str">
        <f>T("203755000")</f>
        <v>203755000</v>
      </c>
      <c r="G898" t="str">
        <f>T("4555 OVERLOOK AVENUE SW")</f>
        <v>4555 OVERLOOK AVENUE SW</v>
      </c>
      <c r="H898" t="str">
        <f>T("CODE 3544")</f>
        <v>CODE 3544</v>
      </c>
      <c r="I898" t="str">
        <f t="shared" si="320"/>
        <v>WASHINGTON</v>
      </c>
      <c r="J898" t="str">
        <f t="shared" si="321"/>
        <v>DC</v>
      </c>
      <c r="K898" t="str">
        <f>T("2024047704")</f>
        <v>2024047704</v>
      </c>
      <c r="L898" t="str">
        <f>T("2024044452")</f>
        <v>2024044452</v>
      </c>
    </row>
    <row r="899" spans="1:12" x14ac:dyDescent="0.35">
      <c r="A899" t="str">
        <f t="shared" si="324"/>
        <v>NAVAL RESEARCH LABORATORY</v>
      </c>
      <c r="B899" t="str">
        <f t="shared" si="323"/>
        <v>4555 OVERLOOK AVENUE SW</v>
      </c>
      <c r="C899" t="str">
        <f>T("CODE 5750")</f>
        <v>CODE 5750</v>
      </c>
      <c r="D899" t="str">
        <f t="shared" si="325"/>
        <v>WASHINGTON</v>
      </c>
      <c r="E899" t="str">
        <f t="shared" si="326"/>
        <v>DC</v>
      </c>
      <c r="F899" t="str">
        <f>T("203750001")</f>
        <v>203750001</v>
      </c>
      <c r="G899" t="str">
        <f>T("4555 OVERLOOK AVE SW")</f>
        <v>4555 OVERLOOK AVE SW</v>
      </c>
      <c r="H899" t="str">
        <f>T("CODE 5750")</f>
        <v>CODE 5750</v>
      </c>
      <c r="I899" t="str">
        <f t="shared" si="320"/>
        <v>WASHINGTON</v>
      </c>
      <c r="J899" t="str">
        <f t="shared" si="321"/>
        <v>DC</v>
      </c>
      <c r="K899" t="str">
        <f>T("000000000000000000")</f>
        <v>000000000000000000</v>
      </c>
      <c r="L899" t="str">
        <f>T("2027672509")</f>
        <v>2027672509</v>
      </c>
    </row>
    <row r="900" spans="1:12" x14ac:dyDescent="0.35">
      <c r="A900" t="str">
        <f t="shared" si="324"/>
        <v>NAVAL RESEARCH LABORATORY</v>
      </c>
      <c r="B900" t="str">
        <f t="shared" si="323"/>
        <v>4555 OVERLOOK AVENUE SW</v>
      </c>
      <c r="C900" t="str">
        <f>T("CODE 5750")</f>
        <v>CODE 5750</v>
      </c>
      <c r="D900" t="str">
        <f t="shared" si="325"/>
        <v>WASHINGTON</v>
      </c>
      <c r="E900" t="str">
        <f t="shared" si="326"/>
        <v>DC</v>
      </c>
      <c r="F900" t="str">
        <f>T("203750001")</f>
        <v>203750001</v>
      </c>
      <c r="G900" t="str">
        <f>T("4555 OVERLOOK AVENUE SW")</f>
        <v>4555 OVERLOOK AVENUE SW</v>
      </c>
      <c r="H900" t="str">
        <f>T("CODE 5750")</f>
        <v>CODE 5750</v>
      </c>
      <c r="I900" t="str">
        <f t="shared" si="320"/>
        <v>WASHINGTON</v>
      </c>
      <c r="J900" t="str">
        <f t="shared" si="321"/>
        <v>DC</v>
      </c>
      <c r="K900" t="str">
        <f>T("202-767-1494")</f>
        <v>202-767-1494</v>
      </c>
      <c r="L900" t="str">
        <f>T("2024043810")</f>
        <v>2024043810</v>
      </c>
    </row>
    <row r="901" spans="1:12" x14ac:dyDescent="0.35">
      <c r="A901" t="str">
        <f t="shared" si="324"/>
        <v>NAVAL RESEARCH LABORATORY</v>
      </c>
      <c r="B901" t="str">
        <f t="shared" si="323"/>
        <v>4555 OVERLOOK AVENUE SW</v>
      </c>
      <c r="C901" t="str">
        <f>T("CODE 5750")</f>
        <v>CODE 5750</v>
      </c>
      <c r="D901" t="str">
        <f t="shared" si="325"/>
        <v>WASHINGTON</v>
      </c>
      <c r="E901" t="str">
        <f t="shared" si="326"/>
        <v>DC</v>
      </c>
      <c r="F901" t="str">
        <f>T("203750001")</f>
        <v>203750001</v>
      </c>
      <c r="G901" t="str">
        <f>T("4555 OVERLOOK AVENUE SW")</f>
        <v>4555 OVERLOOK AVENUE SW</v>
      </c>
      <c r="H901" t="str">
        <f>T("CODE 5752")</f>
        <v>CODE 5752</v>
      </c>
      <c r="I901" t="str">
        <f t="shared" si="320"/>
        <v>WASHINGTON</v>
      </c>
      <c r="J901" t="str">
        <f t="shared" si="321"/>
        <v>DC</v>
      </c>
      <c r="K901" t="str">
        <f>T("2027671494")</f>
        <v>2027671494</v>
      </c>
      <c r="L901" t="str">
        <f>T("2024047687")</f>
        <v>2024047687</v>
      </c>
    </row>
    <row r="902" spans="1:12" x14ac:dyDescent="0.35">
      <c r="A902" t="str">
        <f t="shared" si="324"/>
        <v>NAVAL RESEARCH LABORATORY</v>
      </c>
      <c r="B902" t="str">
        <f t="shared" si="323"/>
        <v>4555 OVERLOOK AVENUE SW</v>
      </c>
      <c r="C902" t="str">
        <f>T("CODE 8202")</f>
        <v>CODE 8202</v>
      </c>
      <c r="D902" t="str">
        <f t="shared" si="325"/>
        <v>WASHINGTON</v>
      </c>
      <c r="E902" t="str">
        <f t="shared" si="326"/>
        <v>DC</v>
      </c>
      <c r="F902" t="str">
        <f>T("203750001")</f>
        <v>203750001</v>
      </c>
      <c r="G902" t="str">
        <f>T("4555 OVERLOOK AVENUE SW")</f>
        <v>4555 OVERLOOK AVENUE SW</v>
      </c>
      <c r="H902" t="str">
        <f>T("CODE 8200")</f>
        <v>CODE 8200</v>
      </c>
      <c r="I902" t="str">
        <f t="shared" si="320"/>
        <v>WASHINGTON</v>
      </c>
      <c r="J902" t="str">
        <f t="shared" si="321"/>
        <v>DC</v>
      </c>
      <c r="K902" t="str">
        <f>T("2027676429")</f>
        <v>2027676429</v>
      </c>
      <c r="L902" t="str">
        <f>T("2027676408")</f>
        <v>2027676408</v>
      </c>
    </row>
    <row r="903" spans="1:12" x14ac:dyDescent="0.35">
      <c r="A903" t="str">
        <f t="shared" si="324"/>
        <v>NAVAL RESEARCH LABORATORY</v>
      </c>
      <c r="B903" t="str">
        <f t="shared" si="323"/>
        <v>4555 OVERLOOK AVENUE SW</v>
      </c>
      <c r="C903" t="str">
        <f>T("CODE 8202")</f>
        <v>CODE 8202</v>
      </c>
      <c r="D903" t="str">
        <f t="shared" si="325"/>
        <v>WASHINGTON</v>
      </c>
      <c r="E903" t="str">
        <f t="shared" si="326"/>
        <v>DC</v>
      </c>
      <c r="F903" t="str">
        <f>T("203750001")</f>
        <v>203750001</v>
      </c>
      <c r="G903" t="str">
        <f>T("4555 OVERLOOK AVENUE SW")</f>
        <v>4555 OVERLOOK AVENUE SW</v>
      </c>
      <c r="H903" t="str">
        <f>T("CODE 8202")</f>
        <v>CODE 8202</v>
      </c>
      <c r="I903" t="str">
        <f t="shared" si="320"/>
        <v>WASHINGTON</v>
      </c>
      <c r="J903" t="str">
        <f t="shared" si="321"/>
        <v>DC</v>
      </c>
      <c r="K903" t="str">
        <f>T("202-767-6429")</f>
        <v>202-767-6429</v>
      </c>
      <c r="L903" t="str">
        <f>T("2027676412")</f>
        <v>2027676412</v>
      </c>
    </row>
    <row r="904" spans="1:12" x14ac:dyDescent="0.35">
      <c r="A904" t="str">
        <f t="shared" si="324"/>
        <v>NAVAL RESEARCH LABORATORY</v>
      </c>
      <c r="B904" t="str">
        <f t="shared" ref="B904:B909" si="327">T("7 GRACE HOPPER AVE")</f>
        <v>7 GRACE HOPPER AVE</v>
      </c>
      <c r="C904" t="str">
        <f t="shared" ref="C904:C909" si="328">T("CODE 7502 BLDG 702 RM 216")</f>
        <v>CODE 7502 BLDG 702 RM 216</v>
      </c>
      <c r="D904" t="str">
        <f t="shared" ref="D904:D909" si="329">T("MONTEREY")</f>
        <v>MONTEREY</v>
      </c>
      <c r="E904" t="str">
        <f t="shared" ref="E904:E909" si="330">T("CA")</f>
        <v>CA</v>
      </c>
      <c r="F904" t="str">
        <f t="shared" ref="F904:F909" si="331">T("939435598")</f>
        <v>939435598</v>
      </c>
      <c r="G904" t="str">
        <f>T("7 GRACE HOPPER AVE")</f>
        <v>7 GRACE HOPPER AVE</v>
      </c>
      <c r="H904" t="str">
        <f>T("CODE 7502 BLDG 702 RM 216")</f>
        <v>CODE 7502 BLDG 702 RM 216</v>
      </c>
      <c r="I904" t="str">
        <f t="shared" ref="I904:I909" si="332">T("MONTEREY")</f>
        <v>MONTEREY</v>
      </c>
      <c r="J904" t="str">
        <f t="shared" ref="J904:J909" si="333">T("CA")</f>
        <v>CA</v>
      </c>
      <c r="K904" t="str">
        <f>T("8316564051")</f>
        <v>8316564051</v>
      </c>
      <c r="L904" t="str">
        <f>T("8316564763")</f>
        <v>8316564763</v>
      </c>
    </row>
    <row r="905" spans="1:12" x14ac:dyDescent="0.35">
      <c r="A905" t="str">
        <f t="shared" si="324"/>
        <v>NAVAL RESEARCH LABORATORY</v>
      </c>
      <c r="B905" t="str">
        <f t="shared" si="327"/>
        <v>7 GRACE HOPPER AVE</v>
      </c>
      <c r="C905" t="str">
        <f t="shared" si="328"/>
        <v>CODE 7502 BLDG 702 RM 216</v>
      </c>
      <c r="D905" t="str">
        <f t="shared" si="329"/>
        <v>MONTEREY</v>
      </c>
      <c r="E905" t="str">
        <f t="shared" si="330"/>
        <v>CA</v>
      </c>
      <c r="F905" t="str">
        <f t="shared" si="331"/>
        <v>939435598</v>
      </c>
      <c r="G905" t="str">
        <f>T("7 GRACE HOPPER AVE STOP 2")</f>
        <v>7 GRACE HOPPER AVE STOP 2</v>
      </c>
      <c r="H905" t="str">
        <f>T("CODE 7500")</f>
        <v>CODE 7500</v>
      </c>
      <c r="I905" t="str">
        <f t="shared" si="332"/>
        <v>MONTEREY</v>
      </c>
      <c r="J905" t="str">
        <f t="shared" si="333"/>
        <v>CA</v>
      </c>
      <c r="K905" t="str">
        <f>T("8316564314")</f>
        <v>8316564314</v>
      </c>
      <c r="L905" t="str">
        <f>T("8316564613")</f>
        <v>8316564613</v>
      </c>
    </row>
    <row r="906" spans="1:12" x14ac:dyDescent="0.35">
      <c r="A906" t="str">
        <f t="shared" si="324"/>
        <v>NAVAL RESEARCH LABORATORY</v>
      </c>
      <c r="B906" t="str">
        <f t="shared" si="327"/>
        <v>7 GRACE HOPPER AVE</v>
      </c>
      <c r="C906" t="str">
        <f t="shared" si="328"/>
        <v>CODE 7502 BLDG 702 RM 216</v>
      </c>
      <c r="D906" t="str">
        <f t="shared" si="329"/>
        <v>MONTEREY</v>
      </c>
      <c r="E906" t="str">
        <f t="shared" si="330"/>
        <v>CA</v>
      </c>
      <c r="F906" t="str">
        <f t="shared" si="331"/>
        <v>939435598</v>
      </c>
      <c r="G906" t="str">
        <f>T("7 GRACE HOPPER AVENUE")</f>
        <v>7 GRACE HOPPER AVENUE</v>
      </c>
      <c r="H906" t="str">
        <f>T("CODE 7502 BLDG 702 ROOM 216")</f>
        <v>CODE 7502 BLDG 702 ROOM 216</v>
      </c>
      <c r="I906" t="str">
        <f t="shared" si="332"/>
        <v>MONTEREY</v>
      </c>
      <c r="J906" t="str">
        <f t="shared" si="333"/>
        <v>CA</v>
      </c>
      <c r="K906" t="str">
        <f>T("8316564794")</f>
        <v>8316564794</v>
      </c>
      <c r="L906" t="str">
        <f>T("8316564763")</f>
        <v>8316564763</v>
      </c>
    </row>
    <row r="907" spans="1:12" x14ac:dyDescent="0.35">
      <c r="A907" t="str">
        <f t="shared" si="324"/>
        <v>NAVAL RESEARCH LABORATORY</v>
      </c>
      <c r="B907" t="str">
        <f t="shared" si="327"/>
        <v>7 GRACE HOPPER AVE</v>
      </c>
      <c r="C907" t="str">
        <f t="shared" si="328"/>
        <v>CODE 7502 BLDG 702 RM 216</v>
      </c>
      <c r="D907" t="str">
        <f t="shared" si="329"/>
        <v>MONTEREY</v>
      </c>
      <c r="E907" t="str">
        <f t="shared" si="330"/>
        <v>CA</v>
      </c>
      <c r="F907" t="str">
        <f t="shared" si="331"/>
        <v>939435598</v>
      </c>
      <c r="G907" t="str">
        <f>T("7 GRACE HOPPER AVENUE STOP 2")</f>
        <v>7 GRACE HOPPER AVENUE STOP 2</v>
      </c>
      <c r="H907" t="str">
        <f>T("CODE 7502")</f>
        <v>CODE 7502</v>
      </c>
      <c r="I907" t="str">
        <f t="shared" si="332"/>
        <v>MONTEREY</v>
      </c>
      <c r="J907" t="str">
        <f t="shared" si="333"/>
        <v>CA</v>
      </c>
      <c r="K907" t="str">
        <f>T("8316565182")</f>
        <v>8316565182</v>
      </c>
      <c r="L907" t="str">
        <f>T("8316564768")</f>
        <v>8316564768</v>
      </c>
    </row>
    <row r="908" spans="1:12" x14ac:dyDescent="0.35">
      <c r="A908" t="str">
        <f t="shared" si="324"/>
        <v>NAVAL RESEARCH LABORATORY</v>
      </c>
      <c r="B908" t="str">
        <f t="shared" si="327"/>
        <v>7 GRACE HOPPER AVE</v>
      </c>
      <c r="C908" t="str">
        <f t="shared" si="328"/>
        <v>CODE 7502 BLDG 702 RM 216</v>
      </c>
      <c r="D908" t="str">
        <f t="shared" si="329"/>
        <v>MONTEREY</v>
      </c>
      <c r="E908" t="str">
        <f t="shared" si="330"/>
        <v>CA</v>
      </c>
      <c r="F908" t="str">
        <f t="shared" si="331"/>
        <v>939435598</v>
      </c>
      <c r="G908" t="str">
        <f>T("7 GRACE HOPPER AVENUE STOP 2")</f>
        <v>7 GRACE HOPPER AVENUE STOP 2</v>
      </c>
      <c r="H908" t="str">
        <f>T("CODE 7540")</f>
        <v>CODE 7540</v>
      </c>
      <c r="I908" t="str">
        <f t="shared" si="332"/>
        <v>MONTEREY</v>
      </c>
      <c r="J908" t="str">
        <f t="shared" si="333"/>
        <v>CA</v>
      </c>
      <c r="K908" t="str">
        <f>T("8316564769")</f>
        <v>8316564769</v>
      </c>
      <c r="L908" t="str">
        <f>T("8316564762")</f>
        <v>8316564762</v>
      </c>
    </row>
    <row r="909" spans="1:12" x14ac:dyDescent="0.35">
      <c r="A909" t="str">
        <f t="shared" si="324"/>
        <v>NAVAL RESEARCH LABORATORY</v>
      </c>
      <c r="B909" t="str">
        <f t="shared" si="327"/>
        <v>7 GRACE HOPPER AVE</v>
      </c>
      <c r="C909" t="str">
        <f t="shared" si="328"/>
        <v>CODE 7502 BLDG 702 RM 216</v>
      </c>
      <c r="D909" t="str">
        <f t="shared" si="329"/>
        <v>MONTEREY</v>
      </c>
      <c r="E909" t="str">
        <f t="shared" si="330"/>
        <v>CA</v>
      </c>
      <c r="F909" t="str">
        <f t="shared" si="331"/>
        <v>939435598</v>
      </c>
      <c r="G909" t="str">
        <f>T("7 GRACE HOPPER AVENUE STOP 2")</f>
        <v>7 GRACE HOPPER AVENUE STOP 2</v>
      </c>
      <c r="H909" t="str">
        <f>T("CODE 7540")</f>
        <v>CODE 7540</v>
      </c>
      <c r="I909" t="str">
        <f t="shared" si="332"/>
        <v>MONTEREY</v>
      </c>
      <c r="J909" t="str">
        <f t="shared" si="333"/>
        <v>CA</v>
      </c>
      <c r="K909" t="str">
        <f>T("8316568048")</f>
        <v>8316568048</v>
      </c>
      <c r="L909" t="str">
        <f>T("8316564762")</f>
        <v>8316564762</v>
      </c>
    </row>
    <row r="910" spans="1:12" x14ac:dyDescent="0.35">
      <c r="A910" t="str">
        <f t="shared" si="324"/>
        <v>NAVAL RESEARCH LABORATORY</v>
      </c>
      <c r="B910" t="str">
        <f>T("CODE 3522")</f>
        <v>CODE 3522</v>
      </c>
      <c r="C910" t="str">
        <f>T("5813 BAYSIDE ROAD")</f>
        <v>5813 BAYSIDE ROAD</v>
      </c>
      <c r="D910" t="str">
        <f>T("CHESAPEAKE BEACH")</f>
        <v>CHESAPEAKE BEACH</v>
      </c>
      <c r="E910" t="str">
        <f>T("MD")</f>
        <v>MD</v>
      </c>
      <c r="F910" t="str">
        <f>T("207325000")</f>
        <v>207325000</v>
      </c>
      <c r="G910" t="str">
        <f>T("5813 BAYSIDE RD")</f>
        <v>5813 BAYSIDE RD</v>
      </c>
      <c r="H910" t="str">
        <f>T("CODE 3522")</f>
        <v>CODE 3522</v>
      </c>
      <c r="I910" t="str">
        <f>T("CHESAPEAKE BEACH")</f>
        <v>CHESAPEAKE BEACH</v>
      </c>
      <c r="J910" t="str">
        <f>T("MD")</f>
        <v>MD</v>
      </c>
      <c r="K910" t="str">
        <f>T("000000000000000000")</f>
        <v>000000000000000000</v>
      </c>
      <c r="L910" t="str">
        <f>T("4102574004")</f>
        <v>4102574004</v>
      </c>
    </row>
    <row r="911" spans="1:12" x14ac:dyDescent="0.35">
      <c r="A911" t="str">
        <f t="shared" si="324"/>
        <v>NAVAL RESEARCH LABORATORY</v>
      </c>
      <c r="B911" t="str">
        <f>T("CODE 3522")</f>
        <v>CODE 3522</v>
      </c>
      <c r="C911" t="str">
        <f>T("5813 BAYSIDE ROAD")</f>
        <v>5813 BAYSIDE ROAD</v>
      </c>
      <c r="D911" t="str">
        <f>T("CHESAPEAKE BEACH")</f>
        <v>CHESAPEAKE BEACH</v>
      </c>
      <c r="E911" t="str">
        <f>T("MD")</f>
        <v>MD</v>
      </c>
      <c r="F911" t="str">
        <f>T("207325000")</f>
        <v>207325000</v>
      </c>
      <c r="G911" t="str">
        <f>T("CODE 3522")</f>
        <v>CODE 3522</v>
      </c>
      <c r="H911" t="str">
        <f>T("5813 BAYSIDE ROAD")</f>
        <v>5813 BAYSIDE ROAD</v>
      </c>
      <c r="I911" t="str">
        <f>T("CHESAPEAKE BEACH")</f>
        <v>CHESAPEAKE BEACH</v>
      </c>
      <c r="J911" t="str">
        <f>T("MD")</f>
        <v>MD</v>
      </c>
      <c r="K911" t="str">
        <f>T("4102574129")</f>
        <v>4102574129</v>
      </c>
      <c r="L911" t="str">
        <f>T("4102574002")</f>
        <v>4102574002</v>
      </c>
    </row>
    <row r="912" spans="1:12" x14ac:dyDescent="0.35">
      <c r="A912" t="str">
        <f t="shared" si="324"/>
        <v>NAVAL RESEARCH LABORATORY</v>
      </c>
      <c r="B912" t="str">
        <f>T("CODE 6702")</f>
        <v>CODE 6702</v>
      </c>
      <c r="C912" t="str">
        <f>T("4555 OVERLOOK AVE SW")</f>
        <v>4555 OVERLOOK AVE SW</v>
      </c>
      <c r="D912" t="str">
        <f>T("WASHINGTON")</f>
        <v>WASHINGTON</v>
      </c>
      <c r="E912" t="str">
        <f>T("DC")</f>
        <v>DC</v>
      </c>
      <c r="F912" t="str">
        <f>T("203750001")</f>
        <v>203750001</v>
      </c>
      <c r="G912" t="str">
        <f>T("4555 OVERLOOK AVE SW")</f>
        <v>4555 OVERLOOK AVE SW</v>
      </c>
      <c r="H912" t="str">
        <f>T("CODE 6702")</f>
        <v>CODE 6702</v>
      </c>
      <c r="I912" t="str">
        <f>T("WASHINGTON")</f>
        <v>WASHINGTON</v>
      </c>
      <c r="J912" t="str">
        <f>T("DC")</f>
        <v>DC</v>
      </c>
      <c r="K912" t="str">
        <f>T("2024048836")</f>
        <v>2024048836</v>
      </c>
      <c r="L912" t="str">
        <f>T("2027672727")</f>
        <v>2027672727</v>
      </c>
    </row>
    <row r="913" spans="1:12" x14ac:dyDescent="0.35">
      <c r="A913" t="str">
        <f t="shared" si="324"/>
        <v>NAVAL RESEARCH LABORATORY</v>
      </c>
      <c r="B913" t="str">
        <f>T("CODE 6702")</f>
        <v>CODE 6702</v>
      </c>
      <c r="C913" t="str">
        <f>T("4555 OVERLOOK AVE SW")</f>
        <v>4555 OVERLOOK AVE SW</v>
      </c>
      <c r="D913" t="str">
        <f>T("WASHINGTON")</f>
        <v>WASHINGTON</v>
      </c>
      <c r="E913" t="str">
        <f>T("DC")</f>
        <v>DC</v>
      </c>
      <c r="F913" t="str">
        <f>T("203750001")</f>
        <v>203750001</v>
      </c>
      <c r="G913" t="str">
        <f>T("4555 OVERLOOK AVE SW")</f>
        <v>4555 OVERLOOK AVE SW</v>
      </c>
      <c r="H913" t="str">
        <f>T("CODE 6702 BLDG 101 RM 104")</f>
        <v>CODE 6702 BLDG 101 RM 104</v>
      </c>
      <c r="I913" t="str">
        <f>T("WASHINGTON")</f>
        <v>WASHINGTON</v>
      </c>
      <c r="J913" t="str">
        <f>T("DC")</f>
        <v>DC</v>
      </c>
      <c r="K913" t="str">
        <f>T("000000000000000000")</f>
        <v>000000000000000000</v>
      </c>
      <c r="L913" t="str">
        <f>T("2027672734")</f>
        <v>2027672734</v>
      </c>
    </row>
    <row r="914" spans="1:12" x14ac:dyDescent="0.35">
      <c r="A914" t="str">
        <f t="shared" si="324"/>
        <v>NAVAL RESEARCH LABORATORY</v>
      </c>
      <c r="B914" t="str">
        <f>T("CODE 6702")</f>
        <v>CODE 6702</v>
      </c>
      <c r="C914" t="str">
        <f>T("4555 OVERLOOK AVE SW")</f>
        <v>4555 OVERLOOK AVE SW</v>
      </c>
      <c r="D914" t="str">
        <f>T("WASHINGTON")</f>
        <v>WASHINGTON</v>
      </c>
      <c r="E914" t="str">
        <f>T("DC")</f>
        <v>DC</v>
      </c>
      <c r="F914" t="str">
        <f>T("203750001")</f>
        <v>203750001</v>
      </c>
      <c r="G914" t="str">
        <f>T("CODE 6702")</f>
        <v>CODE 6702</v>
      </c>
      <c r="H914" t="str">
        <f>T("4555 OVERLOOK AVE SW")</f>
        <v>4555 OVERLOOK AVE SW</v>
      </c>
      <c r="I914" t="str">
        <f>T("WASHINGTON")</f>
        <v>WASHINGTON</v>
      </c>
      <c r="J914" t="str">
        <f>T("DC")</f>
        <v>DC</v>
      </c>
      <c r="K914" t="str">
        <f>T("2024048836")</f>
        <v>2024048836</v>
      </c>
      <c r="L914" t="str">
        <f>T("2027672099")</f>
        <v>2027672099</v>
      </c>
    </row>
    <row r="915" spans="1:12" x14ac:dyDescent="0.35">
      <c r="A915" t="str">
        <f t="shared" si="324"/>
        <v>NAVAL RESEARCH LABORATORY</v>
      </c>
      <c r="B915" t="str">
        <f t="shared" ref="B915:B921" si="334">T("CODE 7302")</f>
        <v>CODE 7302</v>
      </c>
      <c r="C915" t="str">
        <f t="shared" ref="C915:C921" si="335">T("BLDG 1009 RM B108C")</f>
        <v>BLDG 1009 RM B108C</v>
      </c>
      <c r="D915" t="str">
        <f t="shared" ref="D915:D923" si="336">T("STENNIS SPACE CENTER")</f>
        <v>STENNIS SPACE CENTER</v>
      </c>
      <c r="E915" t="str">
        <f t="shared" ref="E915:E923" si="337">T("MS")</f>
        <v>MS</v>
      </c>
      <c r="F915" t="str">
        <f t="shared" ref="F915:F923" si="338">T("395290001")</f>
        <v>395290001</v>
      </c>
      <c r="G915" t="str">
        <f>T("1009 BALCH BLVD RM B171")</f>
        <v>1009 BALCH BLVD RM B171</v>
      </c>
      <c r="H915" t="str">
        <f>T("CODE 7320")</f>
        <v>CODE 7320</v>
      </c>
      <c r="I915" t="str">
        <f t="shared" ref="I915:I923" si="339">T("STENNIS SPACE CENTER")</f>
        <v>STENNIS SPACE CENTER</v>
      </c>
      <c r="J915" t="str">
        <f t="shared" ref="J915:J923" si="340">T("MS")</f>
        <v>MS</v>
      </c>
      <c r="K915" t="str">
        <f>T("2286884759")</f>
        <v>2286884759</v>
      </c>
      <c r="L915" t="str">
        <f>T("2286884870")</f>
        <v>2286884870</v>
      </c>
    </row>
    <row r="916" spans="1:12" x14ac:dyDescent="0.35">
      <c r="A916" t="str">
        <f t="shared" si="324"/>
        <v>NAVAL RESEARCH LABORATORY</v>
      </c>
      <c r="B916" t="str">
        <f t="shared" si="334"/>
        <v>CODE 7302</v>
      </c>
      <c r="C916" t="str">
        <f t="shared" si="335"/>
        <v>BLDG 1009 RM B108C</v>
      </c>
      <c r="D916" t="str">
        <f t="shared" si="336"/>
        <v>STENNIS SPACE CENTER</v>
      </c>
      <c r="E916" t="str">
        <f t="shared" si="337"/>
        <v>MS</v>
      </c>
      <c r="F916" t="str">
        <f t="shared" si="338"/>
        <v>395290001</v>
      </c>
      <c r="G916" t="str">
        <f>T("CODE 7302")</f>
        <v>CODE 7302</v>
      </c>
      <c r="H916" t="str">
        <f>T("BLDG 1009 RM B108C")</f>
        <v>BLDG 1009 RM B108C</v>
      </c>
      <c r="I916" t="str">
        <f t="shared" si="339"/>
        <v>STENNIS SPACE CENTER</v>
      </c>
      <c r="J916" t="str">
        <f t="shared" si="340"/>
        <v>MS</v>
      </c>
      <c r="K916" t="str">
        <f>T("2286884673")</f>
        <v>2286884673</v>
      </c>
      <c r="L916" t="str">
        <f>T("2286886185")</f>
        <v>2286886185</v>
      </c>
    </row>
    <row r="917" spans="1:12" x14ac:dyDescent="0.35">
      <c r="A917" t="str">
        <f t="shared" si="324"/>
        <v>NAVAL RESEARCH LABORATORY</v>
      </c>
      <c r="B917" t="str">
        <f t="shared" si="334"/>
        <v>CODE 7302</v>
      </c>
      <c r="C917" t="str">
        <f t="shared" si="335"/>
        <v>BLDG 1009 RM B108C</v>
      </c>
      <c r="D917" t="str">
        <f t="shared" si="336"/>
        <v>STENNIS SPACE CENTER</v>
      </c>
      <c r="E917" t="str">
        <f t="shared" si="337"/>
        <v>MS</v>
      </c>
      <c r="F917" t="str">
        <f t="shared" si="338"/>
        <v>395290001</v>
      </c>
      <c r="G917" t="str">
        <f>T("NRL-SSC")</f>
        <v>NRL-SSC</v>
      </c>
      <c r="H917" t="str">
        <f>T("BLDG 1009 CODE 7302")</f>
        <v>BLDG 1009 CODE 7302</v>
      </c>
      <c r="I917" t="str">
        <f t="shared" si="339"/>
        <v>STENNIS SPACE CENTER</v>
      </c>
      <c r="J917" t="str">
        <f t="shared" si="340"/>
        <v>MS</v>
      </c>
      <c r="K917" t="str">
        <f>T("000000000000000000")</f>
        <v>000000000000000000</v>
      </c>
      <c r="L917" t="str">
        <f>T("2286884871")</f>
        <v>2286884871</v>
      </c>
    </row>
    <row r="918" spans="1:12" x14ac:dyDescent="0.35">
      <c r="A918" t="str">
        <f t="shared" si="324"/>
        <v>NAVAL RESEARCH LABORATORY</v>
      </c>
      <c r="B918" t="str">
        <f t="shared" si="334"/>
        <v>CODE 7302</v>
      </c>
      <c r="C918" t="str">
        <f t="shared" si="335"/>
        <v>BLDG 1009 RM B108C</v>
      </c>
      <c r="D918" t="str">
        <f t="shared" si="336"/>
        <v>STENNIS SPACE CENTER</v>
      </c>
      <c r="E918" t="str">
        <f t="shared" si="337"/>
        <v>MS</v>
      </c>
      <c r="F918" t="str">
        <f t="shared" si="338"/>
        <v>395290001</v>
      </c>
      <c r="G918" t="str">
        <f>T("STENNIS SPACE CENTER")</f>
        <v>STENNIS SPACE CENTER</v>
      </c>
      <c r="H918" t="str">
        <f>T("BLDG 1009 RM C106 CODE 7302")</f>
        <v>BLDG 1009 RM C106 CODE 7302</v>
      </c>
      <c r="I918" t="str">
        <f t="shared" si="339"/>
        <v>STENNIS SPACE CENTER</v>
      </c>
      <c r="J918" t="str">
        <f t="shared" si="340"/>
        <v>MS</v>
      </c>
      <c r="K918" t="str">
        <f>T("2286884673")</f>
        <v>2286884673</v>
      </c>
      <c r="L918" t="str">
        <f>T("2286885483")</f>
        <v>2286885483</v>
      </c>
    </row>
    <row r="919" spans="1:12" x14ac:dyDescent="0.35">
      <c r="A919" t="str">
        <f t="shared" si="324"/>
        <v>NAVAL RESEARCH LABORATORY</v>
      </c>
      <c r="B919" t="str">
        <f t="shared" si="334"/>
        <v>CODE 7302</v>
      </c>
      <c r="C919" t="str">
        <f t="shared" si="335"/>
        <v>BLDG 1009 RM B108C</v>
      </c>
      <c r="D919" t="str">
        <f t="shared" si="336"/>
        <v>STENNIS SPACE CENTER</v>
      </c>
      <c r="E919" t="str">
        <f t="shared" si="337"/>
        <v>MS</v>
      </c>
      <c r="F919" t="str">
        <f t="shared" si="338"/>
        <v>395290001</v>
      </c>
      <c r="G919" t="str">
        <f>T("STENNIS SPACE CENTER")</f>
        <v>STENNIS SPACE CENTER</v>
      </c>
      <c r="H919" t="str">
        <f>T("CODE 7302 BLDG 1009 RM B108E")</f>
        <v>CODE 7302 BLDG 1009 RM B108E</v>
      </c>
      <c r="I919" t="str">
        <f t="shared" si="339"/>
        <v>STENNIS SPACE CENTER</v>
      </c>
      <c r="J919" t="str">
        <f t="shared" si="340"/>
        <v>MS</v>
      </c>
      <c r="K919" t="str">
        <f>T("2286884673")</f>
        <v>2286884673</v>
      </c>
      <c r="L919" t="str">
        <f>T("2286884846")</f>
        <v>2286884846</v>
      </c>
    </row>
    <row r="920" spans="1:12" x14ac:dyDescent="0.35">
      <c r="A920" t="str">
        <f t="shared" si="324"/>
        <v>NAVAL RESEARCH LABORATORY</v>
      </c>
      <c r="B920" t="str">
        <f t="shared" si="334"/>
        <v>CODE 7302</v>
      </c>
      <c r="C920" t="str">
        <f t="shared" si="335"/>
        <v>BLDG 1009 RM B108C</v>
      </c>
      <c r="D920" t="str">
        <f t="shared" si="336"/>
        <v>STENNIS SPACE CENTER</v>
      </c>
      <c r="E920" t="str">
        <f t="shared" si="337"/>
        <v>MS</v>
      </c>
      <c r="F920" t="str">
        <f t="shared" si="338"/>
        <v>395290001</v>
      </c>
      <c r="G920" t="str">
        <f>T("STENNIS SPACE CENTER")</f>
        <v>STENNIS SPACE CENTER</v>
      </c>
      <c r="H920" t="str">
        <f>T("CODE 7302 BLDG 1009 RM B108F")</f>
        <v>CODE 7302 BLDG 1009 RM B108F</v>
      </c>
      <c r="I920" t="str">
        <f t="shared" si="339"/>
        <v>STENNIS SPACE CENTER</v>
      </c>
      <c r="J920" t="str">
        <f t="shared" si="340"/>
        <v>MS</v>
      </c>
      <c r="K920" t="str">
        <f>T("2286884673")</f>
        <v>2286884673</v>
      </c>
      <c r="L920" t="str">
        <f>T("2286885975")</f>
        <v>2286885975</v>
      </c>
    </row>
    <row r="921" spans="1:12" x14ac:dyDescent="0.35">
      <c r="A921" t="str">
        <f t="shared" si="324"/>
        <v>NAVAL RESEARCH LABORATORY</v>
      </c>
      <c r="B921" t="str">
        <f t="shared" si="334"/>
        <v>CODE 7302</v>
      </c>
      <c r="C921" t="str">
        <f t="shared" si="335"/>
        <v>BLDG 1009 RM B108C</v>
      </c>
      <c r="D921" t="str">
        <f t="shared" si="336"/>
        <v>STENNIS SPACE CENTER</v>
      </c>
      <c r="E921" t="str">
        <f t="shared" si="337"/>
        <v>MS</v>
      </c>
      <c r="F921" t="str">
        <f t="shared" si="338"/>
        <v>395290001</v>
      </c>
      <c r="G921" t="str">
        <f>T("STENNIS SPACE CENTER")</f>
        <v>STENNIS SPACE CENTER</v>
      </c>
      <c r="H921" t="str">
        <f>T("CODE 7320")</f>
        <v>CODE 7320</v>
      </c>
      <c r="I921" t="str">
        <f t="shared" si="339"/>
        <v>STENNIS SPACE CENTER</v>
      </c>
      <c r="J921" t="str">
        <f t="shared" si="340"/>
        <v>MS</v>
      </c>
      <c r="K921" t="str">
        <f>T("2286884759")</f>
        <v>2286884759</v>
      </c>
      <c r="L921" t="str">
        <f>T("2286884870")</f>
        <v>2286884870</v>
      </c>
    </row>
    <row r="922" spans="1:12" x14ac:dyDescent="0.35">
      <c r="A922" t="str">
        <f t="shared" si="324"/>
        <v>NAVAL RESEARCH LABORATORY</v>
      </c>
      <c r="B922" t="str">
        <f>T("CODE 7440")</f>
        <v>CODE 7440</v>
      </c>
      <c r="C922" t="str">
        <f>T("BLDG 2438")</f>
        <v>BLDG 2438</v>
      </c>
      <c r="D922" t="str">
        <f t="shared" si="336"/>
        <v>STENNIS SPACE CENTER</v>
      </c>
      <c r="E922" t="str">
        <f t="shared" si="337"/>
        <v>MS</v>
      </c>
      <c r="F922" t="str">
        <f t="shared" si="338"/>
        <v>395290001</v>
      </c>
      <c r="G922" t="str">
        <f>T("CODE 7440")</f>
        <v>CODE 7440</v>
      </c>
      <c r="H922" t="str">
        <f>T("BLDG 2438")</f>
        <v>BLDG 2438</v>
      </c>
      <c r="I922" t="str">
        <f t="shared" si="339"/>
        <v>STENNIS SPACE CENTER</v>
      </c>
      <c r="J922" t="str">
        <f t="shared" si="340"/>
        <v>MS</v>
      </c>
      <c r="K922" t="str">
        <f>T("2286884476")</f>
        <v>2286884476</v>
      </c>
      <c r="L922" t="str">
        <f>T("2286884476")</f>
        <v>2286884476</v>
      </c>
    </row>
    <row r="923" spans="1:12" x14ac:dyDescent="0.35">
      <c r="A923" t="str">
        <f t="shared" si="324"/>
        <v>NAVAL RESEARCH LABORATORY</v>
      </c>
      <c r="B923" t="str">
        <f>T("CODE 7440")</f>
        <v>CODE 7440</v>
      </c>
      <c r="C923" t="str">
        <f>T("BLDG 2438")</f>
        <v>BLDG 2438</v>
      </c>
      <c r="D923" t="str">
        <f t="shared" si="336"/>
        <v>STENNIS SPACE CENTER</v>
      </c>
      <c r="E923" t="str">
        <f t="shared" si="337"/>
        <v>MS</v>
      </c>
      <c r="F923" t="str">
        <f t="shared" si="338"/>
        <v>395290001</v>
      </c>
      <c r="G923" t="str">
        <f>T("STENNIS SPACE CENTER")</f>
        <v>STENNIS SPACE CENTER</v>
      </c>
      <c r="H923" t="str">
        <f>T("CODE 7430 BLDG 1005")</f>
        <v>CODE 7430 BLDG 1005</v>
      </c>
      <c r="I923" t="str">
        <f t="shared" si="339"/>
        <v>STENNIS SPACE CENTER</v>
      </c>
      <c r="J923" t="str">
        <f t="shared" si="340"/>
        <v>MS</v>
      </c>
      <c r="K923" t="str">
        <f>T("2286885752")</f>
        <v>2286885752</v>
      </c>
      <c r="L923" t="str">
        <f>T("2286884657")</f>
        <v>2286884657</v>
      </c>
    </row>
    <row r="924" spans="1:12" x14ac:dyDescent="0.35">
      <c r="A924" t="str">
        <f t="shared" si="324"/>
        <v>NAVAL RESEARCH LABORATORY</v>
      </c>
      <c r="B924" t="str">
        <f>T("NAVAL RESEARCH LAB")</f>
        <v>NAVAL RESEARCH LAB</v>
      </c>
      <c r="C924" t="str">
        <f>T("CODE 6795")</f>
        <v>CODE 6795</v>
      </c>
      <c r="D924" t="str">
        <f>T("WASHINGTON")</f>
        <v>WASHINGTON</v>
      </c>
      <c r="E924" t="str">
        <f>T("DC")</f>
        <v>DC</v>
      </c>
      <c r="F924" t="str">
        <f>T("203750001")</f>
        <v>203750001</v>
      </c>
      <c r="G924" t="str">
        <f>T("4555 OVERLOOK AVE SW")</f>
        <v>4555 OVERLOOK AVE SW</v>
      </c>
      <c r="H924" t="str">
        <f>T("CODE 6700")</f>
        <v>CODE 6700</v>
      </c>
      <c r="I924" t="str">
        <f>T("WASHINGTON")</f>
        <v>WASHINGTON</v>
      </c>
      <c r="J924" t="str">
        <f>T("DC")</f>
        <v>DC</v>
      </c>
      <c r="K924" t="str">
        <f>T("2027673142")</f>
        <v>2027673142</v>
      </c>
      <c r="L924" t="str">
        <f>T("2027676899")</f>
        <v>2027676899</v>
      </c>
    </row>
    <row r="925" spans="1:12" x14ac:dyDescent="0.35">
      <c r="A925" t="str">
        <f t="shared" si="324"/>
        <v>NAVAL RESEARCH LABORATORY</v>
      </c>
      <c r="B925" t="str">
        <f>T("NAVAL RESEARCH LAB")</f>
        <v>NAVAL RESEARCH LAB</v>
      </c>
      <c r="C925" t="str">
        <f>T("CODE 6795")</f>
        <v>CODE 6795</v>
      </c>
      <c r="D925" t="str">
        <f>T("WASHINGTON")</f>
        <v>WASHINGTON</v>
      </c>
      <c r="E925" t="str">
        <f>T("DC")</f>
        <v>DC</v>
      </c>
      <c r="F925" t="str">
        <f>T("203750001")</f>
        <v>203750001</v>
      </c>
      <c r="G925" t="str">
        <f>T("4555 OVERLOOK AVE SW")</f>
        <v>4555 OVERLOOK AVE SW</v>
      </c>
      <c r="H925" t="str">
        <f>T("CODE 6794")</f>
        <v>CODE 6794</v>
      </c>
      <c r="I925" t="str">
        <f>T("WASHINGTON")</f>
        <v>WASHINGTON</v>
      </c>
      <c r="J925" t="str">
        <f>T("DC")</f>
        <v>DC</v>
      </c>
      <c r="K925" t="str">
        <f>T("2027673630")</f>
        <v>2027673630</v>
      </c>
      <c r="L925" t="str">
        <f>T("2027676863")</f>
        <v>2027676863</v>
      </c>
    </row>
    <row r="926" spans="1:12" x14ac:dyDescent="0.35">
      <c r="A926" t="str">
        <f t="shared" si="324"/>
        <v>NAVAL RESEARCH LABORATORY</v>
      </c>
      <c r="B926" t="str">
        <f>T("NAVAL RESEARCH LAB")</f>
        <v>NAVAL RESEARCH LAB</v>
      </c>
      <c r="C926" t="str">
        <f>T("CODE 6795")</f>
        <v>CODE 6795</v>
      </c>
      <c r="D926" t="str">
        <f>T("WASHINGTON")</f>
        <v>WASHINGTON</v>
      </c>
      <c r="E926" t="str">
        <f>T("DC")</f>
        <v>DC</v>
      </c>
      <c r="F926" t="str">
        <f>T("203750001")</f>
        <v>203750001</v>
      </c>
      <c r="G926" t="str">
        <f>T("4555 OVERLOOK AVE SW")</f>
        <v>4555 OVERLOOK AVE SW</v>
      </c>
      <c r="H926" t="str">
        <f>T("CODE 6795")</f>
        <v>CODE 6795</v>
      </c>
      <c r="I926" t="str">
        <f>T("WASHINGTON")</f>
        <v>WASHINGTON</v>
      </c>
      <c r="J926" t="str">
        <f>T("DC")</f>
        <v>DC</v>
      </c>
      <c r="K926" t="str">
        <f>T("000000000000000000")</f>
        <v>000000000000000000</v>
      </c>
      <c r="L926" t="str">
        <f>T("2027673765")</f>
        <v>2027673765</v>
      </c>
    </row>
    <row r="927" spans="1:12" x14ac:dyDescent="0.35">
      <c r="A927" t="str">
        <f t="shared" si="324"/>
        <v>NAVAL RESEARCH LABORATORY</v>
      </c>
      <c r="B927" t="str">
        <f>T("NAVAL RESEARCH LAB")</f>
        <v>NAVAL RESEARCH LAB</v>
      </c>
      <c r="C927" t="str">
        <f>T("CODE 6795")</f>
        <v>CODE 6795</v>
      </c>
      <c r="D927" t="str">
        <f>T("WASHINGTON")</f>
        <v>WASHINGTON</v>
      </c>
      <c r="E927" t="str">
        <f>T("DC")</f>
        <v>DC</v>
      </c>
      <c r="F927" t="str">
        <f>T("203750001")</f>
        <v>203750001</v>
      </c>
      <c r="G927" t="str">
        <f>T("NAVAL RESEARCH LAB")</f>
        <v>NAVAL RESEARCH LAB</v>
      </c>
      <c r="H927" t="str">
        <f>T("CODE 6795")</f>
        <v>CODE 6795</v>
      </c>
      <c r="I927" t="str">
        <f>T("WASHINGTON")</f>
        <v>WASHINGTON</v>
      </c>
      <c r="J927" t="str">
        <f>T("DC")</f>
        <v>DC</v>
      </c>
      <c r="K927" t="str">
        <f>T("2027673869")</f>
        <v>2027673869</v>
      </c>
      <c r="L927" t="str">
        <f>T("2027673142")</f>
        <v>2027673142</v>
      </c>
    </row>
    <row r="928" spans="1:12" x14ac:dyDescent="0.35">
      <c r="A928" t="str">
        <f t="shared" si="324"/>
        <v>NAVAL RESEARCH LABORATORY</v>
      </c>
      <c r="B928" t="str">
        <f>T("NAVAL RESERVE LAB")</f>
        <v>NAVAL RESERVE LAB</v>
      </c>
      <c r="C928" t="str">
        <f>T("CODE 7440")</f>
        <v>CODE 7440</v>
      </c>
      <c r="D928" t="str">
        <f>T("STENNIS SPACE CENTER")</f>
        <v>STENNIS SPACE CENTER</v>
      </c>
      <c r="E928" t="str">
        <f>T("MS")</f>
        <v>MS</v>
      </c>
      <c r="F928" t="str">
        <f>T("395290001")</f>
        <v>395290001</v>
      </c>
      <c r="G928" t="str">
        <f>T("NAVAL RESERVE LAB")</f>
        <v>NAVAL RESERVE LAB</v>
      </c>
      <c r="H928" t="str">
        <f>T("CODE 7440")</f>
        <v>CODE 7440</v>
      </c>
      <c r="I928" t="str">
        <f>T("STENNIS SPACE CENTER")</f>
        <v>STENNIS SPACE CENTER</v>
      </c>
      <c r="J928" t="str">
        <f>T("MS")</f>
        <v>MS</v>
      </c>
      <c r="K928" t="str">
        <f>T("2286884853")</f>
        <v>2286884853</v>
      </c>
      <c r="L928" t="str">
        <f>T("2286885321")</f>
        <v>2286885321</v>
      </c>
    </row>
    <row r="929" spans="1:12" x14ac:dyDescent="0.35">
      <c r="A929" t="str">
        <f t="shared" si="324"/>
        <v>NAVAL RESEARCH LABORATORY</v>
      </c>
      <c r="B929" t="str">
        <f>T("NAVAL RESERVE LAB")</f>
        <v>NAVAL RESERVE LAB</v>
      </c>
      <c r="C929" t="str">
        <f>T("CODE 7440")</f>
        <v>CODE 7440</v>
      </c>
      <c r="D929" t="str">
        <f>T("STENNIS SPACE CENTER")</f>
        <v>STENNIS SPACE CENTER</v>
      </c>
      <c r="E929" t="str">
        <f>T("MS")</f>
        <v>MS</v>
      </c>
      <c r="F929" t="str">
        <f>T("395290001")</f>
        <v>395290001</v>
      </c>
      <c r="G929" t="str">
        <f>T("STENNIS SPACE CENTER")</f>
        <v>STENNIS SPACE CENTER</v>
      </c>
      <c r="H929" t="str">
        <f>T("BLDG 1008 RM 102 CODE 7440 5")</f>
        <v>BLDG 1008 RM 102 CODE 7440 5</v>
      </c>
      <c r="I929" t="str">
        <f>T("STENNIS SPACE CENTER")</f>
        <v>STENNIS SPACE CENTER</v>
      </c>
      <c r="J929" t="str">
        <f>T("MS")</f>
        <v>MS</v>
      </c>
      <c r="K929" t="str">
        <f>T("000000000000000000")</f>
        <v>000000000000000000</v>
      </c>
      <c r="L929" t="str">
        <f>T("2286885245")</f>
        <v>2286885245</v>
      </c>
    </row>
    <row r="930" spans="1:12" x14ac:dyDescent="0.35">
      <c r="A930" t="str">
        <f t="shared" si="324"/>
        <v>NAVAL RESEARCH LABORATORY</v>
      </c>
      <c r="B930" t="str">
        <f t="shared" ref="B930:B935" si="341">T("NRL")</f>
        <v>NRL</v>
      </c>
      <c r="C930" t="str">
        <f t="shared" ref="C930:C935" si="342">T("4555 OVERLOOK AVE SW")</f>
        <v>4555 OVERLOOK AVE SW</v>
      </c>
      <c r="D930" t="str">
        <f t="shared" ref="D930:D935" si="343">T("WASHINGTON")</f>
        <v>WASHINGTON</v>
      </c>
      <c r="E930" t="str">
        <f t="shared" ref="E930:E935" si="344">T("DC")</f>
        <v>DC</v>
      </c>
      <c r="F930" t="str">
        <f t="shared" ref="F930:F935" si="345">T("203750001")</f>
        <v>203750001</v>
      </c>
      <c r="G930" t="str">
        <f>T("4555 OVERLOOK AV SW")</f>
        <v>4555 OVERLOOK AV SW</v>
      </c>
      <c r="H930" t="str">
        <f>T("CODE 5740")</f>
        <v>CODE 5740</v>
      </c>
      <c r="I930" t="str">
        <f t="shared" ref="I930:I936" si="346">T("WASHINGTON")</f>
        <v>WASHINGTON</v>
      </c>
      <c r="J930" t="str">
        <f t="shared" ref="J930:J936" si="347">T("DC")</f>
        <v>DC</v>
      </c>
      <c r="K930" t="str">
        <f>T("000000000000000000")</f>
        <v>000000000000000000</v>
      </c>
      <c r="L930" t="str">
        <f>T("2024047666")</f>
        <v>2024047666</v>
      </c>
    </row>
    <row r="931" spans="1:12" x14ac:dyDescent="0.35">
      <c r="A931" t="str">
        <f t="shared" si="324"/>
        <v>NAVAL RESEARCH LABORATORY</v>
      </c>
      <c r="B931" t="str">
        <f t="shared" si="341"/>
        <v>NRL</v>
      </c>
      <c r="C931" t="str">
        <f t="shared" si="342"/>
        <v>4555 OVERLOOK AVE SW</v>
      </c>
      <c r="D931" t="str">
        <f t="shared" si="343"/>
        <v>WASHINGTON</v>
      </c>
      <c r="E931" t="str">
        <f t="shared" si="344"/>
        <v>DC</v>
      </c>
      <c r="F931" t="str">
        <f t="shared" si="345"/>
        <v>203750001</v>
      </c>
      <c r="G931" t="str">
        <f>T("4555 OVERLOOK AVE SW")</f>
        <v>4555 OVERLOOK AVE SW</v>
      </c>
      <c r="H931" t="str">
        <f>T("CODE 5743")</f>
        <v>CODE 5743</v>
      </c>
      <c r="I931" t="str">
        <f t="shared" si="346"/>
        <v>WASHINGTON</v>
      </c>
      <c r="J931" t="str">
        <f t="shared" si="347"/>
        <v>DC</v>
      </c>
      <c r="K931" t="str">
        <f>T("000000000000000000")</f>
        <v>000000000000000000</v>
      </c>
      <c r="L931" t="str">
        <f>T("2027675943")</f>
        <v>2027675943</v>
      </c>
    </row>
    <row r="932" spans="1:12" x14ac:dyDescent="0.35">
      <c r="A932" t="str">
        <f t="shared" si="324"/>
        <v>NAVAL RESEARCH LABORATORY</v>
      </c>
      <c r="B932" t="str">
        <f t="shared" si="341"/>
        <v>NRL</v>
      </c>
      <c r="C932" t="str">
        <f t="shared" si="342"/>
        <v>4555 OVERLOOK AVE SW</v>
      </c>
      <c r="D932" t="str">
        <f t="shared" si="343"/>
        <v>WASHINGTON</v>
      </c>
      <c r="E932" t="str">
        <f t="shared" si="344"/>
        <v>DC</v>
      </c>
      <c r="F932" t="str">
        <f t="shared" si="345"/>
        <v>203750001</v>
      </c>
      <c r="G932" t="str">
        <f>T("4555 OVERLOOK AVENUE SW")</f>
        <v>4555 OVERLOOK AVENUE SW</v>
      </c>
      <c r="H932" t="str">
        <f>T("CODE 5745")</f>
        <v>CODE 5745</v>
      </c>
      <c r="I932" t="str">
        <f t="shared" si="346"/>
        <v>WASHINGTON</v>
      </c>
      <c r="J932" t="str">
        <f t="shared" si="347"/>
        <v>DC</v>
      </c>
      <c r="K932" t="str">
        <f>T("000000000000000000")</f>
        <v>000000000000000000</v>
      </c>
      <c r="L932" t="str">
        <f>T("2024041760")</f>
        <v>2024041760</v>
      </c>
    </row>
    <row r="933" spans="1:12" x14ac:dyDescent="0.35">
      <c r="A933" t="str">
        <f t="shared" si="324"/>
        <v>NAVAL RESEARCH LABORATORY</v>
      </c>
      <c r="B933" t="str">
        <f t="shared" si="341"/>
        <v>NRL</v>
      </c>
      <c r="C933" t="str">
        <f t="shared" si="342"/>
        <v>4555 OVERLOOK AVE SW</v>
      </c>
      <c r="D933" t="str">
        <f t="shared" si="343"/>
        <v>WASHINGTON</v>
      </c>
      <c r="E933" t="str">
        <f t="shared" si="344"/>
        <v>DC</v>
      </c>
      <c r="F933" t="str">
        <f t="shared" si="345"/>
        <v>203750001</v>
      </c>
      <c r="G933" t="str">
        <f>T("4555 OVERLOOK AVENUE SW")</f>
        <v>4555 OVERLOOK AVENUE SW</v>
      </c>
      <c r="H933" t="str">
        <f>T("CODE 5745")</f>
        <v>CODE 5745</v>
      </c>
      <c r="I933" t="str">
        <f t="shared" si="346"/>
        <v>WASHINGTON</v>
      </c>
      <c r="J933" t="str">
        <f t="shared" si="347"/>
        <v>DC</v>
      </c>
      <c r="K933" t="str">
        <f>T("000000000000000000")</f>
        <v>000000000000000000</v>
      </c>
      <c r="L933" t="str">
        <f>T("2027675938")</f>
        <v>2027675938</v>
      </c>
    </row>
    <row r="934" spans="1:12" x14ac:dyDescent="0.35">
      <c r="A934" t="str">
        <f t="shared" si="324"/>
        <v>NAVAL RESEARCH LABORATORY</v>
      </c>
      <c r="B934" t="str">
        <f t="shared" si="341"/>
        <v>NRL</v>
      </c>
      <c r="C934" t="str">
        <f t="shared" si="342"/>
        <v>4555 OVERLOOK AVE SW</v>
      </c>
      <c r="D934" t="str">
        <f t="shared" si="343"/>
        <v>WASHINGTON</v>
      </c>
      <c r="E934" t="str">
        <f t="shared" si="344"/>
        <v>DC</v>
      </c>
      <c r="F934" t="str">
        <f t="shared" si="345"/>
        <v>203750001</v>
      </c>
      <c r="G934" t="str">
        <f>T("4555 OVERLOOK AVENUE SW")</f>
        <v>4555 OVERLOOK AVENUE SW</v>
      </c>
      <c r="H934" t="str">
        <f>T("CODE 5745")</f>
        <v>CODE 5745</v>
      </c>
      <c r="I934" t="str">
        <f t="shared" si="346"/>
        <v>WASHINGTON</v>
      </c>
      <c r="J934" t="str">
        <f t="shared" si="347"/>
        <v>DC</v>
      </c>
      <c r="K934" t="str">
        <f>T("2024047690")</f>
        <v>2024047690</v>
      </c>
      <c r="L934" t="str">
        <f>T("2027672924")</f>
        <v>2027672924</v>
      </c>
    </row>
    <row r="935" spans="1:12" x14ac:dyDescent="0.35">
      <c r="A935" t="str">
        <f t="shared" si="324"/>
        <v>NAVAL RESEARCH LABORATORY</v>
      </c>
      <c r="B935" t="str">
        <f t="shared" si="341"/>
        <v>NRL</v>
      </c>
      <c r="C935" t="str">
        <f t="shared" si="342"/>
        <v>4555 OVERLOOK AVE SW</v>
      </c>
      <c r="D935" t="str">
        <f t="shared" si="343"/>
        <v>WASHINGTON</v>
      </c>
      <c r="E935" t="str">
        <f t="shared" si="344"/>
        <v>DC</v>
      </c>
      <c r="F935" t="str">
        <f t="shared" si="345"/>
        <v>203750001</v>
      </c>
      <c r="G935" t="str">
        <f>T("NRL")</f>
        <v>NRL</v>
      </c>
      <c r="H935" t="str">
        <f>T("4555 OVERLOOK AVE SW")</f>
        <v>4555 OVERLOOK AVE SW</v>
      </c>
      <c r="I935" t="str">
        <f t="shared" si="346"/>
        <v>WASHINGTON</v>
      </c>
      <c r="J935" t="str">
        <f t="shared" si="347"/>
        <v>DC</v>
      </c>
      <c r="K935" t="str">
        <f>T("")</f>
        <v/>
      </c>
      <c r="L935" t="str">
        <f>T("2027675972")</f>
        <v>2027675972</v>
      </c>
    </row>
    <row r="936" spans="1:12" x14ac:dyDescent="0.35">
      <c r="A936" t="str">
        <f t="shared" si="324"/>
        <v>NAVAL RESEARCH LABORATORY</v>
      </c>
      <c r="B936" t="str">
        <f>T("NRL BLDG 1005 ROOM A19")</f>
        <v>NRL BLDG 1005 ROOM A19</v>
      </c>
      <c r="C936" t="str">
        <f>T("CODE 7440.4")</f>
        <v>CODE 7440.4</v>
      </c>
      <c r="D936" t="str">
        <f>T("STENNIS SPACE CENTER")</f>
        <v>STENNIS SPACE CENTER</v>
      </c>
      <c r="E936" t="str">
        <f t="shared" ref="E936:E950" si="348">T("MS")</f>
        <v>MS</v>
      </c>
      <c r="F936" t="str">
        <f t="shared" ref="F936:F950" si="349">T("395290001")</f>
        <v>395290001</v>
      </c>
      <c r="G936" t="str">
        <f>T("4555 OVERLOOK AVE SW")</f>
        <v>4555 OVERLOOK AVE SW</v>
      </c>
      <c r="H936" t="str">
        <f>T("CODE 7440")</f>
        <v>CODE 7440</v>
      </c>
      <c r="I936" t="str">
        <f t="shared" si="346"/>
        <v>WASHINGTON</v>
      </c>
      <c r="J936" t="str">
        <f t="shared" si="347"/>
        <v>DC</v>
      </c>
      <c r="K936" t="str">
        <f>T("2286884853")</f>
        <v>2286884853</v>
      </c>
      <c r="L936" t="str">
        <f>T("2286884420")</f>
        <v>2286884420</v>
      </c>
    </row>
    <row r="937" spans="1:12" x14ac:dyDescent="0.35">
      <c r="A937" t="str">
        <f t="shared" si="324"/>
        <v>NAVAL RESEARCH LABORATORY</v>
      </c>
      <c r="B937" t="str">
        <f>T("NRL BLDG 1005 ROOM A19")</f>
        <v>NRL BLDG 1005 ROOM A19</v>
      </c>
      <c r="C937" t="str">
        <f>T("CODE 7440.4")</f>
        <v>CODE 7440.4</v>
      </c>
      <c r="D937" t="str">
        <f>T("STENNIS SPACE CENTER")</f>
        <v>STENNIS SPACE CENTER</v>
      </c>
      <c r="E937" t="str">
        <f t="shared" si="348"/>
        <v>MS</v>
      </c>
      <c r="F937" t="str">
        <f t="shared" si="349"/>
        <v>395290001</v>
      </c>
      <c r="G937" t="str">
        <f>T("NRL BLDG 1005 ROOM A19")</f>
        <v>NRL BLDG 1005 ROOM A19</v>
      </c>
      <c r="H937" t="str">
        <f>T("CODE 7440.4")</f>
        <v>CODE 7440.4</v>
      </c>
      <c r="I937" t="str">
        <f>T("STENNIS SPACE CENTER")</f>
        <v>STENNIS SPACE CENTER</v>
      </c>
      <c r="J937" t="str">
        <f t="shared" ref="J937:J950" si="350">T("MS")</f>
        <v>MS</v>
      </c>
      <c r="K937" t="str">
        <f>T("5042806048")</f>
        <v>5042806048</v>
      </c>
      <c r="L937" t="str">
        <f>T("2286884995")</f>
        <v>2286884995</v>
      </c>
    </row>
    <row r="938" spans="1:12" x14ac:dyDescent="0.35">
      <c r="A938" t="str">
        <f t="shared" si="324"/>
        <v>NAVAL RESEARCH LABORATORY</v>
      </c>
      <c r="B938" t="str">
        <f>T("NRL-SSC")</f>
        <v>NRL-SSC</v>
      </c>
      <c r="C938" t="str">
        <f>T("BLDG 1009 RM A108 CODE 7302")</f>
        <v>BLDG 1009 RM A108 CODE 7302</v>
      </c>
      <c r="D938" t="str">
        <f>T("STENNIS SP CENT")</f>
        <v>STENNIS SP CENT</v>
      </c>
      <c r="E938" t="str">
        <f t="shared" si="348"/>
        <v>MS</v>
      </c>
      <c r="F938" t="str">
        <f t="shared" si="349"/>
        <v>395290001</v>
      </c>
      <c r="G938" t="str">
        <f>T("CODE 7330")</f>
        <v>CODE 7330</v>
      </c>
      <c r="H938" t="str">
        <f>T("SSC BLDG 1009A RM 105A")</f>
        <v>SSC BLDG 1009A RM 105A</v>
      </c>
      <c r="I938" t="str">
        <f>T("STENNIS SPACE CENTER")</f>
        <v>STENNIS SPACE CENTER</v>
      </c>
      <c r="J938" t="str">
        <f t="shared" si="350"/>
        <v>MS</v>
      </c>
      <c r="K938" t="str">
        <f>T("000000000000000000")</f>
        <v>000000000000000000</v>
      </c>
      <c r="L938" t="str">
        <f>T("2286884733")</f>
        <v>2286884733</v>
      </c>
    </row>
    <row r="939" spans="1:12" x14ac:dyDescent="0.35">
      <c r="A939" t="str">
        <f t="shared" si="324"/>
        <v>NAVAL RESEARCH LABORATORY</v>
      </c>
      <c r="B939" t="str">
        <f>T("NRL-SSC")</f>
        <v>NRL-SSC</v>
      </c>
      <c r="C939" t="str">
        <f>T("BLDG 1009 RM A108 CODE 7302")</f>
        <v>BLDG 1009 RM A108 CODE 7302</v>
      </c>
      <c r="D939" t="str">
        <f>T("STENNIS SP CENT")</f>
        <v>STENNIS SP CENT</v>
      </c>
      <c r="E939" t="str">
        <f t="shared" si="348"/>
        <v>MS</v>
      </c>
      <c r="F939" t="str">
        <f t="shared" si="349"/>
        <v>395290001</v>
      </c>
      <c r="G939" t="str">
        <f>T("NRL-SSC")</f>
        <v>NRL-SSC</v>
      </c>
      <c r="H939" t="str">
        <f>T("BLDG 1009 RM A108 CODE 7302")</f>
        <v>BLDG 1009 RM A108 CODE 7302</v>
      </c>
      <c r="I939" t="str">
        <f>T("STENNIS SP CENT")</f>
        <v>STENNIS SP CENT</v>
      </c>
      <c r="J939" t="str">
        <f t="shared" si="350"/>
        <v>MS</v>
      </c>
      <c r="K939" t="str">
        <f>T("228 688 4149")</f>
        <v>228 688 4149</v>
      </c>
      <c r="L939" t="str">
        <f>T("2286884870")</f>
        <v>2286884870</v>
      </c>
    </row>
    <row r="940" spans="1:12" x14ac:dyDescent="0.35">
      <c r="A940" t="str">
        <f t="shared" si="324"/>
        <v>NAVAL RESEARCH LABORATORY</v>
      </c>
      <c r="B940" t="str">
        <f>T("NRL-SSC")</f>
        <v>NRL-SSC</v>
      </c>
      <c r="C940" t="str">
        <f>T("BLDG 1009 RM A108 CODE 7302")</f>
        <v>BLDG 1009 RM A108 CODE 7302</v>
      </c>
      <c r="D940" t="str">
        <f>T("STENNIS SP CENT")</f>
        <v>STENNIS SP CENT</v>
      </c>
      <c r="E940" t="str">
        <f t="shared" si="348"/>
        <v>MS</v>
      </c>
      <c r="F940" t="str">
        <f t="shared" si="349"/>
        <v>395290001</v>
      </c>
      <c r="G940" t="str">
        <f>T("STENNIS SPACE CENTER")</f>
        <v>STENNIS SPACE CENTER</v>
      </c>
      <c r="H940" t="str">
        <f>T("BLDG 1009 RM B147 CODE 7332")</f>
        <v>BLDG 1009 RM B147 CODE 7332</v>
      </c>
      <c r="I940" t="str">
        <f>T("STENNIS SPACE CENTER")</f>
        <v>STENNIS SPACE CENTER</v>
      </c>
      <c r="J940" t="str">
        <f t="shared" si="350"/>
        <v>MS</v>
      </c>
      <c r="K940" t="str">
        <f>T("2286885997")</f>
        <v>2286885997</v>
      </c>
      <c r="L940" t="str">
        <f>T("2286885454")</f>
        <v>2286885454</v>
      </c>
    </row>
    <row r="941" spans="1:12" x14ac:dyDescent="0.35">
      <c r="A941" t="str">
        <f t="shared" si="324"/>
        <v>NAVAL RESEARCH LABORATORY</v>
      </c>
      <c r="B941" t="str">
        <f>T("NRL-SSC")</f>
        <v>NRL-SSC</v>
      </c>
      <c r="C941" t="str">
        <f>T("BLDG 1009 RM A108 CODE 7302")</f>
        <v>BLDG 1009 RM A108 CODE 7302</v>
      </c>
      <c r="D941" t="str">
        <f>T("STENNIS SP CENT")</f>
        <v>STENNIS SP CENT</v>
      </c>
      <c r="E941" t="str">
        <f t="shared" si="348"/>
        <v>MS</v>
      </c>
      <c r="F941" t="str">
        <f t="shared" si="349"/>
        <v>395290001</v>
      </c>
      <c r="G941" t="str">
        <f>T("STENNIS SPACE CENTER BLDG 1009")</f>
        <v>STENNIS SPACE CENTER BLDG 1009</v>
      </c>
      <c r="H941" t="str">
        <f>T("CODE 7332")</f>
        <v>CODE 7332</v>
      </c>
      <c r="I941" t="str">
        <f>T("STENNIS CTR")</f>
        <v>STENNIS CTR</v>
      </c>
      <c r="J941" t="str">
        <f t="shared" si="350"/>
        <v>MS</v>
      </c>
      <c r="K941" t="str">
        <f>T("000000000000000000")</f>
        <v>000000000000000000</v>
      </c>
      <c r="L941" t="str">
        <f>T("2286886187")</f>
        <v>2286886187</v>
      </c>
    </row>
    <row r="942" spans="1:12" x14ac:dyDescent="0.35">
      <c r="A942" t="str">
        <f t="shared" si="324"/>
        <v>NAVAL RESEARCH LABORATORY</v>
      </c>
      <c r="B942" t="str">
        <f>T("STENNIS SPACE CENTER")</f>
        <v>STENNIS SPACE CENTER</v>
      </c>
      <c r="C942" t="str">
        <f>T("BLDG 1005 RM 6 CODE 7443")</f>
        <v>BLDG 1005 RM 6 CODE 7443</v>
      </c>
      <c r="D942" t="str">
        <f>T("STENNIS SP CT")</f>
        <v>STENNIS SP CT</v>
      </c>
      <c r="E942" t="str">
        <f t="shared" si="348"/>
        <v>MS</v>
      </c>
      <c r="F942" t="str">
        <f t="shared" si="349"/>
        <v>395290001</v>
      </c>
      <c r="G942" t="str">
        <f>T("NRL - SSC CODE 7440 BLDG 1005")</f>
        <v>NRL - SSC CODE 7440 BLDG 1005</v>
      </c>
      <c r="H942" t="str">
        <f>T("")</f>
        <v/>
      </c>
      <c r="I942" t="str">
        <f>T("STENNIS SPACE CENTER")</f>
        <v>STENNIS SPACE CENTER</v>
      </c>
      <c r="J942" t="str">
        <f t="shared" si="350"/>
        <v>MS</v>
      </c>
      <c r="K942" t="str">
        <f>T("2286884853")</f>
        <v>2286884853</v>
      </c>
      <c r="L942" t="str">
        <f>T("2286885467")</f>
        <v>2286885467</v>
      </c>
    </row>
    <row r="943" spans="1:12" x14ac:dyDescent="0.35">
      <c r="A943" t="str">
        <f t="shared" si="324"/>
        <v>NAVAL RESEARCH LABORATORY</v>
      </c>
      <c r="B943" t="str">
        <f>T("STENNIS SPACE CENTER")</f>
        <v>STENNIS SPACE CENTER</v>
      </c>
      <c r="C943" t="str">
        <f>T("BLDG 1005 RM 6 CODE 7443")</f>
        <v>BLDG 1005 RM 6 CODE 7443</v>
      </c>
      <c r="D943" t="str">
        <f>T("STENNIS SP CT")</f>
        <v>STENNIS SP CT</v>
      </c>
      <c r="E943" t="str">
        <f t="shared" si="348"/>
        <v>MS</v>
      </c>
      <c r="F943" t="str">
        <f t="shared" si="349"/>
        <v>395290001</v>
      </c>
      <c r="G943" t="str">
        <f>T("STENNIS SPACE CENTER")</f>
        <v>STENNIS SPACE CENTER</v>
      </c>
      <c r="H943" t="str">
        <f>T("BLDG 1005 RM 6 CODE 7443")</f>
        <v>BLDG 1005 RM 6 CODE 7443</v>
      </c>
      <c r="I943" t="str">
        <f>T("STENNIS SP CT")</f>
        <v>STENNIS SP CT</v>
      </c>
      <c r="J943" t="str">
        <f t="shared" si="350"/>
        <v>MS</v>
      </c>
      <c r="K943" t="str">
        <f>T("2286884853")</f>
        <v>2286884853</v>
      </c>
      <c r="L943" t="str">
        <f>T("2286884778")</f>
        <v>2286884778</v>
      </c>
    </row>
    <row r="944" spans="1:12" x14ac:dyDescent="0.35">
      <c r="A944" t="str">
        <f t="shared" si="324"/>
        <v>NAVAL RESEARCH LABORATORY</v>
      </c>
      <c r="B944" t="str">
        <f>T("STENNIS SPACE CENTER BLDG 1005")</f>
        <v>STENNIS SPACE CENTER BLDG 1005</v>
      </c>
      <c r="C944" t="str">
        <f>T("CODE 7402")</f>
        <v>CODE 7402</v>
      </c>
      <c r="D944" t="str">
        <f t="shared" ref="D944:D950" si="351">T("STENNIS SPACE CENTER")</f>
        <v>STENNIS SPACE CENTER</v>
      </c>
      <c r="E944" t="str">
        <f t="shared" si="348"/>
        <v>MS</v>
      </c>
      <c r="F944" t="str">
        <f t="shared" si="349"/>
        <v>395290001</v>
      </c>
      <c r="G944" t="str">
        <f>T("BLDG 1005 RM A-11")</f>
        <v>BLDG 1005 RM A-11</v>
      </c>
      <c r="H944" t="str">
        <f>T("CODE 7030 2")</f>
        <v>CODE 7030 2</v>
      </c>
      <c r="I944" t="str">
        <f>T("STENNIS SPACE CENTER")</f>
        <v>STENNIS SPACE CENTER</v>
      </c>
      <c r="J944" t="str">
        <f t="shared" si="350"/>
        <v>MS</v>
      </c>
      <c r="K944" t="str">
        <f>T("000000000000000000")</f>
        <v>000000000000000000</v>
      </c>
      <c r="L944" t="str">
        <f>T("2286884010")</f>
        <v>2286884010</v>
      </c>
    </row>
    <row r="945" spans="1:12" x14ac:dyDescent="0.35">
      <c r="A945" t="str">
        <f t="shared" si="324"/>
        <v>NAVAL RESEARCH LABORATORY</v>
      </c>
      <c r="B945" t="str">
        <f>T("STENNIS SPACE CENTER BLDG 1005")</f>
        <v>STENNIS SPACE CENTER BLDG 1005</v>
      </c>
      <c r="C945" t="str">
        <f>T("CODE 7402")</f>
        <v>CODE 7402</v>
      </c>
      <c r="D945" t="str">
        <f t="shared" si="351"/>
        <v>STENNIS SPACE CENTER</v>
      </c>
      <c r="E945" t="str">
        <f t="shared" si="348"/>
        <v>MS</v>
      </c>
      <c r="F945" t="str">
        <f t="shared" si="349"/>
        <v>395290001</v>
      </c>
      <c r="G945" t="str">
        <f>T("BLDG 1005 RM A12")</f>
        <v>BLDG 1005 RM A12</v>
      </c>
      <c r="H945" t="str">
        <f>T("CODE 7402")</f>
        <v>CODE 7402</v>
      </c>
      <c r="I945" t="str">
        <f>T("STENNIS SPACE CENTER")</f>
        <v>STENNIS SPACE CENTER</v>
      </c>
      <c r="J945" t="str">
        <f t="shared" si="350"/>
        <v>MS</v>
      </c>
      <c r="K945" t="str">
        <f>T("000000000000000000")</f>
        <v>000000000000000000</v>
      </c>
      <c r="L945" t="str">
        <f>T("2286885400")</f>
        <v>2286885400</v>
      </c>
    </row>
    <row r="946" spans="1:12" x14ac:dyDescent="0.35">
      <c r="A946" t="str">
        <f t="shared" si="324"/>
        <v>NAVAL RESEARCH LABORATORY</v>
      </c>
      <c r="B946" t="str">
        <f>T("STENNIS SPACE CENTER BLDG 1005")</f>
        <v>STENNIS SPACE CENTER BLDG 1005</v>
      </c>
      <c r="C946" t="str">
        <f>T("CODE 7402")</f>
        <v>CODE 7402</v>
      </c>
      <c r="D946" t="str">
        <f t="shared" si="351"/>
        <v>STENNIS SPACE CENTER</v>
      </c>
      <c r="E946" t="str">
        <f t="shared" si="348"/>
        <v>MS</v>
      </c>
      <c r="F946" t="str">
        <f t="shared" si="349"/>
        <v>395290001</v>
      </c>
      <c r="G946" t="str">
        <f>T("BLDG 1005 RM A9")</f>
        <v>BLDG 1005 RM A9</v>
      </c>
      <c r="H946" t="str">
        <f>T("CODE 7402")</f>
        <v>CODE 7402</v>
      </c>
      <c r="I946" t="str">
        <f>T("STENNIS SP CENTER")</f>
        <v>STENNIS SP CENTER</v>
      </c>
      <c r="J946" t="str">
        <f t="shared" si="350"/>
        <v>MS</v>
      </c>
      <c r="K946" t="str">
        <f>T("000000000000000000")</f>
        <v>000000000000000000</v>
      </c>
      <c r="L946" t="str">
        <f>T("2286885570")</f>
        <v>2286885570</v>
      </c>
    </row>
    <row r="947" spans="1:12" x14ac:dyDescent="0.35">
      <c r="A947" t="str">
        <f t="shared" si="324"/>
        <v>NAVAL RESEARCH LABORATORY</v>
      </c>
      <c r="B947" t="str">
        <f>T("STENNIS SPACE CENTER BLDG 1005")</f>
        <v>STENNIS SPACE CENTER BLDG 1005</v>
      </c>
      <c r="C947" t="str">
        <f>T("CODE 7402")</f>
        <v>CODE 7402</v>
      </c>
      <c r="D947" t="str">
        <f t="shared" si="351"/>
        <v>STENNIS SPACE CENTER</v>
      </c>
      <c r="E947" t="str">
        <f t="shared" si="348"/>
        <v>MS</v>
      </c>
      <c r="F947" t="str">
        <f t="shared" si="349"/>
        <v>395290001</v>
      </c>
      <c r="G947" t="str">
        <f>T("NAVAL RESEARCH LABORATORY")</f>
        <v>NAVAL RESEARCH LABORATORY</v>
      </c>
      <c r="H947" t="str">
        <f>T("CODE 7402 BLDG 1005 RM A1")</f>
        <v>CODE 7402 BLDG 1005 RM A1</v>
      </c>
      <c r="I947" t="str">
        <f>T("STENNIS SPACE CENTER")</f>
        <v>STENNIS SPACE CENTER</v>
      </c>
      <c r="J947" t="str">
        <f t="shared" si="350"/>
        <v>MS</v>
      </c>
      <c r="K947" t="str">
        <f>T("000000000000000000")</f>
        <v>000000000000000000</v>
      </c>
      <c r="L947" t="str">
        <f>T("2286884887")</f>
        <v>2286884887</v>
      </c>
    </row>
    <row r="948" spans="1:12" x14ac:dyDescent="0.35">
      <c r="A948" t="str">
        <f t="shared" si="324"/>
        <v>NAVAL RESEARCH LABORATORY</v>
      </c>
      <c r="B948" t="str">
        <f>T("STENNIS SPACE CENTER BLDG 1005")</f>
        <v>STENNIS SPACE CENTER BLDG 1005</v>
      </c>
      <c r="C948" t="str">
        <f>T("CODE 7402")</f>
        <v>CODE 7402</v>
      </c>
      <c r="D948" t="str">
        <f t="shared" si="351"/>
        <v>STENNIS SPACE CENTER</v>
      </c>
      <c r="E948" t="str">
        <f t="shared" si="348"/>
        <v>MS</v>
      </c>
      <c r="F948" t="str">
        <f t="shared" si="349"/>
        <v>395290001</v>
      </c>
      <c r="G948" t="str">
        <f>T("STENNIS SPACE CENTER BLDG 1005")</f>
        <v>STENNIS SPACE CENTER BLDG 1005</v>
      </c>
      <c r="H948" t="str">
        <f>T("CODE 7402")</f>
        <v>CODE 7402</v>
      </c>
      <c r="I948" t="str">
        <f>T("STENNIS SPACE CENTER")</f>
        <v>STENNIS SPACE CENTER</v>
      </c>
      <c r="J948" t="str">
        <f t="shared" si="350"/>
        <v>MS</v>
      </c>
      <c r="K948" t="str">
        <f>T("2286884605")</f>
        <v>2286884605</v>
      </c>
      <c r="L948" t="str">
        <f>T("2286884861")</f>
        <v>2286884861</v>
      </c>
    </row>
    <row r="949" spans="1:12" x14ac:dyDescent="0.35">
      <c r="A949" t="str">
        <f t="shared" si="324"/>
        <v>NAVAL RESEARCH LABORATORY</v>
      </c>
      <c r="B949" t="str">
        <f>T("STENNIS SPACE CTR BLDG 1005 RM 100")</f>
        <v>STENNIS SPACE CTR BLDG 1005 RM 100</v>
      </c>
      <c r="C949" t="str">
        <f>T("CODE 7443")</f>
        <v>CODE 7443</v>
      </c>
      <c r="D949" t="str">
        <f t="shared" si="351"/>
        <v>STENNIS SPACE CENTER</v>
      </c>
      <c r="E949" t="str">
        <f t="shared" si="348"/>
        <v>MS</v>
      </c>
      <c r="F949" t="str">
        <f t="shared" si="349"/>
        <v>395290001</v>
      </c>
      <c r="G949" t="str">
        <f>T("BLDG 1005 RM D20")</f>
        <v>BLDG 1005 RM D20</v>
      </c>
      <c r="H949" t="str">
        <f>T("CODE 7440")</f>
        <v>CODE 7440</v>
      </c>
      <c r="I949" t="str">
        <f>T("STENNIS SP CENTER")</f>
        <v>STENNIS SP CENTER</v>
      </c>
      <c r="J949" t="str">
        <f t="shared" si="350"/>
        <v>MS</v>
      </c>
      <c r="K949" t="str">
        <f>T("000000000000000000")</f>
        <v>000000000000000000</v>
      </c>
      <c r="L949" t="str">
        <f>T("2286884633")</f>
        <v>2286884633</v>
      </c>
    </row>
    <row r="950" spans="1:12" x14ac:dyDescent="0.35">
      <c r="A950" t="str">
        <f t="shared" si="324"/>
        <v>NAVAL RESEARCH LABORATORY</v>
      </c>
      <c r="B950" t="str">
        <f>T("STENNIS SPACE CTR BLDG 1005 RM 100")</f>
        <v>STENNIS SPACE CTR BLDG 1005 RM 100</v>
      </c>
      <c r="C950" t="str">
        <f>T("CODE 7443")</f>
        <v>CODE 7443</v>
      </c>
      <c r="D950" t="str">
        <f t="shared" si="351"/>
        <v>STENNIS SPACE CENTER</v>
      </c>
      <c r="E950" t="str">
        <f t="shared" si="348"/>
        <v>MS</v>
      </c>
      <c r="F950" t="str">
        <f t="shared" si="349"/>
        <v>395290001</v>
      </c>
      <c r="G950" t="str">
        <f>T("STENNIS SPACE CTR BLDG 1005 RM 100")</f>
        <v>STENNIS SPACE CTR BLDG 1005 RM 100</v>
      </c>
      <c r="H950" t="str">
        <f>T("CODE 7443")</f>
        <v>CODE 7443</v>
      </c>
      <c r="I950" t="str">
        <f>T("STENNIS SPACE CENTER")</f>
        <v>STENNIS SPACE CENTER</v>
      </c>
      <c r="J950" t="str">
        <f t="shared" si="350"/>
        <v>MS</v>
      </c>
      <c r="K950" t="str">
        <f>T("2286884853")</f>
        <v>2286884853</v>
      </c>
      <c r="L950" t="str">
        <f>T("2286885808")</f>
        <v>2286885808</v>
      </c>
    </row>
    <row r="951" spans="1:12" x14ac:dyDescent="0.35">
      <c r="A951" t="str">
        <f>T("ONR GLOBAL")</f>
        <v>ONR GLOBAL</v>
      </c>
      <c r="B951" t="str">
        <f>T("ONRIFO")</f>
        <v>ONRIFO</v>
      </c>
      <c r="C951" t="str">
        <f>T("UNIT 4540")</f>
        <v>UNIT 4540</v>
      </c>
      <c r="D951" t="str">
        <f>T("APO")</f>
        <v>APO</v>
      </c>
      <c r="E951" t="str">
        <f>T("AP")</f>
        <v>AP</v>
      </c>
      <c r="F951" t="str">
        <f>T("963385002")</f>
        <v>963385002</v>
      </c>
      <c r="G951" t="str">
        <f>T("OFC OF NAVAL RESEARCH GLOBAL")</f>
        <v>OFC OF NAVAL RESEARCH GLOBAL</v>
      </c>
      <c r="H951" t="str">
        <f>T("875 N RANDOLPH ST")</f>
        <v>875 N RANDOLPH ST</v>
      </c>
      <c r="I951" t="str">
        <f>T("ARLINGTON")</f>
        <v>ARLINGTON</v>
      </c>
      <c r="J951" t="str">
        <f>T("VA")</f>
        <v>VA</v>
      </c>
      <c r="K951" t="str">
        <f>T("000000000000000000")</f>
        <v>000000000000000000</v>
      </c>
      <c r="L951" t="str">
        <f>T("7036962966")</f>
        <v>7036962966</v>
      </c>
    </row>
    <row r="952" spans="1:12" x14ac:dyDescent="0.35">
      <c r="A952" t="str">
        <f>T("ONR GLOBAL")</f>
        <v>ONR GLOBAL</v>
      </c>
      <c r="B952" t="str">
        <f>T("ONRIFO")</f>
        <v>ONRIFO</v>
      </c>
      <c r="C952" t="str">
        <f>T("UNIT 4540")</f>
        <v>UNIT 4540</v>
      </c>
      <c r="D952" t="str">
        <f>T("APO")</f>
        <v>APO</v>
      </c>
      <c r="E952" t="str">
        <f>T("AP")</f>
        <v>AP</v>
      </c>
      <c r="F952" t="str">
        <f>T("963385002")</f>
        <v>963385002</v>
      </c>
      <c r="G952" t="str">
        <f>T("OFFICE OF NAVAL RESEARCH GLOBAL")</f>
        <v>OFFICE OF NAVAL RESEARCH GLOBAL</v>
      </c>
      <c r="H952" t="str">
        <f>T("UNIT 45002")</f>
        <v>UNIT 45002</v>
      </c>
      <c r="I952" t="str">
        <f>T("APO")</f>
        <v>APO</v>
      </c>
      <c r="J952" t="str">
        <f>T("AP")</f>
        <v>AP</v>
      </c>
      <c r="K952" t="str">
        <f>T("01181363853235")</f>
        <v>01181363853235</v>
      </c>
      <c r="L952" t="str">
        <f>T("1111111111")</f>
        <v>1111111111</v>
      </c>
    </row>
    <row r="953" spans="1:12" x14ac:dyDescent="0.35">
      <c r="A953" t="str">
        <f>T("ONR GLOBAL")</f>
        <v>ONR GLOBAL</v>
      </c>
      <c r="B953" t="str">
        <f>T("ONRIFO")</f>
        <v>ONRIFO</v>
      </c>
      <c r="C953" t="str">
        <f>T("UNIT 4540")</f>
        <v>UNIT 4540</v>
      </c>
      <c r="D953" t="str">
        <f>T("APO")</f>
        <v>APO</v>
      </c>
      <c r="E953" t="str">
        <f>T("AP")</f>
        <v>AP</v>
      </c>
      <c r="F953" t="str">
        <f>T("963385002")</f>
        <v>963385002</v>
      </c>
      <c r="G953" t="str">
        <f>T("ONRIFO")</f>
        <v>ONRIFO</v>
      </c>
      <c r="H953" t="str">
        <f>T("UNIT 4540")</f>
        <v>UNIT 4540</v>
      </c>
      <c r="I953" t="str">
        <f>T("APO")</f>
        <v>APO</v>
      </c>
      <c r="J953" t="str">
        <f>T("AP")</f>
        <v>AP</v>
      </c>
      <c r="K953" t="str">
        <f>T("")</f>
        <v/>
      </c>
      <c r="L953" t="str">
        <f>T("1111111111")</f>
        <v>1111111111</v>
      </c>
    </row>
    <row r="954" spans="1:12" x14ac:dyDescent="0.35">
      <c r="A954" t="str">
        <f>T("ONR GLOBAL")</f>
        <v>ONR GLOBAL</v>
      </c>
      <c r="B954" t="str">
        <f>T("ONRIFO")</f>
        <v>ONRIFO</v>
      </c>
      <c r="C954" t="str">
        <f>T("UNIT 4540")</f>
        <v>UNIT 4540</v>
      </c>
      <c r="D954" t="str">
        <f>T("APO")</f>
        <v>APO</v>
      </c>
      <c r="E954" t="str">
        <f>T("AP")</f>
        <v>AP</v>
      </c>
      <c r="F954" t="str">
        <f>T("963385002")</f>
        <v>963385002</v>
      </c>
      <c r="G954" t="str">
        <f>T("UNIT 4540")</f>
        <v>UNIT 4540</v>
      </c>
      <c r="H954" t="str">
        <f>T("")</f>
        <v/>
      </c>
      <c r="I954" t="str">
        <f>T("APO")</f>
        <v>APO</v>
      </c>
      <c r="J954" t="str">
        <f>T("AE")</f>
        <v>AE</v>
      </c>
      <c r="K954" t="str">
        <f>T("441895616037")</f>
        <v>441895616037</v>
      </c>
      <c r="L954" t="str">
        <f>T("1111111111")</f>
        <v>1111111111</v>
      </c>
    </row>
    <row r="955" spans="1:12" x14ac:dyDescent="0.35">
      <c r="A955" t="str">
        <f t="shared" ref="A955:A986" si="352">T("OFC NAV INTELLIGENCE")</f>
        <v>OFC NAV INTELLIGENCE</v>
      </c>
      <c r="B955" t="str">
        <f>T("2000 NAVY PENTAGON")</f>
        <v>2000 NAVY PENTAGON</v>
      </c>
      <c r="C955" t="str">
        <f>T("")</f>
        <v/>
      </c>
      <c r="D955" t="str">
        <f>T("WASHINGTON")</f>
        <v>WASHINGTON</v>
      </c>
      <c r="E955" t="str">
        <f>T("DC")</f>
        <v>DC</v>
      </c>
      <c r="F955" t="str">
        <f>T("203502000")</f>
        <v>203502000</v>
      </c>
      <c r="G955" t="str">
        <f>T("2000 NAVY PENTAGON")</f>
        <v>2000 NAVY PENTAGON</v>
      </c>
      <c r="H955" t="str">
        <f>T("")</f>
        <v/>
      </c>
      <c r="I955" t="str">
        <f>T("WASHINGTON")</f>
        <v>WASHINGTON</v>
      </c>
      <c r="J955" t="str">
        <f>T("DC")</f>
        <v>DC</v>
      </c>
      <c r="K955" t="str">
        <f>T("")</f>
        <v/>
      </c>
      <c r="L955" t="str">
        <f>T("5712568476")</f>
        <v>5712568476</v>
      </c>
    </row>
    <row r="956" spans="1:12" x14ac:dyDescent="0.35">
      <c r="A956" t="str">
        <f t="shared" si="352"/>
        <v>OFC NAV INTELLIGENCE</v>
      </c>
      <c r="B956" t="str">
        <f>T("2000 NAVY PENTAGON")</f>
        <v>2000 NAVY PENTAGON</v>
      </c>
      <c r="C956" t="str">
        <f>T("")</f>
        <v/>
      </c>
      <c r="D956" t="str">
        <f>T("WASHINGTON")</f>
        <v>WASHINGTON</v>
      </c>
      <c r="E956" t="str">
        <f>T("DC")</f>
        <v>DC</v>
      </c>
      <c r="F956" t="str">
        <f>T("203502000")</f>
        <v>203502000</v>
      </c>
      <c r="G956" t="str">
        <f>T("2000 NAVY PENTAGON")</f>
        <v>2000 NAVY PENTAGON</v>
      </c>
      <c r="H956" t="str">
        <f>T("")</f>
        <v/>
      </c>
      <c r="I956" t="str">
        <f>T("WASHINGTON")</f>
        <v>WASHINGTON</v>
      </c>
      <c r="J956" t="str">
        <f>T("DC")</f>
        <v>DC</v>
      </c>
      <c r="K956" t="str">
        <f>T("7036929380")</f>
        <v>7036929380</v>
      </c>
      <c r="L956" t="str">
        <f>T("7035710638")</f>
        <v>7035710638</v>
      </c>
    </row>
    <row r="957" spans="1:12" x14ac:dyDescent="0.35">
      <c r="A957" t="str">
        <f t="shared" si="352"/>
        <v>OFC NAV INTELLIGENCE</v>
      </c>
      <c r="B957" t="str">
        <f>T("2000 NAVY PENTAGON")</f>
        <v>2000 NAVY PENTAGON</v>
      </c>
      <c r="C957" t="str">
        <f>T("")</f>
        <v/>
      </c>
      <c r="D957" t="str">
        <f>T("WASHINGTON")</f>
        <v>WASHINGTON</v>
      </c>
      <c r="E957" t="str">
        <f>T("DC")</f>
        <v>DC</v>
      </c>
      <c r="F957" t="str">
        <f>T("203502000")</f>
        <v>203502000</v>
      </c>
      <c r="G957" t="str">
        <f>T("2000 NAVY PENTAGON")</f>
        <v>2000 NAVY PENTAGON</v>
      </c>
      <c r="H957" t="str">
        <f>T("N2/N6 ROOM 1D665")</f>
        <v>N2/N6 ROOM 1D665</v>
      </c>
      <c r="I957" t="str">
        <f>T("WASHINGTON")</f>
        <v>WASHINGTON</v>
      </c>
      <c r="J957" t="str">
        <f>T("DC")</f>
        <v>DC</v>
      </c>
      <c r="K957" t="str">
        <f>T("7036929380")</f>
        <v>7036929380</v>
      </c>
      <c r="L957" t="str">
        <f>T("7036954127")</f>
        <v>7036954127</v>
      </c>
    </row>
    <row r="958" spans="1:12" x14ac:dyDescent="0.35">
      <c r="A958" t="str">
        <f t="shared" si="352"/>
        <v>OFC NAV INTELLIGENCE</v>
      </c>
      <c r="B958" t="str">
        <f>T("2000 NAVY PENTAGON")</f>
        <v>2000 NAVY PENTAGON</v>
      </c>
      <c r="C958" t="str">
        <f>T("")</f>
        <v/>
      </c>
      <c r="D958" t="str">
        <f>T("WASHINGTON")</f>
        <v>WASHINGTON</v>
      </c>
      <c r="E958" t="str">
        <f>T("DC")</f>
        <v>DC</v>
      </c>
      <c r="F958" t="str">
        <f>T("203502000")</f>
        <v>203502000</v>
      </c>
      <c r="G958" t="str">
        <f>T("2000 NAVY PENTAGON")</f>
        <v>2000 NAVY PENTAGON</v>
      </c>
      <c r="H958" t="str">
        <f>T("N2/N6I22")</f>
        <v>N2/N6I22</v>
      </c>
      <c r="I958" t="str">
        <f>T("WASHINGTON")</f>
        <v>WASHINGTON</v>
      </c>
      <c r="J958" t="str">
        <f>T("DC")</f>
        <v>DC</v>
      </c>
      <c r="K958" t="str">
        <f>T("7036929380")</f>
        <v>7036929380</v>
      </c>
      <c r="L958" t="str">
        <f>T("7036921753")</f>
        <v>7036921753</v>
      </c>
    </row>
    <row r="959" spans="1:12" x14ac:dyDescent="0.35">
      <c r="A959" t="str">
        <f t="shared" si="352"/>
        <v>OFC NAV INTELLIGENCE</v>
      </c>
      <c r="B959" t="str">
        <f>T("2000 NAVY PENTAGON")</f>
        <v>2000 NAVY PENTAGON</v>
      </c>
      <c r="C959" t="str">
        <f>T("")</f>
        <v/>
      </c>
      <c r="D959" t="str">
        <f>T("WASHINGTON")</f>
        <v>WASHINGTON</v>
      </c>
      <c r="E959" t="str">
        <f>T("DC")</f>
        <v>DC</v>
      </c>
      <c r="F959" t="str">
        <f>T("203502000")</f>
        <v>203502000</v>
      </c>
      <c r="G959" t="str">
        <f>T("2000 NAVY PENTAGON")</f>
        <v>2000 NAVY PENTAGON</v>
      </c>
      <c r="H959" t="str">
        <f>T("ROOM 1E210")</f>
        <v>ROOM 1E210</v>
      </c>
      <c r="I959" t="str">
        <f>T("WASHINGTON")</f>
        <v>WASHINGTON</v>
      </c>
      <c r="J959" t="str">
        <f>T("DC")</f>
        <v>DC</v>
      </c>
      <c r="K959" t="str">
        <f>T("2512569150")</f>
        <v>2512569150</v>
      </c>
      <c r="L959" t="str">
        <f>T("5712568456")</f>
        <v>5712568456</v>
      </c>
    </row>
    <row r="960" spans="1:12" x14ac:dyDescent="0.35">
      <c r="A960" t="str">
        <f t="shared" si="352"/>
        <v>OFC NAV INTELLIGENCE</v>
      </c>
      <c r="B960" t="str">
        <f>T("3760 N CHARLES PORTER AVE")</f>
        <v>3760 N CHARLES PORTER AVE</v>
      </c>
      <c r="C960" t="str">
        <f>T("HANGER 5 HOPPER")</f>
        <v>HANGER 5 HOPPER</v>
      </c>
      <c r="D960" t="str">
        <f>T("OAK HARBOR")</f>
        <v>OAK HARBOR</v>
      </c>
      <c r="E960" t="str">
        <f>T("WA")</f>
        <v>WA</v>
      </c>
      <c r="F960" t="str">
        <f>T("982784909")</f>
        <v>982784909</v>
      </c>
      <c r="G960" t="str">
        <f>T("3760 N CHARLES PORTER AVE")</f>
        <v>3760 N CHARLES PORTER AVE</v>
      </c>
      <c r="H960" t="str">
        <f>T("")</f>
        <v/>
      </c>
      <c r="I960" t="str">
        <f>T("OAK HARBOR")</f>
        <v>OAK HARBOR</v>
      </c>
      <c r="J960" t="str">
        <f>T("WA")</f>
        <v>WA</v>
      </c>
      <c r="K960" t="str">
        <f>T("3602575315")</f>
        <v>3602575315</v>
      </c>
      <c r="L960" t="str">
        <f>T("3602578721")</f>
        <v>3602578721</v>
      </c>
    </row>
    <row r="961" spans="1:12" x14ac:dyDescent="0.35">
      <c r="A961" t="str">
        <f t="shared" si="352"/>
        <v>OFC NAV INTELLIGENCE</v>
      </c>
      <c r="B961" t="str">
        <f>T("3760 N CHARLES PORTER AVE")</f>
        <v>3760 N CHARLES PORTER AVE</v>
      </c>
      <c r="C961" t="str">
        <f>T("HANGER 5 HOPPER")</f>
        <v>HANGER 5 HOPPER</v>
      </c>
      <c r="D961" t="str">
        <f>T("OAK HARBOR")</f>
        <v>OAK HARBOR</v>
      </c>
      <c r="E961" t="str">
        <f>T("WA")</f>
        <v>WA</v>
      </c>
      <c r="F961" t="str">
        <f>T("982784909")</f>
        <v>982784909</v>
      </c>
      <c r="G961" t="str">
        <f>T("3760 N CHARLES PORTER AVE")</f>
        <v>3760 N CHARLES PORTER AVE</v>
      </c>
      <c r="H961" t="str">
        <f>T("HANGER 5 HOPPER")</f>
        <v>HANGER 5 HOPPER</v>
      </c>
      <c r="I961" t="str">
        <f>T("OAK HARBOR")</f>
        <v>OAK HARBOR</v>
      </c>
      <c r="J961" t="str">
        <f>T("WA")</f>
        <v>WA</v>
      </c>
      <c r="K961" t="str">
        <f>T("3602575315")</f>
        <v>3602575315</v>
      </c>
      <c r="L961" t="str">
        <f>T("3602570361")</f>
        <v>3602570361</v>
      </c>
    </row>
    <row r="962" spans="1:12" x14ac:dyDescent="0.35">
      <c r="A962" t="str">
        <f t="shared" si="352"/>
        <v>OFC NAV INTELLIGENCE</v>
      </c>
      <c r="B962" t="str">
        <f>T("3955 N HARBOR DR")</f>
        <v>3955 N HARBOR DR</v>
      </c>
      <c r="C962" t="str">
        <f>T("BLDG 564 RM 108G")</f>
        <v>BLDG 564 RM 108G</v>
      </c>
      <c r="D962" t="str">
        <f>T("SAN DIEGO")</f>
        <v>SAN DIEGO</v>
      </c>
      <c r="E962" t="str">
        <f>T("CA")</f>
        <v>CA</v>
      </c>
      <c r="F962" t="str">
        <f>T("921011031")</f>
        <v>921011031</v>
      </c>
      <c r="G962" t="str">
        <f>T("3955 N HARBOR DR")</f>
        <v>3955 N HARBOR DR</v>
      </c>
      <c r="H962" t="str">
        <f>T("BLDG 564 RM 108G")</f>
        <v>BLDG 564 RM 108G</v>
      </c>
      <c r="I962" t="str">
        <f>T("SAN DIEGO")</f>
        <v>SAN DIEGO</v>
      </c>
      <c r="J962" t="str">
        <f>T("CA")</f>
        <v>CA</v>
      </c>
      <c r="K962" t="str">
        <f>T("619-524-1028")</f>
        <v>619-524-1028</v>
      </c>
      <c r="L962" t="str">
        <f>T("6195240336")</f>
        <v>6195240336</v>
      </c>
    </row>
    <row r="963" spans="1:12" x14ac:dyDescent="0.35">
      <c r="A963" t="str">
        <f t="shared" si="352"/>
        <v>OFC NAV INTELLIGENCE</v>
      </c>
      <c r="B963" t="str">
        <f>T("3955 N HARBOR DR")</f>
        <v>3955 N HARBOR DR</v>
      </c>
      <c r="C963" t="str">
        <f>T("BLDG 564 RM 108G")</f>
        <v>BLDG 564 RM 108G</v>
      </c>
      <c r="D963" t="str">
        <f>T("SAN DIEGO")</f>
        <v>SAN DIEGO</v>
      </c>
      <c r="E963" t="str">
        <f>T("CA")</f>
        <v>CA</v>
      </c>
      <c r="F963" t="str">
        <f>T("921011031")</f>
        <v>921011031</v>
      </c>
      <c r="G963" t="str">
        <f>T("3955 N HARBOR DRIVE")</f>
        <v>3955 N HARBOR DRIVE</v>
      </c>
      <c r="H963" t="str">
        <f>T("HOPPER")</f>
        <v>HOPPER</v>
      </c>
      <c r="I963" t="str">
        <f>T("SAN DIEGO")</f>
        <v>SAN DIEGO</v>
      </c>
      <c r="J963" t="str">
        <f>T("CA")</f>
        <v>CA</v>
      </c>
      <c r="K963" t="str">
        <f>T("000000000000000000")</f>
        <v>000000000000000000</v>
      </c>
      <c r="L963" t="str">
        <f>T("6195346323")</f>
        <v>6195346323</v>
      </c>
    </row>
    <row r="964" spans="1:12" x14ac:dyDescent="0.35">
      <c r="A964" t="str">
        <f t="shared" si="352"/>
        <v>OFC NAV INTELLIGENCE</v>
      </c>
      <c r="B964" t="str">
        <f>T("3955 N HARBOR DR")</f>
        <v>3955 N HARBOR DR</v>
      </c>
      <c r="C964" t="str">
        <f>T("BLDG 564 RM 108G")</f>
        <v>BLDG 564 RM 108G</v>
      </c>
      <c r="D964" t="str">
        <f>T("SAN DIEGO")</f>
        <v>SAN DIEGO</v>
      </c>
      <c r="E964" t="str">
        <f>T("CA")</f>
        <v>CA</v>
      </c>
      <c r="F964" t="str">
        <f>T("921011031")</f>
        <v>921011031</v>
      </c>
      <c r="G964" t="str">
        <f>T("3955 N HARBOR DRIVE BLDG 564")</f>
        <v>3955 N HARBOR DRIVE BLDG 564</v>
      </c>
      <c r="H964" t="str">
        <f>T("HOPPER")</f>
        <v>HOPPER</v>
      </c>
      <c r="I964" t="str">
        <f>T("SAN DIEGO")</f>
        <v>SAN DIEGO</v>
      </c>
      <c r="J964" t="str">
        <f>T("CA")</f>
        <v>CA</v>
      </c>
      <c r="K964" t="str">
        <f>T("000000000000000000")</f>
        <v>000000000000000000</v>
      </c>
      <c r="L964" t="str">
        <f>T("6195246323")</f>
        <v>6195246323</v>
      </c>
    </row>
    <row r="965" spans="1:12" x14ac:dyDescent="0.35">
      <c r="A965" t="str">
        <f t="shared" si="352"/>
        <v>OFC NAV INTELLIGENCE</v>
      </c>
      <c r="B965" t="str">
        <f t="shared" ref="B965:B1012" si="353">T("4251 SUITLAND RD")</f>
        <v>4251 SUITLAND RD</v>
      </c>
      <c r="C965" t="str">
        <f t="shared" ref="C965:C994" si="354">T("")</f>
        <v/>
      </c>
      <c r="D965" t="str">
        <f t="shared" ref="D965:D996" si="355">T("WASHINGTON")</f>
        <v>WASHINGTON</v>
      </c>
      <c r="E965" t="str">
        <f t="shared" ref="E965:E996" si="356">T("DC")</f>
        <v>DC</v>
      </c>
      <c r="F965" t="str">
        <f t="shared" ref="F965:F996" si="357">T("203950001")</f>
        <v>203950001</v>
      </c>
      <c r="G965" t="str">
        <f t="shared" ref="G965:G976" si="358">T("4251 SUITLAND RD")</f>
        <v>4251 SUITLAND RD</v>
      </c>
      <c r="H965" t="str">
        <f t="shared" ref="H965:H975" si="359">T("")</f>
        <v/>
      </c>
      <c r="I965" t="str">
        <f t="shared" ref="I965:I1012" si="360">T("WASHINGTON")</f>
        <v>WASHINGTON</v>
      </c>
      <c r="J965" t="str">
        <f t="shared" ref="J965:J1012" si="361">T("DC")</f>
        <v>DC</v>
      </c>
      <c r="K965" t="str">
        <f>T("")</f>
        <v/>
      </c>
      <c r="L965" t="str">
        <f>T("3016692850")</f>
        <v>3016692850</v>
      </c>
    </row>
    <row r="966" spans="1:12" x14ac:dyDescent="0.35">
      <c r="A966" t="str">
        <f t="shared" si="352"/>
        <v>OFC NAV INTELLIGENCE</v>
      </c>
      <c r="B966" t="str">
        <f t="shared" si="353"/>
        <v>4251 SUITLAND RD</v>
      </c>
      <c r="C966" t="str">
        <f t="shared" si="354"/>
        <v/>
      </c>
      <c r="D966" t="str">
        <f t="shared" si="355"/>
        <v>WASHINGTON</v>
      </c>
      <c r="E966" t="str">
        <f t="shared" si="356"/>
        <v>DC</v>
      </c>
      <c r="F966" t="str">
        <f t="shared" si="357"/>
        <v>203950001</v>
      </c>
      <c r="G966" t="str">
        <f t="shared" si="358"/>
        <v>4251 SUITLAND RD</v>
      </c>
      <c r="H966" t="str">
        <f t="shared" si="359"/>
        <v/>
      </c>
      <c r="I966" t="str">
        <f t="shared" si="360"/>
        <v>WASHINGTON</v>
      </c>
      <c r="J966" t="str">
        <f t="shared" si="361"/>
        <v>DC</v>
      </c>
      <c r="K966" t="str">
        <f>T("000000000000000000")</f>
        <v>000000000000000000</v>
      </c>
      <c r="L966" t="str">
        <f>T("3016695110")</f>
        <v>3016695110</v>
      </c>
    </row>
    <row r="967" spans="1:12" x14ac:dyDescent="0.35">
      <c r="A967" t="str">
        <f t="shared" si="352"/>
        <v>OFC NAV INTELLIGENCE</v>
      </c>
      <c r="B967" t="str">
        <f t="shared" si="353"/>
        <v>4251 SUITLAND RD</v>
      </c>
      <c r="C967" t="str">
        <f t="shared" si="354"/>
        <v/>
      </c>
      <c r="D967" t="str">
        <f t="shared" si="355"/>
        <v>WASHINGTON</v>
      </c>
      <c r="E967" t="str">
        <f t="shared" si="356"/>
        <v>DC</v>
      </c>
      <c r="F967" t="str">
        <f t="shared" si="357"/>
        <v>203950001</v>
      </c>
      <c r="G967" t="str">
        <f t="shared" si="358"/>
        <v>4251 SUITLAND RD</v>
      </c>
      <c r="H967" t="str">
        <f t="shared" si="359"/>
        <v/>
      </c>
      <c r="I967" t="str">
        <f t="shared" si="360"/>
        <v>WASHINGTON</v>
      </c>
      <c r="J967" t="str">
        <f t="shared" si="361"/>
        <v>DC</v>
      </c>
      <c r="K967" t="str">
        <f>T("301-669-3609")</f>
        <v>301-669-3609</v>
      </c>
      <c r="L967" t="str">
        <f>T("3016693492")</f>
        <v>3016693492</v>
      </c>
    </row>
    <row r="968" spans="1:12" x14ac:dyDescent="0.35">
      <c r="A968" t="str">
        <f t="shared" si="352"/>
        <v>OFC NAV INTELLIGENCE</v>
      </c>
      <c r="B968" t="str">
        <f t="shared" si="353"/>
        <v>4251 SUITLAND RD</v>
      </c>
      <c r="C968" t="str">
        <f t="shared" si="354"/>
        <v/>
      </c>
      <c r="D968" t="str">
        <f t="shared" si="355"/>
        <v>WASHINGTON</v>
      </c>
      <c r="E968" t="str">
        <f t="shared" si="356"/>
        <v>DC</v>
      </c>
      <c r="F968" t="str">
        <f t="shared" si="357"/>
        <v>203950001</v>
      </c>
      <c r="G968" t="str">
        <f t="shared" si="358"/>
        <v>4251 SUITLAND RD</v>
      </c>
      <c r="H968" t="str">
        <f t="shared" si="359"/>
        <v/>
      </c>
      <c r="I968" t="str">
        <f t="shared" si="360"/>
        <v>WASHINGTON</v>
      </c>
      <c r="J968" t="str">
        <f t="shared" si="361"/>
        <v>DC</v>
      </c>
      <c r="K968" t="str">
        <f>T("3016693738")</f>
        <v>3016693738</v>
      </c>
      <c r="L968" t="str">
        <f>T("3016693742")</f>
        <v>3016693742</v>
      </c>
    </row>
    <row r="969" spans="1:12" x14ac:dyDescent="0.35">
      <c r="A969" t="str">
        <f t="shared" si="352"/>
        <v>OFC NAV INTELLIGENCE</v>
      </c>
      <c r="B969" t="str">
        <f t="shared" si="353"/>
        <v>4251 SUITLAND RD</v>
      </c>
      <c r="C969" t="str">
        <f t="shared" si="354"/>
        <v/>
      </c>
      <c r="D969" t="str">
        <f t="shared" si="355"/>
        <v>WASHINGTON</v>
      </c>
      <c r="E969" t="str">
        <f t="shared" si="356"/>
        <v>DC</v>
      </c>
      <c r="F969" t="str">
        <f t="shared" si="357"/>
        <v>203950001</v>
      </c>
      <c r="G969" t="str">
        <f t="shared" si="358"/>
        <v>4251 SUITLAND RD</v>
      </c>
      <c r="H969" t="str">
        <f t="shared" si="359"/>
        <v/>
      </c>
      <c r="I969" t="str">
        <f t="shared" si="360"/>
        <v>WASHINGTON</v>
      </c>
      <c r="J969" t="str">
        <f t="shared" si="361"/>
        <v>DC</v>
      </c>
      <c r="K969" t="str">
        <f>T("3016694072")</f>
        <v>3016694072</v>
      </c>
      <c r="L969" t="str">
        <f>T("3016695028")</f>
        <v>3016695028</v>
      </c>
    </row>
    <row r="970" spans="1:12" x14ac:dyDescent="0.35">
      <c r="A970" t="str">
        <f t="shared" si="352"/>
        <v>OFC NAV INTELLIGENCE</v>
      </c>
      <c r="B970" t="str">
        <f t="shared" si="353"/>
        <v>4251 SUITLAND RD</v>
      </c>
      <c r="C970" t="str">
        <f t="shared" si="354"/>
        <v/>
      </c>
      <c r="D970" t="str">
        <f t="shared" si="355"/>
        <v>WASHINGTON</v>
      </c>
      <c r="E970" t="str">
        <f t="shared" si="356"/>
        <v>DC</v>
      </c>
      <c r="F970" t="str">
        <f t="shared" si="357"/>
        <v>203950001</v>
      </c>
      <c r="G970" t="str">
        <f t="shared" si="358"/>
        <v>4251 SUITLAND RD</v>
      </c>
      <c r="H970" t="str">
        <f t="shared" si="359"/>
        <v/>
      </c>
      <c r="I970" t="str">
        <f t="shared" si="360"/>
        <v>WASHINGTON</v>
      </c>
      <c r="J970" t="str">
        <f t="shared" si="361"/>
        <v>DC</v>
      </c>
      <c r="K970" t="str">
        <f>T("3016694282")</f>
        <v>3016694282</v>
      </c>
      <c r="L970" t="str">
        <f>T("3016693091")</f>
        <v>3016693091</v>
      </c>
    </row>
    <row r="971" spans="1:12" x14ac:dyDescent="0.35">
      <c r="A971" t="str">
        <f t="shared" si="352"/>
        <v>OFC NAV INTELLIGENCE</v>
      </c>
      <c r="B971" t="str">
        <f t="shared" si="353"/>
        <v>4251 SUITLAND RD</v>
      </c>
      <c r="C971" t="str">
        <f t="shared" si="354"/>
        <v/>
      </c>
      <c r="D971" t="str">
        <f t="shared" si="355"/>
        <v>WASHINGTON</v>
      </c>
      <c r="E971" t="str">
        <f t="shared" si="356"/>
        <v>DC</v>
      </c>
      <c r="F971" t="str">
        <f t="shared" si="357"/>
        <v>203950001</v>
      </c>
      <c r="G971" t="str">
        <f t="shared" si="358"/>
        <v>4251 SUITLAND RD</v>
      </c>
      <c r="H971" t="str">
        <f t="shared" si="359"/>
        <v/>
      </c>
      <c r="I971" t="str">
        <f t="shared" si="360"/>
        <v>WASHINGTON</v>
      </c>
      <c r="J971" t="str">
        <f t="shared" si="361"/>
        <v>DC</v>
      </c>
      <c r="K971" t="str">
        <f>T("3016694282")</f>
        <v>3016694282</v>
      </c>
      <c r="L971" t="str">
        <f>T("3016693123")</f>
        <v>3016693123</v>
      </c>
    </row>
    <row r="972" spans="1:12" x14ac:dyDescent="0.35">
      <c r="A972" t="str">
        <f t="shared" si="352"/>
        <v>OFC NAV INTELLIGENCE</v>
      </c>
      <c r="B972" t="str">
        <f t="shared" si="353"/>
        <v>4251 SUITLAND RD</v>
      </c>
      <c r="C972" t="str">
        <f t="shared" si="354"/>
        <v/>
      </c>
      <c r="D972" t="str">
        <f t="shared" si="355"/>
        <v>WASHINGTON</v>
      </c>
      <c r="E972" t="str">
        <f t="shared" si="356"/>
        <v>DC</v>
      </c>
      <c r="F972" t="str">
        <f t="shared" si="357"/>
        <v>203950001</v>
      </c>
      <c r="G972" t="str">
        <f t="shared" si="358"/>
        <v>4251 SUITLAND RD</v>
      </c>
      <c r="H972" t="str">
        <f t="shared" si="359"/>
        <v/>
      </c>
      <c r="I972" t="str">
        <f t="shared" si="360"/>
        <v>WASHINGTON</v>
      </c>
      <c r="J972" t="str">
        <f t="shared" si="361"/>
        <v>DC</v>
      </c>
      <c r="K972" t="str">
        <f>T("3016694350")</f>
        <v>3016694350</v>
      </c>
      <c r="L972" t="str">
        <f>T("3016695398")</f>
        <v>3016695398</v>
      </c>
    </row>
    <row r="973" spans="1:12" x14ac:dyDescent="0.35">
      <c r="A973" t="str">
        <f t="shared" si="352"/>
        <v>OFC NAV INTELLIGENCE</v>
      </c>
      <c r="B973" t="str">
        <f t="shared" si="353"/>
        <v>4251 SUITLAND RD</v>
      </c>
      <c r="C973" t="str">
        <f t="shared" si="354"/>
        <v/>
      </c>
      <c r="D973" t="str">
        <f t="shared" si="355"/>
        <v>WASHINGTON</v>
      </c>
      <c r="E973" t="str">
        <f t="shared" si="356"/>
        <v>DC</v>
      </c>
      <c r="F973" t="str">
        <f t="shared" si="357"/>
        <v>203950001</v>
      </c>
      <c r="G973" t="str">
        <f t="shared" si="358"/>
        <v>4251 SUITLAND RD</v>
      </c>
      <c r="H973" t="str">
        <f t="shared" si="359"/>
        <v/>
      </c>
      <c r="I973" t="str">
        <f t="shared" si="360"/>
        <v>WASHINGTON</v>
      </c>
      <c r="J973" t="str">
        <f t="shared" si="361"/>
        <v>DC</v>
      </c>
      <c r="K973" t="str">
        <f>T("3016695721")</f>
        <v>3016695721</v>
      </c>
      <c r="L973" t="str">
        <f>T("3016694433")</f>
        <v>3016694433</v>
      </c>
    </row>
    <row r="974" spans="1:12" x14ac:dyDescent="0.35">
      <c r="A974" t="str">
        <f t="shared" si="352"/>
        <v>OFC NAV INTELLIGENCE</v>
      </c>
      <c r="B974" t="str">
        <f t="shared" si="353"/>
        <v>4251 SUITLAND RD</v>
      </c>
      <c r="C974" t="str">
        <f t="shared" si="354"/>
        <v/>
      </c>
      <c r="D974" t="str">
        <f t="shared" si="355"/>
        <v>WASHINGTON</v>
      </c>
      <c r="E974" t="str">
        <f t="shared" si="356"/>
        <v>DC</v>
      </c>
      <c r="F974" t="str">
        <f t="shared" si="357"/>
        <v>203950001</v>
      </c>
      <c r="G974" t="str">
        <f t="shared" si="358"/>
        <v>4251 SUITLAND RD</v>
      </c>
      <c r="H974" t="str">
        <f t="shared" si="359"/>
        <v/>
      </c>
      <c r="I974" t="str">
        <f t="shared" si="360"/>
        <v>WASHINGTON</v>
      </c>
      <c r="J974" t="str">
        <f t="shared" si="361"/>
        <v>DC</v>
      </c>
      <c r="K974" t="str">
        <f>T("3016695905")</f>
        <v>3016695905</v>
      </c>
      <c r="L974" t="str">
        <f>T("3016693445")</f>
        <v>3016693445</v>
      </c>
    </row>
    <row r="975" spans="1:12" x14ac:dyDescent="0.35">
      <c r="A975" t="str">
        <f t="shared" si="352"/>
        <v>OFC NAV INTELLIGENCE</v>
      </c>
      <c r="B975" t="str">
        <f t="shared" si="353"/>
        <v>4251 SUITLAND RD</v>
      </c>
      <c r="C975" t="str">
        <f t="shared" si="354"/>
        <v/>
      </c>
      <c r="D975" t="str">
        <f t="shared" si="355"/>
        <v>WASHINGTON</v>
      </c>
      <c r="E975" t="str">
        <f t="shared" si="356"/>
        <v>DC</v>
      </c>
      <c r="F975" t="str">
        <f t="shared" si="357"/>
        <v>203950001</v>
      </c>
      <c r="G975" t="str">
        <f t="shared" si="358"/>
        <v>4251 SUITLAND RD</v>
      </c>
      <c r="H975" t="str">
        <f t="shared" si="359"/>
        <v/>
      </c>
      <c r="I975" t="str">
        <f t="shared" si="360"/>
        <v>WASHINGTON</v>
      </c>
      <c r="J975" t="str">
        <f t="shared" si="361"/>
        <v>DC</v>
      </c>
      <c r="K975" t="str">
        <f>T("3016695905")</f>
        <v>3016695905</v>
      </c>
      <c r="L975" t="str">
        <f>T("3016693573")</f>
        <v>3016693573</v>
      </c>
    </row>
    <row r="976" spans="1:12" x14ac:dyDescent="0.35">
      <c r="A976" t="str">
        <f t="shared" si="352"/>
        <v>OFC NAV INTELLIGENCE</v>
      </c>
      <c r="B976" t="str">
        <f t="shared" si="353"/>
        <v>4251 SUITLAND RD</v>
      </c>
      <c r="C976" t="str">
        <f t="shared" si="354"/>
        <v/>
      </c>
      <c r="D976" t="str">
        <f t="shared" si="355"/>
        <v>WASHINGTON</v>
      </c>
      <c r="E976" t="str">
        <f t="shared" si="356"/>
        <v>DC</v>
      </c>
      <c r="F976" t="str">
        <f t="shared" si="357"/>
        <v>203950001</v>
      </c>
      <c r="G976" t="str">
        <f t="shared" si="358"/>
        <v>4251 SUITLAND RD</v>
      </c>
      <c r="H976" t="str">
        <f>T("ONI-552")</f>
        <v>ONI-552</v>
      </c>
      <c r="I976" t="str">
        <f t="shared" si="360"/>
        <v>WASHINGTON</v>
      </c>
      <c r="J976" t="str">
        <f t="shared" si="361"/>
        <v>DC</v>
      </c>
      <c r="K976" t="str">
        <f>T("000000000000000000")</f>
        <v>000000000000000000</v>
      </c>
      <c r="L976" t="str">
        <f>T("3016694166")</f>
        <v>3016694166</v>
      </c>
    </row>
    <row r="977" spans="1:12" x14ac:dyDescent="0.35">
      <c r="A977" t="str">
        <f t="shared" si="352"/>
        <v>OFC NAV INTELLIGENCE</v>
      </c>
      <c r="B977" t="str">
        <f t="shared" si="353"/>
        <v>4251 SUITLAND RD</v>
      </c>
      <c r="C977" t="str">
        <f t="shared" si="354"/>
        <v/>
      </c>
      <c r="D977" t="str">
        <f t="shared" si="355"/>
        <v>WASHINGTON</v>
      </c>
      <c r="E977" t="str">
        <f t="shared" si="356"/>
        <v>DC</v>
      </c>
      <c r="F977" t="str">
        <f t="shared" si="357"/>
        <v>203950001</v>
      </c>
      <c r="G977" t="str">
        <f t="shared" ref="G977:G993" si="362">T("4251 SUITLAND ROAD")</f>
        <v>4251 SUITLAND ROAD</v>
      </c>
      <c r="H977" t="str">
        <f t="shared" ref="H977:H991" si="363">T("")</f>
        <v/>
      </c>
      <c r="I977" t="str">
        <f t="shared" si="360"/>
        <v>WASHINGTON</v>
      </c>
      <c r="J977" t="str">
        <f t="shared" si="361"/>
        <v>DC</v>
      </c>
      <c r="K977" t="str">
        <f>T("000000000000000000")</f>
        <v>000000000000000000</v>
      </c>
      <c r="L977" t="str">
        <f>T("3016692543")</f>
        <v>3016692543</v>
      </c>
    </row>
    <row r="978" spans="1:12" x14ac:dyDescent="0.35">
      <c r="A978" t="str">
        <f t="shared" si="352"/>
        <v>OFC NAV INTELLIGENCE</v>
      </c>
      <c r="B978" t="str">
        <f t="shared" si="353"/>
        <v>4251 SUITLAND RD</v>
      </c>
      <c r="C978" t="str">
        <f t="shared" si="354"/>
        <v/>
      </c>
      <c r="D978" t="str">
        <f t="shared" si="355"/>
        <v>WASHINGTON</v>
      </c>
      <c r="E978" t="str">
        <f t="shared" si="356"/>
        <v>DC</v>
      </c>
      <c r="F978" t="str">
        <f t="shared" si="357"/>
        <v>203950001</v>
      </c>
      <c r="G978" t="str">
        <f t="shared" si="362"/>
        <v>4251 SUITLAND ROAD</v>
      </c>
      <c r="H978" t="str">
        <f t="shared" si="363"/>
        <v/>
      </c>
      <c r="I978" t="str">
        <f t="shared" si="360"/>
        <v>WASHINGTON</v>
      </c>
      <c r="J978" t="str">
        <f t="shared" si="361"/>
        <v>DC</v>
      </c>
      <c r="K978" t="str">
        <f>T("3016693609")</f>
        <v>3016693609</v>
      </c>
      <c r="L978" t="str">
        <f>T("3016695138")</f>
        <v>3016695138</v>
      </c>
    </row>
    <row r="979" spans="1:12" x14ac:dyDescent="0.35">
      <c r="A979" t="str">
        <f t="shared" si="352"/>
        <v>OFC NAV INTELLIGENCE</v>
      </c>
      <c r="B979" t="str">
        <f t="shared" si="353"/>
        <v>4251 SUITLAND RD</v>
      </c>
      <c r="C979" t="str">
        <f t="shared" si="354"/>
        <v/>
      </c>
      <c r="D979" t="str">
        <f t="shared" si="355"/>
        <v>WASHINGTON</v>
      </c>
      <c r="E979" t="str">
        <f t="shared" si="356"/>
        <v>DC</v>
      </c>
      <c r="F979" t="str">
        <f t="shared" si="357"/>
        <v>203950001</v>
      </c>
      <c r="G979" t="str">
        <f t="shared" si="362"/>
        <v>4251 SUITLAND ROAD</v>
      </c>
      <c r="H979" t="str">
        <f t="shared" si="363"/>
        <v/>
      </c>
      <c r="I979" t="str">
        <f t="shared" si="360"/>
        <v>WASHINGTON</v>
      </c>
      <c r="J979" t="str">
        <f t="shared" si="361"/>
        <v>DC</v>
      </c>
      <c r="K979" t="str">
        <f>T("3016693696")</f>
        <v>3016693696</v>
      </c>
      <c r="L979" t="str">
        <f>T("3016694263")</f>
        <v>3016694263</v>
      </c>
    </row>
    <row r="980" spans="1:12" x14ac:dyDescent="0.35">
      <c r="A980" t="str">
        <f t="shared" si="352"/>
        <v>OFC NAV INTELLIGENCE</v>
      </c>
      <c r="B980" t="str">
        <f t="shared" si="353"/>
        <v>4251 SUITLAND RD</v>
      </c>
      <c r="C980" t="str">
        <f t="shared" si="354"/>
        <v/>
      </c>
      <c r="D980" t="str">
        <f t="shared" si="355"/>
        <v>WASHINGTON</v>
      </c>
      <c r="E980" t="str">
        <f t="shared" si="356"/>
        <v>DC</v>
      </c>
      <c r="F980" t="str">
        <f t="shared" si="357"/>
        <v>203950001</v>
      </c>
      <c r="G980" t="str">
        <f t="shared" si="362"/>
        <v>4251 SUITLAND ROAD</v>
      </c>
      <c r="H980" t="str">
        <f t="shared" si="363"/>
        <v/>
      </c>
      <c r="I980" t="str">
        <f t="shared" si="360"/>
        <v>WASHINGTON</v>
      </c>
      <c r="J980" t="str">
        <f t="shared" si="361"/>
        <v>DC</v>
      </c>
      <c r="K980" t="str">
        <f>T("3016693738")</f>
        <v>3016693738</v>
      </c>
      <c r="L980" t="str">
        <f>T("3016693216")</f>
        <v>3016693216</v>
      </c>
    </row>
    <row r="981" spans="1:12" x14ac:dyDescent="0.35">
      <c r="A981" t="str">
        <f t="shared" si="352"/>
        <v>OFC NAV INTELLIGENCE</v>
      </c>
      <c r="B981" t="str">
        <f t="shared" si="353"/>
        <v>4251 SUITLAND RD</v>
      </c>
      <c r="C981" t="str">
        <f t="shared" si="354"/>
        <v/>
      </c>
      <c r="D981" t="str">
        <f t="shared" si="355"/>
        <v>WASHINGTON</v>
      </c>
      <c r="E981" t="str">
        <f t="shared" si="356"/>
        <v>DC</v>
      </c>
      <c r="F981" t="str">
        <f t="shared" si="357"/>
        <v>203950001</v>
      </c>
      <c r="G981" t="str">
        <f t="shared" si="362"/>
        <v>4251 SUITLAND ROAD</v>
      </c>
      <c r="H981" t="str">
        <f t="shared" si="363"/>
        <v/>
      </c>
      <c r="I981" t="str">
        <f t="shared" si="360"/>
        <v>WASHINGTON</v>
      </c>
      <c r="J981" t="str">
        <f t="shared" si="361"/>
        <v>DC</v>
      </c>
      <c r="K981" t="str">
        <f>T("3016693738")</f>
        <v>3016693738</v>
      </c>
      <c r="L981" t="str">
        <f>T("3016693612")</f>
        <v>3016693612</v>
      </c>
    </row>
    <row r="982" spans="1:12" x14ac:dyDescent="0.35">
      <c r="A982" t="str">
        <f t="shared" si="352"/>
        <v>OFC NAV INTELLIGENCE</v>
      </c>
      <c r="B982" t="str">
        <f t="shared" si="353"/>
        <v>4251 SUITLAND RD</v>
      </c>
      <c r="C982" t="str">
        <f t="shared" si="354"/>
        <v/>
      </c>
      <c r="D982" t="str">
        <f t="shared" si="355"/>
        <v>WASHINGTON</v>
      </c>
      <c r="E982" t="str">
        <f t="shared" si="356"/>
        <v>DC</v>
      </c>
      <c r="F982" t="str">
        <f t="shared" si="357"/>
        <v>203950001</v>
      </c>
      <c r="G982" t="str">
        <f t="shared" si="362"/>
        <v>4251 SUITLAND ROAD</v>
      </c>
      <c r="H982" t="str">
        <f t="shared" si="363"/>
        <v/>
      </c>
      <c r="I982" t="str">
        <f t="shared" si="360"/>
        <v>WASHINGTON</v>
      </c>
      <c r="J982" t="str">
        <f t="shared" si="361"/>
        <v>DC</v>
      </c>
      <c r="K982" t="str">
        <f>T("3016693738")</f>
        <v>3016693738</v>
      </c>
      <c r="L982" t="str">
        <f>T("3016693974")</f>
        <v>3016693974</v>
      </c>
    </row>
    <row r="983" spans="1:12" x14ac:dyDescent="0.35">
      <c r="A983" t="str">
        <f t="shared" si="352"/>
        <v>OFC NAV INTELLIGENCE</v>
      </c>
      <c r="B983" t="str">
        <f t="shared" si="353"/>
        <v>4251 SUITLAND RD</v>
      </c>
      <c r="C983" t="str">
        <f t="shared" si="354"/>
        <v/>
      </c>
      <c r="D983" t="str">
        <f t="shared" si="355"/>
        <v>WASHINGTON</v>
      </c>
      <c r="E983" t="str">
        <f t="shared" si="356"/>
        <v>DC</v>
      </c>
      <c r="F983" t="str">
        <f t="shared" si="357"/>
        <v>203950001</v>
      </c>
      <c r="G983" t="str">
        <f t="shared" si="362"/>
        <v>4251 SUITLAND ROAD</v>
      </c>
      <c r="H983" t="str">
        <f t="shared" si="363"/>
        <v/>
      </c>
      <c r="I983" t="str">
        <f t="shared" si="360"/>
        <v>WASHINGTON</v>
      </c>
      <c r="J983" t="str">
        <f t="shared" si="361"/>
        <v>DC</v>
      </c>
      <c r="K983" t="str">
        <f>T("3016693865")</f>
        <v>3016693865</v>
      </c>
      <c r="L983" t="str">
        <f>T("3016695707")</f>
        <v>3016695707</v>
      </c>
    </row>
    <row r="984" spans="1:12" x14ac:dyDescent="0.35">
      <c r="A984" t="str">
        <f t="shared" si="352"/>
        <v>OFC NAV INTELLIGENCE</v>
      </c>
      <c r="B984" t="str">
        <f t="shared" si="353"/>
        <v>4251 SUITLAND RD</v>
      </c>
      <c r="C984" t="str">
        <f t="shared" si="354"/>
        <v/>
      </c>
      <c r="D984" t="str">
        <f t="shared" si="355"/>
        <v>WASHINGTON</v>
      </c>
      <c r="E984" t="str">
        <f t="shared" si="356"/>
        <v>DC</v>
      </c>
      <c r="F984" t="str">
        <f t="shared" si="357"/>
        <v>203950001</v>
      </c>
      <c r="G984" t="str">
        <f t="shared" si="362"/>
        <v>4251 SUITLAND ROAD</v>
      </c>
      <c r="H984" t="str">
        <f t="shared" si="363"/>
        <v/>
      </c>
      <c r="I984" t="str">
        <f t="shared" si="360"/>
        <v>WASHINGTON</v>
      </c>
      <c r="J984" t="str">
        <f t="shared" si="361"/>
        <v>DC</v>
      </c>
      <c r="K984" t="str">
        <f>T("3016693895")</f>
        <v>3016693895</v>
      </c>
      <c r="L984" t="str">
        <f>T("3016693960")</f>
        <v>3016693960</v>
      </c>
    </row>
    <row r="985" spans="1:12" x14ac:dyDescent="0.35">
      <c r="A985" t="str">
        <f t="shared" si="352"/>
        <v>OFC NAV INTELLIGENCE</v>
      </c>
      <c r="B985" t="str">
        <f t="shared" si="353"/>
        <v>4251 SUITLAND RD</v>
      </c>
      <c r="C985" t="str">
        <f t="shared" si="354"/>
        <v/>
      </c>
      <c r="D985" t="str">
        <f t="shared" si="355"/>
        <v>WASHINGTON</v>
      </c>
      <c r="E985" t="str">
        <f t="shared" si="356"/>
        <v>DC</v>
      </c>
      <c r="F985" t="str">
        <f t="shared" si="357"/>
        <v>203950001</v>
      </c>
      <c r="G985" t="str">
        <f t="shared" si="362"/>
        <v>4251 SUITLAND ROAD</v>
      </c>
      <c r="H985" t="str">
        <f t="shared" si="363"/>
        <v/>
      </c>
      <c r="I985" t="str">
        <f t="shared" si="360"/>
        <v>WASHINGTON</v>
      </c>
      <c r="J985" t="str">
        <f t="shared" si="361"/>
        <v>DC</v>
      </c>
      <c r="K985" t="str">
        <f>T("3016694072")</f>
        <v>3016694072</v>
      </c>
      <c r="L985" t="str">
        <f>T("2408575189")</f>
        <v>2408575189</v>
      </c>
    </row>
    <row r="986" spans="1:12" x14ac:dyDescent="0.35">
      <c r="A986" t="str">
        <f t="shared" si="352"/>
        <v>OFC NAV INTELLIGENCE</v>
      </c>
      <c r="B986" t="str">
        <f t="shared" si="353"/>
        <v>4251 SUITLAND RD</v>
      </c>
      <c r="C986" t="str">
        <f t="shared" si="354"/>
        <v/>
      </c>
      <c r="D986" t="str">
        <f t="shared" si="355"/>
        <v>WASHINGTON</v>
      </c>
      <c r="E986" t="str">
        <f t="shared" si="356"/>
        <v>DC</v>
      </c>
      <c r="F986" t="str">
        <f t="shared" si="357"/>
        <v>203950001</v>
      </c>
      <c r="G986" t="str">
        <f t="shared" si="362"/>
        <v>4251 SUITLAND ROAD</v>
      </c>
      <c r="H986" t="str">
        <f t="shared" si="363"/>
        <v/>
      </c>
      <c r="I986" t="str">
        <f t="shared" si="360"/>
        <v>WASHINGTON</v>
      </c>
      <c r="J986" t="str">
        <f t="shared" si="361"/>
        <v>DC</v>
      </c>
      <c r="K986" t="str">
        <f>T("3016694072")</f>
        <v>3016694072</v>
      </c>
      <c r="L986" t="str">
        <f>T("3016693003")</f>
        <v>3016693003</v>
      </c>
    </row>
    <row r="987" spans="1:12" x14ac:dyDescent="0.35">
      <c r="A987" t="str">
        <f t="shared" ref="A987:A1018" si="364">T("OFC NAV INTELLIGENCE")</f>
        <v>OFC NAV INTELLIGENCE</v>
      </c>
      <c r="B987" t="str">
        <f t="shared" si="353"/>
        <v>4251 SUITLAND RD</v>
      </c>
      <c r="C987" t="str">
        <f t="shared" si="354"/>
        <v/>
      </c>
      <c r="D987" t="str">
        <f t="shared" si="355"/>
        <v>WASHINGTON</v>
      </c>
      <c r="E987" t="str">
        <f t="shared" si="356"/>
        <v>DC</v>
      </c>
      <c r="F987" t="str">
        <f t="shared" si="357"/>
        <v>203950001</v>
      </c>
      <c r="G987" t="str">
        <f t="shared" si="362"/>
        <v>4251 SUITLAND ROAD</v>
      </c>
      <c r="H987" t="str">
        <f t="shared" si="363"/>
        <v/>
      </c>
      <c r="I987" t="str">
        <f t="shared" si="360"/>
        <v>WASHINGTON</v>
      </c>
      <c r="J987" t="str">
        <f t="shared" si="361"/>
        <v>DC</v>
      </c>
      <c r="K987" t="str">
        <f>T("3016694282")</f>
        <v>3016694282</v>
      </c>
      <c r="L987" t="str">
        <f>T("3016692835")</f>
        <v>3016692835</v>
      </c>
    </row>
    <row r="988" spans="1:12" x14ac:dyDescent="0.35">
      <c r="A988" t="str">
        <f t="shared" si="364"/>
        <v>OFC NAV INTELLIGENCE</v>
      </c>
      <c r="B988" t="str">
        <f t="shared" si="353"/>
        <v>4251 SUITLAND RD</v>
      </c>
      <c r="C988" t="str">
        <f t="shared" si="354"/>
        <v/>
      </c>
      <c r="D988" t="str">
        <f t="shared" si="355"/>
        <v>WASHINGTON</v>
      </c>
      <c r="E988" t="str">
        <f t="shared" si="356"/>
        <v>DC</v>
      </c>
      <c r="F988" t="str">
        <f t="shared" si="357"/>
        <v>203950001</v>
      </c>
      <c r="G988" t="str">
        <f t="shared" si="362"/>
        <v>4251 SUITLAND ROAD</v>
      </c>
      <c r="H988" t="str">
        <f t="shared" si="363"/>
        <v/>
      </c>
      <c r="I988" t="str">
        <f t="shared" si="360"/>
        <v>WASHINGTON</v>
      </c>
      <c r="J988" t="str">
        <f t="shared" si="361"/>
        <v>DC</v>
      </c>
      <c r="K988" t="str">
        <f>T("3016694769")</f>
        <v>3016694769</v>
      </c>
      <c r="L988" t="str">
        <f>T("3016695327")</f>
        <v>3016695327</v>
      </c>
    </row>
    <row r="989" spans="1:12" x14ac:dyDescent="0.35">
      <c r="A989" t="str">
        <f t="shared" si="364"/>
        <v>OFC NAV INTELLIGENCE</v>
      </c>
      <c r="B989" t="str">
        <f t="shared" si="353"/>
        <v>4251 SUITLAND RD</v>
      </c>
      <c r="C989" t="str">
        <f t="shared" si="354"/>
        <v/>
      </c>
      <c r="D989" t="str">
        <f t="shared" si="355"/>
        <v>WASHINGTON</v>
      </c>
      <c r="E989" t="str">
        <f t="shared" si="356"/>
        <v>DC</v>
      </c>
      <c r="F989" t="str">
        <f t="shared" si="357"/>
        <v>203950001</v>
      </c>
      <c r="G989" t="str">
        <f t="shared" si="362"/>
        <v>4251 SUITLAND ROAD</v>
      </c>
      <c r="H989" t="str">
        <f t="shared" si="363"/>
        <v/>
      </c>
      <c r="I989" t="str">
        <f t="shared" si="360"/>
        <v>WASHINGTON</v>
      </c>
      <c r="J989" t="str">
        <f t="shared" si="361"/>
        <v>DC</v>
      </c>
      <c r="K989" t="str">
        <f>T("3016695332")</f>
        <v>3016695332</v>
      </c>
      <c r="L989" t="str">
        <f>T("3016695605")</f>
        <v>3016695605</v>
      </c>
    </row>
    <row r="990" spans="1:12" x14ac:dyDescent="0.35">
      <c r="A990" t="str">
        <f t="shared" si="364"/>
        <v>OFC NAV INTELLIGENCE</v>
      </c>
      <c r="B990" t="str">
        <f t="shared" si="353"/>
        <v>4251 SUITLAND RD</v>
      </c>
      <c r="C990" t="str">
        <f t="shared" si="354"/>
        <v/>
      </c>
      <c r="D990" t="str">
        <f t="shared" si="355"/>
        <v>WASHINGTON</v>
      </c>
      <c r="E990" t="str">
        <f t="shared" si="356"/>
        <v>DC</v>
      </c>
      <c r="F990" t="str">
        <f t="shared" si="357"/>
        <v>203950001</v>
      </c>
      <c r="G990" t="str">
        <f t="shared" si="362"/>
        <v>4251 SUITLAND ROAD</v>
      </c>
      <c r="H990" t="str">
        <f t="shared" si="363"/>
        <v/>
      </c>
      <c r="I990" t="str">
        <f t="shared" si="360"/>
        <v>WASHINGTON</v>
      </c>
      <c r="J990" t="str">
        <f t="shared" si="361"/>
        <v>DC</v>
      </c>
      <c r="K990" t="str">
        <f>T("3016695471")</f>
        <v>3016695471</v>
      </c>
      <c r="L990" t="str">
        <f>T("3016693033")</f>
        <v>3016693033</v>
      </c>
    </row>
    <row r="991" spans="1:12" x14ac:dyDescent="0.35">
      <c r="A991" t="str">
        <f t="shared" si="364"/>
        <v>OFC NAV INTELLIGENCE</v>
      </c>
      <c r="B991" t="str">
        <f t="shared" si="353"/>
        <v>4251 SUITLAND RD</v>
      </c>
      <c r="C991" t="str">
        <f t="shared" si="354"/>
        <v/>
      </c>
      <c r="D991" t="str">
        <f t="shared" si="355"/>
        <v>WASHINGTON</v>
      </c>
      <c r="E991" t="str">
        <f t="shared" si="356"/>
        <v>DC</v>
      </c>
      <c r="F991" t="str">
        <f t="shared" si="357"/>
        <v>203950001</v>
      </c>
      <c r="G991" t="str">
        <f t="shared" si="362"/>
        <v>4251 SUITLAND ROAD</v>
      </c>
      <c r="H991" t="str">
        <f t="shared" si="363"/>
        <v/>
      </c>
      <c r="I991" t="str">
        <f t="shared" si="360"/>
        <v>WASHINGTON</v>
      </c>
      <c r="J991" t="str">
        <f t="shared" si="361"/>
        <v>DC</v>
      </c>
      <c r="K991" t="str">
        <f>T("3016695798")</f>
        <v>3016695798</v>
      </c>
      <c r="L991" t="str">
        <f>T("3016692596")</f>
        <v>3016692596</v>
      </c>
    </row>
    <row r="992" spans="1:12" x14ac:dyDescent="0.35">
      <c r="A992" t="str">
        <f t="shared" si="364"/>
        <v>OFC NAV INTELLIGENCE</v>
      </c>
      <c r="B992" t="str">
        <f t="shared" si="353"/>
        <v>4251 SUITLAND RD</v>
      </c>
      <c r="C992" t="str">
        <f t="shared" si="354"/>
        <v/>
      </c>
      <c r="D992" t="str">
        <f t="shared" si="355"/>
        <v>WASHINGTON</v>
      </c>
      <c r="E992" t="str">
        <f t="shared" si="356"/>
        <v>DC</v>
      </c>
      <c r="F992" t="str">
        <f t="shared" si="357"/>
        <v>203950001</v>
      </c>
      <c r="G992" t="str">
        <f t="shared" si="362"/>
        <v>4251 SUITLAND ROAD</v>
      </c>
      <c r="H992" t="str">
        <f>T("HOPPER ISC-C")</f>
        <v>HOPPER ISC-C</v>
      </c>
      <c r="I992" t="str">
        <f t="shared" si="360"/>
        <v>WASHINGTON</v>
      </c>
      <c r="J992" t="str">
        <f t="shared" si="361"/>
        <v>DC</v>
      </c>
      <c r="K992" t="str">
        <f>T("000000000000000000")</f>
        <v>000000000000000000</v>
      </c>
      <c r="L992" t="str">
        <f>T("3016695735")</f>
        <v>3016695735</v>
      </c>
    </row>
    <row r="993" spans="1:12" x14ac:dyDescent="0.35">
      <c r="A993" t="str">
        <f t="shared" si="364"/>
        <v>OFC NAV INTELLIGENCE</v>
      </c>
      <c r="B993" t="str">
        <f t="shared" si="353"/>
        <v>4251 SUITLAND RD</v>
      </c>
      <c r="C993" t="str">
        <f t="shared" si="354"/>
        <v/>
      </c>
      <c r="D993" t="str">
        <f t="shared" si="355"/>
        <v>WASHINGTON</v>
      </c>
      <c r="E993" t="str">
        <f t="shared" si="356"/>
        <v>DC</v>
      </c>
      <c r="F993" t="str">
        <f t="shared" si="357"/>
        <v>203950001</v>
      </c>
      <c r="G993" t="str">
        <f t="shared" si="362"/>
        <v>4251 SUITLAND ROAD</v>
      </c>
      <c r="H993" t="str">
        <f>T("ONI 4JD")</f>
        <v>ONI 4JD</v>
      </c>
      <c r="I993" t="str">
        <f t="shared" si="360"/>
        <v>WASHINGTON</v>
      </c>
      <c r="J993" t="str">
        <f t="shared" si="361"/>
        <v>DC</v>
      </c>
      <c r="K993" t="str">
        <f>T("000000000000000000")</f>
        <v>000000000000000000</v>
      </c>
      <c r="L993" t="str">
        <f>T("3016694789")</f>
        <v>3016694789</v>
      </c>
    </row>
    <row r="994" spans="1:12" x14ac:dyDescent="0.35">
      <c r="A994" t="str">
        <f t="shared" si="364"/>
        <v>OFC NAV INTELLIGENCE</v>
      </c>
      <c r="B994" t="str">
        <f t="shared" si="353"/>
        <v>4251 SUITLAND RD</v>
      </c>
      <c r="C994" t="str">
        <f t="shared" si="354"/>
        <v/>
      </c>
      <c r="D994" t="str">
        <f t="shared" si="355"/>
        <v>WASHINGTON</v>
      </c>
      <c r="E994" t="str">
        <f t="shared" si="356"/>
        <v>DC</v>
      </c>
      <c r="F994" t="str">
        <f t="shared" si="357"/>
        <v>203950001</v>
      </c>
      <c r="G994" t="str">
        <f>T("HOPPER ISC")</f>
        <v>HOPPER ISC</v>
      </c>
      <c r="H994" t="str">
        <f>T("4251 SUITLAND ROAD")</f>
        <v>4251 SUITLAND ROAD</v>
      </c>
      <c r="I994" t="str">
        <f t="shared" si="360"/>
        <v>WASHINGTON</v>
      </c>
      <c r="J994" t="str">
        <f t="shared" si="361"/>
        <v>DC</v>
      </c>
      <c r="K994" t="str">
        <f>T("3016694769")</f>
        <v>3016694769</v>
      </c>
      <c r="L994" t="str">
        <f>T("3016695669")</f>
        <v>3016695669</v>
      </c>
    </row>
    <row r="995" spans="1:12" x14ac:dyDescent="0.35">
      <c r="A995" t="str">
        <f t="shared" si="364"/>
        <v>OFC NAV INTELLIGENCE</v>
      </c>
      <c r="B995" t="str">
        <f t="shared" si="353"/>
        <v>4251 SUITLAND RD</v>
      </c>
      <c r="C995" t="str">
        <f>T("CODE 7MS")</f>
        <v>CODE 7MS</v>
      </c>
      <c r="D995" t="str">
        <f t="shared" si="355"/>
        <v>WASHINGTON</v>
      </c>
      <c r="E995" t="str">
        <f t="shared" si="356"/>
        <v>DC</v>
      </c>
      <c r="F995" t="str">
        <f t="shared" si="357"/>
        <v>203950001</v>
      </c>
      <c r="G995" t="str">
        <f>T("4251 SUITLAND RD")</f>
        <v>4251 SUITLAND RD</v>
      </c>
      <c r="H995" t="str">
        <f>T("CODE 7MS")</f>
        <v>CODE 7MS</v>
      </c>
      <c r="I995" t="str">
        <f t="shared" si="360"/>
        <v>WASHINGTON</v>
      </c>
      <c r="J995" t="str">
        <f t="shared" si="361"/>
        <v>DC</v>
      </c>
      <c r="K995" t="str">
        <f>T("3016695905")</f>
        <v>3016695905</v>
      </c>
      <c r="L995" t="str">
        <f>T("3016693318")</f>
        <v>3016693318</v>
      </c>
    </row>
    <row r="996" spans="1:12" x14ac:dyDescent="0.35">
      <c r="A996" t="str">
        <f t="shared" si="364"/>
        <v>OFC NAV INTELLIGENCE</v>
      </c>
      <c r="B996" t="str">
        <f t="shared" si="353"/>
        <v>4251 SUITLAND RD</v>
      </c>
      <c r="C996" t="str">
        <f>T("CODE 7MS")</f>
        <v>CODE 7MS</v>
      </c>
      <c r="D996" t="str">
        <f t="shared" si="355"/>
        <v>WASHINGTON</v>
      </c>
      <c r="E996" t="str">
        <f t="shared" si="356"/>
        <v>DC</v>
      </c>
      <c r="F996" t="str">
        <f t="shared" si="357"/>
        <v>203950001</v>
      </c>
      <c r="G996" t="str">
        <f>T("4251 SUITLAND ROAD")</f>
        <v>4251 SUITLAND ROAD</v>
      </c>
      <c r="H996" t="str">
        <f>T("")</f>
        <v/>
      </c>
      <c r="I996" t="str">
        <f t="shared" si="360"/>
        <v>WASHINGTON</v>
      </c>
      <c r="J996" t="str">
        <f t="shared" si="361"/>
        <v>DC</v>
      </c>
      <c r="K996" t="str">
        <f>T("3016692282")</f>
        <v>3016692282</v>
      </c>
      <c r="L996" t="str">
        <f>T("3016693943")</f>
        <v>3016693943</v>
      </c>
    </row>
    <row r="997" spans="1:12" x14ac:dyDescent="0.35">
      <c r="A997" t="str">
        <f t="shared" si="364"/>
        <v>OFC NAV INTELLIGENCE</v>
      </c>
      <c r="B997" t="str">
        <f t="shared" si="353"/>
        <v>4251 SUITLAND RD</v>
      </c>
      <c r="C997" t="str">
        <f>T("CODE ONI-1")</f>
        <v>CODE ONI-1</v>
      </c>
      <c r="D997" t="str">
        <f t="shared" ref="D997:D1028" si="365">T("WASHINGTON")</f>
        <v>WASHINGTON</v>
      </c>
      <c r="E997" t="str">
        <f t="shared" ref="E997:E1028" si="366">T("DC")</f>
        <v>DC</v>
      </c>
      <c r="F997" t="str">
        <f t="shared" ref="F997:F1028" si="367">T("203950001")</f>
        <v>203950001</v>
      </c>
      <c r="G997" t="str">
        <f>T("4251 SUITLAND RD")</f>
        <v>4251 SUITLAND RD</v>
      </c>
      <c r="H997" t="str">
        <f>T("CODE ONI-1")</f>
        <v>CODE ONI-1</v>
      </c>
      <c r="I997" t="str">
        <f t="shared" si="360"/>
        <v>WASHINGTON</v>
      </c>
      <c r="J997" t="str">
        <f t="shared" si="361"/>
        <v>DC</v>
      </c>
      <c r="K997" t="str">
        <f>T("301 669 5905")</f>
        <v>301 669 5905</v>
      </c>
      <c r="L997" t="str">
        <f>T("3016694478")</f>
        <v>3016694478</v>
      </c>
    </row>
    <row r="998" spans="1:12" x14ac:dyDescent="0.35">
      <c r="A998" t="str">
        <f t="shared" si="364"/>
        <v>OFC NAV INTELLIGENCE</v>
      </c>
      <c r="B998" t="str">
        <f t="shared" si="353"/>
        <v>4251 SUITLAND RD</v>
      </c>
      <c r="C998" t="str">
        <f>T("CODE ONI-1")</f>
        <v>CODE ONI-1</v>
      </c>
      <c r="D998" t="str">
        <f t="shared" si="365"/>
        <v>WASHINGTON</v>
      </c>
      <c r="E998" t="str">
        <f t="shared" si="366"/>
        <v>DC</v>
      </c>
      <c r="F998" t="str">
        <f t="shared" si="367"/>
        <v>203950001</v>
      </c>
      <c r="G998" t="str">
        <f>T("4251 SUITLAND ROAD")</f>
        <v>4251 SUITLAND ROAD</v>
      </c>
      <c r="H998" t="str">
        <f>T("")</f>
        <v/>
      </c>
      <c r="I998" t="str">
        <f t="shared" si="360"/>
        <v>WASHINGTON</v>
      </c>
      <c r="J998" t="str">
        <f t="shared" si="361"/>
        <v>DC</v>
      </c>
      <c r="K998" t="str">
        <f>T("3016694629")</f>
        <v>3016694629</v>
      </c>
      <c r="L998" t="str">
        <f>T("3016694583")</f>
        <v>3016694583</v>
      </c>
    </row>
    <row r="999" spans="1:12" x14ac:dyDescent="0.35">
      <c r="A999" t="str">
        <f t="shared" si="364"/>
        <v>OFC NAV INTELLIGENCE</v>
      </c>
      <c r="B999" t="str">
        <f t="shared" si="353"/>
        <v>4251 SUITLAND RD</v>
      </c>
      <c r="C999" t="str">
        <f>T("CODE ONI-1")</f>
        <v>CODE ONI-1</v>
      </c>
      <c r="D999" t="str">
        <f t="shared" si="365"/>
        <v>WASHINGTON</v>
      </c>
      <c r="E999" t="str">
        <f t="shared" si="366"/>
        <v>DC</v>
      </c>
      <c r="F999" t="str">
        <f t="shared" si="367"/>
        <v>203950001</v>
      </c>
      <c r="G999" t="str">
        <f>T("4251 SUITLAND ROAD")</f>
        <v>4251 SUITLAND ROAD</v>
      </c>
      <c r="H999" t="str">
        <f>T("ONI-51")</f>
        <v>ONI-51</v>
      </c>
      <c r="I999" t="str">
        <f t="shared" si="360"/>
        <v>WASHINGTON</v>
      </c>
      <c r="J999" t="str">
        <f t="shared" si="361"/>
        <v>DC</v>
      </c>
      <c r="K999" t="str">
        <f t="shared" ref="K999:K1006" si="368">T("000000000000000000")</f>
        <v>000000000000000000</v>
      </c>
      <c r="L999" t="str">
        <f>T("3016695277")</f>
        <v>3016695277</v>
      </c>
    </row>
    <row r="1000" spans="1:12" x14ac:dyDescent="0.35">
      <c r="A1000" t="str">
        <f t="shared" si="364"/>
        <v>OFC NAV INTELLIGENCE</v>
      </c>
      <c r="B1000" t="str">
        <f t="shared" si="353"/>
        <v>4251 SUITLAND RD</v>
      </c>
      <c r="C1000" t="str">
        <f>T("NIMITZ")</f>
        <v>NIMITZ</v>
      </c>
      <c r="D1000" t="str">
        <f t="shared" si="365"/>
        <v>WASHINGTON</v>
      </c>
      <c r="E1000" t="str">
        <f t="shared" si="366"/>
        <v>DC</v>
      </c>
      <c r="F1000" t="str">
        <f t="shared" si="367"/>
        <v>203950001</v>
      </c>
      <c r="G1000" t="str">
        <f>T("4251 SUITLAND RD")</f>
        <v>4251 SUITLAND RD</v>
      </c>
      <c r="H1000" t="str">
        <f>T("NIMITZ")</f>
        <v>NIMITZ</v>
      </c>
      <c r="I1000" t="str">
        <f t="shared" si="360"/>
        <v>WASHINGTON</v>
      </c>
      <c r="J1000" t="str">
        <f t="shared" si="361"/>
        <v>DC</v>
      </c>
      <c r="K1000" t="str">
        <f t="shared" si="368"/>
        <v>000000000000000000</v>
      </c>
      <c r="L1000" t="str">
        <f>T("3301669404")</f>
        <v>3301669404</v>
      </c>
    </row>
    <row r="1001" spans="1:12" x14ac:dyDescent="0.35">
      <c r="A1001" t="str">
        <f t="shared" si="364"/>
        <v>OFC NAV INTELLIGENCE</v>
      </c>
      <c r="B1001" t="str">
        <f t="shared" si="353"/>
        <v>4251 SUITLAND RD</v>
      </c>
      <c r="C1001" t="str">
        <f>T("NIMITZ")</f>
        <v>NIMITZ</v>
      </c>
      <c r="D1001" t="str">
        <f t="shared" si="365"/>
        <v>WASHINGTON</v>
      </c>
      <c r="E1001" t="str">
        <f t="shared" si="366"/>
        <v>DC</v>
      </c>
      <c r="F1001" t="str">
        <f t="shared" si="367"/>
        <v>203950001</v>
      </c>
      <c r="G1001" t="str">
        <f>T("4251 SUITLAND ROAD")</f>
        <v>4251 SUITLAND ROAD</v>
      </c>
      <c r="H1001" t="str">
        <f>T("")</f>
        <v/>
      </c>
      <c r="I1001" t="str">
        <f t="shared" si="360"/>
        <v>WASHINGTON</v>
      </c>
      <c r="J1001" t="str">
        <f t="shared" si="361"/>
        <v>DC</v>
      </c>
      <c r="K1001" t="str">
        <f t="shared" si="368"/>
        <v>000000000000000000</v>
      </c>
      <c r="L1001" t="str">
        <f>T("3016695054")</f>
        <v>3016695054</v>
      </c>
    </row>
    <row r="1002" spans="1:12" x14ac:dyDescent="0.35">
      <c r="A1002" t="str">
        <f t="shared" si="364"/>
        <v>OFC NAV INTELLIGENCE</v>
      </c>
      <c r="B1002" t="str">
        <f t="shared" si="353"/>
        <v>4251 SUITLAND RD</v>
      </c>
      <c r="C1002" t="str">
        <f>T("ONI-233")</f>
        <v>ONI-233</v>
      </c>
      <c r="D1002" t="str">
        <f t="shared" si="365"/>
        <v>WASHINGTON</v>
      </c>
      <c r="E1002" t="str">
        <f t="shared" si="366"/>
        <v>DC</v>
      </c>
      <c r="F1002" t="str">
        <f t="shared" si="367"/>
        <v>203950001</v>
      </c>
      <c r="G1002" t="str">
        <f>T("4251 SUITLAND RD")</f>
        <v>4251 SUITLAND RD</v>
      </c>
      <c r="H1002" t="str">
        <f>T("ONI 233")</f>
        <v>ONI 233</v>
      </c>
      <c r="I1002" t="str">
        <f t="shared" si="360"/>
        <v>WASHINGTON</v>
      </c>
      <c r="J1002" t="str">
        <f t="shared" si="361"/>
        <v>DC</v>
      </c>
      <c r="K1002" t="str">
        <f t="shared" si="368"/>
        <v>000000000000000000</v>
      </c>
      <c r="L1002" t="str">
        <f>T("3016695192")</f>
        <v>3016695192</v>
      </c>
    </row>
    <row r="1003" spans="1:12" x14ac:dyDescent="0.35">
      <c r="A1003" t="str">
        <f t="shared" si="364"/>
        <v>OFC NAV INTELLIGENCE</v>
      </c>
      <c r="B1003" t="str">
        <f t="shared" si="353"/>
        <v>4251 SUITLAND RD</v>
      </c>
      <c r="C1003" t="str">
        <f>T("ONI-233")</f>
        <v>ONI-233</v>
      </c>
      <c r="D1003" t="str">
        <f t="shared" si="365"/>
        <v>WASHINGTON</v>
      </c>
      <c r="E1003" t="str">
        <f t="shared" si="366"/>
        <v>DC</v>
      </c>
      <c r="F1003" t="str">
        <f t="shared" si="367"/>
        <v>203950001</v>
      </c>
      <c r="G1003" t="str">
        <f>T("4251 SUITLAND RD")</f>
        <v>4251 SUITLAND RD</v>
      </c>
      <c r="H1003" t="str">
        <f>T("ONI-233")</f>
        <v>ONI-233</v>
      </c>
      <c r="I1003" t="str">
        <f t="shared" si="360"/>
        <v>WASHINGTON</v>
      </c>
      <c r="J1003" t="str">
        <f t="shared" si="361"/>
        <v>DC</v>
      </c>
      <c r="K1003" t="str">
        <f t="shared" si="368"/>
        <v>000000000000000000</v>
      </c>
      <c r="L1003" t="str">
        <f>T("3016693456")</f>
        <v>3016693456</v>
      </c>
    </row>
    <row r="1004" spans="1:12" x14ac:dyDescent="0.35">
      <c r="A1004" t="str">
        <f t="shared" si="364"/>
        <v>OFC NAV INTELLIGENCE</v>
      </c>
      <c r="B1004" t="str">
        <f t="shared" si="353"/>
        <v>4251 SUITLAND RD</v>
      </c>
      <c r="C1004" t="str">
        <f>T("ONI-233")</f>
        <v>ONI-233</v>
      </c>
      <c r="D1004" t="str">
        <f t="shared" si="365"/>
        <v>WASHINGTON</v>
      </c>
      <c r="E1004" t="str">
        <f t="shared" si="366"/>
        <v>DC</v>
      </c>
      <c r="F1004" t="str">
        <f t="shared" si="367"/>
        <v>203950001</v>
      </c>
      <c r="G1004" t="str">
        <f>T("4251 SUITLAND ROAD")</f>
        <v>4251 SUITLAND ROAD</v>
      </c>
      <c r="H1004" t="str">
        <f>T("ONI-233")</f>
        <v>ONI-233</v>
      </c>
      <c r="I1004" t="str">
        <f t="shared" si="360"/>
        <v>WASHINGTON</v>
      </c>
      <c r="J1004" t="str">
        <f t="shared" si="361"/>
        <v>DC</v>
      </c>
      <c r="K1004" t="str">
        <f t="shared" si="368"/>
        <v>000000000000000000</v>
      </c>
      <c r="L1004" t="str">
        <f>T("3016695510")</f>
        <v>3016695510</v>
      </c>
    </row>
    <row r="1005" spans="1:12" x14ac:dyDescent="0.35">
      <c r="A1005" t="str">
        <f t="shared" si="364"/>
        <v>OFC NAV INTELLIGENCE</v>
      </c>
      <c r="B1005" t="str">
        <f t="shared" si="353"/>
        <v>4251 SUITLAND RD</v>
      </c>
      <c r="C1005" t="str">
        <f>T("ONI-233")</f>
        <v>ONI-233</v>
      </c>
      <c r="D1005" t="str">
        <f t="shared" si="365"/>
        <v>WASHINGTON</v>
      </c>
      <c r="E1005" t="str">
        <f t="shared" si="366"/>
        <v>DC</v>
      </c>
      <c r="F1005" t="str">
        <f t="shared" si="367"/>
        <v>203950001</v>
      </c>
      <c r="G1005" t="str">
        <f>T("4251 SUITLAND ROAD")</f>
        <v>4251 SUITLAND ROAD</v>
      </c>
      <c r="H1005" t="str">
        <f>T("ONI-23OPS")</f>
        <v>ONI-23OPS</v>
      </c>
      <c r="I1005" t="str">
        <f t="shared" si="360"/>
        <v>WASHINGTON</v>
      </c>
      <c r="J1005" t="str">
        <f t="shared" si="361"/>
        <v>DC</v>
      </c>
      <c r="K1005" t="str">
        <f t="shared" si="368"/>
        <v>000000000000000000</v>
      </c>
      <c r="L1005" t="str">
        <f>T("3016692387")</f>
        <v>3016692387</v>
      </c>
    </row>
    <row r="1006" spans="1:12" x14ac:dyDescent="0.35">
      <c r="A1006" t="str">
        <f t="shared" si="364"/>
        <v>OFC NAV INTELLIGENCE</v>
      </c>
      <c r="B1006" t="str">
        <f t="shared" si="353"/>
        <v>4251 SUITLAND RD</v>
      </c>
      <c r="C1006" t="str">
        <f>T("ONI-421")</f>
        <v>ONI-421</v>
      </c>
      <c r="D1006" t="str">
        <f t="shared" si="365"/>
        <v>WASHINGTON</v>
      </c>
      <c r="E1006" t="str">
        <f t="shared" si="366"/>
        <v>DC</v>
      </c>
      <c r="F1006" t="str">
        <f t="shared" si="367"/>
        <v>203950001</v>
      </c>
      <c r="G1006" t="str">
        <f>T("4251 SUITLAND RD")</f>
        <v>4251 SUITLAND RD</v>
      </c>
      <c r="H1006" t="str">
        <f>T("ONI-421")</f>
        <v>ONI-421</v>
      </c>
      <c r="I1006" t="str">
        <f t="shared" si="360"/>
        <v>WASHINGTON</v>
      </c>
      <c r="J1006" t="str">
        <f t="shared" si="361"/>
        <v>DC</v>
      </c>
      <c r="K1006" t="str">
        <f t="shared" si="368"/>
        <v>000000000000000000</v>
      </c>
      <c r="L1006" t="str">
        <f>T("3016694806")</f>
        <v>3016694806</v>
      </c>
    </row>
    <row r="1007" spans="1:12" x14ac:dyDescent="0.35">
      <c r="A1007" t="str">
        <f t="shared" si="364"/>
        <v>OFC NAV INTELLIGENCE</v>
      </c>
      <c r="B1007" t="str">
        <f t="shared" si="353"/>
        <v>4251 SUITLAND RD</v>
      </c>
      <c r="C1007" t="str">
        <f>T("ONI-421")</f>
        <v>ONI-421</v>
      </c>
      <c r="D1007" t="str">
        <f t="shared" si="365"/>
        <v>WASHINGTON</v>
      </c>
      <c r="E1007" t="str">
        <f t="shared" si="366"/>
        <v>DC</v>
      </c>
      <c r="F1007" t="str">
        <f t="shared" si="367"/>
        <v>203950001</v>
      </c>
      <c r="G1007" t="str">
        <f>T("HOPPER")</f>
        <v>HOPPER</v>
      </c>
      <c r="H1007" t="str">
        <f>T("4251 SUITLAND ROAD")</f>
        <v>4251 SUITLAND ROAD</v>
      </c>
      <c r="I1007" t="str">
        <f t="shared" si="360"/>
        <v>WASHINGTON</v>
      </c>
      <c r="J1007" t="str">
        <f t="shared" si="361"/>
        <v>DC</v>
      </c>
      <c r="K1007" t="str">
        <f>T("3016693738")</f>
        <v>3016693738</v>
      </c>
      <c r="L1007" t="str">
        <f>T("3016692668")</f>
        <v>3016692668</v>
      </c>
    </row>
    <row r="1008" spans="1:12" x14ac:dyDescent="0.35">
      <c r="A1008" t="str">
        <f t="shared" si="364"/>
        <v>OFC NAV INTELLIGENCE</v>
      </c>
      <c r="B1008" t="str">
        <f t="shared" si="353"/>
        <v>4251 SUITLAND RD</v>
      </c>
      <c r="C1008" t="str">
        <f>T("ONI-43")</f>
        <v>ONI-43</v>
      </c>
      <c r="D1008" t="str">
        <f t="shared" si="365"/>
        <v>WASHINGTON</v>
      </c>
      <c r="E1008" t="str">
        <f t="shared" si="366"/>
        <v>DC</v>
      </c>
      <c r="F1008" t="str">
        <f t="shared" si="367"/>
        <v>203950001</v>
      </c>
      <c r="G1008" t="str">
        <f>T("4251 SUITLAND RD")</f>
        <v>4251 SUITLAND RD</v>
      </c>
      <c r="H1008" t="str">
        <f>T("ONI-43")</f>
        <v>ONI-43</v>
      </c>
      <c r="I1008" t="str">
        <f t="shared" si="360"/>
        <v>WASHINGTON</v>
      </c>
      <c r="J1008" t="str">
        <f t="shared" si="361"/>
        <v>DC</v>
      </c>
      <c r="K1008" t="str">
        <f>T("")</f>
        <v/>
      </c>
      <c r="L1008" t="str">
        <f>T("3016693936")</f>
        <v>3016693936</v>
      </c>
    </row>
    <row r="1009" spans="1:12" x14ac:dyDescent="0.35">
      <c r="A1009" t="str">
        <f t="shared" si="364"/>
        <v>OFC NAV INTELLIGENCE</v>
      </c>
      <c r="B1009" t="str">
        <f t="shared" si="353"/>
        <v>4251 SUITLAND RD</v>
      </c>
      <c r="C1009" t="str">
        <f>T("ONI-43")</f>
        <v>ONI-43</v>
      </c>
      <c r="D1009" t="str">
        <f t="shared" si="365"/>
        <v>WASHINGTON</v>
      </c>
      <c r="E1009" t="str">
        <f t="shared" si="366"/>
        <v>DC</v>
      </c>
      <c r="F1009" t="str">
        <f t="shared" si="367"/>
        <v>203950001</v>
      </c>
      <c r="G1009" t="str">
        <f>T("4251 SUITLAND ROAD")</f>
        <v>4251 SUITLAND ROAD</v>
      </c>
      <c r="H1009" t="str">
        <f>T("")</f>
        <v/>
      </c>
      <c r="I1009" t="str">
        <f t="shared" si="360"/>
        <v>WASHINGTON</v>
      </c>
      <c r="J1009" t="str">
        <f t="shared" si="361"/>
        <v>DC</v>
      </c>
      <c r="K1009" t="str">
        <f>T("3016694794")</f>
        <v>3016694794</v>
      </c>
      <c r="L1009" t="str">
        <f>T("3016695885")</f>
        <v>3016695885</v>
      </c>
    </row>
    <row r="1010" spans="1:12" x14ac:dyDescent="0.35">
      <c r="A1010" t="str">
        <f t="shared" si="364"/>
        <v>OFC NAV INTELLIGENCE</v>
      </c>
      <c r="B1010" t="str">
        <f t="shared" si="353"/>
        <v>4251 SUITLAND RD</v>
      </c>
      <c r="C1010" t="str">
        <f>T("TAC-6")</f>
        <v>TAC-6</v>
      </c>
      <c r="D1010" t="str">
        <f t="shared" si="365"/>
        <v>WASHINGTON</v>
      </c>
      <c r="E1010" t="str">
        <f t="shared" si="366"/>
        <v>DC</v>
      </c>
      <c r="F1010" t="str">
        <f t="shared" si="367"/>
        <v>203950001</v>
      </c>
      <c r="G1010" t="str">
        <f>T("4251 SUITLAND")</f>
        <v>4251 SUITLAND</v>
      </c>
      <c r="H1010" t="str">
        <f>T("")</f>
        <v/>
      </c>
      <c r="I1010" t="str">
        <f t="shared" si="360"/>
        <v>WASHINGTON</v>
      </c>
      <c r="J1010" t="str">
        <f t="shared" si="361"/>
        <v>DC</v>
      </c>
      <c r="K1010" t="str">
        <f>T("3016693979")</f>
        <v>3016693979</v>
      </c>
      <c r="L1010" t="str">
        <f>T("3016693309")</f>
        <v>3016693309</v>
      </c>
    </row>
    <row r="1011" spans="1:12" x14ac:dyDescent="0.35">
      <c r="A1011" t="str">
        <f t="shared" si="364"/>
        <v>OFC NAV INTELLIGENCE</v>
      </c>
      <c r="B1011" t="str">
        <f t="shared" si="353"/>
        <v>4251 SUITLAND RD</v>
      </c>
      <c r="C1011" t="str">
        <f>T("TAC-6")</f>
        <v>TAC-6</v>
      </c>
      <c r="D1011" t="str">
        <f t="shared" si="365"/>
        <v>WASHINGTON</v>
      </c>
      <c r="E1011" t="str">
        <f t="shared" si="366"/>
        <v>DC</v>
      </c>
      <c r="F1011" t="str">
        <f t="shared" si="367"/>
        <v>203950001</v>
      </c>
      <c r="G1011" t="str">
        <f>T("4251 SUITLAND RD")</f>
        <v>4251 SUITLAND RD</v>
      </c>
      <c r="H1011" t="str">
        <f>T("TAC-6")</f>
        <v>TAC-6</v>
      </c>
      <c r="I1011" t="str">
        <f t="shared" si="360"/>
        <v>WASHINGTON</v>
      </c>
      <c r="J1011" t="str">
        <f t="shared" si="361"/>
        <v>DC</v>
      </c>
      <c r="K1011" t="str">
        <f>T("3016693979")</f>
        <v>3016693979</v>
      </c>
      <c r="L1011" t="str">
        <f>T("3016692634")</f>
        <v>3016692634</v>
      </c>
    </row>
    <row r="1012" spans="1:12" x14ac:dyDescent="0.35">
      <c r="A1012" t="str">
        <f t="shared" si="364"/>
        <v>OFC NAV INTELLIGENCE</v>
      </c>
      <c r="B1012" t="str">
        <f t="shared" si="353"/>
        <v>4251 SUITLAND RD</v>
      </c>
      <c r="C1012" t="str">
        <f>T("TAC-6")</f>
        <v>TAC-6</v>
      </c>
      <c r="D1012" t="str">
        <f t="shared" si="365"/>
        <v>WASHINGTON</v>
      </c>
      <c r="E1012" t="str">
        <f t="shared" si="366"/>
        <v>DC</v>
      </c>
      <c r="F1012" t="str">
        <f t="shared" si="367"/>
        <v>203950001</v>
      </c>
      <c r="G1012" t="str">
        <f>T("4251 SUITLAND ROAD")</f>
        <v>4251 SUITLAND ROAD</v>
      </c>
      <c r="H1012" t="str">
        <f>T("")</f>
        <v/>
      </c>
      <c r="I1012" t="str">
        <f t="shared" si="360"/>
        <v>WASHINGTON</v>
      </c>
      <c r="J1012" t="str">
        <f t="shared" si="361"/>
        <v>DC</v>
      </c>
      <c r="K1012" t="str">
        <f>T("3016693979")</f>
        <v>3016693979</v>
      </c>
      <c r="L1012" t="str">
        <f>T("3016694514")</f>
        <v>3016694514</v>
      </c>
    </row>
    <row r="1013" spans="1:12" x14ac:dyDescent="0.35">
      <c r="A1013" t="str">
        <f t="shared" si="364"/>
        <v>OFC NAV INTELLIGENCE</v>
      </c>
      <c r="B1013" t="str">
        <f t="shared" ref="B1013:B1044" si="369">T("4251 SUITLAND ROAD")</f>
        <v>4251 SUITLAND ROAD</v>
      </c>
      <c r="C1013" t="str">
        <f t="shared" ref="C1013:C1044" si="370">T("")</f>
        <v/>
      </c>
      <c r="D1013" t="str">
        <f t="shared" si="365"/>
        <v>WASHINGTON</v>
      </c>
      <c r="E1013" t="str">
        <f t="shared" si="366"/>
        <v>DC</v>
      </c>
      <c r="F1013" t="str">
        <f t="shared" si="367"/>
        <v>203950001</v>
      </c>
      <c r="G1013" t="str">
        <f>T("1045 W MIDWAY STREET")</f>
        <v>1045 W MIDWAY STREET</v>
      </c>
      <c r="H1013" t="str">
        <f>T("SSO WHIDBEY ISLAND")</f>
        <v>SSO WHIDBEY ISLAND</v>
      </c>
      <c r="I1013" t="str">
        <f>T("OAK HARBOR")</f>
        <v>OAK HARBOR</v>
      </c>
      <c r="J1013" t="str">
        <f>T("WA")</f>
        <v>WA</v>
      </c>
      <c r="K1013" t="str">
        <f>T("3602572859")</f>
        <v>3602572859</v>
      </c>
      <c r="L1013" t="str">
        <f>T("3602572710")</f>
        <v>3602572710</v>
      </c>
    </row>
    <row r="1014" spans="1:12" x14ac:dyDescent="0.35">
      <c r="A1014" t="str">
        <f t="shared" si="364"/>
        <v>OFC NAV INTELLIGENCE</v>
      </c>
      <c r="B1014" t="str">
        <f t="shared" si="369"/>
        <v>4251 SUITLAND ROAD</v>
      </c>
      <c r="C1014" t="str">
        <f t="shared" si="370"/>
        <v/>
      </c>
      <c r="D1014" t="str">
        <f t="shared" si="365"/>
        <v>WASHINGTON</v>
      </c>
      <c r="E1014" t="str">
        <f t="shared" si="366"/>
        <v>DC</v>
      </c>
      <c r="F1014" t="str">
        <f t="shared" si="367"/>
        <v>203950001</v>
      </c>
      <c r="G1014" t="str">
        <f>T("33000 NIXIE WAY BLDG 50")</f>
        <v>33000 NIXIE WAY BLDG 50</v>
      </c>
      <c r="H1014" t="str">
        <f>T("ROOM 353")</f>
        <v>ROOM 353</v>
      </c>
      <c r="I1014" t="str">
        <f>T("SAN DIEGO")</f>
        <v>SAN DIEGO</v>
      </c>
      <c r="J1014" t="str">
        <f>T("CA")</f>
        <v>CA</v>
      </c>
      <c r="K1014" t="str">
        <f>T("000000000000000000")</f>
        <v>000000000000000000</v>
      </c>
      <c r="L1014" t="str">
        <f>T("6195246895")</f>
        <v>6195246895</v>
      </c>
    </row>
    <row r="1015" spans="1:12" x14ac:dyDescent="0.35">
      <c r="A1015" t="str">
        <f t="shared" si="364"/>
        <v>OFC NAV INTELLIGENCE</v>
      </c>
      <c r="B1015" t="str">
        <f t="shared" si="369"/>
        <v>4251 SUITLAND ROAD</v>
      </c>
      <c r="C1015" t="str">
        <f t="shared" si="370"/>
        <v/>
      </c>
      <c r="D1015" t="str">
        <f t="shared" si="365"/>
        <v>WASHINGTON</v>
      </c>
      <c r="E1015" t="str">
        <f t="shared" si="366"/>
        <v>DC</v>
      </c>
      <c r="F1015" t="str">
        <f t="shared" si="367"/>
        <v>203950001</v>
      </c>
      <c r="G1015" t="str">
        <f>T("3955 NORTH HARBOR DRIVE")</f>
        <v>3955 NORTH HARBOR DRIVE</v>
      </c>
      <c r="H1015" t="str">
        <f>T("BLDG 564")</f>
        <v>BLDG 564</v>
      </c>
      <c r="I1015" t="str">
        <f>T("SAN DIEGO")</f>
        <v>SAN DIEGO</v>
      </c>
      <c r="J1015" t="str">
        <f>T("CA")</f>
        <v>CA</v>
      </c>
      <c r="K1015" t="str">
        <f>T("6195246814")</f>
        <v>6195246814</v>
      </c>
      <c r="L1015" t="str">
        <f>T("6195240122")</f>
        <v>6195240122</v>
      </c>
    </row>
    <row r="1016" spans="1:12" x14ac:dyDescent="0.35">
      <c r="A1016" t="str">
        <f t="shared" si="364"/>
        <v>OFC NAV INTELLIGENCE</v>
      </c>
      <c r="B1016" t="str">
        <f t="shared" si="369"/>
        <v>4251 SUITLAND ROAD</v>
      </c>
      <c r="C1016" t="str">
        <f t="shared" si="370"/>
        <v/>
      </c>
      <c r="D1016" t="str">
        <f t="shared" si="365"/>
        <v>WASHINGTON</v>
      </c>
      <c r="E1016" t="str">
        <f t="shared" si="366"/>
        <v>DC</v>
      </c>
      <c r="F1016" t="str">
        <f t="shared" si="367"/>
        <v>203950001</v>
      </c>
      <c r="G1016" t="str">
        <f>T("4251 SUITLAND RD")</f>
        <v>4251 SUITLAND RD</v>
      </c>
      <c r="H1016" t="str">
        <f>T("")</f>
        <v/>
      </c>
      <c r="I1016" t="str">
        <f t="shared" ref="I1016:I1047" si="371">T("WASHINGTON")</f>
        <v>WASHINGTON</v>
      </c>
      <c r="J1016" t="str">
        <f t="shared" ref="J1016:J1047" si="372">T("DC")</f>
        <v>DC</v>
      </c>
      <c r="K1016" t="str">
        <f>T("000000000000000000")</f>
        <v>000000000000000000</v>
      </c>
      <c r="L1016" t="str">
        <f>T("3018893039")</f>
        <v>3018893039</v>
      </c>
    </row>
    <row r="1017" spans="1:12" x14ac:dyDescent="0.35">
      <c r="A1017" t="str">
        <f t="shared" si="364"/>
        <v>OFC NAV INTELLIGENCE</v>
      </c>
      <c r="B1017" t="str">
        <f t="shared" si="369"/>
        <v>4251 SUITLAND ROAD</v>
      </c>
      <c r="C1017" t="str">
        <f t="shared" si="370"/>
        <v/>
      </c>
      <c r="D1017" t="str">
        <f t="shared" si="365"/>
        <v>WASHINGTON</v>
      </c>
      <c r="E1017" t="str">
        <f t="shared" si="366"/>
        <v>DC</v>
      </c>
      <c r="F1017" t="str">
        <f t="shared" si="367"/>
        <v>203950001</v>
      </c>
      <c r="G1017" t="str">
        <f>T("4251 SUITLAND RD")</f>
        <v>4251 SUITLAND RD</v>
      </c>
      <c r="H1017" t="str">
        <f>T("")</f>
        <v/>
      </c>
      <c r="I1017" t="str">
        <f t="shared" si="371"/>
        <v>WASHINGTON</v>
      </c>
      <c r="J1017" t="str">
        <f t="shared" si="372"/>
        <v>DC</v>
      </c>
      <c r="K1017" t="str">
        <f>T("3016693738")</f>
        <v>3016693738</v>
      </c>
      <c r="L1017" t="str">
        <f>T("3016694624")</f>
        <v>3016694624</v>
      </c>
    </row>
    <row r="1018" spans="1:12" x14ac:dyDescent="0.35">
      <c r="A1018" t="str">
        <f t="shared" si="364"/>
        <v>OFC NAV INTELLIGENCE</v>
      </c>
      <c r="B1018" t="str">
        <f t="shared" si="369"/>
        <v>4251 SUITLAND ROAD</v>
      </c>
      <c r="C1018" t="str">
        <f t="shared" si="370"/>
        <v/>
      </c>
      <c r="D1018" t="str">
        <f t="shared" si="365"/>
        <v>WASHINGTON</v>
      </c>
      <c r="E1018" t="str">
        <f t="shared" si="366"/>
        <v>DC</v>
      </c>
      <c r="F1018" t="str">
        <f t="shared" si="367"/>
        <v>203950001</v>
      </c>
      <c r="G1018" t="str">
        <f>T("4251 SUITLAND RD")</f>
        <v>4251 SUITLAND RD</v>
      </c>
      <c r="H1018" t="str">
        <f>T("")</f>
        <v/>
      </c>
      <c r="I1018" t="str">
        <f t="shared" si="371"/>
        <v>WASHINGTON</v>
      </c>
      <c r="J1018" t="str">
        <f t="shared" si="372"/>
        <v>DC</v>
      </c>
      <c r="K1018" t="str">
        <f>T("3016695990")</f>
        <v>3016695990</v>
      </c>
      <c r="L1018" t="str">
        <f>T("3016695091")</f>
        <v>3016695091</v>
      </c>
    </row>
    <row r="1019" spans="1:12" x14ac:dyDescent="0.35">
      <c r="A1019" t="str">
        <f t="shared" ref="A1019:A1050" si="373">T("OFC NAV INTELLIGENCE")</f>
        <v>OFC NAV INTELLIGENCE</v>
      </c>
      <c r="B1019" t="str">
        <f t="shared" si="369"/>
        <v>4251 SUITLAND ROAD</v>
      </c>
      <c r="C1019" t="str">
        <f t="shared" si="370"/>
        <v/>
      </c>
      <c r="D1019" t="str">
        <f t="shared" si="365"/>
        <v>WASHINGTON</v>
      </c>
      <c r="E1019" t="str">
        <f t="shared" si="366"/>
        <v>DC</v>
      </c>
      <c r="F1019" t="str">
        <f t="shared" si="367"/>
        <v>203950001</v>
      </c>
      <c r="G1019" t="str">
        <f>T("4251 SUITLAND RD")</f>
        <v>4251 SUITLAND RD</v>
      </c>
      <c r="H1019" t="str">
        <f>T("")</f>
        <v/>
      </c>
      <c r="I1019" t="str">
        <f t="shared" si="371"/>
        <v>WASHINGTON</v>
      </c>
      <c r="J1019" t="str">
        <f t="shared" si="372"/>
        <v>DC</v>
      </c>
      <c r="K1019" t="str">
        <f>T("7186304565")</f>
        <v>7186304565</v>
      </c>
      <c r="L1019" t="str">
        <f>T("9737923317")</f>
        <v>9737923317</v>
      </c>
    </row>
    <row r="1020" spans="1:12" x14ac:dyDescent="0.35">
      <c r="A1020" t="str">
        <f t="shared" si="373"/>
        <v>OFC NAV INTELLIGENCE</v>
      </c>
      <c r="B1020" t="str">
        <f t="shared" si="369"/>
        <v>4251 SUITLAND ROAD</v>
      </c>
      <c r="C1020" t="str">
        <f t="shared" si="370"/>
        <v/>
      </c>
      <c r="D1020" t="str">
        <f t="shared" si="365"/>
        <v>WASHINGTON</v>
      </c>
      <c r="E1020" t="str">
        <f t="shared" si="366"/>
        <v>DC</v>
      </c>
      <c r="F1020" t="str">
        <f t="shared" si="367"/>
        <v>203950001</v>
      </c>
      <c r="G1020" t="str">
        <f>T("4251 SUITLAND RD")</f>
        <v>4251 SUITLAND RD</v>
      </c>
      <c r="H1020" t="str">
        <f>T("N6/CIO")</f>
        <v>N6/CIO</v>
      </c>
      <c r="I1020" t="str">
        <f t="shared" si="371"/>
        <v>WASHINGTON</v>
      </c>
      <c r="J1020" t="str">
        <f t="shared" si="372"/>
        <v>DC</v>
      </c>
      <c r="K1020" t="str">
        <f>T("000000000000000000")</f>
        <v>000000000000000000</v>
      </c>
      <c r="L1020" t="str">
        <f>T("3016692210")</f>
        <v>3016692210</v>
      </c>
    </row>
    <row r="1021" spans="1:12" x14ac:dyDescent="0.35">
      <c r="A1021" t="str">
        <f t="shared" si="373"/>
        <v>OFC NAV INTELLIGENCE</v>
      </c>
      <c r="B1021" t="str">
        <f t="shared" si="369"/>
        <v>4251 SUITLAND ROAD</v>
      </c>
      <c r="C1021" t="str">
        <f t="shared" si="370"/>
        <v/>
      </c>
      <c r="D1021" t="str">
        <f t="shared" si="365"/>
        <v>WASHINGTON</v>
      </c>
      <c r="E1021" t="str">
        <f t="shared" si="366"/>
        <v>DC</v>
      </c>
      <c r="F1021" t="str">
        <f t="shared" si="367"/>
        <v>203950001</v>
      </c>
      <c r="G1021" t="str">
        <f t="shared" ref="G1021:G1052" si="374">T("4251 SUITLAND ROAD")</f>
        <v>4251 SUITLAND ROAD</v>
      </c>
      <c r="H1021" t="str">
        <f t="shared" ref="H1021:H1052" si="375">T("")</f>
        <v/>
      </c>
      <c r="I1021" t="str">
        <f t="shared" si="371"/>
        <v>WASHINGTON</v>
      </c>
      <c r="J1021" t="str">
        <f t="shared" si="372"/>
        <v>DC</v>
      </c>
      <c r="K1021" t="str">
        <f>T("")</f>
        <v/>
      </c>
      <c r="L1021" t="str">
        <f>T("3016693023")</f>
        <v>3016693023</v>
      </c>
    </row>
    <row r="1022" spans="1:12" x14ac:dyDescent="0.35">
      <c r="A1022" t="str">
        <f t="shared" si="373"/>
        <v>OFC NAV INTELLIGENCE</v>
      </c>
      <c r="B1022" t="str">
        <f t="shared" si="369"/>
        <v>4251 SUITLAND ROAD</v>
      </c>
      <c r="C1022" t="str">
        <f t="shared" si="370"/>
        <v/>
      </c>
      <c r="D1022" t="str">
        <f t="shared" si="365"/>
        <v>WASHINGTON</v>
      </c>
      <c r="E1022" t="str">
        <f t="shared" si="366"/>
        <v>DC</v>
      </c>
      <c r="F1022" t="str">
        <f t="shared" si="367"/>
        <v>203950001</v>
      </c>
      <c r="G1022" t="str">
        <f t="shared" si="374"/>
        <v>4251 SUITLAND ROAD</v>
      </c>
      <c r="H1022" t="str">
        <f t="shared" si="375"/>
        <v/>
      </c>
      <c r="I1022" t="str">
        <f t="shared" si="371"/>
        <v>WASHINGTON</v>
      </c>
      <c r="J1022" t="str">
        <f t="shared" si="372"/>
        <v>DC</v>
      </c>
      <c r="K1022" t="str">
        <f>T("")</f>
        <v/>
      </c>
      <c r="L1022" t="str">
        <f>T("3016693296")</f>
        <v>3016693296</v>
      </c>
    </row>
    <row r="1023" spans="1:12" x14ac:dyDescent="0.35">
      <c r="A1023" t="str">
        <f t="shared" si="373"/>
        <v>OFC NAV INTELLIGENCE</v>
      </c>
      <c r="B1023" t="str">
        <f t="shared" si="369"/>
        <v>4251 SUITLAND ROAD</v>
      </c>
      <c r="C1023" t="str">
        <f t="shared" si="370"/>
        <v/>
      </c>
      <c r="D1023" t="str">
        <f t="shared" si="365"/>
        <v>WASHINGTON</v>
      </c>
      <c r="E1023" t="str">
        <f t="shared" si="366"/>
        <v>DC</v>
      </c>
      <c r="F1023" t="str">
        <f t="shared" si="367"/>
        <v>203950001</v>
      </c>
      <c r="G1023" t="str">
        <f t="shared" si="374"/>
        <v>4251 SUITLAND ROAD</v>
      </c>
      <c r="H1023" t="str">
        <f t="shared" si="375"/>
        <v/>
      </c>
      <c r="I1023" t="str">
        <f t="shared" si="371"/>
        <v>WASHINGTON</v>
      </c>
      <c r="J1023" t="str">
        <f t="shared" si="372"/>
        <v>DC</v>
      </c>
      <c r="K1023" t="str">
        <f>T("")</f>
        <v/>
      </c>
      <c r="L1023" t="str">
        <f>T("3016694316")</f>
        <v>3016694316</v>
      </c>
    </row>
    <row r="1024" spans="1:12" x14ac:dyDescent="0.35">
      <c r="A1024" t="str">
        <f t="shared" si="373"/>
        <v>OFC NAV INTELLIGENCE</v>
      </c>
      <c r="B1024" t="str">
        <f t="shared" si="369"/>
        <v>4251 SUITLAND ROAD</v>
      </c>
      <c r="C1024" t="str">
        <f t="shared" si="370"/>
        <v/>
      </c>
      <c r="D1024" t="str">
        <f t="shared" si="365"/>
        <v>WASHINGTON</v>
      </c>
      <c r="E1024" t="str">
        <f t="shared" si="366"/>
        <v>DC</v>
      </c>
      <c r="F1024" t="str">
        <f t="shared" si="367"/>
        <v>203950001</v>
      </c>
      <c r="G1024" t="str">
        <f t="shared" si="374"/>
        <v>4251 SUITLAND ROAD</v>
      </c>
      <c r="H1024" t="str">
        <f t="shared" si="375"/>
        <v/>
      </c>
      <c r="I1024" t="str">
        <f t="shared" si="371"/>
        <v>WASHINGTON</v>
      </c>
      <c r="J1024" t="str">
        <f t="shared" si="372"/>
        <v>DC</v>
      </c>
      <c r="K1024" t="str">
        <f>T("000000000000000000")</f>
        <v>000000000000000000</v>
      </c>
      <c r="L1024" t="str">
        <f>T("3016692041")</f>
        <v>3016692041</v>
      </c>
    </row>
    <row r="1025" spans="1:12" x14ac:dyDescent="0.35">
      <c r="A1025" t="str">
        <f t="shared" si="373"/>
        <v>OFC NAV INTELLIGENCE</v>
      </c>
      <c r="B1025" t="str">
        <f t="shared" si="369"/>
        <v>4251 SUITLAND ROAD</v>
      </c>
      <c r="C1025" t="str">
        <f t="shared" si="370"/>
        <v/>
      </c>
      <c r="D1025" t="str">
        <f t="shared" si="365"/>
        <v>WASHINGTON</v>
      </c>
      <c r="E1025" t="str">
        <f t="shared" si="366"/>
        <v>DC</v>
      </c>
      <c r="F1025" t="str">
        <f t="shared" si="367"/>
        <v>203950001</v>
      </c>
      <c r="G1025" t="str">
        <f t="shared" si="374"/>
        <v>4251 SUITLAND ROAD</v>
      </c>
      <c r="H1025" t="str">
        <f t="shared" si="375"/>
        <v/>
      </c>
      <c r="I1025" t="str">
        <f t="shared" si="371"/>
        <v>WASHINGTON</v>
      </c>
      <c r="J1025" t="str">
        <f t="shared" si="372"/>
        <v>DC</v>
      </c>
      <c r="K1025" t="str">
        <f>T("000000000000000000")</f>
        <v>000000000000000000</v>
      </c>
      <c r="L1025" t="str">
        <f>T("3016693039")</f>
        <v>3016693039</v>
      </c>
    </row>
    <row r="1026" spans="1:12" x14ac:dyDescent="0.35">
      <c r="A1026" t="str">
        <f t="shared" si="373"/>
        <v>OFC NAV INTELLIGENCE</v>
      </c>
      <c r="B1026" t="str">
        <f t="shared" si="369"/>
        <v>4251 SUITLAND ROAD</v>
      </c>
      <c r="C1026" t="str">
        <f t="shared" si="370"/>
        <v/>
      </c>
      <c r="D1026" t="str">
        <f t="shared" si="365"/>
        <v>WASHINGTON</v>
      </c>
      <c r="E1026" t="str">
        <f t="shared" si="366"/>
        <v>DC</v>
      </c>
      <c r="F1026" t="str">
        <f t="shared" si="367"/>
        <v>203950001</v>
      </c>
      <c r="G1026" t="str">
        <f t="shared" si="374"/>
        <v>4251 SUITLAND ROAD</v>
      </c>
      <c r="H1026" t="str">
        <f t="shared" si="375"/>
        <v/>
      </c>
      <c r="I1026" t="str">
        <f t="shared" si="371"/>
        <v>WASHINGTON</v>
      </c>
      <c r="J1026" t="str">
        <f t="shared" si="372"/>
        <v>DC</v>
      </c>
      <c r="K1026" t="str">
        <f>T("000000000000000000")</f>
        <v>000000000000000000</v>
      </c>
      <c r="L1026" t="str">
        <f>T("3016693184")</f>
        <v>3016693184</v>
      </c>
    </row>
    <row r="1027" spans="1:12" x14ac:dyDescent="0.35">
      <c r="A1027" t="str">
        <f t="shared" si="373"/>
        <v>OFC NAV INTELLIGENCE</v>
      </c>
      <c r="B1027" t="str">
        <f t="shared" si="369"/>
        <v>4251 SUITLAND ROAD</v>
      </c>
      <c r="C1027" t="str">
        <f t="shared" si="370"/>
        <v/>
      </c>
      <c r="D1027" t="str">
        <f t="shared" si="365"/>
        <v>WASHINGTON</v>
      </c>
      <c r="E1027" t="str">
        <f t="shared" si="366"/>
        <v>DC</v>
      </c>
      <c r="F1027" t="str">
        <f t="shared" si="367"/>
        <v>203950001</v>
      </c>
      <c r="G1027" t="str">
        <f t="shared" si="374"/>
        <v>4251 SUITLAND ROAD</v>
      </c>
      <c r="H1027" t="str">
        <f t="shared" si="375"/>
        <v/>
      </c>
      <c r="I1027" t="str">
        <f t="shared" si="371"/>
        <v>WASHINGTON</v>
      </c>
      <c r="J1027" t="str">
        <f t="shared" si="372"/>
        <v>DC</v>
      </c>
      <c r="K1027" t="str">
        <f>T("000000000000000000")</f>
        <v>000000000000000000</v>
      </c>
      <c r="L1027" t="str">
        <f>T("3016694398")</f>
        <v>3016694398</v>
      </c>
    </row>
    <row r="1028" spans="1:12" x14ac:dyDescent="0.35">
      <c r="A1028" t="str">
        <f t="shared" si="373"/>
        <v>OFC NAV INTELLIGENCE</v>
      </c>
      <c r="B1028" t="str">
        <f t="shared" si="369"/>
        <v>4251 SUITLAND ROAD</v>
      </c>
      <c r="C1028" t="str">
        <f t="shared" si="370"/>
        <v/>
      </c>
      <c r="D1028" t="str">
        <f t="shared" si="365"/>
        <v>WASHINGTON</v>
      </c>
      <c r="E1028" t="str">
        <f t="shared" si="366"/>
        <v>DC</v>
      </c>
      <c r="F1028" t="str">
        <f t="shared" si="367"/>
        <v>203950001</v>
      </c>
      <c r="G1028" t="str">
        <f t="shared" si="374"/>
        <v>4251 SUITLAND ROAD</v>
      </c>
      <c r="H1028" t="str">
        <f t="shared" si="375"/>
        <v/>
      </c>
      <c r="I1028" t="str">
        <f t="shared" si="371"/>
        <v>WASHINGTON</v>
      </c>
      <c r="J1028" t="str">
        <f t="shared" si="372"/>
        <v>DC</v>
      </c>
      <c r="K1028" t="str">
        <f>T("301-669-3696")</f>
        <v>301-669-3696</v>
      </c>
      <c r="L1028" t="str">
        <f>T("3016694916")</f>
        <v>3016694916</v>
      </c>
    </row>
    <row r="1029" spans="1:12" x14ac:dyDescent="0.35">
      <c r="A1029" t="str">
        <f t="shared" si="373"/>
        <v>OFC NAV INTELLIGENCE</v>
      </c>
      <c r="B1029" t="str">
        <f t="shared" si="369"/>
        <v>4251 SUITLAND ROAD</v>
      </c>
      <c r="C1029" t="str">
        <f t="shared" si="370"/>
        <v/>
      </c>
      <c r="D1029" t="str">
        <f t="shared" ref="D1029:D1060" si="376">T("WASHINGTON")</f>
        <v>WASHINGTON</v>
      </c>
      <c r="E1029" t="str">
        <f t="shared" ref="E1029:E1060" si="377">T("DC")</f>
        <v>DC</v>
      </c>
      <c r="F1029" t="str">
        <f t="shared" ref="F1029:F1060" si="378">T("203950001")</f>
        <v>203950001</v>
      </c>
      <c r="G1029" t="str">
        <f t="shared" si="374"/>
        <v>4251 SUITLAND ROAD</v>
      </c>
      <c r="H1029" t="str">
        <f t="shared" si="375"/>
        <v/>
      </c>
      <c r="I1029" t="str">
        <f t="shared" si="371"/>
        <v>WASHINGTON</v>
      </c>
      <c r="J1029" t="str">
        <f t="shared" si="372"/>
        <v>DC</v>
      </c>
      <c r="K1029" t="str">
        <f>T("301-669-3738")</f>
        <v>301-669-3738</v>
      </c>
      <c r="L1029" t="str">
        <f>T("3016694044")</f>
        <v>3016694044</v>
      </c>
    </row>
    <row r="1030" spans="1:12" x14ac:dyDescent="0.35">
      <c r="A1030" t="str">
        <f t="shared" si="373"/>
        <v>OFC NAV INTELLIGENCE</v>
      </c>
      <c r="B1030" t="str">
        <f t="shared" si="369"/>
        <v>4251 SUITLAND ROAD</v>
      </c>
      <c r="C1030" t="str">
        <f t="shared" si="370"/>
        <v/>
      </c>
      <c r="D1030" t="str">
        <f t="shared" si="376"/>
        <v>WASHINGTON</v>
      </c>
      <c r="E1030" t="str">
        <f t="shared" si="377"/>
        <v>DC</v>
      </c>
      <c r="F1030" t="str">
        <f t="shared" si="378"/>
        <v>203950001</v>
      </c>
      <c r="G1030" t="str">
        <f t="shared" si="374"/>
        <v>4251 SUITLAND ROAD</v>
      </c>
      <c r="H1030" t="str">
        <f t="shared" si="375"/>
        <v/>
      </c>
      <c r="I1030" t="str">
        <f t="shared" si="371"/>
        <v>WASHINGTON</v>
      </c>
      <c r="J1030" t="str">
        <f t="shared" si="372"/>
        <v>DC</v>
      </c>
      <c r="K1030" t="str">
        <f>T("3016693234")</f>
        <v>3016693234</v>
      </c>
      <c r="L1030" t="str">
        <f>T("3016693039")</f>
        <v>3016693039</v>
      </c>
    </row>
    <row r="1031" spans="1:12" x14ac:dyDescent="0.35">
      <c r="A1031" t="str">
        <f t="shared" si="373"/>
        <v>OFC NAV INTELLIGENCE</v>
      </c>
      <c r="B1031" t="str">
        <f t="shared" si="369"/>
        <v>4251 SUITLAND ROAD</v>
      </c>
      <c r="C1031" t="str">
        <f t="shared" si="370"/>
        <v/>
      </c>
      <c r="D1031" t="str">
        <f t="shared" si="376"/>
        <v>WASHINGTON</v>
      </c>
      <c r="E1031" t="str">
        <f t="shared" si="377"/>
        <v>DC</v>
      </c>
      <c r="F1031" t="str">
        <f t="shared" si="378"/>
        <v>203950001</v>
      </c>
      <c r="G1031" t="str">
        <f t="shared" si="374"/>
        <v>4251 SUITLAND ROAD</v>
      </c>
      <c r="H1031" t="str">
        <f t="shared" si="375"/>
        <v/>
      </c>
      <c r="I1031" t="str">
        <f t="shared" si="371"/>
        <v>WASHINGTON</v>
      </c>
      <c r="J1031" t="str">
        <f t="shared" si="372"/>
        <v>DC</v>
      </c>
      <c r="K1031" t="str">
        <f>T("3016693234")</f>
        <v>3016693234</v>
      </c>
      <c r="L1031" t="str">
        <f>T("3016694826")</f>
        <v>3016694826</v>
      </c>
    </row>
    <row r="1032" spans="1:12" x14ac:dyDescent="0.35">
      <c r="A1032" t="str">
        <f t="shared" si="373"/>
        <v>OFC NAV INTELLIGENCE</v>
      </c>
      <c r="B1032" t="str">
        <f t="shared" si="369"/>
        <v>4251 SUITLAND ROAD</v>
      </c>
      <c r="C1032" t="str">
        <f t="shared" si="370"/>
        <v/>
      </c>
      <c r="D1032" t="str">
        <f t="shared" si="376"/>
        <v>WASHINGTON</v>
      </c>
      <c r="E1032" t="str">
        <f t="shared" si="377"/>
        <v>DC</v>
      </c>
      <c r="F1032" t="str">
        <f t="shared" si="378"/>
        <v>203950001</v>
      </c>
      <c r="G1032" t="str">
        <f t="shared" si="374"/>
        <v>4251 SUITLAND ROAD</v>
      </c>
      <c r="H1032" t="str">
        <f t="shared" si="375"/>
        <v/>
      </c>
      <c r="I1032" t="str">
        <f t="shared" si="371"/>
        <v>WASHINGTON</v>
      </c>
      <c r="J1032" t="str">
        <f t="shared" si="372"/>
        <v>DC</v>
      </c>
      <c r="K1032" t="str">
        <f>T("3016693234")</f>
        <v>3016693234</v>
      </c>
      <c r="L1032" t="str">
        <f>T("3016695549")</f>
        <v>3016695549</v>
      </c>
    </row>
    <row r="1033" spans="1:12" x14ac:dyDescent="0.35">
      <c r="A1033" t="str">
        <f t="shared" si="373"/>
        <v>OFC NAV INTELLIGENCE</v>
      </c>
      <c r="B1033" t="str">
        <f t="shared" si="369"/>
        <v>4251 SUITLAND ROAD</v>
      </c>
      <c r="C1033" t="str">
        <f t="shared" si="370"/>
        <v/>
      </c>
      <c r="D1033" t="str">
        <f t="shared" si="376"/>
        <v>WASHINGTON</v>
      </c>
      <c r="E1033" t="str">
        <f t="shared" si="377"/>
        <v>DC</v>
      </c>
      <c r="F1033" t="str">
        <f t="shared" si="378"/>
        <v>203950001</v>
      </c>
      <c r="G1033" t="str">
        <f t="shared" si="374"/>
        <v>4251 SUITLAND ROAD</v>
      </c>
      <c r="H1033" t="str">
        <f t="shared" si="375"/>
        <v/>
      </c>
      <c r="I1033" t="str">
        <f t="shared" si="371"/>
        <v>WASHINGTON</v>
      </c>
      <c r="J1033" t="str">
        <f t="shared" si="372"/>
        <v>DC</v>
      </c>
      <c r="K1033" t="str">
        <f>T("3016693247")</f>
        <v>3016693247</v>
      </c>
      <c r="L1033" t="str">
        <f>T("3016693062")</f>
        <v>3016693062</v>
      </c>
    </row>
    <row r="1034" spans="1:12" x14ac:dyDescent="0.35">
      <c r="A1034" t="str">
        <f t="shared" si="373"/>
        <v>OFC NAV INTELLIGENCE</v>
      </c>
      <c r="B1034" t="str">
        <f t="shared" si="369"/>
        <v>4251 SUITLAND ROAD</v>
      </c>
      <c r="C1034" t="str">
        <f t="shared" si="370"/>
        <v/>
      </c>
      <c r="D1034" t="str">
        <f t="shared" si="376"/>
        <v>WASHINGTON</v>
      </c>
      <c r="E1034" t="str">
        <f t="shared" si="377"/>
        <v>DC</v>
      </c>
      <c r="F1034" t="str">
        <f t="shared" si="378"/>
        <v>203950001</v>
      </c>
      <c r="G1034" t="str">
        <f t="shared" si="374"/>
        <v>4251 SUITLAND ROAD</v>
      </c>
      <c r="H1034" t="str">
        <f t="shared" si="375"/>
        <v/>
      </c>
      <c r="I1034" t="str">
        <f t="shared" si="371"/>
        <v>WASHINGTON</v>
      </c>
      <c r="J1034" t="str">
        <f t="shared" si="372"/>
        <v>DC</v>
      </c>
      <c r="K1034" t="str">
        <f>T("3016693247")</f>
        <v>3016693247</v>
      </c>
      <c r="L1034" t="str">
        <f>T("3016694157")</f>
        <v>3016694157</v>
      </c>
    </row>
    <row r="1035" spans="1:12" x14ac:dyDescent="0.35">
      <c r="A1035" t="str">
        <f t="shared" si="373"/>
        <v>OFC NAV INTELLIGENCE</v>
      </c>
      <c r="B1035" t="str">
        <f t="shared" si="369"/>
        <v>4251 SUITLAND ROAD</v>
      </c>
      <c r="C1035" t="str">
        <f t="shared" si="370"/>
        <v/>
      </c>
      <c r="D1035" t="str">
        <f t="shared" si="376"/>
        <v>WASHINGTON</v>
      </c>
      <c r="E1035" t="str">
        <f t="shared" si="377"/>
        <v>DC</v>
      </c>
      <c r="F1035" t="str">
        <f t="shared" si="378"/>
        <v>203950001</v>
      </c>
      <c r="G1035" t="str">
        <f t="shared" si="374"/>
        <v>4251 SUITLAND ROAD</v>
      </c>
      <c r="H1035" t="str">
        <f t="shared" si="375"/>
        <v/>
      </c>
      <c r="I1035" t="str">
        <f t="shared" si="371"/>
        <v>WASHINGTON</v>
      </c>
      <c r="J1035" t="str">
        <f t="shared" si="372"/>
        <v>DC</v>
      </c>
      <c r="K1035" t="str">
        <f>T("3016693308")</f>
        <v>3016693308</v>
      </c>
      <c r="L1035" t="str">
        <f>T("3016692569")</f>
        <v>3016692569</v>
      </c>
    </row>
    <row r="1036" spans="1:12" x14ac:dyDescent="0.35">
      <c r="A1036" t="str">
        <f t="shared" si="373"/>
        <v>OFC NAV INTELLIGENCE</v>
      </c>
      <c r="B1036" t="str">
        <f t="shared" si="369"/>
        <v>4251 SUITLAND ROAD</v>
      </c>
      <c r="C1036" t="str">
        <f t="shared" si="370"/>
        <v/>
      </c>
      <c r="D1036" t="str">
        <f t="shared" si="376"/>
        <v>WASHINGTON</v>
      </c>
      <c r="E1036" t="str">
        <f t="shared" si="377"/>
        <v>DC</v>
      </c>
      <c r="F1036" t="str">
        <f t="shared" si="378"/>
        <v>203950001</v>
      </c>
      <c r="G1036" t="str">
        <f t="shared" si="374"/>
        <v>4251 SUITLAND ROAD</v>
      </c>
      <c r="H1036" t="str">
        <f t="shared" si="375"/>
        <v/>
      </c>
      <c r="I1036" t="str">
        <f t="shared" si="371"/>
        <v>WASHINGTON</v>
      </c>
      <c r="J1036" t="str">
        <f t="shared" si="372"/>
        <v>DC</v>
      </c>
      <c r="K1036" t="str">
        <f>T("3016693467")</f>
        <v>3016693467</v>
      </c>
      <c r="L1036" t="str">
        <f>T("3016695709")</f>
        <v>3016695709</v>
      </c>
    </row>
    <row r="1037" spans="1:12" x14ac:dyDescent="0.35">
      <c r="A1037" t="str">
        <f t="shared" si="373"/>
        <v>OFC NAV INTELLIGENCE</v>
      </c>
      <c r="B1037" t="str">
        <f t="shared" si="369"/>
        <v>4251 SUITLAND ROAD</v>
      </c>
      <c r="C1037" t="str">
        <f t="shared" si="370"/>
        <v/>
      </c>
      <c r="D1037" t="str">
        <f t="shared" si="376"/>
        <v>WASHINGTON</v>
      </c>
      <c r="E1037" t="str">
        <f t="shared" si="377"/>
        <v>DC</v>
      </c>
      <c r="F1037" t="str">
        <f t="shared" si="378"/>
        <v>203950001</v>
      </c>
      <c r="G1037" t="str">
        <f t="shared" si="374"/>
        <v>4251 SUITLAND ROAD</v>
      </c>
      <c r="H1037" t="str">
        <f t="shared" si="375"/>
        <v/>
      </c>
      <c r="I1037" t="str">
        <f t="shared" si="371"/>
        <v>WASHINGTON</v>
      </c>
      <c r="J1037" t="str">
        <f t="shared" si="372"/>
        <v>DC</v>
      </c>
      <c r="K1037" t="str">
        <f>T("3016693509")</f>
        <v>3016693509</v>
      </c>
      <c r="L1037" t="str">
        <f>T("3016693432")</f>
        <v>3016693432</v>
      </c>
    </row>
    <row r="1038" spans="1:12" x14ac:dyDescent="0.35">
      <c r="A1038" t="str">
        <f t="shared" si="373"/>
        <v>OFC NAV INTELLIGENCE</v>
      </c>
      <c r="B1038" t="str">
        <f t="shared" si="369"/>
        <v>4251 SUITLAND ROAD</v>
      </c>
      <c r="C1038" t="str">
        <f t="shared" si="370"/>
        <v/>
      </c>
      <c r="D1038" t="str">
        <f t="shared" si="376"/>
        <v>WASHINGTON</v>
      </c>
      <c r="E1038" t="str">
        <f t="shared" si="377"/>
        <v>DC</v>
      </c>
      <c r="F1038" t="str">
        <f t="shared" si="378"/>
        <v>203950001</v>
      </c>
      <c r="G1038" t="str">
        <f t="shared" si="374"/>
        <v>4251 SUITLAND ROAD</v>
      </c>
      <c r="H1038" t="str">
        <f t="shared" si="375"/>
        <v/>
      </c>
      <c r="I1038" t="str">
        <f t="shared" si="371"/>
        <v>WASHINGTON</v>
      </c>
      <c r="J1038" t="str">
        <f t="shared" si="372"/>
        <v>DC</v>
      </c>
      <c r="K1038" t="str">
        <f>T("3016693609")</f>
        <v>3016693609</v>
      </c>
      <c r="L1038" t="str">
        <f>T("3016695144")</f>
        <v>3016695144</v>
      </c>
    </row>
    <row r="1039" spans="1:12" x14ac:dyDescent="0.35">
      <c r="A1039" t="str">
        <f t="shared" si="373"/>
        <v>OFC NAV INTELLIGENCE</v>
      </c>
      <c r="B1039" t="str">
        <f t="shared" si="369"/>
        <v>4251 SUITLAND ROAD</v>
      </c>
      <c r="C1039" t="str">
        <f t="shared" si="370"/>
        <v/>
      </c>
      <c r="D1039" t="str">
        <f t="shared" si="376"/>
        <v>WASHINGTON</v>
      </c>
      <c r="E1039" t="str">
        <f t="shared" si="377"/>
        <v>DC</v>
      </c>
      <c r="F1039" t="str">
        <f t="shared" si="378"/>
        <v>203950001</v>
      </c>
      <c r="G1039" t="str">
        <f t="shared" si="374"/>
        <v>4251 SUITLAND ROAD</v>
      </c>
      <c r="H1039" t="str">
        <f t="shared" si="375"/>
        <v/>
      </c>
      <c r="I1039" t="str">
        <f t="shared" si="371"/>
        <v>WASHINGTON</v>
      </c>
      <c r="J1039" t="str">
        <f t="shared" si="372"/>
        <v>DC</v>
      </c>
      <c r="K1039" t="str">
        <f>T("3016693671")</f>
        <v>3016693671</v>
      </c>
      <c r="L1039" t="str">
        <f>T("3016693849")</f>
        <v>3016693849</v>
      </c>
    </row>
    <row r="1040" spans="1:12" x14ac:dyDescent="0.35">
      <c r="A1040" t="str">
        <f t="shared" si="373"/>
        <v>OFC NAV INTELLIGENCE</v>
      </c>
      <c r="B1040" t="str">
        <f t="shared" si="369"/>
        <v>4251 SUITLAND ROAD</v>
      </c>
      <c r="C1040" t="str">
        <f t="shared" si="370"/>
        <v/>
      </c>
      <c r="D1040" t="str">
        <f t="shared" si="376"/>
        <v>WASHINGTON</v>
      </c>
      <c r="E1040" t="str">
        <f t="shared" si="377"/>
        <v>DC</v>
      </c>
      <c r="F1040" t="str">
        <f t="shared" si="378"/>
        <v>203950001</v>
      </c>
      <c r="G1040" t="str">
        <f t="shared" si="374"/>
        <v>4251 SUITLAND ROAD</v>
      </c>
      <c r="H1040" t="str">
        <f t="shared" si="375"/>
        <v/>
      </c>
      <c r="I1040" t="str">
        <f t="shared" si="371"/>
        <v>WASHINGTON</v>
      </c>
      <c r="J1040" t="str">
        <f t="shared" si="372"/>
        <v>DC</v>
      </c>
      <c r="K1040" t="str">
        <f t="shared" ref="K1040:K1045" si="379">T("3016693738")</f>
        <v>3016693738</v>
      </c>
      <c r="L1040" t="str">
        <f>T("3016693306")</f>
        <v>3016693306</v>
      </c>
    </row>
    <row r="1041" spans="1:12" x14ac:dyDescent="0.35">
      <c r="A1041" t="str">
        <f t="shared" si="373"/>
        <v>OFC NAV INTELLIGENCE</v>
      </c>
      <c r="B1041" t="str">
        <f t="shared" si="369"/>
        <v>4251 SUITLAND ROAD</v>
      </c>
      <c r="C1041" t="str">
        <f t="shared" si="370"/>
        <v/>
      </c>
      <c r="D1041" t="str">
        <f t="shared" si="376"/>
        <v>WASHINGTON</v>
      </c>
      <c r="E1041" t="str">
        <f t="shared" si="377"/>
        <v>DC</v>
      </c>
      <c r="F1041" t="str">
        <f t="shared" si="378"/>
        <v>203950001</v>
      </c>
      <c r="G1041" t="str">
        <f t="shared" si="374"/>
        <v>4251 SUITLAND ROAD</v>
      </c>
      <c r="H1041" t="str">
        <f t="shared" si="375"/>
        <v/>
      </c>
      <c r="I1041" t="str">
        <f t="shared" si="371"/>
        <v>WASHINGTON</v>
      </c>
      <c r="J1041" t="str">
        <f t="shared" si="372"/>
        <v>DC</v>
      </c>
      <c r="K1041" t="str">
        <f t="shared" si="379"/>
        <v>3016693738</v>
      </c>
      <c r="L1041" t="str">
        <f>T("3016693974")</f>
        <v>3016693974</v>
      </c>
    </row>
    <row r="1042" spans="1:12" x14ac:dyDescent="0.35">
      <c r="A1042" t="str">
        <f t="shared" si="373"/>
        <v>OFC NAV INTELLIGENCE</v>
      </c>
      <c r="B1042" t="str">
        <f t="shared" si="369"/>
        <v>4251 SUITLAND ROAD</v>
      </c>
      <c r="C1042" t="str">
        <f t="shared" si="370"/>
        <v/>
      </c>
      <c r="D1042" t="str">
        <f t="shared" si="376"/>
        <v>WASHINGTON</v>
      </c>
      <c r="E1042" t="str">
        <f t="shared" si="377"/>
        <v>DC</v>
      </c>
      <c r="F1042" t="str">
        <f t="shared" si="378"/>
        <v>203950001</v>
      </c>
      <c r="G1042" t="str">
        <f t="shared" si="374"/>
        <v>4251 SUITLAND ROAD</v>
      </c>
      <c r="H1042" t="str">
        <f t="shared" si="375"/>
        <v/>
      </c>
      <c r="I1042" t="str">
        <f t="shared" si="371"/>
        <v>WASHINGTON</v>
      </c>
      <c r="J1042" t="str">
        <f t="shared" si="372"/>
        <v>DC</v>
      </c>
      <c r="K1042" t="str">
        <f t="shared" si="379"/>
        <v>3016693738</v>
      </c>
      <c r="L1042" t="str">
        <f>T("3016694726")</f>
        <v>3016694726</v>
      </c>
    </row>
    <row r="1043" spans="1:12" x14ac:dyDescent="0.35">
      <c r="A1043" t="str">
        <f t="shared" si="373"/>
        <v>OFC NAV INTELLIGENCE</v>
      </c>
      <c r="B1043" t="str">
        <f t="shared" si="369"/>
        <v>4251 SUITLAND ROAD</v>
      </c>
      <c r="C1043" t="str">
        <f t="shared" si="370"/>
        <v/>
      </c>
      <c r="D1043" t="str">
        <f t="shared" si="376"/>
        <v>WASHINGTON</v>
      </c>
      <c r="E1043" t="str">
        <f t="shared" si="377"/>
        <v>DC</v>
      </c>
      <c r="F1043" t="str">
        <f t="shared" si="378"/>
        <v>203950001</v>
      </c>
      <c r="G1043" t="str">
        <f t="shared" si="374"/>
        <v>4251 SUITLAND ROAD</v>
      </c>
      <c r="H1043" t="str">
        <f t="shared" si="375"/>
        <v/>
      </c>
      <c r="I1043" t="str">
        <f t="shared" si="371"/>
        <v>WASHINGTON</v>
      </c>
      <c r="J1043" t="str">
        <f t="shared" si="372"/>
        <v>DC</v>
      </c>
      <c r="K1043" t="str">
        <f t="shared" si="379"/>
        <v>3016693738</v>
      </c>
      <c r="L1043" t="str">
        <f>T("3016694775")</f>
        <v>3016694775</v>
      </c>
    </row>
    <row r="1044" spans="1:12" x14ac:dyDescent="0.35">
      <c r="A1044" t="str">
        <f t="shared" si="373"/>
        <v>OFC NAV INTELLIGENCE</v>
      </c>
      <c r="B1044" t="str">
        <f t="shared" si="369"/>
        <v>4251 SUITLAND ROAD</v>
      </c>
      <c r="C1044" t="str">
        <f t="shared" si="370"/>
        <v/>
      </c>
      <c r="D1044" t="str">
        <f t="shared" si="376"/>
        <v>WASHINGTON</v>
      </c>
      <c r="E1044" t="str">
        <f t="shared" si="377"/>
        <v>DC</v>
      </c>
      <c r="F1044" t="str">
        <f t="shared" si="378"/>
        <v>203950001</v>
      </c>
      <c r="G1044" t="str">
        <f t="shared" si="374"/>
        <v>4251 SUITLAND ROAD</v>
      </c>
      <c r="H1044" t="str">
        <f t="shared" si="375"/>
        <v/>
      </c>
      <c r="I1044" t="str">
        <f t="shared" si="371"/>
        <v>WASHINGTON</v>
      </c>
      <c r="J1044" t="str">
        <f t="shared" si="372"/>
        <v>DC</v>
      </c>
      <c r="K1044" t="str">
        <f t="shared" si="379"/>
        <v>3016693738</v>
      </c>
      <c r="L1044" t="str">
        <f>T("3016694788")</f>
        <v>3016694788</v>
      </c>
    </row>
    <row r="1045" spans="1:12" x14ac:dyDescent="0.35">
      <c r="A1045" t="str">
        <f t="shared" si="373"/>
        <v>OFC NAV INTELLIGENCE</v>
      </c>
      <c r="B1045" t="str">
        <f t="shared" ref="B1045:B1076" si="380">T("4251 SUITLAND ROAD")</f>
        <v>4251 SUITLAND ROAD</v>
      </c>
      <c r="C1045" t="str">
        <f t="shared" ref="C1045:C1076" si="381">T("")</f>
        <v/>
      </c>
      <c r="D1045" t="str">
        <f t="shared" si="376"/>
        <v>WASHINGTON</v>
      </c>
      <c r="E1045" t="str">
        <f t="shared" si="377"/>
        <v>DC</v>
      </c>
      <c r="F1045" t="str">
        <f t="shared" si="378"/>
        <v>203950001</v>
      </c>
      <c r="G1045" t="str">
        <f t="shared" si="374"/>
        <v>4251 SUITLAND ROAD</v>
      </c>
      <c r="H1045" t="str">
        <f t="shared" si="375"/>
        <v/>
      </c>
      <c r="I1045" t="str">
        <f t="shared" si="371"/>
        <v>WASHINGTON</v>
      </c>
      <c r="J1045" t="str">
        <f t="shared" si="372"/>
        <v>DC</v>
      </c>
      <c r="K1045" t="str">
        <f t="shared" si="379"/>
        <v>3016693738</v>
      </c>
      <c r="L1045" t="str">
        <f>T("3016695218")</f>
        <v>3016695218</v>
      </c>
    </row>
    <row r="1046" spans="1:12" x14ac:dyDescent="0.35">
      <c r="A1046" t="str">
        <f t="shared" si="373"/>
        <v>OFC NAV INTELLIGENCE</v>
      </c>
      <c r="B1046" t="str">
        <f t="shared" si="380"/>
        <v>4251 SUITLAND ROAD</v>
      </c>
      <c r="C1046" t="str">
        <f t="shared" si="381"/>
        <v/>
      </c>
      <c r="D1046" t="str">
        <f t="shared" si="376"/>
        <v>WASHINGTON</v>
      </c>
      <c r="E1046" t="str">
        <f t="shared" si="377"/>
        <v>DC</v>
      </c>
      <c r="F1046" t="str">
        <f t="shared" si="378"/>
        <v>203950001</v>
      </c>
      <c r="G1046" t="str">
        <f t="shared" si="374"/>
        <v>4251 SUITLAND ROAD</v>
      </c>
      <c r="H1046" t="str">
        <f t="shared" si="375"/>
        <v/>
      </c>
      <c r="I1046" t="str">
        <f t="shared" si="371"/>
        <v>WASHINGTON</v>
      </c>
      <c r="J1046" t="str">
        <f t="shared" si="372"/>
        <v>DC</v>
      </c>
      <c r="K1046" t="str">
        <f>T("3016693808")</f>
        <v>3016693808</v>
      </c>
      <c r="L1046" t="str">
        <f>T("3016693767")</f>
        <v>3016693767</v>
      </c>
    </row>
    <row r="1047" spans="1:12" x14ac:dyDescent="0.35">
      <c r="A1047" t="str">
        <f t="shared" si="373"/>
        <v>OFC NAV INTELLIGENCE</v>
      </c>
      <c r="B1047" t="str">
        <f t="shared" si="380"/>
        <v>4251 SUITLAND ROAD</v>
      </c>
      <c r="C1047" t="str">
        <f t="shared" si="381"/>
        <v/>
      </c>
      <c r="D1047" t="str">
        <f t="shared" si="376"/>
        <v>WASHINGTON</v>
      </c>
      <c r="E1047" t="str">
        <f t="shared" si="377"/>
        <v>DC</v>
      </c>
      <c r="F1047" t="str">
        <f t="shared" si="378"/>
        <v>203950001</v>
      </c>
      <c r="G1047" t="str">
        <f t="shared" si="374"/>
        <v>4251 SUITLAND ROAD</v>
      </c>
      <c r="H1047" t="str">
        <f t="shared" si="375"/>
        <v/>
      </c>
      <c r="I1047" t="str">
        <f t="shared" si="371"/>
        <v>WASHINGTON</v>
      </c>
      <c r="J1047" t="str">
        <f t="shared" si="372"/>
        <v>DC</v>
      </c>
      <c r="K1047" t="str">
        <f>T("3016694030")</f>
        <v>3016694030</v>
      </c>
      <c r="L1047" t="str">
        <f>T("3016693243")</f>
        <v>3016693243</v>
      </c>
    </row>
    <row r="1048" spans="1:12" x14ac:dyDescent="0.35">
      <c r="A1048" t="str">
        <f t="shared" si="373"/>
        <v>OFC NAV INTELLIGENCE</v>
      </c>
      <c r="B1048" t="str">
        <f t="shared" si="380"/>
        <v>4251 SUITLAND ROAD</v>
      </c>
      <c r="C1048" t="str">
        <f t="shared" si="381"/>
        <v/>
      </c>
      <c r="D1048" t="str">
        <f t="shared" si="376"/>
        <v>WASHINGTON</v>
      </c>
      <c r="E1048" t="str">
        <f t="shared" si="377"/>
        <v>DC</v>
      </c>
      <c r="F1048" t="str">
        <f t="shared" si="378"/>
        <v>203950001</v>
      </c>
      <c r="G1048" t="str">
        <f t="shared" si="374"/>
        <v>4251 SUITLAND ROAD</v>
      </c>
      <c r="H1048" t="str">
        <f t="shared" si="375"/>
        <v/>
      </c>
      <c r="I1048" t="str">
        <f t="shared" ref="I1048:I1076" si="382">T("WASHINGTON")</f>
        <v>WASHINGTON</v>
      </c>
      <c r="J1048" t="str">
        <f t="shared" ref="J1048:J1076" si="383">T("DC")</f>
        <v>DC</v>
      </c>
      <c r="K1048" t="str">
        <f>T("3016694030")</f>
        <v>3016694030</v>
      </c>
      <c r="L1048" t="str">
        <f>T("3016693876")</f>
        <v>3016693876</v>
      </c>
    </row>
    <row r="1049" spans="1:12" x14ac:dyDescent="0.35">
      <c r="A1049" t="str">
        <f t="shared" si="373"/>
        <v>OFC NAV INTELLIGENCE</v>
      </c>
      <c r="B1049" t="str">
        <f t="shared" si="380"/>
        <v>4251 SUITLAND ROAD</v>
      </c>
      <c r="C1049" t="str">
        <f t="shared" si="381"/>
        <v/>
      </c>
      <c r="D1049" t="str">
        <f t="shared" si="376"/>
        <v>WASHINGTON</v>
      </c>
      <c r="E1049" t="str">
        <f t="shared" si="377"/>
        <v>DC</v>
      </c>
      <c r="F1049" t="str">
        <f t="shared" si="378"/>
        <v>203950001</v>
      </c>
      <c r="G1049" t="str">
        <f t="shared" si="374"/>
        <v>4251 SUITLAND ROAD</v>
      </c>
      <c r="H1049" t="str">
        <f t="shared" si="375"/>
        <v/>
      </c>
      <c r="I1049" t="str">
        <f t="shared" si="382"/>
        <v>WASHINGTON</v>
      </c>
      <c r="J1049" t="str">
        <f t="shared" si="383"/>
        <v>DC</v>
      </c>
      <c r="K1049" t="str">
        <f>T("3016694046")</f>
        <v>3016694046</v>
      </c>
      <c r="L1049" t="str">
        <f>T("3016693423")</f>
        <v>3016693423</v>
      </c>
    </row>
    <row r="1050" spans="1:12" x14ac:dyDescent="0.35">
      <c r="A1050" t="str">
        <f t="shared" si="373"/>
        <v>OFC NAV INTELLIGENCE</v>
      </c>
      <c r="B1050" t="str">
        <f t="shared" si="380"/>
        <v>4251 SUITLAND ROAD</v>
      </c>
      <c r="C1050" t="str">
        <f t="shared" si="381"/>
        <v/>
      </c>
      <c r="D1050" t="str">
        <f t="shared" si="376"/>
        <v>WASHINGTON</v>
      </c>
      <c r="E1050" t="str">
        <f t="shared" si="377"/>
        <v>DC</v>
      </c>
      <c r="F1050" t="str">
        <f t="shared" si="378"/>
        <v>203950001</v>
      </c>
      <c r="G1050" t="str">
        <f t="shared" si="374"/>
        <v>4251 SUITLAND ROAD</v>
      </c>
      <c r="H1050" t="str">
        <f t="shared" si="375"/>
        <v/>
      </c>
      <c r="I1050" t="str">
        <f t="shared" si="382"/>
        <v>WASHINGTON</v>
      </c>
      <c r="J1050" t="str">
        <f t="shared" si="383"/>
        <v>DC</v>
      </c>
      <c r="K1050" t="str">
        <f>T("3016694072")</f>
        <v>3016694072</v>
      </c>
      <c r="L1050" t="str">
        <f>T("3016694516")</f>
        <v>3016694516</v>
      </c>
    </row>
    <row r="1051" spans="1:12" x14ac:dyDescent="0.35">
      <c r="A1051" t="str">
        <f t="shared" ref="A1051:A1082" si="384">T("OFC NAV INTELLIGENCE")</f>
        <v>OFC NAV INTELLIGENCE</v>
      </c>
      <c r="B1051" t="str">
        <f t="shared" si="380"/>
        <v>4251 SUITLAND ROAD</v>
      </c>
      <c r="C1051" t="str">
        <f t="shared" si="381"/>
        <v/>
      </c>
      <c r="D1051" t="str">
        <f t="shared" si="376"/>
        <v>WASHINGTON</v>
      </c>
      <c r="E1051" t="str">
        <f t="shared" si="377"/>
        <v>DC</v>
      </c>
      <c r="F1051" t="str">
        <f t="shared" si="378"/>
        <v>203950001</v>
      </c>
      <c r="G1051" t="str">
        <f t="shared" si="374"/>
        <v>4251 SUITLAND ROAD</v>
      </c>
      <c r="H1051" t="str">
        <f t="shared" si="375"/>
        <v/>
      </c>
      <c r="I1051" t="str">
        <f t="shared" si="382"/>
        <v>WASHINGTON</v>
      </c>
      <c r="J1051" t="str">
        <f t="shared" si="383"/>
        <v>DC</v>
      </c>
      <c r="K1051" t="str">
        <f>T("3016694146")</f>
        <v>3016694146</v>
      </c>
      <c r="L1051" t="str">
        <f>T("3016693978")</f>
        <v>3016693978</v>
      </c>
    </row>
    <row r="1052" spans="1:12" x14ac:dyDescent="0.35">
      <c r="A1052" t="str">
        <f t="shared" si="384"/>
        <v>OFC NAV INTELLIGENCE</v>
      </c>
      <c r="B1052" t="str">
        <f t="shared" si="380"/>
        <v>4251 SUITLAND ROAD</v>
      </c>
      <c r="C1052" t="str">
        <f t="shared" si="381"/>
        <v/>
      </c>
      <c r="D1052" t="str">
        <f t="shared" si="376"/>
        <v>WASHINGTON</v>
      </c>
      <c r="E1052" t="str">
        <f t="shared" si="377"/>
        <v>DC</v>
      </c>
      <c r="F1052" t="str">
        <f t="shared" si="378"/>
        <v>203950001</v>
      </c>
      <c r="G1052" t="str">
        <f t="shared" si="374"/>
        <v>4251 SUITLAND ROAD</v>
      </c>
      <c r="H1052" t="str">
        <f t="shared" si="375"/>
        <v/>
      </c>
      <c r="I1052" t="str">
        <f t="shared" si="382"/>
        <v>WASHINGTON</v>
      </c>
      <c r="J1052" t="str">
        <f t="shared" si="383"/>
        <v>DC</v>
      </c>
      <c r="K1052" t="str">
        <f>T("3016694146")</f>
        <v>3016694146</v>
      </c>
      <c r="L1052" t="str">
        <f>T("3016695892")</f>
        <v>3016695892</v>
      </c>
    </row>
    <row r="1053" spans="1:12" x14ac:dyDescent="0.35">
      <c r="A1053" t="str">
        <f t="shared" si="384"/>
        <v>OFC NAV INTELLIGENCE</v>
      </c>
      <c r="B1053" t="str">
        <f t="shared" si="380"/>
        <v>4251 SUITLAND ROAD</v>
      </c>
      <c r="C1053" t="str">
        <f t="shared" si="381"/>
        <v/>
      </c>
      <c r="D1053" t="str">
        <f t="shared" si="376"/>
        <v>WASHINGTON</v>
      </c>
      <c r="E1053" t="str">
        <f t="shared" si="377"/>
        <v>DC</v>
      </c>
      <c r="F1053" t="str">
        <f t="shared" si="378"/>
        <v>203950001</v>
      </c>
      <c r="G1053" t="str">
        <f t="shared" ref="G1053:G1076" si="385">T("4251 SUITLAND ROAD")</f>
        <v>4251 SUITLAND ROAD</v>
      </c>
      <c r="H1053" t="str">
        <f t="shared" ref="H1053:H1069" si="386">T("")</f>
        <v/>
      </c>
      <c r="I1053" t="str">
        <f t="shared" si="382"/>
        <v>WASHINGTON</v>
      </c>
      <c r="J1053" t="str">
        <f t="shared" si="383"/>
        <v>DC</v>
      </c>
      <c r="K1053" t="str">
        <f>T("3016694146")</f>
        <v>3016694146</v>
      </c>
      <c r="L1053" t="str">
        <f>T("7036046135")</f>
        <v>7036046135</v>
      </c>
    </row>
    <row r="1054" spans="1:12" x14ac:dyDescent="0.35">
      <c r="A1054" t="str">
        <f t="shared" si="384"/>
        <v>OFC NAV INTELLIGENCE</v>
      </c>
      <c r="B1054" t="str">
        <f t="shared" si="380"/>
        <v>4251 SUITLAND ROAD</v>
      </c>
      <c r="C1054" t="str">
        <f t="shared" si="381"/>
        <v/>
      </c>
      <c r="D1054" t="str">
        <f t="shared" si="376"/>
        <v>WASHINGTON</v>
      </c>
      <c r="E1054" t="str">
        <f t="shared" si="377"/>
        <v>DC</v>
      </c>
      <c r="F1054" t="str">
        <f t="shared" si="378"/>
        <v>203950001</v>
      </c>
      <c r="G1054" t="str">
        <f t="shared" si="385"/>
        <v>4251 SUITLAND ROAD</v>
      </c>
      <c r="H1054" t="str">
        <f t="shared" si="386"/>
        <v/>
      </c>
      <c r="I1054" t="str">
        <f t="shared" si="382"/>
        <v>WASHINGTON</v>
      </c>
      <c r="J1054" t="str">
        <f t="shared" si="383"/>
        <v>DC</v>
      </c>
      <c r="K1054" t="str">
        <f>T("3016694305")</f>
        <v>3016694305</v>
      </c>
      <c r="L1054" t="str">
        <f>T("3016692526")</f>
        <v>3016692526</v>
      </c>
    </row>
    <row r="1055" spans="1:12" x14ac:dyDescent="0.35">
      <c r="A1055" t="str">
        <f t="shared" si="384"/>
        <v>OFC NAV INTELLIGENCE</v>
      </c>
      <c r="B1055" t="str">
        <f t="shared" si="380"/>
        <v>4251 SUITLAND ROAD</v>
      </c>
      <c r="C1055" t="str">
        <f t="shared" si="381"/>
        <v/>
      </c>
      <c r="D1055" t="str">
        <f t="shared" si="376"/>
        <v>WASHINGTON</v>
      </c>
      <c r="E1055" t="str">
        <f t="shared" si="377"/>
        <v>DC</v>
      </c>
      <c r="F1055" t="str">
        <f t="shared" si="378"/>
        <v>203950001</v>
      </c>
      <c r="G1055" t="str">
        <f t="shared" si="385"/>
        <v>4251 SUITLAND ROAD</v>
      </c>
      <c r="H1055" t="str">
        <f t="shared" si="386"/>
        <v/>
      </c>
      <c r="I1055" t="str">
        <f t="shared" si="382"/>
        <v>WASHINGTON</v>
      </c>
      <c r="J1055" t="str">
        <f t="shared" si="383"/>
        <v>DC</v>
      </c>
      <c r="K1055" t="str">
        <f>T("3016694305")</f>
        <v>3016694305</v>
      </c>
      <c r="L1055" t="str">
        <f>T("3016695534")</f>
        <v>3016695534</v>
      </c>
    </row>
    <row r="1056" spans="1:12" x14ac:dyDescent="0.35">
      <c r="A1056" t="str">
        <f t="shared" si="384"/>
        <v>OFC NAV INTELLIGENCE</v>
      </c>
      <c r="B1056" t="str">
        <f t="shared" si="380"/>
        <v>4251 SUITLAND ROAD</v>
      </c>
      <c r="C1056" t="str">
        <f t="shared" si="381"/>
        <v/>
      </c>
      <c r="D1056" t="str">
        <f t="shared" si="376"/>
        <v>WASHINGTON</v>
      </c>
      <c r="E1056" t="str">
        <f t="shared" si="377"/>
        <v>DC</v>
      </c>
      <c r="F1056" t="str">
        <f t="shared" si="378"/>
        <v>203950001</v>
      </c>
      <c r="G1056" t="str">
        <f t="shared" si="385"/>
        <v>4251 SUITLAND ROAD</v>
      </c>
      <c r="H1056" t="str">
        <f t="shared" si="386"/>
        <v/>
      </c>
      <c r="I1056" t="str">
        <f t="shared" si="382"/>
        <v>WASHINGTON</v>
      </c>
      <c r="J1056" t="str">
        <f t="shared" si="383"/>
        <v>DC</v>
      </c>
      <c r="K1056" t="str">
        <f>T("3016694305")</f>
        <v>3016694305</v>
      </c>
      <c r="L1056" t="str">
        <f>T("3016995226")</f>
        <v>3016995226</v>
      </c>
    </row>
    <row r="1057" spans="1:12" x14ac:dyDescent="0.35">
      <c r="A1057" t="str">
        <f t="shared" si="384"/>
        <v>OFC NAV INTELLIGENCE</v>
      </c>
      <c r="B1057" t="str">
        <f t="shared" si="380"/>
        <v>4251 SUITLAND ROAD</v>
      </c>
      <c r="C1057" t="str">
        <f t="shared" si="381"/>
        <v/>
      </c>
      <c r="D1057" t="str">
        <f t="shared" si="376"/>
        <v>WASHINGTON</v>
      </c>
      <c r="E1057" t="str">
        <f t="shared" si="377"/>
        <v>DC</v>
      </c>
      <c r="F1057" t="str">
        <f t="shared" si="378"/>
        <v>203950001</v>
      </c>
      <c r="G1057" t="str">
        <f t="shared" si="385"/>
        <v>4251 SUITLAND ROAD</v>
      </c>
      <c r="H1057" t="str">
        <f t="shared" si="386"/>
        <v/>
      </c>
      <c r="I1057" t="str">
        <f t="shared" si="382"/>
        <v>WASHINGTON</v>
      </c>
      <c r="J1057" t="str">
        <f t="shared" si="383"/>
        <v>DC</v>
      </c>
      <c r="K1057" t="str">
        <f>T("3016694683")</f>
        <v>3016694683</v>
      </c>
      <c r="L1057" t="str">
        <f>T("3016692559")</f>
        <v>3016692559</v>
      </c>
    </row>
    <row r="1058" spans="1:12" x14ac:dyDescent="0.35">
      <c r="A1058" t="str">
        <f t="shared" si="384"/>
        <v>OFC NAV INTELLIGENCE</v>
      </c>
      <c r="B1058" t="str">
        <f t="shared" si="380"/>
        <v>4251 SUITLAND ROAD</v>
      </c>
      <c r="C1058" t="str">
        <f t="shared" si="381"/>
        <v/>
      </c>
      <c r="D1058" t="str">
        <f t="shared" si="376"/>
        <v>WASHINGTON</v>
      </c>
      <c r="E1058" t="str">
        <f t="shared" si="377"/>
        <v>DC</v>
      </c>
      <c r="F1058" t="str">
        <f t="shared" si="378"/>
        <v>203950001</v>
      </c>
      <c r="G1058" t="str">
        <f t="shared" si="385"/>
        <v>4251 SUITLAND ROAD</v>
      </c>
      <c r="H1058" t="str">
        <f t="shared" si="386"/>
        <v/>
      </c>
      <c r="I1058" t="str">
        <f t="shared" si="382"/>
        <v>WASHINGTON</v>
      </c>
      <c r="J1058" t="str">
        <f t="shared" si="383"/>
        <v>DC</v>
      </c>
      <c r="K1058" t="str">
        <f>T("3016694683")</f>
        <v>3016694683</v>
      </c>
      <c r="L1058" t="str">
        <f>T("3016694326")</f>
        <v>3016694326</v>
      </c>
    </row>
    <row r="1059" spans="1:12" x14ac:dyDescent="0.35">
      <c r="A1059" t="str">
        <f t="shared" si="384"/>
        <v>OFC NAV INTELLIGENCE</v>
      </c>
      <c r="B1059" t="str">
        <f t="shared" si="380"/>
        <v>4251 SUITLAND ROAD</v>
      </c>
      <c r="C1059" t="str">
        <f t="shared" si="381"/>
        <v/>
      </c>
      <c r="D1059" t="str">
        <f t="shared" si="376"/>
        <v>WASHINGTON</v>
      </c>
      <c r="E1059" t="str">
        <f t="shared" si="377"/>
        <v>DC</v>
      </c>
      <c r="F1059" t="str">
        <f t="shared" si="378"/>
        <v>203950001</v>
      </c>
      <c r="G1059" t="str">
        <f t="shared" si="385"/>
        <v>4251 SUITLAND ROAD</v>
      </c>
      <c r="H1059" t="str">
        <f t="shared" si="386"/>
        <v/>
      </c>
      <c r="I1059" t="str">
        <f t="shared" si="382"/>
        <v>WASHINGTON</v>
      </c>
      <c r="J1059" t="str">
        <f t="shared" si="383"/>
        <v>DC</v>
      </c>
      <c r="K1059" t="str">
        <f>T("3016694683")</f>
        <v>3016694683</v>
      </c>
      <c r="L1059" t="str">
        <f>T("3016694412")</f>
        <v>3016694412</v>
      </c>
    </row>
    <row r="1060" spans="1:12" x14ac:dyDescent="0.35">
      <c r="A1060" t="str">
        <f t="shared" si="384"/>
        <v>OFC NAV INTELLIGENCE</v>
      </c>
      <c r="B1060" t="str">
        <f t="shared" si="380"/>
        <v>4251 SUITLAND ROAD</v>
      </c>
      <c r="C1060" t="str">
        <f t="shared" si="381"/>
        <v/>
      </c>
      <c r="D1060" t="str">
        <f t="shared" si="376"/>
        <v>WASHINGTON</v>
      </c>
      <c r="E1060" t="str">
        <f t="shared" si="377"/>
        <v>DC</v>
      </c>
      <c r="F1060" t="str">
        <f t="shared" si="378"/>
        <v>203950001</v>
      </c>
      <c r="G1060" t="str">
        <f t="shared" si="385"/>
        <v>4251 SUITLAND ROAD</v>
      </c>
      <c r="H1060" t="str">
        <f t="shared" si="386"/>
        <v/>
      </c>
      <c r="I1060" t="str">
        <f t="shared" si="382"/>
        <v>WASHINGTON</v>
      </c>
      <c r="J1060" t="str">
        <f t="shared" si="383"/>
        <v>DC</v>
      </c>
      <c r="K1060" t="str">
        <f>T("3016694683")</f>
        <v>3016694683</v>
      </c>
      <c r="L1060" t="str">
        <f>T("3016695344")</f>
        <v>3016695344</v>
      </c>
    </row>
    <row r="1061" spans="1:12" x14ac:dyDescent="0.35">
      <c r="A1061" t="str">
        <f t="shared" si="384"/>
        <v>OFC NAV INTELLIGENCE</v>
      </c>
      <c r="B1061" t="str">
        <f t="shared" si="380"/>
        <v>4251 SUITLAND ROAD</v>
      </c>
      <c r="C1061" t="str">
        <f t="shared" si="381"/>
        <v/>
      </c>
      <c r="D1061" t="str">
        <f t="shared" ref="D1061:D1082" si="387">T("WASHINGTON")</f>
        <v>WASHINGTON</v>
      </c>
      <c r="E1061" t="str">
        <f t="shared" ref="E1061:E1082" si="388">T("DC")</f>
        <v>DC</v>
      </c>
      <c r="F1061" t="str">
        <f t="shared" ref="F1061:F1082" si="389">T("203950001")</f>
        <v>203950001</v>
      </c>
      <c r="G1061" t="str">
        <f t="shared" si="385"/>
        <v>4251 SUITLAND ROAD</v>
      </c>
      <c r="H1061" t="str">
        <f t="shared" si="386"/>
        <v/>
      </c>
      <c r="I1061" t="str">
        <f t="shared" si="382"/>
        <v>WASHINGTON</v>
      </c>
      <c r="J1061" t="str">
        <f t="shared" si="383"/>
        <v>DC</v>
      </c>
      <c r="K1061" t="str">
        <f>T("3016695003")</f>
        <v>3016695003</v>
      </c>
      <c r="L1061" t="str">
        <f>T("3016692391")</f>
        <v>3016692391</v>
      </c>
    </row>
    <row r="1062" spans="1:12" x14ac:dyDescent="0.35">
      <c r="A1062" t="str">
        <f t="shared" si="384"/>
        <v>OFC NAV INTELLIGENCE</v>
      </c>
      <c r="B1062" t="str">
        <f t="shared" si="380"/>
        <v>4251 SUITLAND ROAD</v>
      </c>
      <c r="C1062" t="str">
        <f t="shared" si="381"/>
        <v/>
      </c>
      <c r="D1062" t="str">
        <f t="shared" si="387"/>
        <v>WASHINGTON</v>
      </c>
      <c r="E1062" t="str">
        <f t="shared" si="388"/>
        <v>DC</v>
      </c>
      <c r="F1062" t="str">
        <f t="shared" si="389"/>
        <v>203950001</v>
      </c>
      <c r="G1062" t="str">
        <f t="shared" si="385"/>
        <v>4251 SUITLAND ROAD</v>
      </c>
      <c r="H1062" t="str">
        <f t="shared" si="386"/>
        <v/>
      </c>
      <c r="I1062" t="str">
        <f t="shared" si="382"/>
        <v>WASHINGTON</v>
      </c>
      <c r="J1062" t="str">
        <f t="shared" si="383"/>
        <v>DC</v>
      </c>
      <c r="K1062" t="str">
        <f>T("3016695052")</f>
        <v>3016695052</v>
      </c>
      <c r="L1062" t="str">
        <f>T("3016695972")</f>
        <v>3016695972</v>
      </c>
    </row>
    <row r="1063" spans="1:12" x14ac:dyDescent="0.35">
      <c r="A1063" t="str">
        <f t="shared" si="384"/>
        <v>OFC NAV INTELLIGENCE</v>
      </c>
      <c r="B1063" t="str">
        <f t="shared" si="380"/>
        <v>4251 SUITLAND ROAD</v>
      </c>
      <c r="C1063" t="str">
        <f t="shared" si="381"/>
        <v/>
      </c>
      <c r="D1063" t="str">
        <f t="shared" si="387"/>
        <v>WASHINGTON</v>
      </c>
      <c r="E1063" t="str">
        <f t="shared" si="388"/>
        <v>DC</v>
      </c>
      <c r="F1063" t="str">
        <f t="shared" si="389"/>
        <v>203950001</v>
      </c>
      <c r="G1063" t="str">
        <f t="shared" si="385"/>
        <v>4251 SUITLAND ROAD</v>
      </c>
      <c r="H1063" t="str">
        <f t="shared" si="386"/>
        <v/>
      </c>
      <c r="I1063" t="str">
        <f t="shared" si="382"/>
        <v>WASHINGTON</v>
      </c>
      <c r="J1063" t="str">
        <f t="shared" si="383"/>
        <v>DC</v>
      </c>
      <c r="K1063" t="str">
        <f>T("3016695558")</f>
        <v>3016695558</v>
      </c>
      <c r="L1063" t="str">
        <f>T("3016693412")</f>
        <v>3016693412</v>
      </c>
    </row>
    <row r="1064" spans="1:12" x14ac:dyDescent="0.35">
      <c r="A1064" t="str">
        <f t="shared" si="384"/>
        <v>OFC NAV INTELLIGENCE</v>
      </c>
      <c r="B1064" t="str">
        <f t="shared" si="380"/>
        <v>4251 SUITLAND ROAD</v>
      </c>
      <c r="C1064" t="str">
        <f t="shared" si="381"/>
        <v/>
      </c>
      <c r="D1064" t="str">
        <f t="shared" si="387"/>
        <v>WASHINGTON</v>
      </c>
      <c r="E1064" t="str">
        <f t="shared" si="388"/>
        <v>DC</v>
      </c>
      <c r="F1064" t="str">
        <f t="shared" si="389"/>
        <v>203950001</v>
      </c>
      <c r="G1064" t="str">
        <f t="shared" si="385"/>
        <v>4251 SUITLAND ROAD</v>
      </c>
      <c r="H1064" t="str">
        <f t="shared" si="386"/>
        <v/>
      </c>
      <c r="I1064" t="str">
        <f t="shared" si="382"/>
        <v>WASHINGTON</v>
      </c>
      <c r="J1064" t="str">
        <f t="shared" si="383"/>
        <v>DC</v>
      </c>
      <c r="K1064" t="str">
        <f>T("3016695558")</f>
        <v>3016695558</v>
      </c>
      <c r="L1064" t="str">
        <f>T("3016694192")</f>
        <v>3016694192</v>
      </c>
    </row>
    <row r="1065" spans="1:12" x14ac:dyDescent="0.35">
      <c r="A1065" t="str">
        <f t="shared" si="384"/>
        <v>OFC NAV INTELLIGENCE</v>
      </c>
      <c r="B1065" t="str">
        <f t="shared" si="380"/>
        <v>4251 SUITLAND ROAD</v>
      </c>
      <c r="C1065" t="str">
        <f t="shared" si="381"/>
        <v/>
      </c>
      <c r="D1065" t="str">
        <f t="shared" si="387"/>
        <v>WASHINGTON</v>
      </c>
      <c r="E1065" t="str">
        <f t="shared" si="388"/>
        <v>DC</v>
      </c>
      <c r="F1065" t="str">
        <f t="shared" si="389"/>
        <v>203950001</v>
      </c>
      <c r="G1065" t="str">
        <f t="shared" si="385"/>
        <v>4251 SUITLAND ROAD</v>
      </c>
      <c r="H1065" t="str">
        <f t="shared" si="386"/>
        <v/>
      </c>
      <c r="I1065" t="str">
        <f t="shared" si="382"/>
        <v>WASHINGTON</v>
      </c>
      <c r="J1065" t="str">
        <f t="shared" si="383"/>
        <v>DC</v>
      </c>
      <c r="K1065" t="str">
        <f>T("3016695730")</f>
        <v>3016695730</v>
      </c>
      <c r="L1065" t="str">
        <f>T("3016695222")</f>
        <v>3016695222</v>
      </c>
    </row>
    <row r="1066" spans="1:12" x14ac:dyDescent="0.35">
      <c r="A1066" t="str">
        <f t="shared" si="384"/>
        <v>OFC NAV INTELLIGENCE</v>
      </c>
      <c r="B1066" t="str">
        <f t="shared" si="380"/>
        <v>4251 SUITLAND ROAD</v>
      </c>
      <c r="C1066" t="str">
        <f t="shared" si="381"/>
        <v/>
      </c>
      <c r="D1066" t="str">
        <f t="shared" si="387"/>
        <v>WASHINGTON</v>
      </c>
      <c r="E1066" t="str">
        <f t="shared" si="388"/>
        <v>DC</v>
      </c>
      <c r="F1066" t="str">
        <f t="shared" si="389"/>
        <v>203950001</v>
      </c>
      <c r="G1066" t="str">
        <f t="shared" si="385"/>
        <v>4251 SUITLAND ROAD</v>
      </c>
      <c r="H1066" t="str">
        <f t="shared" si="386"/>
        <v/>
      </c>
      <c r="I1066" t="str">
        <f t="shared" si="382"/>
        <v>WASHINGTON</v>
      </c>
      <c r="J1066" t="str">
        <f t="shared" si="383"/>
        <v>DC</v>
      </c>
      <c r="K1066" t="str">
        <f>T("3016695902")</f>
        <v>3016695902</v>
      </c>
      <c r="L1066" t="str">
        <f>T("3016692747")</f>
        <v>3016692747</v>
      </c>
    </row>
    <row r="1067" spans="1:12" x14ac:dyDescent="0.35">
      <c r="A1067" t="str">
        <f t="shared" si="384"/>
        <v>OFC NAV INTELLIGENCE</v>
      </c>
      <c r="B1067" t="str">
        <f t="shared" si="380"/>
        <v>4251 SUITLAND ROAD</v>
      </c>
      <c r="C1067" t="str">
        <f t="shared" si="381"/>
        <v/>
      </c>
      <c r="D1067" t="str">
        <f t="shared" si="387"/>
        <v>WASHINGTON</v>
      </c>
      <c r="E1067" t="str">
        <f t="shared" si="388"/>
        <v>DC</v>
      </c>
      <c r="F1067" t="str">
        <f t="shared" si="389"/>
        <v>203950001</v>
      </c>
      <c r="G1067" t="str">
        <f t="shared" si="385"/>
        <v>4251 SUITLAND ROAD</v>
      </c>
      <c r="H1067" t="str">
        <f t="shared" si="386"/>
        <v/>
      </c>
      <c r="I1067" t="str">
        <f t="shared" si="382"/>
        <v>WASHINGTON</v>
      </c>
      <c r="J1067" t="str">
        <f t="shared" si="383"/>
        <v>DC</v>
      </c>
      <c r="K1067" t="str">
        <f>T("3146266137")</f>
        <v>3146266137</v>
      </c>
      <c r="L1067" t="str">
        <f>T("3146264800")</f>
        <v>3146264800</v>
      </c>
    </row>
    <row r="1068" spans="1:12" x14ac:dyDescent="0.35">
      <c r="A1068" t="str">
        <f t="shared" si="384"/>
        <v>OFC NAV INTELLIGENCE</v>
      </c>
      <c r="B1068" t="str">
        <f t="shared" si="380"/>
        <v>4251 SUITLAND ROAD</v>
      </c>
      <c r="C1068" t="str">
        <f t="shared" si="381"/>
        <v/>
      </c>
      <c r="D1068" t="str">
        <f t="shared" si="387"/>
        <v>WASHINGTON</v>
      </c>
      <c r="E1068" t="str">
        <f t="shared" si="388"/>
        <v>DC</v>
      </c>
      <c r="F1068" t="str">
        <f t="shared" si="389"/>
        <v>203950001</v>
      </c>
      <c r="G1068" t="str">
        <f t="shared" si="385"/>
        <v>4251 SUITLAND ROAD</v>
      </c>
      <c r="H1068" t="str">
        <f t="shared" si="386"/>
        <v/>
      </c>
      <c r="I1068" t="str">
        <f t="shared" si="382"/>
        <v>WASHINGTON</v>
      </c>
      <c r="J1068" t="str">
        <f t="shared" si="383"/>
        <v>DC</v>
      </c>
      <c r="K1068" t="str">
        <f>T("8606945906")</f>
        <v>8606945906</v>
      </c>
      <c r="L1068" t="str">
        <f>T("8606945907")</f>
        <v>8606945907</v>
      </c>
    </row>
    <row r="1069" spans="1:12" x14ac:dyDescent="0.35">
      <c r="A1069" t="str">
        <f t="shared" si="384"/>
        <v>OFC NAV INTELLIGENCE</v>
      </c>
      <c r="B1069" t="str">
        <f t="shared" si="380"/>
        <v>4251 SUITLAND ROAD</v>
      </c>
      <c r="C1069" t="str">
        <f t="shared" si="381"/>
        <v/>
      </c>
      <c r="D1069" t="str">
        <f t="shared" si="387"/>
        <v>WASHINGTON</v>
      </c>
      <c r="E1069" t="str">
        <f t="shared" si="388"/>
        <v>DC</v>
      </c>
      <c r="F1069" t="str">
        <f t="shared" si="389"/>
        <v>203950001</v>
      </c>
      <c r="G1069" t="str">
        <f t="shared" si="385"/>
        <v>4251 SUITLAND ROAD</v>
      </c>
      <c r="H1069" t="str">
        <f t="shared" si="386"/>
        <v/>
      </c>
      <c r="I1069" t="str">
        <f t="shared" si="382"/>
        <v>WASHINGTON</v>
      </c>
      <c r="J1069" t="str">
        <f t="shared" si="383"/>
        <v>DC</v>
      </c>
      <c r="K1069" t="str">
        <f>T("9045422952")</f>
        <v>9045422952</v>
      </c>
      <c r="L1069" t="str">
        <f>T("9045423477")</f>
        <v>9045423477</v>
      </c>
    </row>
    <row r="1070" spans="1:12" x14ac:dyDescent="0.35">
      <c r="A1070" t="str">
        <f t="shared" si="384"/>
        <v>OFC NAV INTELLIGENCE</v>
      </c>
      <c r="B1070" t="str">
        <f t="shared" si="380"/>
        <v>4251 SUITLAND ROAD</v>
      </c>
      <c r="C1070" t="str">
        <f t="shared" si="381"/>
        <v/>
      </c>
      <c r="D1070" t="str">
        <f t="shared" si="387"/>
        <v>WASHINGTON</v>
      </c>
      <c r="E1070" t="str">
        <f t="shared" si="388"/>
        <v>DC</v>
      </c>
      <c r="F1070" t="str">
        <f t="shared" si="389"/>
        <v>203950001</v>
      </c>
      <c r="G1070" t="str">
        <f t="shared" si="385"/>
        <v>4251 SUITLAND ROAD</v>
      </c>
      <c r="H1070" t="str">
        <f>T("HOPPER ISC-0I")</f>
        <v>HOPPER ISC-0I</v>
      </c>
      <c r="I1070" t="str">
        <f t="shared" si="382"/>
        <v>WASHINGTON</v>
      </c>
      <c r="J1070" t="str">
        <f t="shared" si="383"/>
        <v>DC</v>
      </c>
      <c r="K1070" t="str">
        <f>T("000000000000000000")</f>
        <v>000000000000000000</v>
      </c>
      <c r="L1070" t="str">
        <f>T("3016692579")</f>
        <v>3016692579</v>
      </c>
    </row>
    <row r="1071" spans="1:12" x14ac:dyDescent="0.35">
      <c r="A1071" t="str">
        <f t="shared" si="384"/>
        <v>OFC NAV INTELLIGENCE</v>
      </c>
      <c r="B1071" t="str">
        <f t="shared" si="380"/>
        <v>4251 SUITLAND ROAD</v>
      </c>
      <c r="C1071" t="str">
        <f t="shared" si="381"/>
        <v/>
      </c>
      <c r="D1071" t="str">
        <f t="shared" si="387"/>
        <v>WASHINGTON</v>
      </c>
      <c r="E1071" t="str">
        <f t="shared" si="388"/>
        <v>DC</v>
      </c>
      <c r="F1071" t="str">
        <f t="shared" si="389"/>
        <v>203950001</v>
      </c>
      <c r="G1071" t="str">
        <f t="shared" si="385"/>
        <v>4251 SUITLAND ROAD</v>
      </c>
      <c r="H1071" t="str">
        <f>T("NIA-FMC")</f>
        <v>NIA-FMC</v>
      </c>
      <c r="I1071" t="str">
        <f t="shared" si="382"/>
        <v>WASHINGTON</v>
      </c>
      <c r="J1071" t="str">
        <f t="shared" si="383"/>
        <v>DC</v>
      </c>
      <c r="K1071" t="str">
        <f>T("3016693738")</f>
        <v>3016693738</v>
      </c>
      <c r="L1071" t="str">
        <f>T("3016692763")</f>
        <v>3016692763</v>
      </c>
    </row>
    <row r="1072" spans="1:12" x14ac:dyDescent="0.35">
      <c r="A1072" t="str">
        <f t="shared" si="384"/>
        <v>OFC NAV INTELLIGENCE</v>
      </c>
      <c r="B1072" t="str">
        <f t="shared" si="380"/>
        <v>4251 SUITLAND ROAD</v>
      </c>
      <c r="C1072" t="str">
        <f t="shared" si="381"/>
        <v/>
      </c>
      <c r="D1072" t="str">
        <f t="shared" si="387"/>
        <v>WASHINGTON</v>
      </c>
      <c r="E1072" t="str">
        <f t="shared" si="388"/>
        <v>DC</v>
      </c>
      <c r="F1072" t="str">
        <f t="shared" si="389"/>
        <v>203950001</v>
      </c>
      <c r="G1072" t="str">
        <f t="shared" si="385"/>
        <v>4251 SUITLAND ROAD</v>
      </c>
      <c r="H1072" t="str">
        <f>T("NMIO")</f>
        <v>NMIO</v>
      </c>
      <c r="I1072" t="str">
        <f t="shared" si="382"/>
        <v>WASHINGTON</v>
      </c>
      <c r="J1072" t="str">
        <f t="shared" si="383"/>
        <v>DC</v>
      </c>
      <c r="K1072" t="str">
        <f>T("3016693467")</f>
        <v>3016693467</v>
      </c>
      <c r="L1072" t="str">
        <f>T("3016693039")</f>
        <v>3016693039</v>
      </c>
    </row>
    <row r="1073" spans="1:12" x14ac:dyDescent="0.35">
      <c r="A1073" t="str">
        <f t="shared" si="384"/>
        <v>OFC NAV INTELLIGENCE</v>
      </c>
      <c r="B1073" t="str">
        <f t="shared" si="380"/>
        <v>4251 SUITLAND ROAD</v>
      </c>
      <c r="C1073" t="str">
        <f t="shared" si="381"/>
        <v/>
      </c>
      <c r="D1073" t="str">
        <f t="shared" si="387"/>
        <v>WASHINGTON</v>
      </c>
      <c r="E1073" t="str">
        <f t="shared" si="388"/>
        <v>DC</v>
      </c>
      <c r="F1073" t="str">
        <f t="shared" si="389"/>
        <v>203950001</v>
      </c>
      <c r="G1073" t="str">
        <f t="shared" si="385"/>
        <v>4251 SUITLAND ROAD</v>
      </c>
      <c r="H1073" t="str">
        <f>T("OME")</f>
        <v>OME</v>
      </c>
      <c r="I1073" t="str">
        <f t="shared" si="382"/>
        <v>WASHINGTON</v>
      </c>
      <c r="J1073" t="str">
        <f t="shared" si="383"/>
        <v>DC</v>
      </c>
      <c r="K1073" t="str">
        <f>T("000000000000000000")</f>
        <v>000000000000000000</v>
      </c>
      <c r="L1073" t="str">
        <f>T("3016694028")</f>
        <v>3016694028</v>
      </c>
    </row>
    <row r="1074" spans="1:12" x14ac:dyDescent="0.35">
      <c r="A1074" t="str">
        <f t="shared" si="384"/>
        <v>OFC NAV INTELLIGENCE</v>
      </c>
      <c r="B1074" t="str">
        <f t="shared" si="380"/>
        <v>4251 SUITLAND ROAD</v>
      </c>
      <c r="C1074" t="str">
        <f t="shared" si="381"/>
        <v/>
      </c>
      <c r="D1074" t="str">
        <f t="shared" si="387"/>
        <v>WASHINGTON</v>
      </c>
      <c r="E1074" t="str">
        <f t="shared" si="388"/>
        <v>DC</v>
      </c>
      <c r="F1074" t="str">
        <f t="shared" si="389"/>
        <v>203950001</v>
      </c>
      <c r="G1074" t="str">
        <f t="shared" si="385"/>
        <v>4251 SUITLAND ROAD</v>
      </c>
      <c r="H1074" t="str">
        <f>T("ONI-4")</f>
        <v>ONI-4</v>
      </c>
      <c r="I1074" t="str">
        <f t="shared" si="382"/>
        <v>WASHINGTON</v>
      </c>
      <c r="J1074" t="str">
        <f t="shared" si="383"/>
        <v>DC</v>
      </c>
      <c r="K1074" t="str">
        <f>T("000000000000000000")</f>
        <v>000000000000000000</v>
      </c>
      <c r="L1074" t="str">
        <f>T("3016695488")</f>
        <v>3016695488</v>
      </c>
    </row>
    <row r="1075" spans="1:12" x14ac:dyDescent="0.35">
      <c r="A1075" t="str">
        <f t="shared" si="384"/>
        <v>OFC NAV INTELLIGENCE</v>
      </c>
      <c r="B1075" t="str">
        <f t="shared" si="380"/>
        <v>4251 SUITLAND ROAD</v>
      </c>
      <c r="C1075" t="str">
        <f t="shared" si="381"/>
        <v/>
      </c>
      <c r="D1075" t="str">
        <f t="shared" si="387"/>
        <v>WASHINGTON</v>
      </c>
      <c r="E1075" t="str">
        <f t="shared" si="388"/>
        <v>DC</v>
      </c>
      <c r="F1075" t="str">
        <f t="shared" si="389"/>
        <v>203950001</v>
      </c>
      <c r="G1075" t="str">
        <f t="shared" si="385"/>
        <v>4251 SUITLAND ROAD</v>
      </c>
      <c r="H1075" t="str">
        <f>T("ONI-422")</f>
        <v>ONI-422</v>
      </c>
      <c r="I1075" t="str">
        <f t="shared" si="382"/>
        <v>WASHINGTON</v>
      </c>
      <c r="J1075" t="str">
        <f t="shared" si="383"/>
        <v>DC</v>
      </c>
      <c r="K1075" t="str">
        <f>T("000000000000000000")</f>
        <v>000000000000000000</v>
      </c>
      <c r="L1075" t="str">
        <f>T("3016692548")</f>
        <v>3016692548</v>
      </c>
    </row>
    <row r="1076" spans="1:12" x14ac:dyDescent="0.35">
      <c r="A1076" t="str">
        <f t="shared" si="384"/>
        <v>OFC NAV INTELLIGENCE</v>
      </c>
      <c r="B1076" t="str">
        <f t="shared" si="380"/>
        <v>4251 SUITLAND ROAD</v>
      </c>
      <c r="C1076" t="str">
        <f t="shared" si="381"/>
        <v/>
      </c>
      <c r="D1076" t="str">
        <f t="shared" si="387"/>
        <v>WASHINGTON</v>
      </c>
      <c r="E1076" t="str">
        <f t="shared" si="388"/>
        <v>DC</v>
      </c>
      <c r="F1076" t="str">
        <f t="shared" si="389"/>
        <v>203950001</v>
      </c>
      <c r="G1076" t="str">
        <f t="shared" si="385"/>
        <v>4251 SUITLAND ROAD</v>
      </c>
      <c r="H1076" t="str">
        <f>T("TAC-2")</f>
        <v>TAC-2</v>
      </c>
      <c r="I1076" t="str">
        <f t="shared" si="382"/>
        <v>WASHINGTON</v>
      </c>
      <c r="J1076" t="str">
        <f t="shared" si="383"/>
        <v>DC</v>
      </c>
      <c r="K1076" t="str">
        <f>T("3016693234")</f>
        <v>3016693234</v>
      </c>
      <c r="L1076" t="str">
        <f>T("3016695193")</f>
        <v>3016695193</v>
      </c>
    </row>
    <row r="1077" spans="1:12" x14ac:dyDescent="0.35">
      <c r="A1077" t="str">
        <f t="shared" si="384"/>
        <v>OFC NAV INTELLIGENCE</v>
      </c>
      <c r="B1077" t="str">
        <f t="shared" ref="B1077:B1082" si="390">T("4251 SUITLAND ROAD")</f>
        <v>4251 SUITLAND ROAD</v>
      </c>
      <c r="C1077" t="str">
        <f t="shared" ref="C1077:C1082" si="391">T("")</f>
        <v/>
      </c>
      <c r="D1077" t="str">
        <f t="shared" si="387"/>
        <v>WASHINGTON</v>
      </c>
      <c r="E1077" t="str">
        <f t="shared" si="388"/>
        <v>DC</v>
      </c>
      <c r="F1077" t="str">
        <f t="shared" si="389"/>
        <v>203950001</v>
      </c>
      <c r="G1077" t="str">
        <f>T("5905 34TH AVENUE S")</f>
        <v>5905 34TH AVENUE S</v>
      </c>
      <c r="H1077" t="str">
        <f>T("BLDG N-1")</f>
        <v>BLDG N-1</v>
      </c>
      <c r="I1077" t="str">
        <f>T("MINNEAPOLIS")</f>
        <v>MINNEAPOLIS</v>
      </c>
      <c r="J1077" t="str">
        <f>T("MN")</f>
        <v>MN</v>
      </c>
      <c r="K1077" t="str">
        <f>T("6127134765")</f>
        <v>6127134765</v>
      </c>
      <c r="L1077" t="str">
        <f>T("6127134767")</f>
        <v>6127134767</v>
      </c>
    </row>
    <row r="1078" spans="1:12" x14ac:dyDescent="0.35">
      <c r="A1078" t="str">
        <f t="shared" si="384"/>
        <v>OFC NAV INTELLIGENCE</v>
      </c>
      <c r="B1078" t="str">
        <f t="shared" si="390"/>
        <v>4251 SUITLAND ROAD</v>
      </c>
      <c r="C1078" t="str">
        <f t="shared" si="391"/>
        <v/>
      </c>
      <c r="D1078" t="str">
        <f t="shared" si="387"/>
        <v>WASHINGTON</v>
      </c>
      <c r="E1078" t="str">
        <f t="shared" si="388"/>
        <v>DC</v>
      </c>
      <c r="F1078" t="str">
        <f t="shared" si="389"/>
        <v>203950001</v>
      </c>
      <c r="G1078" t="str">
        <f>T("7941 BLANDY ROAD")</f>
        <v>7941 BLANDY ROAD</v>
      </c>
      <c r="H1078" t="str">
        <f>T("STE 100")</f>
        <v>STE 100</v>
      </c>
      <c r="I1078" t="str">
        <f>T("NORFOLK")</f>
        <v>NORFOLK</v>
      </c>
      <c r="J1078" t="str">
        <f>T("VA")</f>
        <v>VA</v>
      </c>
      <c r="K1078" t="str">
        <f>T("000000000000000000")</f>
        <v>000000000000000000</v>
      </c>
      <c r="L1078" t="str">
        <f>T("7578367241")</f>
        <v>7578367241</v>
      </c>
    </row>
    <row r="1079" spans="1:12" x14ac:dyDescent="0.35">
      <c r="A1079" t="str">
        <f t="shared" si="384"/>
        <v>OFC NAV INTELLIGENCE</v>
      </c>
      <c r="B1079" t="str">
        <f t="shared" si="390"/>
        <v>4251 SUITLAND ROAD</v>
      </c>
      <c r="C1079" t="str">
        <f t="shared" si="391"/>
        <v/>
      </c>
      <c r="D1079" t="str">
        <f t="shared" si="387"/>
        <v>WASHINGTON</v>
      </c>
      <c r="E1079" t="str">
        <f t="shared" si="388"/>
        <v>DC</v>
      </c>
      <c r="F1079" t="str">
        <f t="shared" si="389"/>
        <v>203950001</v>
      </c>
      <c r="G1079" t="str">
        <f>T("801 S WATERFRONT ROAD")</f>
        <v>801 S WATERFRONT ROAD</v>
      </c>
      <c r="H1079" t="str">
        <f>T("BLDG 1341 RM 210")</f>
        <v>BLDG 1341 RM 210</v>
      </c>
      <c r="I1079" t="str">
        <f>T("PEARL HARBOR")</f>
        <v>PEARL HARBOR</v>
      </c>
      <c r="J1079" t="str">
        <f>T("HI")</f>
        <v>HI</v>
      </c>
      <c r="K1079" t="str">
        <f>T("3016695905")</f>
        <v>3016695905</v>
      </c>
      <c r="L1079" t="str">
        <f>T("8084730383")</f>
        <v>8084730383</v>
      </c>
    </row>
    <row r="1080" spans="1:12" x14ac:dyDescent="0.35">
      <c r="A1080" t="str">
        <f t="shared" si="384"/>
        <v>OFC NAV INTELLIGENCE</v>
      </c>
      <c r="B1080" t="str">
        <f t="shared" si="390"/>
        <v>4251 SUITLAND ROAD</v>
      </c>
      <c r="C1080" t="str">
        <f t="shared" si="391"/>
        <v/>
      </c>
      <c r="D1080" t="str">
        <f t="shared" si="387"/>
        <v>WASHINGTON</v>
      </c>
      <c r="E1080" t="str">
        <f t="shared" si="388"/>
        <v>DC</v>
      </c>
      <c r="F1080" t="str">
        <f t="shared" si="389"/>
        <v>203950001</v>
      </c>
      <c r="G1080" t="str">
        <f>T("NIMITZ")</f>
        <v>NIMITZ</v>
      </c>
      <c r="H1080" t="str">
        <f>T("4251 SUITLAND ROAD")</f>
        <v>4251 SUITLAND ROAD</v>
      </c>
      <c r="I1080" t="str">
        <f>T("WASHINGTON")</f>
        <v>WASHINGTON</v>
      </c>
      <c r="J1080" t="str">
        <f>T("DC")</f>
        <v>DC</v>
      </c>
      <c r="K1080" t="str">
        <f>T("3026695730")</f>
        <v>3026695730</v>
      </c>
      <c r="L1080" t="str">
        <f>T("3016695006")</f>
        <v>3016695006</v>
      </c>
    </row>
    <row r="1081" spans="1:12" x14ac:dyDescent="0.35">
      <c r="A1081" t="str">
        <f t="shared" si="384"/>
        <v>OFC NAV INTELLIGENCE</v>
      </c>
      <c r="B1081" t="str">
        <f t="shared" si="390"/>
        <v>4251 SUITLAND ROAD</v>
      </c>
      <c r="C1081" t="str">
        <f t="shared" si="391"/>
        <v/>
      </c>
      <c r="D1081" t="str">
        <f t="shared" si="387"/>
        <v>WASHINGTON</v>
      </c>
      <c r="E1081" t="str">
        <f t="shared" si="388"/>
        <v>DC</v>
      </c>
      <c r="F1081" t="str">
        <f t="shared" si="389"/>
        <v>203950001</v>
      </c>
      <c r="G1081" t="str">
        <f>T("OME")</f>
        <v>OME</v>
      </c>
      <c r="H1081" t="str">
        <f>T("4251 SUITLAND ROAD")</f>
        <v>4251 SUITLAND ROAD</v>
      </c>
      <c r="I1081" t="str">
        <f>T("WASHINGTON")</f>
        <v>WASHINGTON</v>
      </c>
      <c r="J1081" t="str">
        <f>T("DC")</f>
        <v>DC</v>
      </c>
      <c r="K1081" t="str">
        <f>T("000000000000000000")</f>
        <v>000000000000000000</v>
      </c>
      <c r="L1081" t="str">
        <f>T("3016693486")</f>
        <v>3016693486</v>
      </c>
    </row>
    <row r="1082" spans="1:12" x14ac:dyDescent="0.35">
      <c r="A1082" t="str">
        <f t="shared" si="384"/>
        <v>OFC NAV INTELLIGENCE</v>
      </c>
      <c r="B1082" t="str">
        <f t="shared" si="390"/>
        <v>4251 SUITLAND ROAD</v>
      </c>
      <c r="C1082" t="str">
        <f t="shared" si="391"/>
        <v/>
      </c>
      <c r="D1082" t="str">
        <f t="shared" si="387"/>
        <v>WASHINGTON</v>
      </c>
      <c r="E1082" t="str">
        <f t="shared" si="388"/>
        <v>DC</v>
      </c>
      <c r="F1082" t="str">
        <f t="shared" si="389"/>
        <v>203950001</v>
      </c>
      <c r="G1082" t="str">
        <f>T("PSC 473 BOX 126")</f>
        <v>PSC 473 BOX 126</v>
      </c>
      <c r="H1082" t="str">
        <f>T("MSD-23")</f>
        <v>MSD-23</v>
      </c>
      <c r="I1082" t="str">
        <f>T("FPO")</f>
        <v>FPO</v>
      </c>
      <c r="J1082" t="str">
        <f>T("AP")</f>
        <v>AP</v>
      </c>
      <c r="K1082" t="str">
        <f>T("01181468163786")</f>
        <v>01181468163786</v>
      </c>
      <c r="L1082" t="str">
        <f>T("1111111111")</f>
        <v>1111111111</v>
      </c>
    </row>
    <row r="1083" spans="1:12" x14ac:dyDescent="0.35">
      <c r="A1083" t="str">
        <f t="shared" ref="A1083:A1098" si="392">T("OFC NAV INTELLIGENCE")</f>
        <v>OFC NAV INTELLIGENCE</v>
      </c>
      <c r="B1083" t="str">
        <f>T("701 S. COURTHOUSE ROAD")</f>
        <v>701 S. COURTHOUSE ROAD</v>
      </c>
      <c r="C1083" t="str">
        <f>T("OPNAV N2/N6")</f>
        <v>OPNAV N2/N6</v>
      </c>
      <c r="D1083" t="str">
        <f>T("ARLINGTON")</f>
        <v>ARLINGTON</v>
      </c>
      <c r="E1083" t="str">
        <f t="shared" ref="E1083:E1089" si="393">T("VA")</f>
        <v>VA</v>
      </c>
      <c r="F1083" t="str">
        <f>T("222042471")</f>
        <v>222042471</v>
      </c>
      <c r="G1083" t="str">
        <f>T("2000 NAVY PENTAGON")</f>
        <v>2000 NAVY PENTAGON</v>
      </c>
      <c r="H1083" t="str">
        <f>T("N2N6")</f>
        <v>N2N6</v>
      </c>
      <c r="I1083" t="str">
        <f>T("WASHINGTON")</f>
        <v>WASHINGTON</v>
      </c>
      <c r="J1083" t="str">
        <f>T("DC")</f>
        <v>DC</v>
      </c>
      <c r="K1083" t="str">
        <f>T("7036922000")</f>
        <v>7036922000</v>
      </c>
      <c r="L1083" t="str">
        <f>T("7036920434")</f>
        <v>7036920434</v>
      </c>
    </row>
    <row r="1084" spans="1:12" x14ac:dyDescent="0.35">
      <c r="A1084" t="str">
        <f t="shared" si="392"/>
        <v>OFC NAV INTELLIGENCE</v>
      </c>
      <c r="B1084" t="str">
        <f>T("701 S. COURTHOUSE ROAD")</f>
        <v>701 S. COURTHOUSE ROAD</v>
      </c>
      <c r="C1084" t="str">
        <f>T("OPNAV N2/N6")</f>
        <v>OPNAV N2/N6</v>
      </c>
      <c r="D1084" t="str">
        <f>T("ARLINGTON")</f>
        <v>ARLINGTON</v>
      </c>
      <c r="E1084" t="str">
        <f t="shared" si="393"/>
        <v>VA</v>
      </c>
      <c r="F1084" t="str">
        <f>T("222042471")</f>
        <v>222042471</v>
      </c>
      <c r="G1084" t="str">
        <f>T("2000 NAVY PENTAGON")</f>
        <v>2000 NAVY PENTAGON</v>
      </c>
      <c r="H1084" t="str">
        <f>T("ROOM 5C257")</f>
        <v>ROOM 5C257</v>
      </c>
      <c r="I1084" t="str">
        <f>T("WASHINGTON")</f>
        <v>WASHINGTON</v>
      </c>
      <c r="J1084" t="str">
        <f>T("DC")</f>
        <v>DC</v>
      </c>
      <c r="K1084" t="str">
        <f>T("7036958700")</f>
        <v>7036958700</v>
      </c>
      <c r="L1084" t="str">
        <f>T("7036958728")</f>
        <v>7036958728</v>
      </c>
    </row>
    <row r="1085" spans="1:12" x14ac:dyDescent="0.35">
      <c r="A1085" t="str">
        <f t="shared" si="392"/>
        <v>OFC NAV INTELLIGENCE</v>
      </c>
      <c r="B1085" t="str">
        <f>T("701 S. COURTHOUSE ROAD")</f>
        <v>701 S. COURTHOUSE ROAD</v>
      </c>
      <c r="C1085" t="str">
        <f>T("OPNAV N2/N6")</f>
        <v>OPNAV N2/N6</v>
      </c>
      <c r="D1085" t="str">
        <f>T("ARLINGTON")</f>
        <v>ARLINGTON</v>
      </c>
      <c r="E1085" t="str">
        <f t="shared" si="393"/>
        <v>VA</v>
      </c>
      <c r="F1085" t="str">
        <f>T("222042471")</f>
        <v>222042471</v>
      </c>
      <c r="G1085" t="str">
        <f>T("701 S. COURTHOUSE ROAD")</f>
        <v>701 S. COURTHOUSE ROAD</v>
      </c>
      <c r="H1085" t="str">
        <f>T("OPNAV N2/N6")</f>
        <v>OPNAV N2/N6</v>
      </c>
      <c r="I1085" t="str">
        <f>T("ARLINGTON")</f>
        <v>ARLINGTON</v>
      </c>
      <c r="J1085" t="str">
        <f>T("VA")</f>
        <v>VA</v>
      </c>
      <c r="K1085" t="str">
        <f>T("7036046657")</f>
        <v>7036046657</v>
      </c>
      <c r="L1085" t="str">
        <f>T("7036045472")</f>
        <v>7036045472</v>
      </c>
    </row>
    <row r="1086" spans="1:12" x14ac:dyDescent="0.35">
      <c r="A1086" t="str">
        <f t="shared" si="392"/>
        <v>OFC NAV INTELLIGENCE</v>
      </c>
      <c r="B1086" t="str">
        <f>T("7927 INGERSOL ST")</f>
        <v>7927 INGERSOL ST</v>
      </c>
      <c r="C1086" t="str">
        <f>T("")</f>
        <v/>
      </c>
      <c r="D1086" t="str">
        <f>T("NORFOLK")</f>
        <v>NORFOLK</v>
      </c>
      <c r="E1086" t="str">
        <f t="shared" si="393"/>
        <v>VA</v>
      </c>
      <c r="F1086" t="str">
        <f>T("235512393")</f>
        <v>235512393</v>
      </c>
      <c r="G1086" t="str">
        <f>T("7927 INGERSOL ST")</f>
        <v>7927 INGERSOL ST</v>
      </c>
      <c r="H1086" t="str">
        <f>T("")</f>
        <v/>
      </c>
      <c r="I1086" t="str">
        <f>T("NORFOLK")</f>
        <v>NORFOLK</v>
      </c>
      <c r="J1086" t="str">
        <f>T("VA")</f>
        <v>VA</v>
      </c>
      <c r="K1086" t="str">
        <f>T("7578350151")</f>
        <v>7578350151</v>
      </c>
      <c r="L1086" t="str">
        <f>T("7578366070")</f>
        <v>7578366070</v>
      </c>
    </row>
    <row r="1087" spans="1:12" x14ac:dyDescent="0.35">
      <c r="A1087" t="str">
        <f t="shared" si="392"/>
        <v>OFC NAV INTELLIGENCE</v>
      </c>
      <c r="B1087" t="str">
        <f>T("7927 INGERSOL ST")</f>
        <v>7927 INGERSOL ST</v>
      </c>
      <c r="C1087" t="str">
        <f>T("")</f>
        <v/>
      </c>
      <c r="D1087" t="str">
        <f>T("NORFOLK")</f>
        <v>NORFOLK</v>
      </c>
      <c r="E1087" t="str">
        <f t="shared" si="393"/>
        <v>VA</v>
      </c>
      <c r="F1087" t="str">
        <f>T("235512393")</f>
        <v>235512393</v>
      </c>
      <c r="G1087" t="str">
        <f>T("7927 INGERSOL STREET SUITE 120")</f>
        <v>7927 INGERSOL STREET SUITE 120</v>
      </c>
      <c r="H1087" t="str">
        <f>T("HOPPER")</f>
        <v>HOPPER</v>
      </c>
      <c r="I1087" t="str">
        <f>T("NORFOLK")</f>
        <v>NORFOLK</v>
      </c>
      <c r="J1087" t="str">
        <f>T("VA")</f>
        <v>VA</v>
      </c>
      <c r="K1087" t="str">
        <f>T("000000000000000000")</f>
        <v>000000000000000000</v>
      </c>
      <c r="L1087" t="str">
        <f>T("7578365093")</f>
        <v>7578365093</v>
      </c>
    </row>
    <row r="1088" spans="1:12" x14ac:dyDescent="0.35">
      <c r="A1088" t="str">
        <f t="shared" si="392"/>
        <v>OFC NAV INTELLIGENCE</v>
      </c>
      <c r="B1088" t="str">
        <f>T("7927 INGERSOL ST")</f>
        <v>7927 INGERSOL ST</v>
      </c>
      <c r="C1088" t="str">
        <f>T("")</f>
        <v/>
      </c>
      <c r="D1088" t="str">
        <f>T("NORFOLK")</f>
        <v>NORFOLK</v>
      </c>
      <c r="E1088" t="str">
        <f t="shared" si="393"/>
        <v>VA</v>
      </c>
      <c r="F1088" t="str">
        <f>T("235512393")</f>
        <v>235512393</v>
      </c>
      <c r="G1088" t="str">
        <f>T("7927 INGERSOL STREET SUITE 120")</f>
        <v>7927 INGERSOL STREET SUITE 120</v>
      </c>
      <c r="H1088" t="str">
        <f>T("HOPPER CENTER SPINTCOM")</f>
        <v>HOPPER CENTER SPINTCOM</v>
      </c>
      <c r="I1088" t="str">
        <f>T("NORFOLK")</f>
        <v>NORFOLK</v>
      </c>
      <c r="J1088" t="str">
        <f>T("VA")</f>
        <v>VA</v>
      </c>
      <c r="K1088" t="str">
        <f>T("7578360151")</f>
        <v>7578360151</v>
      </c>
      <c r="L1088" t="str">
        <f>T("7578365093")</f>
        <v>7578365093</v>
      </c>
    </row>
    <row r="1089" spans="1:12" x14ac:dyDescent="0.35">
      <c r="A1089" t="str">
        <f t="shared" si="392"/>
        <v>OFC NAV INTELLIGENCE</v>
      </c>
      <c r="B1089" t="str">
        <f>T("7927 INGERSOL ST")</f>
        <v>7927 INGERSOL ST</v>
      </c>
      <c r="C1089" t="str">
        <f>T("")</f>
        <v/>
      </c>
      <c r="D1089" t="str">
        <f>T("NORFOLK")</f>
        <v>NORFOLK</v>
      </c>
      <c r="E1089" t="str">
        <f t="shared" si="393"/>
        <v>VA</v>
      </c>
      <c r="F1089" t="str">
        <f>T("235512393")</f>
        <v>235512393</v>
      </c>
      <c r="G1089" t="str">
        <f>T("HOPPER")</f>
        <v>HOPPER</v>
      </c>
      <c r="H1089" t="str">
        <f>T("7927 INGERSOL STREET SUITE 120")</f>
        <v>7927 INGERSOL STREET SUITE 120</v>
      </c>
      <c r="I1089" t="str">
        <f>T("NORFOLK")</f>
        <v>NORFOLK</v>
      </c>
      <c r="J1089" t="str">
        <f>T("VA")</f>
        <v>VA</v>
      </c>
      <c r="K1089" t="str">
        <f>T("000000000000000000")</f>
        <v>000000000000000000</v>
      </c>
      <c r="L1089" t="str">
        <f>T("7578365093")</f>
        <v>7578365093</v>
      </c>
    </row>
    <row r="1090" spans="1:12" x14ac:dyDescent="0.35">
      <c r="A1090" t="str">
        <f t="shared" si="392"/>
        <v>OFC NAV INTELLIGENCE</v>
      </c>
      <c r="B1090" t="str">
        <f>T("OFFICE OF NAVAL INTELL")</f>
        <v>OFFICE OF NAVAL INTELL</v>
      </c>
      <c r="C1090" t="str">
        <f>T("4251 SUITLAND ROAD")</f>
        <v>4251 SUITLAND ROAD</v>
      </c>
      <c r="D1090" t="str">
        <f>T("WASHINGTON")</f>
        <v>WASHINGTON</v>
      </c>
      <c r="E1090" t="str">
        <f>T("DC")</f>
        <v>DC</v>
      </c>
      <c r="F1090" t="str">
        <f>T("203950001")</f>
        <v>203950001</v>
      </c>
      <c r="G1090" t="str">
        <f>T("4251 SUITLAND ROAD")</f>
        <v>4251 SUITLAND ROAD</v>
      </c>
      <c r="H1090" t="str">
        <f>T("")</f>
        <v/>
      </c>
      <c r="I1090" t="str">
        <f>T("WASHINGTON")</f>
        <v>WASHINGTON</v>
      </c>
      <c r="J1090" t="str">
        <f>T("DC")</f>
        <v>DC</v>
      </c>
      <c r="K1090" t="str">
        <f>T("3016693120")</f>
        <v>3016693120</v>
      </c>
      <c r="L1090" t="str">
        <f>T("3016693770")</f>
        <v>3016693770</v>
      </c>
    </row>
    <row r="1091" spans="1:12" x14ac:dyDescent="0.35">
      <c r="A1091" t="str">
        <f t="shared" si="392"/>
        <v>OFC NAV INTELLIGENCE</v>
      </c>
      <c r="B1091" t="str">
        <f>T("OFFICE OF NAVAL INTELL")</f>
        <v>OFFICE OF NAVAL INTELL</v>
      </c>
      <c r="C1091" t="str">
        <f>T("4251 SUITLAND ROAD")</f>
        <v>4251 SUITLAND ROAD</v>
      </c>
      <c r="D1091" t="str">
        <f>T("WASHINGTON")</f>
        <v>WASHINGTON</v>
      </c>
      <c r="E1091" t="str">
        <f>T("DC")</f>
        <v>DC</v>
      </c>
      <c r="F1091" t="str">
        <f>T("203950001")</f>
        <v>203950001</v>
      </c>
      <c r="G1091" t="str">
        <f>T("4251 SUITLAND ROAD")</f>
        <v>4251 SUITLAND ROAD</v>
      </c>
      <c r="H1091" t="str">
        <f>T("NIMITZ")</f>
        <v>NIMITZ</v>
      </c>
      <c r="I1091" t="str">
        <f>T("WASHINGTON")</f>
        <v>WASHINGTON</v>
      </c>
      <c r="J1091" t="str">
        <f>T("DC")</f>
        <v>DC</v>
      </c>
      <c r="K1091" t="str">
        <f>T("3016693247")</f>
        <v>3016693247</v>
      </c>
      <c r="L1091" t="str">
        <f>T("3016695512")</f>
        <v>3016695512</v>
      </c>
    </row>
    <row r="1092" spans="1:12" x14ac:dyDescent="0.35">
      <c r="A1092" t="str">
        <f t="shared" si="392"/>
        <v>OFC NAV INTELLIGENCE</v>
      </c>
      <c r="B1092" t="str">
        <f>T("OFFICE OF NAVAL INTELL")</f>
        <v>OFFICE OF NAVAL INTELL</v>
      </c>
      <c r="C1092" t="str">
        <f>T("4251 SUITLAND ROAD")</f>
        <v>4251 SUITLAND ROAD</v>
      </c>
      <c r="D1092" t="str">
        <f>T("WASHINGTON")</f>
        <v>WASHINGTON</v>
      </c>
      <c r="E1092" t="str">
        <f>T("DC")</f>
        <v>DC</v>
      </c>
      <c r="F1092" t="str">
        <f>T("203950001")</f>
        <v>203950001</v>
      </c>
      <c r="G1092" t="str">
        <f>T("OFFICE OF NAVAL INTELL")</f>
        <v>OFFICE OF NAVAL INTELL</v>
      </c>
      <c r="H1092" t="str">
        <f>T("4251 SUITLAND ROAD")</f>
        <v>4251 SUITLAND ROAD</v>
      </c>
      <c r="I1092" t="str">
        <f>T("WASHINGTON")</f>
        <v>WASHINGTON</v>
      </c>
      <c r="J1092" t="str">
        <f>T("DC")</f>
        <v>DC</v>
      </c>
      <c r="K1092" t="str">
        <f>T("3016693120")</f>
        <v>3016693120</v>
      </c>
      <c r="L1092" t="str">
        <f>T("3016695019")</f>
        <v>3016695019</v>
      </c>
    </row>
    <row r="1093" spans="1:12" x14ac:dyDescent="0.35">
      <c r="A1093" t="str">
        <f t="shared" si="392"/>
        <v>OFC NAV INTELLIGENCE</v>
      </c>
      <c r="B1093" t="str">
        <f>T("PSC 473 BOX 12")</f>
        <v>PSC 473 BOX 12</v>
      </c>
      <c r="C1093" t="str">
        <f>T("")</f>
        <v/>
      </c>
      <c r="D1093" t="str">
        <f t="shared" ref="D1093:D1098" si="394">T("FPO")</f>
        <v>FPO</v>
      </c>
      <c r="E1093" t="str">
        <f>T("AP")</f>
        <v>AP</v>
      </c>
      <c r="F1093" t="str">
        <f>T("963490001")</f>
        <v>963490001</v>
      </c>
      <c r="G1093" t="str">
        <f>T("PSC 473 BOX 12")</f>
        <v>PSC 473 BOX 12</v>
      </c>
      <c r="H1093" t="str">
        <f>T("")</f>
        <v/>
      </c>
      <c r="I1093" t="str">
        <f t="shared" ref="I1093:I1098" si="395">T("FPO")</f>
        <v>FPO</v>
      </c>
      <c r="J1093" t="str">
        <f>T("AP")</f>
        <v>AP</v>
      </c>
      <c r="K1093" t="str">
        <f>T("")</f>
        <v/>
      </c>
      <c r="L1093" t="str">
        <f>T("1111111111")</f>
        <v>1111111111</v>
      </c>
    </row>
    <row r="1094" spans="1:12" x14ac:dyDescent="0.35">
      <c r="A1094" t="str">
        <f t="shared" si="392"/>
        <v>OFC NAV INTELLIGENCE</v>
      </c>
      <c r="B1094" t="str">
        <f>T("PSC 473 BOX 12")</f>
        <v>PSC 473 BOX 12</v>
      </c>
      <c r="C1094" t="str">
        <f>T("")</f>
        <v/>
      </c>
      <c r="D1094" t="str">
        <f t="shared" si="394"/>
        <v>FPO</v>
      </c>
      <c r="E1094" t="str">
        <f>T("AP")</f>
        <v>AP</v>
      </c>
      <c r="F1094" t="str">
        <f>T("963490001")</f>
        <v>963490001</v>
      </c>
      <c r="G1094" t="str">
        <f>T("PSC 473 BOX 12")</f>
        <v>PSC 473 BOX 12</v>
      </c>
      <c r="H1094" t="str">
        <f>T("")</f>
        <v/>
      </c>
      <c r="I1094" t="str">
        <f t="shared" si="395"/>
        <v>FPO</v>
      </c>
      <c r="J1094" t="str">
        <f>T("AP")</f>
        <v>AP</v>
      </c>
      <c r="K1094" t="str">
        <f>T("01181468167690")</f>
        <v>01181468167690</v>
      </c>
      <c r="L1094" t="str">
        <f>T("1111111111")</f>
        <v>1111111111</v>
      </c>
    </row>
    <row r="1095" spans="1:12" x14ac:dyDescent="0.35">
      <c r="A1095" t="str">
        <f t="shared" si="392"/>
        <v>OFC NAV INTELLIGENCE</v>
      </c>
      <c r="B1095" t="str">
        <f>T("PSC 473 BOX 12")</f>
        <v>PSC 473 BOX 12</v>
      </c>
      <c r="C1095" t="str">
        <f>T("")</f>
        <v/>
      </c>
      <c r="D1095" t="str">
        <f t="shared" si="394"/>
        <v>FPO</v>
      </c>
      <c r="E1095" t="str">
        <f>T("AP")</f>
        <v>AP</v>
      </c>
      <c r="F1095" t="str">
        <f>T("963490001")</f>
        <v>963490001</v>
      </c>
      <c r="G1095" t="str">
        <f>T("PSC 473 BOX 12")</f>
        <v>PSC 473 BOX 12</v>
      </c>
      <c r="H1095" t="str">
        <f>T("JAPAN")</f>
        <v>JAPAN</v>
      </c>
      <c r="I1095" t="str">
        <f t="shared" si="395"/>
        <v>FPO</v>
      </c>
      <c r="J1095" t="str">
        <f>T("AP")</f>
        <v>AP</v>
      </c>
      <c r="K1095" t="str">
        <f>T("01181468167690")</f>
        <v>01181468167690</v>
      </c>
      <c r="L1095" t="str">
        <f>T("1111111111")</f>
        <v>1111111111</v>
      </c>
    </row>
    <row r="1096" spans="1:12" x14ac:dyDescent="0.35">
      <c r="A1096" t="str">
        <f t="shared" si="392"/>
        <v>OFC NAV INTELLIGENCE</v>
      </c>
      <c r="B1096" t="str">
        <f>T("PSC 809 BOX 2592")</f>
        <v>PSC 809 BOX 2592</v>
      </c>
      <c r="C1096" t="str">
        <f>T("HISC-ISC-OEU")</f>
        <v>HISC-ISC-OEU</v>
      </c>
      <c r="D1096" t="str">
        <f t="shared" si="394"/>
        <v>FPO</v>
      </c>
      <c r="E1096" t="str">
        <f>T("AE")</f>
        <v>AE</v>
      </c>
      <c r="F1096" t="str">
        <f>T("096260026")</f>
        <v>096260026</v>
      </c>
      <c r="G1096" t="str">
        <f>T("PSC 809 BOX 2592")</f>
        <v>PSC 809 BOX 2592</v>
      </c>
      <c r="H1096" t="str">
        <f>T("HISC-ISC-OEU")</f>
        <v>HISC-ISC-OEU</v>
      </c>
      <c r="I1096" t="str">
        <f t="shared" si="395"/>
        <v>FPO</v>
      </c>
      <c r="J1096" t="str">
        <f>T("AE")</f>
        <v>AE</v>
      </c>
      <c r="K1096" t="str">
        <f>T("")</f>
        <v/>
      </c>
      <c r="L1096" t="str">
        <f>T("0815684828")</f>
        <v>0815684828</v>
      </c>
    </row>
    <row r="1097" spans="1:12" x14ac:dyDescent="0.35">
      <c r="A1097" t="str">
        <f t="shared" si="392"/>
        <v>OFC NAV INTELLIGENCE</v>
      </c>
      <c r="B1097" t="str">
        <f>T("PSC 809 BOX 2592")</f>
        <v>PSC 809 BOX 2592</v>
      </c>
      <c r="C1097" t="str">
        <f>T("HISC-ISC-OEU")</f>
        <v>HISC-ISC-OEU</v>
      </c>
      <c r="D1097" t="str">
        <f t="shared" si="394"/>
        <v>FPO</v>
      </c>
      <c r="E1097" t="str">
        <f>T("AE")</f>
        <v>AE</v>
      </c>
      <c r="F1097" t="str">
        <f>T("096260026")</f>
        <v>096260026</v>
      </c>
      <c r="G1097" t="str">
        <f>T("PSC 809 BOX 70")</f>
        <v>PSC 809 BOX 70</v>
      </c>
      <c r="H1097" t="str">
        <f>T("HOPPER ISC-OEU")</f>
        <v>HOPPER ISC-OEU</v>
      </c>
      <c r="I1097" t="str">
        <f t="shared" si="395"/>
        <v>FPO</v>
      </c>
      <c r="J1097" t="str">
        <f>T("AE")</f>
        <v>AE</v>
      </c>
      <c r="K1097" t="str">
        <f>T("000000000000000000")</f>
        <v>000000000000000000</v>
      </c>
      <c r="L1097" t="str">
        <f>T("3146264828")</f>
        <v>3146264828</v>
      </c>
    </row>
    <row r="1098" spans="1:12" x14ac:dyDescent="0.35">
      <c r="A1098" t="str">
        <f t="shared" si="392"/>
        <v>OFC NAV INTELLIGENCE</v>
      </c>
      <c r="B1098" t="str">
        <f>T("PSC 809 BOX 2592")</f>
        <v>PSC 809 BOX 2592</v>
      </c>
      <c r="C1098" t="str">
        <f>T("HISC-ISC-OEU")</f>
        <v>HISC-ISC-OEU</v>
      </c>
      <c r="D1098" t="str">
        <f t="shared" si="394"/>
        <v>FPO</v>
      </c>
      <c r="E1098" t="str">
        <f>T("AE")</f>
        <v>AE</v>
      </c>
      <c r="F1098" t="str">
        <f>T("096260026")</f>
        <v>096260026</v>
      </c>
      <c r="G1098" t="str">
        <f>T("PSC 809 BOX 70")</f>
        <v>PSC 809 BOX 70</v>
      </c>
      <c r="H1098" t="str">
        <f>T("HOPPER SPINTCOMM NAPLES")</f>
        <v>HOPPER SPINTCOMM NAPLES</v>
      </c>
      <c r="I1098" t="str">
        <f t="shared" si="395"/>
        <v>FPO</v>
      </c>
      <c r="J1098" t="str">
        <f>T("AE")</f>
        <v>AE</v>
      </c>
      <c r="K1098" t="str">
        <f>T("011390815684828")</f>
        <v>011390815684828</v>
      </c>
      <c r="L1098" t="str">
        <f>T("1111111111")</f>
        <v>1111111111</v>
      </c>
    </row>
    <row r="1099" spans="1:12" x14ac:dyDescent="0.35">
      <c r="A1099" t="str">
        <f t="shared" ref="A1099:A1116" si="396">T("NNMC BETHESDA")</f>
        <v>NNMC BETHESDA</v>
      </c>
      <c r="B1099" t="str">
        <f>T("8901 WISCONS AVENUE")</f>
        <v>8901 WISCONS AVENUE</v>
      </c>
      <c r="C1099" t="str">
        <f t="shared" ref="C1099:C1107" si="397">T("")</f>
        <v/>
      </c>
      <c r="D1099" t="str">
        <f t="shared" ref="D1099:D1116" si="398">T("BETHESDA")</f>
        <v>BETHESDA</v>
      </c>
      <c r="E1099" t="str">
        <f t="shared" ref="E1099:E1116" si="399">T("MD")</f>
        <v>MD</v>
      </c>
      <c r="F1099" t="str">
        <f>T("208890001")</f>
        <v>208890001</v>
      </c>
      <c r="G1099" t="str">
        <f>T("8901 WISCONS AVENUE")</f>
        <v>8901 WISCONS AVENUE</v>
      </c>
      <c r="H1099" t="str">
        <f t="shared" ref="H1099:H1107" si="400">T("")</f>
        <v/>
      </c>
      <c r="I1099" t="str">
        <f t="shared" ref="I1099:I1117" si="401">T("BETHESDA")</f>
        <v>BETHESDA</v>
      </c>
      <c r="J1099" t="str">
        <f t="shared" ref="J1099:J1117" si="402">T("MD")</f>
        <v>MD</v>
      </c>
      <c r="K1099" t="str">
        <f>T("000000000000000000")</f>
        <v>000000000000000000</v>
      </c>
      <c r="L1099" t="str">
        <f>T("3012958946")</f>
        <v>3012958946</v>
      </c>
    </row>
    <row r="1100" spans="1:12" x14ac:dyDescent="0.35">
      <c r="A1100" t="str">
        <f t="shared" si="396"/>
        <v>NNMC BETHESDA</v>
      </c>
      <c r="B1100" t="str">
        <f>T("8901 WISCONS AVENUE")</f>
        <v>8901 WISCONS AVENUE</v>
      </c>
      <c r="C1100" t="str">
        <f t="shared" si="397"/>
        <v/>
      </c>
      <c r="D1100" t="str">
        <f t="shared" si="398"/>
        <v>BETHESDA</v>
      </c>
      <c r="E1100" t="str">
        <f t="shared" si="399"/>
        <v>MD</v>
      </c>
      <c r="F1100" t="str">
        <f>T("208890001")</f>
        <v>208890001</v>
      </c>
      <c r="G1100" t="str">
        <f t="shared" ref="G1100:G1111" si="403">T("8901 WISCONSIN AVE")</f>
        <v>8901 WISCONSIN AVE</v>
      </c>
      <c r="H1100" t="str">
        <f t="shared" si="400"/>
        <v/>
      </c>
      <c r="I1100" t="str">
        <f t="shared" si="401"/>
        <v>BETHESDA</v>
      </c>
      <c r="J1100" t="str">
        <f t="shared" si="402"/>
        <v>MD</v>
      </c>
      <c r="K1100" t="str">
        <f>T("000000000000000000")</f>
        <v>000000000000000000</v>
      </c>
      <c r="L1100" t="str">
        <f>T("3014001886")</f>
        <v>3014001886</v>
      </c>
    </row>
    <row r="1101" spans="1:12" x14ac:dyDescent="0.35">
      <c r="A1101" t="str">
        <f t="shared" si="396"/>
        <v>NNMC BETHESDA</v>
      </c>
      <c r="B1101" t="str">
        <f t="shared" ref="B1101:B1111" si="404">T("8901 WISCONSIN AVE")</f>
        <v>8901 WISCONSIN AVE</v>
      </c>
      <c r="C1101" t="str">
        <f t="shared" si="397"/>
        <v/>
      </c>
      <c r="D1101" t="str">
        <f t="shared" si="398"/>
        <v>BETHESDA</v>
      </c>
      <c r="E1101" t="str">
        <f t="shared" si="399"/>
        <v>MD</v>
      </c>
      <c r="F1101" t="str">
        <f t="shared" ref="F1101:F1116" si="405">T("208890004")</f>
        <v>208890004</v>
      </c>
      <c r="G1101" t="str">
        <f t="shared" si="403"/>
        <v>8901 WISCONSIN AVE</v>
      </c>
      <c r="H1101" t="str">
        <f t="shared" si="400"/>
        <v/>
      </c>
      <c r="I1101" t="str">
        <f t="shared" si="401"/>
        <v>BETHESDA</v>
      </c>
      <c r="J1101" t="str">
        <f t="shared" si="402"/>
        <v>MD</v>
      </c>
      <c r="K1101" t="str">
        <f>T("")</f>
        <v/>
      </c>
      <c r="L1101" t="str">
        <f>T("3012952489")</f>
        <v>3012952489</v>
      </c>
    </row>
    <row r="1102" spans="1:12" x14ac:dyDescent="0.35">
      <c r="A1102" t="str">
        <f t="shared" si="396"/>
        <v>NNMC BETHESDA</v>
      </c>
      <c r="B1102" t="str">
        <f t="shared" si="404"/>
        <v>8901 WISCONSIN AVE</v>
      </c>
      <c r="C1102" t="str">
        <f t="shared" si="397"/>
        <v/>
      </c>
      <c r="D1102" t="str">
        <f t="shared" si="398"/>
        <v>BETHESDA</v>
      </c>
      <c r="E1102" t="str">
        <f t="shared" si="399"/>
        <v>MD</v>
      </c>
      <c r="F1102" t="str">
        <f t="shared" si="405"/>
        <v>208890004</v>
      </c>
      <c r="G1102" t="str">
        <f t="shared" si="403"/>
        <v>8901 WISCONSIN AVE</v>
      </c>
      <c r="H1102" t="str">
        <f t="shared" si="400"/>
        <v/>
      </c>
      <c r="I1102" t="str">
        <f t="shared" si="401"/>
        <v>BETHESDA</v>
      </c>
      <c r="J1102" t="str">
        <f t="shared" si="402"/>
        <v>MD</v>
      </c>
      <c r="K1102" t="str">
        <f t="shared" ref="K1102:K1107" si="406">T("000000000000000000")</f>
        <v>000000000000000000</v>
      </c>
      <c r="L1102" t="str">
        <f>T("3012954976")</f>
        <v>3012954976</v>
      </c>
    </row>
    <row r="1103" spans="1:12" x14ac:dyDescent="0.35">
      <c r="A1103" t="str">
        <f t="shared" si="396"/>
        <v>NNMC BETHESDA</v>
      </c>
      <c r="B1103" t="str">
        <f t="shared" si="404"/>
        <v>8901 WISCONSIN AVE</v>
      </c>
      <c r="C1103" t="str">
        <f t="shared" si="397"/>
        <v/>
      </c>
      <c r="D1103" t="str">
        <f t="shared" si="398"/>
        <v>BETHESDA</v>
      </c>
      <c r="E1103" t="str">
        <f t="shared" si="399"/>
        <v>MD</v>
      </c>
      <c r="F1103" t="str">
        <f t="shared" si="405"/>
        <v>208890004</v>
      </c>
      <c r="G1103" t="str">
        <f t="shared" si="403"/>
        <v>8901 WISCONSIN AVE</v>
      </c>
      <c r="H1103" t="str">
        <f t="shared" si="400"/>
        <v/>
      </c>
      <c r="I1103" t="str">
        <f t="shared" si="401"/>
        <v>BETHESDA</v>
      </c>
      <c r="J1103" t="str">
        <f t="shared" si="402"/>
        <v>MD</v>
      </c>
      <c r="K1103" t="str">
        <f t="shared" si="406"/>
        <v>000000000000000000</v>
      </c>
      <c r="L1103" t="str">
        <f>T("3013198492")</f>
        <v>3013198492</v>
      </c>
    </row>
    <row r="1104" spans="1:12" x14ac:dyDescent="0.35">
      <c r="A1104" t="str">
        <f t="shared" si="396"/>
        <v>NNMC BETHESDA</v>
      </c>
      <c r="B1104" t="str">
        <f t="shared" si="404"/>
        <v>8901 WISCONSIN AVE</v>
      </c>
      <c r="C1104" t="str">
        <f t="shared" si="397"/>
        <v/>
      </c>
      <c r="D1104" t="str">
        <f t="shared" si="398"/>
        <v>BETHESDA</v>
      </c>
      <c r="E1104" t="str">
        <f t="shared" si="399"/>
        <v>MD</v>
      </c>
      <c r="F1104" t="str">
        <f t="shared" si="405"/>
        <v>208890004</v>
      </c>
      <c r="G1104" t="str">
        <f t="shared" si="403"/>
        <v>8901 WISCONSIN AVE</v>
      </c>
      <c r="H1104" t="str">
        <f t="shared" si="400"/>
        <v/>
      </c>
      <c r="I1104" t="str">
        <f t="shared" si="401"/>
        <v>BETHESDA</v>
      </c>
      <c r="J1104" t="str">
        <f t="shared" si="402"/>
        <v>MD</v>
      </c>
      <c r="K1104" t="str">
        <f t="shared" si="406"/>
        <v>000000000000000000</v>
      </c>
      <c r="L1104" t="str">
        <f>T("3013198528")</f>
        <v>3013198528</v>
      </c>
    </row>
    <row r="1105" spans="1:12" x14ac:dyDescent="0.35">
      <c r="A1105" t="str">
        <f t="shared" si="396"/>
        <v>NNMC BETHESDA</v>
      </c>
      <c r="B1105" t="str">
        <f t="shared" si="404"/>
        <v>8901 WISCONSIN AVE</v>
      </c>
      <c r="C1105" t="str">
        <f t="shared" si="397"/>
        <v/>
      </c>
      <c r="D1105" t="str">
        <f t="shared" si="398"/>
        <v>BETHESDA</v>
      </c>
      <c r="E1105" t="str">
        <f t="shared" si="399"/>
        <v>MD</v>
      </c>
      <c r="F1105" t="str">
        <f t="shared" si="405"/>
        <v>208890004</v>
      </c>
      <c r="G1105" t="str">
        <f t="shared" si="403"/>
        <v>8901 WISCONSIN AVE</v>
      </c>
      <c r="H1105" t="str">
        <f t="shared" si="400"/>
        <v/>
      </c>
      <c r="I1105" t="str">
        <f t="shared" si="401"/>
        <v>BETHESDA</v>
      </c>
      <c r="J1105" t="str">
        <f t="shared" si="402"/>
        <v>MD</v>
      </c>
      <c r="K1105" t="str">
        <f t="shared" si="406"/>
        <v>000000000000000000</v>
      </c>
      <c r="L1105" t="str">
        <f>T("3013198542")</f>
        <v>3013198542</v>
      </c>
    </row>
    <row r="1106" spans="1:12" x14ac:dyDescent="0.35">
      <c r="A1106" t="str">
        <f t="shared" si="396"/>
        <v>NNMC BETHESDA</v>
      </c>
      <c r="B1106" t="str">
        <f t="shared" si="404"/>
        <v>8901 WISCONSIN AVE</v>
      </c>
      <c r="C1106" t="str">
        <f t="shared" si="397"/>
        <v/>
      </c>
      <c r="D1106" t="str">
        <f t="shared" si="398"/>
        <v>BETHESDA</v>
      </c>
      <c r="E1106" t="str">
        <f t="shared" si="399"/>
        <v>MD</v>
      </c>
      <c r="F1106" t="str">
        <f t="shared" si="405"/>
        <v>208890004</v>
      </c>
      <c r="G1106" t="str">
        <f t="shared" si="403"/>
        <v>8901 WISCONSIN AVE</v>
      </c>
      <c r="H1106" t="str">
        <f t="shared" si="400"/>
        <v/>
      </c>
      <c r="I1106" t="str">
        <f t="shared" si="401"/>
        <v>BETHESDA</v>
      </c>
      <c r="J1106" t="str">
        <f t="shared" si="402"/>
        <v>MD</v>
      </c>
      <c r="K1106" t="str">
        <f t="shared" si="406"/>
        <v>000000000000000000</v>
      </c>
      <c r="L1106" t="str">
        <f>T("3014000913")</f>
        <v>3014000913</v>
      </c>
    </row>
    <row r="1107" spans="1:12" x14ac:dyDescent="0.35">
      <c r="A1107" t="str">
        <f t="shared" si="396"/>
        <v>NNMC BETHESDA</v>
      </c>
      <c r="B1107" t="str">
        <f t="shared" si="404"/>
        <v>8901 WISCONSIN AVE</v>
      </c>
      <c r="C1107" t="str">
        <f t="shared" si="397"/>
        <v/>
      </c>
      <c r="D1107" t="str">
        <f t="shared" si="398"/>
        <v>BETHESDA</v>
      </c>
      <c r="E1107" t="str">
        <f t="shared" si="399"/>
        <v>MD</v>
      </c>
      <c r="F1107" t="str">
        <f t="shared" si="405"/>
        <v>208890004</v>
      </c>
      <c r="G1107" t="str">
        <f t="shared" si="403"/>
        <v>8901 WISCONSIN AVE</v>
      </c>
      <c r="H1107" t="str">
        <f t="shared" si="400"/>
        <v/>
      </c>
      <c r="I1107" t="str">
        <f t="shared" si="401"/>
        <v>BETHESDA</v>
      </c>
      <c r="J1107" t="str">
        <f t="shared" si="402"/>
        <v>MD</v>
      </c>
      <c r="K1107" t="str">
        <f t="shared" si="406"/>
        <v>000000000000000000</v>
      </c>
      <c r="L1107" t="str">
        <f>T("3014003212")</f>
        <v>3014003212</v>
      </c>
    </row>
    <row r="1108" spans="1:12" x14ac:dyDescent="0.35">
      <c r="A1108" t="str">
        <f t="shared" si="396"/>
        <v>NNMC BETHESDA</v>
      </c>
      <c r="B1108" t="str">
        <f t="shared" si="404"/>
        <v>8901 WISCONSIN AVE</v>
      </c>
      <c r="C1108" t="str">
        <f>T("BLDG 54")</f>
        <v>BLDG 54</v>
      </c>
      <c r="D1108" t="str">
        <f t="shared" si="398"/>
        <v>BETHESDA</v>
      </c>
      <c r="E1108" t="str">
        <f t="shared" si="399"/>
        <v>MD</v>
      </c>
      <c r="F1108" t="str">
        <f t="shared" si="405"/>
        <v>208890004</v>
      </c>
      <c r="G1108" t="str">
        <f t="shared" si="403"/>
        <v>8901 WISCONSIN AVE</v>
      </c>
      <c r="H1108" t="str">
        <f>T("BLDG 54")</f>
        <v>BLDG 54</v>
      </c>
      <c r="I1108" t="str">
        <f t="shared" si="401"/>
        <v>BETHESDA</v>
      </c>
      <c r="J1108" t="str">
        <f t="shared" si="402"/>
        <v>MD</v>
      </c>
      <c r="K1108" t="str">
        <f>T("")</f>
        <v/>
      </c>
      <c r="L1108" t="str">
        <f>T("3012951331")</f>
        <v>3012951331</v>
      </c>
    </row>
    <row r="1109" spans="1:12" x14ac:dyDescent="0.35">
      <c r="A1109" t="str">
        <f t="shared" si="396"/>
        <v>NNMC BETHESDA</v>
      </c>
      <c r="B1109" t="str">
        <f t="shared" si="404"/>
        <v>8901 WISCONSIN AVE</v>
      </c>
      <c r="C1109" t="str">
        <f>T("BLDG 54")</f>
        <v>BLDG 54</v>
      </c>
      <c r="D1109" t="str">
        <f t="shared" si="398"/>
        <v>BETHESDA</v>
      </c>
      <c r="E1109" t="str">
        <f t="shared" si="399"/>
        <v>MD</v>
      </c>
      <c r="F1109" t="str">
        <f t="shared" si="405"/>
        <v>208890004</v>
      </c>
      <c r="G1109" t="str">
        <f t="shared" si="403"/>
        <v>8901 WISCONSIN AVE</v>
      </c>
      <c r="H1109" t="str">
        <f>T("BLDG 54")</f>
        <v>BLDG 54</v>
      </c>
      <c r="I1109" t="str">
        <f t="shared" si="401"/>
        <v>BETHESDA</v>
      </c>
      <c r="J1109" t="str">
        <f t="shared" si="402"/>
        <v>MD</v>
      </c>
      <c r="K1109" t="str">
        <f>T("")</f>
        <v/>
      </c>
      <c r="L1109" t="str">
        <f>T("3012956491")</f>
        <v>3012956491</v>
      </c>
    </row>
    <row r="1110" spans="1:12" x14ac:dyDescent="0.35">
      <c r="A1110" t="str">
        <f t="shared" si="396"/>
        <v>NNMC BETHESDA</v>
      </c>
      <c r="B1110" t="str">
        <f t="shared" si="404"/>
        <v>8901 WISCONSIN AVE</v>
      </c>
      <c r="C1110" t="str">
        <f>T("BLDG 54")</f>
        <v>BLDG 54</v>
      </c>
      <c r="D1110" t="str">
        <f t="shared" si="398"/>
        <v>BETHESDA</v>
      </c>
      <c r="E1110" t="str">
        <f t="shared" si="399"/>
        <v>MD</v>
      </c>
      <c r="F1110" t="str">
        <f t="shared" si="405"/>
        <v>208890004</v>
      </c>
      <c r="G1110" t="str">
        <f t="shared" si="403"/>
        <v>8901 WISCONSIN AVE</v>
      </c>
      <c r="H1110" t="str">
        <f>T("BLDG 54")</f>
        <v>BLDG 54</v>
      </c>
      <c r="I1110" t="str">
        <f t="shared" si="401"/>
        <v>BETHESDA</v>
      </c>
      <c r="J1110" t="str">
        <f t="shared" si="402"/>
        <v>MD</v>
      </c>
      <c r="K1110" t="str">
        <f>T("000000000000000000")</f>
        <v>000000000000000000</v>
      </c>
      <c r="L1110" t="str">
        <f>T("3014002963")</f>
        <v>3014002963</v>
      </c>
    </row>
    <row r="1111" spans="1:12" x14ac:dyDescent="0.35">
      <c r="A1111" t="str">
        <f t="shared" si="396"/>
        <v>NNMC BETHESDA</v>
      </c>
      <c r="B1111" t="str">
        <f t="shared" si="404"/>
        <v>8901 WISCONSIN AVE</v>
      </c>
      <c r="C1111" t="str">
        <f>T("BLDG 54")</f>
        <v>BLDG 54</v>
      </c>
      <c r="D1111" t="str">
        <f t="shared" si="398"/>
        <v>BETHESDA</v>
      </c>
      <c r="E1111" t="str">
        <f t="shared" si="399"/>
        <v>MD</v>
      </c>
      <c r="F1111" t="str">
        <f t="shared" si="405"/>
        <v>208890004</v>
      </c>
      <c r="G1111" t="str">
        <f t="shared" si="403"/>
        <v>8901 WISCONSIN AVE</v>
      </c>
      <c r="H1111" t="str">
        <f>T("BLDG 54")</f>
        <v>BLDG 54</v>
      </c>
      <c r="I1111" t="str">
        <f t="shared" si="401"/>
        <v>BETHESDA</v>
      </c>
      <c r="J1111" t="str">
        <f t="shared" si="402"/>
        <v>MD</v>
      </c>
      <c r="K1111" t="str">
        <f>T("000000000000000000")</f>
        <v>000000000000000000</v>
      </c>
      <c r="L1111" t="str">
        <f>T("7036954928")</f>
        <v>7036954928</v>
      </c>
    </row>
    <row r="1112" spans="1:12" x14ac:dyDescent="0.35">
      <c r="A1112" t="str">
        <f t="shared" si="396"/>
        <v>NNMC BETHESDA</v>
      </c>
      <c r="B1112" t="str">
        <f>T("8901 WISCONSIN AVENUE")</f>
        <v>8901 WISCONSIN AVENUE</v>
      </c>
      <c r="C1112" t="str">
        <f>T("")</f>
        <v/>
      </c>
      <c r="D1112" t="str">
        <f t="shared" si="398"/>
        <v>BETHESDA</v>
      </c>
      <c r="E1112" t="str">
        <f t="shared" si="399"/>
        <v>MD</v>
      </c>
      <c r="F1112" t="str">
        <f t="shared" si="405"/>
        <v>208890004</v>
      </c>
      <c r="G1112" t="str">
        <f>T("8901 WISCONSIN AVENUE")</f>
        <v>8901 WISCONSIN AVENUE</v>
      </c>
      <c r="H1112" t="str">
        <f>T("")</f>
        <v/>
      </c>
      <c r="I1112" t="str">
        <f t="shared" si="401"/>
        <v>BETHESDA</v>
      </c>
      <c r="J1112" t="str">
        <f t="shared" si="402"/>
        <v>MD</v>
      </c>
      <c r="K1112" t="str">
        <f>T("")</f>
        <v/>
      </c>
      <c r="L1112" t="str">
        <f>T("3012950770")</f>
        <v>3012950770</v>
      </c>
    </row>
    <row r="1113" spans="1:12" x14ac:dyDescent="0.35">
      <c r="A1113" t="str">
        <f t="shared" si="396"/>
        <v>NNMC BETHESDA</v>
      </c>
      <c r="B1113" t="str">
        <f>T("8901 WISCONSIN AVENUE")</f>
        <v>8901 WISCONSIN AVENUE</v>
      </c>
      <c r="C1113" t="str">
        <f>T("")</f>
        <v/>
      </c>
      <c r="D1113" t="str">
        <f t="shared" si="398"/>
        <v>BETHESDA</v>
      </c>
      <c r="E1113" t="str">
        <f t="shared" si="399"/>
        <v>MD</v>
      </c>
      <c r="F1113" t="str">
        <f t="shared" si="405"/>
        <v>208890004</v>
      </c>
      <c r="G1113" t="str">
        <f>T("8901 WISCONSIN AVENUE")</f>
        <v>8901 WISCONSIN AVENUE</v>
      </c>
      <c r="H1113" t="str">
        <f>T("")</f>
        <v/>
      </c>
      <c r="I1113" t="str">
        <f t="shared" si="401"/>
        <v>BETHESDA</v>
      </c>
      <c r="J1113" t="str">
        <f t="shared" si="402"/>
        <v>MD</v>
      </c>
      <c r="K1113" t="str">
        <f>T("")</f>
        <v/>
      </c>
      <c r="L1113" t="str">
        <f>T("3014003215")</f>
        <v>3014003215</v>
      </c>
    </row>
    <row r="1114" spans="1:12" x14ac:dyDescent="0.35">
      <c r="A1114" t="str">
        <f t="shared" si="396"/>
        <v>NNMC BETHESDA</v>
      </c>
      <c r="B1114" t="str">
        <f>T("8901 WISCONSIN AVENUE")</f>
        <v>8901 WISCONSIN AVENUE</v>
      </c>
      <c r="C1114" t="str">
        <f>T("")</f>
        <v/>
      </c>
      <c r="D1114" t="str">
        <f t="shared" si="398"/>
        <v>BETHESDA</v>
      </c>
      <c r="E1114" t="str">
        <f t="shared" si="399"/>
        <v>MD</v>
      </c>
      <c r="F1114" t="str">
        <f t="shared" si="405"/>
        <v>208890004</v>
      </c>
      <c r="G1114" t="str">
        <f>T("8901 WISCONSIN AVENUE")</f>
        <v>8901 WISCONSIN AVENUE</v>
      </c>
      <c r="H1114" t="str">
        <f>T("")</f>
        <v/>
      </c>
      <c r="I1114" t="str">
        <f t="shared" si="401"/>
        <v>BETHESDA</v>
      </c>
      <c r="J1114" t="str">
        <f t="shared" si="402"/>
        <v>MD</v>
      </c>
      <c r="K1114" t="str">
        <f>T("000000000000000000")</f>
        <v>000000000000000000</v>
      </c>
      <c r="L1114" t="str">
        <f>T("7036920961")</f>
        <v>7036920961</v>
      </c>
    </row>
    <row r="1115" spans="1:12" x14ac:dyDescent="0.35">
      <c r="A1115" t="str">
        <f t="shared" si="396"/>
        <v>NNMC BETHESDA</v>
      </c>
      <c r="B1115" t="str">
        <f>T("BLDG 54 ACS MGMT")</f>
        <v>BLDG 54 ACS MGMT</v>
      </c>
      <c r="C1115" t="str">
        <f>T("8901 WISCONSIN AVE")</f>
        <v>8901 WISCONSIN AVE</v>
      </c>
      <c r="D1115" t="str">
        <f t="shared" si="398"/>
        <v>BETHESDA</v>
      </c>
      <c r="E1115" t="str">
        <f t="shared" si="399"/>
        <v>MD</v>
      </c>
      <c r="F1115" t="str">
        <f t="shared" si="405"/>
        <v>208890004</v>
      </c>
      <c r="G1115" t="str">
        <f>T("BLDG 54 ACS MGMT")</f>
        <v>BLDG 54 ACS MGMT</v>
      </c>
      <c r="H1115" t="str">
        <f>T("8901 WISCONSIN AVE")</f>
        <v>8901 WISCONSIN AVE</v>
      </c>
      <c r="I1115" t="str">
        <f t="shared" si="401"/>
        <v>BETHESDA</v>
      </c>
      <c r="J1115" t="str">
        <f t="shared" si="402"/>
        <v>MD</v>
      </c>
      <c r="K1115" t="str">
        <f>T("000000000000000000")</f>
        <v>000000000000000000</v>
      </c>
      <c r="L1115" t="str">
        <f>T("3012952004")</f>
        <v>3012952004</v>
      </c>
    </row>
    <row r="1116" spans="1:12" x14ac:dyDescent="0.35">
      <c r="A1116" t="str">
        <f t="shared" si="396"/>
        <v>NNMC BETHESDA</v>
      </c>
      <c r="B1116" t="str">
        <f>T("MATERIAL MGT BLDG 9")</f>
        <v>MATERIAL MGT BLDG 9</v>
      </c>
      <c r="C1116" t="str">
        <f>T("8901 WISCONSIN AVE")</f>
        <v>8901 WISCONSIN AVE</v>
      </c>
      <c r="D1116" t="str">
        <f t="shared" si="398"/>
        <v>BETHESDA</v>
      </c>
      <c r="E1116" t="str">
        <f t="shared" si="399"/>
        <v>MD</v>
      </c>
      <c r="F1116" t="str">
        <f t="shared" si="405"/>
        <v>208890004</v>
      </c>
      <c r="G1116" t="str">
        <f>T("MATERIAL MGT BLDG 9")</f>
        <v>MATERIAL MGT BLDG 9</v>
      </c>
      <c r="H1116" t="str">
        <f>T("8901 WISCONSIN AVE")</f>
        <v>8901 WISCONSIN AVE</v>
      </c>
      <c r="I1116" t="str">
        <f t="shared" si="401"/>
        <v>BETHESDA</v>
      </c>
      <c r="J1116" t="str">
        <f t="shared" si="402"/>
        <v>MD</v>
      </c>
      <c r="K1116" t="str">
        <f>T("000000000000000000")</f>
        <v>000000000000000000</v>
      </c>
      <c r="L1116" t="str">
        <f>T("3012950139")</f>
        <v>3012950139</v>
      </c>
    </row>
    <row r="1117" spans="1:12" x14ac:dyDescent="0.35">
      <c r="A1117" t="str">
        <f t="shared" ref="A1117:A1131" si="407">T("BUMED")</f>
        <v>BUMED</v>
      </c>
      <c r="B1117" t="str">
        <f t="shared" ref="B1117:B1123" si="408">T("7700 ARLINGTON BLVD")</f>
        <v>7700 ARLINGTON BLVD</v>
      </c>
      <c r="C1117" t="str">
        <f t="shared" ref="C1117:C1123" si="409">T("SUITE 1NW412A")</f>
        <v>SUITE 1NW412A</v>
      </c>
      <c r="D1117" t="str">
        <f t="shared" ref="D1117:D1123" si="410">T("FALLS CHURCH")</f>
        <v>FALLS CHURCH</v>
      </c>
      <c r="E1117" t="str">
        <f t="shared" ref="E1117:E1123" si="411">T("VA")</f>
        <v>VA</v>
      </c>
      <c r="F1117" t="str">
        <f t="shared" ref="F1117:F1123" si="412">T("220422929")</f>
        <v>220422929</v>
      </c>
      <c r="G1117" t="str">
        <f>T("4944 N PALMER ROAD")</f>
        <v>4944 N PALMER ROAD</v>
      </c>
      <c r="H1117" t="str">
        <f>T("")</f>
        <v/>
      </c>
      <c r="I1117" t="str">
        <f t="shared" si="401"/>
        <v>BETHESDA</v>
      </c>
      <c r="J1117" t="str">
        <f t="shared" si="402"/>
        <v>MD</v>
      </c>
      <c r="K1117" t="str">
        <f>T("3012956045")</f>
        <v>3012956045</v>
      </c>
      <c r="L1117" t="str">
        <f>T("3013194356")</f>
        <v>3013194356</v>
      </c>
    </row>
    <row r="1118" spans="1:12" x14ac:dyDescent="0.35">
      <c r="A1118" t="str">
        <f t="shared" si="407"/>
        <v>BUMED</v>
      </c>
      <c r="B1118" t="str">
        <f t="shared" si="408"/>
        <v>7700 ARLINGTON BLVD</v>
      </c>
      <c r="C1118" t="str">
        <f t="shared" si="409"/>
        <v>SUITE 1NW412A</v>
      </c>
      <c r="D1118" t="str">
        <f t="shared" si="410"/>
        <v>FALLS CHURCH</v>
      </c>
      <c r="E1118" t="str">
        <f t="shared" si="411"/>
        <v>VA</v>
      </c>
      <c r="F1118" t="str">
        <f t="shared" si="412"/>
        <v>220422929</v>
      </c>
      <c r="G1118" t="str">
        <f>T("7700 ARLINGTON BLVD")</f>
        <v>7700 ARLINGTON BLVD</v>
      </c>
      <c r="H1118" t="str">
        <f>T("")</f>
        <v/>
      </c>
      <c r="I1118" t="str">
        <f>T("FALLS CHURCH")</f>
        <v>FALLS CHURCH</v>
      </c>
      <c r="J1118" t="str">
        <f>T("VA")</f>
        <v>VA</v>
      </c>
      <c r="K1118" t="str">
        <f>T("000000000000000000")</f>
        <v>000000000000000000</v>
      </c>
      <c r="L1118" t="str">
        <f>T("2027623239")</f>
        <v>2027623239</v>
      </c>
    </row>
    <row r="1119" spans="1:12" x14ac:dyDescent="0.35">
      <c r="A1119" t="str">
        <f t="shared" si="407"/>
        <v>BUMED</v>
      </c>
      <c r="B1119" t="str">
        <f t="shared" si="408"/>
        <v>7700 ARLINGTON BLVD</v>
      </c>
      <c r="C1119" t="str">
        <f t="shared" si="409"/>
        <v>SUITE 1NW412A</v>
      </c>
      <c r="D1119" t="str">
        <f t="shared" si="410"/>
        <v>FALLS CHURCH</v>
      </c>
      <c r="E1119" t="str">
        <f t="shared" si="411"/>
        <v>VA</v>
      </c>
      <c r="F1119" t="str">
        <f t="shared" si="412"/>
        <v>220422929</v>
      </c>
      <c r="G1119" t="str">
        <f>T("7700 ARLINGTON BLVD")</f>
        <v>7700 ARLINGTON BLVD</v>
      </c>
      <c r="H1119" t="str">
        <f>T("")</f>
        <v/>
      </c>
      <c r="I1119" t="str">
        <f>T("FALLS CHURCH")</f>
        <v>FALLS CHURCH</v>
      </c>
      <c r="J1119" t="str">
        <f>T("VA")</f>
        <v>VA</v>
      </c>
      <c r="K1119" t="str">
        <f>T("000000000000000000")</f>
        <v>000000000000000000</v>
      </c>
      <c r="L1119" t="str">
        <f>T("7036819068")</f>
        <v>7036819068</v>
      </c>
    </row>
    <row r="1120" spans="1:12" x14ac:dyDescent="0.35">
      <c r="A1120" t="str">
        <f t="shared" si="407"/>
        <v>BUMED</v>
      </c>
      <c r="B1120" t="str">
        <f t="shared" si="408"/>
        <v>7700 ARLINGTON BLVD</v>
      </c>
      <c r="C1120" t="str">
        <f t="shared" si="409"/>
        <v>SUITE 1NW412A</v>
      </c>
      <c r="D1120" t="str">
        <f t="shared" si="410"/>
        <v>FALLS CHURCH</v>
      </c>
      <c r="E1120" t="str">
        <f t="shared" si="411"/>
        <v>VA</v>
      </c>
      <c r="F1120" t="str">
        <f t="shared" si="412"/>
        <v>220422929</v>
      </c>
      <c r="G1120" t="str">
        <f>T("7700 ARLINGTON BLVD")</f>
        <v>7700 ARLINGTON BLVD</v>
      </c>
      <c r="H1120" t="str">
        <f>T("")</f>
        <v/>
      </c>
      <c r="I1120" t="str">
        <f>T("FALLS CHURCH")</f>
        <v>FALLS CHURCH</v>
      </c>
      <c r="J1120" t="str">
        <f>T("VA")</f>
        <v>VA</v>
      </c>
      <c r="K1120" t="str">
        <f>T("7036815401")</f>
        <v>7036815401</v>
      </c>
      <c r="L1120" t="str">
        <f>T("7036819023")</f>
        <v>7036819023</v>
      </c>
    </row>
    <row r="1121" spans="1:12" x14ac:dyDescent="0.35">
      <c r="A1121" t="str">
        <f t="shared" si="407"/>
        <v>BUMED</v>
      </c>
      <c r="B1121" t="str">
        <f t="shared" si="408"/>
        <v>7700 ARLINGTON BLVD</v>
      </c>
      <c r="C1121" t="str">
        <f t="shared" si="409"/>
        <v>SUITE 1NW412A</v>
      </c>
      <c r="D1121" t="str">
        <f t="shared" si="410"/>
        <v>FALLS CHURCH</v>
      </c>
      <c r="E1121" t="str">
        <f t="shared" si="411"/>
        <v>VA</v>
      </c>
      <c r="F1121" t="str">
        <f t="shared" si="412"/>
        <v>220422929</v>
      </c>
      <c r="G1121" t="str">
        <f>T("7700 ARLINGTON BLVD")</f>
        <v>7700 ARLINGTON BLVD</v>
      </c>
      <c r="H1121" t="str">
        <f>T("STE 1NW412B")</f>
        <v>STE 1NW412B</v>
      </c>
      <c r="I1121" t="str">
        <f>T("FALLS CHURCH")</f>
        <v>FALLS CHURCH</v>
      </c>
      <c r="J1121" t="str">
        <f>T("VA")</f>
        <v>VA</v>
      </c>
      <c r="K1121" t="str">
        <f>T("7036819609")</f>
        <v>7036819609</v>
      </c>
      <c r="L1121" t="str">
        <f>T("7036819068")</f>
        <v>7036819068</v>
      </c>
    </row>
    <row r="1122" spans="1:12" x14ac:dyDescent="0.35">
      <c r="A1122" t="str">
        <f t="shared" si="407"/>
        <v>BUMED</v>
      </c>
      <c r="B1122" t="str">
        <f t="shared" si="408"/>
        <v>7700 ARLINGTON BLVD</v>
      </c>
      <c r="C1122" t="str">
        <f t="shared" si="409"/>
        <v>SUITE 1NW412A</v>
      </c>
      <c r="D1122" t="str">
        <f t="shared" si="410"/>
        <v>FALLS CHURCH</v>
      </c>
      <c r="E1122" t="str">
        <f t="shared" si="411"/>
        <v>VA</v>
      </c>
      <c r="F1122" t="str">
        <f t="shared" si="412"/>
        <v>220422929</v>
      </c>
      <c r="G1122" t="str">
        <f>T("7700 ARLINGTON BLVD")</f>
        <v>7700 ARLINGTON BLVD</v>
      </c>
      <c r="H1122" t="str">
        <f>T("SUITE 1NW412A")</f>
        <v>SUITE 1NW412A</v>
      </c>
      <c r="I1122" t="str">
        <f>T("FALLS CHURCH")</f>
        <v>FALLS CHURCH</v>
      </c>
      <c r="J1122" t="str">
        <f>T("VA")</f>
        <v>VA</v>
      </c>
      <c r="K1122" t="str">
        <f>T("7036819490")</f>
        <v>7036819490</v>
      </c>
      <c r="L1122" t="str">
        <f>T("7036819490")</f>
        <v>7036819490</v>
      </c>
    </row>
    <row r="1123" spans="1:12" x14ac:dyDescent="0.35">
      <c r="A1123" t="str">
        <f t="shared" si="407"/>
        <v>BUMED</v>
      </c>
      <c r="B1123" t="str">
        <f t="shared" si="408"/>
        <v>7700 ARLINGTON BLVD</v>
      </c>
      <c r="C1123" t="str">
        <f t="shared" si="409"/>
        <v>SUITE 1NW412A</v>
      </c>
      <c r="D1123" t="str">
        <f t="shared" si="410"/>
        <v>FALLS CHURCH</v>
      </c>
      <c r="E1123" t="str">
        <f t="shared" si="411"/>
        <v>VA</v>
      </c>
      <c r="F1123" t="str">
        <f t="shared" si="412"/>
        <v>220422929</v>
      </c>
      <c r="G1123" t="str">
        <f>T("VISUAL INFORMATION DIRECTORATE")</f>
        <v>VISUAL INFORMATION DIRECTORATE</v>
      </c>
      <c r="H1123" t="str">
        <f>T("4944 PALMER ROAD, BLDG 5, SUITE 1011")</f>
        <v>4944 PALMER ROAD, BLDG 5, SUITE 1011</v>
      </c>
      <c r="I1123" t="str">
        <f>T("BETHESDA")</f>
        <v>BETHESDA</v>
      </c>
      <c r="J1123" t="str">
        <f>T("MD")</f>
        <v>MD</v>
      </c>
      <c r="K1123" t="str">
        <f>T("3012953674")</f>
        <v>3012953674</v>
      </c>
      <c r="L1123" t="str">
        <f>T("3012955757")</f>
        <v>3012955757</v>
      </c>
    </row>
    <row r="1124" spans="1:12" x14ac:dyDescent="0.35">
      <c r="A1124" t="str">
        <f t="shared" si="407"/>
        <v>BUMED</v>
      </c>
      <c r="B1124" t="str">
        <f>T("8955 WOOD ROAD")</f>
        <v>8955 WOOD ROAD</v>
      </c>
      <c r="C1124" t="str">
        <f>T("BLDG 1 RM 16135")</f>
        <v>BLDG 1 RM 16135</v>
      </c>
      <c r="D1124" t="str">
        <f>T("BETHESDA")</f>
        <v>BETHESDA</v>
      </c>
      <c r="E1124" t="str">
        <f>T("MD")</f>
        <v>MD</v>
      </c>
      <c r="F1124" t="str">
        <f>T("208895628")</f>
        <v>208895628</v>
      </c>
      <c r="G1124" t="str">
        <f>T("8955 WOOD RD")</f>
        <v>8955 WOOD RD</v>
      </c>
      <c r="H1124" t="str">
        <f>T("BLDG 1 RM 16135")</f>
        <v>BLDG 1 RM 16135</v>
      </c>
      <c r="I1124" t="str">
        <f>T("BETHESDA")</f>
        <v>BETHESDA</v>
      </c>
      <c r="J1124" t="str">
        <f>T("MD")</f>
        <v>MD</v>
      </c>
      <c r="K1124" t="str">
        <f>T("3012951783")</f>
        <v>3012951783</v>
      </c>
      <c r="L1124" t="str">
        <f>T("3012955315")</f>
        <v>3012955315</v>
      </c>
    </row>
    <row r="1125" spans="1:12" x14ac:dyDescent="0.35">
      <c r="A1125" t="str">
        <f t="shared" si="407"/>
        <v>BUMED</v>
      </c>
      <c r="B1125" t="str">
        <f>T("8955 WOOD ROAD")</f>
        <v>8955 WOOD ROAD</v>
      </c>
      <c r="C1125" t="str">
        <f>T("BLDG 1 RM 16135")</f>
        <v>BLDG 1 RM 16135</v>
      </c>
      <c r="D1125" t="str">
        <f>T("BETHESDA")</f>
        <v>BETHESDA</v>
      </c>
      <c r="E1125" t="str">
        <f>T("MD")</f>
        <v>MD</v>
      </c>
      <c r="F1125" t="str">
        <f>T("208895628")</f>
        <v>208895628</v>
      </c>
      <c r="G1125" t="str">
        <f>T("8955 WOOD ROAD")</f>
        <v>8955 WOOD ROAD</v>
      </c>
      <c r="H1125" t="str">
        <f>T("BLDG 1 RM 16135")</f>
        <v>BLDG 1 RM 16135</v>
      </c>
      <c r="I1125" t="str">
        <f>T("BETHESDA")</f>
        <v>BETHESDA</v>
      </c>
      <c r="J1125" t="str">
        <f>T("MD")</f>
        <v>MD</v>
      </c>
      <c r="K1125" t="str">
        <f>T("301-295-4226")</f>
        <v>301-295-4226</v>
      </c>
      <c r="L1125" t="str">
        <f>T("3012956091")</f>
        <v>3012956091</v>
      </c>
    </row>
    <row r="1126" spans="1:12" x14ac:dyDescent="0.35">
      <c r="A1126" t="str">
        <f t="shared" si="407"/>
        <v>BUMED</v>
      </c>
      <c r="B1126" t="str">
        <f>T("BUMED DET JAX ATTN CCPD")</f>
        <v>BUMED DET JAX ATTN CCPD</v>
      </c>
      <c r="C1126" t="str">
        <f>T("P O BOX 140, NAS JACKSONVILLE")</f>
        <v>P O BOX 140, NAS JACKSONVILLE</v>
      </c>
      <c r="D1126" t="str">
        <f t="shared" ref="D1126:D1131" si="413">T("JACKSONVILLE")</f>
        <v>JACKSONVILLE</v>
      </c>
      <c r="E1126" t="str">
        <f t="shared" ref="E1126:E1131" si="414">T("FL")</f>
        <v>FL</v>
      </c>
      <c r="F1126" t="str">
        <f t="shared" ref="F1126:F1131" si="415">T("322120140")</f>
        <v>322120140</v>
      </c>
      <c r="G1126" t="str">
        <f>T("554 KEILY ST")</f>
        <v>554 KEILY ST</v>
      </c>
      <c r="H1126" t="str">
        <f>T("BOX 140")</f>
        <v>BOX 140</v>
      </c>
      <c r="I1126" t="str">
        <f t="shared" ref="I1126:I1131" si="416">T("JACKSONVILLE")</f>
        <v>JACKSONVILLE</v>
      </c>
      <c r="J1126" t="str">
        <f t="shared" ref="J1126:J1131" si="417">T("FL")</f>
        <v>FL</v>
      </c>
      <c r="K1126" t="str">
        <f>T("000000000000000000")</f>
        <v>000000000000000000</v>
      </c>
      <c r="L1126" t="str">
        <f>T("9045426905")</f>
        <v>9045426905</v>
      </c>
    </row>
    <row r="1127" spans="1:12" x14ac:dyDescent="0.35">
      <c r="A1127" t="str">
        <f t="shared" si="407"/>
        <v>BUMED</v>
      </c>
      <c r="B1127" t="str">
        <f>T("BUMED DET JAX ATTN CCPD")</f>
        <v>BUMED DET JAX ATTN CCPD</v>
      </c>
      <c r="C1127" t="str">
        <f>T("P O BOX 140, NAS JACKSONVILLE")</f>
        <v>P O BOX 140, NAS JACKSONVILLE</v>
      </c>
      <c r="D1127" t="str">
        <f t="shared" si="413"/>
        <v>JACKSONVILLE</v>
      </c>
      <c r="E1127" t="str">
        <f t="shared" si="414"/>
        <v>FL</v>
      </c>
      <c r="F1127" t="str">
        <f t="shared" si="415"/>
        <v>322120140</v>
      </c>
      <c r="G1127" t="str">
        <f>T("BLDG 554 KELLY STREET")</f>
        <v>BLDG 554 KELLY STREET</v>
      </c>
      <c r="H1127" t="str">
        <f>T("NAVAL AIR STATION")</f>
        <v>NAVAL AIR STATION</v>
      </c>
      <c r="I1127" t="str">
        <f t="shared" si="416"/>
        <v>JACKSONVILLE</v>
      </c>
      <c r="J1127" t="str">
        <f t="shared" si="417"/>
        <v>FL</v>
      </c>
      <c r="K1127" t="str">
        <f>T("9045426740")</f>
        <v>9045426740</v>
      </c>
      <c r="L1127" t="str">
        <f>T("9045426905")</f>
        <v>9045426905</v>
      </c>
    </row>
    <row r="1128" spans="1:12" x14ac:dyDescent="0.35">
      <c r="A1128" t="str">
        <f t="shared" si="407"/>
        <v>BUMED</v>
      </c>
      <c r="B1128" t="str">
        <f>T("BUMED DET JAX ATTN CCPD")</f>
        <v>BUMED DET JAX ATTN CCPD</v>
      </c>
      <c r="C1128" t="str">
        <f>T("P O BOX 140, NAS JACKSONVILLE")</f>
        <v>P O BOX 140, NAS JACKSONVILLE</v>
      </c>
      <c r="D1128" t="str">
        <f t="shared" si="413"/>
        <v>JACKSONVILLE</v>
      </c>
      <c r="E1128" t="str">
        <f t="shared" si="414"/>
        <v>FL</v>
      </c>
      <c r="F1128" t="str">
        <f t="shared" si="415"/>
        <v>322120140</v>
      </c>
      <c r="G1128" t="str">
        <f>T("BUMED DET JAX ATTN CCPD")</f>
        <v>BUMED DET JAX ATTN CCPD</v>
      </c>
      <c r="H1128" t="str">
        <f>T("P O BOX 140, NAS JACKSONVILLE")</f>
        <v>P O BOX 140, NAS JACKSONVILLE</v>
      </c>
      <c r="I1128" t="str">
        <f t="shared" si="416"/>
        <v>JACKSONVILLE</v>
      </c>
      <c r="J1128" t="str">
        <f t="shared" si="417"/>
        <v>FL</v>
      </c>
      <c r="K1128" t="str">
        <f>T("000000000000000000")</f>
        <v>000000000000000000</v>
      </c>
      <c r="L1128" t="str">
        <f>T("9045426905")</f>
        <v>9045426905</v>
      </c>
    </row>
    <row r="1129" spans="1:12" x14ac:dyDescent="0.35">
      <c r="A1129" t="str">
        <f t="shared" si="407"/>
        <v>BUMED</v>
      </c>
      <c r="B1129" t="str">
        <f>T("BUMED DET JAX ATTN CCPD")</f>
        <v>BUMED DET JAX ATTN CCPD</v>
      </c>
      <c r="C1129" t="str">
        <f>T("P O BOX 140, NAS JACKSONVILLE")</f>
        <v>P O BOX 140, NAS JACKSONVILLE</v>
      </c>
      <c r="D1129" t="str">
        <f t="shared" si="413"/>
        <v>JACKSONVILLE</v>
      </c>
      <c r="E1129" t="str">
        <f t="shared" si="414"/>
        <v>FL</v>
      </c>
      <c r="F1129" t="str">
        <f t="shared" si="415"/>
        <v>322120140</v>
      </c>
      <c r="G1129" t="str">
        <f>T("KNIGHT LN PO BOX 59")</f>
        <v>KNIGHT LN PO BOX 59</v>
      </c>
      <c r="H1129" t="str">
        <f>T("BLDG H2005")</f>
        <v>BLDG H2005</v>
      </c>
      <c r="I1129" t="str">
        <f t="shared" si="416"/>
        <v>JACKSONVILLE</v>
      </c>
      <c r="J1129" t="str">
        <f t="shared" si="417"/>
        <v>FL</v>
      </c>
      <c r="K1129" t="str">
        <f>T("000000000000000000")</f>
        <v>000000000000000000</v>
      </c>
      <c r="L1129" t="str">
        <f>T("9045426905")</f>
        <v>9045426905</v>
      </c>
    </row>
    <row r="1130" spans="1:12" x14ac:dyDescent="0.35">
      <c r="A1130" t="str">
        <f t="shared" si="407"/>
        <v>BUMED</v>
      </c>
      <c r="B1130" t="str">
        <f>T("H2005 KNIGHT LANE")</f>
        <v>H2005 KNIGHT LANE</v>
      </c>
      <c r="C1130" t="str">
        <f>T("P O BOX 140")</f>
        <v>P O BOX 140</v>
      </c>
      <c r="D1130" t="str">
        <f t="shared" si="413"/>
        <v>JACKSONVILLE</v>
      </c>
      <c r="E1130" t="str">
        <f t="shared" si="414"/>
        <v>FL</v>
      </c>
      <c r="F1130" t="str">
        <f t="shared" si="415"/>
        <v>322120140</v>
      </c>
      <c r="G1130" t="str">
        <f>T("H2005 KNIGHT LANE")</f>
        <v>H2005 KNIGHT LANE</v>
      </c>
      <c r="H1130" t="str">
        <f>T("P O BOX 140")</f>
        <v>P O BOX 140</v>
      </c>
      <c r="I1130" t="str">
        <f t="shared" si="416"/>
        <v>JACKSONVILLE</v>
      </c>
      <c r="J1130" t="str">
        <f t="shared" si="417"/>
        <v>FL</v>
      </c>
      <c r="K1130" t="str">
        <f>T("000000000000000000")</f>
        <v>000000000000000000</v>
      </c>
      <c r="L1130" t="str">
        <f>T("9045427200")</f>
        <v>9045427200</v>
      </c>
    </row>
    <row r="1131" spans="1:12" x14ac:dyDescent="0.35">
      <c r="A1131" t="str">
        <f t="shared" si="407"/>
        <v>BUMED</v>
      </c>
      <c r="B1131" t="str">
        <f>T("H2005 KNIGHT LANE")</f>
        <v>H2005 KNIGHT LANE</v>
      </c>
      <c r="C1131" t="str">
        <f>T("P O BOX 140")</f>
        <v>P O BOX 140</v>
      </c>
      <c r="D1131" t="str">
        <f t="shared" si="413"/>
        <v>JACKSONVILLE</v>
      </c>
      <c r="E1131" t="str">
        <f t="shared" si="414"/>
        <v>FL</v>
      </c>
      <c r="F1131" t="str">
        <f t="shared" si="415"/>
        <v>322120140</v>
      </c>
      <c r="G1131" t="str">
        <f>T("H2005 KNIGHT LN")</f>
        <v>H2005 KNIGHT LN</v>
      </c>
      <c r="H1131" t="str">
        <f>T("PO BOX 140 NAS JACKSONVILLE")</f>
        <v>PO BOX 140 NAS JACKSONVILLE</v>
      </c>
      <c r="I1131" t="str">
        <f t="shared" si="416"/>
        <v>JACKSONVILLE</v>
      </c>
      <c r="J1131" t="str">
        <f t="shared" si="417"/>
        <v>FL</v>
      </c>
      <c r="K1131" t="str">
        <f>T("9045427200 8015")</f>
        <v>9045427200 8015</v>
      </c>
      <c r="L1131" t="str">
        <f>T("1111111111")</f>
        <v>1111111111</v>
      </c>
    </row>
    <row r="1132" spans="1:12" x14ac:dyDescent="0.35">
      <c r="A1132" t="str">
        <f t="shared" ref="A1132:A1138" si="418">T("NAVY MED PROFESSIONAL DEV CTR")</f>
        <v>NAVY MED PROFESSIONAL DEV CTR</v>
      </c>
      <c r="B1132" t="str">
        <f t="shared" ref="B1132:B1138" si="419">T("8901 WISCONSIN AVE")</f>
        <v>8901 WISCONSIN AVE</v>
      </c>
      <c r="C1132" t="str">
        <f t="shared" ref="C1132:C1138" si="420">T("BLDG 1 14TH FL RM 16132")</f>
        <v>BLDG 1 14TH FL RM 16132</v>
      </c>
      <c r="D1132" t="str">
        <f t="shared" ref="D1132:D1138" si="421">T("BETHESDA")</f>
        <v>BETHESDA</v>
      </c>
      <c r="E1132" t="str">
        <f t="shared" ref="E1132:E1138" si="422">T("MD")</f>
        <v>MD</v>
      </c>
      <c r="F1132" t="str">
        <f t="shared" ref="F1132:F1138" si="423">T("208890004")</f>
        <v>208890004</v>
      </c>
      <c r="G1132" t="str">
        <f>T("8901 WISCONSIN AVE")</f>
        <v>8901 WISCONSIN AVE</v>
      </c>
      <c r="H1132" t="str">
        <f>T("BLDG 1 14TH FL RM 16132")</f>
        <v>BLDG 1 14TH FL RM 16132</v>
      </c>
      <c r="I1132" t="str">
        <f t="shared" ref="I1132:I1138" si="424">T("BETHESDA")</f>
        <v>BETHESDA</v>
      </c>
      <c r="J1132" t="str">
        <f t="shared" ref="J1132:J1138" si="425">T("MD")</f>
        <v>MD</v>
      </c>
      <c r="K1132" t="str">
        <f t="shared" ref="K1132:K1139" si="426">T("000000000000000000")</f>
        <v>000000000000000000</v>
      </c>
      <c r="L1132" t="str">
        <f>T("3013194524")</f>
        <v>3013194524</v>
      </c>
    </row>
    <row r="1133" spans="1:12" x14ac:dyDescent="0.35">
      <c r="A1133" t="str">
        <f t="shared" si="418"/>
        <v>NAVY MED PROFESSIONAL DEV CTR</v>
      </c>
      <c r="B1133" t="str">
        <f t="shared" si="419"/>
        <v>8901 WISCONSIN AVE</v>
      </c>
      <c r="C1133" t="str">
        <f t="shared" si="420"/>
        <v>BLDG 1 14TH FL RM 16132</v>
      </c>
      <c r="D1133" t="str">
        <f t="shared" si="421"/>
        <v>BETHESDA</v>
      </c>
      <c r="E1133" t="str">
        <f t="shared" si="422"/>
        <v>MD</v>
      </c>
      <c r="F1133" t="str">
        <f t="shared" si="423"/>
        <v>208890004</v>
      </c>
      <c r="G1133" t="str">
        <f>T("8955 WOOD RD")</f>
        <v>8955 WOOD RD</v>
      </c>
      <c r="H1133" t="str">
        <f>T("BLDG 1 12TH FL RM 12147")</f>
        <v>BLDG 1 12TH FL RM 12147</v>
      </c>
      <c r="I1133" t="str">
        <f t="shared" si="424"/>
        <v>BETHESDA</v>
      </c>
      <c r="J1133" t="str">
        <f t="shared" si="425"/>
        <v>MD</v>
      </c>
      <c r="K1133" t="str">
        <f t="shared" si="426"/>
        <v>000000000000000000</v>
      </c>
      <c r="L1133" t="str">
        <f>T("3014001311")</f>
        <v>3014001311</v>
      </c>
    </row>
    <row r="1134" spans="1:12" x14ac:dyDescent="0.35">
      <c r="A1134" t="str">
        <f t="shared" si="418"/>
        <v>NAVY MED PROFESSIONAL DEV CTR</v>
      </c>
      <c r="B1134" t="str">
        <f t="shared" si="419"/>
        <v>8901 WISCONSIN AVE</v>
      </c>
      <c r="C1134" t="str">
        <f t="shared" si="420"/>
        <v>BLDG 1 14TH FL RM 16132</v>
      </c>
      <c r="D1134" t="str">
        <f t="shared" si="421"/>
        <v>BETHESDA</v>
      </c>
      <c r="E1134" t="str">
        <f t="shared" si="422"/>
        <v>MD</v>
      </c>
      <c r="F1134" t="str">
        <f t="shared" si="423"/>
        <v>208890004</v>
      </c>
      <c r="G1134" t="str">
        <f>T("8955 WOOD RD")</f>
        <v>8955 WOOD RD</v>
      </c>
      <c r="H1134" t="str">
        <f>T("BLDG 1 12TH FLOOR RM 12147")</f>
        <v>BLDG 1 12TH FLOOR RM 12147</v>
      </c>
      <c r="I1134" t="str">
        <f t="shared" si="424"/>
        <v>BETHESDA</v>
      </c>
      <c r="J1134" t="str">
        <f t="shared" si="425"/>
        <v>MD</v>
      </c>
      <c r="K1134" t="str">
        <f t="shared" si="426"/>
        <v>000000000000000000</v>
      </c>
      <c r="L1134" t="str">
        <f>T("3013194515")</f>
        <v>3013194515</v>
      </c>
    </row>
    <row r="1135" spans="1:12" x14ac:dyDescent="0.35">
      <c r="A1135" t="str">
        <f t="shared" si="418"/>
        <v>NAVY MED PROFESSIONAL DEV CTR</v>
      </c>
      <c r="B1135" t="str">
        <f t="shared" si="419"/>
        <v>8901 WISCONSIN AVE</v>
      </c>
      <c r="C1135" t="str">
        <f t="shared" si="420"/>
        <v>BLDG 1 14TH FL RM 16132</v>
      </c>
      <c r="D1135" t="str">
        <f t="shared" si="421"/>
        <v>BETHESDA</v>
      </c>
      <c r="E1135" t="str">
        <f t="shared" si="422"/>
        <v>MD</v>
      </c>
      <c r="F1135" t="str">
        <f t="shared" si="423"/>
        <v>208890004</v>
      </c>
      <c r="G1135" t="str">
        <f>T("8955 WOOD ROAD")</f>
        <v>8955 WOOD ROAD</v>
      </c>
      <c r="H1135" t="str">
        <f>T("BLDG 1 12TH FL RM 12/147")</f>
        <v>BLDG 1 12TH FL RM 12/147</v>
      </c>
      <c r="I1135" t="str">
        <f t="shared" si="424"/>
        <v>BETHESDA</v>
      </c>
      <c r="J1135" t="str">
        <f t="shared" si="425"/>
        <v>MD</v>
      </c>
      <c r="K1135" t="str">
        <f t="shared" si="426"/>
        <v>000000000000000000</v>
      </c>
      <c r="L1135" t="str">
        <f>T("3013198233")</f>
        <v>3013198233</v>
      </c>
    </row>
    <row r="1136" spans="1:12" x14ac:dyDescent="0.35">
      <c r="A1136" t="str">
        <f t="shared" si="418"/>
        <v>NAVY MED PROFESSIONAL DEV CTR</v>
      </c>
      <c r="B1136" t="str">
        <f t="shared" si="419"/>
        <v>8901 WISCONSIN AVE</v>
      </c>
      <c r="C1136" t="str">
        <f t="shared" si="420"/>
        <v>BLDG 1 14TH FL RM 16132</v>
      </c>
      <c r="D1136" t="str">
        <f t="shared" si="421"/>
        <v>BETHESDA</v>
      </c>
      <c r="E1136" t="str">
        <f t="shared" si="422"/>
        <v>MD</v>
      </c>
      <c r="F1136" t="str">
        <f t="shared" si="423"/>
        <v>208890004</v>
      </c>
      <c r="G1136" t="str">
        <f>T("8955 WOOD ROAD")</f>
        <v>8955 WOOD ROAD</v>
      </c>
      <c r="H1136" t="str">
        <f>T("BLDG 1 12TH FL RM 12/147")</f>
        <v>BLDG 1 12TH FL RM 12/147</v>
      </c>
      <c r="I1136" t="str">
        <f t="shared" si="424"/>
        <v>BETHESDA</v>
      </c>
      <c r="J1136" t="str">
        <f t="shared" si="425"/>
        <v>MD</v>
      </c>
      <c r="K1136" t="str">
        <f t="shared" si="426"/>
        <v>000000000000000000</v>
      </c>
      <c r="L1136" t="str">
        <f>T("3014001311")</f>
        <v>3014001311</v>
      </c>
    </row>
    <row r="1137" spans="1:12" x14ac:dyDescent="0.35">
      <c r="A1137" t="str">
        <f t="shared" si="418"/>
        <v>NAVY MED PROFESSIONAL DEV CTR</v>
      </c>
      <c r="B1137" t="str">
        <f t="shared" si="419"/>
        <v>8901 WISCONSIN AVE</v>
      </c>
      <c r="C1137" t="str">
        <f t="shared" si="420"/>
        <v>BLDG 1 14TH FL RM 16132</v>
      </c>
      <c r="D1137" t="str">
        <f t="shared" si="421"/>
        <v>BETHESDA</v>
      </c>
      <c r="E1137" t="str">
        <f t="shared" si="422"/>
        <v>MD</v>
      </c>
      <c r="F1137" t="str">
        <f t="shared" si="423"/>
        <v>208890004</v>
      </c>
      <c r="G1137" t="str">
        <f>T("8955 WOOD ROAD")</f>
        <v>8955 WOOD ROAD</v>
      </c>
      <c r="H1137" t="str">
        <f>T("BLDG 1 ROOM 12135")</f>
        <v>BLDG 1 ROOM 12135</v>
      </c>
      <c r="I1137" t="str">
        <f t="shared" si="424"/>
        <v>BETHESDA</v>
      </c>
      <c r="J1137" t="str">
        <f t="shared" si="425"/>
        <v>MD</v>
      </c>
      <c r="K1137" t="str">
        <f t="shared" si="426"/>
        <v>000000000000000000</v>
      </c>
      <c r="L1137" t="str">
        <f>T("3012950453")</f>
        <v>3012950453</v>
      </c>
    </row>
    <row r="1138" spans="1:12" x14ac:dyDescent="0.35">
      <c r="A1138" t="str">
        <f t="shared" si="418"/>
        <v>NAVY MED PROFESSIONAL DEV CTR</v>
      </c>
      <c r="B1138" t="str">
        <f t="shared" si="419"/>
        <v>8901 WISCONSIN AVE</v>
      </c>
      <c r="C1138" t="str">
        <f t="shared" si="420"/>
        <v>BLDG 1 14TH FL RM 16132</v>
      </c>
      <c r="D1138" t="str">
        <f t="shared" si="421"/>
        <v>BETHESDA</v>
      </c>
      <c r="E1138" t="str">
        <f t="shared" si="422"/>
        <v>MD</v>
      </c>
      <c r="F1138" t="str">
        <f t="shared" si="423"/>
        <v>208890004</v>
      </c>
      <c r="G1138" t="str">
        <f>T("8955 WOOD ROAD")</f>
        <v>8955 WOOD ROAD</v>
      </c>
      <c r="H1138" t="str">
        <f>T("BLDG1 ROOM 12135")</f>
        <v>BLDG1 ROOM 12135</v>
      </c>
      <c r="I1138" t="str">
        <f t="shared" si="424"/>
        <v>BETHESDA</v>
      </c>
      <c r="J1138" t="str">
        <f t="shared" si="425"/>
        <v>MD</v>
      </c>
      <c r="K1138" t="str">
        <f t="shared" si="426"/>
        <v>000000000000000000</v>
      </c>
      <c r="L1138" t="str">
        <f>T("3012950837")</f>
        <v>3012950837</v>
      </c>
    </row>
    <row r="1139" spans="1:12" x14ac:dyDescent="0.35">
      <c r="A1139" t="str">
        <f t="shared" ref="A1139:A1152" si="427">T("NMOTC")</f>
        <v>NMOTC</v>
      </c>
      <c r="B1139" t="str">
        <f t="shared" ref="B1139:B1144" si="428">T("220 HOVEY RD")</f>
        <v>220 HOVEY RD</v>
      </c>
      <c r="C1139" t="str">
        <f t="shared" ref="C1139:C1144" si="429">T("BLDG 488")</f>
        <v>BLDG 488</v>
      </c>
      <c r="D1139" t="str">
        <f t="shared" ref="D1139:D1152" si="430">T("PENSACOLA")</f>
        <v>PENSACOLA</v>
      </c>
      <c r="E1139" t="str">
        <f t="shared" ref="E1139:E1152" si="431">T("FL")</f>
        <v>FL</v>
      </c>
      <c r="F1139" t="str">
        <f t="shared" ref="F1139:F1152" si="432">T("325081044")</f>
        <v>325081044</v>
      </c>
      <c r="G1139" t="str">
        <f>T("159 TROUT AVE")</f>
        <v>159 TROUT AVE</v>
      </c>
      <c r="H1139" t="str">
        <f>T("BLDG 159")</f>
        <v>BLDG 159</v>
      </c>
      <c r="I1139" t="str">
        <f>T("GROTON")</f>
        <v>GROTON</v>
      </c>
      <c r="J1139" t="str">
        <f>T("CT")</f>
        <v>CT</v>
      </c>
      <c r="K1139" t="str">
        <f t="shared" si="426"/>
        <v>000000000000000000</v>
      </c>
      <c r="L1139" t="str">
        <f>T("8606946453")</f>
        <v>8606946453</v>
      </c>
    </row>
    <row r="1140" spans="1:12" x14ac:dyDescent="0.35">
      <c r="A1140" t="str">
        <f t="shared" si="427"/>
        <v>NMOTC</v>
      </c>
      <c r="B1140" t="str">
        <f t="shared" si="428"/>
        <v>220 HOVEY RD</v>
      </c>
      <c r="C1140" t="str">
        <f t="shared" si="429"/>
        <v>BLDG 488</v>
      </c>
      <c r="D1140" t="str">
        <f t="shared" si="430"/>
        <v>PENSACOLA</v>
      </c>
      <c r="E1140" t="str">
        <f t="shared" si="431"/>
        <v>FL</v>
      </c>
      <c r="F1140" t="str">
        <f t="shared" si="432"/>
        <v>325081044</v>
      </c>
      <c r="G1140" t="str">
        <f>T("220 HOVEY RD")</f>
        <v>220 HOVEY RD</v>
      </c>
      <c r="H1140" t="str">
        <f>T("BLDG 488")</f>
        <v>BLDG 488</v>
      </c>
      <c r="I1140" t="str">
        <f>T("PENSACOLA")</f>
        <v>PENSACOLA</v>
      </c>
      <c r="J1140" t="str">
        <f>T("FL")</f>
        <v>FL</v>
      </c>
      <c r="K1140" t="str">
        <f>T("8504528229")</f>
        <v>8504528229</v>
      </c>
      <c r="L1140" t="str">
        <f>T("8504524014")</f>
        <v>8504524014</v>
      </c>
    </row>
    <row r="1141" spans="1:12" x14ac:dyDescent="0.35">
      <c r="A1141" t="str">
        <f t="shared" si="427"/>
        <v>NMOTC</v>
      </c>
      <c r="B1141" t="str">
        <f t="shared" si="428"/>
        <v>220 HOVEY RD</v>
      </c>
      <c r="C1141" t="str">
        <f t="shared" si="429"/>
        <v>BLDG 488</v>
      </c>
      <c r="D1141" t="str">
        <f t="shared" si="430"/>
        <v>PENSACOLA</v>
      </c>
      <c r="E1141" t="str">
        <f t="shared" si="431"/>
        <v>FL</v>
      </c>
      <c r="F1141" t="str">
        <f t="shared" si="432"/>
        <v>325081044</v>
      </c>
      <c r="G1141" t="str">
        <f>T("247 HOVEY RD")</f>
        <v>247 HOVEY RD</v>
      </c>
      <c r="H1141" t="str">
        <f>T("")</f>
        <v/>
      </c>
      <c r="I1141" t="str">
        <f>T("PENSACOLA")</f>
        <v>PENSACOLA</v>
      </c>
      <c r="J1141" t="str">
        <f>T("FL")</f>
        <v>FL</v>
      </c>
      <c r="K1141" t="str">
        <f>T("000000000000000000")</f>
        <v>000000000000000000</v>
      </c>
      <c r="L1141" t="str">
        <f>T("8504523044")</f>
        <v>8504523044</v>
      </c>
    </row>
    <row r="1142" spans="1:12" x14ac:dyDescent="0.35">
      <c r="A1142" t="str">
        <f t="shared" si="427"/>
        <v>NMOTC</v>
      </c>
      <c r="B1142" t="str">
        <f t="shared" si="428"/>
        <v>220 HOVEY RD</v>
      </c>
      <c r="C1142" t="str">
        <f t="shared" si="429"/>
        <v>BLDG 488</v>
      </c>
      <c r="D1142" t="str">
        <f t="shared" si="430"/>
        <v>PENSACOLA</v>
      </c>
      <c r="E1142" t="str">
        <f t="shared" si="431"/>
        <v>FL</v>
      </c>
      <c r="F1142" t="str">
        <f t="shared" si="432"/>
        <v>325081044</v>
      </c>
      <c r="G1142" t="str">
        <f>T("34101 FARENHOLT AVE BLDG 14")</f>
        <v>34101 FARENHOLT AVE BLDG 14</v>
      </c>
      <c r="H1142" t="str">
        <f>T("")</f>
        <v/>
      </c>
      <c r="I1142" t="str">
        <f>T("SAN DIEGO")</f>
        <v>SAN DIEGO</v>
      </c>
      <c r="J1142" t="str">
        <f>T("CA")</f>
        <v>CA</v>
      </c>
      <c r="K1142" t="str">
        <f>T("6195328251")</f>
        <v>6195328251</v>
      </c>
      <c r="L1142" t="str">
        <f>T("6195329253")</f>
        <v>6195329253</v>
      </c>
    </row>
    <row r="1143" spans="1:12" x14ac:dyDescent="0.35">
      <c r="A1143" t="str">
        <f t="shared" si="427"/>
        <v>NMOTC</v>
      </c>
      <c r="B1143" t="str">
        <f t="shared" si="428"/>
        <v>220 HOVEY RD</v>
      </c>
      <c r="C1143" t="str">
        <f t="shared" si="429"/>
        <v>BLDG 488</v>
      </c>
      <c r="D1143" t="str">
        <f t="shared" si="430"/>
        <v>PENSACOLA</v>
      </c>
      <c r="E1143" t="str">
        <f t="shared" si="431"/>
        <v>FL</v>
      </c>
      <c r="F1143" t="str">
        <f t="shared" si="432"/>
        <v>325081044</v>
      </c>
      <c r="G1143" t="str">
        <f>T("BLDG 632044")</f>
        <v>BLDG 632044</v>
      </c>
      <c r="H1143" t="str">
        <f>T("CRISTIANITOS RD")</f>
        <v>CRISTIANITOS RD</v>
      </c>
      <c r="I1143" t="str">
        <f>T("CAMP PENDLETON")</f>
        <v>CAMP PENDLETON</v>
      </c>
      <c r="J1143" t="str">
        <f>T("CA")</f>
        <v>CA</v>
      </c>
      <c r="K1143" t="str">
        <f>T("7607257108")</f>
        <v>7607257108</v>
      </c>
      <c r="L1143" t="str">
        <f>T("7607257121")</f>
        <v>7607257121</v>
      </c>
    </row>
    <row r="1144" spans="1:12" x14ac:dyDescent="0.35">
      <c r="A1144" t="str">
        <f t="shared" si="427"/>
        <v>NMOTC</v>
      </c>
      <c r="B1144" t="str">
        <f t="shared" si="428"/>
        <v>220 HOVEY RD</v>
      </c>
      <c r="C1144" t="str">
        <f t="shared" si="429"/>
        <v>BLDG 488</v>
      </c>
      <c r="D1144" t="str">
        <f t="shared" si="430"/>
        <v>PENSACOLA</v>
      </c>
      <c r="E1144" t="str">
        <f t="shared" si="431"/>
        <v>FL</v>
      </c>
      <c r="F1144" t="str">
        <f t="shared" si="432"/>
        <v>325081044</v>
      </c>
      <c r="G1144" t="str">
        <f>T("BLDG 632044 CRISTIANLTOS RD")</f>
        <v>BLDG 632044 CRISTIANLTOS RD</v>
      </c>
      <c r="H1144" t="str">
        <f>T("")</f>
        <v/>
      </c>
      <c r="I1144" t="str">
        <f>T("CAMP PENDLETON")</f>
        <v>CAMP PENDLETON</v>
      </c>
      <c r="J1144" t="str">
        <f>T("CA")</f>
        <v>CA</v>
      </c>
      <c r="K1144" t="str">
        <f>T("7607257108")</f>
        <v>7607257108</v>
      </c>
      <c r="L1144" t="str">
        <f>T("7607257121")</f>
        <v>7607257121</v>
      </c>
    </row>
    <row r="1145" spans="1:12" x14ac:dyDescent="0.35">
      <c r="A1145" t="str">
        <f t="shared" si="427"/>
        <v>NMOTC</v>
      </c>
      <c r="B1145" t="str">
        <f t="shared" ref="B1145:B1152" si="433">T("NMOTC")</f>
        <v>NMOTC</v>
      </c>
      <c r="C1145" t="str">
        <f t="shared" ref="C1145:C1152" si="434">T("220 HOVEY ROAD")</f>
        <v>220 HOVEY ROAD</v>
      </c>
      <c r="D1145" t="str">
        <f t="shared" si="430"/>
        <v>PENSACOLA</v>
      </c>
      <c r="E1145" t="str">
        <f t="shared" si="431"/>
        <v>FL</v>
      </c>
      <c r="F1145" t="str">
        <f t="shared" si="432"/>
        <v>325081044</v>
      </c>
      <c r="G1145" t="str">
        <f>T("220 HOVEY RD")</f>
        <v>220 HOVEY RD</v>
      </c>
      <c r="H1145" t="str">
        <f>T("")</f>
        <v/>
      </c>
      <c r="I1145" t="str">
        <f t="shared" ref="I1145:I1152" si="435">T("PENSACOLA")</f>
        <v>PENSACOLA</v>
      </c>
      <c r="J1145" t="str">
        <f t="shared" ref="J1145:J1152" si="436">T("FL")</f>
        <v>FL</v>
      </c>
      <c r="K1145" t="str">
        <f>T("000000000000000000")</f>
        <v>000000000000000000</v>
      </c>
      <c r="L1145" t="str">
        <f>T("8504524014")</f>
        <v>8504524014</v>
      </c>
    </row>
    <row r="1146" spans="1:12" x14ac:dyDescent="0.35">
      <c r="A1146" t="str">
        <f t="shared" si="427"/>
        <v>NMOTC</v>
      </c>
      <c r="B1146" t="str">
        <f t="shared" si="433"/>
        <v>NMOTC</v>
      </c>
      <c r="C1146" t="str">
        <f t="shared" si="434"/>
        <v>220 HOVEY ROAD</v>
      </c>
      <c r="D1146" t="str">
        <f t="shared" si="430"/>
        <v>PENSACOLA</v>
      </c>
      <c r="E1146" t="str">
        <f t="shared" si="431"/>
        <v>FL</v>
      </c>
      <c r="F1146" t="str">
        <f t="shared" si="432"/>
        <v>325081044</v>
      </c>
      <c r="G1146" t="str">
        <f>T("340 HULSE RD")</f>
        <v>340 HULSE RD</v>
      </c>
      <c r="H1146" t="str">
        <f>T("")</f>
        <v/>
      </c>
      <c r="I1146" t="str">
        <f t="shared" si="435"/>
        <v>PENSACOLA</v>
      </c>
      <c r="J1146" t="str">
        <f t="shared" si="436"/>
        <v>FL</v>
      </c>
      <c r="K1146" t="str">
        <f>T("8504525754")</f>
        <v>8504525754</v>
      </c>
      <c r="L1146" t="str">
        <f>T("8504522936")</f>
        <v>8504522936</v>
      </c>
    </row>
    <row r="1147" spans="1:12" x14ac:dyDescent="0.35">
      <c r="A1147" t="str">
        <f t="shared" si="427"/>
        <v>NMOTC</v>
      </c>
      <c r="B1147" t="str">
        <f t="shared" si="433"/>
        <v>NMOTC</v>
      </c>
      <c r="C1147" t="str">
        <f t="shared" si="434"/>
        <v>220 HOVEY ROAD</v>
      </c>
      <c r="D1147" t="str">
        <f t="shared" si="430"/>
        <v>PENSACOLA</v>
      </c>
      <c r="E1147" t="str">
        <f t="shared" si="431"/>
        <v>FL</v>
      </c>
      <c r="F1147" t="str">
        <f t="shared" si="432"/>
        <v>325081044</v>
      </c>
      <c r="G1147" t="str">
        <f>T("340 HULSE ROAD")</f>
        <v>340 HULSE ROAD</v>
      </c>
      <c r="H1147" t="str">
        <f>T("")</f>
        <v/>
      </c>
      <c r="I1147" t="str">
        <f t="shared" si="435"/>
        <v>PENSACOLA</v>
      </c>
      <c r="J1147" t="str">
        <f t="shared" si="436"/>
        <v>FL</v>
      </c>
      <c r="K1147" t="str">
        <f>T("000000000000000000")</f>
        <v>000000000000000000</v>
      </c>
      <c r="L1147" t="str">
        <f>T("8504524474")</f>
        <v>8504524474</v>
      </c>
    </row>
    <row r="1148" spans="1:12" x14ac:dyDescent="0.35">
      <c r="A1148" t="str">
        <f t="shared" si="427"/>
        <v>NMOTC</v>
      </c>
      <c r="B1148" t="str">
        <f t="shared" si="433"/>
        <v>NMOTC</v>
      </c>
      <c r="C1148" t="str">
        <f t="shared" si="434"/>
        <v>220 HOVEY ROAD</v>
      </c>
      <c r="D1148" t="str">
        <f t="shared" si="430"/>
        <v>PENSACOLA</v>
      </c>
      <c r="E1148" t="str">
        <f t="shared" si="431"/>
        <v>FL</v>
      </c>
      <c r="F1148" t="str">
        <f t="shared" si="432"/>
        <v>325081044</v>
      </c>
      <c r="G1148" t="str">
        <f>T("55 RADFORD BLVD")</f>
        <v>55 RADFORD BLVD</v>
      </c>
      <c r="H1148" t="str">
        <f>T("")</f>
        <v/>
      </c>
      <c r="I1148" t="str">
        <f t="shared" si="435"/>
        <v>PENSACOLA</v>
      </c>
      <c r="J1148" t="str">
        <f t="shared" si="436"/>
        <v>FL</v>
      </c>
      <c r="K1148" t="str">
        <f>T("000000000000000000")</f>
        <v>000000000000000000</v>
      </c>
      <c r="L1148" t="str">
        <f>T("8504525787")</f>
        <v>8504525787</v>
      </c>
    </row>
    <row r="1149" spans="1:12" x14ac:dyDescent="0.35">
      <c r="A1149" t="str">
        <f t="shared" si="427"/>
        <v>NMOTC</v>
      </c>
      <c r="B1149" t="str">
        <f t="shared" si="433"/>
        <v>NMOTC</v>
      </c>
      <c r="C1149" t="str">
        <f t="shared" si="434"/>
        <v>220 HOVEY ROAD</v>
      </c>
      <c r="D1149" t="str">
        <f t="shared" si="430"/>
        <v>PENSACOLA</v>
      </c>
      <c r="E1149" t="str">
        <f t="shared" si="431"/>
        <v>FL</v>
      </c>
      <c r="F1149" t="str">
        <f t="shared" si="432"/>
        <v>325081044</v>
      </c>
      <c r="G1149" t="str">
        <f>T("NAVAL SURVIVAL TRAINING INSTITUTE")</f>
        <v>NAVAL SURVIVAL TRAINING INSTITUTE</v>
      </c>
      <c r="H1149" t="str">
        <f>T("55 RADFORD BLVD")</f>
        <v>55 RADFORD BLVD</v>
      </c>
      <c r="I1149" t="str">
        <f t="shared" si="435"/>
        <v>PENSACOLA</v>
      </c>
      <c r="J1149" t="str">
        <f t="shared" si="436"/>
        <v>FL</v>
      </c>
      <c r="K1149" t="str">
        <f>T("8504525968")</f>
        <v>8504525968</v>
      </c>
      <c r="L1149" t="str">
        <f>T("8504525790")</f>
        <v>8504525790</v>
      </c>
    </row>
    <row r="1150" spans="1:12" x14ac:dyDescent="0.35">
      <c r="A1150" t="str">
        <f t="shared" si="427"/>
        <v>NMOTC</v>
      </c>
      <c r="B1150" t="str">
        <f t="shared" si="433"/>
        <v>NMOTC</v>
      </c>
      <c r="C1150" t="str">
        <f t="shared" si="434"/>
        <v>220 HOVEY ROAD</v>
      </c>
      <c r="D1150" t="str">
        <f t="shared" si="430"/>
        <v>PENSACOLA</v>
      </c>
      <c r="E1150" t="str">
        <f t="shared" si="431"/>
        <v>FL</v>
      </c>
      <c r="F1150" t="str">
        <f t="shared" si="432"/>
        <v>325081044</v>
      </c>
      <c r="G1150" t="str">
        <f>T("NAVAL SURVIVAL TRAINING INSTITUTE")</f>
        <v>NAVAL SURVIVAL TRAINING INSTITUTE</v>
      </c>
      <c r="H1150" t="str">
        <f>T("55 RADFORD BLVD STE 211")</f>
        <v>55 RADFORD BLVD STE 211</v>
      </c>
      <c r="I1150" t="str">
        <f t="shared" si="435"/>
        <v>PENSACOLA</v>
      </c>
      <c r="J1150" t="str">
        <f t="shared" si="436"/>
        <v>FL</v>
      </c>
      <c r="K1150" t="str">
        <f>T("000000000000000000")</f>
        <v>000000000000000000</v>
      </c>
      <c r="L1150" t="str">
        <f>T("8504525789")</f>
        <v>8504525789</v>
      </c>
    </row>
    <row r="1151" spans="1:12" x14ac:dyDescent="0.35">
      <c r="A1151" t="str">
        <f t="shared" si="427"/>
        <v>NMOTC</v>
      </c>
      <c r="B1151" t="str">
        <f t="shared" si="433"/>
        <v>NMOTC</v>
      </c>
      <c r="C1151" t="str">
        <f t="shared" si="434"/>
        <v>220 HOVEY ROAD</v>
      </c>
      <c r="D1151" t="str">
        <f t="shared" si="430"/>
        <v>PENSACOLA</v>
      </c>
      <c r="E1151" t="str">
        <f t="shared" si="431"/>
        <v>FL</v>
      </c>
      <c r="F1151" t="str">
        <f t="shared" si="432"/>
        <v>325081044</v>
      </c>
      <c r="G1151" t="str">
        <f>T("NMOTC")</f>
        <v>NMOTC</v>
      </c>
      <c r="H1151" t="str">
        <f>T("220 HOVEY ROAD")</f>
        <v>220 HOVEY ROAD</v>
      </c>
      <c r="I1151" t="str">
        <f t="shared" si="435"/>
        <v>PENSACOLA</v>
      </c>
      <c r="J1151" t="str">
        <f t="shared" si="436"/>
        <v>FL</v>
      </c>
      <c r="K1151" t="str">
        <f>T("000000000000000000")</f>
        <v>000000000000000000</v>
      </c>
      <c r="L1151" t="str">
        <f>T("8504522501")</f>
        <v>8504522501</v>
      </c>
    </row>
    <row r="1152" spans="1:12" x14ac:dyDescent="0.35">
      <c r="A1152" t="str">
        <f t="shared" si="427"/>
        <v>NMOTC</v>
      </c>
      <c r="B1152" t="str">
        <f t="shared" si="433"/>
        <v>NMOTC</v>
      </c>
      <c r="C1152" t="str">
        <f t="shared" si="434"/>
        <v>220 HOVEY ROAD</v>
      </c>
      <c r="D1152" t="str">
        <f t="shared" si="430"/>
        <v>PENSACOLA</v>
      </c>
      <c r="E1152" t="str">
        <f t="shared" si="431"/>
        <v>FL</v>
      </c>
      <c r="F1152" t="str">
        <f t="shared" si="432"/>
        <v>325081044</v>
      </c>
      <c r="G1152" t="str">
        <f>T("NMOTC")</f>
        <v>NMOTC</v>
      </c>
      <c r="H1152" t="str">
        <f>T("220 HOVEY ROAD")</f>
        <v>220 HOVEY ROAD</v>
      </c>
      <c r="I1152" t="str">
        <f t="shared" si="435"/>
        <v>PENSACOLA</v>
      </c>
      <c r="J1152" t="str">
        <f t="shared" si="436"/>
        <v>FL</v>
      </c>
      <c r="K1152" t="str">
        <f>T("850-452-8299")</f>
        <v>850-452-8299</v>
      </c>
      <c r="L1152" t="str">
        <f>T("8504522501")</f>
        <v>8504522501</v>
      </c>
    </row>
    <row r="1153" spans="1:12" x14ac:dyDescent="0.35">
      <c r="A1153" t="str">
        <f>T("NAMRU-3")</f>
        <v>NAMRU-3</v>
      </c>
      <c r="B1153" t="str">
        <f>T("NAMRU-3")</f>
        <v>NAMRU-3</v>
      </c>
      <c r="C1153" t="str">
        <f>T("PSC 452 BOX 5000")</f>
        <v>PSC 452 BOX 5000</v>
      </c>
      <c r="D1153" t="str">
        <f>T("FPO")</f>
        <v>FPO</v>
      </c>
      <c r="E1153" t="str">
        <f>T("AE")</f>
        <v>AE</v>
      </c>
      <c r="F1153" t="str">
        <f>T("098350452")</f>
        <v>098350452</v>
      </c>
      <c r="G1153" t="str">
        <f>T("NAMRU-3")</f>
        <v>NAMRU-3</v>
      </c>
      <c r="H1153" t="str">
        <f>T("PSC 452 BOX 5000")</f>
        <v>PSC 452 BOX 5000</v>
      </c>
      <c r="I1153" t="str">
        <f>T("FPO")</f>
        <v>FPO</v>
      </c>
      <c r="J1153" t="str">
        <f>T("AE")</f>
        <v>AE</v>
      </c>
      <c r="K1153" t="str">
        <f>T("000000000000000000")</f>
        <v>000000000000000000</v>
      </c>
      <c r="L1153" t="str">
        <f>T("1111111111")</f>
        <v>1111111111</v>
      </c>
    </row>
    <row r="1154" spans="1:12" x14ac:dyDescent="0.35">
      <c r="A1154" t="str">
        <f>T("NAMRU-3")</f>
        <v>NAMRU-3</v>
      </c>
      <c r="B1154" t="str">
        <f>T("NAMRU-3")</f>
        <v>NAMRU-3</v>
      </c>
      <c r="C1154" t="str">
        <f>T("PSC 452 BOX 5000")</f>
        <v>PSC 452 BOX 5000</v>
      </c>
      <c r="D1154" t="str">
        <f>T("FPO")</f>
        <v>FPO</v>
      </c>
      <c r="E1154" t="str">
        <f>T("AE")</f>
        <v>AE</v>
      </c>
      <c r="F1154" t="str">
        <f>T("098350452")</f>
        <v>098350452</v>
      </c>
      <c r="G1154" t="str">
        <f>T("PSC 452 BOX 5000")</f>
        <v>PSC 452 BOX 5000</v>
      </c>
      <c r="H1154" t="str">
        <f>T("")</f>
        <v/>
      </c>
      <c r="I1154" t="str">
        <f>T("FPO")</f>
        <v>FPO</v>
      </c>
      <c r="J1154" t="str">
        <f>T("AE")</f>
        <v>AE</v>
      </c>
      <c r="K1154" t="str">
        <f>T("000000000000000000")</f>
        <v>000000000000000000</v>
      </c>
      <c r="L1154" t="str">
        <f>T("1111111111")</f>
        <v>1111111111</v>
      </c>
    </row>
    <row r="1155" spans="1:12" x14ac:dyDescent="0.35">
      <c r="A1155" t="str">
        <f t="shared" ref="A1155:A1194" si="437">T("NMCPHC")</f>
        <v>NMCPHC</v>
      </c>
      <c r="B1155" t="str">
        <f>T("1285 WEST D STREET")</f>
        <v>1285 WEST D STREET</v>
      </c>
      <c r="C1155" t="str">
        <f>T("")</f>
        <v/>
      </c>
      <c r="D1155" t="str">
        <f>T("NORFOLK")</f>
        <v>NORFOLK</v>
      </c>
      <c r="E1155" t="str">
        <f>T("VA")</f>
        <v>VA</v>
      </c>
      <c r="F1155" t="str">
        <f>T("235113394")</f>
        <v>235113394</v>
      </c>
      <c r="G1155" t="str">
        <f>T("1285 WEST D ST")</f>
        <v>1285 WEST D ST</v>
      </c>
      <c r="H1155" t="str">
        <f>T("BLDG U-238")</f>
        <v>BLDG U-238</v>
      </c>
      <c r="I1155" t="str">
        <f>T("NORFOLK")</f>
        <v>NORFOLK</v>
      </c>
      <c r="J1155" t="str">
        <f>T("VA")</f>
        <v>VA</v>
      </c>
      <c r="K1155" t="str">
        <f>T("000000000000000000")</f>
        <v>000000000000000000</v>
      </c>
      <c r="L1155" t="str">
        <f>T("7579536592")</f>
        <v>7579536592</v>
      </c>
    </row>
    <row r="1156" spans="1:12" x14ac:dyDescent="0.35">
      <c r="A1156" t="str">
        <f t="shared" si="437"/>
        <v>NMCPHC</v>
      </c>
      <c r="B1156" t="str">
        <f>T("1285 WEST D STREET")</f>
        <v>1285 WEST D STREET</v>
      </c>
      <c r="C1156" t="str">
        <f>T("")</f>
        <v/>
      </c>
      <c r="D1156" t="str">
        <f>T("NORFOLK")</f>
        <v>NORFOLK</v>
      </c>
      <c r="E1156" t="str">
        <f>T("VA")</f>
        <v>VA</v>
      </c>
      <c r="F1156" t="str">
        <f>T("235113394")</f>
        <v>235113394</v>
      </c>
      <c r="G1156" t="str">
        <f>T("1285 WEST D ST")</f>
        <v>1285 WEST D ST</v>
      </c>
      <c r="H1156" t="str">
        <f>T("BLDG U-238")</f>
        <v>BLDG U-238</v>
      </c>
      <c r="I1156" t="str">
        <f>T("NORFOLK")</f>
        <v>NORFOLK</v>
      </c>
      <c r="J1156" t="str">
        <f>T("VA")</f>
        <v>VA</v>
      </c>
      <c r="K1156" t="str">
        <f>T("000000000000000000")</f>
        <v>000000000000000000</v>
      </c>
      <c r="L1156" t="str">
        <f>T("7579536765")</f>
        <v>7579536765</v>
      </c>
    </row>
    <row r="1157" spans="1:12" x14ac:dyDescent="0.35">
      <c r="A1157" t="str">
        <f t="shared" si="437"/>
        <v>NMCPHC</v>
      </c>
      <c r="B1157" t="str">
        <f>T("1285 WEST D STREET")</f>
        <v>1285 WEST D STREET</v>
      </c>
      <c r="C1157" t="str">
        <f>T("")</f>
        <v/>
      </c>
      <c r="D1157" t="str">
        <f>T("NORFOLK")</f>
        <v>NORFOLK</v>
      </c>
      <c r="E1157" t="str">
        <f>T("VA")</f>
        <v>VA</v>
      </c>
      <c r="F1157" t="str">
        <f>T("235113394")</f>
        <v>235113394</v>
      </c>
      <c r="G1157" t="str">
        <f>T("1285 WEST D ST")</f>
        <v>1285 WEST D ST</v>
      </c>
      <c r="H1157" t="str">
        <f>T("BLDG U-238")</f>
        <v>BLDG U-238</v>
      </c>
      <c r="I1157" t="str">
        <f>T("NORFOLK")</f>
        <v>NORFOLK</v>
      </c>
      <c r="J1157" t="str">
        <f>T("VA")</f>
        <v>VA</v>
      </c>
      <c r="K1157" t="str">
        <f>T("000000000000000000")</f>
        <v>000000000000000000</v>
      </c>
      <c r="L1157" t="str">
        <f>T("7579538478")</f>
        <v>7579538478</v>
      </c>
    </row>
    <row r="1158" spans="1:12" x14ac:dyDescent="0.35">
      <c r="A1158" t="str">
        <f t="shared" si="437"/>
        <v>NMCPHC</v>
      </c>
      <c r="B1158" t="str">
        <f>T("1285 WEST D STREET")</f>
        <v>1285 WEST D STREET</v>
      </c>
      <c r="C1158" t="str">
        <f>T("")</f>
        <v/>
      </c>
      <c r="D1158" t="str">
        <f>T("NORFOLK")</f>
        <v>NORFOLK</v>
      </c>
      <c r="E1158" t="str">
        <f>T("VA")</f>
        <v>VA</v>
      </c>
      <c r="F1158" t="str">
        <f>T("235113394")</f>
        <v>235113394</v>
      </c>
      <c r="G1158" t="str">
        <f>T("1285 WEST D STREET")</f>
        <v>1285 WEST D STREET</v>
      </c>
      <c r="H1158" t="str">
        <f>T("")</f>
        <v/>
      </c>
      <c r="I1158" t="str">
        <f>T("NORFOLK")</f>
        <v>NORFOLK</v>
      </c>
      <c r="J1158" t="str">
        <f>T("VA")</f>
        <v>VA</v>
      </c>
      <c r="K1158" t="str">
        <f>T("")</f>
        <v/>
      </c>
      <c r="L1158" t="str">
        <f>T("7579836593")</f>
        <v>7579836593</v>
      </c>
    </row>
    <row r="1159" spans="1:12" x14ac:dyDescent="0.35">
      <c r="A1159" t="str">
        <f t="shared" si="437"/>
        <v>NMCPHC</v>
      </c>
      <c r="B1159" t="str">
        <f>T("2500 RODGERS STREET")</f>
        <v>2500 RODGERS STREET</v>
      </c>
      <c r="C1159" t="str">
        <f>T("BLDG 5501")</f>
        <v>BLDG 5501</v>
      </c>
      <c r="D1159" t="str">
        <f>T("GREAT LAKES")</f>
        <v>GREAT LAKES</v>
      </c>
      <c r="E1159" t="str">
        <f>T("IL")</f>
        <v>IL</v>
      </c>
      <c r="F1159" t="str">
        <f>T("600882952")</f>
        <v>600882952</v>
      </c>
      <c r="G1159" t="str">
        <f>T("2500 RODGERS ST")</f>
        <v>2500 RODGERS ST</v>
      </c>
      <c r="H1159" t="str">
        <f>T("BLDG 5501")</f>
        <v>BLDG 5501</v>
      </c>
      <c r="I1159" t="str">
        <f>T("GREAT LAKES")</f>
        <v>GREAT LAKES</v>
      </c>
      <c r="J1159" t="str">
        <f>T("IL")</f>
        <v>IL</v>
      </c>
      <c r="K1159" t="str">
        <f>T("000000000000000000")</f>
        <v>000000000000000000</v>
      </c>
      <c r="L1159" t="str">
        <f>T("8476882045")</f>
        <v>8476882045</v>
      </c>
    </row>
    <row r="1160" spans="1:12" x14ac:dyDescent="0.35">
      <c r="A1160" t="str">
        <f t="shared" si="437"/>
        <v>NMCPHC</v>
      </c>
      <c r="B1160" t="str">
        <f>T("2500 RODGERS STREET")</f>
        <v>2500 RODGERS STREET</v>
      </c>
      <c r="C1160" t="str">
        <f>T("BLDG 5501")</f>
        <v>BLDG 5501</v>
      </c>
      <c r="D1160" t="str">
        <f>T("GREAT LAKES")</f>
        <v>GREAT LAKES</v>
      </c>
      <c r="E1160" t="str">
        <f>T("IL")</f>
        <v>IL</v>
      </c>
      <c r="F1160" t="str">
        <f>T("600882952")</f>
        <v>600882952</v>
      </c>
      <c r="G1160" t="str">
        <f>T("2500 RODGERS ST BUILDING 5501")</f>
        <v>2500 RODGERS ST BUILDING 5501</v>
      </c>
      <c r="H1160" t="str">
        <f>T("")</f>
        <v/>
      </c>
      <c r="I1160" t="str">
        <f>T("GREAT LAKES")</f>
        <v>GREAT LAKES</v>
      </c>
      <c r="J1160" t="str">
        <f>T("IL")</f>
        <v>IL</v>
      </c>
      <c r="K1160" t="str">
        <f>T("8476882045124")</f>
        <v>8476882045124</v>
      </c>
      <c r="L1160" t="str">
        <f>T("1111111111")</f>
        <v>1111111111</v>
      </c>
    </row>
    <row r="1161" spans="1:12" x14ac:dyDescent="0.35">
      <c r="A1161" t="str">
        <f t="shared" si="437"/>
        <v>NMCPHC</v>
      </c>
      <c r="B1161" t="str">
        <f>T("2500 RODGERS STREET")</f>
        <v>2500 RODGERS STREET</v>
      </c>
      <c r="C1161" t="str">
        <f>T("BLDG 5501")</f>
        <v>BLDG 5501</v>
      </c>
      <c r="D1161" t="str">
        <f>T("GREAT LAKES")</f>
        <v>GREAT LAKES</v>
      </c>
      <c r="E1161" t="str">
        <f>T("IL")</f>
        <v>IL</v>
      </c>
      <c r="F1161" t="str">
        <f>T("600882952")</f>
        <v>600882952</v>
      </c>
      <c r="G1161" t="str">
        <f>T("2500 RODGERS STREET")</f>
        <v>2500 RODGERS STREET</v>
      </c>
      <c r="H1161" t="str">
        <f>T("BLDG 5501")</f>
        <v>BLDG 5501</v>
      </c>
      <c r="I1161" t="str">
        <f>T("GREAT LAKES")</f>
        <v>GREAT LAKES</v>
      </c>
      <c r="J1161" t="str">
        <f>T("IL")</f>
        <v>IL</v>
      </c>
      <c r="K1161" t="str">
        <f>T("")</f>
        <v/>
      </c>
      <c r="L1161" t="str">
        <f>T("8476882045")</f>
        <v>8476882045</v>
      </c>
    </row>
    <row r="1162" spans="1:12" x14ac:dyDescent="0.35">
      <c r="A1162" t="str">
        <f t="shared" si="437"/>
        <v>NMCPHC</v>
      </c>
      <c r="B1162" t="str">
        <f>T("2500 RODGERS STREET")</f>
        <v>2500 RODGERS STREET</v>
      </c>
      <c r="C1162" t="str">
        <f>T("BLDG 5501")</f>
        <v>BLDG 5501</v>
      </c>
      <c r="D1162" t="str">
        <f>T("GREAT LAKES")</f>
        <v>GREAT LAKES</v>
      </c>
      <c r="E1162" t="str">
        <f>T("IL")</f>
        <v>IL</v>
      </c>
      <c r="F1162" t="str">
        <f>T("600882952")</f>
        <v>600882952</v>
      </c>
      <c r="G1162" t="str">
        <f>T("320 B ST BLDG 38H")</f>
        <v>320 B ST BLDG 38H</v>
      </c>
      <c r="H1162" t="str">
        <f>T("")</f>
        <v/>
      </c>
      <c r="I1162" t="str">
        <f>T("GREAT LAKES")</f>
        <v>GREAT LAKES</v>
      </c>
      <c r="J1162" t="str">
        <f>T("IL")</f>
        <v>IL</v>
      </c>
      <c r="K1162" t="str">
        <f>T("000000000000000000")</f>
        <v>000000000000000000</v>
      </c>
      <c r="L1162" t="str">
        <f>T("8476882045")</f>
        <v>8476882045</v>
      </c>
    </row>
    <row r="1163" spans="1:12" x14ac:dyDescent="0.35">
      <c r="A1163" t="str">
        <f t="shared" si="437"/>
        <v>NMCPHC</v>
      </c>
      <c r="B1163" t="str">
        <f>T("34225 FARENHOLT AVE")</f>
        <v>34225 FARENHOLT AVE</v>
      </c>
      <c r="C1163" t="str">
        <f>T("SUITE 40, BLDG 26-2B")</f>
        <v>SUITE 40, BLDG 26-2B</v>
      </c>
      <c r="D1163" t="str">
        <f>T("SAN DIEGO")</f>
        <v>SAN DIEGO</v>
      </c>
      <c r="E1163" t="str">
        <f>T("CA")</f>
        <v>CA</v>
      </c>
      <c r="F1163" t="str">
        <f>T("921340001")</f>
        <v>921340001</v>
      </c>
      <c r="G1163" t="str">
        <f>T("34225 FARENHOLT AVE")</f>
        <v>34225 FARENHOLT AVE</v>
      </c>
      <c r="H1163" t="str">
        <f>T("SUITE 40, BLDG 26-2B")</f>
        <v>SUITE 40, BLDG 26-2B</v>
      </c>
      <c r="I1163" t="str">
        <f>T("SAN DIEGO")</f>
        <v>SAN DIEGO</v>
      </c>
      <c r="J1163" t="str">
        <f>T("CA")</f>
        <v>CA</v>
      </c>
      <c r="K1163" t="str">
        <f>T("")</f>
        <v/>
      </c>
      <c r="L1163" t="str">
        <f>T("6195325723")</f>
        <v>6195325723</v>
      </c>
    </row>
    <row r="1164" spans="1:12" x14ac:dyDescent="0.35">
      <c r="A1164" t="str">
        <f t="shared" si="437"/>
        <v>NMCPHC</v>
      </c>
      <c r="B1164" t="str">
        <f>T("34225 FARENHOLT AVE")</f>
        <v>34225 FARENHOLT AVE</v>
      </c>
      <c r="C1164" t="str">
        <f>T("SUITE 40, BLDG 26-2B")</f>
        <v>SUITE 40, BLDG 26-2B</v>
      </c>
      <c r="D1164" t="str">
        <f>T("SAN DIEGO")</f>
        <v>SAN DIEGO</v>
      </c>
      <c r="E1164" t="str">
        <f>T("CA")</f>
        <v>CA</v>
      </c>
      <c r="F1164" t="str">
        <f>T("921340001")</f>
        <v>921340001</v>
      </c>
      <c r="G1164" t="str">
        <f>T("34425 FARENHOLT AVE")</f>
        <v>34425 FARENHOLT AVE</v>
      </c>
      <c r="H1164" t="str">
        <f>T("BLDG 26-2B STE40")</f>
        <v>BLDG 26-2B STE40</v>
      </c>
      <c r="I1164" t="str">
        <f>T("SAN DIEGO")</f>
        <v>SAN DIEGO</v>
      </c>
      <c r="J1164" t="str">
        <f>T("CA")</f>
        <v>CA</v>
      </c>
      <c r="K1164" t="str">
        <f t="shared" ref="K1164:K1172" si="438">T("000000000000000000")</f>
        <v>000000000000000000</v>
      </c>
      <c r="L1164" t="str">
        <f>T("6195325175")</f>
        <v>6195325175</v>
      </c>
    </row>
    <row r="1165" spans="1:12" x14ac:dyDescent="0.35">
      <c r="A1165" t="str">
        <f t="shared" si="437"/>
        <v>NMCPHC</v>
      </c>
      <c r="B1165" t="str">
        <f>T("34225 FARENHOLT AVE")</f>
        <v>34225 FARENHOLT AVE</v>
      </c>
      <c r="C1165" t="str">
        <f>T("SUITE 40, BLDG 26-2B")</f>
        <v>SUITE 40, BLDG 26-2B</v>
      </c>
      <c r="D1165" t="str">
        <f>T("SAN DIEGO")</f>
        <v>SAN DIEGO</v>
      </c>
      <c r="E1165" t="str">
        <f>T("CA")</f>
        <v>CA</v>
      </c>
      <c r="F1165" t="str">
        <f>T("921340001")</f>
        <v>921340001</v>
      </c>
      <c r="G1165" t="str">
        <f>T("34425 FARENHOLT AVE")</f>
        <v>34425 FARENHOLT AVE</v>
      </c>
      <c r="H1165" t="str">
        <f>T("BLDG 26-2B STE40")</f>
        <v>BLDG 26-2B STE40</v>
      </c>
      <c r="I1165" t="str">
        <f>T("SAN DIEGO")</f>
        <v>SAN DIEGO</v>
      </c>
      <c r="J1165" t="str">
        <f>T("CA")</f>
        <v>CA</v>
      </c>
      <c r="K1165" t="str">
        <f t="shared" si="438"/>
        <v>000000000000000000</v>
      </c>
      <c r="L1165" t="str">
        <f>T("6195327249")</f>
        <v>6195327249</v>
      </c>
    </row>
    <row r="1166" spans="1:12" x14ac:dyDescent="0.35">
      <c r="A1166" t="str">
        <f t="shared" si="437"/>
        <v>NMCPHC</v>
      </c>
      <c r="B1166" t="str">
        <f>T("34225 FARENHOLT AVE")</f>
        <v>34225 FARENHOLT AVE</v>
      </c>
      <c r="C1166" t="str">
        <f>T("SUITE 40, BLDG 26-2B")</f>
        <v>SUITE 40, BLDG 26-2B</v>
      </c>
      <c r="D1166" t="str">
        <f>T("SAN DIEGO")</f>
        <v>SAN DIEGO</v>
      </c>
      <c r="E1166" t="str">
        <f>T("CA")</f>
        <v>CA</v>
      </c>
      <c r="F1166" t="str">
        <f>T("921340001")</f>
        <v>921340001</v>
      </c>
      <c r="G1166" t="str">
        <f>T("34425 FARENHOLT AVENUE, SUITE 40")</f>
        <v>34425 FARENHOLT AVENUE, SUITE 40</v>
      </c>
      <c r="H1166" t="str">
        <f>T("")</f>
        <v/>
      </c>
      <c r="I1166" t="str">
        <f>T("SAN DIEGO")</f>
        <v>SAN DIEGO</v>
      </c>
      <c r="J1166" t="str">
        <f>T("CA")</f>
        <v>CA</v>
      </c>
      <c r="K1166" t="str">
        <f t="shared" si="438"/>
        <v>000000000000000000</v>
      </c>
      <c r="L1166" t="str">
        <f>T("6195325176")</f>
        <v>6195325176</v>
      </c>
    </row>
    <row r="1167" spans="1:12" x14ac:dyDescent="0.35">
      <c r="A1167" t="str">
        <f t="shared" si="437"/>
        <v>NMCPHC</v>
      </c>
      <c r="B1167" t="str">
        <f t="shared" ref="B1167:B1174" si="439">T("620 JOHN PAUL JONES CIRCLE")</f>
        <v>620 JOHN PAUL JONES CIRCLE</v>
      </c>
      <c r="C1167" t="str">
        <f t="shared" ref="C1167:C1174" si="440">T("SUITE 1100")</f>
        <v>SUITE 1100</v>
      </c>
      <c r="D1167" t="str">
        <f t="shared" ref="D1167:D1174" si="441">T("PORTSMOUTH")</f>
        <v>PORTSMOUTH</v>
      </c>
      <c r="E1167" t="str">
        <f t="shared" ref="E1167:E1174" si="442">T("VA")</f>
        <v>VA</v>
      </c>
      <c r="F1167" t="str">
        <f t="shared" ref="F1167:F1174" si="443">T("237082111")</f>
        <v>237082111</v>
      </c>
      <c r="G1167" t="str">
        <f t="shared" ref="G1167:G1172" si="444">T("620 JOHN PAUL JONES CIR")</f>
        <v>620 JOHN PAUL JONES CIR</v>
      </c>
      <c r="H1167" t="str">
        <f>T("SUITE 1100")</f>
        <v>SUITE 1100</v>
      </c>
      <c r="I1167" t="str">
        <f t="shared" ref="I1167:I1174" si="445">T("PORTSMOUTH")</f>
        <v>PORTSMOUTH</v>
      </c>
      <c r="J1167" t="str">
        <f t="shared" ref="J1167:J1174" si="446">T("VA")</f>
        <v>VA</v>
      </c>
      <c r="K1167" t="str">
        <f t="shared" si="438"/>
        <v>000000000000000000</v>
      </c>
      <c r="L1167" t="str">
        <f>T("7579530051")</f>
        <v>7579530051</v>
      </c>
    </row>
    <row r="1168" spans="1:12" x14ac:dyDescent="0.35">
      <c r="A1168" t="str">
        <f t="shared" si="437"/>
        <v>NMCPHC</v>
      </c>
      <c r="B1168" t="str">
        <f t="shared" si="439"/>
        <v>620 JOHN PAUL JONES CIRCLE</v>
      </c>
      <c r="C1168" t="str">
        <f t="shared" si="440"/>
        <v>SUITE 1100</v>
      </c>
      <c r="D1168" t="str">
        <f t="shared" si="441"/>
        <v>PORTSMOUTH</v>
      </c>
      <c r="E1168" t="str">
        <f t="shared" si="442"/>
        <v>VA</v>
      </c>
      <c r="F1168" t="str">
        <f t="shared" si="443"/>
        <v>237082111</v>
      </c>
      <c r="G1168" t="str">
        <f t="shared" si="444"/>
        <v>620 JOHN PAUL JONES CIR</v>
      </c>
      <c r="H1168" t="str">
        <f>T("SUITE 1100")</f>
        <v>SUITE 1100</v>
      </c>
      <c r="I1168" t="str">
        <f t="shared" si="445"/>
        <v>PORTSMOUTH</v>
      </c>
      <c r="J1168" t="str">
        <f t="shared" si="446"/>
        <v>VA</v>
      </c>
      <c r="K1168" t="str">
        <f t="shared" si="438"/>
        <v>000000000000000000</v>
      </c>
      <c r="L1168" t="str">
        <f>T("7579530760")</f>
        <v>7579530760</v>
      </c>
    </row>
    <row r="1169" spans="1:12" x14ac:dyDescent="0.35">
      <c r="A1169" t="str">
        <f t="shared" si="437"/>
        <v>NMCPHC</v>
      </c>
      <c r="B1169" t="str">
        <f t="shared" si="439"/>
        <v>620 JOHN PAUL JONES CIRCLE</v>
      </c>
      <c r="C1169" t="str">
        <f t="shared" si="440"/>
        <v>SUITE 1100</v>
      </c>
      <c r="D1169" t="str">
        <f t="shared" si="441"/>
        <v>PORTSMOUTH</v>
      </c>
      <c r="E1169" t="str">
        <f t="shared" si="442"/>
        <v>VA</v>
      </c>
      <c r="F1169" t="str">
        <f t="shared" si="443"/>
        <v>237082111</v>
      </c>
      <c r="G1169" t="str">
        <f t="shared" si="444"/>
        <v>620 JOHN PAUL JONES CIR</v>
      </c>
      <c r="H1169" t="str">
        <f>T("SUITE 1100")</f>
        <v>SUITE 1100</v>
      </c>
      <c r="I1169" t="str">
        <f t="shared" si="445"/>
        <v>PORTSMOUTH</v>
      </c>
      <c r="J1169" t="str">
        <f t="shared" si="446"/>
        <v>VA</v>
      </c>
      <c r="K1169" t="str">
        <f t="shared" si="438"/>
        <v>000000000000000000</v>
      </c>
      <c r="L1169" t="str">
        <f>T("7579530924")</f>
        <v>7579530924</v>
      </c>
    </row>
    <row r="1170" spans="1:12" x14ac:dyDescent="0.35">
      <c r="A1170" t="str">
        <f t="shared" si="437"/>
        <v>NMCPHC</v>
      </c>
      <c r="B1170" t="str">
        <f t="shared" si="439"/>
        <v>620 JOHN PAUL JONES CIRCLE</v>
      </c>
      <c r="C1170" t="str">
        <f t="shared" si="440"/>
        <v>SUITE 1100</v>
      </c>
      <c r="D1170" t="str">
        <f t="shared" si="441"/>
        <v>PORTSMOUTH</v>
      </c>
      <c r="E1170" t="str">
        <f t="shared" si="442"/>
        <v>VA</v>
      </c>
      <c r="F1170" t="str">
        <f t="shared" si="443"/>
        <v>237082111</v>
      </c>
      <c r="G1170" t="str">
        <f t="shared" si="444"/>
        <v>620 JOHN PAUL JONES CIR</v>
      </c>
      <c r="H1170" t="str">
        <f>T("SUITE 1100")</f>
        <v>SUITE 1100</v>
      </c>
      <c r="I1170" t="str">
        <f t="shared" si="445"/>
        <v>PORTSMOUTH</v>
      </c>
      <c r="J1170" t="str">
        <f t="shared" si="446"/>
        <v>VA</v>
      </c>
      <c r="K1170" t="str">
        <f t="shared" si="438"/>
        <v>000000000000000000</v>
      </c>
      <c r="L1170" t="str">
        <f>T("7579530964")</f>
        <v>7579530964</v>
      </c>
    </row>
    <row r="1171" spans="1:12" x14ac:dyDescent="0.35">
      <c r="A1171" t="str">
        <f t="shared" si="437"/>
        <v>NMCPHC</v>
      </c>
      <c r="B1171" t="str">
        <f t="shared" si="439"/>
        <v>620 JOHN PAUL JONES CIRCLE</v>
      </c>
      <c r="C1171" t="str">
        <f t="shared" si="440"/>
        <v>SUITE 1100</v>
      </c>
      <c r="D1171" t="str">
        <f t="shared" si="441"/>
        <v>PORTSMOUTH</v>
      </c>
      <c r="E1171" t="str">
        <f t="shared" si="442"/>
        <v>VA</v>
      </c>
      <c r="F1171" t="str">
        <f t="shared" si="443"/>
        <v>237082111</v>
      </c>
      <c r="G1171" t="str">
        <f t="shared" si="444"/>
        <v>620 JOHN PAUL JONES CIR</v>
      </c>
      <c r="H1171" t="str">
        <f>T("SUITE 1100")</f>
        <v>SUITE 1100</v>
      </c>
      <c r="I1171" t="str">
        <f t="shared" si="445"/>
        <v>PORTSMOUTH</v>
      </c>
      <c r="J1171" t="str">
        <f t="shared" si="446"/>
        <v>VA</v>
      </c>
      <c r="K1171" t="str">
        <f t="shared" si="438"/>
        <v>000000000000000000</v>
      </c>
      <c r="L1171" t="str">
        <f>T("7579530965")</f>
        <v>7579530965</v>
      </c>
    </row>
    <row r="1172" spans="1:12" x14ac:dyDescent="0.35">
      <c r="A1172" t="str">
        <f t="shared" si="437"/>
        <v>NMCPHC</v>
      </c>
      <c r="B1172" t="str">
        <f t="shared" si="439"/>
        <v>620 JOHN PAUL JONES CIRCLE</v>
      </c>
      <c r="C1172" t="str">
        <f t="shared" si="440"/>
        <v>SUITE 1100</v>
      </c>
      <c r="D1172" t="str">
        <f t="shared" si="441"/>
        <v>PORTSMOUTH</v>
      </c>
      <c r="E1172" t="str">
        <f t="shared" si="442"/>
        <v>VA</v>
      </c>
      <c r="F1172" t="str">
        <f t="shared" si="443"/>
        <v>237082111</v>
      </c>
      <c r="G1172" t="str">
        <f t="shared" si="444"/>
        <v>620 JOHN PAUL JONES CIR</v>
      </c>
      <c r="H1172" t="str">
        <f>T("SUITE 1100 BLDG 3")</f>
        <v>SUITE 1100 BLDG 3</v>
      </c>
      <c r="I1172" t="str">
        <f t="shared" si="445"/>
        <v>PORTSMOUTH</v>
      </c>
      <c r="J1172" t="str">
        <f t="shared" si="446"/>
        <v>VA</v>
      </c>
      <c r="K1172" t="str">
        <f t="shared" si="438"/>
        <v>000000000000000000</v>
      </c>
      <c r="L1172" t="str">
        <f>T("7579530926")</f>
        <v>7579530926</v>
      </c>
    </row>
    <row r="1173" spans="1:12" x14ac:dyDescent="0.35">
      <c r="A1173" t="str">
        <f t="shared" si="437"/>
        <v>NMCPHC</v>
      </c>
      <c r="B1173" t="str">
        <f t="shared" si="439"/>
        <v>620 JOHN PAUL JONES CIRCLE</v>
      </c>
      <c r="C1173" t="str">
        <f t="shared" si="440"/>
        <v>SUITE 1100</v>
      </c>
      <c r="D1173" t="str">
        <f t="shared" si="441"/>
        <v>PORTSMOUTH</v>
      </c>
      <c r="E1173" t="str">
        <f t="shared" si="442"/>
        <v>VA</v>
      </c>
      <c r="F1173" t="str">
        <f t="shared" si="443"/>
        <v>237082111</v>
      </c>
      <c r="G1173" t="str">
        <f>T("620 JOHN PAUL JONES CIRCLE")</f>
        <v>620 JOHN PAUL JONES CIRCLE</v>
      </c>
      <c r="H1173" t="str">
        <f>T("SUITE 1100")</f>
        <v>SUITE 1100</v>
      </c>
      <c r="I1173" t="str">
        <f t="shared" si="445"/>
        <v>PORTSMOUTH</v>
      </c>
      <c r="J1173" t="str">
        <f t="shared" si="446"/>
        <v>VA</v>
      </c>
      <c r="K1173" t="str">
        <f>T("")</f>
        <v/>
      </c>
      <c r="L1173" t="str">
        <f>T("7579530915")</f>
        <v>7579530915</v>
      </c>
    </row>
    <row r="1174" spans="1:12" x14ac:dyDescent="0.35">
      <c r="A1174" t="str">
        <f t="shared" si="437"/>
        <v>NMCPHC</v>
      </c>
      <c r="B1174" t="str">
        <f t="shared" si="439"/>
        <v>620 JOHN PAUL JONES CIRCLE</v>
      </c>
      <c r="C1174" t="str">
        <f t="shared" si="440"/>
        <v>SUITE 1100</v>
      </c>
      <c r="D1174" t="str">
        <f t="shared" si="441"/>
        <v>PORTSMOUTH</v>
      </c>
      <c r="E1174" t="str">
        <f t="shared" si="442"/>
        <v>VA</v>
      </c>
      <c r="F1174" t="str">
        <f t="shared" si="443"/>
        <v>237082111</v>
      </c>
      <c r="G1174" t="str">
        <f>T("620 JOHN PAUL JONES CIRCLE")</f>
        <v>620 JOHN PAUL JONES CIRCLE</v>
      </c>
      <c r="H1174" t="str">
        <f>T("SUITE 1100")</f>
        <v>SUITE 1100</v>
      </c>
      <c r="I1174" t="str">
        <f t="shared" si="445"/>
        <v>PORTSMOUTH</v>
      </c>
      <c r="J1174" t="str">
        <f t="shared" si="446"/>
        <v>VA</v>
      </c>
      <c r="K1174" t="str">
        <f>T("000000000000000000")</f>
        <v>000000000000000000</v>
      </c>
      <c r="L1174" t="str">
        <f>T("7579531963")</f>
        <v>7579531963</v>
      </c>
    </row>
    <row r="1175" spans="1:12" x14ac:dyDescent="0.35">
      <c r="A1175" t="str">
        <f t="shared" si="437"/>
        <v>NMCPHC</v>
      </c>
      <c r="B1175" t="str">
        <f>T("8950 BROWN DRIVE")</f>
        <v>8950 BROWN DRIVE</v>
      </c>
      <c r="C1175" t="str">
        <f>T("BLDG 4 4TH FLOOR")</f>
        <v>BLDG 4 4TH FLOOR</v>
      </c>
      <c r="D1175" t="str">
        <f>T("BETHESDA")</f>
        <v>BETHESDA</v>
      </c>
      <c r="E1175" t="str">
        <f>T("MD")</f>
        <v>MD</v>
      </c>
      <c r="F1175" t="str">
        <f>T("208895629")</f>
        <v>208895629</v>
      </c>
      <c r="G1175" t="str">
        <f>T("8950 BROWN DRIVE")</f>
        <v>8950 BROWN DRIVE</v>
      </c>
      <c r="H1175" t="str">
        <f>T("BLDG 4 4TH FLOOR")</f>
        <v>BLDG 4 4TH FLOOR</v>
      </c>
      <c r="I1175" t="str">
        <f>T("BETHESDA")</f>
        <v>BETHESDA</v>
      </c>
      <c r="J1175" t="str">
        <f>T("MD")</f>
        <v>MD</v>
      </c>
      <c r="K1175" t="str">
        <f>T("301-319-4664")</f>
        <v>301-319-4664</v>
      </c>
      <c r="L1175" t="str">
        <f>T("3012955424")</f>
        <v>3012955424</v>
      </c>
    </row>
    <row r="1176" spans="1:12" x14ac:dyDescent="0.35">
      <c r="A1176" t="str">
        <f t="shared" si="437"/>
        <v>NMCPHC</v>
      </c>
      <c r="B1176" t="str">
        <f>T("8950 BROWN DRIVE")</f>
        <v>8950 BROWN DRIVE</v>
      </c>
      <c r="C1176" t="str">
        <f>T("BLDG 4 4TH FLOOR")</f>
        <v>BLDG 4 4TH FLOOR</v>
      </c>
      <c r="D1176" t="str">
        <f>T("BETHESDA")</f>
        <v>BETHESDA</v>
      </c>
      <c r="E1176" t="str">
        <f>T("MD")</f>
        <v>MD</v>
      </c>
      <c r="F1176" t="str">
        <f>T("208895629")</f>
        <v>208895629</v>
      </c>
      <c r="G1176" t="str">
        <f>T("NAVAL DOSIMETRY CENTER")</f>
        <v>NAVAL DOSIMETRY CENTER</v>
      </c>
      <c r="H1176" t="str">
        <f>T("8950 BROWN DR BLDG 4 4TH FL")</f>
        <v>8950 BROWN DR BLDG 4 4TH FL</v>
      </c>
      <c r="I1176" t="str">
        <f>T("BETHESDA")</f>
        <v>BETHESDA</v>
      </c>
      <c r="J1176" t="str">
        <f>T("MD")</f>
        <v>MD</v>
      </c>
      <c r="K1176" t="str">
        <f>T("000000000000000000")</f>
        <v>000000000000000000</v>
      </c>
      <c r="L1176" t="str">
        <f>T("3012955414")</f>
        <v>3012955414</v>
      </c>
    </row>
    <row r="1177" spans="1:12" x14ac:dyDescent="0.35">
      <c r="A1177" t="str">
        <f t="shared" si="437"/>
        <v>NMCPHC</v>
      </c>
      <c r="B1177" t="str">
        <f>T("NAVDROGLABJAX")</f>
        <v>NAVDROGLABJAX</v>
      </c>
      <c r="C1177" t="str">
        <f>T("P.O. BOX 113")</f>
        <v>P.O. BOX 113</v>
      </c>
      <c r="D1177" t="str">
        <f t="shared" ref="D1177:D1182" si="447">T("JACKSONVILLE")</f>
        <v>JACKSONVILLE</v>
      </c>
      <c r="E1177" t="str">
        <f t="shared" ref="E1177:E1182" si="448">T("FL")</f>
        <v>FL</v>
      </c>
      <c r="F1177" t="str">
        <f>T("322120113")</f>
        <v>322120113</v>
      </c>
      <c r="G1177" t="str">
        <f>T("ADAMS AVE")</f>
        <v>ADAMS AVE</v>
      </c>
      <c r="H1177" t="str">
        <f>T("BLDG H-2033")</f>
        <v>BLDG H-2033</v>
      </c>
      <c r="I1177" t="str">
        <f t="shared" ref="I1177:I1182" si="449">T("JACKSONVILLE")</f>
        <v>JACKSONVILLE</v>
      </c>
      <c r="J1177" t="str">
        <f t="shared" ref="J1177:J1182" si="450">T("FL")</f>
        <v>FL</v>
      </c>
      <c r="K1177" t="str">
        <f>T("000000000000000000")</f>
        <v>000000000000000000</v>
      </c>
      <c r="L1177" t="str">
        <f>T("9045427755")</f>
        <v>9045427755</v>
      </c>
    </row>
    <row r="1178" spans="1:12" x14ac:dyDescent="0.35">
      <c r="A1178" t="str">
        <f t="shared" si="437"/>
        <v>NMCPHC</v>
      </c>
      <c r="B1178" t="str">
        <f>T("NAVDROGLABJAX")</f>
        <v>NAVDROGLABJAX</v>
      </c>
      <c r="C1178" t="str">
        <f>T("P.O. BOX 113")</f>
        <v>P.O. BOX 113</v>
      </c>
      <c r="D1178" t="str">
        <f t="shared" si="447"/>
        <v>JACKSONVILLE</v>
      </c>
      <c r="E1178" t="str">
        <f t="shared" si="448"/>
        <v>FL</v>
      </c>
      <c r="F1178" t="str">
        <f>T("322120113")</f>
        <v>322120113</v>
      </c>
      <c r="G1178" t="str">
        <f>T("BOX 113")</f>
        <v>BOX 113</v>
      </c>
      <c r="H1178" t="str">
        <f>T("BLDG H-2033")</f>
        <v>BLDG H-2033</v>
      </c>
      <c r="I1178" t="str">
        <f t="shared" si="449"/>
        <v>JACKSONVILLE</v>
      </c>
      <c r="J1178" t="str">
        <f t="shared" si="450"/>
        <v>FL</v>
      </c>
      <c r="K1178" t="str">
        <f>T("000000000000000000")</f>
        <v>000000000000000000</v>
      </c>
      <c r="L1178" t="str">
        <f>T("9045427755")</f>
        <v>9045427755</v>
      </c>
    </row>
    <row r="1179" spans="1:12" x14ac:dyDescent="0.35">
      <c r="A1179" t="str">
        <f t="shared" si="437"/>
        <v>NMCPHC</v>
      </c>
      <c r="B1179" t="str">
        <f>T("NAVDROGLABJAX")</f>
        <v>NAVDROGLABJAX</v>
      </c>
      <c r="C1179" t="str">
        <f>T("P.O. BOX 113")</f>
        <v>P.O. BOX 113</v>
      </c>
      <c r="D1179" t="str">
        <f t="shared" si="447"/>
        <v>JACKSONVILLE</v>
      </c>
      <c r="E1179" t="str">
        <f t="shared" si="448"/>
        <v>FL</v>
      </c>
      <c r="F1179" t="str">
        <f>T("322120113")</f>
        <v>322120113</v>
      </c>
      <c r="G1179" t="str">
        <f>T("NAVDROGLABJAX")</f>
        <v>NAVDROGLABJAX</v>
      </c>
      <c r="H1179" t="str">
        <f>T("P.O. BOX 113")</f>
        <v>P.O. BOX 113</v>
      </c>
      <c r="I1179" t="str">
        <f t="shared" si="449"/>
        <v>JACKSONVILLE</v>
      </c>
      <c r="J1179" t="str">
        <f t="shared" si="450"/>
        <v>FL</v>
      </c>
      <c r="K1179" t="str">
        <f>T("")</f>
        <v/>
      </c>
      <c r="L1179" t="str">
        <f>T("9045427755")</f>
        <v>9045427755</v>
      </c>
    </row>
    <row r="1180" spans="1:12" x14ac:dyDescent="0.35">
      <c r="A1180" t="str">
        <f t="shared" si="437"/>
        <v>NMCPHC</v>
      </c>
      <c r="B1180" t="str">
        <f>T("NECE")</f>
        <v>NECE</v>
      </c>
      <c r="C1180" t="str">
        <f>T("NAS BOX 43 BLDG 937")</f>
        <v>NAS BOX 43 BLDG 937</v>
      </c>
      <c r="D1180" t="str">
        <f t="shared" si="447"/>
        <v>JACKSONVILLE</v>
      </c>
      <c r="E1180" t="str">
        <f t="shared" si="448"/>
        <v>FL</v>
      </c>
      <c r="F1180" t="str">
        <f>T("322120043")</f>
        <v>322120043</v>
      </c>
      <c r="G1180" t="str">
        <f>T("937 CHILD ST")</f>
        <v>937 CHILD ST</v>
      </c>
      <c r="H1180" t="str">
        <f>T("BOX 43 BLDG 937")</f>
        <v>BOX 43 BLDG 937</v>
      </c>
      <c r="I1180" t="str">
        <f t="shared" si="449"/>
        <v>JACKSONVILLE</v>
      </c>
      <c r="J1180" t="str">
        <f t="shared" si="450"/>
        <v>FL</v>
      </c>
      <c r="K1180" t="str">
        <f>T("000000000000000000")</f>
        <v>000000000000000000</v>
      </c>
      <c r="L1180" t="str">
        <f>T("9045420357")</f>
        <v>9045420357</v>
      </c>
    </row>
    <row r="1181" spans="1:12" x14ac:dyDescent="0.35">
      <c r="A1181" t="str">
        <f t="shared" si="437"/>
        <v>NMCPHC</v>
      </c>
      <c r="B1181" t="str">
        <f>T("NECE")</f>
        <v>NECE</v>
      </c>
      <c r="C1181" t="str">
        <f>T("NAS BOX 43 BLDG 937")</f>
        <v>NAS BOX 43 BLDG 937</v>
      </c>
      <c r="D1181" t="str">
        <f t="shared" si="447"/>
        <v>JACKSONVILLE</v>
      </c>
      <c r="E1181" t="str">
        <f t="shared" si="448"/>
        <v>FL</v>
      </c>
      <c r="F1181" t="str">
        <f>T("322120043")</f>
        <v>322120043</v>
      </c>
      <c r="G1181" t="str">
        <f>T("937 CHILD ST")</f>
        <v>937 CHILD ST</v>
      </c>
      <c r="H1181" t="str">
        <f>T("BOX 43 BLDG 937")</f>
        <v>BOX 43 BLDG 937</v>
      </c>
      <c r="I1181" t="str">
        <f t="shared" si="449"/>
        <v>JACKSONVILLE</v>
      </c>
      <c r="J1181" t="str">
        <f t="shared" si="450"/>
        <v>FL</v>
      </c>
      <c r="K1181" t="str">
        <f>T("000000000000000000")</f>
        <v>000000000000000000</v>
      </c>
      <c r="L1181" t="str">
        <f>T("9045424632")</f>
        <v>9045424632</v>
      </c>
    </row>
    <row r="1182" spans="1:12" x14ac:dyDescent="0.35">
      <c r="A1182" t="str">
        <f t="shared" si="437"/>
        <v>NMCPHC</v>
      </c>
      <c r="B1182" t="str">
        <f>T("NECE")</f>
        <v>NECE</v>
      </c>
      <c r="C1182" t="str">
        <f>T("NAS BOX 43 BLDG 937")</f>
        <v>NAS BOX 43 BLDG 937</v>
      </c>
      <c r="D1182" t="str">
        <f t="shared" si="447"/>
        <v>JACKSONVILLE</v>
      </c>
      <c r="E1182" t="str">
        <f t="shared" si="448"/>
        <v>FL</v>
      </c>
      <c r="F1182" t="str">
        <f>T("322120043")</f>
        <v>322120043</v>
      </c>
      <c r="G1182" t="str">
        <f>T("NECE")</f>
        <v>NECE</v>
      </c>
      <c r="H1182" t="str">
        <f>T("NAS BOX 43 BLDG 937")</f>
        <v>NAS BOX 43 BLDG 937</v>
      </c>
      <c r="I1182" t="str">
        <f t="shared" si="449"/>
        <v>JACKSONVILLE</v>
      </c>
      <c r="J1182" t="str">
        <f t="shared" si="450"/>
        <v>FL</v>
      </c>
      <c r="K1182" t="str">
        <f>T("")</f>
        <v/>
      </c>
      <c r="L1182" t="str">
        <f>T("9045426430")</f>
        <v>9045426430</v>
      </c>
    </row>
    <row r="1183" spans="1:12" x14ac:dyDescent="0.35">
      <c r="A1183" t="str">
        <f t="shared" si="437"/>
        <v>NMCPHC</v>
      </c>
      <c r="B1183" t="str">
        <f>T("NEPMU-5")</f>
        <v>NEPMU-5</v>
      </c>
      <c r="C1183" t="str">
        <f>T("34520 BOB WILSON DRIVE")</f>
        <v>34520 BOB WILSON DRIVE</v>
      </c>
      <c r="D1183" t="str">
        <f>T("SAN DIEGO")</f>
        <v>SAN DIEGO</v>
      </c>
      <c r="E1183" t="str">
        <f>T("CA")</f>
        <v>CA</v>
      </c>
      <c r="F1183" t="str">
        <f>T("921342098")</f>
        <v>921342098</v>
      </c>
      <c r="G1183" t="str">
        <f>T("3235 ALBACORE ALLEY")</f>
        <v>3235 ALBACORE ALLEY</v>
      </c>
      <c r="H1183" t="str">
        <f>T("")</f>
        <v/>
      </c>
      <c r="I1183" t="str">
        <f>T("SAN DIEGO")</f>
        <v>SAN DIEGO</v>
      </c>
      <c r="J1183" t="str">
        <f>T("CA")</f>
        <v>CA</v>
      </c>
      <c r="K1183" t="str">
        <f>T("000000000000000000")</f>
        <v>000000000000000000</v>
      </c>
      <c r="L1183" t="str">
        <f>T("6195561426")</f>
        <v>6195561426</v>
      </c>
    </row>
    <row r="1184" spans="1:12" x14ac:dyDescent="0.35">
      <c r="A1184" t="str">
        <f t="shared" si="437"/>
        <v>NMCPHC</v>
      </c>
      <c r="B1184" t="str">
        <f>T("NEPMU-5")</f>
        <v>NEPMU-5</v>
      </c>
      <c r="C1184" t="str">
        <f>T("34520 BOB WILSON DRIVE")</f>
        <v>34520 BOB WILSON DRIVE</v>
      </c>
      <c r="D1184" t="str">
        <f>T("SAN DIEGO")</f>
        <v>SAN DIEGO</v>
      </c>
      <c r="E1184" t="str">
        <f>T("CA")</f>
        <v>CA</v>
      </c>
      <c r="F1184" t="str">
        <f>T("921342098")</f>
        <v>921342098</v>
      </c>
      <c r="G1184" t="str">
        <f>T("3235 ALBACORE ALLEY")</f>
        <v>3235 ALBACORE ALLEY</v>
      </c>
      <c r="H1184" t="str">
        <f>T("")</f>
        <v/>
      </c>
      <c r="I1184" t="str">
        <f>T("SAN DIEGO")</f>
        <v>SAN DIEGO</v>
      </c>
      <c r="J1184" t="str">
        <f>T("CA")</f>
        <v>CA</v>
      </c>
      <c r="K1184" t="str">
        <f>T("000000000000000000")</f>
        <v>000000000000000000</v>
      </c>
      <c r="L1184" t="str">
        <f>T("6195567070")</f>
        <v>6195567070</v>
      </c>
    </row>
    <row r="1185" spans="1:12" x14ac:dyDescent="0.35">
      <c r="A1185" t="str">
        <f t="shared" si="437"/>
        <v>NMCPHC</v>
      </c>
      <c r="B1185" t="str">
        <f>T("NEPMU-5")</f>
        <v>NEPMU-5</v>
      </c>
      <c r="C1185" t="str">
        <f>T("34520 BOB WILSON DRIVE")</f>
        <v>34520 BOB WILSON DRIVE</v>
      </c>
      <c r="D1185" t="str">
        <f>T("SAN DIEGO")</f>
        <v>SAN DIEGO</v>
      </c>
      <c r="E1185" t="str">
        <f>T("CA")</f>
        <v>CA</v>
      </c>
      <c r="F1185" t="str">
        <f>T("921342098")</f>
        <v>921342098</v>
      </c>
      <c r="G1185" t="str">
        <f>T("3235 ALBACORE ALLEY")</f>
        <v>3235 ALBACORE ALLEY</v>
      </c>
      <c r="H1185" t="str">
        <f>T("")</f>
        <v/>
      </c>
      <c r="I1185" t="str">
        <f>T("SAN DIEGO")</f>
        <v>SAN DIEGO</v>
      </c>
      <c r="J1185" t="str">
        <f>T("CA")</f>
        <v>CA</v>
      </c>
      <c r="K1185" t="str">
        <f>T("000000000000000000")</f>
        <v>000000000000000000</v>
      </c>
      <c r="L1185" t="str">
        <f>T("6195567423")</f>
        <v>6195567423</v>
      </c>
    </row>
    <row r="1186" spans="1:12" x14ac:dyDescent="0.35">
      <c r="A1186" t="str">
        <f t="shared" si="437"/>
        <v>NMCPHC</v>
      </c>
      <c r="B1186" t="str">
        <f>T("NEPMU-5")</f>
        <v>NEPMU-5</v>
      </c>
      <c r="C1186" t="str">
        <f>T("34520 BOB WILSON DRIVE")</f>
        <v>34520 BOB WILSON DRIVE</v>
      </c>
      <c r="D1186" t="str">
        <f>T("SAN DIEGO")</f>
        <v>SAN DIEGO</v>
      </c>
      <c r="E1186" t="str">
        <f>T("CA")</f>
        <v>CA</v>
      </c>
      <c r="F1186" t="str">
        <f>T("921342098")</f>
        <v>921342098</v>
      </c>
      <c r="G1186" t="str">
        <f>T("NEPMU-5")</f>
        <v>NEPMU-5</v>
      </c>
      <c r="H1186" t="str">
        <f>T("34520 BOB WILSON DRIVE")</f>
        <v>34520 BOB WILSON DRIVE</v>
      </c>
      <c r="I1186" t="str">
        <f>T("SAN DIEGO")</f>
        <v>SAN DIEGO</v>
      </c>
      <c r="J1186" t="str">
        <f>T("CA")</f>
        <v>CA</v>
      </c>
      <c r="K1186" t="str">
        <f>T("")</f>
        <v/>
      </c>
      <c r="L1186" t="str">
        <f>T("6195569255")</f>
        <v>6195569255</v>
      </c>
    </row>
    <row r="1187" spans="1:12" x14ac:dyDescent="0.35">
      <c r="A1187" t="str">
        <f t="shared" si="437"/>
        <v>NMCPHC</v>
      </c>
      <c r="B1187" t="str">
        <f>T("NEPMU-6")</f>
        <v>NEPMU-6</v>
      </c>
      <c r="C1187" t="str">
        <f>T("385 SOUTH AVE BLDG 618")</f>
        <v>385 SOUTH AVE BLDG 618</v>
      </c>
      <c r="D1187" t="str">
        <f>T("PEARL HARBOR")</f>
        <v>PEARL HARBOR</v>
      </c>
      <c r="E1187" t="str">
        <f>T("HI")</f>
        <v>HI</v>
      </c>
      <c r="F1187" t="str">
        <f>T("968604983")</f>
        <v>968604983</v>
      </c>
      <c r="G1187" t="str">
        <f>T("385 SOUTH AVE BLDG 618")</f>
        <v>385 SOUTH AVE BLDG 618</v>
      </c>
      <c r="H1187" t="str">
        <f>T("")</f>
        <v/>
      </c>
      <c r="I1187" t="str">
        <f>T("JBPHH")</f>
        <v>JBPHH</v>
      </c>
      <c r="J1187" t="str">
        <f>T("HI")</f>
        <v>HI</v>
      </c>
      <c r="K1187" t="str">
        <f>T("000000000000000000")</f>
        <v>000000000000000000</v>
      </c>
      <c r="L1187" t="str">
        <f>T("8084710305")</f>
        <v>8084710305</v>
      </c>
    </row>
    <row r="1188" spans="1:12" x14ac:dyDescent="0.35">
      <c r="A1188" t="str">
        <f t="shared" si="437"/>
        <v>NMCPHC</v>
      </c>
      <c r="B1188" t="str">
        <f>T("NEPMU-6")</f>
        <v>NEPMU-6</v>
      </c>
      <c r="C1188" t="str">
        <f>T("385 SOUTH AVE BLDG 618")</f>
        <v>385 SOUTH AVE BLDG 618</v>
      </c>
      <c r="D1188" t="str">
        <f>T("PEARL HARBOR")</f>
        <v>PEARL HARBOR</v>
      </c>
      <c r="E1188" t="str">
        <f>T("HI")</f>
        <v>HI</v>
      </c>
      <c r="F1188" t="str">
        <f>T("968604983")</f>
        <v>968604983</v>
      </c>
      <c r="G1188" t="str">
        <f>T("385 SOUTH AVE BLDG 618")</f>
        <v>385 SOUTH AVE BLDG 618</v>
      </c>
      <c r="H1188" t="str">
        <f>T("")</f>
        <v/>
      </c>
      <c r="I1188" t="str">
        <f>T("JBPHH")</f>
        <v>JBPHH</v>
      </c>
      <c r="J1188" t="str">
        <f>T("HI")</f>
        <v>HI</v>
      </c>
      <c r="K1188" t="str">
        <f>T("000000000000000000")</f>
        <v>000000000000000000</v>
      </c>
      <c r="L1188" t="str">
        <f>T("8084712301")</f>
        <v>8084712301</v>
      </c>
    </row>
    <row r="1189" spans="1:12" x14ac:dyDescent="0.35">
      <c r="A1189" t="str">
        <f t="shared" si="437"/>
        <v>NMCPHC</v>
      </c>
      <c r="B1189" t="str">
        <f>T("NEPMU-6")</f>
        <v>NEPMU-6</v>
      </c>
      <c r="C1189" t="str">
        <f>T("385 SOUTH AVE BLDG 618")</f>
        <v>385 SOUTH AVE BLDG 618</v>
      </c>
      <c r="D1189" t="str">
        <f>T("PEARL HARBOR")</f>
        <v>PEARL HARBOR</v>
      </c>
      <c r="E1189" t="str">
        <f>T("HI")</f>
        <v>HI</v>
      </c>
      <c r="F1189" t="str">
        <f>T("968604983")</f>
        <v>968604983</v>
      </c>
      <c r="G1189" t="str">
        <f>T("NEPMU-6")</f>
        <v>NEPMU-6</v>
      </c>
      <c r="H1189" t="str">
        <f>T("385 SOUTH AVE BLDG 618")</f>
        <v>385 SOUTH AVE BLDG 618</v>
      </c>
      <c r="I1189" t="str">
        <f>T("PEARL HARBOR")</f>
        <v>PEARL HARBOR</v>
      </c>
      <c r="J1189" t="str">
        <f>T("HI")</f>
        <v>HI</v>
      </c>
      <c r="K1189" t="str">
        <f>T("8084710157")</f>
        <v>8084710157</v>
      </c>
      <c r="L1189" t="str">
        <f>T("8084710293")</f>
        <v>8084710293</v>
      </c>
    </row>
    <row r="1190" spans="1:12" x14ac:dyDescent="0.35">
      <c r="A1190" t="str">
        <f t="shared" si="437"/>
        <v>NMCPHC</v>
      </c>
      <c r="B1190" t="str">
        <f>T("NSA BETHESDA BLDG 17B SUITE 3376")</f>
        <v>NSA BETHESDA BLDG 17B SUITE 3376</v>
      </c>
      <c r="C1190" t="str">
        <f>T("8901 ROCKVILLE PIKE")</f>
        <v>8901 ROCKVILLE PIKE</v>
      </c>
      <c r="D1190" t="str">
        <f>T("BETHESDA")</f>
        <v>BETHESDA</v>
      </c>
      <c r="E1190" t="str">
        <f>T("MD")</f>
        <v>MD</v>
      </c>
      <c r="F1190" t="str">
        <f>T("208890004")</f>
        <v>208890004</v>
      </c>
      <c r="G1190" t="str">
        <f>T("8901 WISCONSIN AVE")</f>
        <v>8901 WISCONSIN AVE</v>
      </c>
      <c r="H1190" t="str">
        <f>T("")</f>
        <v/>
      </c>
      <c r="I1190" t="str">
        <f>T("BETHESDA")</f>
        <v>BETHESDA</v>
      </c>
      <c r="J1190" t="str">
        <f>T("MD")</f>
        <v>MD</v>
      </c>
      <c r="K1190" t="str">
        <f>T("000000000000000000")</f>
        <v>000000000000000000</v>
      </c>
      <c r="L1190" t="str">
        <f>T("3012951644")</f>
        <v>3012951644</v>
      </c>
    </row>
    <row r="1191" spans="1:12" x14ac:dyDescent="0.35">
      <c r="A1191" t="str">
        <f t="shared" si="437"/>
        <v>NMCPHC</v>
      </c>
      <c r="B1191" t="str">
        <f>T("NSA BETHESDA BLDG 17B SUITE 3376")</f>
        <v>NSA BETHESDA BLDG 17B SUITE 3376</v>
      </c>
      <c r="C1191" t="str">
        <f>T("8901 ROCKVILLE PIKE")</f>
        <v>8901 ROCKVILLE PIKE</v>
      </c>
      <c r="D1191" t="str">
        <f>T("BETHESDA")</f>
        <v>BETHESDA</v>
      </c>
      <c r="E1191" t="str">
        <f>T("MD")</f>
        <v>MD</v>
      </c>
      <c r="F1191" t="str">
        <f>T("208890004")</f>
        <v>208890004</v>
      </c>
      <c r="G1191" t="str">
        <f>T("BLDG 17B, SUITE 3G, RM 3376")</f>
        <v>BLDG 17B, SUITE 3G, RM 3376</v>
      </c>
      <c r="H1191" t="str">
        <f>T("8901 ROCKVILLE PIKE")</f>
        <v>8901 ROCKVILLE PIKE</v>
      </c>
      <c r="I1191" t="str">
        <f>T("BETHESDA")</f>
        <v>BETHESDA</v>
      </c>
      <c r="J1191" t="str">
        <f>T("MD")</f>
        <v>MD</v>
      </c>
      <c r="K1191" t="str">
        <f>T("000000000000000000")</f>
        <v>000000000000000000</v>
      </c>
      <c r="L1191" t="str">
        <f>T("3012955023")</f>
        <v>3012955023</v>
      </c>
    </row>
    <row r="1192" spans="1:12" x14ac:dyDescent="0.35">
      <c r="A1192" t="str">
        <f t="shared" si="437"/>
        <v>NMCPHC</v>
      </c>
      <c r="B1192" t="str">
        <f>T("NSA BETHESDA BLDG 17B SUITE 3376")</f>
        <v>NSA BETHESDA BLDG 17B SUITE 3376</v>
      </c>
      <c r="C1192" t="str">
        <f>T("8901 ROCKVILLE PIKE")</f>
        <v>8901 ROCKVILLE PIKE</v>
      </c>
      <c r="D1192" t="str">
        <f>T("BETHESDA")</f>
        <v>BETHESDA</v>
      </c>
      <c r="E1192" t="str">
        <f>T("MD")</f>
        <v>MD</v>
      </c>
      <c r="F1192" t="str">
        <f>T("208890004")</f>
        <v>208890004</v>
      </c>
      <c r="G1192" t="str">
        <f>T("NSA BETHESDA BLDG 17B SUITE 3376")</f>
        <v>NSA BETHESDA BLDG 17B SUITE 3376</v>
      </c>
      <c r="H1192" t="str">
        <f>T("8901 ROCKVILLE PIKE")</f>
        <v>8901 ROCKVILLE PIKE</v>
      </c>
      <c r="I1192" t="str">
        <f>T("BETHESDA")</f>
        <v>BETHESDA</v>
      </c>
      <c r="J1192" t="str">
        <f>T("MD")</f>
        <v>MD</v>
      </c>
      <c r="K1192" t="str">
        <f>T("")</f>
        <v/>
      </c>
      <c r="L1192" t="str">
        <f>T("3012956592")</f>
        <v>3012956592</v>
      </c>
    </row>
    <row r="1193" spans="1:12" x14ac:dyDescent="0.35">
      <c r="A1193" t="str">
        <f t="shared" si="437"/>
        <v>NMCPHC</v>
      </c>
      <c r="B1193" t="str">
        <f>T("PSC 819 BOX 67")</f>
        <v>PSC 819 BOX 67</v>
      </c>
      <c r="C1193" t="str">
        <f>T("")</f>
        <v/>
      </c>
      <c r="D1193" t="str">
        <f>T("FPO")</f>
        <v>FPO</v>
      </c>
      <c r="E1193" t="str">
        <f>T("AE")</f>
        <v>AE</v>
      </c>
      <c r="F1193" t="str">
        <f>T("096450001")</f>
        <v>096450001</v>
      </c>
      <c r="G1193" t="str">
        <f>T("NEPMU-7")</f>
        <v>NEPMU-7</v>
      </c>
      <c r="H1193" t="str">
        <f>T("PSC 819 BOX 67")</f>
        <v>PSC 819 BOX 67</v>
      </c>
      <c r="I1193" t="str">
        <f>T("FPO")</f>
        <v>FPO</v>
      </c>
      <c r="J1193" t="str">
        <f>T("AE")</f>
        <v>AE</v>
      </c>
      <c r="K1193" t="str">
        <f>T("01134956822252")</f>
        <v>01134956822252</v>
      </c>
      <c r="L1193" t="str">
        <f>T("1111111111")</f>
        <v>1111111111</v>
      </c>
    </row>
    <row r="1194" spans="1:12" x14ac:dyDescent="0.35">
      <c r="A1194" t="str">
        <f t="shared" si="437"/>
        <v>NMCPHC</v>
      </c>
      <c r="B1194" t="str">
        <f>T("PSC 819 BOX 67")</f>
        <v>PSC 819 BOX 67</v>
      </c>
      <c r="C1194" t="str">
        <f>T("")</f>
        <v/>
      </c>
      <c r="D1194" t="str">
        <f>T("FPO")</f>
        <v>FPO</v>
      </c>
      <c r="E1194" t="str">
        <f>T("AE")</f>
        <v>AE</v>
      </c>
      <c r="F1194" t="str">
        <f>T("096450001")</f>
        <v>096450001</v>
      </c>
      <c r="G1194" t="str">
        <f>T("PSC 819 BOX 67")</f>
        <v>PSC 819 BOX 67</v>
      </c>
      <c r="H1194" t="str">
        <f>T("")</f>
        <v/>
      </c>
      <c r="I1194" t="str">
        <f>T("FPO")</f>
        <v>FPO</v>
      </c>
      <c r="J1194" t="str">
        <f>T("AE")</f>
        <v>AE</v>
      </c>
      <c r="K1194" t="str">
        <f>T("000000000000000000")</f>
        <v>000000000000000000</v>
      </c>
      <c r="L1194" t="str">
        <f>T("1111111111")</f>
        <v>1111111111</v>
      </c>
    </row>
    <row r="1195" spans="1:12" x14ac:dyDescent="0.35">
      <c r="A1195" t="str">
        <f t="shared" ref="A1195:A1200" si="451">T("NAVAL MED LOGISTICS COMMAND")</f>
        <v>NAVAL MED LOGISTICS COMMAND</v>
      </c>
      <c r="B1195" t="str">
        <f>T("ATTN GCPC APC")</f>
        <v>ATTN GCPC APC</v>
      </c>
      <c r="C1195" t="str">
        <f t="shared" ref="C1195:C1200" si="452">T("693 NEIMAN STREET")</f>
        <v>693 NEIMAN STREET</v>
      </c>
      <c r="D1195" t="str">
        <f t="shared" ref="D1195:D1200" si="453">T("FORT DETRICK")</f>
        <v>FORT DETRICK</v>
      </c>
      <c r="E1195" t="str">
        <f t="shared" ref="E1195:E1200" si="454">T("MD")</f>
        <v>MD</v>
      </c>
      <c r="F1195" t="str">
        <f t="shared" ref="F1195:F1200" si="455">T("217029239")</f>
        <v>217029239</v>
      </c>
      <c r="G1195" t="str">
        <f>T("ATTN GCPC APC")</f>
        <v>ATTN GCPC APC</v>
      </c>
      <c r="H1195" t="str">
        <f>T("693 NEIMAN STREET")</f>
        <v>693 NEIMAN STREET</v>
      </c>
      <c r="I1195" t="str">
        <f t="shared" ref="I1195:I1200" si="456">T("FORT DETRICK")</f>
        <v>FORT DETRICK</v>
      </c>
      <c r="J1195" t="str">
        <f t="shared" ref="J1195:J1200" si="457">T("MD")</f>
        <v>MD</v>
      </c>
      <c r="K1195" t="str">
        <f>T("000000000000000000")</f>
        <v>000000000000000000</v>
      </c>
      <c r="L1195" t="str">
        <f>T("3016198555")</f>
        <v>3016198555</v>
      </c>
    </row>
    <row r="1196" spans="1:12" x14ac:dyDescent="0.35">
      <c r="A1196" t="str">
        <f t="shared" si="451"/>
        <v>NAVAL MED LOGISTICS COMMAND</v>
      </c>
      <c r="B1196" t="str">
        <f>T("ATTN GCPC APC")</f>
        <v>ATTN GCPC APC</v>
      </c>
      <c r="C1196" t="str">
        <f t="shared" si="452"/>
        <v>693 NEIMAN STREET</v>
      </c>
      <c r="D1196" t="str">
        <f t="shared" si="453"/>
        <v>FORT DETRICK</v>
      </c>
      <c r="E1196" t="str">
        <f t="shared" si="454"/>
        <v>MD</v>
      </c>
      <c r="F1196" t="str">
        <f t="shared" si="455"/>
        <v>217029239</v>
      </c>
      <c r="G1196" t="str">
        <f>T("ATTN GCPC APC")</f>
        <v>ATTN GCPC APC</v>
      </c>
      <c r="H1196" t="str">
        <f>T("693 NEIMAN STREET")</f>
        <v>693 NEIMAN STREET</v>
      </c>
      <c r="I1196" t="str">
        <f t="shared" si="456"/>
        <v>FORT DETRICK</v>
      </c>
      <c r="J1196" t="str">
        <f t="shared" si="457"/>
        <v>MD</v>
      </c>
      <c r="K1196" t="str">
        <f>T("301-619-7430")</f>
        <v>301-619-7430</v>
      </c>
      <c r="L1196" t="str">
        <f>T("3016198259")</f>
        <v>3016198259</v>
      </c>
    </row>
    <row r="1197" spans="1:12" x14ac:dyDescent="0.35">
      <c r="A1197" t="str">
        <f t="shared" si="451"/>
        <v>NAVAL MED LOGISTICS COMMAND</v>
      </c>
      <c r="B1197" t="str">
        <f>T("ATTN GCPC APC")</f>
        <v>ATTN GCPC APC</v>
      </c>
      <c r="C1197" t="str">
        <f t="shared" si="452"/>
        <v>693 NEIMAN STREET</v>
      </c>
      <c r="D1197" t="str">
        <f t="shared" si="453"/>
        <v>FORT DETRICK</v>
      </c>
      <c r="E1197" t="str">
        <f t="shared" si="454"/>
        <v>MD</v>
      </c>
      <c r="F1197" t="str">
        <f t="shared" si="455"/>
        <v>217029239</v>
      </c>
      <c r="G1197" t="str">
        <f>T("ATTN GCPC APC")</f>
        <v>ATTN GCPC APC</v>
      </c>
      <c r="H1197" t="str">
        <f>T("693 NEIMAN STREET")</f>
        <v>693 NEIMAN STREET</v>
      </c>
      <c r="I1197" t="str">
        <f t="shared" si="456"/>
        <v>FORT DETRICK</v>
      </c>
      <c r="J1197" t="str">
        <f t="shared" si="457"/>
        <v>MD</v>
      </c>
      <c r="K1197" t="str">
        <f>T("3016197430")</f>
        <v>3016197430</v>
      </c>
      <c r="L1197" t="str">
        <f>T("3016192048")</f>
        <v>3016192048</v>
      </c>
    </row>
    <row r="1198" spans="1:12" x14ac:dyDescent="0.35">
      <c r="A1198" t="str">
        <f t="shared" si="451"/>
        <v>NAVAL MED LOGISTICS COMMAND</v>
      </c>
      <c r="B1198" t="str">
        <f>T("NAVMEDLOGCOMC")</f>
        <v>NAVMEDLOGCOMC</v>
      </c>
      <c r="C1198" t="str">
        <f t="shared" si="452"/>
        <v>693 NEIMAN STREET</v>
      </c>
      <c r="D1198" t="str">
        <f t="shared" si="453"/>
        <v>FORT DETRICK</v>
      </c>
      <c r="E1198" t="str">
        <f t="shared" si="454"/>
        <v>MD</v>
      </c>
      <c r="F1198" t="str">
        <f t="shared" si="455"/>
        <v>217029239</v>
      </c>
      <c r="G1198" t="str">
        <f>T("693 NEIMAN ST")</f>
        <v>693 NEIMAN ST</v>
      </c>
      <c r="H1198" t="str">
        <f>T("")</f>
        <v/>
      </c>
      <c r="I1198" t="str">
        <f t="shared" si="456"/>
        <v>FORT DETRICK</v>
      </c>
      <c r="J1198" t="str">
        <f t="shared" si="457"/>
        <v>MD</v>
      </c>
      <c r="K1198" t="str">
        <f>T("000000000000000000")</f>
        <v>000000000000000000</v>
      </c>
      <c r="L1198" t="str">
        <f>T("3016198019")</f>
        <v>3016198019</v>
      </c>
    </row>
    <row r="1199" spans="1:12" x14ac:dyDescent="0.35">
      <c r="A1199" t="str">
        <f t="shared" si="451"/>
        <v>NAVAL MED LOGISTICS COMMAND</v>
      </c>
      <c r="B1199" t="str">
        <f>T("NAVMEDLOGCOMC")</f>
        <v>NAVMEDLOGCOMC</v>
      </c>
      <c r="C1199" t="str">
        <f t="shared" si="452"/>
        <v>693 NEIMAN STREET</v>
      </c>
      <c r="D1199" t="str">
        <f t="shared" si="453"/>
        <v>FORT DETRICK</v>
      </c>
      <c r="E1199" t="str">
        <f t="shared" si="454"/>
        <v>MD</v>
      </c>
      <c r="F1199" t="str">
        <f t="shared" si="455"/>
        <v>217029239</v>
      </c>
      <c r="G1199" t="str">
        <f>T("ATTN GCPC APC")</f>
        <v>ATTN GCPC APC</v>
      </c>
      <c r="H1199" t="str">
        <f>T("693 NEIMAN STREET")</f>
        <v>693 NEIMAN STREET</v>
      </c>
      <c r="I1199" t="str">
        <f t="shared" si="456"/>
        <v>FORT DETRICK</v>
      </c>
      <c r="J1199" t="str">
        <f t="shared" si="457"/>
        <v>MD</v>
      </c>
      <c r="K1199" t="str">
        <f>T("000000000000000000")</f>
        <v>000000000000000000</v>
      </c>
      <c r="L1199" t="str">
        <f>T("3016199325")</f>
        <v>3016199325</v>
      </c>
    </row>
    <row r="1200" spans="1:12" x14ac:dyDescent="0.35">
      <c r="A1200" t="str">
        <f t="shared" si="451"/>
        <v>NAVAL MED LOGISTICS COMMAND</v>
      </c>
      <c r="B1200" t="str">
        <f>T("NAVMEDLOGCOMC")</f>
        <v>NAVMEDLOGCOMC</v>
      </c>
      <c r="C1200" t="str">
        <f t="shared" si="452"/>
        <v>693 NEIMAN STREET</v>
      </c>
      <c r="D1200" t="str">
        <f t="shared" si="453"/>
        <v>FORT DETRICK</v>
      </c>
      <c r="E1200" t="str">
        <f t="shared" si="454"/>
        <v>MD</v>
      </c>
      <c r="F1200" t="str">
        <f t="shared" si="455"/>
        <v>217029239</v>
      </c>
      <c r="G1200" t="str">
        <f>T("NAVMEDLOGCOMC")</f>
        <v>NAVMEDLOGCOMC</v>
      </c>
      <c r="H1200" t="str">
        <f>T("693 NEIMAN STREET")</f>
        <v>693 NEIMAN STREET</v>
      </c>
      <c r="I1200" t="str">
        <f t="shared" si="456"/>
        <v>FORT DETRICK</v>
      </c>
      <c r="J1200" t="str">
        <f t="shared" si="457"/>
        <v>MD</v>
      </c>
      <c r="K1200" t="str">
        <f>T("301-619-6793")</f>
        <v>301-619-6793</v>
      </c>
      <c r="L1200" t="str">
        <f>T("3016193124")</f>
        <v>3016193124</v>
      </c>
    </row>
    <row r="1201" spans="1:12" x14ac:dyDescent="0.35">
      <c r="A1201" t="str">
        <f t="shared" ref="A1201:A1207" si="458">T("NHRC")</f>
        <v>NHRC</v>
      </c>
      <c r="B1201" t="str">
        <f>T("140 SYLVESTER RD")</f>
        <v>140 SYLVESTER RD</v>
      </c>
      <c r="C1201" t="str">
        <f>T("BLDG 346")</f>
        <v>BLDG 346</v>
      </c>
      <c r="D1201" t="str">
        <f t="shared" ref="D1201:D1207" si="459">T("SAN DIEGO")</f>
        <v>SAN DIEGO</v>
      </c>
      <c r="E1201" t="str">
        <f t="shared" ref="E1201:E1207" si="460">T("CA")</f>
        <v>CA</v>
      </c>
      <c r="F1201" t="str">
        <f t="shared" ref="F1201:F1207" si="461">T("921063521")</f>
        <v>921063521</v>
      </c>
      <c r="G1201" t="str">
        <f>T("140 SYLVESTER RD")</f>
        <v>140 SYLVESTER RD</v>
      </c>
      <c r="H1201" t="str">
        <f>T("BLDG 346")</f>
        <v>BLDG 346</v>
      </c>
      <c r="I1201" t="str">
        <f t="shared" ref="I1201:I1207" si="462">T("SAN DIEGO")</f>
        <v>SAN DIEGO</v>
      </c>
      <c r="J1201" t="str">
        <f t="shared" ref="J1201:J1207" si="463">T("CA")</f>
        <v>CA</v>
      </c>
      <c r="K1201" t="str">
        <f>T("000000000000000000")</f>
        <v>000000000000000000</v>
      </c>
      <c r="L1201" t="str">
        <f>T("6195538949")</f>
        <v>6195538949</v>
      </c>
    </row>
    <row r="1202" spans="1:12" x14ac:dyDescent="0.35">
      <c r="A1202" t="str">
        <f t="shared" si="458"/>
        <v>NHRC</v>
      </c>
      <c r="B1202" t="str">
        <f>T("140 SYLVESTER RD")</f>
        <v>140 SYLVESTER RD</v>
      </c>
      <c r="C1202" t="str">
        <f>T("BLDG 346")</f>
        <v>BLDG 346</v>
      </c>
      <c r="D1202" t="str">
        <f t="shared" si="459"/>
        <v>SAN DIEGO</v>
      </c>
      <c r="E1202" t="str">
        <f t="shared" si="460"/>
        <v>CA</v>
      </c>
      <c r="F1202" t="str">
        <f t="shared" si="461"/>
        <v>921063521</v>
      </c>
      <c r="G1202" t="str">
        <f>T("140 SYLVESTER RD BLDG 313")</f>
        <v>140 SYLVESTER RD BLDG 313</v>
      </c>
      <c r="H1202" t="str">
        <f>T("")</f>
        <v/>
      </c>
      <c r="I1202" t="str">
        <f t="shared" si="462"/>
        <v>SAN DIEGO</v>
      </c>
      <c r="J1202" t="str">
        <f t="shared" si="463"/>
        <v>CA</v>
      </c>
      <c r="K1202" t="str">
        <f>T("000000000000000000")</f>
        <v>000000000000000000</v>
      </c>
      <c r="L1202" t="str">
        <f>T("6195539460")</f>
        <v>6195539460</v>
      </c>
    </row>
    <row r="1203" spans="1:12" x14ac:dyDescent="0.35">
      <c r="A1203" t="str">
        <f t="shared" si="458"/>
        <v>NHRC</v>
      </c>
      <c r="B1203" t="str">
        <f>T("NHRC")</f>
        <v>NHRC</v>
      </c>
      <c r="C1203" t="str">
        <f>T("140 SYLVESTER RD")</f>
        <v>140 SYLVESTER RD</v>
      </c>
      <c r="D1203" t="str">
        <f t="shared" si="459"/>
        <v>SAN DIEGO</v>
      </c>
      <c r="E1203" t="str">
        <f t="shared" si="460"/>
        <v>CA</v>
      </c>
      <c r="F1203" t="str">
        <f t="shared" si="461"/>
        <v>921063521</v>
      </c>
      <c r="G1203" t="str">
        <f>T("NAVAL HEALTH RESEARCH CENTER")</f>
        <v>NAVAL HEALTH RESEARCH CENTER</v>
      </c>
      <c r="H1203" t="str">
        <f>T("140 SYLVESTER ROAD")</f>
        <v>140 SYLVESTER ROAD</v>
      </c>
      <c r="I1203" t="str">
        <f t="shared" si="462"/>
        <v>SAN DIEGO</v>
      </c>
      <c r="J1203" t="str">
        <f t="shared" si="463"/>
        <v>CA</v>
      </c>
      <c r="K1203" t="str">
        <f>T("000000000000000000")</f>
        <v>000000000000000000</v>
      </c>
      <c r="L1203" t="str">
        <f>T("6195532979")</f>
        <v>6195532979</v>
      </c>
    </row>
    <row r="1204" spans="1:12" x14ac:dyDescent="0.35">
      <c r="A1204" t="str">
        <f t="shared" si="458"/>
        <v>NHRC</v>
      </c>
      <c r="B1204" t="str">
        <f>T("NHRC")</f>
        <v>NHRC</v>
      </c>
      <c r="C1204" t="str">
        <f>T("140 SYLVESTER RD")</f>
        <v>140 SYLVESTER RD</v>
      </c>
      <c r="D1204" t="str">
        <f t="shared" si="459"/>
        <v>SAN DIEGO</v>
      </c>
      <c r="E1204" t="str">
        <f t="shared" si="460"/>
        <v>CA</v>
      </c>
      <c r="F1204" t="str">
        <f t="shared" si="461"/>
        <v>921063521</v>
      </c>
      <c r="G1204" t="str">
        <f>T("NAVAL HEALTH RESEARCH CENTER")</f>
        <v>NAVAL HEALTH RESEARCH CENTER</v>
      </c>
      <c r="H1204" t="str">
        <f>T("140 SYLVESTER ROAD")</f>
        <v>140 SYLVESTER ROAD</v>
      </c>
      <c r="I1204" t="str">
        <f t="shared" si="462"/>
        <v>SAN DIEGO</v>
      </c>
      <c r="J1204" t="str">
        <f t="shared" si="463"/>
        <v>CA</v>
      </c>
      <c r="K1204" t="str">
        <f>T("000000000000000000")</f>
        <v>000000000000000000</v>
      </c>
      <c r="L1204" t="str">
        <f>T("6195539460")</f>
        <v>6195539460</v>
      </c>
    </row>
    <row r="1205" spans="1:12" x14ac:dyDescent="0.35">
      <c r="A1205" t="str">
        <f t="shared" si="458"/>
        <v>NHRC</v>
      </c>
      <c r="B1205" t="str">
        <f>T("NHRC")</f>
        <v>NHRC</v>
      </c>
      <c r="C1205" t="str">
        <f>T("140 SYLVESTER RD")</f>
        <v>140 SYLVESTER RD</v>
      </c>
      <c r="D1205" t="str">
        <f t="shared" si="459"/>
        <v>SAN DIEGO</v>
      </c>
      <c r="E1205" t="str">
        <f t="shared" si="460"/>
        <v>CA</v>
      </c>
      <c r="F1205" t="str">
        <f t="shared" si="461"/>
        <v>921063521</v>
      </c>
      <c r="G1205" t="str">
        <f>T("NHRC")</f>
        <v>NHRC</v>
      </c>
      <c r="H1205" t="str">
        <f>T("140 SYLVESTER RD")</f>
        <v>140 SYLVESTER RD</v>
      </c>
      <c r="I1205" t="str">
        <f t="shared" si="462"/>
        <v>SAN DIEGO</v>
      </c>
      <c r="J1205" t="str">
        <f t="shared" si="463"/>
        <v>CA</v>
      </c>
      <c r="K1205" t="str">
        <f>T("")</f>
        <v/>
      </c>
      <c r="L1205" t="str">
        <f>T("6197674902")</f>
        <v>6197674902</v>
      </c>
    </row>
    <row r="1206" spans="1:12" x14ac:dyDescent="0.35">
      <c r="A1206" t="str">
        <f t="shared" si="458"/>
        <v>NHRC</v>
      </c>
      <c r="B1206" t="str">
        <f>T("NHRC CODE 33")</f>
        <v>NHRC CODE 33</v>
      </c>
      <c r="C1206" t="str">
        <f>T("140 SYLVESTER RD")</f>
        <v>140 SYLVESTER RD</v>
      </c>
      <c r="D1206" t="str">
        <f t="shared" si="459"/>
        <v>SAN DIEGO</v>
      </c>
      <c r="E1206" t="str">
        <f t="shared" si="460"/>
        <v>CA</v>
      </c>
      <c r="F1206" t="str">
        <f t="shared" si="461"/>
        <v>921063521</v>
      </c>
      <c r="G1206" t="str">
        <f>T("140 SYLVESTER RD")</f>
        <v>140 SYLVESTER RD</v>
      </c>
      <c r="H1206" t="str">
        <f>T("")</f>
        <v/>
      </c>
      <c r="I1206" t="str">
        <f t="shared" si="462"/>
        <v>SAN DIEGO</v>
      </c>
      <c r="J1206" t="str">
        <f t="shared" si="463"/>
        <v>CA</v>
      </c>
      <c r="K1206" t="str">
        <f>T("000000000000000000")</f>
        <v>000000000000000000</v>
      </c>
      <c r="L1206" t="str">
        <f>T("6195538432")</f>
        <v>6195538432</v>
      </c>
    </row>
    <row r="1207" spans="1:12" x14ac:dyDescent="0.35">
      <c r="A1207" t="str">
        <f t="shared" si="458"/>
        <v>NHRC</v>
      </c>
      <c r="B1207" t="str">
        <f>T("NHRC CODE 33")</f>
        <v>NHRC CODE 33</v>
      </c>
      <c r="C1207" t="str">
        <f>T("140 SYLVESTER RD")</f>
        <v>140 SYLVESTER RD</v>
      </c>
      <c r="D1207" t="str">
        <f t="shared" si="459"/>
        <v>SAN DIEGO</v>
      </c>
      <c r="E1207" t="str">
        <f t="shared" si="460"/>
        <v>CA</v>
      </c>
      <c r="F1207" t="str">
        <f t="shared" si="461"/>
        <v>921063521</v>
      </c>
      <c r="G1207" t="str">
        <f>T("NHRC CODE 33")</f>
        <v>NHRC CODE 33</v>
      </c>
      <c r="H1207" t="str">
        <f>T("140 SYLVESTER RD")</f>
        <v>140 SYLVESTER RD</v>
      </c>
      <c r="I1207" t="str">
        <f t="shared" si="462"/>
        <v>SAN DIEGO</v>
      </c>
      <c r="J1207" t="str">
        <f t="shared" si="463"/>
        <v>CA</v>
      </c>
      <c r="K1207" t="str">
        <f>T("000000000000000000")</f>
        <v>000000000000000000</v>
      </c>
      <c r="L1207" t="str">
        <f>T("6195538437")</f>
        <v>6195538437</v>
      </c>
    </row>
    <row r="1208" spans="1:12" x14ac:dyDescent="0.35">
      <c r="A1208" t="str">
        <f t="shared" ref="A1208:B1211" si="464">T("NOSTRA")</f>
        <v>NOSTRA</v>
      </c>
      <c r="B1208" t="str">
        <f t="shared" si="464"/>
        <v>NOSTRA</v>
      </c>
      <c r="C1208" t="str">
        <f>T("160 MAIN ROAD BLDG 1794")</f>
        <v>160 MAIN ROAD BLDG 1794</v>
      </c>
      <c r="D1208" t="str">
        <f>T("YORKTOWN")</f>
        <v>YORKTOWN</v>
      </c>
      <c r="E1208" t="str">
        <f>T("VA")</f>
        <v>VA</v>
      </c>
      <c r="F1208" t="str">
        <f>T("236915111")</f>
        <v>236915111</v>
      </c>
      <c r="G1208" t="str">
        <f>T("160 MAIN ROAD")</f>
        <v>160 MAIN ROAD</v>
      </c>
      <c r="H1208" t="str">
        <f>T("BLDG 1794")</f>
        <v>BLDG 1794</v>
      </c>
      <c r="I1208" t="str">
        <f>T("YORKTOWN")</f>
        <v>YORKTOWN</v>
      </c>
      <c r="J1208" t="str">
        <f>T("VA")</f>
        <v>VA</v>
      </c>
      <c r="K1208" t="str">
        <f>T("000000000000000000")</f>
        <v>000000000000000000</v>
      </c>
      <c r="L1208" t="str">
        <f>T("7578877296")</f>
        <v>7578877296</v>
      </c>
    </row>
    <row r="1209" spans="1:12" x14ac:dyDescent="0.35">
      <c r="A1209" t="str">
        <f t="shared" si="464"/>
        <v>NOSTRA</v>
      </c>
      <c r="B1209" t="str">
        <f t="shared" si="464"/>
        <v>NOSTRA</v>
      </c>
      <c r="C1209" t="str">
        <f>T("160 MAIN ROAD BLDG 1794")</f>
        <v>160 MAIN ROAD BLDG 1794</v>
      </c>
      <c r="D1209" t="str">
        <f>T("YORKTOWN")</f>
        <v>YORKTOWN</v>
      </c>
      <c r="E1209" t="str">
        <f>T("VA")</f>
        <v>VA</v>
      </c>
      <c r="F1209" t="str">
        <f>T("236915111")</f>
        <v>236915111</v>
      </c>
      <c r="G1209" t="str">
        <f>T("160 MAIN ROAD")</f>
        <v>160 MAIN ROAD</v>
      </c>
      <c r="H1209" t="str">
        <f>T("BLDG 1794")</f>
        <v>BLDG 1794</v>
      </c>
      <c r="I1209" t="str">
        <f>T("YORKTOWN")</f>
        <v>YORKTOWN</v>
      </c>
      <c r="J1209" t="str">
        <f>T("VA")</f>
        <v>VA</v>
      </c>
      <c r="K1209" t="str">
        <f>T("000000000000000000")</f>
        <v>000000000000000000</v>
      </c>
      <c r="L1209" t="str">
        <f>T("7578877429")</f>
        <v>7578877429</v>
      </c>
    </row>
    <row r="1210" spans="1:12" x14ac:dyDescent="0.35">
      <c r="A1210" t="str">
        <f t="shared" si="464"/>
        <v>NOSTRA</v>
      </c>
      <c r="B1210" t="str">
        <f t="shared" si="464"/>
        <v>NOSTRA</v>
      </c>
      <c r="C1210" t="str">
        <f>T("160 MAIN ROAD BLDG 1794")</f>
        <v>160 MAIN ROAD BLDG 1794</v>
      </c>
      <c r="D1210" t="str">
        <f>T("YORKTOWN")</f>
        <v>YORKTOWN</v>
      </c>
      <c r="E1210" t="str">
        <f>T("VA")</f>
        <v>VA</v>
      </c>
      <c r="F1210" t="str">
        <f>T("236915111")</f>
        <v>236915111</v>
      </c>
      <c r="G1210" t="str">
        <f>T("160 MAIN ROAD")</f>
        <v>160 MAIN ROAD</v>
      </c>
      <c r="H1210" t="str">
        <f>T("BLDG 1794")</f>
        <v>BLDG 1794</v>
      </c>
      <c r="I1210" t="str">
        <f>T("YORKTOWN")</f>
        <v>YORKTOWN</v>
      </c>
      <c r="J1210" t="str">
        <f>T("VA")</f>
        <v>VA</v>
      </c>
      <c r="K1210" t="str">
        <f>T("000000000000000000")</f>
        <v>000000000000000000</v>
      </c>
      <c r="L1210" t="str">
        <f>T("7578877562")</f>
        <v>7578877562</v>
      </c>
    </row>
    <row r="1211" spans="1:12" x14ac:dyDescent="0.35">
      <c r="A1211" t="str">
        <f t="shared" si="464"/>
        <v>NOSTRA</v>
      </c>
      <c r="B1211" t="str">
        <f t="shared" si="464"/>
        <v>NOSTRA</v>
      </c>
      <c r="C1211" t="str">
        <f>T("160 MAIN ROAD BLDG 1794")</f>
        <v>160 MAIN ROAD BLDG 1794</v>
      </c>
      <c r="D1211" t="str">
        <f>T("YORKTOWN")</f>
        <v>YORKTOWN</v>
      </c>
      <c r="E1211" t="str">
        <f>T("VA")</f>
        <v>VA</v>
      </c>
      <c r="F1211" t="str">
        <f>T("236915111")</f>
        <v>236915111</v>
      </c>
      <c r="G1211" t="str">
        <f>T("NOSTRA")</f>
        <v>NOSTRA</v>
      </c>
      <c r="H1211" t="str">
        <f>T("160 MAIN ROAD BLDG 1794")</f>
        <v>160 MAIN ROAD BLDG 1794</v>
      </c>
      <c r="I1211" t="str">
        <f>T("YORKTOWN")</f>
        <v>YORKTOWN</v>
      </c>
      <c r="J1211" t="str">
        <f>T("VA")</f>
        <v>VA</v>
      </c>
      <c r="K1211" t="str">
        <f>T("")</f>
        <v/>
      </c>
      <c r="L1211" t="str">
        <f>T("7578877301")</f>
        <v>7578877301</v>
      </c>
    </row>
    <row r="1212" spans="1:12" x14ac:dyDescent="0.35">
      <c r="A1212" t="str">
        <f t="shared" ref="A1212:A1219" si="465">T("NAVAL MEDICAL RESEARCH CTR")</f>
        <v>NAVAL MEDICAL RESEARCH CTR</v>
      </c>
      <c r="B1212" t="str">
        <f>T("503 ROBERT GRANT AVE")</f>
        <v>503 ROBERT GRANT AVE</v>
      </c>
      <c r="C1212" t="str">
        <f>T("MATERIAL MANAGEMENT DEPT")</f>
        <v>MATERIAL MANAGEMENT DEPT</v>
      </c>
      <c r="D1212" t="str">
        <f t="shared" ref="D1212:D1219" si="466">T("SILVER SPRING")</f>
        <v>SILVER SPRING</v>
      </c>
      <c r="E1212" t="str">
        <f t="shared" ref="E1212:E1219" si="467">T("MD")</f>
        <v>MD</v>
      </c>
      <c r="F1212" t="str">
        <f t="shared" ref="F1212:F1219" si="468">T("209107500")</f>
        <v>209107500</v>
      </c>
      <c r="G1212" t="str">
        <f t="shared" ref="G1212:G1217" si="469">T("503 ROBERT GRANT AVE")</f>
        <v>503 ROBERT GRANT AVE</v>
      </c>
      <c r="H1212" t="str">
        <f>T("BLDG 500")</f>
        <v>BLDG 500</v>
      </c>
      <c r="I1212" t="str">
        <f t="shared" ref="I1212:I1219" si="470">T("SILVER SPRING")</f>
        <v>SILVER SPRING</v>
      </c>
      <c r="J1212" t="str">
        <f t="shared" ref="J1212:J1219" si="471">T("MD")</f>
        <v>MD</v>
      </c>
      <c r="K1212" t="str">
        <f>T("000000000000000000")</f>
        <v>000000000000000000</v>
      </c>
      <c r="L1212" t="str">
        <f>T("3013197323")</f>
        <v>3013197323</v>
      </c>
    </row>
    <row r="1213" spans="1:12" x14ac:dyDescent="0.35">
      <c r="A1213" t="str">
        <f t="shared" si="465"/>
        <v>NAVAL MEDICAL RESEARCH CTR</v>
      </c>
      <c r="B1213" t="str">
        <f>T("503 ROBERT GRANT AVE")</f>
        <v>503 ROBERT GRANT AVE</v>
      </c>
      <c r="C1213" t="str">
        <f>T("MATERIAL MANAGEMENT DEPT")</f>
        <v>MATERIAL MANAGEMENT DEPT</v>
      </c>
      <c r="D1213" t="str">
        <f t="shared" si="466"/>
        <v>SILVER SPRING</v>
      </c>
      <c r="E1213" t="str">
        <f t="shared" si="467"/>
        <v>MD</v>
      </c>
      <c r="F1213" t="str">
        <f t="shared" si="468"/>
        <v>209107500</v>
      </c>
      <c r="G1213" t="str">
        <f t="shared" si="469"/>
        <v>503 ROBERT GRANT AVE</v>
      </c>
      <c r="H1213" t="str">
        <f>T("BLDG 500")</f>
        <v>BLDG 500</v>
      </c>
      <c r="I1213" t="str">
        <f t="shared" si="470"/>
        <v>SILVER SPRING</v>
      </c>
      <c r="J1213" t="str">
        <f t="shared" si="471"/>
        <v>MD</v>
      </c>
      <c r="K1213" t="str">
        <f>T("000000000000000000")</f>
        <v>000000000000000000</v>
      </c>
      <c r="L1213" t="str">
        <f>T("3013197641")</f>
        <v>3013197641</v>
      </c>
    </row>
    <row r="1214" spans="1:12" x14ac:dyDescent="0.35">
      <c r="A1214" t="str">
        <f t="shared" si="465"/>
        <v>NAVAL MEDICAL RESEARCH CTR</v>
      </c>
      <c r="B1214" t="str">
        <f>T("503 ROBERT GRANT AVE")</f>
        <v>503 ROBERT GRANT AVE</v>
      </c>
      <c r="C1214" t="str">
        <f>T("MATERIAL MANAGEMENT DEPT")</f>
        <v>MATERIAL MANAGEMENT DEPT</v>
      </c>
      <c r="D1214" t="str">
        <f t="shared" si="466"/>
        <v>SILVER SPRING</v>
      </c>
      <c r="E1214" t="str">
        <f t="shared" si="467"/>
        <v>MD</v>
      </c>
      <c r="F1214" t="str">
        <f t="shared" si="468"/>
        <v>209107500</v>
      </c>
      <c r="G1214" t="str">
        <f t="shared" si="469"/>
        <v>503 ROBERT GRANT AVE</v>
      </c>
      <c r="H1214" t="str">
        <f>T("MATERIAL MANAGEMENT DEPT")</f>
        <v>MATERIAL MANAGEMENT DEPT</v>
      </c>
      <c r="I1214" t="str">
        <f t="shared" si="470"/>
        <v>SILVER SPRING</v>
      </c>
      <c r="J1214" t="str">
        <f t="shared" si="471"/>
        <v>MD</v>
      </c>
      <c r="K1214" t="str">
        <f>T("3013196884")</f>
        <v>3013196884</v>
      </c>
      <c r="L1214" t="str">
        <f>T("3013196473")</f>
        <v>3013196473</v>
      </c>
    </row>
    <row r="1215" spans="1:12" x14ac:dyDescent="0.35">
      <c r="A1215" t="str">
        <f t="shared" si="465"/>
        <v>NAVAL MEDICAL RESEARCH CTR</v>
      </c>
      <c r="B1215" t="str">
        <f>T("NMRC")</f>
        <v>NMRC</v>
      </c>
      <c r="C1215" t="str">
        <f>T("503 ROBERT GRANT AVE")</f>
        <v>503 ROBERT GRANT AVE</v>
      </c>
      <c r="D1215" t="str">
        <f t="shared" si="466"/>
        <v>SILVER SPRING</v>
      </c>
      <c r="E1215" t="str">
        <f t="shared" si="467"/>
        <v>MD</v>
      </c>
      <c r="F1215" t="str">
        <f t="shared" si="468"/>
        <v>209107500</v>
      </c>
      <c r="G1215" t="str">
        <f t="shared" si="469"/>
        <v>503 ROBERT GRANT AVE</v>
      </c>
      <c r="H1215" t="str">
        <f>T("BLDG 500")</f>
        <v>BLDG 500</v>
      </c>
      <c r="I1215" t="str">
        <f t="shared" si="470"/>
        <v>SILVER SPRING</v>
      </c>
      <c r="J1215" t="str">
        <f t="shared" si="471"/>
        <v>MD</v>
      </c>
      <c r="K1215" t="str">
        <f>T("3013197451")</f>
        <v>3013197451</v>
      </c>
      <c r="L1215" t="str">
        <f>T("3013199021")</f>
        <v>3013199021</v>
      </c>
    </row>
    <row r="1216" spans="1:12" x14ac:dyDescent="0.35">
      <c r="A1216" t="str">
        <f t="shared" si="465"/>
        <v>NAVAL MEDICAL RESEARCH CTR</v>
      </c>
      <c r="B1216" t="str">
        <f>T("NMRC")</f>
        <v>NMRC</v>
      </c>
      <c r="C1216" t="str">
        <f>T("503 ROBERT GRANT AVE")</f>
        <v>503 ROBERT GRANT AVE</v>
      </c>
      <c r="D1216" t="str">
        <f t="shared" si="466"/>
        <v>SILVER SPRING</v>
      </c>
      <c r="E1216" t="str">
        <f t="shared" si="467"/>
        <v>MD</v>
      </c>
      <c r="F1216" t="str">
        <f t="shared" si="468"/>
        <v>209107500</v>
      </c>
      <c r="G1216" t="str">
        <f t="shared" si="469"/>
        <v>503 ROBERT GRANT AVE</v>
      </c>
      <c r="H1216" t="str">
        <f>T("BLDG 500")</f>
        <v>BLDG 500</v>
      </c>
      <c r="I1216" t="str">
        <f t="shared" si="470"/>
        <v>SILVER SPRING</v>
      </c>
      <c r="J1216" t="str">
        <f t="shared" si="471"/>
        <v>MD</v>
      </c>
      <c r="K1216" t="str">
        <f>T("3013197451")</f>
        <v>3013197451</v>
      </c>
      <c r="L1216" t="str">
        <f>T("3016191674")</f>
        <v>3016191674</v>
      </c>
    </row>
    <row r="1217" spans="1:12" x14ac:dyDescent="0.35">
      <c r="A1217" t="str">
        <f t="shared" si="465"/>
        <v>NAVAL MEDICAL RESEARCH CTR</v>
      </c>
      <c r="B1217" t="str">
        <f>T("NMRC")</f>
        <v>NMRC</v>
      </c>
      <c r="C1217" t="str">
        <f>T("503 ROBERT GRANT AVE")</f>
        <v>503 ROBERT GRANT AVE</v>
      </c>
      <c r="D1217" t="str">
        <f t="shared" si="466"/>
        <v>SILVER SPRING</v>
      </c>
      <c r="E1217" t="str">
        <f t="shared" si="467"/>
        <v>MD</v>
      </c>
      <c r="F1217" t="str">
        <f t="shared" si="468"/>
        <v>209107500</v>
      </c>
      <c r="G1217" t="str">
        <f t="shared" si="469"/>
        <v>503 ROBERT GRANT AVE</v>
      </c>
      <c r="H1217" t="str">
        <f>T("MATERIAL MGMNT DEPT")</f>
        <v>MATERIAL MGMNT DEPT</v>
      </c>
      <c r="I1217" t="str">
        <f t="shared" si="470"/>
        <v>SILVER SPRING</v>
      </c>
      <c r="J1217" t="str">
        <f t="shared" si="471"/>
        <v>MD</v>
      </c>
      <c r="K1217" t="str">
        <f>T("3013197329")</f>
        <v>3013197329</v>
      </c>
      <c r="L1217" t="str">
        <f>T("3013199025")</f>
        <v>3013199025</v>
      </c>
    </row>
    <row r="1218" spans="1:12" x14ac:dyDescent="0.35">
      <c r="A1218" t="str">
        <f t="shared" si="465"/>
        <v>NAVAL MEDICAL RESEARCH CTR</v>
      </c>
      <c r="B1218" t="str">
        <f>T("NMRC")</f>
        <v>NMRC</v>
      </c>
      <c r="C1218" t="str">
        <f>T("503 ROBERT GRANT AVE")</f>
        <v>503 ROBERT GRANT AVE</v>
      </c>
      <c r="D1218" t="str">
        <f t="shared" si="466"/>
        <v>SILVER SPRING</v>
      </c>
      <c r="E1218" t="str">
        <f t="shared" si="467"/>
        <v>MD</v>
      </c>
      <c r="F1218" t="str">
        <f t="shared" si="468"/>
        <v>209107500</v>
      </c>
      <c r="G1218" t="str">
        <f>T("NMRC")</f>
        <v>NMRC</v>
      </c>
      <c r="H1218" t="str">
        <f>T("503 ROBERT GRANT AVE")</f>
        <v>503 ROBERT GRANT AVE</v>
      </c>
      <c r="I1218" t="str">
        <f t="shared" si="470"/>
        <v>SILVER SPRING</v>
      </c>
      <c r="J1218" t="str">
        <f t="shared" si="471"/>
        <v>MD</v>
      </c>
      <c r="K1218" t="str">
        <f>T("3013196884")</f>
        <v>3013196884</v>
      </c>
      <c r="L1218" t="str">
        <f>T("3013196473")</f>
        <v>3013196473</v>
      </c>
    </row>
    <row r="1219" spans="1:12" x14ac:dyDescent="0.35">
      <c r="A1219" t="str">
        <f t="shared" si="465"/>
        <v>NAVAL MEDICAL RESEARCH CTR</v>
      </c>
      <c r="B1219" t="str">
        <f>T("NMRC")</f>
        <v>NMRC</v>
      </c>
      <c r="C1219" t="str">
        <f>T("503 ROBERT GRANT AVE")</f>
        <v>503 ROBERT GRANT AVE</v>
      </c>
      <c r="D1219" t="str">
        <f t="shared" si="466"/>
        <v>SILVER SPRING</v>
      </c>
      <c r="E1219" t="str">
        <f t="shared" si="467"/>
        <v>MD</v>
      </c>
      <c r="F1219" t="str">
        <f t="shared" si="468"/>
        <v>209107500</v>
      </c>
      <c r="G1219" t="str">
        <f>T("NMRC")</f>
        <v>NMRC</v>
      </c>
      <c r="H1219" t="str">
        <f>T("503 ROBERT GRANT AVE")</f>
        <v>503 ROBERT GRANT AVE</v>
      </c>
      <c r="I1219" t="str">
        <f t="shared" si="470"/>
        <v>SILVER SPRING</v>
      </c>
      <c r="J1219" t="str">
        <f t="shared" si="471"/>
        <v>MD</v>
      </c>
      <c r="K1219" t="str">
        <f>T("3013197329")</f>
        <v>3013197329</v>
      </c>
      <c r="L1219" t="str">
        <f>T("3013197323")</f>
        <v>3013197323</v>
      </c>
    </row>
    <row r="1220" spans="1:12" x14ac:dyDescent="0.35">
      <c r="A1220" t="str">
        <f>T("NAVAL SUB MED RESEARCH LAB")</f>
        <v>NAVAL SUB MED RESEARCH LAB</v>
      </c>
      <c r="B1220" t="str">
        <f>T("NSMRL")</f>
        <v>NSMRL</v>
      </c>
      <c r="C1220" t="str">
        <f>T("NSMRL BOX 900")</f>
        <v>NSMRL BOX 900</v>
      </c>
      <c r="D1220" t="str">
        <f>T("GROTON")</f>
        <v>GROTON</v>
      </c>
      <c r="E1220" t="str">
        <f>T("CT")</f>
        <v>CT</v>
      </c>
      <c r="F1220" t="str">
        <f>T("063600000")</f>
        <v>063600000</v>
      </c>
      <c r="G1220" t="str">
        <f>T("NSMRL")</f>
        <v>NSMRL</v>
      </c>
      <c r="H1220" t="str">
        <f>T("NSMRL BOX 900")</f>
        <v>NSMRL BOX 900</v>
      </c>
      <c r="I1220" t="str">
        <f>T("GROTON")</f>
        <v>GROTON</v>
      </c>
      <c r="J1220" t="str">
        <f>T("CT")</f>
        <v>CT</v>
      </c>
      <c r="K1220" t="str">
        <f>T("000000000000000000")</f>
        <v>000000000000000000</v>
      </c>
      <c r="L1220" t="str">
        <f>T("8606943564")</f>
        <v>8606943564</v>
      </c>
    </row>
    <row r="1221" spans="1:12" x14ac:dyDescent="0.35">
      <c r="A1221" t="str">
        <f>T("NAVAL SUB MED RESEARCH LAB")</f>
        <v>NAVAL SUB MED RESEARCH LAB</v>
      </c>
      <c r="B1221" t="str">
        <f>T("NSMRL")</f>
        <v>NSMRL</v>
      </c>
      <c r="C1221" t="str">
        <f>T("NSMRL BOX 900")</f>
        <v>NSMRL BOX 900</v>
      </c>
      <c r="D1221" t="str">
        <f>T("GROTON")</f>
        <v>GROTON</v>
      </c>
      <c r="E1221" t="str">
        <f>T("CT")</f>
        <v>CT</v>
      </c>
      <c r="F1221" t="str">
        <f>T("063600000")</f>
        <v>063600000</v>
      </c>
      <c r="G1221" t="str">
        <f>T("PO BOX 900")</f>
        <v>PO BOX 900</v>
      </c>
      <c r="H1221" t="str">
        <f>T("NAVSUBBASE NL")</f>
        <v>NAVSUBBASE NL</v>
      </c>
      <c r="I1221" t="str">
        <f>T("GROTON")</f>
        <v>GROTON</v>
      </c>
      <c r="J1221" t="str">
        <f>T("CT")</f>
        <v>CT</v>
      </c>
      <c r="K1221" t="str">
        <f>T("000000000000000000")</f>
        <v>000000000000000000</v>
      </c>
      <c r="L1221" t="str">
        <f>T("8606942517")</f>
        <v>8606942517</v>
      </c>
    </row>
    <row r="1222" spans="1:12" x14ac:dyDescent="0.35">
      <c r="A1222" t="str">
        <f>T("NAVAL SUB MED RESEARCH LAB")</f>
        <v>NAVAL SUB MED RESEARCH LAB</v>
      </c>
      <c r="B1222" t="str">
        <f>T("NSMRL")</f>
        <v>NSMRL</v>
      </c>
      <c r="C1222" t="str">
        <f>T("NSMRL BOX 900")</f>
        <v>NSMRL BOX 900</v>
      </c>
      <c r="D1222" t="str">
        <f>T("GROTON")</f>
        <v>GROTON</v>
      </c>
      <c r="E1222" t="str">
        <f>T("CT")</f>
        <v>CT</v>
      </c>
      <c r="F1222" t="str">
        <f>T("063600000")</f>
        <v>063600000</v>
      </c>
      <c r="G1222" t="str">
        <f>T("TROUT AVE")</f>
        <v>TROUT AVE</v>
      </c>
      <c r="H1222" t="str">
        <f>T("BLDG 141")</f>
        <v>BLDG 141</v>
      </c>
      <c r="I1222" t="str">
        <f>T("GROTON")</f>
        <v>GROTON</v>
      </c>
      <c r="J1222" t="str">
        <f>T("CT")</f>
        <v>CT</v>
      </c>
      <c r="K1222" t="str">
        <f>T("000000000000000000")</f>
        <v>000000000000000000</v>
      </c>
      <c r="L1222" t="str">
        <f>T("8606942442")</f>
        <v>8606942442</v>
      </c>
    </row>
    <row r="1223" spans="1:12" x14ac:dyDescent="0.35">
      <c r="A1223" t="str">
        <f t="shared" ref="A1223:A1229" si="472">T("NAVAL EXP MED SUPPORT COMMAND")</f>
        <v>NAVAL EXP MED SUPPORT COMMAND</v>
      </c>
      <c r="B1223" t="str">
        <f t="shared" ref="B1223:B1229" si="473">T("NEMSCOM")</f>
        <v>NEMSCOM</v>
      </c>
      <c r="C1223" t="str">
        <f t="shared" ref="C1223:C1229" si="474">T("108 SANDA AVE BLDG 564")</f>
        <v>108 SANDA AVE BLDG 564</v>
      </c>
      <c r="D1223" t="str">
        <f t="shared" ref="D1223:D1229" si="475">T("WILLIAMSBURG")</f>
        <v>WILLIAMSBURG</v>
      </c>
      <c r="E1223" t="str">
        <f t="shared" ref="E1223:E1229" si="476">T("VA")</f>
        <v>VA</v>
      </c>
      <c r="F1223" t="str">
        <f t="shared" ref="F1223:F1229" si="477">T("231855804")</f>
        <v>231855804</v>
      </c>
      <c r="G1223" t="str">
        <f>T("108 SANDA AVE")</f>
        <v>108 SANDA AVE</v>
      </c>
      <c r="H1223" t="str">
        <f>T("BLDG 564")</f>
        <v>BLDG 564</v>
      </c>
      <c r="I1223" t="str">
        <f t="shared" ref="I1223:I1229" si="478">T("WILLIAMSBURG")</f>
        <v>WILLIAMSBURG</v>
      </c>
      <c r="J1223" t="str">
        <f t="shared" ref="J1223:J1229" si="479">T("VA")</f>
        <v>VA</v>
      </c>
      <c r="K1223" t="str">
        <f>T("000000000000000000")</f>
        <v>000000000000000000</v>
      </c>
      <c r="L1223" t="str">
        <f>T("7578877589")</f>
        <v>7578877589</v>
      </c>
    </row>
    <row r="1224" spans="1:12" x14ac:dyDescent="0.35">
      <c r="A1224" t="str">
        <f t="shared" si="472"/>
        <v>NAVAL EXP MED SUPPORT COMMAND</v>
      </c>
      <c r="B1224" t="str">
        <f t="shared" si="473"/>
        <v>NEMSCOM</v>
      </c>
      <c r="C1224" t="str">
        <f t="shared" si="474"/>
        <v>108 SANDA AVE BLDG 564</v>
      </c>
      <c r="D1224" t="str">
        <f t="shared" si="475"/>
        <v>WILLIAMSBURG</v>
      </c>
      <c r="E1224" t="str">
        <f t="shared" si="476"/>
        <v>VA</v>
      </c>
      <c r="F1224" t="str">
        <f t="shared" si="477"/>
        <v>231855804</v>
      </c>
      <c r="G1224" t="str">
        <f>T("108 SANDA AVE")</f>
        <v>108 SANDA AVE</v>
      </c>
      <c r="H1224" t="str">
        <f>T("BLDG 564")</f>
        <v>BLDG 564</v>
      </c>
      <c r="I1224" t="str">
        <f t="shared" si="478"/>
        <v>WILLIAMSBURG</v>
      </c>
      <c r="J1224" t="str">
        <f t="shared" si="479"/>
        <v>VA</v>
      </c>
      <c r="K1224" t="str">
        <f>T("000000000000000000")</f>
        <v>000000000000000000</v>
      </c>
      <c r="L1224" t="str">
        <f>T("7578877655")</f>
        <v>7578877655</v>
      </c>
    </row>
    <row r="1225" spans="1:12" x14ac:dyDescent="0.35">
      <c r="A1225" t="str">
        <f t="shared" si="472"/>
        <v>NAVAL EXP MED SUPPORT COMMAND</v>
      </c>
      <c r="B1225" t="str">
        <f t="shared" si="473"/>
        <v>NEMSCOM</v>
      </c>
      <c r="C1225" t="str">
        <f t="shared" si="474"/>
        <v>108 SANDA AVE BLDG 564</v>
      </c>
      <c r="D1225" t="str">
        <f t="shared" si="475"/>
        <v>WILLIAMSBURG</v>
      </c>
      <c r="E1225" t="str">
        <f t="shared" si="476"/>
        <v>VA</v>
      </c>
      <c r="F1225" t="str">
        <f t="shared" si="477"/>
        <v>231855804</v>
      </c>
      <c r="G1225" t="str">
        <f>T("108 SANDA AVE")</f>
        <v>108 SANDA AVE</v>
      </c>
      <c r="H1225" t="str">
        <f>T("BLDG 564")</f>
        <v>BLDG 564</v>
      </c>
      <c r="I1225" t="str">
        <f t="shared" si="478"/>
        <v>WILLIAMSBURG</v>
      </c>
      <c r="J1225" t="str">
        <f t="shared" si="479"/>
        <v>VA</v>
      </c>
      <c r="K1225" t="str">
        <f>T("7578874385")</f>
        <v>7578874385</v>
      </c>
      <c r="L1225" t="str">
        <f>T("7578877239")</f>
        <v>7578877239</v>
      </c>
    </row>
    <row r="1226" spans="1:12" x14ac:dyDescent="0.35">
      <c r="A1226" t="str">
        <f t="shared" si="472"/>
        <v>NAVAL EXP MED SUPPORT COMMAND</v>
      </c>
      <c r="B1226" t="str">
        <f t="shared" si="473"/>
        <v>NEMSCOM</v>
      </c>
      <c r="C1226" t="str">
        <f t="shared" si="474"/>
        <v>108 SANDA AVE BLDG 564</v>
      </c>
      <c r="D1226" t="str">
        <f t="shared" si="475"/>
        <v>WILLIAMSBURG</v>
      </c>
      <c r="E1226" t="str">
        <f t="shared" si="476"/>
        <v>VA</v>
      </c>
      <c r="F1226" t="str">
        <f t="shared" si="477"/>
        <v>231855804</v>
      </c>
      <c r="G1226" t="str">
        <f>T("108 SANDA AVE BLDG 564")</f>
        <v>108 SANDA AVE BLDG 564</v>
      </c>
      <c r="H1226" t="str">
        <f>T("")</f>
        <v/>
      </c>
      <c r="I1226" t="str">
        <f t="shared" si="478"/>
        <v>WILLIAMSBURG</v>
      </c>
      <c r="J1226" t="str">
        <f t="shared" si="479"/>
        <v>VA</v>
      </c>
      <c r="K1226" t="str">
        <f>T("7578874385")</f>
        <v>7578874385</v>
      </c>
      <c r="L1226" t="str">
        <f>T("7578874455")</f>
        <v>7578874455</v>
      </c>
    </row>
    <row r="1227" spans="1:12" x14ac:dyDescent="0.35">
      <c r="A1227" t="str">
        <f t="shared" si="472"/>
        <v>NAVAL EXP MED SUPPORT COMMAND</v>
      </c>
      <c r="B1227" t="str">
        <f t="shared" si="473"/>
        <v>NEMSCOM</v>
      </c>
      <c r="C1227" t="str">
        <f t="shared" si="474"/>
        <v>108 SANDA AVE BLDG 564</v>
      </c>
      <c r="D1227" t="str">
        <f t="shared" si="475"/>
        <v>WILLIAMSBURG</v>
      </c>
      <c r="E1227" t="str">
        <f t="shared" si="476"/>
        <v>VA</v>
      </c>
      <c r="F1227" t="str">
        <f t="shared" si="477"/>
        <v>231855804</v>
      </c>
      <c r="G1227" t="str">
        <f>T("108 SANDA AVENUE BLDG 564")</f>
        <v>108 SANDA AVENUE BLDG 564</v>
      </c>
      <c r="H1227" t="str">
        <f>T("")</f>
        <v/>
      </c>
      <c r="I1227" t="str">
        <f t="shared" si="478"/>
        <v>WILLIAMSBURG</v>
      </c>
      <c r="J1227" t="str">
        <f t="shared" si="479"/>
        <v>VA</v>
      </c>
      <c r="K1227" t="str">
        <f>T("7578874385")</f>
        <v>7578874385</v>
      </c>
      <c r="L1227" t="str">
        <f>T("7578877624")</f>
        <v>7578877624</v>
      </c>
    </row>
    <row r="1228" spans="1:12" x14ac:dyDescent="0.35">
      <c r="A1228" t="str">
        <f t="shared" si="472"/>
        <v>NAVAL EXP MED SUPPORT COMMAND</v>
      </c>
      <c r="B1228" t="str">
        <f t="shared" si="473"/>
        <v>NEMSCOM</v>
      </c>
      <c r="C1228" t="str">
        <f t="shared" si="474"/>
        <v>108 SANDA AVE BLDG 564</v>
      </c>
      <c r="D1228" t="str">
        <f t="shared" si="475"/>
        <v>WILLIAMSBURG</v>
      </c>
      <c r="E1228" t="str">
        <f t="shared" si="476"/>
        <v>VA</v>
      </c>
      <c r="F1228" t="str">
        <f t="shared" si="477"/>
        <v>231855804</v>
      </c>
      <c r="G1228" t="str">
        <f>T("NEMSCOM")</f>
        <v>NEMSCOM</v>
      </c>
      <c r="H1228" t="str">
        <f>T("108 SANDA AVE BLDG 564")</f>
        <v>108 SANDA AVE BLDG 564</v>
      </c>
      <c r="I1228" t="str">
        <f t="shared" si="478"/>
        <v>WILLIAMSBURG</v>
      </c>
      <c r="J1228" t="str">
        <f t="shared" si="479"/>
        <v>VA</v>
      </c>
      <c r="K1228" t="str">
        <f>T("")</f>
        <v/>
      </c>
      <c r="L1228" t="str">
        <f>T("7578874530")</f>
        <v>7578874530</v>
      </c>
    </row>
    <row r="1229" spans="1:12" x14ac:dyDescent="0.35">
      <c r="A1229" t="str">
        <f t="shared" si="472"/>
        <v>NAVAL EXP MED SUPPORT COMMAND</v>
      </c>
      <c r="B1229" t="str">
        <f t="shared" si="473"/>
        <v>NEMSCOM</v>
      </c>
      <c r="C1229" t="str">
        <f t="shared" si="474"/>
        <v>108 SANDA AVE BLDG 564</v>
      </c>
      <c r="D1229" t="str">
        <f t="shared" si="475"/>
        <v>WILLIAMSBURG</v>
      </c>
      <c r="E1229" t="str">
        <f t="shared" si="476"/>
        <v>VA</v>
      </c>
      <c r="F1229" t="str">
        <f t="shared" si="477"/>
        <v>231855804</v>
      </c>
      <c r="G1229" t="str">
        <f>T("NEMSCOM")</f>
        <v>NEMSCOM</v>
      </c>
      <c r="H1229" t="str">
        <f>T("108 SANDA AVE BLDG 564")</f>
        <v>108 SANDA AVE BLDG 564</v>
      </c>
      <c r="I1229" t="str">
        <f t="shared" si="478"/>
        <v>WILLIAMSBURG</v>
      </c>
      <c r="J1229" t="str">
        <f t="shared" si="479"/>
        <v>VA</v>
      </c>
      <c r="K1229" t="str">
        <f>T("000000000000000000")</f>
        <v>000000000000000000</v>
      </c>
      <c r="L1229" t="str">
        <f>T("7578877298")</f>
        <v>7578877298</v>
      </c>
    </row>
    <row r="1230" spans="1:12" x14ac:dyDescent="0.35">
      <c r="A1230" t="str">
        <f>T("DON-NAVAL MED RESEARCH UNIT SA")</f>
        <v>DON-NAVAL MED RESEARCH UNIT SA</v>
      </c>
      <c r="B1230" t="str">
        <f>T("NAVAL MEDICAL RESEARCH UNIT-SA")</f>
        <v>NAVAL MEDICAL RESEARCH UNIT-SA</v>
      </c>
      <c r="C1230" t="str">
        <f>T("3650 CHAMBERS PASS, BLDG 3610")</f>
        <v>3650 CHAMBERS PASS, BLDG 3610</v>
      </c>
      <c r="D1230" t="str">
        <f t="shared" ref="D1230:D1235" si="480">T("FT SAM HOUSTON")</f>
        <v>FT SAM HOUSTON</v>
      </c>
      <c r="E1230" t="str">
        <f t="shared" ref="E1230:E1235" si="481">T("TX")</f>
        <v>TX</v>
      </c>
      <c r="F1230" t="str">
        <f>T("782340000")</f>
        <v>782340000</v>
      </c>
      <c r="G1230" t="str">
        <f>T("3650 CHAMBERS PASS")</f>
        <v>3650 CHAMBERS PASS</v>
      </c>
      <c r="H1230" t="str">
        <f>T("BLDG 3610")</f>
        <v>BLDG 3610</v>
      </c>
      <c r="I1230" t="str">
        <f>T("FORT SAM HOUSTON")</f>
        <v>FORT SAM HOUSTON</v>
      </c>
      <c r="J1230" t="str">
        <f t="shared" ref="J1230:J1235" si="482">T("TX")</f>
        <v>TX</v>
      </c>
      <c r="K1230" t="str">
        <f>T("000000000000000000")</f>
        <v>000000000000000000</v>
      </c>
      <c r="L1230" t="str">
        <f>T("2105396206")</f>
        <v>2105396206</v>
      </c>
    </row>
    <row r="1231" spans="1:12" x14ac:dyDescent="0.35">
      <c r="A1231" t="str">
        <f>T("DON-NAVAL MED RESEARCH UNIT SA")</f>
        <v>DON-NAVAL MED RESEARCH UNIT SA</v>
      </c>
      <c r="B1231" t="str">
        <f>T("NAVAL MEDICAL RESEARCH UNIT-SA")</f>
        <v>NAVAL MEDICAL RESEARCH UNIT-SA</v>
      </c>
      <c r="C1231" t="str">
        <f>T("3650 CHAMBERS PASS, BLDG 3610")</f>
        <v>3650 CHAMBERS PASS, BLDG 3610</v>
      </c>
      <c r="D1231" t="str">
        <f t="shared" si="480"/>
        <v>FT SAM HOUSTON</v>
      </c>
      <c r="E1231" t="str">
        <f t="shared" si="481"/>
        <v>TX</v>
      </c>
      <c r="F1231" t="str">
        <f>T("782340000")</f>
        <v>782340000</v>
      </c>
      <c r="G1231" t="str">
        <f>T("3650 CHAMBERS PASS")</f>
        <v>3650 CHAMBERS PASS</v>
      </c>
      <c r="H1231" t="str">
        <f>T("BLDG 3610")</f>
        <v>BLDG 3610</v>
      </c>
      <c r="I1231" t="str">
        <f>T("FT SAM HOUSTON")</f>
        <v>FT SAM HOUSTON</v>
      </c>
      <c r="J1231" t="str">
        <f t="shared" si="482"/>
        <v>TX</v>
      </c>
      <c r="K1231" t="str">
        <f>T("000000000000000000")</f>
        <v>000000000000000000</v>
      </c>
      <c r="L1231" t="str">
        <f>T("2105397022")</f>
        <v>2105397022</v>
      </c>
    </row>
    <row r="1232" spans="1:12" x14ac:dyDescent="0.35">
      <c r="A1232" t="str">
        <f>T("DON-NAVAL MED RESEARCH UNIT SA")</f>
        <v>DON-NAVAL MED RESEARCH UNIT SA</v>
      </c>
      <c r="B1232" t="str">
        <f>T("NAVAL MEDICAL RESEARCH UNIT-SA")</f>
        <v>NAVAL MEDICAL RESEARCH UNIT-SA</v>
      </c>
      <c r="C1232" t="str">
        <f>T("3650 CHAMBERS PASS, BLDG 3610")</f>
        <v>3650 CHAMBERS PASS, BLDG 3610</v>
      </c>
      <c r="D1232" t="str">
        <f t="shared" si="480"/>
        <v>FT SAM HOUSTON</v>
      </c>
      <c r="E1232" t="str">
        <f t="shared" si="481"/>
        <v>TX</v>
      </c>
      <c r="F1232" t="str">
        <f>T("782340000")</f>
        <v>782340000</v>
      </c>
      <c r="G1232" t="str">
        <f>T("NAVAL MEDICAL RESEARCH UNIT-SA")</f>
        <v>NAVAL MEDICAL RESEARCH UNIT-SA</v>
      </c>
      <c r="H1232" t="str">
        <f>T("3650 CHAMBERS PASS, BLDG 3610")</f>
        <v>3650 CHAMBERS PASS, BLDG 3610</v>
      </c>
      <c r="I1232" t="str">
        <f>T("FT SAM HOUSTON")</f>
        <v>FT SAM HOUSTON</v>
      </c>
      <c r="J1232" t="str">
        <f t="shared" si="482"/>
        <v>TX</v>
      </c>
      <c r="K1232" t="str">
        <f>T("2105397020")</f>
        <v>2105397020</v>
      </c>
      <c r="L1232" t="str">
        <f>T("2105397020")</f>
        <v>2105397020</v>
      </c>
    </row>
    <row r="1233" spans="1:12" x14ac:dyDescent="0.35">
      <c r="A1233" t="str">
        <f>T("NMTSC")</f>
        <v>NMTSC</v>
      </c>
      <c r="B1233" t="str">
        <f>T("2931 HARNEY PATH ROAD")</f>
        <v>2931 HARNEY PATH ROAD</v>
      </c>
      <c r="C1233" t="str">
        <f>T("BLDG 3")</f>
        <v>BLDG 3</v>
      </c>
      <c r="D1233" t="str">
        <f t="shared" si="480"/>
        <v>FT SAM HOUSTON</v>
      </c>
      <c r="E1233" t="str">
        <f t="shared" si="481"/>
        <v>TX</v>
      </c>
      <c r="F1233" t="str">
        <f>T("782347674")</f>
        <v>782347674</v>
      </c>
      <c r="G1233" t="str">
        <f>T("2931 HARNEY PATH")</f>
        <v>2931 HARNEY PATH</v>
      </c>
      <c r="H1233" t="str">
        <f>T("BLDG 903 FL 1")</f>
        <v>BLDG 903 FL 1</v>
      </c>
      <c r="I1233" t="str">
        <f>T("SAN ANTONIO")</f>
        <v>SAN ANTONIO</v>
      </c>
      <c r="J1233" t="str">
        <f t="shared" si="482"/>
        <v>TX</v>
      </c>
      <c r="K1233" t="str">
        <f>T("000000000000000000")</f>
        <v>000000000000000000</v>
      </c>
      <c r="L1233" t="str">
        <f>T("2108081502")</f>
        <v>2108081502</v>
      </c>
    </row>
    <row r="1234" spans="1:12" x14ac:dyDescent="0.35">
      <c r="A1234" t="str">
        <f>T("NMTSC")</f>
        <v>NMTSC</v>
      </c>
      <c r="B1234" t="str">
        <f>T("2931 HARNEY PATH ROAD")</f>
        <v>2931 HARNEY PATH ROAD</v>
      </c>
      <c r="C1234" t="str">
        <f>T("BLDG 3")</f>
        <v>BLDG 3</v>
      </c>
      <c r="D1234" t="str">
        <f t="shared" si="480"/>
        <v>FT SAM HOUSTON</v>
      </c>
      <c r="E1234" t="str">
        <f t="shared" si="481"/>
        <v>TX</v>
      </c>
      <c r="F1234" t="str">
        <f>T("782347674")</f>
        <v>782347674</v>
      </c>
      <c r="G1234" t="str">
        <f>T("2931 HARNEY PATH RD")</f>
        <v>2931 HARNEY PATH RD</v>
      </c>
      <c r="H1234" t="str">
        <f>T("")</f>
        <v/>
      </c>
      <c r="I1234" t="str">
        <f>T("FORT SAM HOUSTON")</f>
        <v>FORT SAM HOUSTON</v>
      </c>
      <c r="J1234" t="str">
        <f t="shared" si="482"/>
        <v>TX</v>
      </c>
      <c r="K1234" t="str">
        <f>T("000000000000000000")</f>
        <v>000000000000000000</v>
      </c>
      <c r="L1234" t="str">
        <f>T("2108081502")</f>
        <v>2108081502</v>
      </c>
    </row>
    <row r="1235" spans="1:12" x14ac:dyDescent="0.35">
      <c r="A1235" t="str">
        <f>T("NMTSC")</f>
        <v>NMTSC</v>
      </c>
      <c r="B1235" t="str">
        <f>T("2931 HARNEY PATH ROAD")</f>
        <v>2931 HARNEY PATH ROAD</v>
      </c>
      <c r="C1235" t="str">
        <f>T("BLDG 3")</f>
        <v>BLDG 3</v>
      </c>
      <c r="D1235" t="str">
        <f t="shared" si="480"/>
        <v>FT SAM HOUSTON</v>
      </c>
      <c r="E1235" t="str">
        <f t="shared" si="481"/>
        <v>TX</v>
      </c>
      <c r="F1235" t="str">
        <f>T("782347674")</f>
        <v>782347674</v>
      </c>
      <c r="G1235" t="str">
        <f>T("2931 HARNEY PATH ROAD")</f>
        <v>2931 HARNEY PATH ROAD</v>
      </c>
      <c r="H1235" t="str">
        <f>T("BLDG 3")</f>
        <v>BLDG 3</v>
      </c>
      <c r="I1235" t="str">
        <f>T("FT SAM HOUSTON")</f>
        <v>FT SAM HOUSTON</v>
      </c>
      <c r="J1235" t="str">
        <f t="shared" si="482"/>
        <v>TX</v>
      </c>
      <c r="K1235" t="str">
        <f>T("000000000000000000")</f>
        <v>000000000000000000</v>
      </c>
      <c r="L1235" t="str">
        <f>T("2108081025")</f>
        <v>2108081025</v>
      </c>
    </row>
    <row r="1236" spans="1:12" x14ac:dyDescent="0.35">
      <c r="A1236" t="str">
        <f>T("NAVAL MED RESEARCH UNIT-DAYTON")</f>
        <v>NAVAL MED RESEARCH UNIT-DAYTON</v>
      </c>
      <c r="B1236" t="str">
        <f>T("NAMRU-DAYTON")</f>
        <v>NAMRU-DAYTON</v>
      </c>
      <c r="C1236" t="str">
        <f>T("2624 Q STREET BLDG 851")</f>
        <v>2624 Q STREET BLDG 851</v>
      </c>
      <c r="D1236" t="str">
        <f>T("DAYTON")</f>
        <v>DAYTON</v>
      </c>
      <c r="E1236" t="str">
        <f>T("OH")</f>
        <v>OH</v>
      </c>
      <c r="F1236" t="str">
        <f>T("454337955")</f>
        <v>454337955</v>
      </c>
      <c r="G1236" t="str">
        <f>T("2624 Q STREET BUILDING 851")</f>
        <v>2624 Q STREET BUILDING 851</v>
      </c>
      <c r="H1236" t="str">
        <f>T("AREA B")</f>
        <v>AREA B</v>
      </c>
      <c r="I1236" t="str">
        <f>T("WPAFB")</f>
        <v>WPAFB</v>
      </c>
      <c r="J1236" t="str">
        <f>T("OH")</f>
        <v>OH</v>
      </c>
      <c r="K1236" t="str">
        <f>T("9379048813")</f>
        <v>9379048813</v>
      </c>
      <c r="L1236" t="str">
        <f>T("9379383891")</f>
        <v>9379383891</v>
      </c>
    </row>
    <row r="1237" spans="1:12" x14ac:dyDescent="0.35">
      <c r="A1237" t="str">
        <f>T("NAVAL MED RESEARCH UNIT-DAYTON")</f>
        <v>NAVAL MED RESEARCH UNIT-DAYTON</v>
      </c>
      <c r="B1237" t="str">
        <f>T("NAMRU-DAYTON")</f>
        <v>NAMRU-DAYTON</v>
      </c>
      <c r="C1237" t="str">
        <f>T("2624 Q STREET BLDG 851")</f>
        <v>2624 Q STREET BLDG 851</v>
      </c>
      <c r="D1237" t="str">
        <f>T("DAYTON")</f>
        <v>DAYTON</v>
      </c>
      <c r="E1237" t="str">
        <f>T("OH")</f>
        <v>OH</v>
      </c>
      <c r="F1237" t="str">
        <f>T("454337955")</f>
        <v>454337955</v>
      </c>
      <c r="G1237" t="str">
        <f>T("2729 R STREET BUILDING 837")</f>
        <v>2729 R STREET BUILDING 837</v>
      </c>
      <c r="H1237" t="str">
        <f>T("AREA B")</f>
        <v>AREA B</v>
      </c>
      <c r="I1237" t="str">
        <f>T("WRIGHT PATTERSON AFB")</f>
        <v>WRIGHT PATTERSON AFB</v>
      </c>
      <c r="J1237" t="str">
        <f>T("OH")</f>
        <v>OH</v>
      </c>
      <c r="K1237" t="str">
        <f t="shared" ref="K1237:K1245" si="483">T("000000000000000000")</f>
        <v>000000000000000000</v>
      </c>
      <c r="L1237" t="str">
        <f>T("9379049453")</f>
        <v>9379049453</v>
      </c>
    </row>
    <row r="1238" spans="1:12" x14ac:dyDescent="0.35">
      <c r="A1238" t="str">
        <f>T("NAVAL MED RESEARCH UNIT-DAYTON")</f>
        <v>NAVAL MED RESEARCH UNIT-DAYTON</v>
      </c>
      <c r="B1238" t="str">
        <f>T("NAMRU-DAYTON")</f>
        <v>NAMRU-DAYTON</v>
      </c>
      <c r="C1238" t="str">
        <f>T("2624 Q STREET BLDG 851")</f>
        <v>2624 Q STREET BLDG 851</v>
      </c>
      <c r="D1238" t="str">
        <f>T("DAYTON")</f>
        <v>DAYTON</v>
      </c>
      <c r="E1238" t="str">
        <f>T("OH")</f>
        <v>OH</v>
      </c>
      <c r="F1238" t="str">
        <f>T("454337955")</f>
        <v>454337955</v>
      </c>
      <c r="G1238" t="str">
        <f>T("NAMRU-DAYTON")</f>
        <v>NAMRU-DAYTON</v>
      </c>
      <c r="H1238" t="str">
        <f>T("2624 Q STREET BLDG 851")</f>
        <v>2624 Q STREET BLDG 851</v>
      </c>
      <c r="I1238" t="str">
        <f>T("DAYTON")</f>
        <v>DAYTON</v>
      </c>
      <c r="J1238" t="str">
        <f>T("OH")</f>
        <v>OH</v>
      </c>
      <c r="K1238" t="str">
        <f t="shared" si="483"/>
        <v>000000000000000000</v>
      </c>
      <c r="L1238" t="str">
        <f>T("9379049445")</f>
        <v>9379049445</v>
      </c>
    </row>
    <row r="1239" spans="1:12" x14ac:dyDescent="0.35">
      <c r="A1239" t="str">
        <f>T("US NAVAL MED RESEARCH-UNIT 6")</f>
        <v>US NAVAL MED RESEARCH-UNIT 6</v>
      </c>
      <c r="B1239" t="str">
        <f>T("NAMRU-6")</f>
        <v>NAMRU-6</v>
      </c>
      <c r="C1239" t="str">
        <f>T("3230 LIMA PLACE")</f>
        <v>3230 LIMA PLACE</v>
      </c>
      <c r="D1239" t="str">
        <f>T("WASHINGTON")</f>
        <v>WASHINGTON</v>
      </c>
      <c r="E1239" t="str">
        <f>T("DC")</f>
        <v>DC</v>
      </c>
      <c r="F1239" t="str">
        <f>T("205213230")</f>
        <v>205213230</v>
      </c>
      <c r="G1239" t="str">
        <f>T("3230 LIMA PLACE")</f>
        <v>3230 LIMA PLACE</v>
      </c>
      <c r="H1239" t="str">
        <f>T("")</f>
        <v/>
      </c>
      <c r="I1239" t="str">
        <f>T("WASHINGTON")</f>
        <v>WASHINGTON</v>
      </c>
      <c r="J1239" t="str">
        <f>T("DC")</f>
        <v>DC</v>
      </c>
      <c r="K1239" t="str">
        <f t="shared" si="483"/>
        <v>000000000000000000</v>
      </c>
      <c r="L1239" t="str">
        <f>T("1111111111")</f>
        <v>1111111111</v>
      </c>
    </row>
    <row r="1240" spans="1:12" x14ac:dyDescent="0.35">
      <c r="A1240" t="str">
        <f>T("US NAVAL MED RESEARCH-UNIT 6")</f>
        <v>US NAVAL MED RESEARCH-UNIT 6</v>
      </c>
      <c r="B1240" t="str">
        <f>T("NAMRU-6")</f>
        <v>NAMRU-6</v>
      </c>
      <c r="C1240" t="str">
        <f>T("3230 LIMA PLACE")</f>
        <v>3230 LIMA PLACE</v>
      </c>
      <c r="D1240" t="str">
        <f>T("WASHINGTON")</f>
        <v>WASHINGTON</v>
      </c>
      <c r="E1240" t="str">
        <f>T("DC")</f>
        <v>DC</v>
      </c>
      <c r="F1240" t="str">
        <f>T("205213230")</f>
        <v>205213230</v>
      </c>
      <c r="G1240" t="str">
        <f>T("NAMRU-6")</f>
        <v>NAMRU-6</v>
      </c>
      <c r="H1240" t="str">
        <f>T("3230 LIMA PLACE")</f>
        <v>3230 LIMA PLACE</v>
      </c>
      <c r="I1240" t="str">
        <f>T("WASHINGTON")</f>
        <v>WASHINGTON</v>
      </c>
      <c r="J1240" t="str">
        <f>T("DC")</f>
        <v>DC</v>
      </c>
      <c r="K1240" t="str">
        <f t="shared" si="483"/>
        <v>000000000000000000</v>
      </c>
      <c r="L1240" t="str">
        <f>T("5116144162")</f>
        <v>5116144162</v>
      </c>
    </row>
    <row r="1241" spans="1:12" x14ac:dyDescent="0.35">
      <c r="A1241" t="str">
        <f>T("NAMRU-2 PACIFIC")</f>
        <v>NAMRU-2 PACIFIC</v>
      </c>
      <c r="B1241" t="str">
        <f>T("PSC 470 BOX 4200")</f>
        <v>PSC 470 BOX 4200</v>
      </c>
      <c r="C1241" t="str">
        <f>T("")</f>
        <v/>
      </c>
      <c r="D1241" t="str">
        <f>T("GEORGETOWN")</f>
        <v>GEORGETOWN</v>
      </c>
      <c r="E1241" t="str">
        <f>T("CA")</f>
        <v>CA</v>
      </c>
      <c r="F1241" t="str">
        <f>T("956340000")</f>
        <v>956340000</v>
      </c>
      <c r="G1241" t="str">
        <f>T("PSC 470 BOX 4200")</f>
        <v>PSC 470 BOX 4200</v>
      </c>
      <c r="H1241" t="str">
        <f>T("")</f>
        <v/>
      </c>
      <c r="I1241" t="str">
        <f>T("FPO")</f>
        <v>FPO</v>
      </c>
      <c r="J1241" t="str">
        <f>T("AP")</f>
        <v>AP</v>
      </c>
      <c r="K1241" t="str">
        <f t="shared" si="483"/>
        <v>000000000000000000</v>
      </c>
      <c r="L1241" t="str">
        <f>T("3154212225")</f>
        <v>3154212225</v>
      </c>
    </row>
    <row r="1242" spans="1:12" x14ac:dyDescent="0.35">
      <c r="A1242" t="str">
        <f>T("NAMRU-2 PACIFIC")</f>
        <v>NAMRU-2 PACIFIC</v>
      </c>
      <c r="B1242" t="str">
        <f>T("PSC 470 BOX 4200")</f>
        <v>PSC 470 BOX 4200</v>
      </c>
      <c r="C1242" t="str">
        <f>T("")</f>
        <v/>
      </c>
      <c r="D1242" t="str">
        <f>T("GEORGETOWN")</f>
        <v>GEORGETOWN</v>
      </c>
      <c r="E1242" t="str">
        <f>T("CA")</f>
        <v>CA</v>
      </c>
      <c r="F1242" t="str">
        <f>T("956340000")</f>
        <v>956340000</v>
      </c>
      <c r="G1242" t="str">
        <f>T("PSC 470 BOX 4200")</f>
        <v>PSC 470 BOX 4200</v>
      </c>
      <c r="H1242" t="str">
        <f>T("")</f>
        <v/>
      </c>
      <c r="I1242" t="str">
        <f>T("FPO")</f>
        <v>FPO</v>
      </c>
      <c r="J1242" t="str">
        <f>T("AP")</f>
        <v>AP</v>
      </c>
      <c r="K1242" t="str">
        <f t="shared" si="483"/>
        <v>000000000000000000</v>
      </c>
      <c r="L1242" t="str">
        <f>T("6567512224")</f>
        <v>6567512224</v>
      </c>
    </row>
    <row r="1243" spans="1:12" x14ac:dyDescent="0.35">
      <c r="A1243" t="str">
        <f>T("NAMRU-2 PACIFIC")</f>
        <v>NAMRU-2 PACIFIC</v>
      </c>
      <c r="B1243" t="str">
        <f>T("PSC 470 BOX 4200")</f>
        <v>PSC 470 BOX 4200</v>
      </c>
      <c r="C1243" t="str">
        <f>T("")</f>
        <v/>
      </c>
      <c r="D1243" t="str">
        <f>T("GEORGETOWN")</f>
        <v>GEORGETOWN</v>
      </c>
      <c r="E1243" t="str">
        <f>T("CA")</f>
        <v>CA</v>
      </c>
      <c r="F1243" t="str">
        <f>T("956340000")</f>
        <v>956340000</v>
      </c>
      <c r="G1243" t="str">
        <f>T("PSC 470 BOX 4200")</f>
        <v>PSC 470 BOX 4200</v>
      </c>
      <c r="H1243" t="str">
        <f>T("")</f>
        <v/>
      </c>
      <c r="I1243" t="str">
        <f>T("GEORGETOWN")</f>
        <v>GEORGETOWN</v>
      </c>
      <c r="J1243" t="str">
        <f>T("CA")</f>
        <v>CA</v>
      </c>
      <c r="K1243" t="str">
        <f t="shared" si="483"/>
        <v>000000000000000000</v>
      </c>
      <c r="L1243" t="str">
        <f>T("3154212203")</f>
        <v>3154212203</v>
      </c>
    </row>
    <row r="1244" spans="1:12" x14ac:dyDescent="0.35">
      <c r="A1244" t="str">
        <f>T("NAVY/NAVMISSA")</f>
        <v>NAVY/NAVMISSA</v>
      </c>
      <c r="B1244" t="str">
        <f>T("300 CONVENT ST")</f>
        <v>300 CONVENT ST</v>
      </c>
      <c r="C1244" t="str">
        <f>T("SUITE 1100")</f>
        <v>SUITE 1100</v>
      </c>
      <c r="D1244" t="str">
        <f>T("SAN ANTONIO")</f>
        <v>SAN ANTONIO</v>
      </c>
      <c r="E1244" t="str">
        <f>T("TX")</f>
        <v>TX</v>
      </c>
      <c r="F1244" t="str">
        <f>T("782053714")</f>
        <v>782053714</v>
      </c>
      <c r="G1244" t="str">
        <f>T("300 CONVENT ST")</f>
        <v>300 CONVENT ST</v>
      </c>
      <c r="H1244" t="str">
        <f>T("SUITE 1100")</f>
        <v>SUITE 1100</v>
      </c>
      <c r="I1244" t="str">
        <f>T("SAN ANTONIO")</f>
        <v>SAN ANTONIO</v>
      </c>
      <c r="J1244" t="str">
        <f>T("TX")</f>
        <v>TX</v>
      </c>
      <c r="K1244" t="str">
        <f t="shared" si="483"/>
        <v>000000000000000000</v>
      </c>
      <c r="L1244" t="str">
        <f>T("2108080646")</f>
        <v>2108080646</v>
      </c>
    </row>
    <row r="1245" spans="1:12" x14ac:dyDescent="0.35">
      <c r="A1245" t="str">
        <f>T("NAVY/NAVMISSA")</f>
        <v>NAVY/NAVMISSA</v>
      </c>
      <c r="B1245" t="str">
        <f>T("NAVMISSA")</f>
        <v>NAVMISSA</v>
      </c>
      <c r="C1245" t="str">
        <f>T("300 CONVENT ST SUITE 1100")</f>
        <v>300 CONVENT ST SUITE 1100</v>
      </c>
      <c r="D1245" t="str">
        <f>T("SAN ANTONIO")</f>
        <v>SAN ANTONIO</v>
      </c>
      <c r="E1245" t="str">
        <f>T("TX")</f>
        <v>TX</v>
      </c>
      <c r="F1245" t="str">
        <f>T("782053714")</f>
        <v>782053714</v>
      </c>
      <c r="G1245" t="str">
        <f>T("NAVMISSA")</f>
        <v>NAVMISSA</v>
      </c>
      <c r="H1245" t="str">
        <f>T("300 CONVENT ST SUITE 1100")</f>
        <v>300 CONVENT ST SUITE 1100</v>
      </c>
      <c r="I1245" t="str">
        <f>T("SAN ANTONIO")</f>
        <v>SAN ANTONIO</v>
      </c>
      <c r="J1245" t="str">
        <f>T("TX")</f>
        <v>TX</v>
      </c>
      <c r="K1245" t="str">
        <f t="shared" si="483"/>
        <v>000000000000000000</v>
      </c>
      <c r="L1245" t="str">
        <f>T("2105693487")</f>
        <v>2105693487</v>
      </c>
    </row>
    <row r="1246" spans="1:12" x14ac:dyDescent="0.35">
      <c r="A1246" t="str">
        <f>T("NMETC")</f>
        <v>NMETC</v>
      </c>
      <c r="B1246" t="str">
        <f>T("2931 HARNEY PATH RD")</f>
        <v>2931 HARNEY PATH RD</v>
      </c>
      <c r="C1246" t="str">
        <f>T("")</f>
        <v/>
      </c>
      <c r="D1246" t="str">
        <f>T("FT SM HOUSTON")</f>
        <v>FT SM HOUSTON</v>
      </c>
      <c r="E1246" t="str">
        <f>T("TX")</f>
        <v>TX</v>
      </c>
      <c r="F1246" t="str">
        <f>T("782347674")</f>
        <v>782347674</v>
      </c>
      <c r="G1246" t="str">
        <f>T("2931 HARNEY PATH RD")</f>
        <v>2931 HARNEY PATH RD</v>
      </c>
      <c r="H1246" t="str">
        <f>T("")</f>
        <v/>
      </c>
      <c r="I1246" t="str">
        <f>T("FT SM HOUSTON")</f>
        <v>FT SM HOUSTON</v>
      </c>
      <c r="J1246" t="str">
        <f>T("TX")</f>
        <v>TX</v>
      </c>
      <c r="K1246" t="str">
        <f>T("210-808-1114")</f>
        <v>210-808-1114</v>
      </c>
      <c r="L1246" t="str">
        <f>T("9045427200")</f>
        <v>9045427200</v>
      </c>
    </row>
    <row r="1247" spans="1:12" x14ac:dyDescent="0.35">
      <c r="A1247" t="str">
        <f>T("NMETC")</f>
        <v>NMETC</v>
      </c>
      <c r="B1247" t="str">
        <f>T("2931 HARNEY PATH RD")</f>
        <v>2931 HARNEY PATH RD</v>
      </c>
      <c r="C1247" t="str">
        <f>T("")</f>
        <v/>
      </c>
      <c r="D1247" t="str">
        <f>T("FT SM HOUSTON")</f>
        <v>FT SM HOUSTON</v>
      </c>
      <c r="E1247" t="str">
        <f>T("TX")</f>
        <v>TX</v>
      </c>
      <c r="F1247" t="str">
        <f>T("782347674")</f>
        <v>782347674</v>
      </c>
      <c r="G1247" t="str">
        <f>T("4075 DICKMAN RD STE 308")</f>
        <v>4075 DICKMAN RD STE 308</v>
      </c>
      <c r="H1247" t="str">
        <f>T("")</f>
        <v/>
      </c>
      <c r="I1247" t="str">
        <f>T("JBSA FT SAM HOUSTON")</f>
        <v>JBSA FT SAM HOUSTON</v>
      </c>
      <c r="J1247" t="str">
        <f>T("TX")</f>
        <v>TX</v>
      </c>
      <c r="K1247" t="str">
        <f>T("000000000000000000")</f>
        <v>000000000000000000</v>
      </c>
      <c r="L1247" t="str">
        <f>T("2108089675")</f>
        <v>2108089675</v>
      </c>
    </row>
    <row r="1248" spans="1:12" x14ac:dyDescent="0.35">
      <c r="A1248" t="str">
        <f>T("NMETC")</f>
        <v>NMETC</v>
      </c>
      <c r="B1248" t="str">
        <f>T("2931 HARNEY PATH RD")</f>
        <v>2931 HARNEY PATH RD</v>
      </c>
      <c r="C1248" t="str">
        <f>T("")</f>
        <v/>
      </c>
      <c r="D1248" t="str">
        <f>T("FT SM HOUSTON")</f>
        <v>FT SM HOUSTON</v>
      </c>
      <c r="E1248" t="str">
        <f>T("TX")</f>
        <v>TX</v>
      </c>
      <c r="F1248" t="str">
        <f>T("782347674")</f>
        <v>782347674</v>
      </c>
      <c r="G1248" t="str">
        <f>T("4075 DICKMAN ROAD BLDG 1001 STE")</f>
        <v>4075 DICKMAN ROAD BLDG 1001 STE</v>
      </c>
      <c r="H1248" t="str">
        <f>T("")</f>
        <v/>
      </c>
      <c r="I1248" t="str">
        <f>T("FORT SAM HOUSTON")</f>
        <v>FORT SAM HOUSTON</v>
      </c>
      <c r="J1248" t="str">
        <f>T("TX")</f>
        <v>TX</v>
      </c>
      <c r="K1248" t="str">
        <f>T("000000000000000000")</f>
        <v>000000000000000000</v>
      </c>
      <c r="L1248" t="str">
        <f>T("2108080148")</f>
        <v>2108080148</v>
      </c>
    </row>
    <row r="1249" spans="1:12" x14ac:dyDescent="0.35">
      <c r="A1249" t="str">
        <f t="shared" ref="A1249:A1280" si="484">T("DFA, MATMAN APC NMCSD")</f>
        <v>DFA, MATMAN APC NMCSD</v>
      </c>
      <c r="B1249" t="str">
        <f>T("34800 BOB WILSON DR STE 8")</f>
        <v>34800 BOB WILSON DR STE 8</v>
      </c>
      <c r="C1249" t="str">
        <f>T("NAVAL MEDICAL CENTER SD")</f>
        <v>NAVAL MEDICAL CENTER SD</v>
      </c>
      <c r="D1249" t="str">
        <f t="shared" ref="D1249:D1280" si="485">T("SAN DIEGO")</f>
        <v>SAN DIEGO</v>
      </c>
      <c r="E1249" t="str">
        <f t="shared" ref="E1249:E1280" si="486">T("CA")</f>
        <v>CA</v>
      </c>
      <c r="F1249" t="str">
        <f>T("921341008")</f>
        <v>921341008</v>
      </c>
      <c r="G1249" t="str">
        <f>T("34800 BOB WILSON DR STE 8")</f>
        <v>34800 BOB WILSON DR STE 8</v>
      </c>
      <c r="H1249" t="str">
        <f>T("NAVAL MEDICAL CENTER SD")</f>
        <v>NAVAL MEDICAL CENTER SD</v>
      </c>
      <c r="I1249" t="str">
        <f t="shared" ref="I1249:I1280" si="487">T("SAN DIEGO")</f>
        <v>SAN DIEGO</v>
      </c>
      <c r="J1249" t="str">
        <f t="shared" ref="J1249:J1280" si="488">T("CA")</f>
        <v>CA</v>
      </c>
      <c r="K1249" t="str">
        <f>T("")</f>
        <v/>
      </c>
      <c r="L1249" t="str">
        <f>T("6195326648")</f>
        <v>6195326648</v>
      </c>
    </row>
    <row r="1250" spans="1:12" x14ac:dyDescent="0.35">
      <c r="A1250" t="str">
        <f t="shared" si="484"/>
        <v>DFA, MATMAN APC NMCSD</v>
      </c>
      <c r="B1250" t="str">
        <f>T("34800 BOB WILSON DR STE 8")</f>
        <v>34800 BOB WILSON DR STE 8</v>
      </c>
      <c r="C1250" t="str">
        <f>T("NAVAL MEDICAL CENTER SD")</f>
        <v>NAVAL MEDICAL CENTER SD</v>
      </c>
      <c r="D1250" t="str">
        <f t="shared" si="485"/>
        <v>SAN DIEGO</v>
      </c>
      <c r="E1250" t="str">
        <f t="shared" si="486"/>
        <v>CA</v>
      </c>
      <c r="F1250" t="str">
        <f>T("921341008")</f>
        <v>921341008</v>
      </c>
      <c r="G1250" t="str">
        <f>T("34800 BOB WILSON DRIVE")</f>
        <v>34800 BOB WILSON DRIVE</v>
      </c>
      <c r="H1250" t="str">
        <f>T("")</f>
        <v/>
      </c>
      <c r="I1250" t="str">
        <f t="shared" si="487"/>
        <v>SAN DIEGO</v>
      </c>
      <c r="J1250" t="str">
        <f t="shared" si="488"/>
        <v>CA</v>
      </c>
      <c r="K1250" t="str">
        <f>T("000000000000000000")</f>
        <v>000000000000000000</v>
      </c>
      <c r="L1250" t="str">
        <f>T("6195326377")</f>
        <v>6195326377</v>
      </c>
    </row>
    <row r="1251" spans="1:12" x14ac:dyDescent="0.35">
      <c r="A1251" t="str">
        <f t="shared" si="484"/>
        <v>DFA, MATMAN APC NMCSD</v>
      </c>
      <c r="B1251" t="str">
        <f>T("34800 BOB WILSON DR SUITE 8")</f>
        <v>34800 BOB WILSON DR SUITE 8</v>
      </c>
      <c r="C1251" t="str">
        <f>T("NAVAL MEDICAL CENTER SD")</f>
        <v>NAVAL MEDICAL CENTER SD</v>
      </c>
      <c r="D1251" t="str">
        <f t="shared" si="485"/>
        <v>SAN DIEGO</v>
      </c>
      <c r="E1251" t="str">
        <f t="shared" si="486"/>
        <v>CA</v>
      </c>
      <c r="F1251" t="str">
        <f>T("921341008")</f>
        <v>921341008</v>
      </c>
      <c r="G1251" t="str">
        <f>T("34800 BOB WILSON DR")</f>
        <v>34800 BOB WILSON DR</v>
      </c>
      <c r="H1251" t="str">
        <f>T("")</f>
        <v/>
      </c>
      <c r="I1251" t="str">
        <f t="shared" si="487"/>
        <v>SAN DIEGO</v>
      </c>
      <c r="J1251" t="str">
        <f t="shared" si="488"/>
        <v>CA</v>
      </c>
      <c r="K1251" t="str">
        <f>T("000000000000000000")</f>
        <v>000000000000000000</v>
      </c>
      <c r="L1251" t="str">
        <f>T("6195326418")</f>
        <v>6195326418</v>
      </c>
    </row>
    <row r="1252" spans="1:12" x14ac:dyDescent="0.35">
      <c r="A1252" t="str">
        <f t="shared" si="484"/>
        <v>DFA, MATMAN APC NMCSD</v>
      </c>
      <c r="B1252" t="str">
        <f>T("34800 BOB WILSON DR SUITE 8")</f>
        <v>34800 BOB WILSON DR SUITE 8</v>
      </c>
      <c r="C1252" t="str">
        <f>T("NAVAL MEDICAL CENTER SD")</f>
        <v>NAVAL MEDICAL CENTER SD</v>
      </c>
      <c r="D1252" t="str">
        <f t="shared" si="485"/>
        <v>SAN DIEGO</v>
      </c>
      <c r="E1252" t="str">
        <f t="shared" si="486"/>
        <v>CA</v>
      </c>
      <c r="F1252" t="str">
        <f>T("921341008")</f>
        <v>921341008</v>
      </c>
      <c r="G1252" t="str">
        <f>T("34800 BOB WILSON DR SUITE 8")</f>
        <v>34800 BOB WILSON DR SUITE 8</v>
      </c>
      <c r="H1252" t="str">
        <f>T("NAVAL MEDICAL CENTER SD")</f>
        <v>NAVAL MEDICAL CENTER SD</v>
      </c>
      <c r="I1252" t="str">
        <f t="shared" si="487"/>
        <v>SAN DIEGO</v>
      </c>
      <c r="J1252" t="str">
        <f t="shared" si="488"/>
        <v>CA</v>
      </c>
      <c r="K1252" t="str">
        <f>T("")</f>
        <v/>
      </c>
      <c r="L1252" t="str">
        <f>T("6195325350")</f>
        <v>6195325350</v>
      </c>
    </row>
    <row r="1253" spans="1:12" x14ac:dyDescent="0.35">
      <c r="A1253" t="str">
        <f t="shared" si="484"/>
        <v>DFA, MATMAN APC NMCSD</v>
      </c>
      <c r="B1253" t="str">
        <f t="shared" ref="B1253:B1258" si="489">T("34800 BOB WILSON DRIVE")</f>
        <v>34800 BOB WILSON DRIVE</v>
      </c>
      <c r="C1253" t="str">
        <f t="shared" ref="C1253:C1262" si="490">T("")</f>
        <v/>
      </c>
      <c r="D1253" t="str">
        <f t="shared" si="485"/>
        <v>SAN DIEGO</v>
      </c>
      <c r="E1253" t="str">
        <f t="shared" si="486"/>
        <v>CA</v>
      </c>
      <c r="F1253" t="str">
        <f t="shared" ref="F1253:F1258" si="491">T("921341098")</f>
        <v>921341098</v>
      </c>
      <c r="G1253" t="str">
        <f>T("34800 BOB WILSON DR")</f>
        <v>34800 BOB WILSON DR</v>
      </c>
      <c r="H1253" t="str">
        <f>T("")</f>
        <v/>
      </c>
      <c r="I1253" t="str">
        <f t="shared" si="487"/>
        <v>SAN DIEGO</v>
      </c>
      <c r="J1253" t="str">
        <f t="shared" si="488"/>
        <v>CA</v>
      </c>
      <c r="K1253" t="str">
        <f>T("000000000000000000")</f>
        <v>000000000000000000</v>
      </c>
      <c r="L1253" t="str">
        <f>T("6195779975")</f>
        <v>6195779975</v>
      </c>
    </row>
    <row r="1254" spans="1:12" x14ac:dyDescent="0.35">
      <c r="A1254" t="str">
        <f t="shared" si="484"/>
        <v>DFA, MATMAN APC NMCSD</v>
      </c>
      <c r="B1254" t="str">
        <f t="shared" si="489"/>
        <v>34800 BOB WILSON DRIVE</v>
      </c>
      <c r="C1254" t="str">
        <f t="shared" si="490"/>
        <v/>
      </c>
      <c r="D1254" t="str">
        <f t="shared" si="485"/>
        <v>SAN DIEGO</v>
      </c>
      <c r="E1254" t="str">
        <f t="shared" si="486"/>
        <v>CA</v>
      </c>
      <c r="F1254" t="str">
        <f t="shared" si="491"/>
        <v>921341098</v>
      </c>
      <c r="G1254" t="str">
        <f>T("34800 BOB WILSON DRIVE")</f>
        <v>34800 BOB WILSON DRIVE</v>
      </c>
      <c r="H1254" t="str">
        <f>T("")</f>
        <v/>
      </c>
      <c r="I1254" t="str">
        <f t="shared" si="487"/>
        <v>SAN DIEGO</v>
      </c>
      <c r="J1254" t="str">
        <f t="shared" si="488"/>
        <v>CA</v>
      </c>
      <c r="K1254" t="str">
        <f>T("")</f>
        <v/>
      </c>
      <c r="L1254" t="str">
        <f>T("6195328759")</f>
        <v>6195328759</v>
      </c>
    </row>
    <row r="1255" spans="1:12" x14ac:dyDescent="0.35">
      <c r="A1255" t="str">
        <f t="shared" si="484"/>
        <v>DFA, MATMAN APC NMCSD</v>
      </c>
      <c r="B1255" t="str">
        <f t="shared" si="489"/>
        <v>34800 BOB WILSON DRIVE</v>
      </c>
      <c r="C1255" t="str">
        <f t="shared" si="490"/>
        <v/>
      </c>
      <c r="D1255" t="str">
        <f t="shared" si="485"/>
        <v>SAN DIEGO</v>
      </c>
      <c r="E1255" t="str">
        <f t="shared" si="486"/>
        <v>CA</v>
      </c>
      <c r="F1255" t="str">
        <f t="shared" si="491"/>
        <v>921341098</v>
      </c>
      <c r="G1255" t="str">
        <f>T("34800 BOB WILSON DRIVE")</f>
        <v>34800 BOB WILSON DRIVE</v>
      </c>
      <c r="H1255" t="str">
        <f>T("")</f>
        <v/>
      </c>
      <c r="I1255" t="str">
        <f t="shared" si="487"/>
        <v>SAN DIEGO</v>
      </c>
      <c r="J1255" t="str">
        <f t="shared" si="488"/>
        <v>CA</v>
      </c>
      <c r="K1255" t="str">
        <f>T("")</f>
        <v/>
      </c>
      <c r="L1255" t="str">
        <f>T("8585779974")</f>
        <v>8585779974</v>
      </c>
    </row>
    <row r="1256" spans="1:12" x14ac:dyDescent="0.35">
      <c r="A1256" t="str">
        <f t="shared" si="484"/>
        <v>DFA, MATMAN APC NMCSD</v>
      </c>
      <c r="B1256" t="str">
        <f t="shared" si="489"/>
        <v>34800 BOB WILSON DRIVE</v>
      </c>
      <c r="C1256" t="str">
        <f t="shared" si="490"/>
        <v/>
      </c>
      <c r="D1256" t="str">
        <f t="shared" si="485"/>
        <v>SAN DIEGO</v>
      </c>
      <c r="E1256" t="str">
        <f t="shared" si="486"/>
        <v>CA</v>
      </c>
      <c r="F1256" t="str">
        <f t="shared" si="491"/>
        <v>921341098</v>
      </c>
      <c r="G1256" t="str">
        <f>T("NAVAL MEDICAL CENTER SAN DIEGO")</f>
        <v>NAVAL MEDICAL CENTER SAN DIEGO</v>
      </c>
      <c r="H1256" t="str">
        <f>T("34800 BOB WILSON DRIVE")</f>
        <v>34800 BOB WILSON DRIVE</v>
      </c>
      <c r="I1256" t="str">
        <f t="shared" si="487"/>
        <v>SAN DIEGO</v>
      </c>
      <c r="J1256" t="str">
        <f t="shared" si="488"/>
        <v>CA</v>
      </c>
      <c r="K1256" t="str">
        <f>T("000000000000000000")</f>
        <v>000000000000000000</v>
      </c>
      <c r="L1256" t="str">
        <f>T("6195327843")</f>
        <v>6195327843</v>
      </c>
    </row>
    <row r="1257" spans="1:12" x14ac:dyDescent="0.35">
      <c r="A1257" t="str">
        <f t="shared" si="484"/>
        <v>DFA, MATMAN APC NMCSD</v>
      </c>
      <c r="B1257" t="str">
        <f t="shared" si="489"/>
        <v>34800 BOB WILSON DRIVE</v>
      </c>
      <c r="C1257" t="str">
        <f t="shared" si="490"/>
        <v/>
      </c>
      <c r="D1257" t="str">
        <f t="shared" si="485"/>
        <v>SAN DIEGO</v>
      </c>
      <c r="E1257" t="str">
        <f t="shared" si="486"/>
        <v>CA</v>
      </c>
      <c r="F1257" t="str">
        <f t="shared" si="491"/>
        <v>921341098</v>
      </c>
      <c r="G1257" t="str">
        <f>T("NAVAL MEDICAL CENTER SAN DIEGO")</f>
        <v>NAVAL MEDICAL CENTER SAN DIEGO</v>
      </c>
      <c r="H1257" t="str">
        <f>T("34800 BOB WILSON DRIVE")</f>
        <v>34800 BOB WILSON DRIVE</v>
      </c>
      <c r="I1257" t="str">
        <f t="shared" si="487"/>
        <v>SAN DIEGO</v>
      </c>
      <c r="J1257" t="str">
        <f t="shared" si="488"/>
        <v>CA</v>
      </c>
      <c r="K1257" t="str">
        <f>T("000000000000000000")</f>
        <v>000000000000000000</v>
      </c>
      <c r="L1257" t="str">
        <f>T("6195328759")</f>
        <v>6195328759</v>
      </c>
    </row>
    <row r="1258" spans="1:12" x14ac:dyDescent="0.35">
      <c r="A1258" t="str">
        <f t="shared" si="484"/>
        <v>DFA, MATMAN APC NMCSD</v>
      </c>
      <c r="B1258" t="str">
        <f t="shared" si="489"/>
        <v>34800 BOB WILSON DRIVE</v>
      </c>
      <c r="C1258" t="str">
        <f t="shared" si="490"/>
        <v/>
      </c>
      <c r="D1258" t="str">
        <f t="shared" si="485"/>
        <v>SAN DIEGO</v>
      </c>
      <c r="E1258" t="str">
        <f t="shared" si="486"/>
        <v>CA</v>
      </c>
      <c r="F1258" t="str">
        <f t="shared" si="491"/>
        <v>921341098</v>
      </c>
      <c r="G1258" t="str">
        <f>T("NAVAL MEDICAL CENTER SAN DIEGO")</f>
        <v>NAVAL MEDICAL CENTER SAN DIEGO</v>
      </c>
      <c r="H1258" t="str">
        <f>T("34800 BOB WILSON DRIVE")</f>
        <v>34800 BOB WILSON DRIVE</v>
      </c>
      <c r="I1258" t="str">
        <f t="shared" si="487"/>
        <v>SAN DIEGO</v>
      </c>
      <c r="J1258" t="str">
        <f t="shared" si="488"/>
        <v>CA</v>
      </c>
      <c r="K1258" t="str">
        <f>T("000000000000000000")</f>
        <v>000000000000000000</v>
      </c>
      <c r="L1258" t="str">
        <f>T("8585779952")</f>
        <v>8585779952</v>
      </c>
    </row>
    <row r="1259" spans="1:12" x14ac:dyDescent="0.35">
      <c r="A1259" t="str">
        <f t="shared" si="484"/>
        <v>DFA, MATMAN APC NMCSD</v>
      </c>
      <c r="B1259" t="str">
        <f>T("34800 BOB WILSON DRIVE SUITE 8")</f>
        <v>34800 BOB WILSON DRIVE SUITE 8</v>
      </c>
      <c r="C1259" t="str">
        <f t="shared" si="490"/>
        <v/>
      </c>
      <c r="D1259" t="str">
        <f t="shared" si="485"/>
        <v>SAN DIEGO</v>
      </c>
      <c r="E1259" t="str">
        <f t="shared" si="486"/>
        <v>CA</v>
      </c>
      <c r="F1259" t="str">
        <f>T("921341008")</f>
        <v>921341008</v>
      </c>
      <c r="G1259" t="str">
        <f>T("34800 BOB WILSON DRIVE SUITE 8")</f>
        <v>34800 BOB WILSON DRIVE SUITE 8</v>
      </c>
      <c r="H1259" t="str">
        <f>T("")</f>
        <v/>
      </c>
      <c r="I1259" t="str">
        <f t="shared" si="487"/>
        <v>SAN DIEGO</v>
      </c>
      <c r="J1259" t="str">
        <f t="shared" si="488"/>
        <v>CA</v>
      </c>
      <c r="K1259" t="str">
        <f>T("")</f>
        <v/>
      </c>
      <c r="L1259" t="str">
        <f>T("6195326648")</f>
        <v>6195326648</v>
      </c>
    </row>
    <row r="1260" spans="1:12" x14ac:dyDescent="0.35">
      <c r="A1260" t="str">
        <f t="shared" si="484"/>
        <v>DFA, MATMAN APC NMCSD</v>
      </c>
      <c r="B1260" t="str">
        <f>T("34800 BOB WILSON DRIVE SUITE 8")</f>
        <v>34800 BOB WILSON DRIVE SUITE 8</v>
      </c>
      <c r="C1260" t="str">
        <f t="shared" si="490"/>
        <v/>
      </c>
      <c r="D1260" t="str">
        <f t="shared" si="485"/>
        <v>SAN DIEGO</v>
      </c>
      <c r="E1260" t="str">
        <f t="shared" si="486"/>
        <v>CA</v>
      </c>
      <c r="F1260" t="str">
        <f>T("921341008")</f>
        <v>921341008</v>
      </c>
      <c r="G1260" t="str">
        <f>T("NAVAL MEDICAL CENTER - SD")</f>
        <v>NAVAL MEDICAL CENTER - SD</v>
      </c>
      <c r="H1260" t="str">
        <f>T("34800 BOB WILSON DR SITE 535")</f>
        <v>34800 BOB WILSON DR SITE 535</v>
      </c>
      <c r="I1260" t="str">
        <f t="shared" si="487"/>
        <v>SAN DIEGO</v>
      </c>
      <c r="J1260" t="str">
        <f t="shared" si="488"/>
        <v>CA</v>
      </c>
      <c r="K1260" t="str">
        <f>T("000000000000000000")</f>
        <v>000000000000000000</v>
      </c>
      <c r="L1260" t="str">
        <f>T("6195329762")</f>
        <v>6195329762</v>
      </c>
    </row>
    <row r="1261" spans="1:12" x14ac:dyDescent="0.35">
      <c r="A1261" t="str">
        <f t="shared" si="484"/>
        <v>DFA, MATMAN APC NMCSD</v>
      </c>
      <c r="B1261" t="str">
        <f>T("BLDG 601 MCCAIN AVE")</f>
        <v>BLDG 601 MCCAIN AVE</v>
      </c>
      <c r="C1261" t="str">
        <f t="shared" si="490"/>
        <v/>
      </c>
      <c r="D1261" t="str">
        <f t="shared" si="485"/>
        <v>SAN DIEGO</v>
      </c>
      <c r="E1261" t="str">
        <f t="shared" si="486"/>
        <v>CA</v>
      </c>
      <c r="F1261" t="str">
        <f>T("921350000")</f>
        <v>921350000</v>
      </c>
      <c r="G1261" t="str">
        <f>T("BLDG 600 MCCAIN BLVD")</f>
        <v>BLDG 600 MCCAIN BLVD</v>
      </c>
      <c r="H1261" t="str">
        <f>T("")</f>
        <v/>
      </c>
      <c r="I1261" t="str">
        <f t="shared" si="487"/>
        <v>SAN DIEGO</v>
      </c>
      <c r="J1261" t="str">
        <f t="shared" si="488"/>
        <v>CA</v>
      </c>
      <c r="K1261" t="str">
        <f>T("000000000000000000")</f>
        <v>000000000000000000</v>
      </c>
      <c r="L1261" t="str">
        <f>T("6195456399")</f>
        <v>6195456399</v>
      </c>
    </row>
    <row r="1262" spans="1:12" x14ac:dyDescent="0.35">
      <c r="A1262" t="str">
        <f t="shared" si="484"/>
        <v>DFA, MATMAN APC NMCSD</v>
      </c>
      <c r="B1262" t="str">
        <f>T("BLDG 601 MCCAIN AVE")</f>
        <v>BLDG 601 MCCAIN AVE</v>
      </c>
      <c r="C1262" t="str">
        <f t="shared" si="490"/>
        <v/>
      </c>
      <c r="D1262" t="str">
        <f t="shared" si="485"/>
        <v>SAN DIEGO</v>
      </c>
      <c r="E1262" t="str">
        <f t="shared" si="486"/>
        <v>CA</v>
      </c>
      <c r="F1262" t="str">
        <f>T("921350000")</f>
        <v>921350000</v>
      </c>
      <c r="G1262" t="str">
        <f>T("BLDG 601 MCCAIN AVE")</f>
        <v>BLDG 601 MCCAIN AVE</v>
      </c>
      <c r="H1262" t="str">
        <f>T("")</f>
        <v/>
      </c>
      <c r="I1262" t="str">
        <f t="shared" si="487"/>
        <v>SAN DIEGO</v>
      </c>
      <c r="J1262" t="str">
        <f t="shared" si="488"/>
        <v>CA</v>
      </c>
      <c r="K1262" t="str">
        <f>T("")</f>
        <v/>
      </c>
      <c r="L1262" t="str">
        <f>T("6195454427")</f>
        <v>6195454427</v>
      </c>
    </row>
    <row r="1263" spans="1:12" x14ac:dyDescent="0.35">
      <c r="A1263" t="str">
        <f t="shared" si="484"/>
        <v>DFA, MATMAN APC NMCSD</v>
      </c>
      <c r="B1263" t="str">
        <f>T("DBC-NBHC NB CORONADO")</f>
        <v>DBC-NBHC NB CORONADO</v>
      </c>
      <c r="C1263" t="str">
        <f>T("601 MCCAIN AVE")</f>
        <v>601 MCCAIN AVE</v>
      </c>
      <c r="D1263" t="str">
        <f t="shared" si="485"/>
        <v>SAN DIEGO</v>
      </c>
      <c r="E1263" t="str">
        <f t="shared" si="486"/>
        <v>CA</v>
      </c>
      <c r="F1263" t="str">
        <f>T("921350000")</f>
        <v>921350000</v>
      </c>
      <c r="G1263" t="str">
        <f>T("DBC-NBHC NB CORONADO")</f>
        <v>DBC-NBHC NB CORONADO</v>
      </c>
      <c r="H1263" t="str">
        <f>T("601 MCCAIN AVE")</f>
        <v>601 MCCAIN AVE</v>
      </c>
      <c r="I1263" t="str">
        <f t="shared" si="487"/>
        <v>SAN DIEGO</v>
      </c>
      <c r="J1263" t="str">
        <f t="shared" si="488"/>
        <v>CA</v>
      </c>
      <c r="K1263" t="str">
        <f>T("")</f>
        <v/>
      </c>
      <c r="L1263" t="str">
        <f>T("6195454427")</f>
        <v>6195454427</v>
      </c>
    </row>
    <row r="1264" spans="1:12" x14ac:dyDescent="0.35">
      <c r="A1264" t="str">
        <f t="shared" si="484"/>
        <v>DFA, MATMAN APC NMCSD</v>
      </c>
      <c r="B1264" t="str">
        <f>T("DBC-NBHC NB CORONADO")</f>
        <v>DBC-NBHC NB CORONADO</v>
      </c>
      <c r="C1264" t="str">
        <f>T("601 MCCAIN AVE")</f>
        <v>601 MCCAIN AVE</v>
      </c>
      <c r="D1264" t="str">
        <f t="shared" si="485"/>
        <v>SAN DIEGO</v>
      </c>
      <c r="E1264" t="str">
        <f t="shared" si="486"/>
        <v>CA</v>
      </c>
      <c r="F1264" t="str">
        <f>T("921350000")</f>
        <v>921350000</v>
      </c>
      <c r="G1264" t="str">
        <f>T("NBHC- NAVAL BASE CORONADO")</f>
        <v>NBHC- NAVAL BASE CORONADO</v>
      </c>
      <c r="H1264" t="str">
        <f>T("BLDG 601 MCCAIN BLVD")</f>
        <v>BLDG 601 MCCAIN BLVD</v>
      </c>
      <c r="I1264" t="str">
        <f t="shared" si="487"/>
        <v>SAN DIEGO</v>
      </c>
      <c r="J1264" t="str">
        <f t="shared" si="488"/>
        <v>CA</v>
      </c>
      <c r="K1264" t="str">
        <f>T("000000000000000000")</f>
        <v>000000000000000000</v>
      </c>
      <c r="L1264" t="str">
        <f>T("6195454325")</f>
        <v>6195454325</v>
      </c>
    </row>
    <row r="1265" spans="1:12" x14ac:dyDescent="0.35">
      <c r="A1265" t="str">
        <f t="shared" si="484"/>
        <v>DFA, MATMAN APC NMCSD</v>
      </c>
      <c r="B1265" t="str">
        <f>T("DBC/32ND STREET")</f>
        <v>DBC/32ND STREET</v>
      </c>
      <c r="C1265" t="str">
        <f>T("BUILDING 3230 2310 CRAVEN ST")</f>
        <v>BUILDING 3230 2310 CRAVEN ST</v>
      </c>
      <c r="D1265" t="str">
        <f t="shared" si="485"/>
        <v>SAN DIEGO</v>
      </c>
      <c r="E1265" t="str">
        <f t="shared" si="486"/>
        <v>CA</v>
      </c>
      <c r="F1265" t="str">
        <f>T("921365596")</f>
        <v>921365596</v>
      </c>
      <c r="G1265" t="str">
        <f>T("DBC/32ND STREET")</f>
        <v>DBC/32ND STREET</v>
      </c>
      <c r="H1265" t="str">
        <f>T("BUILDING 3230 2310 CRAVEN ST")</f>
        <v>BUILDING 3230 2310 CRAVEN ST</v>
      </c>
      <c r="I1265" t="str">
        <f t="shared" si="487"/>
        <v>SAN DIEGO</v>
      </c>
      <c r="J1265" t="str">
        <f t="shared" si="488"/>
        <v>CA</v>
      </c>
      <c r="K1265" t="str">
        <f>T("")</f>
        <v/>
      </c>
      <c r="L1265" t="str">
        <f>T("6195566485")</f>
        <v>6195566485</v>
      </c>
    </row>
    <row r="1266" spans="1:12" x14ac:dyDescent="0.35">
      <c r="A1266" t="str">
        <f t="shared" si="484"/>
        <v>DFA, MATMAN APC NMCSD</v>
      </c>
      <c r="B1266" t="str">
        <f>T("DBC/32ND STREET")</f>
        <v>DBC/32ND STREET</v>
      </c>
      <c r="C1266" t="str">
        <f>T("BUILDING 3230 2310 CRAVEN ST")</f>
        <v>BUILDING 3230 2310 CRAVEN ST</v>
      </c>
      <c r="D1266" t="str">
        <f t="shared" si="485"/>
        <v>SAN DIEGO</v>
      </c>
      <c r="E1266" t="str">
        <f t="shared" si="486"/>
        <v>CA</v>
      </c>
      <c r="F1266" t="str">
        <f>T("921365596")</f>
        <v>921365596</v>
      </c>
      <c r="G1266" t="str">
        <f>T("NAVAL MEDICAL CENTER-SD")</f>
        <v>NAVAL MEDICAL CENTER-SD</v>
      </c>
      <c r="H1266" t="str">
        <f>T("34800 BOB WILSON DRIVE")</f>
        <v>34800 BOB WILSON DRIVE</v>
      </c>
      <c r="I1266" t="str">
        <f t="shared" si="487"/>
        <v>SAN DIEGO</v>
      </c>
      <c r="J1266" t="str">
        <f t="shared" si="488"/>
        <v>CA</v>
      </c>
      <c r="K1266" t="str">
        <f>T("000000000000000000")</f>
        <v>000000000000000000</v>
      </c>
      <c r="L1266" t="str">
        <f>T("6195567762")</f>
        <v>6195567762</v>
      </c>
    </row>
    <row r="1267" spans="1:12" x14ac:dyDescent="0.35">
      <c r="A1267" t="str">
        <f t="shared" si="484"/>
        <v>DFA, MATMAN APC NMCSD</v>
      </c>
      <c r="B1267" t="str">
        <f>T("DBC/NAVSTA SUPPLY FACILITES")</f>
        <v>DBC/NAVSTA SUPPLY FACILITES</v>
      </c>
      <c r="C1267" t="str">
        <f>T("BLDG 3300 2450 CRAVEN ST")</f>
        <v>BLDG 3300 2450 CRAVEN ST</v>
      </c>
      <c r="D1267" t="str">
        <f t="shared" si="485"/>
        <v>SAN DIEGO</v>
      </c>
      <c r="E1267" t="str">
        <f t="shared" si="486"/>
        <v>CA</v>
      </c>
      <c r="F1267" t="str">
        <f>T("921365599")</f>
        <v>921365599</v>
      </c>
      <c r="G1267" t="str">
        <f>T("DBC/NAVSTA SUPPLY FACILITES")</f>
        <v>DBC/NAVSTA SUPPLY FACILITES</v>
      </c>
      <c r="H1267" t="str">
        <f>T("BLDG 3300 2450 CRAVEN ST")</f>
        <v>BLDG 3300 2450 CRAVEN ST</v>
      </c>
      <c r="I1267" t="str">
        <f t="shared" si="487"/>
        <v>SAN DIEGO</v>
      </c>
      <c r="J1267" t="str">
        <f t="shared" si="488"/>
        <v>CA</v>
      </c>
      <c r="K1267" t="str">
        <f>T("")</f>
        <v/>
      </c>
      <c r="L1267" t="str">
        <f>T("6195568077")</f>
        <v>6195568077</v>
      </c>
    </row>
    <row r="1268" spans="1:12" x14ac:dyDescent="0.35">
      <c r="A1268" t="str">
        <f t="shared" si="484"/>
        <v>DFA, MATMAN APC NMCSD</v>
      </c>
      <c r="B1268" t="str">
        <f>T("DBC/NAVSTA SUPPLY FACILITES")</f>
        <v>DBC/NAVSTA SUPPLY FACILITES</v>
      </c>
      <c r="C1268" t="str">
        <f>T("BLDG 3300 2450 CRAVEN ST")</f>
        <v>BLDG 3300 2450 CRAVEN ST</v>
      </c>
      <c r="D1268" t="str">
        <f t="shared" si="485"/>
        <v>SAN DIEGO</v>
      </c>
      <c r="E1268" t="str">
        <f t="shared" si="486"/>
        <v>CA</v>
      </c>
      <c r="F1268" t="str">
        <f>T("921365599")</f>
        <v>921365599</v>
      </c>
      <c r="G1268" t="str">
        <f>T("NAVAL MEDICAL CENTER-SD")</f>
        <v>NAVAL MEDICAL CENTER-SD</v>
      </c>
      <c r="H1268" t="str">
        <f>T("2310 CRAVEN ST GLDG 3230")</f>
        <v>2310 CRAVEN ST GLDG 3230</v>
      </c>
      <c r="I1268" t="str">
        <f t="shared" si="487"/>
        <v>SAN DIEGO</v>
      </c>
      <c r="J1268" t="str">
        <f t="shared" si="488"/>
        <v>CA</v>
      </c>
      <c r="K1268" t="str">
        <f>T("000000000000000000")</f>
        <v>000000000000000000</v>
      </c>
      <c r="L1268" t="str">
        <f>T("6195567762")</f>
        <v>6195567762</v>
      </c>
    </row>
    <row r="1269" spans="1:12" x14ac:dyDescent="0.35">
      <c r="A1269" t="str">
        <f t="shared" si="484"/>
        <v>DFA, MATMAN APC NMCSD</v>
      </c>
      <c r="B1269" t="str">
        <f>T("DBH/MHC")</f>
        <v>DBH/MHC</v>
      </c>
      <c r="C1269" t="str">
        <f>T("BLDG 3300 2450 CRAVEN STREET")</f>
        <v>BLDG 3300 2450 CRAVEN STREET</v>
      </c>
      <c r="D1269" t="str">
        <f t="shared" si="485"/>
        <v>SAN DIEGO</v>
      </c>
      <c r="E1269" t="str">
        <f t="shared" si="486"/>
        <v>CA</v>
      </c>
      <c r="F1269" t="str">
        <f>T("821360000")</f>
        <v>821360000</v>
      </c>
      <c r="G1269" t="str">
        <f>T("34800 BOB WILSON DR")</f>
        <v>34800 BOB WILSON DR</v>
      </c>
      <c r="H1269" t="str">
        <f>T("")</f>
        <v/>
      </c>
      <c r="I1269" t="str">
        <f t="shared" si="487"/>
        <v>SAN DIEGO</v>
      </c>
      <c r="J1269" t="str">
        <f t="shared" si="488"/>
        <v>CA</v>
      </c>
      <c r="K1269" t="str">
        <f>T("000000000000000000")</f>
        <v>000000000000000000</v>
      </c>
      <c r="L1269" t="str">
        <f>T("6195325984")</f>
        <v>6195325984</v>
      </c>
    </row>
    <row r="1270" spans="1:12" x14ac:dyDescent="0.35">
      <c r="A1270" t="str">
        <f t="shared" si="484"/>
        <v>DFA, MATMAN APC NMCSD</v>
      </c>
      <c r="B1270" t="str">
        <f>T("DBH/MHC")</f>
        <v>DBH/MHC</v>
      </c>
      <c r="C1270" t="str">
        <f>T("BLDG 3300 2450 CRAVEN STREET")</f>
        <v>BLDG 3300 2450 CRAVEN STREET</v>
      </c>
      <c r="D1270" t="str">
        <f t="shared" si="485"/>
        <v>SAN DIEGO</v>
      </c>
      <c r="E1270" t="str">
        <f t="shared" si="486"/>
        <v>CA</v>
      </c>
      <c r="F1270" t="str">
        <f>T("821360000")</f>
        <v>821360000</v>
      </c>
      <c r="G1270" t="str">
        <f>T("DBH/MHC")</f>
        <v>DBH/MHC</v>
      </c>
      <c r="H1270" t="str">
        <f>T("BLDG 3300 2450 CRAVEN STREET")</f>
        <v>BLDG 3300 2450 CRAVEN STREET</v>
      </c>
      <c r="I1270" t="str">
        <f t="shared" si="487"/>
        <v>SAN DIEGO</v>
      </c>
      <c r="J1270" t="str">
        <f t="shared" si="488"/>
        <v>CA</v>
      </c>
      <c r="K1270" t="str">
        <f>T("")</f>
        <v/>
      </c>
      <c r="L1270" t="str">
        <f>T("6195568077")</f>
        <v>6195568077</v>
      </c>
    </row>
    <row r="1271" spans="1:12" x14ac:dyDescent="0.35">
      <c r="A1271" t="str">
        <f t="shared" si="484"/>
        <v>DFA, MATMAN APC NMCSD</v>
      </c>
      <c r="B1271" t="str">
        <f>T("DDS/AREA DENTAL LABORATORY")</f>
        <v>DDS/AREA DENTAL LABORATORY</v>
      </c>
      <c r="C1271" t="str">
        <f>T("34800 BOB WILSON DR")</f>
        <v>34800 BOB WILSON DR</v>
      </c>
      <c r="D1271" t="str">
        <f t="shared" si="485"/>
        <v>SAN DIEGO</v>
      </c>
      <c r="E1271" t="str">
        <f t="shared" si="486"/>
        <v>CA</v>
      </c>
      <c r="F1271" t="str">
        <f>T("921341098")</f>
        <v>921341098</v>
      </c>
      <c r="G1271" t="str">
        <f>T("DDS/AREA DENTAL LABORATORY")</f>
        <v>DDS/AREA DENTAL LABORATORY</v>
      </c>
      <c r="H1271" t="str">
        <f>T("34800 BOB WILSON DR")</f>
        <v>34800 BOB WILSON DR</v>
      </c>
      <c r="I1271" t="str">
        <f t="shared" si="487"/>
        <v>SAN DIEGO</v>
      </c>
      <c r="J1271" t="str">
        <f t="shared" si="488"/>
        <v>CA</v>
      </c>
      <c r="K1271" t="str">
        <f>T("")</f>
        <v/>
      </c>
      <c r="L1271" t="str">
        <f>T("6195567260")</f>
        <v>6195567260</v>
      </c>
    </row>
    <row r="1272" spans="1:12" x14ac:dyDescent="0.35">
      <c r="A1272" t="str">
        <f t="shared" si="484"/>
        <v>DFA, MATMAN APC NMCSD</v>
      </c>
      <c r="B1272" t="str">
        <f>T("DDS/AREA DENTAL LABORATORY")</f>
        <v>DDS/AREA DENTAL LABORATORY</v>
      </c>
      <c r="C1272" t="str">
        <f>T("34800 BOB WILSON DR")</f>
        <v>34800 BOB WILSON DR</v>
      </c>
      <c r="D1272" t="str">
        <f t="shared" si="485"/>
        <v>SAN DIEGO</v>
      </c>
      <c r="E1272" t="str">
        <f t="shared" si="486"/>
        <v>CA</v>
      </c>
      <c r="F1272" t="str">
        <f>T("921341098")</f>
        <v>921341098</v>
      </c>
      <c r="G1272" t="str">
        <f>T("NMCSD")</f>
        <v>NMCSD</v>
      </c>
      <c r="H1272" t="str">
        <f>T("34800 BOB WILSON DRIVE")</f>
        <v>34800 BOB WILSON DRIVE</v>
      </c>
      <c r="I1272" t="str">
        <f t="shared" si="487"/>
        <v>SAN DIEGO</v>
      </c>
      <c r="J1272" t="str">
        <f t="shared" si="488"/>
        <v>CA</v>
      </c>
      <c r="K1272" t="str">
        <f>T("000000000000000000")</f>
        <v>000000000000000000</v>
      </c>
      <c r="L1272" t="str">
        <f>T("1111111111")</f>
        <v>1111111111</v>
      </c>
    </row>
    <row r="1273" spans="1:12" x14ac:dyDescent="0.35">
      <c r="A1273" t="str">
        <f t="shared" si="484"/>
        <v>DFA, MATMAN APC NMCSD</v>
      </c>
      <c r="B1273" t="str">
        <f>T("DDS/BDC MCRD DENTAL")</f>
        <v>DDS/BDC MCRD DENTAL</v>
      </c>
      <c r="C1273" t="str">
        <f>T("43000 MIDWAY AVE BLD 595")</f>
        <v>43000 MIDWAY AVE BLD 595</v>
      </c>
      <c r="D1273" t="str">
        <f t="shared" si="485"/>
        <v>SAN DIEGO</v>
      </c>
      <c r="E1273" t="str">
        <f t="shared" si="486"/>
        <v>CA</v>
      </c>
      <c r="F1273" t="str">
        <f>T("921405692")</f>
        <v>921405692</v>
      </c>
      <c r="G1273" t="str">
        <f>T("34800 BOB WILSON DR")</f>
        <v>34800 BOB WILSON DR</v>
      </c>
      <c r="H1273" t="str">
        <f>T("")</f>
        <v/>
      </c>
      <c r="I1273" t="str">
        <f t="shared" si="487"/>
        <v>SAN DIEGO</v>
      </c>
      <c r="J1273" t="str">
        <f t="shared" si="488"/>
        <v>CA</v>
      </c>
      <c r="K1273" t="str">
        <f>T("000000000000000000")</f>
        <v>000000000000000000</v>
      </c>
      <c r="L1273" t="str">
        <f>T("6198473581")</f>
        <v>6198473581</v>
      </c>
    </row>
    <row r="1274" spans="1:12" x14ac:dyDescent="0.35">
      <c r="A1274" t="str">
        <f t="shared" si="484"/>
        <v>DFA, MATMAN APC NMCSD</v>
      </c>
      <c r="B1274" t="str">
        <f>T("DDS/BDC MCRD DENTAL")</f>
        <v>DDS/BDC MCRD DENTAL</v>
      </c>
      <c r="C1274" t="str">
        <f>T("43000 MIDWAY AVE BLD 595")</f>
        <v>43000 MIDWAY AVE BLD 595</v>
      </c>
      <c r="D1274" t="str">
        <f t="shared" si="485"/>
        <v>SAN DIEGO</v>
      </c>
      <c r="E1274" t="str">
        <f t="shared" si="486"/>
        <v>CA</v>
      </c>
      <c r="F1274" t="str">
        <f>T("921405692")</f>
        <v>921405692</v>
      </c>
      <c r="G1274" t="str">
        <f>T("DDS/BDC MCRD DENTAL")</f>
        <v>DDS/BDC MCRD DENTAL</v>
      </c>
      <c r="H1274" t="str">
        <f>T("43000 MIDWAY AVE BLD 595")</f>
        <v>43000 MIDWAY AVE BLD 595</v>
      </c>
      <c r="I1274" t="str">
        <f t="shared" si="487"/>
        <v>SAN DIEGO</v>
      </c>
      <c r="J1274" t="str">
        <f t="shared" si="488"/>
        <v>CA</v>
      </c>
      <c r="K1274" t="str">
        <f>T("")</f>
        <v/>
      </c>
      <c r="L1274" t="str">
        <f>T("6195244056")</f>
        <v>6195244056</v>
      </c>
    </row>
    <row r="1275" spans="1:12" x14ac:dyDescent="0.35">
      <c r="A1275" t="str">
        <f t="shared" si="484"/>
        <v>DFA, MATMAN APC NMCSD</v>
      </c>
      <c r="B1275" t="str">
        <f>T("DDS/BDC MCRD DENTAL")</f>
        <v>DDS/BDC MCRD DENTAL</v>
      </c>
      <c r="C1275" t="str">
        <f>T("43000 MIDWAY AVE BLD 595")</f>
        <v>43000 MIDWAY AVE BLD 595</v>
      </c>
      <c r="D1275" t="str">
        <f t="shared" si="485"/>
        <v>SAN DIEGO</v>
      </c>
      <c r="E1275" t="str">
        <f t="shared" si="486"/>
        <v>CA</v>
      </c>
      <c r="F1275" t="str">
        <f>T("921405692")</f>
        <v>921405692</v>
      </c>
      <c r="G1275" t="str">
        <f>T("NAVAL MEDICAL CENTER SAN DIEGO")</f>
        <v>NAVAL MEDICAL CENTER SAN DIEGO</v>
      </c>
      <c r="H1275" t="str">
        <f>T("34800 BOB WILSON DRIVE")</f>
        <v>34800 BOB WILSON DRIVE</v>
      </c>
      <c r="I1275" t="str">
        <f t="shared" si="487"/>
        <v>SAN DIEGO</v>
      </c>
      <c r="J1275" t="str">
        <f t="shared" si="488"/>
        <v>CA</v>
      </c>
      <c r="K1275" t="str">
        <f>T("000000000000000000")</f>
        <v>000000000000000000</v>
      </c>
      <c r="L1275" t="str">
        <f>T("6195244046")</f>
        <v>6195244046</v>
      </c>
    </row>
    <row r="1276" spans="1:12" x14ac:dyDescent="0.35">
      <c r="A1276" t="str">
        <f t="shared" si="484"/>
        <v>DFA, MATMAN APC NMCSD</v>
      </c>
      <c r="B1276" t="str">
        <f>T("DFA MATOPS NMCSD")</f>
        <v>DFA MATOPS NMCSD</v>
      </c>
      <c r="C1276" t="str">
        <f>T("34800 BOB WILSON DR")</f>
        <v>34800 BOB WILSON DR</v>
      </c>
      <c r="D1276" t="str">
        <f t="shared" si="485"/>
        <v>SAN DIEGO</v>
      </c>
      <c r="E1276" t="str">
        <f t="shared" si="486"/>
        <v>CA</v>
      </c>
      <c r="F1276" t="str">
        <f>T("921341098")</f>
        <v>921341098</v>
      </c>
      <c r="G1276" t="str">
        <f>T("34800 BOB WILSON DR")</f>
        <v>34800 BOB WILSON DR</v>
      </c>
      <c r="H1276" t="str">
        <f>T("")</f>
        <v/>
      </c>
      <c r="I1276" t="str">
        <f t="shared" si="487"/>
        <v>SAN DIEGO</v>
      </c>
      <c r="J1276" t="str">
        <f t="shared" si="488"/>
        <v>CA</v>
      </c>
      <c r="K1276" t="str">
        <f>T("000000000000000000")</f>
        <v>000000000000000000</v>
      </c>
      <c r="L1276" t="str">
        <f>T("6195328002")</f>
        <v>6195328002</v>
      </c>
    </row>
    <row r="1277" spans="1:12" x14ac:dyDescent="0.35">
      <c r="A1277" t="str">
        <f t="shared" si="484"/>
        <v>DFA, MATMAN APC NMCSD</v>
      </c>
      <c r="B1277" t="str">
        <f>T("DFA MATOPS NMCSD")</f>
        <v>DFA MATOPS NMCSD</v>
      </c>
      <c r="C1277" t="str">
        <f>T("34800 BOB WILSON DR")</f>
        <v>34800 BOB WILSON DR</v>
      </c>
      <c r="D1277" t="str">
        <f t="shared" si="485"/>
        <v>SAN DIEGO</v>
      </c>
      <c r="E1277" t="str">
        <f t="shared" si="486"/>
        <v>CA</v>
      </c>
      <c r="F1277" t="str">
        <f>T("921341098")</f>
        <v>921341098</v>
      </c>
      <c r="G1277" t="str">
        <f>T("DFA MATOPS NMCSD")</f>
        <v>DFA MATOPS NMCSD</v>
      </c>
      <c r="H1277" t="str">
        <f>T("34800 BOB WILSON DR")</f>
        <v>34800 BOB WILSON DR</v>
      </c>
      <c r="I1277" t="str">
        <f t="shared" si="487"/>
        <v>SAN DIEGO</v>
      </c>
      <c r="J1277" t="str">
        <f t="shared" si="488"/>
        <v>CA</v>
      </c>
      <c r="K1277" t="str">
        <f>T("")</f>
        <v/>
      </c>
      <c r="L1277" t="str">
        <f>T("6195325523")</f>
        <v>6195325523</v>
      </c>
    </row>
    <row r="1278" spans="1:12" x14ac:dyDescent="0.35">
      <c r="A1278" t="str">
        <f t="shared" si="484"/>
        <v>DFA, MATMAN APC NMCSD</v>
      </c>
      <c r="B1278" t="str">
        <f>T("DFA MATOPS NMCSD")</f>
        <v>DFA MATOPS NMCSD</v>
      </c>
      <c r="C1278" t="str">
        <f>T("34800 BOB WILSON DR")</f>
        <v>34800 BOB WILSON DR</v>
      </c>
      <c r="D1278" t="str">
        <f t="shared" si="485"/>
        <v>SAN DIEGO</v>
      </c>
      <c r="E1278" t="str">
        <f t="shared" si="486"/>
        <v>CA</v>
      </c>
      <c r="F1278" t="str">
        <f>T("921341098")</f>
        <v>921341098</v>
      </c>
      <c r="G1278" t="str">
        <f>T("NAVAL MEDICAL CENTER - SD")</f>
        <v>NAVAL MEDICAL CENTER - SD</v>
      </c>
      <c r="H1278" t="str">
        <f>T("34800 BOB WILSON DR STE 8")</f>
        <v>34800 BOB WILSON DR STE 8</v>
      </c>
      <c r="I1278" t="str">
        <f t="shared" si="487"/>
        <v>SAN DIEGO</v>
      </c>
      <c r="J1278" t="str">
        <f t="shared" si="488"/>
        <v>CA</v>
      </c>
      <c r="K1278" t="str">
        <f>T("000000000000000000")</f>
        <v>000000000000000000</v>
      </c>
      <c r="L1278" t="str">
        <f>T("6195327963")</f>
        <v>6195327963</v>
      </c>
    </row>
    <row r="1279" spans="1:12" x14ac:dyDescent="0.35">
      <c r="A1279" t="str">
        <f t="shared" si="484"/>
        <v>DFA, MATMAN APC NMCSD</v>
      </c>
      <c r="B1279" t="str">
        <f>T("DFA/IMD")</f>
        <v>DFA/IMD</v>
      </c>
      <c r="C1279" t="str">
        <f>T("34800 BOB WILSON DR")</f>
        <v>34800 BOB WILSON DR</v>
      </c>
      <c r="D1279" t="str">
        <f t="shared" si="485"/>
        <v>SAN DIEGO</v>
      </c>
      <c r="E1279" t="str">
        <f t="shared" si="486"/>
        <v>CA</v>
      </c>
      <c r="F1279" t="str">
        <f>T("921341098")</f>
        <v>921341098</v>
      </c>
      <c r="G1279" t="str">
        <f>T("DFA/IMD")</f>
        <v>DFA/IMD</v>
      </c>
      <c r="H1279" t="str">
        <f>T("34800 BOB WILSON DR")</f>
        <v>34800 BOB WILSON DR</v>
      </c>
      <c r="I1279" t="str">
        <f t="shared" si="487"/>
        <v>SAN DIEGO</v>
      </c>
      <c r="J1279" t="str">
        <f t="shared" si="488"/>
        <v>CA</v>
      </c>
      <c r="K1279" t="str">
        <f>T("")</f>
        <v/>
      </c>
      <c r="L1279" t="str">
        <f>T("6195326800")</f>
        <v>6195326800</v>
      </c>
    </row>
    <row r="1280" spans="1:12" x14ac:dyDescent="0.35">
      <c r="A1280" t="str">
        <f t="shared" si="484"/>
        <v>DFA, MATMAN APC NMCSD</v>
      </c>
      <c r="B1280" t="str">
        <f>T("DFA/IMD")</f>
        <v>DFA/IMD</v>
      </c>
      <c r="C1280" t="str">
        <f>T("34800 BOB WILSON DR")</f>
        <v>34800 BOB WILSON DR</v>
      </c>
      <c r="D1280" t="str">
        <f t="shared" si="485"/>
        <v>SAN DIEGO</v>
      </c>
      <c r="E1280" t="str">
        <f t="shared" si="486"/>
        <v>CA</v>
      </c>
      <c r="F1280" t="str">
        <f>T("921341098")</f>
        <v>921341098</v>
      </c>
      <c r="G1280" t="str">
        <f>T("NMCSD")</f>
        <v>NMCSD</v>
      </c>
      <c r="H1280" t="str">
        <f>T("34800 BOB WILSON DR")</f>
        <v>34800 BOB WILSON DR</v>
      </c>
      <c r="I1280" t="str">
        <f t="shared" si="487"/>
        <v>SAN DIEGO</v>
      </c>
      <c r="J1280" t="str">
        <f t="shared" si="488"/>
        <v>CA</v>
      </c>
      <c r="K1280" t="str">
        <f>T("000000000000000000")</f>
        <v>000000000000000000</v>
      </c>
      <c r="L1280" t="str">
        <f>T("6195325292")</f>
        <v>6195325292</v>
      </c>
    </row>
    <row r="1281" spans="1:12" x14ac:dyDescent="0.35">
      <c r="A1281" t="str">
        <f t="shared" ref="A1281:A1312" si="492">T("DFA, MATMAN APC NMCSD")</f>
        <v>DFA, MATMAN APC NMCSD</v>
      </c>
      <c r="B1281" t="str">
        <f>T("DMCRD/DBC-ADMIN/NTC")</f>
        <v>DMCRD/DBC-ADMIN/NTC</v>
      </c>
      <c r="C1281" t="str">
        <f>T("34800 BOB WILSON DRIVE SUITE 8")</f>
        <v>34800 BOB WILSON DRIVE SUITE 8</v>
      </c>
      <c r="D1281" t="str">
        <f t="shared" ref="D1281:D1312" si="493">T("SAN DIEGO")</f>
        <v>SAN DIEGO</v>
      </c>
      <c r="E1281" t="str">
        <f t="shared" ref="E1281:E1312" si="494">T("CA")</f>
        <v>CA</v>
      </c>
      <c r="F1281" t="str">
        <f>T("921341008")</f>
        <v>921341008</v>
      </c>
      <c r="G1281" t="str">
        <f>T("DMCRD/DBC-ADMIN/NTC")</f>
        <v>DMCRD/DBC-ADMIN/NTC</v>
      </c>
      <c r="H1281" t="str">
        <f>T("34800 BOB WILSON DRIVE SUITE 8")</f>
        <v>34800 BOB WILSON DRIVE SUITE 8</v>
      </c>
      <c r="I1281" t="str">
        <f t="shared" ref="I1281:I1312" si="495">T("SAN DIEGO")</f>
        <v>SAN DIEGO</v>
      </c>
      <c r="J1281" t="str">
        <f t="shared" ref="J1281:J1312" si="496">T("CA")</f>
        <v>CA</v>
      </c>
      <c r="K1281" t="str">
        <f>T("")</f>
        <v/>
      </c>
      <c r="L1281" t="str">
        <f>T("6196450144")</f>
        <v>6196450144</v>
      </c>
    </row>
    <row r="1282" spans="1:12" x14ac:dyDescent="0.35">
      <c r="A1282" t="str">
        <f t="shared" si="492"/>
        <v>DFA, MATMAN APC NMCSD</v>
      </c>
      <c r="B1282" t="str">
        <f>T("DMCRD/DBC-ADMIN/NTC")</f>
        <v>DMCRD/DBC-ADMIN/NTC</v>
      </c>
      <c r="C1282" t="str">
        <f>T("34800 BOB WILSON DRIVE SUITE 8")</f>
        <v>34800 BOB WILSON DRIVE SUITE 8</v>
      </c>
      <c r="D1282" t="str">
        <f t="shared" si="493"/>
        <v>SAN DIEGO</v>
      </c>
      <c r="E1282" t="str">
        <f t="shared" si="494"/>
        <v>CA</v>
      </c>
      <c r="F1282" t="str">
        <f>T("921341008")</f>
        <v>921341008</v>
      </c>
      <c r="G1282" t="str">
        <f>T("NAVAL MEDICAL CENTER SAN DIEGO")</f>
        <v>NAVAL MEDICAL CENTER SAN DIEGO</v>
      </c>
      <c r="H1282" t="str">
        <f>T("34800 BOB WILSON DRIVE")</f>
        <v>34800 BOB WILSON DRIVE</v>
      </c>
      <c r="I1282" t="str">
        <f t="shared" si="495"/>
        <v>SAN DIEGO</v>
      </c>
      <c r="J1282" t="str">
        <f t="shared" si="496"/>
        <v>CA</v>
      </c>
      <c r="K1282" t="str">
        <f>T("000000000000000000")</f>
        <v>000000000000000000</v>
      </c>
      <c r="L1282" t="str">
        <f>T("6195245214")</f>
        <v>6195245214</v>
      </c>
    </row>
    <row r="1283" spans="1:12" x14ac:dyDescent="0.35">
      <c r="A1283" t="str">
        <f t="shared" si="492"/>
        <v>DFA, MATMAN APC NMCSD</v>
      </c>
      <c r="B1283" t="str">
        <f>T("DMCRD/DBC-ADMIN/NTC")</f>
        <v>DMCRD/DBC-ADMIN/NTC</v>
      </c>
      <c r="C1283" t="str">
        <f>T("34800 BOB WILSON DRIVE SUITE 8")</f>
        <v>34800 BOB WILSON DRIVE SUITE 8</v>
      </c>
      <c r="D1283" t="str">
        <f t="shared" si="493"/>
        <v>SAN DIEGO</v>
      </c>
      <c r="E1283" t="str">
        <f t="shared" si="494"/>
        <v>CA</v>
      </c>
      <c r="F1283" t="str">
        <f>T("921341008")</f>
        <v>921341008</v>
      </c>
      <c r="G1283" t="str">
        <f>T("NMCSD")</f>
        <v>NMCSD</v>
      </c>
      <c r="H1283" t="str">
        <f>T("34800 BOB WILSON DR")</f>
        <v>34800 BOB WILSON DR</v>
      </c>
      <c r="I1283" t="str">
        <f t="shared" si="495"/>
        <v>SAN DIEGO</v>
      </c>
      <c r="J1283" t="str">
        <f t="shared" si="496"/>
        <v>CA</v>
      </c>
      <c r="K1283" t="str">
        <f>T("000000000000000000")</f>
        <v>000000000000000000</v>
      </c>
      <c r="L1283" t="str">
        <f>T("6195245214")</f>
        <v>6195245214</v>
      </c>
    </row>
    <row r="1284" spans="1:12" x14ac:dyDescent="0.35">
      <c r="A1284" t="str">
        <f t="shared" si="492"/>
        <v>DFA, MATMAN APC NMCSD</v>
      </c>
      <c r="B1284" t="str">
        <f>T("DMS-EMERGENCY DEPT / NMCSD")</f>
        <v>DMS-EMERGENCY DEPT / NMCSD</v>
      </c>
      <c r="C1284" t="str">
        <f>T("34800 BOB WILSON DRIVE")</f>
        <v>34800 BOB WILSON DRIVE</v>
      </c>
      <c r="D1284" t="str">
        <f t="shared" si="493"/>
        <v>SAN DIEGO</v>
      </c>
      <c r="E1284" t="str">
        <f t="shared" si="494"/>
        <v>CA</v>
      </c>
      <c r="F1284" t="str">
        <f>T("921341098")</f>
        <v>921341098</v>
      </c>
      <c r="G1284" t="str">
        <f>T("34800 BOB WILSON DRIVE")</f>
        <v>34800 BOB WILSON DRIVE</v>
      </c>
      <c r="H1284" t="str">
        <f>T("")</f>
        <v/>
      </c>
      <c r="I1284" t="str">
        <f t="shared" si="495"/>
        <v>SAN DIEGO</v>
      </c>
      <c r="J1284" t="str">
        <f t="shared" si="496"/>
        <v>CA</v>
      </c>
      <c r="K1284" t="str">
        <f>T("000000000000000000")</f>
        <v>000000000000000000</v>
      </c>
      <c r="L1284" t="str">
        <f>T("6195328664")</f>
        <v>6195328664</v>
      </c>
    </row>
    <row r="1285" spans="1:12" x14ac:dyDescent="0.35">
      <c r="A1285" t="str">
        <f t="shared" si="492"/>
        <v>DFA, MATMAN APC NMCSD</v>
      </c>
      <c r="B1285" t="str">
        <f>T("DMS-EMERGENCY DEPT / NMCSD")</f>
        <v>DMS-EMERGENCY DEPT / NMCSD</v>
      </c>
      <c r="C1285" t="str">
        <f>T("34800 BOB WILSON DRIVE")</f>
        <v>34800 BOB WILSON DRIVE</v>
      </c>
      <c r="D1285" t="str">
        <f t="shared" si="493"/>
        <v>SAN DIEGO</v>
      </c>
      <c r="E1285" t="str">
        <f t="shared" si="494"/>
        <v>CA</v>
      </c>
      <c r="F1285" t="str">
        <f>T("921341098")</f>
        <v>921341098</v>
      </c>
      <c r="G1285" t="str">
        <f>T("DMS-EMERGENCY DEPT / NMCSD")</f>
        <v>DMS-EMERGENCY DEPT / NMCSD</v>
      </c>
      <c r="H1285" t="str">
        <f>T("34800 BOB WILSON DRIVE")</f>
        <v>34800 BOB WILSON DRIVE</v>
      </c>
      <c r="I1285" t="str">
        <f t="shared" si="495"/>
        <v>SAN DIEGO</v>
      </c>
      <c r="J1285" t="str">
        <f t="shared" si="496"/>
        <v>CA</v>
      </c>
      <c r="K1285" t="str">
        <f>T("")</f>
        <v/>
      </c>
      <c r="L1285" t="str">
        <f>T("6195328242")</f>
        <v>6195328242</v>
      </c>
    </row>
    <row r="1286" spans="1:12" x14ac:dyDescent="0.35">
      <c r="A1286" t="str">
        <f t="shared" si="492"/>
        <v>DFA, MATMAN APC NMCSD</v>
      </c>
      <c r="B1286" t="str">
        <f>T("DMS/ VARIOUS DEPARTMENTS")</f>
        <v>DMS/ VARIOUS DEPARTMENTS</v>
      </c>
      <c r="C1286" t="str">
        <f>T("34800 BOB WILSON DRIVE SUITE 8")</f>
        <v>34800 BOB WILSON DRIVE SUITE 8</v>
      </c>
      <c r="D1286" t="str">
        <f t="shared" si="493"/>
        <v>SAN DIEGO</v>
      </c>
      <c r="E1286" t="str">
        <f t="shared" si="494"/>
        <v>CA</v>
      </c>
      <c r="F1286" t="str">
        <f>T("921341008")</f>
        <v>921341008</v>
      </c>
      <c r="G1286" t="str">
        <f>T("34800 BOB WILSON DR")</f>
        <v>34800 BOB WILSON DR</v>
      </c>
      <c r="H1286" t="str">
        <f>T("")</f>
        <v/>
      </c>
      <c r="I1286" t="str">
        <f t="shared" si="495"/>
        <v>SAN DIEGO</v>
      </c>
      <c r="J1286" t="str">
        <f t="shared" si="496"/>
        <v>CA</v>
      </c>
      <c r="K1286" t="str">
        <f>T("000000000000000000")</f>
        <v>000000000000000000</v>
      </c>
      <c r="L1286" t="str">
        <f>T("6195325950")</f>
        <v>6195325950</v>
      </c>
    </row>
    <row r="1287" spans="1:12" x14ac:dyDescent="0.35">
      <c r="A1287" t="str">
        <f t="shared" si="492"/>
        <v>DFA, MATMAN APC NMCSD</v>
      </c>
      <c r="B1287" t="str">
        <f>T("DMS/ VARIOUS DEPARTMENTS")</f>
        <v>DMS/ VARIOUS DEPARTMENTS</v>
      </c>
      <c r="C1287" t="str">
        <f>T("34800 BOB WILSON DRIVE SUITE 8")</f>
        <v>34800 BOB WILSON DRIVE SUITE 8</v>
      </c>
      <c r="D1287" t="str">
        <f t="shared" si="493"/>
        <v>SAN DIEGO</v>
      </c>
      <c r="E1287" t="str">
        <f t="shared" si="494"/>
        <v>CA</v>
      </c>
      <c r="F1287" t="str">
        <f>T("921341008")</f>
        <v>921341008</v>
      </c>
      <c r="G1287" t="str">
        <f>T("DMS/ VARIOUS DEPARTMENTS")</f>
        <v>DMS/ VARIOUS DEPARTMENTS</v>
      </c>
      <c r="H1287" t="str">
        <f>T("34800 BOB WILSON DRIVE SUITE 8")</f>
        <v>34800 BOB WILSON DRIVE SUITE 8</v>
      </c>
      <c r="I1287" t="str">
        <f t="shared" si="495"/>
        <v>SAN DIEGO</v>
      </c>
      <c r="J1287" t="str">
        <f t="shared" si="496"/>
        <v>CA</v>
      </c>
      <c r="K1287" t="str">
        <f>T("")</f>
        <v/>
      </c>
      <c r="L1287" t="str">
        <f>T("6195325313")</f>
        <v>6195325313</v>
      </c>
    </row>
    <row r="1288" spans="1:12" x14ac:dyDescent="0.35">
      <c r="A1288" t="str">
        <f t="shared" si="492"/>
        <v>DFA, MATMAN APC NMCSD</v>
      </c>
      <c r="B1288" t="str">
        <f>T("DMS/ VARIOUS DEPARTMENTS")</f>
        <v>DMS/ VARIOUS DEPARTMENTS</v>
      </c>
      <c r="C1288" t="str">
        <f>T("34800 BOB WILSON DRIVE SUITE 8")</f>
        <v>34800 BOB WILSON DRIVE SUITE 8</v>
      </c>
      <c r="D1288" t="str">
        <f t="shared" si="493"/>
        <v>SAN DIEGO</v>
      </c>
      <c r="E1288" t="str">
        <f t="shared" si="494"/>
        <v>CA</v>
      </c>
      <c r="F1288" t="str">
        <f>T("921341008")</f>
        <v>921341008</v>
      </c>
      <c r="G1288" t="str">
        <f>T("NAVAL MEDICAL CENTER - SD")</f>
        <v>NAVAL MEDICAL CENTER - SD</v>
      </c>
      <c r="H1288" t="str">
        <f>T("34800 BOB WILSON DR")</f>
        <v>34800 BOB WILSON DR</v>
      </c>
      <c r="I1288" t="str">
        <f t="shared" si="495"/>
        <v>SAN DIEGO</v>
      </c>
      <c r="J1288" t="str">
        <f t="shared" si="496"/>
        <v>CA</v>
      </c>
      <c r="K1288" t="str">
        <f>T("000000000000000000")</f>
        <v>000000000000000000</v>
      </c>
      <c r="L1288" t="str">
        <f>T("6195328820")</f>
        <v>6195328820</v>
      </c>
    </row>
    <row r="1289" spans="1:12" x14ac:dyDescent="0.35">
      <c r="A1289" t="str">
        <f t="shared" si="492"/>
        <v>DFA, MATMAN APC NMCSD</v>
      </c>
      <c r="B1289" t="str">
        <f>T("DNS/NURSING ADMIN - NMCSD")</f>
        <v>DNS/NURSING ADMIN - NMCSD</v>
      </c>
      <c r="C1289" t="str">
        <f>T("34800 BOB WILSON DR")</f>
        <v>34800 BOB WILSON DR</v>
      </c>
      <c r="D1289" t="str">
        <f t="shared" si="493"/>
        <v>SAN DIEGO</v>
      </c>
      <c r="E1289" t="str">
        <f t="shared" si="494"/>
        <v>CA</v>
      </c>
      <c r="F1289" t="str">
        <f>T("921341098")</f>
        <v>921341098</v>
      </c>
      <c r="G1289" t="str">
        <f>T("34800 BOB WILSON DR")</f>
        <v>34800 BOB WILSON DR</v>
      </c>
      <c r="H1289" t="str">
        <f>T("")</f>
        <v/>
      </c>
      <c r="I1289" t="str">
        <f t="shared" si="495"/>
        <v>SAN DIEGO</v>
      </c>
      <c r="J1289" t="str">
        <f t="shared" si="496"/>
        <v>CA</v>
      </c>
      <c r="K1289" t="str">
        <f>T("000000000000000000")</f>
        <v>000000000000000000</v>
      </c>
      <c r="L1289" t="str">
        <f>T("6195327316")</f>
        <v>6195327316</v>
      </c>
    </row>
    <row r="1290" spans="1:12" x14ac:dyDescent="0.35">
      <c r="A1290" t="str">
        <f t="shared" si="492"/>
        <v>DFA, MATMAN APC NMCSD</v>
      </c>
      <c r="B1290" t="str">
        <f>T("DNS/NURSING ADMIN - NMCSD")</f>
        <v>DNS/NURSING ADMIN - NMCSD</v>
      </c>
      <c r="C1290" t="str">
        <f>T("34800 BOB WILSON DR")</f>
        <v>34800 BOB WILSON DR</v>
      </c>
      <c r="D1290" t="str">
        <f t="shared" si="493"/>
        <v>SAN DIEGO</v>
      </c>
      <c r="E1290" t="str">
        <f t="shared" si="494"/>
        <v>CA</v>
      </c>
      <c r="F1290" t="str">
        <f>T("921341098")</f>
        <v>921341098</v>
      </c>
      <c r="G1290" t="str">
        <f>T("DNS/NURSING ADMIN - NMCSD")</f>
        <v>DNS/NURSING ADMIN - NMCSD</v>
      </c>
      <c r="H1290" t="str">
        <f>T("34800 BOB WILSON DR")</f>
        <v>34800 BOB WILSON DR</v>
      </c>
      <c r="I1290" t="str">
        <f t="shared" si="495"/>
        <v>SAN DIEGO</v>
      </c>
      <c r="J1290" t="str">
        <f t="shared" si="496"/>
        <v>CA</v>
      </c>
      <c r="K1290" t="str">
        <f>T("")</f>
        <v/>
      </c>
      <c r="L1290" t="str">
        <f>T("6195326286")</f>
        <v>6195326286</v>
      </c>
    </row>
    <row r="1291" spans="1:12" x14ac:dyDescent="0.35">
      <c r="A1291" t="str">
        <f t="shared" si="492"/>
        <v>DFA, MATMAN APC NMCSD</v>
      </c>
      <c r="B1291" t="str">
        <f>T("DNS/NURSING ADMIN - NMCSD")</f>
        <v>DNS/NURSING ADMIN - NMCSD</v>
      </c>
      <c r="C1291" t="str">
        <f>T("34800 BOB WILSON DR")</f>
        <v>34800 BOB WILSON DR</v>
      </c>
      <c r="D1291" t="str">
        <f t="shared" si="493"/>
        <v>SAN DIEGO</v>
      </c>
      <c r="E1291" t="str">
        <f t="shared" si="494"/>
        <v>CA</v>
      </c>
      <c r="F1291" t="str">
        <f>T("921341098")</f>
        <v>921341098</v>
      </c>
      <c r="G1291" t="str">
        <f>T("NAVAL MEDICAL CENTER - SD")</f>
        <v>NAVAL MEDICAL CENTER - SD</v>
      </c>
      <c r="H1291" t="str">
        <f>T("34800 BOB WILSON DR")</f>
        <v>34800 BOB WILSON DR</v>
      </c>
      <c r="I1291" t="str">
        <f t="shared" si="495"/>
        <v>SAN DIEGO</v>
      </c>
      <c r="J1291" t="str">
        <f t="shared" si="496"/>
        <v>CA</v>
      </c>
      <c r="K1291" t="str">
        <f>T("000000000000000000")</f>
        <v>000000000000000000</v>
      </c>
      <c r="L1291" t="str">
        <f>T("6195328160")</f>
        <v>6195328160</v>
      </c>
    </row>
    <row r="1292" spans="1:12" x14ac:dyDescent="0.35">
      <c r="A1292" t="str">
        <f t="shared" si="492"/>
        <v>DFA, MATMAN APC NMCSD</v>
      </c>
      <c r="B1292" t="str">
        <f>T("DPH")</f>
        <v>DPH</v>
      </c>
      <c r="C1292" t="str">
        <f>T("2051 CUSHING RD")</f>
        <v>2051 CUSHING RD</v>
      </c>
      <c r="D1292" t="str">
        <f t="shared" si="493"/>
        <v>SAN DIEGO</v>
      </c>
      <c r="E1292" t="str">
        <f t="shared" si="494"/>
        <v>CA</v>
      </c>
      <c r="F1292" t="str">
        <f>T("921066173")</f>
        <v>921066173</v>
      </c>
      <c r="G1292" t="str">
        <f>T("34800 BOB WILSON DR")</f>
        <v>34800 BOB WILSON DR</v>
      </c>
      <c r="H1292" t="str">
        <f>T("")</f>
        <v/>
      </c>
      <c r="I1292" t="str">
        <f t="shared" si="495"/>
        <v>SAN DIEGO</v>
      </c>
      <c r="J1292" t="str">
        <f t="shared" si="496"/>
        <v>CA</v>
      </c>
      <c r="K1292" t="str">
        <f>T("000000000000000000")</f>
        <v>000000000000000000</v>
      </c>
      <c r="L1292" t="str">
        <f>T("6195329223")</f>
        <v>6195329223</v>
      </c>
    </row>
    <row r="1293" spans="1:12" x14ac:dyDescent="0.35">
      <c r="A1293" t="str">
        <f t="shared" si="492"/>
        <v>DFA, MATMAN APC NMCSD</v>
      </c>
      <c r="B1293" t="str">
        <f>T("DPH")</f>
        <v>DPH</v>
      </c>
      <c r="C1293" t="str">
        <f>T("2051 CUSHING RD")</f>
        <v>2051 CUSHING RD</v>
      </c>
      <c r="D1293" t="str">
        <f t="shared" si="493"/>
        <v>SAN DIEGO</v>
      </c>
      <c r="E1293" t="str">
        <f t="shared" si="494"/>
        <v>CA</v>
      </c>
      <c r="F1293" t="str">
        <f>T("921066173")</f>
        <v>921066173</v>
      </c>
      <c r="G1293" t="str">
        <f>T("ATTN MATERIAL MANAGEMENT APC")</f>
        <v>ATTN MATERIAL MANAGEMENT APC</v>
      </c>
      <c r="H1293" t="str">
        <f>T("34800 BOB WILSON DR")</f>
        <v>34800 BOB WILSON DR</v>
      </c>
      <c r="I1293" t="str">
        <f t="shared" si="495"/>
        <v>SAN DIEGO</v>
      </c>
      <c r="J1293" t="str">
        <f t="shared" si="496"/>
        <v>CA</v>
      </c>
      <c r="K1293" t="str">
        <f>T("000000000000000000")</f>
        <v>000000000000000000</v>
      </c>
      <c r="L1293" t="str">
        <f>T("6195454279")</f>
        <v>6195454279</v>
      </c>
    </row>
    <row r="1294" spans="1:12" x14ac:dyDescent="0.35">
      <c r="A1294" t="str">
        <f t="shared" si="492"/>
        <v>DFA, MATMAN APC NMCSD</v>
      </c>
      <c r="B1294" t="str">
        <f>T("DPH")</f>
        <v>DPH</v>
      </c>
      <c r="C1294" t="str">
        <f>T("2051 CUSHING RD")</f>
        <v>2051 CUSHING RD</v>
      </c>
      <c r="D1294" t="str">
        <f t="shared" si="493"/>
        <v>SAN DIEGO</v>
      </c>
      <c r="E1294" t="str">
        <f t="shared" si="494"/>
        <v>CA</v>
      </c>
      <c r="F1294" t="str">
        <f>T("921066173")</f>
        <v>921066173</v>
      </c>
      <c r="G1294" t="str">
        <f>T("DPH")</f>
        <v>DPH</v>
      </c>
      <c r="H1294" t="str">
        <f>T("2051 CUSHING RD")</f>
        <v>2051 CUSHING RD</v>
      </c>
      <c r="I1294" t="str">
        <f t="shared" si="495"/>
        <v>SAN DIEGO</v>
      </c>
      <c r="J1294" t="str">
        <f t="shared" si="496"/>
        <v>CA</v>
      </c>
      <c r="K1294" t="str">
        <f>T("")</f>
        <v/>
      </c>
      <c r="L1294" t="str">
        <f>T("6195246488")</f>
        <v>6195246488</v>
      </c>
    </row>
    <row r="1295" spans="1:12" x14ac:dyDescent="0.35">
      <c r="A1295" t="str">
        <f t="shared" si="492"/>
        <v>DFA, MATMAN APC NMCSD</v>
      </c>
      <c r="B1295" t="str">
        <f>T("DPH")</f>
        <v>DPH</v>
      </c>
      <c r="C1295" t="str">
        <f>T("2051 CUSHING RD")</f>
        <v>2051 CUSHING RD</v>
      </c>
      <c r="D1295" t="str">
        <f t="shared" si="493"/>
        <v>SAN DIEGO</v>
      </c>
      <c r="E1295" t="str">
        <f t="shared" si="494"/>
        <v>CA</v>
      </c>
      <c r="F1295" t="str">
        <f>T("921066173")</f>
        <v>921066173</v>
      </c>
      <c r="G1295" t="str">
        <f>T("NAVAL MEDICAL CENTER - SD")</f>
        <v>NAVAL MEDICAL CENTER - SD</v>
      </c>
      <c r="H1295" t="str">
        <f>T("34800 BOB WILSON DR")</f>
        <v>34800 BOB WILSON DR</v>
      </c>
      <c r="I1295" t="str">
        <f t="shared" si="495"/>
        <v>SAN DIEGO</v>
      </c>
      <c r="J1295" t="str">
        <f t="shared" si="496"/>
        <v>CA</v>
      </c>
      <c r="K1295" t="str">
        <f>T("000000000000000000")</f>
        <v>000000000000000000</v>
      </c>
      <c r="L1295" t="str">
        <f>T("6195246531")</f>
        <v>6195246531</v>
      </c>
    </row>
    <row r="1296" spans="1:12" x14ac:dyDescent="0.35">
      <c r="A1296" t="str">
        <f t="shared" si="492"/>
        <v>DFA, MATMAN APC NMCSD</v>
      </c>
      <c r="B1296" t="str">
        <f t="shared" ref="B1296:B1337" si="497">T("NAVAL MEDICAL CENTER - SD")</f>
        <v>NAVAL MEDICAL CENTER - SD</v>
      </c>
      <c r="C1296" t="str">
        <f t="shared" ref="C1296:C1301" si="498">T("34800 BOB WILSON DR")</f>
        <v>34800 BOB WILSON DR</v>
      </c>
      <c r="D1296" t="str">
        <f t="shared" si="493"/>
        <v>SAN DIEGO</v>
      </c>
      <c r="E1296" t="str">
        <f t="shared" si="494"/>
        <v>CA</v>
      </c>
      <c r="F1296" t="str">
        <f t="shared" ref="F1296:F1301" si="499">T("921341098")</f>
        <v>921341098</v>
      </c>
      <c r="G1296" t="str">
        <f>T("NAVAL MEDICAL CENTER - SD")</f>
        <v>NAVAL MEDICAL CENTER - SD</v>
      </c>
      <c r="H1296" t="str">
        <f>T("34800 BOB WILSON DR")</f>
        <v>34800 BOB WILSON DR</v>
      </c>
      <c r="I1296" t="str">
        <f t="shared" si="495"/>
        <v>SAN DIEGO</v>
      </c>
      <c r="J1296" t="str">
        <f t="shared" si="496"/>
        <v>CA</v>
      </c>
      <c r="K1296" t="str">
        <f>T("")</f>
        <v/>
      </c>
      <c r="L1296" t="str">
        <f>T("6195327756")</f>
        <v>6195327756</v>
      </c>
    </row>
    <row r="1297" spans="1:12" x14ac:dyDescent="0.35">
      <c r="A1297" t="str">
        <f t="shared" si="492"/>
        <v>DFA, MATMAN APC NMCSD</v>
      </c>
      <c r="B1297" t="str">
        <f t="shared" si="497"/>
        <v>NAVAL MEDICAL CENTER - SD</v>
      </c>
      <c r="C1297" t="str">
        <f t="shared" si="498"/>
        <v>34800 BOB WILSON DR</v>
      </c>
      <c r="D1297" t="str">
        <f t="shared" si="493"/>
        <v>SAN DIEGO</v>
      </c>
      <c r="E1297" t="str">
        <f t="shared" si="494"/>
        <v>CA</v>
      </c>
      <c r="F1297" t="str">
        <f t="shared" si="499"/>
        <v>921341098</v>
      </c>
      <c r="G1297" t="str">
        <f>T("NAVAL MEDICAL CENTER - SD")</f>
        <v>NAVAL MEDICAL CENTER - SD</v>
      </c>
      <c r="H1297" t="str">
        <f>T("34800 BOB WILSON DR")</f>
        <v>34800 BOB WILSON DR</v>
      </c>
      <c r="I1297" t="str">
        <f t="shared" si="495"/>
        <v>SAN DIEGO</v>
      </c>
      <c r="J1297" t="str">
        <f t="shared" si="496"/>
        <v>CA</v>
      </c>
      <c r="K1297" t="str">
        <f>T("")</f>
        <v/>
      </c>
      <c r="L1297" t="str">
        <f>T("6195327910")</f>
        <v>6195327910</v>
      </c>
    </row>
    <row r="1298" spans="1:12" x14ac:dyDescent="0.35">
      <c r="A1298" t="str">
        <f t="shared" si="492"/>
        <v>DFA, MATMAN APC NMCSD</v>
      </c>
      <c r="B1298" t="str">
        <f t="shared" si="497"/>
        <v>NAVAL MEDICAL CENTER - SD</v>
      </c>
      <c r="C1298" t="str">
        <f t="shared" si="498"/>
        <v>34800 BOB WILSON DR</v>
      </c>
      <c r="D1298" t="str">
        <f t="shared" si="493"/>
        <v>SAN DIEGO</v>
      </c>
      <c r="E1298" t="str">
        <f t="shared" si="494"/>
        <v>CA</v>
      </c>
      <c r="F1298" t="str">
        <f t="shared" si="499"/>
        <v>921341098</v>
      </c>
      <c r="G1298" t="str">
        <f>T("NAVAL MEDICAL CENTER - SD")</f>
        <v>NAVAL MEDICAL CENTER - SD</v>
      </c>
      <c r="H1298" t="str">
        <f>T("34800 BOB WILSON DRIVE")</f>
        <v>34800 BOB WILSON DRIVE</v>
      </c>
      <c r="I1298" t="str">
        <f t="shared" si="495"/>
        <v>SAN DIEGO</v>
      </c>
      <c r="J1298" t="str">
        <f t="shared" si="496"/>
        <v>CA</v>
      </c>
      <c r="K1298" t="str">
        <f>T("000000000000000000")</f>
        <v>000000000000000000</v>
      </c>
      <c r="L1298" t="str">
        <f>T("6195327430")</f>
        <v>6195327430</v>
      </c>
    </row>
    <row r="1299" spans="1:12" x14ac:dyDescent="0.35">
      <c r="A1299" t="str">
        <f t="shared" si="492"/>
        <v>DFA, MATMAN APC NMCSD</v>
      </c>
      <c r="B1299" t="str">
        <f t="shared" si="497"/>
        <v>NAVAL MEDICAL CENTER - SD</v>
      </c>
      <c r="C1299" t="str">
        <f t="shared" si="498"/>
        <v>34800 BOB WILSON DR</v>
      </c>
      <c r="D1299" t="str">
        <f t="shared" si="493"/>
        <v>SAN DIEGO</v>
      </c>
      <c r="E1299" t="str">
        <f t="shared" si="494"/>
        <v>CA</v>
      </c>
      <c r="F1299" t="str">
        <f t="shared" si="499"/>
        <v>921341098</v>
      </c>
      <c r="G1299" t="str">
        <f>T("NAVAL MEDICAL CENTER SAN DIEGO")</f>
        <v>NAVAL MEDICAL CENTER SAN DIEGO</v>
      </c>
      <c r="H1299" t="str">
        <f>T("34800 BOB WILSON DRIVE")</f>
        <v>34800 BOB WILSON DRIVE</v>
      </c>
      <c r="I1299" t="str">
        <f t="shared" si="495"/>
        <v>SAN DIEGO</v>
      </c>
      <c r="J1299" t="str">
        <f t="shared" si="496"/>
        <v>CA</v>
      </c>
      <c r="K1299" t="str">
        <f>T("000000000000000000")</f>
        <v>000000000000000000</v>
      </c>
      <c r="L1299" t="str">
        <f>T("6195325796")</f>
        <v>6195325796</v>
      </c>
    </row>
    <row r="1300" spans="1:12" x14ac:dyDescent="0.35">
      <c r="A1300" t="str">
        <f t="shared" si="492"/>
        <v>DFA, MATMAN APC NMCSD</v>
      </c>
      <c r="B1300" t="str">
        <f t="shared" si="497"/>
        <v>NAVAL MEDICAL CENTER - SD</v>
      </c>
      <c r="C1300" t="str">
        <f t="shared" si="498"/>
        <v>34800 BOB WILSON DR</v>
      </c>
      <c r="D1300" t="str">
        <f t="shared" si="493"/>
        <v>SAN DIEGO</v>
      </c>
      <c r="E1300" t="str">
        <f t="shared" si="494"/>
        <v>CA</v>
      </c>
      <c r="F1300" t="str">
        <f t="shared" si="499"/>
        <v>921341098</v>
      </c>
      <c r="G1300" t="str">
        <f>T("NAVAL MEDICAL CENTER SAN DIEGO")</f>
        <v>NAVAL MEDICAL CENTER SAN DIEGO</v>
      </c>
      <c r="H1300" t="str">
        <f>T("34800 BOB WILSON DRIVE")</f>
        <v>34800 BOB WILSON DRIVE</v>
      </c>
      <c r="I1300" t="str">
        <f t="shared" si="495"/>
        <v>SAN DIEGO</v>
      </c>
      <c r="J1300" t="str">
        <f t="shared" si="496"/>
        <v>CA</v>
      </c>
      <c r="K1300" t="str">
        <f>T("000000000000000000")</f>
        <v>000000000000000000</v>
      </c>
      <c r="L1300" t="str">
        <f>T("6195326081")</f>
        <v>6195326081</v>
      </c>
    </row>
    <row r="1301" spans="1:12" x14ac:dyDescent="0.35">
      <c r="A1301" t="str">
        <f t="shared" si="492"/>
        <v>DFA, MATMAN APC NMCSD</v>
      </c>
      <c r="B1301" t="str">
        <f t="shared" si="497"/>
        <v>NAVAL MEDICAL CENTER - SD</v>
      </c>
      <c r="C1301" t="str">
        <f t="shared" si="498"/>
        <v>34800 BOB WILSON DR</v>
      </c>
      <c r="D1301" t="str">
        <f t="shared" si="493"/>
        <v>SAN DIEGO</v>
      </c>
      <c r="E1301" t="str">
        <f t="shared" si="494"/>
        <v>CA</v>
      </c>
      <c r="F1301" t="str">
        <f t="shared" si="499"/>
        <v>921341098</v>
      </c>
      <c r="G1301" t="str">
        <f>T("NMCSD")</f>
        <v>NMCSD</v>
      </c>
      <c r="H1301" t="str">
        <f>T("34800 BOB WILSON DR")</f>
        <v>34800 BOB WILSON DR</v>
      </c>
      <c r="I1301" t="str">
        <f t="shared" si="495"/>
        <v>SAN DIEGO</v>
      </c>
      <c r="J1301" t="str">
        <f t="shared" si="496"/>
        <v>CA</v>
      </c>
      <c r="K1301" t="str">
        <f>T("000000000000000000")</f>
        <v>000000000000000000</v>
      </c>
      <c r="L1301" t="str">
        <f>T("6195327879")</f>
        <v>6195327879</v>
      </c>
    </row>
    <row r="1302" spans="1:12" x14ac:dyDescent="0.35">
      <c r="A1302" t="str">
        <f t="shared" si="492"/>
        <v>DFA, MATMAN APC NMCSD</v>
      </c>
      <c r="B1302" t="str">
        <f t="shared" si="497"/>
        <v>NAVAL MEDICAL CENTER - SD</v>
      </c>
      <c r="C1302" t="str">
        <f>T("34800 BOB WILSON DR - STE 8")</f>
        <v>34800 BOB WILSON DR - STE 8</v>
      </c>
      <c r="D1302" t="str">
        <f t="shared" si="493"/>
        <v>SAN DIEGO</v>
      </c>
      <c r="E1302" t="str">
        <f t="shared" si="494"/>
        <v>CA</v>
      </c>
      <c r="F1302" t="str">
        <f t="shared" ref="F1302:F1329" si="500">T("921341008")</f>
        <v>921341008</v>
      </c>
      <c r="G1302" t="str">
        <f>T("NAVAL MEDICAL CENTER - SD")</f>
        <v>NAVAL MEDICAL CENTER - SD</v>
      </c>
      <c r="H1302" t="str">
        <f>T("34800 BOB WILSON DR")</f>
        <v>34800 BOB WILSON DR</v>
      </c>
      <c r="I1302" t="str">
        <f t="shared" si="495"/>
        <v>SAN DIEGO</v>
      </c>
      <c r="J1302" t="str">
        <f t="shared" si="496"/>
        <v>CA</v>
      </c>
      <c r="K1302" t="str">
        <f>T("000000000000000000")</f>
        <v>000000000000000000</v>
      </c>
      <c r="L1302" t="str">
        <f>T("6195325482")</f>
        <v>6195325482</v>
      </c>
    </row>
    <row r="1303" spans="1:12" x14ac:dyDescent="0.35">
      <c r="A1303" t="str">
        <f t="shared" si="492"/>
        <v>DFA, MATMAN APC NMCSD</v>
      </c>
      <c r="B1303" t="str">
        <f t="shared" si="497"/>
        <v>NAVAL MEDICAL CENTER - SD</v>
      </c>
      <c r="C1303" t="str">
        <f>T("34800 BOB WILSON DR - STE 8")</f>
        <v>34800 BOB WILSON DR - STE 8</v>
      </c>
      <c r="D1303" t="str">
        <f t="shared" si="493"/>
        <v>SAN DIEGO</v>
      </c>
      <c r="E1303" t="str">
        <f t="shared" si="494"/>
        <v>CA</v>
      </c>
      <c r="F1303" t="str">
        <f t="shared" si="500"/>
        <v>921341008</v>
      </c>
      <c r="G1303" t="str">
        <f>T("NAVAL MEDICAL CENTER - SD")</f>
        <v>NAVAL MEDICAL CENTER - SD</v>
      </c>
      <c r="H1303" t="str">
        <f>T("34800 BOB WILSON DR - STE 8")</f>
        <v>34800 BOB WILSON DR - STE 8</v>
      </c>
      <c r="I1303" t="str">
        <f t="shared" si="495"/>
        <v>SAN DIEGO</v>
      </c>
      <c r="J1303" t="str">
        <f t="shared" si="496"/>
        <v>CA</v>
      </c>
      <c r="K1303" t="str">
        <f>T("")</f>
        <v/>
      </c>
      <c r="L1303" t="str">
        <f>T("6195329204")</f>
        <v>6195329204</v>
      </c>
    </row>
    <row r="1304" spans="1:12" x14ac:dyDescent="0.35">
      <c r="A1304" t="str">
        <f t="shared" si="492"/>
        <v>DFA, MATMAN APC NMCSD</v>
      </c>
      <c r="B1304" t="str">
        <f t="shared" si="497"/>
        <v>NAVAL MEDICAL CENTER - SD</v>
      </c>
      <c r="C1304" t="str">
        <f>T("34800 BOB WILSON DR - STE 8")</f>
        <v>34800 BOB WILSON DR - STE 8</v>
      </c>
      <c r="D1304" t="str">
        <f t="shared" si="493"/>
        <v>SAN DIEGO</v>
      </c>
      <c r="E1304" t="str">
        <f t="shared" si="494"/>
        <v>CA</v>
      </c>
      <c r="F1304" t="str">
        <f t="shared" si="500"/>
        <v>921341008</v>
      </c>
      <c r="G1304" t="str">
        <f>T("NAVAL MEDICAL CENTER-SD")</f>
        <v>NAVAL MEDICAL CENTER-SD</v>
      </c>
      <c r="H1304" t="str">
        <f>T("34800 BOB WILSON DRIVE")</f>
        <v>34800 BOB WILSON DRIVE</v>
      </c>
      <c r="I1304" t="str">
        <f t="shared" si="495"/>
        <v>SAN DIEGO</v>
      </c>
      <c r="J1304" t="str">
        <f t="shared" si="496"/>
        <v>CA</v>
      </c>
      <c r="K1304" t="str">
        <f t="shared" ref="K1304:K1312" si="501">T("000000000000000000")</f>
        <v>000000000000000000</v>
      </c>
      <c r="L1304" t="str">
        <f>T("6195328368")</f>
        <v>6195328368</v>
      </c>
    </row>
    <row r="1305" spans="1:12" x14ac:dyDescent="0.35">
      <c r="A1305" t="str">
        <f t="shared" si="492"/>
        <v>DFA, MATMAN APC NMCSD</v>
      </c>
      <c r="B1305" t="str">
        <f t="shared" si="497"/>
        <v>NAVAL MEDICAL CENTER - SD</v>
      </c>
      <c r="C1305" t="str">
        <f t="shared" ref="C1305:C1331" si="502">T("34800 BOB WILSON DR STE 8")</f>
        <v>34800 BOB WILSON DR STE 8</v>
      </c>
      <c r="D1305" t="str">
        <f t="shared" si="493"/>
        <v>SAN DIEGO</v>
      </c>
      <c r="E1305" t="str">
        <f t="shared" si="494"/>
        <v>CA</v>
      </c>
      <c r="F1305" t="str">
        <f t="shared" si="500"/>
        <v>921341008</v>
      </c>
      <c r="G1305" t="str">
        <f>T("34800 BOB WILSON DR")</f>
        <v>34800 BOB WILSON DR</v>
      </c>
      <c r="H1305" t="str">
        <f>T("")</f>
        <v/>
      </c>
      <c r="I1305" t="str">
        <f t="shared" si="495"/>
        <v>SAN DIEGO</v>
      </c>
      <c r="J1305" t="str">
        <f t="shared" si="496"/>
        <v>CA</v>
      </c>
      <c r="K1305" t="str">
        <f t="shared" si="501"/>
        <v>000000000000000000</v>
      </c>
      <c r="L1305" t="str">
        <f>T("6195329432")</f>
        <v>6195329432</v>
      </c>
    </row>
    <row r="1306" spans="1:12" x14ac:dyDescent="0.35">
      <c r="A1306" t="str">
        <f t="shared" si="492"/>
        <v>DFA, MATMAN APC NMCSD</v>
      </c>
      <c r="B1306" t="str">
        <f t="shared" si="497"/>
        <v>NAVAL MEDICAL CENTER - SD</v>
      </c>
      <c r="C1306" t="str">
        <f t="shared" si="502"/>
        <v>34800 BOB WILSON DR STE 8</v>
      </c>
      <c r="D1306" t="str">
        <f t="shared" si="493"/>
        <v>SAN DIEGO</v>
      </c>
      <c r="E1306" t="str">
        <f t="shared" si="494"/>
        <v>CA</v>
      </c>
      <c r="F1306" t="str">
        <f t="shared" si="500"/>
        <v>921341008</v>
      </c>
      <c r="G1306" t="str">
        <f>T("34800 BOB WILSON DRIVE")</f>
        <v>34800 BOB WILSON DRIVE</v>
      </c>
      <c r="H1306" t="str">
        <f>T("")</f>
        <v/>
      </c>
      <c r="I1306" t="str">
        <f t="shared" si="495"/>
        <v>SAN DIEGO</v>
      </c>
      <c r="J1306" t="str">
        <f t="shared" si="496"/>
        <v>CA</v>
      </c>
      <c r="K1306" t="str">
        <f t="shared" si="501"/>
        <v>000000000000000000</v>
      </c>
      <c r="L1306" t="str">
        <f>T("6195325369")</f>
        <v>6195325369</v>
      </c>
    </row>
    <row r="1307" spans="1:12" x14ac:dyDescent="0.35">
      <c r="A1307" t="str">
        <f t="shared" si="492"/>
        <v>DFA, MATMAN APC NMCSD</v>
      </c>
      <c r="B1307" t="str">
        <f t="shared" si="497"/>
        <v>NAVAL MEDICAL CENTER - SD</v>
      </c>
      <c r="C1307" t="str">
        <f t="shared" si="502"/>
        <v>34800 BOB WILSON DR STE 8</v>
      </c>
      <c r="D1307" t="str">
        <f t="shared" si="493"/>
        <v>SAN DIEGO</v>
      </c>
      <c r="E1307" t="str">
        <f t="shared" si="494"/>
        <v>CA</v>
      </c>
      <c r="F1307" t="str">
        <f t="shared" si="500"/>
        <v>921341008</v>
      </c>
      <c r="G1307" t="str">
        <f>T("34800 BOB WILSON DRIVE")</f>
        <v>34800 BOB WILSON DRIVE</v>
      </c>
      <c r="H1307" t="str">
        <f>T("")</f>
        <v/>
      </c>
      <c r="I1307" t="str">
        <f t="shared" si="495"/>
        <v>SAN DIEGO</v>
      </c>
      <c r="J1307" t="str">
        <f t="shared" si="496"/>
        <v>CA</v>
      </c>
      <c r="K1307" t="str">
        <f t="shared" si="501"/>
        <v>000000000000000000</v>
      </c>
      <c r="L1307" t="str">
        <f>T("6195329356")</f>
        <v>6195329356</v>
      </c>
    </row>
    <row r="1308" spans="1:12" x14ac:dyDescent="0.35">
      <c r="A1308" t="str">
        <f t="shared" si="492"/>
        <v>DFA, MATMAN APC NMCSD</v>
      </c>
      <c r="B1308" t="str">
        <f t="shared" si="497"/>
        <v>NAVAL MEDICAL CENTER - SD</v>
      </c>
      <c r="C1308" t="str">
        <f t="shared" si="502"/>
        <v>34800 BOB WILSON DR STE 8</v>
      </c>
      <c r="D1308" t="str">
        <f t="shared" si="493"/>
        <v>SAN DIEGO</v>
      </c>
      <c r="E1308" t="str">
        <f t="shared" si="494"/>
        <v>CA</v>
      </c>
      <c r="F1308" t="str">
        <f t="shared" si="500"/>
        <v>921341008</v>
      </c>
      <c r="G1308" t="str">
        <f>T("34800 BOB WILSON DRIVE SUITE 8")</f>
        <v>34800 BOB WILSON DRIVE SUITE 8</v>
      </c>
      <c r="H1308" t="str">
        <f>T("")</f>
        <v/>
      </c>
      <c r="I1308" t="str">
        <f t="shared" si="495"/>
        <v>SAN DIEGO</v>
      </c>
      <c r="J1308" t="str">
        <f t="shared" si="496"/>
        <v>CA</v>
      </c>
      <c r="K1308" t="str">
        <f t="shared" si="501"/>
        <v>000000000000000000</v>
      </c>
      <c r="L1308" t="str">
        <f>T("6195327739")</f>
        <v>6195327739</v>
      </c>
    </row>
    <row r="1309" spans="1:12" x14ac:dyDescent="0.35">
      <c r="A1309" t="str">
        <f t="shared" si="492"/>
        <v>DFA, MATMAN APC NMCSD</v>
      </c>
      <c r="B1309" t="str">
        <f t="shared" si="497"/>
        <v>NAVAL MEDICAL CENTER - SD</v>
      </c>
      <c r="C1309" t="str">
        <f t="shared" si="502"/>
        <v>34800 BOB WILSON DR STE 8</v>
      </c>
      <c r="D1309" t="str">
        <f t="shared" si="493"/>
        <v>SAN DIEGO</v>
      </c>
      <c r="E1309" t="str">
        <f t="shared" si="494"/>
        <v>CA</v>
      </c>
      <c r="F1309" t="str">
        <f t="shared" si="500"/>
        <v>921341008</v>
      </c>
      <c r="G1309" t="str">
        <f t="shared" ref="G1309:G1322" si="503">T("NAVAL MEDICAL CENTER - SD")</f>
        <v>NAVAL MEDICAL CENTER - SD</v>
      </c>
      <c r="H1309" t="str">
        <f>T("34800 BOB WILSON DR")</f>
        <v>34800 BOB WILSON DR</v>
      </c>
      <c r="I1309" t="str">
        <f t="shared" si="495"/>
        <v>SAN DIEGO</v>
      </c>
      <c r="J1309" t="str">
        <f t="shared" si="496"/>
        <v>CA</v>
      </c>
      <c r="K1309" t="str">
        <f t="shared" si="501"/>
        <v>000000000000000000</v>
      </c>
      <c r="L1309" t="str">
        <f>T("6195326064")</f>
        <v>6195326064</v>
      </c>
    </row>
    <row r="1310" spans="1:12" x14ac:dyDescent="0.35">
      <c r="A1310" t="str">
        <f t="shared" si="492"/>
        <v>DFA, MATMAN APC NMCSD</v>
      </c>
      <c r="B1310" t="str">
        <f t="shared" si="497"/>
        <v>NAVAL MEDICAL CENTER - SD</v>
      </c>
      <c r="C1310" t="str">
        <f t="shared" si="502"/>
        <v>34800 BOB WILSON DR STE 8</v>
      </c>
      <c r="D1310" t="str">
        <f t="shared" si="493"/>
        <v>SAN DIEGO</v>
      </c>
      <c r="E1310" t="str">
        <f t="shared" si="494"/>
        <v>CA</v>
      </c>
      <c r="F1310" t="str">
        <f t="shared" si="500"/>
        <v>921341008</v>
      </c>
      <c r="G1310" t="str">
        <f t="shared" si="503"/>
        <v>NAVAL MEDICAL CENTER - SD</v>
      </c>
      <c r="H1310" t="str">
        <f>T("34800 BOB WILSON DR")</f>
        <v>34800 BOB WILSON DR</v>
      </c>
      <c r="I1310" t="str">
        <f t="shared" si="495"/>
        <v>SAN DIEGO</v>
      </c>
      <c r="J1310" t="str">
        <f t="shared" si="496"/>
        <v>CA</v>
      </c>
      <c r="K1310" t="str">
        <f t="shared" si="501"/>
        <v>000000000000000000</v>
      </c>
      <c r="L1310" t="str">
        <f>T("6195326555")</f>
        <v>6195326555</v>
      </c>
    </row>
    <row r="1311" spans="1:12" x14ac:dyDescent="0.35">
      <c r="A1311" t="str">
        <f t="shared" si="492"/>
        <v>DFA, MATMAN APC NMCSD</v>
      </c>
      <c r="B1311" t="str">
        <f t="shared" si="497"/>
        <v>NAVAL MEDICAL CENTER - SD</v>
      </c>
      <c r="C1311" t="str">
        <f t="shared" si="502"/>
        <v>34800 BOB WILSON DR STE 8</v>
      </c>
      <c r="D1311" t="str">
        <f t="shared" si="493"/>
        <v>SAN DIEGO</v>
      </c>
      <c r="E1311" t="str">
        <f t="shared" si="494"/>
        <v>CA</v>
      </c>
      <c r="F1311" t="str">
        <f t="shared" si="500"/>
        <v>921341008</v>
      </c>
      <c r="G1311" t="str">
        <f t="shared" si="503"/>
        <v>NAVAL MEDICAL CENTER - SD</v>
      </c>
      <c r="H1311" t="str">
        <f>T("34800 BOB WILSON DR")</f>
        <v>34800 BOB WILSON DR</v>
      </c>
      <c r="I1311" t="str">
        <f t="shared" si="495"/>
        <v>SAN DIEGO</v>
      </c>
      <c r="J1311" t="str">
        <f t="shared" si="496"/>
        <v>CA</v>
      </c>
      <c r="K1311" t="str">
        <f t="shared" si="501"/>
        <v>000000000000000000</v>
      </c>
      <c r="L1311" t="str">
        <f>T("6195326620")</f>
        <v>6195326620</v>
      </c>
    </row>
    <row r="1312" spans="1:12" x14ac:dyDescent="0.35">
      <c r="A1312" t="str">
        <f t="shared" si="492"/>
        <v>DFA, MATMAN APC NMCSD</v>
      </c>
      <c r="B1312" t="str">
        <f t="shared" si="497"/>
        <v>NAVAL MEDICAL CENTER - SD</v>
      </c>
      <c r="C1312" t="str">
        <f t="shared" si="502"/>
        <v>34800 BOB WILSON DR STE 8</v>
      </c>
      <c r="D1312" t="str">
        <f t="shared" si="493"/>
        <v>SAN DIEGO</v>
      </c>
      <c r="E1312" t="str">
        <f t="shared" si="494"/>
        <v>CA</v>
      </c>
      <c r="F1312" t="str">
        <f t="shared" si="500"/>
        <v>921341008</v>
      </c>
      <c r="G1312" t="str">
        <f t="shared" si="503"/>
        <v>NAVAL MEDICAL CENTER - SD</v>
      </c>
      <c r="H1312" t="str">
        <f>T("34800 BOB WILSON DR")</f>
        <v>34800 BOB WILSON DR</v>
      </c>
      <c r="I1312" t="str">
        <f t="shared" si="495"/>
        <v>SAN DIEGO</v>
      </c>
      <c r="J1312" t="str">
        <f t="shared" si="496"/>
        <v>CA</v>
      </c>
      <c r="K1312" t="str">
        <f t="shared" si="501"/>
        <v>000000000000000000</v>
      </c>
      <c r="L1312" t="str">
        <f>T("6195326715")</f>
        <v>6195326715</v>
      </c>
    </row>
    <row r="1313" spans="1:12" x14ac:dyDescent="0.35">
      <c r="A1313" t="str">
        <f t="shared" ref="A1313:A1344" si="504">T("DFA, MATMAN APC NMCSD")</f>
        <v>DFA, MATMAN APC NMCSD</v>
      </c>
      <c r="B1313" t="str">
        <f t="shared" si="497"/>
        <v>NAVAL MEDICAL CENTER - SD</v>
      </c>
      <c r="C1313" t="str">
        <f t="shared" si="502"/>
        <v>34800 BOB WILSON DR STE 8</v>
      </c>
      <c r="D1313" t="str">
        <f t="shared" ref="D1313:D1344" si="505">T("SAN DIEGO")</f>
        <v>SAN DIEGO</v>
      </c>
      <c r="E1313" t="str">
        <f t="shared" ref="E1313:E1344" si="506">T("CA")</f>
        <v>CA</v>
      </c>
      <c r="F1313" t="str">
        <f t="shared" si="500"/>
        <v>921341008</v>
      </c>
      <c r="G1313" t="str">
        <f t="shared" si="503"/>
        <v>NAVAL MEDICAL CENTER - SD</v>
      </c>
      <c r="H1313" t="str">
        <f t="shared" ref="H1313:H1321" si="507">T("34800 BOB WILSON DR STE 8")</f>
        <v>34800 BOB WILSON DR STE 8</v>
      </c>
      <c r="I1313" t="str">
        <f t="shared" ref="I1313:I1342" si="508">T("SAN DIEGO")</f>
        <v>SAN DIEGO</v>
      </c>
      <c r="J1313" t="str">
        <f t="shared" ref="J1313:J1344" si="509">T("CA")</f>
        <v>CA</v>
      </c>
      <c r="K1313" t="str">
        <f t="shared" ref="K1313:K1320" si="510">T("")</f>
        <v/>
      </c>
      <c r="L1313" t="str">
        <f>T("6195325527")</f>
        <v>6195325527</v>
      </c>
    </row>
    <row r="1314" spans="1:12" x14ac:dyDescent="0.35">
      <c r="A1314" t="str">
        <f t="shared" si="504"/>
        <v>DFA, MATMAN APC NMCSD</v>
      </c>
      <c r="B1314" t="str">
        <f t="shared" si="497"/>
        <v>NAVAL MEDICAL CENTER - SD</v>
      </c>
      <c r="C1314" t="str">
        <f t="shared" si="502"/>
        <v>34800 BOB WILSON DR STE 8</v>
      </c>
      <c r="D1314" t="str">
        <f t="shared" si="505"/>
        <v>SAN DIEGO</v>
      </c>
      <c r="E1314" t="str">
        <f t="shared" si="506"/>
        <v>CA</v>
      </c>
      <c r="F1314" t="str">
        <f t="shared" si="500"/>
        <v>921341008</v>
      </c>
      <c r="G1314" t="str">
        <f t="shared" si="503"/>
        <v>NAVAL MEDICAL CENTER - SD</v>
      </c>
      <c r="H1314" t="str">
        <f t="shared" si="507"/>
        <v>34800 BOB WILSON DR STE 8</v>
      </c>
      <c r="I1314" t="str">
        <f t="shared" si="508"/>
        <v>SAN DIEGO</v>
      </c>
      <c r="J1314" t="str">
        <f t="shared" si="509"/>
        <v>CA</v>
      </c>
      <c r="K1314" t="str">
        <f t="shared" si="510"/>
        <v/>
      </c>
      <c r="L1314" t="str">
        <f>T("6195325909")</f>
        <v>6195325909</v>
      </c>
    </row>
    <row r="1315" spans="1:12" x14ac:dyDescent="0.35">
      <c r="A1315" t="str">
        <f t="shared" si="504"/>
        <v>DFA, MATMAN APC NMCSD</v>
      </c>
      <c r="B1315" t="str">
        <f t="shared" si="497"/>
        <v>NAVAL MEDICAL CENTER - SD</v>
      </c>
      <c r="C1315" t="str">
        <f t="shared" si="502"/>
        <v>34800 BOB WILSON DR STE 8</v>
      </c>
      <c r="D1315" t="str">
        <f t="shared" si="505"/>
        <v>SAN DIEGO</v>
      </c>
      <c r="E1315" t="str">
        <f t="shared" si="506"/>
        <v>CA</v>
      </c>
      <c r="F1315" t="str">
        <f t="shared" si="500"/>
        <v>921341008</v>
      </c>
      <c r="G1315" t="str">
        <f t="shared" si="503"/>
        <v>NAVAL MEDICAL CENTER - SD</v>
      </c>
      <c r="H1315" t="str">
        <f t="shared" si="507"/>
        <v>34800 BOB WILSON DR STE 8</v>
      </c>
      <c r="I1315" t="str">
        <f t="shared" si="508"/>
        <v>SAN DIEGO</v>
      </c>
      <c r="J1315" t="str">
        <f t="shared" si="509"/>
        <v>CA</v>
      </c>
      <c r="K1315" t="str">
        <f t="shared" si="510"/>
        <v/>
      </c>
      <c r="L1315" t="str">
        <f>T("6195326402")</f>
        <v>6195326402</v>
      </c>
    </row>
    <row r="1316" spans="1:12" x14ac:dyDescent="0.35">
      <c r="A1316" t="str">
        <f t="shared" si="504"/>
        <v>DFA, MATMAN APC NMCSD</v>
      </c>
      <c r="B1316" t="str">
        <f t="shared" si="497"/>
        <v>NAVAL MEDICAL CENTER - SD</v>
      </c>
      <c r="C1316" t="str">
        <f t="shared" si="502"/>
        <v>34800 BOB WILSON DR STE 8</v>
      </c>
      <c r="D1316" t="str">
        <f t="shared" si="505"/>
        <v>SAN DIEGO</v>
      </c>
      <c r="E1316" t="str">
        <f t="shared" si="506"/>
        <v>CA</v>
      </c>
      <c r="F1316" t="str">
        <f t="shared" si="500"/>
        <v>921341008</v>
      </c>
      <c r="G1316" t="str">
        <f t="shared" si="503"/>
        <v>NAVAL MEDICAL CENTER - SD</v>
      </c>
      <c r="H1316" t="str">
        <f t="shared" si="507"/>
        <v>34800 BOB WILSON DR STE 8</v>
      </c>
      <c r="I1316" t="str">
        <f t="shared" si="508"/>
        <v>SAN DIEGO</v>
      </c>
      <c r="J1316" t="str">
        <f t="shared" si="509"/>
        <v>CA</v>
      </c>
      <c r="K1316" t="str">
        <f t="shared" si="510"/>
        <v/>
      </c>
      <c r="L1316" t="str">
        <f>T("6195326628")</f>
        <v>6195326628</v>
      </c>
    </row>
    <row r="1317" spans="1:12" x14ac:dyDescent="0.35">
      <c r="A1317" t="str">
        <f t="shared" si="504"/>
        <v>DFA, MATMAN APC NMCSD</v>
      </c>
      <c r="B1317" t="str">
        <f t="shared" si="497"/>
        <v>NAVAL MEDICAL CENTER - SD</v>
      </c>
      <c r="C1317" t="str">
        <f t="shared" si="502"/>
        <v>34800 BOB WILSON DR STE 8</v>
      </c>
      <c r="D1317" t="str">
        <f t="shared" si="505"/>
        <v>SAN DIEGO</v>
      </c>
      <c r="E1317" t="str">
        <f t="shared" si="506"/>
        <v>CA</v>
      </c>
      <c r="F1317" t="str">
        <f t="shared" si="500"/>
        <v>921341008</v>
      </c>
      <c r="G1317" t="str">
        <f t="shared" si="503"/>
        <v>NAVAL MEDICAL CENTER - SD</v>
      </c>
      <c r="H1317" t="str">
        <f t="shared" si="507"/>
        <v>34800 BOB WILSON DR STE 8</v>
      </c>
      <c r="I1317" t="str">
        <f t="shared" si="508"/>
        <v>SAN DIEGO</v>
      </c>
      <c r="J1317" t="str">
        <f t="shared" si="509"/>
        <v>CA</v>
      </c>
      <c r="K1317" t="str">
        <f t="shared" si="510"/>
        <v/>
      </c>
      <c r="L1317" t="str">
        <f>T("6195328079")</f>
        <v>6195328079</v>
      </c>
    </row>
    <row r="1318" spans="1:12" x14ac:dyDescent="0.35">
      <c r="A1318" t="str">
        <f t="shared" si="504"/>
        <v>DFA, MATMAN APC NMCSD</v>
      </c>
      <c r="B1318" t="str">
        <f t="shared" si="497"/>
        <v>NAVAL MEDICAL CENTER - SD</v>
      </c>
      <c r="C1318" t="str">
        <f t="shared" si="502"/>
        <v>34800 BOB WILSON DR STE 8</v>
      </c>
      <c r="D1318" t="str">
        <f t="shared" si="505"/>
        <v>SAN DIEGO</v>
      </c>
      <c r="E1318" t="str">
        <f t="shared" si="506"/>
        <v>CA</v>
      </c>
      <c r="F1318" t="str">
        <f t="shared" si="500"/>
        <v>921341008</v>
      </c>
      <c r="G1318" t="str">
        <f t="shared" si="503"/>
        <v>NAVAL MEDICAL CENTER - SD</v>
      </c>
      <c r="H1318" t="str">
        <f t="shared" si="507"/>
        <v>34800 BOB WILSON DR STE 8</v>
      </c>
      <c r="I1318" t="str">
        <f t="shared" si="508"/>
        <v>SAN DIEGO</v>
      </c>
      <c r="J1318" t="str">
        <f t="shared" si="509"/>
        <v>CA</v>
      </c>
      <c r="K1318" t="str">
        <f t="shared" si="510"/>
        <v/>
      </c>
      <c r="L1318" t="str">
        <f>T("6195328863")</f>
        <v>6195328863</v>
      </c>
    </row>
    <row r="1319" spans="1:12" x14ac:dyDescent="0.35">
      <c r="A1319" t="str">
        <f t="shared" si="504"/>
        <v>DFA, MATMAN APC NMCSD</v>
      </c>
      <c r="B1319" t="str">
        <f t="shared" si="497"/>
        <v>NAVAL MEDICAL CENTER - SD</v>
      </c>
      <c r="C1319" t="str">
        <f t="shared" si="502"/>
        <v>34800 BOB WILSON DR STE 8</v>
      </c>
      <c r="D1319" t="str">
        <f t="shared" si="505"/>
        <v>SAN DIEGO</v>
      </c>
      <c r="E1319" t="str">
        <f t="shared" si="506"/>
        <v>CA</v>
      </c>
      <c r="F1319" t="str">
        <f t="shared" si="500"/>
        <v>921341008</v>
      </c>
      <c r="G1319" t="str">
        <f t="shared" si="503"/>
        <v>NAVAL MEDICAL CENTER - SD</v>
      </c>
      <c r="H1319" t="str">
        <f t="shared" si="507"/>
        <v>34800 BOB WILSON DR STE 8</v>
      </c>
      <c r="I1319" t="str">
        <f t="shared" si="508"/>
        <v>SAN DIEGO</v>
      </c>
      <c r="J1319" t="str">
        <f t="shared" si="509"/>
        <v>CA</v>
      </c>
      <c r="K1319" t="str">
        <f t="shared" si="510"/>
        <v/>
      </c>
      <c r="L1319" t="str">
        <f>T("6195329213")</f>
        <v>6195329213</v>
      </c>
    </row>
    <row r="1320" spans="1:12" x14ac:dyDescent="0.35">
      <c r="A1320" t="str">
        <f t="shared" si="504"/>
        <v>DFA, MATMAN APC NMCSD</v>
      </c>
      <c r="B1320" t="str">
        <f t="shared" si="497"/>
        <v>NAVAL MEDICAL CENTER - SD</v>
      </c>
      <c r="C1320" t="str">
        <f t="shared" si="502"/>
        <v>34800 BOB WILSON DR STE 8</v>
      </c>
      <c r="D1320" t="str">
        <f t="shared" si="505"/>
        <v>SAN DIEGO</v>
      </c>
      <c r="E1320" t="str">
        <f t="shared" si="506"/>
        <v>CA</v>
      </c>
      <c r="F1320" t="str">
        <f t="shared" si="500"/>
        <v>921341008</v>
      </c>
      <c r="G1320" t="str">
        <f t="shared" si="503"/>
        <v>NAVAL MEDICAL CENTER - SD</v>
      </c>
      <c r="H1320" t="str">
        <f t="shared" si="507"/>
        <v>34800 BOB WILSON DR STE 8</v>
      </c>
      <c r="I1320" t="str">
        <f t="shared" si="508"/>
        <v>SAN DIEGO</v>
      </c>
      <c r="J1320" t="str">
        <f t="shared" si="509"/>
        <v>CA</v>
      </c>
      <c r="K1320" t="str">
        <f t="shared" si="510"/>
        <v/>
      </c>
      <c r="L1320" t="str">
        <f>T("6197445354")</f>
        <v>6197445354</v>
      </c>
    </row>
    <row r="1321" spans="1:12" x14ac:dyDescent="0.35">
      <c r="A1321" t="str">
        <f t="shared" si="504"/>
        <v>DFA, MATMAN APC NMCSD</v>
      </c>
      <c r="B1321" t="str">
        <f t="shared" si="497"/>
        <v>NAVAL MEDICAL CENTER - SD</v>
      </c>
      <c r="C1321" t="str">
        <f t="shared" si="502"/>
        <v>34800 BOB WILSON DR STE 8</v>
      </c>
      <c r="D1321" t="str">
        <f t="shared" si="505"/>
        <v>SAN DIEGO</v>
      </c>
      <c r="E1321" t="str">
        <f t="shared" si="506"/>
        <v>CA</v>
      </c>
      <c r="F1321" t="str">
        <f t="shared" si="500"/>
        <v>921341008</v>
      </c>
      <c r="G1321" t="str">
        <f t="shared" si="503"/>
        <v>NAVAL MEDICAL CENTER - SD</v>
      </c>
      <c r="H1321" t="str">
        <f t="shared" si="507"/>
        <v>34800 BOB WILSON DR STE 8</v>
      </c>
      <c r="I1321" t="str">
        <f t="shared" si="508"/>
        <v>SAN DIEGO</v>
      </c>
      <c r="J1321" t="str">
        <f t="shared" si="509"/>
        <v>CA</v>
      </c>
      <c r="K1321" t="str">
        <f>T("6195329889")</f>
        <v>6195329889</v>
      </c>
      <c r="L1321" t="str">
        <f>T("6195325527")</f>
        <v>6195325527</v>
      </c>
    </row>
    <row r="1322" spans="1:12" x14ac:dyDescent="0.35">
      <c r="A1322" t="str">
        <f t="shared" si="504"/>
        <v>DFA, MATMAN APC NMCSD</v>
      </c>
      <c r="B1322" t="str">
        <f t="shared" si="497"/>
        <v>NAVAL MEDICAL CENTER - SD</v>
      </c>
      <c r="C1322" t="str">
        <f t="shared" si="502"/>
        <v>34800 BOB WILSON DR STE 8</v>
      </c>
      <c r="D1322" t="str">
        <f t="shared" si="505"/>
        <v>SAN DIEGO</v>
      </c>
      <c r="E1322" t="str">
        <f t="shared" si="506"/>
        <v>CA</v>
      </c>
      <c r="F1322" t="str">
        <f t="shared" si="500"/>
        <v>921341008</v>
      </c>
      <c r="G1322" t="str">
        <f t="shared" si="503"/>
        <v>NAVAL MEDICAL CENTER - SD</v>
      </c>
      <c r="H1322" t="str">
        <f>T("34800 BOB WILSON DRIVE")</f>
        <v>34800 BOB WILSON DRIVE</v>
      </c>
      <c r="I1322" t="str">
        <f t="shared" si="508"/>
        <v>SAN DIEGO</v>
      </c>
      <c r="J1322" t="str">
        <f t="shared" si="509"/>
        <v>CA</v>
      </c>
      <c r="K1322" t="str">
        <f t="shared" ref="K1322:K1331" si="511">T("000000000000000000")</f>
        <v>000000000000000000</v>
      </c>
      <c r="L1322" t="str">
        <f>T("6197445372")</f>
        <v>6197445372</v>
      </c>
    </row>
    <row r="1323" spans="1:12" x14ac:dyDescent="0.35">
      <c r="A1323" t="str">
        <f t="shared" si="504"/>
        <v>DFA, MATMAN APC NMCSD</v>
      </c>
      <c r="B1323" t="str">
        <f t="shared" si="497"/>
        <v>NAVAL MEDICAL CENTER - SD</v>
      </c>
      <c r="C1323" t="str">
        <f t="shared" si="502"/>
        <v>34800 BOB WILSON DR STE 8</v>
      </c>
      <c r="D1323" t="str">
        <f t="shared" si="505"/>
        <v>SAN DIEGO</v>
      </c>
      <c r="E1323" t="str">
        <f t="shared" si="506"/>
        <v>CA</v>
      </c>
      <c r="F1323" t="str">
        <f t="shared" si="500"/>
        <v>921341008</v>
      </c>
      <c r="G1323" t="str">
        <f>T("NAVAL MEDICAL CENTER SAN DIEGO")</f>
        <v>NAVAL MEDICAL CENTER SAN DIEGO</v>
      </c>
      <c r="H1323" t="str">
        <f>T("34800 BOB WILSON DRIVE")</f>
        <v>34800 BOB WILSON DRIVE</v>
      </c>
      <c r="I1323" t="str">
        <f t="shared" si="508"/>
        <v>SAN DIEGO</v>
      </c>
      <c r="J1323" t="str">
        <f t="shared" si="509"/>
        <v>CA</v>
      </c>
      <c r="K1323" t="str">
        <f t="shared" si="511"/>
        <v>000000000000000000</v>
      </c>
      <c r="L1323" t="str">
        <f>T("6195325393")</f>
        <v>6195325393</v>
      </c>
    </row>
    <row r="1324" spans="1:12" x14ac:dyDescent="0.35">
      <c r="A1324" t="str">
        <f t="shared" si="504"/>
        <v>DFA, MATMAN APC NMCSD</v>
      </c>
      <c r="B1324" t="str">
        <f t="shared" si="497"/>
        <v>NAVAL MEDICAL CENTER - SD</v>
      </c>
      <c r="C1324" t="str">
        <f t="shared" si="502"/>
        <v>34800 BOB WILSON DR STE 8</v>
      </c>
      <c r="D1324" t="str">
        <f t="shared" si="505"/>
        <v>SAN DIEGO</v>
      </c>
      <c r="E1324" t="str">
        <f t="shared" si="506"/>
        <v>CA</v>
      </c>
      <c r="F1324" t="str">
        <f t="shared" si="500"/>
        <v>921341008</v>
      </c>
      <c r="G1324" t="str">
        <f>T("NAVAL MEDICAL CENTER SAN DIEGO")</f>
        <v>NAVAL MEDICAL CENTER SAN DIEGO</v>
      </c>
      <c r="H1324" t="str">
        <f>T("34800 BOB WILSON DRIVE")</f>
        <v>34800 BOB WILSON DRIVE</v>
      </c>
      <c r="I1324" t="str">
        <f t="shared" si="508"/>
        <v>SAN DIEGO</v>
      </c>
      <c r="J1324" t="str">
        <f t="shared" si="509"/>
        <v>CA</v>
      </c>
      <c r="K1324" t="str">
        <f t="shared" si="511"/>
        <v>000000000000000000</v>
      </c>
      <c r="L1324" t="str">
        <f>T("6195326535")</f>
        <v>6195326535</v>
      </c>
    </row>
    <row r="1325" spans="1:12" x14ac:dyDescent="0.35">
      <c r="A1325" t="str">
        <f t="shared" si="504"/>
        <v>DFA, MATMAN APC NMCSD</v>
      </c>
      <c r="B1325" t="str">
        <f t="shared" si="497"/>
        <v>NAVAL MEDICAL CENTER - SD</v>
      </c>
      <c r="C1325" t="str">
        <f t="shared" si="502"/>
        <v>34800 BOB WILSON DR STE 8</v>
      </c>
      <c r="D1325" t="str">
        <f t="shared" si="505"/>
        <v>SAN DIEGO</v>
      </c>
      <c r="E1325" t="str">
        <f t="shared" si="506"/>
        <v>CA</v>
      </c>
      <c r="F1325" t="str">
        <f t="shared" si="500"/>
        <v>921341008</v>
      </c>
      <c r="G1325" t="str">
        <f>T("NAVAL MEDICAL CENTER SAN DIEGO")</f>
        <v>NAVAL MEDICAL CENTER SAN DIEGO</v>
      </c>
      <c r="H1325" t="str">
        <f>T("34800 BOB WILSON DRIVE")</f>
        <v>34800 BOB WILSON DRIVE</v>
      </c>
      <c r="I1325" t="str">
        <f t="shared" si="508"/>
        <v>SAN DIEGO</v>
      </c>
      <c r="J1325" t="str">
        <f t="shared" si="509"/>
        <v>CA</v>
      </c>
      <c r="K1325" t="str">
        <f t="shared" si="511"/>
        <v>000000000000000000</v>
      </c>
      <c r="L1325" t="str">
        <f>T("6195327729")</f>
        <v>6195327729</v>
      </c>
    </row>
    <row r="1326" spans="1:12" x14ac:dyDescent="0.35">
      <c r="A1326" t="str">
        <f t="shared" si="504"/>
        <v>DFA, MATMAN APC NMCSD</v>
      </c>
      <c r="B1326" t="str">
        <f t="shared" si="497"/>
        <v>NAVAL MEDICAL CENTER - SD</v>
      </c>
      <c r="C1326" t="str">
        <f t="shared" si="502"/>
        <v>34800 BOB WILSON DR STE 8</v>
      </c>
      <c r="D1326" t="str">
        <f t="shared" si="505"/>
        <v>SAN DIEGO</v>
      </c>
      <c r="E1326" t="str">
        <f t="shared" si="506"/>
        <v>CA</v>
      </c>
      <c r="F1326" t="str">
        <f t="shared" si="500"/>
        <v>921341008</v>
      </c>
      <c r="G1326" t="str">
        <f>T("NAVAL MEDICAL CENTER-SD")</f>
        <v>NAVAL MEDICAL CENTER-SD</v>
      </c>
      <c r="H1326" t="str">
        <f>T("34800 BOB WILSON DRIVE")</f>
        <v>34800 BOB WILSON DRIVE</v>
      </c>
      <c r="I1326" t="str">
        <f t="shared" si="508"/>
        <v>SAN DIEGO</v>
      </c>
      <c r="J1326" t="str">
        <f t="shared" si="509"/>
        <v>CA</v>
      </c>
      <c r="K1326" t="str">
        <f t="shared" si="511"/>
        <v>000000000000000000</v>
      </c>
      <c r="L1326" t="str">
        <f>T("6195328863")</f>
        <v>6195328863</v>
      </c>
    </row>
    <row r="1327" spans="1:12" x14ac:dyDescent="0.35">
      <c r="A1327" t="str">
        <f t="shared" si="504"/>
        <v>DFA, MATMAN APC NMCSD</v>
      </c>
      <c r="B1327" t="str">
        <f t="shared" si="497"/>
        <v>NAVAL MEDICAL CENTER - SD</v>
      </c>
      <c r="C1327" t="str">
        <f t="shared" si="502"/>
        <v>34800 BOB WILSON DR STE 8</v>
      </c>
      <c r="D1327" t="str">
        <f t="shared" si="505"/>
        <v>SAN DIEGO</v>
      </c>
      <c r="E1327" t="str">
        <f t="shared" si="506"/>
        <v>CA</v>
      </c>
      <c r="F1327" t="str">
        <f t="shared" si="500"/>
        <v>921341008</v>
      </c>
      <c r="G1327" t="str">
        <f>T("NMC-SD")</f>
        <v>NMC-SD</v>
      </c>
      <c r="H1327" t="str">
        <f>T("34800 BOB WILSON DR")</f>
        <v>34800 BOB WILSON DR</v>
      </c>
      <c r="I1327" t="str">
        <f t="shared" si="508"/>
        <v>SAN DIEGO</v>
      </c>
      <c r="J1327" t="str">
        <f t="shared" si="509"/>
        <v>CA</v>
      </c>
      <c r="K1327" t="str">
        <f t="shared" si="511"/>
        <v>000000000000000000</v>
      </c>
      <c r="L1327" t="str">
        <f>T("6195327287")</f>
        <v>6195327287</v>
      </c>
    </row>
    <row r="1328" spans="1:12" x14ac:dyDescent="0.35">
      <c r="A1328" t="str">
        <f t="shared" si="504"/>
        <v>DFA, MATMAN APC NMCSD</v>
      </c>
      <c r="B1328" t="str">
        <f t="shared" si="497"/>
        <v>NAVAL MEDICAL CENTER - SD</v>
      </c>
      <c r="C1328" t="str">
        <f t="shared" si="502"/>
        <v>34800 BOB WILSON DR STE 8</v>
      </c>
      <c r="D1328" t="str">
        <f t="shared" si="505"/>
        <v>SAN DIEGO</v>
      </c>
      <c r="E1328" t="str">
        <f t="shared" si="506"/>
        <v>CA</v>
      </c>
      <c r="F1328" t="str">
        <f t="shared" si="500"/>
        <v>921341008</v>
      </c>
      <c r="G1328" t="str">
        <f>T("NMCSD")</f>
        <v>NMCSD</v>
      </c>
      <c r="H1328" t="str">
        <f>T("34800 BOB WILSON DR")</f>
        <v>34800 BOB WILSON DR</v>
      </c>
      <c r="I1328" t="str">
        <f t="shared" si="508"/>
        <v>SAN DIEGO</v>
      </c>
      <c r="J1328" t="str">
        <f t="shared" si="509"/>
        <v>CA</v>
      </c>
      <c r="K1328" t="str">
        <f t="shared" si="511"/>
        <v>000000000000000000</v>
      </c>
      <c r="L1328" t="str">
        <f>T("6195325360")</f>
        <v>6195325360</v>
      </c>
    </row>
    <row r="1329" spans="1:12" x14ac:dyDescent="0.35">
      <c r="A1329" t="str">
        <f t="shared" si="504"/>
        <v>DFA, MATMAN APC NMCSD</v>
      </c>
      <c r="B1329" t="str">
        <f t="shared" si="497"/>
        <v>NAVAL MEDICAL CENTER - SD</v>
      </c>
      <c r="C1329" t="str">
        <f t="shared" si="502"/>
        <v>34800 BOB WILSON DR STE 8</v>
      </c>
      <c r="D1329" t="str">
        <f t="shared" si="505"/>
        <v>SAN DIEGO</v>
      </c>
      <c r="E1329" t="str">
        <f t="shared" si="506"/>
        <v>CA</v>
      </c>
      <c r="F1329" t="str">
        <f t="shared" si="500"/>
        <v>921341008</v>
      </c>
      <c r="G1329" t="str">
        <f>T("NMCSD")</f>
        <v>NMCSD</v>
      </c>
      <c r="H1329" t="str">
        <f>T("34800 BOB WILSON DRIVE")</f>
        <v>34800 BOB WILSON DRIVE</v>
      </c>
      <c r="I1329" t="str">
        <f t="shared" si="508"/>
        <v>SAN DIEGO</v>
      </c>
      <c r="J1329" t="str">
        <f t="shared" si="509"/>
        <v>CA</v>
      </c>
      <c r="K1329" t="str">
        <f t="shared" si="511"/>
        <v>000000000000000000</v>
      </c>
      <c r="L1329" t="str">
        <f>T("6195326539")</f>
        <v>6195326539</v>
      </c>
    </row>
    <row r="1330" spans="1:12" x14ac:dyDescent="0.35">
      <c r="A1330" t="str">
        <f t="shared" si="504"/>
        <v>DFA, MATMAN APC NMCSD</v>
      </c>
      <c r="B1330" t="str">
        <f t="shared" si="497"/>
        <v>NAVAL MEDICAL CENTER - SD</v>
      </c>
      <c r="C1330" t="str">
        <f t="shared" si="502"/>
        <v>34800 BOB WILSON DR STE 8</v>
      </c>
      <c r="D1330" t="str">
        <f t="shared" si="505"/>
        <v>SAN DIEGO</v>
      </c>
      <c r="E1330" t="str">
        <f t="shared" si="506"/>
        <v>CA</v>
      </c>
      <c r="F1330" t="str">
        <f>T("921341098")</f>
        <v>921341098</v>
      </c>
      <c r="G1330" t="str">
        <f>T("NAVAL MEDICAL CENTER - SD")</f>
        <v>NAVAL MEDICAL CENTER - SD</v>
      </c>
      <c r="H1330" t="str">
        <f>T("34800 BOB WILSON DR STE 8")</f>
        <v>34800 BOB WILSON DR STE 8</v>
      </c>
      <c r="I1330" t="str">
        <f t="shared" si="508"/>
        <v>SAN DIEGO</v>
      </c>
      <c r="J1330" t="str">
        <f t="shared" si="509"/>
        <v>CA</v>
      </c>
      <c r="K1330" t="str">
        <f t="shared" si="511"/>
        <v>000000000000000000</v>
      </c>
      <c r="L1330" t="str">
        <f>T("6195329213")</f>
        <v>6195329213</v>
      </c>
    </row>
    <row r="1331" spans="1:12" x14ac:dyDescent="0.35">
      <c r="A1331" t="str">
        <f t="shared" si="504"/>
        <v>DFA, MATMAN APC NMCSD</v>
      </c>
      <c r="B1331" t="str">
        <f t="shared" si="497"/>
        <v>NAVAL MEDICAL CENTER - SD</v>
      </c>
      <c r="C1331" t="str">
        <f t="shared" si="502"/>
        <v>34800 BOB WILSON DR STE 8</v>
      </c>
      <c r="D1331" t="str">
        <f t="shared" si="505"/>
        <v>SAN DIEGO</v>
      </c>
      <c r="E1331" t="str">
        <f t="shared" si="506"/>
        <v>CA</v>
      </c>
      <c r="F1331" t="str">
        <f>T("921341098")</f>
        <v>921341098</v>
      </c>
      <c r="G1331" t="str">
        <f>T("NMCSD")</f>
        <v>NMCSD</v>
      </c>
      <c r="H1331" t="str">
        <f>T("34800 BOB WILSON DR")</f>
        <v>34800 BOB WILSON DR</v>
      </c>
      <c r="I1331" t="str">
        <f t="shared" si="508"/>
        <v>SAN DIEGO</v>
      </c>
      <c r="J1331" t="str">
        <f t="shared" si="509"/>
        <v>CA</v>
      </c>
      <c r="K1331" t="str">
        <f t="shared" si="511"/>
        <v>000000000000000000</v>
      </c>
      <c r="L1331" t="str">
        <f>T("6195327138")</f>
        <v>6195327138</v>
      </c>
    </row>
    <row r="1332" spans="1:12" x14ac:dyDescent="0.35">
      <c r="A1332" t="str">
        <f t="shared" si="504"/>
        <v>DFA, MATMAN APC NMCSD</v>
      </c>
      <c r="B1332" t="str">
        <f t="shared" si="497"/>
        <v>NAVAL MEDICAL CENTER - SD</v>
      </c>
      <c r="C1332" t="str">
        <f>T("34800 BOB WILSON DRIVE")</f>
        <v>34800 BOB WILSON DRIVE</v>
      </c>
      <c r="D1332" t="str">
        <f t="shared" si="505"/>
        <v>SAN DIEGO</v>
      </c>
      <c r="E1332" t="str">
        <f t="shared" si="506"/>
        <v>CA</v>
      </c>
      <c r="F1332" t="str">
        <f>T("921360001")</f>
        <v>921360001</v>
      </c>
      <c r="G1332" t="str">
        <f>T("NAVAL MEDICAL CENTER - SD")</f>
        <v>NAVAL MEDICAL CENTER - SD</v>
      </c>
      <c r="H1332" t="str">
        <f>T("34800 BOB WILSON DRIVE")</f>
        <v>34800 BOB WILSON DRIVE</v>
      </c>
      <c r="I1332" t="str">
        <f t="shared" si="508"/>
        <v>SAN DIEGO</v>
      </c>
      <c r="J1332" t="str">
        <f t="shared" si="509"/>
        <v>CA</v>
      </c>
      <c r="K1332" t="str">
        <f>T("")</f>
        <v/>
      </c>
      <c r="L1332" t="str">
        <f>T("8585779974")</f>
        <v>8585779974</v>
      </c>
    </row>
    <row r="1333" spans="1:12" x14ac:dyDescent="0.35">
      <c r="A1333" t="str">
        <f t="shared" si="504"/>
        <v>DFA, MATMAN APC NMCSD</v>
      </c>
      <c r="B1333" t="str">
        <f t="shared" si="497"/>
        <v>NAVAL MEDICAL CENTER - SD</v>
      </c>
      <c r="C1333" t="str">
        <f>T("34800 BOB WILSON DRIVE")</f>
        <v>34800 BOB WILSON DRIVE</v>
      </c>
      <c r="D1333" t="str">
        <f t="shared" si="505"/>
        <v>SAN DIEGO</v>
      </c>
      <c r="E1333" t="str">
        <f t="shared" si="506"/>
        <v>CA</v>
      </c>
      <c r="F1333" t="str">
        <f>T("921360001")</f>
        <v>921360001</v>
      </c>
      <c r="G1333" t="str">
        <f>T("NAVAL MEDICAL CENTER- SD")</f>
        <v>NAVAL MEDICAL CENTER- SD</v>
      </c>
      <c r="H1333" t="str">
        <f>T("8808 BALBOA AVE")</f>
        <v>8808 BALBOA AVE</v>
      </c>
      <c r="I1333" t="str">
        <f t="shared" si="508"/>
        <v>SAN DIEGO</v>
      </c>
      <c r="J1333" t="str">
        <f t="shared" si="509"/>
        <v>CA</v>
      </c>
      <c r="K1333" t="str">
        <f>T("000000000000000000")</f>
        <v>000000000000000000</v>
      </c>
      <c r="L1333" t="str">
        <f>T("6196450159")</f>
        <v>6196450159</v>
      </c>
    </row>
    <row r="1334" spans="1:12" x14ac:dyDescent="0.35">
      <c r="A1334" t="str">
        <f t="shared" si="504"/>
        <v>DFA, MATMAN APC NMCSD</v>
      </c>
      <c r="B1334" t="str">
        <f t="shared" si="497"/>
        <v>NAVAL MEDICAL CENTER - SD</v>
      </c>
      <c r="C1334" t="str">
        <f>T("34800 BOB WILSON DRIVE STE 8")</f>
        <v>34800 BOB WILSON DRIVE STE 8</v>
      </c>
      <c r="D1334" t="str">
        <f t="shared" si="505"/>
        <v>SAN DIEGO</v>
      </c>
      <c r="E1334" t="str">
        <f t="shared" si="506"/>
        <v>CA</v>
      </c>
      <c r="F1334" t="str">
        <f>T("921341008")</f>
        <v>921341008</v>
      </c>
      <c r="G1334" t="str">
        <f>T("34800 BOB WILSON DR")</f>
        <v>34800 BOB WILSON DR</v>
      </c>
      <c r="H1334" t="str">
        <f>T("")</f>
        <v/>
      </c>
      <c r="I1334" t="str">
        <f t="shared" si="508"/>
        <v>SAN DIEGO</v>
      </c>
      <c r="J1334" t="str">
        <f t="shared" si="509"/>
        <v>CA</v>
      </c>
      <c r="K1334" t="str">
        <f>T("000000000000000000")</f>
        <v>000000000000000000</v>
      </c>
      <c r="L1334" t="str">
        <f>T("6195329960")</f>
        <v>6195329960</v>
      </c>
    </row>
    <row r="1335" spans="1:12" x14ac:dyDescent="0.35">
      <c r="A1335" t="str">
        <f t="shared" si="504"/>
        <v>DFA, MATMAN APC NMCSD</v>
      </c>
      <c r="B1335" t="str">
        <f t="shared" si="497"/>
        <v>NAVAL MEDICAL CENTER - SD</v>
      </c>
      <c r="C1335" t="str">
        <f>T("34800 BOB WILSON DRIVE STE 8")</f>
        <v>34800 BOB WILSON DRIVE STE 8</v>
      </c>
      <c r="D1335" t="str">
        <f t="shared" si="505"/>
        <v>SAN DIEGO</v>
      </c>
      <c r="E1335" t="str">
        <f t="shared" si="506"/>
        <v>CA</v>
      </c>
      <c r="F1335" t="str">
        <f>T("921341008")</f>
        <v>921341008</v>
      </c>
      <c r="G1335" t="str">
        <f>T("NAVAL MEDICAL CENTER - SD")</f>
        <v>NAVAL MEDICAL CENTER - SD</v>
      </c>
      <c r="H1335" t="str">
        <f>T("34800 BOB WILSON DRIVE STE 8")</f>
        <v>34800 BOB WILSON DRIVE STE 8</v>
      </c>
      <c r="I1335" t="str">
        <f t="shared" si="508"/>
        <v>SAN DIEGO</v>
      </c>
      <c r="J1335" t="str">
        <f t="shared" si="509"/>
        <v>CA</v>
      </c>
      <c r="K1335" t="str">
        <f>T("")</f>
        <v/>
      </c>
      <c r="L1335" t="str">
        <f>T("6195325351")</f>
        <v>6195325351</v>
      </c>
    </row>
    <row r="1336" spans="1:12" x14ac:dyDescent="0.35">
      <c r="A1336" t="str">
        <f t="shared" si="504"/>
        <v>DFA, MATMAN APC NMCSD</v>
      </c>
      <c r="B1336" t="str">
        <f t="shared" si="497"/>
        <v>NAVAL MEDICAL CENTER - SD</v>
      </c>
      <c r="C1336" t="str">
        <f>T("34800 BOB WILSON DRIVE STE 8")</f>
        <v>34800 BOB WILSON DRIVE STE 8</v>
      </c>
      <c r="D1336" t="str">
        <f t="shared" si="505"/>
        <v>SAN DIEGO</v>
      </c>
      <c r="E1336" t="str">
        <f t="shared" si="506"/>
        <v>CA</v>
      </c>
      <c r="F1336" t="str">
        <f>T("921341008")</f>
        <v>921341008</v>
      </c>
      <c r="G1336" t="str">
        <f>T("NAVAL MEDICAL CENTER SAN DIEGO")</f>
        <v>NAVAL MEDICAL CENTER SAN DIEGO</v>
      </c>
      <c r="H1336" t="str">
        <f>T("34800 BOB WILSON DRIVE")</f>
        <v>34800 BOB WILSON DRIVE</v>
      </c>
      <c r="I1336" t="str">
        <f t="shared" si="508"/>
        <v>SAN DIEGO</v>
      </c>
      <c r="J1336" t="str">
        <f t="shared" si="509"/>
        <v>CA</v>
      </c>
      <c r="K1336" t="str">
        <f>T("000000000000000000")</f>
        <v>000000000000000000</v>
      </c>
      <c r="L1336" t="str">
        <f>T("6195326429")</f>
        <v>6195326429</v>
      </c>
    </row>
    <row r="1337" spans="1:12" x14ac:dyDescent="0.35">
      <c r="A1337" t="str">
        <f t="shared" si="504"/>
        <v>DFA, MATMAN APC NMCSD</v>
      </c>
      <c r="B1337" t="str">
        <f t="shared" si="497"/>
        <v>NAVAL MEDICAL CENTER - SD</v>
      </c>
      <c r="C1337" t="str">
        <f>T("34800 BOB WILSON DRIVE STE 8")</f>
        <v>34800 BOB WILSON DRIVE STE 8</v>
      </c>
      <c r="D1337" t="str">
        <f t="shared" si="505"/>
        <v>SAN DIEGO</v>
      </c>
      <c r="E1337" t="str">
        <f t="shared" si="506"/>
        <v>CA</v>
      </c>
      <c r="F1337" t="str">
        <f>T("921341008")</f>
        <v>921341008</v>
      </c>
      <c r="G1337" t="str">
        <f>T("NAVAL MEDICAL CENTER SD")</f>
        <v>NAVAL MEDICAL CENTER SD</v>
      </c>
      <c r="H1337" t="str">
        <f>T("34800 BOB WILSON DR")</f>
        <v>34800 BOB WILSON DR</v>
      </c>
      <c r="I1337" t="str">
        <f t="shared" si="508"/>
        <v>SAN DIEGO</v>
      </c>
      <c r="J1337" t="str">
        <f t="shared" si="509"/>
        <v>CA</v>
      </c>
      <c r="K1337" t="str">
        <f>T("000000000000000000")</f>
        <v>000000000000000000</v>
      </c>
      <c r="L1337" t="str">
        <f>T("6195322000")</f>
        <v>6195322000</v>
      </c>
    </row>
    <row r="1338" spans="1:12" x14ac:dyDescent="0.35">
      <c r="A1338" t="str">
        <f t="shared" si="504"/>
        <v>DFA, MATMAN APC NMCSD</v>
      </c>
      <c r="B1338" t="str">
        <f t="shared" ref="B1338:B1351" si="512">T("NAVAL MEDICAL CENTER SAN DIEGO")</f>
        <v>NAVAL MEDICAL CENTER SAN DIEGO</v>
      </c>
      <c r="C1338" t="str">
        <f t="shared" ref="C1338:C1351" si="513">T("34800 BOB WILSON DRIVE")</f>
        <v>34800 BOB WILSON DRIVE</v>
      </c>
      <c r="D1338" t="str">
        <f t="shared" si="505"/>
        <v>SAN DIEGO</v>
      </c>
      <c r="E1338" t="str">
        <f t="shared" si="506"/>
        <v>CA</v>
      </c>
      <c r="F1338" t="str">
        <f t="shared" ref="F1338:F1353" si="514">T("921341098")</f>
        <v>921341098</v>
      </c>
      <c r="G1338" t="str">
        <f>T("34800 BOB WILSON DR")</f>
        <v>34800 BOB WILSON DR</v>
      </c>
      <c r="H1338" t="str">
        <f>T("")</f>
        <v/>
      </c>
      <c r="I1338" t="str">
        <f t="shared" si="508"/>
        <v>SAN DIEGO</v>
      </c>
      <c r="J1338" t="str">
        <f t="shared" si="509"/>
        <v>CA</v>
      </c>
      <c r="K1338" t="str">
        <f>T("000000000000000000")</f>
        <v>000000000000000000</v>
      </c>
      <c r="L1338" t="str">
        <f>T("6195326127")</f>
        <v>6195326127</v>
      </c>
    </row>
    <row r="1339" spans="1:12" x14ac:dyDescent="0.35">
      <c r="A1339" t="str">
        <f t="shared" si="504"/>
        <v>DFA, MATMAN APC NMCSD</v>
      </c>
      <c r="B1339" t="str">
        <f t="shared" si="512"/>
        <v>NAVAL MEDICAL CENTER SAN DIEGO</v>
      </c>
      <c r="C1339" t="str">
        <f t="shared" si="513"/>
        <v>34800 BOB WILSON DRIVE</v>
      </c>
      <c r="D1339" t="str">
        <f t="shared" si="505"/>
        <v>SAN DIEGO</v>
      </c>
      <c r="E1339" t="str">
        <f t="shared" si="506"/>
        <v>CA</v>
      </c>
      <c r="F1339" t="str">
        <f t="shared" si="514"/>
        <v>921341098</v>
      </c>
      <c r="G1339" t="str">
        <f>T("34800 BOB WILSON DR")</f>
        <v>34800 BOB WILSON DR</v>
      </c>
      <c r="H1339" t="str">
        <f>T("")</f>
        <v/>
      </c>
      <c r="I1339" t="str">
        <f t="shared" si="508"/>
        <v>SAN DIEGO</v>
      </c>
      <c r="J1339" t="str">
        <f t="shared" si="509"/>
        <v>CA</v>
      </c>
      <c r="K1339" t="str">
        <f>T("000000000000000000")</f>
        <v>000000000000000000</v>
      </c>
      <c r="L1339" t="str">
        <f>T("6195328010")</f>
        <v>6195328010</v>
      </c>
    </row>
    <row r="1340" spans="1:12" x14ac:dyDescent="0.35">
      <c r="A1340" t="str">
        <f t="shared" si="504"/>
        <v>DFA, MATMAN APC NMCSD</v>
      </c>
      <c r="B1340" t="str">
        <f t="shared" si="512"/>
        <v>NAVAL MEDICAL CENTER SAN DIEGO</v>
      </c>
      <c r="C1340" t="str">
        <f t="shared" si="513"/>
        <v>34800 BOB WILSON DRIVE</v>
      </c>
      <c r="D1340" t="str">
        <f t="shared" si="505"/>
        <v>SAN DIEGO</v>
      </c>
      <c r="E1340" t="str">
        <f t="shared" si="506"/>
        <v>CA</v>
      </c>
      <c r="F1340" t="str">
        <f t="shared" si="514"/>
        <v>921341098</v>
      </c>
      <c r="G1340" t="str">
        <f>T("34800 BOB WILSON DR")</f>
        <v>34800 BOB WILSON DR</v>
      </c>
      <c r="H1340" t="str">
        <f>T("")</f>
        <v/>
      </c>
      <c r="I1340" t="str">
        <f t="shared" si="508"/>
        <v>SAN DIEGO</v>
      </c>
      <c r="J1340" t="str">
        <f t="shared" si="509"/>
        <v>CA</v>
      </c>
      <c r="K1340" t="str">
        <f>T("61953280110")</f>
        <v>61953280110</v>
      </c>
      <c r="L1340" t="str">
        <f>T("6195328016")</f>
        <v>6195328016</v>
      </c>
    </row>
    <row r="1341" spans="1:12" x14ac:dyDescent="0.35">
      <c r="A1341" t="str">
        <f t="shared" si="504"/>
        <v>DFA, MATMAN APC NMCSD</v>
      </c>
      <c r="B1341" t="str">
        <f t="shared" si="512"/>
        <v>NAVAL MEDICAL CENTER SAN DIEGO</v>
      </c>
      <c r="C1341" t="str">
        <f t="shared" si="513"/>
        <v>34800 BOB WILSON DRIVE</v>
      </c>
      <c r="D1341" t="str">
        <f t="shared" si="505"/>
        <v>SAN DIEGO</v>
      </c>
      <c r="E1341" t="str">
        <f t="shared" si="506"/>
        <v>CA</v>
      </c>
      <c r="F1341" t="str">
        <f t="shared" si="514"/>
        <v>921341098</v>
      </c>
      <c r="G1341" t="str">
        <f>T("34800 BOB WILSON DRIVE")</f>
        <v>34800 BOB WILSON DRIVE</v>
      </c>
      <c r="H1341" t="str">
        <f>T("")</f>
        <v/>
      </c>
      <c r="I1341" t="str">
        <f t="shared" si="508"/>
        <v>SAN DIEGO</v>
      </c>
      <c r="J1341" t="str">
        <f t="shared" si="509"/>
        <v>CA</v>
      </c>
      <c r="K1341" t="str">
        <f>T("000000000000000000")</f>
        <v>000000000000000000</v>
      </c>
      <c r="L1341" t="str">
        <f>T("6195328010")</f>
        <v>6195328010</v>
      </c>
    </row>
    <row r="1342" spans="1:12" x14ac:dyDescent="0.35">
      <c r="A1342" t="str">
        <f t="shared" si="504"/>
        <v>DFA, MATMAN APC NMCSD</v>
      </c>
      <c r="B1342" t="str">
        <f t="shared" si="512"/>
        <v>NAVAL MEDICAL CENTER SAN DIEGO</v>
      </c>
      <c r="C1342" t="str">
        <f t="shared" si="513"/>
        <v>34800 BOB WILSON DRIVE</v>
      </c>
      <c r="D1342" t="str">
        <f t="shared" si="505"/>
        <v>SAN DIEGO</v>
      </c>
      <c r="E1342" t="str">
        <f t="shared" si="506"/>
        <v>CA</v>
      </c>
      <c r="F1342" t="str">
        <f t="shared" si="514"/>
        <v>921341098</v>
      </c>
      <c r="G1342" t="str">
        <f>T("34800 BOB WILSON DRIVE")</f>
        <v>34800 BOB WILSON DRIVE</v>
      </c>
      <c r="H1342" t="str">
        <f>T("")</f>
        <v/>
      </c>
      <c r="I1342" t="str">
        <f t="shared" si="508"/>
        <v>SAN DIEGO</v>
      </c>
      <c r="J1342" t="str">
        <f t="shared" si="509"/>
        <v>CA</v>
      </c>
      <c r="K1342" t="str">
        <f>T("000000000000000000")</f>
        <v>000000000000000000</v>
      </c>
      <c r="L1342" t="str">
        <f>T("6195328745")</f>
        <v>6195328745</v>
      </c>
    </row>
    <row r="1343" spans="1:12" x14ac:dyDescent="0.35">
      <c r="A1343" t="str">
        <f t="shared" si="504"/>
        <v>DFA, MATMAN APC NMCSD</v>
      </c>
      <c r="B1343" t="str">
        <f t="shared" si="512"/>
        <v>NAVAL MEDICAL CENTER SAN DIEGO</v>
      </c>
      <c r="C1343" t="str">
        <f t="shared" si="513"/>
        <v>34800 BOB WILSON DRIVE</v>
      </c>
      <c r="D1343" t="str">
        <f t="shared" si="505"/>
        <v>SAN DIEGO</v>
      </c>
      <c r="E1343" t="str">
        <f t="shared" si="506"/>
        <v>CA</v>
      </c>
      <c r="F1343" t="str">
        <f t="shared" si="514"/>
        <v>921341098</v>
      </c>
      <c r="G1343" t="str">
        <f>T("DBC/BHC EL CENTRO")</f>
        <v>DBC/BHC EL CENTRO</v>
      </c>
      <c r="H1343" t="str">
        <f>T("BLDG 523 8TH EL CENTRO CA 92243")</f>
        <v>BLDG 523 8TH EL CENTRO CA 92243</v>
      </c>
      <c r="I1343" t="str">
        <f>T("EL CENTRO")</f>
        <v>EL CENTRO</v>
      </c>
      <c r="J1343" t="str">
        <f t="shared" si="509"/>
        <v>CA</v>
      </c>
      <c r="K1343" t="str">
        <f>T("000000000000000000")</f>
        <v>000000000000000000</v>
      </c>
      <c r="L1343" t="str">
        <f>T("7603392674")</f>
        <v>7603392674</v>
      </c>
    </row>
    <row r="1344" spans="1:12" x14ac:dyDescent="0.35">
      <c r="A1344" t="str">
        <f t="shared" si="504"/>
        <v>DFA, MATMAN APC NMCSD</v>
      </c>
      <c r="B1344" t="str">
        <f t="shared" si="512"/>
        <v>NAVAL MEDICAL CENTER SAN DIEGO</v>
      </c>
      <c r="C1344" t="str">
        <f t="shared" si="513"/>
        <v>34800 BOB WILSON DRIVE</v>
      </c>
      <c r="D1344" t="str">
        <f t="shared" si="505"/>
        <v>SAN DIEGO</v>
      </c>
      <c r="E1344" t="str">
        <f t="shared" si="506"/>
        <v>CA</v>
      </c>
      <c r="F1344" t="str">
        <f t="shared" si="514"/>
        <v>921341098</v>
      </c>
      <c r="G1344" t="str">
        <f>T("DFA/MATMAN")</f>
        <v>DFA/MATMAN</v>
      </c>
      <c r="H1344" t="str">
        <f t="shared" ref="H1344:H1351" si="515">T("34800 BOB WILSON DRIVE")</f>
        <v>34800 BOB WILSON DRIVE</v>
      </c>
      <c r="I1344" t="str">
        <f t="shared" ref="I1344:I1371" si="516">T("SAN DIEGO")</f>
        <v>SAN DIEGO</v>
      </c>
      <c r="J1344" t="str">
        <f t="shared" si="509"/>
        <v>CA</v>
      </c>
      <c r="K1344" t="str">
        <f>T("000000000000000000")</f>
        <v>000000000000000000</v>
      </c>
      <c r="L1344" t="str">
        <f>T("6195328010")</f>
        <v>6195328010</v>
      </c>
    </row>
    <row r="1345" spans="1:12" x14ac:dyDescent="0.35">
      <c r="A1345" t="str">
        <f t="shared" ref="A1345:A1371" si="517">T("DFA, MATMAN APC NMCSD")</f>
        <v>DFA, MATMAN APC NMCSD</v>
      </c>
      <c r="B1345" t="str">
        <f t="shared" si="512"/>
        <v>NAVAL MEDICAL CENTER SAN DIEGO</v>
      </c>
      <c r="C1345" t="str">
        <f t="shared" si="513"/>
        <v>34800 BOB WILSON DRIVE</v>
      </c>
      <c r="D1345" t="str">
        <f t="shared" ref="D1345:D1371" si="518">T("SAN DIEGO")</f>
        <v>SAN DIEGO</v>
      </c>
      <c r="E1345" t="str">
        <f t="shared" ref="E1345:E1376" si="519">T("CA")</f>
        <v>CA</v>
      </c>
      <c r="F1345" t="str">
        <f t="shared" si="514"/>
        <v>921341098</v>
      </c>
      <c r="G1345" t="str">
        <f t="shared" ref="G1345:G1351" si="520">T("NAVAL MEDICAL CENTER SAN DIEGO")</f>
        <v>NAVAL MEDICAL CENTER SAN DIEGO</v>
      </c>
      <c r="H1345" t="str">
        <f t="shared" si="515"/>
        <v>34800 BOB WILSON DRIVE</v>
      </c>
      <c r="I1345" t="str">
        <f t="shared" si="516"/>
        <v>SAN DIEGO</v>
      </c>
      <c r="J1345" t="str">
        <f t="shared" ref="J1345:J1376" si="521">T("CA")</f>
        <v>CA</v>
      </c>
      <c r="K1345" t="str">
        <f>T("")</f>
        <v/>
      </c>
      <c r="L1345" t="str">
        <f>T("6195326338")</f>
        <v>6195326338</v>
      </c>
    </row>
    <row r="1346" spans="1:12" x14ac:dyDescent="0.35">
      <c r="A1346" t="str">
        <f t="shared" si="517"/>
        <v>DFA, MATMAN APC NMCSD</v>
      </c>
      <c r="B1346" t="str">
        <f t="shared" si="512"/>
        <v>NAVAL MEDICAL CENTER SAN DIEGO</v>
      </c>
      <c r="C1346" t="str">
        <f t="shared" si="513"/>
        <v>34800 BOB WILSON DRIVE</v>
      </c>
      <c r="D1346" t="str">
        <f t="shared" si="518"/>
        <v>SAN DIEGO</v>
      </c>
      <c r="E1346" t="str">
        <f t="shared" si="519"/>
        <v>CA</v>
      </c>
      <c r="F1346" t="str">
        <f t="shared" si="514"/>
        <v>921341098</v>
      </c>
      <c r="G1346" t="str">
        <f t="shared" si="520"/>
        <v>NAVAL MEDICAL CENTER SAN DIEGO</v>
      </c>
      <c r="H1346" t="str">
        <f t="shared" si="515"/>
        <v>34800 BOB WILSON DRIVE</v>
      </c>
      <c r="I1346" t="str">
        <f t="shared" si="516"/>
        <v>SAN DIEGO</v>
      </c>
      <c r="J1346" t="str">
        <f t="shared" si="521"/>
        <v>CA</v>
      </c>
      <c r="K1346" t="str">
        <f>T("")</f>
        <v/>
      </c>
      <c r="L1346" t="str">
        <f>T("6195327182")</f>
        <v>6195327182</v>
      </c>
    </row>
    <row r="1347" spans="1:12" x14ac:dyDescent="0.35">
      <c r="A1347" t="str">
        <f t="shared" si="517"/>
        <v>DFA, MATMAN APC NMCSD</v>
      </c>
      <c r="B1347" t="str">
        <f t="shared" si="512"/>
        <v>NAVAL MEDICAL CENTER SAN DIEGO</v>
      </c>
      <c r="C1347" t="str">
        <f t="shared" si="513"/>
        <v>34800 BOB WILSON DRIVE</v>
      </c>
      <c r="D1347" t="str">
        <f t="shared" si="518"/>
        <v>SAN DIEGO</v>
      </c>
      <c r="E1347" t="str">
        <f t="shared" si="519"/>
        <v>CA</v>
      </c>
      <c r="F1347" t="str">
        <f t="shared" si="514"/>
        <v>921341098</v>
      </c>
      <c r="G1347" t="str">
        <f t="shared" si="520"/>
        <v>NAVAL MEDICAL CENTER SAN DIEGO</v>
      </c>
      <c r="H1347" t="str">
        <f t="shared" si="515"/>
        <v>34800 BOB WILSON DRIVE</v>
      </c>
      <c r="I1347" t="str">
        <f t="shared" si="516"/>
        <v>SAN DIEGO</v>
      </c>
      <c r="J1347" t="str">
        <f t="shared" si="521"/>
        <v>CA</v>
      </c>
      <c r="K1347" t="str">
        <f>T("")</f>
        <v/>
      </c>
      <c r="L1347" t="str">
        <f>T("6195328010")</f>
        <v>6195328010</v>
      </c>
    </row>
    <row r="1348" spans="1:12" x14ac:dyDescent="0.35">
      <c r="A1348" t="str">
        <f t="shared" si="517"/>
        <v>DFA, MATMAN APC NMCSD</v>
      </c>
      <c r="B1348" t="str">
        <f t="shared" si="512"/>
        <v>NAVAL MEDICAL CENTER SAN DIEGO</v>
      </c>
      <c r="C1348" t="str">
        <f t="shared" si="513"/>
        <v>34800 BOB WILSON DRIVE</v>
      </c>
      <c r="D1348" t="str">
        <f t="shared" si="518"/>
        <v>SAN DIEGO</v>
      </c>
      <c r="E1348" t="str">
        <f t="shared" si="519"/>
        <v>CA</v>
      </c>
      <c r="F1348" t="str">
        <f t="shared" si="514"/>
        <v>921341098</v>
      </c>
      <c r="G1348" t="str">
        <f t="shared" si="520"/>
        <v>NAVAL MEDICAL CENTER SAN DIEGO</v>
      </c>
      <c r="H1348" t="str">
        <f t="shared" si="515"/>
        <v>34800 BOB WILSON DRIVE</v>
      </c>
      <c r="I1348" t="str">
        <f t="shared" si="516"/>
        <v>SAN DIEGO</v>
      </c>
      <c r="J1348" t="str">
        <f t="shared" si="521"/>
        <v>CA</v>
      </c>
      <c r="K1348" t="str">
        <f>T("")</f>
        <v/>
      </c>
      <c r="L1348" t="str">
        <f>T("7603392631")</f>
        <v>7603392631</v>
      </c>
    </row>
    <row r="1349" spans="1:12" x14ac:dyDescent="0.35">
      <c r="A1349" t="str">
        <f t="shared" si="517"/>
        <v>DFA, MATMAN APC NMCSD</v>
      </c>
      <c r="B1349" t="str">
        <f t="shared" si="512"/>
        <v>NAVAL MEDICAL CENTER SAN DIEGO</v>
      </c>
      <c r="C1349" t="str">
        <f t="shared" si="513"/>
        <v>34800 BOB WILSON DRIVE</v>
      </c>
      <c r="D1349" t="str">
        <f t="shared" si="518"/>
        <v>SAN DIEGO</v>
      </c>
      <c r="E1349" t="str">
        <f t="shared" si="519"/>
        <v>CA</v>
      </c>
      <c r="F1349" t="str">
        <f t="shared" si="514"/>
        <v>921341098</v>
      </c>
      <c r="G1349" t="str">
        <f t="shared" si="520"/>
        <v>NAVAL MEDICAL CENTER SAN DIEGO</v>
      </c>
      <c r="H1349" t="str">
        <f t="shared" si="515"/>
        <v>34800 BOB WILSON DRIVE</v>
      </c>
      <c r="I1349" t="str">
        <f t="shared" si="516"/>
        <v>SAN DIEGO</v>
      </c>
      <c r="J1349" t="str">
        <f t="shared" si="521"/>
        <v>CA</v>
      </c>
      <c r="K1349" t="str">
        <f>T("000000000000000000")</f>
        <v>000000000000000000</v>
      </c>
      <c r="L1349" t="str">
        <f>T("6195328006")</f>
        <v>6195328006</v>
      </c>
    </row>
    <row r="1350" spans="1:12" x14ac:dyDescent="0.35">
      <c r="A1350" t="str">
        <f t="shared" si="517"/>
        <v>DFA, MATMAN APC NMCSD</v>
      </c>
      <c r="B1350" t="str">
        <f t="shared" si="512"/>
        <v>NAVAL MEDICAL CENTER SAN DIEGO</v>
      </c>
      <c r="C1350" t="str">
        <f t="shared" si="513"/>
        <v>34800 BOB WILSON DRIVE</v>
      </c>
      <c r="D1350" t="str">
        <f t="shared" si="518"/>
        <v>SAN DIEGO</v>
      </c>
      <c r="E1350" t="str">
        <f t="shared" si="519"/>
        <v>CA</v>
      </c>
      <c r="F1350" t="str">
        <f t="shared" si="514"/>
        <v>921341098</v>
      </c>
      <c r="G1350" t="str">
        <f t="shared" si="520"/>
        <v>NAVAL MEDICAL CENTER SAN DIEGO</v>
      </c>
      <c r="H1350" t="str">
        <f t="shared" si="515"/>
        <v>34800 BOB WILSON DRIVE</v>
      </c>
      <c r="I1350" t="str">
        <f t="shared" si="516"/>
        <v>SAN DIEGO</v>
      </c>
      <c r="J1350" t="str">
        <f t="shared" si="521"/>
        <v>CA</v>
      </c>
      <c r="K1350" t="str">
        <f>T("000000000000000000")</f>
        <v>000000000000000000</v>
      </c>
      <c r="L1350" t="str">
        <f>T("6195328531")</f>
        <v>6195328531</v>
      </c>
    </row>
    <row r="1351" spans="1:12" x14ac:dyDescent="0.35">
      <c r="A1351" t="str">
        <f t="shared" si="517"/>
        <v>DFA, MATMAN APC NMCSD</v>
      </c>
      <c r="B1351" t="str">
        <f t="shared" si="512"/>
        <v>NAVAL MEDICAL CENTER SAN DIEGO</v>
      </c>
      <c r="C1351" t="str">
        <f t="shared" si="513"/>
        <v>34800 BOB WILSON DRIVE</v>
      </c>
      <c r="D1351" t="str">
        <f t="shared" si="518"/>
        <v>SAN DIEGO</v>
      </c>
      <c r="E1351" t="str">
        <f t="shared" si="519"/>
        <v>CA</v>
      </c>
      <c r="F1351" t="str">
        <f t="shared" si="514"/>
        <v>921341098</v>
      </c>
      <c r="G1351" t="str">
        <f t="shared" si="520"/>
        <v>NAVAL MEDICAL CENTER SAN DIEGO</v>
      </c>
      <c r="H1351" t="str">
        <f t="shared" si="515"/>
        <v>34800 BOB WILSON DRIVE</v>
      </c>
      <c r="I1351" t="str">
        <f t="shared" si="516"/>
        <v>SAN DIEGO</v>
      </c>
      <c r="J1351" t="str">
        <f t="shared" si="521"/>
        <v>CA</v>
      </c>
      <c r="K1351" t="str">
        <f>T("000000000000000000")</f>
        <v>000000000000000000</v>
      </c>
      <c r="L1351" t="str">
        <f>T("6195329789")</f>
        <v>6195329789</v>
      </c>
    </row>
    <row r="1352" spans="1:12" x14ac:dyDescent="0.35">
      <c r="A1352" t="str">
        <f t="shared" si="517"/>
        <v>DFA, MATMAN APC NMCSD</v>
      </c>
      <c r="B1352" t="str">
        <f>T("NAVAL MEDICAL CENTER SD")</f>
        <v>NAVAL MEDICAL CENTER SD</v>
      </c>
      <c r="C1352" t="str">
        <f>T("34800 BOB WILSON")</f>
        <v>34800 BOB WILSON</v>
      </c>
      <c r="D1352" t="str">
        <f t="shared" si="518"/>
        <v>SAN DIEGO</v>
      </c>
      <c r="E1352" t="str">
        <f t="shared" si="519"/>
        <v>CA</v>
      </c>
      <c r="F1352" t="str">
        <f t="shared" si="514"/>
        <v>921341098</v>
      </c>
      <c r="G1352" t="str">
        <f>T("NAVAL MEDICAL CENTER SD")</f>
        <v>NAVAL MEDICAL CENTER SD</v>
      </c>
      <c r="H1352" t="str">
        <f>T("34800 BOB WILSON")</f>
        <v>34800 BOB WILSON</v>
      </c>
      <c r="I1352" t="str">
        <f t="shared" si="516"/>
        <v>SAN DIEGO</v>
      </c>
      <c r="J1352" t="str">
        <f t="shared" si="521"/>
        <v>CA</v>
      </c>
      <c r="K1352" t="str">
        <f>T("")</f>
        <v/>
      </c>
      <c r="L1352" t="str">
        <f>T("6195568191")</f>
        <v>6195568191</v>
      </c>
    </row>
    <row r="1353" spans="1:12" x14ac:dyDescent="0.35">
      <c r="A1353" t="str">
        <f t="shared" si="517"/>
        <v>DFA, MATMAN APC NMCSD</v>
      </c>
      <c r="B1353" t="str">
        <f>T("NAVAL MEDICAL CENTER SD")</f>
        <v>NAVAL MEDICAL CENTER SD</v>
      </c>
      <c r="C1353" t="str">
        <f>T("34800 BOB WILSON")</f>
        <v>34800 BOB WILSON</v>
      </c>
      <c r="D1353" t="str">
        <f t="shared" si="518"/>
        <v>SAN DIEGO</v>
      </c>
      <c r="E1353" t="str">
        <f t="shared" si="519"/>
        <v>CA</v>
      </c>
      <c r="F1353" t="str">
        <f t="shared" si="514"/>
        <v>921341098</v>
      </c>
      <c r="G1353" t="str">
        <f>T("NAVAL MEDICAL CENTER, SD")</f>
        <v>NAVAL MEDICAL CENTER, SD</v>
      </c>
      <c r="H1353" t="str">
        <f>T("34800 BOB WILSON DRIVE")</f>
        <v>34800 BOB WILSON DRIVE</v>
      </c>
      <c r="I1353" t="str">
        <f t="shared" si="516"/>
        <v>SAN DIEGO</v>
      </c>
      <c r="J1353" t="str">
        <f t="shared" si="521"/>
        <v>CA</v>
      </c>
      <c r="K1353" t="str">
        <f>T("000000000000000000")</f>
        <v>000000000000000000</v>
      </c>
      <c r="L1353" t="str">
        <f>T("6195568214")</f>
        <v>6195568214</v>
      </c>
    </row>
    <row r="1354" spans="1:12" x14ac:dyDescent="0.35">
      <c r="A1354" t="str">
        <f t="shared" si="517"/>
        <v>DFA, MATMAN APC NMCSD</v>
      </c>
      <c r="B1354" t="str">
        <f>T("NAVAL MEDICAL CENTER SD")</f>
        <v>NAVAL MEDICAL CENTER SD</v>
      </c>
      <c r="C1354" t="str">
        <f>T("34800 BOB WILSON DR STE 8")</f>
        <v>34800 BOB WILSON DR STE 8</v>
      </c>
      <c r="D1354" t="str">
        <f t="shared" si="518"/>
        <v>SAN DIEGO</v>
      </c>
      <c r="E1354" t="str">
        <f t="shared" si="519"/>
        <v>CA</v>
      </c>
      <c r="F1354" t="str">
        <f>T("921341008")</f>
        <v>921341008</v>
      </c>
      <c r="G1354" t="str">
        <f>T("NAVAL MEDICAL CENTER SD")</f>
        <v>NAVAL MEDICAL CENTER SD</v>
      </c>
      <c r="H1354" t="str">
        <f>T("34800 BOB WILSON DR STE 8")</f>
        <v>34800 BOB WILSON DR STE 8</v>
      </c>
      <c r="I1354" t="str">
        <f t="shared" si="516"/>
        <v>SAN DIEGO</v>
      </c>
      <c r="J1354" t="str">
        <f t="shared" si="521"/>
        <v>CA</v>
      </c>
      <c r="K1354" t="str">
        <f>T("")</f>
        <v/>
      </c>
      <c r="L1354" t="str">
        <f>T("6195325737")</f>
        <v>6195325737</v>
      </c>
    </row>
    <row r="1355" spans="1:12" x14ac:dyDescent="0.35">
      <c r="A1355" t="str">
        <f t="shared" si="517"/>
        <v>DFA, MATMAN APC NMCSD</v>
      </c>
      <c r="B1355" t="str">
        <f>T("NMAWC DENTAL ANNEX NTC")</f>
        <v>NMAWC DENTAL ANNEX NTC</v>
      </c>
      <c r="C1355" t="str">
        <f t="shared" ref="C1355:C1360" si="522">T("34800 BOB WILSON DR")</f>
        <v>34800 BOB WILSON DR</v>
      </c>
      <c r="D1355" t="str">
        <f t="shared" si="518"/>
        <v>SAN DIEGO</v>
      </c>
      <c r="E1355" t="str">
        <f t="shared" si="519"/>
        <v>CA</v>
      </c>
      <c r="F1355" t="str">
        <f t="shared" ref="F1355:F1360" si="523">T("921341098")</f>
        <v>921341098</v>
      </c>
      <c r="G1355" t="str">
        <f>T("34800 BOB WILSON DR")</f>
        <v>34800 BOB WILSON DR</v>
      </c>
      <c r="H1355" t="str">
        <f>T("")</f>
        <v/>
      </c>
      <c r="I1355" t="str">
        <f t="shared" si="516"/>
        <v>SAN DIEGO</v>
      </c>
      <c r="J1355" t="str">
        <f t="shared" si="521"/>
        <v>CA</v>
      </c>
      <c r="K1355" t="str">
        <f>T("000000000000000000")</f>
        <v>000000000000000000</v>
      </c>
      <c r="L1355" t="str">
        <f>T("6195244175")</f>
        <v>6195244175</v>
      </c>
    </row>
    <row r="1356" spans="1:12" x14ac:dyDescent="0.35">
      <c r="A1356" t="str">
        <f t="shared" si="517"/>
        <v>DFA, MATMAN APC NMCSD</v>
      </c>
      <c r="B1356" t="str">
        <f>T("NMAWC DENTAL ANNEX NTC")</f>
        <v>NMAWC DENTAL ANNEX NTC</v>
      </c>
      <c r="C1356" t="str">
        <f t="shared" si="522"/>
        <v>34800 BOB WILSON DR</v>
      </c>
      <c r="D1356" t="str">
        <f t="shared" si="518"/>
        <v>SAN DIEGO</v>
      </c>
      <c r="E1356" t="str">
        <f t="shared" si="519"/>
        <v>CA</v>
      </c>
      <c r="F1356" t="str">
        <f t="shared" si="523"/>
        <v>921341098</v>
      </c>
      <c r="G1356" t="str">
        <f>T("34800 BOB WILSON DR")</f>
        <v>34800 BOB WILSON DR</v>
      </c>
      <c r="H1356" t="str">
        <f>T("")</f>
        <v/>
      </c>
      <c r="I1356" t="str">
        <f t="shared" si="516"/>
        <v>SAN DIEGO</v>
      </c>
      <c r="J1356" t="str">
        <f t="shared" si="521"/>
        <v>CA</v>
      </c>
      <c r="K1356" t="str">
        <f>T("000000000000000000")</f>
        <v>000000000000000000</v>
      </c>
      <c r="L1356" t="str">
        <f>T("6195320700")</f>
        <v>6195320700</v>
      </c>
    </row>
    <row r="1357" spans="1:12" x14ac:dyDescent="0.35">
      <c r="A1357" t="str">
        <f t="shared" si="517"/>
        <v>DFA, MATMAN APC NMCSD</v>
      </c>
      <c r="B1357" t="str">
        <f>T("NMAWC DENTAL ANNEX NTC")</f>
        <v>NMAWC DENTAL ANNEX NTC</v>
      </c>
      <c r="C1357" t="str">
        <f t="shared" si="522"/>
        <v>34800 BOB WILSON DR</v>
      </c>
      <c r="D1357" t="str">
        <f t="shared" si="518"/>
        <v>SAN DIEGO</v>
      </c>
      <c r="E1357" t="str">
        <f t="shared" si="519"/>
        <v>CA</v>
      </c>
      <c r="F1357" t="str">
        <f t="shared" si="523"/>
        <v>921341098</v>
      </c>
      <c r="G1357" t="str">
        <f>T("34800 BOB WILSON DRIVE")</f>
        <v>34800 BOB WILSON DRIVE</v>
      </c>
      <c r="H1357" t="str">
        <f>T("")</f>
        <v/>
      </c>
      <c r="I1357" t="str">
        <f t="shared" si="516"/>
        <v>SAN DIEGO</v>
      </c>
      <c r="J1357" t="str">
        <f t="shared" si="521"/>
        <v>CA</v>
      </c>
      <c r="K1357" t="str">
        <f>T("000000000000000000")</f>
        <v>000000000000000000</v>
      </c>
      <c r="L1357" t="str">
        <f>T("6195328643")</f>
        <v>6195328643</v>
      </c>
    </row>
    <row r="1358" spans="1:12" x14ac:dyDescent="0.35">
      <c r="A1358" t="str">
        <f t="shared" si="517"/>
        <v>DFA, MATMAN APC NMCSD</v>
      </c>
      <c r="B1358" t="str">
        <f>T("NMAWC DENTAL ANNEX NTC")</f>
        <v>NMAWC DENTAL ANNEX NTC</v>
      </c>
      <c r="C1358" t="str">
        <f t="shared" si="522"/>
        <v>34800 BOB WILSON DR</v>
      </c>
      <c r="D1358" t="str">
        <f t="shared" si="518"/>
        <v>SAN DIEGO</v>
      </c>
      <c r="E1358" t="str">
        <f t="shared" si="519"/>
        <v>CA</v>
      </c>
      <c r="F1358" t="str">
        <f t="shared" si="523"/>
        <v>921341098</v>
      </c>
      <c r="G1358" t="str">
        <f>T("NMAWC DENTAL ANNEX NTC")</f>
        <v>NMAWC DENTAL ANNEX NTC</v>
      </c>
      <c r="H1358" t="str">
        <f>T("34800 BOB WILSON DR")</f>
        <v>34800 BOB WILSON DR</v>
      </c>
      <c r="I1358" t="str">
        <f t="shared" si="516"/>
        <v>SAN DIEGO</v>
      </c>
      <c r="J1358" t="str">
        <f t="shared" si="521"/>
        <v>CA</v>
      </c>
      <c r="K1358" t="str">
        <f>T("")</f>
        <v/>
      </c>
      <c r="L1358" t="str">
        <f>T("6195568191")</f>
        <v>6195568191</v>
      </c>
    </row>
    <row r="1359" spans="1:12" x14ac:dyDescent="0.35">
      <c r="A1359" t="str">
        <f t="shared" si="517"/>
        <v>DFA, MATMAN APC NMCSD</v>
      </c>
      <c r="B1359" t="str">
        <f t="shared" ref="B1359:B1365" si="524">T("NMCSD")</f>
        <v>NMCSD</v>
      </c>
      <c r="C1359" t="str">
        <f t="shared" si="522"/>
        <v>34800 BOB WILSON DR</v>
      </c>
      <c r="D1359" t="str">
        <f t="shared" si="518"/>
        <v>SAN DIEGO</v>
      </c>
      <c r="E1359" t="str">
        <f t="shared" si="519"/>
        <v>CA</v>
      </c>
      <c r="F1359" t="str">
        <f t="shared" si="523"/>
        <v>921341098</v>
      </c>
      <c r="G1359" t="str">
        <f>T("BLDG 1 4TH FLOOR")</f>
        <v>BLDG 1 4TH FLOOR</v>
      </c>
      <c r="H1359" t="str">
        <f>T("34800 BOB WILSON DR")</f>
        <v>34800 BOB WILSON DR</v>
      </c>
      <c r="I1359" t="str">
        <f t="shared" si="516"/>
        <v>SAN DIEGO</v>
      </c>
      <c r="J1359" t="str">
        <f t="shared" si="521"/>
        <v>CA</v>
      </c>
      <c r="K1359" t="str">
        <f>T("000000000000000000")</f>
        <v>000000000000000000</v>
      </c>
      <c r="L1359" t="str">
        <f>T("6195326234")</f>
        <v>6195326234</v>
      </c>
    </row>
    <row r="1360" spans="1:12" x14ac:dyDescent="0.35">
      <c r="A1360" t="str">
        <f t="shared" si="517"/>
        <v>DFA, MATMAN APC NMCSD</v>
      </c>
      <c r="B1360" t="str">
        <f t="shared" si="524"/>
        <v>NMCSD</v>
      </c>
      <c r="C1360" t="str">
        <f t="shared" si="522"/>
        <v>34800 BOB WILSON DR</v>
      </c>
      <c r="D1360" t="str">
        <f t="shared" si="518"/>
        <v>SAN DIEGO</v>
      </c>
      <c r="E1360" t="str">
        <f t="shared" si="519"/>
        <v>CA</v>
      </c>
      <c r="F1360" t="str">
        <f t="shared" si="523"/>
        <v>921341098</v>
      </c>
      <c r="G1360" t="str">
        <f>T("NMCSD")</f>
        <v>NMCSD</v>
      </c>
      <c r="H1360" t="str">
        <f>T("34800 BOB WILSON DR")</f>
        <v>34800 BOB WILSON DR</v>
      </c>
      <c r="I1360" t="str">
        <f t="shared" si="516"/>
        <v>SAN DIEGO</v>
      </c>
      <c r="J1360" t="str">
        <f t="shared" si="521"/>
        <v>CA</v>
      </c>
      <c r="K1360" t="str">
        <f>T("000000000000000000")</f>
        <v>000000000000000000</v>
      </c>
      <c r="L1360" t="str">
        <f>T("6195326234")</f>
        <v>6195326234</v>
      </c>
    </row>
    <row r="1361" spans="1:12" x14ac:dyDescent="0.35">
      <c r="A1361" t="str">
        <f t="shared" si="517"/>
        <v>DFA, MATMAN APC NMCSD</v>
      </c>
      <c r="B1361" t="str">
        <f t="shared" si="524"/>
        <v>NMCSD</v>
      </c>
      <c r="C1361" t="str">
        <f>T("34800 BOB WILSON DRIVE")</f>
        <v>34800 BOB WILSON DRIVE</v>
      </c>
      <c r="D1361" t="str">
        <f t="shared" si="518"/>
        <v>SAN DIEGO</v>
      </c>
      <c r="E1361" t="str">
        <f t="shared" si="519"/>
        <v>CA</v>
      </c>
      <c r="F1361" t="str">
        <f>T("921341008")</f>
        <v>921341008</v>
      </c>
      <c r="G1361" t="str">
        <f>T("NMCSD")</f>
        <v>NMCSD</v>
      </c>
      <c r="H1361" t="str">
        <f>T("34800 BOB WILSON DRIVE")</f>
        <v>34800 BOB WILSON DRIVE</v>
      </c>
      <c r="I1361" t="str">
        <f t="shared" si="516"/>
        <v>SAN DIEGO</v>
      </c>
      <c r="J1361" t="str">
        <f t="shared" si="521"/>
        <v>CA</v>
      </c>
      <c r="K1361" t="str">
        <f>T("")</f>
        <v/>
      </c>
      <c r="L1361" t="str">
        <f>T("6195328797")</f>
        <v>6195328797</v>
      </c>
    </row>
    <row r="1362" spans="1:12" x14ac:dyDescent="0.35">
      <c r="A1362" t="str">
        <f t="shared" si="517"/>
        <v>DFA, MATMAN APC NMCSD</v>
      </c>
      <c r="B1362" t="str">
        <f t="shared" si="524"/>
        <v>NMCSD</v>
      </c>
      <c r="C1362" t="str">
        <f>T("34800 BOB WILSON DRIVE SUITE 8")</f>
        <v>34800 BOB WILSON DRIVE SUITE 8</v>
      </c>
      <c r="D1362" t="str">
        <f t="shared" si="518"/>
        <v>SAN DIEGO</v>
      </c>
      <c r="E1362" t="str">
        <f t="shared" si="519"/>
        <v>CA</v>
      </c>
      <c r="F1362" t="str">
        <f>T("921341008")</f>
        <v>921341008</v>
      </c>
      <c r="G1362" t="str">
        <f>T("34800 BOB WILSON DR")</f>
        <v>34800 BOB WILSON DR</v>
      </c>
      <c r="H1362" t="str">
        <f>T("")</f>
        <v/>
      </c>
      <c r="I1362" t="str">
        <f t="shared" si="516"/>
        <v>SAN DIEGO</v>
      </c>
      <c r="J1362" t="str">
        <f t="shared" si="521"/>
        <v>CA</v>
      </c>
      <c r="K1362" t="str">
        <f>T("000000000000000000")</f>
        <v>000000000000000000</v>
      </c>
      <c r="L1362" t="str">
        <f>T("6195328144")</f>
        <v>6195328144</v>
      </c>
    </row>
    <row r="1363" spans="1:12" x14ac:dyDescent="0.35">
      <c r="A1363" t="str">
        <f t="shared" si="517"/>
        <v>DFA, MATMAN APC NMCSD</v>
      </c>
      <c r="B1363" t="str">
        <f t="shared" si="524"/>
        <v>NMCSD</v>
      </c>
      <c r="C1363" t="str">
        <f>T("34800 BOB WILSON DRIVE SUITE 8")</f>
        <v>34800 BOB WILSON DRIVE SUITE 8</v>
      </c>
      <c r="D1363" t="str">
        <f t="shared" si="518"/>
        <v>SAN DIEGO</v>
      </c>
      <c r="E1363" t="str">
        <f t="shared" si="519"/>
        <v>CA</v>
      </c>
      <c r="F1363" t="str">
        <f>T("921341008")</f>
        <v>921341008</v>
      </c>
      <c r="G1363" t="str">
        <f>T("NAVAL MEDICAL CENTER - SD")</f>
        <v>NAVAL MEDICAL CENTER - SD</v>
      </c>
      <c r="H1363" t="str">
        <f>T("34800 BOB WILSON DR")</f>
        <v>34800 BOB WILSON DR</v>
      </c>
      <c r="I1363" t="str">
        <f t="shared" si="516"/>
        <v>SAN DIEGO</v>
      </c>
      <c r="J1363" t="str">
        <f t="shared" si="521"/>
        <v>CA</v>
      </c>
      <c r="K1363" t="str">
        <f>T("000000000000000000")</f>
        <v>000000000000000000</v>
      </c>
      <c r="L1363" t="str">
        <f>T("6195325219")</f>
        <v>6195325219</v>
      </c>
    </row>
    <row r="1364" spans="1:12" x14ac:dyDescent="0.35">
      <c r="A1364" t="str">
        <f t="shared" si="517"/>
        <v>DFA, MATMAN APC NMCSD</v>
      </c>
      <c r="B1364" t="str">
        <f t="shared" si="524"/>
        <v>NMCSD</v>
      </c>
      <c r="C1364" t="str">
        <f>T("34800 BOB WILSON DRIVE SUITE 8")</f>
        <v>34800 BOB WILSON DRIVE SUITE 8</v>
      </c>
      <c r="D1364" t="str">
        <f t="shared" si="518"/>
        <v>SAN DIEGO</v>
      </c>
      <c r="E1364" t="str">
        <f t="shared" si="519"/>
        <v>CA</v>
      </c>
      <c r="F1364" t="str">
        <f>T("921341008")</f>
        <v>921341008</v>
      </c>
      <c r="G1364" t="str">
        <f>T("NAVAL MEDICAL CENTER-SD")</f>
        <v>NAVAL MEDICAL CENTER-SD</v>
      </c>
      <c r="H1364" t="str">
        <f>T("34800 BOB WILSON DR")</f>
        <v>34800 BOB WILSON DR</v>
      </c>
      <c r="I1364" t="str">
        <f t="shared" si="516"/>
        <v>SAN DIEGO</v>
      </c>
      <c r="J1364" t="str">
        <f t="shared" si="521"/>
        <v>CA</v>
      </c>
      <c r="K1364" t="str">
        <f>T("000000000000000000")</f>
        <v>000000000000000000</v>
      </c>
      <c r="L1364" t="str">
        <f>T("6195326112")</f>
        <v>6195326112</v>
      </c>
    </row>
    <row r="1365" spans="1:12" x14ac:dyDescent="0.35">
      <c r="A1365" t="str">
        <f t="shared" si="517"/>
        <v>DFA, MATMAN APC NMCSD</v>
      </c>
      <c r="B1365" t="str">
        <f t="shared" si="524"/>
        <v>NMCSD</v>
      </c>
      <c r="C1365" t="str">
        <f>T("34800 BOB WILSON DRIVE SUITE 8")</f>
        <v>34800 BOB WILSON DRIVE SUITE 8</v>
      </c>
      <c r="D1365" t="str">
        <f t="shared" si="518"/>
        <v>SAN DIEGO</v>
      </c>
      <c r="E1365" t="str">
        <f t="shared" si="519"/>
        <v>CA</v>
      </c>
      <c r="F1365" t="str">
        <f>T("921341008")</f>
        <v>921341008</v>
      </c>
      <c r="G1365" t="str">
        <f>T("NMCSD")</f>
        <v>NMCSD</v>
      </c>
      <c r="H1365" t="str">
        <f>T("34800 BOB WILSON DRIVE SUITE 8")</f>
        <v>34800 BOB WILSON DRIVE SUITE 8</v>
      </c>
      <c r="I1365" t="str">
        <f t="shared" si="516"/>
        <v>SAN DIEGO</v>
      </c>
      <c r="J1365" t="str">
        <f t="shared" si="521"/>
        <v>CA</v>
      </c>
      <c r="K1365" t="str">
        <f>T("")</f>
        <v/>
      </c>
      <c r="L1365" t="str">
        <f>T("6195326888")</f>
        <v>6195326888</v>
      </c>
    </row>
    <row r="1366" spans="1:12" x14ac:dyDescent="0.35">
      <c r="A1366" t="str">
        <f t="shared" si="517"/>
        <v>DFA, MATMAN APC NMCSD</v>
      </c>
      <c r="B1366" t="str">
        <f>T("NUTRITION MANAGEMENT DEPARTMENT")</f>
        <v>NUTRITION MANAGEMENT DEPARTMENT</v>
      </c>
      <c r="C1366" t="str">
        <f>T("34800 BOB WILSON DRIVE")</f>
        <v>34800 BOB WILSON DRIVE</v>
      </c>
      <c r="D1366" t="str">
        <f t="shared" si="518"/>
        <v>SAN DIEGO</v>
      </c>
      <c r="E1366" t="str">
        <f t="shared" si="519"/>
        <v>CA</v>
      </c>
      <c r="F1366" t="str">
        <f t="shared" ref="F1366:F1371" si="525">T("921341098")</f>
        <v>921341098</v>
      </c>
      <c r="G1366" t="str">
        <f>T("NAVAL MEDICAL CENTER SAN DIEGO")</f>
        <v>NAVAL MEDICAL CENTER SAN DIEGO</v>
      </c>
      <c r="H1366" t="str">
        <f>T("34800 BOB WILSON DRIVE")</f>
        <v>34800 BOB WILSON DRIVE</v>
      </c>
      <c r="I1366" t="str">
        <f t="shared" si="516"/>
        <v>SAN DIEGO</v>
      </c>
      <c r="J1366" t="str">
        <f t="shared" si="521"/>
        <v>CA</v>
      </c>
      <c r="K1366" t="str">
        <f>T("000000000000000000")</f>
        <v>000000000000000000</v>
      </c>
      <c r="L1366" t="str">
        <f>T("6195328531")</f>
        <v>6195328531</v>
      </c>
    </row>
    <row r="1367" spans="1:12" x14ac:dyDescent="0.35">
      <c r="A1367" t="str">
        <f t="shared" si="517"/>
        <v>DFA, MATMAN APC NMCSD</v>
      </c>
      <c r="B1367" t="str">
        <f>T("NUTRITION MANAGEMENT DEPARTMENT")</f>
        <v>NUTRITION MANAGEMENT DEPARTMENT</v>
      </c>
      <c r="C1367" t="str">
        <f>T("34800 BOB WILSON DRIVE")</f>
        <v>34800 BOB WILSON DRIVE</v>
      </c>
      <c r="D1367" t="str">
        <f t="shared" si="518"/>
        <v>SAN DIEGO</v>
      </c>
      <c r="E1367" t="str">
        <f t="shared" si="519"/>
        <v>CA</v>
      </c>
      <c r="F1367" t="str">
        <f t="shared" si="525"/>
        <v>921341098</v>
      </c>
      <c r="G1367" t="str">
        <f>T("NMCSD")</f>
        <v>NMCSD</v>
      </c>
      <c r="H1367" t="str">
        <f>T("34800 BOB WILSON DR")</f>
        <v>34800 BOB WILSON DR</v>
      </c>
      <c r="I1367" t="str">
        <f t="shared" si="516"/>
        <v>SAN DIEGO</v>
      </c>
      <c r="J1367" t="str">
        <f t="shared" si="521"/>
        <v>CA</v>
      </c>
      <c r="K1367" t="str">
        <f>T("000000000000000000")</f>
        <v>000000000000000000</v>
      </c>
      <c r="L1367" t="str">
        <f>T("6195328531")</f>
        <v>6195328531</v>
      </c>
    </row>
    <row r="1368" spans="1:12" x14ac:dyDescent="0.35">
      <c r="A1368" t="str">
        <f t="shared" si="517"/>
        <v>DFA, MATMAN APC NMCSD</v>
      </c>
      <c r="B1368" t="str">
        <f>T("NUTRITION MANAGEMENT DEPARTMENT")</f>
        <v>NUTRITION MANAGEMENT DEPARTMENT</v>
      </c>
      <c r="C1368" t="str">
        <f>T("34800 BOB WILSON DRIVE")</f>
        <v>34800 BOB WILSON DRIVE</v>
      </c>
      <c r="D1368" t="str">
        <f t="shared" si="518"/>
        <v>SAN DIEGO</v>
      </c>
      <c r="E1368" t="str">
        <f t="shared" si="519"/>
        <v>CA</v>
      </c>
      <c r="F1368" t="str">
        <f t="shared" si="525"/>
        <v>921341098</v>
      </c>
      <c r="G1368" t="str">
        <f>T("NUTRITION MANAGEMENT DEPARTMENT")</f>
        <v>NUTRITION MANAGEMENT DEPARTMENT</v>
      </c>
      <c r="H1368" t="str">
        <f>T("34800 BOB WILSON DRIVE")</f>
        <v>34800 BOB WILSON DRIVE</v>
      </c>
      <c r="I1368" t="str">
        <f t="shared" si="516"/>
        <v>SAN DIEGO</v>
      </c>
      <c r="J1368" t="str">
        <f t="shared" si="521"/>
        <v>CA</v>
      </c>
      <c r="K1368" t="str">
        <f>T("")</f>
        <v/>
      </c>
      <c r="L1368" t="str">
        <f>T("6195328522")</f>
        <v>6195328522</v>
      </c>
    </row>
    <row r="1369" spans="1:12" x14ac:dyDescent="0.35">
      <c r="A1369" t="str">
        <f t="shared" si="517"/>
        <v>DFA, MATMAN APC NMCSD</v>
      </c>
      <c r="B1369" t="str">
        <f>T("PHARMACY")</f>
        <v>PHARMACY</v>
      </c>
      <c r="C1369" t="str">
        <f>T("34800 BOB WILSON DR")</f>
        <v>34800 BOB WILSON DR</v>
      </c>
      <c r="D1369" t="str">
        <f t="shared" si="518"/>
        <v>SAN DIEGO</v>
      </c>
      <c r="E1369" t="str">
        <f t="shared" si="519"/>
        <v>CA</v>
      </c>
      <c r="F1369" t="str">
        <f t="shared" si="525"/>
        <v>921341098</v>
      </c>
      <c r="G1369" t="str">
        <f>T("34800 BOB WILSON DRIVE")</f>
        <v>34800 BOB WILSON DRIVE</v>
      </c>
      <c r="H1369" t="str">
        <f>T("")</f>
        <v/>
      </c>
      <c r="I1369" t="str">
        <f t="shared" si="516"/>
        <v>SAN DIEGO</v>
      </c>
      <c r="J1369" t="str">
        <f t="shared" si="521"/>
        <v>CA</v>
      </c>
      <c r="K1369" t="str">
        <f>T("000000000000000000")</f>
        <v>000000000000000000</v>
      </c>
      <c r="L1369" t="str">
        <f>T("6195326025")</f>
        <v>6195326025</v>
      </c>
    </row>
    <row r="1370" spans="1:12" x14ac:dyDescent="0.35">
      <c r="A1370" t="str">
        <f t="shared" si="517"/>
        <v>DFA, MATMAN APC NMCSD</v>
      </c>
      <c r="B1370" t="str">
        <f>T("PHARMACY")</f>
        <v>PHARMACY</v>
      </c>
      <c r="C1370" t="str">
        <f>T("34800 BOB WILSON DR")</f>
        <v>34800 BOB WILSON DR</v>
      </c>
      <c r="D1370" t="str">
        <f t="shared" si="518"/>
        <v>SAN DIEGO</v>
      </c>
      <c r="E1370" t="str">
        <f t="shared" si="519"/>
        <v>CA</v>
      </c>
      <c r="F1370" t="str">
        <f t="shared" si="525"/>
        <v>921341098</v>
      </c>
      <c r="G1370" t="str">
        <f>T("NMCSD")</f>
        <v>NMCSD</v>
      </c>
      <c r="H1370" t="str">
        <f>T("34800 BOB WILSON DR")</f>
        <v>34800 BOB WILSON DR</v>
      </c>
      <c r="I1370" t="str">
        <f t="shared" si="516"/>
        <v>SAN DIEGO</v>
      </c>
      <c r="J1370" t="str">
        <f t="shared" si="521"/>
        <v>CA</v>
      </c>
      <c r="K1370" t="str">
        <f>T("000000000000000000")</f>
        <v>000000000000000000</v>
      </c>
      <c r="L1370" t="str">
        <f>T("6195325899")</f>
        <v>6195325899</v>
      </c>
    </row>
    <row r="1371" spans="1:12" x14ac:dyDescent="0.35">
      <c r="A1371" t="str">
        <f t="shared" si="517"/>
        <v>DFA, MATMAN APC NMCSD</v>
      </c>
      <c r="B1371" t="str">
        <f>T("PHARMACY")</f>
        <v>PHARMACY</v>
      </c>
      <c r="C1371" t="str">
        <f>T("34800 BOB WILSON DR")</f>
        <v>34800 BOB WILSON DR</v>
      </c>
      <c r="D1371" t="str">
        <f t="shared" si="518"/>
        <v>SAN DIEGO</v>
      </c>
      <c r="E1371" t="str">
        <f t="shared" si="519"/>
        <v>CA</v>
      </c>
      <c r="F1371" t="str">
        <f t="shared" si="525"/>
        <v>921341098</v>
      </c>
      <c r="G1371" t="str">
        <f>T("PHARMACY")</f>
        <v>PHARMACY</v>
      </c>
      <c r="H1371" t="str">
        <f>T("34800 BOB WILSON DR")</f>
        <v>34800 BOB WILSON DR</v>
      </c>
      <c r="I1371" t="str">
        <f t="shared" si="516"/>
        <v>SAN DIEGO</v>
      </c>
      <c r="J1371" t="str">
        <f t="shared" si="521"/>
        <v>CA</v>
      </c>
      <c r="K1371" t="str">
        <f>T("")</f>
        <v/>
      </c>
      <c r="L1371" t="str">
        <f>T("6195328407")</f>
        <v>6195328407</v>
      </c>
    </row>
    <row r="1372" spans="1:12" x14ac:dyDescent="0.35">
      <c r="A1372" t="str">
        <f t="shared" ref="A1372:A1403" si="526">T("NH CAMP PENDLETON")</f>
        <v>NH CAMP PENDLETON</v>
      </c>
      <c r="B1372" t="str">
        <f>T("FINANCIAL MGMT")</f>
        <v>FINANCIAL MGMT</v>
      </c>
      <c r="C1372" t="str">
        <f>T("NH CAMP PENDLETON")</f>
        <v>NH CAMP PENDLETON</v>
      </c>
      <c r="D1372" t="str">
        <f>T("CAMP PENDLETON")</f>
        <v>CAMP PENDLETON</v>
      </c>
      <c r="E1372" t="str">
        <f t="shared" si="519"/>
        <v>CA</v>
      </c>
      <c r="F1372" t="str">
        <f t="shared" ref="F1372:F1403" si="527">T("920555191")</f>
        <v>920555191</v>
      </c>
      <c r="G1372" t="str">
        <f>T("FINANCIAL MGMT")</f>
        <v>FINANCIAL MGMT</v>
      </c>
      <c r="H1372" t="str">
        <f>T("NH CAMP PENDLETON")</f>
        <v>NH CAMP PENDLETON</v>
      </c>
      <c r="I1372" t="str">
        <f>T("CAMP PENDLETON")</f>
        <v>CAMP PENDLETON</v>
      </c>
      <c r="J1372" t="str">
        <f t="shared" si="521"/>
        <v>CA</v>
      </c>
      <c r="K1372" t="str">
        <f>T("7607251661")</f>
        <v>7607251661</v>
      </c>
      <c r="L1372" t="str">
        <f>T("7607259264")</f>
        <v>7607259264</v>
      </c>
    </row>
    <row r="1373" spans="1:12" x14ac:dyDescent="0.35">
      <c r="A1373" t="str">
        <f t="shared" si="526"/>
        <v>NH CAMP PENDLETON</v>
      </c>
      <c r="B1373" t="str">
        <f>T("FINANCIAL MGMT")</f>
        <v>FINANCIAL MGMT</v>
      </c>
      <c r="C1373" t="str">
        <f>T("NH CAMP PENDLETON")</f>
        <v>NH CAMP PENDLETON</v>
      </c>
      <c r="D1373" t="str">
        <f>T("CAMP PENDLETON")</f>
        <v>CAMP PENDLETON</v>
      </c>
      <c r="E1373" t="str">
        <f t="shared" si="519"/>
        <v>CA</v>
      </c>
      <c r="F1373" t="str">
        <f t="shared" si="527"/>
        <v>920555191</v>
      </c>
      <c r="G1373" t="str">
        <f>T("NAVAL HOSPITAL CAMP PENDLETON")</f>
        <v>NAVAL HOSPITAL CAMP PENDLETON</v>
      </c>
      <c r="H1373" t="str">
        <f>T("MAT MGMT BLDG H136")</f>
        <v>MAT MGMT BLDG H136</v>
      </c>
      <c r="I1373" t="str">
        <f>T("CAMP PENDLETON")</f>
        <v>CAMP PENDLETON</v>
      </c>
      <c r="J1373" t="str">
        <f t="shared" si="521"/>
        <v>CA</v>
      </c>
      <c r="K1373" t="str">
        <f>T("000000000000000000")</f>
        <v>000000000000000000</v>
      </c>
      <c r="L1373" t="str">
        <f>T("7607258224")</f>
        <v>7607258224</v>
      </c>
    </row>
    <row r="1374" spans="1:12" x14ac:dyDescent="0.35">
      <c r="A1374" t="str">
        <f t="shared" si="526"/>
        <v>NH CAMP PENDLETON</v>
      </c>
      <c r="B1374" t="str">
        <f>T("FINANCIAL MGT")</f>
        <v>FINANCIAL MGT</v>
      </c>
      <c r="C1374" t="str">
        <f>T("NH CAMP PENDLETON")</f>
        <v>NH CAMP PENDLETON</v>
      </c>
      <c r="D1374" t="str">
        <f t="shared" ref="D1374:D1414" si="528">T("CMP PENDLETON")</f>
        <v>CMP PENDLETON</v>
      </c>
      <c r="E1374" t="str">
        <f t="shared" si="519"/>
        <v>CA</v>
      </c>
      <c r="F1374" t="str">
        <f t="shared" si="527"/>
        <v>920555191</v>
      </c>
      <c r="G1374" t="str">
        <f>T("FINANCIAL MGT")</f>
        <v>FINANCIAL MGT</v>
      </c>
      <c r="H1374" t="str">
        <f>T("NH CAMP PENDLETON")</f>
        <v>NH CAMP PENDLETON</v>
      </c>
      <c r="I1374" t="str">
        <f>T("CMP PENDLETON")</f>
        <v>CMP PENDLETON</v>
      </c>
      <c r="J1374" t="str">
        <f t="shared" si="521"/>
        <v>CA</v>
      </c>
      <c r="K1374" t="str">
        <f>T("7607251661")</f>
        <v>7607251661</v>
      </c>
      <c r="L1374" t="str">
        <f>T("7607250953")</f>
        <v>7607250953</v>
      </c>
    </row>
    <row r="1375" spans="1:12" x14ac:dyDescent="0.35">
      <c r="A1375" t="str">
        <f t="shared" si="526"/>
        <v>NH CAMP PENDLETON</v>
      </c>
      <c r="B1375" t="str">
        <f>T("FINANCIAL MGT")</f>
        <v>FINANCIAL MGT</v>
      </c>
      <c r="C1375" t="str">
        <f>T("NH CAMP PENDLETON")</f>
        <v>NH CAMP PENDLETON</v>
      </c>
      <c r="D1375" t="str">
        <f t="shared" si="528"/>
        <v>CMP PENDLETON</v>
      </c>
      <c r="E1375" t="str">
        <f t="shared" si="519"/>
        <v>CA</v>
      </c>
      <c r="F1375" t="str">
        <f t="shared" si="527"/>
        <v>920555191</v>
      </c>
      <c r="G1375" t="str">
        <f>T("NAVAL HOSPITAL CAMP PENDLETON")</f>
        <v>NAVAL HOSPITAL CAMP PENDLETON</v>
      </c>
      <c r="H1375" t="str">
        <f>T("BOX 555191")</f>
        <v>BOX 555191</v>
      </c>
      <c r="I1375" t="str">
        <f>T("CAMP PENDLETON")</f>
        <v>CAMP PENDLETON</v>
      </c>
      <c r="J1375" t="str">
        <f t="shared" si="521"/>
        <v>CA</v>
      </c>
      <c r="K1375" t="str">
        <f>T("7607251661")</f>
        <v>7607251661</v>
      </c>
      <c r="L1375" t="str">
        <f>T("7607251482")</f>
        <v>7607251482</v>
      </c>
    </row>
    <row r="1376" spans="1:12" x14ac:dyDescent="0.35">
      <c r="A1376" t="str">
        <f t="shared" si="526"/>
        <v>NH CAMP PENDLETON</v>
      </c>
      <c r="B1376" t="str">
        <f>T("MAT MGMT")</f>
        <v>MAT MGMT</v>
      </c>
      <c r="C1376" t="str">
        <f>T("BLDG H136")</f>
        <v>BLDG H136</v>
      </c>
      <c r="D1376" t="str">
        <f t="shared" si="528"/>
        <v>CMP PENDLETON</v>
      </c>
      <c r="E1376" t="str">
        <f t="shared" si="519"/>
        <v>CA</v>
      </c>
      <c r="F1376" t="str">
        <f t="shared" si="527"/>
        <v>920555191</v>
      </c>
      <c r="G1376" t="str">
        <f>T("MAT MGMT")</f>
        <v>MAT MGMT</v>
      </c>
      <c r="H1376" t="str">
        <f>T("BLDG H136")</f>
        <v>BLDG H136</v>
      </c>
      <c r="I1376" t="str">
        <f>T("CMP PENDLETON")</f>
        <v>CMP PENDLETON</v>
      </c>
      <c r="J1376" t="str">
        <f t="shared" si="521"/>
        <v>CA</v>
      </c>
      <c r="K1376" t="str">
        <f>T("7607251485")</f>
        <v>7607251485</v>
      </c>
      <c r="L1376" t="str">
        <f>T("7607258051")</f>
        <v>7607258051</v>
      </c>
    </row>
    <row r="1377" spans="1:12" x14ac:dyDescent="0.35">
      <c r="A1377" t="str">
        <f t="shared" si="526"/>
        <v>NH CAMP PENDLETON</v>
      </c>
      <c r="B1377" t="str">
        <f>T("MAT MGMT")</f>
        <v>MAT MGMT</v>
      </c>
      <c r="C1377" t="str">
        <f>T("BLDG H136")</f>
        <v>BLDG H136</v>
      </c>
      <c r="D1377" t="str">
        <f t="shared" si="528"/>
        <v>CMP PENDLETON</v>
      </c>
      <c r="E1377" t="str">
        <f t="shared" ref="E1377:E1408" si="529">T("CA")</f>
        <v>CA</v>
      </c>
      <c r="F1377" t="str">
        <f t="shared" si="527"/>
        <v>920555191</v>
      </c>
      <c r="G1377" t="str">
        <f>T("NAVAL HOSPITAL CAMP PENDLETON")</f>
        <v>NAVAL HOSPITAL CAMP PENDLETON</v>
      </c>
      <c r="H1377" t="str">
        <f>T("BLDG H136 MAT MGMT")</f>
        <v>BLDG H136 MAT MGMT</v>
      </c>
      <c r="I1377" t="str">
        <f>T("CAMP PENDLETON")</f>
        <v>CAMP PENDLETON</v>
      </c>
      <c r="J1377" t="str">
        <f t="shared" ref="J1377:J1408" si="530">T("CA")</f>
        <v>CA</v>
      </c>
      <c r="K1377" t="str">
        <f>T("8059826418")</f>
        <v>8059826418</v>
      </c>
      <c r="L1377" t="str">
        <f>T("8059826401")</f>
        <v>8059826401</v>
      </c>
    </row>
    <row r="1378" spans="1:12" x14ac:dyDescent="0.35">
      <c r="A1378" t="str">
        <f t="shared" si="526"/>
        <v>NH CAMP PENDLETON</v>
      </c>
      <c r="B1378" t="str">
        <f>T("NAV HOSPITAL CAMP PENDLETON")</f>
        <v>NAV HOSPITAL CAMP PENDLETON</v>
      </c>
      <c r="C1378" t="str">
        <f>T("MAT MGMT BLDG 555191")</f>
        <v>MAT MGMT BLDG 555191</v>
      </c>
      <c r="D1378" t="str">
        <f t="shared" si="528"/>
        <v>CMP PENDLETON</v>
      </c>
      <c r="E1378" t="str">
        <f t="shared" si="529"/>
        <v>CA</v>
      </c>
      <c r="F1378" t="str">
        <f t="shared" si="527"/>
        <v>920555191</v>
      </c>
      <c r="G1378" t="str">
        <f>T("NAV HOSPITAL CAMP PENDLETON")</f>
        <v>NAV HOSPITAL CAMP PENDLETON</v>
      </c>
      <c r="H1378" t="str">
        <f>T("MAT MGMT BLDG 555191")</f>
        <v>MAT MGMT BLDG 555191</v>
      </c>
      <c r="I1378" t="str">
        <f>T("CMP PENDLETON")</f>
        <v>CMP PENDLETON</v>
      </c>
      <c r="J1378" t="str">
        <f t="shared" si="530"/>
        <v>CA</v>
      </c>
      <c r="K1378" t="str">
        <f>T("7607250564")</f>
        <v>7607250564</v>
      </c>
      <c r="L1378" t="str">
        <f>T("7607250223")</f>
        <v>7607250223</v>
      </c>
    </row>
    <row r="1379" spans="1:12" x14ac:dyDescent="0.35">
      <c r="A1379" t="str">
        <f t="shared" si="526"/>
        <v>NH CAMP PENDLETON</v>
      </c>
      <c r="B1379" t="str">
        <f>T("NAV HOSPITAL CAMP PENDLETON")</f>
        <v>NAV HOSPITAL CAMP PENDLETON</v>
      </c>
      <c r="C1379" t="str">
        <f>T("MAT MGMT BLDG 555191")</f>
        <v>MAT MGMT BLDG 555191</v>
      </c>
      <c r="D1379" t="str">
        <f t="shared" si="528"/>
        <v>CMP PENDLETON</v>
      </c>
      <c r="E1379" t="str">
        <f t="shared" si="529"/>
        <v>CA</v>
      </c>
      <c r="F1379" t="str">
        <f t="shared" si="527"/>
        <v>920555191</v>
      </c>
      <c r="G1379" t="str">
        <f>T("NAVAL HOSPITAL CAMP PENDLETON")</f>
        <v>NAVAL HOSPITAL CAMP PENDLETON</v>
      </c>
      <c r="H1379" t="str">
        <f>T("MAT MGMT BLDG H136")</f>
        <v>MAT MGMT BLDG H136</v>
      </c>
      <c r="I1379" t="str">
        <f>T("CAMP PENDLETON")</f>
        <v>CAMP PENDLETON</v>
      </c>
      <c r="J1379" t="str">
        <f t="shared" si="530"/>
        <v>CA</v>
      </c>
      <c r="K1379" t="str">
        <f>T("7607251405")</f>
        <v>7607251405</v>
      </c>
      <c r="L1379" t="str">
        <f>T("7607193537")</f>
        <v>7607193537</v>
      </c>
    </row>
    <row r="1380" spans="1:12" x14ac:dyDescent="0.35">
      <c r="A1380" t="str">
        <f t="shared" si="526"/>
        <v>NH CAMP PENDLETON</v>
      </c>
      <c r="B1380" t="str">
        <f t="shared" ref="B1380:B1385" si="531">T("NAVAL HOSP CAMP PENDLETON")</f>
        <v>NAVAL HOSP CAMP PENDLETON</v>
      </c>
      <c r="C1380" t="str">
        <f t="shared" ref="C1380:C1385" si="532">T("MATERIAL MGMT BOX 555191")</f>
        <v>MATERIAL MGMT BOX 555191</v>
      </c>
      <c r="D1380" t="str">
        <f t="shared" si="528"/>
        <v>CMP PENDLETON</v>
      </c>
      <c r="E1380" t="str">
        <f t="shared" si="529"/>
        <v>CA</v>
      </c>
      <c r="F1380" t="str">
        <f t="shared" si="527"/>
        <v>920555191</v>
      </c>
      <c r="G1380" t="str">
        <f>T("NAVAL HOSP CAMP PENDLETON")</f>
        <v>NAVAL HOSP CAMP PENDLETON</v>
      </c>
      <c r="H1380" t="str">
        <f>T("MATERIAL MGMT BOX 555191")</f>
        <v>MATERIAL MGMT BOX 555191</v>
      </c>
      <c r="I1380" t="str">
        <f>T("CMP PENDLETON")</f>
        <v>CMP PENDLETON</v>
      </c>
      <c r="J1380" t="str">
        <f t="shared" si="530"/>
        <v>CA</v>
      </c>
      <c r="K1380" t="str">
        <f>T("7607251485")</f>
        <v>7607251485</v>
      </c>
      <c r="L1380" t="str">
        <f>T("7607251036")</f>
        <v>7607251036</v>
      </c>
    </row>
    <row r="1381" spans="1:12" x14ac:dyDescent="0.35">
      <c r="A1381" t="str">
        <f t="shared" si="526"/>
        <v>NH CAMP PENDLETON</v>
      </c>
      <c r="B1381" t="str">
        <f t="shared" si="531"/>
        <v>NAVAL HOSP CAMP PENDLETON</v>
      </c>
      <c r="C1381" t="str">
        <f t="shared" si="532"/>
        <v>MATERIAL MGMT BOX 555191</v>
      </c>
      <c r="D1381" t="str">
        <f t="shared" si="528"/>
        <v>CMP PENDLETON</v>
      </c>
      <c r="E1381" t="str">
        <f t="shared" si="529"/>
        <v>CA</v>
      </c>
      <c r="F1381" t="str">
        <f t="shared" si="527"/>
        <v>920555191</v>
      </c>
      <c r="G1381" t="str">
        <f>T("NAVAL HOSPITAL CAMP PENDLETON")</f>
        <v>NAVAL HOSPITAL CAMP PENDLETON</v>
      </c>
      <c r="H1381" t="str">
        <f>T("BLDG H135 MAT MGMT")</f>
        <v>BLDG H135 MAT MGMT</v>
      </c>
      <c r="I1381" t="str">
        <f t="shared" ref="I1381:I1388" si="533">T("CAMP PENDLETON")</f>
        <v>CAMP PENDLETON</v>
      </c>
      <c r="J1381" t="str">
        <f t="shared" si="530"/>
        <v>CA</v>
      </c>
      <c r="K1381" t="str">
        <f>T("7607256668")</f>
        <v>7607256668</v>
      </c>
      <c r="L1381" t="str">
        <f>T("7606816774")</f>
        <v>7606816774</v>
      </c>
    </row>
    <row r="1382" spans="1:12" x14ac:dyDescent="0.35">
      <c r="A1382" t="str">
        <f t="shared" si="526"/>
        <v>NH CAMP PENDLETON</v>
      </c>
      <c r="B1382" t="str">
        <f t="shared" si="531"/>
        <v>NAVAL HOSP CAMP PENDLETON</v>
      </c>
      <c r="C1382" t="str">
        <f t="shared" si="532"/>
        <v>MATERIAL MGMT BOX 555191</v>
      </c>
      <c r="D1382" t="str">
        <f t="shared" si="528"/>
        <v>CMP PENDLETON</v>
      </c>
      <c r="E1382" t="str">
        <f t="shared" si="529"/>
        <v>CA</v>
      </c>
      <c r="F1382" t="str">
        <f t="shared" si="527"/>
        <v>920555191</v>
      </c>
      <c r="G1382" t="str">
        <f>T("NAVAL HOSPITAL CAMP PENDLETON")</f>
        <v>NAVAL HOSPITAL CAMP PENDLETON</v>
      </c>
      <c r="H1382" t="str">
        <f>T("BLDG H136 MMD")</f>
        <v>BLDG H136 MMD</v>
      </c>
      <c r="I1382" t="str">
        <f t="shared" si="533"/>
        <v>CAMP PENDLETON</v>
      </c>
      <c r="J1382" t="str">
        <f t="shared" si="530"/>
        <v>CA</v>
      </c>
      <c r="K1382" t="str">
        <f>T("000000000000000000")</f>
        <v>000000000000000000</v>
      </c>
      <c r="L1382" t="str">
        <f>T("7607194774")</f>
        <v>7607194774</v>
      </c>
    </row>
    <row r="1383" spans="1:12" x14ac:dyDescent="0.35">
      <c r="A1383" t="str">
        <f t="shared" si="526"/>
        <v>NH CAMP PENDLETON</v>
      </c>
      <c r="B1383" t="str">
        <f t="shared" si="531"/>
        <v>NAVAL HOSP CAMP PENDLETON</v>
      </c>
      <c r="C1383" t="str">
        <f t="shared" si="532"/>
        <v>MATERIAL MGMT BOX 555191</v>
      </c>
      <c r="D1383" t="str">
        <f t="shared" si="528"/>
        <v>CMP PENDLETON</v>
      </c>
      <c r="E1383" t="str">
        <f t="shared" si="529"/>
        <v>CA</v>
      </c>
      <c r="F1383" t="str">
        <f t="shared" si="527"/>
        <v>920555191</v>
      </c>
      <c r="G1383" t="str">
        <f>T("NAVAL HOSPITAL CAMP PENDLETON")</f>
        <v>NAVAL HOSPITAL CAMP PENDLETON</v>
      </c>
      <c r="H1383" t="str">
        <f>T("BOX 555191")</f>
        <v>BOX 555191</v>
      </c>
      <c r="I1383" t="str">
        <f t="shared" si="533"/>
        <v>CAMP PENDLETON</v>
      </c>
      <c r="J1383" t="str">
        <f t="shared" si="530"/>
        <v>CA</v>
      </c>
      <c r="K1383" t="str">
        <f>T("7607250231")</f>
        <v>7607250231</v>
      </c>
      <c r="L1383" t="str">
        <f>T("7607253315")</f>
        <v>7607253315</v>
      </c>
    </row>
    <row r="1384" spans="1:12" x14ac:dyDescent="0.35">
      <c r="A1384" t="str">
        <f t="shared" si="526"/>
        <v>NH CAMP PENDLETON</v>
      </c>
      <c r="B1384" t="str">
        <f t="shared" si="531"/>
        <v>NAVAL HOSP CAMP PENDLETON</v>
      </c>
      <c r="C1384" t="str">
        <f t="shared" si="532"/>
        <v>MATERIAL MGMT BOX 555191</v>
      </c>
      <c r="D1384" t="str">
        <f t="shared" si="528"/>
        <v>CMP PENDLETON</v>
      </c>
      <c r="E1384" t="str">
        <f t="shared" si="529"/>
        <v>CA</v>
      </c>
      <c r="F1384" t="str">
        <f t="shared" si="527"/>
        <v>920555191</v>
      </c>
      <c r="G1384" t="str">
        <f>T("NAVAL HOSPITAL CAMP PENDLETON")</f>
        <v>NAVAL HOSPITAL CAMP PENDLETON</v>
      </c>
      <c r="H1384" t="str">
        <f>T("MAT MGMT BLDG H136")</f>
        <v>MAT MGMT BLDG H136</v>
      </c>
      <c r="I1384" t="str">
        <f t="shared" si="533"/>
        <v>CAMP PENDLETON</v>
      </c>
      <c r="J1384" t="str">
        <f t="shared" si="530"/>
        <v>CA</v>
      </c>
      <c r="K1384" t="str">
        <f>T("7607256668")</f>
        <v>7607256668</v>
      </c>
      <c r="L1384" t="str">
        <f>T("7607257499")</f>
        <v>7607257499</v>
      </c>
    </row>
    <row r="1385" spans="1:12" x14ac:dyDescent="0.35">
      <c r="A1385" t="str">
        <f t="shared" si="526"/>
        <v>NH CAMP PENDLETON</v>
      </c>
      <c r="B1385" t="str">
        <f t="shared" si="531"/>
        <v>NAVAL HOSP CAMP PENDLETON</v>
      </c>
      <c r="C1385" t="str">
        <f t="shared" si="532"/>
        <v>MATERIAL MGMT BOX 555191</v>
      </c>
      <c r="D1385" t="str">
        <f t="shared" si="528"/>
        <v>CMP PENDLETON</v>
      </c>
      <c r="E1385" t="str">
        <f t="shared" si="529"/>
        <v>CA</v>
      </c>
      <c r="F1385" t="str">
        <f t="shared" si="527"/>
        <v>920555191</v>
      </c>
      <c r="G1385" t="str">
        <f>T("NAVAL HOSPITAL CAMP PENDLETON")</f>
        <v>NAVAL HOSPITAL CAMP PENDLETON</v>
      </c>
      <c r="H1385" t="str">
        <f>T("MMD BLDG H136")</f>
        <v>MMD BLDG H136</v>
      </c>
      <c r="I1385" t="str">
        <f t="shared" si="533"/>
        <v>CAMP PENDLETON</v>
      </c>
      <c r="J1385" t="str">
        <f t="shared" si="530"/>
        <v>CA</v>
      </c>
      <c r="K1385" t="str">
        <f>T("7607250231")</f>
        <v>7607250231</v>
      </c>
      <c r="L1385" t="str">
        <f>T("7607193520")</f>
        <v>7607193520</v>
      </c>
    </row>
    <row r="1386" spans="1:12" x14ac:dyDescent="0.35">
      <c r="A1386" t="str">
        <f t="shared" si="526"/>
        <v>NH CAMP PENDLETON</v>
      </c>
      <c r="B1386" t="str">
        <f t="shared" ref="B1386:B1420" si="534">T("NAVAL HOSPITAL CAMP PENDLETON")</f>
        <v>NAVAL HOSPITAL CAMP PENDLETON</v>
      </c>
      <c r="C1386" t="str">
        <f>T("BOX 555191")</f>
        <v>BOX 555191</v>
      </c>
      <c r="D1386" t="str">
        <f t="shared" si="528"/>
        <v>CMP PENDLETON</v>
      </c>
      <c r="E1386" t="str">
        <f t="shared" si="529"/>
        <v>CA</v>
      </c>
      <c r="F1386" t="str">
        <f t="shared" si="527"/>
        <v>920555191</v>
      </c>
      <c r="G1386" t="str">
        <f>T("NAVAL HOSPITAL")</f>
        <v>NAVAL HOSPITAL</v>
      </c>
      <c r="H1386" t="str">
        <f>T("BOX 555191")</f>
        <v>BOX 555191</v>
      </c>
      <c r="I1386" t="str">
        <f t="shared" si="533"/>
        <v>CAMP PENDLETON</v>
      </c>
      <c r="J1386" t="str">
        <f t="shared" si="530"/>
        <v>CA</v>
      </c>
      <c r="K1386" t="str">
        <f>T("000000000000000000")</f>
        <v>000000000000000000</v>
      </c>
      <c r="L1386" t="str">
        <f>T("7607253322")</f>
        <v>7607253322</v>
      </c>
    </row>
    <row r="1387" spans="1:12" x14ac:dyDescent="0.35">
      <c r="A1387" t="str">
        <f t="shared" si="526"/>
        <v>NH CAMP PENDLETON</v>
      </c>
      <c r="B1387" t="str">
        <f t="shared" si="534"/>
        <v>NAVAL HOSPITAL CAMP PENDLETON</v>
      </c>
      <c r="C1387" t="str">
        <f>T("BOX 555191")</f>
        <v>BOX 555191</v>
      </c>
      <c r="D1387" t="str">
        <f t="shared" si="528"/>
        <v>CMP PENDLETON</v>
      </c>
      <c r="E1387" t="str">
        <f t="shared" si="529"/>
        <v>CA</v>
      </c>
      <c r="F1387" t="str">
        <f t="shared" si="527"/>
        <v>920555191</v>
      </c>
      <c r="G1387" t="str">
        <f>T("NAVAL HOSPITAL")</f>
        <v>NAVAL HOSPITAL</v>
      </c>
      <c r="H1387" t="str">
        <f>T("BOX 555191")</f>
        <v>BOX 555191</v>
      </c>
      <c r="I1387" t="str">
        <f t="shared" si="533"/>
        <v>CAMP PENDLETON</v>
      </c>
      <c r="J1387" t="str">
        <f t="shared" si="530"/>
        <v>CA</v>
      </c>
      <c r="K1387" t="str">
        <f>T("000000000000000000")</f>
        <v>000000000000000000</v>
      </c>
      <c r="L1387" t="str">
        <f>T("8059826405")</f>
        <v>8059826405</v>
      </c>
    </row>
    <row r="1388" spans="1:12" x14ac:dyDescent="0.35">
      <c r="A1388" t="str">
        <f t="shared" si="526"/>
        <v>NH CAMP PENDLETON</v>
      </c>
      <c r="B1388" t="str">
        <f t="shared" si="534"/>
        <v>NAVAL HOSPITAL CAMP PENDLETON</v>
      </c>
      <c r="C1388" t="str">
        <f>T("BOX 555191")</f>
        <v>BOX 555191</v>
      </c>
      <c r="D1388" t="str">
        <f t="shared" si="528"/>
        <v>CMP PENDLETON</v>
      </c>
      <c r="E1388" t="str">
        <f t="shared" si="529"/>
        <v>CA</v>
      </c>
      <c r="F1388" t="str">
        <f t="shared" si="527"/>
        <v>920555191</v>
      </c>
      <c r="G1388" t="str">
        <f t="shared" ref="G1388:G1420" si="535">T("NAVAL HOSPITAL CAMP PENDLETON")</f>
        <v>NAVAL HOSPITAL CAMP PENDLETON</v>
      </c>
      <c r="H1388" t="str">
        <f>T("BOX 555191")</f>
        <v>BOX 555191</v>
      </c>
      <c r="I1388" t="str">
        <f t="shared" si="533"/>
        <v>CAMP PENDLETON</v>
      </c>
      <c r="J1388" t="str">
        <f t="shared" si="530"/>
        <v>CA</v>
      </c>
      <c r="K1388" t="str">
        <f>T("7607250337")</f>
        <v>7607250337</v>
      </c>
      <c r="L1388" t="str">
        <f>T("7607193024")</f>
        <v>7607193024</v>
      </c>
    </row>
    <row r="1389" spans="1:12" x14ac:dyDescent="0.35">
      <c r="A1389" t="str">
        <f t="shared" si="526"/>
        <v>NH CAMP PENDLETON</v>
      </c>
      <c r="B1389" t="str">
        <f t="shared" si="534"/>
        <v>NAVAL HOSPITAL CAMP PENDLETON</v>
      </c>
      <c r="C1389" t="str">
        <f>T("BOX 555191")</f>
        <v>BOX 555191</v>
      </c>
      <c r="D1389" t="str">
        <f t="shared" si="528"/>
        <v>CMP PENDLETON</v>
      </c>
      <c r="E1389" t="str">
        <f t="shared" si="529"/>
        <v>CA</v>
      </c>
      <c r="F1389" t="str">
        <f t="shared" si="527"/>
        <v>920555191</v>
      </c>
      <c r="G1389" t="str">
        <f t="shared" si="535"/>
        <v>NAVAL HOSPITAL CAMP PENDLETON</v>
      </c>
      <c r="H1389" t="str">
        <f>T("BOX 555191")</f>
        <v>BOX 555191</v>
      </c>
      <c r="I1389" t="str">
        <f>T("CMP PENDLETON")</f>
        <v>CMP PENDLETON</v>
      </c>
      <c r="J1389" t="str">
        <f t="shared" si="530"/>
        <v>CA</v>
      </c>
      <c r="K1389" t="str">
        <f>T("7607251485")</f>
        <v>7607251485</v>
      </c>
      <c r="L1389" t="str">
        <f>T("7607250446")</f>
        <v>7607250446</v>
      </c>
    </row>
    <row r="1390" spans="1:12" x14ac:dyDescent="0.35">
      <c r="A1390" t="str">
        <f t="shared" si="526"/>
        <v>NH CAMP PENDLETON</v>
      </c>
      <c r="B1390" t="str">
        <f t="shared" si="534"/>
        <v>NAVAL HOSPITAL CAMP PENDLETON</v>
      </c>
      <c r="C1390" t="str">
        <f>T("BOX 555191")</f>
        <v>BOX 555191</v>
      </c>
      <c r="D1390" t="str">
        <f t="shared" si="528"/>
        <v>CMP PENDLETON</v>
      </c>
      <c r="E1390" t="str">
        <f t="shared" si="529"/>
        <v>CA</v>
      </c>
      <c r="F1390" t="str">
        <f t="shared" si="527"/>
        <v>920555191</v>
      </c>
      <c r="G1390" t="str">
        <f t="shared" si="535"/>
        <v>NAVAL HOSPITAL CAMP PENDLETON</v>
      </c>
      <c r="H1390" t="str">
        <f>T("BOX 555191")</f>
        <v>BOX 555191</v>
      </c>
      <c r="I1390" t="str">
        <f>T("CMP PENDLETON")</f>
        <v>CMP PENDLETON</v>
      </c>
      <c r="J1390" t="str">
        <f t="shared" si="530"/>
        <v>CA</v>
      </c>
      <c r="K1390" t="str">
        <f>T("7607251485")</f>
        <v>7607251485</v>
      </c>
      <c r="L1390" t="str">
        <f>T("7607636342")</f>
        <v>7607636342</v>
      </c>
    </row>
    <row r="1391" spans="1:12" x14ac:dyDescent="0.35">
      <c r="A1391" t="str">
        <f t="shared" si="526"/>
        <v>NH CAMP PENDLETON</v>
      </c>
      <c r="B1391" t="str">
        <f t="shared" si="534"/>
        <v>NAVAL HOSPITAL CAMP PENDLETON</v>
      </c>
      <c r="C1391" t="str">
        <f>T("FINANCIAL MGMT BOX 555191")</f>
        <v>FINANCIAL MGMT BOX 555191</v>
      </c>
      <c r="D1391" t="str">
        <f t="shared" si="528"/>
        <v>CMP PENDLETON</v>
      </c>
      <c r="E1391" t="str">
        <f t="shared" si="529"/>
        <v>CA</v>
      </c>
      <c r="F1391" t="str">
        <f t="shared" si="527"/>
        <v>920555191</v>
      </c>
      <c r="G1391" t="str">
        <f t="shared" si="535"/>
        <v>NAVAL HOSPITAL CAMP PENDLETON</v>
      </c>
      <c r="H1391" t="str">
        <f>T("FINANCIAL MGMT BOX 555191")</f>
        <v>FINANCIAL MGMT BOX 555191</v>
      </c>
      <c r="I1391" t="str">
        <f>T("CMP PENDLETON")</f>
        <v>CMP PENDLETON</v>
      </c>
      <c r="J1391" t="str">
        <f t="shared" si="530"/>
        <v>CA</v>
      </c>
      <c r="K1391" t="str">
        <f>T("7607251350")</f>
        <v>7607251350</v>
      </c>
      <c r="L1391" t="str">
        <f>T("7607250889")</f>
        <v>7607250889</v>
      </c>
    </row>
    <row r="1392" spans="1:12" x14ac:dyDescent="0.35">
      <c r="A1392" t="str">
        <f t="shared" si="526"/>
        <v>NH CAMP PENDLETON</v>
      </c>
      <c r="B1392" t="str">
        <f t="shared" si="534"/>
        <v>NAVAL HOSPITAL CAMP PENDLETON</v>
      </c>
      <c r="C1392" t="str">
        <f>T("FINANCIAL MGMT BOX 555191")</f>
        <v>FINANCIAL MGMT BOX 555191</v>
      </c>
      <c r="D1392" t="str">
        <f t="shared" si="528"/>
        <v>CMP PENDLETON</v>
      </c>
      <c r="E1392" t="str">
        <f t="shared" si="529"/>
        <v>CA</v>
      </c>
      <c r="F1392" t="str">
        <f t="shared" si="527"/>
        <v>920555191</v>
      </c>
      <c r="G1392" t="str">
        <f t="shared" si="535"/>
        <v>NAVAL HOSPITAL CAMP PENDLETON</v>
      </c>
      <c r="H1392" t="str">
        <f>T("FINANCIAL MGMT BOX 555191")</f>
        <v>FINANCIAL MGMT BOX 555191</v>
      </c>
      <c r="I1392" t="str">
        <f>T("CMP PENDLETON")</f>
        <v>CMP PENDLETON</v>
      </c>
      <c r="J1392" t="str">
        <f t="shared" si="530"/>
        <v>CA</v>
      </c>
      <c r="K1392" t="str">
        <f>T("7607251485")</f>
        <v>7607251485</v>
      </c>
      <c r="L1392" t="str">
        <f>T("7607635735")</f>
        <v>7607635735</v>
      </c>
    </row>
    <row r="1393" spans="1:12" x14ac:dyDescent="0.35">
      <c r="A1393" t="str">
        <f t="shared" si="526"/>
        <v>NH CAMP PENDLETON</v>
      </c>
      <c r="B1393" t="str">
        <f t="shared" si="534"/>
        <v>NAVAL HOSPITAL CAMP PENDLETON</v>
      </c>
      <c r="C1393" t="str">
        <f>T("FINANCIAL MGMT BOX 555191")</f>
        <v>FINANCIAL MGMT BOX 555191</v>
      </c>
      <c r="D1393" t="str">
        <f t="shared" si="528"/>
        <v>CMP PENDLETON</v>
      </c>
      <c r="E1393" t="str">
        <f t="shared" si="529"/>
        <v>CA</v>
      </c>
      <c r="F1393" t="str">
        <f t="shared" si="527"/>
        <v>920555191</v>
      </c>
      <c r="G1393" t="str">
        <f t="shared" si="535"/>
        <v>NAVAL HOSPITAL CAMP PENDLETON</v>
      </c>
      <c r="H1393" t="str">
        <f>T("MAT MGMT BLDG H136")</f>
        <v>MAT MGMT BLDG H136</v>
      </c>
      <c r="I1393" t="str">
        <f>T("CAMP PENDLETON")</f>
        <v>CAMP PENDLETON</v>
      </c>
      <c r="J1393" t="str">
        <f t="shared" si="530"/>
        <v>CA</v>
      </c>
      <c r="K1393" t="str">
        <f>T("7607251485")</f>
        <v>7607251485</v>
      </c>
      <c r="L1393" t="str">
        <f>T("7607636343")</f>
        <v>7607636343</v>
      </c>
    </row>
    <row r="1394" spans="1:12" x14ac:dyDescent="0.35">
      <c r="A1394" t="str">
        <f t="shared" si="526"/>
        <v>NH CAMP PENDLETON</v>
      </c>
      <c r="B1394" t="str">
        <f t="shared" si="534"/>
        <v>NAVAL HOSPITAL CAMP PENDLETON</v>
      </c>
      <c r="C1394" t="str">
        <f>T("FINANCIAL MGMT BOX 555191")</f>
        <v>FINANCIAL MGMT BOX 555191</v>
      </c>
      <c r="D1394" t="str">
        <f t="shared" si="528"/>
        <v>CMP PENDLETON</v>
      </c>
      <c r="E1394" t="str">
        <f t="shared" si="529"/>
        <v>CA</v>
      </c>
      <c r="F1394" t="str">
        <f t="shared" si="527"/>
        <v>920555191</v>
      </c>
      <c r="G1394" t="str">
        <f t="shared" si="535"/>
        <v>NAVAL HOSPITAL CAMP PENDLETON</v>
      </c>
      <c r="H1394" t="str">
        <f>T("MMD BLDG H136")</f>
        <v>MMD BLDG H136</v>
      </c>
      <c r="I1394" t="str">
        <f>T("CAMP PENDLETON")</f>
        <v>CAMP PENDLETON</v>
      </c>
      <c r="J1394" t="str">
        <f t="shared" si="530"/>
        <v>CA</v>
      </c>
      <c r="K1394" t="str">
        <f>T("7607251350")</f>
        <v>7607251350</v>
      </c>
      <c r="L1394" t="str">
        <f>T("7607251555")</f>
        <v>7607251555</v>
      </c>
    </row>
    <row r="1395" spans="1:12" x14ac:dyDescent="0.35">
      <c r="A1395" t="str">
        <f t="shared" si="526"/>
        <v>NH CAMP PENDLETON</v>
      </c>
      <c r="B1395" t="str">
        <f t="shared" si="534"/>
        <v>NAVAL HOSPITAL CAMP PENDLETON</v>
      </c>
      <c r="C1395" t="str">
        <f>T("FINANCIAL MGMT BOX 555191")</f>
        <v>FINANCIAL MGMT BOX 555191</v>
      </c>
      <c r="D1395" t="str">
        <f t="shared" si="528"/>
        <v>CMP PENDLETON</v>
      </c>
      <c r="E1395" t="str">
        <f t="shared" si="529"/>
        <v>CA</v>
      </c>
      <c r="F1395" t="str">
        <f t="shared" si="527"/>
        <v>920555191</v>
      </c>
      <c r="G1395" t="str">
        <f t="shared" si="535"/>
        <v>NAVAL HOSPITAL CAMP PENDLETON</v>
      </c>
      <c r="H1395" t="str">
        <f>T("MMD WHSE BLDG H136")</f>
        <v>MMD WHSE BLDG H136</v>
      </c>
      <c r="I1395" t="str">
        <f>T("CAMP PENDLETON")</f>
        <v>CAMP PENDLETON</v>
      </c>
      <c r="J1395" t="str">
        <f t="shared" si="530"/>
        <v>CA</v>
      </c>
      <c r="K1395" t="str">
        <f>T("7607251485")</f>
        <v>7607251485</v>
      </c>
      <c r="L1395" t="str">
        <f>T("7607251597")</f>
        <v>7607251597</v>
      </c>
    </row>
    <row r="1396" spans="1:12" x14ac:dyDescent="0.35">
      <c r="A1396" t="str">
        <f t="shared" si="526"/>
        <v>NH CAMP PENDLETON</v>
      </c>
      <c r="B1396" t="str">
        <f t="shared" si="534"/>
        <v>NAVAL HOSPITAL CAMP PENDLETON</v>
      </c>
      <c r="C1396" t="str">
        <f>T("MAT MGMT BLDG BOX 555191")</f>
        <v>MAT MGMT BLDG BOX 555191</v>
      </c>
      <c r="D1396" t="str">
        <f t="shared" si="528"/>
        <v>CMP PENDLETON</v>
      </c>
      <c r="E1396" t="str">
        <f t="shared" si="529"/>
        <v>CA</v>
      </c>
      <c r="F1396" t="str">
        <f t="shared" si="527"/>
        <v>920555191</v>
      </c>
      <c r="G1396" t="str">
        <f t="shared" si="535"/>
        <v>NAVAL HOSPITAL CAMP PENDLETON</v>
      </c>
      <c r="H1396" t="str">
        <f>T("MAT MGMT BLDG BOX 555191")</f>
        <v>MAT MGMT BLDG BOX 555191</v>
      </c>
      <c r="I1396" t="str">
        <f>T("CMP PENDLETON")</f>
        <v>CMP PENDLETON</v>
      </c>
      <c r="J1396" t="str">
        <f t="shared" si="530"/>
        <v>CA</v>
      </c>
      <c r="K1396" t="str">
        <f>T("7607251139")</f>
        <v>7607251139</v>
      </c>
      <c r="L1396" t="str">
        <f>T("7607258078")</f>
        <v>7607258078</v>
      </c>
    </row>
    <row r="1397" spans="1:12" x14ac:dyDescent="0.35">
      <c r="A1397" t="str">
        <f t="shared" si="526"/>
        <v>NH CAMP PENDLETON</v>
      </c>
      <c r="B1397" t="str">
        <f t="shared" si="534"/>
        <v>NAVAL HOSPITAL CAMP PENDLETON</v>
      </c>
      <c r="C1397" t="str">
        <f>T("MAT MGMT BLDG BOX 555191")</f>
        <v>MAT MGMT BLDG BOX 555191</v>
      </c>
      <c r="D1397" t="str">
        <f t="shared" si="528"/>
        <v>CMP PENDLETON</v>
      </c>
      <c r="E1397" t="str">
        <f t="shared" si="529"/>
        <v>CA</v>
      </c>
      <c r="F1397" t="str">
        <f t="shared" si="527"/>
        <v>920555191</v>
      </c>
      <c r="G1397" t="str">
        <f t="shared" si="535"/>
        <v>NAVAL HOSPITAL CAMP PENDLETON</v>
      </c>
      <c r="H1397" t="str">
        <f>T("MAT MGMT BLDG H136")</f>
        <v>MAT MGMT BLDG H136</v>
      </c>
      <c r="I1397" t="str">
        <f t="shared" ref="I1397:I1404" si="536">T("CAMP PENDLETON")</f>
        <v>CAMP PENDLETON</v>
      </c>
      <c r="J1397" t="str">
        <f t="shared" si="530"/>
        <v>CA</v>
      </c>
      <c r="K1397" t="str">
        <f>T("7607251139")</f>
        <v>7607251139</v>
      </c>
      <c r="L1397" t="str">
        <f>T("7607251257")</f>
        <v>7607251257</v>
      </c>
    </row>
    <row r="1398" spans="1:12" x14ac:dyDescent="0.35">
      <c r="A1398" t="str">
        <f t="shared" si="526"/>
        <v>NH CAMP PENDLETON</v>
      </c>
      <c r="B1398" t="str">
        <f t="shared" si="534"/>
        <v>NAVAL HOSPITAL CAMP PENDLETON</v>
      </c>
      <c r="C1398" t="str">
        <f>T("MAT MGMT BLDG BOX 555191")</f>
        <v>MAT MGMT BLDG BOX 555191</v>
      </c>
      <c r="D1398" t="str">
        <f t="shared" si="528"/>
        <v>CMP PENDLETON</v>
      </c>
      <c r="E1398" t="str">
        <f t="shared" si="529"/>
        <v>CA</v>
      </c>
      <c r="F1398" t="str">
        <f t="shared" si="527"/>
        <v>920555191</v>
      </c>
      <c r="G1398" t="str">
        <f t="shared" si="535"/>
        <v>NAVAL HOSPITAL CAMP PENDLETON</v>
      </c>
      <c r="H1398" t="str">
        <f>T("MAT MGMT BLDG H136")</f>
        <v>MAT MGMT BLDG H136</v>
      </c>
      <c r="I1398" t="str">
        <f t="shared" si="536"/>
        <v>CAMP PENDLETON</v>
      </c>
      <c r="J1398" t="str">
        <f t="shared" si="530"/>
        <v>CA</v>
      </c>
      <c r="K1398" t="str">
        <f>T("7607251139")</f>
        <v>7607251139</v>
      </c>
      <c r="L1398" t="str">
        <f>T("7607251537")</f>
        <v>7607251537</v>
      </c>
    </row>
    <row r="1399" spans="1:12" x14ac:dyDescent="0.35">
      <c r="A1399" t="str">
        <f t="shared" si="526"/>
        <v>NH CAMP PENDLETON</v>
      </c>
      <c r="B1399" t="str">
        <f t="shared" si="534"/>
        <v>NAVAL HOSPITAL CAMP PENDLETON</v>
      </c>
      <c r="C1399" t="str">
        <f>T("MAT MGMT BLDG BOX 555191")</f>
        <v>MAT MGMT BLDG BOX 555191</v>
      </c>
      <c r="D1399" t="str">
        <f t="shared" si="528"/>
        <v>CMP PENDLETON</v>
      </c>
      <c r="E1399" t="str">
        <f t="shared" si="529"/>
        <v>CA</v>
      </c>
      <c r="F1399" t="str">
        <f t="shared" si="527"/>
        <v>920555191</v>
      </c>
      <c r="G1399" t="str">
        <f t="shared" si="535"/>
        <v>NAVAL HOSPITAL CAMP PENDLETON</v>
      </c>
      <c r="H1399" t="str">
        <f>T("MAT MGMT BLDG H136")</f>
        <v>MAT MGMT BLDG H136</v>
      </c>
      <c r="I1399" t="str">
        <f t="shared" si="536"/>
        <v>CAMP PENDLETON</v>
      </c>
      <c r="J1399" t="str">
        <f t="shared" si="530"/>
        <v>CA</v>
      </c>
      <c r="K1399" t="str">
        <f>T("7607251139")</f>
        <v>7607251139</v>
      </c>
      <c r="L1399" t="str">
        <f>T("7607251737")</f>
        <v>7607251737</v>
      </c>
    </row>
    <row r="1400" spans="1:12" x14ac:dyDescent="0.35">
      <c r="A1400" t="str">
        <f t="shared" si="526"/>
        <v>NH CAMP PENDLETON</v>
      </c>
      <c r="B1400" t="str">
        <f t="shared" si="534"/>
        <v>NAVAL HOSPITAL CAMP PENDLETON</v>
      </c>
      <c r="C1400" t="str">
        <f t="shared" ref="C1400:C1408" si="537">T("MAT MGMT BLDG H136")</f>
        <v>MAT MGMT BLDG H136</v>
      </c>
      <c r="D1400" t="str">
        <f t="shared" si="528"/>
        <v>CMP PENDLETON</v>
      </c>
      <c r="E1400" t="str">
        <f t="shared" si="529"/>
        <v>CA</v>
      </c>
      <c r="F1400" t="str">
        <f t="shared" si="527"/>
        <v>920555191</v>
      </c>
      <c r="G1400" t="str">
        <f t="shared" si="535"/>
        <v>NAVAL HOSPITAL CAMP PENDLETON</v>
      </c>
      <c r="H1400" t="str">
        <f>T("BLDG H135 MATERIAL MGMT")</f>
        <v>BLDG H135 MATERIAL MGMT</v>
      </c>
      <c r="I1400" t="str">
        <f t="shared" si="536"/>
        <v>CAMP PENDLETON</v>
      </c>
      <c r="J1400" t="str">
        <f t="shared" si="530"/>
        <v>CA</v>
      </c>
      <c r="K1400" t="str">
        <f>T("7607193810")</f>
        <v>7607193810</v>
      </c>
      <c r="L1400" t="str">
        <f>T("7607256641")</f>
        <v>7607256641</v>
      </c>
    </row>
    <row r="1401" spans="1:12" x14ac:dyDescent="0.35">
      <c r="A1401" t="str">
        <f t="shared" si="526"/>
        <v>NH CAMP PENDLETON</v>
      </c>
      <c r="B1401" t="str">
        <f t="shared" si="534"/>
        <v>NAVAL HOSPITAL CAMP PENDLETON</v>
      </c>
      <c r="C1401" t="str">
        <f t="shared" si="537"/>
        <v>MAT MGMT BLDG H136</v>
      </c>
      <c r="D1401" t="str">
        <f t="shared" si="528"/>
        <v>CMP PENDLETON</v>
      </c>
      <c r="E1401" t="str">
        <f t="shared" si="529"/>
        <v>CA</v>
      </c>
      <c r="F1401" t="str">
        <f t="shared" si="527"/>
        <v>920555191</v>
      </c>
      <c r="G1401" t="str">
        <f t="shared" si="535"/>
        <v>NAVAL HOSPITAL CAMP PENDLETON</v>
      </c>
      <c r="H1401" t="str">
        <f t="shared" ref="H1401:H1407" si="538">T("MAT MGMT BLDG H136")</f>
        <v>MAT MGMT BLDG H136</v>
      </c>
      <c r="I1401" t="str">
        <f t="shared" si="536"/>
        <v>CAMP PENDLETON</v>
      </c>
      <c r="J1401" t="str">
        <f t="shared" si="530"/>
        <v>CA</v>
      </c>
      <c r="K1401" t="str">
        <f>T("000000000000000000")</f>
        <v>000000000000000000</v>
      </c>
      <c r="L1401" t="str">
        <f>T("7607193768")</f>
        <v>7607193768</v>
      </c>
    </row>
    <row r="1402" spans="1:12" x14ac:dyDescent="0.35">
      <c r="A1402" t="str">
        <f t="shared" si="526"/>
        <v>NH CAMP PENDLETON</v>
      </c>
      <c r="B1402" t="str">
        <f t="shared" si="534"/>
        <v>NAVAL HOSPITAL CAMP PENDLETON</v>
      </c>
      <c r="C1402" t="str">
        <f t="shared" si="537"/>
        <v>MAT MGMT BLDG H136</v>
      </c>
      <c r="D1402" t="str">
        <f t="shared" si="528"/>
        <v>CMP PENDLETON</v>
      </c>
      <c r="E1402" t="str">
        <f t="shared" si="529"/>
        <v>CA</v>
      </c>
      <c r="F1402" t="str">
        <f t="shared" si="527"/>
        <v>920555191</v>
      </c>
      <c r="G1402" t="str">
        <f t="shared" si="535"/>
        <v>NAVAL HOSPITAL CAMP PENDLETON</v>
      </c>
      <c r="H1402" t="str">
        <f t="shared" si="538"/>
        <v>MAT MGMT BLDG H136</v>
      </c>
      <c r="I1402" t="str">
        <f t="shared" si="536"/>
        <v>CAMP PENDLETON</v>
      </c>
      <c r="J1402" t="str">
        <f t="shared" si="530"/>
        <v>CA</v>
      </c>
      <c r="K1402" t="str">
        <f>T("000000000000000000")</f>
        <v>000000000000000000</v>
      </c>
      <c r="L1402" t="str">
        <f>T("7607259664")</f>
        <v>7607259664</v>
      </c>
    </row>
    <row r="1403" spans="1:12" x14ac:dyDescent="0.35">
      <c r="A1403" t="str">
        <f t="shared" si="526"/>
        <v>NH CAMP PENDLETON</v>
      </c>
      <c r="B1403" t="str">
        <f t="shared" si="534"/>
        <v>NAVAL HOSPITAL CAMP PENDLETON</v>
      </c>
      <c r="C1403" t="str">
        <f t="shared" si="537"/>
        <v>MAT MGMT BLDG H136</v>
      </c>
      <c r="D1403" t="str">
        <f t="shared" si="528"/>
        <v>CMP PENDLETON</v>
      </c>
      <c r="E1403" t="str">
        <f t="shared" si="529"/>
        <v>CA</v>
      </c>
      <c r="F1403" t="str">
        <f t="shared" si="527"/>
        <v>920555191</v>
      </c>
      <c r="G1403" t="str">
        <f t="shared" si="535"/>
        <v>NAVAL HOSPITAL CAMP PENDLETON</v>
      </c>
      <c r="H1403" t="str">
        <f t="shared" si="538"/>
        <v>MAT MGMT BLDG H136</v>
      </c>
      <c r="I1403" t="str">
        <f t="shared" si="536"/>
        <v>CAMP PENDLETON</v>
      </c>
      <c r="J1403" t="str">
        <f t="shared" si="530"/>
        <v>CA</v>
      </c>
      <c r="K1403" t="str">
        <f>T("7607251267")</f>
        <v>7607251267</v>
      </c>
      <c r="L1403" t="str">
        <f>T("7607193249")</f>
        <v>7607193249</v>
      </c>
    </row>
    <row r="1404" spans="1:12" x14ac:dyDescent="0.35">
      <c r="A1404" t="str">
        <f t="shared" ref="A1404:A1423" si="539">T("NH CAMP PENDLETON")</f>
        <v>NH CAMP PENDLETON</v>
      </c>
      <c r="B1404" t="str">
        <f t="shared" si="534"/>
        <v>NAVAL HOSPITAL CAMP PENDLETON</v>
      </c>
      <c r="C1404" t="str">
        <f t="shared" si="537"/>
        <v>MAT MGMT BLDG H136</v>
      </c>
      <c r="D1404" t="str">
        <f t="shared" si="528"/>
        <v>CMP PENDLETON</v>
      </c>
      <c r="E1404" t="str">
        <f t="shared" si="529"/>
        <v>CA</v>
      </c>
      <c r="F1404" t="str">
        <f t="shared" ref="F1404:F1423" si="540">T("920555191")</f>
        <v>920555191</v>
      </c>
      <c r="G1404" t="str">
        <f t="shared" si="535"/>
        <v>NAVAL HOSPITAL CAMP PENDLETON</v>
      </c>
      <c r="H1404" t="str">
        <f t="shared" si="538"/>
        <v>MAT MGMT BLDG H136</v>
      </c>
      <c r="I1404" t="str">
        <f t="shared" si="536"/>
        <v>CAMP PENDLETON</v>
      </c>
      <c r="J1404" t="str">
        <f t="shared" si="530"/>
        <v>CA</v>
      </c>
      <c r="K1404" t="str">
        <f>T("7607251559")</f>
        <v>7607251559</v>
      </c>
      <c r="L1404" t="str">
        <f>T("7607194417")</f>
        <v>7607194417</v>
      </c>
    </row>
    <row r="1405" spans="1:12" x14ac:dyDescent="0.35">
      <c r="A1405" t="str">
        <f t="shared" si="539"/>
        <v>NH CAMP PENDLETON</v>
      </c>
      <c r="B1405" t="str">
        <f t="shared" si="534"/>
        <v>NAVAL HOSPITAL CAMP PENDLETON</v>
      </c>
      <c r="C1405" t="str">
        <f t="shared" si="537"/>
        <v>MAT MGMT BLDG H136</v>
      </c>
      <c r="D1405" t="str">
        <f t="shared" si="528"/>
        <v>CMP PENDLETON</v>
      </c>
      <c r="E1405" t="str">
        <f t="shared" si="529"/>
        <v>CA</v>
      </c>
      <c r="F1405" t="str">
        <f t="shared" si="540"/>
        <v>920555191</v>
      </c>
      <c r="G1405" t="str">
        <f t="shared" si="535"/>
        <v>NAVAL HOSPITAL CAMP PENDLETON</v>
      </c>
      <c r="H1405" t="str">
        <f t="shared" si="538"/>
        <v>MAT MGMT BLDG H136</v>
      </c>
      <c r="I1405" t="str">
        <f>T("CMP PENDLETON")</f>
        <v>CMP PENDLETON</v>
      </c>
      <c r="J1405" t="str">
        <f t="shared" si="530"/>
        <v>CA</v>
      </c>
      <c r="K1405" t="str">
        <f>T("7607251139")</f>
        <v>7607251139</v>
      </c>
      <c r="L1405" t="str">
        <f>T("7607250223")</f>
        <v>7607250223</v>
      </c>
    </row>
    <row r="1406" spans="1:12" x14ac:dyDescent="0.35">
      <c r="A1406" t="str">
        <f t="shared" si="539"/>
        <v>NH CAMP PENDLETON</v>
      </c>
      <c r="B1406" t="str">
        <f t="shared" si="534"/>
        <v>NAVAL HOSPITAL CAMP PENDLETON</v>
      </c>
      <c r="C1406" t="str">
        <f t="shared" si="537"/>
        <v>MAT MGMT BLDG H136</v>
      </c>
      <c r="D1406" t="str">
        <f t="shared" si="528"/>
        <v>CMP PENDLETON</v>
      </c>
      <c r="E1406" t="str">
        <f t="shared" si="529"/>
        <v>CA</v>
      </c>
      <c r="F1406" t="str">
        <f t="shared" si="540"/>
        <v>920555191</v>
      </c>
      <c r="G1406" t="str">
        <f t="shared" si="535"/>
        <v>NAVAL HOSPITAL CAMP PENDLETON</v>
      </c>
      <c r="H1406" t="str">
        <f t="shared" si="538"/>
        <v>MAT MGMT BLDG H136</v>
      </c>
      <c r="I1406" t="str">
        <f>T("CMP PENDLETON")</f>
        <v>CMP PENDLETON</v>
      </c>
      <c r="J1406" t="str">
        <f t="shared" si="530"/>
        <v>CA</v>
      </c>
      <c r="K1406" t="str">
        <f>T("7607251485")</f>
        <v>7607251485</v>
      </c>
      <c r="L1406" t="str">
        <f>T("7607251036")</f>
        <v>7607251036</v>
      </c>
    </row>
    <row r="1407" spans="1:12" x14ac:dyDescent="0.35">
      <c r="A1407" t="str">
        <f t="shared" si="539"/>
        <v>NH CAMP PENDLETON</v>
      </c>
      <c r="B1407" t="str">
        <f t="shared" si="534"/>
        <v>NAVAL HOSPITAL CAMP PENDLETON</v>
      </c>
      <c r="C1407" t="str">
        <f t="shared" si="537"/>
        <v>MAT MGMT BLDG H136</v>
      </c>
      <c r="D1407" t="str">
        <f t="shared" si="528"/>
        <v>CMP PENDLETON</v>
      </c>
      <c r="E1407" t="str">
        <f t="shared" si="529"/>
        <v>CA</v>
      </c>
      <c r="F1407" t="str">
        <f t="shared" si="540"/>
        <v>920555191</v>
      </c>
      <c r="G1407" t="str">
        <f t="shared" si="535"/>
        <v>NAVAL HOSPITAL CAMP PENDLETON</v>
      </c>
      <c r="H1407" t="str">
        <f t="shared" si="538"/>
        <v>MAT MGMT BLDG H136</v>
      </c>
      <c r="I1407" t="str">
        <f>T("CMP PENDLETON")</f>
        <v>CMP PENDLETON</v>
      </c>
      <c r="J1407" t="str">
        <f t="shared" si="530"/>
        <v>CA</v>
      </c>
      <c r="K1407" t="str">
        <f>T("7607251661")</f>
        <v>7607251661</v>
      </c>
      <c r="L1407" t="str">
        <f>T("7607251283")</f>
        <v>7607251283</v>
      </c>
    </row>
    <row r="1408" spans="1:12" x14ac:dyDescent="0.35">
      <c r="A1408" t="str">
        <f t="shared" si="539"/>
        <v>NH CAMP PENDLETON</v>
      </c>
      <c r="B1408" t="str">
        <f t="shared" si="534"/>
        <v>NAVAL HOSPITAL CAMP PENDLETON</v>
      </c>
      <c r="C1408" t="str">
        <f t="shared" si="537"/>
        <v>MAT MGMT BLDG H136</v>
      </c>
      <c r="D1408" t="str">
        <f t="shared" si="528"/>
        <v>CMP PENDLETON</v>
      </c>
      <c r="E1408" t="str">
        <f t="shared" si="529"/>
        <v>CA</v>
      </c>
      <c r="F1408" t="str">
        <f t="shared" si="540"/>
        <v>920555191</v>
      </c>
      <c r="G1408" t="str">
        <f t="shared" si="535"/>
        <v>NAVAL HOSPITAL CAMP PENDLETON</v>
      </c>
      <c r="H1408" t="str">
        <f>T("MAT MGMT BLDGH 136")</f>
        <v>MAT MGMT BLDGH 136</v>
      </c>
      <c r="I1408" t="str">
        <f>T("CAMP PENDLETON")</f>
        <v>CAMP PENDLETON</v>
      </c>
      <c r="J1408" t="str">
        <f t="shared" si="530"/>
        <v>CA</v>
      </c>
      <c r="K1408" t="str">
        <f>T("7607251559")</f>
        <v>7607251559</v>
      </c>
      <c r="L1408" t="str">
        <f>T("7607194747")</f>
        <v>7607194747</v>
      </c>
    </row>
    <row r="1409" spans="1:12" x14ac:dyDescent="0.35">
      <c r="A1409" t="str">
        <f t="shared" si="539"/>
        <v>NH CAMP PENDLETON</v>
      </c>
      <c r="B1409" t="str">
        <f t="shared" si="534"/>
        <v>NAVAL HOSPITAL CAMP PENDLETON</v>
      </c>
      <c r="C1409" t="str">
        <f>T("MATERIAL MANAGEMENT BOX 555191")</f>
        <v>MATERIAL MANAGEMENT BOX 555191</v>
      </c>
      <c r="D1409" t="str">
        <f t="shared" si="528"/>
        <v>CMP PENDLETON</v>
      </c>
      <c r="E1409" t="str">
        <f t="shared" ref="E1409:E1444" si="541">T("CA")</f>
        <v>CA</v>
      </c>
      <c r="F1409" t="str">
        <f t="shared" si="540"/>
        <v>920555191</v>
      </c>
      <c r="G1409" t="str">
        <f t="shared" si="535"/>
        <v>NAVAL HOSPITAL CAMP PENDLETON</v>
      </c>
      <c r="H1409" t="str">
        <f>T("MAT MGMT BLDG H136")</f>
        <v>MAT MGMT BLDG H136</v>
      </c>
      <c r="I1409" t="str">
        <f>T("CAMP PENDLETON")</f>
        <v>CAMP PENDLETON</v>
      </c>
      <c r="J1409" t="str">
        <f t="shared" ref="J1409:J1444" si="542">T("CA")</f>
        <v>CA</v>
      </c>
      <c r="K1409" t="str">
        <f>T("000000000000000000")</f>
        <v>000000000000000000</v>
      </c>
      <c r="L1409" t="str">
        <f>T("7607193841")</f>
        <v>7607193841</v>
      </c>
    </row>
    <row r="1410" spans="1:12" x14ac:dyDescent="0.35">
      <c r="A1410" t="str">
        <f t="shared" si="539"/>
        <v>NH CAMP PENDLETON</v>
      </c>
      <c r="B1410" t="str">
        <f t="shared" si="534"/>
        <v>NAVAL HOSPITAL CAMP PENDLETON</v>
      </c>
      <c r="C1410" t="str">
        <f>T("MATERIAL MANAGEMENT BOX 555191")</f>
        <v>MATERIAL MANAGEMENT BOX 555191</v>
      </c>
      <c r="D1410" t="str">
        <f t="shared" si="528"/>
        <v>CMP PENDLETON</v>
      </c>
      <c r="E1410" t="str">
        <f t="shared" si="541"/>
        <v>CA</v>
      </c>
      <c r="F1410" t="str">
        <f t="shared" si="540"/>
        <v>920555191</v>
      </c>
      <c r="G1410" t="str">
        <f t="shared" si="535"/>
        <v>NAVAL HOSPITAL CAMP PENDLETON</v>
      </c>
      <c r="H1410" t="str">
        <f>T("MATERIAL MANAGEMENT BOX 555191")</f>
        <v>MATERIAL MANAGEMENT BOX 555191</v>
      </c>
      <c r="I1410" t="str">
        <f>T("CMP PENDLETON")</f>
        <v>CMP PENDLETON</v>
      </c>
      <c r="J1410" t="str">
        <f t="shared" si="542"/>
        <v>CA</v>
      </c>
      <c r="K1410" t="str">
        <f>T("7607251139")</f>
        <v>7607251139</v>
      </c>
      <c r="L1410" t="str">
        <f>T("7607193294")</f>
        <v>7607193294</v>
      </c>
    </row>
    <row r="1411" spans="1:12" x14ac:dyDescent="0.35">
      <c r="A1411" t="str">
        <f t="shared" si="539"/>
        <v>NH CAMP PENDLETON</v>
      </c>
      <c r="B1411" t="str">
        <f t="shared" si="534"/>
        <v>NAVAL HOSPITAL CAMP PENDLETON</v>
      </c>
      <c r="C1411" t="str">
        <f>T("MATERIAL MANAGEMENT BOX 555191")</f>
        <v>MATERIAL MANAGEMENT BOX 555191</v>
      </c>
      <c r="D1411" t="str">
        <f t="shared" si="528"/>
        <v>CMP PENDLETON</v>
      </c>
      <c r="E1411" t="str">
        <f t="shared" si="541"/>
        <v>CA</v>
      </c>
      <c r="F1411" t="str">
        <f t="shared" si="540"/>
        <v>920555191</v>
      </c>
      <c r="G1411" t="str">
        <f t="shared" si="535"/>
        <v>NAVAL HOSPITAL CAMP PENDLETON</v>
      </c>
      <c r="H1411" t="str">
        <f>T("MMD BLDG H136")</f>
        <v>MMD BLDG H136</v>
      </c>
      <c r="I1411" t="str">
        <f>T("CAMP PENDLETON")</f>
        <v>CAMP PENDLETON</v>
      </c>
      <c r="J1411" t="str">
        <f t="shared" si="542"/>
        <v>CA</v>
      </c>
      <c r="K1411" t="str">
        <f>T("000000000000000000")</f>
        <v>000000000000000000</v>
      </c>
      <c r="L1411" t="str">
        <f>T("7607193841")</f>
        <v>7607193841</v>
      </c>
    </row>
    <row r="1412" spans="1:12" x14ac:dyDescent="0.35">
      <c r="A1412" t="str">
        <f t="shared" si="539"/>
        <v>NH CAMP PENDLETON</v>
      </c>
      <c r="B1412" t="str">
        <f t="shared" si="534"/>
        <v>NAVAL HOSPITAL CAMP PENDLETON</v>
      </c>
      <c r="C1412" t="str">
        <f>T("MATERIAL MGMT BOX 555191")</f>
        <v>MATERIAL MGMT BOX 555191</v>
      </c>
      <c r="D1412" t="str">
        <f t="shared" si="528"/>
        <v>CMP PENDLETON</v>
      </c>
      <c r="E1412" t="str">
        <f t="shared" si="541"/>
        <v>CA</v>
      </c>
      <c r="F1412" t="str">
        <f t="shared" si="540"/>
        <v>920555191</v>
      </c>
      <c r="G1412" t="str">
        <f t="shared" si="535"/>
        <v>NAVAL HOSPITAL CAMP PENDLETON</v>
      </c>
      <c r="H1412" t="str">
        <f>T("BOX 555191")</f>
        <v>BOX 555191</v>
      </c>
      <c r="I1412" t="str">
        <f>T("CAMP PENDLETON")</f>
        <v>CAMP PENDLETON</v>
      </c>
      <c r="J1412" t="str">
        <f t="shared" si="542"/>
        <v>CA</v>
      </c>
      <c r="K1412" t="str">
        <f>T("9282690890")</f>
        <v>9282690890</v>
      </c>
      <c r="L1412" t="str">
        <f>T("9282692765")</f>
        <v>9282692765</v>
      </c>
    </row>
    <row r="1413" spans="1:12" x14ac:dyDescent="0.35">
      <c r="A1413" t="str">
        <f t="shared" si="539"/>
        <v>NH CAMP PENDLETON</v>
      </c>
      <c r="B1413" t="str">
        <f t="shared" si="534"/>
        <v>NAVAL HOSPITAL CAMP PENDLETON</v>
      </c>
      <c r="C1413" t="str">
        <f>T("MATERIAL MGMT BOX 555191")</f>
        <v>MATERIAL MGMT BOX 555191</v>
      </c>
      <c r="D1413" t="str">
        <f t="shared" si="528"/>
        <v>CMP PENDLETON</v>
      </c>
      <c r="E1413" t="str">
        <f t="shared" si="541"/>
        <v>CA</v>
      </c>
      <c r="F1413" t="str">
        <f t="shared" si="540"/>
        <v>920555191</v>
      </c>
      <c r="G1413" t="str">
        <f t="shared" si="535"/>
        <v>NAVAL HOSPITAL CAMP PENDLETON</v>
      </c>
      <c r="H1413" t="str">
        <f>T("MAT MGMT BLDG H136")</f>
        <v>MAT MGMT BLDG H136</v>
      </c>
      <c r="I1413" t="str">
        <f>T("CAMP PENDLETON")</f>
        <v>CAMP PENDLETON</v>
      </c>
      <c r="J1413" t="str">
        <f t="shared" si="542"/>
        <v>CA</v>
      </c>
      <c r="K1413" t="str">
        <f>T("9282690890")</f>
        <v>9282690890</v>
      </c>
      <c r="L1413" t="str">
        <f>T("9282693133")</f>
        <v>9282693133</v>
      </c>
    </row>
    <row r="1414" spans="1:12" x14ac:dyDescent="0.35">
      <c r="A1414" t="str">
        <f t="shared" si="539"/>
        <v>NH CAMP PENDLETON</v>
      </c>
      <c r="B1414" t="str">
        <f t="shared" si="534"/>
        <v>NAVAL HOSPITAL CAMP PENDLETON</v>
      </c>
      <c r="C1414" t="str">
        <f>T("MATERIAL MGMT BOX 555191")</f>
        <v>MATERIAL MGMT BOX 555191</v>
      </c>
      <c r="D1414" t="str">
        <f t="shared" si="528"/>
        <v>CMP PENDLETON</v>
      </c>
      <c r="E1414" t="str">
        <f t="shared" si="541"/>
        <v>CA</v>
      </c>
      <c r="F1414" t="str">
        <f t="shared" si="540"/>
        <v>920555191</v>
      </c>
      <c r="G1414" t="str">
        <f t="shared" si="535"/>
        <v>NAVAL HOSPITAL CAMP PENDLETON</v>
      </c>
      <c r="H1414" t="str">
        <f>T("MATERIAL MGMT BOX 555191")</f>
        <v>MATERIAL MGMT BOX 555191</v>
      </c>
      <c r="I1414" t="str">
        <f>T("CMP PENDLETON")</f>
        <v>CMP PENDLETON</v>
      </c>
      <c r="J1414" t="str">
        <f t="shared" si="542"/>
        <v>CA</v>
      </c>
      <c r="K1414" t="str">
        <f>T("9282690890")</f>
        <v>9282690890</v>
      </c>
      <c r="L1414" t="str">
        <f>T("9282693186")</f>
        <v>9282693186</v>
      </c>
    </row>
    <row r="1415" spans="1:12" x14ac:dyDescent="0.35">
      <c r="A1415" t="str">
        <f t="shared" si="539"/>
        <v>NH CAMP PENDLETON</v>
      </c>
      <c r="B1415" t="str">
        <f t="shared" si="534"/>
        <v>NAVAL HOSPITAL CAMP PENDLETON</v>
      </c>
      <c r="C1415" t="str">
        <f t="shared" ref="C1415:C1420" si="543">T("MATERIEL MGMT BOX 555191")</f>
        <v>MATERIEL MGMT BOX 555191</v>
      </c>
      <c r="D1415" t="str">
        <f>T("CAMP PENDLETON")</f>
        <v>CAMP PENDLETON</v>
      </c>
      <c r="E1415" t="str">
        <f t="shared" si="541"/>
        <v>CA</v>
      </c>
      <c r="F1415" t="str">
        <f t="shared" si="540"/>
        <v>920555191</v>
      </c>
      <c r="G1415" t="str">
        <f t="shared" si="535"/>
        <v>NAVAL HOSPITAL CAMP PENDLETON</v>
      </c>
      <c r="H1415" t="str">
        <f>T("MAT MGMT BLDG H136")</f>
        <v>MAT MGMT BLDG H136</v>
      </c>
      <c r="I1415" t="str">
        <f>T("CAMP PENDLETON")</f>
        <v>CAMP PENDLETON</v>
      </c>
      <c r="J1415" t="str">
        <f t="shared" si="542"/>
        <v>CA</v>
      </c>
      <c r="K1415" t="str">
        <f>T("000000000000000000")</f>
        <v>000000000000000000</v>
      </c>
      <c r="L1415" t="str">
        <f>T("7607193733")</f>
        <v>7607193733</v>
      </c>
    </row>
    <row r="1416" spans="1:12" x14ac:dyDescent="0.35">
      <c r="A1416" t="str">
        <f t="shared" si="539"/>
        <v>NH CAMP PENDLETON</v>
      </c>
      <c r="B1416" t="str">
        <f t="shared" si="534"/>
        <v>NAVAL HOSPITAL CAMP PENDLETON</v>
      </c>
      <c r="C1416" t="str">
        <f t="shared" si="543"/>
        <v>MATERIEL MGMT BOX 555191</v>
      </c>
      <c r="D1416" t="str">
        <f>T("CAMP PENDLETON")</f>
        <v>CAMP PENDLETON</v>
      </c>
      <c r="E1416" t="str">
        <f t="shared" si="541"/>
        <v>CA</v>
      </c>
      <c r="F1416" t="str">
        <f t="shared" si="540"/>
        <v>920555191</v>
      </c>
      <c r="G1416" t="str">
        <f t="shared" si="535"/>
        <v>NAVAL HOSPITAL CAMP PENDLETON</v>
      </c>
      <c r="H1416" t="str">
        <f>T("MATERIEL MGMT BOX 555191")</f>
        <v>MATERIEL MGMT BOX 555191</v>
      </c>
      <c r="I1416" t="str">
        <f>T("CAMP PENDLETON")</f>
        <v>CAMP PENDLETON</v>
      </c>
      <c r="J1416" t="str">
        <f t="shared" si="542"/>
        <v>CA</v>
      </c>
      <c r="K1416" t="str">
        <f>T("7607251032")</f>
        <v>7607251032</v>
      </c>
      <c r="L1416" t="str">
        <f>T("7607143017")</f>
        <v>7607143017</v>
      </c>
    </row>
    <row r="1417" spans="1:12" x14ac:dyDescent="0.35">
      <c r="A1417" t="str">
        <f t="shared" si="539"/>
        <v>NH CAMP PENDLETON</v>
      </c>
      <c r="B1417" t="str">
        <f t="shared" si="534"/>
        <v>NAVAL HOSPITAL CAMP PENDLETON</v>
      </c>
      <c r="C1417" t="str">
        <f t="shared" si="543"/>
        <v>MATERIEL MGMT BOX 555191</v>
      </c>
      <c r="D1417" t="str">
        <f t="shared" ref="D1417:D1423" si="544">T("CMP PENDLETON")</f>
        <v>CMP PENDLETON</v>
      </c>
      <c r="E1417" t="str">
        <f t="shared" si="541"/>
        <v>CA</v>
      </c>
      <c r="F1417" t="str">
        <f t="shared" si="540"/>
        <v>920555191</v>
      </c>
      <c r="G1417" t="str">
        <f t="shared" si="535"/>
        <v>NAVAL HOSPITAL CAMP PENDLETON</v>
      </c>
      <c r="H1417" t="str">
        <f>T("MAT MGMT BLDG H136")</f>
        <v>MAT MGMT BLDG H136</v>
      </c>
      <c r="I1417" t="str">
        <f>T("CAMP PENDLETON")</f>
        <v>CAMP PENDLETON</v>
      </c>
      <c r="J1417" t="str">
        <f t="shared" si="542"/>
        <v>CA</v>
      </c>
      <c r="K1417" t="str">
        <f>T("7607251139")</f>
        <v>7607251139</v>
      </c>
      <c r="L1417" t="str">
        <f>T("7607251257")</f>
        <v>7607251257</v>
      </c>
    </row>
    <row r="1418" spans="1:12" x14ac:dyDescent="0.35">
      <c r="A1418" t="str">
        <f t="shared" si="539"/>
        <v>NH CAMP PENDLETON</v>
      </c>
      <c r="B1418" t="str">
        <f t="shared" si="534"/>
        <v>NAVAL HOSPITAL CAMP PENDLETON</v>
      </c>
      <c r="C1418" t="str">
        <f t="shared" si="543"/>
        <v>MATERIEL MGMT BOX 555191</v>
      </c>
      <c r="D1418" t="str">
        <f t="shared" si="544"/>
        <v>CMP PENDLETON</v>
      </c>
      <c r="E1418" t="str">
        <f t="shared" si="541"/>
        <v>CA</v>
      </c>
      <c r="F1418" t="str">
        <f t="shared" si="540"/>
        <v>920555191</v>
      </c>
      <c r="G1418" t="str">
        <f t="shared" si="535"/>
        <v>NAVAL HOSPITAL CAMP PENDLETON</v>
      </c>
      <c r="H1418" t="str">
        <f>T("MAT MGMT BLDG H136")</f>
        <v>MAT MGMT BLDG H136</v>
      </c>
      <c r="I1418" t="str">
        <f>T("CAMP PENDLETON")</f>
        <v>CAMP PENDLETON</v>
      </c>
      <c r="J1418" t="str">
        <f t="shared" si="542"/>
        <v>CA</v>
      </c>
      <c r="K1418" t="str">
        <f>T("7607251139")</f>
        <v>7607251139</v>
      </c>
      <c r="L1418" t="str">
        <f>T("7607251426")</f>
        <v>7607251426</v>
      </c>
    </row>
    <row r="1419" spans="1:12" x14ac:dyDescent="0.35">
      <c r="A1419" t="str">
        <f t="shared" si="539"/>
        <v>NH CAMP PENDLETON</v>
      </c>
      <c r="B1419" t="str">
        <f t="shared" si="534"/>
        <v>NAVAL HOSPITAL CAMP PENDLETON</v>
      </c>
      <c r="C1419" t="str">
        <f t="shared" si="543"/>
        <v>MATERIEL MGMT BOX 555191</v>
      </c>
      <c r="D1419" t="str">
        <f t="shared" si="544"/>
        <v>CMP PENDLETON</v>
      </c>
      <c r="E1419" t="str">
        <f t="shared" si="541"/>
        <v>CA</v>
      </c>
      <c r="F1419" t="str">
        <f t="shared" si="540"/>
        <v>920555191</v>
      </c>
      <c r="G1419" t="str">
        <f t="shared" si="535"/>
        <v>NAVAL HOSPITAL CAMP PENDLETON</v>
      </c>
      <c r="H1419" t="str">
        <f>T("MATERIEL MGMT BOX 555191")</f>
        <v>MATERIEL MGMT BOX 555191</v>
      </c>
      <c r="I1419" t="str">
        <f>T("CMP PENDLETON")</f>
        <v>CMP PENDLETON</v>
      </c>
      <c r="J1419" t="str">
        <f t="shared" si="542"/>
        <v>CA</v>
      </c>
      <c r="K1419" t="str">
        <f>T("7607251485")</f>
        <v>7607251485</v>
      </c>
      <c r="L1419" t="str">
        <f>T("7607258078")</f>
        <v>7607258078</v>
      </c>
    </row>
    <row r="1420" spans="1:12" x14ac:dyDescent="0.35">
      <c r="A1420" t="str">
        <f t="shared" si="539"/>
        <v>NH CAMP PENDLETON</v>
      </c>
      <c r="B1420" t="str">
        <f t="shared" si="534"/>
        <v>NAVAL HOSPITAL CAMP PENDLETON</v>
      </c>
      <c r="C1420" t="str">
        <f t="shared" si="543"/>
        <v>MATERIEL MGMT BOX 555191</v>
      </c>
      <c r="D1420" t="str">
        <f t="shared" si="544"/>
        <v>CMP PENDLETON</v>
      </c>
      <c r="E1420" t="str">
        <f t="shared" si="541"/>
        <v>CA</v>
      </c>
      <c r="F1420" t="str">
        <f t="shared" si="540"/>
        <v>920555191</v>
      </c>
      <c r="G1420" t="str">
        <f t="shared" si="535"/>
        <v>NAVAL HOSPITAL CAMP PENDLETON</v>
      </c>
      <c r="H1420" t="str">
        <f>T("MMD BLDG H136")</f>
        <v>MMD BLDG H136</v>
      </c>
      <c r="I1420" t="str">
        <f>T("CAMP PENDLETON")</f>
        <v>CAMP PENDLETON</v>
      </c>
      <c r="J1420" t="str">
        <f t="shared" si="542"/>
        <v>CA</v>
      </c>
      <c r="K1420" t="str">
        <f>T("7607251139")</f>
        <v>7607251139</v>
      </c>
      <c r="L1420" t="str">
        <f>T("7607251257")</f>
        <v>7607251257</v>
      </c>
    </row>
    <row r="1421" spans="1:12" x14ac:dyDescent="0.35">
      <c r="A1421" t="str">
        <f t="shared" si="539"/>
        <v>NH CAMP PENDLETON</v>
      </c>
      <c r="B1421" t="str">
        <f>T("NH CAMP PENDLETON")</f>
        <v>NH CAMP PENDLETON</v>
      </c>
      <c r="C1421" t="str">
        <f>T("MAT MGMT BLDG H136")</f>
        <v>MAT MGMT BLDG H136</v>
      </c>
      <c r="D1421" t="str">
        <f t="shared" si="544"/>
        <v>CMP PENDLETON</v>
      </c>
      <c r="E1421" t="str">
        <f t="shared" si="541"/>
        <v>CA</v>
      </c>
      <c r="F1421" t="str">
        <f t="shared" si="540"/>
        <v>920555191</v>
      </c>
      <c r="G1421" t="str">
        <f>T("NAVAL HOSPITAL")</f>
        <v>NAVAL HOSPITAL</v>
      </c>
      <c r="H1421" t="str">
        <f>T("BOX 555191")</f>
        <v>BOX 555191</v>
      </c>
      <c r="I1421" t="str">
        <f>T("CAMP PENDLETON")</f>
        <v>CAMP PENDLETON</v>
      </c>
      <c r="J1421" t="str">
        <f t="shared" si="542"/>
        <v>CA</v>
      </c>
      <c r="K1421" t="str">
        <f>T("000000000000000000")</f>
        <v>000000000000000000</v>
      </c>
      <c r="L1421" t="str">
        <f>T("7607251524")</f>
        <v>7607251524</v>
      </c>
    </row>
    <row r="1422" spans="1:12" x14ac:dyDescent="0.35">
      <c r="A1422" t="str">
        <f t="shared" si="539"/>
        <v>NH CAMP PENDLETON</v>
      </c>
      <c r="B1422" t="str">
        <f>T("NH CAMP PENDLETON")</f>
        <v>NH CAMP PENDLETON</v>
      </c>
      <c r="C1422" t="str">
        <f>T("MAT MGMT BLDG H136")</f>
        <v>MAT MGMT BLDG H136</v>
      </c>
      <c r="D1422" t="str">
        <f t="shared" si="544"/>
        <v>CMP PENDLETON</v>
      </c>
      <c r="E1422" t="str">
        <f t="shared" si="541"/>
        <v>CA</v>
      </c>
      <c r="F1422" t="str">
        <f t="shared" si="540"/>
        <v>920555191</v>
      </c>
      <c r="G1422" t="str">
        <f>T("NAVAL HOSPITAL CAMP PENDLETON")</f>
        <v>NAVAL HOSPITAL CAMP PENDLETON</v>
      </c>
      <c r="H1422" t="str">
        <f>T("MAT MGMT BLDG H136")</f>
        <v>MAT MGMT BLDG H136</v>
      </c>
      <c r="I1422" t="str">
        <f>T("CAMP PENDLETON")</f>
        <v>CAMP PENDLETON</v>
      </c>
      <c r="J1422" t="str">
        <f t="shared" si="542"/>
        <v>CA</v>
      </c>
      <c r="K1422" t="str">
        <f>T("7607251101")</f>
        <v>7607251101</v>
      </c>
      <c r="L1422" t="str">
        <f>T("7607193886")</f>
        <v>7607193886</v>
      </c>
    </row>
    <row r="1423" spans="1:12" x14ac:dyDescent="0.35">
      <c r="A1423" t="str">
        <f t="shared" si="539"/>
        <v>NH CAMP PENDLETON</v>
      </c>
      <c r="B1423" t="str">
        <f>T("NH CAMP PENDLETON")</f>
        <v>NH CAMP PENDLETON</v>
      </c>
      <c r="C1423" t="str">
        <f>T("MAT MGMT BLDG H136")</f>
        <v>MAT MGMT BLDG H136</v>
      </c>
      <c r="D1423" t="str">
        <f t="shared" si="544"/>
        <v>CMP PENDLETON</v>
      </c>
      <c r="E1423" t="str">
        <f t="shared" si="541"/>
        <v>CA</v>
      </c>
      <c r="F1423" t="str">
        <f t="shared" si="540"/>
        <v>920555191</v>
      </c>
      <c r="G1423" t="str">
        <f>T("NH CAMP PENDLETON")</f>
        <v>NH CAMP PENDLETON</v>
      </c>
      <c r="H1423" t="str">
        <f>T("MAT MGMT BLDG H136")</f>
        <v>MAT MGMT BLDG H136</v>
      </c>
      <c r="I1423" t="str">
        <f>T("CMP PENDLETON")</f>
        <v>CMP PENDLETON</v>
      </c>
      <c r="J1423" t="str">
        <f t="shared" si="542"/>
        <v>CA</v>
      </c>
      <c r="K1423" t="str">
        <f>T("7607251485")</f>
        <v>7607251485</v>
      </c>
      <c r="L1423" t="str">
        <f>T("7607636342")</f>
        <v>7607636342</v>
      </c>
    </row>
    <row r="1424" spans="1:12" x14ac:dyDescent="0.35">
      <c r="A1424" t="str">
        <f t="shared" ref="A1424:A1438" si="545">T("NH 29 PALMS")</f>
        <v>NH 29 PALMS</v>
      </c>
      <c r="B1424" t="str">
        <f>T("MCAGCC BOX 788250")</f>
        <v>MCAGCC BOX 788250</v>
      </c>
      <c r="C1424" t="str">
        <f>T("ATTN ERIC VALADEZ")</f>
        <v>ATTN ERIC VALADEZ</v>
      </c>
      <c r="D1424" t="str">
        <f t="shared" ref="D1424:D1438" si="546">T("TWENTYNIN PLM")</f>
        <v>TWENTYNIN PLM</v>
      </c>
      <c r="E1424" t="str">
        <f t="shared" si="541"/>
        <v>CA</v>
      </c>
      <c r="F1424" t="str">
        <f t="shared" ref="F1424:F1438" si="547">T("922788250")</f>
        <v>922788250</v>
      </c>
      <c r="G1424" t="str">
        <f>T("DEWERT BRANCH HEALTH CLINIC")</f>
        <v>DEWERT BRANCH HEALTH CLINIC</v>
      </c>
      <c r="H1424" t="str">
        <f>T("MCMWTC BLDG 3005 SR 108")</f>
        <v>MCMWTC BLDG 3005 SR 108</v>
      </c>
      <c r="I1424" t="str">
        <f>T("BRIDGEPORT")</f>
        <v>BRIDGEPORT</v>
      </c>
      <c r="J1424" t="str">
        <f t="shared" si="542"/>
        <v>CA</v>
      </c>
      <c r="K1424" t="str">
        <f>T("000000000000000000")</f>
        <v>000000000000000000</v>
      </c>
      <c r="L1424" t="str">
        <f>T("7609321614")</f>
        <v>7609321614</v>
      </c>
    </row>
    <row r="1425" spans="1:12" x14ac:dyDescent="0.35">
      <c r="A1425" t="str">
        <f t="shared" si="545"/>
        <v>NH 29 PALMS</v>
      </c>
      <c r="B1425" t="str">
        <f>T("MCAGCC BOX 788250")</f>
        <v>MCAGCC BOX 788250</v>
      </c>
      <c r="C1425" t="str">
        <f>T("ATTN ERIC VALADEZ")</f>
        <v>ATTN ERIC VALADEZ</v>
      </c>
      <c r="D1425" t="str">
        <f t="shared" si="546"/>
        <v>TWENTYNIN PLM</v>
      </c>
      <c r="E1425" t="str">
        <f t="shared" si="541"/>
        <v>CA</v>
      </c>
      <c r="F1425" t="str">
        <f t="shared" si="547"/>
        <v>922788250</v>
      </c>
      <c r="G1425" t="str">
        <f>T("MCAGCC BLDG 1145")</f>
        <v>MCAGCC BLDG 1145</v>
      </c>
      <c r="H1425" t="str">
        <f>T("")</f>
        <v/>
      </c>
      <c r="I1425" t="str">
        <f>T("TWENTYNINE PALMS")</f>
        <v>TWENTYNINE PALMS</v>
      </c>
      <c r="J1425" t="str">
        <f t="shared" si="542"/>
        <v>CA</v>
      </c>
      <c r="K1425" t="str">
        <f>T("000000000000000000")</f>
        <v>000000000000000000</v>
      </c>
      <c r="L1425" t="str">
        <f>T("7608302547")</f>
        <v>7608302547</v>
      </c>
    </row>
    <row r="1426" spans="1:12" x14ac:dyDescent="0.35">
      <c r="A1426" t="str">
        <f t="shared" si="545"/>
        <v>NH 29 PALMS</v>
      </c>
      <c r="B1426" t="str">
        <f>T("MCAGCC BOX 788250")</f>
        <v>MCAGCC BOX 788250</v>
      </c>
      <c r="C1426" t="str">
        <f>T("ATTN ERIC VALADEZ")</f>
        <v>ATTN ERIC VALADEZ</v>
      </c>
      <c r="D1426" t="str">
        <f t="shared" si="546"/>
        <v>TWENTYNIN PLM</v>
      </c>
      <c r="E1426" t="str">
        <f t="shared" si="541"/>
        <v>CA</v>
      </c>
      <c r="F1426" t="str">
        <f t="shared" si="547"/>
        <v>922788250</v>
      </c>
      <c r="G1426" t="str">
        <f>T("MCAGCC BOX 788250")</f>
        <v>MCAGCC BOX 788250</v>
      </c>
      <c r="H1426" t="str">
        <f>T("ATTN ERIC VALADEZ")</f>
        <v>ATTN ERIC VALADEZ</v>
      </c>
      <c r="I1426" t="str">
        <f>T("TWENTYNIN PLM")</f>
        <v>TWENTYNIN PLM</v>
      </c>
      <c r="J1426" t="str">
        <f t="shared" si="542"/>
        <v>CA</v>
      </c>
      <c r="K1426" t="str">
        <f>T("")</f>
        <v/>
      </c>
      <c r="L1426" t="str">
        <f>T("7608305170")</f>
        <v>7608305170</v>
      </c>
    </row>
    <row r="1427" spans="1:12" x14ac:dyDescent="0.35">
      <c r="A1427" t="str">
        <f t="shared" si="545"/>
        <v>NH 29 PALMS</v>
      </c>
      <c r="B1427" t="str">
        <f>T("MCAGCC BOX 788250")</f>
        <v>MCAGCC BOX 788250</v>
      </c>
      <c r="C1427" t="str">
        <f>T("ATTN ERIC VALADEZ")</f>
        <v>ATTN ERIC VALADEZ</v>
      </c>
      <c r="D1427" t="str">
        <f t="shared" si="546"/>
        <v>TWENTYNIN PLM</v>
      </c>
      <c r="E1427" t="str">
        <f t="shared" si="541"/>
        <v>CA</v>
      </c>
      <c r="F1427" t="str">
        <f t="shared" si="547"/>
        <v>922788250</v>
      </c>
      <c r="G1427" t="str">
        <f>T("NAVAL HOSPITAL TWENTYNINE PALMS")</f>
        <v>NAVAL HOSPITAL TWENTYNINE PALMS</v>
      </c>
      <c r="H1427" t="str">
        <f>T("1145 STURGIS")</f>
        <v>1145 STURGIS</v>
      </c>
      <c r="I1427" t="str">
        <f>T("TWENTYNINE PALMS")</f>
        <v>TWENTYNINE PALMS</v>
      </c>
      <c r="J1427" t="str">
        <f t="shared" si="542"/>
        <v>CA</v>
      </c>
      <c r="K1427" t="str">
        <f>T("000000000000000000")</f>
        <v>000000000000000000</v>
      </c>
      <c r="L1427" t="str">
        <f>T("7608305170")</f>
        <v>7608305170</v>
      </c>
    </row>
    <row r="1428" spans="1:12" x14ac:dyDescent="0.35">
      <c r="A1428" t="str">
        <f t="shared" si="545"/>
        <v>NH 29 PALMS</v>
      </c>
      <c r="B1428" t="str">
        <f>T("MCAGCC BOX 788250")</f>
        <v>MCAGCC BOX 788250</v>
      </c>
      <c r="C1428" t="str">
        <f>T("ATTN ERIC VALADEZ")</f>
        <v>ATTN ERIC VALADEZ</v>
      </c>
      <c r="D1428" t="str">
        <f t="shared" si="546"/>
        <v>TWENTYNIN PLM</v>
      </c>
      <c r="E1428" t="str">
        <f t="shared" si="541"/>
        <v>CA</v>
      </c>
      <c r="F1428" t="str">
        <f t="shared" si="547"/>
        <v>922788250</v>
      </c>
      <c r="G1428" t="str">
        <f>T("NAVAL HOSPITAL TWENTYNINE PALMS")</f>
        <v>NAVAL HOSPITAL TWENTYNINE PALMS</v>
      </c>
      <c r="H1428" t="str">
        <f>T("1145 STURGIS ROAD")</f>
        <v>1145 STURGIS ROAD</v>
      </c>
      <c r="I1428" t="str">
        <f>T("TWENTYNINE PALMS")</f>
        <v>TWENTYNINE PALMS</v>
      </c>
      <c r="J1428" t="str">
        <f t="shared" si="542"/>
        <v>CA</v>
      </c>
      <c r="K1428" t="str">
        <f>T("000000000000000000")</f>
        <v>000000000000000000</v>
      </c>
      <c r="L1428" t="str">
        <f>T("7608302190")</f>
        <v>7608302190</v>
      </c>
    </row>
    <row r="1429" spans="1:12" x14ac:dyDescent="0.35">
      <c r="A1429" t="str">
        <f t="shared" si="545"/>
        <v>NH 29 PALMS</v>
      </c>
      <c r="B1429" t="str">
        <f t="shared" ref="B1429:B1438" si="548">T("NAVAL HOSPITAL")</f>
        <v>NAVAL HOSPITAL</v>
      </c>
      <c r="C1429" t="str">
        <f t="shared" ref="C1429:C1438" si="549">T("MAGTFTC MCAGCC BOX 788250")</f>
        <v>MAGTFTC MCAGCC BOX 788250</v>
      </c>
      <c r="D1429" t="str">
        <f t="shared" si="546"/>
        <v>TWENTYNIN PLM</v>
      </c>
      <c r="E1429" t="str">
        <f t="shared" si="541"/>
        <v>CA</v>
      </c>
      <c r="F1429" t="str">
        <f t="shared" si="547"/>
        <v>922788250</v>
      </c>
      <c r="G1429" t="str">
        <f>T("BRANCH MEDICAL CENTER")</f>
        <v>BRANCH MEDICAL CENTER</v>
      </c>
      <c r="H1429" t="str">
        <f>T("1 ADMINISTRATION CIRCLE")</f>
        <v>1 ADMINISTRATION CIRCLE</v>
      </c>
      <c r="I1429" t="str">
        <f>T("RIDGECREST")</f>
        <v>RIDGECREST</v>
      </c>
      <c r="J1429" t="str">
        <f t="shared" si="542"/>
        <v>CA</v>
      </c>
      <c r="K1429" t="str">
        <f>T("000000000000000000")</f>
        <v>000000000000000000</v>
      </c>
      <c r="L1429" t="str">
        <f>T("7609398031")</f>
        <v>7609398031</v>
      </c>
    </row>
    <row r="1430" spans="1:12" x14ac:dyDescent="0.35">
      <c r="A1430" t="str">
        <f t="shared" si="545"/>
        <v>NH 29 PALMS</v>
      </c>
      <c r="B1430" t="str">
        <f t="shared" si="548"/>
        <v>NAVAL HOSPITAL</v>
      </c>
      <c r="C1430" t="str">
        <f t="shared" si="549"/>
        <v>MAGTFTC MCAGCC BOX 788250</v>
      </c>
      <c r="D1430" t="str">
        <f t="shared" si="546"/>
        <v>TWENTYNIN PLM</v>
      </c>
      <c r="E1430" t="str">
        <f t="shared" si="541"/>
        <v>CA</v>
      </c>
      <c r="F1430" t="str">
        <f t="shared" si="547"/>
        <v>922788250</v>
      </c>
      <c r="G1430" t="str">
        <f>T("MCAGCC BLDG 1145")</f>
        <v>MCAGCC BLDG 1145</v>
      </c>
      <c r="H1430" t="str">
        <f>T("")</f>
        <v/>
      </c>
      <c r="I1430" t="str">
        <f>T("TWENTYNINE PALMS")</f>
        <v>TWENTYNINE PALMS</v>
      </c>
      <c r="J1430" t="str">
        <f t="shared" si="542"/>
        <v>CA</v>
      </c>
      <c r="K1430" t="str">
        <f>T("000000000000000000")</f>
        <v>000000000000000000</v>
      </c>
      <c r="L1430" t="str">
        <f>T("7608302015")</f>
        <v>7608302015</v>
      </c>
    </row>
    <row r="1431" spans="1:12" x14ac:dyDescent="0.35">
      <c r="A1431" t="str">
        <f t="shared" si="545"/>
        <v>NH 29 PALMS</v>
      </c>
      <c r="B1431" t="str">
        <f t="shared" si="548"/>
        <v>NAVAL HOSPITAL</v>
      </c>
      <c r="C1431" t="str">
        <f t="shared" si="549"/>
        <v>MAGTFTC MCAGCC BOX 788250</v>
      </c>
      <c r="D1431" t="str">
        <f t="shared" si="546"/>
        <v>TWENTYNIN PLM</v>
      </c>
      <c r="E1431" t="str">
        <f t="shared" si="541"/>
        <v>CA</v>
      </c>
      <c r="F1431" t="str">
        <f t="shared" si="547"/>
        <v>922788250</v>
      </c>
      <c r="G1431" t="str">
        <f>T("MCAGCC BLDG 1145")</f>
        <v>MCAGCC BLDG 1145</v>
      </c>
      <c r="H1431" t="str">
        <f>T("")</f>
        <v/>
      </c>
      <c r="I1431" t="str">
        <f>T("TWENTYNINE PALMS")</f>
        <v>TWENTYNINE PALMS</v>
      </c>
      <c r="J1431" t="str">
        <f t="shared" si="542"/>
        <v>CA</v>
      </c>
      <c r="K1431" t="str">
        <f>T("000000000000000000")</f>
        <v>000000000000000000</v>
      </c>
      <c r="L1431" t="str">
        <f>T("7608302740")</f>
        <v>7608302740</v>
      </c>
    </row>
    <row r="1432" spans="1:12" x14ac:dyDescent="0.35">
      <c r="A1432" t="str">
        <f t="shared" si="545"/>
        <v>NH 29 PALMS</v>
      </c>
      <c r="B1432" t="str">
        <f t="shared" si="548"/>
        <v>NAVAL HOSPITAL</v>
      </c>
      <c r="C1432" t="str">
        <f t="shared" si="549"/>
        <v>MAGTFTC MCAGCC BOX 788250</v>
      </c>
      <c r="D1432" t="str">
        <f t="shared" si="546"/>
        <v>TWENTYNIN PLM</v>
      </c>
      <c r="E1432" t="str">
        <f t="shared" si="541"/>
        <v>CA</v>
      </c>
      <c r="F1432" t="str">
        <f t="shared" si="547"/>
        <v>922788250</v>
      </c>
      <c r="G1432" t="str">
        <f>T("NAVAL HOSPITAL")</f>
        <v>NAVAL HOSPITAL</v>
      </c>
      <c r="H1432" t="str">
        <f>T("MAGTFTC MCAGCC BOX 788250")</f>
        <v>MAGTFTC MCAGCC BOX 788250</v>
      </c>
      <c r="I1432" t="str">
        <f>T("TWENTYNIN PLM")</f>
        <v>TWENTYNIN PLM</v>
      </c>
      <c r="J1432" t="str">
        <f t="shared" si="542"/>
        <v>CA</v>
      </c>
      <c r="K1432" t="str">
        <f>T("")</f>
        <v/>
      </c>
      <c r="L1432" t="str">
        <f>T("7608302152")</f>
        <v>7608302152</v>
      </c>
    </row>
    <row r="1433" spans="1:12" x14ac:dyDescent="0.35">
      <c r="A1433" t="str">
        <f t="shared" si="545"/>
        <v>NH 29 PALMS</v>
      </c>
      <c r="B1433" t="str">
        <f t="shared" si="548"/>
        <v>NAVAL HOSPITAL</v>
      </c>
      <c r="C1433" t="str">
        <f t="shared" si="549"/>
        <v>MAGTFTC MCAGCC BOX 788250</v>
      </c>
      <c r="D1433" t="str">
        <f t="shared" si="546"/>
        <v>TWENTYNIN PLM</v>
      </c>
      <c r="E1433" t="str">
        <f t="shared" si="541"/>
        <v>CA</v>
      </c>
      <c r="F1433" t="str">
        <f t="shared" si="547"/>
        <v>922788250</v>
      </c>
      <c r="G1433" t="str">
        <f>T("NAVAL HOSPITAL")</f>
        <v>NAVAL HOSPITAL</v>
      </c>
      <c r="H1433" t="str">
        <f>T("MAGTFTC MCAGCC BOX 788250")</f>
        <v>MAGTFTC MCAGCC BOX 788250</v>
      </c>
      <c r="I1433" t="str">
        <f>T("TWENTYNIN PLM")</f>
        <v>TWENTYNIN PLM</v>
      </c>
      <c r="J1433" t="str">
        <f t="shared" si="542"/>
        <v>CA</v>
      </c>
      <c r="K1433" t="str">
        <f>T("7608302190")</f>
        <v>7608302190</v>
      </c>
      <c r="L1433" t="str">
        <f>T("7608302294")</f>
        <v>7608302294</v>
      </c>
    </row>
    <row r="1434" spans="1:12" x14ac:dyDescent="0.35">
      <c r="A1434" t="str">
        <f t="shared" si="545"/>
        <v>NH 29 PALMS</v>
      </c>
      <c r="B1434" t="str">
        <f t="shared" si="548"/>
        <v>NAVAL HOSPITAL</v>
      </c>
      <c r="C1434" t="str">
        <f t="shared" si="549"/>
        <v>MAGTFTC MCAGCC BOX 788250</v>
      </c>
      <c r="D1434" t="str">
        <f t="shared" si="546"/>
        <v>TWENTYNIN PLM</v>
      </c>
      <c r="E1434" t="str">
        <f t="shared" si="541"/>
        <v>CA</v>
      </c>
      <c r="F1434" t="str">
        <f t="shared" si="547"/>
        <v>922788250</v>
      </c>
      <c r="G1434" t="str">
        <f>T("NAVAL HOSPITAL")</f>
        <v>NAVAL HOSPITAL</v>
      </c>
      <c r="H1434" t="str">
        <f>T("MCAGCC BLDG 1145")</f>
        <v>MCAGCC BLDG 1145</v>
      </c>
      <c r="I1434" t="str">
        <f>T("TWENTYNINE PALMS")</f>
        <v>TWENTYNINE PALMS</v>
      </c>
      <c r="J1434" t="str">
        <f t="shared" si="542"/>
        <v>CA</v>
      </c>
      <c r="K1434" t="str">
        <f>T("000000000000000000")</f>
        <v>000000000000000000</v>
      </c>
      <c r="L1434" t="str">
        <f>T("7608302135")</f>
        <v>7608302135</v>
      </c>
    </row>
    <row r="1435" spans="1:12" x14ac:dyDescent="0.35">
      <c r="A1435" t="str">
        <f t="shared" si="545"/>
        <v>NH 29 PALMS</v>
      </c>
      <c r="B1435" t="str">
        <f t="shared" si="548"/>
        <v>NAVAL HOSPITAL</v>
      </c>
      <c r="C1435" t="str">
        <f t="shared" si="549"/>
        <v>MAGTFTC MCAGCC BOX 788250</v>
      </c>
      <c r="D1435" t="str">
        <f t="shared" si="546"/>
        <v>TWENTYNIN PLM</v>
      </c>
      <c r="E1435" t="str">
        <f t="shared" si="541"/>
        <v>CA</v>
      </c>
      <c r="F1435" t="str">
        <f t="shared" si="547"/>
        <v>922788250</v>
      </c>
      <c r="G1435" t="str">
        <f>T("NAVAL HOSPITAL")</f>
        <v>NAVAL HOSPITAL</v>
      </c>
      <c r="H1435" t="str">
        <f>T("MCAGCC BLDG 1145")</f>
        <v>MCAGCC BLDG 1145</v>
      </c>
      <c r="I1435" t="str">
        <f>T("TWENTYNINE PALMS")</f>
        <v>TWENTYNINE PALMS</v>
      </c>
      <c r="J1435" t="str">
        <f t="shared" si="542"/>
        <v>CA</v>
      </c>
      <c r="K1435" t="str">
        <f>T("000000000000000000")</f>
        <v>000000000000000000</v>
      </c>
      <c r="L1435" t="str">
        <f>T("7608302171")</f>
        <v>7608302171</v>
      </c>
    </row>
    <row r="1436" spans="1:12" x14ac:dyDescent="0.35">
      <c r="A1436" t="str">
        <f t="shared" si="545"/>
        <v>NH 29 PALMS</v>
      </c>
      <c r="B1436" t="str">
        <f t="shared" si="548"/>
        <v>NAVAL HOSPITAL</v>
      </c>
      <c r="C1436" t="str">
        <f t="shared" si="549"/>
        <v>MAGTFTC MCAGCC BOX 788250</v>
      </c>
      <c r="D1436" t="str">
        <f t="shared" si="546"/>
        <v>TWENTYNIN PLM</v>
      </c>
      <c r="E1436" t="str">
        <f t="shared" si="541"/>
        <v>CA</v>
      </c>
      <c r="F1436" t="str">
        <f t="shared" si="547"/>
        <v>922788250</v>
      </c>
      <c r="G1436" t="str">
        <f>T("NAVAL HOSPITAL 29 PALMS")</f>
        <v>NAVAL HOSPITAL 29 PALMS</v>
      </c>
      <c r="H1436" t="str">
        <f>T("P O BOX 788250")</f>
        <v>P O BOX 788250</v>
      </c>
      <c r="I1436" t="str">
        <f>T("TWENTYNINE PALMS")</f>
        <v>TWENTYNINE PALMS</v>
      </c>
      <c r="J1436" t="str">
        <f t="shared" si="542"/>
        <v>CA</v>
      </c>
      <c r="K1436" t="str">
        <f>T("7608302714")</f>
        <v>7608302714</v>
      </c>
      <c r="L1436" t="str">
        <f>T("7608302743")</f>
        <v>7608302743</v>
      </c>
    </row>
    <row r="1437" spans="1:12" x14ac:dyDescent="0.35">
      <c r="A1437" t="str">
        <f t="shared" si="545"/>
        <v>NH 29 PALMS</v>
      </c>
      <c r="B1437" t="str">
        <f t="shared" si="548"/>
        <v>NAVAL HOSPITAL</v>
      </c>
      <c r="C1437" t="str">
        <f t="shared" si="549"/>
        <v>MAGTFTC MCAGCC BOX 788250</v>
      </c>
      <c r="D1437" t="str">
        <f t="shared" si="546"/>
        <v>TWENTYNIN PLM</v>
      </c>
      <c r="E1437" t="str">
        <f t="shared" si="541"/>
        <v>CA</v>
      </c>
      <c r="F1437" t="str">
        <f t="shared" si="547"/>
        <v>922788250</v>
      </c>
      <c r="G1437" t="str">
        <f>T("NAVAL HOSPITAL TWENTYNINE PALMS")</f>
        <v>NAVAL HOSPITAL TWENTYNINE PALMS</v>
      </c>
      <c r="H1437" t="str">
        <f>T("MCAGCC BLDG 1145")</f>
        <v>MCAGCC BLDG 1145</v>
      </c>
      <c r="I1437" t="str">
        <f>T("TWENTYNINE PALMS")</f>
        <v>TWENTYNINE PALMS</v>
      </c>
      <c r="J1437" t="str">
        <f t="shared" si="542"/>
        <v>CA</v>
      </c>
      <c r="K1437" t="str">
        <f>T("000000000000000000")</f>
        <v>000000000000000000</v>
      </c>
      <c r="L1437" t="str">
        <f>T("7608302618")</f>
        <v>7608302618</v>
      </c>
    </row>
    <row r="1438" spans="1:12" x14ac:dyDescent="0.35">
      <c r="A1438" t="str">
        <f t="shared" si="545"/>
        <v>NH 29 PALMS</v>
      </c>
      <c r="B1438" t="str">
        <f t="shared" si="548"/>
        <v>NAVAL HOSPITAL</v>
      </c>
      <c r="C1438" t="str">
        <f t="shared" si="549"/>
        <v>MAGTFTC MCAGCC BOX 788250</v>
      </c>
      <c r="D1438" t="str">
        <f t="shared" si="546"/>
        <v>TWENTYNIN PLM</v>
      </c>
      <c r="E1438" t="str">
        <f t="shared" si="541"/>
        <v>CA</v>
      </c>
      <c r="F1438" t="str">
        <f t="shared" si="547"/>
        <v>922788250</v>
      </c>
      <c r="G1438" t="str">
        <f>T("ROBERT E BUSH NAVAL HOSPITAL")</f>
        <v>ROBERT E BUSH NAVAL HOSPITAL</v>
      </c>
      <c r="H1438" t="str">
        <f>T("MAGTFTC MCAGCC BOX 788250")</f>
        <v>MAGTFTC MCAGCC BOX 788250</v>
      </c>
      <c r="I1438" t="str">
        <f>T("TWENTYNINE PALMS")</f>
        <v>TWENTYNINE PALMS</v>
      </c>
      <c r="J1438" t="str">
        <f t="shared" si="542"/>
        <v>CA</v>
      </c>
      <c r="K1438" t="str">
        <f>T("000000000000000000")</f>
        <v>000000000000000000</v>
      </c>
      <c r="L1438" t="str">
        <f>T("7608302158")</f>
        <v>7608302158</v>
      </c>
    </row>
    <row r="1439" spans="1:12" x14ac:dyDescent="0.35">
      <c r="A1439" t="str">
        <f t="shared" ref="A1439:A1444" si="550">T("NAVAL HOSPITAL LEMOORE")</f>
        <v>NAVAL HOSPITAL LEMOORE</v>
      </c>
      <c r="B1439" t="str">
        <f t="shared" ref="B1439:B1444" si="551">T("937 FRANKLIN AVE")</f>
        <v>937 FRANKLIN AVE</v>
      </c>
      <c r="C1439" t="str">
        <f t="shared" ref="C1439:C1453" si="552">T("")</f>
        <v/>
      </c>
      <c r="D1439" t="str">
        <f t="shared" ref="D1439:D1444" si="553">T("LEMOORE")</f>
        <v>LEMOORE</v>
      </c>
      <c r="E1439" t="str">
        <f t="shared" si="541"/>
        <v>CA</v>
      </c>
      <c r="F1439" t="str">
        <f t="shared" ref="F1439:F1444" si="554">T("932464701")</f>
        <v>932464701</v>
      </c>
      <c r="G1439" t="str">
        <f>T("937 FRANKLIN AVE")</f>
        <v>937 FRANKLIN AVE</v>
      </c>
      <c r="H1439" t="str">
        <f>T("")</f>
        <v/>
      </c>
      <c r="I1439" t="str">
        <f t="shared" ref="I1439:I1444" si="555">T("LEMOORE")</f>
        <v>LEMOORE</v>
      </c>
      <c r="J1439" t="str">
        <f t="shared" si="542"/>
        <v>CA</v>
      </c>
      <c r="K1439" t="str">
        <f>T("000000000000000000")</f>
        <v>000000000000000000</v>
      </c>
      <c r="L1439" t="str">
        <f>T("5599984273")</f>
        <v>5599984273</v>
      </c>
    </row>
    <row r="1440" spans="1:12" x14ac:dyDescent="0.35">
      <c r="A1440" t="str">
        <f t="shared" si="550"/>
        <v>NAVAL HOSPITAL LEMOORE</v>
      </c>
      <c r="B1440" t="str">
        <f t="shared" si="551"/>
        <v>937 FRANKLIN AVE</v>
      </c>
      <c r="C1440" t="str">
        <f t="shared" si="552"/>
        <v/>
      </c>
      <c r="D1440" t="str">
        <f t="shared" si="553"/>
        <v>LEMOORE</v>
      </c>
      <c r="E1440" t="str">
        <f t="shared" si="541"/>
        <v>CA</v>
      </c>
      <c r="F1440" t="str">
        <f t="shared" si="554"/>
        <v>932464701</v>
      </c>
      <c r="G1440" t="str">
        <f>T("937 FRANKLIN AVE")</f>
        <v>937 FRANKLIN AVE</v>
      </c>
      <c r="H1440" t="str">
        <f>T("")</f>
        <v/>
      </c>
      <c r="I1440" t="str">
        <f t="shared" si="555"/>
        <v>LEMOORE</v>
      </c>
      <c r="J1440" t="str">
        <f t="shared" si="542"/>
        <v>CA</v>
      </c>
      <c r="K1440" t="str">
        <f>T("000000000000000000")</f>
        <v>000000000000000000</v>
      </c>
      <c r="L1440" t="str">
        <f>T("5599984274")</f>
        <v>5599984274</v>
      </c>
    </row>
    <row r="1441" spans="1:12" x14ac:dyDescent="0.35">
      <c r="A1441" t="str">
        <f t="shared" si="550"/>
        <v>NAVAL HOSPITAL LEMOORE</v>
      </c>
      <c r="B1441" t="str">
        <f t="shared" si="551"/>
        <v>937 FRANKLIN AVE</v>
      </c>
      <c r="C1441" t="str">
        <f t="shared" si="552"/>
        <v/>
      </c>
      <c r="D1441" t="str">
        <f t="shared" si="553"/>
        <v>LEMOORE</v>
      </c>
      <c r="E1441" t="str">
        <f t="shared" si="541"/>
        <v>CA</v>
      </c>
      <c r="F1441" t="str">
        <f t="shared" si="554"/>
        <v>932464701</v>
      </c>
      <c r="G1441" t="str">
        <f>T("937 FRANKLIN AVE")</f>
        <v>937 FRANKLIN AVE</v>
      </c>
      <c r="H1441" t="str">
        <f>T("")</f>
        <v/>
      </c>
      <c r="I1441" t="str">
        <f t="shared" si="555"/>
        <v>LEMOORE</v>
      </c>
      <c r="J1441" t="str">
        <f t="shared" si="542"/>
        <v>CA</v>
      </c>
      <c r="K1441" t="str">
        <f>T("000000000000000000")</f>
        <v>000000000000000000</v>
      </c>
      <c r="L1441" t="str">
        <f>T("9985594274")</f>
        <v>9985594274</v>
      </c>
    </row>
    <row r="1442" spans="1:12" x14ac:dyDescent="0.35">
      <c r="A1442" t="str">
        <f t="shared" si="550"/>
        <v>NAVAL HOSPITAL LEMOORE</v>
      </c>
      <c r="B1442" t="str">
        <f t="shared" si="551"/>
        <v>937 FRANKLIN AVE</v>
      </c>
      <c r="C1442" t="str">
        <f t="shared" si="552"/>
        <v/>
      </c>
      <c r="D1442" t="str">
        <f t="shared" si="553"/>
        <v>LEMOORE</v>
      </c>
      <c r="E1442" t="str">
        <f t="shared" si="541"/>
        <v>CA</v>
      </c>
      <c r="F1442" t="str">
        <f t="shared" si="554"/>
        <v>932464701</v>
      </c>
      <c r="G1442" t="str">
        <f>T("937 FRANKLIN AVE")</f>
        <v>937 FRANKLIN AVE</v>
      </c>
      <c r="H1442" t="str">
        <f>T("")</f>
        <v/>
      </c>
      <c r="I1442" t="str">
        <f t="shared" si="555"/>
        <v>LEMOORE</v>
      </c>
      <c r="J1442" t="str">
        <f t="shared" si="542"/>
        <v>CA</v>
      </c>
      <c r="K1442" t="str">
        <f>T("5599982524")</f>
        <v>5599982524</v>
      </c>
      <c r="L1442" t="str">
        <f>T("5599984440")</f>
        <v>5599984440</v>
      </c>
    </row>
    <row r="1443" spans="1:12" x14ac:dyDescent="0.35">
      <c r="A1443" t="str">
        <f t="shared" si="550"/>
        <v>NAVAL HOSPITAL LEMOORE</v>
      </c>
      <c r="B1443" t="str">
        <f t="shared" si="551"/>
        <v>937 FRANKLIN AVE</v>
      </c>
      <c r="C1443" t="str">
        <f t="shared" si="552"/>
        <v/>
      </c>
      <c r="D1443" t="str">
        <f t="shared" si="553"/>
        <v>LEMOORE</v>
      </c>
      <c r="E1443" t="str">
        <f t="shared" si="541"/>
        <v>CA</v>
      </c>
      <c r="F1443" t="str">
        <f t="shared" si="554"/>
        <v>932464701</v>
      </c>
      <c r="G1443" t="str">
        <f>T("NAVAL HOSPITAL 937 FRANKLIN AVENUE")</f>
        <v>NAVAL HOSPITAL 937 FRANKLIN AVENUE</v>
      </c>
      <c r="H1443" t="str">
        <f>T("")</f>
        <v/>
      </c>
      <c r="I1443" t="str">
        <f t="shared" si="555"/>
        <v>LEMOORE</v>
      </c>
      <c r="J1443" t="str">
        <f t="shared" si="542"/>
        <v>CA</v>
      </c>
      <c r="K1443" t="str">
        <f>T("5599984291")</f>
        <v>5599984291</v>
      </c>
      <c r="L1443" t="str">
        <f>T("5599984274")</f>
        <v>5599984274</v>
      </c>
    </row>
    <row r="1444" spans="1:12" x14ac:dyDescent="0.35">
      <c r="A1444" t="str">
        <f t="shared" si="550"/>
        <v>NAVAL HOSPITAL LEMOORE</v>
      </c>
      <c r="B1444" t="str">
        <f t="shared" si="551"/>
        <v>937 FRANKLIN AVE</v>
      </c>
      <c r="C1444" t="str">
        <f t="shared" si="552"/>
        <v/>
      </c>
      <c r="D1444" t="str">
        <f t="shared" si="553"/>
        <v>LEMOORE</v>
      </c>
      <c r="E1444" t="str">
        <f t="shared" si="541"/>
        <v>CA</v>
      </c>
      <c r="F1444" t="str">
        <f t="shared" si="554"/>
        <v>932464701</v>
      </c>
      <c r="G1444" t="str">
        <f>T("NAVAL HOSPITAL LEMOORE")</f>
        <v>NAVAL HOSPITAL LEMOORE</v>
      </c>
      <c r="H1444" t="str">
        <f>T("937 FRANKLIN AVE")</f>
        <v>937 FRANKLIN AVE</v>
      </c>
      <c r="I1444" t="str">
        <f t="shared" si="555"/>
        <v>LEMOORE</v>
      </c>
      <c r="J1444" t="str">
        <f t="shared" si="542"/>
        <v>CA</v>
      </c>
      <c r="K1444" t="str">
        <f>T("000000000000000000")</f>
        <v>000000000000000000</v>
      </c>
      <c r="L1444" t="str">
        <f>T("5599984273")</f>
        <v>5599984273</v>
      </c>
    </row>
    <row r="1445" spans="1:12" x14ac:dyDescent="0.35">
      <c r="A1445" t="str">
        <f t="shared" ref="A1445:A1452" si="556">T("NAVAL HOSPITAL OAK HARBOR")</f>
        <v>NAVAL HOSPITAL OAK HARBOR</v>
      </c>
      <c r="B1445" t="str">
        <f t="shared" ref="B1445:B1451" si="557">T("3475 N SARATOGA ST")</f>
        <v>3475 N SARATOGA ST</v>
      </c>
      <c r="C1445" t="str">
        <f t="shared" si="552"/>
        <v/>
      </c>
      <c r="D1445" t="str">
        <f t="shared" ref="D1445:D1452" si="558">T("OAK HARBOR")</f>
        <v>OAK HARBOR</v>
      </c>
      <c r="E1445" t="str">
        <f t="shared" ref="E1445:E1452" si="559">T("WA")</f>
        <v>WA</v>
      </c>
      <c r="F1445" t="str">
        <f t="shared" ref="F1445:F1451" si="560">T("982788800")</f>
        <v>982788800</v>
      </c>
      <c r="G1445" t="str">
        <f>T("3475 N SARATOGA")</f>
        <v>3475 N SARATOGA</v>
      </c>
      <c r="H1445" t="str">
        <f t="shared" ref="H1445:H1455" si="561">T("")</f>
        <v/>
      </c>
      <c r="I1445" t="str">
        <f t="shared" ref="I1445:I1452" si="562">T("OAK HARBOR")</f>
        <v>OAK HARBOR</v>
      </c>
      <c r="J1445" t="str">
        <f t="shared" ref="J1445:J1452" si="563">T("WA")</f>
        <v>WA</v>
      </c>
      <c r="K1445" t="str">
        <f>T("3602579953")</f>
        <v>3602579953</v>
      </c>
      <c r="L1445" t="str">
        <f>T("3602579703")</f>
        <v>3602579703</v>
      </c>
    </row>
    <row r="1446" spans="1:12" x14ac:dyDescent="0.35">
      <c r="A1446" t="str">
        <f t="shared" si="556"/>
        <v>NAVAL HOSPITAL OAK HARBOR</v>
      </c>
      <c r="B1446" t="str">
        <f t="shared" si="557"/>
        <v>3475 N SARATOGA ST</v>
      </c>
      <c r="C1446" t="str">
        <f t="shared" si="552"/>
        <v/>
      </c>
      <c r="D1446" t="str">
        <f t="shared" si="558"/>
        <v>OAK HARBOR</v>
      </c>
      <c r="E1446" t="str">
        <f t="shared" si="559"/>
        <v>WA</v>
      </c>
      <c r="F1446" t="str">
        <f t="shared" si="560"/>
        <v>982788800</v>
      </c>
      <c r="G1446" t="str">
        <f>T("3475 N SARATOGA ST")</f>
        <v>3475 N SARATOGA ST</v>
      </c>
      <c r="H1446" t="str">
        <f t="shared" si="561"/>
        <v/>
      </c>
      <c r="I1446" t="str">
        <f t="shared" si="562"/>
        <v>OAK HARBOR</v>
      </c>
      <c r="J1446" t="str">
        <f t="shared" si="563"/>
        <v>WA</v>
      </c>
      <c r="K1446" t="str">
        <f>T("000000000000000000")</f>
        <v>000000000000000000</v>
      </c>
      <c r="L1446" t="str">
        <f>T("3602579954")</f>
        <v>3602579954</v>
      </c>
    </row>
    <row r="1447" spans="1:12" x14ac:dyDescent="0.35">
      <c r="A1447" t="str">
        <f t="shared" si="556"/>
        <v>NAVAL HOSPITAL OAK HARBOR</v>
      </c>
      <c r="B1447" t="str">
        <f t="shared" si="557"/>
        <v>3475 N SARATOGA ST</v>
      </c>
      <c r="C1447" t="str">
        <f t="shared" si="552"/>
        <v/>
      </c>
      <c r="D1447" t="str">
        <f t="shared" si="558"/>
        <v>OAK HARBOR</v>
      </c>
      <c r="E1447" t="str">
        <f t="shared" si="559"/>
        <v>WA</v>
      </c>
      <c r="F1447" t="str">
        <f t="shared" si="560"/>
        <v>982788800</v>
      </c>
      <c r="G1447" t="str">
        <f>T("3475 N SARATOGA ST")</f>
        <v>3475 N SARATOGA ST</v>
      </c>
      <c r="H1447" t="str">
        <f t="shared" si="561"/>
        <v/>
      </c>
      <c r="I1447" t="str">
        <f t="shared" si="562"/>
        <v>OAK HARBOR</v>
      </c>
      <c r="J1447" t="str">
        <f t="shared" si="563"/>
        <v>WA</v>
      </c>
      <c r="K1447" t="str">
        <f>T("3602579931")</f>
        <v>3602579931</v>
      </c>
      <c r="L1447" t="str">
        <f>T("3602579373")</f>
        <v>3602579373</v>
      </c>
    </row>
    <row r="1448" spans="1:12" x14ac:dyDescent="0.35">
      <c r="A1448" t="str">
        <f t="shared" si="556"/>
        <v>NAVAL HOSPITAL OAK HARBOR</v>
      </c>
      <c r="B1448" t="str">
        <f t="shared" si="557"/>
        <v>3475 N SARATOGA ST</v>
      </c>
      <c r="C1448" t="str">
        <f t="shared" si="552"/>
        <v/>
      </c>
      <c r="D1448" t="str">
        <f t="shared" si="558"/>
        <v>OAK HARBOR</v>
      </c>
      <c r="E1448" t="str">
        <f t="shared" si="559"/>
        <v>WA</v>
      </c>
      <c r="F1448" t="str">
        <f t="shared" si="560"/>
        <v>982788800</v>
      </c>
      <c r="G1448" t="str">
        <f>T("3475 N SARATOGA ST")</f>
        <v>3475 N SARATOGA ST</v>
      </c>
      <c r="H1448" t="str">
        <f t="shared" si="561"/>
        <v/>
      </c>
      <c r="I1448" t="str">
        <f t="shared" si="562"/>
        <v>OAK HARBOR</v>
      </c>
      <c r="J1448" t="str">
        <f t="shared" si="563"/>
        <v>WA</v>
      </c>
      <c r="K1448" t="str">
        <f>T("3602579953")</f>
        <v>3602579953</v>
      </c>
      <c r="L1448" t="str">
        <f>T("3602579703")</f>
        <v>3602579703</v>
      </c>
    </row>
    <row r="1449" spans="1:12" x14ac:dyDescent="0.35">
      <c r="A1449" t="str">
        <f t="shared" si="556"/>
        <v>NAVAL HOSPITAL OAK HARBOR</v>
      </c>
      <c r="B1449" t="str">
        <f t="shared" si="557"/>
        <v>3475 N SARATOGA ST</v>
      </c>
      <c r="C1449" t="str">
        <f t="shared" si="552"/>
        <v/>
      </c>
      <c r="D1449" t="str">
        <f t="shared" si="558"/>
        <v>OAK HARBOR</v>
      </c>
      <c r="E1449" t="str">
        <f t="shared" si="559"/>
        <v>WA</v>
      </c>
      <c r="F1449" t="str">
        <f t="shared" si="560"/>
        <v>982788800</v>
      </c>
      <c r="G1449" t="str">
        <f>T("3475 N SARATOGA STREET")</f>
        <v>3475 N SARATOGA STREET</v>
      </c>
      <c r="H1449" t="str">
        <f t="shared" si="561"/>
        <v/>
      </c>
      <c r="I1449" t="str">
        <f t="shared" si="562"/>
        <v>OAK HARBOR</v>
      </c>
      <c r="J1449" t="str">
        <f t="shared" si="563"/>
        <v>WA</v>
      </c>
      <c r="K1449" t="str">
        <f>T("000000000000000000")</f>
        <v>000000000000000000</v>
      </c>
      <c r="L1449" t="str">
        <f>T("3602579954")</f>
        <v>3602579954</v>
      </c>
    </row>
    <row r="1450" spans="1:12" x14ac:dyDescent="0.35">
      <c r="A1450" t="str">
        <f t="shared" si="556"/>
        <v>NAVAL HOSPITAL OAK HARBOR</v>
      </c>
      <c r="B1450" t="str">
        <f t="shared" si="557"/>
        <v>3475 N SARATOGA ST</v>
      </c>
      <c r="C1450" t="str">
        <f t="shared" si="552"/>
        <v/>
      </c>
      <c r="D1450" t="str">
        <f t="shared" si="558"/>
        <v>OAK HARBOR</v>
      </c>
      <c r="E1450" t="str">
        <f t="shared" si="559"/>
        <v>WA</v>
      </c>
      <c r="F1450" t="str">
        <f t="shared" si="560"/>
        <v>982788800</v>
      </c>
      <c r="G1450" t="str">
        <f>T("3475 N SARATOGA STREET")</f>
        <v>3475 N SARATOGA STREET</v>
      </c>
      <c r="H1450" t="str">
        <f t="shared" si="561"/>
        <v/>
      </c>
      <c r="I1450" t="str">
        <f t="shared" si="562"/>
        <v>OAK HARBOR</v>
      </c>
      <c r="J1450" t="str">
        <f t="shared" si="563"/>
        <v>WA</v>
      </c>
      <c r="K1450" t="str">
        <f>T("3602579953")</f>
        <v>3602579953</v>
      </c>
      <c r="L1450" t="str">
        <f>T("3602579675")</f>
        <v>3602579675</v>
      </c>
    </row>
    <row r="1451" spans="1:12" x14ac:dyDescent="0.35">
      <c r="A1451" t="str">
        <f t="shared" si="556"/>
        <v>NAVAL HOSPITAL OAK HARBOR</v>
      </c>
      <c r="B1451" t="str">
        <f t="shared" si="557"/>
        <v>3475 N SARATOGA ST</v>
      </c>
      <c r="C1451" t="str">
        <f t="shared" si="552"/>
        <v/>
      </c>
      <c r="D1451" t="str">
        <f t="shared" si="558"/>
        <v>OAK HARBOR</v>
      </c>
      <c r="E1451" t="str">
        <f t="shared" si="559"/>
        <v>WA</v>
      </c>
      <c r="F1451" t="str">
        <f t="shared" si="560"/>
        <v>982788800</v>
      </c>
      <c r="G1451" t="str">
        <f>T("3475 N SARATOGA STREET")</f>
        <v>3475 N SARATOGA STREET</v>
      </c>
      <c r="H1451" t="str">
        <f t="shared" si="561"/>
        <v/>
      </c>
      <c r="I1451" t="str">
        <f t="shared" si="562"/>
        <v>OAK HARBOR</v>
      </c>
      <c r="J1451" t="str">
        <f t="shared" si="563"/>
        <v>WA</v>
      </c>
      <c r="K1451" t="str">
        <f>T("3602579953")</f>
        <v>3602579953</v>
      </c>
      <c r="L1451" t="str">
        <f>T("3602579954")</f>
        <v>3602579954</v>
      </c>
    </row>
    <row r="1452" spans="1:12" x14ac:dyDescent="0.35">
      <c r="A1452" t="str">
        <f t="shared" si="556"/>
        <v>NAVAL HOSPITAL OAK HARBOR</v>
      </c>
      <c r="B1452" t="str">
        <f>T("3475 N SARATOGA STREET")</f>
        <v>3475 N SARATOGA STREET</v>
      </c>
      <c r="C1452" t="str">
        <f t="shared" si="552"/>
        <v/>
      </c>
      <c r="D1452" t="str">
        <f t="shared" si="558"/>
        <v>OAK HARBOR</v>
      </c>
      <c r="E1452" t="str">
        <f t="shared" si="559"/>
        <v>WA</v>
      </c>
      <c r="F1452" t="str">
        <f>T("982784927")</f>
        <v>982784927</v>
      </c>
      <c r="G1452" t="str">
        <f>T("3475 N SARATOGA STREET")</f>
        <v>3475 N SARATOGA STREET</v>
      </c>
      <c r="H1452" t="str">
        <f t="shared" si="561"/>
        <v/>
      </c>
      <c r="I1452" t="str">
        <f t="shared" si="562"/>
        <v>OAK HARBOR</v>
      </c>
      <c r="J1452" t="str">
        <f t="shared" si="563"/>
        <v>WA</v>
      </c>
      <c r="K1452" t="str">
        <f>T("000000000000000000")</f>
        <v>000000000000000000</v>
      </c>
      <c r="L1452" t="str">
        <f>T("3602572392")</f>
        <v>3602572392</v>
      </c>
    </row>
    <row r="1453" spans="1:12" x14ac:dyDescent="0.35">
      <c r="A1453" t="str">
        <f t="shared" ref="A1453:A1459" si="564">T("NAVAL HEALTH CLINIC HAWAII")</f>
        <v>NAVAL HEALTH CLINIC HAWAII</v>
      </c>
      <c r="B1453" t="str">
        <f>T("480 CENTRAL AVE BLDG 1750 MMD")</f>
        <v>480 CENTRAL AVE BLDG 1750 MMD</v>
      </c>
      <c r="C1453" t="str">
        <f t="shared" si="552"/>
        <v/>
      </c>
      <c r="D1453" t="str">
        <f>T("JBPHH")</f>
        <v>JBPHH</v>
      </c>
      <c r="E1453" t="str">
        <f t="shared" ref="E1453:E1459" si="565">T("HI")</f>
        <v>HI</v>
      </c>
      <c r="F1453" t="str">
        <f>T("968604908")</f>
        <v>968604908</v>
      </c>
      <c r="G1453" t="str">
        <f>T("480 CENTRAL AVE BLDG 1750 MMD")</f>
        <v>480 CENTRAL AVE BLDG 1750 MMD</v>
      </c>
      <c r="H1453" t="str">
        <f t="shared" si="561"/>
        <v/>
      </c>
      <c r="I1453" t="str">
        <f>T("JBPHH")</f>
        <v>JBPHH</v>
      </c>
      <c r="J1453" t="str">
        <f t="shared" ref="J1453:J1459" si="566">T("HI")</f>
        <v>HI</v>
      </c>
      <c r="K1453" t="str">
        <f>T("000000000000000000")</f>
        <v>000000000000000000</v>
      </c>
      <c r="L1453" t="str">
        <f>T("8084731880")</f>
        <v>8084731880</v>
      </c>
    </row>
    <row r="1454" spans="1:12" x14ac:dyDescent="0.35">
      <c r="A1454" t="str">
        <f t="shared" si="564"/>
        <v>NAVAL HEALTH CLINIC HAWAII</v>
      </c>
      <c r="B1454" t="str">
        <f t="shared" ref="B1454:B1459" si="567">T("NAVAL HEALTH CLINIC HAWAII")</f>
        <v>NAVAL HEALTH CLINIC HAWAII</v>
      </c>
      <c r="C1454" t="str">
        <f t="shared" ref="C1454:C1459" si="568">T("480 CENTRAL AVE BLDG 1750 MMD")</f>
        <v>480 CENTRAL AVE BLDG 1750 MMD</v>
      </c>
      <c r="D1454" t="str">
        <f t="shared" ref="D1454:D1459" si="569">T("PEARL HARBOR")</f>
        <v>PEARL HARBOR</v>
      </c>
      <c r="E1454" t="str">
        <f t="shared" si="565"/>
        <v>HI</v>
      </c>
      <c r="F1454" t="str">
        <f t="shared" ref="F1454:F1459" si="570">T("968600000")</f>
        <v>968600000</v>
      </c>
      <c r="G1454" t="str">
        <f>T("480 CENTRAL AVE BLDG 1750 MMD")</f>
        <v>480 CENTRAL AVE BLDG 1750 MMD</v>
      </c>
      <c r="H1454" t="str">
        <f t="shared" si="561"/>
        <v/>
      </c>
      <c r="I1454" t="str">
        <f>T("JBPHH")</f>
        <v>JBPHH</v>
      </c>
      <c r="J1454" t="str">
        <f t="shared" si="566"/>
        <v>HI</v>
      </c>
      <c r="K1454" t="str">
        <f>T("80847442421842")</f>
        <v>80847442421842</v>
      </c>
      <c r="L1454" t="str">
        <f>T("8084744242")</f>
        <v>8084744242</v>
      </c>
    </row>
    <row r="1455" spans="1:12" x14ac:dyDescent="0.35">
      <c r="A1455" t="str">
        <f t="shared" si="564"/>
        <v>NAVAL HEALTH CLINIC HAWAII</v>
      </c>
      <c r="B1455" t="str">
        <f t="shared" si="567"/>
        <v>NAVAL HEALTH CLINIC HAWAII</v>
      </c>
      <c r="C1455" t="str">
        <f t="shared" si="568"/>
        <v>480 CENTRAL AVE BLDG 1750 MMD</v>
      </c>
      <c r="D1455" t="str">
        <f t="shared" si="569"/>
        <v>PEARL HARBOR</v>
      </c>
      <c r="E1455" t="str">
        <f t="shared" si="565"/>
        <v>HI</v>
      </c>
      <c r="F1455" t="str">
        <f t="shared" si="570"/>
        <v>968600000</v>
      </c>
      <c r="G1455" t="str">
        <f>T("480 CENTRAL AVE BLDG 1750 MMD")</f>
        <v>480 CENTRAL AVE BLDG 1750 MMD</v>
      </c>
      <c r="H1455" t="str">
        <f t="shared" si="561"/>
        <v/>
      </c>
      <c r="I1455" t="str">
        <f>T("JBPHH")</f>
        <v>JBPHH</v>
      </c>
      <c r="J1455" t="str">
        <f t="shared" si="566"/>
        <v>HI</v>
      </c>
      <c r="K1455" t="str">
        <f>T("808474424291185")</f>
        <v>808474424291185</v>
      </c>
      <c r="L1455" t="str">
        <f>T("1111111111")</f>
        <v>1111111111</v>
      </c>
    </row>
    <row r="1456" spans="1:12" x14ac:dyDescent="0.35">
      <c r="A1456" t="str">
        <f t="shared" si="564"/>
        <v>NAVAL HEALTH CLINIC HAWAII</v>
      </c>
      <c r="B1456" t="str">
        <f t="shared" si="567"/>
        <v>NAVAL HEALTH CLINIC HAWAII</v>
      </c>
      <c r="C1456" t="str">
        <f t="shared" si="568"/>
        <v>480 CENTRAL AVE BLDG 1750 MMD</v>
      </c>
      <c r="D1456" t="str">
        <f t="shared" si="569"/>
        <v>PEARL HARBOR</v>
      </c>
      <c r="E1456" t="str">
        <f t="shared" si="565"/>
        <v>HI</v>
      </c>
      <c r="F1456" t="str">
        <f t="shared" si="570"/>
        <v>968600000</v>
      </c>
      <c r="G1456" t="str">
        <f>T("NAVAL HEALTH CLINIC HAWAII")</f>
        <v>NAVAL HEALTH CLINIC HAWAII</v>
      </c>
      <c r="H1456" t="str">
        <f>T("480 CENTRAL AVE BLDG 1750 MMD")</f>
        <v>480 CENTRAL AVE BLDG 1750 MMD</v>
      </c>
      <c r="I1456" t="str">
        <f>T("PEARL HARBOR")</f>
        <v>PEARL HARBOR</v>
      </c>
      <c r="J1456" t="str">
        <f t="shared" si="566"/>
        <v>HI</v>
      </c>
      <c r="K1456" t="str">
        <f>T("8084745276")</f>
        <v>8084745276</v>
      </c>
      <c r="L1456" t="str">
        <f>T("8084744242")</f>
        <v>8084744242</v>
      </c>
    </row>
    <row r="1457" spans="1:12" x14ac:dyDescent="0.35">
      <c r="A1457" t="str">
        <f t="shared" si="564"/>
        <v>NAVAL HEALTH CLINIC HAWAII</v>
      </c>
      <c r="B1457" t="str">
        <f t="shared" si="567"/>
        <v>NAVAL HEALTH CLINIC HAWAII</v>
      </c>
      <c r="C1457" t="str">
        <f t="shared" si="568"/>
        <v>480 CENTRAL AVE BLDG 1750 MMD</v>
      </c>
      <c r="D1457" t="str">
        <f t="shared" si="569"/>
        <v>PEARL HARBOR</v>
      </c>
      <c r="E1457" t="str">
        <f t="shared" si="565"/>
        <v>HI</v>
      </c>
      <c r="F1457" t="str">
        <f t="shared" si="570"/>
        <v>968600000</v>
      </c>
      <c r="G1457" t="str">
        <f>T("NAVAL HEALTH CLINIC HAWAII SUPPLY")</f>
        <v>NAVAL HEALTH CLINIC HAWAII SUPPLY</v>
      </c>
      <c r="H1457" t="str">
        <f>T("480 CENTRAL AVE BLDG 1750")</f>
        <v>480 CENTRAL AVE BLDG 1750</v>
      </c>
      <c r="I1457" t="str">
        <f>T("PEARL HARBOR")</f>
        <v>PEARL HARBOR</v>
      </c>
      <c r="J1457" t="str">
        <f t="shared" si="566"/>
        <v>HI</v>
      </c>
      <c r="K1457" t="str">
        <f>T("8084743510")</f>
        <v>8084743510</v>
      </c>
      <c r="L1457" t="str">
        <f>T("8084744242")</f>
        <v>8084744242</v>
      </c>
    </row>
    <row r="1458" spans="1:12" x14ac:dyDescent="0.35">
      <c r="A1458" t="str">
        <f t="shared" si="564"/>
        <v>NAVAL HEALTH CLINIC HAWAII</v>
      </c>
      <c r="B1458" t="str">
        <f t="shared" si="567"/>
        <v>NAVAL HEALTH CLINIC HAWAII</v>
      </c>
      <c r="C1458" t="str">
        <f t="shared" si="568"/>
        <v>480 CENTRAL AVE BLDG 1750 MMD</v>
      </c>
      <c r="D1458" t="str">
        <f t="shared" si="569"/>
        <v>PEARL HARBOR</v>
      </c>
      <c r="E1458" t="str">
        <f t="shared" si="565"/>
        <v>HI</v>
      </c>
      <c r="F1458" t="str">
        <f t="shared" si="570"/>
        <v>968600000</v>
      </c>
      <c r="G1458" t="str">
        <f>T("NAVAL HEALTH CLINIC HAWAII SUPPLY")</f>
        <v>NAVAL HEALTH CLINIC HAWAII SUPPLY</v>
      </c>
      <c r="H1458" t="str">
        <f>T("480 CENTRAL AVE BLDG 1750")</f>
        <v>480 CENTRAL AVE BLDG 1750</v>
      </c>
      <c r="I1458" t="str">
        <f>T("PEARL HARBOR")</f>
        <v>PEARL HARBOR</v>
      </c>
      <c r="J1458" t="str">
        <f t="shared" si="566"/>
        <v>HI</v>
      </c>
      <c r="K1458" t="str">
        <f>T("8084743510")</f>
        <v>8084743510</v>
      </c>
      <c r="L1458" t="str">
        <f>T("8084747579")</f>
        <v>8084747579</v>
      </c>
    </row>
    <row r="1459" spans="1:12" x14ac:dyDescent="0.35">
      <c r="A1459" t="str">
        <f t="shared" si="564"/>
        <v>NAVAL HEALTH CLINIC HAWAII</v>
      </c>
      <c r="B1459" t="str">
        <f t="shared" si="567"/>
        <v>NAVAL HEALTH CLINIC HAWAII</v>
      </c>
      <c r="C1459" t="str">
        <f t="shared" si="568"/>
        <v>480 CENTRAL AVE BLDG 1750 MMD</v>
      </c>
      <c r="D1459" t="str">
        <f t="shared" si="569"/>
        <v>PEARL HARBOR</v>
      </c>
      <c r="E1459" t="str">
        <f t="shared" si="565"/>
        <v>HI</v>
      </c>
      <c r="F1459" t="str">
        <f t="shared" si="570"/>
        <v>968600000</v>
      </c>
      <c r="G1459" t="str">
        <f>T("NAVAL HEALTH CLINIC HAWAII SUPPLY")</f>
        <v>NAVAL HEALTH CLINIC HAWAII SUPPLY</v>
      </c>
      <c r="H1459" t="str">
        <f>T("480 CENTRAL AVE BLDG 1750")</f>
        <v>480 CENTRAL AVE BLDG 1750</v>
      </c>
      <c r="I1459" t="str">
        <f>T("PEARL HARBOR")</f>
        <v>PEARL HARBOR</v>
      </c>
      <c r="J1459" t="str">
        <f t="shared" si="566"/>
        <v>HI</v>
      </c>
      <c r="K1459" t="str">
        <f>T("8084745704")</f>
        <v>8084745704</v>
      </c>
      <c r="L1459" t="str">
        <f>T("8084747569")</f>
        <v>8084747569</v>
      </c>
    </row>
    <row r="1460" spans="1:12" x14ac:dyDescent="0.35">
      <c r="A1460" t="str">
        <f t="shared" ref="A1460:A1475" si="571">T("NH BREMERTON")</f>
        <v>NH BREMERTON</v>
      </c>
      <c r="B1460" t="str">
        <f t="shared" ref="B1460:B1475" si="572">T("ONE BOONE ROAD")</f>
        <v>ONE BOONE ROAD</v>
      </c>
      <c r="C1460" t="str">
        <f t="shared" ref="C1460:C1475" si="573">T("CODE 08RA")</f>
        <v>CODE 08RA</v>
      </c>
      <c r="D1460" t="str">
        <f t="shared" ref="D1460:D1475" si="574">T("BREMERTON")</f>
        <v>BREMERTON</v>
      </c>
      <c r="E1460" t="str">
        <f t="shared" ref="E1460:E1475" si="575">T("WA")</f>
        <v>WA</v>
      </c>
      <c r="F1460" t="str">
        <f>T("983121894")</f>
        <v>983121894</v>
      </c>
      <c r="G1460" t="str">
        <f>T("NAVAL HOSPITAL BREMERTON")</f>
        <v>NAVAL HOSPITAL BREMERTON</v>
      </c>
      <c r="H1460" t="str">
        <f>T("ONE BOONE ROAD CODE 08RA")</f>
        <v>ONE BOONE ROAD CODE 08RA</v>
      </c>
      <c r="I1460" t="str">
        <f t="shared" ref="I1460:I1475" si="576">T("BREMERTON")</f>
        <v>BREMERTON</v>
      </c>
      <c r="J1460" t="str">
        <f t="shared" ref="J1460:J1475" si="577">T("WA")</f>
        <v>WA</v>
      </c>
      <c r="K1460" t="str">
        <f>T("000000000000000000")</f>
        <v>000000000000000000</v>
      </c>
      <c r="L1460" t="str">
        <f>T("3603154372")</f>
        <v>3603154372</v>
      </c>
    </row>
    <row r="1461" spans="1:12" x14ac:dyDescent="0.35">
      <c r="A1461" t="str">
        <f t="shared" si="571"/>
        <v>NH BREMERTON</v>
      </c>
      <c r="B1461" t="str">
        <f t="shared" si="572"/>
        <v>ONE BOONE ROAD</v>
      </c>
      <c r="C1461" t="str">
        <f t="shared" si="573"/>
        <v>CODE 08RA</v>
      </c>
      <c r="D1461" t="str">
        <f t="shared" si="574"/>
        <v>BREMERTON</v>
      </c>
      <c r="E1461" t="str">
        <f t="shared" si="575"/>
        <v>WA</v>
      </c>
      <c r="F1461" t="str">
        <f>T("983121894")</f>
        <v>983121894</v>
      </c>
      <c r="G1461" t="str">
        <f>T("NAVAL HOSPITAL BREMERTON")</f>
        <v>NAVAL HOSPITAL BREMERTON</v>
      </c>
      <c r="H1461" t="str">
        <f>T("ONE BOONE ROAD CODE 08RA")</f>
        <v>ONE BOONE ROAD CODE 08RA</v>
      </c>
      <c r="I1461" t="str">
        <f t="shared" si="576"/>
        <v>BREMERTON</v>
      </c>
      <c r="J1461" t="str">
        <f t="shared" si="577"/>
        <v>WA</v>
      </c>
      <c r="K1461" t="str">
        <f>T("3604754786")</f>
        <v>3604754786</v>
      </c>
      <c r="L1461" t="str">
        <f>T("3604754423")</f>
        <v>3604754423</v>
      </c>
    </row>
    <row r="1462" spans="1:12" x14ac:dyDescent="0.35">
      <c r="A1462" t="str">
        <f t="shared" si="571"/>
        <v>NH BREMERTON</v>
      </c>
      <c r="B1462" t="str">
        <f t="shared" si="572"/>
        <v>ONE BOONE ROAD</v>
      </c>
      <c r="C1462" t="str">
        <f t="shared" si="573"/>
        <v>CODE 08RA</v>
      </c>
      <c r="D1462" t="str">
        <f t="shared" si="574"/>
        <v>BREMERTON</v>
      </c>
      <c r="E1462" t="str">
        <f t="shared" si="575"/>
        <v>WA</v>
      </c>
      <c r="F1462" t="str">
        <f>T("983121894")</f>
        <v>983121894</v>
      </c>
      <c r="G1462" t="str">
        <f>T("ONE BOONE ROAD")</f>
        <v>ONE BOONE ROAD</v>
      </c>
      <c r="H1462" t="str">
        <f>T("CODE 08RA")</f>
        <v>CODE 08RA</v>
      </c>
      <c r="I1462" t="str">
        <f t="shared" si="576"/>
        <v>BREMERTON</v>
      </c>
      <c r="J1462" t="str">
        <f t="shared" si="577"/>
        <v>WA</v>
      </c>
      <c r="K1462" t="str">
        <f>T("3603964247")</f>
        <v>3603964247</v>
      </c>
      <c r="L1462" t="str">
        <f>T("3603154374")</f>
        <v>3603154374</v>
      </c>
    </row>
    <row r="1463" spans="1:12" x14ac:dyDescent="0.35">
      <c r="A1463" t="str">
        <f t="shared" si="571"/>
        <v>NH BREMERTON</v>
      </c>
      <c r="B1463" t="str">
        <f t="shared" si="572"/>
        <v>ONE BOONE ROAD</v>
      </c>
      <c r="C1463" t="str">
        <f t="shared" si="573"/>
        <v>CODE 08RA</v>
      </c>
      <c r="D1463" t="str">
        <f t="shared" si="574"/>
        <v>BREMERTON</v>
      </c>
      <c r="E1463" t="str">
        <f t="shared" si="575"/>
        <v>WA</v>
      </c>
      <c r="F1463" t="str">
        <f>T("983121894")</f>
        <v>983121894</v>
      </c>
      <c r="G1463" t="str">
        <f>T("ONE BOONE ROAD")</f>
        <v>ONE BOONE ROAD</v>
      </c>
      <c r="H1463" t="str">
        <f>T("CODE 08RA")</f>
        <v>CODE 08RA</v>
      </c>
      <c r="I1463" t="str">
        <f t="shared" si="576"/>
        <v>BREMERTON</v>
      </c>
      <c r="J1463" t="str">
        <f t="shared" si="577"/>
        <v>WA</v>
      </c>
      <c r="K1463" t="str">
        <f>T("3604754604")</f>
        <v>3604754604</v>
      </c>
      <c r="L1463" t="str">
        <f>T("3604755712")</f>
        <v>3604755712</v>
      </c>
    </row>
    <row r="1464" spans="1:12" x14ac:dyDescent="0.35">
      <c r="A1464" t="str">
        <f t="shared" si="571"/>
        <v>NH BREMERTON</v>
      </c>
      <c r="B1464" t="str">
        <f t="shared" si="572"/>
        <v>ONE BOONE ROAD</v>
      </c>
      <c r="C1464" t="str">
        <f t="shared" si="573"/>
        <v>CODE 08RA</v>
      </c>
      <c r="D1464" t="str">
        <f t="shared" si="574"/>
        <v>BREMERTON</v>
      </c>
      <c r="E1464" t="str">
        <f t="shared" si="575"/>
        <v>WA</v>
      </c>
      <c r="F1464" t="str">
        <f t="shared" ref="F1464:F1475" si="578">T("983121898")</f>
        <v>983121898</v>
      </c>
      <c r="G1464" t="str">
        <f t="shared" ref="G1464:G1472" si="579">T("NAVAL HOSPITAL BREMERTON")</f>
        <v>NAVAL HOSPITAL BREMERTON</v>
      </c>
      <c r="H1464" t="str">
        <f>T("CODE 08RA")</f>
        <v>CODE 08RA</v>
      </c>
      <c r="I1464" t="str">
        <f t="shared" si="576"/>
        <v>BREMERTON</v>
      </c>
      <c r="J1464" t="str">
        <f t="shared" si="577"/>
        <v>WA</v>
      </c>
      <c r="K1464" t="str">
        <f>T("3604754688")</f>
        <v>3604754688</v>
      </c>
      <c r="L1464" t="str">
        <f>T("3604754954")</f>
        <v>3604754954</v>
      </c>
    </row>
    <row r="1465" spans="1:12" x14ac:dyDescent="0.35">
      <c r="A1465" t="str">
        <f t="shared" si="571"/>
        <v>NH BREMERTON</v>
      </c>
      <c r="B1465" t="str">
        <f t="shared" si="572"/>
        <v>ONE BOONE ROAD</v>
      </c>
      <c r="C1465" t="str">
        <f t="shared" si="573"/>
        <v>CODE 08RA</v>
      </c>
      <c r="D1465" t="str">
        <f t="shared" si="574"/>
        <v>BREMERTON</v>
      </c>
      <c r="E1465" t="str">
        <f t="shared" si="575"/>
        <v>WA</v>
      </c>
      <c r="F1465" t="str">
        <f t="shared" si="578"/>
        <v>983121898</v>
      </c>
      <c r="G1465" t="str">
        <f t="shared" si="579"/>
        <v>NAVAL HOSPITAL BREMERTON</v>
      </c>
      <c r="H1465" t="str">
        <f>T("CODE 08RA")</f>
        <v>CODE 08RA</v>
      </c>
      <c r="I1465" t="str">
        <f t="shared" si="576"/>
        <v>BREMERTON</v>
      </c>
      <c r="J1465" t="str">
        <f t="shared" si="577"/>
        <v>WA</v>
      </c>
      <c r="K1465" t="str">
        <f>T("3604754688")</f>
        <v>3604754688</v>
      </c>
      <c r="L1465" t="str">
        <f>T("3604755218")</f>
        <v>3604755218</v>
      </c>
    </row>
    <row r="1466" spans="1:12" x14ac:dyDescent="0.35">
      <c r="A1466" t="str">
        <f t="shared" si="571"/>
        <v>NH BREMERTON</v>
      </c>
      <c r="B1466" t="str">
        <f t="shared" si="572"/>
        <v>ONE BOONE ROAD</v>
      </c>
      <c r="C1466" t="str">
        <f t="shared" si="573"/>
        <v>CODE 08RA</v>
      </c>
      <c r="D1466" t="str">
        <f t="shared" si="574"/>
        <v>BREMERTON</v>
      </c>
      <c r="E1466" t="str">
        <f t="shared" si="575"/>
        <v>WA</v>
      </c>
      <c r="F1466" t="str">
        <f t="shared" si="578"/>
        <v>983121898</v>
      </c>
      <c r="G1466" t="str">
        <f t="shared" si="579"/>
        <v>NAVAL HOSPITAL BREMERTON</v>
      </c>
      <c r="H1466" t="str">
        <f>T("ONE BOONE ROAD C/08RA")</f>
        <v>ONE BOONE ROAD C/08RA</v>
      </c>
      <c r="I1466" t="str">
        <f t="shared" si="576"/>
        <v>BREMERTON</v>
      </c>
      <c r="J1466" t="str">
        <f t="shared" si="577"/>
        <v>WA</v>
      </c>
      <c r="K1466" t="str">
        <f>T("3604754355")</f>
        <v>3604754355</v>
      </c>
      <c r="L1466" t="str">
        <f>T("3604754356")</f>
        <v>3604754356</v>
      </c>
    </row>
    <row r="1467" spans="1:12" x14ac:dyDescent="0.35">
      <c r="A1467" t="str">
        <f t="shared" si="571"/>
        <v>NH BREMERTON</v>
      </c>
      <c r="B1467" t="str">
        <f t="shared" si="572"/>
        <v>ONE BOONE ROAD</v>
      </c>
      <c r="C1467" t="str">
        <f t="shared" si="573"/>
        <v>CODE 08RA</v>
      </c>
      <c r="D1467" t="str">
        <f t="shared" si="574"/>
        <v>BREMERTON</v>
      </c>
      <c r="E1467" t="str">
        <f t="shared" si="575"/>
        <v>WA</v>
      </c>
      <c r="F1467" t="str">
        <f t="shared" si="578"/>
        <v>983121898</v>
      </c>
      <c r="G1467" t="str">
        <f t="shared" si="579"/>
        <v>NAVAL HOSPITAL BREMERTON</v>
      </c>
      <c r="H1467" t="str">
        <f t="shared" ref="H1467:H1472" si="580">T("ONE BOONE ROAD CODE 08RA")</f>
        <v>ONE BOONE ROAD CODE 08RA</v>
      </c>
      <c r="I1467" t="str">
        <f t="shared" si="576"/>
        <v>BREMERTON</v>
      </c>
      <c r="J1467" t="str">
        <f t="shared" si="577"/>
        <v>WA</v>
      </c>
      <c r="K1467" t="str">
        <f>T("000000000000000000")</f>
        <v>000000000000000000</v>
      </c>
      <c r="L1467" t="str">
        <f>T("3604754307")</f>
        <v>3604754307</v>
      </c>
    </row>
    <row r="1468" spans="1:12" x14ac:dyDescent="0.35">
      <c r="A1468" t="str">
        <f t="shared" si="571"/>
        <v>NH BREMERTON</v>
      </c>
      <c r="B1468" t="str">
        <f t="shared" si="572"/>
        <v>ONE BOONE ROAD</v>
      </c>
      <c r="C1468" t="str">
        <f t="shared" si="573"/>
        <v>CODE 08RA</v>
      </c>
      <c r="D1468" t="str">
        <f t="shared" si="574"/>
        <v>BREMERTON</v>
      </c>
      <c r="E1468" t="str">
        <f t="shared" si="575"/>
        <v>WA</v>
      </c>
      <c r="F1468" t="str">
        <f t="shared" si="578"/>
        <v>983121898</v>
      </c>
      <c r="G1468" t="str">
        <f t="shared" si="579"/>
        <v>NAVAL HOSPITAL BREMERTON</v>
      </c>
      <c r="H1468" t="str">
        <f t="shared" si="580"/>
        <v>ONE BOONE ROAD CODE 08RA</v>
      </c>
      <c r="I1468" t="str">
        <f t="shared" si="576"/>
        <v>BREMERTON</v>
      </c>
      <c r="J1468" t="str">
        <f t="shared" si="577"/>
        <v>WA</v>
      </c>
      <c r="K1468" t="str">
        <f>T("000000000000000000")</f>
        <v>000000000000000000</v>
      </c>
      <c r="L1468" t="str">
        <f>T("3604754497")</f>
        <v>3604754497</v>
      </c>
    </row>
    <row r="1469" spans="1:12" x14ac:dyDescent="0.35">
      <c r="A1469" t="str">
        <f t="shared" si="571"/>
        <v>NH BREMERTON</v>
      </c>
      <c r="B1469" t="str">
        <f t="shared" si="572"/>
        <v>ONE BOONE ROAD</v>
      </c>
      <c r="C1469" t="str">
        <f t="shared" si="573"/>
        <v>CODE 08RA</v>
      </c>
      <c r="D1469" t="str">
        <f t="shared" si="574"/>
        <v>BREMERTON</v>
      </c>
      <c r="E1469" t="str">
        <f t="shared" si="575"/>
        <v>WA</v>
      </c>
      <c r="F1469" t="str">
        <f t="shared" si="578"/>
        <v>983121898</v>
      </c>
      <c r="G1469" t="str">
        <f t="shared" si="579"/>
        <v>NAVAL HOSPITAL BREMERTON</v>
      </c>
      <c r="H1469" t="str">
        <f t="shared" si="580"/>
        <v>ONE BOONE ROAD CODE 08RA</v>
      </c>
      <c r="I1469" t="str">
        <f t="shared" si="576"/>
        <v>BREMERTON</v>
      </c>
      <c r="J1469" t="str">
        <f t="shared" si="577"/>
        <v>WA</v>
      </c>
      <c r="K1469" t="str">
        <f>T("000000000000000000")</f>
        <v>000000000000000000</v>
      </c>
      <c r="L1469" t="str">
        <f>T("3604754918")</f>
        <v>3604754918</v>
      </c>
    </row>
    <row r="1470" spans="1:12" x14ac:dyDescent="0.35">
      <c r="A1470" t="str">
        <f t="shared" si="571"/>
        <v>NH BREMERTON</v>
      </c>
      <c r="B1470" t="str">
        <f t="shared" si="572"/>
        <v>ONE BOONE ROAD</v>
      </c>
      <c r="C1470" t="str">
        <f t="shared" si="573"/>
        <v>CODE 08RA</v>
      </c>
      <c r="D1470" t="str">
        <f t="shared" si="574"/>
        <v>BREMERTON</v>
      </c>
      <c r="E1470" t="str">
        <f t="shared" si="575"/>
        <v>WA</v>
      </c>
      <c r="F1470" t="str">
        <f t="shared" si="578"/>
        <v>983121898</v>
      </c>
      <c r="G1470" t="str">
        <f t="shared" si="579"/>
        <v>NAVAL HOSPITAL BREMERTON</v>
      </c>
      <c r="H1470" t="str">
        <f t="shared" si="580"/>
        <v>ONE BOONE ROAD CODE 08RA</v>
      </c>
      <c r="I1470" t="str">
        <f t="shared" si="576"/>
        <v>BREMERTON</v>
      </c>
      <c r="J1470" t="str">
        <f t="shared" si="577"/>
        <v>WA</v>
      </c>
      <c r="K1470" t="str">
        <f>T("3604754259")</f>
        <v>3604754259</v>
      </c>
      <c r="L1470" t="str">
        <f>T("3604754918")</f>
        <v>3604754918</v>
      </c>
    </row>
    <row r="1471" spans="1:12" x14ac:dyDescent="0.35">
      <c r="A1471" t="str">
        <f t="shared" si="571"/>
        <v>NH BREMERTON</v>
      </c>
      <c r="B1471" t="str">
        <f t="shared" si="572"/>
        <v>ONE BOONE ROAD</v>
      </c>
      <c r="C1471" t="str">
        <f t="shared" si="573"/>
        <v>CODE 08RA</v>
      </c>
      <c r="D1471" t="str">
        <f t="shared" si="574"/>
        <v>BREMERTON</v>
      </c>
      <c r="E1471" t="str">
        <f t="shared" si="575"/>
        <v>WA</v>
      </c>
      <c r="F1471" t="str">
        <f t="shared" si="578"/>
        <v>983121898</v>
      </c>
      <c r="G1471" t="str">
        <f t="shared" si="579"/>
        <v>NAVAL HOSPITAL BREMERTON</v>
      </c>
      <c r="H1471" t="str">
        <f t="shared" si="580"/>
        <v>ONE BOONE ROAD CODE 08RA</v>
      </c>
      <c r="I1471" t="str">
        <f t="shared" si="576"/>
        <v>BREMERTON</v>
      </c>
      <c r="J1471" t="str">
        <f t="shared" si="577"/>
        <v>WA</v>
      </c>
      <c r="K1471" t="str">
        <f>T("3604754688")</f>
        <v>3604754688</v>
      </c>
      <c r="L1471" t="str">
        <f>T("3604754458")</f>
        <v>3604754458</v>
      </c>
    </row>
    <row r="1472" spans="1:12" x14ac:dyDescent="0.35">
      <c r="A1472" t="str">
        <f t="shared" si="571"/>
        <v>NH BREMERTON</v>
      </c>
      <c r="B1472" t="str">
        <f t="shared" si="572"/>
        <v>ONE BOONE ROAD</v>
      </c>
      <c r="C1472" t="str">
        <f t="shared" si="573"/>
        <v>CODE 08RA</v>
      </c>
      <c r="D1472" t="str">
        <f t="shared" si="574"/>
        <v>BREMERTON</v>
      </c>
      <c r="E1472" t="str">
        <f t="shared" si="575"/>
        <v>WA</v>
      </c>
      <c r="F1472" t="str">
        <f t="shared" si="578"/>
        <v>983121898</v>
      </c>
      <c r="G1472" t="str">
        <f t="shared" si="579"/>
        <v>NAVAL HOSPITAL BREMERTON</v>
      </c>
      <c r="H1472" t="str">
        <f t="shared" si="580"/>
        <v>ONE BOONE ROAD CODE 08RA</v>
      </c>
      <c r="I1472" t="str">
        <f t="shared" si="576"/>
        <v>BREMERTON</v>
      </c>
      <c r="J1472" t="str">
        <f t="shared" si="577"/>
        <v>WA</v>
      </c>
      <c r="K1472" t="str">
        <f>T("3604754688")</f>
        <v>3604754688</v>
      </c>
      <c r="L1472" t="str">
        <f>T("3604754530")</f>
        <v>3604754530</v>
      </c>
    </row>
    <row r="1473" spans="1:12" x14ac:dyDescent="0.35">
      <c r="A1473" t="str">
        <f t="shared" si="571"/>
        <v>NH BREMERTON</v>
      </c>
      <c r="B1473" t="str">
        <f t="shared" si="572"/>
        <v>ONE BOONE ROAD</v>
      </c>
      <c r="C1473" t="str">
        <f t="shared" si="573"/>
        <v>CODE 08RA</v>
      </c>
      <c r="D1473" t="str">
        <f t="shared" si="574"/>
        <v>BREMERTON</v>
      </c>
      <c r="E1473" t="str">
        <f t="shared" si="575"/>
        <v>WA</v>
      </c>
      <c r="F1473" t="str">
        <f t="shared" si="578"/>
        <v>983121898</v>
      </c>
      <c r="G1473" t="str">
        <f>T("ONE BOONE ROAD")</f>
        <v>ONE BOONE ROAD</v>
      </c>
      <c r="H1473" t="str">
        <f>T("CODE 08RA")</f>
        <v>CODE 08RA</v>
      </c>
      <c r="I1473" t="str">
        <f t="shared" si="576"/>
        <v>BREMERTON</v>
      </c>
      <c r="J1473" t="str">
        <f t="shared" si="577"/>
        <v>WA</v>
      </c>
      <c r="K1473" t="str">
        <f>T("3604754355")</f>
        <v>3604754355</v>
      </c>
      <c r="L1473" t="str">
        <f>T("3604754726")</f>
        <v>3604754726</v>
      </c>
    </row>
    <row r="1474" spans="1:12" x14ac:dyDescent="0.35">
      <c r="A1474" t="str">
        <f t="shared" si="571"/>
        <v>NH BREMERTON</v>
      </c>
      <c r="B1474" t="str">
        <f t="shared" si="572"/>
        <v>ONE BOONE ROAD</v>
      </c>
      <c r="C1474" t="str">
        <f t="shared" si="573"/>
        <v>CODE 08RA</v>
      </c>
      <c r="D1474" t="str">
        <f t="shared" si="574"/>
        <v>BREMERTON</v>
      </c>
      <c r="E1474" t="str">
        <f t="shared" si="575"/>
        <v>WA</v>
      </c>
      <c r="F1474" t="str">
        <f t="shared" si="578"/>
        <v>983121898</v>
      </c>
      <c r="G1474" t="str">
        <f>T("ONE BOONE ROAD")</f>
        <v>ONE BOONE ROAD</v>
      </c>
      <c r="H1474" t="str">
        <f>T("CODE 08RA")</f>
        <v>CODE 08RA</v>
      </c>
      <c r="I1474" t="str">
        <f t="shared" si="576"/>
        <v>BREMERTON</v>
      </c>
      <c r="J1474" t="str">
        <f t="shared" si="577"/>
        <v>WA</v>
      </c>
      <c r="K1474" t="str">
        <f>T("3604754688")</f>
        <v>3604754688</v>
      </c>
      <c r="L1474" t="str">
        <f>T("3604754357")</f>
        <v>3604754357</v>
      </c>
    </row>
    <row r="1475" spans="1:12" x14ac:dyDescent="0.35">
      <c r="A1475" t="str">
        <f t="shared" si="571"/>
        <v>NH BREMERTON</v>
      </c>
      <c r="B1475" t="str">
        <f t="shared" si="572"/>
        <v>ONE BOONE ROAD</v>
      </c>
      <c r="C1475" t="str">
        <f t="shared" si="573"/>
        <v>CODE 08RA</v>
      </c>
      <c r="D1475" t="str">
        <f t="shared" si="574"/>
        <v>BREMERTON</v>
      </c>
      <c r="E1475" t="str">
        <f t="shared" si="575"/>
        <v>WA</v>
      </c>
      <c r="F1475" t="str">
        <f t="shared" si="578"/>
        <v>983121898</v>
      </c>
      <c r="G1475" t="str">
        <f>T("ONE BOONE ROAD")</f>
        <v>ONE BOONE ROAD</v>
      </c>
      <c r="H1475" t="str">
        <f>T("CODE 08RA")</f>
        <v>CODE 08RA</v>
      </c>
      <c r="I1475" t="str">
        <f t="shared" si="576"/>
        <v>BREMERTON</v>
      </c>
      <c r="J1475" t="str">
        <f t="shared" si="577"/>
        <v>WA</v>
      </c>
      <c r="K1475" t="str">
        <f>T("3604754688")</f>
        <v>3604754688</v>
      </c>
      <c r="L1475" t="str">
        <f>T("3604755086")</f>
        <v>3604755086</v>
      </c>
    </row>
    <row r="1476" spans="1:12" x14ac:dyDescent="0.35">
      <c r="A1476" t="str">
        <f t="shared" ref="A1476:A1491" si="581">T("USNH GUAM")</f>
        <v>USNH GUAM</v>
      </c>
      <c r="B1476" t="str">
        <f t="shared" ref="B1476:B1481" si="582">T("BLDG 50 STE 1Y02")</f>
        <v>BLDG 50 STE 1Y02</v>
      </c>
      <c r="C1476" t="str">
        <f t="shared" ref="C1476:C1491" si="583">T("FARENHOLT ROAD")</f>
        <v>FARENHOLT ROAD</v>
      </c>
      <c r="D1476" t="str">
        <f t="shared" ref="D1476:D1491" si="584">T("AGANA HEIGHTS")</f>
        <v>AGANA HEIGHTS</v>
      </c>
      <c r="E1476" t="str">
        <f t="shared" ref="E1476:E1491" si="585">T("GU")</f>
        <v>GU</v>
      </c>
      <c r="F1476" t="str">
        <f t="shared" ref="F1476:F1491" si="586">T("969100000")</f>
        <v>969100000</v>
      </c>
      <c r="G1476" t="str">
        <f>T("BLDG 50 STE 1Y02")</f>
        <v>BLDG 50 STE 1Y02</v>
      </c>
      <c r="H1476" t="str">
        <f>T("FARENHOLT ROAD")</f>
        <v>FARENHOLT ROAD</v>
      </c>
      <c r="I1476" t="str">
        <f t="shared" ref="I1476:I1491" si="587">T("AGANA HEIGHTS")</f>
        <v>AGANA HEIGHTS</v>
      </c>
      <c r="J1476" t="str">
        <f t="shared" ref="J1476:J1491" si="588">T("GU")</f>
        <v>GU</v>
      </c>
      <c r="K1476" t="str">
        <f t="shared" ref="K1476:K1485" si="589">T("000000000000000000")</f>
        <v>000000000000000000</v>
      </c>
      <c r="L1476" t="str">
        <f>T("6713449381")</f>
        <v>6713449381</v>
      </c>
    </row>
    <row r="1477" spans="1:12" x14ac:dyDescent="0.35">
      <c r="A1477" t="str">
        <f t="shared" si="581"/>
        <v>USNH GUAM</v>
      </c>
      <c r="B1477" t="str">
        <f t="shared" si="582"/>
        <v>BLDG 50 STE 1Y02</v>
      </c>
      <c r="C1477" t="str">
        <f t="shared" si="583"/>
        <v>FARENHOLT ROAD</v>
      </c>
      <c r="D1477" t="str">
        <f t="shared" si="584"/>
        <v>AGANA HEIGHTS</v>
      </c>
      <c r="E1477" t="str">
        <f t="shared" si="585"/>
        <v>GU</v>
      </c>
      <c r="F1477" t="str">
        <f t="shared" si="586"/>
        <v>969100000</v>
      </c>
      <c r="G1477" t="str">
        <f>T("BLDG 50 STE 1Z01")</f>
        <v>BLDG 50 STE 1Z01</v>
      </c>
      <c r="H1477" t="str">
        <f>T("")</f>
        <v/>
      </c>
      <c r="I1477" t="str">
        <f t="shared" si="587"/>
        <v>AGANA HEIGHTS</v>
      </c>
      <c r="J1477" t="str">
        <f t="shared" si="588"/>
        <v>GU</v>
      </c>
      <c r="K1477" t="str">
        <f t="shared" si="589"/>
        <v>000000000000000000</v>
      </c>
      <c r="L1477" t="str">
        <f>T("6713449415")</f>
        <v>6713449415</v>
      </c>
    </row>
    <row r="1478" spans="1:12" x14ac:dyDescent="0.35">
      <c r="A1478" t="str">
        <f t="shared" si="581"/>
        <v>USNH GUAM</v>
      </c>
      <c r="B1478" t="str">
        <f t="shared" si="582"/>
        <v>BLDG 50 STE 1Y02</v>
      </c>
      <c r="C1478" t="str">
        <f t="shared" si="583"/>
        <v>FARENHOLT ROAD</v>
      </c>
      <c r="D1478" t="str">
        <f t="shared" si="584"/>
        <v>AGANA HEIGHTS</v>
      </c>
      <c r="E1478" t="str">
        <f t="shared" si="585"/>
        <v>GU</v>
      </c>
      <c r="F1478" t="str">
        <f t="shared" si="586"/>
        <v>969100000</v>
      </c>
      <c r="G1478" t="str">
        <f>T("US NAVAL HOSPITAL GUAM")</f>
        <v>US NAVAL HOSPITAL GUAM</v>
      </c>
      <c r="H1478" t="str">
        <f>T("BLDG 50 STE 1Y02")</f>
        <v>BLDG 50 STE 1Y02</v>
      </c>
      <c r="I1478" t="str">
        <f t="shared" si="587"/>
        <v>AGANA HEIGHTS</v>
      </c>
      <c r="J1478" t="str">
        <f t="shared" si="588"/>
        <v>GU</v>
      </c>
      <c r="K1478" t="str">
        <f t="shared" si="589"/>
        <v>000000000000000000</v>
      </c>
      <c r="L1478" t="str">
        <f>T("6713449491")</f>
        <v>6713449491</v>
      </c>
    </row>
    <row r="1479" spans="1:12" x14ac:dyDescent="0.35">
      <c r="A1479" t="str">
        <f t="shared" si="581"/>
        <v>USNH GUAM</v>
      </c>
      <c r="B1479" t="str">
        <f t="shared" si="582"/>
        <v>BLDG 50 STE 1Y02</v>
      </c>
      <c r="C1479" t="str">
        <f t="shared" si="583"/>
        <v>FARENHOLT ROAD</v>
      </c>
      <c r="D1479" t="str">
        <f t="shared" si="584"/>
        <v>AGANA HEIGHTS</v>
      </c>
      <c r="E1479" t="str">
        <f t="shared" si="585"/>
        <v>GU</v>
      </c>
      <c r="F1479" t="str">
        <f t="shared" si="586"/>
        <v>969100000</v>
      </c>
      <c r="G1479" t="str">
        <f>T("US NAVAL HOSPITAL GUAM")</f>
        <v>US NAVAL HOSPITAL GUAM</v>
      </c>
      <c r="H1479" t="str">
        <f>T("BLDG 50 STE 1Y02")</f>
        <v>BLDG 50 STE 1Y02</v>
      </c>
      <c r="I1479" t="str">
        <f t="shared" si="587"/>
        <v>AGANA HEIGHTS</v>
      </c>
      <c r="J1479" t="str">
        <f t="shared" si="588"/>
        <v>GU</v>
      </c>
      <c r="K1479" t="str">
        <f t="shared" si="589"/>
        <v>000000000000000000</v>
      </c>
      <c r="L1479" t="str">
        <f>T("6713449669")</f>
        <v>6713449669</v>
      </c>
    </row>
    <row r="1480" spans="1:12" x14ac:dyDescent="0.35">
      <c r="A1480" t="str">
        <f t="shared" si="581"/>
        <v>USNH GUAM</v>
      </c>
      <c r="B1480" t="str">
        <f t="shared" si="582"/>
        <v>BLDG 50 STE 1Y02</v>
      </c>
      <c r="C1480" t="str">
        <f t="shared" si="583"/>
        <v>FARENHOLT ROAD</v>
      </c>
      <c r="D1480" t="str">
        <f t="shared" si="584"/>
        <v>AGANA HEIGHTS</v>
      </c>
      <c r="E1480" t="str">
        <f t="shared" si="585"/>
        <v>GU</v>
      </c>
      <c r="F1480" t="str">
        <f t="shared" si="586"/>
        <v>969100000</v>
      </c>
      <c r="G1480" t="str">
        <f>T("US NAVAL HOSPITAL GUAM")</f>
        <v>US NAVAL HOSPITAL GUAM</v>
      </c>
      <c r="H1480" t="str">
        <f>T("BLDG 50 SUITE 1Y02 FARENHOLT RD")</f>
        <v>BLDG 50 SUITE 1Y02 FARENHOLT RD</v>
      </c>
      <c r="I1480" t="str">
        <f t="shared" si="587"/>
        <v>AGANA HEIGHTS</v>
      </c>
      <c r="J1480" t="str">
        <f t="shared" si="588"/>
        <v>GU</v>
      </c>
      <c r="K1480" t="str">
        <f t="shared" si="589"/>
        <v>000000000000000000</v>
      </c>
      <c r="L1480" t="str">
        <f>T("6713449265")</f>
        <v>6713449265</v>
      </c>
    </row>
    <row r="1481" spans="1:12" x14ac:dyDescent="0.35">
      <c r="A1481" t="str">
        <f t="shared" si="581"/>
        <v>USNH GUAM</v>
      </c>
      <c r="B1481" t="str">
        <f t="shared" si="582"/>
        <v>BLDG 50 STE 1Y02</v>
      </c>
      <c r="C1481" t="str">
        <f t="shared" si="583"/>
        <v>FARENHOLT ROAD</v>
      </c>
      <c r="D1481" t="str">
        <f t="shared" si="584"/>
        <v>AGANA HEIGHTS</v>
      </c>
      <c r="E1481" t="str">
        <f t="shared" si="585"/>
        <v>GU</v>
      </c>
      <c r="F1481" t="str">
        <f t="shared" si="586"/>
        <v>969100000</v>
      </c>
      <c r="G1481" t="str">
        <f>T("USNH GUAM")</f>
        <v>USNH GUAM</v>
      </c>
      <c r="H1481" t="str">
        <f>T("BLDG 50 STE 1Z01")</f>
        <v>BLDG 50 STE 1Z01</v>
      </c>
      <c r="I1481" t="str">
        <f t="shared" si="587"/>
        <v>AGANA HEIGHTS</v>
      </c>
      <c r="J1481" t="str">
        <f t="shared" si="588"/>
        <v>GU</v>
      </c>
      <c r="K1481" t="str">
        <f t="shared" si="589"/>
        <v>000000000000000000</v>
      </c>
      <c r="L1481" t="str">
        <f>T("6713449381")</f>
        <v>6713449381</v>
      </c>
    </row>
    <row r="1482" spans="1:12" x14ac:dyDescent="0.35">
      <c r="A1482" t="str">
        <f t="shared" si="581"/>
        <v>USNH GUAM</v>
      </c>
      <c r="B1482" t="str">
        <f t="shared" ref="B1482:B1491" si="590">T("BLDG 50 SUITE 1Y02")</f>
        <v>BLDG 50 SUITE 1Y02</v>
      </c>
      <c r="C1482" t="str">
        <f t="shared" si="583"/>
        <v>FARENHOLT ROAD</v>
      </c>
      <c r="D1482" t="str">
        <f t="shared" si="584"/>
        <v>AGANA HEIGHTS</v>
      </c>
      <c r="E1482" t="str">
        <f t="shared" si="585"/>
        <v>GU</v>
      </c>
      <c r="F1482" t="str">
        <f t="shared" si="586"/>
        <v>969100000</v>
      </c>
      <c r="G1482" t="str">
        <f t="shared" ref="G1482:G1487" si="591">T("BLDG 50 SUITE 1Y02")</f>
        <v>BLDG 50 SUITE 1Y02</v>
      </c>
      <c r="H1482" t="str">
        <f>T("FARENHOLT RD")</f>
        <v>FARENHOLT RD</v>
      </c>
      <c r="I1482" t="str">
        <f t="shared" si="587"/>
        <v>AGANA HEIGHTS</v>
      </c>
      <c r="J1482" t="str">
        <f t="shared" si="588"/>
        <v>GU</v>
      </c>
      <c r="K1482" t="str">
        <f t="shared" si="589"/>
        <v>000000000000000000</v>
      </c>
      <c r="L1482" t="str">
        <f>T("6713449256")</f>
        <v>6713449256</v>
      </c>
    </row>
    <row r="1483" spans="1:12" x14ac:dyDescent="0.35">
      <c r="A1483" t="str">
        <f t="shared" si="581"/>
        <v>USNH GUAM</v>
      </c>
      <c r="B1483" t="str">
        <f t="shared" si="590"/>
        <v>BLDG 50 SUITE 1Y02</v>
      </c>
      <c r="C1483" t="str">
        <f t="shared" si="583"/>
        <v>FARENHOLT ROAD</v>
      </c>
      <c r="D1483" t="str">
        <f t="shared" si="584"/>
        <v>AGANA HEIGHTS</v>
      </c>
      <c r="E1483" t="str">
        <f t="shared" si="585"/>
        <v>GU</v>
      </c>
      <c r="F1483" t="str">
        <f t="shared" si="586"/>
        <v>969100000</v>
      </c>
      <c r="G1483" t="str">
        <f t="shared" si="591"/>
        <v>BLDG 50 SUITE 1Y02</v>
      </c>
      <c r="H1483" t="str">
        <f>T("FARENHOLT RD")</f>
        <v>FARENHOLT RD</v>
      </c>
      <c r="I1483" t="str">
        <f t="shared" si="587"/>
        <v>AGANA HEIGHTS</v>
      </c>
      <c r="J1483" t="str">
        <f t="shared" si="588"/>
        <v>GU</v>
      </c>
      <c r="K1483" t="str">
        <f t="shared" si="589"/>
        <v>000000000000000000</v>
      </c>
      <c r="L1483" t="str">
        <f>T("6713449340")</f>
        <v>6713449340</v>
      </c>
    </row>
    <row r="1484" spans="1:12" x14ac:dyDescent="0.35">
      <c r="A1484" t="str">
        <f t="shared" si="581"/>
        <v>USNH GUAM</v>
      </c>
      <c r="B1484" t="str">
        <f t="shared" si="590"/>
        <v>BLDG 50 SUITE 1Y02</v>
      </c>
      <c r="C1484" t="str">
        <f t="shared" si="583"/>
        <v>FARENHOLT ROAD</v>
      </c>
      <c r="D1484" t="str">
        <f t="shared" si="584"/>
        <v>AGANA HEIGHTS</v>
      </c>
      <c r="E1484" t="str">
        <f t="shared" si="585"/>
        <v>GU</v>
      </c>
      <c r="F1484" t="str">
        <f t="shared" si="586"/>
        <v>969100000</v>
      </c>
      <c r="G1484" t="str">
        <f t="shared" si="591"/>
        <v>BLDG 50 SUITE 1Y02</v>
      </c>
      <c r="H1484" t="str">
        <f>T("FARENHOLT RD")</f>
        <v>FARENHOLT RD</v>
      </c>
      <c r="I1484" t="str">
        <f t="shared" si="587"/>
        <v>AGANA HEIGHTS</v>
      </c>
      <c r="J1484" t="str">
        <f t="shared" si="588"/>
        <v>GU</v>
      </c>
      <c r="K1484" t="str">
        <f t="shared" si="589"/>
        <v>000000000000000000</v>
      </c>
      <c r="L1484" t="str">
        <f>T("6713449381")</f>
        <v>6713449381</v>
      </c>
    </row>
    <row r="1485" spans="1:12" x14ac:dyDescent="0.35">
      <c r="A1485" t="str">
        <f t="shared" si="581"/>
        <v>USNH GUAM</v>
      </c>
      <c r="B1485" t="str">
        <f t="shared" si="590"/>
        <v>BLDG 50 SUITE 1Y02</v>
      </c>
      <c r="C1485" t="str">
        <f t="shared" si="583"/>
        <v>FARENHOLT ROAD</v>
      </c>
      <c r="D1485" t="str">
        <f t="shared" si="584"/>
        <v>AGANA HEIGHTS</v>
      </c>
      <c r="E1485" t="str">
        <f t="shared" si="585"/>
        <v>GU</v>
      </c>
      <c r="F1485" t="str">
        <f t="shared" si="586"/>
        <v>969100000</v>
      </c>
      <c r="G1485" t="str">
        <f t="shared" si="591"/>
        <v>BLDG 50 SUITE 1Y02</v>
      </c>
      <c r="H1485" t="str">
        <f>T("FARENHOLT RD")</f>
        <v>FARENHOLT RD</v>
      </c>
      <c r="I1485" t="str">
        <f t="shared" si="587"/>
        <v>AGANA HEIGHTS</v>
      </c>
      <c r="J1485" t="str">
        <f t="shared" si="588"/>
        <v>GU</v>
      </c>
      <c r="K1485" t="str">
        <f t="shared" si="589"/>
        <v>000000000000000000</v>
      </c>
      <c r="L1485" t="str">
        <f>T("6713449635")</f>
        <v>6713449635</v>
      </c>
    </row>
    <row r="1486" spans="1:12" x14ac:dyDescent="0.35">
      <c r="A1486" t="str">
        <f t="shared" si="581"/>
        <v>USNH GUAM</v>
      </c>
      <c r="B1486" t="str">
        <f t="shared" si="590"/>
        <v>BLDG 50 SUITE 1Y02</v>
      </c>
      <c r="C1486" t="str">
        <f t="shared" si="583"/>
        <v>FARENHOLT ROAD</v>
      </c>
      <c r="D1486" t="str">
        <f t="shared" si="584"/>
        <v>AGANA HEIGHTS</v>
      </c>
      <c r="E1486" t="str">
        <f t="shared" si="585"/>
        <v>GU</v>
      </c>
      <c r="F1486" t="str">
        <f t="shared" si="586"/>
        <v>969100000</v>
      </c>
      <c r="G1486" t="str">
        <f t="shared" si="591"/>
        <v>BLDG 50 SUITE 1Y02</v>
      </c>
      <c r="H1486" t="str">
        <f>T("FARENHOLT RD")</f>
        <v>FARENHOLT RD</v>
      </c>
      <c r="I1486" t="str">
        <f t="shared" si="587"/>
        <v>AGANA HEIGHTS</v>
      </c>
      <c r="J1486" t="str">
        <f t="shared" si="588"/>
        <v>GU</v>
      </c>
      <c r="K1486" t="str">
        <f>T("6713449325")</f>
        <v>6713449325</v>
      </c>
      <c r="L1486" t="str">
        <f>T("6713449014")</f>
        <v>6713449014</v>
      </c>
    </row>
    <row r="1487" spans="1:12" x14ac:dyDescent="0.35">
      <c r="A1487" t="str">
        <f t="shared" si="581"/>
        <v>USNH GUAM</v>
      </c>
      <c r="B1487" t="str">
        <f t="shared" si="590"/>
        <v>BLDG 50 SUITE 1Y02</v>
      </c>
      <c r="C1487" t="str">
        <f t="shared" si="583"/>
        <v>FARENHOLT ROAD</v>
      </c>
      <c r="D1487" t="str">
        <f t="shared" si="584"/>
        <v>AGANA HEIGHTS</v>
      </c>
      <c r="E1487" t="str">
        <f t="shared" si="585"/>
        <v>GU</v>
      </c>
      <c r="F1487" t="str">
        <f t="shared" si="586"/>
        <v>969100000</v>
      </c>
      <c r="G1487" t="str">
        <f t="shared" si="591"/>
        <v>BLDG 50 SUITE 1Y02</v>
      </c>
      <c r="H1487" t="str">
        <f>T("FARENHOLT ROAD")</f>
        <v>FARENHOLT ROAD</v>
      </c>
      <c r="I1487" t="str">
        <f t="shared" si="587"/>
        <v>AGANA HEIGHTS</v>
      </c>
      <c r="J1487" t="str">
        <f t="shared" si="588"/>
        <v>GU</v>
      </c>
      <c r="K1487" t="str">
        <f>T("6713449256")</f>
        <v>6713449256</v>
      </c>
      <c r="L1487" t="str">
        <f>T("6713449381")</f>
        <v>6713449381</v>
      </c>
    </row>
    <row r="1488" spans="1:12" x14ac:dyDescent="0.35">
      <c r="A1488" t="str">
        <f t="shared" si="581"/>
        <v>USNH GUAM</v>
      </c>
      <c r="B1488" t="str">
        <f t="shared" si="590"/>
        <v>BLDG 50 SUITE 1Y02</v>
      </c>
      <c r="C1488" t="str">
        <f t="shared" si="583"/>
        <v>FARENHOLT ROAD</v>
      </c>
      <c r="D1488" t="str">
        <f t="shared" si="584"/>
        <v>AGANA HEIGHTS</v>
      </c>
      <c r="E1488" t="str">
        <f t="shared" si="585"/>
        <v>GU</v>
      </c>
      <c r="F1488" t="str">
        <f t="shared" si="586"/>
        <v>969100000</v>
      </c>
      <c r="G1488" t="str">
        <f>T("BLDG 50 SUITE 1ZO1")</f>
        <v>BLDG 50 SUITE 1ZO1</v>
      </c>
      <c r="H1488" t="str">
        <f>T("")</f>
        <v/>
      </c>
      <c r="I1488" t="str">
        <f t="shared" si="587"/>
        <v>AGANA HEIGHTS</v>
      </c>
      <c r="J1488" t="str">
        <f t="shared" si="588"/>
        <v>GU</v>
      </c>
      <c r="K1488" t="str">
        <f>T("000000000000000000")</f>
        <v>000000000000000000</v>
      </c>
      <c r="L1488" t="str">
        <f>T("6713442085")</f>
        <v>6713442085</v>
      </c>
    </row>
    <row r="1489" spans="1:12" x14ac:dyDescent="0.35">
      <c r="A1489" t="str">
        <f t="shared" si="581"/>
        <v>USNH GUAM</v>
      </c>
      <c r="B1489" t="str">
        <f t="shared" si="590"/>
        <v>BLDG 50 SUITE 1Y02</v>
      </c>
      <c r="C1489" t="str">
        <f t="shared" si="583"/>
        <v>FARENHOLT ROAD</v>
      </c>
      <c r="D1489" t="str">
        <f t="shared" si="584"/>
        <v>AGANA HEIGHTS</v>
      </c>
      <c r="E1489" t="str">
        <f t="shared" si="585"/>
        <v>GU</v>
      </c>
      <c r="F1489" t="str">
        <f t="shared" si="586"/>
        <v>969100000</v>
      </c>
      <c r="G1489" t="str">
        <f>T("BLDG. 50, SUITE 1Y02")</f>
        <v>BLDG. 50, SUITE 1Y02</v>
      </c>
      <c r="H1489" t="str">
        <f>T("FARENHOLT RD")</f>
        <v>FARENHOLT RD</v>
      </c>
      <c r="I1489" t="str">
        <f t="shared" si="587"/>
        <v>AGANA HEIGHTS</v>
      </c>
      <c r="J1489" t="str">
        <f t="shared" si="588"/>
        <v>GU</v>
      </c>
      <c r="K1489" t="str">
        <f>T("000000000000000000")</f>
        <v>000000000000000000</v>
      </c>
      <c r="L1489" t="str">
        <f>T("6713449347")</f>
        <v>6713449347</v>
      </c>
    </row>
    <row r="1490" spans="1:12" x14ac:dyDescent="0.35">
      <c r="A1490" t="str">
        <f t="shared" si="581"/>
        <v>USNH GUAM</v>
      </c>
      <c r="B1490" t="str">
        <f t="shared" si="590"/>
        <v>BLDG 50 SUITE 1Y02</v>
      </c>
      <c r="C1490" t="str">
        <f t="shared" si="583"/>
        <v>FARENHOLT ROAD</v>
      </c>
      <c r="D1490" t="str">
        <f t="shared" si="584"/>
        <v>AGANA HEIGHTS</v>
      </c>
      <c r="E1490" t="str">
        <f t="shared" si="585"/>
        <v>GU</v>
      </c>
      <c r="F1490" t="str">
        <f t="shared" si="586"/>
        <v>969100000</v>
      </c>
      <c r="G1490" t="str">
        <f>T("BLDG. 50, SUITE 1Y02")</f>
        <v>BLDG. 50, SUITE 1Y02</v>
      </c>
      <c r="H1490" t="str">
        <f>T("FARENHOLT RD")</f>
        <v>FARENHOLT RD</v>
      </c>
      <c r="I1490" t="str">
        <f t="shared" si="587"/>
        <v>AGANA HEIGHTS</v>
      </c>
      <c r="J1490" t="str">
        <f t="shared" si="588"/>
        <v>GU</v>
      </c>
      <c r="K1490" t="str">
        <f>T("000000000000000000")</f>
        <v>000000000000000000</v>
      </c>
      <c r="L1490" t="str">
        <f>T("6713449381")</f>
        <v>6713449381</v>
      </c>
    </row>
    <row r="1491" spans="1:12" x14ac:dyDescent="0.35">
      <c r="A1491" t="str">
        <f t="shared" si="581"/>
        <v>USNH GUAM</v>
      </c>
      <c r="B1491" t="str">
        <f t="shared" si="590"/>
        <v>BLDG 50 SUITE 1Y02</v>
      </c>
      <c r="C1491" t="str">
        <f t="shared" si="583"/>
        <v>FARENHOLT ROAD</v>
      </c>
      <c r="D1491" t="str">
        <f t="shared" si="584"/>
        <v>AGANA HEIGHTS</v>
      </c>
      <c r="E1491" t="str">
        <f t="shared" si="585"/>
        <v>GU</v>
      </c>
      <c r="F1491" t="str">
        <f t="shared" si="586"/>
        <v>969100000</v>
      </c>
      <c r="G1491" t="str">
        <f>T("U S NAVAL HOSPITAL GUAM")</f>
        <v>U S NAVAL HOSPITAL GUAM</v>
      </c>
      <c r="H1491" t="str">
        <f>T("BLDG 50, FARENHOLT RD, STE 1Z01")</f>
        <v>BLDG 50, FARENHOLT RD, STE 1Z01</v>
      </c>
      <c r="I1491" t="str">
        <f t="shared" si="587"/>
        <v>AGANA HEIGHTS</v>
      </c>
      <c r="J1491" t="str">
        <f t="shared" si="588"/>
        <v>GU</v>
      </c>
      <c r="K1491" t="str">
        <f>T("000000000000000000")</f>
        <v>000000000000000000</v>
      </c>
      <c r="L1491" t="str">
        <f>T("6713449381")</f>
        <v>6713449381</v>
      </c>
    </row>
    <row r="1492" spans="1:12" x14ac:dyDescent="0.35">
      <c r="A1492" t="str">
        <f t="shared" ref="A1492:A1509" si="592">T("USNH YOKOSUKA JAPAN")</f>
        <v>USNH YOKOSUKA JAPAN</v>
      </c>
      <c r="B1492" t="str">
        <f>T("ATTN MATERIALS MGMT R SANDIKO")</f>
        <v>ATTN MATERIALS MGMT R SANDIKO</v>
      </c>
      <c r="C1492" t="str">
        <f t="shared" ref="C1492:C1509" si="593">T("PSC 475 BOX 6")</f>
        <v>PSC 475 BOX 6</v>
      </c>
      <c r="D1492" t="str">
        <f t="shared" ref="D1492:D1522" si="594">T("FPO")</f>
        <v>FPO</v>
      </c>
      <c r="E1492" t="str">
        <f t="shared" ref="E1492:E1522" si="595">T("AP")</f>
        <v>AP</v>
      </c>
      <c r="F1492" t="str">
        <f t="shared" ref="F1492:F1509" si="596">T("963501200")</f>
        <v>963501200</v>
      </c>
      <c r="G1492" t="str">
        <f>T("ATTN MATERIALS MGMT R SANDIKO")</f>
        <v>ATTN MATERIALS MGMT R SANDIKO</v>
      </c>
      <c r="H1492" t="str">
        <f>T("PSC 475 BOX 6")</f>
        <v>PSC 475 BOX 6</v>
      </c>
      <c r="I1492" t="str">
        <f t="shared" ref="I1492:I1522" si="597">T("FPO")</f>
        <v>FPO</v>
      </c>
      <c r="J1492" t="str">
        <f t="shared" ref="J1492:J1522" si="598">T("AP")</f>
        <v>AP</v>
      </c>
      <c r="K1492" t="str">
        <f>T("01181468253542")</f>
        <v>01181468253542</v>
      </c>
      <c r="L1492" t="str">
        <f>T("1111111111")</f>
        <v>1111111111</v>
      </c>
    </row>
    <row r="1493" spans="1:12" x14ac:dyDescent="0.35">
      <c r="A1493" t="str">
        <f t="shared" si="592"/>
        <v>USNH YOKOSUKA JAPAN</v>
      </c>
      <c r="B1493" t="str">
        <f>T("ATTN MATERIALS MGMT R SANDIKO")</f>
        <v>ATTN MATERIALS MGMT R SANDIKO</v>
      </c>
      <c r="C1493" t="str">
        <f t="shared" si="593"/>
        <v>PSC 475 BOX 6</v>
      </c>
      <c r="D1493" t="str">
        <f t="shared" si="594"/>
        <v>FPO</v>
      </c>
      <c r="E1493" t="str">
        <f t="shared" si="595"/>
        <v>AP</v>
      </c>
      <c r="F1493" t="str">
        <f t="shared" si="596"/>
        <v>963501200</v>
      </c>
      <c r="G1493" t="str">
        <f>T("MATERIAL MGMT ATTN APC SANDIKO/DAYE")</f>
        <v>MATERIAL MGMT ATTN APC SANDIKO/DAYE</v>
      </c>
      <c r="H1493" t="str">
        <f>T("PSC 475 BOX 6")</f>
        <v>PSC 475 BOX 6</v>
      </c>
      <c r="I1493" t="str">
        <f t="shared" si="597"/>
        <v>FPO</v>
      </c>
      <c r="J1493" t="str">
        <f t="shared" si="598"/>
        <v>AP</v>
      </c>
      <c r="K1493" t="str">
        <f>T("3152437189")</f>
        <v>3152437189</v>
      </c>
      <c r="L1493" t="str">
        <f>T("3152439967")</f>
        <v>3152439967</v>
      </c>
    </row>
    <row r="1494" spans="1:12" x14ac:dyDescent="0.35">
      <c r="A1494" t="str">
        <f t="shared" si="592"/>
        <v>USNH YOKOSUKA JAPAN</v>
      </c>
      <c r="B1494" t="str">
        <f>T("ATTN MATERIALS MGMT R SANDIKO")</f>
        <v>ATTN MATERIALS MGMT R SANDIKO</v>
      </c>
      <c r="C1494" t="str">
        <f t="shared" si="593"/>
        <v>PSC 475 BOX 6</v>
      </c>
      <c r="D1494" t="str">
        <f t="shared" si="594"/>
        <v>FPO</v>
      </c>
      <c r="E1494" t="str">
        <f t="shared" si="595"/>
        <v>AP</v>
      </c>
      <c r="F1494" t="str">
        <f t="shared" si="596"/>
        <v>963501200</v>
      </c>
      <c r="G1494" t="str">
        <f>T("PSC 475 BOX 6")</f>
        <v>PSC 475 BOX 6</v>
      </c>
      <c r="H1494" t="str">
        <f>T("")</f>
        <v/>
      </c>
      <c r="I1494" t="str">
        <f t="shared" si="597"/>
        <v>FPO</v>
      </c>
      <c r="J1494" t="str">
        <f t="shared" si="598"/>
        <v>AP</v>
      </c>
      <c r="K1494" t="str">
        <f>T("000000000000000000")</f>
        <v>000000000000000000</v>
      </c>
      <c r="L1494" t="str">
        <f>T("3152436888")</f>
        <v>3152436888</v>
      </c>
    </row>
    <row r="1495" spans="1:12" x14ac:dyDescent="0.35">
      <c r="A1495" t="str">
        <f t="shared" si="592"/>
        <v>USNH YOKOSUKA JAPAN</v>
      </c>
      <c r="B1495" t="str">
        <f>T("ATTN MATERIALS MGMT R SANDIKO")</f>
        <v>ATTN MATERIALS MGMT R SANDIKO</v>
      </c>
      <c r="C1495" t="str">
        <f t="shared" si="593"/>
        <v>PSC 475 BOX 6</v>
      </c>
      <c r="D1495" t="str">
        <f t="shared" si="594"/>
        <v>FPO</v>
      </c>
      <c r="E1495" t="str">
        <f t="shared" si="595"/>
        <v>AP</v>
      </c>
      <c r="F1495" t="str">
        <f t="shared" si="596"/>
        <v>963501200</v>
      </c>
      <c r="G1495" t="str">
        <f>T("PSC 475 BOX 6")</f>
        <v>PSC 475 BOX 6</v>
      </c>
      <c r="H1495" t="str">
        <f>T("")</f>
        <v/>
      </c>
      <c r="I1495" t="str">
        <f t="shared" si="597"/>
        <v>FPO</v>
      </c>
      <c r="J1495" t="str">
        <f t="shared" si="598"/>
        <v>AP</v>
      </c>
      <c r="K1495" t="str">
        <f>T("3152437189")</f>
        <v>3152437189</v>
      </c>
      <c r="L1495" t="str">
        <f>T("3152439995")</f>
        <v>3152439995</v>
      </c>
    </row>
    <row r="1496" spans="1:12" x14ac:dyDescent="0.35">
      <c r="A1496" t="str">
        <f t="shared" si="592"/>
        <v>USNH YOKOSUKA JAPAN</v>
      </c>
      <c r="B1496" t="str">
        <f t="shared" ref="B1496:B1508" si="599">T("USNH YOKOSUKA ATTN LENNIE DAYE")</f>
        <v>USNH YOKOSUKA ATTN LENNIE DAYE</v>
      </c>
      <c r="C1496" t="str">
        <f t="shared" si="593"/>
        <v>PSC 475 BOX 6</v>
      </c>
      <c r="D1496" t="str">
        <f t="shared" si="594"/>
        <v>FPO</v>
      </c>
      <c r="E1496" t="str">
        <f t="shared" si="595"/>
        <v>AP</v>
      </c>
      <c r="F1496" t="str">
        <f t="shared" si="596"/>
        <v>963501200</v>
      </c>
      <c r="G1496" t="str">
        <f>T("ATTN MATL MGMT RONALD SANDIKO")</f>
        <v>ATTN MATL MGMT RONALD SANDIKO</v>
      </c>
      <c r="H1496" t="str">
        <f t="shared" ref="H1496:H1505" si="600">T("PSC 475 BOX 6")</f>
        <v>PSC 475 BOX 6</v>
      </c>
      <c r="I1496" t="str">
        <f t="shared" si="597"/>
        <v>FPO</v>
      </c>
      <c r="J1496" t="str">
        <f t="shared" si="598"/>
        <v>AP</v>
      </c>
      <c r="K1496" t="str">
        <f>T("3152437189")</f>
        <v>3152437189</v>
      </c>
      <c r="L1496" t="str">
        <f>T("3152438982")</f>
        <v>3152438982</v>
      </c>
    </row>
    <row r="1497" spans="1:12" x14ac:dyDescent="0.35">
      <c r="A1497" t="str">
        <f t="shared" si="592"/>
        <v>USNH YOKOSUKA JAPAN</v>
      </c>
      <c r="B1497" t="str">
        <f t="shared" si="599"/>
        <v>USNH YOKOSUKA ATTN LENNIE DAYE</v>
      </c>
      <c r="C1497" t="str">
        <f t="shared" si="593"/>
        <v>PSC 475 BOX 6</v>
      </c>
      <c r="D1497" t="str">
        <f t="shared" si="594"/>
        <v>FPO</v>
      </c>
      <c r="E1497" t="str">
        <f t="shared" si="595"/>
        <v>AP</v>
      </c>
      <c r="F1497" t="str">
        <f t="shared" si="596"/>
        <v>963501200</v>
      </c>
      <c r="G1497" t="str">
        <f>T("ATTN MATL MGMT RONALD SANDIKO")</f>
        <v>ATTN MATL MGMT RONALD SANDIKO</v>
      </c>
      <c r="H1497" t="str">
        <f t="shared" si="600"/>
        <v>PSC 475 BOX 6</v>
      </c>
      <c r="I1497" t="str">
        <f t="shared" si="597"/>
        <v>FPO</v>
      </c>
      <c r="J1497" t="str">
        <f t="shared" si="598"/>
        <v>AP</v>
      </c>
      <c r="K1497" t="str">
        <f>T("3152437189")</f>
        <v>3152437189</v>
      </c>
      <c r="L1497" t="str">
        <f>T("3153704433")</f>
        <v>3153704433</v>
      </c>
    </row>
    <row r="1498" spans="1:12" x14ac:dyDescent="0.35">
      <c r="A1498" t="str">
        <f t="shared" si="592"/>
        <v>USNH YOKOSUKA JAPAN</v>
      </c>
      <c r="B1498" t="str">
        <f t="shared" si="599"/>
        <v>USNH YOKOSUKA ATTN LENNIE DAYE</v>
      </c>
      <c r="C1498" t="str">
        <f t="shared" si="593"/>
        <v>PSC 475 BOX 6</v>
      </c>
      <c r="D1498" t="str">
        <f t="shared" si="594"/>
        <v>FPO</v>
      </c>
      <c r="E1498" t="str">
        <f t="shared" si="595"/>
        <v>AP</v>
      </c>
      <c r="F1498" t="str">
        <f t="shared" si="596"/>
        <v>963501200</v>
      </c>
      <c r="G1498" t="str">
        <f>T("ATTN MATL MGMT RONALD SANDIKO APC")</f>
        <v>ATTN MATL MGMT RONALD SANDIKO APC</v>
      </c>
      <c r="H1498" t="str">
        <f t="shared" si="600"/>
        <v>PSC 475 BOX 6</v>
      </c>
      <c r="I1498" t="str">
        <f t="shared" si="597"/>
        <v>FPO</v>
      </c>
      <c r="J1498" t="str">
        <f t="shared" si="598"/>
        <v>AP</v>
      </c>
      <c r="K1498" t="str">
        <f>T("3152437189")</f>
        <v>3152437189</v>
      </c>
      <c r="L1498" t="str">
        <f>T("3152439987")</f>
        <v>3152439987</v>
      </c>
    </row>
    <row r="1499" spans="1:12" x14ac:dyDescent="0.35">
      <c r="A1499" t="str">
        <f t="shared" si="592"/>
        <v>USNH YOKOSUKA JAPAN</v>
      </c>
      <c r="B1499" t="str">
        <f t="shared" si="599"/>
        <v>USNH YOKOSUKA ATTN LENNIE DAYE</v>
      </c>
      <c r="C1499" t="str">
        <f t="shared" si="593"/>
        <v>PSC 475 BOX 6</v>
      </c>
      <c r="D1499" t="str">
        <f t="shared" si="594"/>
        <v>FPO</v>
      </c>
      <c r="E1499" t="str">
        <f t="shared" si="595"/>
        <v>AP</v>
      </c>
      <c r="F1499" t="str">
        <f t="shared" si="596"/>
        <v>963501200</v>
      </c>
      <c r="G1499" t="str">
        <f t="shared" ref="G1499:G1505" si="601">T("MATERIAL MGMT ATTN LENNIE DAYE")</f>
        <v>MATERIAL MGMT ATTN LENNIE DAYE</v>
      </c>
      <c r="H1499" t="str">
        <f t="shared" si="600"/>
        <v>PSC 475 BOX 6</v>
      </c>
      <c r="I1499" t="str">
        <f t="shared" si="597"/>
        <v>FPO</v>
      </c>
      <c r="J1499" t="str">
        <f t="shared" si="598"/>
        <v>AP</v>
      </c>
      <c r="K1499" t="str">
        <f>T("000000000000000000")</f>
        <v>000000000000000000</v>
      </c>
      <c r="L1499" t="str">
        <f>T("3152436888")</f>
        <v>3152436888</v>
      </c>
    </row>
    <row r="1500" spans="1:12" x14ac:dyDescent="0.35">
      <c r="A1500" t="str">
        <f t="shared" si="592"/>
        <v>USNH YOKOSUKA JAPAN</v>
      </c>
      <c r="B1500" t="str">
        <f t="shared" si="599"/>
        <v>USNH YOKOSUKA ATTN LENNIE DAYE</v>
      </c>
      <c r="C1500" t="str">
        <f t="shared" si="593"/>
        <v>PSC 475 BOX 6</v>
      </c>
      <c r="D1500" t="str">
        <f t="shared" si="594"/>
        <v>FPO</v>
      </c>
      <c r="E1500" t="str">
        <f t="shared" si="595"/>
        <v>AP</v>
      </c>
      <c r="F1500" t="str">
        <f t="shared" si="596"/>
        <v>963501200</v>
      </c>
      <c r="G1500" t="str">
        <f t="shared" si="601"/>
        <v>MATERIAL MGMT ATTN LENNIE DAYE</v>
      </c>
      <c r="H1500" t="str">
        <f t="shared" si="600"/>
        <v>PSC 475 BOX 6</v>
      </c>
      <c r="I1500" t="str">
        <f t="shared" si="597"/>
        <v>FPO</v>
      </c>
      <c r="J1500" t="str">
        <f t="shared" si="598"/>
        <v>AP</v>
      </c>
      <c r="K1500" t="str">
        <f t="shared" ref="K1500:K1506" si="602">T("3152437189")</f>
        <v>3152437189</v>
      </c>
      <c r="L1500" t="str">
        <f>T("3152437795")</f>
        <v>3152437795</v>
      </c>
    </row>
    <row r="1501" spans="1:12" x14ac:dyDescent="0.35">
      <c r="A1501" t="str">
        <f t="shared" si="592"/>
        <v>USNH YOKOSUKA JAPAN</v>
      </c>
      <c r="B1501" t="str">
        <f t="shared" si="599"/>
        <v>USNH YOKOSUKA ATTN LENNIE DAYE</v>
      </c>
      <c r="C1501" t="str">
        <f t="shared" si="593"/>
        <v>PSC 475 BOX 6</v>
      </c>
      <c r="D1501" t="str">
        <f t="shared" si="594"/>
        <v>FPO</v>
      </c>
      <c r="E1501" t="str">
        <f t="shared" si="595"/>
        <v>AP</v>
      </c>
      <c r="F1501" t="str">
        <f t="shared" si="596"/>
        <v>963501200</v>
      </c>
      <c r="G1501" t="str">
        <f t="shared" si="601"/>
        <v>MATERIAL MGMT ATTN LENNIE DAYE</v>
      </c>
      <c r="H1501" t="str">
        <f t="shared" si="600"/>
        <v>PSC 475 BOX 6</v>
      </c>
      <c r="I1501" t="str">
        <f t="shared" si="597"/>
        <v>FPO</v>
      </c>
      <c r="J1501" t="str">
        <f t="shared" si="598"/>
        <v>AP</v>
      </c>
      <c r="K1501" t="str">
        <f t="shared" si="602"/>
        <v>3152437189</v>
      </c>
      <c r="L1501" t="str">
        <f>T("3152438982")</f>
        <v>3152438982</v>
      </c>
    </row>
    <row r="1502" spans="1:12" x14ac:dyDescent="0.35">
      <c r="A1502" t="str">
        <f t="shared" si="592"/>
        <v>USNH YOKOSUKA JAPAN</v>
      </c>
      <c r="B1502" t="str">
        <f t="shared" si="599"/>
        <v>USNH YOKOSUKA ATTN LENNIE DAYE</v>
      </c>
      <c r="C1502" t="str">
        <f t="shared" si="593"/>
        <v>PSC 475 BOX 6</v>
      </c>
      <c r="D1502" t="str">
        <f t="shared" si="594"/>
        <v>FPO</v>
      </c>
      <c r="E1502" t="str">
        <f t="shared" si="595"/>
        <v>AP</v>
      </c>
      <c r="F1502" t="str">
        <f t="shared" si="596"/>
        <v>963501200</v>
      </c>
      <c r="G1502" t="str">
        <f t="shared" si="601"/>
        <v>MATERIAL MGMT ATTN LENNIE DAYE</v>
      </c>
      <c r="H1502" t="str">
        <f t="shared" si="600"/>
        <v>PSC 475 BOX 6</v>
      </c>
      <c r="I1502" t="str">
        <f t="shared" si="597"/>
        <v>FPO</v>
      </c>
      <c r="J1502" t="str">
        <f t="shared" si="598"/>
        <v>AP</v>
      </c>
      <c r="K1502" t="str">
        <f t="shared" si="602"/>
        <v>3152437189</v>
      </c>
      <c r="L1502" t="str">
        <f>T("3152439967")</f>
        <v>3152439967</v>
      </c>
    </row>
    <row r="1503" spans="1:12" x14ac:dyDescent="0.35">
      <c r="A1503" t="str">
        <f t="shared" si="592"/>
        <v>USNH YOKOSUKA JAPAN</v>
      </c>
      <c r="B1503" t="str">
        <f t="shared" si="599"/>
        <v>USNH YOKOSUKA ATTN LENNIE DAYE</v>
      </c>
      <c r="C1503" t="str">
        <f t="shared" si="593"/>
        <v>PSC 475 BOX 6</v>
      </c>
      <c r="D1503" t="str">
        <f t="shared" si="594"/>
        <v>FPO</v>
      </c>
      <c r="E1503" t="str">
        <f t="shared" si="595"/>
        <v>AP</v>
      </c>
      <c r="F1503" t="str">
        <f t="shared" si="596"/>
        <v>963501200</v>
      </c>
      <c r="G1503" t="str">
        <f t="shared" si="601"/>
        <v>MATERIAL MGMT ATTN LENNIE DAYE</v>
      </c>
      <c r="H1503" t="str">
        <f t="shared" si="600"/>
        <v>PSC 475 BOX 6</v>
      </c>
      <c r="I1503" t="str">
        <f t="shared" si="597"/>
        <v>FPO</v>
      </c>
      <c r="J1503" t="str">
        <f t="shared" si="598"/>
        <v>AP</v>
      </c>
      <c r="K1503" t="str">
        <f t="shared" si="602"/>
        <v>3152437189</v>
      </c>
      <c r="L1503" t="str">
        <f>T("3152439987")</f>
        <v>3152439987</v>
      </c>
    </row>
    <row r="1504" spans="1:12" x14ac:dyDescent="0.35">
      <c r="A1504" t="str">
        <f t="shared" si="592"/>
        <v>USNH YOKOSUKA JAPAN</v>
      </c>
      <c r="B1504" t="str">
        <f t="shared" si="599"/>
        <v>USNH YOKOSUKA ATTN LENNIE DAYE</v>
      </c>
      <c r="C1504" t="str">
        <f t="shared" si="593"/>
        <v>PSC 475 BOX 6</v>
      </c>
      <c r="D1504" t="str">
        <f t="shared" si="594"/>
        <v>FPO</v>
      </c>
      <c r="E1504" t="str">
        <f t="shared" si="595"/>
        <v>AP</v>
      </c>
      <c r="F1504" t="str">
        <f t="shared" si="596"/>
        <v>963501200</v>
      </c>
      <c r="G1504" t="str">
        <f t="shared" si="601"/>
        <v>MATERIAL MGMT ATTN LENNIE DAYE</v>
      </c>
      <c r="H1504" t="str">
        <f t="shared" si="600"/>
        <v>PSC 475 BOX 6</v>
      </c>
      <c r="I1504" t="str">
        <f t="shared" si="597"/>
        <v>FPO</v>
      </c>
      <c r="J1504" t="str">
        <f t="shared" si="598"/>
        <v>AP</v>
      </c>
      <c r="K1504" t="str">
        <f t="shared" si="602"/>
        <v>3152437189</v>
      </c>
      <c r="L1504" t="str">
        <f>T("3152439995")</f>
        <v>3152439995</v>
      </c>
    </row>
    <row r="1505" spans="1:12" x14ac:dyDescent="0.35">
      <c r="A1505" t="str">
        <f t="shared" si="592"/>
        <v>USNH YOKOSUKA JAPAN</v>
      </c>
      <c r="B1505" t="str">
        <f t="shared" si="599"/>
        <v>USNH YOKOSUKA ATTN LENNIE DAYE</v>
      </c>
      <c r="C1505" t="str">
        <f t="shared" si="593"/>
        <v>PSC 475 BOX 6</v>
      </c>
      <c r="D1505" t="str">
        <f t="shared" si="594"/>
        <v>FPO</v>
      </c>
      <c r="E1505" t="str">
        <f t="shared" si="595"/>
        <v>AP</v>
      </c>
      <c r="F1505" t="str">
        <f t="shared" si="596"/>
        <v>963501200</v>
      </c>
      <c r="G1505" t="str">
        <f t="shared" si="601"/>
        <v>MATERIAL MGMT ATTN LENNIE DAYE</v>
      </c>
      <c r="H1505" t="str">
        <f t="shared" si="600"/>
        <v>PSC 475 BOX 6</v>
      </c>
      <c r="I1505" t="str">
        <f t="shared" si="597"/>
        <v>FPO</v>
      </c>
      <c r="J1505" t="str">
        <f t="shared" si="598"/>
        <v>AP</v>
      </c>
      <c r="K1505" t="str">
        <f t="shared" si="602"/>
        <v>3152437189</v>
      </c>
      <c r="L1505" t="str">
        <f>T("3153704433")</f>
        <v>3153704433</v>
      </c>
    </row>
    <row r="1506" spans="1:12" x14ac:dyDescent="0.35">
      <c r="A1506" t="str">
        <f t="shared" si="592"/>
        <v>USNH YOKOSUKA JAPAN</v>
      </c>
      <c r="B1506" t="str">
        <f t="shared" si="599"/>
        <v>USNH YOKOSUKA ATTN LENNIE DAYE</v>
      </c>
      <c r="C1506" t="str">
        <f t="shared" si="593"/>
        <v>PSC 475 BOX 6</v>
      </c>
      <c r="D1506" t="str">
        <f t="shared" si="594"/>
        <v>FPO</v>
      </c>
      <c r="E1506" t="str">
        <f t="shared" si="595"/>
        <v>AP</v>
      </c>
      <c r="F1506" t="str">
        <f t="shared" si="596"/>
        <v>963501200</v>
      </c>
      <c r="G1506" t="str">
        <f>T("PSC 475 BOX 6")</f>
        <v>PSC 475 BOX 6</v>
      </c>
      <c r="H1506" t="str">
        <f>T("")</f>
        <v/>
      </c>
      <c r="I1506" t="str">
        <f t="shared" si="597"/>
        <v>FPO</v>
      </c>
      <c r="J1506" t="str">
        <f t="shared" si="598"/>
        <v>AP</v>
      </c>
      <c r="K1506" t="str">
        <f t="shared" si="602"/>
        <v>3152437189</v>
      </c>
      <c r="L1506" t="str">
        <f>T("3152437795")</f>
        <v>3152437795</v>
      </c>
    </row>
    <row r="1507" spans="1:12" x14ac:dyDescent="0.35">
      <c r="A1507" t="str">
        <f t="shared" si="592"/>
        <v>USNH YOKOSUKA JAPAN</v>
      </c>
      <c r="B1507" t="str">
        <f t="shared" si="599"/>
        <v>USNH YOKOSUKA ATTN LENNIE DAYE</v>
      </c>
      <c r="C1507" t="str">
        <f t="shared" si="593"/>
        <v>PSC 475 BOX 6</v>
      </c>
      <c r="D1507" t="str">
        <f t="shared" si="594"/>
        <v>FPO</v>
      </c>
      <c r="E1507" t="str">
        <f t="shared" si="595"/>
        <v>AP</v>
      </c>
      <c r="F1507" t="str">
        <f t="shared" si="596"/>
        <v>963501200</v>
      </c>
      <c r="G1507" t="str">
        <f>T("USNH YOKOSUKA ATTN LENNIE DAYE")</f>
        <v>USNH YOKOSUKA ATTN LENNIE DAYE</v>
      </c>
      <c r="H1507" t="str">
        <f>T("PSC 475 BOX 6")</f>
        <v>PSC 475 BOX 6</v>
      </c>
      <c r="I1507" t="str">
        <f t="shared" si="597"/>
        <v>FPO</v>
      </c>
      <c r="J1507" t="str">
        <f t="shared" si="598"/>
        <v>AP</v>
      </c>
      <c r="K1507" t="str">
        <f>T("000000000000000000")</f>
        <v>000000000000000000</v>
      </c>
      <c r="L1507" t="str">
        <f>T("3152433452")</f>
        <v>3152433452</v>
      </c>
    </row>
    <row r="1508" spans="1:12" x14ac:dyDescent="0.35">
      <c r="A1508" t="str">
        <f t="shared" si="592"/>
        <v>USNH YOKOSUKA JAPAN</v>
      </c>
      <c r="B1508" t="str">
        <f t="shared" si="599"/>
        <v>USNH YOKOSUKA ATTN LENNIE DAYE</v>
      </c>
      <c r="C1508" t="str">
        <f t="shared" si="593"/>
        <v>PSC 475 BOX 6</v>
      </c>
      <c r="D1508" t="str">
        <f t="shared" si="594"/>
        <v>FPO</v>
      </c>
      <c r="E1508" t="str">
        <f t="shared" si="595"/>
        <v>AP</v>
      </c>
      <c r="F1508" t="str">
        <f t="shared" si="596"/>
        <v>963501200</v>
      </c>
      <c r="G1508" t="str">
        <f>T("USNH YOKOSUKA ATTN LENNIE DAYE")</f>
        <v>USNH YOKOSUKA ATTN LENNIE DAYE</v>
      </c>
      <c r="H1508" t="str">
        <f>T("PSC 475 BOX 6")</f>
        <v>PSC 475 BOX 6</v>
      </c>
      <c r="I1508" t="str">
        <f t="shared" si="597"/>
        <v>FPO</v>
      </c>
      <c r="J1508" t="str">
        <f t="shared" si="598"/>
        <v>AP</v>
      </c>
      <c r="K1508" t="str">
        <f>T("3152433452")</f>
        <v>3152433452</v>
      </c>
      <c r="L1508" t="str">
        <f>T("3152439967")</f>
        <v>3152439967</v>
      </c>
    </row>
    <row r="1509" spans="1:12" x14ac:dyDescent="0.35">
      <c r="A1509" t="str">
        <f t="shared" si="592"/>
        <v>USNH YOKOSUKA JAPAN</v>
      </c>
      <c r="B1509" t="str">
        <f>T("USNH YOKOSUKA JAPAN")</f>
        <v>USNH YOKOSUKA JAPAN</v>
      </c>
      <c r="C1509" t="str">
        <f t="shared" si="593"/>
        <v>PSC 475 BOX 6</v>
      </c>
      <c r="D1509" t="str">
        <f t="shared" si="594"/>
        <v>FPO</v>
      </c>
      <c r="E1509" t="str">
        <f t="shared" si="595"/>
        <v>AP</v>
      </c>
      <c r="F1509" t="str">
        <f t="shared" si="596"/>
        <v>963501200</v>
      </c>
      <c r="G1509" t="str">
        <f>T("USNH YOKOSUKA JAPAN")</f>
        <v>USNH YOKOSUKA JAPAN</v>
      </c>
      <c r="H1509" t="str">
        <f>T("PSC 475 BOX 6")</f>
        <v>PSC 475 BOX 6</v>
      </c>
      <c r="I1509" t="str">
        <f t="shared" si="597"/>
        <v>FPO</v>
      </c>
      <c r="J1509" t="str">
        <f t="shared" si="598"/>
        <v>AP</v>
      </c>
      <c r="K1509" t="str">
        <f>T("3152433452")</f>
        <v>3152433452</v>
      </c>
      <c r="L1509" t="str">
        <f>T("3152439971")</f>
        <v>3152439971</v>
      </c>
    </row>
    <row r="1510" spans="1:12" x14ac:dyDescent="0.35">
      <c r="A1510" t="str">
        <f t="shared" ref="A1510:A1522" si="603">T("USNH OKINAWA")</f>
        <v>USNH OKINAWA</v>
      </c>
      <c r="B1510" t="str">
        <f>T("PSC 482 BOX 248")</f>
        <v>PSC 482 BOX 248</v>
      </c>
      <c r="C1510" t="str">
        <f>T("OKINAWA JP")</f>
        <v>OKINAWA JP</v>
      </c>
      <c r="D1510" t="str">
        <f t="shared" si="594"/>
        <v>FPO</v>
      </c>
      <c r="E1510" t="str">
        <f t="shared" si="595"/>
        <v>AP</v>
      </c>
      <c r="F1510" t="str">
        <f t="shared" ref="F1510:F1522" si="604">T("963621620")</f>
        <v>963621620</v>
      </c>
      <c r="G1510" t="str">
        <f>T("PSC 482 BOX 248")</f>
        <v>PSC 482 BOX 248</v>
      </c>
      <c r="H1510" t="str">
        <f>T("OKINAWA JP")</f>
        <v>OKINAWA JP</v>
      </c>
      <c r="I1510" t="str">
        <f t="shared" si="597"/>
        <v>FPO</v>
      </c>
      <c r="J1510" t="str">
        <f t="shared" si="598"/>
        <v>AP</v>
      </c>
      <c r="K1510" t="str">
        <f>T("01181988935754")</f>
        <v>01181988935754</v>
      </c>
      <c r="L1510" t="str">
        <f t="shared" ref="L1510:L1516" si="605">T("1111111111")</f>
        <v>1111111111</v>
      </c>
    </row>
    <row r="1511" spans="1:12" x14ac:dyDescent="0.35">
      <c r="A1511" t="str">
        <f t="shared" si="603"/>
        <v>USNH OKINAWA</v>
      </c>
      <c r="B1511" t="str">
        <f>T("PSC 482 BOX 248")</f>
        <v>PSC 482 BOX 248</v>
      </c>
      <c r="C1511" t="str">
        <f>T("OKINAWA JP")</f>
        <v>OKINAWA JP</v>
      </c>
      <c r="D1511" t="str">
        <f t="shared" si="594"/>
        <v>FPO</v>
      </c>
      <c r="E1511" t="str">
        <f t="shared" si="595"/>
        <v>AP</v>
      </c>
      <c r="F1511" t="str">
        <f t="shared" si="604"/>
        <v>963621620</v>
      </c>
      <c r="G1511" t="str">
        <f>T("SUPPLY OFFICER/APC")</f>
        <v>SUPPLY OFFICER/APC</v>
      </c>
      <c r="H1511" t="str">
        <f t="shared" ref="H1511:H1516" si="606">T("PSC 482 BOX 248")</f>
        <v>PSC 482 BOX 248</v>
      </c>
      <c r="I1511" t="str">
        <f t="shared" si="597"/>
        <v>FPO</v>
      </c>
      <c r="J1511" t="str">
        <f t="shared" si="598"/>
        <v>AP</v>
      </c>
      <c r="K1511" t="str">
        <f>T("01181989717369")</f>
        <v>01181989717369</v>
      </c>
      <c r="L1511" t="str">
        <f t="shared" si="605"/>
        <v>1111111111</v>
      </c>
    </row>
    <row r="1512" spans="1:12" x14ac:dyDescent="0.35">
      <c r="A1512" t="str">
        <f t="shared" si="603"/>
        <v>USNH OKINAWA</v>
      </c>
      <c r="B1512" t="str">
        <f t="shared" ref="B1512:B1517" si="607">T("SUPPLY OFFICER / APC")</f>
        <v>SUPPLY OFFICER / APC</v>
      </c>
      <c r="C1512" t="str">
        <f t="shared" ref="C1512:C1522" si="608">T("PSC 482 BOX 248")</f>
        <v>PSC 482 BOX 248</v>
      </c>
      <c r="D1512" t="str">
        <f t="shared" si="594"/>
        <v>FPO</v>
      </c>
      <c r="E1512" t="str">
        <f t="shared" si="595"/>
        <v>AP</v>
      </c>
      <c r="F1512" t="str">
        <f t="shared" si="604"/>
        <v>963621620</v>
      </c>
      <c r="G1512" t="str">
        <f>T("SUPPLY OFFICER / APC")</f>
        <v>SUPPLY OFFICER / APC</v>
      </c>
      <c r="H1512" t="str">
        <f t="shared" si="606"/>
        <v>PSC 482 BOX 248</v>
      </c>
      <c r="I1512" t="str">
        <f t="shared" si="597"/>
        <v>FPO</v>
      </c>
      <c r="J1512" t="str">
        <f t="shared" si="598"/>
        <v>AP</v>
      </c>
      <c r="K1512" t="str">
        <f>T("")</f>
        <v/>
      </c>
      <c r="L1512" t="str">
        <f t="shared" si="605"/>
        <v>1111111111</v>
      </c>
    </row>
    <row r="1513" spans="1:12" x14ac:dyDescent="0.35">
      <c r="A1513" t="str">
        <f t="shared" si="603"/>
        <v>USNH OKINAWA</v>
      </c>
      <c r="B1513" t="str">
        <f t="shared" si="607"/>
        <v>SUPPLY OFFICER / APC</v>
      </c>
      <c r="C1513" t="str">
        <f t="shared" si="608"/>
        <v>PSC 482 BOX 248</v>
      </c>
      <c r="D1513" t="str">
        <f t="shared" si="594"/>
        <v>FPO</v>
      </c>
      <c r="E1513" t="str">
        <f t="shared" si="595"/>
        <v>AP</v>
      </c>
      <c r="F1513" t="str">
        <f t="shared" si="604"/>
        <v>963621620</v>
      </c>
      <c r="G1513" t="str">
        <f>T("SUPPLY OFFICER / APC")</f>
        <v>SUPPLY OFFICER / APC</v>
      </c>
      <c r="H1513" t="str">
        <f t="shared" si="606"/>
        <v>PSC 482 BOX 248</v>
      </c>
      <c r="I1513" t="str">
        <f t="shared" si="597"/>
        <v>FPO</v>
      </c>
      <c r="J1513" t="str">
        <f t="shared" si="598"/>
        <v>AP</v>
      </c>
      <c r="K1513" t="str">
        <f>T("01181988928575")</f>
        <v>01181988928575</v>
      </c>
      <c r="L1513" t="str">
        <f t="shared" si="605"/>
        <v>1111111111</v>
      </c>
    </row>
    <row r="1514" spans="1:12" x14ac:dyDescent="0.35">
      <c r="A1514" t="str">
        <f t="shared" si="603"/>
        <v>USNH OKINAWA</v>
      </c>
      <c r="B1514" t="str">
        <f t="shared" si="607"/>
        <v>SUPPLY OFFICER / APC</v>
      </c>
      <c r="C1514" t="str">
        <f t="shared" si="608"/>
        <v>PSC 482 BOX 248</v>
      </c>
      <c r="D1514" t="str">
        <f t="shared" si="594"/>
        <v>FPO</v>
      </c>
      <c r="E1514" t="str">
        <f t="shared" si="595"/>
        <v>AP</v>
      </c>
      <c r="F1514" t="str">
        <f t="shared" si="604"/>
        <v>963621620</v>
      </c>
      <c r="G1514" t="str">
        <f>T("SUPPLY OFFICER / APC")</f>
        <v>SUPPLY OFFICER / APC</v>
      </c>
      <c r="H1514" t="str">
        <f t="shared" si="606"/>
        <v>PSC 482 BOX 248</v>
      </c>
      <c r="I1514" t="str">
        <f t="shared" si="597"/>
        <v>FPO</v>
      </c>
      <c r="J1514" t="str">
        <f t="shared" si="598"/>
        <v>AP</v>
      </c>
      <c r="K1514" t="str">
        <f>T("01181988935754")</f>
        <v>01181988935754</v>
      </c>
      <c r="L1514" t="str">
        <f t="shared" si="605"/>
        <v>1111111111</v>
      </c>
    </row>
    <row r="1515" spans="1:12" x14ac:dyDescent="0.35">
      <c r="A1515" t="str">
        <f t="shared" si="603"/>
        <v>USNH OKINAWA</v>
      </c>
      <c r="B1515" t="str">
        <f t="shared" si="607"/>
        <v>SUPPLY OFFICER / APC</v>
      </c>
      <c r="C1515" t="str">
        <f t="shared" si="608"/>
        <v>PSC 482 BOX 248</v>
      </c>
      <c r="D1515" t="str">
        <f t="shared" si="594"/>
        <v>FPO</v>
      </c>
      <c r="E1515" t="str">
        <f t="shared" si="595"/>
        <v>AP</v>
      </c>
      <c r="F1515" t="str">
        <f t="shared" si="604"/>
        <v>963621620</v>
      </c>
      <c r="G1515" t="str">
        <f>T("SUPPLY OFFICER / APC")</f>
        <v>SUPPLY OFFICER / APC</v>
      </c>
      <c r="H1515" t="str">
        <f t="shared" si="606"/>
        <v>PSC 482 BOX 248</v>
      </c>
      <c r="I1515" t="str">
        <f t="shared" si="597"/>
        <v>FPO</v>
      </c>
      <c r="J1515" t="str">
        <f t="shared" si="598"/>
        <v>AP</v>
      </c>
      <c r="K1515" t="str">
        <f>T("01181989717417")</f>
        <v>01181989717417</v>
      </c>
      <c r="L1515" t="str">
        <f t="shared" si="605"/>
        <v>1111111111</v>
      </c>
    </row>
    <row r="1516" spans="1:12" x14ac:dyDescent="0.35">
      <c r="A1516" t="str">
        <f t="shared" si="603"/>
        <v>USNH OKINAWA</v>
      </c>
      <c r="B1516" t="str">
        <f t="shared" si="607"/>
        <v>SUPPLY OFFICER / APC</v>
      </c>
      <c r="C1516" t="str">
        <f t="shared" si="608"/>
        <v>PSC 482 BOX 248</v>
      </c>
      <c r="D1516" t="str">
        <f t="shared" si="594"/>
        <v>FPO</v>
      </c>
      <c r="E1516" t="str">
        <f t="shared" si="595"/>
        <v>AP</v>
      </c>
      <c r="F1516" t="str">
        <f t="shared" si="604"/>
        <v>963621620</v>
      </c>
      <c r="G1516" t="str">
        <f>T("SUPPLY OFFICER APC")</f>
        <v>SUPPLY OFFICER APC</v>
      </c>
      <c r="H1516" t="str">
        <f t="shared" si="606"/>
        <v>PSC 482 BOX 248</v>
      </c>
      <c r="I1516" t="str">
        <f t="shared" si="597"/>
        <v>FPO</v>
      </c>
      <c r="J1516" t="str">
        <f t="shared" si="598"/>
        <v>AP</v>
      </c>
      <c r="K1516" t="str">
        <f>T("81989717374")</f>
        <v>81989717374</v>
      </c>
      <c r="L1516" t="str">
        <f t="shared" si="605"/>
        <v>1111111111</v>
      </c>
    </row>
    <row r="1517" spans="1:12" x14ac:dyDescent="0.35">
      <c r="A1517" t="str">
        <f t="shared" si="603"/>
        <v>USNH OKINAWA</v>
      </c>
      <c r="B1517" t="str">
        <f t="shared" si="607"/>
        <v>SUPPLY OFFICER / APC</v>
      </c>
      <c r="C1517" t="str">
        <f t="shared" si="608"/>
        <v>PSC 482 BOX 248</v>
      </c>
      <c r="D1517" t="str">
        <f t="shared" si="594"/>
        <v>FPO</v>
      </c>
      <c r="E1517" t="str">
        <f t="shared" si="595"/>
        <v>AP</v>
      </c>
      <c r="F1517" t="str">
        <f t="shared" si="604"/>
        <v>963621620</v>
      </c>
      <c r="G1517" t="str">
        <f>T("SUPPLY OFFICER/ APC")</f>
        <v>SUPPLY OFFICER/ APC</v>
      </c>
      <c r="H1517" t="str">
        <f>T("PSC 482 BOX 248 MMD")</f>
        <v>PSC 482 BOX 248 MMD</v>
      </c>
      <c r="I1517" t="str">
        <f t="shared" si="597"/>
        <v>FPO</v>
      </c>
      <c r="J1517" t="str">
        <f t="shared" si="598"/>
        <v>AP</v>
      </c>
      <c r="K1517" t="str">
        <f>T("000000000000000000")</f>
        <v>000000000000000000</v>
      </c>
      <c r="L1517" t="str">
        <f>T("3156467511")</f>
        <v>3156467511</v>
      </c>
    </row>
    <row r="1518" spans="1:12" x14ac:dyDescent="0.35">
      <c r="A1518" t="str">
        <f t="shared" si="603"/>
        <v>USNH OKINAWA</v>
      </c>
      <c r="B1518" t="str">
        <f>T("SUPPLY OFFICER/APC")</f>
        <v>SUPPLY OFFICER/APC</v>
      </c>
      <c r="C1518" t="str">
        <f t="shared" si="608"/>
        <v>PSC 482 BOX 248</v>
      </c>
      <c r="D1518" t="str">
        <f t="shared" si="594"/>
        <v>FPO</v>
      </c>
      <c r="E1518" t="str">
        <f t="shared" si="595"/>
        <v>AP</v>
      </c>
      <c r="F1518" t="str">
        <f t="shared" si="604"/>
        <v>963621620</v>
      </c>
      <c r="G1518" t="str">
        <f>T("SUPPLY OFFICER / APC")</f>
        <v>SUPPLY OFFICER / APC</v>
      </c>
      <c r="H1518" t="str">
        <f>T("PSC 482 BOX 248")</f>
        <v>PSC 482 BOX 248</v>
      </c>
      <c r="I1518" t="str">
        <f t="shared" si="597"/>
        <v>FPO</v>
      </c>
      <c r="J1518" t="str">
        <f t="shared" si="598"/>
        <v>AP</v>
      </c>
      <c r="K1518" t="str">
        <f>T("000000000000000000")</f>
        <v>000000000000000000</v>
      </c>
      <c r="L1518" t="str">
        <f>T("3156467364")</f>
        <v>3156467364</v>
      </c>
    </row>
    <row r="1519" spans="1:12" x14ac:dyDescent="0.35">
      <c r="A1519" t="str">
        <f t="shared" si="603"/>
        <v>USNH OKINAWA</v>
      </c>
      <c r="B1519" t="str">
        <f>T("SUPPLY OFFICER/APC")</f>
        <v>SUPPLY OFFICER/APC</v>
      </c>
      <c r="C1519" t="str">
        <f t="shared" si="608"/>
        <v>PSC 482 BOX 248</v>
      </c>
      <c r="D1519" t="str">
        <f t="shared" si="594"/>
        <v>FPO</v>
      </c>
      <c r="E1519" t="str">
        <f t="shared" si="595"/>
        <v>AP</v>
      </c>
      <c r="F1519" t="str">
        <f t="shared" si="604"/>
        <v>963621620</v>
      </c>
      <c r="G1519" t="str">
        <f>T("SUPPLY OFFICER / APC")</f>
        <v>SUPPLY OFFICER / APC</v>
      </c>
      <c r="H1519" t="str">
        <f>T("PSC 482 BOX 248")</f>
        <v>PSC 482 BOX 248</v>
      </c>
      <c r="I1519" t="str">
        <f t="shared" si="597"/>
        <v>FPO</v>
      </c>
      <c r="J1519" t="str">
        <f t="shared" si="598"/>
        <v>AP</v>
      </c>
      <c r="K1519" t="str">
        <f>T("000000000000000000")</f>
        <v>000000000000000000</v>
      </c>
      <c r="L1519" t="str">
        <f>T("3156467511")</f>
        <v>3156467511</v>
      </c>
    </row>
    <row r="1520" spans="1:12" x14ac:dyDescent="0.35">
      <c r="A1520" t="str">
        <f t="shared" si="603"/>
        <v>USNH OKINAWA</v>
      </c>
      <c r="B1520" t="str">
        <f>T("SUPPLY OFFICER/APC")</f>
        <v>SUPPLY OFFICER/APC</v>
      </c>
      <c r="C1520" t="str">
        <f t="shared" si="608"/>
        <v>PSC 482 BOX 248</v>
      </c>
      <c r="D1520" t="str">
        <f t="shared" si="594"/>
        <v>FPO</v>
      </c>
      <c r="E1520" t="str">
        <f t="shared" si="595"/>
        <v>AP</v>
      </c>
      <c r="F1520" t="str">
        <f t="shared" si="604"/>
        <v>963621620</v>
      </c>
      <c r="G1520" t="str">
        <f>T("SUPPLY OFFICER / APC")</f>
        <v>SUPPLY OFFICER / APC</v>
      </c>
      <c r="H1520" t="str">
        <f>T("PSC 482 BOX 248")</f>
        <v>PSC 482 BOX 248</v>
      </c>
      <c r="I1520" t="str">
        <f t="shared" si="597"/>
        <v>FPO</v>
      </c>
      <c r="J1520" t="str">
        <f t="shared" si="598"/>
        <v>AP</v>
      </c>
      <c r="K1520" t="str">
        <f>T("000000000000000000")</f>
        <v>000000000000000000</v>
      </c>
      <c r="L1520" t="str">
        <f>T("3156467989")</f>
        <v>3156467989</v>
      </c>
    </row>
    <row r="1521" spans="1:12" x14ac:dyDescent="0.35">
      <c r="A1521" t="str">
        <f t="shared" si="603"/>
        <v>USNH OKINAWA</v>
      </c>
      <c r="B1521" t="str">
        <f>T("SUPPLY OFFICER/APC")</f>
        <v>SUPPLY OFFICER/APC</v>
      </c>
      <c r="C1521" t="str">
        <f t="shared" si="608"/>
        <v>PSC 482 BOX 248</v>
      </c>
      <c r="D1521" t="str">
        <f t="shared" si="594"/>
        <v>FPO</v>
      </c>
      <c r="E1521" t="str">
        <f t="shared" si="595"/>
        <v>AP</v>
      </c>
      <c r="F1521" t="str">
        <f t="shared" si="604"/>
        <v>963621620</v>
      </c>
      <c r="G1521" t="str">
        <f>T("SUPPLY OFFICER/APC")</f>
        <v>SUPPLY OFFICER/APC</v>
      </c>
      <c r="H1521" t="str">
        <f>T("PSC 482 BOX 248")</f>
        <v>PSC 482 BOX 248</v>
      </c>
      <c r="I1521" t="str">
        <f t="shared" si="597"/>
        <v>FPO</v>
      </c>
      <c r="J1521" t="str">
        <f t="shared" si="598"/>
        <v>AP</v>
      </c>
      <c r="K1521" t="str">
        <f>T("01181989717369")</f>
        <v>01181989717369</v>
      </c>
      <c r="L1521" t="str">
        <f>T("1111111111")</f>
        <v>1111111111</v>
      </c>
    </row>
    <row r="1522" spans="1:12" x14ac:dyDescent="0.35">
      <c r="A1522" t="str">
        <f t="shared" si="603"/>
        <v>USNH OKINAWA</v>
      </c>
      <c r="B1522" t="str">
        <f>T("SUPPLY OFFICER/APC")</f>
        <v>SUPPLY OFFICER/APC</v>
      </c>
      <c r="C1522" t="str">
        <f t="shared" si="608"/>
        <v>PSC 482 BOX 248</v>
      </c>
      <c r="D1522" t="str">
        <f t="shared" si="594"/>
        <v>FPO</v>
      </c>
      <c r="E1522" t="str">
        <f t="shared" si="595"/>
        <v>AP</v>
      </c>
      <c r="F1522" t="str">
        <f t="shared" si="604"/>
        <v>963621620</v>
      </c>
      <c r="G1522" t="str">
        <f>T("SUPPLY OFFICER/APC")</f>
        <v>SUPPLY OFFICER/APC</v>
      </c>
      <c r="H1522" t="str">
        <f>T("PSC 482 BOX 248")</f>
        <v>PSC 482 BOX 248</v>
      </c>
      <c r="I1522" t="str">
        <f t="shared" si="597"/>
        <v>FPO</v>
      </c>
      <c r="J1522" t="str">
        <f t="shared" si="598"/>
        <v>AP</v>
      </c>
      <c r="K1522" t="str">
        <f>T("01181989718575")</f>
        <v>01181989718575</v>
      </c>
      <c r="L1522" t="str">
        <f>T("1111111111")</f>
        <v>1111111111</v>
      </c>
    </row>
    <row r="1523" spans="1:12" x14ac:dyDescent="0.35">
      <c r="A1523" t="str">
        <f>T("NAVY MEDICINE WEST")</f>
        <v>NAVY MEDICINE WEST</v>
      </c>
      <c r="B1523" t="str">
        <f>T("4170 NORMAN SCOTT RD")</f>
        <v>4170 NORMAN SCOTT RD</v>
      </c>
      <c r="C1523" t="str">
        <f>T("NMWEST")</f>
        <v>NMWEST</v>
      </c>
      <c r="D1523" t="str">
        <f>T("SAN DIEGO")</f>
        <v>SAN DIEGO</v>
      </c>
      <c r="E1523" t="str">
        <f>T("CA")</f>
        <v>CA</v>
      </c>
      <c r="F1523" t="str">
        <f>T("921365501")</f>
        <v>921365501</v>
      </c>
      <c r="G1523" t="str">
        <f>T("4170 NORMAN SCOTT RD")</f>
        <v>4170 NORMAN SCOTT RD</v>
      </c>
      <c r="H1523" t="str">
        <f>T("NMWEST")</f>
        <v>NMWEST</v>
      </c>
      <c r="I1523" t="str">
        <f>T("SAN DIEGO")</f>
        <v>SAN DIEGO</v>
      </c>
      <c r="J1523" t="str">
        <f>T("CA")</f>
        <v>CA</v>
      </c>
      <c r="K1523" t="str">
        <f>T("6197676606")</f>
        <v>6197676606</v>
      </c>
      <c r="L1523" t="str">
        <f>T("6197676603")</f>
        <v>6197676603</v>
      </c>
    </row>
    <row r="1524" spans="1:12" x14ac:dyDescent="0.35">
      <c r="A1524" t="str">
        <f>T("NAVY MEDICINE WEST")</f>
        <v>NAVY MEDICINE WEST</v>
      </c>
      <c r="B1524" t="str">
        <f>T("4170 NORMAN SCOTT RD")</f>
        <v>4170 NORMAN SCOTT RD</v>
      </c>
      <c r="C1524" t="str">
        <f>T("NMWEST")</f>
        <v>NMWEST</v>
      </c>
      <c r="D1524" t="str">
        <f>T("SAN DIEGO")</f>
        <v>SAN DIEGO</v>
      </c>
      <c r="E1524" t="str">
        <f>T("CA")</f>
        <v>CA</v>
      </c>
      <c r="F1524" t="str">
        <f>T("921365501")</f>
        <v>921365501</v>
      </c>
      <c r="G1524" t="str">
        <f>T("4170 NORMAN SCOTT ROAD")</f>
        <v>4170 NORMAN SCOTT ROAD</v>
      </c>
      <c r="H1524" t="str">
        <f>T("BLDG 3230 FLAG SUITE")</f>
        <v>BLDG 3230 FLAG SUITE</v>
      </c>
      <c r="I1524" t="str">
        <f>T("SAN DIEGO")</f>
        <v>SAN DIEGO</v>
      </c>
      <c r="J1524" t="str">
        <f>T("CA")</f>
        <v>CA</v>
      </c>
      <c r="K1524" t="str">
        <f>T("000000000000000000")</f>
        <v>000000000000000000</v>
      </c>
      <c r="L1524" t="str">
        <f>T("6197676053")</f>
        <v>6197676053</v>
      </c>
    </row>
    <row r="1525" spans="1:12" x14ac:dyDescent="0.35">
      <c r="A1525" t="str">
        <f>T("NAVY MEDICINE WEST")</f>
        <v>NAVY MEDICINE WEST</v>
      </c>
      <c r="B1525" t="str">
        <f>T("4170 NORMAN SCOTT RD")</f>
        <v>4170 NORMAN SCOTT RD</v>
      </c>
      <c r="C1525" t="str">
        <f>T("NMWEST")</f>
        <v>NMWEST</v>
      </c>
      <c r="D1525" t="str">
        <f>T("SAN DIEGO")</f>
        <v>SAN DIEGO</v>
      </c>
      <c r="E1525" t="str">
        <f>T("CA")</f>
        <v>CA</v>
      </c>
      <c r="F1525" t="str">
        <f>T("921365501")</f>
        <v>921365501</v>
      </c>
      <c r="G1525" t="str">
        <f>T("4170 NORMAN SCOTT ROAD")</f>
        <v>4170 NORMAN SCOTT ROAD</v>
      </c>
      <c r="H1525" t="str">
        <f>T("BUILDING 3595 SUITE 5")</f>
        <v>BUILDING 3595 SUITE 5</v>
      </c>
      <c r="I1525" t="str">
        <f>T("SAN DIEGO")</f>
        <v>SAN DIEGO</v>
      </c>
      <c r="J1525" t="str">
        <f>T("CA")</f>
        <v>CA</v>
      </c>
      <c r="K1525" t="str">
        <f>T("000000000000000000")</f>
        <v>000000000000000000</v>
      </c>
      <c r="L1525" t="str">
        <f>T("6195562862")</f>
        <v>6195562862</v>
      </c>
    </row>
    <row r="1526" spans="1:12" x14ac:dyDescent="0.35">
      <c r="A1526" t="str">
        <f>T("NAVY MEDICINE WEST")</f>
        <v>NAVY MEDICINE WEST</v>
      </c>
      <c r="B1526" t="str">
        <f>T("4170 NORMAN SCOTT RD")</f>
        <v>4170 NORMAN SCOTT RD</v>
      </c>
      <c r="C1526" t="str">
        <f>T("NMWEST")</f>
        <v>NMWEST</v>
      </c>
      <c r="D1526" t="str">
        <f>T("SAN DIEGO")</f>
        <v>SAN DIEGO</v>
      </c>
      <c r="E1526" t="str">
        <f>T("CA")</f>
        <v>CA</v>
      </c>
      <c r="F1526" t="str">
        <f>T("921365501")</f>
        <v>921365501</v>
      </c>
      <c r="G1526" t="str">
        <f>T("4170 NORMAN SCOTT ROAD")</f>
        <v>4170 NORMAN SCOTT ROAD</v>
      </c>
      <c r="H1526" t="str">
        <f>T("BUILDING 3595 SUITE 5")</f>
        <v>BUILDING 3595 SUITE 5</v>
      </c>
      <c r="I1526" t="str">
        <f>T("SAN DIEGO")</f>
        <v>SAN DIEGO</v>
      </c>
      <c r="J1526" t="str">
        <f>T("CA")</f>
        <v>CA</v>
      </c>
      <c r="K1526" t="str">
        <f>T("000000000000000000")</f>
        <v>000000000000000000</v>
      </c>
      <c r="L1526" t="str">
        <f>T("6197676614")</f>
        <v>6197676614</v>
      </c>
    </row>
    <row r="1527" spans="1:12" x14ac:dyDescent="0.35">
      <c r="A1527" t="str">
        <f>T("NAV MED LOGISTICS COMM")</f>
        <v>NAV MED LOGISTICS COMM</v>
      </c>
      <c r="B1527" t="str">
        <f>T("693 NEIMAN ST")</f>
        <v>693 NEIMAN ST</v>
      </c>
      <c r="C1527" t="str">
        <f>T("CODE 03")</f>
        <v>CODE 03</v>
      </c>
      <c r="D1527" t="str">
        <f>T("FORT DETRICK")</f>
        <v>FORT DETRICK</v>
      </c>
      <c r="E1527" t="str">
        <f>T("MD")</f>
        <v>MD</v>
      </c>
      <c r="F1527" t="str">
        <f>T("217029239")</f>
        <v>217029239</v>
      </c>
      <c r="G1527" t="str">
        <f>T("693 NEIMAN ST")</f>
        <v>693 NEIMAN ST</v>
      </c>
      <c r="H1527" t="str">
        <f>T("CODE 03")</f>
        <v>CODE 03</v>
      </c>
      <c r="I1527" t="str">
        <f>T("FORT DETRICK")</f>
        <v>FORT DETRICK</v>
      </c>
      <c r="J1527" t="str">
        <f>T("MD")</f>
        <v>MD</v>
      </c>
      <c r="K1527" t="str">
        <f>T("")</f>
        <v/>
      </c>
      <c r="L1527" t="str">
        <f>T("3016198259")</f>
        <v>3016198259</v>
      </c>
    </row>
    <row r="1528" spans="1:12" x14ac:dyDescent="0.35">
      <c r="A1528" t="str">
        <f>T("NAVY MEDICINE TRAINING CTR")</f>
        <v>NAVY MEDICINE TRAINING CTR</v>
      </c>
      <c r="B1528" t="str">
        <f>T("2931 HARNEY PATH RD")</f>
        <v>2931 HARNEY PATH RD</v>
      </c>
      <c r="C1528" t="str">
        <f>T("BLDG 903")</f>
        <v>BLDG 903</v>
      </c>
      <c r="D1528" t="str">
        <f>T("FORT SAM HOUSTON")</f>
        <v>FORT SAM HOUSTON</v>
      </c>
      <c r="E1528" t="str">
        <f>T("TX")</f>
        <v>TX</v>
      </c>
      <c r="F1528" t="str">
        <f>T("782347674")</f>
        <v>782347674</v>
      </c>
      <c r="G1528" t="str">
        <f>T("2931 HARNEY PATH RD")</f>
        <v>2931 HARNEY PATH RD</v>
      </c>
      <c r="H1528" t="str">
        <f>T("BLDG 903")</f>
        <v>BLDG 903</v>
      </c>
      <c r="I1528" t="str">
        <f>T("FORT SAM HOUSTON")</f>
        <v>FORT SAM HOUSTON</v>
      </c>
      <c r="J1528" t="str">
        <f>T("TX")</f>
        <v>TX</v>
      </c>
      <c r="K1528" t="str">
        <f>T("")</f>
        <v/>
      </c>
      <c r="L1528" t="str">
        <f>T("2108081025")</f>
        <v>2108081025</v>
      </c>
    </row>
    <row r="1529" spans="1:12" x14ac:dyDescent="0.35">
      <c r="A1529" t="str">
        <f>T("NAVAL HLTH CLNC NEW ENGLND")</f>
        <v>NAVAL HLTH CLNC NEW ENGLND</v>
      </c>
      <c r="B1529" t="str">
        <f>T("1 AYRES CIRCLE BLDG")</f>
        <v>1 AYRES CIRCLE BLDG</v>
      </c>
      <c r="C1529" t="str">
        <f t="shared" ref="C1529:C1538" si="609">T("")</f>
        <v/>
      </c>
      <c r="D1529" t="str">
        <f>T("KITTERY")</f>
        <v>KITTERY</v>
      </c>
      <c r="E1529" t="str">
        <f>T("ME")</f>
        <v>ME</v>
      </c>
      <c r="F1529" t="str">
        <f>T("039040000")</f>
        <v>039040000</v>
      </c>
      <c r="G1529" t="str">
        <f>T("1 AYRES CIRCLE BLDG")</f>
        <v>1 AYRES CIRCLE BLDG</v>
      </c>
      <c r="H1529" t="str">
        <f t="shared" ref="H1529:H1538" si="610">T("")</f>
        <v/>
      </c>
      <c r="I1529" t="str">
        <f>T("KITTERY")</f>
        <v>KITTERY</v>
      </c>
      <c r="J1529" t="str">
        <f>T("ME")</f>
        <v>ME</v>
      </c>
      <c r="K1529" t="str">
        <f>T("")</f>
        <v/>
      </c>
      <c r="L1529" t="str">
        <f>T("2074381746")</f>
        <v>2074381746</v>
      </c>
    </row>
    <row r="1530" spans="1:12" x14ac:dyDescent="0.35">
      <c r="A1530" t="str">
        <f>T("NAVAL HLTH CLNC NEW ENGLND")</f>
        <v>NAVAL HLTH CLNC NEW ENGLND</v>
      </c>
      <c r="B1530" t="str">
        <f>T("1 AYRES CIRCLE BLDG")</f>
        <v>1 AYRES CIRCLE BLDG</v>
      </c>
      <c r="C1530" t="str">
        <f t="shared" si="609"/>
        <v/>
      </c>
      <c r="D1530" t="str">
        <f>T("KITTERY")</f>
        <v>KITTERY</v>
      </c>
      <c r="E1530" t="str">
        <f>T("ME")</f>
        <v>ME</v>
      </c>
      <c r="F1530" t="str">
        <f>T("039040000")</f>
        <v>039040000</v>
      </c>
      <c r="G1530" t="str">
        <f>T("ONE AYRES CIRCLE BLDG H 1")</f>
        <v>ONE AYRES CIRCLE BLDG H 1</v>
      </c>
      <c r="H1530" t="str">
        <f t="shared" si="610"/>
        <v/>
      </c>
      <c r="I1530" t="str">
        <f>T("KITTERY")</f>
        <v>KITTERY</v>
      </c>
      <c r="J1530" t="str">
        <f>T("ME")</f>
        <v>ME</v>
      </c>
      <c r="K1530" t="str">
        <f>T("000000000000000000")</f>
        <v>000000000000000000</v>
      </c>
      <c r="L1530" t="str">
        <f>T("2074382854")</f>
        <v>2074382854</v>
      </c>
    </row>
    <row r="1531" spans="1:12" x14ac:dyDescent="0.35">
      <c r="A1531" t="str">
        <f t="shared" ref="A1531:A1538" si="611">T("NAVAL HEALTH CLINIC")</f>
        <v>NAVAL HEALTH CLINIC</v>
      </c>
      <c r="B1531" t="str">
        <f t="shared" ref="B1531:B1538" si="612">T("250 WOOD RD")</f>
        <v>250 WOOD RD</v>
      </c>
      <c r="C1531" t="str">
        <f t="shared" si="609"/>
        <v/>
      </c>
      <c r="D1531" t="str">
        <f t="shared" ref="D1531:D1538" si="613">T("ANNAPOLIS")</f>
        <v>ANNAPOLIS</v>
      </c>
      <c r="E1531" t="str">
        <f t="shared" ref="E1531:E1538" si="614">T("MD")</f>
        <v>MD</v>
      </c>
      <c r="F1531" t="str">
        <f t="shared" ref="F1531:F1538" si="615">T("214021257")</f>
        <v>214021257</v>
      </c>
      <c r="G1531" t="str">
        <f t="shared" ref="G1531:G1537" si="616">T("250 WOOD RD")</f>
        <v>250 WOOD RD</v>
      </c>
      <c r="H1531" t="str">
        <f t="shared" si="610"/>
        <v/>
      </c>
      <c r="I1531" t="str">
        <f t="shared" ref="I1531:I1537" si="617">T("ANNAPOLIS")</f>
        <v>ANNAPOLIS</v>
      </c>
      <c r="J1531" t="str">
        <f t="shared" ref="J1531:J1537" si="618">T("MD")</f>
        <v>MD</v>
      </c>
      <c r="K1531" t="str">
        <f>T("2158976384")</f>
        <v>2158976384</v>
      </c>
      <c r="L1531" t="str">
        <f>T("2158978293")</f>
        <v>2158978293</v>
      </c>
    </row>
    <row r="1532" spans="1:12" x14ac:dyDescent="0.35">
      <c r="A1532" t="str">
        <f t="shared" si="611"/>
        <v>NAVAL HEALTH CLINIC</v>
      </c>
      <c r="B1532" t="str">
        <f t="shared" si="612"/>
        <v>250 WOOD RD</v>
      </c>
      <c r="C1532" t="str">
        <f t="shared" si="609"/>
        <v/>
      </c>
      <c r="D1532" t="str">
        <f t="shared" si="613"/>
        <v>ANNAPOLIS</v>
      </c>
      <c r="E1532" t="str">
        <f t="shared" si="614"/>
        <v>MD</v>
      </c>
      <c r="F1532" t="str">
        <f t="shared" si="615"/>
        <v>214021257</v>
      </c>
      <c r="G1532" t="str">
        <f t="shared" si="616"/>
        <v>250 WOOD RD</v>
      </c>
      <c r="H1532" t="str">
        <f t="shared" si="610"/>
        <v/>
      </c>
      <c r="I1532" t="str">
        <f t="shared" si="617"/>
        <v>ANNAPOLIS</v>
      </c>
      <c r="J1532" t="str">
        <f t="shared" si="618"/>
        <v>MD</v>
      </c>
      <c r="K1532" t="str">
        <f>T("4102935315")</f>
        <v>4102935315</v>
      </c>
      <c r="L1532" t="str">
        <f>T("4102931073")</f>
        <v>4102931073</v>
      </c>
    </row>
    <row r="1533" spans="1:12" x14ac:dyDescent="0.35">
      <c r="A1533" t="str">
        <f t="shared" si="611"/>
        <v>NAVAL HEALTH CLINIC</v>
      </c>
      <c r="B1533" t="str">
        <f t="shared" si="612"/>
        <v>250 WOOD RD</v>
      </c>
      <c r="C1533" t="str">
        <f t="shared" si="609"/>
        <v/>
      </c>
      <c r="D1533" t="str">
        <f t="shared" si="613"/>
        <v>ANNAPOLIS</v>
      </c>
      <c r="E1533" t="str">
        <f t="shared" si="614"/>
        <v>MD</v>
      </c>
      <c r="F1533" t="str">
        <f t="shared" si="615"/>
        <v>214021257</v>
      </c>
      <c r="G1533" t="str">
        <f t="shared" si="616"/>
        <v>250 WOOD RD</v>
      </c>
      <c r="H1533" t="str">
        <f t="shared" si="610"/>
        <v/>
      </c>
      <c r="I1533" t="str">
        <f t="shared" si="617"/>
        <v>ANNAPOLIS</v>
      </c>
      <c r="J1533" t="str">
        <f t="shared" si="618"/>
        <v>MD</v>
      </c>
      <c r="K1533" t="str">
        <f>T("4102935315")</f>
        <v>4102935315</v>
      </c>
      <c r="L1533" t="str">
        <f>T("4102931168")</f>
        <v>4102931168</v>
      </c>
    </row>
    <row r="1534" spans="1:12" x14ac:dyDescent="0.35">
      <c r="A1534" t="str">
        <f t="shared" si="611"/>
        <v>NAVAL HEALTH CLINIC</v>
      </c>
      <c r="B1534" t="str">
        <f t="shared" si="612"/>
        <v>250 WOOD RD</v>
      </c>
      <c r="C1534" t="str">
        <f t="shared" si="609"/>
        <v/>
      </c>
      <c r="D1534" t="str">
        <f t="shared" si="613"/>
        <v>ANNAPOLIS</v>
      </c>
      <c r="E1534" t="str">
        <f t="shared" si="614"/>
        <v>MD</v>
      </c>
      <c r="F1534" t="str">
        <f t="shared" si="615"/>
        <v>214021257</v>
      </c>
      <c r="G1534" t="str">
        <f t="shared" si="616"/>
        <v>250 WOOD RD</v>
      </c>
      <c r="H1534" t="str">
        <f t="shared" si="610"/>
        <v/>
      </c>
      <c r="I1534" t="str">
        <f t="shared" si="617"/>
        <v>ANNAPOLIS</v>
      </c>
      <c r="J1534" t="str">
        <f t="shared" si="618"/>
        <v>MD</v>
      </c>
      <c r="K1534" t="str">
        <f>T("4102935315")</f>
        <v>4102935315</v>
      </c>
      <c r="L1534" t="str">
        <f>T("4102931173")</f>
        <v>4102931173</v>
      </c>
    </row>
    <row r="1535" spans="1:12" x14ac:dyDescent="0.35">
      <c r="A1535" t="str">
        <f t="shared" si="611"/>
        <v>NAVAL HEALTH CLINIC</v>
      </c>
      <c r="B1535" t="str">
        <f t="shared" si="612"/>
        <v>250 WOOD RD</v>
      </c>
      <c r="C1535" t="str">
        <f t="shared" si="609"/>
        <v/>
      </c>
      <c r="D1535" t="str">
        <f t="shared" si="613"/>
        <v>ANNAPOLIS</v>
      </c>
      <c r="E1535" t="str">
        <f t="shared" si="614"/>
        <v>MD</v>
      </c>
      <c r="F1535" t="str">
        <f t="shared" si="615"/>
        <v>214021257</v>
      </c>
      <c r="G1535" t="str">
        <f t="shared" si="616"/>
        <v>250 WOOD RD</v>
      </c>
      <c r="H1535" t="str">
        <f t="shared" si="610"/>
        <v/>
      </c>
      <c r="I1535" t="str">
        <f t="shared" si="617"/>
        <v>ANNAPOLIS</v>
      </c>
      <c r="J1535" t="str">
        <f t="shared" si="618"/>
        <v>MD</v>
      </c>
      <c r="K1535" t="str">
        <f>T("7176054074")</f>
        <v>7176054074</v>
      </c>
      <c r="L1535" t="str">
        <f>T("7176054820")</f>
        <v>7176054820</v>
      </c>
    </row>
    <row r="1536" spans="1:12" x14ac:dyDescent="0.35">
      <c r="A1536" t="str">
        <f t="shared" si="611"/>
        <v>NAVAL HEALTH CLINIC</v>
      </c>
      <c r="B1536" t="str">
        <f t="shared" si="612"/>
        <v>250 WOOD RD</v>
      </c>
      <c r="C1536" t="str">
        <f t="shared" si="609"/>
        <v/>
      </c>
      <c r="D1536" t="str">
        <f t="shared" si="613"/>
        <v>ANNAPOLIS</v>
      </c>
      <c r="E1536" t="str">
        <f t="shared" si="614"/>
        <v>MD</v>
      </c>
      <c r="F1536" t="str">
        <f t="shared" si="615"/>
        <v>214021257</v>
      </c>
      <c r="G1536" t="str">
        <f t="shared" si="616"/>
        <v>250 WOOD RD</v>
      </c>
      <c r="H1536" t="str">
        <f t="shared" si="610"/>
        <v/>
      </c>
      <c r="I1536" t="str">
        <f t="shared" si="617"/>
        <v>ANNAPOLIS</v>
      </c>
      <c r="J1536" t="str">
        <f t="shared" si="618"/>
        <v>MD</v>
      </c>
      <c r="K1536" t="str">
        <f>T("7323232247")</f>
        <v>7323232247</v>
      </c>
      <c r="L1536" t="str">
        <f>T("7323235335")</f>
        <v>7323235335</v>
      </c>
    </row>
    <row r="1537" spans="1:12" x14ac:dyDescent="0.35">
      <c r="A1537" t="str">
        <f t="shared" si="611"/>
        <v>NAVAL HEALTH CLINIC</v>
      </c>
      <c r="B1537" t="str">
        <f t="shared" si="612"/>
        <v>250 WOOD RD</v>
      </c>
      <c r="C1537" t="str">
        <f t="shared" si="609"/>
        <v/>
      </c>
      <c r="D1537" t="str">
        <f t="shared" si="613"/>
        <v>ANNAPOLIS</v>
      </c>
      <c r="E1537" t="str">
        <f t="shared" si="614"/>
        <v>MD</v>
      </c>
      <c r="F1537" t="str">
        <f t="shared" si="615"/>
        <v>214021257</v>
      </c>
      <c r="G1537" t="str">
        <f t="shared" si="616"/>
        <v>250 WOOD RD</v>
      </c>
      <c r="H1537" t="str">
        <f t="shared" si="610"/>
        <v/>
      </c>
      <c r="I1537" t="str">
        <f t="shared" si="617"/>
        <v>ANNAPOLIS</v>
      </c>
      <c r="J1537" t="str">
        <f t="shared" si="618"/>
        <v>MD</v>
      </c>
      <c r="K1537" t="str">
        <f>T("7328661255")</f>
        <v>7328661255</v>
      </c>
      <c r="L1537" t="str">
        <f>T("7328662307")</f>
        <v>7328662307</v>
      </c>
    </row>
    <row r="1538" spans="1:12" x14ac:dyDescent="0.35">
      <c r="A1538" t="str">
        <f t="shared" si="611"/>
        <v>NAVAL HEALTH CLINIC</v>
      </c>
      <c r="B1538" t="str">
        <f t="shared" si="612"/>
        <v>250 WOOD RD</v>
      </c>
      <c r="C1538" t="str">
        <f t="shared" si="609"/>
        <v/>
      </c>
      <c r="D1538" t="str">
        <f t="shared" si="613"/>
        <v>ANNAPOLIS</v>
      </c>
      <c r="E1538" t="str">
        <f t="shared" si="614"/>
        <v>MD</v>
      </c>
      <c r="F1538" t="str">
        <f t="shared" si="615"/>
        <v>214021257</v>
      </c>
      <c r="G1538" t="str">
        <f>T("4898 SOUTH BOARD ST BLDG 615")</f>
        <v>4898 SOUTH BOARD ST BLDG 615</v>
      </c>
      <c r="H1538" t="str">
        <f t="shared" si="610"/>
        <v/>
      </c>
      <c r="I1538" t="str">
        <f>T("PHILADELPHIA")</f>
        <v>PHILADELPHIA</v>
      </c>
      <c r="J1538" t="str">
        <f>T("PA")</f>
        <v>PA</v>
      </c>
      <c r="K1538" t="str">
        <f>T("000000000000000000")</f>
        <v>000000000000000000</v>
      </c>
      <c r="L1538" t="str">
        <f>T("2158976843")</f>
        <v>2158976843</v>
      </c>
    </row>
    <row r="1539" spans="1:12" x14ac:dyDescent="0.35">
      <c r="A1539" t="str">
        <f t="shared" ref="A1539:A1570" si="619">T("NMC PORTSMOUTH")</f>
        <v>NMC PORTSMOUTH</v>
      </c>
      <c r="B1539" t="str">
        <f>T("54  LEWIS MINOR ST")</f>
        <v>54  LEWIS MINOR ST</v>
      </c>
      <c r="C1539" t="str">
        <f t="shared" ref="C1539:C1550" si="620">T("BLDG 250 09MCX M MORELAND")</f>
        <v>BLDG 250 09MCX M MORELAND</v>
      </c>
      <c r="D1539" t="str">
        <f t="shared" ref="D1539:D1570" si="621">T("PORTSMOUTH")</f>
        <v>PORTSMOUTH</v>
      </c>
      <c r="E1539" t="str">
        <f t="shared" ref="E1539:E1570" si="622">T("VA")</f>
        <v>VA</v>
      </c>
      <c r="F1539" t="str">
        <f t="shared" ref="F1539:F1570" si="623">T("237082207")</f>
        <v>237082207</v>
      </c>
      <c r="G1539" t="str">
        <f>T("54  LEWIS MINOR ST")</f>
        <v>54  LEWIS MINOR ST</v>
      </c>
      <c r="H1539" t="str">
        <f>T("BLDG 250 09MCX M MORELAND")</f>
        <v>BLDG 250 09MCX M MORELAND</v>
      </c>
      <c r="I1539" t="str">
        <f t="shared" ref="I1539:I1570" si="624">T("PORTSMOUTH")</f>
        <v>PORTSMOUTH</v>
      </c>
      <c r="J1539" t="str">
        <f t="shared" ref="J1539:J1570" si="625">T("VA")</f>
        <v>VA</v>
      </c>
      <c r="K1539" t="str">
        <f>T("000000000000000000")</f>
        <v>000000000000000000</v>
      </c>
      <c r="L1539" t="str">
        <f>T("7579533580")</f>
        <v>7579533580</v>
      </c>
    </row>
    <row r="1540" spans="1:12" x14ac:dyDescent="0.35">
      <c r="A1540" t="str">
        <f t="shared" si="619"/>
        <v>NMC PORTSMOUTH</v>
      </c>
      <c r="B1540" t="str">
        <f>T("54  LEWIS MINOR ST")</f>
        <v>54  LEWIS MINOR ST</v>
      </c>
      <c r="C1540" t="str">
        <f t="shared" si="620"/>
        <v>BLDG 250 09MCX M MORELAND</v>
      </c>
      <c r="D1540" t="str">
        <f t="shared" si="621"/>
        <v>PORTSMOUTH</v>
      </c>
      <c r="E1540" t="str">
        <f t="shared" si="622"/>
        <v>VA</v>
      </c>
      <c r="F1540" t="str">
        <f t="shared" si="623"/>
        <v>237082207</v>
      </c>
      <c r="G1540" t="str">
        <f t="shared" ref="G1540:G1549" si="626">T("54 LEWIS MINOR ST")</f>
        <v>54 LEWIS MINOR ST</v>
      </c>
      <c r="H1540" t="str">
        <f>T("BLDG 250 09MMCX M MORELAND")</f>
        <v>BLDG 250 09MMCX M MORELAND</v>
      </c>
      <c r="I1540" t="str">
        <f t="shared" si="624"/>
        <v>PORTSMOUTH</v>
      </c>
      <c r="J1540" t="str">
        <f t="shared" si="625"/>
        <v>VA</v>
      </c>
      <c r="K1540" t="str">
        <f>T("000000000000000000")</f>
        <v>000000000000000000</v>
      </c>
      <c r="L1540" t="str">
        <f>T("7579532775")</f>
        <v>7579532775</v>
      </c>
    </row>
    <row r="1541" spans="1:12" x14ac:dyDescent="0.35">
      <c r="A1541" t="str">
        <f t="shared" si="619"/>
        <v>NMC PORTSMOUTH</v>
      </c>
      <c r="B1541" t="str">
        <f>T("54  LEWIS MINOR ST")</f>
        <v>54  LEWIS MINOR ST</v>
      </c>
      <c r="C1541" t="str">
        <f t="shared" si="620"/>
        <v>BLDG 250 09MCX M MORELAND</v>
      </c>
      <c r="D1541" t="str">
        <f t="shared" si="621"/>
        <v>PORTSMOUTH</v>
      </c>
      <c r="E1541" t="str">
        <f t="shared" si="622"/>
        <v>VA</v>
      </c>
      <c r="F1541" t="str">
        <f t="shared" si="623"/>
        <v>237082207</v>
      </c>
      <c r="G1541" t="str">
        <f t="shared" si="626"/>
        <v>54 LEWIS MINOR ST</v>
      </c>
      <c r="H1541" t="str">
        <f>T("BLDG 250 09MMCX M MORELAND")</f>
        <v>BLDG 250 09MMCX M MORELAND</v>
      </c>
      <c r="I1541" t="str">
        <f t="shared" si="624"/>
        <v>PORTSMOUTH</v>
      </c>
      <c r="J1541" t="str">
        <f t="shared" si="625"/>
        <v>VA</v>
      </c>
      <c r="K1541" t="str">
        <f>T("7579535035")</f>
        <v>7579535035</v>
      </c>
      <c r="L1541" t="str">
        <f>T("7579532775")</f>
        <v>7579532775</v>
      </c>
    </row>
    <row r="1542" spans="1:12" x14ac:dyDescent="0.35">
      <c r="A1542" t="str">
        <f t="shared" si="619"/>
        <v>NMC PORTSMOUTH</v>
      </c>
      <c r="B1542" t="str">
        <f>T("54  LEWIS MINOR ST")</f>
        <v>54  LEWIS MINOR ST</v>
      </c>
      <c r="C1542" t="str">
        <f t="shared" si="620"/>
        <v>BLDG 250 09MCX M MORELAND</v>
      </c>
      <c r="D1542" t="str">
        <f t="shared" si="621"/>
        <v>PORTSMOUTH</v>
      </c>
      <c r="E1542" t="str">
        <f t="shared" si="622"/>
        <v>VA</v>
      </c>
      <c r="F1542" t="str">
        <f t="shared" si="623"/>
        <v>237082207</v>
      </c>
      <c r="G1542" t="str">
        <f t="shared" si="626"/>
        <v>54 LEWIS MINOR ST</v>
      </c>
      <c r="H1542" t="str">
        <f>T("BLDG 250 09MMCX M. MORELAND")</f>
        <v>BLDG 250 09MMCX M. MORELAND</v>
      </c>
      <c r="I1542" t="str">
        <f t="shared" si="624"/>
        <v>PORTSMOUTH</v>
      </c>
      <c r="J1542" t="str">
        <f t="shared" si="625"/>
        <v>VA</v>
      </c>
      <c r="K1542" t="str">
        <f>T("000000000000000000")</f>
        <v>000000000000000000</v>
      </c>
      <c r="L1542" t="str">
        <f>T("7579532775")</f>
        <v>7579532775</v>
      </c>
    </row>
    <row r="1543" spans="1:12" x14ac:dyDescent="0.35">
      <c r="A1543" t="str">
        <f t="shared" si="619"/>
        <v>NMC PORTSMOUTH</v>
      </c>
      <c r="B1543" t="str">
        <f t="shared" ref="B1543:B1574" si="627">T("54 LEWIS MINOR ST")</f>
        <v>54 LEWIS MINOR ST</v>
      </c>
      <c r="C1543" t="str">
        <f t="shared" si="620"/>
        <v>BLDG 250 09MCX M MORELAND</v>
      </c>
      <c r="D1543" t="str">
        <f t="shared" si="621"/>
        <v>PORTSMOUTH</v>
      </c>
      <c r="E1543" t="str">
        <f t="shared" si="622"/>
        <v>VA</v>
      </c>
      <c r="F1543" t="str">
        <f t="shared" si="623"/>
        <v>237082207</v>
      </c>
      <c r="G1543" t="str">
        <f t="shared" si="626"/>
        <v>54 LEWIS MINOR ST</v>
      </c>
      <c r="H1543" t="str">
        <f>T("BLDG 09MMCX M MORELAND")</f>
        <v>BLDG 09MMCX M MORELAND</v>
      </c>
      <c r="I1543" t="str">
        <f t="shared" si="624"/>
        <v>PORTSMOUTH</v>
      </c>
      <c r="J1543" t="str">
        <f t="shared" si="625"/>
        <v>VA</v>
      </c>
      <c r="K1543" t="str">
        <f>T("000000000000000000")</f>
        <v>000000000000000000</v>
      </c>
      <c r="L1543" t="str">
        <f>T("7579537503")</f>
        <v>7579537503</v>
      </c>
    </row>
    <row r="1544" spans="1:12" x14ac:dyDescent="0.35">
      <c r="A1544" t="str">
        <f t="shared" si="619"/>
        <v>NMC PORTSMOUTH</v>
      </c>
      <c r="B1544" t="str">
        <f t="shared" si="627"/>
        <v>54 LEWIS MINOR ST</v>
      </c>
      <c r="C1544" t="str">
        <f t="shared" si="620"/>
        <v>BLDG 250 09MCX M MORELAND</v>
      </c>
      <c r="D1544" t="str">
        <f t="shared" si="621"/>
        <v>PORTSMOUTH</v>
      </c>
      <c r="E1544" t="str">
        <f t="shared" si="622"/>
        <v>VA</v>
      </c>
      <c r="F1544" t="str">
        <f t="shared" si="623"/>
        <v>237082207</v>
      </c>
      <c r="G1544" t="str">
        <f t="shared" si="626"/>
        <v>54 LEWIS MINOR ST</v>
      </c>
      <c r="H1544" t="str">
        <f>T("BLDG 250 09MCX M MORELAND")</f>
        <v>BLDG 250 09MCX M MORELAND</v>
      </c>
      <c r="I1544" t="str">
        <f t="shared" si="624"/>
        <v>PORTSMOUTH</v>
      </c>
      <c r="J1544" t="str">
        <f t="shared" si="625"/>
        <v>VA</v>
      </c>
      <c r="K1544" t="str">
        <f t="shared" ref="K1544:K1550" si="628">T("7579535035")</f>
        <v>7579535035</v>
      </c>
      <c r="L1544" t="str">
        <f>T("7579537731")</f>
        <v>7579537731</v>
      </c>
    </row>
    <row r="1545" spans="1:12" x14ac:dyDescent="0.35">
      <c r="A1545" t="str">
        <f t="shared" si="619"/>
        <v>NMC PORTSMOUTH</v>
      </c>
      <c r="B1545" t="str">
        <f t="shared" si="627"/>
        <v>54 LEWIS MINOR ST</v>
      </c>
      <c r="C1545" t="str">
        <f t="shared" si="620"/>
        <v>BLDG 250 09MCX M MORELAND</v>
      </c>
      <c r="D1545" t="str">
        <f t="shared" si="621"/>
        <v>PORTSMOUTH</v>
      </c>
      <c r="E1545" t="str">
        <f t="shared" si="622"/>
        <v>VA</v>
      </c>
      <c r="F1545" t="str">
        <f t="shared" si="623"/>
        <v>237082207</v>
      </c>
      <c r="G1545" t="str">
        <f t="shared" si="626"/>
        <v>54 LEWIS MINOR ST</v>
      </c>
      <c r="H1545" t="str">
        <f>T("BLDG 250 09MCX M MORELAND")</f>
        <v>BLDG 250 09MCX M MORELAND</v>
      </c>
      <c r="I1545" t="str">
        <f t="shared" si="624"/>
        <v>PORTSMOUTH</v>
      </c>
      <c r="J1545" t="str">
        <f t="shared" si="625"/>
        <v>VA</v>
      </c>
      <c r="K1545" t="str">
        <f t="shared" si="628"/>
        <v>7579535035</v>
      </c>
      <c r="L1545" t="str">
        <f>T("9537575419")</f>
        <v>9537575419</v>
      </c>
    </row>
    <row r="1546" spans="1:12" x14ac:dyDescent="0.35">
      <c r="A1546" t="str">
        <f t="shared" si="619"/>
        <v>NMC PORTSMOUTH</v>
      </c>
      <c r="B1546" t="str">
        <f t="shared" si="627"/>
        <v>54 LEWIS MINOR ST</v>
      </c>
      <c r="C1546" t="str">
        <f t="shared" si="620"/>
        <v>BLDG 250 09MCX M MORELAND</v>
      </c>
      <c r="D1546" t="str">
        <f t="shared" si="621"/>
        <v>PORTSMOUTH</v>
      </c>
      <c r="E1546" t="str">
        <f t="shared" si="622"/>
        <v>VA</v>
      </c>
      <c r="F1546" t="str">
        <f t="shared" si="623"/>
        <v>237082207</v>
      </c>
      <c r="G1546" t="str">
        <f t="shared" si="626"/>
        <v>54 LEWIS MINOR ST</v>
      </c>
      <c r="H1546" t="str">
        <f>T("BLDG 250 09MMCX M MORELAND")</f>
        <v>BLDG 250 09MMCX M MORELAND</v>
      </c>
      <c r="I1546" t="str">
        <f t="shared" si="624"/>
        <v>PORTSMOUTH</v>
      </c>
      <c r="J1546" t="str">
        <f t="shared" si="625"/>
        <v>VA</v>
      </c>
      <c r="K1546" t="str">
        <f t="shared" si="628"/>
        <v>7579535035</v>
      </c>
      <c r="L1546" t="str">
        <f>T("7579530394")</f>
        <v>7579530394</v>
      </c>
    </row>
    <row r="1547" spans="1:12" x14ac:dyDescent="0.35">
      <c r="A1547" t="str">
        <f t="shared" si="619"/>
        <v>NMC PORTSMOUTH</v>
      </c>
      <c r="B1547" t="str">
        <f t="shared" si="627"/>
        <v>54 LEWIS MINOR ST</v>
      </c>
      <c r="C1547" t="str">
        <f t="shared" si="620"/>
        <v>BLDG 250 09MCX M MORELAND</v>
      </c>
      <c r="D1547" t="str">
        <f t="shared" si="621"/>
        <v>PORTSMOUTH</v>
      </c>
      <c r="E1547" t="str">
        <f t="shared" si="622"/>
        <v>VA</v>
      </c>
      <c r="F1547" t="str">
        <f t="shared" si="623"/>
        <v>237082207</v>
      </c>
      <c r="G1547" t="str">
        <f t="shared" si="626"/>
        <v>54 LEWIS MINOR ST</v>
      </c>
      <c r="H1547" t="str">
        <f>T("BLDG 250 09MMCX M MORELAND")</f>
        <v>BLDG 250 09MMCX M MORELAND</v>
      </c>
      <c r="I1547" t="str">
        <f t="shared" si="624"/>
        <v>PORTSMOUTH</v>
      </c>
      <c r="J1547" t="str">
        <f t="shared" si="625"/>
        <v>VA</v>
      </c>
      <c r="K1547" t="str">
        <f t="shared" si="628"/>
        <v>7579535035</v>
      </c>
      <c r="L1547" t="str">
        <f>T("7579535754")</f>
        <v>7579535754</v>
      </c>
    </row>
    <row r="1548" spans="1:12" x14ac:dyDescent="0.35">
      <c r="A1548" t="str">
        <f t="shared" si="619"/>
        <v>NMC PORTSMOUTH</v>
      </c>
      <c r="B1548" t="str">
        <f t="shared" si="627"/>
        <v>54 LEWIS MINOR ST</v>
      </c>
      <c r="C1548" t="str">
        <f t="shared" si="620"/>
        <v>BLDG 250 09MCX M MORELAND</v>
      </c>
      <c r="D1548" t="str">
        <f t="shared" si="621"/>
        <v>PORTSMOUTH</v>
      </c>
      <c r="E1548" t="str">
        <f t="shared" si="622"/>
        <v>VA</v>
      </c>
      <c r="F1548" t="str">
        <f t="shared" si="623"/>
        <v>237082207</v>
      </c>
      <c r="G1548" t="str">
        <f t="shared" si="626"/>
        <v>54 LEWIS MINOR ST</v>
      </c>
      <c r="H1548" t="str">
        <f>T("BLDG 250 09MMCX M MORELAND")</f>
        <v>BLDG 250 09MMCX M MORELAND</v>
      </c>
      <c r="I1548" t="str">
        <f t="shared" si="624"/>
        <v>PORTSMOUTH</v>
      </c>
      <c r="J1548" t="str">
        <f t="shared" si="625"/>
        <v>VA</v>
      </c>
      <c r="K1548" t="str">
        <f t="shared" si="628"/>
        <v>7579535035</v>
      </c>
      <c r="L1548" t="str">
        <f>T("7579537019")</f>
        <v>7579537019</v>
      </c>
    </row>
    <row r="1549" spans="1:12" x14ac:dyDescent="0.35">
      <c r="A1549" t="str">
        <f t="shared" si="619"/>
        <v>NMC PORTSMOUTH</v>
      </c>
      <c r="B1549" t="str">
        <f t="shared" si="627"/>
        <v>54 LEWIS MINOR ST</v>
      </c>
      <c r="C1549" t="str">
        <f t="shared" si="620"/>
        <v>BLDG 250 09MCX M MORELAND</v>
      </c>
      <c r="D1549" t="str">
        <f t="shared" si="621"/>
        <v>PORTSMOUTH</v>
      </c>
      <c r="E1549" t="str">
        <f t="shared" si="622"/>
        <v>VA</v>
      </c>
      <c r="F1549" t="str">
        <f t="shared" si="623"/>
        <v>237082207</v>
      </c>
      <c r="G1549" t="str">
        <f t="shared" si="626"/>
        <v>54 LEWIS MINOR ST</v>
      </c>
      <c r="H1549" t="str">
        <f>T("BLDG 250 09MMCX M MORELAND")</f>
        <v>BLDG 250 09MMCX M MORELAND</v>
      </c>
      <c r="I1549" t="str">
        <f t="shared" si="624"/>
        <v>PORTSMOUTH</v>
      </c>
      <c r="J1549" t="str">
        <f t="shared" si="625"/>
        <v>VA</v>
      </c>
      <c r="K1549" t="str">
        <f t="shared" si="628"/>
        <v>7579535035</v>
      </c>
      <c r="L1549" t="str">
        <f>T("7579537483")</f>
        <v>7579537483</v>
      </c>
    </row>
    <row r="1550" spans="1:12" x14ac:dyDescent="0.35">
      <c r="A1550" t="str">
        <f t="shared" si="619"/>
        <v>NMC PORTSMOUTH</v>
      </c>
      <c r="B1550" t="str">
        <f t="shared" si="627"/>
        <v>54 LEWIS MINOR ST</v>
      </c>
      <c r="C1550" t="str">
        <f t="shared" si="620"/>
        <v>BLDG 250 09MCX M MORELAND</v>
      </c>
      <c r="D1550" t="str">
        <f t="shared" si="621"/>
        <v>PORTSMOUTH</v>
      </c>
      <c r="E1550" t="str">
        <f t="shared" si="622"/>
        <v>VA</v>
      </c>
      <c r="F1550" t="str">
        <f t="shared" si="623"/>
        <v>237082207</v>
      </c>
      <c r="G1550" t="str">
        <f>T("54 LEWIS MINOR STREET")</f>
        <v>54 LEWIS MINOR STREET</v>
      </c>
      <c r="H1550" t="str">
        <f>T("BLDG 250 09MMCX M MORELAND")</f>
        <v>BLDG 250 09MMCX M MORELAND</v>
      </c>
      <c r="I1550" t="str">
        <f t="shared" si="624"/>
        <v>PORTSMOUTH</v>
      </c>
      <c r="J1550" t="str">
        <f t="shared" si="625"/>
        <v>VA</v>
      </c>
      <c r="K1550" t="str">
        <f t="shared" si="628"/>
        <v>7579535035</v>
      </c>
      <c r="L1550" t="str">
        <f>T("7579537731")</f>
        <v>7579537731</v>
      </c>
    </row>
    <row r="1551" spans="1:12" x14ac:dyDescent="0.35">
      <c r="A1551" t="str">
        <f t="shared" si="619"/>
        <v>NMC PORTSMOUTH</v>
      </c>
      <c r="B1551" t="str">
        <f t="shared" si="627"/>
        <v>54 LEWIS MINOR ST</v>
      </c>
      <c r="C1551" t="str">
        <f t="shared" ref="C1551:C1582" si="629">T("BLDG 250 09MMCK M MORELAND")</f>
        <v>BLDG 250 09MMCK M MORELAND</v>
      </c>
      <c r="D1551" t="str">
        <f t="shared" si="621"/>
        <v>PORTSMOUTH</v>
      </c>
      <c r="E1551" t="str">
        <f t="shared" si="622"/>
        <v>VA</v>
      </c>
      <c r="F1551" t="str">
        <f t="shared" si="623"/>
        <v>237082207</v>
      </c>
      <c r="G1551" t="str">
        <f t="shared" ref="G1551:G1582" si="630">T("54 LEWIS MINOR ST")</f>
        <v>54 LEWIS MINOR ST</v>
      </c>
      <c r="H1551" t="str">
        <f t="shared" ref="H1551:H1572" si="631">T("BLDG 250 09MMCK M MORELAND")</f>
        <v>BLDG 250 09MMCK M MORELAND</v>
      </c>
      <c r="I1551" t="str">
        <f t="shared" si="624"/>
        <v>PORTSMOUTH</v>
      </c>
      <c r="J1551" t="str">
        <f t="shared" si="625"/>
        <v>VA</v>
      </c>
      <c r="K1551" t="str">
        <f>T("000000000000000000")</f>
        <v>000000000000000000</v>
      </c>
      <c r="L1551" t="str">
        <f>T("7579532107")</f>
        <v>7579532107</v>
      </c>
    </row>
    <row r="1552" spans="1:12" x14ac:dyDescent="0.35">
      <c r="A1552" t="str">
        <f t="shared" si="619"/>
        <v>NMC PORTSMOUTH</v>
      </c>
      <c r="B1552" t="str">
        <f t="shared" si="627"/>
        <v>54 LEWIS MINOR ST</v>
      </c>
      <c r="C1552" t="str">
        <f t="shared" si="629"/>
        <v>BLDG 250 09MMCK M MORELAND</v>
      </c>
      <c r="D1552" t="str">
        <f t="shared" si="621"/>
        <v>PORTSMOUTH</v>
      </c>
      <c r="E1552" t="str">
        <f t="shared" si="622"/>
        <v>VA</v>
      </c>
      <c r="F1552" t="str">
        <f t="shared" si="623"/>
        <v>237082207</v>
      </c>
      <c r="G1552" t="str">
        <f t="shared" si="630"/>
        <v>54 LEWIS MINOR ST</v>
      </c>
      <c r="H1552" t="str">
        <f t="shared" si="631"/>
        <v>BLDG 250 09MMCK M MORELAND</v>
      </c>
      <c r="I1552" t="str">
        <f t="shared" si="624"/>
        <v>PORTSMOUTH</v>
      </c>
      <c r="J1552" t="str">
        <f t="shared" si="625"/>
        <v>VA</v>
      </c>
      <c r="K1552" t="str">
        <f>T("000000000000000000")</f>
        <v>000000000000000000</v>
      </c>
      <c r="L1552" t="str">
        <f>T("7579533718")</f>
        <v>7579533718</v>
      </c>
    </row>
    <row r="1553" spans="1:12" x14ac:dyDescent="0.35">
      <c r="A1553" t="str">
        <f t="shared" si="619"/>
        <v>NMC PORTSMOUTH</v>
      </c>
      <c r="B1553" t="str">
        <f t="shared" si="627"/>
        <v>54 LEWIS MINOR ST</v>
      </c>
      <c r="C1553" t="str">
        <f t="shared" si="629"/>
        <v>BLDG 250 09MMCK M MORELAND</v>
      </c>
      <c r="D1553" t="str">
        <f t="shared" si="621"/>
        <v>PORTSMOUTH</v>
      </c>
      <c r="E1553" t="str">
        <f t="shared" si="622"/>
        <v>VA</v>
      </c>
      <c r="F1553" t="str">
        <f t="shared" si="623"/>
        <v>237082207</v>
      </c>
      <c r="G1553" t="str">
        <f t="shared" si="630"/>
        <v>54 LEWIS MINOR ST</v>
      </c>
      <c r="H1553" t="str">
        <f t="shared" si="631"/>
        <v>BLDG 250 09MMCK M MORELAND</v>
      </c>
      <c r="I1553" t="str">
        <f t="shared" si="624"/>
        <v>PORTSMOUTH</v>
      </c>
      <c r="J1553" t="str">
        <f t="shared" si="625"/>
        <v>VA</v>
      </c>
      <c r="K1553" t="str">
        <f>T("000000000000000000")</f>
        <v>000000000000000000</v>
      </c>
      <c r="L1553" t="str">
        <f>T("7579537361")</f>
        <v>7579537361</v>
      </c>
    </row>
    <row r="1554" spans="1:12" x14ac:dyDescent="0.35">
      <c r="A1554" t="str">
        <f t="shared" si="619"/>
        <v>NMC PORTSMOUTH</v>
      </c>
      <c r="B1554" t="str">
        <f t="shared" si="627"/>
        <v>54 LEWIS MINOR ST</v>
      </c>
      <c r="C1554" t="str">
        <f t="shared" si="629"/>
        <v>BLDG 250 09MMCK M MORELAND</v>
      </c>
      <c r="D1554" t="str">
        <f t="shared" si="621"/>
        <v>PORTSMOUTH</v>
      </c>
      <c r="E1554" t="str">
        <f t="shared" si="622"/>
        <v>VA</v>
      </c>
      <c r="F1554" t="str">
        <f t="shared" si="623"/>
        <v>237082207</v>
      </c>
      <c r="G1554" t="str">
        <f t="shared" si="630"/>
        <v>54 LEWIS MINOR ST</v>
      </c>
      <c r="H1554" t="str">
        <f t="shared" si="631"/>
        <v>BLDG 250 09MMCK M MORELAND</v>
      </c>
      <c r="I1554" t="str">
        <f t="shared" si="624"/>
        <v>PORTSMOUTH</v>
      </c>
      <c r="J1554" t="str">
        <f t="shared" si="625"/>
        <v>VA</v>
      </c>
      <c r="K1554" t="str">
        <f>T("000000000000000000")</f>
        <v>000000000000000000</v>
      </c>
      <c r="L1554" t="str">
        <f>T("7579538835")</f>
        <v>7579538835</v>
      </c>
    </row>
    <row r="1555" spans="1:12" x14ac:dyDescent="0.35">
      <c r="A1555" t="str">
        <f t="shared" si="619"/>
        <v>NMC PORTSMOUTH</v>
      </c>
      <c r="B1555" t="str">
        <f t="shared" si="627"/>
        <v>54 LEWIS MINOR ST</v>
      </c>
      <c r="C1555" t="str">
        <f t="shared" si="629"/>
        <v>BLDG 250 09MMCK M MORELAND</v>
      </c>
      <c r="D1555" t="str">
        <f t="shared" si="621"/>
        <v>PORTSMOUTH</v>
      </c>
      <c r="E1555" t="str">
        <f t="shared" si="622"/>
        <v>VA</v>
      </c>
      <c r="F1555" t="str">
        <f t="shared" si="623"/>
        <v>237082207</v>
      </c>
      <c r="G1555" t="str">
        <f t="shared" si="630"/>
        <v>54 LEWIS MINOR ST</v>
      </c>
      <c r="H1555" t="str">
        <f t="shared" si="631"/>
        <v>BLDG 250 09MMCK M MORELAND</v>
      </c>
      <c r="I1555" t="str">
        <f t="shared" si="624"/>
        <v>PORTSMOUTH</v>
      </c>
      <c r="J1555" t="str">
        <f t="shared" si="625"/>
        <v>VA</v>
      </c>
      <c r="K1555" t="str">
        <f t="shared" ref="K1555:K1572" si="632">T("7579535035")</f>
        <v>7579535035</v>
      </c>
      <c r="L1555" t="str">
        <f>T("7573146608")</f>
        <v>7573146608</v>
      </c>
    </row>
    <row r="1556" spans="1:12" x14ac:dyDescent="0.35">
      <c r="A1556" t="str">
        <f t="shared" si="619"/>
        <v>NMC PORTSMOUTH</v>
      </c>
      <c r="B1556" t="str">
        <f t="shared" si="627"/>
        <v>54 LEWIS MINOR ST</v>
      </c>
      <c r="C1556" t="str">
        <f t="shared" si="629"/>
        <v>BLDG 250 09MMCK M MORELAND</v>
      </c>
      <c r="D1556" t="str">
        <f t="shared" si="621"/>
        <v>PORTSMOUTH</v>
      </c>
      <c r="E1556" t="str">
        <f t="shared" si="622"/>
        <v>VA</v>
      </c>
      <c r="F1556" t="str">
        <f t="shared" si="623"/>
        <v>237082207</v>
      </c>
      <c r="G1556" t="str">
        <f t="shared" si="630"/>
        <v>54 LEWIS MINOR ST</v>
      </c>
      <c r="H1556" t="str">
        <f t="shared" si="631"/>
        <v>BLDG 250 09MMCK M MORELAND</v>
      </c>
      <c r="I1556" t="str">
        <f t="shared" si="624"/>
        <v>PORTSMOUTH</v>
      </c>
      <c r="J1556" t="str">
        <f t="shared" si="625"/>
        <v>VA</v>
      </c>
      <c r="K1556" t="str">
        <f t="shared" si="632"/>
        <v>7579535035</v>
      </c>
      <c r="L1556" t="str">
        <f>T("7579530269")</f>
        <v>7579530269</v>
      </c>
    </row>
    <row r="1557" spans="1:12" x14ac:dyDescent="0.35">
      <c r="A1557" t="str">
        <f t="shared" si="619"/>
        <v>NMC PORTSMOUTH</v>
      </c>
      <c r="B1557" t="str">
        <f t="shared" si="627"/>
        <v>54 LEWIS MINOR ST</v>
      </c>
      <c r="C1557" t="str">
        <f t="shared" si="629"/>
        <v>BLDG 250 09MMCK M MORELAND</v>
      </c>
      <c r="D1557" t="str">
        <f t="shared" si="621"/>
        <v>PORTSMOUTH</v>
      </c>
      <c r="E1557" t="str">
        <f t="shared" si="622"/>
        <v>VA</v>
      </c>
      <c r="F1557" t="str">
        <f t="shared" si="623"/>
        <v>237082207</v>
      </c>
      <c r="G1557" t="str">
        <f t="shared" si="630"/>
        <v>54 LEWIS MINOR ST</v>
      </c>
      <c r="H1557" t="str">
        <f t="shared" si="631"/>
        <v>BLDG 250 09MMCK M MORELAND</v>
      </c>
      <c r="I1557" t="str">
        <f t="shared" si="624"/>
        <v>PORTSMOUTH</v>
      </c>
      <c r="J1557" t="str">
        <f t="shared" si="625"/>
        <v>VA</v>
      </c>
      <c r="K1557" t="str">
        <f t="shared" si="632"/>
        <v>7579535035</v>
      </c>
      <c r="L1557" t="str">
        <f>T("7579530674")</f>
        <v>7579530674</v>
      </c>
    </row>
    <row r="1558" spans="1:12" x14ac:dyDescent="0.35">
      <c r="A1558" t="str">
        <f t="shared" si="619"/>
        <v>NMC PORTSMOUTH</v>
      </c>
      <c r="B1558" t="str">
        <f t="shared" si="627"/>
        <v>54 LEWIS MINOR ST</v>
      </c>
      <c r="C1558" t="str">
        <f t="shared" si="629"/>
        <v>BLDG 250 09MMCK M MORELAND</v>
      </c>
      <c r="D1558" t="str">
        <f t="shared" si="621"/>
        <v>PORTSMOUTH</v>
      </c>
      <c r="E1558" t="str">
        <f t="shared" si="622"/>
        <v>VA</v>
      </c>
      <c r="F1558" t="str">
        <f t="shared" si="623"/>
        <v>237082207</v>
      </c>
      <c r="G1558" t="str">
        <f t="shared" si="630"/>
        <v>54 LEWIS MINOR ST</v>
      </c>
      <c r="H1558" t="str">
        <f t="shared" si="631"/>
        <v>BLDG 250 09MMCK M MORELAND</v>
      </c>
      <c r="I1558" t="str">
        <f t="shared" si="624"/>
        <v>PORTSMOUTH</v>
      </c>
      <c r="J1558" t="str">
        <f t="shared" si="625"/>
        <v>VA</v>
      </c>
      <c r="K1558" t="str">
        <f t="shared" si="632"/>
        <v>7579535035</v>
      </c>
      <c r="L1558" t="str">
        <f>T("7579531350")</f>
        <v>7579531350</v>
      </c>
    </row>
    <row r="1559" spans="1:12" x14ac:dyDescent="0.35">
      <c r="A1559" t="str">
        <f t="shared" si="619"/>
        <v>NMC PORTSMOUTH</v>
      </c>
      <c r="B1559" t="str">
        <f t="shared" si="627"/>
        <v>54 LEWIS MINOR ST</v>
      </c>
      <c r="C1559" t="str">
        <f t="shared" si="629"/>
        <v>BLDG 250 09MMCK M MORELAND</v>
      </c>
      <c r="D1559" t="str">
        <f t="shared" si="621"/>
        <v>PORTSMOUTH</v>
      </c>
      <c r="E1559" t="str">
        <f t="shared" si="622"/>
        <v>VA</v>
      </c>
      <c r="F1559" t="str">
        <f t="shared" si="623"/>
        <v>237082207</v>
      </c>
      <c r="G1559" t="str">
        <f t="shared" si="630"/>
        <v>54 LEWIS MINOR ST</v>
      </c>
      <c r="H1559" t="str">
        <f t="shared" si="631"/>
        <v>BLDG 250 09MMCK M MORELAND</v>
      </c>
      <c r="I1559" t="str">
        <f t="shared" si="624"/>
        <v>PORTSMOUTH</v>
      </c>
      <c r="J1559" t="str">
        <f t="shared" si="625"/>
        <v>VA</v>
      </c>
      <c r="K1559" t="str">
        <f t="shared" si="632"/>
        <v>7579535035</v>
      </c>
      <c r="L1559" t="str">
        <f>T("7579532103")</f>
        <v>7579532103</v>
      </c>
    </row>
    <row r="1560" spans="1:12" x14ac:dyDescent="0.35">
      <c r="A1560" t="str">
        <f t="shared" si="619"/>
        <v>NMC PORTSMOUTH</v>
      </c>
      <c r="B1560" t="str">
        <f t="shared" si="627"/>
        <v>54 LEWIS MINOR ST</v>
      </c>
      <c r="C1560" t="str">
        <f t="shared" si="629"/>
        <v>BLDG 250 09MMCK M MORELAND</v>
      </c>
      <c r="D1560" t="str">
        <f t="shared" si="621"/>
        <v>PORTSMOUTH</v>
      </c>
      <c r="E1560" t="str">
        <f t="shared" si="622"/>
        <v>VA</v>
      </c>
      <c r="F1560" t="str">
        <f t="shared" si="623"/>
        <v>237082207</v>
      </c>
      <c r="G1560" t="str">
        <f t="shared" si="630"/>
        <v>54 LEWIS MINOR ST</v>
      </c>
      <c r="H1560" t="str">
        <f t="shared" si="631"/>
        <v>BLDG 250 09MMCK M MORELAND</v>
      </c>
      <c r="I1560" t="str">
        <f t="shared" si="624"/>
        <v>PORTSMOUTH</v>
      </c>
      <c r="J1560" t="str">
        <f t="shared" si="625"/>
        <v>VA</v>
      </c>
      <c r="K1560" t="str">
        <f t="shared" si="632"/>
        <v>7579535035</v>
      </c>
      <c r="L1560" t="str">
        <f>T("7579532341")</f>
        <v>7579532341</v>
      </c>
    </row>
    <row r="1561" spans="1:12" x14ac:dyDescent="0.35">
      <c r="A1561" t="str">
        <f t="shared" si="619"/>
        <v>NMC PORTSMOUTH</v>
      </c>
      <c r="B1561" t="str">
        <f t="shared" si="627"/>
        <v>54 LEWIS MINOR ST</v>
      </c>
      <c r="C1561" t="str">
        <f t="shared" si="629"/>
        <v>BLDG 250 09MMCK M MORELAND</v>
      </c>
      <c r="D1561" t="str">
        <f t="shared" si="621"/>
        <v>PORTSMOUTH</v>
      </c>
      <c r="E1561" t="str">
        <f t="shared" si="622"/>
        <v>VA</v>
      </c>
      <c r="F1561" t="str">
        <f t="shared" si="623"/>
        <v>237082207</v>
      </c>
      <c r="G1561" t="str">
        <f t="shared" si="630"/>
        <v>54 LEWIS MINOR ST</v>
      </c>
      <c r="H1561" t="str">
        <f t="shared" si="631"/>
        <v>BLDG 250 09MMCK M MORELAND</v>
      </c>
      <c r="I1561" t="str">
        <f t="shared" si="624"/>
        <v>PORTSMOUTH</v>
      </c>
      <c r="J1561" t="str">
        <f t="shared" si="625"/>
        <v>VA</v>
      </c>
      <c r="K1561" t="str">
        <f t="shared" si="632"/>
        <v>7579535035</v>
      </c>
      <c r="L1561" t="str">
        <f>T("7579532683")</f>
        <v>7579532683</v>
      </c>
    </row>
    <row r="1562" spans="1:12" x14ac:dyDescent="0.35">
      <c r="A1562" t="str">
        <f t="shared" si="619"/>
        <v>NMC PORTSMOUTH</v>
      </c>
      <c r="B1562" t="str">
        <f t="shared" si="627"/>
        <v>54 LEWIS MINOR ST</v>
      </c>
      <c r="C1562" t="str">
        <f t="shared" si="629"/>
        <v>BLDG 250 09MMCK M MORELAND</v>
      </c>
      <c r="D1562" t="str">
        <f t="shared" si="621"/>
        <v>PORTSMOUTH</v>
      </c>
      <c r="E1562" t="str">
        <f t="shared" si="622"/>
        <v>VA</v>
      </c>
      <c r="F1562" t="str">
        <f t="shared" si="623"/>
        <v>237082207</v>
      </c>
      <c r="G1562" t="str">
        <f t="shared" si="630"/>
        <v>54 LEWIS MINOR ST</v>
      </c>
      <c r="H1562" t="str">
        <f t="shared" si="631"/>
        <v>BLDG 250 09MMCK M MORELAND</v>
      </c>
      <c r="I1562" t="str">
        <f t="shared" si="624"/>
        <v>PORTSMOUTH</v>
      </c>
      <c r="J1562" t="str">
        <f t="shared" si="625"/>
        <v>VA</v>
      </c>
      <c r="K1562" t="str">
        <f t="shared" si="632"/>
        <v>7579535035</v>
      </c>
      <c r="L1562" t="str">
        <f>T("7579533689")</f>
        <v>7579533689</v>
      </c>
    </row>
    <row r="1563" spans="1:12" x14ac:dyDescent="0.35">
      <c r="A1563" t="str">
        <f t="shared" si="619"/>
        <v>NMC PORTSMOUTH</v>
      </c>
      <c r="B1563" t="str">
        <f t="shared" si="627"/>
        <v>54 LEWIS MINOR ST</v>
      </c>
      <c r="C1563" t="str">
        <f t="shared" si="629"/>
        <v>BLDG 250 09MMCK M MORELAND</v>
      </c>
      <c r="D1563" t="str">
        <f t="shared" si="621"/>
        <v>PORTSMOUTH</v>
      </c>
      <c r="E1563" t="str">
        <f t="shared" si="622"/>
        <v>VA</v>
      </c>
      <c r="F1563" t="str">
        <f t="shared" si="623"/>
        <v>237082207</v>
      </c>
      <c r="G1563" t="str">
        <f t="shared" si="630"/>
        <v>54 LEWIS MINOR ST</v>
      </c>
      <c r="H1563" t="str">
        <f t="shared" si="631"/>
        <v>BLDG 250 09MMCK M MORELAND</v>
      </c>
      <c r="I1563" t="str">
        <f t="shared" si="624"/>
        <v>PORTSMOUTH</v>
      </c>
      <c r="J1563" t="str">
        <f t="shared" si="625"/>
        <v>VA</v>
      </c>
      <c r="K1563" t="str">
        <f t="shared" si="632"/>
        <v>7579535035</v>
      </c>
      <c r="L1563" t="str">
        <f>T("7579535364")</f>
        <v>7579535364</v>
      </c>
    </row>
    <row r="1564" spans="1:12" x14ac:dyDescent="0.35">
      <c r="A1564" t="str">
        <f t="shared" si="619"/>
        <v>NMC PORTSMOUTH</v>
      </c>
      <c r="B1564" t="str">
        <f t="shared" si="627"/>
        <v>54 LEWIS MINOR ST</v>
      </c>
      <c r="C1564" t="str">
        <f t="shared" si="629"/>
        <v>BLDG 250 09MMCK M MORELAND</v>
      </c>
      <c r="D1564" t="str">
        <f t="shared" si="621"/>
        <v>PORTSMOUTH</v>
      </c>
      <c r="E1564" t="str">
        <f t="shared" si="622"/>
        <v>VA</v>
      </c>
      <c r="F1564" t="str">
        <f t="shared" si="623"/>
        <v>237082207</v>
      </c>
      <c r="G1564" t="str">
        <f t="shared" si="630"/>
        <v>54 LEWIS MINOR ST</v>
      </c>
      <c r="H1564" t="str">
        <f t="shared" si="631"/>
        <v>BLDG 250 09MMCK M MORELAND</v>
      </c>
      <c r="I1564" t="str">
        <f t="shared" si="624"/>
        <v>PORTSMOUTH</v>
      </c>
      <c r="J1564" t="str">
        <f t="shared" si="625"/>
        <v>VA</v>
      </c>
      <c r="K1564" t="str">
        <f t="shared" si="632"/>
        <v>7579535035</v>
      </c>
      <c r="L1564" t="str">
        <f>T("7579535530")</f>
        <v>7579535530</v>
      </c>
    </row>
    <row r="1565" spans="1:12" x14ac:dyDescent="0.35">
      <c r="A1565" t="str">
        <f t="shared" si="619"/>
        <v>NMC PORTSMOUTH</v>
      </c>
      <c r="B1565" t="str">
        <f t="shared" si="627"/>
        <v>54 LEWIS MINOR ST</v>
      </c>
      <c r="C1565" t="str">
        <f t="shared" si="629"/>
        <v>BLDG 250 09MMCK M MORELAND</v>
      </c>
      <c r="D1565" t="str">
        <f t="shared" si="621"/>
        <v>PORTSMOUTH</v>
      </c>
      <c r="E1565" t="str">
        <f t="shared" si="622"/>
        <v>VA</v>
      </c>
      <c r="F1565" t="str">
        <f t="shared" si="623"/>
        <v>237082207</v>
      </c>
      <c r="G1565" t="str">
        <f t="shared" si="630"/>
        <v>54 LEWIS MINOR ST</v>
      </c>
      <c r="H1565" t="str">
        <f t="shared" si="631"/>
        <v>BLDG 250 09MMCK M MORELAND</v>
      </c>
      <c r="I1565" t="str">
        <f t="shared" si="624"/>
        <v>PORTSMOUTH</v>
      </c>
      <c r="J1565" t="str">
        <f t="shared" si="625"/>
        <v>VA</v>
      </c>
      <c r="K1565" t="str">
        <f t="shared" si="632"/>
        <v>7579535035</v>
      </c>
      <c r="L1565" t="str">
        <f>T("7579535829")</f>
        <v>7579535829</v>
      </c>
    </row>
    <row r="1566" spans="1:12" x14ac:dyDescent="0.35">
      <c r="A1566" t="str">
        <f t="shared" si="619"/>
        <v>NMC PORTSMOUTH</v>
      </c>
      <c r="B1566" t="str">
        <f t="shared" si="627"/>
        <v>54 LEWIS MINOR ST</v>
      </c>
      <c r="C1566" t="str">
        <f t="shared" si="629"/>
        <v>BLDG 250 09MMCK M MORELAND</v>
      </c>
      <c r="D1566" t="str">
        <f t="shared" si="621"/>
        <v>PORTSMOUTH</v>
      </c>
      <c r="E1566" t="str">
        <f t="shared" si="622"/>
        <v>VA</v>
      </c>
      <c r="F1566" t="str">
        <f t="shared" si="623"/>
        <v>237082207</v>
      </c>
      <c r="G1566" t="str">
        <f t="shared" si="630"/>
        <v>54 LEWIS MINOR ST</v>
      </c>
      <c r="H1566" t="str">
        <f t="shared" si="631"/>
        <v>BLDG 250 09MMCK M MORELAND</v>
      </c>
      <c r="I1566" t="str">
        <f t="shared" si="624"/>
        <v>PORTSMOUTH</v>
      </c>
      <c r="J1566" t="str">
        <f t="shared" si="625"/>
        <v>VA</v>
      </c>
      <c r="K1566" t="str">
        <f t="shared" si="632"/>
        <v>7579535035</v>
      </c>
      <c r="L1566" t="str">
        <f>T("7579535861")</f>
        <v>7579535861</v>
      </c>
    </row>
    <row r="1567" spans="1:12" x14ac:dyDescent="0.35">
      <c r="A1567" t="str">
        <f t="shared" si="619"/>
        <v>NMC PORTSMOUTH</v>
      </c>
      <c r="B1567" t="str">
        <f t="shared" si="627"/>
        <v>54 LEWIS MINOR ST</v>
      </c>
      <c r="C1567" t="str">
        <f t="shared" si="629"/>
        <v>BLDG 250 09MMCK M MORELAND</v>
      </c>
      <c r="D1567" t="str">
        <f t="shared" si="621"/>
        <v>PORTSMOUTH</v>
      </c>
      <c r="E1567" t="str">
        <f t="shared" si="622"/>
        <v>VA</v>
      </c>
      <c r="F1567" t="str">
        <f t="shared" si="623"/>
        <v>237082207</v>
      </c>
      <c r="G1567" t="str">
        <f t="shared" si="630"/>
        <v>54 LEWIS MINOR ST</v>
      </c>
      <c r="H1567" t="str">
        <f t="shared" si="631"/>
        <v>BLDG 250 09MMCK M MORELAND</v>
      </c>
      <c r="I1567" t="str">
        <f t="shared" si="624"/>
        <v>PORTSMOUTH</v>
      </c>
      <c r="J1567" t="str">
        <f t="shared" si="625"/>
        <v>VA</v>
      </c>
      <c r="K1567" t="str">
        <f t="shared" si="632"/>
        <v>7579535035</v>
      </c>
      <c r="L1567" t="str">
        <f>T("7579535939")</f>
        <v>7579535939</v>
      </c>
    </row>
    <row r="1568" spans="1:12" x14ac:dyDescent="0.35">
      <c r="A1568" t="str">
        <f t="shared" si="619"/>
        <v>NMC PORTSMOUTH</v>
      </c>
      <c r="B1568" t="str">
        <f t="shared" si="627"/>
        <v>54 LEWIS MINOR ST</v>
      </c>
      <c r="C1568" t="str">
        <f t="shared" si="629"/>
        <v>BLDG 250 09MMCK M MORELAND</v>
      </c>
      <c r="D1568" t="str">
        <f t="shared" si="621"/>
        <v>PORTSMOUTH</v>
      </c>
      <c r="E1568" t="str">
        <f t="shared" si="622"/>
        <v>VA</v>
      </c>
      <c r="F1568" t="str">
        <f t="shared" si="623"/>
        <v>237082207</v>
      </c>
      <c r="G1568" t="str">
        <f t="shared" si="630"/>
        <v>54 LEWIS MINOR ST</v>
      </c>
      <c r="H1568" t="str">
        <f t="shared" si="631"/>
        <v>BLDG 250 09MMCK M MORELAND</v>
      </c>
      <c r="I1568" t="str">
        <f t="shared" si="624"/>
        <v>PORTSMOUTH</v>
      </c>
      <c r="J1568" t="str">
        <f t="shared" si="625"/>
        <v>VA</v>
      </c>
      <c r="K1568" t="str">
        <f t="shared" si="632"/>
        <v>7579535035</v>
      </c>
      <c r="L1568" t="str">
        <f>T("7579537133")</f>
        <v>7579537133</v>
      </c>
    </row>
    <row r="1569" spans="1:12" x14ac:dyDescent="0.35">
      <c r="A1569" t="str">
        <f t="shared" si="619"/>
        <v>NMC PORTSMOUTH</v>
      </c>
      <c r="B1569" t="str">
        <f t="shared" si="627"/>
        <v>54 LEWIS MINOR ST</v>
      </c>
      <c r="C1569" t="str">
        <f t="shared" si="629"/>
        <v>BLDG 250 09MMCK M MORELAND</v>
      </c>
      <c r="D1569" t="str">
        <f t="shared" si="621"/>
        <v>PORTSMOUTH</v>
      </c>
      <c r="E1569" t="str">
        <f t="shared" si="622"/>
        <v>VA</v>
      </c>
      <c r="F1569" t="str">
        <f t="shared" si="623"/>
        <v>237082207</v>
      </c>
      <c r="G1569" t="str">
        <f t="shared" si="630"/>
        <v>54 LEWIS MINOR ST</v>
      </c>
      <c r="H1569" t="str">
        <f t="shared" si="631"/>
        <v>BLDG 250 09MMCK M MORELAND</v>
      </c>
      <c r="I1569" t="str">
        <f t="shared" si="624"/>
        <v>PORTSMOUTH</v>
      </c>
      <c r="J1569" t="str">
        <f t="shared" si="625"/>
        <v>VA</v>
      </c>
      <c r="K1569" t="str">
        <f t="shared" si="632"/>
        <v>7579535035</v>
      </c>
      <c r="L1569" t="str">
        <f>T("7579538253")</f>
        <v>7579538253</v>
      </c>
    </row>
    <row r="1570" spans="1:12" x14ac:dyDescent="0.35">
      <c r="A1570" t="str">
        <f t="shared" si="619"/>
        <v>NMC PORTSMOUTH</v>
      </c>
      <c r="B1570" t="str">
        <f t="shared" si="627"/>
        <v>54 LEWIS MINOR ST</v>
      </c>
      <c r="C1570" t="str">
        <f t="shared" si="629"/>
        <v>BLDG 250 09MMCK M MORELAND</v>
      </c>
      <c r="D1570" t="str">
        <f t="shared" si="621"/>
        <v>PORTSMOUTH</v>
      </c>
      <c r="E1570" t="str">
        <f t="shared" si="622"/>
        <v>VA</v>
      </c>
      <c r="F1570" t="str">
        <f t="shared" si="623"/>
        <v>237082207</v>
      </c>
      <c r="G1570" t="str">
        <f t="shared" si="630"/>
        <v>54 LEWIS MINOR ST</v>
      </c>
      <c r="H1570" t="str">
        <f t="shared" si="631"/>
        <v>BLDG 250 09MMCK M MORELAND</v>
      </c>
      <c r="I1570" t="str">
        <f t="shared" si="624"/>
        <v>PORTSMOUTH</v>
      </c>
      <c r="J1570" t="str">
        <f t="shared" si="625"/>
        <v>VA</v>
      </c>
      <c r="K1570" t="str">
        <f t="shared" si="632"/>
        <v>7579535035</v>
      </c>
      <c r="L1570" t="str">
        <f>T("7579538838")</f>
        <v>7579538838</v>
      </c>
    </row>
    <row r="1571" spans="1:12" x14ac:dyDescent="0.35">
      <c r="A1571" t="str">
        <f t="shared" ref="A1571:A1602" si="633">T("NMC PORTSMOUTH")</f>
        <v>NMC PORTSMOUTH</v>
      </c>
      <c r="B1571" t="str">
        <f t="shared" si="627"/>
        <v>54 LEWIS MINOR ST</v>
      </c>
      <c r="C1571" t="str">
        <f t="shared" si="629"/>
        <v>BLDG 250 09MMCK M MORELAND</v>
      </c>
      <c r="D1571" t="str">
        <f t="shared" ref="D1571:D1602" si="634">T("PORTSMOUTH")</f>
        <v>PORTSMOUTH</v>
      </c>
      <c r="E1571" t="str">
        <f t="shared" ref="E1571:E1602" si="635">T("VA")</f>
        <v>VA</v>
      </c>
      <c r="F1571" t="str">
        <f t="shared" ref="F1571:F1602" si="636">T("237082207")</f>
        <v>237082207</v>
      </c>
      <c r="G1571" t="str">
        <f t="shared" si="630"/>
        <v>54 LEWIS MINOR ST</v>
      </c>
      <c r="H1571" t="str">
        <f t="shared" si="631"/>
        <v>BLDG 250 09MMCK M MORELAND</v>
      </c>
      <c r="I1571" t="str">
        <f t="shared" ref="I1571:I1602" si="637">T("PORTSMOUTH")</f>
        <v>PORTSMOUTH</v>
      </c>
      <c r="J1571" t="str">
        <f t="shared" ref="J1571:J1602" si="638">T("VA")</f>
        <v>VA</v>
      </c>
      <c r="K1571" t="str">
        <f t="shared" si="632"/>
        <v>7579535035</v>
      </c>
      <c r="L1571" t="str">
        <f>T("7579538887")</f>
        <v>7579538887</v>
      </c>
    </row>
    <row r="1572" spans="1:12" x14ac:dyDescent="0.35">
      <c r="A1572" t="str">
        <f t="shared" si="633"/>
        <v>NMC PORTSMOUTH</v>
      </c>
      <c r="B1572" t="str">
        <f t="shared" si="627"/>
        <v>54 LEWIS MINOR ST</v>
      </c>
      <c r="C1572" t="str">
        <f t="shared" si="629"/>
        <v>BLDG 250 09MMCK M MORELAND</v>
      </c>
      <c r="D1572" t="str">
        <f t="shared" si="634"/>
        <v>PORTSMOUTH</v>
      </c>
      <c r="E1572" t="str">
        <f t="shared" si="635"/>
        <v>VA</v>
      </c>
      <c r="F1572" t="str">
        <f t="shared" si="636"/>
        <v>237082207</v>
      </c>
      <c r="G1572" t="str">
        <f t="shared" si="630"/>
        <v>54 LEWIS MINOR ST</v>
      </c>
      <c r="H1572" t="str">
        <f t="shared" si="631"/>
        <v>BLDG 250 09MMCK M MORELAND</v>
      </c>
      <c r="I1572" t="str">
        <f t="shared" si="637"/>
        <v>PORTSMOUTH</v>
      </c>
      <c r="J1572" t="str">
        <f t="shared" si="638"/>
        <v>VA</v>
      </c>
      <c r="K1572" t="str">
        <f t="shared" si="632"/>
        <v>7579535035</v>
      </c>
      <c r="L1572" t="str">
        <f>T("7579539352")</f>
        <v>7579539352</v>
      </c>
    </row>
    <row r="1573" spans="1:12" x14ac:dyDescent="0.35">
      <c r="A1573" t="str">
        <f t="shared" si="633"/>
        <v>NMC PORTSMOUTH</v>
      </c>
      <c r="B1573" t="str">
        <f t="shared" si="627"/>
        <v>54 LEWIS MINOR ST</v>
      </c>
      <c r="C1573" t="str">
        <f t="shared" si="629"/>
        <v>BLDG 250 09MMCK M MORELAND</v>
      </c>
      <c r="D1573" t="str">
        <f t="shared" si="634"/>
        <v>PORTSMOUTH</v>
      </c>
      <c r="E1573" t="str">
        <f t="shared" si="635"/>
        <v>VA</v>
      </c>
      <c r="F1573" t="str">
        <f t="shared" si="636"/>
        <v>237082207</v>
      </c>
      <c r="G1573" t="str">
        <f t="shared" si="630"/>
        <v>54 LEWIS MINOR ST</v>
      </c>
      <c r="H1573" t="str">
        <f>T("BLDG 250 09MMCK M. MORELAND")</f>
        <v>BLDG 250 09MMCK M. MORELAND</v>
      </c>
      <c r="I1573" t="str">
        <f t="shared" si="637"/>
        <v>PORTSMOUTH</v>
      </c>
      <c r="J1573" t="str">
        <f t="shared" si="638"/>
        <v>VA</v>
      </c>
      <c r="K1573" t="str">
        <f>T("000000000000000000")</f>
        <v>000000000000000000</v>
      </c>
      <c r="L1573" t="str">
        <f>T("7579535861")</f>
        <v>7579535861</v>
      </c>
    </row>
    <row r="1574" spans="1:12" x14ac:dyDescent="0.35">
      <c r="A1574" t="str">
        <f t="shared" si="633"/>
        <v>NMC PORTSMOUTH</v>
      </c>
      <c r="B1574" t="str">
        <f t="shared" si="627"/>
        <v>54 LEWIS MINOR ST</v>
      </c>
      <c r="C1574" t="str">
        <f t="shared" si="629"/>
        <v>BLDG 250 09MMCK M MORELAND</v>
      </c>
      <c r="D1574" t="str">
        <f t="shared" si="634"/>
        <v>PORTSMOUTH</v>
      </c>
      <c r="E1574" t="str">
        <f t="shared" si="635"/>
        <v>VA</v>
      </c>
      <c r="F1574" t="str">
        <f t="shared" si="636"/>
        <v>237082207</v>
      </c>
      <c r="G1574" t="str">
        <f t="shared" si="630"/>
        <v>54 LEWIS MINOR ST</v>
      </c>
      <c r="H1574" t="str">
        <f>T("BLDG 250 09MMCX M MOELAND")</f>
        <v>BLDG 250 09MMCX M MOELAND</v>
      </c>
      <c r="I1574" t="str">
        <f t="shared" si="637"/>
        <v>PORTSMOUTH</v>
      </c>
      <c r="J1574" t="str">
        <f t="shared" si="638"/>
        <v>VA</v>
      </c>
      <c r="K1574" t="str">
        <f>T("7579535035")</f>
        <v>7579535035</v>
      </c>
      <c r="L1574" t="str">
        <f>T("7579538892")</f>
        <v>7579538892</v>
      </c>
    </row>
    <row r="1575" spans="1:12" x14ac:dyDescent="0.35">
      <c r="A1575" t="str">
        <f t="shared" si="633"/>
        <v>NMC PORTSMOUTH</v>
      </c>
      <c r="B1575" t="str">
        <f t="shared" ref="B1575:B1606" si="639">T("54 LEWIS MINOR ST")</f>
        <v>54 LEWIS MINOR ST</v>
      </c>
      <c r="C1575" t="str">
        <f t="shared" si="629"/>
        <v>BLDG 250 09MMCK M MORELAND</v>
      </c>
      <c r="D1575" t="str">
        <f t="shared" si="634"/>
        <v>PORTSMOUTH</v>
      </c>
      <c r="E1575" t="str">
        <f t="shared" si="635"/>
        <v>VA</v>
      </c>
      <c r="F1575" t="str">
        <f t="shared" si="636"/>
        <v>237082207</v>
      </c>
      <c r="G1575" t="str">
        <f t="shared" si="630"/>
        <v>54 LEWIS MINOR ST</v>
      </c>
      <c r="H1575" t="str">
        <f t="shared" ref="H1575:H1598" si="640">T("BLDG 250 09MMCX M MORELAND")</f>
        <v>BLDG 250 09MMCX M MORELAND</v>
      </c>
      <c r="I1575" t="str">
        <f t="shared" si="637"/>
        <v>PORTSMOUTH</v>
      </c>
      <c r="J1575" t="str">
        <f t="shared" si="638"/>
        <v>VA</v>
      </c>
      <c r="K1575" t="str">
        <f t="shared" ref="K1575:K1582" si="641">T("000000000000000000")</f>
        <v>000000000000000000</v>
      </c>
      <c r="L1575" t="str">
        <f>T("7579535177")</f>
        <v>7579535177</v>
      </c>
    </row>
    <row r="1576" spans="1:12" x14ac:dyDescent="0.35">
      <c r="A1576" t="str">
        <f t="shared" si="633"/>
        <v>NMC PORTSMOUTH</v>
      </c>
      <c r="B1576" t="str">
        <f t="shared" si="639"/>
        <v>54 LEWIS MINOR ST</v>
      </c>
      <c r="C1576" t="str">
        <f t="shared" si="629"/>
        <v>BLDG 250 09MMCK M MORELAND</v>
      </c>
      <c r="D1576" t="str">
        <f t="shared" si="634"/>
        <v>PORTSMOUTH</v>
      </c>
      <c r="E1576" t="str">
        <f t="shared" si="635"/>
        <v>VA</v>
      </c>
      <c r="F1576" t="str">
        <f t="shared" si="636"/>
        <v>237082207</v>
      </c>
      <c r="G1576" t="str">
        <f t="shared" si="630"/>
        <v>54 LEWIS MINOR ST</v>
      </c>
      <c r="H1576" t="str">
        <f t="shared" si="640"/>
        <v>BLDG 250 09MMCX M MORELAND</v>
      </c>
      <c r="I1576" t="str">
        <f t="shared" si="637"/>
        <v>PORTSMOUTH</v>
      </c>
      <c r="J1576" t="str">
        <f t="shared" si="638"/>
        <v>VA</v>
      </c>
      <c r="K1576" t="str">
        <f t="shared" si="641"/>
        <v>000000000000000000</v>
      </c>
      <c r="L1576" t="str">
        <f>T("7579535939")</f>
        <v>7579535939</v>
      </c>
    </row>
    <row r="1577" spans="1:12" x14ac:dyDescent="0.35">
      <c r="A1577" t="str">
        <f t="shared" si="633"/>
        <v>NMC PORTSMOUTH</v>
      </c>
      <c r="B1577" t="str">
        <f t="shared" si="639"/>
        <v>54 LEWIS MINOR ST</v>
      </c>
      <c r="C1577" t="str">
        <f t="shared" si="629"/>
        <v>BLDG 250 09MMCK M MORELAND</v>
      </c>
      <c r="D1577" t="str">
        <f t="shared" si="634"/>
        <v>PORTSMOUTH</v>
      </c>
      <c r="E1577" t="str">
        <f t="shared" si="635"/>
        <v>VA</v>
      </c>
      <c r="F1577" t="str">
        <f t="shared" si="636"/>
        <v>237082207</v>
      </c>
      <c r="G1577" t="str">
        <f t="shared" si="630"/>
        <v>54 LEWIS MINOR ST</v>
      </c>
      <c r="H1577" t="str">
        <f t="shared" si="640"/>
        <v>BLDG 250 09MMCX M MORELAND</v>
      </c>
      <c r="I1577" t="str">
        <f t="shared" si="637"/>
        <v>PORTSMOUTH</v>
      </c>
      <c r="J1577" t="str">
        <f t="shared" si="638"/>
        <v>VA</v>
      </c>
      <c r="K1577" t="str">
        <f t="shared" si="641"/>
        <v>000000000000000000</v>
      </c>
      <c r="L1577" t="str">
        <f>T("7579537743")</f>
        <v>7579537743</v>
      </c>
    </row>
    <row r="1578" spans="1:12" x14ac:dyDescent="0.35">
      <c r="A1578" t="str">
        <f t="shared" si="633"/>
        <v>NMC PORTSMOUTH</v>
      </c>
      <c r="B1578" t="str">
        <f t="shared" si="639"/>
        <v>54 LEWIS MINOR ST</v>
      </c>
      <c r="C1578" t="str">
        <f t="shared" si="629"/>
        <v>BLDG 250 09MMCK M MORELAND</v>
      </c>
      <c r="D1578" t="str">
        <f t="shared" si="634"/>
        <v>PORTSMOUTH</v>
      </c>
      <c r="E1578" t="str">
        <f t="shared" si="635"/>
        <v>VA</v>
      </c>
      <c r="F1578" t="str">
        <f t="shared" si="636"/>
        <v>237082207</v>
      </c>
      <c r="G1578" t="str">
        <f t="shared" si="630"/>
        <v>54 LEWIS MINOR ST</v>
      </c>
      <c r="H1578" t="str">
        <f t="shared" si="640"/>
        <v>BLDG 250 09MMCX M MORELAND</v>
      </c>
      <c r="I1578" t="str">
        <f t="shared" si="637"/>
        <v>PORTSMOUTH</v>
      </c>
      <c r="J1578" t="str">
        <f t="shared" si="638"/>
        <v>VA</v>
      </c>
      <c r="K1578" t="str">
        <f t="shared" si="641"/>
        <v>000000000000000000</v>
      </c>
      <c r="L1578" t="str">
        <f>T("7579538304")</f>
        <v>7579538304</v>
      </c>
    </row>
    <row r="1579" spans="1:12" x14ac:dyDescent="0.35">
      <c r="A1579" t="str">
        <f t="shared" si="633"/>
        <v>NMC PORTSMOUTH</v>
      </c>
      <c r="B1579" t="str">
        <f t="shared" si="639"/>
        <v>54 LEWIS MINOR ST</v>
      </c>
      <c r="C1579" t="str">
        <f t="shared" si="629"/>
        <v>BLDG 250 09MMCK M MORELAND</v>
      </c>
      <c r="D1579" t="str">
        <f t="shared" si="634"/>
        <v>PORTSMOUTH</v>
      </c>
      <c r="E1579" t="str">
        <f t="shared" si="635"/>
        <v>VA</v>
      </c>
      <c r="F1579" t="str">
        <f t="shared" si="636"/>
        <v>237082207</v>
      </c>
      <c r="G1579" t="str">
        <f t="shared" si="630"/>
        <v>54 LEWIS MINOR ST</v>
      </c>
      <c r="H1579" t="str">
        <f t="shared" si="640"/>
        <v>BLDG 250 09MMCX M MORELAND</v>
      </c>
      <c r="I1579" t="str">
        <f t="shared" si="637"/>
        <v>PORTSMOUTH</v>
      </c>
      <c r="J1579" t="str">
        <f t="shared" si="638"/>
        <v>VA</v>
      </c>
      <c r="K1579" t="str">
        <f t="shared" si="641"/>
        <v>000000000000000000</v>
      </c>
      <c r="L1579" t="str">
        <f>T("7579538610")</f>
        <v>7579538610</v>
      </c>
    </row>
    <row r="1580" spans="1:12" x14ac:dyDescent="0.35">
      <c r="A1580" t="str">
        <f t="shared" si="633"/>
        <v>NMC PORTSMOUTH</v>
      </c>
      <c r="B1580" t="str">
        <f t="shared" si="639"/>
        <v>54 LEWIS MINOR ST</v>
      </c>
      <c r="C1580" t="str">
        <f t="shared" si="629"/>
        <v>BLDG 250 09MMCK M MORELAND</v>
      </c>
      <c r="D1580" t="str">
        <f t="shared" si="634"/>
        <v>PORTSMOUTH</v>
      </c>
      <c r="E1580" t="str">
        <f t="shared" si="635"/>
        <v>VA</v>
      </c>
      <c r="F1580" t="str">
        <f t="shared" si="636"/>
        <v>237082207</v>
      </c>
      <c r="G1580" t="str">
        <f t="shared" si="630"/>
        <v>54 LEWIS MINOR ST</v>
      </c>
      <c r="H1580" t="str">
        <f t="shared" si="640"/>
        <v>BLDG 250 09MMCX M MORELAND</v>
      </c>
      <c r="I1580" t="str">
        <f t="shared" si="637"/>
        <v>PORTSMOUTH</v>
      </c>
      <c r="J1580" t="str">
        <f t="shared" si="638"/>
        <v>VA</v>
      </c>
      <c r="K1580" t="str">
        <f t="shared" si="641"/>
        <v>000000000000000000</v>
      </c>
      <c r="L1580" t="str">
        <f>T("7579538615")</f>
        <v>7579538615</v>
      </c>
    </row>
    <row r="1581" spans="1:12" x14ac:dyDescent="0.35">
      <c r="A1581" t="str">
        <f t="shared" si="633"/>
        <v>NMC PORTSMOUTH</v>
      </c>
      <c r="B1581" t="str">
        <f t="shared" si="639"/>
        <v>54 LEWIS MINOR ST</v>
      </c>
      <c r="C1581" t="str">
        <f t="shared" si="629"/>
        <v>BLDG 250 09MMCK M MORELAND</v>
      </c>
      <c r="D1581" t="str">
        <f t="shared" si="634"/>
        <v>PORTSMOUTH</v>
      </c>
      <c r="E1581" t="str">
        <f t="shared" si="635"/>
        <v>VA</v>
      </c>
      <c r="F1581" t="str">
        <f t="shared" si="636"/>
        <v>237082207</v>
      </c>
      <c r="G1581" t="str">
        <f t="shared" si="630"/>
        <v>54 LEWIS MINOR ST</v>
      </c>
      <c r="H1581" t="str">
        <f t="shared" si="640"/>
        <v>BLDG 250 09MMCX M MORELAND</v>
      </c>
      <c r="I1581" t="str">
        <f t="shared" si="637"/>
        <v>PORTSMOUTH</v>
      </c>
      <c r="J1581" t="str">
        <f t="shared" si="638"/>
        <v>VA</v>
      </c>
      <c r="K1581" t="str">
        <f t="shared" si="641"/>
        <v>000000000000000000</v>
      </c>
      <c r="L1581" t="str">
        <f>T("7579539376")</f>
        <v>7579539376</v>
      </c>
    </row>
    <row r="1582" spans="1:12" x14ac:dyDescent="0.35">
      <c r="A1582" t="str">
        <f t="shared" si="633"/>
        <v>NMC PORTSMOUTH</v>
      </c>
      <c r="B1582" t="str">
        <f t="shared" si="639"/>
        <v>54 LEWIS MINOR ST</v>
      </c>
      <c r="C1582" t="str">
        <f t="shared" si="629"/>
        <v>BLDG 250 09MMCK M MORELAND</v>
      </c>
      <c r="D1582" t="str">
        <f t="shared" si="634"/>
        <v>PORTSMOUTH</v>
      </c>
      <c r="E1582" t="str">
        <f t="shared" si="635"/>
        <v>VA</v>
      </c>
      <c r="F1582" t="str">
        <f t="shared" si="636"/>
        <v>237082207</v>
      </c>
      <c r="G1582" t="str">
        <f t="shared" si="630"/>
        <v>54 LEWIS MINOR ST</v>
      </c>
      <c r="H1582" t="str">
        <f t="shared" si="640"/>
        <v>BLDG 250 09MMCX M MORELAND</v>
      </c>
      <c r="I1582" t="str">
        <f t="shared" si="637"/>
        <v>PORTSMOUTH</v>
      </c>
      <c r="J1582" t="str">
        <f t="shared" si="638"/>
        <v>VA</v>
      </c>
      <c r="K1582" t="str">
        <f t="shared" si="641"/>
        <v>000000000000000000</v>
      </c>
      <c r="L1582" t="str">
        <f>T("7579539787")</f>
        <v>7579539787</v>
      </c>
    </row>
    <row r="1583" spans="1:12" x14ac:dyDescent="0.35">
      <c r="A1583" t="str">
        <f t="shared" si="633"/>
        <v>NMC PORTSMOUTH</v>
      </c>
      <c r="B1583" t="str">
        <f t="shared" si="639"/>
        <v>54 LEWIS MINOR ST</v>
      </c>
      <c r="C1583" t="str">
        <f t="shared" ref="C1583:C1604" si="642">T("BLDG 250 09MMCK M MORELAND")</f>
        <v>BLDG 250 09MMCK M MORELAND</v>
      </c>
      <c r="D1583" t="str">
        <f t="shared" si="634"/>
        <v>PORTSMOUTH</v>
      </c>
      <c r="E1583" t="str">
        <f t="shared" si="635"/>
        <v>VA</v>
      </c>
      <c r="F1583" t="str">
        <f t="shared" si="636"/>
        <v>237082207</v>
      </c>
      <c r="G1583" t="str">
        <f t="shared" ref="G1583:G1599" si="643">T("54 LEWIS MINOR ST")</f>
        <v>54 LEWIS MINOR ST</v>
      </c>
      <c r="H1583" t="str">
        <f t="shared" si="640"/>
        <v>BLDG 250 09MMCX M MORELAND</v>
      </c>
      <c r="I1583" t="str">
        <f t="shared" si="637"/>
        <v>PORTSMOUTH</v>
      </c>
      <c r="J1583" t="str">
        <f t="shared" si="638"/>
        <v>VA</v>
      </c>
      <c r="K1583" t="str">
        <f t="shared" ref="K1583:K1598" si="644">T("7579535035")</f>
        <v>7579535035</v>
      </c>
      <c r="L1583" t="str">
        <f>T("7579531892")</f>
        <v>7579531892</v>
      </c>
    </row>
    <row r="1584" spans="1:12" x14ac:dyDescent="0.35">
      <c r="A1584" t="str">
        <f t="shared" si="633"/>
        <v>NMC PORTSMOUTH</v>
      </c>
      <c r="B1584" t="str">
        <f t="shared" si="639"/>
        <v>54 LEWIS MINOR ST</v>
      </c>
      <c r="C1584" t="str">
        <f t="shared" si="642"/>
        <v>BLDG 250 09MMCK M MORELAND</v>
      </c>
      <c r="D1584" t="str">
        <f t="shared" si="634"/>
        <v>PORTSMOUTH</v>
      </c>
      <c r="E1584" t="str">
        <f t="shared" si="635"/>
        <v>VA</v>
      </c>
      <c r="F1584" t="str">
        <f t="shared" si="636"/>
        <v>237082207</v>
      </c>
      <c r="G1584" t="str">
        <f t="shared" si="643"/>
        <v>54 LEWIS MINOR ST</v>
      </c>
      <c r="H1584" t="str">
        <f t="shared" si="640"/>
        <v>BLDG 250 09MMCX M MORELAND</v>
      </c>
      <c r="I1584" t="str">
        <f t="shared" si="637"/>
        <v>PORTSMOUTH</v>
      </c>
      <c r="J1584" t="str">
        <f t="shared" si="638"/>
        <v>VA</v>
      </c>
      <c r="K1584" t="str">
        <f t="shared" si="644"/>
        <v>7579535035</v>
      </c>
      <c r="L1584" t="str">
        <f>T("7579532357")</f>
        <v>7579532357</v>
      </c>
    </row>
    <row r="1585" spans="1:12" x14ac:dyDescent="0.35">
      <c r="A1585" t="str">
        <f t="shared" si="633"/>
        <v>NMC PORTSMOUTH</v>
      </c>
      <c r="B1585" t="str">
        <f t="shared" si="639"/>
        <v>54 LEWIS MINOR ST</v>
      </c>
      <c r="C1585" t="str">
        <f t="shared" si="642"/>
        <v>BLDG 250 09MMCK M MORELAND</v>
      </c>
      <c r="D1585" t="str">
        <f t="shared" si="634"/>
        <v>PORTSMOUTH</v>
      </c>
      <c r="E1585" t="str">
        <f t="shared" si="635"/>
        <v>VA</v>
      </c>
      <c r="F1585" t="str">
        <f t="shared" si="636"/>
        <v>237082207</v>
      </c>
      <c r="G1585" t="str">
        <f t="shared" si="643"/>
        <v>54 LEWIS MINOR ST</v>
      </c>
      <c r="H1585" t="str">
        <f t="shared" si="640"/>
        <v>BLDG 250 09MMCX M MORELAND</v>
      </c>
      <c r="I1585" t="str">
        <f t="shared" si="637"/>
        <v>PORTSMOUTH</v>
      </c>
      <c r="J1585" t="str">
        <f t="shared" si="638"/>
        <v>VA</v>
      </c>
      <c r="K1585" t="str">
        <f t="shared" si="644"/>
        <v>7579535035</v>
      </c>
      <c r="L1585" t="str">
        <f>T("7579532694")</f>
        <v>7579532694</v>
      </c>
    </row>
    <row r="1586" spans="1:12" x14ac:dyDescent="0.35">
      <c r="A1586" t="str">
        <f t="shared" si="633"/>
        <v>NMC PORTSMOUTH</v>
      </c>
      <c r="B1586" t="str">
        <f t="shared" si="639"/>
        <v>54 LEWIS MINOR ST</v>
      </c>
      <c r="C1586" t="str">
        <f t="shared" si="642"/>
        <v>BLDG 250 09MMCK M MORELAND</v>
      </c>
      <c r="D1586" t="str">
        <f t="shared" si="634"/>
        <v>PORTSMOUTH</v>
      </c>
      <c r="E1586" t="str">
        <f t="shared" si="635"/>
        <v>VA</v>
      </c>
      <c r="F1586" t="str">
        <f t="shared" si="636"/>
        <v>237082207</v>
      </c>
      <c r="G1586" t="str">
        <f t="shared" si="643"/>
        <v>54 LEWIS MINOR ST</v>
      </c>
      <c r="H1586" t="str">
        <f t="shared" si="640"/>
        <v>BLDG 250 09MMCX M MORELAND</v>
      </c>
      <c r="I1586" t="str">
        <f t="shared" si="637"/>
        <v>PORTSMOUTH</v>
      </c>
      <c r="J1586" t="str">
        <f t="shared" si="638"/>
        <v>VA</v>
      </c>
      <c r="K1586" t="str">
        <f t="shared" si="644"/>
        <v>7579535035</v>
      </c>
      <c r="L1586" t="str">
        <f>T("7579533747")</f>
        <v>7579533747</v>
      </c>
    </row>
    <row r="1587" spans="1:12" x14ac:dyDescent="0.35">
      <c r="A1587" t="str">
        <f t="shared" si="633"/>
        <v>NMC PORTSMOUTH</v>
      </c>
      <c r="B1587" t="str">
        <f t="shared" si="639"/>
        <v>54 LEWIS MINOR ST</v>
      </c>
      <c r="C1587" t="str">
        <f t="shared" si="642"/>
        <v>BLDG 250 09MMCK M MORELAND</v>
      </c>
      <c r="D1587" t="str">
        <f t="shared" si="634"/>
        <v>PORTSMOUTH</v>
      </c>
      <c r="E1587" t="str">
        <f t="shared" si="635"/>
        <v>VA</v>
      </c>
      <c r="F1587" t="str">
        <f t="shared" si="636"/>
        <v>237082207</v>
      </c>
      <c r="G1587" t="str">
        <f t="shared" si="643"/>
        <v>54 LEWIS MINOR ST</v>
      </c>
      <c r="H1587" t="str">
        <f t="shared" si="640"/>
        <v>BLDG 250 09MMCX M MORELAND</v>
      </c>
      <c r="I1587" t="str">
        <f t="shared" si="637"/>
        <v>PORTSMOUTH</v>
      </c>
      <c r="J1587" t="str">
        <f t="shared" si="638"/>
        <v>VA</v>
      </c>
      <c r="K1587" t="str">
        <f t="shared" si="644"/>
        <v>7579535035</v>
      </c>
      <c r="L1587" t="str">
        <f>T("7579535457")</f>
        <v>7579535457</v>
      </c>
    </row>
    <row r="1588" spans="1:12" x14ac:dyDescent="0.35">
      <c r="A1588" t="str">
        <f t="shared" si="633"/>
        <v>NMC PORTSMOUTH</v>
      </c>
      <c r="B1588" t="str">
        <f t="shared" si="639"/>
        <v>54 LEWIS MINOR ST</v>
      </c>
      <c r="C1588" t="str">
        <f t="shared" si="642"/>
        <v>BLDG 250 09MMCK M MORELAND</v>
      </c>
      <c r="D1588" t="str">
        <f t="shared" si="634"/>
        <v>PORTSMOUTH</v>
      </c>
      <c r="E1588" t="str">
        <f t="shared" si="635"/>
        <v>VA</v>
      </c>
      <c r="F1588" t="str">
        <f t="shared" si="636"/>
        <v>237082207</v>
      </c>
      <c r="G1588" t="str">
        <f t="shared" si="643"/>
        <v>54 LEWIS MINOR ST</v>
      </c>
      <c r="H1588" t="str">
        <f t="shared" si="640"/>
        <v>BLDG 250 09MMCX M MORELAND</v>
      </c>
      <c r="I1588" t="str">
        <f t="shared" si="637"/>
        <v>PORTSMOUTH</v>
      </c>
      <c r="J1588" t="str">
        <f t="shared" si="638"/>
        <v>VA</v>
      </c>
      <c r="K1588" t="str">
        <f t="shared" si="644"/>
        <v>7579535035</v>
      </c>
      <c r="L1588" t="str">
        <f>T("7579535545")</f>
        <v>7579535545</v>
      </c>
    </row>
    <row r="1589" spans="1:12" x14ac:dyDescent="0.35">
      <c r="A1589" t="str">
        <f t="shared" si="633"/>
        <v>NMC PORTSMOUTH</v>
      </c>
      <c r="B1589" t="str">
        <f t="shared" si="639"/>
        <v>54 LEWIS MINOR ST</v>
      </c>
      <c r="C1589" t="str">
        <f t="shared" si="642"/>
        <v>BLDG 250 09MMCK M MORELAND</v>
      </c>
      <c r="D1589" t="str">
        <f t="shared" si="634"/>
        <v>PORTSMOUTH</v>
      </c>
      <c r="E1589" t="str">
        <f t="shared" si="635"/>
        <v>VA</v>
      </c>
      <c r="F1589" t="str">
        <f t="shared" si="636"/>
        <v>237082207</v>
      </c>
      <c r="G1589" t="str">
        <f t="shared" si="643"/>
        <v>54 LEWIS MINOR ST</v>
      </c>
      <c r="H1589" t="str">
        <f t="shared" si="640"/>
        <v>BLDG 250 09MMCX M MORELAND</v>
      </c>
      <c r="I1589" t="str">
        <f t="shared" si="637"/>
        <v>PORTSMOUTH</v>
      </c>
      <c r="J1589" t="str">
        <f t="shared" si="638"/>
        <v>VA</v>
      </c>
      <c r="K1589" t="str">
        <f t="shared" si="644"/>
        <v>7579535035</v>
      </c>
      <c r="L1589" t="str">
        <f>T("7579535851")</f>
        <v>7579535851</v>
      </c>
    </row>
    <row r="1590" spans="1:12" x14ac:dyDescent="0.35">
      <c r="A1590" t="str">
        <f t="shared" si="633"/>
        <v>NMC PORTSMOUTH</v>
      </c>
      <c r="B1590" t="str">
        <f t="shared" si="639"/>
        <v>54 LEWIS MINOR ST</v>
      </c>
      <c r="C1590" t="str">
        <f t="shared" si="642"/>
        <v>BLDG 250 09MMCK M MORELAND</v>
      </c>
      <c r="D1590" t="str">
        <f t="shared" si="634"/>
        <v>PORTSMOUTH</v>
      </c>
      <c r="E1590" t="str">
        <f t="shared" si="635"/>
        <v>VA</v>
      </c>
      <c r="F1590" t="str">
        <f t="shared" si="636"/>
        <v>237082207</v>
      </c>
      <c r="G1590" t="str">
        <f t="shared" si="643"/>
        <v>54 LEWIS MINOR ST</v>
      </c>
      <c r="H1590" t="str">
        <f t="shared" si="640"/>
        <v>BLDG 250 09MMCX M MORELAND</v>
      </c>
      <c r="I1590" t="str">
        <f t="shared" si="637"/>
        <v>PORTSMOUTH</v>
      </c>
      <c r="J1590" t="str">
        <f t="shared" si="638"/>
        <v>VA</v>
      </c>
      <c r="K1590" t="str">
        <f t="shared" si="644"/>
        <v>7579535035</v>
      </c>
      <c r="L1590" t="str">
        <f>T("7579536122")</f>
        <v>7579536122</v>
      </c>
    </row>
    <row r="1591" spans="1:12" x14ac:dyDescent="0.35">
      <c r="A1591" t="str">
        <f t="shared" si="633"/>
        <v>NMC PORTSMOUTH</v>
      </c>
      <c r="B1591" t="str">
        <f t="shared" si="639"/>
        <v>54 LEWIS MINOR ST</v>
      </c>
      <c r="C1591" t="str">
        <f t="shared" si="642"/>
        <v>BLDG 250 09MMCK M MORELAND</v>
      </c>
      <c r="D1591" t="str">
        <f t="shared" si="634"/>
        <v>PORTSMOUTH</v>
      </c>
      <c r="E1591" t="str">
        <f t="shared" si="635"/>
        <v>VA</v>
      </c>
      <c r="F1591" t="str">
        <f t="shared" si="636"/>
        <v>237082207</v>
      </c>
      <c r="G1591" t="str">
        <f t="shared" si="643"/>
        <v>54 LEWIS MINOR ST</v>
      </c>
      <c r="H1591" t="str">
        <f t="shared" si="640"/>
        <v>BLDG 250 09MMCX M MORELAND</v>
      </c>
      <c r="I1591" t="str">
        <f t="shared" si="637"/>
        <v>PORTSMOUTH</v>
      </c>
      <c r="J1591" t="str">
        <f t="shared" si="638"/>
        <v>VA</v>
      </c>
      <c r="K1591" t="str">
        <f t="shared" si="644"/>
        <v>7579535035</v>
      </c>
      <c r="L1591" t="str">
        <f>T("7579537401")</f>
        <v>7579537401</v>
      </c>
    </row>
    <row r="1592" spans="1:12" x14ac:dyDescent="0.35">
      <c r="A1592" t="str">
        <f t="shared" si="633"/>
        <v>NMC PORTSMOUTH</v>
      </c>
      <c r="B1592" t="str">
        <f t="shared" si="639"/>
        <v>54 LEWIS MINOR ST</v>
      </c>
      <c r="C1592" t="str">
        <f t="shared" si="642"/>
        <v>BLDG 250 09MMCK M MORELAND</v>
      </c>
      <c r="D1592" t="str">
        <f t="shared" si="634"/>
        <v>PORTSMOUTH</v>
      </c>
      <c r="E1592" t="str">
        <f t="shared" si="635"/>
        <v>VA</v>
      </c>
      <c r="F1592" t="str">
        <f t="shared" si="636"/>
        <v>237082207</v>
      </c>
      <c r="G1592" t="str">
        <f t="shared" si="643"/>
        <v>54 LEWIS MINOR ST</v>
      </c>
      <c r="H1592" t="str">
        <f t="shared" si="640"/>
        <v>BLDG 250 09MMCX M MORELAND</v>
      </c>
      <c r="I1592" t="str">
        <f t="shared" si="637"/>
        <v>PORTSMOUTH</v>
      </c>
      <c r="J1592" t="str">
        <f t="shared" si="638"/>
        <v>VA</v>
      </c>
      <c r="K1592" t="str">
        <f t="shared" si="644"/>
        <v>7579535035</v>
      </c>
      <c r="L1592" t="str">
        <f>T("7579537409")</f>
        <v>7579537409</v>
      </c>
    </row>
    <row r="1593" spans="1:12" x14ac:dyDescent="0.35">
      <c r="A1593" t="str">
        <f t="shared" si="633"/>
        <v>NMC PORTSMOUTH</v>
      </c>
      <c r="B1593" t="str">
        <f t="shared" si="639"/>
        <v>54 LEWIS MINOR ST</v>
      </c>
      <c r="C1593" t="str">
        <f t="shared" si="642"/>
        <v>BLDG 250 09MMCK M MORELAND</v>
      </c>
      <c r="D1593" t="str">
        <f t="shared" si="634"/>
        <v>PORTSMOUTH</v>
      </c>
      <c r="E1593" t="str">
        <f t="shared" si="635"/>
        <v>VA</v>
      </c>
      <c r="F1593" t="str">
        <f t="shared" si="636"/>
        <v>237082207</v>
      </c>
      <c r="G1593" t="str">
        <f t="shared" si="643"/>
        <v>54 LEWIS MINOR ST</v>
      </c>
      <c r="H1593" t="str">
        <f t="shared" si="640"/>
        <v>BLDG 250 09MMCX M MORELAND</v>
      </c>
      <c r="I1593" t="str">
        <f t="shared" si="637"/>
        <v>PORTSMOUTH</v>
      </c>
      <c r="J1593" t="str">
        <f t="shared" si="638"/>
        <v>VA</v>
      </c>
      <c r="K1593" t="str">
        <f t="shared" si="644"/>
        <v>7579535035</v>
      </c>
      <c r="L1593" t="str">
        <f>T("7579538306")</f>
        <v>7579538306</v>
      </c>
    </row>
    <row r="1594" spans="1:12" x14ac:dyDescent="0.35">
      <c r="A1594" t="str">
        <f t="shared" si="633"/>
        <v>NMC PORTSMOUTH</v>
      </c>
      <c r="B1594" t="str">
        <f t="shared" si="639"/>
        <v>54 LEWIS MINOR ST</v>
      </c>
      <c r="C1594" t="str">
        <f t="shared" si="642"/>
        <v>BLDG 250 09MMCK M MORELAND</v>
      </c>
      <c r="D1594" t="str">
        <f t="shared" si="634"/>
        <v>PORTSMOUTH</v>
      </c>
      <c r="E1594" t="str">
        <f t="shared" si="635"/>
        <v>VA</v>
      </c>
      <c r="F1594" t="str">
        <f t="shared" si="636"/>
        <v>237082207</v>
      </c>
      <c r="G1594" t="str">
        <f t="shared" si="643"/>
        <v>54 LEWIS MINOR ST</v>
      </c>
      <c r="H1594" t="str">
        <f t="shared" si="640"/>
        <v>BLDG 250 09MMCX M MORELAND</v>
      </c>
      <c r="I1594" t="str">
        <f t="shared" si="637"/>
        <v>PORTSMOUTH</v>
      </c>
      <c r="J1594" t="str">
        <f t="shared" si="638"/>
        <v>VA</v>
      </c>
      <c r="K1594" t="str">
        <f t="shared" si="644"/>
        <v>7579535035</v>
      </c>
      <c r="L1594" t="str">
        <f>T("7579538334")</f>
        <v>7579538334</v>
      </c>
    </row>
    <row r="1595" spans="1:12" x14ac:dyDescent="0.35">
      <c r="A1595" t="str">
        <f t="shared" si="633"/>
        <v>NMC PORTSMOUTH</v>
      </c>
      <c r="B1595" t="str">
        <f t="shared" si="639"/>
        <v>54 LEWIS MINOR ST</v>
      </c>
      <c r="C1595" t="str">
        <f t="shared" si="642"/>
        <v>BLDG 250 09MMCK M MORELAND</v>
      </c>
      <c r="D1595" t="str">
        <f t="shared" si="634"/>
        <v>PORTSMOUTH</v>
      </c>
      <c r="E1595" t="str">
        <f t="shared" si="635"/>
        <v>VA</v>
      </c>
      <c r="F1595" t="str">
        <f t="shared" si="636"/>
        <v>237082207</v>
      </c>
      <c r="G1595" t="str">
        <f t="shared" si="643"/>
        <v>54 LEWIS MINOR ST</v>
      </c>
      <c r="H1595" t="str">
        <f t="shared" si="640"/>
        <v>BLDG 250 09MMCX M MORELAND</v>
      </c>
      <c r="I1595" t="str">
        <f t="shared" si="637"/>
        <v>PORTSMOUTH</v>
      </c>
      <c r="J1595" t="str">
        <f t="shared" si="638"/>
        <v>VA</v>
      </c>
      <c r="K1595" t="str">
        <f t="shared" si="644"/>
        <v>7579535035</v>
      </c>
      <c r="L1595" t="str">
        <f>T("7579538444")</f>
        <v>7579538444</v>
      </c>
    </row>
    <row r="1596" spans="1:12" x14ac:dyDescent="0.35">
      <c r="A1596" t="str">
        <f t="shared" si="633"/>
        <v>NMC PORTSMOUTH</v>
      </c>
      <c r="B1596" t="str">
        <f t="shared" si="639"/>
        <v>54 LEWIS MINOR ST</v>
      </c>
      <c r="C1596" t="str">
        <f t="shared" si="642"/>
        <v>BLDG 250 09MMCK M MORELAND</v>
      </c>
      <c r="D1596" t="str">
        <f t="shared" si="634"/>
        <v>PORTSMOUTH</v>
      </c>
      <c r="E1596" t="str">
        <f t="shared" si="635"/>
        <v>VA</v>
      </c>
      <c r="F1596" t="str">
        <f t="shared" si="636"/>
        <v>237082207</v>
      </c>
      <c r="G1596" t="str">
        <f t="shared" si="643"/>
        <v>54 LEWIS MINOR ST</v>
      </c>
      <c r="H1596" t="str">
        <f t="shared" si="640"/>
        <v>BLDG 250 09MMCX M MORELAND</v>
      </c>
      <c r="I1596" t="str">
        <f t="shared" si="637"/>
        <v>PORTSMOUTH</v>
      </c>
      <c r="J1596" t="str">
        <f t="shared" si="638"/>
        <v>VA</v>
      </c>
      <c r="K1596" t="str">
        <f t="shared" si="644"/>
        <v>7579535035</v>
      </c>
      <c r="L1596" t="str">
        <f>T("7579538617")</f>
        <v>7579538617</v>
      </c>
    </row>
    <row r="1597" spans="1:12" x14ac:dyDescent="0.35">
      <c r="A1597" t="str">
        <f t="shared" si="633"/>
        <v>NMC PORTSMOUTH</v>
      </c>
      <c r="B1597" t="str">
        <f t="shared" si="639"/>
        <v>54 LEWIS MINOR ST</v>
      </c>
      <c r="C1597" t="str">
        <f t="shared" si="642"/>
        <v>BLDG 250 09MMCK M MORELAND</v>
      </c>
      <c r="D1597" t="str">
        <f t="shared" si="634"/>
        <v>PORTSMOUTH</v>
      </c>
      <c r="E1597" t="str">
        <f t="shared" si="635"/>
        <v>VA</v>
      </c>
      <c r="F1597" t="str">
        <f t="shared" si="636"/>
        <v>237082207</v>
      </c>
      <c r="G1597" t="str">
        <f t="shared" si="643"/>
        <v>54 LEWIS MINOR ST</v>
      </c>
      <c r="H1597" t="str">
        <f t="shared" si="640"/>
        <v>BLDG 250 09MMCX M MORELAND</v>
      </c>
      <c r="I1597" t="str">
        <f t="shared" si="637"/>
        <v>PORTSMOUTH</v>
      </c>
      <c r="J1597" t="str">
        <f t="shared" si="638"/>
        <v>VA</v>
      </c>
      <c r="K1597" t="str">
        <f t="shared" si="644"/>
        <v>7579535035</v>
      </c>
      <c r="L1597" t="str">
        <f>T("7579538886")</f>
        <v>7579538886</v>
      </c>
    </row>
    <row r="1598" spans="1:12" x14ac:dyDescent="0.35">
      <c r="A1598" t="str">
        <f t="shared" si="633"/>
        <v>NMC PORTSMOUTH</v>
      </c>
      <c r="B1598" t="str">
        <f t="shared" si="639"/>
        <v>54 LEWIS MINOR ST</v>
      </c>
      <c r="C1598" t="str">
        <f t="shared" si="642"/>
        <v>BLDG 250 09MMCK M MORELAND</v>
      </c>
      <c r="D1598" t="str">
        <f t="shared" si="634"/>
        <v>PORTSMOUTH</v>
      </c>
      <c r="E1598" t="str">
        <f t="shared" si="635"/>
        <v>VA</v>
      </c>
      <c r="F1598" t="str">
        <f t="shared" si="636"/>
        <v>237082207</v>
      </c>
      <c r="G1598" t="str">
        <f t="shared" si="643"/>
        <v>54 LEWIS MINOR ST</v>
      </c>
      <c r="H1598" t="str">
        <f t="shared" si="640"/>
        <v>BLDG 250 09MMCX M MORELAND</v>
      </c>
      <c r="I1598" t="str">
        <f t="shared" si="637"/>
        <v>PORTSMOUTH</v>
      </c>
      <c r="J1598" t="str">
        <f t="shared" si="638"/>
        <v>VA</v>
      </c>
      <c r="K1598" t="str">
        <f t="shared" si="644"/>
        <v>7579535035</v>
      </c>
      <c r="L1598" t="str">
        <f>T("7579539380")</f>
        <v>7579539380</v>
      </c>
    </row>
    <row r="1599" spans="1:12" x14ac:dyDescent="0.35">
      <c r="A1599" t="str">
        <f t="shared" si="633"/>
        <v>NMC PORTSMOUTH</v>
      </c>
      <c r="B1599" t="str">
        <f t="shared" si="639"/>
        <v>54 LEWIS MINOR ST</v>
      </c>
      <c r="C1599" t="str">
        <f t="shared" si="642"/>
        <v>BLDG 250 09MMCK M MORELAND</v>
      </c>
      <c r="D1599" t="str">
        <f t="shared" si="634"/>
        <v>PORTSMOUTH</v>
      </c>
      <c r="E1599" t="str">
        <f t="shared" si="635"/>
        <v>VA</v>
      </c>
      <c r="F1599" t="str">
        <f t="shared" si="636"/>
        <v>237082207</v>
      </c>
      <c r="G1599" t="str">
        <f t="shared" si="643"/>
        <v>54 LEWIS MINOR ST</v>
      </c>
      <c r="H1599" t="str">
        <f>T("BLDG 250, 09MMCX, M.MORELAND")</f>
        <v>BLDG 250, 09MMCX, M.MORELAND</v>
      </c>
      <c r="I1599" t="str">
        <f t="shared" si="637"/>
        <v>PORTSMOUTH</v>
      </c>
      <c r="J1599" t="str">
        <f t="shared" si="638"/>
        <v>VA</v>
      </c>
      <c r="K1599" t="str">
        <f t="shared" ref="K1599:K1604" si="645">T("000000000000000000")</f>
        <v>000000000000000000</v>
      </c>
      <c r="L1599" t="str">
        <f>T("7579538207")</f>
        <v>7579538207</v>
      </c>
    </row>
    <row r="1600" spans="1:12" x14ac:dyDescent="0.35">
      <c r="A1600" t="str">
        <f t="shared" si="633"/>
        <v>NMC PORTSMOUTH</v>
      </c>
      <c r="B1600" t="str">
        <f t="shared" si="639"/>
        <v>54 LEWIS MINOR ST</v>
      </c>
      <c r="C1600" t="str">
        <f t="shared" si="642"/>
        <v>BLDG 250 09MMCK M MORELAND</v>
      </c>
      <c r="D1600" t="str">
        <f t="shared" si="634"/>
        <v>PORTSMOUTH</v>
      </c>
      <c r="E1600" t="str">
        <f t="shared" si="635"/>
        <v>VA</v>
      </c>
      <c r="F1600" t="str">
        <f t="shared" si="636"/>
        <v>237082207</v>
      </c>
      <c r="G1600" t="str">
        <f>T("54 LEWIS MINORS STREET")</f>
        <v>54 LEWIS MINORS STREET</v>
      </c>
      <c r="H1600" t="str">
        <f>T("BLDG 250 09MMCX M MORELAND")</f>
        <v>BLDG 250 09MMCX M MORELAND</v>
      </c>
      <c r="I1600" t="str">
        <f t="shared" si="637"/>
        <v>PORTSMOUTH</v>
      </c>
      <c r="J1600" t="str">
        <f t="shared" si="638"/>
        <v>VA</v>
      </c>
      <c r="K1600" t="str">
        <f t="shared" si="645"/>
        <v>000000000000000000</v>
      </c>
      <c r="L1600" t="str">
        <f>T("7579535258")</f>
        <v>7579535258</v>
      </c>
    </row>
    <row r="1601" spans="1:12" x14ac:dyDescent="0.35">
      <c r="A1601" t="str">
        <f t="shared" si="633"/>
        <v>NMC PORTSMOUTH</v>
      </c>
      <c r="B1601" t="str">
        <f t="shared" si="639"/>
        <v>54 LEWIS MINOR ST</v>
      </c>
      <c r="C1601" t="str">
        <f t="shared" si="642"/>
        <v>BLDG 250 09MMCK M MORELAND</v>
      </c>
      <c r="D1601" t="str">
        <f t="shared" si="634"/>
        <v>PORTSMOUTH</v>
      </c>
      <c r="E1601" t="str">
        <f t="shared" si="635"/>
        <v>VA</v>
      </c>
      <c r="F1601" t="str">
        <f t="shared" si="636"/>
        <v>237082207</v>
      </c>
      <c r="G1601" t="str">
        <f>T("620 JOHN PAUL JONES CIRCLE")</f>
        <v>620 JOHN PAUL JONES CIRCLE</v>
      </c>
      <c r="H1601" t="str">
        <f>T("BLDG 2 2ND FL")</f>
        <v>BLDG 2 2ND FL</v>
      </c>
      <c r="I1601" t="str">
        <f t="shared" si="637"/>
        <v>PORTSMOUTH</v>
      </c>
      <c r="J1601" t="str">
        <f t="shared" si="638"/>
        <v>VA</v>
      </c>
      <c r="K1601" t="str">
        <f t="shared" si="645"/>
        <v>000000000000000000</v>
      </c>
      <c r="L1601" t="str">
        <f>T("7579530264")</f>
        <v>7579530264</v>
      </c>
    </row>
    <row r="1602" spans="1:12" x14ac:dyDescent="0.35">
      <c r="A1602" t="str">
        <f t="shared" si="633"/>
        <v>NMC PORTSMOUTH</v>
      </c>
      <c r="B1602" t="str">
        <f t="shared" si="639"/>
        <v>54 LEWIS MINOR ST</v>
      </c>
      <c r="C1602" t="str">
        <f t="shared" si="642"/>
        <v>BLDG 250 09MMCK M MORELAND</v>
      </c>
      <c r="D1602" t="str">
        <f t="shared" si="634"/>
        <v>PORTSMOUTH</v>
      </c>
      <c r="E1602" t="str">
        <f t="shared" si="635"/>
        <v>VA</v>
      </c>
      <c r="F1602" t="str">
        <f t="shared" si="636"/>
        <v>237082207</v>
      </c>
      <c r="G1602" t="str">
        <f>T("LIBRARY SERVICES")</f>
        <v>LIBRARY SERVICES</v>
      </c>
      <c r="H1602" t="str">
        <f>T("620 JOHN PAUL JONES CIRCLE")</f>
        <v>620 JOHN PAUL JONES CIRCLE</v>
      </c>
      <c r="I1602" t="str">
        <f t="shared" si="637"/>
        <v>PORTSMOUTH</v>
      </c>
      <c r="J1602" t="str">
        <f t="shared" si="638"/>
        <v>VA</v>
      </c>
      <c r="K1602" t="str">
        <f t="shared" si="645"/>
        <v>000000000000000000</v>
      </c>
      <c r="L1602" t="str">
        <f>T("7579535383")</f>
        <v>7579535383</v>
      </c>
    </row>
    <row r="1603" spans="1:12" x14ac:dyDescent="0.35">
      <c r="A1603" t="str">
        <f t="shared" ref="A1603:A1634" si="646">T("NMC PORTSMOUTH")</f>
        <v>NMC PORTSMOUTH</v>
      </c>
      <c r="B1603" t="str">
        <f t="shared" si="639"/>
        <v>54 LEWIS MINOR ST</v>
      </c>
      <c r="C1603" t="str">
        <f t="shared" si="642"/>
        <v>BLDG 250 09MMCK M MORELAND</v>
      </c>
      <c r="D1603" t="str">
        <f t="shared" ref="D1603:D1634" si="647">T("PORTSMOUTH")</f>
        <v>PORTSMOUTH</v>
      </c>
      <c r="E1603" t="str">
        <f t="shared" ref="E1603:E1634" si="648">T("VA")</f>
        <v>VA</v>
      </c>
      <c r="F1603" t="str">
        <f t="shared" ref="F1603:F1634" si="649">T("237082207")</f>
        <v>237082207</v>
      </c>
      <c r="G1603" t="str">
        <f>T("MEDICAL LIBRARY/BLDG 215")</f>
        <v>MEDICAL LIBRARY/BLDG 215</v>
      </c>
      <c r="H1603" t="str">
        <f>T("620 JOHN PAUL JONES CIRCLE")</f>
        <v>620 JOHN PAUL JONES CIRCLE</v>
      </c>
      <c r="I1603" t="str">
        <f t="shared" ref="I1603:I1611" si="650">T("PORTSMOUTH")</f>
        <v>PORTSMOUTH</v>
      </c>
      <c r="J1603" t="str">
        <f t="shared" ref="J1603:J1634" si="651">T("VA")</f>
        <v>VA</v>
      </c>
      <c r="K1603" t="str">
        <f t="shared" si="645"/>
        <v>000000000000000000</v>
      </c>
      <c r="L1603" t="str">
        <f>T("7579535386")</f>
        <v>7579535386</v>
      </c>
    </row>
    <row r="1604" spans="1:12" x14ac:dyDescent="0.35">
      <c r="A1604" t="str">
        <f t="shared" si="646"/>
        <v>NMC PORTSMOUTH</v>
      </c>
      <c r="B1604" t="str">
        <f t="shared" si="639"/>
        <v>54 LEWIS MINOR ST</v>
      </c>
      <c r="C1604" t="str">
        <f t="shared" si="642"/>
        <v>BLDG 250 09MMCK M MORELAND</v>
      </c>
      <c r="D1604" t="str">
        <f t="shared" si="647"/>
        <v>PORTSMOUTH</v>
      </c>
      <c r="E1604" t="str">
        <f t="shared" si="648"/>
        <v>VA</v>
      </c>
      <c r="F1604" t="str">
        <f t="shared" si="649"/>
        <v>237082207</v>
      </c>
      <c r="G1604" t="str">
        <f>T("PHARMACY BLDG 2")</f>
        <v>PHARMACY BLDG 2</v>
      </c>
      <c r="H1604" t="str">
        <f>T("27 EFFINGHAM ST")</f>
        <v>27 EFFINGHAM ST</v>
      </c>
      <c r="I1604" t="str">
        <f t="shared" si="650"/>
        <v>PORTSMOUTH</v>
      </c>
      <c r="J1604" t="str">
        <f t="shared" si="651"/>
        <v>VA</v>
      </c>
      <c r="K1604" t="str">
        <f t="shared" si="645"/>
        <v>000000000000000000</v>
      </c>
      <c r="L1604" t="str">
        <f>T("7579530261")</f>
        <v>7579530261</v>
      </c>
    </row>
    <row r="1605" spans="1:12" x14ac:dyDescent="0.35">
      <c r="A1605" t="str">
        <f t="shared" si="646"/>
        <v>NMC PORTSMOUTH</v>
      </c>
      <c r="B1605" t="str">
        <f t="shared" si="639"/>
        <v>54 LEWIS MINOR ST</v>
      </c>
      <c r="C1605" t="str">
        <f t="shared" ref="C1605:C1611" si="652">T("BLDG 250 09MMCK MMORELAND")</f>
        <v>BLDG 250 09MMCK MMORELAND</v>
      </c>
      <c r="D1605" t="str">
        <f t="shared" si="647"/>
        <v>PORTSMOUTH</v>
      </c>
      <c r="E1605" t="str">
        <f t="shared" si="648"/>
        <v>VA</v>
      </c>
      <c r="F1605" t="str">
        <f t="shared" si="649"/>
        <v>237082207</v>
      </c>
      <c r="G1605" t="str">
        <f t="shared" ref="G1605:G1610" si="653">T("54 LEWIS MINOR ST")</f>
        <v>54 LEWIS MINOR ST</v>
      </c>
      <c r="H1605" t="str">
        <f>T("BLDG 250 09MMCK MMORELAND")</f>
        <v>BLDG 250 09MMCK MMORELAND</v>
      </c>
      <c r="I1605" t="str">
        <f t="shared" si="650"/>
        <v>PORTSMOUTH</v>
      </c>
      <c r="J1605" t="str">
        <f t="shared" si="651"/>
        <v>VA</v>
      </c>
      <c r="K1605" t="str">
        <f>T("7579535035")</f>
        <v>7579535035</v>
      </c>
      <c r="L1605" t="str">
        <f>T("7579532910")</f>
        <v>7579532910</v>
      </c>
    </row>
    <row r="1606" spans="1:12" x14ac:dyDescent="0.35">
      <c r="A1606" t="str">
        <f t="shared" si="646"/>
        <v>NMC PORTSMOUTH</v>
      </c>
      <c r="B1606" t="str">
        <f t="shared" si="639"/>
        <v>54 LEWIS MINOR ST</v>
      </c>
      <c r="C1606" t="str">
        <f t="shared" si="652"/>
        <v>BLDG 250 09MMCK MMORELAND</v>
      </c>
      <c r="D1606" t="str">
        <f t="shared" si="647"/>
        <v>PORTSMOUTH</v>
      </c>
      <c r="E1606" t="str">
        <f t="shared" si="648"/>
        <v>VA</v>
      </c>
      <c r="F1606" t="str">
        <f t="shared" si="649"/>
        <v>237082207</v>
      </c>
      <c r="G1606" t="str">
        <f t="shared" si="653"/>
        <v>54 LEWIS MINOR ST</v>
      </c>
      <c r="H1606" t="str">
        <f t="shared" ref="H1606:H1611" si="654">T("BLDG 250 09MMCX M MORELAND")</f>
        <v>BLDG 250 09MMCX M MORELAND</v>
      </c>
      <c r="I1606" t="str">
        <f t="shared" si="650"/>
        <v>PORTSMOUTH</v>
      </c>
      <c r="J1606" t="str">
        <f t="shared" si="651"/>
        <v>VA</v>
      </c>
      <c r="K1606" t="str">
        <f>T("000000000000000000")</f>
        <v>000000000000000000</v>
      </c>
      <c r="L1606" t="str">
        <f>T("7579537570")</f>
        <v>7579537570</v>
      </c>
    </row>
    <row r="1607" spans="1:12" x14ac:dyDescent="0.35">
      <c r="A1607" t="str">
        <f t="shared" si="646"/>
        <v>NMC PORTSMOUTH</v>
      </c>
      <c r="B1607" t="str">
        <f t="shared" ref="B1607:B1638" si="655">T("54 LEWIS MINOR ST")</f>
        <v>54 LEWIS MINOR ST</v>
      </c>
      <c r="C1607" t="str">
        <f t="shared" si="652"/>
        <v>BLDG 250 09MMCK MMORELAND</v>
      </c>
      <c r="D1607" t="str">
        <f t="shared" si="647"/>
        <v>PORTSMOUTH</v>
      </c>
      <c r="E1607" t="str">
        <f t="shared" si="648"/>
        <v>VA</v>
      </c>
      <c r="F1607" t="str">
        <f t="shared" si="649"/>
        <v>237082207</v>
      </c>
      <c r="G1607" t="str">
        <f t="shared" si="653"/>
        <v>54 LEWIS MINOR ST</v>
      </c>
      <c r="H1607" t="str">
        <f t="shared" si="654"/>
        <v>BLDG 250 09MMCX M MORELAND</v>
      </c>
      <c r="I1607" t="str">
        <f t="shared" si="650"/>
        <v>PORTSMOUTH</v>
      </c>
      <c r="J1607" t="str">
        <f t="shared" si="651"/>
        <v>VA</v>
      </c>
      <c r="K1607" t="str">
        <f>T("7579535035")</f>
        <v>7579535035</v>
      </c>
      <c r="L1607" t="str">
        <f>T("7579535056")</f>
        <v>7579535056</v>
      </c>
    </row>
    <row r="1608" spans="1:12" x14ac:dyDescent="0.35">
      <c r="A1608" t="str">
        <f t="shared" si="646"/>
        <v>NMC PORTSMOUTH</v>
      </c>
      <c r="B1608" t="str">
        <f t="shared" si="655"/>
        <v>54 LEWIS MINOR ST</v>
      </c>
      <c r="C1608" t="str">
        <f t="shared" si="652"/>
        <v>BLDG 250 09MMCK MMORELAND</v>
      </c>
      <c r="D1608" t="str">
        <f t="shared" si="647"/>
        <v>PORTSMOUTH</v>
      </c>
      <c r="E1608" t="str">
        <f t="shared" si="648"/>
        <v>VA</v>
      </c>
      <c r="F1608" t="str">
        <f t="shared" si="649"/>
        <v>237082207</v>
      </c>
      <c r="G1608" t="str">
        <f t="shared" si="653"/>
        <v>54 LEWIS MINOR ST</v>
      </c>
      <c r="H1608" t="str">
        <f t="shared" si="654"/>
        <v>BLDG 250 09MMCX M MORELAND</v>
      </c>
      <c r="I1608" t="str">
        <f t="shared" si="650"/>
        <v>PORTSMOUTH</v>
      </c>
      <c r="J1608" t="str">
        <f t="shared" si="651"/>
        <v>VA</v>
      </c>
      <c r="K1608" t="str">
        <f>T("7579535035")</f>
        <v>7579535035</v>
      </c>
      <c r="L1608" t="str">
        <f>T("7579535331")</f>
        <v>7579535331</v>
      </c>
    </row>
    <row r="1609" spans="1:12" x14ac:dyDescent="0.35">
      <c r="A1609" t="str">
        <f t="shared" si="646"/>
        <v>NMC PORTSMOUTH</v>
      </c>
      <c r="B1609" t="str">
        <f t="shared" si="655"/>
        <v>54 LEWIS MINOR ST</v>
      </c>
      <c r="C1609" t="str">
        <f t="shared" si="652"/>
        <v>BLDG 250 09MMCK MMORELAND</v>
      </c>
      <c r="D1609" t="str">
        <f t="shared" si="647"/>
        <v>PORTSMOUTH</v>
      </c>
      <c r="E1609" t="str">
        <f t="shared" si="648"/>
        <v>VA</v>
      </c>
      <c r="F1609" t="str">
        <f t="shared" si="649"/>
        <v>237082207</v>
      </c>
      <c r="G1609" t="str">
        <f t="shared" si="653"/>
        <v>54 LEWIS MINOR ST</v>
      </c>
      <c r="H1609" t="str">
        <f t="shared" si="654"/>
        <v>BLDG 250 09MMCX M MORELAND</v>
      </c>
      <c r="I1609" t="str">
        <f t="shared" si="650"/>
        <v>PORTSMOUTH</v>
      </c>
      <c r="J1609" t="str">
        <f t="shared" si="651"/>
        <v>VA</v>
      </c>
      <c r="K1609" t="str">
        <f>T("7579535035")</f>
        <v>7579535035</v>
      </c>
      <c r="L1609" t="str">
        <f>T("7579535334")</f>
        <v>7579535334</v>
      </c>
    </row>
    <row r="1610" spans="1:12" x14ac:dyDescent="0.35">
      <c r="A1610" t="str">
        <f t="shared" si="646"/>
        <v>NMC PORTSMOUTH</v>
      </c>
      <c r="B1610" t="str">
        <f t="shared" si="655"/>
        <v>54 LEWIS MINOR ST</v>
      </c>
      <c r="C1610" t="str">
        <f t="shared" si="652"/>
        <v>BLDG 250 09MMCK MMORELAND</v>
      </c>
      <c r="D1610" t="str">
        <f t="shared" si="647"/>
        <v>PORTSMOUTH</v>
      </c>
      <c r="E1610" t="str">
        <f t="shared" si="648"/>
        <v>VA</v>
      </c>
      <c r="F1610" t="str">
        <f t="shared" si="649"/>
        <v>237082207</v>
      </c>
      <c r="G1610" t="str">
        <f t="shared" si="653"/>
        <v>54 LEWIS MINOR ST</v>
      </c>
      <c r="H1610" t="str">
        <f t="shared" si="654"/>
        <v>BLDG 250 09MMCX M MORELAND</v>
      </c>
      <c r="I1610" t="str">
        <f t="shared" si="650"/>
        <v>PORTSMOUTH</v>
      </c>
      <c r="J1610" t="str">
        <f t="shared" si="651"/>
        <v>VA</v>
      </c>
      <c r="K1610" t="str">
        <f>T("7579535035")</f>
        <v>7579535035</v>
      </c>
      <c r="L1610" t="str">
        <f>T("7579535750")</f>
        <v>7579535750</v>
      </c>
    </row>
    <row r="1611" spans="1:12" x14ac:dyDescent="0.35">
      <c r="A1611" t="str">
        <f t="shared" si="646"/>
        <v>NMC PORTSMOUTH</v>
      </c>
      <c r="B1611" t="str">
        <f t="shared" si="655"/>
        <v>54 LEWIS MINOR ST</v>
      </c>
      <c r="C1611" t="str">
        <f t="shared" si="652"/>
        <v>BLDG 250 09MMCK MMORELAND</v>
      </c>
      <c r="D1611" t="str">
        <f t="shared" si="647"/>
        <v>PORTSMOUTH</v>
      </c>
      <c r="E1611" t="str">
        <f t="shared" si="648"/>
        <v>VA</v>
      </c>
      <c r="F1611" t="str">
        <f t="shared" si="649"/>
        <v>237082207</v>
      </c>
      <c r="G1611" t="str">
        <f>T("54 LEWIS MINOR STREET")</f>
        <v>54 LEWIS MINOR STREET</v>
      </c>
      <c r="H1611" t="str">
        <f t="shared" si="654"/>
        <v>BLDG 250 09MMCX M MORELAND</v>
      </c>
      <c r="I1611" t="str">
        <f t="shared" si="650"/>
        <v>PORTSMOUTH</v>
      </c>
      <c r="J1611" t="str">
        <f t="shared" si="651"/>
        <v>VA</v>
      </c>
      <c r="K1611" t="str">
        <f>T("7579535035")</f>
        <v>7579535035</v>
      </c>
      <c r="L1611" t="str">
        <f>T("7579537276")</f>
        <v>7579537276</v>
      </c>
    </row>
    <row r="1612" spans="1:12" x14ac:dyDescent="0.35">
      <c r="A1612" t="str">
        <f t="shared" si="646"/>
        <v>NMC PORTSMOUTH</v>
      </c>
      <c r="B1612" t="str">
        <f t="shared" si="655"/>
        <v>54 LEWIS MINOR ST</v>
      </c>
      <c r="C1612" t="str">
        <f t="shared" ref="C1612:C1643" si="656">T("BLDG 250 09MMCX M MORELAND")</f>
        <v>BLDG 250 09MMCX M MORELAND</v>
      </c>
      <c r="D1612" t="str">
        <f t="shared" si="647"/>
        <v>PORTSMOUTH</v>
      </c>
      <c r="E1612" t="str">
        <f t="shared" si="648"/>
        <v>VA</v>
      </c>
      <c r="F1612" t="str">
        <f t="shared" si="649"/>
        <v>237082207</v>
      </c>
      <c r="G1612" t="str">
        <f>T("1550 TOMCAT BLVD")</f>
        <v>1550 TOMCAT BLVD</v>
      </c>
      <c r="H1612" t="str">
        <f>T("SUITE 150")</f>
        <v>SUITE 150</v>
      </c>
      <c r="I1612" t="str">
        <f>T("VIRGINIA BEACH")</f>
        <v>VIRGINIA BEACH</v>
      </c>
      <c r="J1612" t="str">
        <f t="shared" si="651"/>
        <v>VA</v>
      </c>
      <c r="K1612" t="str">
        <f t="shared" ref="K1612:K1627" si="657">T("000000000000000000")</f>
        <v>000000000000000000</v>
      </c>
      <c r="L1612" t="str">
        <f>T("7579533886")</f>
        <v>7579533886</v>
      </c>
    </row>
    <row r="1613" spans="1:12" x14ac:dyDescent="0.35">
      <c r="A1613" t="str">
        <f t="shared" si="646"/>
        <v>NMC PORTSMOUTH</v>
      </c>
      <c r="B1613" t="str">
        <f t="shared" si="655"/>
        <v>54 LEWIS MINOR ST</v>
      </c>
      <c r="C1613" t="str">
        <f t="shared" si="656"/>
        <v>BLDG 250 09MMCX M MORELAND</v>
      </c>
      <c r="D1613" t="str">
        <f t="shared" si="647"/>
        <v>PORTSMOUTH</v>
      </c>
      <c r="E1613" t="str">
        <f t="shared" si="648"/>
        <v>VA</v>
      </c>
      <c r="F1613" t="str">
        <f t="shared" si="649"/>
        <v>237082207</v>
      </c>
      <c r="G1613" t="str">
        <f t="shared" ref="G1613:G1644" si="658">T("54 LEWIS MINOR ST")</f>
        <v>54 LEWIS MINOR ST</v>
      </c>
      <c r="H1613" t="str">
        <f>T("BLDG 250 09MCX M MORELAND")</f>
        <v>BLDG 250 09MCX M MORELAND</v>
      </c>
      <c r="I1613" t="str">
        <f t="shared" ref="I1613:I1644" si="659">T("PORTSMOUTH")</f>
        <v>PORTSMOUTH</v>
      </c>
      <c r="J1613" t="str">
        <f t="shared" si="651"/>
        <v>VA</v>
      </c>
      <c r="K1613" t="str">
        <f t="shared" si="657"/>
        <v>000000000000000000</v>
      </c>
      <c r="L1613" t="str">
        <f>T("7579536743")</f>
        <v>7579536743</v>
      </c>
    </row>
    <row r="1614" spans="1:12" x14ac:dyDescent="0.35">
      <c r="A1614" t="str">
        <f t="shared" si="646"/>
        <v>NMC PORTSMOUTH</v>
      </c>
      <c r="B1614" t="str">
        <f t="shared" si="655"/>
        <v>54 LEWIS MINOR ST</v>
      </c>
      <c r="C1614" t="str">
        <f t="shared" si="656"/>
        <v>BLDG 250 09MMCX M MORELAND</v>
      </c>
      <c r="D1614" t="str">
        <f t="shared" si="647"/>
        <v>PORTSMOUTH</v>
      </c>
      <c r="E1614" t="str">
        <f t="shared" si="648"/>
        <v>VA</v>
      </c>
      <c r="F1614" t="str">
        <f t="shared" si="649"/>
        <v>237082207</v>
      </c>
      <c r="G1614" t="str">
        <f t="shared" si="658"/>
        <v>54 LEWIS MINOR ST</v>
      </c>
      <c r="H1614" t="str">
        <f>T("BLDG 250 09MMCK M MORELAND")</f>
        <v>BLDG 250 09MMCK M MORELAND</v>
      </c>
      <c r="I1614" t="str">
        <f t="shared" si="659"/>
        <v>PORTSMOUTH</v>
      </c>
      <c r="J1614" t="str">
        <f t="shared" si="651"/>
        <v>VA</v>
      </c>
      <c r="K1614" t="str">
        <f t="shared" si="657"/>
        <v>000000000000000000</v>
      </c>
      <c r="L1614" t="str">
        <f>T("7579531003")</f>
        <v>7579531003</v>
      </c>
    </row>
    <row r="1615" spans="1:12" x14ac:dyDescent="0.35">
      <c r="A1615" t="str">
        <f t="shared" si="646"/>
        <v>NMC PORTSMOUTH</v>
      </c>
      <c r="B1615" t="str">
        <f t="shared" si="655"/>
        <v>54 LEWIS MINOR ST</v>
      </c>
      <c r="C1615" t="str">
        <f t="shared" si="656"/>
        <v>BLDG 250 09MMCX M MORELAND</v>
      </c>
      <c r="D1615" t="str">
        <f t="shared" si="647"/>
        <v>PORTSMOUTH</v>
      </c>
      <c r="E1615" t="str">
        <f t="shared" si="648"/>
        <v>VA</v>
      </c>
      <c r="F1615" t="str">
        <f t="shared" si="649"/>
        <v>237082207</v>
      </c>
      <c r="G1615" t="str">
        <f t="shared" si="658"/>
        <v>54 LEWIS MINOR ST</v>
      </c>
      <c r="H1615" t="str">
        <f>T("BLDG 250 09MMCK M MORELAND")</f>
        <v>BLDG 250 09MMCK M MORELAND</v>
      </c>
      <c r="I1615" t="str">
        <f t="shared" si="659"/>
        <v>PORTSMOUTH</v>
      </c>
      <c r="J1615" t="str">
        <f t="shared" si="651"/>
        <v>VA</v>
      </c>
      <c r="K1615" t="str">
        <f t="shared" si="657"/>
        <v>000000000000000000</v>
      </c>
      <c r="L1615" t="str">
        <f>T("7579532631")</f>
        <v>7579532631</v>
      </c>
    </row>
    <row r="1616" spans="1:12" x14ac:dyDescent="0.35">
      <c r="A1616" t="str">
        <f t="shared" si="646"/>
        <v>NMC PORTSMOUTH</v>
      </c>
      <c r="B1616" t="str">
        <f t="shared" si="655"/>
        <v>54 LEWIS MINOR ST</v>
      </c>
      <c r="C1616" t="str">
        <f t="shared" si="656"/>
        <v>BLDG 250 09MMCX M MORELAND</v>
      </c>
      <c r="D1616" t="str">
        <f t="shared" si="647"/>
        <v>PORTSMOUTH</v>
      </c>
      <c r="E1616" t="str">
        <f t="shared" si="648"/>
        <v>VA</v>
      </c>
      <c r="F1616" t="str">
        <f t="shared" si="649"/>
        <v>237082207</v>
      </c>
      <c r="G1616" t="str">
        <f t="shared" si="658"/>
        <v>54 LEWIS MINOR ST</v>
      </c>
      <c r="H1616" t="str">
        <f>T("BLDG 250 09MMCK M MORELAND")</f>
        <v>BLDG 250 09MMCK M MORELAND</v>
      </c>
      <c r="I1616" t="str">
        <f t="shared" si="659"/>
        <v>PORTSMOUTH</v>
      </c>
      <c r="J1616" t="str">
        <f t="shared" si="651"/>
        <v>VA</v>
      </c>
      <c r="K1616" t="str">
        <f t="shared" si="657"/>
        <v>000000000000000000</v>
      </c>
      <c r="L1616" t="str">
        <f>T("7579535711")</f>
        <v>7579535711</v>
      </c>
    </row>
    <row r="1617" spans="1:12" x14ac:dyDescent="0.35">
      <c r="A1617" t="str">
        <f t="shared" si="646"/>
        <v>NMC PORTSMOUTH</v>
      </c>
      <c r="B1617" t="str">
        <f t="shared" si="655"/>
        <v>54 LEWIS MINOR ST</v>
      </c>
      <c r="C1617" t="str">
        <f t="shared" si="656"/>
        <v>BLDG 250 09MMCX M MORELAND</v>
      </c>
      <c r="D1617" t="str">
        <f t="shared" si="647"/>
        <v>PORTSMOUTH</v>
      </c>
      <c r="E1617" t="str">
        <f t="shared" si="648"/>
        <v>VA</v>
      </c>
      <c r="F1617" t="str">
        <f t="shared" si="649"/>
        <v>237082207</v>
      </c>
      <c r="G1617" t="str">
        <f t="shared" si="658"/>
        <v>54 LEWIS MINOR ST</v>
      </c>
      <c r="H1617" t="str">
        <f t="shared" ref="H1617:H1648" si="660">T("BLDG 250 09MMCX M MORELAND")</f>
        <v>BLDG 250 09MMCX M MORELAND</v>
      </c>
      <c r="I1617" t="str">
        <f t="shared" si="659"/>
        <v>PORTSMOUTH</v>
      </c>
      <c r="J1617" t="str">
        <f t="shared" si="651"/>
        <v>VA</v>
      </c>
      <c r="K1617" t="str">
        <f t="shared" si="657"/>
        <v>000000000000000000</v>
      </c>
      <c r="L1617" t="str">
        <f>T("7579531046")</f>
        <v>7579531046</v>
      </c>
    </row>
    <row r="1618" spans="1:12" x14ac:dyDescent="0.35">
      <c r="A1618" t="str">
        <f t="shared" si="646"/>
        <v>NMC PORTSMOUTH</v>
      </c>
      <c r="B1618" t="str">
        <f t="shared" si="655"/>
        <v>54 LEWIS MINOR ST</v>
      </c>
      <c r="C1618" t="str">
        <f t="shared" si="656"/>
        <v>BLDG 250 09MMCX M MORELAND</v>
      </c>
      <c r="D1618" t="str">
        <f t="shared" si="647"/>
        <v>PORTSMOUTH</v>
      </c>
      <c r="E1618" t="str">
        <f t="shared" si="648"/>
        <v>VA</v>
      </c>
      <c r="F1618" t="str">
        <f t="shared" si="649"/>
        <v>237082207</v>
      </c>
      <c r="G1618" t="str">
        <f t="shared" si="658"/>
        <v>54 LEWIS MINOR ST</v>
      </c>
      <c r="H1618" t="str">
        <f t="shared" si="660"/>
        <v>BLDG 250 09MMCX M MORELAND</v>
      </c>
      <c r="I1618" t="str">
        <f t="shared" si="659"/>
        <v>PORTSMOUTH</v>
      </c>
      <c r="J1618" t="str">
        <f t="shared" si="651"/>
        <v>VA</v>
      </c>
      <c r="K1618" t="str">
        <f t="shared" si="657"/>
        <v>000000000000000000</v>
      </c>
      <c r="L1618" t="str">
        <f>T("7579531622")</f>
        <v>7579531622</v>
      </c>
    </row>
    <row r="1619" spans="1:12" x14ac:dyDescent="0.35">
      <c r="A1619" t="str">
        <f t="shared" si="646"/>
        <v>NMC PORTSMOUTH</v>
      </c>
      <c r="B1619" t="str">
        <f t="shared" si="655"/>
        <v>54 LEWIS MINOR ST</v>
      </c>
      <c r="C1619" t="str">
        <f t="shared" si="656"/>
        <v>BLDG 250 09MMCX M MORELAND</v>
      </c>
      <c r="D1619" t="str">
        <f t="shared" si="647"/>
        <v>PORTSMOUTH</v>
      </c>
      <c r="E1619" t="str">
        <f t="shared" si="648"/>
        <v>VA</v>
      </c>
      <c r="F1619" t="str">
        <f t="shared" si="649"/>
        <v>237082207</v>
      </c>
      <c r="G1619" t="str">
        <f t="shared" si="658"/>
        <v>54 LEWIS MINOR ST</v>
      </c>
      <c r="H1619" t="str">
        <f t="shared" si="660"/>
        <v>BLDG 250 09MMCX M MORELAND</v>
      </c>
      <c r="I1619" t="str">
        <f t="shared" si="659"/>
        <v>PORTSMOUTH</v>
      </c>
      <c r="J1619" t="str">
        <f t="shared" si="651"/>
        <v>VA</v>
      </c>
      <c r="K1619" t="str">
        <f t="shared" si="657"/>
        <v>000000000000000000</v>
      </c>
      <c r="L1619" t="str">
        <f>T("7579531847")</f>
        <v>7579531847</v>
      </c>
    </row>
    <row r="1620" spans="1:12" x14ac:dyDescent="0.35">
      <c r="A1620" t="str">
        <f t="shared" si="646"/>
        <v>NMC PORTSMOUTH</v>
      </c>
      <c r="B1620" t="str">
        <f t="shared" si="655"/>
        <v>54 LEWIS MINOR ST</v>
      </c>
      <c r="C1620" t="str">
        <f t="shared" si="656"/>
        <v>BLDG 250 09MMCX M MORELAND</v>
      </c>
      <c r="D1620" t="str">
        <f t="shared" si="647"/>
        <v>PORTSMOUTH</v>
      </c>
      <c r="E1620" t="str">
        <f t="shared" si="648"/>
        <v>VA</v>
      </c>
      <c r="F1620" t="str">
        <f t="shared" si="649"/>
        <v>237082207</v>
      </c>
      <c r="G1620" t="str">
        <f t="shared" si="658"/>
        <v>54 LEWIS MINOR ST</v>
      </c>
      <c r="H1620" t="str">
        <f t="shared" si="660"/>
        <v>BLDG 250 09MMCX M MORELAND</v>
      </c>
      <c r="I1620" t="str">
        <f t="shared" si="659"/>
        <v>PORTSMOUTH</v>
      </c>
      <c r="J1620" t="str">
        <f t="shared" si="651"/>
        <v>VA</v>
      </c>
      <c r="K1620" t="str">
        <f t="shared" si="657"/>
        <v>000000000000000000</v>
      </c>
      <c r="L1620" t="str">
        <f>T("7579532033")</f>
        <v>7579532033</v>
      </c>
    </row>
    <row r="1621" spans="1:12" x14ac:dyDescent="0.35">
      <c r="A1621" t="str">
        <f t="shared" si="646"/>
        <v>NMC PORTSMOUTH</v>
      </c>
      <c r="B1621" t="str">
        <f t="shared" si="655"/>
        <v>54 LEWIS MINOR ST</v>
      </c>
      <c r="C1621" t="str">
        <f t="shared" si="656"/>
        <v>BLDG 250 09MMCX M MORELAND</v>
      </c>
      <c r="D1621" t="str">
        <f t="shared" si="647"/>
        <v>PORTSMOUTH</v>
      </c>
      <c r="E1621" t="str">
        <f t="shared" si="648"/>
        <v>VA</v>
      </c>
      <c r="F1621" t="str">
        <f t="shared" si="649"/>
        <v>237082207</v>
      </c>
      <c r="G1621" t="str">
        <f t="shared" si="658"/>
        <v>54 LEWIS MINOR ST</v>
      </c>
      <c r="H1621" t="str">
        <f t="shared" si="660"/>
        <v>BLDG 250 09MMCX M MORELAND</v>
      </c>
      <c r="I1621" t="str">
        <f t="shared" si="659"/>
        <v>PORTSMOUTH</v>
      </c>
      <c r="J1621" t="str">
        <f t="shared" si="651"/>
        <v>VA</v>
      </c>
      <c r="K1621" t="str">
        <f t="shared" si="657"/>
        <v>000000000000000000</v>
      </c>
      <c r="L1621" t="str">
        <f>T("7579532742")</f>
        <v>7579532742</v>
      </c>
    </row>
    <row r="1622" spans="1:12" x14ac:dyDescent="0.35">
      <c r="A1622" t="str">
        <f t="shared" si="646"/>
        <v>NMC PORTSMOUTH</v>
      </c>
      <c r="B1622" t="str">
        <f t="shared" si="655"/>
        <v>54 LEWIS MINOR ST</v>
      </c>
      <c r="C1622" t="str">
        <f t="shared" si="656"/>
        <v>BLDG 250 09MMCX M MORELAND</v>
      </c>
      <c r="D1622" t="str">
        <f t="shared" si="647"/>
        <v>PORTSMOUTH</v>
      </c>
      <c r="E1622" t="str">
        <f t="shared" si="648"/>
        <v>VA</v>
      </c>
      <c r="F1622" t="str">
        <f t="shared" si="649"/>
        <v>237082207</v>
      </c>
      <c r="G1622" t="str">
        <f t="shared" si="658"/>
        <v>54 LEWIS MINOR ST</v>
      </c>
      <c r="H1622" t="str">
        <f t="shared" si="660"/>
        <v>BLDG 250 09MMCX M MORELAND</v>
      </c>
      <c r="I1622" t="str">
        <f t="shared" si="659"/>
        <v>PORTSMOUTH</v>
      </c>
      <c r="J1622" t="str">
        <f t="shared" si="651"/>
        <v>VA</v>
      </c>
      <c r="K1622" t="str">
        <f t="shared" si="657"/>
        <v>000000000000000000</v>
      </c>
      <c r="L1622" t="str">
        <f>T("7579535128")</f>
        <v>7579535128</v>
      </c>
    </row>
    <row r="1623" spans="1:12" x14ac:dyDescent="0.35">
      <c r="A1623" t="str">
        <f t="shared" si="646"/>
        <v>NMC PORTSMOUTH</v>
      </c>
      <c r="B1623" t="str">
        <f t="shared" si="655"/>
        <v>54 LEWIS MINOR ST</v>
      </c>
      <c r="C1623" t="str">
        <f t="shared" si="656"/>
        <v>BLDG 250 09MMCX M MORELAND</v>
      </c>
      <c r="D1623" t="str">
        <f t="shared" si="647"/>
        <v>PORTSMOUTH</v>
      </c>
      <c r="E1623" t="str">
        <f t="shared" si="648"/>
        <v>VA</v>
      </c>
      <c r="F1623" t="str">
        <f t="shared" si="649"/>
        <v>237082207</v>
      </c>
      <c r="G1623" t="str">
        <f t="shared" si="658"/>
        <v>54 LEWIS MINOR ST</v>
      </c>
      <c r="H1623" t="str">
        <f t="shared" si="660"/>
        <v>BLDG 250 09MMCX M MORELAND</v>
      </c>
      <c r="I1623" t="str">
        <f t="shared" si="659"/>
        <v>PORTSMOUTH</v>
      </c>
      <c r="J1623" t="str">
        <f t="shared" si="651"/>
        <v>VA</v>
      </c>
      <c r="K1623" t="str">
        <f t="shared" si="657"/>
        <v>000000000000000000</v>
      </c>
      <c r="L1623" t="str">
        <f>T("7579535452")</f>
        <v>7579535452</v>
      </c>
    </row>
    <row r="1624" spans="1:12" x14ac:dyDescent="0.35">
      <c r="A1624" t="str">
        <f t="shared" si="646"/>
        <v>NMC PORTSMOUTH</v>
      </c>
      <c r="B1624" t="str">
        <f t="shared" si="655"/>
        <v>54 LEWIS MINOR ST</v>
      </c>
      <c r="C1624" t="str">
        <f t="shared" si="656"/>
        <v>BLDG 250 09MMCX M MORELAND</v>
      </c>
      <c r="D1624" t="str">
        <f t="shared" si="647"/>
        <v>PORTSMOUTH</v>
      </c>
      <c r="E1624" t="str">
        <f t="shared" si="648"/>
        <v>VA</v>
      </c>
      <c r="F1624" t="str">
        <f t="shared" si="649"/>
        <v>237082207</v>
      </c>
      <c r="G1624" t="str">
        <f t="shared" si="658"/>
        <v>54 LEWIS MINOR ST</v>
      </c>
      <c r="H1624" t="str">
        <f t="shared" si="660"/>
        <v>BLDG 250 09MMCX M MORELAND</v>
      </c>
      <c r="I1624" t="str">
        <f t="shared" si="659"/>
        <v>PORTSMOUTH</v>
      </c>
      <c r="J1624" t="str">
        <f t="shared" si="651"/>
        <v>VA</v>
      </c>
      <c r="K1624" t="str">
        <f t="shared" si="657"/>
        <v>000000000000000000</v>
      </c>
      <c r="L1624" t="str">
        <f>T("7579535652")</f>
        <v>7579535652</v>
      </c>
    </row>
    <row r="1625" spans="1:12" x14ac:dyDescent="0.35">
      <c r="A1625" t="str">
        <f t="shared" si="646"/>
        <v>NMC PORTSMOUTH</v>
      </c>
      <c r="B1625" t="str">
        <f t="shared" si="655"/>
        <v>54 LEWIS MINOR ST</v>
      </c>
      <c r="C1625" t="str">
        <f t="shared" si="656"/>
        <v>BLDG 250 09MMCX M MORELAND</v>
      </c>
      <c r="D1625" t="str">
        <f t="shared" si="647"/>
        <v>PORTSMOUTH</v>
      </c>
      <c r="E1625" t="str">
        <f t="shared" si="648"/>
        <v>VA</v>
      </c>
      <c r="F1625" t="str">
        <f t="shared" si="649"/>
        <v>237082207</v>
      </c>
      <c r="G1625" t="str">
        <f t="shared" si="658"/>
        <v>54 LEWIS MINOR ST</v>
      </c>
      <c r="H1625" t="str">
        <f t="shared" si="660"/>
        <v>BLDG 250 09MMCX M MORELAND</v>
      </c>
      <c r="I1625" t="str">
        <f t="shared" si="659"/>
        <v>PORTSMOUTH</v>
      </c>
      <c r="J1625" t="str">
        <f t="shared" si="651"/>
        <v>VA</v>
      </c>
      <c r="K1625" t="str">
        <f t="shared" si="657"/>
        <v>000000000000000000</v>
      </c>
      <c r="L1625" t="str">
        <f>T("7579537507")</f>
        <v>7579537507</v>
      </c>
    </row>
    <row r="1626" spans="1:12" x14ac:dyDescent="0.35">
      <c r="A1626" t="str">
        <f t="shared" si="646"/>
        <v>NMC PORTSMOUTH</v>
      </c>
      <c r="B1626" t="str">
        <f t="shared" si="655"/>
        <v>54 LEWIS MINOR ST</v>
      </c>
      <c r="C1626" t="str">
        <f t="shared" si="656"/>
        <v>BLDG 250 09MMCX M MORELAND</v>
      </c>
      <c r="D1626" t="str">
        <f t="shared" si="647"/>
        <v>PORTSMOUTH</v>
      </c>
      <c r="E1626" t="str">
        <f t="shared" si="648"/>
        <v>VA</v>
      </c>
      <c r="F1626" t="str">
        <f t="shared" si="649"/>
        <v>237082207</v>
      </c>
      <c r="G1626" t="str">
        <f t="shared" si="658"/>
        <v>54 LEWIS MINOR ST</v>
      </c>
      <c r="H1626" t="str">
        <f t="shared" si="660"/>
        <v>BLDG 250 09MMCX M MORELAND</v>
      </c>
      <c r="I1626" t="str">
        <f t="shared" si="659"/>
        <v>PORTSMOUTH</v>
      </c>
      <c r="J1626" t="str">
        <f t="shared" si="651"/>
        <v>VA</v>
      </c>
      <c r="K1626" t="str">
        <f t="shared" si="657"/>
        <v>000000000000000000</v>
      </c>
      <c r="L1626" t="str">
        <f>T("7579537592")</f>
        <v>7579537592</v>
      </c>
    </row>
    <row r="1627" spans="1:12" x14ac:dyDescent="0.35">
      <c r="A1627" t="str">
        <f t="shared" si="646"/>
        <v>NMC PORTSMOUTH</v>
      </c>
      <c r="B1627" t="str">
        <f t="shared" si="655"/>
        <v>54 LEWIS MINOR ST</v>
      </c>
      <c r="C1627" t="str">
        <f t="shared" si="656"/>
        <v>BLDG 250 09MMCX M MORELAND</v>
      </c>
      <c r="D1627" t="str">
        <f t="shared" si="647"/>
        <v>PORTSMOUTH</v>
      </c>
      <c r="E1627" t="str">
        <f t="shared" si="648"/>
        <v>VA</v>
      </c>
      <c r="F1627" t="str">
        <f t="shared" si="649"/>
        <v>237082207</v>
      </c>
      <c r="G1627" t="str">
        <f t="shared" si="658"/>
        <v>54 LEWIS MINOR ST</v>
      </c>
      <c r="H1627" t="str">
        <f t="shared" si="660"/>
        <v>BLDG 250 09MMCX M MORELAND</v>
      </c>
      <c r="I1627" t="str">
        <f t="shared" si="659"/>
        <v>PORTSMOUTH</v>
      </c>
      <c r="J1627" t="str">
        <f t="shared" si="651"/>
        <v>VA</v>
      </c>
      <c r="K1627" t="str">
        <f t="shared" si="657"/>
        <v>000000000000000000</v>
      </c>
      <c r="L1627" t="str">
        <f>T("7579539794")</f>
        <v>7579539794</v>
      </c>
    </row>
    <row r="1628" spans="1:12" x14ac:dyDescent="0.35">
      <c r="A1628" t="str">
        <f t="shared" si="646"/>
        <v>NMC PORTSMOUTH</v>
      </c>
      <c r="B1628" t="str">
        <f t="shared" si="655"/>
        <v>54 LEWIS MINOR ST</v>
      </c>
      <c r="C1628" t="str">
        <f t="shared" si="656"/>
        <v>BLDG 250 09MMCX M MORELAND</v>
      </c>
      <c r="D1628" t="str">
        <f t="shared" si="647"/>
        <v>PORTSMOUTH</v>
      </c>
      <c r="E1628" t="str">
        <f t="shared" si="648"/>
        <v>VA</v>
      </c>
      <c r="F1628" t="str">
        <f t="shared" si="649"/>
        <v>237082207</v>
      </c>
      <c r="G1628" t="str">
        <f t="shared" si="658"/>
        <v>54 LEWIS MINOR ST</v>
      </c>
      <c r="H1628" t="str">
        <f t="shared" si="660"/>
        <v>BLDG 250 09MMCX M MORELAND</v>
      </c>
      <c r="I1628" t="str">
        <f t="shared" si="659"/>
        <v>PORTSMOUTH</v>
      </c>
      <c r="J1628" t="str">
        <f t="shared" si="651"/>
        <v>VA</v>
      </c>
      <c r="K1628" t="str">
        <f>T("7579525035")</f>
        <v>7579525035</v>
      </c>
      <c r="L1628" t="str">
        <f>T("7579531494")</f>
        <v>7579531494</v>
      </c>
    </row>
    <row r="1629" spans="1:12" x14ac:dyDescent="0.35">
      <c r="A1629" t="str">
        <f t="shared" si="646"/>
        <v>NMC PORTSMOUTH</v>
      </c>
      <c r="B1629" t="str">
        <f t="shared" si="655"/>
        <v>54 LEWIS MINOR ST</v>
      </c>
      <c r="C1629" t="str">
        <f t="shared" si="656"/>
        <v>BLDG 250 09MMCX M MORELAND</v>
      </c>
      <c r="D1629" t="str">
        <f t="shared" si="647"/>
        <v>PORTSMOUTH</v>
      </c>
      <c r="E1629" t="str">
        <f t="shared" si="648"/>
        <v>VA</v>
      </c>
      <c r="F1629" t="str">
        <f t="shared" si="649"/>
        <v>237082207</v>
      </c>
      <c r="G1629" t="str">
        <f t="shared" si="658"/>
        <v>54 LEWIS MINOR ST</v>
      </c>
      <c r="H1629" t="str">
        <f t="shared" si="660"/>
        <v>BLDG 250 09MMCX M MORELAND</v>
      </c>
      <c r="I1629" t="str">
        <f t="shared" si="659"/>
        <v>PORTSMOUTH</v>
      </c>
      <c r="J1629" t="str">
        <f t="shared" si="651"/>
        <v>VA</v>
      </c>
      <c r="K1629" t="str">
        <f t="shared" ref="K1629:K1668" si="661">T("7579535035")</f>
        <v>7579535035</v>
      </c>
      <c r="L1629" t="str">
        <f>T("6146027101")</f>
        <v>6146027101</v>
      </c>
    </row>
    <row r="1630" spans="1:12" x14ac:dyDescent="0.35">
      <c r="A1630" t="str">
        <f t="shared" si="646"/>
        <v>NMC PORTSMOUTH</v>
      </c>
      <c r="B1630" t="str">
        <f t="shared" si="655"/>
        <v>54 LEWIS MINOR ST</v>
      </c>
      <c r="C1630" t="str">
        <f t="shared" si="656"/>
        <v>BLDG 250 09MMCX M MORELAND</v>
      </c>
      <c r="D1630" t="str">
        <f t="shared" si="647"/>
        <v>PORTSMOUTH</v>
      </c>
      <c r="E1630" t="str">
        <f t="shared" si="648"/>
        <v>VA</v>
      </c>
      <c r="F1630" t="str">
        <f t="shared" si="649"/>
        <v>237082207</v>
      </c>
      <c r="G1630" t="str">
        <f t="shared" si="658"/>
        <v>54 LEWIS MINOR ST</v>
      </c>
      <c r="H1630" t="str">
        <f t="shared" si="660"/>
        <v>BLDG 250 09MMCX M MORELAND</v>
      </c>
      <c r="I1630" t="str">
        <f t="shared" si="659"/>
        <v>PORTSMOUTH</v>
      </c>
      <c r="J1630" t="str">
        <f t="shared" si="651"/>
        <v>VA</v>
      </c>
      <c r="K1630" t="str">
        <f t="shared" si="661"/>
        <v>7579535035</v>
      </c>
      <c r="L1630" t="str">
        <f>T("7579530137")</f>
        <v>7579530137</v>
      </c>
    </row>
    <row r="1631" spans="1:12" x14ac:dyDescent="0.35">
      <c r="A1631" t="str">
        <f t="shared" si="646"/>
        <v>NMC PORTSMOUTH</v>
      </c>
      <c r="B1631" t="str">
        <f t="shared" si="655"/>
        <v>54 LEWIS MINOR ST</v>
      </c>
      <c r="C1631" t="str">
        <f t="shared" si="656"/>
        <v>BLDG 250 09MMCX M MORELAND</v>
      </c>
      <c r="D1631" t="str">
        <f t="shared" si="647"/>
        <v>PORTSMOUTH</v>
      </c>
      <c r="E1631" t="str">
        <f t="shared" si="648"/>
        <v>VA</v>
      </c>
      <c r="F1631" t="str">
        <f t="shared" si="649"/>
        <v>237082207</v>
      </c>
      <c r="G1631" t="str">
        <f t="shared" si="658"/>
        <v>54 LEWIS MINOR ST</v>
      </c>
      <c r="H1631" t="str">
        <f t="shared" si="660"/>
        <v>BLDG 250 09MMCX M MORELAND</v>
      </c>
      <c r="I1631" t="str">
        <f t="shared" si="659"/>
        <v>PORTSMOUTH</v>
      </c>
      <c r="J1631" t="str">
        <f t="shared" si="651"/>
        <v>VA</v>
      </c>
      <c r="K1631" t="str">
        <f t="shared" si="661"/>
        <v>7579535035</v>
      </c>
      <c r="L1631" t="str">
        <f>T("7579530674")</f>
        <v>7579530674</v>
      </c>
    </row>
    <row r="1632" spans="1:12" x14ac:dyDescent="0.35">
      <c r="A1632" t="str">
        <f t="shared" si="646"/>
        <v>NMC PORTSMOUTH</v>
      </c>
      <c r="B1632" t="str">
        <f t="shared" si="655"/>
        <v>54 LEWIS MINOR ST</v>
      </c>
      <c r="C1632" t="str">
        <f t="shared" si="656"/>
        <v>BLDG 250 09MMCX M MORELAND</v>
      </c>
      <c r="D1632" t="str">
        <f t="shared" si="647"/>
        <v>PORTSMOUTH</v>
      </c>
      <c r="E1632" t="str">
        <f t="shared" si="648"/>
        <v>VA</v>
      </c>
      <c r="F1632" t="str">
        <f t="shared" si="649"/>
        <v>237082207</v>
      </c>
      <c r="G1632" t="str">
        <f t="shared" si="658"/>
        <v>54 LEWIS MINOR ST</v>
      </c>
      <c r="H1632" t="str">
        <f t="shared" si="660"/>
        <v>BLDG 250 09MMCX M MORELAND</v>
      </c>
      <c r="I1632" t="str">
        <f t="shared" si="659"/>
        <v>PORTSMOUTH</v>
      </c>
      <c r="J1632" t="str">
        <f t="shared" si="651"/>
        <v>VA</v>
      </c>
      <c r="K1632" t="str">
        <f t="shared" si="661"/>
        <v>7579535035</v>
      </c>
      <c r="L1632" t="str">
        <f>T("7579531009")</f>
        <v>7579531009</v>
      </c>
    </row>
    <row r="1633" spans="1:12" x14ac:dyDescent="0.35">
      <c r="A1633" t="str">
        <f t="shared" si="646"/>
        <v>NMC PORTSMOUTH</v>
      </c>
      <c r="B1633" t="str">
        <f t="shared" si="655"/>
        <v>54 LEWIS MINOR ST</v>
      </c>
      <c r="C1633" t="str">
        <f t="shared" si="656"/>
        <v>BLDG 250 09MMCX M MORELAND</v>
      </c>
      <c r="D1633" t="str">
        <f t="shared" si="647"/>
        <v>PORTSMOUTH</v>
      </c>
      <c r="E1633" t="str">
        <f t="shared" si="648"/>
        <v>VA</v>
      </c>
      <c r="F1633" t="str">
        <f t="shared" si="649"/>
        <v>237082207</v>
      </c>
      <c r="G1633" t="str">
        <f t="shared" si="658"/>
        <v>54 LEWIS MINOR ST</v>
      </c>
      <c r="H1633" t="str">
        <f t="shared" si="660"/>
        <v>BLDG 250 09MMCX M MORELAND</v>
      </c>
      <c r="I1633" t="str">
        <f t="shared" si="659"/>
        <v>PORTSMOUTH</v>
      </c>
      <c r="J1633" t="str">
        <f t="shared" si="651"/>
        <v>VA</v>
      </c>
      <c r="K1633" t="str">
        <f t="shared" si="661"/>
        <v>7579535035</v>
      </c>
      <c r="L1633" t="str">
        <f>T("7579531196")</f>
        <v>7579531196</v>
      </c>
    </row>
    <row r="1634" spans="1:12" x14ac:dyDescent="0.35">
      <c r="A1634" t="str">
        <f t="shared" si="646"/>
        <v>NMC PORTSMOUTH</v>
      </c>
      <c r="B1634" t="str">
        <f t="shared" si="655"/>
        <v>54 LEWIS MINOR ST</v>
      </c>
      <c r="C1634" t="str">
        <f t="shared" si="656"/>
        <v>BLDG 250 09MMCX M MORELAND</v>
      </c>
      <c r="D1634" t="str">
        <f t="shared" si="647"/>
        <v>PORTSMOUTH</v>
      </c>
      <c r="E1634" t="str">
        <f t="shared" si="648"/>
        <v>VA</v>
      </c>
      <c r="F1634" t="str">
        <f t="shared" si="649"/>
        <v>237082207</v>
      </c>
      <c r="G1634" t="str">
        <f t="shared" si="658"/>
        <v>54 LEWIS MINOR ST</v>
      </c>
      <c r="H1634" t="str">
        <f t="shared" si="660"/>
        <v>BLDG 250 09MMCX M MORELAND</v>
      </c>
      <c r="I1634" t="str">
        <f t="shared" si="659"/>
        <v>PORTSMOUTH</v>
      </c>
      <c r="J1634" t="str">
        <f t="shared" si="651"/>
        <v>VA</v>
      </c>
      <c r="K1634" t="str">
        <f t="shared" si="661"/>
        <v>7579535035</v>
      </c>
      <c r="L1634" t="str">
        <f>T("7579531494")</f>
        <v>7579531494</v>
      </c>
    </row>
    <row r="1635" spans="1:12" x14ac:dyDescent="0.35">
      <c r="A1635" t="str">
        <f t="shared" ref="A1635:A1666" si="662">T("NMC PORTSMOUTH")</f>
        <v>NMC PORTSMOUTH</v>
      </c>
      <c r="B1635" t="str">
        <f t="shared" si="655"/>
        <v>54 LEWIS MINOR ST</v>
      </c>
      <c r="C1635" t="str">
        <f t="shared" si="656"/>
        <v>BLDG 250 09MMCX M MORELAND</v>
      </c>
      <c r="D1635" t="str">
        <f t="shared" ref="D1635:D1666" si="663">T("PORTSMOUTH")</f>
        <v>PORTSMOUTH</v>
      </c>
      <c r="E1635" t="str">
        <f t="shared" ref="E1635:E1666" si="664">T("VA")</f>
        <v>VA</v>
      </c>
      <c r="F1635" t="str">
        <f t="shared" ref="F1635:F1666" si="665">T("237082207")</f>
        <v>237082207</v>
      </c>
      <c r="G1635" t="str">
        <f t="shared" si="658"/>
        <v>54 LEWIS MINOR ST</v>
      </c>
      <c r="H1635" t="str">
        <f t="shared" si="660"/>
        <v>BLDG 250 09MMCX M MORELAND</v>
      </c>
      <c r="I1635" t="str">
        <f t="shared" si="659"/>
        <v>PORTSMOUTH</v>
      </c>
      <c r="J1635" t="str">
        <f t="shared" ref="J1635:J1666" si="666">T("VA")</f>
        <v>VA</v>
      </c>
      <c r="K1635" t="str">
        <f t="shared" si="661"/>
        <v>7579535035</v>
      </c>
      <c r="L1635" t="str">
        <f>T("7579531600")</f>
        <v>7579531600</v>
      </c>
    </row>
    <row r="1636" spans="1:12" x14ac:dyDescent="0.35">
      <c r="A1636" t="str">
        <f t="shared" si="662"/>
        <v>NMC PORTSMOUTH</v>
      </c>
      <c r="B1636" t="str">
        <f t="shared" si="655"/>
        <v>54 LEWIS MINOR ST</v>
      </c>
      <c r="C1636" t="str">
        <f t="shared" si="656"/>
        <v>BLDG 250 09MMCX M MORELAND</v>
      </c>
      <c r="D1636" t="str">
        <f t="shared" si="663"/>
        <v>PORTSMOUTH</v>
      </c>
      <c r="E1636" t="str">
        <f t="shared" si="664"/>
        <v>VA</v>
      </c>
      <c r="F1636" t="str">
        <f t="shared" si="665"/>
        <v>237082207</v>
      </c>
      <c r="G1636" t="str">
        <f t="shared" si="658"/>
        <v>54 LEWIS MINOR ST</v>
      </c>
      <c r="H1636" t="str">
        <f t="shared" si="660"/>
        <v>BLDG 250 09MMCX M MORELAND</v>
      </c>
      <c r="I1636" t="str">
        <f t="shared" si="659"/>
        <v>PORTSMOUTH</v>
      </c>
      <c r="J1636" t="str">
        <f t="shared" si="666"/>
        <v>VA</v>
      </c>
      <c r="K1636" t="str">
        <f t="shared" si="661"/>
        <v>7579535035</v>
      </c>
      <c r="L1636" t="str">
        <f>T("7579531847")</f>
        <v>7579531847</v>
      </c>
    </row>
    <row r="1637" spans="1:12" x14ac:dyDescent="0.35">
      <c r="A1637" t="str">
        <f t="shared" si="662"/>
        <v>NMC PORTSMOUTH</v>
      </c>
      <c r="B1637" t="str">
        <f t="shared" si="655"/>
        <v>54 LEWIS MINOR ST</v>
      </c>
      <c r="C1637" t="str">
        <f t="shared" si="656"/>
        <v>BLDG 250 09MMCX M MORELAND</v>
      </c>
      <c r="D1637" t="str">
        <f t="shared" si="663"/>
        <v>PORTSMOUTH</v>
      </c>
      <c r="E1637" t="str">
        <f t="shared" si="664"/>
        <v>VA</v>
      </c>
      <c r="F1637" t="str">
        <f t="shared" si="665"/>
        <v>237082207</v>
      </c>
      <c r="G1637" t="str">
        <f t="shared" si="658"/>
        <v>54 LEWIS MINOR ST</v>
      </c>
      <c r="H1637" t="str">
        <f t="shared" si="660"/>
        <v>BLDG 250 09MMCX M MORELAND</v>
      </c>
      <c r="I1637" t="str">
        <f t="shared" si="659"/>
        <v>PORTSMOUTH</v>
      </c>
      <c r="J1637" t="str">
        <f t="shared" si="666"/>
        <v>VA</v>
      </c>
      <c r="K1637" t="str">
        <f t="shared" si="661"/>
        <v>7579535035</v>
      </c>
      <c r="L1637" t="str">
        <f>T("7579532068")</f>
        <v>7579532068</v>
      </c>
    </row>
    <row r="1638" spans="1:12" x14ac:dyDescent="0.35">
      <c r="A1638" t="str">
        <f t="shared" si="662"/>
        <v>NMC PORTSMOUTH</v>
      </c>
      <c r="B1638" t="str">
        <f t="shared" si="655"/>
        <v>54 LEWIS MINOR ST</v>
      </c>
      <c r="C1638" t="str">
        <f t="shared" si="656"/>
        <v>BLDG 250 09MMCX M MORELAND</v>
      </c>
      <c r="D1638" t="str">
        <f t="shared" si="663"/>
        <v>PORTSMOUTH</v>
      </c>
      <c r="E1638" t="str">
        <f t="shared" si="664"/>
        <v>VA</v>
      </c>
      <c r="F1638" t="str">
        <f t="shared" si="665"/>
        <v>237082207</v>
      </c>
      <c r="G1638" t="str">
        <f t="shared" si="658"/>
        <v>54 LEWIS MINOR ST</v>
      </c>
      <c r="H1638" t="str">
        <f t="shared" si="660"/>
        <v>BLDG 250 09MMCX M MORELAND</v>
      </c>
      <c r="I1638" t="str">
        <f t="shared" si="659"/>
        <v>PORTSMOUTH</v>
      </c>
      <c r="J1638" t="str">
        <f t="shared" si="666"/>
        <v>VA</v>
      </c>
      <c r="K1638" t="str">
        <f t="shared" si="661"/>
        <v>7579535035</v>
      </c>
      <c r="L1638" t="str">
        <f>T("7579532150")</f>
        <v>7579532150</v>
      </c>
    </row>
    <row r="1639" spans="1:12" x14ac:dyDescent="0.35">
      <c r="A1639" t="str">
        <f t="shared" si="662"/>
        <v>NMC PORTSMOUTH</v>
      </c>
      <c r="B1639" t="str">
        <f t="shared" ref="B1639:B1670" si="667">T("54 LEWIS MINOR ST")</f>
        <v>54 LEWIS MINOR ST</v>
      </c>
      <c r="C1639" t="str">
        <f t="shared" si="656"/>
        <v>BLDG 250 09MMCX M MORELAND</v>
      </c>
      <c r="D1639" t="str">
        <f t="shared" si="663"/>
        <v>PORTSMOUTH</v>
      </c>
      <c r="E1639" t="str">
        <f t="shared" si="664"/>
        <v>VA</v>
      </c>
      <c r="F1639" t="str">
        <f t="shared" si="665"/>
        <v>237082207</v>
      </c>
      <c r="G1639" t="str">
        <f t="shared" si="658"/>
        <v>54 LEWIS MINOR ST</v>
      </c>
      <c r="H1639" t="str">
        <f t="shared" si="660"/>
        <v>BLDG 250 09MMCX M MORELAND</v>
      </c>
      <c r="I1639" t="str">
        <f t="shared" si="659"/>
        <v>PORTSMOUTH</v>
      </c>
      <c r="J1639" t="str">
        <f t="shared" si="666"/>
        <v>VA</v>
      </c>
      <c r="K1639" t="str">
        <f t="shared" si="661"/>
        <v>7579535035</v>
      </c>
      <c r="L1639" t="str">
        <f>T("7579532253")</f>
        <v>7579532253</v>
      </c>
    </row>
    <row r="1640" spans="1:12" x14ac:dyDescent="0.35">
      <c r="A1640" t="str">
        <f t="shared" si="662"/>
        <v>NMC PORTSMOUTH</v>
      </c>
      <c r="B1640" t="str">
        <f t="shared" si="667"/>
        <v>54 LEWIS MINOR ST</v>
      </c>
      <c r="C1640" t="str">
        <f t="shared" si="656"/>
        <v>BLDG 250 09MMCX M MORELAND</v>
      </c>
      <c r="D1640" t="str">
        <f t="shared" si="663"/>
        <v>PORTSMOUTH</v>
      </c>
      <c r="E1640" t="str">
        <f t="shared" si="664"/>
        <v>VA</v>
      </c>
      <c r="F1640" t="str">
        <f t="shared" si="665"/>
        <v>237082207</v>
      </c>
      <c r="G1640" t="str">
        <f t="shared" si="658"/>
        <v>54 LEWIS MINOR ST</v>
      </c>
      <c r="H1640" t="str">
        <f t="shared" si="660"/>
        <v>BLDG 250 09MMCX M MORELAND</v>
      </c>
      <c r="I1640" t="str">
        <f t="shared" si="659"/>
        <v>PORTSMOUTH</v>
      </c>
      <c r="J1640" t="str">
        <f t="shared" si="666"/>
        <v>VA</v>
      </c>
      <c r="K1640" t="str">
        <f t="shared" si="661"/>
        <v>7579535035</v>
      </c>
      <c r="L1640" t="str">
        <f>T("7579532345")</f>
        <v>7579532345</v>
      </c>
    </row>
    <row r="1641" spans="1:12" x14ac:dyDescent="0.35">
      <c r="A1641" t="str">
        <f t="shared" si="662"/>
        <v>NMC PORTSMOUTH</v>
      </c>
      <c r="B1641" t="str">
        <f t="shared" si="667"/>
        <v>54 LEWIS MINOR ST</v>
      </c>
      <c r="C1641" t="str">
        <f t="shared" si="656"/>
        <v>BLDG 250 09MMCX M MORELAND</v>
      </c>
      <c r="D1641" t="str">
        <f t="shared" si="663"/>
        <v>PORTSMOUTH</v>
      </c>
      <c r="E1641" t="str">
        <f t="shared" si="664"/>
        <v>VA</v>
      </c>
      <c r="F1641" t="str">
        <f t="shared" si="665"/>
        <v>237082207</v>
      </c>
      <c r="G1641" t="str">
        <f t="shared" si="658"/>
        <v>54 LEWIS MINOR ST</v>
      </c>
      <c r="H1641" t="str">
        <f t="shared" si="660"/>
        <v>BLDG 250 09MMCX M MORELAND</v>
      </c>
      <c r="I1641" t="str">
        <f t="shared" si="659"/>
        <v>PORTSMOUTH</v>
      </c>
      <c r="J1641" t="str">
        <f t="shared" si="666"/>
        <v>VA</v>
      </c>
      <c r="K1641" t="str">
        <f t="shared" si="661"/>
        <v>7579535035</v>
      </c>
      <c r="L1641" t="str">
        <f>T("7579532582")</f>
        <v>7579532582</v>
      </c>
    </row>
    <row r="1642" spans="1:12" x14ac:dyDescent="0.35">
      <c r="A1642" t="str">
        <f t="shared" si="662"/>
        <v>NMC PORTSMOUTH</v>
      </c>
      <c r="B1642" t="str">
        <f t="shared" si="667"/>
        <v>54 LEWIS MINOR ST</v>
      </c>
      <c r="C1642" t="str">
        <f t="shared" si="656"/>
        <v>BLDG 250 09MMCX M MORELAND</v>
      </c>
      <c r="D1642" t="str">
        <f t="shared" si="663"/>
        <v>PORTSMOUTH</v>
      </c>
      <c r="E1642" t="str">
        <f t="shared" si="664"/>
        <v>VA</v>
      </c>
      <c r="F1642" t="str">
        <f t="shared" si="665"/>
        <v>237082207</v>
      </c>
      <c r="G1642" t="str">
        <f t="shared" si="658"/>
        <v>54 LEWIS MINOR ST</v>
      </c>
      <c r="H1642" t="str">
        <f t="shared" si="660"/>
        <v>BLDG 250 09MMCX M MORELAND</v>
      </c>
      <c r="I1642" t="str">
        <f t="shared" si="659"/>
        <v>PORTSMOUTH</v>
      </c>
      <c r="J1642" t="str">
        <f t="shared" si="666"/>
        <v>VA</v>
      </c>
      <c r="K1642" t="str">
        <f t="shared" si="661"/>
        <v>7579535035</v>
      </c>
      <c r="L1642" t="str">
        <f>T("7579532742")</f>
        <v>7579532742</v>
      </c>
    </row>
    <row r="1643" spans="1:12" x14ac:dyDescent="0.35">
      <c r="A1643" t="str">
        <f t="shared" si="662"/>
        <v>NMC PORTSMOUTH</v>
      </c>
      <c r="B1643" t="str">
        <f t="shared" si="667"/>
        <v>54 LEWIS MINOR ST</v>
      </c>
      <c r="C1643" t="str">
        <f t="shared" si="656"/>
        <v>BLDG 250 09MMCX M MORELAND</v>
      </c>
      <c r="D1643" t="str">
        <f t="shared" si="663"/>
        <v>PORTSMOUTH</v>
      </c>
      <c r="E1643" t="str">
        <f t="shared" si="664"/>
        <v>VA</v>
      </c>
      <c r="F1643" t="str">
        <f t="shared" si="665"/>
        <v>237082207</v>
      </c>
      <c r="G1643" t="str">
        <f t="shared" si="658"/>
        <v>54 LEWIS MINOR ST</v>
      </c>
      <c r="H1643" t="str">
        <f t="shared" si="660"/>
        <v>BLDG 250 09MMCX M MORELAND</v>
      </c>
      <c r="I1643" t="str">
        <f t="shared" si="659"/>
        <v>PORTSMOUTH</v>
      </c>
      <c r="J1643" t="str">
        <f t="shared" si="666"/>
        <v>VA</v>
      </c>
      <c r="K1643" t="str">
        <f t="shared" si="661"/>
        <v>7579535035</v>
      </c>
      <c r="L1643" t="str">
        <f>T("7579532743")</f>
        <v>7579532743</v>
      </c>
    </row>
    <row r="1644" spans="1:12" x14ac:dyDescent="0.35">
      <c r="A1644" t="str">
        <f t="shared" si="662"/>
        <v>NMC PORTSMOUTH</v>
      </c>
      <c r="B1644" t="str">
        <f t="shared" si="667"/>
        <v>54 LEWIS MINOR ST</v>
      </c>
      <c r="C1644" t="str">
        <f t="shared" ref="C1644:C1678" si="668">T("BLDG 250 09MMCX M MORELAND")</f>
        <v>BLDG 250 09MMCX M MORELAND</v>
      </c>
      <c r="D1644" t="str">
        <f t="shared" si="663"/>
        <v>PORTSMOUTH</v>
      </c>
      <c r="E1644" t="str">
        <f t="shared" si="664"/>
        <v>VA</v>
      </c>
      <c r="F1644" t="str">
        <f t="shared" si="665"/>
        <v>237082207</v>
      </c>
      <c r="G1644" t="str">
        <f t="shared" si="658"/>
        <v>54 LEWIS MINOR ST</v>
      </c>
      <c r="H1644" t="str">
        <f t="shared" si="660"/>
        <v>BLDG 250 09MMCX M MORELAND</v>
      </c>
      <c r="I1644" t="str">
        <f t="shared" si="659"/>
        <v>PORTSMOUTH</v>
      </c>
      <c r="J1644" t="str">
        <f t="shared" si="666"/>
        <v>VA</v>
      </c>
      <c r="K1644" t="str">
        <f t="shared" si="661"/>
        <v>7579535035</v>
      </c>
      <c r="L1644" t="str">
        <f>T("7579533020")</f>
        <v>7579533020</v>
      </c>
    </row>
    <row r="1645" spans="1:12" x14ac:dyDescent="0.35">
      <c r="A1645" t="str">
        <f t="shared" si="662"/>
        <v>NMC PORTSMOUTH</v>
      </c>
      <c r="B1645" t="str">
        <f t="shared" si="667"/>
        <v>54 LEWIS MINOR ST</v>
      </c>
      <c r="C1645" t="str">
        <f t="shared" si="668"/>
        <v>BLDG 250 09MMCX M MORELAND</v>
      </c>
      <c r="D1645" t="str">
        <f t="shared" si="663"/>
        <v>PORTSMOUTH</v>
      </c>
      <c r="E1645" t="str">
        <f t="shared" si="664"/>
        <v>VA</v>
      </c>
      <c r="F1645" t="str">
        <f t="shared" si="665"/>
        <v>237082207</v>
      </c>
      <c r="G1645" t="str">
        <f t="shared" ref="G1645:G1669" si="669">T("54 LEWIS MINOR ST")</f>
        <v>54 LEWIS MINOR ST</v>
      </c>
      <c r="H1645" t="str">
        <f t="shared" si="660"/>
        <v>BLDG 250 09MMCX M MORELAND</v>
      </c>
      <c r="I1645" t="str">
        <f t="shared" ref="I1645:I1676" si="670">T("PORTSMOUTH")</f>
        <v>PORTSMOUTH</v>
      </c>
      <c r="J1645" t="str">
        <f t="shared" si="666"/>
        <v>VA</v>
      </c>
      <c r="K1645" t="str">
        <f t="shared" si="661"/>
        <v>7579535035</v>
      </c>
      <c r="L1645" t="str">
        <f>T("7579533049")</f>
        <v>7579533049</v>
      </c>
    </row>
    <row r="1646" spans="1:12" x14ac:dyDescent="0.35">
      <c r="A1646" t="str">
        <f t="shared" si="662"/>
        <v>NMC PORTSMOUTH</v>
      </c>
      <c r="B1646" t="str">
        <f t="shared" si="667"/>
        <v>54 LEWIS MINOR ST</v>
      </c>
      <c r="C1646" t="str">
        <f t="shared" si="668"/>
        <v>BLDG 250 09MMCX M MORELAND</v>
      </c>
      <c r="D1646" t="str">
        <f t="shared" si="663"/>
        <v>PORTSMOUTH</v>
      </c>
      <c r="E1646" t="str">
        <f t="shared" si="664"/>
        <v>VA</v>
      </c>
      <c r="F1646" t="str">
        <f t="shared" si="665"/>
        <v>237082207</v>
      </c>
      <c r="G1646" t="str">
        <f t="shared" si="669"/>
        <v>54 LEWIS MINOR ST</v>
      </c>
      <c r="H1646" t="str">
        <f t="shared" si="660"/>
        <v>BLDG 250 09MMCX M MORELAND</v>
      </c>
      <c r="I1646" t="str">
        <f t="shared" si="670"/>
        <v>PORTSMOUTH</v>
      </c>
      <c r="J1646" t="str">
        <f t="shared" si="666"/>
        <v>VA</v>
      </c>
      <c r="K1646" t="str">
        <f t="shared" si="661"/>
        <v>7579535035</v>
      </c>
      <c r="L1646" t="str">
        <f>T("7579533131")</f>
        <v>7579533131</v>
      </c>
    </row>
    <row r="1647" spans="1:12" x14ac:dyDescent="0.35">
      <c r="A1647" t="str">
        <f t="shared" si="662"/>
        <v>NMC PORTSMOUTH</v>
      </c>
      <c r="B1647" t="str">
        <f t="shared" si="667"/>
        <v>54 LEWIS MINOR ST</v>
      </c>
      <c r="C1647" t="str">
        <f t="shared" si="668"/>
        <v>BLDG 250 09MMCX M MORELAND</v>
      </c>
      <c r="D1647" t="str">
        <f t="shared" si="663"/>
        <v>PORTSMOUTH</v>
      </c>
      <c r="E1647" t="str">
        <f t="shared" si="664"/>
        <v>VA</v>
      </c>
      <c r="F1647" t="str">
        <f t="shared" si="665"/>
        <v>237082207</v>
      </c>
      <c r="G1647" t="str">
        <f t="shared" si="669"/>
        <v>54 LEWIS MINOR ST</v>
      </c>
      <c r="H1647" t="str">
        <f t="shared" si="660"/>
        <v>BLDG 250 09MMCX M MORELAND</v>
      </c>
      <c r="I1647" t="str">
        <f t="shared" si="670"/>
        <v>PORTSMOUTH</v>
      </c>
      <c r="J1647" t="str">
        <f t="shared" si="666"/>
        <v>VA</v>
      </c>
      <c r="K1647" t="str">
        <f t="shared" si="661"/>
        <v>7579535035</v>
      </c>
      <c r="L1647" t="str">
        <f>T("7579533281")</f>
        <v>7579533281</v>
      </c>
    </row>
    <row r="1648" spans="1:12" x14ac:dyDescent="0.35">
      <c r="A1648" t="str">
        <f t="shared" si="662"/>
        <v>NMC PORTSMOUTH</v>
      </c>
      <c r="B1648" t="str">
        <f t="shared" si="667"/>
        <v>54 LEWIS MINOR ST</v>
      </c>
      <c r="C1648" t="str">
        <f t="shared" si="668"/>
        <v>BLDG 250 09MMCX M MORELAND</v>
      </c>
      <c r="D1648" t="str">
        <f t="shared" si="663"/>
        <v>PORTSMOUTH</v>
      </c>
      <c r="E1648" t="str">
        <f t="shared" si="664"/>
        <v>VA</v>
      </c>
      <c r="F1648" t="str">
        <f t="shared" si="665"/>
        <v>237082207</v>
      </c>
      <c r="G1648" t="str">
        <f t="shared" si="669"/>
        <v>54 LEWIS MINOR ST</v>
      </c>
      <c r="H1648" t="str">
        <f t="shared" si="660"/>
        <v>BLDG 250 09MMCX M MORELAND</v>
      </c>
      <c r="I1648" t="str">
        <f t="shared" si="670"/>
        <v>PORTSMOUTH</v>
      </c>
      <c r="J1648" t="str">
        <f t="shared" si="666"/>
        <v>VA</v>
      </c>
      <c r="K1648" t="str">
        <f t="shared" si="661"/>
        <v>7579535035</v>
      </c>
      <c r="L1648" t="str">
        <f>T("7579533673")</f>
        <v>7579533673</v>
      </c>
    </row>
    <row r="1649" spans="1:12" x14ac:dyDescent="0.35">
      <c r="A1649" t="str">
        <f t="shared" si="662"/>
        <v>NMC PORTSMOUTH</v>
      </c>
      <c r="B1649" t="str">
        <f t="shared" si="667"/>
        <v>54 LEWIS MINOR ST</v>
      </c>
      <c r="C1649" t="str">
        <f t="shared" si="668"/>
        <v>BLDG 250 09MMCX M MORELAND</v>
      </c>
      <c r="D1649" t="str">
        <f t="shared" si="663"/>
        <v>PORTSMOUTH</v>
      </c>
      <c r="E1649" t="str">
        <f t="shared" si="664"/>
        <v>VA</v>
      </c>
      <c r="F1649" t="str">
        <f t="shared" si="665"/>
        <v>237082207</v>
      </c>
      <c r="G1649" t="str">
        <f t="shared" si="669"/>
        <v>54 LEWIS MINOR ST</v>
      </c>
      <c r="H1649" t="str">
        <f t="shared" ref="H1649:H1668" si="671">T("BLDG 250 09MMCX M MORELAND")</f>
        <v>BLDG 250 09MMCX M MORELAND</v>
      </c>
      <c r="I1649" t="str">
        <f t="shared" si="670"/>
        <v>PORTSMOUTH</v>
      </c>
      <c r="J1649" t="str">
        <f t="shared" si="666"/>
        <v>VA</v>
      </c>
      <c r="K1649" t="str">
        <f t="shared" si="661"/>
        <v>7579535035</v>
      </c>
      <c r="L1649" t="str">
        <f>T("7579533759")</f>
        <v>7579533759</v>
      </c>
    </row>
    <row r="1650" spans="1:12" x14ac:dyDescent="0.35">
      <c r="A1650" t="str">
        <f t="shared" si="662"/>
        <v>NMC PORTSMOUTH</v>
      </c>
      <c r="B1650" t="str">
        <f t="shared" si="667"/>
        <v>54 LEWIS MINOR ST</v>
      </c>
      <c r="C1650" t="str">
        <f t="shared" si="668"/>
        <v>BLDG 250 09MMCX M MORELAND</v>
      </c>
      <c r="D1650" t="str">
        <f t="shared" si="663"/>
        <v>PORTSMOUTH</v>
      </c>
      <c r="E1650" t="str">
        <f t="shared" si="664"/>
        <v>VA</v>
      </c>
      <c r="F1650" t="str">
        <f t="shared" si="665"/>
        <v>237082207</v>
      </c>
      <c r="G1650" t="str">
        <f t="shared" si="669"/>
        <v>54 LEWIS MINOR ST</v>
      </c>
      <c r="H1650" t="str">
        <f t="shared" si="671"/>
        <v>BLDG 250 09MMCX M MORELAND</v>
      </c>
      <c r="I1650" t="str">
        <f t="shared" si="670"/>
        <v>PORTSMOUTH</v>
      </c>
      <c r="J1650" t="str">
        <f t="shared" si="666"/>
        <v>VA</v>
      </c>
      <c r="K1650" t="str">
        <f t="shared" si="661"/>
        <v>7579535035</v>
      </c>
      <c r="L1650" t="str">
        <f>T("7579533888")</f>
        <v>7579533888</v>
      </c>
    </row>
    <row r="1651" spans="1:12" x14ac:dyDescent="0.35">
      <c r="A1651" t="str">
        <f t="shared" si="662"/>
        <v>NMC PORTSMOUTH</v>
      </c>
      <c r="B1651" t="str">
        <f t="shared" si="667"/>
        <v>54 LEWIS MINOR ST</v>
      </c>
      <c r="C1651" t="str">
        <f t="shared" si="668"/>
        <v>BLDG 250 09MMCX M MORELAND</v>
      </c>
      <c r="D1651" t="str">
        <f t="shared" si="663"/>
        <v>PORTSMOUTH</v>
      </c>
      <c r="E1651" t="str">
        <f t="shared" si="664"/>
        <v>VA</v>
      </c>
      <c r="F1651" t="str">
        <f t="shared" si="665"/>
        <v>237082207</v>
      </c>
      <c r="G1651" t="str">
        <f t="shared" si="669"/>
        <v>54 LEWIS MINOR ST</v>
      </c>
      <c r="H1651" t="str">
        <f t="shared" si="671"/>
        <v>BLDG 250 09MMCX M MORELAND</v>
      </c>
      <c r="I1651" t="str">
        <f t="shared" si="670"/>
        <v>PORTSMOUTH</v>
      </c>
      <c r="J1651" t="str">
        <f t="shared" si="666"/>
        <v>VA</v>
      </c>
      <c r="K1651" t="str">
        <f t="shared" si="661"/>
        <v>7579535035</v>
      </c>
      <c r="L1651" t="str">
        <f>T("7579534620")</f>
        <v>7579534620</v>
      </c>
    </row>
    <row r="1652" spans="1:12" x14ac:dyDescent="0.35">
      <c r="A1652" t="str">
        <f t="shared" si="662"/>
        <v>NMC PORTSMOUTH</v>
      </c>
      <c r="B1652" t="str">
        <f t="shared" si="667"/>
        <v>54 LEWIS MINOR ST</v>
      </c>
      <c r="C1652" t="str">
        <f t="shared" si="668"/>
        <v>BLDG 250 09MMCX M MORELAND</v>
      </c>
      <c r="D1652" t="str">
        <f t="shared" si="663"/>
        <v>PORTSMOUTH</v>
      </c>
      <c r="E1652" t="str">
        <f t="shared" si="664"/>
        <v>VA</v>
      </c>
      <c r="F1652" t="str">
        <f t="shared" si="665"/>
        <v>237082207</v>
      </c>
      <c r="G1652" t="str">
        <f t="shared" si="669"/>
        <v>54 LEWIS MINOR ST</v>
      </c>
      <c r="H1652" t="str">
        <f t="shared" si="671"/>
        <v>BLDG 250 09MMCX M MORELAND</v>
      </c>
      <c r="I1652" t="str">
        <f t="shared" si="670"/>
        <v>PORTSMOUTH</v>
      </c>
      <c r="J1652" t="str">
        <f t="shared" si="666"/>
        <v>VA</v>
      </c>
      <c r="K1652" t="str">
        <f t="shared" si="661"/>
        <v>7579535035</v>
      </c>
      <c r="L1652" t="str">
        <f>T("7579534936")</f>
        <v>7579534936</v>
      </c>
    </row>
    <row r="1653" spans="1:12" x14ac:dyDescent="0.35">
      <c r="A1653" t="str">
        <f t="shared" si="662"/>
        <v>NMC PORTSMOUTH</v>
      </c>
      <c r="B1653" t="str">
        <f t="shared" si="667"/>
        <v>54 LEWIS MINOR ST</v>
      </c>
      <c r="C1653" t="str">
        <f t="shared" si="668"/>
        <v>BLDG 250 09MMCX M MORELAND</v>
      </c>
      <c r="D1653" t="str">
        <f t="shared" si="663"/>
        <v>PORTSMOUTH</v>
      </c>
      <c r="E1653" t="str">
        <f t="shared" si="664"/>
        <v>VA</v>
      </c>
      <c r="F1653" t="str">
        <f t="shared" si="665"/>
        <v>237082207</v>
      </c>
      <c r="G1653" t="str">
        <f t="shared" si="669"/>
        <v>54 LEWIS MINOR ST</v>
      </c>
      <c r="H1653" t="str">
        <f t="shared" si="671"/>
        <v>BLDG 250 09MMCX M MORELAND</v>
      </c>
      <c r="I1653" t="str">
        <f t="shared" si="670"/>
        <v>PORTSMOUTH</v>
      </c>
      <c r="J1653" t="str">
        <f t="shared" si="666"/>
        <v>VA</v>
      </c>
      <c r="K1653" t="str">
        <f t="shared" si="661"/>
        <v>7579535035</v>
      </c>
      <c r="L1653" t="str">
        <f>T("7579535109")</f>
        <v>7579535109</v>
      </c>
    </row>
    <row r="1654" spans="1:12" x14ac:dyDescent="0.35">
      <c r="A1654" t="str">
        <f t="shared" si="662"/>
        <v>NMC PORTSMOUTH</v>
      </c>
      <c r="B1654" t="str">
        <f t="shared" si="667"/>
        <v>54 LEWIS MINOR ST</v>
      </c>
      <c r="C1654" t="str">
        <f t="shared" si="668"/>
        <v>BLDG 250 09MMCX M MORELAND</v>
      </c>
      <c r="D1654" t="str">
        <f t="shared" si="663"/>
        <v>PORTSMOUTH</v>
      </c>
      <c r="E1654" t="str">
        <f t="shared" si="664"/>
        <v>VA</v>
      </c>
      <c r="F1654" t="str">
        <f t="shared" si="665"/>
        <v>237082207</v>
      </c>
      <c r="G1654" t="str">
        <f t="shared" si="669"/>
        <v>54 LEWIS MINOR ST</v>
      </c>
      <c r="H1654" t="str">
        <f t="shared" si="671"/>
        <v>BLDG 250 09MMCX M MORELAND</v>
      </c>
      <c r="I1654" t="str">
        <f t="shared" si="670"/>
        <v>PORTSMOUTH</v>
      </c>
      <c r="J1654" t="str">
        <f t="shared" si="666"/>
        <v>VA</v>
      </c>
      <c r="K1654" t="str">
        <f t="shared" si="661"/>
        <v>7579535035</v>
      </c>
      <c r="L1654" t="str">
        <f>T("7579535336")</f>
        <v>7579535336</v>
      </c>
    </row>
    <row r="1655" spans="1:12" x14ac:dyDescent="0.35">
      <c r="A1655" t="str">
        <f t="shared" si="662"/>
        <v>NMC PORTSMOUTH</v>
      </c>
      <c r="B1655" t="str">
        <f t="shared" si="667"/>
        <v>54 LEWIS MINOR ST</v>
      </c>
      <c r="C1655" t="str">
        <f t="shared" si="668"/>
        <v>BLDG 250 09MMCX M MORELAND</v>
      </c>
      <c r="D1655" t="str">
        <f t="shared" si="663"/>
        <v>PORTSMOUTH</v>
      </c>
      <c r="E1655" t="str">
        <f t="shared" si="664"/>
        <v>VA</v>
      </c>
      <c r="F1655" t="str">
        <f t="shared" si="665"/>
        <v>237082207</v>
      </c>
      <c r="G1655" t="str">
        <f t="shared" si="669"/>
        <v>54 LEWIS MINOR ST</v>
      </c>
      <c r="H1655" t="str">
        <f t="shared" si="671"/>
        <v>BLDG 250 09MMCX M MORELAND</v>
      </c>
      <c r="I1655" t="str">
        <f t="shared" si="670"/>
        <v>PORTSMOUTH</v>
      </c>
      <c r="J1655" t="str">
        <f t="shared" si="666"/>
        <v>VA</v>
      </c>
      <c r="K1655" t="str">
        <f t="shared" si="661"/>
        <v>7579535035</v>
      </c>
      <c r="L1655" t="str">
        <f>T("7579535414")</f>
        <v>7579535414</v>
      </c>
    </row>
    <row r="1656" spans="1:12" x14ac:dyDescent="0.35">
      <c r="A1656" t="str">
        <f t="shared" si="662"/>
        <v>NMC PORTSMOUTH</v>
      </c>
      <c r="B1656" t="str">
        <f t="shared" si="667"/>
        <v>54 LEWIS MINOR ST</v>
      </c>
      <c r="C1656" t="str">
        <f t="shared" si="668"/>
        <v>BLDG 250 09MMCX M MORELAND</v>
      </c>
      <c r="D1656" t="str">
        <f t="shared" si="663"/>
        <v>PORTSMOUTH</v>
      </c>
      <c r="E1656" t="str">
        <f t="shared" si="664"/>
        <v>VA</v>
      </c>
      <c r="F1656" t="str">
        <f t="shared" si="665"/>
        <v>237082207</v>
      </c>
      <c r="G1656" t="str">
        <f t="shared" si="669"/>
        <v>54 LEWIS MINOR ST</v>
      </c>
      <c r="H1656" t="str">
        <f t="shared" si="671"/>
        <v>BLDG 250 09MMCX M MORELAND</v>
      </c>
      <c r="I1656" t="str">
        <f t="shared" si="670"/>
        <v>PORTSMOUTH</v>
      </c>
      <c r="J1656" t="str">
        <f t="shared" si="666"/>
        <v>VA</v>
      </c>
      <c r="K1656" t="str">
        <f t="shared" si="661"/>
        <v>7579535035</v>
      </c>
      <c r="L1656" t="str">
        <f>T("7579535669")</f>
        <v>7579535669</v>
      </c>
    </row>
    <row r="1657" spans="1:12" x14ac:dyDescent="0.35">
      <c r="A1657" t="str">
        <f t="shared" si="662"/>
        <v>NMC PORTSMOUTH</v>
      </c>
      <c r="B1657" t="str">
        <f t="shared" si="667"/>
        <v>54 LEWIS MINOR ST</v>
      </c>
      <c r="C1657" t="str">
        <f t="shared" si="668"/>
        <v>BLDG 250 09MMCX M MORELAND</v>
      </c>
      <c r="D1657" t="str">
        <f t="shared" si="663"/>
        <v>PORTSMOUTH</v>
      </c>
      <c r="E1657" t="str">
        <f t="shared" si="664"/>
        <v>VA</v>
      </c>
      <c r="F1657" t="str">
        <f t="shared" si="665"/>
        <v>237082207</v>
      </c>
      <c r="G1657" t="str">
        <f t="shared" si="669"/>
        <v>54 LEWIS MINOR ST</v>
      </c>
      <c r="H1657" t="str">
        <f t="shared" si="671"/>
        <v>BLDG 250 09MMCX M MORELAND</v>
      </c>
      <c r="I1657" t="str">
        <f t="shared" si="670"/>
        <v>PORTSMOUTH</v>
      </c>
      <c r="J1657" t="str">
        <f t="shared" si="666"/>
        <v>VA</v>
      </c>
      <c r="K1657" t="str">
        <f t="shared" si="661"/>
        <v>7579535035</v>
      </c>
      <c r="L1657" t="str">
        <f>T("7579536306")</f>
        <v>7579536306</v>
      </c>
    </row>
    <row r="1658" spans="1:12" x14ac:dyDescent="0.35">
      <c r="A1658" t="str">
        <f t="shared" si="662"/>
        <v>NMC PORTSMOUTH</v>
      </c>
      <c r="B1658" t="str">
        <f t="shared" si="667"/>
        <v>54 LEWIS MINOR ST</v>
      </c>
      <c r="C1658" t="str">
        <f t="shared" si="668"/>
        <v>BLDG 250 09MMCX M MORELAND</v>
      </c>
      <c r="D1658" t="str">
        <f t="shared" si="663"/>
        <v>PORTSMOUTH</v>
      </c>
      <c r="E1658" t="str">
        <f t="shared" si="664"/>
        <v>VA</v>
      </c>
      <c r="F1658" t="str">
        <f t="shared" si="665"/>
        <v>237082207</v>
      </c>
      <c r="G1658" t="str">
        <f t="shared" si="669"/>
        <v>54 LEWIS MINOR ST</v>
      </c>
      <c r="H1658" t="str">
        <f t="shared" si="671"/>
        <v>BLDG 250 09MMCX M MORELAND</v>
      </c>
      <c r="I1658" t="str">
        <f t="shared" si="670"/>
        <v>PORTSMOUTH</v>
      </c>
      <c r="J1658" t="str">
        <f t="shared" si="666"/>
        <v>VA</v>
      </c>
      <c r="K1658" t="str">
        <f t="shared" si="661"/>
        <v>7579535035</v>
      </c>
      <c r="L1658" t="str">
        <f>T("7579536744")</f>
        <v>7579536744</v>
      </c>
    </row>
    <row r="1659" spans="1:12" x14ac:dyDescent="0.35">
      <c r="A1659" t="str">
        <f t="shared" si="662"/>
        <v>NMC PORTSMOUTH</v>
      </c>
      <c r="B1659" t="str">
        <f t="shared" si="667"/>
        <v>54 LEWIS MINOR ST</v>
      </c>
      <c r="C1659" t="str">
        <f t="shared" si="668"/>
        <v>BLDG 250 09MMCX M MORELAND</v>
      </c>
      <c r="D1659" t="str">
        <f t="shared" si="663"/>
        <v>PORTSMOUTH</v>
      </c>
      <c r="E1659" t="str">
        <f t="shared" si="664"/>
        <v>VA</v>
      </c>
      <c r="F1659" t="str">
        <f t="shared" si="665"/>
        <v>237082207</v>
      </c>
      <c r="G1659" t="str">
        <f t="shared" si="669"/>
        <v>54 LEWIS MINOR ST</v>
      </c>
      <c r="H1659" t="str">
        <f t="shared" si="671"/>
        <v>BLDG 250 09MMCX M MORELAND</v>
      </c>
      <c r="I1659" t="str">
        <f t="shared" si="670"/>
        <v>PORTSMOUTH</v>
      </c>
      <c r="J1659" t="str">
        <f t="shared" si="666"/>
        <v>VA</v>
      </c>
      <c r="K1659" t="str">
        <f t="shared" si="661"/>
        <v>7579535035</v>
      </c>
      <c r="L1659" t="str">
        <f>T("7579537001")</f>
        <v>7579537001</v>
      </c>
    </row>
    <row r="1660" spans="1:12" x14ac:dyDescent="0.35">
      <c r="A1660" t="str">
        <f t="shared" si="662"/>
        <v>NMC PORTSMOUTH</v>
      </c>
      <c r="B1660" t="str">
        <f t="shared" si="667"/>
        <v>54 LEWIS MINOR ST</v>
      </c>
      <c r="C1660" t="str">
        <f t="shared" si="668"/>
        <v>BLDG 250 09MMCX M MORELAND</v>
      </c>
      <c r="D1660" t="str">
        <f t="shared" si="663"/>
        <v>PORTSMOUTH</v>
      </c>
      <c r="E1660" t="str">
        <f t="shared" si="664"/>
        <v>VA</v>
      </c>
      <c r="F1660" t="str">
        <f t="shared" si="665"/>
        <v>237082207</v>
      </c>
      <c r="G1660" t="str">
        <f t="shared" si="669"/>
        <v>54 LEWIS MINOR ST</v>
      </c>
      <c r="H1660" t="str">
        <f t="shared" si="671"/>
        <v>BLDG 250 09MMCX M MORELAND</v>
      </c>
      <c r="I1660" t="str">
        <f t="shared" si="670"/>
        <v>PORTSMOUTH</v>
      </c>
      <c r="J1660" t="str">
        <f t="shared" si="666"/>
        <v>VA</v>
      </c>
      <c r="K1660" t="str">
        <f t="shared" si="661"/>
        <v>7579535035</v>
      </c>
      <c r="L1660" t="str">
        <f>T("7579537016")</f>
        <v>7579537016</v>
      </c>
    </row>
    <row r="1661" spans="1:12" x14ac:dyDescent="0.35">
      <c r="A1661" t="str">
        <f t="shared" si="662"/>
        <v>NMC PORTSMOUTH</v>
      </c>
      <c r="B1661" t="str">
        <f t="shared" si="667"/>
        <v>54 LEWIS MINOR ST</v>
      </c>
      <c r="C1661" t="str">
        <f t="shared" si="668"/>
        <v>BLDG 250 09MMCX M MORELAND</v>
      </c>
      <c r="D1661" t="str">
        <f t="shared" si="663"/>
        <v>PORTSMOUTH</v>
      </c>
      <c r="E1661" t="str">
        <f t="shared" si="664"/>
        <v>VA</v>
      </c>
      <c r="F1661" t="str">
        <f t="shared" si="665"/>
        <v>237082207</v>
      </c>
      <c r="G1661" t="str">
        <f t="shared" si="669"/>
        <v>54 LEWIS MINOR ST</v>
      </c>
      <c r="H1661" t="str">
        <f t="shared" si="671"/>
        <v>BLDG 250 09MMCX M MORELAND</v>
      </c>
      <c r="I1661" t="str">
        <f t="shared" si="670"/>
        <v>PORTSMOUTH</v>
      </c>
      <c r="J1661" t="str">
        <f t="shared" si="666"/>
        <v>VA</v>
      </c>
      <c r="K1661" t="str">
        <f t="shared" si="661"/>
        <v>7579535035</v>
      </c>
      <c r="L1661" t="str">
        <f>T("7579537020")</f>
        <v>7579537020</v>
      </c>
    </row>
    <row r="1662" spans="1:12" x14ac:dyDescent="0.35">
      <c r="A1662" t="str">
        <f t="shared" si="662"/>
        <v>NMC PORTSMOUTH</v>
      </c>
      <c r="B1662" t="str">
        <f t="shared" si="667"/>
        <v>54 LEWIS MINOR ST</v>
      </c>
      <c r="C1662" t="str">
        <f t="shared" si="668"/>
        <v>BLDG 250 09MMCX M MORELAND</v>
      </c>
      <c r="D1662" t="str">
        <f t="shared" si="663"/>
        <v>PORTSMOUTH</v>
      </c>
      <c r="E1662" t="str">
        <f t="shared" si="664"/>
        <v>VA</v>
      </c>
      <c r="F1662" t="str">
        <f t="shared" si="665"/>
        <v>237082207</v>
      </c>
      <c r="G1662" t="str">
        <f t="shared" si="669"/>
        <v>54 LEWIS MINOR ST</v>
      </c>
      <c r="H1662" t="str">
        <f t="shared" si="671"/>
        <v>BLDG 250 09MMCX M MORELAND</v>
      </c>
      <c r="I1662" t="str">
        <f t="shared" si="670"/>
        <v>PORTSMOUTH</v>
      </c>
      <c r="J1662" t="str">
        <f t="shared" si="666"/>
        <v>VA</v>
      </c>
      <c r="K1662" t="str">
        <f t="shared" si="661"/>
        <v>7579535035</v>
      </c>
      <c r="L1662" t="str">
        <f>T("7579537133")</f>
        <v>7579537133</v>
      </c>
    </row>
    <row r="1663" spans="1:12" x14ac:dyDescent="0.35">
      <c r="A1663" t="str">
        <f t="shared" si="662"/>
        <v>NMC PORTSMOUTH</v>
      </c>
      <c r="B1663" t="str">
        <f t="shared" si="667"/>
        <v>54 LEWIS MINOR ST</v>
      </c>
      <c r="C1663" t="str">
        <f t="shared" si="668"/>
        <v>BLDG 250 09MMCX M MORELAND</v>
      </c>
      <c r="D1663" t="str">
        <f t="shared" si="663"/>
        <v>PORTSMOUTH</v>
      </c>
      <c r="E1663" t="str">
        <f t="shared" si="664"/>
        <v>VA</v>
      </c>
      <c r="F1663" t="str">
        <f t="shared" si="665"/>
        <v>237082207</v>
      </c>
      <c r="G1663" t="str">
        <f t="shared" si="669"/>
        <v>54 LEWIS MINOR ST</v>
      </c>
      <c r="H1663" t="str">
        <f t="shared" si="671"/>
        <v>BLDG 250 09MMCX M MORELAND</v>
      </c>
      <c r="I1663" t="str">
        <f t="shared" si="670"/>
        <v>PORTSMOUTH</v>
      </c>
      <c r="J1663" t="str">
        <f t="shared" si="666"/>
        <v>VA</v>
      </c>
      <c r="K1663" t="str">
        <f t="shared" si="661"/>
        <v>7579535035</v>
      </c>
      <c r="L1663" t="str">
        <f>T("7579537312")</f>
        <v>7579537312</v>
      </c>
    </row>
    <row r="1664" spans="1:12" x14ac:dyDescent="0.35">
      <c r="A1664" t="str">
        <f t="shared" si="662"/>
        <v>NMC PORTSMOUTH</v>
      </c>
      <c r="B1664" t="str">
        <f t="shared" si="667"/>
        <v>54 LEWIS MINOR ST</v>
      </c>
      <c r="C1664" t="str">
        <f t="shared" si="668"/>
        <v>BLDG 250 09MMCX M MORELAND</v>
      </c>
      <c r="D1664" t="str">
        <f t="shared" si="663"/>
        <v>PORTSMOUTH</v>
      </c>
      <c r="E1664" t="str">
        <f t="shared" si="664"/>
        <v>VA</v>
      </c>
      <c r="F1664" t="str">
        <f t="shared" si="665"/>
        <v>237082207</v>
      </c>
      <c r="G1664" t="str">
        <f t="shared" si="669"/>
        <v>54 LEWIS MINOR ST</v>
      </c>
      <c r="H1664" t="str">
        <f t="shared" si="671"/>
        <v>BLDG 250 09MMCX M MORELAND</v>
      </c>
      <c r="I1664" t="str">
        <f t="shared" si="670"/>
        <v>PORTSMOUTH</v>
      </c>
      <c r="J1664" t="str">
        <f t="shared" si="666"/>
        <v>VA</v>
      </c>
      <c r="K1664" t="str">
        <f t="shared" si="661"/>
        <v>7579535035</v>
      </c>
      <c r="L1664" t="str">
        <f>T("7579537390")</f>
        <v>7579537390</v>
      </c>
    </row>
    <row r="1665" spans="1:12" x14ac:dyDescent="0.35">
      <c r="A1665" t="str">
        <f t="shared" si="662"/>
        <v>NMC PORTSMOUTH</v>
      </c>
      <c r="B1665" t="str">
        <f t="shared" si="667"/>
        <v>54 LEWIS MINOR ST</v>
      </c>
      <c r="C1665" t="str">
        <f t="shared" si="668"/>
        <v>BLDG 250 09MMCX M MORELAND</v>
      </c>
      <c r="D1665" t="str">
        <f t="shared" si="663"/>
        <v>PORTSMOUTH</v>
      </c>
      <c r="E1665" t="str">
        <f t="shared" si="664"/>
        <v>VA</v>
      </c>
      <c r="F1665" t="str">
        <f t="shared" si="665"/>
        <v>237082207</v>
      </c>
      <c r="G1665" t="str">
        <f t="shared" si="669"/>
        <v>54 LEWIS MINOR ST</v>
      </c>
      <c r="H1665" t="str">
        <f t="shared" si="671"/>
        <v>BLDG 250 09MMCX M MORELAND</v>
      </c>
      <c r="I1665" t="str">
        <f t="shared" si="670"/>
        <v>PORTSMOUTH</v>
      </c>
      <c r="J1665" t="str">
        <f t="shared" si="666"/>
        <v>VA</v>
      </c>
      <c r="K1665" t="str">
        <f t="shared" si="661"/>
        <v>7579535035</v>
      </c>
      <c r="L1665" t="str">
        <f>T("7579537449")</f>
        <v>7579537449</v>
      </c>
    </row>
    <row r="1666" spans="1:12" x14ac:dyDescent="0.35">
      <c r="A1666" t="str">
        <f t="shared" si="662"/>
        <v>NMC PORTSMOUTH</v>
      </c>
      <c r="B1666" t="str">
        <f t="shared" si="667"/>
        <v>54 LEWIS MINOR ST</v>
      </c>
      <c r="C1666" t="str">
        <f t="shared" si="668"/>
        <v>BLDG 250 09MMCX M MORELAND</v>
      </c>
      <c r="D1666" t="str">
        <f t="shared" si="663"/>
        <v>PORTSMOUTH</v>
      </c>
      <c r="E1666" t="str">
        <f t="shared" si="664"/>
        <v>VA</v>
      </c>
      <c r="F1666" t="str">
        <f t="shared" si="665"/>
        <v>237082207</v>
      </c>
      <c r="G1666" t="str">
        <f t="shared" si="669"/>
        <v>54 LEWIS MINOR ST</v>
      </c>
      <c r="H1666" t="str">
        <f t="shared" si="671"/>
        <v>BLDG 250 09MMCX M MORELAND</v>
      </c>
      <c r="I1666" t="str">
        <f t="shared" si="670"/>
        <v>PORTSMOUTH</v>
      </c>
      <c r="J1666" t="str">
        <f t="shared" si="666"/>
        <v>VA</v>
      </c>
      <c r="K1666" t="str">
        <f t="shared" si="661"/>
        <v>7579535035</v>
      </c>
      <c r="L1666" t="str">
        <f>T("7579537754")</f>
        <v>7579537754</v>
      </c>
    </row>
    <row r="1667" spans="1:12" x14ac:dyDescent="0.35">
      <c r="A1667" t="str">
        <f t="shared" ref="A1667:A1687" si="672">T("NMC PORTSMOUTH")</f>
        <v>NMC PORTSMOUTH</v>
      </c>
      <c r="B1667" t="str">
        <f t="shared" si="667"/>
        <v>54 LEWIS MINOR ST</v>
      </c>
      <c r="C1667" t="str">
        <f t="shared" si="668"/>
        <v>BLDG 250 09MMCX M MORELAND</v>
      </c>
      <c r="D1667" t="str">
        <f t="shared" ref="D1667:D1687" si="673">T("PORTSMOUTH")</f>
        <v>PORTSMOUTH</v>
      </c>
      <c r="E1667" t="str">
        <f t="shared" ref="E1667:E1687" si="674">T("VA")</f>
        <v>VA</v>
      </c>
      <c r="F1667" t="str">
        <f t="shared" ref="F1667:F1687" si="675">T("237082207")</f>
        <v>237082207</v>
      </c>
      <c r="G1667" t="str">
        <f t="shared" si="669"/>
        <v>54 LEWIS MINOR ST</v>
      </c>
      <c r="H1667" t="str">
        <f t="shared" si="671"/>
        <v>BLDG 250 09MMCX M MORELAND</v>
      </c>
      <c r="I1667" t="str">
        <f t="shared" si="670"/>
        <v>PORTSMOUTH</v>
      </c>
      <c r="J1667" t="str">
        <f t="shared" ref="J1667:J1687" si="676">T("VA")</f>
        <v>VA</v>
      </c>
      <c r="K1667" t="str">
        <f t="shared" si="661"/>
        <v>7579535035</v>
      </c>
      <c r="L1667" t="str">
        <f>T("7579537985")</f>
        <v>7579537985</v>
      </c>
    </row>
    <row r="1668" spans="1:12" x14ac:dyDescent="0.35">
      <c r="A1668" t="str">
        <f t="shared" si="672"/>
        <v>NMC PORTSMOUTH</v>
      </c>
      <c r="B1668" t="str">
        <f t="shared" si="667"/>
        <v>54 LEWIS MINOR ST</v>
      </c>
      <c r="C1668" t="str">
        <f t="shared" si="668"/>
        <v>BLDG 250 09MMCX M MORELAND</v>
      </c>
      <c r="D1668" t="str">
        <f t="shared" si="673"/>
        <v>PORTSMOUTH</v>
      </c>
      <c r="E1668" t="str">
        <f t="shared" si="674"/>
        <v>VA</v>
      </c>
      <c r="F1668" t="str">
        <f t="shared" si="675"/>
        <v>237082207</v>
      </c>
      <c r="G1668" t="str">
        <f t="shared" si="669"/>
        <v>54 LEWIS MINOR ST</v>
      </c>
      <c r="H1668" t="str">
        <f t="shared" si="671"/>
        <v>BLDG 250 09MMCX M MORELAND</v>
      </c>
      <c r="I1668" t="str">
        <f t="shared" si="670"/>
        <v>PORTSMOUTH</v>
      </c>
      <c r="J1668" t="str">
        <f t="shared" si="676"/>
        <v>VA</v>
      </c>
      <c r="K1668" t="str">
        <f t="shared" si="661"/>
        <v>7579535035</v>
      </c>
      <c r="L1668" t="str">
        <f>T("7579539915")</f>
        <v>7579539915</v>
      </c>
    </row>
    <row r="1669" spans="1:12" x14ac:dyDescent="0.35">
      <c r="A1669" t="str">
        <f t="shared" si="672"/>
        <v>NMC PORTSMOUTH</v>
      </c>
      <c r="B1669" t="str">
        <f t="shared" si="667"/>
        <v>54 LEWIS MINOR ST</v>
      </c>
      <c r="C1669" t="str">
        <f t="shared" si="668"/>
        <v>BLDG 250 09MMCX M MORELAND</v>
      </c>
      <c r="D1669" t="str">
        <f t="shared" si="673"/>
        <v>PORTSMOUTH</v>
      </c>
      <c r="E1669" t="str">
        <f t="shared" si="674"/>
        <v>VA</v>
      </c>
      <c r="F1669" t="str">
        <f t="shared" si="675"/>
        <v>237082207</v>
      </c>
      <c r="G1669" t="str">
        <f t="shared" si="669"/>
        <v>54 LEWIS MINOR ST</v>
      </c>
      <c r="H1669" t="str">
        <f>T("BLDG 250 09MMCX M.MORELAND")</f>
        <v>BLDG 250 09MMCX M.MORELAND</v>
      </c>
      <c r="I1669" t="str">
        <f t="shared" si="670"/>
        <v>PORTSMOUTH</v>
      </c>
      <c r="J1669" t="str">
        <f t="shared" si="676"/>
        <v>VA</v>
      </c>
      <c r="K1669" t="str">
        <f>T("000000000000000000")</f>
        <v>000000000000000000</v>
      </c>
      <c r="L1669" t="str">
        <f>T("7579532079")</f>
        <v>7579532079</v>
      </c>
    </row>
    <row r="1670" spans="1:12" x14ac:dyDescent="0.35">
      <c r="A1670" t="str">
        <f t="shared" si="672"/>
        <v>NMC PORTSMOUTH</v>
      </c>
      <c r="B1670" t="str">
        <f t="shared" si="667"/>
        <v>54 LEWIS MINOR ST</v>
      </c>
      <c r="C1670" t="str">
        <f t="shared" si="668"/>
        <v>BLDG 250 09MMCX M MORELAND</v>
      </c>
      <c r="D1670" t="str">
        <f t="shared" si="673"/>
        <v>PORTSMOUTH</v>
      </c>
      <c r="E1670" t="str">
        <f t="shared" si="674"/>
        <v>VA</v>
      </c>
      <c r="F1670" t="str">
        <f t="shared" si="675"/>
        <v>237082207</v>
      </c>
      <c r="G1670" t="str">
        <f t="shared" ref="G1670:G1676" si="677">T("54 LEWIS MINOR STREET")</f>
        <v>54 LEWIS MINOR STREET</v>
      </c>
      <c r="H1670" t="str">
        <f>T("BLDG 250 09MMCX M MORELAND")</f>
        <v>BLDG 250 09MMCX M MORELAND</v>
      </c>
      <c r="I1670" t="str">
        <f t="shared" si="670"/>
        <v>PORTSMOUTH</v>
      </c>
      <c r="J1670" t="str">
        <f t="shared" si="676"/>
        <v>VA</v>
      </c>
      <c r="K1670" t="str">
        <f>T("7579535035")</f>
        <v>7579535035</v>
      </c>
      <c r="L1670" t="str">
        <f>T("7579530619")</f>
        <v>7579530619</v>
      </c>
    </row>
    <row r="1671" spans="1:12" x14ac:dyDescent="0.35">
      <c r="A1671" t="str">
        <f t="shared" si="672"/>
        <v>NMC PORTSMOUTH</v>
      </c>
      <c r="B1671" t="str">
        <f t="shared" ref="B1671:B1685" si="678">T("54 LEWIS MINOR ST")</f>
        <v>54 LEWIS MINOR ST</v>
      </c>
      <c r="C1671" t="str">
        <f t="shared" si="668"/>
        <v>BLDG 250 09MMCX M MORELAND</v>
      </c>
      <c r="D1671" t="str">
        <f t="shared" si="673"/>
        <v>PORTSMOUTH</v>
      </c>
      <c r="E1671" t="str">
        <f t="shared" si="674"/>
        <v>VA</v>
      </c>
      <c r="F1671" t="str">
        <f t="shared" si="675"/>
        <v>237082207</v>
      </c>
      <c r="G1671" t="str">
        <f t="shared" si="677"/>
        <v>54 LEWIS MINOR STREET</v>
      </c>
      <c r="H1671" t="str">
        <f>T("BLDG 250 09MMCX M MORELAND")</f>
        <v>BLDG 250 09MMCX M MORELAND</v>
      </c>
      <c r="I1671" t="str">
        <f t="shared" si="670"/>
        <v>PORTSMOUTH</v>
      </c>
      <c r="J1671" t="str">
        <f t="shared" si="676"/>
        <v>VA</v>
      </c>
      <c r="K1671" t="str">
        <f>T("7579535035")</f>
        <v>7579535035</v>
      </c>
      <c r="L1671" t="str">
        <f>T("7579532481")</f>
        <v>7579532481</v>
      </c>
    </row>
    <row r="1672" spans="1:12" x14ac:dyDescent="0.35">
      <c r="A1672" t="str">
        <f t="shared" si="672"/>
        <v>NMC PORTSMOUTH</v>
      </c>
      <c r="B1672" t="str">
        <f t="shared" si="678"/>
        <v>54 LEWIS MINOR ST</v>
      </c>
      <c r="C1672" t="str">
        <f t="shared" si="668"/>
        <v>BLDG 250 09MMCX M MORELAND</v>
      </c>
      <c r="D1672" t="str">
        <f t="shared" si="673"/>
        <v>PORTSMOUTH</v>
      </c>
      <c r="E1672" t="str">
        <f t="shared" si="674"/>
        <v>VA</v>
      </c>
      <c r="F1672" t="str">
        <f t="shared" si="675"/>
        <v>237082207</v>
      </c>
      <c r="G1672" t="str">
        <f t="shared" si="677"/>
        <v>54 LEWIS MINOR STREET</v>
      </c>
      <c r="H1672" t="str">
        <f>T("BLDG 250 09MMCX MMORELAND")</f>
        <v>BLDG 250 09MMCX MMORELAND</v>
      </c>
      <c r="I1672" t="str">
        <f t="shared" si="670"/>
        <v>PORTSMOUTH</v>
      </c>
      <c r="J1672" t="str">
        <f t="shared" si="676"/>
        <v>VA</v>
      </c>
      <c r="K1672" t="str">
        <f>T("7579535035")</f>
        <v>7579535035</v>
      </c>
      <c r="L1672" t="str">
        <f>T("7579535054")</f>
        <v>7579535054</v>
      </c>
    </row>
    <row r="1673" spans="1:12" x14ac:dyDescent="0.35">
      <c r="A1673" t="str">
        <f t="shared" si="672"/>
        <v>NMC PORTSMOUTH</v>
      </c>
      <c r="B1673" t="str">
        <f t="shared" si="678"/>
        <v>54 LEWIS MINOR ST</v>
      </c>
      <c r="C1673" t="str">
        <f t="shared" si="668"/>
        <v>BLDG 250 09MMCX M MORELAND</v>
      </c>
      <c r="D1673" t="str">
        <f t="shared" si="673"/>
        <v>PORTSMOUTH</v>
      </c>
      <c r="E1673" t="str">
        <f t="shared" si="674"/>
        <v>VA</v>
      </c>
      <c r="F1673" t="str">
        <f t="shared" si="675"/>
        <v>237082207</v>
      </c>
      <c r="G1673" t="str">
        <f t="shared" si="677"/>
        <v>54 LEWIS MINOR STREET</v>
      </c>
      <c r="H1673" t="str">
        <f>T("BUILDING 250 09MMCX M MORELAND")</f>
        <v>BUILDING 250 09MMCX M MORELAND</v>
      </c>
      <c r="I1673" t="str">
        <f t="shared" si="670"/>
        <v>PORTSMOUTH</v>
      </c>
      <c r="J1673" t="str">
        <f t="shared" si="676"/>
        <v>VA</v>
      </c>
      <c r="K1673" t="str">
        <f t="shared" ref="K1673:K1678" si="679">T("000000000000000000")</f>
        <v>000000000000000000</v>
      </c>
      <c r="L1673" t="str">
        <f>T("7579532067")</f>
        <v>7579532067</v>
      </c>
    </row>
    <row r="1674" spans="1:12" x14ac:dyDescent="0.35">
      <c r="A1674" t="str">
        <f t="shared" si="672"/>
        <v>NMC PORTSMOUTH</v>
      </c>
      <c r="B1674" t="str">
        <f t="shared" si="678"/>
        <v>54 LEWIS MINOR ST</v>
      </c>
      <c r="C1674" t="str">
        <f t="shared" si="668"/>
        <v>BLDG 250 09MMCX M MORELAND</v>
      </c>
      <c r="D1674" t="str">
        <f t="shared" si="673"/>
        <v>PORTSMOUTH</v>
      </c>
      <c r="E1674" t="str">
        <f t="shared" si="674"/>
        <v>VA</v>
      </c>
      <c r="F1674" t="str">
        <f t="shared" si="675"/>
        <v>237082207</v>
      </c>
      <c r="G1674" t="str">
        <f t="shared" si="677"/>
        <v>54 LEWIS MINOR STREET</v>
      </c>
      <c r="H1674" t="str">
        <f>T("BUILDING 250 09MMCX M MORELAND")</f>
        <v>BUILDING 250 09MMCX M MORELAND</v>
      </c>
      <c r="I1674" t="str">
        <f t="shared" si="670"/>
        <v>PORTSMOUTH</v>
      </c>
      <c r="J1674" t="str">
        <f t="shared" si="676"/>
        <v>VA</v>
      </c>
      <c r="K1674" t="str">
        <f t="shared" si="679"/>
        <v>000000000000000000</v>
      </c>
      <c r="L1674" t="str">
        <f>T("7579535976")</f>
        <v>7579535976</v>
      </c>
    </row>
    <row r="1675" spans="1:12" x14ac:dyDescent="0.35">
      <c r="A1675" t="str">
        <f t="shared" si="672"/>
        <v>NMC PORTSMOUTH</v>
      </c>
      <c r="B1675" t="str">
        <f t="shared" si="678"/>
        <v>54 LEWIS MINOR ST</v>
      </c>
      <c r="C1675" t="str">
        <f t="shared" si="668"/>
        <v>BLDG 250 09MMCX M MORELAND</v>
      </c>
      <c r="D1675" t="str">
        <f t="shared" si="673"/>
        <v>PORTSMOUTH</v>
      </c>
      <c r="E1675" t="str">
        <f t="shared" si="674"/>
        <v>VA</v>
      </c>
      <c r="F1675" t="str">
        <f t="shared" si="675"/>
        <v>237082207</v>
      </c>
      <c r="G1675" t="str">
        <f t="shared" si="677"/>
        <v>54 LEWIS MINOR STREET</v>
      </c>
      <c r="H1675" t="str">
        <f>T("BUILDING 250 09MMCX M MORELAND")</f>
        <v>BUILDING 250 09MMCX M MORELAND</v>
      </c>
      <c r="I1675" t="str">
        <f t="shared" si="670"/>
        <v>PORTSMOUTH</v>
      </c>
      <c r="J1675" t="str">
        <f t="shared" si="676"/>
        <v>VA</v>
      </c>
      <c r="K1675" t="str">
        <f t="shared" si="679"/>
        <v>000000000000000000</v>
      </c>
      <c r="L1675" t="str">
        <f>T("7579536541")</f>
        <v>7579536541</v>
      </c>
    </row>
    <row r="1676" spans="1:12" x14ac:dyDescent="0.35">
      <c r="A1676" t="str">
        <f t="shared" si="672"/>
        <v>NMC PORTSMOUTH</v>
      </c>
      <c r="B1676" t="str">
        <f t="shared" si="678"/>
        <v>54 LEWIS MINOR ST</v>
      </c>
      <c r="C1676" t="str">
        <f t="shared" si="668"/>
        <v>BLDG 250 09MMCX M MORELAND</v>
      </c>
      <c r="D1676" t="str">
        <f t="shared" si="673"/>
        <v>PORTSMOUTH</v>
      </c>
      <c r="E1676" t="str">
        <f t="shared" si="674"/>
        <v>VA</v>
      </c>
      <c r="F1676" t="str">
        <f t="shared" si="675"/>
        <v>237082207</v>
      </c>
      <c r="G1676" t="str">
        <f t="shared" si="677"/>
        <v>54 LEWIS MINOR STREET</v>
      </c>
      <c r="H1676" t="str">
        <f>T("BUILDING 250 09MMCX M MORELAND")</f>
        <v>BUILDING 250 09MMCX M MORELAND</v>
      </c>
      <c r="I1676" t="str">
        <f t="shared" si="670"/>
        <v>PORTSMOUTH</v>
      </c>
      <c r="J1676" t="str">
        <f t="shared" si="676"/>
        <v>VA</v>
      </c>
      <c r="K1676" t="str">
        <f t="shared" si="679"/>
        <v>000000000000000000</v>
      </c>
      <c r="L1676" t="str">
        <f>T("7579539828")</f>
        <v>7579539828</v>
      </c>
    </row>
    <row r="1677" spans="1:12" x14ac:dyDescent="0.35">
      <c r="A1677" t="str">
        <f t="shared" si="672"/>
        <v>NMC PORTSMOUTH</v>
      </c>
      <c r="B1677" t="str">
        <f t="shared" si="678"/>
        <v>54 LEWIS MINOR ST</v>
      </c>
      <c r="C1677" t="str">
        <f t="shared" si="668"/>
        <v>BLDG 250 09MMCX M MORELAND</v>
      </c>
      <c r="D1677" t="str">
        <f t="shared" si="673"/>
        <v>PORTSMOUTH</v>
      </c>
      <c r="E1677" t="str">
        <f t="shared" si="674"/>
        <v>VA</v>
      </c>
      <c r="F1677" t="str">
        <f t="shared" si="675"/>
        <v>237082207</v>
      </c>
      <c r="G1677" t="str">
        <f>T("620 JOHN PAUL JONES CIRCLE")</f>
        <v>620 JOHN PAUL JONES CIRCLE</v>
      </c>
      <c r="H1677" t="str">
        <f>T("")</f>
        <v/>
      </c>
      <c r="I1677" t="str">
        <f t="shared" ref="I1677:I1687" si="680">T("PORTSMOUTH")</f>
        <v>PORTSMOUTH</v>
      </c>
      <c r="J1677" t="str">
        <f t="shared" si="676"/>
        <v>VA</v>
      </c>
      <c r="K1677" t="str">
        <f t="shared" si="679"/>
        <v>000000000000000000</v>
      </c>
      <c r="L1677" t="str">
        <f>T("7579531189")</f>
        <v>7579531189</v>
      </c>
    </row>
    <row r="1678" spans="1:12" x14ac:dyDescent="0.35">
      <c r="A1678" t="str">
        <f t="shared" si="672"/>
        <v>NMC PORTSMOUTH</v>
      </c>
      <c r="B1678" t="str">
        <f t="shared" si="678"/>
        <v>54 LEWIS MINOR ST</v>
      </c>
      <c r="C1678" t="str">
        <f t="shared" si="668"/>
        <v>BLDG 250 09MMCX M MORELAND</v>
      </c>
      <c r="D1678" t="str">
        <f t="shared" si="673"/>
        <v>PORTSMOUTH</v>
      </c>
      <c r="E1678" t="str">
        <f t="shared" si="674"/>
        <v>VA</v>
      </c>
      <c r="F1678" t="str">
        <f t="shared" si="675"/>
        <v>237082207</v>
      </c>
      <c r="G1678" t="str">
        <f>T("GME BLDG 1 CODE OJ")</f>
        <v>GME BLDG 1 CODE OJ</v>
      </c>
      <c r="H1678" t="str">
        <f>T("620 JOHN PAUL JONES CIRCLE")</f>
        <v>620 JOHN PAUL JONES CIRCLE</v>
      </c>
      <c r="I1678" t="str">
        <f t="shared" si="680"/>
        <v>PORTSMOUTH</v>
      </c>
      <c r="J1678" t="str">
        <f t="shared" si="676"/>
        <v>VA</v>
      </c>
      <c r="K1678" t="str">
        <f t="shared" si="679"/>
        <v>000000000000000000</v>
      </c>
      <c r="L1678" t="str">
        <f>T("7579535959")</f>
        <v>7579535959</v>
      </c>
    </row>
    <row r="1679" spans="1:12" x14ac:dyDescent="0.35">
      <c r="A1679" t="str">
        <f t="shared" si="672"/>
        <v>NMC PORTSMOUTH</v>
      </c>
      <c r="B1679" t="str">
        <f t="shared" si="678"/>
        <v>54 LEWIS MINOR ST</v>
      </c>
      <c r="C1679" t="str">
        <f>T("BLDG 250 09MMCX MMORELAND")</f>
        <v>BLDG 250 09MMCX MMORELAND</v>
      </c>
      <c r="D1679" t="str">
        <f t="shared" si="673"/>
        <v>PORTSMOUTH</v>
      </c>
      <c r="E1679" t="str">
        <f t="shared" si="674"/>
        <v>VA</v>
      </c>
      <c r="F1679" t="str">
        <f t="shared" si="675"/>
        <v>237082207</v>
      </c>
      <c r="G1679" t="str">
        <f>T("54 LEWIS MINOR ST")</f>
        <v>54 LEWIS MINOR ST</v>
      </c>
      <c r="H1679" t="str">
        <f>T("BLDG 250 09MMCCX M MORELAND")</f>
        <v>BLDG 250 09MMCCX M MORELAND</v>
      </c>
      <c r="I1679" t="str">
        <f t="shared" si="680"/>
        <v>PORTSMOUTH</v>
      </c>
      <c r="J1679" t="str">
        <f t="shared" si="676"/>
        <v>VA</v>
      </c>
      <c r="K1679" t="str">
        <f>T("7579535035")</f>
        <v>7579535035</v>
      </c>
      <c r="L1679" t="str">
        <f>T("7579537510")</f>
        <v>7579537510</v>
      </c>
    </row>
    <row r="1680" spans="1:12" x14ac:dyDescent="0.35">
      <c r="A1680" t="str">
        <f t="shared" si="672"/>
        <v>NMC PORTSMOUTH</v>
      </c>
      <c r="B1680" t="str">
        <f t="shared" si="678"/>
        <v>54 LEWIS MINOR ST</v>
      </c>
      <c r="C1680" t="str">
        <f>T("BLDG 250 09MMCX MMORELAND")</f>
        <v>BLDG 250 09MMCX MMORELAND</v>
      </c>
      <c r="D1680" t="str">
        <f t="shared" si="673"/>
        <v>PORTSMOUTH</v>
      </c>
      <c r="E1680" t="str">
        <f t="shared" si="674"/>
        <v>VA</v>
      </c>
      <c r="F1680" t="str">
        <f t="shared" si="675"/>
        <v>237082207</v>
      </c>
      <c r="G1680" t="str">
        <f>T("54 LEWIS MINOR ST")</f>
        <v>54 LEWIS MINOR ST</v>
      </c>
      <c r="H1680" t="str">
        <f>T("BLDG 250 09MMCX MMORELAND")</f>
        <v>BLDG 250 09MMCX MMORELAND</v>
      </c>
      <c r="I1680" t="str">
        <f t="shared" si="680"/>
        <v>PORTSMOUTH</v>
      </c>
      <c r="J1680" t="str">
        <f t="shared" si="676"/>
        <v>VA</v>
      </c>
      <c r="K1680" t="str">
        <f>T("7579535035")</f>
        <v>7579535035</v>
      </c>
      <c r="L1680" t="str">
        <f>T("7579530178")</f>
        <v>7579530178</v>
      </c>
    </row>
    <row r="1681" spans="1:12" x14ac:dyDescent="0.35">
      <c r="A1681" t="str">
        <f t="shared" si="672"/>
        <v>NMC PORTSMOUTH</v>
      </c>
      <c r="B1681" t="str">
        <f t="shared" si="678"/>
        <v>54 LEWIS MINOR ST</v>
      </c>
      <c r="C1681" t="str">
        <f>T("BLDG 250 09MMCX MMORELAND")</f>
        <v>BLDG 250 09MMCX MMORELAND</v>
      </c>
      <c r="D1681" t="str">
        <f t="shared" si="673"/>
        <v>PORTSMOUTH</v>
      </c>
      <c r="E1681" t="str">
        <f t="shared" si="674"/>
        <v>VA</v>
      </c>
      <c r="F1681" t="str">
        <f t="shared" si="675"/>
        <v>237082207</v>
      </c>
      <c r="G1681" t="str">
        <f>T("54 LEWIS MINOR ST")</f>
        <v>54 LEWIS MINOR ST</v>
      </c>
      <c r="H1681" t="str">
        <f>T("BLDG 250 09MMCX MMORELAND")</f>
        <v>BLDG 250 09MMCX MMORELAND</v>
      </c>
      <c r="I1681" t="str">
        <f t="shared" si="680"/>
        <v>PORTSMOUTH</v>
      </c>
      <c r="J1681" t="str">
        <f t="shared" si="676"/>
        <v>VA</v>
      </c>
      <c r="K1681" t="str">
        <f>T("7579535035")</f>
        <v>7579535035</v>
      </c>
      <c r="L1681" t="str">
        <f>T("7579532582")</f>
        <v>7579532582</v>
      </c>
    </row>
    <row r="1682" spans="1:12" x14ac:dyDescent="0.35">
      <c r="A1682" t="str">
        <f t="shared" si="672"/>
        <v>NMC PORTSMOUTH</v>
      </c>
      <c r="B1682" t="str">
        <f t="shared" si="678"/>
        <v>54 LEWIS MINOR ST</v>
      </c>
      <c r="C1682" t="str">
        <f>T("BLDG 250 09MMCX MMORELAND")</f>
        <v>BLDG 250 09MMCX MMORELAND</v>
      </c>
      <c r="D1682" t="str">
        <f t="shared" si="673"/>
        <v>PORTSMOUTH</v>
      </c>
      <c r="E1682" t="str">
        <f t="shared" si="674"/>
        <v>VA</v>
      </c>
      <c r="F1682" t="str">
        <f t="shared" si="675"/>
        <v>237082207</v>
      </c>
      <c r="G1682" t="str">
        <f>T("BLDG 3 TELCOM")</f>
        <v>BLDG 3 TELCOM</v>
      </c>
      <c r="H1682" t="str">
        <f>T("620 JOHN PAUL JONES CIRCLE")</f>
        <v>620 JOHN PAUL JONES CIRCLE</v>
      </c>
      <c r="I1682" t="str">
        <f t="shared" si="680"/>
        <v>PORTSMOUTH</v>
      </c>
      <c r="J1682" t="str">
        <f t="shared" si="676"/>
        <v>VA</v>
      </c>
      <c r="K1682" t="str">
        <f>T("000000000000000000")</f>
        <v>000000000000000000</v>
      </c>
      <c r="L1682" t="str">
        <f>T("7579530105")</f>
        <v>7579530105</v>
      </c>
    </row>
    <row r="1683" spans="1:12" x14ac:dyDescent="0.35">
      <c r="A1683" t="str">
        <f t="shared" si="672"/>
        <v>NMC PORTSMOUTH</v>
      </c>
      <c r="B1683" t="str">
        <f t="shared" si="678"/>
        <v>54 LEWIS MINOR ST</v>
      </c>
      <c r="C1683" t="str">
        <f>T("BUILDING 250 09MMCX M MORELAN")</f>
        <v>BUILDING 250 09MMCX M MORELAN</v>
      </c>
      <c r="D1683" t="str">
        <f t="shared" si="673"/>
        <v>PORTSMOUTH</v>
      </c>
      <c r="E1683" t="str">
        <f t="shared" si="674"/>
        <v>VA</v>
      </c>
      <c r="F1683" t="str">
        <f t="shared" si="675"/>
        <v>237082207</v>
      </c>
      <c r="G1683" t="str">
        <f>T("54 LEWIS MINOR ST")</f>
        <v>54 LEWIS MINOR ST</v>
      </c>
      <c r="H1683" t="str">
        <f>T("BLDG 250 09MMCX M MORELAND")</f>
        <v>BLDG 250 09MMCX M MORELAND</v>
      </c>
      <c r="I1683" t="str">
        <f t="shared" si="680"/>
        <v>PORTSMOUTH</v>
      </c>
      <c r="J1683" t="str">
        <f t="shared" si="676"/>
        <v>VA</v>
      </c>
      <c r="K1683" t="str">
        <f>T("000000000000000000")</f>
        <v>000000000000000000</v>
      </c>
      <c r="L1683" t="str">
        <f>T("7579534338")</f>
        <v>7579534338</v>
      </c>
    </row>
    <row r="1684" spans="1:12" x14ac:dyDescent="0.35">
      <c r="A1684" t="str">
        <f t="shared" si="672"/>
        <v>NMC PORTSMOUTH</v>
      </c>
      <c r="B1684" t="str">
        <f t="shared" si="678"/>
        <v>54 LEWIS MINOR ST</v>
      </c>
      <c r="C1684" t="str">
        <f>T("BUILDING 250 09MMCX M MORELAN")</f>
        <v>BUILDING 250 09MMCX M MORELAN</v>
      </c>
      <c r="D1684" t="str">
        <f t="shared" si="673"/>
        <v>PORTSMOUTH</v>
      </c>
      <c r="E1684" t="str">
        <f t="shared" si="674"/>
        <v>VA</v>
      </c>
      <c r="F1684" t="str">
        <f t="shared" si="675"/>
        <v>237082207</v>
      </c>
      <c r="G1684" t="str">
        <f>T("54 LEWIS MINOR ST")</f>
        <v>54 LEWIS MINOR ST</v>
      </c>
      <c r="H1684" t="str">
        <f>T("BLDG 250 09MMCX M MORELAND")</f>
        <v>BLDG 250 09MMCX M MORELAND</v>
      </c>
      <c r="I1684" t="str">
        <f t="shared" si="680"/>
        <v>PORTSMOUTH</v>
      </c>
      <c r="J1684" t="str">
        <f t="shared" si="676"/>
        <v>VA</v>
      </c>
      <c r="K1684" t="str">
        <f>T("000000000000000000")</f>
        <v>000000000000000000</v>
      </c>
      <c r="L1684" t="str">
        <f>T("7579534998")</f>
        <v>7579534998</v>
      </c>
    </row>
    <row r="1685" spans="1:12" x14ac:dyDescent="0.35">
      <c r="A1685" t="str">
        <f t="shared" si="672"/>
        <v>NMC PORTSMOUTH</v>
      </c>
      <c r="B1685" t="str">
        <f t="shared" si="678"/>
        <v>54 LEWIS MINOR ST</v>
      </c>
      <c r="C1685" t="str">
        <f>T("BUILDING 250 09MMCX M MORELAN")</f>
        <v>BUILDING 250 09MMCX M MORELAN</v>
      </c>
      <c r="D1685" t="str">
        <f t="shared" si="673"/>
        <v>PORTSMOUTH</v>
      </c>
      <c r="E1685" t="str">
        <f t="shared" si="674"/>
        <v>VA</v>
      </c>
      <c r="F1685" t="str">
        <f t="shared" si="675"/>
        <v>237082207</v>
      </c>
      <c r="G1685" t="str">
        <f>T("54 LEWIS MINOR ST")</f>
        <v>54 LEWIS MINOR ST</v>
      </c>
      <c r="H1685" t="str">
        <f>T("BUILDING 250 09MMCX M MORELAN")</f>
        <v>BUILDING 250 09MMCX M MORELAN</v>
      </c>
      <c r="I1685" t="str">
        <f t="shared" si="680"/>
        <v>PORTSMOUTH</v>
      </c>
      <c r="J1685" t="str">
        <f t="shared" si="676"/>
        <v>VA</v>
      </c>
      <c r="K1685" t="str">
        <f>T("7579535035")</f>
        <v>7579535035</v>
      </c>
      <c r="L1685" t="str">
        <f>T("7579534036")</f>
        <v>7579534036</v>
      </c>
    </row>
    <row r="1686" spans="1:12" x14ac:dyDescent="0.35">
      <c r="A1686" t="str">
        <f t="shared" si="672"/>
        <v>NMC PORTSMOUTH</v>
      </c>
      <c r="B1686" t="str">
        <f>T("54 LEWIS MINOR STREET")</f>
        <v>54 LEWIS MINOR STREET</v>
      </c>
      <c r="C1686" t="str">
        <f>T("BLDG 250 09MMCX M MORELAND")</f>
        <v>BLDG 250 09MMCX M MORELAND</v>
      </c>
      <c r="D1686" t="str">
        <f t="shared" si="673"/>
        <v>PORTSMOUTH</v>
      </c>
      <c r="E1686" t="str">
        <f t="shared" si="674"/>
        <v>VA</v>
      </c>
      <c r="F1686" t="str">
        <f t="shared" si="675"/>
        <v>237082207</v>
      </c>
      <c r="G1686" t="str">
        <f>T("54 LEWIS MINOR ST")</f>
        <v>54 LEWIS MINOR ST</v>
      </c>
      <c r="H1686" t="str">
        <f>T("BLDG 250 09MMCX M MORELAND")</f>
        <v>BLDG 250 09MMCX M MORELAND</v>
      </c>
      <c r="I1686" t="str">
        <f t="shared" si="680"/>
        <v>PORTSMOUTH</v>
      </c>
      <c r="J1686" t="str">
        <f t="shared" si="676"/>
        <v>VA</v>
      </c>
      <c r="K1686" t="str">
        <f>T("7579535035")</f>
        <v>7579535035</v>
      </c>
      <c r="L1686" t="str">
        <f>T("7579536880")</f>
        <v>7579536880</v>
      </c>
    </row>
    <row r="1687" spans="1:12" x14ac:dyDescent="0.35">
      <c r="A1687" t="str">
        <f t="shared" si="672"/>
        <v>NMC PORTSMOUTH</v>
      </c>
      <c r="B1687" t="str">
        <f>T("54 LEWIS MINOR STREET")</f>
        <v>54 LEWIS MINOR STREET</v>
      </c>
      <c r="C1687" t="str">
        <f>T("BLDG 250 09MMCX M MORELAND")</f>
        <v>BLDG 250 09MMCX M MORELAND</v>
      </c>
      <c r="D1687" t="str">
        <f t="shared" si="673"/>
        <v>PORTSMOUTH</v>
      </c>
      <c r="E1687" t="str">
        <f t="shared" si="674"/>
        <v>VA</v>
      </c>
      <c r="F1687" t="str">
        <f t="shared" si="675"/>
        <v>237082207</v>
      </c>
      <c r="G1687" t="str">
        <f>T("54 LEWIS MINOR STREET")</f>
        <v>54 LEWIS MINOR STREET</v>
      </c>
      <c r="H1687" t="str">
        <f>T("BLDG 250 09MMCX M MORELAND")</f>
        <v>BLDG 250 09MMCX M MORELAND</v>
      </c>
      <c r="I1687" t="str">
        <f t="shared" si="680"/>
        <v>PORTSMOUTH</v>
      </c>
      <c r="J1687" t="str">
        <f t="shared" si="676"/>
        <v>VA</v>
      </c>
      <c r="K1687" t="str">
        <f>T("7579535035")</f>
        <v>7579535035</v>
      </c>
      <c r="L1687" t="str">
        <f>T("7579537001")</f>
        <v>7579537001</v>
      </c>
    </row>
    <row r="1688" spans="1:12" x14ac:dyDescent="0.35">
      <c r="A1688" t="str">
        <f t="shared" ref="A1688:A1712" si="681">T("NH PENSACOLA")</f>
        <v>NH PENSACOLA</v>
      </c>
      <c r="B1688" t="str">
        <f>T("6000 W HGWY 98")</f>
        <v>6000 W HGWY 98</v>
      </c>
      <c r="C1688" t="str">
        <f t="shared" ref="C1688:C1694" si="682">T("BLDG 2269 CODE 17")</f>
        <v>BLDG 2269 CODE 17</v>
      </c>
      <c r="D1688" t="str">
        <f t="shared" ref="D1688:D1712" si="683">T("PENSACOLA")</f>
        <v>PENSACOLA</v>
      </c>
      <c r="E1688" t="str">
        <f t="shared" ref="E1688:E1712" si="684">T("FL")</f>
        <v>FL</v>
      </c>
      <c r="F1688" t="str">
        <f t="shared" ref="F1688:F1712" si="685">T("325120001")</f>
        <v>325120001</v>
      </c>
      <c r="G1688" t="str">
        <f>T("6000 W HGWY 98")</f>
        <v>6000 W HGWY 98</v>
      </c>
      <c r="H1688" t="str">
        <f>T("BLDG 2269 CODE 17")</f>
        <v>BLDG 2269 CODE 17</v>
      </c>
      <c r="I1688" t="str">
        <f t="shared" ref="I1688:I1698" si="686">T("PENSACOLA")</f>
        <v>PENSACOLA</v>
      </c>
      <c r="J1688" t="str">
        <f t="shared" ref="J1688:J1698" si="687">T("FL")</f>
        <v>FL</v>
      </c>
      <c r="K1688" t="str">
        <f>T("8505056340")</f>
        <v>8505056340</v>
      </c>
      <c r="L1688" t="str">
        <f>T("8505056436")</f>
        <v>8505056436</v>
      </c>
    </row>
    <row r="1689" spans="1:12" x14ac:dyDescent="0.35">
      <c r="A1689" t="str">
        <f t="shared" si="681"/>
        <v>NH PENSACOLA</v>
      </c>
      <c r="B1689" t="str">
        <f>T("6000 W HGWY 98")</f>
        <v>6000 W HGWY 98</v>
      </c>
      <c r="C1689" t="str">
        <f t="shared" si="682"/>
        <v>BLDG 2269 CODE 17</v>
      </c>
      <c r="D1689" t="str">
        <f t="shared" si="683"/>
        <v>PENSACOLA</v>
      </c>
      <c r="E1689" t="str">
        <f t="shared" si="684"/>
        <v>FL</v>
      </c>
      <c r="F1689" t="str">
        <f t="shared" si="685"/>
        <v>325120001</v>
      </c>
      <c r="G1689" t="str">
        <f>T("6000 W HWY 98")</f>
        <v>6000 W HWY 98</v>
      </c>
      <c r="H1689" t="str">
        <f>T("")</f>
        <v/>
      </c>
      <c r="I1689" t="str">
        <f t="shared" si="686"/>
        <v>PENSACOLA</v>
      </c>
      <c r="J1689" t="str">
        <f t="shared" si="687"/>
        <v>FL</v>
      </c>
      <c r="K1689" t="str">
        <f>T("000000000000000000")</f>
        <v>000000000000000000</v>
      </c>
      <c r="L1689" t="str">
        <f>T("8504526706")</f>
        <v>8504526706</v>
      </c>
    </row>
    <row r="1690" spans="1:12" x14ac:dyDescent="0.35">
      <c r="A1690" t="str">
        <f t="shared" si="681"/>
        <v>NH PENSACOLA</v>
      </c>
      <c r="B1690" t="str">
        <f>T("6000 W HGWY 98")</f>
        <v>6000 W HGWY 98</v>
      </c>
      <c r="C1690" t="str">
        <f t="shared" si="682"/>
        <v>BLDG 2269 CODE 17</v>
      </c>
      <c r="D1690" t="str">
        <f t="shared" si="683"/>
        <v>PENSACOLA</v>
      </c>
      <c r="E1690" t="str">
        <f t="shared" si="684"/>
        <v>FL</v>
      </c>
      <c r="F1690" t="str">
        <f t="shared" si="685"/>
        <v>325120001</v>
      </c>
      <c r="G1690" t="str">
        <f>T("6000 WEST HIGHWAY 98 BLDG2269")</f>
        <v>6000 WEST HIGHWAY 98 BLDG2269</v>
      </c>
      <c r="H1690" t="str">
        <f>T("")</f>
        <v/>
      </c>
      <c r="I1690" t="str">
        <f t="shared" si="686"/>
        <v>PENSACOLA</v>
      </c>
      <c r="J1690" t="str">
        <f t="shared" si="687"/>
        <v>FL</v>
      </c>
      <c r="K1690" t="str">
        <f>T("000000000000000000")</f>
        <v>000000000000000000</v>
      </c>
      <c r="L1690" t="str">
        <f>T("8505056419")</f>
        <v>8505056419</v>
      </c>
    </row>
    <row r="1691" spans="1:12" x14ac:dyDescent="0.35">
      <c r="A1691" t="str">
        <f t="shared" si="681"/>
        <v>NH PENSACOLA</v>
      </c>
      <c r="B1691" t="str">
        <f>T("6000 W HGWY 98")</f>
        <v>6000 W HGWY 98</v>
      </c>
      <c r="C1691" t="str">
        <f t="shared" si="682"/>
        <v>BLDG 2269 CODE 17</v>
      </c>
      <c r="D1691" t="str">
        <f t="shared" si="683"/>
        <v>PENSACOLA</v>
      </c>
      <c r="E1691" t="str">
        <f t="shared" si="684"/>
        <v>FL</v>
      </c>
      <c r="F1691" t="str">
        <f t="shared" si="685"/>
        <v>325120001</v>
      </c>
      <c r="G1691" t="str">
        <f>T("6000 WEST HWY 98 BLDG 2269")</f>
        <v>6000 WEST HWY 98 BLDG 2269</v>
      </c>
      <c r="H1691" t="str">
        <f>T("CODE 17")</f>
        <v>CODE 17</v>
      </c>
      <c r="I1691" t="str">
        <f t="shared" si="686"/>
        <v>PENSACOLA</v>
      </c>
      <c r="J1691" t="str">
        <f t="shared" si="687"/>
        <v>FL</v>
      </c>
      <c r="K1691" t="str">
        <f>T("8505056340")</f>
        <v>8505056340</v>
      </c>
      <c r="L1691" t="str">
        <f>T("8505056684")</f>
        <v>8505056684</v>
      </c>
    </row>
    <row r="1692" spans="1:12" x14ac:dyDescent="0.35">
      <c r="A1692" t="str">
        <f t="shared" si="681"/>
        <v>NH PENSACOLA</v>
      </c>
      <c r="B1692" t="str">
        <f>T("6000 W HIGHWAY 98")</f>
        <v>6000 W HIGHWAY 98</v>
      </c>
      <c r="C1692" t="str">
        <f t="shared" si="682"/>
        <v>BLDG 2269 CODE 17</v>
      </c>
      <c r="D1692" t="str">
        <f t="shared" si="683"/>
        <v>PENSACOLA</v>
      </c>
      <c r="E1692" t="str">
        <f t="shared" si="684"/>
        <v>FL</v>
      </c>
      <c r="F1692" t="str">
        <f t="shared" si="685"/>
        <v>325120001</v>
      </c>
      <c r="G1692" t="str">
        <f>T("6000 W HIGHWAY 98")</f>
        <v>6000 W HIGHWAY 98</v>
      </c>
      <c r="H1692" t="str">
        <f>T("BLDG 2269 CODE 17")</f>
        <v>BLDG 2269 CODE 17</v>
      </c>
      <c r="I1692" t="str">
        <f t="shared" si="686"/>
        <v>PENSACOLA</v>
      </c>
      <c r="J1692" t="str">
        <f t="shared" si="687"/>
        <v>FL</v>
      </c>
      <c r="K1692" t="str">
        <f>T("8505056340")</f>
        <v>8505056340</v>
      </c>
      <c r="L1692" t="str">
        <f>T("8505056436")</f>
        <v>8505056436</v>
      </c>
    </row>
    <row r="1693" spans="1:12" x14ac:dyDescent="0.35">
      <c r="A1693" t="str">
        <f t="shared" si="681"/>
        <v>NH PENSACOLA</v>
      </c>
      <c r="B1693" t="str">
        <f>T("6000 W HIGHWAY 98")</f>
        <v>6000 W HIGHWAY 98</v>
      </c>
      <c r="C1693" t="str">
        <f t="shared" si="682"/>
        <v>BLDG 2269 CODE 17</v>
      </c>
      <c r="D1693" t="str">
        <f t="shared" si="683"/>
        <v>PENSACOLA</v>
      </c>
      <c r="E1693" t="str">
        <f t="shared" si="684"/>
        <v>FL</v>
      </c>
      <c r="F1693" t="str">
        <f t="shared" si="685"/>
        <v>325120001</v>
      </c>
      <c r="G1693" t="str">
        <f>T("6000 WEST HIGHWAY 98")</f>
        <v>6000 WEST HIGHWAY 98</v>
      </c>
      <c r="H1693" t="str">
        <f>T("BLDG 2269 CODE 17")</f>
        <v>BLDG 2269 CODE 17</v>
      </c>
      <c r="I1693" t="str">
        <f t="shared" si="686"/>
        <v>PENSACOLA</v>
      </c>
      <c r="J1693" t="str">
        <f t="shared" si="687"/>
        <v>FL</v>
      </c>
      <c r="K1693" t="str">
        <f>T("000000000000000000")</f>
        <v>000000000000000000</v>
      </c>
      <c r="L1693" t="str">
        <f>T("8505056324")</f>
        <v>8505056324</v>
      </c>
    </row>
    <row r="1694" spans="1:12" x14ac:dyDescent="0.35">
      <c r="A1694" t="str">
        <f t="shared" si="681"/>
        <v>NH PENSACOLA</v>
      </c>
      <c r="B1694" t="str">
        <f>T("6000 W HIGHWAY 98")</f>
        <v>6000 W HIGHWAY 98</v>
      </c>
      <c r="C1694" t="str">
        <f t="shared" si="682"/>
        <v>BLDG 2269 CODE 17</v>
      </c>
      <c r="D1694" t="str">
        <f t="shared" si="683"/>
        <v>PENSACOLA</v>
      </c>
      <c r="E1694" t="str">
        <f t="shared" si="684"/>
        <v>FL</v>
      </c>
      <c r="F1694" t="str">
        <f t="shared" si="685"/>
        <v>325120001</v>
      </c>
      <c r="G1694" t="str">
        <f>T("6000 WEST HIGHWAY 98")</f>
        <v>6000 WEST HIGHWAY 98</v>
      </c>
      <c r="H1694" t="str">
        <f>T("FACILITIES BLDG 2268")</f>
        <v>FACILITIES BLDG 2268</v>
      </c>
      <c r="I1694" t="str">
        <f t="shared" si="686"/>
        <v>PENSACOLA</v>
      </c>
      <c r="J1694" t="str">
        <f t="shared" si="687"/>
        <v>FL</v>
      </c>
      <c r="K1694" t="str">
        <f>T("000000000000000000")</f>
        <v>000000000000000000</v>
      </c>
      <c r="L1694" t="str">
        <f>T("8505291290")</f>
        <v>8505291290</v>
      </c>
    </row>
    <row r="1695" spans="1:12" x14ac:dyDescent="0.35">
      <c r="A1695" t="str">
        <f t="shared" si="681"/>
        <v>NH PENSACOLA</v>
      </c>
      <c r="B1695" t="str">
        <f>T("6000 WEST HIGHWAY 88")</f>
        <v>6000 WEST HIGHWAY 88</v>
      </c>
      <c r="C1695" t="str">
        <f>T("CODE 17 BLDG 2269")</f>
        <v>CODE 17 BLDG 2269</v>
      </c>
      <c r="D1695" t="str">
        <f t="shared" si="683"/>
        <v>PENSACOLA</v>
      </c>
      <c r="E1695" t="str">
        <f t="shared" si="684"/>
        <v>FL</v>
      </c>
      <c r="F1695" t="str">
        <f t="shared" si="685"/>
        <v>325120001</v>
      </c>
      <c r="G1695" t="str">
        <f>T("6000 W HWY 98")</f>
        <v>6000 W HWY 98</v>
      </c>
      <c r="H1695" t="str">
        <f>T("")</f>
        <v/>
      </c>
      <c r="I1695" t="str">
        <f t="shared" si="686"/>
        <v>PENSACOLA</v>
      </c>
      <c r="J1695" t="str">
        <f t="shared" si="687"/>
        <v>FL</v>
      </c>
      <c r="K1695" t="str">
        <f>T("000000000000000000")</f>
        <v>000000000000000000</v>
      </c>
      <c r="L1695" t="str">
        <f>T("8505056620")</f>
        <v>8505056620</v>
      </c>
    </row>
    <row r="1696" spans="1:12" x14ac:dyDescent="0.35">
      <c r="A1696" t="str">
        <f t="shared" si="681"/>
        <v>NH PENSACOLA</v>
      </c>
      <c r="B1696" t="str">
        <f>T("6000 WEST HIGHWAY 88")</f>
        <v>6000 WEST HIGHWAY 88</v>
      </c>
      <c r="C1696" t="str">
        <f>T("CODE 17 BLDG 2269")</f>
        <v>CODE 17 BLDG 2269</v>
      </c>
      <c r="D1696" t="str">
        <f t="shared" si="683"/>
        <v>PENSACOLA</v>
      </c>
      <c r="E1696" t="str">
        <f t="shared" si="684"/>
        <v>FL</v>
      </c>
      <c r="F1696" t="str">
        <f t="shared" si="685"/>
        <v>325120001</v>
      </c>
      <c r="G1696" t="str">
        <f>T("6000 WEST HIGHWAY 88")</f>
        <v>6000 WEST HIGHWAY 88</v>
      </c>
      <c r="H1696" t="str">
        <f>T("CODE 17 BLDG 2269")</f>
        <v>CODE 17 BLDG 2269</v>
      </c>
      <c r="I1696" t="str">
        <f t="shared" si="686"/>
        <v>PENSACOLA</v>
      </c>
      <c r="J1696" t="str">
        <f t="shared" si="687"/>
        <v>FL</v>
      </c>
      <c r="K1696" t="str">
        <f>T("000000000000000000")</f>
        <v>000000000000000000</v>
      </c>
      <c r="L1696" t="str">
        <f>T("8505056040")</f>
        <v>8505056040</v>
      </c>
    </row>
    <row r="1697" spans="1:12" x14ac:dyDescent="0.35">
      <c r="A1697" t="str">
        <f t="shared" si="681"/>
        <v>NH PENSACOLA</v>
      </c>
      <c r="B1697" t="str">
        <f>T("6000 WEST HIGHWAY 88")</f>
        <v>6000 WEST HIGHWAY 88</v>
      </c>
      <c r="C1697" t="str">
        <f>T("CODE 17 BLDG 2269")</f>
        <v>CODE 17 BLDG 2269</v>
      </c>
      <c r="D1697" t="str">
        <f t="shared" si="683"/>
        <v>PENSACOLA</v>
      </c>
      <c r="E1697" t="str">
        <f t="shared" si="684"/>
        <v>FL</v>
      </c>
      <c r="F1697" t="str">
        <f t="shared" si="685"/>
        <v>325120001</v>
      </c>
      <c r="G1697" t="str">
        <f>T("6000 WEST HIGHWAY 98")</f>
        <v>6000 WEST HIGHWAY 98</v>
      </c>
      <c r="H1697" t="str">
        <f>T("BLDG 2269 CODE 17")</f>
        <v>BLDG 2269 CODE 17</v>
      </c>
      <c r="I1697" t="str">
        <f t="shared" si="686"/>
        <v>PENSACOLA</v>
      </c>
      <c r="J1697" t="str">
        <f t="shared" si="687"/>
        <v>FL</v>
      </c>
      <c r="K1697" t="str">
        <f>T("8505056340")</f>
        <v>8505056340</v>
      </c>
      <c r="L1697" t="str">
        <f>T("8505056045")</f>
        <v>8505056045</v>
      </c>
    </row>
    <row r="1698" spans="1:12" x14ac:dyDescent="0.35">
      <c r="A1698" t="str">
        <f t="shared" si="681"/>
        <v>NH PENSACOLA</v>
      </c>
      <c r="B1698" t="str">
        <f>T("6000 WEST HIGHWAY 88")</f>
        <v>6000 WEST HIGHWAY 88</v>
      </c>
      <c r="C1698" t="str">
        <f>T("CODE 17 BLDG 2269")</f>
        <v>CODE 17 BLDG 2269</v>
      </c>
      <c r="D1698" t="str">
        <f t="shared" si="683"/>
        <v>PENSACOLA</v>
      </c>
      <c r="E1698" t="str">
        <f t="shared" si="684"/>
        <v>FL</v>
      </c>
      <c r="F1698" t="str">
        <f t="shared" si="685"/>
        <v>325120001</v>
      </c>
      <c r="G1698" t="str">
        <f>T("6000 WEST HIGHWAY 98")</f>
        <v>6000 WEST HIGHWAY 98</v>
      </c>
      <c r="H1698" t="str">
        <f>T("BLDG 2269 CODE 17")</f>
        <v>BLDG 2269 CODE 17</v>
      </c>
      <c r="I1698" t="str">
        <f t="shared" si="686"/>
        <v>PENSACOLA</v>
      </c>
      <c r="J1698" t="str">
        <f t="shared" si="687"/>
        <v>FL</v>
      </c>
      <c r="K1698" t="str">
        <f>T("8505056340")</f>
        <v>8505056340</v>
      </c>
      <c r="L1698" t="str">
        <f>T("8505056624")</f>
        <v>8505056624</v>
      </c>
    </row>
    <row r="1699" spans="1:12" x14ac:dyDescent="0.35">
      <c r="A1699" t="str">
        <f t="shared" si="681"/>
        <v>NH PENSACOLA</v>
      </c>
      <c r="B1699" t="str">
        <f t="shared" ref="B1699:B1708" si="688">T("6000 WEST HIGHWAY 98")</f>
        <v>6000 WEST HIGHWAY 98</v>
      </c>
      <c r="C1699" t="str">
        <f t="shared" ref="C1699:C1705" si="689">T("CODE 50 BLDG 2268")</f>
        <v>CODE 50 BLDG 2268</v>
      </c>
      <c r="D1699" t="str">
        <f t="shared" si="683"/>
        <v>PENSACOLA</v>
      </c>
      <c r="E1699" t="str">
        <f t="shared" si="684"/>
        <v>FL</v>
      </c>
      <c r="F1699" t="str">
        <f t="shared" si="685"/>
        <v>325120001</v>
      </c>
      <c r="G1699" t="str">
        <f>T("1801 FULLER ROAD")</f>
        <v>1801 FULLER ROAD</v>
      </c>
      <c r="H1699" t="str">
        <f>T("BLDG 367")</f>
        <v>BLDG 367</v>
      </c>
      <c r="I1699" t="str">
        <f>T("MERIDIAN")</f>
        <v>MERIDIAN</v>
      </c>
      <c r="J1699" t="str">
        <f>T("MS")</f>
        <v>MS</v>
      </c>
      <c r="K1699" t="str">
        <f>T("000000000000000000")</f>
        <v>000000000000000000</v>
      </c>
      <c r="L1699" t="str">
        <f>T("6016792219")</f>
        <v>6016792219</v>
      </c>
    </row>
    <row r="1700" spans="1:12" x14ac:dyDescent="0.35">
      <c r="A1700" t="str">
        <f t="shared" si="681"/>
        <v>NH PENSACOLA</v>
      </c>
      <c r="B1700" t="str">
        <f t="shared" si="688"/>
        <v>6000 WEST HIGHWAY 98</v>
      </c>
      <c r="C1700" t="str">
        <f t="shared" si="689"/>
        <v>CODE 50 BLDG 2268</v>
      </c>
      <c r="D1700" t="str">
        <f t="shared" si="683"/>
        <v>PENSACOLA</v>
      </c>
      <c r="E1700" t="str">
        <f t="shared" si="684"/>
        <v>FL</v>
      </c>
      <c r="F1700" t="str">
        <f t="shared" si="685"/>
        <v>325120001</v>
      </c>
      <c r="G1700" t="str">
        <f>T("400 RUSSELL DR")</f>
        <v>400 RUSSELL DR</v>
      </c>
      <c r="H1700" t="str">
        <f>T("")</f>
        <v/>
      </c>
      <c r="I1700" t="str">
        <f>T("BELLE CHASSE")</f>
        <v>BELLE CHASSE</v>
      </c>
      <c r="J1700" t="str">
        <f>T("LA")</f>
        <v>LA</v>
      </c>
      <c r="K1700" t="str">
        <f>T("000000000000000000")</f>
        <v>000000000000000000</v>
      </c>
      <c r="L1700" t="str">
        <f>T("5046787936")</f>
        <v>5046787936</v>
      </c>
    </row>
    <row r="1701" spans="1:12" x14ac:dyDescent="0.35">
      <c r="A1701" t="str">
        <f t="shared" si="681"/>
        <v>NH PENSACOLA</v>
      </c>
      <c r="B1701" t="str">
        <f t="shared" si="688"/>
        <v>6000 WEST HIGHWAY 98</v>
      </c>
      <c r="C1701" t="str">
        <f t="shared" si="689"/>
        <v>CODE 50 BLDG 2268</v>
      </c>
      <c r="D1701" t="str">
        <f t="shared" si="683"/>
        <v>PENSACOLA</v>
      </c>
      <c r="E1701" t="str">
        <f t="shared" si="684"/>
        <v>FL</v>
      </c>
      <c r="F1701" t="str">
        <f t="shared" si="685"/>
        <v>325120001</v>
      </c>
      <c r="G1701" t="str">
        <f>T("400 RUSSELL DR BLDG 41")</f>
        <v>400 RUSSELL DR BLDG 41</v>
      </c>
      <c r="H1701" t="str">
        <f>T("")</f>
        <v/>
      </c>
      <c r="I1701" t="str">
        <f>T("BELLE CHASSE")</f>
        <v>BELLE CHASSE</v>
      </c>
      <c r="J1701" t="str">
        <f>T("LA")</f>
        <v>LA</v>
      </c>
      <c r="K1701" t="str">
        <f>T("000000000000000000")</f>
        <v>000000000000000000</v>
      </c>
      <c r="L1701" t="str">
        <f>T("5046787936")</f>
        <v>5046787936</v>
      </c>
    </row>
    <row r="1702" spans="1:12" x14ac:dyDescent="0.35">
      <c r="A1702" t="str">
        <f t="shared" si="681"/>
        <v>NH PENSACOLA</v>
      </c>
      <c r="B1702" t="str">
        <f t="shared" si="688"/>
        <v>6000 WEST HIGHWAY 98</v>
      </c>
      <c r="C1702" t="str">
        <f t="shared" si="689"/>
        <v>CODE 50 BLDG 2268</v>
      </c>
      <c r="D1702" t="str">
        <f t="shared" si="683"/>
        <v>PENSACOLA</v>
      </c>
      <c r="E1702" t="str">
        <f t="shared" si="684"/>
        <v>FL</v>
      </c>
      <c r="F1702" t="str">
        <f t="shared" si="685"/>
        <v>325120001</v>
      </c>
      <c r="G1702" t="str">
        <f>T("6000 W HIGHWAY 98")</f>
        <v>6000 W HIGHWAY 98</v>
      </c>
      <c r="H1702" t="str">
        <f>T("BLDG 2269")</f>
        <v>BLDG 2269</v>
      </c>
      <c r="I1702" t="str">
        <f t="shared" ref="I1702:I1712" si="690">T("PENSACOLA")</f>
        <v>PENSACOLA</v>
      </c>
      <c r="J1702" t="str">
        <f t="shared" ref="J1702:J1712" si="691">T("FL")</f>
        <v>FL</v>
      </c>
      <c r="K1702" t="str">
        <f>T("000000000000000000")</f>
        <v>000000000000000000</v>
      </c>
      <c r="L1702" t="str">
        <f>T("9018746125")</f>
        <v>9018746125</v>
      </c>
    </row>
    <row r="1703" spans="1:12" x14ac:dyDescent="0.35">
      <c r="A1703" t="str">
        <f t="shared" si="681"/>
        <v>NH PENSACOLA</v>
      </c>
      <c r="B1703" t="str">
        <f t="shared" si="688"/>
        <v>6000 WEST HIGHWAY 98</v>
      </c>
      <c r="C1703" t="str">
        <f t="shared" si="689"/>
        <v>CODE 50 BLDG 2268</v>
      </c>
      <c r="D1703" t="str">
        <f t="shared" si="683"/>
        <v>PENSACOLA</v>
      </c>
      <c r="E1703" t="str">
        <f t="shared" si="684"/>
        <v>FL</v>
      </c>
      <c r="F1703" t="str">
        <f t="shared" si="685"/>
        <v>325120001</v>
      </c>
      <c r="G1703" t="str">
        <f>T("6000 WEST HIGHWAY 98")</f>
        <v>6000 WEST HIGHWAY 98</v>
      </c>
      <c r="H1703" t="str">
        <f>T("CODE 50 BLDG 2268")</f>
        <v>CODE 50 BLDG 2268</v>
      </c>
      <c r="I1703" t="str">
        <f t="shared" si="690"/>
        <v>PENSACOLA</v>
      </c>
      <c r="J1703" t="str">
        <f t="shared" si="691"/>
        <v>FL</v>
      </c>
      <c r="K1703" t="str">
        <f>T("8505056430")</f>
        <v>8505056430</v>
      </c>
      <c r="L1703" t="str">
        <f>T("8505056324")</f>
        <v>8505056324</v>
      </c>
    </row>
    <row r="1704" spans="1:12" x14ac:dyDescent="0.35">
      <c r="A1704" t="str">
        <f t="shared" si="681"/>
        <v>NH PENSACOLA</v>
      </c>
      <c r="B1704" t="str">
        <f t="shared" si="688"/>
        <v>6000 WEST HIGHWAY 98</v>
      </c>
      <c r="C1704" t="str">
        <f t="shared" si="689"/>
        <v>CODE 50 BLDG 2268</v>
      </c>
      <c r="D1704" t="str">
        <f t="shared" si="683"/>
        <v>PENSACOLA</v>
      </c>
      <c r="E1704" t="str">
        <f t="shared" si="684"/>
        <v>FL</v>
      </c>
      <c r="F1704" t="str">
        <f t="shared" si="685"/>
        <v>325120001</v>
      </c>
      <c r="G1704" t="str">
        <f>T("6000 WEST HIGHWAY 98 BLDG 2269")</f>
        <v>6000 WEST HIGHWAY 98 BLDG 2269</v>
      </c>
      <c r="H1704" t="str">
        <f>T("NBHC BELLE CHASE")</f>
        <v>NBHC BELLE CHASE</v>
      </c>
      <c r="I1704" t="str">
        <f t="shared" si="690"/>
        <v>PENSACOLA</v>
      </c>
      <c r="J1704" t="str">
        <f t="shared" si="691"/>
        <v>FL</v>
      </c>
      <c r="K1704" t="str">
        <f>T("000000000000000000")</f>
        <v>000000000000000000</v>
      </c>
      <c r="L1704" t="str">
        <f>T("5046787936")</f>
        <v>5046787936</v>
      </c>
    </row>
    <row r="1705" spans="1:12" x14ac:dyDescent="0.35">
      <c r="A1705" t="str">
        <f t="shared" si="681"/>
        <v>NH PENSACOLA</v>
      </c>
      <c r="B1705" t="str">
        <f t="shared" si="688"/>
        <v>6000 WEST HIGHWAY 98</v>
      </c>
      <c r="C1705" t="str">
        <f t="shared" si="689"/>
        <v>CODE 50 BLDG 2268</v>
      </c>
      <c r="D1705" t="str">
        <f t="shared" si="683"/>
        <v>PENSACOLA</v>
      </c>
      <c r="E1705" t="str">
        <f t="shared" si="684"/>
        <v>FL</v>
      </c>
      <c r="F1705" t="str">
        <f t="shared" si="685"/>
        <v>325120001</v>
      </c>
      <c r="G1705" t="str">
        <f>T("6000 WEST HWY 98 BLDG 2269")</f>
        <v>6000 WEST HWY 98 BLDG 2269</v>
      </c>
      <c r="H1705" t="str">
        <f>T("NBHC CRANE INDIANA")</f>
        <v>NBHC CRANE INDIANA</v>
      </c>
      <c r="I1705" t="str">
        <f t="shared" si="690"/>
        <v>PENSACOLA</v>
      </c>
      <c r="J1705" t="str">
        <f t="shared" si="691"/>
        <v>FL</v>
      </c>
      <c r="K1705" t="str">
        <f>T("8128541339")</f>
        <v>8128541339</v>
      </c>
      <c r="L1705" t="str">
        <f>T("8128542628")</f>
        <v>8128542628</v>
      </c>
    </row>
    <row r="1706" spans="1:12" x14ac:dyDescent="0.35">
      <c r="A1706" t="str">
        <f t="shared" si="681"/>
        <v>NH PENSACOLA</v>
      </c>
      <c r="B1706" t="str">
        <f t="shared" si="688"/>
        <v>6000 WEST HIGHWAY 98</v>
      </c>
      <c r="C1706" t="str">
        <f>T("MAIN OR, BLDG 2268")</f>
        <v>MAIN OR, BLDG 2268</v>
      </c>
      <c r="D1706" t="str">
        <f t="shared" si="683"/>
        <v>PENSACOLA</v>
      </c>
      <c r="E1706" t="str">
        <f t="shared" si="684"/>
        <v>FL</v>
      </c>
      <c r="F1706" t="str">
        <f t="shared" si="685"/>
        <v>325120001</v>
      </c>
      <c r="G1706" t="str">
        <f>T("6000 W HWY 98")</f>
        <v>6000 W HWY 98</v>
      </c>
      <c r="H1706" t="str">
        <f>T("")</f>
        <v/>
      </c>
      <c r="I1706" t="str">
        <f t="shared" si="690"/>
        <v>PENSACOLA</v>
      </c>
      <c r="J1706" t="str">
        <f t="shared" si="691"/>
        <v>FL</v>
      </c>
      <c r="K1706" t="str">
        <f>T("000000000000000000")</f>
        <v>000000000000000000</v>
      </c>
      <c r="L1706" t="str">
        <f>T("8505056761")</f>
        <v>8505056761</v>
      </c>
    </row>
    <row r="1707" spans="1:12" x14ac:dyDescent="0.35">
      <c r="A1707" t="str">
        <f t="shared" si="681"/>
        <v>NH PENSACOLA</v>
      </c>
      <c r="B1707" t="str">
        <f t="shared" si="688"/>
        <v>6000 WEST HIGHWAY 98</v>
      </c>
      <c r="C1707" t="str">
        <f>T("MAIN OR, BLDG 2268")</f>
        <v>MAIN OR, BLDG 2268</v>
      </c>
      <c r="D1707" t="str">
        <f t="shared" si="683"/>
        <v>PENSACOLA</v>
      </c>
      <c r="E1707" t="str">
        <f t="shared" si="684"/>
        <v>FL</v>
      </c>
      <c r="F1707" t="str">
        <f t="shared" si="685"/>
        <v>325120001</v>
      </c>
      <c r="G1707" t="str">
        <f>T("6000 WEST HIGHWAY 98")</f>
        <v>6000 WEST HIGHWAY 98</v>
      </c>
      <c r="H1707" t="str">
        <f>T("MAIN OR, BLDG 2268")</f>
        <v>MAIN OR, BLDG 2268</v>
      </c>
      <c r="I1707" t="str">
        <f t="shared" si="690"/>
        <v>PENSACOLA</v>
      </c>
      <c r="J1707" t="str">
        <f t="shared" si="691"/>
        <v>FL</v>
      </c>
      <c r="K1707" t="str">
        <f>T("000000000000000000")</f>
        <v>000000000000000000</v>
      </c>
      <c r="L1707" t="str">
        <f>T("8505056761")</f>
        <v>8505056761</v>
      </c>
    </row>
    <row r="1708" spans="1:12" x14ac:dyDescent="0.35">
      <c r="A1708" t="str">
        <f t="shared" si="681"/>
        <v>NH PENSACOLA</v>
      </c>
      <c r="B1708" t="str">
        <f t="shared" si="688"/>
        <v>6000 WEST HIGHWAY 98</v>
      </c>
      <c r="C1708" t="str">
        <f>T("MAIN OR, BLDG 2268")</f>
        <v>MAIN OR, BLDG 2268</v>
      </c>
      <c r="D1708" t="str">
        <f t="shared" si="683"/>
        <v>PENSACOLA</v>
      </c>
      <c r="E1708" t="str">
        <f t="shared" si="684"/>
        <v>FL</v>
      </c>
      <c r="F1708" t="str">
        <f t="shared" si="685"/>
        <v>325120001</v>
      </c>
      <c r="G1708" t="str">
        <f>T("6000 WEST HWY 98 BLDG 2268")</f>
        <v>6000 WEST HWY 98 BLDG 2268</v>
      </c>
      <c r="H1708" t="str">
        <f>T("MAIN OPERATING ROOM")</f>
        <v>MAIN OPERATING ROOM</v>
      </c>
      <c r="I1708" t="str">
        <f t="shared" si="690"/>
        <v>PENSACOLA</v>
      </c>
      <c r="J1708" t="str">
        <f t="shared" si="691"/>
        <v>FL</v>
      </c>
      <c r="K1708" t="str">
        <f>T("000000000000000000")</f>
        <v>000000000000000000</v>
      </c>
      <c r="L1708" t="str">
        <f>T("8505056761")</f>
        <v>8505056761</v>
      </c>
    </row>
    <row r="1709" spans="1:12" x14ac:dyDescent="0.35">
      <c r="A1709" t="str">
        <f t="shared" si="681"/>
        <v>NH PENSACOLA</v>
      </c>
      <c r="B1709" t="str">
        <f>T("6000 WEST HWY 98")</f>
        <v>6000 WEST HWY 98</v>
      </c>
      <c r="C1709" t="str">
        <f>T("")</f>
        <v/>
      </c>
      <c r="D1709" t="str">
        <f t="shared" si="683"/>
        <v>PENSACOLA</v>
      </c>
      <c r="E1709" t="str">
        <f t="shared" si="684"/>
        <v>FL</v>
      </c>
      <c r="F1709" t="str">
        <f t="shared" si="685"/>
        <v>325120001</v>
      </c>
      <c r="G1709" t="str">
        <f>T("6000 W HWY 98")</f>
        <v>6000 W HWY 98</v>
      </c>
      <c r="H1709" t="str">
        <f>T("CODE 17")</f>
        <v>CODE 17</v>
      </c>
      <c r="I1709" t="str">
        <f t="shared" si="690"/>
        <v>PENSACOLA</v>
      </c>
      <c r="J1709" t="str">
        <f t="shared" si="691"/>
        <v>FL</v>
      </c>
      <c r="K1709" t="str">
        <f>T("000000000000000000")</f>
        <v>000000000000000000</v>
      </c>
      <c r="L1709" t="str">
        <f>T("8505056436")</f>
        <v>8505056436</v>
      </c>
    </row>
    <row r="1710" spans="1:12" x14ac:dyDescent="0.35">
      <c r="A1710" t="str">
        <f t="shared" si="681"/>
        <v>NH PENSACOLA</v>
      </c>
      <c r="B1710" t="str">
        <f>T("6000 WEST HWY 98")</f>
        <v>6000 WEST HWY 98</v>
      </c>
      <c r="C1710" t="str">
        <f>T("")</f>
        <v/>
      </c>
      <c r="D1710" t="str">
        <f t="shared" si="683"/>
        <v>PENSACOLA</v>
      </c>
      <c r="E1710" t="str">
        <f t="shared" si="684"/>
        <v>FL</v>
      </c>
      <c r="F1710" t="str">
        <f t="shared" si="685"/>
        <v>325120001</v>
      </c>
      <c r="G1710" t="str">
        <f>T("6000 WEST HIGHWAY 98")</f>
        <v>6000 WEST HIGHWAY 98</v>
      </c>
      <c r="H1710" t="str">
        <f>T("BLDG 2269")</f>
        <v>BLDG 2269</v>
      </c>
      <c r="I1710" t="str">
        <f t="shared" si="690"/>
        <v>PENSACOLA</v>
      </c>
      <c r="J1710" t="str">
        <f t="shared" si="691"/>
        <v>FL</v>
      </c>
      <c r="K1710" t="str">
        <f>T("000000000000000000")</f>
        <v>000000000000000000</v>
      </c>
      <c r="L1710" t="str">
        <f>T("8505056079")</f>
        <v>8505056079</v>
      </c>
    </row>
    <row r="1711" spans="1:12" x14ac:dyDescent="0.35">
      <c r="A1711" t="str">
        <f t="shared" si="681"/>
        <v>NH PENSACOLA</v>
      </c>
      <c r="B1711" t="str">
        <f>T("6000 WEST HWY 98")</f>
        <v>6000 WEST HWY 98</v>
      </c>
      <c r="C1711" t="str">
        <f>T("")</f>
        <v/>
      </c>
      <c r="D1711" t="str">
        <f t="shared" si="683"/>
        <v>PENSACOLA</v>
      </c>
      <c r="E1711" t="str">
        <f t="shared" si="684"/>
        <v>FL</v>
      </c>
      <c r="F1711" t="str">
        <f t="shared" si="685"/>
        <v>325120001</v>
      </c>
      <c r="G1711" t="str">
        <f>T("6000 WEST HWY 98")</f>
        <v>6000 WEST HWY 98</v>
      </c>
      <c r="H1711" t="str">
        <f>T("")</f>
        <v/>
      </c>
      <c r="I1711" t="str">
        <f t="shared" si="690"/>
        <v>PENSACOLA</v>
      </c>
      <c r="J1711" t="str">
        <f t="shared" si="691"/>
        <v>FL</v>
      </c>
      <c r="K1711" t="str">
        <f>T("8505056340")</f>
        <v>8505056340</v>
      </c>
      <c r="L1711" t="str">
        <f>T("8505056324")</f>
        <v>8505056324</v>
      </c>
    </row>
    <row r="1712" spans="1:12" x14ac:dyDescent="0.35">
      <c r="A1712" t="str">
        <f t="shared" si="681"/>
        <v>NH PENSACOLA</v>
      </c>
      <c r="B1712" t="str">
        <f>T("6000 WEST HWY 98")</f>
        <v>6000 WEST HWY 98</v>
      </c>
      <c r="C1712" t="str">
        <f>T("")</f>
        <v/>
      </c>
      <c r="D1712" t="str">
        <f t="shared" si="683"/>
        <v>PENSACOLA</v>
      </c>
      <c r="E1712" t="str">
        <f t="shared" si="684"/>
        <v>FL</v>
      </c>
      <c r="F1712" t="str">
        <f t="shared" si="685"/>
        <v>325120001</v>
      </c>
      <c r="G1712" t="str">
        <f>T("NAVAL HOSPITAL PENSACOLA")</f>
        <v>NAVAL HOSPITAL PENSACOLA</v>
      </c>
      <c r="H1712" t="str">
        <f>T("6000 W HIGHWAY 98")</f>
        <v>6000 W HIGHWAY 98</v>
      </c>
      <c r="I1712" t="str">
        <f t="shared" si="690"/>
        <v>PENSACOLA</v>
      </c>
      <c r="J1712" t="str">
        <f t="shared" si="691"/>
        <v>FL</v>
      </c>
      <c r="K1712" t="str">
        <f>T("000000000000000000")</f>
        <v>000000000000000000</v>
      </c>
      <c r="L1712" t="str">
        <f>T("8505056167")</f>
        <v>8505056167</v>
      </c>
    </row>
    <row r="1713" spans="1:12" x14ac:dyDescent="0.35">
      <c r="A1713" t="str">
        <f>T("NHC QUANTICO")</f>
        <v>NHC QUANTICO</v>
      </c>
      <c r="B1713" t="str">
        <f>T("3259 CATLIN AVENUE")</f>
        <v>3259 CATLIN AVENUE</v>
      </c>
      <c r="C1713" t="str">
        <f>T("BLDG 3259")</f>
        <v>BLDG 3259</v>
      </c>
      <c r="D1713" t="str">
        <f>T("QUANTICO")</f>
        <v>QUANTICO</v>
      </c>
      <c r="E1713" t="str">
        <f>T("VA")</f>
        <v>VA</v>
      </c>
      <c r="F1713" t="str">
        <f>T("221345109")</f>
        <v>221345109</v>
      </c>
      <c r="G1713" t="str">
        <f>T("3259 CATLIN AVE")</f>
        <v>3259 CATLIN AVE</v>
      </c>
      <c r="H1713" t="str">
        <f>T("BLDG 3259")</f>
        <v>BLDG 3259</v>
      </c>
      <c r="I1713" t="str">
        <f>T("QUANTICO")</f>
        <v>QUANTICO</v>
      </c>
      <c r="J1713" t="str">
        <f>T("VA")</f>
        <v>VA</v>
      </c>
      <c r="K1713" t="str">
        <f>T("7037841996")</f>
        <v>7037841996</v>
      </c>
      <c r="L1713" t="str">
        <f>T("7034321408")</f>
        <v>7034321408</v>
      </c>
    </row>
    <row r="1714" spans="1:12" x14ac:dyDescent="0.35">
      <c r="A1714" t="str">
        <f>T("NHC QUANTICO")</f>
        <v>NHC QUANTICO</v>
      </c>
      <c r="B1714" t="str">
        <f>T("3259 CATLIN AVENUE")</f>
        <v>3259 CATLIN AVENUE</v>
      </c>
      <c r="C1714" t="str">
        <f>T("BLDG 3259")</f>
        <v>BLDG 3259</v>
      </c>
      <c r="D1714" t="str">
        <f>T("QUANTICO")</f>
        <v>QUANTICO</v>
      </c>
      <c r="E1714" t="str">
        <f>T("VA")</f>
        <v>VA</v>
      </c>
      <c r="F1714" t="str">
        <f>T("221345109")</f>
        <v>221345109</v>
      </c>
      <c r="G1714" t="str">
        <f>T("3259 CATLIN AVE")</f>
        <v>3259 CATLIN AVE</v>
      </c>
      <c r="H1714" t="str">
        <f>T("BLDG 3259")</f>
        <v>BLDG 3259</v>
      </c>
      <c r="I1714" t="str">
        <f>T("QUANTICO")</f>
        <v>QUANTICO</v>
      </c>
      <c r="J1714" t="str">
        <f>T("VA")</f>
        <v>VA</v>
      </c>
      <c r="K1714" t="str">
        <f>T("7037841996")</f>
        <v>7037841996</v>
      </c>
      <c r="L1714" t="str">
        <f>T("7034321608")</f>
        <v>7034321608</v>
      </c>
    </row>
    <row r="1715" spans="1:12" x14ac:dyDescent="0.35">
      <c r="A1715" t="str">
        <f>T("NHC QUANTICO")</f>
        <v>NHC QUANTICO</v>
      </c>
      <c r="B1715" t="str">
        <f>T("3259 CATLIN AVENUE")</f>
        <v>3259 CATLIN AVENUE</v>
      </c>
      <c r="C1715" t="str">
        <f>T("BLDG 3259")</f>
        <v>BLDG 3259</v>
      </c>
      <c r="D1715" t="str">
        <f>T("QUANTICO")</f>
        <v>QUANTICO</v>
      </c>
      <c r="E1715" t="str">
        <f>T("VA")</f>
        <v>VA</v>
      </c>
      <c r="F1715" t="str">
        <f>T("221345109")</f>
        <v>221345109</v>
      </c>
      <c r="G1715" t="str">
        <f>T("3259 CATLIN AVENUE")</f>
        <v>3259 CATLIN AVENUE</v>
      </c>
      <c r="H1715" t="str">
        <f>T("")</f>
        <v/>
      </c>
      <c r="I1715" t="str">
        <f>T("QUANTICO")</f>
        <v>QUANTICO</v>
      </c>
      <c r="J1715" t="str">
        <f>T("VA")</f>
        <v>VA</v>
      </c>
      <c r="K1715" t="str">
        <f>T("000000000000000000")</f>
        <v>000000000000000000</v>
      </c>
      <c r="L1715" t="str">
        <f>T("7037841945")</f>
        <v>7037841945</v>
      </c>
    </row>
    <row r="1716" spans="1:12" x14ac:dyDescent="0.35">
      <c r="A1716" t="str">
        <f>T("NHC QUANTICO")</f>
        <v>NHC QUANTICO</v>
      </c>
      <c r="B1716" t="str">
        <f>T("3259 CATLIN AVENUE")</f>
        <v>3259 CATLIN AVENUE</v>
      </c>
      <c r="C1716" t="str">
        <f>T("BLDG 3259")</f>
        <v>BLDG 3259</v>
      </c>
      <c r="D1716" t="str">
        <f>T("QUANTICO")</f>
        <v>QUANTICO</v>
      </c>
      <c r="E1716" t="str">
        <f>T("VA")</f>
        <v>VA</v>
      </c>
      <c r="F1716" t="str">
        <f>T("221345109")</f>
        <v>221345109</v>
      </c>
      <c r="G1716" t="str">
        <f>T("3259 CATLIN AVENUE")</f>
        <v>3259 CATLIN AVENUE</v>
      </c>
      <c r="H1716" t="str">
        <f>T("")</f>
        <v/>
      </c>
      <c r="I1716" t="str">
        <f>T("QUANTICO")</f>
        <v>QUANTICO</v>
      </c>
      <c r="J1716" t="str">
        <f>T("VA")</f>
        <v>VA</v>
      </c>
      <c r="K1716" t="str">
        <f>T("7037841996")</f>
        <v>7037841996</v>
      </c>
      <c r="L1716" t="str">
        <f>T("7037841796")</f>
        <v>7037841796</v>
      </c>
    </row>
    <row r="1717" spans="1:12" x14ac:dyDescent="0.35">
      <c r="A1717" t="str">
        <f>T("NHC QUANTICO")</f>
        <v>NHC QUANTICO</v>
      </c>
      <c r="B1717" t="str">
        <f>T("3259 CATLIN AVENUE")</f>
        <v>3259 CATLIN AVENUE</v>
      </c>
      <c r="C1717" t="str">
        <f>T("BLDG 3259")</f>
        <v>BLDG 3259</v>
      </c>
      <c r="D1717" t="str">
        <f>T("QUANTICO")</f>
        <v>QUANTICO</v>
      </c>
      <c r="E1717" t="str">
        <f>T("VA")</f>
        <v>VA</v>
      </c>
      <c r="F1717" t="str">
        <f>T("221345109")</f>
        <v>221345109</v>
      </c>
      <c r="G1717" t="str">
        <f>T("3259 CATLIN AVENUE")</f>
        <v>3259 CATLIN AVENUE</v>
      </c>
      <c r="H1717" t="str">
        <f>T("BLDG 3259")</f>
        <v>BLDG 3259</v>
      </c>
      <c r="I1717" t="str">
        <f>T("QUANTICO")</f>
        <v>QUANTICO</v>
      </c>
      <c r="J1717" t="str">
        <f>T("VA")</f>
        <v>VA</v>
      </c>
      <c r="K1717" t="str">
        <f>T("703-784-1996")</f>
        <v>703-784-1996</v>
      </c>
      <c r="L1717" t="str">
        <f>T("7037841870")</f>
        <v>7037841870</v>
      </c>
    </row>
    <row r="1718" spans="1:12" x14ac:dyDescent="0.35">
      <c r="A1718" t="str">
        <f t="shared" ref="A1718:A1732" si="692">T("NAVAL HOSPITAL JACKSONVILLE")</f>
        <v>NAVAL HOSPITAL JACKSONVILLE</v>
      </c>
      <c r="B1718" t="str">
        <f>T("BLDG H-2091 PURCHASING OFFICE")</f>
        <v>BLDG H-2091 PURCHASING OFFICE</v>
      </c>
      <c r="C1718" t="str">
        <f>T("ATTN KEN REED")</f>
        <v>ATTN KEN REED</v>
      </c>
      <c r="D1718" t="str">
        <f t="shared" ref="D1718:D1732" si="693">T("JACKSONVILLE")</f>
        <v>JACKSONVILLE</v>
      </c>
      <c r="E1718" t="str">
        <f t="shared" ref="E1718:E1732" si="694">T("FL")</f>
        <v>FL</v>
      </c>
      <c r="F1718" t="str">
        <f t="shared" ref="F1718:F1732" si="695">T("322140001")</f>
        <v>322140001</v>
      </c>
      <c r="G1718" t="str">
        <f>T("BLDG H-2091 PURCHASING OFFICE")</f>
        <v>BLDG H-2091 PURCHASING OFFICE</v>
      </c>
      <c r="H1718" t="str">
        <f>T("ATTN KEN REED")</f>
        <v>ATTN KEN REED</v>
      </c>
      <c r="I1718" t="str">
        <f t="shared" ref="I1718:I1732" si="696">T("JACKSONVILLE")</f>
        <v>JACKSONVILLE</v>
      </c>
      <c r="J1718" t="str">
        <f t="shared" ref="J1718:J1732" si="697">T("FL")</f>
        <v>FL</v>
      </c>
      <c r="K1718" t="str">
        <f>T("904-542-7728")</f>
        <v>904-542-7728</v>
      </c>
      <c r="L1718" t="str">
        <f>T("9045466230")</f>
        <v>9045466230</v>
      </c>
    </row>
    <row r="1719" spans="1:12" x14ac:dyDescent="0.35">
      <c r="A1719" t="str">
        <f t="shared" si="692"/>
        <v>NAVAL HOSPITAL JACKSONVILLE</v>
      </c>
      <c r="B1719" t="str">
        <f>T("BLDG H-2091 PURCHASING OFFICE")</f>
        <v>BLDG H-2091 PURCHASING OFFICE</v>
      </c>
      <c r="C1719" t="str">
        <f>T("ATTN TYRONE DOBBS")</f>
        <v>ATTN TYRONE DOBBS</v>
      </c>
      <c r="D1719" t="str">
        <f t="shared" si="693"/>
        <v>JACKSONVILLE</v>
      </c>
      <c r="E1719" t="str">
        <f t="shared" si="694"/>
        <v>FL</v>
      </c>
      <c r="F1719" t="str">
        <f t="shared" si="695"/>
        <v>322140001</v>
      </c>
      <c r="G1719" t="str">
        <f>T("BLDG H-2091 PURCHASING OFFICE")</f>
        <v>BLDG H-2091 PURCHASING OFFICE</v>
      </c>
      <c r="H1719" t="str">
        <f>T("ATTN TYRONE DOBBS")</f>
        <v>ATTN TYRONE DOBBS</v>
      </c>
      <c r="I1719" t="str">
        <f t="shared" si="696"/>
        <v>JACKSONVILLE</v>
      </c>
      <c r="J1719" t="str">
        <f t="shared" si="697"/>
        <v>FL</v>
      </c>
      <c r="K1719" t="str">
        <f>T("904-542-7728")</f>
        <v>904-542-7728</v>
      </c>
      <c r="L1719" t="str">
        <f>T("9045466228")</f>
        <v>9045466228</v>
      </c>
    </row>
    <row r="1720" spans="1:12" x14ac:dyDescent="0.35">
      <c r="A1720" t="str">
        <f t="shared" si="692"/>
        <v>NAVAL HOSPITAL JACKSONVILLE</v>
      </c>
      <c r="B1720" t="str">
        <f t="shared" ref="B1720:B1732" si="698">T("NAVAL HOSPITAL JACKSONVILLE")</f>
        <v>NAVAL HOSPITAL JACKSONVILLE</v>
      </c>
      <c r="C1720" t="str">
        <f>T("BLDG H-2091")</f>
        <v>BLDG H-2091</v>
      </c>
      <c r="D1720" t="str">
        <f t="shared" si="693"/>
        <v>JACKSONVILLE</v>
      </c>
      <c r="E1720" t="str">
        <f t="shared" si="694"/>
        <v>FL</v>
      </c>
      <c r="F1720" t="str">
        <f t="shared" si="695"/>
        <v>322140001</v>
      </c>
      <c r="G1720" t="str">
        <f>T("BLDG 2091 PURCHASING OFFICE")</f>
        <v>BLDG 2091 PURCHASING OFFICE</v>
      </c>
      <c r="H1720" t="str">
        <f>T("")</f>
        <v/>
      </c>
      <c r="I1720" t="str">
        <f t="shared" si="696"/>
        <v>JACKSONVILLE</v>
      </c>
      <c r="J1720" t="str">
        <f t="shared" si="697"/>
        <v>FL</v>
      </c>
      <c r="K1720" t="str">
        <f>T("000000000000000000")</f>
        <v>000000000000000000</v>
      </c>
      <c r="L1720" t="str">
        <f>T("9045466229")</f>
        <v>9045466229</v>
      </c>
    </row>
    <row r="1721" spans="1:12" x14ac:dyDescent="0.35">
      <c r="A1721" t="str">
        <f t="shared" si="692"/>
        <v>NAVAL HOSPITAL JACKSONVILLE</v>
      </c>
      <c r="B1721" t="str">
        <f t="shared" si="698"/>
        <v>NAVAL HOSPITAL JACKSONVILLE</v>
      </c>
      <c r="C1721" t="str">
        <f>T("BLDG H-2091")</f>
        <v>BLDG H-2091</v>
      </c>
      <c r="D1721" t="str">
        <f t="shared" si="693"/>
        <v>JACKSONVILLE</v>
      </c>
      <c r="E1721" t="str">
        <f t="shared" si="694"/>
        <v>FL</v>
      </c>
      <c r="F1721" t="str">
        <f t="shared" si="695"/>
        <v>322140001</v>
      </c>
      <c r="G1721" t="str">
        <f>T("NAVAL HOSPITAL JACKSONVILLE")</f>
        <v>NAVAL HOSPITAL JACKSONVILLE</v>
      </c>
      <c r="H1721" t="str">
        <f>T("2080 CHILD ST BLDG H-2091")</f>
        <v>2080 CHILD ST BLDG H-2091</v>
      </c>
      <c r="I1721" t="str">
        <f t="shared" si="696"/>
        <v>JACKSONVILLE</v>
      </c>
      <c r="J1721" t="str">
        <f t="shared" si="697"/>
        <v>FL</v>
      </c>
      <c r="K1721" t="str">
        <f>T("9045427728")</f>
        <v>9045427728</v>
      </c>
      <c r="L1721" t="str">
        <f>T("9045466233")</f>
        <v>9045466233</v>
      </c>
    </row>
    <row r="1722" spans="1:12" x14ac:dyDescent="0.35">
      <c r="A1722" t="str">
        <f t="shared" si="692"/>
        <v>NAVAL HOSPITAL JACKSONVILLE</v>
      </c>
      <c r="B1722" t="str">
        <f t="shared" si="698"/>
        <v>NAVAL HOSPITAL JACKSONVILLE</v>
      </c>
      <c r="C1722" t="str">
        <f>T("BLDG H-2091")</f>
        <v>BLDG H-2091</v>
      </c>
      <c r="D1722" t="str">
        <f t="shared" si="693"/>
        <v>JACKSONVILLE</v>
      </c>
      <c r="E1722" t="str">
        <f t="shared" si="694"/>
        <v>FL</v>
      </c>
      <c r="F1722" t="str">
        <f t="shared" si="695"/>
        <v>322140001</v>
      </c>
      <c r="G1722" t="str">
        <f>T("NAVAL HOSPITAL JACKSONVILLE")</f>
        <v>NAVAL HOSPITAL JACKSONVILLE</v>
      </c>
      <c r="H1722" t="str">
        <f>T("BLDG H-2091")</f>
        <v>BLDG H-2091</v>
      </c>
      <c r="I1722" t="str">
        <f t="shared" si="696"/>
        <v>JACKSONVILLE</v>
      </c>
      <c r="J1722" t="str">
        <f t="shared" si="697"/>
        <v>FL</v>
      </c>
      <c r="K1722" t="str">
        <f>T("9045427728")</f>
        <v>9045427728</v>
      </c>
      <c r="L1722" t="str">
        <f>T("9045466233")</f>
        <v>9045466233</v>
      </c>
    </row>
    <row r="1723" spans="1:12" x14ac:dyDescent="0.35">
      <c r="A1723" t="str">
        <f t="shared" si="692"/>
        <v>NAVAL HOSPITAL JACKSONVILLE</v>
      </c>
      <c r="B1723" t="str">
        <f t="shared" si="698"/>
        <v>NAVAL HOSPITAL JACKSONVILLE</v>
      </c>
      <c r="C1723" t="str">
        <f t="shared" ref="C1723:C1732" si="699">T("BLDG H-2091 CODE NHJ145")</f>
        <v>BLDG H-2091 CODE NHJ145</v>
      </c>
      <c r="D1723" t="str">
        <f t="shared" si="693"/>
        <v>JACKSONVILLE</v>
      </c>
      <c r="E1723" t="str">
        <f t="shared" si="694"/>
        <v>FL</v>
      </c>
      <c r="F1723" t="str">
        <f t="shared" si="695"/>
        <v>322140001</v>
      </c>
      <c r="G1723" t="str">
        <f>T("2080 CHILD STREET BLDG H-2091")</f>
        <v>2080 CHILD STREET BLDG H-2091</v>
      </c>
      <c r="H1723" t="str">
        <f>T("PURCHASING OFFICE WILLIE WILLIAMS")</f>
        <v>PURCHASING OFFICE WILLIE WILLIAMS</v>
      </c>
      <c r="I1723" t="str">
        <f t="shared" si="696"/>
        <v>JACKSONVILLE</v>
      </c>
      <c r="J1723" t="str">
        <f t="shared" si="697"/>
        <v>FL</v>
      </c>
      <c r="K1723" t="str">
        <f>T("000000000000000000")</f>
        <v>000000000000000000</v>
      </c>
      <c r="L1723" t="str">
        <f>T("9045466235")</f>
        <v>9045466235</v>
      </c>
    </row>
    <row r="1724" spans="1:12" x14ac:dyDescent="0.35">
      <c r="A1724" t="str">
        <f t="shared" si="692"/>
        <v>NAVAL HOSPITAL JACKSONVILLE</v>
      </c>
      <c r="B1724" t="str">
        <f t="shared" si="698"/>
        <v>NAVAL HOSPITAL JACKSONVILLE</v>
      </c>
      <c r="C1724" t="str">
        <f t="shared" si="699"/>
        <v>BLDG H-2091 CODE NHJ145</v>
      </c>
      <c r="D1724" t="str">
        <f t="shared" si="693"/>
        <v>JACKSONVILLE</v>
      </c>
      <c r="E1724" t="str">
        <f t="shared" si="694"/>
        <v>FL</v>
      </c>
      <c r="F1724" t="str">
        <f t="shared" si="695"/>
        <v>322140001</v>
      </c>
      <c r="G1724" t="str">
        <f>T("BLDG 2091 PURCHASING OFFICE")</f>
        <v>BLDG 2091 PURCHASING OFFICE</v>
      </c>
      <c r="H1724" t="str">
        <f>T("")</f>
        <v/>
      </c>
      <c r="I1724" t="str">
        <f t="shared" si="696"/>
        <v>JACKSONVILLE</v>
      </c>
      <c r="J1724" t="str">
        <f t="shared" si="697"/>
        <v>FL</v>
      </c>
      <c r="K1724" t="str">
        <f>T("000000000000000000")</f>
        <v>000000000000000000</v>
      </c>
      <c r="L1724" t="str">
        <f>T("9045466232")</f>
        <v>9045466232</v>
      </c>
    </row>
    <row r="1725" spans="1:12" x14ac:dyDescent="0.35">
      <c r="A1725" t="str">
        <f t="shared" si="692"/>
        <v>NAVAL HOSPITAL JACKSONVILLE</v>
      </c>
      <c r="B1725" t="str">
        <f t="shared" si="698"/>
        <v>NAVAL HOSPITAL JACKSONVILLE</v>
      </c>
      <c r="C1725" t="str">
        <f t="shared" si="699"/>
        <v>BLDG H-2091 CODE NHJ145</v>
      </c>
      <c r="D1725" t="str">
        <f t="shared" si="693"/>
        <v>JACKSONVILLE</v>
      </c>
      <c r="E1725" t="str">
        <f t="shared" si="694"/>
        <v>FL</v>
      </c>
      <c r="F1725" t="str">
        <f t="shared" si="695"/>
        <v>322140001</v>
      </c>
      <c r="G1725" t="str">
        <f>T("BLDG H-2091 CODE NHJ145")</f>
        <v>BLDG H-2091 CODE NHJ145</v>
      </c>
      <c r="H1725" t="str">
        <f>T("")</f>
        <v/>
      </c>
      <c r="I1725" t="str">
        <f t="shared" si="696"/>
        <v>JACKSONVILLE</v>
      </c>
      <c r="J1725" t="str">
        <f t="shared" si="697"/>
        <v>FL</v>
      </c>
      <c r="K1725" t="str">
        <f t="shared" ref="K1725:K1731" si="700">T("9045427728")</f>
        <v>9045427728</v>
      </c>
      <c r="L1725" t="str">
        <f>T("9045466230")</f>
        <v>9045466230</v>
      </c>
    </row>
    <row r="1726" spans="1:12" x14ac:dyDescent="0.35">
      <c r="A1726" t="str">
        <f t="shared" si="692"/>
        <v>NAVAL HOSPITAL JACKSONVILLE</v>
      </c>
      <c r="B1726" t="str">
        <f t="shared" si="698"/>
        <v>NAVAL HOSPITAL JACKSONVILLE</v>
      </c>
      <c r="C1726" t="str">
        <f t="shared" si="699"/>
        <v>BLDG H-2091 CODE NHJ145</v>
      </c>
      <c r="D1726" t="str">
        <f t="shared" si="693"/>
        <v>JACKSONVILLE</v>
      </c>
      <c r="E1726" t="str">
        <f t="shared" si="694"/>
        <v>FL</v>
      </c>
      <c r="F1726" t="str">
        <f t="shared" si="695"/>
        <v>322140001</v>
      </c>
      <c r="G1726" t="str">
        <f>T("BLDG H-2091 CODE NHJ145")</f>
        <v>BLDG H-2091 CODE NHJ145</v>
      </c>
      <c r="H1726" t="str">
        <f>T("PURCHASING")</f>
        <v>PURCHASING</v>
      </c>
      <c r="I1726" t="str">
        <f t="shared" si="696"/>
        <v>JACKSONVILLE</v>
      </c>
      <c r="J1726" t="str">
        <f t="shared" si="697"/>
        <v>FL</v>
      </c>
      <c r="K1726" t="str">
        <f t="shared" si="700"/>
        <v>9045427728</v>
      </c>
      <c r="L1726" t="str">
        <f>T("9045466237")</f>
        <v>9045466237</v>
      </c>
    </row>
    <row r="1727" spans="1:12" x14ac:dyDescent="0.35">
      <c r="A1727" t="str">
        <f t="shared" si="692"/>
        <v>NAVAL HOSPITAL JACKSONVILLE</v>
      </c>
      <c r="B1727" t="str">
        <f t="shared" si="698"/>
        <v>NAVAL HOSPITAL JACKSONVILLE</v>
      </c>
      <c r="C1727" t="str">
        <f t="shared" si="699"/>
        <v>BLDG H-2091 CODE NHJ145</v>
      </c>
      <c r="D1727" t="str">
        <f t="shared" si="693"/>
        <v>JACKSONVILLE</v>
      </c>
      <c r="E1727" t="str">
        <f t="shared" si="694"/>
        <v>FL</v>
      </c>
      <c r="F1727" t="str">
        <f t="shared" si="695"/>
        <v>322140001</v>
      </c>
      <c r="G1727" t="str">
        <f>T("NAVAL HOSPITAL JACKSONVILLE")</f>
        <v>NAVAL HOSPITAL JACKSONVILLE</v>
      </c>
      <c r="H1727" t="str">
        <f>T("BLDG 2091 PUCHASING OFFICE")</f>
        <v>BLDG 2091 PUCHASING OFFICE</v>
      </c>
      <c r="I1727" t="str">
        <f t="shared" si="696"/>
        <v>JACKSONVILLE</v>
      </c>
      <c r="J1727" t="str">
        <f t="shared" si="697"/>
        <v>FL</v>
      </c>
      <c r="K1727" t="str">
        <f t="shared" si="700"/>
        <v>9045427728</v>
      </c>
      <c r="L1727" t="str">
        <f>T("9045466228")</f>
        <v>9045466228</v>
      </c>
    </row>
    <row r="1728" spans="1:12" x14ac:dyDescent="0.35">
      <c r="A1728" t="str">
        <f t="shared" si="692"/>
        <v>NAVAL HOSPITAL JACKSONVILLE</v>
      </c>
      <c r="B1728" t="str">
        <f t="shared" si="698"/>
        <v>NAVAL HOSPITAL JACKSONVILLE</v>
      </c>
      <c r="C1728" t="str">
        <f t="shared" si="699"/>
        <v>BLDG H-2091 CODE NHJ145</v>
      </c>
      <c r="D1728" t="str">
        <f t="shared" si="693"/>
        <v>JACKSONVILLE</v>
      </c>
      <c r="E1728" t="str">
        <f t="shared" si="694"/>
        <v>FL</v>
      </c>
      <c r="F1728" t="str">
        <f t="shared" si="695"/>
        <v>322140001</v>
      </c>
      <c r="G1728" t="str">
        <f>T("NAVAL HOSPITAL JACKSONVILLE")</f>
        <v>NAVAL HOSPITAL JACKSONVILLE</v>
      </c>
      <c r="H1728" t="str">
        <f>T("BLDG 2091 PURCHASING OFFICE")</f>
        <v>BLDG 2091 PURCHASING OFFICE</v>
      </c>
      <c r="I1728" t="str">
        <f t="shared" si="696"/>
        <v>JACKSONVILLE</v>
      </c>
      <c r="J1728" t="str">
        <f t="shared" si="697"/>
        <v>FL</v>
      </c>
      <c r="K1728" t="str">
        <f t="shared" si="700"/>
        <v>9045427728</v>
      </c>
      <c r="L1728" t="str">
        <f>T("9045466229")</f>
        <v>9045466229</v>
      </c>
    </row>
    <row r="1729" spans="1:12" x14ac:dyDescent="0.35">
      <c r="A1729" t="str">
        <f t="shared" si="692"/>
        <v>NAVAL HOSPITAL JACKSONVILLE</v>
      </c>
      <c r="B1729" t="str">
        <f t="shared" si="698"/>
        <v>NAVAL HOSPITAL JACKSONVILLE</v>
      </c>
      <c r="C1729" t="str">
        <f t="shared" si="699"/>
        <v>BLDG H-2091 CODE NHJ145</v>
      </c>
      <c r="D1729" t="str">
        <f t="shared" si="693"/>
        <v>JACKSONVILLE</v>
      </c>
      <c r="E1729" t="str">
        <f t="shared" si="694"/>
        <v>FL</v>
      </c>
      <c r="F1729" t="str">
        <f t="shared" si="695"/>
        <v>322140001</v>
      </c>
      <c r="G1729" t="str">
        <f>T("NAVAL HOSPITAL JACKSONVILLE")</f>
        <v>NAVAL HOSPITAL JACKSONVILLE</v>
      </c>
      <c r="H1729" t="str">
        <f>T("BLDG H-2091 CODE NHJ145")</f>
        <v>BLDG H-2091 CODE NHJ145</v>
      </c>
      <c r="I1729" t="str">
        <f t="shared" si="696"/>
        <v>JACKSONVILLE</v>
      </c>
      <c r="J1729" t="str">
        <f t="shared" si="697"/>
        <v>FL</v>
      </c>
      <c r="K1729" t="str">
        <f t="shared" si="700"/>
        <v>9045427728</v>
      </c>
      <c r="L1729" t="str">
        <f>T("9045466204")</f>
        <v>9045466204</v>
      </c>
    </row>
    <row r="1730" spans="1:12" x14ac:dyDescent="0.35">
      <c r="A1730" t="str">
        <f t="shared" si="692"/>
        <v>NAVAL HOSPITAL JACKSONVILLE</v>
      </c>
      <c r="B1730" t="str">
        <f t="shared" si="698"/>
        <v>NAVAL HOSPITAL JACKSONVILLE</v>
      </c>
      <c r="C1730" t="str">
        <f t="shared" si="699"/>
        <v>BLDG H-2091 CODE NHJ145</v>
      </c>
      <c r="D1730" t="str">
        <f t="shared" si="693"/>
        <v>JACKSONVILLE</v>
      </c>
      <c r="E1730" t="str">
        <f t="shared" si="694"/>
        <v>FL</v>
      </c>
      <c r="F1730" t="str">
        <f t="shared" si="695"/>
        <v>322140001</v>
      </c>
      <c r="G1730" t="str">
        <f>T("NAVAL HOSPITAL JACKSONVILLE")</f>
        <v>NAVAL HOSPITAL JACKSONVILLE</v>
      </c>
      <c r="H1730" t="str">
        <f>T("BLDG H-2091 CODE NHJ145")</f>
        <v>BLDG H-2091 CODE NHJ145</v>
      </c>
      <c r="I1730" t="str">
        <f t="shared" si="696"/>
        <v>JACKSONVILLE</v>
      </c>
      <c r="J1730" t="str">
        <f t="shared" si="697"/>
        <v>FL</v>
      </c>
      <c r="K1730" t="str">
        <f t="shared" si="700"/>
        <v>9045427728</v>
      </c>
      <c r="L1730" t="str">
        <f>T("9045466233")</f>
        <v>9045466233</v>
      </c>
    </row>
    <row r="1731" spans="1:12" x14ac:dyDescent="0.35">
      <c r="A1731" t="str">
        <f t="shared" si="692"/>
        <v>NAVAL HOSPITAL JACKSONVILLE</v>
      </c>
      <c r="B1731" t="str">
        <f t="shared" si="698"/>
        <v>NAVAL HOSPITAL JACKSONVILLE</v>
      </c>
      <c r="C1731" t="str">
        <f t="shared" si="699"/>
        <v>BLDG H-2091 CODE NHJ145</v>
      </c>
      <c r="D1731" t="str">
        <f t="shared" si="693"/>
        <v>JACKSONVILLE</v>
      </c>
      <c r="E1731" t="str">
        <f t="shared" si="694"/>
        <v>FL</v>
      </c>
      <c r="F1731" t="str">
        <f t="shared" si="695"/>
        <v>322140001</v>
      </c>
      <c r="G1731" t="str">
        <f>T("NAVAL HOSPITAL JACKSONVILLE")</f>
        <v>NAVAL HOSPITAL JACKSONVILLE</v>
      </c>
      <c r="H1731" t="str">
        <f>T("BLDG H-2091 CODE NHJ145")</f>
        <v>BLDG H-2091 CODE NHJ145</v>
      </c>
      <c r="I1731" t="str">
        <f t="shared" si="696"/>
        <v>JACKSONVILLE</v>
      </c>
      <c r="J1731" t="str">
        <f t="shared" si="697"/>
        <v>FL</v>
      </c>
      <c r="K1731" t="str">
        <f t="shared" si="700"/>
        <v>9045427728</v>
      </c>
      <c r="L1731" t="str">
        <f>T("9045466235")</f>
        <v>9045466235</v>
      </c>
    </row>
    <row r="1732" spans="1:12" x14ac:dyDescent="0.35">
      <c r="A1732" t="str">
        <f t="shared" si="692"/>
        <v>NAVAL HOSPITAL JACKSONVILLE</v>
      </c>
      <c r="B1732" t="str">
        <f t="shared" si="698"/>
        <v>NAVAL HOSPITAL JACKSONVILLE</v>
      </c>
      <c r="C1732" t="str">
        <f t="shared" si="699"/>
        <v>BLDG H-2091 CODE NHJ145</v>
      </c>
      <c r="D1732" t="str">
        <f t="shared" si="693"/>
        <v>JACKSONVILLE</v>
      </c>
      <c r="E1732" t="str">
        <f t="shared" si="694"/>
        <v>FL</v>
      </c>
      <c r="F1732" t="str">
        <f t="shared" si="695"/>
        <v>322140001</v>
      </c>
      <c r="G1732" t="str">
        <f>T("NAVAL HOSPTIAL JACKSONVILLE")</f>
        <v>NAVAL HOSPTIAL JACKSONVILLE</v>
      </c>
      <c r="H1732" t="str">
        <f>T("2080 CHILD ST BLDG H-2091")</f>
        <v>2080 CHILD ST BLDG H-2091</v>
      </c>
      <c r="I1732" t="str">
        <f t="shared" si="696"/>
        <v>JACKSONVILLE</v>
      </c>
      <c r="J1732" t="str">
        <f t="shared" si="697"/>
        <v>FL</v>
      </c>
      <c r="K1732" t="str">
        <f>T("000000000000000000")</f>
        <v>000000000000000000</v>
      </c>
      <c r="L1732" t="str">
        <f>T("9045466204")</f>
        <v>9045466204</v>
      </c>
    </row>
    <row r="1733" spans="1:12" x14ac:dyDescent="0.35">
      <c r="A1733" t="str">
        <f t="shared" ref="A1733:A1739" si="701">T("NH CORPUS CHRISTI")</f>
        <v>NH CORPUS CHRISTI</v>
      </c>
      <c r="B1733" t="str">
        <f t="shared" ref="B1733:B1739" si="702">T("10651 E STREET")</f>
        <v>10651 E STREET</v>
      </c>
      <c r="C1733" t="str">
        <f t="shared" ref="C1733:C1739" si="703">T("")</f>
        <v/>
      </c>
      <c r="D1733" t="str">
        <f t="shared" ref="D1733:D1739" si="704">T("CRP CHRISTI")</f>
        <v>CRP CHRISTI</v>
      </c>
      <c r="E1733" t="str">
        <f t="shared" ref="E1733:E1739" si="705">T("TX")</f>
        <v>TX</v>
      </c>
      <c r="F1733" t="str">
        <f t="shared" ref="F1733:F1739" si="706">T("784195130")</f>
        <v>784195130</v>
      </c>
      <c r="G1733" t="str">
        <f>T("10651 E ST")</f>
        <v>10651 E ST</v>
      </c>
      <c r="H1733" t="str">
        <f>T("")</f>
        <v/>
      </c>
      <c r="I1733" t="str">
        <f>T("CORPUS CHRISTI")</f>
        <v>CORPUS CHRISTI</v>
      </c>
      <c r="J1733" t="str">
        <f t="shared" ref="J1733:J1739" si="707">T("TX")</f>
        <v>TX</v>
      </c>
      <c r="K1733" t="str">
        <f>T("000000000000000000")</f>
        <v>000000000000000000</v>
      </c>
      <c r="L1733" t="str">
        <f>T("3615166332")</f>
        <v>3615166332</v>
      </c>
    </row>
    <row r="1734" spans="1:12" x14ac:dyDescent="0.35">
      <c r="A1734" t="str">
        <f t="shared" si="701"/>
        <v>NH CORPUS CHRISTI</v>
      </c>
      <c r="B1734" t="str">
        <f t="shared" si="702"/>
        <v>10651 E STREET</v>
      </c>
      <c r="C1734" t="str">
        <f t="shared" si="703"/>
        <v/>
      </c>
      <c r="D1734" t="str">
        <f t="shared" si="704"/>
        <v>CRP CHRISTI</v>
      </c>
      <c r="E1734" t="str">
        <f t="shared" si="705"/>
        <v>TX</v>
      </c>
      <c r="F1734" t="str">
        <f t="shared" si="706"/>
        <v>784195130</v>
      </c>
      <c r="G1734" t="str">
        <f>T("10651 E STREET")</f>
        <v>10651 E STREET</v>
      </c>
      <c r="H1734" t="str">
        <f>T("")</f>
        <v/>
      </c>
      <c r="I1734" t="str">
        <f>T("CORPUS CHRISTI")</f>
        <v>CORPUS CHRISTI</v>
      </c>
      <c r="J1734" t="str">
        <f t="shared" si="707"/>
        <v>TX</v>
      </c>
      <c r="K1734" t="str">
        <f>T("000000000000000000")</f>
        <v>000000000000000000</v>
      </c>
      <c r="L1734" t="str">
        <f>T("3619612216")</f>
        <v>3619612216</v>
      </c>
    </row>
    <row r="1735" spans="1:12" x14ac:dyDescent="0.35">
      <c r="A1735" t="str">
        <f t="shared" si="701"/>
        <v>NH CORPUS CHRISTI</v>
      </c>
      <c r="B1735" t="str">
        <f t="shared" si="702"/>
        <v>10651 E STREET</v>
      </c>
      <c r="C1735" t="str">
        <f t="shared" si="703"/>
        <v/>
      </c>
      <c r="D1735" t="str">
        <f t="shared" si="704"/>
        <v>CRP CHRISTI</v>
      </c>
      <c r="E1735" t="str">
        <f t="shared" si="705"/>
        <v>TX</v>
      </c>
      <c r="F1735" t="str">
        <f t="shared" si="706"/>
        <v>784195130</v>
      </c>
      <c r="G1735" t="str">
        <f>T("10651 E STREET")</f>
        <v>10651 E STREET</v>
      </c>
      <c r="H1735" t="str">
        <f>T("")</f>
        <v/>
      </c>
      <c r="I1735" t="str">
        <f>T("CORPUS CHRISTI")</f>
        <v>CORPUS CHRISTI</v>
      </c>
      <c r="J1735" t="str">
        <f t="shared" si="707"/>
        <v>TX</v>
      </c>
      <c r="K1735" t="str">
        <f>T("000000000000000000")</f>
        <v>000000000000000000</v>
      </c>
      <c r="L1735" t="str">
        <f>T("3619616000")</f>
        <v>3619616000</v>
      </c>
    </row>
    <row r="1736" spans="1:12" x14ac:dyDescent="0.35">
      <c r="A1736" t="str">
        <f t="shared" si="701"/>
        <v>NH CORPUS CHRISTI</v>
      </c>
      <c r="B1736" t="str">
        <f t="shared" si="702"/>
        <v>10651 E STREET</v>
      </c>
      <c r="C1736" t="str">
        <f t="shared" si="703"/>
        <v/>
      </c>
      <c r="D1736" t="str">
        <f t="shared" si="704"/>
        <v>CRP CHRISTI</v>
      </c>
      <c r="E1736" t="str">
        <f t="shared" si="705"/>
        <v>TX</v>
      </c>
      <c r="F1736" t="str">
        <f t="shared" si="706"/>
        <v>784195130</v>
      </c>
      <c r="G1736" t="str">
        <f>T("10651 E STREET")</f>
        <v>10651 E STREET</v>
      </c>
      <c r="H1736" t="str">
        <f>T("")</f>
        <v/>
      </c>
      <c r="I1736" t="str">
        <f>T("CRP CHRISTI")</f>
        <v>CRP CHRISTI</v>
      </c>
      <c r="J1736" t="str">
        <f t="shared" si="707"/>
        <v>TX</v>
      </c>
      <c r="K1736" t="str">
        <f>T("")</f>
        <v/>
      </c>
      <c r="L1736" t="str">
        <f>T("3619616043")</f>
        <v>3619616043</v>
      </c>
    </row>
    <row r="1737" spans="1:12" x14ac:dyDescent="0.35">
      <c r="A1737" t="str">
        <f t="shared" si="701"/>
        <v>NH CORPUS CHRISTI</v>
      </c>
      <c r="B1737" t="str">
        <f t="shared" si="702"/>
        <v>10651 E STREET</v>
      </c>
      <c r="C1737" t="str">
        <f t="shared" si="703"/>
        <v/>
      </c>
      <c r="D1737" t="str">
        <f t="shared" si="704"/>
        <v>CRP CHRISTI</v>
      </c>
      <c r="E1737" t="str">
        <f t="shared" si="705"/>
        <v>TX</v>
      </c>
      <c r="F1737" t="str">
        <f t="shared" si="706"/>
        <v>784195130</v>
      </c>
      <c r="G1737" t="str">
        <f>T("10651 E STREET")</f>
        <v>10651 E STREET</v>
      </c>
      <c r="H1737" t="str">
        <f>T("")</f>
        <v/>
      </c>
      <c r="I1737" t="str">
        <f>T("CRP CHRISTI")</f>
        <v>CRP CHRISTI</v>
      </c>
      <c r="J1737" t="str">
        <f t="shared" si="707"/>
        <v>TX</v>
      </c>
      <c r="K1737" t="str">
        <f>T("3619613759")</f>
        <v>3619613759</v>
      </c>
      <c r="L1737" t="str">
        <f>T("3619616043")</f>
        <v>3619616043</v>
      </c>
    </row>
    <row r="1738" spans="1:12" x14ac:dyDescent="0.35">
      <c r="A1738" t="str">
        <f t="shared" si="701"/>
        <v>NH CORPUS CHRISTI</v>
      </c>
      <c r="B1738" t="str">
        <f t="shared" si="702"/>
        <v>10651 E STREET</v>
      </c>
      <c r="C1738" t="str">
        <f t="shared" si="703"/>
        <v/>
      </c>
      <c r="D1738" t="str">
        <f t="shared" si="704"/>
        <v>CRP CHRISTI</v>
      </c>
      <c r="E1738" t="str">
        <f t="shared" si="705"/>
        <v>TX</v>
      </c>
      <c r="F1738" t="str">
        <f t="shared" si="706"/>
        <v>784195130</v>
      </c>
      <c r="G1738" t="str">
        <f>T("NAVAL BRANCH CLINIC FORT WORTH")</f>
        <v>NAVAL BRANCH CLINIC FORT WORTH</v>
      </c>
      <c r="H1738" t="str">
        <f>T("1711 DOOLITTLE AVE")</f>
        <v>1711 DOOLITTLE AVE</v>
      </c>
      <c r="I1738" t="str">
        <f>T("FORT WORTH")</f>
        <v>FORT WORTH</v>
      </c>
      <c r="J1738" t="str">
        <f t="shared" si="707"/>
        <v>TX</v>
      </c>
      <c r="K1738" t="str">
        <f>T("8177825930")</f>
        <v>8177825930</v>
      </c>
      <c r="L1738" t="str">
        <f>T("8177825900")</f>
        <v>8177825900</v>
      </c>
    </row>
    <row r="1739" spans="1:12" x14ac:dyDescent="0.35">
      <c r="A1739" t="str">
        <f t="shared" si="701"/>
        <v>NH CORPUS CHRISTI</v>
      </c>
      <c r="B1739" t="str">
        <f t="shared" si="702"/>
        <v>10651 E STREET</v>
      </c>
      <c r="C1739" t="str">
        <f t="shared" si="703"/>
        <v/>
      </c>
      <c r="D1739" t="str">
        <f t="shared" si="704"/>
        <v>CRP CHRISTI</v>
      </c>
      <c r="E1739" t="str">
        <f t="shared" si="705"/>
        <v>TX</v>
      </c>
      <c r="F1739" t="str">
        <f t="shared" si="706"/>
        <v>784195130</v>
      </c>
      <c r="G1739" t="str">
        <f>T("NHC CORPUS CHRISTI")</f>
        <v>NHC CORPUS CHRISTI</v>
      </c>
      <c r="H1739" t="str">
        <f>T("10651 E ST")</f>
        <v>10651 E ST</v>
      </c>
      <c r="I1739" t="str">
        <f>T("CORPUS CHRISTI")</f>
        <v>CORPUS CHRISTI</v>
      </c>
      <c r="J1739" t="str">
        <f t="shared" si="707"/>
        <v>TX</v>
      </c>
      <c r="K1739" t="str">
        <f>T("3619613759")</f>
        <v>3619613759</v>
      </c>
      <c r="L1739" t="str">
        <f>T("3619612216")</f>
        <v>3619612216</v>
      </c>
    </row>
    <row r="1740" spans="1:12" x14ac:dyDescent="0.35">
      <c r="A1740" t="str">
        <f t="shared" ref="A1740:A1747" si="708">T("NH BEAUFORT")</f>
        <v>NH BEAUFORT</v>
      </c>
      <c r="B1740" t="str">
        <f>T("MATERIEL MANAGEMENT")</f>
        <v>MATERIEL MANAGEMENT</v>
      </c>
      <c r="C1740" t="str">
        <f t="shared" ref="C1740:C1745" si="709">T("NAVAL HOSPITAL BOX 6127B")</f>
        <v>NAVAL HOSPITAL BOX 6127B</v>
      </c>
      <c r="D1740" t="str">
        <f t="shared" ref="D1740:D1747" si="710">T("BEAUFORT")</f>
        <v>BEAUFORT</v>
      </c>
      <c r="E1740" t="str">
        <f t="shared" ref="E1740:E1747" si="711">T("SC")</f>
        <v>SC</v>
      </c>
      <c r="F1740" t="str">
        <f t="shared" ref="F1740:F1745" si="712">T("299020000")</f>
        <v>299020000</v>
      </c>
      <c r="G1740" t="str">
        <f>T("MATERIEL MANAGEMENT")</f>
        <v>MATERIEL MANAGEMENT</v>
      </c>
      <c r="H1740" t="str">
        <f>T("NAVAL HOSPITAL BOX 6127B")</f>
        <v>NAVAL HOSPITAL BOX 6127B</v>
      </c>
      <c r="I1740" t="str">
        <f t="shared" ref="I1740:I1747" si="713">T("BEAUFORT")</f>
        <v>BEAUFORT</v>
      </c>
      <c r="J1740" t="str">
        <f t="shared" ref="J1740:J1747" si="714">T("SC")</f>
        <v>SC</v>
      </c>
      <c r="K1740" t="str">
        <f>T("8432285532")</f>
        <v>8432285532</v>
      </c>
      <c r="L1740" t="str">
        <f>T("8432285312")</f>
        <v>8432285312</v>
      </c>
    </row>
    <row r="1741" spans="1:12" x14ac:dyDescent="0.35">
      <c r="A1741" t="str">
        <f t="shared" si="708"/>
        <v>NH BEAUFORT</v>
      </c>
      <c r="B1741" t="str">
        <f>T("MATERIEL MANAGEMENT")</f>
        <v>MATERIEL MANAGEMENT</v>
      </c>
      <c r="C1741" t="str">
        <f t="shared" si="709"/>
        <v>NAVAL HOSPITAL BOX 6127B</v>
      </c>
      <c r="D1741" t="str">
        <f t="shared" si="710"/>
        <v>BEAUFORT</v>
      </c>
      <c r="E1741" t="str">
        <f t="shared" si="711"/>
        <v>SC</v>
      </c>
      <c r="F1741" t="str">
        <f t="shared" si="712"/>
        <v>299020000</v>
      </c>
      <c r="G1741" t="str">
        <f>T("MATERIEL MGMT-09MM NAVAL HOSPITAL")</f>
        <v>MATERIEL MGMT-09MM NAVAL HOSPITAL</v>
      </c>
      <c r="H1741" t="str">
        <f>T("BOX 6127B 1 PINCKNEY BLVD")</f>
        <v>BOX 6127B 1 PINCKNEY BLVD</v>
      </c>
      <c r="I1741" t="str">
        <f t="shared" si="713"/>
        <v>BEAUFORT</v>
      </c>
      <c r="J1741" t="str">
        <f t="shared" si="714"/>
        <v>SC</v>
      </c>
      <c r="K1741" t="str">
        <f>T("8432285532")</f>
        <v>8432285532</v>
      </c>
      <c r="L1741" t="str">
        <f>T("8432285379")</f>
        <v>8432285379</v>
      </c>
    </row>
    <row r="1742" spans="1:12" x14ac:dyDescent="0.35">
      <c r="A1742" t="str">
        <f t="shared" si="708"/>
        <v>NH BEAUFORT</v>
      </c>
      <c r="B1742" t="str">
        <f>T("MATERIEL MANAGEMENT")</f>
        <v>MATERIEL MANAGEMENT</v>
      </c>
      <c r="C1742" t="str">
        <f t="shared" si="709"/>
        <v>NAVAL HOSPITAL BOX 6127B</v>
      </c>
      <c r="D1742" t="str">
        <f t="shared" si="710"/>
        <v>BEAUFORT</v>
      </c>
      <c r="E1742" t="str">
        <f t="shared" si="711"/>
        <v>SC</v>
      </c>
      <c r="F1742" t="str">
        <f t="shared" si="712"/>
        <v>299020000</v>
      </c>
      <c r="G1742" t="str">
        <f>T("NAVAL HOSPITAL BEAUFORT MMD")</f>
        <v>NAVAL HOSPITAL BEAUFORT MMD</v>
      </c>
      <c r="H1742" t="str">
        <f>T("BOX 6127B 1 PINCKNEY BLVD 09MM")</f>
        <v>BOX 6127B 1 PINCKNEY BLVD 09MM</v>
      </c>
      <c r="I1742" t="str">
        <f t="shared" si="713"/>
        <v>BEAUFORT</v>
      </c>
      <c r="J1742" t="str">
        <f t="shared" si="714"/>
        <v>SC</v>
      </c>
      <c r="K1742" t="str">
        <f>T("8432285532")</f>
        <v>8432285532</v>
      </c>
      <c r="L1742" t="str">
        <f>T("8432285377")</f>
        <v>8432285377</v>
      </c>
    </row>
    <row r="1743" spans="1:12" x14ac:dyDescent="0.35">
      <c r="A1743" t="str">
        <f t="shared" si="708"/>
        <v>NH BEAUFORT</v>
      </c>
      <c r="B1743" t="str">
        <f>T("MATERIEL MANAGEMENT")</f>
        <v>MATERIEL MANAGEMENT</v>
      </c>
      <c r="C1743" t="str">
        <f t="shared" si="709"/>
        <v>NAVAL HOSPITAL BOX 6127B</v>
      </c>
      <c r="D1743" t="str">
        <f t="shared" si="710"/>
        <v>BEAUFORT</v>
      </c>
      <c r="E1743" t="str">
        <f t="shared" si="711"/>
        <v>SC</v>
      </c>
      <c r="F1743" t="str">
        <f t="shared" si="712"/>
        <v>299020000</v>
      </c>
      <c r="G1743" t="str">
        <f>T("NAVAL HSOPITAL BEAUFORT MMD")</f>
        <v>NAVAL HSOPITAL BEAUFORT MMD</v>
      </c>
      <c r="H1743" t="str">
        <f>T("PO BOX 6127B")</f>
        <v>PO BOX 6127B</v>
      </c>
      <c r="I1743" t="str">
        <f t="shared" si="713"/>
        <v>BEAUFORT</v>
      </c>
      <c r="J1743" t="str">
        <f t="shared" si="714"/>
        <v>SC</v>
      </c>
      <c r="K1743" t="str">
        <f>T("8432285532")</f>
        <v>8432285532</v>
      </c>
      <c r="L1743" t="str">
        <f>T("8432285692")</f>
        <v>8432285692</v>
      </c>
    </row>
    <row r="1744" spans="1:12" x14ac:dyDescent="0.35">
      <c r="A1744" t="str">
        <f t="shared" si="708"/>
        <v>NH BEAUFORT</v>
      </c>
      <c r="B1744" t="str">
        <f>T("MATERIEL MANGEMENT")</f>
        <v>MATERIEL MANGEMENT</v>
      </c>
      <c r="C1744" t="str">
        <f t="shared" si="709"/>
        <v>NAVAL HOSPITAL BOX 6127B</v>
      </c>
      <c r="D1744" t="str">
        <f t="shared" si="710"/>
        <v>BEAUFORT</v>
      </c>
      <c r="E1744" t="str">
        <f t="shared" si="711"/>
        <v>SC</v>
      </c>
      <c r="F1744" t="str">
        <f t="shared" si="712"/>
        <v>299020000</v>
      </c>
      <c r="G1744" t="str">
        <f>T("MATERIEL MANGEMENT")</f>
        <v>MATERIEL MANGEMENT</v>
      </c>
      <c r="H1744" t="str">
        <f>T("NAVAL HOSPITAL BOX 6127B")</f>
        <v>NAVAL HOSPITAL BOX 6127B</v>
      </c>
      <c r="I1744" t="str">
        <f t="shared" si="713"/>
        <v>BEAUFORT</v>
      </c>
      <c r="J1744" t="str">
        <f t="shared" si="714"/>
        <v>SC</v>
      </c>
      <c r="K1744" t="str">
        <f>T("8432285532")</f>
        <v>8432285532</v>
      </c>
      <c r="L1744" t="str">
        <f>T("8432285312")</f>
        <v>8432285312</v>
      </c>
    </row>
    <row r="1745" spans="1:12" x14ac:dyDescent="0.35">
      <c r="A1745" t="str">
        <f t="shared" si="708"/>
        <v>NH BEAUFORT</v>
      </c>
      <c r="B1745" t="str">
        <f>T("MATERIEL MANGEMENT")</f>
        <v>MATERIEL MANGEMENT</v>
      </c>
      <c r="C1745" t="str">
        <f t="shared" si="709"/>
        <v>NAVAL HOSPITAL BOX 6127B</v>
      </c>
      <c r="D1745" t="str">
        <f t="shared" si="710"/>
        <v>BEAUFORT</v>
      </c>
      <c r="E1745" t="str">
        <f t="shared" si="711"/>
        <v>SC</v>
      </c>
      <c r="F1745" t="str">
        <f t="shared" si="712"/>
        <v>299020000</v>
      </c>
      <c r="G1745" t="str">
        <f>T("NAVAL HOSPITAL BEAUFORT FMD")</f>
        <v>NAVAL HOSPITAL BEAUFORT FMD</v>
      </c>
      <c r="H1745" t="str">
        <f>T("1 PINCKNEY BLVD 09PW")</f>
        <v>1 PINCKNEY BLVD 09PW</v>
      </c>
      <c r="I1745" t="str">
        <f t="shared" si="713"/>
        <v>BEAUFORT</v>
      </c>
      <c r="J1745" t="str">
        <f t="shared" si="714"/>
        <v>SC</v>
      </c>
      <c r="K1745" t="str">
        <f>T("000000000000000000")</f>
        <v>000000000000000000</v>
      </c>
      <c r="L1745" t="str">
        <f>T("8432285613")</f>
        <v>8432285613</v>
      </c>
    </row>
    <row r="1746" spans="1:12" x14ac:dyDescent="0.35">
      <c r="A1746" t="str">
        <f t="shared" si="708"/>
        <v>NH BEAUFORT</v>
      </c>
      <c r="B1746" t="str">
        <f>T("NAVAL HOSPITAL BEAUTFORT JIF")</f>
        <v>NAVAL HOSPITAL BEAUTFORT JIF</v>
      </c>
      <c r="C1746" t="str">
        <f>T("BOX 6127B 1 PINCKNEY BLVD 09MM")</f>
        <v>BOX 6127B 1 PINCKNEY BLVD 09MM</v>
      </c>
      <c r="D1746" t="str">
        <f t="shared" si="710"/>
        <v>BEAUFORT</v>
      </c>
      <c r="E1746" t="str">
        <f t="shared" si="711"/>
        <v>SC</v>
      </c>
      <c r="F1746" t="str">
        <f>T("299020182")</f>
        <v>299020182</v>
      </c>
      <c r="G1746" t="str">
        <f>T("NAVAL HOSPITAL BEAUTFORT JIF")</f>
        <v>NAVAL HOSPITAL BEAUTFORT JIF</v>
      </c>
      <c r="H1746" t="str">
        <f>T("BOX 6127B 1 PINCKNEY BLVD 09MM")</f>
        <v>BOX 6127B 1 PINCKNEY BLVD 09MM</v>
      </c>
      <c r="I1746" t="str">
        <f t="shared" si="713"/>
        <v>BEAUFORT</v>
      </c>
      <c r="J1746" t="str">
        <f t="shared" si="714"/>
        <v>SC</v>
      </c>
      <c r="K1746" t="str">
        <f>T("000000000000000000")</f>
        <v>000000000000000000</v>
      </c>
      <c r="L1746" t="str">
        <f>T("8432285312")</f>
        <v>8432285312</v>
      </c>
    </row>
    <row r="1747" spans="1:12" x14ac:dyDescent="0.35">
      <c r="A1747" t="str">
        <f t="shared" si="708"/>
        <v>NH BEAUFORT</v>
      </c>
      <c r="B1747" t="str">
        <f>T("NAVAL HOSPITAL BEAUTFORT JIF")</f>
        <v>NAVAL HOSPITAL BEAUTFORT JIF</v>
      </c>
      <c r="C1747" t="str">
        <f>T("BOX 6127B 1 PINCKNEY BLVD 09MM")</f>
        <v>BOX 6127B 1 PINCKNEY BLVD 09MM</v>
      </c>
      <c r="D1747" t="str">
        <f t="shared" si="710"/>
        <v>BEAUFORT</v>
      </c>
      <c r="E1747" t="str">
        <f t="shared" si="711"/>
        <v>SC</v>
      </c>
      <c r="F1747" t="str">
        <f>T("299020182")</f>
        <v>299020182</v>
      </c>
      <c r="G1747" t="str">
        <f>T("NAVAL HSOPITAL BEAUFORT JIF")</f>
        <v>NAVAL HSOPITAL BEAUFORT JIF</v>
      </c>
      <c r="H1747" t="str">
        <f>T("PO BOX 6127B")</f>
        <v>PO BOX 6127B</v>
      </c>
      <c r="I1747" t="str">
        <f t="shared" si="713"/>
        <v>BEAUFORT</v>
      </c>
      <c r="J1747" t="str">
        <f t="shared" si="714"/>
        <v>SC</v>
      </c>
      <c r="K1747" t="str">
        <f>T("8432285532")</f>
        <v>8432285532</v>
      </c>
      <c r="L1747" t="str">
        <f>T("8432285692")</f>
        <v>8432285692</v>
      </c>
    </row>
    <row r="1748" spans="1:12" x14ac:dyDescent="0.35">
      <c r="A1748" t="str">
        <f t="shared" ref="A1748:A1753" si="715">T("US NAVAL HOSPITAL GTMO")</f>
        <v>US NAVAL HOSPITAL GTMO</v>
      </c>
      <c r="B1748" t="str">
        <f t="shared" ref="B1748:B1753" si="716">T("USNH GUANTANAMO BAY")</f>
        <v>USNH GUANTANAMO BAY</v>
      </c>
      <c r="C1748" t="str">
        <f t="shared" ref="C1748:C1753" si="717">T("PSC 810 BOX 185")</f>
        <v>PSC 810 BOX 185</v>
      </c>
      <c r="D1748" t="str">
        <f t="shared" ref="D1748:D1753" si="718">T("FPO")</f>
        <v>FPO</v>
      </c>
      <c r="E1748" t="str">
        <f t="shared" ref="E1748:E1753" si="719">T("AE")</f>
        <v>AE</v>
      </c>
      <c r="F1748" t="str">
        <f t="shared" ref="F1748:F1753" si="720">T("095890002")</f>
        <v>095890002</v>
      </c>
      <c r="G1748" t="str">
        <f>T("USNH GTMO")</f>
        <v>USNH GTMO</v>
      </c>
      <c r="H1748" t="str">
        <f>T("PSC 810 BOX 185")</f>
        <v>PSC 810 BOX 185</v>
      </c>
      <c r="I1748" t="str">
        <f t="shared" ref="I1748:I1753" si="721">T("FPO")</f>
        <v>FPO</v>
      </c>
      <c r="J1748" t="str">
        <f t="shared" ref="J1748:J1753" si="722">T("AE")</f>
        <v>AE</v>
      </c>
      <c r="K1748" t="str">
        <f>T("011539972183")</f>
        <v>011539972183</v>
      </c>
      <c r="L1748" t="str">
        <f>T("1111111111")</f>
        <v>1111111111</v>
      </c>
    </row>
    <row r="1749" spans="1:12" x14ac:dyDescent="0.35">
      <c r="A1749" t="str">
        <f t="shared" si="715"/>
        <v>US NAVAL HOSPITAL GTMO</v>
      </c>
      <c r="B1749" t="str">
        <f t="shared" si="716"/>
        <v>USNH GUANTANAMO BAY</v>
      </c>
      <c r="C1749" t="str">
        <f t="shared" si="717"/>
        <v>PSC 810 BOX 185</v>
      </c>
      <c r="D1749" t="str">
        <f t="shared" si="718"/>
        <v>FPO</v>
      </c>
      <c r="E1749" t="str">
        <f t="shared" si="719"/>
        <v>AE</v>
      </c>
      <c r="F1749" t="str">
        <f t="shared" si="720"/>
        <v>095890002</v>
      </c>
      <c r="G1749" t="str">
        <f>T("USNH GTMO")</f>
        <v>USNH GTMO</v>
      </c>
      <c r="H1749" t="str">
        <f>T("PSC 810 PO BOX 185")</f>
        <v>PSC 810 PO BOX 185</v>
      </c>
      <c r="I1749" t="str">
        <f t="shared" si="721"/>
        <v>FPO</v>
      </c>
      <c r="J1749" t="str">
        <f t="shared" si="722"/>
        <v>AE</v>
      </c>
      <c r="K1749" t="str">
        <f>T("0115399721553")</f>
        <v>0115399721553</v>
      </c>
      <c r="L1749" t="str">
        <f>T("1111111111")</f>
        <v>1111111111</v>
      </c>
    </row>
    <row r="1750" spans="1:12" x14ac:dyDescent="0.35">
      <c r="A1750" t="str">
        <f t="shared" si="715"/>
        <v>US NAVAL HOSPITAL GTMO</v>
      </c>
      <c r="B1750" t="str">
        <f t="shared" si="716"/>
        <v>USNH GUANTANAMO BAY</v>
      </c>
      <c r="C1750" t="str">
        <f t="shared" si="717"/>
        <v>PSC 810 BOX 185</v>
      </c>
      <c r="D1750" t="str">
        <f t="shared" si="718"/>
        <v>FPO</v>
      </c>
      <c r="E1750" t="str">
        <f t="shared" si="719"/>
        <v>AE</v>
      </c>
      <c r="F1750" t="str">
        <f t="shared" si="720"/>
        <v>095890002</v>
      </c>
      <c r="G1750" t="str">
        <f>T("USNH GTMO ATTN MATERIALS MANAGEMENT")</f>
        <v>USNH GTMO ATTN MATERIALS MANAGEMENT</v>
      </c>
      <c r="H1750" t="str">
        <f>T("PSC 810 BOX 185")</f>
        <v>PSC 810 BOX 185</v>
      </c>
      <c r="I1750" t="str">
        <f t="shared" si="721"/>
        <v>FPO</v>
      </c>
      <c r="J1750" t="str">
        <f t="shared" si="722"/>
        <v>AE</v>
      </c>
      <c r="K1750" t="str">
        <f>T("011539972183")</f>
        <v>011539972183</v>
      </c>
      <c r="L1750" t="str">
        <f>T("1111111111")</f>
        <v>1111111111</v>
      </c>
    </row>
    <row r="1751" spans="1:12" x14ac:dyDescent="0.35">
      <c r="A1751" t="str">
        <f t="shared" si="715"/>
        <v>US NAVAL HOSPITAL GTMO</v>
      </c>
      <c r="B1751" t="str">
        <f t="shared" si="716"/>
        <v>USNH GUANTANAMO BAY</v>
      </c>
      <c r="C1751" t="str">
        <f t="shared" si="717"/>
        <v>PSC 810 BOX 185</v>
      </c>
      <c r="D1751" t="str">
        <f t="shared" si="718"/>
        <v>FPO</v>
      </c>
      <c r="E1751" t="str">
        <f t="shared" si="719"/>
        <v>AE</v>
      </c>
      <c r="F1751" t="str">
        <f t="shared" si="720"/>
        <v>095890002</v>
      </c>
      <c r="G1751" t="str">
        <f>T("USNH GTMO ATTN MATERIALS MANAGEMENT")</f>
        <v>USNH GTMO ATTN MATERIALS MANAGEMENT</v>
      </c>
      <c r="H1751" t="str">
        <f>T("PSC 810 BOX 185")</f>
        <v>PSC 810 BOX 185</v>
      </c>
      <c r="I1751" t="str">
        <f t="shared" si="721"/>
        <v>FPO</v>
      </c>
      <c r="J1751" t="str">
        <f t="shared" si="722"/>
        <v>AE</v>
      </c>
      <c r="K1751" t="str">
        <f>T("011539972554")</f>
        <v>011539972554</v>
      </c>
      <c r="L1751" t="str">
        <f>T("7574582544")</f>
        <v>7574582544</v>
      </c>
    </row>
    <row r="1752" spans="1:12" x14ac:dyDescent="0.35">
      <c r="A1752" t="str">
        <f t="shared" si="715"/>
        <v>US NAVAL HOSPITAL GTMO</v>
      </c>
      <c r="B1752" t="str">
        <f t="shared" si="716"/>
        <v>USNH GUANTANAMO BAY</v>
      </c>
      <c r="C1752" t="str">
        <f t="shared" si="717"/>
        <v>PSC 810 BOX 185</v>
      </c>
      <c r="D1752" t="str">
        <f t="shared" si="718"/>
        <v>FPO</v>
      </c>
      <c r="E1752" t="str">
        <f t="shared" si="719"/>
        <v>AE</v>
      </c>
      <c r="F1752" t="str">
        <f t="shared" si="720"/>
        <v>095890002</v>
      </c>
      <c r="G1752" t="str">
        <f>T("USNH GTMO ATTN MATERIALS MANAGEMENT")</f>
        <v>USNH GTMO ATTN MATERIALS MANAGEMENT</v>
      </c>
      <c r="H1752" t="str">
        <f>T("PSC 810 BOX 185")</f>
        <v>PSC 810 BOX 185</v>
      </c>
      <c r="I1752" t="str">
        <f t="shared" si="721"/>
        <v>FPO</v>
      </c>
      <c r="J1752" t="str">
        <f t="shared" si="722"/>
        <v>AE</v>
      </c>
      <c r="K1752" t="str">
        <f>T("011539972556")</f>
        <v>011539972556</v>
      </c>
      <c r="L1752" t="str">
        <f>T("1111111111")</f>
        <v>1111111111</v>
      </c>
    </row>
    <row r="1753" spans="1:12" x14ac:dyDescent="0.35">
      <c r="A1753" t="str">
        <f t="shared" si="715"/>
        <v>US NAVAL HOSPITAL GTMO</v>
      </c>
      <c r="B1753" t="str">
        <f t="shared" si="716"/>
        <v>USNH GUANTANAMO BAY</v>
      </c>
      <c r="C1753" t="str">
        <f t="shared" si="717"/>
        <v>PSC 810 BOX 185</v>
      </c>
      <c r="D1753" t="str">
        <f t="shared" si="718"/>
        <v>FPO</v>
      </c>
      <c r="E1753" t="str">
        <f t="shared" si="719"/>
        <v>AE</v>
      </c>
      <c r="F1753" t="str">
        <f t="shared" si="720"/>
        <v>095890002</v>
      </c>
      <c r="G1753" t="str">
        <f>T("USNH GUANTANAMO BAY")</f>
        <v>USNH GUANTANAMO BAY</v>
      </c>
      <c r="H1753" t="str">
        <f>T("PSC 810 BOX 185")</f>
        <v>PSC 810 BOX 185</v>
      </c>
      <c r="I1753" t="str">
        <f t="shared" si="721"/>
        <v>FPO</v>
      </c>
      <c r="J1753" t="str">
        <f t="shared" si="722"/>
        <v>AE</v>
      </c>
      <c r="K1753" t="str">
        <f>T("01153992622")</f>
        <v>01153992622</v>
      </c>
      <c r="L1753" t="str">
        <f>T("1111111111")</f>
        <v>1111111111</v>
      </c>
    </row>
    <row r="1754" spans="1:12" x14ac:dyDescent="0.35">
      <c r="A1754" t="str">
        <f>T("NAVAL HC NEW ENGLAND NBHC GROT")</f>
        <v>NAVAL HC NEW ENGLAND NBHC GROT</v>
      </c>
      <c r="B1754" t="str">
        <f>T("1 WAHOO DR")</f>
        <v>1 WAHOO DR</v>
      </c>
      <c r="C1754" t="str">
        <f>T("BOX 600 CODE 41")</f>
        <v>BOX 600 CODE 41</v>
      </c>
      <c r="D1754" t="str">
        <f>T("GROTON")</f>
        <v>GROTON</v>
      </c>
      <c r="E1754" t="str">
        <f>T("CT")</f>
        <v>CT</v>
      </c>
      <c r="F1754" t="str">
        <f>T("063495600")</f>
        <v>063495600</v>
      </c>
      <c r="G1754" t="str">
        <f>T("1 WAHOO AVE")</f>
        <v>1 WAHOO AVE</v>
      </c>
      <c r="H1754" t="str">
        <f>T("")</f>
        <v/>
      </c>
      <c r="I1754" t="str">
        <f>T("GROTON")</f>
        <v>GROTON</v>
      </c>
      <c r="J1754" t="str">
        <f>T("CT")</f>
        <v>CT</v>
      </c>
      <c r="K1754" t="str">
        <f>T("000000000000000000")</f>
        <v>000000000000000000</v>
      </c>
      <c r="L1754" t="str">
        <f>T("8606942418")</f>
        <v>8606942418</v>
      </c>
    </row>
    <row r="1755" spans="1:12" x14ac:dyDescent="0.35">
      <c r="A1755" t="str">
        <f>T("NAVAL HC NEW ENGLAND NBHC GROT")</f>
        <v>NAVAL HC NEW ENGLAND NBHC GROT</v>
      </c>
      <c r="B1755" t="str">
        <f>T("1 WAHOO DR")</f>
        <v>1 WAHOO DR</v>
      </c>
      <c r="C1755" t="str">
        <f>T("BOX 600 CODE 41")</f>
        <v>BOX 600 CODE 41</v>
      </c>
      <c r="D1755" t="str">
        <f>T("GROTON")</f>
        <v>GROTON</v>
      </c>
      <c r="E1755" t="str">
        <f>T("CT")</f>
        <v>CT</v>
      </c>
      <c r="F1755" t="str">
        <f>T("063495600")</f>
        <v>063495600</v>
      </c>
      <c r="G1755" t="str">
        <f>T("1 WAHOO DR")</f>
        <v>1 WAHOO DR</v>
      </c>
      <c r="H1755" t="str">
        <f>T("BOX 600 CODE 41")</f>
        <v>BOX 600 CODE 41</v>
      </c>
      <c r="I1755" t="str">
        <f>T("GROTON")</f>
        <v>GROTON</v>
      </c>
      <c r="J1755" t="str">
        <f>T("CT")</f>
        <v>CT</v>
      </c>
      <c r="K1755" t="str">
        <f>T("8606944855")</f>
        <v>8606944855</v>
      </c>
      <c r="L1755" t="str">
        <f>T("8606941509")</f>
        <v>8606941509</v>
      </c>
    </row>
    <row r="1756" spans="1:12" x14ac:dyDescent="0.35">
      <c r="A1756" t="str">
        <f>T("NAVAL HC NEW ENGLAND NBHC GROT")</f>
        <v>NAVAL HC NEW ENGLAND NBHC GROT</v>
      </c>
      <c r="B1756" t="str">
        <f>T("1 WAHOO DR")</f>
        <v>1 WAHOO DR</v>
      </c>
      <c r="C1756" t="str">
        <f>T("BOX 600 CODE 41")</f>
        <v>BOX 600 CODE 41</v>
      </c>
      <c r="D1756" t="str">
        <f>T("GROTON")</f>
        <v>GROTON</v>
      </c>
      <c r="E1756" t="str">
        <f>T("CT")</f>
        <v>CT</v>
      </c>
      <c r="F1756" t="str">
        <f>T("063495600")</f>
        <v>063495600</v>
      </c>
      <c r="G1756" t="str">
        <f>T("1 WAHOO DR")</f>
        <v>1 WAHOO DR</v>
      </c>
      <c r="H1756" t="str">
        <f>T("BOX 600 CODE 42G")</f>
        <v>BOX 600 CODE 42G</v>
      </c>
      <c r="I1756" t="str">
        <f>T("GROTON")</f>
        <v>GROTON</v>
      </c>
      <c r="J1756" t="str">
        <f>T("CT")</f>
        <v>CT</v>
      </c>
      <c r="K1756" t="str">
        <f>T("000000000000000000")</f>
        <v>000000000000000000</v>
      </c>
      <c r="L1756" t="str">
        <f>T("8606942318")</f>
        <v>8606942318</v>
      </c>
    </row>
    <row r="1757" spans="1:12" x14ac:dyDescent="0.35">
      <c r="A1757" t="str">
        <f>T("NAVAL HC NEW ENGLAND NBHC GROT")</f>
        <v>NAVAL HC NEW ENGLAND NBHC GROT</v>
      </c>
      <c r="B1757" t="str">
        <f>T("1 WAHOO DR")</f>
        <v>1 WAHOO DR</v>
      </c>
      <c r="C1757" t="str">
        <f>T("BOX 600 CODE 41")</f>
        <v>BOX 600 CODE 41</v>
      </c>
      <c r="D1757" t="str">
        <f>T("GROTON")</f>
        <v>GROTON</v>
      </c>
      <c r="E1757" t="str">
        <f>T("CT")</f>
        <v>CT</v>
      </c>
      <c r="F1757" t="str">
        <f>T("063495600")</f>
        <v>063495600</v>
      </c>
      <c r="G1757" t="str">
        <f>T("NAVAL BRANCH HEALTH CLINIC")</f>
        <v>NAVAL BRANCH HEALTH CLINIC</v>
      </c>
      <c r="H1757" t="str">
        <f>T("1 WAHOO AVE BLDG 449")</f>
        <v>1 WAHOO AVE BLDG 449</v>
      </c>
      <c r="I1757" t="str">
        <f>T("GROTON")</f>
        <v>GROTON</v>
      </c>
      <c r="J1757" t="str">
        <f>T("CT")</f>
        <v>CT</v>
      </c>
      <c r="K1757" t="str">
        <f>T("8606944855")</f>
        <v>8606944855</v>
      </c>
      <c r="L1757" t="str">
        <f>T("8606945758")</f>
        <v>8606945758</v>
      </c>
    </row>
    <row r="1758" spans="1:12" x14ac:dyDescent="0.35">
      <c r="A1758" t="str">
        <f>T("NAVAL HC NEW ENGLAND NBHC GROT")</f>
        <v>NAVAL HC NEW ENGLAND NBHC GROT</v>
      </c>
      <c r="B1758" t="str">
        <f>T("1 WAHOO DR")</f>
        <v>1 WAHOO DR</v>
      </c>
      <c r="C1758" t="str">
        <f>T("BOX 600 CODE 41")</f>
        <v>BOX 600 CODE 41</v>
      </c>
      <c r="D1758" t="str">
        <f>T("GROTON")</f>
        <v>GROTON</v>
      </c>
      <c r="E1758" t="str">
        <f>T("CT")</f>
        <v>CT</v>
      </c>
      <c r="F1758" t="str">
        <f>T("063495600")</f>
        <v>063495600</v>
      </c>
      <c r="G1758" t="str">
        <f>T("NBHC GROTON")</f>
        <v>NBHC GROTON</v>
      </c>
      <c r="H1758" t="str">
        <f>T("1 WAHOO AVENUE")</f>
        <v>1 WAHOO AVENUE</v>
      </c>
      <c r="I1758" t="str">
        <f>T("GROTON")</f>
        <v>GROTON</v>
      </c>
      <c r="J1758" t="str">
        <f>T("CT")</f>
        <v>CT</v>
      </c>
      <c r="K1758" t="str">
        <f>T("000000000000000000")</f>
        <v>000000000000000000</v>
      </c>
      <c r="L1758" t="str">
        <f>T("8606944972")</f>
        <v>8606944972</v>
      </c>
    </row>
    <row r="1759" spans="1:12" x14ac:dyDescent="0.35">
      <c r="A1759" t="str">
        <f>T("NHC NEW ENGLAND")</f>
        <v>NHC NEW ENGLAND</v>
      </c>
      <c r="B1759" t="str">
        <f>T("43 SMITH ROAD")</f>
        <v>43 SMITH ROAD</v>
      </c>
      <c r="C1759" t="str">
        <f>T("MATERIAL MANAGEMENT")</f>
        <v>MATERIAL MANAGEMENT</v>
      </c>
      <c r="D1759" t="str">
        <f>T("NEWPORT")</f>
        <v>NEWPORT</v>
      </c>
      <c r="E1759" t="str">
        <f>T("RI")</f>
        <v>RI</v>
      </c>
      <c r="F1759" t="str">
        <f>T("028411006")</f>
        <v>028411006</v>
      </c>
      <c r="G1759" t="str">
        <f>T("43 SMITH ROAD")</f>
        <v>43 SMITH ROAD</v>
      </c>
      <c r="H1759" t="str">
        <f>T("")</f>
        <v/>
      </c>
      <c r="I1759" t="str">
        <f>T("NEWPORT")</f>
        <v>NEWPORT</v>
      </c>
      <c r="J1759" t="str">
        <f>T("RI")</f>
        <v>RI</v>
      </c>
      <c r="K1759" t="str">
        <f>T("4018412355")</f>
        <v>4018412355</v>
      </c>
      <c r="L1759" t="str">
        <f>T("4018417595")</f>
        <v>4018417595</v>
      </c>
    </row>
    <row r="1760" spans="1:12" x14ac:dyDescent="0.35">
      <c r="A1760" t="str">
        <f>T("NHC NEW ENGLAND")</f>
        <v>NHC NEW ENGLAND</v>
      </c>
      <c r="B1760" t="str">
        <f>T("43 SMITH ROAD")</f>
        <v>43 SMITH ROAD</v>
      </c>
      <c r="C1760" t="str">
        <f>T("MATERIAL MANAGEMENT")</f>
        <v>MATERIAL MANAGEMENT</v>
      </c>
      <c r="D1760" t="str">
        <f>T("NEWPORT")</f>
        <v>NEWPORT</v>
      </c>
      <c r="E1760" t="str">
        <f>T("RI")</f>
        <v>RI</v>
      </c>
      <c r="F1760" t="str">
        <f>T("028411006")</f>
        <v>028411006</v>
      </c>
      <c r="G1760" t="str">
        <f>T("43 SMITH ROAD")</f>
        <v>43 SMITH ROAD</v>
      </c>
      <c r="H1760" t="str">
        <f>T("")</f>
        <v/>
      </c>
      <c r="I1760" t="str">
        <f>T("NEWPORT")</f>
        <v>NEWPORT</v>
      </c>
      <c r="J1760" t="str">
        <f>T("RI")</f>
        <v>RI</v>
      </c>
      <c r="K1760" t="str">
        <f>T("4018417591")</f>
        <v>4018417591</v>
      </c>
      <c r="L1760" t="str">
        <f>T("4018412124")</f>
        <v>4018412124</v>
      </c>
    </row>
    <row r="1761" spans="1:12" x14ac:dyDescent="0.35">
      <c r="A1761" t="str">
        <f>T("NHC NEW ENGLAND")</f>
        <v>NHC NEW ENGLAND</v>
      </c>
      <c r="B1761" t="str">
        <f>T("43 SMITH ROAD")</f>
        <v>43 SMITH ROAD</v>
      </c>
      <c r="C1761" t="str">
        <f>T("MATERIAL MANAGEMENT")</f>
        <v>MATERIAL MANAGEMENT</v>
      </c>
      <c r="D1761" t="str">
        <f>T("NEWPORT")</f>
        <v>NEWPORT</v>
      </c>
      <c r="E1761" t="str">
        <f>T("RI")</f>
        <v>RI</v>
      </c>
      <c r="F1761" t="str">
        <f>T("028411006")</f>
        <v>028411006</v>
      </c>
      <c r="G1761" t="str">
        <f>T("43 SMITH ROAD")</f>
        <v>43 SMITH ROAD</v>
      </c>
      <c r="H1761" t="str">
        <f>T("")</f>
        <v/>
      </c>
      <c r="I1761" t="str">
        <f>T("NEWPORT")</f>
        <v>NEWPORT</v>
      </c>
      <c r="J1761" t="str">
        <f>T("RI")</f>
        <v>RI</v>
      </c>
      <c r="K1761" t="str">
        <f>T("4018417594")</f>
        <v>4018417594</v>
      </c>
      <c r="L1761" t="str">
        <f>T("4018412305")</f>
        <v>4018412305</v>
      </c>
    </row>
    <row r="1762" spans="1:12" x14ac:dyDescent="0.35">
      <c r="A1762" t="str">
        <f>T("NHC NEW ENGLAND")</f>
        <v>NHC NEW ENGLAND</v>
      </c>
      <c r="B1762" t="str">
        <f>T("43 SMITH ROAD")</f>
        <v>43 SMITH ROAD</v>
      </c>
      <c r="C1762" t="str">
        <f>T("MATERIAL MANAGEMENT")</f>
        <v>MATERIAL MANAGEMENT</v>
      </c>
      <c r="D1762" t="str">
        <f>T("NEWPORT")</f>
        <v>NEWPORT</v>
      </c>
      <c r="E1762" t="str">
        <f>T("RI")</f>
        <v>RI</v>
      </c>
      <c r="F1762" t="str">
        <f>T("028411006")</f>
        <v>028411006</v>
      </c>
      <c r="G1762" t="str">
        <f>T("43 SMITH ROAD")</f>
        <v>43 SMITH ROAD</v>
      </c>
      <c r="H1762" t="str">
        <f>T("BLDG 44 MATERIALS MANAGEMENT DEPT")</f>
        <v>BLDG 44 MATERIALS MANAGEMENT DEPT</v>
      </c>
      <c r="I1762" t="str">
        <f>T("NEWPORT")</f>
        <v>NEWPORT</v>
      </c>
      <c r="J1762" t="str">
        <f>T("RI")</f>
        <v>RI</v>
      </c>
      <c r="K1762" t="str">
        <f>T("4018417594")</f>
        <v>4018417594</v>
      </c>
      <c r="L1762" t="str">
        <f>T("4018417591")</f>
        <v>4018417591</v>
      </c>
    </row>
    <row r="1763" spans="1:12" x14ac:dyDescent="0.35">
      <c r="A1763" t="str">
        <f>T("NHC NEW ENGLAND")</f>
        <v>NHC NEW ENGLAND</v>
      </c>
      <c r="B1763" t="str">
        <f>T("43 SMITH ROAD")</f>
        <v>43 SMITH ROAD</v>
      </c>
      <c r="C1763" t="str">
        <f>T("MATERIAL MANAGEMENT")</f>
        <v>MATERIAL MANAGEMENT</v>
      </c>
      <c r="D1763" t="str">
        <f>T("NEWPORT")</f>
        <v>NEWPORT</v>
      </c>
      <c r="E1763" t="str">
        <f>T("RI")</f>
        <v>RI</v>
      </c>
      <c r="F1763" t="str">
        <f>T("028411006")</f>
        <v>028411006</v>
      </c>
      <c r="G1763" t="str">
        <f>T("43 SMITH ROAD")</f>
        <v>43 SMITH ROAD</v>
      </c>
      <c r="H1763" t="str">
        <f>T("MATERIAL MANAGEMENT")</f>
        <v>MATERIAL MANAGEMENT</v>
      </c>
      <c r="I1763" t="str">
        <f>T("NEWPORT")</f>
        <v>NEWPORT</v>
      </c>
      <c r="J1763" t="str">
        <f>T("RI")</f>
        <v>RI</v>
      </c>
      <c r="K1763" t="str">
        <f>T("4018412055")</f>
        <v>4018412055</v>
      </c>
      <c r="L1763" t="str">
        <f>T("4018412158")</f>
        <v>4018412158</v>
      </c>
    </row>
    <row r="1764" spans="1:12" x14ac:dyDescent="0.35">
      <c r="A1764" t="str">
        <f t="shared" ref="A1764:A1803" si="723">T("NMCPHC*")</f>
        <v>NMCPHC*</v>
      </c>
      <c r="B1764" t="str">
        <f>T("1285 WEST D ST")</f>
        <v>1285 WEST D ST</v>
      </c>
      <c r="C1764" t="str">
        <f t="shared" ref="C1764:C1780" si="724">T("")</f>
        <v/>
      </c>
      <c r="D1764" t="str">
        <f>T("NORFOLK")</f>
        <v>NORFOLK</v>
      </c>
      <c r="E1764" t="str">
        <f>T("VA")</f>
        <v>VA</v>
      </c>
      <c r="F1764" t="str">
        <f>T("235112303")</f>
        <v>235112303</v>
      </c>
      <c r="G1764" t="str">
        <f>T("1285 WEST D ST")</f>
        <v>1285 WEST D ST</v>
      </c>
      <c r="H1764" t="str">
        <f t="shared" ref="H1764:H1780" si="725">T("")</f>
        <v/>
      </c>
      <c r="I1764" t="str">
        <f>T("NORFOLK")</f>
        <v>NORFOLK</v>
      </c>
      <c r="J1764" t="str">
        <f>T("VA")</f>
        <v>VA</v>
      </c>
      <c r="K1764" t="str">
        <f>T("000000000000000000")</f>
        <v>000000000000000000</v>
      </c>
      <c r="L1764" t="str">
        <f>T("7579538487")</f>
        <v>7579538487</v>
      </c>
    </row>
    <row r="1765" spans="1:12" x14ac:dyDescent="0.35">
      <c r="A1765" t="str">
        <f t="shared" si="723"/>
        <v>NMCPHC*</v>
      </c>
      <c r="B1765" t="str">
        <f>T("1285 WEST D ST")</f>
        <v>1285 WEST D ST</v>
      </c>
      <c r="C1765" t="str">
        <f t="shared" si="724"/>
        <v/>
      </c>
      <c r="D1765" t="str">
        <f>T("NORFOLK")</f>
        <v>NORFOLK</v>
      </c>
      <c r="E1765" t="str">
        <f>T("VA")</f>
        <v>VA</v>
      </c>
      <c r="F1765" t="str">
        <f>T("235112303")</f>
        <v>235112303</v>
      </c>
      <c r="G1765" t="str">
        <f>T("1285 WEST D ST BUILDING U238")</f>
        <v>1285 WEST D ST BUILDING U238</v>
      </c>
      <c r="H1765" t="str">
        <f t="shared" si="725"/>
        <v/>
      </c>
      <c r="I1765" t="str">
        <f>T("NORFOLK")</f>
        <v>NORFOLK</v>
      </c>
      <c r="J1765" t="str">
        <f>T("VA")</f>
        <v>VA</v>
      </c>
      <c r="K1765" t="str">
        <f>T("000000000000000000")</f>
        <v>000000000000000000</v>
      </c>
      <c r="L1765" t="str">
        <f>T("7579536592")</f>
        <v>7579536592</v>
      </c>
    </row>
    <row r="1766" spans="1:12" x14ac:dyDescent="0.35">
      <c r="A1766" t="str">
        <f t="shared" si="723"/>
        <v>NMCPHC*</v>
      </c>
      <c r="B1766" t="str">
        <f>T("1285 WEST D ST")</f>
        <v>1285 WEST D ST</v>
      </c>
      <c r="C1766" t="str">
        <f t="shared" si="724"/>
        <v/>
      </c>
      <c r="D1766" t="str">
        <f>T("NORFOLK")</f>
        <v>NORFOLK</v>
      </c>
      <c r="E1766" t="str">
        <f>T("VA")</f>
        <v>VA</v>
      </c>
      <c r="F1766" t="str">
        <f>T("235112303")</f>
        <v>235112303</v>
      </c>
      <c r="G1766" t="str">
        <f>T("1285 WEST D STREET BLDG U238")</f>
        <v>1285 WEST D STREET BLDG U238</v>
      </c>
      <c r="H1766" t="str">
        <f t="shared" si="725"/>
        <v/>
      </c>
      <c r="I1766" t="str">
        <f>T("NORFOLK")</f>
        <v>NORFOLK</v>
      </c>
      <c r="J1766" t="str">
        <f>T("VA")</f>
        <v>VA</v>
      </c>
      <c r="K1766" t="str">
        <f>T("000000000000000000")</f>
        <v>000000000000000000</v>
      </c>
      <c r="L1766" t="str">
        <f>T("7579533394")</f>
        <v>7579533394</v>
      </c>
    </row>
    <row r="1767" spans="1:12" x14ac:dyDescent="0.35">
      <c r="A1767" t="str">
        <f t="shared" si="723"/>
        <v>NMCPHC*</v>
      </c>
      <c r="B1767" t="str">
        <f>T("1285 WEST D ST")</f>
        <v>1285 WEST D ST</v>
      </c>
      <c r="C1767" t="str">
        <f t="shared" si="724"/>
        <v/>
      </c>
      <c r="D1767" t="str">
        <f>T("NORFOLK")</f>
        <v>NORFOLK</v>
      </c>
      <c r="E1767" t="str">
        <f>T("VA")</f>
        <v>VA</v>
      </c>
      <c r="F1767" t="str">
        <f>T("235112303")</f>
        <v>235112303</v>
      </c>
      <c r="G1767" t="str">
        <f>T("1285 WEST D STREET BLDG U238")</f>
        <v>1285 WEST D STREET BLDG U238</v>
      </c>
      <c r="H1767" t="str">
        <f t="shared" si="725"/>
        <v/>
      </c>
      <c r="I1767" t="str">
        <f>T("NORFOLK")</f>
        <v>NORFOLK</v>
      </c>
      <c r="J1767" t="str">
        <f>T("VA")</f>
        <v>VA</v>
      </c>
      <c r="K1767" t="str">
        <f>T("000000000000000000")</f>
        <v>000000000000000000</v>
      </c>
      <c r="L1767" t="str">
        <f>T("7579538478")</f>
        <v>7579538478</v>
      </c>
    </row>
    <row r="1768" spans="1:12" x14ac:dyDescent="0.35">
      <c r="A1768" t="str">
        <f t="shared" si="723"/>
        <v>NMCPHC*</v>
      </c>
      <c r="B1768" t="str">
        <f>T("2500 RODGERS ST BLDG 5501")</f>
        <v>2500 RODGERS ST BLDG 5501</v>
      </c>
      <c r="C1768" t="str">
        <f t="shared" si="724"/>
        <v/>
      </c>
      <c r="D1768" t="str">
        <f>T("GREAT LAKES")</f>
        <v>GREAT LAKES</v>
      </c>
      <c r="E1768" t="str">
        <f>T("IL")</f>
        <v>IL</v>
      </c>
      <c r="F1768" t="str">
        <f>T("600882952")</f>
        <v>600882952</v>
      </c>
      <c r="G1768" t="str">
        <f>T("2500 RODGERS ST BLDG 5501")</f>
        <v>2500 RODGERS ST BLDG 5501</v>
      </c>
      <c r="H1768" t="str">
        <f t="shared" si="725"/>
        <v/>
      </c>
      <c r="I1768" t="str">
        <f>T("GREAT LAKES")</f>
        <v>GREAT LAKES</v>
      </c>
      <c r="J1768" t="str">
        <f>T("IL")</f>
        <v>IL</v>
      </c>
      <c r="K1768" t="str">
        <f>T("000000000000000000")</f>
        <v>000000000000000000</v>
      </c>
      <c r="L1768" t="str">
        <f>T("1111111111")</f>
        <v>1111111111</v>
      </c>
    </row>
    <row r="1769" spans="1:12" x14ac:dyDescent="0.35">
      <c r="A1769" t="str">
        <f t="shared" si="723"/>
        <v>NMCPHC*</v>
      </c>
      <c r="B1769" t="str">
        <f>T("2500 RODGERS ST BLDG 5501")</f>
        <v>2500 RODGERS ST BLDG 5501</v>
      </c>
      <c r="C1769" t="str">
        <f t="shared" si="724"/>
        <v/>
      </c>
      <c r="D1769" t="str">
        <f>T("GREAT LAKES")</f>
        <v>GREAT LAKES</v>
      </c>
      <c r="E1769" t="str">
        <f>T("IL")</f>
        <v>IL</v>
      </c>
      <c r="F1769" t="str">
        <f>T("600882952")</f>
        <v>600882952</v>
      </c>
      <c r="G1769" t="str">
        <f>T("2500 RODGERS STREET BLDG 5501")</f>
        <v>2500 RODGERS STREET BLDG 5501</v>
      </c>
      <c r="H1769" t="str">
        <f t="shared" si="725"/>
        <v/>
      </c>
      <c r="I1769" t="str">
        <f>T("GREAT LAKES")</f>
        <v>GREAT LAKES</v>
      </c>
      <c r="J1769" t="str">
        <f>T("IL")</f>
        <v>IL</v>
      </c>
      <c r="K1769" t="str">
        <f>T("84768820451")</f>
        <v>84768820451</v>
      </c>
      <c r="L1769" t="str">
        <f>T("8476882045")</f>
        <v>8476882045</v>
      </c>
    </row>
    <row r="1770" spans="1:12" x14ac:dyDescent="0.35">
      <c r="A1770" t="str">
        <f t="shared" si="723"/>
        <v>NMCPHC*</v>
      </c>
      <c r="B1770" t="str">
        <f>T("2500 RODGERS ST BLDG 5501")</f>
        <v>2500 RODGERS ST BLDG 5501</v>
      </c>
      <c r="C1770" t="str">
        <f t="shared" si="724"/>
        <v/>
      </c>
      <c r="D1770" t="str">
        <f>T("GREAT LAKES")</f>
        <v>GREAT LAKES</v>
      </c>
      <c r="E1770" t="str">
        <f>T("IL")</f>
        <v>IL</v>
      </c>
      <c r="F1770" t="str">
        <f>T("600882952")</f>
        <v>600882952</v>
      </c>
      <c r="G1770" t="str">
        <f>T("2500 RODGERS STREET BLDG 5501")</f>
        <v>2500 RODGERS STREET BLDG 5501</v>
      </c>
      <c r="H1770" t="str">
        <f t="shared" si="725"/>
        <v/>
      </c>
      <c r="I1770" t="str">
        <f>T("GREAT LAKES")</f>
        <v>GREAT LAKES</v>
      </c>
      <c r="J1770" t="str">
        <f>T("IL")</f>
        <v>IL</v>
      </c>
      <c r="K1770" t="str">
        <f>T("8476882045118")</f>
        <v>8476882045118</v>
      </c>
      <c r="L1770" t="str">
        <f>T("1111111111")</f>
        <v>1111111111</v>
      </c>
    </row>
    <row r="1771" spans="1:12" x14ac:dyDescent="0.35">
      <c r="A1771" t="str">
        <f t="shared" si="723"/>
        <v>NMCPHC*</v>
      </c>
      <c r="B1771" t="str">
        <f>T("2500 RODGERS ST BLDG 5501")</f>
        <v>2500 RODGERS ST BLDG 5501</v>
      </c>
      <c r="C1771" t="str">
        <f t="shared" si="724"/>
        <v/>
      </c>
      <c r="D1771" t="str">
        <f>T("GREAT LAKES")</f>
        <v>GREAT LAKES</v>
      </c>
      <c r="E1771" t="str">
        <f>T("IL")</f>
        <v>IL</v>
      </c>
      <c r="F1771" t="str">
        <f>T("600882952")</f>
        <v>600882952</v>
      </c>
      <c r="G1771" t="str">
        <f>T("2500 RODGERS STREET BLDG 5501")</f>
        <v>2500 RODGERS STREET BLDG 5501</v>
      </c>
      <c r="H1771" t="str">
        <f t="shared" si="725"/>
        <v/>
      </c>
      <c r="I1771" t="str">
        <f>T("GREAT LAKES")</f>
        <v>GREAT LAKES</v>
      </c>
      <c r="J1771" t="str">
        <f>T("IL")</f>
        <v>IL</v>
      </c>
      <c r="K1771" t="str">
        <f>T("8476882045142")</f>
        <v>8476882045142</v>
      </c>
      <c r="L1771" t="str">
        <f>T("8476885454")</f>
        <v>8476885454</v>
      </c>
    </row>
    <row r="1772" spans="1:12" x14ac:dyDescent="0.35">
      <c r="A1772" t="str">
        <f t="shared" si="723"/>
        <v>NMCPHC*</v>
      </c>
      <c r="B1772" t="str">
        <f>T("3235 ALBACORE ALLEY")</f>
        <v>3235 ALBACORE ALLEY</v>
      </c>
      <c r="C1772" t="str">
        <f t="shared" si="724"/>
        <v/>
      </c>
      <c r="D1772" t="str">
        <f t="shared" ref="D1772:D1777" si="726">T("SAN DIEGO")</f>
        <v>SAN DIEGO</v>
      </c>
      <c r="E1772" t="str">
        <f t="shared" ref="E1772:E1777" si="727">T("CA")</f>
        <v>CA</v>
      </c>
      <c r="F1772" t="str">
        <f>T("921365199")</f>
        <v>921365199</v>
      </c>
      <c r="G1772" t="str">
        <f>T("3235 ALBACORE ALLEY")</f>
        <v>3235 ALBACORE ALLEY</v>
      </c>
      <c r="H1772" t="str">
        <f t="shared" si="725"/>
        <v/>
      </c>
      <c r="I1772" t="str">
        <f t="shared" ref="I1772:I1777" si="728">T("SAN DIEGO")</f>
        <v>SAN DIEGO</v>
      </c>
      <c r="J1772" t="str">
        <f t="shared" ref="J1772:J1777" si="729">T("CA")</f>
        <v>CA</v>
      </c>
      <c r="K1772" t="str">
        <f t="shared" ref="K1772:K1796" si="730">T("000000000000000000")</f>
        <v>000000000000000000</v>
      </c>
      <c r="L1772" t="str">
        <f>T("6195561426")</f>
        <v>6195561426</v>
      </c>
    </row>
    <row r="1773" spans="1:12" x14ac:dyDescent="0.35">
      <c r="A1773" t="str">
        <f t="shared" si="723"/>
        <v>NMCPHC*</v>
      </c>
      <c r="B1773" t="str">
        <f>T("3235 ALBACORE ALLEY")</f>
        <v>3235 ALBACORE ALLEY</v>
      </c>
      <c r="C1773" t="str">
        <f t="shared" si="724"/>
        <v/>
      </c>
      <c r="D1773" t="str">
        <f t="shared" si="726"/>
        <v>SAN DIEGO</v>
      </c>
      <c r="E1773" t="str">
        <f t="shared" si="727"/>
        <v>CA</v>
      </c>
      <c r="F1773" t="str">
        <f>T("921365199")</f>
        <v>921365199</v>
      </c>
      <c r="G1773" t="str">
        <f>T("3235 ALBACORE ALLEY")</f>
        <v>3235 ALBACORE ALLEY</v>
      </c>
      <c r="H1773" t="str">
        <f t="shared" si="725"/>
        <v/>
      </c>
      <c r="I1773" t="str">
        <f t="shared" si="728"/>
        <v>SAN DIEGO</v>
      </c>
      <c r="J1773" t="str">
        <f t="shared" si="729"/>
        <v>CA</v>
      </c>
      <c r="K1773" t="str">
        <f t="shared" si="730"/>
        <v>000000000000000000</v>
      </c>
      <c r="L1773" t="str">
        <f>T("6195567070")</f>
        <v>6195567070</v>
      </c>
    </row>
    <row r="1774" spans="1:12" x14ac:dyDescent="0.35">
      <c r="A1774" t="str">
        <f t="shared" si="723"/>
        <v>NMCPHC*</v>
      </c>
      <c r="B1774" t="str">
        <f>T("3235 ALBACORE ALLEY")</f>
        <v>3235 ALBACORE ALLEY</v>
      </c>
      <c r="C1774" t="str">
        <f t="shared" si="724"/>
        <v/>
      </c>
      <c r="D1774" t="str">
        <f t="shared" si="726"/>
        <v>SAN DIEGO</v>
      </c>
      <c r="E1774" t="str">
        <f t="shared" si="727"/>
        <v>CA</v>
      </c>
      <c r="F1774" t="str">
        <f>T("921365199")</f>
        <v>921365199</v>
      </c>
      <c r="G1774" t="str">
        <f>T("3235 ALBACORE ALLEY")</f>
        <v>3235 ALBACORE ALLEY</v>
      </c>
      <c r="H1774" t="str">
        <f t="shared" si="725"/>
        <v/>
      </c>
      <c r="I1774" t="str">
        <f t="shared" si="728"/>
        <v>SAN DIEGO</v>
      </c>
      <c r="J1774" t="str">
        <f t="shared" si="729"/>
        <v>CA</v>
      </c>
      <c r="K1774" t="str">
        <f t="shared" si="730"/>
        <v>000000000000000000</v>
      </c>
      <c r="L1774" t="str">
        <f>T("6195567423")</f>
        <v>6195567423</v>
      </c>
    </row>
    <row r="1775" spans="1:12" x14ac:dyDescent="0.35">
      <c r="A1775" t="str">
        <f t="shared" si="723"/>
        <v>NMCPHC*</v>
      </c>
      <c r="B1775" t="str">
        <f>T("34425 FARENHOLT AVE")</f>
        <v>34425 FARENHOLT AVE</v>
      </c>
      <c r="C1775" t="str">
        <f t="shared" si="724"/>
        <v/>
      </c>
      <c r="D1775" t="str">
        <f t="shared" si="726"/>
        <v>SAN DIEGO</v>
      </c>
      <c r="E1775" t="str">
        <f t="shared" si="727"/>
        <v>CA</v>
      </c>
      <c r="F1775" t="str">
        <f>T("921347198")</f>
        <v>921347198</v>
      </c>
      <c r="G1775" t="str">
        <f>T("34425 FARENHOLT AVE")</f>
        <v>34425 FARENHOLT AVE</v>
      </c>
      <c r="H1775" t="str">
        <f t="shared" si="725"/>
        <v/>
      </c>
      <c r="I1775" t="str">
        <f t="shared" si="728"/>
        <v>SAN DIEGO</v>
      </c>
      <c r="J1775" t="str">
        <f t="shared" si="729"/>
        <v>CA</v>
      </c>
      <c r="K1775" t="str">
        <f t="shared" si="730"/>
        <v>000000000000000000</v>
      </c>
      <c r="L1775" t="str">
        <f>T("6195325723")</f>
        <v>6195325723</v>
      </c>
    </row>
    <row r="1776" spans="1:12" x14ac:dyDescent="0.35">
      <c r="A1776" t="str">
        <f t="shared" si="723"/>
        <v>NMCPHC*</v>
      </c>
      <c r="B1776" t="str">
        <f>T("34425 FARENHOLT AVE")</f>
        <v>34425 FARENHOLT AVE</v>
      </c>
      <c r="C1776" t="str">
        <f t="shared" si="724"/>
        <v/>
      </c>
      <c r="D1776" t="str">
        <f t="shared" si="726"/>
        <v>SAN DIEGO</v>
      </c>
      <c r="E1776" t="str">
        <f t="shared" si="727"/>
        <v>CA</v>
      </c>
      <c r="F1776" t="str">
        <f>T("921347198")</f>
        <v>921347198</v>
      </c>
      <c r="G1776" t="str">
        <f>T("34425 FARENHOLT AVENUE SUITE 40")</f>
        <v>34425 FARENHOLT AVENUE SUITE 40</v>
      </c>
      <c r="H1776" t="str">
        <f t="shared" si="725"/>
        <v/>
      </c>
      <c r="I1776" t="str">
        <f t="shared" si="728"/>
        <v>SAN DIEGO</v>
      </c>
      <c r="J1776" t="str">
        <f t="shared" si="729"/>
        <v>CA</v>
      </c>
      <c r="K1776" t="str">
        <f t="shared" si="730"/>
        <v>000000000000000000</v>
      </c>
      <c r="L1776" t="str">
        <f>T("6195326892")</f>
        <v>6195326892</v>
      </c>
    </row>
    <row r="1777" spans="1:12" x14ac:dyDescent="0.35">
      <c r="A1777" t="str">
        <f t="shared" si="723"/>
        <v>NMCPHC*</v>
      </c>
      <c r="B1777" t="str">
        <f>T("34425 FARENHOLT AVE")</f>
        <v>34425 FARENHOLT AVE</v>
      </c>
      <c r="C1777" t="str">
        <f t="shared" si="724"/>
        <v/>
      </c>
      <c r="D1777" t="str">
        <f t="shared" si="726"/>
        <v>SAN DIEGO</v>
      </c>
      <c r="E1777" t="str">
        <f t="shared" si="727"/>
        <v>CA</v>
      </c>
      <c r="F1777" t="str">
        <f>T("921347198")</f>
        <v>921347198</v>
      </c>
      <c r="G1777" t="str">
        <f>T("34425 FARENHOLT AVENUE SUITE 40")</f>
        <v>34425 FARENHOLT AVENUE SUITE 40</v>
      </c>
      <c r="H1777" t="str">
        <f t="shared" si="725"/>
        <v/>
      </c>
      <c r="I1777" t="str">
        <f t="shared" si="728"/>
        <v>SAN DIEGO</v>
      </c>
      <c r="J1777" t="str">
        <f t="shared" si="729"/>
        <v>CA</v>
      </c>
      <c r="K1777" t="str">
        <f t="shared" si="730"/>
        <v>000000000000000000</v>
      </c>
      <c r="L1777" t="str">
        <f>T("6195327868")</f>
        <v>6195327868</v>
      </c>
    </row>
    <row r="1778" spans="1:12" x14ac:dyDescent="0.35">
      <c r="A1778" t="str">
        <f t="shared" si="723"/>
        <v>NMCPHC*</v>
      </c>
      <c r="B1778" t="str">
        <f>T("385 SOUTH AVE BLDG 618")</f>
        <v>385 SOUTH AVE BLDG 618</v>
      </c>
      <c r="C1778" t="str">
        <f t="shared" si="724"/>
        <v/>
      </c>
      <c r="D1778" t="str">
        <f>T("PEARL HARBOR")</f>
        <v>PEARL HARBOR</v>
      </c>
      <c r="E1778" t="str">
        <f>T("HI")</f>
        <v>HI</v>
      </c>
      <c r="F1778" t="str">
        <f>T("968604983")</f>
        <v>968604983</v>
      </c>
      <c r="G1778" t="str">
        <f>T("385 SOUTH AVE BLDG 618")</f>
        <v>385 SOUTH AVE BLDG 618</v>
      </c>
      <c r="H1778" t="str">
        <f t="shared" si="725"/>
        <v/>
      </c>
      <c r="I1778" t="str">
        <f>T("PEARL HARBOR")</f>
        <v>PEARL HARBOR</v>
      </c>
      <c r="J1778" t="str">
        <f>T("HI")</f>
        <v>HI</v>
      </c>
      <c r="K1778" t="str">
        <f t="shared" si="730"/>
        <v>000000000000000000</v>
      </c>
      <c r="L1778" t="str">
        <f>T("8084710303")</f>
        <v>8084710303</v>
      </c>
    </row>
    <row r="1779" spans="1:12" x14ac:dyDescent="0.35">
      <c r="A1779" t="str">
        <f t="shared" si="723"/>
        <v>NMCPHC*</v>
      </c>
      <c r="B1779" t="str">
        <f>T("385 SOUTH AVE BLDG 618")</f>
        <v>385 SOUTH AVE BLDG 618</v>
      </c>
      <c r="C1779" t="str">
        <f t="shared" si="724"/>
        <v/>
      </c>
      <c r="D1779" t="str">
        <f>T("PEARL HARBOR")</f>
        <v>PEARL HARBOR</v>
      </c>
      <c r="E1779" t="str">
        <f>T("HI")</f>
        <v>HI</v>
      </c>
      <c r="F1779" t="str">
        <f>T("968604983")</f>
        <v>968604983</v>
      </c>
      <c r="G1779" t="str">
        <f>T("385 SOUTH AVE BLDG 618")</f>
        <v>385 SOUTH AVE BLDG 618</v>
      </c>
      <c r="H1779" t="str">
        <f t="shared" si="725"/>
        <v/>
      </c>
      <c r="I1779" t="str">
        <f>T("PEARL HARBOR")</f>
        <v>PEARL HARBOR</v>
      </c>
      <c r="J1779" t="str">
        <f>T("HI")</f>
        <v>HI</v>
      </c>
      <c r="K1779" t="str">
        <f t="shared" si="730"/>
        <v>000000000000000000</v>
      </c>
      <c r="L1779" t="str">
        <f>T("8084710305")</f>
        <v>8084710305</v>
      </c>
    </row>
    <row r="1780" spans="1:12" x14ac:dyDescent="0.35">
      <c r="A1780" t="str">
        <f t="shared" si="723"/>
        <v>NMCPHC*</v>
      </c>
      <c r="B1780" t="str">
        <f>T("385 SOUTH AVE BLDG 618")</f>
        <v>385 SOUTH AVE BLDG 618</v>
      </c>
      <c r="C1780" t="str">
        <f t="shared" si="724"/>
        <v/>
      </c>
      <c r="D1780" t="str">
        <f>T("PEARL HARBOR")</f>
        <v>PEARL HARBOR</v>
      </c>
      <c r="E1780" t="str">
        <f>T("HI")</f>
        <v>HI</v>
      </c>
      <c r="F1780" t="str">
        <f>T("968604983")</f>
        <v>968604983</v>
      </c>
      <c r="G1780" t="str">
        <f>T("385 SOUTH AVE BLDG 618")</f>
        <v>385 SOUTH AVE BLDG 618</v>
      </c>
      <c r="H1780" t="str">
        <f t="shared" si="725"/>
        <v/>
      </c>
      <c r="I1780" t="str">
        <f>T("PEARL HARBOR")</f>
        <v>PEARL HARBOR</v>
      </c>
      <c r="J1780" t="str">
        <f>T("HI")</f>
        <v>HI</v>
      </c>
      <c r="K1780" t="str">
        <f t="shared" si="730"/>
        <v>000000000000000000</v>
      </c>
      <c r="L1780" t="str">
        <f>T("8084712301")</f>
        <v>8084712301</v>
      </c>
    </row>
    <row r="1781" spans="1:12" x14ac:dyDescent="0.35">
      <c r="A1781" t="str">
        <f t="shared" si="723"/>
        <v>NMCPHC*</v>
      </c>
      <c r="B1781" t="str">
        <f t="shared" ref="B1781:B1788" si="731">T("620 JOHN PAUL JONES CR")</f>
        <v>620 JOHN PAUL JONES CR</v>
      </c>
      <c r="C1781" t="str">
        <f t="shared" ref="C1781:C1788" si="732">T("SUITE 1100")</f>
        <v>SUITE 1100</v>
      </c>
      <c r="D1781" t="str">
        <f t="shared" ref="D1781:D1788" si="733">T("PORTSMOUTH")</f>
        <v>PORTSMOUTH</v>
      </c>
      <c r="E1781" t="str">
        <f t="shared" ref="E1781:E1788" si="734">T("VA")</f>
        <v>VA</v>
      </c>
      <c r="F1781" t="str">
        <f t="shared" ref="F1781:F1788" si="735">T("237082111")</f>
        <v>237082111</v>
      </c>
      <c r="G1781" t="str">
        <f t="shared" ref="G1781:G1787" si="736">T("620 JOHN PAUL JONES CIRCLE")</f>
        <v>620 JOHN PAUL JONES CIRCLE</v>
      </c>
      <c r="H1781" t="str">
        <f t="shared" ref="H1781:H1788" si="737">T("SUITE 1100")</f>
        <v>SUITE 1100</v>
      </c>
      <c r="I1781" t="str">
        <f t="shared" ref="I1781:I1788" si="738">T("PORTSMOUTH")</f>
        <v>PORTSMOUTH</v>
      </c>
      <c r="J1781" t="str">
        <f t="shared" ref="J1781:J1788" si="739">T("VA")</f>
        <v>VA</v>
      </c>
      <c r="K1781" t="str">
        <f t="shared" si="730"/>
        <v>000000000000000000</v>
      </c>
      <c r="L1781" t="str">
        <f>T("7579530051")</f>
        <v>7579530051</v>
      </c>
    </row>
    <row r="1782" spans="1:12" x14ac:dyDescent="0.35">
      <c r="A1782" t="str">
        <f t="shared" si="723"/>
        <v>NMCPHC*</v>
      </c>
      <c r="B1782" t="str">
        <f t="shared" si="731"/>
        <v>620 JOHN PAUL JONES CR</v>
      </c>
      <c r="C1782" t="str">
        <f t="shared" si="732"/>
        <v>SUITE 1100</v>
      </c>
      <c r="D1782" t="str">
        <f t="shared" si="733"/>
        <v>PORTSMOUTH</v>
      </c>
      <c r="E1782" t="str">
        <f t="shared" si="734"/>
        <v>VA</v>
      </c>
      <c r="F1782" t="str">
        <f t="shared" si="735"/>
        <v>237082111</v>
      </c>
      <c r="G1782" t="str">
        <f t="shared" si="736"/>
        <v>620 JOHN PAUL JONES CIRCLE</v>
      </c>
      <c r="H1782" t="str">
        <f t="shared" si="737"/>
        <v>SUITE 1100</v>
      </c>
      <c r="I1782" t="str">
        <f t="shared" si="738"/>
        <v>PORTSMOUTH</v>
      </c>
      <c r="J1782" t="str">
        <f t="shared" si="739"/>
        <v>VA</v>
      </c>
      <c r="K1782" t="str">
        <f t="shared" si="730"/>
        <v>000000000000000000</v>
      </c>
      <c r="L1782" t="str">
        <f>T("7579530760")</f>
        <v>7579530760</v>
      </c>
    </row>
    <row r="1783" spans="1:12" x14ac:dyDescent="0.35">
      <c r="A1783" t="str">
        <f t="shared" si="723"/>
        <v>NMCPHC*</v>
      </c>
      <c r="B1783" t="str">
        <f t="shared" si="731"/>
        <v>620 JOHN PAUL JONES CR</v>
      </c>
      <c r="C1783" t="str">
        <f t="shared" si="732"/>
        <v>SUITE 1100</v>
      </c>
      <c r="D1783" t="str">
        <f t="shared" si="733"/>
        <v>PORTSMOUTH</v>
      </c>
      <c r="E1783" t="str">
        <f t="shared" si="734"/>
        <v>VA</v>
      </c>
      <c r="F1783" t="str">
        <f t="shared" si="735"/>
        <v>237082111</v>
      </c>
      <c r="G1783" t="str">
        <f t="shared" si="736"/>
        <v>620 JOHN PAUL JONES CIRCLE</v>
      </c>
      <c r="H1783" t="str">
        <f t="shared" si="737"/>
        <v>SUITE 1100</v>
      </c>
      <c r="I1783" t="str">
        <f t="shared" si="738"/>
        <v>PORTSMOUTH</v>
      </c>
      <c r="J1783" t="str">
        <f t="shared" si="739"/>
        <v>VA</v>
      </c>
      <c r="K1783" t="str">
        <f t="shared" si="730"/>
        <v>000000000000000000</v>
      </c>
      <c r="L1783" t="str">
        <f>T("7579530924")</f>
        <v>7579530924</v>
      </c>
    </row>
    <row r="1784" spans="1:12" x14ac:dyDescent="0.35">
      <c r="A1784" t="str">
        <f t="shared" si="723"/>
        <v>NMCPHC*</v>
      </c>
      <c r="B1784" t="str">
        <f t="shared" si="731"/>
        <v>620 JOHN PAUL JONES CR</v>
      </c>
      <c r="C1784" t="str">
        <f t="shared" si="732"/>
        <v>SUITE 1100</v>
      </c>
      <c r="D1784" t="str">
        <f t="shared" si="733"/>
        <v>PORTSMOUTH</v>
      </c>
      <c r="E1784" t="str">
        <f t="shared" si="734"/>
        <v>VA</v>
      </c>
      <c r="F1784" t="str">
        <f t="shared" si="735"/>
        <v>237082111</v>
      </c>
      <c r="G1784" t="str">
        <f t="shared" si="736"/>
        <v>620 JOHN PAUL JONES CIRCLE</v>
      </c>
      <c r="H1784" t="str">
        <f t="shared" si="737"/>
        <v>SUITE 1100</v>
      </c>
      <c r="I1784" t="str">
        <f t="shared" si="738"/>
        <v>PORTSMOUTH</v>
      </c>
      <c r="J1784" t="str">
        <f t="shared" si="739"/>
        <v>VA</v>
      </c>
      <c r="K1784" t="str">
        <f t="shared" si="730"/>
        <v>000000000000000000</v>
      </c>
      <c r="L1784" t="str">
        <f>T("7579530925")</f>
        <v>7579530925</v>
      </c>
    </row>
    <row r="1785" spans="1:12" x14ac:dyDescent="0.35">
      <c r="A1785" t="str">
        <f t="shared" si="723"/>
        <v>NMCPHC*</v>
      </c>
      <c r="B1785" t="str">
        <f t="shared" si="731"/>
        <v>620 JOHN PAUL JONES CR</v>
      </c>
      <c r="C1785" t="str">
        <f t="shared" si="732"/>
        <v>SUITE 1100</v>
      </c>
      <c r="D1785" t="str">
        <f t="shared" si="733"/>
        <v>PORTSMOUTH</v>
      </c>
      <c r="E1785" t="str">
        <f t="shared" si="734"/>
        <v>VA</v>
      </c>
      <c r="F1785" t="str">
        <f t="shared" si="735"/>
        <v>237082111</v>
      </c>
      <c r="G1785" t="str">
        <f t="shared" si="736"/>
        <v>620 JOHN PAUL JONES CIRCLE</v>
      </c>
      <c r="H1785" t="str">
        <f t="shared" si="737"/>
        <v>SUITE 1100</v>
      </c>
      <c r="I1785" t="str">
        <f t="shared" si="738"/>
        <v>PORTSMOUTH</v>
      </c>
      <c r="J1785" t="str">
        <f t="shared" si="739"/>
        <v>VA</v>
      </c>
      <c r="K1785" t="str">
        <f t="shared" si="730"/>
        <v>000000000000000000</v>
      </c>
      <c r="L1785" t="str">
        <f>T("7579530926")</f>
        <v>7579530926</v>
      </c>
    </row>
    <row r="1786" spans="1:12" x14ac:dyDescent="0.35">
      <c r="A1786" t="str">
        <f t="shared" si="723"/>
        <v>NMCPHC*</v>
      </c>
      <c r="B1786" t="str">
        <f t="shared" si="731"/>
        <v>620 JOHN PAUL JONES CR</v>
      </c>
      <c r="C1786" t="str">
        <f t="shared" si="732"/>
        <v>SUITE 1100</v>
      </c>
      <c r="D1786" t="str">
        <f t="shared" si="733"/>
        <v>PORTSMOUTH</v>
      </c>
      <c r="E1786" t="str">
        <f t="shared" si="734"/>
        <v>VA</v>
      </c>
      <c r="F1786" t="str">
        <f t="shared" si="735"/>
        <v>237082111</v>
      </c>
      <c r="G1786" t="str">
        <f t="shared" si="736"/>
        <v>620 JOHN PAUL JONES CIRCLE</v>
      </c>
      <c r="H1786" t="str">
        <f t="shared" si="737"/>
        <v>SUITE 1100</v>
      </c>
      <c r="I1786" t="str">
        <f t="shared" si="738"/>
        <v>PORTSMOUTH</v>
      </c>
      <c r="J1786" t="str">
        <f t="shared" si="739"/>
        <v>VA</v>
      </c>
      <c r="K1786" t="str">
        <f t="shared" si="730"/>
        <v>000000000000000000</v>
      </c>
      <c r="L1786" t="str">
        <f>T("7579530965")</f>
        <v>7579530965</v>
      </c>
    </row>
    <row r="1787" spans="1:12" x14ac:dyDescent="0.35">
      <c r="A1787" t="str">
        <f t="shared" si="723"/>
        <v>NMCPHC*</v>
      </c>
      <c r="B1787" t="str">
        <f t="shared" si="731"/>
        <v>620 JOHN PAUL JONES CR</v>
      </c>
      <c r="C1787" t="str">
        <f t="shared" si="732"/>
        <v>SUITE 1100</v>
      </c>
      <c r="D1787" t="str">
        <f t="shared" si="733"/>
        <v>PORTSMOUTH</v>
      </c>
      <c r="E1787" t="str">
        <f t="shared" si="734"/>
        <v>VA</v>
      </c>
      <c r="F1787" t="str">
        <f t="shared" si="735"/>
        <v>237082111</v>
      </c>
      <c r="G1787" t="str">
        <f t="shared" si="736"/>
        <v>620 JOHN PAUL JONES CIRCLE</v>
      </c>
      <c r="H1787" t="str">
        <f t="shared" si="737"/>
        <v>SUITE 1100</v>
      </c>
      <c r="I1787" t="str">
        <f t="shared" si="738"/>
        <v>PORTSMOUTH</v>
      </c>
      <c r="J1787" t="str">
        <f t="shared" si="739"/>
        <v>VA</v>
      </c>
      <c r="K1787" t="str">
        <f t="shared" si="730"/>
        <v>000000000000000000</v>
      </c>
      <c r="L1787" t="str">
        <f>T("7579531963")</f>
        <v>7579531963</v>
      </c>
    </row>
    <row r="1788" spans="1:12" x14ac:dyDescent="0.35">
      <c r="A1788" t="str">
        <f t="shared" si="723"/>
        <v>NMCPHC*</v>
      </c>
      <c r="B1788" t="str">
        <f t="shared" si="731"/>
        <v>620 JOHN PAUL JONES CR</v>
      </c>
      <c r="C1788" t="str">
        <f t="shared" si="732"/>
        <v>SUITE 1100</v>
      </c>
      <c r="D1788" t="str">
        <f t="shared" si="733"/>
        <v>PORTSMOUTH</v>
      </c>
      <c r="E1788" t="str">
        <f t="shared" si="734"/>
        <v>VA</v>
      </c>
      <c r="F1788" t="str">
        <f t="shared" si="735"/>
        <v>237082111</v>
      </c>
      <c r="G1788" t="str">
        <f>T("620 JOHN PAUL JONES CR")</f>
        <v>620 JOHN PAUL JONES CR</v>
      </c>
      <c r="H1788" t="str">
        <f t="shared" si="737"/>
        <v>SUITE 1100</v>
      </c>
      <c r="I1788" t="str">
        <f t="shared" si="738"/>
        <v>PORTSMOUTH</v>
      </c>
      <c r="J1788" t="str">
        <f t="shared" si="739"/>
        <v>VA</v>
      </c>
      <c r="K1788" t="str">
        <f t="shared" si="730"/>
        <v>000000000000000000</v>
      </c>
      <c r="L1788" t="str">
        <f>T("7579530915")</f>
        <v>7579530915</v>
      </c>
    </row>
    <row r="1789" spans="1:12" x14ac:dyDescent="0.35">
      <c r="A1789" t="str">
        <f t="shared" si="723"/>
        <v>NMCPHC*</v>
      </c>
      <c r="B1789" t="str">
        <f>T("8901 ROCKVILLE PIKE")</f>
        <v>8901 ROCKVILLE PIKE</v>
      </c>
      <c r="C1789" t="str">
        <f>T("3RD FL ST 3G RM 3371")</f>
        <v>3RD FL ST 3G RM 3371</v>
      </c>
      <c r="D1789" t="str">
        <f>T("BETHESDA")</f>
        <v>BETHESDA</v>
      </c>
      <c r="E1789" t="str">
        <f>T("MD")</f>
        <v>MD</v>
      </c>
      <c r="F1789" t="str">
        <f>T("208890001")</f>
        <v>208890001</v>
      </c>
      <c r="G1789" t="str">
        <f>T("4650 TAYLOR ROAD BLDG 17B STE 3G")</f>
        <v>4650 TAYLOR ROAD BLDG 17B STE 3G</v>
      </c>
      <c r="H1789" t="str">
        <f>T("")</f>
        <v/>
      </c>
      <c r="I1789" t="str">
        <f>T("BETHESDA")</f>
        <v>BETHESDA</v>
      </c>
      <c r="J1789" t="str">
        <f>T("MD")</f>
        <v>MD</v>
      </c>
      <c r="K1789" t="str">
        <f t="shared" si="730"/>
        <v>000000000000000000</v>
      </c>
      <c r="L1789" t="str">
        <f>T("3012951644")</f>
        <v>3012951644</v>
      </c>
    </row>
    <row r="1790" spans="1:12" x14ac:dyDescent="0.35">
      <c r="A1790" t="str">
        <f t="shared" si="723"/>
        <v>NMCPHC*</v>
      </c>
      <c r="B1790" t="str">
        <f>T("8901 ROCKVILLE PIKE")</f>
        <v>8901 ROCKVILLE PIKE</v>
      </c>
      <c r="C1790" t="str">
        <f>T("3RD FL ST 3G RM 3371")</f>
        <v>3RD FL ST 3G RM 3371</v>
      </c>
      <c r="D1790" t="str">
        <f>T("BETHESDA")</f>
        <v>BETHESDA</v>
      </c>
      <c r="E1790" t="str">
        <f>T("MD")</f>
        <v>MD</v>
      </c>
      <c r="F1790" t="str">
        <f>T("208890001")</f>
        <v>208890001</v>
      </c>
      <c r="G1790" t="str">
        <f>T("4650 TAYLOR ROAD BLDG 17B STE 3G")</f>
        <v>4650 TAYLOR ROAD BLDG 17B STE 3G</v>
      </c>
      <c r="H1790" t="str">
        <f>T("")</f>
        <v/>
      </c>
      <c r="I1790" t="str">
        <f>T("BETHESDA")</f>
        <v>BETHESDA</v>
      </c>
      <c r="J1790" t="str">
        <f>T("MD")</f>
        <v>MD</v>
      </c>
      <c r="K1790" t="str">
        <f t="shared" si="730"/>
        <v>000000000000000000</v>
      </c>
      <c r="L1790" t="str">
        <f>T("3012955023")</f>
        <v>3012955023</v>
      </c>
    </row>
    <row r="1791" spans="1:12" x14ac:dyDescent="0.35">
      <c r="A1791" t="str">
        <f t="shared" si="723"/>
        <v>NMCPHC*</v>
      </c>
      <c r="B1791" t="str">
        <f>T("8901 ROCKVILLE PIKE")</f>
        <v>8901 ROCKVILLE PIKE</v>
      </c>
      <c r="C1791" t="str">
        <f>T("3RD FL ST 3G RM 3371")</f>
        <v>3RD FL ST 3G RM 3371</v>
      </c>
      <c r="D1791" t="str">
        <f>T("BETHESDA")</f>
        <v>BETHESDA</v>
      </c>
      <c r="E1791" t="str">
        <f>T("MD")</f>
        <v>MD</v>
      </c>
      <c r="F1791" t="str">
        <f>T("208890001")</f>
        <v>208890001</v>
      </c>
      <c r="G1791" t="str">
        <f>T("8901 ROCKVILLE PIKE")</f>
        <v>8901 ROCKVILLE PIKE</v>
      </c>
      <c r="H1791" t="str">
        <f>T("3RD FL ST 3G RM 3371")</f>
        <v>3RD FL ST 3G RM 3371</v>
      </c>
      <c r="I1791" t="str">
        <f>T("BETHESDA")</f>
        <v>BETHESDA</v>
      </c>
      <c r="J1791" t="str">
        <f>T("MD")</f>
        <v>MD</v>
      </c>
      <c r="K1791" t="str">
        <f t="shared" si="730"/>
        <v>000000000000000000</v>
      </c>
      <c r="L1791" t="str">
        <f>T("3301295659")</f>
        <v>3301295659</v>
      </c>
    </row>
    <row r="1792" spans="1:12" x14ac:dyDescent="0.35">
      <c r="A1792" t="str">
        <f t="shared" si="723"/>
        <v>NMCPHC*</v>
      </c>
      <c r="B1792" t="str">
        <f>T("8950 BROWN DRIVE")</f>
        <v>8950 BROWN DRIVE</v>
      </c>
      <c r="C1792" t="str">
        <f>T("BLDG 4")</f>
        <v>BLDG 4</v>
      </c>
      <c r="D1792" t="str">
        <f>T("BETHESDA")</f>
        <v>BETHESDA</v>
      </c>
      <c r="E1792" t="str">
        <f>T("MD")</f>
        <v>MD</v>
      </c>
      <c r="F1792" t="str">
        <f>T("208895629")</f>
        <v>208895629</v>
      </c>
      <c r="G1792" t="str">
        <f>T("8950 BROWN DRIVE")</f>
        <v>8950 BROWN DRIVE</v>
      </c>
      <c r="H1792" t="str">
        <f>T("BLDG 4")</f>
        <v>BLDG 4</v>
      </c>
      <c r="I1792" t="str">
        <f>T("BETHESDA")</f>
        <v>BETHESDA</v>
      </c>
      <c r="J1792" t="str">
        <f>T("MD")</f>
        <v>MD</v>
      </c>
      <c r="K1792" t="str">
        <f t="shared" si="730"/>
        <v>000000000000000000</v>
      </c>
      <c r="L1792" t="str">
        <f>T("3012955424")</f>
        <v>3012955424</v>
      </c>
    </row>
    <row r="1793" spans="1:12" x14ac:dyDescent="0.35">
      <c r="A1793" t="str">
        <f t="shared" si="723"/>
        <v>NMCPHC*</v>
      </c>
      <c r="B1793" t="str">
        <f>T("8950 BROWN DRIVE")</f>
        <v>8950 BROWN DRIVE</v>
      </c>
      <c r="C1793" t="str">
        <f>T("BLDG 4")</f>
        <v>BLDG 4</v>
      </c>
      <c r="D1793" t="str">
        <f>T("BETHESDA")</f>
        <v>BETHESDA</v>
      </c>
      <c r="E1793" t="str">
        <f>T("MD")</f>
        <v>MD</v>
      </c>
      <c r="F1793" t="str">
        <f>T("208895629")</f>
        <v>208895629</v>
      </c>
      <c r="G1793" t="str">
        <f>T("8950 BROWN DRIVE")</f>
        <v>8950 BROWN DRIVE</v>
      </c>
      <c r="H1793" t="str">
        <f>T("BUILDING 4")</f>
        <v>BUILDING 4</v>
      </c>
      <c r="I1793" t="str">
        <f>T("BETHESDA")</f>
        <v>BETHESDA</v>
      </c>
      <c r="J1793" t="str">
        <f>T("MD")</f>
        <v>MD</v>
      </c>
      <c r="K1793" t="str">
        <f t="shared" si="730"/>
        <v>000000000000000000</v>
      </c>
      <c r="L1793" t="str">
        <f>T("3012955414")</f>
        <v>3012955414</v>
      </c>
    </row>
    <row r="1794" spans="1:12" x14ac:dyDescent="0.35">
      <c r="A1794" t="str">
        <f t="shared" si="723"/>
        <v>NMCPHC*</v>
      </c>
      <c r="B1794" t="str">
        <f>T("BOX 43 BLDG 937 NAS")</f>
        <v>BOX 43 BLDG 937 NAS</v>
      </c>
      <c r="C1794" t="str">
        <f t="shared" ref="C1794:C1803" si="740">T("")</f>
        <v/>
      </c>
      <c r="D1794" t="str">
        <f t="shared" ref="D1794:D1800" si="741">T("JACKSONVILLE")</f>
        <v>JACKSONVILLE</v>
      </c>
      <c r="E1794" t="str">
        <f t="shared" ref="E1794:E1800" si="742">T("FL")</f>
        <v>FL</v>
      </c>
      <c r="F1794" t="str">
        <f>T("322120043")</f>
        <v>322120043</v>
      </c>
      <c r="G1794" t="str">
        <f>T("BLDG 937 BOX 43 NAS")</f>
        <v>BLDG 937 BOX 43 NAS</v>
      </c>
      <c r="H1794" t="str">
        <f>T("")</f>
        <v/>
      </c>
      <c r="I1794" t="str">
        <f t="shared" ref="I1794:I1800" si="743">T("JACKSONVILLE")</f>
        <v>JACKSONVILLE</v>
      </c>
      <c r="J1794" t="str">
        <f t="shared" ref="J1794:J1800" si="744">T("FL")</f>
        <v>FL</v>
      </c>
      <c r="K1794" t="str">
        <f t="shared" si="730"/>
        <v>000000000000000000</v>
      </c>
      <c r="L1794" t="str">
        <f>T("9045424632")</f>
        <v>9045424632</v>
      </c>
    </row>
    <row r="1795" spans="1:12" x14ac:dyDescent="0.35">
      <c r="A1795" t="str">
        <f t="shared" si="723"/>
        <v>NMCPHC*</v>
      </c>
      <c r="B1795" t="str">
        <f>T("BOX 43 BLDG 937 NAS")</f>
        <v>BOX 43 BLDG 937 NAS</v>
      </c>
      <c r="C1795" t="str">
        <f t="shared" si="740"/>
        <v/>
      </c>
      <c r="D1795" t="str">
        <f t="shared" si="741"/>
        <v>JACKSONVILLE</v>
      </c>
      <c r="E1795" t="str">
        <f t="shared" si="742"/>
        <v>FL</v>
      </c>
      <c r="F1795" t="str">
        <f>T("322120043")</f>
        <v>322120043</v>
      </c>
      <c r="G1795" t="str">
        <f>T("BOX 43 BLDG 937 NAS")</f>
        <v>BOX 43 BLDG 937 NAS</v>
      </c>
      <c r="H1795" t="str">
        <f>T("")</f>
        <v/>
      </c>
      <c r="I1795" t="str">
        <f t="shared" si="743"/>
        <v>JACKSONVILLE</v>
      </c>
      <c r="J1795" t="str">
        <f t="shared" si="744"/>
        <v>FL</v>
      </c>
      <c r="K1795" t="str">
        <f t="shared" si="730"/>
        <v>000000000000000000</v>
      </c>
      <c r="L1795" t="str">
        <f>T("9045424630")</f>
        <v>9045424630</v>
      </c>
    </row>
    <row r="1796" spans="1:12" x14ac:dyDescent="0.35">
      <c r="A1796" t="str">
        <f t="shared" si="723"/>
        <v>NMCPHC*</v>
      </c>
      <c r="B1796" t="str">
        <f>T("BOX 43 BLDG 937 NAS")</f>
        <v>BOX 43 BLDG 937 NAS</v>
      </c>
      <c r="C1796" t="str">
        <f t="shared" si="740"/>
        <v/>
      </c>
      <c r="D1796" t="str">
        <f t="shared" si="741"/>
        <v>JACKSONVILLE</v>
      </c>
      <c r="E1796" t="str">
        <f t="shared" si="742"/>
        <v>FL</v>
      </c>
      <c r="F1796" t="str">
        <f>T("322120043")</f>
        <v>322120043</v>
      </c>
      <c r="G1796" t="str">
        <f>T("NAVAL AIR STATION")</f>
        <v>NAVAL AIR STATION</v>
      </c>
      <c r="H1796" t="str">
        <f>T("BLDG 937 BOX 43")</f>
        <v>BLDG 937 BOX 43</v>
      </c>
      <c r="I1796" t="str">
        <f t="shared" si="743"/>
        <v>JACKSONVILLE</v>
      </c>
      <c r="J1796" t="str">
        <f t="shared" si="744"/>
        <v>FL</v>
      </c>
      <c r="K1796" t="str">
        <f t="shared" si="730"/>
        <v>000000000000000000</v>
      </c>
      <c r="L1796" t="str">
        <f>T("9045424630")</f>
        <v>9045424630</v>
      </c>
    </row>
    <row r="1797" spans="1:12" x14ac:dyDescent="0.35">
      <c r="A1797" t="str">
        <f t="shared" si="723"/>
        <v>NMCPHC*</v>
      </c>
      <c r="B1797" t="str">
        <f>T("PO BOX 113 BLDG H2033")</f>
        <v>PO BOX 113 BLDG H2033</v>
      </c>
      <c r="C1797" t="str">
        <f t="shared" si="740"/>
        <v/>
      </c>
      <c r="D1797" t="str">
        <f t="shared" si="741"/>
        <v>JACKSONVILLE</v>
      </c>
      <c r="E1797" t="str">
        <f t="shared" si="742"/>
        <v>FL</v>
      </c>
      <c r="F1797" t="str">
        <f>T("322120113")</f>
        <v>322120113</v>
      </c>
      <c r="G1797" t="str">
        <f>T("BLDG H2033 P O BOX 113")</f>
        <v>BLDG H2033 P O BOX 113</v>
      </c>
      <c r="H1797" t="str">
        <f t="shared" ref="H1797:H1803" si="745">T("")</f>
        <v/>
      </c>
      <c r="I1797" t="str">
        <f t="shared" si="743"/>
        <v>JACKSONVILLE</v>
      </c>
      <c r="J1797" t="str">
        <f t="shared" si="744"/>
        <v>FL</v>
      </c>
      <c r="K1797" t="str">
        <f>T("9045427755125")</f>
        <v>9045427755125</v>
      </c>
      <c r="L1797" t="str">
        <f>T("9045427755")</f>
        <v>9045427755</v>
      </c>
    </row>
    <row r="1798" spans="1:12" x14ac:dyDescent="0.35">
      <c r="A1798" t="str">
        <f t="shared" si="723"/>
        <v>NMCPHC*</v>
      </c>
      <c r="B1798" t="str">
        <f>T("PO BOX 113 BLDG H2033")</f>
        <v>PO BOX 113 BLDG H2033</v>
      </c>
      <c r="C1798" t="str">
        <f t="shared" si="740"/>
        <v/>
      </c>
      <c r="D1798" t="str">
        <f t="shared" si="741"/>
        <v>JACKSONVILLE</v>
      </c>
      <c r="E1798" t="str">
        <f t="shared" si="742"/>
        <v>FL</v>
      </c>
      <c r="F1798" t="str">
        <f>T("322120113")</f>
        <v>322120113</v>
      </c>
      <c r="G1798" t="str">
        <f>T("BUILDING H2033 P O BOX 113")</f>
        <v>BUILDING H2033 P O BOX 113</v>
      </c>
      <c r="H1798" t="str">
        <f t="shared" si="745"/>
        <v/>
      </c>
      <c r="I1798" t="str">
        <f t="shared" si="743"/>
        <v>JACKSONVILLE</v>
      </c>
      <c r="J1798" t="str">
        <f t="shared" si="744"/>
        <v>FL</v>
      </c>
      <c r="K1798" t="str">
        <f>T("000000000000000000")</f>
        <v>000000000000000000</v>
      </c>
      <c r="L1798" t="str">
        <f>T("9045427755")</f>
        <v>9045427755</v>
      </c>
    </row>
    <row r="1799" spans="1:12" x14ac:dyDescent="0.35">
      <c r="A1799" t="str">
        <f t="shared" si="723"/>
        <v>NMCPHC*</v>
      </c>
      <c r="B1799" t="str">
        <f>T("PO BOX 113 BLDG H2033")</f>
        <v>PO BOX 113 BLDG H2033</v>
      </c>
      <c r="C1799" t="str">
        <f t="shared" si="740"/>
        <v/>
      </c>
      <c r="D1799" t="str">
        <f t="shared" si="741"/>
        <v>JACKSONVILLE</v>
      </c>
      <c r="E1799" t="str">
        <f t="shared" si="742"/>
        <v>FL</v>
      </c>
      <c r="F1799" t="str">
        <f>T("322120113")</f>
        <v>322120113</v>
      </c>
      <c r="G1799" t="str">
        <f>T("BUILDING H2033 PO BOX 113")</f>
        <v>BUILDING H2033 PO BOX 113</v>
      </c>
      <c r="H1799" t="str">
        <f t="shared" si="745"/>
        <v/>
      </c>
      <c r="I1799" t="str">
        <f t="shared" si="743"/>
        <v>JACKSONVILLE</v>
      </c>
      <c r="J1799" t="str">
        <f t="shared" si="744"/>
        <v>FL</v>
      </c>
      <c r="K1799" t="str">
        <f>T("904542775511")</f>
        <v>904542775511</v>
      </c>
      <c r="L1799" t="str">
        <f>T("1111111111")</f>
        <v>1111111111</v>
      </c>
    </row>
    <row r="1800" spans="1:12" x14ac:dyDescent="0.35">
      <c r="A1800" t="str">
        <f t="shared" si="723"/>
        <v>NMCPHC*</v>
      </c>
      <c r="B1800" t="str">
        <f>T("PO BOX 113 BLDG H2033")</f>
        <v>PO BOX 113 BLDG H2033</v>
      </c>
      <c r="C1800" t="str">
        <f t="shared" si="740"/>
        <v/>
      </c>
      <c r="D1800" t="str">
        <f t="shared" si="741"/>
        <v>JACKSONVILLE</v>
      </c>
      <c r="E1800" t="str">
        <f t="shared" si="742"/>
        <v>FL</v>
      </c>
      <c r="F1800" t="str">
        <f>T("322120113")</f>
        <v>322120113</v>
      </c>
      <c r="G1800" t="str">
        <f>T("PO BOX 113 BLDG H2033")</f>
        <v>PO BOX 113 BLDG H2033</v>
      </c>
      <c r="H1800" t="str">
        <f t="shared" si="745"/>
        <v/>
      </c>
      <c r="I1800" t="str">
        <f t="shared" si="743"/>
        <v>JACKSONVILLE</v>
      </c>
      <c r="J1800" t="str">
        <f t="shared" si="744"/>
        <v>FL</v>
      </c>
      <c r="K1800" t="str">
        <f>T("000000000000000000")</f>
        <v>000000000000000000</v>
      </c>
      <c r="L1800" t="str">
        <f>T("9045427755")</f>
        <v>9045427755</v>
      </c>
    </row>
    <row r="1801" spans="1:12" x14ac:dyDescent="0.35">
      <c r="A1801" t="str">
        <f t="shared" si="723"/>
        <v>NMCPHC*</v>
      </c>
      <c r="B1801" t="str">
        <f>T("PSC 819 BOX 67")</f>
        <v>PSC 819 BOX 67</v>
      </c>
      <c r="C1801" t="str">
        <f t="shared" si="740"/>
        <v/>
      </c>
      <c r="D1801" t="str">
        <f>T("FPO")</f>
        <v>FPO</v>
      </c>
      <c r="E1801" t="str">
        <f>T("AE")</f>
        <v>AE</v>
      </c>
      <c r="F1801" t="str">
        <f>T("096450001")</f>
        <v>096450001</v>
      </c>
      <c r="G1801" t="str">
        <f>T("PSC 819 BOX 67")</f>
        <v>PSC 819 BOX 67</v>
      </c>
      <c r="H1801" t="str">
        <f t="shared" si="745"/>
        <v/>
      </c>
      <c r="I1801" t="str">
        <f>T("FPO")</f>
        <v>FPO</v>
      </c>
      <c r="J1801" t="str">
        <f>T("AE")</f>
        <v>AE</v>
      </c>
      <c r="K1801" t="str">
        <f>T("000000000000000000")</f>
        <v>000000000000000000</v>
      </c>
      <c r="L1801" t="str">
        <f>T("0113495682")</f>
        <v>0113495682</v>
      </c>
    </row>
    <row r="1802" spans="1:12" x14ac:dyDescent="0.35">
      <c r="A1802" t="str">
        <f t="shared" si="723"/>
        <v>NMCPHC*</v>
      </c>
      <c r="B1802" t="str">
        <f>T("PSC 819 BOX 67")</f>
        <v>PSC 819 BOX 67</v>
      </c>
      <c r="C1802" t="str">
        <f t="shared" si="740"/>
        <v/>
      </c>
      <c r="D1802" t="str">
        <f>T("FPO")</f>
        <v>FPO</v>
      </c>
      <c r="E1802" t="str">
        <f>T("AE")</f>
        <v>AE</v>
      </c>
      <c r="F1802" t="str">
        <f>T("096450001")</f>
        <v>096450001</v>
      </c>
      <c r="G1802" t="str">
        <f>T("PSC 819 BOX 67")</f>
        <v>PSC 819 BOX 67</v>
      </c>
      <c r="H1802" t="str">
        <f t="shared" si="745"/>
        <v/>
      </c>
      <c r="I1802" t="str">
        <f>T("FPO")</f>
        <v>FPO</v>
      </c>
      <c r="J1802" t="str">
        <f>T("AE")</f>
        <v>AE</v>
      </c>
      <c r="K1802" t="str">
        <f>T("01134956822252")</f>
        <v>01134956822252</v>
      </c>
      <c r="L1802" t="str">
        <f>T("1111111111")</f>
        <v>1111111111</v>
      </c>
    </row>
    <row r="1803" spans="1:12" x14ac:dyDescent="0.35">
      <c r="A1803" t="str">
        <f t="shared" si="723"/>
        <v>NMCPHC*</v>
      </c>
      <c r="B1803" t="str">
        <f>T("PSC 819 BOX 67")</f>
        <v>PSC 819 BOX 67</v>
      </c>
      <c r="C1803" t="str">
        <f t="shared" si="740"/>
        <v/>
      </c>
      <c r="D1803" t="str">
        <f>T("FPO")</f>
        <v>FPO</v>
      </c>
      <c r="E1803" t="str">
        <f>T("AE")</f>
        <v>AE</v>
      </c>
      <c r="F1803" t="str">
        <f>T("096450001")</f>
        <v>096450001</v>
      </c>
      <c r="G1803" t="str">
        <f>T("PSC 819 BOX 67")</f>
        <v>PSC 819 BOX 67</v>
      </c>
      <c r="H1803" t="str">
        <f t="shared" si="745"/>
        <v/>
      </c>
      <c r="I1803" t="str">
        <f>T("FPO")</f>
        <v>FPO</v>
      </c>
      <c r="J1803" t="str">
        <f>T("AE")</f>
        <v>AE</v>
      </c>
      <c r="K1803" t="str">
        <f>T("01134956822275")</f>
        <v>01134956822275</v>
      </c>
      <c r="L1803" t="str">
        <f>T("1111111111")</f>
        <v>1111111111</v>
      </c>
    </row>
    <row r="1804" spans="1:12" x14ac:dyDescent="0.35">
      <c r="A1804" t="str">
        <f>T("NH CHERRY POINT")</f>
        <v>NH CHERRY POINT</v>
      </c>
      <c r="B1804" t="str">
        <f>T("PSC BOX 8023 CODE 09MM")</f>
        <v>PSC BOX 8023 CODE 09MM</v>
      </c>
      <c r="C1804" t="str">
        <f>T("BUILDING 4389 BEAUFORT ROAD")</f>
        <v>BUILDING 4389 BEAUFORT ROAD</v>
      </c>
      <c r="D1804" t="str">
        <f>T("MCAS CHERRY PT")</f>
        <v>MCAS CHERRY PT</v>
      </c>
      <c r="E1804" t="str">
        <f>T("NC")</f>
        <v>NC</v>
      </c>
      <c r="F1804" t="str">
        <f>T("285330023")</f>
        <v>285330023</v>
      </c>
      <c r="G1804" t="str">
        <f>T("PSC BOX 8023 CODE 08RM")</f>
        <v>PSC BOX 8023 CODE 08RM</v>
      </c>
      <c r="H1804" t="str">
        <f>T("BUILDING 4389 BEAUFORT RD")</f>
        <v>BUILDING 4389 BEAUFORT RD</v>
      </c>
      <c r="I1804" t="str">
        <f>T("MCAS CHERRY POINT")</f>
        <v>MCAS CHERRY POINT</v>
      </c>
      <c r="J1804" t="str">
        <f>T("NC")</f>
        <v>NC</v>
      </c>
      <c r="K1804" t="str">
        <f>T("2524660455")</f>
        <v>2524660455</v>
      </c>
      <c r="L1804" t="str">
        <f>T("2524660473")</f>
        <v>2524660473</v>
      </c>
    </row>
    <row r="1805" spans="1:12" x14ac:dyDescent="0.35">
      <c r="A1805" t="str">
        <f>T("NH CHERRY POINT")</f>
        <v>NH CHERRY POINT</v>
      </c>
      <c r="B1805" t="str">
        <f>T("PSC BOX 8023 CODE 09MM")</f>
        <v>PSC BOX 8023 CODE 09MM</v>
      </c>
      <c r="C1805" t="str">
        <f>T("BUILDING 4389 BEAUFORT ROAD")</f>
        <v>BUILDING 4389 BEAUFORT ROAD</v>
      </c>
      <c r="D1805" t="str">
        <f>T("MCAS CHERRY PT")</f>
        <v>MCAS CHERRY PT</v>
      </c>
      <c r="E1805" t="str">
        <f>T("NC")</f>
        <v>NC</v>
      </c>
      <c r="F1805" t="str">
        <f>T("285330023")</f>
        <v>285330023</v>
      </c>
      <c r="G1805" t="str">
        <f>T("PSC BOX 8023 CODE 09MM")</f>
        <v>PSC BOX 8023 CODE 09MM</v>
      </c>
      <c r="H1805" t="str">
        <f>T("BUILDING 4389 BEAUFORT ROAD")</f>
        <v>BUILDING 4389 BEAUFORT ROAD</v>
      </c>
      <c r="I1805" t="str">
        <f>T("MCAS CHERRY PT")</f>
        <v>MCAS CHERRY PT</v>
      </c>
      <c r="J1805" t="str">
        <f>T("NC")</f>
        <v>NC</v>
      </c>
      <c r="K1805" t="str">
        <f>T("2524660455")</f>
        <v>2524660455</v>
      </c>
      <c r="L1805" t="str">
        <f>T("2524660510")</f>
        <v>2524660510</v>
      </c>
    </row>
    <row r="1806" spans="1:12" x14ac:dyDescent="0.35">
      <c r="A1806" t="str">
        <f>T("NH CHERRY POINT")</f>
        <v>NH CHERRY POINT</v>
      </c>
      <c r="B1806" t="str">
        <f>T("PSC BOX 8023 CODE 09MM")</f>
        <v>PSC BOX 8023 CODE 09MM</v>
      </c>
      <c r="C1806" t="str">
        <f>T("BUILDING 4389 BEAUFORT ROAD")</f>
        <v>BUILDING 4389 BEAUFORT ROAD</v>
      </c>
      <c r="D1806" t="str">
        <f>T("MCAS CHERRY PT")</f>
        <v>MCAS CHERRY PT</v>
      </c>
      <c r="E1806" t="str">
        <f>T("NC")</f>
        <v>NC</v>
      </c>
      <c r="F1806" t="str">
        <f>T("285330023")</f>
        <v>285330023</v>
      </c>
      <c r="G1806" t="str">
        <f>T("PSC BOX 8023 CODE 09MM00")</f>
        <v>PSC BOX 8023 CODE 09MM00</v>
      </c>
      <c r="H1806" t="str">
        <f>T("BUILDING 4389 BEAUFORT ROAD")</f>
        <v>BUILDING 4389 BEAUFORT ROAD</v>
      </c>
      <c r="I1806" t="str">
        <f>T("MCAS CHERRY POINT")</f>
        <v>MCAS CHERRY POINT</v>
      </c>
      <c r="J1806" t="str">
        <f>T("NC")</f>
        <v>NC</v>
      </c>
      <c r="K1806" t="str">
        <f>T("2524660455")</f>
        <v>2524660455</v>
      </c>
      <c r="L1806" t="str">
        <f>T("2524660532")</f>
        <v>2524660532</v>
      </c>
    </row>
    <row r="1807" spans="1:12" x14ac:dyDescent="0.35">
      <c r="A1807" t="str">
        <f>T("NH CHERRY POINT")</f>
        <v>NH CHERRY POINT</v>
      </c>
      <c r="B1807" t="str">
        <f>T("PSC BOX 8023 CODE 09MM")</f>
        <v>PSC BOX 8023 CODE 09MM</v>
      </c>
      <c r="C1807" t="str">
        <f>T("BUILDING 4389 BEAUFORT ROAD")</f>
        <v>BUILDING 4389 BEAUFORT ROAD</v>
      </c>
      <c r="D1807" t="str">
        <f>T("MCAS CHERRY PT")</f>
        <v>MCAS CHERRY PT</v>
      </c>
      <c r="E1807" t="str">
        <f>T("NC")</f>
        <v>NC</v>
      </c>
      <c r="F1807" t="str">
        <f>T("285330023")</f>
        <v>285330023</v>
      </c>
      <c r="G1807" t="str">
        <f>T("PSC DRAWER 8023 CODE 09MM")</f>
        <v>PSC DRAWER 8023 CODE 09MM</v>
      </c>
      <c r="H1807" t="str">
        <f>T("BLDG 4389 BEAUFORT RD")</f>
        <v>BLDG 4389 BEAUFORT RD</v>
      </c>
      <c r="I1807" t="str">
        <f>T("MCAS CHERRY POINT")</f>
        <v>MCAS CHERRY POINT</v>
      </c>
      <c r="J1807" t="str">
        <f>T("NC")</f>
        <v>NC</v>
      </c>
      <c r="K1807" t="str">
        <f>T("2524660455")</f>
        <v>2524660455</v>
      </c>
      <c r="L1807" t="str">
        <f>T("2524660514")</f>
        <v>2524660514</v>
      </c>
    </row>
    <row r="1808" spans="1:12" x14ac:dyDescent="0.35">
      <c r="A1808" t="str">
        <f t="shared" ref="A1808:A1814" si="746">T("US NAVAL HOSPITAL NAPLES")</f>
        <v>US NAVAL HOSPITAL NAPLES</v>
      </c>
      <c r="B1808" t="str">
        <f t="shared" ref="B1808:B1814" si="747">T("US NAVY HOSPITAL NAPLES IT")</f>
        <v>US NAVY HOSPITAL NAPLES IT</v>
      </c>
      <c r="C1808" t="str">
        <f t="shared" ref="C1808:C1814" si="748">T("LOCALITA BOSCARIELLO")</f>
        <v>LOCALITA BOSCARIELLO</v>
      </c>
      <c r="D1808" t="str">
        <f t="shared" ref="D1808:D1814" si="749">T("GRICIGNANO DI AVERSA")</f>
        <v>GRICIGNANO DI AVERSA</v>
      </c>
      <c r="E1808" t="str">
        <f t="shared" ref="E1808:E1814" si="750">T("IT")</f>
        <v>IT</v>
      </c>
      <c r="F1808" t="str">
        <f t="shared" ref="F1808:F1814" si="751">T("000000002")</f>
        <v>000000002</v>
      </c>
      <c r="G1808" t="str">
        <f t="shared" ref="G1808:G1813" si="752">T("US NAVAL HOSPITAL NAPLES ITALY")</f>
        <v>US NAVAL HOSPITAL NAPLES ITALY</v>
      </c>
      <c r="H1808" t="str">
        <f>T("")</f>
        <v/>
      </c>
      <c r="I1808" t="str">
        <f>T("FPO")</f>
        <v>FPO</v>
      </c>
      <c r="J1808" t="str">
        <f t="shared" ref="J1808:J1813" si="753">T("AE")</f>
        <v>AE</v>
      </c>
      <c r="K1808" t="str">
        <f>T("")</f>
        <v/>
      </c>
      <c r="L1808" t="str">
        <f>T("7579535796")</f>
        <v>7579535796</v>
      </c>
    </row>
    <row r="1809" spans="1:12" x14ac:dyDescent="0.35">
      <c r="A1809" t="str">
        <f t="shared" si="746"/>
        <v>US NAVAL HOSPITAL NAPLES</v>
      </c>
      <c r="B1809" t="str">
        <f t="shared" si="747"/>
        <v>US NAVY HOSPITAL NAPLES IT</v>
      </c>
      <c r="C1809" t="str">
        <f t="shared" si="748"/>
        <v>LOCALITA BOSCARIELLO</v>
      </c>
      <c r="D1809" t="str">
        <f t="shared" si="749"/>
        <v>GRICIGNANO DI AVERSA</v>
      </c>
      <c r="E1809" t="str">
        <f t="shared" si="750"/>
        <v>IT</v>
      </c>
      <c r="F1809" t="str">
        <f t="shared" si="751"/>
        <v>000000002</v>
      </c>
      <c r="G1809" t="str">
        <f t="shared" si="752"/>
        <v>US NAVAL HOSPITAL NAPLES ITALY</v>
      </c>
      <c r="H1809" t="str">
        <f>T("")</f>
        <v/>
      </c>
      <c r="I1809" t="str">
        <f>T("FPO")</f>
        <v>FPO</v>
      </c>
      <c r="J1809" t="str">
        <f t="shared" si="753"/>
        <v>AE</v>
      </c>
      <c r="K1809" t="str">
        <f>T("000000000000000000")</f>
        <v>000000000000000000</v>
      </c>
      <c r="L1809" t="str">
        <f>T("1111111111")</f>
        <v>1111111111</v>
      </c>
    </row>
    <row r="1810" spans="1:12" x14ac:dyDescent="0.35">
      <c r="A1810" t="str">
        <f t="shared" si="746"/>
        <v>US NAVAL HOSPITAL NAPLES</v>
      </c>
      <c r="B1810" t="str">
        <f t="shared" si="747"/>
        <v>US NAVY HOSPITAL NAPLES IT</v>
      </c>
      <c r="C1810" t="str">
        <f t="shared" si="748"/>
        <v>LOCALITA BOSCARIELLO</v>
      </c>
      <c r="D1810" t="str">
        <f t="shared" si="749"/>
        <v>GRICIGNANO DI AVERSA</v>
      </c>
      <c r="E1810" t="str">
        <f t="shared" si="750"/>
        <v>IT</v>
      </c>
      <c r="F1810" t="str">
        <f t="shared" si="751"/>
        <v>000000002</v>
      </c>
      <c r="G1810" t="str">
        <f t="shared" si="752"/>
        <v>US NAVAL HOSPITAL NAPLES ITALY</v>
      </c>
      <c r="H1810" t="str">
        <f>T("")</f>
        <v/>
      </c>
      <c r="I1810" t="str">
        <f>T("FPO")</f>
        <v>FPO</v>
      </c>
      <c r="J1810" t="str">
        <f t="shared" si="753"/>
        <v>AE</v>
      </c>
      <c r="K1810" t="str">
        <f>T("0110818116138")</f>
        <v>0110818116138</v>
      </c>
      <c r="L1810" t="str">
        <f>T("0818116826")</f>
        <v>0818116826</v>
      </c>
    </row>
    <row r="1811" spans="1:12" x14ac:dyDescent="0.35">
      <c r="A1811" t="str">
        <f t="shared" si="746"/>
        <v>US NAVAL HOSPITAL NAPLES</v>
      </c>
      <c r="B1811" t="str">
        <f t="shared" si="747"/>
        <v>US NAVY HOSPITAL NAPLES IT</v>
      </c>
      <c r="C1811" t="str">
        <f t="shared" si="748"/>
        <v>LOCALITA BOSCARIELLO</v>
      </c>
      <c r="D1811" t="str">
        <f t="shared" si="749"/>
        <v>GRICIGNANO DI AVERSA</v>
      </c>
      <c r="E1811" t="str">
        <f t="shared" si="750"/>
        <v>IT</v>
      </c>
      <c r="F1811" t="str">
        <f t="shared" si="751"/>
        <v>000000002</v>
      </c>
      <c r="G1811" t="str">
        <f t="shared" si="752"/>
        <v>US NAVAL HOSPITAL NAPLES ITALY</v>
      </c>
      <c r="H1811" t="str">
        <f>T("BOX 1016")</f>
        <v>BOX 1016</v>
      </c>
      <c r="I1811" t="str">
        <f>T("FPO")</f>
        <v>FPO</v>
      </c>
      <c r="J1811" t="str">
        <f t="shared" si="753"/>
        <v>AE</v>
      </c>
      <c r="K1811" t="str">
        <f>T("000000000000000000")</f>
        <v>000000000000000000</v>
      </c>
      <c r="L1811" t="str">
        <f>T("1111111111")</f>
        <v>1111111111</v>
      </c>
    </row>
    <row r="1812" spans="1:12" x14ac:dyDescent="0.35">
      <c r="A1812" t="str">
        <f t="shared" si="746"/>
        <v>US NAVAL HOSPITAL NAPLES</v>
      </c>
      <c r="B1812" t="str">
        <f t="shared" si="747"/>
        <v>US NAVY HOSPITAL NAPLES IT</v>
      </c>
      <c r="C1812" t="str">
        <f t="shared" si="748"/>
        <v>LOCALITA BOSCARIELLO</v>
      </c>
      <c r="D1812" t="str">
        <f t="shared" si="749"/>
        <v>GRICIGNANO DI AVERSA</v>
      </c>
      <c r="E1812" t="str">
        <f t="shared" si="750"/>
        <v>IT</v>
      </c>
      <c r="F1812" t="str">
        <f t="shared" si="751"/>
        <v>000000002</v>
      </c>
      <c r="G1812" t="str">
        <f t="shared" si="752"/>
        <v>US NAVAL HOSPITAL NAPLES ITALY</v>
      </c>
      <c r="H1812" t="str">
        <f>T("PSC 827 BOX 09MM")</f>
        <v>PSC 827 BOX 09MM</v>
      </c>
      <c r="I1812" t="str">
        <f>T("APO")</f>
        <v>APO</v>
      </c>
      <c r="J1812" t="str">
        <f t="shared" si="753"/>
        <v>AE</v>
      </c>
      <c r="K1812" t="str">
        <f>T("000000000000000000")</f>
        <v>000000000000000000</v>
      </c>
      <c r="L1812" t="str">
        <f>T("0818116067")</f>
        <v>0818116067</v>
      </c>
    </row>
    <row r="1813" spans="1:12" x14ac:dyDescent="0.35">
      <c r="A1813" t="str">
        <f t="shared" si="746"/>
        <v>US NAVAL HOSPITAL NAPLES</v>
      </c>
      <c r="B1813" t="str">
        <f t="shared" si="747"/>
        <v>US NAVY HOSPITAL NAPLES IT</v>
      </c>
      <c r="C1813" t="str">
        <f t="shared" si="748"/>
        <v>LOCALITA BOSCARIELLO</v>
      </c>
      <c r="D1813" t="str">
        <f t="shared" si="749"/>
        <v>GRICIGNANO DI AVERSA</v>
      </c>
      <c r="E1813" t="str">
        <f t="shared" si="750"/>
        <v>IT</v>
      </c>
      <c r="F1813" t="str">
        <f t="shared" si="751"/>
        <v>000000002</v>
      </c>
      <c r="G1813" t="str">
        <f t="shared" si="752"/>
        <v>US NAVAL HOSPITAL NAPLES ITALY</v>
      </c>
      <c r="H1813" t="str">
        <f>T("PSC 827 BOX 1000")</f>
        <v>PSC 827 BOX 1000</v>
      </c>
      <c r="I1813" t="str">
        <f>T("FPO")</f>
        <v>FPO</v>
      </c>
      <c r="J1813" t="str">
        <f t="shared" si="753"/>
        <v>AE</v>
      </c>
      <c r="K1813" t="str">
        <f>T("000000000000000000")</f>
        <v>000000000000000000</v>
      </c>
      <c r="L1813" t="str">
        <f>T("1111111111")</f>
        <v>1111111111</v>
      </c>
    </row>
    <row r="1814" spans="1:12" x14ac:dyDescent="0.35">
      <c r="A1814" t="str">
        <f t="shared" si="746"/>
        <v>US NAVAL HOSPITAL NAPLES</v>
      </c>
      <c r="B1814" t="str">
        <f t="shared" si="747"/>
        <v>US NAVY HOSPITAL NAPLES IT</v>
      </c>
      <c r="C1814" t="str">
        <f t="shared" si="748"/>
        <v>LOCALITA BOSCARIELLO</v>
      </c>
      <c r="D1814" t="str">
        <f t="shared" si="749"/>
        <v>GRICIGNANO DI AVERSA</v>
      </c>
      <c r="E1814" t="str">
        <f t="shared" si="750"/>
        <v>IT</v>
      </c>
      <c r="F1814" t="str">
        <f t="shared" si="751"/>
        <v>000000002</v>
      </c>
      <c r="G1814" t="str">
        <f>T("US NAVY HOSPITAL NAPLES IT")</f>
        <v>US NAVY HOSPITAL NAPLES IT</v>
      </c>
      <c r="H1814" t="str">
        <f>T("LOCALITA BOSCARIELLO")</f>
        <v>LOCALITA BOSCARIELLO</v>
      </c>
      <c r="I1814" t="str">
        <f>T("GRICIGNANO DI AVERSA")</f>
        <v>GRICIGNANO DI AVERSA</v>
      </c>
      <c r="J1814" t="str">
        <f>T("IT")</f>
        <v>IT</v>
      </c>
      <c r="K1814" t="str">
        <f>T("011390818116135")</f>
        <v>011390818116135</v>
      </c>
      <c r="L1814" t="str">
        <f>T("1111111111")</f>
        <v>1111111111</v>
      </c>
    </row>
    <row r="1815" spans="1:12" x14ac:dyDescent="0.35">
      <c r="A1815" t="str">
        <f>T("NAVY/BUMED/NHC/PATUXENT RIVER")</f>
        <v>NAVY/BUMED/NHC/PATUXENT RIVER</v>
      </c>
      <c r="B1815" t="str">
        <f>T("47149 BUSE RD")</f>
        <v>47149 BUSE RD</v>
      </c>
      <c r="C1815" t="str">
        <f>T("BLDG 1370")</f>
        <v>BLDG 1370</v>
      </c>
      <c r="D1815" t="str">
        <f>T("PATUXENT RVR")</f>
        <v>PATUXENT RVR</v>
      </c>
      <c r="E1815" t="str">
        <f>T("MD")</f>
        <v>MD</v>
      </c>
      <c r="F1815" t="str">
        <f>T("206701540")</f>
        <v>206701540</v>
      </c>
      <c r="G1815" t="str">
        <f>T("47149 BUSE RD")</f>
        <v>47149 BUSE RD</v>
      </c>
      <c r="H1815" t="str">
        <f>T("BLDG 1370")</f>
        <v>BLDG 1370</v>
      </c>
      <c r="I1815" t="str">
        <f>T("PATUXENT RIVER")</f>
        <v>PATUXENT RIVER</v>
      </c>
      <c r="J1815" t="str">
        <f>T("MD")</f>
        <v>MD</v>
      </c>
      <c r="K1815" t="str">
        <f>T("3013421022")</f>
        <v>3013421022</v>
      </c>
      <c r="L1815" t="str">
        <f>T("3013421477")</f>
        <v>3013421477</v>
      </c>
    </row>
    <row r="1816" spans="1:12" x14ac:dyDescent="0.35">
      <c r="A1816" t="str">
        <f>T("NAVY/BUMED/NHC/PATUXENT RIVER")</f>
        <v>NAVY/BUMED/NHC/PATUXENT RIVER</v>
      </c>
      <c r="B1816" t="str">
        <f>T("47149 BUSE RD")</f>
        <v>47149 BUSE RD</v>
      </c>
      <c r="C1816" t="str">
        <f>T("BLDG 1370")</f>
        <v>BLDG 1370</v>
      </c>
      <c r="D1816" t="str">
        <f>T("PATUXENT RVR")</f>
        <v>PATUXENT RVR</v>
      </c>
      <c r="E1816" t="str">
        <f>T("MD")</f>
        <v>MD</v>
      </c>
      <c r="F1816" t="str">
        <f>T("206701540")</f>
        <v>206701540</v>
      </c>
      <c r="G1816" t="str">
        <f>T("47149 BUSE RD")</f>
        <v>47149 BUSE RD</v>
      </c>
      <c r="H1816" t="str">
        <f>T("BLDG 1370")</f>
        <v>BLDG 1370</v>
      </c>
      <c r="I1816" t="str">
        <f>T("PATUXENT RIVER")</f>
        <v>PATUXENT RIVER</v>
      </c>
      <c r="J1816" t="str">
        <f>T("MD")</f>
        <v>MD</v>
      </c>
      <c r="K1816" t="str">
        <f>T("3013421022")</f>
        <v>3013421022</v>
      </c>
      <c r="L1816" t="str">
        <f>T("3017573740")</f>
        <v>3017573740</v>
      </c>
    </row>
    <row r="1817" spans="1:12" x14ac:dyDescent="0.35">
      <c r="A1817" t="str">
        <f>T("NAVY/BUMED/NHC/PATUXENT RIVER")</f>
        <v>NAVY/BUMED/NHC/PATUXENT RIVER</v>
      </c>
      <c r="B1817" t="str">
        <f>T("47149 BUSE RD")</f>
        <v>47149 BUSE RD</v>
      </c>
      <c r="C1817" t="str">
        <f>T("BLDG 1370")</f>
        <v>BLDG 1370</v>
      </c>
      <c r="D1817" t="str">
        <f>T("PATUXENT RVR")</f>
        <v>PATUXENT RVR</v>
      </c>
      <c r="E1817" t="str">
        <f>T("MD")</f>
        <v>MD</v>
      </c>
      <c r="F1817" t="str">
        <f>T("206701540")</f>
        <v>206701540</v>
      </c>
      <c r="G1817" t="str">
        <f>T("47149 BUSE RD")</f>
        <v>47149 BUSE RD</v>
      </c>
      <c r="H1817" t="str">
        <f>T("BLDG 1370")</f>
        <v>BLDG 1370</v>
      </c>
      <c r="I1817" t="str">
        <f>T("PATUXENT RVR")</f>
        <v>PATUXENT RVR</v>
      </c>
      <c r="J1817" t="str">
        <f>T("MD")</f>
        <v>MD</v>
      </c>
      <c r="K1817" t="str">
        <f>T("000000000000000000")</f>
        <v>000000000000000000</v>
      </c>
      <c r="L1817" t="str">
        <f>T("3013421438")</f>
        <v>3013421438</v>
      </c>
    </row>
    <row r="1818" spans="1:12" x14ac:dyDescent="0.35">
      <c r="A1818" t="str">
        <f t="shared" ref="A1818:A1825" si="754">T("US NAVAL HOSPITAL ROTA")</f>
        <v>US NAVAL HOSPITAL ROTA</v>
      </c>
      <c r="B1818" t="str">
        <f t="shared" ref="B1818:B1825" si="755">T("US NAVAL HOSP ROTA SPAIN")</f>
        <v>US NAVAL HOSP ROTA SPAIN</v>
      </c>
      <c r="C1818" t="str">
        <f t="shared" ref="C1818:C1825" si="756">T("PSC 819 BOX 4364")</f>
        <v>PSC 819 BOX 4364</v>
      </c>
      <c r="D1818" t="str">
        <f t="shared" ref="D1818:D1825" si="757">T("FPO")</f>
        <v>FPO</v>
      </c>
      <c r="E1818" t="str">
        <f t="shared" ref="E1818:E1825" si="758">T("AE")</f>
        <v>AE</v>
      </c>
      <c r="F1818" t="str">
        <f t="shared" ref="F1818:F1825" si="759">T("096450044")</f>
        <v>096450044</v>
      </c>
      <c r="G1818" t="str">
        <f>T("ATTN MAT MANAGEMENT")</f>
        <v>ATTN MAT MANAGEMENT</v>
      </c>
      <c r="H1818" t="str">
        <f>T("PSC 819 BOX 18")</f>
        <v>PSC 819 BOX 18</v>
      </c>
      <c r="I1818" t="str">
        <f t="shared" ref="I1818:I1825" si="760">T("FPO")</f>
        <v>FPO</v>
      </c>
      <c r="J1818" t="str">
        <f t="shared" ref="J1818:J1825" si="761">T("AE")</f>
        <v>AE</v>
      </c>
      <c r="K1818" t="str">
        <f>T("000000000000000000")</f>
        <v>000000000000000000</v>
      </c>
      <c r="L1818" t="str">
        <f>T("1111111111")</f>
        <v>1111111111</v>
      </c>
    </row>
    <row r="1819" spans="1:12" x14ac:dyDescent="0.35">
      <c r="A1819" t="str">
        <f t="shared" si="754"/>
        <v>US NAVAL HOSPITAL ROTA</v>
      </c>
      <c r="B1819" t="str">
        <f t="shared" si="755"/>
        <v>US NAVAL HOSP ROTA SPAIN</v>
      </c>
      <c r="C1819" t="str">
        <f t="shared" si="756"/>
        <v>PSC 819 BOX 4364</v>
      </c>
      <c r="D1819" t="str">
        <f t="shared" si="757"/>
        <v>FPO</v>
      </c>
      <c r="E1819" t="str">
        <f t="shared" si="758"/>
        <v>AE</v>
      </c>
      <c r="F1819" t="str">
        <f t="shared" si="759"/>
        <v>096450044</v>
      </c>
      <c r="G1819" t="str">
        <f>T("ATTN MAT MANAGEMENT")</f>
        <v>ATTN MAT MANAGEMENT</v>
      </c>
      <c r="H1819" t="str">
        <f>T("PSC 819 BOX 18")</f>
        <v>PSC 819 BOX 18</v>
      </c>
      <c r="I1819" t="str">
        <f t="shared" si="760"/>
        <v>FPO</v>
      </c>
      <c r="J1819" t="str">
        <f t="shared" si="761"/>
        <v>AE</v>
      </c>
      <c r="K1819" t="str">
        <f>T("000000000000000000")</f>
        <v>000000000000000000</v>
      </c>
      <c r="L1819" t="str">
        <f>T("3495682357")</f>
        <v>3495682357</v>
      </c>
    </row>
    <row r="1820" spans="1:12" x14ac:dyDescent="0.35">
      <c r="A1820" t="str">
        <f t="shared" si="754"/>
        <v>US NAVAL HOSPITAL ROTA</v>
      </c>
      <c r="B1820" t="str">
        <f t="shared" si="755"/>
        <v>US NAVAL HOSP ROTA SPAIN</v>
      </c>
      <c r="C1820" t="str">
        <f t="shared" si="756"/>
        <v>PSC 819 BOX 4364</v>
      </c>
      <c r="D1820" t="str">
        <f t="shared" si="757"/>
        <v>FPO</v>
      </c>
      <c r="E1820" t="str">
        <f t="shared" si="758"/>
        <v>AE</v>
      </c>
      <c r="F1820" t="str">
        <f t="shared" si="759"/>
        <v>096450044</v>
      </c>
      <c r="G1820" t="str">
        <f>T("ATTN MATERIEL MANAGEMENT DEPARTMENT")</f>
        <v>ATTN MATERIEL MANAGEMENT DEPARTMENT</v>
      </c>
      <c r="H1820" t="str">
        <f>T("PSC 819 BOX 18")</f>
        <v>PSC 819 BOX 18</v>
      </c>
      <c r="I1820" t="str">
        <f t="shared" si="760"/>
        <v>FPO</v>
      </c>
      <c r="J1820" t="str">
        <f t="shared" si="761"/>
        <v>AE</v>
      </c>
      <c r="K1820" t="str">
        <f>T("01134956823392")</f>
        <v>01134956823392</v>
      </c>
      <c r="L1820" t="str">
        <f t="shared" ref="L1820:L1825" si="762">T("1111111111")</f>
        <v>1111111111</v>
      </c>
    </row>
    <row r="1821" spans="1:12" x14ac:dyDescent="0.35">
      <c r="A1821" t="str">
        <f t="shared" si="754"/>
        <v>US NAVAL HOSPITAL ROTA</v>
      </c>
      <c r="B1821" t="str">
        <f t="shared" si="755"/>
        <v>US NAVAL HOSP ROTA SPAIN</v>
      </c>
      <c r="C1821" t="str">
        <f t="shared" si="756"/>
        <v>PSC 819 BOX 4364</v>
      </c>
      <c r="D1821" t="str">
        <f t="shared" si="757"/>
        <v>FPO</v>
      </c>
      <c r="E1821" t="str">
        <f t="shared" si="758"/>
        <v>AE</v>
      </c>
      <c r="F1821" t="str">
        <f t="shared" si="759"/>
        <v>096450044</v>
      </c>
      <c r="G1821" t="str">
        <f>T("MATERIAL MANAGEMENT")</f>
        <v>MATERIAL MANAGEMENT</v>
      </c>
      <c r="H1821" t="str">
        <f>T("PCS 819 BOX 18")</f>
        <v>PCS 819 BOX 18</v>
      </c>
      <c r="I1821" t="str">
        <f t="shared" si="760"/>
        <v>FPO</v>
      </c>
      <c r="J1821" t="str">
        <f t="shared" si="761"/>
        <v>AE</v>
      </c>
      <c r="K1821" t="str">
        <f>T("000000000000000000")</f>
        <v>000000000000000000</v>
      </c>
      <c r="L1821" t="str">
        <f t="shared" si="762"/>
        <v>1111111111</v>
      </c>
    </row>
    <row r="1822" spans="1:12" x14ac:dyDescent="0.35">
      <c r="A1822" t="str">
        <f t="shared" si="754"/>
        <v>US NAVAL HOSPITAL ROTA</v>
      </c>
      <c r="B1822" t="str">
        <f t="shared" si="755"/>
        <v>US NAVAL HOSP ROTA SPAIN</v>
      </c>
      <c r="C1822" t="str">
        <f t="shared" si="756"/>
        <v>PSC 819 BOX 4364</v>
      </c>
      <c r="D1822" t="str">
        <f t="shared" si="757"/>
        <v>FPO</v>
      </c>
      <c r="E1822" t="str">
        <f t="shared" si="758"/>
        <v>AE</v>
      </c>
      <c r="F1822" t="str">
        <f t="shared" si="759"/>
        <v>096450044</v>
      </c>
      <c r="G1822" t="str">
        <f>T("PSC 819 BOX 18")</f>
        <v>PSC 819 BOX 18</v>
      </c>
      <c r="H1822" t="str">
        <f>T("ATTN MATERIAL MANAGEMENT DEPT")</f>
        <v>ATTN MATERIAL MANAGEMENT DEPT</v>
      </c>
      <c r="I1822" t="str">
        <f t="shared" si="760"/>
        <v>FPO</v>
      </c>
      <c r="J1822" t="str">
        <f t="shared" si="761"/>
        <v>AE</v>
      </c>
      <c r="K1822" t="str">
        <f>T("000000000000000000")</f>
        <v>000000000000000000</v>
      </c>
      <c r="L1822" t="str">
        <f t="shared" si="762"/>
        <v>1111111111</v>
      </c>
    </row>
    <row r="1823" spans="1:12" x14ac:dyDescent="0.35">
      <c r="A1823" t="str">
        <f t="shared" si="754"/>
        <v>US NAVAL HOSPITAL ROTA</v>
      </c>
      <c r="B1823" t="str">
        <f t="shared" si="755"/>
        <v>US NAVAL HOSP ROTA SPAIN</v>
      </c>
      <c r="C1823" t="str">
        <f t="shared" si="756"/>
        <v>PSC 819 BOX 4364</v>
      </c>
      <c r="D1823" t="str">
        <f t="shared" si="757"/>
        <v>FPO</v>
      </c>
      <c r="E1823" t="str">
        <f t="shared" si="758"/>
        <v>AE</v>
      </c>
      <c r="F1823" t="str">
        <f t="shared" si="759"/>
        <v>096450044</v>
      </c>
      <c r="G1823" t="str">
        <f>T("U S NAVAL HOSPITAL ROTA SPAIN")</f>
        <v>U S NAVAL HOSPITAL ROTA SPAIN</v>
      </c>
      <c r="H1823" t="str">
        <f>T("PSC 819 BOX 18-222")</f>
        <v>PSC 819 BOX 18-222</v>
      </c>
      <c r="I1823" t="str">
        <f t="shared" si="760"/>
        <v>FPO</v>
      </c>
      <c r="J1823" t="str">
        <f t="shared" si="761"/>
        <v>AE</v>
      </c>
      <c r="K1823" t="str">
        <f>T("000000000000000000")</f>
        <v>000000000000000000</v>
      </c>
      <c r="L1823" t="str">
        <f t="shared" si="762"/>
        <v>1111111111</v>
      </c>
    </row>
    <row r="1824" spans="1:12" x14ac:dyDescent="0.35">
      <c r="A1824" t="str">
        <f t="shared" si="754"/>
        <v>US NAVAL HOSPITAL ROTA</v>
      </c>
      <c r="B1824" t="str">
        <f t="shared" si="755"/>
        <v>US NAVAL HOSP ROTA SPAIN</v>
      </c>
      <c r="C1824" t="str">
        <f t="shared" si="756"/>
        <v>PSC 819 BOX 4364</v>
      </c>
      <c r="D1824" t="str">
        <f t="shared" si="757"/>
        <v>FPO</v>
      </c>
      <c r="E1824" t="str">
        <f t="shared" si="758"/>
        <v>AE</v>
      </c>
      <c r="F1824" t="str">
        <f t="shared" si="759"/>
        <v>096450044</v>
      </c>
      <c r="G1824" t="str">
        <f>T("US NAVAL HOSP ROTA SPAIN")</f>
        <v>US NAVAL HOSP ROTA SPAIN</v>
      </c>
      <c r="H1824" t="str">
        <f>T("PSC 819 BOX 4364")</f>
        <v>PSC 819 BOX 4364</v>
      </c>
      <c r="I1824" t="str">
        <f t="shared" si="760"/>
        <v>FPO</v>
      </c>
      <c r="J1824" t="str">
        <f t="shared" si="761"/>
        <v>AE</v>
      </c>
      <c r="K1824" t="str">
        <f>T("01134956823594")</f>
        <v>01134956823594</v>
      </c>
      <c r="L1824" t="str">
        <f t="shared" si="762"/>
        <v>1111111111</v>
      </c>
    </row>
    <row r="1825" spans="1:12" x14ac:dyDescent="0.35">
      <c r="A1825" t="str">
        <f t="shared" si="754"/>
        <v>US NAVAL HOSPITAL ROTA</v>
      </c>
      <c r="B1825" t="str">
        <f t="shared" si="755"/>
        <v>US NAVAL HOSP ROTA SPAIN</v>
      </c>
      <c r="C1825" t="str">
        <f t="shared" si="756"/>
        <v>PSC 819 BOX 4364</v>
      </c>
      <c r="D1825" t="str">
        <f t="shared" si="757"/>
        <v>FPO</v>
      </c>
      <c r="E1825" t="str">
        <f t="shared" si="758"/>
        <v>AE</v>
      </c>
      <c r="F1825" t="str">
        <f t="shared" si="759"/>
        <v>096450044</v>
      </c>
      <c r="G1825" t="str">
        <f>T("US NAVAL HOSPITAL ROTA SPAIN")</f>
        <v>US NAVAL HOSPITAL ROTA SPAIN</v>
      </c>
      <c r="H1825" t="str">
        <f>T("PSC 819 BOX 18")</f>
        <v>PSC 819 BOX 18</v>
      </c>
      <c r="I1825" t="str">
        <f t="shared" si="760"/>
        <v>FPO</v>
      </c>
      <c r="J1825" t="str">
        <f t="shared" si="761"/>
        <v>AE</v>
      </c>
      <c r="K1825" t="str">
        <f>T("000000000000000000")</f>
        <v>000000000000000000</v>
      </c>
      <c r="L1825" t="str">
        <f t="shared" si="762"/>
        <v>1111111111</v>
      </c>
    </row>
    <row r="1826" spans="1:12" x14ac:dyDescent="0.35">
      <c r="A1826" t="str">
        <f t="shared" ref="A1826:A1833" si="763">T("NHC CHARLESTON")</f>
        <v>NHC CHARLESTON</v>
      </c>
      <c r="B1826" t="str">
        <f t="shared" ref="B1826:B1833" si="764">T("110 NNPTC CIRCLE")</f>
        <v>110 NNPTC CIRCLE</v>
      </c>
      <c r="C1826" t="str">
        <f t="shared" ref="C1826:C1833" si="765">T("")</f>
        <v/>
      </c>
      <c r="D1826" t="str">
        <f t="shared" ref="D1826:D1833" si="766">T("GOOSE CREEK")</f>
        <v>GOOSE CREEK</v>
      </c>
      <c r="E1826" t="str">
        <f t="shared" ref="E1826:E1833" si="767">T("SC")</f>
        <v>SC</v>
      </c>
      <c r="F1826" t="str">
        <f t="shared" ref="F1826:F1833" si="768">T("294456314")</f>
        <v>294456314</v>
      </c>
      <c r="G1826" t="str">
        <f>T("110 NNPTC CIR")</f>
        <v>110 NNPTC CIR</v>
      </c>
      <c r="H1826" t="str">
        <f t="shared" ref="H1826:H1833" si="769">T("")</f>
        <v/>
      </c>
      <c r="I1826" t="str">
        <f t="shared" ref="I1826:I1833" si="770">T("GOOSE CREEK")</f>
        <v>GOOSE CREEK</v>
      </c>
      <c r="J1826" t="str">
        <f t="shared" ref="J1826:J1833" si="771">T("SC")</f>
        <v>SC</v>
      </c>
      <c r="K1826" t="str">
        <f>T("000000000000000000")</f>
        <v>000000000000000000</v>
      </c>
      <c r="L1826" t="str">
        <f>T("8437946956")</f>
        <v>8437946956</v>
      </c>
    </row>
    <row r="1827" spans="1:12" x14ac:dyDescent="0.35">
      <c r="A1827" t="str">
        <f t="shared" si="763"/>
        <v>NHC CHARLESTON</v>
      </c>
      <c r="B1827" t="str">
        <f t="shared" si="764"/>
        <v>110 NNPTC CIRCLE</v>
      </c>
      <c r="C1827" t="str">
        <f t="shared" si="765"/>
        <v/>
      </c>
      <c r="D1827" t="str">
        <f t="shared" si="766"/>
        <v>GOOSE CREEK</v>
      </c>
      <c r="E1827" t="str">
        <f t="shared" si="767"/>
        <v>SC</v>
      </c>
      <c r="F1827" t="str">
        <f t="shared" si="768"/>
        <v>294456314</v>
      </c>
      <c r="G1827" t="str">
        <f>T("110 NNPTC CIR")</f>
        <v>110 NNPTC CIR</v>
      </c>
      <c r="H1827" t="str">
        <f t="shared" si="769"/>
        <v/>
      </c>
      <c r="I1827" t="str">
        <f t="shared" si="770"/>
        <v>GOOSE CREEK</v>
      </c>
      <c r="J1827" t="str">
        <f t="shared" si="771"/>
        <v>SC</v>
      </c>
      <c r="K1827" t="str">
        <f>T("8437946995")</f>
        <v>8437946995</v>
      </c>
      <c r="L1827" t="str">
        <f>T("8437946957")</f>
        <v>8437946957</v>
      </c>
    </row>
    <row r="1828" spans="1:12" x14ac:dyDescent="0.35">
      <c r="A1828" t="str">
        <f t="shared" si="763"/>
        <v>NHC CHARLESTON</v>
      </c>
      <c r="B1828" t="str">
        <f t="shared" si="764"/>
        <v>110 NNPTC CIRCLE</v>
      </c>
      <c r="C1828" t="str">
        <f t="shared" si="765"/>
        <v/>
      </c>
      <c r="D1828" t="str">
        <f t="shared" si="766"/>
        <v>GOOSE CREEK</v>
      </c>
      <c r="E1828" t="str">
        <f t="shared" si="767"/>
        <v>SC</v>
      </c>
      <c r="F1828" t="str">
        <f t="shared" si="768"/>
        <v>294456314</v>
      </c>
      <c r="G1828" t="str">
        <f t="shared" ref="G1828:G1833" si="772">T("110 NNPTC CIRCLE")</f>
        <v>110 NNPTC CIRCLE</v>
      </c>
      <c r="H1828" t="str">
        <f t="shared" si="769"/>
        <v/>
      </c>
      <c r="I1828" t="str">
        <f t="shared" si="770"/>
        <v>GOOSE CREEK</v>
      </c>
      <c r="J1828" t="str">
        <f t="shared" si="771"/>
        <v>SC</v>
      </c>
      <c r="K1828" t="str">
        <f>T("000000000000000000")</f>
        <v>000000000000000000</v>
      </c>
      <c r="L1828" t="str">
        <f>T("8437946074")</f>
        <v>8437946074</v>
      </c>
    </row>
    <row r="1829" spans="1:12" x14ac:dyDescent="0.35">
      <c r="A1829" t="str">
        <f t="shared" si="763"/>
        <v>NHC CHARLESTON</v>
      </c>
      <c r="B1829" t="str">
        <f t="shared" si="764"/>
        <v>110 NNPTC CIRCLE</v>
      </c>
      <c r="C1829" t="str">
        <f t="shared" si="765"/>
        <v/>
      </c>
      <c r="D1829" t="str">
        <f t="shared" si="766"/>
        <v>GOOSE CREEK</v>
      </c>
      <c r="E1829" t="str">
        <f t="shared" si="767"/>
        <v>SC</v>
      </c>
      <c r="F1829" t="str">
        <f t="shared" si="768"/>
        <v>294456314</v>
      </c>
      <c r="G1829" t="str">
        <f t="shared" si="772"/>
        <v>110 NNPTC CIRCLE</v>
      </c>
      <c r="H1829" t="str">
        <f t="shared" si="769"/>
        <v/>
      </c>
      <c r="I1829" t="str">
        <f t="shared" si="770"/>
        <v>GOOSE CREEK</v>
      </c>
      <c r="J1829" t="str">
        <f t="shared" si="771"/>
        <v>SC</v>
      </c>
      <c r="K1829" t="str">
        <f>T("000000000000000000")</f>
        <v>000000000000000000</v>
      </c>
      <c r="L1829" t="str">
        <f>T("8437946951")</f>
        <v>8437946951</v>
      </c>
    </row>
    <row r="1830" spans="1:12" x14ac:dyDescent="0.35">
      <c r="A1830" t="str">
        <f t="shared" si="763"/>
        <v>NHC CHARLESTON</v>
      </c>
      <c r="B1830" t="str">
        <f t="shared" si="764"/>
        <v>110 NNPTC CIRCLE</v>
      </c>
      <c r="C1830" t="str">
        <f t="shared" si="765"/>
        <v/>
      </c>
      <c r="D1830" t="str">
        <f t="shared" si="766"/>
        <v>GOOSE CREEK</v>
      </c>
      <c r="E1830" t="str">
        <f t="shared" si="767"/>
        <v>SC</v>
      </c>
      <c r="F1830" t="str">
        <f t="shared" si="768"/>
        <v>294456314</v>
      </c>
      <c r="G1830" t="str">
        <f t="shared" si="772"/>
        <v>110 NNPTC CIRCLE</v>
      </c>
      <c r="H1830" t="str">
        <f t="shared" si="769"/>
        <v/>
      </c>
      <c r="I1830" t="str">
        <f t="shared" si="770"/>
        <v>GOOSE CREEK</v>
      </c>
      <c r="J1830" t="str">
        <f t="shared" si="771"/>
        <v>SC</v>
      </c>
      <c r="K1830" t="str">
        <f>T("000000000000000000")</f>
        <v>000000000000000000</v>
      </c>
      <c r="L1830" t="str">
        <f>T("8437946956")</f>
        <v>8437946956</v>
      </c>
    </row>
    <row r="1831" spans="1:12" x14ac:dyDescent="0.35">
      <c r="A1831" t="str">
        <f t="shared" si="763"/>
        <v>NHC CHARLESTON</v>
      </c>
      <c r="B1831" t="str">
        <f t="shared" si="764"/>
        <v>110 NNPTC CIRCLE</v>
      </c>
      <c r="C1831" t="str">
        <f t="shared" si="765"/>
        <v/>
      </c>
      <c r="D1831" t="str">
        <f t="shared" si="766"/>
        <v>GOOSE CREEK</v>
      </c>
      <c r="E1831" t="str">
        <f t="shared" si="767"/>
        <v>SC</v>
      </c>
      <c r="F1831" t="str">
        <f t="shared" si="768"/>
        <v>294456314</v>
      </c>
      <c r="G1831" t="str">
        <f t="shared" si="772"/>
        <v>110 NNPTC CIRCLE</v>
      </c>
      <c r="H1831" t="str">
        <f t="shared" si="769"/>
        <v/>
      </c>
      <c r="I1831" t="str">
        <f t="shared" si="770"/>
        <v>GOOSE CREEK</v>
      </c>
      <c r="J1831" t="str">
        <f t="shared" si="771"/>
        <v>SC</v>
      </c>
      <c r="K1831" t="str">
        <f>T("000000000000000000")</f>
        <v>000000000000000000</v>
      </c>
      <c r="L1831" t="str">
        <f>T("8437946964")</f>
        <v>8437946964</v>
      </c>
    </row>
    <row r="1832" spans="1:12" x14ac:dyDescent="0.35">
      <c r="A1832" t="str">
        <f t="shared" si="763"/>
        <v>NHC CHARLESTON</v>
      </c>
      <c r="B1832" t="str">
        <f t="shared" si="764"/>
        <v>110 NNPTC CIRCLE</v>
      </c>
      <c r="C1832" t="str">
        <f t="shared" si="765"/>
        <v/>
      </c>
      <c r="D1832" t="str">
        <f t="shared" si="766"/>
        <v>GOOSE CREEK</v>
      </c>
      <c r="E1832" t="str">
        <f t="shared" si="767"/>
        <v>SC</v>
      </c>
      <c r="F1832" t="str">
        <f t="shared" si="768"/>
        <v>294456314</v>
      </c>
      <c r="G1832" t="str">
        <f t="shared" si="772"/>
        <v>110 NNPTC CIRCLE</v>
      </c>
      <c r="H1832" t="str">
        <f t="shared" si="769"/>
        <v/>
      </c>
      <c r="I1832" t="str">
        <f t="shared" si="770"/>
        <v>GOOSE CREEK</v>
      </c>
      <c r="J1832" t="str">
        <f t="shared" si="771"/>
        <v>SC</v>
      </c>
      <c r="K1832" t="str">
        <f>T("8437946994")</f>
        <v>8437946994</v>
      </c>
      <c r="L1832" t="str">
        <f>T("8437946951")</f>
        <v>8437946951</v>
      </c>
    </row>
    <row r="1833" spans="1:12" x14ac:dyDescent="0.35">
      <c r="A1833" t="str">
        <f t="shared" si="763"/>
        <v>NHC CHARLESTON</v>
      </c>
      <c r="B1833" t="str">
        <f t="shared" si="764"/>
        <v>110 NNPTC CIRCLE</v>
      </c>
      <c r="C1833" t="str">
        <f t="shared" si="765"/>
        <v/>
      </c>
      <c r="D1833" t="str">
        <f t="shared" si="766"/>
        <v>GOOSE CREEK</v>
      </c>
      <c r="E1833" t="str">
        <f t="shared" si="767"/>
        <v>SC</v>
      </c>
      <c r="F1833" t="str">
        <f t="shared" si="768"/>
        <v>294456314</v>
      </c>
      <c r="G1833" t="str">
        <f t="shared" si="772"/>
        <v>110 NNPTC CIRCLE</v>
      </c>
      <c r="H1833" t="str">
        <f t="shared" si="769"/>
        <v/>
      </c>
      <c r="I1833" t="str">
        <f t="shared" si="770"/>
        <v>GOOSE CREEK</v>
      </c>
      <c r="J1833" t="str">
        <f t="shared" si="771"/>
        <v>SC</v>
      </c>
      <c r="K1833" t="str">
        <f>T("8437946995")</f>
        <v>8437946995</v>
      </c>
      <c r="L1833" t="str">
        <f>T("8437946952")</f>
        <v>8437946952</v>
      </c>
    </row>
    <row r="1834" spans="1:12" x14ac:dyDescent="0.35">
      <c r="A1834" t="str">
        <f t="shared" ref="A1834:A1863" si="773">T("NAVAL HOSPITAL CAMP LEJEUNE")</f>
        <v>NAVAL HOSPITAL CAMP LEJEUNE</v>
      </c>
      <c r="B1834" t="str">
        <f>T("100 BREWSTER BLVD")</f>
        <v>100 BREWSTER BLVD</v>
      </c>
      <c r="C1834" t="str">
        <f>T("SUPPLY OFFICER")</f>
        <v>SUPPLY OFFICER</v>
      </c>
      <c r="D1834" t="str">
        <f t="shared" ref="D1834:D1863" si="774">T("CAMP LEJEUNE")</f>
        <v>CAMP LEJEUNE</v>
      </c>
      <c r="E1834" t="str">
        <f t="shared" ref="E1834:E1863" si="775">T("NC")</f>
        <v>NC</v>
      </c>
      <c r="F1834" t="str">
        <f t="shared" ref="F1834:F1863" si="776">T("285472575")</f>
        <v>285472575</v>
      </c>
      <c r="G1834" t="str">
        <f>T("100 BREWSTER BLVD")</f>
        <v>100 BREWSTER BLVD</v>
      </c>
      <c r="H1834" t="str">
        <f>T("SUPPLY OFFICER")</f>
        <v>SUPPLY OFFICER</v>
      </c>
      <c r="I1834" t="str">
        <f t="shared" ref="I1834:I1863" si="777">T("CAMP LEJEUNE")</f>
        <v>CAMP LEJEUNE</v>
      </c>
      <c r="J1834" t="str">
        <f t="shared" ref="J1834:J1863" si="778">T("NC")</f>
        <v>NC</v>
      </c>
      <c r="K1834" t="str">
        <f>T("9104504922")</f>
        <v>9104504922</v>
      </c>
      <c r="L1834" t="str">
        <f>T("9104504178")</f>
        <v>9104504178</v>
      </c>
    </row>
    <row r="1835" spans="1:12" x14ac:dyDescent="0.35">
      <c r="A1835" t="str">
        <f t="shared" si="773"/>
        <v>NAVAL HOSPITAL CAMP LEJEUNE</v>
      </c>
      <c r="B1835" t="str">
        <f>T("100 BREWSTER BLVD")</f>
        <v>100 BREWSTER BLVD</v>
      </c>
      <c r="C1835" t="str">
        <f>T("SUPPLY OFFICER")</f>
        <v>SUPPLY OFFICER</v>
      </c>
      <c r="D1835" t="str">
        <f t="shared" si="774"/>
        <v>CAMP LEJEUNE</v>
      </c>
      <c r="E1835" t="str">
        <f t="shared" si="775"/>
        <v>NC</v>
      </c>
      <c r="F1835" t="str">
        <f t="shared" si="776"/>
        <v>285472575</v>
      </c>
      <c r="G1835" t="str">
        <f>T("NAVAL HOSPITAL CAMP LEJEUNE")</f>
        <v>NAVAL HOSPITAL CAMP LEJEUNE</v>
      </c>
      <c r="H1835" t="str">
        <f t="shared" ref="H1835:H1863" si="779">T("100 BREWSTER BLVD")</f>
        <v>100 BREWSTER BLVD</v>
      </c>
      <c r="I1835" t="str">
        <f t="shared" si="777"/>
        <v>CAMP LEJEUNE</v>
      </c>
      <c r="J1835" t="str">
        <f t="shared" si="778"/>
        <v>NC</v>
      </c>
      <c r="K1835" t="str">
        <f>T("9104504922")</f>
        <v>9104504922</v>
      </c>
      <c r="L1835" t="str">
        <f>T("9104504178")</f>
        <v>9104504178</v>
      </c>
    </row>
    <row r="1836" spans="1:12" x14ac:dyDescent="0.35">
      <c r="A1836" t="str">
        <f t="shared" si="773"/>
        <v>NAVAL HOSPITAL CAMP LEJEUNE</v>
      </c>
      <c r="B1836" t="str">
        <f>T("SUPPLY OFFICER")</f>
        <v>SUPPLY OFFICER</v>
      </c>
      <c r="C1836" t="str">
        <f t="shared" ref="C1836:C1863" si="780">T("100 BREWSTER BLVD")</f>
        <v>100 BREWSTER BLVD</v>
      </c>
      <c r="D1836" t="str">
        <f t="shared" si="774"/>
        <v>CAMP LEJEUNE</v>
      </c>
      <c r="E1836" t="str">
        <f t="shared" si="775"/>
        <v>NC</v>
      </c>
      <c r="F1836" t="str">
        <f t="shared" si="776"/>
        <v>285472575</v>
      </c>
      <c r="G1836" t="str">
        <f>T("NAVAL HOSPITAL CAMP LEJEUNE")</f>
        <v>NAVAL HOSPITAL CAMP LEJEUNE</v>
      </c>
      <c r="H1836" t="str">
        <f t="shared" si="779"/>
        <v>100 BREWSTER BLVD</v>
      </c>
      <c r="I1836" t="str">
        <f t="shared" si="777"/>
        <v>CAMP LEJEUNE</v>
      </c>
      <c r="J1836" t="str">
        <f t="shared" si="778"/>
        <v>NC</v>
      </c>
      <c r="K1836" t="str">
        <f>T("000000000000000000")</f>
        <v>000000000000000000</v>
      </c>
      <c r="L1836" t="str">
        <f>T("9104503833")</f>
        <v>9104503833</v>
      </c>
    </row>
    <row r="1837" spans="1:12" x14ac:dyDescent="0.35">
      <c r="A1837" t="str">
        <f t="shared" si="773"/>
        <v>NAVAL HOSPITAL CAMP LEJEUNE</v>
      </c>
      <c r="B1837" t="str">
        <f>T("SUPPLY OFFICER")</f>
        <v>SUPPLY OFFICER</v>
      </c>
      <c r="C1837" t="str">
        <f t="shared" si="780"/>
        <v>100 BREWSTER BLVD</v>
      </c>
      <c r="D1837" t="str">
        <f t="shared" si="774"/>
        <v>CAMP LEJEUNE</v>
      </c>
      <c r="E1837" t="str">
        <f t="shared" si="775"/>
        <v>NC</v>
      </c>
      <c r="F1837" t="str">
        <f t="shared" si="776"/>
        <v>285472575</v>
      </c>
      <c r="G1837" t="str">
        <f>T("NAVAL HOSPITAL CAMP LEJEUNE")</f>
        <v>NAVAL HOSPITAL CAMP LEJEUNE</v>
      </c>
      <c r="H1837" t="str">
        <f t="shared" si="779"/>
        <v>100 BREWSTER BLVD</v>
      </c>
      <c r="I1837" t="str">
        <f t="shared" si="777"/>
        <v>CAMP LEJEUNE</v>
      </c>
      <c r="J1837" t="str">
        <f t="shared" si="778"/>
        <v>NC</v>
      </c>
      <c r="K1837" t="str">
        <f>T("9104504922")</f>
        <v>9104504922</v>
      </c>
      <c r="L1837" t="str">
        <f>T("9104504214")</f>
        <v>9104504214</v>
      </c>
    </row>
    <row r="1838" spans="1:12" x14ac:dyDescent="0.35">
      <c r="A1838" t="str">
        <f t="shared" si="773"/>
        <v>NAVAL HOSPITAL CAMP LEJEUNE</v>
      </c>
      <c r="B1838" t="str">
        <f>T("SUPPLY OFFICER")</f>
        <v>SUPPLY OFFICER</v>
      </c>
      <c r="C1838" t="str">
        <f t="shared" si="780"/>
        <v>100 BREWSTER BLVD</v>
      </c>
      <c r="D1838" t="str">
        <f t="shared" si="774"/>
        <v>CAMP LEJEUNE</v>
      </c>
      <c r="E1838" t="str">
        <f t="shared" si="775"/>
        <v>NC</v>
      </c>
      <c r="F1838" t="str">
        <f t="shared" si="776"/>
        <v>285472575</v>
      </c>
      <c r="G1838" t="str">
        <f>T("NAVAL HOSPITAL CAMP LEJEUNE")</f>
        <v>NAVAL HOSPITAL CAMP LEJEUNE</v>
      </c>
      <c r="H1838" t="str">
        <f t="shared" si="779"/>
        <v>100 BREWSTER BLVD</v>
      </c>
      <c r="I1838" t="str">
        <f t="shared" si="777"/>
        <v>CAMP LEJEUNE</v>
      </c>
      <c r="J1838" t="str">
        <f t="shared" si="778"/>
        <v>NC</v>
      </c>
      <c r="K1838" t="str">
        <f>T("9104504922")</f>
        <v>9104504922</v>
      </c>
      <c r="L1838" t="str">
        <f>T("9104504944")</f>
        <v>9104504944</v>
      </c>
    </row>
    <row r="1839" spans="1:12" x14ac:dyDescent="0.35">
      <c r="A1839" t="str">
        <f t="shared" si="773"/>
        <v>NAVAL HOSPITAL CAMP LEJEUNE</v>
      </c>
      <c r="B1839" t="str">
        <f>T("SUPPLY OFFICER")</f>
        <v>SUPPLY OFFICER</v>
      </c>
      <c r="C1839" t="str">
        <f t="shared" si="780"/>
        <v>100 BREWSTER BLVD</v>
      </c>
      <c r="D1839" t="str">
        <f t="shared" si="774"/>
        <v>CAMP LEJEUNE</v>
      </c>
      <c r="E1839" t="str">
        <f t="shared" si="775"/>
        <v>NC</v>
      </c>
      <c r="F1839" t="str">
        <f t="shared" si="776"/>
        <v>285472575</v>
      </c>
      <c r="G1839" t="str">
        <f>T("SUPPLY OFFICER")</f>
        <v>SUPPLY OFFICER</v>
      </c>
      <c r="H1839" t="str">
        <f t="shared" si="779"/>
        <v>100 BREWSTER BLVD</v>
      </c>
      <c r="I1839" t="str">
        <f t="shared" si="777"/>
        <v>CAMP LEJEUNE</v>
      </c>
      <c r="J1839" t="str">
        <f t="shared" si="778"/>
        <v>NC</v>
      </c>
      <c r="K1839" t="str">
        <f>T("9104504922")</f>
        <v>9104504922</v>
      </c>
      <c r="L1839" t="str">
        <f>T("9104503291")</f>
        <v>9104503291</v>
      </c>
    </row>
    <row r="1840" spans="1:12" x14ac:dyDescent="0.35">
      <c r="A1840" t="str">
        <f t="shared" si="773"/>
        <v>NAVAL HOSPITAL CAMP LEJEUNE</v>
      </c>
      <c r="B1840" t="str">
        <f>T("SUPPLY OFFICER")</f>
        <v>SUPPLY OFFICER</v>
      </c>
      <c r="C1840" t="str">
        <f t="shared" si="780"/>
        <v>100 BREWSTER BLVD</v>
      </c>
      <c r="D1840" t="str">
        <f t="shared" si="774"/>
        <v>CAMP LEJEUNE</v>
      </c>
      <c r="E1840" t="str">
        <f t="shared" si="775"/>
        <v>NC</v>
      </c>
      <c r="F1840" t="str">
        <f t="shared" si="776"/>
        <v>285472575</v>
      </c>
      <c r="G1840" t="str">
        <f>T("SUPPLY OFFICER NAVAL HOSPITAL")</f>
        <v>SUPPLY OFFICER NAVAL HOSPITAL</v>
      </c>
      <c r="H1840" t="str">
        <f t="shared" si="779"/>
        <v>100 BREWSTER BLVD</v>
      </c>
      <c r="I1840" t="str">
        <f t="shared" si="777"/>
        <v>CAMP LEJEUNE</v>
      </c>
      <c r="J1840" t="str">
        <f t="shared" si="778"/>
        <v>NC</v>
      </c>
      <c r="K1840" t="str">
        <f>T("000000000000000000")</f>
        <v>000000000000000000</v>
      </c>
      <c r="L1840" t="str">
        <f>T("9104504930")</f>
        <v>9104504930</v>
      </c>
    </row>
    <row r="1841" spans="1:12" x14ac:dyDescent="0.35">
      <c r="A1841" t="str">
        <f t="shared" si="773"/>
        <v>NAVAL HOSPITAL CAMP LEJEUNE</v>
      </c>
      <c r="B1841" t="str">
        <f t="shared" ref="B1841:B1863" si="781">T("SUPPLY OFFICER NAVAL HOSPITAL")</f>
        <v>SUPPLY OFFICER NAVAL HOSPITAL</v>
      </c>
      <c r="C1841" t="str">
        <f t="shared" si="780"/>
        <v>100 BREWSTER BLVD</v>
      </c>
      <c r="D1841" t="str">
        <f t="shared" si="774"/>
        <v>CAMP LEJEUNE</v>
      </c>
      <c r="E1841" t="str">
        <f t="shared" si="775"/>
        <v>NC</v>
      </c>
      <c r="F1841" t="str">
        <f t="shared" si="776"/>
        <v>285472575</v>
      </c>
      <c r="G1841" t="str">
        <f t="shared" ref="G1841:G1851" si="782">T("NAVAL HOSPITAL CAMP LEJEUNE")</f>
        <v>NAVAL HOSPITAL CAMP LEJEUNE</v>
      </c>
      <c r="H1841" t="str">
        <f t="shared" si="779"/>
        <v>100 BREWSTER BLVD</v>
      </c>
      <c r="I1841" t="str">
        <f t="shared" si="777"/>
        <v>CAMP LEJEUNE</v>
      </c>
      <c r="J1841" t="str">
        <f t="shared" si="778"/>
        <v>NC</v>
      </c>
      <c r="K1841" t="str">
        <f>T("000000000000000000")</f>
        <v>000000000000000000</v>
      </c>
      <c r="L1841" t="str">
        <f>T("9104504103")</f>
        <v>9104504103</v>
      </c>
    </row>
    <row r="1842" spans="1:12" x14ac:dyDescent="0.35">
      <c r="A1842" t="str">
        <f t="shared" si="773"/>
        <v>NAVAL HOSPITAL CAMP LEJEUNE</v>
      </c>
      <c r="B1842" t="str">
        <f t="shared" si="781"/>
        <v>SUPPLY OFFICER NAVAL HOSPITAL</v>
      </c>
      <c r="C1842" t="str">
        <f t="shared" si="780"/>
        <v>100 BREWSTER BLVD</v>
      </c>
      <c r="D1842" t="str">
        <f t="shared" si="774"/>
        <v>CAMP LEJEUNE</v>
      </c>
      <c r="E1842" t="str">
        <f t="shared" si="775"/>
        <v>NC</v>
      </c>
      <c r="F1842" t="str">
        <f t="shared" si="776"/>
        <v>285472575</v>
      </c>
      <c r="G1842" t="str">
        <f t="shared" si="782"/>
        <v>NAVAL HOSPITAL CAMP LEJEUNE</v>
      </c>
      <c r="H1842" t="str">
        <f t="shared" si="779"/>
        <v>100 BREWSTER BLVD</v>
      </c>
      <c r="I1842" t="str">
        <f t="shared" si="777"/>
        <v>CAMP LEJEUNE</v>
      </c>
      <c r="J1842" t="str">
        <f t="shared" si="778"/>
        <v>NC</v>
      </c>
      <c r="K1842" t="str">
        <f>T("000000000000000000")</f>
        <v>000000000000000000</v>
      </c>
      <c r="L1842" t="str">
        <f>T("9104504448")</f>
        <v>9104504448</v>
      </c>
    </row>
    <row r="1843" spans="1:12" x14ac:dyDescent="0.35">
      <c r="A1843" t="str">
        <f t="shared" si="773"/>
        <v>NAVAL HOSPITAL CAMP LEJEUNE</v>
      </c>
      <c r="B1843" t="str">
        <f t="shared" si="781"/>
        <v>SUPPLY OFFICER NAVAL HOSPITAL</v>
      </c>
      <c r="C1843" t="str">
        <f t="shared" si="780"/>
        <v>100 BREWSTER BLVD</v>
      </c>
      <c r="D1843" t="str">
        <f t="shared" si="774"/>
        <v>CAMP LEJEUNE</v>
      </c>
      <c r="E1843" t="str">
        <f t="shared" si="775"/>
        <v>NC</v>
      </c>
      <c r="F1843" t="str">
        <f t="shared" si="776"/>
        <v>285472575</v>
      </c>
      <c r="G1843" t="str">
        <f t="shared" si="782"/>
        <v>NAVAL HOSPITAL CAMP LEJEUNE</v>
      </c>
      <c r="H1843" t="str">
        <f t="shared" si="779"/>
        <v>100 BREWSTER BLVD</v>
      </c>
      <c r="I1843" t="str">
        <f t="shared" si="777"/>
        <v>CAMP LEJEUNE</v>
      </c>
      <c r="J1843" t="str">
        <f t="shared" si="778"/>
        <v>NC</v>
      </c>
      <c r="K1843" t="str">
        <f>T("000000000000000000")</f>
        <v>000000000000000000</v>
      </c>
      <c r="L1843" t="str">
        <f>T("9104512707")</f>
        <v>9104512707</v>
      </c>
    </row>
    <row r="1844" spans="1:12" x14ac:dyDescent="0.35">
      <c r="A1844" t="str">
        <f t="shared" si="773"/>
        <v>NAVAL HOSPITAL CAMP LEJEUNE</v>
      </c>
      <c r="B1844" t="str">
        <f t="shared" si="781"/>
        <v>SUPPLY OFFICER NAVAL HOSPITAL</v>
      </c>
      <c r="C1844" t="str">
        <f t="shared" si="780"/>
        <v>100 BREWSTER BLVD</v>
      </c>
      <c r="D1844" t="str">
        <f t="shared" si="774"/>
        <v>CAMP LEJEUNE</v>
      </c>
      <c r="E1844" t="str">
        <f t="shared" si="775"/>
        <v>NC</v>
      </c>
      <c r="F1844" t="str">
        <f t="shared" si="776"/>
        <v>285472575</v>
      </c>
      <c r="G1844" t="str">
        <f t="shared" si="782"/>
        <v>NAVAL HOSPITAL CAMP LEJEUNE</v>
      </c>
      <c r="H1844" t="str">
        <f t="shared" si="779"/>
        <v>100 BREWSTER BLVD</v>
      </c>
      <c r="I1844" t="str">
        <f t="shared" si="777"/>
        <v>CAMP LEJEUNE</v>
      </c>
      <c r="J1844" t="str">
        <f t="shared" si="778"/>
        <v>NC</v>
      </c>
      <c r="K1844" t="str">
        <f>T("9104504921")</f>
        <v>9104504921</v>
      </c>
      <c r="L1844" t="str">
        <f>T("9104504930")</f>
        <v>9104504930</v>
      </c>
    </row>
    <row r="1845" spans="1:12" x14ac:dyDescent="0.35">
      <c r="A1845" t="str">
        <f t="shared" si="773"/>
        <v>NAVAL HOSPITAL CAMP LEJEUNE</v>
      </c>
      <c r="B1845" t="str">
        <f t="shared" si="781"/>
        <v>SUPPLY OFFICER NAVAL HOSPITAL</v>
      </c>
      <c r="C1845" t="str">
        <f t="shared" si="780"/>
        <v>100 BREWSTER BLVD</v>
      </c>
      <c r="D1845" t="str">
        <f t="shared" si="774"/>
        <v>CAMP LEJEUNE</v>
      </c>
      <c r="E1845" t="str">
        <f t="shared" si="775"/>
        <v>NC</v>
      </c>
      <c r="F1845" t="str">
        <f t="shared" si="776"/>
        <v>285472575</v>
      </c>
      <c r="G1845" t="str">
        <f t="shared" si="782"/>
        <v>NAVAL HOSPITAL CAMP LEJEUNE</v>
      </c>
      <c r="H1845" t="str">
        <f t="shared" si="779"/>
        <v>100 BREWSTER BLVD</v>
      </c>
      <c r="I1845" t="str">
        <f t="shared" si="777"/>
        <v>CAMP LEJEUNE</v>
      </c>
      <c r="J1845" t="str">
        <f t="shared" si="778"/>
        <v>NC</v>
      </c>
      <c r="K1845" t="str">
        <f t="shared" ref="K1845:K1851" si="783">T("9104504922")</f>
        <v>9104504922</v>
      </c>
      <c r="L1845" t="str">
        <f>T("9104503149")</f>
        <v>9104503149</v>
      </c>
    </row>
    <row r="1846" spans="1:12" x14ac:dyDescent="0.35">
      <c r="A1846" t="str">
        <f t="shared" si="773"/>
        <v>NAVAL HOSPITAL CAMP LEJEUNE</v>
      </c>
      <c r="B1846" t="str">
        <f t="shared" si="781"/>
        <v>SUPPLY OFFICER NAVAL HOSPITAL</v>
      </c>
      <c r="C1846" t="str">
        <f t="shared" si="780"/>
        <v>100 BREWSTER BLVD</v>
      </c>
      <c r="D1846" t="str">
        <f t="shared" si="774"/>
        <v>CAMP LEJEUNE</v>
      </c>
      <c r="E1846" t="str">
        <f t="shared" si="775"/>
        <v>NC</v>
      </c>
      <c r="F1846" t="str">
        <f t="shared" si="776"/>
        <v>285472575</v>
      </c>
      <c r="G1846" t="str">
        <f t="shared" si="782"/>
        <v>NAVAL HOSPITAL CAMP LEJEUNE</v>
      </c>
      <c r="H1846" t="str">
        <f t="shared" si="779"/>
        <v>100 BREWSTER BLVD</v>
      </c>
      <c r="I1846" t="str">
        <f t="shared" si="777"/>
        <v>CAMP LEJEUNE</v>
      </c>
      <c r="J1846" t="str">
        <f t="shared" si="778"/>
        <v>NC</v>
      </c>
      <c r="K1846" t="str">
        <f t="shared" si="783"/>
        <v>9104504922</v>
      </c>
      <c r="L1846" t="str">
        <f>T("9104503728")</f>
        <v>9104503728</v>
      </c>
    </row>
    <row r="1847" spans="1:12" x14ac:dyDescent="0.35">
      <c r="A1847" t="str">
        <f t="shared" si="773"/>
        <v>NAVAL HOSPITAL CAMP LEJEUNE</v>
      </c>
      <c r="B1847" t="str">
        <f t="shared" si="781"/>
        <v>SUPPLY OFFICER NAVAL HOSPITAL</v>
      </c>
      <c r="C1847" t="str">
        <f t="shared" si="780"/>
        <v>100 BREWSTER BLVD</v>
      </c>
      <c r="D1847" t="str">
        <f t="shared" si="774"/>
        <v>CAMP LEJEUNE</v>
      </c>
      <c r="E1847" t="str">
        <f t="shared" si="775"/>
        <v>NC</v>
      </c>
      <c r="F1847" t="str">
        <f t="shared" si="776"/>
        <v>285472575</v>
      </c>
      <c r="G1847" t="str">
        <f t="shared" si="782"/>
        <v>NAVAL HOSPITAL CAMP LEJEUNE</v>
      </c>
      <c r="H1847" t="str">
        <f t="shared" si="779"/>
        <v>100 BREWSTER BLVD</v>
      </c>
      <c r="I1847" t="str">
        <f t="shared" si="777"/>
        <v>CAMP LEJEUNE</v>
      </c>
      <c r="J1847" t="str">
        <f t="shared" si="778"/>
        <v>NC</v>
      </c>
      <c r="K1847" t="str">
        <f t="shared" si="783"/>
        <v>9104504922</v>
      </c>
      <c r="L1847" t="str">
        <f>T("9104504488")</f>
        <v>9104504488</v>
      </c>
    </row>
    <row r="1848" spans="1:12" x14ac:dyDescent="0.35">
      <c r="A1848" t="str">
        <f t="shared" si="773"/>
        <v>NAVAL HOSPITAL CAMP LEJEUNE</v>
      </c>
      <c r="B1848" t="str">
        <f t="shared" si="781"/>
        <v>SUPPLY OFFICER NAVAL HOSPITAL</v>
      </c>
      <c r="C1848" t="str">
        <f t="shared" si="780"/>
        <v>100 BREWSTER BLVD</v>
      </c>
      <c r="D1848" t="str">
        <f t="shared" si="774"/>
        <v>CAMP LEJEUNE</v>
      </c>
      <c r="E1848" t="str">
        <f t="shared" si="775"/>
        <v>NC</v>
      </c>
      <c r="F1848" t="str">
        <f t="shared" si="776"/>
        <v>285472575</v>
      </c>
      <c r="G1848" t="str">
        <f t="shared" si="782"/>
        <v>NAVAL HOSPITAL CAMP LEJEUNE</v>
      </c>
      <c r="H1848" t="str">
        <f t="shared" si="779"/>
        <v>100 BREWSTER BLVD</v>
      </c>
      <c r="I1848" t="str">
        <f t="shared" si="777"/>
        <v>CAMP LEJEUNE</v>
      </c>
      <c r="J1848" t="str">
        <f t="shared" si="778"/>
        <v>NC</v>
      </c>
      <c r="K1848" t="str">
        <f t="shared" si="783"/>
        <v>9104504922</v>
      </c>
      <c r="L1848" t="str">
        <f>T("9104504626")</f>
        <v>9104504626</v>
      </c>
    </row>
    <row r="1849" spans="1:12" x14ac:dyDescent="0.35">
      <c r="A1849" t="str">
        <f t="shared" si="773"/>
        <v>NAVAL HOSPITAL CAMP LEJEUNE</v>
      </c>
      <c r="B1849" t="str">
        <f t="shared" si="781"/>
        <v>SUPPLY OFFICER NAVAL HOSPITAL</v>
      </c>
      <c r="C1849" t="str">
        <f t="shared" si="780"/>
        <v>100 BREWSTER BLVD</v>
      </c>
      <c r="D1849" t="str">
        <f t="shared" si="774"/>
        <v>CAMP LEJEUNE</v>
      </c>
      <c r="E1849" t="str">
        <f t="shared" si="775"/>
        <v>NC</v>
      </c>
      <c r="F1849" t="str">
        <f t="shared" si="776"/>
        <v>285472575</v>
      </c>
      <c r="G1849" t="str">
        <f t="shared" si="782"/>
        <v>NAVAL HOSPITAL CAMP LEJEUNE</v>
      </c>
      <c r="H1849" t="str">
        <f t="shared" si="779"/>
        <v>100 BREWSTER BLVD</v>
      </c>
      <c r="I1849" t="str">
        <f t="shared" si="777"/>
        <v>CAMP LEJEUNE</v>
      </c>
      <c r="J1849" t="str">
        <f t="shared" si="778"/>
        <v>NC</v>
      </c>
      <c r="K1849" t="str">
        <f t="shared" si="783"/>
        <v>9104504922</v>
      </c>
      <c r="L1849" t="str">
        <f>T("9104504903")</f>
        <v>9104504903</v>
      </c>
    </row>
    <row r="1850" spans="1:12" x14ac:dyDescent="0.35">
      <c r="A1850" t="str">
        <f t="shared" si="773"/>
        <v>NAVAL HOSPITAL CAMP LEJEUNE</v>
      </c>
      <c r="B1850" t="str">
        <f t="shared" si="781"/>
        <v>SUPPLY OFFICER NAVAL HOSPITAL</v>
      </c>
      <c r="C1850" t="str">
        <f t="shared" si="780"/>
        <v>100 BREWSTER BLVD</v>
      </c>
      <c r="D1850" t="str">
        <f t="shared" si="774"/>
        <v>CAMP LEJEUNE</v>
      </c>
      <c r="E1850" t="str">
        <f t="shared" si="775"/>
        <v>NC</v>
      </c>
      <c r="F1850" t="str">
        <f t="shared" si="776"/>
        <v>285472575</v>
      </c>
      <c r="G1850" t="str">
        <f t="shared" si="782"/>
        <v>NAVAL HOSPITAL CAMP LEJEUNE</v>
      </c>
      <c r="H1850" t="str">
        <f t="shared" si="779"/>
        <v>100 BREWSTER BLVD</v>
      </c>
      <c r="I1850" t="str">
        <f t="shared" si="777"/>
        <v>CAMP LEJEUNE</v>
      </c>
      <c r="J1850" t="str">
        <f t="shared" si="778"/>
        <v>NC</v>
      </c>
      <c r="K1850" t="str">
        <f t="shared" si="783"/>
        <v>9104504922</v>
      </c>
      <c r="L1850" t="str">
        <f>T("9104504915")</f>
        <v>9104504915</v>
      </c>
    </row>
    <row r="1851" spans="1:12" x14ac:dyDescent="0.35">
      <c r="A1851" t="str">
        <f t="shared" si="773"/>
        <v>NAVAL HOSPITAL CAMP LEJEUNE</v>
      </c>
      <c r="B1851" t="str">
        <f t="shared" si="781"/>
        <v>SUPPLY OFFICER NAVAL HOSPITAL</v>
      </c>
      <c r="C1851" t="str">
        <f t="shared" si="780"/>
        <v>100 BREWSTER BLVD</v>
      </c>
      <c r="D1851" t="str">
        <f t="shared" si="774"/>
        <v>CAMP LEJEUNE</v>
      </c>
      <c r="E1851" t="str">
        <f t="shared" si="775"/>
        <v>NC</v>
      </c>
      <c r="F1851" t="str">
        <f t="shared" si="776"/>
        <v>285472575</v>
      </c>
      <c r="G1851" t="str">
        <f t="shared" si="782"/>
        <v>NAVAL HOSPITAL CAMP LEJEUNE</v>
      </c>
      <c r="H1851" t="str">
        <f t="shared" si="779"/>
        <v>100 BREWSTER BLVD</v>
      </c>
      <c r="I1851" t="str">
        <f t="shared" si="777"/>
        <v>CAMP LEJEUNE</v>
      </c>
      <c r="J1851" t="str">
        <f t="shared" si="778"/>
        <v>NC</v>
      </c>
      <c r="K1851" t="str">
        <f t="shared" si="783"/>
        <v>9104504922</v>
      </c>
      <c r="L1851" t="str">
        <f>T("9104517346")</f>
        <v>9104517346</v>
      </c>
    </row>
    <row r="1852" spans="1:12" x14ac:dyDescent="0.35">
      <c r="A1852" t="str">
        <f t="shared" si="773"/>
        <v>NAVAL HOSPITAL CAMP LEJEUNE</v>
      </c>
      <c r="B1852" t="str">
        <f t="shared" si="781"/>
        <v>SUPPLY OFFICER NAVAL HOSPITAL</v>
      </c>
      <c r="C1852" t="str">
        <f t="shared" si="780"/>
        <v>100 BREWSTER BLVD</v>
      </c>
      <c r="D1852" t="str">
        <f t="shared" si="774"/>
        <v>CAMP LEJEUNE</v>
      </c>
      <c r="E1852" t="str">
        <f t="shared" si="775"/>
        <v>NC</v>
      </c>
      <c r="F1852" t="str">
        <f t="shared" si="776"/>
        <v>285472575</v>
      </c>
      <c r="G1852" t="str">
        <f t="shared" ref="G1852:G1863" si="784">T("SUPPLY OFFICER NAVAL HOSPITAL")</f>
        <v>SUPPLY OFFICER NAVAL HOSPITAL</v>
      </c>
      <c r="H1852" t="str">
        <f t="shared" si="779"/>
        <v>100 BREWSTER BLVD</v>
      </c>
      <c r="I1852" t="str">
        <f t="shared" si="777"/>
        <v>CAMP LEJEUNE</v>
      </c>
      <c r="J1852" t="str">
        <f t="shared" si="778"/>
        <v>NC</v>
      </c>
      <c r="K1852" t="str">
        <f>T("000000000000000000")</f>
        <v>000000000000000000</v>
      </c>
      <c r="L1852" t="str">
        <f>T("9104504567")</f>
        <v>9104504567</v>
      </c>
    </row>
    <row r="1853" spans="1:12" x14ac:dyDescent="0.35">
      <c r="A1853" t="str">
        <f t="shared" si="773"/>
        <v>NAVAL HOSPITAL CAMP LEJEUNE</v>
      </c>
      <c r="B1853" t="str">
        <f t="shared" si="781"/>
        <v>SUPPLY OFFICER NAVAL HOSPITAL</v>
      </c>
      <c r="C1853" t="str">
        <f t="shared" si="780"/>
        <v>100 BREWSTER BLVD</v>
      </c>
      <c r="D1853" t="str">
        <f t="shared" si="774"/>
        <v>CAMP LEJEUNE</v>
      </c>
      <c r="E1853" t="str">
        <f t="shared" si="775"/>
        <v>NC</v>
      </c>
      <c r="F1853" t="str">
        <f t="shared" si="776"/>
        <v>285472575</v>
      </c>
      <c r="G1853" t="str">
        <f t="shared" si="784"/>
        <v>SUPPLY OFFICER NAVAL HOSPITAL</v>
      </c>
      <c r="H1853" t="str">
        <f t="shared" si="779"/>
        <v>100 BREWSTER BLVD</v>
      </c>
      <c r="I1853" t="str">
        <f t="shared" si="777"/>
        <v>CAMP LEJEUNE</v>
      </c>
      <c r="J1853" t="str">
        <f t="shared" si="778"/>
        <v>NC</v>
      </c>
      <c r="K1853" t="str">
        <f>T("000000000000000000")</f>
        <v>000000000000000000</v>
      </c>
      <c r="L1853" t="str">
        <f>T("9104517349")</f>
        <v>9104517349</v>
      </c>
    </row>
    <row r="1854" spans="1:12" x14ac:dyDescent="0.35">
      <c r="A1854" t="str">
        <f t="shared" si="773"/>
        <v>NAVAL HOSPITAL CAMP LEJEUNE</v>
      </c>
      <c r="B1854" t="str">
        <f t="shared" si="781"/>
        <v>SUPPLY OFFICER NAVAL HOSPITAL</v>
      </c>
      <c r="C1854" t="str">
        <f t="shared" si="780"/>
        <v>100 BREWSTER BLVD</v>
      </c>
      <c r="D1854" t="str">
        <f t="shared" si="774"/>
        <v>CAMP LEJEUNE</v>
      </c>
      <c r="E1854" t="str">
        <f t="shared" si="775"/>
        <v>NC</v>
      </c>
      <c r="F1854" t="str">
        <f t="shared" si="776"/>
        <v>285472575</v>
      </c>
      <c r="G1854" t="str">
        <f t="shared" si="784"/>
        <v>SUPPLY OFFICER NAVAL HOSPITAL</v>
      </c>
      <c r="H1854" t="str">
        <f t="shared" si="779"/>
        <v>100 BREWSTER BLVD</v>
      </c>
      <c r="I1854" t="str">
        <f t="shared" si="777"/>
        <v>CAMP LEJEUNE</v>
      </c>
      <c r="J1854" t="str">
        <f t="shared" si="778"/>
        <v>NC</v>
      </c>
      <c r="K1854" t="str">
        <f>T("910-450-4922")</f>
        <v>910-450-4922</v>
      </c>
      <c r="L1854" t="str">
        <f>T("9104503173")</f>
        <v>9104503173</v>
      </c>
    </row>
    <row r="1855" spans="1:12" x14ac:dyDescent="0.35">
      <c r="A1855" t="str">
        <f t="shared" si="773"/>
        <v>NAVAL HOSPITAL CAMP LEJEUNE</v>
      </c>
      <c r="B1855" t="str">
        <f t="shared" si="781"/>
        <v>SUPPLY OFFICER NAVAL HOSPITAL</v>
      </c>
      <c r="C1855" t="str">
        <f t="shared" si="780"/>
        <v>100 BREWSTER BLVD</v>
      </c>
      <c r="D1855" t="str">
        <f t="shared" si="774"/>
        <v>CAMP LEJEUNE</v>
      </c>
      <c r="E1855" t="str">
        <f t="shared" si="775"/>
        <v>NC</v>
      </c>
      <c r="F1855" t="str">
        <f t="shared" si="776"/>
        <v>285472575</v>
      </c>
      <c r="G1855" t="str">
        <f t="shared" si="784"/>
        <v>SUPPLY OFFICER NAVAL HOSPITAL</v>
      </c>
      <c r="H1855" t="str">
        <f t="shared" si="779"/>
        <v>100 BREWSTER BLVD</v>
      </c>
      <c r="I1855" t="str">
        <f t="shared" si="777"/>
        <v>CAMP LEJEUNE</v>
      </c>
      <c r="J1855" t="str">
        <f t="shared" si="778"/>
        <v>NC</v>
      </c>
      <c r="K1855" t="str">
        <f>T("9104504881")</f>
        <v>9104504881</v>
      </c>
      <c r="L1855" t="str">
        <f>T("9104503627")</f>
        <v>9104503627</v>
      </c>
    </row>
    <row r="1856" spans="1:12" x14ac:dyDescent="0.35">
      <c r="A1856" t="str">
        <f t="shared" si="773"/>
        <v>NAVAL HOSPITAL CAMP LEJEUNE</v>
      </c>
      <c r="B1856" t="str">
        <f t="shared" si="781"/>
        <v>SUPPLY OFFICER NAVAL HOSPITAL</v>
      </c>
      <c r="C1856" t="str">
        <f t="shared" si="780"/>
        <v>100 BREWSTER BLVD</v>
      </c>
      <c r="D1856" t="str">
        <f t="shared" si="774"/>
        <v>CAMP LEJEUNE</v>
      </c>
      <c r="E1856" t="str">
        <f t="shared" si="775"/>
        <v>NC</v>
      </c>
      <c r="F1856" t="str">
        <f t="shared" si="776"/>
        <v>285472575</v>
      </c>
      <c r="G1856" t="str">
        <f t="shared" si="784"/>
        <v>SUPPLY OFFICER NAVAL HOSPITAL</v>
      </c>
      <c r="H1856" t="str">
        <f t="shared" si="779"/>
        <v>100 BREWSTER BLVD</v>
      </c>
      <c r="I1856" t="str">
        <f t="shared" si="777"/>
        <v>CAMP LEJEUNE</v>
      </c>
      <c r="J1856" t="str">
        <f t="shared" si="778"/>
        <v>NC</v>
      </c>
      <c r="K1856" t="str">
        <f t="shared" ref="K1856:K1863" si="785">T("9104504922")</f>
        <v>9104504922</v>
      </c>
      <c r="L1856" t="str">
        <f>T("9104492803")</f>
        <v>9104492803</v>
      </c>
    </row>
    <row r="1857" spans="1:12" x14ac:dyDescent="0.35">
      <c r="A1857" t="str">
        <f t="shared" si="773"/>
        <v>NAVAL HOSPITAL CAMP LEJEUNE</v>
      </c>
      <c r="B1857" t="str">
        <f t="shared" si="781"/>
        <v>SUPPLY OFFICER NAVAL HOSPITAL</v>
      </c>
      <c r="C1857" t="str">
        <f t="shared" si="780"/>
        <v>100 BREWSTER BLVD</v>
      </c>
      <c r="D1857" t="str">
        <f t="shared" si="774"/>
        <v>CAMP LEJEUNE</v>
      </c>
      <c r="E1857" t="str">
        <f t="shared" si="775"/>
        <v>NC</v>
      </c>
      <c r="F1857" t="str">
        <f t="shared" si="776"/>
        <v>285472575</v>
      </c>
      <c r="G1857" t="str">
        <f t="shared" si="784"/>
        <v>SUPPLY OFFICER NAVAL HOSPITAL</v>
      </c>
      <c r="H1857" t="str">
        <f t="shared" si="779"/>
        <v>100 BREWSTER BLVD</v>
      </c>
      <c r="I1857" t="str">
        <f t="shared" si="777"/>
        <v>CAMP LEJEUNE</v>
      </c>
      <c r="J1857" t="str">
        <f t="shared" si="778"/>
        <v>NC</v>
      </c>
      <c r="K1857" t="str">
        <f t="shared" si="785"/>
        <v>9104504922</v>
      </c>
      <c r="L1857" t="str">
        <f>T("9104504226")</f>
        <v>9104504226</v>
      </c>
    </row>
    <row r="1858" spans="1:12" x14ac:dyDescent="0.35">
      <c r="A1858" t="str">
        <f t="shared" si="773"/>
        <v>NAVAL HOSPITAL CAMP LEJEUNE</v>
      </c>
      <c r="B1858" t="str">
        <f t="shared" si="781"/>
        <v>SUPPLY OFFICER NAVAL HOSPITAL</v>
      </c>
      <c r="C1858" t="str">
        <f t="shared" si="780"/>
        <v>100 BREWSTER BLVD</v>
      </c>
      <c r="D1858" t="str">
        <f t="shared" si="774"/>
        <v>CAMP LEJEUNE</v>
      </c>
      <c r="E1858" t="str">
        <f t="shared" si="775"/>
        <v>NC</v>
      </c>
      <c r="F1858" t="str">
        <f t="shared" si="776"/>
        <v>285472575</v>
      </c>
      <c r="G1858" t="str">
        <f t="shared" si="784"/>
        <v>SUPPLY OFFICER NAVAL HOSPITAL</v>
      </c>
      <c r="H1858" t="str">
        <f t="shared" si="779"/>
        <v>100 BREWSTER BLVD</v>
      </c>
      <c r="I1858" t="str">
        <f t="shared" si="777"/>
        <v>CAMP LEJEUNE</v>
      </c>
      <c r="J1858" t="str">
        <f t="shared" si="778"/>
        <v>NC</v>
      </c>
      <c r="K1858" t="str">
        <f t="shared" si="785"/>
        <v>9104504922</v>
      </c>
      <c r="L1858" t="str">
        <f>T("9104504244")</f>
        <v>9104504244</v>
      </c>
    </row>
    <row r="1859" spans="1:12" x14ac:dyDescent="0.35">
      <c r="A1859" t="str">
        <f t="shared" si="773"/>
        <v>NAVAL HOSPITAL CAMP LEJEUNE</v>
      </c>
      <c r="B1859" t="str">
        <f t="shared" si="781"/>
        <v>SUPPLY OFFICER NAVAL HOSPITAL</v>
      </c>
      <c r="C1859" t="str">
        <f t="shared" si="780"/>
        <v>100 BREWSTER BLVD</v>
      </c>
      <c r="D1859" t="str">
        <f t="shared" si="774"/>
        <v>CAMP LEJEUNE</v>
      </c>
      <c r="E1859" t="str">
        <f t="shared" si="775"/>
        <v>NC</v>
      </c>
      <c r="F1859" t="str">
        <f t="shared" si="776"/>
        <v>285472575</v>
      </c>
      <c r="G1859" t="str">
        <f t="shared" si="784"/>
        <v>SUPPLY OFFICER NAVAL HOSPITAL</v>
      </c>
      <c r="H1859" t="str">
        <f t="shared" si="779"/>
        <v>100 BREWSTER BLVD</v>
      </c>
      <c r="I1859" t="str">
        <f t="shared" si="777"/>
        <v>CAMP LEJEUNE</v>
      </c>
      <c r="J1859" t="str">
        <f t="shared" si="778"/>
        <v>NC</v>
      </c>
      <c r="K1859" t="str">
        <f t="shared" si="785"/>
        <v>9104504922</v>
      </c>
      <c r="L1859" t="str">
        <f>T("9104504626")</f>
        <v>9104504626</v>
      </c>
    </row>
    <row r="1860" spans="1:12" x14ac:dyDescent="0.35">
      <c r="A1860" t="str">
        <f t="shared" si="773"/>
        <v>NAVAL HOSPITAL CAMP LEJEUNE</v>
      </c>
      <c r="B1860" t="str">
        <f t="shared" si="781"/>
        <v>SUPPLY OFFICER NAVAL HOSPITAL</v>
      </c>
      <c r="C1860" t="str">
        <f t="shared" si="780"/>
        <v>100 BREWSTER BLVD</v>
      </c>
      <c r="D1860" t="str">
        <f t="shared" si="774"/>
        <v>CAMP LEJEUNE</v>
      </c>
      <c r="E1860" t="str">
        <f t="shared" si="775"/>
        <v>NC</v>
      </c>
      <c r="F1860" t="str">
        <f t="shared" si="776"/>
        <v>285472575</v>
      </c>
      <c r="G1860" t="str">
        <f t="shared" si="784"/>
        <v>SUPPLY OFFICER NAVAL HOSPITAL</v>
      </c>
      <c r="H1860" t="str">
        <f t="shared" si="779"/>
        <v>100 BREWSTER BLVD</v>
      </c>
      <c r="I1860" t="str">
        <f t="shared" si="777"/>
        <v>CAMP LEJEUNE</v>
      </c>
      <c r="J1860" t="str">
        <f t="shared" si="778"/>
        <v>NC</v>
      </c>
      <c r="K1860" t="str">
        <f t="shared" si="785"/>
        <v>9104504922</v>
      </c>
      <c r="L1860" t="str">
        <f>T("9104514224")</f>
        <v>9104514224</v>
      </c>
    </row>
    <row r="1861" spans="1:12" x14ac:dyDescent="0.35">
      <c r="A1861" t="str">
        <f t="shared" si="773"/>
        <v>NAVAL HOSPITAL CAMP LEJEUNE</v>
      </c>
      <c r="B1861" t="str">
        <f t="shared" si="781"/>
        <v>SUPPLY OFFICER NAVAL HOSPITAL</v>
      </c>
      <c r="C1861" t="str">
        <f t="shared" si="780"/>
        <v>100 BREWSTER BLVD</v>
      </c>
      <c r="D1861" t="str">
        <f t="shared" si="774"/>
        <v>CAMP LEJEUNE</v>
      </c>
      <c r="E1861" t="str">
        <f t="shared" si="775"/>
        <v>NC</v>
      </c>
      <c r="F1861" t="str">
        <f t="shared" si="776"/>
        <v>285472575</v>
      </c>
      <c r="G1861" t="str">
        <f t="shared" si="784"/>
        <v>SUPPLY OFFICER NAVAL HOSPITAL</v>
      </c>
      <c r="H1861" t="str">
        <f t="shared" si="779"/>
        <v>100 BREWSTER BLVD</v>
      </c>
      <c r="I1861" t="str">
        <f t="shared" si="777"/>
        <v>CAMP LEJEUNE</v>
      </c>
      <c r="J1861" t="str">
        <f t="shared" si="778"/>
        <v>NC</v>
      </c>
      <c r="K1861" t="str">
        <f t="shared" si="785"/>
        <v>9104504922</v>
      </c>
      <c r="L1861" t="str">
        <f>T("9104515413")</f>
        <v>9104515413</v>
      </c>
    </row>
    <row r="1862" spans="1:12" x14ac:dyDescent="0.35">
      <c r="A1862" t="str">
        <f t="shared" si="773"/>
        <v>NAVAL HOSPITAL CAMP LEJEUNE</v>
      </c>
      <c r="B1862" t="str">
        <f t="shared" si="781"/>
        <v>SUPPLY OFFICER NAVAL HOSPITAL</v>
      </c>
      <c r="C1862" t="str">
        <f t="shared" si="780"/>
        <v>100 BREWSTER BLVD</v>
      </c>
      <c r="D1862" t="str">
        <f t="shared" si="774"/>
        <v>CAMP LEJEUNE</v>
      </c>
      <c r="E1862" t="str">
        <f t="shared" si="775"/>
        <v>NC</v>
      </c>
      <c r="F1862" t="str">
        <f t="shared" si="776"/>
        <v>285472575</v>
      </c>
      <c r="G1862" t="str">
        <f t="shared" si="784"/>
        <v>SUPPLY OFFICER NAVAL HOSPITAL</v>
      </c>
      <c r="H1862" t="str">
        <f t="shared" si="779"/>
        <v>100 BREWSTER BLVD</v>
      </c>
      <c r="I1862" t="str">
        <f t="shared" si="777"/>
        <v>CAMP LEJEUNE</v>
      </c>
      <c r="J1862" t="str">
        <f t="shared" si="778"/>
        <v>NC</v>
      </c>
      <c r="K1862" t="str">
        <f t="shared" si="785"/>
        <v>9104504922</v>
      </c>
      <c r="L1862" t="str">
        <f>T("9104516796")</f>
        <v>9104516796</v>
      </c>
    </row>
    <row r="1863" spans="1:12" x14ac:dyDescent="0.35">
      <c r="A1863" t="str">
        <f t="shared" si="773"/>
        <v>NAVAL HOSPITAL CAMP LEJEUNE</v>
      </c>
      <c r="B1863" t="str">
        <f t="shared" si="781"/>
        <v>SUPPLY OFFICER NAVAL HOSPITAL</v>
      </c>
      <c r="C1863" t="str">
        <f t="shared" si="780"/>
        <v>100 BREWSTER BLVD</v>
      </c>
      <c r="D1863" t="str">
        <f t="shared" si="774"/>
        <v>CAMP LEJEUNE</v>
      </c>
      <c r="E1863" t="str">
        <f t="shared" si="775"/>
        <v>NC</v>
      </c>
      <c r="F1863" t="str">
        <f t="shared" si="776"/>
        <v>285472575</v>
      </c>
      <c r="G1863" t="str">
        <f t="shared" si="784"/>
        <v>SUPPLY OFFICER NAVAL HOSPITAL</v>
      </c>
      <c r="H1863" t="str">
        <f t="shared" si="779"/>
        <v>100 BREWSTER BLVD</v>
      </c>
      <c r="I1863" t="str">
        <f t="shared" si="777"/>
        <v>CAMP LEJEUNE</v>
      </c>
      <c r="J1863" t="str">
        <f t="shared" si="778"/>
        <v>NC</v>
      </c>
      <c r="K1863" t="str">
        <f t="shared" si="785"/>
        <v>9104504922</v>
      </c>
      <c r="L1863" t="str">
        <f>T("9104517349")</f>
        <v>9104517349</v>
      </c>
    </row>
    <row r="1864" spans="1:12" x14ac:dyDescent="0.35">
      <c r="A1864" t="str">
        <f>T("NAVY MEDICINE EAST")</f>
        <v>NAVY MEDICINE EAST</v>
      </c>
      <c r="B1864" t="str">
        <f>T("620 JOHN PAUL JONES CIR E")</f>
        <v>620 JOHN PAUL JONES CIR E</v>
      </c>
      <c r="C1864" t="str">
        <f>T("SUITE 1400")</f>
        <v>SUITE 1400</v>
      </c>
      <c r="D1864" t="str">
        <f>T("PORTSMOUTH")</f>
        <v>PORTSMOUTH</v>
      </c>
      <c r="E1864" t="str">
        <f>T("VA")</f>
        <v>VA</v>
      </c>
      <c r="F1864" t="str">
        <f>T("237082111")</f>
        <v>237082111</v>
      </c>
      <c r="G1864" t="str">
        <f>T("620 JOHN PAUL JONES CIR")</f>
        <v>620 JOHN PAUL JONES CIR</v>
      </c>
      <c r="H1864" t="str">
        <f>T("")</f>
        <v/>
      </c>
      <c r="I1864" t="str">
        <f>T("PORTSMOUTH")</f>
        <v>PORTSMOUTH</v>
      </c>
      <c r="J1864" t="str">
        <f>T("VA")</f>
        <v>VA</v>
      </c>
      <c r="K1864" t="str">
        <f>T("7579530478")</f>
        <v>7579530478</v>
      </c>
      <c r="L1864" t="str">
        <f>T("7579530468")</f>
        <v>7579530468</v>
      </c>
    </row>
    <row r="1865" spans="1:12" x14ac:dyDescent="0.35">
      <c r="A1865" t="str">
        <f>T("NAVY MEDICINE EAST")</f>
        <v>NAVY MEDICINE EAST</v>
      </c>
      <c r="B1865" t="str">
        <f>T("620 JOHN PAUL JONES CIR E")</f>
        <v>620 JOHN PAUL JONES CIR E</v>
      </c>
      <c r="C1865" t="str">
        <f>T("SUITE 1400")</f>
        <v>SUITE 1400</v>
      </c>
      <c r="D1865" t="str">
        <f>T("PORTSMOUTH")</f>
        <v>PORTSMOUTH</v>
      </c>
      <c r="E1865" t="str">
        <f>T("VA")</f>
        <v>VA</v>
      </c>
      <c r="F1865" t="str">
        <f>T("237082111")</f>
        <v>237082111</v>
      </c>
      <c r="G1865" t="str">
        <f>T("620 JOHN PAUL JONES CIR E")</f>
        <v>620 JOHN PAUL JONES CIR E</v>
      </c>
      <c r="H1865" t="str">
        <f>T("SUITE 1400")</f>
        <v>SUITE 1400</v>
      </c>
      <c r="I1865" t="str">
        <f>T("PORTSMOUTH")</f>
        <v>PORTSMOUTH</v>
      </c>
      <c r="J1865" t="str">
        <f>T("VA")</f>
        <v>VA</v>
      </c>
      <c r="K1865" t="str">
        <f>T("7579530478")</f>
        <v>7579530478</v>
      </c>
      <c r="L1865" t="str">
        <f>T("7579530425")</f>
        <v>7579530425</v>
      </c>
    </row>
    <row r="1866" spans="1:12" x14ac:dyDescent="0.35">
      <c r="A1866" t="str">
        <f>T("NAVY MEDICINE EAST")</f>
        <v>NAVY MEDICINE EAST</v>
      </c>
      <c r="B1866" t="str">
        <f>T("620 JOHN PAUL JONES CIR E")</f>
        <v>620 JOHN PAUL JONES CIR E</v>
      </c>
      <c r="C1866" t="str">
        <f>T("SUITE 1400")</f>
        <v>SUITE 1400</v>
      </c>
      <c r="D1866" t="str">
        <f>T("PORTSMOUTH")</f>
        <v>PORTSMOUTH</v>
      </c>
      <c r="E1866" t="str">
        <f>T("VA")</f>
        <v>VA</v>
      </c>
      <c r="F1866" t="str">
        <f>T("237082111")</f>
        <v>237082111</v>
      </c>
      <c r="G1866" t="str">
        <f>T("620 JOHN PAUL JONES CIRCLE")</f>
        <v>620 JOHN PAUL JONES CIRCLE</v>
      </c>
      <c r="H1866" t="str">
        <f>T("")</f>
        <v/>
      </c>
      <c r="I1866" t="str">
        <f>T("PORTSMOUTH")</f>
        <v>PORTSMOUTH</v>
      </c>
      <c r="J1866" t="str">
        <f>T("VA")</f>
        <v>VA</v>
      </c>
      <c r="K1866" t="str">
        <f>T("7579530478")</f>
        <v>7579530478</v>
      </c>
      <c r="L1866" t="str">
        <f>T("7579530469")</f>
        <v>7579530469</v>
      </c>
    </row>
    <row r="1867" spans="1:12" x14ac:dyDescent="0.35">
      <c r="A1867" t="str">
        <f>T("NAVY MEDICINE EAST")</f>
        <v>NAVY MEDICINE EAST</v>
      </c>
      <c r="B1867" t="str">
        <f>T("620 JOHN PAUL JONES CIRCLE")</f>
        <v>620 JOHN PAUL JONES CIRCLE</v>
      </c>
      <c r="C1867" t="str">
        <f>T("SUITE 1400")</f>
        <v>SUITE 1400</v>
      </c>
      <c r="D1867" t="str">
        <f>T("PORTSMOUTH")</f>
        <v>PORTSMOUTH</v>
      </c>
      <c r="E1867" t="str">
        <f>T("VA")</f>
        <v>VA</v>
      </c>
      <c r="F1867" t="str">
        <f>T("237082111")</f>
        <v>237082111</v>
      </c>
      <c r="G1867" t="str">
        <f>T("620 JOHN PAUL JONES CIRCLE")</f>
        <v>620 JOHN PAUL JONES CIRCLE</v>
      </c>
      <c r="H1867" t="str">
        <f>T("SUITE 1400")</f>
        <v>SUITE 1400</v>
      </c>
      <c r="I1867" t="str">
        <f>T("PORTSMOUTH")</f>
        <v>PORTSMOUTH</v>
      </c>
      <c r="J1867" t="str">
        <f>T("VA")</f>
        <v>VA</v>
      </c>
      <c r="K1867" t="str">
        <f>T("000000000000000000")</f>
        <v>000000000000000000</v>
      </c>
      <c r="L1867" t="str">
        <f>T("7579536153")</f>
        <v>7579536153</v>
      </c>
    </row>
    <row r="1868" spans="1:12" x14ac:dyDescent="0.35">
      <c r="A1868" t="str">
        <f>T("US NAVAL HOSPITAL SIGONELLA")</f>
        <v>US NAVAL HOSPITAL SIGONELLA</v>
      </c>
      <c r="B1868" t="str">
        <f>T("ATTN NELLIE BARONE")</f>
        <v>ATTN NELLIE BARONE</v>
      </c>
      <c r="C1868" t="str">
        <f>T("PSC 836 BOX 2670")</f>
        <v>PSC 836 BOX 2670</v>
      </c>
      <c r="D1868" t="str">
        <f>T("FPO")</f>
        <v>FPO</v>
      </c>
      <c r="E1868" t="str">
        <f>T("AE")</f>
        <v>AE</v>
      </c>
      <c r="F1868" t="str">
        <f>T("096369998")</f>
        <v>096369998</v>
      </c>
      <c r="G1868" t="str">
        <f>T("ATTN NELLIE BARONE")</f>
        <v>ATTN NELLIE BARONE</v>
      </c>
      <c r="H1868" t="str">
        <f>T("PSC 836 BOX 2670")</f>
        <v>PSC 836 BOX 2670</v>
      </c>
      <c r="I1868" t="str">
        <f>T("FPO")</f>
        <v>FPO</v>
      </c>
      <c r="J1868" t="str">
        <f>T("AE")</f>
        <v>AE</v>
      </c>
      <c r="K1868" t="str">
        <f>T("39 095564583")</f>
        <v>39 095564583</v>
      </c>
      <c r="L1868" t="str">
        <f>T("1111111111")</f>
        <v>1111111111</v>
      </c>
    </row>
    <row r="1869" spans="1:12" x14ac:dyDescent="0.35">
      <c r="A1869" t="str">
        <f>T("US NAVAL HOSPITAL SIGONELLA")</f>
        <v>US NAVAL HOSPITAL SIGONELLA</v>
      </c>
      <c r="B1869" t="str">
        <f>T("MATERIAL MANAGEMENT")</f>
        <v>MATERIAL MANAGEMENT</v>
      </c>
      <c r="C1869" t="str">
        <f>T("PSC 836 BOX 2670")</f>
        <v>PSC 836 BOX 2670</v>
      </c>
      <c r="D1869" t="str">
        <f>T("FPO")</f>
        <v>FPO</v>
      </c>
      <c r="E1869" t="str">
        <f>T("AE")</f>
        <v>AE</v>
      </c>
      <c r="F1869" t="str">
        <f>T("096369998")</f>
        <v>096369998</v>
      </c>
      <c r="G1869" t="str">
        <f>T("MATERIAL MANAGEMENT")</f>
        <v>MATERIAL MANAGEMENT</v>
      </c>
      <c r="H1869" t="str">
        <f>T("PSC 836 BOX 2670")</f>
        <v>PSC 836 BOX 2670</v>
      </c>
      <c r="I1869" t="str">
        <f>T("FPO")</f>
        <v>FPO</v>
      </c>
      <c r="J1869" t="str">
        <f>T("AE")</f>
        <v>AE</v>
      </c>
      <c r="K1869" t="str">
        <f>T("000000000000000000")</f>
        <v>000000000000000000</v>
      </c>
      <c r="L1869" t="str">
        <f>T("1111111111")</f>
        <v>1111111111</v>
      </c>
    </row>
    <row r="1870" spans="1:12" x14ac:dyDescent="0.35">
      <c r="A1870" t="str">
        <f>T("US NAVAL HOSPITAL SIGONELLA")</f>
        <v>US NAVAL HOSPITAL SIGONELLA</v>
      </c>
      <c r="B1870" t="str">
        <f>T("MATERIAL MANAGEMENT")</f>
        <v>MATERIAL MANAGEMENT</v>
      </c>
      <c r="C1870" t="str">
        <f>T("PSC 836 BOX 2670")</f>
        <v>PSC 836 BOX 2670</v>
      </c>
      <c r="D1870" t="str">
        <f>T("FPO")</f>
        <v>FPO</v>
      </c>
      <c r="E1870" t="str">
        <f>T("AE")</f>
        <v>AE</v>
      </c>
      <c r="F1870" t="str">
        <f>T("096369998")</f>
        <v>096369998</v>
      </c>
      <c r="G1870" t="str">
        <f>T("MATERIAL MANAGEMENT")</f>
        <v>MATERIAL MANAGEMENT</v>
      </c>
      <c r="H1870" t="str">
        <f>T("PSC 836 BOX 2670")</f>
        <v>PSC 836 BOX 2670</v>
      </c>
      <c r="I1870" t="str">
        <f>T("FPO")</f>
        <v>FPO</v>
      </c>
      <c r="J1870" t="str">
        <f>T("AE")</f>
        <v>AE</v>
      </c>
      <c r="K1870" t="str">
        <f>T("01139095564583")</f>
        <v>01139095564583</v>
      </c>
      <c r="L1870" t="str">
        <f>T("1111111111")</f>
        <v>1111111111</v>
      </c>
    </row>
    <row r="1871" spans="1:12" x14ac:dyDescent="0.35">
      <c r="A1871" t="str">
        <f>T("US NAVAL HOSPITAL SIGONELLA")</f>
        <v>US NAVAL HOSPITAL SIGONELLA</v>
      </c>
      <c r="B1871" t="str">
        <f>T("MATERIAL MANAGEMENT")</f>
        <v>MATERIAL MANAGEMENT</v>
      </c>
      <c r="C1871" t="str">
        <f>T("PSC 836 BOX 2670")</f>
        <v>PSC 836 BOX 2670</v>
      </c>
      <c r="D1871" t="str">
        <f>T("FPO")</f>
        <v>FPO</v>
      </c>
      <c r="E1871" t="str">
        <f>T("AE")</f>
        <v>AE</v>
      </c>
      <c r="F1871" t="str">
        <f>T("096369998")</f>
        <v>096369998</v>
      </c>
      <c r="G1871" t="str">
        <f>T("MATERIAL MANAGEMENT")</f>
        <v>MATERIAL MANAGEMENT</v>
      </c>
      <c r="H1871" t="str">
        <f>T("PSC 836 BOX 2670")</f>
        <v>PSC 836 BOX 2670</v>
      </c>
      <c r="I1871" t="str">
        <f>T("FPO")</f>
        <v>FPO</v>
      </c>
      <c r="J1871" t="str">
        <f>T("AE")</f>
        <v>AE</v>
      </c>
      <c r="K1871" t="str">
        <f>T("39095564585")</f>
        <v>39095564585</v>
      </c>
      <c r="L1871" t="str">
        <f>T("1111111111")</f>
        <v>1111111111</v>
      </c>
    </row>
    <row r="1872" spans="1:12" x14ac:dyDescent="0.35">
      <c r="A1872" t="str">
        <f t="shared" ref="A1872:A1903" si="786">T("NAVAIR HEADQUARTERS")</f>
        <v>NAVAIR HEADQUARTERS</v>
      </c>
      <c r="B1872" t="str">
        <f>T("22244 CEDAR POINT ROAD")</f>
        <v>22244 CEDAR POINT ROAD</v>
      </c>
      <c r="C1872" t="str">
        <f>T("BLDG 460 RM 2100E")</f>
        <v>BLDG 460 RM 2100E</v>
      </c>
      <c r="D1872" t="str">
        <f>T("PATUXENT RVR")</f>
        <v>PATUXENT RVR</v>
      </c>
      <c r="E1872" t="str">
        <f t="shared" ref="E1872:E1903" si="787">T("MD")</f>
        <v>MD</v>
      </c>
      <c r="F1872" t="str">
        <f>T("206701163")</f>
        <v>206701163</v>
      </c>
      <c r="G1872" t="str">
        <f>T("22244 CEDAR POINT ROAD")</f>
        <v>22244 CEDAR POINT ROAD</v>
      </c>
      <c r="H1872" t="str">
        <f>T("BLDG 460 RM 2100E")</f>
        <v>BLDG 460 RM 2100E</v>
      </c>
      <c r="I1872" t="str">
        <f>T("PATUXENT RVR")</f>
        <v>PATUXENT RVR</v>
      </c>
      <c r="J1872" t="str">
        <f t="shared" ref="J1872:J1903" si="788">T("MD")</f>
        <v>MD</v>
      </c>
      <c r="K1872" t="str">
        <f t="shared" ref="K1872:K1877" si="789">T("000000000000000000")</f>
        <v>000000000000000000</v>
      </c>
      <c r="L1872" t="str">
        <f>T("3017571807")</f>
        <v>3017571807</v>
      </c>
    </row>
    <row r="1873" spans="1:12" x14ac:dyDescent="0.35">
      <c r="A1873" t="str">
        <f t="shared" si="786"/>
        <v>NAVAIR HEADQUARTERS</v>
      </c>
      <c r="B1873" t="str">
        <f>T("22289 EXPLORATION PARK DRIVE")</f>
        <v>22289 EXPLORATION PARK DRIVE</v>
      </c>
      <c r="C1873" t="str">
        <f>T("SUITE 201")</f>
        <v>SUITE 201</v>
      </c>
      <c r="D1873" t="str">
        <f>T("LEXINGTON PARK")</f>
        <v>LEXINGTON PARK</v>
      </c>
      <c r="E1873" t="str">
        <f t="shared" si="787"/>
        <v>MD</v>
      </c>
      <c r="F1873" t="str">
        <f>T("206532063")</f>
        <v>206532063</v>
      </c>
      <c r="G1873" t="str">
        <f>T("22289 EXPLORATION PARK DRIVE")</f>
        <v>22289 EXPLORATION PARK DRIVE</v>
      </c>
      <c r="H1873" t="str">
        <f>T("SUITE 201")</f>
        <v>SUITE 201</v>
      </c>
      <c r="I1873" t="str">
        <f>T("LEXINGTON PARK")</f>
        <v>LEXINGTON PARK</v>
      </c>
      <c r="J1873" t="str">
        <f t="shared" si="788"/>
        <v>MD</v>
      </c>
      <c r="K1873" t="str">
        <f t="shared" si="789"/>
        <v>000000000000000000</v>
      </c>
      <c r="L1873" t="str">
        <f>T("3017374062")</f>
        <v>3017374062</v>
      </c>
    </row>
    <row r="1874" spans="1:12" x14ac:dyDescent="0.35">
      <c r="A1874" t="str">
        <f t="shared" si="786"/>
        <v>NAVAIR HEADQUARTERS</v>
      </c>
      <c r="B1874" t="str">
        <f>T("46990 HINKLE DRIVE")</f>
        <v>46990 HINKLE DRIVE</v>
      </c>
      <c r="C1874" t="str">
        <f>T("BLDG 2272 RM 354")</f>
        <v>BLDG 2272 RM 354</v>
      </c>
      <c r="D1874" t="str">
        <f t="shared" ref="D1874:D1890" si="790">T("PATUXENT RIVER")</f>
        <v>PATUXENT RIVER</v>
      </c>
      <c r="E1874" t="str">
        <f t="shared" si="787"/>
        <v>MD</v>
      </c>
      <c r="F1874" t="str">
        <f>T("206701627")</f>
        <v>206701627</v>
      </c>
      <c r="G1874" t="str">
        <f>T("46990 HINKLE DRIVE")</f>
        <v>46990 HINKLE DRIVE</v>
      </c>
      <c r="H1874" t="str">
        <f>T("BLDG 2272 RM 354")</f>
        <v>BLDG 2272 RM 354</v>
      </c>
      <c r="I1874" t="str">
        <f t="shared" ref="I1874:I1892" si="791">T("PATUXENT RIVER")</f>
        <v>PATUXENT RIVER</v>
      </c>
      <c r="J1874" t="str">
        <f t="shared" si="788"/>
        <v>MD</v>
      </c>
      <c r="K1874" t="str">
        <f t="shared" si="789"/>
        <v>000000000000000000</v>
      </c>
      <c r="L1874" t="str">
        <f>T("3017576636")</f>
        <v>3017576636</v>
      </c>
    </row>
    <row r="1875" spans="1:12" x14ac:dyDescent="0.35">
      <c r="A1875" t="str">
        <f t="shared" si="786"/>
        <v>NAVAIR HEADQUARTERS</v>
      </c>
      <c r="B1875" t="str">
        <f>T("46990 HINKLE DRIVE")</f>
        <v>46990 HINKLE DRIVE</v>
      </c>
      <c r="C1875" t="str">
        <f>T("BLDG 2272 RM 354")</f>
        <v>BLDG 2272 RM 354</v>
      </c>
      <c r="D1875" t="str">
        <f t="shared" si="790"/>
        <v>PATUXENT RIVER</v>
      </c>
      <c r="E1875" t="str">
        <f t="shared" si="787"/>
        <v>MD</v>
      </c>
      <c r="F1875" t="str">
        <f>T("206701627")</f>
        <v>206701627</v>
      </c>
      <c r="G1875" t="str">
        <f>T("47123 BUSE ROAD")</f>
        <v>47123 BUSE ROAD</v>
      </c>
      <c r="H1875" t="str">
        <f>T("BLDG 2272 SUITE 350")</f>
        <v>BLDG 2272 SUITE 350</v>
      </c>
      <c r="I1875" t="str">
        <f t="shared" si="791"/>
        <v>PATUXENT RIVER</v>
      </c>
      <c r="J1875" t="str">
        <f t="shared" si="788"/>
        <v>MD</v>
      </c>
      <c r="K1875" t="str">
        <f t="shared" si="789"/>
        <v>000000000000000000</v>
      </c>
      <c r="L1875" t="str">
        <f>T("3017576714")</f>
        <v>3017576714</v>
      </c>
    </row>
    <row r="1876" spans="1:12" x14ac:dyDescent="0.35">
      <c r="A1876" t="str">
        <f t="shared" si="786"/>
        <v>NAVAIR HEADQUARTERS</v>
      </c>
      <c r="B1876" t="str">
        <f>T("46990 HINKLE DRIVE")</f>
        <v>46990 HINKLE DRIVE</v>
      </c>
      <c r="C1876" t="str">
        <f>T("BLDG 2272 RM 354")</f>
        <v>BLDG 2272 RM 354</v>
      </c>
      <c r="D1876" t="str">
        <f t="shared" si="790"/>
        <v>PATUXENT RIVER</v>
      </c>
      <c r="E1876" t="str">
        <f t="shared" si="787"/>
        <v>MD</v>
      </c>
      <c r="F1876" t="str">
        <f>T("206701627")</f>
        <v>206701627</v>
      </c>
      <c r="G1876" t="str">
        <f>T("47123 BUSE ROAD")</f>
        <v>47123 BUSE ROAD</v>
      </c>
      <c r="H1876" t="str">
        <f>T("BLDG 2272 SUITE 354")</f>
        <v>BLDG 2272 SUITE 354</v>
      </c>
      <c r="I1876" t="str">
        <f t="shared" si="791"/>
        <v>PATUXENT RIVER</v>
      </c>
      <c r="J1876" t="str">
        <f t="shared" si="788"/>
        <v>MD</v>
      </c>
      <c r="K1876" t="str">
        <f t="shared" si="789"/>
        <v>000000000000000000</v>
      </c>
      <c r="L1876" t="str">
        <f>T("3017576615")</f>
        <v>3017576615</v>
      </c>
    </row>
    <row r="1877" spans="1:12" x14ac:dyDescent="0.35">
      <c r="A1877" t="str">
        <f t="shared" si="786"/>
        <v>NAVAIR HEADQUARTERS</v>
      </c>
      <c r="B1877" t="str">
        <f>T("47013 HINKLE CIRCLE")</f>
        <v>47013 HINKLE CIRCLE</v>
      </c>
      <c r="C1877" t="str">
        <f>T("BLDG 416 ROOM 202")</f>
        <v>BLDG 416 ROOM 202</v>
      </c>
      <c r="D1877" t="str">
        <f t="shared" si="790"/>
        <v>PATUXENT RIVER</v>
      </c>
      <c r="E1877" t="str">
        <f t="shared" si="787"/>
        <v>MD</v>
      </c>
      <c r="F1877" t="str">
        <f>T("206701628")</f>
        <v>206701628</v>
      </c>
      <c r="G1877" t="str">
        <f>T("47013 HINKLE CIRCLE")</f>
        <v>47013 HINKLE CIRCLE</v>
      </c>
      <c r="H1877" t="str">
        <f>T("BLDG 416")</f>
        <v>BLDG 416</v>
      </c>
      <c r="I1877" t="str">
        <f t="shared" si="791"/>
        <v>PATUXENT RIVER</v>
      </c>
      <c r="J1877" t="str">
        <f t="shared" si="788"/>
        <v>MD</v>
      </c>
      <c r="K1877" t="str">
        <f t="shared" si="789"/>
        <v>000000000000000000</v>
      </c>
      <c r="L1877" t="str">
        <f>T("3013424194")</f>
        <v>3013424194</v>
      </c>
    </row>
    <row r="1878" spans="1:12" x14ac:dyDescent="0.35">
      <c r="A1878" t="str">
        <f t="shared" si="786"/>
        <v>NAVAIR HEADQUARTERS</v>
      </c>
      <c r="B1878" t="str">
        <f>T("47013 HINKLE CIRCLE")</f>
        <v>47013 HINKLE CIRCLE</v>
      </c>
      <c r="C1878" t="str">
        <f>T("BLDG 416 ROOM 202")</f>
        <v>BLDG 416 ROOM 202</v>
      </c>
      <c r="D1878" t="str">
        <f t="shared" si="790"/>
        <v>PATUXENT RIVER</v>
      </c>
      <c r="E1878" t="str">
        <f t="shared" si="787"/>
        <v>MD</v>
      </c>
      <c r="F1878" t="str">
        <f>T("206701628")</f>
        <v>206701628</v>
      </c>
      <c r="G1878" t="str">
        <f>T("47013 HINKLE CIRCLE")</f>
        <v>47013 HINKLE CIRCLE</v>
      </c>
      <c r="H1878" t="str">
        <f>T("BLDG 416 ROOM 202")</f>
        <v>BLDG 416 ROOM 202</v>
      </c>
      <c r="I1878" t="str">
        <f t="shared" si="791"/>
        <v>PATUXENT RIVER</v>
      </c>
      <c r="J1878" t="str">
        <f t="shared" si="788"/>
        <v>MD</v>
      </c>
      <c r="K1878" t="str">
        <f>T("")</f>
        <v/>
      </c>
      <c r="L1878" t="str">
        <f>T("3018662432")</f>
        <v>3018662432</v>
      </c>
    </row>
    <row r="1879" spans="1:12" x14ac:dyDescent="0.35">
      <c r="A1879" t="str">
        <f t="shared" si="786"/>
        <v>NAVAIR HEADQUARTERS</v>
      </c>
      <c r="B1879" t="str">
        <f>T("47033 MCLEOD RD")</f>
        <v>47033 MCLEOD RD</v>
      </c>
      <c r="C1879" t="str">
        <f>T("BLDG 449 ROOM 218")</f>
        <v>BLDG 449 ROOM 218</v>
      </c>
      <c r="D1879" t="str">
        <f t="shared" si="790"/>
        <v>PATUXENT RIVER</v>
      </c>
      <c r="E1879" t="str">
        <f t="shared" si="787"/>
        <v>MD</v>
      </c>
      <c r="F1879" t="str">
        <f>T("206701625")</f>
        <v>206701625</v>
      </c>
      <c r="G1879" t="str">
        <f>T("47033 MCLEOD RD")</f>
        <v>47033 MCLEOD RD</v>
      </c>
      <c r="H1879" t="str">
        <f>T("BLDG 449")</f>
        <v>BLDG 449</v>
      </c>
      <c r="I1879" t="str">
        <f t="shared" si="791"/>
        <v>PATUXENT RIVER</v>
      </c>
      <c r="J1879" t="str">
        <f t="shared" si="788"/>
        <v>MD</v>
      </c>
      <c r="K1879" t="str">
        <f>T("000000000000000000")</f>
        <v>000000000000000000</v>
      </c>
      <c r="L1879" t="str">
        <f>T("3017573338")</f>
        <v>3017573338</v>
      </c>
    </row>
    <row r="1880" spans="1:12" x14ac:dyDescent="0.35">
      <c r="A1880" t="str">
        <f t="shared" si="786"/>
        <v>NAVAIR HEADQUARTERS</v>
      </c>
      <c r="B1880" t="str">
        <f>T("47033 MCLEOD RD")</f>
        <v>47033 MCLEOD RD</v>
      </c>
      <c r="C1880" t="str">
        <f>T("BLDG 449 ROOM 218")</f>
        <v>BLDG 449 ROOM 218</v>
      </c>
      <c r="D1880" t="str">
        <f t="shared" si="790"/>
        <v>PATUXENT RIVER</v>
      </c>
      <c r="E1880" t="str">
        <f t="shared" si="787"/>
        <v>MD</v>
      </c>
      <c r="F1880" t="str">
        <f>T("206701625")</f>
        <v>206701625</v>
      </c>
      <c r="G1880" t="str">
        <f>T("47033 MCLEOD RD")</f>
        <v>47033 MCLEOD RD</v>
      </c>
      <c r="H1880" t="str">
        <f>T("BLDG 449 ROOM 218")</f>
        <v>BLDG 449 ROOM 218</v>
      </c>
      <c r="I1880" t="str">
        <f t="shared" si="791"/>
        <v>PATUXENT RIVER</v>
      </c>
      <c r="J1880" t="str">
        <f t="shared" si="788"/>
        <v>MD</v>
      </c>
      <c r="K1880" t="str">
        <f>T("000000000000000000")</f>
        <v>000000000000000000</v>
      </c>
      <c r="L1880" t="str">
        <f>T("3017578436")</f>
        <v>3017578436</v>
      </c>
    </row>
    <row r="1881" spans="1:12" x14ac:dyDescent="0.35">
      <c r="A1881" t="str">
        <f t="shared" si="786"/>
        <v>NAVAIR HEADQUARTERS</v>
      </c>
      <c r="B1881" t="str">
        <f>T("47033 MCLEOD ROAD")</f>
        <v>47033 MCLEOD ROAD</v>
      </c>
      <c r="C1881" t="str">
        <f>T("BLDG 449 ROOM 200B")</f>
        <v>BLDG 449 ROOM 200B</v>
      </c>
      <c r="D1881" t="str">
        <f t="shared" si="790"/>
        <v>PATUXENT RIVER</v>
      </c>
      <c r="E1881" t="str">
        <f t="shared" si="787"/>
        <v>MD</v>
      </c>
      <c r="F1881" t="str">
        <f>T("206701625")</f>
        <v>206701625</v>
      </c>
      <c r="G1881" t="str">
        <f>T("47033 MCLEOD ROAD")</f>
        <v>47033 MCLEOD ROAD</v>
      </c>
      <c r="H1881" t="str">
        <f>T("BLDG 449 ROOM 200B")</f>
        <v>BLDG 449 ROOM 200B</v>
      </c>
      <c r="I1881" t="str">
        <f t="shared" si="791"/>
        <v>PATUXENT RIVER</v>
      </c>
      <c r="J1881" t="str">
        <f t="shared" si="788"/>
        <v>MD</v>
      </c>
      <c r="K1881" t="str">
        <f>T("")</f>
        <v/>
      </c>
      <c r="L1881" t="str">
        <f>T("3017574035")</f>
        <v>3017574035</v>
      </c>
    </row>
    <row r="1882" spans="1:12" x14ac:dyDescent="0.35">
      <c r="A1882" t="str">
        <f t="shared" si="786"/>
        <v>NAVAIR HEADQUARTERS</v>
      </c>
      <c r="B1882" t="str">
        <f>T("47033 MCLEOD ROAD")</f>
        <v>47033 MCLEOD ROAD</v>
      </c>
      <c r="C1882" t="str">
        <f>T("BLDG 449 ROOM 200B")</f>
        <v>BLDG 449 ROOM 200B</v>
      </c>
      <c r="D1882" t="str">
        <f t="shared" si="790"/>
        <v>PATUXENT RIVER</v>
      </c>
      <c r="E1882" t="str">
        <f t="shared" si="787"/>
        <v>MD</v>
      </c>
      <c r="F1882" t="str">
        <f>T("206701625")</f>
        <v>206701625</v>
      </c>
      <c r="G1882" t="str">
        <f>T("47033 MCLEOD ROAD")</f>
        <v>47033 MCLEOD ROAD</v>
      </c>
      <c r="H1882" t="str">
        <f>T("BLDG 449 SUITE 200B")</f>
        <v>BLDG 449 SUITE 200B</v>
      </c>
      <c r="I1882" t="str">
        <f t="shared" si="791"/>
        <v>PATUXENT RIVER</v>
      </c>
      <c r="J1882" t="str">
        <f t="shared" si="788"/>
        <v>MD</v>
      </c>
      <c r="K1882" t="str">
        <f>T("000000000000000000")</f>
        <v>000000000000000000</v>
      </c>
      <c r="L1882" t="str">
        <f>T("3017579111")</f>
        <v>3017579111</v>
      </c>
    </row>
    <row r="1883" spans="1:12" x14ac:dyDescent="0.35">
      <c r="A1883" t="str">
        <f t="shared" si="786"/>
        <v>NAVAIR HEADQUARTERS</v>
      </c>
      <c r="B1883" t="str">
        <f>T("47038 MCLEOD RD")</f>
        <v>47038 MCLEOD RD</v>
      </c>
      <c r="C1883" t="str">
        <f>T("BLDG 448 SUITE 100B")</f>
        <v>BLDG 448 SUITE 100B</v>
      </c>
      <c r="D1883" t="str">
        <f t="shared" si="790"/>
        <v>PATUXENT RIVER</v>
      </c>
      <c r="E1883" t="str">
        <f t="shared" si="787"/>
        <v>MD</v>
      </c>
      <c r="F1883" t="str">
        <f t="shared" ref="F1883:F1890" si="792">T("206701626")</f>
        <v>206701626</v>
      </c>
      <c r="G1883" t="str">
        <f>T("47038 MCLEOD RD")</f>
        <v>47038 MCLEOD RD</v>
      </c>
      <c r="H1883" t="str">
        <f>T("BLDG 446 100B")</f>
        <v>BLDG 446 100B</v>
      </c>
      <c r="I1883" t="str">
        <f t="shared" si="791"/>
        <v>PATUXENT RIVER</v>
      </c>
      <c r="J1883" t="str">
        <f t="shared" si="788"/>
        <v>MD</v>
      </c>
      <c r="K1883" t="str">
        <f>T("000000000000000000")</f>
        <v>000000000000000000</v>
      </c>
      <c r="L1883" t="str">
        <f>T("3017578670")</f>
        <v>3017578670</v>
      </c>
    </row>
    <row r="1884" spans="1:12" x14ac:dyDescent="0.35">
      <c r="A1884" t="str">
        <f t="shared" si="786"/>
        <v>NAVAIR HEADQUARTERS</v>
      </c>
      <c r="B1884" t="str">
        <f>T("47038 MCLEOD RD")</f>
        <v>47038 MCLEOD RD</v>
      </c>
      <c r="C1884" t="str">
        <f>T("BLDG 448 SUITE 100B")</f>
        <v>BLDG 448 SUITE 100B</v>
      </c>
      <c r="D1884" t="str">
        <f t="shared" si="790"/>
        <v>PATUXENT RIVER</v>
      </c>
      <c r="E1884" t="str">
        <f t="shared" si="787"/>
        <v>MD</v>
      </c>
      <c r="F1884" t="str">
        <f t="shared" si="792"/>
        <v>206701626</v>
      </c>
      <c r="G1884" t="str">
        <f>T("47038 MCLEOD RD")</f>
        <v>47038 MCLEOD RD</v>
      </c>
      <c r="H1884" t="str">
        <f>T("BLDG 448")</f>
        <v>BLDG 448</v>
      </c>
      <c r="I1884" t="str">
        <f t="shared" si="791"/>
        <v>PATUXENT RIVER</v>
      </c>
      <c r="J1884" t="str">
        <f t="shared" si="788"/>
        <v>MD</v>
      </c>
      <c r="K1884" t="str">
        <f>T("000000000000000000")</f>
        <v>000000000000000000</v>
      </c>
      <c r="L1884" t="str">
        <f>T("3017573061")</f>
        <v>3017573061</v>
      </c>
    </row>
    <row r="1885" spans="1:12" x14ac:dyDescent="0.35">
      <c r="A1885" t="str">
        <f t="shared" si="786"/>
        <v>NAVAIR HEADQUARTERS</v>
      </c>
      <c r="B1885" t="str">
        <f>T("47038 MCLEOD RD")</f>
        <v>47038 MCLEOD RD</v>
      </c>
      <c r="C1885" t="str">
        <f>T("BLDG 448 SUITE 100B")</f>
        <v>BLDG 448 SUITE 100B</v>
      </c>
      <c r="D1885" t="str">
        <f t="shared" si="790"/>
        <v>PATUXENT RIVER</v>
      </c>
      <c r="E1885" t="str">
        <f t="shared" si="787"/>
        <v>MD</v>
      </c>
      <c r="F1885" t="str">
        <f t="shared" si="792"/>
        <v>206701626</v>
      </c>
      <c r="G1885" t="str">
        <f>T("47038 MCLEOD RD")</f>
        <v>47038 MCLEOD RD</v>
      </c>
      <c r="H1885" t="str">
        <f>T("BLDG 448 SUITE 100B")</f>
        <v>BLDG 448 SUITE 100B</v>
      </c>
      <c r="I1885" t="str">
        <f t="shared" si="791"/>
        <v>PATUXENT RIVER</v>
      </c>
      <c r="J1885" t="str">
        <f t="shared" si="788"/>
        <v>MD</v>
      </c>
      <c r="K1885" t="str">
        <f>T("")</f>
        <v/>
      </c>
      <c r="L1885" t="str">
        <f>T("3017578668")</f>
        <v>3017578668</v>
      </c>
    </row>
    <row r="1886" spans="1:12" x14ac:dyDescent="0.35">
      <c r="A1886" t="str">
        <f t="shared" si="786"/>
        <v>NAVAIR HEADQUARTERS</v>
      </c>
      <c r="B1886" t="str">
        <f>T("47038 MCLEOD RD")</f>
        <v>47038 MCLEOD RD</v>
      </c>
      <c r="C1886" t="str">
        <f>T("BLDG 448 SUITE 100B")</f>
        <v>BLDG 448 SUITE 100B</v>
      </c>
      <c r="D1886" t="str">
        <f t="shared" si="790"/>
        <v>PATUXENT RIVER</v>
      </c>
      <c r="E1886" t="str">
        <f t="shared" si="787"/>
        <v>MD</v>
      </c>
      <c r="F1886" t="str">
        <f t="shared" si="792"/>
        <v>206701626</v>
      </c>
      <c r="G1886" t="str">
        <f>T("47038 MCLEOD ROAD")</f>
        <v>47038 MCLEOD ROAD</v>
      </c>
      <c r="H1886" t="str">
        <f>T("B448 SUITE 100B UNIT 8")</f>
        <v>B448 SUITE 100B UNIT 8</v>
      </c>
      <c r="I1886" t="str">
        <f t="shared" si="791"/>
        <v>PATUXENT RIVER</v>
      </c>
      <c r="J1886" t="str">
        <f t="shared" si="788"/>
        <v>MD</v>
      </c>
      <c r="K1886" t="str">
        <f t="shared" ref="K1886:K1892" si="793">T("000000000000000000")</f>
        <v>000000000000000000</v>
      </c>
      <c r="L1886" t="str">
        <f>T("3017578661")</f>
        <v>3017578661</v>
      </c>
    </row>
    <row r="1887" spans="1:12" x14ac:dyDescent="0.35">
      <c r="A1887" t="str">
        <f t="shared" si="786"/>
        <v>NAVAIR HEADQUARTERS</v>
      </c>
      <c r="B1887" t="str">
        <f>T("47038 MCLEOD ROAD")</f>
        <v>47038 MCLEOD ROAD</v>
      </c>
      <c r="C1887" t="str">
        <f>T("BLDG 448 SUITE 001A")</f>
        <v>BLDG 448 SUITE 001A</v>
      </c>
      <c r="D1887" t="str">
        <f t="shared" si="790"/>
        <v>PATUXENT RIVER</v>
      </c>
      <c r="E1887" t="str">
        <f t="shared" si="787"/>
        <v>MD</v>
      </c>
      <c r="F1887" t="str">
        <f t="shared" si="792"/>
        <v>206701626</v>
      </c>
      <c r="G1887" t="str">
        <f>T("47038 MCLEOD RD")</f>
        <v>47038 MCLEOD RD</v>
      </c>
      <c r="H1887" t="str">
        <f>T("BLDG 448 SUITE 001A")</f>
        <v>BLDG 448 SUITE 001A</v>
      </c>
      <c r="I1887" t="str">
        <f t="shared" si="791"/>
        <v>PATUXENT RIVER</v>
      </c>
      <c r="J1887" t="str">
        <f t="shared" si="788"/>
        <v>MD</v>
      </c>
      <c r="K1887" t="str">
        <f t="shared" si="793"/>
        <v>000000000000000000</v>
      </c>
      <c r="L1887" t="str">
        <f>T("3017578625")</f>
        <v>3017578625</v>
      </c>
    </row>
    <row r="1888" spans="1:12" x14ac:dyDescent="0.35">
      <c r="A1888" t="str">
        <f t="shared" si="786"/>
        <v>NAVAIR HEADQUARTERS</v>
      </c>
      <c r="B1888" t="str">
        <f>T("47038 MCLEOD ROAD")</f>
        <v>47038 MCLEOD ROAD</v>
      </c>
      <c r="C1888" t="str">
        <f>T("BLDG 448 SUITE 001A")</f>
        <v>BLDG 448 SUITE 001A</v>
      </c>
      <c r="D1888" t="str">
        <f t="shared" si="790"/>
        <v>PATUXENT RIVER</v>
      </c>
      <c r="E1888" t="str">
        <f t="shared" si="787"/>
        <v>MD</v>
      </c>
      <c r="F1888" t="str">
        <f t="shared" si="792"/>
        <v>206701626</v>
      </c>
      <c r="G1888" t="str">
        <f>T("47038 MCLEOD RD")</f>
        <v>47038 MCLEOD RD</v>
      </c>
      <c r="H1888" t="str">
        <f>T("BLDG 448 SUITE 001A UNIT 8")</f>
        <v>BLDG 448 SUITE 001A UNIT 8</v>
      </c>
      <c r="I1888" t="str">
        <f t="shared" si="791"/>
        <v>PATUXENT RIVER</v>
      </c>
      <c r="J1888" t="str">
        <f t="shared" si="788"/>
        <v>MD</v>
      </c>
      <c r="K1888" t="str">
        <f t="shared" si="793"/>
        <v>000000000000000000</v>
      </c>
      <c r="L1888" t="str">
        <f>T("3017571153")</f>
        <v>3017571153</v>
      </c>
    </row>
    <row r="1889" spans="1:12" x14ac:dyDescent="0.35">
      <c r="A1889" t="str">
        <f t="shared" si="786"/>
        <v>NAVAIR HEADQUARTERS</v>
      </c>
      <c r="B1889" t="str">
        <f>T("47038 MCLEOD ROAD")</f>
        <v>47038 MCLEOD ROAD</v>
      </c>
      <c r="C1889" t="str">
        <f>T("BLDG 448 SUITE 001A")</f>
        <v>BLDG 448 SUITE 001A</v>
      </c>
      <c r="D1889" t="str">
        <f t="shared" si="790"/>
        <v>PATUXENT RIVER</v>
      </c>
      <c r="E1889" t="str">
        <f t="shared" si="787"/>
        <v>MD</v>
      </c>
      <c r="F1889" t="str">
        <f t="shared" si="792"/>
        <v>206701626</v>
      </c>
      <c r="G1889" t="str">
        <f>T("47038 MCLEOD RD")</f>
        <v>47038 MCLEOD RD</v>
      </c>
      <c r="H1889" t="str">
        <f>T("BLDG 488 SUITE 001A")</f>
        <v>BLDG 488 SUITE 001A</v>
      </c>
      <c r="I1889" t="str">
        <f t="shared" si="791"/>
        <v>PATUXENT RIVER</v>
      </c>
      <c r="J1889" t="str">
        <f t="shared" si="788"/>
        <v>MD</v>
      </c>
      <c r="K1889" t="str">
        <f t="shared" si="793"/>
        <v>000000000000000000</v>
      </c>
      <c r="L1889" t="str">
        <f>T("3013424432")</f>
        <v>3013424432</v>
      </c>
    </row>
    <row r="1890" spans="1:12" x14ac:dyDescent="0.35">
      <c r="A1890" t="str">
        <f t="shared" si="786"/>
        <v>NAVAIR HEADQUARTERS</v>
      </c>
      <c r="B1890" t="str">
        <f>T("47038 MCLEOD ROAD")</f>
        <v>47038 MCLEOD ROAD</v>
      </c>
      <c r="C1890" t="str">
        <f>T("BLDG 448 SUITE 001A")</f>
        <v>BLDG 448 SUITE 001A</v>
      </c>
      <c r="D1890" t="str">
        <f t="shared" si="790"/>
        <v>PATUXENT RIVER</v>
      </c>
      <c r="E1890" t="str">
        <f t="shared" si="787"/>
        <v>MD</v>
      </c>
      <c r="F1890" t="str">
        <f t="shared" si="792"/>
        <v>206701626</v>
      </c>
      <c r="G1890" t="str">
        <f>T("47038 MCLEOD ROAD")</f>
        <v>47038 MCLEOD ROAD</v>
      </c>
      <c r="H1890" t="str">
        <f>T("BLDG 448 SUITE 001A")</f>
        <v>BLDG 448 SUITE 001A</v>
      </c>
      <c r="I1890" t="str">
        <f t="shared" si="791"/>
        <v>PATUXENT RIVER</v>
      </c>
      <c r="J1890" t="str">
        <f t="shared" si="788"/>
        <v>MD</v>
      </c>
      <c r="K1890" t="str">
        <f t="shared" si="793"/>
        <v>000000000000000000</v>
      </c>
      <c r="L1890" t="str">
        <f>T("3017578629")</f>
        <v>3017578629</v>
      </c>
    </row>
    <row r="1891" spans="1:12" x14ac:dyDescent="0.35">
      <c r="A1891" t="str">
        <f t="shared" si="786"/>
        <v>NAVAIR HEADQUARTERS</v>
      </c>
      <c r="B1891" t="str">
        <f>T("47045 MCLEOD RD")</f>
        <v>47045 MCLEOD RD</v>
      </c>
      <c r="C1891" t="str">
        <f>T("BLDG 449 SUITE 102")</f>
        <v>BLDG 449 SUITE 102</v>
      </c>
      <c r="D1891" t="str">
        <f>T("PATUXENT RVR")</f>
        <v>PATUXENT RVR</v>
      </c>
      <c r="E1891" t="str">
        <f t="shared" si="787"/>
        <v>MD</v>
      </c>
      <c r="F1891" t="str">
        <f>T("206701625")</f>
        <v>206701625</v>
      </c>
      <c r="G1891" t="str">
        <f>T("47033 MCLEOD ROAD")</f>
        <v>47033 MCLEOD ROAD</v>
      </c>
      <c r="H1891" t="str">
        <f>T("BLDG 449")</f>
        <v>BLDG 449</v>
      </c>
      <c r="I1891" t="str">
        <f t="shared" si="791"/>
        <v>PATUXENT RIVER</v>
      </c>
      <c r="J1891" t="str">
        <f t="shared" si="788"/>
        <v>MD</v>
      </c>
      <c r="K1891" t="str">
        <f t="shared" si="793"/>
        <v>000000000000000000</v>
      </c>
      <c r="L1891" t="str">
        <f>T("3019952939")</f>
        <v>3019952939</v>
      </c>
    </row>
    <row r="1892" spans="1:12" x14ac:dyDescent="0.35">
      <c r="A1892" t="str">
        <f t="shared" si="786"/>
        <v>NAVAIR HEADQUARTERS</v>
      </c>
      <c r="B1892" t="str">
        <f>T("47045 MCLEOD RD")</f>
        <v>47045 MCLEOD RD</v>
      </c>
      <c r="C1892" t="str">
        <f>T("BLDG 449 SUITE 102")</f>
        <v>BLDG 449 SUITE 102</v>
      </c>
      <c r="D1892" t="str">
        <f>T("PATUXENT RVR")</f>
        <v>PATUXENT RVR</v>
      </c>
      <c r="E1892" t="str">
        <f t="shared" si="787"/>
        <v>MD</v>
      </c>
      <c r="F1892" t="str">
        <f>T("206701625")</f>
        <v>206701625</v>
      </c>
      <c r="G1892" t="str">
        <f>T("47033 MCLEOD ROAD")</f>
        <v>47033 MCLEOD ROAD</v>
      </c>
      <c r="H1892" t="str">
        <f>T("BLDG 449 ROOM 100A")</f>
        <v>BLDG 449 ROOM 100A</v>
      </c>
      <c r="I1892" t="str">
        <f t="shared" si="791"/>
        <v>PATUXENT RIVER</v>
      </c>
      <c r="J1892" t="str">
        <f t="shared" si="788"/>
        <v>MD</v>
      </c>
      <c r="K1892" t="str">
        <f t="shared" si="793"/>
        <v>000000000000000000</v>
      </c>
      <c r="L1892" t="str">
        <f>T("3017578300")</f>
        <v>3017578300</v>
      </c>
    </row>
    <row r="1893" spans="1:12" x14ac:dyDescent="0.35">
      <c r="A1893" t="str">
        <f t="shared" si="786"/>
        <v>NAVAIR HEADQUARTERS</v>
      </c>
      <c r="B1893" t="str">
        <f>T("47045 MCLEOD RD")</f>
        <v>47045 MCLEOD RD</v>
      </c>
      <c r="C1893" t="str">
        <f>T("BLDG 449 SUITE 102")</f>
        <v>BLDG 449 SUITE 102</v>
      </c>
      <c r="D1893" t="str">
        <f>T("PATUXENT RVR")</f>
        <v>PATUXENT RVR</v>
      </c>
      <c r="E1893" t="str">
        <f t="shared" si="787"/>
        <v>MD</v>
      </c>
      <c r="F1893" t="str">
        <f>T("206701625")</f>
        <v>206701625</v>
      </c>
      <c r="G1893" t="str">
        <f>T("47045 MCLEOD RD")</f>
        <v>47045 MCLEOD RD</v>
      </c>
      <c r="H1893" t="str">
        <f>T("BLDG 449 SUITE 102")</f>
        <v>BLDG 449 SUITE 102</v>
      </c>
      <c r="I1893" t="str">
        <f>T("PATUXENT RVR")</f>
        <v>PATUXENT RVR</v>
      </c>
      <c r="J1893" t="str">
        <f t="shared" si="788"/>
        <v>MD</v>
      </c>
      <c r="K1893" t="str">
        <f>T("")</f>
        <v/>
      </c>
      <c r="L1893" t="str">
        <f>T("3013424776")</f>
        <v>3013424776</v>
      </c>
    </row>
    <row r="1894" spans="1:12" x14ac:dyDescent="0.35">
      <c r="A1894" t="str">
        <f t="shared" si="786"/>
        <v>NAVAIR HEADQUARTERS</v>
      </c>
      <c r="B1894" t="str">
        <f>T("47060 MCLEOD RD")</f>
        <v>47060 MCLEOD RD</v>
      </c>
      <c r="C1894" t="str">
        <f>T("BLDG 447 STE 100B")</f>
        <v>BLDG 447 STE 100B</v>
      </c>
      <c r="D1894" t="str">
        <f t="shared" ref="D1894:D1902" si="794">T("PATUXENT RIVER")</f>
        <v>PATUXENT RIVER</v>
      </c>
      <c r="E1894" t="str">
        <f t="shared" si="787"/>
        <v>MD</v>
      </c>
      <c r="F1894" t="str">
        <f>T("206701632")</f>
        <v>206701632</v>
      </c>
      <c r="G1894" t="str">
        <f>T("47060 MCLEOD RD")</f>
        <v>47060 MCLEOD RD</v>
      </c>
      <c r="H1894" t="str">
        <f>T("BLDG 447 STE 100B")</f>
        <v>BLDG 447 STE 100B</v>
      </c>
      <c r="I1894" t="str">
        <f t="shared" ref="I1894:I1902" si="795">T("PATUXENT RIVER")</f>
        <v>PATUXENT RIVER</v>
      </c>
      <c r="J1894" t="str">
        <f t="shared" si="788"/>
        <v>MD</v>
      </c>
      <c r="K1894" t="str">
        <f>T("000000000000000000")</f>
        <v>000000000000000000</v>
      </c>
      <c r="L1894" t="str">
        <f>T("3017579157")</f>
        <v>3017579157</v>
      </c>
    </row>
    <row r="1895" spans="1:12" x14ac:dyDescent="0.35">
      <c r="A1895" t="str">
        <f t="shared" si="786"/>
        <v>NAVAIR HEADQUARTERS</v>
      </c>
      <c r="B1895" t="str">
        <f>T("47060 MCLEOD RD")</f>
        <v>47060 MCLEOD RD</v>
      </c>
      <c r="C1895" t="str">
        <f>T("BLDG 447 STE 100B")</f>
        <v>BLDG 447 STE 100B</v>
      </c>
      <c r="D1895" t="str">
        <f t="shared" si="794"/>
        <v>PATUXENT RIVER</v>
      </c>
      <c r="E1895" t="str">
        <f t="shared" si="787"/>
        <v>MD</v>
      </c>
      <c r="F1895" t="str">
        <f>T("206701632")</f>
        <v>206701632</v>
      </c>
      <c r="G1895" t="str">
        <f>T("47060 MCLEOD ROAD")</f>
        <v>47060 MCLEOD ROAD</v>
      </c>
      <c r="H1895" t="str">
        <f>T("BLDG 447")</f>
        <v>BLDG 447</v>
      </c>
      <c r="I1895" t="str">
        <f t="shared" si="795"/>
        <v>PATUXENT RIVER</v>
      </c>
      <c r="J1895" t="str">
        <f t="shared" si="788"/>
        <v>MD</v>
      </c>
      <c r="K1895" t="str">
        <f>T("000000000000000000")</f>
        <v>000000000000000000</v>
      </c>
      <c r="L1895" t="str">
        <f>T("3017573322")</f>
        <v>3017573322</v>
      </c>
    </row>
    <row r="1896" spans="1:12" x14ac:dyDescent="0.35">
      <c r="A1896" t="str">
        <f t="shared" si="786"/>
        <v>NAVAIR HEADQUARTERS</v>
      </c>
      <c r="B1896" t="str">
        <f>T("47122 LILJENCRANTZ RD")</f>
        <v>47122 LILJENCRANTZ RD</v>
      </c>
      <c r="C1896" t="str">
        <f>T("BLDG 440 ROOM 11A")</f>
        <v>BLDG 440 ROOM 11A</v>
      </c>
      <c r="D1896" t="str">
        <f t="shared" si="794"/>
        <v>PATUXENT RIVER</v>
      </c>
      <c r="E1896" t="str">
        <f t="shared" si="787"/>
        <v>MD</v>
      </c>
      <c r="F1896" t="str">
        <f>T("206700000")</f>
        <v>206700000</v>
      </c>
      <c r="G1896" t="str">
        <f>T("22449 SAUFLEY RD")</f>
        <v>22449 SAUFLEY RD</v>
      </c>
      <c r="H1896" t="str">
        <f>T("BLDG 1354 ROOM 101")</f>
        <v>BLDG 1354 ROOM 101</v>
      </c>
      <c r="I1896" t="str">
        <f t="shared" si="795"/>
        <v>PATUXENT RIVER</v>
      </c>
      <c r="J1896" t="str">
        <f t="shared" si="788"/>
        <v>MD</v>
      </c>
      <c r="K1896" t="str">
        <f>T("000000000000000000")</f>
        <v>000000000000000000</v>
      </c>
      <c r="L1896" t="str">
        <f>T("3013421269")</f>
        <v>3013421269</v>
      </c>
    </row>
    <row r="1897" spans="1:12" x14ac:dyDescent="0.35">
      <c r="A1897" t="str">
        <f t="shared" si="786"/>
        <v>NAVAIR HEADQUARTERS</v>
      </c>
      <c r="B1897" t="str">
        <f>T("47122 LILJENCRANTZ RD")</f>
        <v>47122 LILJENCRANTZ RD</v>
      </c>
      <c r="C1897" t="str">
        <f>T("BLDG 440 ROOM 11A")</f>
        <v>BLDG 440 ROOM 11A</v>
      </c>
      <c r="D1897" t="str">
        <f t="shared" si="794"/>
        <v>PATUXENT RIVER</v>
      </c>
      <c r="E1897" t="str">
        <f t="shared" si="787"/>
        <v>MD</v>
      </c>
      <c r="F1897" t="str">
        <f>T("206700000")</f>
        <v>206700000</v>
      </c>
      <c r="G1897" t="str">
        <f>T("47122 LILJENCRANTZ RD")</f>
        <v>47122 LILJENCRANTZ RD</v>
      </c>
      <c r="H1897" t="str">
        <f>T("BLDG 440 ROOM 11A")</f>
        <v>BLDG 440 ROOM 11A</v>
      </c>
      <c r="I1897" t="str">
        <f t="shared" si="795"/>
        <v>PATUXENT RIVER</v>
      </c>
      <c r="J1897" t="str">
        <f t="shared" si="788"/>
        <v>MD</v>
      </c>
      <c r="K1897" t="str">
        <f>T("")</f>
        <v/>
      </c>
      <c r="L1897" t="str">
        <f>T("3013423616")</f>
        <v>3013423616</v>
      </c>
    </row>
    <row r="1898" spans="1:12" x14ac:dyDescent="0.35">
      <c r="A1898" t="str">
        <f t="shared" si="786"/>
        <v>NAVAIR HEADQUARTERS</v>
      </c>
      <c r="B1898" t="str">
        <f>T("47122 LILJENCRANTZ RD")</f>
        <v>47122 LILJENCRANTZ RD</v>
      </c>
      <c r="C1898" t="str">
        <f>T("BLDG 440 ROOM 11A")</f>
        <v>BLDG 440 ROOM 11A</v>
      </c>
      <c r="D1898" t="str">
        <f t="shared" si="794"/>
        <v>PATUXENT RIVER</v>
      </c>
      <c r="E1898" t="str">
        <f t="shared" si="787"/>
        <v>MD</v>
      </c>
      <c r="F1898" t="str">
        <f>T("206700000")</f>
        <v>206700000</v>
      </c>
      <c r="G1898" t="str">
        <f>T("47122 LILJENCRANTZ ROAD")</f>
        <v>47122 LILJENCRANTZ ROAD</v>
      </c>
      <c r="H1898" t="str">
        <f>T("")</f>
        <v/>
      </c>
      <c r="I1898" t="str">
        <f t="shared" si="795"/>
        <v>PATUXENT RIVER</v>
      </c>
      <c r="J1898" t="str">
        <f t="shared" si="788"/>
        <v>MD</v>
      </c>
      <c r="K1898" t="str">
        <f>T("000000000000000000")</f>
        <v>000000000000000000</v>
      </c>
      <c r="L1898" t="str">
        <f>T("3013424820")</f>
        <v>3013424820</v>
      </c>
    </row>
    <row r="1899" spans="1:12" x14ac:dyDescent="0.35">
      <c r="A1899" t="str">
        <f t="shared" si="786"/>
        <v>NAVAIR HEADQUARTERS</v>
      </c>
      <c r="B1899" t="str">
        <f t="shared" ref="B1899:B1911" si="796">T("47123 BUSE RD")</f>
        <v>47123 BUSE RD</v>
      </c>
      <c r="C1899" t="str">
        <f>T("BLDG 2118 RM 101")</f>
        <v>BLDG 2118 RM 101</v>
      </c>
      <c r="D1899" t="str">
        <f t="shared" si="794"/>
        <v>PATUXENT RIVER</v>
      </c>
      <c r="E1899" t="str">
        <f t="shared" si="787"/>
        <v>MD</v>
      </c>
      <c r="F1899" t="str">
        <f t="shared" ref="F1899:F1920" si="797">T("206701547")</f>
        <v>206701547</v>
      </c>
      <c r="G1899" t="str">
        <f>T("47123 BUSE RD")</f>
        <v>47123 BUSE RD</v>
      </c>
      <c r="H1899" t="str">
        <f>T("BLDG 2118 RM 101")</f>
        <v>BLDG 2118 RM 101</v>
      </c>
      <c r="I1899" t="str">
        <f t="shared" si="795"/>
        <v>PATUXENT RIVER</v>
      </c>
      <c r="J1899" t="str">
        <f t="shared" si="788"/>
        <v>MD</v>
      </c>
      <c r="K1899" t="str">
        <f>T("000000000000000000")</f>
        <v>000000000000000000</v>
      </c>
      <c r="L1899" t="str">
        <f>T("3013423260")</f>
        <v>3013423260</v>
      </c>
    </row>
    <row r="1900" spans="1:12" x14ac:dyDescent="0.35">
      <c r="A1900" t="str">
        <f t="shared" si="786"/>
        <v>NAVAIR HEADQUARTERS</v>
      </c>
      <c r="B1900" t="str">
        <f t="shared" si="796"/>
        <v>47123 BUSE RD</v>
      </c>
      <c r="C1900" t="str">
        <f>T("BLDG 2118 RM 101")</f>
        <v>BLDG 2118 RM 101</v>
      </c>
      <c r="D1900" t="str">
        <f t="shared" si="794"/>
        <v>PATUXENT RIVER</v>
      </c>
      <c r="E1900" t="str">
        <f t="shared" si="787"/>
        <v>MD</v>
      </c>
      <c r="F1900" t="str">
        <f t="shared" si="797"/>
        <v>206701547</v>
      </c>
      <c r="G1900" t="str">
        <f>T("47123 BUSE ROAD")</f>
        <v>47123 BUSE ROAD</v>
      </c>
      <c r="H1900" t="str">
        <f>T("IPT SUITE 355")</f>
        <v>IPT SUITE 355</v>
      </c>
      <c r="I1900" t="str">
        <f t="shared" si="795"/>
        <v>PATUXENT RIVER</v>
      </c>
      <c r="J1900" t="str">
        <f t="shared" si="788"/>
        <v>MD</v>
      </c>
      <c r="K1900" t="str">
        <f>T("000000000000000000")</f>
        <v>000000000000000000</v>
      </c>
      <c r="L1900" t="str">
        <f>T("3017576658")</f>
        <v>3017576658</v>
      </c>
    </row>
    <row r="1901" spans="1:12" x14ac:dyDescent="0.35">
      <c r="A1901" t="str">
        <f t="shared" si="786"/>
        <v>NAVAIR HEADQUARTERS</v>
      </c>
      <c r="B1901" t="str">
        <f t="shared" si="796"/>
        <v>47123 BUSE RD</v>
      </c>
      <c r="C1901" t="str">
        <f>T("BLDG 2118 RM 101")</f>
        <v>BLDG 2118 RM 101</v>
      </c>
      <c r="D1901" t="str">
        <f t="shared" si="794"/>
        <v>PATUXENT RIVER</v>
      </c>
      <c r="E1901" t="str">
        <f t="shared" si="787"/>
        <v>MD</v>
      </c>
      <c r="F1901" t="str">
        <f t="shared" si="797"/>
        <v>206701547</v>
      </c>
      <c r="G1901" t="str">
        <f>T("47123 BUSE ROAD")</f>
        <v>47123 BUSE ROAD</v>
      </c>
      <c r="H1901" t="str">
        <f>T("SUITE 355 BLDG 2272")</f>
        <v>SUITE 355 BLDG 2272</v>
      </c>
      <c r="I1901" t="str">
        <f t="shared" si="795"/>
        <v>PATUXENT RIVER</v>
      </c>
      <c r="J1901" t="str">
        <f t="shared" si="788"/>
        <v>MD</v>
      </c>
      <c r="K1901" t="str">
        <f>T("000000000000000000")</f>
        <v>000000000000000000</v>
      </c>
      <c r="L1901" t="str">
        <f>T("3017576668")</f>
        <v>3017576668</v>
      </c>
    </row>
    <row r="1902" spans="1:12" x14ac:dyDescent="0.35">
      <c r="A1902" t="str">
        <f t="shared" si="786"/>
        <v>NAVAIR HEADQUARTERS</v>
      </c>
      <c r="B1902" t="str">
        <f t="shared" si="796"/>
        <v>47123 BUSE RD</v>
      </c>
      <c r="C1902" t="str">
        <f>T("BLDG 2272")</f>
        <v>BLDG 2272</v>
      </c>
      <c r="D1902" t="str">
        <f t="shared" si="794"/>
        <v>PATUXENT RIVER</v>
      </c>
      <c r="E1902" t="str">
        <f t="shared" si="787"/>
        <v>MD</v>
      </c>
      <c r="F1902" t="str">
        <f t="shared" si="797"/>
        <v>206701547</v>
      </c>
      <c r="G1902" t="str">
        <f>T("47123 BUSE RD")</f>
        <v>47123 BUSE RD</v>
      </c>
      <c r="H1902" t="str">
        <f>T("BLDG 2272")</f>
        <v>BLDG 2272</v>
      </c>
      <c r="I1902" t="str">
        <f t="shared" si="795"/>
        <v>PATUXENT RIVER</v>
      </c>
      <c r="J1902" t="str">
        <f t="shared" si="788"/>
        <v>MD</v>
      </c>
      <c r="K1902" t="str">
        <f>T("")</f>
        <v/>
      </c>
      <c r="L1902" t="str">
        <f>T("3017570677")</f>
        <v>3017570677</v>
      </c>
    </row>
    <row r="1903" spans="1:12" x14ac:dyDescent="0.35">
      <c r="A1903" t="str">
        <f t="shared" si="786"/>
        <v>NAVAIR HEADQUARTERS</v>
      </c>
      <c r="B1903" t="str">
        <f t="shared" si="796"/>
        <v>47123 BUSE RD</v>
      </c>
      <c r="C1903" t="str">
        <f>T("BLDG 2272 STE 400")</f>
        <v>BLDG 2272 STE 400</v>
      </c>
      <c r="D1903" t="str">
        <f>T("PATUXENT RVR")</f>
        <v>PATUXENT RVR</v>
      </c>
      <c r="E1903" t="str">
        <f t="shared" si="787"/>
        <v>MD</v>
      </c>
      <c r="F1903" t="str">
        <f t="shared" si="797"/>
        <v>206701547</v>
      </c>
      <c r="G1903" t="str">
        <f>T("47123 BUSE RD")</f>
        <v>47123 BUSE RD</v>
      </c>
      <c r="H1903" t="str">
        <f>T("BLDG 2272 STE 400")</f>
        <v>BLDG 2272 STE 400</v>
      </c>
      <c r="I1903" t="str">
        <f>T("PATUXENT RVR")</f>
        <v>PATUXENT RVR</v>
      </c>
      <c r="J1903" t="str">
        <f t="shared" si="788"/>
        <v>MD</v>
      </c>
      <c r="K1903" t="str">
        <f>T("000000000000000000")</f>
        <v>000000000000000000</v>
      </c>
      <c r="L1903" t="str">
        <f>T("3017577166")</f>
        <v>3017577166</v>
      </c>
    </row>
    <row r="1904" spans="1:12" x14ac:dyDescent="0.35">
      <c r="A1904" t="str">
        <f t="shared" ref="A1904:A1928" si="798">T("NAVAIR HEADQUARTERS")</f>
        <v>NAVAIR HEADQUARTERS</v>
      </c>
      <c r="B1904" t="str">
        <f t="shared" si="796"/>
        <v>47123 BUSE RD</v>
      </c>
      <c r="C1904" t="str">
        <f>T("BLDG 2272 STE 400")</f>
        <v>BLDG 2272 STE 400</v>
      </c>
      <c r="D1904" t="str">
        <f>T("PATUXENT RVR")</f>
        <v>PATUXENT RVR</v>
      </c>
      <c r="E1904" t="str">
        <f t="shared" ref="E1904:E1920" si="799">T("MD")</f>
        <v>MD</v>
      </c>
      <c r="F1904" t="str">
        <f t="shared" si="797"/>
        <v>206701547</v>
      </c>
      <c r="G1904" t="str">
        <f>T("47123 BUSE ROAD")</f>
        <v>47123 BUSE ROAD</v>
      </c>
      <c r="H1904" t="str">
        <f>T("BLDG 2272 ROOM 348")</f>
        <v>BLDG 2272 ROOM 348</v>
      </c>
      <c r="I1904" t="str">
        <f>T("PATUXENT RIVER")</f>
        <v>PATUXENT RIVER</v>
      </c>
      <c r="J1904" t="str">
        <f t="shared" ref="J1904:J1920" si="800">T("MD")</f>
        <v>MD</v>
      </c>
      <c r="K1904" t="str">
        <f>T("000000000000000000")</f>
        <v>000000000000000000</v>
      </c>
      <c r="L1904" t="str">
        <f>T("3017576813")</f>
        <v>3017576813</v>
      </c>
    </row>
    <row r="1905" spans="1:12" x14ac:dyDescent="0.35">
      <c r="A1905" t="str">
        <f t="shared" si="798"/>
        <v>NAVAIR HEADQUARTERS</v>
      </c>
      <c r="B1905" t="str">
        <f t="shared" si="796"/>
        <v>47123 BUSE RD</v>
      </c>
      <c r="C1905" t="str">
        <f>T("BLDG 2272 STE 400")</f>
        <v>BLDG 2272 STE 400</v>
      </c>
      <c r="D1905" t="str">
        <f>T("PATUXENT RVR")</f>
        <v>PATUXENT RVR</v>
      </c>
      <c r="E1905" t="str">
        <f t="shared" si="799"/>
        <v>MD</v>
      </c>
      <c r="F1905" t="str">
        <f t="shared" si="797"/>
        <v>206701547</v>
      </c>
      <c r="G1905" t="str">
        <f>T("47123 BUSE ROAD")</f>
        <v>47123 BUSE ROAD</v>
      </c>
      <c r="H1905" t="str">
        <f>T("BLDG 2272 STE 454")</f>
        <v>BLDG 2272 STE 454</v>
      </c>
      <c r="I1905" t="str">
        <f>T("PATUXENT RIVER")</f>
        <v>PATUXENT RIVER</v>
      </c>
      <c r="J1905" t="str">
        <f t="shared" si="800"/>
        <v>MD</v>
      </c>
      <c r="K1905" t="str">
        <f>T("000000000000000000")</f>
        <v>000000000000000000</v>
      </c>
      <c r="L1905" t="str">
        <f>T("3017576287")</f>
        <v>3017576287</v>
      </c>
    </row>
    <row r="1906" spans="1:12" x14ac:dyDescent="0.35">
      <c r="A1906" t="str">
        <f t="shared" si="798"/>
        <v>NAVAIR HEADQUARTERS</v>
      </c>
      <c r="B1906" t="str">
        <f t="shared" si="796"/>
        <v>47123 BUSE RD</v>
      </c>
      <c r="C1906" t="str">
        <f>T("BLDG 2272 STE 400")</f>
        <v>BLDG 2272 STE 400</v>
      </c>
      <c r="D1906" t="str">
        <f>T("PATUXENT RVR")</f>
        <v>PATUXENT RVR</v>
      </c>
      <c r="E1906" t="str">
        <f t="shared" si="799"/>
        <v>MD</v>
      </c>
      <c r="F1906" t="str">
        <f t="shared" si="797"/>
        <v>206701547</v>
      </c>
      <c r="G1906" t="str">
        <f>T("48183 SHAW ROAD")</f>
        <v>48183 SHAW ROAD</v>
      </c>
      <c r="H1906" t="str">
        <f>T("BLDG 2806")</f>
        <v>BLDG 2806</v>
      </c>
      <c r="I1906" t="str">
        <f>T("PATUXENT RIVER")</f>
        <v>PATUXENT RIVER</v>
      </c>
      <c r="J1906" t="str">
        <f t="shared" si="800"/>
        <v>MD</v>
      </c>
      <c r="K1906" t="str">
        <f>T("000000000000000000")</f>
        <v>000000000000000000</v>
      </c>
      <c r="L1906" t="str">
        <f>T("3013429794")</f>
        <v>3013429794</v>
      </c>
    </row>
    <row r="1907" spans="1:12" x14ac:dyDescent="0.35">
      <c r="A1907" t="str">
        <f t="shared" si="798"/>
        <v>NAVAIR HEADQUARTERS</v>
      </c>
      <c r="B1907" t="str">
        <f t="shared" si="796"/>
        <v>47123 BUSE RD</v>
      </c>
      <c r="C1907" t="str">
        <f>T("BLDG 2272 STE 453 7")</f>
        <v>BLDG 2272 STE 453 7</v>
      </c>
      <c r="D1907" t="str">
        <f>T("PATUXENT RIV")</f>
        <v>PATUXENT RIV</v>
      </c>
      <c r="E1907" t="str">
        <f t="shared" si="799"/>
        <v>MD</v>
      </c>
      <c r="F1907" t="str">
        <f t="shared" si="797"/>
        <v>206701547</v>
      </c>
      <c r="G1907" t="str">
        <f>T("47123 BUSE RD")</f>
        <v>47123 BUSE RD</v>
      </c>
      <c r="H1907" t="str">
        <f>T("BLDG 2272 STE 453 7")</f>
        <v>BLDG 2272 STE 453 7</v>
      </c>
      <c r="I1907" t="str">
        <f>T("PATUXENT RIV")</f>
        <v>PATUXENT RIV</v>
      </c>
      <c r="J1907" t="str">
        <f t="shared" si="800"/>
        <v>MD</v>
      </c>
      <c r="K1907" t="str">
        <f>T("")</f>
        <v/>
      </c>
      <c r="L1907" t="str">
        <f>T("3017577039")</f>
        <v>3017577039</v>
      </c>
    </row>
    <row r="1908" spans="1:12" x14ac:dyDescent="0.35">
      <c r="A1908" t="str">
        <f t="shared" si="798"/>
        <v>NAVAIR HEADQUARTERS</v>
      </c>
      <c r="B1908" t="str">
        <f t="shared" si="796"/>
        <v>47123 BUSE RD</v>
      </c>
      <c r="C1908" t="str">
        <f>T("BLDG 2272 STE 453 7")</f>
        <v>BLDG 2272 STE 453 7</v>
      </c>
      <c r="D1908" t="str">
        <f>T("PATUXENT RIV")</f>
        <v>PATUXENT RIV</v>
      </c>
      <c r="E1908" t="str">
        <f t="shared" si="799"/>
        <v>MD</v>
      </c>
      <c r="F1908" t="str">
        <f t="shared" si="797"/>
        <v>206701547</v>
      </c>
      <c r="G1908" t="str">
        <f>T("47123 BUSE ROAD")</f>
        <v>47123 BUSE ROAD</v>
      </c>
      <c r="H1908" t="str">
        <f>T("BLDG 2272 STE 543")</f>
        <v>BLDG 2272 STE 543</v>
      </c>
      <c r="I1908" t="str">
        <f t="shared" ref="I1908:I1920" si="801">T("PATUXENT RIVER")</f>
        <v>PATUXENT RIVER</v>
      </c>
      <c r="J1908" t="str">
        <f t="shared" si="800"/>
        <v>MD</v>
      </c>
      <c r="K1908" t="str">
        <f>T("000000000000000000")</f>
        <v>000000000000000000</v>
      </c>
      <c r="L1908" t="str">
        <f>T("3017577857")</f>
        <v>3017577857</v>
      </c>
    </row>
    <row r="1909" spans="1:12" x14ac:dyDescent="0.35">
      <c r="A1909" t="str">
        <f t="shared" si="798"/>
        <v>NAVAIR HEADQUARTERS</v>
      </c>
      <c r="B1909" t="str">
        <f t="shared" si="796"/>
        <v>47123 BUSE RD</v>
      </c>
      <c r="C1909" t="str">
        <f>T("BLDG 2272 STE 453 7")</f>
        <v>BLDG 2272 STE 453 7</v>
      </c>
      <c r="D1909" t="str">
        <f>T("PATUXENT RIV")</f>
        <v>PATUXENT RIV</v>
      </c>
      <c r="E1909" t="str">
        <f t="shared" si="799"/>
        <v>MD</v>
      </c>
      <c r="F1909" t="str">
        <f t="shared" si="797"/>
        <v>206701547</v>
      </c>
      <c r="G1909" t="str">
        <f>T("47123 BUSE ROAD")</f>
        <v>47123 BUSE ROAD</v>
      </c>
      <c r="H1909" t="str">
        <f>T("BLDG 2272 SUITE 453")</f>
        <v>BLDG 2272 SUITE 453</v>
      </c>
      <c r="I1909" t="str">
        <f t="shared" si="801"/>
        <v>PATUXENT RIVER</v>
      </c>
      <c r="J1909" t="str">
        <f t="shared" si="800"/>
        <v>MD</v>
      </c>
      <c r="K1909" t="str">
        <f>T("000000000000000000")</f>
        <v>000000000000000000</v>
      </c>
      <c r="L1909" t="str">
        <f>T("3017576285")</f>
        <v>3017576285</v>
      </c>
    </row>
    <row r="1910" spans="1:12" x14ac:dyDescent="0.35">
      <c r="A1910" t="str">
        <f t="shared" si="798"/>
        <v>NAVAIR HEADQUARTERS</v>
      </c>
      <c r="B1910" t="str">
        <f t="shared" si="796"/>
        <v>47123 BUSE RD</v>
      </c>
      <c r="C1910" t="str">
        <f>T("BLDG 2272 SUITE 256")</f>
        <v>BLDG 2272 SUITE 256</v>
      </c>
      <c r="D1910" t="str">
        <f t="shared" ref="D1910:D1920" si="802">T("PATUXENT RIVER")</f>
        <v>PATUXENT RIVER</v>
      </c>
      <c r="E1910" t="str">
        <f t="shared" si="799"/>
        <v>MD</v>
      </c>
      <c r="F1910" t="str">
        <f t="shared" si="797"/>
        <v>206701547</v>
      </c>
      <c r="G1910" t="str">
        <f>T("47123 BUSE RD")</f>
        <v>47123 BUSE RD</v>
      </c>
      <c r="H1910" t="str">
        <f>T("BLDG 2272 SUITE 256")</f>
        <v>BLDG 2272 SUITE 256</v>
      </c>
      <c r="I1910" t="str">
        <f t="shared" si="801"/>
        <v>PATUXENT RIVER</v>
      </c>
      <c r="J1910" t="str">
        <f t="shared" si="800"/>
        <v>MD</v>
      </c>
      <c r="K1910" t="str">
        <f>T("")</f>
        <v/>
      </c>
      <c r="L1910" t="str">
        <f>T("3017575952")</f>
        <v>3017575952</v>
      </c>
    </row>
    <row r="1911" spans="1:12" x14ac:dyDescent="0.35">
      <c r="A1911" t="str">
        <f t="shared" si="798"/>
        <v>NAVAIR HEADQUARTERS</v>
      </c>
      <c r="B1911" t="str">
        <f t="shared" si="796"/>
        <v>47123 BUSE RD</v>
      </c>
      <c r="C1911" t="str">
        <f>T("BLDG 2272 SUITE 256")</f>
        <v>BLDG 2272 SUITE 256</v>
      </c>
      <c r="D1911" t="str">
        <f t="shared" si="802"/>
        <v>PATUXENT RIVER</v>
      </c>
      <c r="E1911" t="str">
        <f t="shared" si="799"/>
        <v>MD</v>
      </c>
      <c r="F1911" t="str">
        <f t="shared" si="797"/>
        <v>206701547</v>
      </c>
      <c r="G1911" t="str">
        <f>T("47123 BUSE ROAD")</f>
        <v>47123 BUSE ROAD</v>
      </c>
      <c r="H1911" t="str">
        <f>T("BLDG 2272 SUITE 256")</f>
        <v>BLDG 2272 SUITE 256</v>
      </c>
      <c r="I1911" t="str">
        <f t="shared" si="801"/>
        <v>PATUXENT RIVER</v>
      </c>
      <c r="J1911" t="str">
        <f t="shared" si="800"/>
        <v>MD</v>
      </c>
      <c r="K1911" t="str">
        <f>T("000000000000000000")</f>
        <v>000000000000000000</v>
      </c>
      <c r="L1911" t="str">
        <f>T("3017575953")</f>
        <v>3017575953</v>
      </c>
    </row>
    <row r="1912" spans="1:12" x14ac:dyDescent="0.35">
      <c r="A1912" t="str">
        <f t="shared" si="798"/>
        <v>NAVAIR HEADQUARTERS</v>
      </c>
      <c r="B1912" t="str">
        <f t="shared" ref="B1912:B1920" si="803">T("47123 BUSE ROAD")</f>
        <v>47123 BUSE ROAD</v>
      </c>
      <c r="C1912" t="str">
        <f>T("B2272 RM538")</f>
        <v>B2272 RM538</v>
      </c>
      <c r="D1912" t="str">
        <f t="shared" si="802"/>
        <v>PATUXENT RIVER</v>
      </c>
      <c r="E1912" t="str">
        <f t="shared" si="799"/>
        <v>MD</v>
      </c>
      <c r="F1912" t="str">
        <f t="shared" si="797"/>
        <v>206701547</v>
      </c>
      <c r="G1912" t="str">
        <f>T("47123 BUSE ROAD")</f>
        <v>47123 BUSE ROAD</v>
      </c>
      <c r="H1912" t="str">
        <f>T("B2272 RM538")</f>
        <v>B2272 RM538</v>
      </c>
      <c r="I1912" t="str">
        <f t="shared" si="801"/>
        <v>PATUXENT RIVER</v>
      </c>
      <c r="J1912" t="str">
        <f t="shared" si="800"/>
        <v>MD</v>
      </c>
      <c r="K1912" t="str">
        <f>T("")</f>
        <v/>
      </c>
      <c r="L1912" t="str">
        <f>T("3017572171")</f>
        <v>3017572171</v>
      </c>
    </row>
    <row r="1913" spans="1:12" x14ac:dyDescent="0.35">
      <c r="A1913" t="str">
        <f t="shared" si="798"/>
        <v>NAVAIR HEADQUARTERS</v>
      </c>
      <c r="B1913" t="str">
        <f t="shared" si="803"/>
        <v>47123 BUSE ROAD</v>
      </c>
      <c r="C1913" t="str">
        <f>T("B2272 RM538")</f>
        <v>B2272 RM538</v>
      </c>
      <c r="D1913" t="str">
        <f t="shared" si="802"/>
        <v>PATUXENT RIVER</v>
      </c>
      <c r="E1913" t="str">
        <f t="shared" si="799"/>
        <v>MD</v>
      </c>
      <c r="F1913" t="str">
        <f t="shared" si="797"/>
        <v>206701547</v>
      </c>
      <c r="G1913" t="str">
        <f>T("47123 BUSE ROAD")</f>
        <v>47123 BUSE ROAD</v>
      </c>
      <c r="H1913" t="str">
        <f>T("BLDG 2272")</f>
        <v>BLDG 2272</v>
      </c>
      <c r="I1913" t="str">
        <f t="shared" si="801"/>
        <v>PATUXENT RIVER</v>
      </c>
      <c r="J1913" t="str">
        <f t="shared" si="800"/>
        <v>MD</v>
      </c>
      <c r="K1913" t="str">
        <f>T("000000000000000000")</f>
        <v>000000000000000000</v>
      </c>
      <c r="L1913" t="str">
        <f>T("3017577798")</f>
        <v>3017577798</v>
      </c>
    </row>
    <row r="1914" spans="1:12" x14ac:dyDescent="0.35">
      <c r="A1914" t="str">
        <f t="shared" si="798"/>
        <v>NAVAIR HEADQUARTERS</v>
      </c>
      <c r="B1914" t="str">
        <f t="shared" si="803"/>
        <v>47123 BUSE ROAD</v>
      </c>
      <c r="C1914" t="str">
        <f>T("BLDG 2272")</f>
        <v>BLDG 2272</v>
      </c>
      <c r="D1914" t="str">
        <f t="shared" si="802"/>
        <v>PATUXENT RIVER</v>
      </c>
      <c r="E1914" t="str">
        <f t="shared" si="799"/>
        <v>MD</v>
      </c>
      <c r="F1914" t="str">
        <f t="shared" si="797"/>
        <v>206701547</v>
      </c>
      <c r="G1914" t="str">
        <f>T("47123 BUSE ROAD")</f>
        <v>47123 BUSE ROAD</v>
      </c>
      <c r="H1914" t="str">
        <f>T("BLDG 2272")</f>
        <v>BLDG 2272</v>
      </c>
      <c r="I1914" t="str">
        <f t="shared" si="801"/>
        <v>PATUXENT RIVER</v>
      </c>
      <c r="J1914" t="str">
        <f t="shared" si="800"/>
        <v>MD</v>
      </c>
      <c r="K1914" t="str">
        <f>T("000000000000000000")</f>
        <v>000000000000000000</v>
      </c>
      <c r="L1914" t="str">
        <f>T("3017578027")</f>
        <v>3017578027</v>
      </c>
    </row>
    <row r="1915" spans="1:12" x14ac:dyDescent="0.35">
      <c r="A1915" t="str">
        <f t="shared" si="798"/>
        <v>NAVAIR HEADQUARTERS</v>
      </c>
      <c r="B1915" t="str">
        <f t="shared" si="803"/>
        <v>47123 BUSE ROAD</v>
      </c>
      <c r="C1915" t="str">
        <f>T("BLDG 2272")</f>
        <v>BLDG 2272</v>
      </c>
      <c r="D1915" t="str">
        <f t="shared" si="802"/>
        <v>PATUXENT RIVER</v>
      </c>
      <c r="E1915" t="str">
        <f t="shared" si="799"/>
        <v>MD</v>
      </c>
      <c r="F1915" t="str">
        <f t="shared" si="797"/>
        <v>206701547</v>
      </c>
      <c r="G1915" t="str">
        <f>T("47123 BUSE ROAD")</f>
        <v>47123 BUSE ROAD</v>
      </c>
      <c r="H1915" t="str">
        <f>T("BLDG 2272 ROOM 245 2")</f>
        <v>BLDG 2272 ROOM 245 2</v>
      </c>
      <c r="I1915" t="str">
        <f t="shared" si="801"/>
        <v>PATUXENT RIVER</v>
      </c>
      <c r="J1915" t="str">
        <f t="shared" si="800"/>
        <v>MD</v>
      </c>
      <c r="K1915" t="str">
        <f>T("000000000000000000")</f>
        <v>000000000000000000</v>
      </c>
      <c r="L1915" t="str">
        <f>T("3013420169")</f>
        <v>3013420169</v>
      </c>
    </row>
    <row r="1916" spans="1:12" x14ac:dyDescent="0.35">
      <c r="A1916" t="str">
        <f t="shared" si="798"/>
        <v>NAVAIR HEADQUARTERS</v>
      </c>
      <c r="B1916" t="str">
        <f t="shared" si="803"/>
        <v>47123 BUSE ROAD</v>
      </c>
      <c r="C1916" t="str">
        <f>T("BLDG 2272 SUITE 257")</f>
        <v>BLDG 2272 SUITE 257</v>
      </c>
      <c r="D1916" t="str">
        <f t="shared" si="802"/>
        <v>PATUXENT RIVER</v>
      </c>
      <c r="E1916" t="str">
        <f t="shared" si="799"/>
        <v>MD</v>
      </c>
      <c r="F1916" t="str">
        <f t="shared" si="797"/>
        <v>206701547</v>
      </c>
      <c r="G1916" t="str">
        <f>T("47085 BUSE ROAD")</f>
        <v>47085 BUSE ROAD</v>
      </c>
      <c r="H1916" t="str">
        <f>T("BLDG 462")</f>
        <v>BLDG 462</v>
      </c>
      <c r="I1916" t="str">
        <f t="shared" si="801"/>
        <v>PATUXENT RIVER</v>
      </c>
      <c r="J1916" t="str">
        <f t="shared" si="800"/>
        <v>MD</v>
      </c>
      <c r="K1916" t="str">
        <f>T("000000000000000000")</f>
        <v>000000000000000000</v>
      </c>
      <c r="L1916" t="str">
        <f>T("3017570576")</f>
        <v>3017570576</v>
      </c>
    </row>
    <row r="1917" spans="1:12" x14ac:dyDescent="0.35">
      <c r="A1917" t="str">
        <f t="shared" si="798"/>
        <v>NAVAIR HEADQUARTERS</v>
      </c>
      <c r="B1917" t="str">
        <f t="shared" si="803"/>
        <v>47123 BUSE ROAD</v>
      </c>
      <c r="C1917" t="str">
        <f>T("BLDG 2272 SUITE 257")</f>
        <v>BLDG 2272 SUITE 257</v>
      </c>
      <c r="D1917" t="str">
        <f t="shared" si="802"/>
        <v>PATUXENT RIVER</v>
      </c>
      <c r="E1917" t="str">
        <f t="shared" si="799"/>
        <v>MD</v>
      </c>
      <c r="F1917" t="str">
        <f t="shared" si="797"/>
        <v>206701547</v>
      </c>
      <c r="G1917" t="str">
        <f>T("47123 BUSE ROAD")</f>
        <v>47123 BUSE ROAD</v>
      </c>
      <c r="H1917" t="str">
        <f>T("BLDG 2272 SUITE 257")</f>
        <v>BLDG 2272 SUITE 257</v>
      </c>
      <c r="I1917" t="str">
        <f t="shared" si="801"/>
        <v>PATUXENT RIVER</v>
      </c>
      <c r="J1917" t="str">
        <f t="shared" si="800"/>
        <v>MD</v>
      </c>
      <c r="K1917" t="str">
        <f>T("")</f>
        <v/>
      </c>
      <c r="L1917" t="str">
        <f>T("3017570581")</f>
        <v>3017570581</v>
      </c>
    </row>
    <row r="1918" spans="1:12" x14ac:dyDescent="0.35">
      <c r="A1918" t="str">
        <f t="shared" si="798"/>
        <v>NAVAIR HEADQUARTERS</v>
      </c>
      <c r="B1918" t="str">
        <f t="shared" si="803"/>
        <v>47123 BUSE ROAD</v>
      </c>
      <c r="C1918" t="str">
        <f>T("BLDG 2275 SUITE IPT UNIT 162")</f>
        <v>BLDG 2275 SUITE IPT UNIT 162</v>
      </c>
      <c r="D1918" t="str">
        <f t="shared" si="802"/>
        <v>PATUXENT RIVER</v>
      </c>
      <c r="E1918" t="str">
        <f t="shared" si="799"/>
        <v>MD</v>
      </c>
      <c r="F1918" t="str">
        <f t="shared" si="797"/>
        <v>206701547</v>
      </c>
      <c r="G1918" t="str">
        <f>T("46990 HINKLE ROAD")</f>
        <v>46990 HINKLE ROAD</v>
      </c>
      <c r="H1918" t="str">
        <f>T("BLDG 419")</f>
        <v>BLDG 419</v>
      </c>
      <c r="I1918" t="str">
        <f t="shared" si="801"/>
        <v>PATUXENT RIVER</v>
      </c>
      <c r="J1918" t="str">
        <f t="shared" si="800"/>
        <v>MD</v>
      </c>
      <c r="K1918" t="str">
        <f>T("000000000000000000")</f>
        <v>000000000000000000</v>
      </c>
      <c r="L1918" t="str">
        <f>T("3017578596")</f>
        <v>3017578596</v>
      </c>
    </row>
    <row r="1919" spans="1:12" x14ac:dyDescent="0.35">
      <c r="A1919" t="str">
        <f t="shared" si="798"/>
        <v>NAVAIR HEADQUARTERS</v>
      </c>
      <c r="B1919" t="str">
        <f t="shared" si="803"/>
        <v>47123 BUSE ROAD</v>
      </c>
      <c r="C1919" t="str">
        <f>T("BLDG 2275 SUITE IPT UNIT 162")</f>
        <v>BLDG 2275 SUITE IPT UNIT 162</v>
      </c>
      <c r="D1919" t="str">
        <f t="shared" si="802"/>
        <v>PATUXENT RIVER</v>
      </c>
      <c r="E1919" t="str">
        <f t="shared" si="799"/>
        <v>MD</v>
      </c>
      <c r="F1919" t="str">
        <f t="shared" si="797"/>
        <v>206701547</v>
      </c>
      <c r="G1919" t="str">
        <f>T("47123 BUSE ROAD")</f>
        <v>47123 BUSE ROAD</v>
      </c>
      <c r="H1919" t="str">
        <f>T("BLDG 2272 SUITE 162")</f>
        <v>BLDG 2272 SUITE 162</v>
      </c>
      <c r="I1919" t="str">
        <f t="shared" si="801"/>
        <v>PATUXENT RIVER</v>
      </c>
      <c r="J1919" t="str">
        <f t="shared" si="800"/>
        <v>MD</v>
      </c>
      <c r="K1919" t="str">
        <f>T("000000000000000000")</f>
        <v>000000000000000000</v>
      </c>
      <c r="L1919" t="str">
        <f>T("3017576279")</f>
        <v>3017576279</v>
      </c>
    </row>
    <row r="1920" spans="1:12" x14ac:dyDescent="0.35">
      <c r="A1920" t="str">
        <f t="shared" si="798"/>
        <v>NAVAIR HEADQUARTERS</v>
      </c>
      <c r="B1920" t="str">
        <f t="shared" si="803"/>
        <v>47123 BUSE ROAD</v>
      </c>
      <c r="C1920" t="str">
        <f>T("BLDG 2275 SUITE IPT UNIT 162")</f>
        <v>BLDG 2275 SUITE IPT UNIT 162</v>
      </c>
      <c r="D1920" t="str">
        <f t="shared" si="802"/>
        <v>PATUXENT RIVER</v>
      </c>
      <c r="E1920" t="str">
        <f t="shared" si="799"/>
        <v>MD</v>
      </c>
      <c r="F1920" t="str">
        <f t="shared" si="797"/>
        <v>206701547</v>
      </c>
      <c r="G1920" t="str">
        <f>T("47123 BUSE ROAD")</f>
        <v>47123 BUSE ROAD</v>
      </c>
      <c r="H1920" t="str">
        <f>T("BLDG 2275 SUITE IPT UNIT 162")</f>
        <v>BLDG 2275 SUITE IPT UNIT 162</v>
      </c>
      <c r="I1920" t="str">
        <f t="shared" si="801"/>
        <v>PATUXENT RIVER</v>
      </c>
      <c r="J1920" t="str">
        <f t="shared" si="800"/>
        <v>MD</v>
      </c>
      <c r="K1920" t="str">
        <f>T("")</f>
        <v/>
      </c>
      <c r="L1920" t="str">
        <f>T("3017577324")</f>
        <v>3017577324</v>
      </c>
    </row>
    <row r="1921" spans="1:12" x14ac:dyDescent="0.35">
      <c r="A1921" t="str">
        <f t="shared" si="798"/>
        <v>NAVAIR HEADQUARTERS</v>
      </c>
      <c r="B1921" t="str">
        <f t="shared" ref="B1921:B1926" si="804">T("9675 AVIONIC LOOP")</f>
        <v>9675 AVIONIC LOOP</v>
      </c>
      <c r="C1921" t="str">
        <f t="shared" ref="C1921:C1926" si="805">T("BLDG LF53")</f>
        <v>BLDG LF53</v>
      </c>
      <c r="D1921" t="str">
        <f t="shared" ref="D1921:D1926" si="806">T("NORFOLK")</f>
        <v>NORFOLK</v>
      </c>
      <c r="E1921" t="str">
        <f t="shared" ref="E1921:E1926" si="807">T("VA")</f>
        <v>VA</v>
      </c>
      <c r="F1921" t="str">
        <f t="shared" ref="F1921:F1926" si="808">T("235112107")</f>
        <v>235112107</v>
      </c>
      <c r="G1921" t="str">
        <f>T("9675 AVIONIC LOOP")</f>
        <v>9675 AVIONIC LOOP</v>
      </c>
      <c r="H1921" t="str">
        <f>T("BLDG LF53")</f>
        <v>BLDG LF53</v>
      </c>
      <c r="I1921" t="str">
        <f>T("NORFOLK")</f>
        <v>NORFOLK</v>
      </c>
      <c r="J1921" t="str">
        <f>T("VA")</f>
        <v>VA</v>
      </c>
      <c r="K1921" t="str">
        <f>T("")</f>
        <v/>
      </c>
      <c r="L1921" t="str">
        <f>T("7574449584")</f>
        <v>7574449584</v>
      </c>
    </row>
    <row r="1922" spans="1:12" x14ac:dyDescent="0.35">
      <c r="A1922" t="str">
        <f t="shared" si="798"/>
        <v>NAVAIR HEADQUARTERS</v>
      </c>
      <c r="B1922" t="str">
        <f t="shared" si="804"/>
        <v>9675 AVIONIC LOOP</v>
      </c>
      <c r="C1922" t="str">
        <f t="shared" si="805"/>
        <v>BLDG LF53</v>
      </c>
      <c r="D1922" t="str">
        <f t="shared" si="806"/>
        <v>NORFOLK</v>
      </c>
      <c r="E1922" t="str">
        <f t="shared" si="807"/>
        <v>VA</v>
      </c>
      <c r="F1922" t="str">
        <f t="shared" si="808"/>
        <v>235112107</v>
      </c>
      <c r="G1922" t="str">
        <f>T("9675 AVIONIC LOOP")</f>
        <v>9675 AVIONIC LOOP</v>
      </c>
      <c r="H1922" t="str">
        <f>T("BLDG LF53")</f>
        <v>BLDG LF53</v>
      </c>
      <c r="I1922" t="str">
        <f>T("NORFOLK")</f>
        <v>NORFOLK</v>
      </c>
      <c r="J1922" t="str">
        <f>T("VA")</f>
        <v>VA</v>
      </c>
      <c r="K1922" t="str">
        <f>T("000000000000000000")</f>
        <v>000000000000000000</v>
      </c>
      <c r="L1922" t="str">
        <f>T("7574440183")</f>
        <v>7574440183</v>
      </c>
    </row>
    <row r="1923" spans="1:12" x14ac:dyDescent="0.35">
      <c r="A1923" t="str">
        <f t="shared" si="798"/>
        <v>NAVAIR HEADQUARTERS</v>
      </c>
      <c r="B1923" t="str">
        <f t="shared" si="804"/>
        <v>9675 AVIONIC LOOP</v>
      </c>
      <c r="C1923" t="str">
        <f t="shared" si="805"/>
        <v>BLDG LF53</v>
      </c>
      <c r="D1923" t="str">
        <f t="shared" si="806"/>
        <v>NORFOLK</v>
      </c>
      <c r="E1923" t="str">
        <f t="shared" si="807"/>
        <v>VA</v>
      </c>
      <c r="F1923" t="str">
        <f t="shared" si="808"/>
        <v>235112107</v>
      </c>
      <c r="G1923" t="str">
        <f>T("9675 AVIONIC LOOP VRT")</f>
        <v>9675 AVIONIC LOOP VRT</v>
      </c>
      <c r="H1923" t="str">
        <f>T("BLDG LF-53")</f>
        <v>BLDG LF-53</v>
      </c>
      <c r="I1923" t="str">
        <f>T("NORFOLK")</f>
        <v>NORFOLK</v>
      </c>
      <c r="J1923" t="str">
        <f>T("VA")</f>
        <v>VA</v>
      </c>
      <c r="K1923" t="str">
        <f>T("000000000000000000")</f>
        <v>000000000000000000</v>
      </c>
      <c r="L1923" t="str">
        <f>T("7574440183")</f>
        <v>7574440183</v>
      </c>
    </row>
    <row r="1924" spans="1:12" x14ac:dyDescent="0.35">
      <c r="A1924" t="str">
        <f t="shared" si="798"/>
        <v>NAVAIR HEADQUARTERS</v>
      </c>
      <c r="B1924" t="str">
        <f t="shared" si="804"/>
        <v>9675 AVIONIC LOOP</v>
      </c>
      <c r="C1924" t="str">
        <f t="shared" si="805"/>
        <v>BLDG LF53</v>
      </c>
      <c r="D1924" t="str">
        <f t="shared" si="806"/>
        <v>NORFOLK</v>
      </c>
      <c r="E1924" t="str">
        <f t="shared" si="807"/>
        <v>VA</v>
      </c>
      <c r="F1924" t="str">
        <f t="shared" si="808"/>
        <v>235112107</v>
      </c>
      <c r="G1924" t="str">
        <f>T("9675 AVIONICS LOOP")</f>
        <v>9675 AVIONICS LOOP</v>
      </c>
      <c r="H1924" t="str">
        <f>T("BLDG LF53")</f>
        <v>BLDG LF53</v>
      </c>
      <c r="I1924" t="str">
        <f>T("NORFOLK")</f>
        <v>NORFOLK</v>
      </c>
      <c r="J1924" t="str">
        <f>T("VA")</f>
        <v>VA</v>
      </c>
      <c r="K1924" t="str">
        <f>T("000000000000000000")</f>
        <v>000000000000000000</v>
      </c>
      <c r="L1924" t="str">
        <f>T("7574447532")</f>
        <v>7574447532</v>
      </c>
    </row>
    <row r="1925" spans="1:12" x14ac:dyDescent="0.35">
      <c r="A1925" t="str">
        <f t="shared" si="798"/>
        <v>NAVAIR HEADQUARTERS</v>
      </c>
      <c r="B1925" t="str">
        <f t="shared" si="804"/>
        <v>9675 AVIONIC LOOP</v>
      </c>
      <c r="C1925" t="str">
        <f t="shared" si="805"/>
        <v>BLDG LF53</v>
      </c>
      <c r="D1925" t="str">
        <f t="shared" si="806"/>
        <v>NORFOLK</v>
      </c>
      <c r="E1925" t="str">
        <f t="shared" si="807"/>
        <v>VA</v>
      </c>
      <c r="F1925" t="str">
        <f t="shared" si="808"/>
        <v>235112107</v>
      </c>
      <c r="G1925" t="str">
        <f>T("BLDG 1613 NAVAL STATION MAYPORT")</f>
        <v>BLDG 1613 NAVAL STATION MAYPORT</v>
      </c>
      <c r="H1925" t="str">
        <f>T("")</f>
        <v/>
      </c>
      <c r="I1925" t="str">
        <f>T("MAYPORT")</f>
        <v>MAYPORT</v>
      </c>
      <c r="J1925" t="str">
        <f>T("FL")</f>
        <v>FL</v>
      </c>
      <c r="K1925" t="str">
        <f>T("000000000000000000")</f>
        <v>000000000000000000</v>
      </c>
      <c r="L1925" t="str">
        <f>T("1111111111")</f>
        <v>1111111111</v>
      </c>
    </row>
    <row r="1926" spans="1:12" x14ac:dyDescent="0.35">
      <c r="A1926" t="str">
        <f t="shared" si="798"/>
        <v>NAVAIR HEADQUARTERS</v>
      </c>
      <c r="B1926" t="str">
        <f t="shared" si="804"/>
        <v>9675 AVIONIC LOOP</v>
      </c>
      <c r="C1926" t="str">
        <f t="shared" si="805"/>
        <v>BLDG LF53</v>
      </c>
      <c r="D1926" t="str">
        <f t="shared" si="806"/>
        <v>NORFOLK</v>
      </c>
      <c r="E1926" t="str">
        <f t="shared" si="807"/>
        <v>VA</v>
      </c>
      <c r="F1926" t="str">
        <f t="shared" si="808"/>
        <v>235112107</v>
      </c>
      <c r="G1926" t="str">
        <f>T("BLDG LF53 9675 AVIONICS LOOP")</f>
        <v>BLDG LF53 9675 AVIONICS LOOP</v>
      </c>
      <c r="H1926" t="str">
        <f>T("")</f>
        <v/>
      </c>
      <c r="I1926" t="str">
        <f>T("NORFOLK")</f>
        <v>NORFOLK</v>
      </c>
      <c r="J1926" t="str">
        <f>T("VA")</f>
        <v>VA</v>
      </c>
      <c r="K1926" t="str">
        <f>T("000000000000000000")</f>
        <v>000000000000000000</v>
      </c>
      <c r="L1926" t="str">
        <f>T("7574447532")</f>
        <v>7574447532</v>
      </c>
    </row>
    <row r="1927" spans="1:12" x14ac:dyDescent="0.35">
      <c r="A1927" t="str">
        <f t="shared" si="798"/>
        <v>NAVAIR HEADQUARTERS</v>
      </c>
      <c r="B1927" t="str">
        <f>T("BLDG 105 2ND STREET")</f>
        <v>BLDG 105 2ND STREET</v>
      </c>
      <c r="C1927" t="str">
        <f>T("ROOM 111-A")</f>
        <v>ROOM 111-A</v>
      </c>
      <c r="D1927" t="str">
        <f>T("SOLOMONS")</f>
        <v>SOLOMONS</v>
      </c>
      <c r="E1927" t="str">
        <f t="shared" ref="E1927:E1963" si="809">T("MD")</f>
        <v>MD</v>
      </c>
      <c r="F1927" t="str">
        <f>T("206880000")</f>
        <v>206880000</v>
      </c>
      <c r="G1927" t="str">
        <f>T("BLDG 105 2ND STREET")</f>
        <v>BLDG 105 2ND STREET</v>
      </c>
      <c r="H1927" t="str">
        <f>T("ROOM 111-A")</f>
        <v>ROOM 111-A</v>
      </c>
      <c r="I1927" t="str">
        <f>T("SOLOMONS")</f>
        <v>SOLOMONS</v>
      </c>
      <c r="J1927" t="str">
        <f t="shared" ref="J1927:J1964" si="810">T("MD")</f>
        <v>MD</v>
      </c>
      <c r="K1927" t="str">
        <f>T("")</f>
        <v/>
      </c>
      <c r="L1927" t="str">
        <f>T("4103267578")</f>
        <v>4103267578</v>
      </c>
    </row>
    <row r="1928" spans="1:12" x14ac:dyDescent="0.35">
      <c r="A1928" t="str">
        <f t="shared" si="798"/>
        <v>NAVAIR HEADQUARTERS</v>
      </c>
      <c r="B1928" t="str">
        <f>T("BLDG 105 2ND STREET")</f>
        <v>BLDG 105 2ND STREET</v>
      </c>
      <c r="C1928" t="str">
        <f>T("ROOM 111-A")</f>
        <v>ROOM 111-A</v>
      </c>
      <c r="D1928" t="str">
        <f>T("SOLOMONS")</f>
        <v>SOLOMONS</v>
      </c>
      <c r="E1928" t="str">
        <f t="shared" si="809"/>
        <v>MD</v>
      </c>
      <c r="F1928" t="str">
        <f>T("206880000")</f>
        <v>206880000</v>
      </c>
      <c r="G1928" t="str">
        <f>T("BLDG 105 B AVE")</f>
        <v>BLDG 105 B AVE</v>
      </c>
      <c r="H1928" t="str">
        <f>T("")</f>
        <v/>
      </c>
      <c r="I1928" t="str">
        <f>T("SOLOMONS")</f>
        <v>SOLOMONS</v>
      </c>
      <c r="J1928" t="str">
        <f t="shared" si="810"/>
        <v>MD</v>
      </c>
      <c r="K1928" t="str">
        <f t="shared" ref="K1928:K1935" si="811">T("000000000000000000")</f>
        <v>000000000000000000</v>
      </c>
      <c r="L1928" t="str">
        <f>T("4103267552")</f>
        <v>4103267552</v>
      </c>
    </row>
    <row r="1929" spans="1:12" x14ac:dyDescent="0.35">
      <c r="A1929" t="str">
        <f t="shared" ref="A1929:A1960" si="812">T("NAWCAD PAX RIVER")</f>
        <v>NAWCAD PAX RIVER</v>
      </c>
      <c r="B1929" t="str">
        <f>T("11 VILLA ROAD")</f>
        <v>11 VILLA ROAD</v>
      </c>
      <c r="C1929" t="str">
        <f>T("BLDG 8185")</f>
        <v>BLDG 8185</v>
      </c>
      <c r="D1929" t="str">
        <f t="shared" ref="D1929:D1943" si="813">T("ST INIGOES")</f>
        <v>ST INIGOES</v>
      </c>
      <c r="E1929" t="str">
        <f t="shared" si="809"/>
        <v>MD</v>
      </c>
      <c r="F1929" t="str">
        <f>T("206840010")</f>
        <v>206840010</v>
      </c>
      <c r="G1929" t="str">
        <f>T("11 VILLA ROAD")</f>
        <v>11 VILLA ROAD</v>
      </c>
      <c r="H1929" t="str">
        <f>T("BLDG 8185")</f>
        <v>BLDG 8185</v>
      </c>
      <c r="I1929" t="str">
        <f>T("ST INIGOES")</f>
        <v>ST INIGOES</v>
      </c>
      <c r="J1929" t="str">
        <f t="shared" si="810"/>
        <v>MD</v>
      </c>
      <c r="K1929" t="str">
        <f t="shared" si="811"/>
        <v>000000000000000000</v>
      </c>
      <c r="L1929" t="str">
        <f>T("3019958449")</f>
        <v>3019958449</v>
      </c>
    </row>
    <row r="1930" spans="1:12" x14ac:dyDescent="0.35">
      <c r="A1930" t="str">
        <f t="shared" si="812"/>
        <v>NAWCAD PAX RIVER</v>
      </c>
      <c r="B1930" t="str">
        <f>T("11 VILLA ROAD")</f>
        <v>11 VILLA ROAD</v>
      </c>
      <c r="C1930" t="str">
        <f>T("BLDG 8185")</f>
        <v>BLDG 8185</v>
      </c>
      <c r="D1930" t="str">
        <f t="shared" si="813"/>
        <v>ST INIGOES</v>
      </c>
      <c r="E1930" t="str">
        <f t="shared" si="809"/>
        <v>MD</v>
      </c>
      <c r="F1930" t="str">
        <f>T("206840010")</f>
        <v>206840010</v>
      </c>
      <c r="G1930" t="str">
        <f>T("17100 WEBSTER FIELD ROAD")</f>
        <v>17100 WEBSTER FIELD ROAD</v>
      </c>
      <c r="H1930" t="str">
        <f>T("BLDG 8185")</f>
        <v>BLDG 8185</v>
      </c>
      <c r="I1930" t="str">
        <f>T("ST INIGOES")</f>
        <v>ST INIGOES</v>
      </c>
      <c r="J1930" t="str">
        <f t="shared" si="810"/>
        <v>MD</v>
      </c>
      <c r="K1930" t="str">
        <f t="shared" si="811"/>
        <v>000000000000000000</v>
      </c>
      <c r="L1930" t="str">
        <f>T("3019956413")</f>
        <v>3019956413</v>
      </c>
    </row>
    <row r="1931" spans="1:12" x14ac:dyDescent="0.35">
      <c r="A1931" t="str">
        <f t="shared" si="812"/>
        <v>NAWCAD PAX RIVER</v>
      </c>
      <c r="B1931" t="str">
        <f>T("11 VILLA ROAD")</f>
        <v>11 VILLA ROAD</v>
      </c>
      <c r="C1931" t="str">
        <f>T("BLDG 8185")</f>
        <v>BLDG 8185</v>
      </c>
      <c r="D1931" t="str">
        <f t="shared" si="813"/>
        <v>ST INIGOES</v>
      </c>
      <c r="E1931" t="str">
        <f t="shared" si="809"/>
        <v>MD</v>
      </c>
      <c r="F1931" t="str">
        <f>T("206840010")</f>
        <v>206840010</v>
      </c>
      <c r="G1931" t="str">
        <f>T("17100 WEBSTER FIELD ROAD")</f>
        <v>17100 WEBSTER FIELD ROAD</v>
      </c>
      <c r="H1931" t="str">
        <f>T("BLDG 8185 UNIT 11")</f>
        <v>BLDG 8185 UNIT 11</v>
      </c>
      <c r="I1931" t="str">
        <f>T("SAINT INIGOES")</f>
        <v>SAINT INIGOES</v>
      </c>
      <c r="J1931" t="str">
        <f t="shared" si="810"/>
        <v>MD</v>
      </c>
      <c r="K1931" t="str">
        <f t="shared" si="811"/>
        <v>000000000000000000</v>
      </c>
      <c r="L1931" t="str">
        <f>T("3019958394")</f>
        <v>3019958394</v>
      </c>
    </row>
    <row r="1932" spans="1:12" x14ac:dyDescent="0.35">
      <c r="A1932" t="str">
        <f t="shared" si="812"/>
        <v>NAWCAD PAX RIVER</v>
      </c>
      <c r="B1932" t="str">
        <f>T("17134 WEBSTER FIELD ROAD")</f>
        <v>17134 WEBSTER FIELD ROAD</v>
      </c>
      <c r="C1932" t="str">
        <f>T("BLDG 8225")</f>
        <v>BLDG 8225</v>
      </c>
      <c r="D1932" t="str">
        <f t="shared" si="813"/>
        <v>ST INIGOES</v>
      </c>
      <c r="E1932" t="str">
        <f t="shared" si="809"/>
        <v>MD</v>
      </c>
      <c r="F1932" t="str">
        <f>T("206844039")</f>
        <v>206844039</v>
      </c>
      <c r="G1932" t="str">
        <f>T("17134 WEBSTER FIELD RD")</f>
        <v>17134 WEBSTER FIELD RD</v>
      </c>
      <c r="H1932" t="str">
        <f>T("BLDG 8225 ROOM 256")</f>
        <v>BLDG 8225 ROOM 256</v>
      </c>
      <c r="I1932" t="str">
        <f>T("ST INIGOES")</f>
        <v>ST INIGOES</v>
      </c>
      <c r="J1932" t="str">
        <f t="shared" si="810"/>
        <v>MD</v>
      </c>
      <c r="K1932" t="str">
        <f t="shared" si="811"/>
        <v>000000000000000000</v>
      </c>
      <c r="L1932" t="str">
        <f>T("3019958673")</f>
        <v>3019958673</v>
      </c>
    </row>
    <row r="1933" spans="1:12" x14ac:dyDescent="0.35">
      <c r="A1933" t="str">
        <f t="shared" si="812"/>
        <v>NAWCAD PAX RIVER</v>
      </c>
      <c r="B1933" t="str">
        <f>T("17134 WEBSTER FIELD ROAD")</f>
        <v>17134 WEBSTER FIELD ROAD</v>
      </c>
      <c r="C1933" t="str">
        <f>T("BLDG 8225")</f>
        <v>BLDG 8225</v>
      </c>
      <c r="D1933" t="str">
        <f t="shared" si="813"/>
        <v>ST INIGOES</v>
      </c>
      <c r="E1933" t="str">
        <f t="shared" si="809"/>
        <v>MD</v>
      </c>
      <c r="F1933" t="str">
        <f>T("206844039")</f>
        <v>206844039</v>
      </c>
      <c r="G1933" t="str">
        <f>T("17134 WEBSTER FIELD ROAD")</f>
        <v>17134 WEBSTER FIELD ROAD</v>
      </c>
      <c r="H1933" t="str">
        <f>T("BLDG 8222")</f>
        <v>BLDG 8222</v>
      </c>
      <c r="I1933" t="str">
        <f>T("ST INIGOES")</f>
        <v>ST INIGOES</v>
      </c>
      <c r="J1933" t="str">
        <f t="shared" si="810"/>
        <v>MD</v>
      </c>
      <c r="K1933" t="str">
        <f t="shared" si="811"/>
        <v>000000000000000000</v>
      </c>
      <c r="L1933" t="str">
        <f>T("3019958882")</f>
        <v>3019958882</v>
      </c>
    </row>
    <row r="1934" spans="1:12" x14ac:dyDescent="0.35">
      <c r="A1934" t="str">
        <f t="shared" si="812"/>
        <v>NAWCAD PAX RIVER</v>
      </c>
      <c r="B1934" t="str">
        <f>T("17134 WEBSTER FIELD ROAD")</f>
        <v>17134 WEBSTER FIELD ROAD</v>
      </c>
      <c r="C1934" t="str">
        <f>T("BLDG 8225")</f>
        <v>BLDG 8225</v>
      </c>
      <c r="D1934" t="str">
        <f t="shared" si="813"/>
        <v>ST INIGOES</v>
      </c>
      <c r="E1934" t="str">
        <f t="shared" si="809"/>
        <v>MD</v>
      </c>
      <c r="F1934" t="str">
        <f>T("206844039")</f>
        <v>206844039</v>
      </c>
      <c r="G1934" t="str">
        <f>T("17134 WEBSTER FIELD ROAD")</f>
        <v>17134 WEBSTER FIELD ROAD</v>
      </c>
      <c r="H1934" t="str">
        <f>T("BLDG 8225")</f>
        <v>BLDG 8225</v>
      </c>
      <c r="I1934" t="str">
        <f>T("ST INIGOES")</f>
        <v>ST INIGOES</v>
      </c>
      <c r="J1934" t="str">
        <f t="shared" si="810"/>
        <v>MD</v>
      </c>
      <c r="K1934" t="str">
        <f t="shared" si="811"/>
        <v>000000000000000000</v>
      </c>
      <c r="L1934" t="str">
        <f>T("3019958453")</f>
        <v>3019958453</v>
      </c>
    </row>
    <row r="1935" spans="1:12" x14ac:dyDescent="0.35">
      <c r="A1935" t="str">
        <f t="shared" si="812"/>
        <v>NAWCAD PAX RIVER</v>
      </c>
      <c r="B1935" t="str">
        <f>T("17212 WEBSTER FIELD ROAD")</f>
        <v>17212 WEBSTER FIELD ROAD</v>
      </c>
      <c r="C1935" t="str">
        <f>T("BLDG 8164 ROOM 123")</f>
        <v>BLDG 8164 ROOM 123</v>
      </c>
      <c r="D1935" t="str">
        <f t="shared" si="813"/>
        <v>ST INIGOES</v>
      </c>
      <c r="E1935" t="str">
        <f t="shared" si="809"/>
        <v>MD</v>
      </c>
      <c r="F1935" t="str">
        <f>T("206844035")</f>
        <v>206844035</v>
      </c>
      <c r="G1935" t="str">
        <f>T("17171 TACAN STREET")</f>
        <v>17171 TACAN STREET</v>
      </c>
      <c r="H1935" t="str">
        <f>T("WEBSTER FIELD")</f>
        <v>WEBSTER FIELD</v>
      </c>
      <c r="I1935" t="str">
        <f>T("SAINT INIGOES")</f>
        <v>SAINT INIGOES</v>
      </c>
      <c r="J1935" t="str">
        <f t="shared" si="810"/>
        <v>MD</v>
      </c>
      <c r="K1935" t="str">
        <f t="shared" si="811"/>
        <v>000000000000000000</v>
      </c>
      <c r="L1935" t="str">
        <f>T("3019958589")</f>
        <v>3019958589</v>
      </c>
    </row>
    <row r="1936" spans="1:12" x14ac:dyDescent="0.35">
      <c r="A1936" t="str">
        <f t="shared" si="812"/>
        <v>NAWCAD PAX RIVER</v>
      </c>
      <c r="B1936" t="str">
        <f>T("17212 WEBSTER FIELD ROAD")</f>
        <v>17212 WEBSTER FIELD ROAD</v>
      </c>
      <c r="C1936" t="str">
        <f>T("BLDG 8164 ROOM 123")</f>
        <v>BLDG 8164 ROOM 123</v>
      </c>
      <c r="D1936" t="str">
        <f t="shared" si="813"/>
        <v>ST INIGOES</v>
      </c>
      <c r="E1936" t="str">
        <f t="shared" si="809"/>
        <v>MD</v>
      </c>
      <c r="F1936" t="str">
        <f>T("206844035")</f>
        <v>206844035</v>
      </c>
      <c r="G1936" t="str">
        <f>T("17212 WEBSTER FIELD ROAD")</f>
        <v>17212 WEBSTER FIELD ROAD</v>
      </c>
      <c r="H1936" t="str">
        <f>T("BLDG 8164 ROOM 123")</f>
        <v>BLDG 8164 ROOM 123</v>
      </c>
      <c r="I1936" t="str">
        <f>T("ST INIGOES")</f>
        <v>ST INIGOES</v>
      </c>
      <c r="J1936" t="str">
        <f t="shared" si="810"/>
        <v>MD</v>
      </c>
      <c r="K1936" t="str">
        <f>T("")</f>
        <v/>
      </c>
      <c r="L1936" t="str">
        <f>T("3019956215")</f>
        <v>3019956215</v>
      </c>
    </row>
    <row r="1937" spans="1:12" x14ac:dyDescent="0.35">
      <c r="A1937" t="str">
        <f t="shared" si="812"/>
        <v>NAWCAD PAX RIVER</v>
      </c>
      <c r="B1937" t="str">
        <f>T("17212 WEBSTER FIELD ROAD")</f>
        <v>17212 WEBSTER FIELD ROAD</v>
      </c>
      <c r="C1937" t="str">
        <f>T("BLDG 8164 ROOM 123")</f>
        <v>BLDG 8164 ROOM 123</v>
      </c>
      <c r="D1937" t="str">
        <f t="shared" si="813"/>
        <v>ST INIGOES</v>
      </c>
      <c r="E1937" t="str">
        <f t="shared" si="809"/>
        <v>MD</v>
      </c>
      <c r="F1937" t="str">
        <f>T("206844035")</f>
        <v>206844035</v>
      </c>
      <c r="G1937" t="str">
        <f>T("17221 WEBSTER FIELD RD")</f>
        <v>17221 WEBSTER FIELD RD</v>
      </c>
      <c r="H1937" t="str">
        <f>T("BLDG 8141")</f>
        <v>BLDG 8141</v>
      </c>
      <c r="I1937" t="str">
        <f>T("ST INIGOES")</f>
        <v>ST INIGOES</v>
      </c>
      <c r="J1937" t="str">
        <f t="shared" si="810"/>
        <v>MD</v>
      </c>
      <c r="K1937" t="str">
        <f t="shared" ref="K1937:K1942" si="814">T("000000000000000000")</f>
        <v>000000000000000000</v>
      </c>
      <c r="L1937" t="str">
        <f>T("3019958875")</f>
        <v>3019958875</v>
      </c>
    </row>
    <row r="1938" spans="1:12" x14ac:dyDescent="0.35">
      <c r="A1938" t="str">
        <f t="shared" si="812"/>
        <v>NAWCAD PAX RIVER</v>
      </c>
      <c r="B1938" t="str">
        <f>T("17212 WEBSTER FIELD ROAD")</f>
        <v>17212 WEBSTER FIELD ROAD</v>
      </c>
      <c r="C1938" t="str">
        <f>T("BLDG 8164 ROOM 123")</f>
        <v>BLDG 8164 ROOM 123</v>
      </c>
      <c r="D1938" t="str">
        <f t="shared" si="813"/>
        <v>ST INIGOES</v>
      </c>
      <c r="E1938" t="str">
        <f t="shared" si="809"/>
        <v>MD</v>
      </c>
      <c r="F1938" t="str">
        <f>T("206844035")</f>
        <v>206844035</v>
      </c>
      <c r="G1938" t="str">
        <f>T("17598 WEBSTER FIELD ROAD")</f>
        <v>17598 WEBSTER FIELD ROAD</v>
      </c>
      <c r="H1938" t="str">
        <f>T("BLDG 8123 ROOM 102")</f>
        <v>BLDG 8123 ROOM 102</v>
      </c>
      <c r="I1938" t="str">
        <f>T("SAINT INIGOES")</f>
        <v>SAINT INIGOES</v>
      </c>
      <c r="J1938" t="str">
        <f t="shared" si="810"/>
        <v>MD</v>
      </c>
      <c r="K1938" t="str">
        <f t="shared" si="814"/>
        <v>000000000000000000</v>
      </c>
      <c r="L1938" t="str">
        <f>T("3019958604")</f>
        <v>3019958604</v>
      </c>
    </row>
    <row r="1939" spans="1:12" x14ac:dyDescent="0.35">
      <c r="A1939" t="str">
        <f t="shared" si="812"/>
        <v>NAWCAD PAX RIVER</v>
      </c>
      <c r="B1939" t="str">
        <f>T("17212 WEBSTER FIELD ROAD")</f>
        <v>17212 WEBSTER FIELD ROAD</v>
      </c>
      <c r="C1939" t="str">
        <f>T("BLDG 8164 ROOM 123")</f>
        <v>BLDG 8164 ROOM 123</v>
      </c>
      <c r="D1939" t="str">
        <f t="shared" si="813"/>
        <v>ST INIGOES</v>
      </c>
      <c r="E1939" t="str">
        <f t="shared" si="809"/>
        <v>MD</v>
      </c>
      <c r="F1939" t="str">
        <f>T("206844035")</f>
        <v>206844035</v>
      </c>
      <c r="G1939" t="str">
        <f>T("VILLA ROAD")</f>
        <v>VILLA ROAD</v>
      </c>
      <c r="H1939" t="str">
        <f>T("BLDG 8220 ROOM 100B")</f>
        <v>BLDG 8220 ROOM 100B</v>
      </c>
      <c r="I1939" t="str">
        <f>T("ST INIGOES")</f>
        <v>ST INIGOES</v>
      </c>
      <c r="J1939" t="str">
        <f t="shared" si="810"/>
        <v>MD</v>
      </c>
      <c r="K1939" t="str">
        <f t="shared" si="814"/>
        <v>000000000000000000</v>
      </c>
      <c r="L1939" t="str">
        <f>T("3019958093")</f>
        <v>3019958093</v>
      </c>
    </row>
    <row r="1940" spans="1:12" x14ac:dyDescent="0.35">
      <c r="A1940" t="str">
        <f t="shared" si="812"/>
        <v>NAWCAD PAX RIVER</v>
      </c>
      <c r="B1940" t="str">
        <f>T("17617 NESEA WAY")</f>
        <v>17617 NESEA WAY</v>
      </c>
      <c r="C1940" t="str">
        <f>T("BLDG 8009")</f>
        <v>BLDG 8009</v>
      </c>
      <c r="D1940" t="str">
        <f t="shared" si="813"/>
        <v>ST INIGOES</v>
      </c>
      <c r="E1940" t="str">
        <f t="shared" si="809"/>
        <v>MD</v>
      </c>
      <c r="F1940" t="str">
        <f>T("206844019")</f>
        <v>206844019</v>
      </c>
      <c r="G1940" t="str">
        <f>T("17598 WEBSTER FIELD RD")</f>
        <v>17598 WEBSTER FIELD RD</v>
      </c>
      <c r="H1940" t="str">
        <f>T("BLDG 8115")</f>
        <v>BLDG 8115</v>
      </c>
      <c r="I1940" t="str">
        <f>T("SAINT INIGOES")</f>
        <v>SAINT INIGOES</v>
      </c>
      <c r="J1940" t="str">
        <f t="shared" si="810"/>
        <v>MD</v>
      </c>
      <c r="K1940" t="str">
        <f t="shared" si="814"/>
        <v>000000000000000000</v>
      </c>
      <c r="L1940" t="str">
        <f>T("3019958341")</f>
        <v>3019958341</v>
      </c>
    </row>
    <row r="1941" spans="1:12" x14ac:dyDescent="0.35">
      <c r="A1941" t="str">
        <f t="shared" si="812"/>
        <v>NAWCAD PAX RIVER</v>
      </c>
      <c r="B1941" t="str">
        <f>T("17617 NESEA WAY")</f>
        <v>17617 NESEA WAY</v>
      </c>
      <c r="C1941" t="str">
        <f>T("BLDG 8009")</f>
        <v>BLDG 8009</v>
      </c>
      <c r="D1941" t="str">
        <f t="shared" si="813"/>
        <v>ST INIGOES</v>
      </c>
      <c r="E1941" t="str">
        <f t="shared" si="809"/>
        <v>MD</v>
      </c>
      <c r="F1941" t="str">
        <f>T("206844019")</f>
        <v>206844019</v>
      </c>
      <c r="G1941" t="str">
        <f>T("17616 NESEA WAY")</f>
        <v>17616 NESEA WAY</v>
      </c>
      <c r="H1941" t="str">
        <f>T("BLDG 8009 ROOM 207")</f>
        <v>BLDG 8009 ROOM 207</v>
      </c>
      <c r="I1941" t="str">
        <f>T("ST INIGOES")</f>
        <v>ST INIGOES</v>
      </c>
      <c r="J1941" t="str">
        <f t="shared" si="810"/>
        <v>MD</v>
      </c>
      <c r="K1941" t="str">
        <f t="shared" si="814"/>
        <v>000000000000000000</v>
      </c>
      <c r="L1941" t="str">
        <f>T("3019956160")</f>
        <v>3019956160</v>
      </c>
    </row>
    <row r="1942" spans="1:12" x14ac:dyDescent="0.35">
      <c r="A1942" t="str">
        <f t="shared" si="812"/>
        <v>NAWCAD PAX RIVER</v>
      </c>
      <c r="B1942" t="str">
        <f>T("17617 NESEA WAY")</f>
        <v>17617 NESEA WAY</v>
      </c>
      <c r="C1942" t="str">
        <f>T("BLDG 8009")</f>
        <v>BLDG 8009</v>
      </c>
      <c r="D1942" t="str">
        <f t="shared" si="813"/>
        <v>ST INIGOES</v>
      </c>
      <c r="E1942" t="str">
        <f t="shared" si="809"/>
        <v>MD</v>
      </c>
      <c r="F1942" t="str">
        <f>T("206844019")</f>
        <v>206844019</v>
      </c>
      <c r="G1942" t="str">
        <f>T("17617 NESEA WAY")</f>
        <v>17617 NESEA WAY</v>
      </c>
      <c r="H1942" t="str">
        <f>T("BLDG 8009")</f>
        <v>BLDG 8009</v>
      </c>
      <c r="I1942" t="str">
        <f>T("SAINT INIGOES")</f>
        <v>SAINT INIGOES</v>
      </c>
      <c r="J1942" t="str">
        <f t="shared" si="810"/>
        <v>MD</v>
      </c>
      <c r="K1942" t="str">
        <f t="shared" si="814"/>
        <v>000000000000000000</v>
      </c>
      <c r="L1942" t="str">
        <f>T("3019958121")</f>
        <v>3019958121</v>
      </c>
    </row>
    <row r="1943" spans="1:12" x14ac:dyDescent="0.35">
      <c r="A1943" t="str">
        <f t="shared" si="812"/>
        <v>NAWCAD PAX RIVER</v>
      </c>
      <c r="B1943" t="str">
        <f>T("17617 NESEA WAY")</f>
        <v>17617 NESEA WAY</v>
      </c>
      <c r="C1943" t="str">
        <f>T("BLDG 8009")</f>
        <v>BLDG 8009</v>
      </c>
      <c r="D1943" t="str">
        <f t="shared" si="813"/>
        <v>ST INIGOES</v>
      </c>
      <c r="E1943" t="str">
        <f t="shared" si="809"/>
        <v>MD</v>
      </c>
      <c r="F1943" t="str">
        <f>T("206844019")</f>
        <v>206844019</v>
      </c>
      <c r="G1943" t="str">
        <f>T("17617 NESEA WAY")</f>
        <v>17617 NESEA WAY</v>
      </c>
      <c r="H1943" t="str">
        <f>T("BLDG 8009")</f>
        <v>BLDG 8009</v>
      </c>
      <c r="I1943" t="str">
        <f>T("ST INIGOES")</f>
        <v>ST INIGOES</v>
      </c>
      <c r="J1943" t="str">
        <f t="shared" si="810"/>
        <v>MD</v>
      </c>
      <c r="K1943" t="str">
        <f>T("")</f>
        <v/>
      </c>
      <c r="L1943" t="str">
        <f>T("3019958331")</f>
        <v>3019958331</v>
      </c>
    </row>
    <row r="1944" spans="1:12" x14ac:dyDescent="0.35">
      <c r="A1944" t="str">
        <f t="shared" si="812"/>
        <v>NAWCAD PAX RIVER</v>
      </c>
      <c r="B1944" t="str">
        <f>T("21983 BUNDY ROAD")</f>
        <v>21983 BUNDY ROAD</v>
      </c>
      <c r="C1944" t="str">
        <f>T("BLDG 441")</f>
        <v>BLDG 441</v>
      </c>
      <c r="D1944" t="str">
        <f>T("PATUXENT RIV")</f>
        <v>PATUXENT RIV</v>
      </c>
      <c r="E1944" t="str">
        <f t="shared" si="809"/>
        <v>MD</v>
      </c>
      <c r="F1944" t="str">
        <f>T("206701127")</f>
        <v>206701127</v>
      </c>
      <c r="G1944" t="str">
        <f>T("21983 BUNDY RD")</f>
        <v>21983 BUNDY RD</v>
      </c>
      <c r="H1944" t="str">
        <f>T("BLDG 441")</f>
        <v>BLDG 441</v>
      </c>
      <c r="I1944" t="str">
        <f>T("PATUXENT RIVER")</f>
        <v>PATUXENT RIVER</v>
      </c>
      <c r="J1944" t="str">
        <f t="shared" si="810"/>
        <v>MD</v>
      </c>
      <c r="K1944" t="str">
        <f t="shared" ref="K1944:K1951" si="815">T("000000000000000000")</f>
        <v>000000000000000000</v>
      </c>
      <c r="L1944" t="str">
        <f>T("3017575263")</f>
        <v>3017575263</v>
      </c>
    </row>
    <row r="1945" spans="1:12" x14ac:dyDescent="0.35">
      <c r="A1945" t="str">
        <f t="shared" si="812"/>
        <v>NAWCAD PAX RIVER</v>
      </c>
      <c r="B1945" t="str">
        <f>T("21983 BUNDY ROAD")</f>
        <v>21983 BUNDY ROAD</v>
      </c>
      <c r="C1945" t="str">
        <f>T("BLDG 441")</f>
        <v>BLDG 441</v>
      </c>
      <c r="D1945" t="str">
        <f>T("PATUXENT RIV")</f>
        <v>PATUXENT RIV</v>
      </c>
      <c r="E1945" t="str">
        <f t="shared" si="809"/>
        <v>MD</v>
      </c>
      <c r="F1945" t="str">
        <f>T("206701127")</f>
        <v>206701127</v>
      </c>
      <c r="G1945" t="str">
        <f>T("21983 BUNDY ROAD")</f>
        <v>21983 BUNDY ROAD</v>
      </c>
      <c r="H1945" t="str">
        <f>T("BLDG 441")</f>
        <v>BLDG 441</v>
      </c>
      <c r="I1945" t="str">
        <f>T("PATUXENT RIV")</f>
        <v>PATUXENT RIV</v>
      </c>
      <c r="J1945" t="str">
        <f t="shared" si="810"/>
        <v>MD</v>
      </c>
      <c r="K1945" t="str">
        <f t="shared" si="815"/>
        <v>000000000000000000</v>
      </c>
      <c r="L1945" t="str">
        <f>T("3017578458")</f>
        <v>3017578458</v>
      </c>
    </row>
    <row r="1946" spans="1:12" x14ac:dyDescent="0.35">
      <c r="A1946" t="str">
        <f t="shared" si="812"/>
        <v>NAWCAD PAX RIVER</v>
      </c>
      <c r="B1946" t="str">
        <f>T("22095 FORTIN CIRCLE")</f>
        <v>22095 FORTIN CIRCLE</v>
      </c>
      <c r="C1946" t="str">
        <f>T("BLDG 1489 RM 106")</f>
        <v>BLDG 1489 RM 106</v>
      </c>
      <c r="D1946" t="str">
        <f>T("PATUXENT RVR")</f>
        <v>PATUXENT RVR</v>
      </c>
      <c r="E1946" t="str">
        <f t="shared" si="809"/>
        <v>MD</v>
      </c>
      <c r="F1946" t="str">
        <f>T("206701139")</f>
        <v>206701139</v>
      </c>
      <c r="G1946" t="str">
        <f>T("22095 FORTIN CIRCLE")</f>
        <v>22095 FORTIN CIRCLE</v>
      </c>
      <c r="H1946" t="str">
        <f>T("BLDG 1489 RM 106")</f>
        <v>BLDG 1489 RM 106</v>
      </c>
      <c r="I1946" t="str">
        <f>T("PATUXENT RVR")</f>
        <v>PATUXENT RVR</v>
      </c>
      <c r="J1946" t="str">
        <f t="shared" si="810"/>
        <v>MD</v>
      </c>
      <c r="K1946" t="str">
        <f t="shared" si="815"/>
        <v>000000000000000000</v>
      </c>
      <c r="L1946" t="str">
        <f>T("3013423031")</f>
        <v>3013423031</v>
      </c>
    </row>
    <row r="1947" spans="1:12" x14ac:dyDescent="0.35">
      <c r="A1947" t="str">
        <f t="shared" si="812"/>
        <v>NAWCAD PAX RIVER</v>
      </c>
      <c r="B1947" t="str">
        <f>T("22095 FORTIN CIRCLE")</f>
        <v>22095 FORTIN CIRCLE</v>
      </c>
      <c r="C1947" t="str">
        <f>T("BLDG 1489 RM 106")</f>
        <v>BLDG 1489 RM 106</v>
      </c>
      <c r="D1947" t="str">
        <f>T("PATUXENT RVR")</f>
        <v>PATUXENT RVR</v>
      </c>
      <c r="E1947" t="str">
        <f t="shared" si="809"/>
        <v>MD</v>
      </c>
      <c r="F1947" t="str">
        <f>T("206701139")</f>
        <v>206701139</v>
      </c>
      <c r="G1947" t="str">
        <f>T("22095 FORTIN CIRCLE")</f>
        <v>22095 FORTIN CIRCLE</v>
      </c>
      <c r="H1947" t="str">
        <f>T("BLDG 2189 ROOM 106")</f>
        <v>BLDG 2189 ROOM 106</v>
      </c>
      <c r="I1947" t="str">
        <f>T("PATUXENT RIVER")</f>
        <v>PATUXENT RIVER</v>
      </c>
      <c r="J1947" t="str">
        <f t="shared" si="810"/>
        <v>MD</v>
      </c>
      <c r="K1947" t="str">
        <f t="shared" si="815"/>
        <v>000000000000000000</v>
      </c>
      <c r="L1947" t="str">
        <f>T("3013424029")</f>
        <v>3013424029</v>
      </c>
    </row>
    <row r="1948" spans="1:12" x14ac:dyDescent="0.35">
      <c r="A1948" t="str">
        <f t="shared" si="812"/>
        <v>NAWCAD PAX RIVER</v>
      </c>
      <c r="B1948" t="str">
        <f>T("22095 FORTIN CIRCLE")</f>
        <v>22095 FORTIN CIRCLE</v>
      </c>
      <c r="C1948" t="str">
        <f>T("BLDG 1489 RM 108")</f>
        <v>BLDG 1489 RM 108</v>
      </c>
      <c r="D1948" t="str">
        <f>T("PATUXENT RIVER")</f>
        <v>PATUXENT RIVER</v>
      </c>
      <c r="E1948" t="str">
        <f t="shared" si="809"/>
        <v>MD</v>
      </c>
      <c r="F1948" t="str">
        <f>T("206701139")</f>
        <v>206701139</v>
      </c>
      <c r="G1948" t="str">
        <f>T("22095 FORTIN CIRCLE")</f>
        <v>22095 FORTIN CIRCLE</v>
      </c>
      <c r="H1948" t="str">
        <f>T("BLDG 1489 RM 108")</f>
        <v>BLDG 1489 RM 108</v>
      </c>
      <c r="I1948" t="str">
        <f>T("PATUXENT RIVER")</f>
        <v>PATUXENT RIVER</v>
      </c>
      <c r="J1948" t="str">
        <f t="shared" si="810"/>
        <v>MD</v>
      </c>
      <c r="K1948" t="str">
        <f t="shared" si="815"/>
        <v>000000000000000000</v>
      </c>
      <c r="L1948" t="str">
        <f>T("3019954328")</f>
        <v>3019954328</v>
      </c>
    </row>
    <row r="1949" spans="1:12" x14ac:dyDescent="0.35">
      <c r="A1949" t="str">
        <f t="shared" si="812"/>
        <v>NAWCAD PAX RIVER</v>
      </c>
      <c r="B1949" t="str">
        <f>T("22095 FORTIN CIRCLE")</f>
        <v>22095 FORTIN CIRCLE</v>
      </c>
      <c r="C1949" t="str">
        <f>T("BLDG 1489 RM 108")</f>
        <v>BLDG 1489 RM 108</v>
      </c>
      <c r="D1949" t="str">
        <f>T("PATUXENT RIVER")</f>
        <v>PATUXENT RIVER</v>
      </c>
      <c r="E1949" t="str">
        <f t="shared" si="809"/>
        <v>MD</v>
      </c>
      <c r="F1949" t="str">
        <f>T("206701139")</f>
        <v>206701139</v>
      </c>
      <c r="G1949" t="str">
        <f>T("22095 FORTIN CIRCLE")</f>
        <v>22095 FORTIN CIRCLE</v>
      </c>
      <c r="H1949" t="str">
        <f>T("BLDG 1489 ROOM 108")</f>
        <v>BLDG 1489 ROOM 108</v>
      </c>
      <c r="I1949" t="str">
        <f>T("PATUXENT RIVER")</f>
        <v>PATUXENT RIVER</v>
      </c>
      <c r="J1949" t="str">
        <f t="shared" si="810"/>
        <v>MD</v>
      </c>
      <c r="K1949" t="str">
        <f t="shared" si="815"/>
        <v>000000000000000000</v>
      </c>
      <c r="L1949" t="str">
        <f>T("3013426870")</f>
        <v>3013426870</v>
      </c>
    </row>
    <row r="1950" spans="1:12" x14ac:dyDescent="0.35">
      <c r="A1950" t="str">
        <f t="shared" si="812"/>
        <v>NAWCAD PAX RIVER</v>
      </c>
      <c r="B1950" t="str">
        <f>T("22113 FORTIN CIRCLE")</f>
        <v>22113 FORTIN CIRCLE</v>
      </c>
      <c r="C1950" t="str">
        <f>T("BLDG 1403 UNIT 7")</f>
        <v>BLDG 1403 UNIT 7</v>
      </c>
      <c r="D1950" t="str">
        <f>T("PATUXENT RIV")</f>
        <v>PATUXENT RIV</v>
      </c>
      <c r="E1950" t="str">
        <f t="shared" si="809"/>
        <v>MD</v>
      </c>
      <c r="F1950" t="str">
        <f>T("206701118")</f>
        <v>206701118</v>
      </c>
      <c r="G1950" t="str">
        <f>T("22113 FORTIN CIRCLE")</f>
        <v>22113 FORTIN CIRCLE</v>
      </c>
      <c r="H1950" t="str">
        <f>T("BLDG 1403 ROOM 15 UNIT 7")</f>
        <v>BLDG 1403 ROOM 15 UNIT 7</v>
      </c>
      <c r="I1950" t="str">
        <f>T("PATUXENT RIVER")</f>
        <v>PATUXENT RIVER</v>
      </c>
      <c r="J1950" t="str">
        <f t="shared" si="810"/>
        <v>MD</v>
      </c>
      <c r="K1950" t="str">
        <f t="shared" si="815"/>
        <v>000000000000000000</v>
      </c>
      <c r="L1950" t="str">
        <f>T("3013421635")</f>
        <v>3013421635</v>
      </c>
    </row>
    <row r="1951" spans="1:12" x14ac:dyDescent="0.35">
      <c r="A1951" t="str">
        <f t="shared" si="812"/>
        <v>NAWCAD PAX RIVER</v>
      </c>
      <c r="B1951" t="str">
        <f>T("22113 FORTIN CIRCLE")</f>
        <v>22113 FORTIN CIRCLE</v>
      </c>
      <c r="C1951" t="str">
        <f>T("BLDG 1403 UNIT 7")</f>
        <v>BLDG 1403 UNIT 7</v>
      </c>
      <c r="D1951" t="str">
        <f>T("PATUXENT RIV")</f>
        <v>PATUXENT RIV</v>
      </c>
      <c r="E1951" t="str">
        <f t="shared" si="809"/>
        <v>MD</v>
      </c>
      <c r="F1951" t="str">
        <f>T("206701118")</f>
        <v>206701118</v>
      </c>
      <c r="G1951" t="str">
        <f>T("22113 FORTIN CIRCLE")</f>
        <v>22113 FORTIN CIRCLE</v>
      </c>
      <c r="H1951" t="str">
        <f>T("BLDG 1403 ROOM 15 UNIT 7")</f>
        <v>BLDG 1403 ROOM 15 UNIT 7</v>
      </c>
      <c r="I1951" t="str">
        <f>T("PATUXENT RIVER")</f>
        <v>PATUXENT RIVER</v>
      </c>
      <c r="J1951" t="str">
        <f t="shared" si="810"/>
        <v>MD</v>
      </c>
      <c r="K1951" t="str">
        <f t="shared" si="815"/>
        <v>000000000000000000</v>
      </c>
      <c r="L1951" t="str">
        <f>T("3017573985")</f>
        <v>3017573985</v>
      </c>
    </row>
    <row r="1952" spans="1:12" x14ac:dyDescent="0.35">
      <c r="A1952" t="str">
        <f t="shared" si="812"/>
        <v>NAWCAD PAX RIVER</v>
      </c>
      <c r="B1952" t="str">
        <f>T("22113 FORTIN CIRCLE")</f>
        <v>22113 FORTIN CIRCLE</v>
      </c>
      <c r="C1952" t="str">
        <f>T("BLDG 1403 UNIT 7")</f>
        <v>BLDG 1403 UNIT 7</v>
      </c>
      <c r="D1952" t="str">
        <f>T("PATUXENT RIV")</f>
        <v>PATUXENT RIV</v>
      </c>
      <c r="E1952" t="str">
        <f t="shared" si="809"/>
        <v>MD</v>
      </c>
      <c r="F1952" t="str">
        <f>T("206701118")</f>
        <v>206701118</v>
      </c>
      <c r="G1952" t="str">
        <f>T("22113 FORTIN CIRCLE")</f>
        <v>22113 FORTIN CIRCLE</v>
      </c>
      <c r="H1952" t="str">
        <f>T("BLDG 1403 UNIT 7")</f>
        <v>BLDG 1403 UNIT 7</v>
      </c>
      <c r="I1952" t="str">
        <f>T("PATUXENT RIV")</f>
        <v>PATUXENT RIV</v>
      </c>
      <c r="J1952" t="str">
        <f t="shared" si="810"/>
        <v>MD</v>
      </c>
      <c r="K1952" t="str">
        <f>T("3013420920")</f>
        <v>3013420920</v>
      </c>
      <c r="L1952" t="str">
        <f>T("3013421654")</f>
        <v>3013421654</v>
      </c>
    </row>
    <row r="1953" spans="1:12" x14ac:dyDescent="0.35">
      <c r="A1953" t="str">
        <f t="shared" si="812"/>
        <v>NAWCAD PAX RIVER</v>
      </c>
      <c r="B1953" t="str">
        <f>T("22113 FORTIN CIRCLE")</f>
        <v>22113 FORTIN CIRCLE</v>
      </c>
      <c r="C1953" t="str">
        <f>T("BLDG 1403 UNIT 7")</f>
        <v>BLDG 1403 UNIT 7</v>
      </c>
      <c r="D1953" t="str">
        <f>T("PATUXENT RIV")</f>
        <v>PATUXENT RIV</v>
      </c>
      <c r="E1953" t="str">
        <f t="shared" si="809"/>
        <v>MD</v>
      </c>
      <c r="F1953" t="str">
        <f>T("206701118")</f>
        <v>206701118</v>
      </c>
      <c r="G1953" t="str">
        <f>T("48187 STANDLEY ROAD")</f>
        <v>48187 STANDLEY ROAD</v>
      </c>
      <c r="H1953" t="str">
        <f>T("BLDG 4010 RM 253-81")</f>
        <v>BLDG 4010 RM 253-81</v>
      </c>
      <c r="I1953" t="str">
        <f t="shared" ref="I1953:I1964" si="816">T("PATUXENT RIVER")</f>
        <v>PATUXENT RIVER</v>
      </c>
      <c r="J1953" t="str">
        <f t="shared" si="810"/>
        <v>MD</v>
      </c>
      <c r="K1953" t="str">
        <f>T("000000000000000000")</f>
        <v>000000000000000000</v>
      </c>
      <c r="L1953" t="str">
        <f>T("3017573158")</f>
        <v>3017573158</v>
      </c>
    </row>
    <row r="1954" spans="1:12" x14ac:dyDescent="0.35">
      <c r="A1954" t="str">
        <f t="shared" si="812"/>
        <v>NAWCAD PAX RIVER</v>
      </c>
      <c r="B1954" t="str">
        <f t="shared" ref="B1954:B1959" si="817">T("22229 ELMER RD BLDG 2360")</f>
        <v>22229 ELMER RD BLDG 2360</v>
      </c>
      <c r="C1954" t="str">
        <f t="shared" ref="C1954:C1959" si="818">T("UNIT 4")</f>
        <v>UNIT 4</v>
      </c>
      <c r="D1954" t="str">
        <f t="shared" ref="D1954:D1963" si="819">T("PATUXENT RIVER")</f>
        <v>PATUXENT RIVER</v>
      </c>
      <c r="E1954" t="str">
        <f t="shared" si="809"/>
        <v>MD</v>
      </c>
      <c r="F1954" t="str">
        <f t="shared" ref="F1954:F1959" si="820">T("206700000")</f>
        <v>206700000</v>
      </c>
      <c r="G1954" t="str">
        <f>T("22195 ELMER ROAD")</f>
        <v>22195 ELMER ROAD</v>
      </c>
      <c r="H1954" t="str">
        <f>T("BLDG 106 ROOM 219B")</f>
        <v>BLDG 106 ROOM 219B</v>
      </c>
      <c r="I1954" t="str">
        <f t="shared" si="816"/>
        <v>PATUXENT RIVER</v>
      </c>
      <c r="J1954" t="str">
        <f t="shared" si="810"/>
        <v>MD</v>
      </c>
      <c r="K1954" t="str">
        <f>T("000000000000000000")</f>
        <v>000000000000000000</v>
      </c>
      <c r="L1954" t="str">
        <f>T("3019957558")</f>
        <v>3019957558</v>
      </c>
    </row>
    <row r="1955" spans="1:12" x14ac:dyDescent="0.35">
      <c r="A1955" t="str">
        <f t="shared" si="812"/>
        <v>NAWCAD PAX RIVER</v>
      </c>
      <c r="B1955" t="str">
        <f t="shared" si="817"/>
        <v>22229 ELMER RD BLDG 2360</v>
      </c>
      <c r="C1955" t="str">
        <f t="shared" si="818"/>
        <v>UNIT 4</v>
      </c>
      <c r="D1955" t="str">
        <f t="shared" si="819"/>
        <v>PATUXENT RIVER</v>
      </c>
      <c r="E1955" t="str">
        <f t="shared" si="809"/>
        <v>MD</v>
      </c>
      <c r="F1955" t="str">
        <f t="shared" si="820"/>
        <v>206700000</v>
      </c>
      <c r="G1955" t="str">
        <f>T("22229 ELMER RD")</f>
        <v>22229 ELMER RD</v>
      </c>
      <c r="H1955" t="str">
        <f>T("BUILDING 2360 UNIT 4")</f>
        <v>BUILDING 2360 UNIT 4</v>
      </c>
      <c r="I1955" t="str">
        <f t="shared" si="816"/>
        <v>PATUXENT RIVER</v>
      </c>
      <c r="J1955" t="str">
        <f t="shared" si="810"/>
        <v>MD</v>
      </c>
      <c r="K1955" t="str">
        <f>T("000000000000000000")</f>
        <v>000000000000000000</v>
      </c>
      <c r="L1955" t="str">
        <f>T("3017573404")</f>
        <v>3017573404</v>
      </c>
    </row>
    <row r="1956" spans="1:12" x14ac:dyDescent="0.35">
      <c r="A1956" t="str">
        <f t="shared" si="812"/>
        <v>NAWCAD PAX RIVER</v>
      </c>
      <c r="B1956" t="str">
        <f t="shared" si="817"/>
        <v>22229 ELMER RD BLDG 2360</v>
      </c>
      <c r="C1956" t="str">
        <f t="shared" si="818"/>
        <v>UNIT 4</v>
      </c>
      <c r="D1956" t="str">
        <f t="shared" si="819"/>
        <v>PATUXENT RIVER</v>
      </c>
      <c r="E1956" t="str">
        <f t="shared" si="809"/>
        <v>MD</v>
      </c>
      <c r="F1956" t="str">
        <f t="shared" si="820"/>
        <v>206700000</v>
      </c>
      <c r="G1956" t="str">
        <f>T("22229 ELMER RD BLDG 2360")</f>
        <v>22229 ELMER RD BLDG 2360</v>
      </c>
      <c r="H1956" t="str">
        <f>T("UNIT 4")</f>
        <v>UNIT 4</v>
      </c>
      <c r="I1956" t="str">
        <f t="shared" si="816"/>
        <v>PATUXENT RIVER</v>
      </c>
      <c r="J1956" t="str">
        <f t="shared" si="810"/>
        <v>MD</v>
      </c>
      <c r="K1956" t="str">
        <f>T("")</f>
        <v/>
      </c>
      <c r="L1956" t="str">
        <f>T("3017573420")</f>
        <v>3017573420</v>
      </c>
    </row>
    <row r="1957" spans="1:12" x14ac:dyDescent="0.35">
      <c r="A1957" t="str">
        <f t="shared" si="812"/>
        <v>NAWCAD PAX RIVER</v>
      </c>
      <c r="B1957" t="str">
        <f t="shared" si="817"/>
        <v>22229 ELMER RD BLDG 2360</v>
      </c>
      <c r="C1957" t="str">
        <f t="shared" si="818"/>
        <v>UNIT 4</v>
      </c>
      <c r="D1957" t="str">
        <f t="shared" si="819"/>
        <v>PATUXENT RIVER</v>
      </c>
      <c r="E1957" t="str">
        <f t="shared" si="809"/>
        <v>MD</v>
      </c>
      <c r="F1957" t="str">
        <f t="shared" si="820"/>
        <v>206700000</v>
      </c>
      <c r="G1957" t="str">
        <f>T("22229 ELMER RD UNIT 4")</f>
        <v>22229 ELMER RD UNIT 4</v>
      </c>
      <c r="H1957" t="str">
        <f>T("PSEF BLDG 2360")</f>
        <v>PSEF BLDG 2360</v>
      </c>
      <c r="I1957" t="str">
        <f t="shared" si="816"/>
        <v>PATUXENT RIVER</v>
      </c>
      <c r="J1957" t="str">
        <f t="shared" si="810"/>
        <v>MD</v>
      </c>
      <c r="K1957" t="str">
        <f>T("000000000000000000")</f>
        <v>000000000000000000</v>
      </c>
      <c r="L1957" t="str">
        <f>T("3017573387")</f>
        <v>3017573387</v>
      </c>
    </row>
    <row r="1958" spans="1:12" x14ac:dyDescent="0.35">
      <c r="A1958" t="str">
        <f t="shared" si="812"/>
        <v>NAWCAD PAX RIVER</v>
      </c>
      <c r="B1958" t="str">
        <f t="shared" si="817"/>
        <v>22229 ELMER RD BLDG 2360</v>
      </c>
      <c r="C1958" t="str">
        <f t="shared" si="818"/>
        <v>UNIT 4</v>
      </c>
      <c r="D1958" t="str">
        <f t="shared" si="819"/>
        <v>PATUXENT RIVER</v>
      </c>
      <c r="E1958" t="str">
        <f t="shared" si="809"/>
        <v>MD</v>
      </c>
      <c r="F1958" t="str">
        <f t="shared" si="820"/>
        <v>206700000</v>
      </c>
      <c r="G1958" t="str">
        <f>T("22229 ELMER ROAD")</f>
        <v>22229 ELMER ROAD</v>
      </c>
      <c r="H1958" t="str">
        <f>T("BLDG 2360 PSEF")</f>
        <v>BLDG 2360 PSEF</v>
      </c>
      <c r="I1958" t="str">
        <f t="shared" si="816"/>
        <v>PATUXENT RIVER</v>
      </c>
      <c r="J1958" t="str">
        <f t="shared" si="810"/>
        <v>MD</v>
      </c>
      <c r="K1958" t="str">
        <f>T("000000000000000000")</f>
        <v>000000000000000000</v>
      </c>
      <c r="L1958" t="str">
        <f>T("3017573393")</f>
        <v>3017573393</v>
      </c>
    </row>
    <row r="1959" spans="1:12" x14ac:dyDescent="0.35">
      <c r="A1959" t="str">
        <f t="shared" si="812"/>
        <v>NAWCAD PAX RIVER</v>
      </c>
      <c r="B1959" t="str">
        <f t="shared" si="817"/>
        <v>22229 ELMER RD BLDG 2360</v>
      </c>
      <c r="C1959" t="str">
        <f t="shared" si="818"/>
        <v>UNIT 4</v>
      </c>
      <c r="D1959" t="str">
        <f t="shared" si="819"/>
        <v>PATUXENT RIVER</v>
      </c>
      <c r="E1959" t="str">
        <f t="shared" si="809"/>
        <v>MD</v>
      </c>
      <c r="F1959" t="str">
        <f t="shared" si="820"/>
        <v>206700000</v>
      </c>
      <c r="G1959" t="str">
        <f>T("22229 ELMER ROAD BLDG 2360")</f>
        <v>22229 ELMER ROAD BLDG 2360</v>
      </c>
      <c r="H1959" t="str">
        <f>T("")</f>
        <v/>
      </c>
      <c r="I1959" t="str">
        <f t="shared" si="816"/>
        <v>PATUXENT RIVER</v>
      </c>
      <c r="J1959" t="str">
        <f t="shared" si="810"/>
        <v>MD</v>
      </c>
      <c r="K1959" t="str">
        <f>T("000000000000000000")</f>
        <v>000000000000000000</v>
      </c>
      <c r="L1959" t="str">
        <f>T("3017573437")</f>
        <v>3017573437</v>
      </c>
    </row>
    <row r="1960" spans="1:12" x14ac:dyDescent="0.35">
      <c r="A1960" t="str">
        <f t="shared" si="812"/>
        <v>NAWCAD PAX RIVER</v>
      </c>
      <c r="B1960" t="str">
        <f>T("22244 CEDAR POINT RD")</f>
        <v>22244 CEDAR POINT RD</v>
      </c>
      <c r="C1960" t="str">
        <f>T("BLDG 460 SUITE 0124-097")</f>
        <v>BLDG 460 SUITE 0124-097</v>
      </c>
      <c r="D1960" t="str">
        <f t="shared" si="819"/>
        <v>PATUXENT RIVER</v>
      </c>
      <c r="E1960" t="str">
        <f t="shared" si="809"/>
        <v>MD</v>
      </c>
      <c r="F1960" t="str">
        <f>T("206701163")</f>
        <v>206701163</v>
      </c>
      <c r="G1960" t="str">
        <f>T("22244 CEDAR POINT RD")</f>
        <v>22244 CEDAR POINT RD</v>
      </c>
      <c r="H1960" t="str">
        <f>T("BLDG 460 SUITE 0124-097")</f>
        <v>BLDG 460 SUITE 0124-097</v>
      </c>
      <c r="I1960" t="str">
        <f t="shared" si="816"/>
        <v>PATUXENT RIVER</v>
      </c>
      <c r="J1960" t="str">
        <f t="shared" si="810"/>
        <v>MD</v>
      </c>
      <c r="K1960" t="str">
        <f>T("")</f>
        <v/>
      </c>
      <c r="L1960" t="str">
        <f>T("3013420135")</f>
        <v>3013420135</v>
      </c>
    </row>
    <row r="1961" spans="1:12" x14ac:dyDescent="0.35">
      <c r="A1961" t="str">
        <f t="shared" ref="A1961:A1992" si="821">T("NAWCAD PAX RIVER")</f>
        <v>NAWCAD PAX RIVER</v>
      </c>
      <c r="B1961" t="str">
        <f>T("22244 CEDAR POINT RD")</f>
        <v>22244 CEDAR POINT RD</v>
      </c>
      <c r="C1961" t="str">
        <f>T("BLDG 460 SUITE 0124-097")</f>
        <v>BLDG 460 SUITE 0124-097</v>
      </c>
      <c r="D1961" t="str">
        <f t="shared" si="819"/>
        <v>PATUXENT RIVER</v>
      </c>
      <c r="E1961" t="str">
        <f t="shared" si="809"/>
        <v>MD</v>
      </c>
      <c r="F1961" t="str">
        <f>T("206701163")</f>
        <v>206701163</v>
      </c>
      <c r="G1961" t="str">
        <f>T("22244 CEDAR POINT ROAD")</f>
        <v>22244 CEDAR POINT ROAD</v>
      </c>
      <c r="H1961" t="str">
        <f>T("BLDG 460 RM 228 AIRWORTHINESS")</f>
        <v>BLDG 460 RM 228 AIRWORTHINESS</v>
      </c>
      <c r="I1961" t="str">
        <f t="shared" si="816"/>
        <v>PATUXENT RIVER</v>
      </c>
      <c r="J1961" t="str">
        <f t="shared" si="810"/>
        <v>MD</v>
      </c>
      <c r="K1961" t="str">
        <f>T("000000000000000000")</f>
        <v>000000000000000000</v>
      </c>
      <c r="L1961" t="str">
        <f>T("3013420307")</f>
        <v>3013420307</v>
      </c>
    </row>
    <row r="1962" spans="1:12" x14ac:dyDescent="0.35">
      <c r="A1962" t="str">
        <f t="shared" si="821"/>
        <v>NAWCAD PAX RIVER</v>
      </c>
      <c r="B1962" t="str">
        <f>T("22269 CEDAR POINT ROAD")</f>
        <v>22269 CEDAR POINT ROAD</v>
      </c>
      <c r="C1962" t="str">
        <f>T("BLDG 407 TECHNICAL LIBRARY")</f>
        <v>BLDG 407 TECHNICAL LIBRARY</v>
      </c>
      <c r="D1962" t="str">
        <f t="shared" si="819"/>
        <v>PATUXENT RIVER</v>
      </c>
      <c r="E1962" t="str">
        <f t="shared" si="809"/>
        <v>MD</v>
      </c>
      <c r="F1962" t="str">
        <f>T("206701120")</f>
        <v>206701120</v>
      </c>
      <c r="G1962" t="str">
        <f>T("22269 CEDAR POINT ROAD")</f>
        <v>22269 CEDAR POINT ROAD</v>
      </c>
      <c r="H1962" t="str">
        <f>T("BLDG 407")</f>
        <v>BLDG 407</v>
      </c>
      <c r="I1962" t="str">
        <f t="shared" si="816"/>
        <v>PATUXENT RIVER</v>
      </c>
      <c r="J1962" t="str">
        <f t="shared" si="810"/>
        <v>MD</v>
      </c>
      <c r="K1962" t="str">
        <f>T("000000000000000000")</f>
        <v>000000000000000000</v>
      </c>
      <c r="L1962" t="str">
        <f>T("3013425340")</f>
        <v>3013425340</v>
      </c>
    </row>
    <row r="1963" spans="1:12" x14ac:dyDescent="0.35">
      <c r="A1963" t="str">
        <f t="shared" si="821"/>
        <v>NAWCAD PAX RIVER</v>
      </c>
      <c r="B1963" t="str">
        <f>T("22269 CEDAR POINT ROAD")</f>
        <v>22269 CEDAR POINT ROAD</v>
      </c>
      <c r="C1963" t="str">
        <f>T("BLDG 407 TECHNICAL LIBRARY")</f>
        <v>BLDG 407 TECHNICAL LIBRARY</v>
      </c>
      <c r="D1963" t="str">
        <f t="shared" si="819"/>
        <v>PATUXENT RIVER</v>
      </c>
      <c r="E1963" t="str">
        <f t="shared" si="809"/>
        <v>MD</v>
      </c>
      <c r="F1963" t="str">
        <f>T("206701120")</f>
        <v>206701120</v>
      </c>
      <c r="G1963" t="str">
        <f>T("22269 CEDAR POINT ROAD")</f>
        <v>22269 CEDAR POINT ROAD</v>
      </c>
      <c r="H1963" t="str">
        <f>T("BLDG 407 TECHNICAL LIBRARY")</f>
        <v>BLDG 407 TECHNICAL LIBRARY</v>
      </c>
      <c r="I1963" t="str">
        <f t="shared" si="816"/>
        <v>PATUXENT RIVER</v>
      </c>
      <c r="J1963" t="str">
        <f t="shared" si="810"/>
        <v>MD</v>
      </c>
      <c r="K1963" t="str">
        <f>T("")</f>
        <v/>
      </c>
      <c r="L1963" t="str">
        <f>T("3013423643")</f>
        <v>3013423643</v>
      </c>
    </row>
    <row r="1964" spans="1:12" x14ac:dyDescent="0.35">
      <c r="A1964" t="str">
        <f t="shared" si="821"/>
        <v>NAWCAD PAX RIVER</v>
      </c>
      <c r="B1964" t="str">
        <f>T("22299 EXPLORATION DRIVE")</f>
        <v>22299 EXPLORATION DRIVE</v>
      </c>
      <c r="C1964" t="str">
        <f>T("EXPL IV SUITE 301")</f>
        <v>EXPL IV SUITE 301</v>
      </c>
      <c r="D1964" t="str">
        <f>T("LEXINGTON PA")</f>
        <v>LEXINGTON PA</v>
      </c>
      <c r="E1964" t="str">
        <f>T("RK")</f>
        <v>RK</v>
      </c>
      <c r="F1964" t="str">
        <f>T("206532055")</f>
        <v>206532055</v>
      </c>
      <c r="G1964" t="str">
        <f>T("21983 BUNDY ROAD")</f>
        <v>21983 BUNDY ROAD</v>
      </c>
      <c r="H1964" t="str">
        <f>T("BLDG 441")</f>
        <v>BLDG 441</v>
      </c>
      <c r="I1964" t="str">
        <f t="shared" si="816"/>
        <v>PATUXENT RIVER</v>
      </c>
      <c r="J1964" t="str">
        <f t="shared" si="810"/>
        <v>MD</v>
      </c>
      <c r="K1964" t="str">
        <f>T("000000000000000000")</f>
        <v>000000000000000000</v>
      </c>
      <c r="L1964" t="str">
        <f>T("3017372486")</f>
        <v>3017372486</v>
      </c>
    </row>
    <row r="1965" spans="1:12" x14ac:dyDescent="0.35">
      <c r="A1965" t="str">
        <f t="shared" si="821"/>
        <v>NAWCAD PAX RIVER</v>
      </c>
      <c r="B1965" t="str">
        <f>T("22299 EXPLORATION DRIVE")</f>
        <v>22299 EXPLORATION DRIVE</v>
      </c>
      <c r="C1965" t="str">
        <f>T("EXPL IV SUITE 301")</f>
        <v>EXPL IV SUITE 301</v>
      </c>
      <c r="D1965" t="str">
        <f>T("LEXINGTON PA")</f>
        <v>LEXINGTON PA</v>
      </c>
      <c r="E1965" t="str">
        <f>T("RK")</f>
        <v>RK</v>
      </c>
      <c r="F1965" t="str">
        <f>T("206532055")</f>
        <v>206532055</v>
      </c>
      <c r="G1965" t="str">
        <f>T("22299 EXPLORATION DRIVE")</f>
        <v>22299 EXPLORATION DRIVE</v>
      </c>
      <c r="H1965" t="str">
        <f>T("EXPL IV SUITE 301")</f>
        <v>EXPL IV SUITE 301</v>
      </c>
      <c r="I1965" t="str">
        <f>T("LEXINGTON PA")</f>
        <v>LEXINGTON PA</v>
      </c>
      <c r="J1965" t="str">
        <f>T("RK")</f>
        <v>RK</v>
      </c>
      <c r="K1965" t="str">
        <f>T("")</f>
        <v/>
      </c>
      <c r="L1965" t="str">
        <f>T("3017377596")</f>
        <v>3017377596</v>
      </c>
    </row>
    <row r="1966" spans="1:12" x14ac:dyDescent="0.35">
      <c r="A1966" t="str">
        <f t="shared" si="821"/>
        <v>NAWCAD PAX RIVER</v>
      </c>
      <c r="B1966" t="str">
        <f t="shared" ref="B1966:B1972" si="822">T("22347 CEDAR POINT RD")</f>
        <v>22347 CEDAR POINT RD</v>
      </c>
      <c r="C1966" t="str">
        <f>T("B2185 RM 2130 F1")</f>
        <v>B2185 RM 2130 F1</v>
      </c>
      <c r="D1966" t="str">
        <f>T("PATUXENT RIVER")</f>
        <v>PATUXENT RIVER</v>
      </c>
      <c r="E1966" t="str">
        <f t="shared" ref="E1966:E1997" si="823">T("MD")</f>
        <v>MD</v>
      </c>
      <c r="F1966" t="str">
        <f t="shared" ref="F1966:F1984" si="824">T("206701161")</f>
        <v>206701161</v>
      </c>
      <c r="G1966" t="str">
        <f>T("22347 CEDAR POINT RD")</f>
        <v>22347 CEDAR POINT RD</v>
      </c>
      <c r="H1966" t="str">
        <f>T("B2185 RM 2130 F1")</f>
        <v>B2185 RM 2130 F1</v>
      </c>
      <c r="I1966" t="str">
        <f>T("PATUXENT RIVER")</f>
        <v>PATUXENT RIVER</v>
      </c>
      <c r="J1966" t="str">
        <f t="shared" ref="J1966:J1997" si="825">T("MD")</f>
        <v>MD</v>
      </c>
      <c r="K1966" t="str">
        <f>T("")</f>
        <v/>
      </c>
      <c r="L1966" t="str">
        <f>T("3013422376")</f>
        <v>3013422376</v>
      </c>
    </row>
    <row r="1967" spans="1:12" x14ac:dyDescent="0.35">
      <c r="A1967" t="str">
        <f t="shared" si="821"/>
        <v>NAWCAD PAX RIVER</v>
      </c>
      <c r="B1967" t="str">
        <f t="shared" si="822"/>
        <v>22347 CEDAR POINT RD</v>
      </c>
      <c r="C1967" t="str">
        <f>T("B2185 RM 2130 F1")</f>
        <v>B2185 RM 2130 F1</v>
      </c>
      <c r="D1967" t="str">
        <f>T("PATUXENT RIVER")</f>
        <v>PATUXENT RIVER</v>
      </c>
      <c r="E1967" t="str">
        <f t="shared" si="823"/>
        <v>MD</v>
      </c>
      <c r="F1967" t="str">
        <f t="shared" si="824"/>
        <v>206701161</v>
      </c>
      <c r="G1967" t="str">
        <f>T("22347 CEDAR POINT ROAD")</f>
        <v>22347 CEDAR POINT ROAD</v>
      </c>
      <c r="H1967" t="str">
        <f>T("BLDG 2185 SUITE 3250")</f>
        <v>BLDG 2185 SUITE 3250</v>
      </c>
      <c r="I1967" t="str">
        <f>T("PATUXENT RIVER")</f>
        <v>PATUXENT RIVER</v>
      </c>
      <c r="J1967" t="str">
        <f t="shared" si="825"/>
        <v>MD</v>
      </c>
      <c r="K1967" t="str">
        <f>T("000000000000000000")</f>
        <v>000000000000000000</v>
      </c>
      <c r="L1967" t="str">
        <f>T("3013427019")</f>
        <v>3013427019</v>
      </c>
    </row>
    <row r="1968" spans="1:12" x14ac:dyDescent="0.35">
      <c r="A1968" t="str">
        <f t="shared" si="821"/>
        <v>NAWCAD PAX RIVER</v>
      </c>
      <c r="B1968" t="str">
        <f t="shared" si="822"/>
        <v>22347 CEDAR POINT RD</v>
      </c>
      <c r="C1968" t="str">
        <f>T("BLDG 2185 STE 1100")</f>
        <v>BLDG 2185 STE 1100</v>
      </c>
      <c r="D1968" t="str">
        <f>T("PATUXENT RIV")</f>
        <v>PATUXENT RIV</v>
      </c>
      <c r="E1968" t="str">
        <f t="shared" si="823"/>
        <v>MD</v>
      </c>
      <c r="F1968" t="str">
        <f t="shared" si="824"/>
        <v>206701161</v>
      </c>
      <c r="G1968" t="str">
        <f>T("22347 CEDAR POINT RD")</f>
        <v>22347 CEDAR POINT RD</v>
      </c>
      <c r="H1968" t="str">
        <f>T("BLDG 2185 STE 1100")</f>
        <v>BLDG 2185 STE 1100</v>
      </c>
      <c r="I1968" t="str">
        <f>T("PATUXENT RIV")</f>
        <v>PATUXENT RIV</v>
      </c>
      <c r="J1968" t="str">
        <f t="shared" si="825"/>
        <v>MD</v>
      </c>
      <c r="K1968" t="str">
        <f>T("3013422030")</f>
        <v>3013422030</v>
      </c>
      <c r="L1968" t="str">
        <f>T("3013422034")</f>
        <v>3013422034</v>
      </c>
    </row>
    <row r="1969" spans="1:12" x14ac:dyDescent="0.35">
      <c r="A1969" t="str">
        <f t="shared" si="821"/>
        <v>NAWCAD PAX RIVER</v>
      </c>
      <c r="B1969" t="str">
        <f t="shared" si="822"/>
        <v>22347 CEDAR POINT RD</v>
      </c>
      <c r="C1969" t="str">
        <f>T("BLDG 2185 STE 1100")</f>
        <v>BLDG 2185 STE 1100</v>
      </c>
      <c r="D1969" t="str">
        <f>T("PATUXENT RIV")</f>
        <v>PATUXENT RIV</v>
      </c>
      <c r="E1969" t="str">
        <f t="shared" si="823"/>
        <v>MD</v>
      </c>
      <c r="F1969" t="str">
        <f t="shared" si="824"/>
        <v>206701161</v>
      </c>
      <c r="G1969" t="str">
        <f>T("22347 CEDAR POINT ROAD")</f>
        <v>22347 CEDAR POINT ROAD</v>
      </c>
      <c r="H1969" t="str">
        <f>T("BLDG 2185 SUITE 1100 UNIT 6")</f>
        <v>BLDG 2185 SUITE 1100 UNIT 6</v>
      </c>
      <c r="I1969" t="str">
        <f t="shared" ref="I1969:I1991" si="826">T("PATUXENT RIVER")</f>
        <v>PATUXENT RIVER</v>
      </c>
      <c r="J1969" t="str">
        <f t="shared" si="825"/>
        <v>MD</v>
      </c>
      <c r="K1969" t="str">
        <f t="shared" ref="K1969:K1974" si="827">T("000000000000000000")</f>
        <v>000000000000000000</v>
      </c>
      <c r="L1969" t="str">
        <f>T("3013422543")</f>
        <v>3013422543</v>
      </c>
    </row>
    <row r="1970" spans="1:12" x14ac:dyDescent="0.35">
      <c r="A1970" t="str">
        <f t="shared" si="821"/>
        <v>NAWCAD PAX RIVER</v>
      </c>
      <c r="B1970" t="str">
        <f t="shared" si="822"/>
        <v>22347 CEDAR POINT RD</v>
      </c>
      <c r="C1970" t="str">
        <f>T("BLDG 2185 STE 1100")</f>
        <v>BLDG 2185 STE 1100</v>
      </c>
      <c r="D1970" t="str">
        <f>T("PATUXENT RIV")</f>
        <v>PATUXENT RIV</v>
      </c>
      <c r="E1970" t="str">
        <f t="shared" si="823"/>
        <v>MD</v>
      </c>
      <c r="F1970" t="str">
        <f t="shared" si="824"/>
        <v>206701161</v>
      </c>
      <c r="G1970" t="str">
        <f>T("22347 CEDAR POINT ROAD")</f>
        <v>22347 CEDAR POINT ROAD</v>
      </c>
      <c r="H1970" t="str">
        <f>T("BLDG 2185 SUITE 1100 UNIT 6")</f>
        <v>BLDG 2185 SUITE 1100 UNIT 6</v>
      </c>
      <c r="I1970" t="str">
        <f t="shared" si="826"/>
        <v>PATUXENT RIVER</v>
      </c>
      <c r="J1970" t="str">
        <f t="shared" si="825"/>
        <v>MD</v>
      </c>
      <c r="K1970" t="str">
        <f t="shared" si="827"/>
        <v>000000000000000000</v>
      </c>
      <c r="L1970" t="str">
        <f>T("3017578607")</f>
        <v>3017578607</v>
      </c>
    </row>
    <row r="1971" spans="1:12" x14ac:dyDescent="0.35">
      <c r="A1971" t="str">
        <f t="shared" si="821"/>
        <v>NAWCAD PAX RIVER</v>
      </c>
      <c r="B1971" t="str">
        <f t="shared" si="822"/>
        <v>22347 CEDAR POINT RD</v>
      </c>
      <c r="C1971" t="str">
        <f>T("BLDG 2185 STE 1100")</f>
        <v>BLDG 2185 STE 1100</v>
      </c>
      <c r="D1971" t="str">
        <f>T("PATUXENT RIV")</f>
        <v>PATUXENT RIV</v>
      </c>
      <c r="E1971" t="str">
        <f t="shared" si="823"/>
        <v>MD</v>
      </c>
      <c r="F1971" t="str">
        <f t="shared" si="824"/>
        <v>206701161</v>
      </c>
      <c r="G1971" t="str">
        <f>T("48110 SHAW ROAD")</f>
        <v>48110 SHAW ROAD</v>
      </c>
      <c r="H1971" t="str">
        <f>T("BLDG 2187 ROOM 3190 CUBE C1")</f>
        <v>BLDG 2187 ROOM 3190 CUBE C1</v>
      </c>
      <c r="I1971" t="str">
        <f t="shared" si="826"/>
        <v>PATUXENT RIVER</v>
      </c>
      <c r="J1971" t="str">
        <f t="shared" si="825"/>
        <v>MD</v>
      </c>
      <c r="K1971" t="str">
        <f t="shared" si="827"/>
        <v>000000000000000000</v>
      </c>
      <c r="L1971" t="str">
        <f>T("3013423160")</f>
        <v>3013423160</v>
      </c>
    </row>
    <row r="1972" spans="1:12" x14ac:dyDescent="0.35">
      <c r="A1972" t="str">
        <f t="shared" si="821"/>
        <v>NAWCAD PAX RIVER</v>
      </c>
      <c r="B1972" t="str">
        <f t="shared" si="822"/>
        <v>22347 CEDAR POINT RD</v>
      </c>
      <c r="C1972" t="str">
        <f>T("BLDG 2185 STE 1100")</f>
        <v>BLDG 2185 STE 1100</v>
      </c>
      <c r="D1972" t="str">
        <f>T("PATUXENT RIV")</f>
        <v>PATUXENT RIV</v>
      </c>
      <c r="E1972" t="str">
        <f t="shared" si="823"/>
        <v>MD</v>
      </c>
      <c r="F1972" t="str">
        <f t="shared" si="824"/>
        <v>206701161</v>
      </c>
      <c r="G1972" t="str">
        <f>T("48110 SHAW ROAD")</f>
        <v>48110 SHAW ROAD</v>
      </c>
      <c r="H1972" t="str">
        <f>T("BLDG 2187 ROOM 3190-C2")</f>
        <v>BLDG 2187 ROOM 3190-C2</v>
      </c>
      <c r="I1972" t="str">
        <f t="shared" si="826"/>
        <v>PATUXENT RIVER</v>
      </c>
      <c r="J1972" t="str">
        <f t="shared" si="825"/>
        <v>MD</v>
      </c>
      <c r="K1972" t="str">
        <f t="shared" si="827"/>
        <v>000000000000000000</v>
      </c>
      <c r="L1972" t="str">
        <f>T("3013420107")</f>
        <v>3013420107</v>
      </c>
    </row>
    <row r="1973" spans="1:12" x14ac:dyDescent="0.35">
      <c r="A1973" t="str">
        <f t="shared" si="821"/>
        <v>NAWCAD PAX RIVER</v>
      </c>
      <c r="B1973" t="str">
        <f t="shared" ref="B1973:B1980" si="828">T("22347 CEDAR POINT ROAD")</f>
        <v>22347 CEDAR POINT ROAD</v>
      </c>
      <c r="C1973" t="str">
        <f t="shared" ref="C1973:C1980" si="829">T("BLDG 2185 SUITE 3A35")</f>
        <v>BLDG 2185 SUITE 3A35</v>
      </c>
      <c r="D1973" t="str">
        <f t="shared" ref="D1973:D1990" si="830">T("PATUXENT RIVER")</f>
        <v>PATUXENT RIVER</v>
      </c>
      <c r="E1973" t="str">
        <f t="shared" si="823"/>
        <v>MD</v>
      </c>
      <c r="F1973" t="str">
        <f t="shared" si="824"/>
        <v>206701161</v>
      </c>
      <c r="G1973" t="str">
        <f>T("22347 CEDAR POINT ROAD")</f>
        <v>22347 CEDAR POINT ROAD</v>
      </c>
      <c r="H1973" t="str">
        <f>T("BLDG 2185 RM 2A92")</f>
        <v>BLDG 2185 RM 2A92</v>
      </c>
      <c r="I1973" t="str">
        <f t="shared" si="826"/>
        <v>PATUXENT RIVER</v>
      </c>
      <c r="J1973" t="str">
        <f t="shared" si="825"/>
        <v>MD</v>
      </c>
      <c r="K1973" t="str">
        <f t="shared" si="827"/>
        <v>000000000000000000</v>
      </c>
      <c r="L1973" t="str">
        <f>T("3013424652")</f>
        <v>3013424652</v>
      </c>
    </row>
    <row r="1974" spans="1:12" x14ac:dyDescent="0.35">
      <c r="A1974" t="str">
        <f t="shared" si="821"/>
        <v>NAWCAD PAX RIVER</v>
      </c>
      <c r="B1974" t="str">
        <f t="shared" si="828"/>
        <v>22347 CEDAR POINT ROAD</v>
      </c>
      <c r="C1974" t="str">
        <f t="shared" si="829"/>
        <v>BLDG 2185 SUITE 3A35</v>
      </c>
      <c r="D1974" t="str">
        <f t="shared" si="830"/>
        <v>PATUXENT RIVER</v>
      </c>
      <c r="E1974" t="str">
        <f t="shared" si="823"/>
        <v>MD</v>
      </c>
      <c r="F1974" t="str">
        <f t="shared" si="824"/>
        <v>206701161</v>
      </c>
      <c r="G1974" t="str">
        <f>T("22347 CEDAR POINT ROAD")</f>
        <v>22347 CEDAR POINT ROAD</v>
      </c>
      <c r="H1974" t="str">
        <f>T("BLDG 2185 ROOM 1A33")</f>
        <v>BLDG 2185 ROOM 1A33</v>
      </c>
      <c r="I1974" t="str">
        <f t="shared" si="826"/>
        <v>PATUXENT RIVER</v>
      </c>
      <c r="J1974" t="str">
        <f t="shared" si="825"/>
        <v>MD</v>
      </c>
      <c r="K1974" t="str">
        <f t="shared" si="827"/>
        <v>000000000000000000</v>
      </c>
      <c r="L1974" t="str">
        <f>T("3019952461")</f>
        <v>3019952461</v>
      </c>
    </row>
    <row r="1975" spans="1:12" x14ac:dyDescent="0.35">
      <c r="A1975" t="str">
        <f t="shared" si="821"/>
        <v>NAWCAD PAX RIVER</v>
      </c>
      <c r="B1975" t="str">
        <f t="shared" si="828"/>
        <v>22347 CEDAR POINT ROAD</v>
      </c>
      <c r="C1975" t="str">
        <f t="shared" si="829"/>
        <v>BLDG 2185 SUITE 3A35</v>
      </c>
      <c r="D1975" t="str">
        <f t="shared" si="830"/>
        <v>PATUXENT RIVER</v>
      </c>
      <c r="E1975" t="str">
        <f t="shared" si="823"/>
        <v>MD</v>
      </c>
      <c r="F1975" t="str">
        <f t="shared" si="824"/>
        <v>206701161</v>
      </c>
      <c r="G1975" t="str">
        <f>T("22347 CEDAR POINT ROAD")</f>
        <v>22347 CEDAR POINT ROAD</v>
      </c>
      <c r="H1975" t="str">
        <f>T("BLDG 2185 SUITE 3A35")</f>
        <v>BLDG 2185 SUITE 3A35</v>
      </c>
      <c r="I1975" t="str">
        <f t="shared" si="826"/>
        <v>PATUXENT RIVER</v>
      </c>
      <c r="J1975" t="str">
        <f t="shared" si="825"/>
        <v>MD</v>
      </c>
      <c r="K1975" t="str">
        <f>T("")</f>
        <v/>
      </c>
      <c r="L1975" t="str">
        <f>T("3013422229")</f>
        <v>3013422229</v>
      </c>
    </row>
    <row r="1976" spans="1:12" x14ac:dyDescent="0.35">
      <c r="A1976" t="str">
        <f t="shared" si="821"/>
        <v>NAWCAD PAX RIVER</v>
      </c>
      <c r="B1976" t="str">
        <f t="shared" si="828"/>
        <v>22347 CEDAR POINT ROAD</v>
      </c>
      <c r="C1976" t="str">
        <f t="shared" si="829"/>
        <v>BLDG 2185 SUITE 3A35</v>
      </c>
      <c r="D1976" t="str">
        <f t="shared" si="830"/>
        <v>PATUXENT RIVER</v>
      </c>
      <c r="E1976" t="str">
        <f t="shared" si="823"/>
        <v>MD</v>
      </c>
      <c r="F1976" t="str">
        <f t="shared" si="824"/>
        <v>206701161</v>
      </c>
      <c r="G1976" t="str">
        <f>T("22347 CEDAR POINT ROAD")</f>
        <v>22347 CEDAR POINT ROAD</v>
      </c>
      <c r="H1976" t="str">
        <f>T("BLDG., 2185 SUITE 2100 B4")</f>
        <v>BLDG., 2185 SUITE 2100 B4</v>
      </c>
      <c r="I1976" t="str">
        <f t="shared" si="826"/>
        <v>PATUXENT RIVER</v>
      </c>
      <c r="J1976" t="str">
        <f t="shared" si="825"/>
        <v>MD</v>
      </c>
      <c r="K1976" t="str">
        <f t="shared" ref="K1976:K1987" si="831">T("000000000000000000")</f>
        <v>000000000000000000</v>
      </c>
      <c r="L1976" t="str">
        <f>T("3013420210")</f>
        <v>3013420210</v>
      </c>
    </row>
    <row r="1977" spans="1:12" x14ac:dyDescent="0.35">
      <c r="A1977" t="str">
        <f t="shared" si="821"/>
        <v>NAWCAD PAX RIVER</v>
      </c>
      <c r="B1977" t="str">
        <f t="shared" si="828"/>
        <v>22347 CEDAR POINT ROAD</v>
      </c>
      <c r="C1977" t="str">
        <f t="shared" si="829"/>
        <v>BLDG 2185 SUITE 3A35</v>
      </c>
      <c r="D1977" t="str">
        <f t="shared" si="830"/>
        <v>PATUXENT RIVER</v>
      </c>
      <c r="E1977" t="str">
        <f t="shared" si="823"/>
        <v>MD</v>
      </c>
      <c r="F1977" t="str">
        <f t="shared" si="824"/>
        <v>206701161</v>
      </c>
      <c r="G1977" t="str">
        <f>T("22347 CEDAR PT RD")</f>
        <v>22347 CEDAR PT RD</v>
      </c>
      <c r="H1977" t="str">
        <f>T("B2185 STE 1190-C2")</f>
        <v>B2185 STE 1190-C2</v>
      </c>
      <c r="I1977" t="str">
        <f t="shared" si="826"/>
        <v>PATUXENT RIVER</v>
      </c>
      <c r="J1977" t="str">
        <f t="shared" si="825"/>
        <v>MD</v>
      </c>
      <c r="K1977" t="str">
        <f t="shared" si="831"/>
        <v>000000000000000000</v>
      </c>
      <c r="L1977" t="str">
        <f>T("3013422132")</f>
        <v>3013422132</v>
      </c>
    </row>
    <row r="1978" spans="1:12" x14ac:dyDescent="0.35">
      <c r="A1978" t="str">
        <f t="shared" si="821"/>
        <v>NAWCAD PAX RIVER</v>
      </c>
      <c r="B1978" t="str">
        <f t="shared" si="828"/>
        <v>22347 CEDAR POINT ROAD</v>
      </c>
      <c r="C1978" t="str">
        <f t="shared" si="829"/>
        <v>BLDG 2185 SUITE 3A35</v>
      </c>
      <c r="D1978" t="str">
        <f t="shared" si="830"/>
        <v>PATUXENT RIVER</v>
      </c>
      <c r="E1978" t="str">
        <f t="shared" si="823"/>
        <v>MD</v>
      </c>
      <c r="F1978" t="str">
        <f t="shared" si="824"/>
        <v>206701161</v>
      </c>
      <c r="G1978" t="str">
        <f>T("22487 CEDAR POINT ROAD")</f>
        <v>22487 CEDAR POINT ROAD</v>
      </c>
      <c r="H1978" t="str">
        <f>T("BLDG 1652 ROOM 108")</f>
        <v>BLDG 1652 ROOM 108</v>
      </c>
      <c r="I1978" t="str">
        <f t="shared" si="826"/>
        <v>PATUXENT RIVER</v>
      </c>
      <c r="J1978" t="str">
        <f t="shared" si="825"/>
        <v>MD</v>
      </c>
      <c r="K1978" t="str">
        <f t="shared" si="831"/>
        <v>000000000000000000</v>
      </c>
      <c r="L1978" t="str">
        <f>T("3013426718")</f>
        <v>3013426718</v>
      </c>
    </row>
    <row r="1979" spans="1:12" x14ac:dyDescent="0.35">
      <c r="A1979" t="str">
        <f t="shared" si="821"/>
        <v>NAWCAD PAX RIVER</v>
      </c>
      <c r="B1979" t="str">
        <f t="shared" si="828"/>
        <v>22347 CEDAR POINT ROAD</v>
      </c>
      <c r="C1979" t="str">
        <f t="shared" si="829"/>
        <v>BLDG 2185 SUITE 3A35</v>
      </c>
      <c r="D1979" t="str">
        <f t="shared" si="830"/>
        <v>PATUXENT RIVER</v>
      </c>
      <c r="E1979" t="str">
        <f t="shared" si="823"/>
        <v>MD</v>
      </c>
      <c r="F1979" t="str">
        <f t="shared" si="824"/>
        <v>206701161</v>
      </c>
      <c r="G1979" t="str">
        <f>T("47245 TATE ROAD")</f>
        <v>47245 TATE ROAD</v>
      </c>
      <c r="H1979" t="str">
        <f>T("BLDG 2865A")</f>
        <v>BLDG 2865A</v>
      </c>
      <c r="I1979" t="str">
        <f t="shared" si="826"/>
        <v>PATUXENT RIVER</v>
      </c>
      <c r="J1979" t="str">
        <f t="shared" si="825"/>
        <v>MD</v>
      </c>
      <c r="K1979" t="str">
        <f t="shared" si="831"/>
        <v>000000000000000000</v>
      </c>
      <c r="L1979" t="str">
        <f>T("3013422746")</f>
        <v>3013422746</v>
      </c>
    </row>
    <row r="1980" spans="1:12" x14ac:dyDescent="0.35">
      <c r="A1980" t="str">
        <f t="shared" si="821"/>
        <v>NAWCAD PAX RIVER</v>
      </c>
      <c r="B1980" t="str">
        <f t="shared" si="828"/>
        <v>22347 CEDAR POINT ROAD</v>
      </c>
      <c r="C1980" t="str">
        <f t="shared" si="829"/>
        <v>BLDG 2185 SUITE 3A35</v>
      </c>
      <c r="D1980" t="str">
        <f t="shared" si="830"/>
        <v>PATUXENT RIVER</v>
      </c>
      <c r="E1980" t="str">
        <f t="shared" si="823"/>
        <v>MD</v>
      </c>
      <c r="F1980" t="str">
        <f t="shared" si="824"/>
        <v>206701161</v>
      </c>
      <c r="G1980" t="str">
        <f>T("48187 STANDLEY ROAD")</f>
        <v>48187 STANDLEY ROAD</v>
      </c>
      <c r="H1980" t="str">
        <f>T("BLDG 4010 ROOM 253-031")</f>
        <v>BLDG 4010 ROOM 253-031</v>
      </c>
      <c r="I1980" t="str">
        <f t="shared" si="826"/>
        <v>PATUXENT RIVER</v>
      </c>
      <c r="J1980" t="str">
        <f t="shared" si="825"/>
        <v>MD</v>
      </c>
      <c r="K1980" t="str">
        <f t="shared" si="831"/>
        <v>000000000000000000</v>
      </c>
      <c r="L1980" t="str">
        <f>T("3019952967")</f>
        <v>3019952967</v>
      </c>
    </row>
    <row r="1981" spans="1:12" x14ac:dyDescent="0.35">
      <c r="A1981" t="str">
        <f t="shared" si="821"/>
        <v>NAWCAD PAX RIVER</v>
      </c>
      <c r="B1981" t="str">
        <f>T("22347 CEDAR PT RD")</f>
        <v>22347 CEDAR PT RD</v>
      </c>
      <c r="C1981" t="str">
        <f>T("BLDG 2185 UNIT 6 RM 1187")</f>
        <v>BLDG 2185 UNIT 6 RM 1187</v>
      </c>
      <c r="D1981" t="str">
        <f t="shared" si="830"/>
        <v>PATUXENT RIVER</v>
      </c>
      <c r="E1981" t="str">
        <f t="shared" si="823"/>
        <v>MD</v>
      </c>
      <c r="F1981" t="str">
        <f t="shared" si="824"/>
        <v>206701161</v>
      </c>
      <c r="G1981" t="str">
        <f>T("22347 CEDAR POINT RD")</f>
        <v>22347 CEDAR POINT RD</v>
      </c>
      <c r="H1981" t="str">
        <f>T("BLDG 2185 RM 1B50")</f>
        <v>BLDG 2185 RM 1B50</v>
      </c>
      <c r="I1981" t="str">
        <f t="shared" si="826"/>
        <v>PATUXENT RIVER</v>
      </c>
      <c r="J1981" t="str">
        <f t="shared" si="825"/>
        <v>MD</v>
      </c>
      <c r="K1981" t="str">
        <f t="shared" si="831"/>
        <v>000000000000000000</v>
      </c>
      <c r="L1981" t="str">
        <f>T("3013420111")</f>
        <v>3013420111</v>
      </c>
    </row>
    <row r="1982" spans="1:12" x14ac:dyDescent="0.35">
      <c r="A1982" t="str">
        <f t="shared" si="821"/>
        <v>NAWCAD PAX RIVER</v>
      </c>
      <c r="B1982" t="str">
        <f>T("22347 CEDAR PT RD")</f>
        <v>22347 CEDAR PT RD</v>
      </c>
      <c r="C1982" t="str">
        <f>T("BLDG 2185 UNIT 6 RM 1187")</f>
        <v>BLDG 2185 UNIT 6 RM 1187</v>
      </c>
      <c r="D1982" t="str">
        <f t="shared" si="830"/>
        <v>PATUXENT RIVER</v>
      </c>
      <c r="E1982" t="str">
        <f t="shared" si="823"/>
        <v>MD</v>
      </c>
      <c r="F1982" t="str">
        <f t="shared" si="824"/>
        <v>206701161</v>
      </c>
      <c r="G1982" t="str">
        <f>T("22347 CEDAR POINT RD")</f>
        <v>22347 CEDAR POINT RD</v>
      </c>
      <c r="H1982" t="str">
        <f>T("BLDG 2185 RM 1B50")</f>
        <v>BLDG 2185 RM 1B50</v>
      </c>
      <c r="I1982" t="str">
        <f t="shared" si="826"/>
        <v>PATUXENT RIVER</v>
      </c>
      <c r="J1982" t="str">
        <f t="shared" si="825"/>
        <v>MD</v>
      </c>
      <c r="K1982" t="str">
        <f t="shared" si="831"/>
        <v>000000000000000000</v>
      </c>
      <c r="L1982" t="str">
        <f>T("3013422153")</f>
        <v>3013422153</v>
      </c>
    </row>
    <row r="1983" spans="1:12" x14ac:dyDescent="0.35">
      <c r="A1983" t="str">
        <f t="shared" si="821"/>
        <v>NAWCAD PAX RIVER</v>
      </c>
      <c r="B1983" t="str">
        <f>T("22347 CEDAR PT RD")</f>
        <v>22347 CEDAR PT RD</v>
      </c>
      <c r="C1983" t="str">
        <f>T("BLDG 2185 UNIT 6 RM 1187")</f>
        <v>BLDG 2185 UNIT 6 RM 1187</v>
      </c>
      <c r="D1983" t="str">
        <f t="shared" si="830"/>
        <v>PATUXENT RIVER</v>
      </c>
      <c r="E1983" t="str">
        <f t="shared" si="823"/>
        <v>MD</v>
      </c>
      <c r="F1983" t="str">
        <f t="shared" si="824"/>
        <v>206701161</v>
      </c>
      <c r="G1983" t="str">
        <f>T("22347 CEDAR POINT ROAD")</f>
        <v>22347 CEDAR POINT ROAD</v>
      </c>
      <c r="H1983" t="str">
        <f>T("BLDG 2185, SUITE 1130-B7")</f>
        <v>BLDG 2185, SUITE 1130-B7</v>
      </c>
      <c r="I1983" t="str">
        <f t="shared" si="826"/>
        <v>PATUXENT RIVER</v>
      </c>
      <c r="J1983" t="str">
        <f t="shared" si="825"/>
        <v>MD</v>
      </c>
      <c r="K1983" t="str">
        <f t="shared" si="831"/>
        <v>000000000000000000</v>
      </c>
      <c r="L1983" t="str">
        <f>T("3013426669")</f>
        <v>3013426669</v>
      </c>
    </row>
    <row r="1984" spans="1:12" x14ac:dyDescent="0.35">
      <c r="A1984" t="str">
        <f t="shared" si="821"/>
        <v>NAWCAD PAX RIVER</v>
      </c>
      <c r="B1984" t="str">
        <f>T("22347 CEDAR PT RD")</f>
        <v>22347 CEDAR PT RD</v>
      </c>
      <c r="C1984" t="str">
        <f>T("BLDG 2185 UNIT 6 RM 1187")</f>
        <v>BLDG 2185 UNIT 6 RM 1187</v>
      </c>
      <c r="D1984" t="str">
        <f t="shared" si="830"/>
        <v>PATUXENT RIVER</v>
      </c>
      <c r="E1984" t="str">
        <f t="shared" si="823"/>
        <v>MD</v>
      </c>
      <c r="F1984" t="str">
        <f t="shared" si="824"/>
        <v>206701161</v>
      </c>
      <c r="G1984" t="str">
        <f>T("22347 CEDAR PT RD")</f>
        <v>22347 CEDAR PT RD</v>
      </c>
      <c r="H1984" t="str">
        <f>T("BLDG 2185 UNIT 6 RM 1187")</f>
        <v>BLDG 2185 UNIT 6 RM 1187</v>
      </c>
      <c r="I1984" t="str">
        <f t="shared" si="826"/>
        <v>PATUXENT RIVER</v>
      </c>
      <c r="J1984" t="str">
        <f t="shared" si="825"/>
        <v>MD</v>
      </c>
      <c r="K1984" t="str">
        <f t="shared" si="831"/>
        <v>000000000000000000</v>
      </c>
      <c r="L1984" t="str">
        <f>T("3013422114")</f>
        <v>3013422114</v>
      </c>
    </row>
    <row r="1985" spans="1:12" x14ac:dyDescent="0.35">
      <c r="A1985" t="str">
        <f t="shared" si="821"/>
        <v>NAWCAD PAX RIVER</v>
      </c>
      <c r="B1985" t="str">
        <f>T("22473 MILLSTONE ROAD")</f>
        <v>22473 MILLSTONE ROAD</v>
      </c>
      <c r="C1985" t="str">
        <f>T("BLDG 506")</f>
        <v>BLDG 506</v>
      </c>
      <c r="D1985" t="str">
        <f t="shared" si="830"/>
        <v>PATUXENT RIVER</v>
      </c>
      <c r="E1985" t="str">
        <f t="shared" si="823"/>
        <v>MD</v>
      </c>
      <c r="F1985" t="str">
        <f>T("206701604")</f>
        <v>206701604</v>
      </c>
      <c r="G1985" t="str">
        <f>T("22473 MILLSTONE ROAD")</f>
        <v>22473 MILLSTONE ROAD</v>
      </c>
      <c r="H1985" t="str">
        <f>T("BLDG 506")</f>
        <v>BLDG 506</v>
      </c>
      <c r="I1985" t="str">
        <f t="shared" si="826"/>
        <v>PATUXENT RIVER</v>
      </c>
      <c r="J1985" t="str">
        <f t="shared" si="825"/>
        <v>MD</v>
      </c>
      <c r="K1985" t="str">
        <f t="shared" si="831"/>
        <v>000000000000000000</v>
      </c>
      <c r="L1985" t="str">
        <f>T("3017574749")</f>
        <v>3017574749</v>
      </c>
    </row>
    <row r="1986" spans="1:12" x14ac:dyDescent="0.35">
      <c r="A1986" t="str">
        <f t="shared" si="821"/>
        <v>NAWCAD PAX RIVER</v>
      </c>
      <c r="B1986" t="str">
        <f>T("22473 MILLSTONE ROAD")</f>
        <v>22473 MILLSTONE ROAD</v>
      </c>
      <c r="C1986" t="str">
        <f>T("BLDG 506")</f>
        <v>BLDG 506</v>
      </c>
      <c r="D1986" t="str">
        <f t="shared" si="830"/>
        <v>PATUXENT RIVER</v>
      </c>
      <c r="E1986" t="str">
        <f t="shared" si="823"/>
        <v>MD</v>
      </c>
      <c r="F1986" t="str">
        <f>T("206701604")</f>
        <v>206701604</v>
      </c>
      <c r="G1986" t="str">
        <f>T("47123 BUSE ROAD")</f>
        <v>47123 BUSE ROAD</v>
      </c>
      <c r="H1986" t="str">
        <f>T("BLDG 2272 ROOM 38")</f>
        <v>BLDG 2272 ROOM 38</v>
      </c>
      <c r="I1986" t="str">
        <f t="shared" si="826"/>
        <v>PATUXENT RIVER</v>
      </c>
      <c r="J1986" t="str">
        <f t="shared" si="825"/>
        <v>MD</v>
      </c>
      <c r="K1986" t="str">
        <f t="shared" si="831"/>
        <v>000000000000000000</v>
      </c>
      <c r="L1986" t="str">
        <f>T("3017576946")</f>
        <v>3017576946</v>
      </c>
    </row>
    <row r="1987" spans="1:12" x14ac:dyDescent="0.35">
      <c r="A1987" t="str">
        <f t="shared" si="821"/>
        <v>NAWCAD PAX RIVER</v>
      </c>
      <c r="B1987" t="str">
        <f>T("22473 MILLSTONE ROAD")</f>
        <v>22473 MILLSTONE ROAD</v>
      </c>
      <c r="C1987" t="str">
        <f>T("BLDG 506 FLOOR 1")</f>
        <v>BLDG 506 FLOOR 1</v>
      </c>
      <c r="D1987" t="str">
        <f t="shared" si="830"/>
        <v>PATUXENT RIVER</v>
      </c>
      <c r="E1987" t="str">
        <f t="shared" si="823"/>
        <v>MD</v>
      </c>
      <c r="F1987" t="str">
        <f>T("206701604")</f>
        <v>206701604</v>
      </c>
      <c r="G1987" t="str">
        <f>T("22473 MILLSTONE ROAD")</f>
        <v>22473 MILLSTONE ROAD</v>
      </c>
      <c r="H1987" t="str">
        <f>T("BLDG 506")</f>
        <v>BLDG 506</v>
      </c>
      <c r="I1987" t="str">
        <f t="shared" si="826"/>
        <v>PATUXENT RIVER</v>
      </c>
      <c r="J1987" t="str">
        <f t="shared" si="825"/>
        <v>MD</v>
      </c>
      <c r="K1987" t="str">
        <f t="shared" si="831"/>
        <v>000000000000000000</v>
      </c>
      <c r="L1987" t="str">
        <f>T("3017579985")</f>
        <v>3017579985</v>
      </c>
    </row>
    <row r="1988" spans="1:12" x14ac:dyDescent="0.35">
      <c r="A1988" t="str">
        <f t="shared" si="821"/>
        <v>NAWCAD PAX RIVER</v>
      </c>
      <c r="B1988" t="str">
        <f>T("22473 MILLSTONE ROAD")</f>
        <v>22473 MILLSTONE ROAD</v>
      </c>
      <c r="C1988" t="str">
        <f>T("BLDG 506 FLOOR 1")</f>
        <v>BLDG 506 FLOOR 1</v>
      </c>
      <c r="D1988" t="str">
        <f t="shared" si="830"/>
        <v>PATUXENT RIVER</v>
      </c>
      <c r="E1988" t="str">
        <f t="shared" si="823"/>
        <v>MD</v>
      </c>
      <c r="F1988" t="str">
        <f>T("206701604")</f>
        <v>206701604</v>
      </c>
      <c r="G1988" t="str">
        <f>T("22473 MILLSTONE ROAD")</f>
        <v>22473 MILLSTONE ROAD</v>
      </c>
      <c r="H1988" t="str">
        <f>T("BLDG 506 FLOOR 1")</f>
        <v>BLDG 506 FLOOR 1</v>
      </c>
      <c r="I1988" t="str">
        <f t="shared" si="826"/>
        <v>PATUXENT RIVER</v>
      </c>
      <c r="J1988" t="str">
        <f t="shared" si="825"/>
        <v>MD</v>
      </c>
      <c r="K1988" t="str">
        <f>T("")</f>
        <v/>
      </c>
      <c r="L1988" t="str">
        <f>T("3017574749")</f>
        <v>3017574749</v>
      </c>
    </row>
    <row r="1989" spans="1:12" x14ac:dyDescent="0.35">
      <c r="A1989" t="str">
        <f t="shared" si="821"/>
        <v>NAWCAD PAX RIVER</v>
      </c>
      <c r="B1989" t="str">
        <f>T("22477 PEARY ROAD")</f>
        <v>22477 PEARY ROAD</v>
      </c>
      <c r="C1989" t="str">
        <f>T("BLDG 516")</f>
        <v>BLDG 516</v>
      </c>
      <c r="D1989" t="str">
        <f t="shared" si="830"/>
        <v>PATUXENT RIVER</v>
      </c>
      <c r="E1989" t="str">
        <f t="shared" si="823"/>
        <v>MD</v>
      </c>
      <c r="F1989" t="str">
        <f>T("206701607")</f>
        <v>206701607</v>
      </c>
      <c r="G1989" t="str">
        <f>T("22477 PEARY ROAD")</f>
        <v>22477 PEARY ROAD</v>
      </c>
      <c r="H1989" t="str">
        <f>T("BLDG 516")</f>
        <v>BLDG 516</v>
      </c>
      <c r="I1989" t="str">
        <f t="shared" si="826"/>
        <v>PATUXENT RIVER</v>
      </c>
      <c r="J1989" t="str">
        <f t="shared" si="825"/>
        <v>MD</v>
      </c>
      <c r="K1989" t="str">
        <f>T("")</f>
        <v/>
      </c>
      <c r="L1989" t="str">
        <f>T("3013425466")</f>
        <v>3013425466</v>
      </c>
    </row>
    <row r="1990" spans="1:12" x14ac:dyDescent="0.35">
      <c r="A1990" t="str">
        <f t="shared" si="821"/>
        <v>NAWCAD PAX RIVER</v>
      </c>
      <c r="B1990" t="str">
        <f>T("22477 PEARY ROAD")</f>
        <v>22477 PEARY ROAD</v>
      </c>
      <c r="C1990" t="str">
        <f>T("BLDG 516")</f>
        <v>BLDG 516</v>
      </c>
      <c r="D1990" t="str">
        <f t="shared" si="830"/>
        <v>PATUXENT RIVER</v>
      </c>
      <c r="E1990" t="str">
        <f t="shared" si="823"/>
        <v>MD</v>
      </c>
      <c r="F1990" t="str">
        <f>T("206701607")</f>
        <v>206701607</v>
      </c>
      <c r="G1990" t="str">
        <f>T("22477 PEARY ROAD")</f>
        <v>22477 PEARY ROAD</v>
      </c>
      <c r="H1990" t="str">
        <f>T("BLDG 516")</f>
        <v>BLDG 516</v>
      </c>
      <c r="I1990" t="str">
        <f t="shared" si="826"/>
        <v>PATUXENT RIVER</v>
      </c>
      <c r="J1990" t="str">
        <f t="shared" si="825"/>
        <v>MD</v>
      </c>
      <c r="K1990" t="str">
        <f>T("000000000000000000")</f>
        <v>000000000000000000</v>
      </c>
      <c r="L1990" t="str">
        <f>T("3018662498")</f>
        <v>3018662498</v>
      </c>
    </row>
    <row r="1991" spans="1:12" x14ac:dyDescent="0.35">
      <c r="A1991" t="str">
        <f t="shared" si="821"/>
        <v>NAWCAD PAX RIVER</v>
      </c>
      <c r="B1991" t="str">
        <f>T("22580 CEDAR POINT ROAD")</f>
        <v>22580 CEDAR POINT ROAD</v>
      </c>
      <c r="C1991" t="str">
        <f>T("BLDG 1582")</f>
        <v>BLDG 1582</v>
      </c>
      <c r="D1991" t="str">
        <f>T("PATUXENT RIV")</f>
        <v>PATUXENT RIV</v>
      </c>
      <c r="E1991" t="str">
        <f t="shared" si="823"/>
        <v>MD</v>
      </c>
      <c r="F1991" t="str">
        <f>T("206701189")</f>
        <v>206701189</v>
      </c>
      <c r="G1991" t="str">
        <f>T("21950 NICKLES ROAD")</f>
        <v>21950 NICKLES ROAD</v>
      </c>
      <c r="H1991" t="str">
        <f>T("BLDG 2649")</f>
        <v>BLDG 2649</v>
      </c>
      <c r="I1991" t="str">
        <f t="shared" si="826"/>
        <v>PATUXENT RIVER</v>
      </c>
      <c r="J1991" t="str">
        <f t="shared" si="825"/>
        <v>MD</v>
      </c>
      <c r="K1991" t="str">
        <f>T("000000000000000000")</f>
        <v>000000000000000000</v>
      </c>
      <c r="L1991" t="str">
        <f>T("3017571274")</f>
        <v>3017571274</v>
      </c>
    </row>
    <row r="1992" spans="1:12" x14ac:dyDescent="0.35">
      <c r="A1992" t="str">
        <f t="shared" si="821"/>
        <v>NAWCAD PAX RIVER</v>
      </c>
      <c r="B1992" t="str">
        <f>T("22580 CEDAR POINT ROAD")</f>
        <v>22580 CEDAR POINT ROAD</v>
      </c>
      <c r="C1992" t="str">
        <f>T("BLDG 1582")</f>
        <v>BLDG 1582</v>
      </c>
      <c r="D1992" t="str">
        <f>T("PATUXENT RIV")</f>
        <v>PATUXENT RIV</v>
      </c>
      <c r="E1992" t="str">
        <f t="shared" si="823"/>
        <v>MD</v>
      </c>
      <c r="F1992" t="str">
        <f>T("206701189")</f>
        <v>206701189</v>
      </c>
      <c r="G1992" t="str">
        <f>T("22580 CEDAR POINT ROAD")</f>
        <v>22580 CEDAR POINT ROAD</v>
      </c>
      <c r="H1992" t="str">
        <f>T("BLDG 1582")</f>
        <v>BLDG 1582</v>
      </c>
      <c r="I1992" t="str">
        <f>T("PATUXENT RIV")</f>
        <v>PATUXENT RIV</v>
      </c>
      <c r="J1992" t="str">
        <f t="shared" si="825"/>
        <v>MD</v>
      </c>
      <c r="K1992" t="str">
        <f>T("")</f>
        <v/>
      </c>
      <c r="L1992" t="str">
        <f>T("3017572382")</f>
        <v>3017572382</v>
      </c>
    </row>
    <row r="1993" spans="1:12" x14ac:dyDescent="0.35">
      <c r="A1993" t="str">
        <f t="shared" ref="A1993:A2024" si="832">T("NAWCAD PAX RIVER")</f>
        <v>NAWCAD PAX RIVER</v>
      </c>
      <c r="B1993" t="str">
        <f>T("22580 CEDAR POINT ROAD")</f>
        <v>22580 CEDAR POINT ROAD</v>
      </c>
      <c r="C1993" t="str">
        <f>T("BLDG 1582")</f>
        <v>BLDG 1582</v>
      </c>
      <c r="D1993" t="str">
        <f>T("PATUXENT RIV")</f>
        <v>PATUXENT RIV</v>
      </c>
      <c r="E1993" t="str">
        <f t="shared" si="823"/>
        <v>MD</v>
      </c>
      <c r="F1993" t="str">
        <f>T("206701189")</f>
        <v>206701189</v>
      </c>
      <c r="G1993" t="str">
        <f>T("47758 RANCH ROAD")</f>
        <v>47758 RANCH ROAD</v>
      </c>
      <c r="H1993" t="str">
        <f>T("BLDG 1492 ROOM 38")</f>
        <v>BLDG 1492 ROOM 38</v>
      </c>
      <c r="I1993" t="str">
        <f t="shared" ref="I1993:I2002" si="833">T("PATUXENT RIVER")</f>
        <v>PATUXENT RIVER</v>
      </c>
      <c r="J1993" t="str">
        <f t="shared" si="825"/>
        <v>MD</v>
      </c>
      <c r="K1993" t="str">
        <f>T("000000000000000000")</f>
        <v>000000000000000000</v>
      </c>
      <c r="L1993" t="str">
        <f>T("3019951994")</f>
        <v>3019951994</v>
      </c>
    </row>
    <row r="1994" spans="1:12" x14ac:dyDescent="0.35">
      <c r="A1994" t="str">
        <f t="shared" si="832"/>
        <v>NAWCAD PAX RIVER</v>
      </c>
      <c r="B1994" t="str">
        <f>T("22580 CEDAR POINT ROAD")</f>
        <v>22580 CEDAR POINT ROAD</v>
      </c>
      <c r="C1994" t="str">
        <f>T("BLDG 1582")</f>
        <v>BLDG 1582</v>
      </c>
      <c r="D1994" t="str">
        <f>T("PATUXENT RIV")</f>
        <v>PATUXENT RIV</v>
      </c>
      <c r="E1994" t="str">
        <f t="shared" si="823"/>
        <v>MD</v>
      </c>
      <c r="F1994" t="str">
        <f>T("206701189")</f>
        <v>206701189</v>
      </c>
      <c r="G1994" t="str">
        <f>T("47765 RANCH ROAD")</f>
        <v>47765 RANCH ROAD</v>
      </c>
      <c r="H1994" t="str">
        <f>T("HGR 101")</f>
        <v>HGR 101</v>
      </c>
      <c r="I1994" t="str">
        <f t="shared" si="833"/>
        <v>PATUXENT RIVER</v>
      </c>
      <c r="J1994" t="str">
        <f t="shared" si="825"/>
        <v>MD</v>
      </c>
      <c r="K1994" t="str">
        <f>T("000000000000000000")</f>
        <v>000000000000000000</v>
      </c>
      <c r="L1994" t="str">
        <f>T("3017572269")</f>
        <v>3017572269</v>
      </c>
    </row>
    <row r="1995" spans="1:12" x14ac:dyDescent="0.35">
      <c r="A1995" t="str">
        <f t="shared" si="832"/>
        <v>NAWCAD PAX RIVER</v>
      </c>
      <c r="B1995" t="str">
        <f>T("22580 CEDAR POINT ROAD")</f>
        <v>22580 CEDAR POINT ROAD</v>
      </c>
      <c r="C1995" t="str">
        <f>T("BLDG 1582")</f>
        <v>BLDG 1582</v>
      </c>
      <c r="D1995" t="str">
        <f>T("PATUXENT RIV")</f>
        <v>PATUXENT RIV</v>
      </c>
      <c r="E1995" t="str">
        <f t="shared" si="823"/>
        <v>MD</v>
      </c>
      <c r="F1995" t="str">
        <f>T("206701189")</f>
        <v>206701189</v>
      </c>
      <c r="G1995" t="str">
        <f>T("48110 SHAW RD")</f>
        <v>48110 SHAW RD</v>
      </c>
      <c r="H1995" t="str">
        <f>T("BLDG 2187 STE 2320")</f>
        <v>BLDG 2187 STE 2320</v>
      </c>
      <c r="I1995" t="str">
        <f t="shared" si="833"/>
        <v>PATUXENT RIVER</v>
      </c>
      <c r="J1995" t="str">
        <f t="shared" si="825"/>
        <v>MD</v>
      </c>
      <c r="K1995" t="str">
        <f>T("000000000000000000")</f>
        <v>000000000000000000</v>
      </c>
      <c r="L1995" t="str">
        <f>T("3013429347")</f>
        <v>3013429347</v>
      </c>
    </row>
    <row r="1996" spans="1:12" x14ac:dyDescent="0.35">
      <c r="A1996" t="str">
        <f t="shared" si="832"/>
        <v>NAWCAD PAX RIVER</v>
      </c>
      <c r="B1996" t="str">
        <f>T("22647 CEDAR POINT RD")</f>
        <v>22647 CEDAR POINT RD</v>
      </c>
      <c r="C1996" t="str">
        <f>T("BLDG 2185 ROOM 1140 UNIT 6")</f>
        <v>BLDG 2185 ROOM 1140 UNIT 6</v>
      </c>
      <c r="D1996" t="str">
        <f t="shared" ref="D1996:D2001" si="834">T("PATUXENT RIVER")</f>
        <v>PATUXENT RIVER</v>
      </c>
      <c r="E1996" t="str">
        <f t="shared" si="823"/>
        <v>MD</v>
      </c>
      <c r="F1996" t="str">
        <f>T("206701161")</f>
        <v>206701161</v>
      </c>
      <c r="G1996" t="str">
        <f>T("22347 CEDAR POINT ROAD")</f>
        <v>22347 CEDAR POINT ROAD</v>
      </c>
      <c r="H1996" t="str">
        <f>T("")</f>
        <v/>
      </c>
      <c r="I1996" t="str">
        <f t="shared" si="833"/>
        <v>PATUXENT RIVER</v>
      </c>
      <c r="J1996" t="str">
        <f t="shared" si="825"/>
        <v>MD</v>
      </c>
      <c r="K1996" t="str">
        <f>T("000000000000000000")</f>
        <v>000000000000000000</v>
      </c>
      <c r="L1996" t="str">
        <f>T("3013722028")</f>
        <v>3013722028</v>
      </c>
    </row>
    <row r="1997" spans="1:12" x14ac:dyDescent="0.35">
      <c r="A1997" t="str">
        <f t="shared" si="832"/>
        <v>NAWCAD PAX RIVER</v>
      </c>
      <c r="B1997" t="str">
        <f>T("22647 CEDAR POINT RD")</f>
        <v>22647 CEDAR POINT RD</v>
      </c>
      <c r="C1997" t="str">
        <f>T("BLDG 2185 ROOM 1140 UNIT 6")</f>
        <v>BLDG 2185 ROOM 1140 UNIT 6</v>
      </c>
      <c r="D1997" t="str">
        <f t="shared" si="834"/>
        <v>PATUXENT RIVER</v>
      </c>
      <c r="E1997" t="str">
        <f t="shared" si="823"/>
        <v>MD</v>
      </c>
      <c r="F1997" t="str">
        <f>T("206701161")</f>
        <v>206701161</v>
      </c>
      <c r="G1997" t="str">
        <f>T("22347 CEDAR POINT ROAD")</f>
        <v>22347 CEDAR POINT ROAD</v>
      </c>
      <c r="H1997" t="str">
        <f>T("BLDG 2185, ROOM 1B15")</f>
        <v>BLDG 2185, ROOM 1B15</v>
      </c>
      <c r="I1997" t="str">
        <f t="shared" si="833"/>
        <v>PATUXENT RIVER</v>
      </c>
      <c r="J1997" t="str">
        <f t="shared" si="825"/>
        <v>MD</v>
      </c>
      <c r="K1997" t="str">
        <f>T("000000000000000000")</f>
        <v>000000000000000000</v>
      </c>
      <c r="L1997" t="str">
        <f>T("3013422032")</f>
        <v>3013422032</v>
      </c>
    </row>
    <row r="1998" spans="1:12" x14ac:dyDescent="0.35">
      <c r="A1998" t="str">
        <f t="shared" si="832"/>
        <v>NAWCAD PAX RIVER</v>
      </c>
      <c r="B1998" t="str">
        <f>T("22647 CEDAR POINT RD")</f>
        <v>22647 CEDAR POINT RD</v>
      </c>
      <c r="C1998" t="str">
        <f>T("BLDG 2185 ROOM 1140 UNIT 6")</f>
        <v>BLDG 2185 ROOM 1140 UNIT 6</v>
      </c>
      <c r="D1998" t="str">
        <f t="shared" si="834"/>
        <v>PATUXENT RIVER</v>
      </c>
      <c r="E1998" t="str">
        <f t="shared" ref="E1998:E2029" si="835">T("MD")</f>
        <v>MD</v>
      </c>
      <c r="F1998" t="str">
        <f>T("206701161")</f>
        <v>206701161</v>
      </c>
      <c r="G1998" t="str">
        <f>T("22647 CEDAR POINT RD")</f>
        <v>22647 CEDAR POINT RD</v>
      </c>
      <c r="H1998" t="str">
        <f>T("BLDG 2185 ROOM 1140 UNIT 6")</f>
        <v>BLDG 2185 ROOM 1140 UNIT 6</v>
      </c>
      <c r="I1998" t="str">
        <f t="shared" si="833"/>
        <v>PATUXENT RIVER</v>
      </c>
      <c r="J1998" t="str">
        <f t="shared" ref="J1998:J2029" si="836">T("MD")</f>
        <v>MD</v>
      </c>
      <c r="K1998" t="str">
        <f>T("")</f>
        <v/>
      </c>
      <c r="L1998" t="str">
        <f>T("3013422151")</f>
        <v>3013422151</v>
      </c>
    </row>
    <row r="1999" spans="1:12" x14ac:dyDescent="0.35">
      <c r="A1999" t="str">
        <f t="shared" si="832"/>
        <v>NAWCAD PAX RIVER</v>
      </c>
      <c r="B1999" t="str">
        <f>T("22647 CEDAR POINT RD")</f>
        <v>22647 CEDAR POINT RD</v>
      </c>
      <c r="C1999" t="str">
        <f>T("BLDG 2185 ROOM 1140 UNIT 6")</f>
        <v>BLDG 2185 ROOM 1140 UNIT 6</v>
      </c>
      <c r="D1999" t="str">
        <f t="shared" si="834"/>
        <v>PATUXENT RIVER</v>
      </c>
      <c r="E1999" t="str">
        <f t="shared" si="835"/>
        <v>MD</v>
      </c>
      <c r="F1999" t="str">
        <f>T("206701161")</f>
        <v>206701161</v>
      </c>
      <c r="G1999" t="str">
        <f>T("BUILDING 2185 SUITE 1A90")</f>
        <v>BUILDING 2185 SUITE 1A90</v>
      </c>
      <c r="H1999" t="str">
        <f>T("22347 CEDAR POINTE RD")</f>
        <v>22347 CEDAR POINTE RD</v>
      </c>
      <c r="I1999" t="str">
        <f t="shared" si="833"/>
        <v>PATUXENT RIVER</v>
      </c>
      <c r="J1999" t="str">
        <f t="shared" si="836"/>
        <v>MD</v>
      </c>
      <c r="K1999" t="str">
        <f>T("000000000000000000")</f>
        <v>000000000000000000</v>
      </c>
      <c r="L1999" t="str">
        <f>T("3013422495")</f>
        <v>3013422495</v>
      </c>
    </row>
    <row r="2000" spans="1:12" x14ac:dyDescent="0.35">
      <c r="A2000" t="str">
        <f t="shared" si="832"/>
        <v>NAWCAD PAX RIVER</v>
      </c>
      <c r="B2000" t="str">
        <f>T("22755 SAUFLEY ROAD")</f>
        <v>22755 SAUFLEY ROAD</v>
      </c>
      <c r="C2000" t="str">
        <f>T("HGR 111 RM 242")</f>
        <v>HGR 111 RM 242</v>
      </c>
      <c r="D2000" t="str">
        <f t="shared" si="834"/>
        <v>PATUXENT RIVER</v>
      </c>
      <c r="E2000" t="str">
        <f t="shared" si="835"/>
        <v>MD</v>
      </c>
      <c r="F2000" t="str">
        <f>T("206701619")</f>
        <v>206701619</v>
      </c>
      <c r="G2000" t="str">
        <f>T("22755 SAUFLEY ROAD")</f>
        <v>22755 SAUFLEY ROAD</v>
      </c>
      <c r="H2000" t="str">
        <f>T("HGR 111 RM 242")</f>
        <v>HGR 111 RM 242</v>
      </c>
      <c r="I2000" t="str">
        <f t="shared" si="833"/>
        <v>PATUXENT RIVER</v>
      </c>
      <c r="J2000" t="str">
        <f t="shared" si="836"/>
        <v>MD</v>
      </c>
      <c r="K2000" t="str">
        <f>T("000000000000000000")</f>
        <v>000000000000000000</v>
      </c>
      <c r="L2000" t="str">
        <f>T("3013421230")</f>
        <v>3013421230</v>
      </c>
    </row>
    <row r="2001" spans="1:12" x14ac:dyDescent="0.35">
      <c r="A2001" t="str">
        <f t="shared" si="832"/>
        <v>NAWCAD PAX RIVER</v>
      </c>
      <c r="B2001" t="str">
        <f>T("22755 SAUFLEY ROAD")</f>
        <v>22755 SAUFLEY ROAD</v>
      </c>
      <c r="C2001" t="str">
        <f>T("HGR 111 RM 242")</f>
        <v>HGR 111 RM 242</v>
      </c>
      <c r="D2001" t="str">
        <f t="shared" si="834"/>
        <v>PATUXENT RIVER</v>
      </c>
      <c r="E2001" t="str">
        <f t="shared" si="835"/>
        <v>MD</v>
      </c>
      <c r="F2001" t="str">
        <f>T("206701619")</f>
        <v>206701619</v>
      </c>
      <c r="G2001" t="str">
        <f>T("48202 BRONSON RD")</f>
        <v>48202 BRONSON RD</v>
      </c>
      <c r="H2001" t="str">
        <f>T("BLDG 2805")</f>
        <v>BLDG 2805</v>
      </c>
      <c r="I2001" t="str">
        <f t="shared" si="833"/>
        <v>PATUXENT RIVER</v>
      </c>
      <c r="J2001" t="str">
        <f t="shared" si="836"/>
        <v>MD</v>
      </c>
      <c r="K2001" t="str">
        <f>T("000000000000000000")</f>
        <v>000000000000000000</v>
      </c>
      <c r="L2001" t="str">
        <f>T("3019953734")</f>
        <v>3019953734</v>
      </c>
    </row>
    <row r="2002" spans="1:12" x14ac:dyDescent="0.35">
      <c r="A2002" t="str">
        <f t="shared" si="832"/>
        <v>NAWCAD PAX RIVER</v>
      </c>
      <c r="B2002" t="str">
        <f t="shared" ref="B2002:B2007" si="837">T("23013 CEDAR POINT ROAD")</f>
        <v>23013 CEDAR POINT ROAD</v>
      </c>
      <c r="C2002" t="str">
        <f>T("BLDG 2118")</f>
        <v>BLDG 2118</v>
      </c>
      <c r="D2002" t="str">
        <f>T("PATUXENT RIV")</f>
        <v>PATUXENT RIV</v>
      </c>
      <c r="E2002" t="str">
        <f t="shared" si="835"/>
        <v>MD</v>
      </c>
      <c r="F2002" t="str">
        <f t="shared" ref="F2002:F2007" si="838">T("206701183")</f>
        <v>206701183</v>
      </c>
      <c r="G2002" t="str">
        <f>T("23013 CEDAR POINT RD")</f>
        <v>23013 CEDAR POINT RD</v>
      </c>
      <c r="H2002" t="str">
        <f>T("BLDG 4033")</f>
        <v>BLDG 4033</v>
      </c>
      <c r="I2002" t="str">
        <f t="shared" si="833"/>
        <v>PATUXENT RIVER</v>
      </c>
      <c r="J2002" t="str">
        <f t="shared" si="836"/>
        <v>MD</v>
      </c>
      <c r="K2002" t="str">
        <f>T("000000000000000000")</f>
        <v>000000000000000000</v>
      </c>
      <c r="L2002" t="str">
        <f>T("3013423595")</f>
        <v>3013423595</v>
      </c>
    </row>
    <row r="2003" spans="1:12" x14ac:dyDescent="0.35">
      <c r="A2003" t="str">
        <f t="shared" si="832"/>
        <v>NAWCAD PAX RIVER</v>
      </c>
      <c r="B2003" t="str">
        <f t="shared" si="837"/>
        <v>23013 CEDAR POINT ROAD</v>
      </c>
      <c r="C2003" t="str">
        <f>T("BLDG 2118")</f>
        <v>BLDG 2118</v>
      </c>
      <c r="D2003" t="str">
        <f>T("PATUXENT RIV")</f>
        <v>PATUXENT RIV</v>
      </c>
      <c r="E2003" t="str">
        <f t="shared" si="835"/>
        <v>MD</v>
      </c>
      <c r="F2003" t="str">
        <f t="shared" si="838"/>
        <v>206701183</v>
      </c>
      <c r="G2003" t="str">
        <f>T("23013 CEDAR POINT ROAD")</f>
        <v>23013 CEDAR POINT ROAD</v>
      </c>
      <c r="H2003" t="str">
        <f>T("BLDG 2118")</f>
        <v>BLDG 2118</v>
      </c>
      <c r="I2003" t="str">
        <f>T("PATUXENT RIV")</f>
        <v>PATUXENT RIV</v>
      </c>
      <c r="J2003" t="str">
        <f t="shared" si="836"/>
        <v>MD</v>
      </c>
      <c r="K2003" t="str">
        <f>T("")</f>
        <v/>
      </c>
      <c r="L2003" t="str">
        <f>T("3013423821")</f>
        <v>3013423821</v>
      </c>
    </row>
    <row r="2004" spans="1:12" x14ac:dyDescent="0.35">
      <c r="A2004" t="str">
        <f t="shared" si="832"/>
        <v>NAWCAD PAX RIVER</v>
      </c>
      <c r="B2004" t="str">
        <f t="shared" si="837"/>
        <v>23013 CEDAR POINT ROAD</v>
      </c>
      <c r="C2004" t="str">
        <f>T("BLDG 2118")</f>
        <v>BLDG 2118</v>
      </c>
      <c r="D2004" t="str">
        <f>T("PATUXENT RIV")</f>
        <v>PATUXENT RIV</v>
      </c>
      <c r="E2004" t="str">
        <f t="shared" si="835"/>
        <v>MD</v>
      </c>
      <c r="F2004" t="str">
        <f t="shared" si="838"/>
        <v>206701183</v>
      </c>
      <c r="G2004" t="str">
        <f>T("23071 CEDAR POINT ROAD")</f>
        <v>23071 CEDAR POINT ROAD</v>
      </c>
      <c r="H2004" t="str">
        <f>T("BLDG 1670")</f>
        <v>BLDG 1670</v>
      </c>
      <c r="I2004" t="str">
        <f t="shared" ref="I2004:I2013" si="839">T("PATUXENT RIVER")</f>
        <v>PATUXENT RIVER</v>
      </c>
      <c r="J2004" t="str">
        <f t="shared" si="836"/>
        <v>MD</v>
      </c>
      <c r="K2004" t="str">
        <f>T("000000000000000000")</f>
        <v>000000000000000000</v>
      </c>
      <c r="L2004" t="str">
        <f>T("3017573790")</f>
        <v>3017573790</v>
      </c>
    </row>
    <row r="2005" spans="1:12" x14ac:dyDescent="0.35">
      <c r="A2005" t="str">
        <f t="shared" si="832"/>
        <v>NAWCAD PAX RIVER</v>
      </c>
      <c r="B2005" t="str">
        <f t="shared" si="837"/>
        <v>23013 CEDAR POINT ROAD</v>
      </c>
      <c r="C2005" t="str">
        <f>T("BLDG 2118")</f>
        <v>BLDG 2118</v>
      </c>
      <c r="D2005" t="str">
        <f>T("PATUXENT RIV")</f>
        <v>PATUXENT RIV</v>
      </c>
      <c r="E2005" t="str">
        <f t="shared" si="835"/>
        <v>MD</v>
      </c>
      <c r="F2005" t="str">
        <f t="shared" si="838"/>
        <v>206701183</v>
      </c>
      <c r="G2005" t="str">
        <f>T("23071 CEDAR POINT ROAD")</f>
        <v>23071 CEDAR POINT ROAD</v>
      </c>
      <c r="H2005" t="str">
        <f>T("BLDG 1670 UNIT 4")</f>
        <v>BLDG 1670 UNIT 4</v>
      </c>
      <c r="I2005" t="str">
        <f t="shared" si="839"/>
        <v>PATUXENT RIVER</v>
      </c>
      <c r="J2005" t="str">
        <f t="shared" si="836"/>
        <v>MD</v>
      </c>
      <c r="K2005" t="str">
        <f>T("000000000000000000")</f>
        <v>000000000000000000</v>
      </c>
      <c r="L2005" t="str">
        <f>T("3017573786")</f>
        <v>3017573786</v>
      </c>
    </row>
    <row r="2006" spans="1:12" x14ac:dyDescent="0.35">
      <c r="A2006" t="str">
        <f t="shared" si="832"/>
        <v>NAWCAD PAX RIVER</v>
      </c>
      <c r="B2006" t="str">
        <f t="shared" si="837"/>
        <v>23013 CEDAR POINT ROAD</v>
      </c>
      <c r="C2006" t="str">
        <f>T("BLDG 2118 ROOM 101")</f>
        <v>BLDG 2118 ROOM 101</v>
      </c>
      <c r="D2006" t="str">
        <f t="shared" ref="D2006:D2012" si="840">T("PATUXENT RIVER")</f>
        <v>PATUXENT RIVER</v>
      </c>
      <c r="E2006" t="str">
        <f t="shared" si="835"/>
        <v>MD</v>
      </c>
      <c r="F2006" t="str">
        <f t="shared" si="838"/>
        <v>206701183</v>
      </c>
      <c r="G2006" t="str">
        <f>T("23013 CEDAR POINT ROAD")</f>
        <v>23013 CEDAR POINT ROAD</v>
      </c>
      <c r="H2006" t="str">
        <f>T("BLDG 2118 ROOM 101")</f>
        <v>BLDG 2118 ROOM 101</v>
      </c>
      <c r="I2006" t="str">
        <f t="shared" si="839"/>
        <v>PATUXENT RIVER</v>
      </c>
      <c r="J2006" t="str">
        <f t="shared" si="836"/>
        <v>MD</v>
      </c>
      <c r="K2006" t="str">
        <f>T("")</f>
        <v/>
      </c>
      <c r="L2006" t="str">
        <f>T("3013424257")</f>
        <v>3013424257</v>
      </c>
    </row>
    <row r="2007" spans="1:12" x14ac:dyDescent="0.35">
      <c r="A2007" t="str">
        <f t="shared" si="832"/>
        <v>NAWCAD PAX RIVER</v>
      </c>
      <c r="B2007" t="str">
        <f t="shared" si="837"/>
        <v>23013 CEDAR POINT ROAD</v>
      </c>
      <c r="C2007" t="str">
        <f>T("BLDG 2118 ROOM 101")</f>
        <v>BLDG 2118 ROOM 101</v>
      </c>
      <c r="D2007" t="str">
        <f t="shared" si="840"/>
        <v>PATUXENT RIVER</v>
      </c>
      <c r="E2007" t="str">
        <f t="shared" si="835"/>
        <v>MD</v>
      </c>
      <c r="F2007" t="str">
        <f t="shared" si="838"/>
        <v>206701183</v>
      </c>
      <c r="G2007" t="str">
        <f>T("48542 HANEY ROAD")</f>
        <v>48542 HANEY ROAD</v>
      </c>
      <c r="H2007" t="str">
        <f>T("BLDG 2657")</f>
        <v>BLDG 2657</v>
      </c>
      <c r="I2007" t="str">
        <f t="shared" si="839"/>
        <v>PATUXENT RIVER</v>
      </c>
      <c r="J2007" t="str">
        <f t="shared" si="836"/>
        <v>MD</v>
      </c>
      <c r="K2007" t="str">
        <f>T("000000000000000000")</f>
        <v>000000000000000000</v>
      </c>
      <c r="L2007" t="str">
        <f>T("3013423596")</f>
        <v>3013423596</v>
      </c>
    </row>
    <row r="2008" spans="1:12" x14ac:dyDescent="0.35">
      <c r="A2008" t="str">
        <f t="shared" si="832"/>
        <v>NAWCAD PAX RIVER</v>
      </c>
      <c r="B2008" t="str">
        <f>T("47042 TATE RD")</f>
        <v>47042 TATE RD</v>
      </c>
      <c r="C2008" t="str">
        <f>T("HGR 301 STE 203W")</f>
        <v>HGR 301 STE 203W</v>
      </c>
      <c r="D2008" t="str">
        <f t="shared" si="840"/>
        <v>PATUXENT RIVER</v>
      </c>
      <c r="E2008" t="str">
        <f t="shared" si="835"/>
        <v>MD</v>
      </c>
      <c r="F2008" t="str">
        <f>T("206701612")</f>
        <v>206701612</v>
      </c>
      <c r="G2008" t="str">
        <f>T("47042 TATE RD")</f>
        <v>47042 TATE RD</v>
      </c>
      <c r="H2008" t="str">
        <f>T("BLDG 301 SUITE 104W")</f>
        <v>BLDG 301 SUITE 104W</v>
      </c>
      <c r="I2008" t="str">
        <f t="shared" si="839"/>
        <v>PATUXENT RIVER</v>
      </c>
      <c r="J2008" t="str">
        <f t="shared" si="836"/>
        <v>MD</v>
      </c>
      <c r="K2008" t="str">
        <f>T("000000000000000000")</f>
        <v>000000000000000000</v>
      </c>
      <c r="L2008" t="str">
        <f>T("3013420564")</f>
        <v>3013420564</v>
      </c>
    </row>
    <row r="2009" spans="1:12" x14ac:dyDescent="0.35">
      <c r="A2009" t="str">
        <f t="shared" si="832"/>
        <v>NAWCAD PAX RIVER</v>
      </c>
      <c r="B2009" t="str">
        <f>T("47042 TATE RD")</f>
        <v>47042 TATE RD</v>
      </c>
      <c r="C2009" t="str">
        <f>T("HGR 301 STE 203W")</f>
        <v>HGR 301 STE 203W</v>
      </c>
      <c r="D2009" t="str">
        <f t="shared" si="840"/>
        <v>PATUXENT RIVER</v>
      </c>
      <c r="E2009" t="str">
        <f t="shared" si="835"/>
        <v>MD</v>
      </c>
      <c r="F2009" t="str">
        <f>T("206701612")</f>
        <v>206701612</v>
      </c>
      <c r="G2009" t="str">
        <f>T("47042 TATE RD")</f>
        <v>47042 TATE RD</v>
      </c>
      <c r="H2009" t="str">
        <f>T("HANGAR 301 SUITE 203W")</f>
        <v>HANGAR 301 SUITE 203W</v>
      </c>
      <c r="I2009" t="str">
        <f t="shared" si="839"/>
        <v>PATUXENT RIVER</v>
      </c>
      <c r="J2009" t="str">
        <f t="shared" si="836"/>
        <v>MD</v>
      </c>
      <c r="K2009" t="str">
        <f>T("000000000000000000")</f>
        <v>000000000000000000</v>
      </c>
      <c r="L2009" t="str">
        <f>T("3019952726")</f>
        <v>3019952726</v>
      </c>
    </row>
    <row r="2010" spans="1:12" x14ac:dyDescent="0.35">
      <c r="A2010" t="str">
        <f t="shared" si="832"/>
        <v>NAWCAD PAX RIVER</v>
      </c>
      <c r="B2010" t="str">
        <f>T("47042 TATE RD")</f>
        <v>47042 TATE RD</v>
      </c>
      <c r="C2010" t="str">
        <f>T("HGR 301 STE 203W")</f>
        <v>HGR 301 STE 203W</v>
      </c>
      <c r="D2010" t="str">
        <f t="shared" si="840"/>
        <v>PATUXENT RIVER</v>
      </c>
      <c r="E2010" t="str">
        <f t="shared" si="835"/>
        <v>MD</v>
      </c>
      <c r="F2010" t="str">
        <f>T("206701612")</f>
        <v>206701612</v>
      </c>
      <c r="G2010" t="str">
        <f>T("47042 TATE RD")</f>
        <v>47042 TATE RD</v>
      </c>
      <c r="H2010" t="str">
        <f>T("HGR 301 STE 203W")</f>
        <v>HGR 301 STE 203W</v>
      </c>
      <c r="I2010" t="str">
        <f t="shared" si="839"/>
        <v>PATUXENT RIVER</v>
      </c>
      <c r="J2010" t="str">
        <f t="shared" si="836"/>
        <v>MD</v>
      </c>
      <c r="K2010" t="str">
        <f>T("")</f>
        <v/>
      </c>
      <c r="L2010" t="str">
        <f>T("3013420559")</f>
        <v>3013420559</v>
      </c>
    </row>
    <row r="2011" spans="1:12" x14ac:dyDescent="0.35">
      <c r="A2011" t="str">
        <f t="shared" si="832"/>
        <v>NAWCAD PAX RIVER</v>
      </c>
      <c r="B2011" t="str">
        <f>T("47042 TATE RD")</f>
        <v>47042 TATE RD</v>
      </c>
      <c r="C2011" t="str">
        <f>T("HGR 301 STE 203W")</f>
        <v>HGR 301 STE 203W</v>
      </c>
      <c r="D2011" t="str">
        <f t="shared" si="840"/>
        <v>PATUXENT RIVER</v>
      </c>
      <c r="E2011" t="str">
        <f t="shared" si="835"/>
        <v>MD</v>
      </c>
      <c r="F2011" t="str">
        <f>T("206701612")</f>
        <v>206701612</v>
      </c>
      <c r="G2011" t="str">
        <f>T("47042 TATE ROAD")</f>
        <v>47042 TATE ROAD</v>
      </c>
      <c r="H2011" t="str">
        <f>T("BLDG 301 SUITE 104W")</f>
        <v>BLDG 301 SUITE 104W</v>
      </c>
      <c r="I2011" t="str">
        <f t="shared" si="839"/>
        <v>PATUXENT RIVER</v>
      </c>
      <c r="J2011" t="str">
        <f t="shared" si="836"/>
        <v>MD</v>
      </c>
      <c r="K2011" t="str">
        <f t="shared" ref="K2011:K2019" si="841">T("000000000000000000")</f>
        <v>000000000000000000</v>
      </c>
      <c r="L2011" t="str">
        <f>T("3013420564")</f>
        <v>3013420564</v>
      </c>
    </row>
    <row r="2012" spans="1:12" x14ac:dyDescent="0.35">
      <c r="A2012" t="str">
        <f t="shared" si="832"/>
        <v>NAWCAD PAX RIVER</v>
      </c>
      <c r="B2012" t="str">
        <f>T("47042 TATE RD")</f>
        <v>47042 TATE RD</v>
      </c>
      <c r="C2012" t="str">
        <f>T("HGR 301 STE 203W")</f>
        <v>HGR 301 STE 203W</v>
      </c>
      <c r="D2012" t="str">
        <f t="shared" si="840"/>
        <v>PATUXENT RIVER</v>
      </c>
      <c r="E2012" t="str">
        <f t="shared" si="835"/>
        <v>MD</v>
      </c>
      <c r="F2012" t="str">
        <f>T("206701612")</f>
        <v>206701612</v>
      </c>
      <c r="G2012" t="str">
        <f>T("47042 TATE ROAD")</f>
        <v>47042 TATE ROAD</v>
      </c>
      <c r="H2012" t="str">
        <f>T("HANGAR 301")</f>
        <v>HANGAR 301</v>
      </c>
      <c r="I2012" t="str">
        <f t="shared" si="839"/>
        <v>PATUXENT RIVER</v>
      </c>
      <c r="J2012" t="str">
        <f t="shared" si="836"/>
        <v>MD</v>
      </c>
      <c r="K2012" t="str">
        <f t="shared" si="841"/>
        <v>000000000000000000</v>
      </c>
      <c r="L2012" t="str">
        <f>T("3013420566")</f>
        <v>3013420566</v>
      </c>
    </row>
    <row r="2013" spans="1:12" x14ac:dyDescent="0.35">
      <c r="A2013" t="str">
        <f t="shared" si="832"/>
        <v>NAWCAD PAX RIVER</v>
      </c>
      <c r="B2013" t="str">
        <f>T("47060 MCLEOD RD")</f>
        <v>47060 MCLEOD RD</v>
      </c>
      <c r="C2013" t="str">
        <f>T("BLDG 447 SUITE 204")</f>
        <v>BLDG 447 SUITE 204</v>
      </c>
      <c r="D2013" t="str">
        <f>T("PATUXENT RVR")</f>
        <v>PATUXENT RVR</v>
      </c>
      <c r="E2013" t="str">
        <f t="shared" si="835"/>
        <v>MD</v>
      </c>
      <c r="F2013" t="str">
        <f>T("206701632")</f>
        <v>206701632</v>
      </c>
      <c r="G2013" t="str">
        <f>T("47060 MCLEOD RD")</f>
        <v>47060 MCLEOD RD</v>
      </c>
      <c r="H2013" t="str">
        <f>T("BLDG 447 ROOM 200B")</f>
        <v>BLDG 447 ROOM 200B</v>
      </c>
      <c r="I2013" t="str">
        <f t="shared" si="839"/>
        <v>PATUXENT RIVER</v>
      </c>
      <c r="J2013" t="str">
        <f t="shared" si="836"/>
        <v>MD</v>
      </c>
      <c r="K2013" t="str">
        <f t="shared" si="841"/>
        <v>000000000000000000</v>
      </c>
      <c r="L2013" t="str">
        <f>T("3017578689")</f>
        <v>3017578689</v>
      </c>
    </row>
    <row r="2014" spans="1:12" x14ac:dyDescent="0.35">
      <c r="A2014" t="str">
        <f t="shared" si="832"/>
        <v>NAWCAD PAX RIVER</v>
      </c>
      <c r="B2014" t="str">
        <f>T("47060 MCLEOD RD")</f>
        <v>47060 MCLEOD RD</v>
      </c>
      <c r="C2014" t="str">
        <f>T("BLDG 447 SUITE 204")</f>
        <v>BLDG 447 SUITE 204</v>
      </c>
      <c r="D2014" t="str">
        <f>T("PATUXENT RVR")</f>
        <v>PATUXENT RVR</v>
      </c>
      <c r="E2014" t="str">
        <f t="shared" si="835"/>
        <v>MD</v>
      </c>
      <c r="F2014" t="str">
        <f>T("206701632")</f>
        <v>206701632</v>
      </c>
      <c r="G2014" t="str">
        <f>T("47060 MCLEOD RD")</f>
        <v>47060 MCLEOD RD</v>
      </c>
      <c r="H2014" t="str">
        <f>T("BLDG 447 SUITE 204")</f>
        <v>BLDG 447 SUITE 204</v>
      </c>
      <c r="I2014" t="str">
        <f>T("PATUXENT RVR")</f>
        <v>PATUXENT RVR</v>
      </c>
      <c r="J2014" t="str">
        <f t="shared" si="836"/>
        <v>MD</v>
      </c>
      <c r="K2014" t="str">
        <f t="shared" si="841"/>
        <v>000000000000000000</v>
      </c>
      <c r="L2014" t="str">
        <f>T("3017578421")</f>
        <v>3017578421</v>
      </c>
    </row>
    <row r="2015" spans="1:12" x14ac:dyDescent="0.35">
      <c r="A2015" t="str">
        <f t="shared" si="832"/>
        <v>NAWCAD PAX RIVER</v>
      </c>
      <c r="B2015" t="str">
        <f>T("47069 WHALEN ROAD")</f>
        <v>47069 WHALEN ROAD</v>
      </c>
      <c r="C2015" t="str">
        <f>T("BLDG 1485")</f>
        <v>BLDG 1485</v>
      </c>
      <c r="D2015" t="str">
        <f>T("PATUXENT RVR")</f>
        <v>PATUXENT RVR</v>
      </c>
      <c r="E2015" t="str">
        <f t="shared" si="835"/>
        <v>MD</v>
      </c>
      <c r="F2015" t="str">
        <f>T("206701467")</f>
        <v>206701467</v>
      </c>
      <c r="G2015" t="str">
        <f>T("47069 WHALEN ROAD")</f>
        <v>47069 WHALEN ROAD</v>
      </c>
      <c r="H2015" t="str">
        <f>T("BLDG 1485")</f>
        <v>BLDG 1485</v>
      </c>
      <c r="I2015" t="str">
        <f>T("PATUXENT RIVER")</f>
        <v>PATUXENT RIVER</v>
      </c>
      <c r="J2015" t="str">
        <f t="shared" si="836"/>
        <v>MD</v>
      </c>
      <c r="K2015" t="str">
        <f t="shared" si="841"/>
        <v>000000000000000000</v>
      </c>
      <c r="L2015" t="str">
        <f>T("3013429252")</f>
        <v>3013429252</v>
      </c>
    </row>
    <row r="2016" spans="1:12" x14ac:dyDescent="0.35">
      <c r="A2016" t="str">
        <f t="shared" si="832"/>
        <v>NAWCAD PAX RIVER</v>
      </c>
      <c r="B2016" t="str">
        <f>T("47069 WHALEN ROAD")</f>
        <v>47069 WHALEN ROAD</v>
      </c>
      <c r="C2016" t="str">
        <f>T("BLDG 1485")</f>
        <v>BLDG 1485</v>
      </c>
      <c r="D2016" t="str">
        <f>T("PATUXENT RVR")</f>
        <v>PATUXENT RVR</v>
      </c>
      <c r="E2016" t="str">
        <f t="shared" si="835"/>
        <v>MD</v>
      </c>
      <c r="F2016" t="str">
        <f>T("206701467")</f>
        <v>206701467</v>
      </c>
      <c r="G2016" t="str">
        <f>T("47069 WHALEN ROAD")</f>
        <v>47069 WHALEN ROAD</v>
      </c>
      <c r="H2016" t="str">
        <f>T("BLDG 1485")</f>
        <v>BLDG 1485</v>
      </c>
      <c r="I2016" t="str">
        <f>T("PATUXENT RVR")</f>
        <v>PATUXENT RVR</v>
      </c>
      <c r="J2016" t="str">
        <f t="shared" si="836"/>
        <v>MD</v>
      </c>
      <c r="K2016" t="str">
        <f t="shared" si="841"/>
        <v>000000000000000000</v>
      </c>
      <c r="L2016" t="str">
        <f>T("3019957956")</f>
        <v>3019957956</v>
      </c>
    </row>
    <row r="2017" spans="1:12" x14ac:dyDescent="0.35">
      <c r="A2017" t="str">
        <f t="shared" si="832"/>
        <v>NAWCAD PAX RIVER</v>
      </c>
      <c r="B2017" t="str">
        <f>T("47122 LILJENCRANTZ ROAD")</f>
        <v>47122 LILJENCRANTZ ROAD</v>
      </c>
      <c r="C2017" t="str">
        <f>T("BLDG 440")</f>
        <v>BLDG 440</v>
      </c>
      <c r="D2017" t="str">
        <f t="shared" ref="D2017:D2050" si="842">T("PATUXENT RIVER")</f>
        <v>PATUXENT RIVER</v>
      </c>
      <c r="E2017" t="str">
        <f t="shared" si="835"/>
        <v>MD</v>
      </c>
      <c r="F2017" t="str">
        <f>T("206701549")</f>
        <v>206701549</v>
      </c>
      <c r="G2017" t="str">
        <f>T("47110 LILJENCRANTZ RD")</f>
        <v>47110 LILJENCRANTZ RD</v>
      </c>
      <c r="H2017" t="str">
        <f>T("BLDG 440 ROOM 21")</f>
        <v>BLDG 440 ROOM 21</v>
      </c>
      <c r="I2017" t="str">
        <f t="shared" ref="I2017:I2050" si="843">T("PATUXENT RIVER")</f>
        <v>PATUXENT RIVER</v>
      </c>
      <c r="J2017" t="str">
        <f t="shared" si="836"/>
        <v>MD</v>
      </c>
      <c r="K2017" t="str">
        <f t="shared" si="841"/>
        <v>000000000000000000</v>
      </c>
      <c r="L2017" t="str">
        <f>T("3013429585")</f>
        <v>3013429585</v>
      </c>
    </row>
    <row r="2018" spans="1:12" x14ac:dyDescent="0.35">
      <c r="A2018" t="str">
        <f t="shared" si="832"/>
        <v>NAWCAD PAX RIVER</v>
      </c>
      <c r="B2018" t="str">
        <f>T("47122 LILJENCRANTZ ROAD")</f>
        <v>47122 LILJENCRANTZ ROAD</v>
      </c>
      <c r="C2018" t="str">
        <f>T("BLDG 440")</f>
        <v>BLDG 440</v>
      </c>
      <c r="D2018" t="str">
        <f t="shared" si="842"/>
        <v>PATUXENT RIVER</v>
      </c>
      <c r="E2018" t="str">
        <f t="shared" si="835"/>
        <v>MD</v>
      </c>
      <c r="F2018" t="str">
        <f>T("206701549")</f>
        <v>206701549</v>
      </c>
      <c r="G2018" t="str">
        <f>T("47122 LILJENCRANTZ ROAD")</f>
        <v>47122 LILJENCRANTZ ROAD</v>
      </c>
      <c r="H2018" t="str">
        <f>T("BLDG 440")</f>
        <v>BLDG 440</v>
      </c>
      <c r="I2018" t="str">
        <f t="shared" si="843"/>
        <v>PATUXENT RIVER</v>
      </c>
      <c r="J2018" t="str">
        <f t="shared" si="836"/>
        <v>MD</v>
      </c>
      <c r="K2018" t="str">
        <f t="shared" si="841"/>
        <v>000000000000000000</v>
      </c>
      <c r="L2018" t="str">
        <f>T("3013424219")</f>
        <v>3013424219</v>
      </c>
    </row>
    <row r="2019" spans="1:12" x14ac:dyDescent="0.35">
      <c r="A2019" t="str">
        <f t="shared" si="832"/>
        <v>NAWCAD PAX RIVER</v>
      </c>
      <c r="B2019" t="str">
        <f>T("47122 LILJENCRANTZ ROAD")</f>
        <v>47122 LILJENCRANTZ ROAD</v>
      </c>
      <c r="C2019" t="str">
        <f>T("BLDG 440")</f>
        <v>BLDG 440</v>
      </c>
      <c r="D2019" t="str">
        <f t="shared" si="842"/>
        <v>PATUXENT RIVER</v>
      </c>
      <c r="E2019" t="str">
        <f t="shared" si="835"/>
        <v>MD</v>
      </c>
      <c r="F2019" t="str">
        <f>T("206701549")</f>
        <v>206701549</v>
      </c>
      <c r="G2019" t="str">
        <f>T("47122 LILJENCRANTZ ROAD")</f>
        <v>47122 LILJENCRANTZ ROAD</v>
      </c>
      <c r="H2019" t="str">
        <f>T("BLDG 440 ROOM 8")</f>
        <v>BLDG 440 ROOM 8</v>
      </c>
      <c r="I2019" t="str">
        <f t="shared" si="843"/>
        <v>PATUXENT RIVER</v>
      </c>
      <c r="J2019" t="str">
        <f t="shared" si="836"/>
        <v>MD</v>
      </c>
      <c r="K2019" t="str">
        <f t="shared" si="841"/>
        <v>000000000000000000</v>
      </c>
      <c r="L2019" t="str">
        <f>T("3013422995")</f>
        <v>3013422995</v>
      </c>
    </row>
    <row r="2020" spans="1:12" x14ac:dyDescent="0.35">
      <c r="A2020" t="str">
        <f t="shared" si="832"/>
        <v>NAWCAD PAX RIVER</v>
      </c>
      <c r="B2020" t="str">
        <f>T("47123 BUSE ROAD")</f>
        <v>47123 BUSE ROAD</v>
      </c>
      <c r="C2020" t="str">
        <f>T("BLDG 2272 STE 354 RM 354 10")</f>
        <v>BLDG 2272 STE 354 RM 354 10</v>
      </c>
      <c r="D2020" t="str">
        <f t="shared" si="842"/>
        <v>PATUXENT RIVER</v>
      </c>
      <c r="E2020" t="str">
        <f t="shared" si="835"/>
        <v>MD</v>
      </c>
      <c r="F2020" t="str">
        <f>T("206701547")</f>
        <v>206701547</v>
      </c>
      <c r="G2020" t="str">
        <f>T("47123 BUSE ROAD")</f>
        <v>47123 BUSE ROAD</v>
      </c>
      <c r="H2020" t="str">
        <f>T("BLDG 2272 STE 354 RM 354 10")</f>
        <v>BLDG 2272 STE 354 RM 354 10</v>
      </c>
      <c r="I2020" t="str">
        <f t="shared" si="843"/>
        <v>PATUXENT RIVER</v>
      </c>
      <c r="J2020" t="str">
        <f t="shared" si="836"/>
        <v>MD</v>
      </c>
      <c r="K2020" t="str">
        <f>T("")</f>
        <v/>
      </c>
      <c r="L2020" t="str">
        <f>T("3017576602")</f>
        <v>3017576602</v>
      </c>
    </row>
    <row r="2021" spans="1:12" x14ac:dyDescent="0.35">
      <c r="A2021" t="str">
        <f t="shared" si="832"/>
        <v>NAWCAD PAX RIVER</v>
      </c>
      <c r="B2021" t="str">
        <f>T("47123 BUSE ROAD")</f>
        <v>47123 BUSE ROAD</v>
      </c>
      <c r="C2021" t="str">
        <f>T("BLDG 2272 STE 354 RM 354 10")</f>
        <v>BLDG 2272 STE 354 RM 354 10</v>
      </c>
      <c r="D2021" t="str">
        <f t="shared" si="842"/>
        <v>PATUXENT RIVER</v>
      </c>
      <c r="E2021" t="str">
        <f t="shared" si="835"/>
        <v>MD</v>
      </c>
      <c r="F2021" t="str">
        <f>T("206701547")</f>
        <v>206701547</v>
      </c>
      <c r="G2021" t="str">
        <f>T("47123 BUSE ROAD")</f>
        <v>47123 BUSE ROAD</v>
      </c>
      <c r="H2021" t="str">
        <f>T("BLDG 2272 SUITE 353")</f>
        <v>BLDG 2272 SUITE 353</v>
      </c>
      <c r="I2021" t="str">
        <f t="shared" si="843"/>
        <v>PATUXENT RIVER</v>
      </c>
      <c r="J2021" t="str">
        <f t="shared" si="836"/>
        <v>MD</v>
      </c>
      <c r="K2021" t="str">
        <f t="shared" ref="K2021:K2031" si="844">T("000000000000000000")</f>
        <v>000000000000000000</v>
      </c>
      <c r="L2021" t="str">
        <f>T("3013428337")</f>
        <v>3013428337</v>
      </c>
    </row>
    <row r="2022" spans="1:12" x14ac:dyDescent="0.35">
      <c r="A2022" t="str">
        <f t="shared" si="832"/>
        <v>NAWCAD PAX RIVER</v>
      </c>
      <c r="B2022" t="str">
        <f>T("47254 DAVIS SPUR RD")</f>
        <v>47254 DAVIS SPUR RD</v>
      </c>
      <c r="C2022" t="str">
        <f>T("BLDG 2855 RM 331")</f>
        <v>BLDG 2855 RM 331</v>
      </c>
      <c r="D2022" t="str">
        <f t="shared" si="842"/>
        <v>PATUXENT RIVER</v>
      </c>
      <c r="E2022" t="str">
        <f t="shared" si="835"/>
        <v>MD</v>
      </c>
      <c r="F2022" t="str">
        <f>T("206701917")</f>
        <v>206701917</v>
      </c>
      <c r="G2022" t="str">
        <f>T("47254 DAVIS SPUR RD")</f>
        <v>47254 DAVIS SPUR RD</v>
      </c>
      <c r="H2022" t="str">
        <f>T("BLDG 2855 RM 331")</f>
        <v>BLDG 2855 RM 331</v>
      </c>
      <c r="I2022" t="str">
        <f t="shared" si="843"/>
        <v>PATUXENT RIVER</v>
      </c>
      <c r="J2022" t="str">
        <f t="shared" si="836"/>
        <v>MD</v>
      </c>
      <c r="K2022" t="str">
        <f t="shared" si="844"/>
        <v>000000000000000000</v>
      </c>
      <c r="L2022" t="str">
        <f>T("3013422396")</f>
        <v>3013422396</v>
      </c>
    </row>
    <row r="2023" spans="1:12" x14ac:dyDescent="0.35">
      <c r="A2023" t="str">
        <f t="shared" si="832"/>
        <v>NAWCAD PAX RIVER</v>
      </c>
      <c r="B2023" t="str">
        <f>T("47254 DAVIS SPUR RD")</f>
        <v>47254 DAVIS SPUR RD</v>
      </c>
      <c r="C2023" t="str">
        <f>T("BLDG 2855 RM 331")</f>
        <v>BLDG 2855 RM 331</v>
      </c>
      <c r="D2023" t="str">
        <f t="shared" si="842"/>
        <v>PATUXENT RIVER</v>
      </c>
      <c r="E2023" t="str">
        <f t="shared" si="835"/>
        <v>MD</v>
      </c>
      <c r="F2023" t="str">
        <f>T("206701917")</f>
        <v>206701917</v>
      </c>
      <c r="G2023" t="str">
        <f>T("47254 DAVIS SPUR ROAD")</f>
        <v>47254 DAVIS SPUR ROAD</v>
      </c>
      <c r="H2023" t="str">
        <f>T("BLDG 2855 333-134")</f>
        <v>BLDG 2855 333-134</v>
      </c>
      <c r="I2023" t="str">
        <f t="shared" si="843"/>
        <v>PATUXENT RIVER</v>
      </c>
      <c r="J2023" t="str">
        <f t="shared" si="836"/>
        <v>MD</v>
      </c>
      <c r="K2023" t="str">
        <f t="shared" si="844"/>
        <v>000000000000000000</v>
      </c>
      <c r="L2023" t="str">
        <f>T("3013420252")</f>
        <v>3013420252</v>
      </c>
    </row>
    <row r="2024" spans="1:12" x14ac:dyDescent="0.35">
      <c r="A2024" t="str">
        <f t="shared" si="832"/>
        <v>NAWCAD PAX RIVER</v>
      </c>
      <c r="B2024" t="str">
        <f>T("47254 DAVIS SPUR RD")</f>
        <v>47254 DAVIS SPUR RD</v>
      </c>
      <c r="C2024" t="str">
        <f>T("BLDG 2855 RM 331")</f>
        <v>BLDG 2855 RM 331</v>
      </c>
      <c r="D2024" t="str">
        <f t="shared" si="842"/>
        <v>PATUXENT RIVER</v>
      </c>
      <c r="E2024" t="str">
        <f t="shared" si="835"/>
        <v>MD</v>
      </c>
      <c r="F2024" t="str">
        <f>T("206701917")</f>
        <v>206701917</v>
      </c>
      <c r="G2024" t="str">
        <f>T("47254 DAVIS SPUR ROAD")</f>
        <v>47254 DAVIS SPUR ROAD</v>
      </c>
      <c r="H2024" t="str">
        <f>T("BLDG 2855 CUBE 333-142")</f>
        <v>BLDG 2855 CUBE 333-142</v>
      </c>
      <c r="I2024" t="str">
        <f t="shared" si="843"/>
        <v>PATUXENT RIVER</v>
      </c>
      <c r="J2024" t="str">
        <f t="shared" si="836"/>
        <v>MD</v>
      </c>
      <c r="K2024" t="str">
        <f t="shared" si="844"/>
        <v>000000000000000000</v>
      </c>
      <c r="L2024" t="str">
        <f>T("3013422454")</f>
        <v>3013422454</v>
      </c>
    </row>
    <row r="2025" spans="1:12" x14ac:dyDescent="0.35">
      <c r="A2025" t="str">
        <f t="shared" ref="A2025:A2056" si="845">T("NAWCAD PAX RIVER")</f>
        <v>NAWCAD PAX RIVER</v>
      </c>
      <c r="B2025" t="str">
        <f>T("47378 TATE RD")</f>
        <v>47378 TATE RD</v>
      </c>
      <c r="C2025" t="str">
        <f t="shared" ref="C2025:C2031" si="846">T("HANGAR 306")</f>
        <v>HANGAR 306</v>
      </c>
      <c r="D2025" t="str">
        <f t="shared" si="842"/>
        <v>PATUXENT RIVER</v>
      </c>
      <c r="E2025" t="str">
        <f t="shared" si="835"/>
        <v>MD</v>
      </c>
      <c r="F2025" t="str">
        <f t="shared" ref="F2025:F2031" si="847">T("206701915")</f>
        <v>206701915</v>
      </c>
      <c r="G2025" t="str">
        <f>T("47378 TATE RD")</f>
        <v>47378 TATE RD</v>
      </c>
      <c r="H2025" t="str">
        <f>T("HANGAR 306")</f>
        <v>HANGAR 306</v>
      </c>
      <c r="I2025" t="str">
        <f t="shared" si="843"/>
        <v>PATUXENT RIVER</v>
      </c>
      <c r="J2025" t="str">
        <f t="shared" si="836"/>
        <v>MD</v>
      </c>
      <c r="K2025" t="str">
        <f t="shared" si="844"/>
        <v>000000000000000000</v>
      </c>
      <c r="L2025" t="str">
        <f>T("3013422724")</f>
        <v>3013422724</v>
      </c>
    </row>
    <row r="2026" spans="1:12" x14ac:dyDescent="0.35">
      <c r="A2026" t="str">
        <f t="shared" si="845"/>
        <v>NAWCAD PAX RIVER</v>
      </c>
      <c r="B2026" t="str">
        <f t="shared" ref="B2026:B2031" si="848">T("47378 TATE ROAD")</f>
        <v>47378 TATE ROAD</v>
      </c>
      <c r="C2026" t="str">
        <f t="shared" si="846"/>
        <v>HANGAR 306</v>
      </c>
      <c r="D2026" t="str">
        <f t="shared" si="842"/>
        <v>PATUXENT RIVER</v>
      </c>
      <c r="E2026" t="str">
        <f t="shared" si="835"/>
        <v>MD</v>
      </c>
      <c r="F2026" t="str">
        <f t="shared" si="847"/>
        <v>206701915</v>
      </c>
      <c r="G2026" t="str">
        <f>T("21962 NICKLES ROAD")</f>
        <v>21962 NICKLES ROAD</v>
      </c>
      <c r="H2026" t="str">
        <f>T("BLDG 201A")</f>
        <v>BLDG 201A</v>
      </c>
      <c r="I2026" t="str">
        <f t="shared" si="843"/>
        <v>PATUXENT RIVER</v>
      </c>
      <c r="J2026" t="str">
        <f t="shared" si="836"/>
        <v>MD</v>
      </c>
      <c r="K2026" t="str">
        <f t="shared" si="844"/>
        <v>000000000000000000</v>
      </c>
      <c r="L2026" t="str">
        <f>T("3017572312")</f>
        <v>3017572312</v>
      </c>
    </row>
    <row r="2027" spans="1:12" x14ac:dyDescent="0.35">
      <c r="A2027" t="str">
        <f t="shared" si="845"/>
        <v>NAWCAD PAX RIVER</v>
      </c>
      <c r="B2027" t="str">
        <f t="shared" si="848"/>
        <v>47378 TATE ROAD</v>
      </c>
      <c r="C2027" t="str">
        <f t="shared" si="846"/>
        <v>HANGAR 306</v>
      </c>
      <c r="D2027" t="str">
        <f t="shared" si="842"/>
        <v>PATUXENT RIVER</v>
      </c>
      <c r="E2027" t="str">
        <f t="shared" si="835"/>
        <v>MD</v>
      </c>
      <c r="F2027" t="str">
        <f t="shared" si="847"/>
        <v>206701915</v>
      </c>
      <c r="G2027" t="str">
        <f>T("21962 NICKLES ROAD")</f>
        <v>21962 NICKLES ROAD</v>
      </c>
      <c r="H2027" t="str">
        <f>T("BLDG 201A")</f>
        <v>BLDG 201A</v>
      </c>
      <c r="I2027" t="str">
        <f t="shared" si="843"/>
        <v>PATUXENT RIVER</v>
      </c>
      <c r="J2027" t="str">
        <f t="shared" si="836"/>
        <v>MD</v>
      </c>
      <c r="K2027" t="str">
        <f t="shared" si="844"/>
        <v>000000000000000000</v>
      </c>
      <c r="L2027" t="str">
        <f>T("3017574479")</f>
        <v>3017574479</v>
      </c>
    </row>
    <row r="2028" spans="1:12" x14ac:dyDescent="0.35">
      <c r="A2028" t="str">
        <f t="shared" si="845"/>
        <v>NAWCAD PAX RIVER</v>
      </c>
      <c r="B2028" t="str">
        <f t="shared" si="848"/>
        <v>47378 TATE ROAD</v>
      </c>
      <c r="C2028" t="str">
        <f t="shared" si="846"/>
        <v>HANGAR 306</v>
      </c>
      <c r="D2028" t="str">
        <f t="shared" si="842"/>
        <v>PATUXENT RIVER</v>
      </c>
      <c r="E2028" t="str">
        <f t="shared" si="835"/>
        <v>MD</v>
      </c>
      <c r="F2028" t="str">
        <f t="shared" si="847"/>
        <v>206701915</v>
      </c>
      <c r="G2028" t="str">
        <f>T("22755 SAUFLEY ROAD")</f>
        <v>22755 SAUFLEY ROAD</v>
      </c>
      <c r="H2028" t="str">
        <f>T("HGR 111 SUITE 1A")</f>
        <v>HGR 111 SUITE 1A</v>
      </c>
      <c r="I2028" t="str">
        <f t="shared" si="843"/>
        <v>PATUXENT RIVER</v>
      </c>
      <c r="J2028" t="str">
        <f t="shared" si="836"/>
        <v>MD</v>
      </c>
      <c r="K2028" t="str">
        <f t="shared" si="844"/>
        <v>000000000000000000</v>
      </c>
      <c r="L2028" t="str">
        <f>T("3013424389")</f>
        <v>3013424389</v>
      </c>
    </row>
    <row r="2029" spans="1:12" x14ac:dyDescent="0.35">
      <c r="A2029" t="str">
        <f t="shared" si="845"/>
        <v>NAWCAD PAX RIVER</v>
      </c>
      <c r="B2029" t="str">
        <f t="shared" si="848"/>
        <v>47378 TATE ROAD</v>
      </c>
      <c r="C2029" t="str">
        <f t="shared" si="846"/>
        <v>HANGAR 306</v>
      </c>
      <c r="D2029" t="str">
        <f t="shared" si="842"/>
        <v>PATUXENT RIVER</v>
      </c>
      <c r="E2029" t="str">
        <f t="shared" si="835"/>
        <v>MD</v>
      </c>
      <c r="F2029" t="str">
        <f t="shared" si="847"/>
        <v>206701915</v>
      </c>
      <c r="G2029" t="str">
        <f>T("47378 TATE ROAD")</f>
        <v>47378 TATE ROAD</v>
      </c>
      <c r="H2029" t="str">
        <f>T("HANGAR 306")</f>
        <v>HANGAR 306</v>
      </c>
      <c r="I2029" t="str">
        <f t="shared" si="843"/>
        <v>PATUXENT RIVER</v>
      </c>
      <c r="J2029" t="str">
        <f t="shared" si="836"/>
        <v>MD</v>
      </c>
      <c r="K2029" t="str">
        <f t="shared" si="844"/>
        <v>000000000000000000</v>
      </c>
      <c r="L2029" t="str">
        <f>T("3013422707")</f>
        <v>3013422707</v>
      </c>
    </row>
    <row r="2030" spans="1:12" x14ac:dyDescent="0.35">
      <c r="A2030" t="str">
        <f t="shared" si="845"/>
        <v>NAWCAD PAX RIVER</v>
      </c>
      <c r="B2030" t="str">
        <f t="shared" si="848"/>
        <v>47378 TATE ROAD</v>
      </c>
      <c r="C2030" t="str">
        <f t="shared" si="846"/>
        <v>HANGAR 306</v>
      </c>
      <c r="D2030" t="str">
        <f t="shared" si="842"/>
        <v>PATUXENT RIVER</v>
      </c>
      <c r="E2030" t="str">
        <f t="shared" ref="E2030:E2061" si="849">T("MD")</f>
        <v>MD</v>
      </c>
      <c r="F2030" t="str">
        <f t="shared" si="847"/>
        <v>206701915</v>
      </c>
      <c r="G2030" t="str">
        <f>T("47378 TATE ROAD")</f>
        <v>47378 TATE ROAD</v>
      </c>
      <c r="H2030" t="str">
        <f>T("HANGAR 306")</f>
        <v>HANGAR 306</v>
      </c>
      <c r="I2030" t="str">
        <f t="shared" si="843"/>
        <v>PATUXENT RIVER</v>
      </c>
      <c r="J2030" t="str">
        <f t="shared" ref="J2030:J2061" si="850">T("MD")</f>
        <v>MD</v>
      </c>
      <c r="K2030" t="str">
        <f t="shared" si="844"/>
        <v>000000000000000000</v>
      </c>
      <c r="L2030" t="str">
        <f>T("3013422715")</f>
        <v>3013422715</v>
      </c>
    </row>
    <row r="2031" spans="1:12" x14ac:dyDescent="0.35">
      <c r="A2031" t="str">
        <f t="shared" si="845"/>
        <v>NAWCAD PAX RIVER</v>
      </c>
      <c r="B2031" t="str">
        <f t="shared" si="848"/>
        <v>47378 TATE ROAD</v>
      </c>
      <c r="C2031" t="str">
        <f t="shared" si="846"/>
        <v>HANGAR 306</v>
      </c>
      <c r="D2031" t="str">
        <f t="shared" si="842"/>
        <v>PATUXENT RIVER</v>
      </c>
      <c r="E2031" t="str">
        <f t="shared" si="849"/>
        <v>MD</v>
      </c>
      <c r="F2031" t="str">
        <f t="shared" si="847"/>
        <v>206701915</v>
      </c>
      <c r="G2031" t="str">
        <f>T("47378 TATE ROAD")</f>
        <v>47378 TATE ROAD</v>
      </c>
      <c r="H2031" t="str">
        <f>T("HANGAR 306")</f>
        <v>HANGAR 306</v>
      </c>
      <c r="I2031" t="str">
        <f t="shared" si="843"/>
        <v>PATUXENT RIVER</v>
      </c>
      <c r="J2031" t="str">
        <f t="shared" si="850"/>
        <v>MD</v>
      </c>
      <c r="K2031" t="str">
        <f t="shared" si="844"/>
        <v>000000000000000000</v>
      </c>
      <c r="L2031" t="str">
        <f>T("3013422716")</f>
        <v>3013422716</v>
      </c>
    </row>
    <row r="2032" spans="1:12" x14ac:dyDescent="0.35">
      <c r="A2032" t="str">
        <f t="shared" si="845"/>
        <v>NAWCAD PAX RIVER</v>
      </c>
      <c r="B2032" t="str">
        <f>T("47762 RANCH ROAD")</f>
        <v>47762 RANCH ROAD</v>
      </c>
      <c r="C2032" t="str">
        <f>T("BLDG 1490")</f>
        <v>BLDG 1490</v>
      </c>
      <c r="D2032" t="str">
        <f t="shared" si="842"/>
        <v>PATUXENT RIVER</v>
      </c>
      <c r="E2032" t="str">
        <f t="shared" si="849"/>
        <v>MD</v>
      </c>
      <c r="F2032" t="str">
        <f>T("206701459")</f>
        <v>206701459</v>
      </c>
      <c r="G2032" t="str">
        <f>T("47762 RANCH ROAD")</f>
        <v>47762 RANCH ROAD</v>
      </c>
      <c r="H2032" t="str">
        <f>T("BLDG 1490")</f>
        <v>BLDG 1490</v>
      </c>
      <c r="I2032" t="str">
        <f t="shared" si="843"/>
        <v>PATUXENT RIVER</v>
      </c>
      <c r="J2032" t="str">
        <f t="shared" si="850"/>
        <v>MD</v>
      </c>
      <c r="K2032" t="str">
        <f>T("")</f>
        <v/>
      </c>
      <c r="L2032" t="str">
        <f>T("3019957790")</f>
        <v>3019957790</v>
      </c>
    </row>
    <row r="2033" spans="1:12" x14ac:dyDescent="0.35">
      <c r="A2033" t="str">
        <f t="shared" si="845"/>
        <v>NAWCAD PAX RIVER</v>
      </c>
      <c r="B2033" t="str">
        <f>T("47762 RANCH ROAD")</f>
        <v>47762 RANCH ROAD</v>
      </c>
      <c r="C2033" t="str">
        <f>T("BLDG 1490")</f>
        <v>BLDG 1490</v>
      </c>
      <c r="D2033" t="str">
        <f t="shared" si="842"/>
        <v>PATUXENT RIVER</v>
      </c>
      <c r="E2033" t="str">
        <f t="shared" si="849"/>
        <v>MD</v>
      </c>
      <c r="F2033" t="str">
        <f>T("206701459")</f>
        <v>206701459</v>
      </c>
      <c r="G2033" t="str">
        <f>T("47762 RANCH ROAD")</f>
        <v>47762 RANCH ROAD</v>
      </c>
      <c r="H2033" t="str">
        <f>T("BLDG 1490")</f>
        <v>BLDG 1490</v>
      </c>
      <c r="I2033" t="str">
        <f t="shared" si="843"/>
        <v>PATUXENT RIVER</v>
      </c>
      <c r="J2033" t="str">
        <f t="shared" si="850"/>
        <v>MD</v>
      </c>
      <c r="K2033" t="str">
        <f>T("000000000000000000")</f>
        <v>000000000000000000</v>
      </c>
      <c r="L2033" t="str">
        <f>T("3013429832")</f>
        <v>3013429832</v>
      </c>
    </row>
    <row r="2034" spans="1:12" x14ac:dyDescent="0.35">
      <c r="A2034" t="str">
        <f t="shared" si="845"/>
        <v>NAWCAD PAX RIVER</v>
      </c>
      <c r="B2034" t="str">
        <f>T("47780 RANCH ROAD")</f>
        <v>47780 RANCH ROAD</v>
      </c>
      <c r="C2034" t="str">
        <f>T("BLDG 1591")</f>
        <v>BLDG 1591</v>
      </c>
      <c r="D2034" t="str">
        <f t="shared" si="842"/>
        <v>PATUXENT RIVER</v>
      </c>
      <c r="E2034" t="str">
        <f t="shared" si="849"/>
        <v>MD</v>
      </c>
      <c r="F2034" t="str">
        <f>T("206701470")</f>
        <v>206701470</v>
      </c>
      <c r="G2034" t="str">
        <f>T("47758 RANCH ROAD")</f>
        <v>47758 RANCH ROAD</v>
      </c>
      <c r="H2034" t="str">
        <f>T("BLDG 1492")</f>
        <v>BLDG 1492</v>
      </c>
      <c r="I2034" t="str">
        <f t="shared" si="843"/>
        <v>PATUXENT RIVER</v>
      </c>
      <c r="J2034" t="str">
        <f t="shared" si="850"/>
        <v>MD</v>
      </c>
      <c r="K2034" t="str">
        <f>T("000000000000000000")</f>
        <v>000000000000000000</v>
      </c>
      <c r="L2034" t="str">
        <f>T("3013421572")</f>
        <v>3013421572</v>
      </c>
    </row>
    <row r="2035" spans="1:12" x14ac:dyDescent="0.35">
      <c r="A2035" t="str">
        <f t="shared" si="845"/>
        <v>NAWCAD PAX RIVER</v>
      </c>
      <c r="B2035" t="str">
        <f>T("47780 RANCH ROAD")</f>
        <v>47780 RANCH ROAD</v>
      </c>
      <c r="C2035" t="str">
        <f>T("BLDG 1591")</f>
        <v>BLDG 1591</v>
      </c>
      <c r="D2035" t="str">
        <f t="shared" si="842"/>
        <v>PATUXENT RIVER</v>
      </c>
      <c r="E2035" t="str">
        <f t="shared" si="849"/>
        <v>MD</v>
      </c>
      <c r="F2035" t="str">
        <f>T("206701470")</f>
        <v>206701470</v>
      </c>
      <c r="G2035" t="str">
        <f>T("47758 RANCH ROAD")</f>
        <v>47758 RANCH ROAD</v>
      </c>
      <c r="H2035" t="str">
        <f>T("BLDG 1492")</f>
        <v>BLDG 1492</v>
      </c>
      <c r="I2035" t="str">
        <f t="shared" si="843"/>
        <v>PATUXENT RIVER</v>
      </c>
      <c r="J2035" t="str">
        <f t="shared" si="850"/>
        <v>MD</v>
      </c>
      <c r="K2035" t="str">
        <f>T("000000000000000000")</f>
        <v>000000000000000000</v>
      </c>
      <c r="L2035" t="str">
        <f>T("3013423805")</f>
        <v>3013423805</v>
      </c>
    </row>
    <row r="2036" spans="1:12" x14ac:dyDescent="0.35">
      <c r="A2036" t="str">
        <f t="shared" si="845"/>
        <v>NAWCAD PAX RIVER</v>
      </c>
      <c r="B2036" t="str">
        <f>T("47780 RANCH ROAD")</f>
        <v>47780 RANCH ROAD</v>
      </c>
      <c r="C2036" t="str">
        <f>T("BLDG 1591")</f>
        <v>BLDG 1591</v>
      </c>
      <c r="D2036" t="str">
        <f t="shared" si="842"/>
        <v>PATUXENT RIVER</v>
      </c>
      <c r="E2036" t="str">
        <f t="shared" si="849"/>
        <v>MD</v>
      </c>
      <c r="F2036" t="str">
        <f>T("206701470")</f>
        <v>206701470</v>
      </c>
      <c r="G2036" t="str">
        <f>T("47780 RANCH ROAD")</f>
        <v>47780 RANCH ROAD</v>
      </c>
      <c r="H2036" t="str">
        <f>T("BLDG 1591")</f>
        <v>BLDG 1591</v>
      </c>
      <c r="I2036" t="str">
        <f t="shared" si="843"/>
        <v>PATUXENT RIVER</v>
      </c>
      <c r="J2036" t="str">
        <f t="shared" si="850"/>
        <v>MD</v>
      </c>
      <c r="K2036" t="str">
        <f>T("")</f>
        <v/>
      </c>
      <c r="L2036" t="str">
        <f>T("3013425466")</f>
        <v>3013425466</v>
      </c>
    </row>
    <row r="2037" spans="1:12" x14ac:dyDescent="0.35">
      <c r="A2037" t="str">
        <f t="shared" si="845"/>
        <v>NAWCAD PAX RIVER</v>
      </c>
      <c r="B2037" t="str">
        <f>T("47780 RANCH ROAD")</f>
        <v>47780 RANCH ROAD</v>
      </c>
      <c r="C2037" t="str">
        <f>T("BLDG 1591")</f>
        <v>BLDG 1591</v>
      </c>
      <c r="D2037" t="str">
        <f t="shared" si="842"/>
        <v>PATUXENT RIVER</v>
      </c>
      <c r="E2037" t="str">
        <f t="shared" si="849"/>
        <v>MD</v>
      </c>
      <c r="F2037" t="str">
        <f>T("206701470")</f>
        <v>206701470</v>
      </c>
      <c r="G2037" t="str">
        <f>T("47780 RANCH ROAD")</f>
        <v>47780 RANCH ROAD</v>
      </c>
      <c r="H2037" t="str">
        <f>T("BLDG 1591")</f>
        <v>BLDG 1591</v>
      </c>
      <c r="I2037" t="str">
        <f t="shared" si="843"/>
        <v>PATUXENT RIVER</v>
      </c>
      <c r="J2037" t="str">
        <f t="shared" si="850"/>
        <v>MD</v>
      </c>
      <c r="K2037" t="str">
        <f>T("000000000000000000")</f>
        <v>000000000000000000</v>
      </c>
      <c r="L2037" t="str">
        <f>T("3019957334")</f>
        <v>3019957334</v>
      </c>
    </row>
    <row r="2038" spans="1:12" x14ac:dyDescent="0.35">
      <c r="A2038" t="str">
        <f t="shared" si="845"/>
        <v>NAWCAD PAX RIVER</v>
      </c>
      <c r="B2038" t="str">
        <f>T("47780 RANCH ROAD")</f>
        <v>47780 RANCH ROAD</v>
      </c>
      <c r="C2038" t="str">
        <f>T("BLDG 1591")</f>
        <v>BLDG 1591</v>
      </c>
      <c r="D2038" t="str">
        <f t="shared" si="842"/>
        <v>PATUXENT RIVER</v>
      </c>
      <c r="E2038" t="str">
        <f t="shared" si="849"/>
        <v>MD</v>
      </c>
      <c r="F2038" t="str">
        <f>T("206701470")</f>
        <v>206701470</v>
      </c>
      <c r="G2038" t="str">
        <f>T("47780 RANCH ROAD")</f>
        <v>47780 RANCH ROAD</v>
      </c>
      <c r="H2038" t="str">
        <f>T("BLDG 1591 ROOM 32")</f>
        <v>BLDG 1591 ROOM 32</v>
      </c>
      <c r="I2038" t="str">
        <f t="shared" si="843"/>
        <v>PATUXENT RIVER</v>
      </c>
      <c r="J2038" t="str">
        <f t="shared" si="850"/>
        <v>MD</v>
      </c>
      <c r="K2038" t="str">
        <f>T("000000000000000000")</f>
        <v>000000000000000000</v>
      </c>
      <c r="L2038" t="str">
        <f>T("1111111111")</f>
        <v>1111111111</v>
      </c>
    </row>
    <row r="2039" spans="1:12" x14ac:dyDescent="0.35">
      <c r="A2039" t="str">
        <f t="shared" si="845"/>
        <v>NAWCAD PAX RIVER</v>
      </c>
      <c r="B2039" t="str">
        <f t="shared" ref="B2039:B2050" si="851">T("48110 SHAW RD")</f>
        <v>48110 SHAW RD</v>
      </c>
      <c r="C2039" t="str">
        <f>T("BLDG 2187 STE 2151")</f>
        <v>BLDG 2187 STE 2151</v>
      </c>
      <c r="D2039" t="str">
        <f t="shared" si="842"/>
        <v>PATUXENT RIVER</v>
      </c>
      <c r="E2039" t="str">
        <f t="shared" si="849"/>
        <v>MD</v>
      </c>
      <c r="F2039" t="str">
        <f t="shared" ref="F2039:F2061" si="852">T("206701906")</f>
        <v>206701906</v>
      </c>
      <c r="G2039" t="str">
        <f>T("48110 SHAW RD")</f>
        <v>48110 SHAW RD</v>
      </c>
      <c r="H2039" t="str">
        <f>T("BLDG 2187 STE 2151")</f>
        <v>BLDG 2187 STE 2151</v>
      </c>
      <c r="I2039" t="str">
        <f t="shared" si="843"/>
        <v>PATUXENT RIVER</v>
      </c>
      <c r="J2039" t="str">
        <f t="shared" si="850"/>
        <v>MD</v>
      </c>
      <c r="K2039" t="str">
        <f>T("")</f>
        <v/>
      </c>
      <c r="L2039" t="str">
        <f>T("3013429008")</f>
        <v>3013429008</v>
      </c>
    </row>
    <row r="2040" spans="1:12" x14ac:dyDescent="0.35">
      <c r="A2040" t="str">
        <f t="shared" si="845"/>
        <v>NAWCAD PAX RIVER</v>
      </c>
      <c r="B2040" t="str">
        <f t="shared" si="851"/>
        <v>48110 SHAW RD</v>
      </c>
      <c r="C2040" t="str">
        <f>T("BLDG 2187 STE 2151")</f>
        <v>BLDG 2187 STE 2151</v>
      </c>
      <c r="D2040" t="str">
        <f t="shared" si="842"/>
        <v>PATUXENT RIVER</v>
      </c>
      <c r="E2040" t="str">
        <f t="shared" si="849"/>
        <v>MD</v>
      </c>
      <c r="F2040" t="str">
        <f t="shared" si="852"/>
        <v>206701906</v>
      </c>
      <c r="G2040" t="str">
        <f>T("48110 SHAW ROAD")</f>
        <v>48110 SHAW ROAD</v>
      </c>
      <c r="H2040" t="str">
        <f>T("BLDG 2187 SUITE 3120B2")</f>
        <v>BLDG 2187 SUITE 3120B2</v>
      </c>
      <c r="I2040" t="str">
        <f t="shared" si="843"/>
        <v>PATUXENT RIVER</v>
      </c>
      <c r="J2040" t="str">
        <f t="shared" si="850"/>
        <v>MD</v>
      </c>
      <c r="K2040" t="str">
        <f>T("000000000000000000")</f>
        <v>000000000000000000</v>
      </c>
      <c r="L2040" t="str">
        <f>T("3013428324")</f>
        <v>3013428324</v>
      </c>
    </row>
    <row r="2041" spans="1:12" x14ac:dyDescent="0.35">
      <c r="A2041" t="str">
        <f t="shared" si="845"/>
        <v>NAWCAD PAX RIVER</v>
      </c>
      <c r="B2041" t="str">
        <f t="shared" si="851"/>
        <v>48110 SHAW RD</v>
      </c>
      <c r="C2041" t="str">
        <f t="shared" ref="C2041:C2046" si="853">T("BLDG 2187 SUITE 2240-G9")</f>
        <v>BLDG 2187 SUITE 2240-G9</v>
      </c>
      <c r="D2041" t="str">
        <f t="shared" si="842"/>
        <v>PATUXENT RIVER</v>
      </c>
      <c r="E2041" t="str">
        <f t="shared" si="849"/>
        <v>MD</v>
      </c>
      <c r="F2041" t="str">
        <f t="shared" si="852"/>
        <v>206701906</v>
      </c>
      <c r="G2041" t="str">
        <f>T("48110 SHAW RD")</f>
        <v>48110 SHAW RD</v>
      </c>
      <c r="H2041" t="str">
        <f>T("BLDG 2187 SUITE 2240-G9")</f>
        <v>BLDG 2187 SUITE 2240-G9</v>
      </c>
      <c r="I2041" t="str">
        <f t="shared" si="843"/>
        <v>PATUXENT RIVER</v>
      </c>
      <c r="J2041" t="str">
        <f t="shared" si="850"/>
        <v>MD</v>
      </c>
      <c r="K2041" t="str">
        <f>T("")</f>
        <v/>
      </c>
      <c r="L2041" t="str">
        <f>T("3013423773")</f>
        <v>3013423773</v>
      </c>
    </row>
    <row r="2042" spans="1:12" x14ac:dyDescent="0.35">
      <c r="A2042" t="str">
        <f t="shared" si="845"/>
        <v>NAWCAD PAX RIVER</v>
      </c>
      <c r="B2042" t="str">
        <f t="shared" si="851"/>
        <v>48110 SHAW RD</v>
      </c>
      <c r="C2042" t="str">
        <f t="shared" si="853"/>
        <v>BLDG 2187 SUITE 2240-G9</v>
      </c>
      <c r="D2042" t="str">
        <f t="shared" si="842"/>
        <v>PATUXENT RIVER</v>
      </c>
      <c r="E2042" t="str">
        <f t="shared" si="849"/>
        <v>MD</v>
      </c>
      <c r="F2042" t="str">
        <f t="shared" si="852"/>
        <v>206701906</v>
      </c>
      <c r="G2042" t="str">
        <f>T("48110 SHAW ROAD")</f>
        <v>48110 SHAW ROAD</v>
      </c>
      <c r="H2042" t="str">
        <f>T("BLDG 2187 1280-A5")</f>
        <v>BLDG 2187 1280-A5</v>
      </c>
      <c r="I2042" t="str">
        <f t="shared" si="843"/>
        <v>PATUXENT RIVER</v>
      </c>
      <c r="J2042" t="str">
        <f t="shared" si="850"/>
        <v>MD</v>
      </c>
      <c r="K2042" t="str">
        <f t="shared" ref="K2042:K2047" si="854">T("000000000000000000")</f>
        <v>000000000000000000</v>
      </c>
      <c r="L2042" t="str">
        <f>T("3017570413")</f>
        <v>3017570413</v>
      </c>
    </row>
    <row r="2043" spans="1:12" x14ac:dyDescent="0.35">
      <c r="A2043" t="str">
        <f t="shared" si="845"/>
        <v>NAWCAD PAX RIVER</v>
      </c>
      <c r="B2043" t="str">
        <f t="shared" si="851"/>
        <v>48110 SHAW RD</v>
      </c>
      <c r="C2043" t="str">
        <f t="shared" si="853"/>
        <v>BLDG 2187 SUITE 2240-G9</v>
      </c>
      <c r="D2043" t="str">
        <f t="shared" si="842"/>
        <v>PATUXENT RIVER</v>
      </c>
      <c r="E2043" t="str">
        <f t="shared" si="849"/>
        <v>MD</v>
      </c>
      <c r="F2043" t="str">
        <f t="shared" si="852"/>
        <v>206701906</v>
      </c>
      <c r="G2043" t="str">
        <f>T("48110 SHAW ROAD")</f>
        <v>48110 SHAW ROAD</v>
      </c>
      <c r="H2043" t="str">
        <f>T("BLDG 2187 LAB 1B14 UNIT 5")</f>
        <v>BLDG 2187 LAB 1B14 UNIT 5</v>
      </c>
      <c r="I2043" t="str">
        <f t="shared" si="843"/>
        <v>PATUXENT RIVER</v>
      </c>
      <c r="J2043" t="str">
        <f t="shared" si="850"/>
        <v>MD</v>
      </c>
      <c r="K2043" t="str">
        <f t="shared" si="854"/>
        <v>000000000000000000</v>
      </c>
      <c r="L2043" t="str">
        <f>T("3013428666")</f>
        <v>3013428666</v>
      </c>
    </row>
    <row r="2044" spans="1:12" x14ac:dyDescent="0.35">
      <c r="A2044" t="str">
        <f t="shared" si="845"/>
        <v>NAWCAD PAX RIVER</v>
      </c>
      <c r="B2044" t="str">
        <f t="shared" si="851"/>
        <v>48110 SHAW RD</v>
      </c>
      <c r="C2044" t="str">
        <f t="shared" si="853"/>
        <v>BLDG 2187 SUITE 2240-G9</v>
      </c>
      <c r="D2044" t="str">
        <f t="shared" si="842"/>
        <v>PATUXENT RIVER</v>
      </c>
      <c r="E2044" t="str">
        <f t="shared" si="849"/>
        <v>MD</v>
      </c>
      <c r="F2044" t="str">
        <f t="shared" si="852"/>
        <v>206701906</v>
      </c>
      <c r="G2044" t="str">
        <f>T("48110 SHAW ROAD")</f>
        <v>48110 SHAW ROAD</v>
      </c>
      <c r="H2044" t="str">
        <f>T("BLDG 2187 ROOM 2203")</f>
        <v>BLDG 2187 ROOM 2203</v>
      </c>
      <c r="I2044" t="str">
        <f t="shared" si="843"/>
        <v>PATUXENT RIVER</v>
      </c>
      <c r="J2044" t="str">
        <f t="shared" si="850"/>
        <v>MD</v>
      </c>
      <c r="K2044" t="str">
        <f t="shared" si="854"/>
        <v>000000000000000000</v>
      </c>
      <c r="L2044" t="str">
        <f>T("3013429196")</f>
        <v>3013429196</v>
      </c>
    </row>
    <row r="2045" spans="1:12" x14ac:dyDescent="0.35">
      <c r="A2045" t="str">
        <f t="shared" si="845"/>
        <v>NAWCAD PAX RIVER</v>
      </c>
      <c r="B2045" t="str">
        <f t="shared" si="851"/>
        <v>48110 SHAW RD</v>
      </c>
      <c r="C2045" t="str">
        <f t="shared" si="853"/>
        <v>BLDG 2187 SUITE 2240-G9</v>
      </c>
      <c r="D2045" t="str">
        <f t="shared" si="842"/>
        <v>PATUXENT RIVER</v>
      </c>
      <c r="E2045" t="str">
        <f t="shared" si="849"/>
        <v>MD</v>
      </c>
      <c r="F2045" t="str">
        <f t="shared" si="852"/>
        <v>206701906</v>
      </c>
      <c r="G2045" t="str">
        <f>T("48110 SHAW ROAD")</f>
        <v>48110 SHAW ROAD</v>
      </c>
      <c r="H2045" t="str">
        <f>T("BLDG 2187 ROOM 2280 D4")</f>
        <v>BLDG 2187 ROOM 2280 D4</v>
      </c>
      <c r="I2045" t="str">
        <f t="shared" si="843"/>
        <v>PATUXENT RIVER</v>
      </c>
      <c r="J2045" t="str">
        <f t="shared" si="850"/>
        <v>MD</v>
      </c>
      <c r="K2045" t="str">
        <f t="shared" si="854"/>
        <v>000000000000000000</v>
      </c>
      <c r="L2045" t="str">
        <f>T("3013426324")</f>
        <v>3013426324</v>
      </c>
    </row>
    <row r="2046" spans="1:12" x14ac:dyDescent="0.35">
      <c r="A2046" t="str">
        <f t="shared" si="845"/>
        <v>NAWCAD PAX RIVER</v>
      </c>
      <c r="B2046" t="str">
        <f t="shared" si="851"/>
        <v>48110 SHAW RD</v>
      </c>
      <c r="C2046" t="str">
        <f t="shared" si="853"/>
        <v>BLDG 2187 SUITE 2240-G9</v>
      </c>
      <c r="D2046" t="str">
        <f t="shared" si="842"/>
        <v>PATUXENT RIVER</v>
      </c>
      <c r="E2046" t="str">
        <f t="shared" si="849"/>
        <v>MD</v>
      </c>
      <c r="F2046" t="str">
        <f t="shared" si="852"/>
        <v>206701906</v>
      </c>
      <c r="G2046" t="str">
        <f>T("48110 SHAW ROAD")</f>
        <v>48110 SHAW ROAD</v>
      </c>
      <c r="H2046" t="str">
        <f>T("BLDG 2187 SUITE 1240-E7")</f>
        <v>BLDG 2187 SUITE 1240-E7</v>
      </c>
      <c r="I2046" t="str">
        <f t="shared" si="843"/>
        <v>PATUXENT RIVER</v>
      </c>
      <c r="J2046" t="str">
        <f t="shared" si="850"/>
        <v>MD</v>
      </c>
      <c r="K2046" t="str">
        <f t="shared" si="854"/>
        <v>000000000000000000</v>
      </c>
      <c r="L2046" t="str">
        <f>T("3013428423")</f>
        <v>3013428423</v>
      </c>
    </row>
    <row r="2047" spans="1:12" x14ac:dyDescent="0.35">
      <c r="A2047" t="str">
        <f t="shared" si="845"/>
        <v>NAWCAD PAX RIVER</v>
      </c>
      <c r="B2047" t="str">
        <f t="shared" si="851"/>
        <v>48110 SHAW RD</v>
      </c>
      <c r="C2047" t="str">
        <f>T("ROOM 2187")</f>
        <v>ROOM 2187</v>
      </c>
      <c r="D2047" t="str">
        <f t="shared" si="842"/>
        <v>PATUXENT RIVER</v>
      </c>
      <c r="E2047" t="str">
        <f t="shared" si="849"/>
        <v>MD</v>
      </c>
      <c r="F2047" t="str">
        <f t="shared" si="852"/>
        <v>206701906</v>
      </c>
      <c r="G2047" t="str">
        <f>T("48110 SHAW RD")</f>
        <v>48110 SHAW RD</v>
      </c>
      <c r="H2047" t="str">
        <f>T("BLDG 2187 STE 2190-F4 UNIT 5")</f>
        <v>BLDG 2187 STE 2190-F4 UNIT 5</v>
      </c>
      <c r="I2047" t="str">
        <f t="shared" si="843"/>
        <v>PATUXENT RIVER</v>
      </c>
      <c r="J2047" t="str">
        <f t="shared" si="850"/>
        <v>MD</v>
      </c>
      <c r="K2047" t="str">
        <f t="shared" si="854"/>
        <v>000000000000000000</v>
      </c>
      <c r="L2047" t="str">
        <f>T("3017577359")</f>
        <v>3017577359</v>
      </c>
    </row>
    <row r="2048" spans="1:12" x14ac:dyDescent="0.35">
      <c r="A2048" t="str">
        <f t="shared" si="845"/>
        <v>NAWCAD PAX RIVER</v>
      </c>
      <c r="B2048" t="str">
        <f t="shared" si="851"/>
        <v>48110 SHAW RD</v>
      </c>
      <c r="C2048" t="str">
        <f>T("ROOM 2187")</f>
        <v>ROOM 2187</v>
      </c>
      <c r="D2048" t="str">
        <f t="shared" si="842"/>
        <v>PATUXENT RIVER</v>
      </c>
      <c r="E2048" t="str">
        <f t="shared" si="849"/>
        <v>MD</v>
      </c>
      <c r="F2048" t="str">
        <f t="shared" si="852"/>
        <v>206701906</v>
      </c>
      <c r="G2048" t="str">
        <f>T("48110 SHAW RD")</f>
        <v>48110 SHAW RD</v>
      </c>
      <c r="H2048" t="str">
        <f>T("ROOM 2187")</f>
        <v>ROOM 2187</v>
      </c>
      <c r="I2048" t="str">
        <f t="shared" si="843"/>
        <v>PATUXENT RIVER</v>
      </c>
      <c r="J2048" t="str">
        <f t="shared" si="850"/>
        <v>MD</v>
      </c>
      <c r="K2048" t="str">
        <f>T("")</f>
        <v/>
      </c>
      <c r="L2048" t="str">
        <f>T("3013420139")</f>
        <v>3013420139</v>
      </c>
    </row>
    <row r="2049" spans="1:12" x14ac:dyDescent="0.35">
      <c r="A2049" t="str">
        <f t="shared" si="845"/>
        <v>NAWCAD PAX RIVER</v>
      </c>
      <c r="B2049" t="str">
        <f t="shared" si="851"/>
        <v>48110 SHAW RD</v>
      </c>
      <c r="C2049" t="str">
        <f>T("ROOM 2187")</f>
        <v>ROOM 2187</v>
      </c>
      <c r="D2049" t="str">
        <f t="shared" si="842"/>
        <v>PATUXENT RIVER</v>
      </c>
      <c r="E2049" t="str">
        <f t="shared" si="849"/>
        <v>MD</v>
      </c>
      <c r="F2049" t="str">
        <f t="shared" si="852"/>
        <v>206701906</v>
      </c>
      <c r="G2049" t="str">
        <f>T("48110 SHAW ROAD")</f>
        <v>48110 SHAW ROAD</v>
      </c>
      <c r="H2049" t="str">
        <f>T("BLDG 2187 SUITE 1180")</f>
        <v>BLDG 2187 SUITE 1180</v>
      </c>
      <c r="I2049" t="str">
        <f t="shared" si="843"/>
        <v>PATUXENT RIVER</v>
      </c>
      <c r="J2049" t="str">
        <f t="shared" si="850"/>
        <v>MD</v>
      </c>
      <c r="K2049" t="str">
        <f t="shared" ref="K2049:K2056" si="855">T("000000000000000000")</f>
        <v>000000000000000000</v>
      </c>
      <c r="L2049" t="str">
        <f>T("3019952043")</f>
        <v>3019952043</v>
      </c>
    </row>
    <row r="2050" spans="1:12" x14ac:dyDescent="0.35">
      <c r="A2050" t="str">
        <f t="shared" si="845"/>
        <v>NAWCAD PAX RIVER</v>
      </c>
      <c r="B2050" t="str">
        <f t="shared" si="851"/>
        <v>48110 SHAW RD</v>
      </c>
      <c r="C2050" t="str">
        <f>T("ROOM 2187")</f>
        <v>ROOM 2187</v>
      </c>
      <c r="D2050" t="str">
        <f t="shared" si="842"/>
        <v>PATUXENT RIVER</v>
      </c>
      <c r="E2050" t="str">
        <f t="shared" si="849"/>
        <v>MD</v>
      </c>
      <c r="F2050" t="str">
        <f t="shared" si="852"/>
        <v>206701906</v>
      </c>
      <c r="G2050" t="str">
        <f>T("48150 SHAW RD # S218")</f>
        <v>48150 SHAW RD # S218</v>
      </c>
      <c r="H2050" t="str">
        <f>T("")</f>
        <v/>
      </c>
      <c r="I2050" t="str">
        <f t="shared" si="843"/>
        <v>PATUXENT RIVER</v>
      </c>
      <c r="J2050" t="str">
        <f t="shared" si="850"/>
        <v>MD</v>
      </c>
      <c r="K2050" t="str">
        <f t="shared" si="855"/>
        <v>000000000000000000</v>
      </c>
      <c r="L2050" t="str">
        <f>T("3013426330")</f>
        <v>3013426330</v>
      </c>
    </row>
    <row r="2051" spans="1:12" x14ac:dyDescent="0.35">
      <c r="A2051" t="str">
        <f t="shared" si="845"/>
        <v>NAWCAD PAX RIVER</v>
      </c>
      <c r="B2051" t="str">
        <f t="shared" ref="B2051:B2061" si="856">T("48110 SHAW ROAD")</f>
        <v>48110 SHAW ROAD</v>
      </c>
      <c r="C2051" t="str">
        <f>T("BLDG 2187")</f>
        <v>BLDG 2187</v>
      </c>
      <c r="D2051" t="str">
        <f>T("PATUXENT RIV")</f>
        <v>PATUXENT RIV</v>
      </c>
      <c r="E2051" t="str">
        <f t="shared" si="849"/>
        <v>MD</v>
      </c>
      <c r="F2051" t="str">
        <f t="shared" si="852"/>
        <v>206701906</v>
      </c>
      <c r="G2051" t="str">
        <f t="shared" ref="G2051:G2058" si="857">T("48110 SHAW ROAD")</f>
        <v>48110 SHAW ROAD</v>
      </c>
      <c r="H2051" t="str">
        <f>T("BLDG 2187")</f>
        <v>BLDG 2187</v>
      </c>
      <c r="I2051" t="str">
        <f>T("PATUXENT RIV")</f>
        <v>PATUXENT RIV</v>
      </c>
      <c r="J2051" t="str">
        <f t="shared" si="850"/>
        <v>MD</v>
      </c>
      <c r="K2051" t="str">
        <f t="shared" si="855"/>
        <v>000000000000000000</v>
      </c>
      <c r="L2051" t="str">
        <f>T("3013429136")</f>
        <v>3013429136</v>
      </c>
    </row>
    <row r="2052" spans="1:12" x14ac:dyDescent="0.35">
      <c r="A2052" t="str">
        <f t="shared" si="845"/>
        <v>NAWCAD PAX RIVER</v>
      </c>
      <c r="B2052" t="str">
        <f t="shared" si="856"/>
        <v>48110 SHAW ROAD</v>
      </c>
      <c r="C2052" t="str">
        <f>T("BLDG 2187")</f>
        <v>BLDG 2187</v>
      </c>
      <c r="D2052" t="str">
        <f>T("PATUXENT RIV")</f>
        <v>PATUXENT RIV</v>
      </c>
      <c r="E2052" t="str">
        <f t="shared" si="849"/>
        <v>MD</v>
      </c>
      <c r="F2052" t="str">
        <f t="shared" si="852"/>
        <v>206701906</v>
      </c>
      <c r="G2052" t="str">
        <f t="shared" si="857"/>
        <v>48110 SHAW ROAD</v>
      </c>
      <c r="H2052" t="str">
        <f>T("BLDG 2187 SUITE 2140-A3")</f>
        <v>BLDG 2187 SUITE 2140-A3</v>
      </c>
      <c r="I2052" t="str">
        <f t="shared" ref="I2052:I2061" si="858">T("PATUXENT RIVER")</f>
        <v>PATUXENT RIVER</v>
      </c>
      <c r="J2052" t="str">
        <f t="shared" si="850"/>
        <v>MD</v>
      </c>
      <c r="K2052" t="str">
        <f t="shared" si="855"/>
        <v>000000000000000000</v>
      </c>
      <c r="L2052" t="str">
        <f>T("3013429132")</f>
        <v>3013429132</v>
      </c>
    </row>
    <row r="2053" spans="1:12" x14ac:dyDescent="0.35">
      <c r="A2053" t="str">
        <f t="shared" si="845"/>
        <v>NAWCAD PAX RIVER</v>
      </c>
      <c r="B2053" t="str">
        <f t="shared" si="856"/>
        <v>48110 SHAW ROAD</v>
      </c>
      <c r="C2053" t="str">
        <f>T("BLDG 2187 RM 3159")</f>
        <v>BLDG 2187 RM 3159</v>
      </c>
      <c r="D2053" t="str">
        <f t="shared" ref="D2053:D2061" si="859">T("PATUXENT RIVER")</f>
        <v>PATUXENT RIVER</v>
      </c>
      <c r="E2053" t="str">
        <f t="shared" si="849"/>
        <v>MD</v>
      </c>
      <c r="F2053" t="str">
        <f t="shared" si="852"/>
        <v>206701906</v>
      </c>
      <c r="G2053" t="str">
        <f t="shared" si="857"/>
        <v>48110 SHAW ROAD</v>
      </c>
      <c r="H2053" t="str">
        <f>T("BLDG 2187 RM 3159")</f>
        <v>BLDG 2187 RM 3159</v>
      </c>
      <c r="I2053" t="str">
        <f t="shared" si="858"/>
        <v>PATUXENT RIVER</v>
      </c>
      <c r="J2053" t="str">
        <f t="shared" si="850"/>
        <v>MD</v>
      </c>
      <c r="K2053" t="str">
        <f t="shared" si="855"/>
        <v>000000000000000000</v>
      </c>
      <c r="L2053" t="str">
        <f>T("3013422348")</f>
        <v>3013422348</v>
      </c>
    </row>
    <row r="2054" spans="1:12" x14ac:dyDescent="0.35">
      <c r="A2054" t="str">
        <f t="shared" si="845"/>
        <v>NAWCAD PAX RIVER</v>
      </c>
      <c r="B2054" t="str">
        <f t="shared" si="856"/>
        <v>48110 SHAW ROAD</v>
      </c>
      <c r="C2054" t="str">
        <f>T("BLDG 2187 SUITE 3190-F1")</f>
        <v>BLDG 2187 SUITE 3190-F1</v>
      </c>
      <c r="D2054" t="str">
        <f t="shared" si="859"/>
        <v>PATUXENT RIVER</v>
      </c>
      <c r="E2054" t="str">
        <f t="shared" si="849"/>
        <v>MD</v>
      </c>
      <c r="F2054" t="str">
        <f t="shared" si="852"/>
        <v>206701906</v>
      </c>
      <c r="G2054" t="str">
        <f t="shared" si="857"/>
        <v>48110 SHAW ROAD</v>
      </c>
      <c r="H2054" t="str">
        <f>T("BLDG 2187")</f>
        <v>BLDG 2187</v>
      </c>
      <c r="I2054" t="str">
        <f t="shared" si="858"/>
        <v>PATUXENT RIVER</v>
      </c>
      <c r="J2054" t="str">
        <f t="shared" si="850"/>
        <v>MD</v>
      </c>
      <c r="K2054" t="str">
        <f t="shared" si="855"/>
        <v>000000000000000000</v>
      </c>
      <c r="L2054" t="str">
        <f>T("3013422023")</f>
        <v>3013422023</v>
      </c>
    </row>
    <row r="2055" spans="1:12" x14ac:dyDescent="0.35">
      <c r="A2055" t="str">
        <f t="shared" si="845"/>
        <v>NAWCAD PAX RIVER</v>
      </c>
      <c r="B2055" t="str">
        <f t="shared" si="856"/>
        <v>48110 SHAW ROAD</v>
      </c>
      <c r="C2055" t="str">
        <f>T("BLDG 2187 SUITE 3190-F1")</f>
        <v>BLDG 2187 SUITE 3190-F1</v>
      </c>
      <c r="D2055" t="str">
        <f t="shared" si="859"/>
        <v>PATUXENT RIVER</v>
      </c>
      <c r="E2055" t="str">
        <f t="shared" si="849"/>
        <v>MD</v>
      </c>
      <c r="F2055" t="str">
        <f t="shared" si="852"/>
        <v>206701906</v>
      </c>
      <c r="G2055" t="str">
        <f t="shared" si="857"/>
        <v>48110 SHAW ROAD</v>
      </c>
      <c r="H2055" t="str">
        <f>T("BLDG 2187 ROOM 3190 E1")</f>
        <v>BLDG 2187 ROOM 3190 E1</v>
      </c>
      <c r="I2055" t="str">
        <f t="shared" si="858"/>
        <v>PATUXENT RIVER</v>
      </c>
      <c r="J2055" t="str">
        <f t="shared" si="850"/>
        <v>MD</v>
      </c>
      <c r="K2055" t="str">
        <f t="shared" si="855"/>
        <v>000000000000000000</v>
      </c>
      <c r="L2055" t="str">
        <f>T("3013426091")</f>
        <v>3013426091</v>
      </c>
    </row>
    <row r="2056" spans="1:12" x14ac:dyDescent="0.35">
      <c r="A2056" t="str">
        <f t="shared" si="845"/>
        <v>NAWCAD PAX RIVER</v>
      </c>
      <c r="B2056" t="str">
        <f t="shared" si="856"/>
        <v>48110 SHAW ROAD</v>
      </c>
      <c r="C2056" t="str">
        <f>T("BLDG 2187 SUITE 3190-F1")</f>
        <v>BLDG 2187 SUITE 3190-F1</v>
      </c>
      <c r="D2056" t="str">
        <f t="shared" si="859"/>
        <v>PATUXENT RIVER</v>
      </c>
      <c r="E2056" t="str">
        <f t="shared" si="849"/>
        <v>MD</v>
      </c>
      <c r="F2056" t="str">
        <f t="shared" si="852"/>
        <v>206701906</v>
      </c>
      <c r="G2056" t="str">
        <f t="shared" si="857"/>
        <v>48110 SHAW ROAD</v>
      </c>
      <c r="H2056" t="str">
        <f>T("BLDG 2187 SUITE 3190-A3")</f>
        <v>BLDG 2187 SUITE 3190-A3</v>
      </c>
      <c r="I2056" t="str">
        <f t="shared" si="858"/>
        <v>PATUXENT RIVER</v>
      </c>
      <c r="J2056" t="str">
        <f t="shared" si="850"/>
        <v>MD</v>
      </c>
      <c r="K2056" t="str">
        <f t="shared" si="855"/>
        <v>000000000000000000</v>
      </c>
      <c r="L2056" t="str">
        <f>T("3013429106")</f>
        <v>3013429106</v>
      </c>
    </row>
    <row r="2057" spans="1:12" x14ac:dyDescent="0.35">
      <c r="A2057" t="str">
        <f t="shared" ref="A2057:A2077" si="860">T("NAWCAD PAX RIVER")</f>
        <v>NAWCAD PAX RIVER</v>
      </c>
      <c r="B2057" t="str">
        <f t="shared" si="856"/>
        <v>48110 SHAW ROAD</v>
      </c>
      <c r="C2057" t="str">
        <f>T("BLDG 2187 SUITE 3190-F1")</f>
        <v>BLDG 2187 SUITE 3190-F1</v>
      </c>
      <c r="D2057" t="str">
        <f t="shared" si="859"/>
        <v>PATUXENT RIVER</v>
      </c>
      <c r="E2057" t="str">
        <f t="shared" si="849"/>
        <v>MD</v>
      </c>
      <c r="F2057" t="str">
        <f t="shared" si="852"/>
        <v>206701906</v>
      </c>
      <c r="G2057" t="str">
        <f t="shared" si="857"/>
        <v>48110 SHAW ROAD</v>
      </c>
      <c r="H2057" t="str">
        <f>T("BLDG 2187 SUITE 3190-F1")</f>
        <v>BLDG 2187 SUITE 3190-F1</v>
      </c>
      <c r="I2057" t="str">
        <f t="shared" si="858"/>
        <v>PATUXENT RIVER</v>
      </c>
      <c r="J2057" t="str">
        <f t="shared" si="850"/>
        <v>MD</v>
      </c>
      <c r="K2057" t="str">
        <f>T("")</f>
        <v/>
      </c>
      <c r="L2057" t="str">
        <f>T("3017576698")</f>
        <v>3017576698</v>
      </c>
    </row>
    <row r="2058" spans="1:12" x14ac:dyDescent="0.35">
      <c r="A2058" t="str">
        <f t="shared" si="860"/>
        <v>NAWCAD PAX RIVER</v>
      </c>
      <c r="B2058" t="str">
        <f t="shared" si="856"/>
        <v>48110 SHAW ROAD</v>
      </c>
      <c r="C2058" t="str">
        <f>T("BLDG 2187 SUITE 3190-F1")</f>
        <v>BLDG 2187 SUITE 3190-F1</v>
      </c>
      <c r="D2058" t="str">
        <f t="shared" si="859"/>
        <v>PATUXENT RIVER</v>
      </c>
      <c r="E2058" t="str">
        <f t="shared" si="849"/>
        <v>MD</v>
      </c>
      <c r="F2058" t="str">
        <f t="shared" si="852"/>
        <v>206701906</v>
      </c>
      <c r="G2058" t="str">
        <f t="shared" si="857"/>
        <v>48110 SHAW ROAD</v>
      </c>
      <c r="H2058" t="str">
        <f>T("BLDG 2187 SUITE 3190A1 UNIT 5")</f>
        <v>BLDG 2187 SUITE 3190A1 UNIT 5</v>
      </c>
      <c r="I2058" t="str">
        <f t="shared" si="858"/>
        <v>PATUXENT RIVER</v>
      </c>
      <c r="J2058" t="str">
        <f t="shared" si="850"/>
        <v>MD</v>
      </c>
      <c r="K2058" t="str">
        <f>T("000000000000000000")</f>
        <v>000000000000000000</v>
      </c>
      <c r="L2058" t="str">
        <f>T("3013424177")</f>
        <v>3013424177</v>
      </c>
    </row>
    <row r="2059" spans="1:12" x14ac:dyDescent="0.35">
      <c r="A2059" t="str">
        <f t="shared" si="860"/>
        <v>NAWCAD PAX RIVER</v>
      </c>
      <c r="B2059" t="str">
        <f t="shared" si="856"/>
        <v>48110 SHAW ROAD</v>
      </c>
      <c r="C2059" t="str">
        <f>T("BLDG 2187 SUITE 3340")</f>
        <v>BLDG 2187 SUITE 3340</v>
      </c>
      <c r="D2059" t="str">
        <f t="shared" si="859"/>
        <v>PATUXENT RIVER</v>
      </c>
      <c r="E2059" t="str">
        <f t="shared" si="849"/>
        <v>MD</v>
      </c>
      <c r="F2059" t="str">
        <f t="shared" si="852"/>
        <v>206701906</v>
      </c>
      <c r="G2059" t="str">
        <f>T("48110 SHAW RD")</f>
        <v>48110 SHAW RD</v>
      </c>
      <c r="H2059" t="str">
        <f>T("BLDG 2187 RM 2A77-3")</f>
        <v>BLDG 2187 RM 2A77-3</v>
      </c>
      <c r="I2059" t="str">
        <f t="shared" si="858"/>
        <v>PATUXENT RIVER</v>
      </c>
      <c r="J2059" t="str">
        <f t="shared" si="850"/>
        <v>MD</v>
      </c>
      <c r="K2059" t="str">
        <f>T("000000000000000000")</f>
        <v>000000000000000000</v>
      </c>
      <c r="L2059" t="str">
        <f>T("3013428111")</f>
        <v>3013428111</v>
      </c>
    </row>
    <row r="2060" spans="1:12" x14ac:dyDescent="0.35">
      <c r="A2060" t="str">
        <f t="shared" si="860"/>
        <v>NAWCAD PAX RIVER</v>
      </c>
      <c r="B2060" t="str">
        <f t="shared" si="856"/>
        <v>48110 SHAW ROAD</v>
      </c>
      <c r="C2060" t="str">
        <f>T("BLDG 2187 SUITE 3340")</f>
        <v>BLDG 2187 SUITE 3340</v>
      </c>
      <c r="D2060" t="str">
        <f t="shared" si="859"/>
        <v>PATUXENT RIVER</v>
      </c>
      <c r="E2060" t="str">
        <f t="shared" si="849"/>
        <v>MD</v>
      </c>
      <c r="F2060" t="str">
        <f t="shared" si="852"/>
        <v>206701906</v>
      </c>
      <c r="G2060" t="str">
        <f>T("48110 SHAW ROAD")</f>
        <v>48110 SHAW ROAD</v>
      </c>
      <c r="H2060" t="str">
        <f>T("BLDG 2187 ROOM 3340 SUITE C3")</f>
        <v>BLDG 2187 ROOM 3340 SUITE C3</v>
      </c>
      <c r="I2060" t="str">
        <f t="shared" si="858"/>
        <v>PATUXENT RIVER</v>
      </c>
      <c r="J2060" t="str">
        <f t="shared" si="850"/>
        <v>MD</v>
      </c>
      <c r="K2060" t="str">
        <f>T("000000000000000000")</f>
        <v>000000000000000000</v>
      </c>
      <c r="L2060" t="str">
        <f>T("3017573754")</f>
        <v>3017573754</v>
      </c>
    </row>
    <row r="2061" spans="1:12" x14ac:dyDescent="0.35">
      <c r="A2061" t="str">
        <f t="shared" si="860"/>
        <v>NAWCAD PAX RIVER</v>
      </c>
      <c r="B2061" t="str">
        <f t="shared" si="856"/>
        <v>48110 SHAW ROAD</v>
      </c>
      <c r="C2061" t="str">
        <f>T("BLDG 2187 SUITE 3340")</f>
        <v>BLDG 2187 SUITE 3340</v>
      </c>
      <c r="D2061" t="str">
        <f t="shared" si="859"/>
        <v>PATUXENT RIVER</v>
      </c>
      <c r="E2061" t="str">
        <f t="shared" si="849"/>
        <v>MD</v>
      </c>
      <c r="F2061" t="str">
        <f t="shared" si="852"/>
        <v>206701906</v>
      </c>
      <c r="G2061" t="str">
        <f>T("48110 SHAW ROAD")</f>
        <v>48110 SHAW ROAD</v>
      </c>
      <c r="H2061" t="str">
        <f>T("BLDG 2187 SUITE 3340")</f>
        <v>BLDG 2187 SUITE 3340</v>
      </c>
      <c r="I2061" t="str">
        <f t="shared" si="858"/>
        <v>PATUXENT RIVER</v>
      </c>
      <c r="J2061" t="str">
        <f t="shared" si="850"/>
        <v>MD</v>
      </c>
      <c r="K2061" t="str">
        <f>T("")</f>
        <v/>
      </c>
      <c r="L2061" t="str">
        <f>T("3013428510")</f>
        <v>3013428510</v>
      </c>
    </row>
    <row r="2062" spans="1:12" x14ac:dyDescent="0.35">
      <c r="A2062" t="str">
        <f t="shared" si="860"/>
        <v>NAWCAD PAX RIVER</v>
      </c>
      <c r="B2062" t="str">
        <f>T("48150 SHAW ROAD")</f>
        <v>48150 SHAW ROAD</v>
      </c>
      <c r="C2062" t="str">
        <f>T("BLDG 2109 RM N122")</f>
        <v>BLDG 2109 RM N122</v>
      </c>
      <c r="D2062" t="str">
        <f>T("PATUXENT RVR")</f>
        <v>PATUXENT RVR</v>
      </c>
      <c r="E2062" t="str">
        <f t="shared" ref="E2062:E2071" si="861">T("MD")</f>
        <v>MD</v>
      </c>
      <c r="F2062" t="str">
        <f>T("206701907")</f>
        <v>206701907</v>
      </c>
      <c r="G2062" t="str">
        <f>T("48150 SHAW ROAD")</f>
        <v>48150 SHAW ROAD</v>
      </c>
      <c r="H2062" t="str">
        <f>T("BLDG 2109 RM N122")</f>
        <v>BLDG 2109 RM N122</v>
      </c>
      <c r="I2062" t="str">
        <f>T("PATUXENT RVR")</f>
        <v>PATUXENT RVR</v>
      </c>
      <c r="J2062" t="str">
        <f t="shared" ref="J2062:J2071" si="862">T("MD")</f>
        <v>MD</v>
      </c>
      <c r="K2062" t="str">
        <f>T("000000000000000000")</f>
        <v>000000000000000000</v>
      </c>
      <c r="L2062" t="str">
        <f>T("3013421277")</f>
        <v>3013421277</v>
      </c>
    </row>
    <row r="2063" spans="1:12" x14ac:dyDescent="0.35">
      <c r="A2063" t="str">
        <f t="shared" si="860"/>
        <v>NAWCAD PAX RIVER</v>
      </c>
      <c r="B2063" t="str">
        <f>T("48150 SHAW ROAD")</f>
        <v>48150 SHAW ROAD</v>
      </c>
      <c r="C2063" t="str">
        <f>T("BLDG 2109 RM N122")</f>
        <v>BLDG 2109 RM N122</v>
      </c>
      <c r="D2063" t="str">
        <f>T("PATUXENT RVR")</f>
        <v>PATUXENT RVR</v>
      </c>
      <c r="E2063" t="str">
        <f t="shared" si="861"/>
        <v>MD</v>
      </c>
      <c r="F2063" t="str">
        <f>T("206701907")</f>
        <v>206701907</v>
      </c>
      <c r="G2063" t="str">
        <f>T("48150 SHAW ROAD")</f>
        <v>48150 SHAW ROAD</v>
      </c>
      <c r="H2063" t="str">
        <f>T("BLDG 2109 ROOM N122")</f>
        <v>BLDG 2109 ROOM N122</v>
      </c>
      <c r="I2063" t="str">
        <f>T("PATUXENT RIVER")</f>
        <v>PATUXENT RIVER</v>
      </c>
      <c r="J2063" t="str">
        <f t="shared" si="862"/>
        <v>MD</v>
      </c>
      <c r="K2063" t="str">
        <f>T("000000000000000000")</f>
        <v>000000000000000000</v>
      </c>
      <c r="L2063" t="str">
        <f>T("3017576657")</f>
        <v>3017576657</v>
      </c>
    </row>
    <row r="2064" spans="1:12" x14ac:dyDescent="0.35">
      <c r="A2064" t="str">
        <f t="shared" si="860"/>
        <v>NAWCAD PAX RIVER</v>
      </c>
      <c r="B2064" t="str">
        <f>T("48183 SWITZER ROAD")</f>
        <v>48183 SWITZER ROAD</v>
      </c>
      <c r="C2064" t="str">
        <f>T("BLDG 2035 SUITE 205")</f>
        <v>BLDG 2035 SUITE 205</v>
      </c>
      <c r="D2064" t="str">
        <f>T("PATUXENT RIVER")</f>
        <v>PATUXENT RIVER</v>
      </c>
      <c r="E2064" t="str">
        <f t="shared" si="861"/>
        <v>MD</v>
      </c>
      <c r="F2064" t="str">
        <f>T("206700000")</f>
        <v>206700000</v>
      </c>
      <c r="G2064" t="str">
        <f>T("48183 SWITZER ROAD")</f>
        <v>48183 SWITZER ROAD</v>
      </c>
      <c r="H2064" t="str">
        <f>T("BLDG 2035")</f>
        <v>BLDG 2035</v>
      </c>
      <c r="I2064" t="str">
        <f>T("PATUXENT RIVER")</f>
        <v>PATUXENT RIVER</v>
      </c>
      <c r="J2064" t="str">
        <f t="shared" si="862"/>
        <v>MD</v>
      </c>
      <c r="K2064" t="str">
        <f>T("000000000000000000")</f>
        <v>000000000000000000</v>
      </c>
      <c r="L2064" t="str">
        <f>T("3017570777")</f>
        <v>3017570777</v>
      </c>
    </row>
    <row r="2065" spans="1:12" x14ac:dyDescent="0.35">
      <c r="A2065" t="str">
        <f t="shared" si="860"/>
        <v>NAWCAD PAX RIVER</v>
      </c>
      <c r="B2065" t="str">
        <f>T("48183 SWITZER ROAD")</f>
        <v>48183 SWITZER ROAD</v>
      </c>
      <c r="C2065" t="str">
        <f>T("BLDG 2035 SUITE 205")</f>
        <v>BLDG 2035 SUITE 205</v>
      </c>
      <c r="D2065" t="str">
        <f>T("PATUXENT RIVER")</f>
        <v>PATUXENT RIVER</v>
      </c>
      <c r="E2065" t="str">
        <f t="shared" si="861"/>
        <v>MD</v>
      </c>
      <c r="F2065" t="str">
        <f>T("206700000")</f>
        <v>206700000</v>
      </c>
      <c r="G2065" t="str">
        <f>T("48183 SWITZER ROAD")</f>
        <v>48183 SWITZER ROAD</v>
      </c>
      <c r="H2065" t="str">
        <f>T("BLDG 2035 SUITE 205")</f>
        <v>BLDG 2035 SUITE 205</v>
      </c>
      <c r="I2065" t="str">
        <f>T("PATUXENT RIVER")</f>
        <v>PATUXENT RIVER</v>
      </c>
      <c r="J2065" t="str">
        <f t="shared" si="862"/>
        <v>MD</v>
      </c>
      <c r="K2065" t="str">
        <f>T("000000000000000000")</f>
        <v>000000000000000000</v>
      </c>
      <c r="L2065" t="str">
        <f>T("3019952434")</f>
        <v>3019952434</v>
      </c>
    </row>
    <row r="2066" spans="1:12" x14ac:dyDescent="0.35">
      <c r="A2066" t="str">
        <f t="shared" si="860"/>
        <v>NAWCAD PAX RIVER</v>
      </c>
      <c r="B2066" t="str">
        <f>T("48202 STANLEY ROAD UNIT 5")</f>
        <v>48202 STANLEY ROAD UNIT 5</v>
      </c>
      <c r="C2066" t="str">
        <f>T("BLDG 144 ROOM 119")</f>
        <v>BLDG 144 ROOM 119</v>
      </c>
      <c r="D2066" t="str">
        <f>T("PATUXENT RIV")</f>
        <v>PATUXENT RIV</v>
      </c>
      <c r="E2066" t="str">
        <f t="shared" si="861"/>
        <v>MD</v>
      </c>
      <c r="F2066" t="str">
        <f>T("206701910")</f>
        <v>206701910</v>
      </c>
      <c r="G2066" t="str">
        <f>T("48192 SWITZER ROAD")</f>
        <v>48192 SWITZER ROAD</v>
      </c>
      <c r="H2066" t="str">
        <f>T("BLDG 2191 ROOM C-107")</f>
        <v>BLDG 2191 ROOM C-107</v>
      </c>
      <c r="I2066" t="str">
        <f>T("PATUXENT RIVER")</f>
        <v>PATUXENT RIVER</v>
      </c>
      <c r="J2066" t="str">
        <f t="shared" si="862"/>
        <v>MD</v>
      </c>
      <c r="K2066" t="str">
        <f>T("000000000000000000")</f>
        <v>000000000000000000</v>
      </c>
      <c r="L2066" t="str">
        <f>T("3017570769")</f>
        <v>3017570769</v>
      </c>
    </row>
    <row r="2067" spans="1:12" x14ac:dyDescent="0.35">
      <c r="A2067" t="str">
        <f t="shared" si="860"/>
        <v>NAWCAD PAX RIVER</v>
      </c>
      <c r="B2067" t="str">
        <f>T("48202 STANLEY ROAD UNIT 5")</f>
        <v>48202 STANLEY ROAD UNIT 5</v>
      </c>
      <c r="C2067" t="str">
        <f>T("BLDG 144 ROOM 119")</f>
        <v>BLDG 144 ROOM 119</v>
      </c>
      <c r="D2067" t="str">
        <f>T("PATUXENT RIV")</f>
        <v>PATUXENT RIV</v>
      </c>
      <c r="E2067" t="str">
        <f t="shared" si="861"/>
        <v>MD</v>
      </c>
      <c r="F2067" t="str">
        <f>T("206701910")</f>
        <v>206701910</v>
      </c>
      <c r="G2067" t="str">
        <f>T("48202 STANLEY ROAD UNIT 5")</f>
        <v>48202 STANLEY ROAD UNIT 5</v>
      </c>
      <c r="H2067" t="str">
        <f>T("BLDG 144 ROOM 119")</f>
        <v>BLDG 144 ROOM 119</v>
      </c>
      <c r="I2067" t="str">
        <f>T("PATUXENT RIV")</f>
        <v>PATUXENT RIV</v>
      </c>
      <c r="J2067" t="str">
        <f t="shared" si="862"/>
        <v>MD</v>
      </c>
      <c r="K2067" t="str">
        <f>T("3013426982")</f>
        <v>3013426982</v>
      </c>
      <c r="L2067" t="str">
        <f>T("3013421663")</f>
        <v>3013421663</v>
      </c>
    </row>
    <row r="2068" spans="1:12" x14ac:dyDescent="0.35">
      <c r="A2068" t="str">
        <f t="shared" si="860"/>
        <v>NAWCAD PAX RIVER</v>
      </c>
      <c r="B2068" t="str">
        <f>T("48298 SHAW ROAD")</f>
        <v>48298 SHAW ROAD</v>
      </c>
      <c r="C2068" t="str">
        <f>T("BLDG 1461 SUITE 131D")</f>
        <v>BLDG 1461 SUITE 131D</v>
      </c>
      <c r="D2068" t="str">
        <f>T("PATUXENT RIVER")</f>
        <v>PATUXENT RIVER</v>
      </c>
      <c r="E2068" t="str">
        <f t="shared" si="861"/>
        <v>MD</v>
      </c>
      <c r="F2068" t="str">
        <f>T("206701900")</f>
        <v>206701900</v>
      </c>
      <c r="G2068" t="str">
        <f>T("48298 SHAW RD")</f>
        <v>48298 SHAW RD</v>
      </c>
      <c r="H2068" t="str">
        <f>T("BLDG 1461 UNIT 4")</f>
        <v>BLDG 1461 UNIT 4</v>
      </c>
      <c r="I2068" t="str">
        <f>T("PATUXENT RIVER")</f>
        <v>PATUXENT RIVER</v>
      </c>
      <c r="J2068" t="str">
        <f t="shared" si="862"/>
        <v>MD</v>
      </c>
      <c r="K2068" t="str">
        <f t="shared" ref="K2068:K2076" si="863">T("000000000000000000")</f>
        <v>000000000000000000</v>
      </c>
      <c r="L2068" t="str">
        <f>T("3013420818")</f>
        <v>3013420818</v>
      </c>
    </row>
    <row r="2069" spans="1:12" x14ac:dyDescent="0.35">
      <c r="A2069" t="str">
        <f t="shared" si="860"/>
        <v>NAWCAD PAX RIVER</v>
      </c>
      <c r="B2069" t="str">
        <f>T("48298 SHAW ROAD")</f>
        <v>48298 SHAW ROAD</v>
      </c>
      <c r="C2069" t="str">
        <f>T("BLDG 1461 SUITE 131D")</f>
        <v>BLDG 1461 SUITE 131D</v>
      </c>
      <c r="D2069" t="str">
        <f>T("PATUXENT RIVER")</f>
        <v>PATUXENT RIVER</v>
      </c>
      <c r="E2069" t="str">
        <f t="shared" si="861"/>
        <v>MD</v>
      </c>
      <c r="F2069" t="str">
        <f>T("206701900")</f>
        <v>206701900</v>
      </c>
      <c r="G2069" t="str">
        <f>T("48298 SHAW ROAD")</f>
        <v>48298 SHAW ROAD</v>
      </c>
      <c r="H2069" t="str">
        <f>T("BLDG 1461")</f>
        <v>BLDG 1461</v>
      </c>
      <c r="I2069" t="str">
        <f>T("PATUXENT RIVER")</f>
        <v>PATUXENT RIVER</v>
      </c>
      <c r="J2069" t="str">
        <f t="shared" si="862"/>
        <v>MD</v>
      </c>
      <c r="K2069" t="str">
        <f t="shared" si="863"/>
        <v>000000000000000000</v>
      </c>
      <c r="L2069" t="str">
        <f>T("3013420819")</f>
        <v>3013420819</v>
      </c>
    </row>
    <row r="2070" spans="1:12" x14ac:dyDescent="0.35">
      <c r="A2070" t="str">
        <f t="shared" si="860"/>
        <v>NAWCAD PAX RIVER</v>
      </c>
      <c r="B2070" t="str">
        <f>T("48298 SHAW ROAD")</f>
        <v>48298 SHAW ROAD</v>
      </c>
      <c r="C2070" t="str">
        <f>T("BLDG 1461 SUITE 131D")</f>
        <v>BLDG 1461 SUITE 131D</v>
      </c>
      <c r="D2070" t="str">
        <f>T("PATUXENT RIVER")</f>
        <v>PATUXENT RIVER</v>
      </c>
      <c r="E2070" t="str">
        <f t="shared" si="861"/>
        <v>MD</v>
      </c>
      <c r="F2070" t="str">
        <f>T("206701900")</f>
        <v>206701900</v>
      </c>
      <c r="G2070" t="str">
        <f>T("48298 SHAW ROAD")</f>
        <v>48298 SHAW ROAD</v>
      </c>
      <c r="H2070" t="str">
        <f>T("BLDG 1461 ROOM 130F")</f>
        <v>BLDG 1461 ROOM 130F</v>
      </c>
      <c r="I2070" t="str">
        <f>T("PATUXENT RIVER")</f>
        <v>PATUXENT RIVER</v>
      </c>
      <c r="J2070" t="str">
        <f t="shared" si="862"/>
        <v>MD</v>
      </c>
      <c r="K2070" t="str">
        <f t="shared" si="863"/>
        <v>000000000000000000</v>
      </c>
      <c r="L2070" t="str">
        <f>T("3013420888")</f>
        <v>3013420888</v>
      </c>
    </row>
    <row r="2071" spans="1:12" x14ac:dyDescent="0.35">
      <c r="A2071" t="str">
        <f t="shared" si="860"/>
        <v>NAWCAD PAX RIVER</v>
      </c>
      <c r="B2071" t="str">
        <f>T("48298 SHAW ROAD")</f>
        <v>48298 SHAW ROAD</v>
      </c>
      <c r="C2071" t="str">
        <f>T("BLDG 1461 SUITE 131D")</f>
        <v>BLDG 1461 SUITE 131D</v>
      </c>
      <c r="D2071" t="str">
        <f>T("PATUXENT RIVER")</f>
        <v>PATUXENT RIVER</v>
      </c>
      <c r="E2071" t="str">
        <f t="shared" si="861"/>
        <v>MD</v>
      </c>
      <c r="F2071" t="str">
        <f>T("206701900")</f>
        <v>206701900</v>
      </c>
      <c r="G2071" t="str">
        <f>T("48298 SHAW ROAD")</f>
        <v>48298 SHAW ROAD</v>
      </c>
      <c r="H2071" t="str">
        <f>T("BLDG 1461 SUITE 131D")</f>
        <v>BLDG 1461 SUITE 131D</v>
      </c>
      <c r="I2071" t="str">
        <f>T("PATUXENT RIVER")</f>
        <v>PATUXENT RIVER</v>
      </c>
      <c r="J2071" t="str">
        <f t="shared" si="862"/>
        <v>MD</v>
      </c>
      <c r="K2071" t="str">
        <f t="shared" si="863"/>
        <v>000000000000000000</v>
      </c>
      <c r="L2071" t="str">
        <f>T("3013420814")</f>
        <v>3013420814</v>
      </c>
    </row>
    <row r="2072" spans="1:12" x14ac:dyDescent="0.35">
      <c r="A2072" t="str">
        <f t="shared" si="860"/>
        <v>NAWCAD PAX RIVER</v>
      </c>
      <c r="B2072" t="str">
        <f>T("PIER D-1 BLDG B27CG")</f>
        <v>PIER D-1 BLDG B27CG</v>
      </c>
      <c r="C2072" t="str">
        <f>T("TRUMBO POINT ANNEX")</f>
        <v>TRUMBO POINT ANNEX</v>
      </c>
      <c r="D2072" t="str">
        <f>T("KEY WEST")</f>
        <v>KEY WEST</v>
      </c>
      <c r="E2072" t="str">
        <f>T("FL")</f>
        <v>FL</v>
      </c>
      <c r="F2072" t="str">
        <f>T("330400000")</f>
        <v>330400000</v>
      </c>
      <c r="G2072" t="str">
        <f>T("PIER D-1 BLDG B27CG")</f>
        <v>PIER D-1 BLDG B27CG</v>
      </c>
      <c r="H2072" t="str">
        <f>T("TRUMBO POINT ANNEX")</f>
        <v>TRUMBO POINT ANNEX</v>
      </c>
      <c r="I2072" t="str">
        <f>T("KEY WEST")</f>
        <v>KEY WEST</v>
      </c>
      <c r="J2072" t="str">
        <f>T("FL")</f>
        <v>FL</v>
      </c>
      <c r="K2072" t="str">
        <f t="shared" si="863"/>
        <v>000000000000000000</v>
      </c>
      <c r="L2072" t="str">
        <f>T("3052934344")</f>
        <v>3052934344</v>
      </c>
    </row>
    <row r="2073" spans="1:12" x14ac:dyDescent="0.35">
      <c r="A2073" t="str">
        <f t="shared" si="860"/>
        <v>NAWCAD PAX RIVER</v>
      </c>
      <c r="B2073" t="str">
        <f>T("VILLA ROAD BLDG 8185")</f>
        <v>VILLA ROAD BLDG 8185</v>
      </c>
      <c r="C2073" t="str">
        <f>T("WEBSTERFIELD")</f>
        <v>WEBSTERFIELD</v>
      </c>
      <c r="D2073" t="str">
        <f>T("ST INIGOES")</f>
        <v>ST INIGOES</v>
      </c>
      <c r="E2073" t="str">
        <f>T("MD")</f>
        <v>MD</v>
      </c>
      <c r="F2073" t="str">
        <f>T("206840000")</f>
        <v>206840000</v>
      </c>
      <c r="G2073" t="str">
        <f>T("17100 WEBSTER FIELD RD")</f>
        <v>17100 WEBSTER FIELD RD</v>
      </c>
      <c r="H2073" t="str">
        <f>T("BLDG 8185")</f>
        <v>BLDG 8185</v>
      </c>
      <c r="I2073" t="str">
        <f>T("ST INIGOES")</f>
        <v>ST INIGOES</v>
      </c>
      <c r="J2073" t="str">
        <f>T("MD")</f>
        <v>MD</v>
      </c>
      <c r="K2073" t="str">
        <f t="shared" si="863"/>
        <v>000000000000000000</v>
      </c>
      <c r="L2073" t="str">
        <f>T("3019956007")</f>
        <v>3019956007</v>
      </c>
    </row>
    <row r="2074" spans="1:12" x14ac:dyDescent="0.35">
      <c r="A2074" t="str">
        <f t="shared" si="860"/>
        <v>NAWCAD PAX RIVER</v>
      </c>
      <c r="B2074" t="str">
        <f>T("VILLA ROAD BLDG 8185")</f>
        <v>VILLA ROAD BLDG 8185</v>
      </c>
      <c r="C2074" t="str">
        <f>T("WEBSTERFIELD")</f>
        <v>WEBSTERFIELD</v>
      </c>
      <c r="D2074" t="str">
        <f>T("ST INIGOES")</f>
        <v>ST INIGOES</v>
      </c>
      <c r="E2074" t="str">
        <f>T("MD")</f>
        <v>MD</v>
      </c>
      <c r="F2074" t="str">
        <f>T("206840000")</f>
        <v>206840000</v>
      </c>
      <c r="G2074" t="str">
        <f>T("17100 WEBSTER FIELD RD")</f>
        <v>17100 WEBSTER FIELD RD</v>
      </c>
      <c r="H2074" t="str">
        <f>T("BLDG 8185")</f>
        <v>BLDG 8185</v>
      </c>
      <c r="I2074" t="str">
        <f>T("ST INIGOES")</f>
        <v>ST INIGOES</v>
      </c>
      <c r="J2074" t="str">
        <f>T("MD")</f>
        <v>MD</v>
      </c>
      <c r="K2074" t="str">
        <f t="shared" si="863"/>
        <v>000000000000000000</v>
      </c>
      <c r="L2074" t="str">
        <f>T("3019958281")</f>
        <v>3019958281</v>
      </c>
    </row>
    <row r="2075" spans="1:12" x14ac:dyDescent="0.35">
      <c r="A2075" t="str">
        <f t="shared" si="860"/>
        <v>NAWCAD PAX RIVER</v>
      </c>
      <c r="B2075" t="str">
        <f>T("VILLA ROAD BLDG 8185")</f>
        <v>VILLA ROAD BLDG 8185</v>
      </c>
      <c r="C2075" t="str">
        <f>T("WEBSTERFIELD")</f>
        <v>WEBSTERFIELD</v>
      </c>
      <c r="D2075" t="str">
        <f>T("ST INIGOES")</f>
        <v>ST INIGOES</v>
      </c>
      <c r="E2075" t="str">
        <f>T("MD")</f>
        <v>MD</v>
      </c>
      <c r="F2075" t="str">
        <f>T("206840000")</f>
        <v>206840000</v>
      </c>
      <c r="G2075" t="str">
        <f>T("17100 WEBSTER FIELD RD BLDG 8185")</f>
        <v>17100 WEBSTER FIELD RD BLDG 8185</v>
      </c>
      <c r="H2075" t="str">
        <f>T("")</f>
        <v/>
      </c>
      <c r="I2075" t="str">
        <f>T("SAINT INIGOES")</f>
        <v>SAINT INIGOES</v>
      </c>
      <c r="J2075" t="str">
        <f>T("MD")</f>
        <v>MD</v>
      </c>
      <c r="K2075" t="str">
        <f t="shared" si="863"/>
        <v>000000000000000000</v>
      </c>
      <c r="L2075" t="str">
        <f>T("3019958216")</f>
        <v>3019958216</v>
      </c>
    </row>
    <row r="2076" spans="1:12" x14ac:dyDescent="0.35">
      <c r="A2076" t="str">
        <f t="shared" si="860"/>
        <v>NAWCAD PAX RIVER</v>
      </c>
      <c r="B2076" t="str">
        <f>T("VILLA ROAD BLDG 8185")</f>
        <v>VILLA ROAD BLDG 8185</v>
      </c>
      <c r="C2076" t="str">
        <f>T("WEBSTERFIELD")</f>
        <v>WEBSTERFIELD</v>
      </c>
      <c r="D2076" t="str">
        <f>T("ST INIGOES")</f>
        <v>ST INIGOES</v>
      </c>
      <c r="E2076" t="str">
        <f>T("MD")</f>
        <v>MD</v>
      </c>
      <c r="F2076" t="str">
        <f>T("206840000")</f>
        <v>206840000</v>
      </c>
      <c r="G2076" t="str">
        <f>T("VILLA ROAD BLDG 8185")</f>
        <v>VILLA ROAD BLDG 8185</v>
      </c>
      <c r="H2076" t="str">
        <f>T("WEBSTERFIELD")</f>
        <v>WEBSTERFIELD</v>
      </c>
      <c r="I2076" t="str">
        <f>T("ST INIGOES")</f>
        <v>ST INIGOES</v>
      </c>
      <c r="J2076" t="str">
        <f>T("MD")</f>
        <v>MD</v>
      </c>
      <c r="K2076" t="str">
        <f t="shared" si="863"/>
        <v>000000000000000000</v>
      </c>
      <c r="L2076" t="str">
        <f>T("3019958855")</f>
        <v>3019958855</v>
      </c>
    </row>
    <row r="2077" spans="1:12" x14ac:dyDescent="0.35">
      <c r="A2077" t="str">
        <f t="shared" si="860"/>
        <v>NAWCAD PAX RIVER</v>
      </c>
      <c r="B2077" t="str">
        <f>T("VILLA ROAD BLDG 8185")</f>
        <v>VILLA ROAD BLDG 8185</v>
      </c>
      <c r="C2077" t="str">
        <f>T("WEBSTERFIELD")</f>
        <v>WEBSTERFIELD</v>
      </c>
      <c r="D2077" t="str">
        <f>T("ST INIGOES")</f>
        <v>ST INIGOES</v>
      </c>
      <c r="E2077" t="str">
        <f>T("MD")</f>
        <v>MD</v>
      </c>
      <c r="F2077" t="str">
        <f>T("206840000")</f>
        <v>206840000</v>
      </c>
      <c r="G2077" t="str">
        <f>T("VILLA ROAD BLDG 8185")</f>
        <v>VILLA ROAD BLDG 8185</v>
      </c>
      <c r="H2077" t="str">
        <f>T("WEBSTERFIELD")</f>
        <v>WEBSTERFIELD</v>
      </c>
      <c r="I2077" t="str">
        <f>T("ST INIGOES")</f>
        <v>ST INIGOES</v>
      </c>
      <c r="J2077" t="str">
        <f>T("MD")</f>
        <v>MD</v>
      </c>
      <c r="K2077" t="str">
        <f>T("3019958906")</f>
        <v>3019958906</v>
      </c>
      <c r="L2077" t="str">
        <f>T("3019958885")</f>
        <v>3019958885</v>
      </c>
    </row>
    <row r="2078" spans="1:12" x14ac:dyDescent="0.35">
      <c r="A2078" t="str">
        <f t="shared" ref="A2078:A2087" si="864">T("NAVAIR WARFARE CNTR TRNG SYS")</f>
        <v>NAVAIR WARFARE CNTR TRNG SYS</v>
      </c>
      <c r="B2078" t="str">
        <f>T("12211 SCIENCE DRIVE")</f>
        <v>12211 SCIENCE DRIVE</v>
      </c>
      <c r="C2078" t="str">
        <f t="shared" ref="C2078:C2084" si="865">T("")</f>
        <v/>
      </c>
      <c r="D2078" t="str">
        <f t="shared" ref="D2078:D2087" si="866">T("ORLANDO")</f>
        <v>ORLANDO</v>
      </c>
      <c r="E2078" t="str">
        <f t="shared" ref="E2078:E2087" si="867">T("FL")</f>
        <v>FL</v>
      </c>
      <c r="F2078" t="str">
        <f>T("328263266")</f>
        <v>328263266</v>
      </c>
      <c r="G2078" t="str">
        <f>T("12211 SCIENCE DR")</f>
        <v>12211 SCIENCE DR</v>
      </c>
      <c r="H2078" t="str">
        <f t="shared" ref="H2078:H2086" si="868">T("")</f>
        <v/>
      </c>
      <c r="I2078" t="str">
        <f t="shared" ref="I2078:I2087" si="869">T("ORLANDO")</f>
        <v>ORLANDO</v>
      </c>
      <c r="J2078" t="str">
        <f t="shared" ref="J2078:J2087" si="870">T("FL")</f>
        <v>FL</v>
      </c>
      <c r="K2078" t="str">
        <f>T("000000000000000000")</f>
        <v>000000000000000000</v>
      </c>
      <c r="L2078" t="str">
        <f>T("4073808441")</f>
        <v>4073808441</v>
      </c>
    </row>
    <row r="2079" spans="1:12" x14ac:dyDescent="0.35">
      <c r="A2079" t="str">
        <f t="shared" si="864"/>
        <v>NAVAIR WARFARE CNTR TRNG SYS</v>
      </c>
      <c r="B2079" t="str">
        <f>T("12211 SCIENCE DRIVE")</f>
        <v>12211 SCIENCE DRIVE</v>
      </c>
      <c r="C2079" t="str">
        <f t="shared" si="865"/>
        <v/>
      </c>
      <c r="D2079" t="str">
        <f t="shared" si="866"/>
        <v>ORLANDO</v>
      </c>
      <c r="E2079" t="str">
        <f t="shared" si="867"/>
        <v>FL</v>
      </c>
      <c r="F2079" t="str">
        <f>T("328263266")</f>
        <v>328263266</v>
      </c>
      <c r="G2079" t="str">
        <f>T("12211 SCIENCE DRIVE")</f>
        <v>12211 SCIENCE DRIVE</v>
      </c>
      <c r="H2079" t="str">
        <f t="shared" si="868"/>
        <v/>
      </c>
      <c r="I2079" t="str">
        <f t="shared" si="869"/>
        <v>ORLANDO</v>
      </c>
      <c r="J2079" t="str">
        <f t="shared" si="870"/>
        <v>FL</v>
      </c>
      <c r="K2079" t="str">
        <f>T("000000000000000000")</f>
        <v>000000000000000000</v>
      </c>
      <c r="L2079" t="str">
        <f>T("4073804787")</f>
        <v>4073804787</v>
      </c>
    </row>
    <row r="2080" spans="1:12" x14ac:dyDescent="0.35">
      <c r="A2080" t="str">
        <f t="shared" si="864"/>
        <v>NAVAIR WARFARE CNTR TRNG SYS</v>
      </c>
      <c r="B2080" t="str">
        <f>T("12211 SCIENCE DRIVE")</f>
        <v>12211 SCIENCE DRIVE</v>
      </c>
      <c r="C2080" t="str">
        <f t="shared" si="865"/>
        <v/>
      </c>
      <c r="D2080" t="str">
        <f t="shared" si="866"/>
        <v>ORLANDO</v>
      </c>
      <c r="E2080" t="str">
        <f t="shared" si="867"/>
        <v>FL</v>
      </c>
      <c r="F2080" t="str">
        <f>T("328263266")</f>
        <v>328263266</v>
      </c>
      <c r="G2080" t="str">
        <f>T("12211 SCIENCE DRIVE")</f>
        <v>12211 SCIENCE DRIVE</v>
      </c>
      <c r="H2080" t="str">
        <f t="shared" si="868"/>
        <v/>
      </c>
      <c r="I2080" t="str">
        <f t="shared" si="869"/>
        <v>ORLANDO</v>
      </c>
      <c r="J2080" t="str">
        <f t="shared" si="870"/>
        <v>FL</v>
      </c>
      <c r="K2080" t="str">
        <f>T("000000000000000000")</f>
        <v>000000000000000000</v>
      </c>
      <c r="L2080" t="str">
        <f>T("4073808285")</f>
        <v>4073808285</v>
      </c>
    </row>
    <row r="2081" spans="1:12" x14ac:dyDescent="0.35">
      <c r="A2081" t="str">
        <f t="shared" si="864"/>
        <v>NAVAIR WARFARE CNTR TRNG SYS</v>
      </c>
      <c r="B2081" t="str">
        <f>T("12211 SCIENCE DRIVE")</f>
        <v>12211 SCIENCE DRIVE</v>
      </c>
      <c r="C2081" t="str">
        <f t="shared" si="865"/>
        <v/>
      </c>
      <c r="D2081" t="str">
        <f t="shared" si="866"/>
        <v>ORLANDO</v>
      </c>
      <c r="E2081" t="str">
        <f t="shared" si="867"/>
        <v>FL</v>
      </c>
      <c r="F2081" t="str">
        <f>T("328263266")</f>
        <v>328263266</v>
      </c>
      <c r="G2081" t="str">
        <f>T("12211 SCIENCE DRIVE")</f>
        <v>12211 SCIENCE DRIVE</v>
      </c>
      <c r="H2081" t="str">
        <f t="shared" si="868"/>
        <v/>
      </c>
      <c r="I2081" t="str">
        <f t="shared" si="869"/>
        <v>ORLANDO</v>
      </c>
      <c r="J2081" t="str">
        <f t="shared" si="870"/>
        <v>FL</v>
      </c>
      <c r="K2081" t="str">
        <f>T("4073804650")</f>
        <v>4073804650</v>
      </c>
      <c r="L2081" t="str">
        <f>T("4073804082")</f>
        <v>4073804082</v>
      </c>
    </row>
    <row r="2082" spans="1:12" x14ac:dyDescent="0.35">
      <c r="A2082" t="str">
        <f t="shared" si="864"/>
        <v>NAVAIR WARFARE CNTR TRNG SYS</v>
      </c>
      <c r="B2082" t="str">
        <f>T("12211 SCIENCE DRIVE")</f>
        <v>12211 SCIENCE DRIVE</v>
      </c>
      <c r="C2082" t="str">
        <f t="shared" si="865"/>
        <v/>
      </c>
      <c r="D2082" t="str">
        <f t="shared" si="866"/>
        <v>ORLANDO</v>
      </c>
      <c r="E2082" t="str">
        <f t="shared" si="867"/>
        <v>FL</v>
      </c>
      <c r="F2082" t="str">
        <f>T("328263266")</f>
        <v>328263266</v>
      </c>
      <c r="G2082" t="str">
        <f>T("12211 SCIENCE DRIVE")</f>
        <v>12211 SCIENCE DRIVE</v>
      </c>
      <c r="H2082" t="str">
        <f t="shared" si="868"/>
        <v/>
      </c>
      <c r="I2082" t="str">
        <f t="shared" si="869"/>
        <v>ORLANDO</v>
      </c>
      <c r="J2082" t="str">
        <f t="shared" si="870"/>
        <v>FL</v>
      </c>
      <c r="K2082" t="str">
        <f>T("4073804650")</f>
        <v>4073804650</v>
      </c>
      <c r="L2082" t="str">
        <f>T("4073804411")</f>
        <v>4073804411</v>
      </c>
    </row>
    <row r="2083" spans="1:12" x14ac:dyDescent="0.35">
      <c r="A2083" t="str">
        <f t="shared" si="864"/>
        <v>NAVAIR WARFARE CNTR TRNG SYS</v>
      </c>
      <c r="B2083" t="str">
        <f>T("12350 RESEARCH PARKWAY")</f>
        <v>12350 RESEARCH PARKWAY</v>
      </c>
      <c r="C2083" t="str">
        <f t="shared" si="865"/>
        <v/>
      </c>
      <c r="D2083" t="str">
        <f t="shared" si="866"/>
        <v>ORLANDO</v>
      </c>
      <c r="E2083" t="str">
        <f t="shared" si="867"/>
        <v>FL</v>
      </c>
      <c r="F2083" t="str">
        <f>T("328262942")</f>
        <v>328262942</v>
      </c>
      <c r="G2083" t="str">
        <f>T("12350 RESEARCH PARKWAY")</f>
        <v>12350 RESEARCH PARKWAY</v>
      </c>
      <c r="H2083" t="str">
        <f t="shared" si="868"/>
        <v/>
      </c>
      <c r="I2083" t="str">
        <f t="shared" si="869"/>
        <v>ORLANDO</v>
      </c>
      <c r="J2083" t="str">
        <f t="shared" si="870"/>
        <v>FL</v>
      </c>
      <c r="K2083" t="str">
        <f>T("000000000000000000")</f>
        <v>000000000000000000</v>
      </c>
      <c r="L2083" t="str">
        <f>T("4073804160")</f>
        <v>4073804160</v>
      </c>
    </row>
    <row r="2084" spans="1:12" x14ac:dyDescent="0.35">
      <c r="A2084" t="str">
        <f t="shared" si="864"/>
        <v>NAVAIR WARFARE CNTR TRNG SYS</v>
      </c>
      <c r="B2084" t="str">
        <f>T("12350 RESEARCH PARKWAY")</f>
        <v>12350 RESEARCH PARKWAY</v>
      </c>
      <c r="C2084" t="str">
        <f t="shared" si="865"/>
        <v/>
      </c>
      <c r="D2084" t="str">
        <f t="shared" si="866"/>
        <v>ORLANDO</v>
      </c>
      <c r="E2084" t="str">
        <f t="shared" si="867"/>
        <v>FL</v>
      </c>
      <c r="F2084" t="str">
        <f>T("328263275")</f>
        <v>328263275</v>
      </c>
      <c r="G2084" t="str">
        <f>T("12350 RESEARCH PARKWAY")</f>
        <v>12350 RESEARCH PARKWAY</v>
      </c>
      <c r="H2084" t="str">
        <f t="shared" si="868"/>
        <v/>
      </c>
      <c r="I2084" t="str">
        <f t="shared" si="869"/>
        <v>ORLANDO</v>
      </c>
      <c r="J2084" t="str">
        <f t="shared" si="870"/>
        <v>FL</v>
      </c>
      <c r="K2084" t="str">
        <f>T("")</f>
        <v/>
      </c>
      <c r="L2084" t="str">
        <f>T("4073804066")</f>
        <v>4073804066</v>
      </c>
    </row>
    <row r="2085" spans="1:12" x14ac:dyDescent="0.35">
      <c r="A2085" t="str">
        <f t="shared" si="864"/>
        <v>NAVAIR WARFARE CNTR TRNG SYS</v>
      </c>
      <c r="B2085" t="str">
        <f>T("NAWCTSD")</f>
        <v>NAWCTSD</v>
      </c>
      <c r="C2085" t="str">
        <f>T("12211 SCIENCE DRIVE")</f>
        <v>12211 SCIENCE DRIVE</v>
      </c>
      <c r="D2085" t="str">
        <f t="shared" si="866"/>
        <v>ORLANDO</v>
      </c>
      <c r="E2085" t="str">
        <f t="shared" si="867"/>
        <v>FL</v>
      </c>
      <c r="F2085" t="str">
        <f>T("328260000")</f>
        <v>328260000</v>
      </c>
      <c r="G2085" t="str">
        <f>T("12211 SCIENCE DRIVE")</f>
        <v>12211 SCIENCE DRIVE</v>
      </c>
      <c r="H2085" t="str">
        <f t="shared" si="868"/>
        <v/>
      </c>
      <c r="I2085" t="str">
        <f t="shared" si="869"/>
        <v>ORLANDO</v>
      </c>
      <c r="J2085" t="str">
        <f t="shared" si="870"/>
        <v>FL</v>
      </c>
      <c r="K2085" t="str">
        <f>T("4073804962")</f>
        <v>4073804962</v>
      </c>
      <c r="L2085" t="str">
        <f>T("4073804493")</f>
        <v>4073804493</v>
      </c>
    </row>
    <row r="2086" spans="1:12" x14ac:dyDescent="0.35">
      <c r="A2086" t="str">
        <f t="shared" si="864"/>
        <v>NAVAIR WARFARE CNTR TRNG SYS</v>
      </c>
      <c r="B2086" t="str">
        <f>T("NAWCTSD")</f>
        <v>NAWCTSD</v>
      </c>
      <c r="C2086" t="str">
        <f>T("12211 SCIENCE DRIVE")</f>
        <v>12211 SCIENCE DRIVE</v>
      </c>
      <c r="D2086" t="str">
        <f t="shared" si="866"/>
        <v>ORLANDO</v>
      </c>
      <c r="E2086" t="str">
        <f t="shared" si="867"/>
        <v>FL</v>
      </c>
      <c r="F2086" t="str">
        <f>T("328260000")</f>
        <v>328260000</v>
      </c>
      <c r="G2086" t="str">
        <f>T("12211 SCIENCE DRIVE")</f>
        <v>12211 SCIENCE DRIVE</v>
      </c>
      <c r="H2086" t="str">
        <f t="shared" si="868"/>
        <v/>
      </c>
      <c r="I2086" t="str">
        <f t="shared" si="869"/>
        <v>ORLANDO</v>
      </c>
      <c r="J2086" t="str">
        <f t="shared" si="870"/>
        <v>FL</v>
      </c>
      <c r="K2086" t="str">
        <f>T("4073804962")</f>
        <v>4073804962</v>
      </c>
      <c r="L2086" t="str">
        <f>T("4073804610")</f>
        <v>4073804610</v>
      </c>
    </row>
    <row r="2087" spans="1:12" x14ac:dyDescent="0.35">
      <c r="A2087" t="str">
        <f t="shared" si="864"/>
        <v>NAVAIR WARFARE CNTR TRNG SYS</v>
      </c>
      <c r="B2087" t="str">
        <f>T("NAWCTSD")</f>
        <v>NAWCTSD</v>
      </c>
      <c r="C2087" t="str">
        <f>T("12211 SCIENCE DRIVE")</f>
        <v>12211 SCIENCE DRIVE</v>
      </c>
      <c r="D2087" t="str">
        <f t="shared" si="866"/>
        <v>ORLANDO</v>
      </c>
      <c r="E2087" t="str">
        <f t="shared" si="867"/>
        <v>FL</v>
      </c>
      <c r="F2087" t="str">
        <f>T("328260000")</f>
        <v>328260000</v>
      </c>
      <c r="G2087" t="str">
        <f>T("NAWCTSD")</f>
        <v>NAWCTSD</v>
      </c>
      <c r="H2087" t="str">
        <f>T("12211 SCIENCE DRIVE")</f>
        <v>12211 SCIENCE DRIVE</v>
      </c>
      <c r="I2087" t="str">
        <f t="shared" si="869"/>
        <v>ORLANDO</v>
      </c>
      <c r="J2087" t="str">
        <f t="shared" si="870"/>
        <v>FL</v>
      </c>
      <c r="K2087" t="str">
        <f>T("000000000000000000")</f>
        <v>000000000000000000</v>
      </c>
      <c r="L2087" t="str">
        <f>T("4073804671")</f>
        <v>4073804671</v>
      </c>
    </row>
    <row r="2088" spans="1:12" x14ac:dyDescent="0.35">
      <c r="A2088" t="str">
        <f t="shared" ref="A2088:A2119" si="871">T("NAVAIR LAKEHURST")</f>
        <v>NAVAIR LAKEHURST</v>
      </c>
      <c r="B2088" t="str">
        <f>T("")</f>
        <v/>
      </c>
      <c r="C2088" t="str">
        <f>T("")</f>
        <v/>
      </c>
      <c r="D2088" t="str">
        <f>T("")</f>
        <v/>
      </c>
      <c r="E2088" t="str">
        <f>T("")</f>
        <v/>
      </c>
      <c r="F2088" t="str">
        <f>T("")</f>
        <v/>
      </c>
      <c r="G2088" t="str">
        <f>T("BLDG 562 ROOM 140")</f>
        <v>BLDG 562 ROOM 140</v>
      </c>
      <c r="H2088" t="str">
        <f>T("HIGHWAY 547")</f>
        <v>HIGHWAY 547</v>
      </c>
      <c r="I2088" t="str">
        <f>T("JOINT BASE MDL")</f>
        <v>JOINT BASE MDL</v>
      </c>
      <c r="J2088" t="str">
        <f>T("NJ")</f>
        <v>NJ</v>
      </c>
      <c r="K2088" t="str">
        <f>T("000000000000000000")</f>
        <v>000000000000000000</v>
      </c>
      <c r="L2088" t="str">
        <f>T("7323232716")</f>
        <v>7323232716</v>
      </c>
    </row>
    <row r="2089" spans="1:12" x14ac:dyDescent="0.35">
      <c r="A2089" t="str">
        <f t="shared" si="871"/>
        <v>NAVAIR LAKEHURST</v>
      </c>
      <c r="B2089" t="str">
        <f>T("1279 FRANKLIN ST N433C")</f>
        <v>1279 FRANKLIN ST N433C</v>
      </c>
      <c r="C2089" t="str">
        <f>T("")</f>
        <v/>
      </c>
      <c r="D2089" t="str">
        <f>T("NORFOLK")</f>
        <v>NORFOLK</v>
      </c>
      <c r="E2089" t="str">
        <f>T("VA")</f>
        <v>VA</v>
      </c>
      <c r="F2089" t="str">
        <f>T("235112406")</f>
        <v>235112406</v>
      </c>
      <c r="G2089" t="str">
        <f>T("1279 FRANKLIN ST N433C")</f>
        <v>1279 FRANKLIN ST N433C</v>
      </c>
      <c r="H2089" t="str">
        <f>T("")</f>
        <v/>
      </c>
      <c r="I2089" t="str">
        <f>T("NORFOLK")</f>
        <v>NORFOLK</v>
      </c>
      <c r="J2089" t="str">
        <f>T("VA")</f>
        <v>VA</v>
      </c>
      <c r="K2089" t="str">
        <f>T("000000000000000000")</f>
        <v>000000000000000000</v>
      </c>
      <c r="L2089" t="str">
        <f>T("7574440448")</f>
        <v>7574440448</v>
      </c>
    </row>
    <row r="2090" spans="1:12" x14ac:dyDescent="0.35">
      <c r="A2090" t="str">
        <f t="shared" si="871"/>
        <v>NAVAIR LAKEHURST</v>
      </c>
      <c r="B2090" t="str">
        <f>T("1279 FRANKLIN ST N433C")</f>
        <v>1279 FRANKLIN ST N433C</v>
      </c>
      <c r="C2090" t="str">
        <f>T("")</f>
        <v/>
      </c>
      <c r="D2090" t="str">
        <f>T("NORFOLK")</f>
        <v>NORFOLK</v>
      </c>
      <c r="E2090" t="str">
        <f>T("VA")</f>
        <v>VA</v>
      </c>
      <c r="F2090" t="str">
        <f>T("235112406")</f>
        <v>235112406</v>
      </c>
      <c r="G2090" t="str">
        <f>T("425 MOHICAN DR")</f>
        <v>425 MOHICAN DR</v>
      </c>
      <c r="H2090" t="str">
        <f>T("")</f>
        <v/>
      </c>
      <c r="I2090" t="str">
        <f>T("PORTSMOUTH")</f>
        <v>PORTSMOUTH</v>
      </c>
      <c r="J2090" t="str">
        <f>T("VA")</f>
        <v>VA</v>
      </c>
      <c r="K2090" t="str">
        <f>T("7574442568110")</f>
        <v>7574442568110</v>
      </c>
      <c r="L2090" t="str">
        <f>T("7574442622")</f>
        <v>7574442622</v>
      </c>
    </row>
    <row r="2091" spans="1:12" x14ac:dyDescent="0.35">
      <c r="A2091" t="str">
        <f t="shared" si="871"/>
        <v>NAVAIR LAKEHURST</v>
      </c>
      <c r="B2091" t="str">
        <f>T("BLDG 105 B AVENUE")</f>
        <v>BLDG 105 B AVENUE</v>
      </c>
      <c r="C2091" t="str">
        <f>T("")</f>
        <v/>
      </c>
      <c r="D2091" t="str">
        <f>T("SOLOMONS")</f>
        <v>SOLOMONS</v>
      </c>
      <c r="E2091" t="str">
        <f>T("MD")</f>
        <v>MD</v>
      </c>
      <c r="F2091" t="str">
        <f>T("206880000")</f>
        <v>206880000</v>
      </c>
      <c r="G2091" t="str">
        <f>T("BLDG 105 B AVENUE")</f>
        <v>BLDG 105 B AVENUE</v>
      </c>
      <c r="H2091" t="str">
        <f>T("")</f>
        <v/>
      </c>
      <c r="I2091" t="str">
        <f>T("SOLOMONS")</f>
        <v>SOLOMONS</v>
      </c>
      <c r="J2091" t="str">
        <f>T("MD")</f>
        <v>MD</v>
      </c>
      <c r="K2091" t="str">
        <f>T("000000000000000000")</f>
        <v>000000000000000000</v>
      </c>
      <c r="L2091" t="str">
        <f>T("4103267556")</f>
        <v>4103267556</v>
      </c>
    </row>
    <row r="2092" spans="1:12" x14ac:dyDescent="0.35">
      <c r="A2092" t="str">
        <f t="shared" si="871"/>
        <v>NAVAIR LAKEHURST</v>
      </c>
      <c r="B2092" t="str">
        <f>T("BLDG 105 B AVENUE")</f>
        <v>BLDG 105 B AVENUE</v>
      </c>
      <c r="C2092" t="str">
        <f>T("")</f>
        <v/>
      </c>
      <c r="D2092" t="str">
        <f>T("SOLOMONS")</f>
        <v>SOLOMONS</v>
      </c>
      <c r="E2092" t="str">
        <f>T("MD")</f>
        <v>MD</v>
      </c>
      <c r="F2092" t="str">
        <f>T("206880000")</f>
        <v>206880000</v>
      </c>
      <c r="G2092" t="str">
        <f>T("BUILDING 105 B AVENUE")</f>
        <v>BUILDING 105 B AVENUE</v>
      </c>
      <c r="H2092" t="str">
        <f>T("")</f>
        <v/>
      </c>
      <c r="I2092" t="str">
        <f>T("SOLOMONS")</f>
        <v>SOLOMONS</v>
      </c>
      <c r="J2092" t="str">
        <f>T("MD")</f>
        <v>MD</v>
      </c>
      <c r="K2092" t="str">
        <f>T("000000000000000000")</f>
        <v>000000000000000000</v>
      </c>
      <c r="L2092" t="str">
        <f>T("4103267554")</f>
        <v>4103267554</v>
      </c>
    </row>
    <row r="2093" spans="1:12" x14ac:dyDescent="0.35">
      <c r="A2093" t="str">
        <f t="shared" si="871"/>
        <v>NAVAIR LAKEHURST</v>
      </c>
      <c r="B2093" t="str">
        <f>T("BLDG 105 B AVENUE")</f>
        <v>BLDG 105 B AVENUE</v>
      </c>
      <c r="C2093" t="str">
        <f>T("")</f>
        <v/>
      </c>
      <c r="D2093" t="str">
        <f>T("SOLOMONS")</f>
        <v>SOLOMONS</v>
      </c>
      <c r="E2093" t="str">
        <f>T("MD")</f>
        <v>MD</v>
      </c>
      <c r="F2093" t="str">
        <f>T("206880000")</f>
        <v>206880000</v>
      </c>
      <c r="G2093" t="str">
        <f>T("NAVAIR 6 27")</f>
        <v>NAVAIR 6 27</v>
      </c>
      <c r="H2093" t="str">
        <f>T("FRC ASE BLDG 105 B AVE")</f>
        <v>FRC ASE BLDG 105 B AVE</v>
      </c>
      <c r="I2093" t="str">
        <f>T("SOLOMONS")</f>
        <v>SOLOMONS</v>
      </c>
      <c r="J2093" t="str">
        <f>T("MD")</f>
        <v>MD</v>
      </c>
      <c r="K2093" t="str">
        <f>T("000000000000000000")</f>
        <v>000000000000000000</v>
      </c>
      <c r="L2093" t="str">
        <f>T("4103267523")</f>
        <v>4103267523</v>
      </c>
    </row>
    <row r="2094" spans="1:12" x14ac:dyDescent="0.35">
      <c r="A2094" t="str">
        <f t="shared" si="871"/>
        <v>NAVAIR LAKEHURST</v>
      </c>
      <c r="B2094" t="str">
        <f>T("BLDG 120 RM 150")</f>
        <v>BLDG 120 RM 150</v>
      </c>
      <c r="C2094" t="str">
        <f>T("HIGHWAY 547")</f>
        <v>HIGHWAY 547</v>
      </c>
      <c r="D2094" t="str">
        <f>T("LAKEHURST")</f>
        <v>LAKEHURST</v>
      </c>
      <c r="E2094" t="str">
        <f>T("NJ")</f>
        <v>NJ</v>
      </c>
      <c r="F2094" t="str">
        <f>T("087330000")</f>
        <v>087330000</v>
      </c>
      <c r="G2094" t="str">
        <f>T("BLDG 120 RM 150")</f>
        <v>BLDG 120 RM 150</v>
      </c>
      <c r="H2094" t="str">
        <f>T("HIGHWAY 547")</f>
        <v>HIGHWAY 547</v>
      </c>
      <c r="I2094" t="str">
        <f>T("LAKEHURST")</f>
        <v>LAKEHURST</v>
      </c>
      <c r="J2094" t="str">
        <f>T("NJ")</f>
        <v>NJ</v>
      </c>
      <c r="K2094" t="str">
        <f>T("732-323-5100")</f>
        <v>732-323-5100</v>
      </c>
      <c r="L2094" t="str">
        <f>T("7323235143")</f>
        <v>7323235143</v>
      </c>
    </row>
    <row r="2095" spans="1:12" x14ac:dyDescent="0.35">
      <c r="A2095" t="str">
        <f t="shared" si="871"/>
        <v>NAVAIR LAKEHURST</v>
      </c>
      <c r="B2095" t="str">
        <f>T("BLDG 120 RM 150")</f>
        <v>BLDG 120 RM 150</v>
      </c>
      <c r="C2095" t="str">
        <f>T("HIGHWAY 547")</f>
        <v>HIGHWAY 547</v>
      </c>
      <c r="D2095" t="str">
        <f>T("LAKEHURST")</f>
        <v>LAKEHURST</v>
      </c>
      <c r="E2095" t="str">
        <f>T("NJ")</f>
        <v>NJ</v>
      </c>
      <c r="F2095" t="str">
        <f>T("087330000")</f>
        <v>087330000</v>
      </c>
      <c r="G2095" t="str">
        <f>T("HWY 547 724200B120-I")</f>
        <v>HWY 547 724200B120-I</v>
      </c>
      <c r="H2095" t="str">
        <f>T("")</f>
        <v/>
      </c>
      <c r="I2095" t="str">
        <f>T("LAKEHURST")</f>
        <v>LAKEHURST</v>
      </c>
      <c r="J2095" t="str">
        <f>T("NJ")</f>
        <v>NJ</v>
      </c>
      <c r="K2095" t="str">
        <f>T("000000000000000000")</f>
        <v>000000000000000000</v>
      </c>
      <c r="L2095" t="str">
        <f>T("7323234272")</f>
        <v>7323234272</v>
      </c>
    </row>
    <row r="2096" spans="1:12" x14ac:dyDescent="0.35">
      <c r="A2096" t="str">
        <f t="shared" si="871"/>
        <v>NAVAIR LAKEHURST</v>
      </c>
      <c r="B2096" t="str">
        <f>T("BLDG 120 RM 150")</f>
        <v>BLDG 120 RM 150</v>
      </c>
      <c r="C2096" t="str">
        <f>T("HIGHWAY 547")</f>
        <v>HIGHWAY 547</v>
      </c>
      <c r="D2096" t="str">
        <f>T("LAKEHURST")</f>
        <v>LAKEHURST</v>
      </c>
      <c r="E2096" t="str">
        <f>T("NJ")</f>
        <v>NJ</v>
      </c>
      <c r="F2096" t="str">
        <f>T("087330000")</f>
        <v>087330000</v>
      </c>
      <c r="G2096" t="str">
        <f>T("HWY 547 B562-1")</f>
        <v>HWY 547 B562-1</v>
      </c>
      <c r="H2096" t="str">
        <f>T("CODE 7242")</f>
        <v>CODE 7242</v>
      </c>
      <c r="I2096" t="str">
        <f>T("LAKEHURST")</f>
        <v>LAKEHURST</v>
      </c>
      <c r="J2096" t="str">
        <f>T("NJ")</f>
        <v>NJ</v>
      </c>
      <c r="K2096" t="str">
        <f>T("000000000000000000")</f>
        <v>000000000000000000</v>
      </c>
      <c r="L2096" t="str">
        <f>T("7323232709")</f>
        <v>7323232709</v>
      </c>
    </row>
    <row r="2097" spans="1:12" x14ac:dyDescent="0.35">
      <c r="A2097" t="str">
        <f t="shared" si="871"/>
        <v>NAVAIR LAKEHURST</v>
      </c>
      <c r="B2097" t="str">
        <f>T("BLDG 562 ROOM 140")</f>
        <v>BLDG 562 ROOM 140</v>
      </c>
      <c r="C2097" t="str">
        <f>T("HIGHWAY 547")</f>
        <v>HIGHWAY 547</v>
      </c>
      <c r="D2097" t="str">
        <f>T("JOINT BASE MDL")</f>
        <v>JOINT BASE MDL</v>
      </c>
      <c r="E2097" t="str">
        <f>T("NJ")</f>
        <v>NJ</v>
      </c>
      <c r="F2097" t="str">
        <f>T("087330000")</f>
        <v>087330000</v>
      </c>
      <c r="G2097" t="str">
        <f>T("BLDG 562 ROOM 140")</f>
        <v>BLDG 562 ROOM 140</v>
      </c>
      <c r="H2097" t="str">
        <f>T("HIGHWAY 547")</f>
        <v>HIGHWAY 547</v>
      </c>
      <c r="I2097" t="str">
        <f>T("JOINT BASE MDL")</f>
        <v>JOINT BASE MDL</v>
      </c>
      <c r="J2097" t="str">
        <f>T("NJ")</f>
        <v>NJ</v>
      </c>
      <c r="K2097" t="str">
        <f>T("000000000000000000")</f>
        <v>000000000000000000</v>
      </c>
      <c r="L2097" t="str">
        <f>T("7323232716")</f>
        <v>7323232716</v>
      </c>
    </row>
    <row r="2098" spans="1:12" x14ac:dyDescent="0.35">
      <c r="A2098" t="str">
        <f t="shared" si="871"/>
        <v>NAVAIR LAKEHURST</v>
      </c>
      <c r="B2098" t="str">
        <f>T("BLDG 562 ROOM 140")</f>
        <v>BLDG 562 ROOM 140</v>
      </c>
      <c r="C2098" t="str">
        <f>T("HIGHWAY 547")</f>
        <v>HIGHWAY 547</v>
      </c>
      <c r="D2098" t="str">
        <f>T("JOINT BASE MDL")</f>
        <v>JOINT BASE MDL</v>
      </c>
      <c r="E2098" t="str">
        <f>T("NJ")</f>
        <v>NJ</v>
      </c>
      <c r="F2098" t="str">
        <f>T("087330000")</f>
        <v>087330000</v>
      </c>
      <c r="G2098" t="str">
        <f>T("CODE 4 3 4 1 BLDG 678 ROOM 123A")</f>
        <v>CODE 4 3 4 1 BLDG 678 ROOM 123A</v>
      </c>
      <c r="H2098" t="str">
        <f>T("")</f>
        <v/>
      </c>
      <c r="I2098" t="str">
        <f>T("LAKEHURST")</f>
        <v>LAKEHURST</v>
      </c>
      <c r="J2098" t="str">
        <f>T("NJ")</f>
        <v>NJ</v>
      </c>
      <c r="K2098" t="str">
        <f>T("000000000000000000")</f>
        <v>000000000000000000</v>
      </c>
      <c r="L2098" t="str">
        <f>T("7323232285")</f>
        <v>7323232285</v>
      </c>
    </row>
    <row r="2099" spans="1:12" x14ac:dyDescent="0.35">
      <c r="A2099" t="str">
        <f t="shared" si="871"/>
        <v>NAVAIR LAKEHURST</v>
      </c>
      <c r="B2099" t="str">
        <f>T("BOX 357051 NAS NORTH ISLAND")</f>
        <v>BOX 357051 NAS NORTH ISLAND</v>
      </c>
      <c r="C2099" t="str">
        <f>T("BLDG 11 RM 145 MURRAY ST")</f>
        <v>BLDG 11 RM 145 MURRAY ST</v>
      </c>
      <c r="D2099" t="str">
        <f>T("SAN DIEGO")</f>
        <v>SAN DIEGO</v>
      </c>
      <c r="E2099" t="str">
        <f>T("CA")</f>
        <v>CA</v>
      </c>
      <c r="F2099" t="str">
        <f>T("921357051")</f>
        <v>921357051</v>
      </c>
      <c r="G2099" t="str">
        <f>T("BOX 357051 NAS NORTH ISLAND")</f>
        <v>BOX 357051 NAS NORTH ISLAND</v>
      </c>
      <c r="H2099" t="str">
        <f>T("BLDG 11 RM 145 MURRAY ST")</f>
        <v>BLDG 11 RM 145 MURRAY ST</v>
      </c>
      <c r="I2099" t="str">
        <f>T("SAN DIEGO")</f>
        <v>SAN DIEGO</v>
      </c>
      <c r="J2099" t="str">
        <f>T("CA")</f>
        <v>CA</v>
      </c>
      <c r="K2099" t="str">
        <f>T("6195451500")</f>
        <v>6195451500</v>
      </c>
      <c r="L2099" t="str">
        <f>T("6195451502")</f>
        <v>6195451502</v>
      </c>
    </row>
    <row r="2100" spans="1:12" x14ac:dyDescent="0.35">
      <c r="A2100" t="str">
        <f t="shared" si="871"/>
        <v>NAVAIR LAKEHURST</v>
      </c>
      <c r="B2100" t="str">
        <f>T("CODE 4891")</f>
        <v>CODE 4891</v>
      </c>
      <c r="C2100" t="str">
        <f>T("HWY 547 BLDG 355-2")</f>
        <v>HWY 547 BLDG 355-2</v>
      </c>
      <c r="D2100" t="str">
        <f>T("LAKEHURST")</f>
        <v>LAKEHURST</v>
      </c>
      <c r="E2100" t="str">
        <f>T("NJ")</f>
        <v>NJ</v>
      </c>
      <c r="F2100" t="str">
        <f>T("087330000")</f>
        <v>087330000</v>
      </c>
      <c r="G2100" t="str">
        <f>T("4 8 91")</f>
        <v>4 8 91</v>
      </c>
      <c r="H2100" t="str">
        <f>T("HWY 547 BLDG369")</f>
        <v>HWY 547 BLDG369</v>
      </c>
      <c r="I2100" t="str">
        <f>T("LAKEHURST")</f>
        <v>LAKEHURST</v>
      </c>
      <c r="J2100" t="str">
        <f>T("NJ")</f>
        <v>NJ</v>
      </c>
      <c r="K2100" t="str">
        <f>T("000000000000000000")</f>
        <v>000000000000000000</v>
      </c>
      <c r="L2100" t="str">
        <f>T("7323237854")</f>
        <v>7323237854</v>
      </c>
    </row>
    <row r="2101" spans="1:12" x14ac:dyDescent="0.35">
      <c r="A2101" t="str">
        <f t="shared" si="871"/>
        <v>NAVAIR LAKEHURST</v>
      </c>
      <c r="B2101" t="str">
        <f>T("CODE 4891")</f>
        <v>CODE 4891</v>
      </c>
      <c r="C2101" t="str">
        <f>T("HWY 547 BLDG 355-2")</f>
        <v>HWY 547 BLDG 355-2</v>
      </c>
      <c r="D2101" t="str">
        <f>T("LAKEHURST")</f>
        <v>LAKEHURST</v>
      </c>
      <c r="E2101" t="str">
        <f>T("NJ")</f>
        <v>NJ</v>
      </c>
      <c r="F2101" t="str">
        <f>T("087330000")</f>
        <v>087330000</v>
      </c>
      <c r="G2101" t="str">
        <f>T("CODE 4891")</f>
        <v>CODE 4891</v>
      </c>
      <c r="H2101" t="str">
        <f>T("HWY 547 BLDG 355-2")</f>
        <v>HWY 547 BLDG 355-2</v>
      </c>
      <c r="I2101" t="str">
        <f>T("LAKEHURST")</f>
        <v>LAKEHURST</v>
      </c>
      <c r="J2101" t="str">
        <f>T("NJ")</f>
        <v>NJ</v>
      </c>
      <c r="K2101" t="str">
        <f>T("000000000000000000")</f>
        <v>000000000000000000</v>
      </c>
      <c r="L2101" t="str">
        <f>T("7323232824")</f>
        <v>7323232824</v>
      </c>
    </row>
    <row r="2102" spans="1:12" x14ac:dyDescent="0.35">
      <c r="A2102" t="str">
        <f t="shared" si="871"/>
        <v>NAVAIR LAKEHURST</v>
      </c>
      <c r="B2102" t="str">
        <f>T("CODE 4891")</f>
        <v>CODE 4891</v>
      </c>
      <c r="C2102" t="str">
        <f>T("HWY 547 BLDG 355-2")</f>
        <v>HWY 547 BLDG 355-2</v>
      </c>
      <c r="D2102" t="str">
        <f>T("LAKEHURST")</f>
        <v>LAKEHURST</v>
      </c>
      <c r="E2102" t="str">
        <f>T("NJ")</f>
        <v>NJ</v>
      </c>
      <c r="F2102" t="str">
        <f>T("087330000")</f>
        <v>087330000</v>
      </c>
      <c r="G2102" t="str">
        <f>T("TEST 4 8 9 1")</f>
        <v>TEST 4 8 9 1</v>
      </c>
      <c r="H2102" t="str">
        <f>T("HWY 547 BLDG 369")</f>
        <v>HWY 547 BLDG 369</v>
      </c>
      <c r="I2102" t="str">
        <f>T("LAKEHURST")</f>
        <v>LAKEHURST</v>
      </c>
      <c r="J2102" t="str">
        <f>T("NJ")</f>
        <v>NJ</v>
      </c>
      <c r="K2102" t="str">
        <f>T("000000000000000000")</f>
        <v>000000000000000000</v>
      </c>
      <c r="L2102" t="str">
        <f>T("7323237893")</f>
        <v>7323237893</v>
      </c>
    </row>
    <row r="2103" spans="1:12" x14ac:dyDescent="0.35">
      <c r="A2103" t="str">
        <f t="shared" si="871"/>
        <v>NAVAIR LAKEHURST</v>
      </c>
      <c r="B2103" t="str">
        <f>T("CODE 733000B/B120-H")</f>
        <v>CODE 733000B/B120-H</v>
      </c>
      <c r="C2103" t="str">
        <f>T("HWY 547")</f>
        <v>HWY 547</v>
      </c>
      <c r="D2103" t="str">
        <f>T("LAKEHURST")</f>
        <v>LAKEHURST</v>
      </c>
      <c r="E2103" t="str">
        <f>T("NJ")</f>
        <v>NJ</v>
      </c>
      <c r="F2103" t="str">
        <f>T("087330000")</f>
        <v>087330000</v>
      </c>
      <c r="G2103" t="str">
        <f>T("CODE 733000B/B120-H")</f>
        <v>CODE 733000B/B120-H</v>
      </c>
      <c r="H2103" t="str">
        <f>T("HWY 547")</f>
        <v>HWY 547</v>
      </c>
      <c r="I2103" t="str">
        <f>T("LAKEHURST")</f>
        <v>LAKEHURST</v>
      </c>
      <c r="J2103" t="str">
        <f>T("NJ")</f>
        <v>NJ</v>
      </c>
      <c r="K2103" t="str">
        <f>T("7323235224")</f>
        <v>7323235224</v>
      </c>
      <c r="L2103" t="str">
        <f>T("7323232206")</f>
        <v>7323232206</v>
      </c>
    </row>
    <row r="2104" spans="1:12" x14ac:dyDescent="0.35">
      <c r="A2104" t="str">
        <f t="shared" si="871"/>
        <v>NAVAIR LAKEHURST</v>
      </c>
      <c r="B2104" t="str">
        <f>T("CODE 733000B/B120-H")</f>
        <v>CODE 733000B/B120-H</v>
      </c>
      <c r="C2104" t="str">
        <f>T("HWY 547")</f>
        <v>HWY 547</v>
      </c>
      <c r="D2104" t="str">
        <f>T("LAKEHURST")</f>
        <v>LAKEHURST</v>
      </c>
      <c r="E2104" t="str">
        <f>T("NJ")</f>
        <v>NJ</v>
      </c>
      <c r="F2104" t="str">
        <f>T("087330000")</f>
        <v>087330000</v>
      </c>
      <c r="G2104" t="str">
        <f>T("HWY 547")</f>
        <v>HWY 547</v>
      </c>
      <c r="H2104" t="str">
        <f>T("MS-BLDG 120-H CODE 731000B")</f>
        <v>MS-BLDG 120-H CODE 731000B</v>
      </c>
      <c r="I2104" t="str">
        <f>T("LAKEHURST")</f>
        <v>LAKEHURST</v>
      </c>
      <c r="J2104" t="str">
        <f>T("NJ")</f>
        <v>NJ</v>
      </c>
      <c r="K2104" t="str">
        <f t="shared" ref="K2104:K2121" si="872">T("000000000000000000")</f>
        <v>000000000000000000</v>
      </c>
      <c r="L2104" t="str">
        <f>T("7323232763")</f>
        <v>7323232763</v>
      </c>
    </row>
    <row r="2105" spans="1:12" x14ac:dyDescent="0.35">
      <c r="A2105" t="str">
        <f t="shared" si="871"/>
        <v>NAVAIR LAKEHURST</v>
      </c>
      <c r="B2105" t="str">
        <f>T("COMNAVSURFOR CODE N422A B")</f>
        <v>COMNAVSURFOR CODE N422A B</v>
      </c>
      <c r="C2105" t="str">
        <f>T("2841 RENDOVA RD ROOM 314")</f>
        <v>2841 RENDOVA RD ROOM 314</v>
      </c>
      <c r="D2105" t="str">
        <f>T("SAN DIEGO")</f>
        <v>SAN DIEGO</v>
      </c>
      <c r="E2105" t="str">
        <f>T("CA")</f>
        <v>CA</v>
      </c>
      <c r="F2105" t="str">
        <f>T("921555490")</f>
        <v>921555490</v>
      </c>
      <c r="G2105" t="str">
        <f>T("BOX 357051 NAS NORT IS")</f>
        <v>BOX 357051 NAS NORT IS</v>
      </c>
      <c r="H2105" t="str">
        <f>T("BLDG11 RM145 MURRY STREET")</f>
        <v>BLDG11 RM145 MURRY STREET</v>
      </c>
      <c r="I2105" t="str">
        <f>T("SAN DIEGO")</f>
        <v>SAN DIEGO</v>
      </c>
      <c r="J2105" t="str">
        <f>T("CA")</f>
        <v>CA</v>
      </c>
      <c r="K2105" t="str">
        <f t="shared" si="872"/>
        <v>000000000000000000</v>
      </c>
      <c r="L2105" t="str">
        <f>T("6195458467")</f>
        <v>6195458467</v>
      </c>
    </row>
    <row r="2106" spans="1:12" x14ac:dyDescent="0.35">
      <c r="A2106" t="str">
        <f t="shared" si="871"/>
        <v>NAVAIR LAKEHURST</v>
      </c>
      <c r="B2106" t="str">
        <f>T("COMNAVSURFOR CODE N422A B")</f>
        <v>COMNAVSURFOR CODE N422A B</v>
      </c>
      <c r="C2106" t="str">
        <f>T("2841 RENDOVA RD ROOM 314")</f>
        <v>2841 RENDOVA RD ROOM 314</v>
      </c>
      <c r="D2106" t="str">
        <f>T("SAN DIEGO")</f>
        <v>SAN DIEGO</v>
      </c>
      <c r="E2106" t="str">
        <f>T("CA")</f>
        <v>CA</v>
      </c>
      <c r="F2106" t="str">
        <f>T("921555490")</f>
        <v>921555490</v>
      </c>
      <c r="G2106" t="str">
        <f>T("COMNAVSURFOR CODE N422A B")</f>
        <v>COMNAVSURFOR CODE N422A B</v>
      </c>
      <c r="H2106" t="str">
        <f>T("2841 RENDOVA RD ROOM 314")</f>
        <v>2841 RENDOVA RD ROOM 314</v>
      </c>
      <c r="I2106" t="str">
        <f>T("SAN DIEGO")</f>
        <v>SAN DIEGO</v>
      </c>
      <c r="J2106" t="str">
        <f>T("CA")</f>
        <v>CA</v>
      </c>
      <c r="K2106" t="str">
        <f t="shared" si="872"/>
        <v>000000000000000000</v>
      </c>
      <c r="L2106" t="str">
        <f>T("6194373145")</f>
        <v>6194373145</v>
      </c>
    </row>
    <row r="2107" spans="1:12" x14ac:dyDescent="0.35">
      <c r="A2107" t="str">
        <f t="shared" si="871"/>
        <v>NAVAIR LAKEHURST</v>
      </c>
      <c r="B2107" t="str">
        <f>T("COMNAVSURFOR CODE N422A B")</f>
        <v>COMNAVSURFOR CODE N422A B</v>
      </c>
      <c r="C2107" t="str">
        <f>T("2841 RENDOVA RD ROOM 314")</f>
        <v>2841 RENDOVA RD ROOM 314</v>
      </c>
      <c r="D2107" t="str">
        <f>T("SAN DIEGO")</f>
        <v>SAN DIEGO</v>
      </c>
      <c r="E2107" t="str">
        <f>T("CA")</f>
        <v>CA</v>
      </c>
      <c r="F2107" t="str">
        <f>T("921555490")</f>
        <v>921555490</v>
      </c>
      <c r="G2107" t="str">
        <f>T("NAB CORONADO BLDG 11")</f>
        <v>NAB CORONADO BLDG 11</v>
      </c>
      <c r="H2107" t="str">
        <f>T("ROOM 314")</f>
        <v>ROOM 314</v>
      </c>
      <c r="I2107" t="str">
        <f>T("SAN DIEGO")</f>
        <v>SAN DIEGO</v>
      </c>
      <c r="J2107" t="str">
        <f>T("CA")</f>
        <v>CA</v>
      </c>
      <c r="K2107" t="str">
        <f t="shared" si="872"/>
        <v>000000000000000000</v>
      </c>
      <c r="L2107" t="str">
        <f>T("6194370712")</f>
        <v>6194370712</v>
      </c>
    </row>
    <row r="2108" spans="1:12" x14ac:dyDescent="0.35">
      <c r="A2108" t="str">
        <f t="shared" si="871"/>
        <v>NAVAIR LAKEHURST</v>
      </c>
      <c r="B2108" t="str">
        <f>T("HIGHWAY 547")</f>
        <v>HIGHWAY 547</v>
      </c>
      <c r="C2108" t="str">
        <f>T("BLDG 148.2")</f>
        <v>BLDG 148.2</v>
      </c>
      <c r="D2108" t="str">
        <f>T("JOINT BASE MDL")</f>
        <v>JOINT BASE MDL</v>
      </c>
      <c r="E2108" t="str">
        <f t="shared" ref="E2108:E2139" si="873">T("NJ")</f>
        <v>NJ</v>
      </c>
      <c r="F2108" t="str">
        <f>T("087310000")</f>
        <v>087310000</v>
      </c>
      <c r="G2108" t="str">
        <f>T("HIGHWAY 547")</f>
        <v>HIGHWAY 547</v>
      </c>
      <c r="H2108" t="str">
        <f>T("BLDG 148.2")</f>
        <v>BLDG 148.2</v>
      </c>
      <c r="I2108" t="str">
        <f>T("JOINT BASE MDL")</f>
        <v>JOINT BASE MDL</v>
      </c>
      <c r="J2108" t="str">
        <f t="shared" ref="J2108:J2139" si="874">T("NJ")</f>
        <v>NJ</v>
      </c>
      <c r="K2108" t="str">
        <f t="shared" si="872"/>
        <v>000000000000000000</v>
      </c>
      <c r="L2108" t="str">
        <f>T("7323237290")</f>
        <v>7323237290</v>
      </c>
    </row>
    <row r="2109" spans="1:12" x14ac:dyDescent="0.35">
      <c r="A2109" t="str">
        <f t="shared" si="871"/>
        <v>NAVAIR LAKEHURST</v>
      </c>
      <c r="B2109" t="str">
        <f>T("HIGHWAY 547")</f>
        <v>HIGHWAY 547</v>
      </c>
      <c r="C2109" t="str">
        <f>T("BLDG 148.2")</f>
        <v>BLDG 148.2</v>
      </c>
      <c r="D2109" t="str">
        <f>T("JOINT BASE MDL")</f>
        <v>JOINT BASE MDL</v>
      </c>
      <c r="E2109" t="str">
        <f t="shared" si="873"/>
        <v>NJ</v>
      </c>
      <c r="F2109" t="str">
        <f>T("087310000")</f>
        <v>087310000</v>
      </c>
      <c r="G2109" t="str">
        <f>T("PROTOTYPING ENGINEERING BRANCH")</f>
        <v>PROTOTYPING ENGINEERING BRANCH</v>
      </c>
      <c r="H2109" t="str">
        <f>T("NAWCADLKE MAILSTOP 148")</f>
        <v>NAWCADLKE MAILSTOP 148</v>
      </c>
      <c r="I2109" t="str">
        <f t="shared" ref="I2109:I2151" si="875">T("LAKEHURST")</f>
        <v>LAKEHURST</v>
      </c>
      <c r="J2109" t="str">
        <f t="shared" si="874"/>
        <v>NJ</v>
      </c>
      <c r="K2109" t="str">
        <f t="shared" si="872"/>
        <v>000000000000000000</v>
      </c>
      <c r="L2109" t="str">
        <f>T("7323234752")</f>
        <v>7323234752</v>
      </c>
    </row>
    <row r="2110" spans="1:12" x14ac:dyDescent="0.35">
      <c r="A2110" t="str">
        <f t="shared" si="871"/>
        <v>NAVAIR LAKEHURST</v>
      </c>
      <c r="B2110" t="str">
        <f>T("HIGHWAY 547")</f>
        <v>HIGHWAY 547</v>
      </c>
      <c r="C2110" t="str">
        <f>T("BLDG 148.2")</f>
        <v>BLDG 148.2</v>
      </c>
      <c r="D2110" t="str">
        <f>T("JOINT BASE MDL")</f>
        <v>JOINT BASE MDL</v>
      </c>
      <c r="E2110" t="str">
        <f t="shared" si="873"/>
        <v>NJ</v>
      </c>
      <c r="F2110" t="str">
        <f>T("087310000")</f>
        <v>087310000</v>
      </c>
      <c r="G2110" t="str">
        <f>T("RT 547 BLDG 332")</f>
        <v>RT 547 BLDG 332</v>
      </c>
      <c r="H2110" t="str">
        <f>T("")</f>
        <v/>
      </c>
      <c r="I2110" t="str">
        <f t="shared" si="875"/>
        <v>LAKEHURST</v>
      </c>
      <c r="J2110" t="str">
        <f t="shared" si="874"/>
        <v>NJ</v>
      </c>
      <c r="K2110" t="str">
        <f t="shared" si="872"/>
        <v>000000000000000000</v>
      </c>
      <c r="L2110" t="str">
        <f>T("7323234511")</f>
        <v>7323234511</v>
      </c>
    </row>
    <row r="2111" spans="1:12" x14ac:dyDescent="0.35">
      <c r="A2111" t="str">
        <f t="shared" si="871"/>
        <v>NAVAIR LAKEHURST</v>
      </c>
      <c r="B2111" t="str">
        <f>T("HIGHWAY 547")</f>
        <v>HIGHWAY 547</v>
      </c>
      <c r="C2111" t="str">
        <f>T("CODE 6 0 C B150 RM101B")</f>
        <v>CODE 6 0 C B150 RM101B</v>
      </c>
      <c r="D2111" t="str">
        <f t="shared" ref="D2111:D2142" si="876">T("LAKEHURST")</f>
        <v>LAKEHURST</v>
      </c>
      <c r="E2111" t="str">
        <f t="shared" si="873"/>
        <v>NJ</v>
      </c>
      <c r="F2111" t="str">
        <f t="shared" ref="F2111:F2135" si="877">T("087330000")</f>
        <v>087330000</v>
      </c>
      <c r="G2111" t="str">
        <f>T("6 7/BLDG 596-2")</f>
        <v>6 7/BLDG 596-2</v>
      </c>
      <c r="H2111" t="str">
        <f>T("")</f>
        <v/>
      </c>
      <c r="I2111" t="str">
        <f t="shared" si="875"/>
        <v>LAKEHURST</v>
      </c>
      <c r="J2111" t="str">
        <f t="shared" si="874"/>
        <v>NJ</v>
      </c>
      <c r="K2111" t="str">
        <f t="shared" si="872"/>
        <v>000000000000000000</v>
      </c>
      <c r="L2111" t="str">
        <f>T("7323235002")</f>
        <v>7323235002</v>
      </c>
    </row>
    <row r="2112" spans="1:12" x14ac:dyDescent="0.35">
      <c r="A2112" t="str">
        <f t="shared" si="871"/>
        <v>NAVAIR LAKEHURST</v>
      </c>
      <c r="B2112" t="str">
        <f>T("HIGHWAY 547")</f>
        <v>HIGHWAY 547</v>
      </c>
      <c r="C2112" t="str">
        <f>T("CODE 6 0 C B150 RM101B")</f>
        <v>CODE 6 0 C B150 RM101B</v>
      </c>
      <c r="D2112" t="str">
        <f t="shared" si="876"/>
        <v>LAKEHURST</v>
      </c>
      <c r="E2112" t="str">
        <f t="shared" si="873"/>
        <v>NJ</v>
      </c>
      <c r="F2112" t="str">
        <f t="shared" si="877"/>
        <v>087330000</v>
      </c>
      <c r="G2112" t="str">
        <f>T("HIGHWAY 547")</f>
        <v>HIGHWAY 547</v>
      </c>
      <c r="H2112" t="str">
        <f>T("CODE 6 0 C B150 RM101B")</f>
        <v>CODE 6 0 C B150 RM101B</v>
      </c>
      <c r="I2112" t="str">
        <f t="shared" si="875"/>
        <v>LAKEHURST</v>
      </c>
      <c r="J2112" t="str">
        <f t="shared" si="874"/>
        <v>NJ</v>
      </c>
      <c r="K2112" t="str">
        <f t="shared" si="872"/>
        <v>000000000000000000</v>
      </c>
      <c r="L2112" t="str">
        <f>T("7323237423")</f>
        <v>7323237423</v>
      </c>
    </row>
    <row r="2113" spans="1:12" x14ac:dyDescent="0.35">
      <c r="A2113" t="str">
        <f t="shared" si="871"/>
        <v>NAVAIR LAKEHURST</v>
      </c>
      <c r="B2113" t="str">
        <f>T("HWY 547 110000B150 L")</f>
        <v>HWY 547 110000B150 L</v>
      </c>
      <c r="C2113" t="str">
        <f t="shared" ref="C2113:C2122" si="878">T("")</f>
        <v/>
      </c>
      <c r="D2113" t="str">
        <f t="shared" si="876"/>
        <v>LAKEHURST</v>
      </c>
      <c r="E2113" t="str">
        <f t="shared" si="873"/>
        <v>NJ</v>
      </c>
      <c r="F2113" t="str">
        <f t="shared" si="877"/>
        <v>087330000</v>
      </c>
      <c r="G2113" t="str">
        <f>T("HWY 547 110000B150 L")</f>
        <v>HWY 547 110000B150 L</v>
      </c>
      <c r="H2113" t="str">
        <f>T("")</f>
        <v/>
      </c>
      <c r="I2113" t="str">
        <f t="shared" si="875"/>
        <v>LAKEHURST</v>
      </c>
      <c r="J2113" t="str">
        <f t="shared" si="874"/>
        <v>NJ</v>
      </c>
      <c r="K2113" t="str">
        <f t="shared" si="872"/>
        <v>000000000000000000</v>
      </c>
      <c r="L2113" t="str">
        <f>T("7323232738")</f>
        <v>7323232738</v>
      </c>
    </row>
    <row r="2114" spans="1:12" x14ac:dyDescent="0.35">
      <c r="A2114" t="str">
        <f t="shared" si="871"/>
        <v>NAVAIR LAKEHURST</v>
      </c>
      <c r="B2114" t="str">
        <f>T("HWY 547 252300B B120 2")</f>
        <v>HWY 547 252300B B120 2</v>
      </c>
      <c r="C2114" t="str">
        <f t="shared" si="878"/>
        <v/>
      </c>
      <c r="D2114" t="str">
        <f t="shared" si="876"/>
        <v>LAKEHURST</v>
      </c>
      <c r="E2114" t="str">
        <f t="shared" si="873"/>
        <v>NJ</v>
      </c>
      <c r="F2114" t="str">
        <f t="shared" si="877"/>
        <v>087330000</v>
      </c>
      <c r="G2114" t="str">
        <f>T("HWY 547 252300B B120 2")</f>
        <v>HWY 547 252300B B120 2</v>
      </c>
      <c r="H2114" t="str">
        <f>T("")</f>
        <v/>
      </c>
      <c r="I2114" t="str">
        <f t="shared" si="875"/>
        <v>LAKEHURST</v>
      </c>
      <c r="J2114" t="str">
        <f t="shared" si="874"/>
        <v>NJ</v>
      </c>
      <c r="K2114" t="str">
        <f t="shared" si="872"/>
        <v>000000000000000000</v>
      </c>
      <c r="L2114" t="str">
        <f>T("7323232067")</f>
        <v>7323232067</v>
      </c>
    </row>
    <row r="2115" spans="1:12" x14ac:dyDescent="0.35">
      <c r="A2115" t="str">
        <f t="shared" si="871"/>
        <v>NAVAIR LAKEHURST</v>
      </c>
      <c r="B2115" t="str">
        <f>T("HWY 547 252300B B120 2")</f>
        <v>HWY 547 252300B B120 2</v>
      </c>
      <c r="C2115" t="str">
        <f t="shared" si="878"/>
        <v/>
      </c>
      <c r="D2115" t="str">
        <f t="shared" si="876"/>
        <v>LAKEHURST</v>
      </c>
      <c r="E2115" t="str">
        <f t="shared" si="873"/>
        <v>NJ</v>
      </c>
      <c r="F2115" t="str">
        <f t="shared" si="877"/>
        <v>087330000</v>
      </c>
      <c r="G2115" t="str">
        <f>T("HWY 547 25230B148-1")</f>
        <v>HWY 547 25230B148-1</v>
      </c>
      <c r="H2115" t="str">
        <f>T("")</f>
        <v/>
      </c>
      <c r="I2115" t="str">
        <f t="shared" si="875"/>
        <v>LAKEHURST</v>
      </c>
      <c r="J2115" t="str">
        <f t="shared" si="874"/>
        <v>NJ</v>
      </c>
      <c r="K2115" t="str">
        <f t="shared" si="872"/>
        <v>000000000000000000</v>
      </c>
      <c r="L2115" t="str">
        <f>T("7323232056")</f>
        <v>7323232056</v>
      </c>
    </row>
    <row r="2116" spans="1:12" x14ac:dyDescent="0.35">
      <c r="A2116" t="str">
        <f t="shared" si="871"/>
        <v>NAVAIR LAKEHURST</v>
      </c>
      <c r="B2116" t="str">
        <f>T("HWY 547 252300B B120 2")</f>
        <v>HWY 547 252300B B120 2</v>
      </c>
      <c r="C2116" t="str">
        <f t="shared" si="878"/>
        <v/>
      </c>
      <c r="D2116" t="str">
        <f t="shared" si="876"/>
        <v>LAKEHURST</v>
      </c>
      <c r="E2116" t="str">
        <f t="shared" si="873"/>
        <v>NJ</v>
      </c>
      <c r="F2116" t="str">
        <f t="shared" si="877"/>
        <v>087330000</v>
      </c>
      <c r="G2116" t="str">
        <f>T("HWY 547 BLDG 562-3C")</f>
        <v>HWY 547 BLDG 562-3C</v>
      </c>
      <c r="H2116" t="str">
        <f>T("")</f>
        <v/>
      </c>
      <c r="I2116" t="str">
        <f t="shared" si="875"/>
        <v>LAKEHURST</v>
      </c>
      <c r="J2116" t="str">
        <f t="shared" si="874"/>
        <v>NJ</v>
      </c>
      <c r="K2116" t="str">
        <f t="shared" si="872"/>
        <v>000000000000000000</v>
      </c>
      <c r="L2116" t="str">
        <f>T("7323232741")</f>
        <v>7323232741</v>
      </c>
    </row>
    <row r="2117" spans="1:12" x14ac:dyDescent="0.35">
      <c r="A2117" t="str">
        <f t="shared" si="871"/>
        <v>NAVAIR LAKEHURST</v>
      </c>
      <c r="B2117" t="str">
        <f>T("HWY 547 48B150 2")</f>
        <v>HWY 547 48B150 2</v>
      </c>
      <c r="C2117" t="str">
        <f t="shared" si="878"/>
        <v/>
      </c>
      <c r="D2117" t="str">
        <f t="shared" si="876"/>
        <v>LAKEHURST</v>
      </c>
      <c r="E2117" t="str">
        <f t="shared" si="873"/>
        <v>NJ</v>
      </c>
      <c r="F2117" t="str">
        <f t="shared" si="877"/>
        <v>087330000</v>
      </c>
      <c r="G2117" t="str">
        <f>T("HWY 547 48B150 2")</f>
        <v>HWY 547 48B150 2</v>
      </c>
      <c r="H2117" t="str">
        <f>T("")</f>
        <v/>
      </c>
      <c r="I2117" t="str">
        <f t="shared" si="875"/>
        <v>LAKEHURST</v>
      </c>
      <c r="J2117" t="str">
        <f t="shared" si="874"/>
        <v>NJ</v>
      </c>
      <c r="K2117" t="str">
        <f t="shared" si="872"/>
        <v>000000000000000000</v>
      </c>
      <c r="L2117" t="str">
        <f>T("7323237767")</f>
        <v>7323237767</v>
      </c>
    </row>
    <row r="2118" spans="1:12" x14ac:dyDescent="0.35">
      <c r="A2118" t="str">
        <f t="shared" si="871"/>
        <v>NAVAIR LAKEHURST</v>
      </c>
      <c r="B2118" t="str">
        <f>T("HWY 547 48B150 2")</f>
        <v>HWY 547 48B150 2</v>
      </c>
      <c r="C2118" t="str">
        <f t="shared" si="878"/>
        <v/>
      </c>
      <c r="D2118" t="str">
        <f t="shared" si="876"/>
        <v>LAKEHURST</v>
      </c>
      <c r="E2118" t="str">
        <f t="shared" si="873"/>
        <v>NJ</v>
      </c>
      <c r="F2118" t="str">
        <f t="shared" si="877"/>
        <v>087330000</v>
      </c>
      <c r="G2118" t="str">
        <f>T("HWY 547 CODE 4 8 3 3")</f>
        <v>HWY 547 CODE 4 8 3 3</v>
      </c>
      <c r="H2118" t="str">
        <f>T("BLDG 678 RM 119")</f>
        <v>BLDG 678 RM 119</v>
      </c>
      <c r="I2118" t="str">
        <f t="shared" si="875"/>
        <v>LAKEHURST</v>
      </c>
      <c r="J2118" t="str">
        <f t="shared" si="874"/>
        <v>NJ</v>
      </c>
      <c r="K2118" t="str">
        <f t="shared" si="872"/>
        <v>000000000000000000</v>
      </c>
      <c r="L2118" t="str">
        <f>T("7323232798")</f>
        <v>7323232798</v>
      </c>
    </row>
    <row r="2119" spans="1:12" x14ac:dyDescent="0.35">
      <c r="A2119" t="str">
        <f t="shared" si="871"/>
        <v>NAVAIR LAKEHURST</v>
      </c>
      <c r="B2119" t="str">
        <f>T("HWY 547 48B150 2")</f>
        <v>HWY 547 48B150 2</v>
      </c>
      <c r="C2119" t="str">
        <f t="shared" si="878"/>
        <v/>
      </c>
      <c r="D2119" t="str">
        <f t="shared" si="876"/>
        <v>LAKEHURST</v>
      </c>
      <c r="E2119" t="str">
        <f t="shared" si="873"/>
        <v>NJ</v>
      </c>
      <c r="F2119" t="str">
        <f t="shared" si="877"/>
        <v>087330000</v>
      </c>
      <c r="G2119" t="str">
        <f>T("HWY 547 CODE 48000SB150-2")</f>
        <v>HWY 547 CODE 48000SB150-2</v>
      </c>
      <c r="H2119" t="str">
        <f>T("")</f>
        <v/>
      </c>
      <c r="I2119" t="str">
        <f t="shared" si="875"/>
        <v>LAKEHURST</v>
      </c>
      <c r="J2119" t="str">
        <f t="shared" si="874"/>
        <v>NJ</v>
      </c>
      <c r="K2119" t="str">
        <f t="shared" si="872"/>
        <v>000000000000000000</v>
      </c>
      <c r="L2119" t="str">
        <f>T("7323232335")</f>
        <v>7323232335</v>
      </c>
    </row>
    <row r="2120" spans="1:12" x14ac:dyDescent="0.35">
      <c r="A2120" t="str">
        <f t="shared" ref="A2120:A2151" si="879">T("NAVAIR LAKEHURST")</f>
        <v>NAVAIR LAKEHURST</v>
      </c>
      <c r="B2120" t="str">
        <f>T("HWY 547 BLDG 362")</f>
        <v>HWY 547 BLDG 362</v>
      </c>
      <c r="C2120" t="str">
        <f t="shared" si="878"/>
        <v/>
      </c>
      <c r="D2120" t="str">
        <f t="shared" si="876"/>
        <v>LAKEHURST</v>
      </c>
      <c r="E2120" t="str">
        <f t="shared" si="873"/>
        <v>NJ</v>
      </c>
      <c r="F2120" t="str">
        <f t="shared" si="877"/>
        <v>087330000</v>
      </c>
      <c r="G2120" t="str">
        <f>T("HWY 547 BLDG 362")</f>
        <v>HWY 547 BLDG 362</v>
      </c>
      <c r="H2120" t="str">
        <f>T("")</f>
        <v/>
      </c>
      <c r="I2120" t="str">
        <f t="shared" si="875"/>
        <v>LAKEHURST</v>
      </c>
      <c r="J2120" t="str">
        <f t="shared" si="874"/>
        <v>NJ</v>
      </c>
      <c r="K2120" t="str">
        <f t="shared" si="872"/>
        <v>000000000000000000</v>
      </c>
      <c r="L2120" t="str">
        <f>T("7323234990")</f>
        <v>7323234990</v>
      </c>
    </row>
    <row r="2121" spans="1:12" x14ac:dyDescent="0.35">
      <c r="A2121" t="str">
        <f t="shared" si="879"/>
        <v>NAVAIR LAKEHURST</v>
      </c>
      <c r="B2121" t="str">
        <f>T("HWY 547 BLDG 362")</f>
        <v>HWY 547 BLDG 362</v>
      </c>
      <c r="C2121" t="str">
        <f t="shared" si="878"/>
        <v/>
      </c>
      <c r="D2121" t="str">
        <f t="shared" si="876"/>
        <v>LAKEHURST</v>
      </c>
      <c r="E2121" t="str">
        <f t="shared" si="873"/>
        <v>NJ</v>
      </c>
      <c r="F2121" t="str">
        <f t="shared" si="877"/>
        <v>087330000</v>
      </c>
      <c r="G2121" t="str">
        <f>T("HWY 547 BLDG 362")</f>
        <v>HWY 547 BLDG 362</v>
      </c>
      <c r="H2121" t="str">
        <f>T("")</f>
        <v/>
      </c>
      <c r="I2121" t="str">
        <f t="shared" si="875"/>
        <v>LAKEHURST</v>
      </c>
      <c r="J2121" t="str">
        <f t="shared" si="874"/>
        <v>NJ</v>
      </c>
      <c r="K2121" t="str">
        <f t="shared" si="872"/>
        <v>000000000000000000</v>
      </c>
      <c r="L2121" t="str">
        <f>T("7323234991")</f>
        <v>7323234991</v>
      </c>
    </row>
    <row r="2122" spans="1:12" x14ac:dyDescent="0.35">
      <c r="A2122" t="str">
        <f t="shared" si="879"/>
        <v>NAVAIR LAKEHURST</v>
      </c>
      <c r="B2122" t="str">
        <f>T("HWY 547 BLDG 362")</f>
        <v>HWY 547 BLDG 362</v>
      </c>
      <c r="C2122" t="str">
        <f t="shared" si="878"/>
        <v/>
      </c>
      <c r="D2122" t="str">
        <f t="shared" si="876"/>
        <v>LAKEHURST</v>
      </c>
      <c r="E2122" t="str">
        <f t="shared" si="873"/>
        <v>NJ</v>
      </c>
      <c r="F2122" t="str">
        <f t="shared" si="877"/>
        <v>087330000</v>
      </c>
      <c r="G2122" t="str">
        <f>T("HWY 547 BLDG 362")</f>
        <v>HWY 547 BLDG 362</v>
      </c>
      <c r="H2122" t="str">
        <f>T("")</f>
        <v/>
      </c>
      <c r="I2122" t="str">
        <f t="shared" si="875"/>
        <v>LAKEHURST</v>
      </c>
      <c r="J2122" t="str">
        <f t="shared" si="874"/>
        <v>NJ</v>
      </c>
      <c r="K2122" t="str">
        <f>T("732-323-7240")</f>
        <v>732-323-7240</v>
      </c>
      <c r="L2122" t="str">
        <f>T("7323234991")</f>
        <v>7323234991</v>
      </c>
    </row>
    <row r="2123" spans="1:12" x14ac:dyDescent="0.35">
      <c r="A2123" t="str">
        <f t="shared" si="879"/>
        <v>NAVAIR LAKEHURST</v>
      </c>
      <c r="B2123" t="str">
        <f t="shared" ref="B2123:B2129" si="880">T("HWY 547 BLDG 596 2")</f>
        <v>HWY 547 BLDG 596 2</v>
      </c>
      <c r="C2123" t="str">
        <f t="shared" ref="C2123:C2129" si="881">T("CODE 7 1 3 1")</f>
        <v>CODE 7 1 3 1</v>
      </c>
      <c r="D2123" t="str">
        <f t="shared" si="876"/>
        <v>LAKEHURST</v>
      </c>
      <c r="E2123" t="str">
        <f t="shared" si="873"/>
        <v>NJ</v>
      </c>
      <c r="F2123" t="str">
        <f t="shared" si="877"/>
        <v>087330000</v>
      </c>
      <c r="G2123" t="str">
        <f>T("BLDG 355 TEST DEPARTMENT")</f>
        <v>BLDG 355 TEST DEPARTMENT</v>
      </c>
      <c r="H2123" t="str">
        <f>T("HWY 547")</f>
        <v>HWY 547</v>
      </c>
      <c r="I2123" t="str">
        <f t="shared" si="875"/>
        <v>LAKEHURST</v>
      </c>
      <c r="J2123" t="str">
        <f t="shared" si="874"/>
        <v>NJ</v>
      </c>
      <c r="K2123" t="str">
        <f t="shared" ref="K2123:K2139" si="882">T("000000000000000000")</f>
        <v>000000000000000000</v>
      </c>
      <c r="L2123" t="str">
        <f>T("7323234016")</f>
        <v>7323234016</v>
      </c>
    </row>
    <row r="2124" spans="1:12" x14ac:dyDescent="0.35">
      <c r="A2124" t="str">
        <f t="shared" si="879"/>
        <v>NAVAIR LAKEHURST</v>
      </c>
      <c r="B2124" t="str">
        <f t="shared" si="880"/>
        <v>HWY 547 BLDG 596 2</v>
      </c>
      <c r="C2124" t="str">
        <f t="shared" si="881"/>
        <v>CODE 7 1 3 1</v>
      </c>
      <c r="D2124" t="str">
        <f t="shared" si="876"/>
        <v>LAKEHURST</v>
      </c>
      <c r="E2124" t="str">
        <f t="shared" si="873"/>
        <v>NJ</v>
      </c>
      <c r="F2124" t="str">
        <f t="shared" si="877"/>
        <v>087330000</v>
      </c>
      <c r="G2124" t="str">
        <f>T("BLDG 562-2")</f>
        <v>BLDG 562-2</v>
      </c>
      <c r="H2124" t="str">
        <f>T("RT 547")</f>
        <v>RT 547</v>
      </c>
      <c r="I2124" t="str">
        <f t="shared" si="875"/>
        <v>LAKEHURST</v>
      </c>
      <c r="J2124" t="str">
        <f t="shared" si="874"/>
        <v>NJ</v>
      </c>
      <c r="K2124" t="str">
        <f t="shared" si="882"/>
        <v>000000000000000000</v>
      </c>
      <c r="L2124" t="str">
        <f>T("7323232980")</f>
        <v>7323232980</v>
      </c>
    </row>
    <row r="2125" spans="1:12" x14ac:dyDescent="0.35">
      <c r="A2125" t="str">
        <f t="shared" si="879"/>
        <v>NAVAIR LAKEHURST</v>
      </c>
      <c r="B2125" t="str">
        <f t="shared" si="880"/>
        <v>HWY 547 BLDG 596 2</v>
      </c>
      <c r="C2125" t="str">
        <f t="shared" si="881"/>
        <v>CODE 7 1 3 1</v>
      </c>
      <c r="D2125" t="str">
        <f t="shared" si="876"/>
        <v>LAKEHURST</v>
      </c>
      <c r="E2125" t="str">
        <f t="shared" si="873"/>
        <v>NJ</v>
      </c>
      <c r="F2125" t="str">
        <f t="shared" si="877"/>
        <v>087330000</v>
      </c>
      <c r="G2125" t="str">
        <f>T("HWY 547 BLDG 150-1")</f>
        <v>HWY 547 BLDG 150-1</v>
      </c>
      <c r="H2125" t="str">
        <f>T("CODE 7131")</f>
        <v>CODE 7131</v>
      </c>
      <c r="I2125" t="str">
        <f t="shared" si="875"/>
        <v>LAKEHURST</v>
      </c>
      <c r="J2125" t="str">
        <f t="shared" si="874"/>
        <v>NJ</v>
      </c>
      <c r="K2125" t="str">
        <f t="shared" si="882"/>
        <v>000000000000000000</v>
      </c>
      <c r="L2125" t="str">
        <f>T("7323231021")</f>
        <v>7323231021</v>
      </c>
    </row>
    <row r="2126" spans="1:12" x14ac:dyDescent="0.35">
      <c r="A2126" t="str">
        <f t="shared" si="879"/>
        <v>NAVAIR LAKEHURST</v>
      </c>
      <c r="B2126" t="str">
        <f t="shared" si="880"/>
        <v>HWY 547 BLDG 596 2</v>
      </c>
      <c r="C2126" t="str">
        <f t="shared" si="881"/>
        <v>CODE 7 1 3 1</v>
      </c>
      <c r="D2126" t="str">
        <f t="shared" si="876"/>
        <v>LAKEHURST</v>
      </c>
      <c r="E2126" t="str">
        <f t="shared" si="873"/>
        <v>NJ</v>
      </c>
      <c r="F2126" t="str">
        <f t="shared" si="877"/>
        <v>087330000</v>
      </c>
      <c r="G2126" t="str">
        <f>T("HWY 547 BLDG 150-2")</f>
        <v>HWY 547 BLDG 150-2</v>
      </c>
      <c r="H2126" t="str">
        <f>T("CODE 7131")</f>
        <v>CODE 7131</v>
      </c>
      <c r="I2126" t="str">
        <f t="shared" si="875"/>
        <v>LAKEHURST</v>
      </c>
      <c r="J2126" t="str">
        <f t="shared" si="874"/>
        <v>NJ</v>
      </c>
      <c r="K2126" t="str">
        <f t="shared" si="882"/>
        <v>000000000000000000</v>
      </c>
      <c r="L2126" t="str">
        <f>T("7323235302")</f>
        <v>7323235302</v>
      </c>
    </row>
    <row r="2127" spans="1:12" x14ac:dyDescent="0.35">
      <c r="A2127" t="str">
        <f t="shared" si="879"/>
        <v>NAVAIR LAKEHURST</v>
      </c>
      <c r="B2127" t="str">
        <f t="shared" si="880"/>
        <v>HWY 547 BLDG 596 2</v>
      </c>
      <c r="C2127" t="str">
        <f t="shared" si="881"/>
        <v>CODE 7 1 3 1</v>
      </c>
      <c r="D2127" t="str">
        <f t="shared" si="876"/>
        <v>LAKEHURST</v>
      </c>
      <c r="E2127" t="str">
        <f t="shared" si="873"/>
        <v>NJ</v>
      </c>
      <c r="F2127" t="str">
        <f t="shared" si="877"/>
        <v>087330000</v>
      </c>
      <c r="G2127" t="str">
        <f>T("HWY 547 BLDG 562-3")</f>
        <v>HWY 547 BLDG 562-3</v>
      </c>
      <c r="H2127" t="str">
        <f>T("CODE 7131")</f>
        <v>CODE 7131</v>
      </c>
      <c r="I2127" t="str">
        <f t="shared" si="875"/>
        <v>LAKEHURST</v>
      </c>
      <c r="J2127" t="str">
        <f t="shared" si="874"/>
        <v>NJ</v>
      </c>
      <c r="K2127" t="str">
        <f t="shared" si="882"/>
        <v>000000000000000000</v>
      </c>
      <c r="L2127" t="str">
        <f>T("7323232464")</f>
        <v>7323232464</v>
      </c>
    </row>
    <row r="2128" spans="1:12" x14ac:dyDescent="0.35">
      <c r="A2128" t="str">
        <f t="shared" si="879"/>
        <v>NAVAIR LAKEHURST</v>
      </c>
      <c r="B2128" t="str">
        <f t="shared" si="880"/>
        <v>HWY 547 BLDG 596 2</v>
      </c>
      <c r="C2128" t="str">
        <f t="shared" si="881"/>
        <v>CODE 7 1 3 1</v>
      </c>
      <c r="D2128" t="str">
        <f t="shared" si="876"/>
        <v>LAKEHURST</v>
      </c>
      <c r="E2128" t="str">
        <f t="shared" si="873"/>
        <v>NJ</v>
      </c>
      <c r="F2128" t="str">
        <f t="shared" si="877"/>
        <v>087330000</v>
      </c>
      <c r="G2128" t="str">
        <f>T("HWY 547 BLDG 596 2")</f>
        <v>HWY 547 BLDG 596 2</v>
      </c>
      <c r="H2128" t="str">
        <f>T("CODE 7 1 3 1")</f>
        <v>CODE 7 1 3 1</v>
      </c>
      <c r="I2128" t="str">
        <f t="shared" si="875"/>
        <v>LAKEHURST</v>
      </c>
      <c r="J2128" t="str">
        <f t="shared" si="874"/>
        <v>NJ</v>
      </c>
      <c r="K2128" t="str">
        <f t="shared" si="882"/>
        <v>000000000000000000</v>
      </c>
      <c r="L2128" t="str">
        <f>T("7323232980")</f>
        <v>7323232980</v>
      </c>
    </row>
    <row r="2129" spans="1:12" x14ac:dyDescent="0.35">
      <c r="A2129" t="str">
        <f t="shared" si="879"/>
        <v>NAVAIR LAKEHURST</v>
      </c>
      <c r="B2129" t="str">
        <f t="shared" si="880"/>
        <v>HWY 547 BLDG 596 2</v>
      </c>
      <c r="C2129" t="str">
        <f t="shared" si="881"/>
        <v>CODE 7 1 3 1</v>
      </c>
      <c r="D2129" t="str">
        <f t="shared" si="876"/>
        <v>LAKEHURST</v>
      </c>
      <c r="E2129" t="str">
        <f t="shared" si="873"/>
        <v>NJ</v>
      </c>
      <c r="F2129" t="str">
        <f t="shared" si="877"/>
        <v>087330000</v>
      </c>
      <c r="G2129" t="str">
        <f>T("HWY 547 BLDG 596-2")</f>
        <v>HWY 547 BLDG 596-2</v>
      </c>
      <c r="H2129" t="str">
        <f>T("CODE 7131")</f>
        <v>CODE 7131</v>
      </c>
      <c r="I2129" t="str">
        <f t="shared" si="875"/>
        <v>LAKEHURST</v>
      </c>
      <c r="J2129" t="str">
        <f t="shared" si="874"/>
        <v>NJ</v>
      </c>
      <c r="K2129" t="str">
        <f t="shared" si="882"/>
        <v>000000000000000000</v>
      </c>
      <c r="L2129" t="str">
        <f>T("7323237011")</f>
        <v>7323237011</v>
      </c>
    </row>
    <row r="2130" spans="1:12" x14ac:dyDescent="0.35">
      <c r="A2130" t="str">
        <f t="shared" si="879"/>
        <v>NAVAIR LAKEHURST</v>
      </c>
      <c r="B2130" t="str">
        <f>T("HWY 547 CODE 10 2 5 B120 1")</f>
        <v>HWY 547 CODE 10 2 5 B120 1</v>
      </c>
      <c r="C2130" t="str">
        <f t="shared" ref="C2130:C2138" si="883">T("")</f>
        <v/>
      </c>
      <c r="D2130" t="str">
        <f t="shared" si="876"/>
        <v>LAKEHURST</v>
      </c>
      <c r="E2130" t="str">
        <f t="shared" si="873"/>
        <v>NJ</v>
      </c>
      <c r="F2130" t="str">
        <f t="shared" si="877"/>
        <v>087330000</v>
      </c>
      <c r="G2130" t="str">
        <f>T("HIGHWAY 547 BUILDING 120")</f>
        <v>HIGHWAY 547 BUILDING 120</v>
      </c>
      <c r="H2130" t="str">
        <f>T("")</f>
        <v/>
      </c>
      <c r="I2130" t="str">
        <f t="shared" si="875"/>
        <v>LAKEHURST</v>
      </c>
      <c r="J2130" t="str">
        <f t="shared" si="874"/>
        <v>NJ</v>
      </c>
      <c r="K2130" t="str">
        <f t="shared" si="882"/>
        <v>000000000000000000</v>
      </c>
      <c r="L2130" t="str">
        <f>T("7323232127")</f>
        <v>7323232127</v>
      </c>
    </row>
    <row r="2131" spans="1:12" x14ac:dyDescent="0.35">
      <c r="A2131" t="str">
        <f t="shared" si="879"/>
        <v>NAVAIR LAKEHURST</v>
      </c>
      <c r="B2131" t="str">
        <f>T("HWY 547 CODE 10 2 5 B120 1")</f>
        <v>HWY 547 CODE 10 2 5 B120 1</v>
      </c>
      <c r="C2131" t="str">
        <f t="shared" si="883"/>
        <v/>
      </c>
      <c r="D2131" t="str">
        <f t="shared" si="876"/>
        <v>LAKEHURST</v>
      </c>
      <c r="E2131" t="str">
        <f t="shared" si="873"/>
        <v>NJ</v>
      </c>
      <c r="F2131" t="str">
        <f t="shared" si="877"/>
        <v>087330000</v>
      </c>
      <c r="G2131" t="str">
        <f>T("HWY 547 BLDG 120-1")</f>
        <v>HWY 547 BLDG 120-1</v>
      </c>
      <c r="H2131" t="str">
        <f>T("")</f>
        <v/>
      </c>
      <c r="I2131" t="str">
        <f t="shared" si="875"/>
        <v>LAKEHURST</v>
      </c>
      <c r="J2131" t="str">
        <f t="shared" si="874"/>
        <v>NJ</v>
      </c>
      <c r="K2131" t="str">
        <f t="shared" si="882"/>
        <v>000000000000000000</v>
      </c>
      <c r="L2131" t="str">
        <f>T("7323232364")</f>
        <v>7323232364</v>
      </c>
    </row>
    <row r="2132" spans="1:12" x14ac:dyDescent="0.35">
      <c r="A2132" t="str">
        <f t="shared" si="879"/>
        <v>NAVAIR LAKEHURST</v>
      </c>
      <c r="B2132" t="str">
        <f>T("HWY 547 CODE 10 2 5 B120 1")</f>
        <v>HWY 547 CODE 10 2 5 B120 1</v>
      </c>
      <c r="C2132" t="str">
        <f t="shared" si="883"/>
        <v/>
      </c>
      <c r="D2132" t="str">
        <f t="shared" si="876"/>
        <v>LAKEHURST</v>
      </c>
      <c r="E2132" t="str">
        <f t="shared" si="873"/>
        <v>NJ</v>
      </c>
      <c r="F2132" t="str">
        <f t="shared" si="877"/>
        <v>087330000</v>
      </c>
      <c r="G2132" t="str">
        <f>T("HWY 547 CODE 10 2 5 B120 1")</f>
        <v>HWY 547 CODE 10 2 5 B120 1</v>
      </c>
      <c r="H2132" t="str">
        <f>T("")</f>
        <v/>
      </c>
      <c r="I2132" t="str">
        <f t="shared" si="875"/>
        <v>LAKEHURST</v>
      </c>
      <c r="J2132" t="str">
        <f t="shared" si="874"/>
        <v>NJ</v>
      </c>
      <c r="K2132" t="str">
        <f t="shared" si="882"/>
        <v>000000000000000000</v>
      </c>
      <c r="L2132" t="str">
        <f>T("7323232364")</f>
        <v>7323232364</v>
      </c>
    </row>
    <row r="2133" spans="1:12" x14ac:dyDescent="0.35">
      <c r="A2133" t="str">
        <f t="shared" si="879"/>
        <v>NAVAIR LAKEHURST</v>
      </c>
      <c r="B2133" t="str">
        <f>T("HWY 547 CODE 48900B355 2")</f>
        <v>HWY 547 CODE 48900B355 2</v>
      </c>
      <c r="C2133" t="str">
        <f t="shared" si="883"/>
        <v/>
      </c>
      <c r="D2133" t="str">
        <f t="shared" si="876"/>
        <v>LAKEHURST</v>
      </c>
      <c r="E2133" t="str">
        <f t="shared" si="873"/>
        <v>NJ</v>
      </c>
      <c r="F2133" t="str">
        <f t="shared" si="877"/>
        <v>087330000</v>
      </c>
      <c r="G2133" t="str">
        <f>T("HWY 547 4 8 8 1B355-2")</f>
        <v>HWY 547 4 8 8 1B355-2</v>
      </c>
      <c r="H2133" t="str">
        <f>T("")</f>
        <v/>
      </c>
      <c r="I2133" t="str">
        <f t="shared" si="875"/>
        <v>LAKEHURST</v>
      </c>
      <c r="J2133" t="str">
        <f t="shared" si="874"/>
        <v>NJ</v>
      </c>
      <c r="K2133" t="str">
        <f t="shared" si="882"/>
        <v>000000000000000000</v>
      </c>
      <c r="L2133" t="str">
        <f>T("7323237058")</f>
        <v>7323237058</v>
      </c>
    </row>
    <row r="2134" spans="1:12" x14ac:dyDescent="0.35">
      <c r="A2134" t="str">
        <f t="shared" si="879"/>
        <v>NAVAIR LAKEHURST</v>
      </c>
      <c r="B2134" t="str">
        <f>T("HWY 547 CODE 48900B355 2")</f>
        <v>HWY 547 CODE 48900B355 2</v>
      </c>
      <c r="C2134" t="str">
        <f t="shared" si="883"/>
        <v/>
      </c>
      <c r="D2134" t="str">
        <f t="shared" si="876"/>
        <v>LAKEHURST</v>
      </c>
      <c r="E2134" t="str">
        <f t="shared" si="873"/>
        <v>NJ</v>
      </c>
      <c r="F2134" t="str">
        <f t="shared" si="877"/>
        <v>087330000</v>
      </c>
      <c r="G2134" t="str">
        <f>T("HWY 547 CODE 4 8 8 1")</f>
        <v>HWY 547 CODE 4 8 8 1</v>
      </c>
      <c r="H2134" t="str">
        <f>T("BLDG 355")</f>
        <v>BLDG 355</v>
      </c>
      <c r="I2134" t="str">
        <f t="shared" si="875"/>
        <v>LAKEHURST</v>
      </c>
      <c r="J2134" t="str">
        <f t="shared" si="874"/>
        <v>NJ</v>
      </c>
      <c r="K2134" t="str">
        <f t="shared" si="882"/>
        <v>000000000000000000</v>
      </c>
      <c r="L2134" t="str">
        <f>T("7323237613")</f>
        <v>7323237613</v>
      </c>
    </row>
    <row r="2135" spans="1:12" x14ac:dyDescent="0.35">
      <c r="A2135" t="str">
        <f t="shared" si="879"/>
        <v>NAVAIR LAKEHURST</v>
      </c>
      <c r="B2135" t="str">
        <f>T("HWY 547 CODE 48900B355 2")</f>
        <v>HWY 547 CODE 48900B355 2</v>
      </c>
      <c r="C2135" t="str">
        <f t="shared" si="883"/>
        <v/>
      </c>
      <c r="D2135" t="str">
        <f t="shared" si="876"/>
        <v>LAKEHURST</v>
      </c>
      <c r="E2135" t="str">
        <f t="shared" si="873"/>
        <v>NJ</v>
      </c>
      <c r="F2135" t="str">
        <f t="shared" si="877"/>
        <v>087330000</v>
      </c>
      <c r="G2135" t="str">
        <f>T("HWY 547 CODE 48900B355 2")</f>
        <v>HWY 547 CODE 48900B355 2</v>
      </c>
      <c r="H2135" t="str">
        <f>T("")</f>
        <v/>
      </c>
      <c r="I2135" t="str">
        <f t="shared" si="875"/>
        <v>LAKEHURST</v>
      </c>
      <c r="J2135" t="str">
        <f t="shared" si="874"/>
        <v>NJ</v>
      </c>
      <c r="K2135" t="str">
        <f t="shared" si="882"/>
        <v>000000000000000000</v>
      </c>
      <c r="L2135" t="str">
        <f>T("7323237854")</f>
        <v>7323237854</v>
      </c>
    </row>
    <row r="2136" spans="1:12" x14ac:dyDescent="0.35">
      <c r="A2136" t="str">
        <f t="shared" si="879"/>
        <v>NAVAIR LAKEHURST</v>
      </c>
      <c r="B2136" t="str">
        <f>T("HWY 547 CODE 7242B120 1")</f>
        <v>HWY 547 CODE 7242B120 1</v>
      </c>
      <c r="C2136" t="str">
        <f t="shared" si="883"/>
        <v/>
      </c>
      <c r="D2136" t="str">
        <f t="shared" si="876"/>
        <v>LAKEHURST</v>
      </c>
      <c r="E2136" t="str">
        <f t="shared" si="873"/>
        <v>NJ</v>
      </c>
      <c r="F2136" t="str">
        <f>T("087335082")</f>
        <v>087335082</v>
      </c>
      <c r="G2136" t="str">
        <f>T("HWY 547 CODE 7242B120 1")</f>
        <v>HWY 547 CODE 7242B120 1</v>
      </c>
      <c r="H2136" t="str">
        <f>T("")</f>
        <v/>
      </c>
      <c r="I2136" t="str">
        <f t="shared" si="875"/>
        <v>LAKEHURST</v>
      </c>
      <c r="J2136" t="str">
        <f t="shared" si="874"/>
        <v>NJ</v>
      </c>
      <c r="K2136" t="str">
        <f t="shared" si="882"/>
        <v>000000000000000000</v>
      </c>
      <c r="L2136" t="str">
        <f>T("7323231101")</f>
        <v>7323231101</v>
      </c>
    </row>
    <row r="2137" spans="1:12" x14ac:dyDescent="0.35">
      <c r="A2137" t="str">
        <f t="shared" si="879"/>
        <v>NAVAIR LAKEHURST</v>
      </c>
      <c r="B2137" t="str">
        <f>T("JBMDL ROUTE 547")</f>
        <v>JBMDL ROUTE 547</v>
      </c>
      <c r="C2137" t="str">
        <f t="shared" si="883"/>
        <v/>
      </c>
      <c r="D2137" t="str">
        <f t="shared" si="876"/>
        <v>LAKEHURST</v>
      </c>
      <c r="E2137" t="str">
        <f t="shared" si="873"/>
        <v>NJ</v>
      </c>
      <c r="F2137" t="str">
        <f t="shared" ref="F2137:F2168" si="884">T("087330000")</f>
        <v>087330000</v>
      </c>
      <c r="G2137" t="str">
        <f>T("JBMDL ROUTE 547")</f>
        <v>JBMDL ROUTE 547</v>
      </c>
      <c r="H2137" t="str">
        <f>T("")</f>
        <v/>
      </c>
      <c r="I2137" t="str">
        <f t="shared" si="875"/>
        <v>LAKEHURST</v>
      </c>
      <c r="J2137" t="str">
        <f t="shared" si="874"/>
        <v>NJ</v>
      </c>
      <c r="K2137" t="str">
        <f t="shared" si="882"/>
        <v>000000000000000000</v>
      </c>
      <c r="L2137" t="str">
        <f>T("7323237748")</f>
        <v>7323237748</v>
      </c>
    </row>
    <row r="2138" spans="1:12" x14ac:dyDescent="0.35">
      <c r="A2138" t="str">
        <f t="shared" si="879"/>
        <v>NAVAIR LAKEHURST</v>
      </c>
      <c r="B2138" t="str">
        <f>T("JBMDL ROUTE 547")</f>
        <v>JBMDL ROUTE 547</v>
      </c>
      <c r="C2138" t="str">
        <f t="shared" si="883"/>
        <v/>
      </c>
      <c r="D2138" t="str">
        <f t="shared" si="876"/>
        <v>LAKEHURST</v>
      </c>
      <c r="E2138" t="str">
        <f t="shared" si="873"/>
        <v>NJ</v>
      </c>
      <c r="F2138" t="str">
        <f t="shared" si="884"/>
        <v>087330000</v>
      </c>
      <c r="G2138" t="str">
        <f>T("RT 547 BLDG 574")</f>
        <v>RT 547 BLDG 574</v>
      </c>
      <c r="H2138" t="str">
        <f>T("")</f>
        <v/>
      </c>
      <c r="I2138" t="str">
        <f t="shared" si="875"/>
        <v>LAKEHURST</v>
      </c>
      <c r="J2138" t="str">
        <f t="shared" si="874"/>
        <v>NJ</v>
      </c>
      <c r="K2138" t="str">
        <f t="shared" si="882"/>
        <v>000000000000000000</v>
      </c>
      <c r="L2138" t="str">
        <f>T("7323231428")</f>
        <v>7323231428</v>
      </c>
    </row>
    <row r="2139" spans="1:12" x14ac:dyDescent="0.35">
      <c r="A2139" t="str">
        <f t="shared" si="879"/>
        <v>NAVAIR LAKEHURST</v>
      </c>
      <c r="B2139" t="str">
        <f>T("NAVAL AIR WARFARE CTR AIRCRAFT DIV")</f>
        <v>NAVAL AIR WARFARE CTR AIRCRAFT DIV</v>
      </c>
      <c r="C2139" t="str">
        <f>T("HWY 547 CODE 4L94B120-3")</f>
        <v>HWY 547 CODE 4L94B120-3</v>
      </c>
      <c r="D2139" t="str">
        <f t="shared" si="876"/>
        <v>LAKEHURST</v>
      </c>
      <c r="E2139" t="str">
        <f t="shared" si="873"/>
        <v>NJ</v>
      </c>
      <c r="F2139" t="str">
        <f t="shared" si="884"/>
        <v>087330000</v>
      </c>
      <c r="G2139" t="str">
        <f>T("HWY 547 BLDG 410")</f>
        <v>HWY 547 BLDG 410</v>
      </c>
      <c r="H2139" t="str">
        <f>T("")</f>
        <v/>
      </c>
      <c r="I2139" t="str">
        <f t="shared" si="875"/>
        <v>LAKEHURST</v>
      </c>
      <c r="J2139" t="str">
        <f t="shared" si="874"/>
        <v>NJ</v>
      </c>
      <c r="K2139" t="str">
        <f t="shared" si="882"/>
        <v>000000000000000000</v>
      </c>
      <c r="L2139" t="str">
        <f>T("7323237959")</f>
        <v>7323237959</v>
      </c>
    </row>
    <row r="2140" spans="1:12" x14ac:dyDescent="0.35">
      <c r="A2140" t="str">
        <f t="shared" si="879"/>
        <v>NAVAIR LAKEHURST</v>
      </c>
      <c r="B2140" t="str">
        <f>T("NAVAL AIR WARFARE CTR AIRCRAFT DIV")</f>
        <v>NAVAL AIR WARFARE CTR AIRCRAFT DIV</v>
      </c>
      <c r="C2140" t="str">
        <f>T("HWY 547 CODE 4L94B120-3")</f>
        <v>HWY 547 CODE 4L94B120-3</v>
      </c>
      <c r="D2140" t="str">
        <f t="shared" si="876"/>
        <v>LAKEHURST</v>
      </c>
      <c r="E2140" t="str">
        <f t="shared" ref="E2140:E2168" si="885">T("NJ")</f>
        <v>NJ</v>
      </c>
      <c r="F2140" t="str">
        <f t="shared" si="884"/>
        <v>087330000</v>
      </c>
      <c r="G2140" t="str">
        <f>T("NAVAL AIR WARFARE CTR AIRCRAFT DIV")</f>
        <v>NAVAL AIR WARFARE CTR AIRCRAFT DIV</v>
      </c>
      <c r="H2140" t="str">
        <f>T("HWY 547 CODE 4L94B120-3")</f>
        <v>HWY 547 CODE 4L94B120-3</v>
      </c>
      <c r="I2140" t="str">
        <f t="shared" si="875"/>
        <v>LAKEHURST</v>
      </c>
      <c r="J2140" t="str">
        <f t="shared" ref="J2140:J2168" si="886">T("NJ")</f>
        <v>NJ</v>
      </c>
      <c r="K2140" t="str">
        <f>T("7323237219")</f>
        <v>7323237219</v>
      </c>
      <c r="L2140" t="str">
        <f>T("7323234370")</f>
        <v>7323234370</v>
      </c>
    </row>
    <row r="2141" spans="1:12" x14ac:dyDescent="0.35">
      <c r="A2141" t="str">
        <f t="shared" si="879"/>
        <v>NAVAIR LAKEHURST</v>
      </c>
      <c r="B2141" t="str">
        <f>T("NAVAL AIR WARFARE CTR RM 180")</f>
        <v>NAVAL AIR WARFARE CTR RM 180</v>
      </c>
      <c r="C2141" t="str">
        <f>T("RT 547 CODE 4 8 8 5 BLDG 148")</f>
        <v>RT 547 CODE 4 8 8 5 BLDG 148</v>
      </c>
      <c r="D2141" t="str">
        <f t="shared" si="876"/>
        <v>LAKEHURST</v>
      </c>
      <c r="E2141" t="str">
        <f t="shared" si="885"/>
        <v>NJ</v>
      </c>
      <c r="F2141" t="str">
        <f t="shared" si="884"/>
        <v>087330000</v>
      </c>
      <c r="G2141" t="str">
        <f>T("HWY 547 CODE 4 8 8 5B148")</f>
        <v>HWY 547 CODE 4 8 8 5B148</v>
      </c>
      <c r="H2141" t="str">
        <f>T("")</f>
        <v/>
      </c>
      <c r="I2141" t="str">
        <f t="shared" si="875"/>
        <v>LAKEHURST</v>
      </c>
      <c r="J2141" t="str">
        <f t="shared" si="886"/>
        <v>NJ</v>
      </c>
      <c r="K2141" t="str">
        <f>T("000000000000000000")</f>
        <v>000000000000000000</v>
      </c>
      <c r="L2141" t="str">
        <f>T("7323232696")</f>
        <v>7323232696</v>
      </c>
    </row>
    <row r="2142" spans="1:12" x14ac:dyDescent="0.35">
      <c r="A2142" t="str">
        <f t="shared" si="879"/>
        <v>NAVAIR LAKEHURST</v>
      </c>
      <c r="B2142" t="str">
        <f>T("NAVAL AIR WARFARE CTR RM 180")</f>
        <v>NAVAL AIR WARFARE CTR RM 180</v>
      </c>
      <c r="C2142" t="str">
        <f>T("RT 547 CODE 4 8 8 5 BLDG 148")</f>
        <v>RT 547 CODE 4 8 8 5 BLDG 148</v>
      </c>
      <c r="D2142" t="str">
        <f t="shared" si="876"/>
        <v>LAKEHURST</v>
      </c>
      <c r="E2142" t="str">
        <f t="shared" si="885"/>
        <v>NJ</v>
      </c>
      <c r="F2142" t="str">
        <f t="shared" si="884"/>
        <v>087330000</v>
      </c>
      <c r="G2142" t="str">
        <f>T("NAVAL AIR WARFARE CTR RM 180")</f>
        <v>NAVAL AIR WARFARE CTR RM 180</v>
      </c>
      <c r="H2142" t="str">
        <f>T("RT 547 CODE 4 8 8 5 BLDG 148")</f>
        <v>RT 547 CODE 4 8 8 5 BLDG 148</v>
      </c>
      <c r="I2142" t="str">
        <f t="shared" si="875"/>
        <v>LAKEHURST</v>
      </c>
      <c r="J2142" t="str">
        <f t="shared" si="886"/>
        <v>NJ</v>
      </c>
      <c r="K2142" t="str">
        <f>T("")</f>
        <v/>
      </c>
      <c r="L2142" t="str">
        <f>T("7323231179")</f>
        <v>7323231179</v>
      </c>
    </row>
    <row r="2143" spans="1:12" x14ac:dyDescent="0.35">
      <c r="A2143" t="str">
        <f t="shared" si="879"/>
        <v>NAVAIR LAKEHURST</v>
      </c>
      <c r="B2143" t="str">
        <f>T("NAVAL AIR WARFARE CTR RM 180")</f>
        <v>NAVAL AIR WARFARE CTR RM 180</v>
      </c>
      <c r="C2143" t="str">
        <f>T("RT 547 CODE 4 8 8 5 BLDG 148")</f>
        <v>RT 547 CODE 4 8 8 5 BLDG 148</v>
      </c>
      <c r="D2143" t="str">
        <f t="shared" ref="D2143:D2168" si="887">T("LAKEHURST")</f>
        <v>LAKEHURST</v>
      </c>
      <c r="E2143" t="str">
        <f t="shared" si="885"/>
        <v>NJ</v>
      </c>
      <c r="F2143" t="str">
        <f t="shared" si="884"/>
        <v>087330000</v>
      </c>
      <c r="G2143" t="str">
        <f>T("ROUTE 547 JOINT BASE MDL")</f>
        <v>ROUTE 547 JOINT BASE MDL</v>
      </c>
      <c r="H2143" t="str">
        <f>T("4883/B148-2")</f>
        <v>4883/B148-2</v>
      </c>
      <c r="I2143" t="str">
        <f t="shared" si="875"/>
        <v>LAKEHURST</v>
      </c>
      <c r="J2143" t="str">
        <f t="shared" si="886"/>
        <v>NJ</v>
      </c>
      <c r="K2143" t="str">
        <f>T("000000000000000000")</f>
        <v>000000000000000000</v>
      </c>
      <c r="L2143" t="str">
        <f>T("7323232185")</f>
        <v>7323232185</v>
      </c>
    </row>
    <row r="2144" spans="1:12" x14ac:dyDescent="0.35">
      <c r="A2144" t="str">
        <f t="shared" si="879"/>
        <v>NAVAIR LAKEHURST</v>
      </c>
      <c r="B2144" t="str">
        <f>T("NAWC AD LAKEHURST")</f>
        <v>NAWC AD LAKEHURST</v>
      </c>
      <c r="C2144" t="str">
        <f>T("HWY 547 CODE 2.5.2.1.1 BLDG 562-3")</f>
        <v>HWY 547 CODE 2.5.2.1.1 BLDG 562-3</v>
      </c>
      <c r="D2144" t="str">
        <f t="shared" si="887"/>
        <v>LAKEHURST</v>
      </c>
      <c r="E2144" t="str">
        <f t="shared" si="885"/>
        <v>NJ</v>
      </c>
      <c r="F2144" t="str">
        <f t="shared" si="884"/>
        <v>087330000</v>
      </c>
      <c r="G2144" t="str">
        <f>T("HWY 547 BLDG 562 FLOOR 3")</f>
        <v>HWY 547 BLDG 562 FLOOR 3</v>
      </c>
      <c r="H2144" t="str">
        <f>T("")</f>
        <v/>
      </c>
      <c r="I2144" t="str">
        <f t="shared" si="875"/>
        <v>LAKEHURST</v>
      </c>
      <c r="J2144" t="str">
        <f t="shared" si="886"/>
        <v>NJ</v>
      </c>
      <c r="K2144" t="str">
        <f>T("000000000000000000")</f>
        <v>000000000000000000</v>
      </c>
      <c r="L2144" t="str">
        <f>T("7323231983")</f>
        <v>7323231983</v>
      </c>
    </row>
    <row r="2145" spans="1:12" x14ac:dyDescent="0.35">
      <c r="A2145" t="str">
        <f t="shared" si="879"/>
        <v>NAVAIR LAKEHURST</v>
      </c>
      <c r="B2145" t="str">
        <f>T("NAWC AD LAKEHURST")</f>
        <v>NAWC AD LAKEHURST</v>
      </c>
      <c r="C2145" t="str">
        <f>T("HWY 547 CODE 2.5.2.1.1 BLDG 562-3")</f>
        <v>HWY 547 CODE 2.5.2.1.1 BLDG 562-3</v>
      </c>
      <c r="D2145" t="str">
        <f t="shared" si="887"/>
        <v>LAKEHURST</v>
      </c>
      <c r="E2145" t="str">
        <f t="shared" si="885"/>
        <v>NJ</v>
      </c>
      <c r="F2145" t="str">
        <f t="shared" si="884"/>
        <v>087330000</v>
      </c>
      <c r="G2145" t="str">
        <f>T("HWY 547 BLDG 562-3")</f>
        <v>HWY 547 BLDG 562-3</v>
      </c>
      <c r="H2145" t="str">
        <f>T("CONTRACTS")</f>
        <v>CONTRACTS</v>
      </c>
      <c r="I2145" t="str">
        <f t="shared" si="875"/>
        <v>LAKEHURST</v>
      </c>
      <c r="J2145" t="str">
        <f t="shared" si="886"/>
        <v>NJ</v>
      </c>
      <c r="K2145" t="str">
        <f>T("000000000000000000")</f>
        <v>000000000000000000</v>
      </c>
      <c r="L2145" t="str">
        <f>T("7323232408")</f>
        <v>7323232408</v>
      </c>
    </row>
    <row r="2146" spans="1:12" x14ac:dyDescent="0.35">
      <c r="A2146" t="str">
        <f t="shared" si="879"/>
        <v>NAVAIR LAKEHURST</v>
      </c>
      <c r="B2146" t="str">
        <f>T("NAWC AD LAKEHURST")</f>
        <v>NAWC AD LAKEHURST</v>
      </c>
      <c r="C2146" t="str">
        <f>T("HWY 547 CODE 2.5.2.1.1 BLDG 562-3")</f>
        <v>HWY 547 CODE 2.5.2.1.1 BLDG 562-3</v>
      </c>
      <c r="D2146" t="str">
        <f t="shared" si="887"/>
        <v>LAKEHURST</v>
      </c>
      <c r="E2146" t="str">
        <f t="shared" si="885"/>
        <v>NJ</v>
      </c>
      <c r="F2146" t="str">
        <f t="shared" si="884"/>
        <v>087330000</v>
      </c>
      <c r="G2146" t="str">
        <f>T("NAWC AD LAKEHURST")</f>
        <v>NAWC AD LAKEHURST</v>
      </c>
      <c r="H2146" t="str">
        <f>T("HWY 547 CODE 2.5.2.1.1 BLDG 562-3")</f>
        <v>HWY 547 CODE 2.5.2.1.1 BLDG 562-3</v>
      </c>
      <c r="I2146" t="str">
        <f t="shared" si="875"/>
        <v>LAKEHURST</v>
      </c>
      <c r="J2146" t="str">
        <f t="shared" si="886"/>
        <v>NJ</v>
      </c>
      <c r="K2146" t="str">
        <f>T("000000000000000000")</f>
        <v>000000000000000000</v>
      </c>
      <c r="L2146" t="str">
        <f>T("7323232408")</f>
        <v>7323232408</v>
      </c>
    </row>
    <row r="2147" spans="1:12" x14ac:dyDescent="0.35">
      <c r="A2147" t="str">
        <f t="shared" si="879"/>
        <v>NAVAIR LAKEHURST</v>
      </c>
      <c r="B2147" t="str">
        <f>T("NAWCAD LAKEHURST DIVISION")</f>
        <v>NAWCAD LAKEHURST DIVISION</v>
      </c>
      <c r="C2147" t="str">
        <f>T("HWY 547, BLDG 362")</f>
        <v>HWY 547, BLDG 362</v>
      </c>
      <c r="D2147" t="str">
        <f t="shared" si="887"/>
        <v>LAKEHURST</v>
      </c>
      <c r="E2147" t="str">
        <f t="shared" si="885"/>
        <v>NJ</v>
      </c>
      <c r="F2147" t="str">
        <f t="shared" si="884"/>
        <v>087330000</v>
      </c>
      <c r="G2147" t="str">
        <f>T("NAWCAD LAKEHURST DIVISION")</f>
        <v>NAWCAD LAKEHURST DIVISION</v>
      </c>
      <c r="H2147" t="str">
        <f>T("HWY 547, BLDG 362")</f>
        <v>HWY 547, BLDG 362</v>
      </c>
      <c r="I2147" t="str">
        <f t="shared" si="875"/>
        <v>LAKEHURST</v>
      </c>
      <c r="J2147" t="str">
        <f t="shared" si="886"/>
        <v>NJ</v>
      </c>
      <c r="K2147" t="str">
        <f>T("732-323-7240")</f>
        <v>732-323-7240</v>
      </c>
      <c r="L2147" t="str">
        <f>T("7323234991")</f>
        <v>7323234991</v>
      </c>
    </row>
    <row r="2148" spans="1:12" x14ac:dyDescent="0.35">
      <c r="A2148" t="str">
        <f t="shared" si="879"/>
        <v>NAVAIR LAKEHURST</v>
      </c>
      <c r="B2148" t="str">
        <f>T("ROUTE 547 BLDG 410")</f>
        <v>ROUTE 547 BLDG 410</v>
      </c>
      <c r="C2148" t="str">
        <f>T("")</f>
        <v/>
      </c>
      <c r="D2148" t="str">
        <f t="shared" si="887"/>
        <v>LAKEHURST</v>
      </c>
      <c r="E2148" t="str">
        <f t="shared" si="885"/>
        <v>NJ</v>
      </c>
      <c r="F2148" t="str">
        <f t="shared" si="884"/>
        <v>087330000</v>
      </c>
      <c r="G2148" t="str">
        <f>T("ROUTE 547 BLDG 410")</f>
        <v>ROUTE 547 BLDG 410</v>
      </c>
      <c r="H2148" t="str">
        <f>T("")</f>
        <v/>
      </c>
      <c r="I2148" t="str">
        <f t="shared" si="875"/>
        <v>LAKEHURST</v>
      </c>
      <c r="J2148" t="str">
        <f t="shared" si="886"/>
        <v>NJ</v>
      </c>
      <c r="K2148" t="str">
        <f>T("7323231464")</f>
        <v>7323231464</v>
      </c>
      <c r="L2148" t="str">
        <f>T("7323237810")</f>
        <v>7323237810</v>
      </c>
    </row>
    <row r="2149" spans="1:12" x14ac:dyDescent="0.35">
      <c r="A2149" t="str">
        <f t="shared" si="879"/>
        <v>NAVAIR LAKEHURST</v>
      </c>
      <c r="B2149" t="str">
        <f>T("ROUTE 547 BLDG 410")</f>
        <v>ROUTE 547 BLDG 410</v>
      </c>
      <c r="C2149" t="str">
        <f>T("")</f>
        <v/>
      </c>
      <c r="D2149" t="str">
        <f t="shared" si="887"/>
        <v>LAKEHURST</v>
      </c>
      <c r="E2149" t="str">
        <f t="shared" si="885"/>
        <v>NJ</v>
      </c>
      <c r="F2149" t="str">
        <f t="shared" si="884"/>
        <v>087330000</v>
      </c>
      <c r="G2149" t="str">
        <f>T("ROUTE 547/BLDG 410")</f>
        <v>ROUTE 547/BLDG 410</v>
      </c>
      <c r="H2149" t="str">
        <f>T("")</f>
        <v/>
      </c>
      <c r="I2149" t="str">
        <f t="shared" si="875"/>
        <v>LAKEHURST</v>
      </c>
      <c r="J2149" t="str">
        <f t="shared" si="886"/>
        <v>NJ</v>
      </c>
      <c r="K2149" t="str">
        <f t="shared" ref="K2149:K2156" si="888">T("000000000000000000")</f>
        <v>000000000000000000</v>
      </c>
      <c r="L2149" t="str">
        <f>T("7323232445")</f>
        <v>7323232445</v>
      </c>
    </row>
    <row r="2150" spans="1:12" x14ac:dyDescent="0.35">
      <c r="A2150" t="str">
        <f t="shared" si="879"/>
        <v>NAVAIR LAKEHURST</v>
      </c>
      <c r="B2150" t="str">
        <f t="shared" ref="B2150:B2157" si="889">T("RT 547")</f>
        <v>RT 547</v>
      </c>
      <c r="C2150" t="str">
        <f t="shared" ref="C2150:C2157" si="890">T("B148 ROOM 209")</f>
        <v>B148 ROOM 209</v>
      </c>
      <c r="D2150" t="str">
        <f t="shared" si="887"/>
        <v>LAKEHURST</v>
      </c>
      <c r="E2150" t="str">
        <f t="shared" si="885"/>
        <v>NJ</v>
      </c>
      <c r="F2150" t="str">
        <f t="shared" si="884"/>
        <v>087330000</v>
      </c>
      <c r="G2150" t="str">
        <f>T("HWY 547 4 8 8 3148-1")</f>
        <v>HWY 547 4 8 8 3148-1</v>
      </c>
      <c r="H2150" t="str">
        <f>T("")</f>
        <v/>
      </c>
      <c r="I2150" t="str">
        <f t="shared" si="875"/>
        <v>LAKEHURST</v>
      </c>
      <c r="J2150" t="str">
        <f t="shared" si="886"/>
        <v>NJ</v>
      </c>
      <c r="K2150" t="str">
        <f t="shared" si="888"/>
        <v>000000000000000000</v>
      </c>
      <c r="L2150" t="str">
        <f>T("7323232006")</f>
        <v>7323232006</v>
      </c>
    </row>
    <row r="2151" spans="1:12" x14ac:dyDescent="0.35">
      <c r="A2151" t="str">
        <f t="shared" si="879"/>
        <v>NAVAIR LAKEHURST</v>
      </c>
      <c r="B2151" t="str">
        <f t="shared" si="889"/>
        <v>RT 547</v>
      </c>
      <c r="C2151" t="str">
        <f t="shared" si="890"/>
        <v>B148 ROOM 209</v>
      </c>
      <c r="D2151" t="str">
        <f t="shared" si="887"/>
        <v>LAKEHURST</v>
      </c>
      <c r="E2151" t="str">
        <f t="shared" si="885"/>
        <v>NJ</v>
      </c>
      <c r="F2151" t="str">
        <f t="shared" si="884"/>
        <v>087330000</v>
      </c>
      <c r="G2151" t="str">
        <f>T("HWY 547 CODE 10 2 5B120-1")</f>
        <v>HWY 547 CODE 10 2 5B120-1</v>
      </c>
      <c r="H2151" t="str">
        <f>T("")</f>
        <v/>
      </c>
      <c r="I2151" t="str">
        <f t="shared" si="875"/>
        <v>LAKEHURST</v>
      </c>
      <c r="J2151" t="str">
        <f t="shared" si="886"/>
        <v>NJ</v>
      </c>
      <c r="K2151" t="str">
        <f t="shared" si="888"/>
        <v>000000000000000000</v>
      </c>
      <c r="L2151" t="str">
        <f>T("7323234051")</f>
        <v>7323234051</v>
      </c>
    </row>
    <row r="2152" spans="1:12" x14ac:dyDescent="0.35">
      <c r="A2152" t="str">
        <f t="shared" ref="A2152:A2168" si="891">T("NAVAIR LAKEHURST")</f>
        <v>NAVAIR LAKEHURST</v>
      </c>
      <c r="B2152" t="str">
        <f t="shared" si="889"/>
        <v>RT 547</v>
      </c>
      <c r="C2152" t="str">
        <f t="shared" si="890"/>
        <v>B148 ROOM 209</v>
      </c>
      <c r="D2152" t="str">
        <f t="shared" si="887"/>
        <v>LAKEHURST</v>
      </c>
      <c r="E2152" t="str">
        <f t="shared" si="885"/>
        <v>NJ</v>
      </c>
      <c r="F2152" t="str">
        <f t="shared" si="884"/>
        <v>087330000</v>
      </c>
      <c r="G2152" t="str">
        <f>T("LAUNCHER  SE PROGRAM BRANCH/4 8 8 3")</f>
        <v>LAUNCHER  SE PROGRAM BRANCH/4 8 8 3</v>
      </c>
      <c r="H2152" t="str">
        <f>T("DRP-14 CRYOGENICS REWORK FACILITY R")</f>
        <v>DRP-14 CRYOGENICS REWORK FACILITY R</v>
      </c>
      <c r="I2152" t="str">
        <f>T("JBMD-LAKEHURST")</f>
        <v>JBMD-LAKEHURST</v>
      </c>
      <c r="J2152" t="str">
        <f t="shared" si="886"/>
        <v>NJ</v>
      </c>
      <c r="K2152" t="str">
        <f t="shared" si="888"/>
        <v>000000000000000000</v>
      </c>
      <c r="L2152" t="str">
        <f>T("7323232004")</f>
        <v>7323232004</v>
      </c>
    </row>
    <row r="2153" spans="1:12" x14ac:dyDescent="0.35">
      <c r="A2153" t="str">
        <f t="shared" si="891"/>
        <v>NAVAIR LAKEHURST</v>
      </c>
      <c r="B2153" t="str">
        <f t="shared" si="889"/>
        <v>RT 547</v>
      </c>
      <c r="C2153" t="str">
        <f t="shared" si="890"/>
        <v>B148 ROOM 209</v>
      </c>
      <c r="D2153" t="str">
        <f t="shared" si="887"/>
        <v>LAKEHURST</v>
      </c>
      <c r="E2153" t="str">
        <f t="shared" si="885"/>
        <v>NJ</v>
      </c>
      <c r="F2153" t="str">
        <f t="shared" si="884"/>
        <v>087330000</v>
      </c>
      <c r="G2153" t="str">
        <f>T("NAVAIR 4 8 8 5 2 BUILDING 148 HWY 5")</f>
        <v>NAVAIR 4 8 8 5 2 BUILDING 148 HWY 5</v>
      </c>
      <c r="H2153" t="str">
        <f>T("JOINT BASE MDL")</f>
        <v>JOINT BASE MDL</v>
      </c>
      <c r="I2153" t="str">
        <f t="shared" ref="I2153:I2168" si="892">T("LAKEHURST")</f>
        <v>LAKEHURST</v>
      </c>
      <c r="J2153" t="str">
        <f t="shared" si="886"/>
        <v>NJ</v>
      </c>
      <c r="K2153" t="str">
        <f t="shared" si="888"/>
        <v>000000000000000000</v>
      </c>
      <c r="L2153" t="str">
        <f>T("7323237914")</f>
        <v>7323237914</v>
      </c>
    </row>
    <row r="2154" spans="1:12" x14ac:dyDescent="0.35">
      <c r="A2154" t="str">
        <f t="shared" si="891"/>
        <v>NAVAIR LAKEHURST</v>
      </c>
      <c r="B2154" t="str">
        <f t="shared" si="889"/>
        <v>RT 547</v>
      </c>
      <c r="C2154" t="str">
        <f t="shared" si="890"/>
        <v>B148 ROOM 209</v>
      </c>
      <c r="D2154" t="str">
        <f t="shared" si="887"/>
        <v>LAKEHURST</v>
      </c>
      <c r="E2154" t="str">
        <f t="shared" si="885"/>
        <v>NJ</v>
      </c>
      <c r="F2154" t="str">
        <f t="shared" si="884"/>
        <v>087330000</v>
      </c>
      <c r="G2154" t="str">
        <f>T("NAWCAD 4 8 8 3")</f>
        <v>NAWCAD 4 8 8 3</v>
      </c>
      <c r="H2154" t="str">
        <f>T("ROUTE 547")</f>
        <v>ROUTE 547</v>
      </c>
      <c r="I2154" t="str">
        <f t="shared" si="892"/>
        <v>LAKEHURST</v>
      </c>
      <c r="J2154" t="str">
        <f t="shared" si="886"/>
        <v>NJ</v>
      </c>
      <c r="K2154" t="str">
        <f t="shared" si="888"/>
        <v>000000000000000000</v>
      </c>
      <c r="L2154" t="str">
        <f>T("7323237914")</f>
        <v>7323237914</v>
      </c>
    </row>
    <row r="2155" spans="1:12" x14ac:dyDescent="0.35">
      <c r="A2155" t="str">
        <f t="shared" si="891"/>
        <v>NAVAIR LAKEHURST</v>
      </c>
      <c r="B2155" t="str">
        <f t="shared" si="889"/>
        <v>RT 547</v>
      </c>
      <c r="C2155" t="str">
        <f t="shared" si="890"/>
        <v>B148 ROOM 209</v>
      </c>
      <c r="D2155" t="str">
        <f t="shared" si="887"/>
        <v>LAKEHURST</v>
      </c>
      <c r="E2155" t="str">
        <f t="shared" si="885"/>
        <v>NJ</v>
      </c>
      <c r="F2155" t="str">
        <f t="shared" si="884"/>
        <v>087330000</v>
      </c>
      <c r="G2155" t="str">
        <f>T("NAWCAD JBMDL 4 8 8 3")</f>
        <v>NAWCAD JBMDL 4 8 8 3</v>
      </c>
      <c r="H2155" t="str">
        <f>T("RT 547 BLDG 148/RM 117")</f>
        <v>RT 547 BLDG 148/RM 117</v>
      </c>
      <c r="I2155" t="str">
        <f t="shared" si="892"/>
        <v>LAKEHURST</v>
      </c>
      <c r="J2155" t="str">
        <f t="shared" si="886"/>
        <v>NJ</v>
      </c>
      <c r="K2155" t="str">
        <f t="shared" si="888"/>
        <v>000000000000000000</v>
      </c>
      <c r="L2155" t="str">
        <f>T("7323234079")</f>
        <v>7323234079</v>
      </c>
    </row>
    <row r="2156" spans="1:12" x14ac:dyDescent="0.35">
      <c r="A2156" t="str">
        <f t="shared" si="891"/>
        <v>NAVAIR LAKEHURST</v>
      </c>
      <c r="B2156" t="str">
        <f t="shared" si="889"/>
        <v>RT 547</v>
      </c>
      <c r="C2156" t="str">
        <f t="shared" si="890"/>
        <v>B148 ROOM 209</v>
      </c>
      <c r="D2156" t="str">
        <f t="shared" si="887"/>
        <v>LAKEHURST</v>
      </c>
      <c r="E2156" t="str">
        <f t="shared" si="885"/>
        <v>NJ</v>
      </c>
      <c r="F2156" t="str">
        <f t="shared" si="884"/>
        <v>087330000</v>
      </c>
      <c r="G2156" t="str">
        <f>T("NAWCAD LAKEHURST")</f>
        <v>NAWCAD LAKEHURST</v>
      </c>
      <c r="H2156" t="str">
        <f>T("HWY 547 BLDG 148/ROOM 117")</f>
        <v>HWY 547 BLDG 148/ROOM 117</v>
      </c>
      <c r="I2156" t="str">
        <f t="shared" si="892"/>
        <v>LAKEHURST</v>
      </c>
      <c r="J2156" t="str">
        <f t="shared" si="886"/>
        <v>NJ</v>
      </c>
      <c r="K2156" t="str">
        <f t="shared" si="888"/>
        <v>000000000000000000</v>
      </c>
      <c r="L2156" t="str">
        <f>T("7323232622")</f>
        <v>7323232622</v>
      </c>
    </row>
    <row r="2157" spans="1:12" x14ac:dyDescent="0.35">
      <c r="A2157" t="str">
        <f t="shared" si="891"/>
        <v>NAVAIR LAKEHURST</v>
      </c>
      <c r="B2157" t="str">
        <f t="shared" si="889"/>
        <v>RT 547</v>
      </c>
      <c r="C2157" t="str">
        <f t="shared" si="890"/>
        <v>B148 ROOM 209</v>
      </c>
      <c r="D2157" t="str">
        <f t="shared" si="887"/>
        <v>LAKEHURST</v>
      </c>
      <c r="E2157" t="str">
        <f t="shared" si="885"/>
        <v>NJ</v>
      </c>
      <c r="F2157" t="str">
        <f t="shared" si="884"/>
        <v>087330000</v>
      </c>
      <c r="G2157" t="str">
        <f>T("RT 547")</f>
        <v>RT 547</v>
      </c>
      <c r="H2157" t="str">
        <f>T("B148 ROOM 209")</f>
        <v>B148 ROOM 209</v>
      </c>
      <c r="I2157" t="str">
        <f t="shared" si="892"/>
        <v>LAKEHURST</v>
      </c>
      <c r="J2157" t="str">
        <f t="shared" si="886"/>
        <v>NJ</v>
      </c>
      <c r="K2157" t="str">
        <f>T("7323237303")</f>
        <v>7323237303</v>
      </c>
      <c r="L2157" t="str">
        <f>T("7323237914")</f>
        <v>7323237914</v>
      </c>
    </row>
    <row r="2158" spans="1:12" x14ac:dyDescent="0.35">
      <c r="A2158" t="str">
        <f t="shared" si="891"/>
        <v>NAVAIR LAKEHURST</v>
      </c>
      <c r="B2158" t="str">
        <f t="shared" ref="B2158:B2164" si="893">T("RT 547 BLDG 148 2")</f>
        <v>RT 547 BLDG 148 2</v>
      </c>
      <c r="C2158" t="str">
        <f t="shared" ref="C2158:C2164" si="894">T("CODE 4 8 8 4")</f>
        <v>CODE 4 8 8 4</v>
      </c>
      <c r="D2158" t="str">
        <f t="shared" si="887"/>
        <v>LAKEHURST</v>
      </c>
      <c r="E2158" t="str">
        <f t="shared" si="885"/>
        <v>NJ</v>
      </c>
      <c r="F2158" t="str">
        <f t="shared" si="884"/>
        <v>087330000</v>
      </c>
      <c r="G2158" t="str">
        <f>T("BLDG148 RM 214")</f>
        <v>BLDG148 RM 214</v>
      </c>
      <c r="H2158" t="str">
        <f>T("HWY 147")</f>
        <v>HWY 147</v>
      </c>
      <c r="I2158" t="str">
        <f t="shared" si="892"/>
        <v>LAKEHURST</v>
      </c>
      <c r="J2158" t="str">
        <f t="shared" si="886"/>
        <v>NJ</v>
      </c>
      <c r="K2158" t="str">
        <f t="shared" ref="K2158:K2167" si="895">T("000000000000000000")</f>
        <v>000000000000000000</v>
      </c>
      <c r="L2158" t="str">
        <f>T("7323234755")</f>
        <v>7323234755</v>
      </c>
    </row>
    <row r="2159" spans="1:12" x14ac:dyDescent="0.35">
      <c r="A2159" t="str">
        <f t="shared" si="891"/>
        <v>NAVAIR LAKEHURST</v>
      </c>
      <c r="B2159" t="str">
        <f t="shared" si="893"/>
        <v>RT 547 BLDG 148 2</v>
      </c>
      <c r="C2159" t="str">
        <f t="shared" si="894"/>
        <v>CODE 4 8 8 4</v>
      </c>
      <c r="D2159" t="str">
        <f t="shared" si="887"/>
        <v>LAKEHURST</v>
      </c>
      <c r="E2159" t="str">
        <f t="shared" si="885"/>
        <v>NJ</v>
      </c>
      <c r="F2159" t="str">
        <f t="shared" si="884"/>
        <v>087330000</v>
      </c>
      <c r="G2159" t="str">
        <f>T("HWY 547 4 8 8 4B148-1")</f>
        <v>HWY 547 4 8 8 4B148-1</v>
      </c>
      <c r="H2159" t="str">
        <f>T("")</f>
        <v/>
      </c>
      <c r="I2159" t="str">
        <f t="shared" si="892"/>
        <v>LAKEHURST</v>
      </c>
      <c r="J2159" t="str">
        <f t="shared" si="886"/>
        <v>NJ</v>
      </c>
      <c r="K2159" t="str">
        <f t="shared" si="895"/>
        <v>000000000000000000</v>
      </c>
      <c r="L2159" t="str">
        <f>T("7323231406")</f>
        <v>7323231406</v>
      </c>
    </row>
    <row r="2160" spans="1:12" x14ac:dyDescent="0.35">
      <c r="A2160" t="str">
        <f t="shared" si="891"/>
        <v>NAVAIR LAKEHURST</v>
      </c>
      <c r="B2160" t="str">
        <f t="shared" si="893"/>
        <v>RT 547 BLDG 148 2</v>
      </c>
      <c r="C2160" t="str">
        <f t="shared" si="894"/>
        <v>CODE 4 8 8 4</v>
      </c>
      <c r="D2160" t="str">
        <f t="shared" si="887"/>
        <v>LAKEHURST</v>
      </c>
      <c r="E2160" t="str">
        <f t="shared" si="885"/>
        <v>NJ</v>
      </c>
      <c r="F2160" t="str">
        <f t="shared" si="884"/>
        <v>087330000</v>
      </c>
      <c r="G2160" t="str">
        <f>T("HWY 547 4 8 8 4B148-1")</f>
        <v>HWY 547 4 8 8 4B148-1</v>
      </c>
      <c r="H2160" t="str">
        <f>T("")</f>
        <v/>
      </c>
      <c r="I2160" t="str">
        <f t="shared" si="892"/>
        <v>LAKEHURST</v>
      </c>
      <c r="J2160" t="str">
        <f t="shared" si="886"/>
        <v>NJ</v>
      </c>
      <c r="K2160" t="str">
        <f t="shared" si="895"/>
        <v>000000000000000000</v>
      </c>
      <c r="L2160" t="str">
        <f>T("7323237475")</f>
        <v>7323237475</v>
      </c>
    </row>
    <row r="2161" spans="1:12" x14ac:dyDescent="0.35">
      <c r="A2161" t="str">
        <f t="shared" si="891"/>
        <v>NAVAIR LAKEHURST</v>
      </c>
      <c r="B2161" t="str">
        <f t="shared" si="893"/>
        <v>RT 547 BLDG 148 2</v>
      </c>
      <c r="C2161" t="str">
        <f t="shared" si="894"/>
        <v>CODE 4 8 8 4</v>
      </c>
      <c r="D2161" t="str">
        <f t="shared" si="887"/>
        <v>LAKEHURST</v>
      </c>
      <c r="E2161" t="str">
        <f t="shared" si="885"/>
        <v>NJ</v>
      </c>
      <c r="F2161" t="str">
        <f t="shared" si="884"/>
        <v>087330000</v>
      </c>
      <c r="G2161" t="str">
        <f>T("HWY 547 BLDG 148")</f>
        <v>HWY 547 BLDG 148</v>
      </c>
      <c r="H2161" t="str">
        <f>T("")</f>
        <v/>
      </c>
      <c r="I2161" t="str">
        <f t="shared" si="892"/>
        <v>LAKEHURST</v>
      </c>
      <c r="J2161" t="str">
        <f t="shared" si="886"/>
        <v>NJ</v>
      </c>
      <c r="K2161" t="str">
        <f t="shared" si="895"/>
        <v>000000000000000000</v>
      </c>
      <c r="L2161" t="str">
        <f>T("7323237883")</f>
        <v>7323237883</v>
      </c>
    </row>
    <row r="2162" spans="1:12" x14ac:dyDescent="0.35">
      <c r="A2162" t="str">
        <f t="shared" si="891"/>
        <v>NAVAIR LAKEHURST</v>
      </c>
      <c r="B2162" t="str">
        <f t="shared" si="893"/>
        <v>RT 547 BLDG 148 2</v>
      </c>
      <c r="C2162" t="str">
        <f t="shared" si="894"/>
        <v>CODE 4 8 8 4</v>
      </c>
      <c r="D2162" t="str">
        <f t="shared" si="887"/>
        <v>LAKEHURST</v>
      </c>
      <c r="E2162" t="str">
        <f t="shared" si="885"/>
        <v>NJ</v>
      </c>
      <c r="F2162" t="str">
        <f t="shared" si="884"/>
        <v>087330000</v>
      </c>
      <c r="G2162" t="str">
        <f>T("HWY 547 BLDG 148 FLOOR1")</f>
        <v>HWY 547 BLDG 148 FLOOR1</v>
      </c>
      <c r="H2162" t="str">
        <f>T("")</f>
        <v/>
      </c>
      <c r="I2162" t="str">
        <f t="shared" si="892"/>
        <v>LAKEHURST</v>
      </c>
      <c r="J2162" t="str">
        <f t="shared" si="886"/>
        <v>NJ</v>
      </c>
      <c r="K2162" t="str">
        <f t="shared" si="895"/>
        <v>000000000000000000</v>
      </c>
      <c r="L2162" t="str">
        <f>T("7323234872")</f>
        <v>7323234872</v>
      </c>
    </row>
    <row r="2163" spans="1:12" x14ac:dyDescent="0.35">
      <c r="A2163" t="str">
        <f t="shared" si="891"/>
        <v>NAVAIR LAKEHURST</v>
      </c>
      <c r="B2163" t="str">
        <f t="shared" si="893"/>
        <v>RT 547 BLDG 148 2</v>
      </c>
      <c r="C2163" t="str">
        <f t="shared" si="894"/>
        <v>CODE 4 8 8 4</v>
      </c>
      <c r="D2163" t="str">
        <f t="shared" si="887"/>
        <v>LAKEHURST</v>
      </c>
      <c r="E2163" t="str">
        <f t="shared" si="885"/>
        <v>NJ</v>
      </c>
      <c r="F2163" t="str">
        <f t="shared" si="884"/>
        <v>087330000</v>
      </c>
      <c r="G2163" t="str">
        <f>T("RT 547 BLDG 148 2")</f>
        <v>RT 547 BLDG 148 2</v>
      </c>
      <c r="H2163" t="str">
        <f>T("CODE 4 8 8 4")</f>
        <v>CODE 4 8 8 4</v>
      </c>
      <c r="I2163" t="str">
        <f t="shared" si="892"/>
        <v>LAKEHURST</v>
      </c>
      <c r="J2163" t="str">
        <f t="shared" si="886"/>
        <v>NJ</v>
      </c>
      <c r="K2163" t="str">
        <f t="shared" si="895"/>
        <v>000000000000000000</v>
      </c>
      <c r="L2163" t="str">
        <f>T("7323234735")</f>
        <v>7323234735</v>
      </c>
    </row>
    <row r="2164" spans="1:12" x14ac:dyDescent="0.35">
      <c r="A2164" t="str">
        <f t="shared" si="891"/>
        <v>NAVAIR LAKEHURST</v>
      </c>
      <c r="B2164" t="str">
        <f t="shared" si="893"/>
        <v>RT 547 BLDG 148 2</v>
      </c>
      <c r="C2164" t="str">
        <f t="shared" si="894"/>
        <v>CODE 4 8 8 4</v>
      </c>
      <c r="D2164" t="str">
        <f t="shared" si="887"/>
        <v>LAKEHURST</v>
      </c>
      <c r="E2164" t="str">
        <f t="shared" si="885"/>
        <v>NJ</v>
      </c>
      <c r="F2164" t="str">
        <f t="shared" si="884"/>
        <v>087330000</v>
      </c>
      <c r="G2164" t="str">
        <f>T("RT 547 BLDG 148-2")</f>
        <v>RT 547 BLDG 148-2</v>
      </c>
      <c r="H2164" t="str">
        <f>T("")</f>
        <v/>
      </c>
      <c r="I2164" t="str">
        <f t="shared" si="892"/>
        <v>LAKEHURST</v>
      </c>
      <c r="J2164" t="str">
        <f t="shared" si="886"/>
        <v>NJ</v>
      </c>
      <c r="K2164" t="str">
        <f t="shared" si="895"/>
        <v>000000000000000000</v>
      </c>
      <c r="L2164" t="str">
        <f>T("7323235377")</f>
        <v>7323235377</v>
      </c>
    </row>
    <row r="2165" spans="1:12" x14ac:dyDescent="0.35">
      <c r="A2165" t="str">
        <f t="shared" si="891"/>
        <v>NAVAIR LAKEHURST</v>
      </c>
      <c r="B2165" t="str">
        <f>T("RTE 547")</f>
        <v>RTE 547</v>
      </c>
      <c r="C2165" t="str">
        <f>T("BLDG 332")</f>
        <v>BLDG 332</v>
      </c>
      <c r="D2165" t="str">
        <f t="shared" si="887"/>
        <v>LAKEHURST</v>
      </c>
      <c r="E2165" t="str">
        <f t="shared" si="885"/>
        <v>NJ</v>
      </c>
      <c r="F2165" t="str">
        <f t="shared" si="884"/>
        <v>087330000</v>
      </c>
      <c r="G2165" t="str">
        <f>T("HIGHWAY 547 BLDG 148")</f>
        <v>HIGHWAY 547 BLDG 148</v>
      </c>
      <c r="H2165" t="str">
        <f>T("")</f>
        <v/>
      </c>
      <c r="I2165" t="str">
        <f t="shared" si="892"/>
        <v>LAKEHURST</v>
      </c>
      <c r="J2165" t="str">
        <f t="shared" si="886"/>
        <v>NJ</v>
      </c>
      <c r="K2165" t="str">
        <f t="shared" si="895"/>
        <v>000000000000000000</v>
      </c>
      <c r="L2165" t="str">
        <f>T("7323234430")</f>
        <v>7323234430</v>
      </c>
    </row>
    <row r="2166" spans="1:12" x14ac:dyDescent="0.35">
      <c r="A2166" t="str">
        <f t="shared" si="891"/>
        <v>NAVAIR LAKEHURST</v>
      </c>
      <c r="B2166" t="str">
        <f>T("RTE 547")</f>
        <v>RTE 547</v>
      </c>
      <c r="C2166" t="str">
        <f>T("BLDG 332")</f>
        <v>BLDG 332</v>
      </c>
      <c r="D2166" t="str">
        <f t="shared" si="887"/>
        <v>LAKEHURST</v>
      </c>
      <c r="E2166" t="str">
        <f t="shared" si="885"/>
        <v>NJ</v>
      </c>
      <c r="F2166" t="str">
        <f t="shared" si="884"/>
        <v>087330000</v>
      </c>
      <c r="G2166" t="str">
        <f>T("PROTOTYPING ENGINEERING BRANCH")</f>
        <v>PROTOTYPING ENGINEERING BRANCH</v>
      </c>
      <c r="H2166" t="str">
        <f>T("NAWCADLKE MAILSTOP 148")</f>
        <v>NAWCADLKE MAILSTOP 148</v>
      </c>
      <c r="I2166" t="str">
        <f t="shared" si="892"/>
        <v>LAKEHURST</v>
      </c>
      <c r="J2166" t="str">
        <f t="shared" si="886"/>
        <v>NJ</v>
      </c>
      <c r="K2166" t="str">
        <f t="shared" si="895"/>
        <v>000000000000000000</v>
      </c>
      <c r="L2166" t="str">
        <f>T("7323234752")</f>
        <v>7323234752</v>
      </c>
    </row>
    <row r="2167" spans="1:12" x14ac:dyDescent="0.35">
      <c r="A2167" t="str">
        <f t="shared" si="891"/>
        <v>NAVAIR LAKEHURST</v>
      </c>
      <c r="B2167" t="str">
        <f>T("RTE 547")</f>
        <v>RTE 547</v>
      </c>
      <c r="C2167" t="str">
        <f>T("BLDG 332")</f>
        <v>BLDG 332</v>
      </c>
      <c r="D2167" t="str">
        <f t="shared" si="887"/>
        <v>LAKEHURST</v>
      </c>
      <c r="E2167" t="str">
        <f t="shared" si="885"/>
        <v>NJ</v>
      </c>
      <c r="F2167" t="str">
        <f t="shared" si="884"/>
        <v>087330000</v>
      </c>
      <c r="G2167" t="str">
        <f>T("RT 547 BLDG 332")</f>
        <v>RT 547 BLDG 332</v>
      </c>
      <c r="H2167" t="str">
        <f>T("")</f>
        <v/>
      </c>
      <c r="I2167" t="str">
        <f t="shared" si="892"/>
        <v>LAKEHURST</v>
      </c>
      <c r="J2167" t="str">
        <f t="shared" si="886"/>
        <v>NJ</v>
      </c>
      <c r="K2167" t="str">
        <f t="shared" si="895"/>
        <v>000000000000000000</v>
      </c>
      <c r="L2167" t="str">
        <f>T("7323234511")</f>
        <v>7323234511</v>
      </c>
    </row>
    <row r="2168" spans="1:12" x14ac:dyDescent="0.35">
      <c r="A2168" t="str">
        <f t="shared" si="891"/>
        <v>NAVAIR LAKEHURST</v>
      </c>
      <c r="B2168" t="str">
        <f>T("RTE 547")</f>
        <v>RTE 547</v>
      </c>
      <c r="C2168" t="str">
        <f>T("BLDG 332")</f>
        <v>BLDG 332</v>
      </c>
      <c r="D2168" t="str">
        <f t="shared" si="887"/>
        <v>LAKEHURST</v>
      </c>
      <c r="E2168" t="str">
        <f t="shared" si="885"/>
        <v>NJ</v>
      </c>
      <c r="F2168" t="str">
        <f t="shared" si="884"/>
        <v>087330000</v>
      </c>
      <c r="G2168" t="str">
        <f>T("RTE 547")</f>
        <v>RTE 547</v>
      </c>
      <c r="H2168" t="str">
        <f>T("BLDG 332")</f>
        <v>BLDG 332</v>
      </c>
      <c r="I2168" t="str">
        <f t="shared" si="892"/>
        <v>LAKEHURST</v>
      </c>
      <c r="J2168" t="str">
        <f t="shared" si="886"/>
        <v>NJ</v>
      </c>
      <c r="K2168" t="str">
        <f>T("7323237324")</f>
        <v>7323237324</v>
      </c>
      <c r="L2168" t="str">
        <f>T("7323237337")</f>
        <v>7323237337</v>
      </c>
    </row>
    <row r="2169" spans="1:12" x14ac:dyDescent="0.35">
      <c r="A2169" t="str">
        <f t="shared" ref="A2169:A2232" si="896">T("NAVAIR WD")</f>
        <v>NAVAIR WD</v>
      </c>
      <c r="B2169" t="str">
        <f>T("575 I ST STE 1")</f>
        <v>575 I ST STE 1</v>
      </c>
      <c r="C2169" t="str">
        <f>T("CODE 51900E")</f>
        <v>CODE 51900E</v>
      </c>
      <c r="D2169" t="str">
        <f t="shared" ref="D2169:D2200" si="897">T("POINT MUGU NAWC")</f>
        <v>POINT MUGU NAWC</v>
      </c>
      <c r="E2169" t="str">
        <f t="shared" ref="E2169:E2232" si="898">T("CA")</f>
        <v>CA</v>
      </c>
      <c r="F2169" t="str">
        <f t="shared" ref="F2169:F2201" si="899">T("930425060")</f>
        <v>930425060</v>
      </c>
      <c r="G2169" t="str">
        <f>T("575 I ST STE 1")</f>
        <v>575 I ST STE 1</v>
      </c>
      <c r="H2169" t="str">
        <f>T("CODE 51900E")</f>
        <v>CODE 51900E</v>
      </c>
      <c r="I2169" t="str">
        <f t="shared" ref="I2169:I2213" si="900">T("POINT MUGU NAWC")</f>
        <v>POINT MUGU NAWC</v>
      </c>
      <c r="J2169" t="str">
        <f t="shared" ref="J2169:J2232" si="901">T("CA")</f>
        <v>CA</v>
      </c>
      <c r="K2169" t="str">
        <f t="shared" ref="K2169:K2187" si="902">T("7609391648")</f>
        <v>7609391648</v>
      </c>
      <c r="L2169" t="str">
        <f>T("8059891575")</f>
        <v>8059891575</v>
      </c>
    </row>
    <row r="2170" spans="1:12" x14ac:dyDescent="0.35">
      <c r="A2170" t="str">
        <f t="shared" si="896"/>
        <v>NAVAIR WD</v>
      </c>
      <c r="B2170" t="str">
        <f>T("575 I ST STE 1")</f>
        <v>575 I ST STE 1</v>
      </c>
      <c r="C2170" t="str">
        <f>T("CODE 51900E")</f>
        <v>CODE 51900E</v>
      </c>
      <c r="D2170" t="str">
        <f t="shared" si="897"/>
        <v>POINT MUGU NAWC</v>
      </c>
      <c r="E2170" t="str">
        <f t="shared" si="898"/>
        <v>CA</v>
      </c>
      <c r="F2170" t="str">
        <f t="shared" si="899"/>
        <v>930425060</v>
      </c>
      <c r="G2170" t="str">
        <f>T("CODE 51D00ME")</f>
        <v>CODE 51D00ME</v>
      </c>
      <c r="H2170" t="str">
        <f>T("575 I AVE STE 1")</f>
        <v>575 I AVE STE 1</v>
      </c>
      <c r="I2170" t="str">
        <f t="shared" si="900"/>
        <v>POINT MUGU NAWC</v>
      </c>
      <c r="J2170" t="str">
        <f t="shared" si="901"/>
        <v>CA</v>
      </c>
      <c r="K2170" t="str">
        <f t="shared" si="902"/>
        <v>7609391648</v>
      </c>
      <c r="L2170" t="str">
        <f>T("8059890648")</f>
        <v>8059890648</v>
      </c>
    </row>
    <row r="2171" spans="1:12" x14ac:dyDescent="0.35">
      <c r="A2171" t="str">
        <f t="shared" si="896"/>
        <v>NAVAIR WD</v>
      </c>
      <c r="B2171" t="str">
        <f>T("575 I ST STE 1")</f>
        <v>575 I ST STE 1</v>
      </c>
      <c r="C2171" t="str">
        <f>T("CODE 51900E")</f>
        <v>CODE 51900E</v>
      </c>
      <c r="D2171" t="str">
        <f t="shared" si="897"/>
        <v>POINT MUGU NAWC</v>
      </c>
      <c r="E2171" t="str">
        <f t="shared" si="898"/>
        <v>CA</v>
      </c>
      <c r="F2171" t="str">
        <f t="shared" si="899"/>
        <v>930425060</v>
      </c>
      <c r="G2171" t="str">
        <f>T("CODE 51D00ME")</f>
        <v>CODE 51D00ME</v>
      </c>
      <c r="H2171" t="str">
        <f>T("575 I AVE STE 1")</f>
        <v>575 I AVE STE 1</v>
      </c>
      <c r="I2171" t="str">
        <f t="shared" si="900"/>
        <v>POINT MUGU NAWC</v>
      </c>
      <c r="J2171" t="str">
        <f t="shared" si="901"/>
        <v>CA</v>
      </c>
      <c r="K2171" t="str">
        <f t="shared" si="902"/>
        <v>7609391648</v>
      </c>
      <c r="L2171" t="str">
        <f>T("8059897770")</f>
        <v>8059897770</v>
      </c>
    </row>
    <row r="2172" spans="1:12" x14ac:dyDescent="0.35">
      <c r="A2172" t="str">
        <f t="shared" si="896"/>
        <v>NAVAIR WD</v>
      </c>
      <c r="B2172" t="str">
        <f>T("575 I ST STE 1")</f>
        <v>575 I ST STE 1</v>
      </c>
      <c r="C2172" t="str">
        <f>T("CODE 51900E")</f>
        <v>CODE 51900E</v>
      </c>
      <c r="D2172" t="str">
        <f t="shared" si="897"/>
        <v>POINT MUGU NAWC</v>
      </c>
      <c r="E2172" t="str">
        <f t="shared" si="898"/>
        <v>CA</v>
      </c>
      <c r="F2172" t="str">
        <f t="shared" si="899"/>
        <v>930425060</v>
      </c>
      <c r="G2172" t="str">
        <f>T("CODE 51LD00E")</f>
        <v>CODE 51LD00E</v>
      </c>
      <c r="H2172" t="str">
        <f>T("575 I AVE STE 1")</f>
        <v>575 I AVE STE 1</v>
      </c>
      <c r="I2172" t="str">
        <f t="shared" si="900"/>
        <v>POINT MUGU NAWC</v>
      </c>
      <c r="J2172" t="str">
        <f t="shared" si="901"/>
        <v>CA</v>
      </c>
      <c r="K2172" t="str">
        <f t="shared" si="902"/>
        <v>7609391648</v>
      </c>
      <c r="L2172" t="str">
        <f>T("8059898653")</f>
        <v>8059898653</v>
      </c>
    </row>
    <row r="2173" spans="1:12" x14ac:dyDescent="0.35">
      <c r="A2173" t="str">
        <f t="shared" si="896"/>
        <v>NAVAIR WD</v>
      </c>
      <c r="B2173" t="str">
        <f>T("575 I ST STE 1")</f>
        <v>575 I ST STE 1</v>
      </c>
      <c r="C2173" t="str">
        <f>T("CODE 51900E")</f>
        <v>CODE 51900E</v>
      </c>
      <c r="D2173" t="str">
        <f t="shared" si="897"/>
        <v>POINT MUGU NAWC</v>
      </c>
      <c r="E2173" t="str">
        <f t="shared" si="898"/>
        <v>CA</v>
      </c>
      <c r="F2173" t="str">
        <f t="shared" si="899"/>
        <v>930425060</v>
      </c>
      <c r="G2173" t="str">
        <f>T("CODE VX-30")</f>
        <v>CODE VX-30</v>
      </c>
      <c r="H2173" t="str">
        <f>T("575 I AVE STE 1")</f>
        <v>575 I AVE STE 1</v>
      </c>
      <c r="I2173" t="str">
        <f t="shared" si="900"/>
        <v>POINT MUGU NAWC</v>
      </c>
      <c r="J2173" t="str">
        <f t="shared" si="901"/>
        <v>CA</v>
      </c>
      <c r="K2173" t="str">
        <f t="shared" si="902"/>
        <v>7609391648</v>
      </c>
      <c r="L2173" t="str">
        <f>T("8059894601")</f>
        <v>8059894601</v>
      </c>
    </row>
    <row r="2174" spans="1:12" x14ac:dyDescent="0.35">
      <c r="A2174" t="str">
        <f t="shared" si="896"/>
        <v>NAVAIR WD</v>
      </c>
      <c r="B2174" t="str">
        <f t="shared" ref="B2174:B2181" si="903">T("CODE 413200E BLDG 351 RM 2412")</f>
        <v>CODE 413200E BLDG 351 RM 2412</v>
      </c>
      <c r="C2174" t="str">
        <f t="shared" ref="C2174:C2181" si="904">T("575 I ST STE 1")</f>
        <v>575 I ST STE 1</v>
      </c>
      <c r="D2174" t="str">
        <f t="shared" si="897"/>
        <v>POINT MUGU NAWC</v>
      </c>
      <c r="E2174" t="str">
        <f t="shared" si="898"/>
        <v>CA</v>
      </c>
      <c r="F2174" t="str">
        <f t="shared" si="899"/>
        <v>930425060</v>
      </c>
      <c r="G2174" t="str">
        <f>T("CODE 412000E")</f>
        <v>CODE 412000E</v>
      </c>
      <c r="H2174" t="str">
        <f>T("575 I AVE STE 1 BLDG 3008")</f>
        <v>575 I AVE STE 1 BLDG 3008</v>
      </c>
      <c r="I2174" t="str">
        <f t="shared" si="900"/>
        <v>POINT MUGU NAWC</v>
      </c>
      <c r="J2174" t="str">
        <f t="shared" si="901"/>
        <v>CA</v>
      </c>
      <c r="K2174" t="str">
        <f t="shared" si="902"/>
        <v>7609391648</v>
      </c>
      <c r="L2174" t="str">
        <f>T("8059897853")</f>
        <v>8059897853</v>
      </c>
    </row>
    <row r="2175" spans="1:12" x14ac:dyDescent="0.35">
      <c r="A2175" t="str">
        <f t="shared" si="896"/>
        <v>NAVAIR WD</v>
      </c>
      <c r="B2175" t="str">
        <f t="shared" si="903"/>
        <v>CODE 413200E BLDG 351 RM 2412</v>
      </c>
      <c r="C2175" t="str">
        <f t="shared" si="904"/>
        <v>575 I ST STE 1</v>
      </c>
      <c r="D2175" t="str">
        <f t="shared" si="897"/>
        <v>POINT MUGU NAWC</v>
      </c>
      <c r="E2175" t="str">
        <f t="shared" si="898"/>
        <v>CA</v>
      </c>
      <c r="F2175" t="str">
        <f t="shared" si="899"/>
        <v>930425060</v>
      </c>
      <c r="G2175" t="str">
        <f>T("CODE 41230EE")</f>
        <v>CODE 41230EE</v>
      </c>
      <c r="H2175" t="str">
        <f>T("575 AVE I STE1 BLDG 36 RM 1303")</f>
        <v>575 AVE I STE1 BLDG 36 RM 1303</v>
      </c>
      <c r="I2175" t="str">
        <f t="shared" si="900"/>
        <v>POINT MUGU NAWC</v>
      </c>
      <c r="J2175" t="str">
        <f t="shared" si="901"/>
        <v>CA</v>
      </c>
      <c r="K2175" t="str">
        <f t="shared" si="902"/>
        <v>7609391648</v>
      </c>
      <c r="L2175" t="str">
        <f>T("8059898167")</f>
        <v>8059898167</v>
      </c>
    </row>
    <row r="2176" spans="1:12" x14ac:dyDescent="0.35">
      <c r="A2176" t="str">
        <f t="shared" si="896"/>
        <v>NAVAIR WD</v>
      </c>
      <c r="B2176" t="str">
        <f t="shared" si="903"/>
        <v>CODE 413200E BLDG 351 RM 2412</v>
      </c>
      <c r="C2176" t="str">
        <f t="shared" si="904"/>
        <v>575 I ST STE 1</v>
      </c>
      <c r="D2176" t="str">
        <f t="shared" si="897"/>
        <v>POINT MUGU NAWC</v>
      </c>
      <c r="E2176" t="str">
        <f t="shared" si="898"/>
        <v>CA</v>
      </c>
      <c r="F2176" t="str">
        <f t="shared" si="899"/>
        <v>930425060</v>
      </c>
      <c r="G2176" t="str">
        <f>T("CODE 413200E")</f>
        <v>CODE 413200E</v>
      </c>
      <c r="H2176" t="str">
        <f>T("575 I ST STE 1")</f>
        <v>575 I ST STE 1</v>
      </c>
      <c r="I2176" t="str">
        <f t="shared" si="900"/>
        <v>POINT MUGU NAWC</v>
      </c>
      <c r="J2176" t="str">
        <f t="shared" si="901"/>
        <v>CA</v>
      </c>
      <c r="K2176" t="str">
        <f t="shared" si="902"/>
        <v>7609391648</v>
      </c>
      <c r="L2176" t="str">
        <f>T("8059894669")</f>
        <v>8059894669</v>
      </c>
    </row>
    <row r="2177" spans="1:12" x14ac:dyDescent="0.35">
      <c r="A2177" t="str">
        <f t="shared" si="896"/>
        <v>NAVAIR WD</v>
      </c>
      <c r="B2177" t="str">
        <f t="shared" si="903"/>
        <v>CODE 413200E BLDG 351 RM 2412</v>
      </c>
      <c r="C2177" t="str">
        <f t="shared" si="904"/>
        <v>575 I ST STE 1</v>
      </c>
      <c r="D2177" t="str">
        <f t="shared" si="897"/>
        <v>POINT MUGU NAWC</v>
      </c>
      <c r="E2177" t="str">
        <f t="shared" si="898"/>
        <v>CA</v>
      </c>
      <c r="F2177" t="str">
        <f t="shared" si="899"/>
        <v>930425060</v>
      </c>
      <c r="G2177" t="str">
        <f>T("CODE 413200E BLDG 351 RM 2412")</f>
        <v>CODE 413200E BLDG 351 RM 2412</v>
      </c>
      <c r="H2177" t="str">
        <f>T("575 I ST STE 1")</f>
        <v>575 I ST STE 1</v>
      </c>
      <c r="I2177" t="str">
        <f t="shared" si="900"/>
        <v>POINT MUGU NAWC</v>
      </c>
      <c r="J2177" t="str">
        <f t="shared" si="901"/>
        <v>CA</v>
      </c>
      <c r="K2177" t="str">
        <f t="shared" si="902"/>
        <v>7609391648</v>
      </c>
      <c r="L2177" t="str">
        <f>T("8059891923")</f>
        <v>8059891923</v>
      </c>
    </row>
    <row r="2178" spans="1:12" x14ac:dyDescent="0.35">
      <c r="A2178" t="str">
        <f t="shared" si="896"/>
        <v>NAVAIR WD</v>
      </c>
      <c r="B2178" t="str">
        <f t="shared" si="903"/>
        <v>CODE 413200E BLDG 351 RM 2412</v>
      </c>
      <c r="C2178" t="str">
        <f t="shared" si="904"/>
        <v>575 I ST STE 1</v>
      </c>
      <c r="D2178" t="str">
        <f t="shared" si="897"/>
        <v>POINT MUGU NAWC</v>
      </c>
      <c r="E2178" t="str">
        <f t="shared" si="898"/>
        <v>CA</v>
      </c>
      <c r="F2178" t="str">
        <f t="shared" si="899"/>
        <v>930425060</v>
      </c>
      <c r="G2178" t="str">
        <f>T("CODE 493000E")</f>
        <v>CODE 493000E</v>
      </c>
      <c r="H2178" t="str">
        <f>T("575 I AVE STE 1 BLDG 36 RM 1065")</f>
        <v>575 I AVE STE 1 BLDG 36 RM 1065</v>
      </c>
      <c r="I2178" t="str">
        <f t="shared" si="900"/>
        <v>POINT MUGU NAWC</v>
      </c>
      <c r="J2178" t="str">
        <f t="shared" si="901"/>
        <v>CA</v>
      </c>
      <c r="K2178" t="str">
        <f t="shared" si="902"/>
        <v>7609391648</v>
      </c>
      <c r="L2178" t="str">
        <f>T("8059899081")</f>
        <v>8059899081</v>
      </c>
    </row>
    <row r="2179" spans="1:12" x14ac:dyDescent="0.35">
      <c r="A2179" t="str">
        <f t="shared" si="896"/>
        <v>NAVAIR WD</v>
      </c>
      <c r="B2179" t="str">
        <f t="shared" si="903"/>
        <v>CODE 413200E BLDG 351 RM 2412</v>
      </c>
      <c r="C2179" t="str">
        <f t="shared" si="904"/>
        <v>575 I ST STE 1</v>
      </c>
      <c r="D2179" t="str">
        <f t="shared" si="897"/>
        <v>POINT MUGU NAWC</v>
      </c>
      <c r="E2179" t="str">
        <f t="shared" si="898"/>
        <v>CA</v>
      </c>
      <c r="F2179" t="str">
        <f t="shared" si="899"/>
        <v>930425060</v>
      </c>
      <c r="G2179" t="str">
        <f>T("CODE 493500E")</f>
        <v>CODE 493500E</v>
      </c>
      <c r="H2179" t="str">
        <f>T("575 I AVE STE 1")</f>
        <v>575 I AVE STE 1</v>
      </c>
      <c r="I2179" t="str">
        <f t="shared" si="900"/>
        <v>POINT MUGU NAWC</v>
      </c>
      <c r="J2179" t="str">
        <f t="shared" si="901"/>
        <v>CA</v>
      </c>
      <c r="K2179" t="str">
        <f t="shared" si="902"/>
        <v>7609391648</v>
      </c>
      <c r="L2179" t="str">
        <f>T("8059898524")</f>
        <v>8059898524</v>
      </c>
    </row>
    <row r="2180" spans="1:12" x14ac:dyDescent="0.35">
      <c r="A2180" t="str">
        <f t="shared" si="896"/>
        <v>NAVAIR WD</v>
      </c>
      <c r="B2180" t="str">
        <f t="shared" si="903"/>
        <v>CODE 413200E BLDG 351 RM 2412</v>
      </c>
      <c r="C2180" t="str">
        <f t="shared" si="904"/>
        <v>575 I ST STE 1</v>
      </c>
      <c r="D2180" t="str">
        <f t="shared" si="897"/>
        <v>POINT MUGU NAWC</v>
      </c>
      <c r="E2180" t="str">
        <f t="shared" si="898"/>
        <v>CA</v>
      </c>
      <c r="F2180" t="str">
        <f t="shared" si="899"/>
        <v>930425060</v>
      </c>
      <c r="G2180" t="str">
        <f>T("CODE 493500E")</f>
        <v>CODE 493500E</v>
      </c>
      <c r="H2180" t="str">
        <f>T("575 I AVE STE 1")</f>
        <v>575 I AVE STE 1</v>
      </c>
      <c r="I2180" t="str">
        <f t="shared" si="900"/>
        <v>POINT MUGU NAWC</v>
      </c>
      <c r="J2180" t="str">
        <f t="shared" si="901"/>
        <v>CA</v>
      </c>
      <c r="K2180" t="str">
        <f t="shared" si="902"/>
        <v>7609391648</v>
      </c>
      <c r="L2180" t="str">
        <f>T("8059899881")</f>
        <v>8059899881</v>
      </c>
    </row>
    <row r="2181" spans="1:12" x14ac:dyDescent="0.35">
      <c r="A2181" t="str">
        <f t="shared" si="896"/>
        <v>NAVAIR WD</v>
      </c>
      <c r="B2181" t="str">
        <f t="shared" si="903"/>
        <v>CODE 413200E BLDG 351 RM 2412</v>
      </c>
      <c r="C2181" t="str">
        <f t="shared" si="904"/>
        <v>575 I ST STE 1</v>
      </c>
      <c r="D2181" t="str">
        <f t="shared" si="897"/>
        <v>POINT MUGU NAWC</v>
      </c>
      <c r="E2181" t="str">
        <f t="shared" si="898"/>
        <v>CA</v>
      </c>
      <c r="F2181" t="str">
        <f t="shared" si="899"/>
        <v>930425060</v>
      </c>
      <c r="G2181" t="str">
        <f>T("CODE 494200E")</f>
        <v>CODE 494200E</v>
      </c>
      <c r="H2181" t="str">
        <f>T("575 I AVE STE 1")</f>
        <v>575 I AVE STE 1</v>
      </c>
      <c r="I2181" t="str">
        <f t="shared" si="900"/>
        <v>POINT MUGU NAWC</v>
      </c>
      <c r="J2181" t="str">
        <f t="shared" si="901"/>
        <v>CA</v>
      </c>
      <c r="K2181" t="str">
        <f t="shared" si="902"/>
        <v>7609391648</v>
      </c>
      <c r="L2181" t="str">
        <f>T("8059898506")</f>
        <v>8059898506</v>
      </c>
    </row>
    <row r="2182" spans="1:12" x14ac:dyDescent="0.35">
      <c r="A2182" t="str">
        <f t="shared" si="896"/>
        <v>NAVAIR WD</v>
      </c>
      <c r="B2182" t="str">
        <f t="shared" ref="B2182:B2187" si="905">T("CODE 450000E")</f>
        <v>CODE 450000E</v>
      </c>
      <c r="C2182" t="str">
        <f t="shared" ref="C2182:C2190" si="906">T("575 I AVE STE 1")</f>
        <v>575 I AVE STE 1</v>
      </c>
      <c r="D2182" t="str">
        <f t="shared" si="897"/>
        <v>POINT MUGU NAWC</v>
      </c>
      <c r="E2182" t="str">
        <f t="shared" si="898"/>
        <v>CA</v>
      </c>
      <c r="F2182" t="str">
        <f t="shared" si="899"/>
        <v>930425060</v>
      </c>
      <c r="G2182" t="str">
        <f>T("575 I AVE STE 1 CODE 454000E")</f>
        <v>575 I AVE STE 1 CODE 454000E</v>
      </c>
      <c r="H2182" t="str">
        <f>T("BLDG 36 RM 1080")</f>
        <v>BLDG 36 RM 1080</v>
      </c>
      <c r="I2182" t="str">
        <f t="shared" si="900"/>
        <v>POINT MUGU NAWC</v>
      </c>
      <c r="J2182" t="str">
        <f t="shared" si="901"/>
        <v>CA</v>
      </c>
      <c r="K2182" t="str">
        <f t="shared" si="902"/>
        <v>7609391648</v>
      </c>
      <c r="L2182" t="str">
        <f>T("8059898731")</f>
        <v>8059898731</v>
      </c>
    </row>
    <row r="2183" spans="1:12" x14ac:dyDescent="0.35">
      <c r="A2183" t="str">
        <f t="shared" si="896"/>
        <v>NAVAIR WD</v>
      </c>
      <c r="B2183" t="str">
        <f t="shared" si="905"/>
        <v>CODE 450000E</v>
      </c>
      <c r="C2183" t="str">
        <f t="shared" si="906"/>
        <v>575 I AVE STE 1</v>
      </c>
      <c r="D2183" t="str">
        <f t="shared" si="897"/>
        <v>POINT MUGU NAWC</v>
      </c>
      <c r="E2183" t="str">
        <f t="shared" si="898"/>
        <v>CA</v>
      </c>
      <c r="F2183" t="str">
        <f t="shared" si="899"/>
        <v>930425060</v>
      </c>
      <c r="G2183" t="str">
        <f>T("CODE 41230TE")</f>
        <v>CODE 41230TE</v>
      </c>
      <c r="H2183" t="str">
        <f t="shared" ref="H2183:H2190" si="907">T("575 I AVE STE 1")</f>
        <v>575 I AVE STE 1</v>
      </c>
      <c r="I2183" t="str">
        <f t="shared" si="900"/>
        <v>POINT MUGU NAWC</v>
      </c>
      <c r="J2183" t="str">
        <f t="shared" si="901"/>
        <v>CA</v>
      </c>
      <c r="K2183" t="str">
        <f t="shared" si="902"/>
        <v>7609391648</v>
      </c>
      <c r="L2183" t="str">
        <f>T("8059893027")</f>
        <v>8059893027</v>
      </c>
    </row>
    <row r="2184" spans="1:12" x14ac:dyDescent="0.35">
      <c r="A2184" t="str">
        <f t="shared" si="896"/>
        <v>NAVAIR WD</v>
      </c>
      <c r="B2184" t="str">
        <f t="shared" si="905"/>
        <v>CODE 450000E</v>
      </c>
      <c r="C2184" t="str">
        <f t="shared" si="906"/>
        <v>575 I AVE STE 1</v>
      </c>
      <c r="D2184" t="str">
        <f t="shared" si="897"/>
        <v>POINT MUGU NAWC</v>
      </c>
      <c r="E2184" t="str">
        <f t="shared" si="898"/>
        <v>CA</v>
      </c>
      <c r="F2184" t="str">
        <f t="shared" si="899"/>
        <v>930425060</v>
      </c>
      <c r="G2184" t="str">
        <f>T("CODE 450000E")</f>
        <v>CODE 450000E</v>
      </c>
      <c r="H2184" t="str">
        <f t="shared" si="907"/>
        <v>575 I AVE STE 1</v>
      </c>
      <c r="I2184" t="str">
        <f t="shared" si="900"/>
        <v>POINT MUGU NAWC</v>
      </c>
      <c r="J2184" t="str">
        <f t="shared" si="901"/>
        <v>CA</v>
      </c>
      <c r="K2184" t="str">
        <f t="shared" si="902"/>
        <v>7609391648</v>
      </c>
      <c r="L2184" t="str">
        <f>T("8059899036")</f>
        <v>8059899036</v>
      </c>
    </row>
    <row r="2185" spans="1:12" x14ac:dyDescent="0.35">
      <c r="A2185" t="str">
        <f t="shared" si="896"/>
        <v>NAVAIR WD</v>
      </c>
      <c r="B2185" t="str">
        <f t="shared" si="905"/>
        <v>CODE 450000E</v>
      </c>
      <c r="C2185" t="str">
        <f t="shared" si="906"/>
        <v>575 I AVE STE 1</v>
      </c>
      <c r="D2185" t="str">
        <f t="shared" si="897"/>
        <v>POINT MUGU NAWC</v>
      </c>
      <c r="E2185" t="str">
        <f t="shared" si="898"/>
        <v>CA</v>
      </c>
      <c r="F2185" t="str">
        <f t="shared" si="899"/>
        <v>930425060</v>
      </c>
      <c r="G2185" t="str">
        <f>T("CODE 451710E")</f>
        <v>CODE 451710E</v>
      </c>
      <c r="H2185" t="str">
        <f t="shared" si="907"/>
        <v>575 I AVE STE 1</v>
      </c>
      <c r="I2185" t="str">
        <f t="shared" si="900"/>
        <v>POINT MUGU NAWC</v>
      </c>
      <c r="J2185" t="str">
        <f t="shared" si="901"/>
        <v>CA</v>
      </c>
      <c r="K2185" t="str">
        <f t="shared" si="902"/>
        <v>7609391648</v>
      </c>
      <c r="L2185" t="str">
        <f>T("8059898189")</f>
        <v>8059898189</v>
      </c>
    </row>
    <row r="2186" spans="1:12" x14ac:dyDescent="0.35">
      <c r="A2186" t="str">
        <f t="shared" si="896"/>
        <v>NAVAIR WD</v>
      </c>
      <c r="B2186" t="str">
        <f t="shared" si="905"/>
        <v>CODE 450000E</v>
      </c>
      <c r="C2186" t="str">
        <f t="shared" si="906"/>
        <v>575 I AVE STE 1</v>
      </c>
      <c r="D2186" t="str">
        <f t="shared" si="897"/>
        <v>POINT MUGU NAWC</v>
      </c>
      <c r="E2186" t="str">
        <f t="shared" si="898"/>
        <v>CA</v>
      </c>
      <c r="F2186" t="str">
        <f t="shared" si="899"/>
        <v>930425060</v>
      </c>
      <c r="G2186" t="str">
        <f>T("CODE 454400E")</f>
        <v>CODE 454400E</v>
      </c>
      <c r="H2186" t="str">
        <f t="shared" si="907"/>
        <v>575 I AVE STE 1</v>
      </c>
      <c r="I2186" t="str">
        <f t="shared" si="900"/>
        <v>POINT MUGU NAWC</v>
      </c>
      <c r="J2186" t="str">
        <f t="shared" si="901"/>
        <v>CA</v>
      </c>
      <c r="K2186" t="str">
        <f t="shared" si="902"/>
        <v>7609391648</v>
      </c>
      <c r="L2186" t="str">
        <f>T("8059898504")</f>
        <v>8059898504</v>
      </c>
    </row>
    <row r="2187" spans="1:12" x14ac:dyDescent="0.35">
      <c r="A2187" t="str">
        <f t="shared" si="896"/>
        <v>NAVAIR WD</v>
      </c>
      <c r="B2187" t="str">
        <f t="shared" si="905"/>
        <v>CODE 450000E</v>
      </c>
      <c r="C2187" t="str">
        <f t="shared" si="906"/>
        <v>575 I AVE STE 1</v>
      </c>
      <c r="D2187" t="str">
        <f t="shared" si="897"/>
        <v>POINT MUGU NAWC</v>
      </c>
      <c r="E2187" t="str">
        <f t="shared" si="898"/>
        <v>CA</v>
      </c>
      <c r="F2187" t="str">
        <f t="shared" si="899"/>
        <v>930425060</v>
      </c>
      <c r="G2187" t="str">
        <f>T("CODE 783100E")</f>
        <v>CODE 783100E</v>
      </c>
      <c r="H2187" t="str">
        <f t="shared" si="907"/>
        <v>575 I AVE STE 1</v>
      </c>
      <c r="I2187" t="str">
        <f t="shared" si="900"/>
        <v>POINT MUGU NAWC</v>
      </c>
      <c r="J2187" t="str">
        <f t="shared" si="901"/>
        <v>CA</v>
      </c>
      <c r="K2187" t="str">
        <f t="shared" si="902"/>
        <v>7609391648</v>
      </c>
      <c r="L2187" t="str">
        <f>T("8059899041")</f>
        <v>8059899041</v>
      </c>
    </row>
    <row r="2188" spans="1:12" x14ac:dyDescent="0.35">
      <c r="A2188" t="str">
        <f t="shared" si="896"/>
        <v>NAVAIR WD</v>
      </c>
      <c r="B2188" t="str">
        <f t="shared" ref="B2188:B2197" si="908">T("CODE 480000E")</f>
        <v>CODE 480000E</v>
      </c>
      <c r="C2188" t="str">
        <f t="shared" si="906"/>
        <v>575 I AVE STE 1</v>
      </c>
      <c r="D2188" t="str">
        <f t="shared" si="897"/>
        <v>POINT MUGU NAWC</v>
      </c>
      <c r="E2188" t="str">
        <f t="shared" si="898"/>
        <v>CA</v>
      </c>
      <c r="F2188" t="str">
        <f t="shared" si="899"/>
        <v>930425060</v>
      </c>
      <c r="G2188" t="str">
        <f>T("CODE 480000E")</f>
        <v>CODE 480000E</v>
      </c>
      <c r="H2188" t="str">
        <f t="shared" si="907"/>
        <v>575 I AVE STE 1</v>
      </c>
      <c r="I2188" t="str">
        <f t="shared" si="900"/>
        <v>POINT MUGU NAWC</v>
      </c>
      <c r="J2188" t="str">
        <f t="shared" si="901"/>
        <v>CA</v>
      </c>
      <c r="K2188" t="str">
        <f>T("760-939-1648")</f>
        <v>760-939-1648</v>
      </c>
      <c r="L2188" t="str">
        <f>T("8059899557")</f>
        <v>8059899557</v>
      </c>
    </row>
    <row r="2189" spans="1:12" x14ac:dyDescent="0.35">
      <c r="A2189" t="str">
        <f t="shared" si="896"/>
        <v>NAVAIR WD</v>
      </c>
      <c r="B2189" t="str">
        <f t="shared" si="908"/>
        <v>CODE 480000E</v>
      </c>
      <c r="C2189" t="str">
        <f t="shared" si="906"/>
        <v>575 I AVE STE 1</v>
      </c>
      <c r="D2189" t="str">
        <f t="shared" si="897"/>
        <v>POINT MUGU NAWC</v>
      </c>
      <c r="E2189" t="str">
        <f t="shared" si="898"/>
        <v>CA</v>
      </c>
      <c r="F2189" t="str">
        <f t="shared" si="899"/>
        <v>930425060</v>
      </c>
      <c r="G2189" t="str">
        <f>T("CODE 480000E")</f>
        <v>CODE 480000E</v>
      </c>
      <c r="H2189" t="str">
        <f t="shared" si="907"/>
        <v>575 I AVE STE 1</v>
      </c>
      <c r="I2189" t="str">
        <f t="shared" si="900"/>
        <v>POINT MUGU NAWC</v>
      </c>
      <c r="J2189" t="str">
        <f t="shared" si="901"/>
        <v>CA</v>
      </c>
      <c r="K2189" t="str">
        <f>T("7609391648")</f>
        <v>7609391648</v>
      </c>
      <c r="L2189" t="str">
        <f>T("8059898737")</f>
        <v>8059898737</v>
      </c>
    </row>
    <row r="2190" spans="1:12" x14ac:dyDescent="0.35">
      <c r="A2190" t="str">
        <f t="shared" si="896"/>
        <v>NAVAIR WD</v>
      </c>
      <c r="B2190" t="str">
        <f t="shared" si="908"/>
        <v>CODE 480000E</v>
      </c>
      <c r="C2190" t="str">
        <f t="shared" si="906"/>
        <v>575 I AVE STE 1</v>
      </c>
      <c r="D2190" t="str">
        <f t="shared" si="897"/>
        <v>POINT MUGU NAWC</v>
      </c>
      <c r="E2190" t="str">
        <f t="shared" si="898"/>
        <v>CA</v>
      </c>
      <c r="F2190" t="str">
        <f t="shared" si="899"/>
        <v>930425060</v>
      </c>
      <c r="G2190" t="str">
        <f>T("CODE 486P00E")</f>
        <v>CODE 486P00E</v>
      </c>
      <c r="H2190" t="str">
        <f t="shared" si="907"/>
        <v>575 I AVE STE 1</v>
      </c>
      <c r="I2190" t="str">
        <f t="shared" si="900"/>
        <v>POINT MUGU NAWC</v>
      </c>
      <c r="J2190" t="str">
        <f t="shared" si="901"/>
        <v>CA</v>
      </c>
      <c r="K2190" t="str">
        <f>T("7609391648")</f>
        <v>7609391648</v>
      </c>
      <c r="L2190" t="str">
        <f>T("8059898736")</f>
        <v>8059898736</v>
      </c>
    </row>
    <row r="2191" spans="1:12" x14ac:dyDescent="0.35">
      <c r="A2191" t="str">
        <f t="shared" si="896"/>
        <v>NAVAIR WD</v>
      </c>
      <c r="B2191" t="str">
        <f t="shared" si="908"/>
        <v>CODE 480000E</v>
      </c>
      <c r="C2191" t="str">
        <f t="shared" ref="C2191:C2197" si="909">T("575 I AVE STE 1 BLDG 335")</f>
        <v>575 I AVE STE 1 BLDG 335</v>
      </c>
      <c r="D2191" t="str">
        <f t="shared" si="897"/>
        <v>POINT MUGU NAWC</v>
      </c>
      <c r="E2191" t="str">
        <f t="shared" si="898"/>
        <v>CA</v>
      </c>
      <c r="F2191" t="str">
        <f t="shared" si="899"/>
        <v>930425060</v>
      </c>
      <c r="G2191" t="str">
        <f>T("CODE 480000E")</f>
        <v>CODE 480000E</v>
      </c>
      <c r="H2191" t="str">
        <f>T("575 I AVE STE 1 BLDG 335")</f>
        <v>575 I AVE STE 1 BLDG 335</v>
      </c>
      <c r="I2191" t="str">
        <f t="shared" si="900"/>
        <v>POINT MUGU NAWC</v>
      </c>
      <c r="J2191" t="str">
        <f t="shared" si="901"/>
        <v>CA</v>
      </c>
      <c r="K2191" t="str">
        <f>T("760-939-1648")</f>
        <v>760-939-1648</v>
      </c>
      <c r="L2191" t="str">
        <f>T("8059899253")</f>
        <v>8059899253</v>
      </c>
    </row>
    <row r="2192" spans="1:12" x14ac:dyDescent="0.35">
      <c r="A2192" t="str">
        <f t="shared" si="896"/>
        <v>NAVAIR WD</v>
      </c>
      <c r="B2192" t="str">
        <f t="shared" si="908"/>
        <v>CODE 480000E</v>
      </c>
      <c r="C2192" t="str">
        <f t="shared" si="909"/>
        <v>575 I AVE STE 1 BLDG 335</v>
      </c>
      <c r="D2192" t="str">
        <f t="shared" si="897"/>
        <v>POINT MUGU NAWC</v>
      </c>
      <c r="E2192" t="str">
        <f t="shared" si="898"/>
        <v>CA</v>
      </c>
      <c r="F2192" t="str">
        <f t="shared" si="899"/>
        <v>930425060</v>
      </c>
      <c r="G2192" t="str">
        <f>T("CODE 530000E")</f>
        <v>CODE 530000E</v>
      </c>
      <c r="H2192" t="str">
        <f>T("575 I AVE STE 1 BLDG 36 RM 2316")</f>
        <v>575 I AVE STE 1 BLDG 36 RM 2316</v>
      </c>
      <c r="I2192" t="str">
        <f t="shared" si="900"/>
        <v>POINT MUGU NAWC</v>
      </c>
      <c r="J2192" t="str">
        <f t="shared" si="901"/>
        <v>CA</v>
      </c>
      <c r="K2192" t="str">
        <f t="shared" ref="K2192:K2197" si="910">T("7609391648")</f>
        <v>7609391648</v>
      </c>
      <c r="L2192" t="str">
        <f>T("8059898534")</f>
        <v>8059898534</v>
      </c>
    </row>
    <row r="2193" spans="1:12" x14ac:dyDescent="0.35">
      <c r="A2193" t="str">
        <f t="shared" si="896"/>
        <v>NAVAIR WD</v>
      </c>
      <c r="B2193" t="str">
        <f t="shared" si="908"/>
        <v>CODE 480000E</v>
      </c>
      <c r="C2193" t="str">
        <f t="shared" si="909"/>
        <v>575 I AVE STE 1 BLDG 335</v>
      </c>
      <c r="D2193" t="str">
        <f t="shared" si="897"/>
        <v>POINT MUGU NAWC</v>
      </c>
      <c r="E2193" t="str">
        <f t="shared" si="898"/>
        <v>CA</v>
      </c>
      <c r="F2193" t="str">
        <f t="shared" si="899"/>
        <v>930425060</v>
      </c>
      <c r="G2193" t="str">
        <f>T("CODE 53000ME")</f>
        <v>CODE 53000ME</v>
      </c>
      <c r="H2193" t="str">
        <f>T("575 I AVE STE 1 BLDG 36 RM 2316")</f>
        <v>575 I AVE STE 1 BLDG 36 RM 2316</v>
      </c>
      <c r="I2193" t="str">
        <f t="shared" si="900"/>
        <v>POINT MUGU NAWC</v>
      </c>
      <c r="J2193" t="str">
        <f t="shared" si="901"/>
        <v>CA</v>
      </c>
      <c r="K2193" t="str">
        <f t="shared" si="910"/>
        <v>7609391648</v>
      </c>
      <c r="L2193" t="str">
        <f>T("8059898534")</f>
        <v>8059898534</v>
      </c>
    </row>
    <row r="2194" spans="1:12" x14ac:dyDescent="0.35">
      <c r="A2194" t="str">
        <f t="shared" si="896"/>
        <v>NAVAIR WD</v>
      </c>
      <c r="B2194" t="str">
        <f t="shared" si="908"/>
        <v>CODE 480000E</v>
      </c>
      <c r="C2194" t="str">
        <f t="shared" si="909"/>
        <v>575 I AVE STE 1 BLDG 335</v>
      </c>
      <c r="D2194" t="str">
        <f t="shared" si="897"/>
        <v>POINT MUGU NAWC</v>
      </c>
      <c r="E2194" t="str">
        <f t="shared" si="898"/>
        <v>CA</v>
      </c>
      <c r="F2194" t="str">
        <f t="shared" si="899"/>
        <v>930425060</v>
      </c>
      <c r="G2194" t="str">
        <f>T("CODE 53100ME")</f>
        <v>CODE 53100ME</v>
      </c>
      <c r="H2194" t="str">
        <f>T("575 I AVE STE 1 BLDG 513")</f>
        <v>575 I AVE STE 1 BLDG 513</v>
      </c>
      <c r="I2194" t="str">
        <f t="shared" si="900"/>
        <v>POINT MUGU NAWC</v>
      </c>
      <c r="J2194" t="str">
        <f t="shared" si="901"/>
        <v>CA</v>
      </c>
      <c r="K2194" t="str">
        <f t="shared" si="910"/>
        <v>7609391648</v>
      </c>
      <c r="L2194" t="str">
        <f>T("8059897037")</f>
        <v>8059897037</v>
      </c>
    </row>
    <row r="2195" spans="1:12" x14ac:dyDescent="0.35">
      <c r="A2195" t="str">
        <f t="shared" si="896"/>
        <v>NAVAIR WD</v>
      </c>
      <c r="B2195" t="str">
        <f t="shared" si="908"/>
        <v>CODE 480000E</v>
      </c>
      <c r="C2195" t="str">
        <f t="shared" si="909"/>
        <v>575 I AVE STE 1 BLDG 335</v>
      </c>
      <c r="D2195" t="str">
        <f t="shared" si="897"/>
        <v>POINT MUGU NAWC</v>
      </c>
      <c r="E2195" t="str">
        <f t="shared" si="898"/>
        <v>CA</v>
      </c>
      <c r="F2195" t="str">
        <f t="shared" si="899"/>
        <v>930425060</v>
      </c>
      <c r="G2195" t="str">
        <f>T("CODE 53120ME")</f>
        <v>CODE 53120ME</v>
      </c>
      <c r="H2195" t="str">
        <f>T("575 I AVE STE 1")</f>
        <v>575 I AVE STE 1</v>
      </c>
      <c r="I2195" t="str">
        <f t="shared" si="900"/>
        <v>POINT MUGU NAWC</v>
      </c>
      <c r="J2195" t="str">
        <f t="shared" si="901"/>
        <v>CA</v>
      </c>
      <c r="K2195" t="str">
        <f t="shared" si="910"/>
        <v>7609391648</v>
      </c>
      <c r="L2195" t="str">
        <f>T("8059895955")</f>
        <v>8059895955</v>
      </c>
    </row>
    <row r="2196" spans="1:12" x14ac:dyDescent="0.35">
      <c r="A2196" t="str">
        <f t="shared" si="896"/>
        <v>NAVAIR WD</v>
      </c>
      <c r="B2196" t="str">
        <f t="shared" si="908"/>
        <v>CODE 480000E</v>
      </c>
      <c r="C2196" t="str">
        <f t="shared" si="909"/>
        <v>575 I AVE STE 1 BLDG 335</v>
      </c>
      <c r="D2196" t="str">
        <f t="shared" si="897"/>
        <v>POINT MUGU NAWC</v>
      </c>
      <c r="E2196" t="str">
        <f t="shared" si="898"/>
        <v>CA</v>
      </c>
      <c r="F2196" t="str">
        <f t="shared" si="899"/>
        <v>930425060</v>
      </c>
      <c r="G2196" t="str">
        <f>T("CODE 53120ME")</f>
        <v>CODE 53120ME</v>
      </c>
      <c r="H2196" t="str">
        <f>T("575 I AVE STE 1 BLDG 513 MS 0580")</f>
        <v>575 I AVE STE 1 BLDG 513 MS 0580</v>
      </c>
      <c r="I2196" t="str">
        <f t="shared" si="900"/>
        <v>POINT MUGU NAWC</v>
      </c>
      <c r="J2196" t="str">
        <f t="shared" si="901"/>
        <v>CA</v>
      </c>
      <c r="K2196" t="str">
        <f t="shared" si="910"/>
        <v>7609391648</v>
      </c>
      <c r="L2196" t="str">
        <f>T("8059898093")</f>
        <v>8059898093</v>
      </c>
    </row>
    <row r="2197" spans="1:12" x14ac:dyDescent="0.35">
      <c r="A2197" t="str">
        <f t="shared" si="896"/>
        <v>NAVAIR WD</v>
      </c>
      <c r="B2197" t="str">
        <f t="shared" si="908"/>
        <v>CODE 480000E</v>
      </c>
      <c r="C2197" t="str">
        <f t="shared" si="909"/>
        <v>575 I AVE STE 1 BLDG 335</v>
      </c>
      <c r="D2197" t="str">
        <f t="shared" si="897"/>
        <v>POINT MUGU NAWC</v>
      </c>
      <c r="E2197" t="str">
        <f t="shared" si="898"/>
        <v>CA</v>
      </c>
      <c r="F2197" t="str">
        <f t="shared" si="899"/>
        <v>930425060</v>
      </c>
      <c r="G2197" t="str">
        <f>T("CODE 53240ME")</f>
        <v>CODE 53240ME</v>
      </c>
      <c r="H2197" t="str">
        <f>T("575 I AVE STE 1 BLDG 333 RM 214")</f>
        <v>575 I AVE STE 1 BLDG 333 RM 214</v>
      </c>
      <c r="I2197" t="str">
        <f t="shared" si="900"/>
        <v>POINT MUGU NAWC</v>
      </c>
      <c r="J2197" t="str">
        <f t="shared" si="901"/>
        <v>CA</v>
      </c>
      <c r="K2197" t="str">
        <f t="shared" si="910"/>
        <v>7609391648</v>
      </c>
      <c r="L2197" t="str">
        <f>T("8059895929")</f>
        <v>8059895929</v>
      </c>
    </row>
    <row r="2198" spans="1:12" x14ac:dyDescent="0.35">
      <c r="A2198" t="str">
        <f t="shared" si="896"/>
        <v>NAVAIR WD</v>
      </c>
      <c r="B2198" t="str">
        <f>T("CODE 485500E")</f>
        <v>CODE 485500E</v>
      </c>
      <c r="C2198" t="str">
        <f>T("575 I AVE STE 1")</f>
        <v>575 I AVE STE 1</v>
      </c>
      <c r="D2198" t="str">
        <f t="shared" si="897"/>
        <v>POINT MUGU NAWC</v>
      </c>
      <c r="E2198" t="str">
        <f t="shared" si="898"/>
        <v>CA</v>
      </c>
      <c r="F2198" t="str">
        <f t="shared" si="899"/>
        <v>930425060</v>
      </c>
      <c r="G2198" t="str">
        <f>T("CODE 485500E")</f>
        <v>CODE 485500E</v>
      </c>
      <c r="H2198" t="str">
        <f>T("575 I AVE STE 1")</f>
        <v>575 I AVE STE 1</v>
      </c>
      <c r="I2198" t="str">
        <f t="shared" si="900"/>
        <v>POINT MUGU NAWC</v>
      </c>
      <c r="J2198" t="str">
        <f t="shared" si="901"/>
        <v>CA</v>
      </c>
      <c r="K2198" t="str">
        <f>T("000000000000000000")</f>
        <v>000000000000000000</v>
      </c>
      <c r="L2198" t="str">
        <f>T("8059890033")</f>
        <v>8059890033</v>
      </c>
    </row>
    <row r="2199" spans="1:12" x14ac:dyDescent="0.35">
      <c r="A2199" t="str">
        <f t="shared" si="896"/>
        <v>NAVAIR WD</v>
      </c>
      <c r="B2199" t="str">
        <f>T("CODE 485500E")</f>
        <v>CODE 485500E</v>
      </c>
      <c r="C2199" t="str">
        <f>T("575 I AVE STE 1")</f>
        <v>575 I AVE STE 1</v>
      </c>
      <c r="D2199" t="str">
        <f t="shared" si="897"/>
        <v>POINT MUGU NAWC</v>
      </c>
      <c r="E2199" t="str">
        <f t="shared" si="898"/>
        <v>CA</v>
      </c>
      <c r="F2199" t="str">
        <f t="shared" si="899"/>
        <v>930425060</v>
      </c>
      <c r="G2199" t="str">
        <f>T("CODE 485600E")</f>
        <v>CODE 485600E</v>
      </c>
      <c r="H2199" t="str">
        <f>T("575 I AVE STE 1")</f>
        <v>575 I AVE STE 1</v>
      </c>
      <c r="I2199" t="str">
        <f t="shared" si="900"/>
        <v>POINT MUGU NAWC</v>
      </c>
      <c r="J2199" t="str">
        <f t="shared" si="901"/>
        <v>CA</v>
      </c>
      <c r="K2199" t="str">
        <f>T("7609391648")</f>
        <v>7609391648</v>
      </c>
      <c r="L2199" t="str">
        <f>T("8059895033")</f>
        <v>8059895033</v>
      </c>
    </row>
    <row r="2200" spans="1:12" x14ac:dyDescent="0.35">
      <c r="A2200" t="str">
        <f t="shared" si="896"/>
        <v>NAVAIR WD</v>
      </c>
      <c r="B2200" t="str">
        <f>T("CODE 485500E")</f>
        <v>CODE 485500E</v>
      </c>
      <c r="C2200" t="str">
        <f>T("575 I AVE STE 1")</f>
        <v>575 I AVE STE 1</v>
      </c>
      <c r="D2200" t="str">
        <f t="shared" si="897"/>
        <v>POINT MUGU NAWC</v>
      </c>
      <c r="E2200" t="str">
        <f t="shared" si="898"/>
        <v>CA</v>
      </c>
      <c r="F2200" t="str">
        <f t="shared" si="899"/>
        <v>930425060</v>
      </c>
      <c r="G2200" t="str">
        <f>T("CODE 486P00E")</f>
        <v>CODE 486P00E</v>
      </c>
      <c r="H2200" t="str">
        <f>T("575 I AVE STE 1")</f>
        <v>575 I AVE STE 1</v>
      </c>
      <c r="I2200" t="str">
        <f t="shared" si="900"/>
        <v>POINT MUGU NAWC</v>
      </c>
      <c r="J2200" t="str">
        <f t="shared" si="901"/>
        <v>CA</v>
      </c>
      <c r="K2200" t="str">
        <f>T("7609391648")</f>
        <v>7609391648</v>
      </c>
      <c r="L2200" t="str">
        <f>T("8059890034")</f>
        <v>8059890034</v>
      </c>
    </row>
    <row r="2201" spans="1:12" x14ac:dyDescent="0.35">
      <c r="A2201" t="str">
        <f t="shared" si="896"/>
        <v>NAVAIR WD</v>
      </c>
      <c r="B2201" t="str">
        <f>T("CODE 50000ME")</f>
        <v>CODE 50000ME</v>
      </c>
      <c r="C2201" t="str">
        <f>T("575 I AVE STE 1")</f>
        <v>575 I AVE STE 1</v>
      </c>
      <c r="D2201" t="str">
        <f t="shared" ref="D2201:D2220" si="911">T("POINT MUGU NAWC")</f>
        <v>POINT MUGU NAWC</v>
      </c>
      <c r="E2201" t="str">
        <f t="shared" si="898"/>
        <v>CA</v>
      </c>
      <c r="F2201" t="str">
        <f t="shared" si="899"/>
        <v>930425060</v>
      </c>
      <c r="G2201" t="str">
        <f>T("CODE 50000ME")</f>
        <v>CODE 50000ME</v>
      </c>
      <c r="H2201" t="str">
        <f>T("575 I AVE STE 1")</f>
        <v>575 I AVE STE 1</v>
      </c>
      <c r="I2201" t="str">
        <f t="shared" si="900"/>
        <v>POINT MUGU NAWC</v>
      </c>
      <c r="J2201" t="str">
        <f t="shared" si="901"/>
        <v>CA</v>
      </c>
      <c r="K2201" t="str">
        <f>T("000000000000000000")</f>
        <v>000000000000000000</v>
      </c>
      <c r="L2201" t="str">
        <f>T("8059898960")</f>
        <v>8059898960</v>
      </c>
    </row>
    <row r="2202" spans="1:12" x14ac:dyDescent="0.35">
      <c r="A2202" t="str">
        <f t="shared" si="896"/>
        <v>NAVAIR WD</v>
      </c>
      <c r="B2202" t="str">
        <f>T("CODE 519000E")</f>
        <v>CODE 519000E</v>
      </c>
      <c r="C2202" t="str">
        <f>T("575 I AVE ST 1 FL 2 RM 206")</f>
        <v>575 I AVE ST 1 FL 2 RM 206</v>
      </c>
      <c r="D2202" t="str">
        <f t="shared" si="911"/>
        <v>POINT MUGU NAWC</v>
      </c>
      <c r="E2202" t="str">
        <f t="shared" si="898"/>
        <v>CA</v>
      </c>
      <c r="F2202" t="str">
        <f t="shared" ref="F2202:F2210" si="912">T("930420001")</f>
        <v>930420001</v>
      </c>
      <c r="G2202" t="str">
        <f>T("CODE 510000E")</f>
        <v>CODE 510000E</v>
      </c>
      <c r="H2202" t="str">
        <f>T("575 I AVES TE 1")</f>
        <v>575 I AVES TE 1</v>
      </c>
      <c r="I2202" t="str">
        <f t="shared" si="900"/>
        <v>POINT MUGU NAWC</v>
      </c>
      <c r="J2202" t="str">
        <f t="shared" si="901"/>
        <v>CA</v>
      </c>
      <c r="K2202" t="str">
        <f>T("7609391648")</f>
        <v>7609391648</v>
      </c>
      <c r="L2202" t="str">
        <f>T("8059897096")</f>
        <v>8059897096</v>
      </c>
    </row>
    <row r="2203" spans="1:12" x14ac:dyDescent="0.35">
      <c r="A2203" t="str">
        <f t="shared" si="896"/>
        <v>NAVAIR WD</v>
      </c>
      <c r="B2203" t="str">
        <f>T("CODE 519000E")</f>
        <v>CODE 519000E</v>
      </c>
      <c r="C2203" t="str">
        <f>T("575 I AVE ST 1 FL 2 RM 206")</f>
        <v>575 I AVE ST 1 FL 2 RM 206</v>
      </c>
      <c r="D2203" t="str">
        <f t="shared" si="911"/>
        <v>POINT MUGU NAWC</v>
      </c>
      <c r="E2203" t="str">
        <f t="shared" si="898"/>
        <v>CA</v>
      </c>
      <c r="F2203" t="str">
        <f t="shared" si="912"/>
        <v>930420001</v>
      </c>
      <c r="G2203" t="str">
        <f>T("CODE 519000E")</f>
        <v>CODE 519000E</v>
      </c>
      <c r="H2203" t="str">
        <f>T("575 I AVE ST 1 FL 2 RM 206")</f>
        <v>575 I AVE ST 1 FL 2 RM 206</v>
      </c>
      <c r="I2203" t="str">
        <f t="shared" si="900"/>
        <v>POINT MUGU NAWC</v>
      </c>
      <c r="J2203" t="str">
        <f t="shared" si="901"/>
        <v>CA</v>
      </c>
      <c r="K2203" t="str">
        <f>T("000000000000000000")</f>
        <v>000000000000000000</v>
      </c>
      <c r="L2203" t="str">
        <f>T("8059897526")</f>
        <v>8059897526</v>
      </c>
    </row>
    <row r="2204" spans="1:12" x14ac:dyDescent="0.35">
      <c r="A2204" t="str">
        <f t="shared" si="896"/>
        <v>NAVAIR WD</v>
      </c>
      <c r="B2204" t="str">
        <f>T("CODE 519000E")</f>
        <v>CODE 519000E</v>
      </c>
      <c r="C2204" t="str">
        <f>T("575 I AVE ST 1 FL 2 RM 206")</f>
        <v>575 I AVE ST 1 FL 2 RM 206</v>
      </c>
      <c r="D2204" t="str">
        <f t="shared" si="911"/>
        <v>POINT MUGU NAWC</v>
      </c>
      <c r="E2204" t="str">
        <f t="shared" si="898"/>
        <v>CA</v>
      </c>
      <c r="F2204" t="str">
        <f t="shared" si="912"/>
        <v>930420001</v>
      </c>
      <c r="G2204" t="str">
        <f>T("CODE 51900ME")</f>
        <v>CODE 51900ME</v>
      </c>
      <c r="H2204" t="str">
        <f>T("575 I AVE STE 1")</f>
        <v>575 I AVE STE 1</v>
      </c>
      <c r="I2204" t="str">
        <f t="shared" si="900"/>
        <v>POINT MUGU NAWC</v>
      </c>
      <c r="J2204" t="str">
        <f t="shared" si="901"/>
        <v>CA</v>
      </c>
      <c r="K2204" t="str">
        <f>T("7609391648")</f>
        <v>7609391648</v>
      </c>
      <c r="L2204" t="str">
        <f>T("8059894601")</f>
        <v>8059894601</v>
      </c>
    </row>
    <row r="2205" spans="1:12" x14ac:dyDescent="0.35">
      <c r="A2205" t="str">
        <f t="shared" si="896"/>
        <v>NAVAIR WD</v>
      </c>
      <c r="B2205" t="str">
        <f>T("CODE 519000E")</f>
        <v>CODE 519000E</v>
      </c>
      <c r="C2205" t="str">
        <f>T("575 I AVE ST 1 FL 2 RM 206")</f>
        <v>575 I AVE ST 1 FL 2 RM 206</v>
      </c>
      <c r="D2205" t="str">
        <f t="shared" si="911"/>
        <v>POINT MUGU NAWC</v>
      </c>
      <c r="E2205" t="str">
        <f t="shared" si="898"/>
        <v>CA</v>
      </c>
      <c r="F2205" t="str">
        <f t="shared" si="912"/>
        <v>930420001</v>
      </c>
      <c r="G2205" t="str">
        <f>T("CODE 51D00ME")</f>
        <v>CODE 51D00ME</v>
      </c>
      <c r="H2205" t="str">
        <f>T("575 I AVE STE 1")</f>
        <v>575 I AVE STE 1</v>
      </c>
      <c r="I2205" t="str">
        <f t="shared" si="900"/>
        <v>POINT MUGU NAWC</v>
      </c>
      <c r="J2205" t="str">
        <f t="shared" si="901"/>
        <v>CA</v>
      </c>
      <c r="K2205" t="str">
        <f>T("7609391648")</f>
        <v>7609391648</v>
      </c>
      <c r="L2205" t="str">
        <f>T("8059897770")</f>
        <v>8059897770</v>
      </c>
    </row>
    <row r="2206" spans="1:12" x14ac:dyDescent="0.35">
      <c r="A2206" t="str">
        <f t="shared" si="896"/>
        <v>NAVAIR WD</v>
      </c>
      <c r="B2206" t="str">
        <f>T("CODE 52100ME")</f>
        <v>CODE 52100ME</v>
      </c>
      <c r="C2206" t="str">
        <f>T("")</f>
        <v/>
      </c>
      <c r="D2206" t="str">
        <f t="shared" si="911"/>
        <v>POINT MUGU NAWC</v>
      </c>
      <c r="E2206" t="str">
        <f t="shared" si="898"/>
        <v>CA</v>
      </c>
      <c r="F2206" t="str">
        <f t="shared" si="912"/>
        <v>930420001</v>
      </c>
      <c r="G2206" t="str">
        <f>T("CODE 52100ME")</f>
        <v>CODE 52100ME</v>
      </c>
      <c r="H2206" t="str">
        <f>T("")</f>
        <v/>
      </c>
      <c r="I2206" t="str">
        <f t="shared" si="900"/>
        <v>POINT MUGU NAWC</v>
      </c>
      <c r="J2206" t="str">
        <f t="shared" si="901"/>
        <v>CA</v>
      </c>
      <c r="K2206" t="str">
        <f>T("7609391648")</f>
        <v>7609391648</v>
      </c>
      <c r="L2206" t="str">
        <f>T("8059894897")</f>
        <v>8059894897</v>
      </c>
    </row>
    <row r="2207" spans="1:12" x14ac:dyDescent="0.35">
      <c r="A2207" t="str">
        <f t="shared" si="896"/>
        <v>NAVAIR WD</v>
      </c>
      <c r="B2207" t="str">
        <f>T("CODE 52100ME")</f>
        <v>CODE 52100ME</v>
      </c>
      <c r="C2207" t="str">
        <f>T("")</f>
        <v/>
      </c>
      <c r="D2207" t="str">
        <f t="shared" si="911"/>
        <v>POINT MUGU NAWC</v>
      </c>
      <c r="E2207" t="str">
        <f t="shared" si="898"/>
        <v>CA</v>
      </c>
      <c r="F2207" t="str">
        <f t="shared" si="912"/>
        <v>930420001</v>
      </c>
      <c r="G2207" t="str">
        <f>T("CODE 521400E")</f>
        <v>CODE 521400E</v>
      </c>
      <c r="H2207" t="str">
        <f>T("575 I AVE STE 1")</f>
        <v>575 I AVE STE 1</v>
      </c>
      <c r="I2207" t="str">
        <f t="shared" si="900"/>
        <v>POINT MUGU NAWC</v>
      </c>
      <c r="J2207" t="str">
        <f t="shared" si="901"/>
        <v>CA</v>
      </c>
      <c r="K2207" t="str">
        <f>T("000000000000000000")</f>
        <v>000000000000000000</v>
      </c>
      <c r="L2207" t="str">
        <f>T("8059898336")</f>
        <v>8059898336</v>
      </c>
    </row>
    <row r="2208" spans="1:12" x14ac:dyDescent="0.35">
      <c r="A2208" t="str">
        <f t="shared" si="896"/>
        <v>NAVAIR WD</v>
      </c>
      <c r="B2208" t="str">
        <f t="shared" ref="B2208:B2213" si="913">T("CODE 52520ME")</f>
        <v>CODE 52520ME</v>
      </c>
      <c r="C2208" t="str">
        <f>T("575 I AVE ST 1 MS 0490")</f>
        <v>575 I AVE ST 1 MS 0490</v>
      </c>
      <c r="D2208" t="str">
        <f t="shared" si="911"/>
        <v>POINT MUGU NAWC</v>
      </c>
      <c r="E2208" t="str">
        <f t="shared" si="898"/>
        <v>CA</v>
      </c>
      <c r="F2208" t="str">
        <f t="shared" si="912"/>
        <v>930420001</v>
      </c>
      <c r="G2208" t="str">
        <f>T("CODE 52500ME")</f>
        <v>CODE 52500ME</v>
      </c>
      <c r="H2208" t="str">
        <f>T("575 I AVE STE 1 BLDG 514 RM 148")</f>
        <v>575 I AVE STE 1 BLDG 514 RM 148</v>
      </c>
      <c r="I2208" t="str">
        <f t="shared" si="900"/>
        <v>POINT MUGU NAWC</v>
      </c>
      <c r="J2208" t="str">
        <f t="shared" si="901"/>
        <v>CA</v>
      </c>
      <c r="K2208" t="str">
        <f>T("7609391648")</f>
        <v>7609391648</v>
      </c>
      <c r="L2208" t="str">
        <f>T("8059893840")</f>
        <v>8059893840</v>
      </c>
    </row>
    <row r="2209" spans="1:12" x14ac:dyDescent="0.35">
      <c r="A2209" t="str">
        <f t="shared" si="896"/>
        <v>NAVAIR WD</v>
      </c>
      <c r="B2209" t="str">
        <f t="shared" si="913"/>
        <v>CODE 52520ME</v>
      </c>
      <c r="C2209" t="str">
        <f>T("575 I AVE ST 1 MS 0490")</f>
        <v>575 I AVE ST 1 MS 0490</v>
      </c>
      <c r="D2209" t="str">
        <f t="shared" si="911"/>
        <v>POINT MUGU NAWC</v>
      </c>
      <c r="E2209" t="str">
        <f t="shared" si="898"/>
        <v>CA</v>
      </c>
      <c r="F2209" t="str">
        <f t="shared" si="912"/>
        <v>930420001</v>
      </c>
      <c r="G2209" t="str">
        <f>T("CODE 52500ME M/S 0490")</f>
        <v>CODE 52500ME M/S 0490</v>
      </c>
      <c r="H2209" t="str">
        <f>T("575 I AVE STE 1 BLDG 514 RM 148")</f>
        <v>575 I AVE STE 1 BLDG 514 RM 148</v>
      </c>
      <c r="I2209" t="str">
        <f t="shared" si="900"/>
        <v>POINT MUGU NAWC</v>
      </c>
      <c r="J2209" t="str">
        <f t="shared" si="901"/>
        <v>CA</v>
      </c>
      <c r="K2209" t="str">
        <f>T("7609391648")</f>
        <v>7609391648</v>
      </c>
      <c r="L2209" t="str">
        <f>T("8059898148")</f>
        <v>8059898148</v>
      </c>
    </row>
    <row r="2210" spans="1:12" x14ac:dyDescent="0.35">
      <c r="A2210" t="str">
        <f t="shared" si="896"/>
        <v>NAVAIR WD</v>
      </c>
      <c r="B2210" t="str">
        <f t="shared" si="913"/>
        <v>CODE 52520ME</v>
      </c>
      <c r="C2210" t="str">
        <f>T("575 I AVE ST 1 MS 0490")</f>
        <v>575 I AVE ST 1 MS 0490</v>
      </c>
      <c r="D2210" t="str">
        <f t="shared" si="911"/>
        <v>POINT MUGU NAWC</v>
      </c>
      <c r="E2210" t="str">
        <f t="shared" si="898"/>
        <v>CA</v>
      </c>
      <c r="F2210" t="str">
        <f t="shared" si="912"/>
        <v>930420001</v>
      </c>
      <c r="G2210" t="str">
        <f>T("CODE 52520ME")</f>
        <v>CODE 52520ME</v>
      </c>
      <c r="H2210" t="str">
        <f>T("575 I AVE ST 1 MS 0490")</f>
        <v>575 I AVE ST 1 MS 0490</v>
      </c>
      <c r="I2210" t="str">
        <f t="shared" si="900"/>
        <v>POINT MUGU NAWC</v>
      </c>
      <c r="J2210" t="str">
        <f t="shared" si="901"/>
        <v>CA</v>
      </c>
      <c r="K2210" t="str">
        <f>T("000000000000000000")</f>
        <v>000000000000000000</v>
      </c>
      <c r="L2210" t="str">
        <f>T("8059899731")</f>
        <v>8059899731</v>
      </c>
    </row>
    <row r="2211" spans="1:12" x14ac:dyDescent="0.35">
      <c r="A2211" t="str">
        <f t="shared" si="896"/>
        <v>NAVAIR WD</v>
      </c>
      <c r="B2211" t="str">
        <f t="shared" si="913"/>
        <v>CODE 52520ME</v>
      </c>
      <c r="C2211" t="str">
        <f>T("575 I AVE STE 1")</f>
        <v>575 I AVE STE 1</v>
      </c>
      <c r="D2211" t="str">
        <f t="shared" si="911"/>
        <v>POINT MUGU NAWC</v>
      </c>
      <c r="E2211" t="str">
        <f t="shared" si="898"/>
        <v>CA</v>
      </c>
      <c r="F2211" t="str">
        <f>T("930425060")</f>
        <v>930425060</v>
      </c>
      <c r="G2211" t="str">
        <f>T("CODE 52120ME")</f>
        <v>CODE 52120ME</v>
      </c>
      <c r="H2211" t="str">
        <f>T("575 I AVE STE 1")</f>
        <v>575 I AVE STE 1</v>
      </c>
      <c r="I2211" t="str">
        <f t="shared" si="900"/>
        <v>POINT MUGU NAWC</v>
      </c>
      <c r="J2211" t="str">
        <f t="shared" si="901"/>
        <v>CA</v>
      </c>
      <c r="K2211" t="str">
        <f>T("7609391648")</f>
        <v>7609391648</v>
      </c>
      <c r="L2211" t="str">
        <f>T("8059895010")</f>
        <v>8059895010</v>
      </c>
    </row>
    <row r="2212" spans="1:12" x14ac:dyDescent="0.35">
      <c r="A2212" t="str">
        <f t="shared" si="896"/>
        <v>NAVAIR WD</v>
      </c>
      <c r="B2212" t="str">
        <f t="shared" si="913"/>
        <v>CODE 52520ME</v>
      </c>
      <c r="C2212" t="str">
        <f>T("575 I AVE STE 1")</f>
        <v>575 I AVE STE 1</v>
      </c>
      <c r="D2212" t="str">
        <f t="shared" si="911"/>
        <v>POINT MUGU NAWC</v>
      </c>
      <c r="E2212" t="str">
        <f t="shared" si="898"/>
        <v>CA</v>
      </c>
      <c r="F2212" t="str">
        <f>T("930425060")</f>
        <v>930425060</v>
      </c>
      <c r="G2212" t="str">
        <f>T("CODE 52500ME")</f>
        <v>CODE 52500ME</v>
      </c>
      <c r="H2212" t="str">
        <f>T("575 I AVE STE 1 BLDG 514 RM 148")</f>
        <v>575 I AVE STE 1 BLDG 514 RM 148</v>
      </c>
      <c r="I2212" t="str">
        <f t="shared" si="900"/>
        <v>POINT MUGU NAWC</v>
      </c>
      <c r="J2212" t="str">
        <f t="shared" si="901"/>
        <v>CA</v>
      </c>
      <c r="K2212" t="str">
        <f>T("7609391648")</f>
        <v>7609391648</v>
      </c>
      <c r="L2212" t="str">
        <f>T("8059898148")</f>
        <v>8059898148</v>
      </c>
    </row>
    <row r="2213" spans="1:12" x14ac:dyDescent="0.35">
      <c r="A2213" t="str">
        <f t="shared" si="896"/>
        <v>NAVAIR WD</v>
      </c>
      <c r="B2213" t="str">
        <f t="shared" si="913"/>
        <v>CODE 52520ME</v>
      </c>
      <c r="C2213" t="str">
        <f>T("575 I AVE STE 1")</f>
        <v>575 I AVE STE 1</v>
      </c>
      <c r="D2213" t="str">
        <f t="shared" si="911"/>
        <v>POINT MUGU NAWC</v>
      </c>
      <c r="E2213" t="str">
        <f t="shared" si="898"/>
        <v>CA</v>
      </c>
      <c r="F2213" t="str">
        <f>T("930425060")</f>
        <v>930425060</v>
      </c>
      <c r="G2213" t="str">
        <f>T("CODE 52520ME")</f>
        <v>CODE 52520ME</v>
      </c>
      <c r="H2213" t="str">
        <f>T("575 I AVE STE 1")</f>
        <v>575 I AVE STE 1</v>
      </c>
      <c r="I2213" t="str">
        <f t="shared" si="900"/>
        <v>POINT MUGU NAWC</v>
      </c>
      <c r="J2213" t="str">
        <f t="shared" si="901"/>
        <v>CA</v>
      </c>
      <c r="K2213" t="str">
        <f>T("000000000000000000")</f>
        <v>000000000000000000</v>
      </c>
      <c r="L2213" t="str">
        <f>T("8059898143")</f>
        <v>8059898143</v>
      </c>
    </row>
    <row r="2214" spans="1:12" x14ac:dyDescent="0.35">
      <c r="A2214" t="str">
        <f t="shared" si="896"/>
        <v>NAVAIR WD</v>
      </c>
      <c r="B2214" t="str">
        <f>T("CODE 52570ME")</f>
        <v>CODE 52570ME</v>
      </c>
      <c r="C2214" t="str">
        <f>T("575 I AVE STE 1")</f>
        <v>575 I AVE STE 1</v>
      </c>
      <c r="D2214" t="str">
        <f t="shared" si="911"/>
        <v>POINT MUGU NAWC</v>
      </c>
      <c r="E2214" t="str">
        <f t="shared" si="898"/>
        <v>CA</v>
      </c>
      <c r="F2214" t="str">
        <f>T("930425060")</f>
        <v>930425060</v>
      </c>
      <c r="G2214" t="str">
        <f>T("CODE 521400E")</f>
        <v>CODE 521400E</v>
      </c>
      <c r="H2214" t="str">
        <f>T("575 I AVE STE 1")</f>
        <v>575 I AVE STE 1</v>
      </c>
      <c r="I2214" t="str">
        <f>T("POINT MUGU")</f>
        <v>POINT MUGU</v>
      </c>
      <c r="J2214" t="str">
        <f t="shared" si="901"/>
        <v>CA</v>
      </c>
      <c r="K2214" t="str">
        <f>T("7609391648")</f>
        <v>7609391648</v>
      </c>
      <c r="L2214" t="str">
        <f>T("8059898336")</f>
        <v>8059898336</v>
      </c>
    </row>
    <row r="2215" spans="1:12" x14ac:dyDescent="0.35">
      <c r="A2215" t="str">
        <f t="shared" si="896"/>
        <v>NAVAIR WD</v>
      </c>
      <c r="B2215" t="str">
        <f>T("CODE 52570ME")</f>
        <v>CODE 52570ME</v>
      </c>
      <c r="C2215" t="str">
        <f>T("575 I AVE STE 1")</f>
        <v>575 I AVE STE 1</v>
      </c>
      <c r="D2215" t="str">
        <f t="shared" si="911"/>
        <v>POINT MUGU NAWC</v>
      </c>
      <c r="E2215" t="str">
        <f t="shared" si="898"/>
        <v>CA</v>
      </c>
      <c r="F2215" t="str">
        <f>T("930425060")</f>
        <v>930425060</v>
      </c>
      <c r="G2215" t="str">
        <f>T("CODE 52570ME")</f>
        <v>CODE 52570ME</v>
      </c>
      <c r="H2215" t="str">
        <f>T("575 I AVE STE 1")</f>
        <v>575 I AVE STE 1</v>
      </c>
      <c r="I2215" t="str">
        <f t="shared" ref="I2215:I2220" si="914">T("POINT MUGU NAWC")</f>
        <v>POINT MUGU NAWC</v>
      </c>
      <c r="J2215" t="str">
        <f t="shared" si="901"/>
        <v>CA</v>
      </c>
      <c r="K2215" t="str">
        <f>T("7609391648")</f>
        <v>7609391648</v>
      </c>
      <c r="L2215" t="str">
        <f>T("7609390690")</f>
        <v>7609390690</v>
      </c>
    </row>
    <row r="2216" spans="1:12" x14ac:dyDescent="0.35">
      <c r="A2216" t="str">
        <f t="shared" si="896"/>
        <v>NAVAIR WD</v>
      </c>
      <c r="B2216" t="str">
        <f>T("CODE 527400E")</f>
        <v>CODE 527400E</v>
      </c>
      <c r="C2216" t="str">
        <f t="shared" ref="C2216:C2227" si="915">T("")</f>
        <v/>
      </c>
      <c r="D2216" t="str">
        <f t="shared" si="911"/>
        <v>POINT MUGU NAWC</v>
      </c>
      <c r="E2216" t="str">
        <f t="shared" si="898"/>
        <v>CA</v>
      </c>
      <c r="F2216" t="str">
        <f t="shared" ref="F2216:F2227" si="916">T("930420001")</f>
        <v>930420001</v>
      </c>
      <c r="G2216" t="str">
        <f>T("CODE 52120ME")</f>
        <v>CODE 52120ME</v>
      </c>
      <c r="H2216" t="str">
        <f>T("575 I AVE STE 1 BLDG 53D RM 163")</f>
        <v>575 I AVE STE 1 BLDG 53D RM 163</v>
      </c>
      <c r="I2216" t="str">
        <f t="shared" si="914"/>
        <v>POINT MUGU NAWC</v>
      </c>
      <c r="J2216" t="str">
        <f t="shared" si="901"/>
        <v>CA</v>
      </c>
      <c r="K2216" t="str">
        <f>T("7609391648")</f>
        <v>7609391648</v>
      </c>
      <c r="L2216" t="str">
        <f>T("8059895010")</f>
        <v>8059895010</v>
      </c>
    </row>
    <row r="2217" spans="1:12" x14ac:dyDescent="0.35">
      <c r="A2217" t="str">
        <f t="shared" si="896"/>
        <v>NAVAIR WD</v>
      </c>
      <c r="B2217" t="str">
        <f>T("CODE 527400E")</f>
        <v>CODE 527400E</v>
      </c>
      <c r="C2217" t="str">
        <f t="shared" si="915"/>
        <v/>
      </c>
      <c r="D2217" t="str">
        <f t="shared" si="911"/>
        <v>POINT MUGU NAWC</v>
      </c>
      <c r="E2217" t="str">
        <f t="shared" si="898"/>
        <v>CA</v>
      </c>
      <c r="F2217" t="str">
        <f t="shared" si="916"/>
        <v>930420001</v>
      </c>
      <c r="G2217" t="str">
        <f>T("CODE 52712ME")</f>
        <v>CODE 52712ME</v>
      </c>
      <c r="H2217" t="str">
        <f>T("575 I AVE STE 1")</f>
        <v>575 I AVE STE 1</v>
      </c>
      <c r="I2217" t="str">
        <f t="shared" si="914"/>
        <v>POINT MUGU NAWC</v>
      </c>
      <c r="J2217" t="str">
        <f t="shared" si="901"/>
        <v>CA</v>
      </c>
      <c r="K2217" t="str">
        <f>T("7609391648")</f>
        <v>7609391648</v>
      </c>
      <c r="L2217" t="str">
        <f>T("8059897910")</f>
        <v>8059897910</v>
      </c>
    </row>
    <row r="2218" spans="1:12" x14ac:dyDescent="0.35">
      <c r="A2218" t="str">
        <f t="shared" si="896"/>
        <v>NAVAIR WD</v>
      </c>
      <c r="B2218" t="str">
        <f>T("CODE 527400E")</f>
        <v>CODE 527400E</v>
      </c>
      <c r="C2218" t="str">
        <f t="shared" si="915"/>
        <v/>
      </c>
      <c r="D2218" t="str">
        <f t="shared" si="911"/>
        <v>POINT MUGU NAWC</v>
      </c>
      <c r="E2218" t="str">
        <f t="shared" si="898"/>
        <v>CA</v>
      </c>
      <c r="F2218" t="str">
        <f t="shared" si="916"/>
        <v>930420001</v>
      </c>
      <c r="G2218" t="str">
        <f>T("CODE 527400E")</f>
        <v>CODE 527400E</v>
      </c>
      <c r="H2218" t="str">
        <f>T("")</f>
        <v/>
      </c>
      <c r="I2218" t="str">
        <f t="shared" si="914"/>
        <v>POINT MUGU NAWC</v>
      </c>
      <c r="J2218" t="str">
        <f t="shared" si="901"/>
        <v>CA</v>
      </c>
      <c r="K2218" t="str">
        <f>T("000000000000000000")</f>
        <v>000000000000000000</v>
      </c>
      <c r="L2218" t="str">
        <f>T("8059890910")</f>
        <v>8059890910</v>
      </c>
    </row>
    <row r="2219" spans="1:12" x14ac:dyDescent="0.35">
      <c r="A2219" t="str">
        <f t="shared" si="896"/>
        <v>NAVAIR WD</v>
      </c>
      <c r="B2219" t="str">
        <f>T("CODE 527400E")</f>
        <v>CODE 527400E</v>
      </c>
      <c r="C2219" t="str">
        <f t="shared" si="915"/>
        <v/>
      </c>
      <c r="D2219" t="str">
        <f t="shared" si="911"/>
        <v>POINT MUGU NAWC</v>
      </c>
      <c r="E2219" t="str">
        <f t="shared" si="898"/>
        <v>CA</v>
      </c>
      <c r="F2219" t="str">
        <f t="shared" si="916"/>
        <v>930420001</v>
      </c>
      <c r="G2219" t="str">
        <f>T("CODE 52740ME")</f>
        <v>CODE 52740ME</v>
      </c>
      <c r="H2219" t="str">
        <f>T("575 I AVE STE 1 MS 117")</f>
        <v>575 I AVE STE 1 MS 117</v>
      </c>
      <c r="I2219" t="str">
        <f t="shared" si="914"/>
        <v>POINT MUGU NAWC</v>
      </c>
      <c r="J2219" t="str">
        <f t="shared" si="901"/>
        <v>CA</v>
      </c>
      <c r="K2219" t="str">
        <f t="shared" ref="K2219:K2226" si="917">T("7609391648")</f>
        <v>7609391648</v>
      </c>
      <c r="L2219" t="str">
        <f>T("8059893079")</f>
        <v>8059893079</v>
      </c>
    </row>
    <row r="2220" spans="1:12" x14ac:dyDescent="0.35">
      <c r="A2220" t="str">
        <f t="shared" si="896"/>
        <v>NAVAIR WD</v>
      </c>
      <c r="B2220" t="str">
        <f>T("CODE 527400E")</f>
        <v>CODE 527400E</v>
      </c>
      <c r="C2220" t="str">
        <f t="shared" si="915"/>
        <v/>
      </c>
      <c r="D2220" t="str">
        <f t="shared" si="911"/>
        <v>POINT MUGU NAWC</v>
      </c>
      <c r="E2220" t="str">
        <f t="shared" si="898"/>
        <v>CA</v>
      </c>
      <c r="F2220" t="str">
        <f t="shared" si="916"/>
        <v>930420001</v>
      </c>
      <c r="G2220" t="str">
        <f>T("CODE 52742ME")</f>
        <v>CODE 52742ME</v>
      </c>
      <c r="H2220" t="str">
        <f>T("575 I ST STE 1")</f>
        <v>575 I ST STE 1</v>
      </c>
      <c r="I2220" t="str">
        <f t="shared" si="914"/>
        <v>POINT MUGU NAWC</v>
      </c>
      <c r="J2220" t="str">
        <f t="shared" si="901"/>
        <v>CA</v>
      </c>
      <c r="K2220" t="str">
        <f t="shared" si="917"/>
        <v>7609391648</v>
      </c>
      <c r="L2220" t="str">
        <f>T("8059897000")</f>
        <v>8059897000</v>
      </c>
    </row>
    <row r="2221" spans="1:12" x14ac:dyDescent="0.35">
      <c r="A2221" t="str">
        <f t="shared" si="896"/>
        <v>NAVAIR WD</v>
      </c>
      <c r="B2221" t="str">
        <f>T("CODE 544100E")</f>
        <v>CODE 544100E</v>
      </c>
      <c r="C2221" t="str">
        <f t="shared" si="915"/>
        <v/>
      </c>
      <c r="D2221" t="str">
        <f>T("PT MUGU NAWC")</f>
        <v>PT MUGU NAWC</v>
      </c>
      <c r="E2221" t="str">
        <f t="shared" si="898"/>
        <v>CA</v>
      </c>
      <c r="F2221" t="str">
        <f t="shared" si="916"/>
        <v>930420001</v>
      </c>
      <c r="G2221" t="str">
        <f>T("CODE 544100E")</f>
        <v>CODE 544100E</v>
      </c>
      <c r="H2221" t="str">
        <f>T("")</f>
        <v/>
      </c>
      <c r="I2221" t="str">
        <f>T("PT MUGU NAWC")</f>
        <v>PT MUGU NAWC</v>
      </c>
      <c r="J2221" t="str">
        <f t="shared" si="901"/>
        <v>CA</v>
      </c>
      <c r="K2221" t="str">
        <f t="shared" si="917"/>
        <v>7609391648</v>
      </c>
      <c r="L2221" t="str">
        <f>T("8059898885")</f>
        <v>8059898885</v>
      </c>
    </row>
    <row r="2222" spans="1:12" x14ac:dyDescent="0.35">
      <c r="A2222" t="str">
        <f t="shared" si="896"/>
        <v>NAVAIR WD</v>
      </c>
      <c r="B2222" t="str">
        <f>T("CODE 544100E")</f>
        <v>CODE 544100E</v>
      </c>
      <c r="C2222" t="str">
        <f t="shared" si="915"/>
        <v/>
      </c>
      <c r="D2222" t="str">
        <f>T("PT MUGU NAWC")</f>
        <v>PT MUGU NAWC</v>
      </c>
      <c r="E2222" t="str">
        <f t="shared" si="898"/>
        <v>CA</v>
      </c>
      <c r="F2222" t="str">
        <f t="shared" si="916"/>
        <v>930420001</v>
      </c>
      <c r="G2222" t="str">
        <f>T("CODE 544100E")</f>
        <v>CODE 544100E</v>
      </c>
      <c r="H2222" t="str">
        <f>T("BLDG 509")</f>
        <v>BLDG 509</v>
      </c>
      <c r="I2222" t="str">
        <f t="shared" ref="I2222:I2231" si="918">T("POINT MUGU NAWC")</f>
        <v>POINT MUGU NAWC</v>
      </c>
      <c r="J2222" t="str">
        <f t="shared" si="901"/>
        <v>CA</v>
      </c>
      <c r="K2222" t="str">
        <f t="shared" si="917"/>
        <v>7609391648</v>
      </c>
      <c r="L2222" t="str">
        <f>T("8059899357")</f>
        <v>8059899357</v>
      </c>
    </row>
    <row r="2223" spans="1:12" x14ac:dyDescent="0.35">
      <c r="A2223" t="str">
        <f t="shared" si="896"/>
        <v>NAVAIR WD</v>
      </c>
      <c r="B2223" t="str">
        <f>T("CODE 781200E")</f>
        <v>CODE 781200E</v>
      </c>
      <c r="C2223" t="str">
        <f t="shared" si="915"/>
        <v/>
      </c>
      <c r="D2223" t="str">
        <f t="shared" ref="D2223:D2250" si="919">T("POINT MUGU NAWC")</f>
        <v>POINT MUGU NAWC</v>
      </c>
      <c r="E2223" t="str">
        <f t="shared" si="898"/>
        <v>CA</v>
      </c>
      <c r="F2223" t="str">
        <f t="shared" si="916"/>
        <v>930420001</v>
      </c>
      <c r="G2223" t="str">
        <f>T("CODE 45P000E")</f>
        <v>CODE 45P000E</v>
      </c>
      <c r="H2223" t="str">
        <f>T("575 I AVE STE 1")</f>
        <v>575 I AVE STE 1</v>
      </c>
      <c r="I2223" t="str">
        <f t="shared" si="918"/>
        <v>POINT MUGU NAWC</v>
      </c>
      <c r="J2223" t="str">
        <f t="shared" si="901"/>
        <v>CA</v>
      </c>
      <c r="K2223" t="str">
        <f t="shared" si="917"/>
        <v>7609391648</v>
      </c>
      <c r="L2223" t="str">
        <f>T("8059898673")</f>
        <v>8059898673</v>
      </c>
    </row>
    <row r="2224" spans="1:12" x14ac:dyDescent="0.35">
      <c r="A2224" t="str">
        <f t="shared" si="896"/>
        <v>NAVAIR WD</v>
      </c>
      <c r="B2224" t="str">
        <f>T("CODE 781200E")</f>
        <v>CODE 781200E</v>
      </c>
      <c r="C2224" t="str">
        <f t="shared" si="915"/>
        <v/>
      </c>
      <c r="D2224" t="str">
        <f t="shared" si="919"/>
        <v>POINT MUGU NAWC</v>
      </c>
      <c r="E2224" t="str">
        <f t="shared" si="898"/>
        <v>CA</v>
      </c>
      <c r="F2224" t="str">
        <f t="shared" si="916"/>
        <v>930420001</v>
      </c>
      <c r="G2224" t="str">
        <f>T("CODE 45P100E")</f>
        <v>CODE 45P100E</v>
      </c>
      <c r="H2224" t="str">
        <f>T("575 I AVE STE 1 BLDG 512 RM 129")</f>
        <v>575 I AVE STE 1 BLDG 512 RM 129</v>
      </c>
      <c r="I2224" t="str">
        <f t="shared" si="918"/>
        <v>POINT MUGU NAWC</v>
      </c>
      <c r="J2224" t="str">
        <f t="shared" si="901"/>
        <v>CA</v>
      </c>
      <c r="K2224" t="str">
        <f t="shared" si="917"/>
        <v>7609391648</v>
      </c>
      <c r="L2224" t="str">
        <f>T("8059893858")</f>
        <v>8059893858</v>
      </c>
    </row>
    <row r="2225" spans="1:12" x14ac:dyDescent="0.35">
      <c r="A2225" t="str">
        <f t="shared" si="896"/>
        <v>NAVAIR WD</v>
      </c>
      <c r="B2225" t="str">
        <f>T("CODE 781200E")</f>
        <v>CODE 781200E</v>
      </c>
      <c r="C2225" t="str">
        <f t="shared" si="915"/>
        <v/>
      </c>
      <c r="D2225" t="str">
        <f t="shared" si="919"/>
        <v>POINT MUGU NAWC</v>
      </c>
      <c r="E2225" t="str">
        <f t="shared" si="898"/>
        <v>CA</v>
      </c>
      <c r="F2225" t="str">
        <f t="shared" si="916"/>
        <v>930420001</v>
      </c>
      <c r="G2225" t="str">
        <f>T("CODE 45P200E")</f>
        <v>CODE 45P200E</v>
      </c>
      <c r="H2225" t="str">
        <f>T("575 I AVE STE 1")</f>
        <v>575 I AVE STE 1</v>
      </c>
      <c r="I2225" t="str">
        <f t="shared" si="918"/>
        <v>POINT MUGU NAWC</v>
      </c>
      <c r="J2225" t="str">
        <f t="shared" si="901"/>
        <v>CA</v>
      </c>
      <c r="K2225" t="str">
        <f t="shared" si="917"/>
        <v>7609391648</v>
      </c>
      <c r="L2225" t="str">
        <f>T("8059893472")</f>
        <v>8059893472</v>
      </c>
    </row>
    <row r="2226" spans="1:12" x14ac:dyDescent="0.35">
      <c r="A2226" t="str">
        <f t="shared" si="896"/>
        <v>NAVAIR WD</v>
      </c>
      <c r="B2226" t="str">
        <f>T("CODE 781200E")</f>
        <v>CODE 781200E</v>
      </c>
      <c r="C2226" t="str">
        <f t="shared" si="915"/>
        <v/>
      </c>
      <c r="D2226" t="str">
        <f t="shared" si="919"/>
        <v>POINT MUGU NAWC</v>
      </c>
      <c r="E2226" t="str">
        <f t="shared" si="898"/>
        <v>CA</v>
      </c>
      <c r="F2226" t="str">
        <f t="shared" si="916"/>
        <v>930420001</v>
      </c>
      <c r="G2226" t="str">
        <f>T("CODE 45P600E")</f>
        <v>CODE 45P600E</v>
      </c>
      <c r="H2226" t="str">
        <f>T("575 I AVE STE 1")</f>
        <v>575 I AVE STE 1</v>
      </c>
      <c r="I2226" t="str">
        <f t="shared" si="918"/>
        <v>POINT MUGU NAWC</v>
      </c>
      <c r="J2226" t="str">
        <f t="shared" si="901"/>
        <v>CA</v>
      </c>
      <c r="K2226" t="str">
        <f t="shared" si="917"/>
        <v>7609391648</v>
      </c>
      <c r="L2226" t="str">
        <f>T("8059899871")</f>
        <v>8059899871</v>
      </c>
    </row>
    <row r="2227" spans="1:12" x14ac:dyDescent="0.35">
      <c r="A2227" t="str">
        <f t="shared" si="896"/>
        <v>NAVAIR WD</v>
      </c>
      <c r="B2227" t="str">
        <f>T("CODE 781200E")</f>
        <v>CODE 781200E</v>
      </c>
      <c r="C2227" t="str">
        <f t="shared" si="915"/>
        <v/>
      </c>
      <c r="D2227" t="str">
        <f t="shared" si="919"/>
        <v>POINT MUGU NAWC</v>
      </c>
      <c r="E2227" t="str">
        <f t="shared" si="898"/>
        <v>CA</v>
      </c>
      <c r="F2227" t="str">
        <f t="shared" si="916"/>
        <v>930420001</v>
      </c>
      <c r="G2227" t="str">
        <f>T("CODE 781200E")</f>
        <v>CODE 781200E</v>
      </c>
      <c r="H2227" t="str">
        <f>T("")</f>
        <v/>
      </c>
      <c r="I2227" t="str">
        <f t="shared" si="918"/>
        <v>POINT MUGU NAWC</v>
      </c>
      <c r="J2227" t="str">
        <f t="shared" si="901"/>
        <v>CA</v>
      </c>
      <c r="K2227" t="str">
        <f>T("000000000000000000")</f>
        <v>000000000000000000</v>
      </c>
      <c r="L2227" t="str">
        <f>T("8059893219")</f>
        <v>8059893219</v>
      </c>
    </row>
    <row r="2228" spans="1:12" x14ac:dyDescent="0.35">
      <c r="A2228" t="str">
        <f t="shared" si="896"/>
        <v>NAVAIR WD</v>
      </c>
      <c r="B2228" t="str">
        <f>T("CODE 782100E")</f>
        <v>CODE 782100E</v>
      </c>
      <c r="C2228" t="str">
        <f>T("575 I AVE STE 1")</f>
        <v>575 I AVE STE 1</v>
      </c>
      <c r="D2228" t="str">
        <f t="shared" si="919"/>
        <v>POINT MUGU NAWC</v>
      </c>
      <c r="E2228" t="str">
        <f t="shared" si="898"/>
        <v>CA</v>
      </c>
      <c r="F2228" t="str">
        <f t="shared" ref="F2228:F2237" si="920">T("930425060")</f>
        <v>930425060</v>
      </c>
      <c r="G2228" t="str">
        <f>T("CODE 782100E")</f>
        <v>CODE 782100E</v>
      </c>
      <c r="H2228" t="str">
        <f>T("575 I AVE STE 1")</f>
        <v>575 I AVE STE 1</v>
      </c>
      <c r="I2228" t="str">
        <f t="shared" si="918"/>
        <v>POINT MUGU NAWC</v>
      </c>
      <c r="J2228" t="str">
        <f t="shared" si="901"/>
        <v>CA</v>
      </c>
      <c r="K2228" t="str">
        <f>T("7609391648")</f>
        <v>7609391648</v>
      </c>
      <c r="L2228" t="str">
        <f>T("8059897977")</f>
        <v>8059897977</v>
      </c>
    </row>
    <row r="2229" spans="1:12" x14ac:dyDescent="0.35">
      <c r="A2229" t="str">
        <f t="shared" si="896"/>
        <v>NAVAIR WD</v>
      </c>
      <c r="B2229" t="str">
        <f>T("CODE 782100E")</f>
        <v>CODE 782100E</v>
      </c>
      <c r="C2229" t="str">
        <f>T("575 I AVE STE 1")</f>
        <v>575 I AVE STE 1</v>
      </c>
      <c r="D2229" t="str">
        <f t="shared" si="919"/>
        <v>POINT MUGU NAWC</v>
      </c>
      <c r="E2229" t="str">
        <f t="shared" si="898"/>
        <v>CA</v>
      </c>
      <c r="F2229" t="str">
        <f t="shared" si="920"/>
        <v>930425060</v>
      </c>
      <c r="G2229" t="str">
        <f>T("CODE 782100E")</f>
        <v>CODE 782100E</v>
      </c>
      <c r="H2229" t="str">
        <f>T("575 I AVE STE 1")</f>
        <v>575 I AVE STE 1</v>
      </c>
      <c r="I2229" t="str">
        <f t="shared" si="918"/>
        <v>POINT MUGU NAWC</v>
      </c>
      <c r="J2229" t="str">
        <f t="shared" si="901"/>
        <v>CA</v>
      </c>
      <c r="K2229" t="str">
        <f>T("7609394290")</f>
        <v>7609394290</v>
      </c>
      <c r="L2229" t="str">
        <f>T("8059895652")</f>
        <v>8059895652</v>
      </c>
    </row>
    <row r="2230" spans="1:12" x14ac:dyDescent="0.35">
      <c r="A2230" t="str">
        <f t="shared" si="896"/>
        <v>NAVAIR WD</v>
      </c>
      <c r="B2230" t="str">
        <f>T("CODE 783600E")</f>
        <v>CODE 783600E</v>
      </c>
      <c r="C2230" t="str">
        <f>T("575 I AVE STE 1")</f>
        <v>575 I AVE STE 1</v>
      </c>
      <c r="D2230" t="str">
        <f t="shared" si="919"/>
        <v>POINT MUGU NAWC</v>
      </c>
      <c r="E2230" t="str">
        <f t="shared" si="898"/>
        <v>CA</v>
      </c>
      <c r="F2230" t="str">
        <f t="shared" si="920"/>
        <v>930425060</v>
      </c>
      <c r="G2230" t="str">
        <f>T("CODE 780000E")</f>
        <v>CODE 780000E</v>
      </c>
      <c r="H2230" t="str">
        <f>T("575 I AVE STE 1")</f>
        <v>575 I AVE STE 1</v>
      </c>
      <c r="I2230" t="str">
        <f t="shared" si="918"/>
        <v>POINT MUGU NAWC</v>
      </c>
      <c r="J2230" t="str">
        <f t="shared" si="901"/>
        <v>CA</v>
      </c>
      <c r="K2230" t="str">
        <f>T("7609391648")</f>
        <v>7609391648</v>
      </c>
      <c r="L2230" t="str">
        <f>T("8059897182")</f>
        <v>8059897182</v>
      </c>
    </row>
    <row r="2231" spans="1:12" x14ac:dyDescent="0.35">
      <c r="A2231" t="str">
        <f t="shared" si="896"/>
        <v>NAVAIR WD</v>
      </c>
      <c r="B2231" t="str">
        <f>T("CODE 783600E")</f>
        <v>CODE 783600E</v>
      </c>
      <c r="C2231" t="str">
        <f>T("575 I AVE STE 1")</f>
        <v>575 I AVE STE 1</v>
      </c>
      <c r="D2231" t="str">
        <f t="shared" si="919"/>
        <v>POINT MUGU NAWC</v>
      </c>
      <c r="E2231" t="str">
        <f t="shared" si="898"/>
        <v>CA</v>
      </c>
      <c r="F2231" t="str">
        <f t="shared" si="920"/>
        <v>930425060</v>
      </c>
      <c r="G2231" t="str">
        <f>T("CODE 783600E")</f>
        <v>CODE 783600E</v>
      </c>
      <c r="H2231" t="str">
        <f>T("575 I AVE STE 1")</f>
        <v>575 I AVE STE 1</v>
      </c>
      <c r="I2231" t="str">
        <f t="shared" si="918"/>
        <v>POINT MUGU NAWC</v>
      </c>
      <c r="J2231" t="str">
        <f t="shared" si="901"/>
        <v>CA</v>
      </c>
      <c r="K2231" t="str">
        <f>T("000000000000000000")</f>
        <v>000000000000000000</v>
      </c>
      <c r="L2231" t="str">
        <f>T("8059890017")</f>
        <v>8059890017</v>
      </c>
    </row>
    <row r="2232" spans="1:12" x14ac:dyDescent="0.35">
      <c r="A2232" t="str">
        <f t="shared" si="896"/>
        <v>NAVAIR WD</v>
      </c>
      <c r="B2232" t="str">
        <f>T("CODE 783600E")</f>
        <v>CODE 783600E</v>
      </c>
      <c r="C2232" t="str">
        <f>T("575 I AVE STE 1")</f>
        <v>575 I AVE STE 1</v>
      </c>
      <c r="D2232" t="str">
        <f t="shared" si="919"/>
        <v>POINT MUGU NAWC</v>
      </c>
      <c r="E2232" t="str">
        <f t="shared" si="898"/>
        <v>CA</v>
      </c>
      <c r="F2232" t="str">
        <f t="shared" si="920"/>
        <v>930425060</v>
      </c>
      <c r="G2232" t="str">
        <f>T("CODE 78G000D")</f>
        <v>CODE 78G000D</v>
      </c>
      <c r="H2232" t="str">
        <f>T("1 ADMIN CIRCLE MS 6313")</f>
        <v>1 ADMIN CIRCLE MS 6313</v>
      </c>
      <c r="I2232" t="str">
        <f>T("RIDGECREST")</f>
        <v>RIDGECREST</v>
      </c>
      <c r="J2232" t="str">
        <f t="shared" si="901"/>
        <v>CA</v>
      </c>
      <c r="K2232" t="str">
        <f>T("7609391648")</f>
        <v>7609391648</v>
      </c>
      <c r="L2232" t="str">
        <f>T("7609393310")</f>
        <v>7609393310</v>
      </c>
    </row>
    <row r="2233" spans="1:12" x14ac:dyDescent="0.35">
      <c r="A2233" t="str">
        <f t="shared" ref="A2233:A2296" si="921">T("NAVAIR WD")</f>
        <v>NAVAIR WD</v>
      </c>
      <c r="B2233" t="str">
        <f>T("CODE 784100E")</f>
        <v>CODE 784100E</v>
      </c>
      <c r="C2233" t="str">
        <f>T("575 I AVE STE 1 BLG 3008 RM 373")</f>
        <v>575 I AVE STE 1 BLG 3008 RM 373</v>
      </c>
      <c r="D2233" t="str">
        <f t="shared" si="919"/>
        <v>POINT MUGU NAWC</v>
      </c>
      <c r="E2233" t="str">
        <f t="shared" ref="E2233:E2296" si="922">T("CA")</f>
        <v>CA</v>
      </c>
      <c r="F2233" t="str">
        <f t="shared" si="920"/>
        <v>930425060</v>
      </c>
      <c r="G2233" t="str">
        <f>T("CODE 451710E")</f>
        <v>CODE 451710E</v>
      </c>
      <c r="H2233" t="str">
        <f>T("575 I AVE STE 1 BLDG 3008 RM 241")</f>
        <v>575 I AVE STE 1 BLDG 3008 RM 241</v>
      </c>
      <c r="I2233" t="str">
        <f t="shared" ref="I2233:I2240" si="923">T("POINT MUGU NAWC")</f>
        <v>POINT MUGU NAWC</v>
      </c>
      <c r="J2233" t="str">
        <f t="shared" ref="J2233:J2296" si="924">T("CA")</f>
        <v>CA</v>
      </c>
      <c r="K2233" t="str">
        <f>T("7609391648")</f>
        <v>7609391648</v>
      </c>
      <c r="L2233" t="str">
        <f>T("8059898189")</f>
        <v>8059898189</v>
      </c>
    </row>
    <row r="2234" spans="1:12" x14ac:dyDescent="0.35">
      <c r="A2234" t="str">
        <f t="shared" si="921"/>
        <v>NAVAIR WD</v>
      </c>
      <c r="B2234" t="str">
        <f>T("CODE 784100E")</f>
        <v>CODE 784100E</v>
      </c>
      <c r="C2234" t="str">
        <f>T("575 I AVE STE 1 BLG 3008 RM 373")</f>
        <v>575 I AVE STE 1 BLG 3008 RM 373</v>
      </c>
      <c r="D2234" t="str">
        <f t="shared" si="919"/>
        <v>POINT MUGU NAWC</v>
      </c>
      <c r="E2234" t="str">
        <f t="shared" si="922"/>
        <v>CA</v>
      </c>
      <c r="F2234" t="str">
        <f t="shared" si="920"/>
        <v>930425060</v>
      </c>
      <c r="G2234" t="str">
        <f>T("CODE 454200E")</f>
        <v>CODE 454200E</v>
      </c>
      <c r="H2234" t="str">
        <f>T("575 I AVE STE 1")</f>
        <v>575 I AVE STE 1</v>
      </c>
      <c r="I2234" t="str">
        <f t="shared" si="923"/>
        <v>POINT MUGU NAWC</v>
      </c>
      <c r="J2234" t="str">
        <f t="shared" si="924"/>
        <v>CA</v>
      </c>
      <c r="K2234" t="str">
        <f>T("7609391648")</f>
        <v>7609391648</v>
      </c>
      <c r="L2234" t="str">
        <f>T("8059893404")</f>
        <v>8059893404</v>
      </c>
    </row>
    <row r="2235" spans="1:12" x14ac:dyDescent="0.35">
      <c r="A2235" t="str">
        <f t="shared" si="921"/>
        <v>NAVAIR WD</v>
      </c>
      <c r="B2235" t="str">
        <f>T("CODE 784100E")</f>
        <v>CODE 784100E</v>
      </c>
      <c r="C2235" t="str">
        <f>T("575 I AVE STE 1 BLG 3008 RM 373")</f>
        <v>575 I AVE STE 1 BLG 3008 RM 373</v>
      </c>
      <c r="D2235" t="str">
        <f t="shared" si="919"/>
        <v>POINT MUGU NAWC</v>
      </c>
      <c r="E2235" t="str">
        <f t="shared" si="922"/>
        <v>CA</v>
      </c>
      <c r="F2235" t="str">
        <f t="shared" si="920"/>
        <v>930425060</v>
      </c>
      <c r="G2235" t="str">
        <f>T("CODE 45P300E")</f>
        <v>CODE 45P300E</v>
      </c>
      <c r="H2235" t="str">
        <f>T("575 I AVE STE 1")</f>
        <v>575 I AVE STE 1</v>
      </c>
      <c r="I2235" t="str">
        <f t="shared" si="923"/>
        <v>POINT MUGU NAWC</v>
      </c>
      <c r="J2235" t="str">
        <f t="shared" si="924"/>
        <v>CA</v>
      </c>
      <c r="K2235" t="str">
        <f>T("7609391648")</f>
        <v>7609391648</v>
      </c>
      <c r="L2235" t="str">
        <f>T("8059899270")</f>
        <v>8059899270</v>
      </c>
    </row>
    <row r="2236" spans="1:12" x14ac:dyDescent="0.35">
      <c r="A2236" t="str">
        <f t="shared" si="921"/>
        <v>NAVAIR WD</v>
      </c>
      <c r="B2236" t="str">
        <f>T("CODE 784100E")</f>
        <v>CODE 784100E</v>
      </c>
      <c r="C2236" t="str">
        <f>T("575 I AVE STE 1 BLG 3008 RM 373")</f>
        <v>575 I AVE STE 1 BLG 3008 RM 373</v>
      </c>
      <c r="D2236" t="str">
        <f t="shared" si="919"/>
        <v>POINT MUGU NAWC</v>
      </c>
      <c r="E2236" t="str">
        <f t="shared" si="922"/>
        <v>CA</v>
      </c>
      <c r="F2236" t="str">
        <f t="shared" si="920"/>
        <v>930425060</v>
      </c>
      <c r="G2236" t="str">
        <f>T("CODE 45R000E")</f>
        <v>CODE 45R000E</v>
      </c>
      <c r="H2236" t="str">
        <f>T("575 I AVE STE 1 MS 0425")</f>
        <v>575 I AVE STE 1 MS 0425</v>
      </c>
      <c r="I2236" t="str">
        <f t="shared" si="923"/>
        <v>POINT MUGU NAWC</v>
      </c>
      <c r="J2236" t="str">
        <f t="shared" si="924"/>
        <v>CA</v>
      </c>
      <c r="K2236" t="str">
        <f>T("7609391648")</f>
        <v>7609391648</v>
      </c>
      <c r="L2236" t="str">
        <f>T("8059894570")</f>
        <v>8059894570</v>
      </c>
    </row>
    <row r="2237" spans="1:12" x14ac:dyDescent="0.35">
      <c r="A2237" t="str">
        <f t="shared" si="921"/>
        <v>NAVAIR WD</v>
      </c>
      <c r="B2237" t="str">
        <f>T("CODE 784100E")</f>
        <v>CODE 784100E</v>
      </c>
      <c r="C2237" t="str">
        <f>T("575 I AVE STE 1 BLG 3008 RM 373")</f>
        <v>575 I AVE STE 1 BLG 3008 RM 373</v>
      </c>
      <c r="D2237" t="str">
        <f t="shared" si="919"/>
        <v>POINT MUGU NAWC</v>
      </c>
      <c r="E2237" t="str">
        <f t="shared" si="922"/>
        <v>CA</v>
      </c>
      <c r="F2237" t="str">
        <f t="shared" si="920"/>
        <v>930425060</v>
      </c>
      <c r="G2237" t="str">
        <f>T("CODE 784100E")</f>
        <v>CODE 784100E</v>
      </c>
      <c r="H2237" t="str">
        <f>T("575 I AVE STE 1 BLG 3008 RM 373")</f>
        <v>575 I AVE STE 1 BLG 3008 RM 373</v>
      </c>
      <c r="I2237" t="str">
        <f t="shared" si="923"/>
        <v>POINT MUGU NAWC</v>
      </c>
      <c r="J2237" t="str">
        <f t="shared" si="924"/>
        <v>CA</v>
      </c>
      <c r="K2237" t="str">
        <f>T("760-939-1648")</f>
        <v>760-939-1648</v>
      </c>
      <c r="L2237" t="str">
        <f>T("8059898084")</f>
        <v>8059898084</v>
      </c>
    </row>
    <row r="2238" spans="1:12" x14ac:dyDescent="0.35">
      <c r="A2238" t="str">
        <f t="shared" si="921"/>
        <v>NAVAIR WD</v>
      </c>
      <c r="B2238" t="str">
        <f t="shared" ref="B2238:B2255" si="925">T("CODE 784200E")</f>
        <v>CODE 784200E</v>
      </c>
      <c r="C2238" t="str">
        <f>T("575 I AVE ST 1")</f>
        <v>575 I AVE ST 1</v>
      </c>
      <c r="D2238" t="str">
        <f t="shared" si="919"/>
        <v>POINT MUGU NAWC</v>
      </c>
      <c r="E2238" t="str">
        <f t="shared" si="922"/>
        <v>CA</v>
      </c>
      <c r="F2238" t="str">
        <f>T("930420001")</f>
        <v>930420001</v>
      </c>
      <c r="G2238" t="str">
        <f>T("CODE 530000E")</f>
        <v>CODE 530000E</v>
      </c>
      <c r="H2238" t="str">
        <f>T("575 I AVE STE 1 BLDG 36 RM 2316")</f>
        <v>575 I AVE STE 1 BLDG 36 RM 2316</v>
      </c>
      <c r="I2238" t="str">
        <f t="shared" si="923"/>
        <v>POINT MUGU NAWC</v>
      </c>
      <c r="J2238" t="str">
        <f t="shared" si="924"/>
        <v>CA</v>
      </c>
      <c r="K2238" t="str">
        <f>T("7609391648")</f>
        <v>7609391648</v>
      </c>
      <c r="L2238" t="str">
        <f>T("8059898534")</f>
        <v>8059898534</v>
      </c>
    </row>
    <row r="2239" spans="1:12" x14ac:dyDescent="0.35">
      <c r="A2239" t="str">
        <f t="shared" si="921"/>
        <v>NAVAIR WD</v>
      </c>
      <c r="B2239" t="str">
        <f t="shared" si="925"/>
        <v>CODE 784200E</v>
      </c>
      <c r="C2239" t="str">
        <f>T("575 I AVE ST 1")</f>
        <v>575 I AVE ST 1</v>
      </c>
      <c r="D2239" t="str">
        <f t="shared" si="919"/>
        <v>POINT MUGU NAWC</v>
      </c>
      <c r="E2239" t="str">
        <f t="shared" si="922"/>
        <v>CA</v>
      </c>
      <c r="F2239" t="str">
        <f>T("930420001")</f>
        <v>930420001</v>
      </c>
      <c r="G2239" t="str">
        <f>T("CODE 53240ME")</f>
        <v>CODE 53240ME</v>
      </c>
      <c r="H2239" t="str">
        <f>T("575 I AVE STE 1 BLDG 333 RM 214")</f>
        <v>575 I AVE STE 1 BLDG 333 RM 214</v>
      </c>
      <c r="I2239" t="str">
        <f t="shared" si="923"/>
        <v>POINT MUGU NAWC</v>
      </c>
      <c r="J2239" t="str">
        <f t="shared" si="924"/>
        <v>CA</v>
      </c>
      <c r="K2239" t="str">
        <f>T("7609391648")</f>
        <v>7609391648</v>
      </c>
      <c r="L2239" t="str">
        <f>T("8059895929")</f>
        <v>8059895929</v>
      </c>
    </row>
    <row r="2240" spans="1:12" x14ac:dyDescent="0.35">
      <c r="A2240" t="str">
        <f t="shared" si="921"/>
        <v>NAVAIR WD</v>
      </c>
      <c r="B2240" t="str">
        <f t="shared" si="925"/>
        <v>CODE 784200E</v>
      </c>
      <c r="C2240" t="str">
        <f>T("575 I AVE ST 1")</f>
        <v>575 I AVE ST 1</v>
      </c>
      <c r="D2240" t="str">
        <f t="shared" si="919"/>
        <v>POINT MUGU NAWC</v>
      </c>
      <c r="E2240" t="str">
        <f t="shared" si="922"/>
        <v>CA</v>
      </c>
      <c r="F2240" t="str">
        <f>T("930420001")</f>
        <v>930420001</v>
      </c>
      <c r="G2240" t="str">
        <f>T("CODE 784200E")</f>
        <v>CODE 784200E</v>
      </c>
      <c r="H2240" t="str">
        <f>T("575 I AVE ST 1")</f>
        <v>575 I AVE ST 1</v>
      </c>
      <c r="I2240" t="str">
        <f t="shared" si="923"/>
        <v>POINT MUGU NAWC</v>
      </c>
      <c r="J2240" t="str">
        <f t="shared" si="924"/>
        <v>CA</v>
      </c>
      <c r="K2240" t="str">
        <f>T("000000000000000000")</f>
        <v>000000000000000000</v>
      </c>
      <c r="L2240" t="str">
        <f>T("8059893045")</f>
        <v>8059893045</v>
      </c>
    </row>
    <row r="2241" spans="1:12" x14ac:dyDescent="0.35">
      <c r="A2241" t="str">
        <f t="shared" si="921"/>
        <v>NAVAIR WD</v>
      </c>
      <c r="B2241" t="str">
        <f t="shared" si="925"/>
        <v>CODE 784200E</v>
      </c>
      <c r="C2241" t="str">
        <f t="shared" ref="C2241:C2250" si="926">T("575 I AVE STE 1")</f>
        <v>575 I AVE STE 1</v>
      </c>
      <c r="D2241" t="str">
        <f t="shared" si="919"/>
        <v>POINT MUGU NAWC</v>
      </c>
      <c r="E2241" t="str">
        <f t="shared" si="922"/>
        <v>CA</v>
      </c>
      <c r="F2241" t="str">
        <f t="shared" ref="F2241:F2250" si="927">T("930425060")</f>
        <v>930425060</v>
      </c>
      <c r="G2241" t="str">
        <f>T("CODE 530000E")</f>
        <v>CODE 530000E</v>
      </c>
      <c r="H2241" t="str">
        <f>T("575 I AVE STE 1 BLDG 36 RM 2316")</f>
        <v>575 I AVE STE 1 BLDG 36 RM 2316</v>
      </c>
      <c r="I2241" t="str">
        <f>T("CHINA LAKE")</f>
        <v>CHINA LAKE</v>
      </c>
      <c r="J2241" t="str">
        <f t="shared" si="924"/>
        <v>CA</v>
      </c>
      <c r="K2241" t="str">
        <f t="shared" ref="K2241:K2246" si="928">T("7609391648")</f>
        <v>7609391648</v>
      </c>
      <c r="L2241" t="str">
        <f>T("8059898534")</f>
        <v>8059898534</v>
      </c>
    </row>
    <row r="2242" spans="1:12" x14ac:dyDescent="0.35">
      <c r="A2242" t="str">
        <f t="shared" si="921"/>
        <v>NAVAIR WD</v>
      </c>
      <c r="B2242" t="str">
        <f t="shared" si="925"/>
        <v>CODE 784200E</v>
      </c>
      <c r="C2242" t="str">
        <f t="shared" si="926"/>
        <v>575 I AVE STE 1</v>
      </c>
      <c r="D2242" t="str">
        <f t="shared" si="919"/>
        <v>POINT MUGU NAWC</v>
      </c>
      <c r="E2242" t="str">
        <f t="shared" si="922"/>
        <v>CA</v>
      </c>
      <c r="F2242" t="str">
        <f t="shared" si="927"/>
        <v>930425060</v>
      </c>
      <c r="G2242" t="str">
        <f>T("CODE 53100ME")</f>
        <v>CODE 53100ME</v>
      </c>
      <c r="H2242" t="str">
        <f>T("575 I AVE STE 1 BLDG 513")</f>
        <v>575 I AVE STE 1 BLDG 513</v>
      </c>
      <c r="I2242" t="str">
        <f>T("POINT MUGU NAWC")</f>
        <v>POINT MUGU NAWC</v>
      </c>
      <c r="J2242" t="str">
        <f t="shared" si="924"/>
        <v>CA</v>
      </c>
      <c r="K2242" t="str">
        <f t="shared" si="928"/>
        <v>7609391648</v>
      </c>
      <c r="L2242" t="str">
        <f>T("8059897037")</f>
        <v>8059897037</v>
      </c>
    </row>
    <row r="2243" spans="1:12" x14ac:dyDescent="0.35">
      <c r="A2243" t="str">
        <f t="shared" si="921"/>
        <v>NAVAIR WD</v>
      </c>
      <c r="B2243" t="str">
        <f t="shared" si="925"/>
        <v>CODE 784200E</v>
      </c>
      <c r="C2243" t="str">
        <f t="shared" si="926"/>
        <v>575 I AVE STE 1</v>
      </c>
      <c r="D2243" t="str">
        <f t="shared" si="919"/>
        <v>POINT MUGU NAWC</v>
      </c>
      <c r="E2243" t="str">
        <f t="shared" si="922"/>
        <v>CA</v>
      </c>
      <c r="F2243" t="str">
        <f t="shared" si="927"/>
        <v>930425060</v>
      </c>
      <c r="G2243" t="str">
        <f>T("CODE 53120ME")</f>
        <v>CODE 53120ME</v>
      </c>
      <c r="H2243" t="str">
        <f>T("575 I AVE STE 1")</f>
        <v>575 I AVE STE 1</v>
      </c>
      <c r="I2243" t="str">
        <f>T("POINT MUGU NAWC")</f>
        <v>POINT MUGU NAWC</v>
      </c>
      <c r="J2243" t="str">
        <f t="shared" si="924"/>
        <v>CA</v>
      </c>
      <c r="K2243" t="str">
        <f t="shared" si="928"/>
        <v>7609391648</v>
      </c>
      <c r="L2243" t="str">
        <f>T("8059895955")</f>
        <v>8059895955</v>
      </c>
    </row>
    <row r="2244" spans="1:12" x14ac:dyDescent="0.35">
      <c r="A2244" t="str">
        <f t="shared" si="921"/>
        <v>NAVAIR WD</v>
      </c>
      <c r="B2244" t="str">
        <f t="shared" si="925"/>
        <v>CODE 784200E</v>
      </c>
      <c r="C2244" t="str">
        <f t="shared" si="926"/>
        <v>575 I AVE STE 1</v>
      </c>
      <c r="D2244" t="str">
        <f t="shared" si="919"/>
        <v>POINT MUGU NAWC</v>
      </c>
      <c r="E2244" t="str">
        <f t="shared" si="922"/>
        <v>CA</v>
      </c>
      <c r="F2244" t="str">
        <f t="shared" si="927"/>
        <v>930425060</v>
      </c>
      <c r="G2244" t="str">
        <f>T("CODE 53120ME")</f>
        <v>CODE 53120ME</v>
      </c>
      <c r="H2244" t="str">
        <f>T("575 I AVE STE 1 BLDG 513 MS 0580")</f>
        <v>575 I AVE STE 1 BLDG 513 MS 0580</v>
      </c>
      <c r="I2244" t="str">
        <f>T("POINT MUGU NAWC")</f>
        <v>POINT MUGU NAWC</v>
      </c>
      <c r="J2244" t="str">
        <f t="shared" si="924"/>
        <v>CA</v>
      </c>
      <c r="K2244" t="str">
        <f t="shared" si="928"/>
        <v>7609391648</v>
      </c>
      <c r="L2244" t="str">
        <f>T("8059898093")</f>
        <v>8059898093</v>
      </c>
    </row>
    <row r="2245" spans="1:12" x14ac:dyDescent="0.35">
      <c r="A2245" t="str">
        <f t="shared" si="921"/>
        <v>NAVAIR WD</v>
      </c>
      <c r="B2245" t="str">
        <f t="shared" si="925"/>
        <v>CODE 784200E</v>
      </c>
      <c r="C2245" t="str">
        <f t="shared" si="926"/>
        <v>575 I AVE STE 1</v>
      </c>
      <c r="D2245" t="str">
        <f t="shared" si="919"/>
        <v>POINT MUGU NAWC</v>
      </c>
      <c r="E2245" t="str">
        <f t="shared" si="922"/>
        <v>CA</v>
      </c>
      <c r="F2245" t="str">
        <f t="shared" si="927"/>
        <v>930425060</v>
      </c>
      <c r="G2245" t="str">
        <f>T("CODE 53150ME")</f>
        <v>CODE 53150ME</v>
      </c>
      <c r="H2245" t="str">
        <f>T("CBC SEABORNE TARGETS BLDG 465D")</f>
        <v>CBC SEABORNE TARGETS BLDG 465D</v>
      </c>
      <c r="I2245" t="str">
        <f>T("PORT HUENEME")</f>
        <v>PORT HUENEME</v>
      </c>
      <c r="J2245" t="str">
        <f t="shared" si="924"/>
        <v>CA</v>
      </c>
      <c r="K2245" t="str">
        <f t="shared" si="928"/>
        <v>7609391648</v>
      </c>
      <c r="L2245" t="str">
        <f>T("8059822176")</f>
        <v>8059822176</v>
      </c>
    </row>
    <row r="2246" spans="1:12" x14ac:dyDescent="0.35">
      <c r="A2246" t="str">
        <f t="shared" si="921"/>
        <v>NAVAIR WD</v>
      </c>
      <c r="B2246" t="str">
        <f t="shared" si="925"/>
        <v>CODE 784200E</v>
      </c>
      <c r="C2246" t="str">
        <f t="shared" si="926"/>
        <v>575 I AVE STE 1</v>
      </c>
      <c r="D2246" t="str">
        <f t="shared" si="919"/>
        <v>POINT MUGU NAWC</v>
      </c>
      <c r="E2246" t="str">
        <f t="shared" si="922"/>
        <v>CA</v>
      </c>
      <c r="F2246" t="str">
        <f t="shared" si="927"/>
        <v>930425060</v>
      </c>
      <c r="G2246" t="str">
        <f>T("CODE 53240ME")</f>
        <v>CODE 53240ME</v>
      </c>
      <c r="H2246" t="str">
        <f>T("575 I AVE STE 1 BLDG 333 RM 214")</f>
        <v>575 I AVE STE 1 BLDG 333 RM 214</v>
      </c>
      <c r="I2246" t="str">
        <f t="shared" ref="I2246:I2254" si="929">T("POINT MUGU NAWC")</f>
        <v>POINT MUGU NAWC</v>
      </c>
      <c r="J2246" t="str">
        <f t="shared" si="924"/>
        <v>CA</v>
      </c>
      <c r="K2246" t="str">
        <f t="shared" si="928"/>
        <v>7609391648</v>
      </c>
      <c r="L2246" t="str">
        <f>T("8059895929")</f>
        <v>8059895929</v>
      </c>
    </row>
    <row r="2247" spans="1:12" x14ac:dyDescent="0.35">
      <c r="A2247" t="str">
        <f t="shared" si="921"/>
        <v>NAVAIR WD</v>
      </c>
      <c r="B2247" t="str">
        <f t="shared" si="925"/>
        <v>CODE 784200E</v>
      </c>
      <c r="C2247" t="str">
        <f t="shared" si="926"/>
        <v>575 I AVE STE 1</v>
      </c>
      <c r="D2247" t="str">
        <f t="shared" si="919"/>
        <v>POINT MUGU NAWC</v>
      </c>
      <c r="E2247" t="str">
        <f t="shared" si="922"/>
        <v>CA</v>
      </c>
      <c r="F2247" t="str">
        <f t="shared" si="927"/>
        <v>930425060</v>
      </c>
      <c r="G2247" t="str">
        <f>T("CODE 539300E")</f>
        <v>CODE 539300E</v>
      </c>
      <c r="H2247" t="str">
        <f>T("575 I AVE STE 1")</f>
        <v>575 I AVE STE 1</v>
      </c>
      <c r="I2247" t="str">
        <f t="shared" si="929"/>
        <v>POINT MUGU NAWC</v>
      </c>
      <c r="J2247" t="str">
        <f t="shared" si="924"/>
        <v>CA</v>
      </c>
      <c r="K2247" t="str">
        <f>T("000000000000000000")</f>
        <v>000000000000000000</v>
      </c>
      <c r="L2247" t="str">
        <f>T("8059822561")</f>
        <v>8059822561</v>
      </c>
    </row>
    <row r="2248" spans="1:12" x14ac:dyDescent="0.35">
      <c r="A2248" t="str">
        <f t="shared" si="921"/>
        <v>NAVAIR WD</v>
      </c>
      <c r="B2248" t="str">
        <f t="shared" si="925"/>
        <v>CODE 784200E</v>
      </c>
      <c r="C2248" t="str">
        <f t="shared" si="926"/>
        <v>575 I AVE STE 1</v>
      </c>
      <c r="D2248" t="str">
        <f t="shared" si="919"/>
        <v>POINT MUGU NAWC</v>
      </c>
      <c r="E2248" t="str">
        <f t="shared" si="922"/>
        <v>CA</v>
      </c>
      <c r="F2248" t="str">
        <f t="shared" si="927"/>
        <v>930425060</v>
      </c>
      <c r="G2248" t="str">
        <f>T("CODE 539400E")</f>
        <v>CODE 539400E</v>
      </c>
      <c r="H2248" t="str">
        <f>T("575 I AVE STE 1 BLDG 351 RM 1028")</f>
        <v>575 I AVE STE 1 BLDG 351 RM 1028</v>
      </c>
      <c r="I2248" t="str">
        <f t="shared" si="929"/>
        <v>POINT MUGU NAWC</v>
      </c>
      <c r="J2248" t="str">
        <f t="shared" si="924"/>
        <v>CA</v>
      </c>
      <c r="K2248" t="str">
        <f t="shared" ref="K2248:K2257" si="930">T("7609391648")</f>
        <v>7609391648</v>
      </c>
      <c r="L2248" t="str">
        <f>T("8059893862")</f>
        <v>8059893862</v>
      </c>
    </row>
    <row r="2249" spans="1:12" x14ac:dyDescent="0.35">
      <c r="A2249" t="str">
        <f t="shared" si="921"/>
        <v>NAVAIR WD</v>
      </c>
      <c r="B2249" t="str">
        <f t="shared" si="925"/>
        <v>CODE 784200E</v>
      </c>
      <c r="C2249" t="str">
        <f t="shared" si="926"/>
        <v>575 I AVE STE 1</v>
      </c>
      <c r="D2249" t="str">
        <f t="shared" si="919"/>
        <v>POINT MUGU NAWC</v>
      </c>
      <c r="E2249" t="str">
        <f t="shared" si="922"/>
        <v>CA</v>
      </c>
      <c r="F2249" t="str">
        <f t="shared" si="927"/>
        <v>930425060</v>
      </c>
      <c r="G2249" t="str">
        <f>T("CODE 784200E")</f>
        <v>CODE 784200E</v>
      </c>
      <c r="H2249" t="str">
        <f>T("575 I AVE STE 1")</f>
        <v>575 I AVE STE 1</v>
      </c>
      <c r="I2249" t="str">
        <f t="shared" si="929"/>
        <v>POINT MUGU NAWC</v>
      </c>
      <c r="J2249" t="str">
        <f t="shared" si="924"/>
        <v>CA</v>
      </c>
      <c r="K2249" t="str">
        <f t="shared" si="930"/>
        <v>7609391648</v>
      </c>
      <c r="L2249" t="str">
        <f>T("8059822397")</f>
        <v>8059822397</v>
      </c>
    </row>
    <row r="2250" spans="1:12" x14ac:dyDescent="0.35">
      <c r="A2250" t="str">
        <f t="shared" si="921"/>
        <v>NAVAIR WD</v>
      </c>
      <c r="B2250" t="str">
        <f t="shared" si="925"/>
        <v>CODE 784200E</v>
      </c>
      <c r="C2250" t="str">
        <f t="shared" si="926"/>
        <v>575 I AVE STE 1</v>
      </c>
      <c r="D2250" t="str">
        <f t="shared" si="919"/>
        <v>POINT MUGU NAWC</v>
      </c>
      <c r="E2250" t="str">
        <f t="shared" si="922"/>
        <v>CA</v>
      </c>
      <c r="F2250" t="str">
        <f t="shared" si="927"/>
        <v>930425060</v>
      </c>
      <c r="G2250" t="str">
        <f>T("CODE 784200E")</f>
        <v>CODE 784200E</v>
      </c>
      <c r="H2250" t="str">
        <f>T("575 I AVE STE 1")</f>
        <v>575 I AVE STE 1</v>
      </c>
      <c r="I2250" t="str">
        <f t="shared" si="929"/>
        <v>POINT MUGU NAWC</v>
      </c>
      <c r="J2250" t="str">
        <f t="shared" si="924"/>
        <v>CA</v>
      </c>
      <c r="K2250" t="str">
        <f t="shared" si="930"/>
        <v>7609391648</v>
      </c>
      <c r="L2250" t="str">
        <f>T("8059893862")</f>
        <v>8059893862</v>
      </c>
    </row>
    <row r="2251" spans="1:12" x14ac:dyDescent="0.35">
      <c r="A2251" t="str">
        <f t="shared" si="921"/>
        <v>NAVAIR WD</v>
      </c>
      <c r="B2251" t="str">
        <f t="shared" si="925"/>
        <v>CODE 784200E</v>
      </c>
      <c r="C2251" t="str">
        <f>T("BLDG 372 RM 101")</f>
        <v>BLDG 372 RM 101</v>
      </c>
      <c r="D2251" t="str">
        <f>T("PT MUGU NAWC")</f>
        <v>PT MUGU NAWC</v>
      </c>
      <c r="E2251" t="str">
        <f t="shared" si="922"/>
        <v>CA</v>
      </c>
      <c r="F2251" t="str">
        <f>T("930420001")</f>
        <v>930420001</v>
      </c>
      <c r="G2251" t="str">
        <f>T("CODE 518D00E")</f>
        <v>CODE 518D00E</v>
      </c>
      <c r="H2251" t="str">
        <f>T("575 I AVE STE 1")</f>
        <v>575 I AVE STE 1</v>
      </c>
      <c r="I2251" t="str">
        <f t="shared" si="929"/>
        <v>POINT MUGU NAWC</v>
      </c>
      <c r="J2251" t="str">
        <f t="shared" si="924"/>
        <v>CA</v>
      </c>
      <c r="K2251" t="str">
        <f t="shared" si="930"/>
        <v>7609391648</v>
      </c>
      <c r="L2251" t="str">
        <f>T("8059898653")</f>
        <v>8059898653</v>
      </c>
    </row>
    <row r="2252" spans="1:12" x14ac:dyDescent="0.35">
      <c r="A2252" t="str">
        <f t="shared" si="921"/>
        <v>NAVAIR WD</v>
      </c>
      <c r="B2252" t="str">
        <f t="shared" si="925"/>
        <v>CODE 784200E</v>
      </c>
      <c r="C2252" t="str">
        <f>T("BLDG 372 RM 101")</f>
        <v>BLDG 372 RM 101</v>
      </c>
      <c r="D2252" t="str">
        <f>T("PT MUGU NAWC")</f>
        <v>PT MUGU NAWC</v>
      </c>
      <c r="E2252" t="str">
        <f t="shared" si="922"/>
        <v>CA</v>
      </c>
      <c r="F2252" t="str">
        <f>T("930420001")</f>
        <v>930420001</v>
      </c>
      <c r="G2252" t="str">
        <f>T("CODE 51900ME")</f>
        <v>CODE 51900ME</v>
      </c>
      <c r="H2252" t="str">
        <f>T("575 I AVE STE 1")</f>
        <v>575 I AVE STE 1</v>
      </c>
      <c r="I2252" t="str">
        <f t="shared" si="929"/>
        <v>POINT MUGU NAWC</v>
      </c>
      <c r="J2252" t="str">
        <f t="shared" si="924"/>
        <v>CA</v>
      </c>
      <c r="K2252" t="str">
        <f t="shared" si="930"/>
        <v>7609391648</v>
      </c>
      <c r="L2252" t="str">
        <f>T("8059897739")</f>
        <v>8059897739</v>
      </c>
    </row>
    <row r="2253" spans="1:12" x14ac:dyDescent="0.35">
      <c r="A2253" t="str">
        <f t="shared" si="921"/>
        <v>NAVAIR WD</v>
      </c>
      <c r="B2253" t="str">
        <f t="shared" si="925"/>
        <v>CODE 784200E</v>
      </c>
      <c r="C2253" t="str">
        <f>T("BLDG 372 RM 101")</f>
        <v>BLDG 372 RM 101</v>
      </c>
      <c r="D2253" t="str">
        <f>T("PT MUGU NAWC")</f>
        <v>PT MUGU NAWC</v>
      </c>
      <c r="E2253" t="str">
        <f t="shared" si="922"/>
        <v>CA</v>
      </c>
      <c r="F2253" t="str">
        <f>T("930420001")</f>
        <v>930420001</v>
      </c>
      <c r="G2253" t="str">
        <f>T("CODE 51D00ME")</f>
        <v>CODE 51D00ME</v>
      </c>
      <c r="H2253" t="str">
        <f>T("575 I AVE STE 1")</f>
        <v>575 I AVE STE 1</v>
      </c>
      <c r="I2253" t="str">
        <f t="shared" si="929"/>
        <v>POINT MUGU NAWC</v>
      </c>
      <c r="J2253" t="str">
        <f t="shared" si="924"/>
        <v>CA</v>
      </c>
      <c r="K2253" t="str">
        <f t="shared" si="930"/>
        <v>7609391648</v>
      </c>
      <c r="L2253" t="str">
        <f>T("8059898626")</f>
        <v>8059898626</v>
      </c>
    </row>
    <row r="2254" spans="1:12" x14ac:dyDescent="0.35">
      <c r="A2254" t="str">
        <f t="shared" si="921"/>
        <v>NAVAIR WD</v>
      </c>
      <c r="B2254" t="str">
        <f t="shared" si="925"/>
        <v>CODE 784200E</v>
      </c>
      <c r="C2254" t="str">
        <f>T("BLDG 372 RM 101")</f>
        <v>BLDG 372 RM 101</v>
      </c>
      <c r="D2254" t="str">
        <f>T("PT MUGU NAWC")</f>
        <v>PT MUGU NAWC</v>
      </c>
      <c r="E2254" t="str">
        <f t="shared" si="922"/>
        <v>CA</v>
      </c>
      <c r="F2254" t="str">
        <f>T("930420001")</f>
        <v>930420001</v>
      </c>
      <c r="G2254" t="str">
        <f>T("CODE 51D00ME")</f>
        <v>CODE 51D00ME</v>
      </c>
      <c r="H2254" t="str">
        <f>T("575 I ST STE 1")</f>
        <v>575 I ST STE 1</v>
      </c>
      <c r="I2254" t="str">
        <f t="shared" si="929"/>
        <v>POINT MUGU NAWC</v>
      </c>
      <c r="J2254" t="str">
        <f t="shared" si="924"/>
        <v>CA</v>
      </c>
      <c r="K2254" t="str">
        <f t="shared" si="930"/>
        <v>7609391648</v>
      </c>
      <c r="L2254" t="str">
        <f>T("8059897770")</f>
        <v>8059897770</v>
      </c>
    </row>
    <row r="2255" spans="1:12" x14ac:dyDescent="0.35">
      <c r="A2255" t="str">
        <f t="shared" si="921"/>
        <v>NAVAIR WD</v>
      </c>
      <c r="B2255" t="str">
        <f t="shared" si="925"/>
        <v>CODE 784200E</v>
      </c>
      <c r="C2255" t="str">
        <f>T("BLDG 372 RM 101")</f>
        <v>BLDG 372 RM 101</v>
      </c>
      <c r="D2255" t="str">
        <f>T("PT MUGU NAWC")</f>
        <v>PT MUGU NAWC</v>
      </c>
      <c r="E2255" t="str">
        <f t="shared" si="922"/>
        <v>CA</v>
      </c>
      <c r="F2255" t="str">
        <f>T("930420001")</f>
        <v>930420001</v>
      </c>
      <c r="G2255" t="str">
        <f>T("CODE 784200E")</f>
        <v>CODE 784200E</v>
      </c>
      <c r="H2255" t="str">
        <f>T("BLDG 372 RM 101")</f>
        <v>BLDG 372 RM 101</v>
      </c>
      <c r="I2255" t="str">
        <f>T("PT MUGU NAWC")</f>
        <v>PT MUGU NAWC</v>
      </c>
      <c r="J2255" t="str">
        <f t="shared" si="924"/>
        <v>CA</v>
      </c>
      <c r="K2255" t="str">
        <f t="shared" si="930"/>
        <v>7609391648</v>
      </c>
      <c r="L2255" t="str">
        <f>T("8059894733")</f>
        <v>8059894733</v>
      </c>
    </row>
    <row r="2256" spans="1:12" x14ac:dyDescent="0.35">
      <c r="A2256" t="str">
        <f t="shared" si="921"/>
        <v>NAVAIR WD</v>
      </c>
      <c r="B2256" t="str">
        <f>T("CODE VX-30")</f>
        <v>CODE VX-30</v>
      </c>
      <c r="C2256" t="str">
        <f>T("575 I AVE STE 1")</f>
        <v>575 I AVE STE 1</v>
      </c>
      <c r="D2256" t="str">
        <f>T("POINT MUGU NAWC")</f>
        <v>POINT MUGU NAWC</v>
      </c>
      <c r="E2256" t="str">
        <f t="shared" si="922"/>
        <v>CA</v>
      </c>
      <c r="F2256" t="str">
        <f>T("930425060")</f>
        <v>930425060</v>
      </c>
      <c r="G2256" t="str">
        <f>T("CODE 518L00E")</f>
        <v>CODE 518L00E</v>
      </c>
      <c r="H2256" t="str">
        <f>T("575 I AVE STE 1")</f>
        <v>575 I AVE STE 1</v>
      </c>
      <c r="I2256" t="str">
        <f>T("POINT MUGU NAWC")</f>
        <v>POINT MUGU NAWC</v>
      </c>
      <c r="J2256" t="str">
        <f t="shared" si="924"/>
        <v>CA</v>
      </c>
      <c r="K2256" t="str">
        <f t="shared" si="930"/>
        <v>7609391648</v>
      </c>
      <c r="L2256" t="str">
        <f>T("8059898653")</f>
        <v>8059898653</v>
      </c>
    </row>
    <row r="2257" spans="1:12" x14ac:dyDescent="0.35">
      <c r="A2257" t="str">
        <f t="shared" si="921"/>
        <v>NAVAIR WD</v>
      </c>
      <c r="B2257" t="str">
        <f>T("CODE VX-30")</f>
        <v>CODE VX-30</v>
      </c>
      <c r="C2257" t="str">
        <f>T("575 I AVE STE 1")</f>
        <v>575 I AVE STE 1</v>
      </c>
      <c r="D2257" t="str">
        <f>T("POINT MUGU NAWC")</f>
        <v>POINT MUGU NAWC</v>
      </c>
      <c r="E2257" t="str">
        <f t="shared" si="922"/>
        <v>CA</v>
      </c>
      <c r="F2257" t="str">
        <f>T("930425060")</f>
        <v>930425060</v>
      </c>
      <c r="G2257" t="str">
        <f>T("CODE 51D000E")</f>
        <v>CODE 51D000E</v>
      </c>
      <c r="H2257" t="str">
        <f>T("575 I AVE STE 1")</f>
        <v>575 I AVE STE 1</v>
      </c>
      <c r="I2257" t="str">
        <f>T("POINT MUGU NAWC")</f>
        <v>POINT MUGU NAWC</v>
      </c>
      <c r="J2257" t="str">
        <f t="shared" si="924"/>
        <v>CA</v>
      </c>
      <c r="K2257" t="str">
        <f t="shared" si="930"/>
        <v>7609391648</v>
      </c>
      <c r="L2257" t="str">
        <f>T("8059890648")</f>
        <v>8059890648</v>
      </c>
    </row>
    <row r="2258" spans="1:12" x14ac:dyDescent="0.35">
      <c r="A2258" t="str">
        <f t="shared" si="921"/>
        <v>NAVAIR WD</v>
      </c>
      <c r="B2258" t="str">
        <f>T("CODE VX-30")</f>
        <v>CODE VX-30</v>
      </c>
      <c r="C2258" t="str">
        <f>T("575 I AVE STE 1")</f>
        <v>575 I AVE STE 1</v>
      </c>
      <c r="D2258" t="str">
        <f>T("POINT MUGU NAWC")</f>
        <v>POINT MUGU NAWC</v>
      </c>
      <c r="E2258" t="str">
        <f t="shared" si="922"/>
        <v>CA</v>
      </c>
      <c r="F2258" t="str">
        <f>T("930425060")</f>
        <v>930425060</v>
      </c>
      <c r="G2258" t="str">
        <f>T("CODE VX-30")</f>
        <v>CODE VX-30</v>
      </c>
      <c r="H2258" t="str">
        <f>T("575 I AVE STE 1")</f>
        <v>575 I AVE STE 1</v>
      </c>
      <c r="I2258" t="str">
        <f>T("POINT MUGU NAWC")</f>
        <v>POINT MUGU NAWC</v>
      </c>
      <c r="J2258" t="str">
        <f t="shared" si="924"/>
        <v>CA</v>
      </c>
      <c r="K2258" t="str">
        <f>T("000000000000000000")</f>
        <v>000000000000000000</v>
      </c>
      <c r="L2258" t="str">
        <f>T("8059897856")</f>
        <v>8059897856</v>
      </c>
    </row>
    <row r="2259" spans="1:12" x14ac:dyDescent="0.35">
      <c r="A2259" t="str">
        <f t="shared" si="921"/>
        <v>NAVAIR WD</v>
      </c>
      <c r="B2259" t="str">
        <f>T("CCODE 680000D")</f>
        <v>CCODE 680000D</v>
      </c>
      <c r="C2259" t="str">
        <f>T("1900 N KNOX RD MS 6202")</f>
        <v>1900 N KNOX RD MS 6202</v>
      </c>
      <c r="D2259" t="str">
        <f>T("CHINA LAKE")</f>
        <v>CHINA LAKE</v>
      </c>
      <c r="E2259" t="str">
        <f t="shared" si="922"/>
        <v>CA</v>
      </c>
      <c r="F2259" t="str">
        <f>T("935556106")</f>
        <v>935556106</v>
      </c>
      <c r="G2259" t="str">
        <f>T("CCODE 680000D")</f>
        <v>CCODE 680000D</v>
      </c>
      <c r="H2259" t="str">
        <f>T("1900 N KNOX RD MS 6202")</f>
        <v>1900 N KNOX RD MS 6202</v>
      </c>
      <c r="I2259" t="str">
        <f>T("CHINA LAKE")</f>
        <v>CHINA LAKE</v>
      </c>
      <c r="J2259" t="str">
        <f t="shared" si="924"/>
        <v>CA</v>
      </c>
      <c r="K2259" t="str">
        <f>T("7609391648")</f>
        <v>7609391648</v>
      </c>
      <c r="L2259" t="str">
        <f>T("7609395097")</f>
        <v>7609395097</v>
      </c>
    </row>
    <row r="2260" spans="1:12" x14ac:dyDescent="0.35">
      <c r="A2260" t="str">
        <f t="shared" si="921"/>
        <v>NAVAIR WD</v>
      </c>
      <c r="B2260" t="str">
        <f>T("CCODE 680000D")</f>
        <v>CCODE 680000D</v>
      </c>
      <c r="C2260" t="str">
        <f>T("1900 N KNOX RD MS 6202")</f>
        <v>1900 N KNOX RD MS 6202</v>
      </c>
      <c r="D2260" t="str">
        <f>T("CHINA LAKE")</f>
        <v>CHINA LAKE</v>
      </c>
      <c r="E2260" t="str">
        <f t="shared" si="922"/>
        <v>CA</v>
      </c>
      <c r="F2260" t="str">
        <f>T("935556106")</f>
        <v>935556106</v>
      </c>
      <c r="G2260" t="str">
        <f>T("CODE 680000D")</f>
        <v>CODE 680000D</v>
      </c>
      <c r="H2260" t="str">
        <f>T("1900 N KNOX RD MS 6202")</f>
        <v>1900 N KNOX RD MS 6202</v>
      </c>
      <c r="I2260" t="str">
        <f>T("RIDGECREST")</f>
        <v>RIDGECREST</v>
      </c>
      <c r="J2260" t="str">
        <f t="shared" si="924"/>
        <v>CA</v>
      </c>
      <c r="K2260" t="str">
        <f>T("7609391648")</f>
        <v>7609391648</v>
      </c>
      <c r="L2260" t="str">
        <f>T("7609399229")</f>
        <v>7609399229</v>
      </c>
    </row>
    <row r="2261" spans="1:12" x14ac:dyDescent="0.35">
      <c r="A2261" t="str">
        <f t="shared" si="921"/>
        <v>NAVAIR WD</v>
      </c>
      <c r="B2261" t="str">
        <f>T("CODE 220000D")</f>
        <v>CODE 220000D</v>
      </c>
      <c r="C2261" t="str">
        <f>T("429 E BOWEN RD MS 4015")</f>
        <v>429 E BOWEN RD MS 4015</v>
      </c>
      <c r="D2261" t="str">
        <f>T("CHINA LAKE")</f>
        <v>CHINA LAKE</v>
      </c>
      <c r="E2261" t="str">
        <f t="shared" si="922"/>
        <v>CA</v>
      </c>
      <c r="F2261" t="str">
        <f>T("935556108")</f>
        <v>935556108</v>
      </c>
      <c r="G2261" t="str">
        <f>T("429 E BOWEN RD MS 4015")</f>
        <v>429 E BOWEN RD MS 4015</v>
      </c>
      <c r="H2261" t="str">
        <f>T("")</f>
        <v/>
      </c>
      <c r="I2261" t="str">
        <f>T("RIDGECREST")</f>
        <v>RIDGECREST</v>
      </c>
      <c r="J2261" t="str">
        <f t="shared" si="924"/>
        <v>CA</v>
      </c>
      <c r="K2261" t="str">
        <f>T("7609391648")</f>
        <v>7609391648</v>
      </c>
      <c r="L2261" t="str">
        <f>T("7609398195")</f>
        <v>7609398195</v>
      </c>
    </row>
    <row r="2262" spans="1:12" x14ac:dyDescent="0.35">
      <c r="A2262" t="str">
        <f t="shared" si="921"/>
        <v>NAVAIR WD</v>
      </c>
      <c r="B2262" t="str">
        <f>T("CODE 220000D")</f>
        <v>CODE 220000D</v>
      </c>
      <c r="C2262" t="str">
        <f>T("429 E BOWEN RD MS 4015")</f>
        <v>429 E BOWEN RD MS 4015</v>
      </c>
      <c r="D2262" t="str">
        <f>T("CHINA LAKE")</f>
        <v>CHINA LAKE</v>
      </c>
      <c r="E2262" t="str">
        <f t="shared" si="922"/>
        <v>CA</v>
      </c>
      <c r="F2262" t="str">
        <f>T("935556108")</f>
        <v>935556108</v>
      </c>
      <c r="G2262" t="str">
        <f>T("CODE 220000D")</f>
        <v>CODE 220000D</v>
      </c>
      <c r="H2262" t="str">
        <f>T("429 E BOWEN RD MS 4015")</f>
        <v>429 E BOWEN RD MS 4015</v>
      </c>
      <c r="I2262" t="str">
        <f>T("CHINA LAKE")</f>
        <v>CHINA LAKE</v>
      </c>
      <c r="J2262" t="str">
        <f t="shared" si="924"/>
        <v>CA</v>
      </c>
      <c r="K2262" t="str">
        <f>T("760-939-1648")</f>
        <v>760-939-1648</v>
      </c>
      <c r="L2262" t="str">
        <f>T("7609391087")</f>
        <v>7609391087</v>
      </c>
    </row>
    <row r="2263" spans="1:12" x14ac:dyDescent="0.35">
      <c r="A2263" t="str">
        <f t="shared" si="921"/>
        <v>NAVAIR WD</v>
      </c>
      <c r="B2263" t="str">
        <f>T("CODE 220000D")</f>
        <v>CODE 220000D</v>
      </c>
      <c r="C2263" t="str">
        <f>T("429 E BOWEN RD MS 4015")</f>
        <v>429 E BOWEN RD MS 4015</v>
      </c>
      <c r="D2263" t="str">
        <f>T("CHINA LAKE")</f>
        <v>CHINA LAKE</v>
      </c>
      <c r="E2263" t="str">
        <f t="shared" si="922"/>
        <v>CA</v>
      </c>
      <c r="F2263" t="str">
        <f>T("935556108")</f>
        <v>935556108</v>
      </c>
      <c r="G2263" t="str">
        <f>T("CODE 254200D")</f>
        <v>CODE 254200D</v>
      </c>
      <c r="H2263" t="str">
        <f>T("BLDG 00982")</f>
        <v>BLDG 00982</v>
      </c>
      <c r="I2263" t="str">
        <f>T("CHINA LAKE")</f>
        <v>CHINA LAKE</v>
      </c>
      <c r="J2263" t="str">
        <f t="shared" si="924"/>
        <v>CA</v>
      </c>
      <c r="K2263" t="str">
        <f>T("7609391648")</f>
        <v>7609391648</v>
      </c>
      <c r="L2263" t="str">
        <f>T("7609390852")</f>
        <v>7609390852</v>
      </c>
    </row>
    <row r="2264" spans="1:12" x14ac:dyDescent="0.35">
      <c r="A2264" t="str">
        <f t="shared" si="921"/>
        <v>NAVAIR WD</v>
      </c>
      <c r="B2264" t="str">
        <f>T("CODE 400000D")</f>
        <v>CODE 400000D</v>
      </c>
      <c r="C2264" t="str">
        <f>T("1900 KNOX RD MS 6306")</f>
        <v>1900 KNOX RD MS 6306</v>
      </c>
      <c r="D2264" t="str">
        <f t="shared" ref="D2264:D2271" si="931">T("RIDGECREST")</f>
        <v>RIDGECREST</v>
      </c>
      <c r="E2264" t="str">
        <f t="shared" si="922"/>
        <v>CA</v>
      </c>
      <c r="F2264" t="str">
        <f>T("935556106")</f>
        <v>935556106</v>
      </c>
      <c r="G2264" t="str">
        <f>T("CODE 400000D")</f>
        <v>CODE 400000D</v>
      </c>
      <c r="H2264" t="str">
        <f>T("1900 KNOX RD MS 6306")</f>
        <v>1900 KNOX RD MS 6306</v>
      </c>
      <c r="I2264" t="str">
        <f>T("RIDGECREST")</f>
        <v>RIDGECREST</v>
      </c>
      <c r="J2264" t="str">
        <f t="shared" si="924"/>
        <v>CA</v>
      </c>
      <c r="K2264" t="str">
        <f>T("760-939-1648")</f>
        <v>760-939-1648</v>
      </c>
      <c r="L2264" t="str">
        <f>T("7604283789")</f>
        <v>7604283789</v>
      </c>
    </row>
    <row r="2265" spans="1:12" x14ac:dyDescent="0.35">
      <c r="A2265" t="str">
        <f t="shared" si="921"/>
        <v>NAVAIR WD</v>
      </c>
      <c r="B2265" t="str">
        <f>T("CODE 412000D BLDG 91072")</f>
        <v>CODE 412000D BLDG 91072</v>
      </c>
      <c r="C2265" t="str">
        <f>T("1900 N KNOX RD # MS2022")</f>
        <v>1900 N KNOX RD # MS2022</v>
      </c>
      <c r="D2265" t="str">
        <f t="shared" si="931"/>
        <v>RIDGECREST</v>
      </c>
      <c r="E2265" t="str">
        <f t="shared" si="922"/>
        <v>CA</v>
      </c>
      <c r="F2265" t="str">
        <f>T("935556106")</f>
        <v>935556106</v>
      </c>
      <c r="G2265" t="str">
        <f>T("CODE 412000D BLDG 91072")</f>
        <v>CODE 412000D BLDG 91072</v>
      </c>
      <c r="H2265" t="str">
        <f>T("1900 N KNOX RD # MS2022")</f>
        <v>1900 N KNOX RD # MS2022</v>
      </c>
      <c r="I2265" t="str">
        <f>T("RIDGECREST")</f>
        <v>RIDGECREST</v>
      </c>
      <c r="J2265" t="str">
        <f t="shared" si="924"/>
        <v>CA</v>
      </c>
      <c r="K2265" t="str">
        <f t="shared" ref="K2265:K2272" si="932">T("7609391648")</f>
        <v>7609391648</v>
      </c>
      <c r="L2265" t="str">
        <f>T("7609392253")</f>
        <v>7609392253</v>
      </c>
    </row>
    <row r="2266" spans="1:12" x14ac:dyDescent="0.35">
      <c r="A2266" t="str">
        <f t="shared" si="921"/>
        <v>NAVAIR WD</v>
      </c>
      <c r="B2266" t="str">
        <f>T("CODE 412000D BLDG 91072")</f>
        <v>CODE 412000D BLDG 91072</v>
      </c>
      <c r="C2266" t="str">
        <f>T("1900 N KNOX RD # MS2022")</f>
        <v>1900 N KNOX RD # MS2022</v>
      </c>
      <c r="D2266" t="str">
        <f t="shared" si="931"/>
        <v>RIDGECREST</v>
      </c>
      <c r="E2266" t="str">
        <f t="shared" si="922"/>
        <v>CA</v>
      </c>
      <c r="F2266" t="str">
        <f>T("935556106")</f>
        <v>935556106</v>
      </c>
      <c r="G2266" t="str">
        <f>T("CODE 41M200D")</f>
        <v>CODE 41M200D</v>
      </c>
      <c r="H2266" t="str">
        <f>T("1900 N KNOX RD BLDG 2670 MS 6622")</f>
        <v>1900 N KNOX RD BLDG 2670 MS 6622</v>
      </c>
      <c r="I2266" t="str">
        <f>T("CHINA LAKE")</f>
        <v>CHINA LAKE</v>
      </c>
      <c r="J2266" t="str">
        <f t="shared" si="924"/>
        <v>CA</v>
      </c>
      <c r="K2266" t="str">
        <f t="shared" si="932"/>
        <v>7609391648</v>
      </c>
      <c r="L2266" t="str">
        <f>T("7609394667")</f>
        <v>7609394667</v>
      </c>
    </row>
    <row r="2267" spans="1:12" x14ac:dyDescent="0.35">
      <c r="A2267" t="str">
        <f t="shared" si="921"/>
        <v>NAVAIR WD</v>
      </c>
      <c r="B2267" t="str">
        <f>T("CODE 412000D BLDG 91072")</f>
        <v>CODE 412000D BLDG 91072</v>
      </c>
      <c r="C2267" t="str">
        <f>T("1900 N KNOX RD # MS2022")</f>
        <v>1900 N KNOX RD # MS2022</v>
      </c>
      <c r="D2267" t="str">
        <f t="shared" si="931"/>
        <v>RIDGECREST</v>
      </c>
      <c r="E2267" t="str">
        <f t="shared" si="922"/>
        <v>CA</v>
      </c>
      <c r="F2267" t="str">
        <f>T("935556106")</f>
        <v>935556106</v>
      </c>
      <c r="G2267" t="str">
        <f>T("CODE 471400D")</f>
        <v>CODE 471400D</v>
      </c>
      <c r="H2267" t="str">
        <f>T("1 ADMIN CIRCLE BLDG 5 RM 1055")</f>
        <v>1 ADMIN CIRCLE BLDG 5 RM 1055</v>
      </c>
      <c r="I2267" t="str">
        <f>T("RIDGECREST")</f>
        <v>RIDGECREST</v>
      </c>
      <c r="J2267" t="str">
        <f t="shared" si="924"/>
        <v>CA</v>
      </c>
      <c r="K2267" t="str">
        <f t="shared" si="932"/>
        <v>7609391648</v>
      </c>
      <c r="L2267" t="str">
        <f>T("7609394975")</f>
        <v>7609394975</v>
      </c>
    </row>
    <row r="2268" spans="1:12" x14ac:dyDescent="0.35">
      <c r="A2268" t="str">
        <f t="shared" si="921"/>
        <v>NAVAIR WD</v>
      </c>
      <c r="B2268" t="str">
        <f>T("CODE 412000D BLDG 91072")</f>
        <v>CODE 412000D BLDG 91072</v>
      </c>
      <c r="C2268" t="str">
        <f>T("1900 N KNOX RD # MS2022")</f>
        <v>1900 N KNOX RD # MS2022</v>
      </c>
      <c r="D2268" t="str">
        <f t="shared" si="931"/>
        <v>RIDGECREST</v>
      </c>
      <c r="E2268" t="str">
        <f t="shared" si="922"/>
        <v>CA</v>
      </c>
      <c r="F2268" t="str">
        <f>T("935556106")</f>
        <v>935556106</v>
      </c>
      <c r="G2268" t="str">
        <f>T("CODE 492400D")</f>
        <v>CODE 492400D</v>
      </c>
      <c r="H2268" t="str">
        <f>T("1 ADMIN CIRCLE BLDG 5 MS 6512")</f>
        <v>1 ADMIN CIRCLE BLDG 5 MS 6512</v>
      </c>
      <c r="I2268" t="str">
        <f>T("RIDGECREST")</f>
        <v>RIDGECREST</v>
      </c>
      <c r="J2268" t="str">
        <f t="shared" si="924"/>
        <v>CA</v>
      </c>
      <c r="K2268" t="str">
        <f t="shared" si="932"/>
        <v>7609391648</v>
      </c>
      <c r="L2268" t="str">
        <f>T("7609392078")</f>
        <v>7609392078</v>
      </c>
    </row>
    <row r="2269" spans="1:12" x14ac:dyDescent="0.35">
      <c r="A2269" t="str">
        <f t="shared" si="921"/>
        <v>NAVAIR WD</v>
      </c>
      <c r="B2269" t="str">
        <f>T("CODE 41240JD")</f>
        <v>CODE 41240JD</v>
      </c>
      <c r="C2269" t="str">
        <f>T("507 E. CORSAIR, MS2004")</f>
        <v>507 E. CORSAIR, MS2004</v>
      </c>
      <c r="D2269" t="str">
        <f t="shared" si="931"/>
        <v>RIDGECREST</v>
      </c>
      <c r="E2269" t="str">
        <f t="shared" si="922"/>
        <v>CA</v>
      </c>
      <c r="F2269" t="str">
        <f>T("935556110")</f>
        <v>935556110</v>
      </c>
      <c r="G2269" t="str">
        <f>T("CODE 41240JD")</f>
        <v>CODE 41240JD</v>
      </c>
      <c r="H2269" t="str">
        <f>T("507 E. CORSAIR, MS2004")</f>
        <v>507 E. CORSAIR, MS2004</v>
      </c>
      <c r="I2269" t="str">
        <f>T("RIDGECREST")</f>
        <v>RIDGECREST</v>
      </c>
      <c r="J2269" t="str">
        <f t="shared" si="924"/>
        <v>CA</v>
      </c>
      <c r="K2269" t="str">
        <f t="shared" si="932"/>
        <v>7609391648</v>
      </c>
      <c r="L2269" t="str">
        <f>T("7609391431")</f>
        <v>7609391431</v>
      </c>
    </row>
    <row r="2270" spans="1:12" x14ac:dyDescent="0.35">
      <c r="A2270" t="str">
        <f t="shared" si="921"/>
        <v>NAVAIR WD</v>
      </c>
      <c r="B2270" t="str">
        <f>T("CODE 41240JD")</f>
        <v>CODE 41240JD</v>
      </c>
      <c r="C2270" t="str">
        <f>T("507 E. CORSAIR, MS2004")</f>
        <v>507 E. CORSAIR, MS2004</v>
      </c>
      <c r="D2270" t="str">
        <f t="shared" si="931"/>
        <v>RIDGECREST</v>
      </c>
      <c r="E2270" t="str">
        <f t="shared" si="922"/>
        <v>CA</v>
      </c>
      <c r="F2270" t="str">
        <f>T("935556110")</f>
        <v>935556110</v>
      </c>
      <c r="G2270" t="str">
        <f>T("CODE 491H00D")</f>
        <v>CODE 491H00D</v>
      </c>
      <c r="H2270" t="str">
        <f>T("507 E CORSAIR MS 2012")</f>
        <v>507 E CORSAIR MS 2012</v>
      </c>
      <c r="I2270" t="str">
        <f>T("CHINA LAKE")</f>
        <v>CHINA LAKE</v>
      </c>
      <c r="J2270" t="str">
        <f t="shared" si="924"/>
        <v>CA</v>
      </c>
      <c r="K2270" t="str">
        <f t="shared" si="932"/>
        <v>7609391648</v>
      </c>
      <c r="L2270" t="str">
        <f>T("7609395678")</f>
        <v>7609395678</v>
      </c>
    </row>
    <row r="2271" spans="1:12" x14ac:dyDescent="0.35">
      <c r="A2271" t="str">
        <f t="shared" si="921"/>
        <v>NAVAIR WD</v>
      </c>
      <c r="B2271" t="str">
        <f>T("CODE 41240JD")</f>
        <v>CODE 41240JD</v>
      </c>
      <c r="C2271" t="str">
        <f>T("507 E. CORSAIR, MS2004")</f>
        <v>507 E. CORSAIR, MS2004</v>
      </c>
      <c r="D2271" t="str">
        <f t="shared" si="931"/>
        <v>RIDGECREST</v>
      </c>
      <c r="E2271" t="str">
        <f t="shared" si="922"/>
        <v>CA</v>
      </c>
      <c r="F2271" t="str">
        <f>T("935556110")</f>
        <v>935556110</v>
      </c>
      <c r="G2271" t="str">
        <f>T("CODE 493600D")</f>
        <v>CODE 493600D</v>
      </c>
      <c r="H2271" t="str">
        <f>T("507 E CORSAIR BLDG 20000A RM 107")</f>
        <v>507 E CORSAIR BLDG 20000A RM 107</v>
      </c>
      <c r="I2271" t="str">
        <f>T("RIDGECREST")</f>
        <v>RIDGECREST</v>
      </c>
      <c r="J2271" t="str">
        <f t="shared" si="924"/>
        <v>CA</v>
      </c>
      <c r="K2271" t="str">
        <f t="shared" si="932"/>
        <v>7609391648</v>
      </c>
      <c r="L2271" t="str">
        <f>T("7609398997")</f>
        <v>7609398997</v>
      </c>
    </row>
    <row r="2272" spans="1:12" x14ac:dyDescent="0.35">
      <c r="A2272" t="str">
        <f t="shared" si="921"/>
        <v>NAVAIR WD</v>
      </c>
      <c r="B2272" t="str">
        <f>T("CODE 418300D BLDG 31199")</f>
        <v>CODE 418300D BLDG 31199</v>
      </c>
      <c r="C2272" t="str">
        <f>T("RM 5 MS 1113")</f>
        <v>RM 5 MS 1113</v>
      </c>
      <c r="D2272" t="str">
        <f t="shared" ref="D2272:D2306" si="933">T("CHINA LAKE")</f>
        <v>CHINA LAKE</v>
      </c>
      <c r="E2272" t="str">
        <f t="shared" si="922"/>
        <v>CA</v>
      </c>
      <c r="F2272" t="str">
        <f>T("935550000")</f>
        <v>935550000</v>
      </c>
      <c r="G2272" t="str">
        <f>T("CODE 418300D")</f>
        <v>CODE 418300D</v>
      </c>
      <c r="H2272" t="str">
        <f>T("BLDG 31196")</f>
        <v>BLDG 31196</v>
      </c>
      <c r="I2272" t="str">
        <f>T("CHINA LAKE")</f>
        <v>CHINA LAKE</v>
      </c>
      <c r="J2272" t="str">
        <f t="shared" si="924"/>
        <v>CA</v>
      </c>
      <c r="K2272" t="str">
        <f t="shared" si="932"/>
        <v>7609391648</v>
      </c>
      <c r="L2272" t="str">
        <f>T("7609396143")</f>
        <v>7609396143</v>
      </c>
    </row>
    <row r="2273" spans="1:12" x14ac:dyDescent="0.35">
      <c r="A2273" t="str">
        <f t="shared" si="921"/>
        <v>NAVAIR WD</v>
      </c>
      <c r="B2273" t="str">
        <f>T("CODE 418300D BLDG 31199")</f>
        <v>CODE 418300D BLDG 31199</v>
      </c>
      <c r="C2273" t="str">
        <f>T("RM 5 MS 1113")</f>
        <v>RM 5 MS 1113</v>
      </c>
      <c r="D2273" t="str">
        <f t="shared" si="933"/>
        <v>CHINA LAKE</v>
      </c>
      <c r="E2273" t="str">
        <f t="shared" si="922"/>
        <v>CA</v>
      </c>
      <c r="F2273" t="str">
        <f>T("935550000")</f>
        <v>935550000</v>
      </c>
      <c r="G2273" t="str">
        <f>T("CODE 418300D BLDG 31199")</f>
        <v>CODE 418300D BLDG 31199</v>
      </c>
      <c r="H2273" t="str">
        <f>T("RM 5 MS 1113")</f>
        <v>RM 5 MS 1113</v>
      </c>
      <c r="I2273" t="str">
        <f>T("CHINA LAKE")</f>
        <v>CHINA LAKE</v>
      </c>
      <c r="J2273" t="str">
        <f t="shared" si="924"/>
        <v>CA</v>
      </c>
      <c r="K2273" t="str">
        <f>T("000000000000000000")</f>
        <v>000000000000000000</v>
      </c>
      <c r="L2273" t="str">
        <f>T("7609396179")</f>
        <v>7609396179</v>
      </c>
    </row>
    <row r="2274" spans="1:12" x14ac:dyDescent="0.35">
      <c r="A2274" t="str">
        <f t="shared" si="921"/>
        <v>NAVAIR WD</v>
      </c>
      <c r="B2274" t="str">
        <f t="shared" ref="B2274:B2279" si="934">T("CODE 41Q300D")</f>
        <v>CODE 41Q300D</v>
      </c>
      <c r="C2274" t="str">
        <f t="shared" ref="C2274:C2279" si="935">T("1900 N KNOX RD MS 6220")</f>
        <v>1900 N KNOX RD MS 6220</v>
      </c>
      <c r="D2274" t="str">
        <f t="shared" si="933"/>
        <v>CHINA LAKE</v>
      </c>
      <c r="E2274" t="str">
        <f t="shared" si="922"/>
        <v>CA</v>
      </c>
      <c r="F2274" t="str">
        <f t="shared" ref="F2274:F2283" si="936">T("935556106")</f>
        <v>935556106</v>
      </c>
      <c r="G2274" t="str">
        <f>T("CODE 41Q300D")</f>
        <v>CODE 41Q300D</v>
      </c>
      <c r="H2274" t="str">
        <f>T("1900 N KNOX RD MS 6220")</f>
        <v>1900 N KNOX RD MS 6220</v>
      </c>
      <c r="I2274" t="str">
        <f>T("CHINA LAKE")</f>
        <v>CHINA LAKE</v>
      </c>
      <c r="J2274" t="str">
        <f t="shared" si="924"/>
        <v>CA</v>
      </c>
      <c r="K2274" t="str">
        <f>T("000000000000000000")</f>
        <v>000000000000000000</v>
      </c>
      <c r="L2274" t="str">
        <f>T("7609394284")</f>
        <v>7609394284</v>
      </c>
    </row>
    <row r="2275" spans="1:12" x14ac:dyDescent="0.35">
      <c r="A2275" t="str">
        <f t="shared" si="921"/>
        <v>NAVAIR WD</v>
      </c>
      <c r="B2275" t="str">
        <f t="shared" si="934"/>
        <v>CODE 41Q300D</v>
      </c>
      <c r="C2275" t="str">
        <f t="shared" si="935"/>
        <v>1900 N KNOX RD MS 6220</v>
      </c>
      <c r="D2275" t="str">
        <f t="shared" si="933"/>
        <v>CHINA LAKE</v>
      </c>
      <c r="E2275" t="str">
        <f t="shared" si="922"/>
        <v>CA</v>
      </c>
      <c r="F2275" t="str">
        <f t="shared" si="936"/>
        <v>935556106</v>
      </c>
      <c r="G2275" t="str">
        <f>T("CODE 41R000D")</f>
        <v>CODE 41R000D</v>
      </c>
      <c r="H2275" t="str">
        <f>T("1 ADMINISTRATION CIRCLE MS 6218")</f>
        <v>1 ADMINISTRATION CIRCLE MS 6218</v>
      </c>
      <c r="I2275" t="str">
        <f>T("CHINA LAKE")</f>
        <v>CHINA LAKE</v>
      </c>
      <c r="J2275" t="str">
        <f t="shared" si="924"/>
        <v>CA</v>
      </c>
      <c r="K2275" t="str">
        <f t="shared" ref="K2275:K2280" si="937">T("7609391648")</f>
        <v>7609391648</v>
      </c>
      <c r="L2275" t="str">
        <f>T("7609392564")</f>
        <v>7609392564</v>
      </c>
    </row>
    <row r="2276" spans="1:12" x14ac:dyDescent="0.35">
      <c r="A2276" t="str">
        <f t="shared" si="921"/>
        <v>NAVAIR WD</v>
      </c>
      <c r="B2276" t="str">
        <f t="shared" si="934"/>
        <v>CODE 41Q300D</v>
      </c>
      <c r="C2276" t="str">
        <f t="shared" si="935"/>
        <v>1900 N KNOX RD MS 6220</v>
      </c>
      <c r="D2276" t="str">
        <f t="shared" si="933"/>
        <v>CHINA LAKE</v>
      </c>
      <c r="E2276" t="str">
        <f t="shared" si="922"/>
        <v>CA</v>
      </c>
      <c r="F2276" t="str">
        <f t="shared" si="936"/>
        <v>935556106</v>
      </c>
      <c r="G2276" t="str">
        <f>T("CODE 491W00D")</f>
        <v>CODE 491W00D</v>
      </c>
      <c r="H2276" t="str">
        <f>T("1 ADMIN CIRCLE BLDG 20279")</f>
        <v>1 ADMIN CIRCLE BLDG 20279</v>
      </c>
      <c r="I2276" t="str">
        <f>T("RIDGECREST")</f>
        <v>RIDGECREST</v>
      </c>
      <c r="J2276" t="str">
        <f t="shared" si="924"/>
        <v>CA</v>
      </c>
      <c r="K2276" t="str">
        <f t="shared" si="937"/>
        <v>7609391648</v>
      </c>
      <c r="L2276" t="str">
        <f>T("7609399927")</f>
        <v>7609399927</v>
      </c>
    </row>
    <row r="2277" spans="1:12" x14ac:dyDescent="0.35">
      <c r="A2277" t="str">
        <f t="shared" si="921"/>
        <v>NAVAIR WD</v>
      </c>
      <c r="B2277" t="str">
        <f t="shared" si="934"/>
        <v>CODE 41Q300D</v>
      </c>
      <c r="C2277" t="str">
        <f t="shared" si="935"/>
        <v>1900 N KNOX RD MS 6220</v>
      </c>
      <c r="D2277" t="str">
        <f t="shared" si="933"/>
        <v>CHINA LAKE</v>
      </c>
      <c r="E2277" t="str">
        <f t="shared" si="922"/>
        <v>CA</v>
      </c>
      <c r="F2277" t="str">
        <f t="shared" si="936"/>
        <v>935556106</v>
      </c>
      <c r="G2277" t="str">
        <f>T("CODE 492100D")</f>
        <v>CODE 492100D</v>
      </c>
      <c r="H2277" t="str">
        <f>T("1900 N KNOX RD MS 6510")</f>
        <v>1900 N KNOX RD MS 6510</v>
      </c>
      <c r="I2277" t="str">
        <f>T("RIDGECREST")</f>
        <v>RIDGECREST</v>
      </c>
      <c r="J2277" t="str">
        <f t="shared" si="924"/>
        <v>CA</v>
      </c>
      <c r="K2277" t="str">
        <f t="shared" si="937"/>
        <v>7609391648</v>
      </c>
      <c r="L2277" t="str">
        <f>T("7609397564")</f>
        <v>7609397564</v>
      </c>
    </row>
    <row r="2278" spans="1:12" x14ac:dyDescent="0.35">
      <c r="A2278" t="str">
        <f t="shared" si="921"/>
        <v>NAVAIR WD</v>
      </c>
      <c r="B2278" t="str">
        <f t="shared" si="934"/>
        <v>CODE 41Q300D</v>
      </c>
      <c r="C2278" t="str">
        <f t="shared" si="935"/>
        <v>1900 N KNOX RD MS 6220</v>
      </c>
      <c r="D2278" t="str">
        <f t="shared" si="933"/>
        <v>CHINA LAKE</v>
      </c>
      <c r="E2278" t="str">
        <f t="shared" si="922"/>
        <v>CA</v>
      </c>
      <c r="F2278" t="str">
        <f t="shared" si="936"/>
        <v>935556106</v>
      </c>
      <c r="G2278" t="str">
        <f>T("CODE 492100D")</f>
        <v>CODE 492100D</v>
      </c>
      <c r="H2278" t="str">
        <f>T("1900 N KNOX RD MS 6630")</f>
        <v>1900 N KNOX RD MS 6630</v>
      </c>
      <c r="I2278" t="str">
        <f>T("RIDGECREST")</f>
        <v>RIDGECREST</v>
      </c>
      <c r="J2278" t="str">
        <f t="shared" si="924"/>
        <v>CA</v>
      </c>
      <c r="K2278" t="str">
        <f t="shared" si="937"/>
        <v>7609391648</v>
      </c>
      <c r="L2278" t="str">
        <f>T("7609391201")</f>
        <v>7609391201</v>
      </c>
    </row>
    <row r="2279" spans="1:12" x14ac:dyDescent="0.35">
      <c r="A2279" t="str">
        <f t="shared" si="921"/>
        <v>NAVAIR WD</v>
      </c>
      <c r="B2279" t="str">
        <f t="shared" si="934"/>
        <v>CODE 41Q300D</v>
      </c>
      <c r="C2279" t="str">
        <f t="shared" si="935"/>
        <v>1900 N KNOX RD MS 6220</v>
      </c>
      <c r="D2279" t="str">
        <f t="shared" si="933"/>
        <v>CHINA LAKE</v>
      </c>
      <c r="E2279" t="str">
        <f t="shared" si="922"/>
        <v>CA</v>
      </c>
      <c r="F2279" t="str">
        <f t="shared" si="936"/>
        <v>935556106</v>
      </c>
      <c r="G2279" t="str">
        <f>T("CODE 493600D")</f>
        <v>CODE 493600D</v>
      </c>
      <c r="H2279" t="str">
        <f>T("1900 N KNOX RD BLDG 00006 MS 6630")</f>
        <v>1900 N KNOX RD BLDG 00006 MS 6630</v>
      </c>
      <c r="I2279" t="str">
        <f>T("RIDGECREST")</f>
        <v>RIDGECREST</v>
      </c>
      <c r="J2279" t="str">
        <f t="shared" si="924"/>
        <v>CA</v>
      </c>
      <c r="K2279" t="str">
        <f t="shared" si="937"/>
        <v>7609391648</v>
      </c>
      <c r="L2279" t="str">
        <f>T("7609393865")</f>
        <v>7609393865</v>
      </c>
    </row>
    <row r="2280" spans="1:12" x14ac:dyDescent="0.35">
      <c r="A2280" t="str">
        <f t="shared" si="921"/>
        <v>NAVAIR WD</v>
      </c>
      <c r="B2280" t="str">
        <f>T("CODE 452300D")</f>
        <v>CODE 452300D</v>
      </c>
      <c r="C2280" t="str">
        <f>T("1900 N KNOX RD MS 6208")</f>
        <v>1900 N KNOX RD MS 6208</v>
      </c>
      <c r="D2280" t="str">
        <f t="shared" si="933"/>
        <v>CHINA LAKE</v>
      </c>
      <c r="E2280" t="str">
        <f t="shared" si="922"/>
        <v>CA</v>
      </c>
      <c r="F2280" t="str">
        <f t="shared" si="936"/>
        <v>935556106</v>
      </c>
      <c r="G2280" t="str">
        <f>T("CODE 452100D")</f>
        <v>CODE 452100D</v>
      </c>
      <c r="H2280" t="str">
        <f>T("1 ADMIN CIRCLS MS 6706")</f>
        <v>1 ADMIN CIRCLS MS 6706</v>
      </c>
      <c r="I2280" t="str">
        <f>T("CHINA LAKE")</f>
        <v>CHINA LAKE</v>
      </c>
      <c r="J2280" t="str">
        <f t="shared" si="924"/>
        <v>CA</v>
      </c>
      <c r="K2280" t="str">
        <f t="shared" si="937"/>
        <v>7609391648</v>
      </c>
      <c r="L2280" t="str">
        <f>T("7609390496")</f>
        <v>7609390496</v>
      </c>
    </row>
    <row r="2281" spans="1:12" x14ac:dyDescent="0.35">
      <c r="A2281" t="str">
        <f t="shared" si="921"/>
        <v>NAVAIR WD</v>
      </c>
      <c r="B2281" t="str">
        <f>T("CODE 452300D")</f>
        <v>CODE 452300D</v>
      </c>
      <c r="C2281" t="str">
        <f>T("1900 N KNOX RD MS 6208")</f>
        <v>1900 N KNOX RD MS 6208</v>
      </c>
      <c r="D2281" t="str">
        <f t="shared" si="933"/>
        <v>CHINA LAKE</v>
      </c>
      <c r="E2281" t="str">
        <f t="shared" si="922"/>
        <v>CA</v>
      </c>
      <c r="F2281" t="str">
        <f t="shared" si="936"/>
        <v>935556106</v>
      </c>
      <c r="G2281" t="str">
        <f>T("CODE 452300D")</f>
        <v>CODE 452300D</v>
      </c>
      <c r="H2281" t="str">
        <f>T("1900 N KNOX RD MS 6208")</f>
        <v>1900 N KNOX RD MS 6208</v>
      </c>
      <c r="I2281" t="str">
        <f>T("CHINA LAKE")</f>
        <v>CHINA LAKE</v>
      </c>
      <c r="J2281" t="str">
        <f t="shared" si="924"/>
        <v>CA</v>
      </c>
      <c r="K2281" t="str">
        <f>T("760-939-1648")</f>
        <v>760-939-1648</v>
      </c>
      <c r="L2281" t="str">
        <f>T("7609390012")</f>
        <v>7609390012</v>
      </c>
    </row>
    <row r="2282" spans="1:12" x14ac:dyDescent="0.35">
      <c r="A2282" t="str">
        <f t="shared" si="921"/>
        <v>NAVAIR WD</v>
      </c>
      <c r="B2282" t="str">
        <f>T("CODE 452300D")</f>
        <v>CODE 452300D</v>
      </c>
      <c r="C2282" t="str">
        <f>T("1900 N KNOX RD MS 6208")</f>
        <v>1900 N KNOX RD MS 6208</v>
      </c>
      <c r="D2282" t="str">
        <f t="shared" si="933"/>
        <v>CHINA LAKE</v>
      </c>
      <c r="E2282" t="str">
        <f t="shared" si="922"/>
        <v>CA</v>
      </c>
      <c r="F2282" t="str">
        <f t="shared" si="936"/>
        <v>935556106</v>
      </c>
      <c r="G2282" t="str">
        <f>T("CODE 452400D")</f>
        <v>CODE 452400D</v>
      </c>
      <c r="H2282" t="str">
        <f>T("1 ADMIN CIR BLDG 12")</f>
        <v>1 ADMIN CIR BLDG 12</v>
      </c>
      <c r="I2282" t="str">
        <f>T("RIDGECREST")</f>
        <v>RIDGECREST</v>
      </c>
      <c r="J2282" t="str">
        <f t="shared" si="924"/>
        <v>CA</v>
      </c>
      <c r="K2282" t="str">
        <f t="shared" ref="K2282:K2290" si="938">T("7609391648")</f>
        <v>7609391648</v>
      </c>
      <c r="L2282" t="str">
        <f>T("7609393112")</f>
        <v>7609393112</v>
      </c>
    </row>
    <row r="2283" spans="1:12" x14ac:dyDescent="0.35">
      <c r="A2283" t="str">
        <f t="shared" si="921"/>
        <v>NAVAIR WD</v>
      </c>
      <c r="B2283" t="str">
        <f>T("CODE 452300D")</f>
        <v>CODE 452300D</v>
      </c>
      <c r="C2283" t="str">
        <f>T("1900 N KNOX RD MS 6208")</f>
        <v>1900 N KNOX RD MS 6208</v>
      </c>
      <c r="D2283" t="str">
        <f t="shared" si="933"/>
        <v>CHINA LAKE</v>
      </c>
      <c r="E2283" t="str">
        <f t="shared" si="922"/>
        <v>CA</v>
      </c>
      <c r="F2283" t="str">
        <f t="shared" si="936"/>
        <v>935556106</v>
      </c>
      <c r="G2283" t="str">
        <f>T("CODE 45M000D")</f>
        <v>CODE 45M000D</v>
      </c>
      <c r="H2283" t="str">
        <f>T("507 E CORSAIR BLDG 20230 MS 2001")</f>
        <v>507 E CORSAIR BLDG 20230 MS 2001</v>
      </c>
      <c r="I2283" t="str">
        <f>T("RIDGECREST")</f>
        <v>RIDGECREST</v>
      </c>
      <c r="J2283" t="str">
        <f t="shared" si="924"/>
        <v>CA</v>
      </c>
      <c r="K2283" t="str">
        <f t="shared" si="938"/>
        <v>7609391648</v>
      </c>
      <c r="L2283" t="str">
        <f>T("7609398328")</f>
        <v>7609398328</v>
      </c>
    </row>
    <row r="2284" spans="1:12" x14ac:dyDescent="0.35">
      <c r="A2284" t="str">
        <f t="shared" si="921"/>
        <v>NAVAIR WD</v>
      </c>
      <c r="B2284" t="str">
        <f>T("CODE 45M000D")</f>
        <v>CODE 45M000D</v>
      </c>
      <c r="C2284" t="str">
        <f>T("507 E CORSAIR MS 2001")</f>
        <v>507 E CORSAIR MS 2001</v>
      </c>
      <c r="D2284" t="str">
        <f t="shared" si="933"/>
        <v>CHINA LAKE</v>
      </c>
      <c r="E2284" t="str">
        <f t="shared" si="922"/>
        <v>CA</v>
      </c>
      <c r="F2284" t="str">
        <f>T("935556110")</f>
        <v>935556110</v>
      </c>
      <c r="G2284" t="str">
        <f>T("CODE 254000D")</f>
        <v>CODE 254000D</v>
      </c>
      <c r="H2284" t="str">
        <f>T("429 E BOWEN RD MS 4015")</f>
        <v>429 E BOWEN RD MS 4015</v>
      </c>
      <c r="I2284" t="str">
        <f>T("RIDGECREST")</f>
        <v>RIDGECREST</v>
      </c>
      <c r="J2284" t="str">
        <f t="shared" si="924"/>
        <v>CA</v>
      </c>
      <c r="K2284" t="str">
        <f t="shared" si="938"/>
        <v>7609391648</v>
      </c>
      <c r="L2284" t="str">
        <f>T("7609391611")</f>
        <v>7609391611</v>
      </c>
    </row>
    <row r="2285" spans="1:12" x14ac:dyDescent="0.35">
      <c r="A2285" t="str">
        <f t="shared" si="921"/>
        <v>NAVAIR WD</v>
      </c>
      <c r="B2285" t="str">
        <f>T("CODE 45M000D")</f>
        <v>CODE 45M000D</v>
      </c>
      <c r="C2285" t="str">
        <f>T("507 E CORSAIR MS 2001")</f>
        <v>507 E CORSAIR MS 2001</v>
      </c>
      <c r="D2285" t="str">
        <f t="shared" si="933"/>
        <v>CHINA LAKE</v>
      </c>
      <c r="E2285" t="str">
        <f t="shared" si="922"/>
        <v>CA</v>
      </c>
      <c r="F2285" t="str">
        <f>T("935556110")</f>
        <v>935556110</v>
      </c>
      <c r="G2285" t="str">
        <f>T("CODE 45M000D")</f>
        <v>CODE 45M000D</v>
      </c>
      <c r="H2285" t="str">
        <f>T("507 E CORSAIR MS 2001")</f>
        <v>507 E CORSAIR MS 2001</v>
      </c>
      <c r="I2285" t="str">
        <f>T("CHINA LAKE")</f>
        <v>CHINA LAKE</v>
      </c>
      <c r="J2285" t="str">
        <f t="shared" si="924"/>
        <v>CA</v>
      </c>
      <c r="K2285" t="str">
        <f t="shared" si="938"/>
        <v>7609391648</v>
      </c>
      <c r="L2285" t="str">
        <f>T("7609393528")</f>
        <v>7609393528</v>
      </c>
    </row>
    <row r="2286" spans="1:12" x14ac:dyDescent="0.35">
      <c r="A2286" t="str">
        <f t="shared" si="921"/>
        <v>NAVAIR WD</v>
      </c>
      <c r="B2286" t="str">
        <f>T("CODE 45M000D")</f>
        <v>CODE 45M000D</v>
      </c>
      <c r="C2286" t="str">
        <f>T("507 E CORSAIR MS 2001")</f>
        <v>507 E CORSAIR MS 2001</v>
      </c>
      <c r="D2286" t="str">
        <f t="shared" si="933"/>
        <v>CHINA LAKE</v>
      </c>
      <c r="E2286" t="str">
        <f t="shared" si="922"/>
        <v>CA</v>
      </c>
      <c r="F2286" t="str">
        <f>T("935556110")</f>
        <v>935556110</v>
      </c>
      <c r="G2286" t="str">
        <f>T("CODE 45M700D")</f>
        <v>CODE 45M700D</v>
      </c>
      <c r="H2286" t="str">
        <f>T("507 E CORSAIR BLDG 20230")</f>
        <v>507 E CORSAIR BLDG 20230</v>
      </c>
      <c r="I2286" t="str">
        <f>T("RIDGECREST")</f>
        <v>RIDGECREST</v>
      </c>
      <c r="J2286" t="str">
        <f t="shared" si="924"/>
        <v>CA</v>
      </c>
      <c r="K2286" t="str">
        <f t="shared" si="938"/>
        <v>7609391648</v>
      </c>
      <c r="L2286" t="str">
        <f>T("7607935511")</f>
        <v>7607935511</v>
      </c>
    </row>
    <row r="2287" spans="1:12" x14ac:dyDescent="0.35">
      <c r="A2287" t="str">
        <f t="shared" si="921"/>
        <v>NAVAIR WD</v>
      </c>
      <c r="B2287" t="str">
        <f>T("CODE 472300D")</f>
        <v>CODE 472300D</v>
      </c>
      <c r="C2287" t="str">
        <f>T("1900 N KNOX RD MS 6613")</f>
        <v>1900 N KNOX RD MS 6613</v>
      </c>
      <c r="D2287" t="str">
        <f t="shared" si="933"/>
        <v>CHINA LAKE</v>
      </c>
      <c r="E2287" t="str">
        <f t="shared" si="922"/>
        <v>CA</v>
      </c>
      <c r="F2287" t="str">
        <f t="shared" ref="F2287:F2298" si="939">T("935556106")</f>
        <v>935556106</v>
      </c>
      <c r="G2287" t="str">
        <f>T("CODE 41M200D")</f>
        <v>CODE 41M200D</v>
      </c>
      <c r="H2287" t="str">
        <f>T("1900 N KNOX RD MS 6622")</f>
        <v>1900 N KNOX RD MS 6622</v>
      </c>
      <c r="I2287" t="str">
        <f>T("RIDGECREST")</f>
        <v>RIDGECREST</v>
      </c>
      <c r="J2287" t="str">
        <f t="shared" si="924"/>
        <v>CA</v>
      </c>
      <c r="K2287" t="str">
        <f t="shared" si="938"/>
        <v>7609391648</v>
      </c>
      <c r="L2287" t="str">
        <f>T("7609393845")</f>
        <v>7609393845</v>
      </c>
    </row>
    <row r="2288" spans="1:12" x14ac:dyDescent="0.35">
      <c r="A2288" t="str">
        <f t="shared" si="921"/>
        <v>NAVAIR WD</v>
      </c>
      <c r="B2288" t="str">
        <f>T("CODE 472300D")</f>
        <v>CODE 472300D</v>
      </c>
      <c r="C2288" t="str">
        <f>T("1900 N KNOX RD MS 6613")</f>
        <v>1900 N KNOX RD MS 6613</v>
      </c>
      <c r="D2288" t="str">
        <f t="shared" si="933"/>
        <v>CHINA LAKE</v>
      </c>
      <c r="E2288" t="str">
        <f t="shared" si="922"/>
        <v>CA</v>
      </c>
      <c r="F2288" t="str">
        <f t="shared" si="939"/>
        <v>935556106</v>
      </c>
      <c r="G2288" t="str">
        <f>T("CODE 472300D")</f>
        <v>CODE 472300D</v>
      </c>
      <c r="H2288" t="str">
        <f>T("1900 N KNOX RD MS 6613")</f>
        <v>1900 N KNOX RD MS 6613</v>
      </c>
      <c r="I2288" t="str">
        <f>T("CHINA LAKE")</f>
        <v>CHINA LAKE</v>
      </c>
      <c r="J2288" t="str">
        <f t="shared" si="924"/>
        <v>CA</v>
      </c>
      <c r="K2288" t="str">
        <f t="shared" si="938"/>
        <v>7609391648</v>
      </c>
      <c r="L2288" t="str">
        <f>T("7609390182")</f>
        <v>7609390182</v>
      </c>
    </row>
    <row r="2289" spans="1:12" x14ac:dyDescent="0.35">
      <c r="A2289" t="str">
        <f t="shared" si="921"/>
        <v>NAVAIR WD</v>
      </c>
      <c r="B2289" t="str">
        <f>T("CODE 472300D")</f>
        <v>CODE 472300D</v>
      </c>
      <c r="C2289" t="str">
        <f>T("1900 N KNOX RD MS 6613")</f>
        <v>1900 N KNOX RD MS 6613</v>
      </c>
      <c r="D2289" t="str">
        <f t="shared" si="933"/>
        <v>CHINA LAKE</v>
      </c>
      <c r="E2289" t="str">
        <f t="shared" si="922"/>
        <v>CA</v>
      </c>
      <c r="F2289" t="str">
        <f t="shared" si="939"/>
        <v>935556106</v>
      </c>
      <c r="G2289" t="str">
        <f>T("CODE 472300D")</f>
        <v>CODE 472300D</v>
      </c>
      <c r="H2289" t="str">
        <f>T("1900 N KNOX RD MS 6613")</f>
        <v>1900 N KNOX RD MS 6613</v>
      </c>
      <c r="I2289" t="str">
        <f>T("RIDGECREST")</f>
        <v>RIDGECREST</v>
      </c>
      <c r="J2289" t="str">
        <f t="shared" si="924"/>
        <v>CA</v>
      </c>
      <c r="K2289" t="str">
        <f t="shared" si="938"/>
        <v>7609391648</v>
      </c>
      <c r="L2289" t="str">
        <f>T("7609393447")</f>
        <v>7609393447</v>
      </c>
    </row>
    <row r="2290" spans="1:12" x14ac:dyDescent="0.35">
      <c r="A2290" t="str">
        <f t="shared" si="921"/>
        <v>NAVAIR WD</v>
      </c>
      <c r="B2290" t="str">
        <f>T("CODE 472400D")</f>
        <v>CODE 472400D</v>
      </c>
      <c r="C2290" t="str">
        <f>T("1900 N KNOX RD STOP 6614")</f>
        <v>1900 N KNOX RD STOP 6614</v>
      </c>
      <c r="D2290" t="str">
        <f t="shared" si="933"/>
        <v>CHINA LAKE</v>
      </c>
      <c r="E2290" t="str">
        <f t="shared" si="922"/>
        <v>CA</v>
      </c>
      <c r="F2290" t="str">
        <f t="shared" si="939"/>
        <v>935556106</v>
      </c>
      <c r="G2290" t="str">
        <f>T("CODE 471400D")</f>
        <v>CODE 471400D</v>
      </c>
      <c r="H2290" t="str">
        <f>T("1 ADMIN CIRCLE MS 6824")</f>
        <v>1 ADMIN CIRCLE MS 6824</v>
      </c>
      <c r="I2290" t="str">
        <f>T("RIDGECREST")</f>
        <v>RIDGECREST</v>
      </c>
      <c r="J2290" t="str">
        <f t="shared" si="924"/>
        <v>CA</v>
      </c>
      <c r="K2290" t="str">
        <f t="shared" si="938"/>
        <v>7609391648</v>
      </c>
      <c r="L2290" t="str">
        <f>T("7609393175")</f>
        <v>7609393175</v>
      </c>
    </row>
    <row r="2291" spans="1:12" x14ac:dyDescent="0.35">
      <c r="A2291" t="str">
        <f t="shared" si="921"/>
        <v>NAVAIR WD</v>
      </c>
      <c r="B2291" t="str">
        <f>T("CODE 472400D")</f>
        <v>CODE 472400D</v>
      </c>
      <c r="C2291" t="str">
        <f>T("1900 N KNOX RD STOP 6614")</f>
        <v>1900 N KNOX RD STOP 6614</v>
      </c>
      <c r="D2291" t="str">
        <f t="shared" si="933"/>
        <v>CHINA LAKE</v>
      </c>
      <c r="E2291" t="str">
        <f t="shared" si="922"/>
        <v>CA</v>
      </c>
      <c r="F2291" t="str">
        <f t="shared" si="939"/>
        <v>935556106</v>
      </c>
      <c r="G2291" t="str">
        <f>T("CODE 472400D")</f>
        <v>CODE 472400D</v>
      </c>
      <c r="H2291" t="str">
        <f>T("")</f>
        <v/>
      </c>
      <c r="I2291" t="str">
        <f>T("CHINA LAKE")</f>
        <v>CHINA LAKE</v>
      </c>
      <c r="J2291" t="str">
        <f t="shared" si="924"/>
        <v>CA</v>
      </c>
      <c r="K2291" t="str">
        <f>T("000000000000000000")</f>
        <v>000000000000000000</v>
      </c>
      <c r="L2291" t="str">
        <f>T("7609391539")</f>
        <v>7609391539</v>
      </c>
    </row>
    <row r="2292" spans="1:12" x14ac:dyDescent="0.35">
      <c r="A2292" t="str">
        <f t="shared" si="921"/>
        <v>NAVAIR WD</v>
      </c>
      <c r="B2292" t="str">
        <f>T("CODE 472400D")</f>
        <v>CODE 472400D</v>
      </c>
      <c r="C2292" t="str">
        <f>T("1900 N KNOX RD STOP 6614")</f>
        <v>1900 N KNOX RD STOP 6614</v>
      </c>
      <c r="D2292" t="str">
        <f t="shared" si="933"/>
        <v>CHINA LAKE</v>
      </c>
      <c r="E2292" t="str">
        <f t="shared" si="922"/>
        <v>CA</v>
      </c>
      <c r="F2292" t="str">
        <f t="shared" si="939"/>
        <v>935556106</v>
      </c>
      <c r="G2292" t="str">
        <f>T("CODE 472400D")</f>
        <v>CODE 472400D</v>
      </c>
      <c r="H2292" t="str">
        <f>T("1900 N KNOX RD MS 6614")</f>
        <v>1900 N KNOX RD MS 6614</v>
      </c>
      <c r="I2292" t="str">
        <f>T("RIDGECREST")</f>
        <v>RIDGECREST</v>
      </c>
      <c r="J2292" t="str">
        <f t="shared" si="924"/>
        <v>CA</v>
      </c>
      <c r="K2292" t="str">
        <f>T("7609391648")</f>
        <v>7609391648</v>
      </c>
      <c r="L2292" t="str">
        <f>T("7609393483")</f>
        <v>7609393483</v>
      </c>
    </row>
    <row r="2293" spans="1:12" x14ac:dyDescent="0.35">
      <c r="A2293" t="str">
        <f t="shared" si="921"/>
        <v>NAVAIR WD</v>
      </c>
      <c r="B2293" t="str">
        <f>T("CODE 472400D")</f>
        <v>CODE 472400D</v>
      </c>
      <c r="C2293" t="str">
        <f>T("1900 N KNOX RD STOP 6614")</f>
        <v>1900 N KNOX RD STOP 6614</v>
      </c>
      <c r="D2293" t="str">
        <f t="shared" si="933"/>
        <v>CHINA LAKE</v>
      </c>
      <c r="E2293" t="str">
        <f t="shared" si="922"/>
        <v>CA</v>
      </c>
      <c r="F2293" t="str">
        <f t="shared" si="939"/>
        <v>935556106</v>
      </c>
      <c r="G2293" t="str">
        <f>T("CODE 472400D")</f>
        <v>CODE 472400D</v>
      </c>
      <c r="H2293" t="str">
        <f>T("1900 N KNOX RD STOP 6614")</f>
        <v>1900 N KNOX RD STOP 6614</v>
      </c>
      <c r="I2293" t="str">
        <f>T("CHINA LAKE")</f>
        <v>CHINA LAKE</v>
      </c>
      <c r="J2293" t="str">
        <f t="shared" si="924"/>
        <v>CA</v>
      </c>
      <c r="K2293" t="str">
        <f>T("7609391648")</f>
        <v>7609391648</v>
      </c>
      <c r="L2293" t="str">
        <f>T("7609390131")</f>
        <v>7609390131</v>
      </c>
    </row>
    <row r="2294" spans="1:12" x14ac:dyDescent="0.35">
      <c r="A2294" t="str">
        <f t="shared" si="921"/>
        <v>NAVAIR WD</v>
      </c>
      <c r="B2294" t="str">
        <f>T("CODE 472400D")</f>
        <v>CODE 472400D</v>
      </c>
      <c r="C2294" t="str">
        <f>T("1900 N KNOX RD STOP 6614")</f>
        <v>1900 N KNOX RD STOP 6614</v>
      </c>
      <c r="D2294" t="str">
        <f t="shared" si="933"/>
        <v>CHINA LAKE</v>
      </c>
      <c r="E2294" t="str">
        <f t="shared" si="922"/>
        <v>CA</v>
      </c>
      <c r="F2294" t="str">
        <f t="shared" si="939"/>
        <v>935556106</v>
      </c>
      <c r="G2294" t="str">
        <f>T("CODE 472800D")</f>
        <v>CODE 472800D</v>
      </c>
      <c r="H2294" t="str">
        <f>T("BLDG 01043 ROOM 14I")</f>
        <v>BLDG 01043 ROOM 14I</v>
      </c>
      <c r="I2294" t="str">
        <f>T("CHINA LAKE")</f>
        <v>CHINA LAKE</v>
      </c>
      <c r="J2294" t="str">
        <f t="shared" si="924"/>
        <v>CA</v>
      </c>
      <c r="K2294" t="str">
        <f>T("7609391648")</f>
        <v>7609391648</v>
      </c>
      <c r="L2294" t="str">
        <f>T("7609390164")</f>
        <v>7609390164</v>
      </c>
    </row>
    <row r="2295" spans="1:12" x14ac:dyDescent="0.35">
      <c r="A2295" t="str">
        <f t="shared" si="921"/>
        <v>NAVAIR WD</v>
      </c>
      <c r="B2295" t="str">
        <f>T("CODE 472500D")</f>
        <v>CODE 472500D</v>
      </c>
      <c r="C2295" t="str">
        <f>T("1900 N KNOX RD")</f>
        <v>1900 N KNOX RD</v>
      </c>
      <c r="D2295" t="str">
        <f t="shared" si="933"/>
        <v>CHINA LAKE</v>
      </c>
      <c r="E2295" t="str">
        <f t="shared" si="922"/>
        <v>CA</v>
      </c>
      <c r="F2295" t="str">
        <f t="shared" si="939"/>
        <v>935556106</v>
      </c>
      <c r="G2295" t="str">
        <f>T("CODE 472200D")</f>
        <v>CODE 472200D</v>
      </c>
      <c r="H2295" t="str">
        <f>T("1 ADMIN CIRCLE BLDG 0005 RM S48")</f>
        <v>1 ADMIN CIRCLE BLDG 0005 RM S48</v>
      </c>
      <c r="I2295" t="str">
        <f>T("CHINA LAKE")</f>
        <v>CHINA LAKE</v>
      </c>
      <c r="J2295" t="str">
        <f t="shared" si="924"/>
        <v>CA</v>
      </c>
      <c r="K2295" t="str">
        <f>T("7609391648")</f>
        <v>7609391648</v>
      </c>
      <c r="L2295" t="str">
        <f>T("7609393426")</f>
        <v>7609393426</v>
      </c>
    </row>
    <row r="2296" spans="1:12" x14ac:dyDescent="0.35">
      <c r="A2296" t="str">
        <f t="shared" si="921"/>
        <v>NAVAIR WD</v>
      </c>
      <c r="B2296" t="str">
        <f>T("CODE 472500D")</f>
        <v>CODE 472500D</v>
      </c>
      <c r="C2296" t="str">
        <f>T("1900 N KNOX RD")</f>
        <v>1900 N KNOX RD</v>
      </c>
      <c r="D2296" t="str">
        <f t="shared" si="933"/>
        <v>CHINA LAKE</v>
      </c>
      <c r="E2296" t="str">
        <f t="shared" si="922"/>
        <v>CA</v>
      </c>
      <c r="F2296" t="str">
        <f t="shared" si="939"/>
        <v>935556106</v>
      </c>
      <c r="G2296" t="str">
        <f>T("CODE 472500D")</f>
        <v>CODE 472500D</v>
      </c>
      <c r="H2296" t="str">
        <f>T("1900 KNOX RD MS 6615")</f>
        <v>1900 KNOX RD MS 6615</v>
      </c>
      <c r="I2296" t="str">
        <f>T("CHINA LAKE")</f>
        <v>CHINA LAKE</v>
      </c>
      <c r="J2296" t="str">
        <f t="shared" si="924"/>
        <v>CA</v>
      </c>
      <c r="K2296" t="str">
        <f>T("7609391648")</f>
        <v>7609391648</v>
      </c>
      <c r="L2296" t="str">
        <f>T("7609394560")</f>
        <v>7609394560</v>
      </c>
    </row>
    <row r="2297" spans="1:12" x14ac:dyDescent="0.35">
      <c r="A2297" t="str">
        <f t="shared" ref="A2297:A2360" si="940">T("NAVAIR WD")</f>
        <v>NAVAIR WD</v>
      </c>
      <c r="B2297" t="str">
        <f>T("CODE 472500D")</f>
        <v>CODE 472500D</v>
      </c>
      <c r="C2297" t="str">
        <f>T("1900 N KNOX RD")</f>
        <v>1900 N KNOX RD</v>
      </c>
      <c r="D2297" t="str">
        <f t="shared" si="933"/>
        <v>CHINA LAKE</v>
      </c>
      <c r="E2297" t="str">
        <f t="shared" ref="E2297:E2360" si="941">T("CA")</f>
        <v>CA</v>
      </c>
      <c r="F2297" t="str">
        <f t="shared" si="939"/>
        <v>935556106</v>
      </c>
      <c r="G2297" t="str">
        <f>T("CODE 472500D")</f>
        <v>CODE 472500D</v>
      </c>
      <c r="H2297" t="str">
        <f>T("1900 N KNOX RD")</f>
        <v>1900 N KNOX RD</v>
      </c>
      <c r="I2297" t="str">
        <f>T("CHINA LAKE")</f>
        <v>CHINA LAKE</v>
      </c>
      <c r="J2297" t="str">
        <f t="shared" ref="J2297:J2360" si="942">T("CA")</f>
        <v>CA</v>
      </c>
      <c r="K2297" t="str">
        <f>T("000000000000000000")</f>
        <v>000000000000000000</v>
      </c>
      <c r="L2297" t="str">
        <f>T("7609394274")</f>
        <v>7609394274</v>
      </c>
    </row>
    <row r="2298" spans="1:12" x14ac:dyDescent="0.35">
      <c r="A2298" t="str">
        <f t="shared" si="940"/>
        <v>NAVAIR WD</v>
      </c>
      <c r="B2298" t="str">
        <f>T("CODE 472500D")</f>
        <v>CODE 472500D</v>
      </c>
      <c r="C2298" t="str">
        <f>T("1900 N KNOX RD")</f>
        <v>1900 N KNOX RD</v>
      </c>
      <c r="D2298" t="str">
        <f t="shared" si="933"/>
        <v>CHINA LAKE</v>
      </c>
      <c r="E2298" t="str">
        <f t="shared" si="941"/>
        <v>CA</v>
      </c>
      <c r="F2298" t="str">
        <f t="shared" si="939"/>
        <v>935556106</v>
      </c>
      <c r="G2298" t="str">
        <f>T("CODE 472500D")</f>
        <v>CODE 472500D</v>
      </c>
      <c r="H2298" t="str">
        <f>T("1900 N KNOX RD MS 6615")</f>
        <v>1900 N KNOX RD MS 6615</v>
      </c>
      <c r="I2298" t="str">
        <f>T("RIDGECREST")</f>
        <v>RIDGECREST</v>
      </c>
      <c r="J2298" t="str">
        <f t="shared" si="942"/>
        <v>CA</v>
      </c>
      <c r="K2298" t="str">
        <f t="shared" ref="K2298:K2303" si="943">T("7609391648")</f>
        <v>7609391648</v>
      </c>
      <c r="L2298" t="str">
        <f>T("7609396768")</f>
        <v>7609396768</v>
      </c>
    </row>
    <row r="2299" spans="1:12" x14ac:dyDescent="0.35">
      <c r="A2299" t="str">
        <f t="shared" si="940"/>
        <v>NAVAIR WD</v>
      </c>
      <c r="B2299" t="str">
        <f t="shared" ref="B2299:B2306" si="944">T("CODE 473100D")</f>
        <v>CODE 473100D</v>
      </c>
      <c r="C2299" t="str">
        <f t="shared" ref="C2299:C2306" si="945">T("2400 E PILOT PLANT M-S5101")</f>
        <v>2400 E PILOT PLANT M-S5101</v>
      </c>
      <c r="D2299" t="str">
        <f t="shared" si="933"/>
        <v>CHINA LAKE</v>
      </c>
      <c r="E2299" t="str">
        <f t="shared" si="941"/>
        <v>CA</v>
      </c>
      <c r="F2299" t="str">
        <f t="shared" ref="F2299:F2307" si="946">T("935556107")</f>
        <v>935556107</v>
      </c>
      <c r="G2299" t="str">
        <f>T("CODE 47300MD")</f>
        <v>CODE 47300MD</v>
      </c>
      <c r="H2299" t="str">
        <f>T("2400 E PILOT PLANT RD MS 5101")</f>
        <v>2400 E PILOT PLANT RD MS 5101</v>
      </c>
      <c r="I2299" t="str">
        <f>T("CHINA LAKE")</f>
        <v>CHINA LAKE</v>
      </c>
      <c r="J2299" t="str">
        <f t="shared" si="942"/>
        <v>CA</v>
      </c>
      <c r="K2299" t="str">
        <f t="shared" si="943"/>
        <v>7609391648</v>
      </c>
      <c r="L2299" t="str">
        <f>T("7609397761")</f>
        <v>7609397761</v>
      </c>
    </row>
    <row r="2300" spans="1:12" x14ac:dyDescent="0.35">
      <c r="A2300" t="str">
        <f t="shared" si="940"/>
        <v>NAVAIR WD</v>
      </c>
      <c r="B2300" t="str">
        <f t="shared" si="944"/>
        <v>CODE 473100D</v>
      </c>
      <c r="C2300" t="str">
        <f t="shared" si="945"/>
        <v>2400 E PILOT PLANT M-S5101</v>
      </c>
      <c r="D2300" t="str">
        <f t="shared" si="933"/>
        <v>CHINA LAKE</v>
      </c>
      <c r="E2300" t="str">
        <f t="shared" si="941"/>
        <v>CA</v>
      </c>
      <c r="F2300" t="str">
        <f t="shared" si="946"/>
        <v>935556107</v>
      </c>
      <c r="G2300" t="str">
        <f>T("CODE 47300MD")</f>
        <v>CODE 47300MD</v>
      </c>
      <c r="H2300" t="str">
        <f>T("BLDG 11010 MS 5100")</f>
        <v>BLDG 11010 MS 5100</v>
      </c>
      <c r="I2300" t="str">
        <f>T("CHINA LAKE")</f>
        <v>CHINA LAKE</v>
      </c>
      <c r="J2300" t="str">
        <f t="shared" si="942"/>
        <v>CA</v>
      </c>
      <c r="K2300" t="str">
        <f t="shared" si="943"/>
        <v>7609391648</v>
      </c>
      <c r="L2300" t="str">
        <f>T("7609393718")</f>
        <v>7609393718</v>
      </c>
    </row>
    <row r="2301" spans="1:12" x14ac:dyDescent="0.35">
      <c r="A2301" t="str">
        <f t="shared" si="940"/>
        <v>NAVAIR WD</v>
      </c>
      <c r="B2301" t="str">
        <f t="shared" si="944"/>
        <v>CODE 473100D</v>
      </c>
      <c r="C2301" t="str">
        <f t="shared" si="945"/>
        <v>2400 E PILOT PLANT M-S5101</v>
      </c>
      <c r="D2301" t="str">
        <f t="shared" si="933"/>
        <v>CHINA LAKE</v>
      </c>
      <c r="E2301" t="str">
        <f t="shared" si="941"/>
        <v>CA</v>
      </c>
      <c r="F2301" t="str">
        <f t="shared" si="946"/>
        <v>935556107</v>
      </c>
      <c r="G2301" t="str">
        <f>T("CODE 473100D")</f>
        <v>CODE 473100D</v>
      </c>
      <c r="H2301" t="str">
        <f>T("2400 E PILOT PLANT M-S5101")</f>
        <v>2400 E PILOT PLANT M-S5101</v>
      </c>
      <c r="I2301" t="str">
        <f>T("CHINA LAKE")</f>
        <v>CHINA LAKE</v>
      </c>
      <c r="J2301" t="str">
        <f t="shared" si="942"/>
        <v>CA</v>
      </c>
      <c r="K2301" t="str">
        <f t="shared" si="943"/>
        <v>7609391648</v>
      </c>
      <c r="L2301" t="str">
        <f>T("7609396363")</f>
        <v>7609396363</v>
      </c>
    </row>
    <row r="2302" spans="1:12" x14ac:dyDescent="0.35">
      <c r="A2302" t="str">
        <f t="shared" si="940"/>
        <v>NAVAIR WD</v>
      </c>
      <c r="B2302" t="str">
        <f t="shared" si="944"/>
        <v>CODE 473100D</v>
      </c>
      <c r="C2302" t="str">
        <f t="shared" si="945"/>
        <v>2400 E PILOT PLANT M-S5101</v>
      </c>
      <c r="D2302" t="str">
        <f t="shared" si="933"/>
        <v>CHINA LAKE</v>
      </c>
      <c r="E2302" t="str">
        <f t="shared" si="941"/>
        <v>CA</v>
      </c>
      <c r="F2302" t="str">
        <f t="shared" si="946"/>
        <v>935556107</v>
      </c>
      <c r="G2302" t="str">
        <f>T("CODE 47320MD MS 5302")</f>
        <v>CODE 47320MD MS 5302</v>
      </c>
      <c r="H2302" t="str">
        <f>T("2400 E PILOT PLANT RD BLDG 11570")</f>
        <v>2400 E PILOT PLANT RD BLDG 11570</v>
      </c>
      <c r="I2302" t="str">
        <f>T("RIDGECREST")</f>
        <v>RIDGECREST</v>
      </c>
      <c r="J2302" t="str">
        <f t="shared" si="942"/>
        <v>CA</v>
      </c>
      <c r="K2302" t="str">
        <f t="shared" si="943"/>
        <v>7609391648</v>
      </c>
      <c r="L2302" t="str">
        <f>T("7609397549")</f>
        <v>7609397549</v>
      </c>
    </row>
    <row r="2303" spans="1:12" x14ac:dyDescent="0.35">
      <c r="A2303" t="str">
        <f t="shared" si="940"/>
        <v>NAVAIR WD</v>
      </c>
      <c r="B2303" t="str">
        <f t="shared" si="944"/>
        <v>CODE 473100D</v>
      </c>
      <c r="C2303" t="str">
        <f t="shared" si="945"/>
        <v>2400 E PILOT PLANT M-S5101</v>
      </c>
      <c r="D2303" t="str">
        <f t="shared" si="933"/>
        <v>CHINA LAKE</v>
      </c>
      <c r="E2303" t="str">
        <f t="shared" si="941"/>
        <v>CA</v>
      </c>
      <c r="F2303" t="str">
        <f t="shared" si="946"/>
        <v>935556107</v>
      </c>
      <c r="G2303" t="str">
        <f>T("CODE 47330MD")</f>
        <v>CODE 47330MD</v>
      </c>
      <c r="H2303" t="str">
        <f>T("2400 E PILOT PLANT RD MS 5303")</f>
        <v>2400 E PILOT PLANT RD MS 5303</v>
      </c>
      <c r="I2303" t="str">
        <f>T("RIDGECREST")</f>
        <v>RIDGECREST</v>
      </c>
      <c r="J2303" t="str">
        <f t="shared" si="942"/>
        <v>CA</v>
      </c>
      <c r="K2303" t="str">
        <f t="shared" si="943"/>
        <v>7609391648</v>
      </c>
      <c r="L2303" t="str">
        <f>T("7609397816")</f>
        <v>7609397816</v>
      </c>
    </row>
    <row r="2304" spans="1:12" x14ac:dyDescent="0.35">
      <c r="A2304" t="str">
        <f t="shared" si="940"/>
        <v>NAVAIR WD</v>
      </c>
      <c r="B2304" t="str">
        <f t="shared" si="944"/>
        <v>CODE 473100D</v>
      </c>
      <c r="C2304" t="str">
        <f t="shared" si="945"/>
        <v>2400 E PILOT PLANT M-S5101</v>
      </c>
      <c r="D2304" t="str">
        <f t="shared" si="933"/>
        <v>CHINA LAKE</v>
      </c>
      <c r="E2304" t="str">
        <f t="shared" si="941"/>
        <v>CA</v>
      </c>
      <c r="F2304" t="str">
        <f t="shared" si="946"/>
        <v>935556107</v>
      </c>
      <c r="G2304" t="str">
        <f>T("CODE 47330MD")</f>
        <v>CODE 47330MD</v>
      </c>
      <c r="H2304" t="str">
        <f>T("2400 E PILOT PLANT RD MS 5303")</f>
        <v>2400 E PILOT PLANT RD MS 5303</v>
      </c>
      <c r="I2304" t="str">
        <f>T("RIDGECREST")</f>
        <v>RIDGECREST</v>
      </c>
      <c r="J2304" t="str">
        <f t="shared" si="942"/>
        <v>CA</v>
      </c>
      <c r="K2304" t="str">
        <f>T("76093976316")</f>
        <v>76093976316</v>
      </c>
      <c r="L2304" t="str">
        <f>T("1111111111")</f>
        <v>1111111111</v>
      </c>
    </row>
    <row r="2305" spans="1:12" x14ac:dyDescent="0.35">
      <c r="A2305" t="str">
        <f t="shared" si="940"/>
        <v>NAVAIR WD</v>
      </c>
      <c r="B2305" t="str">
        <f t="shared" si="944"/>
        <v>CODE 473100D</v>
      </c>
      <c r="C2305" t="str">
        <f t="shared" si="945"/>
        <v>2400 E PILOT PLANT M-S5101</v>
      </c>
      <c r="D2305" t="str">
        <f t="shared" si="933"/>
        <v>CHINA LAKE</v>
      </c>
      <c r="E2305" t="str">
        <f t="shared" si="941"/>
        <v>CA</v>
      </c>
      <c r="F2305" t="str">
        <f t="shared" si="946"/>
        <v>935556107</v>
      </c>
      <c r="G2305" t="str">
        <f>T("CODE 476400D")</f>
        <v>CODE 476400D</v>
      </c>
      <c r="H2305" t="str">
        <f>T("1900 N KNOX RD MS 6622")</f>
        <v>1900 N KNOX RD MS 6622</v>
      </c>
      <c r="I2305" t="str">
        <f>T("CHINA LAKE")</f>
        <v>CHINA LAKE</v>
      </c>
      <c r="J2305" t="str">
        <f t="shared" si="942"/>
        <v>CA</v>
      </c>
      <c r="K2305" t="str">
        <f>T("7609391648")</f>
        <v>7609391648</v>
      </c>
      <c r="L2305" t="str">
        <f>T("7609396267")</f>
        <v>7609396267</v>
      </c>
    </row>
    <row r="2306" spans="1:12" x14ac:dyDescent="0.35">
      <c r="A2306" t="str">
        <f t="shared" si="940"/>
        <v>NAVAIR WD</v>
      </c>
      <c r="B2306" t="str">
        <f t="shared" si="944"/>
        <v>CODE 473100D</v>
      </c>
      <c r="C2306" t="str">
        <f t="shared" si="945"/>
        <v>2400 E PILOT PLANT M-S5101</v>
      </c>
      <c r="D2306" t="str">
        <f t="shared" si="933"/>
        <v>CHINA LAKE</v>
      </c>
      <c r="E2306" t="str">
        <f t="shared" si="941"/>
        <v>CA</v>
      </c>
      <c r="F2306" t="str">
        <f t="shared" si="946"/>
        <v>935556107</v>
      </c>
      <c r="G2306" t="str">
        <f>T("CODE 47N100D M/S 5502")</f>
        <v>CODE 47N100D M/S 5502</v>
      </c>
      <c r="H2306" t="str">
        <f>T("2400 E PILOT PLANT RD BLDG 11580")</f>
        <v>2400 E PILOT PLANT RD BLDG 11580</v>
      </c>
      <c r="I2306" t="str">
        <f>T("RIDGECREST")</f>
        <v>RIDGECREST</v>
      </c>
      <c r="J2306" t="str">
        <f t="shared" si="942"/>
        <v>CA</v>
      </c>
      <c r="K2306" t="str">
        <f>T("7609391648")</f>
        <v>7609391648</v>
      </c>
      <c r="L2306" t="str">
        <f>T("7609397614")</f>
        <v>7609397614</v>
      </c>
    </row>
    <row r="2307" spans="1:12" x14ac:dyDescent="0.35">
      <c r="A2307" t="str">
        <f t="shared" si="940"/>
        <v>NAVAIR WD</v>
      </c>
      <c r="B2307" t="str">
        <f>T("CODE 474100D")</f>
        <v>CODE 474100D</v>
      </c>
      <c r="C2307" t="str">
        <f>T("2400 PILOT PLANT RD 5202")</f>
        <v>2400 PILOT PLANT RD 5202</v>
      </c>
      <c r="D2307" t="str">
        <f>T("RIDGECREST")</f>
        <v>RIDGECREST</v>
      </c>
      <c r="E2307" t="str">
        <f t="shared" si="941"/>
        <v>CA</v>
      </c>
      <c r="F2307" t="str">
        <f t="shared" si="946"/>
        <v>935556107</v>
      </c>
      <c r="G2307" t="str">
        <f>T("CODE 474100D")</f>
        <v>CODE 474100D</v>
      </c>
      <c r="H2307" t="str">
        <f>T("2400 PILOT PLANT RD 5202")</f>
        <v>2400 PILOT PLANT RD 5202</v>
      </c>
      <c r="I2307" t="str">
        <f>T("RIDGECREST")</f>
        <v>RIDGECREST</v>
      </c>
      <c r="J2307" t="str">
        <f t="shared" si="942"/>
        <v>CA</v>
      </c>
      <c r="K2307" t="str">
        <f>T("7609391648")</f>
        <v>7609391648</v>
      </c>
      <c r="L2307" t="str">
        <f>T("7609397463")</f>
        <v>7609397463</v>
      </c>
    </row>
    <row r="2308" spans="1:12" x14ac:dyDescent="0.35">
      <c r="A2308" t="str">
        <f t="shared" si="940"/>
        <v>NAVAIR WD</v>
      </c>
      <c r="B2308" t="str">
        <f>T("CODE 475000D")</f>
        <v>CODE 475000D</v>
      </c>
      <c r="C2308" t="str">
        <f>T("1900 N KNOX RD MS 6621")</f>
        <v>1900 N KNOX RD MS 6621</v>
      </c>
      <c r="D2308" t="str">
        <f>T("RIDGECREST")</f>
        <v>RIDGECREST</v>
      </c>
      <c r="E2308" t="str">
        <f t="shared" si="941"/>
        <v>CA</v>
      </c>
      <c r="F2308" t="str">
        <f t="shared" ref="F2308:F2320" si="947">T("935556106")</f>
        <v>935556106</v>
      </c>
      <c r="G2308" t="str">
        <f>T("CODE 475000D")</f>
        <v>CODE 475000D</v>
      </c>
      <c r="H2308" t="str">
        <f>T("1900 N KNOX RD MS 6621")</f>
        <v>1900 N KNOX RD MS 6621</v>
      </c>
      <c r="I2308" t="str">
        <f>T("RIDGECREST")</f>
        <v>RIDGECREST</v>
      </c>
      <c r="J2308" t="str">
        <f t="shared" si="942"/>
        <v>CA</v>
      </c>
      <c r="K2308" t="str">
        <f>T("000000000000000000")</f>
        <v>000000000000000000</v>
      </c>
      <c r="L2308" t="str">
        <f>T("7609390552")</f>
        <v>7609390552</v>
      </c>
    </row>
    <row r="2309" spans="1:12" x14ac:dyDescent="0.35">
      <c r="A2309" t="str">
        <f t="shared" si="940"/>
        <v>NAVAIR WD</v>
      </c>
      <c r="B2309" t="str">
        <f>T("CODE 475000D")</f>
        <v>CODE 475000D</v>
      </c>
      <c r="C2309" t="str">
        <f>T("1900 N KNOX RD MS 6621")</f>
        <v>1900 N KNOX RD MS 6621</v>
      </c>
      <c r="D2309" t="str">
        <f>T("RIDGECREST")</f>
        <v>RIDGECREST</v>
      </c>
      <c r="E2309" t="str">
        <f t="shared" si="941"/>
        <v>CA</v>
      </c>
      <c r="F2309" t="str">
        <f t="shared" si="947"/>
        <v>935556106</v>
      </c>
      <c r="G2309" t="str">
        <f>T("CODE 475600D")</f>
        <v>CODE 475600D</v>
      </c>
      <c r="H2309" t="str">
        <f>T("1900 N KNOX RD MS 6621")</f>
        <v>1900 N KNOX RD MS 6621</v>
      </c>
      <c r="I2309" t="str">
        <f>T("RIDGECREST")</f>
        <v>RIDGECREST</v>
      </c>
      <c r="J2309" t="str">
        <f t="shared" si="942"/>
        <v>CA</v>
      </c>
      <c r="K2309" t="str">
        <f t="shared" ref="K2309:K2317" si="948">T("7609391648")</f>
        <v>7609391648</v>
      </c>
      <c r="L2309" t="str">
        <f>T("7609390593")</f>
        <v>7609390593</v>
      </c>
    </row>
    <row r="2310" spans="1:12" x14ac:dyDescent="0.35">
      <c r="A2310" t="str">
        <f t="shared" si="940"/>
        <v>NAVAIR WD</v>
      </c>
      <c r="B2310" t="str">
        <f>T("CODE 475500D")</f>
        <v>CODE 475500D</v>
      </c>
      <c r="C2310" t="str">
        <f>T("1900 N KNOX RD MS6621")</f>
        <v>1900 N KNOX RD MS6621</v>
      </c>
      <c r="D2310" t="str">
        <f>T("RIDGECREST")</f>
        <v>RIDGECREST</v>
      </c>
      <c r="E2310" t="str">
        <f t="shared" si="941"/>
        <v>CA</v>
      </c>
      <c r="F2310" t="str">
        <f t="shared" si="947"/>
        <v>935556106</v>
      </c>
      <c r="G2310" t="str">
        <f>T("CODE 475500D")</f>
        <v>CODE 475500D</v>
      </c>
      <c r="H2310" t="str">
        <f>T("1900 N KNOX RD MS6621")</f>
        <v>1900 N KNOX RD MS6621</v>
      </c>
      <c r="I2310" t="str">
        <f>T("RIDGECREST")</f>
        <v>RIDGECREST</v>
      </c>
      <c r="J2310" t="str">
        <f t="shared" si="942"/>
        <v>CA</v>
      </c>
      <c r="K2310" t="str">
        <f t="shared" si="948"/>
        <v>7609391648</v>
      </c>
      <c r="L2310" t="str">
        <f>T("7609390552")</f>
        <v>7609390552</v>
      </c>
    </row>
    <row r="2311" spans="1:12" x14ac:dyDescent="0.35">
      <c r="A2311" t="str">
        <f t="shared" si="940"/>
        <v>NAVAIR WD</v>
      </c>
      <c r="B2311" t="str">
        <f>T("CODE 475500D")</f>
        <v>CODE 475500D</v>
      </c>
      <c r="C2311" t="str">
        <f>T("1900 N KNOX RD MS6621")</f>
        <v>1900 N KNOX RD MS6621</v>
      </c>
      <c r="D2311" t="str">
        <f>T("RIDGECREST")</f>
        <v>RIDGECREST</v>
      </c>
      <c r="E2311" t="str">
        <f t="shared" si="941"/>
        <v>CA</v>
      </c>
      <c r="F2311" t="str">
        <f t="shared" si="947"/>
        <v>935556106</v>
      </c>
      <c r="G2311" t="str">
        <f t="shared" ref="G2311:G2316" si="949">T("CODE 475600D")</f>
        <v>CODE 475600D</v>
      </c>
      <c r="H2311" t="str">
        <f t="shared" ref="H2311:H2320" si="950">T("1900 N KNOX RD MS 6621")</f>
        <v>1900 N KNOX RD MS 6621</v>
      </c>
      <c r="I2311" t="str">
        <f>T("CHINA LAKE")</f>
        <v>CHINA LAKE</v>
      </c>
      <c r="J2311" t="str">
        <f t="shared" si="942"/>
        <v>CA</v>
      </c>
      <c r="K2311" t="str">
        <f t="shared" si="948"/>
        <v>7609391648</v>
      </c>
      <c r="L2311" t="str">
        <f>T("7609396206")</f>
        <v>7609396206</v>
      </c>
    </row>
    <row r="2312" spans="1:12" x14ac:dyDescent="0.35">
      <c r="A2312" t="str">
        <f t="shared" si="940"/>
        <v>NAVAIR WD</v>
      </c>
      <c r="B2312" t="str">
        <f t="shared" ref="B2312:B2320" si="951">T("CODE 475600D")</f>
        <v>CODE 475600D</v>
      </c>
      <c r="C2312" t="str">
        <f t="shared" ref="C2312:C2320" si="952">T("1900 N KNOX RD MS 6621")</f>
        <v>1900 N KNOX RD MS 6621</v>
      </c>
      <c r="D2312" t="str">
        <f t="shared" ref="D2312:D2317" si="953">T("CHINA LAKE")</f>
        <v>CHINA LAKE</v>
      </c>
      <c r="E2312" t="str">
        <f t="shared" si="941"/>
        <v>CA</v>
      </c>
      <c r="F2312" t="str">
        <f t="shared" si="947"/>
        <v>935556106</v>
      </c>
      <c r="G2312" t="str">
        <f t="shared" si="949"/>
        <v>CODE 475600D</v>
      </c>
      <c r="H2312" t="str">
        <f t="shared" si="950"/>
        <v>1900 N KNOX RD MS 6621</v>
      </c>
      <c r="I2312" t="str">
        <f>T("CHINA LAKE")</f>
        <v>CHINA LAKE</v>
      </c>
      <c r="J2312" t="str">
        <f t="shared" si="942"/>
        <v>CA</v>
      </c>
      <c r="K2312" t="str">
        <f t="shared" si="948"/>
        <v>7609391648</v>
      </c>
      <c r="L2312" t="str">
        <f>T("7609399230")</f>
        <v>7609399230</v>
      </c>
    </row>
    <row r="2313" spans="1:12" x14ac:dyDescent="0.35">
      <c r="A2313" t="str">
        <f t="shared" si="940"/>
        <v>NAVAIR WD</v>
      </c>
      <c r="B2313" t="str">
        <f t="shared" si="951"/>
        <v>CODE 475600D</v>
      </c>
      <c r="C2313" t="str">
        <f t="shared" si="952"/>
        <v>1900 N KNOX RD MS 6621</v>
      </c>
      <c r="D2313" t="str">
        <f t="shared" si="953"/>
        <v>CHINA LAKE</v>
      </c>
      <c r="E2313" t="str">
        <f t="shared" si="941"/>
        <v>CA</v>
      </c>
      <c r="F2313" t="str">
        <f t="shared" si="947"/>
        <v>935556106</v>
      </c>
      <c r="G2313" t="str">
        <f t="shared" si="949"/>
        <v>CODE 475600D</v>
      </c>
      <c r="H2313" t="str">
        <f t="shared" si="950"/>
        <v>1900 N KNOX RD MS 6621</v>
      </c>
      <c r="I2313" t="str">
        <f>T("RIDGECREST")</f>
        <v>RIDGECREST</v>
      </c>
      <c r="J2313" t="str">
        <f t="shared" si="942"/>
        <v>CA</v>
      </c>
      <c r="K2313" t="str">
        <f t="shared" si="948"/>
        <v>7609391648</v>
      </c>
      <c r="L2313" t="str">
        <f>T("7609390377")</f>
        <v>7609390377</v>
      </c>
    </row>
    <row r="2314" spans="1:12" x14ac:dyDescent="0.35">
      <c r="A2314" t="str">
        <f t="shared" si="940"/>
        <v>NAVAIR WD</v>
      </c>
      <c r="B2314" t="str">
        <f t="shared" si="951"/>
        <v>CODE 475600D</v>
      </c>
      <c r="C2314" t="str">
        <f t="shared" si="952"/>
        <v>1900 N KNOX RD MS 6621</v>
      </c>
      <c r="D2314" t="str">
        <f t="shared" si="953"/>
        <v>CHINA LAKE</v>
      </c>
      <c r="E2314" t="str">
        <f t="shared" si="941"/>
        <v>CA</v>
      </c>
      <c r="F2314" t="str">
        <f t="shared" si="947"/>
        <v>935556106</v>
      </c>
      <c r="G2314" t="str">
        <f t="shared" si="949"/>
        <v>CODE 475600D</v>
      </c>
      <c r="H2314" t="str">
        <f t="shared" si="950"/>
        <v>1900 N KNOX RD MS 6621</v>
      </c>
      <c r="I2314" t="str">
        <f>T("RIDGECREST")</f>
        <v>RIDGECREST</v>
      </c>
      <c r="J2314" t="str">
        <f t="shared" si="942"/>
        <v>CA</v>
      </c>
      <c r="K2314" t="str">
        <f t="shared" si="948"/>
        <v>7609391648</v>
      </c>
      <c r="L2314" t="str">
        <f>T("7609390593")</f>
        <v>7609390593</v>
      </c>
    </row>
    <row r="2315" spans="1:12" x14ac:dyDescent="0.35">
      <c r="A2315" t="str">
        <f t="shared" si="940"/>
        <v>NAVAIR WD</v>
      </c>
      <c r="B2315" t="str">
        <f t="shared" si="951"/>
        <v>CODE 475600D</v>
      </c>
      <c r="C2315" t="str">
        <f t="shared" si="952"/>
        <v>1900 N KNOX RD MS 6621</v>
      </c>
      <c r="D2315" t="str">
        <f t="shared" si="953"/>
        <v>CHINA LAKE</v>
      </c>
      <c r="E2315" t="str">
        <f t="shared" si="941"/>
        <v>CA</v>
      </c>
      <c r="F2315" t="str">
        <f t="shared" si="947"/>
        <v>935556106</v>
      </c>
      <c r="G2315" t="str">
        <f t="shared" si="949"/>
        <v>CODE 475600D</v>
      </c>
      <c r="H2315" t="str">
        <f t="shared" si="950"/>
        <v>1900 N KNOX RD MS 6621</v>
      </c>
      <c r="I2315" t="str">
        <f>T("RIDGECREST")</f>
        <v>RIDGECREST</v>
      </c>
      <c r="J2315" t="str">
        <f t="shared" si="942"/>
        <v>CA</v>
      </c>
      <c r="K2315" t="str">
        <f t="shared" si="948"/>
        <v>7609391648</v>
      </c>
      <c r="L2315" t="str">
        <f>T("7609391360")</f>
        <v>7609391360</v>
      </c>
    </row>
    <row r="2316" spans="1:12" x14ac:dyDescent="0.35">
      <c r="A2316" t="str">
        <f t="shared" si="940"/>
        <v>NAVAIR WD</v>
      </c>
      <c r="B2316" t="str">
        <f t="shared" si="951"/>
        <v>CODE 475600D</v>
      </c>
      <c r="C2316" t="str">
        <f t="shared" si="952"/>
        <v>1900 N KNOX RD MS 6621</v>
      </c>
      <c r="D2316" t="str">
        <f t="shared" si="953"/>
        <v>CHINA LAKE</v>
      </c>
      <c r="E2316" t="str">
        <f t="shared" si="941"/>
        <v>CA</v>
      </c>
      <c r="F2316" t="str">
        <f t="shared" si="947"/>
        <v>935556106</v>
      </c>
      <c r="G2316" t="str">
        <f t="shared" si="949"/>
        <v>CODE 475600D</v>
      </c>
      <c r="H2316" t="str">
        <f t="shared" si="950"/>
        <v>1900 N KNOX RD MS 6621</v>
      </c>
      <c r="I2316" t="str">
        <f>T("RIDGECREST")</f>
        <v>RIDGECREST</v>
      </c>
      <c r="J2316" t="str">
        <f t="shared" si="942"/>
        <v>CA</v>
      </c>
      <c r="K2316" t="str">
        <f t="shared" si="948"/>
        <v>7609391648</v>
      </c>
      <c r="L2316" t="str">
        <f>T("7609392136")</f>
        <v>7609392136</v>
      </c>
    </row>
    <row r="2317" spans="1:12" x14ac:dyDescent="0.35">
      <c r="A2317" t="str">
        <f t="shared" si="940"/>
        <v>NAVAIR WD</v>
      </c>
      <c r="B2317" t="str">
        <f t="shared" si="951"/>
        <v>CODE 475600D</v>
      </c>
      <c r="C2317" t="str">
        <f t="shared" si="952"/>
        <v>1900 N KNOX RD MS 6621</v>
      </c>
      <c r="D2317" t="str">
        <f t="shared" si="953"/>
        <v>CHINA LAKE</v>
      </c>
      <c r="E2317" t="str">
        <f t="shared" si="941"/>
        <v>CA</v>
      </c>
      <c r="F2317" t="str">
        <f t="shared" si="947"/>
        <v>935556106</v>
      </c>
      <c r="G2317" t="str">
        <f>T("CODE 485600D")</f>
        <v>CODE 485600D</v>
      </c>
      <c r="H2317" t="str">
        <f t="shared" si="950"/>
        <v>1900 N KNOX RD MS 6621</v>
      </c>
      <c r="I2317" t="str">
        <f>T("CHINA LAKE")</f>
        <v>CHINA LAKE</v>
      </c>
      <c r="J2317" t="str">
        <f t="shared" si="942"/>
        <v>CA</v>
      </c>
      <c r="K2317" t="str">
        <f t="shared" si="948"/>
        <v>7609391648</v>
      </c>
      <c r="L2317" t="str">
        <f>T("7609393805")</f>
        <v>7609393805</v>
      </c>
    </row>
    <row r="2318" spans="1:12" x14ac:dyDescent="0.35">
      <c r="A2318" t="str">
        <f t="shared" si="940"/>
        <v>NAVAIR WD</v>
      </c>
      <c r="B2318" t="str">
        <f t="shared" si="951"/>
        <v>CODE 475600D</v>
      </c>
      <c r="C2318" t="str">
        <f t="shared" si="952"/>
        <v>1900 N KNOX RD MS 6621</v>
      </c>
      <c r="D2318" t="str">
        <f t="shared" ref="D2318:D2325" si="954">T("RIDGECREST")</f>
        <v>RIDGECREST</v>
      </c>
      <c r="E2318" t="str">
        <f t="shared" si="941"/>
        <v>CA</v>
      </c>
      <c r="F2318" t="str">
        <f t="shared" si="947"/>
        <v>935556106</v>
      </c>
      <c r="G2318" t="str">
        <f>T("CODE 475600D")</f>
        <v>CODE 475600D</v>
      </c>
      <c r="H2318" t="str">
        <f t="shared" si="950"/>
        <v>1900 N KNOX RD MS 6621</v>
      </c>
      <c r="I2318" t="str">
        <f t="shared" ref="I2318:I2325" si="955">T("RIDGECREST")</f>
        <v>RIDGECREST</v>
      </c>
      <c r="J2318" t="str">
        <f t="shared" si="942"/>
        <v>CA</v>
      </c>
      <c r="K2318" t="str">
        <f>T("000000000000000000")</f>
        <v>000000000000000000</v>
      </c>
      <c r="L2318" t="str">
        <f>T("7609396205")</f>
        <v>7609396205</v>
      </c>
    </row>
    <row r="2319" spans="1:12" x14ac:dyDescent="0.35">
      <c r="A2319" t="str">
        <f t="shared" si="940"/>
        <v>NAVAIR WD</v>
      </c>
      <c r="B2319" t="str">
        <f t="shared" si="951"/>
        <v>CODE 475600D</v>
      </c>
      <c r="C2319" t="str">
        <f t="shared" si="952"/>
        <v>1900 N KNOX RD MS 6621</v>
      </c>
      <c r="D2319" t="str">
        <f t="shared" si="954"/>
        <v>RIDGECREST</v>
      </c>
      <c r="E2319" t="str">
        <f t="shared" si="941"/>
        <v>CA</v>
      </c>
      <c r="F2319" t="str">
        <f t="shared" si="947"/>
        <v>935556106</v>
      </c>
      <c r="G2319" t="str">
        <f>T("CODE 475600D")</f>
        <v>CODE 475600D</v>
      </c>
      <c r="H2319" t="str">
        <f t="shared" si="950"/>
        <v>1900 N KNOX RD MS 6621</v>
      </c>
      <c r="I2319" t="str">
        <f t="shared" si="955"/>
        <v>RIDGECREST</v>
      </c>
      <c r="J2319" t="str">
        <f t="shared" si="942"/>
        <v>CA</v>
      </c>
      <c r="K2319" t="str">
        <f>T("7609391648")</f>
        <v>7609391648</v>
      </c>
      <c r="L2319" t="str">
        <f>T("7609391360")</f>
        <v>7609391360</v>
      </c>
    </row>
    <row r="2320" spans="1:12" x14ac:dyDescent="0.35">
      <c r="A2320" t="str">
        <f t="shared" si="940"/>
        <v>NAVAIR WD</v>
      </c>
      <c r="B2320" t="str">
        <f t="shared" si="951"/>
        <v>CODE 475600D</v>
      </c>
      <c r="C2320" t="str">
        <f t="shared" si="952"/>
        <v>1900 N KNOX RD MS 6621</v>
      </c>
      <c r="D2320" t="str">
        <f t="shared" si="954"/>
        <v>RIDGECREST</v>
      </c>
      <c r="E2320" t="str">
        <f t="shared" si="941"/>
        <v>CA</v>
      </c>
      <c r="F2320" t="str">
        <f t="shared" si="947"/>
        <v>935556106</v>
      </c>
      <c r="G2320" t="str">
        <f>T("CODE 475600D")</f>
        <v>CODE 475600D</v>
      </c>
      <c r="H2320" t="str">
        <f t="shared" si="950"/>
        <v>1900 N KNOX RD MS 6621</v>
      </c>
      <c r="I2320" t="str">
        <f t="shared" si="955"/>
        <v>RIDGECREST</v>
      </c>
      <c r="J2320" t="str">
        <f t="shared" si="942"/>
        <v>CA</v>
      </c>
      <c r="K2320" t="str">
        <f>T("7609391648")</f>
        <v>7609391648</v>
      </c>
      <c r="L2320" t="str">
        <f>T("7609395391")</f>
        <v>7609395391</v>
      </c>
    </row>
    <row r="2321" spans="1:12" x14ac:dyDescent="0.35">
      <c r="A2321" t="str">
        <f t="shared" si="940"/>
        <v>NAVAIR WD</v>
      </c>
      <c r="B2321" t="str">
        <f>T("CODE 477000D")</f>
        <v>CODE 477000D</v>
      </c>
      <c r="C2321" t="str">
        <f>T("2400 E PILOT PLANT RD MS 5300")</f>
        <v>2400 E PILOT PLANT RD MS 5300</v>
      </c>
      <c r="D2321" t="str">
        <f t="shared" si="954"/>
        <v>RIDGECREST</v>
      </c>
      <c r="E2321" t="str">
        <f t="shared" si="941"/>
        <v>CA</v>
      </c>
      <c r="F2321" t="str">
        <f>T("935556107")</f>
        <v>935556107</v>
      </c>
      <c r="G2321" t="str">
        <f>T("CODE 477000D")</f>
        <v>CODE 477000D</v>
      </c>
      <c r="H2321" t="str">
        <f>T("2400 E PILOT PLANT RD MS 5300")</f>
        <v>2400 E PILOT PLANT RD MS 5300</v>
      </c>
      <c r="I2321" t="str">
        <f t="shared" si="955"/>
        <v>RIDGECREST</v>
      </c>
      <c r="J2321" t="str">
        <f t="shared" si="942"/>
        <v>CA</v>
      </c>
      <c r="K2321" t="str">
        <f>T("000000000000000000")</f>
        <v>000000000000000000</v>
      </c>
      <c r="L2321" t="str">
        <f>T("7609397210")</f>
        <v>7609397210</v>
      </c>
    </row>
    <row r="2322" spans="1:12" x14ac:dyDescent="0.35">
      <c r="A2322" t="str">
        <f t="shared" si="940"/>
        <v>NAVAIR WD</v>
      </c>
      <c r="B2322" t="str">
        <f>T("CODE 477000D")</f>
        <v>CODE 477000D</v>
      </c>
      <c r="C2322" t="str">
        <f>T("2400 E PILOT PLANT RD MS 5300")</f>
        <v>2400 E PILOT PLANT RD MS 5300</v>
      </c>
      <c r="D2322" t="str">
        <f t="shared" si="954"/>
        <v>RIDGECREST</v>
      </c>
      <c r="E2322" t="str">
        <f t="shared" si="941"/>
        <v>CA</v>
      </c>
      <c r="F2322" t="str">
        <f>T("935556107")</f>
        <v>935556107</v>
      </c>
      <c r="G2322" t="str">
        <f>T("CODE 477100D MS 5301")</f>
        <v>CODE 477100D MS 5301</v>
      </c>
      <c r="H2322" t="str">
        <f>T("2400 PILOT PLANT RD BLDG 11510")</f>
        <v>2400 PILOT PLANT RD BLDG 11510</v>
      </c>
      <c r="I2322" t="str">
        <f t="shared" si="955"/>
        <v>RIDGECREST</v>
      </c>
      <c r="J2322" t="str">
        <f t="shared" si="942"/>
        <v>CA</v>
      </c>
      <c r="K2322" t="str">
        <f>T("7609391648")</f>
        <v>7609391648</v>
      </c>
      <c r="L2322" t="str">
        <f>T("7609397938")</f>
        <v>7609397938</v>
      </c>
    </row>
    <row r="2323" spans="1:12" x14ac:dyDescent="0.35">
      <c r="A2323" t="str">
        <f t="shared" si="940"/>
        <v>NAVAIR WD</v>
      </c>
      <c r="B2323" t="str">
        <f>T("CODE 47800D")</f>
        <v>CODE 47800D</v>
      </c>
      <c r="C2323" t="str">
        <f>T("2400 PILOT PLANT RD MS 5400")</f>
        <v>2400 PILOT PLANT RD MS 5400</v>
      </c>
      <c r="D2323" t="str">
        <f t="shared" si="954"/>
        <v>RIDGECREST</v>
      </c>
      <c r="E2323" t="str">
        <f t="shared" si="941"/>
        <v>CA</v>
      </c>
      <c r="F2323" t="str">
        <f>T("935556107")</f>
        <v>935556107</v>
      </c>
      <c r="G2323" t="str">
        <f>T("CODE 47800D")</f>
        <v>CODE 47800D</v>
      </c>
      <c r="H2323" t="str">
        <f>T("2400 PILOT PLANT RD MS 5400")</f>
        <v>2400 PILOT PLANT RD MS 5400</v>
      </c>
      <c r="I2323" t="str">
        <f t="shared" si="955"/>
        <v>RIDGECREST</v>
      </c>
      <c r="J2323" t="str">
        <f t="shared" si="942"/>
        <v>CA</v>
      </c>
      <c r="K2323" t="str">
        <f>T("760-939-1648")</f>
        <v>760-939-1648</v>
      </c>
      <c r="L2323" t="str">
        <f>T("7609397180")</f>
        <v>7609397180</v>
      </c>
    </row>
    <row r="2324" spans="1:12" x14ac:dyDescent="0.35">
      <c r="A2324" t="str">
        <f t="shared" si="940"/>
        <v>NAVAIR WD</v>
      </c>
      <c r="B2324" t="str">
        <f>T("CODE 47800D")</f>
        <v>CODE 47800D</v>
      </c>
      <c r="C2324" t="str">
        <f>T("2400 PILOT PLANT RD MS 5400")</f>
        <v>2400 PILOT PLANT RD MS 5400</v>
      </c>
      <c r="D2324" t="str">
        <f t="shared" si="954"/>
        <v>RIDGECREST</v>
      </c>
      <c r="E2324" t="str">
        <f t="shared" si="941"/>
        <v>CA</v>
      </c>
      <c r="F2324" t="str">
        <f>T("935556107")</f>
        <v>935556107</v>
      </c>
      <c r="G2324" t="str">
        <f>T("CODE 478200D MS 5402")</f>
        <v>CODE 478200D MS 5402</v>
      </c>
      <c r="H2324" t="str">
        <f>T("2400 E PILOT PLANT RD BLDG 11092")</f>
        <v>2400 E PILOT PLANT RD BLDG 11092</v>
      </c>
      <c r="I2324" t="str">
        <f t="shared" si="955"/>
        <v>RIDGECREST</v>
      </c>
      <c r="J2324" t="str">
        <f t="shared" si="942"/>
        <v>CA</v>
      </c>
      <c r="K2324" t="str">
        <f>T("7609391648")</f>
        <v>7609391648</v>
      </c>
      <c r="L2324" t="str">
        <f>T("7609395979")</f>
        <v>7609395979</v>
      </c>
    </row>
    <row r="2325" spans="1:12" x14ac:dyDescent="0.35">
      <c r="A2325" t="str">
        <f t="shared" si="940"/>
        <v>NAVAIR WD</v>
      </c>
      <c r="B2325" t="str">
        <f>T("CODE 47800D")</f>
        <v>CODE 47800D</v>
      </c>
      <c r="C2325" t="str">
        <f>T("2400 PILOT PLANT RD MS 5400")</f>
        <v>2400 PILOT PLANT RD MS 5400</v>
      </c>
      <c r="D2325" t="str">
        <f t="shared" si="954"/>
        <v>RIDGECREST</v>
      </c>
      <c r="E2325" t="str">
        <f t="shared" si="941"/>
        <v>CA</v>
      </c>
      <c r="F2325" t="str">
        <f>T("935556107")</f>
        <v>935556107</v>
      </c>
      <c r="G2325" t="str">
        <f>T("CODE 478700D MS 5404")</f>
        <v>CODE 478700D MS 5404</v>
      </c>
      <c r="H2325" t="str">
        <f>T("2400 E PILOT PLANT RD BLDG 10160")</f>
        <v>2400 E PILOT PLANT RD BLDG 10160</v>
      </c>
      <c r="I2325" t="str">
        <f t="shared" si="955"/>
        <v>RIDGECREST</v>
      </c>
      <c r="J2325" t="str">
        <f t="shared" si="942"/>
        <v>CA</v>
      </c>
      <c r="K2325" t="str">
        <f>T("7609391648")</f>
        <v>7609391648</v>
      </c>
      <c r="L2325" t="str">
        <f>T("7609397745")</f>
        <v>7609397745</v>
      </c>
    </row>
    <row r="2326" spans="1:12" x14ac:dyDescent="0.35">
      <c r="A2326" t="str">
        <f t="shared" si="940"/>
        <v>NAVAIR WD</v>
      </c>
      <c r="B2326" t="str">
        <f>T("CODE 47L800D")</f>
        <v>CODE 47L800D</v>
      </c>
      <c r="C2326" t="str">
        <f>T("1900 N. KNOX RD. BLDG 5 RM 6518")</f>
        <v>1900 N. KNOX RD. BLDG 5 RM 6518</v>
      </c>
      <c r="D2326" t="str">
        <f>T("CHINA LAKE")</f>
        <v>CHINA LAKE</v>
      </c>
      <c r="E2326" t="str">
        <f t="shared" si="941"/>
        <v>CA</v>
      </c>
      <c r="F2326" t="str">
        <f>T("935556106")</f>
        <v>935556106</v>
      </c>
      <c r="G2326" t="str">
        <f>T("CODE 47L800D")</f>
        <v>CODE 47L800D</v>
      </c>
      <c r="H2326" t="str">
        <f>T("")</f>
        <v/>
      </c>
      <c r="I2326" t="str">
        <f>T("CHINA LAKE")</f>
        <v>CHINA LAKE</v>
      </c>
      <c r="J2326" t="str">
        <f t="shared" si="942"/>
        <v>CA</v>
      </c>
      <c r="K2326" t="str">
        <f>T("7609391015")</f>
        <v>7609391015</v>
      </c>
      <c r="L2326" t="str">
        <f>T("7609393643")</f>
        <v>7609393643</v>
      </c>
    </row>
    <row r="2327" spans="1:12" x14ac:dyDescent="0.35">
      <c r="A2327" t="str">
        <f t="shared" si="940"/>
        <v>NAVAIR WD</v>
      </c>
      <c r="B2327" t="str">
        <f>T("CODE 47L800D")</f>
        <v>CODE 47L800D</v>
      </c>
      <c r="C2327" t="str">
        <f>T("1900 N. KNOX RD. BLDG 5 RM 6518")</f>
        <v>1900 N. KNOX RD. BLDG 5 RM 6518</v>
      </c>
      <c r="D2327" t="str">
        <f>T("CHINA LAKE")</f>
        <v>CHINA LAKE</v>
      </c>
      <c r="E2327" t="str">
        <f t="shared" si="941"/>
        <v>CA</v>
      </c>
      <c r="F2327" t="str">
        <f>T("935556106")</f>
        <v>935556106</v>
      </c>
      <c r="G2327" t="str">
        <f>T("CODE 47L800D")</f>
        <v>CODE 47L800D</v>
      </c>
      <c r="H2327" t="str">
        <f>T("1900 N. KNOX RD. BLDG 5 RM 6518")</f>
        <v>1900 N. KNOX RD. BLDG 5 RM 6518</v>
      </c>
      <c r="I2327" t="str">
        <f>T("CHINA LAKE")</f>
        <v>CHINA LAKE</v>
      </c>
      <c r="J2327" t="str">
        <f t="shared" si="942"/>
        <v>CA</v>
      </c>
      <c r="K2327" t="str">
        <f>T("7609391648")</f>
        <v>7609391648</v>
      </c>
      <c r="L2327" t="str">
        <f>T("7609392444")</f>
        <v>7609392444</v>
      </c>
    </row>
    <row r="2328" spans="1:12" x14ac:dyDescent="0.35">
      <c r="A2328" t="str">
        <f t="shared" si="940"/>
        <v>NAVAIR WD</v>
      </c>
      <c r="B2328" t="str">
        <f>T("CODE 491W00D")</f>
        <v>CODE 491W00D</v>
      </c>
      <c r="C2328" t="str">
        <f>T("507 E. CORSAIR ST MS 2011")</f>
        <v>507 E. CORSAIR ST MS 2011</v>
      </c>
      <c r="D2328" t="str">
        <f>T("RIDGECREST")</f>
        <v>RIDGECREST</v>
      </c>
      <c r="E2328" t="str">
        <f t="shared" si="941"/>
        <v>CA</v>
      </c>
      <c r="F2328" t="str">
        <f>T("935556110")</f>
        <v>935556110</v>
      </c>
      <c r="G2328" t="str">
        <f>T("CODE 413100D")</f>
        <v>CODE 413100D</v>
      </c>
      <c r="H2328" t="str">
        <f>T("507 E CORSAIR MS 2011")</f>
        <v>507 E CORSAIR MS 2011</v>
      </c>
      <c r="I2328" t="str">
        <f>T("CHINA LAKE")</f>
        <v>CHINA LAKE</v>
      </c>
      <c r="J2328" t="str">
        <f t="shared" si="942"/>
        <v>CA</v>
      </c>
      <c r="K2328" t="str">
        <f>T("7609391648")</f>
        <v>7609391648</v>
      </c>
      <c r="L2328" t="str">
        <f>T("7609395315")</f>
        <v>7609395315</v>
      </c>
    </row>
    <row r="2329" spans="1:12" x14ac:dyDescent="0.35">
      <c r="A2329" t="str">
        <f t="shared" si="940"/>
        <v>NAVAIR WD</v>
      </c>
      <c r="B2329" t="str">
        <f>T("CODE 491W00D")</f>
        <v>CODE 491W00D</v>
      </c>
      <c r="C2329" t="str">
        <f>T("507 E. CORSAIR ST MS 2011")</f>
        <v>507 E. CORSAIR ST MS 2011</v>
      </c>
      <c r="D2329" t="str">
        <f>T("RIDGECREST")</f>
        <v>RIDGECREST</v>
      </c>
      <c r="E2329" t="str">
        <f t="shared" si="941"/>
        <v>CA</v>
      </c>
      <c r="F2329" t="str">
        <f>T("935556110")</f>
        <v>935556110</v>
      </c>
      <c r="G2329" t="str">
        <f>T("CODE 491D00D")</f>
        <v>CODE 491D00D</v>
      </c>
      <c r="H2329" t="str">
        <f>T("1 ADMIN CIRCLE MS 2011")</f>
        <v>1 ADMIN CIRCLE MS 2011</v>
      </c>
      <c r="I2329" t="str">
        <f>T("RIDGECREST")</f>
        <v>RIDGECREST</v>
      </c>
      <c r="J2329" t="str">
        <f t="shared" si="942"/>
        <v>CA</v>
      </c>
      <c r="K2329" t="str">
        <f>T("7609391648")</f>
        <v>7609391648</v>
      </c>
      <c r="L2329" t="str">
        <f>T("7609395438")</f>
        <v>7609395438</v>
      </c>
    </row>
    <row r="2330" spans="1:12" x14ac:dyDescent="0.35">
      <c r="A2330" t="str">
        <f t="shared" si="940"/>
        <v>NAVAIR WD</v>
      </c>
      <c r="B2330" t="str">
        <f>T("CODE 491W00D")</f>
        <v>CODE 491W00D</v>
      </c>
      <c r="C2330" t="str">
        <f>T("507 E. CORSAIR ST MS 2011")</f>
        <v>507 E. CORSAIR ST MS 2011</v>
      </c>
      <c r="D2330" t="str">
        <f>T("RIDGECREST")</f>
        <v>RIDGECREST</v>
      </c>
      <c r="E2330" t="str">
        <f t="shared" si="941"/>
        <v>CA</v>
      </c>
      <c r="F2330" t="str">
        <f>T("935556110")</f>
        <v>935556110</v>
      </c>
      <c r="G2330" t="str">
        <f>T("CODE 491W00D")</f>
        <v>CODE 491W00D</v>
      </c>
      <c r="H2330" t="str">
        <f>T("507 E. CORSAIR ST MS 2011")</f>
        <v>507 E. CORSAIR ST MS 2011</v>
      </c>
      <c r="I2330" t="str">
        <f>T("RIDGECREST")</f>
        <v>RIDGECREST</v>
      </c>
      <c r="J2330" t="str">
        <f t="shared" si="942"/>
        <v>CA</v>
      </c>
      <c r="K2330" t="str">
        <f>T("760-939-1648")</f>
        <v>760-939-1648</v>
      </c>
      <c r="L2330" t="str">
        <f>T("7609395293")</f>
        <v>7609395293</v>
      </c>
    </row>
    <row r="2331" spans="1:12" x14ac:dyDescent="0.35">
      <c r="A2331" t="str">
        <f t="shared" si="940"/>
        <v>NAVAIR WD</v>
      </c>
      <c r="B2331" t="str">
        <f t="shared" ref="B2331:B2338" si="956">T("CODE 4L3000DE/783500D")</f>
        <v>CODE 4L3000DE/783500D</v>
      </c>
      <c r="C2331" t="str">
        <f t="shared" ref="C2331:C2338" si="957">T("BLDG 31598 RM 74 MS 1110")</f>
        <v>BLDG 31598 RM 74 MS 1110</v>
      </c>
      <c r="D2331" t="str">
        <f t="shared" ref="D2331:D2360" si="958">T("CHINA LAKE")</f>
        <v>CHINA LAKE</v>
      </c>
      <c r="E2331" t="str">
        <f t="shared" si="941"/>
        <v>CA</v>
      </c>
      <c r="F2331" t="str">
        <f t="shared" ref="F2331:F2344" si="959">T("935556106")</f>
        <v>935556106</v>
      </c>
      <c r="G2331" t="str">
        <f>T("CODE 4J2400D")</f>
        <v>CODE 4J2400D</v>
      </c>
      <c r="H2331" t="str">
        <f>T("")</f>
        <v/>
      </c>
      <c r="I2331" t="str">
        <f>T("CHINA LAKE")</f>
        <v>CHINA LAKE</v>
      </c>
      <c r="J2331" t="str">
        <f t="shared" si="942"/>
        <v>CA</v>
      </c>
      <c r="K2331" t="str">
        <f t="shared" ref="K2331:K2341" si="960">T("7609391648")</f>
        <v>7609391648</v>
      </c>
      <c r="L2331" t="str">
        <f>T("7609390716")</f>
        <v>7609390716</v>
      </c>
    </row>
    <row r="2332" spans="1:12" x14ac:dyDescent="0.35">
      <c r="A2332" t="str">
        <f t="shared" si="940"/>
        <v>NAVAIR WD</v>
      </c>
      <c r="B2332" t="str">
        <f t="shared" si="956"/>
        <v>CODE 4L3000DE/783500D</v>
      </c>
      <c r="C2332" t="str">
        <f t="shared" si="957"/>
        <v>BLDG 31598 RM 74 MS 1110</v>
      </c>
      <c r="D2332" t="str">
        <f t="shared" si="958"/>
        <v>CHINA LAKE</v>
      </c>
      <c r="E2332" t="str">
        <f t="shared" si="941"/>
        <v>CA</v>
      </c>
      <c r="F2332" t="str">
        <f t="shared" si="959"/>
        <v>935556106</v>
      </c>
      <c r="G2332" t="str">
        <f>T("CODE 4L3000DE/783500D")</f>
        <v>CODE 4L3000DE/783500D</v>
      </c>
      <c r="H2332" t="str">
        <f>T("BLDG 31598 RM 74 MS 1110")</f>
        <v>BLDG 31598 RM 74 MS 1110</v>
      </c>
      <c r="I2332" t="str">
        <f>T("CHINA LAKE")</f>
        <v>CHINA LAKE</v>
      </c>
      <c r="J2332" t="str">
        <f t="shared" si="942"/>
        <v>CA</v>
      </c>
      <c r="K2332" t="str">
        <f t="shared" si="960"/>
        <v>7609391648</v>
      </c>
      <c r="L2332" t="str">
        <f>T("7609394582")</f>
        <v>7609394582</v>
      </c>
    </row>
    <row r="2333" spans="1:12" x14ac:dyDescent="0.35">
      <c r="A2333" t="str">
        <f t="shared" si="940"/>
        <v>NAVAIR WD</v>
      </c>
      <c r="B2333" t="str">
        <f t="shared" si="956"/>
        <v>CODE 4L3000DE/783500D</v>
      </c>
      <c r="C2333" t="str">
        <f t="shared" si="957"/>
        <v>BLDG 31598 RM 74 MS 1110</v>
      </c>
      <c r="D2333" t="str">
        <f t="shared" si="958"/>
        <v>CHINA LAKE</v>
      </c>
      <c r="E2333" t="str">
        <f t="shared" si="941"/>
        <v>CA</v>
      </c>
      <c r="F2333" t="str">
        <f t="shared" si="959"/>
        <v>935556106</v>
      </c>
      <c r="G2333" t="str">
        <f>T("CODE 700000E")</f>
        <v>CODE 700000E</v>
      </c>
      <c r="H2333" t="str">
        <f>T("575 I AVE STE 1")</f>
        <v>575 I AVE STE 1</v>
      </c>
      <c r="I2333" t="str">
        <f>T("POINT MUGU NAWC")</f>
        <v>POINT MUGU NAWC</v>
      </c>
      <c r="J2333" t="str">
        <f t="shared" si="942"/>
        <v>CA</v>
      </c>
      <c r="K2333" t="str">
        <f t="shared" si="960"/>
        <v>7609391648</v>
      </c>
      <c r="L2333" t="str">
        <f>T("8059897182")</f>
        <v>8059897182</v>
      </c>
    </row>
    <row r="2334" spans="1:12" x14ac:dyDescent="0.35">
      <c r="A2334" t="str">
        <f t="shared" si="940"/>
        <v>NAVAIR WD</v>
      </c>
      <c r="B2334" t="str">
        <f t="shared" si="956"/>
        <v>CODE 4L3000DE/783500D</v>
      </c>
      <c r="C2334" t="str">
        <f t="shared" si="957"/>
        <v>BLDG 31598 RM 74 MS 1110</v>
      </c>
      <c r="D2334" t="str">
        <f t="shared" si="958"/>
        <v>CHINA LAKE</v>
      </c>
      <c r="E2334" t="str">
        <f t="shared" si="941"/>
        <v>CA</v>
      </c>
      <c r="F2334" t="str">
        <f t="shared" si="959"/>
        <v>935556106</v>
      </c>
      <c r="G2334" t="str">
        <f>T("CODE 740000D")</f>
        <v>CODE 740000D</v>
      </c>
      <c r="H2334" t="str">
        <f>T("1 ADMIN CIRCLE MS 1301")</f>
        <v>1 ADMIN CIRCLE MS 1301</v>
      </c>
      <c r="I2334" t="str">
        <f>T("CHINA LAKE")</f>
        <v>CHINA LAKE</v>
      </c>
      <c r="J2334" t="str">
        <f t="shared" si="942"/>
        <v>CA</v>
      </c>
      <c r="K2334" t="str">
        <f t="shared" si="960"/>
        <v>7609391648</v>
      </c>
      <c r="L2334" t="str">
        <f>T("7609393512")</f>
        <v>7609393512</v>
      </c>
    </row>
    <row r="2335" spans="1:12" x14ac:dyDescent="0.35">
      <c r="A2335" t="str">
        <f t="shared" si="940"/>
        <v>NAVAIR WD</v>
      </c>
      <c r="B2335" t="str">
        <f t="shared" si="956"/>
        <v>CODE 4L3000DE/783500D</v>
      </c>
      <c r="C2335" t="str">
        <f t="shared" si="957"/>
        <v>BLDG 31598 RM 74 MS 1110</v>
      </c>
      <c r="D2335" t="str">
        <f t="shared" si="958"/>
        <v>CHINA LAKE</v>
      </c>
      <c r="E2335" t="str">
        <f t="shared" si="941"/>
        <v>CA</v>
      </c>
      <c r="F2335" t="str">
        <f t="shared" si="959"/>
        <v>935556106</v>
      </c>
      <c r="G2335" t="str">
        <f>T("CODE 744000E")</f>
        <v>CODE 744000E</v>
      </c>
      <c r="H2335" t="str">
        <f>T("575 I AVE STE 1 BLDG 36 RM 1013")</f>
        <v>575 I AVE STE 1 BLDG 36 RM 1013</v>
      </c>
      <c r="I2335" t="str">
        <f>T("POINT MUGU NAWC")</f>
        <v>POINT MUGU NAWC</v>
      </c>
      <c r="J2335" t="str">
        <f t="shared" si="942"/>
        <v>CA</v>
      </c>
      <c r="K2335" t="str">
        <f t="shared" si="960"/>
        <v>7609391648</v>
      </c>
      <c r="L2335" t="str">
        <f>T("8059894623")</f>
        <v>8059894623</v>
      </c>
    </row>
    <row r="2336" spans="1:12" x14ac:dyDescent="0.35">
      <c r="A2336" t="str">
        <f t="shared" si="940"/>
        <v>NAVAIR WD</v>
      </c>
      <c r="B2336" t="str">
        <f t="shared" si="956"/>
        <v>CODE 4L3000DE/783500D</v>
      </c>
      <c r="C2336" t="str">
        <f t="shared" si="957"/>
        <v>BLDG 31598 RM 74 MS 1110</v>
      </c>
      <c r="D2336" t="str">
        <f t="shared" si="958"/>
        <v>CHINA LAKE</v>
      </c>
      <c r="E2336" t="str">
        <f t="shared" si="941"/>
        <v>CA</v>
      </c>
      <c r="F2336" t="str">
        <f t="shared" si="959"/>
        <v>935556106</v>
      </c>
      <c r="G2336" t="str">
        <f>T("CODE 744300D")</f>
        <v>CODE 744300D</v>
      </c>
      <c r="H2336" t="str">
        <f>T("1 ADMIN CIRCLE MS 1301")</f>
        <v>1 ADMIN CIRCLE MS 1301</v>
      </c>
      <c r="I2336" t="str">
        <f>T("RIDGECREST")</f>
        <v>RIDGECREST</v>
      </c>
      <c r="J2336" t="str">
        <f t="shared" si="942"/>
        <v>CA</v>
      </c>
      <c r="K2336" t="str">
        <f t="shared" si="960"/>
        <v>7609391648</v>
      </c>
      <c r="L2336" t="str">
        <f>T("7609392375")</f>
        <v>7609392375</v>
      </c>
    </row>
    <row r="2337" spans="1:12" x14ac:dyDescent="0.35">
      <c r="A2337" t="str">
        <f t="shared" si="940"/>
        <v>NAVAIR WD</v>
      </c>
      <c r="B2337" t="str">
        <f t="shared" si="956"/>
        <v>CODE 4L3000DE/783500D</v>
      </c>
      <c r="C2337" t="str">
        <f t="shared" si="957"/>
        <v>BLDG 31598 RM 74 MS 1110</v>
      </c>
      <c r="D2337" t="str">
        <f t="shared" si="958"/>
        <v>CHINA LAKE</v>
      </c>
      <c r="E2337" t="str">
        <f t="shared" si="941"/>
        <v>CA</v>
      </c>
      <c r="F2337" t="str">
        <f t="shared" si="959"/>
        <v>935556106</v>
      </c>
      <c r="G2337" t="str">
        <f>T("CODE 745000D")</f>
        <v>CODE 745000D</v>
      </c>
      <c r="H2337" t="str">
        <f>T("1 ADMIN CIRCLS MS 1110")</f>
        <v>1 ADMIN CIRCLS MS 1110</v>
      </c>
      <c r="I2337" t="str">
        <f>T("CHINA LAKE")</f>
        <v>CHINA LAKE</v>
      </c>
      <c r="J2337" t="str">
        <f t="shared" si="942"/>
        <v>CA</v>
      </c>
      <c r="K2337" t="str">
        <f t="shared" si="960"/>
        <v>7609391648</v>
      </c>
      <c r="L2337" t="str">
        <f>T("7609397382")</f>
        <v>7609397382</v>
      </c>
    </row>
    <row r="2338" spans="1:12" x14ac:dyDescent="0.35">
      <c r="A2338" t="str">
        <f t="shared" si="940"/>
        <v>NAVAIR WD</v>
      </c>
      <c r="B2338" t="str">
        <f t="shared" si="956"/>
        <v>CODE 4L3000DE/783500D</v>
      </c>
      <c r="C2338" t="str">
        <f t="shared" si="957"/>
        <v>BLDG 31598 RM 74 MS 1110</v>
      </c>
      <c r="D2338" t="str">
        <f t="shared" si="958"/>
        <v>CHINA LAKE</v>
      </c>
      <c r="E2338" t="str">
        <f t="shared" si="941"/>
        <v>CA</v>
      </c>
      <c r="F2338" t="str">
        <f t="shared" si="959"/>
        <v>935556106</v>
      </c>
      <c r="G2338" t="str">
        <f>T("CODE 78G000D")</f>
        <v>CODE 78G000D</v>
      </c>
      <c r="H2338" t="str">
        <f>T("1 ADMIN CIRCLE MS 6313")</f>
        <v>1 ADMIN CIRCLE MS 6313</v>
      </c>
      <c r="I2338" t="str">
        <f>T("RIDGECREST")</f>
        <v>RIDGECREST</v>
      </c>
      <c r="J2338" t="str">
        <f t="shared" si="942"/>
        <v>CA</v>
      </c>
      <c r="K2338" t="str">
        <f t="shared" si="960"/>
        <v>7609391648</v>
      </c>
      <c r="L2338" t="str">
        <f>T("7609393310")</f>
        <v>7609393310</v>
      </c>
    </row>
    <row r="2339" spans="1:12" x14ac:dyDescent="0.35">
      <c r="A2339" t="str">
        <f t="shared" si="940"/>
        <v>NAVAIR WD</v>
      </c>
      <c r="B2339" t="str">
        <f t="shared" ref="B2339:B2344" si="961">T("CODE 4L6200D")</f>
        <v>CODE 4L6200D</v>
      </c>
      <c r="C2339" t="str">
        <f t="shared" ref="C2339:C2344" si="962">T("1900 N KNOX RD MS 6309")</f>
        <v>1900 N KNOX RD MS 6309</v>
      </c>
      <c r="D2339" t="str">
        <f t="shared" si="958"/>
        <v>CHINA LAKE</v>
      </c>
      <c r="E2339" t="str">
        <f t="shared" si="941"/>
        <v>CA</v>
      </c>
      <c r="F2339" t="str">
        <f t="shared" si="959"/>
        <v>935556106</v>
      </c>
      <c r="G2339" t="str">
        <f>T("CODE 400000D")</f>
        <v>CODE 400000D</v>
      </c>
      <c r="H2339" t="str">
        <f>T("1900 KNOX RD MS 6317")</f>
        <v>1900 KNOX RD MS 6317</v>
      </c>
      <c r="I2339" t="str">
        <f>T("RIDGECREST")</f>
        <v>RIDGECREST</v>
      </c>
      <c r="J2339" t="str">
        <f t="shared" si="942"/>
        <v>CA</v>
      </c>
      <c r="K2339" t="str">
        <f t="shared" si="960"/>
        <v>7609391648</v>
      </c>
      <c r="L2339" t="str">
        <f>T("7609391416")</f>
        <v>7609391416</v>
      </c>
    </row>
    <row r="2340" spans="1:12" x14ac:dyDescent="0.35">
      <c r="A2340" t="str">
        <f t="shared" si="940"/>
        <v>NAVAIR WD</v>
      </c>
      <c r="B2340" t="str">
        <f t="shared" si="961"/>
        <v>CODE 4L6200D</v>
      </c>
      <c r="C2340" t="str">
        <f t="shared" si="962"/>
        <v>1900 N KNOX RD MS 6309</v>
      </c>
      <c r="D2340" t="str">
        <f t="shared" si="958"/>
        <v>CHINA LAKE</v>
      </c>
      <c r="E2340" t="str">
        <f t="shared" si="941"/>
        <v>CA</v>
      </c>
      <c r="F2340" t="str">
        <f t="shared" si="959"/>
        <v>935556106</v>
      </c>
      <c r="G2340" t="str">
        <f>T("CODE 400000D")</f>
        <v>CODE 400000D</v>
      </c>
      <c r="H2340" t="str">
        <f>T("1900 N KNOX RD MS 6317")</f>
        <v>1900 N KNOX RD MS 6317</v>
      </c>
      <c r="I2340" t="str">
        <f>T("RIDGECREST")</f>
        <v>RIDGECREST</v>
      </c>
      <c r="J2340" t="str">
        <f t="shared" si="942"/>
        <v>CA</v>
      </c>
      <c r="K2340" t="str">
        <f t="shared" si="960"/>
        <v>7609391648</v>
      </c>
      <c r="L2340" t="str">
        <f>T("7609391416")</f>
        <v>7609391416</v>
      </c>
    </row>
    <row r="2341" spans="1:12" x14ac:dyDescent="0.35">
      <c r="A2341" t="str">
        <f t="shared" si="940"/>
        <v>NAVAIR WD</v>
      </c>
      <c r="B2341" t="str">
        <f t="shared" si="961"/>
        <v>CODE 4L6200D</v>
      </c>
      <c r="C2341" t="str">
        <f t="shared" si="962"/>
        <v>1900 N KNOX RD MS 6309</v>
      </c>
      <c r="D2341" t="str">
        <f t="shared" si="958"/>
        <v>CHINA LAKE</v>
      </c>
      <c r="E2341" t="str">
        <f t="shared" si="941"/>
        <v>CA</v>
      </c>
      <c r="F2341" t="str">
        <f t="shared" si="959"/>
        <v>935556106</v>
      </c>
      <c r="G2341" t="str">
        <f>T("CODE 4L6100D")</f>
        <v>CODE 4L6100D</v>
      </c>
      <c r="H2341" t="str">
        <f>T("")</f>
        <v/>
      </c>
      <c r="I2341" t="str">
        <f>T("CHINA LAKE")</f>
        <v>CHINA LAKE</v>
      </c>
      <c r="J2341" t="str">
        <f t="shared" si="942"/>
        <v>CA</v>
      </c>
      <c r="K2341" t="str">
        <f t="shared" si="960"/>
        <v>7609391648</v>
      </c>
      <c r="L2341" t="str">
        <f>T("7609394763")</f>
        <v>7609394763</v>
      </c>
    </row>
    <row r="2342" spans="1:12" x14ac:dyDescent="0.35">
      <c r="A2342" t="str">
        <f t="shared" si="940"/>
        <v>NAVAIR WD</v>
      </c>
      <c r="B2342" t="str">
        <f t="shared" si="961"/>
        <v>CODE 4L6200D</v>
      </c>
      <c r="C2342" t="str">
        <f t="shared" si="962"/>
        <v>1900 N KNOX RD MS 6309</v>
      </c>
      <c r="D2342" t="str">
        <f t="shared" si="958"/>
        <v>CHINA LAKE</v>
      </c>
      <c r="E2342" t="str">
        <f t="shared" si="941"/>
        <v>CA</v>
      </c>
      <c r="F2342" t="str">
        <f t="shared" si="959"/>
        <v>935556106</v>
      </c>
      <c r="G2342" t="str">
        <f>T("CODE 4L6200D")</f>
        <v>CODE 4L6200D</v>
      </c>
      <c r="H2342" t="str">
        <f>T("1900 N KNOX RD MS 6309")</f>
        <v>1900 N KNOX RD MS 6309</v>
      </c>
      <c r="I2342" t="str">
        <f>T("CHINA LAKE")</f>
        <v>CHINA LAKE</v>
      </c>
      <c r="J2342" t="str">
        <f t="shared" si="942"/>
        <v>CA</v>
      </c>
      <c r="K2342" t="str">
        <f>T("730-939-1648")</f>
        <v>730-939-1648</v>
      </c>
      <c r="L2342" t="str">
        <f>T("7609392821")</f>
        <v>7609392821</v>
      </c>
    </row>
    <row r="2343" spans="1:12" x14ac:dyDescent="0.35">
      <c r="A2343" t="str">
        <f t="shared" si="940"/>
        <v>NAVAIR WD</v>
      </c>
      <c r="B2343" t="str">
        <f t="shared" si="961"/>
        <v>CODE 4L6200D</v>
      </c>
      <c r="C2343" t="str">
        <f t="shared" si="962"/>
        <v>1900 N KNOX RD MS 6309</v>
      </c>
      <c r="D2343" t="str">
        <f t="shared" si="958"/>
        <v>CHINA LAKE</v>
      </c>
      <c r="E2343" t="str">
        <f t="shared" si="941"/>
        <v>CA</v>
      </c>
      <c r="F2343" t="str">
        <f t="shared" si="959"/>
        <v>935556106</v>
      </c>
      <c r="G2343" t="str">
        <f>T("CODE 4L6200D")</f>
        <v>CODE 4L6200D</v>
      </c>
      <c r="H2343" t="str">
        <f>T("1900 N KNOX RD MS 6309")</f>
        <v>1900 N KNOX RD MS 6309</v>
      </c>
      <c r="I2343" t="str">
        <f>T("RIDGECREST")</f>
        <v>RIDGECREST</v>
      </c>
      <c r="J2343" t="str">
        <f t="shared" si="942"/>
        <v>CA</v>
      </c>
      <c r="K2343" t="str">
        <f t="shared" ref="K2343:K2349" si="963">T("7609391648")</f>
        <v>7609391648</v>
      </c>
      <c r="L2343" t="str">
        <f>T("7609393888")</f>
        <v>7609393888</v>
      </c>
    </row>
    <row r="2344" spans="1:12" x14ac:dyDescent="0.35">
      <c r="A2344" t="str">
        <f t="shared" si="940"/>
        <v>NAVAIR WD</v>
      </c>
      <c r="B2344" t="str">
        <f t="shared" si="961"/>
        <v>CODE 4L6200D</v>
      </c>
      <c r="C2344" t="str">
        <f t="shared" si="962"/>
        <v>1900 N KNOX RD MS 6309</v>
      </c>
      <c r="D2344" t="str">
        <f t="shared" si="958"/>
        <v>CHINA LAKE</v>
      </c>
      <c r="E2344" t="str">
        <f t="shared" si="941"/>
        <v>CA</v>
      </c>
      <c r="F2344" t="str">
        <f t="shared" si="959"/>
        <v>935556106</v>
      </c>
      <c r="G2344" t="str">
        <f>T("CODE 4L6200D")</f>
        <v>CODE 4L6200D</v>
      </c>
      <c r="H2344" t="str">
        <f>T("2400 E PILOT PLANT RD # MS5002")</f>
        <v>2400 E PILOT PLANT RD # MS5002</v>
      </c>
      <c r="I2344" t="str">
        <f>T("CHINA LAKE")</f>
        <v>CHINA LAKE</v>
      </c>
      <c r="J2344" t="str">
        <f t="shared" si="942"/>
        <v>CA</v>
      </c>
      <c r="K2344" t="str">
        <f t="shared" si="963"/>
        <v>7609391648</v>
      </c>
      <c r="L2344" t="str">
        <f>T("7609397659")</f>
        <v>7609397659</v>
      </c>
    </row>
    <row r="2345" spans="1:12" x14ac:dyDescent="0.35">
      <c r="A2345" t="str">
        <f t="shared" si="940"/>
        <v>NAVAIR WD</v>
      </c>
      <c r="B2345" t="str">
        <f>T("CODE 512000D")</f>
        <v>CODE 512000D</v>
      </c>
      <c r="C2345" t="str">
        <f>T("MCCLEAN LAB BLDG 10 RM 1058 MS6818")</f>
        <v>MCCLEAN LAB BLDG 10 RM 1058 MS6818</v>
      </c>
      <c r="D2345" t="str">
        <f t="shared" si="958"/>
        <v>CHINA LAKE</v>
      </c>
      <c r="E2345" t="str">
        <f t="shared" si="941"/>
        <v>CA</v>
      </c>
      <c r="F2345" t="str">
        <f>T("935550000")</f>
        <v>935550000</v>
      </c>
      <c r="G2345" t="str">
        <f>T("CODE 511000D")</f>
        <v>CODE 511000D</v>
      </c>
      <c r="H2345" t="str">
        <f>T("1 ADMIN CIRCLE MS 1109")</f>
        <v>1 ADMIN CIRCLE MS 1109</v>
      </c>
      <c r="I2345" t="str">
        <f>T("CHINA LAKE")</f>
        <v>CHINA LAKE</v>
      </c>
      <c r="J2345" t="str">
        <f t="shared" si="942"/>
        <v>CA</v>
      </c>
      <c r="K2345" t="str">
        <f t="shared" si="963"/>
        <v>7609391648</v>
      </c>
      <c r="L2345" t="str">
        <f>T("7609392054")</f>
        <v>7609392054</v>
      </c>
    </row>
    <row r="2346" spans="1:12" x14ac:dyDescent="0.35">
      <c r="A2346" t="str">
        <f t="shared" si="940"/>
        <v>NAVAIR WD</v>
      </c>
      <c r="B2346" t="str">
        <f>T("CODE 512000D")</f>
        <v>CODE 512000D</v>
      </c>
      <c r="C2346" t="str">
        <f>T("MCCLEAN LAB BLDG 10 RM 1058 MS6818")</f>
        <v>MCCLEAN LAB BLDG 10 RM 1058 MS6818</v>
      </c>
      <c r="D2346" t="str">
        <f t="shared" si="958"/>
        <v>CHINA LAKE</v>
      </c>
      <c r="E2346" t="str">
        <f t="shared" si="941"/>
        <v>CA</v>
      </c>
      <c r="F2346" t="str">
        <f>T("935550000")</f>
        <v>935550000</v>
      </c>
      <c r="G2346" t="str">
        <f>T("CODE 512000D")</f>
        <v>CODE 512000D</v>
      </c>
      <c r="H2346" t="str">
        <f>T("MCCLEAN LAB BLDG 10 RM 1058 MS6818")</f>
        <v>MCCLEAN LAB BLDG 10 RM 1058 MS6818</v>
      </c>
      <c r="I2346" t="str">
        <f>T("CHINA LAKE")</f>
        <v>CHINA LAKE</v>
      </c>
      <c r="J2346" t="str">
        <f t="shared" si="942"/>
        <v>CA</v>
      </c>
      <c r="K2346" t="str">
        <f t="shared" si="963"/>
        <v>7609391648</v>
      </c>
      <c r="L2346" t="str">
        <f>T("7609396020")</f>
        <v>7609396020</v>
      </c>
    </row>
    <row r="2347" spans="1:12" x14ac:dyDescent="0.35">
      <c r="A2347" t="str">
        <f t="shared" si="940"/>
        <v>NAVAIR WD</v>
      </c>
      <c r="B2347" t="str">
        <f t="shared" ref="B2347:B2353" si="964">T("CODE 51J50MD")</f>
        <v>CODE 51J50MD</v>
      </c>
      <c r="C2347" t="str">
        <f t="shared" ref="C2347:C2353" si="965">T("")</f>
        <v/>
      </c>
      <c r="D2347" t="str">
        <f t="shared" si="958"/>
        <v>CHINA LAKE</v>
      </c>
      <c r="E2347" t="str">
        <f t="shared" si="941"/>
        <v>CA</v>
      </c>
      <c r="F2347" t="str">
        <f t="shared" ref="F2347:F2353" si="966">T("935556100")</f>
        <v>935556100</v>
      </c>
      <c r="G2347" t="str">
        <f>T("CODE 512Q00D")</f>
        <v>CODE 512Q00D</v>
      </c>
      <c r="H2347" t="str">
        <f>T("VX-31 BLDG 20000 MS 3268")</f>
        <v>VX-31 BLDG 20000 MS 3268</v>
      </c>
      <c r="I2347" t="str">
        <f>T("CHINA LAKE")</f>
        <v>CHINA LAKE</v>
      </c>
      <c r="J2347" t="str">
        <f t="shared" si="942"/>
        <v>CA</v>
      </c>
      <c r="K2347" t="str">
        <f t="shared" si="963"/>
        <v>7609391648</v>
      </c>
      <c r="L2347" t="str">
        <f>T("7609390473")</f>
        <v>7609390473</v>
      </c>
    </row>
    <row r="2348" spans="1:12" x14ac:dyDescent="0.35">
      <c r="A2348" t="str">
        <f t="shared" si="940"/>
        <v>NAVAIR WD</v>
      </c>
      <c r="B2348" t="str">
        <f t="shared" si="964"/>
        <v>CODE 51J50MD</v>
      </c>
      <c r="C2348" t="str">
        <f t="shared" si="965"/>
        <v/>
      </c>
      <c r="D2348" t="str">
        <f t="shared" si="958"/>
        <v>CHINA LAKE</v>
      </c>
      <c r="E2348" t="str">
        <f t="shared" si="941"/>
        <v>CA</v>
      </c>
      <c r="F2348" t="str">
        <f t="shared" si="966"/>
        <v>935556100</v>
      </c>
      <c r="G2348" t="str">
        <f>T("CODE 51J000D")</f>
        <v>CODE 51J000D</v>
      </c>
      <c r="H2348" t="str">
        <f>T("1 ADMIN CIRCLE BLDG 20000")</f>
        <v>1 ADMIN CIRCLE BLDG 20000</v>
      </c>
      <c r="I2348" t="str">
        <f>T("RIDGECREST")</f>
        <v>RIDGECREST</v>
      </c>
      <c r="J2348" t="str">
        <f t="shared" si="942"/>
        <v>CA</v>
      </c>
      <c r="K2348" t="str">
        <f t="shared" si="963"/>
        <v>7609391648</v>
      </c>
      <c r="L2348" t="str">
        <f>T("7609395478")</f>
        <v>7609395478</v>
      </c>
    </row>
    <row r="2349" spans="1:12" x14ac:dyDescent="0.35">
      <c r="A2349" t="str">
        <f t="shared" si="940"/>
        <v>NAVAIR WD</v>
      </c>
      <c r="B2349" t="str">
        <f t="shared" si="964"/>
        <v>CODE 51J50MD</v>
      </c>
      <c r="C2349" t="str">
        <f t="shared" si="965"/>
        <v/>
      </c>
      <c r="D2349" t="str">
        <f t="shared" si="958"/>
        <v>CHINA LAKE</v>
      </c>
      <c r="E2349" t="str">
        <f t="shared" si="941"/>
        <v>CA</v>
      </c>
      <c r="F2349" t="str">
        <f t="shared" si="966"/>
        <v>935556100</v>
      </c>
      <c r="G2349" t="str">
        <f>T("CODE 51J000D")</f>
        <v>CODE 51J000D</v>
      </c>
      <c r="H2349" t="str">
        <f>T("1 ADMIN CIRCLE MS 1015")</f>
        <v>1 ADMIN CIRCLE MS 1015</v>
      </c>
      <c r="I2349" t="str">
        <f>T("RIDGECREST")</f>
        <v>RIDGECREST</v>
      </c>
      <c r="J2349" t="str">
        <f t="shared" si="942"/>
        <v>CA</v>
      </c>
      <c r="K2349" t="str">
        <f t="shared" si="963"/>
        <v>7609391648</v>
      </c>
      <c r="L2349" t="str">
        <f>T("7609393699")</f>
        <v>7609393699</v>
      </c>
    </row>
    <row r="2350" spans="1:12" x14ac:dyDescent="0.35">
      <c r="A2350" t="str">
        <f t="shared" si="940"/>
        <v>NAVAIR WD</v>
      </c>
      <c r="B2350" t="str">
        <f t="shared" si="964"/>
        <v>CODE 51J50MD</v>
      </c>
      <c r="C2350" t="str">
        <f t="shared" si="965"/>
        <v/>
      </c>
      <c r="D2350" t="str">
        <f t="shared" si="958"/>
        <v>CHINA LAKE</v>
      </c>
      <c r="E2350" t="str">
        <f t="shared" si="941"/>
        <v>CA</v>
      </c>
      <c r="F2350" t="str">
        <f t="shared" si="966"/>
        <v>935556100</v>
      </c>
      <c r="G2350" t="str">
        <f>T("CODE 51J00MD")</f>
        <v>CODE 51J00MD</v>
      </c>
      <c r="H2350" t="str">
        <f>T("")</f>
        <v/>
      </c>
      <c r="I2350" t="str">
        <f>T("CHINA LAKE")</f>
        <v>CHINA LAKE</v>
      </c>
      <c r="J2350" t="str">
        <f t="shared" si="942"/>
        <v>CA</v>
      </c>
      <c r="K2350" t="str">
        <f>T("000000000000000000")</f>
        <v>000000000000000000</v>
      </c>
      <c r="L2350" t="str">
        <f>T("7609395479")</f>
        <v>7609395479</v>
      </c>
    </row>
    <row r="2351" spans="1:12" x14ac:dyDescent="0.35">
      <c r="A2351" t="str">
        <f t="shared" si="940"/>
        <v>NAVAIR WD</v>
      </c>
      <c r="B2351" t="str">
        <f t="shared" si="964"/>
        <v>CODE 51J50MD</v>
      </c>
      <c r="C2351" t="str">
        <f t="shared" si="965"/>
        <v/>
      </c>
      <c r="D2351" t="str">
        <f t="shared" si="958"/>
        <v>CHINA LAKE</v>
      </c>
      <c r="E2351" t="str">
        <f t="shared" si="941"/>
        <v>CA</v>
      </c>
      <c r="F2351" t="str">
        <f t="shared" si="966"/>
        <v>935556100</v>
      </c>
      <c r="G2351" t="str">
        <f>T("CODE 51J100D")</f>
        <v>CODE 51J100D</v>
      </c>
      <c r="H2351" t="str">
        <f>T("1 ADMIN CIRCLE MS 1015")</f>
        <v>1 ADMIN CIRCLE MS 1015</v>
      </c>
      <c r="I2351" t="str">
        <f>T("RIDGECREST")</f>
        <v>RIDGECREST</v>
      </c>
      <c r="J2351" t="str">
        <f t="shared" si="942"/>
        <v>CA</v>
      </c>
      <c r="K2351" t="str">
        <f>T("76093916948")</f>
        <v>76093916948</v>
      </c>
      <c r="L2351" t="str">
        <f>T("7609390374")</f>
        <v>7609390374</v>
      </c>
    </row>
    <row r="2352" spans="1:12" x14ac:dyDescent="0.35">
      <c r="A2352" t="str">
        <f t="shared" si="940"/>
        <v>NAVAIR WD</v>
      </c>
      <c r="B2352" t="str">
        <f t="shared" si="964"/>
        <v>CODE 51J50MD</v>
      </c>
      <c r="C2352" t="str">
        <f t="shared" si="965"/>
        <v/>
      </c>
      <c r="D2352" t="str">
        <f t="shared" si="958"/>
        <v>CHINA LAKE</v>
      </c>
      <c r="E2352" t="str">
        <f t="shared" si="941"/>
        <v>CA</v>
      </c>
      <c r="F2352" t="str">
        <f t="shared" si="966"/>
        <v>935556100</v>
      </c>
      <c r="G2352" t="str">
        <f>T("CODE 51J50MD")</f>
        <v>CODE 51J50MD</v>
      </c>
      <c r="H2352" t="str">
        <f>T("")</f>
        <v/>
      </c>
      <c r="I2352" t="str">
        <f>T("CHINA LAKE")</f>
        <v>CHINA LAKE</v>
      </c>
      <c r="J2352" t="str">
        <f t="shared" si="942"/>
        <v>CA</v>
      </c>
      <c r="K2352" t="str">
        <f>T("000000000000000000")</f>
        <v>000000000000000000</v>
      </c>
      <c r="L2352" t="str">
        <f>T("7609395414")</f>
        <v>7609395414</v>
      </c>
    </row>
    <row r="2353" spans="1:12" x14ac:dyDescent="0.35">
      <c r="A2353" t="str">
        <f t="shared" si="940"/>
        <v>NAVAIR WD</v>
      </c>
      <c r="B2353" t="str">
        <f t="shared" si="964"/>
        <v>CODE 51J50MD</v>
      </c>
      <c r="C2353" t="str">
        <f t="shared" si="965"/>
        <v/>
      </c>
      <c r="D2353" t="str">
        <f t="shared" si="958"/>
        <v>CHINA LAKE</v>
      </c>
      <c r="E2353" t="str">
        <f t="shared" si="941"/>
        <v>CA</v>
      </c>
      <c r="F2353" t="str">
        <f t="shared" si="966"/>
        <v>935556100</v>
      </c>
      <c r="G2353" t="str">
        <f>T("CODE 51J50MD")</f>
        <v>CODE 51J50MD</v>
      </c>
      <c r="H2353" t="str">
        <f>T("")</f>
        <v/>
      </c>
      <c r="I2353" t="str">
        <f>T("CHINA LAKE")</f>
        <v>CHINA LAKE</v>
      </c>
      <c r="J2353" t="str">
        <f t="shared" si="942"/>
        <v>CA</v>
      </c>
      <c r="K2353" t="str">
        <f>T("7609391648")</f>
        <v>7609391648</v>
      </c>
      <c r="L2353" t="str">
        <f>T("7609395031")</f>
        <v>7609395031</v>
      </c>
    </row>
    <row r="2354" spans="1:12" x14ac:dyDescent="0.35">
      <c r="A2354" t="str">
        <f t="shared" si="940"/>
        <v>NAVAIR WD</v>
      </c>
      <c r="B2354" t="str">
        <f t="shared" ref="B2354:B2360" si="967">T("CODE 521000D")</f>
        <v>CODE 521000D</v>
      </c>
      <c r="C2354" t="str">
        <f t="shared" ref="C2354:C2360" si="968">T("130 EASY RD MS 3006")</f>
        <v>130 EASY RD MS 3006</v>
      </c>
      <c r="D2354" t="str">
        <f t="shared" si="958"/>
        <v>CHINA LAKE</v>
      </c>
      <c r="E2354" t="str">
        <f t="shared" si="941"/>
        <v>CA</v>
      </c>
      <c r="F2354" t="str">
        <f t="shared" ref="F2354:F2360" si="969">T("935556109")</f>
        <v>935556109</v>
      </c>
      <c r="G2354" t="str">
        <f>T("CODE 521000D")</f>
        <v>CODE 521000D</v>
      </c>
      <c r="H2354" t="str">
        <f>T("130 EASY RD MS 3006")</f>
        <v>130 EASY RD MS 3006</v>
      </c>
      <c r="I2354" t="str">
        <f>T("CHINA LAKE")</f>
        <v>CHINA LAKE</v>
      </c>
      <c r="J2354" t="str">
        <f t="shared" si="942"/>
        <v>CA</v>
      </c>
      <c r="K2354" t="str">
        <f>T("7609391648")</f>
        <v>7609391648</v>
      </c>
      <c r="L2354" t="str">
        <f>T("7609396037")</f>
        <v>7609396037</v>
      </c>
    </row>
    <row r="2355" spans="1:12" x14ac:dyDescent="0.35">
      <c r="A2355" t="str">
        <f t="shared" si="940"/>
        <v>NAVAIR WD</v>
      </c>
      <c r="B2355" t="str">
        <f t="shared" si="967"/>
        <v>CODE 521000D</v>
      </c>
      <c r="C2355" t="str">
        <f t="shared" si="968"/>
        <v>130 EASY RD MS 3006</v>
      </c>
      <c r="D2355" t="str">
        <f t="shared" si="958"/>
        <v>CHINA LAKE</v>
      </c>
      <c r="E2355" t="str">
        <f t="shared" si="941"/>
        <v>CA</v>
      </c>
      <c r="F2355" t="str">
        <f t="shared" si="969"/>
        <v>935556109</v>
      </c>
      <c r="G2355" t="str">
        <f>T("CODE 52100MD")</f>
        <v>CODE 52100MD</v>
      </c>
      <c r="H2355" t="str">
        <f>T("130 EASY RD BLDG 31457")</f>
        <v>130 EASY RD BLDG 31457</v>
      </c>
      <c r="I2355" t="str">
        <f>T("CHINA LAKE")</f>
        <v>CHINA LAKE</v>
      </c>
      <c r="J2355" t="str">
        <f t="shared" si="942"/>
        <v>CA</v>
      </c>
      <c r="K2355" t="str">
        <f>T("7609391648")</f>
        <v>7609391648</v>
      </c>
      <c r="L2355" t="str">
        <f>T("7609396727")</f>
        <v>7609396727</v>
      </c>
    </row>
    <row r="2356" spans="1:12" x14ac:dyDescent="0.35">
      <c r="A2356" t="str">
        <f t="shared" si="940"/>
        <v>NAVAIR WD</v>
      </c>
      <c r="B2356" t="str">
        <f t="shared" si="967"/>
        <v>CODE 521000D</v>
      </c>
      <c r="C2356" t="str">
        <f t="shared" si="968"/>
        <v>130 EASY RD MS 3006</v>
      </c>
      <c r="D2356" t="str">
        <f t="shared" si="958"/>
        <v>CHINA LAKE</v>
      </c>
      <c r="E2356" t="str">
        <f t="shared" si="941"/>
        <v>CA</v>
      </c>
      <c r="F2356" t="str">
        <f t="shared" si="969"/>
        <v>935556109</v>
      </c>
      <c r="G2356" t="str">
        <f>T("CODE 52100MD")</f>
        <v>CODE 52100MD</v>
      </c>
      <c r="H2356" t="str">
        <f>T("130 EASY RD MS 3006")</f>
        <v>130 EASY RD MS 3006</v>
      </c>
      <c r="I2356" t="str">
        <f>T("RIDGECREST")</f>
        <v>RIDGECREST</v>
      </c>
      <c r="J2356" t="str">
        <f t="shared" si="942"/>
        <v>CA</v>
      </c>
      <c r="K2356" t="str">
        <f>T("7609391648")</f>
        <v>7609391648</v>
      </c>
      <c r="L2356" t="str">
        <f>T("7609395504")</f>
        <v>7609395504</v>
      </c>
    </row>
    <row r="2357" spans="1:12" x14ac:dyDescent="0.35">
      <c r="A2357" t="str">
        <f t="shared" si="940"/>
        <v>NAVAIR WD</v>
      </c>
      <c r="B2357" t="str">
        <f t="shared" si="967"/>
        <v>CODE 521000D</v>
      </c>
      <c r="C2357" t="str">
        <f t="shared" si="968"/>
        <v>130 EASY RD MS 3006</v>
      </c>
      <c r="D2357" t="str">
        <f t="shared" si="958"/>
        <v>CHINA LAKE</v>
      </c>
      <c r="E2357" t="str">
        <f t="shared" si="941"/>
        <v>CA</v>
      </c>
      <c r="F2357" t="str">
        <f t="shared" si="969"/>
        <v>935556109</v>
      </c>
      <c r="G2357" t="str">
        <f>T("CODE 52110MD, 130 EASY RD")</f>
        <v>CODE 52110MD, 130 EASY RD</v>
      </c>
      <c r="H2357" t="str">
        <f>T("BLDG 31633J, RM 2")</f>
        <v>BLDG 31633J, RM 2</v>
      </c>
      <c r="I2357" t="str">
        <f>T("CHINA LAKE")</f>
        <v>CHINA LAKE</v>
      </c>
      <c r="J2357" t="str">
        <f t="shared" si="942"/>
        <v>CA</v>
      </c>
      <c r="K2357" t="str">
        <f>T("7609394308")</f>
        <v>7609394308</v>
      </c>
      <c r="L2357" t="str">
        <f>T("7609394358")</f>
        <v>7609394358</v>
      </c>
    </row>
    <row r="2358" spans="1:12" x14ac:dyDescent="0.35">
      <c r="A2358" t="str">
        <f t="shared" si="940"/>
        <v>NAVAIR WD</v>
      </c>
      <c r="B2358" t="str">
        <f t="shared" si="967"/>
        <v>CODE 521000D</v>
      </c>
      <c r="C2358" t="str">
        <f t="shared" si="968"/>
        <v>130 EASY RD MS 3006</v>
      </c>
      <c r="D2358" t="str">
        <f t="shared" si="958"/>
        <v>CHINA LAKE</v>
      </c>
      <c r="E2358" t="str">
        <f t="shared" si="941"/>
        <v>CA</v>
      </c>
      <c r="F2358" t="str">
        <f t="shared" si="969"/>
        <v>935556109</v>
      </c>
      <c r="G2358" t="str">
        <f>T("CODE 52113MD")</f>
        <v>CODE 52113MD</v>
      </c>
      <c r="H2358" t="str">
        <f>T("1 ADMIN CIRCLE MS 111")</f>
        <v>1 ADMIN CIRCLE MS 111</v>
      </c>
      <c r="I2358" t="str">
        <f>T("CHINA LAKE")</f>
        <v>CHINA LAKE</v>
      </c>
      <c r="J2358" t="str">
        <f t="shared" si="942"/>
        <v>CA</v>
      </c>
      <c r="K2358" t="str">
        <f>T("7609391648")</f>
        <v>7609391648</v>
      </c>
      <c r="L2358" t="str">
        <f>T("7609396312")</f>
        <v>7609396312</v>
      </c>
    </row>
    <row r="2359" spans="1:12" x14ac:dyDescent="0.35">
      <c r="A2359" t="str">
        <f t="shared" si="940"/>
        <v>NAVAIR WD</v>
      </c>
      <c r="B2359" t="str">
        <f t="shared" si="967"/>
        <v>CODE 521000D</v>
      </c>
      <c r="C2359" t="str">
        <f t="shared" si="968"/>
        <v>130 EASY RD MS 3006</v>
      </c>
      <c r="D2359" t="str">
        <f t="shared" si="958"/>
        <v>CHINA LAKE</v>
      </c>
      <c r="E2359" t="str">
        <f t="shared" si="941"/>
        <v>CA</v>
      </c>
      <c r="F2359" t="str">
        <f t="shared" si="969"/>
        <v>935556109</v>
      </c>
      <c r="G2359" t="str">
        <f>T("CODE 52150MD")</f>
        <v>CODE 52150MD</v>
      </c>
      <c r="H2359" t="str">
        <f>T("130 EASY RD MS 3016")</f>
        <v>130 EASY RD MS 3016</v>
      </c>
      <c r="I2359" t="str">
        <f>T("RIDGECREST")</f>
        <v>RIDGECREST</v>
      </c>
      <c r="J2359" t="str">
        <f t="shared" si="942"/>
        <v>CA</v>
      </c>
      <c r="K2359" t="str">
        <f>T("7609391648")</f>
        <v>7609391648</v>
      </c>
      <c r="L2359" t="str">
        <f>T("7609390950")</f>
        <v>7609390950</v>
      </c>
    </row>
    <row r="2360" spans="1:12" x14ac:dyDescent="0.35">
      <c r="A2360" t="str">
        <f t="shared" si="940"/>
        <v>NAVAIR WD</v>
      </c>
      <c r="B2360" t="str">
        <f t="shared" si="967"/>
        <v>CODE 521000D</v>
      </c>
      <c r="C2360" t="str">
        <f t="shared" si="968"/>
        <v>130 EASY RD MS 3006</v>
      </c>
      <c r="D2360" t="str">
        <f t="shared" si="958"/>
        <v>CHINA LAKE</v>
      </c>
      <c r="E2360" t="str">
        <f t="shared" si="941"/>
        <v>CA</v>
      </c>
      <c r="F2360" t="str">
        <f t="shared" si="969"/>
        <v>935556109</v>
      </c>
      <c r="G2360" t="str">
        <f>T("CODE 52320MD")</f>
        <v>CODE 52320MD</v>
      </c>
      <c r="H2360" t="str">
        <f>T("")</f>
        <v/>
      </c>
      <c r="I2360" t="str">
        <f>T("CHINA LAKE")</f>
        <v>CHINA LAKE</v>
      </c>
      <c r="J2360" t="str">
        <f t="shared" si="942"/>
        <v>CA</v>
      </c>
      <c r="K2360" t="str">
        <f>T("7609391648")</f>
        <v>7609391648</v>
      </c>
      <c r="L2360" t="str">
        <f>T("7609396763")</f>
        <v>7609396763</v>
      </c>
    </row>
    <row r="2361" spans="1:12" x14ac:dyDescent="0.35">
      <c r="A2361" t="str">
        <f t="shared" ref="A2361:A2424" si="970">T("NAVAIR WD")</f>
        <v>NAVAIR WD</v>
      </c>
      <c r="B2361" t="str">
        <f>T("CODE 52113MD")</f>
        <v>CODE 52113MD</v>
      </c>
      <c r="C2361" t="str">
        <f>T("1 ADMIN CIRCLE BLDG 30994 MS 1111")</f>
        <v>1 ADMIN CIRCLE BLDG 30994 MS 1111</v>
      </c>
      <c r="D2361" t="str">
        <f>T("RIDGECREST")</f>
        <v>RIDGECREST</v>
      </c>
      <c r="E2361" t="str">
        <f t="shared" ref="E2361:E2424" si="971">T("CA")</f>
        <v>CA</v>
      </c>
      <c r="F2361" t="str">
        <f>T("935556104")</f>
        <v>935556104</v>
      </c>
      <c r="G2361" t="str">
        <f>T("CODE 52113MD")</f>
        <v>CODE 52113MD</v>
      </c>
      <c r="H2361" t="str">
        <f>T("1 ADMIN CIRCLE BLDG 30994 MS 1111")</f>
        <v>1 ADMIN CIRCLE BLDG 30994 MS 1111</v>
      </c>
      <c r="I2361" t="str">
        <f>T("RIDGECREST")</f>
        <v>RIDGECREST</v>
      </c>
      <c r="J2361" t="str">
        <f t="shared" ref="J2361:J2424" si="972">T("CA")</f>
        <v>CA</v>
      </c>
      <c r="K2361" t="str">
        <f>T("760-939-1648")</f>
        <v>760-939-1648</v>
      </c>
      <c r="L2361" t="str">
        <f>T("7609396188")</f>
        <v>7609396188</v>
      </c>
    </row>
    <row r="2362" spans="1:12" x14ac:dyDescent="0.35">
      <c r="A2362" t="str">
        <f t="shared" si="970"/>
        <v>NAVAIR WD</v>
      </c>
      <c r="B2362" t="str">
        <f>T("CODE 52113MD")</f>
        <v>CODE 52113MD</v>
      </c>
      <c r="C2362" t="str">
        <f>T("1 ADMIN CIRCLE BLDG 30994 MS1111")</f>
        <v>1 ADMIN CIRCLE BLDG 30994 MS1111</v>
      </c>
      <c r="D2362" t="str">
        <f>T("RIDGECREST")</f>
        <v>RIDGECREST</v>
      </c>
      <c r="E2362" t="str">
        <f t="shared" si="971"/>
        <v>CA</v>
      </c>
      <c r="F2362" t="str">
        <f>T("935556104")</f>
        <v>935556104</v>
      </c>
      <c r="G2362" t="str">
        <f>T("CODE 52113MD")</f>
        <v>CODE 52113MD</v>
      </c>
      <c r="H2362" t="str">
        <f>T("1 ADMIN CIRCLE BLDG 30994 MS1111")</f>
        <v>1 ADMIN CIRCLE BLDG 30994 MS1111</v>
      </c>
      <c r="I2362" t="str">
        <f>T("RIDGECREST")</f>
        <v>RIDGECREST</v>
      </c>
      <c r="J2362" t="str">
        <f t="shared" si="972"/>
        <v>CA</v>
      </c>
      <c r="K2362" t="str">
        <f>T("7609391648")</f>
        <v>7609391648</v>
      </c>
      <c r="L2362" t="str">
        <f>T("7609396188")</f>
        <v>7609396188</v>
      </c>
    </row>
    <row r="2363" spans="1:12" x14ac:dyDescent="0.35">
      <c r="A2363" t="str">
        <f t="shared" si="970"/>
        <v>NAVAIR WD</v>
      </c>
      <c r="B2363" t="str">
        <f>T("CODE 52510MD")</f>
        <v>CODE 52510MD</v>
      </c>
      <c r="C2363" t="str">
        <f>T("130 EASY RD BLDG 30881 MS 3013")</f>
        <v>130 EASY RD BLDG 30881 MS 3013</v>
      </c>
      <c r="D2363" t="str">
        <f>T("CHINA LAKE")</f>
        <v>CHINA LAKE</v>
      </c>
      <c r="E2363" t="str">
        <f t="shared" si="971"/>
        <v>CA</v>
      </c>
      <c r="F2363" t="str">
        <f t="shared" ref="F2363:F2368" si="973">T("935556109")</f>
        <v>935556109</v>
      </c>
      <c r="G2363" t="str">
        <f>T("CODE 52510MD")</f>
        <v>CODE 52510MD</v>
      </c>
      <c r="H2363" t="str">
        <f>T("130 EASY RD BLDG 30881 MS 3013")</f>
        <v>130 EASY RD BLDG 30881 MS 3013</v>
      </c>
      <c r="I2363" t="str">
        <f>T("CHINA LAKE")</f>
        <v>CHINA LAKE</v>
      </c>
      <c r="J2363" t="str">
        <f t="shared" si="972"/>
        <v>CA</v>
      </c>
      <c r="K2363" t="str">
        <f>T("7609391648")</f>
        <v>7609391648</v>
      </c>
      <c r="L2363" t="str">
        <f>T("7609394352")</f>
        <v>7609394352</v>
      </c>
    </row>
    <row r="2364" spans="1:12" x14ac:dyDescent="0.35">
      <c r="A2364" t="str">
        <f t="shared" si="970"/>
        <v>NAVAIR WD</v>
      </c>
      <c r="B2364" t="str">
        <f>T("CODE 52510MD")</f>
        <v>CODE 52510MD</v>
      </c>
      <c r="C2364" t="str">
        <f>T("130 EASY RD BLDG 30881 MS 3013")</f>
        <v>130 EASY RD BLDG 30881 MS 3013</v>
      </c>
      <c r="D2364" t="str">
        <f>T("CHINA LAKE")</f>
        <v>CHINA LAKE</v>
      </c>
      <c r="E2364" t="str">
        <f t="shared" si="971"/>
        <v>CA</v>
      </c>
      <c r="F2364" t="str">
        <f t="shared" si="973"/>
        <v>935556109</v>
      </c>
      <c r="G2364" t="str">
        <f>T("CODE 52511MD")</f>
        <v>CODE 52511MD</v>
      </c>
      <c r="H2364" t="str">
        <f>T("130 EASY RD MS 3013")</f>
        <v>130 EASY RD MS 3013</v>
      </c>
      <c r="I2364" t="str">
        <f>T("RIDGECREST")</f>
        <v>RIDGECREST</v>
      </c>
      <c r="J2364" t="str">
        <f t="shared" si="972"/>
        <v>CA</v>
      </c>
      <c r="K2364" t="str">
        <f>T("7609391648")</f>
        <v>7609391648</v>
      </c>
      <c r="L2364" t="str">
        <f>T("7609396354")</f>
        <v>7609396354</v>
      </c>
    </row>
    <row r="2365" spans="1:12" x14ac:dyDescent="0.35">
      <c r="A2365" t="str">
        <f t="shared" si="970"/>
        <v>NAVAIR WD</v>
      </c>
      <c r="B2365" t="str">
        <f>T("CODE 52540MD")</f>
        <v>CODE 52540MD</v>
      </c>
      <c r="C2365" t="str">
        <f>T("130 EASY RD BLDG 32544 MS 3015")</f>
        <v>130 EASY RD BLDG 32544 MS 3015</v>
      </c>
      <c r="D2365" t="str">
        <f>T("RIDGECREST")</f>
        <v>RIDGECREST</v>
      </c>
      <c r="E2365" t="str">
        <f t="shared" si="971"/>
        <v>CA</v>
      </c>
      <c r="F2365" t="str">
        <f t="shared" si="973"/>
        <v>935556109</v>
      </c>
      <c r="G2365" t="str">
        <f>T("CODE 52540MD")</f>
        <v>CODE 52540MD</v>
      </c>
      <c r="H2365" t="str">
        <f>T("130 EASY RD BLDG 32544 MS 3015")</f>
        <v>130 EASY RD BLDG 32544 MS 3015</v>
      </c>
      <c r="I2365" t="str">
        <f>T("RIDGECREST")</f>
        <v>RIDGECREST</v>
      </c>
      <c r="J2365" t="str">
        <f t="shared" si="972"/>
        <v>CA</v>
      </c>
      <c r="K2365" t="str">
        <f>T("000000000000000000")</f>
        <v>000000000000000000</v>
      </c>
      <c r="L2365" t="str">
        <f>T("7609396375")</f>
        <v>7609396375</v>
      </c>
    </row>
    <row r="2366" spans="1:12" x14ac:dyDescent="0.35">
      <c r="A2366" t="str">
        <f t="shared" si="970"/>
        <v>NAVAIR WD</v>
      </c>
      <c r="B2366" t="str">
        <f>T("CODE 52541MD")</f>
        <v>CODE 52541MD</v>
      </c>
      <c r="C2366" t="str">
        <f>T("130 EASY RD MS 3015")</f>
        <v>130 EASY RD MS 3015</v>
      </c>
      <c r="D2366" t="str">
        <f>T("RIDGECREST")</f>
        <v>RIDGECREST</v>
      </c>
      <c r="E2366" t="str">
        <f t="shared" si="971"/>
        <v>CA</v>
      </c>
      <c r="F2366" t="str">
        <f t="shared" si="973"/>
        <v>935556109</v>
      </c>
      <c r="G2366" t="str">
        <f>T("CODE 52500MD")</f>
        <v>CODE 52500MD</v>
      </c>
      <c r="H2366" t="str">
        <f>T("130 TOWER RD BLDG 32544 MS 3015")</f>
        <v>130 TOWER RD BLDG 32544 MS 3015</v>
      </c>
      <c r="I2366" t="str">
        <f>T("CHINA LAKE")</f>
        <v>CHINA LAKE</v>
      </c>
      <c r="J2366" t="str">
        <f t="shared" si="972"/>
        <v>CA</v>
      </c>
      <c r="K2366" t="str">
        <f>T("7609391648")</f>
        <v>7609391648</v>
      </c>
      <c r="L2366" t="str">
        <f>T("7609393602")</f>
        <v>7609393602</v>
      </c>
    </row>
    <row r="2367" spans="1:12" x14ac:dyDescent="0.35">
      <c r="A2367" t="str">
        <f t="shared" si="970"/>
        <v>NAVAIR WD</v>
      </c>
      <c r="B2367" t="str">
        <f>T("CODE 52541MD")</f>
        <v>CODE 52541MD</v>
      </c>
      <c r="C2367" t="str">
        <f>T("130 EASY RD MS 3015")</f>
        <v>130 EASY RD MS 3015</v>
      </c>
      <c r="D2367" t="str">
        <f>T("RIDGECREST")</f>
        <v>RIDGECREST</v>
      </c>
      <c r="E2367" t="str">
        <f t="shared" si="971"/>
        <v>CA</v>
      </c>
      <c r="F2367" t="str">
        <f t="shared" si="973"/>
        <v>935556109</v>
      </c>
      <c r="G2367" t="str">
        <f>T("CODE 52541MD")</f>
        <v>CODE 52541MD</v>
      </c>
      <c r="H2367" t="str">
        <f>T("130 EASY RD MS 3015")</f>
        <v>130 EASY RD MS 3015</v>
      </c>
      <c r="I2367" t="str">
        <f>T("RIDGECREST")</f>
        <v>RIDGECREST</v>
      </c>
      <c r="J2367" t="str">
        <f t="shared" si="972"/>
        <v>CA</v>
      </c>
      <c r="K2367" t="str">
        <f>T("760-939-1648")</f>
        <v>760-939-1648</v>
      </c>
      <c r="L2367" t="str">
        <f>T("7609396691")</f>
        <v>7609396691</v>
      </c>
    </row>
    <row r="2368" spans="1:12" x14ac:dyDescent="0.35">
      <c r="A2368" t="str">
        <f t="shared" si="970"/>
        <v>NAVAIR WD</v>
      </c>
      <c r="B2368" t="str">
        <f>T("CODE 52541MD")</f>
        <v>CODE 52541MD</v>
      </c>
      <c r="C2368" t="str">
        <f>T("130 EASY RD MS 3015")</f>
        <v>130 EASY RD MS 3015</v>
      </c>
      <c r="D2368" t="str">
        <f>T("RIDGECREST")</f>
        <v>RIDGECREST</v>
      </c>
      <c r="E2368" t="str">
        <f t="shared" si="971"/>
        <v>CA</v>
      </c>
      <c r="F2368" t="str">
        <f t="shared" si="973"/>
        <v>935556109</v>
      </c>
      <c r="G2368" t="str">
        <f>T("CODE 52541MD")</f>
        <v>CODE 52541MD</v>
      </c>
      <c r="H2368" t="str">
        <f>T("130 EASY RD MS 3015")</f>
        <v>130 EASY RD MS 3015</v>
      </c>
      <c r="I2368" t="str">
        <f>T("RIDGECREST")</f>
        <v>RIDGECREST</v>
      </c>
      <c r="J2368" t="str">
        <f t="shared" si="972"/>
        <v>CA</v>
      </c>
      <c r="K2368" t="str">
        <f t="shared" ref="K2368:K2374" si="974">T("7609391648")</f>
        <v>7609391648</v>
      </c>
      <c r="L2368" t="str">
        <f>T("7609396598")</f>
        <v>7609396598</v>
      </c>
    </row>
    <row r="2369" spans="1:12" x14ac:dyDescent="0.35">
      <c r="A2369" t="str">
        <f t="shared" si="970"/>
        <v>NAVAIR WD</v>
      </c>
      <c r="B2369" t="str">
        <f>T("CODE 52620MD")</f>
        <v>CODE 52620MD</v>
      </c>
      <c r="C2369" t="str">
        <f>T("7000 RRANDWASH RD, MS 7107")</f>
        <v>7000 RRANDWASH RD, MS 7107</v>
      </c>
      <c r="D2369" t="str">
        <f>T("CHINA LAKE")</f>
        <v>CHINA LAKE</v>
      </c>
      <c r="E2369" t="str">
        <f t="shared" si="971"/>
        <v>CA</v>
      </c>
      <c r="F2369" t="str">
        <f t="shared" ref="F2369:F2375" si="975">T("935556105")</f>
        <v>935556105</v>
      </c>
      <c r="G2369" t="str">
        <f>T("CODE 52600MD")</f>
        <v>CODE 52600MD</v>
      </c>
      <c r="H2369" t="str">
        <f>T("7000 RANDWASH RD MS 7000")</f>
        <v>7000 RANDWASH RD MS 7000</v>
      </c>
      <c r="I2369" t="str">
        <f>T("RIDGECREST")</f>
        <v>RIDGECREST</v>
      </c>
      <c r="J2369" t="str">
        <f t="shared" si="972"/>
        <v>CA</v>
      </c>
      <c r="K2369" t="str">
        <f t="shared" si="974"/>
        <v>7609391648</v>
      </c>
      <c r="L2369" t="str">
        <f>T("7609397200")</f>
        <v>7609397200</v>
      </c>
    </row>
    <row r="2370" spans="1:12" x14ac:dyDescent="0.35">
      <c r="A2370" t="str">
        <f t="shared" si="970"/>
        <v>NAVAIR WD</v>
      </c>
      <c r="B2370" t="str">
        <f>T("CODE 52620MD")</f>
        <v>CODE 52620MD</v>
      </c>
      <c r="C2370" t="str">
        <f>T("7000 RRANDWASH RD, MS 7107")</f>
        <v>7000 RRANDWASH RD, MS 7107</v>
      </c>
      <c r="D2370" t="str">
        <f>T("CHINA LAKE")</f>
        <v>CHINA LAKE</v>
      </c>
      <c r="E2370" t="str">
        <f t="shared" si="971"/>
        <v>CA</v>
      </c>
      <c r="F2370" t="str">
        <f t="shared" si="975"/>
        <v>935556105</v>
      </c>
      <c r="G2370" t="str">
        <f>T("CODE 52600MD")</f>
        <v>CODE 52600MD</v>
      </c>
      <c r="H2370" t="str">
        <f>T("7000 RANDWASH RD STOP 7001")</f>
        <v>7000 RANDWASH RD STOP 7001</v>
      </c>
      <c r="I2370" t="str">
        <f>T("CHINA LAKE")</f>
        <v>CHINA LAKE</v>
      </c>
      <c r="J2370" t="str">
        <f t="shared" si="972"/>
        <v>CA</v>
      </c>
      <c r="K2370" t="str">
        <f t="shared" si="974"/>
        <v>7609391648</v>
      </c>
      <c r="L2370" t="str">
        <f>T("7609399197")</f>
        <v>7609399197</v>
      </c>
    </row>
    <row r="2371" spans="1:12" x14ac:dyDescent="0.35">
      <c r="A2371" t="str">
        <f t="shared" si="970"/>
        <v>NAVAIR WD</v>
      </c>
      <c r="B2371" t="str">
        <f>T("CODE 52620MD")</f>
        <v>CODE 52620MD</v>
      </c>
      <c r="C2371" t="str">
        <f>T("7000 RRANDWASH RD, MS 7107")</f>
        <v>7000 RRANDWASH RD, MS 7107</v>
      </c>
      <c r="D2371" t="str">
        <f>T("CHINA LAKE")</f>
        <v>CHINA LAKE</v>
      </c>
      <c r="E2371" t="str">
        <f t="shared" si="971"/>
        <v>CA</v>
      </c>
      <c r="F2371" t="str">
        <f t="shared" si="975"/>
        <v>935556105</v>
      </c>
      <c r="G2371" t="str">
        <f>T("CODE 52620MD")</f>
        <v>CODE 52620MD</v>
      </c>
      <c r="H2371" t="str">
        <f>T("7000 RRANDWASH RD, MS 7107")</f>
        <v>7000 RRANDWASH RD, MS 7107</v>
      </c>
      <c r="I2371" t="str">
        <f>T("CHINA LAKE")</f>
        <v>CHINA LAKE</v>
      </c>
      <c r="J2371" t="str">
        <f t="shared" si="972"/>
        <v>CA</v>
      </c>
      <c r="K2371" t="str">
        <f t="shared" si="974"/>
        <v>7609391648</v>
      </c>
      <c r="L2371" t="str">
        <f>T("7609399362")</f>
        <v>7609399362</v>
      </c>
    </row>
    <row r="2372" spans="1:12" x14ac:dyDescent="0.35">
      <c r="A2372" t="str">
        <f t="shared" si="970"/>
        <v>NAVAIR WD</v>
      </c>
      <c r="B2372" t="str">
        <f>T("CODE 52620MD")</f>
        <v>CODE 52620MD</v>
      </c>
      <c r="C2372" t="str">
        <f>T("7000 RRANDWASH RD, MS 7107")</f>
        <v>7000 RRANDWASH RD, MS 7107</v>
      </c>
      <c r="D2372" t="str">
        <f>T("CHINA LAKE")</f>
        <v>CHINA LAKE</v>
      </c>
      <c r="E2372" t="str">
        <f t="shared" si="971"/>
        <v>CA</v>
      </c>
      <c r="F2372" t="str">
        <f t="shared" si="975"/>
        <v>935556105</v>
      </c>
      <c r="G2372" t="str">
        <f>T("CODE 52621MD")</f>
        <v>CODE 52621MD</v>
      </c>
      <c r="H2372" t="str">
        <f>T("")</f>
        <v/>
      </c>
      <c r="I2372" t="str">
        <f>T("CHINA LAKE")</f>
        <v>CHINA LAKE</v>
      </c>
      <c r="J2372" t="str">
        <f t="shared" si="972"/>
        <v>CA</v>
      </c>
      <c r="K2372" t="str">
        <f t="shared" si="974"/>
        <v>7609391648</v>
      </c>
      <c r="L2372" t="str">
        <f>T("7609399180")</f>
        <v>7609399180</v>
      </c>
    </row>
    <row r="2373" spans="1:12" x14ac:dyDescent="0.35">
      <c r="A2373" t="str">
        <f t="shared" si="970"/>
        <v>NAVAIR WD</v>
      </c>
      <c r="B2373" t="str">
        <f>T("CODE 52620MD")</f>
        <v>CODE 52620MD</v>
      </c>
      <c r="C2373" t="str">
        <f>T("7000 RRANDWASH RD, MS 7107")</f>
        <v>7000 RRANDWASH RD, MS 7107</v>
      </c>
      <c r="D2373" t="str">
        <f>T("CHINA LAKE")</f>
        <v>CHINA LAKE</v>
      </c>
      <c r="E2373" t="str">
        <f t="shared" si="971"/>
        <v>CA</v>
      </c>
      <c r="F2373" t="str">
        <f t="shared" si="975"/>
        <v>935556105</v>
      </c>
      <c r="G2373" t="str">
        <f>T("CODE 52621MD")</f>
        <v>CODE 52621MD</v>
      </c>
      <c r="H2373" t="str">
        <f>T("7000 RAND WASH RD MS 7001")</f>
        <v>7000 RAND WASH RD MS 7001</v>
      </c>
      <c r="I2373" t="str">
        <f>T("CHINA LAKE")</f>
        <v>CHINA LAKE</v>
      </c>
      <c r="J2373" t="str">
        <f t="shared" si="972"/>
        <v>CA</v>
      </c>
      <c r="K2373" t="str">
        <f t="shared" si="974"/>
        <v>7609391648</v>
      </c>
      <c r="L2373" t="str">
        <f>T("7609399223")</f>
        <v>7609399223</v>
      </c>
    </row>
    <row r="2374" spans="1:12" x14ac:dyDescent="0.35">
      <c r="A2374" t="str">
        <f t="shared" si="970"/>
        <v>NAVAIR WD</v>
      </c>
      <c r="B2374" t="str">
        <f>T("CODE 52621MD")</f>
        <v>CODE 52621MD</v>
      </c>
      <c r="C2374" t="str">
        <f>T("7000 RANDWASH RD")</f>
        <v>7000 RANDWASH RD</v>
      </c>
      <c r="D2374" t="str">
        <f>T("RIDGECREST")</f>
        <v>RIDGECREST</v>
      </c>
      <c r="E2374" t="str">
        <f t="shared" si="971"/>
        <v>CA</v>
      </c>
      <c r="F2374" t="str">
        <f t="shared" si="975"/>
        <v>935556105</v>
      </c>
      <c r="G2374" t="str">
        <f>T("CODE 52620MD")</f>
        <v>CODE 52620MD</v>
      </c>
      <c r="H2374" t="str">
        <f>T("7000 RANDWASH RD MS 7101")</f>
        <v>7000 RANDWASH RD MS 7101</v>
      </c>
      <c r="I2374" t="str">
        <f>T("RIDGECREST")</f>
        <v>RIDGECREST</v>
      </c>
      <c r="J2374" t="str">
        <f t="shared" si="972"/>
        <v>CA</v>
      </c>
      <c r="K2374" t="str">
        <f t="shared" si="974"/>
        <v>7609391648</v>
      </c>
      <c r="L2374" t="str">
        <f>T("7609399069")</f>
        <v>7609399069</v>
      </c>
    </row>
    <row r="2375" spans="1:12" x14ac:dyDescent="0.35">
      <c r="A2375" t="str">
        <f t="shared" si="970"/>
        <v>NAVAIR WD</v>
      </c>
      <c r="B2375" t="str">
        <f>T("CODE 52621MD")</f>
        <v>CODE 52621MD</v>
      </c>
      <c r="C2375" t="str">
        <f>T("7000 RANDWASH RD")</f>
        <v>7000 RANDWASH RD</v>
      </c>
      <c r="D2375" t="str">
        <f>T("RIDGECREST")</f>
        <v>RIDGECREST</v>
      </c>
      <c r="E2375" t="str">
        <f t="shared" si="971"/>
        <v>CA</v>
      </c>
      <c r="F2375" t="str">
        <f t="shared" si="975"/>
        <v>935556105</v>
      </c>
      <c r="G2375" t="str">
        <f>T("CODE 52621MD")</f>
        <v>CODE 52621MD</v>
      </c>
      <c r="H2375" t="str">
        <f>T("7000 RANDWASH RD")</f>
        <v>7000 RANDWASH RD</v>
      </c>
      <c r="I2375" t="str">
        <f>T("RIDGECREST")</f>
        <v>RIDGECREST</v>
      </c>
      <c r="J2375" t="str">
        <f t="shared" si="972"/>
        <v>CA</v>
      </c>
      <c r="K2375" t="str">
        <f>T("760-939-1648")</f>
        <v>760-939-1648</v>
      </c>
      <c r="L2375" t="str">
        <f>T("7609399165")</f>
        <v>7609399165</v>
      </c>
    </row>
    <row r="2376" spans="1:12" x14ac:dyDescent="0.35">
      <c r="A2376" t="str">
        <f t="shared" si="970"/>
        <v>NAVAIR WD</v>
      </c>
      <c r="B2376" t="str">
        <f>T("CODE 52730MD")</f>
        <v>CODE 52730MD</v>
      </c>
      <c r="C2376" t="str">
        <f>T("130 EASY RD MS 1104")</f>
        <v>130 EASY RD MS 1104</v>
      </c>
      <c r="D2376" t="str">
        <f>T("CHINA LAKE")</f>
        <v>CHINA LAKE</v>
      </c>
      <c r="E2376" t="str">
        <f t="shared" si="971"/>
        <v>CA</v>
      </c>
      <c r="F2376" t="str">
        <f>T("935556109")</f>
        <v>935556109</v>
      </c>
      <c r="G2376" t="str">
        <f>T("CODE 52730MD")</f>
        <v>CODE 52730MD</v>
      </c>
      <c r="H2376" t="str">
        <f>T("130 EASY RD BLDG 31454 MS 1104")</f>
        <v>130 EASY RD BLDG 31454 MS 1104</v>
      </c>
      <c r="I2376" t="str">
        <f>T("CHINA LAKE")</f>
        <v>CHINA LAKE</v>
      </c>
      <c r="J2376" t="str">
        <f t="shared" si="972"/>
        <v>CA</v>
      </c>
      <c r="K2376" t="str">
        <f>T("7609391648")</f>
        <v>7609391648</v>
      </c>
      <c r="L2376" t="str">
        <f>T("7609396984")</f>
        <v>7609396984</v>
      </c>
    </row>
    <row r="2377" spans="1:12" x14ac:dyDescent="0.35">
      <c r="A2377" t="str">
        <f t="shared" si="970"/>
        <v>NAVAIR WD</v>
      </c>
      <c r="B2377" t="str">
        <f>T("CODE 52730MD")</f>
        <v>CODE 52730MD</v>
      </c>
      <c r="C2377" t="str">
        <f>T("130 EASY RD MS 1104")</f>
        <v>130 EASY RD MS 1104</v>
      </c>
      <c r="D2377" t="str">
        <f>T("CHINA LAKE")</f>
        <v>CHINA LAKE</v>
      </c>
      <c r="E2377" t="str">
        <f t="shared" si="971"/>
        <v>CA</v>
      </c>
      <c r="F2377" t="str">
        <f>T("935556109")</f>
        <v>935556109</v>
      </c>
      <c r="G2377" t="str">
        <f>T("CODE 52730MD")</f>
        <v>CODE 52730MD</v>
      </c>
      <c r="H2377" t="str">
        <f>T("130 EASY RD MS 1104")</f>
        <v>130 EASY RD MS 1104</v>
      </c>
      <c r="I2377" t="str">
        <f>T("CHINA LAKE")</f>
        <v>CHINA LAKE</v>
      </c>
      <c r="J2377" t="str">
        <f t="shared" si="972"/>
        <v>CA</v>
      </c>
      <c r="K2377" t="str">
        <f>T("760-939-1648")</f>
        <v>760-939-1648</v>
      </c>
      <c r="L2377" t="str">
        <f>T("7609396786")</f>
        <v>7609396786</v>
      </c>
    </row>
    <row r="2378" spans="1:12" x14ac:dyDescent="0.35">
      <c r="A2378" t="str">
        <f t="shared" si="970"/>
        <v>NAVAIR WD</v>
      </c>
      <c r="B2378" t="str">
        <f>T("CODE 52J000D")</f>
        <v>CODE 52J000D</v>
      </c>
      <c r="C2378" t="str">
        <f>T("1 ADMIN CIRCLE BLDG 31454, RM 266")</f>
        <v>1 ADMIN CIRCLE BLDG 31454, RM 266</v>
      </c>
      <c r="D2378" t="str">
        <f t="shared" ref="D2378:D2389" si="976">T("RIDGECREST")</f>
        <v>RIDGECREST</v>
      </c>
      <c r="E2378" t="str">
        <f t="shared" si="971"/>
        <v>CA</v>
      </c>
      <c r="F2378" t="str">
        <f t="shared" ref="F2378:F2383" si="977">T("935556104")</f>
        <v>935556104</v>
      </c>
      <c r="G2378" t="str">
        <f>T("CODE 52J000D")</f>
        <v>CODE 52J000D</v>
      </c>
      <c r="H2378" t="str">
        <f>T("1 ADMIN CIRCLE BLDG 31454, RM 266")</f>
        <v>1 ADMIN CIRCLE BLDG 31454, RM 266</v>
      </c>
      <c r="I2378" t="str">
        <f>T("RIDGECREST")</f>
        <v>RIDGECREST</v>
      </c>
      <c r="J2378" t="str">
        <f t="shared" si="972"/>
        <v>CA</v>
      </c>
      <c r="K2378" t="str">
        <f>T("000000000000000000")</f>
        <v>000000000000000000</v>
      </c>
      <c r="L2378" t="str">
        <f>T("7609397105")</f>
        <v>7609397105</v>
      </c>
    </row>
    <row r="2379" spans="1:12" x14ac:dyDescent="0.35">
      <c r="A2379" t="str">
        <f t="shared" si="970"/>
        <v>NAVAIR WD</v>
      </c>
      <c r="B2379" t="str">
        <f>T("CODE 52J31MD")</f>
        <v>CODE 52J31MD</v>
      </c>
      <c r="C2379" t="str">
        <f>T("1 ADMIN CIRCLE, MS 1104")</f>
        <v>1 ADMIN CIRCLE, MS 1104</v>
      </c>
      <c r="D2379" t="str">
        <f t="shared" si="976"/>
        <v>RIDGECREST</v>
      </c>
      <c r="E2379" t="str">
        <f t="shared" si="971"/>
        <v>CA</v>
      </c>
      <c r="F2379" t="str">
        <f t="shared" si="977"/>
        <v>935556104</v>
      </c>
      <c r="G2379" t="str">
        <f>T("CODE 52J21ME")</f>
        <v>CODE 52J21ME</v>
      </c>
      <c r="H2379" t="str">
        <f>T("575 I AVE STE 1")</f>
        <v>575 I AVE STE 1</v>
      </c>
      <c r="I2379" t="str">
        <f>T("POINT MUGU NAWC")</f>
        <v>POINT MUGU NAWC</v>
      </c>
      <c r="J2379" t="str">
        <f t="shared" si="972"/>
        <v>CA</v>
      </c>
      <c r="K2379" t="str">
        <f t="shared" ref="K2379:K2386" si="978">T("7609391648")</f>
        <v>7609391648</v>
      </c>
      <c r="L2379" t="str">
        <f>T("8059890766")</f>
        <v>8059890766</v>
      </c>
    </row>
    <row r="2380" spans="1:12" x14ac:dyDescent="0.35">
      <c r="A2380" t="str">
        <f t="shared" si="970"/>
        <v>NAVAIR WD</v>
      </c>
      <c r="B2380" t="str">
        <f>T("CODE 52J31MD")</f>
        <v>CODE 52J31MD</v>
      </c>
      <c r="C2380" t="str">
        <f>T("1 ADMIN CIRCLE, MS 1104")</f>
        <v>1 ADMIN CIRCLE, MS 1104</v>
      </c>
      <c r="D2380" t="str">
        <f t="shared" si="976"/>
        <v>RIDGECREST</v>
      </c>
      <c r="E2380" t="str">
        <f t="shared" si="971"/>
        <v>CA</v>
      </c>
      <c r="F2380" t="str">
        <f t="shared" si="977"/>
        <v>935556104</v>
      </c>
      <c r="G2380" t="str">
        <f>T("CODE 52J31MD")</f>
        <v>CODE 52J31MD</v>
      </c>
      <c r="H2380" t="str">
        <f>T("1 ADMIN CIRCLE, MS 1104")</f>
        <v>1 ADMIN CIRCLE, MS 1104</v>
      </c>
      <c r="I2380" t="str">
        <f>T("RIDGECREST")</f>
        <v>RIDGECREST</v>
      </c>
      <c r="J2380" t="str">
        <f t="shared" si="972"/>
        <v>CA</v>
      </c>
      <c r="K2380" t="str">
        <f t="shared" si="978"/>
        <v>7609391648</v>
      </c>
      <c r="L2380" t="str">
        <f>T("7609393048")</f>
        <v>7609393048</v>
      </c>
    </row>
    <row r="2381" spans="1:12" x14ac:dyDescent="0.35">
      <c r="A2381" t="str">
        <f t="shared" si="970"/>
        <v>NAVAIR WD</v>
      </c>
      <c r="B2381" t="str">
        <f>T("CODE 52J31MD")</f>
        <v>CODE 52J31MD</v>
      </c>
      <c r="C2381" t="str">
        <f>T("1 ADMIN CIRCLE, MS 1104")</f>
        <v>1 ADMIN CIRCLE, MS 1104</v>
      </c>
      <c r="D2381" t="str">
        <f t="shared" si="976"/>
        <v>RIDGECREST</v>
      </c>
      <c r="E2381" t="str">
        <f t="shared" si="971"/>
        <v>CA</v>
      </c>
      <c r="F2381" t="str">
        <f t="shared" si="977"/>
        <v>935556104</v>
      </c>
      <c r="G2381" t="str">
        <f>T("CODE 52J31MD")</f>
        <v>CODE 52J31MD</v>
      </c>
      <c r="H2381" t="str">
        <f>T("130 EASY RD MS 1104")</f>
        <v>130 EASY RD MS 1104</v>
      </c>
      <c r="I2381" t="str">
        <f>T("RIDGECREST")</f>
        <v>RIDGECREST</v>
      </c>
      <c r="J2381" t="str">
        <f t="shared" si="972"/>
        <v>CA</v>
      </c>
      <c r="K2381" t="str">
        <f t="shared" si="978"/>
        <v>7609391648</v>
      </c>
      <c r="L2381" t="str">
        <f>T("7609396757")</f>
        <v>7609396757</v>
      </c>
    </row>
    <row r="2382" spans="1:12" x14ac:dyDescent="0.35">
      <c r="A2382" t="str">
        <f t="shared" si="970"/>
        <v>NAVAIR WD</v>
      </c>
      <c r="B2382" t="str">
        <f>T("CODE 52J31MD")</f>
        <v>CODE 52J31MD</v>
      </c>
      <c r="C2382" t="str">
        <f>T("1 ADMIN CIRCLE, MS 1104")</f>
        <v>1 ADMIN CIRCLE, MS 1104</v>
      </c>
      <c r="D2382" t="str">
        <f t="shared" si="976"/>
        <v>RIDGECREST</v>
      </c>
      <c r="E2382" t="str">
        <f t="shared" si="971"/>
        <v>CA</v>
      </c>
      <c r="F2382" t="str">
        <f t="shared" si="977"/>
        <v>935556104</v>
      </c>
      <c r="G2382" t="str">
        <f>T("CODE 52J400D")</f>
        <v>CODE 52J400D</v>
      </c>
      <c r="H2382" t="str">
        <f>T("507 E CORSAIR ST MS 2026")</f>
        <v>507 E CORSAIR ST MS 2026</v>
      </c>
      <c r="I2382" t="str">
        <f>T("RIDGECREST")</f>
        <v>RIDGECREST</v>
      </c>
      <c r="J2382" t="str">
        <f t="shared" si="972"/>
        <v>CA</v>
      </c>
      <c r="K2382" t="str">
        <f t="shared" si="978"/>
        <v>7609391648</v>
      </c>
      <c r="L2382" t="str">
        <f>T("7609395971")</f>
        <v>7609395971</v>
      </c>
    </row>
    <row r="2383" spans="1:12" x14ac:dyDescent="0.35">
      <c r="A2383" t="str">
        <f t="shared" si="970"/>
        <v>NAVAIR WD</v>
      </c>
      <c r="B2383" t="str">
        <f>T("CODE 52J31MD")</f>
        <v>CODE 52J31MD</v>
      </c>
      <c r="C2383" t="str">
        <f>T("1 ADMIN CIRCLE, MS 1104")</f>
        <v>1 ADMIN CIRCLE, MS 1104</v>
      </c>
      <c r="D2383" t="str">
        <f t="shared" si="976"/>
        <v>RIDGECREST</v>
      </c>
      <c r="E2383" t="str">
        <f t="shared" si="971"/>
        <v>CA</v>
      </c>
      <c r="F2383" t="str">
        <f t="shared" si="977"/>
        <v>935556104</v>
      </c>
      <c r="G2383" t="str">
        <f>T("CODE 52J400D, 507 E. CORSAIR")</f>
        <v>CODE 52J400D, 507 E. CORSAIR</v>
      </c>
      <c r="H2383" t="str">
        <f>T("MS2026, BLDG 20002 ANNEX, RM 2127")</f>
        <v>MS2026, BLDG 20002 ANNEX, RM 2127</v>
      </c>
      <c r="I2383" t="str">
        <f>T("CHINA LAKE")</f>
        <v>CHINA LAKE</v>
      </c>
      <c r="J2383" t="str">
        <f t="shared" si="972"/>
        <v>CA</v>
      </c>
      <c r="K2383" t="str">
        <f t="shared" si="978"/>
        <v>7609391648</v>
      </c>
      <c r="L2383" t="str">
        <f>T("7609395461")</f>
        <v>7609395461</v>
      </c>
    </row>
    <row r="2384" spans="1:12" x14ac:dyDescent="0.35">
      <c r="A2384" t="str">
        <f t="shared" si="970"/>
        <v>NAVAIR WD</v>
      </c>
      <c r="B2384" t="str">
        <f t="shared" ref="B2384:B2389" si="979">T("CODE 52J400D")</f>
        <v>CODE 52J400D</v>
      </c>
      <c r="C2384" t="str">
        <f t="shared" ref="C2384:C2389" si="980">T("507 E CORSAIR BLDG 200002 RM 2127")</f>
        <v>507 E CORSAIR BLDG 200002 RM 2127</v>
      </c>
      <c r="D2384" t="str">
        <f t="shared" si="976"/>
        <v>RIDGECREST</v>
      </c>
      <c r="E2384" t="str">
        <f t="shared" si="971"/>
        <v>CA</v>
      </c>
      <c r="F2384" t="str">
        <f t="shared" ref="F2384:F2389" si="981">T("935556110")</f>
        <v>935556110</v>
      </c>
      <c r="G2384" t="str">
        <f>T("CODE 52J000E")</f>
        <v>CODE 52J000E</v>
      </c>
      <c r="H2384" t="str">
        <f>T("575 I AVE STE 1 BLDG 512 RM 119")</f>
        <v>575 I AVE STE 1 BLDG 512 RM 119</v>
      </c>
      <c r="I2384" t="str">
        <f>T("POINT MUGU NAWC")</f>
        <v>POINT MUGU NAWC</v>
      </c>
      <c r="J2384" t="str">
        <f t="shared" si="972"/>
        <v>CA</v>
      </c>
      <c r="K2384" t="str">
        <f t="shared" si="978"/>
        <v>7609391648</v>
      </c>
      <c r="L2384" t="str">
        <f>T("8059894361")</f>
        <v>8059894361</v>
      </c>
    </row>
    <row r="2385" spans="1:12" x14ac:dyDescent="0.35">
      <c r="A2385" t="str">
        <f t="shared" si="970"/>
        <v>NAVAIR WD</v>
      </c>
      <c r="B2385" t="str">
        <f t="shared" si="979"/>
        <v>CODE 52J400D</v>
      </c>
      <c r="C2385" t="str">
        <f t="shared" si="980"/>
        <v>507 E CORSAIR BLDG 200002 RM 2127</v>
      </c>
      <c r="D2385" t="str">
        <f t="shared" si="976"/>
        <v>RIDGECREST</v>
      </c>
      <c r="E2385" t="str">
        <f t="shared" si="971"/>
        <v>CA</v>
      </c>
      <c r="F2385" t="str">
        <f t="shared" si="981"/>
        <v>935556110</v>
      </c>
      <c r="G2385" t="str">
        <f>T("CODE 52J31MD MS 1104")</f>
        <v>CODE 52J31MD MS 1104</v>
      </c>
      <c r="H2385" t="str">
        <f>T("130 EASY RD BLDG 31454 RM 220")</f>
        <v>130 EASY RD BLDG 31454 RM 220</v>
      </c>
      <c r="I2385" t="str">
        <f>T("RIDGECREST")</f>
        <v>RIDGECREST</v>
      </c>
      <c r="J2385" t="str">
        <f t="shared" si="972"/>
        <v>CA</v>
      </c>
      <c r="K2385" t="str">
        <f t="shared" si="978"/>
        <v>7609391648</v>
      </c>
      <c r="L2385" t="str">
        <f>T("7609396755")</f>
        <v>7609396755</v>
      </c>
    </row>
    <row r="2386" spans="1:12" x14ac:dyDescent="0.35">
      <c r="A2386" t="str">
        <f t="shared" si="970"/>
        <v>NAVAIR WD</v>
      </c>
      <c r="B2386" t="str">
        <f t="shared" si="979"/>
        <v>CODE 52J400D</v>
      </c>
      <c r="C2386" t="str">
        <f t="shared" si="980"/>
        <v>507 E CORSAIR BLDG 200002 RM 2127</v>
      </c>
      <c r="D2386" t="str">
        <f t="shared" si="976"/>
        <v>RIDGECREST</v>
      </c>
      <c r="E2386" t="str">
        <f t="shared" si="971"/>
        <v>CA</v>
      </c>
      <c r="F2386" t="str">
        <f t="shared" si="981"/>
        <v>935556110</v>
      </c>
      <c r="G2386" t="str">
        <f>T("CODE 52J31MD MS 1104")</f>
        <v>CODE 52J31MD MS 1104</v>
      </c>
      <c r="H2386" t="str">
        <f>T("130 EASY RD BLDG 31454 RM 266")</f>
        <v>130 EASY RD BLDG 31454 RM 266</v>
      </c>
      <c r="I2386" t="str">
        <f>T("RIDGECREST")</f>
        <v>RIDGECREST</v>
      </c>
      <c r="J2386" t="str">
        <f t="shared" si="972"/>
        <v>CA</v>
      </c>
      <c r="K2386" t="str">
        <f t="shared" si="978"/>
        <v>7609391648</v>
      </c>
      <c r="L2386" t="str">
        <f>T("7609397105")</f>
        <v>7609397105</v>
      </c>
    </row>
    <row r="2387" spans="1:12" x14ac:dyDescent="0.35">
      <c r="A2387" t="str">
        <f t="shared" si="970"/>
        <v>NAVAIR WD</v>
      </c>
      <c r="B2387" t="str">
        <f t="shared" si="979"/>
        <v>CODE 52J400D</v>
      </c>
      <c r="C2387" t="str">
        <f t="shared" si="980"/>
        <v>507 E CORSAIR BLDG 200002 RM 2127</v>
      </c>
      <c r="D2387" t="str">
        <f t="shared" si="976"/>
        <v>RIDGECREST</v>
      </c>
      <c r="E2387" t="str">
        <f t="shared" si="971"/>
        <v>CA</v>
      </c>
      <c r="F2387" t="str">
        <f t="shared" si="981"/>
        <v>935556110</v>
      </c>
      <c r="G2387" t="str">
        <f>T("CODE 52J400D")</f>
        <v>CODE 52J400D</v>
      </c>
      <c r="H2387" t="str">
        <f>T("507 E CORSAIR BLDG 200002 RM 2127")</f>
        <v>507 E CORSAIR BLDG 200002 RM 2127</v>
      </c>
      <c r="I2387" t="str">
        <f>T("RIDGECREST")</f>
        <v>RIDGECREST</v>
      </c>
      <c r="J2387" t="str">
        <f t="shared" si="972"/>
        <v>CA</v>
      </c>
      <c r="K2387" t="str">
        <f>T("000000000000000000")</f>
        <v>000000000000000000</v>
      </c>
      <c r="L2387" t="str">
        <f>T("7609395461")</f>
        <v>7609395461</v>
      </c>
    </row>
    <row r="2388" spans="1:12" x14ac:dyDescent="0.35">
      <c r="A2388" t="str">
        <f t="shared" si="970"/>
        <v>NAVAIR WD</v>
      </c>
      <c r="B2388" t="str">
        <f t="shared" si="979"/>
        <v>CODE 52J400D</v>
      </c>
      <c r="C2388" t="str">
        <f t="shared" si="980"/>
        <v>507 E CORSAIR BLDG 200002 RM 2127</v>
      </c>
      <c r="D2388" t="str">
        <f t="shared" si="976"/>
        <v>RIDGECREST</v>
      </c>
      <c r="E2388" t="str">
        <f t="shared" si="971"/>
        <v>CA</v>
      </c>
      <c r="F2388" t="str">
        <f t="shared" si="981"/>
        <v>935556110</v>
      </c>
      <c r="G2388" t="str">
        <f>T("CODE 52J400D")</f>
        <v>CODE 52J400D</v>
      </c>
      <c r="H2388" t="str">
        <f>T("507 E CORSAIR MS 2026")</f>
        <v>507 E CORSAIR MS 2026</v>
      </c>
      <c r="I2388" t="str">
        <f>T("CHINA LAKE")</f>
        <v>CHINA LAKE</v>
      </c>
      <c r="J2388" t="str">
        <f t="shared" si="972"/>
        <v>CA</v>
      </c>
      <c r="K2388" t="str">
        <f t="shared" ref="K2388:K2396" si="982">T("7609391648")</f>
        <v>7609391648</v>
      </c>
      <c r="L2388" t="str">
        <f>T("7609395971")</f>
        <v>7609395971</v>
      </c>
    </row>
    <row r="2389" spans="1:12" x14ac:dyDescent="0.35">
      <c r="A2389" t="str">
        <f t="shared" si="970"/>
        <v>NAVAIR WD</v>
      </c>
      <c r="B2389" t="str">
        <f t="shared" si="979"/>
        <v>CODE 52J400D</v>
      </c>
      <c r="C2389" t="str">
        <f t="shared" si="980"/>
        <v>507 E CORSAIR BLDG 200002 RM 2127</v>
      </c>
      <c r="D2389" t="str">
        <f t="shared" si="976"/>
        <v>RIDGECREST</v>
      </c>
      <c r="E2389" t="str">
        <f t="shared" si="971"/>
        <v>CA</v>
      </c>
      <c r="F2389" t="str">
        <f t="shared" si="981"/>
        <v>935556110</v>
      </c>
      <c r="G2389" t="str">
        <f>T("CODE 52J50ME")</f>
        <v>CODE 52J50ME</v>
      </c>
      <c r="H2389" t="str">
        <f>T("575 I AVE STE 1 BLDG 512 RM 119")</f>
        <v>575 I AVE STE 1 BLDG 512 RM 119</v>
      </c>
      <c r="I2389" t="str">
        <f>T("POINT MUGU NAWC")</f>
        <v>POINT MUGU NAWC</v>
      </c>
      <c r="J2389" t="str">
        <f t="shared" si="972"/>
        <v>CA</v>
      </c>
      <c r="K2389" t="str">
        <f t="shared" si="982"/>
        <v>7609391648</v>
      </c>
      <c r="L2389" t="str">
        <f>T("8059890766")</f>
        <v>8059890766</v>
      </c>
    </row>
    <row r="2390" spans="1:12" x14ac:dyDescent="0.35">
      <c r="A2390" t="str">
        <f t="shared" si="970"/>
        <v>NAVAIR WD</v>
      </c>
      <c r="B2390" t="str">
        <f>T("CODE 535200D")</f>
        <v>CODE 535200D</v>
      </c>
      <c r="C2390" t="str">
        <f>T("BLDG 10 RM 1096")</f>
        <v>BLDG 10 RM 1096</v>
      </c>
      <c r="D2390" t="str">
        <f>T("CHINA LAKE")</f>
        <v>CHINA LAKE</v>
      </c>
      <c r="E2390" t="str">
        <f t="shared" si="971"/>
        <v>CA</v>
      </c>
      <c r="F2390" t="str">
        <f>T("935556100")</f>
        <v>935556100</v>
      </c>
      <c r="G2390" t="str">
        <f>T("CODE 535100D")</f>
        <v>CODE 535100D</v>
      </c>
      <c r="H2390" t="str">
        <f>T("THOMPSON JR MS 1106")</f>
        <v>THOMPSON JR MS 1106</v>
      </c>
      <c r="I2390" t="str">
        <f>T("CHINA LAKE")</f>
        <v>CHINA LAKE</v>
      </c>
      <c r="J2390" t="str">
        <f t="shared" si="972"/>
        <v>CA</v>
      </c>
      <c r="K2390" t="str">
        <f t="shared" si="982"/>
        <v>7609391648</v>
      </c>
      <c r="L2390" t="str">
        <f>T("7609392975")</f>
        <v>7609392975</v>
      </c>
    </row>
    <row r="2391" spans="1:12" x14ac:dyDescent="0.35">
      <c r="A2391" t="str">
        <f t="shared" si="970"/>
        <v>NAVAIR WD</v>
      </c>
      <c r="B2391" t="str">
        <f>T("CODE 535200D")</f>
        <v>CODE 535200D</v>
      </c>
      <c r="C2391" t="str">
        <f>T("BLDG 10 RM 1096")</f>
        <v>BLDG 10 RM 1096</v>
      </c>
      <c r="D2391" t="str">
        <f>T("CHINA LAKE")</f>
        <v>CHINA LAKE</v>
      </c>
      <c r="E2391" t="str">
        <f t="shared" si="971"/>
        <v>CA</v>
      </c>
      <c r="F2391" t="str">
        <f>T("935556100")</f>
        <v>935556100</v>
      </c>
      <c r="G2391" t="str">
        <f>T("CODE 535200D")</f>
        <v>CODE 535200D</v>
      </c>
      <c r="H2391" t="str">
        <f>T("BLDG 10 RM 1096")</f>
        <v>BLDG 10 RM 1096</v>
      </c>
      <c r="I2391" t="str">
        <f>T("CHINA LAKE")</f>
        <v>CHINA LAKE</v>
      </c>
      <c r="J2391" t="str">
        <f t="shared" si="972"/>
        <v>CA</v>
      </c>
      <c r="K2391" t="str">
        <f t="shared" si="982"/>
        <v>7609391648</v>
      </c>
      <c r="L2391" t="str">
        <f>T("7609399536")</f>
        <v>7609399536</v>
      </c>
    </row>
    <row r="2392" spans="1:12" x14ac:dyDescent="0.35">
      <c r="A2392" t="str">
        <f t="shared" si="970"/>
        <v>NAVAIR WD</v>
      </c>
      <c r="B2392" t="str">
        <f>T("CODE 535200D")</f>
        <v>CODE 535200D</v>
      </c>
      <c r="C2392" t="str">
        <f>T("BLDG 10 RM 1096")</f>
        <v>BLDG 10 RM 1096</v>
      </c>
      <c r="D2392" t="str">
        <f>T("CHINA LAKE")</f>
        <v>CHINA LAKE</v>
      </c>
      <c r="E2392" t="str">
        <f t="shared" si="971"/>
        <v>CA</v>
      </c>
      <c r="F2392" t="str">
        <f>T("935556100")</f>
        <v>935556100</v>
      </c>
      <c r="G2392" t="str">
        <f>T("CODE 535200D")</f>
        <v>CODE 535200D</v>
      </c>
      <c r="H2392" t="str">
        <f>T("BLDG 31441")</f>
        <v>BLDG 31441</v>
      </c>
      <c r="I2392" t="str">
        <f>T("CHINA LAKE")</f>
        <v>CHINA LAKE</v>
      </c>
      <c r="J2392" t="str">
        <f t="shared" si="972"/>
        <v>CA</v>
      </c>
      <c r="K2392" t="str">
        <f t="shared" si="982"/>
        <v>7609391648</v>
      </c>
      <c r="L2392" t="str">
        <f>T("7609390288")</f>
        <v>7609390288</v>
      </c>
    </row>
    <row r="2393" spans="1:12" x14ac:dyDescent="0.35">
      <c r="A2393" t="str">
        <f t="shared" si="970"/>
        <v>NAVAIR WD</v>
      </c>
      <c r="B2393" t="str">
        <f>T("CODE 535200D")</f>
        <v>CODE 535200D</v>
      </c>
      <c r="C2393" t="str">
        <f>T("BLDG 10 RM 1096")</f>
        <v>BLDG 10 RM 1096</v>
      </c>
      <c r="D2393" t="str">
        <f>T("CHINA LAKE")</f>
        <v>CHINA LAKE</v>
      </c>
      <c r="E2393" t="str">
        <f t="shared" si="971"/>
        <v>CA</v>
      </c>
      <c r="F2393" t="str">
        <f>T("935556100")</f>
        <v>935556100</v>
      </c>
      <c r="G2393" t="str">
        <f>T("CODE 53A000D")</f>
        <v>CODE 53A000D</v>
      </c>
      <c r="H2393" t="str">
        <f>T("1 ADMIN CIRCLE MS 6800")</f>
        <v>1 ADMIN CIRCLE MS 6800</v>
      </c>
      <c r="I2393" t="str">
        <f t="shared" ref="I2393:I2398" si="983">T("RIDGECREST")</f>
        <v>RIDGECREST</v>
      </c>
      <c r="J2393" t="str">
        <f t="shared" si="972"/>
        <v>CA</v>
      </c>
      <c r="K2393" t="str">
        <f t="shared" si="982"/>
        <v>7609391648</v>
      </c>
      <c r="L2393" t="str">
        <f>T("7609397971")</f>
        <v>7609397971</v>
      </c>
    </row>
    <row r="2394" spans="1:12" x14ac:dyDescent="0.35">
      <c r="A2394" t="str">
        <f t="shared" si="970"/>
        <v>NAVAIR WD</v>
      </c>
      <c r="B2394" t="str">
        <f>T("CODE 541300D")</f>
        <v>CODE 541300D</v>
      </c>
      <c r="C2394" t="str">
        <f>T("1 ADMIN CIRCLE MS 6215")</f>
        <v>1 ADMIN CIRCLE MS 6215</v>
      </c>
      <c r="D2394" t="str">
        <f>T("RIDGECREST")</f>
        <v>RIDGECREST</v>
      </c>
      <c r="E2394" t="str">
        <f t="shared" si="971"/>
        <v>CA</v>
      </c>
      <c r="F2394" t="str">
        <f>T("935556104")</f>
        <v>935556104</v>
      </c>
      <c r="G2394" t="str">
        <f>T("CODE 541300D")</f>
        <v>CODE 541300D</v>
      </c>
      <c r="H2394" t="str">
        <f>T("1 ADMIN CIRCLE MS 6215")</f>
        <v>1 ADMIN CIRCLE MS 6215</v>
      </c>
      <c r="I2394" t="str">
        <f t="shared" si="983"/>
        <v>RIDGECREST</v>
      </c>
      <c r="J2394" t="str">
        <f t="shared" si="972"/>
        <v>CA</v>
      </c>
      <c r="K2394" t="str">
        <f t="shared" si="982"/>
        <v>7609391648</v>
      </c>
      <c r="L2394" t="str">
        <f>T("7609393133")</f>
        <v>7609393133</v>
      </c>
    </row>
    <row r="2395" spans="1:12" x14ac:dyDescent="0.35">
      <c r="A2395" t="str">
        <f t="shared" si="970"/>
        <v>NAVAIR WD</v>
      </c>
      <c r="B2395" t="str">
        <f>T("CODE 541400D")</f>
        <v>CODE 541400D</v>
      </c>
      <c r="C2395" t="str">
        <f>T("1 ADMIN CIRCLE MS 1327")</f>
        <v>1 ADMIN CIRCLE MS 1327</v>
      </c>
      <c r="D2395" t="str">
        <f>T("RIDGECREST")</f>
        <v>RIDGECREST</v>
      </c>
      <c r="E2395" t="str">
        <f t="shared" si="971"/>
        <v>CA</v>
      </c>
      <c r="F2395" t="str">
        <f>T("935556104")</f>
        <v>935556104</v>
      </c>
      <c r="G2395" t="str">
        <f>T("CODE 541300D")</f>
        <v>CODE 541300D</v>
      </c>
      <c r="H2395" t="str">
        <f>T("1900 KNOX RD BLDG 98023 MS 6215")</f>
        <v>1900 KNOX RD BLDG 98023 MS 6215</v>
      </c>
      <c r="I2395" t="str">
        <f t="shared" si="983"/>
        <v>RIDGECREST</v>
      </c>
      <c r="J2395" t="str">
        <f t="shared" si="972"/>
        <v>CA</v>
      </c>
      <c r="K2395" t="str">
        <f t="shared" si="982"/>
        <v>7609391648</v>
      </c>
      <c r="L2395" t="str">
        <f>T("7609392497")</f>
        <v>7609392497</v>
      </c>
    </row>
    <row r="2396" spans="1:12" x14ac:dyDescent="0.35">
      <c r="A2396" t="str">
        <f t="shared" si="970"/>
        <v>NAVAIR WD</v>
      </c>
      <c r="B2396" t="str">
        <f>T("CODE 541400D")</f>
        <v>CODE 541400D</v>
      </c>
      <c r="C2396" t="str">
        <f>T("1 ADMIN CIRCLE MS 1327")</f>
        <v>1 ADMIN CIRCLE MS 1327</v>
      </c>
      <c r="D2396" t="str">
        <f>T("RIDGECREST")</f>
        <v>RIDGECREST</v>
      </c>
      <c r="E2396" t="str">
        <f t="shared" si="971"/>
        <v>CA</v>
      </c>
      <c r="F2396" t="str">
        <f>T("935556104")</f>
        <v>935556104</v>
      </c>
      <c r="G2396" t="str">
        <f>T("CODE 541400D")</f>
        <v>CODE 541400D</v>
      </c>
      <c r="H2396" t="str">
        <f>T("1 ADMIN CIR BLDG 2481 MS 1327")</f>
        <v>1 ADMIN CIR BLDG 2481 MS 1327</v>
      </c>
      <c r="I2396" t="str">
        <f t="shared" si="983"/>
        <v>RIDGECREST</v>
      </c>
      <c r="J2396" t="str">
        <f t="shared" si="972"/>
        <v>CA</v>
      </c>
      <c r="K2396" t="str">
        <f t="shared" si="982"/>
        <v>7609391648</v>
      </c>
      <c r="L2396" t="str">
        <f>T("7609392788")</f>
        <v>7609392788</v>
      </c>
    </row>
    <row r="2397" spans="1:12" x14ac:dyDescent="0.35">
      <c r="A2397" t="str">
        <f t="shared" si="970"/>
        <v>NAVAIR WD</v>
      </c>
      <c r="B2397" t="str">
        <f>T("CODE 541400D")</f>
        <v>CODE 541400D</v>
      </c>
      <c r="C2397" t="str">
        <f>T("1 ADMIN CIRCLE MS 1327")</f>
        <v>1 ADMIN CIRCLE MS 1327</v>
      </c>
      <c r="D2397" t="str">
        <f>T("RIDGECREST")</f>
        <v>RIDGECREST</v>
      </c>
      <c r="E2397" t="str">
        <f t="shared" si="971"/>
        <v>CA</v>
      </c>
      <c r="F2397" t="str">
        <f>T("935556104")</f>
        <v>935556104</v>
      </c>
      <c r="G2397" t="str">
        <f>T("CODE 541400D")</f>
        <v>CODE 541400D</v>
      </c>
      <c r="H2397" t="str">
        <f>T("1 ADMIN CIRCLE MS 1327")</f>
        <v>1 ADMIN CIRCLE MS 1327</v>
      </c>
      <c r="I2397" t="str">
        <f t="shared" si="983"/>
        <v>RIDGECREST</v>
      </c>
      <c r="J2397" t="str">
        <f t="shared" si="972"/>
        <v>CA</v>
      </c>
      <c r="K2397" t="str">
        <f>T("760-939-1648")</f>
        <v>760-939-1648</v>
      </c>
      <c r="L2397" t="str">
        <f>T("7609394424")</f>
        <v>7609394424</v>
      </c>
    </row>
    <row r="2398" spans="1:12" x14ac:dyDescent="0.35">
      <c r="A2398" t="str">
        <f t="shared" si="970"/>
        <v>NAVAIR WD</v>
      </c>
      <c r="B2398" t="str">
        <f>T("CODE 541400D")</f>
        <v>CODE 541400D</v>
      </c>
      <c r="C2398" t="str">
        <f>T("1 ADMIN CIRCLE MS 1327")</f>
        <v>1 ADMIN CIRCLE MS 1327</v>
      </c>
      <c r="D2398" t="str">
        <f>T("RIDGECREST")</f>
        <v>RIDGECREST</v>
      </c>
      <c r="E2398" t="str">
        <f t="shared" si="971"/>
        <v>CA</v>
      </c>
      <c r="F2398" t="str">
        <f>T("935556104")</f>
        <v>935556104</v>
      </c>
      <c r="G2398" t="str">
        <f>T("CODE 541400D")</f>
        <v>CODE 541400D</v>
      </c>
      <c r="H2398" t="str">
        <f>T("1 ADMIN CIRCLE MS 1327")</f>
        <v>1 ADMIN CIRCLE MS 1327</v>
      </c>
      <c r="I2398" t="str">
        <f t="shared" si="983"/>
        <v>RIDGECREST</v>
      </c>
      <c r="J2398" t="str">
        <f t="shared" si="972"/>
        <v>CA</v>
      </c>
      <c r="K2398" t="str">
        <f>T("7609391648")</f>
        <v>7609391648</v>
      </c>
      <c r="L2398" t="str">
        <f>T("7609393493")</f>
        <v>7609393493</v>
      </c>
    </row>
    <row r="2399" spans="1:12" x14ac:dyDescent="0.35">
      <c r="A2399" t="str">
        <f t="shared" si="970"/>
        <v>NAVAIR WD</v>
      </c>
      <c r="B2399" t="str">
        <f>T("CODE 545000D")</f>
        <v>CODE 545000D</v>
      </c>
      <c r="C2399" t="str">
        <f>T("1900 N KNOX RD BLDG 00005")</f>
        <v>1900 N KNOX RD BLDG 00005</v>
      </c>
      <c r="D2399" t="str">
        <f t="shared" ref="D2399:D2406" si="984">T("CHINA LAKE")</f>
        <v>CHINA LAKE</v>
      </c>
      <c r="E2399" t="str">
        <f t="shared" si="971"/>
        <v>CA</v>
      </c>
      <c r="F2399" t="str">
        <f>T("935556106")</f>
        <v>935556106</v>
      </c>
      <c r="G2399" t="str">
        <f>T("CODE 545000D")</f>
        <v>CODE 545000D</v>
      </c>
      <c r="H2399" t="str">
        <f>T("1900 N KNOX RD BLDG 00005")</f>
        <v>1900 N KNOX RD BLDG 00005</v>
      </c>
      <c r="I2399" t="str">
        <f>T("CHINA LAKE")</f>
        <v>CHINA LAKE</v>
      </c>
      <c r="J2399" t="str">
        <f t="shared" si="972"/>
        <v>CA</v>
      </c>
      <c r="K2399" t="str">
        <f>T("000000000000000000")</f>
        <v>000000000000000000</v>
      </c>
      <c r="L2399" t="str">
        <f>T("7609394060")</f>
        <v>7609394060</v>
      </c>
    </row>
    <row r="2400" spans="1:12" x14ac:dyDescent="0.35">
      <c r="A2400" t="str">
        <f t="shared" si="970"/>
        <v>NAVAIR WD</v>
      </c>
      <c r="B2400" t="str">
        <f>T("CODE 545000D")</f>
        <v>CODE 545000D</v>
      </c>
      <c r="C2400" t="str">
        <f>T("1900 N KNOX RD BLDG 00005")</f>
        <v>1900 N KNOX RD BLDG 00005</v>
      </c>
      <c r="D2400" t="str">
        <f t="shared" si="984"/>
        <v>CHINA LAKE</v>
      </c>
      <c r="E2400" t="str">
        <f t="shared" si="971"/>
        <v>CA</v>
      </c>
      <c r="F2400" t="str">
        <f>T("935556106")</f>
        <v>935556106</v>
      </c>
      <c r="G2400" t="str">
        <f>T("CODE 545100D")</f>
        <v>CODE 545100D</v>
      </c>
      <c r="H2400" t="str">
        <f>T("1900 N KNOX RD MS 6522")</f>
        <v>1900 N KNOX RD MS 6522</v>
      </c>
      <c r="I2400" t="str">
        <f>T("CHINA LAKE")</f>
        <v>CHINA LAKE</v>
      </c>
      <c r="J2400" t="str">
        <f t="shared" si="972"/>
        <v>CA</v>
      </c>
      <c r="K2400" t="str">
        <f t="shared" ref="K2400:K2407" si="985">T("7609391648")</f>
        <v>7609391648</v>
      </c>
      <c r="L2400" t="str">
        <f>T("7609394170")</f>
        <v>7609394170</v>
      </c>
    </row>
    <row r="2401" spans="1:12" x14ac:dyDescent="0.35">
      <c r="A2401" t="str">
        <f t="shared" si="970"/>
        <v>NAVAIR WD</v>
      </c>
      <c r="B2401" t="str">
        <f>T("CODE 545000D")</f>
        <v>CODE 545000D</v>
      </c>
      <c r="C2401" t="str">
        <f>T("1900 N KNOX RD BLDG 00005")</f>
        <v>1900 N KNOX RD BLDG 00005</v>
      </c>
      <c r="D2401" t="str">
        <f t="shared" si="984"/>
        <v>CHINA LAKE</v>
      </c>
      <c r="E2401" t="str">
        <f t="shared" si="971"/>
        <v>CA</v>
      </c>
      <c r="F2401" t="str">
        <f>T("935556106")</f>
        <v>935556106</v>
      </c>
      <c r="G2401" t="str">
        <f>T("CODE 545300D")</f>
        <v>CODE 545300D</v>
      </c>
      <c r="H2401" t="str">
        <f>T("BLDG 02188 RM 108 MS 6620")</f>
        <v>BLDG 02188 RM 108 MS 6620</v>
      </c>
      <c r="I2401" t="str">
        <f>T("CHINA LAKE")</f>
        <v>CHINA LAKE</v>
      </c>
      <c r="J2401" t="str">
        <f t="shared" si="972"/>
        <v>CA</v>
      </c>
      <c r="K2401" t="str">
        <f t="shared" si="985"/>
        <v>7609391648</v>
      </c>
      <c r="L2401" t="str">
        <f>T("7609393804")</f>
        <v>7609393804</v>
      </c>
    </row>
    <row r="2402" spans="1:12" x14ac:dyDescent="0.35">
      <c r="A2402" t="str">
        <f t="shared" si="970"/>
        <v>NAVAIR WD</v>
      </c>
      <c r="B2402" t="str">
        <f>T("CODE 663100D")</f>
        <v>CODE 663100D</v>
      </c>
      <c r="C2402" t="str">
        <f>T("1 ADMIN CIRCLE MS 6702")</f>
        <v>1 ADMIN CIRCLE MS 6702</v>
      </c>
      <c r="D2402" t="str">
        <f t="shared" si="984"/>
        <v>CHINA LAKE</v>
      </c>
      <c r="E2402" t="str">
        <f t="shared" si="971"/>
        <v>CA</v>
      </c>
      <c r="F2402" t="str">
        <f>T("935556104")</f>
        <v>935556104</v>
      </c>
      <c r="G2402" t="str">
        <f>T("CODE 663100D")</f>
        <v>CODE 663100D</v>
      </c>
      <c r="H2402" t="str">
        <f>T("1 ADMIN CIRCLE MS 6702")</f>
        <v>1 ADMIN CIRCLE MS 6702</v>
      </c>
      <c r="I2402" t="str">
        <f>T("CHINA LAKE")</f>
        <v>CHINA LAKE</v>
      </c>
      <c r="J2402" t="str">
        <f t="shared" si="972"/>
        <v>CA</v>
      </c>
      <c r="K2402" t="str">
        <f t="shared" si="985"/>
        <v>7609391648</v>
      </c>
      <c r="L2402" t="str">
        <f>T("7609391124")</f>
        <v>7609391124</v>
      </c>
    </row>
    <row r="2403" spans="1:12" x14ac:dyDescent="0.35">
      <c r="A2403" t="str">
        <f t="shared" si="970"/>
        <v>NAVAIR WD</v>
      </c>
      <c r="B2403" t="str">
        <f>T("CODE 663100D")</f>
        <v>CODE 663100D</v>
      </c>
      <c r="C2403" t="str">
        <f>T("1 ADMIN CIRCLE MS 6702")</f>
        <v>1 ADMIN CIRCLE MS 6702</v>
      </c>
      <c r="D2403" t="str">
        <f t="shared" si="984"/>
        <v>CHINA LAKE</v>
      </c>
      <c r="E2403" t="str">
        <f t="shared" si="971"/>
        <v>CA</v>
      </c>
      <c r="F2403" t="str">
        <f>T("935556104")</f>
        <v>935556104</v>
      </c>
      <c r="G2403" t="str">
        <f>T("CODE 663M00D")</f>
        <v>CODE 663M00D</v>
      </c>
      <c r="H2403" t="str">
        <f>T("1 ADMIN CIRCLE BLDG 12 RM 153")</f>
        <v>1 ADMIN CIRCLE BLDG 12 RM 153</v>
      </c>
      <c r="I2403" t="str">
        <f>T("RIDGECREST")</f>
        <v>RIDGECREST</v>
      </c>
      <c r="J2403" t="str">
        <f t="shared" si="972"/>
        <v>CA</v>
      </c>
      <c r="K2403" t="str">
        <f t="shared" si="985"/>
        <v>7609391648</v>
      </c>
      <c r="L2403" t="str">
        <f>T("7609393210")</f>
        <v>7609393210</v>
      </c>
    </row>
    <row r="2404" spans="1:12" x14ac:dyDescent="0.35">
      <c r="A2404" t="str">
        <f t="shared" si="970"/>
        <v>NAVAIR WD</v>
      </c>
      <c r="B2404" t="str">
        <f>T("CODE 663100D")</f>
        <v>CODE 663100D</v>
      </c>
      <c r="C2404" t="str">
        <f>T("1 ADMIN CIRCLE MS 6702")</f>
        <v>1 ADMIN CIRCLE MS 6702</v>
      </c>
      <c r="D2404" t="str">
        <f t="shared" si="984"/>
        <v>CHINA LAKE</v>
      </c>
      <c r="E2404" t="str">
        <f t="shared" si="971"/>
        <v>CA</v>
      </c>
      <c r="F2404" t="str">
        <f>T("935556104")</f>
        <v>935556104</v>
      </c>
      <c r="G2404" t="str">
        <f>T("CODE 663M00D")</f>
        <v>CODE 663M00D</v>
      </c>
      <c r="H2404" t="str">
        <f>T("1900 N KNOX RD MS 6702")</f>
        <v>1900 N KNOX RD MS 6702</v>
      </c>
      <c r="I2404" t="str">
        <f>T("RIDGECREST")</f>
        <v>RIDGECREST</v>
      </c>
      <c r="J2404" t="str">
        <f t="shared" si="972"/>
        <v>CA</v>
      </c>
      <c r="K2404" t="str">
        <f t="shared" si="985"/>
        <v>7609391648</v>
      </c>
      <c r="L2404" t="str">
        <f>T("7609394350")</f>
        <v>7609394350</v>
      </c>
    </row>
    <row r="2405" spans="1:12" x14ac:dyDescent="0.35">
      <c r="A2405" t="str">
        <f t="shared" si="970"/>
        <v>NAVAIR WD</v>
      </c>
      <c r="B2405" t="str">
        <f>T("CODE 663100D")</f>
        <v>CODE 663100D</v>
      </c>
      <c r="C2405" t="str">
        <f>T("1 ADMIN CIRCLE MS 6702")</f>
        <v>1 ADMIN CIRCLE MS 6702</v>
      </c>
      <c r="D2405" t="str">
        <f t="shared" si="984"/>
        <v>CHINA LAKE</v>
      </c>
      <c r="E2405" t="str">
        <f t="shared" si="971"/>
        <v>CA</v>
      </c>
      <c r="F2405" t="str">
        <f>T("935556104")</f>
        <v>935556104</v>
      </c>
      <c r="G2405" t="str">
        <f>T("CODE 671200D")</f>
        <v>CODE 671200D</v>
      </c>
      <c r="H2405" t="str">
        <f>T("1900 KNOX RD MBLDG 12 RM 153")</f>
        <v>1900 KNOX RD MBLDG 12 RM 153</v>
      </c>
      <c r="I2405" t="str">
        <f>T("RIDGECREST")</f>
        <v>RIDGECREST</v>
      </c>
      <c r="J2405" t="str">
        <f t="shared" si="972"/>
        <v>CA</v>
      </c>
      <c r="K2405" t="str">
        <f t="shared" si="985"/>
        <v>7609391648</v>
      </c>
      <c r="L2405" t="str">
        <f>T("7609392059")</f>
        <v>7609392059</v>
      </c>
    </row>
    <row r="2406" spans="1:12" x14ac:dyDescent="0.35">
      <c r="A2406" t="str">
        <f t="shared" si="970"/>
        <v>NAVAIR WD</v>
      </c>
      <c r="B2406" t="str">
        <f>T("CODE 663100D")</f>
        <v>CODE 663100D</v>
      </c>
      <c r="C2406" t="str">
        <f>T("1 ADMIN CIRCLE MS 6702")</f>
        <v>1 ADMIN CIRCLE MS 6702</v>
      </c>
      <c r="D2406" t="str">
        <f t="shared" si="984"/>
        <v>CHINA LAKE</v>
      </c>
      <c r="E2406" t="str">
        <f t="shared" si="971"/>
        <v>CA</v>
      </c>
      <c r="F2406" t="str">
        <f>T("935556104")</f>
        <v>935556104</v>
      </c>
      <c r="G2406" t="str">
        <f>T("CODE 671200D")</f>
        <v>CODE 671200D</v>
      </c>
      <c r="H2406" t="str">
        <f>T("1900 N KNOX RD MS 6206")</f>
        <v>1900 N KNOX RD MS 6206</v>
      </c>
      <c r="I2406" t="str">
        <f>T("CHINA LAKE")</f>
        <v>CHINA LAKE</v>
      </c>
      <c r="J2406" t="str">
        <f t="shared" si="972"/>
        <v>CA</v>
      </c>
      <c r="K2406" t="str">
        <f t="shared" si="985"/>
        <v>7609391648</v>
      </c>
      <c r="L2406" t="str">
        <f>T("7609392573")</f>
        <v>7609392573</v>
      </c>
    </row>
    <row r="2407" spans="1:12" x14ac:dyDescent="0.35">
      <c r="A2407" t="str">
        <f t="shared" si="970"/>
        <v>NAVAIR WD</v>
      </c>
      <c r="B2407" t="str">
        <f>T("CODE 671100D MS 6702")</f>
        <v>CODE 671100D MS 6702</v>
      </c>
      <c r="C2407" t="str">
        <f>T("1900 N KNOX RD RM 153 BLDG 12")</f>
        <v>1900 N KNOX RD RM 153 BLDG 12</v>
      </c>
      <c r="D2407" t="str">
        <f>T("RIDGECREST")</f>
        <v>RIDGECREST</v>
      </c>
      <c r="E2407" t="str">
        <f t="shared" si="971"/>
        <v>CA</v>
      </c>
      <c r="F2407" t="str">
        <f>T("935556106")</f>
        <v>935556106</v>
      </c>
      <c r="G2407" t="str">
        <f>T("CODE 663M00D")</f>
        <v>CODE 663M00D</v>
      </c>
      <c r="H2407" t="str">
        <f>T("1 ADMIN CIRCLE BLDG 12 RM 153")</f>
        <v>1 ADMIN CIRCLE BLDG 12 RM 153</v>
      </c>
      <c r="I2407" t="str">
        <f>T("RIDGECREST")</f>
        <v>RIDGECREST</v>
      </c>
      <c r="J2407" t="str">
        <f t="shared" si="972"/>
        <v>CA</v>
      </c>
      <c r="K2407" t="str">
        <f t="shared" si="985"/>
        <v>7609391648</v>
      </c>
      <c r="L2407" t="str">
        <f>T("7609393210")</f>
        <v>7609393210</v>
      </c>
    </row>
    <row r="2408" spans="1:12" x14ac:dyDescent="0.35">
      <c r="A2408" t="str">
        <f t="shared" si="970"/>
        <v>NAVAIR WD</v>
      </c>
      <c r="B2408" t="str">
        <f>T("CODE 671100D MS 6702")</f>
        <v>CODE 671100D MS 6702</v>
      </c>
      <c r="C2408" t="str">
        <f>T("1900 N KNOX RD RM 153 BLDG 12")</f>
        <v>1900 N KNOX RD RM 153 BLDG 12</v>
      </c>
      <c r="D2408" t="str">
        <f>T("RIDGECREST")</f>
        <v>RIDGECREST</v>
      </c>
      <c r="E2408" t="str">
        <f t="shared" si="971"/>
        <v>CA</v>
      </c>
      <c r="F2408" t="str">
        <f>T("935556106")</f>
        <v>935556106</v>
      </c>
      <c r="G2408" t="str">
        <f>T("CODE 671100D MS 6702")</f>
        <v>CODE 671100D MS 6702</v>
      </c>
      <c r="H2408" t="str">
        <f>T("1900 N KNOX RD RM 153 BLDG 12")</f>
        <v>1900 N KNOX RD RM 153 BLDG 12</v>
      </c>
      <c r="I2408" t="str">
        <f>T("RIDGECREST")</f>
        <v>RIDGECREST</v>
      </c>
      <c r="J2408" t="str">
        <f t="shared" si="972"/>
        <v>CA</v>
      </c>
      <c r="K2408" t="str">
        <f>T("000000000000000000")</f>
        <v>000000000000000000</v>
      </c>
      <c r="L2408" t="str">
        <f>T("7609392573")</f>
        <v>7609392573</v>
      </c>
    </row>
    <row r="2409" spans="1:12" x14ac:dyDescent="0.35">
      <c r="A2409" t="str">
        <f t="shared" si="970"/>
        <v>NAVAIR WD</v>
      </c>
      <c r="B2409" t="str">
        <f>T("CODE 671100D MS 6702")</f>
        <v>CODE 671100D MS 6702</v>
      </c>
      <c r="C2409" t="str">
        <f>T("1900 N KNOX RD RM 153 BLDG 12")</f>
        <v>1900 N KNOX RD RM 153 BLDG 12</v>
      </c>
      <c r="D2409" t="str">
        <f>T("RIDGECREST")</f>
        <v>RIDGECREST</v>
      </c>
      <c r="E2409" t="str">
        <f t="shared" si="971"/>
        <v>CA</v>
      </c>
      <c r="F2409" t="str">
        <f>T("935556106")</f>
        <v>935556106</v>
      </c>
      <c r="G2409" t="str">
        <f>T("CODE 671200D")</f>
        <v>CODE 671200D</v>
      </c>
      <c r="H2409" t="str">
        <f>T("1900 KNOX RD BLDG 12 RM 153")</f>
        <v>1900 KNOX RD BLDG 12 RM 153</v>
      </c>
      <c r="I2409" t="str">
        <f>T("RIDGECREST")</f>
        <v>RIDGECREST</v>
      </c>
      <c r="J2409" t="str">
        <f t="shared" si="972"/>
        <v>CA</v>
      </c>
      <c r="K2409" t="str">
        <f>T("7609391648")</f>
        <v>7609391648</v>
      </c>
      <c r="L2409" t="str">
        <f>T("7609392059")</f>
        <v>7609392059</v>
      </c>
    </row>
    <row r="2410" spans="1:12" x14ac:dyDescent="0.35">
      <c r="A2410" t="str">
        <f t="shared" si="970"/>
        <v>NAVAIR WD</v>
      </c>
      <c r="B2410" t="str">
        <f>T("CODE 671100D MS 6702")</f>
        <v>CODE 671100D MS 6702</v>
      </c>
      <c r="C2410" t="str">
        <f>T("1900 N KNOX RD RM 153 BLDG 12")</f>
        <v>1900 N KNOX RD RM 153 BLDG 12</v>
      </c>
      <c r="D2410" t="str">
        <f>T("RIDGECREST")</f>
        <v>RIDGECREST</v>
      </c>
      <c r="E2410" t="str">
        <f t="shared" si="971"/>
        <v>CA</v>
      </c>
      <c r="F2410" t="str">
        <f>T("935556106")</f>
        <v>935556106</v>
      </c>
      <c r="G2410" t="str">
        <f>T("CODE3 663M00D")</f>
        <v>CODE3 663M00D</v>
      </c>
      <c r="H2410" t="str">
        <f>T("1900 N KNOX RD MS 6702")</f>
        <v>1900 N KNOX RD MS 6702</v>
      </c>
      <c r="I2410" t="str">
        <f>T("RIDGECREST")</f>
        <v>RIDGECREST</v>
      </c>
      <c r="J2410" t="str">
        <f t="shared" si="972"/>
        <v>CA</v>
      </c>
      <c r="K2410" t="str">
        <f>T("7609391648")</f>
        <v>7609391648</v>
      </c>
      <c r="L2410" t="str">
        <f>T("7609394350")</f>
        <v>7609394350</v>
      </c>
    </row>
    <row r="2411" spans="1:12" x14ac:dyDescent="0.35">
      <c r="A2411" t="str">
        <f t="shared" si="970"/>
        <v>NAVAIR WD</v>
      </c>
      <c r="B2411" t="str">
        <f>T("CODE 713100D")</f>
        <v>CODE 713100D</v>
      </c>
      <c r="C2411" t="str">
        <f>T("BLDG 01025 MS 1333")</f>
        <v>BLDG 01025 MS 1333</v>
      </c>
      <c r="D2411" t="str">
        <f>T("CHINA LAKE")</f>
        <v>CHINA LAKE</v>
      </c>
      <c r="E2411" t="str">
        <f t="shared" si="971"/>
        <v>CA</v>
      </c>
      <c r="F2411" t="str">
        <f>T("935550000")</f>
        <v>935550000</v>
      </c>
      <c r="G2411" t="str">
        <f>T("CODE 713100D")</f>
        <v>CODE 713100D</v>
      </c>
      <c r="H2411" t="str">
        <f>T("1 ADMIN CIRCLE MS 1333")</f>
        <v>1 ADMIN CIRCLE MS 1333</v>
      </c>
      <c r="I2411" t="str">
        <f>T("CHINA LAKE")</f>
        <v>CHINA LAKE</v>
      </c>
      <c r="J2411" t="str">
        <f t="shared" si="972"/>
        <v>CA</v>
      </c>
      <c r="K2411" t="str">
        <f>T("7609391648")</f>
        <v>7609391648</v>
      </c>
      <c r="L2411" t="str">
        <f>T("7609392455")</f>
        <v>7609392455</v>
      </c>
    </row>
    <row r="2412" spans="1:12" x14ac:dyDescent="0.35">
      <c r="A2412" t="str">
        <f t="shared" si="970"/>
        <v>NAVAIR WD</v>
      </c>
      <c r="B2412" t="str">
        <f>T("CODE 713100D")</f>
        <v>CODE 713100D</v>
      </c>
      <c r="C2412" t="str">
        <f>T("BLDG 01025 MS 1333")</f>
        <v>BLDG 01025 MS 1333</v>
      </c>
      <c r="D2412" t="str">
        <f>T("CHINA LAKE")</f>
        <v>CHINA LAKE</v>
      </c>
      <c r="E2412" t="str">
        <f t="shared" si="971"/>
        <v>CA</v>
      </c>
      <c r="F2412" t="str">
        <f>T("935550000")</f>
        <v>935550000</v>
      </c>
      <c r="G2412" t="str">
        <f>T("CODE 713100D")</f>
        <v>CODE 713100D</v>
      </c>
      <c r="H2412" t="str">
        <f>T("1 ADMIN CIRCLE MS 6316")</f>
        <v>1 ADMIN CIRCLE MS 6316</v>
      </c>
      <c r="I2412" t="str">
        <f>T("CHINA LAKE")</f>
        <v>CHINA LAKE</v>
      </c>
      <c r="J2412" t="str">
        <f t="shared" si="972"/>
        <v>CA</v>
      </c>
      <c r="K2412" t="str">
        <f>T("7609391648")</f>
        <v>7609391648</v>
      </c>
      <c r="L2412" t="str">
        <f>T("7609392725")</f>
        <v>7609392725</v>
      </c>
    </row>
    <row r="2413" spans="1:12" x14ac:dyDescent="0.35">
      <c r="A2413" t="str">
        <f t="shared" si="970"/>
        <v>NAVAIR WD</v>
      </c>
      <c r="B2413" t="str">
        <f>T("CODE 713100D")</f>
        <v>CODE 713100D</v>
      </c>
      <c r="C2413" t="str">
        <f>T("BLDG 01025 MS 1333")</f>
        <v>BLDG 01025 MS 1333</v>
      </c>
      <c r="D2413" t="str">
        <f>T("CHINA LAKE")</f>
        <v>CHINA LAKE</v>
      </c>
      <c r="E2413" t="str">
        <f t="shared" si="971"/>
        <v>CA</v>
      </c>
      <c r="F2413" t="str">
        <f>T("935550000")</f>
        <v>935550000</v>
      </c>
      <c r="G2413" t="str">
        <f>T("CODE 713100D")</f>
        <v>CODE 713100D</v>
      </c>
      <c r="H2413" t="str">
        <f>T("BLDG 01025 MS 1333")</f>
        <v>BLDG 01025 MS 1333</v>
      </c>
      <c r="I2413" t="str">
        <f>T("CHINA LAKE")</f>
        <v>CHINA LAKE</v>
      </c>
      <c r="J2413" t="str">
        <f t="shared" si="972"/>
        <v>CA</v>
      </c>
      <c r="K2413" t="str">
        <f>T("760-939-1648")</f>
        <v>760-939-1648</v>
      </c>
      <c r="L2413" t="str">
        <f>T("7609396962")</f>
        <v>7609396962</v>
      </c>
    </row>
    <row r="2414" spans="1:12" x14ac:dyDescent="0.35">
      <c r="A2414" t="str">
        <f t="shared" si="970"/>
        <v>NAVAIR WD</v>
      </c>
      <c r="B2414" t="str">
        <f>T("CODE 71320AD")</f>
        <v>CODE 71320AD</v>
      </c>
      <c r="C2414" t="str">
        <f>T("2400 E PILOT PLANT MS 5400")</f>
        <v>2400 E PILOT PLANT MS 5400</v>
      </c>
      <c r="D2414" t="str">
        <f>T("RIDGECREST")</f>
        <v>RIDGECREST</v>
      </c>
      <c r="E2414" t="str">
        <f t="shared" si="971"/>
        <v>CA</v>
      </c>
      <c r="F2414" t="str">
        <f>T("935556107")</f>
        <v>935556107</v>
      </c>
      <c r="G2414" t="str">
        <f>T("CODE 71320AD")</f>
        <v>CODE 71320AD</v>
      </c>
      <c r="H2414" t="str">
        <f>T("2400 E PILOT PLANT MS 5400")</f>
        <v>2400 E PILOT PLANT MS 5400</v>
      </c>
      <c r="I2414" t="str">
        <f>T("RIDGECREST")</f>
        <v>RIDGECREST</v>
      </c>
      <c r="J2414" t="str">
        <f t="shared" si="972"/>
        <v>CA</v>
      </c>
      <c r="K2414" t="str">
        <f>T("7609391648")</f>
        <v>7609391648</v>
      </c>
      <c r="L2414" t="str">
        <f>T("7609397180")</f>
        <v>7609397180</v>
      </c>
    </row>
    <row r="2415" spans="1:12" x14ac:dyDescent="0.35">
      <c r="A2415" t="str">
        <f t="shared" si="970"/>
        <v>NAVAIR WD</v>
      </c>
      <c r="B2415" t="str">
        <f>T("CODE 721000D")</f>
        <v>CODE 721000D</v>
      </c>
      <c r="C2415" t="str">
        <f>T("1 ADMIN CIRCLE MS 1309")</f>
        <v>1 ADMIN CIRCLE MS 1309</v>
      </c>
      <c r="D2415" t="str">
        <f t="shared" ref="D2415:D2438" si="986">T("CHINA LAKE")</f>
        <v>CHINA LAKE</v>
      </c>
      <c r="E2415" t="str">
        <f t="shared" si="971"/>
        <v>CA</v>
      </c>
      <c r="F2415" t="str">
        <f>T("935556104")</f>
        <v>935556104</v>
      </c>
      <c r="G2415" t="str">
        <f>T("CODE 721000D")</f>
        <v>CODE 721000D</v>
      </c>
      <c r="H2415" t="str">
        <f>T("1 ADMIN CIRCLE BLDG 00033 MS 1309")</f>
        <v>1 ADMIN CIRCLE BLDG 00033 MS 1309</v>
      </c>
      <c r="I2415" t="str">
        <f>T("RIDGECREST")</f>
        <v>RIDGECREST</v>
      </c>
      <c r="J2415" t="str">
        <f t="shared" si="972"/>
        <v>CA</v>
      </c>
      <c r="K2415" t="str">
        <f>T("7609391648")</f>
        <v>7609391648</v>
      </c>
      <c r="L2415" t="str">
        <f>T("7609394718")</f>
        <v>7609394718</v>
      </c>
    </row>
    <row r="2416" spans="1:12" x14ac:dyDescent="0.35">
      <c r="A2416" t="str">
        <f t="shared" si="970"/>
        <v>NAVAIR WD</v>
      </c>
      <c r="B2416" t="str">
        <f>T("CODE 721000D")</f>
        <v>CODE 721000D</v>
      </c>
      <c r="C2416" t="str">
        <f>T("1 ADMIN CIRCLE MS 1309")</f>
        <v>1 ADMIN CIRCLE MS 1309</v>
      </c>
      <c r="D2416" t="str">
        <f t="shared" si="986"/>
        <v>CHINA LAKE</v>
      </c>
      <c r="E2416" t="str">
        <f t="shared" si="971"/>
        <v>CA</v>
      </c>
      <c r="F2416" t="str">
        <f>T("935556104")</f>
        <v>935556104</v>
      </c>
      <c r="G2416" t="str">
        <f>T("CODE 721000D")</f>
        <v>CODE 721000D</v>
      </c>
      <c r="H2416" t="str">
        <f>T("1 ADMIN CIRCLE MS 1309")</f>
        <v>1 ADMIN CIRCLE MS 1309</v>
      </c>
      <c r="I2416" t="str">
        <f>T("CHINA LAKE")</f>
        <v>CHINA LAKE</v>
      </c>
      <c r="J2416" t="str">
        <f t="shared" si="972"/>
        <v>CA</v>
      </c>
      <c r="K2416" t="str">
        <f>T("000000000000000000")</f>
        <v>000000000000000000</v>
      </c>
      <c r="L2416" t="str">
        <f>T("7609393258")</f>
        <v>7609393258</v>
      </c>
    </row>
    <row r="2417" spans="1:12" x14ac:dyDescent="0.35">
      <c r="A2417" t="str">
        <f t="shared" si="970"/>
        <v>NAVAIR WD</v>
      </c>
      <c r="B2417" t="str">
        <f>T("CODE 721000D")</f>
        <v>CODE 721000D</v>
      </c>
      <c r="C2417" t="str">
        <f>T("1 ADMIN CIRCLE MS 1309")</f>
        <v>1 ADMIN CIRCLE MS 1309</v>
      </c>
      <c r="D2417" t="str">
        <f t="shared" si="986"/>
        <v>CHINA LAKE</v>
      </c>
      <c r="E2417" t="str">
        <f t="shared" si="971"/>
        <v>CA</v>
      </c>
      <c r="F2417" t="str">
        <f>T("935556104")</f>
        <v>935556104</v>
      </c>
      <c r="G2417" t="str">
        <f>T("CODE 721000D")</f>
        <v>CODE 721000D</v>
      </c>
      <c r="H2417" t="str">
        <f>T("1 ADMIN CIRCLE MS 1309")</f>
        <v>1 ADMIN CIRCLE MS 1309</v>
      </c>
      <c r="I2417" t="str">
        <f>T("RIDGECREST")</f>
        <v>RIDGECREST</v>
      </c>
      <c r="J2417" t="str">
        <f t="shared" si="972"/>
        <v>CA</v>
      </c>
      <c r="K2417" t="str">
        <f>T("7609391648")</f>
        <v>7609391648</v>
      </c>
      <c r="L2417" t="str">
        <f>T("7609398253")</f>
        <v>7609398253</v>
      </c>
    </row>
    <row r="2418" spans="1:12" x14ac:dyDescent="0.35">
      <c r="A2418" t="str">
        <f t="shared" si="970"/>
        <v>NAVAIR WD</v>
      </c>
      <c r="B2418" t="str">
        <f>T("CODE 721000D")</f>
        <v>CODE 721000D</v>
      </c>
      <c r="C2418" t="str">
        <f>T("1 ADMIN CIRCLE MS 1309")</f>
        <v>1 ADMIN CIRCLE MS 1309</v>
      </c>
      <c r="D2418" t="str">
        <f t="shared" si="986"/>
        <v>CHINA LAKE</v>
      </c>
      <c r="E2418" t="str">
        <f t="shared" si="971"/>
        <v>CA</v>
      </c>
      <c r="F2418" t="str">
        <f>T("935556104")</f>
        <v>935556104</v>
      </c>
      <c r="G2418" t="str">
        <f>T("CODE 721000D BLDG 33 RM E2")</f>
        <v>CODE 721000D BLDG 33 RM E2</v>
      </c>
      <c r="H2418" t="str">
        <f>T("1 ADMIN CIRCLE MS 1309")</f>
        <v>1 ADMIN CIRCLE MS 1309</v>
      </c>
      <c r="I2418" t="str">
        <f>T("RIDGECREST")</f>
        <v>RIDGECREST</v>
      </c>
      <c r="J2418" t="str">
        <f t="shared" si="972"/>
        <v>CA</v>
      </c>
      <c r="K2418" t="str">
        <f>T("7609391648")</f>
        <v>7609391648</v>
      </c>
      <c r="L2418" t="str">
        <f>T("7609399915")</f>
        <v>7609399915</v>
      </c>
    </row>
    <row r="2419" spans="1:12" x14ac:dyDescent="0.35">
      <c r="A2419" t="str">
        <f t="shared" si="970"/>
        <v>NAVAIR WD</v>
      </c>
      <c r="B2419" t="str">
        <f>T("CODE 721000D")</f>
        <v>CODE 721000D</v>
      </c>
      <c r="C2419" t="str">
        <f>T("1 ADMIN CIRCLE MS 1309")</f>
        <v>1 ADMIN CIRCLE MS 1309</v>
      </c>
      <c r="D2419" t="str">
        <f t="shared" si="986"/>
        <v>CHINA LAKE</v>
      </c>
      <c r="E2419" t="str">
        <f t="shared" si="971"/>
        <v>CA</v>
      </c>
      <c r="F2419" t="str">
        <f>T("935556104")</f>
        <v>935556104</v>
      </c>
      <c r="G2419" t="str">
        <f>T("CODE 724000D")</f>
        <v>CODE 724000D</v>
      </c>
      <c r="H2419" t="str">
        <f>T("1 ADMIN CIRCLE BLDG 3887 MS 1203")</f>
        <v>1 ADMIN CIRCLE BLDG 3887 MS 1203</v>
      </c>
      <c r="I2419" t="str">
        <f>T("RIDGECREST")</f>
        <v>RIDGECREST</v>
      </c>
      <c r="J2419" t="str">
        <f t="shared" si="972"/>
        <v>CA</v>
      </c>
      <c r="K2419" t="str">
        <f>T("7609391648")</f>
        <v>7609391648</v>
      </c>
      <c r="L2419" t="str">
        <f>T("7609398299")</f>
        <v>7609398299</v>
      </c>
    </row>
    <row r="2420" spans="1:12" x14ac:dyDescent="0.35">
      <c r="A2420" t="str">
        <f t="shared" si="970"/>
        <v>NAVAIR WD</v>
      </c>
      <c r="B2420" t="str">
        <f t="shared" ref="B2420:B2425" si="987">T("CODE 730000D")</f>
        <v>CODE 730000D</v>
      </c>
      <c r="C2420" t="str">
        <f t="shared" ref="C2420:C2425" si="988">T("BLDG 464 MS 1310")</f>
        <v>BLDG 464 MS 1310</v>
      </c>
      <c r="D2420" t="str">
        <f t="shared" si="986"/>
        <v>CHINA LAKE</v>
      </c>
      <c r="E2420" t="str">
        <f t="shared" si="971"/>
        <v>CA</v>
      </c>
      <c r="F2420" t="str">
        <f t="shared" ref="F2420:F2425" si="989">T("935550000")</f>
        <v>935550000</v>
      </c>
      <c r="G2420" t="str">
        <f>T("CODE 730000D")</f>
        <v>CODE 730000D</v>
      </c>
      <c r="H2420" t="str">
        <f>T("BLDG 464 MS 1310")</f>
        <v>BLDG 464 MS 1310</v>
      </c>
      <c r="I2420" t="str">
        <f>T("CHINA LAKE")</f>
        <v>CHINA LAKE</v>
      </c>
      <c r="J2420" t="str">
        <f t="shared" si="972"/>
        <v>CA</v>
      </c>
      <c r="K2420" t="str">
        <f>T("000000000000000000")</f>
        <v>000000000000000000</v>
      </c>
      <c r="L2420" t="str">
        <f>T("7609392293")</f>
        <v>7609392293</v>
      </c>
    </row>
    <row r="2421" spans="1:12" x14ac:dyDescent="0.35">
      <c r="A2421" t="str">
        <f t="shared" si="970"/>
        <v>NAVAIR WD</v>
      </c>
      <c r="B2421" t="str">
        <f t="shared" si="987"/>
        <v>CODE 730000D</v>
      </c>
      <c r="C2421" t="str">
        <f t="shared" si="988"/>
        <v>BLDG 464 MS 1310</v>
      </c>
      <c r="D2421" t="str">
        <f t="shared" si="986"/>
        <v>CHINA LAKE</v>
      </c>
      <c r="E2421" t="str">
        <f t="shared" si="971"/>
        <v>CA</v>
      </c>
      <c r="F2421" t="str">
        <f t="shared" si="989"/>
        <v>935550000</v>
      </c>
      <c r="G2421" t="str">
        <f>T("CODE 730000D")</f>
        <v>CODE 730000D</v>
      </c>
      <c r="H2421" t="str">
        <f>T("BLDG 464, MS 1310")</f>
        <v>BLDG 464, MS 1310</v>
      </c>
      <c r="I2421" t="str">
        <f>T("CHINA LAKE")</f>
        <v>CHINA LAKE</v>
      </c>
      <c r="J2421" t="str">
        <f t="shared" si="972"/>
        <v>CA</v>
      </c>
      <c r="K2421" t="str">
        <f t="shared" ref="K2421:K2432" si="990">T("7609391648")</f>
        <v>7609391648</v>
      </c>
      <c r="L2421" t="str">
        <f>T("7609397971")</f>
        <v>7609397971</v>
      </c>
    </row>
    <row r="2422" spans="1:12" x14ac:dyDescent="0.35">
      <c r="A2422" t="str">
        <f t="shared" si="970"/>
        <v>NAVAIR WD</v>
      </c>
      <c r="B2422" t="str">
        <f t="shared" si="987"/>
        <v>CODE 730000D</v>
      </c>
      <c r="C2422" t="str">
        <f t="shared" si="988"/>
        <v>BLDG 464 MS 1310</v>
      </c>
      <c r="D2422" t="str">
        <f t="shared" si="986"/>
        <v>CHINA LAKE</v>
      </c>
      <c r="E2422" t="str">
        <f t="shared" si="971"/>
        <v>CA</v>
      </c>
      <c r="F2422" t="str">
        <f t="shared" si="989"/>
        <v>935550000</v>
      </c>
      <c r="G2422" t="str">
        <f>T("CODE 731000D")</f>
        <v>CODE 731000D</v>
      </c>
      <c r="H2422" t="str">
        <f>T("1 ADMIN CIRCLE MS 1316")</f>
        <v>1 ADMIN CIRCLE MS 1316</v>
      </c>
      <c r="I2422" t="str">
        <f>T("RIDGECREST")</f>
        <v>RIDGECREST</v>
      </c>
      <c r="J2422" t="str">
        <f t="shared" si="972"/>
        <v>CA</v>
      </c>
      <c r="K2422" t="str">
        <f t="shared" si="990"/>
        <v>7609391648</v>
      </c>
      <c r="L2422" t="str">
        <f>T("7609398103")</f>
        <v>7609398103</v>
      </c>
    </row>
    <row r="2423" spans="1:12" x14ac:dyDescent="0.35">
      <c r="A2423" t="str">
        <f t="shared" si="970"/>
        <v>NAVAIR WD</v>
      </c>
      <c r="B2423" t="str">
        <f t="shared" si="987"/>
        <v>CODE 730000D</v>
      </c>
      <c r="C2423" t="str">
        <f t="shared" si="988"/>
        <v>BLDG 464 MS 1310</v>
      </c>
      <c r="D2423" t="str">
        <f t="shared" si="986"/>
        <v>CHINA LAKE</v>
      </c>
      <c r="E2423" t="str">
        <f t="shared" si="971"/>
        <v>CA</v>
      </c>
      <c r="F2423" t="str">
        <f t="shared" si="989"/>
        <v>935550000</v>
      </c>
      <c r="G2423" t="str">
        <f>T("CODE 731000D")</f>
        <v>CODE 731000D</v>
      </c>
      <c r="H2423" t="str">
        <f>T("1 ADMIN CIRCLS MS 1316")</f>
        <v>1 ADMIN CIRCLS MS 1316</v>
      </c>
      <c r="I2423" t="str">
        <f>T("CHINA LAKE")</f>
        <v>CHINA LAKE</v>
      </c>
      <c r="J2423" t="str">
        <f t="shared" si="972"/>
        <v>CA</v>
      </c>
      <c r="K2423" t="str">
        <f t="shared" si="990"/>
        <v>7609391648</v>
      </c>
      <c r="L2423" t="str">
        <f>T("7609398103")</f>
        <v>7609398103</v>
      </c>
    </row>
    <row r="2424" spans="1:12" x14ac:dyDescent="0.35">
      <c r="A2424" t="str">
        <f t="shared" si="970"/>
        <v>NAVAIR WD</v>
      </c>
      <c r="B2424" t="str">
        <f t="shared" si="987"/>
        <v>CODE 730000D</v>
      </c>
      <c r="C2424" t="str">
        <f t="shared" si="988"/>
        <v>BLDG 464 MS 1310</v>
      </c>
      <c r="D2424" t="str">
        <f t="shared" si="986"/>
        <v>CHINA LAKE</v>
      </c>
      <c r="E2424" t="str">
        <f t="shared" si="971"/>
        <v>CA</v>
      </c>
      <c r="F2424" t="str">
        <f t="shared" si="989"/>
        <v>935550000</v>
      </c>
      <c r="G2424" t="str">
        <f>T("CODE 731000E")</f>
        <v>CODE 731000E</v>
      </c>
      <c r="H2424" t="str">
        <f>T("575 I AVE STE 1 BLDG 366")</f>
        <v>575 I AVE STE 1 BLDG 366</v>
      </c>
      <c r="I2424" t="str">
        <f>T("POINT MUGU NAWC")</f>
        <v>POINT MUGU NAWC</v>
      </c>
      <c r="J2424" t="str">
        <f t="shared" si="972"/>
        <v>CA</v>
      </c>
      <c r="K2424" t="str">
        <f t="shared" si="990"/>
        <v>7609391648</v>
      </c>
      <c r="L2424" t="str">
        <f>T("8059897105")</f>
        <v>8059897105</v>
      </c>
    </row>
    <row r="2425" spans="1:12" x14ac:dyDescent="0.35">
      <c r="A2425" t="str">
        <f t="shared" ref="A2425:A2488" si="991">T("NAVAIR WD")</f>
        <v>NAVAIR WD</v>
      </c>
      <c r="B2425" t="str">
        <f t="shared" si="987"/>
        <v>CODE 730000D</v>
      </c>
      <c r="C2425" t="str">
        <f t="shared" si="988"/>
        <v>BLDG 464 MS 1310</v>
      </c>
      <c r="D2425" t="str">
        <f t="shared" si="986"/>
        <v>CHINA LAKE</v>
      </c>
      <c r="E2425" t="str">
        <f t="shared" ref="E2425:E2488" si="992">T("CA")</f>
        <v>CA</v>
      </c>
      <c r="F2425" t="str">
        <f t="shared" si="989"/>
        <v>935550000</v>
      </c>
      <c r="G2425" t="str">
        <f>T("CODE 732000D")</f>
        <v>CODE 732000D</v>
      </c>
      <c r="H2425" t="str">
        <f>T("1 ADMIN CIRCLE MS 1316")</f>
        <v>1 ADMIN CIRCLE MS 1316</v>
      </c>
      <c r="I2425" t="str">
        <f>T("RIDGECREST")</f>
        <v>RIDGECREST</v>
      </c>
      <c r="J2425" t="str">
        <f t="shared" ref="J2425:J2488" si="993">T("CA")</f>
        <v>CA</v>
      </c>
      <c r="K2425" t="str">
        <f t="shared" si="990"/>
        <v>7609391648</v>
      </c>
      <c r="L2425" t="str">
        <f>T("7609393129")</f>
        <v>7609393129</v>
      </c>
    </row>
    <row r="2426" spans="1:12" x14ac:dyDescent="0.35">
      <c r="A2426" t="str">
        <f t="shared" si="991"/>
        <v>NAVAIR WD</v>
      </c>
      <c r="B2426" t="str">
        <f>T("CODE 731000D")</f>
        <v>CODE 731000D</v>
      </c>
      <c r="C2426" t="str">
        <f>T("1 ADMIN CIRCLE, MS 1316")</f>
        <v>1 ADMIN CIRCLE, MS 1316</v>
      </c>
      <c r="D2426" t="str">
        <f t="shared" si="986"/>
        <v>CHINA LAKE</v>
      </c>
      <c r="E2426" t="str">
        <f t="shared" si="992"/>
        <v>CA</v>
      </c>
      <c r="F2426" t="str">
        <f>T("935556104")</f>
        <v>935556104</v>
      </c>
      <c r="G2426" t="str">
        <f>T("1 ADMIN CIR")</f>
        <v>1 ADMIN CIR</v>
      </c>
      <c r="H2426" t="str">
        <f>T("MS 1304 BLDG 00947")</f>
        <v>MS 1304 BLDG 00947</v>
      </c>
      <c r="I2426" t="str">
        <f>T("CHINA LAKE")</f>
        <v>CHINA LAKE</v>
      </c>
      <c r="J2426" t="str">
        <f t="shared" si="993"/>
        <v>CA</v>
      </c>
      <c r="K2426" t="str">
        <f t="shared" si="990"/>
        <v>7609391648</v>
      </c>
      <c r="L2426" t="str">
        <f>T("7609397086")</f>
        <v>7609397086</v>
      </c>
    </row>
    <row r="2427" spans="1:12" x14ac:dyDescent="0.35">
      <c r="A2427" t="str">
        <f t="shared" si="991"/>
        <v>NAVAIR WD</v>
      </c>
      <c r="B2427" t="str">
        <f>T("CODE 731000D")</f>
        <v>CODE 731000D</v>
      </c>
      <c r="C2427" t="str">
        <f>T("1 ADMIN CIRCLE, MS 1316")</f>
        <v>1 ADMIN CIRCLE, MS 1316</v>
      </c>
      <c r="D2427" t="str">
        <f t="shared" si="986"/>
        <v>CHINA LAKE</v>
      </c>
      <c r="E2427" t="str">
        <f t="shared" si="992"/>
        <v>CA</v>
      </c>
      <c r="F2427" t="str">
        <f>T("935556104")</f>
        <v>935556104</v>
      </c>
      <c r="G2427" t="str">
        <f>T("CODE 731000D")</f>
        <v>CODE 731000D</v>
      </c>
      <c r="H2427" t="str">
        <f>T("1 ADMIN CIRCLE, MS 1316")</f>
        <v>1 ADMIN CIRCLE, MS 1316</v>
      </c>
      <c r="I2427" t="str">
        <f>T("CHINA LAKE")</f>
        <v>CHINA LAKE</v>
      </c>
      <c r="J2427" t="str">
        <f t="shared" si="993"/>
        <v>CA</v>
      </c>
      <c r="K2427" t="str">
        <f t="shared" si="990"/>
        <v>7609391648</v>
      </c>
      <c r="L2427" t="str">
        <f>T("7609393246")</f>
        <v>7609393246</v>
      </c>
    </row>
    <row r="2428" spans="1:12" x14ac:dyDescent="0.35">
      <c r="A2428" t="str">
        <f t="shared" si="991"/>
        <v>NAVAIR WD</v>
      </c>
      <c r="B2428" t="str">
        <f>T("CODE 731000D")</f>
        <v>CODE 731000D</v>
      </c>
      <c r="C2428" t="str">
        <f>T("1 ADMIN CIRCLE, MS 1316")</f>
        <v>1 ADMIN CIRCLE, MS 1316</v>
      </c>
      <c r="D2428" t="str">
        <f t="shared" si="986"/>
        <v>CHINA LAKE</v>
      </c>
      <c r="E2428" t="str">
        <f t="shared" si="992"/>
        <v>CA</v>
      </c>
      <c r="F2428" t="str">
        <f>T("935556104")</f>
        <v>935556104</v>
      </c>
      <c r="G2428" t="str">
        <f>T("CODE 733000D")</f>
        <v>CODE 733000D</v>
      </c>
      <c r="H2428" t="str">
        <f>T("1 ADMIN CIRCLE BLDG 00947 MS 1304")</f>
        <v>1 ADMIN CIRCLE BLDG 00947 MS 1304</v>
      </c>
      <c r="I2428" t="str">
        <f>T("RIDGECREST")</f>
        <v>RIDGECREST</v>
      </c>
      <c r="J2428" t="str">
        <f t="shared" si="993"/>
        <v>CA</v>
      </c>
      <c r="K2428" t="str">
        <f t="shared" si="990"/>
        <v>7609391648</v>
      </c>
      <c r="L2428" t="str">
        <f>T("7609392960")</f>
        <v>7609392960</v>
      </c>
    </row>
    <row r="2429" spans="1:12" x14ac:dyDescent="0.35">
      <c r="A2429" t="str">
        <f t="shared" si="991"/>
        <v>NAVAIR WD</v>
      </c>
      <c r="B2429" t="str">
        <f>T("CODE 781D00D")</f>
        <v>CODE 781D00D</v>
      </c>
      <c r="C2429" t="str">
        <f>T("1 ADMIN CIRCLE")</f>
        <v>1 ADMIN CIRCLE</v>
      </c>
      <c r="D2429" t="str">
        <f t="shared" si="986"/>
        <v>CHINA LAKE</v>
      </c>
      <c r="E2429" t="str">
        <f t="shared" si="992"/>
        <v>CA</v>
      </c>
      <c r="F2429" t="str">
        <f>T("935556104")</f>
        <v>935556104</v>
      </c>
      <c r="G2429" t="str">
        <f>T("CODE 491D00D")</f>
        <v>CODE 491D00D</v>
      </c>
      <c r="H2429" t="str">
        <f>T("1 ADMINISTRATION CIRCLE MS 2011")</f>
        <v>1 ADMINISTRATION CIRCLE MS 2011</v>
      </c>
      <c r="I2429" t="str">
        <f>T("CHINA LAKE")</f>
        <v>CHINA LAKE</v>
      </c>
      <c r="J2429" t="str">
        <f t="shared" si="993"/>
        <v>CA</v>
      </c>
      <c r="K2429" t="str">
        <f t="shared" si="990"/>
        <v>7609391648</v>
      </c>
      <c r="L2429" t="str">
        <f>T("7609399868")</f>
        <v>7609399868</v>
      </c>
    </row>
    <row r="2430" spans="1:12" x14ac:dyDescent="0.35">
      <c r="A2430" t="str">
        <f t="shared" si="991"/>
        <v>NAVAIR WD</v>
      </c>
      <c r="B2430" t="str">
        <f>T("CODE 781D00D")</f>
        <v>CODE 781D00D</v>
      </c>
      <c r="C2430" t="str">
        <f>T("1 ADMIN CIRCLE")</f>
        <v>1 ADMIN CIRCLE</v>
      </c>
      <c r="D2430" t="str">
        <f t="shared" si="986"/>
        <v>CHINA LAKE</v>
      </c>
      <c r="E2430" t="str">
        <f t="shared" si="992"/>
        <v>CA</v>
      </c>
      <c r="F2430" t="str">
        <f>T("935556104")</f>
        <v>935556104</v>
      </c>
      <c r="G2430" t="str">
        <f>T("CODE 781D00D")</f>
        <v>CODE 781D00D</v>
      </c>
      <c r="H2430" t="str">
        <f>T("1 ADMIN CIRCLE")</f>
        <v>1 ADMIN CIRCLE</v>
      </c>
      <c r="I2430" t="str">
        <f>T("CHINA LAKE")</f>
        <v>CHINA LAKE</v>
      </c>
      <c r="J2430" t="str">
        <f t="shared" si="993"/>
        <v>CA</v>
      </c>
      <c r="K2430" t="str">
        <f t="shared" si="990"/>
        <v>7609391648</v>
      </c>
      <c r="L2430" t="str">
        <f>T("7609395288")</f>
        <v>7609395288</v>
      </c>
    </row>
    <row r="2431" spans="1:12" x14ac:dyDescent="0.35">
      <c r="A2431" t="str">
        <f t="shared" si="991"/>
        <v>NAVAIR WD</v>
      </c>
      <c r="B2431" t="str">
        <f>T("CODE 782000D")</f>
        <v>CODE 782000D</v>
      </c>
      <c r="C2431" t="str">
        <f>T("429 E BOWEN RD MS 4015")</f>
        <v>429 E BOWEN RD MS 4015</v>
      </c>
      <c r="D2431" t="str">
        <f t="shared" si="986"/>
        <v>CHINA LAKE</v>
      </c>
      <c r="E2431" t="str">
        <f t="shared" si="992"/>
        <v>CA</v>
      </c>
      <c r="F2431" t="str">
        <f>T("935556108")</f>
        <v>935556108</v>
      </c>
      <c r="G2431" t="str">
        <f>T("CODE 254000D")</f>
        <v>CODE 254000D</v>
      </c>
      <c r="H2431" t="str">
        <f>T("429 E BOWEN RD MS 4015")</f>
        <v>429 E BOWEN RD MS 4015</v>
      </c>
      <c r="I2431" t="str">
        <f>T("RIDGECREST")</f>
        <v>RIDGECREST</v>
      </c>
      <c r="J2431" t="str">
        <f t="shared" si="993"/>
        <v>CA</v>
      </c>
      <c r="K2431" t="str">
        <f t="shared" si="990"/>
        <v>7609391648</v>
      </c>
      <c r="L2431" t="str">
        <f>T("7609391611")</f>
        <v>7609391611</v>
      </c>
    </row>
    <row r="2432" spans="1:12" x14ac:dyDescent="0.35">
      <c r="A2432" t="str">
        <f t="shared" si="991"/>
        <v>NAVAIR WD</v>
      </c>
      <c r="B2432" t="str">
        <f>T("CODE 782000D")</f>
        <v>CODE 782000D</v>
      </c>
      <c r="C2432" t="str">
        <f>T("429 E BOWEN RD MS 4015")</f>
        <v>429 E BOWEN RD MS 4015</v>
      </c>
      <c r="D2432" t="str">
        <f t="shared" si="986"/>
        <v>CHINA LAKE</v>
      </c>
      <c r="E2432" t="str">
        <f t="shared" si="992"/>
        <v>CA</v>
      </c>
      <c r="F2432" t="str">
        <f>T("935556108")</f>
        <v>935556108</v>
      </c>
      <c r="G2432" t="str">
        <f>T("CODE 254100D")</f>
        <v>CODE 254100D</v>
      </c>
      <c r="H2432" t="str">
        <f>T("429 E BOWEN RD MS 4015")</f>
        <v>429 E BOWEN RD MS 4015</v>
      </c>
      <c r="I2432" t="str">
        <f>T("RIDGECREST")</f>
        <v>RIDGECREST</v>
      </c>
      <c r="J2432" t="str">
        <f t="shared" si="993"/>
        <v>CA</v>
      </c>
      <c r="K2432" t="str">
        <f t="shared" si="990"/>
        <v>7609391648</v>
      </c>
      <c r="L2432" t="str">
        <f>T("7609399884")</f>
        <v>7609399884</v>
      </c>
    </row>
    <row r="2433" spans="1:12" x14ac:dyDescent="0.35">
      <c r="A2433" t="str">
        <f t="shared" si="991"/>
        <v>NAVAIR WD</v>
      </c>
      <c r="B2433" t="str">
        <f>T("CODE 782000D")</f>
        <v>CODE 782000D</v>
      </c>
      <c r="C2433" t="str">
        <f>T("429 E BOWEN RD MS 4015")</f>
        <v>429 E BOWEN RD MS 4015</v>
      </c>
      <c r="D2433" t="str">
        <f t="shared" si="986"/>
        <v>CHINA LAKE</v>
      </c>
      <c r="E2433" t="str">
        <f t="shared" si="992"/>
        <v>CA</v>
      </c>
      <c r="F2433" t="str">
        <f>T("935556108")</f>
        <v>935556108</v>
      </c>
      <c r="G2433" t="str">
        <f>T("CODE 782000D")</f>
        <v>CODE 782000D</v>
      </c>
      <c r="H2433" t="str">
        <f>T("429 E BOWEN RD MS 4015")</f>
        <v>429 E BOWEN RD MS 4015</v>
      </c>
      <c r="I2433" t="str">
        <f>T("CHINA LAKE")</f>
        <v>CHINA LAKE</v>
      </c>
      <c r="J2433" t="str">
        <f t="shared" si="993"/>
        <v>CA</v>
      </c>
      <c r="K2433" t="str">
        <f>T("000000000000000000")</f>
        <v>000000000000000000</v>
      </c>
      <c r="L2433" t="str">
        <f>T("7609397444")</f>
        <v>7609397444</v>
      </c>
    </row>
    <row r="2434" spans="1:12" x14ac:dyDescent="0.35">
      <c r="A2434" t="str">
        <f t="shared" si="991"/>
        <v>NAVAIR WD</v>
      </c>
      <c r="B2434" t="str">
        <f t="shared" ref="B2434:B2439" si="994">T("CODE 782100D")</f>
        <v>CODE 782100D</v>
      </c>
      <c r="C2434" t="str">
        <f>T("1 ADMIN CIRCLE MS 1315")</f>
        <v>1 ADMIN CIRCLE MS 1315</v>
      </c>
      <c r="D2434" t="str">
        <f t="shared" si="986"/>
        <v>CHINA LAKE</v>
      </c>
      <c r="E2434" t="str">
        <f t="shared" si="992"/>
        <v>CA</v>
      </c>
      <c r="F2434" t="str">
        <f>T("935556104")</f>
        <v>935556104</v>
      </c>
      <c r="G2434" t="str">
        <f>T("CODE 713100D")</f>
        <v>CODE 713100D</v>
      </c>
      <c r="H2434" t="str">
        <f>T("BLDG 460 RM 3 MS 1315")</f>
        <v>BLDG 460 RM 3 MS 1315</v>
      </c>
      <c r="I2434" t="str">
        <f>T("CHINA LAKE")</f>
        <v>CHINA LAKE</v>
      </c>
      <c r="J2434" t="str">
        <f t="shared" si="993"/>
        <v>CA</v>
      </c>
      <c r="K2434" t="str">
        <f>T("7609391648")</f>
        <v>7609391648</v>
      </c>
      <c r="L2434" t="str">
        <f>T("7609393555")</f>
        <v>7609393555</v>
      </c>
    </row>
    <row r="2435" spans="1:12" x14ac:dyDescent="0.35">
      <c r="A2435" t="str">
        <f t="shared" si="991"/>
        <v>NAVAIR WD</v>
      </c>
      <c r="B2435" t="str">
        <f t="shared" si="994"/>
        <v>CODE 782100D</v>
      </c>
      <c r="C2435" t="str">
        <f>T("1 ADMIN CIRCLE MS 1315")</f>
        <v>1 ADMIN CIRCLE MS 1315</v>
      </c>
      <c r="D2435" t="str">
        <f t="shared" si="986"/>
        <v>CHINA LAKE</v>
      </c>
      <c r="E2435" t="str">
        <f t="shared" si="992"/>
        <v>CA</v>
      </c>
      <c r="F2435" t="str">
        <f>T("935556104")</f>
        <v>935556104</v>
      </c>
      <c r="G2435" t="str">
        <f>T("CODE 782100D")</f>
        <v>CODE 782100D</v>
      </c>
      <c r="H2435" t="str">
        <f>T("1 ADMIN CIRCLE MS 1315")</f>
        <v>1 ADMIN CIRCLE MS 1315</v>
      </c>
      <c r="I2435" t="str">
        <f>T("CHINA LAKE")</f>
        <v>CHINA LAKE</v>
      </c>
      <c r="J2435" t="str">
        <f t="shared" si="993"/>
        <v>CA</v>
      </c>
      <c r="K2435" t="str">
        <f>T("760-939-1648")</f>
        <v>760-939-1648</v>
      </c>
      <c r="L2435" t="str">
        <f>T("7609390079")</f>
        <v>7609390079</v>
      </c>
    </row>
    <row r="2436" spans="1:12" x14ac:dyDescent="0.35">
      <c r="A2436" t="str">
        <f t="shared" si="991"/>
        <v>NAVAIR WD</v>
      </c>
      <c r="B2436" t="str">
        <f t="shared" si="994"/>
        <v>CODE 782100D</v>
      </c>
      <c r="C2436" t="str">
        <f>T("1 ADMIN CIRCLE MS 1315")</f>
        <v>1 ADMIN CIRCLE MS 1315</v>
      </c>
      <c r="D2436" t="str">
        <f t="shared" si="986"/>
        <v>CHINA LAKE</v>
      </c>
      <c r="E2436" t="str">
        <f t="shared" si="992"/>
        <v>CA</v>
      </c>
      <c r="F2436" t="str">
        <f>T("935556104")</f>
        <v>935556104</v>
      </c>
      <c r="G2436" t="str">
        <f>T("CODE 7J0000D")</f>
        <v>CODE 7J0000D</v>
      </c>
      <c r="H2436" t="str">
        <f>T("1 ADMIN CIRCLE BLDG 460 MS 1315")</f>
        <v>1 ADMIN CIRCLE BLDG 460 MS 1315</v>
      </c>
      <c r="I2436" t="str">
        <f>T("RIDGECREST")</f>
        <v>RIDGECREST</v>
      </c>
      <c r="J2436" t="str">
        <f t="shared" si="993"/>
        <v>CA</v>
      </c>
      <c r="K2436" t="str">
        <f t="shared" ref="K2436:K2441" si="995">T("7609391648")</f>
        <v>7609391648</v>
      </c>
      <c r="L2436" t="str">
        <f>T("7609392222")</f>
        <v>7609392222</v>
      </c>
    </row>
    <row r="2437" spans="1:12" x14ac:dyDescent="0.35">
      <c r="A2437" t="str">
        <f t="shared" si="991"/>
        <v>NAVAIR WD</v>
      </c>
      <c r="B2437" t="str">
        <f t="shared" si="994"/>
        <v>CODE 782100D</v>
      </c>
      <c r="C2437" t="str">
        <f>T("1 ADMIN CIRCLE MS 1315")</f>
        <v>1 ADMIN CIRCLE MS 1315</v>
      </c>
      <c r="D2437" t="str">
        <f t="shared" si="986"/>
        <v>CHINA LAKE</v>
      </c>
      <c r="E2437" t="str">
        <f t="shared" si="992"/>
        <v>CA</v>
      </c>
      <c r="F2437" t="str">
        <f>T("935556104")</f>
        <v>935556104</v>
      </c>
      <c r="G2437" t="str">
        <f>T("CODE 7J0000D")</f>
        <v>CODE 7J0000D</v>
      </c>
      <c r="H2437" t="str">
        <f>T("1 ADMIN CIRCLE MS 1315")</f>
        <v>1 ADMIN CIRCLE MS 1315</v>
      </c>
      <c r="I2437" t="str">
        <f>T("CHINA LAKE")</f>
        <v>CHINA LAKE</v>
      </c>
      <c r="J2437" t="str">
        <f t="shared" si="993"/>
        <v>CA</v>
      </c>
      <c r="K2437" t="str">
        <f t="shared" si="995"/>
        <v>7609391648</v>
      </c>
      <c r="L2437" t="str">
        <f>T("7609392222")</f>
        <v>7609392222</v>
      </c>
    </row>
    <row r="2438" spans="1:12" x14ac:dyDescent="0.35">
      <c r="A2438" t="str">
        <f t="shared" si="991"/>
        <v>NAVAIR WD</v>
      </c>
      <c r="B2438" t="str">
        <f t="shared" si="994"/>
        <v>CODE 782100D</v>
      </c>
      <c r="C2438" t="str">
        <f>T("1 ADMIN CIRCLE MS 1315")</f>
        <v>1 ADMIN CIRCLE MS 1315</v>
      </c>
      <c r="D2438" t="str">
        <f t="shared" si="986"/>
        <v>CHINA LAKE</v>
      </c>
      <c r="E2438" t="str">
        <f t="shared" si="992"/>
        <v>CA</v>
      </c>
      <c r="F2438" t="str">
        <f>T("935556104")</f>
        <v>935556104</v>
      </c>
      <c r="G2438" t="str">
        <f>T("CODE 7J3000D")</f>
        <v>CODE 7J3000D</v>
      </c>
      <c r="H2438" t="str">
        <f>T("1 ADMIN CIRCLE BLDG 460 MS 1315")</f>
        <v>1 ADMIN CIRCLE BLDG 460 MS 1315</v>
      </c>
      <c r="I2438" t="str">
        <f>T("RIDGECREST")</f>
        <v>RIDGECREST</v>
      </c>
      <c r="J2438" t="str">
        <f t="shared" si="993"/>
        <v>CA</v>
      </c>
      <c r="K2438" t="str">
        <f t="shared" si="995"/>
        <v>7609391648</v>
      </c>
      <c r="L2438" t="str">
        <f>T("7609392125")</f>
        <v>7609392125</v>
      </c>
    </row>
    <row r="2439" spans="1:12" x14ac:dyDescent="0.35">
      <c r="A2439" t="str">
        <f t="shared" si="991"/>
        <v>NAVAIR WD</v>
      </c>
      <c r="B2439" t="str">
        <f t="shared" si="994"/>
        <v>CODE 782100D</v>
      </c>
      <c r="C2439" t="str">
        <f>T("429 E. BOWEN RD. MS 4015")</f>
        <v>429 E. BOWEN RD. MS 4015</v>
      </c>
      <c r="D2439" t="str">
        <f>T("RIDGECREST")</f>
        <v>RIDGECREST</v>
      </c>
      <c r="E2439" t="str">
        <f t="shared" si="992"/>
        <v>CA</v>
      </c>
      <c r="F2439" t="str">
        <f>T("935556108")</f>
        <v>935556108</v>
      </c>
      <c r="G2439" t="str">
        <f>T("CODE 782100D")</f>
        <v>CODE 782100D</v>
      </c>
      <c r="H2439" t="str">
        <f>T("429 E. BOWEN RD. MS 4015")</f>
        <v>429 E. BOWEN RD. MS 4015</v>
      </c>
      <c r="I2439" t="str">
        <f>T("RIDGECREST")</f>
        <v>RIDGECREST</v>
      </c>
      <c r="J2439" t="str">
        <f t="shared" si="993"/>
        <v>CA</v>
      </c>
      <c r="K2439" t="str">
        <f t="shared" si="995"/>
        <v>7609391648</v>
      </c>
      <c r="L2439" t="str">
        <f>T("7609393813")</f>
        <v>7609393813</v>
      </c>
    </row>
    <row r="2440" spans="1:12" x14ac:dyDescent="0.35">
      <c r="A2440" t="str">
        <f t="shared" si="991"/>
        <v>NAVAIR WD</v>
      </c>
      <c r="B2440" t="str">
        <f t="shared" ref="B2440:B2449" si="996">T("CODE 782200D")</f>
        <v>CODE 782200D</v>
      </c>
      <c r="C2440" t="str">
        <f>T("1 ADMIN CIRCLE MS 6202")</f>
        <v>1 ADMIN CIRCLE MS 6202</v>
      </c>
      <c r="D2440" t="str">
        <f>T("RIDGECREST")</f>
        <v>RIDGECREST</v>
      </c>
      <c r="E2440" t="str">
        <f t="shared" si="992"/>
        <v>CA</v>
      </c>
      <c r="F2440" t="str">
        <f>T("935556104")</f>
        <v>935556104</v>
      </c>
      <c r="G2440" t="str">
        <f>T("CODE 782200D")</f>
        <v>CODE 782200D</v>
      </c>
      <c r="H2440" t="str">
        <f>T("1 ADMIN CIRCLE MS 6202")</f>
        <v>1 ADMIN CIRCLE MS 6202</v>
      </c>
      <c r="I2440" t="str">
        <f>T("RIDGECREST")</f>
        <v>RIDGECREST</v>
      </c>
      <c r="J2440" t="str">
        <f t="shared" si="993"/>
        <v>CA</v>
      </c>
      <c r="K2440" t="str">
        <f t="shared" si="995"/>
        <v>7609391648</v>
      </c>
      <c r="L2440" t="str">
        <f>T("7609391159")</f>
        <v>7609391159</v>
      </c>
    </row>
    <row r="2441" spans="1:12" x14ac:dyDescent="0.35">
      <c r="A2441" t="str">
        <f t="shared" si="991"/>
        <v>NAVAIR WD</v>
      </c>
      <c r="B2441" t="str">
        <f t="shared" si="996"/>
        <v>CODE 782200D</v>
      </c>
      <c r="C2441" t="str">
        <f>T("1900 KNOX RD BLDG 5 MS 6509")</f>
        <v>1900 KNOX RD BLDG 5 MS 6509</v>
      </c>
      <c r="D2441" t="str">
        <f t="shared" ref="D2441:D2455" si="997">T("CHINA LAKE")</f>
        <v>CHINA LAKE</v>
      </c>
      <c r="E2441" t="str">
        <f t="shared" si="992"/>
        <v>CA</v>
      </c>
      <c r="F2441" t="str">
        <f t="shared" ref="F2441:F2446" si="998">T("935556106")</f>
        <v>935556106</v>
      </c>
      <c r="G2441" t="str">
        <f>T("CODE 660000D")</f>
        <v>CODE 660000D</v>
      </c>
      <c r="H2441" t="str">
        <f>T("1900 N KNOX RD BLDG 2466 RM 2050")</f>
        <v>1900 N KNOX RD BLDG 2466 RM 2050</v>
      </c>
      <c r="I2441" t="str">
        <f>T("RIDGECREST")</f>
        <v>RIDGECREST</v>
      </c>
      <c r="J2441" t="str">
        <f t="shared" si="993"/>
        <v>CA</v>
      </c>
      <c r="K2441" t="str">
        <f t="shared" si="995"/>
        <v>7609391648</v>
      </c>
      <c r="L2441" t="str">
        <f>T("7609397426")</f>
        <v>7609397426</v>
      </c>
    </row>
    <row r="2442" spans="1:12" x14ac:dyDescent="0.35">
      <c r="A2442" t="str">
        <f t="shared" si="991"/>
        <v>NAVAIR WD</v>
      </c>
      <c r="B2442" t="str">
        <f t="shared" si="996"/>
        <v>CODE 782200D</v>
      </c>
      <c r="C2442" t="str">
        <f>T("1900 KNOX RD BLDG 5 MS 6509")</f>
        <v>1900 KNOX RD BLDG 5 MS 6509</v>
      </c>
      <c r="D2442" t="str">
        <f t="shared" si="997"/>
        <v>CHINA LAKE</v>
      </c>
      <c r="E2442" t="str">
        <f t="shared" si="992"/>
        <v>CA</v>
      </c>
      <c r="F2442" t="str">
        <f t="shared" si="998"/>
        <v>935556106</v>
      </c>
      <c r="G2442" t="str">
        <f>T("CODE 782200D")</f>
        <v>CODE 782200D</v>
      </c>
      <c r="H2442" t="str">
        <f>T("1900 KNOX RD BLDG 5 MS 6509")</f>
        <v>1900 KNOX RD BLDG 5 MS 6509</v>
      </c>
      <c r="I2442" t="str">
        <f>T("CHINA LAKE")</f>
        <v>CHINA LAKE</v>
      </c>
      <c r="J2442" t="str">
        <f t="shared" si="993"/>
        <v>CA</v>
      </c>
      <c r="K2442" t="str">
        <f>T("760-939-1648")</f>
        <v>760-939-1648</v>
      </c>
      <c r="L2442" t="str">
        <f>T("7609391150")</f>
        <v>7609391150</v>
      </c>
    </row>
    <row r="2443" spans="1:12" x14ac:dyDescent="0.35">
      <c r="A2443" t="str">
        <f t="shared" si="991"/>
        <v>NAVAIR WD</v>
      </c>
      <c r="B2443" t="str">
        <f t="shared" si="996"/>
        <v>CODE 782200D</v>
      </c>
      <c r="C2443" t="str">
        <f>T("1900 N. KNOX RD. MS 6202")</f>
        <v>1900 N. KNOX RD. MS 6202</v>
      </c>
      <c r="D2443" t="str">
        <f t="shared" si="997"/>
        <v>CHINA LAKE</v>
      </c>
      <c r="E2443" t="str">
        <f t="shared" si="992"/>
        <v>CA</v>
      </c>
      <c r="F2443" t="str">
        <f t="shared" si="998"/>
        <v>935556106</v>
      </c>
      <c r="G2443" t="str">
        <f>T("CODE 670000D")</f>
        <v>CODE 670000D</v>
      </c>
      <c r="H2443" t="str">
        <f>T("1 ADMIN CIRCLE BLDG 2466 MS 6206")</f>
        <v>1 ADMIN CIRCLE BLDG 2466 MS 6206</v>
      </c>
      <c r="I2443" t="str">
        <f>T("CHINA LAKE")</f>
        <v>CHINA LAKE</v>
      </c>
      <c r="J2443" t="str">
        <f t="shared" si="993"/>
        <v>CA</v>
      </c>
      <c r="K2443" t="str">
        <f t="shared" ref="K2443:K2451" si="999">T("7609391648")</f>
        <v>7609391648</v>
      </c>
      <c r="L2443" t="str">
        <f>T("7609398637")</f>
        <v>7609398637</v>
      </c>
    </row>
    <row r="2444" spans="1:12" x14ac:dyDescent="0.35">
      <c r="A2444" t="str">
        <f t="shared" si="991"/>
        <v>NAVAIR WD</v>
      </c>
      <c r="B2444" t="str">
        <f t="shared" si="996"/>
        <v>CODE 782200D</v>
      </c>
      <c r="C2444" t="str">
        <f>T("1900 N. KNOX RD. MS 6202")</f>
        <v>1900 N. KNOX RD. MS 6202</v>
      </c>
      <c r="D2444" t="str">
        <f t="shared" si="997"/>
        <v>CHINA LAKE</v>
      </c>
      <c r="E2444" t="str">
        <f t="shared" si="992"/>
        <v>CA</v>
      </c>
      <c r="F2444" t="str">
        <f t="shared" si="998"/>
        <v>935556106</v>
      </c>
      <c r="G2444" t="str">
        <f>T("CODE 670000D 1900 KNOX RD")</f>
        <v>CODE 670000D 1900 KNOX RD</v>
      </c>
      <c r="H2444" t="str">
        <f>T("BLDG 2466 RM 1200 MS 6202")</f>
        <v>BLDG 2466 RM 1200 MS 6202</v>
      </c>
      <c r="I2444" t="str">
        <f>T("CHINA LAKE")</f>
        <v>CHINA LAKE</v>
      </c>
      <c r="J2444" t="str">
        <f t="shared" si="993"/>
        <v>CA</v>
      </c>
      <c r="K2444" t="str">
        <f t="shared" si="999"/>
        <v>7609391648</v>
      </c>
      <c r="L2444" t="str">
        <f>T("7609391856")</f>
        <v>7609391856</v>
      </c>
    </row>
    <row r="2445" spans="1:12" x14ac:dyDescent="0.35">
      <c r="A2445" t="str">
        <f t="shared" si="991"/>
        <v>NAVAIR WD</v>
      </c>
      <c r="B2445" t="str">
        <f t="shared" si="996"/>
        <v>CODE 782200D</v>
      </c>
      <c r="C2445" t="str">
        <f>T("1900 N. KNOX RD. MS 6202")</f>
        <v>1900 N. KNOX RD. MS 6202</v>
      </c>
      <c r="D2445" t="str">
        <f t="shared" si="997"/>
        <v>CHINA LAKE</v>
      </c>
      <c r="E2445" t="str">
        <f t="shared" si="992"/>
        <v>CA</v>
      </c>
      <c r="F2445" t="str">
        <f t="shared" si="998"/>
        <v>935556106</v>
      </c>
      <c r="G2445" t="str">
        <f>T("CODE 671100E")</f>
        <v>CODE 671100E</v>
      </c>
      <c r="H2445" t="str">
        <f>T("575 I AVE STE 1 BLDG 333 RM 224")</f>
        <v>575 I AVE STE 1 BLDG 333 RM 224</v>
      </c>
      <c r="I2445" t="str">
        <f>T("POINT MUGU NAWC")</f>
        <v>POINT MUGU NAWC</v>
      </c>
      <c r="J2445" t="str">
        <f t="shared" si="993"/>
        <v>CA</v>
      </c>
      <c r="K2445" t="str">
        <f t="shared" si="999"/>
        <v>7609391648</v>
      </c>
      <c r="L2445" t="str">
        <f>T("8059897749")</f>
        <v>8059897749</v>
      </c>
    </row>
    <row r="2446" spans="1:12" x14ac:dyDescent="0.35">
      <c r="A2446" t="str">
        <f t="shared" si="991"/>
        <v>NAVAIR WD</v>
      </c>
      <c r="B2446" t="str">
        <f t="shared" si="996"/>
        <v>CODE 782200D</v>
      </c>
      <c r="C2446" t="str">
        <f>T("1900 N. KNOX RD. MS 6202")</f>
        <v>1900 N. KNOX RD. MS 6202</v>
      </c>
      <c r="D2446" t="str">
        <f t="shared" si="997"/>
        <v>CHINA LAKE</v>
      </c>
      <c r="E2446" t="str">
        <f t="shared" si="992"/>
        <v>CA</v>
      </c>
      <c r="F2446" t="str">
        <f t="shared" si="998"/>
        <v>935556106</v>
      </c>
      <c r="G2446" t="str">
        <f>T("CODE 782200D")</f>
        <v>CODE 782200D</v>
      </c>
      <c r="H2446" t="str">
        <f>T("1900 N. KNOX RD. MS 6202")</f>
        <v>1900 N. KNOX RD. MS 6202</v>
      </c>
      <c r="I2446" t="str">
        <f>T("CHINA LAKE")</f>
        <v>CHINA LAKE</v>
      </c>
      <c r="J2446" t="str">
        <f t="shared" si="993"/>
        <v>CA</v>
      </c>
      <c r="K2446" t="str">
        <f t="shared" si="999"/>
        <v>7609391648</v>
      </c>
      <c r="L2446" t="str">
        <f>T("7609393150")</f>
        <v>7609393150</v>
      </c>
    </row>
    <row r="2447" spans="1:12" x14ac:dyDescent="0.35">
      <c r="A2447" t="str">
        <f t="shared" si="991"/>
        <v>NAVAIR WD</v>
      </c>
      <c r="B2447" t="str">
        <f t="shared" si="996"/>
        <v>CODE 782200D</v>
      </c>
      <c r="C2447" t="str">
        <f>T("507 CORSAIR ST BLDG 20279 MS 2011")</f>
        <v>507 CORSAIR ST BLDG 20279 MS 2011</v>
      </c>
      <c r="D2447" t="str">
        <f t="shared" si="997"/>
        <v>CHINA LAKE</v>
      </c>
      <c r="E2447" t="str">
        <f t="shared" si="992"/>
        <v>CA</v>
      </c>
      <c r="F2447" t="str">
        <f>T("935556110")</f>
        <v>935556110</v>
      </c>
      <c r="G2447" t="str">
        <f>T("CODE 471M00D, MS 6801")</f>
        <v>CODE 471M00D, MS 6801</v>
      </c>
      <c r="H2447" t="str">
        <f>T("1 ADMIN CIRCLE BLDG 10 RM 1048")</f>
        <v>1 ADMIN CIRCLE BLDG 10 RM 1048</v>
      </c>
      <c r="I2447" t="str">
        <f>T("CHINA LAKE")</f>
        <v>CHINA LAKE</v>
      </c>
      <c r="J2447" t="str">
        <f t="shared" si="993"/>
        <v>CA</v>
      </c>
      <c r="K2447" t="str">
        <f t="shared" si="999"/>
        <v>7609391648</v>
      </c>
      <c r="L2447" t="str">
        <f>T("7609393254")</f>
        <v>7609393254</v>
      </c>
    </row>
    <row r="2448" spans="1:12" x14ac:dyDescent="0.35">
      <c r="A2448" t="str">
        <f t="shared" si="991"/>
        <v>NAVAIR WD</v>
      </c>
      <c r="B2448" t="str">
        <f t="shared" si="996"/>
        <v>CODE 782200D</v>
      </c>
      <c r="C2448" t="str">
        <f>T("507 CORSAIR ST BLDG 20279 MS 2011")</f>
        <v>507 CORSAIR ST BLDG 20279 MS 2011</v>
      </c>
      <c r="D2448" t="str">
        <f t="shared" si="997"/>
        <v>CHINA LAKE</v>
      </c>
      <c r="E2448" t="str">
        <f t="shared" si="992"/>
        <v>CA</v>
      </c>
      <c r="F2448" t="str">
        <f>T("935556110")</f>
        <v>935556110</v>
      </c>
      <c r="G2448" t="str">
        <f>T("CODE 47L200D")</f>
        <v>CODE 47L200D</v>
      </c>
      <c r="H2448" t="str">
        <f>T("1 ADMIN CIRCLE MS 6802")</f>
        <v>1 ADMIN CIRCLE MS 6802</v>
      </c>
      <c r="I2448" t="str">
        <f>T("RIDGECREST")</f>
        <v>RIDGECREST</v>
      </c>
      <c r="J2448" t="str">
        <f t="shared" si="993"/>
        <v>CA</v>
      </c>
      <c r="K2448" t="str">
        <f t="shared" si="999"/>
        <v>7609391648</v>
      </c>
      <c r="L2448" t="str">
        <f>T("7609391187")</f>
        <v>7609391187</v>
      </c>
    </row>
    <row r="2449" spans="1:12" x14ac:dyDescent="0.35">
      <c r="A2449" t="str">
        <f t="shared" si="991"/>
        <v>NAVAIR WD</v>
      </c>
      <c r="B2449" t="str">
        <f t="shared" si="996"/>
        <v>CODE 782200D</v>
      </c>
      <c r="C2449" t="str">
        <f>T("507 CORSAIR ST BLDG 20279 MS 2011")</f>
        <v>507 CORSAIR ST BLDG 20279 MS 2011</v>
      </c>
      <c r="D2449" t="str">
        <f t="shared" si="997"/>
        <v>CHINA LAKE</v>
      </c>
      <c r="E2449" t="str">
        <f t="shared" si="992"/>
        <v>CA</v>
      </c>
      <c r="F2449" t="str">
        <f>T("935556110")</f>
        <v>935556110</v>
      </c>
      <c r="G2449" t="str">
        <f>T("CODE 782200D")</f>
        <v>CODE 782200D</v>
      </c>
      <c r="H2449" t="str">
        <f>T("507 CORSAIR ST BLDG 20279 MS 2011")</f>
        <v>507 CORSAIR ST BLDG 20279 MS 2011</v>
      </c>
      <c r="I2449" t="str">
        <f>T("CHINA LAKE")</f>
        <v>CHINA LAKE</v>
      </c>
      <c r="J2449" t="str">
        <f t="shared" si="993"/>
        <v>CA</v>
      </c>
      <c r="K2449" t="str">
        <f t="shared" si="999"/>
        <v>7609391648</v>
      </c>
      <c r="L2449" t="str">
        <f>T("7609393148")</f>
        <v>7609393148</v>
      </c>
    </row>
    <row r="2450" spans="1:12" x14ac:dyDescent="0.35">
      <c r="A2450" t="str">
        <f t="shared" si="991"/>
        <v>NAVAIR WD</v>
      </c>
      <c r="B2450" t="str">
        <f>T("CODE 782300D")</f>
        <v>CODE 782300D</v>
      </c>
      <c r="C2450" t="str">
        <f>T("")</f>
        <v/>
      </c>
      <c r="D2450" t="str">
        <f t="shared" si="997"/>
        <v>CHINA LAKE</v>
      </c>
      <c r="E2450" t="str">
        <f t="shared" si="992"/>
        <v>CA</v>
      </c>
      <c r="F2450" t="str">
        <f>T("935550000")</f>
        <v>935550000</v>
      </c>
      <c r="G2450" t="str">
        <f>T("CODE 471P00D")</f>
        <v>CODE 471P00D</v>
      </c>
      <c r="H2450" t="str">
        <f>T("1 ADMIN CIRCLE BLDG 10 RM 1190")</f>
        <v>1 ADMIN CIRCLE BLDG 10 RM 1190</v>
      </c>
      <c r="I2450" t="str">
        <f>T("RIDGECREST")</f>
        <v>RIDGECREST</v>
      </c>
      <c r="J2450" t="str">
        <f t="shared" si="993"/>
        <v>CA</v>
      </c>
      <c r="K2450" t="str">
        <f t="shared" si="999"/>
        <v>7609391648</v>
      </c>
      <c r="L2450" t="str">
        <f>T("7609394344")</f>
        <v>7609394344</v>
      </c>
    </row>
    <row r="2451" spans="1:12" x14ac:dyDescent="0.35">
      <c r="A2451" t="str">
        <f t="shared" si="991"/>
        <v>NAVAIR WD</v>
      </c>
      <c r="B2451" t="str">
        <f>T("CODE 782300D")</f>
        <v>CODE 782300D</v>
      </c>
      <c r="C2451" t="str">
        <f>T("")</f>
        <v/>
      </c>
      <c r="D2451" t="str">
        <f t="shared" si="997"/>
        <v>CHINA LAKE</v>
      </c>
      <c r="E2451" t="str">
        <f t="shared" si="992"/>
        <v>CA</v>
      </c>
      <c r="F2451" t="str">
        <f>T("935550000")</f>
        <v>935550000</v>
      </c>
      <c r="G2451" t="str">
        <f>T("CODE 47L300D")</f>
        <v>CODE 47L300D</v>
      </c>
      <c r="H2451" t="str">
        <f>T("1 ADMIN CIRCLE MS 6816")</f>
        <v>1 ADMIN CIRCLE MS 6816</v>
      </c>
      <c r="I2451" t="str">
        <f>T("RIDGECREST")</f>
        <v>RIDGECREST</v>
      </c>
      <c r="J2451" t="str">
        <f t="shared" si="993"/>
        <v>CA</v>
      </c>
      <c r="K2451" t="str">
        <f t="shared" si="999"/>
        <v>7609391648</v>
      </c>
      <c r="L2451" t="str">
        <f>T("7609390455")</f>
        <v>7609390455</v>
      </c>
    </row>
    <row r="2452" spans="1:12" x14ac:dyDescent="0.35">
      <c r="A2452" t="str">
        <f t="shared" si="991"/>
        <v>NAVAIR WD</v>
      </c>
      <c r="B2452" t="str">
        <f>T("CODE 782300D")</f>
        <v>CODE 782300D</v>
      </c>
      <c r="C2452" t="str">
        <f>T("")</f>
        <v/>
      </c>
      <c r="D2452" t="str">
        <f t="shared" si="997"/>
        <v>CHINA LAKE</v>
      </c>
      <c r="E2452" t="str">
        <f t="shared" si="992"/>
        <v>CA</v>
      </c>
      <c r="F2452" t="str">
        <f>T("935550000")</f>
        <v>935550000</v>
      </c>
      <c r="G2452" t="str">
        <f>T("CODE 782300D")</f>
        <v>CODE 782300D</v>
      </c>
      <c r="H2452" t="str">
        <f>T("")</f>
        <v/>
      </c>
      <c r="I2452" t="str">
        <f t="shared" ref="I2452:I2457" si="1000">T("CHINA LAKE")</f>
        <v>CHINA LAKE</v>
      </c>
      <c r="J2452" t="str">
        <f t="shared" si="993"/>
        <v>CA</v>
      </c>
      <c r="K2452" t="str">
        <f>T("760939 1648")</f>
        <v>760939 1648</v>
      </c>
      <c r="L2452" t="str">
        <f>T("7609391309")</f>
        <v>7609391309</v>
      </c>
    </row>
    <row r="2453" spans="1:12" x14ac:dyDescent="0.35">
      <c r="A2453" t="str">
        <f t="shared" si="991"/>
        <v>NAVAIR WD</v>
      </c>
      <c r="B2453" t="str">
        <f>T("CODE 782300D")</f>
        <v>CODE 782300D</v>
      </c>
      <c r="C2453" t="str">
        <f>T("2400 E PILOT PLANT RD MS5300")</f>
        <v>2400 E PILOT PLANT RD MS5300</v>
      </c>
      <c r="D2453" t="str">
        <f t="shared" si="997"/>
        <v>CHINA LAKE</v>
      </c>
      <c r="E2453" t="str">
        <f t="shared" si="992"/>
        <v>CA</v>
      </c>
      <c r="F2453" t="str">
        <f>T("935556107")</f>
        <v>935556107</v>
      </c>
      <c r="G2453" t="str">
        <f>T("CODE 47L500D")</f>
        <v>CODE 47L500D</v>
      </c>
      <c r="H2453" t="str">
        <f>T("1 ADMIN CIRCLE MS 6811")</f>
        <v>1 ADMIN CIRCLE MS 6811</v>
      </c>
      <c r="I2453" t="str">
        <f t="shared" si="1000"/>
        <v>CHINA LAKE</v>
      </c>
      <c r="J2453" t="str">
        <f t="shared" si="993"/>
        <v>CA</v>
      </c>
      <c r="K2453" t="str">
        <f>T("7609391648")</f>
        <v>7609391648</v>
      </c>
      <c r="L2453" t="str">
        <f>T("7609392677")</f>
        <v>7609392677</v>
      </c>
    </row>
    <row r="2454" spans="1:12" x14ac:dyDescent="0.35">
      <c r="A2454" t="str">
        <f t="shared" si="991"/>
        <v>NAVAIR WD</v>
      </c>
      <c r="B2454" t="str">
        <f>T("CODE 782300D")</f>
        <v>CODE 782300D</v>
      </c>
      <c r="C2454" t="str">
        <f>T("2400 E PILOT PLANT RD MS5300")</f>
        <v>2400 E PILOT PLANT RD MS5300</v>
      </c>
      <c r="D2454" t="str">
        <f t="shared" si="997"/>
        <v>CHINA LAKE</v>
      </c>
      <c r="E2454" t="str">
        <f t="shared" si="992"/>
        <v>CA</v>
      </c>
      <c r="F2454" t="str">
        <f>T("935556107")</f>
        <v>935556107</v>
      </c>
      <c r="G2454" t="str">
        <f>T("CODE 782300D")</f>
        <v>CODE 782300D</v>
      </c>
      <c r="H2454" t="str">
        <f>T("2400 E PILOT PLANT RD MS5300")</f>
        <v>2400 E PILOT PLANT RD MS5300</v>
      </c>
      <c r="I2454" t="str">
        <f t="shared" si="1000"/>
        <v>CHINA LAKE</v>
      </c>
      <c r="J2454" t="str">
        <f t="shared" si="993"/>
        <v>CA</v>
      </c>
      <c r="K2454" t="str">
        <f>T("7609391648")</f>
        <v>7609391648</v>
      </c>
      <c r="L2454" t="str">
        <f>T("7609397496")</f>
        <v>7609397496</v>
      </c>
    </row>
    <row r="2455" spans="1:12" x14ac:dyDescent="0.35">
      <c r="A2455" t="str">
        <f t="shared" si="991"/>
        <v>NAVAIR WD</v>
      </c>
      <c r="B2455" t="str">
        <f>T("CODE 783000D")</f>
        <v>CODE 783000D</v>
      </c>
      <c r="C2455" t="str">
        <f>T("BLDG 10, FLOOR 2, RM 2079, MS6814")</f>
        <v>BLDG 10, FLOOR 2, RM 2079, MS6814</v>
      </c>
      <c r="D2455" t="str">
        <f t="shared" si="997"/>
        <v>CHINA LAKE</v>
      </c>
      <c r="E2455" t="str">
        <f t="shared" si="992"/>
        <v>CA</v>
      </c>
      <c r="F2455" t="str">
        <f>T("935550000")</f>
        <v>935550000</v>
      </c>
      <c r="G2455" t="str">
        <f>T("CODE 783000D")</f>
        <v>CODE 783000D</v>
      </c>
      <c r="H2455" t="str">
        <f>T("BLDG 10, FLOOR 2, RM 2079, MS6814")</f>
        <v>BLDG 10, FLOOR 2, RM 2079, MS6814</v>
      </c>
      <c r="I2455" t="str">
        <f t="shared" si="1000"/>
        <v>CHINA LAKE</v>
      </c>
      <c r="J2455" t="str">
        <f t="shared" si="993"/>
        <v>CA</v>
      </c>
      <c r="K2455" t="str">
        <f>T("7609391648")</f>
        <v>7609391648</v>
      </c>
      <c r="L2455" t="str">
        <f>T("7604283985")</f>
        <v>7604283985</v>
      </c>
    </row>
    <row r="2456" spans="1:12" x14ac:dyDescent="0.35">
      <c r="A2456" t="str">
        <f t="shared" si="991"/>
        <v>NAVAIR WD</v>
      </c>
      <c r="B2456" t="str">
        <f t="shared" ref="B2456:B2477" si="1001">T("CODE 783100D")</f>
        <v>CODE 783100D</v>
      </c>
      <c r="C2456" t="str">
        <f>T("1 ADMIN CIR MS 1113")</f>
        <v>1 ADMIN CIR MS 1113</v>
      </c>
      <c r="D2456" t="str">
        <f>T("RIDGECREST")</f>
        <v>RIDGECREST</v>
      </c>
      <c r="E2456" t="str">
        <f t="shared" si="992"/>
        <v>CA</v>
      </c>
      <c r="F2456" t="str">
        <f t="shared" ref="F2456:F2465" si="1002">T("935556104")</f>
        <v>935556104</v>
      </c>
      <c r="G2456" t="str">
        <f>T("CODE 418300D")</f>
        <v>CODE 418300D</v>
      </c>
      <c r="H2456" t="str">
        <f>T("BLDG 31196")</f>
        <v>BLDG 31196</v>
      </c>
      <c r="I2456" t="str">
        <f t="shared" si="1000"/>
        <v>CHINA LAKE</v>
      </c>
      <c r="J2456" t="str">
        <f t="shared" si="993"/>
        <v>CA</v>
      </c>
      <c r="K2456" t="str">
        <f>T("7609391648")</f>
        <v>7609391648</v>
      </c>
      <c r="L2456" t="str">
        <f>T("7609396143")</f>
        <v>7609396143</v>
      </c>
    </row>
    <row r="2457" spans="1:12" x14ac:dyDescent="0.35">
      <c r="A2457" t="str">
        <f t="shared" si="991"/>
        <v>NAVAIR WD</v>
      </c>
      <c r="B2457" t="str">
        <f t="shared" si="1001"/>
        <v>CODE 783100D</v>
      </c>
      <c r="C2457" t="str">
        <f>T("1 ADMIN CIR MS 1113")</f>
        <v>1 ADMIN CIR MS 1113</v>
      </c>
      <c r="D2457" t="str">
        <f>T("RIDGECREST")</f>
        <v>RIDGECREST</v>
      </c>
      <c r="E2457" t="str">
        <f t="shared" si="992"/>
        <v>CA</v>
      </c>
      <c r="F2457" t="str">
        <f t="shared" si="1002"/>
        <v>935556104</v>
      </c>
      <c r="G2457" t="str">
        <f>T("CODE 490000D")</f>
        <v>CODE 490000D</v>
      </c>
      <c r="H2457" t="str">
        <f>T("")</f>
        <v/>
      </c>
      <c r="I2457" t="str">
        <f t="shared" si="1000"/>
        <v>CHINA LAKE</v>
      </c>
      <c r="J2457" t="str">
        <f t="shared" si="993"/>
        <v>CA</v>
      </c>
      <c r="K2457" t="str">
        <f>T("7609391648")</f>
        <v>7609391648</v>
      </c>
      <c r="L2457" t="str">
        <f>T("7609395976")</f>
        <v>7609395976</v>
      </c>
    </row>
    <row r="2458" spans="1:12" x14ac:dyDescent="0.35">
      <c r="A2458" t="str">
        <f t="shared" si="991"/>
        <v>NAVAIR WD</v>
      </c>
      <c r="B2458" t="str">
        <f t="shared" si="1001"/>
        <v>CODE 783100D</v>
      </c>
      <c r="C2458" t="str">
        <f>T("1 ADMIN CIR MS 1113")</f>
        <v>1 ADMIN CIR MS 1113</v>
      </c>
      <c r="D2458" t="str">
        <f>T("RIDGECREST")</f>
        <v>RIDGECREST</v>
      </c>
      <c r="E2458" t="str">
        <f t="shared" si="992"/>
        <v>CA</v>
      </c>
      <c r="F2458" t="str">
        <f t="shared" si="1002"/>
        <v>935556104</v>
      </c>
      <c r="G2458" t="str">
        <f>T("CODE 783100D")</f>
        <v>CODE 783100D</v>
      </c>
      <c r="H2458" t="str">
        <f>T("1 ADMIN CIR MS 1113")</f>
        <v>1 ADMIN CIR MS 1113</v>
      </c>
      <c r="I2458" t="str">
        <f>T("RIDGECREST")</f>
        <v>RIDGECREST</v>
      </c>
      <c r="J2458" t="str">
        <f t="shared" si="993"/>
        <v>CA</v>
      </c>
      <c r="K2458" t="str">
        <f>T("000000000000000000")</f>
        <v>000000000000000000</v>
      </c>
      <c r="L2458" t="str">
        <f>T("7609394845")</f>
        <v>7609394845</v>
      </c>
    </row>
    <row r="2459" spans="1:12" x14ac:dyDescent="0.35">
      <c r="A2459" t="str">
        <f t="shared" si="991"/>
        <v>NAVAIR WD</v>
      </c>
      <c r="B2459" t="str">
        <f t="shared" si="1001"/>
        <v>CODE 783100D</v>
      </c>
      <c r="C2459" t="str">
        <f t="shared" ref="C2459:C2465" si="1003">T("1 ADMIN CIRCLE")</f>
        <v>1 ADMIN CIRCLE</v>
      </c>
      <c r="D2459" t="str">
        <f t="shared" ref="D2459:D2465" si="1004">T("CHINA LAKE")</f>
        <v>CHINA LAKE</v>
      </c>
      <c r="E2459" t="str">
        <f t="shared" si="992"/>
        <v>CA</v>
      </c>
      <c r="F2459" t="str">
        <f t="shared" si="1002"/>
        <v>935556104</v>
      </c>
      <c r="G2459" t="str">
        <f>T("CODE 41210AD")</f>
        <v>CODE 41210AD</v>
      </c>
      <c r="H2459" t="str">
        <f>T("507 E CORSAIR MS 2011")</f>
        <v>507 E CORSAIR MS 2011</v>
      </c>
      <c r="I2459" t="str">
        <f>T("CHINA LAKE")</f>
        <v>CHINA LAKE</v>
      </c>
      <c r="J2459" t="str">
        <f t="shared" si="993"/>
        <v>CA</v>
      </c>
      <c r="K2459" t="str">
        <f t="shared" ref="K2459:K2472" si="1005">T("7609391648")</f>
        <v>7609391648</v>
      </c>
      <c r="L2459" t="str">
        <f>T("7609395438")</f>
        <v>7609395438</v>
      </c>
    </row>
    <row r="2460" spans="1:12" x14ac:dyDescent="0.35">
      <c r="A2460" t="str">
        <f t="shared" si="991"/>
        <v>NAVAIR WD</v>
      </c>
      <c r="B2460" t="str">
        <f t="shared" si="1001"/>
        <v>CODE 783100D</v>
      </c>
      <c r="C2460" t="str">
        <f t="shared" si="1003"/>
        <v>1 ADMIN CIRCLE</v>
      </c>
      <c r="D2460" t="str">
        <f t="shared" si="1004"/>
        <v>CHINA LAKE</v>
      </c>
      <c r="E2460" t="str">
        <f t="shared" si="992"/>
        <v>CA</v>
      </c>
      <c r="F2460" t="str">
        <f t="shared" si="1002"/>
        <v>935556104</v>
      </c>
      <c r="G2460" t="str">
        <f>T("CODE 413100D")</f>
        <v>CODE 413100D</v>
      </c>
      <c r="H2460" t="str">
        <f>T("507 E CORSAIR MS 2011")</f>
        <v>507 E CORSAIR MS 2011</v>
      </c>
      <c r="I2460" t="str">
        <f>T("CHINA LAKE")</f>
        <v>CHINA LAKE</v>
      </c>
      <c r="J2460" t="str">
        <f t="shared" si="993"/>
        <v>CA</v>
      </c>
      <c r="K2460" t="str">
        <f t="shared" si="1005"/>
        <v>7609391648</v>
      </c>
      <c r="L2460" t="str">
        <f>T("7609394034")</f>
        <v>7609394034</v>
      </c>
    </row>
    <row r="2461" spans="1:12" x14ac:dyDescent="0.35">
      <c r="A2461" t="str">
        <f t="shared" si="991"/>
        <v>NAVAIR WD</v>
      </c>
      <c r="B2461" t="str">
        <f t="shared" si="1001"/>
        <v>CODE 783100D</v>
      </c>
      <c r="C2461" t="str">
        <f t="shared" si="1003"/>
        <v>1 ADMIN CIRCLE</v>
      </c>
      <c r="D2461" t="str">
        <f t="shared" si="1004"/>
        <v>CHINA LAKE</v>
      </c>
      <c r="E2461" t="str">
        <f t="shared" si="992"/>
        <v>CA</v>
      </c>
      <c r="F2461" t="str">
        <f t="shared" si="1002"/>
        <v>935556104</v>
      </c>
      <c r="G2461" t="str">
        <f>T("CODE 470000D")</f>
        <v>CODE 470000D</v>
      </c>
      <c r="H2461" t="str">
        <f>T("1900 N KNOX RD RM 20105 MS 6500")</f>
        <v>1900 N KNOX RD RM 20105 MS 6500</v>
      </c>
      <c r="I2461" t="str">
        <f>T("RIDGECREST")</f>
        <v>RIDGECREST</v>
      </c>
      <c r="J2461" t="str">
        <f t="shared" si="993"/>
        <v>CA</v>
      </c>
      <c r="K2461" t="str">
        <f t="shared" si="1005"/>
        <v>7609391648</v>
      </c>
      <c r="L2461" t="str">
        <f>T("7609397200")</f>
        <v>7609397200</v>
      </c>
    </row>
    <row r="2462" spans="1:12" x14ac:dyDescent="0.35">
      <c r="A2462" t="str">
        <f t="shared" si="991"/>
        <v>NAVAIR WD</v>
      </c>
      <c r="B2462" t="str">
        <f t="shared" si="1001"/>
        <v>CODE 783100D</v>
      </c>
      <c r="C2462" t="str">
        <f t="shared" si="1003"/>
        <v>1 ADMIN CIRCLE</v>
      </c>
      <c r="D2462" t="str">
        <f t="shared" si="1004"/>
        <v>CHINA LAKE</v>
      </c>
      <c r="E2462" t="str">
        <f t="shared" si="992"/>
        <v>CA</v>
      </c>
      <c r="F2462" t="str">
        <f t="shared" si="1002"/>
        <v>935556104</v>
      </c>
      <c r="G2462" t="str">
        <f>T("CODE 471Z00D MS 6819")</f>
        <v>CODE 471Z00D MS 6819</v>
      </c>
      <c r="H2462" t="str">
        <f>T("1 ADMIN CIRCLE BLDG 10 RM 1224")</f>
        <v>1 ADMIN CIRCLE BLDG 10 RM 1224</v>
      </c>
      <c r="I2462" t="str">
        <f>T("RIDGECREST")</f>
        <v>RIDGECREST</v>
      </c>
      <c r="J2462" t="str">
        <f t="shared" si="993"/>
        <v>CA</v>
      </c>
      <c r="K2462" t="str">
        <f t="shared" si="1005"/>
        <v>7609391648</v>
      </c>
      <c r="L2462" t="str">
        <f>T("7609391730")</f>
        <v>7609391730</v>
      </c>
    </row>
    <row r="2463" spans="1:12" x14ac:dyDescent="0.35">
      <c r="A2463" t="str">
        <f t="shared" si="991"/>
        <v>NAVAIR WD</v>
      </c>
      <c r="B2463" t="str">
        <f t="shared" si="1001"/>
        <v>CODE 783100D</v>
      </c>
      <c r="C2463" t="str">
        <f t="shared" si="1003"/>
        <v>1 ADMIN CIRCLE</v>
      </c>
      <c r="D2463" t="str">
        <f t="shared" si="1004"/>
        <v>CHINA LAKE</v>
      </c>
      <c r="E2463" t="str">
        <f t="shared" si="992"/>
        <v>CA</v>
      </c>
      <c r="F2463" t="str">
        <f t="shared" si="1002"/>
        <v>935556104</v>
      </c>
      <c r="G2463" t="str">
        <f>T("CODE 490000D")</f>
        <v>CODE 490000D</v>
      </c>
      <c r="H2463" t="str">
        <f>T("1900 KNOX RD MS 6310")</f>
        <v>1900 KNOX RD MS 6310</v>
      </c>
      <c r="I2463" t="str">
        <f>T("RIDGECREST")</f>
        <v>RIDGECREST</v>
      </c>
      <c r="J2463" t="str">
        <f t="shared" si="993"/>
        <v>CA</v>
      </c>
      <c r="K2463" t="str">
        <f t="shared" si="1005"/>
        <v>7609391648</v>
      </c>
      <c r="L2463" t="str">
        <f>T("7609395701")</f>
        <v>7609395701</v>
      </c>
    </row>
    <row r="2464" spans="1:12" x14ac:dyDescent="0.35">
      <c r="A2464" t="str">
        <f t="shared" si="991"/>
        <v>NAVAIR WD</v>
      </c>
      <c r="B2464" t="str">
        <f t="shared" si="1001"/>
        <v>CODE 783100D</v>
      </c>
      <c r="C2464" t="str">
        <f t="shared" si="1003"/>
        <v>1 ADMIN CIRCLE</v>
      </c>
      <c r="D2464" t="str">
        <f t="shared" si="1004"/>
        <v>CHINA LAKE</v>
      </c>
      <c r="E2464" t="str">
        <f t="shared" si="992"/>
        <v>CA</v>
      </c>
      <c r="F2464" t="str">
        <f t="shared" si="1002"/>
        <v>935556104</v>
      </c>
      <c r="G2464" t="str">
        <f>T("CODE 783100D")</f>
        <v>CODE 783100D</v>
      </c>
      <c r="H2464" t="str">
        <f>T("1 ADMIN CIRCLE")</f>
        <v>1 ADMIN CIRCLE</v>
      </c>
      <c r="I2464" t="str">
        <f>T("CHINA LAKE")</f>
        <v>CHINA LAKE</v>
      </c>
      <c r="J2464" t="str">
        <f t="shared" si="993"/>
        <v>CA</v>
      </c>
      <c r="K2464" t="str">
        <f t="shared" si="1005"/>
        <v>7609391648</v>
      </c>
      <c r="L2464" t="str">
        <f>T("7609394081")</f>
        <v>7609394081</v>
      </c>
    </row>
    <row r="2465" spans="1:12" x14ac:dyDescent="0.35">
      <c r="A2465" t="str">
        <f t="shared" si="991"/>
        <v>NAVAIR WD</v>
      </c>
      <c r="B2465" t="str">
        <f t="shared" si="1001"/>
        <v>CODE 783100D</v>
      </c>
      <c r="C2465" t="str">
        <f t="shared" si="1003"/>
        <v>1 ADMIN CIRCLE</v>
      </c>
      <c r="D2465" t="str">
        <f t="shared" si="1004"/>
        <v>CHINA LAKE</v>
      </c>
      <c r="E2465" t="str">
        <f t="shared" si="992"/>
        <v>CA</v>
      </c>
      <c r="F2465" t="str">
        <f t="shared" si="1002"/>
        <v>935556104</v>
      </c>
      <c r="G2465" t="str">
        <f>T("CODE 783100D")</f>
        <v>CODE 783100D</v>
      </c>
      <c r="H2465" t="str">
        <f>T("1 ADMIN CIRCLE")</f>
        <v>1 ADMIN CIRCLE</v>
      </c>
      <c r="I2465" t="str">
        <f>T("CHINA LAKE")</f>
        <v>CHINA LAKE</v>
      </c>
      <c r="J2465" t="str">
        <f t="shared" si="993"/>
        <v>CA</v>
      </c>
      <c r="K2465" t="str">
        <f t="shared" si="1005"/>
        <v>7609391648</v>
      </c>
      <c r="L2465" t="str">
        <f>T("7609395229")</f>
        <v>7609395229</v>
      </c>
    </row>
    <row r="2466" spans="1:12" x14ac:dyDescent="0.35">
      <c r="A2466" t="str">
        <f t="shared" si="991"/>
        <v>NAVAIR WD</v>
      </c>
      <c r="B2466" t="str">
        <f t="shared" si="1001"/>
        <v>CODE 783100D</v>
      </c>
      <c r="C2466" t="str">
        <f>T("1900 N KNOX RD MS 6208")</f>
        <v>1900 N KNOX RD MS 6208</v>
      </c>
      <c r="D2466" t="str">
        <f>T("RIDGECREST")</f>
        <v>RIDGECREST</v>
      </c>
      <c r="E2466" t="str">
        <f t="shared" si="992"/>
        <v>CA</v>
      </c>
      <c r="F2466" t="str">
        <f>T("935556106")</f>
        <v>935556106</v>
      </c>
      <c r="G2466" t="str">
        <f>T("CODE 783100D")</f>
        <v>CODE 783100D</v>
      </c>
      <c r="H2466" t="str">
        <f>T("1900 N KNOX RD MS 6208")</f>
        <v>1900 N KNOX RD MS 6208</v>
      </c>
      <c r="I2466" t="str">
        <f>T("RIDGECREST")</f>
        <v>RIDGECREST</v>
      </c>
      <c r="J2466" t="str">
        <f t="shared" si="993"/>
        <v>CA</v>
      </c>
      <c r="K2466" t="str">
        <f t="shared" si="1005"/>
        <v>7609391648</v>
      </c>
      <c r="L2466" t="str">
        <f>T("7609398068")</f>
        <v>7609398068</v>
      </c>
    </row>
    <row r="2467" spans="1:12" x14ac:dyDescent="0.35">
      <c r="A2467" t="str">
        <f t="shared" si="991"/>
        <v>NAVAIR WD</v>
      </c>
      <c r="B2467" t="str">
        <f t="shared" si="1001"/>
        <v>CODE 783100D</v>
      </c>
      <c r="C2467" t="str">
        <f>T("507 CORSAIR ST MS 2018")</f>
        <v>507 CORSAIR ST MS 2018</v>
      </c>
      <c r="D2467" t="str">
        <f t="shared" ref="D2467:D2490" si="1006">T("CHINA LAKE")</f>
        <v>CHINA LAKE</v>
      </c>
      <c r="E2467" t="str">
        <f t="shared" si="992"/>
        <v>CA</v>
      </c>
      <c r="F2467" t="str">
        <f t="shared" ref="F2467:F2477" si="1007">T("935556110")</f>
        <v>935556110</v>
      </c>
      <c r="G2467" t="str">
        <f>T("CODE 434100D MS 6213")</f>
        <v>CODE 434100D MS 6213</v>
      </c>
      <c r="H2467" t="str">
        <f>T("1900 N KNOX RD BLDG 02466 RM 1250")</f>
        <v>1900 N KNOX RD BLDG 02466 RM 1250</v>
      </c>
      <c r="I2467" t="str">
        <f>T("RIDGECREST")</f>
        <v>RIDGECREST</v>
      </c>
      <c r="J2467" t="str">
        <f t="shared" si="993"/>
        <v>CA</v>
      </c>
      <c r="K2467" t="str">
        <f t="shared" si="1005"/>
        <v>7609391648</v>
      </c>
      <c r="L2467" t="str">
        <f>T("7609398907")</f>
        <v>7609398907</v>
      </c>
    </row>
    <row r="2468" spans="1:12" x14ac:dyDescent="0.35">
      <c r="A2468" t="str">
        <f t="shared" si="991"/>
        <v>NAVAIR WD</v>
      </c>
      <c r="B2468" t="str">
        <f t="shared" si="1001"/>
        <v>CODE 783100D</v>
      </c>
      <c r="C2468" t="str">
        <f>T("507 CORSAIR ST MS 2018")</f>
        <v>507 CORSAIR ST MS 2018</v>
      </c>
      <c r="D2468" t="str">
        <f t="shared" si="1006"/>
        <v>CHINA LAKE</v>
      </c>
      <c r="E2468" t="str">
        <f t="shared" si="992"/>
        <v>CA</v>
      </c>
      <c r="F2468" t="str">
        <f t="shared" si="1007"/>
        <v>935556110</v>
      </c>
      <c r="G2468" t="str">
        <f>T("CODE 466000D")</f>
        <v>CODE 466000D</v>
      </c>
      <c r="H2468" t="str">
        <f>T("1 ADMIN CIRCLE MS 6206")</f>
        <v>1 ADMIN CIRCLE MS 6206</v>
      </c>
      <c r="I2468" t="str">
        <f>T("RIDGECREST")</f>
        <v>RIDGECREST</v>
      </c>
      <c r="J2468" t="str">
        <f t="shared" si="993"/>
        <v>CA</v>
      </c>
      <c r="K2468" t="str">
        <f t="shared" si="1005"/>
        <v>7609391648</v>
      </c>
      <c r="L2468" t="str">
        <f>T("7609391939")</f>
        <v>7609391939</v>
      </c>
    </row>
    <row r="2469" spans="1:12" x14ac:dyDescent="0.35">
      <c r="A2469" t="str">
        <f t="shared" si="991"/>
        <v>NAVAIR WD</v>
      </c>
      <c r="B2469" t="str">
        <f t="shared" si="1001"/>
        <v>CODE 783100D</v>
      </c>
      <c r="C2469" t="str">
        <f>T("507 CORSAIR ST MS 2018")</f>
        <v>507 CORSAIR ST MS 2018</v>
      </c>
      <c r="D2469" t="str">
        <f t="shared" si="1006"/>
        <v>CHINA LAKE</v>
      </c>
      <c r="E2469" t="str">
        <f t="shared" si="992"/>
        <v>CA</v>
      </c>
      <c r="F2469" t="str">
        <f t="shared" si="1007"/>
        <v>935556110</v>
      </c>
      <c r="G2469" t="str">
        <f>T("CODE 466100D BLDG 20210 STOP 1118")</f>
        <v>CODE 466100D BLDG 20210 STOP 1118</v>
      </c>
      <c r="H2469" t="str">
        <f>T("")</f>
        <v/>
      </c>
      <c r="I2469" t="str">
        <f>T("CHINA LAKE")</f>
        <v>CHINA LAKE</v>
      </c>
      <c r="J2469" t="str">
        <f t="shared" si="993"/>
        <v>CA</v>
      </c>
      <c r="K2469" t="str">
        <f t="shared" si="1005"/>
        <v>7609391648</v>
      </c>
      <c r="L2469" t="str">
        <f>T("7609391316")</f>
        <v>7609391316</v>
      </c>
    </row>
    <row r="2470" spans="1:12" x14ac:dyDescent="0.35">
      <c r="A2470" t="str">
        <f t="shared" si="991"/>
        <v>NAVAIR WD</v>
      </c>
      <c r="B2470" t="str">
        <f t="shared" si="1001"/>
        <v>CODE 783100D</v>
      </c>
      <c r="C2470" t="str">
        <f>T("507 CORSAIR ST MS 2018")</f>
        <v>507 CORSAIR ST MS 2018</v>
      </c>
      <c r="D2470" t="str">
        <f t="shared" si="1006"/>
        <v>CHINA LAKE</v>
      </c>
      <c r="E2470" t="str">
        <f t="shared" si="992"/>
        <v>CA</v>
      </c>
      <c r="F2470" t="str">
        <f t="shared" si="1007"/>
        <v>935556110</v>
      </c>
      <c r="G2470" t="str">
        <f>T("CODE 4M1400D")</f>
        <v>CODE 4M1400D</v>
      </c>
      <c r="H2470" t="str">
        <f>T("1 ADMIN CIRCLE MS 2018")</f>
        <v>1 ADMIN CIRCLE MS 2018</v>
      </c>
      <c r="I2470" t="str">
        <f>T("RIDGECREST")</f>
        <v>RIDGECREST</v>
      </c>
      <c r="J2470" t="str">
        <f t="shared" si="993"/>
        <v>CA</v>
      </c>
      <c r="K2470" t="str">
        <f t="shared" si="1005"/>
        <v>7609391648</v>
      </c>
      <c r="L2470" t="str">
        <f>T("7609390716")</f>
        <v>7609390716</v>
      </c>
    </row>
    <row r="2471" spans="1:12" x14ac:dyDescent="0.35">
      <c r="A2471" t="str">
        <f t="shared" si="991"/>
        <v>NAVAIR WD</v>
      </c>
      <c r="B2471" t="str">
        <f t="shared" si="1001"/>
        <v>CODE 783100D</v>
      </c>
      <c r="C2471" t="str">
        <f>T("507 CORSAIR ST MS 2018")</f>
        <v>507 CORSAIR ST MS 2018</v>
      </c>
      <c r="D2471" t="str">
        <f t="shared" si="1006"/>
        <v>CHINA LAKE</v>
      </c>
      <c r="E2471" t="str">
        <f t="shared" si="992"/>
        <v>CA</v>
      </c>
      <c r="F2471" t="str">
        <f t="shared" si="1007"/>
        <v>935556110</v>
      </c>
      <c r="G2471" t="str">
        <f>T("CODE 783100D")</f>
        <v>CODE 783100D</v>
      </c>
      <c r="H2471" t="str">
        <f>T("507 CORSAIR ST MS 2018")</f>
        <v>507 CORSAIR ST MS 2018</v>
      </c>
      <c r="I2471" t="str">
        <f>T("CHINA LAKE")</f>
        <v>CHINA LAKE</v>
      </c>
      <c r="J2471" t="str">
        <f t="shared" si="993"/>
        <v>CA</v>
      </c>
      <c r="K2471" t="str">
        <f t="shared" si="1005"/>
        <v>7609391648</v>
      </c>
      <c r="L2471" t="str">
        <f>T("9609394205")</f>
        <v>9609394205</v>
      </c>
    </row>
    <row r="2472" spans="1:12" x14ac:dyDescent="0.35">
      <c r="A2472" t="str">
        <f t="shared" si="991"/>
        <v>NAVAIR WD</v>
      </c>
      <c r="B2472" t="str">
        <f t="shared" si="1001"/>
        <v>CODE 783100D</v>
      </c>
      <c r="C2472" t="str">
        <f>T("507 E CORSAIR BLDG 20000A RM 218")</f>
        <v>507 E CORSAIR BLDG 20000A RM 218</v>
      </c>
      <c r="D2472" t="str">
        <f t="shared" si="1006"/>
        <v>CHINA LAKE</v>
      </c>
      <c r="E2472" t="str">
        <f t="shared" si="992"/>
        <v>CA</v>
      </c>
      <c r="F2472" t="str">
        <f t="shared" si="1007"/>
        <v>935556110</v>
      </c>
      <c r="G2472" t="str">
        <f>T("CODE 493600D")</f>
        <v>CODE 493600D</v>
      </c>
      <c r="H2472" t="str">
        <f>T("507 E CORSAIR BLDG 20000A MS 2004")</f>
        <v>507 E CORSAIR BLDG 20000A MS 2004</v>
      </c>
      <c r="I2472" t="str">
        <f>T("RIDGECREST")</f>
        <v>RIDGECREST</v>
      </c>
      <c r="J2472" t="str">
        <f t="shared" si="993"/>
        <v>CA</v>
      </c>
      <c r="K2472" t="str">
        <f t="shared" si="1005"/>
        <v>7609391648</v>
      </c>
      <c r="L2472" t="str">
        <f>T("7609399978")</f>
        <v>7609399978</v>
      </c>
    </row>
    <row r="2473" spans="1:12" x14ac:dyDescent="0.35">
      <c r="A2473" t="str">
        <f t="shared" si="991"/>
        <v>NAVAIR WD</v>
      </c>
      <c r="B2473" t="str">
        <f t="shared" si="1001"/>
        <v>CODE 783100D</v>
      </c>
      <c r="C2473" t="str">
        <f>T("507 E CORSAIR BLDG 20000A RM 218")</f>
        <v>507 E CORSAIR BLDG 20000A RM 218</v>
      </c>
      <c r="D2473" t="str">
        <f t="shared" si="1006"/>
        <v>CHINA LAKE</v>
      </c>
      <c r="E2473" t="str">
        <f t="shared" si="992"/>
        <v>CA</v>
      </c>
      <c r="F2473" t="str">
        <f t="shared" si="1007"/>
        <v>935556110</v>
      </c>
      <c r="G2473" t="str">
        <f>T("CODE 783100D")</f>
        <v>CODE 783100D</v>
      </c>
      <c r="H2473" t="str">
        <f>T("507 E CORSAIR BLDG 20000A RM 218")</f>
        <v>507 E CORSAIR BLDG 20000A RM 218</v>
      </c>
      <c r="I2473" t="str">
        <f>T("CHINA LAKE")</f>
        <v>CHINA LAKE</v>
      </c>
      <c r="J2473" t="str">
        <f t="shared" si="993"/>
        <v>CA</v>
      </c>
      <c r="K2473" t="str">
        <f>T("000000000000000000")</f>
        <v>000000000000000000</v>
      </c>
      <c r="L2473" t="str">
        <f>T("7609393200")</f>
        <v>7609393200</v>
      </c>
    </row>
    <row r="2474" spans="1:12" x14ac:dyDescent="0.35">
      <c r="A2474" t="str">
        <f t="shared" si="991"/>
        <v>NAVAIR WD</v>
      </c>
      <c r="B2474" t="str">
        <f t="shared" si="1001"/>
        <v>CODE 783100D</v>
      </c>
      <c r="C2474" t="str">
        <f>T("507 E CORSAR MS 2011")</f>
        <v>507 E CORSAR MS 2011</v>
      </c>
      <c r="D2474" t="str">
        <f t="shared" si="1006"/>
        <v>CHINA LAKE</v>
      </c>
      <c r="E2474" t="str">
        <f t="shared" si="992"/>
        <v>CA</v>
      </c>
      <c r="F2474" t="str">
        <f t="shared" si="1007"/>
        <v>935556110</v>
      </c>
      <c r="G2474" t="str">
        <f>T("CODE 491D00D")</f>
        <v>CODE 491D00D</v>
      </c>
      <c r="H2474" t="str">
        <f>T("507 E CORSAIR MS 2011")</f>
        <v>507 E CORSAIR MS 2011</v>
      </c>
      <c r="I2474" t="str">
        <f>T("CHINA LAKE")</f>
        <v>CHINA LAKE</v>
      </c>
      <c r="J2474" t="str">
        <f t="shared" si="993"/>
        <v>CA</v>
      </c>
      <c r="K2474" t="str">
        <f>T("7609391648")</f>
        <v>7609391648</v>
      </c>
      <c r="L2474" t="str">
        <f>T("7609394510")</f>
        <v>7609394510</v>
      </c>
    </row>
    <row r="2475" spans="1:12" x14ac:dyDescent="0.35">
      <c r="A2475" t="str">
        <f t="shared" si="991"/>
        <v>NAVAIR WD</v>
      </c>
      <c r="B2475" t="str">
        <f t="shared" si="1001"/>
        <v>CODE 783100D</v>
      </c>
      <c r="C2475" t="str">
        <f>T("507 E CORSAR MS 2011")</f>
        <v>507 E CORSAR MS 2011</v>
      </c>
      <c r="D2475" t="str">
        <f t="shared" si="1006"/>
        <v>CHINA LAKE</v>
      </c>
      <c r="E2475" t="str">
        <f t="shared" si="992"/>
        <v>CA</v>
      </c>
      <c r="F2475" t="str">
        <f t="shared" si="1007"/>
        <v>935556110</v>
      </c>
      <c r="G2475" t="str">
        <f>T("CODE 491D00D")</f>
        <v>CODE 491D00D</v>
      </c>
      <c r="H2475" t="str">
        <f>T("507 E CORSAIR MS 2011")</f>
        <v>507 E CORSAIR MS 2011</v>
      </c>
      <c r="I2475" t="str">
        <f>T("CHINA LAKE")</f>
        <v>CHINA LAKE</v>
      </c>
      <c r="J2475" t="str">
        <f t="shared" si="993"/>
        <v>CA</v>
      </c>
      <c r="K2475" t="str">
        <f>T("7609391648")</f>
        <v>7609391648</v>
      </c>
      <c r="L2475" t="str">
        <f>T("7609395888")</f>
        <v>7609395888</v>
      </c>
    </row>
    <row r="2476" spans="1:12" x14ac:dyDescent="0.35">
      <c r="A2476" t="str">
        <f t="shared" si="991"/>
        <v>NAVAIR WD</v>
      </c>
      <c r="B2476" t="str">
        <f t="shared" si="1001"/>
        <v>CODE 783100D</v>
      </c>
      <c r="C2476" t="str">
        <f>T("507 E CORSAR MS 2011")</f>
        <v>507 E CORSAR MS 2011</v>
      </c>
      <c r="D2476" t="str">
        <f t="shared" si="1006"/>
        <v>CHINA LAKE</v>
      </c>
      <c r="E2476" t="str">
        <f t="shared" si="992"/>
        <v>CA</v>
      </c>
      <c r="F2476" t="str">
        <f t="shared" si="1007"/>
        <v>935556110</v>
      </c>
      <c r="G2476" t="str">
        <f>T("CODE 745000D")</f>
        <v>CODE 745000D</v>
      </c>
      <c r="H2476" t="str">
        <f>T("507 E CORSAIR ST MS 2011")</f>
        <v>507 E CORSAIR ST MS 2011</v>
      </c>
      <c r="I2476" t="str">
        <f>T("RIDGECREST")</f>
        <v>RIDGECREST</v>
      </c>
      <c r="J2476" t="str">
        <f t="shared" si="993"/>
        <v>CA</v>
      </c>
      <c r="K2476" t="str">
        <f>T("7609391648")</f>
        <v>7609391648</v>
      </c>
      <c r="L2476" t="str">
        <f>T("7609393212")</f>
        <v>7609393212</v>
      </c>
    </row>
    <row r="2477" spans="1:12" x14ac:dyDescent="0.35">
      <c r="A2477" t="str">
        <f t="shared" si="991"/>
        <v>NAVAIR WD</v>
      </c>
      <c r="B2477" t="str">
        <f t="shared" si="1001"/>
        <v>CODE 783100D</v>
      </c>
      <c r="C2477" t="str">
        <f>T("507 E CORSAR MS 2011")</f>
        <v>507 E CORSAR MS 2011</v>
      </c>
      <c r="D2477" t="str">
        <f t="shared" si="1006"/>
        <v>CHINA LAKE</v>
      </c>
      <c r="E2477" t="str">
        <f t="shared" si="992"/>
        <v>CA</v>
      </c>
      <c r="F2477" t="str">
        <f t="shared" si="1007"/>
        <v>935556110</v>
      </c>
      <c r="G2477" t="str">
        <f>T("CODE 783100D")</f>
        <v>CODE 783100D</v>
      </c>
      <c r="H2477" t="str">
        <f>T("507 E CORSAR MS 2011")</f>
        <v>507 E CORSAR MS 2011</v>
      </c>
      <c r="I2477" t="str">
        <f>T("CHINA LAKE")</f>
        <v>CHINA LAKE</v>
      </c>
      <c r="J2477" t="str">
        <f t="shared" si="993"/>
        <v>CA</v>
      </c>
      <c r="K2477" t="str">
        <f>T("000000000000000000")</f>
        <v>000000000000000000</v>
      </c>
      <c r="L2477" t="str">
        <f>T("7609395702")</f>
        <v>7609395702</v>
      </c>
    </row>
    <row r="2478" spans="1:12" x14ac:dyDescent="0.35">
      <c r="A2478" t="str">
        <f t="shared" si="991"/>
        <v>NAVAIR WD</v>
      </c>
      <c r="B2478" t="str">
        <f>T("CODE 783200D")</f>
        <v>CODE 783200D</v>
      </c>
      <c r="C2478" t="str">
        <f>T("1 ADMIN CIRCLE MS 6303")</f>
        <v>1 ADMIN CIRCLE MS 6303</v>
      </c>
      <c r="D2478" t="str">
        <f t="shared" si="1006"/>
        <v>CHINA LAKE</v>
      </c>
      <c r="E2478" t="str">
        <f t="shared" si="992"/>
        <v>CA</v>
      </c>
      <c r="F2478" t="str">
        <f t="shared" ref="F2478:F2492" si="1008">T("935556104")</f>
        <v>935556104</v>
      </c>
      <c r="G2478" t="str">
        <f>T("CODE 4F0000D")</f>
        <v>CODE 4F0000D</v>
      </c>
      <c r="H2478" t="str">
        <f>T("1900 N KNOX RD MS 6302")</f>
        <v>1900 N KNOX RD MS 6302</v>
      </c>
      <c r="I2478" t="str">
        <f>T("RIDGECREST")</f>
        <v>RIDGECREST</v>
      </c>
      <c r="J2478" t="str">
        <f t="shared" si="993"/>
        <v>CA</v>
      </c>
      <c r="K2478" t="str">
        <f t="shared" ref="K2478:K2491" si="1009">T("7609391648")</f>
        <v>7609391648</v>
      </c>
      <c r="L2478" t="str">
        <f>T("7609393247")</f>
        <v>7609393247</v>
      </c>
    </row>
    <row r="2479" spans="1:12" x14ac:dyDescent="0.35">
      <c r="A2479" t="str">
        <f t="shared" si="991"/>
        <v>NAVAIR WD</v>
      </c>
      <c r="B2479" t="str">
        <f>T("CODE 783200D")</f>
        <v>CODE 783200D</v>
      </c>
      <c r="C2479" t="str">
        <f>T("1 ADMIN CIRCLE MS 6303")</f>
        <v>1 ADMIN CIRCLE MS 6303</v>
      </c>
      <c r="D2479" t="str">
        <f t="shared" si="1006"/>
        <v>CHINA LAKE</v>
      </c>
      <c r="E2479" t="str">
        <f t="shared" si="992"/>
        <v>CA</v>
      </c>
      <c r="F2479" t="str">
        <f t="shared" si="1008"/>
        <v>935556104</v>
      </c>
      <c r="G2479" t="str">
        <f>T("CODE 4F0000D")</f>
        <v>CODE 4F0000D</v>
      </c>
      <c r="H2479" t="str">
        <f>T("1900 N KNOX RD MS 6303")</f>
        <v>1900 N KNOX RD MS 6303</v>
      </c>
      <c r="I2479" t="str">
        <f>T("CHINA LAKE")</f>
        <v>CHINA LAKE</v>
      </c>
      <c r="J2479" t="str">
        <f t="shared" si="993"/>
        <v>CA</v>
      </c>
      <c r="K2479" t="str">
        <f t="shared" si="1009"/>
        <v>7609391648</v>
      </c>
      <c r="L2479" t="str">
        <f>T("7609391630")</f>
        <v>7609391630</v>
      </c>
    </row>
    <row r="2480" spans="1:12" x14ac:dyDescent="0.35">
      <c r="A2480" t="str">
        <f t="shared" si="991"/>
        <v>NAVAIR WD</v>
      </c>
      <c r="B2480" t="str">
        <f>T("CODE 783200D")</f>
        <v>CODE 783200D</v>
      </c>
      <c r="C2480" t="str">
        <f>T("1 ADMIN CIRCLE MS 6303")</f>
        <v>1 ADMIN CIRCLE MS 6303</v>
      </c>
      <c r="D2480" t="str">
        <f t="shared" si="1006"/>
        <v>CHINA LAKE</v>
      </c>
      <c r="E2480" t="str">
        <f t="shared" si="992"/>
        <v>CA</v>
      </c>
      <c r="F2480" t="str">
        <f t="shared" si="1008"/>
        <v>935556104</v>
      </c>
      <c r="G2480" t="str">
        <f>T("CODE 4F0000D")</f>
        <v>CODE 4F0000D</v>
      </c>
      <c r="H2480" t="str">
        <f>T("1900 N KNOX RD MS 6303")</f>
        <v>1900 N KNOX RD MS 6303</v>
      </c>
      <c r="I2480" t="str">
        <f>T("RIDGECREST")</f>
        <v>RIDGECREST</v>
      </c>
      <c r="J2480" t="str">
        <f t="shared" si="993"/>
        <v>CA</v>
      </c>
      <c r="K2480" t="str">
        <f t="shared" si="1009"/>
        <v>7609391648</v>
      </c>
      <c r="L2480" t="str">
        <f>T("7609391036")</f>
        <v>7609391036</v>
      </c>
    </row>
    <row r="2481" spans="1:12" x14ac:dyDescent="0.35">
      <c r="A2481" t="str">
        <f t="shared" si="991"/>
        <v>NAVAIR WD</v>
      </c>
      <c r="B2481" t="str">
        <f>T("CODE 783200D")</f>
        <v>CODE 783200D</v>
      </c>
      <c r="C2481" t="str">
        <f>T("1 ADMIN CIRCLE MS 6303")</f>
        <v>1 ADMIN CIRCLE MS 6303</v>
      </c>
      <c r="D2481" t="str">
        <f t="shared" si="1006"/>
        <v>CHINA LAKE</v>
      </c>
      <c r="E2481" t="str">
        <f t="shared" si="992"/>
        <v>CA</v>
      </c>
      <c r="F2481" t="str">
        <f t="shared" si="1008"/>
        <v>935556104</v>
      </c>
      <c r="G2481" t="str">
        <f>T("CODE 783200D")</f>
        <v>CODE 783200D</v>
      </c>
      <c r="H2481" t="str">
        <f>T("1 ADMIN CIRCLE MS 6303")</f>
        <v>1 ADMIN CIRCLE MS 6303</v>
      </c>
      <c r="I2481" t="str">
        <f>T("CHINA LAKE")</f>
        <v>CHINA LAKE</v>
      </c>
      <c r="J2481" t="str">
        <f t="shared" si="993"/>
        <v>CA</v>
      </c>
      <c r="K2481" t="str">
        <f t="shared" si="1009"/>
        <v>7609391648</v>
      </c>
      <c r="L2481" t="str">
        <f>T("7609390416")</f>
        <v>7609390416</v>
      </c>
    </row>
    <row r="2482" spans="1:12" x14ac:dyDescent="0.35">
      <c r="A2482" t="str">
        <f t="shared" si="991"/>
        <v>NAVAIR WD</v>
      </c>
      <c r="B2482" t="str">
        <f t="shared" ref="B2482:B2492" si="1010">T("CODE 783300D")</f>
        <v>CODE 783300D</v>
      </c>
      <c r="C2482" t="str">
        <f>T("1 ADMIN CIRCLE BLDG 11010 MS 5001")</f>
        <v>1 ADMIN CIRCLE BLDG 11010 MS 5001</v>
      </c>
      <c r="D2482" t="str">
        <f t="shared" si="1006"/>
        <v>CHINA LAKE</v>
      </c>
      <c r="E2482" t="str">
        <f t="shared" si="992"/>
        <v>CA</v>
      </c>
      <c r="F2482" t="str">
        <f t="shared" si="1008"/>
        <v>935556104</v>
      </c>
      <c r="G2482" t="str">
        <f>T("CODE 477100D MS 5301")</f>
        <v>CODE 477100D MS 5301</v>
      </c>
      <c r="H2482" t="str">
        <f>T("2400 PILOT PLANT RD BLDG 11510")</f>
        <v>2400 PILOT PLANT RD BLDG 11510</v>
      </c>
      <c r="I2482" t="str">
        <f>T("RIDGECREST")</f>
        <v>RIDGECREST</v>
      </c>
      <c r="J2482" t="str">
        <f t="shared" si="993"/>
        <v>CA</v>
      </c>
      <c r="K2482" t="str">
        <f t="shared" si="1009"/>
        <v>7609391648</v>
      </c>
      <c r="L2482" t="str">
        <f>T("7609397938")</f>
        <v>7609397938</v>
      </c>
    </row>
    <row r="2483" spans="1:12" x14ac:dyDescent="0.35">
      <c r="A2483" t="str">
        <f t="shared" si="991"/>
        <v>NAVAIR WD</v>
      </c>
      <c r="B2483" t="str">
        <f t="shared" si="1010"/>
        <v>CODE 783300D</v>
      </c>
      <c r="C2483" t="str">
        <f>T("1 ADMIN CIRCLE BLDG 11010 MS 5001")</f>
        <v>1 ADMIN CIRCLE BLDG 11010 MS 5001</v>
      </c>
      <c r="D2483" t="str">
        <f t="shared" si="1006"/>
        <v>CHINA LAKE</v>
      </c>
      <c r="E2483" t="str">
        <f t="shared" si="992"/>
        <v>CA</v>
      </c>
      <c r="F2483" t="str">
        <f t="shared" si="1008"/>
        <v>935556104</v>
      </c>
      <c r="G2483" t="str">
        <f>T("CODE 477200D")</f>
        <v>CODE 477200D</v>
      </c>
      <c r="H2483" t="str">
        <f>T("2400 E PILOT PLANT RD BLDG 11580")</f>
        <v>2400 E PILOT PLANT RD BLDG 11580</v>
      </c>
      <c r="I2483" t="str">
        <f>T("CHINA LAKE")</f>
        <v>CHINA LAKE</v>
      </c>
      <c r="J2483" t="str">
        <f t="shared" si="993"/>
        <v>CA</v>
      </c>
      <c r="K2483" t="str">
        <f t="shared" si="1009"/>
        <v>7609391648</v>
      </c>
      <c r="L2483" t="str">
        <f>T("7609397614")</f>
        <v>7609397614</v>
      </c>
    </row>
    <row r="2484" spans="1:12" x14ac:dyDescent="0.35">
      <c r="A2484" t="str">
        <f t="shared" si="991"/>
        <v>NAVAIR WD</v>
      </c>
      <c r="B2484" t="str">
        <f t="shared" si="1010"/>
        <v>CODE 783300D</v>
      </c>
      <c r="C2484" t="str">
        <f>T("1 ADMIN CIRCLE BLDG 11010 MS 5001")</f>
        <v>1 ADMIN CIRCLE BLDG 11010 MS 5001</v>
      </c>
      <c r="D2484" t="str">
        <f t="shared" si="1006"/>
        <v>CHINA LAKE</v>
      </c>
      <c r="E2484" t="str">
        <f t="shared" si="992"/>
        <v>CA</v>
      </c>
      <c r="F2484" t="str">
        <f t="shared" si="1008"/>
        <v>935556104</v>
      </c>
      <c r="G2484" t="str">
        <f>T("CODE 477300D")</f>
        <v>CODE 477300D</v>
      </c>
      <c r="H2484" t="str">
        <f>T("2400 E PILOT PLANT RD MS 5303")</f>
        <v>2400 E PILOT PLANT RD MS 5303</v>
      </c>
      <c r="I2484" t="str">
        <f>T("RIDGECREST")</f>
        <v>RIDGECREST</v>
      </c>
      <c r="J2484" t="str">
        <f t="shared" si="993"/>
        <v>CA</v>
      </c>
      <c r="K2484" t="str">
        <f t="shared" si="1009"/>
        <v>7609391648</v>
      </c>
      <c r="L2484" t="str">
        <f>T("7609397786")</f>
        <v>7609397786</v>
      </c>
    </row>
    <row r="2485" spans="1:12" x14ac:dyDescent="0.35">
      <c r="A2485" t="str">
        <f t="shared" si="991"/>
        <v>NAVAIR WD</v>
      </c>
      <c r="B2485" t="str">
        <f t="shared" si="1010"/>
        <v>CODE 783300D</v>
      </c>
      <c r="C2485" t="str">
        <f>T("1 ADMIN CIRCLE BLDG 11010 MS 5001")</f>
        <v>1 ADMIN CIRCLE BLDG 11010 MS 5001</v>
      </c>
      <c r="D2485" t="str">
        <f t="shared" si="1006"/>
        <v>CHINA LAKE</v>
      </c>
      <c r="E2485" t="str">
        <f t="shared" si="992"/>
        <v>CA</v>
      </c>
      <c r="F2485" t="str">
        <f t="shared" si="1008"/>
        <v>935556104</v>
      </c>
      <c r="G2485" t="str">
        <f>T("CODE 478700D")</f>
        <v>CODE 478700D</v>
      </c>
      <c r="H2485" t="str">
        <f>T("2400 E PILOT PLANT RD BLDG 10160")</f>
        <v>2400 E PILOT PLANT RD BLDG 10160</v>
      </c>
      <c r="I2485" t="str">
        <f>T("RIDGECREST")</f>
        <v>RIDGECREST</v>
      </c>
      <c r="J2485" t="str">
        <f t="shared" si="993"/>
        <v>CA</v>
      </c>
      <c r="K2485" t="str">
        <f t="shared" si="1009"/>
        <v>7609391648</v>
      </c>
      <c r="L2485" t="str">
        <f>T("7609397745")</f>
        <v>7609397745</v>
      </c>
    </row>
    <row r="2486" spans="1:12" x14ac:dyDescent="0.35">
      <c r="A2486" t="str">
        <f t="shared" si="991"/>
        <v>NAVAIR WD</v>
      </c>
      <c r="B2486" t="str">
        <f t="shared" si="1010"/>
        <v>CODE 783300D</v>
      </c>
      <c r="C2486" t="str">
        <f>T("1 ADMIN CIRCLE BLDG 11010 MS 5001")</f>
        <v>1 ADMIN CIRCLE BLDG 11010 MS 5001</v>
      </c>
      <c r="D2486" t="str">
        <f t="shared" si="1006"/>
        <v>CHINA LAKE</v>
      </c>
      <c r="E2486" t="str">
        <f t="shared" si="992"/>
        <v>CA</v>
      </c>
      <c r="F2486" t="str">
        <f t="shared" si="1008"/>
        <v>935556104</v>
      </c>
      <c r="G2486" t="str">
        <f>T("CODE 783300D")</f>
        <v>CODE 783300D</v>
      </c>
      <c r="H2486" t="str">
        <f>T("1 ADMIN CIRCLE BLDG 11010 MS 5001")</f>
        <v>1 ADMIN CIRCLE BLDG 11010 MS 5001</v>
      </c>
      <c r="I2486" t="str">
        <f>T("CHINA LAKE")</f>
        <v>CHINA LAKE</v>
      </c>
      <c r="J2486" t="str">
        <f t="shared" si="993"/>
        <v>CA</v>
      </c>
      <c r="K2486" t="str">
        <f t="shared" si="1009"/>
        <v>7609391648</v>
      </c>
      <c r="L2486" t="str">
        <f>T("7609395718")</f>
        <v>7609395718</v>
      </c>
    </row>
    <row r="2487" spans="1:12" x14ac:dyDescent="0.35">
      <c r="A2487" t="str">
        <f t="shared" si="991"/>
        <v>NAVAIR WD</v>
      </c>
      <c r="B2487" t="str">
        <f t="shared" si="1010"/>
        <v>CODE 783300D</v>
      </c>
      <c r="C2487" t="str">
        <f>T("1 ADMIN CIRCLE MS 1109")</f>
        <v>1 ADMIN CIRCLE MS 1109</v>
      </c>
      <c r="D2487" t="str">
        <f t="shared" si="1006"/>
        <v>CHINA LAKE</v>
      </c>
      <c r="E2487" t="str">
        <f t="shared" si="992"/>
        <v>CA</v>
      </c>
      <c r="F2487" t="str">
        <f t="shared" si="1008"/>
        <v>935556104</v>
      </c>
      <c r="G2487" t="str">
        <f>T("CODE 474100D")</f>
        <v>CODE 474100D</v>
      </c>
      <c r="H2487" t="str">
        <f>T("2400 E PILOT PLANT RD # MS5301")</f>
        <v>2400 E PILOT PLANT RD # MS5301</v>
      </c>
      <c r="I2487" t="str">
        <f>T("RIDGECREST")</f>
        <v>RIDGECREST</v>
      </c>
      <c r="J2487" t="str">
        <f t="shared" si="993"/>
        <v>CA</v>
      </c>
      <c r="K2487" t="str">
        <f t="shared" si="1009"/>
        <v>7609391648</v>
      </c>
      <c r="L2487" t="str">
        <f>T("7609397388")</f>
        <v>7609397388</v>
      </c>
    </row>
    <row r="2488" spans="1:12" x14ac:dyDescent="0.35">
      <c r="A2488" t="str">
        <f t="shared" si="991"/>
        <v>NAVAIR WD</v>
      </c>
      <c r="B2488" t="str">
        <f t="shared" si="1010"/>
        <v>CODE 783300D</v>
      </c>
      <c r="C2488" t="str">
        <f>T("1 ADMIN CIRCLE MS 1109")</f>
        <v>1 ADMIN CIRCLE MS 1109</v>
      </c>
      <c r="D2488" t="str">
        <f t="shared" si="1006"/>
        <v>CHINA LAKE</v>
      </c>
      <c r="E2488" t="str">
        <f t="shared" si="992"/>
        <v>CA</v>
      </c>
      <c r="F2488" t="str">
        <f t="shared" si="1008"/>
        <v>935556104</v>
      </c>
      <c r="G2488" t="str">
        <f>T("CODE 474200D")</f>
        <v>CODE 474200D</v>
      </c>
      <c r="H2488" t="str">
        <f>T("1900 N KNOX RD MS 6204")</f>
        <v>1900 N KNOX RD MS 6204</v>
      </c>
      <c r="I2488" t="str">
        <f>T("CHINA LAKE")</f>
        <v>CHINA LAKE</v>
      </c>
      <c r="J2488" t="str">
        <f t="shared" si="993"/>
        <v>CA</v>
      </c>
      <c r="K2488" t="str">
        <f t="shared" si="1009"/>
        <v>7609391648</v>
      </c>
      <c r="L2488" t="str">
        <f>T("7609398901")</f>
        <v>7609398901</v>
      </c>
    </row>
    <row r="2489" spans="1:12" x14ac:dyDescent="0.35">
      <c r="A2489" t="str">
        <f t="shared" ref="A2489:A2532" si="1011">T("NAVAIR WD")</f>
        <v>NAVAIR WD</v>
      </c>
      <c r="B2489" t="str">
        <f t="shared" si="1010"/>
        <v>CODE 783300D</v>
      </c>
      <c r="C2489" t="str">
        <f>T("1 ADMIN CIRCLE MS 1109")</f>
        <v>1 ADMIN CIRCLE MS 1109</v>
      </c>
      <c r="D2489" t="str">
        <f t="shared" si="1006"/>
        <v>CHINA LAKE</v>
      </c>
      <c r="E2489" t="str">
        <f t="shared" ref="E2489:E2498" si="1012">T("CA")</f>
        <v>CA</v>
      </c>
      <c r="F2489" t="str">
        <f t="shared" si="1008"/>
        <v>935556104</v>
      </c>
      <c r="G2489" t="str">
        <f>T("CODE 477300D MS 5303")</f>
        <v>CODE 477300D MS 5303</v>
      </c>
      <c r="H2489" t="str">
        <f>T("2400 E PILOT PLANT RD BLDG 11031")</f>
        <v>2400 E PILOT PLANT RD BLDG 11031</v>
      </c>
      <c r="I2489" t="str">
        <f>T("RIDGECREST")</f>
        <v>RIDGECREST</v>
      </c>
      <c r="J2489" t="str">
        <f t="shared" ref="J2489:J2500" si="1013">T("CA")</f>
        <v>CA</v>
      </c>
      <c r="K2489" t="str">
        <f t="shared" si="1009"/>
        <v>7609391648</v>
      </c>
      <c r="L2489" t="str">
        <f>T("7609397786")</f>
        <v>7609397786</v>
      </c>
    </row>
    <row r="2490" spans="1:12" x14ac:dyDescent="0.35">
      <c r="A2490" t="str">
        <f t="shared" si="1011"/>
        <v>NAVAIR WD</v>
      </c>
      <c r="B2490" t="str">
        <f t="shared" si="1010"/>
        <v>CODE 783300D</v>
      </c>
      <c r="C2490" t="str">
        <f>T("1 ADMIN CIRCLE MS 1109")</f>
        <v>1 ADMIN CIRCLE MS 1109</v>
      </c>
      <c r="D2490" t="str">
        <f t="shared" si="1006"/>
        <v>CHINA LAKE</v>
      </c>
      <c r="E2490" t="str">
        <f t="shared" si="1012"/>
        <v>CA</v>
      </c>
      <c r="F2490" t="str">
        <f t="shared" si="1008"/>
        <v>935556104</v>
      </c>
      <c r="G2490" t="str">
        <f>T("CODE 783300D")</f>
        <v>CODE 783300D</v>
      </c>
      <c r="H2490" t="str">
        <f>T("1 ADMIN CIRCLE MS 1109")</f>
        <v>1 ADMIN CIRCLE MS 1109</v>
      </c>
      <c r="I2490" t="str">
        <f>T("CHINA LAKE")</f>
        <v>CHINA LAKE</v>
      </c>
      <c r="J2490" t="str">
        <f t="shared" si="1013"/>
        <v>CA</v>
      </c>
      <c r="K2490" t="str">
        <f t="shared" si="1009"/>
        <v>7609391648</v>
      </c>
      <c r="L2490" t="str">
        <f>T("7609396562")</f>
        <v>7609396562</v>
      </c>
    </row>
    <row r="2491" spans="1:12" x14ac:dyDescent="0.35">
      <c r="A2491" t="str">
        <f t="shared" si="1011"/>
        <v>NAVAIR WD</v>
      </c>
      <c r="B2491" t="str">
        <f t="shared" si="1010"/>
        <v>CODE 783300D</v>
      </c>
      <c r="C2491" t="str">
        <f>T("1 ADMIN CIRCLE MS 5400")</f>
        <v>1 ADMIN CIRCLE MS 5400</v>
      </c>
      <c r="D2491" t="str">
        <f>T("RIDGECREST")</f>
        <v>RIDGECREST</v>
      </c>
      <c r="E2491" t="str">
        <f t="shared" si="1012"/>
        <v>CA</v>
      </c>
      <c r="F2491" t="str">
        <f t="shared" si="1008"/>
        <v>935556104</v>
      </c>
      <c r="G2491" t="str">
        <f>T("CODE 478200D")</f>
        <v>CODE 478200D</v>
      </c>
      <c r="H2491" t="str">
        <f>T("2400 E PILOT PLANT RD BLDG 11092")</f>
        <v>2400 E PILOT PLANT RD BLDG 11092</v>
      </c>
      <c r="I2491" t="str">
        <f>T("CHINA LAKE")</f>
        <v>CHINA LAKE</v>
      </c>
      <c r="J2491" t="str">
        <f t="shared" si="1013"/>
        <v>CA</v>
      </c>
      <c r="K2491" t="str">
        <f t="shared" si="1009"/>
        <v>7609391648</v>
      </c>
      <c r="L2491" t="str">
        <f>T("7609395979")</f>
        <v>7609395979</v>
      </c>
    </row>
    <row r="2492" spans="1:12" x14ac:dyDescent="0.35">
      <c r="A2492" t="str">
        <f t="shared" si="1011"/>
        <v>NAVAIR WD</v>
      </c>
      <c r="B2492" t="str">
        <f t="shared" si="1010"/>
        <v>CODE 783300D</v>
      </c>
      <c r="C2492" t="str">
        <f>T("1 ADMIN CIRCLE MS 5400")</f>
        <v>1 ADMIN CIRCLE MS 5400</v>
      </c>
      <c r="D2492" t="str">
        <f>T("RIDGECREST")</f>
        <v>RIDGECREST</v>
      </c>
      <c r="E2492" t="str">
        <f t="shared" si="1012"/>
        <v>CA</v>
      </c>
      <c r="F2492" t="str">
        <f t="shared" si="1008"/>
        <v>935556104</v>
      </c>
      <c r="G2492" t="str">
        <f>T("CODE 783300D")</f>
        <v>CODE 783300D</v>
      </c>
      <c r="H2492" t="str">
        <f>T("1 ADMIN CIRCLE MS 5400")</f>
        <v>1 ADMIN CIRCLE MS 5400</v>
      </c>
      <c r="I2492" t="str">
        <f>T("RIDGECREST")</f>
        <v>RIDGECREST</v>
      </c>
      <c r="J2492" t="str">
        <f t="shared" si="1013"/>
        <v>CA</v>
      </c>
      <c r="K2492" t="str">
        <f>T("760-939-1648")</f>
        <v>760-939-1648</v>
      </c>
      <c r="L2492" t="str">
        <f>T("7609397303")</f>
        <v>7609397303</v>
      </c>
    </row>
    <row r="2493" spans="1:12" x14ac:dyDescent="0.35">
      <c r="A2493" t="str">
        <f t="shared" si="1011"/>
        <v>NAVAIR WD</v>
      </c>
      <c r="B2493" t="str">
        <f>T("CODE 7833100D")</f>
        <v>CODE 7833100D</v>
      </c>
      <c r="C2493" t="str">
        <f>T("MAIL STOP 1113")</f>
        <v>MAIL STOP 1113</v>
      </c>
      <c r="D2493" t="str">
        <f>T("CHINA LAKE")</f>
        <v>CHINA LAKE</v>
      </c>
      <c r="E2493" t="str">
        <f t="shared" si="1012"/>
        <v>CA</v>
      </c>
      <c r="F2493" t="str">
        <f>T("935556100")</f>
        <v>935556100</v>
      </c>
      <c r="G2493" t="str">
        <f>T("CODE 416100D")</f>
        <v>CODE 416100D</v>
      </c>
      <c r="H2493" t="str">
        <f>T("BLDG 10 RM 1072 M/S 6807")</f>
        <v>BLDG 10 RM 1072 M/S 6807</v>
      </c>
      <c r="I2493" t="str">
        <f>T("CHINA LAKE")</f>
        <v>CHINA LAKE</v>
      </c>
      <c r="J2493" t="str">
        <f t="shared" si="1013"/>
        <v>CA</v>
      </c>
      <c r="K2493" t="str">
        <f>T("7609391648")</f>
        <v>7609391648</v>
      </c>
      <c r="L2493" t="str">
        <f>T("7609395976")</f>
        <v>7609395976</v>
      </c>
    </row>
    <row r="2494" spans="1:12" x14ac:dyDescent="0.35">
      <c r="A2494" t="str">
        <f t="shared" si="1011"/>
        <v>NAVAIR WD</v>
      </c>
      <c r="B2494" t="str">
        <f>T("CODE 7833100D")</f>
        <v>CODE 7833100D</v>
      </c>
      <c r="C2494" t="str">
        <f>T("MAIL STOP 1113")</f>
        <v>MAIL STOP 1113</v>
      </c>
      <c r="D2494" t="str">
        <f>T("CHINA LAKE")</f>
        <v>CHINA LAKE</v>
      </c>
      <c r="E2494" t="str">
        <f t="shared" si="1012"/>
        <v>CA</v>
      </c>
      <c r="F2494" t="str">
        <f>T("935556100")</f>
        <v>935556100</v>
      </c>
      <c r="G2494" t="str">
        <f>T("CODE 418300D")</f>
        <v>CODE 418300D</v>
      </c>
      <c r="H2494" t="str">
        <f>T("BLDG 31196")</f>
        <v>BLDG 31196</v>
      </c>
      <c r="I2494" t="str">
        <f>T("CHINA LAKE")</f>
        <v>CHINA LAKE</v>
      </c>
      <c r="J2494" t="str">
        <f t="shared" si="1013"/>
        <v>CA</v>
      </c>
      <c r="K2494" t="str">
        <f>T("7609391648")</f>
        <v>7609391648</v>
      </c>
      <c r="L2494" t="str">
        <f>T("7609396143")</f>
        <v>7609396143</v>
      </c>
    </row>
    <row r="2495" spans="1:12" x14ac:dyDescent="0.35">
      <c r="A2495" t="str">
        <f t="shared" si="1011"/>
        <v>NAVAIR WD</v>
      </c>
      <c r="B2495" t="str">
        <f>T("CODE 7833100D")</f>
        <v>CODE 7833100D</v>
      </c>
      <c r="C2495" t="str">
        <f>T("MAIL STOP 1113")</f>
        <v>MAIL STOP 1113</v>
      </c>
      <c r="D2495" t="str">
        <f>T("CHINA LAKE")</f>
        <v>CHINA LAKE</v>
      </c>
      <c r="E2495" t="str">
        <f t="shared" si="1012"/>
        <v>CA</v>
      </c>
      <c r="F2495" t="str">
        <f>T("935556100")</f>
        <v>935556100</v>
      </c>
      <c r="G2495" t="str">
        <f>T("CODE 7833100D")</f>
        <v>CODE 7833100D</v>
      </c>
      <c r="H2495" t="str">
        <f>T("MAIL STOP 1113")</f>
        <v>MAIL STOP 1113</v>
      </c>
      <c r="I2495" t="str">
        <f>T("CHINA LAKE")</f>
        <v>CHINA LAKE</v>
      </c>
      <c r="J2495" t="str">
        <f t="shared" si="1013"/>
        <v>CA</v>
      </c>
      <c r="K2495" t="str">
        <f>T("7609391648")</f>
        <v>7609391648</v>
      </c>
      <c r="L2495" t="str">
        <f>T("7609396171")</f>
        <v>7609396171</v>
      </c>
    </row>
    <row r="2496" spans="1:12" x14ac:dyDescent="0.35">
      <c r="A2496" t="str">
        <f t="shared" si="1011"/>
        <v>NAVAIR WD</v>
      </c>
      <c r="B2496" t="str">
        <f t="shared" ref="B2496:B2501" si="1014">T("CODE 783400D")</f>
        <v>CODE 783400D</v>
      </c>
      <c r="C2496" t="str">
        <f>T("1 ADMIN CIRCLE MS 6507")</f>
        <v>1 ADMIN CIRCLE MS 6507</v>
      </c>
      <c r="D2496" t="str">
        <f>T("RIDGECREST")</f>
        <v>RIDGECREST</v>
      </c>
      <c r="E2496" t="str">
        <f t="shared" si="1012"/>
        <v>CA</v>
      </c>
      <c r="F2496" t="str">
        <f>T("935556104")</f>
        <v>935556104</v>
      </c>
      <c r="G2496" t="str">
        <f>T("CODE 471Z00D, MS 6604")</f>
        <v>CODE 471Z00D, MS 6604</v>
      </c>
      <c r="H2496" t="str">
        <f>T("1 ADMIN CIRCLE BLDG 2640 RM 122")</f>
        <v>1 ADMIN CIRCLE BLDG 2640 RM 122</v>
      </c>
      <c r="I2496" t="str">
        <f>T("CHINA LAKE")</f>
        <v>CHINA LAKE</v>
      </c>
      <c r="J2496" t="str">
        <f t="shared" si="1013"/>
        <v>CA</v>
      </c>
      <c r="K2496" t="str">
        <f>T("7609391648")</f>
        <v>7609391648</v>
      </c>
      <c r="L2496" t="str">
        <f>T("7609391187")</f>
        <v>7609391187</v>
      </c>
    </row>
    <row r="2497" spans="1:12" x14ac:dyDescent="0.35">
      <c r="A2497" t="str">
        <f t="shared" si="1011"/>
        <v>NAVAIR WD</v>
      </c>
      <c r="B2497" t="str">
        <f t="shared" si="1014"/>
        <v>CODE 783400D</v>
      </c>
      <c r="C2497" t="str">
        <f>T("1 ADMIN CIRCLE MS 6507")</f>
        <v>1 ADMIN CIRCLE MS 6507</v>
      </c>
      <c r="D2497" t="str">
        <f>T("RIDGECREST")</f>
        <v>RIDGECREST</v>
      </c>
      <c r="E2497" t="str">
        <f t="shared" si="1012"/>
        <v>CA</v>
      </c>
      <c r="F2497" t="str">
        <f>T("935556104")</f>
        <v>935556104</v>
      </c>
      <c r="G2497" t="str">
        <f>T("CODE 479800D")</f>
        <v>CODE 479800D</v>
      </c>
      <c r="H2497" t="str">
        <f>T("1 ADMIN CIRCLE BLDG 02714 MS 6602")</f>
        <v>1 ADMIN CIRCLE BLDG 02714 MS 6602</v>
      </c>
      <c r="I2497" t="str">
        <f>T("RIDGECREST")</f>
        <v>RIDGECREST</v>
      </c>
      <c r="J2497" t="str">
        <f t="shared" si="1013"/>
        <v>CA</v>
      </c>
      <c r="K2497" t="str">
        <f>T("7609391648")</f>
        <v>7609391648</v>
      </c>
      <c r="L2497" t="str">
        <f>T("7609391976")</f>
        <v>7609391976</v>
      </c>
    </row>
    <row r="2498" spans="1:12" x14ac:dyDescent="0.35">
      <c r="A2498" t="str">
        <f t="shared" si="1011"/>
        <v>NAVAIR WD</v>
      </c>
      <c r="B2498" t="str">
        <f t="shared" si="1014"/>
        <v>CODE 783400D</v>
      </c>
      <c r="C2498" t="str">
        <f>T("1 ADMIN CIRCLE MS 6507")</f>
        <v>1 ADMIN CIRCLE MS 6507</v>
      </c>
      <c r="D2498" t="str">
        <f>T("RIDGECREST")</f>
        <v>RIDGECREST</v>
      </c>
      <c r="E2498" t="str">
        <f t="shared" si="1012"/>
        <v>CA</v>
      </c>
      <c r="F2498" t="str">
        <f>T("935556104")</f>
        <v>935556104</v>
      </c>
      <c r="G2498" t="str">
        <f>T("CODE 783400D")</f>
        <v>CODE 783400D</v>
      </c>
      <c r="H2498" t="str">
        <f>T("1 ADMIN CIRCLE MS 6507")</f>
        <v>1 ADMIN CIRCLE MS 6507</v>
      </c>
      <c r="I2498" t="str">
        <f>T("RIDGECREST")</f>
        <v>RIDGECREST</v>
      </c>
      <c r="J2498" t="str">
        <f t="shared" si="1013"/>
        <v>CA</v>
      </c>
      <c r="K2498" t="str">
        <f>T("760-939-1648")</f>
        <v>760-939-1648</v>
      </c>
      <c r="L2498" t="str">
        <f>T("7609391541")</f>
        <v>7609391541</v>
      </c>
    </row>
    <row r="2499" spans="1:12" x14ac:dyDescent="0.35">
      <c r="A2499" t="str">
        <f t="shared" si="1011"/>
        <v>NAVAIR WD</v>
      </c>
      <c r="B2499" t="str">
        <f t="shared" si="1014"/>
        <v>CODE 783400D</v>
      </c>
      <c r="C2499" t="str">
        <f>T("1900 KNOX RD BLDG 0005")</f>
        <v>1900 KNOX RD BLDG 0005</v>
      </c>
      <c r="D2499" t="str">
        <f t="shared" ref="D2499:D2509" si="1015">T("CHINA LAKE")</f>
        <v>CHINA LAKE</v>
      </c>
      <c r="E2499" t="str">
        <f>T("CO")</f>
        <v>CO</v>
      </c>
      <c r="F2499" t="str">
        <f>T("935556106")</f>
        <v>935556106</v>
      </c>
      <c r="G2499" t="str">
        <f>T("CODE 47K500D")</f>
        <v>CODE 47K500D</v>
      </c>
      <c r="H2499" t="str">
        <f>T("1900 N KNOX RD MS 6608")</f>
        <v>1900 N KNOX RD MS 6608</v>
      </c>
      <c r="I2499" t="str">
        <f>T("RIDGECREST")</f>
        <v>RIDGECREST</v>
      </c>
      <c r="J2499" t="str">
        <f t="shared" si="1013"/>
        <v>CA</v>
      </c>
      <c r="K2499" t="str">
        <f>T("7609391648")</f>
        <v>7609391648</v>
      </c>
      <c r="L2499" t="str">
        <f>T("7609391524")</f>
        <v>7609391524</v>
      </c>
    </row>
    <row r="2500" spans="1:12" x14ac:dyDescent="0.35">
      <c r="A2500" t="str">
        <f t="shared" si="1011"/>
        <v>NAVAIR WD</v>
      </c>
      <c r="B2500" t="str">
        <f t="shared" si="1014"/>
        <v>CODE 783400D</v>
      </c>
      <c r="C2500" t="str">
        <f>T("1900 KNOX RD BLDG 0005")</f>
        <v>1900 KNOX RD BLDG 0005</v>
      </c>
      <c r="D2500" t="str">
        <f t="shared" si="1015"/>
        <v>CHINA LAKE</v>
      </c>
      <c r="E2500" t="str">
        <f>T("CO")</f>
        <v>CO</v>
      </c>
      <c r="F2500" t="str">
        <f>T("935556106")</f>
        <v>935556106</v>
      </c>
      <c r="G2500" t="str">
        <f>T("CODE 782100D")</f>
        <v>CODE 782100D</v>
      </c>
      <c r="H2500" t="str">
        <f>T("1 ADMIN CIRCLE MS 1010")</f>
        <v>1 ADMIN CIRCLE MS 1010</v>
      </c>
      <c r="I2500" t="str">
        <f>T("RIDGECREST")</f>
        <v>RIDGECREST</v>
      </c>
      <c r="J2500" t="str">
        <f t="shared" si="1013"/>
        <v>CA</v>
      </c>
      <c r="K2500" t="str">
        <f>T("7609391648")</f>
        <v>7609391648</v>
      </c>
      <c r="L2500" t="str">
        <f>T("7609396963")</f>
        <v>7609396963</v>
      </c>
    </row>
    <row r="2501" spans="1:12" x14ac:dyDescent="0.35">
      <c r="A2501" t="str">
        <f t="shared" si="1011"/>
        <v>NAVAIR WD</v>
      </c>
      <c r="B2501" t="str">
        <f t="shared" si="1014"/>
        <v>CODE 783400D</v>
      </c>
      <c r="C2501" t="str">
        <f>T("1900 KNOX RD BLDG 0005")</f>
        <v>1900 KNOX RD BLDG 0005</v>
      </c>
      <c r="D2501" t="str">
        <f t="shared" si="1015"/>
        <v>CHINA LAKE</v>
      </c>
      <c r="E2501" t="str">
        <f>T("CO")</f>
        <v>CO</v>
      </c>
      <c r="F2501" t="str">
        <f>T("935556106")</f>
        <v>935556106</v>
      </c>
      <c r="G2501" t="str">
        <f>T("CODE 783400D")</f>
        <v>CODE 783400D</v>
      </c>
      <c r="H2501" t="str">
        <f>T("1900 KNOX RD BLDG 0005")</f>
        <v>1900 KNOX RD BLDG 0005</v>
      </c>
      <c r="I2501" t="str">
        <f>T("CHINA LAKE")</f>
        <v>CHINA LAKE</v>
      </c>
      <c r="J2501" t="str">
        <f>T("CO")</f>
        <v>CO</v>
      </c>
      <c r="K2501" t="str">
        <f>T("760-939-1648")</f>
        <v>760-939-1648</v>
      </c>
      <c r="L2501" t="str">
        <f>T("7606775127")</f>
        <v>7606775127</v>
      </c>
    </row>
    <row r="2502" spans="1:12" x14ac:dyDescent="0.35">
      <c r="A2502" t="str">
        <f t="shared" si="1011"/>
        <v>NAVAIR WD</v>
      </c>
      <c r="B2502" t="str">
        <f t="shared" ref="B2502:B2507" si="1016">T("CODE 783500D")</f>
        <v>CODE 783500D</v>
      </c>
      <c r="C2502" t="str">
        <f>T("1 ADMIN CIRCLE, MS 6701")</f>
        <v>1 ADMIN CIRCLE, MS 6701</v>
      </c>
      <c r="D2502" t="str">
        <f t="shared" si="1015"/>
        <v>CHINA LAKE</v>
      </c>
      <c r="E2502" t="str">
        <f t="shared" ref="E2502:E2532" si="1017">T("CA")</f>
        <v>CA</v>
      </c>
      <c r="F2502" t="str">
        <f>T("935556104")</f>
        <v>935556104</v>
      </c>
      <c r="G2502" t="str">
        <f>T("CODE 486N00D")</f>
        <v>CODE 486N00D</v>
      </c>
      <c r="H2502" t="str">
        <f>T("BLDG 12 RM 116 MS 6701")</f>
        <v>BLDG 12 RM 116 MS 6701</v>
      </c>
      <c r="I2502" t="str">
        <f>T("CHINA LAKE")</f>
        <v>CHINA LAKE</v>
      </c>
      <c r="J2502" t="str">
        <f t="shared" ref="J2502:J2532" si="1018">T("CA")</f>
        <v>CA</v>
      </c>
      <c r="K2502" t="str">
        <f>T("7609391648")</f>
        <v>7609391648</v>
      </c>
      <c r="L2502" t="str">
        <f>T("7609396564")</f>
        <v>7609396564</v>
      </c>
    </row>
    <row r="2503" spans="1:12" x14ac:dyDescent="0.35">
      <c r="A2503" t="str">
        <f t="shared" si="1011"/>
        <v>NAVAIR WD</v>
      </c>
      <c r="B2503" t="str">
        <f t="shared" si="1016"/>
        <v>CODE 783500D</v>
      </c>
      <c r="C2503" t="str">
        <f>T("1 ADMIN CIRCLE, MS 6701")</f>
        <v>1 ADMIN CIRCLE, MS 6701</v>
      </c>
      <c r="D2503" t="str">
        <f t="shared" si="1015"/>
        <v>CHINA LAKE</v>
      </c>
      <c r="E2503" t="str">
        <f t="shared" si="1017"/>
        <v>CA</v>
      </c>
      <c r="F2503" t="str">
        <f>T("935556104")</f>
        <v>935556104</v>
      </c>
      <c r="G2503" t="str">
        <f>T("CODE 783500D")</f>
        <v>CODE 783500D</v>
      </c>
      <c r="H2503" t="str">
        <f>T("1 ADMIN CIRCLE, MS 6701")</f>
        <v>1 ADMIN CIRCLE, MS 6701</v>
      </c>
      <c r="I2503" t="str">
        <f>T("CHINA LAKE")</f>
        <v>CHINA LAKE</v>
      </c>
      <c r="J2503" t="str">
        <f t="shared" si="1018"/>
        <v>CA</v>
      </c>
      <c r="K2503" t="str">
        <f>T("760-939-1648")</f>
        <v>760-939-1648</v>
      </c>
      <c r="L2503" t="str">
        <f>T("7609395321")</f>
        <v>7609395321</v>
      </c>
    </row>
    <row r="2504" spans="1:12" x14ac:dyDescent="0.35">
      <c r="A2504" t="str">
        <f t="shared" si="1011"/>
        <v>NAVAIR WD</v>
      </c>
      <c r="B2504" t="str">
        <f t="shared" si="1016"/>
        <v>CODE 783500D</v>
      </c>
      <c r="C2504" t="str">
        <f>T("1900 N KNOX RD MS 6306")</f>
        <v>1900 N KNOX RD MS 6306</v>
      </c>
      <c r="D2504" t="str">
        <f t="shared" si="1015"/>
        <v>CHINA LAKE</v>
      </c>
      <c r="E2504" t="str">
        <f t="shared" si="1017"/>
        <v>CA</v>
      </c>
      <c r="F2504" t="str">
        <f>T("935556106")</f>
        <v>935556106</v>
      </c>
      <c r="G2504" t="str">
        <f>T("CODE 400000D")</f>
        <v>CODE 400000D</v>
      </c>
      <c r="H2504" t="str">
        <f>T("BLDG 5 RM 205D MS 6317")</f>
        <v>BLDG 5 RM 205D MS 6317</v>
      </c>
      <c r="I2504" t="str">
        <f>T("CHINA LAKE")</f>
        <v>CHINA LAKE</v>
      </c>
      <c r="J2504" t="str">
        <f t="shared" si="1018"/>
        <v>CA</v>
      </c>
      <c r="K2504" t="str">
        <f>T("7609391648")</f>
        <v>7609391648</v>
      </c>
      <c r="L2504" t="str">
        <f>T("7609391416")</f>
        <v>7609391416</v>
      </c>
    </row>
    <row r="2505" spans="1:12" x14ac:dyDescent="0.35">
      <c r="A2505" t="str">
        <f t="shared" si="1011"/>
        <v>NAVAIR WD</v>
      </c>
      <c r="B2505" t="str">
        <f t="shared" si="1016"/>
        <v>CODE 783500D</v>
      </c>
      <c r="C2505" t="str">
        <f>T("1900 N KNOX RD MS 6306")</f>
        <v>1900 N KNOX RD MS 6306</v>
      </c>
      <c r="D2505" t="str">
        <f t="shared" si="1015"/>
        <v>CHINA LAKE</v>
      </c>
      <c r="E2505" t="str">
        <f t="shared" si="1017"/>
        <v>CA</v>
      </c>
      <c r="F2505" t="str">
        <f>T("935556106")</f>
        <v>935556106</v>
      </c>
      <c r="G2505" t="str">
        <f>T("CODE 434100D")</f>
        <v>CODE 434100D</v>
      </c>
      <c r="H2505" t="str">
        <f>T("1900 N KNOX RD MS 6213")</f>
        <v>1900 N KNOX RD MS 6213</v>
      </c>
      <c r="I2505" t="str">
        <f>T("RIDGECREST")</f>
        <v>RIDGECREST</v>
      </c>
      <c r="J2505" t="str">
        <f t="shared" si="1018"/>
        <v>CA</v>
      </c>
      <c r="K2505" t="str">
        <f>T("7609391648")</f>
        <v>7609391648</v>
      </c>
      <c r="L2505" t="str">
        <f>T("7609398907")</f>
        <v>7609398907</v>
      </c>
    </row>
    <row r="2506" spans="1:12" x14ac:dyDescent="0.35">
      <c r="A2506" t="str">
        <f t="shared" si="1011"/>
        <v>NAVAIR WD</v>
      </c>
      <c r="B2506" t="str">
        <f t="shared" si="1016"/>
        <v>CODE 783500D</v>
      </c>
      <c r="C2506" t="str">
        <f>T("1900 N KNOX RD MS 6306")</f>
        <v>1900 N KNOX RD MS 6306</v>
      </c>
      <c r="D2506" t="str">
        <f t="shared" si="1015"/>
        <v>CHINA LAKE</v>
      </c>
      <c r="E2506" t="str">
        <f t="shared" si="1017"/>
        <v>CA</v>
      </c>
      <c r="F2506" t="str">
        <f>T("935556106")</f>
        <v>935556106</v>
      </c>
      <c r="G2506" t="str">
        <f>T("CODE 4L4100D")</f>
        <v>CODE 4L4100D</v>
      </c>
      <c r="H2506" t="str">
        <f>T("1900 N KNOX RD MS 6302")</f>
        <v>1900 N KNOX RD MS 6302</v>
      </c>
      <c r="I2506" t="str">
        <f>T("RIDGECREST")</f>
        <v>RIDGECREST</v>
      </c>
      <c r="J2506" t="str">
        <f t="shared" si="1018"/>
        <v>CA</v>
      </c>
      <c r="K2506" t="str">
        <f>T("7609391648")</f>
        <v>7609391648</v>
      </c>
      <c r="L2506" t="str">
        <f>T("7609393247")</f>
        <v>7609393247</v>
      </c>
    </row>
    <row r="2507" spans="1:12" x14ac:dyDescent="0.35">
      <c r="A2507" t="str">
        <f t="shared" si="1011"/>
        <v>NAVAIR WD</v>
      </c>
      <c r="B2507" t="str">
        <f t="shared" si="1016"/>
        <v>CODE 783500D</v>
      </c>
      <c r="C2507" t="str">
        <f>T("1900 N KNOX RD MS 6306")</f>
        <v>1900 N KNOX RD MS 6306</v>
      </c>
      <c r="D2507" t="str">
        <f t="shared" si="1015"/>
        <v>CHINA LAKE</v>
      </c>
      <c r="E2507" t="str">
        <f t="shared" si="1017"/>
        <v>CA</v>
      </c>
      <c r="F2507" t="str">
        <f>T("935556106")</f>
        <v>935556106</v>
      </c>
      <c r="G2507" t="str">
        <f>T("CODE 783500D")</f>
        <v>CODE 783500D</v>
      </c>
      <c r="H2507" t="str">
        <f>T("1900 N KNOX RD MS 6306")</f>
        <v>1900 N KNOX RD MS 6306</v>
      </c>
      <c r="I2507" t="str">
        <f>T("CHINA LAKE")</f>
        <v>CHINA LAKE</v>
      </c>
      <c r="J2507" t="str">
        <f t="shared" si="1018"/>
        <v>CA</v>
      </c>
      <c r="K2507" t="str">
        <f>T("000000000000000000")</f>
        <v>000000000000000000</v>
      </c>
      <c r="L2507" t="str">
        <f>T("7609396416")</f>
        <v>7609396416</v>
      </c>
    </row>
    <row r="2508" spans="1:12" x14ac:dyDescent="0.35">
      <c r="A2508" t="str">
        <f t="shared" si="1011"/>
        <v>NAVAIR WD</v>
      </c>
      <c r="B2508" t="str">
        <f>T("CODE 783600D 1 ADMIN CIR MS 2011")</f>
        <v>CODE 783600D 1 ADMIN CIR MS 2011</v>
      </c>
      <c r="C2508" t="str">
        <f>T("")</f>
        <v/>
      </c>
      <c r="D2508" t="str">
        <f t="shared" si="1015"/>
        <v>CHINA LAKE</v>
      </c>
      <c r="E2508" t="str">
        <f t="shared" si="1017"/>
        <v>CA</v>
      </c>
      <c r="F2508" t="str">
        <f>T("935550000")</f>
        <v>935550000</v>
      </c>
      <c r="G2508" t="str">
        <f>T("CODE 491D00D")</f>
        <v>CODE 491D00D</v>
      </c>
      <c r="H2508" t="str">
        <f>T("1 ADMIN CIRCLE MS 2011")</f>
        <v>1 ADMIN CIRCLE MS 2011</v>
      </c>
      <c r="I2508" t="str">
        <f>T("RIDGECREST")</f>
        <v>RIDGECREST</v>
      </c>
      <c r="J2508" t="str">
        <f t="shared" si="1018"/>
        <v>CA</v>
      </c>
      <c r="K2508" t="str">
        <f>T("7609391648")</f>
        <v>7609391648</v>
      </c>
      <c r="L2508" t="str">
        <f>T("7609394499")</f>
        <v>7609394499</v>
      </c>
    </row>
    <row r="2509" spans="1:12" x14ac:dyDescent="0.35">
      <c r="A2509" t="str">
        <f t="shared" si="1011"/>
        <v>NAVAIR WD</v>
      </c>
      <c r="B2509" t="str">
        <f>T("CODE 783600D 1 ADMIN CIR MS 2011")</f>
        <v>CODE 783600D 1 ADMIN CIR MS 2011</v>
      </c>
      <c r="C2509" t="str">
        <f>T("")</f>
        <v/>
      </c>
      <c r="D2509" t="str">
        <f t="shared" si="1015"/>
        <v>CHINA LAKE</v>
      </c>
      <c r="E2509" t="str">
        <f t="shared" si="1017"/>
        <v>CA</v>
      </c>
      <c r="F2509" t="str">
        <f>T("935550000")</f>
        <v>935550000</v>
      </c>
      <c r="G2509" t="str">
        <f>T("CODE 783600D 1 ADMIN CIR MS 2011")</f>
        <v>CODE 783600D 1 ADMIN CIR MS 2011</v>
      </c>
      <c r="H2509" t="str">
        <f>T("")</f>
        <v/>
      </c>
      <c r="I2509" t="str">
        <f>T("CHINA LAKE")</f>
        <v>CHINA LAKE</v>
      </c>
      <c r="J2509" t="str">
        <f t="shared" si="1018"/>
        <v>CA</v>
      </c>
      <c r="K2509" t="str">
        <f>T("000000000000000000")</f>
        <v>000000000000000000</v>
      </c>
      <c r="L2509" t="str">
        <f>T("7609397976")</f>
        <v>7609397976</v>
      </c>
    </row>
    <row r="2510" spans="1:12" x14ac:dyDescent="0.35">
      <c r="A2510" t="str">
        <f t="shared" si="1011"/>
        <v>NAVAIR WD</v>
      </c>
      <c r="B2510" t="str">
        <f>T("CODE 784300D")</f>
        <v>CODE 784300D</v>
      </c>
      <c r="C2510" t="str">
        <f>T("1 ADMIN CIRCLE MS 4015")</f>
        <v>1 ADMIN CIRCLE MS 4015</v>
      </c>
      <c r="D2510" t="str">
        <f>T("RIDGECREST")</f>
        <v>RIDGECREST</v>
      </c>
      <c r="E2510" t="str">
        <f t="shared" si="1017"/>
        <v>CA</v>
      </c>
      <c r="F2510" t="str">
        <f t="shared" ref="F2510:F2522" si="1019">T("935556104")</f>
        <v>935556104</v>
      </c>
      <c r="G2510" t="str">
        <f>T("CODE 254200D")</f>
        <v>CODE 254200D</v>
      </c>
      <c r="H2510" t="str">
        <f>T("429 E BOWEN RD MS 4015")</f>
        <v>429 E BOWEN RD MS 4015</v>
      </c>
      <c r="I2510" t="str">
        <f t="shared" ref="I2510:I2515" si="1020">T("RIDGECREST")</f>
        <v>RIDGECREST</v>
      </c>
      <c r="J2510" t="str">
        <f t="shared" si="1018"/>
        <v>CA</v>
      </c>
      <c r="K2510" t="str">
        <f>T("7609391648")</f>
        <v>7609391648</v>
      </c>
      <c r="L2510" t="str">
        <f>T("7609398195")</f>
        <v>7609398195</v>
      </c>
    </row>
    <row r="2511" spans="1:12" x14ac:dyDescent="0.35">
      <c r="A2511" t="str">
        <f t="shared" si="1011"/>
        <v>NAVAIR WD</v>
      </c>
      <c r="B2511" t="str">
        <f>T("CODE 784300D")</f>
        <v>CODE 784300D</v>
      </c>
      <c r="C2511" t="str">
        <f>T("1 ADMIN CIRCLE MS 4015")</f>
        <v>1 ADMIN CIRCLE MS 4015</v>
      </c>
      <c r="D2511" t="str">
        <f>T("RIDGECREST")</f>
        <v>RIDGECREST</v>
      </c>
      <c r="E2511" t="str">
        <f t="shared" si="1017"/>
        <v>CA</v>
      </c>
      <c r="F2511" t="str">
        <f t="shared" si="1019"/>
        <v>935556104</v>
      </c>
      <c r="G2511" t="str">
        <f>T("CODE 254600D")</f>
        <v>CODE 254600D</v>
      </c>
      <c r="H2511" t="str">
        <f>T("429 E BOWEN RD MS 4015")</f>
        <v>429 E BOWEN RD MS 4015</v>
      </c>
      <c r="I2511" t="str">
        <f t="shared" si="1020"/>
        <v>RIDGECREST</v>
      </c>
      <c r="J2511" t="str">
        <f t="shared" si="1018"/>
        <v>CA</v>
      </c>
      <c r="K2511" t="str">
        <f>T("7609391648")</f>
        <v>7609391648</v>
      </c>
      <c r="L2511" t="str">
        <f>T("7609390149")</f>
        <v>7609390149</v>
      </c>
    </row>
    <row r="2512" spans="1:12" x14ac:dyDescent="0.35">
      <c r="A2512" t="str">
        <f t="shared" si="1011"/>
        <v>NAVAIR WD</v>
      </c>
      <c r="B2512" t="str">
        <f>T("CODE 784300D")</f>
        <v>CODE 784300D</v>
      </c>
      <c r="C2512" t="str">
        <f>T("1 ADMIN CIRCLE MS 4015")</f>
        <v>1 ADMIN CIRCLE MS 4015</v>
      </c>
      <c r="D2512" t="str">
        <f>T("RIDGECREST")</f>
        <v>RIDGECREST</v>
      </c>
      <c r="E2512" t="str">
        <f t="shared" si="1017"/>
        <v>CA</v>
      </c>
      <c r="F2512" t="str">
        <f t="shared" si="1019"/>
        <v>935556104</v>
      </c>
      <c r="G2512" t="str">
        <f>T("CODE 254600D")</f>
        <v>CODE 254600D</v>
      </c>
      <c r="H2512" t="str">
        <f>T("429 E BOWEN RD MS 4015")</f>
        <v>429 E BOWEN RD MS 4015</v>
      </c>
      <c r="I2512" t="str">
        <f t="shared" si="1020"/>
        <v>RIDGECREST</v>
      </c>
      <c r="J2512" t="str">
        <f t="shared" si="1018"/>
        <v>CA</v>
      </c>
      <c r="K2512" t="str">
        <f>T("7609391648")</f>
        <v>7609391648</v>
      </c>
      <c r="L2512" t="str">
        <f>T("7609391998")</f>
        <v>7609391998</v>
      </c>
    </row>
    <row r="2513" spans="1:12" x14ac:dyDescent="0.35">
      <c r="A2513" t="str">
        <f t="shared" si="1011"/>
        <v>NAVAIR WD</v>
      </c>
      <c r="B2513" t="str">
        <f>T("CODE 784300D")</f>
        <v>CODE 784300D</v>
      </c>
      <c r="C2513" t="str">
        <f>T("1 ADMIN CIRCLE MS 4015")</f>
        <v>1 ADMIN CIRCLE MS 4015</v>
      </c>
      <c r="D2513" t="str">
        <f>T("RIDGECREST")</f>
        <v>RIDGECREST</v>
      </c>
      <c r="E2513" t="str">
        <f t="shared" si="1017"/>
        <v>CA</v>
      </c>
      <c r="F2513" t="str">
        <f t="shared" si="1019"/>
        <v>935556104</v>
      </c>
      <c r="G2513" t="str">
        <f>T("CODE 254600D")</f>
        <v>CODE 254600D</v>
      </c>
      <c r="H2513" t="str">
        <f>T("429 E BOWEN RD MS 4015")</f>
        <v>429 E BOWEN RD MS 4015</v>
      </c>
      <c r="I2513" t="str">
        <f t="shared" si="1020"/>
        <v>RIDGECREST</v>
      </c>
      <c r="J2513" t="str">
        <f t="shared" si="1018"/>
        <v>CA</v>
      </c>
      <c r="K2513" t="str">
        <f>T("7609391648")</f>
        <v>7609391648</v>
      </c>
      <c r="L2513" t="str">
        <f>T("7609395701")</f>
        <v>7609395701</v>
      </c>
    </row>
    <row r="2514" spans="1:12" x14ac:dyDescent="0.35">
      <c r="A2514" t="str">
        <f t="shared" si="1011"/>
        <v>NAVAIR WD</v>
      </c>
      <c r="B2514" t="str">
        <f>T("CODE 784300D")</f>
        <v>CODE 784300D</v>
      </c>
      <c r="C2514" t="str">
        <f>T("1 ADMIN CIRCLE MS 4015")</f>
        <v>1 ADMIN CIRCLE MS 4015</v>
      </c>
      <c r="D2514" t="str">
        <f>T("RIDGECREST")</f>
        <v>RIDGECREST</v>
      </c>
      <c r="E2514" t="str">
        <f t="shared" si="1017"/>
        <v>CA</v>
      </c>
      <c r="F2514" t="str">
        <f t="shared" si="1019"/>
        <v>935556104</v>
      </c>
      <c r="G2514" t="str">
        <f>T("CODE 784300D")</f>
        <v>CODE 784300D</v>
      </c>
      <c r="H2514" t="str">
        <f>T("1 ADMIN CIRCLE MS 4015")</f>
        <v>1 ADMIN CIRCLE MS 4015</v>
      </c>
      <c r="I2514" t="str">
        <f t="shared" si="1020"/>
        <v>RIDGECREST</v>
      </c>
      <c r="J2514" t="str">
        <f t="shared" si="1018"/>
        <v>CA</v>
      </c>
      <c r="K2514" t="str">
        <f>T("000000000000000000")</f>
        <v>000000000000000000</v>
      </c>
      <c r="L2514" t="str">
        <f>T("7609398442")</f>
        <v>7609398442</v>
      </c>
    </row>
    <row r="2515" spans="1:12" x14ac:dyDescent="0.35">
      <c r="A2515" t="str">
        <f t="shared" si="1011"/>
        <v>NAVAIR WD</v>
      </c>
      <c r="B2515" t="str">
        <f t="shared" ref="B2515:B2522" si="1021">T("CODE JE0000D")</f>
        <v>CODE JE0000D</v>
      </c>
      <c r="C2515" t="str">
        <f t="shared" ref="C2515:C2522" si="1022">T("1 ADMIN CIRCLE MS 1011")</f>
        <v>1 ADMIN CIRCLE MS 1011</v>
      </c>
      <c r="D2515" t="str">
        <f t="shared" ref="D2515:D2526" si="1023">T("CHINA LAKE")</f>
        <v>CHINA LAKE</v>
      </c>
      <c r="E2515" t="str">
        <f t="shared" si="1017"/>
        <v>CA</v>
      </c>
      <c r="F2515" t="str">
        <f t="shared" si="1019"/>
        <v>935556104</v>
      </c>
      <c r="G2515" t="str">
        <f>T("CODE 500000D")</f>
        <v>CODE 500000D</v>
      </c>
      <c r="H2515" t="str">
        <f>T("1 ADMIN CIRCLE MS 1002")</f>
        <v>1 ADMIN CIRCLE MS 1002</v>
      </c>
      <c r="I2515" t="str">
        <f t="shared" si="1020"/>
        <v>RIDGECREST</v>
      </c>
      <c r="J2515" t="str">
        <f t="shared" si="1018"/>
        <v>CA</v>
      </c>
      <c r="K2515" t="str">
        <f t="shared" ref="K2515:K2522" si="1024">T("7609391648")</f>
        <v>7609391648</v>
      </c>
      <c r="L2515" t="str">
        <f>T("7609392823")</f>
        <v>7609392823</v>
      </c>
    </row>
    <row r="2516" spans="1:12" x14ac:dyDescent="0.35">
      <c r="A2516" t="str">
        <f t="shared" si="1011"/>
        <v>NAVAIR WD</v>
      </c>
      <c r="B2516" t="str">
        <f t="shared" si="1021"/>
        <v>CODE JE0000D</v>
      </c>
      <c r="C2516" t="str">
        <f t="shared" si="1022"/>
        <v>1 ADMIN CIRCLE MS 1011</v>
      </c>
      <c r="D2516" t="str">
        <f t="shared" si="1023"/>
        <v>CHINA LAKE</v>
      </c>
      <c r="E2516" t="str">
        <f t="shared" si="1017"/>
        <v>CA</v>
      </c>
      <c r="F2516" t="str">
        <f t="shared" si="1019"/>
        <v>935556104</v>
      </c>
      <c r="G2516" t="str">
        <f>T("CODE 500000D")</f>
        <v>CODE 500000D</v>
      </c>
      <c r="H2516" t="str">
        <f>T("1 ADMIN CIRCLS MS 1002")</f>
        <v>1 ADMIN CIRCLS MS 1002</v>
      </c>
      <c r="I2516" t="str">
        <f>T("CHINA LAKE")</f>
        <v>CHINA LAKE</v>
      </c>
      <c r="J2516" t="str">
        <f t="shared" si="1018"/>
        <v>CA</v>
      </c>
      <c r="K2516" t="str">
        <f t="shared" si="1024"/>
        <v>7609391648</v>
      </c>
      <c r="L2516" t="str">
        <f>T("7609392823")</f>
        <v>7609392823</v>
      </c>
    </row>
    <row r="2517" spans="1:12" x14ac:dyDescent="0.35">
      <c r="A2517" t="str">
        <f t="shared" si="1011"/>
        <v>NAVAIR WD</v>
      </c>
      <c r="B2517" t="str">
        <f t="shared" si="1021"/>
        <v>CODE JE0000D</v>
      </c>
      <c r="C2517" t="str">
        <f t="shared" si="1022"/>
        <v>1 ADMIN CIRCLE MS 1011</v>
      </c>
      <c r="D2517" t="str">
        <f t="shared" si="1023"/>
        <v>CHINA LAKE</v>
      </c>
      <c r="E2517" t="str">
        <f t="shared" si="1017"/>
        <v>CA</v>
      </c>
      <c r="F2517" t="str">
        <f t="shared" si="1019"/>
        <v>935556104</v>
      </c>
      <c r="G2517" t="str">
        <f>T("CODE J00000D")</f>
        <v>CODE J00000D</v>
      </c>
      <c r="H2517" t="str">
        <f>T("1 ADMIN CIRCLE BLDG 1 RM 136")</f>
        <v>1 ADMIN CIRCLE BLDG 1 RM 136</v>
      </c>
      <c r="I2517" t="str">
        <f>T("CHINA LAKE")</f>
        <v>CHINA LAKE</v>
      </c>
      <c r="J2517" t="str">
        <f t="shared" si="1018"/>
        <v>CA</v>
      </c>
      <c r="K2517" t="str">
        <f t="shared" si="1024"/>
        <v>7609391648</v>
      </c>
      <c r="L2517" t="str">
        <f>T("7609398089")</f>
        <v>7609398089</v>
      </c>
    </row>
    <row r="2518" spans="1:12" x14ac:dyDescent="0.35">
      <c r="A2518" t="str">
        <f t="shared" si="1011"/>
        <v>NAVAIR WD</v>
      </c>
      <c r="B2518" t="str">
        <f t="shared" si="1021"/>
        <v>CODE JE0000D</v>
      </c>
      <c r="C2518" t="str">
        <f t="shared" si="1022"/>
        <v>1 ADMIN CIRCLE MS 1011</v>
      </c>
      <c r="D2518" t="str">
        <f t="shared" si="1023"/>
        <v>CHINA LAKE</v>
      </c>
      <c r="E2518" t="str">
        <f t="shared" si="1017"/>
        <v>CA</v>
      </c>
      <c r="F2518" t="str">
        <f t="shared" si="1019"/>
        <v>935556104</v>
      </c>
      <c r="G2518" t="str">
        <f>T("CODE J00000D")</f>
        <v>CODE J00000D</v>
      </c>
      <c r="H2518" t="str">
        <f>T("1 ADMIN CIRCLE MS 1011")</f>
        <v>1 ADMIN CIRCLE MS 1011</v>
      </c>
      <c r="I2518" t="str">
        <f>T("CHINA LAKE")</f>
        <v>CHINA LAKE</v>
      </c>
      <c r="J2518" t="str">
        <f t="shared" si="1018"/>
        <v>CA</v>
      </c>
      <c r="K2518" t="str">
        <f t="shared" si="1024"/>
        <v>7609391648</v>
      </c>
      <c r="L2518" t="str">
        <f>T("7609393605")</f>
        <v>7609393605</v>
      </c>
    </row>
    <row r="2519" spans="1:12" x14ac:dyDescent="0.35">
      <c r="A2519" t="str">
        <f t="shared" si="1011"/>
        <v>NAVAIR WD</v>
      </c>
      <c r="B2519" t="str">
        <f t="shared" si="1021"/>
        <v>CODE JE0000D</v>
      </c>
      <c r="C2519" t="str">
        <f t="shared" si="1022"/>
        <v>1 ADMIN CIRCLE MS 1011</v>
      </c>
      <c r="D2519" t="str">
        <f t="shared" si="1023"/>
        <v>CHINA LAKE</v>
      </c>
      <c r="E2519" t="str">
        <f t="shared" si="1017"/>
        <v>CA</v>
      </c>
      <c r="F2519" t="str">
        <f t="shared" si="1019"/>
        <v>935556104</v>
      </c>
      <c r="G2519" t="str">
        <f>T("CODE J16000D")</f>
        <v>CODE J16000D</v>
      </c>
      <c r="H2519" t="str">
        <f>T("1 ADMIN CIRCLE MS 1316")</f>
        <v>1 ADMIN CIRCLE MS 1316</v>
      </c>
      <c r="I2519" t="str">
        <f>T("RIDGECREST")</f>
        <v>RIDGECREST</v>
      </c>
      <c r="J2519" t="str">
        <f t="shared" si="1018"/>
        <v>CA</v>
      </c>
      <c r="K2519" t="str">
        <f t="shared" si="1024"/>
        <v>7609391648</v>
      </c>
      <c r="L2519" t="str">
        <f>T("7609392715")</f>
        <v>7609392715</v>
      </c>
    </row>
    <row r="2520" spans="1:12" x14ac:dyDescent="0.35">
      <c r="A2520" t="str">
        <f t="shared" si="1011"/>
        <v>NAVAIR WD</v>
      </c>
      <c r="B2520" t="str">
        <f t="shared" si="1021"/>
        <v>CODE JE0000D</v>
      </c>
      <c r="C2520" t="str">
        <f t="shared" si="1022"/>
        <v>1 ADMIN CIRCLE MS 1011</v>
      </c>
      <c r="D2520" t="str">
        <f t="shared" si="1023"/>
        <v>CHINA LAKE</v>
      </c>
      <c r="E2520" t="str">
        <f t="shared" si="1017"/>
        <v>CA</v>
      </c>
      <c r="F2520" t="str">
        <f t="shared" si="1019"/>
        <v>935556104</v>
      </c>
      <c r="G2520" t="str">
        <f>T("CODE J20000D")</f>
        <v>CODE J20000D</v>
      </c>
      <c r="H2520" t="str">
        <f>T("1 ADMIN CIRCLE MS 1318")</f>
        <v>1 ADMIN CIRCLE MS 1318</v>
      </c>
      <c r="I2520" t="str">
        <f>T("RIDGECREST")</f>
        <v>RIDGECREST</v>
      </c>
      <c r="J2520" t="str">
        <f t="shared" si="1018"/>
        <v>CA</v>
      </c>
      <c r="K2520" t="str">
        <f t="shared" si="1024"/>
        <v>7609391648</v>
      </c>
      <c r="L2520" t="str">
        <f>T("7609391355")</f>
        <v>7609391355</v>
      </c>
    </row>
    <row r="2521" spans="1:12" x14ac:dyDescent="0.35">
      <c r="A2521" t="str">
        <f t="shared" si="1011"/>
        <v>NAVAIR WD</v>
      </c>
      <c r="B2521" t="str">
        <f t="shared" si="1021"/>
        <v>CODE JE0000D</v>
      </c>
      <c r="C2521" t="str">
        <f t="shared" si="1022"/>
        <v>1 ADMIN CIRCLE MS 1011</v>
      </c>
      <c r="D2521" t="str">
        <f t="shared" si="1023"/>
        <v>CHINA LAKE</v>
      </c>
      <c r="E2521" t="str">
        <f t="shared" si="1017"/>
        <v>CA</v>
      </c>
      <c r="F2521" t="str">
        <f t="shared" si="1019"/>
        <v>935556104</v>
      </c>
      <c r="G2521" t="str">
        <f>T("CODE JE0000D")</f>
        <v>CODE JE0000D</v>
      </c>
      <c r="H2521" t="str">
        <f>T("1 ADMIN CIRCLE MS 1011")</f>
        <v>1 ADMIN CIRCLE MS 1011</v>
      </c>
      <c r="I2521" t="str">
        <f>T("CHINA LAKE")</f>
        <v>CHINA LAKE</v>
      </c>
      <c r="J2521" t="str">
        <f t="shared" si="1018"/>
        <v>CA</v>
      </c>
      <c r="K2521" t="str">
        <f t="shared" si="1024"/>
        <v>7609391648</v>
      </c>
      <c r="L2521" t="str">
        <f>T("7609391004")</f>
        <v>7609391004</v>
      </c>
    </row>
    <row r="2522" spans="1:12" x14ac:dyDescent="0.35">
      <c r="A2522" t="str">
        <f t="shared" si="1011"/>
        <v>NAVAIR WD</v>
      </c>
      <c r="B2522" t="str">
        <f t="shared" si="1021"/>
        <v>CODE JE0000D</v>
      </c>
      <c r="C2522" t="str">
        <f t="shared" si="1022"/>
        <v>1 ADMIN CIRCLE MS 1011</v>
      </c>
      <c r="D2522" t="str">
        <f t="shared" si="1023"/>
        <v>CHINA LAKE</v>
      </c>
      <c r="E2522" t="str">
        <f t="shared" si="1017"/>
        <v>CA</v>
      </c>
      <c r="F2522" t="str">
        <f t="shared" si="1019"/>
        <v>935556104</v>
      </c>
      <c r="G2522" t="str">
        <f>T("CODE JE0000D")</f>
        <v>CODE JE0000D</v>
      </c>
      <c r="H2522" t="str">
        <f>T("1 ADMIN CIRCLE MS 1011")</f>
        <v>1 ADMIN CIRCLE MS 1011</v>
      </c>
      <c r="I2522" t="str">
        <f>T("CHINA LAKE")</f>
        <v>CHINA LAKE</v>
      </c>
      <c r="J2522" t="str">
        <f t="shared" si="1018"/>
        <v>CA</v>
      </c>
      <c r="K2522" t="str">
        <f t="shared" si="1024"/>
        <v>7609391648</v>
      </c>
      <c r="L2522" t="str">
        <f>T("7609392210")</f>
        <v>7609392210</v>
      </c>
    </row>
    <row r="2523" spans="1:12" x14ac:dyDescent="0.35">
      <c r="A2523" t="str">
        <f t="shared" si="1011"/>
        <v>NAVAIR WD</v>
      </c>
      <c r="B2523" t="str">
        <f>T("CODE K00000D")</f>
        <v>CODE K00000D</v>
      </c>
      <c r="C2523" t="str">
        <f>T("NAVAIR WD")</f>
        <v>NAVAIR WD</v>
      </c>
      <c r="D2523" t="str">
        <f t="shared" si="1023"/>
        <v>CHINA LAKE</v>
      </c>
      <c r="E2523" t="str">
        <f t="shared" si="1017"/>
        <v>CA</v>
      </c>
      <c r="F2523" t="str">
        <f>T("935550000")</f>
        <v>935550000</v>
      </c>
      <c r="G2523" t="str">
        <f>T("CODE K00000D")</f>
        <v>CODE K00000D</v>
      </c>
      <c r="H2523" t="str">
        <f>T("NAVAIR WD")</f>
        <v>NAVAIR WD</v>
      </c>
      <c r="I2523" t="str">
        <f>T("CHINA LAKE")</f>
        <v>CHINA LAKE</v>
      </c>
      <c r="J2523" t="str">
        <f t="shared" si="1018"/>
        <v>CA</v>
      </c>
      <c r="K2523" t="str">
        <f>T("760 393 1648")</f>
        <v>760 393 1648</v>
      </c>
      <c r="L2523" t="str">
        <f>T("7609398143")</f>
        <v>7609398143</v>
      </c>
    </row>
    <row r="2524" spans="1:12" x14ac:dyDescent="0.35">
      <c r="A2524" t="str">
        <f t="shared" si="1011"/>
        <v>NAVAIR WD</v>
      </c>
      <c r="B2524" t="str">
        <f>T("CODE K00000D")</f>
        <v>CODE K00000D</v>
      </c>
      <c r="C2524" t="str">
        <f>T("NAVAIR WD")</f>
        <v>NAVAIR WD</v>
      </c>
      <c r="D2524" t="str">
        <f t="shared" si="1023"/>
        <v>CHINA LAKE</v>
      </c>
      <c r="E2524" t="str">
        <f t="shared" si="1017"/>
        <v>CA</v>
      </c>
      <c r="F2524" t="str">
        <f>T("935550000")</f>
        <v>935550000</v>
      </c>
      <c r="G2524" t="str">
        <f>T("CODE K70000D")</f>
        <v>CODE K70000D</v>
      </c>
      <c r="H2524" t="str">
        <f>T("1 ADMIN CIRCLE MS 1009")</f>
        <v>1 ADMIN CIRCLE MS 1009</v>
      </c>
      <c r="I2524" t="str">
        <f>T("RIDGECREST")</f>
        <v>RIDGECREST</v>
      </c>
      <c r="J2524" t="str">
        <f t="shared" si="1018"/>
        <v>CA</v>
      </c>
      <c r="K2524" t="str">
        <f t="shared" ref="K2524:K2532" si="1025">T("7609391648")</f>
        <v>7609391648</v>
      </c>
      <c r="L2524" t="str">
        <f>T("7609392822")</f>
        <v>7609392822</v>
      </c>
    </row>
    <row r="2525" spans="1:12" x14ac:dyDescent="0.35">
      <c r="A2525" t="str">
        <f t="shared" si="1011"/>
        <v>NAVAIR WD</v>
      </c>
      <c r="B2525" t="str">
        <f>T("CODE K00000D")</f>
        <v>CODE K00000D</v>
      </c>
      <c r="C2525" t="str">
        <f>T("NAVAIR WD")</f>
        <v>NAVAIR WD</v>
      </c>
      <c r="D2525" t="str">
        <f t="shared" si="1023"/>
        <v>CHINA LAKE</v>
      </c>
      <c r="E2525" t="str">
        <f t="shared" si="1017"/>
        <v>CA</v>
      </c>
      <c r="F2525" t="str">
        <f>T("935550000")</f>
        <v>935550000</v>
      </c>
      <c r="G2525" t="str">
        <f>T("CODE K70000E")</f>
        <v>CODE K70000E</v>
      </c>
      <c r="H2525" t="str">
        <f>T("575 I AVE STE 1 BLDG 36 RM 2308")</f>
        <v>575 I AVE STE 1 BLDG 36 RM 2308</v>
      </c>
      <c r="I2525" t="str">
        <f>T("POINT MUGU NAWC")</f>
        <v>POINT MUGU NAWC</v>
      </c>
      <c r="J2525" t="str">
        <f t="shared" si="1018"/>
        <v>CA</v>
      </c>
      <c r="K2525" t="str">
        <f t="shared" si="1025"/>
        <v>7609391648</v>
      </c>
      <c r="L2525" t="str">
        <f>T("8059897735")</f>
        <v>8059897735</v>
      </c>
    </row>
    <row r="2526" spans="1:12" x14ac:dyDescent="0.35">
      <c r="A2526" t="str">
        <f t="shared" si="1011"/>
        <v>NAVAIR WD</v>
      </c>
      <c r="B2526" t="str">
        <f>T("NAWCWPNS MAIL STOP 2008")</f>
        <v>NAWCWPNS MAIL STOP 2008</v>
      </c>
      <c r="C2526" t="str">
        <f>T("CODE 413100D")</f>
        <v>CODE 413100D</v>
      </c>
      <c r="D2526" t="str">
        <f t="shared" si="1023"/>
        <v>CHINA LAKE</v>
      </c>
      <c r="E2526" t="str">
        <f t="shared" si="1017"/>
        <v>CA</v>
      </c>
      <c r="F2526" t="str">
        <f>T("935550000")</f>
        <v>935550000</v>
      </c>
      <c r="G2526" t="str">
        <f>T("NAWCWPNS MAIL STOP 2008")</f>
        <v>NAWCWPNS MAIL STOP 2008</v>
      </c>
      <c r="H2526" t="str">
        <f>T("CODE 413100D")</f>
        <v>CODE 413100D</v>
      </c>
      <c r="I2526" t="str">
        <f>T("CHINA LAKE")</f>
        <v>CHINA LAKE</v>
      </c>
      <c r="J2526" t="str">
        <f t="shared" si="1018"/>
        <v>CA</v>
      </c>
      <c r="K2526" t="str">
        <f t="shared" si="1025"/>
        <v>7609391648</v>
      </c>
      <c r="L2526" t="str">
        <f>T("7609395977")</f>
        <v>7609395977</v>
      </c>
    </row>
    <row r="2527" spans="1:12" x14ac:dyDescent="0.35">
      <c r="A2527" t="str">
        <f t="shared" si="1011"/>
        <v>NAVAIR WD</v>
      </c>
      <c r="B2527" t="str">
        <f>T("CODE 6.0C")</f>
        <v>CODE 6.0C</v>
      </c>
      <c r="C2527" t="str">
        <f>T("NAS NORTH ISLAND, P O BOX 357031")</f>
        <v>NAS NORTH ISLAND, P O BOX 357031</v>
      </c>
      <c r="D2527" t="str">
        <f t="shared" ref="D2527:D2532" si="1026">T("SAN DIEGO")</f>
        <v>SAN DIEGO</v>
      </c>
      <c r="E2527" t="str">
        <f t="shared" si="1017"/>
        <v>CA</v>
      </c>
      <c r="F2527" t="str">
        <f t="shared" ref="F2527:F2532" si="1027">T("921357031")</f>
        <v>921357031</v>
      </c>
      <c r="G2527" t="str">
        <f>T("CODE 6.0C")</f>
        <v>CODE 6.0C</v>
      </c>
      <c r="H2527" t="str">
        <f>T("NAS NORTH ISLAND, P O BOX 357031")</f>
        <v>NAS NORTH ISLAND, P O BOX 357031</v>
      </c>
      <c r="I2527" t="str">
        <f t="shared" ref="I2527:I2532" si="1028">T("SAN DIEGO")</f>
        <v>SAN DIEGO</v>
      </c>
      <c r="J2527" t="str">
        <f t="shared" si="1018"/>
        <v>CA</v>
      </c>
      <c r="K2527" t="str">
        <f t="shared" si="1025"/>
        <v>7609391648</v>
      </c>
      <c r="L2527" t="str">
        <f>T("6195454753")</f>
        <v>6195454753</v>
      </c>
    </row>
    <row r="2528" spans="1:12" x14ac:dyDescent="0.35">
      <c r="A2528" t="str">
        <f t="shared" si="1011"/>
        <v>NAVAIR WD</v>
      </c>
      <c r="B2528" t="str">
        <f>T("NAS NORTH ISL, BLDG 2, PO BOX 357031")</f>
        <v>NAS NORTH ISL, BLDG 2, PO BOX 357031</v>
      </c>
      <c r="C2528" t="str">
        <f>T("")</f>
        <v/>
      </c>
      <c r="D2528" t="str">
        <f t="shared" si="1026"/>
        <v>SAN DIEGO</v>
      </c>
      <c r="E2528" t="str">
        <f t="shared" si="1017"/>
        <v>CA</v>
      </c>
      <c r="F2528" t="str">
        <f t="shared" si="1027"/>
        <v>921357031</v>
      </c>
      <c r="G2528" t="str">
        <f>T("CODE 6 0C NAS NORTH ISLAND")</f>
        <v>CODE 6 0C NAS NORTH ISLAND</v>
      </c>
      <c r="H2528" t="str">
        <f>T("BLDG 2 WRIGHT AVE PO BOX 357031")</f>
        <v>BLDG 2 WRIGHT AVE PO BOX 357031</v>
      </c>
      <c r="I2528" t="str">
        <f t="shared" si="1028"/>
        <v>SAN DIEGO</v>
      </c>
      <c r="J2528" t="str">
        <f t="shared" si="1018"/>
        <v>CA</v>
      </c>
      <c r="K2528" t="str">
        <f t="shared" si="1025"/>
        <v>7609391648</v>
      </c>
      <c r="L2528" t="str">
        <f>T("6195457960")</f>
        <v>6195457960</v>
      </c>
    </row>
    <row r="2529" spans="1:12" x14ac:dyDescent="0.35">
      <c r="A2529" t="str">
        <f t="shared" si="1011"/>
        <v>NAVAIR WD</v>
      </c>
      <c r="B2529" t="str">
        <f>T("NAS NORTH ISL, BLDG 2, PO BOX 357031")</f>
        <v>NAS NORTH ISL, BLDG 2, PO BOX 357031</v>
      </c>
      <c r="C2529" t="str">
        <f>T("")</f>
        <v/>
      </c>
      <c r="D2529" t="str">
        <f t="shared" si="1026"/>
        <v>SAN DIEGO</v>
      </c>
      <c r="E2529" t="str">
        <f t="shared" si="1017"/>
        <v>CA</v>
      </c>
      <c r="F2529" t="str">
        <f t="shared" si="1027"/>
        <v>921357031</v>
      </c>
      <c r="G2529" t="str">
        <f>T("CODE 6 0C NAS NORTH ISLAND")</f>
        <v>CODE 6 0C NAS NORTH ISLAND</v>
      </c>
      <c r="H2529" t="str">
        <f>T("BLDG 2 WRIGHT AVE PO BOX 357031")</f>
        <v>BLDG 2 WRIGHT AVE PO BOX 357031</v>
      </c>
      <c r="I2529" t="str">
        <f t="shared" si="1028"/>
        <v>SAN DIEGO</v>
      </c>
      <c r="J2529" t="str">
        <f t="shared" si="1018"/>
        <v>CA</v>
      </c>
      <c r="K2529" t="str">
        <f t="shared" si="1025"/>
        <v>7609391648</v>
      </c>
      <c r="L2529" t="str">
        <f>T("6195459810")</f>
        <v>6195459810</v>
      </c>
    </row>
    <row r="2530" spans="1:12" x14ac:dyDescent="0.35">
      <c r="A2530" t="str">
        <f t="shared" si="1011"/>
        <v>NAVAIR WD</v>
      </c>
      <c r="B2530" t="str">
        <f>T("NAS NORTH ISL, BLDG 2, PO BOX 357031")</f>
        <v>NAS NORTH ISL, BLDG 2, PO BOX 357031</v>
      </c>
      <c r="C2530" t="str">
        <f>T("")</f>
        <v/>
      </c>
      <c r="D2530" t="str">
        <f t="shared" si="1026"/>
        <v>SAN DIEGO</v>
      </c>
      <c r="E2530" t="str">
        <f t="shared" si="1017"/>
        <v>CA</v>
      </c>
      <c r="F2530" t="str">
        <f t="shared" si="1027"/>
        <v>921357031</v>
      </c>
      <c r="G2530" t="str">
        <f>T("CODE 6C0000N")</f>
        <v>CODE 6C0000N</v>
      </c>
      <c r="H2530" t="str">
        <f>T("NAS NORTH ISLAND POBOX 357031")</f>
        <v>NAS NORTH ISLAND POBOX 357031</v>
      </c>
      <c r="I2530" t="str">
        <f t="shared" si="1028"/>
        <v>SAN DIEGO</v>
      </c>
      <c r="J2530" t="str">
        <f t="shared" si="1018"/>
        <v>CA</v>
      </c>
      <c r="K2530" t="str">
        <f t="shared" si="1025"/>
        <v>7609391648</v>
      </c>
      <c r="L2530" t="str">
        <f>T("6195452456")</f>
        <v>6195452456</v>
      </c>
    </row>
    <row r="2531" spans="1:12" x14ac:dyDescent="0.35">
      <c r="A2531" t="str">
        <f t="shared" si="1011"/>
        <v>NAVAIR WD</v>
      </c>
      <c r="B2531" t="str">
        <f>T("NAS NORTH ISL, BLDG 2, PO BOX 357031")</f>
        <v>NAS NORTH ISL, BLDG 2, PO BOX 357031</v>
      </c>
      <c r="C2531" t="str">
        <f>T("")</f>
        <v/>
      </c>
      <c r="D2531" t="str">
        <f t="shared" si="1026"/>
        <v>SAN DIEGO</v>
      </c>
      <c r="E2531" t="str">
        <f t="shared" si="1017"/>
        <v>CA</v>
      </c>
      <c r="F2531" t="str">
        <f t="shared" si="1027"/>
        <v>921357031</v>
      </c>
      <c r="G2531" t="str">
        <f>T("CODE 6C0000N")</f>
        <v>CODE 6C0000N</v>
      </c>
      <c r="H2531" t="str">
        <f>T("PO BOX 357031")</f>
        <v>PO BOX 357031</v>
      </c>
      <c r="I2531" t="str">
        <f t="shared" si="1028"/>
        <v>SAN DIEGO</v>
      </c>
      <c r="J2531" t="str">
        <f t="shared" si="1018"/>
        <v>CA</v>
      </c>
      <c r="K2531" t="str">
        <f t="shared" si="1025"/>
        <v>7609391648</v>
      </c>
      <c r="L2531" t="str">
        <f>T("6195455532")</f>
        <v>6195455532</v>
      </c>
    </row>
    <row r="2532" spans="1:12" x14ac:dyDescent="0.35">
      <c r="A2532" t="str">
        <f t="shared" si="1011"/>
        <v>NAVAIR WD</v>
      </c>
      <c r="B2532" t="str">
        <f>T("NAS NORTH ISL, BLDG 2, PO BOX 357031")</f>
        <v>NAS NORTH ISL, BLDG 2, PO BOX 357031</v>
      </c>
      <c r="C2532" t="str">
        <f>T("")</f>
        <v/>
      </c>
      <c r="D2532" t="str">
        <f t="shared" si="1026"/>
        <v>SAN DIEGO</v>
      </c>
      <c r="E2532" t="str">
        <f t="shared" si="1017"/>
        <v>CA</v>
      </c>
      <c r="F2532" t="str">
        <f t="shared" si="1027"/>
        <v>921357031</v>
      </c>
      <c r="G2532" t="str">
        <f>T("NAS NORTH ISL, BLDG 2, PO BOX 357031")</f>
        <v>NAS NORTH ISL, BLDG 2, PO BOX 357031</v>
      </c>
      <c r="H2532" t="str">
        <f>T("")</f>
        <v/>
      </c>
      <c r="I2532" t="str">
        <f t="shared" si="1028"/>
        <v>SAN DIEGO</v>
      </c>
      <c r="J2532" t="str">
        <f t="shared" si="1018"/>
        <v>CA</v>
      </c>
      <c r="K2532" t="str">
        <f t="shared" si="1025"/>
        <v>7609391648</v>
      </c>
      <c r="L2532" t="str">
        <f>T("6195451704")</f>
        <v>6195451704</v>
      </c>
    </row>
    <row r="2533" spans="1:12" x14ac:dyDescent="0.35">
      <c r="A2533" t="str">
        <f t="shared" ref="A2533:A2564" si="1029">T("FRC SE - JACKSONVILLE, FL")</f>
        <v>FRC SE - JACKSONVILLE, FL</v>
      </c>
      <c r="B2533" t="str">
        <f t="shared" ref="B2533:B2538" si="1030">T("101 WASP AVE")</f>
        <v>101 WASP AVE</v>
      </c>
      <c r="C2533" t="str">
        <f t="shared" ref="C2533:C2538" si="1031">T("ATTN VAUGHN NEUROH CODE 611")</f>
        <v>ATTN VAUGHN NEUROH CODE 611</v>
      </c>
      <c r="D2533" t="str">
        <f t="shared" ref="D2533:D2564" si="1032">T("JACKSONVILLE")</f>
        <v>JACKSONVILLE</v>
      </c>
      <c r="E2533" t="str">
        <f t="shared" ref="E2533:E2564" si="1033">T("FL")</f>
        <v>FL</v>
      </c>
      <c r="F2533" t="str">
        <f t="shared" ref="F2533:F2543" si="1034">T("322120016")</f>
        <v>322120016</v>
      </c>
      <c r="G2533" t="str">
        <f>T("101 WASP AVE")</f>
        <v>101 WASP AVE</v>
      </c>
      <c r="H2533" t="str">
        <f>T("ATTN VAUGHN NEUROH CODE 611")</f>
        <v>ATTN VAUGHN NEUROH CODE 611</v>
      </c>
      <c r="I2533" t="str">
        <f t="shared" ref="I2533:I2564" si="1035">T("JACKSONVILLE")</f>
        <v>JACKSONVILLE</v>
      </c>
      <c r="J2533" t="str">
        <f t="shared" ref="J2533:J2564" si="1036">T("FL")</f>
        <v>FL</v>
      </c>
      <c r="K2533" t="str">
        <f>T("")</f>
        <v/>
      </c>
      <c r="L2533" t="str">
        <f>T("9047905902")</f>
        <v>9047905902</v>
      </c>
    </row>
    <row r="2534" spans="1:12" x14ac:dyDescent="0.35">
      <c r="A2534" t="str">
        <f t="shared" si="1029"/>
        <v>FRC SE - JACKSONVILLE, FL</v>
      </c>
      <c r="B2534" t="str">
        <f t="shared" si="1030"/>
        <v>101 WASP AVE</v>
      </c>
      <c r="C2534" t="str">
        <f t="shared" si="1031"/>
        <v>ATTN VAUGHN NEUROH CODE 611</v>
      </c>
      <c r="D2534" t="str">
        <f t="shared" si="1032"/>
        <v>JACKSONVILLE</v>
      </c>
      <c r="E2534" t="str">
        <f t="shared" si="1033"/>
        <v>FL</v>
      </c>
      <c r="F2534" t="str">
        <f t="shared" si="1034"/>
        <v>322120016</v>
      </c>
      <c r="G2534" t="str">
        <f>T("101 WASP AVE")</f>
        <v>101 WASP AVE</v>
      </c>
      <c r="H2534" t="str">
        <f>T("ATTN VAUGHN NEUROH CODE 611")</f>
        <v>ATTN VAUGHN NEUROH CODE 611</v>
      </c>
      <c r="I2534" t="str">
        <f t="shared" si="1035"/>
        <v>JACKSONVILLE</v>
      </c>
      <c r="J2534" t="str">
        <f t="shared" si="1036"/>
        <v>FL</v>
      </c>
      <c r="K2534" t="str">
        <f>T("")</f>
        <v/>
      </c>
      <c r="L2534" t="str">
        <f>T("9047906601")</f>
        <v>9047906601</v>
      </c>
    </row>
    <row r="2535" spans="1:12" x14ac:dyDescent="0.35">
      <c r="A2535" t="str">
        <f t="shared" si="1029"/>
        <v>FRC SE - JACKSONVILLE, FL</v>
      </c>
      <c r="B2535" t="str">
        <f t="shared" si="1030"/>
        <v>101 WASP AVE</v>
      </c>
      <c r="C2535" t="str">
        <f t="shared" si="1031"/>
        <v>ATTN VAUGHN NEUROH CODE 611</v>
      </c>
      <c r="D2535" t="str">
        <f t="shared" si="1032"/>
        <v>JACKSONVILLE</v>
      </c>
      <c r="E2535" t="str">
        <f t="shared" si="1033"/>
        <v>FL</v>
      </c>
      <c r="F2535" t="str">
        <f t="shared" si="1034"/>
        <v>322120016</v>
      </c>
      <c r="G2535" t="str">
        <f t="shared" ref="G2535:G2542" si="1037">T("101 WASP ST")</f>
        <v>101 WASP ST</v>
      </c>
      <c r="H2535" t="str">
        <f>T("ATTN VAUGHN NEUROH CODE 611")</f>
        <v>ATTN VAUGHN NEUROH CODE 611</v>
      </c>
      <c r="I2535" t="str">
        <f t="shared" si="1035"/>
        <v>JACKSONVILLE</v>
      </c>
      <c r="J2535" t="str">
        <f t="shared" si="1036"/>
        <v>FL</v>
      </c>
      <c r="K2535" t="str">
        <f>T("000000000000000000")</f>
        <v>000000000000000000</v>
      </c>
      <c r="L2535" t="str">
        <f>T("9047905389")</f>
        <v>9047905389</v>
      </c>
    </row>
    <row r="2536" spans="1:12" x14ac:dyDescent="0.35">
      <c r="A2536" t="str">
        <f t="shared" si="1029"/>
        <v>FRC SE - JACKSONVILLE, FL</v>
      </c>
      <c r="B2536" t="str">
        <f t="shared" si="1030"/>
        <v>101 WASP AVE</v>
      </c>
      <c r="C2536" t="str">
        <f t="shared" si="1031"/>
        <v>ATTN VAUGHN NEUROH CODE 611</v>
      </c>
      <c r="D2536" t="str">
        <f t="shared" si="1032"/>
        <v>JACKSONVILLE</v>
      </c>
      <c r="E2536" t="str">
        <f t="shared" si="1033"/>
        <v>FL</v>
      </c>
      <c r="F2536" t="str">
        <f t="shared" si="1034"/>
        <v>322120016</v>
      </c>
      <c r="G2536" t="str">
        <f t="shared" si="1037"/>
        <v>101 WASP ST</v>
      </c>
      <c r="H2536" t="str">
        <f>T("ATTN VAUGHN NEUROH CODE 611")</f>
        <v>ATTN VAUGHN NEUROH CODE 611</v>
      </c>
      <c r="I2536" t="str">
        <f t="shared" si="1035"/>
        <v>JACKSONVILLE</v>
      </c>
      <c r="J2536" t="str">
        <f t="shared" si="1036"/>
        <v>FL</v>
      </c>
      <c r="K2536" t="str">
        <f>T("000000000000000000")</f>
        <v>000000000000000000</v>
      </c>
      <c r="L2536" t="str">
        <f>T("9047905397")</f>
        <v>9047905397</v>
      </c>
    </row>
    <row r="2537" spans="1:12" x14ac:dyDescent="0.35">
      <c r="A2537" t="str">
        <f t="shared" si="1029"/>
        <v>FRC SE - JACKSONVILLE, FL</v>
      </c>
      <c r="B2537" t="str">
        <f t="shared" si="1030"/>
        <v>101 WASP AVE</v>
      </c>
      <c r="C2537" t="str">
        <f t="shared" si="1031"/>
        <v>ATTN VAUGHN NEUROH CODE 611</v>
      </c>
      <c r="D2537" t="str">
        <f t="shared" si="1032"/>
        <v>JACKSONVILLE</v>
      </c>
      <c r="E2537" t="str">
        <f t="shared" si="1033"/>
        <v>FL</v>
      </c>
      <c r="F2537" t="str">
        <f t="shared" si="1034"/>
        <v>322120016</v>
      </c>
      <c r="G2537" t="str">
        <f t="shared" si="1037"/>
        <v>101 WASP ST</v>
      </c>
      <c r="H2537" t="str">
        <f>T("ATTN VAUGHN NEUROH CODE 611")</f>
        <v>ATTN VAUGHN NEUROH CODE 611</v>
      </c>
      <c r="I2537" t="str">
        <f t="shared" si="1035"/>
        <v>JACKSONVILLE</v>
      </c>
      <c r="J2537" t="str">
        <f t="shared" si="1036"/>
        <v>FL</v>
      </c>
      <c r="K2537" t="str">
        <f>T("000000000000000000")</f>
        <v>000000000000000000</v>
      </c>
      <c r="L2537" t="str">
        <f>T("9047906950")</f>
        <v>9047906950</v>
      </c>
    </row>
    <row r="2538" spans="1:12" x14ac:dyDescent="0.35">
      <c r="A2538" t="str">
        <f t="shared" si="1029"/>
        <v>FRC SE - JACKSONVILLE, FL</v>
      </c>
      <c r="B2538" t="str">
        <f t="shared" si="1030"/>
        <v>101 WASP AVE</v>
      </c>
      <c r="C2538" t="str">
        <f t="shared" si="1031"/>
        <v>ATTN VAUGHN NEUROH CODE 611</v>
      </c>
      <c r="D2538" t="str">
        <f t="shared" si="1032"/>
        <v>JACKSONVILLE</v>
      </c>
      <c r="E2538" t="str">
        <f t="shared" si="1033"/>
        <v>FL</v>
      </c>
      <c r="F2538" t="str">
        <f t="shared" si="1034"/>
        <v>322120016</v>
      </c>
      <c r="G2538" t="str">
        <f t="shared" si="1037"/>
        <v>101 WASP ST</v>
      </c>
      <c r="H2538" t="str">
        <f>T("ATTN VAUGHN NEUROH CODE 613")</f>
        <v>ATTN VAUGHN NEUROH CODE 613</v>
      </c>
      <c r="I2538" t="str">
        <f t="shared" si="1035"/>
        <v>JACKSONVILLE</v>
      </c>
      <c r="J2538" t="str">
        <f t="shared" si="1036"/>
        <v>FL</v>
      </c>
      <c r="K2538" t="str">
        <f>T("000000000000000000")</f>
        <v>000000000000000000</v>
      </c>
      <c r="L2538" t="str">
        <f>T("9047905388")</f>
        <v>9047905388</v>
      </c>
    </row>
    <row r="2539" spans="1:12" x14ac:dyDescent="0.35">
      <c r="A2539" t="str">
        <f t="shared" si="1029"/>
        <v>FRC SE - JACKSONVILLE, FL</v>
      </c>
      <c r="B2539" t="str">
        <f t="shared" ref="B2539:B2570" si="1038">T("101 WASP ST")</f>
        <v>101 WASP ST</v>
      </c>
      <c r="C2539" t="str">
        <f>T("ATTN VAUGHN NEUROH CODE 6 1 1")</f>
        <v>ATTN VAUGHN NEUROH CODE 6 1 1</v>
      </c>
      <c r="D2539" t="str">
        <f t="shared" si="1032"/>
        <v>JACKSONVILLE</v>
      </c>
      <c r="E2539" t="str">
        <f t="shared" si="1033"/>
        <v>FL</v>
      </c>
      <c r="F2539" t="str">
        <f t="shared" si="1034"/>
        <v>322120016</v>
      </c>
      <c r="G2539" t="str">
        <f t="shared" si="1037"/>
        <v>101 WASP ST</v>
      </c>
      <c r="H2539" t="str">
        <f>T("ATTN VAUGHN NEUROH CODE 6 1 1")</f>
        <v>ATTN VAUGHN NEUROH CODE 6 1 1</v>
      </c>
      <c r="I2539" t="str">
        <f t="shared" si="1035"/>
        <v>JACKSONVILLE</v>
      </c>
      <c r="J2539" t="str">
        <f t="shared" si="1036"/>
        <v>FL</v>
      </c>
      <c r="K2539" t="str">
        <f>T("")</f>
        <v/>
      </c>
      <c r="L2539" t="str">
        <f>T("9047904749")</f>
        <v>9047904749</v>
      </c>
    </row>
    <row r="2540" spans="1:12" x14ac:dyDescent="0.35">
      <c r="A2540" t="str">
        <f t="shared" si="1029"/>
        <v>FRC SE - JACKSONVILLE, FL</v>
      </c>
      <c r="B2540" t="str">
        <f t="shared" si="1038"/>
        <v>101 WASP ST</v>
      </c>
      <c r="C2540" t="str">
        <f>T("ATTN VAUGHN NEUROH CODE 6 1 1")</f>
        <v>ATTN VAUGHN NEUROH CODE 6 1 1</v>
      </c>
      <c r="D2540" t="str">
        <f t="shared" si="1032"/>
        <v>JACKSONVILLE</v>
      </c>
      <c r="E2540" t="str">
        <f t="shared" si="1033"/>
        <v>FL</v>
      </c>
      <c r="F2540" t="str">
        <f t="shared" si="1034"/>
        <v>322120016</v>
      </c>
      <c r="G2540" t="str">
        <f t="shared" si="1037"/>
        <v>101 WASP ST</v>
      </c>
      <c r="H2540" t="str">
        <f>T("ATTN VAUGHN NEUROH CODE 6 1 1")</f>
        <v>ATTN VAUGHN NEUROH CODE 6 1 1</v>
      </c>
      <c r="I2540" t="str">
        <f t="shared" si="1035"/>
        <v>JACKSONVILLE</v>
      </c>
      <c r="J2540" t="str">
        <f t="shared" si="1036"/>
        <v>FL</v>
      </c>
      <c r="K2540" t="str">
        <f>T("")</f>
        <v/>
      </c>
      <c r="L2540" t="str">
        <f>T("9047905291")</f>
        <v>9047905291</v>
      </c>
    </row>
    <row r="2541" spans="1:12" x14ac:dyDescent="0.35">
      <c r="A2541" t="str">
        <f t="shared" si="1029"/>
        <v>FRC SE - JACKSONVILLE, FL</v>
      </c>
      <c r="B2541" t="str">
        <f t="shared" si="1038"/>
        <v>101 WASP ST</v>
      </c>
      <c r="C2541" t="str">
        <f>T("ATTN VAUGHN NEUROH CODE 6 1 1")</f>
        <v>ATTN VAUGHN NEUROH CODE 6 1 1</v>
      </c>
      <c r="D2541" t="str">
        <f t="shared" si="1032"/>
        <v>JACKSONVILLE</v>
      </c>
      <c r="E2541" t="str">
        <f t="shared" si="1033"/>
        <v>FL</v>
      </c>
      <c r="F2541" t="str">
        <f t="shared" si="1034"/>
        <v>322120016</v>
      </c>
      <c r="G2541" t="str">
        <f t="shared" si="1037"/>
        <v>101 WASP ST</v>
      </c>
      <c r="H2541" t="str">
        <f>T("ATTN VAUGHN NEUROH CODE 611")</f>
        <v>ATTN VAUGHN NEUROH CODE 611</v>
      </c>
      <c r="I2541" t="str">
        <f t="shared" si="1035"/>
        <v>JACKSONVILLE</v>
      </c>
      <c r="J2541" t="str">
        <f t="shared" si="1036"/>
        <v>FL</v>
      </c>
      <c r="K2541" t="str">
        <f>T("000000000000000000")</f>
        <v>000000000000000000</v>
      </c>
      <c r="L2541" t="str">
        <f>T("9047904706")</f>
        <v>9047904706</v>
      </c>
    </row>
    <row r="2542" spans="1:12" x14ac:dyDescent="0.35">
      <c r="A2542" t="str">
        <f t="shared" si="1029"/>
        <v>FRC SE - JACKSONVILLE, FL</v>
      </c>
      <c r="B2542" t="str">
        <f t="shared" si="1038"/>
        <v>101 WASP ST</v>
      </c>
      <c r="C2542" t="str">
        <f>T("ATTN VAUGHN NEUROH CODE 6 1 1")</f>
        <v>ATTN VAUGHN NEUROH CODE 6 1 1</v>
      </c>
      <c r="D2542" t="str">
        <f t="shared" si="1032"/>
        <v>JACKSONVILLE</v>
      </c>
      <c r="E2542" t="str">
        <f t="shared" si="1033"/>
        <v>FL</v>
      </c>
      <c r="F2542" t="str">
        <f t="shared" si="1034"/>
        <v>322120016</v>
      </c>
      <c r="G2542" t="str">
        <f t="shared" si="1037"/>
        <v>101 WASP ST</v>
      </c>
      <c r="H2542" t="str">
        <f>T("ATTN VAUGHN NEUROH CODE 613")</f>
        <v>ATTN VAUGHN NEUROH CODE 613</v>
      </c>
      <c r="I2542" t="str">
        <f t="shared" si="1035"/>
        <v>JACKSONVILLE</v>
      </c>
      <c r="J2542" t="str">
        <f t="shared" si="1036"/>
        <v>FL</v>
      </c>
      <c r="K2542" t="str">
        <f>T("000000000000000000")</f>
        <v>000000000000000000</v>
      </c>
      <c r="L2542" t="str">
        <f>T("9047904792")</f>
        <v>9047904792</v>
      </c>
    </row>
    <row r="2543" spans="1:12" x14ac:dyDescent="0.35">
      <c r="A2543" t="str">
        <f t="shared" si="1029"/>
        <v>FRC SE - JACKSONVILLE, FL</v>
      </c>
      <c r="B2543" t="str">
        <f t="shared" si="1038"/>
        <v>101 WASP ST</v>
      </c>
      <c r="C2543" t="str">
        <f>T("ATTN VAUGHN NEUROH CODE 6 1 1")</f>
        <v>ATTN VAUGHN NEUROH CODE 6 1 1</v>
      </c>
      <c r="D2543" t="str">
        <f t="shared" si="1032"/>
        <v>JACKSONVILLE</v>
      </c>
      <c r="E2543" t="str">
        <f t="shared" si="1033"/>
        <v>FL</v>
      </c>
      <c r="F2543" t="str">
        <f t="shared" si="1034"/>
        <v>322120016</v>
      </c>
      <c r="G2543" t="str">
        <f>T("PUBLIC AFFAIRS DIVISION CODE 7 5")</f>
        <v>PUBLIC AFFAIRS DIVISION CODE 7 5</v>
      </c>
      <c r="H2543" t="str">
        <f>T("ATTN VAUGHN NEUROH CODE 6.1.1")</f>
        <v>ATTN VAUGHN NEUROH CODE 6.1.1</v>
      </c>
      <c r="I2543" t="str">
        <f t="shared" si="1035"/>
        <v>JACKSONVILLE</v>
      </c>
      <c r="J2543" t="str">
        <f t="shared" si="1036"/>
        <v>FL</v>
      </c>
      <c r="K2543" t="str">
        <f>T("000000000000000000")</f>
        <v>000000000000000000</v>
      </c>
      <c r="L2543" t="str">
        <f>T("9047904620")</f>
        <v>9047904620</v>
      </c>
    </row>
    <row r="2544" spans="1:12" x14ac:dyDescent="0.35">
      <c r="A2544" t="str">
        <f t="shared" si="1029"/>
        <v>FRC SE - JACKSONVILLE, FL</v>
      </c>
      <c r="B2544" t="str">
        <f t="shared" si="1038"/>
        <v>101 WASP ST</v>
      </c>
      <c r="C2544" t="str">
        <f t="shared" ref="C2544:C2575" si="1039">T("ATTN VAUGHN NEUROH CODE 611")</f>
        <v>ATTN VAUGHN NEUROH CODE 611</v>
      </c>
      <c r="D2544" t="str">
        <f t="shared" si="1032"/>
        <v>JACKSONVILLE</v>
      </c>
      <c r="E2544" t="str">
        <f t="shared" si="1033"/>
        <v>FL</v>
      </c>
      <c r="F2544" t="str">
        <f>T("322120000")</f>
        <v>322120000</v>
      </c>
      <c r="G2544" t="str">
        <f t="shared" ref="G2544:G2575" si="1040">T("101 WASP ST")</f>
        <v>101 WASP ST</v>
      </c>
      <c r="H2544" t="str">
        <f>T("ATTN VAUGHN NEUROH CODE 611")</f>
        <v>ATTN VAUGHN NEUROH CODE 611</v>
      </c>
      <c r="I2544" t="str">
        <f t="shared" si="1035"/>
        <v>JACKSONVILLE</v>
      </c>
      <c r="J2544" t="str">
        <f t="shared" si="1036"/>
        <v>FL</v>
      </c>
      <c r="K2544" t="str">
        <f>T("")</f>
        <v/>
      </c>
      <c r="L2544" t="str">
        <f>T("9047904325")</f>
        <v>9047904325</v>
      </c>
    </row>
    <row r="2545" spans="1:12" x14ac:dyDescent="0.35">
      <c r="A2545" t="str">
        <f t="shared" si="1029"/>
        <v>FRC SE - JACKSONVILLE, FL</v>
      </c>
      <c r="B2545" t="str">
        <f t="shared" si="1038"/>
        <v>101 WASP ST</v>
      </c>
      <c r="C2545" t="str">
        <f t="shared" si="1039"/>
        <v>ATTN VAUGHN NEUROH CODE 611</v>
      </c>
      <c r="D2545" t="str">
        <f t="shared" si="1032"/>
        <v>JACKSONVILLE</v>
      </c>
      <c r="E2545" t="str">
        <f t="shared" si="1033"/>
        <v>FL</v>
      </c>
      <c r="F2545" t="str">
        <f>T("322120000")</f>
        <v>322120000</v>
      </c>
      <c r="G2545" t="str">
        <f t="shared" si="1040"/>
        <v>101 WASP ST</v>
      </c>
      <c r="H2545" t="str">
        <f>T("ATTN VAUGHN NEUROH CODE 611")</f>
        <v>ATTN VAUGHN NEUROH CODE 611</v>
      </c>
      <c r="I2545" t="str">
        <f t="shared" si="1035"/>
        <v>JACKSONVILLE</v>
      </c>
      <c r="J2545" t="str">
        <f t="shared" si="1036"/>
        <v>FL</v>
      </c>
      <c r="K2545" t="str">
        <f>T("000000000000000000")</f>
        <v>000000000000000000</v>
      </c>
      <c r="L2545" t="str">
        <f>T("9047904239")</f>
        <v>9047904239</v>
      </c>
    </row>
    <row r="2546" spans="1:12" x14ac:dyDescent="0.35">
      <c r="A2546" t="str">
        <f t="shared" si="1029"/>
        <v>FRC SE - JACKSONVILLE, FL</v>
      </c>
      <c r="B2546" t="str">
        <f t="shared" si="1038"/>
        <v>101 WASP ST</v>
      </c>
      <c r="C2546" t="str">
        <f t="shared" si="1039"/>
        <v>ATTN VAUGHN NEUROH CODE 611</v>
      </c>
      <c r="D2546" t="str">
        <f t="shared" si="1032"/>
        <v>JACKSONVILLE</v>
      </c>
      <c r="E2546" t="str">
        <f t="shared" si="1033"/>
        <v>FL</v>
      </c>
      <c r="F2546" t="str">
        <f t="shared" ref="F2546:F2577" si="1041">T("322120016")</f>
        <v>322120016</v>
      </c>
      <c r="G2546" t="str">
        <f t="shared" si="1040"/>
        <v>101 WASP ST</v>
      </c>
      <c r="H2546" t="str">
        <f>T("ATTN VAUGHN NEUROH CODE 6 1 1")</f>
        <v>ATTN VAUGHN NEUROH CODE 6 1 1</v>
      </c>
      <c r="I2546" t="str">
        <f t="shared" si="1035"/>
        <v>JACKSONVILLE</v>
      </c>
      <c r="J2546" t="str">
        <f t="shared" si="1036"/>
        <v>FL</v>
      </c>
      <c r="K2546" t="str">
        <f>T("000000000000000000")</f>
        <v>000000000000000000</v>
      </c>
      <c r="L2546" t="str">
        <f>T("9047905756")</f>
        <v>9047905756</v>
      </c>
    </row>
    <row r="2547" spans="1:12" x14ac:dyDescent="0.35">
      <c r="A2547" t="str">
        <f t="shared" si="1029"/>
        <v>FRC SE - JACKSONVILLE, FL</v>
      </c>
      <c r="B2547" t="str">
        <f t="shared" si="1038"/>
        <v>101 WASP ST</v>
      </c>
      <c r="C2547" t="str">
        <f t="shared" si="1039"/>
        <v>ATTN VAUGHN NEUROH CODE 611</v>
      </c>
      <c r="D2547" t="str">
        <f t="shared" si="1032"/>
        <v>JACKSONVILLE</v>
      </c>
      <c r="E2547" t="str">
        <f t="shared" si="1033"/>
        <v>FL</v>
      </c>
      <c r="F2547" t="str">
        <f t="shared" si="1041"/>
        <v>322120016</v>
      </c>
      <c r="G2547" t="str">
        <f t="shared" si="1040"/>
        <v>101 WASP ST</v>
      </c>
      <c r="H2547" t="str">
        <f>T("ATTN VAUGHN NEUROH CODE 6 1 1")</f>
        <v>ATTN VAUGHN NEUROH CODE 6 1 1</v>
      </c>
      <c r="I2547" t="str">
        <f t="shared" si="1035"/>
        <v>JACKSONVILLE</v>
      </c>
      <c r="J2547" t="str">
        <f t="shared" si="1036"/>
        <v>FL</v>
      </c>
      <c r="K2547" t="str">
        <f>T("000000000000000000")</f>
        <v>000000000000000000</v>
      </c>
      <c r="L2547" t="str">
        <f>T("9047905851")</f>
        <v>9047905851</v>
      </c>
    </row>
    <row r="2548" spans="1:12" x14ac:dyDescent="0.35">
      <c r="A2548" t="str">
        <f t="shared" si="1029"/>
        <v>FRC SE - JACKSONVILLE, FL</v>
      </c>
      <c r="B2548" t="str">
        <f t="shared" si="1038"/>
        <v>101 WASP ST</v>
      </c>
      <c r="C2548" t="str">
        <f t="shared" si="1039"/>
        <v>ATTN VAUGHN NEUROH CODE 611</v>
      </c>
      <c r="D2548" t="str">
        <f t="shared" si="1032"/>
        <v>JACKSONVILLE</v>
      </c>
      <c r="E2548" t="str">
        <f t="shared" si="1033"/>
        <v>FL</v>
      </c>
      <c r="F2548" t="str">
        <f t="shared" si="1041"/>
        <v>322120016</v>
      </c>
      <c r="G2548" t="str">
        <f t="shared" si="1040"/>
        <v>101 WASP ST</v>
      </c>
      <c r="H2548" t="str">
        <f>T("ATTN VAUGHN NEUROH CODE 6.1.1")</f>
        <v>ATTN VAUGHN NEUROH CODE 6.1.1</v>
      </c>
      <c r="I2548" t="str">
        <f t="shared" si="1035"/>
        <v>JACKSONVILLE</v>
      </c>
      <c r="J2548" t="str">
        <f t="shared" si="1036"/>
        <v>FL</v>
      </c>
      <c r="K2548" t="str">
        <f>T("000000000000000000")</f>
        <v>000000000000000000</v>
      </c>
      <c r="L2548" t="str">
        <f>T("9047906440")</f>
        <v>9047906440</v>
      </c>
    </row>
    <row r="2549" spans="1:12" x14ac:dyDescent="0.35">
      <c r="A2549" t="str">
        <f t="shared" si="1029"/>
        <v>FRC SE - JACKSONVILLE, FL</v>
      </c>
      <c r="B2549" t="str">
        <f t="shared" si="1038"/>
        <v>101 WASP ST</v>
      </c>
      <c r="C2549" t="str">
        <f t="shared" si="1039"/>
        <v>ATTN VAUGHN NEUROH CODE 611</v>
      </c>
      <c r="D2549" t="str">
        <f t="shared" si="1032"/>
        <v>JACKSONVILLE</v>
      </c>
      <c r="E2549" t="str">
        <f t="shared" si="1033"/>
        <v>FL</v>
      </c>
      <c r="F2549" t="str">
        <f t="shared" si="1041"/>
        <v>322120016</v>
      </c>
      <c r="G2549" t="str">
        <f t="shared" si="1040"/>
        <v>101 WASP ST</v>
      </c>
      <c r="H2549" t="str">
        <f>T("ATTN VAUGHN NEUROH CODE 6.1.1")</f>
        <v>ATTN VAUGHN NEUROH CODE 6.1.1</v>
      </c>
      <c r="I2549" t="str">
        <f t="shared" si="1035"/>
        <v>JACKSONVILLE</v>
      </c>
      <c r="J2549" t="str">
        <f t="shared" si="1036"/>
        <v>FL</v>
      </c>
      <c r="K2549" t="str">
        <f>T("000000000000000000")</f>
        <v>000000000000000000</v>
      </c>
      <c r="L2549" t="str">
        <f>T("9047906444")</f>
        <v>9047906444</v>
      </c>
    </row>
    <row r="2550" spans="1:12" x14ac:dyDescent="0.35">
      <c r="A2550" t="str">
        <f t="shared" si="1029"/>
        <v>FRC SE - JACKSONVILLE, FL</v>
      </c>
      <c r="B2550" t="str">
        <f t="shared" si="1038"/>
        <v>101 WASP ST</v>
      </c>
      <c r="C2550" t="str">
        <f t="shared" si="1039"/>
        <v>ATTN VAUGHN NEUROH CODE 611</v>
      </c>
      <c r="D2550" t="str">
        <f t="shared" si="1032"/>
        <v>JACKSONVILLE</v>
      </c>
      <c r="E2550" t="str">
        <f t="shared" si="1033"/>
        <v>FL</v>
      </c>
      <c r="F2550" t="str">
        <f t="shared" si="1041"/>
        <v>322120016</v>
      </c>
      <c r="G2550" t="str">
        <f t="shared" si="1040"/>
        <v>101 WASP ST</v>
      </c>
      <c r="H2550" t="str">
        <f t="shared" ref="H2550:H2593" si="1042">T("ATTN VAUGHN NEUROH CODE 611")</f>
        <v>ATTN VAUGHN NEUROH CODE 611</v>
      </c>
      <c r="I2550" t="str">
        <f t="shared" si="1035"/>
        <v>JACKSONVILLE</v>
      </c>
      <c r="J2550" t="str">
        <f t="shared" si="1036"/>
        <v>FL</v>
      </c>
      <c r="K2550" t="str">
        <f t="shared" ref="K2550:K2561" si="1043">T("")</f>
        <v/>
      </c>
      <c r="L2550" t="str">
        <f>T("7574448144")</f>
        <v>7574448144</v>
      </c>
    </row>
    <row r="2551" spans="1:12" x14ac:dyDescent="0.35">
      <c r="A2551" t="str">
        <f t="shared" si="1029"/>
        <v>FRC SE - JACKSONVILLE, FL</v>
      </c>
      <c r="B2551" t="str">
        <f t="shared" si="1038"/>
        <v>101 WASP ST</v>
      </c>
      <c r="C2551" t="str">
        <f t="shared" si="1039"/>
        <v>ATTN VAUGHN NEUROH CODE 611</v>
      </c>
      <c r="D2551" t="str">
        <f t="shared" si="1032"/>
        <v>JACKSONVILLE</v>
      </c>
      <c r="E2551" t="str">
        <f t="shared" si="1033"/>
        <v>FL</v>
      </c>
      <c r="F2551" t="str">
        <f t="shared" si="1041"/>
        <v>322120016</v>
      </c>
      <c r="G2551" t="str">
        <f t="shared" si="1040"/>
        <v>101 WASP ST</v>
      </c>
      <c r="H2551" t="str">
        <f t="shared" si="1042"/>
        <v>ATTN VAUGHN NEUROH CODE 611</v>
      </c>
      <c r="I2551" t="str">
        <f t="shared" si="1035"/>
        <v>JACKSONVILLE</v>
      </c>
      <c r="J2551" t="str">
        <f t="shared" si="1036"/>
        <v>FL</v>
      </c>
      <c r="K2551" t="str">
        <f t="shared" si="1043"/>
        <v/>
      </c>
      <c r="L2551" t="str">
        <f>T("9043171727")</f>
        <v>9043171727</v>
      </c>
    </row>
    <row r="2552" spans="1:12" x14ac:dyDescent="0.35">
      <c r="A2552" t="str">
        <f t="shared" si="1029"/>
        <v>FRC SE - JACKSONVILLE, FL</v>
      </c>
      <c r="B2552" t="str">
        <f t="shared" si="1038"/>
        <v>101 WASP ST</v>
      </c>
      <c r="C2552" t="str">
        <f t="shared" si="1039"/>
        <v>ATTN VAUGHN NEUROH CODE 611</v>
      </c>
      <c r="D2552" t="str">
        <f t="shared" si="1032"/>
        <v>JACKSONVILLE</v>
      </c>
      <c r="E2552" t="str">
        <f t="shared" si="1033"/>
        <v>FL</v>
      </c>
      <c r="F2552" t="str">
        <f t="shared" si="1041"/>
        <v>322120016</v>
      </c>
      <c r="G2552" t="str">
        <f t="shared" si="1040"/>
        <v>101 WASP ST</v>
      </c>
      <c r="H2552" t="str">
        <f t="shared" si="1042"/>
        <v>ATTN VAUGHN NEUROH CODE 611</v>
      </c>
      <c r="I2552" t="str">
        <f t="shared" si="1035"/>
        <v>JACKSONVILLE</v>
      </c>
      <c r="J2552" t="str">
        <f t="shared" si="1036"/>
        <v>FL</v>
      </c>
      <c r="K2552" t="str">
        <f t="shared" si="1043"/>
        <v/>
      </c>
      <c r="L2552" t="str">
        <f>T("9047904013")</f>
        <v>9047904013</v>
      </c>
    </row>
    <row r="2553" spans="1:12" x14ac:dyDescent="0.35">
      <c r="A2553" t="str">
        <f t="shared" si="1029"/>
        <v>FRC SE - JACKSONVILLE, FL</v>
      </c>
      <c r="B2553" t="str">
        <f t="shared" si="1038"/>
        <v>101 WASP ST</v>
      </c>
      <c r="C2553" t="str">
        <f t="shared" si="1039"/>
        <v>ATTN VAUGHN NEUROH CODE 611</v>
      </c>
      <c r="D2553" t="str">
        <f t="shared" si="1032"/>
        <v>JACKSONVILLE</v>
      </c>
      <c r="E2553" t="str">
        <f t="shared" si="1033"/>
        <v>FL</v>
      </c>
      <c r="F2553" t="str">
        <f t="shared" si="1041"/>
        <v>322120016</v>
      </c>
      <c r="G2553" t="str">
        <f t="shared" si="1040"/>
        <v>101 WASP ST</v>
      </c>
      <c r="H2553" t="str">
        <f t="shared" si="1042"/>
        <v>ATTN VAUGHN NEUROH CODE 611</v>
      </c>
      <c r="I2553" t="str">
        <f t="shared" si="1035"/>
        <v>JACKSONVILLE</v>
      </c>
      <c r="J2553" t="str">
        <f t="shared" si="1036"/>
        <v>FL</v>
      </c>
      <c r="K2553" t="str">
        <f t="shared" si="1043"/>
        <v/>
      </c>
      <c r="L2553" t="str">
        <f>T("9047904040")</f>
        <v>9047904040</v>
      </c>
    </row>
    <row r="2554" spans="1:12" x14ac:dyDescent="0.35">
      <c r="A2554" t="str">
        <f t="shared" si="1029"/>
        <v>FRC SE - JACKSONVILLE, FL</v>
      </c>
      <c r="B2554" t="str">
        <f t="shared" si="1038"/>
        <v>101 WASP ST</v>
      </c>
      <c r="C2554" t="str">
        <f t="shared" si="1039"/>
        <v>ATTN VAUGHN NEUROH CODE 611</v>
      </c>
      <c r="D2554" t="str">
        <f t="shared" si="1032"/>
        <v>JACKSONVILLE</v>
      </c>
      <c r="E2554" t="str">
        <f t="shared" si="1033"/>
        <v>FL</v>
      </c>
      <c r="F2554" t="str">
        <f t="shared" si="1041"/>
        <v>322120016</v>
      </c>
      <c r="G2554" t="str">
        <f t="shared" si="1040"/>
        <v>101 WASP ST</v>
      </c>
      <c r="H2554" t="str">
        <f t="shared" si="1042"/>
        <v>ATTN VAUGHN NEUROH CODE 611</v>
      </c>
      <c r="I2554" t="str">
        <f t="shared" si="1035"/>
        <v>JACKSONVILLE</v>
      </c>
      <c r="J2554" t="str">
        <f t="shared" si="1036"/>
        <v>FL</v>
      </c>
      <c r="K2554" t="str">
        <f t="shared" si="1043"/>
        <v/>
      </c>
      <c r="L2554" t="str">
        <f>T("9047904511")</f>
        <v>9047904511</v>
      </c>
    </row>
    <row r="2555" spans="1:12" x14ac:dyDescent="0.35">
      <c r="A2555" t="str">
        <f t="shared" si="1029"/>
        <v>FRC SE - JACKSONVILLE, FL</v>
      </c>
      <c r="B2555" t="str">
        <f t="shared" si="1038"/>
        <v>101 WASP ST</v>
      </c>
      <c r="C2555" t="str">
        <f t="shared" si="1039"/>
        <v>ATTN VAUGHN NEUROH CODE 611</v>
      </c>
      <c r="D2555" t="str">
        <f t="shared" si="1032"/>
        <v>JACKSONVILLE</v>
      </c>
      <c r="E2555" t="str">
        <f t="shared" si="1033"/>
        <v>FL</v>
      </c>
      <c r="F2555" t="str">
        <f t="shared" si="1041"/>
        <v>322120016</v>
      </c>
      <c r="G2555" t="str">
        <f t="shared" si="1040"/>
        <v>101 WASP ST</v>
      </c>
      <c r="H2555" t="str">
        <f t="shared" si="1042"/>
        <v>ATTN VAUGHN NEUROH CODE 611</v>
      </c>
      <c r="I2555" t="str">
        <f t="shared" si="1035"/>
        <v>JACKSONVILLE</v>
      </c>
      <c r="J2555" t="str">
        <f t="shared" si="1036"/>
        <v>FL</v>
      </c>
      <c r="K2555" t="str">
        <f t="shared" si="1043"/>
        <v/>
      </c>
      <c r="L2555" t="str">
        <f>T("9047904979")</f>
        <v>9047904979</v>
      </c>
    </row>
    <row r="2556" spans="1:12" x14ac:dyDescent="0.35">
      <c r="A2556" t="str">
        <f t="shared" si="1029"/>
        <v>FRC SE - JACKSONVILLE, FL</v>
      </c>
      <c r="B2556" t="str">
        <f t="shared" si="1038"/>
        <v>101 WASP ST</v>
      </c>
      <c r="C2556" t="str">
        <f t="shared" si="1039"/>
        <v>ATTN VAUGHN NEUROH CODE 611</v>
      </c>
      <c r="D2556" t="str">
        <f t="shared" si="1032"/>
        <v>JACKSONVILLE</v>
      </c>
      <c r="E2556" t="str">
        <f t="shared" si="1033"/>
        <v>FL</v>
      </c>
      <c r="F2556" t="str">
        <f t="shared" si="1041"/>
        <v>322120016</v>
      </c>
      <c r="G2556" t="str">
        <f t="shared" si="1040"/>
        <v>101 WASP ST</v>
      </c>
      <c r="H2556" t="str">
        <f t="shared" si="1042"/>
        <v>ATTN VAUGHN NEUROH CODE 611</v>
      </c>
      <c r="I2556" t="str">
        <f t="shared" si="1035"/>
        <v>JACKSONVILLE</v>
      </c>
      <c r="J2556" t="str">
        <f t="shared" si="1036"/>
        <v>FL</v>
      </c>
      <c r="K2556" t="str">
        <f t="shared" si="1043"/>
        <v/>
      </c>
      <c r="L2556" t="str">
        <f>T("9047905253")</f>
        <v>9047905253</v>
      </c>
    </row>
    <row r="2557" spans="1:12" x14ac:dyDescent="0.35">
      <c r="A2557" t="str">
        <f t="shared" si="1029"/>
        <v>FRC SE - JACKSONVILLE, FL</v>
      </c>
      <c r="B2557" t="str">
        <f t="shared" si="1038"/>
        <v>101 WASP ST</v>
      </c>
      <c r="C2557" t="str">
        <f t="shared" si="1039"/>
        <v>ATTN VAUGHN NEUROH CODE 611</v>
      </c>
      <c r="D2557" t="str">
        <f t="shared" si="1032"/>
        <v>JACKSONVILLE</v>
      </c>
      <c r="E2557" t="str">
        <f t="shared" si="1033"/>
        <v>FL</v>
      </c>
      <c r="F2557" t="str">
        <f t="shared" si="1041"/>
        <v>322120016</v>
      </c>
      <c r="G2557" t="str">
        <f t="shared" si="1040"/>
        <v>101 WASP ST</v>
      </c>
      <c r="H2557" t="str">
        <f t="shared" si="1042"/>
        <v>ATTN VAUGHN NEUROH CODE 611</v>
      </c>
      <c r="I2557" t="str">
        <f t="shared" si="1035"/>
        <v>JACKSONVILLE</v>
      </c>
      <c r="J2557" t="str">
        <f t="shared" si="1036"/>
        <v>FL</v>
      </c>
      <c r="K2557" t="str">
        <f t="shared" si="1043"/>
        <v/>
      </c>
      <c r="L2557" t="str">
        <f>T("9047905725")</f>
        <v>9047905725</v>
      </c>
    </row>
    <row r="2558" spans="1:12" x14ac:dyDescent="0.35">
      <c r="A2558" t="str">
        <f t="shared" si="1029"/>
        <v>FRC SE - JACKSONVILLE, FL</v>
      </c>
      <c r="B2558" t="str">
        <f t="shared" si="1038"/>
        <v>101 WASP ST</v>
      </c>
      <c r="C2558" t="str">
        <f t="shared" si="1039"/>
        <v>ATTN VAUGHN NEUROH CODE 611</v>
      </c>
      <c r="D2558" t="str">
        <f t="shared" si="1032"/>
        <v>JACKSONVILLE</v>
      </c>
      <c r="E2558" t="str">
        <f t="shared" si="1033"/>
        <v>FL</v>
      </c>
      <c r="F2558" t="str">
        <f t="shared" si="1041"/>
        <v>322120016</v>
      </c>
      <c r="G2558" t="str">
        <f t="shared" si="1040"/>
        <v>101 WASP ST</v>
      </c>
      <c r="H2558" t="str">
        <f t="shared" si="1042"/>
        <v>ATTN VAUGHN NEUROH CODE 611</v>
      </c>
      <c r="I2558" t="str">
        <f t="shared" si="1035"/>
        <v>JACKSONVILLE</v>
      </c>
      <c r="J2558" t="str">
        <f t="shared" si="1036"/>
        <v>FL</v>
      </c>
      <c r="K2558" t="str">
        <f t="shared" si="1043"/>
        <v/>
      </c>
      <c r="L2558" t="str">
        <f>T("9047906447")</f>
        <v>9047906447</v>
      </c>
    </row>
    <row r="2559" spans="1:12" x14ac:dyDescent="0.35">
      <c r="A2559" t="str">
        <f t="shared" si="1029"/>
        <v>FRC SE - JACKSONVILLE, FL</v>
      </c>
      <c r="B2559" t="str">
        <f t="shared" si="1038"/>
        <v>101 WASP ST</v>
      </c>
      <c r="C2559" t="str">
        <f t="shared" si="1039"/>
        <v>ATTN VAUGHN NEUROH CODE 611</v>
      </c>
      <c r="D2559" t="str">
        <f t="shared" si="1032"/>
        <v>JACKSONVILLE</v>
      </c>
      <c r="E2559" t="str">
        <f t="shared" si="1033"/>
        <v>FL</v>
      </c>
      <c r="F2559" t="str">
        <f t="shared" si="1041"/>
        <v>322120016</v>
      </c>
      <c r="G2559" t="str">
        <f t="shared" si="1040"/>
        <v>101 WASP ST</v>
      </c>
      <c r="H2559" t="str">
        <f t="shared" si="1042"/>
        <v>ATTN VAUGHN NEUROH CODE 611</v>
      </c>
      <c r="I2559" t="str">
        <f t="shared" si="1035"/>
        <v>JACKSONVILLE</v>
      </c>
      <c r="J2559" t="str">
        <f t="shared" si="1036"/>
        <v>FL</v>
      </c>
      <c r="K2559" t="str">
        <f t="shared" si="1043"/>
        <v/>
      </c>
      <c r="L2559" t="str">
        <f>T("9047906481")</f>
        <v>9047906481</v>
      </c>
    </row>
    <row r="2560" spans="1:12" x14ac:dyDescent="0.35">
      <c r="A2560" t="str">
        <f t="shared" si="1029"/>
        <v>FRC SE - JACKSONVILLE, FL</v>
      </c>
      <c r="B2560" t="str">
        <f t="shared" si="1038"/>
        <v>101 WASP ST</v>
      </c>
      <c r="C2560" t="str">
        <f t="shared" si="1039"/>
        <v>ATTN VAUGHN NEUROH CODE 611</v>
      </c>
      <c r="D2560" t="str">
        <f t="shared" si="1032"/>
        <v>JACKSONVILLE</v>
      </c>
      <c r="E2560" t="str">
        <f t="shared" si="1033"/>
        <v>FL</v>
      </c>
      <c r="F2560" t="str">
        <f t="shared" si="1041"/>
        <v>322120016</v>
      </c>
      <c r="G2560" t="str">
        <f t="shared" si="1040"/>
        <v>101 WASP ST</v>
      </c>
      <c r="H2560" t="str">
        <f t="shared" si="1042"/>
        <v>ATTN VAUGHN NEUROH CODE 611</v>
      </c>
      <c r="I2560" t="str">
        <f t="shared" si="1035"/>
        <v>JACKSONVILLE</v>
      </c>
      <c r="J2560" t="str">
        <f t="shared" si="1036"/>
        <v>FL</v>
      </c>
      <c r="K2560" t="str">
        <f t="shared" si="1043"/>
        <v/>
      </c>
      <c r="L2560" t="str">
        <f>T("9047906701")</f>
        <v>9047906701</v>
      </c>
    </row>
    <row r="2561" spans="1:12" x14ac:dyDescent="0.35">
      <c r="A2561" t="str">
        <f t="shared" si="1029"/>
        <v>FRC SE - JACKSONVILLE, FL</v>
      </c>
      <c r="B2561" t="str">
        <f t="shared" si="1038"/>
        <v>101 WASP ST</v>
      </c>
      <c r="C2561" t="str">
        <f t="shared" si="1039"/>
        <v>ATTN VAUGHN NEUROH CODE 611</v>
      </c>
      <c r="D2561" t="str">
        <f t="shared" si="1032"/>
        <v>JACKSONVILLE</v>
      </c>
      <c r="E2561" t="str">
        <f t="shared" si="1033"/>
        <v>FL</v>
      </c>
      <c r="F2561" t="str">
        <f t="shared" si="1041"/>
        <v>322120016</v>
      </c>
      <c r="G2561" t="str">
        <f t="shared" si="1040"/>
        <v>101 WASP ST</v>
      </c>
      <c r="H2561" t="str">
        <f t="shared" si="1042"/>
        <v>ATTN VAUGHN NEUROH CODE 611</v>
      </c>
      <c r="I2561" t="str">
        <f t="shared" si="1035"/>
        <v>JACKSONVILLE</v>
      </c>
      <c r="J2561" t="str">
        <f t="shared" si="1036"/>
        <v>FL</v>
      </c>
      <c r="K2561" t="str">
        <f t="shared" si="1043"/>
        <v/>
      </c>
      <c r="L2561" t="str">
        <f>T("9047906758")</f>
        <v>9047906758</v>
      </c>
    </row>
    <row r="2562" spans="1:12" x14ac:dyDescent="0.35">
      <c r="A2562" t="str">
        <f t="shared" si="1029"/>
        <v>FRC SE - JACKSONVILLE, FL</v>
      </c>
      <c r="B2562" t="str">
        <f t="shared" si="1038"/>
        <v>101 WASP ST</v>
      </c>
      <c r="C2562" t="str">
        <f t="shared" si="1039"/>
        <v>ATTN VAUGHN NEUROH CODE 611</v>
      </c>
      <c r="D2562" t="str">
        <f t="shared" si="1032"/>
        <v>JACKSONVILLE</v>
      </c>
      <c r="E2562" t="str">
        <f t="shared" si="1033"/>
        <v>FL</v>
      </c>
      <c r="F2562" t="str">
        <f t="shared" si="1041"/>
        <v>322120016</v>
      </c>
      <c r="G2562" t="str">
        <f t="shared" si="1040"/>
        <v>101 WASP ST</v>
      </c>
      <c r="H2562" t="str">
        <f t="shared" si="1042"/>
        <v>ATTN VAUGHN NEUROH CODE 611</v>
      </c>
      <c r="I2562" t="str">
        <f t="shared" si="1035"/>
        <v>JACKSONVILLE</v>
      </c>
      <c r="J2562" t="str">
        <f t="shared" si="1036"/>
        <v>FL</v>
      </c>
      <c r="K2562" t="str">
        <f t="shared" ref="K2562:K2600" si="1044">T("000000000000000000")</f>
        <v>000000000000000000</v>
      </c>
      <c r="L2562" t="str">
        <f>T("9043171482")</f>
        <v>9043171482</v>
      </c>
    </row>
    <row r="2563" spans="1:12" x14ac:dyDescent="0.35">
      <c r="A2563" t="str">
        <f t="shared" si="1029"/>
        <v>FRC SE - JACKSONVILLE, FL</v>
      </c>
      <c r="B2563" t="str">
        <f t="shared" si="1038"/>
        <v>101 WASP ST</v>
      </c>
      <c r="C2563" t="str">
        <f t="shared" si="1039"/>
        <v>ATTN VAUGHN NEUROH CODE 611</v>
      </c>
      <c r="D2563" t="str">
        <f t="shared" si="1032"/>
        <v>JACKSONVILLE</v>
      </c>
      <c r="E2563" t="str">
        <f t="shared" si="1033"/>
        <v>FL</v>
      </c>
      <c r="F2563" t="str">
        <f t="shared" si="1041"/>
        <v>322120016</v>
      </c>
      <c r="G2563" t="str">
        <f t="shared" si="1040"/>
        <v>101 WASP ST</v>
      </c>
      <c r="H2563" t="str">
        <f t="shared" si="1042"/>
        <v>ATTN VAUGHN NEUROH CODE 611</v>
      </c>
      <c r="I2563" t="str">
        <f t="shared" si="1035"/>
        <v>JACKSONVILLE</v>
      </c>
      <c r="J2563" t="str">
        <f t="shared" si="1036"/>
        <v>FL</v>
      </c>
      <c r="K2563" t="str">
        <f t="shared" si="1044"/>
        <v>000000000000000000</v>
      </c>
      <c r="L2563" t="str">
        <f>T("9043171574")</f>
        <v>9043171574</v>
      </c>
    </row>
    <row r="2564" spans="1:12" x14ac:dyDescent="0.35">
      <c r="A2564" t="str">
        <f t="shared" si="1029"/>
        <v>FRC SE - JACKSONVILLE, FL</v>
      </c>
      <c r="B2564" t="str">
        <f t="shared" si="1038"/>
        <v>101 WASP ST</v>
      </c>
      <c r="C2564" t="str">
        <f t="shared" si="1039"/>
        <v>ATTN VAUGHN NEUROH CODE 611</v>
      </c>
      <c r="D2564" t="str">
        <f t="shared" si="1032"/>
        <v>JACKSONVILLE</v>
      </c>
      <c r="E2564" t="str">
        <f t="shared" si="1033"/>
        <v>FL</v>
      </c>
      <c r="F2564" t="str">
        <f t="shared" si="1041"/>
        <v>322120016</v>
      </c>
      <c r="G2564" t="str">
        <f t="shared" si="1040"/>
        <v>101 WASP ST</v>
      </c>
      <c r="H2564" t="str">
        <f t="shared" si="1042"/>
        <v>ATTN VAUGHN NEUROH CODE 611</v>
      </c>
      <c r="I2564" t="str">
        <f t="shared" si="1035"/>
        <v>JACKSONVILLE</v>
      </c>
      <c r="J2564" t="str">
        <f t="shared" si="1036"/>
        <v>FL</v>
      </c>
      <c r="K2564" t="str">
        <f t="shared" si="1044"/>
        <v>000000000000000000</v>
      </c>
      <c r="L2564" t="str">
        <f>T("9043171708")</f>
        <v>9043171708</v>
      </c>
    </row>
    <row r="2565" spans="1:12" x14ac:dyDescent="0.35">
      <c r="A2565" t="str">
        <f t="shared" ref="A2565:A2596" si="1045">T("FRC SE - JACKSONVILLE, FL")</f>
        <v>FRC SE - JACKSONVILLE, FL</v>
      </c>
      <c r="B2565" t="str">
        <f t="shared" si="1038"/>
        <v>101 WASP ST</v>
      </c>
      <c r="C2565" t="str">
        <f t="shared" si="1039"/>
        <v>ATTN VAUGHN NEUROH CODE 611</v>
      </c>
      <c r="D2565" t="str">
        <f t="shared" ref="D2565:D2596" si="1046">T("JACKSONVILLE")</f>
        <v>JACKSONVILLE</v>
      </c>
      <c r="E2565" t="str">
        <f t="shared" ref="E2565:E2596" si="1047">T("FL")</f>
        <v>FL</v>
      </c>
      <c r="F2565" t="str">
        <f t="shared" si="1041"/>
        <v>322120016</v>
      </c>
      <c r="G2565" t="str">
        <f t="shared" si="1040"/>
        <v>101 WASP ST</v>
      </c>
      <c r="H2565" t="str">
        <f t="shared" si="1042"/>
        <v>ATTN VAUGHN NEUROH CODE 611</v>
      </c>
      <c r="I2565" t="str">
        <f t="shared" ref="I2565:I2600" si="1048">T("JACKSONVILLE")</f>
        <v>JACKSONVILLE</v>
      </c>
      <c r="J2565" t="str">
        <f t="shared" ref="J2565:J2600" si="1049">T("FL")</f>
        <v>FL</v>
      </c>
      <c r="K2565" t="str">
        <f t="shared" si="1044"/>
        <v>000000000000000000</v>
      </c>
      <c r="L2565" t="str">
        <f>T("9043171717")</f>
        <v>9043171717</v>
      </c>
    </row>
    <row r="2566" spans="1:12" x14ac:dyDescent="0.35">
      <c r="A2566" t="str">
        <f t="shared" si="1045"/>
        <v>FRC SE - JACKSONVILLE, FL</v>
      </c>
      <c r="B2566" t="str">
        <f t="shared" si="1038"/>
        <v>101 WASP ST</v>
      </c>
      <c r="C2566" t="str">
        <f t="shared" si="1039"/>
        <v>ATTN VAUGHN NEUROH CODE 611</v>
      </c>
      <c r="D2566" t="str">
        <f t="shared" si="1046"/>
        <v>JACKSONVILLE</v>
      </c>
      <c r="E2566" t="str">
        <f t="shared" si="1047"/>
        <v>FL</v>
      </c>
      <c r="F2566" t="str">
        <f t="shared" si="1041"/>
        <v>322120016</v>
      </c>
      <c r="G2566" t="str">
        <f t="shared" si="1040"/>
        <v>101 WASP ST</v>
      </c>
      <c r="H2566" t="str">
        <f t="shared" si="1042"/>
        <v>ATTN VAUGHN NEUROH CODE 611</v>
      </c>
      <c r="I2566" t="str">
        <f t="shared" si="1048"/>
        <v>JACKSONVILLE</v>
      </c>
      <c r="J2566" t="str">
        <f t="shared" si="1049"/>
        <v>FL</v>
      </c>
      <c r="K2566" t="str">
        <f t="shared" si="1044"/>
        <v>000000000000000000</v>
      </c>
      <c r="L2566" t="str">
        <f>T("9043171723")</f>
        <v>9043171723</v>
      </c>
    </row>
    <row r="2567" spans="1:12" x14ac:dyDescent="0.35">
      <c r="A2567" t="str">
        <f t="shared" si="1045"/>
        <v>FRC SE - JACKSONVILLE, FL</v>
      </c>
      <c r="B2567" t="str">
        <f t="shared" si="1038"/>
        <v>101 WASP ST</v>
      </c>
      <c r="C2567" t="str">
        <f t="shared" si="1039"/>
        <v>ATTN VAUGHN NEUROH CODE 611</v>
      </c>
      <c r="D2567" t="str">
        <f t="shared" si="1046"/>
        <v>JACKSONVILLE</v>
      </c>
      <c r="E2567" t="str">
        <f t="shared" si="1047"/>
        <v>FL</v>
      </c>
      <c r="F2567" t="str">
        <f t="shared" si="1041"/>
        <v>322120016</v>
      </c>
      <c r="G2567" t="str">
        <f t="shared" si="1040"/>
        <v>101 WASP ST</v>
      </c>
      <c r="H2567" t="str">
        <f t="shared" si="1042"/>
        <v>ATTN VAUGHN NEUROH CODE 611</v>
      </c>
      <c r="I2567" t="str">
        <f t="shared" si="1048"/>
        <v>JACKSONVILLE</v>
      </c>
      <c r="J2567" t="str">
        <f t="shared" si="1049"/>
        <v>FL</v>
      </c>
      <c r="K2567" t="str">
        <f t="shared" si="1044"/>
        <v>000000000000000000</v>
      </c>
      <c r="L2567" t="str">
        <f>T("9043171863")</f>
        <v>9043171863</v>
      </c>
    </row>
    <row r="2568" spans="1:12" x14ac:dyDescent="0.35">
      <c r="A2568" t="str">
        <f t="shared" si="1045"/>
        <v>FRC SE - JACKSONVILLE, FL</v>
      </c>
      <c r="B2568" t="str">
        <f t="shared" si="1038"/>
        <v>101 WASP ST</v>
      </c>
      <c r="C2568" t="str">
        <f t="shared" si="1039"/>
        <v>ATTN VAUGHN NEUROH CODE 611</v>
      </c>
      <c r="D2568" t="str">
        <f t="shared" si="1046"/>
        <v>JACKSONVILLE</v>
      </c>
      <c r="E2568" t="str">
        <f t="shared" si="1047"/>
        <v>FL</v>
      </c>
      <c r="F2568" t="str">
        <f t="shared" si="1041"/>
        <v>322120016</v>
      </c>
      <c r="G2568" t="str">
        <f t="shared" si="1040"/>
        <v>101 WASP ST</v>
      </c>
      <c r="H2568" t="str">
        <f t="shared" si="1042"/>
        <v>ATTN VAUGHN NEUROH CODE 611</v>
      </c>
      <c r="I2568" t="str">
        <f t="shared" si="1048"/>
        <v>JACKSONVILLE</v>
      </c>
      <c r="J2568" t="str">
        <f t="shared" si="1049"/>
        <v>FL</v>
      </c>
      <c r="K2568" t="str">
        <f t="shared" si="1044"/>
        <v>000000000000000000</v>
      </c>
      <c r="L2568" t="str">
        <f>T("9043172017")</f>
        <v>9043172017</v>
      </c>
    </row>
    <row r="2569" spans="1:12" x14ac:dyDescent="0.35">
      <c r="A2569" t="str">
        <f t="shared" si="1045"/>
        <v>FRC SE - JACKSONVILLE, FL</v>
      </c>
      <c r="B2569" t="str">
        <f t="shared" si="1038"/>
        <v>101 WASP ST</v>
      </c>
      <c r="C2569" t="str">
        <f t="shared" si="1039"/>
        <v>ATTN VAUGHN NEUROH CODE 611</v>
      </c>
      <c r="D2569" t="str">
        <f t="shared" si="1046"/>
        <v>JACKSONVILLE</v>
      </c>
      <c r="E2569" t="str">
        <f t="shared" si="1047"/>
        <v>FL</v>
      </c>
      <c r="F2569" t="str">
        <f t="shared" si="1041"/>
        <v>322120016</v>
      </c>
      <c r="G2569" t="str">
        <f t="shared" si="1040"/>
        <v>101 WASP ST</v>
      </c>
      <c r="H2569" t="str">
        <f t="shared" si="1042"/>
        <v>ATTN VAUGHN NEUROH CODE 611</v>
      </c>
      <c r="I2569" t="str">
        <f t="shared" si="1048"/>
        <v>JACKSONVILLE</v>
      </c>
      <c r="J2569" t="str">
        <f t="shared" si="1049"/>
        <v>FL</v>
      </c>
      <c r="K2569" t="str">
        <f t="shared" si="1044"/>
        <v>000000000000000000</v>
      </c>
      <c r="L2569" t="str">
        <f>T("9043175466")</f>
        <v>9043175466</v>
      </c>
    </row>
    <row r="2570" spans="1:12" x14ac:dyDescent="0.35">
      <c r="A2570" t="str">
        <f t="shared" si="1045"/>
        <v>FRC SE - JACKSONVILLE, FL</v>
      </c>
      <c r="B2570" t="str">
        <f t="shared" si="1038"/>
        <v>101 WASP ST</v>
      </c>
      <c r="C2570" t="str">
        <f t="shared" si="1039"/>
        <v>ATTN VAUGHN NEUROH CODE 611</v>
      </c>
      <c r="D2570" t="str">
        <f t="shared" si="1046"/>
        <v>JACKSONVILLE</v>
      </c>
      <c r="E2570" t="str">
        <f t="shared" si="1047"/>
        <v>FL</v>
      </c>
      <c r="F2570" t="str">
        <f t="shared" si="1041"/>
        <v>322120016</v>
      </c>
      <c r="G2570" t="str">
        <f t="shared" si="1040"/>
        <v>101 WASP ST</v>
      </c>
      <c r="H2570" t="str">
        <f t="shared" si="1042"/>
        <v>ATTN VAUGHN NEUROH CODE 611</v>
      </c>
      <c r="I2570" t="str">
        <f t="shared" si="1048"/>
        <v>JACKSONVILLE</v>
      </c>
      <c r="J2570" t="str">
        <f t="shared" si="1049"/>
        <v>FL</v>
      </c>
      <c r="K2570" t="str">
        <f t="shared" si="1044"/>
        <v>000000000000000000</v>
      </c>
      <c r="L2570" t="str">
        <f>T("9043175490")</f>
        <v>9043175490</v>
      </c>
    </row>
    <row r="2571" spans="1:12" x14ac:dyDescent="0.35">
      <c r="A2571" t="str">
        <f t="shared" si="1045"/>
        <v>FRC SE - JACKSONVILLE, FL</v>
      </c>
      <c r="B2571" t="str">
        <f t="shared" ref="B2571:B2602" si="1050">T("101 WASP ST")</f>
        <v>101 WASP ST</v>
      </c>
      <c r="C2571" t="str">
        <f t="shared" si="1039"/>
        <v>ATTN VAUGHN NEUROH CODE 611</v>
      </c>
      <c r="D2571" t="str">
        <f t="shared" si="1046"/>
        <v>JACKSONVILLE</v>
      </c>
      <c r="E2571" t="str">
        <f t="shared" si="1047"/>
        <v>FL</v>
      </c>
      <c r="F2571" t="str">
        <f t="shared" si="1041"/>
        <v>322120016</v>
      </c>
      <c r="G2571" t="str">
        <f t="shared" si="1040"/>
        <v>101 WASP ST</v>
      </c>
      <c r="H2571" t="str">
        <f t="shared" si="1042"/>
        <v>ATTN VAUGHN NEUROH CODE 611</v>
      </c>
      <c r="I2571" t="str">
        <f t="shared" si="1048"/>
        <v>JACKSONVILLE</v>
      </c>
      <c r="J2571" t="str">
        <f t="shared" si="1049"/>
        <v>FL</v>
      </c>
      <c r="K2571" t="str">
        <f t="shared" si="1044"/>
        <v>000000000000000000</v>
      </c>
      <c r="L2571" t="str">
        <f>T("9043175578")</f>
        <v>9043175578</v>
      </c>
    </row>
    <row r="2572" spans="1:12" x14ac:dyDescent="0.35">
      <c r="A2572" t="str">
        <f t="shared" si="1045"/>
        <v>FRC SE - JACKSONVILLE, FL</v>
      </c>
      <c r="B2572" t="str">
        <f t="shared" si="1050"/>
        <v>101 WASP ST</v>
      </c>
      <c r="C2572" t="str">
        <f t="shared" si="1039"/>
        <v>ATTN VAUGHN NEUROH CODE 611</v>
      </c>
      <c r="D2572" t="str">
        <f t="shared" si="1046"/>
        <v>JACKSONVILLE</v>
      </c>
      <c r="E2572" t="str">
        <f t="shared" si="1047"/>
        <v>FL</v>
      </c>
      <c r="F2572" t="str">
        <f t="shared" si="1041"/>
        <v>322120016</v>
      </c>
      <c r="G2572" t="str">
        <f t="shared" si="1040"/>
        <v>101 WASP ST</v>
      </c>
      <c r="H2572" t="str">
        <f t="shared" si="1042"/>
        <v>ATTN VAUGHN NEUROH CODE 611</v>
      </c>
      <c r="I2572" t="str">
        <f t="shared" si="1048"/>
        <v>JACKSONVILLE</v>
      </c>
      <c r="J2572" t="str">
        <f t="shared" si="1049"/>
        <v>FL</v>
      </c>
      <c r="K2572" t="str">
        <f t="shared" si="1044"/>
        <v>000000000000000000</v>
      </c>
      <c r="L2572" t="str">
        <f>T("9047902805")</f>
        <v>9047902805</v>
      </c>
    </row>
    <row r="2573" spans="1:12" x14ac:dyDescent="0.35">
      <c r="A2573" t="str">
        <f t="shared" si="1045"/>
        <v>FRC SE - JACKSONVILLE, FL</v>
      </c>
      <c r="B2573" t="str">
        <f t="shared" si="1050"/>
        <v>101 WASP ST</v>
      </c>
      <c r="C2573" t="str">
        <f t="shared" si="1039"/>
        <v>ATTN VAUGHN NEUROH CODE 611</v>
      </c>
      <c r="D2573" t="str">
        <f t="shared" si="1046"/>
        <v>JACKSONVILLE</v>
      </c>
      <c r="E2573" t="str">
        <f t="shared" si="1047"/>
        <v>FL</v>
      </c>
      <c r="F2573" t="str">
        <f t="shared" si="1041"/>
        <v>322120016</v>
      </c>
      <c r="G2573" t="str">
        <f t="shared" si="1040"/>
        <v>101 WASP ST</v>
      </c>
      <c r="H2573" t="str">
        <f t="shared" si="1042"/>
        <v>ATTN VAUGHN NEUROH CODE 611</v>
      </c>
      <c r="I2573" t="str">
        <f t="shared" si="1048"/>
        <v>JACKSONVILLE</v>
      </c>
      <c r="J2573" t="str">
        <f t="shared" si="1049"/>
        <v>FL</v>
      </c>
      <c r="K2573" t="str">
        <f t="shared" si="1044"/>
        <v>000000000000000000</v>
      </c>
      <c r="L2573" t="str">
        <f>T("9047904329")</f>
        <v>9047904329</v>
      </c>
    </row>
    <row r="2574" spans="1:12" x14ac:dyDescent="0.35">
      <c r="A2574" t="str">
        <f t="shared" si="1045"/>
        <v>FRC SE - JACKSONVILLE, FL</v>
      </c>
      <c r="B2574" t="str">
        <f t="shared" si="1050"/>
        <v>101 WASP ST</v>
      </c>
      <c r="C2574" t="str">
        <f t="shared" si="1039"/>
        <v>ATTN VAUGHN NEUROH CODE 611</v>
      </c>
      <c r="D2574" t="str">
        <f t="shared" si="1046"/>
        <v>JACKSONVILLE</v>
      </c>
      <c r="E2574" t="str">
        <f t="shared" si="1047"/>
        <v>FL</v>
      </c>
      <c r="F2574" t="str">
        <f t="shared" si="1041"/>
        <v>322120016</v>
      </c>
      <c r="G2574" t="str">
        <f t="shared" si="1040"/>
        <v>101 WASP ST</v>
      </c>
      <c r="H2574" t="str">
        <f t="shared" si="1042"/>
        <v>ATTN VAUGHN NEUROH CODE 611</v>
      </c>
      <c r="I2574" t="str">
        <f t="shared" si="1048"/>
        <v>JACKSONVILLE</v>
      </c>
      <c r="J2574" t="str">
        <f t="shared" si="1049"/>
        <v>FL</v>
      </c>
      <c r="K2574" t="str">
        <f t="shared" si="1044"/>
        <v>000000000000000000</v>
      </c>
      <c r="L2574" t="str">
        <f>T("9047904335")</f>
        <v>9047904335</v>
      </c>
    </row>
    <row r="2575" spans="1:12" x14ac:dyDescent="0.35">
      <c r="A2575" t="str">
        <f t="shared" si="1045"/>
        <v>FRC SE - JACKSONVILLE, FL</v>
      </c>
      <c r="B2575" t="str">
        <f t="shared" si="1050"/>
        <v>101 WASP ST</v>
      </c>
      <c r="C2575" t="str">
        <f t="shared" si="1039"/>
        <v>ATTN VAUGHN NEUROH CODE 611</v>
      </c>
      <c r="D2575" t="str">
        <f t="shared" si="1046"/>
        <v>JACKSONVILLE</v>
      </c>
      <c r="E2575" t="str">
        <f t="shared" si="1047"/>
        <v>FL</v>
      </c>
      <c r="F2575" t="str">
        <f t="shared" si="1041"/>
        <v>322120016</v>
      </c>
      <c r="G2575" t="str">
        <f t="shared" si="1040"/>
        <v>101 WASP ST</v>
      </c>
      <c r="H2575" t="str">
        <f t="shared" si="1042"/>
        <v>ATTN VAUGHN NEUROH CODE 611</v>
      </c>
      <c r="I2575" t="str">
        <f t="shared" si="1048"/>
        <v>JACKSONVILLE</v>
      </c>
      <c r="J2575" t="str">
        <f t="shared" si="1049"/>
        <v>FL</v>
      </c>
      <c r="K2575" t="str">
        <f t="shared" si="1044"/>
        <v>000000000000000000</v>
      </c>
      <c r="L2575" t="str">
        <f>T("9047904498")</f>
        <v>9047904498</v>
      </c>
    </row>
    <row r="2576" spans="1:12" x14ac:dyDescent="0.35">
      <c r="A2576" t="str">
        <f t="shared" si="1045"/>
        <v>FRC SE - JACKSONVILLE, FL</v>
      </c>
      <c r="B2576" t="str">
        <f t="shared" si="1050"/>
        <v>101 WASP ST</v>
      </c>
      <c r="C2576" t="str">
        <f t="shared" ref="C2576:C2609" si="1051">T("ATTN VAUGHN NEUROH CODE 611")</f>
        <v>ATTN VAUGHN NEUROH CODE 611</v>
      </c>
      <c r="D2576" t="str">
        <f t="shared" si="1046"/>
        <v>JACKSONVILLE</v>
      </c>
      <c r="E2576" t="str">
        <f t="shared" si="1047"/>
        <v>FL</v>
      </c>
      <c r="F2576" t="str">
        <f t="shared" si="1041"/>
        <v>322120016</v>
      </c>
      <c r="G2576" t="str">
        <f t="shared" ref="G2576:G2596" si="1052">T("101 WASP ST")</f>
        <v>101 WASP ST</v>
      </c>
      <c r="H2576" t="str">
        <f t="shared" si="1042"/>
        <v>ATTN VAUGHN NEUROH CODE 611</v>
      </c>
      <c r="I2576" t="str">
        <f t="shared" si="1048"/>
        <v>JACKSONVILLE</v>
      </c>
      <c r="J2576" t="str">
        <f t="shared" si="1049"/>
        <v>FL</v>
      </c>
      <c r="K2576" t="str">
        <f t="shared" si="1044"/>
        <v>000000000000000000</v>
      </c>
      <c r="L2576" t="str">
        <f>T("9047904560")</f>
        <v>9047904560</v>
      </c>
    </row>
    <row r="2577" spans="1:12" x14ac:dyDescent="0.35">
      <c r="A2577" t="str">
        <f t="shared" si="1045"/>
        <v>FRC SE - JACKSONVILLE, FL</v>
      </c>
      <c r="B2577" t="str">
        <f t="shared" si="1050"/>
        <v>101 WASP ST</v>
      </c>
      <c r="C2577" t="str">
        <f t="shared" si="1051"/>
        <v>ATTN VAUGHN NEUROH CODE 611</v>
      </c>
      <c r="D2577" t="str">
        <f t="shared" si="1046"/>
        <v>JACKSONVILLE</v>
      </c>
      <c r="E2577" t="str">
        <f t="shared" si="1047"/>
        <v>FL</v>
      </c>
      <c r="F2577" t="str">
        <f t="shared" si="1041"/>
        <v>322120016</v>
      </c>
      <c r="G2577" t="str">
        <f t="shared" si="1052"/>
        <v>101 WASP ST</v>
      </c>
      <c r="H2577" t="str">
        <f t="shared" si="1042"/>
        <v>ATTN VAUGHN NEUROH CODE 611</v>
      </c>
      <c r="I2577" t="str">
        <f t="shared" si="1048"/>
        <v>JACKSONVILLE</v>
      </c>
      <c r="J2577" t="str">
        <f t="shared" si="1049"/>
        <v>FL</v>
      </c>
      <c r="K2577" t="str">
        <f t="shared" si="1044"/>
        <v>000000000000000000</v>
      </c>
      <c r="L2577" t="str">
        <f>T("9047904873")</f>
        <v>9047904873</v>
      </c>
    </row>
    <row r="2578" spans="1:12" x14ac:dyDescent="0.35">
      <c r="A2578" t="str">
        <f t="shared" si="1045"/>
        <v>FRC SE - JACKSONVILLE, FL</v>
      </c>
      <c r="B2578" t="str">
        <f t="shared" si="1050"/>
        <v>101 WASP ST</v>
      </c>
      <c r="C2578" t="str">
        <f t="shared" si="1051"/>
        <v>ATTN VAUGHN NEUROH CODE 611</v>
      </c>
      <c r="D2578" t="str">
        <f t="shared" si="1046"/>
        <v>JACKSONVILLE</v>
      </c>
      <c r="E2578" t="str">
        <f t="shared" si="1047"/>
        <v>FL</v>
      </c>
      <c r="F2578" t="str">
        <f t="shared" ref="F2578:F2613" si="1053">T("322120016")</f>
        <v>322120016</v>
      </c>
      <c r="G2578" t="str">
        <f t="shared" si="1052"/>
        <v>101 WASP ST</v>
      </c>
      <c r="H2578" t="str">
        <f t="shared" si="1042"/>
        <v>ATTN VAUGHN NEUROH CODE 611</v>
      </c>
      <c r="I2578" t="str">
        <f t="shared" si="1048"/>
        <v>JACKSONVILLE</v>
      </c>
      <c r="J2578" t="str">
        <f t="shared" si="1049"/>
        <v>FL</v>
      </c>
      <c r="K2578" t="str">
        <f t="shared" si="1044"/>
        <v>000000000000000000</v>
      </c>
      <c r="L2578" t="str">
        <f>T("9047904928")</f>
        <v>9047904928</v>
      </c>
    </row>
    <row r="2579" spans="1:12" x14ac:dyDescent="0.35">
      <c r="A2579" t="str">
        <f t="shared" si="1045"/>
        <v>FRC SE - JACKSONVILLE, FL</v>
      </c>
      <c r="B2579" t="str">
        <f t="shared" si="1050"/>
        <v>101 WASP ST</v>
      </c>
      <c r="C2579" t="str">
        <f t="shared" si="1051"/>
        <v>ATTN VAUGHN NEUROH CODE 611</v>
      </c>
      <c r="D2579" t="str">
        <f t="shared" si="1046"/>
        <v>JACKSONVILLE</v>
      </c>
      <c r="E2579" t="str">
        <f t="shared" si="1047"/>
        <v>FL</v>
      </c>
      <c r="F2579" t="str">
        <f t="shared" si="1053"/>
        <v>322120016</v>
      </c>
      <c r="G2579" t="str">
        <f t="shared" si="1052"/>
        <v>101 WASP ST</v>
      </c>
      <c r="H2579" t="str">
        <f t="shared" si="1042"/>
        <v>ATTN VAUGHN NEUROH CODE 611</v>
      </c>
      <c r="I2579" t="str">
        <f t="shared" si="1048"/>
        <v>JACKSONVILLE</v>
      </c>
      <c r="J2579" t="str">
        <f t="shared" si="1049"/>
        <v>FL</v>
      </c>
      <c r="K2579" t="str">
        <f t="shared" si="1044"/>
        <v>000000000000000000</v>
      </c>
      <c r="L2579" t="str">
        <f>T("9047905026")</f>
        <v>9047905026</v>
      </c>
    </row>
    <row r="2580" spans="1:12" x14ac:dyDescent="0.35">
      <c r="A2580" t="str">
        <f t="shared" si="1045"/>
        <v>FRC SE - JACKSONVILLE, FL</v>
      </c>
      <c r="B2580" t="str">
        <f t="shared" si="1050"/>
        <v>101 WASP ST</v>
      </c>
      <c r="C2580" t="str">
        <f t="shared" si="1051"/>
        <v>ATTN VAUGHN NEUROH CODE 611</v>
      </c>
      <c r="D2580" t="str">
        <f t="shared" si="1046"/>
        <v>JACKSONVILLE</v>
      </c>
      <c r="E2580" t="str">
        <f t="shared" si="1047"/>
        <v>FL</v>
      </c>
      <c r="F2580" t="str">
        <f t="shared" si="1053"/>
        <v>322120016</v>
      </c>
      <c r="G2580" t="str">
        <f t="shared" si="1052"/>
        <v>101 WASP ST</v>
      </c>
      <c r="H2580" t="str">
        <f t="shared" si="1042"/>
        <v>ATTN VAUGHN NEUROH CODE 611</v>
      </c>
      <c r="I2580" t="str">
        <f t="shared" si="1048"/>
        <v>JACKSONVILLE</v>
      </c>
      <c r="J2580" t="str">
        <f t="shared" si="1049"/>
        <v>FL</v>
      </c>
      <c r="K2580" t="str">
        <f t="shared" si="1044"/>
        <v>000000000000000000</v>
      </c>
      <c r="L2580" t="str">
        <f>T("9047905117")</f>
        <v>9047905117</v>
      </c>
    </row>
    <row r="2581" spans="1:12" x14ac:dyDescent="0.35">
      <c r="A2581" t="str">
        <f t="shared" si="1045"/>
        <v>FRC SE - JACKSONVILLE, FL</v>
      </c>
      <c r="B2581" t="str">
        <f t="shared" si="1050"/>
        <v>101 WASP ST</v>
      </c>
      <c r="C2581" t="str">
        <f t="shared" si="1051"/>
        <v>ATTN VAUGHN NEUROH CODE 611</v>
      </c>
      <c r="D2581" t="str">
        <f t="shared" si="1046"/>
        <v>JACKSONVILLE</v>
      </c>
      <c r="E2581" t="str">
        <f t="shared" si="1047"/>
        <v>FL</v>
      </c>
      <c r="F2581" t="str">
        <f t="shared" si="1053"/>
        <v>322120016</v>
      </c>
      <c r="G2581" t="str">
        <f t="shared" si="1052"/>
        <v>101 WASP ST</v>
      </c>
      <c r="H2581" t="str">
        <f t="shared" si="1042"/>
        <v>ATTN VAUGHN NEUROH CODE 611</v>
      </c>
      <c r="I2581" t="str">
        <f t="shared" si="1048"/>
        <v>JACKSONVILLE</v>
      </c>
      <c r="J2581" t="str">
        <f t="shared" si="1049"/>
        <v>FL</v>
      </c>
      <c r="K2581" t="str">
        <f t="shared" si="1044"/>
        <v>000000000000000000</v>
      </c>
      <c r="L2581" t="str">
        <f>T("9047905400")</f>
        <v>9047905400</v>
      </c>
    </row>
    <row r="2582" spans="1:12" x14ac:dyDescent="0.35">
      <c r="A2582" t="str">
        <f t="shared" si="1045"/>
        <v>FRC SE - JACKSONVILLE, FL</v>
      </c>
      <c r="B2582" t="str">
        <f t="shared" si="1050"/>
        <v>101 WASP ST</v>
      </c>
      <c r="C2582" t="str">
        <f t="shared" si="1051"/>
        <v>ATTN VAUGHN NEUROH CODE 611</v>
      </c>
      <c r="D2582" t="str">
        <f t="shared" si="1046"/>
        <v>JACKSONVILLE</v>
      </c>
      <c r="E2582" t="str">
        <f t="shared" si="1047"/>
        <v>FL</v>
      </c>
      <c r="F2582" t="str">
        <f t="shared" si="1053"/>
        <v>322120016</v>
      </c>
      <c r="G2582" t="str">
        <f t="shared" si="1052"/>
        <v>101 WASP ST</v>
      </c>
      <c r="H2582" t="str">
        <f t="shared" si="1042"/>
        <v>ATTN VAUGHN NEUROH CODE 611</v>
      </c>
      <c r="I2582" t="str">
        <f t="shared" si="1048"/>
        <v>JACKSONVILLE</v>
      </c>
      <c r="J2582" t="str">
        <f t="shared" si="1049"/>
        <v>FL</v>
      </c>
      <c r="K2582" t="str">
        <f t="shared" si="1044"/>
        <v>000000000000000000</v>
      </c>
      <c r="L2582" t="str">
        <f>T("9047905401")</f>
        <v>9047905401</v>
      </c>
    </row>
    <row r="2583" spans="1:12" x14ac:dyDescent="0.35">
      <c r="A2583" t="str">
        <f t="shared" si="1045"/>
        <v>FRC SE - JACKSONVILLE, FL</v>
      </c>
      <c r="B2583" t="str">
        <f t="shared" si="1050"/>
        <v>101 WASP ST</v>
      </c>
      <c r="C2583" t="str">
        <f t="shared" si="1051"/>
        <v>ATTN VAUGHN NEUROH CODE 611</v>
      </c>
      <c r="D2583" t="str">
        <f t="shared" si="1046"/>
        <v>JACKSONVILLE</v>
      </c>
      <c r="E2583" t="str">
        <f t="shared" si="1047"/>
        <v>FL</v>
      </c>
      <c r="F2583" t="str">
        <f t="shared" si="1053"/>
        <v>322120016</v>
      </c>
      <c r="G2583" t="str">
        <f t="shared" si="1052"/>
        <v>101 WASP ST</v>
      </c>
      <c r="H2583" t="str">
        <f t="shared" si="1042"/>
        <v>ATTN VAUGHN NEUROH CODE 611</v>
      </c>
      <c r="I2583" t="str">
        <f t="shared" si="1048"/>
        <v>JACKSONVILLE</v>
      </c>
      <c r="J2583" t="str">
        <f t="shared" si="1049"/>
        <v>FL</v>
      </c>
      <c r="K2583" t="str">
        <f t="shared" si="1044"/>
        <v>000000000000000000</v>
      </c>
      <c r="L2583" t="str">
        <f>T("9047905405")</f>
        <v>9047905405</v>
      </c>
    </row>
    <row r="2584" spans="1:12" x14ac:dyDescent="0.35">
      <c r="A2584" t="str">
        <f t="shared" si="1045"/>
        <v>FRC SE - JACKSONVILLE, FL</v>
      </c>
      <c r="B2584" t="str">
        <f t="shared" si="1050"/>
        <v>101 WASP ST</v>
      </c>
      <c r="C2584" t="str">
        <f t="shared" si="1051"/>
        <v>ATTN VAUGHN NEUROH CODE 611</v>
      </c>
      <c r="D2584" t="str">
        <f t="shared" si="1046"/>
        <v>JACKSONVILLE</v>
      </c>
      <c r="E2584" t="str">
        <f t="shared" si="1047"/>
        <v>FL</v>
      </c>
      <c r="F2584" t="str">
        <f t="shared" si="1053"/>
        <v>322120016</v>
      </c>
      <c r="G2584" t="str">
        <f t="shared" si="1052"/>
        <v>101 WASP ST</v>
      </c>
      <c r="H2584" t="str">
        <f t="shared" si="1042"/>
        <v>ATTN VAUGHN NEUROH CODE 611</v>
      </c>
      <c r="I2584" t="str">
        <f t="shared" si="1048"/>
        <v>JACKSONVILLE</v>
      </c>
      <c r="J2584" t="str">
        <f t="shared" si="1049"/>
        <v>FL</v>
      </c>
      <c r="K2584" t="str">
        <f t="shared" si="1044"/>
        <v>000000000000000000</v>
      </c>
      <c r="L2584" t="str">
        <f>T("9047905410")</f>
        <v>9047905410</v>
      </c>
    </row>
    <row r="2585" spans="1:12" x14ac:dyDescent="0.35">
      <c r="A2585" t="str">
        <f t="shared" si="1045"/>
        <v>FRC SE - JACKSONVILLE, FL</v>
      </c>
      <c r="B2585" t="str">
        <f t="shared" si="1050"/>
        <v>101 WASP ST</v>
      </c>
      <c r="C2585" t="str">
        <f t="shared" si="1051"/>
        <v>ATTN VAUGHN NEUROH CODE 611</v>
      </c>
      <c r="D2585" t="str">
        <f t="shared" si="1046"/>
        <v>JACKSONVILLE</v>
      </c>
      <c r="E2585" t="str">
        <f t="shared" si="1047"/>
        <v>FL</v>
      </c>
      <c r="F2585" t="str">
        <f t="shared" si="1053"/>
        <v>322120016</v>
      </c>
      <c r="G2585" t="str">
        <f t="shared" si="1052"/>
        <v>101 WASP ST</v>
      </c>
      <c r="H2585" t="str">
        <f t="shared" si="1042"/>
        <v>ATTN VAUGHN NEUROH CODE 611</v>
      </c>
      <c r="I2585" t="str">
        <f t="shared" si="1048"/>
        <v>JACKSONVILLE</v>
      </c>
      <c r="J2585" t="str">
        <f t="shared" si="1049"/>
        <v>FL</v>
      </c>
      <c r="K2585" t="str">
        <f t="shared" si="1044"/>
        <v>000000000000000000</v>
      </c>
      <c r="L2585" t="str">
        <f>T("9047905413")</f>
        <v>9047905413</v>
      </c>
    </row>
    <row r="2586" spans="1:12" x14ac:dyDescent="0.35">
      <c r="A2586" t="str">
        <f t="shared" si="1045"/>
        <v>FRC SE - JACKSONVILLE, FL</v>
      </c>
      <c r="B2586" t="str">
        <f t="shared" si="1050"/>
        <v>101 WASP ST</v>
      </c>
      <c r="C2586" t="str">
        <f t="shared" si="1051"/>
        <v>ATTN VAUGHN NEUROH CODE 611</v>
      </c>
      <c r="D2586" t="str">
        <f t="shared" si="1046"/>
        <v>JACKSONVILLE</v>
      </c>
      <c r="E2586" t="str">
        <f t="shared" si="1047"/>
        <v>FL</v>
      </c>
      <c r="F2586" t="str">
        <f t="shared" si="1053"/>
        <v>322120016</v>
      </c>
      <c r="G2586" t="str">
        <f t="shared" si="1052"/>
        <v>101 WASP ST</v>
      </c>
      <c r="H2586" t="str">
        <f t="shared" si="1042"/>
        <v>ATTN VAUGHN NEUROH CODE 611</v>
      </c>
      <c r="I2586" t="str">
        <f t="shared" si="1048"/>
        <v>JACKSONVILLE</v>
      </c>
      <c r="J2586" t="str">
        <f t="shared" si="1049"/>
        <v>FL</v>
      </c>
      <c r="K2586" t="str">
        <f t="shared" si="1044"/>
        <v>000000000000000000</v>
      </c>
      <c r="L2586" t="str">
        <f>T("9047905689")</f>
        <v>9047905689</v>
      </c>
    </row>
    <row r="2587" spans="1:12" x14ac:dyDescent="0.35">
      <c r="A2587" t="str">
        <f t="shared" si="1045"/>
        <v>FRC SE - JACKSONVILLE, FL</v>
      </c>
      <c r="B2587" t="str">
        <f t="shared" si="1050"/>
        <v>101 WASP ST</v>
      </c>
      <c r="C2587" t="str">
        <f t="shared" si="1051"/>
        <v>ATTN VAUGHN NEUROH CODE 611</v>
      </c>
      <c r="D2587" t="str">
        <f t="shared" si="1046"/>
        <v>JACKSONVILLE</v>
      </c>
      <c r="E2587" t="str">
        <f t="shared" si="1047"/>
        <v>FL</v>
      </c>
      <c r="F2587" t="str">
        <f t="shared" si="1053"/>
        <v>322120016</v>
      </c>
      <c r="G2587" t="str">
        <f t="shared" si="1052"/>
        <v>101 WASP ST</v>
      </c>
      <c r="H2587" t="str">
        <f t="shared" si="1042"/>
        <v>ATTN VAUGHN NEUROH CODE 611</v>
      </c>
      <c r="I2587" t="str">
        <f t="shared" si="1048"/>
        <v>JACKSONVILLE</v>
      </c>
      <c r="J2587" t="str">
        <f t="shared" si="1049"/>
        <v>FL</v>
      </c>
      <c r="K2587" t="str">
        <f t="shared" si="1044"/>
        <v>000000000000000000</v>
      </c>
      <c r="L2587" t="str">
        <f>T("9047905725")</f>
        <v>9047905725</v>
      </c>
    </row>
    <row r="2588" spans="1:12" x14ac:dyDescent="0.35">
      <c r="A2588" t="str">
        <f t="shared" si="1045"/>
        <v>FRC SE - JACKSONVILLE, FL</v>
      </c>
      <c r="B2588" t="str">
        <f t="shared" si="1050"/>
        <v>101 WASP ST</v>
      </c>
      <c r="C2588" t="str">
        <f t="shared" si="1051"/>
        <v>ATTN VAUGHN NEUROH CODE 611</v>
      </c>
      <c r="D2588" t="str">
        <f t="shared" si="1046"/>
        <v>JACKSONVILLE</v>
      </c>
      <c r="E2588" t="str">
        <f t="shared" si="1047"/>
        <v>FL</v>
      </c>
      <c r="F2588" t="str">
        <f t="shared" si="1053"/>
        <v>322120016</v>
      </c>
      <c r="G2588" t="str">
        <f t="shared" si="1052"/>
        <v>101 WASP ST</v>
      </c>
      <c r="H2588" t="str">
        <f t="shared" si="1042"/>
        <v>ATTN VAUGHN NEUROH CODE 611</v>
      </c>
      <c r="I2588" t="str">
        <f t="shared" si="1048"/>
        <v>JACKSONVILLE</v>
      </c>
      <c r="J2588" t="str">
        <f t="shared" si="1049"/>
        <v>FL</v>
      </c>
      <c r="K2588" t="str">
        <f t="shared" si="1044"/>
        <v>000000000000000000</v>
      </c>
      <c r="L2588" t="str">
        <f>T("9047905872")</f>
        <v>9047905872</v>
      </c>
    </row>
    <row r="2589" spans="1:12" x14ac:dyDescent="0.35">
      <c r="A2589" t="str">
        <f t="shared" si="1045"/>
        <v>FRC SE - JACKSONVILLE, FL</v>
      </c>
      <c r="B2589" t="str">
        <f t="shared" si="1050"/>
        <v>101 WASP ST</v>
      </c>
      <c r="C2589" t="str">
        <f t="shared" si="1051"/>
        <v>ATTN VAUGHN NEUROH CODE 611</v>
      </c>
      <c r="D2589" t="str">
        <f t="shared" si="1046"/>
        <v>JACKSONVILLE</v>
      </c>
      <c r="E2589" t="str">
        <f t="shared" si="1047"/>
        <v>FL</v>
      </c>
      <c r="F2589" t="str">
        <f t="shared" si="1053"/>
        <v>322120016</v>
      </c>
      <c r="G2589" t="str">
        <f t="shared" si="1052"/>
        <v>101 WASP ST</v>
      </c>
      <c r="H2589" t="str">
        <f t="shared" si="1042"/>
        <v>ATTN VAUGHN NEUROH CODE 611</v>
      </c>
      <c r="I2589" t="str">
        <f t="shared" si="1048"/>
        <v>JACKSONVILLE</v>
      </c>
      <c r="J2589" t="str">
        <f t="shared" si="1049"/>
        <v>FL</v>
      </c>
      <c r="K2589" t="str">
        <f t="shared" si="1044"/>
        <v>000000000000000000</v>
      </c>
      <c r="L2589" t="str">
        <f>T("9047905996")</f>
        <v>9047905996</v>
      </c>
    </row>
    <row r="2590" spans="1:12" x14ac:dyDescent="0.35">
      <c r="A2590" t="str">
        <f t="shared" si="1045"/>
        <v>FRC SE - JACKSONVILLE, FL</v>
      </c>
      <c r="B2590" t="str">
        <f t="shared" si="1050"/>
        <v>101 WASP ST</v>
      </c>
      <c r="C2590" t="str">
        <f t="shared" si="1051"/>
        <v>ATTN VAUGHN NEUROH CODE 611</v>
      </c>
      <c r="D2590" t="str">
        <f t="shared" si="1046"/>
        <v>JACKSONVILLE</v>
      </c>
      <c r="E2590" t="str">
        <f t="shared" si="1047"/>
        <v>FL</v>
      </c>
      <c r="F2590" t="str">
        <f t="shared" si="1053"/>
        <v>322120016</v>
      </c>
      <c r="G2590" t="str">
        <f t="shared" si="1052"/>
        <v>101 WASP ST</v>
      </c>
      <c r="H2590" t="str">
        <f t="shared" si="1042"/>
        <v>ATTN VAUGHN NEUROH CODE 611</v>
      </c>
      <c r="I2590" t="str">
        <f t="shared" si="1048"/>
        <v>JACKSONVILLE</v>
      </c>
      <c r="J2590" t="str">
        <f t="shared" si="1049"/>
        <v>FL</v>
      </c>
      <c r="K2590" t="str">
        <f t="shared" si="1044"/>
        <v>000000000000000000</v>
      </c>
      <c r="L2590" t="str">
        <f>T("9047906126")</f>
        <v>9047906126</v>
      </c>
    </row>
    <row r="2591" spans="1:12" x14ac:dyDescent="0.35">
      <c r="A2591" t="str">
        <f t="shared" si="1045"/>
        <v>FRC SE - JACKSONVILLE, FL</v>
      </c>
      <c r="B2591" t="str">
        <f t="shared" si="1050"/>
        <v>101 WASP ST</v>
      </c>
      <c r="C2591" t="str">
        <f t="shared" si="1051"/>
        <v>ATTN VAUGHN NEUROH CODE 611</v>
      </c>
      <c r="D2591" t="str">
        <f t="shared" si="1046"/>
        <v>JACKSONVILLE</v>
      </c>
      <c r="E2591" t="str">
        <f t="shared" si="1047"/>
        <v>FL</v>
      </c>
      <c r="F2591" t="str">
        <f t="shared" si="1053"/>
        <v>322120016</v>
      </c>
      <c r="G2591" t="str">
        <f t="shared" si="1052"/>
        <v>101 WASP ST</v>
      </c>
      <c r="H2591" t="str">
        <f t="shared" si="1042"/>
        <v>ATTN VAUGHN NEUROH CODE 611</v>
      </c>
      <c r="I2591" t="str">
        <f t="shared" si="1048"/>
        <v>JACKSONVILLE</v>
      </c>
      <c r="J2591" t="str">
        <f t="shared" si="1049"/>
        <v>FL</v>
      </c>
      <c r="K2591" t="str">
        <f t="shared" si="1044"/>
        <v>000000000000000000</v>
      </c>
      <c r="L2591" t="str">
        <f>T("9047906501")</f>
        <v>9047906501</v>
      </c>
    </row>
    <row r="2592" spans="1:12" x14ac:dyDescent="0.35">
      <c r="A2592" t="str">
        <f t="shared" si="1045"/>
        <v>FRC SE - JACKSONVILLE, FL</v>
      </c>
      <c r="B2592" t="str">
        <f t="shared" si="1050"/>
        <v>101 WASP ST</v>
      </c>
      <c r="C2592" t="str">
        <f t="shared" si="1051"/>
        <v>ATTN VAUGHN NEUROH CODE 611</v>
      </c>
      <c r="D2592" t="str">
        <f t="shared" si="1046"/>
        <v>JACKSONVILLE</v>
      </c>
      <c r="E2592" t="str">
        <f t="shared" si="1047"/>
        <v>FL</v>
      </c>
      <c r="F2592" t="str">
        <f t="shared" si="1053"/>
        <v>322120016</v>
      </c>
      <c r="G2592" t="str">
        <f t="shared" si="1052"/>
        <v>101 WASP ST</v>
      </c>
      <c r="H2592" t="str">
        <f t="shared" si="1042"/>
        <v>ATTN VAUGHN NEUROH CODE 611</v>
      </c>
      <c r="I2592" t="str">
        <f t="shared" si="1048"/>
        <v>JACKSONVILLE</v>
      </c>
      <c r="J2592" t="str">
        <f t="shared" si="1049"/>
        <v>FL</v>
      </c>
      <c r="K2592" t="str">
        <f t="shared" si="1044"/>
        <v>000000000000000000</v>
      </c>
      <c r="L2592" t="str">
        <f>T("9047906701")</f>
        <v>9047906701</v>
      </c>
    </row>
    <row r="2593" spans="1:12" x14ac:dyDescent="0.35">
      <c r="A2593" t="str">
        <f t="shared" si="1045"/>
        <v>FRC SE - JACKSONVILLE, FL</v>
      </c>
      <c r="B2593" t="str">
        <f t="shared" si="1050"/>
        <v>101 WASP ST</v>
      </c>
      <c r="C2593" t="str">
        <f t="shared" si="1051"/>
        <v>ATTN VAUGHN NEUROH CODE 611</v>
      </c>
      <c r="D2593" t="str">
        <f t="shared" si="1046"/>
        <v>JACKSONVILLE</v>
      </c>
      <c r="E2593" t="str">
        <f t="shared" si="1047"/>
        <v>FL</v>
      </c>
      <c r="F2593" t="str">
        <f t="shared" si="1053"/>
        <v>322120016</v>
      </c>
      <c r="G2593" t="str">
        <f t="shared" si="1052"/>
        <v>101 WASP ST</v>
      </c>
      <c r="H2593" t="str">
        <f t="shared" si="1042"/>
        <v>ATTN VAUGHN NEUROH CODE 611</v>
      </c>
      <c r="I2593" t="str">
        <f t="shared" si="1048"/>
        <v>JACKSONVILLE</v>
      </c>
      <c r="J2593" t="str">
        <f t="shared" si="1049"/>
        <v>FL</v>
      </c>
      <c r="K2593" t="str">
        <f t="shared" si="1044"/>
        <v>000000000000000000</v>
      </c>
      <c r="L2593" t="str">
        <f>T("9047906979")</f>
        <v>9047906979</v>
      </c>
    </row>
    <row r="2594" spans="1:12" x14ac:dyDescent="0.35">
      <c r="A2594" t="str">
        <f t="shared" si="1045"/>
        <v>FRC SE - JACKSONVILLE, FL</v>
      </c>
      <c r="B2594" t="str">
        <f t="shared" si="1050"/>
        <v>101 WASP ST</v>
      </c>
      <c r="C2594" t="str">
        <f t="shared" si="1051"/>
        <v>ATTN VAUGHN NEUROH CODE 611</v>
      </c>
      <c r="D2594" t="str">
        <f t="shared" si="1046"/>
        <v>JACKSONVILLE</v>
      </c>
      <c r="E2594" t="str">
        <f t="shared" si="1047"/>
        <v>FL</v>
      </c>
      <c r="F2594" t="str">
        <f t="shared" si="1053"/>
        <v>322120016</v>
      </c>
      <c r="G2594" t="str">
        <f t="shared" si="1052"/>
        <v>101 WASP ST</v>
      </c>
      <c r="H2594" t="str">
        <f>T("ATTN VAUGHN NEUROH CODE 613")</f>
        <v>ATTN VAUGHN NEUROH CODE 613</v>
      </c>
      <c r="I2594" t="str">
        <f t="shared" si="1048"/>
        <v>JACKSONVILLE</v>
      </c>
      <c r="J2594" t="str">
        <f t="shared" si="1049"/>
        <v>FL</v>
      </c>
      <c r="K2594" t="str">
        <f t="shared" si="1044"/>
        <v>000000000000000000</v>
      </c>
      <c r="L2594" t="str">
        <f>T("9047904134")</f>
        <v>9047904134</v>
      </c>
    </row>
    <row r="2595" spans="1:12" x14ac:dyDescent="0.35">
      <c r="A2595" t="str">
        <f t="shared" si="1045"/>
        <v>FRC SE - JACKSONVILLE, FL</v>
      </c>
      <c r="B2595" t="str">
        <f t="shared" si="1050"/>
        <v>101 WASP ST</v>
      </c>
      <c r="C2595" t="str">
        <f t="shared" si="1051"/>
        <v>ATTN VAUGHN NEUROH CODE 611</v>
      </c>
      <c r="D2595" t="str">
        <f t="shared" si="1046"/>
        <v>JACKSONVILLE</v>
      </c>
      <c r="E2595" t="str">
        <f t="shared" si="1047"/>
        <v>FL</v>
      </c>
      <c r="F2595" t="str">
        <f t="shared" si="1053"/>
        <v>322120016</v>
      </c>
      <c r="G2595" t="str">
        <f t="shared" si="1052"/>
        <v>101 WASP ST</v>
      </c>
      <c r="H2595" t="str">
        <f>T("ATTN VAUGHN NEUROH CODE 613")</f>
        <v>ATTN VAUGHN NEUROH CODE 613</v>
      </c>
      <c r="I2595" t="str">
        <f t="shared" si="1048"/>
        <v>JACKSONVILLE</v>
      </c>
      <c r="J2595" t="str">
        <f t="shared" si="1049"/>
        <v>FL</v>
      </c>
      <c r="K2595" t="str">
        <f t="shared" si="1044"/>
        <v>000000000000000000</v>
      </c>
      <c r="L2595" t="str">
        <f>T("9047904952")</f>
        <v>9047904952</v>
      </c>
    </row>
    <row r="2596" spans="1:12" x14ac:dyDescent="0.35">
      <c r="A2596" t="str">
        <f t="shared" si="1045"/>
        <v>FRC SE - JACKSONVILLE, FL</v>
      </c>
      <c r="B2596" t="str">
        <f t="shared" si="1050"/>
        <v>101 WASP ST</v>
      </c>
      <c r="C2596" t="str">
        <f t="shared" si="1051"/>
        <v>ATTN VAUGHN NEUROH CODE 611</v>
      </c>
      <c r="D2596" t="str">
        <f t="shared" si="1046"/>
        <v>JACKSONVILLE</v>
      </c>
      <c r="E2596" t="str">
        <f t="shared" si="1047"/>
        <v>FL</v>
      </c>
      <c r="F2596" t="str">
        <f t="shared" si="1053"/>
        <v>322120016</v>
      </c>
      <c r="G2596" t="str">
        <f t="shared" si="1052"/>
        <v>101 WASP ST</v>
      </c>
      <c r="H2596" t="str">
        <f>T("ATTN VAUGHN NEUROH CODE 613")</f>
        <v>ATTN VAUGHN NEUROH CODE 613</v>
      </c>
      <c r="I2596" t="str">
        <f t="shared" si="1048"/>
        <v>JACKSONVILLE</v>
      </c>
      <c r="J2596" t="str">
        <f t="shared" si="1049"/>
        <v>FL</v>
      </c>
      <c r="K2596" t="str">
        <f t="shared" si="1044"/>
        <v>000000000000000000</v>
      </c>
      <c r="L2596" t="str">
        <f>T("9047906506")</f>
        <v>9047906506</v>
      </c>
    </row>
    <row r="2597" spans="1:12" x14ac:dyDescent="0.35">
      <c r="A2597" t="str">
        <f t="shared" ref="A2597:A2613" si="1054">T("FRC SE - JACKSONVILLE, FL")</f>
        <v>FRC SE - JACKSONVILLE, FL</v>
      </c>
      <c r="B2597" t="str">
        <f t="shared" si="1050"/>
        <v>101 WASP ST</v>
      </c>
      <c r="C2597" t="str">
        <f t="shared" si="1051"/>
        <v>ATTN VAUGHN NEUROH CODE 611</v>
      </c>
      <c r="D2597" t="str">
        <f t="shared" ref="D2597:D2613" si="1055">T("JACKSONVILLE")</f>
        <v>JACKSONVILLE</v>
      </c>
      <c r="E2597" t="str">
        <f t="shared" ref="E2597:E2613" si="1056">T("FL")</f>
        <v>FL</v>
      </c>
      <c r="F2597" t="str">
        <f t="shared" si="1053"/>
        <v>322120016</v>
      </c>
      <c r="G2597" t="str">
        <f>T("101 WASP ST, PO BOX 16")</f>
        <v>101 WASP ST, PO BOX 16</v>
      </c>
      <c r="H2597" t="str">
        <f>T("ATTN VAUGHN NEUROH CODE 611")</f>
        <v>ATTN VAUGHN NEUROH CODE 611</v>
      </c>
      <c r="I2597" t="str">
        <f t="shared" si="1048"/>
        <v>JACKSONVILLE</v>
      </c>
      <c r="J2597" t="str">
        <f t="shared" si="1049"/>
        <v>FL</v>
      </c>
      <c r="K2597" t="str">
        <f t="shared" si="1044"/>
        <v>000000000000000000</v>
      </c>
      <c r="L2597" t="str">
        <f>T("9047904431")</f>
        <v>9047904431</v>
      </c>
    </row>
    <row r="2598" spans="1:12" x14ac:dyDescent="0.35">
      <c r="A2598" t="str">
        <f t="shared" si="1054"/>
        <v>FRC SE - JACKSONVILLE, FL</v>
      </c>
      <c r="B2598" t="str">
        <f t="shared" si="1050"/>
        <v>101 WASP ST</v>
      </c>
      <c r="C2598" t="str">
        <f t="shared" si="1051"/>
        <v>ATTN VAUGHN NEUROH CODE 611</v>
      </c>
      <c r="D2598" t="str">
        <f t="shared" si="1055"/>
        <v>JACKSONVILLE</v>
      </c>
      <c r="E2598" t="str">
        <f t="shared" si="1056"/>
        <v>FL</v>
      </c>
      <c r="F2598" t="str">
        <f t="shared" si="1053"/>
        <v>322120016</v>
      </c>
      <c r="G2598" t="str">
        <f>T("101 WASP STREET")</f>
        <v>101 WASP STREET</v>
      </c>
      <c r="H2598" t="str">
        <f>T("ATTN VAUGHN NEUROH CODE 6.1.1")</f>
        <v>ATTN VAUGHN NEUROH CODE 6.1.1</v>
      </c>
      <c r="I2598" t="str">
        <f t="shared" si="1048"/>
        <v>JACKSONVILLE</v>
      </c>
      <c r="J2598" t="str">
        <f t="shared" si="1049"/>
        <v>FL</v>
      </c>
      <c r="K2598" t="str">
        <f t="shared" si="1044"/>
        <v>000000000000000000</v>
      </c>
      <c r="L2598" t="str">
        <f>T("9047905693")</f>
        <v>9047905693</v>
      </c>
    </row>
    <row r="2599" spans="1:12" x14ac:dyDescent="0.35">
      <c r="A2599" t="str">
        <f t="shared" si="1054"/>
        <v>FRC SE - JACKSONVILLE, FL</v>
      </c>
      <c r="B2599" t="str">
        <f t="shared" si="1050"/>
        <v>101 WASP ST</v>
      </c>
      <c r="C2599" t="str">
        <f t="shared" si="1051"/>
        <v>ATTN VAUGHN NEUROH CODE 611</v>
      </c>
      <c r="D2599" t="str">
        <f t="shared" si="1055"/>
        <v>JACKSONVILLE</v>
      </c>
      <c r="E2599" t="str">
        <f t="shared" si="1056"/>
        <v>FL</v>
      </c>
      <c r="F2599" t="str">
        <f t="shared" si="1053"/>
        <v>322120016</v>
      </c>
      <c r="G2599" t="str">
        <f>T("101 WASP STREET")</f>
        <v>101 WASP STREET</v>
      </c>
      <c r="H2599" t="str">
        <f>T("ATTN VAUGHN NEUROH CODE 611")</f>
        <v>ATTN VAUGHN NEUROH CODE 611</v>
      </c>
      <c r="I2599" t="str">
        <f t="shared" si="1048"/>
        <v>JACKSONVILLE</v>
      </c>
      <c r="J2599" t="str">
        <f t="shared" si="1049"/>
        <v>FL</v>
      </c>
      <c r="K2599" t="str">
        <f t="shared" si="1044"/>
        <v>000000000000000000</v>
      </c>
      <c r="L2599" t="str">
        <f>T("9047904412")</f>
        <v>9047904412</v>
      </c>
    </row>
    <row r="2600" spans="1:12" x14ac:dyDescent="0.35">
      <c r="A2600" t="str">
        <f t="shared" si="1054"/>
        <v>FRC SE - JACKSONVILLE, FL</v>
      </c>
      <c r="B2600" t="str">
        <f t="shared" si="1050"/>
        <v>101 WASP ST</v>
      </c>
      <c r="C2600" t="str">
        <f t="shared" si="1051"/>
        <v>ATTN VAUGHN NEUROH CODE 611</v>
      </c>
      <c r="D2600" t="str">
        <f t="shared" si="1055"/>
        <v>JACKSONVILLE</v>
      </c>
      <c r="E2600" t="str">
        <f t="shared" si="1056"/>
        <v>FL</v>
      </c>
      <c r="F2600" t="str">
        <f t="shared" si="1053"/>
        <v>322120016</v>
      </c>
      <c r="G2600" t="str">
        <f>T("101 WASP STREET")</f>
        <v>101 WASP STREET</v>
      </c>
      <c r="H2600" t="str">
        <f>T("ATTN VAUGHN NEUROH CODE 611")</f>
        <v>ATTN VAUGHN NEUROH CODE 611</v>
      </c>
      <c r="I2600" t="str">
        <f t="shared" si="1048"/>
        <v>JACKSONVILLE</v>
      </c>
      <c r="J2600" t="str">
        <f t="shared" si="1049"/>
        <v>FL</v>
      </c>
      <c r="K2600" t="str">
        <f t="shared" si="1044"/>
        <v>000000000000000000</v>
      </c>
      <c r="L2600" t="str">
        <f>T("9047905037")</f>
        <v>9047905037</v>
      </c>
    </row>
    <row r="2601" spans="1:12" x14ac:dyDescent="0.35">
      <c r="A2601" t="str">
        <f t="shared" si="1054"/>
        <v>FRC SE - JACKSONVILLE, FL</v>
      </c>
      <c r="B2601" t="str">
        <f t="shared" si="1050"/>
        <v>101 WASP ST</v>
      </c>
      <c r="C2601" t="str">
        <f t="shared" si="1051"/>
        <v>ATTN VAUGHN NEUROH CODE 611</v>
      </c>
      <c r="D2601" t="str">
        <f t="shared" si="1055"/>
        <v>JACKSONVILLE</v>
      </c>
      <c r="E2601" t="str">
        <f t="shared" si="1056"/>
        <v>FL</v>
      </c>
      <c r="F2601" t="str">
        <f t="shared" si="1053"/>
        <v>322120016</v>
      </c>
      <c r="G2601" t="str">
        <f>T("1131 AIRCRAFT TOW WAY HGR V147")</f>
        <v>1131 AIRCRAFT TOW WAY HGR V147</v>
      </c>
      <c r="H2601" t="str">
        <f>T("ATTN BRENDA GRIFFITH-LIPSITT RM115")</f>
        <v>ATTN BRENDA GRIFFITH-LIPSITT RM115</v>
      </c>
      <c r="I2601" t="str">
        <f>T("NORFOLK")</f>
        <v>NORFOLK</v>
      </c>
      <c r="J2601" t="str">
        <f>T("VA")</f>
        <v>VA</v>
      </c>
      <c r="K2601" t="str">
        <f>T("7574455607")</f>
        <v>7574455607</v>
      </c>
      <c r="L2601" t="str">
        <f>T("7574448737")</f>
        <v>7574448737</v>
      </c>
    </row>
    <row r="2602" spans="1:12" x14ac:dyDescent="0.35">
      <c r="A2602" t="str">
        <f t="shared" si="1054"/>
        <v>FRC SE - JACKSONVILLE, FL</v>
      </c>
      <c r="B2602" t="str">
        <f t="shared" si="1050"/>
        <v>101 WASP ST</v>
      </c>
      <c r="C2602" t="str">
        <f t="shared" si="1051"/>
        <v>ATTN VAUGHN NEUROH CODE 611</v>
      </c>
      <c r="D2602" t="str">
        <f t="shared" si="1055"/>
        <v>JACKSONVILLE</v>
      </c>
      <c r="E2602" t="str">
        <f t="shared" si="1056"/>
        <v>FL</v>
      </c>
      <c r="F2602" t="str">
        <f t="shared" si="1053"/>
        <v>322120016</v>
      </c>
      <c r="G2602" t="str">
        <f>T("13361 AERONAUTICAL CIRCLE CODE 628")</f>
        <v>13361 AERONAUTICAL CIRCLE CODE 628</v>
      </c>
      <c r="H2602" t="str">
        <f>T("ATTN VAUGHN NEUROH CODE 611")</f>
        <v>ATTN VAUGHN NEUROH CODE 611</v>
      </c>
      <c r="I2602" t="str">
        <f>T("JACKSONVILLE")</f>
        <v>JACKSONVILLE</v>
      </c>
      <c r="J2602" t="str">
        <f>T("FL")</f>
        <v>FL</v>
      </c>
      <c r="K2602" t="str">
        <f t="shared" ref="K2602:K2610" si="1057">T("000000000000000000")</f>
        <v>000000000000000000</v>
      </c>
      <c r="L2602" t="str">
        <f>T("9043175516")</f>
        <v>9043175516</v>
      </c>
    </row>
    <row r="2603" spans="1:12" x14ac:dyDescent="0.35">
      <c r="A2603" t="str">
        <f t="shared" si="1054"/>
        <v>FRC SE - JACKSONVILLE, FL</v>
      </c>
      <c r="B2603" t="str">
        <f t="shared" ref="B2603:B2609" si="1058">T("101 WASP ST")</f>
        <v>101 WASP ST</v>
      </c>
      <c r="C2603" t="str">
        <f t="shared" si="1051"/>
        <v>ATTN VAUGHN NEUROH CODE 611</v>
      </c>
      <c r="D2603" t="str">
        <f t="shared" si="1055"/>
        <v>JACKSONVILLE</v>
      </c>
      <c r="E2603" t="str">
        <f t="shared" si="1056"/>
        <v>FL</v>
      </c>
      <c r="F2603" t="str">
        <f t="shared" si="1053"/>
        <v>322120016</v>
      </c>
      <c r="G2603" t="str">
        <f>T("6206 AVIATION AVE CODE 6 6")</f>
        <v>6206 AVIATION AVE CODE 6 6</v>
      </c>
      <c r="H2603" t="str">
        <f>T("ATTN VAUGHN NEUROH CODE 6.1.1")</f>
        <v>ATTN VAUGHN NEUROH CODE 6.1.1</v>
      </c>
      <c r="I2603" t="str">
        <f>T("JACKSONVILLE")</f>
        <v>JACKSONVILLE</v>
      </c>
      <c r="J2603" t="str">
        <f>T("FL")</f>
        <v>FL</v>
      </c>
      <c r="K2603" t="str">
        <f t="shared" si="1057"/>
        <v>000000000000000000</v>
      </c>
      <c r="L2603" t="str">
        <f>T("9043171494")</f>
        <v>9043171494</v>
      </c>
    </row>
    <row r="2604" spans="1:12" x14ac:dyDescent="0.35">
      <c r="A2604" t="str">
        <f t="shared" si="1054"/>
        <v>FRC SE - JACKSONVILLE, FL</v>
      </c>
      <c r="B2604" t="str">
        <f t="shared" si="1058"/>
        <v>101 WASP ST</v>
      </c>
      <c r="C2604" t="str">
        <f t="shared" si="1051"/>
        <v>ATTN VAUGHN NEUROH CODE 611</v>
      </c>
      <c r="D2604" t="str">
        <f t="shared" si="1055"/>
        <v>JACKSONVILLE</v>
      </c>
      <c r="E2604" t="str">
        <f t="shared" si="1056"/>
        <v>FL</v>
      </c>
      <c r="F2604" t="str">
        <f t="shared" si="1053"/>
        <v>322120016</v>
      </c>
      <c r="G2604" t="str">
        <f>T("6206 AVIATION AVENUE")</f>
        <v>6206 AVIATION AVENUE</v>
      </c>
      <c r="H2604" t="str">
        <f>T("ATTN VAUGHN NEUROH CODE 6.1.1")</f>
        <v>ATTN VAUGHN NEUROH CODE 6.1.1</v>
      </c>
      <c r="I2604" t="str">
        <f>T("JACKSONVILLE")</f>
        <v>JACKSONVILLE</v>
      </c>
      <c r="J2604" t="str">
        <f>T("FL")</f>
        <v>FL</v>
      </c>
      <c r="K2604" t="str">
        <f t="shared" si="1057"/>
        <v>000000000000000000</v>
      </c>
      <c r="L2604" t="str">
        <f>T("9043172017")</f>
        <v>9043172017</v>
      </c>
    </row>
    <row r="2605" spans="1:12" x14ac:dyDescent="0.35">
      <c r="A2605" t="str">
        <f t="shared" si="1054"/>
        <v>FRC SE - JACKSONVILLE, FL</v>
      </c>
      <c r="B2605" t="str">
        <f t="shared" si="1058"/>
        <v>101 WASP ST</v>
      </c>
      <c r="C2605" t="str">
        <f t="shared" si="1051"/>
        <v>ATTN VAUGHN NEUROH CODE 611</v>
      </c>
      <c r="D2605" t="str">
        <f t="shared" si="1055"/>
        <v>JACKSONVILLE</v>
      </c>
      <c r="E2605" t="str">
        <f t="shared" si="1056"/>
        <v>FL</v>
      </c>
      <c r="F2605" t="str">
        <f t="shared" si="1053"/>
        <v>322120016</v>
      </c>
      <c r="G2605" t="str">
        <f>T("766 B AVE")</f>
        <v>766 B AVE</v>
      </c>
      <c r="H2605" t="str">
        <f>T("HANGAR 200 RM 109")</f>
        <v>HANGAR 200 RM 109</v>
      </c>
      <c r="I2605" t="str">
        <f>T("VIRGINIA BEACH")</f>
        <v>VIRGINIA BEACH</v>
      </c>
      <c r="J2605" t="str">
        <f>T("VA")</f>
        <v>VA</v>
      </c>
      <c r="K2605" t="str">
        <f t="shared" si="1057"/>
        <v>000000000000000000</v>
      </c>
      <c r="L2605" t="str">
        <f>T("7574448737")</f>
        <v>7574448737</v>
      </c>
    </row>
    <row r="2606" spans="1:12" x14ac:dyDescent="0.35">
      <c r="A2606" t="str">
        <f t="shared" si="1054"/>
        <v>FRC SE - JACKSONVILLE, FL</v>
      </c>
      <c r="B2606" t="str">
        <f t="shared" si="1058"/>
        <v>101 WASP ST</v>
      </c>
      <c r="C2606" t="str">
        <f t="shared" si="1051"/>
        <v>ATTN VAUGHN NEUROH CODE 611</v>
      </c>
      <c r="D2606" t="str">
        <f t="shared" si="1055"/>
        <v>JACKSONVILLE</v>
      </c>
      <c r="E2606" t="str">
        <f t="shared" si="1056"/>
        <v>FL</v>
      </c>
      <c r="F2606" t="str">
        <f t="shared" si="1053"/>
        <v>322120016</v>
      </c>
      <c r="G2606" t="str">
        <f>T("ELTON THOMPSON")</f>
        <v>ELTON THOMPSON</v>
      </c>
      <c r="H2606" t="str">
        <f>T("ATTN VAUGHN NEUROH CODE 611")</f>
        <v>ATTN VAUGHN NEUROH CODE 611</v>
      </c>
      <c r="I2606" t="str">
        <f t="shared" ref="I2606:I2613" si="1059">T("JACKSONVILLE")</f>
        <v>JACKSONVILLE</v>
      </c>
      <c r="J2606" t="str">
        <f t="shared" ref="J2606:J2613" si="1060">T("FL")</f>
        <v>FL</v>
      </c>
      <c r="K2606" t="str">
        <f t="shared" si="1057"/>
        <v>000000000000000000</v>
      </c>
      <c r="L2606" t="str">
        <f>T("9047905391")</f>
        <v>9047905391</v>
      </c>
    </row>
    <row r="2607" spans="1:12" x14ac:dyDescent="0.35">
      <c r="A2607" t="str">
        <f t="shared" si="1054"/>
        <v>FRC SE - JACKSONVILLE, FL</v>
      </c>
      <c r="B2607" t="str">
        <f t="shared" si="1058"/>
        <v>101 WASP ST</v>
      </c>
      <c r="C2607" t="str">
        <f t="shared" si="1051"/>
        <v>ATTN VAUGHN NEUROH CODE 611</v>
      </c>
      <c r="D2607" t="str">
        <f t="shared" si="1055"/>
        <v>JACKSONVILLE</v>
      </c>
      <c r="E2607" t="str">
        <f t="shared" si="1056"/>
        <v>FL</v>
      </c>
      <c r="F2607" t="str">
        <f t="shared" si="1053"/>
        <v>322120016</v>
      </c>
      <c r="G2607" t="str">
        <f>T("NAS - CODE 63300")</f>
        <v>NAS - CODE 63300</v>
      </c>
      <c r="H2607" t="str">
        <f>T("ATTN VAUGHN NEUROH CODE 611")</f>
        <v>ATTN VAUGHN NEUROH CODE 611</v>
      </c>
      <c r="I2607" t="str">
        <f t="shared" si="1059"/>
        <v>JACKSONVILLE</v>
      </c>
      <c r="J2607" t="str">
        <f t="shared" si="1060"/>
        <v>FL</v>
      </c>
      <c r="K2607" t="str">
        <f t="shared" si="1057"/>
        <v>000000000000000000</v>
      </c>
      <c r="L2607" t="str">
        <f>T("9047906490")</f>
        <v>9047906490</v>
      </c>
    </row>
    <row r="2608" spans="1:12" x14ac:dyDescent="0.35">
      <c r="A2608" t="str">
        <f t="shared" si="1054"/>
        <v>FRC SE - JACKSONVILLE, FL</v>
      </c>
      <c r="B2608" t="str">
        <f t="shared" si="1058"/>
        <v>101 WASP ST</v>
      </c>
      <c r="C2608" t="str">
        <f t="shared" si="1051"/>
        <v>ATTN VAUGHN NEUROH CODE 611</v>
      </c>
      <c r="D2608" t="str">
        <f t="shared" si="1055"/>
        <v>JACKSONVILLE</v>
      </c>
      <c r="E2608" t="str">
        <f t="shared" si="1056"/>
        <v>FL</v>
      </c>
      <c r="F2608" t="str">
        <f t="shared" si="1053"/>
        <v>322120016</v>
      </c>
      <c r="G2608" t="str">
        <f>T("NAS- CODE 63160")</f>
        <v>NAS- CODE 63160</v>
      </c>
      <c r="H2608" t="str">
        <f>T("ATTN VAUGHN NEUROH CODE 6.1.1")</f>
        <v>ATTN VAUGHN NEUROH CODE 6.1.1</v>
      </c>
      <c r="I2608" t="str">
        <f t="shared" si="1059"/>
        <v>JACKSONVILLE</v>
      </c>
      <c r="J2608" t="str">
        <f t="shared" si="1060"/>
        <v>FL</v>
      </c>
      <c r="K2608" t="str">
        <f t="shared" si="1057"/>
        <v>000000000000000000</v>
      </c>
      <c r="L2608" t="str">
        <f>T("9047906434")</f>
        <v>9047906434</v>
      </c>
    </row>
    <row r="2609" spans="1:12" x14ac:dyDescent="0.35">
      <c r="A2609" t="str">
        <f t="shared" si="1054"/>
        <v>FRC SE - JACKSONVILLE, FL</v>
      </c>
      <c r="B2609" t="str">
        <f t="shared" si="1058"/>
        <v>101 WASP ST</v>
      </c>
      <c r="C2609" t="str">
        <f t="shared" si="1051"/>
        <v>ATTN VAUGHN NEUROH CODE 611</v>
      </c>
      <c r="D2609" t="str">
        <f t="shared" si="1055"/>
        <v>JACKSONVILLE</v>
      </c>
      <c r="E2609" t="str">
        <f t="shared" si="1056"/>
        <v>FL</v>
      </c>
      <c r="F2609" t="str">
        <f t="shared" si="1053"/>
        <v>322120016</v>
      </c>
      <c r="G2609" t="str">
        <f>T("NAVAIR ISSC 6206 AVIATION AVE")</f>
        <v>NAVAIR ISSC 6206 AVIATION AVE</v>
      </c>
      <c r="H2609" t="str">
        <f>T("ATTN VAUGHN NEUROH CODE 6.1.1")</f>
        <v>ATTN VAUGHN NEUROH CODE 6.1.1</v>
      </c>
      <c r="I2609" t="str">
        <f t="shared" si="1059"/>
        <v>JACKSONVILLE</v>
      </c>
      <c r="J2609" t="str">
        <f t="shared" si="1060"/>
        <v>FL</v>
      </c>
      <c r="K2609" t="str">
        <f t="shared" si="1057"/>
        <v>000000000000000000</v>
      </c>
      <c r="L2609" t="str">
        <f>T("9043171490")</f>
        <v>9043171490</v>
      </c>
    </row>
    <row r="2610" spans="1:12" x14ac:dyDescent="0.35">
      <c r="A2610" t="str">
        <f t="shared" si="1054"/>
        <v>FRC SE - JACKSONVILLE, FL</v>
      </c>
      <c r="B2610" t="str">
        <f>T("101 WASP ST CODE 632")</f>
        <v>101 WASP ST CODE 632</v>
      </c>
      <c r="C2610" t="str">
        <f>T("ATTN VAUGHN NEUROH CODE 6 1 1")</f>
        <v>ATTN VAUGHN NEUROH CODE 6 1 1</v>
      </c>
      <c r="D2610" t="str">
        <f t="shared" si="1055"/>
        <v>JACKSONVILLE</v>
      </c>
      <c r="E2610" t="str">
        <f t="shared" si="1056"/>
        <v>FL</v>
      </c>
      <c r="F2610" t="str">
        <f t="shared" si="1053"/>
        <v>322120016</v>
      </c>
      <c r="G2610" t="str">
        <f>T("101 WASP ST")</f>
        <v>101 WASP ST</v>
      </c>
      <c r="H2610" t="str">
        <f>T("ATTN VAUGHN NEUROH CODE 611")</f>
        <v>ATTN VAUGHN NEUROH CODE 611</v>
      </c>
      <c r="I2610" t="str">
        <f t="shared" si="1059"/>
        <v>JACKSONVILLE</v>
      </c>
      <c r="J2610" t="str">
        <f t="shared" si="1060"/>
        <v>FL</v>
      </c>
      <c r="K2610" t="str">
        <f t="shared" si="1057"/>
        <v>000000000000000000</v>
      </c>
      <c r="L2610" t="str">
        <f>T("9047905747")</f>
        <v>9047905747</v>
      </c>
    </row>
    <row r="2611" spans="1:12" x14ac:dyDescent="0.35">
      <c r="A2611" t="str">
        <f t="shared" si="1054"/>
        <v>FRC SE - JACKSONVILLE, FL</v>
      </c>
      <c r="B2611" t="str">
        <f>T("101 WASP ST CODE 632")</f>
        <v>101 WASP ST CODE 632</v>
      </c>
      <c r="C2611" t="str">
        <f>T("ATTN VAUGHN NEUROH CODE 6 1 1")</f>
        <v>ATTN VAUGHN NEUROH CODE 6 1 1</v>
      </c>
      <c r="D2611" t="str">
        <f t="shared" si="1055"/>
        <v>JACKSONVILLE</v>
      </c>
      <c r="E2611" t="str">
        <f t="shared" si="1056"/>
        <v>FL</v>
      </c>
      <c r="F2611" t="str">
        <f t="shared" si="1053"/>
        <v>322120016</v>
      </c>
      <c r="G2611" t="str">
        <f>T("101 WASP ST CODE 632")</f>
        <v>101 WASP ST CODE 632</v>
      </c>
      <c r="H2611" t="str">
        <f>T("ATTN VAUGHN NEUROH CODE 6 1 1")</f>
        <v>ATTN VAUGHN NEUROH CODE 6 1 1</v>
      </c>
      <c r="I2611" t="str">
        <f t="shared" si="1059"/>
        <v>JACKSONVILLE</v>
      </c>
      <c r="J2611" t="str">
        <f t="shared" si="1060"/>
        <v>FL</v>
      </c>
      <c r="K2611" t="str">
        <f>T("")</f>
        <v/>
      </c>
      <c r="L2611" t="str">
        <f>T("9047905753")</f>
        <v>9047905753</v>
      </c>
    </row>
    <row r="2612" spans="1:12" x14ac:dyDescent="0.35">
      <c r="A2612" t="str">
        <f t="shared" si="1054"/>
        <v>FRC SE - JACKSONVILLE, FL</v>
      </c>
      <c r="B2612" t="str">
        <f>T("101 WASP STREET")</f>
        <v>101 WASP STREET</v>
      </c>
      <c r="C2612" t="str">
        <f>T("ATTN VAUGHN NEUROH CODE 611")</f>
        <v>ATTN VAUGHN NEUROH CODE 611</v>
      </c>
      <c r="D2612" t="str">
        <f t="shared" si="1055"/>
        <v>JACKSONVILLE</v>
      </c>
      <c r="E2612" t="str">
        <f t="shared" si="1056"/>
        <v>FL</v>
      </c>
      <c r="F2612" t="str">
        <f t="shared" si="1053"/>
        <v>322120016</v>
      </c>
      <c r="G2612" t="str">
        <f>T("101 WASP ST")</f>
        <v>101 WASP ST</v>
      </c>
      <c r="H2612" t="str">
        <f>T("ATTN VAUGHN NEUROH CODE 611")</f>
        <v>ATTN VAUGHN NEUROH CODE 611</v>
      </c>
      <c r="I2612" t="str">
        <f t="shared" si="1059"/>
        <v>JACKSONVILLE</v>
      </c>
      <c r="J2612" t="str">
        <f t="shared" si="1060"/>
        <v>FL</v>
      </c>
      <c r="K2612" t="str">
        <f>T("000000000000000000")</f>
        <v>000000000000000000</v>
      </c>
      <c r="L2612" t="str">
        <f>T("9043171567")</f>
        <v>9043171567</v>
      </c>
    </row>
    <row r="2613" spans="1:12" x14ac:dyDescent="0.35">
      <c r="A2613" t="str">
        <f t="shared" si="1054"/>
        <v>FRC SE - JACKSONVILLE, FL</v>
      </c>
      <c r="B2613" t="str">
        <f>T("101 WASP STREET")</f>
        <v>101 WASP STREET</v>
      </c>
      <c r="C2613" t="str">
        <f>T("ATTN VAUGHN NEUROH CODE 611")</f>
        <v>ATTN VAUGHN NEUROH CODE 611</v>
      </c>
      <c r="D2613" t="str">
        <f t="shared" si="1055"/>
        <v>JACKSONVILLE</v>
      </c>
      <c r="E2613" t="str">
        <f t="shared" si="1056"/>
        <v>FL</v>
      </c>
      <c r="F2613" t="str">
        <f t="shared" si="1053"/>
        <v>322120016</v>
      </c>
      <c r="G2613" t="str">
        <f>T("101 WASP STREET")</f>
        <v>101 WASP STREET</v>
      </c>
      <c r="H2613" t="str">
        <f>T("ATTN VAUGHN NEUROH CODE 611")</f>
        <v>ATTN VAUGHN NEUROH CODE 611</v>
      </c>
      <c r="I2613" t="str">
        <f t="shared" si="1059"/>
        <v>JACKSONVILLE</v>
      </c>
      <c r="J2613" t="str">
        <f t="shared" si="1060"/>
        <v>FL</v>
      </c>
      <c r="K2613" t="str">
        <f>T("")</f>
        <v/>
      </c>
      <c r="L2613" t="str">
        <f>T("9043171489")</f>
        <v>9043171489</v>
      </c>
    </row>
    <row r="2614" spans="1:12" x14ac:dyDescent="0.35">
      <c r="A2614" t="str">
        <f t="shared" ref="A2614:A2621" si="1061">T("FRC-SW")</f>
        <v>FRC-SW</v>
      </c>
      <c r="B2614" t="str">
        <f t="shared" ref="B2614:B2621" si="1062">T("B94 WRIGHT AVE")</f>
        <v>B94 WRIGHT AVE</v>
      </c>
      <c r="C2614" t="str">
        <f t="shared" ref="C2614:C2621" si="1063">T("P O BOX 357058")</f>
        <v>P O BOX 357058</v>
      </c>
      <c r="D2614" t="str">
        <f t="shared" ref="D2614:D2621" si="1064">T("SAN DIEGO")</f>
        <v>SAN DIEGO</v>
      </c>
      <c r="E2614" t="str">
        <f t="shared" ref="E2614:E2621" si="1065">T("CA")</f>
        <v>CA</v>
      </c>
      <c r="F2614" t="str">
        <f t="shared" ref="F2614:F2621" si="1066">T("921357058")</f>
        <v>921357058</v>
      </c>
      <c r="G2614" t="str">
        <f>T("B-90 WRIGHT AVENUE PO BOX 357058")</f>
        <v>B-90 WRIGHT AVENUE PO BOX 357058</v>
      </c>
      <c r="H2614" t="str">
        <f>T("NAS NORTH ISLAND")</f>
        <v>NAS NORTH ISLAND</v>
      </c>
      <c r="I2614" t="str">
        <f>T("SAN DIEGO")</f>
        <v>SAN DIEGO</v>
      </c>
      <c r="J2614" t="str">
        <f t="shared" ref="J2614:J2621" si="1067">T("CA")</f>
        <v>CA</v>
      </c>
      <c r="K2614" t="str">
        <f>T("6195452179")</f>
        <v>6195452179</v>
      </c>
      <c r="L2614" t="str">
        <f>T("6195453300")</f>
        <v>6195453300</v>
      </c>
    </row>
    <row r="2615" spans="1:12" x14ac:dyDescent="0.35">
      <c r="A2615" t="str">
        <f t="shared" si="1061"/>
        <v>FRC-SW</v>
      </c>
      <c r="B2615" t="str">
        <f t="shared" si="1062"/>
        <v>B94 WRIGHT AVE</v>
      </c>
      <c r="C2615" t="str">
        <f t="shared" si="1063"/>
        <v>P O BOX 357058</v>
      </c>
      <c r="D2615" t="str">
        <f t="shared" si="1064"/>
        <v>SAN DIEGO</v>
      </c>
      <c r="E2615" t="str">
        <f t="shared" si="1065"/>
        <v>CA</v>
      </c>
      <c r="F2615" t="str">
        <f t="shared" si="1066"/>
        <v>921357058</v>
      </c>
      <c r="G2615" t="str">
        <f>T("B-90 WRIGHT AVENUE PO BOX 357058")</f>
        <v>B-90 WRIGHT AVENUE PO BOX 357058</v>
      </c>
      <c r="H2615" t="str">
        <f>T("NAS NORTH ISLAND")</f>
        <v>NAS NORTH ISLAND</v>
      </c>
      <c r="I2615" t="str">
        <f>T("SAN DIEGO")</f>
        <v>SAN DIEGO</v>
      </c>
      <c r="J2615" t="str">
        <f t="shared" si="1067"/>
        <v>CA</v>
      </c>
      <c r="K2615" t="str">
        <f>T("6195452179")</f>
        <v>6195452179</v>
      </c>
      <c r="L2615" t="str">
        <f>T("6195456020")</f>
        <v>6195456020</v>
      </c>
    </row>
    <row r="2616" spans="1:12" x14ac:dyDescent="0.35">
      <c r="A2616" t="str">
        <f t="shared" si="1061"/>
        <v>FRC-SW</v>
      </c>
      <c r="B2616" t="str">
        <f t="shared" si="1062"/>
        <v>B94 WRIGHT AVE</v>
      </c>
      <c r="C2616" t="str">
        <f t="shared" si="1063"/>
        <v>P O BOX 357058</v>
      </c>
      <c r="D2616" t="str">
        <f t="shared" si="1064"/>
        <v>SAN DIEGO</v>
      </c>
      <c r="E2616" t="str">
        <f t="shared" si="1065"/>
        <v>CA</v>
      </c>
      <c r="F2616" t="str">
        <f t="shared" si="1066"/>
        <v>921357058</v>
      </c>
      <c r="G2616" t="str">
        <f>T("B94 WRIGHT AVE")</f>
        <v>B94 WRIGHT AVE</v>
      </c>
      <c r="H2616" t="str">
        <f>T("P O BOX 357058")</f>
        <v>P O BOX 357058</v>
      </c>
      <c r="I2616" t="str">
        <f>T("SAN DIEGO")</f>
        <v>SAN DIEGO</v>
      </c>
      <c r="J2616" t="str">
        <f t="shared" si="1067"/>
        <v>CA</v>
      </c>
      <c r="K2616" t="str">
        <f>T("619-545-2179")</f>
        <v>619-545-2179</v>
      </c>
      <c r="L2616" t="str">
        <f>T("6195453417")</f>
        <v>6195453417</v>
      </c>
    </row>
    <row r="2617" spans="1:12" x14ac:dyDescent="0.35">
      <c r="A2617" t="str">
        <f t="shared" si="1061"/>
        <v>FRC-SW</v>
      </c>
      <c r="B2617" t="str">
        <f t="shared" si="1062"/>
        <v>B94 WRIGHT AVE</v>
      </c>
      <c r="C2617" t="str">
        <f t="shared" si="1063"/>
        <v>P O BOX 357058</v>
      </c>
      <c r="D2617" t="str">
        <f t="shared" si="1064"/>
        <v>SAN DIEGO</v>
      </c>
      <c r="E2617" t="str">
        <f t="shared" si="1065"/>
        <v>CA</v>
      </c>
      <c r="F2617" t="str">
        <f t="shared" si="1066"/>
        <v>921357058</v>
      </c>
      <c r="G2617" t="str">
        <f>T("FLEET READINESS CENTER SOUTHWEST")</f>
        <v>FLEET READINESS CENTER SOUTHWEST</v>
      </c>
      <c r="H2617" t="str">
        <f>T("B-90 WRIGHT AVE PO BOX 357058")</f>
        <v>B-90 WRIGHT AVE PO BOX 357058</v>
      </c>
      <c r="I2617" t="str">
        <f>T("NAS NORTH ISLAND")</f>
        <v>NAS NORTH ISLAND</v>
      </c>
      <c r="J2617" t="str">
        <f t="shared" si="1067"/>
        <v>CA</v>
      </c>
      <c r="K2617" t="str">
        <f>T("6195452179")</f>
        <v>6195452179</v>
      </c>
      <c r="L2617" t="str">
        <f>T("6195453068")</f>
        <v>6195453068</v>
      </c>
    </row>
    <row r="2618" spans="1:12" x14ac:dyDescent="0.35">
      <c r="A2618" t="str">
        <f t="shared" si="1061"/>
        <v>FRC-SW</v>
      </c>
      <c r="B2618" t="str">
        <f t="shared" si="1062"/>
        <v>B94 WRIGHT AVE</v>
      </c>
      <c r="C2618" t="str">
        <f t="shared" si="1063"/>
        <v>P O BOX 357058</v>
      </c>
      <c r="D2618" t="str">
        <f t="shared" si="1064"/>
        <v>SAN DIEGO</v>
      </c>
      <c r="E2618" t="str">
        <f t="shared" si="1065"/>
        <v>CA</v>
      </c>
      <c r="F2618" t="str">
        <f t="shared" si="1066"/>
        <v>921357058</v>
      </c>
      <c r="G2618" t="str">
        <f>T("FLEET READINESS CENTER SOUTHWEST")</f>
        <v>FLEET READINESS CENTER SOUTHWEST</v>
      </c>
      <c r="H2618" t="str">
        <f>T("B-90 WRIGHT AVENUE PO BOX 357058")</f>
        <v>B-90 WRIGHT AVENUE PO BOX 357058</v>
      </c>
      <c r="I2618" t="str">
        <f>T("NAS N ISLAND")</f>
        <v>NAS N ISLAND</v>
      </c>
      <c r="J2618" t="str">
        <f t="shared" si="1067"/>
        <v>CA</v>
      </c>
      <c r="K2618" t="str">
        <f>T("6195452179")</f>
        <v>6195452179</v>
      </c>
      <c r="L2618" t="str">
        <f>T("6195453559")</f>
        <v>6195453559</v>
      </c>
    </row>
    <row r="2619" spans="1:12" x14ac:dyDescent="0.35">
      <c r="A2619" t="str">
        <f t="shared" si="1061"/>
        <v>FRC-SW</v>
      </c>
      <c r="B2619" t="str">
        <f t="shared" si="1062"/>
        <v>B94 WRIGHT AVE</v>
      </c>
      <c r="C2619" t="str">
        <f t="shared" si="1063"/>
        <v>P O BOX 357058</v>
      </c>
      <c r="D2619" t="str">
        <f t="shared" si="1064"/>
        <v>SAN DIEGO</v>
      </c>
      <c r="E2619" t="str">
        <f t="shared" si="1065"/>
        <v>CA</v>
      </c>
      <c r="F2619" t="str">
        <f t="shared" si="1066"/>
        <v>921357058</v>
      </c>
      <c r="G2619" t="str">
        <f>T("FLEET READINESS CENTER SOUTHWEST")</f>
        <v>FLEET READINESS CENTER SOUTHWEST</v>
      </c>
      <c r="H2619" t="str">
        <f>T("B-90 WRIGHT AVENUE PO BOX 357058")</f>
        <v>B-90 WRIGHT AVENUE PO BOX 357058</v>
      </c>
      <c r="I2619" t="str">
        <f>T("NAS N ISLAND")</f>
        <v>NAS N ISLAND</v>
      </c>
      <c r="J2619" t="str">
        <f t="shared" si="1067"/>
        <v>CA</v>
      </c>
      <c r="K2619" t="str">
        <f>T("6195452179")</f>
        <v>6195452179</v>
      </c>
      <c r="L2619" t="str">
        <f>T("6197677012")</f>
        <v>6197677012</v>
      </c>
    </row>
    <row r="2620" spans="1:12" x14ac:dyDescent="0.35">
      <c r="A2620" t="str">
        <f t="shared" si="1061"/>
        <v>FRC-SW</v>
      </c>
      <c r="B2620" t="str">
        <f t="shared" si="1062"/>
        <v>B94 WRIGHT AVE</v>
      </c>
      <c r="C2620" t="str">
        <f t="shared" si="1063"/>
        <v>P O BOX 357058</v>
      </c>
      <c r="D2620" t="str">
        <f t="shared" si="1064"/>
        <v>SAN DIEGO</v>
      </c>
      <c r="E2620" t="str">
        <f t="shared" si="1065"/>
        <v>CA</v>
      </c>
      <c r="F2620" t="str">
        <f t="shared" si="1066"/>
        <v>921357058</v>
      </c>
      <c r="G2620" t="str">
        <f>T("FLEET READINESS CENTER SOUTHWEST")</f>
        <v>FLEET READINESS CENTER SOUTHWEST</v>
      </c>
      <c r="H2620" t="str">
        <f>T("B-90 WRIGHT AVENUE PO BOX 357058")</f>
        <v>B-90 WRIGHT AVENUE PO BOX 357058</v>
      </c>
      <c r="I2620" t="str">
        <f>T("SAN DIEGO")</f>
        <v>SAN DIEGO</v>
      </c>
      <c r="J2620" t="str">
        <f t="shared" si="1067"/>
        <v>CA</v>
      </c>
      <c r="K2620" t="str">
        <f>T("6195452179")</f>
        <v>6195452179</v>
      </c>
      <c r="L2620" t="str">
        <f>T("6195451493")</f>
        <v>6195451493</v>
      </c>
    </row>
    <row r="2621" spans="1:12" x14ac:dyDescent="0.35">
      <c r="A2621" t="str">
        <f t="shared" si="1061"/>
        <v>FRC-SW</v>
      </c>
      <c r="B2621" t="str">
        <f t="shared" si="1062"/>
        <v>B94 WRIGHT AVE</v>
      </c>
      <c r="C2621" t="str">
        <f t="shared" si="1063"/>
        <v>P O BOX 357058</v>
      </c>
      <c r="D2621" t="str">
        <f t="shared" si="1064"/>
        <v>SAN DIEGO</v>
      </c>
      <c r="E2621" t="str">
        <f t="shared" si="1065"/>
        <v>CA</v>
      </c>
      <c r="F2621" t="str">
        <f t="shared" si="1066"/>
        <v>921357058</v>
      </c>
      <c r="G2621" t="str">
        <f>T("FLEET READINESS CENTER SOUTHWEST")</f>
        <v>FLEET READINESS CENTER SOUTHWEST</v>
      </c>
      <c r="H2621" t="str">
        <f>T("B-90 WRIGHT AVENUE PO BOX 357058")</f>
        <v>B-90 WRIGHT AVENUE PO BOX 357058</v>
      </c>
      <c r="I2621" t="str">
        <f>T("SAN DIEGO")</f>
        <v>SAN DIEGO</v>
      </c>
      <c r="J2621" t="str">
        <f t="shared" si="1067"/>
        <v>CA</v>
      </c>
      <c r="K2621" t="str">
        <f>T("6195452179")</f>
        <v>6195452179</v>
      </c>
      <c r="L2621" t="str">
        <f>T("6195453559")</f>
        <v>6195453559</v>
      </c>
    </row>
    <row r="2622" spans="1:12" x14ac:dyDescent="0.35">
      <c r="A2622" t="str">
        <f t="shared" ref="A2622:B2641" si="1068">T("FRC EAST")</f>
        <v>FRC EAST</v>
      </c>
      <c r="B2622" t="str">
        <f t="shared" si="1068"/>
        <v>FRC EAST</v>
      </c>
      <c r="C2622" t="str">
        <f t="shared" ref="C2622:C2628" si="1069">T("PSC 8021")</f>
        <v>PSC 8021</v>
      </c>
      <c r="D2622" t="str">
        <f t="shared" ref="D2622:D2653" si="1070">T("CHERRY POINT")</f>
        <v>CHERRY POINT</v>
      </c>
      <c r="E2622" t="str">
        <f t="shared" ref="E2622:E2653" si="1071">T("NC")</f>
        <v>NC</v>
      </c>
      <c r="F2622" t="str">
        <f t="shared" ref="F2622:F2657" si="1072">T("285330000")</f>
        <v>285330000</v>
      </c>
      <c r="G2622" t="str">
        <f>T("FRC EAST")</f>
        <v>FRC EAST</v>
      </c>
      <c r="H2622" t="str">
        <f>T("")</f>
        <v/>
      </c>
      <c r="I2622" t="str">
        <f t="shared" ref="I2622:I2653" si="1073">T("CHERRY POINT")</f>
        <v>CHERRY POINT</v>
      </c>
      <c r="J2622" t="str">
        <f t="shared" ref="J2622:J2653" si="1074">T("NC")</f>
        <v>NC</v>
      </c>
      <c r="K2622" t="str">
        <f>T("000000000000000000")</f>
        <v>000000000000000000</v>
      </c>
      <c r="L2622" t="str">
        <f>T("2524647585")</f>
        <v>2524647585</v>
      </c>
    </row>
    <row r="2623" spans="1:12" x14ac:dyDescent="0.35">
      <c r="A2623" t="str">
        <f t="shared" si="1068"/>
        <v>FRC EAST</v>
      </c>
      <c r="B2623" t="str">
        <f t="shared" si="1068"/>
        <v>FRC EAST</v>
      </c>
      <c r="C2623" t="str">
        <f t="shared" si="1069"/>
        <v>PSC 8021</v>
      </c>
      <c r="D2623" t="str">
        <f t="shared" si="1070"/>
        <v>CHERRY POINT</v>
      </c>
      <c r="E2623" t="str">
        <f t="shared" si="1071"/>
        <v>NC</v>
      </c>
      <c r="F2623" t="str">
        <f t="shared" si="1072"/>
        <v>285330000</v>
      </c>
      <c r="G2623" t="str">
        <f>T("FRC EAST")</f>
        <v>FRC EAST</v>
      </c>
      <c r="H2623" t="str">
        <f>T("PSC 8021")</f>
        <v>PSC 8021</v>
      </c>
      <c r="I2623" t="str">
        <f t="shared" si="1073"/>
        <v>CHERRY POINT</v>
      </c>
      <c r="J2623" t="str">
        <f t="shared" si="1074"/>
        <v>NC</v>
      </c>
      <c r="K2623" t="str">
        <f>T("2524649033")</f>
        <v>2524649033</v>
      </c>
      <c r="L2623" t="str">
        <f>T("2524649273")</f>
        <v>2524649273</v>
      </c>
    </row>
    <row r="2624" spans="1:12" x14ac:dyDescent="0.35">
      <c r="A2624" t="str">
        <f t="shared" si="1068"/>
        <v>FRC EAST</v>
      </c>
      <c r="B2624" t="str">
        <f t="shared" si="1068"/>
        <v>FRC EAST</v>
      </c>
      <c r="C2624" t="str">
        <f t="shared" si="1069"/>
        <v>PSC 8021</v>
      </c>
      <c r="D2624" t="str">
        <f t="shared" si="1070"/>
        <v>CHERRY POINT</v>
      </c>
      <c r="E2624" t="str">
        <f t="shared" si="1071"/>
        <v>NC</v>
      </c>
      <c r="F2624" t="str">
        <f t="shared" si="1072"/>
        <v>285330000</v>
      </c>
      <c r="G2624" t="str">
        <f>T("PSC BOX 8021")</f>
        <v>PSC BOX 8021</v>
      </c>
      <c r="H2624" t="str">
        <f>T("")</f>
        <v/>
      </c>
      <c r="I2624" t="str">
        <f t="shared" si="1073"/>
        <v>CHERRY POINT</v>
      </c>
      <c r="J2624" t="str">
        <f t="shared" si="1074"/>
        <v>NC</v>
      </c>
      <c r="K2624" t="str">
        <f>T("000000000000000000")</f>
        <v>000000000000000000</v>
      </c>
      <c r="L2624" t="str">
        <f>T("2524645353")</f>
        <v>2524645353</v>
      </c>
    </row>
    <row r="2625" spans="1:12" x14ac:dyDescent="0.35">
      <c r="A2625" t="str">
        <f t="shared" si="1068"/>
        <v>FRC EAST</v>
      </c>
      <c r="B2625" t="str">
        <f t="shared" si="1068"/>
        <v>FRC EAST</v>
      </c>
      <c r="C2625" t="str">
        <f t="shared" si="1069"/>
        <v>PSC 8021</v>
      </c>
      <c r="D2625" t="str">
        <f t="shared" si="1070"/>
        <v>CHERRY POINT</v>
      </c>
      <c r="E2625" t="str">
        <f t="shared" si="1071"/>
        <v>NC</v>
      </c>
      <c r="F2625" t="str">
        <f t="shared" si="1072"/>
        <v>285330000</v>
      </c>
      <c r="G2625" t="str">
        <f>T("PSC BOX 8021")</f>
        <v>PSC BOX 8021</v>
      </c>
      <c r="H2625" t="str">
        <f>T("")</f>
        <v/>
      </c>
      <c r="I2625" t="str">
        <f t="shared" si="1073"/>
        <v>CHERRY POINT</v>
      </c>
      <c r="J2625" t="str">
        <f t="shared" si="1074"/>
        <v>NC</v>
      </c>
      <c r="K2625" t="str">
        <f>T("000000000000000000")</f>
        <v>000000000000000000</v>
      </c>
      <c r="L2625" t="str">
        <f>T("2524649471")</f>
        <v>2524649471</v>
      </c>
    </row>
    <row r="2626" spans="1:12" x14ac:dyDescent="0.35">
      <c r="A2626" t="str">
        <f t="shared" si="1068"/>
        <v>FRC EAST</v>
      </c>
      <c r="B2626" t="str">
        <f t="shared" si="1068"/>
        <v>FRC EAST</v>
      </c>
      <c r="C2626" t="str">
        <f t="shared" si="1069"/>
        <v>PSC 8021</v>
      </c>
      <c r="D2626" t="str">
        <f t="shared" si="1070"/>
        <v>CHERRY POINT</v>
      </c>
      <c r="E2626" t="str">
        <f t="shared" si="1071"/>
        <v>NC</v>
      </c>
      <c r="F2626" t="str">
        <f t="shared" si="1072"/>
        <v>285330000</v>
      </c>
      <c r="G2626" t="str">
        <f>T("PSC BOX 8021")</f>
        <v>PSC BOX 8021</v>
      </c>
      <c r="H2626" t="str">
        <f>T("")</f>
        <v/>
      </c>
      <c r="I2626" t="str">
        <f t="shared" si="1073"/>
        <v>CHERRY POINT</v>
      </c>
      <c r="J2626" t="str">
        <f t="shared" si="1074"/>
        <v>NC</v>
      </c>
      <c r="K2626" t="str">
        <f>T("000000000000000000")</f>
        <v>000000000000000000</v>
      </c>
      <c r="L2626" t="str">
        <f>T("2524649774")</f>
        <v>2524649774</v>
      </c>
    </row>
    <row r="2627" spans="1:12" x14ac:dyDescent="0.35">
      <c r="A2627" t="str">
        <f t="shared" si="1068"/>
        <v>FRC EAST</v>
      </c>
      <c r="B2627" t="str">
        <f t="shared" si="1068"/>
        <v>FRC EAST</v>
      </c>
      <c r="C2627" t="str">
        <f t="shared" si="1069"/>
        <v>PSC 8021</v>
      </c>
      <c r="D2627" t="str">
        <f t="shared" si="1070"/>
        <v>CHERRY POINT</v>
      </c>
      <c r="E2627" t="str">
        <f t="shared" si="1071"/>
        <v>NC</v>
      </c>
      <c r="F2627" t="str">
        <f t="shared" si="1072"/>
        <v>285330000</v>
      </c>
      <c r="G2627" t="str">
        <f>T("PSC BOX 8021")</f>
        <v>PSC BOX 8021</v>
      </c>
      <c r="H2627" t="str">
        <f>T("")</f>
        <v/>
      </c>
      <c r="I2627" t="str">
        <f t="shared" si="1073"/>
        <v>CHERRY POINT</v>
      </c>
      <c r="J2627" t="str">
        <f t="shared" si="1074"/>
        <v>NC</v>
      </c>
      <c r="K2627" t="str">
        <f>T("2524648006")</f>
        <v>2524648006</v>
      </c>
      <c r="L2627" t="str">
        <f>T("2524649282")</f>
        <v>2524649282</v>
      </c>
    </row>
    <row r="2628" spans="1:12" x14ac:dyDescent="0.35">
      <c r="A2628" t="str">
        <f t="shared" si="1068"/>
        <v>FRC EAST</v>
      </c>
      <c r="B2628" t="str">
        <f t="shared" si="1068"/>
        <v>FRC EAST</v>
      </c>
      <c r="C2628" t="str">
        <f t="shared" si="1069"/>
        <v>PSC 8021</v>
      </c>
      <c r="D2628" t="str">
        <f t="shared" si="1070"/>
        <v>CHERRY POINT</v>
      </c>
      <c r="E2628" t="str">
        <f t="shared" si="1071"/>
        <v>NC</v>
      </c>
      <c r="F2628" t="str">
        <f t="shared" si="1072"/>
        <v>285330000</v>
      </c>
      <c r="G2628" t="str">
        <f>T("PSC BOX 8021")</f>
        <v>PSC BOX 8021</v>
      </c>
      <c r="H2628" t="str">
        <f>T("FRC EAST")</f>
        <v>FRC EAST</v>
      </c>
      <c r="I2628" t="str">
        <f t="shared" si="1073"/>
        <v>CHERRY POINT</v>
      </c>
      <c r="J2628" t="str">
        <f t="shared" si="1074"/>
        <v>NC</v>
      </c>
      <c r="K2628" t="str">
        <f>T("000000000000000000")</f>
        <v>000000000000000000</v>
      </c>
      <c r="L2628" t="str">
        <f>T("2524649049")</f>
        <v>2524649049</v>
      </c>
    </row>
    <row r="2629" spans="1:12" x14ac:dyDescent="0.35">
      <c r="A2629" t="str">
        <f t="shared" si="1068"/>
        <v>FRC EAST</v>
      </c>
      <c r="B2629" t="str">
        <f t="shared" si="1068"/>
        <v>FRC EAST</v>
      </c>
      <c r="C2629" t="str">
        <f t="shared" ref="C2629:C2660" si="1075">T("PSC BOX 8021")</f>
        <v>PSC BOX 8021</v>
      </c>
      <c r="D2629" t="str">
        <f t="shared" si="1070"/>
        <v>CHERRY POINT</v>
      </c>
      <c r="E2629" t="str">
        <f t="shared" si="1071"/>
        <v>NC</v>
      </c>
      <c r="F2629" t="str">
        <f t="shared" si="1072"/>
        <v>285330000</v>
      </c>
      <c r="G2629" t="str">
        <f>T("A STREET BLDG 137")</f>
        <v>A STREET BLDG 137</v>
      </c>
      <c r="H2629" t="str">
        <f>T("")</f>
        <v/>
      </c>
      <c r="I2629" t="str">
        <f t="shared" si="1073"/>
        <v>CHERRY POINT</v>
      </c>
      <c r="J2629" t="str">
        <f t="shared" si="1074"/>
        <v>NC</v>
      </c>
      <c r="K2629" t="str">
        <f>T("000000000000000000")</f>
        <v>000000000000000000</v>
      </c>
      <c r="L2629" t="str">
        <f>T("2524648343")</f>
        <v>2524648343</v>
      </c>
    </row>
    <row r="2630" spans="1:12" x14ac:dyDescent="0.35">
      <c r="A2630" t="str">
        <f t="shared" si="1068"/>
        <v>FRC EAST</v>
      </c>
      <c r="B2630" t="str">
        <f t="shared" si="1068"/>
        <v>FRC EAST</v>
      </c>
      <c r="C2630" t="str">
        <f t="shared" si="1075"/>
        <v>PSC BOX 8021</v>
      </c>
      <c r="D2630" t="str">
        <f t="shared" si="1070"/>
        <v>CHERRY POINT</v>
      </c>
      <c r="E2630" t="str">
        <f t="shared" si="1071"/>
        <v>NC</v>
      </c>
      <c r="F2630" t="str">
        <f t="shared" si="1072"/>
        <v>285330000</v>
      </c>
      <c r="G2630" t="str">
        <f t="shared" ref="G2630:G2635" si="1076">T("FRC EAST")</f>
        <v>FRC EAST</v>
      </c>
      <c r="H2630" t="str">
        <f t="shared" ref="H2630:H2635" si="1077">T("PSC BOX 8021")</f>
        <v>PSC BOX 8021</v>
      </c>
      <c r="I2630" t="str">
        <f t="shared" si="1073"/>
        <v>CHERRY POINT</v>
      </c>
      <c r="J2630" t="str">
        <f t="shared" si="1074"/>
        <v>NC</v>
      </c>
      <c r="K2630" t="str">
        <f>T("")</f>
        <v/>
      </c>
      <c r="L2630" t="str">
        <f>T("2524647921")</f>
        <v>2524647921</v>
      </c>
    </row>
    <row r="2631" spans="1:12" x14ac:dyDescent="0.35">
      <c r="A2631" t="str">
        <f t="shared" si="1068"/>
        <v>FRC EAST</v>
      </c>
      <c r="B2631" t="str">
        <f t="shared" si="1068"/>
        <v>FRC EAST</v>
      </c>
      <c r="C2631" t="str">
        <f t="shared" si="1075"/>
        <v>PSC BOX 8021</v>
      </c>
      <c r="D2631" t="str">
        <f t="shared" si="1070"/>
        <v>CHERRY POINT</v>
      </c>
      <c r="E2631" t="str">
        <f t="shared" si="1071"/>
        <v>NC</v>
      </c>
      <c r="F2631" t="str">
        <f t="shared" si="1072"/>
        <v>285330000</v>
      </c>
      <c r="G2631" t="str">
        <f t="shared" si="1076"/>
        <v>FRC EAST</v>
      </c>
      <c r="H2631" t="str">
        <f t="shared" si="1077"/>
        <v>PSC BOX 8021</v>
      </c>
      <c r="I2631" t="str">
        <f t="shared" si="1073"/>
        <v>CHERRY POINT</v>
      </c>
      <c r="J2631" t="str">
        <f t="shared" si="1074"/>
        <v>NC</v>
      </c>
      <c r="K2631" t="str">
        <f>T("")</f>
        <v/>
      </c>
      <c r="L2631" t="str">
        <f>T("2524649741")</f>
        <v>2524649741</v>
      </c>
    </row>
    <row r="2632" spans="1:12" x14ac:dyDescent="0.35">
      <c r="A2632" t="str">
        <f t="shared" si="1068"/>
        <v>FRC EAST</v>
      </c>
      <c r="B2632" t="str">
        <f t="shared" si="1068"/>
        <v>FRC EAST</v>
      </c>
      <c r="C2632" t="str">
        <f t="shared" si="1075"/>
        <v>PSC BOX 8021</v>
      </c>
      <c r="D2632" t="str">
        <f t="shared" si="1070"/>
        <v>CHERRY POINT</v>
      </c>
      <c r="E2632" t="str">
        <f t="shared" si="1071"/>
        <v>NC</v>
      </c>
      <c r="F2632" t="str">
        <f t="shared" si="1072"/>
        <v>285330000</v>
      </c>
      <c r="G2632" t="str">
        <f t="shared" si="1076"/>
        <v>FRC EAST</v>
      </c>
      <c r="H2632" t="str">
        <f t="shared" si="1077"/>
        <v>PSC BOX 8021</v>
      </c>
      <c r="I2632" t="str">
        <f t="shared" si="1073"/>
        <v>CHERRY POINT</v>
      </c>
      <c r="J2632" t="str">
        <f t="shared" si="1074"/>
        <v>NC</v>
      </c>
      <c r="K2632" t="str">
        <f>T("000000000000000000")</f>
        <v>000000000000000000</v>
      </c>
      <c r="L2632" t="str">
        <f>T("2524645534")</f>
        <v>2524645534</v>
      </c>
    </row>
    <row r="2633" spans="1:12" x14ac:dyDescent="0.35">
      <c r="A2633" t="str">
        <f t="shared" si="1068"/>
        <v>FRC EAST</v>
      </c>
      <c r="B2633" t="str">
        <f t="shared" si="1068"/>
        <v>FRC EAST</v>
      </c>
      <c r="C2633" t="str">
        <f t="shared" si="1075"/>
        <v>PSC BOX 8021</v>
      </c>
      <c r="D2633" t="str">
        <f t="shared" si="1070"/>
        <v>CHERRY POINT</v>
      </c>
      <c r="E2633" t="str">
        <f t="shared" si="1071"/>
        <v>NC</v>
      </c>
      <c r="F2633" t="str">
        <f t="shared" si="1072"/>
        <v>285330000</v>
      </c>
      <c r="G2633" t="str">
        <f t="shared" si="1076"/>
        <v>FRC EAST</v>
      </c>
      <c r="H2633" t="str">
        <f t="shared" si="1077"/>
        <v>PSC BOX 8021</v>
      </c>
      <c r="I2633" t="str">
        <f t="shared" si="1073"/>
        <v>CHERRY POINT</v>
      </c>
      <c r="J2633" t="str">
        <f t="shared" si="1074"/>
        <v>NC</v>
      </c>
      <c r="K2633" t="str">
        <f>T("000000000000000000")</f>
        <v>000000000000000000</v>
      </c>
      <c r="L2633" t="str">
        <f>T("2524648120")</f>
        <v>2524648120</v>
      </c>
    </row>
    <row r="2634" spans="1:12" x14ac:dyDescent="0.35">
      <c r="A2634" t="str">
        <f t="shared" si="1068"/>
        <v>FRC EAST</v>
      </c>
      <c r="B2634" t="str">
        <f t="shared" si="1068"/>
        <v>FRC EAST</v>
      </c>
      <c r="C2634" t="str">
        <f t="shared" si="1075"/>
        <v>PSC BOX 8021</v>
      </c>
      <c r="D2634" t="str">
        <f t="shared" si="1070"/>
        <v>CHERRY POINT</v>
      </c>
      <c r="E2634" t="str">
        <f t="shared" si="1071"/>
        <v>NC</v>
      </c>
      <c r="F2634" t="str">
        <f t="shared" si="1072"/>
        <v>285330000</v>
      </c>
      <c r="G2634" t="str">
        <f t="shared" si="1076"/>
        <v>FRC EAST</v>
      </c>
      <c r="H2634" t="str">
        <f t="shared" si="1077"/>
        <v>PSC BOX 8021</v>
      </c>
      <c r="I2634" t="str">
        <f t="shared" si="1073"/>
        <v>CHERRY POINT</v>
      </c>
      <c r="J2634" t="str">
        <f t="shared" si="1074"/>
        <v>NC</v>
      </c>
      <c r="K2634" t="str">
        <f>T("2524647256")</f>
        <v>2524647256</v>
      </c>
      <c r="L2634" t="str">
        <f>T("2524645424")</f>
        <v>2524645424</v>
      </c>
    </row>
    <row r="2635" spans="1:12" x14ac:dyDescent="0.35">
      <c r="A2635" t="str">
        <f t="shared" si="1068"/>
        <v>FRC EAST</v>
      </c>
      <c r="B2635" t="str">
        <f t="shared" si="1068"/>
        <v>FRC EAST</v>
      </c>
      <c r="C2635" t="str">
        <f t="shared" si="1075"/>
        <v>PSC BOX 8021</v>
      </c>
      <c r="D2635" t="str">
        <f t="shared" si="1070"/>
        <v>CHERRY POINT</v>
      </c>
      <c r="E2635" t="str">
        <f t="shared" si="1071"/>
        <v>NC</v>
      </c>
      <c r="F2635" t="str">
        <f t="shared" si="1072"/>
        <v>285330000</v>
      </c>
      <c r="G2635" t="str">
        <f t="shared" si="1076"/>
        <v>FRC EAST</v>
      </c>
      <c r="H2635" t="str">
        <f t="shared" si="1077"/>
        <v>PSC BOX 8021</v>
      </c>
      <c r="I2635" t="str">
        <f t="shared" si="1073"/>
        <v>CHERRY POINT</v>
      </c>
      <c r="J2635" t="str">
        <f t="shared" si="1074"/>
        <v>NC</v>
      </c>
      <c r="K2635" t="str">
        <f>T("2524648009")</f>
        <v>2524648009</v>
      </c>
      <c r="L2635" t="str">
        <f>T("2524648336")</f>
        <v>2524648336</v>
      </c>
    </row>
    <row r="2636" spans="1:12" x14ac:dyDescent="0.35">
      <c r="A2636" t="str">
        <f t="shared" si="1068"/>
        <v>FRC EAST</v>
      </c>
      <c r="B2636" t="str">
        <f t="shared" si="1068"/>
        <v>FRC EAST</v>
      </c>
      <c r="C2636" t="str">
        <f t="shared" si="1075"/>
        <v>PSC BOX 8021</v>
      </c>
      <c r="D2636" t="str">
        <f t="shared" si="1070"/>
        <v>CHERRY POINT</v>
      </c>
      <c r="E2636" t="str">
        <f t="shared" si="1071"/>
        <v>NC</v>
      </c>
      <c r="F2636" t="str">
        <f t="shared" si="1072"/>
        <v>285330000</v>
      </c>
      <c r="G2636" t="str">
        <f>T("P O BOX 8021")</f>
        <v>P O BOX 8021</v>
      </c>
      <c r="H2636" t="str">
        <f t="shared" ref="H2636:H2654" si="1078">T("")</f>
        <v/>
      </c>
      <c r="I2636" t="str">
        <f t="shared" si="1073"/>
        <v>CHERRY POINT</v>
      </c>
      <c r="J2636" t="str">
        <f t="shared" si="1074"/>
        <v>NC</v>
      </c>
      <c r="K2636" t="str">
        <f t="shared" ref="K2636:K2651" si="1079">T("000000000000000000")</f>
        <v>000000000000000000</v>
      </c>
      <c r="L2636" t="str">
        <f>T("2524645533")</f>
        <v>2524645533</v>
      </c>
    </row>
    <row r="2637" spans="1:12" x14ac:dyDescent="0.35">
      <c r="A2637" t="str">
        <f t="shared" si="1068"/>
        <v>FRC EAST</v>
      </c>
      <c r="B2637" t="str">
        <f t="shared" si="1068"/>
        <v>FRC EAST</v>
      </c>
      <c r="C2637" t="str">
        <f t="shared" si="1075"/>
        <v>PSC BOX 8021</v>
      </c>
      <c r="D2637" t="str">
        <f t="shared" si="1070"/>
        <v>CHERRY POINT</v>
      </c>
      <c r="E2637" t="str">
        <f t="shared" si="1071"/>
        <v>NC</v>
      </c>
      <c r="F2637" t="str">
        <f t="shared" si="1072"/>
        <v>285330000</v>
      </c>
      <c r="G2637" t="str">
        <f t="shared" ref="G2637:G2656" si="1080">T("PSC BOX 8021")</f>
        <v>PSC BOX 8021</v>
      </c>
      <c r="H2637" t="str">
        <f t="shared" si="1078"/>
        <v/>
      </c>
      <c r="I2637" t="str">
        <f t="shared" si="1073"/>
        <v>CHERRY POINT</v>
      </c>
      <c r="J2637" t="str">
        <f t="shared" si="1074"/>
        <v>NC</v>
      </c>
      <c r="K2637" t="str">
        <f t="shared" si="1079"/>
        <v>000000000000000000</v>
      </c>
      <c r="L2637" t="str">
        <f>T("2524645517")</f>
        <v>2524645517</v>
      </c>
    </row>
    <row r="2638" spans="1:12" x14ac:dyDescent="0.35">
      <c r="A2638" t="str">
        <f t="shared" si="1068"/>
        <v>FRC EAST</v>
      </c>
      <c r="B2638" t="str">
        <f t="shared" si="1068"/>
        <v>FRC EAST</v>
      </c>
      <c r="C2638" t="str">
        <f t="shared" si="1075"/>
        <v>PSC BOX 8021</v>
      </c>
      <c r="D2638" t="str">
        <f t="shared" si="1070"/>
        <v>CHERRY POINT</v>
      </c>
      <c r="E2638" t="str">
        <f t="shared" si="1071"/>
        <v>NC</v>
      </c>
      <c r="F2638" t="str">
        <f t="shared" si="1072"/>
        <v>285330000</v>
      </c>
      <c r="G2638" t="str">
        <f t="shared" si="1080"/>
        <v>PSC BOX 8021</v>
      </c>
      <c r="H2638" t="str">
        <f t="shared" si="1078"/>
        <v/>
      </c>
      <c r="I2638" t="str">
        <f t="shared" si="1073"/>
        <v>CHERRY POINT</v>
      </c>
      <c r="J2638" t="str">
        <f t="shared" si="1074"/>
        <v>NC</v>
      </c>
      <c r="K2638" t="str">
        <f t="shared" si="1079"/>
        <v>000000000000000000</v>
      </c>
      <c r="L2638" t="str">
        <f>T("2524645535")</f>
        <v>2524645535</v>
      </c>
    </row>
    <row r="2639" spans="1:12" x14ac:dyDescent="0.35">
      <c r="A2639" t="str">
        <f t="shared" si="1068"/>
        <v>FRC EAST</v>
      </c>
      <c r="B2639" t="str">
        <f t="shared" si="1068"/>
        <v>FRC EAST</v>
      </c>
      <c r="C2639" t="str">
        <f t="shared" si="1075"/>
        <v>PSC BOX 8021</v>
      </c>
      <c r="D2639" t="str">
        <f t="shared" si="1070"/>
        <v>CHERRY POINT</v>
      </c>
      <c r="E2639" t="str">
        <f t="shared" si="1071"/>
        <v>NC</v>
      </c>
      <c r="F2639" t="str">
        <f t="shared" si="1072"/>
        <v>285330000</v>
      </c>
      <c r="G2639" t="str">
        <f t="shared" si="1080"/>
        <v>PSC BOX 8021</v>
      </c>
      <c r="H2639" t="str">
        <f t="shared" si="1078"/>
        <v/>
      </c>
      <c r="I2639" t="str">
        <f t="shared" si="1073"/>
        <v>CHERRY POINT</v>
      </c>
      <c r="J2639" t="str">
        <f t="shared" si="1074"/>
        <v>NC</v>
      </c>
      <c r="K2639" t="str">
        <f t="shared" si="1079"/>
        <v>000000000000000000</v>
      </c>
      <c r="L2639" t="str">
        <f>T("2524645549")</f>
        <v>2524645549</v>
      </c>
    </row>
    <row r="2640" spans="1:12" x14ac:dyDescent="0.35">
      <c r="A2640" t="str">
        <f t="shared" si="1068"/>
        <v>FRC EAST</v>
      </c>
      <c r="B2640" t="str">
        <f t="shared" si="1068"/>
        <v>FRC EAST</v>
      </c>
      <c r="C2640" t="str">
        <f t="shared" si="1075"/>
        <v>PSC BOX 8021</v>
      </c>
      <c r="D2640" t="str">
        <f t="shared" si="1070"/>
        <v>CHERRY POINT</v>
      </c>
      <c r="E2640" t="str">
        <f t="shared" si="1071"/>
        <v>NC</v>
      </c>
      <c r="F2640" t="str">
        <f t="shared" si="1072"/>
        <v>285330000</v>
      </c>
      <c r="G2640" t="str">
        <f t="shared" si="1080"/>
        <v>PSC BOX 8021</v>
      </c>
      <c r="H2640" t="str">
        <f t="shared" si="1078"/>
        <v/>
      </c>
      <c r="I2640" t="str">
        <f t="shared" si="1073"/>
        <v>CHERRY POINT</v>
      </c>
      <c r="J2640" t="str">
        <f t="shared" si="1074"/>
        <v>NC</v>
      </c>
      <c r="K2640" t="str">
        <f t="shared" si="1079"/>
        <v>000000000000000000</v>
      </c>
      <c r="L2640" t="str">
        <f>T("2524646030")</f>
        <v>2524646030</v>
      </c>
    </row>
    <row r="2641" spans="1:12" x14ac:dyDescent="0.35">
      <c r="A2641" t="str">
        <f t="shared" si="1068"/>
        <v>FRC EAST</v>
      </c>
      <c r="B2641" t="str">
        <f t="shared" si="1068"/>
        <v>FRC EAST</v>
      </c>
      <c r="C2641" t="str">
        <f t="shared" si="1075"/>
        <v>PSC BOX 8021</v>
      </c>
      <c r="D2641" t="str">
        <f t="shared" si="1070"/>
        <v>CHERRY POINT</v>
      </c>
      <c r="E2641" t="str">
        <f t="shared" si="1071"/>
        <v>NC</v>
      </c>
      <c r="F2641" t="str">
        <f t="shared" si="1072"/>
        <v>285330000</v>
      </c>
      <c r="G2641" t="str">
        <f t="shared" si="1080"/>
        <v>PSC BOX 8021</v>
      </c>
      <c r="H2641" t="str">
        <f t="shared" si="1078"/>
        <v/>
      </c>
      <c r="I2641" t="str">
        <f t="shared" si="1073"/>
        <v>CHERRY POINT</v>
      </c>
      <c r="J2641" t="str">
        <f t="shared" si="1074"/>
        <v>NC</v>
      </c>
      <c r="K2641" t="str">
        <f t="shared" si="1079"/>
        <v>000000000000000000</v>
      </c>
      <c r="L2641" t="str">
        <f>T("2524646818")</f>
        <v>2524646818</v>
      </c>
    </row>
    <row r="2642" spans="1:12" x14ac:dyDescent="0.35">
      <c r="A2642" t="str">
        <f t="shared" ref="A2642:B2661" si="1081">T("FRC EAST")</f>
        <v>FRC EAST</v>
      </c>
      <c r="B2642" t="str">
        <f t="shared" si="1081"/>
        <v>FRC EAST</v>
      </c>
      <c r="C2642" t="str">
        <f t="shared" si="1075"/>
        <v>PSC BOX 8021</v>
      </c>
      <c r="D2642" t="str">
        <f t="shared" si="1070"/>
        <v>CHERRY POINT</v>
      </c>
      <c r="E2642" t="str">
        <f t="shared" si="1071"/>
        <v>NC</v>
      </c>
      <c r="F2642" t="str">
        <f t="shared" si="1072"/>
        <v>285330000</v>
      </c>
      <c r="G2642" t="str">
        <f t="shared" si="1080"/>
        <v>PSC BOX 8021</v>
      </c>
      <c r="H2642" t="str">
        <f t="shared" si="1078"/>
        <v/>
      </c>
      <c r="I2642" t="str">
        <f t="shared" si="1073"/>
        <v>CHERRY POINT</v>
      </c>
      <c r="J2642" t="str">
        <f t="shared" si="1074"/>
        <v>NC</v>
      </c>
      <c r="K2642" t="str">
        <f t="shared" si="1079"/>
        <v>000000000000000000</v>
      </c>
      <c r="L2642" t="str">
        <f>T("2524647050")</f>
        <v>2524647050</v>
      </c>
    </row>
    <row r="2643" spans="1:12" x14ac:dyDescent="0.35">
      <c r="A2643" t="str">
        <f t="shared" si="1081"/>
        <v>FRC EAST</v>
      </c>
      <c r="B2643" t="str">
        <f t="shared" si="1081"/>
        <v>FRC EAST</v>
      </c>
      <c r="C2643" t="str">
        <f t="shared" si="1075"/>
        <v>PSC BOX 8021</v>
      </c>
      <c r="D2643" t="str">
        <f t="shared" si="1070"/>
        <v>CHERRY POINT</v>
      </c>
      <c r="E2643" t="str">
        <f t="shared" si="1071"/>
        <v>NC</v>
      </c>
      <c r="F2643" t="str">
        <f t="shared" si="1072"/>
        <v>285330000</v>
      </c>
      <c r="G2643" t="str">
        <f t="shared" si="1080"/>
        <v>PSC BOX 8021</v>
      </c>
      <c r="H2643" t="str">
        <f t="shared" si="1078"/>
        <v/>
      </c>
      <c r="I2643" t="str">
        <f t="shared" si="1073"/>
        <v>CHERRY POINT</v>
      </c>
      <c r="J2643" t="str">
        <f t="shared" si="1074"/>
        <v>NC</v>
      </c>
      <c r="K2643" t="str">
        <f t="shared" si="1079"/>
        <v>000000000000000000</v>
      </c>
      <c r="L2643" t="str">
        <f>T("2524647252")</f>
        <v>2524647252</v>
      </c>
    </row>
    <row r="2644" spans="1:12" x14ac:dyDescent="0.35">
      <c r="A2644" t="str">
        <f t="shared" si="1081"/>
        <v>FRC EAST</v>
      </c>
      <c r="B2644" t="str">
        <f t="shared" si="1081"/>
        <v>FRC EAST</v>
      </c>
      <c r="C2644" t="str">
        <f t="shared" si="1075"/>
        <v>PSC BOX 8021</v>
      </c>
      <c r="D2644" t="str">
        <f t="shared" si="1070"/>
        <v>CHERRY POINT</v>
      </c>
      <c r="E2644" t="str">
        <f t="shared" si="1071"/>
        <v>NC</v>
      </c>
      <c r="F2644" t="str">
        <f t="shared" si="1072"/>
        <v>285330000</v>
      </c>
      <c r="G2644" t="str">
        <f t="shared" si="1080"/>
        <v>PSC BOX 8021</v>
      </c>
      <c r="H2644" t="str">
        <f t="shared" si="1078"/>
        <v/>
      </c>
      <c r="I2644" t="str">
        <f t="shared" si="1073"/>
        <v>CHERRY POINT</v>
      </c>
      <c r="J2644" t="str">
        <f t="shared" si="1074"/>
        <v>NC</v>
      </c>
      <c r="K2644" t="str">
        <f t="shared" si="1079"/>
        <v>000000000000000000</v>
      </c>
      <c r="L2644" t="str">
        <f>T("2524647483")</f>
        <v>2524647483</v>
      </c>
    </row>
    <row r="2645" spans="1:12" x14ac:dyDescent="0.35">
      <c r="A2645" t="str">
        <f t="shared" si="1081"/>
        <v>FRC EAST</v>
      </c>
      <c r="B2645" t="str">
        <f t="shared" si="1081"/>
        <v>FRC EAST</v>
      </c>
      <c r="C2645" t="str">
        <f t="shared" si="1075"/>
        <v>PSC BOX 8021</v>
      </c>
      <c r="D2645" t="str">
        <f t="shared" si="1070"/>
        <v>CHERRY POINT</v>
      </c>
      <c r="E2645" t="str">
        <f t="shared" si="1071"/>
        <v>NC</v>
      </c>
      <c r="F2645" t="str">
        <f t="shared" si="1072"/>
        <v>285330000</v>
      </c>
      <c r="G2645" t="str">
        <f t="shared" si="1080"/>
        <v>PSC BOX 8021</v>
      </c>
      <c r="H2645" t="str">
        <f t="shared" si="1078"/>
        <v/>
      </c>
      <c r="I2645" t="str">
        <f t="shared" si="1073"/>
        <v>CHERRY POINT</v>
      </c>
      <c r="J2645" t="str">
        <f t="shared" si="1074"/>
        <v>NC</v>
      </c>
      <c r="K2645" t="str">
        <f t="shared" si="1079"/>
        <v>000000000000000000</v>
      </c>
      <c r="L2645" t="str">
        <f>T("2524647807")</f>
        <v>2524647807</v>
      </c>
    </row>
    <row r="2646" spans="1:12" x14ac:dyDescent="0.35">
      <c r="A2646" t="str">
        <f t="shared" si="1081"/>
        <v>FRC EAST</v>
      </c>
      <c r="B2646" t="str">
        <f t="shared" si="1081"/>
        <v>FRC EAST</v>
      </c>
      <c r="C2646" t="str">
        <f t="shared" si="1075"/>
        <v>PSC BOX 8021</v>
      </c>
      <c r="D2646" t="str">
        <f t="shared" si="1070"/>
        <v>CHERRY POINT</v>
      </c>
      <c r="E2646" t="str">
        <f t="shared" si="1071"/>
        <v>NC</v>
      </c>
      <c r="F2646" t="str">
        <f t="shared" si="1072"/>
        <v>285330000</v>
      </c>
      <c r="G2646" t="str">
        <f t="shared" si="1080"/>
        <v>PSC BOX 8021</v>
      </c>
      <c r="H2646" t="str">
        <f t="shared" si="1078"/>
        <v/>
      </c>
      <c r="I2646" t="str">
        <f t="shared" si="1073"/>
        <v>CHERRY POINT</v>
      </c>
      <c r="J2646" t="str">
        <f t="shared" si="1074"/>
        <v>NC</v>
      </c>
      <c r="K2646" t="str">
        <f t="shared" si="1079"/>
        <v>000000000000000000</v>
      </c>
      <c r="L2646" t="str">
        <f>T("2524647819")</f>
        <v>2524647819</v>
      </c>
    </row>
    <row r="2647" spans="1:12" x14ac:dyDescent="0.35">
      <c r="A2647" t="str">
        <f t="shared" si="1081"/>
        <v>FRC EAST</v>
      </c>
      <c r="B2647" t="str">
        <f t="shared" si="1081"/>
        <v>FRC EAST</v>
      </c>
      <c r="C2647" t="str">
        <f t="shared" si="1075"/>
        <v>PSC BOX 8021</v>
      </c>
      <c r="D2647" t="str">
        <f t="shared" si="1070"/>
        <v>CHERRY POINT</v>
      </c>
      <c r="E2647" t="str">
        <f t="shared" si="1071"/>
        <v>NC</v>
      </c>
      <c r="F2647" t="str">
        <f t="shared" si="1072"/>
        <v>285330000</v>
      </c>
      <c r="G2647" t="str">
        <f t="shared" si="1080"/>
        <v>PSC BOX 8021</v>
      </c>
      <c r="H2647" t="str">
        <f t="shared" si="1078"/>
        <v/>
      </c>
      <c r="I2647" t="str">
        <f t="shared" si="1073"/>
        <v>CHERRY POINT</v>
      </c>
      <c r="J2647" t="str">
        <f t="shared" si="1074"/>
        <v>NC</v>
      </c>
      <c r="K2647" t="str">
        <f t="shared" si="1079"/>
        <v>000000000000000000</v>
      </c>
      <c r="L2647" t="str">
        <f>T("2524648269")</f>
        <v>2524648269</v>
      </c>
    </row>
    <row r="2648" spans="1:12" x14ac:dyDescent="0.35">
      <c r="A2648" t="str">
        <f t="shared" si="1081"/>
        <v>FRC EAST</v>
      </c>
      <c r="B2648" t="str">
        <f t="shared" si="1081"/>
        <v>FRC EAST</v>
      </c>
      <c r="C2648" t="str">
        <f t="shared" si="1075"/>
        <v>PSC BOX 8021</v>
      </c>
      <c r="D2648" t="str">
        <f t="shared" si="1070"/>
        <v>CHERRY POINT</v>
      </c>
      <c r="E2648" t="str">
        <f t="shared" si="1071"/>
        <v>NC</v>
      </c>
      <c r="F2648" t="str">
        <f t="shared" si="1072"/>
        <v>285330000</v>
      </c>
      <c r="G2648" t="str">
        <f t="shared" si="1080"/>
        <v>PSC BOX 8021</v>
      </c>
      <c r="H2648" t="str">
        <f t="shared" si="1078"/>
        <v/>
      </c>
      <c r="I2648" t="str">
        <f t="shared" si="1073"/>
        <v>CHERRY POINT</v>
      </c>
      <c r="J2648" t="str">
        <f t="shared" si="1074"/>
        <v>NC</v>
      </c>
      <c r="K2648" t="str">
        <f t="shared" si="1079"/>
        <v>000000000000000000</v>
      </c>
      <c r="L2648" t="str">
        <f>T("2524648917")</f>
        <v>2524648917</v>
      </c>
    </row>
    <row r="2649" spans="1:12" x14ac:dyDescent="0.35">
      <c r="A2649" t="str">
        <f t="shared" si="1081"/>
        <v>FRC EAST</v>
      </c>
      <c r="B2649" t="str">
        <f t="shared" si="1081"/>
        <v>FRC EAST</v>
      </c>
      <c r="C2649" t="str">
        <f t="shared" si="1075"/>
        <v>PSC BOX 8021</v>
      </c>
      <c r="D2649" t="str">
        <f t="shared" si="1070"/>
        <v>CHERRY POINT</v>
      </c>
      <c r="E2649" t="str">
        <f t="shared" si="1071"/>
        <v>NC</v>
      </c>
      <c r="F2649" t="str">
        <f t="shared" si="1072"/>
        <v>285330000</v>
      </c>
      <c r="G2649" t="str">
        <f t="shared" si="1080"/>
        <v>PSC BOX 8021</v>
      </c>
      <c r="H2649" t="str">
        <f t="shared" si="1078"/>
        <v/>
      </c>
      <c r="I2649" t="str">
        <f t="shared" si="1073"/>
        <v>CHERRY POINT</v>
      </c>
      <c r="J2649" t="str">
        <f t="shared" si="1074"/>
        <v>NC</v>
      </c>
      <c r="K2649" t="str">
        <f t="shared" si="1079"/>
        <v>000000000000000000</v>
      </c>
      <c r="L2649" t="str">
        <f>T("2524648963")</f>
        <v>2524648963</v>
      </c>
    </row>
    <row r="2650" spans="1:12" x14ac:dyDescent="0.35">
      <c r="A2650" t="str">
        <f t="shared" si="1081"/>
        <v>FRC EAST</v>
      </c>
      <c r="B2650" t="str">
        <f t="shared" si="1081"/>
        <v>FRC EAST</v>
      </c>
      <c r="C2650" t="str">
        <f t="shared" si="1075"/>
        <v>PSC BOX 8021</v>
      </c>
      <c r="D2650" t="str">
        <f t="shared" si="1070"/>
        <v>CHERRY POINT</v>
      </c>
      <c r="E2650" t="str">
        <f t="shared" si="1071"/>
        <v>NC</v>
      </c>
      <c r="F2650" t="str">
        <f t="shared" si="1072"/>
        <v>285330000</v>
      </c>
      <c r="G2650" t="str">
        <f t="shared" si="1080"/>
        <v>PSC BOX 8021</v>
      </c>
      <c r="H2650" t="str">
        <f t="shared" si="1078"/>
        <v/>
      </c>
      <c r="I2650" t="str">
        <f t="shared" si="1073"/>
        <v>CHERRY POINT</v>
      </c>
      <c r="J2650" t="str">
        <f t="shared" si="1074"/>
        <v>NC</v>
      </c>
      <c r="K2650" t="str">
        <f t="shared" si="1079"/>
        <v>000000000000000000</v>
      </c>
      <c r="L2650" t="str">
        <f>T("2524649301")</f>
        <v>2524649301</v>
      </c>
    </row>
    <row r="2651" spans="1:12" x14ac:dyDescent="0.35">
      <c r="A2651" t="str">
        <f t="shared" si="1081"/>
        <v>FRC EAST</v>
      </c>
      <c r="B2651" t="str">
        <f t="shared" si="1081"/>
        <v>FRC EAST</v>
      </c>
      <c r="C2651" t="str">
        <f t="shared" si="1075"/>
        <v>PSC BOX 8021</v>
      </c>
      <c r="D2651" t="str">
        <f t="shared" si="1070"/>
        <v>CHERRY POINT</v>
      </c>
      <c r="E2651" t="str">
        <f t="shared" si="1071"/>
        <v>NC</v>
      </c>
      <c r="F2651" t="str">
        <f t="shared" si="1072"/>
        <v>285330000</v>
      </c>
      <c r="G2651" t="str">
        <f t="shared" si="1080"/>
        <v>PSC BOX 8021</v>
      </c>
      <c r="H2651" t="str">
        <f t="shared" si="1078"/>
        <v/>
      </c>
      <c r="I2651" t="str">
        <f t="shared" si="1073"/>
        <v>CHERRY POINT</v>
      </c>
      <c r="J2651" t="str">
        <f t="shared" si="1074"/>
        <v>NC</v>
      </c>
      <c r="K2651" t="str">
        <f t="shared" si="1079"/>
        <v>000000000000000000</v>
      </c>
      <c r="L2651" t="str">
        <f>T("2524649366")</f>
        <v>2524649366</v>
      </c>
    </row>
    <row r="2652" spans="1:12" x14ac:dyDescent="0.35">
      <c r="A2652" t="str">
        <f t="shared" si="1081"/>
        <v>FRC EAST</v>
      </c>
      <c r="B2652" t="str">
        <f t="shared" si="1081"/>
        <v>FRC EAST</v>
      </c>
      <c r="C2652" t="str">
        <f t="shared" si="1075"/>
        <v>PSC BOX 8021</v>
      </c>
      <c r="D2652" t="str">
        <f t="shared" si="1070"/>
        <v>CHERRY POINT</v>
      </c>
      <c r="E2652" t="str">
        <f t="shared" si="1071"/>
        <v>NC</v>
      </c>
      <c r="F2652" t="str">
        <f t="shared" si="1072"/>
        <v>285330000</v>
      </c>
      <c r="G2652" t="str">
        <f t="shared" si="1080"/>
        <v>PSC BOX 8021</v>
      </c>
      <c r="H2652" t="str">
        <f t="shared" si="1078"/>
        <v/>
      </c>
      <c r="I2652" t="str">
        <f t="shared" si="1073"/>
        <v>CHERRY POINT</v>
      </c>
      <c r="J2652" t="str">
        <f t="shared" si="1074"/>
        <v>NC</v>
      </c>
      <c r="K2652" t="str">
        <f>T("2524647531")</f>
        <v>2524647531</v>
      </c>
      <c r="L2652" t="str">
        <f>T("2524648117")</f>
        <v>2524648117</v>
      </c>
    </row>
    <row r="2653" spans="1:12" x14ac:dyDescent="0.35">
      <c r="A2653" t="str">
        <f t="shared" si="1081"/>
        <v>FRC EAST</v>
      </c>
      <c r="B2653" t="str">
        <f t="shared" si="1081"/>
        <v>FRC EAST</v>
      </c>
      <c r="C2653" t="str">
        <f t="shared" si="1075"/>
        <v>PSC BOX 8021</v>
      </c>
      <c r="D2653" t="str">
        <f t="shared" si="1070"/>
        <v>CHERRY POINT</v>
      </c>
      <c r="E2653" t="str">
        <f t="shared" si="1071"/>
        <v>NC</v>
      </c>
      <c r="F2653" t="str">
        <f t="shared" si="1072"/>
        <v>285330000</v>
      </c>
      <c r="G2653" t="str">
        <f t="shared" si="1080"/>
        <v>PSC BOX 8021</v>
      </c>
      <c r="H2653" t="str">
        <f t="shared" si="1078"/>
        <v/>
      </c>
      <c r="I2653" t="str">
        <f t="shared" si="1073"/>
        <v>CHERRY POINT</v>
      </c>
      <c r="J2653" t="str">
        <f t="shared" si="1074"/>
        <v>NC</v>
      </c>
      <c r="K2653" t="str">
        <f>T("2524647724")</f>
        <v>2524647724</v>
      </c>
      <c r="L2653" t="str">
        <f>T("2524648412")</f>
        <v>2524648412</v>
      </c>
    </row>
    <row r="2654" spans="1:12" x14ac:dyDescent="0.35">
      <c r="A2654" t="str">
        <f t="shared" si="1081"/>
        <v>FRC EAST</v>
      </c>
      <c r="B2654" t="str">
        <f t="shared" si="1081"/>
        <v>FRC EAST</v>
      </c>
      <c r="C2654" t="str">
        <f t="shared" si="1075"/>
        <v>PSC BOX 8021</v>
      </c>
      <c r="D2654" t="str">
        <f t="shared" ref="D2654:D2685" si="1082">T("CHERRY POINT")</f>
        <v>CHERRY POINT</v>
      </c>
      <c r="E2654" t="str">
        <f t="shared" ref="E2654:E2685" si="1083">T("NC")</f>
        <v>NC</v>
      </c>
      <c r="F2654" t="str">
        <f t="shared" si="1072"/>
        <v>285330000</v>
      </c>
      <c r="G2654" t="str">
        <f t="shared" si="1080"/>
        <v>PSC BOX 8021</v>
      </c>
      <c r="H2654" t="str">
        <f t="shared" si="1078"/>
        <v/>
      </c>
      <c r="I2654" t="str">
        <f t="shared" ref="I2654:I2685" si="1084">T("CHERRY POINT")</f>
        <v>CHERRY POINT</v>
      </c>
      <c r="J2654" t="str">
        <f t="shared" ref="J2654:J2685" si="1085">T("NC")</f>
        <v>NC</v>
      </c>
      <c r="K2654" t="str">
        <f>T("2524648818")</f>
        <v>2524648818</v>
      </c>
      <c r="L2654" t="str">
        <f>T("2524648964")</f>
        <v>2524648964</v>
      </c>
    </row>
    <row r="2655" spans="1:12" x14ac:dyDescent="0.35">
      <c r="A2655" t="str">
        <f t="shared" si="1081"/>
        <v>FRC EAST</v>
      </c>
      <c r="B2655" t="str">
        <f t="shared" si="1081"/>
        <v>FRC EAST</v>
      </c>
      <c r="C2655" t="str">
        <f t="shared" si="1075"/>
        <v>PSC BOX 8021</v>
      </c>
      <c r="D2655" t="str">
        <f t="shared" si="1082"/>
        <v>CHERRY POINT</v>
      </c>
      <c r="E2655" t="str">
        <f t="shared" si="1083"/>
        <v>NC</v>
      </c>
      <c r="F2655" t="str">
        <f t="shared" si="1072"/>
        <v>285330000</v>
      </c>
      <c r="G2655" t="str">
        <f t="shared" si="1080"/>
        <v>PSC BOX 8021</v>
      </c>
      <c r="H2655" t="str">
        <f>T("FRC EAST")</f>
        <v>FRC EAST</v>
      </c>
      <c r="I2655" t="str">
        <f t="shared" si="1084"/>
        <v>CHERRY POINT</v>
      </c>
      <c r="J2655" t="str">
        <f t="shared" si="1085"/>
        <v>NC</v>
      </c>
      <c r="K2655" t="str">
        <f>T("000000000000000000")</f>
        <v>000000000000000000</v>
      </c>
      <c r="L2655" t="str">
        <f>T("2524647901")</f>
        <v>2524647901</v>
      </c>
    </row>
    <row r="2656" spans="1:12" x14ac:dyDescent="0.35">
      <c r="A2656" t="str">
        <f t="shared" si="1081"/>
        <v>FRC EAST</v>
      </c>
      <c r="B2656" t="str">
        <f t="shared" si="1081"/>
        <v>FRC EAST</v>
      </c>
      <c r="C2656" t="str">
        <f t="shared" si="1075"/>
        <v>PSC BOX 8021</v>
      </c>
      <c r="D2656" t="str">
        <f t="shared" si="1082"/>
        <v>CHERRY POINT</v>
      </c>
      <c r="E2656" t="str">
        <f t="shared" si="1083"/>
        <v>NC</v>
      </c>
      <c r="F2656" t="str">
        <f t="shared" si="1072"/>
        <v>285330000</v>
      </c>
      <c r="G2656" t="str">
        <f t="shared" si="1080"/>
        <v>PSC BOX 8021</v>
      </c>
      <c r="H2656" t="str">
        <f>T("FRC EAST")</f>
        <v>FRC EAST</v>
      </c>
      <c r="I2656" t="str">
        <f t="shared" si="1084"/>
        <v>CHERRY POINT</v>
      </c>
      <c r="J2656" t="str">
        <f t="shared" si="1085"/>
        <v>NC</v>
      </c>
      <c r="K2656" t="str">
        <f>T("000000000000000000")</f>
        <v>000000000000000000</v>
      </c>
      <c r="L2656" t="str">
        <f>T("2524648336")</f>
        <v>2524648336</v>
      </c>
    </row>
    <row r="2657" spans="1:12" x14ac:dyDescent="0.35">
      <c r="A2657" t="str">
        <f t="shared" si="1081"/>
        <v>FRC EAST</v>
      </c>
      <c r="B2657" t="str">
        <f t="shared" si="1081"/>
        <v>FRC EAST</v>
      </c>
      <c r="C2657" t="str">
        <f t="shared" si="1075"/>
        <v>PSC BOX 8021</v>
      </c>
      <c r="D2657" t="str">
        <f t="shared" si="1082"/>
        <v>CHERRY POINT</v>
      </c>
      <c r="E2657" t="str">
        <f t="shared" si="1083"/>
        <v>NC</v>
      </c>
      <c r="F2657" t="str">
        <f t="shared" si="1072"/>
        <v>285330000</v>
      </c>
      <c r="G2657" t="str">
        <f>T("PSC BOX 9021")</f>
        <v>PSC BOX 9021</v>
      </c>
      <c r="H2657" t="str">
        <f>T("")</f>
        <v/>
      </c>
      <c r="I2657" t="str">
        <f t="shared" si="1084"/>
        <v>CHERRY POINT</v>
      </c>
      <c r="J2657" t="str">
        <f t="shared" si="1085"/>
        <v>NC</v>
      </c>
      <c r="K2657" t="str">
        <f>T("000000000000000000")</f>
        <v>000000000000000000</v>
      </c>
      <c r="L2657" t="str">
        <f>T("2524649382")</f>
        <v>2524649382</v>
      </c>
    </row>
    <row r="2658" spans="1:12" x14ac:dyDescent="0.35">
      <c r="A2658" t="str">
        <f t="shared" si="1081"/>
        <v>FRC EAST</v>
      </c>
      <c r="B2658" t="str">
        <f t="shared" si="1081"/>
        <v>FRC EAST</v>
      </c>
      <c r="C2658" t="str">
        <f t="shared" si="1075"/>
        <v>PSC BOX 8021</v>
      </c>
      <c r="D2658" t="str">
        <f t="shared" si="1082"/>
        <v>CHERRY POINT</v>
      </c>
      <c r="E2658" t="str">
        <f t="shared" si="1083"/>
        <v>NC</v>
      </c>
      <c r="F2658" t="str">
        <f t="shared" ref="F2658:F2689" si="1086">T("285330021")</f>
        <v>285330021</v>
      </c>
      <c r="G2658" t="str">
        <f t="shared" ref="G2658:G2668" si="1087">T("FRC EAST")</f>
        <v>FRC EAST</v>
      </c>
      <c r="H2658" t="str">
        <f t="shared" ref="H2658:H2668" si="1088">T("PSC BOX 8021")</f>
        <v>PSC BOX 8021</v>
      </c>
      <c r="I2658" t="str">
        <f t="shared" si="1084"/>
        <v>CHERRY POINT</v>
      </c>
      <c r="J2658" t="str">
        <f t="shared" si="1085"/>
        <v>NC</v>
      </c>
      <c r="K2658" t="str">
        <f t="shared" ref="K2658:K2664" si="1089">T("")</f>
        <v/>
      </c>
      <c r="L2658" t="str">
        <f>T("2524646913")</f>
        <v>2524646913</v>
      </c>
    </row>
    <row r="2659" spans="1:12" x14ac:dyDescent="0.35">
      <c r="A2659" t="str">
        <f t="shared" si="1081"/>
        <v>FRC EAST</v>
      </c>
      <c r="B2659" t="str">
        <f t="shared" si="1081"/>
        <v>FRC EAST</v>
      </c>
      <c r="C2659" t="str">
        <f t="shared" si="1075"/>
        <v>PSC BOX 8021</v>
      </c>
      <c r="D2659" t="str">
        <f t="shared" si="1082"/>
        <v>CHERRY POINT</v>
      </c>
      <c r="E2659" t="str">
        <f t="shared" si="1083"/>
        <v>NC</v>
      </c>
      <c r="F2659" t="str">
        <f t="shared" si="1086"/>
        <v>285330021</v>
      </c>
      <c r="G2659" t="str">
        <f t="shared" si="1087"/>
        <v>FRC EAST</v>
      </c>
      <c r="H2659" t="str">
        <f t="shared" si="1088"/>
        <v>PSC BOX 8021</v>
      </c>
      <c r="I2659" t="str">
        <f t="shared" si="1084"/>
        <v>CHERRY POINT</v>
      </c>
      <c r="J2659" t="str">
        <f t="shared" si="1085"/>
        <v>NC</v>
      </c>
      <c r="K2659" t="str">
        <f t="shared" si="1089"/>
        <v/>
      </c>
      <c r="L2659" t="str">
        <f>T("2524647968")</f>
        <v>2524647968</v>
      </c>
    </row>
    <row r="2660" spans="1:12" x14ac:dyDescent="0.35">
      <c r="A2660" t="str">
        <f t="shared" si="1081"/>
        <v>FRC EAST</v>
      </c>
      <c r="B2660" t="str">
        <f t="shared" si="1081"/>
        <v>FRC EAST</v>
      </c>
      <c r="C2660" t="str">
        <f t="shared" si="1075"/>
        <v>PSC BOX 8021</v>
      </c>
      <c r="D2660" t="str">
        <f t="shared" si="1082"/>
        <v>CHERRY POINT</v>
      </c>
      <c r="E2660" t="str">
        <f t="shared" si="1083"/>
        <v>NC</v>
      </c>
      <c r="F2660" t="str">
        <f t="shared" si="1086"/>
        <v>285330021</v>
      </c>
      <c r="G2660" t="str">
        <f t="shared" si="1087"/>
        <v>FRC EAST</v>
      </c>
      <c r="H2660" t="str">
        <f t="shared" si="1088"/>
        <v>PSC BOX 8021</v>
      </c>
      <c r="I2660" t="str">
        <f t="shared" si="1084"/>
        <v>CHERRY POINT</v>
      </c>
      <c r="J2660" t="str">
        <f t="shared" si="1085"/>
        <v>NC</v>
      </c>
      <c r="K2660" t="str">
        <f t="shared" si="1089"/>
        <v/>
      </c>
      <c r="L2660" t="str">
        <f>T("2524648019")</f>
        <v>2524648019</v>
      </c>
    </row>
    <row r="2661" spans="1:12" x14ac:dyDescent="0.35">
      <c r="A2661" t="str">
        <f t="shared" si="1081"/>
        <v>FRC EAST</v>
      </c>
      <c r="B2661" t="str">
        <f t="shared" si="1081"/>
        <v>FRC EAST</v>
      </c>
      <c r="C2661" t="str">
        <f t="shared" ref="C2661:C2692" si="1090">T("PSC BOX 8021")</f>
        <v>PSC BOX 8021</v>
      </c>
      <c r="D2661" t="str">
        <f t="shared" si="1082"/>
        <v>CHERRY POINT</v>
      </c>
      <c r="E2661" t="str">
        <f t="shared" si="1083"/>
        <v>NC</v>
      </c>
      <c r="F2661" t="str">
        <f t="shared" si="1086"/>
        <v>285330021</v>
      </c>
      <c r="G2661" t="str">
        <f t="shared" si="1087"/>
        <v>FRC EAST</v>
      </c>
      <c r="H2661" t="str">
        <f t="shared" si="1088"/>
        <v>PSC BOX 8021</v>
      </c>
      <c r="I2661" t="str">
        <f t="shared" si="1084"/>
        <v>CHERRY POINT</v>
      </c>
      <c r="J2661" t="str">
        <f t="shared" si="1085"/>
        <v>NC</v>
      </c>
      <c r="K2661" t="str">
        <f t="shared" si="1089"/>
        <v/>
      </c>
      <c r="L2661" t="str">
        <f>T("2524648051")</f>
        <v>2524648051</v>
      </c>
    </row>
    <row r="2662" spans="1:12" x14ac:dyDescent="0.35">
      <c r="A2662" t="str">
        <f t="shared" ref="A2662:B2681" si="1091">T("FRC EAST")</f>
        <v>FRC EAST</v>
      </c>
      <c r="B2662" t="str">
        <f t="shared" si="1091"/>
        <v>FRC EAST</v>
      </c>
      <c r="C2662" t="str">
        <f t="shared" si="1090"/>
        <v>PSC BOX 8021</v>
      </c>
      <c r="D2662" t="str">
        <f t="shared" si="1082"/>
        <v>CHERRY POINT</v>
      </c>
      <c r="E2662" t="str">
        <f t="shared" si="1083"/>
        <v>NC</v>
      </c>
      <c r="F2662" t="str">
        <f t="shared" si="1086"/>
        <v>285330021</v>
      </c>
      <c r="G2662" t="str">
        <f t="shared" si="1087"/>
        <v>FRC EAST</v>
      </c>
      <c r="H2662" t="str">
        <f t="shared" si="1088"/>
        <v>PSC BOX 8021</v>
      </c>
      <c r="I2662" t="str">
        <f t="shared" si="1084"/>
        <v>CHERRY POINT</v>
      </c>
      <c r="J2662" t="str">
        <f t="shared" si="1085"/>
        <v>NC</v>
      </c>
      <c r="K2662" t="str">
        <f t="shared" si="1089"/>
        <v/>
      </c>
      <c r="L2662" t="str">
        <f>T("2524648110")</f>
        <v>2524648110</v>
      </c>
    </row>
    <row r="2663" spans="1:12" x14ac:dyDescent="0.35">
      <c r="A2663" t="str">
        <f t="shared" si="1091"/>
        <v>FRC EAST</v>
      </c>
      <c r="B2663" t="str">
        <f t="shared" si="1091"/>
        <v>FRC EAST</v>
      </c>
      <c r="C2663" t="str">
        <f t="shared" si="1090"/>
        <v>PSC BOX 8021</v>
      </c>
      <c r="D2663" t="str">
        <f t="shared" si="1082"/>
        <v>CHERRY POINT</v>
      </c>
      <c r="E2663" t="str">
        <f t="shared" si="1083"/>
        <v>NC</v>
      </c>
      <c r="F2663" t="str">
        <f t="shared" si="1086"/>
        <v>285330021</v>
      </c>
      <c r="G2663" t="str">
        <f t="shared" si="1087"/>
        <v>FRC EAST</v>
      </c>
      <c r="H2663" t="str">
        <f t="shared" si="1088"/>
        <v>PSC BOX 8021</v>
      </c>
      <c r="I2663" t="str">
        <f t="shared" si="1084"/>
        <v>CHERRY POINT</v>
      </c>
      <c r="J2663" t="str">
        <f t="shared" si="1085"/>
        <v>NC</v>
      </c>
      <c r="K2663" t="str">
        <f t="shared" si="1089"/>
        <v/>
      </c>
      <c r="L2663" t="str">
        <f>T("2524649273")</f>
        <v>2524649273</v>
      </c>
    </row>
    <row r="2664" spans="1:12" x14ac:dyDescent="0.35">
      <c r="A2664" t="str">
        <f t="shared" si="1091"/>
        <v>FRC EAST</v>
      </c>
      <c r="B2664" t="str">
        <f t="shared" si="1091"/>
        <v>FRC EAST</v>
      </c>
      <c r="C2664" t="str">
        <f t="shared" si="1090"/>
        <v>PSC BOX 8021</v>
      </c>
      <c r="D2664" t="str">
        <f t="shared" si="1082"/>
        <v>CHERRY POINT</v>
      </c>
      <c r="E2664" t="str">
        <f t="shared" si="1083"/>
        <v>NC</v>
      </c>
      <c r="F2664" t="str">
        <f t="shared" si="1086"/>
        <v>285330021</v>
      </c>
      <c r="G2664" t="str">
        <f t="shared" si="1087"/>
        <v>FRC EAST</v>
      </c>
      <c r="H2664" t="str">
        <f t="shared" si="1088"/>
        <v>PSC BOX 8021</v>
      </c>
      <c r="I2664" t="str">
        <f t="shared" si="1084"/>
        <v>CHERRY POINT</v>
      </c>
      <c r="J2664" t="str">
        <f t="shared" si="1085"/>
        <v>NC</v>
      </c>
      <c r="K2664" t="str">
        <f t="shared" si="1089"/>
        <v/>
      </c>
      <c r="L2664" t="str">
        <f>T("2524649397")</f>
        <v>2524649397</v>
      </c>
    </row>
    <row r="2665" spans="1:12" x14ac:dyDescent="0.35">
      <c r="A2665" t="str">
        <f t="shared" si="1091"/>
        <v>FRC EAST</v>
      </c>
      <c r="B2665" t="str">
        <f t="shared" si="1091"/>
        <v>FRC EAST</v>
      </c>
      <c r="C2665" t="str">
        <f t="shared" si="1090"/>
        <v>PSC BOX 8021</v>
      </c>
      <c r="D2665" t="str">
        <f t="shared" si="1082"/>
        <v>CHERRY POINT</v>
      </c>
      <c r="E2665" t="str">
        <f t="shared" si="1083"/>
        <v>NC</v>
      </c>
      <c r="F2665" t="str">
        <f t="shared" si="1086"/>
        <v>285330021</v>
      </c>
      <c r="G2665" t="str">
        <f t="shared" si="1087"/>
        <v>FRC EAST</v>
      </c>
      <c r="H2665" t="str">
        <f t="shared" si="1088"/>
        <v>PSC BOX 8021</v>
      </c>
      <c r="I2665" t="str">
        <f t="shared" si="1084"/>
        <v>CHERRY POINT</v>
      </c>
      <c r="J2665" t="str">
        <f t="shared" si="1085"/>
        <v>NC</v>
      </c>
      <c r="K2665" t="str">
        <f>T("2524647750")</f>
        <v>2524647750</v>
      </c>
      <c r="L2665" t="str">
        <f>T("2524649456")</f>
        <v>2524649456</v>
      </c>
    </row>
    <row r="2666" spans="1:12" x14ac:dyDescent="0.35">
      <c r="A2666" t="str">
        <f t="shared" si="1091"/>
        <v>FRC EAST</v>
      </c>
      <c r="B2666" t="str">
        <f t="shared" si="1091"/>
        <v>FRC EAST</v>
      </c>
      <c r="C2666" t="str">
        <f t="shared" si="1090"/>
        <v>PSC BOX 8021</v>
      </c>
      <c r="D2666" t="str">
        <f t="shared" si="1082"/>
        <v>CHERRY POINT</v>
      </c>
      <c r="E2666" t="str">
        <f t="shared" si="1083"/>
        <v>NC</v>
      </c>
      <c r="F2666" t="str">
        <f t="shared" si="1086"/>
        <v>285330021</v>
      </c>
      <c r="G2666" t="str">
        <f t="shared" si="1087"/>
        <v>FRC EAST</v>
      </c>
      <c r="H2666" t="str">
        <f t="shared" si="1088"/>
        <v>PSC BOX 8021</v>
      </c>
      <c r="I2666" t="str">
        <f t="shared" si="1084"/>
        <v>CHERRY POINT</v>
      </c>
      <c r="J2666" t="str">
        <f t="shared" si="1085"/>
        <v>NC</v>
      </c>
      <c r="K2666" t="str">
        <f>T("2524647843")</f>
        <v>2524647843</v>
      </c>
      <c r="L2666" t="str">
        <f>T("2524648982")</f>
        <v>2524648982</v>
      </c>
    </row>
    <row r="2667" spans="1:12" x14ac:dyDescent="0.35">
      <c r="A2667" t="str">
        <f t="shared" si="1091"/>
        <v>FRC EAST</v>
      </c>
      <c r="B2667" t="str">
        <f t="shared" si="1091"/>
        <v>FRC EAST</v>
      </c>
      <c r="C2667" t="str">
        <f t="shared" si="1090"/>
        <v>PSC BOX 8021</v>
      </c>
      <c r="D2667" t="str">
        <f t="shared" si="1082"/>
        <v>CHERRY POINT</v>
      </c>
      <c r="E2667" t="str">
        <f t="shared" si="1083"/>
        <v>NC</v>
      </c>
      <c r="F2667" t="str">
        <f t="shared" si="1086"/>
        <v>285330021</v>
      </c>
      <c r="G2667" t="str">
        <f t="shared" si="1087"/>
        <v>FRC EAST</v>
      </c>
      <c r="H2667" t="str">
        <f t="shared" si="1088"/>
        <v>PSC BOX 8021</v>
      </c>
      <c r="I2667" t="str">
        <f t="shared" si="1084"/>
        <v>CHERRY POINT</v>
      </c>
      <c r="J2667" t="str">
        <f t="shared" si="1085"/>
        <v>NC</v>
      </c>
      <c r="K2667" t="str">
        <f>T("2524648320")</f>
        <v>2524648320</v>
      </c>
      <c r="L2667" t="str">
        <f>T("2524647210")</f>
        <v>2524647210</v>
      </c>
    </row>
    <row r="2668" spans="1:12" x14ac:dyDescent="0.35">
      <c r="A2668" t="str">
        <f t="shared" si="1091"/>
        <v>FRC EAST</v>
      </c>
      <c r="B2668" t="str">
        <f t="shared" si="1091"/>
        <v>FRC EAST</v>
      </c>
      <c r="C2668" t="str">
        <f t="shared" si="1090"/>
        <v>PSC BOX 8021</v>
      </c>
      <c r="D2668" t="str">
        <f t="shared" si="1082"/>
        <v>CHERRY POINT</v>
      </c>
      <c r="E2668" t="str">
        <f t="shared" si="1083"/>
        <v>NC</v>
      </c>
      <c r="F2668" t="str">
        <f t="shared" si="1086"/>
        <v>285330021</v>
      </c>
      <c r="G2668" t="str">
        <f t="shared" si="1087"/>
        <v>FRC EAST</v>
      </c>
      <c r="H2668" t="str">
        <f t="shared" si="1088"/>
        <v>PSC BOX 8021</v>
      </c>
      <c r="I2668" t="str">
        <f t="shared" si="1084"/>
        <v>CHERRY POINT</v>
      </c>
      <c r="J2668" t="str">
        <f t="shared" si="1085"/>
        <v>NC</v>
      </c>
      <c r="K2668" t="str">
        <f>T("2524648818")</f>
        <v>2524648818</v>
      </c>
      <c r="L2668" t="str">
        <f>T("2524648964")</f>
        <v>2524648964</v>
      </c>
    </row>
    <row r="2669" spans="1:12" x14ac:dyDescent="0.35">
      <c r="A2669" t="str">
        <f t="shared" si="1091"/>
        <v>FRC EAST</v>
      </c>
      <c r="B2669" t="str">
        <f t="shared" si="1091"/>
        <v>FRC EAST</v>
      </c>
      <c r="C2669" t="str">
        <f t="shared" si="1090"/>
        <v>PSC BOX 8021</v>
      </c>
      <c r="D2669" t="str">
        <f t="shared" si="1082"/>
        <v>CHERRY POINT</v>
      </c>
      <c r="E2669" t="str">
        <f t="shared" si="1083"/>
        <v>NC</v>
      </c>
      <c r="F2669" t="str">
        <f t="shared" si="1086"/>
        <v>285330021</v>
      </c>
      <c r="G2669" t="str">
        <f>T("PO BOX 8021")</f>
        <v>PO BOX 8021</v>
      </c>
      <c r="H2669" t="str">
        <f>T("FRC EAST")</f>
        <v>FRC EAST</v>
      </c>
      <c r="I2669" t="str">
        <f t="shared" si="1084"/>
        <v>CHERRY POINT</v>
      </c>
      <c r="J2669" t="str">
        <f t="shared" si="1085"/>
        <v>NC</v>
      </c>
      <c r="K2669" t="str">
        <f t="shared" ref="K2669:K2699" si="1092">T("000000000000000000")</f>
        <v>000000000000000000</v>
      </c>
      <c r="L2669" t="str">
        <f>T("2524648487")</f>
        <v>2524648487</v>
      </c>
    </row>
    <row r="2670" spans="1:12" x14ac:dyDescent="0.35">
      <c r="A2670" t="str">
        <f t="shared" si="1091"/>
        <v>FRC EAST</v>
      </c>
      <c r="B2670" t="str">
        <f t="shared" si="1091"/>
        <v>FRC EAST</v>
      </c>
      <c r="C2670" t="str">
        <f t="shared" si="1090"/>
        <v>PSC BOX 8021</v>
      </c>
      <c r="D2670" t="str">
        <f t="shared" si="1082"/>
        <v>CHERRY POINT</v>
      </c>
      <c r="E2670" t="str">
        <f t="shared" si="1083"/>
        <v>NC</v>
      </c>
      <c r="F2670" t="str">
        <f t="shared" si="1086"/>
        <v>285330021</v>
      </c>
      <c r="G2670" t="str">
        <f t="shared" ref="G2670:G2707" si="1093">T("PSC BOX 8021")</f>
        <v>PSC BOX 8021</v>
      </c>
      <c r="H2670" t="str">
        <f t="shared" ref="H2670:H2700" si="1094">T("")</f>
        <v/>
      </c>
      <c r="I2670" t="str">
        <f t="shared" si="1084"/>
        <v>CHERRY POINT</v>
      </c>
      <c r="J2670" t="str">
        <f t="shared" si="1085"/>
        <v>NC</v>
      </c>
      <c r="K2670" t="str">
        <f t="shared" si="1092"/>
        <v>000000000000000000</v>
      </c>
      <c r="L2670" t="str">
        <f>T("2524645074")</f>
        <v>2524645074</v>
      </c>
    </row>
    <row r="2671" spans="1:12" x14ac:dyDescent="0.35">
      <c r="A2671" t="str">
        <f t="shared" si="1091"/>
        <v>FRC EAST</v>
      </c>
      <c r="B2671" t="str">
        <f t="shared" si="1091"/>
        <v>FRC EAST</v>
      </c>
      <c r="C2671" t="str">
        <f t="shared" si="1090"/>
        <v>PSC BOX 8021</v>
      </c>
      <c r="D2671" t="str">
        <f t="shared" si="1082"/>
        <v>CHERRY POINT</v>
      </c>
      <c r="E2671" t="str">
        <f t="shared" si="1083"/>
        <v>NC</v>
      </c>
      <c r="F2671" t="str">
        <f t="shared" si="1086"/>
        <v>285330021</v>
      </c>
      <c r="G2671" t="str">
        <f t="shared" si="1093"/>
        <v>PSC BOX 8021</v>
      </c>
      <c r="H2671" t="str">
        <f t="shared" si="1094"/>
        <v/>
      </c>
      <c r="I2671" t="str">
        <f t="shared" si="1084"/>
        <v>CHERRY POINT</v>
      </c>
      <c r="J2671" t="str">
        <f t="shared" si="1085"/>
        <v>NC</v>
      </c>
      <c r="K2671" t="str">
        <f t="shared" si="1092"/>
        <v>000000000000000000</v>
      </c>
      <c r="L2671" t="str">
        <f>T("2524645075")</f>
        <v>2524645075</v>
      </c>
    </row>
    <row r="2672" spans="1:12" x14ac:dyDescent="0.35">
      <c r="A2672" t="str">
        <f t="shared" si="1091"/>
        <v>FRC EAST</v>
      </c>
      <c r="B2672" t="str">
        <f t="shared" si="1091"/>
        <v>FRC EAST</v>
      </c>
      <c r="C2672" t="str">
        <f t="shared" si="1090"/>
        <v>PSC BOX 8021</v>
      </c>
      <c r="D2672" t="str">
        <f t="shared" si="1082"/>
        <v>CHERRY POINT</v>
      </c>
      <c r="E2672" t="str">
        <f t="shared" si="1083"/>
        <v>NC</v>
      </c>
      <c r="F2672" t="str">
        <f t="shared" si="1086"/>
        <v>285330021</v>
      </c>
      <c r="G2672" t="str">
        <f t="shared" si="1093"/>
        <v>PSC BOX 8021</v>
      </c>
      <c r="H2672" t="str">
        <f t="shared" si="1094"/>
        <v/>
      </c>
      <c r="I2672" t="str">
        <f t="shared" si="1084"/>
        <v>CHERRY POINT</v>
      </c>
      <c r="J2672" t="str">
        <f t="shared" si="1085"/>
        <v>NC</v>
      </c>
      <c r="K2672" t="str">
        <f t="shared" si="1092"/>
        <v>000000000000000000</v>
      </c>
      <c r="L2672" t="str">
        <f>T("2524645647")</f>
        <v>2524645647</v>
      </c>
    </row>
    <row r="2673" spans="1:12" x14ac:dyDescent="0.35">
      <c r="A2673" t="str">
        <f t="shared" si="1091"/>
        <v>FRC EAST</v>
      </c>
      <c r="B2673" t="str">
        <f t="shared" si="1091"/>
        <v>FRC EAST</v>
      </c>
      <c r="C2673" t="str">
        <f t="shared" si="1090"/>
        <v>PSC BOX 8021</v>
      </c>
      <c r="D2673" t="str">
        <f t="shared" si="1082"/>
        <v>CHERRY POINT</v>
      </c>
      <c r="E2673" t="str">
        <f t="shared" si="1083"/>
        <v>NC</v>
      </c>
      <c r="F2673" t="str">
        <f t="shared" si="1086"/>
        <v>285330021</v>
      </c>
      <c r="G2673" t="str">
        <f t="shared" si="1093"/>
        <v>PSC BOX 8021</v>
      </c>
      <c r="H2673" t="str">
        <f t="shared" si="1094"/>
        <v/>
      </c>
      <c r="I2673" t="str">
        <f t="shared" si="1084"/>
        <v>CHERRY POINT</v>
      </c>
      <c r="J2673" t="str">
        <f t="shared" si="1085"/>
        <v>NC</v>
      </c>
      <c r="K2673" t="str">
        <f t="shared" si="1092"/>
        <v>000000000000000000</v>
      </c>
      <c r="L2673" t="str">
        <f>T("2524646030")</f>
        <v>2524646030</v>
      </c>
    </row>
    <row r="2674" spans="1:12" x14ac:dyDescent="0.35">
      <c r="A2674" t="str">
        <f t="shared" si="1091"/>
        <v>FRC EAST</v>
      </c>
      <c r="B2674" t="str">
        <f t="shared" si="1091"/>
        <v>FRC EAST</v>
      </c>
      <c r="C2674" t="str">
        <f t="shared" si="1090"/>
        <v>PSC BOX 8021</v>
      </c>
      <c r="D2674" t="str">
        <f t="shared" si="1082"/>
        <v>CHERRY POINT</v>
      </c>
      <c r="E2674" t="str">
        <f t="shared" si="1083"/>
        <v>NC</v>
      </c>
      <c r="F2674" t="str">
        <f t="shared" si="1086"/>
        <v>285330021</v>
      </c>
      <c r="G2674" t="str">
        <f t="shared" si="1093"/>
        <v>PSC BOX 8021</v>
      </c>
      <c r="H2674" t="str">
        <f t="shared" si="1094"/>
        <v/>
      </c>
      <c r="I2674" t="str">
        <f t="shared" si="1084"/>
        <v>CHERRY POINT</v>
      </c>
      <c r="J2674" t="str">
        <f t="shared" si="1085"/>
        <v>NC</v>
      </c>
      <c r="K2674" t="str">
        <f t="shared" si="1092"/>
        <v>000000000000000000</v>
      </c>
      <c r="L2674" t="str">
        <f>T("2524646842")</f>
        <v>2524646842</v>
      </c>
    </row>
    <row r="2675" spans="1:12" x14ac:dyDescent="0.35">
      <c r="A2675" t="str">
        <f t="shared" si="1091"/>
        <v>FRC EAST</v>
      </c>
      <c r="B2675" t="str">
        <f t="shared" si="1091"/>
        <v>FRC EAST</v>
      </c>
      <c r="C2675" t="str">
        <f t="shared" si="1090"/>
        <v>PSC BOX 8021</v>
      </c>
      <c r="D2675" t="str">
        <f t="shared" si="1082"/>
        <v>CHERRY POINT</v>
      </c>
      <c r="E2675" t="str">
        <f t="shared" si="1083"/>
        <v>NC</v>
      </c>
      <c r="F2675" t="str">
        <f t="shared" si="1086"/>
        <v>285330021</v>
      </c>
      <c r="G2675" t="str">
        <f t="shared" si="1093"/>
        <v>PSC BOX 8021</v>
      </c>
      <c r="H2675" t="str">
        <f t="shared" si="1094"/>
        <v/>
      </c>
      <c r="I2675" t="str">
        <f t="shared" si="1084"/>
        <v>CHERRY POINT</v>
      </c>
      <c r="J2675" t="str">
        <f t="shared" si="1085"/>
        <v>NC</v>
      </c>
      <c r="K2675" t="str">
        <f t="shared" si="1092"/>
        <v>000000000000000000</v>
      </c>
      <c r="L2675" t="str">
        <f>T("2524646991")</f>
        <v>2524646991</v>
      </c>
    </row>
    <row r="2676" spans="1:12" x14ac:dyDescent="0.35">
      <c r="A2676" t="str">
        <f t="shared" si="1091"/>
        <v>FRC EAST</v>
      </c>
      <c r="B2676" t="str">
        <f t="shared" si="1091"/>
        <v>FRC EAST</v>
      </c>
      <c r="C2676" t="str">
        <f t="shared" si="1090"/>
        <v>PSC BOX 8021</v>
      </c>
      <c r="D2676" t="str">
        <f t="shared" si="1082"/>
        <v>CHERRY POINT</v>
      </c>
      <c r="E2676" t="str">
        <f t="shared" si="1083"/>
        <v>NC</v>
      </c>
      <c r="F2676" t="str">
        <f t="shared" si="1086"/>
        <v>285330021</v>
      </c>
      <c r="G2676" t="str">
        <f t="shared" si="1093"/>
        <v>PSC BOX 8021</v>
      </c>
      <c r="H2676" t="str">
        <f t="shared" si="1094"/>
        <v/>
      </c>
      <c r="I2676" t="str">
        <f t="shared" si="1084"/>
        <v>CHERRY POINT</v>
      </c>
      <c r="J2676" t="str">
        <f t="shared" si="1085"/>
        <v>NC</v>
      </c>
      <c r="K2676" t="str">
        <f t="shared" si="1092"/>
        <v>000000000000000000</v>
      </c>
      <c r="L2676" t="str">
        <f>T("2524647029")</f>
        <v>2524647029</v>
      </c>
    </row>
    <row r="2677" spans="1:12" x14ac:dyDescent="0.35">
      <c r="A2677" t="str">
        <f t="shared" si="1091"/>
        <v>FRC EAST</v>
      </c>
      <c r="B2677" t="str">
        <f t="shared" si="1091"/>
        <v>FRC EAST</v>
      </c>
      <c r="C2677" t="str">
        <f t="shared" si="1090"/>
        <v>PSC BOX 8021</v>
      </c>
      <c r="D2677" t="str">
        <f t="shared" si="1082"/>
        <v>CHERRY POINT</v>
      </c>
      <c r="E2677" t="str">
        <f t="shared" si="1083"/>
        <v>NC</v>
      </c>
      <c r="F2677" t="str">
        <f t="shared" si="1086"/>
        <v>285330021</v>
      </c>
      <c r="G2677" t="str">
        <f t="shared" si="1093"/>
        <v>PSC BOX 8021</v>
      </c>
      <c r="H2677" t="str">
        <f t="shared" si="1094"/>
        <v/>
      </c>
      <c r="I2677" t="str">
        <f t="shared" si="1084"/>
        <v>CHERRY POINT</v>
      </c>
      <c r="J2677" t="str">
        <f t="shared" si="1085"/>
        <v>NC</v>
      </c>
      <c r="K2677" t="str">
        <f t="shared" si="1092"/>
        <v>000000000000000000</v>
      </c>
      <c r="L2677" t="str">
        <f>T("2524647083")</f>
        <v>2524647083</v>
      </c>
    </row>
    <row r="2678" spans="1:12" x14ac:dyDescent="0.35">
      <c r="A2678" t="str">
        <f t="shared" si="1091"/>
        <v>FRC EAST</v>
      </c>
      <c r="B2678" t="str">
        <f t="shared" si="1091"/>
        <v>FRC EAST</v>
      </c>
      <c r="C2678" t="str">
        <f t="shared" si="1090"/>
        <v>PSC BOX 8021</v>
      </c>
      <c r="D2678" t="str">
        <f t="shared" si="1082"/>
        <v>CHERRY POINT</v>
      </c>
      <c r="E2678" t="str">
        <f t="shared" si="1083"/>
        <v>NC</v>
      </c>
      <c r="F2678" t="str">
        <f t="shared" si="1086"/>
        <v>285330021</v>
      </c>
      <c r="G2678" t="str">
        <f t="shared" si="1093"/>
        <v>PSC BOX 8021</v>
      </c>
      <c r="H2678" t="str">
        <f t="shared" si="1094"/>
        <v/>
      </c>
      <c r="I2678" t="str">
        <f t="shared" si="1084"/>
        <v>CHERRY POINT</v>
      </c>
      <c r="J2678" t="str">
        <f t="shared" si="1085"/>
        <v>NC</v>
      </c>
      <c r="K2678" t="str">
        <f t="shared" si="1092"/>
        <v>000000000000000000</v>
      </c>
      <c r="L2678" t="str">
        <f>T("2524647119")</f>
        <v>2524647119</v>
      </c>
    </row>
    <row r="2679" spans="1:12" x14ac:dyDescent="0.35">
      <c r="A2679" t="str">
        <f t="shared" si="1091"/>
        <v>FRC EAST</v>
      </c>
      <c r="B2679" t="str">
        <f t="shared" si="1091"/>
        <v>FRC EAST</v>
      </c>
      <c r="C2679" t="str">
        <f t="shared" si="1090"/>
        <v>PSC BOX 8021</v>
      </c>
      <c r="D2679" t="str">
        <f t="shared" si="1082"/>
        <v>CHERRY POINT</v>
      </c>
      <c r="E2679" t="str">
        <f t="shared" si="1083"/>
        <v>NC</v>
      </c>
      <c r="F2679" t="str">
        <f t="shared" si="1086"/>
        <v>285330021</v>
      </c>
      <c r="G2679" t="str">
        <f t="shared" si="1093"/>
        <v>PSC BOX 8021</v>
      </c>
      <c r="H2679" t="str">
        <f t="shared" si="1094"/>
        <v/>
      </c>
      <c r="I2679" t="str">
        <f t="shared" si="1084"/>
        <v>CHERRY POINT</v>
      </c>
      <c r="J2679" t="str">
        <f t="shared" si="1085"/>
        <v>NC</v>
      </c>
      <c r="K2679" t="str">
        <f t="shared" si="1092"/>
        <v>000000000000000000</v>
      </c>
      <c r="L2679" t="str">
        <f>T("2524647190")</f>
        <v>2524647190</v>
      </c>
    </row>
    <row r="2680" spans="1:12" x14ac:dyDescent="0.35">
      <c r="A2680" t="str">
        <f t="shared" si="1091"/>
        <v>FRC EAST</v>
      </c>
      <c r="B2680" t="str">
        <f t="shared" si="1091"/>
        <v>FRC EAST</v>
      </c>
      <c r="C2680" t="str">
        <f t="shared" si="1090"/>
        <v>PSC BOX 8021</v>
      </c>
      <c r="D2680" t="str">
        <f t="shared" si="1082"/>
        <v>CHERRY POINT</v>
      </c>
      <c r="E2680" t="str">
        <f t="shared" si="1083"/>
        <v>NC</v>
      </c>
      <c r="F2680" t="str">
        <f t="shared" si="1086"/>
        <v>285330021</v>
      </c>
      <c r="G2680" t="str">
        <f t="shared" si="1093"/>
        <v>PSC BOX 8021</v>
      </c>
      <c r="H2680" t="str">
        <f t="shared" si="1094"/>
        <v/>
      </c>
      <c r="I2680" t="str">
        <f t="shared" si="1084"/>
        <v>CHERRY POINT</v>
      </c>
      <c r="J2680" t="str">
        <f t="shared" si="1085"/>
        <v>NC</v>
      </c>
      <c r="K2680" t="str">
        <f t="shared" si="1092"/>
        <v>000000000000000000</v>
      </c>
      <c r="L2680" t="str">
        <f>T("2524647201")</f>
        <v>2524647201</v>
      </c>
    </row>
    <row r="2681" spans="1:12" x14ac:dyDescent="0.35">
      <c r="A2681" t="str">
        <f t="shared" si="1091"/>
        <v>FRC EAST</v>
      </c>
      <c r="B2681" t="str">
        <f t="shared" si="1091"/>
        <v>FRC EAST</v>
      </c>
      <c r="C2681" t="str">
        <f t="shared" si="1090"/>
        <v>PSC BOX 8021</v>
      </c>
      <c r="D2681" t="str">
        <f t="shared" si="1082"/>
        <v>CHERRY POINT</v>
      </c>
      <c r="E2681" t="str">
        <f t="shared" si="1083"/>
        <v>NC</v>
      </c>
      <c r="F2681" t="str">
        <f t="shared" si="1086"/>
        <v>285330021</v>
      </c>
      <c r="G2681" t="str">
        <f t="shared" si="1093"/>
        <v>PSC BOX 8021</v>
      </c>
      <c r="H2681" t="str">
        <f t="shared" si="1094"/>
        <v/>
      </c>
      <c r="I2681" t="str">
        <f t="shared" si="1084"/>
        <v>CHERRY POINT</v>
      </c>
      <c r="J2681" t="str">
        <f t="shared" si="1085"/>
        <v>NC</v>
      </c>
      <c r="K2681" t="str">
        <f t="shared" si="1092"/>
        <v>000000000000000000</v>
      </c>
      <c r="L2681" t="str">
        <f>T("2524647247")</f>
        <v>2524647247</v>
      </c>
    </row>
    <row r="2682" spans="1:12" x14ac:dyDescent="0.35">
      <c r="A2682" t="str">
        <f t="shared" ref="A2682:B2701" si="1095">T("FRC EAST")</f>
        <v>FRC EAST</v>
      </c>
      <c r="B2682" t="str">
        <f t="shared" si="1095"/>
        <v>FRC EAST</v>
      </c>
      <c r="C2682" t="str">
        <f t="shared" si="1090"/>
        <v>PSC BOX 8021</v>
      </c>
      <c r="D2682" t="str">
        <f t="shared" si="1082"/>
        <v>CHERRY POINT</v>
      </c>
      <c r="E2682" t="str">
        <f t="shared" si="1083"/>
        <v>NC</v>
      </c>
      <c r="F2682" t="str">
        <f t="shared" si="1086"/>
        <v>285330021</v>
      </c>
      <c r="G2682" t="str">
        <f t="shared" si="1093"/>
        <v>PSC BOX 8021</v>
      </c>
      <c r="H2682" t="str">
        <f t="shared" si="1094"/>
        <v/>
      </c>
      <c r="I2682" t="str">
        <f t="shared" si="1084"/>
        <v>CHERRY POINT</v>
      </c>
      <c r="J2682" t="str">
        <f t="shared" si="1085"/>
        <v>NC</v>
      </c>
      <c r="K2682" t="str">
        <f t="shared" si="1092"/>
        <v>000000000000000000</v>
      </c>
      <c r="L2682" t="str">
        <f>T("2524647397")</f>
        <v>2524647397</v>
      </c>
    </row>
    <row r="2683" spans="1:12" x14ac:dyDescent="0.35">
      <c r="A2683" t="str">
        <f t="shared" si="1095"/>
        <v>FRC EAST</v>
      </c>
      <c r="B2683" t="str">
        <f t="shared" si="1095"/>
        <v>FRC EAST</v>
      </c>
      <c r="C2683" t="str">
        <f t="shared" si="1090"/>
        <v>PSC BOX 8021</v>
      </c>
      <c r="D2683" t="str">
        <f t="shared" si="1082"/>
        <v>CHERRY POINT</v>
      </c>
      <c r="E2683" t="str">
        <f t="shared" si="1083"/>
        <v>NC</v>
      </c>
      <c r="F2683" t="str">
        <f t="shared" si="1086"/>
        <v>285330021</v>
      </c>
      <c r="G2683" t="str">
        <f t="shared" si="1093"/>
        <v>PSC BOX 8021</v>
      </c>
      <c r="H2683" t="str">
        <f t="shared" si="1094"/>
        <v/>
      </c>
      <c r="I2683" t="str">
        <f t="shared" si="1084"/>
        <v>CHERRY POINT</v>
      </c>
      <c r="J2683" t="str">
        <f t="shared" si="1085"/>
        <v>NC</v>
      </c>
      <c r="K2683" t="str">
        <f t="shared" si="1092"/>
        <v>000000000000000000</v>
      </c>
      <c r="L2683" t="str">
        <f>T("2524647624")</f>
        <v>2524647624</v>
      </c>
    </row>
    <row r="2684" spans="1:12" x14ac:dyDescent="0.35">
      <c r="A2684" t="str">
        <f t="shared" si="1095"/>
        <v>FRC EAST</v>
      </c>
      <c r="B2684" t="str">
        <f t="shared" si="1095"/>
        <v>FRC EAST</v>
      </c>
      <c r="C2684" t="str">
        <f t="shared" si="1090"/>
        <v>PSC BOX 8021</v>
      </c>
      <c r="D2684" t="str">
        <f t="shared" si="1082"/>
        <v>CHERRY POINT</v>
      </c>
      <c r="E2684" t="str">
        <f t="shared" si="1083"/>
        <v>NC</v>
      </c>
      <c r="F2684" t="str">
        <f t="shared" si="1086"/>
        <v>285330021</v>
      </c>
      <c r="G2684" t="str">
        <f t="shared" si="1093"/>
        <v>PSC BOX 8021</v>
      </c>
      <c r="H2684" t="str">
        <f t="shared" si="1094"/>
        <v/>
      </c>
      <c r="I2684" t="str">
        <f t="shared" si="1084"/>
        <v>CHERRY POINT</v>
      </c>
      <c r="J2684" t="str">
        <f t="shared" si="1085"/>
        <v>NC</v>
      </c>
      <c r="K2684" t="str">
        <f t="shared" si="1092"/>
        <v>000000000000000000</v>
      </c>
      <c r="L2684" t="str">
        <f>T("2524647670")</f>
        <v>2524647670</v>
      </c>
    </row>
    <row r="2685" spans="1:12" x14ac:dyDescent="0.35">
      <c r="A2685" t="str">
        <f t="shared" si="1095"/>
        <v>FRC EAST</v>
      </c>
      <c r="B2685" t="str">
        <f t="shared" si="1095"/>
        <v>FRC EAST</v>
      </c>
      <c r="C2685" t="str">
        <f t="shared" si="1090"/>
        <v>PSC BOX 8021</v>
      </c>
      <c r="D2685" t="str">
        <f t="shared" si="1082"/>
        <v>CHERRY POINT</v>
      </c>
      <c r="E2685" t="str">
        <f t="shared" si="1083"/>
        <v>NC</v>
      </c>
      <c r="F2685" t="str">
        <f t="shared" si="1086"/>
        <v>285330021</v>
      </c>
      <c r="G2685" t="str">
        <f t="shared" si="1093"/>
        <v>PSC BOX 8021</v>
      </c>
      <c r="H2685" t="str">
        <f t="shared" si="1094"/>
        <v/>
      </c>
      <c r="I2685" t="str">
        <f t="shared" si="1084"/>
        <v>CHERRY POINT</v>
      </c>
      <c r="J2685" t="str">
        <f t="shared" si="1085"/>
        <v>NC</v>
      </c>
      <c r="K2685" t="str">
        <f t="shared" si="1092"/>
        <v>000000000000000000</v>
      </c>
      <c r="L2685" t="str">
        <f>T("2524647763")</f>
        <v>2524647763</v>
      </c>
    </row>
    <row r="2686" spans="1:12" x14ac:dyDescent="0.35">
      <c r="A2686" t="str">
        <f t="shared" si="1095"/>
        <v>FRC EAST</v>
      </c>
      <c r="B2686" t="str">
        <f t="shared" si="1095"/>
        <v>FRC EAST</v>
      </c>
      <c r="C2686" t="str">
        <f t="shared" si="1090"/>
        <v>PSC BOX 8021</v>
      </c>
      <c r="D2686" t="str">
        <f t="shared" ref="D2686:D2707" si="1096">T("CHERRY POINT")</f>
        <v>CHERRY POINT</v>
      </c>
      <c r="E2686" t="str">
        <f t="shared" ref="E2686:E2707" si="1097">T("NC")</f>
        <v>NC</v>
      </c>
      <c r="F2686" t="str">
        <f t="shared" si="1086"/>
        <v>285330021</v>
      </c>
      <c r="G2686" t="str">
        <f t="shared" si="1093"/>
        <v>PSC BOX 8021</v>
      </c>
      <c r="H2686" t="str">
        <f t="shared" si="1094"/>
        <v/>
      </c>
      <c r="I2686" t="str">
        <f t="shared" ref="I2686:I2707" si="1098">T("CHERRY POINT")</f>
        <v>CHERRY POINT</v>
      </c>
      <c r="J2686" t="str">
        <f t="shared" ref="J2686:J2707" si="1099">T("NC")</f>
        <v>NC</v>
      </c>
      <c r="K2686" t="str">
        <f t="shared" si="1092"/>
        <v>000000000000000000</v>
      </c>
      <c r="L2686" t="str">
        <f>T("2524647820")</f>
        <v>2524647820</v>
      </c>
    </row>
    <row r="2687" spans="1:12" x14ac:dyDescent="0.35">
      <c r="A2687" t="str">
        <f t="shared" si="1095"/>
        <v>FRC EAST</v>
      </c>
      <c r="B2687" t="str">
        <f t="shared" si="1095"/>
        <v>FRC EAST</v>
      </c>
      <c r="C2687" t="str">
        <f t="shared" si="1090"/>
        <v>PSC BOX 8021</v>
      </c>
      <c r="D2687" t="str">
        <f t="shared" si="1096"/>
        <v>CHERRY POINT</v>
      </c>
      <c r="E2687" t="str">
        <f t="shared" si="1097"/>
        <v>NC</v>
      </c>
      <c r="F2687" t="str">
        <f t="shared" si="1086"/>
        <v>285330021</v>
      </c>
      <c r="G2687" t="str">
        <f t="shared" si="1093"/>
        <v>PSC BOX 8021</v>
      </c>
      <c r="H2687" t="str">
        <f t="shared" si="1094"/>
        <v/>
      </c>
      <c r="I2687" t="str">
        <f t="shared" si="1098"/>
        <v>CHERRY POINT</v>
      </c>
      <c r="J2687" t="str">
        <f t="shared" si="1099"/>
        <v>NC</v>
      </c>
      <c r="K2687" t="str">
        <f t="shared" si="1092"/>
        <v>000000000000000000</v>
      </c>
      <c r="L2687" t="str">
        <f>T("2524647823")</f>
        <v>2524647823</v>
      </c>
    </row>
    <row r="2688" spans="1:12" x14ac:dyDescent="0.35">
      <c r="A2688" t="str">
        <f t="shared" si="1095"/>
        <v>FRC EAST</v>
      </c>
      <c r="B2688" t="str">
        <f t="shared" si="1095"/>
        <v>FRC EAST</v>
      </c>
      <c r="C2688" t="str">
        <f t="shared" si="1090"/>
        <v>PSC BOX 8021</v>
      </c>
      <c r="D2688" t="str">
        <f t="shared" si="1096"/>
        <v>CHERRY POINT</v>
      </c>
      <c r="E2688" t="str">
        <f t="shared" si="1097"/>
        <v>NC</v>
      </c>
      <c r="F2688" t="str">
        <f t="shared" si="1086"/>
        <v>285330021</v>
      </c>
      <c r="G2688" t="str">
        <f t="shared" si="1093"/>
        <v>PSC BOX 8021</v>
      </c>
      <c r="H2688" t="str">
        <f t="shared" si="1094"/>
        <v/>
      </c>
      <c r="I2688" t="str">
        <f t="shared" si="1098"/>
        <v>CHERRY POINT</v>
      </c>
      <c r="J2688" t="str">
        <f t="shared" si="1099"/>
        <v>NC</v>
      </c>
      <c r="K2688" t="str">
        <f t="shared" si="1092"/>
        <v>000000000000000000</v>
      </c>
      <c r="L2688" t="str">
        <f>T("2524647889")</f>
        <v>2524647889</v>
      </c>
    </row>
    <row r="2689" spans="1:12" x14ac:dyDescent="0.35">
      <c r="A2689" t="str">
        <f t="shared" si="1095"/>
        <v>FRC EAST</v>
      </c>
      <c r="B2689" t="str">
        <f t="shared" si="1095"/>
        <v>FRC EAST</v>
      </c>
      <c r="C2689" t="str">
        <f t="shared" si="1090"/>
        <v>PSC BOX 8021</v>
      </c>
      <c r="D2689" t="str">
        <f t="shared" si="1096"/>
        <v>CHERRY POINT</v>
      </c>
      <c r="E2689" t="str">
        <f t="shared" si="1097"/>
        <v>NC</v>
      </c>
      <c r="F2689" t="str">
        <f t="shared" si="1086"/>
        <v>285330021</v>
      </c>
      <c r="G2689" t="str">
        <f t="shared" si="1093"/>
        <v>PSC BOX 8021</v>
      </c>
      <c r="H2689" t="str">
        <f t="shared" si="1094"/>
        <v/>
      </c>
      <c r="I2689" t="str">
        <f t="shared" si="1098"/>
        <v>CHERRY POINT</v>
      </c>
      <c r="J2689" t="str">
        <f t="shared" si="1099"/>
        <v>NC</v>
      </c>
      <c r="K2689" t="str">
        <f t="shared" si="1092"/>
        <v>000000000000000000</v>
      </c>
      <c r="L2689" t="str">
        <f>T("2524648412")</f>
        <v>2524648412</v>
      </c>
    </row>
    <row r="2690" spans="1:12" x14ac:dyDescent="0.35">
      <c r="A2690" t="str">
        <f t="shared" si="1095"/>
        <v>FRC EAST</v>
      </c>
      <c r="B2690" t="str">
        <f t="shared" si="1095"/>
        <v>FRC EAST</v>
      </c>
      <c r="C2690" t="str">
        <f t="shared" si="1090"/>
        <v>PSC BOX 8021</v>
      </c>
      <c r="D2690" t="str">
        <f t="shared" si="1096"/>
        <v>CHERRY POINT</v>
      </c>
      <c r="E2690" t="str">
        <f t="shared" si="1097"/>
        <v>NC</v>
      </c>
      <c r="F2690" t="str">
        <f t="shared" ref="F2690:F2707" si="1100">T("285330021")</f>
        <v>285330021</v>
      </c>
      <c r="G2690" t="str">
        <f t="shared" si="1093"/>
        <v>PSC BOX 8021</v>
      </c>
      <c r="H2690" t="str">
        <f t="shared" si="1094"/>
        <v/>
      </c>
      <c r="I2690" t="str">
        <f t="shared" si="1098"/>
        <v>CHERRY POINT</v>
      </c>
      <c r="J2690" t="str">
        <f t="shared" si="1099"/>
        <v>NC</v>
      </c>
      <c r="K2690" t="str">
        <f t="shared" si="1092"/>
        <v>000000000000000000</v>
      </c>
      <c r="L2690" t="str">
        <f>T("2524648689")</f>
        <v>2524648689</v>
      </c>
    </row>
    <row r="2691" spans="1:12" x14ac:dyDescent="0.35">
      <c r="A2691" t="str">
        <f t="shared" si="1095"/>
        <v>FRC EAST</v>
      </c>
      <c r="B2691" t="str">
        <f t="shared" si="1095"/>
        <v>FRC EAST</v>
      </c>
      <c r="C2691" t="str">
        <f t="shared" si="1090"/>
        <v>PSC BOX 8021</v>
      </c>
      <c r="D2691" t="str">
        <f t="shared" si="1096"/>
        <v>CHERRY POINT</v>
      </c>
      <c r="E2691" t="str">
        <f t="shared" si="1097"/>
        <v>NC</v>
      </c>
      <c r="F2691" t="str">
        <f t="shared" si="1100"/>
        <v>285330021</v>
      </c>
      <c r="G2691" t="str">
        <f t="shared" si="1093"/>
        <v>PSC BOX 8021</v>
      </c>
      <c r="H2691" t="str">
        <f t="shared" si="1094"/>
        <v/>
      </c>
      <c r="I2691" t="str">
        <f t="shared" si="1098"/>
        <v>CHERRY POINT</v>
      </c>
      <c r="J2691" t="str">
        <f t="shared" si="1099"/>
        <v>NC</v>
      </c>
      <c r="K2691" t="str">
        <f t="shared" si="1092"/>
        <v>000000000000000000</v>
      </c>
      <c r="L2691" t="str">
        <f>T("2524649013")</f>
        <v>2524649013</v>
      </c>
    </row>
    <row r="2692" spans="1:12" x14ac:dyDescent="0.35">
      <c r="A2692" t="str">
        <f t="shared" si="1095"/>
        <v>FRC EAST</v>
      </c>
      <c r="B2692" t="str">
        <f t="shared" si="1095"/>
        <v>FRC EAST</v>
      </c>
      <c r="C2692" t="str">
        <f t="shared" si="1090"/>
        <v>PSC BOX 8021</v>
      </c>
      <c r="D2692" t="str">
        <f t="shared" si="1096"/>
        <v>CHERRY POINT</v>
      </c>
      <c r="E2692" t="str">
        <f t="shared" si="1097"/>
        <v>NC</v>
      </c>
      <c r="F2692" t="str">
        <f t="shared" si="1100"/>
        <v>285330021</v>
      </c>
      <c r="G2692" t="str">
        <f t="shared" si="1093"/>
        <v>PSC BOX 8021</v>
      </c>
      <c r="H2692" t="str">
        <f t="shared" si="1094"/>
        <v/>
      </c>
      <c r="I2692" t="str">
        <f t="shared" si="1098"/>
        <v>CHERRY POINT</v>
      </c>
      <c r="J2692" t="str">
        <f t="shared" si="1099"/>
        <v>NC</v>
      </c>
      <c r="K2692" t="str">
        <f t="shared" si="1092"/>
        <v>000000000000000000</v>
      </c>
      <c r="L2692" t="str">
        <f>T("2524649297")</f>
        <v>2524649297</v>
      </c>
    </row>
    <row r="2693" spans="1:12" x14ac:dyDescent="0.35">
      <c r="A2693" t="str">
        <f t="shared" si="1095"/>
        <v>FRC EAST</v>
      </c>
      <c r="B2693" t="str">
        <f t="shared" si="1095"/>
        <v>FRC EAST</v>
      </c>
      <c r="C2693" t="str">
        <f t="shared" ref="C2693:C2707" si="1101">T("PSC BOX 8021")</f>
        <v>PSC BOX 8021</v>
      </c>
      <c r="D2693" t="str">
        <f t="shared" si="1096"/>
        <v>CHERRY POINT</v>
      </c>
      <c r="E2693" t="str">
        <f t="shared" si="1097"/>
        <v>NC</v>
      </c>
      <c r="F2693" t="str">
        <f t="shared" si="1100"/>
        <v>285330021</v>
      </c>
      <c r="G2693" t="str">
        <f t="shared" si="1093"/>
        <v>PSC BOX 8021</v>
      </c>
      <c r="H2693" t="str">
        <f t="shared" si="1094"/>
        <v/>
      </c>
      <c r="I2693" t="str">
        <f t="shared" si="1098"/>
        <v>CHERRY POINT</v>
      </c>
      <c r="J2693" t="str">
        <f t="shared" si="1099"/>
        <v>NC</v>
      </c>
      <c r="K2693" t="str">
        <f t="shared" si="1092"/>
        <v>000000000000000000</v>
      </c>
      <c r="L2693" t="str">
        <f>T("2524649324")</f>
        <v>2524649324</v>
      </c>
    </row>
    <row r="2694" spans="1:12" x14ac:dyDescent="0.35">
      <c r="A2694" t="str">
        <f t="shared" si="1095"/>
        <v>FRC EAST</v>
      </c>
      <c r="B2694" t="str">
        <f t="shared" si="1095"/>
        <v>FRC EAST</v>
      </c>
      <c r="C2694" t="str">
        <f t="shared" si="1101"/>
        <v>PSC BOX 8021</v>
      </c>
      <c r="D2694" t="str">
        <f t="shared" si="1096"/>
        <v>CHERRY POINT</v>
      </c>
      <c r="E2694" t="str">
        <f t="shared" si="1097"/>
        <v>NC</v>
      </c>
      <c r="F2694" t="str">
        <f t="shared" si="1100"/>
        <v>285330021</v>
      </c>
      <c r="G2694" t="str">
        <f t="shared" si="1093"/>
        <v>PSC BOX 8021</v>
      </c>
      <c r="H2694" t="str">
        <f t="shared" si="1094"/>
        <v/>
      </c>
      <c r="I2694" t="str">
        <f t="shared" si="1098"/>
        <v>CHERRY POINT</v>
      </c>
      <c r="J2694" t="str">
        <f t="shared" si="1099"/>
        <v>NC</v>
      </c>
      <c r="K2694" t="str">
        <f t="shared" si="1092"/>
        <v>000000000000000000</v>
      </c>
      <c r="L2694" t="str">
        <f>T("2524649440")</f>
        <v>2524649440</v>
      </c>
    </row>
    <row r="2695" spans="1:12" x14ac:dyDescent="0.35">
      <c r="A2695" t="str">
        <f t="shared" si="1095"/>
        <v>FRC EAST</v>
      </c>
      <c r="B2695" t="str">
        <f t="shared" si="1095"/>
        <v>FRC EAST</v>
      </c>
      <c r="C2695" t="str">
        <f t="shared" si="1101"/>
        <v>PSC BOX 8021</v>
      </c>
      <c r="D2695" t="str">
        <f t="shared" si="1096"/>
        <v>CHERRY POINT</v>
      </c>
      <c r="E2695" t="str">
        <f t="shared" si="1097"/>
        <v>NC</v>
      </c>
      <c r="F2695" t="str">
        <f t="shared" si="1100"/>
        <v>285330021</v>
      </c>
      <c r="G2695" t="str">
        <f t="shared" si="1093"/>
        <v>PSC BOX 8021</v>
      </c>
      <c r="H2695" t="str">
        <f t="shared" si="1094"/>
        <v/>
      </c>
      <c r="I2695" t="str">
        <f t="shared" si="1098"/>
        <v>CHERRY POINT</v>
      </c>
      <c r="J2695" t="str">
        <f t="shared" si="1099"/>
        <v>NC</v>
      </c>
      <c r="K2695" t="str">
        <f t="shared" si="1092"/>
        <v>000000000000000000</v>
      </c>
      <c r="L2695" t="str">
        <f>T("2524649493")</f>
        <v>2524649493</v>
      </c>
    </row>
    <row r="2696" spans="1:12" x14ac:dyDescent="0.35">
      <c r="A2696" t="str">
        <f t="shared" si="1095"/>
        <v>FRC EAST</v>
      </c>
      <c r="B2696" t="str">
        <f t="shared" si="1095"/>
        <v>FRC EAST</v>
      </c>
      <c r="C2696" t="str">
        <f t="shared" si="1101"/>
        <v>PSC BOX 8021</v>
      </c>
      <c r="D2696" t="str">
        <f t="shared" si="1096"/>
        <v>CHERRY POINT</v>
      </c>
      <c r="E2696" t="str">
        <f t="shared" si="1097"/>
        <v>NC</v>
      </c>
      <c r="F2696" t="str">
        <f t="shared" si="1100"/>
        <v>285330021</v>
      </c>
      <c r="G2696" t="str">
        <f t="shared" si="1093"/>
        <v>PSC BOX 8021</v>
      </c>
      <c r="H2696" t="str">
        <f t="shared" si="1094"/>
        <v/>
      </c>
      <c r="I2696" t="str">
        <f t="shared" si="1098"/>
        <v>CHERRY POINT</v>
      </c>
      <c r="J2696" t="str">
        <f t="shared" si="1099"/>
        <v>NC</v>
      </c>
      <c r="K2696" t="str">
        <f t="shared" si="1092"/>
        <v>000000000000000000</v>
      </c>
      <c r="L2696" t="str">
        <f>T("2524649511")</f>
        <v>2524649511</v>
      </c>
    </row>
    <row r="2697" spans="1:12" x14ac:dyDescent="0.35">
      <c r="A2697" t="str">
        <f t="shared" si="1095"/>
        <v>FRC EAST</v>
      </c>
      <c r="B2697" t="str">
        <f t="shared" si="1095"/>
        <v>FRC EAST</v>
      </c>
      <c r="C2697" t="str">
        <f t="shared" si="1101"/>
        <v>PSC BOX 8021</v>
      </c>
      <c r="D2697" t="str">
        <f t="shared" si="1096"/>
        <v>CHERRY POINT</v>
      </c>
      <c r="E2697" t="str">
        <f t="shared" si="1097"/>
        <v>NC</v>
      </c>
      <c r="F2697" t="str">
        <f t="shared" si="1100"/>
        <v>285330021</v>
      </c>
      <c r="G2697" t="str">
        <f t="shared" si="1093"/>
        <v>PSC BOX 8021</v>
      </c>
      <c r="H2697" t="str">
        <f t="shared" si="1094"/>
        <v/>
      </c>
      <c r="I2697" t="str">
        <f t="shared" si="1098"/>
        <v>CHERRY POINT</v>
      </c>
      <c r="J2697" t="str">
        <f t="shared" si="1099"/>
        <v>NC</v>
      </c>
      <c r="K2697" t="str">
        <f t="shared" si="1092"/>
        <v>000000000000000000</v>
      </c>
      <c r="L2697" t="str">
        <f>T("2524649515")</f>
        <v>2524649515</v>
      </c>
    </row>
    <row r="2698" spans="1:12" x14ac:dyDescent="0.35">
      <c r="A2698" t="str">
        <f t="shared" si="1095"/>
        <v>FRC EAST</v>
      </c>
      <c r="B2698" t="str">
        <f t="shared" si="1095"/>
        <v>FRC EAST</v>
      </c>
      <c r="C2698" t="str">
        <f t="shared" si="1101"/>
        <v>PSC BOX 8021</v>
      </c>
      <c r="D2698" t="str">
        <f t="shared" si="1096"/>
        <v>CHERRY POINT</v>
      </c>
      <c r="E2698" t="str">
        <f t="shared" si="1097"/>
        <v>NC</v>
      </c>
      <c r="F2698" t="str">
        <f t="shared" si="1100"/>
        <v>285330021</v>
      </c>
      <c r="G2698" t="str">
        <f t="shared" si="1093"/>
        <v>PSC BOX 8021</v>
      </c>
      <c r="H2698" t="str">
        <f t="shared" si="1094"/>
        <v/>
      </c>
      <c r="I2698" t="str">
        <f t="shared" si="1098"/>
        <v>CHERRY POINT</v>
      </c>
      <c r="J2698" t="str">
        <f t="shared" si="1099"/>
        <v>NC</v>
      </c>
      <c r="K2698" t="str">
        <f t="shared" si="1092"/>
        <v>000000000000000000</v>
      </c>
      <c r="L2698" t="str">
        <f>T("2524649814")</f>
        <v>2524649814</v>
      </c>
    </row>
    <row r="2699" spans="1:12" x14ac:dyDescent="0.35">
      <c r="A2699" t="str">
        <f t="shared" si="1095"/>
        <v>FRC EAST</v>
      </c>
      <c r="B2699" t="str">
        <f t="shared" si="1095"/>
        <v>FRC EAST</v>
      </c>
      <c r="C2699" t="str">
        <f t="shared" si="1101"/>
        <v>PSC BOX 8021</v>
      </c>
      <c r="D2699" t="str">
        <f t="shared" si="1096"/>
        <v>CHERRY POINT</v>
      </c>
      <c r="E2699" t="str">
        <f t="shared" si="1097"/>
        <v>NC</v>
      </c>
      <c r="F2699" t="str">
        <f t="shared" si="1100"/>
        <v>285330021</v>
      </c>
      <c r="G2699" t="str">
        <f t="shared" si="1093"/>
        <v>PSC BOX 8021</v>
      </c>
      <c r="H2699" t="str">
        <f t="shared" si="1094"/>
        <v/>
      </c>
      <c r="I2699" t="str">
        <f t="shared" si="1098"/>
        <v>CHERRY POINT</v>
      </c>
      <c r="J2699" t="str">
        <f t="shared" si="1099"/>
        <v>NC</v>
      </c>
      <c r="K2699" t="str">
        <f t="shared" si="1092"/>
        <v>000000000000000000</v>
      </c>
      <c r="L2699" t="str">
        <f>T("2524649826")</f>
        <v>2524649826</v>
      </c>
    </row>
    <row r="2700" spans="1:12" x14ac:dyDescent="0.35">
      <c r="A2700" t="str">
        <f t="shared" si="1095"/>
        <v>FRC EAST</v>
      </c>
      <c r="B2700" t="str">
        <f t="shared" si="1095"/>
        <v>FRC EAST</v>
      </c>
      <c r="C2700" t="str">
        <f t="shared" si="1101"/>
        <v>PSC BOX 8021</v>
      </c>
      <c r="D2700" t="str">
        <f t="shared" si="1096"/>
        <v>CHERRY POINT</v>
      </c>
      <c r="E2700" t="str">
        <f t="shared" si="1097"/>
        <v>NC</v>
      </c>
      <c r="F2700" t="str">
        <f t="shared" si="1100"/>
        <v>285330021</v>
      </c>
      <c r="G2700" t="str">
        <f t="shared" si="1093"/>
        <v>PSC BOX 8021</v>
      </c>
      <c r="H2700" t="str">
        <f t="shared" si="1094"/>
        <v/>
      </c>
      <c r="I2700" t="str">
        <f t="shared" si="1098"/>
        <v>CHERRY POINT</v>
      </c>
      <c r="J2700" t="str">
        <f t="shared" si="1099"/>
        <v>NC</v>
      </c>
      <c r="K2700" t="str">
        <f>T("2524648818")</f>
        <v>2524648818</v>
      </c>
      <c r="L2700" t="str">
        <f>T("2524648136")</f>
        <v>2524648136</v>
      </c>
    </row>
    <row r="2701" spans="1:12" x14ac:dyDescent="0.35">
      <c r="A2701" t="str">
        <f t="shared" si="1095"/>
        <v>FRC EAST</v>
      </c>
      <c r="B2701" t="str">
        <f t="shared" si="1095"/>
        <v>FRC EAST</v>
      </c>
      <c r="C2701" t="str">
        <f t="shared" si="1101"/>
        <v>PSC BOX 8021</v>
      </c>
      <c r="D2701" t="str">
        <f t="shared" si="1096"/>
        <v>CHERRY POINT</v>
      </c>
      <c r="E2701" t="str">
        <f t="shared" si="1097"/>
        <v>NC</v>
      </c>
      <c r="F2701" t="str">
        <f t="shared" si="1100"/>
        <v>285330021</v>
      </c>
      <c r="G2701" t="str">
        <f t="shared" si="1093"/>
        <v>PSC BOX 8021</v>
      </c>
      <c r="H2701" t="str">
        <f t="shared" ref="H2701:H2707" si="1102">T("FRC EAST")</f>
        <v>FRC EAST</v>
      </c>
      <c r="I2701" t="str">
        <f t="shared" si="1098"/>
        <v>CHERRY POINT</v>
      </c>
      <c r="J2701" t="str">
        <f t="shared" si="1099"/>
        <v>NC</v>
      </c>
      <c r="K2701" t="str">
        <f t="shared" ref="K2701:K2708" si="1103">T("000000000000000000")</f>
        <v>000000000000000000</v>
      </c>
      <c r="L2701" t="str">
        <f>T("2524645703")</f>
        <v>2524645703</v>
      </c>
    </row>
    <row r="2702" spans="1:12" x14ac:dyDescent="0.35">
      <c r="A2702" t="str">
        <f t="shared" ref="A2702:B2707" si="1104">T("FRC EAST")</f>
        <v>FRC EAST</v>
      </c>
      <c r="B2702" t="str">
        <f t="shared" si="1104"/>
        <v>FRC EAST</v>
      </c>
      <c r="C2702" t="str">
        <f t="shared" si="1101"/>
        <v>PSC BOX 8021</v>
      </c>
      <c r="D2702" t="str">
        <f t="shared" si="1096"/>
        <v>CHERRY POINT</v>
      </c>
      <c r="E2702" t="str">
        <f t="shared" si="1097"/>
        <v>NC</v>
      </c>
      <c r="F2702" t="str">
        <f t="shared" si="1100"/>
        <v>285330021</v>
      </c>
      <c r="G2702" t="str">
        <f t="shared" si="1093"/>
        <v>PSC BOX 8021</v>
      </c>
      <c r="H2702" t="str">
        <f t="shared" si="1102"/>
        <v>FRC EAST</v>
      </c>
      <c r="I2702" t="str">
        <f t="shared" si="1098"/>
        <v>CHERRY POINT</v>
      </c>
      <c r="J2702" t="str">
        <f t="shared" si="1099"/>
        <v>NC</v>
      </c>
      <c r="K2702" t="str">
        <f t="shared" si="1103"/>
        <v>000000000000000000</v>
      </c>
      <c r="L2702" t="str">
        <f>T("2524647029")</f>
        <v>2524647029</v>
      </c>
    </row>
    <row r="2703" spans="1:12" x14ac:dyDescent="0.35">
      <c r="A2703" t="str">
        <f t="shared" si="1104"/>
        <v>FRC EAST</v>
      </c>
      <c r="B2703" t="str">
        <f t="shared" si="1104"/>
        <v>FRC EAST</v>
      </c>
      <c r="C2703" t="str">
        <f t="shared" si="1101"/>
        <v>PSC BOX 8021</v>
      </c>
      <c r="D2703" t="str">
        <f t="shared" si="1096"/>
        <v>CHERRY POINT</v>
      </c>
      <c r="E2703" t="str">
        <f t="shared" si="1097"/>
        <v>NC</v>
      </c>
      <c r="F2703" t="str">
        <f t="shared" si="1100"/>
        <v>285330021</v>
      </c>
      <c r="G2703" t="str">
        <f t="shared" si="1093"/>
        <v>PSC BOX 8021</v>
      </c>
      <c r="H2703" t="str">
        <f t="shared" si="1102"/>
        <v>FRC EAST</v>
      </c>
      <c r="I2703" t="str">
        <f t="shared" si="1098"/>
        <v>CHERRY POINT</v>
      </c>
      <c r="J2703" t="str">
        <f t="shared" si="1099"/>
        <v>NC</v>
      </c>
      <c r="K2703" t="str">
        <f t="shared" si="1103"/>
        <v>000000000000000000</v>
      </c>
      <c r="L2703" t="str">
        <f>T("2524647045")</f>
        <v>2524647045</v>
      </c>
    </row>
    <row r="2704" spans="1:12" x14ac:dyDescent="0.35">
      <c r="A2704" t="str">
        <f t="shared" si="1104"/>
        <v>FRC EAST</v>
      </c>
      <c r="B2704" t="str">
        <f t="shared" si="1104"/>
        <v>FRC EAST</v>
      </c>
      <c r="C2704" t="str">
        <f t="shared" si="1101"/>
        <v>PSC BOX 8021</v>
      </c>
      <c r="D2704" t="str">
        <f t="shared" si="1096"/>
        <v>CHERRY POINT</v>
      </c>
      <c r="E2704" t="str">
        <f t="shared" si="1097"/>
        <v>NC</v>
      </c>
      <c r="F2704" t="str">
        <f t="shared" si="1100"/>
        <v>285330021</v>
      </c>
      <c r="G2704" t="str">
        <f t="shared" si="1093"/>
        <v>PSC BOX 8021</v>
      </c>
      <c r="H2704" t="str">
        <f t="shared" si="1102"/>
        <v>FRC EAST</v>
      </c>
      <c r="I2704" t="str">
        <f t="shared" si="1098"/>
        <v>CHERRY POINT</v>
      </c>
      <c r="J2704" t="str">
        <f t="shared" si="1099"/>
        <v>NC</v>
      </c>
      <c r="K2704" t="str">
        <f t="shared" si="1103"/>
        <v>000000000000000000</v>
      </c>
      <c r="L2704" t="str">
        <f>T("2524647816")</f>
        <v>2524647816</v>
      </c>
    </row>
    <row r="2705" spans="1:12" x14ac:dyDescent="0.35">
      <c r="A2705" t="str">
        <f t="shared" si="1104"/>
        <v>FRC EAST</v>
      </c>
      <c r="B2705" t="str">
        <f t="shared" si="1104"/>
        <v>FRC EAST</v>
      </c>
      <c r="C2705" t="str">
        <f t="shared" si="1101"/>
        <v>PSC BOX 8021</v>
      </c>
      <c r="D2705" t="str">
        <f t="shared" si="1096"/>
        <v>CHERRY POINT</v>
      </c>
      <c r="E2705" t="str">
        <f t="shared" si="1097"/>
        <v>NC</v>
      </c>
      <c r="F2705" t="str">
        <f t="shared" si="1100"/>
        <v>285330021</v>
      </c>
      <c r="G2705" t="str">
        <f t="shared" si="1093"/>
        <v>PSC BOX 8021</v>
      </c>
      <c r="H2705" t="str">
        <f t="shared" si="1102"/>
        <v>FRC EAST</v>
      </c>
      <c r="I2705" t="str">
        <f t="shared" si="1098"/>
        <v>CHERRY POINT</v>
      </c>
      <c r="J2705" t="str">
        <f t="shared" si="1099"/>
        <v>NC</v>
      </c>
      <c r="K2705" t="str">
        <f t="shared" si="1103"/>
        <v>000000000000000000</v>
      </c>
      <c r="L2705" t="str">
        <f>T("2524647819")</f>
        <v>2524647819</v>
      </c>
    </row>
    <row r="2706" spans="1:12" x14ac:dyDescent="0.35">
      <c r="A2706" t="str">
        <f t="shared" si="1104"/>
        <v>FRC EAST</v>
      </c>
      <c r="B2706" t="str">
        <f t="shared" si="1104"/>
        <v>FRC EAST</v>
      </c>
      <c r="C2706" t="str">
        <f t="shared" si="1101"/>
        <v>PSC BOX 8021</v>
      </c>
      <c r="D2706" t="str">
        <f t="shared" si="1096"/>
        <v>CHERRY POINT</v>
      </c>
      <c r="E2706" t="str">
        <f t="shared" si="1097"/>
        <v>NC</v>
      </c>
      <c r="F2706" t="str">
        <f t="shared" si="1100"/>
        <v>285330021</v>
      </c>
      <c r="G2706" t="str">
        <f t="shared" si="1093"/>
        <v>PSC BOX 8021</v>
      </c>
      <c r="H2706" t="str">
        <f t="shared" si="1102"/>
        <v>FRC EAST</v>
      </c>
      <c r="I2706" t="str">
        <f t="shared" si="1098"/>
        <v>CHERRY POINT</v>
      </c>
      <c r="J2706" t="str">
        <f t="shared" si="1099"/>
        <v>NC</v>
      </c>
      <c r="K2706" t="str">
        <f t="shared" si="1103"/>
        <v>000000000000000000</v>
      </c>
      <c r="L2706" t="str">
        <f>T("2524648251")</f>
        <v>2524648251</v>
      </c>
    </row>
    <row r="2707" spans="1:12" x14ac:dyDescent="0.35">
      <c r="A2707" t="str">
        <f t="shared" si="1104"/>
        <v>FRC EAST</v>
      </c>
      <c r="B2707" t="str">
        <f t="shared" si="1104"/>
        <v>FRC EAST</v>
      </c>
      <c r="C2707" t="str">
        <f t="shared" si="1101"/>
        <v>PSC BOX 8021</v>
      </c>
      <c r="D2707" t="str">
        <f t="shared" si="1096"/>
        <v>CHERRY POINT</v>
      </c>
      <c r="E2707" t="str">
        <f t="shared" si="1097"/>
        <v>NC</v>
      </c>
      <c r="F2707" t="str">
        <f t="shared" si="1100"/>
        <v>285330021</v>
      </c>
      <c r="G2707" t="str">
        <f t="shared" si="1093"/>
        <v>PSC BOX 8021</v>
      </c>
      <c r="H2707" t="str">
        <f t="shared" si="1102"/>
        <v>FRC EAST</v>
      </c>
      <c r="I2707" t="str">
        <f t="shared" si="1098"/>
        <v>CHERRY POINT</v>
      </c>
      <c r="J2707" t="str">
        <f t="shared" si="1099"/>
        <v>NC</v>
      </c>
      <c r="K2707" t="str">
        <f t="shared" si="1103"/>
        <v>000000000000000000</v>
      </c>
      <c r="L2707" t="str">
        <f>T("2524649440")</f>
        <v>2524649440</v>
      </c>
    </row>
    <row r="2708" spans="1:12" x14ac:dyDescent="0.35">
      <c r="A2708" t="str">
        <f>T("NAVAIRPRA ATSUGI JA")</f>
        <v>NAVAIRPRA ATSUGI JA</v>
      </c>
      <c r="B2708" t="str">
        <f>T("FRCWP ATSUGI JAPAN")</f>
        <v>FRCWP ATSUGI JAPAN</v>
      </c>
      <c r="C2708" t="str">
        <f>T("PSC 477 BOX 35")</f>
        <v>PSC 477 BOX 35</v>
      </c>
      <c r="D2708" t="str">
        <f>T("FPO")</f>
        <v>FPO</v>
      </c>
      <c r="E2708" t="str">
        <f>T("AP")</f>
        <v>AP</v>
      </c>
      <c r="F2708" t="str">
        <f>T("963060001")</f>
        <v>963060001</v>
      </c>
      <c r="G2708" t="str">
        <f>T("FRC WESTPAC PSC 477 BOX 35")</f>
        <v>FRC WESTPAC PSC 477 BOX 35</v>
      </c>
      <c r="H2708" t="str">
        <f>T("")</f>
        <v/>
      </c>
      <c r="I2708" t="str">
        <f>T("FPO")</f>
        <v>FPO</v>
      </c>
      <c r="J2708" t="str">
        <f>T("AP")</f>
        <v>AP</v>
      </c>
      <c r="K2708" t="str">
        <f t="shared" si="1103"/>
        <v>000000000000000000</v>
      </c>
      <c r="L2708" t="str">
        <f>T("3152552027")</f>
        <v>3152552027</v>
      </c>
    </row>
    <row r="2709" spans="1:12" x14ac:dyDescent="0.35">
      <c r="A2709" t="str">
        <f>T("NAVAIRPRA ATSUGI JA")</f>
        <v>NAVAIRPRA ATSUGI JA</v>
      </c>
      <c r="B2709" t="str">
        <f>T("FRCWP ATSUGI JAPAN")</f>
        <v>FRCWP ATSUGI JAPAN</v>
      </c>
      <c r="C2709" t="str">
        <f>T("PSC 477 BOX 35")</f>
        <v>PSC 477 BOX 35</v>
      </c>
      <c r="D2709" t="str">
        <f>T("FPO")</f>
        <v>FPO</v>
      </c>
      <c r="E2709" t="str">
        <f>T("AP")</f>
        <v>AP</v>
      </c>
      <c r="F2709" t="str">
        <f>T("963060001")</f>
        <v>963060001</v>
      </c>
      <c r="G2709" t="str">
        <f>T("FRCWP ATSUGI JAPAN")</f>
        <v>FRCWP ATSUGI JAPAN</v>
      </c>
      <c r="H2709" t="str">
        <f>T("PSC 477 BOX 35")</f>
        <v>PSC 477 BOX 35</v>
      </c>
      <c r="I2709" t="str">
        <f>T("FPO")</f>
        <v>FPO</v>
      </c>
      <c r="J2709" t="str">
        <f>T("AP")</f>
        <v>AP</v>
      </c>
      <c r="K2709" t="str">
        <f>T("81467633134")</f>
        <v>81467633134</v>
      </c>
      <c r="L2709" t="str">
        <f>T("1111111111")</f>
        <v>1111111111</v>
      </c>
    </row>
    <row r="2710" spans="1:12" x14ac:dyDescent="0.35">
      <c r="A2710" t="str">
        <f>T("NAVAIRPRA ATSUGI JA")</f>
        <v>NAVAIRPRA ATSUGI JA</v>
      </c>
      <c r="B2710" t="str">
        <f>T("FRCWP ATSUGI JAPAN")</f>
        <v>FRCWP ATSUGI JAPAN</v>
      </c>
      <c r="C2710" t="str">
        <f>T("PSC 477 BOX 35")</f>
        <v>PSC 477 BOX 35</v>
      </c>
      <c r="D2710" t="str">
        <f>T("FPO")</f>
        <v>FPO</v>
      </c>
      <c r="E2710" t="str">
        <f>T("AP")</f>
        <v>AP</v>
      </c>
      <c r="F2710" t="str">
        <f>T("963060001")</f>
        <v>963060001</v>
      </c>
      <c r="G2710" t="str">
        <f>T("PSC 477 BOX 35")</f>
        <v>PSC 477 BOX 35</v>
      </c>
      <c r="H2710" t="str">
        <f>T("")</f>
        <v/>
      </c>
      <c r="I2710" t="str">
        <f>T("FPO")</f>
        <v>FPO</v>
      </c>
      <c r="J2710" t="str">
        <f>T("AP")</f>
        <v>AP</v>
      </c>
      <c r="K2710" t="str">
        <f>T("000000000000000000")</f>
        <v>000000000000000000</v>
      </c>
      <c r="L2710" t="str">
        <f>T("1111111111")</f>
        <v>1111111111</v>
      </c>
    </row>
    <row r="2711" spans="1:12" x14ac:dyDescent="0.35">
      <c r="A2711" t="str">
        <f>T("NAVAIRPRA ATSUGI JA")</f>
        <v>NAVAIRPRA ATSUGI JA</v>
      </c>
      <c r="B2711" t="str">
        <f>T("FRCWP ATSUGI JAPAN")</f>
        <v>FRCWP ATSUGI JAPAN</v>
      </c>
      <c r="C2711" t="str">
        <f>T("PSC 477 BOX 35")</f>
        <v>PSC 477 BOX 35</v>
      </c>
      <c r="D2711" t="str">
        <f>T("FPO")</f>
        <v>FPO</v>
      </c>
      <c r="E2711" t="str">
        <f>T("AP")</f>
        <v>AP</v>
      </c>
      <c r="F2711" t="str">
        <f>T("963060001")</f>
        <v>963060001</v>
      </c>
      <c r="G2711" t="str">
        <f>T("PSC 477 BOX 35")</f>
        <v>PSC 477 BOX 35</v>
      </c>
      <c r="H2711" t="str">
        <f>T("")</f>
        <v/>
      </c>
      <c r="I2711" t="str">
        <f>T("FPO")</f>
        <v>FPO</v>
      </c>
      <c r="J2711" t="str">
        <f>T("AP")</f>
        <v>AP</v>
      </c>
      <c r="K2711" t="str">
        <f>T("000000000000000000")</f>
        <v>000000000000000000</v>
      </c>
      <c r="L2711" t="str">
        <f>T("3152642765")</f>
        <v>3152642765</v>
      </c>
    </row>
    <row r="2712" spans="1:12" x14ac:dyDescent="0.35">
      <c r="A2712" t="str">
        <f>T("NAVAIRPRA ATSUGI JA")</f>
        <v>NAVAIRPRA ATSUGI JA</v>
      </c>
      <c r="B2712" t="str">
        <f>T("FRCWP ATSUGI JAPAN")</f>
        <v>FRCWP ATSUGI JAPAN</v>
      </c>
      <c r="C2712" t="str">
        <f>T("PSC 477 BOX 35")</f>
        <v>PSC 477 BOX 35</v>
      </c>
      <c r="D2712" t="str">
        <f>T("FPO")</f>
        <v>FPO</v>
      </c>
      <c r="E2712" t="str">
        <f>T("AP")</f>
        <v>AP</v>
      </c>
      <c r="F2712" t="str">
        <f>T("963060001")</f>
        <v>963060001</v>
      </c>
      <c r="G2712" t="str">
        <f>T("PSC 477 BOX 35")</f>
        <v>PSC 477 BOX 35</v>
      </c>
      <c r="H2712" t="str">
        <f>T("")</f>
        <v/>
      </c>
      <c r="I2712" t="str">
        <f>T("FPO")</f>
        <v>FPO</v>
      </c>
      <c r="J2712" t="str">
        <f>T("AP")</f>
        <v>AP</v>
      </c>
      <c r="K2712" t="str">
        <f>T("000000000000000000")</f>
        <v>000000000000000000</v>
      </c>
      <c r="L2712" t="str">
        <f>T("3152642791")</f>
        <v>3152642791</v>
      </c>
    </row>
    <row r="2713" spans="1:12" x14ac:dyDescent="0.35">
      <c r="A2713" t="str">
        <f>T("ZZ DELETE")</f>
        <v>ZZ DELETE</v>
      </c>
      <c r="B2713" t="str">
        <f>T("BLDG 562 ROOM 140")</f>
        <v>BLDG 562 ROOM 140</v>
      </c>
      <c r="C2713" t="str">
        <f>T("HYWY 547")</f>
        <v>HYWY 547</v>
      </c>
      <c r="D2713" t="str">
        <f>T("JOINT BASE MDL")</f>
        <v>JOINT BASE MDL</v>
      </c>
      <c r="E2713" t="str">
        <f>T("NJ")</f>
        <v>NJ</v>
      </c>
      <c r="F2713" t="str">
        <f>T("087330000")</f>
        <v>087330000</v>
      </c>
      <c r="G2713" t="str">
        <f>T("BLDG 562 ROOM 140")</f>
        <v>BLDG 562 ROOM 140</v>
      </c>
      <c r="H2713" t="str">
        <f>T("HYWY 547")</f>
        <v>HYWY 547</v>
      </c>
      <c r="I2713" t="str">
        <f>T("JOINT BASE MDL")</f>
        <v>JOINT BASE MDL</v>
      </c>
      <c r="J2713" t="str">
        <f>T("NJ")</f>
        <v>NJ</v>
      </c>
      <c r="K2713" t="str">
        <f>T("000000000000000000")</f>
        <v>000000000000000000</v>
      </c>
      <c r="L2713" t="str">
        <f>T("7323232716")</f>
        <v>7323232716</v>
      </c>
    </row>
    <row r="2714" spans="1:12" x14ac:dyDescent="0.35">
      <c r="A2714" t="str">
        <f t="shared" ref="A2714:A2734" si="1105">T("NETC HQ")</f>
        <v>NETC HQ</v>
      </c>
      <c r="B2714" t="str">
        <f t="shared" ref="B2714:B2719" si="1106">T("250 DALLAS ST")</f>
        <v>250 DALLAS ST</v>
      </c>
      <c r="C2714" t="str">
        <f t="shared" ref="C2714:C2719" si="1107">T("BLDG 628 CODE N8311")</f>
        <v>BLDG 628 CODE N8311</v>
      </c>
      <c r="D2714" t="str">
        <f t="shared" ref="D2714:D2726" si="1108">T("PENSACOLA")</f>
        <v>PENSACOLA</v>
      </c>
      <c r="E2714" t="str">
        <f t="shared" ref="E2714:E2726" si="1109">T("FL")</f>
        <v>FL</v>
      </c>
      <c r="F2714" t="str">
        <f t="shared" ref="F2714:F2724" si="1110">T("325085218")</f>
        <v>325085218</v>
      </c>
      <c r="G2714" t="str">
        <f>T("250 DALLAS ST")</f>
        <v>250 DALLAS ST</v>
      </c>
      <c r="H2714" t="str">
        <f>T("BLDG 628 CODE 1ST LT")</f>
        <v>BLDG 628 CODE 1ST LT</v>
      </c>
      <c r="I2714" t="str">
        <f t="shared" ref="I2714:I2723" si="1111">T("PENSACOLA")</f>
        <v>PENSACOLA</v>
      </c>
      <c r="J2714" t="str">
        <f t="shared" ref="J2714:J2723" si="1112">T("FL")</f>
        <v>FL</v>
      </c>
      <c r="K2714" t="str">
        <f>T("000000000000000000")</f>
        <v>000000000000000000</v>
      </c>
      <c r="L2714" t="str">
        <f>T("8504523646")</f>
        <v>8504523646</v>
      </c>
    </row>
    <row r="2715" spans="1:12" x14ac:dyDescent="0.35">
      <c r="A2715" t="str">
        <f t="shared" si="1105"/>
        <v>NETC HQ</v>
      </c>
      <c r="B2715" t="str">
        <f t="shared" si="1106"/>
        <v>250 DALLAS ST</v>
      </c>
      <c r="C2715" t="str">
        <f t="shared" si="1107"/>
        <v>BLDG 628 CODE N8311</v>
      </c>
      <c r="D2715" t="str">
        <f t="shared" si="1108"/>
        <v>PENSACOLA</v>
      </c>
      <c r="E2715" t="str">
        <f t="shared" si="1109"/>
        <v>FL</v>
      </c>
      <c r="F2715" t="str">
        <f t="shared" si="1110"/>
        <v>325085218</v>
      </c>
      <c r="G2715" t="str">
        <f>T("250 DALLAS ST")</f>
        <v>250 DALLAS ST</v>
      </c>
      <c r="H2715" t="str">
        <f>T("BLDG 628 CODE N8311")</f>
        <v>BLDG 628 CODE N8311</v>
      </c>
      <c r="I2715" t="str">
        <f t="shared" si="1111"/>
        <v>PENSACOLA</v>
      </c>
      <c r="J2715" t="str">
        <f t="shared" si="1112"/>
        <v>FL</v>
      </c>
      <c r="K2715" t="str">
        <f>T("8504522347")</f>
        <v>8504522347</v>
      </c>
      <c r="L2715" t="str">
        <f>T("8504529994")</f>
        <v>8504529994</v>
      </c>
    </row>
    <row r="2716" spans="1:12" x14ac:dyDescent="0.35">
      <c r="A2716" t="str">
        <f t="shared" si="1105"/>
        <v>NETC HQ</v>
      </c>
      <c r="B2716" t="str">
        <f t="shared" si="1106"/>
        <v>250 DALLAS ST</v>
      </c>
      <c r="C2716" t="str">
        <f t="shared" si="1107"/>
        <v>BLDG 628 CODE N8311</v>
      </c>
      <c r="D2716" t="str">
        <f t="shared" si="1108"/>
        <v>PENSACOLA</v>
      </c>
      <c r="E2716" t="str">
        <f t="shared" si="1109"/>
        <v>FL</v>
      </c>
      <c r="F2716" t="str">
        <f t="shared" si="1110"/>
        <v>325085218</v>
      </c>
      <c r="G2716" t="str">
        <f>T("250 DALLAS ST")</f>
        <v>250 DALLAS ST</v>
      </c>
      <c r="H2716" t="str">
        <f>T("BLDG 628 CODE N8311")</f>
        <v>BLDG 628 CODE N8311</v>
      </c>
      <c r="I2716" t="str">
        <f t="shared" si="1111"/>
        <v>PENSACOLA</v>
      </c>
      <c r="J2716" t="str">
        <f t="shared" si="1112"/>
        <v>FL</v>
      </c>
      <c r="K2716" t="str">
        <f>T("8504528963")</f>
        <v>8504528963</v>
      </c>
      <c r="L2716" t="str">
        <f>T("8504524084")</f>
        <v>8504524084</v>
      </c>
    </row>
    <row r="2717" spans="1:12" x14ac:dyDescent="0.35">
      <c r="A2717" t="str">
        <f t="shared" si="1105"/>
        <v>NETC HQ</v>
      </c>
      <c r="B2717" t="str">
        <f t="shared" si="1106"/>
        <v>250 DALLAS ST</v>
      </c>
      <c r="C2717" t="str">
        <f t="shared" si="1107"/>
        <v>BLDG 628 CODE N8311</v>
      </c>
      <c r="D2717" t="str">
        <f t="shared" si="1108"/>
        <v>PENSACOLA</v>
      </c>
      <c r="E2717" t="str">
        <f t="shared" si="1109"/>
        <v>FL</v>
      </c>
      <c r="F2717" t="str">
        <f t="shared" si="1110"/>
        <v>325085218</v>
      </c>
      <c r="G2717" t="str">
        <f>T("250 DALLAS ST")</f>
        <v>250 DALLAS ST</v>
      </c>
      <c r="H2717" t="str">
        <f>T("BLDG 628 N4112")</f>
        <v>BLDG 628 N4112</v>
      </c>
      <c r="I2717" t="str">
        <f t="shared" si="1111"/>
        <v>PENSACOLA</v>
      </c>
      <c r="J2717" t="str">
        <f t="shared" si="1112"/>
        <v>FL</v>
      </c>
      <c r="K2717" t="str">
        <f>T("8504524966")</f>
        <v>8504524966</v>
      </c>
      <c r="L2717" t="str">
        <f>T("8504524852")</f>
        <v>8504524852</v>
      </c>
    </row>
    <row r="2718" spans="1:12" x14ac:dyDescent="0.35">
      <c r="A2718" t="str">
        <f t="shared" si="1105"/>
        <v>NETC HQ</v>
      </c>
      <c r="B2718" t="str">
        <f t="shared" si="1106"/>
        <v>250 DALLAS ST</v>
      </c>
      <c r="C2718" t="str">
        <f t="shared" si="1107"/>
        <v>BLDG 628 CODE N8311</v>
      </c>
      <c r="D2718" t="str">
        <f t="shared" si="1108"/>
        <v>PENSACOLA</v>
      </c>
      <c r="E2718" t="str">
        <f t="shared" si="1109"/>
        <v>FL</v>
      </c>
      <c r="F2718" t="str">
        <f t="shared" si="1110"/>
        <v>325085218</v>
      </c>
      <c r="G2718" t="str">
        <f>T("250 DALLAS STREET")</f>
        <v>250 DALLAS STREET</v>
      </c>
      <c r="H2718" t="str">
        <f>T("BLDG 628 CODE 1ST LT")</f>
        <v>BLDG 628 CODE 1ST LT</v>
      </c>
      <c r="I2718" t="str">
        <f t="shared" si="1111"/>
        <v>PENSACOLA</v>
      </c>
      <c r="J2718" t="str">
        <f t="shared" si="1112"/>
        <v>FL</v>
      </c>
      <c r="K2718" t="str">
        <f>T("000000000000000000")</f>
        <v>000000000000000000</v>
      </c>
      <c r="L2718" t="str">
        <f>T("8504523646")</f>
        <v>8504523646</v>
      </c>
    </row>
    <row r="2719" spans="1:12" x14ac:dyDescent="0.35">
      <c r="A2719" t="str">
        <f t="shared" si="1105"/>
        <v>NETC HQ</v>
      </c>
      <c r="B2719" t="str">
        <f t="shared" si="1106"/>
        <v>250 DALLAS ST</v>
      </c>
      <c r="C2719" t="str">
        <f t="shared" si="1107"/>
        <v>BLDG 628 CODE N8311</v>
      </c>
      <c r="D2719" t="str">
        <f t="shared" si="1108"/>
        <v>PENSACOLA</v>
      </c>
      <c r="E2719" t="str">
        <f t="shared" si="1109"/>
        <v>FL</v>
      </c>
      <c r="F2719" t="str">
        <f t="shared" si="1110"/>
        <v>325085218</v>
      </c>
      <c r="G2719" t="str">
        <f>T("250 DALLAS STREET")</f>
        <v>250 DALLAS STREET</v>
      </c>
      <c r="H2719" t="str">
        <f>T("BLDG 628 CODE N4112")</f>
        <v>BLDG 628 CODE N4112</v>
      </c>
      <c r="I2719" t="str">
        <f t="shared" si="1111"/>
        <v>PENSACOLA</v>
      </c>
      <c r="J2719" t="str">
        <f t="shared" si="1112"/>
        <v>FL</v>
      </c>
      <c r="K2719" t="str">
        <f>T("8504524966")</f>
        <v>8504524966</v>
      </c>
      <c r="L2719" t="str">
        <f>T("8504524852")</f>
        <v>8504524852</v>
      </c>
    </row>
    <row r="2720" spans="1:12" x14ac:dyDescent="0.35">
      <c r="A2720" t="str">
        <f t="shared" si="1105"/>
        <v>NETC HQ</v>
      </c>
      <c r="B2720" t="str">
        <f>T("250 DALLAS STREET")</f>
        <v>250 DALLAS STREET</v>
      </c>
      <c r="C2720" t="str">
        <f>T("BLDG 628")</f>
        <v>BLDG 628</v>
      </c>
      <c r="D2720" t="str">
        <f t="shared" si="1108"/>
        <v>PENSACOLA</v>
      </c>
      <c r="E2720" t="str">
        <f t="shared" si="1109"/>
        <v>FL</v>
      </c>
      <c r="F2720" t="str">
        <f t="shared" si="1110"/>
        <v>325085218</v>
      </c>
      <c r="G2720" t="str">
        <f>T("250 DALLAS ST")</f>
        <v>250 DALLAS ST</v>
      </c>
      <c r="H2720" t="str">
        <f>T("BLDG 628 CODE 1ST LT")</f>
        <v>BLDG 628 CODE 1ST LT</v>
      </c>
      <c r="I2720" t="str">
        <f t="shared" si="1111"/>
        <v>PENSACOLA</v>
      </c>
      <c r="J2720" t="str">
        <f t="shared" si="1112"/>
        <v>FL</v>
      </c>
      <c r="K2720" t="str">
        <f>T("000000000000000000")</f>
        <v>000000000000000000</v>
      </c>
      <c r="L2720" t="str">
        <f>T("8504523646")</f>
        <v>8504523646</v>
      </c>
    </row>
    <row r="2721" spans="1:12" x14ac:dyDescent="0.35">
      <c r="A2721" t="str">
        <f t="shared" si="1105"/>
        <v>NETC HQ</v>
      </c>
      <c r="B2721" t="str">
        <f>T("250 DALLAS STREET")</f>
        <v>250 DALLAS STREET</v>
      </c>
      <c r="C2721" t="str">
        <f>T("BLDG 628")</f>
        <v>BLDG 628</v>
      </c>
      <c r="D2721" t="str">
        <f t="shared" si="1108"/>
        <v>PENSACOLA</v>
      </c>
      <c r="E2721" t="str">
        <f t="shared" si="1109"/>
        <v>FL</v>
      </c>
      <c r="F2721" t="str">
        <f t="shared" si="1110"/>
        <v>325085218</v>
      </c>
      <c r="G2721" t="str">
        <f>T("250 DALLAS ST")</f>
        <v>250 DALLAS ST</v>
      </c>
      <c r="H2721" t="str">
        <f>T("BLDG 628 N4112")</f>
        <v>BLDG 628 N4112</v>
      </c>
      <c r="I2721" t="str">
        <f t="shared" si="1111"/>
        <v>PENSACOLA</v>
      </c>
      <c r="J2721" t="str">
        <f t="shared" si="1112"/>
        <v>FL</v>
      </c>
      <c r="K2721" t="str">
        <f>T("8504524966")</f>
        <v>8504524966</v>
      </c>
      <c r="L2721" t="str">
        <f>T("8504524852")</f>
        <v>8504524852</v>
      </c>
    </row>
    <row r="2722" spans="1:12" x14ac:dyDescent="0.35">
      <c r="A2722" t="str">
        <f t="shared" si="1105"/>
        <v>NETC HQ</v>
      </c>
      <c r="B2722" t="str">
        <f>T("250 DALLAS STREET")</f>
        <v>250 DALLAS STREET</v>
      </c>
      <c r="C2722" t="str">
        <f>T("BLDG 628")</f>
        <v>BLDG 628</v>
      </c>
      <c r="D2722" t="str">
        <f t="shared" si="1108"/>
        <v>PENSACOLA</v>
      </c>
      <c r="E2722" t="str">
        <f t="shared" si="1109"/>
        <v>FL</v>
      </c>
      <c r="F2722" t="str">
        <f t="shared" si="1110"/>
        <v>325085218</v>
      </c>
      <c r="G2722" t="str">
        <f>T("250 DALLAS STREET")</f>
        <v>250 DALLAS STREET</v>
      </c>
      <c r="H2722" t="str">
        <f>T("BLDG 628")</f>
        <v>BLDG 628</v>
      </c>
      <c r="I2722" t="str">
        <f t="shared" si="1111"/>
        <v>PENSACOLA</v>
      </c>
      <c r="J2722" t="str">
        <f t="shared" si="1112"/>
        <v>FL</v>
      </c>
      <c r="K2722" t="str">
        <f>T("8504528963")</f>
        <v>8504528963</v>
      </c>
      <c r="L2722" t="str">
        <f>T("8504524057")</f>
        <v>8504524057</v>
      </c>
    </row>
    <row r="2723" spans="1:12" x14ac:dyDescent="0.35">
      <c r="A2723" t="str">
        <f t="shared" si="1105"/>
        <v>NETC HQ</v>
      </c>
      <c r="B2723" t="str">
        <f>T("250 DALLAS STREET")</f>
        <v>250 DALLAS STREET</v>
      </c>
      <c r="C2723" t="str">
        <f>T("BLDG 628 CODE 83111")</f>
        <v>BLDG 628 CODE 83111</v>
      </c>
      <c r="D2723" t="str">
        <f t="shared" si="1108"/>
        <v>PENSACOLA</v>
      </c>
      <c r="E2723" t="str">
        <f t="shared" si="1109"/>
        <v>FL</v>
      </c>
      <c r="F2723" t="str">
        <f t="shared" si="1110"/>
        <v>325085218</v>
      </c>
      <c r="G2723" t="str">
        <f>T("250 DALLAS STREET")</f>
        <v>250 DALLAS STREET</v>
      </c>
      <c r="H2723" t="str">
        <f>T("BLDG 628 CODE 83111")</f>
        <v>BLDG 628 CODE 83111</v>
      </c>
      <c r="I2723" t="str">
        <f t="shared" si="1111"/>
        <v>PENSACOLA</v>
      </c>
      <c r="J2723" t="str">
        <f t="shared" si="1112"/>
        <v>FL</v>
      </c>
      <c r="K2723" t="str">
        <f>T("850-452-8963")</f>
        <v>850-452-8963</v>
      </c>
      <c r="L2723" t="str">
        <f>T("8504524084")</f>
        <v>8504524084</v>
      </c>
    </row>
    <row r="2724" spans="1:12" x14ac:dyDescent="0.35">
      <c r="A2724" t="str">
        <f t="shared" si="1105"/>
        <v>NETC HQ</v>
      </c>
      <c r="B2724" t="str">
        <f>T("250 DALLAS STREET")</f>
        <v>250 DALLAS STREET</v>
      </c>
      <c r="C2724" t="str">
        <f>T("BLDG 628 CODE 83111")</f>
        <v>BLDG 628 CODE 83111</v>
      </c>
      <c r="D2724" t="str">
        <f t="shared" si="1108"/>
        <v>PENSACOLA</v>
      </c>
      <c r="E2724" t="str">
        <f t="shared" si="1109"/>
        <v>FL</v>
      </c>
      <c r="F2724" t="str">
        <f t="shared" si="1110"/>
        <v>325085218</v>
      </c>
      <c r="G2724" t="str">
        <f>T("2601A PAUL JONES ST")</f>
        <v>2601A PAUL JONES ST</v>
      </c>
      <c r="H2724" t="str">
        <f>T("")</f>
        <v/>
      </c>
      <c r="I2724" t="str">
        <f>T("GREAT LAKES")</f>
        <v>GREAT LAKES</v>
      </c>
      <c r="J2724" t="str">
        <f>T("IL")</f>
        <v>IL</v>
      </c>
      <c r="K2724" t="str">
        <f>T("8476884472")</f>
        <v>8476884472</v>
      </c>
      <c r="L2724" t="str">
        <f>T("8476887853")</f>
        <v>8476887853</v>
      </c>
    </row>
    <row r="2725" spans="1:12" x14ac:dyDescent="0.35">
      <c r="A2725" t="str">
        <f t="shared" si="1105"/>
        <v>NETC HQ</v>
      </c>
      <c r="B2725" t="str">
        <f>T("520 TURNER ST")</f>
        <v>520 TURNER ST</v>
      </c>
      <c r="C2725" t="str">
        <f t="shared" ref="C2725:C2731" si="1113">T("")</f>
        <v/>
      </c>
      <c r="D2725" t="str">
        <f t="shared" si="1108"/>
        <v>PENSACOLA</v>
      </c>
      <c r="E2725" t="str">
        <f t="shared" si="1109"/>
        <v>FL</v>
      </c>
      <c r="F2725" t="str">
        <f>T("325085225")</f>
        <v>325085225</v>
      </c>
      <c r="G2725" t="str">
        <f>T("520 TURNER ST")</f>
        <v>520 TURNER ST</v>
      </c>
      <c r="H2725" t="str">
        <f>T("")</f>
        <v/>
      </c>
      <c r="I2725" t="str">
        <f>T("PENSACOLA")</f>
        <v>PENSACOLA</v>
      </c>
      <c r="J2725" t="str">
        <f>T("FL")</f>
        <v>FL</v>
      </c>
      <c r="K2725" t="str">
        <f>T("8504523903")</f>
        <v>8504523903</v>
      </c>
      <c r="L2725" t="str">
        <f>T("8504523972")</f>
        <v>8504523972</v>
      </c>
    </row>
    <row r="2726" spans="1:12" x14ac:dyDescent="0.35">
      <c r="A2726" t="str">
        <f t="shared" si="1105"/>
        <v>NETC HQ</v>
      </c>
      <c r="B2726" t="str">
        <f>T("520 TURNER ST")</f>
        <v>520 TURNER ST</v>
      </c>
      <c r="C2726" t="str">
        <f t="shared" si="1113"/>
        <v/>
      </c>
      <c r="D2726" t="str">
        <f t="shared" si="1108"/>
        <v>PENSACOLA</v>
      </c>
      <c r="E2726" t="str">
        <f t="shared" si="1109"/>
        <v>FL</v>
      </c>
      <c r="F2726" t="str">
        <f>T("325085225")</f>
        <v>325085225</v>
      </c>
      <c r="G2726" t="str">
        <f>T("520 TURNER ST")</f>
        <v>520 TURNER ST</v>
      </c>
      <c r="H2726" t="str">
        <f>T("SUITE B BLD 746")</f>
        <v>SUITE B BLD 746</v>
      </c>
      <c r="I2726" t="str">
        <f>T("PENSACOLA")</f>
        <v>PENSACOLA</v>
      </c>
      <c r="J2726" t="str">
        <f>T("FL")</f>
        <v>FL</v>
      </c>
      <c r="K2726" t="str">
        <f>T("8504523903")</f>
        <v>8504523903</v>
      </c>
      <c r="L2726" t="str">
        <f>T("8504523785")</f>
        <v>8504523785</v>
      </c>
    </row>
    <row r="2727" spans="1:12" x14ac:dyDescent="0.35">
      <c r="A2727" t="str">
        <f t="shared" si="1105"/>
        <v>NETC HQ</v>
      </c>
      <c r="B2727" t="str">
        <f>T("5450 CARLISLE PIKE")</f>
        <v>5450 CARLISLE PIKE</v>
      </c>
      <c r="C2727" t="str">
        <f t="shared" si="1113"/>
        <v/>
      </c>
      <c r="D2727" t="str">
        <f>T("MECHANICSBURG")</f>
        <v>MECHANICSBURG</v>
      </c>
      <c r="E2727" t="str">
        <f>T("PA")</f>
        <v>PA</v>
      </c>
      <c r="F2727" t="str">
        <f>T("170502411")</f>
        <v>170502411</v>
      </c>
      <c r="G2727" t="str">
        <f>T("5450 CARLISLE PIKE")</f>
        <v>5450 CARLISLE PIKE</v>
      </c>
      <c r="H2727" t="str">
        <f>T("")</f>
        <v/>
      </c>
      <c r="I2727" t="str">
        <f>T("MECHANICSBURG")</f>
        <v>MECHANICSBURG</v>
      </c>
      <c r="J2727" t="str">
        <f>T("PA")</f>
        <v>PA</v>
      </c>
      <c r="K2727" t="str">
        <f>T("7176053910")</f>
        <v>7176053910</v>
      </c>
      <c r="L2727" t="str">
        <f>T("7176052668")</f>
        <v>7176052668</v>
      </c>
    </row>
    <row r="2728" spans="1:12" x14ac:dyDescent="0.35">
      <c r="A2728" t="str">
        <f t="shared" si="1105"/>
        <v>NETC HQ</v>
      </c>
      <c r="B2728" t="str">
        <f>T("5450 CARLISLE PIKE")</f>
        <v>5450 CARLISLE PIKE</v>
      </c>
      <c r="C2728" t="str">
        <f t="shared" si="1113"/>
        <v/>
      </c>
      <c r="D2728" t="str">
        <f>T("MECHANICSBURG")</f>
        <v>MECHANICSBURG</v>
      </c>
      <c r="E2728" t="str">
        <f>T("PA")</f>
        <v>PA</v>
      </c>
      <c r="F2728" t="str">
        <f>T("170502411")</f>
        <v>170502411</v>
      </c>
      <c r="G2728" t="str">
        <f>T("5450 CARLISLE PIKE")</f>
        <v>5450 CARLISLE PIKE</v>
      </c>
      <c r="H2728" t="str">
        <f>T("BLDG 214")</f>
        <v>BLDG 214</v>
      </c>
      <c r="I2728" t="str">
        <f>T("MECHANICSBURG")</f>
        <v>MECHANICSBURG</v>
      </c>
      <c r="J2728" t="str">
        <f>T("PA")</f>
        <v>PA</v>
      </c>
      <c r="K2728" t="str">
        <f>T("7176053910")</f>
        <v>7176053910</v>
      </c>
      <c r="L2728" t="str">
        <f>T("7176058642")</f>
        <v>7176058642</v>
      </c>
    </row>
    <row r="2729" spans="1:12" x14ac:dyDescent="0.35">
      <c r="A2729" t="str">
        <f t="shared" si="1105"/>
        <v>NETC HQ</v>
      </c>
      <c r="B2729" t="str">
        <f>T("6490 SAUFLEY FIELD ROAD")</f>
        <v>6490 SAUFLEY FIELD ROAD</v>
      </c>
      <c r="C2729" t="str">
        <f t="shared" si="1113"/>
        <v/>
      </c>
      <c r="D2729" t="str">
        <f>T("PENSACOLA")</f>
        <v>PENSACOLA</v>
      </c>
      <c r="E2729" t="str">
        <f>T("FL")</f>
        <v>FL</v>
      </c>
      <c r="F2729" t="str">
        <f>T("325095223")</f>
        <v>325095223</v>
      </c>
      <c r="G2729" t="str">
        <f>T("6490 SAUFLEY FIELD ROAD")</f>
        <v>6490 SAUFLEY FIELD ROAD</v>
      </c>
      <c r="H2729" t="str">
        <f>T("")</f>
        <v/>
      </c>
      <c r="I2729" t="str">
        <f>T("PENSACOLA")</f>
        <v>PENSACOLA</v>
      </c>
      <c r="J2729" t="str">
        <f>T("FL")</f>
        <v>FL</v>
      </c>
      <c r="K2729" t="str">
        <f>T("8504735603")</f>
        <v>8504735603</v>
      </c>
      <c r="L2729" t="str">
        <f>T("8504735832")</f>
        <v>8504735832</v>
      </c>
    </row>
    <row r="2730" spans="1:12" x14ac:dyDescent="0.35">
      <c r="A2730" t="str">
        <f t="shared" si="1105"/>
        <v>NETC HQ</v>
      </c>
      <c r="B2730" t="str">
        <f>T("6490 SAUFLEY FIELD ROAD")</f>
        <v>6490 SAUFLEY FIELD ROAD</v>
      </c>
      <c r="C2730" t="str">
        <f t="shared" si="1113"/>
        <v/>
      </c>
      <c r="D2730" t="str">
        <f>T("PENSACOLA")</f>
        <v>PENSACOLA</v>
      </c>
      <c r="E2730" t="str">
        <f>T("FL")</f>
        <v>FL</v>
      </c>
      <c r="F2730" t="str">
        <f>T("325095223")</f>
        <v>325095223</v>
      </c>
      <c r="G2730" t="str">
        <f>T("6490 SAUFLEY FIELD ROAD")</f>
        <v>6490 SAUFLEY FIELD ROAD</v>
      </c>
      <c r="H2730" t="str">
        <f>T("BLDG 2434 CODE N6")</f>
        <v>BLDG 2434 CODE N6</v>
      </c>
      <c r="I2730" t="str">
        <f>T("PENSACOLA")</f>
        <v>PENSACOLA</v>
      </c>
      <c r="J2730" t="str">
        <f>T("FL")</f>
        <v>FL</v>
      </c>
      <c r="K2730" t="str">
        <f>T("8504735603")</f>
        <v>8504735603</v>
      </c>
      <c r="L2730" t="str">
        <f>T("8504735836")</f>
        <v>8504735836</v>
      </c>
    </row>
    <row r="2731" spans="1:12" x14ac:dyDescent="0.35">
      <c r="A2731" t="str">
        <f t="shared" si="1105"/>
        <v>NETC HQ</v>
      </c>
      <c r="B2731" t="str">
        <f>T("6490 SAUFLEY FIELD ROAD")</f>
        <v>6490 SAUFLEY FIELD ROAD</v>
      </c>
      <c r="C2731" t="str">
        <f t="shared" si="1113"/>
        <v/>
      </c>
      <c r="D2731" t="str">
        <f>T("PENSACOLA")</f>
        <v>PENSACOLA</v>
      </c>
      <c r="E2731" t="str">
        <f>T("FL")</f>
        <v>FL</v>
      </c>
      <c r="F2731" t="str">
        <f>T("325095223")</f>
        <v>325095223</v>
      </c>
      <c r="G2731" t="str">
        <f>T("6490 SAUFLEY FIELD ROAD")</f>
        <v>6490 SAUFLEY FIELD ROAD</v>
      </c>
      <c r="H2731" t="str">
        <f>T("BLDG 2434 CODE NETC N6")</f>
        <v>BLDG 2434 CODE NETC N6</v>
      </c>
      <c r="I2731" t="str">
        <f>T("PENSACOLA")</f>
        <v>PENSACOLA</v>
      </c>
      <c r="J2731" t="str">
        <f>T("FL")</f>
        <v>FL</v>
      </c>
      <c r="K2731" t="str">
        <f>T("8504735603")</f>
        <v>8504735603</v>
      </c>
      <c r="L2731" t="str">
        <f>T("8504735835")</f>
        <v>8504735835</v>
      </c>
    </row>
    <row r="2732" spans="1:12" x14ac:dyDescent="0.35">
      <c r="A2732" t="str">
        <f t="shared" si="1105"/>
        <v>NETC HQ</v>
      </c>
      <c r="B2732" t="str">
        <f>T("701 SOUTH COURTHOUSE RD")</f>
        <v>701 SOUTH COURTHOUSE RD</v>
      </c>
      <c r="C2732" t="str">
        <f>T("BLDG 12")</f>
        <v>BLDG 12</v>
      </c>
      <c r="D2732" t="str">
        <f>T("ARLINGTON")</f>
        <v>ARLINGTON</v>
      </c>
      <c r="E2732" t="str">
        <f>T("VA")</f>
        <v>VA</v>
      </c>
      <c r="F2732" t="str">
        <f>T("222042190")</f>
        <v>222042190</v>
      </c>
      <c r="G2732" t="str">
        <f>T("701 SOUTH COURTHOUSE RD")</f>
        <v>701 SOUTH COURTHOUSE RD</v>
      </c>
      <c r="H2732" t="str">
        <f>T("BLDG 12")</f>
        <v>BLDG 12</v>
      </c>
      <c r="I2732" t="str">
        <f>T("ARLINGTON")</f>
        <v>ARLINGTON</v>
      </c>
      <c r="J2732" t="str">
        <f>T("VA")</f>
        <v>VA</v>
      </c>
      <c r="K2732" t="str">
        <f>T("000000000000000000")</f>
        <v>000000000000000000</v>
      </c>
      <c r="L2732" t="str">
        <f>T("1111111111")</f>
        <v>1111111111</v>
      </c>
    </row>
    <row r="2733" spans="1:12" x14ac:dyDescent="0.35">
      <c r="A2733" t="str">
        <f t="shared" si="1105"/>
        <v>NETC HQ</v>
      </c>
      <c r="B2733" t="str">
        <f>T("701 SOUTH COURTHOUSE RD")</f>
        <v>701 SOUTH COURTHOUSE RD</v>
      </c>
      <c r="C2733" t="str">
        <f>T("BLDG 12")</f>
        <v>BLDG 12</v>
      </c>
      <c r="D2733" t="str">
        <f>T("ARLINGTON")</f>
        <v>ARLINGTON</v>
      </c>
      <c r="E2733" t="str">
        <f>T("VA")</f>
        <v>VA</v>
      </c>
      <c r="F2733" t="str">
        <f>T("222042190")</f>
        <v>222042190</v>
      </c>
      <c r="G2733" t="str">
        <f>T("701 SOUTH COURTHOUSE RD")</f>
        <v>701 SOUTH COURTHOUSE RD</v>
      </c>
      <c r="H2733" t="str">
        <f>T("BLDG 12")</f>
        <v>BLDG 12</v>
      </c>
      <c r="I2733" t="str">
        <f>T("ARLINGTON")</f>
        <v>ARLINGTON</v>
      </c>
      <c r="J2733" t="str">
        <f>T("VA")</f>
        <v>VA</v>
      </c>
      <c r="K2733" t="str">
        <f>T("000000000000000000")</f>
        <v>000000000000000000</v>
      </c>
      <c r="L2733" t="str">
        <f>T("7036041981")</f>
        <v>7036041981</v>
      </c>
    </row>
    <row r="2734" spans="1:12" x14ac:dyDescent="0.35">
      <c r="A2734" t="str">
        <f t="shared" si="1105"/>
        <v>NETC HQ</v>
      </c>
      <c r="B2734" t="str">
        <f>T("701 SOUTH COURTHOUSE RD")</f>
        <v>701 SOUTH COURTHOUSE RD</v>
      </c>
      <c r="C2734" t="str">
        <f>T("BLDG 12")</f>
        <v>BLDG 12</v>
      </c>
      <c r="D2734" t="str">
        <f>T("ARLINGTON")</f>
        <v>ARLINGTON</v>
      </c>
      <c r="E2734" t="str">
        <f>T("VA")</f>
        <v>VA</v>
      </c>
      <c r="F2734" t="str">
        <f>T("222042190")</f>
        <v>222042190</v>
      </c>
      <c r="G2734" t="str">
        <f>T("701 SOUTH COURTHOUSE RD")</f>
        <v>701 SOUTH COURTHOUSE RD</v>
      </c>
      <c r="H2734" t="str">
        <f>T("BLDG 12")</f>
        <v>BLDG 12</v>
      </c>
      <c r="I2734" t="str">
        <f>T("ARLINGTON")</f>
        <v>ARLINGTON</v>
      </c>
      <c r="J2734" t="str">
        <f>T("VA")</f>
        <v>VA</v>
      </c>
      <c r="K2734" t="str">
        <f>T("703-604-2173")</f>
        <v>703-604-2173</v>
      </c>
      <c r="L2734" t="str">
        <f>T("7036045301")</f>
        <v>7036045301</v>
      </c>
    </row>
    <row r="2735" spans="1:12" x14ac:dyDescent="0.35">
      <c r="A2735" t="str">
        <f t="shared" ref="A2735:A2766" si="1114">T("NAVAL WAR COLLEGE")</f>
        <v>NAVAL WAR COLLEGE</v>
      </c>
      <c r="B2735" t="str">
        <f t="shared" ref="B2735:B2758" si="1115">T("686 CUSHING RD")</f>
        <v>686 CUSHING RD</v>
      </c>
      <c r="C2735" t="str">
        <f>T("CODE 00")</f>
        <v>CODE 00</v>
      </c>
      <c r="D2735" t="str">
        <f t="shared" ref="D2735:D2766" si="1116">T("NEWPORT")</f>
        <v>NEWPORT</v>
      </c>
      <c r="E2735" t="str">
        <f t="shared" ref="E2735:E2766" si="1117">T("RI")</f>
        <v>RI</v>
      </c>
      <c r="F2735" t="str">
        <f t="shared" ref="F2735:F2758" si="1118">T("028411213")</f>
        <v>028411213</v>
      </c>
      <c r="G2735" t="str">
        <f>T("686 CUSHING RD")</f>
        <v>686 CUSHING RD</v>
      </c>
      <c r="H2735" t="str">
        <f>T("CODE 00")</f>
        <v>CODE 00</v>
      </c>
      <c r="I2735" t="str">
        <f t="shared" ref="I2735:I2766" si="1119">T("NEWPORT")</f>
        <v>NEWPORT</v>
      </c>
      <c r="J2735" t="str">
        <f t="shared" ref="J2735:J2766" si="1120">T("RI")</f>
        <v>RI</v>
      </c>
      <c r="K2735" t="str">
        <f>T("")</f>
        <v/>
      </c>
      <c r="L2735" t="str">
        <f>T("4018417008")</f>
        <v>4018417008</v>
      </c>
    </row>
    <row r="2736" spans="1:12" x14ac:dyDescent="0.35">
      <c r="A2736" t="str">
        <f t="shared" si="1114"/>
        <v>NAVAL WAR COLLEGE</v>
      </c>
      <c r="B2736" t="str">
        <f t="shared" si="1115"/>
        <v>686 CUSHING RD</v>
      </c>
      <c r="C2736" t="str">
        <f>T("CODE 00")</f>
        <v>CODE 00</v>
      </c>
      <c r="D2736" t="str">
        <f t="shared" si="1116"/>
        <v>NEWPORT</v>
      </c>
      <c r="E2736" t="str">
        <f t="shared" si="1117"/>
        <v>RI</v>
      </c>
      <c r="F2736" t="str">
        <f t="shared" si="1118"/>
        <v>028411213</v>
      </c>
      <c r="G2736" t="str">
        <f>T("NAVAL WAR COLLEGE")</f>
        <v>NAVAL WAR COLLEGE</v>
      </c>
      <c r="H2736" t="str">
        <f>T("686 CUSHING ROAD")</f>
        <v>686 CUSHING ROAD</v>
      </c>
      <c r="I2736" t="str">
        <f t="shared" si="1119"/>
        <v>NEWPORT</v>
      </c>
      <c r="J2736" t="str">
        <f t="shared" si="1120"/>
        <v>RI</v>
      </c>
      <c r="K2736" t="str">
        <f>T("000000000000000000")</f>
        <v>000000000000000000</v>
      </c>
      <c r="L2736" t="str">
        <f>T("4018412115")</f>
        <v>4018412115</v>
      </c>
    </row>
    <row r="2737" spans="1:12" x14ac:dyDescent="0.35">
      <c r="A2737" t="str">
        <f t="shared" si="1114"/>
        <v>NAVAL WAR COLLEGE</v>
      </c>
      <c r="B2737" t="str">
        <f t="shared" si="1115"/>
        <v>686 CUSHING RD</v>
      </c>
      <c r="C2737" t="str">
        <f>T("CODE 00")</f>
        <v>CODE 00</v>
      </c>
      <c r="D2737" t="str">
        <f t="shared" si="1116"/>
        <v>NEWPORT</v>
      </c>
      <c r="E2737" t="str">
        <f t="shared" si="1117"/>
        <v>RI</v>
      </c>
      <c r="F2737" t="str">
        <f t="shared" si="1118"/>
        <v>028411213</v>
      </c>
      <c r="G2737" t="str">
        <f>T("NAVAL WAR COLLEGE")</f>
        <v>NAVAL WAR COLLEGE</v>
      </c>
      <c r="H2737" t="str">
        <f>T("686 CUSHING ROAD")</f>
        <v>686 CUSHING ROAD</v>
      </c>
      <c r="I2737" t="str">
        <f t="shared" si="1119"/>
        <v>NEWPORT</v>
      </c>
      <c r="J2737" t="str">
        <f t="shared" si="1120"/>
        <v>RI</v>
      </c>
      <c r="K2737" t="str">
        <f>T("000000000000000000")</f>
        <v>000000000000000000</v>
      </c>
      <c r="L2737" t="str">
        <f>T("4018412245")</f>
        <v>4018412245</v>
      </c>
    </row>
    <row r="2738" spans="1:12" x14ac:dyDescent="0.35">
      <c r="A2738" t="str">
        <f t="shared" si="1114"/>
        <v>NAVAL WAR COLLEGE</v>
      </c>
      <c r="B2738" t="str">
        <f t="shared" si="1115"/>
        <v>686 CUSHING RD</v>
      </c>
      <c r="C2738" t="str">
        <f>T("CODE 00")</f>
        <v>CODE 00</v>
      </c>
      <c r="D2738" t="str">
        <f t="shared" si="1116"/>
        <v>NEWPORT</v>
      </c>
      <c r="E2738" t="str">
        <f t="shared" si="1117"/>
        <v>RI</v>
      </c>
      <c r="F2738" t="str">
        <f t="shared" si="1118"/>
        <v>028411213</v>
      </c>
      <c r="G2738" t="str">
        <f>T("NAVAL WAR COLLEGE")</f>
        <v>NAVAL WAR COLLEGE</v>
      </c>
      <c r="H2738" t="str">
        <f>T("686 CUSHING ROAD")</f>
        <v>686 CUSHING ROAD</v>
      </c>
      <c r="I2738" t="str">
        <f t="shared" si="1119"/>
        <v>NEWPORT</v>
      </c>
      <c r="J2738" t="str">
        <f t="shared" si="1120"/>
        <v>RI</v>
      </c>
      <c r="K2738" t="str">
        <f>T("000000000000000000")</f>
        <v>000000000000000000</v>
      </c>
      <c r="L2738" t="str">
        <f>T("4018417810")</f>
        <v>4018417810</v>
      </c>
    </row>
    <row r="2739" spans="1:12" x14ac:dyDescent="0.35">
      <c r="A2739" t="str">
        <f t="shared" si="1114"/>
        <v>NAVAL WAR COLLEGE</v>
      </c>
      <c r="B2739" t="str">
        <f t="shared" si="1115"/>
        <v>686 CUSHING RD</v>
      </c>
      <c r="C2739" t="str">
        <f>T("CODE 0082")</f>
        <v>CODE 0082</v>
      </c>
      <c r="D2739" t="str">
        <f t="shared" si="1116"/>
        <v>NEWPORT</v>
      </c>
      <c r="E2739" t="str">
        <f t="shared" si="1117"/>
        <v>RI</v>
      </c>
      <c r="F2739" t="str">
        <f t="shared" si="1118"/>
        <v>028411213</v>
      </c>
      <c r="G2739" t="str">
        <f>T("686 CUSHING RD")</f>
        <v>686 CUSHING RD</v>
      </c>
      <c r="H2739" t="str">
        <f>T("CODE 0082")</f>
        <v>CODE 0082</v>
      </c>
      <c r="I2739" t="str">
        <f t="shared" si="1119"/>
        <v>NEWPORT</v>
      </c>
      <c r="J2739" t="str">
        <f t="shared" si="1120"/>
        <v>RI</v>
      </c>
      <c r="K2739" t="str">
        <f>T("4018413453")</f>
        <v>4018413453</v>
      </c>
      <c r="L2739" t="str">
        <f>T("4018413688")</f>
        <v>4018413688</v>
      </c>
    </row>
    <row r="2740" spans="1:12" x14ac:dyDescent="0.35">
      <c r="A2740" t="str">
        <f t="shared" si="1114"/>
        <v>NAVAL WAR COLLEGE</v>
      </c>
      <c r="B2740" t="str">
        <f t="shared" si="1115"/>
        <v>686 CUSHING RD</v>
      </c>
      <c r="C2740" t="str">
        <f>T("CODE 0082")</f>
        <v>CODE 0082</v>
      </c>
      <c r="D2740" t="str">
        <f t="shared" si="1116"/>
        <v>NEWPORT</v>
      </c>
      <c r="E2740" t="str">
        <f t="shared" si="1117"/>
        <v>RI</v>
      </c>
      <c r="F2740" t="str">
        <f t="shared" si="1118"/>
        <v>028411213</v>
      </c>
      <c r="G2740" t="str">
        <f>T("686 CUSHING RD - CODE 0821")</f>
        <v>686 CUSHING RD - CODE 0821</v>
      </c>
      <c r="H2740" t="str">
        <f>T("")</f>
        <v/>
      </c>
      <c r="I2740" t="str">
        <f t="shared" si="1119"/>
        <v>NEWPORT</v>
      </c>
      <c r="J2740" t="str">
        <f t="shared" si="1120"/>
        <v>RI</v>
      </c>
      <c r="K2740" t="str">
        <f>T("000000000000000000")</f>
        <v>000000000000000000</v>
      </c>
      <c r="L2740" t="str">
        <f>T("4018413628")</f>
        <v>4018413628</v>
      </c>
    </row>
    <row r="2741" spans="1:12" x14ac:dyDescent="0.35">
      <c r="A2741" t="str">
        <f t="shared" si="1114"/>
        <v>NAVAL WAR COLLEGE</v>
      </c>
      <c r="B2741" t="str">
        <f t="shared" si="1115"/>
        <v>686 CUSHING RD</v>
      </c>
      <c r="C2741" t="str">
        <f>T("CODE 0082")</f>
        <v>CODE 0082</v>
      </c>
      <c r="D2741" t="str">
        <f t="shared" si="1116"/>
        <v>NEWPORT</v>
      </c>
      <c r="E2741" t="str">
        <f t="shared" si="1117"/>
        <v>RI</v>
      </c>
      <c r="F2741" t="str">
        <f t="shared" si="1118"/>
        <v>028411213</v>
      </c>
      <c r="G2741" t="str">
        <f>T("686 CUSHING ROAD - CODE 0821")</f>
        <v>686 CUSHING ROAD - CODE 0821</v>
      </c>
      <c r="H2741" t="str">
        <f>T("")</f>
        <v/>
      </c>
      <c r="I2741" t="str">
        <f t="shared" si="1119"/>
        <v>NEWPORT</v>
      </c>
      <c r="J2741" t="str">
        <f t="shared" si="1120"/>
        <v>RI</v>
      </c>
      <c r="K2741" t="str">
        <f>T("000000000000000000")</f>
        <v>000000000000000000</v>
      </c>
      <c r="L2741" t="str">
        <f>T("4018416405")</f>
        <v>4018416405</v>
      </c>
    </row>
    <row r="2742" spans="1:12" x14ac:dyDescent="0.35">
      <c r="A2742" t="str">
        <f t="shared" si="1114"/>
        <v>NAVAL WAR COLLEGE</v>
      </c>
      <c r="B2742" t="str">
        <f t="shared" si="1115"/>
        <v>686 CUSHING RD</v>
      </c>
      <c r="C2742" t="str">
        <f>T("CODE 0082")</f>
        <v>CODE 0082</v>
      </c>
      <c r="D2742" t="str">
        <f t="shared" si="1116"/>
        <v>NEWPORT</v>
      </c>
      <c r="E2742" t="str">
        <f t="shared" si="1117"/>
        <v>RI</v>
      </c>
      <c r="F2742" t="str">
        <f t="shared" si="1118"/>
        <v>028411213</v>
      </c>
      <c r="G2742" t="str">
        <f>T("NAVAL WAR COLLEGE")</f>
        <v>NAVAL WAR COLLEGE</v>
      </c>
      <c r="H2742" t="str">
        <f>T("686 CUSHING ROAD")</f>
        <v>686 CUSHING ROAD</v>
      </c>
      <c r="I2742" t="str">
        <f t="shared" si="1119"/>
        <v>NEWPORT</v>
      </c>
      <c r="J2742" t="str">
        <f t="shared" si="1120"/>
        <v>RI</v>
      </c>
      <c r="K2742" t="str">
        <f>T("000000000000000000")</f>
        <v>000000000000000000</v>
      </c>
      <c r="L2742" t="str">
        <f>T("4018411228")</f>
        <v>4018411228</v>
      </c>
    </row>
    <row r="2743" spans="1:12" x14ac:dyDescent="0.35">
      <c r="A2743" t="str">
        <f t="shared" si="1114"/>
        <v>NAVAL WAR COLLEGE</v>
      </c>
      <c r="B2743" t="str">
        <f t="shared" si="1115"/>
        <v>686 CUSHING RD</v>
      </c>
      <c r="C2743" t="str">
        <f>T("CODE 0082")</f>
        <v>CODE 0082</v>
      </c>
      <c r="D2743" t="str">
        <f t="shared" si="1116"/>
        <v>NEWPORT</v>
      </c>
      <c r="E2743" t="str">
        <f t="shared" si="1117"/>
        <v>RI</v>
      </c>
      <c r="F2743" t="str">
        <f t="shared" si="1118"/>
        <v>028411213</v>
      </c>
      <c r="G2743" t="str">
        <f>T("NAVAL WAR COLLEGE")</f>
        <v>NAVAL WAR COLLEGE</v>
      </c>
      <c r="H2743" t="str">
        <f>T("686 CUSHING ROAD")</f>
        <v>686 CUSHING ROAD</v>
      </c>
      <c r="I2743" t="str">
        <f t="shared" si="1119"/>
        <v>NEWPORT</v>
      </c>
      <c r="J2743" t="str">
        <f t="shared" si="1120"/>
        <v>RI</v>
      </c>
      <c r="K2743" t="str">
        <f>T("000000000000000000")</f>
        <v>000000000000000000</v>
      </c>
      <c r="L2743" t="str">
        <f>T("4018417464")</f>
        <v>4018417464</v>
      </c>
    </row>
    <row r="2744" spans="1:12" x14ac:dyDescent="0.35">
      <c r="A2744" t="str">
        <f t="shared" si="1114"/>
        <v>NAVAL WAR COLLEGE</v>
      </c>
      <c r="B2744" t="str">
        <f t="shared" si="1115"/>
        <v>686 CUSHING RD</v>
      </c>
      <c r="C2744" t="str">
        <f>T("CODE 1E")</f>
        <v>CODE 1E</v>
      </c>
      <c r="D2744" t="str">
        <f t="shared" si="1116"/>
        <v>NEWPORT</v>
      </c>
      <c r="E2744" t="str">
        <f t="shared" si="1117"/>
        <v>RI</v>
      </c>
      <c r="F2744" t="str">
        <f t="shared" si="1118"/>
        <v>028411213</v>
      </c>
      <c r="G2744" t="str">
        <f>T("686 CUSHING RD")</f>
        <v>686 CUSHING RD</v>
      </c>
      <c r="H2744" t="str">
        <f>T("CODE 1E")</f>
        <v>CODE 1E</v>
      </c>
      <c r="I2744" t="str">
        <f t="shared" si="1119"/>
        <v>NEWPORT</v>
      </c>
      <c r="J2744" t="str">
        <f t="shared" si="1120"/>
        <v>RI</v>
      </c>
      <c r="K2744" t="str">
        <f>T("")</f>
        <v/>
      </c>
      <c r="L2744" t="str">
        <f>T("4018412642")</f>
        <v>4018412642</v>
      </c>
    </row>
    <row r="2745" spans="1:12" x14ac:dyDescent="0.35">
      <c r="A2745" t="str">
        <f t="shared" si="1114"/>
        <v>NAVAL WAR COLLEGE</v>
      </c>
      <c r="B2745" t="str">
        <f t="shared" si="1115"/>
        <v>686 CUSHING RD</v>
      </c>
      <c r="C2745" t="str">
        <f>T("CODE 1E")</f>
        <v>CODE 1E</v>
      </c>
      <c r="D2745" t="str">
        <f t="shared" si="1116"/>
        <v>NEWPORT</v>
      </c>
      <c r="E2745" t="str">
        <f t="shared" si="1117"/>
        <v>RI</v>
      </c>
      <c r="F2745" t="str">
        <f t="shared" si="1118"/>
        <v>028411213</v>
      </c>
      <c r="G2745" t="str">
        <f>T("NAVAL WAR COLLEGE")</f>
        <v>NAVAL WAR COLLEGE</v>
      </c>
      <c r="H2745" t="str">
        <f>T("686 CUSHING ROAD")</f>
        <v>686 CUSHING ROAD</v>
      </c>
      <c r="I2745" t="str">
        <f t="shared" si="1119"/>
        <v>NEWPORT</v>
      </c>
      <c r="J2745" t="str">
        <f t="shared" si="1120"/>
        <v>RI</v>
      </c>
      <c r="K2745" t="str">
        <f>T("000000000000000000")</f>
        <v>000000000000000000</v>
      </c>
      <c r="L2745" t="str">
        <f>T("4018416495")</f>
        <v>4018416495</v>
      </c>
    </row>
    <row r="2746" spans="1:12" x14ac:dyDescent="0.35">
      <c r="A2746" t="str">
        <f t="shared" si="1114"/>
        <v>NAVAL WAR COLLEGE</v>
      </c>
      <c r="B2746" t="str">
        <f t="shared" si="1115"/>
        <v>686 CUSHING RD</v>
      </c>
      <c r="C2746" t="str">
        <f>T("CODE 1E")</f>
        <v>CODE 1E</v>
      </c>
      <c r="D2746" t="str">
        <f t="shared" si="1116"/>
        <v>NEWPORT</v>
      </c>
      <c r="E2746" t="str">
        <f t="shared" si="1117"/>
        <v>RI</v>
      </c>
      <c r="F2746" t="str">
        <f t="shared" si="1118"/>
        <v>028411213</v>
      </c>
      <c r="G2746" t="str">
        <f>T("NAVAL WAR COLLEGE")</f>
        <v>NAVAL WAR COLLEGE</v>
      </c>
      <c r="H2746" t="str">
        <f>T("686 CUSHING ROAD")</f>
        <v>686 CUSHING ROAD</v>
      </c>
      <c r="I2746" t="str">
        <f t="shared" si="1119"/>
        <v>NEWPORT</v>
      </c>
      <c r="J2746" t="str">
        <f t="shared" si="1120"/>
        <v>RI</v>
      </c>
      <c r="K2746" t="str">
        <f>T("000000000000000000")</f>
        <v>000000000000000000</v>
      </c>
      <c r="L2746" t="str">
        <f>T("4018416496")</f>
        <v>4018416496</v>
      </c>
    </row>
    <row r="2747" spans="1:12" x14ac:dyDescent="0.35">
      <c r="A2747" t="str">
        <f t="shared" si="1114"/>
        <v>NAVAL WAR COLLEGE</v>
      </c>
      <c r="B2747" t="str">
        <f t="shared" si="1115"/>
        <v>686 CUSHING RD</v>
      </c>
      <c r="C2747" t="str">
        <f>T("CODE 1E")</f>
        <v>CODE 1E</v>
      </c>
      <c r="D2747" t="str">
        <f t="shared" si="1116"/>
        <v>NEWPORT</v>
      </c>
      <c r="E2747" t="str">
        <f t="shared" si="1117"/>
        <v>RI</v>
      </c>
      <c r="F2747" t="str">
        <f t="shared" si="1118"/>
        <v>028411213</v>
      </c>
      <c r="G2747" t="str">
        <f>T("NAVAL WAR COLLEGE")</f>
        <v>NAVAL WAR COLLEGE</v>
      </c>
      <c r="H2747" t="str">
        <f>T("686 CUSHING ROAD - CODE 1E")</f>
        <v>686 CUSHING ROAD - CODE 1E</v>
      </c>
      <c r="I2747" t="str">
        <f t="shared" si="1119"/>
        <v>NEWPORT</v>
      </c>
      <c r="J2747" t="str">
        <f t="shared" si="1120"/>
        <v>RI</v>
      </c>
      <c r="K2747" t="str">
        <f>T("000000000000000000")</f>
        <v>000000000000000000</v>
      </c>
      <c r="L2747" t="str">
        <f>T("4018416493")</f>
        <v>4018416493</v>
      </c>
    </row>
    <row r="2748" spans="1:12" x14ac:dyDescent="0.35">
      <c r="A2748" t="str">
        <f t="shared" si="1114"/>
        <v>NAVAL WAR COLLEGE</v>
      </c>
      <c r="B2748" t="str">
        <f t="shared" si="1115"/>
        <v>686 CUSHING RD</v>
      </c>
      <c r="C2748" t="str">
        <f>T("CODE 1G")</f>
        <v>CODE 1G</v>
      </c>
      <c r="D2748" t="str">
        <f t="shared" si="1116"/>
        <v>NEWPORT</v>
      </c>
      <c r="E2748" t="str">
        <f t="shared" si="1117"/>
        <v>RI</v>
      </c>
      <c r="F2748" t="str">
        <f t="shared" si="1118"/>
        <v>028411213</v>
      </c>
      <c r="G2748" t="str">
        <f>T("686 CUSHING RD")</f>
        <v>686 CUSHING RD</v>
      </c>
      <c r="H2748" t="str">
        <f>T("CODE 1G")</f>
        <v>CODE 1G</v>
      </c>
      <c r="I2748" t="str">
        <f t="shared" si="1119"/>
        <v>NEWPORT</v>
      </c>
      <c r="J2748" t="str">
        <f t="shared" si="1120"/>
        <v>RI</v>
      </c>
      <c r="K2748" t="str">
        <f>T("4018412457")</f>
        <v>4018412457</v>
      </c>
      <c r="L2748" t="str">
        <f>T("4018412136")</f>
        <v>4018412136</v>
      </c>
    </row>
    <row r="2749" spans="1:12" x14ac:dyDescent="0.35">
      <c r="A2749" t="str">
        <f t="shared" si="1114"/>
        <v>NAVAL WAR COLLEGE</v>
      </c>
      <c r="B2749" t="str">
        <f t="shared" si="1115"/>
        <v>686 CUSHING RD</v>
      </c>
      <c r="C2749" t="str">
        <f>T("CODE 1G")</f>
        <v>CODE 1G</v>
      </c>
      <c r="D2749" t="str">
        <f t="shared" si="1116"/>
        <v>NEWPORT</v>
      </c>
      <c r="E2749" t="str">
        <f t="shared" si="1117"/>
        <v>RI</v>
      </c>
      <c r="F2749" t="str">
        <f t="shared" si="1118"/>
        <v>028411213</v>
      </c>
      <c r="G2749" t="str">
        <f>T("NAVAL WAR COLLEGE")</f>
        <v>NAVAL WAR COLLEGE</v>
      </c>
      <c r="H2749" t="str">
        <f>T("686 CUSHING ROAD - CODE 1G")</f>
        <v>686 CUSHING ROAD - CODE 1G</v>
      </c>
      <c r="I2749" t="str">
        <f t="shared" si="1119"/>
        <v>NEWPORT</v>
      </c>
      <c r="J2749" t="str">
        <f t="shared" si="1120"/>
        <v>RI</v>
      </c>
      <c r="K2749" t="str">
        <f>T("000000000000000000")</f>
        <v>000000000000000000</v>
      </c>
      <c r="L2749" t="str">
        <f>T("4018412743")</f>
        <v>4018412743</v>
      </c>
    </row>
    <row r="2750" spans="1:12" x14ac:dyDescent="0.35">
      <c r="A2750" t="str">
        <f t="shared" si="1114"/>
        <v>NAVAL WAR COLLEGE</v>
      </c>
      <c r="B2750" t="str">
        <f t="shared" si="1115"/>
        <v>686 CUSHING RD</v>
      </c>
      <c r="C2750" t="str">
        <f t="shared" ref="C2750:C2755" si="1121">T("CODE 20")</f>
        <v>CODE 20</v>
      </c>
      <c r="D2750" t="str">
        <f t="shared" si="1116"/>
        <v>NEWPORT</v>
      </c>
      <c r="E2750" t="str">
        <f t="shared" si="1117"/>
        <v>RI</v>
      </c>
      <c r="F2750" t="str">
        <f t="shared" si="1118"/>
        <v>028411213</v>
      </c>
      <c r="G2750" t="str">
        <f>T("686 CUSHING RD")</f>
        <v>686 CUSHING RD</v>
      </c>
      <c r="H2750" t="str">
        <f>T("CODE 20")</f>
        <v>CODE 20</v>
      </c>
      <c r="I2750" t="str">
        <f t="shared" si="1119"/>
        <v>NEWPORT</v>
      </c>
      <c r="J2750" t="str">
        <f t="shared" si="1120"/>
        <v>RI</v>
      </c>
      <c r="K2750" t="str">
        <f>T("4018412616")</f>
        <v>4018412616</v>
      </c>
      <c r="L2750" t="str">
        <f>T("4018412136")</f>
        <v>4018412136</v>
      </c>
    </row>
    <row r="2751" spans="1:12" x14ac:dyDescent="0.35">
      <c r="A2751" t="str">
        <f t="shared" si="1114"/>
        <v>NAVAL WAR COLLEGE</v>
      </c>
      <c r="B2751" t="str">
        <f t="shared" si="1115"/>
        <v>686 CUSHING RD</v>
      </c>
      <c r="C2751" t="str">
        <f t="shared" si="1121"/>
        <v>CODE 20</v>
      </c>
      <c r="D2751" t="str">
        <f t="shared" si="1116"/>
        <v>NEWPORT</v>
      </c>
      <c r="E2751" t="str">
        <f t="shared" si="1117"/>
        <v>RI</v>
      </c>
      <c r="F2751" t="str">
        <f t="shared" si="1118"/>
        <v>028411213</v>
      </c>
      <c r="G2751" t="str">
        <f>T("NAVAL WAR COLLEGE")</f>
        <v>NAVAL WAR COLLEGE</v>
      </c>
      <c r="H2751" t="str">
        <f>T("686 CUSHING ROAD")</f>
        <v>686 CUSHING ROAD</v>
      </c>
      <c r="I2751" t="str">
        <f t="shared" si="1119"/>
        <v>NEWPORT</v>
      </c>
      <c r="J2751" t="str">
        <f t="shared" si="1120"/>
        <v>RI</v>
      </c>
      <c r="K2751" t="str">
        <f t="shared" ref="K2751:K2758" si="1122">T("000000000000000000")</f>
        <v>000000000000000000</v>
      </c>
      <c r="L2751" t="str">
        <f>T("4018412722")</f>
        <v>4018412722</v>
      </c>
    </row>
    <row r="2752" spans="1:12" x14ac:dyDescent="0.35">
      <c r="A2752" t="str">
        <f t="shared" si="1114"/>
        <v>NAVAL WAR COLLEGE</v>
      </c>
      <c r="B2752" t="str">
        <f t="shared" si="1115"/>
        <v>686 CUSHING RD</v>
      </c>
      <c r="C2752" t="str">
        <f t="shared" si="1121"/>
        <v>CODE 20</v>
      </c>
      <c r="D2752" t="str">
        <f t="shared" si="1116"/>
        <v>NEWPORT</v>
      </c>
      <c r="E2752" t="str">
        <f t="shared" si="1117"/>
        <v>RI</v>
      </c>
      <c r="F2752" t="str">
        <f t="shared" si="1118"/>
        <v>028411213</v>
      </c>
      <c r="G2752" t="str">
        <f>T("NAVAL WAR COLLEGE")</f>
        <v>NAVAL WAR COLLEGE</v>
      </c>
      <c r="H2752" t="str">
        <f>T("686 CUSHING ROAD")</f>
        <v>686 CUSHING ROAD</v>
      </c>
      <c r="I2752" t="str">
        <f t="shared" si="1119"/>
        <v>NEWPORT</v>
      </c>
      <c r="J2752" t="str">
        <f t="shared" si="1120"/>
        <v>RI</v>
      </c>
      <c r="K2752" t="str">
        <f t="shared" si="1122"/>
        <v>000000000000000000</v>
      </c>
      <c r="L2752" t="str">
        <f>T("4018413537")</f>
        <v>4018413537</v>
      </c>
    </row>
    <row r="2753" spans="1:12" x14ac:dyDescent="0.35">
      <c r="A2753" t="str">
        <f t="shared" si="1114"/>
        <v>NAVAL WAR COLLEGE</v>
      </c>
      <c r="B2753" t="str">
        <f t="shared" si="1115"/>
        <v>686 CUSHING RD</v>
      </c>
      <c r="C2753" t="str">
        <f t="shared" si="1121"/>
        <v>CODE 20</v>
      </c>
      <c r="D2753" t="str">
        <f t="shared" si="1116"/>
        <v>NEWPORT</v>
      </c>
      <c r="E2753" t="str">
        <f t="shared" si="1117"/>
        <v>RI</v>
      </c>
      <c r="F2753" t="str">
        <f t="shared" si="1118"/>
        <v>028411213</v>
      </c>
      <c r="G2753" t="str">
        <f>T("NAVAL WAR COLLEGE")</f>
        <v>NAVAL WAR COLLEGE</v>
      </c>
      <c r="H2753" t="str">
        <f>T("686 CUSHING ROAD")</f>
        <v>686 CUSHING ROAD</v>
      </c>
      <c r="I2753" t="str">
        <f t="shared" si="1119"/>
        <v>NEWPORT</v>
      </c>
      <c r="J2753" t="str">
        <f t="shared" si="1120"/>
        <v>RI</v>
      </c>
      <c r="K2753" t="str">
        <f t="shared" si="1122"/>
        <v>000000000000000000</v>
      </c>
      <c r="L2753" t="str">
        <f>T("4018414416")</f>
        <v>4018414416</v>
      </c>
    </row>
    <row r="2754" spans="1:12" x14ac:dyDescent="0.35">
      <c r="A2754" t="str">
        <f t="shared" si="1114"/>
        <v>NAVAL WAR COLLEGE</v>
      </c>
      <c r="B2754" t="str">
        <f t="shared" si="1115"/>
        <v>686 CUSHING RD</v>
      </c>
      <c r="C2754" t="str">
        <f t="shared" si="1121"/>
        <v>CODE 20</v>
      </c>
      <c r="D2754" t="str">
        <f t="shared" si="1116"/>
        <v>NEWPORT</v>
      </c>
      <c r="E2754" t="str">
        <f t="shared" si="1117"/>
        <v>RI</v>
      </c>
      <c r="F2754" t="str">
        <f t="shared" si="1118"/>
        <v>028411213</v>
      </c>
      <c r="G2754" t="str">
        <f>T("NAVAL WAR COLLEGE")</f>
        <v>NAVAL WAR COLLEGE</v>
      </c>
      <c r="H2754" t="str">
        <f>T("686 CUSHING ROAD")</f>
        <v>686 CUSHING ROAD</v>
      </c>
      <c r="I2754" t="str">
        <f t="shared" si="1119"/>
        <v>NEWPORT</v>
      </c>
      <c r="J2754" t="str">
        <f t="shared" si="1120"/>
        <v>RI</v>
      </c>
      <c r="K2754" t="str">
        <f t="shared" si="1122"/>
        <v>000000000000000000</v>
      </c>
      <c r="L2754" t="str">
        <f>T("4018417232")</f>
        <v>4018417232</v>
      </c>
    </row>
    <row r="2755" spans="1:12" x14ac:dyDescent="0.35">
      <c r="A2755" t="str">
        <f t="shared" si="1114"/>
        <v>NAVAL WAR COLLEGE</v>
      </c>
      <c r="B2755" t="str">
        <f t="shared" si="1115"/>
        <v>686 CUSHING RD</v>
      </c>
      <c r="C2755" t="str">
        <f t="shared" si="1121"/>
        <v>CODE 20</v>
      </c>
      <c r="D2755" t="str">
        <f t="shared" si="1116"/>
        <v>NEWPORT</v>
      </c>
      <c r="E2755" t="str">
        <f t="shared" si="1117"/>
        <v>RI</v>
      </c>
      <c r="F2755" t="str">
        <f t="shared" si="1118"/>
        <v>028411213</v>
      </c>
      <c r="G2755" t="str">
        <f>T("NAVAL WAR COLLEGE")</f>
        <v>NAVAL WAR COLLEGE</v>
      </c>
      <c r="H2755" t="str">
        <f>T("686 CUSHING ROAD")</f>
        <v>686 CUSHING ROAD</v>
      </c>
      <c r="I2755" t="str">
        <f t="shared" si="1119"/>
        <v>NEWPORT</v>
      </c>
      <c r="J2755" t="str">
        <f t="shared" si="1120"/>
        <v>RI</v>
      </c>
      <c r="K2755" t="str">
        <f t="shared" si="1122"/>
        <v>000000000000000000</v>
      </c>
      <c r="L2755" t="str">
        <f>T("4018417474")</f>
        <v>4018417474</v>
      </c>
    </row>
    <row r="2756" spans="1:12" x14ac:dyDescent="0.35">
      <c r="A2756" t="str">
        <f t="shared" si="1114"/>
        <v>NAVAL WAR COLLEGE</v>
      </c>
      <c r="B2756" t="str">
        <f t="shared" si="1115"/>
        <v>686 CUSHING RD</v>
      </c>
      <c r="C2756" t="str">
        <f>T("CODE 33")</f>
        <v>CODE 33</v>
      </c>
      <c r="D2756" t="str">
        <f t="shared" si="1116"/>
        <v>NEWPORT</v>
      </c>
      <c r="E2756" t="str">
        <f t="shared" si="1117"/>
        <v>RI</v>
      </c>
      <c r="F2756" t="str">
        <f t="shared" si="1118"/>
        <v>028411213</v>
      </c>
      <c r="G2756" t="str">
        <f>T("686 CUSHING RD")</f>
        <v>686 CUSHING RD</v>
      </c>
      <c r="H2756" t="str">
        <f>T("CODE 33")</f>
        <v>CODE 33</v>
      </c>
      <c r="I2756" t="str">
        <f t="shared" si="1119"/>
        <v>NEWPORT</v>
      </c>
      <c r="J2756" t="str">
        <f t="shared" si="1120"/>
        <v>RI</v>
      </c>
      <c r="K2756" t="str">
        <f t="shared" si="1122"/>
        <v>000000000000000000</v>
      </c>
      <c r="L2756" t="str">
        <f>T("4018414701")</f>
        <v>4018414701</v>
      </c>
    </row>
    <row r="2757" spans="1:12" x14ac:dyDescent="0.35">
      <c r="A2757" t="str">
        <f t="shared" si="1114"/>
        <v>NAVAL WAR COLLEGE</v>
      </c>
      <c r="B2757" t="str">
        <f t="shared" si="1115"/>
        <v>686 CUSHING RD</v>
      </c>
      <c r="C2757" t="str">
        <f>T("CODE 33")</f>
        <v>CODE 33</v>
      </c>
      <c r="D2757" t="str">
        <f t="shared" si="1116"/>
        <v>NEWPORT</v>
      </c>
      <c r="E2757" t="str">
        <f t="shared" si="1117"/>
        <v>RI</v>
      </c>
      <c r="F2757" t="str">
        <f t="shared" si="1118"/>
        <v>028411213</v>
      </c>
      <c r="G2757" t="str">
        <f>T("NAVAL WAR COLLEGE")</f>
        <v>NAVAL WAR COLLEGE</v>
      </c>
      <c r="H2757" t="str">
        <f>T("686 CUSHING ROAD")</f>
        <v>686 CUSHING ROAD</v>
      </c>
      <c r="I2757" t="str">
        <f t="shared" si="1119"/>
        <v>NEWPORT</v>
      </c>
      <c r="J2757" t="str">
        <f t="shared" si="1120"/>
        <v>RI</v>
      </c>
      <c r="K2757" t="str">
        <f t="shared" si="1122"/>
        <v>000000000000000000</v>
      </c>
      <c r="L2757" t="str">
        <f>T("4018412353")</f>
        <v>4018412353</v>
      </c>
    </row>
    <row r="2758" spans="1:12" x14ac:dyDescent="0.35">
      <c r="A2758" t="str">
        <f t="shared" si="1114"/>
        <v>NAVAL WAR COLLEGE</v>
      </c>
      <c r="B2758" t="str">
        <f t="shared" si="1115"/>
        <v>686 CUSHING RD</v>
      </c>
      <c r="C2758" t="str">
        <f>T("CODE 33")</f>
        <v>CODE 33</v>
      </c>
      <c r="D2758" t="str">
        <f t="shared" si="1116"/>
        <v>NEWPORT</v>
      </c>
      <c r="E2758" t="str">
        <f t="shared" si="1117"/>
        <v>RI</v>
      </c>
      <c r="F2758" t="str">
        <f t="shared" si="1118"/>
        <v>028411213</v>
      </c>
      <c r="G2758" t="str">
        <f>T("NAVAL WAR COLLEGE")</f>
        <v>NAVAL WAR COLLEGE</v>
      </c>
      <c r="H2758" t="str">
        <f>T("686 CUSHING ROAD")</f>
        <v>686 CUSHING ROAD</v>
      </c>
      <c r="I2758" t="str">
        <f t="shared" si="1119"/>
        <v>NEWPORT</v>
      </c>
      <c r="J2758" t="str">
        <f t="shared" si="1120"/>
        <v>RI</v>
      </c>
      <c r="K2758" t="str">
        <f t="shared" si="1122"/>
        <v>000000000000000000</v>
      </c>
      <c r="L2758" t="str">
        <f>T("4018417492")</f>
        <v>4018417492</v>
      </c>
    </row>
    <row r="2759" spans="1:12" x14ac:dyDescent="0.35">
      <c r="A2759" t="str">
        <f t="shared" si="1114"/>
        <v>NAVAL WAR COLLEGE</v>
      </c>
      <c r="B2759" t="str">
        <f t="shared" ref="B2759:B2804" si="1123">T("686 CUSHING ROAD")</f>
        <v>686 CUSHING ROAD</v>
      </c>
      <c r="C2759" t="str">
        <f t="shared" ref="C2759:C2784" si="1124">T("")</f>
        <v/>
      </c>
      <c r="D2759" t="str">
        <f t="shared" si="1116"/>
        <v>NEWPORT</v>
      </c>
      <c r="E2759" t="str">
        <f t="shared" si="1117"/>
        <v>RI</v>
      </c>
      <c r="F2759" t="str">
        <f t="shared" ref="F2759:F2778" si="1125">T("028411207")</f>
        <v>028411207</v>
      </c>
      <c r="G2759" t="str">
        <f t="shared" ref="G2759:G2768" si="1126">T("686 CUSHING ROAD")</f>
        <v>686 CUSHING ROAD</v>
      </c>
      <c r="H2759" t="str">
        <f t="shared" ref="H2759:H2768" si="1127">T("")</f>
        <v/>
      </c>
      <c r="I2759" t="str">
        <f t="shared" si="1119"/>
        <v>NEWPORT</v>
      </c>
      <c r="J2759" t="str">
        <f t="shared" si="1120"/>
        <v>RI</v>
      </c>
      <c r="K2759" t="str">
        <f t="shared" ref="K2759:K2764" si="1128">T("")</f>
        <v/>
      </c>
      <c r="L2759" t="str">
        <f>T("4018411946")</f>
        <v>4018411946</v>
      </c>
    </row>
    <row r="2760" spans="1:12" x14ac:dyDescent="0.35">
      <c r="A2760" t="str">
        <f t="shared" si="1114"/>
        <v>NAVAL WAR COLLEGE</v>
      </c>
      <c r="B2760" t="str">
        <f t="shared" si="1123"/>
        <v>686 CUSHING ROAD</v>
      </c>
      <c r="C2760" t="str">
        <f t="shared" si="1124"/>
        <v/>
      </c>
      <c r="D2760" t="str">
        <f t="shared" si="1116"/>
        <v>NEWPORT</v>
      </c>
      <c r="E2760" t="str">
        <f t="shared" si="1117"/>
        <v>RI</v>
      </c>
      <c r="F2760" t="str">
        <f t="shared" si="1125"/>
        <v>028411207</v>
      </c>
      <c r="G2760" t="str">
        <f t="shared" si="1126"/>
        <v>686 CUSHING ROAD</v>
      </c>
      <c r="H2760" t="str">
        <f t="shared" si="1127"/>
        <v/>
      </c>
      <c r="I2760" t="str">
        <f t="shared" si="1119"/>
        <v>NEWPORT</v>
      </c>
      <c r="J2760" t="str">
        <f t="shared" si="1120"/>
        <v>RI</v>
      </c>
      <c r="K2760" t="str">
        <f t="shared" si="1128"/>
        <v/>
      </c>
      <c r="L2760" t="str">
        <f>T("4018413661")</f>
        <v>4018413661</v>
      </c>
    </row>
    <row r="2761" spans="1:12" x14ac:dyDescent="0.35">
      <c r="A2761" t="str">
        <f t="shared" si="1114"/>
        <v>NAVAL WAR COLLEGE</v>
      </c>
      <c r="B2761" t="str">
        <f t="shared" si="1123"/>
        <v>686 CUSHING ROAD</v>
      </c>
      <c r="C2761" t="str">
        <f t="shared" si="1124"/>
        <v/>
      </c>
      <c r="D2761" t="str">
        <f t="shared" si="1116"/>
        <v>NEWPORT</v>
      </c>
      <c r="E2761" t="str">
        <f t="shared" si="1117"/>
        <v>RI</v>
      </c>
      <c r="F2761" t="str">
        <f t="shared" si="1125"/>
        <v>028411207</v>
      </c>
      <c r="G2761" t="str">
        <f t="shared" si="1126"/>
        <v>686 CUSHING ROAD</v>
      </c>
      <c r="H2761" t="str">
        <f t="shared" si="1127"/>
        <v/>
      </c>
      <c r="I2761" t="str">
        <f t="shared" si="1119"/>
        <v>NEWPORT</v>
      </c>
      <c r="J2761" t="str">
        <f t="shared" si="1120"/>
        <v>RI</v>
      </c>
      <c r="K2761" t="str">
        <f t="shared" si="1128"/>
        <v/>
      </c>
      <c r="L2761" t="str">
        <f>T("4018413950")</f>
        <v>4018413950</v>
      </c>
    </row>
    <row r="2762" spans="1:12" x14ac:dyDescent="0.35">
      <c r="A2762" t="str">
        <f t="shared" si="1114"/>
        <v>NAVAL WAR COLLEGE</v>
      </c>
      <c r="B2762" t="str">
        <f t="shared" si="1123"/>
        <v>686 CUSHING ROAD</v>
      </c>
      <c r="C2762" t="str">
        <f t="shared" si="1124"/>
        <v/>
      </c>
      <c r="D2762" t="str">
        <f t="shared" si="1116"/>
        <v>NEWPORT</v>
      </c>
      <c r="E2762" t="str">
        <f t="shared" si="1117"/>
        <v>RI</v>
      </c>
      <c r="F2762" t="str">
        <f t="shared" si="1125"/>
        <v>028411207</v>
      </c>
      <c r="G2762" t="str">
        <f t="shared" si="1126"/>
        <v>686 CUSHING ROAD</v>
      </c>
      <c r="H2762" t="str">
        <f t="shared" si="1127"/>
        <v/>
      </c>
      <c r="I2762" t="str">
        <f t="shared" si="1119"/>
        <v>NEWPORT</v>
      </c>
      <c r="J2762" t="str">
        <f t="shared" si="1120"/>
        <v>RI</v>
      </c>
      <c r="K2762" t="str">
        <f t="shared" si="1128"/>
        <v/>
      </c>
      <c r="L2762" t="str">
        <f>T("4018414593")</f>
        <v>4018414593</v>
      </c>
    </row>
    <row r="2763" spans="1:12" x14ac:dyDescent="0.35">
      <c r="A2763" t="str">
        <f t="shared" si="1114"/>
        <v>NAVAL WAR COLLEGE</v>
      </c>
      <c r="B2763" t="str">
        <f t="shared" si="1123"/>
        <v>686 CUSHING ROAD</v>
      </c>
      <c r="C2763" t="str">
        <f t="shared" si="1124"/>
        <v/>
      </c>
      <c r="D2763" t="str">
        <f t="shared" si="1116"/>
        <v>NEWPORT</v>
      </c>
      <c r="E2763" t="str">
        <f t="shared" si="1117"/>
        <v>RI</v>
      </c>
      <c r="F2763" t="str">
        <f t="shared" si="1125"/>
        <v>028411207</v>
      </c>
      <c r="G2763" t="str">
        <f t="shared" si="1126"/>
        <v>686 CUSHING ROAD</v>
      </c>
      <c r="H2763" t="str">
        <f t="shared" si="1127"/>
        <v/>
      </c>
      <c r="I2763" t="str">
        <f t="shared" si="1119"/>
        <v>NEWPORT</v>
      </c>
      <c r="J2763" t="str">
        <f t="shared" si="1120"/>
        <v>RI</v>
      </c>
      <c r="K2763" t="str">
        <f t="shared" si="1128"/>
        <v/>
      </c>
      <c r="L2763" t="str">
        <f>T("4018416596")</f>
        <v>4018416596</v>
      </c>
    </row>
    <row r="2764" spans="1:12" x14ac:dyDescent="0.35">
      <c r="A2764" t="str">
        <f t="shared" si="1114"/>
        <v>NAVAL WAR COLLEGE</v>
      </c>
      <c r="B2764" t="str">
        <f t="shared" si="1123"/>
        <v>686 CUSHING ROAD</v>
      </c>
      <c r="C2764" t="str">
        <f t="shared" si="1124"/>
        <v/>
      </c>
      <c r="D2764" t="str">
        <f t="shared" si="1116"/>
        <v>NEWPORT</v>
      </c>
      <c r="E2764" t="str">
        <f t="shared" si="1117"/>
        <v>RI</v>
      </c>
      <c r="F2764" t="str">
        <f t="shared" si="1125"/>
        <v>028411207</v>
      </c>
      <c r="G2764" t="str">
        <f t="shared" si="1126"/>
        <v>686 CUSHING ROAD</v>
      </c>
      <c r="H2764" t="str">
        <f t="shared" si="1127"/>
        <v/>
      </c>
      <c r="I2764" t="str">
        <f t="shared" si="1119"/>
        <v>NEWPORT</v>
      </c>
      <c r="J2764" t="str">
        <f t="shared" si="1120"/>
        <v>RI</v>
      </c>
      <c r="K2764" t="str">
        <f t="shared" si="1128"/>
        <v/>
      </c>
      <c r="L2764" t="str">
        <f>T("4018417501")</f>
        <v>4018417501</v>
      </c>
    </row>
    <row r="2765" spans="1:12" x14ac:dyDescent="0.35">
      <c r="A2765" t="str">
        <f t="shared" si="1114"/>
        <v>NAVAL WAR COLLEGE</v>
      </c>
      <c r="B2765" t="str">
        <f t="shared" si="1123"/>
        <v>686 CUSHING ROAD</v>
      </c>
      <c r="C2765" t="str">
        <f t="shared" si="1124"/>
        <v/>
      </c>
      <c r="D2765" t="str">
        <f t="shared" si="1116"/>
        <v>NEWPORT</v>
      </c>
      <c r="E2765" t="str">
        <f t="shared" si="1117"/>
        <v>RI</v>
      </c>
      <c r="F2765" t="str">
        <f t="shared" si="1125"/>
        <v>028411207</v>
      </c>
      <c r="G2765" t="str">
        <f t="shared" si="1126"/>
        <v>686 CUSHING ROAD</v>
      </c>
      <c r="H2765" t="str">
        <f t="shared" si="1127"/>
        <v/>
      </c>
      <c r="I2765" t="str">
        <f t="shared" si="1119"/>
        <v>NEWPORT</v>
      </c>
      <c r="J2765" t="str">
        <f t="shared" si="1120"/>
        <v>RI</v>
      </c>
      <c r="K2765" t="str">
        <f t="shared" ref="K2765:K2778" si="1129">T("000000000000000000")</f>
        <v>000000000000000000</v>
      </c>
      <c r="L2765" t="str">
        <f>T("4018411255")</f>
        <v>4018411255</v>
      </c>
    </row>
    <row r="2766" spans="1:12" x14ac:dyDescent="0.35">
      <c r="A2766" t="str">
        <f t="shared" si="1114"/>
        <v>NAVAL WAR COLLEGE</v>
      </c>
      <c r="B2766" t="str">
        <f t="shared" si="1123"/>
        <v>686 CUSHING ROAD</v>
      </c>
      <c r="C2766" t="str">
        <f t="shared" si="1124"/>
        <v/>
      </c>
      <c r="D2766" t="str">
        <f t="shared" si="1116"/>
        <v>NEWPORT</v>
      </c>
      <c r="E2766" t="str">
        <f t="shared" si="1117"/>
        <v>RI</v>
      </c>
      <c r="F2766" t="str">
        <f t="shared" si="1125"/>
        <v>028411207</v>
      </c>
      <c r="G2766" t="str">
        <f t="shared" si="1126"/>
        <v>686 CUSHING ROAD</v>
      </c>
      <c r="H2766" t="str">
        <f t="shared" si="1127"/>
        <v/>
      </c>
      <c r="I2766" t="str">
        <f t="shared" si="1119"/>
        <v>NEWPORT</v>
      </c>
      <c r="J2766" t="str">
        <f t="shared" si="1120"/>
        <v>RI</v>
      </c>
      <c r="K2766" t="str">
        <f t="shared" si="1129"/>
        <v>000000000000000000</v>
      </c>
      <c r="L2766" t="str">
        <f>T("4018416309")</f>
        <v>4018416309</v>
      </c>
    </row>
    <row r="2767" spans="1:12" x14ac:dyDescent="0.35">
      <c r="A2767" t="str">
        <f t="shared" ref="A2767:A2798" si="1130">T("NAVAL WAR COLLEGE")</f>
        <v>NAVAL WAR COLLEGE</v>
      </c>
      <c r="B2767" t="str">
        <f t="shared" si="1123"/>
        <v>686 CUSHING ROAD</v>
      </c>
      <c r="C2767" t="str">
        <f t="shared" si="1124"/>
        <v/>
      </c>
      <c r="D2767" t="str">
        <f t="shared" ref="D2767:D2798" si="1131">T("NEWPORT")</f>
        <v>NEWPORT</v>
      </c>
      <c r="E2767" t="str">
        <f t="shared" ref="E2767:E2798" si="1132">T("RI")</f>
        <v>RI</v>
      </c>
      <c r="F2767" t="str">
        <f t="shared" si="1125"/>
        <v>028411207</v>
      </c>
      <c r="G2767" t="str">
        <f t="shared" si="1126"/>
        <v>686 CUSHING ROAD</v>
      </c>
      <c r="H2767" t="str">
        <f t="shared" si="1127"/>
        <v/>
      </c>
      <c r="I2767" t="str">
        <f t="shared" ref="I2767:I2798" si="1133">T("NEWPORT")</f>
        <v>NEWPORT</v>
      </c>
      <c r="J2767" t="str">
        <f t="shared" ref="J2767:J2798" si="1134">T("RI")</f>
        <v>RI</v>
      </c>
      <c r="K2767" t="str">
        <f t="shared" si="1129"/>
        <v>000000000000000000</v>
      </c>
      <c r="L2767" t="str">
        <f>T("4018416458")</f>
        <v>4018416458</v>
      </c>
    </row>
    <row r="2768" spans="1:12" x14ac:dyDescent="0.35">
      <c r="A2768" t="str">
        <f t="shared" si="1130"/>
        <v>NAVAL WAR COLLEGE</v>
      </c>
      <c r="B2768" t="str">
        <f t="shared" si="1123"/>
        <v>686 CUSHING ROAD</v>
      </c>
      <c r="C2768" t="str">
        <f t="shared" si="1124"/>
        <v/>
      </c>
      <c r="D2768" t="str">
        <f t="shared" si="1131"/>
        <v>NEWPORT</v>
      </c>
      <c r="E2768" t="str">
        <f t="shared" si="1132"/>
        <v>RI</v>
      </c>
      <c r="F2768" t="str">
        <f t="shared" si="1125"/>
        <v>028411207</v>
      </c>
      <c r="G2768" t="str">
        <f t="shared" si="1126"/>
        <v>686 CUSHING ROAD</v>
      </c>
      <c r="H2768" t="str">
        <f t="shared" si="1127"/>
        <v/>
      </c>
      <c r="I2768" t="str">
        <f t="shared" si="1133"/>
        <v>NEWPORT</v>
      </c>
      <c r="J2768" t="str">
        <f t="shared" si="1134"/>
        <v>RI</v>
      </c>
      <c r="K2768" t="str">
        <f t="shared" si="1129"/>
        <v>000000000000000000</v>
      </c>
      <c r="L2768" t="str">
        <f>T("4018417532")</f>
        <v>4018417532</v>
      </c>
    </row>
    <row r="2769" spans="1:12" x14ac:dyDescent="0.35">
      <c r="A2769" t="str">
        <f t="shared" si="1130"/>
        <v>NAVAL WAR COLLEGE</v>
      </c>
      <c r="B2769" t="str">
        <f t="shared" si="1123"/>
        <v>686 CUSHING ROAD</v>
      </c>
      <c r="C2769" t="str">
        <f t="shared" si="1124"/>
        <v/>
      </c>
      <c r="D2769" t="str">
        <f t="shared" si="1131"/>
        <v>NEWPORT</v>
      </c>
      <c r="E2769" t="str">
        <f t="shared" si="1132"/>
        <v>RI</v>
      </c>
      <c r="F2769" t="str">
        <f t="shared" si="1125"/>
        <v>028411207</v>
      </c>
      <c r="G2769" t="str">
        <f t="shared" ref="G2769:G2778" si="1135">T("NAVAL WAR COLLEGE")</f>
        <v>NAVAL WAR COLLEGE</v>
      </c>
      <c r="H2769" t="str">
        <f t="shared" ref="H2769:H2778" si="1136">T("686 CUSHING ROAD")</f>
        <v>686 CUSHING ROAD</v>
      </c>
      <c r="I2769" t="str">
        <f t="shared" si="1133"/>
        <v>NEWPORT</v>
      </c>
      <c r="J2769" t="str">
        <f t="shared" si="1134"/>
        <v>RI</v>
      </c>
      <c r="K2769" t="str">
        <f t="shared" si="1129"/>
        <v>000000000000000000</v>
      </c>
      <c r="L2769" t="str">
        <f>T("4018411148")</f>
        <v>4018411148</v>
      </c>
    </row>
    <row r="2770" spans="1:12" x14ac:dyDescent="0.35">
      <c r="A2770" t="str">
        <f t="shared" si="1130"/>
        <v>NAVAL WAR COLLEGE</v>
      </c>
      <c r="B2770" t="str">
        <f t="shared" si="1123"/>
        <v>686 CUSHING ROAD</v>
      </c>
      <c r="C2770" t="str">
        <f t="shared" si="1124"/>
        <v/>
      </c>
      <c r="D2770" t="str">
        <f t="shared" si="1131"/>
        <v>NEWPORT</v>
      </c>
      <c r="E2770" t="str">
        <f t="shared" si="1132"/>
        <v>RI</v>
      </c>
      <c r="F2770" t="str">
        <f t="shared" si="1125"/>
        <v>028411207</v>
      </c>
      <c r="G2770" t="str">
        <f t="shared" si="1135"/>
        <v>NAVAL WAR COLLEGE</v>
      </c>
      <c r="H2770" t="str">
        <f t="shared" si="1136"/>
        <v>686 CUSHING ROAD</v>
      </c>
      <c r="I2770" t="str">
        <f t="shared" si="1133"/>
        <v>NEWPORT</v>
      </c>
      <c r="J2770" t="str">
        <f t="shared" si="1134"/>
        <v>RI</v>
      </c>
      <c r="K2770" t="str">
        <f t="shared" si="1129"/>
        <v>000000000000000000</v>
      </c>
      <c r="L2770" t="str">
        <f>T("4018412074")</f>
        <v>4018412074</v>
      </c>
    </row>
    <row r="2771" spans="1:12" x14ac:dyDescent="0.35">
      <c r="A2771" t="str">
        <f t="shared" si="1130"/>
        <v>NAVAL WAR COLLEGE</v>
      </c>
      <c r="B2771" t="str">
        <f t="shared" si="1123"/>
        <v>686 CUSHING ROAD</v>
      </c>
      <c r="C2771" t="str">
        <f t="shared" si="1124"/>
        <v/>
      </c>
      <c r="D2771" t="str">
        <f t="shared" si="1131"/>
        <v>NEWPORT</v>
      </c>
      <c r="E2771" t="str">
        <f t="shared" si="1132"/>
        <v>RI</v>
      </c>
      <c r="F2771" t="str">
        <f t="shared" si="1125"/>
        <v>028411207</v>
      </c>
      <c r="G2771" t="str">
        <f t="shared" si="1135"/>
        <v>NAVAL WAR COLLEGE</v>
      </c>
      <c r="H2771" t="str">
        <f t="shared" si="1136"/>
        <v>686 CUSHING ROAD</v>
      </c>
      <c r="I2771" t="str">
        <f t="shared" si="1133"/>
        <v>NEWPORT</v>
      </c>
      <c r="J2771" t="str">
        <f t="shared" si="1134"/>
        <v>RI</v>
      </c>
      <c r="K2771" t="str">
        <f t="shared" si="1129"/>
        <v>000000000000000000</v>
      </c>
      <c r="L2771" t="str">
        <f>T("4018412188")</f>
        <v>4018412188</v>
      </c>
    </row>
    <row r="2772" spans="1:12" x14ac:dyDescent="0.35">
      <c r="A2772" t="str">
        <f t="shared" si="1130"/>
        <v>NAVAL WAR COLLEGE</v>
      </c>
      <c r="B2772" t="str">
        <f t="shared" si="1123"/>
        <v>686 CUSHING ROAD</v>
      </c>
      <c r="C2772" t="str">
        <f t="shared" si="1124"/>
        <v/>
      </c>
      <c r="D2772" t="str">
        <f t="shared" si="1131"/>
        <v>NEWPORT</v>
      </c>
      <c r="E2772" t="str">
        <f t="shared" si="1132"/>
        <v>RI</v>
      </c>
      <c r="F2772" t="str">
        <f t="shared" si="1125"/>
        <v>028411207</v>
      </c>
      <c r="G2772" t="str">
        <f t="shared" si="1135"/>
        <v>NAVAL WAR COLLEGE</v>
      </c>
      <c r="H2772" t="str">
        <f t="shared" si="1136"/>
        <v>686 CUSHING ROAD</v>
      </c>
      <c r="I2772" t="str">
        <f t="shared" si="1133"/>
        <v>NEWPORT</v>
      </c>
      <c r="J2772" t="str">
        <f t="shared" si="1134"/>
        <v>RI</v>
      </c>
      <c r="K2772" t="str">
        <f t="shared" si="1129"/>
        <v>000000000000000000</v>
      </c>
      <c r="L2772" t="str">
        <f>T("4018412303")</f>
        <v>4018412303</v>
      </c>
    </row>
    <row r="2773" spans="1:12" x14ac:dyDescent="0.35">
      <c r="A2773" t="str">
        <f t="shared" si="1130"/>
        <v>NAVAL WAR COLLEGE</v>
      </c>
      <c r="B2773" t="str">
        <f t="shared" si="1123"/>
        <v>686 CUSHING ROAD</v>
      </c>
      <c r="C2773" t="str">
        <f t="shared" si="1124"/>
        <v/>
      </c>
      <c r="D2773" t="str">
        <f t="shared" si="1131"/>
        <v>NEWPORT</v>
      </c>
      <c r="E2773" t="str">
        <f t="shared" si="1132"/>
        <v>RI</v>
      </c>
      <c r="F2773" t="str">
        <f t="shared" si="1125"/>
        <v>028411207</v>
      </c>
      <c r="G2773" t="str">
        <f t="shared" si="1135"/>
        <v>NAVAL WAR COLLEGE</v>
      </c>
      <c r="H2773" t="str">
        <f t="shared" si="1136"/>
        <v>686 CUSHING ROAD</v>
      </c>
      <c r="I2773" t="str">
        <f t="shared" si="1133"/>
        <v>NEWPORT</v>
      </c>
      <c r="J2773" t="str">
        <f t="shared" si="1134"/>
        <v>RI</v>
      </c>
      <c r="K2773" t="str">
        <f t="shared" si="1129"/>
        <v>000000000000000000</v>
      </c>
      <c r="L2773" t="str">
        <f>T("4018412528")</f>
        <v>4018412528</v>
      </c>
    </row>
    <row r="2774" spans="1:12" x14ac:dyDescent="0.35">
      <c r="A2774" t="str">
        <f t="shared" si="1130"/>
        <v>NAVAL WAR COLLEGE</v>
      </c>
      <c r="B2774" t="str">
        <f t="shared" si="1123"/>
        <v>686 CUSHING ROAD</v>
      </c>
      <c r="C2774" t="str">
        <f t="shared" si="1124"/>
        <v/>
      </c>
      <c r="D2774" t="str">
        <f t="shared" si="1131"/>
        <v>NEWPORT</v>
      </c>
      <c r="E2774" t="str">
        <f t="shared" si="1132"/>
        <v>RI</v>
      </c>
      <c r="F2774" t="str">
        <f t="shared" si="1125"/>
        <v>028411207</v>
      </c>
      <c r="G2774" t="str">
        <f t="shared" si="1135"/>
        <v>NAVAL WAR COLLEGE</v>
      </c>
      <c r="H2774" t="str">
        <f t="shared" si="1136"/>
        <v>686 CUSHING ROAD</v>
      </c>
      <c r="I2774" t="str">
        <f t="shared" si="1133"/>
        <v>NEWPORT</v>
      </c>
      <c r="J2774" t="str">
        <f t="shared" si="1134"/>
        <v>RI</v>
      </c>
      <c r="K2774" t="str">
        <f t="shared" si="1129"/>
        <v>000000000000000000</v>
      </c>
      <c r="L2774" t="str">
        <f>T("4018413332")</f>
        <v>4018413332</v>
      </c>
    </row>
    <row r="2775" spans="1:12" x14ac:dyDescent="0.35">
      <c r="A2775" t="str">
        <f t="shared" si="1130"/>
        <v>NAVAL WAR COLLEGE</v>
      </c>
      <c r="B2775" t="str">
        <f t="shared" si="1123"/>
        <v>686 CUSHING ROAD</v>
      </c>
      <c r="C2775" t="str">
        <f t="shared" si="1124"/>
        <v/>
      </c>
      <c r="D2775" t="str">
        <f t="shared" si="1131"/>
        <v>NEWPORT</v>
      </c>
      <c r="E2775" t="str">
        <f t="shared" si="1132"/>
        <v>RI</v>
      </c>
      <c r="F2775" t="str">
        <f t="shared" si="1125"/>
        <v>028411207</v>
      </c>
      <c r="G2775" t="str">
        <f t="shared" si="1135"/>
        <v>NAVAL WAR COLLEGE</v>
      </c>
      <c r="H2775" t="str">
        <f t="shared" si="1136"/>
        <v>686 CUSHING ROAD</v>
      </c>
      <c r="I2775" t="str">
        <f t="shared" si="1133"/>
        <v>NEWPORT</v>
      </c>
      <c r="J2775" t="str">
        <f t="shared" si="1134"/>
        <v>RI</v>
      </c>
      <c r="K2775" t="str">
        <f t="shared" si="1129"/>
        <v>000000000000000000</v>
      </c>
      <c r="L2775" t="str">
        <f>T("4018413414")</f>
        <v>4018413414</v>
      </c>
    </row>
    <row r="2776" spans="1:12" x14ac:dyDescent="0.35">
      <c r="A2776" t="str">
        <f t="shared" si="1130"/>
        <v>NAVAL WAR COLLEGE</v>
      </c>
      <c r="B2776" t="str">
        <f t="shared" si="1123"/>
        <v>686 CUSHING ROAD</v>
      </c>
      <c r="C2776" t="str">
        <f t="shared" si="1124"/>
        <v/>
      </c>
      <c r="D2776" t="str">
        <f t="shared" si="1131"/>
        <v>NEWPORT</v>
      </c>
      <c r="E2776" t="str">
        <f t="shared" si="1132"/>
        <v>RI</v>
      </c>
      <c r="F2776" t="str">
        <f t="shared" si="1125"/>
        <v>028411207</v>
      </c>
      <c r="G2776" t="str">
        <f t="shared" si="1135"/>
        <v>NAVAL WAR COLLEGE</v>
      </c>
      <c r="H2776" t="str">
        <f t="shared" si="1136"/>
        <v>686 CUSHING ROAD</v>
      </c>
      <c r="I2776" t="str">
        <f t="shared" si="1133"/>
        <v>NEWPORT</v>
      </c>
      <c r="J2776" t="str">
        <f t="shared" si="1134"/>
        <v>RI</v>
      </c>
      <c r="K2776" t="str">
        <f t="shared" si="1129"/>
        <v>000000000000000000</v>
      </c>
      <c r="L2776" t="str">
        <f>T("4018413530")</f>
        <v>4018413530</v>
      </c>
    </row>
    <row r="2777" spans="1:12" x14ac:dyDescent="0.35">
      <c r="A2777" t="str">
        <f t="shared" si="1130"/>
        <v>NAVAL WAR COLLEGE</v>
      </c>
      <c r="B2777" t="str">
        <f t="shared" si="1123"/>
        <v>686 CUSHING ROAD</v>
      </c>
      <c r="C2777" t="str">
        <f t="shared" si="1124"/>
        <v/>
      </c>
      <c r="D2777" t="str">
        <f t="shared" si="1131"/>
        <v>NEWPORT</v>
      </c>
      <c r="E2777" t="str">
        <f t="shared" si="1132"/>
        <v>RI</v>
      </c>
      <c r="F2777" t="str">
        <f t="shared" si="1125"/>
        <v>028411207</v>
      </c>
      <c r="G2777" t="str">
        <f t="shared" si="1135"/>
        <v>NAVAL WAR COLLEGE</v>
      </c>
      <c r="H2777" t="str">
        <f t="shared" si="1136"/>
        <v>686 CUSHING ROAD</v>
      </c>
      <c r="I2777" t="str">
        <f t="shared" si="1133"/>
        <v>NEWPORT</v>
      </c>
      <c r="J2777" t="str">
        <f t="shared" si="1134"/>
        <v>RI</v>
      </c>
      <c r="K2777" t="str">
        <f t="shared" si="1129"/>
        <v>000000000000000000</v>
      </c>
      <c r="L2777" t="str">
        <f>T("4018413626")</f>
        <v>4018413626</v>
      </c>
    </row>
    <row r="2778" spans="1:12" x14ac:dyDescent="0.35">
      <c r="A2778" t="str">
        <f t="shared" si="1130"/>
        <v>NAVAL WAR COLLEGE</v>
      </c>
      <c r="B2778" t="str">
        <f t="shared" si="1123"/>
        <v>686 CUSHING ROAD</v>
      </c>
      <c r="C2778" t="str">
        <f t="shared" si="1124"/>
        <v/>
      </c>
      <c r="D2778" t="str">
        <f t="shared" si="1131"/>
        <v>NEWPORT</v>
      </c>
      <c r="E2778" t="str">
        <f t="shared" si="1132"/>
        <v>RI</v>
      </c>
      <c r="F2778" t="str">
        <f t="shared" si="1125"/>
        <v>028411207</v>
      </c>
      <c r="G2778" t="str">
        <f t="shared" si="1135"/>
        <v>NAVAL WAR COLLEGE</v>
      </c>
      <c r="H2778" t="str">
        <f t="shared" si="1136"/>
        <v>686 CUSHING ROAD</v>
      </c>
      <c r="I2778" t="str">
        <f t="shared" si="1133"/>
        <v>NEWPORT</v>
      </c>
      <c r="J2778" t="str">
        <f t="shared" si="1134"/>
        <v>RI</v>
      </c>
      <c r="K2778" t="str">
        <f t="shared" si="1129"/>
        <v>000000000000000000</v>
      </c>
      <c r="L2778" t="str">
        <f>T("4018417017")</f>
        <v>4018417017</v>
      </c>
    </row>
    <row r="2779" spans="1:12" x14ac:dyDescent="0.35">
      <c r="A2779" t="str">
        <f t="shared" si="1130"/>
        <v>NAVAL WAR COLLEGE</v>
      </c>
      <c r="B2779" t="str">
        <f t="shared" si="1123"/>
        <v>686 CUSHING ROAD</v>
      </c>
      <c r="C2779" t="str">
        <f t="shared" si="1124"/>
        <v/>
      </c>
      <c r="D2779" t="str">
        <f t="shared" si="1131"/>
        <v>NEWPORT</v>
      </c>
      <c r="E2779" t="str">
        <f t="shared" si="1132"/>
        <v>RI</v>
      </c>
      <c r="F2779" t="str">
        <f t="shared" ref="F2779:F2784" si="1137">T("028411213")</f>
        <v>028411213</v>
      </c>
      <c r="G2779" t="str">
        <f>T("686 CUSHING ROAD")</f>
        <v>686 CUSHING ROAD</v>
      </c>
      <c r="H2779" t="str">
        <f>T("")</f>
        <v/>
      </c>
      <c r="I2779" t="str">
        <f t="shared" si="1133"/>
        <v>NEWPORT</v>
      </c>
      <c r="J2779" t="str">
        <f t="shared" si="1134"/>
        <v>RI</v>
      </c>
      <c r="K2779" t="str">
        <f>T("")</f>
        <v/>
      </c>
      <c r="L2779" t="str">
        <f>T("4018411068")</f>
        <v>4018411068</v>
      </c>
    </row>
    <row r="2780" spans="1:12" x14ac:dyDescent="0.35">
      <c r="A2780" t="str">
        <f t="shared" si="1130"/>
        <v>NAVAL WAR COLLEGE</v>
      </c>
      <c r="B2780" t="str">
        <f t="shared" si="1123"/>
        <v>686 CUSHING ROAD</v>
      </c>
      <c r="C2780" t="str">
        <f t="shared" si="1124"/>
        <v/>
      </c>
      <c r="D2780" t="str">
        <f t="shared" si="1131"/>
        <v>NEWPORT</v>
      </c>
      <c r="E2780" t="str">
        <f t="shared" si="1132"/>
        <v>RI</v>
      </c>
      <c r="F2780" t="str">
        <f t="shared" si="1137"/>
        <v>028411213</v>
      </c>
      <c r="G2780" t="str">
        <f>T("686 CUSHING ROAD")</f>
        <v>686 CUSHING ROAD</v>
      </c>
      <c r="H2780" t="str">
        <f>T("")</f>
        <v/>
      </c>
      <c r="I2780" t="str">
        <f t="shared" si="1133"/>
        <v>NEWPORT</v>
      </c>
      <c r="J2780" t="str">
        <f t="shared" si="1134"/>
        <v>RI</v>
      </c>
      <c r="K2780" t="str">
        <f>T("000000000000000000")</f>
        <v>000000000000000000</v>
      </c>
      <c r="L2780" t="str">
        <f>T("4018412508")</f>
        <v>4018412508</v>
      </c>
    </row>
    <row r="2781" spans="1:12" x14ac:dyDescent="0.35">
      <c r="A2781" t="str">
        <f t="shared" si="1130"/>
        <v>NAVAL WAR COLLEGE</v>
      </c>
      <c r="B2781" t="str">
        <f t="shared" si="1123"/>
        <v>686 CUSHING ROAD</v>
      </c>
      <c r="C2781" t="str">
        <f t="shared" si="1124"/>
        <v/>
      </c>
      <c r="D2781" t="str">
        <f t="shared" si="1131"/>
        <v>NEWPORT</v>
      </c>
      <c r="E2781" t="str">
        <f t="shared" si="1132"/>
        <v>RI</v>
      </c>
      <c r="F2781" t="str">
        <f t="shared" si="1137"/>
        <v>028411213</v>
      </c>
      <c r="G2781" t="str">
        <f>T("686 CUSHING ROAD")</f>
        <v>686 CUSHING ROAD</v>
      </c>
      <c r="H2781" t="str">
        <f>T("")</f>
        <v/>
      </c>
      <c r="I2781" t="str">
        <f t="shared" si="1133"/>
        <v>NEWPORT</v>
      </c>
      <c r="J2781" t="str">
        <f t="shared" si="1134"/>
        <v>RI</v>
      </c>
      <c r="K2781" t="str">
        <f>T("000000000000000000")</f>
        <v>000000000000000000</v>
      </c>
      <c r="L2781" t="str">
        <f>T("4018417365")</f>
        <v>4018417365</v>
      </c>
    </row>
    <row r="2782" spans="1:12" x14ac:dyDescent="0.35">
      <c r="A2782" t="str">
        <f t="shared" si="1130"/>
        <v>NAVAL WAR COLLEGE</v>
      </c>
      <c r="B2782" t="str">
        <f t="shared" si="1123"/>
        <v>686 CUSHING ROAD</v>
      </c>
      <c r="C2782" t="str">
        <f t="shared" si="1124"/>
        <v/>
      </c>
      <c r="D2782" t="str">
        <f t="shared" si="1131"/>
        <v>NEWPORT</v>
      </c>
      <c r="E2782" t="str">
        <f t="shared" si="1132"/>
        <v>RI</v>
      </c>
      <c r="F2782" t="str">
        <f t="shared" si="1137"/>
        <v>028411213</v>
      </c>
      <c r="G2782" t="str">
        <f>T("NAVAL WAR COLLEGE")</f>
        <v>NAVAL WAR COLLEGE</v>
      </c>
      <c r="H2782" t="str">
        <f>T("686 CUSHING ROAD")</f>
        <v>686 CUSHING ROAD</v>
      </c>
      <c r="I2782" t="str">
        <f t="shared" si="1133"/>
        <v>NEWPORT</v>
      </c>
      <c r="J2782" t="str">
        <f t="shared" si="1134"/>
        <v>RI</v>
      </c>
      <c r="K2782" t="str">
        <f>T("000000000000000000")</f>
        <v>000000000000000000</v>
      </c>
      <c r="L2782" t="str">
        <f>T("4018411068")</f>
        <v>4018411068</v>
      </c>
    </row>
    <row r="2783" spans="1:12" x14ac:dyDescent="0.35">
      <c r="A2783" t="str">
        <f t="shared" si="1130"/>
        <v>NAVAL WAR COLLEGE</v>
      </c>
      <c r="B2783" t="str">
        <f t="shared" si="1123"/>
        <v>686 CUSHING ROAD</v>
      </c>
      <c r="C2783" t="str">
        <f t="shared" si="1124"/>
        <v/>
      </c>
      <c r="D2783" t="str">
        <f t="shared" si="1131"/>
        <v>NEWPORT</v>
      </c>
      <c r="E2783" t="str">
        <f t="shared" si="1132"/>
        <v>RI</v>
      </c>
      <c r="F2783" t="str">
        <f t="shared" si="1137"/>
        <v>028411213</v>
      </c>
      <c r="G2783" t="str">
        <f>T("NAVAL WAR COLLEGE")</f>
        <v>NAVAL WAR COLLEGE</v>
      </c>
      <c r="H2783" t="str">
        <f>T("686 CUSHING ROAD")</f>
        <v>686 CUSHING ROAD</v>
      </c>
      <c r="I2783" t="str">
        <f t="shared" si="1133"/>
        <v>NEWPORT</v>
      </c>
      <c r="J2783" t="str">
        <f t="shared" si="1134"/>
        <v>RI</v>
      </c>
      <c r="K2783" t="str">
        <f>T("000000000000000000")</f>
        <v>000000000000000000</v>
      </c>
      <c r="L2783" t="str">
        <f>T("4018413261")</f>
        <v>4018413261</v>
      </c>
    </row>
    <row r="2784" spans="1:12" x14ac:dyDescent="0.35">
      <c r="A2784" t="str">
        <f t="shared" si="1130"/>
        <v>NAVAL WAR COLLEGE</v>
      </c>
      <c r="B2784" t="str">
        <f t="shared" si="1123"/>
        <v>686 CUSHING ROAD</v>
      </c>
      <c r="C2784" t="str">
        <f t="shared" si="1124"/>
        <v/>
      </c>
      <c r="D2784" t="str">
        <f t="shared" si="1131"/>
        <v>NEWPORT</v>
      </c>
      <c r="E2784" t="str">
        <f t="shared" si="1132"/>
        <v>RI</v>
      </c>
      <c r="F2784" t="str">
        <f t="shared" si="1137"/>
        <v>028411213</v>
      </c>
      <c r="G2784" t="str">
        <f>T("NAVAL WAR COLLEGE")</f>
        <v>NAVAL WAR COLLEGE</v>
      </c>
      <c r="H2784" t="str">
        <f>T("686 CUSHING ROAD")</f>
        <v>686 CUSHING ROAD</v>
      </c>
      <c r="I2784" t="str">
        <f t="shared" si="1133"/>
        <v>NEWPORT</v>
      </c>
      <c r="J2784" t="str">
        <f t="shared" si="1134"/>
        <v>RI</v>
      </c>
      <c r="K2784" t="str">
        <f>T("000000000000000000")</f>
        <v>000000000000000000</v>
      </c>
      <c r="L2784" t="str">
        <f>T("4018417566")</f>
        <v>4018417566</v>
      </c>
    </row>
    <row r="2785" spans="1:12" x14ac:dyDescent="0.35">
      <c r="A2785" t="str">
        <f t="shared" si="1130"/>
        <v>NAVAL WAR COLLEGE</v>
      </c>
      <c r="B2785" t="str">
        <f t="shared" si="1123"/>
        <v>686 CUSHING ROAD</v>
      </c>
      <c r="C2785" t="str">
        <f>T("CODE 1H")</f>
        <v>CODE 1H</v>
      </c>
      <c r="D2785" t="str">
        <f t="shared" si="1131"/>
        <v>NEWPORT</v>
      </c>
      <c r="E2785" t="str">
        <f t="shared" si="1132"/>
        <v>RI</v>
      </c>
      <c r="F2785" t="str">
        <f t="shared" ref="F2785:F2810" si="1138">T("028411207")</f>
        <v>028411207</v>
      </c>
      <c r="G2785" t="str">
        <f>T("686 CUSHING ROAD")</f>
        <v>686 CUSHING ROAD</v>
      </c>
      <c r="H2785" t="str">
        <f>T("CODE 1H")</f>
        <v>CODE 1H</v>
      </c>
      <c r="I2785" t="str">
        <f t="shared" si="1133"/>
        <v>NEWPORT</v>
      </c>
      <c r="J2785" t="str">
        <f t="shared" si="1134"/>
        <v>RI</v>
      </c>
      <c r="K2785" t="str">
        <f>T("")</f>
        <v/>
      </c>
      <c r="L2785" t="str">
        <f>T("4018416530")</f>
        <v>4018416530</v>
      </c>
    </row>
    <row r="2786" spans="1:12" x14ac:dyDescent="0.35">
      <c r="A2786" t="str">
        <f t="shared" si="1130"/>
        <v>NAVAL WAR COLLEGE</v>
      </c>
      <c r="B2786" t="str">
        <f t="shared" si="1123"/>
        <v>686 CUSHING ROAD</v>
      </c>
      <c r="C2786" t="str">
        <f>T("CODE 1H")</f>
        <v>CODE 1H</v>
      </c>
      <c r="D2786" t="str">
        <f t="shared" si="1131"/>
        <v>NEWPORT</v>
      </c>
      <c r="E2786" t="str">
        <f t="shared" si="1132"/>
        <v>RI</v>
      </c>
      <c r="F2786" t="str">
        <f t="shared" si="1138"/>
        <v>028411207</v>
      </c>
      <c r="G2786" t="str">
        <f>T("NAVAL WAR COLLEGE")</f>
        <v>NAVAL WAR COLLEGE</v>
      </c>
      <c r="H2786" t="str">
        <f>T("686 CUSHING ROAD")</f>
        <v>686 CUSHING ROAD</v>
      </c>
      <c r="I2786" t="str">
        <f t="shared" si="1133"/>
        <v>NEWPORT</v>
      </c>
      <c r="J2786" t="str">
        <f t="shared" si="1134"/>
        <v>RI</v>
      </c>
      <c r="K2786" t="str">
        <f>T("000000000000000000")</f>
        <v>000000000000000000</v>
      </c>
      <c r="L2786" t="str">
        <f>T("4018413741")</f>
        <v>4018413741</v>
      </c>
    </row>
    <row r="2787" spans="1:12" x14ac:dyDescent="0.35">
      <c r="A2787" t="str">
        <f t="shared" si="1130"/>
        <v>NAVAL WAR COLLEGE</v>
      </c>
      <c r="B2787" t="str">
        <f t="shared" si="1123"/>
        <v>686 CUSHING ROAD</v>
      </c>
      <c r="C2787" t="str">
        <f>T("CODE 1H")</f>
        <v>CODE 1H</v>
      </c>
      <c r="D2787" t="str">
        <f t="shared" si="1131"/>
        <v>NEWPORT</v>
      </c>
      <c r="E2787" t="str">
        <f t="shared" si="1132"/>
        <v>RI</v>
      </c>
      <c r="F2787" t="str">
        <f t="shared" si="1138"/>
        <v>028411207</v>
      </c>
      <c r="G2787" t="str">
        <f>T("NAVAL WAR COLLEGE")</f>
        <v>NAVAL WAR COLLEGE</v>
      </c>
      <c r="H2787" t="str">
        <f>T("686 CUSHING ROAD")</f>
        <v>686 CUSHING ROAD</v>
      </c>
      <c r="I2787" t="str">
        <f t="shared" si="1133"/>
        <v>NEWPORT</v>
      </c>
      <c r="J2787" t="str">
        <f t="shared" si="1134"/>
        <v>RI</v>
      </c>
      <c r="K2787" t="str">
        <f>T("000000000000000000")</f>
        <v>000000000000000000</v>
      </c>
      <c r="L2787" t="str">
        <f>T("4018416464")</f>
        <v>4018416464</v>
      </c>
    </row>
    <row r="2788" spans="1:12" x14ac:dyDescent="0.35">
      <c r="A2788" t="str">
        <f t="shared" si="1130"/>
        <v>NAVAL WAR COLLEGE</v>
      </c>
      <c r="B2788" t="str">
        <f t="shared" si="1123"/>
        <v>686 CUSHING ROAD</v>
      </c>
      <c r="C2788" t="str">
        <f>T("CODE 20")</f>
        <v>CODE 20</v>
      </c>
      <c r="D2788" t="str">
        <f t="shared" si="1131"/>
        <v>NEWPORT</v>
      </c>
      <c r="E2788" t="str">
        <f t="shared" si="1132"/>
        <v>RI</v>
      </c>
      <c r="F2788" t="str">
        <f t="shared" si="1138"/>
        <v>028411207</v>
      </c>
      <c r="G2788" t="str">
        <f>T("686 CUSHING ROAD")</f>
        <v>686 CUSHING ROAD</v>
      </c>
      <c r="H2788" t="str">
        <f>T("CODE 20")</f>
        <v>CODE 20</v>
      </c>
      <c r="I2788" t="str">
        <f t="shared" si="1133"/>
        <v>NEWPORT</v>
      </c>
      <c r="J2788" t="str">
        <f t="shared" si="1134"/>
        <v>RI</v>
      </c>
      <c r="K2788" t="str">
        <f>T("")</f>
        <v/>
      </c>
      <c r="L2788" t="str">
        <f>T("4018417785")</f>
        <v>4018417785</v>
      </c>
    </row>
    <row r="2789" spans="1:12" x14ac:dyDescent="0.35">
      <c r="A2789" t="str">
        <f t="shared" si="1130"/>
        <v>NAVAL WAR COLLEGE</v>
      </c>
      <c r="B2789" t="str">
        <f t="shared" si="1123"/>
        <v>686 CUSHING ROAD</v>
      </c>
      <c r="C2789" t="str">
        <f>T("CODE 20")</f>
        <v>CODE 20</v>
      </c>
      <c r="D2789" t="str">
        <f t="shared" si="1131"/>
        <v>NEWPORT</v>
      </c>
      <c r="E2789" t="str">
        <f t="shared" si="1132"/>
        <v>RI</v>
      </c>
      <c r="F2789" t="str">
        <f t="shared" si="1138"/>
        <v>028411207</v>
      </c>
      <c r="G2789" t="str">
        <f>T("NAVAL WAR COLLEGE")</f>
        <v>NAVAL WAR COLLEGE</v>
      </c>
      <c r="H2789" t="str">
        <f>T("686 CUSHING ROAD")</f>
        <v>686 CUSHING ROAD</v>
      </c>
      <c r="I2789" t="str">
        <f t="shared" si="1133"/>
        <v>NEWPORT</v>
      </c>
      <c r="J2789" t="str">
        <f t="shared" si="1134"/>
        <v>RI</v>
      </c>
      <c r="K2789" t="str">
        <f>T("000000000000000000")</f>
        <v>000000000000000000</v>
      </c>
      <c r="L2789" t="str">
        <f>T("4018416544")</f>
        <v>4018416544</v>
      </c>
    </row>
    <row r="2790" spans="1:12" x14ac:dyDescent="0.35">
      <c r="A2790" t="str">
        <f t="shared" si="1130"/>
        <v>NAVAL WAR COLLEGE</v>
      </c>
      <c r="B2790" t="str">
        <f t="shared" si="1123"/>
        <v>686 CUSHING ROAD</v>
      </c>
      <c r="C2790" t="str">
        <f>T("CODE 24")</f>
        <v>CODE 24</v>
      </c>
      <c r="D2790" t="str">
        <f t="shared" si="1131"/>
        <v>NEWPORT</v>
      </c>
      <c r="E2790" t="str">
        <f t="shared" si="1132"/>
        <v>RI</v>
      </c>
      <c r="F2790" t="str">
        <f t="shared" si="1138"/>
        <v>028411207</v>
      </c>
      <c r="G2790" t="str">
        <f>T("686 CUSHING ROAD")</f>
        <v>686 CUSHING ROAD</v>
      </c>
      <c r="H2790" t="str">
        <f>T("CODE 24")</f>
        <v>CODE 24</v>
      </c>
      <c r="I2790" t="str">
        <f t="shared" si="1133"/>
        <v>NEWPORT</v>
      </c>
      <c r="J2790" t="str">
        <f t="shared" si="1134"/>
        <v>RI</v>
      </c>
      <c r="K2790" t="str">
        <f>T("")</f>
        <v/>
      </c>
      <c r="L2790" t="str">
        <f>T("4018413641")</f>
        <v>4018413641</v>
      </c>
    </row>
    <row r="2791" spans="1:12" x14ac:dyDescent="0.35">
      <c r="A2791" t="str">
        <f t="shared" si="1130"/>
        <v>NAVAL WAR COLLEGE</v>
      </c>
      <c r="B2791" t="str">
        <f t="shared" si="1123"/>
        <v>686 CUSHING ROAD</v>
      </c>
      <c r="C2791" t="str">
        <f>T("CODE 24")</f>
        <v>CODE 24</v>
      </c>
      <c r="D2791" t="str">
        <f t="shared" si="1131"/>
        <v>NEWPORT</v>
      </c>
      <c r="E2791" t="str">
        <f t="shared" si="1132"/>
        <v>RI</v>
      </c>
      <c r="F2791" t="str">
        <f t="shared" si="1138"/>
        <v>028411207</v>
      </c>
      <c r="G2791" t="str">
        <f>T("686 CUSHING ROAD")</f>
        <v>686 CUSHING ROAD</v>
      </c>
      <c r="H2791" t="str">
        <f>T("CODE 24")</f>
        <v>CODE 24</v>
      </c>
      <c r="I2791" t="str">
        <f t="shared" si="1133"/>
        <v>NEWPORT</v>
      </c>
      <c r="J2791" t="str">
        <f t="shared" si="1134"/>
        <v>RI</v>
      </c>
      <c r="K2791" t="str">
        <f>T("000000000000000000")</f>
        <v>000000000000000000</v>
      </c>
      <c r="L2791" t="str">
        <f>T("4018417424")</f>
        <v>4018417424</v>
      </c>
    </row>
    <row r="2792" spans="1:12" x14ac:dyDescent="0.35">
      <c r="A2792" t="str">
        <f t="shared" si="1130"/>
        <v>NAVAL WAR COLLEGE</v>
      </c>
      <c r="B2792" t="str">
        <f t="shared" si="1123"/>
        <v>686 CUSHING ROAD</v>
      </c>
      <c r="C2792" t="str">
        <f>T("CODE 24")</f>
        <v>CODE 24</v>
      </c>
      <c r="D2792" t="str">
        <f t="shared" si="1131"/>
        <v>NEWPORT</v>
      </c>
      <c r="E2792" t="str">
        <f t="shared" si="1132"/>
        <v>RI</v>
      </c>
      <c r="F2792" t="str">
        <f t="shared" si="1138"/>
        <v>028411207</v>
      </c>
      <c r="G2792" t="str">
        <f>T("NAVAL WAR COLLEGE")</f>
        <v>NAVAL WAR COLLEGE</v>
      </c>
      <c r="H2792" t="str">
        <f>T("686 CUSHING ROAD")</f>
        <v>686 CUSHING ROAD</v>
      </c>
      <c r="I2792" t="str">
        <f t="shared" si="1133"/>
        <v>NEWPORT</v>
      </c>
      <c r="J2792" t="str">
        <f t="shared" si="1134"/>
        <v>RI</v>
      </c>
      <c r="K2792" t="str">
        <f>T("000000000000000000")</f>
        <v>000000000000000000</v>
      </c>
      <c r="L2792" t="str">
        <f>T("4018411786")</f>
        <v>4018411786</v>
      </c>
    </row>
    <row r="2793" spans="1:12" x14ac:dyDescent="0.35">
      <c r="A2793" t="str">
        <f t="shared" si="1130"/>
        <v>NAVAL WAR COLLEGE</v>
      </c>
      <c r="B2793" t="str">
        <f t="shared" si="1123"/>
        <v>686 CUSHING ROAD</v>
      </c>
      <c r="C2793" t="str">
        <f>T("CODE 24")</f>
        <v>CODE 24</v>
      </c>
      <c r="D2793" t="str">
        <f t="shared" si="1131"/>
        <v>NEWPORT</v>
      </c>
      <c r="E2793" t="str">
        <f t="shared" si="1132"/>
        <v>RI</v>
      </c>
      <c r="F2793" t="str">
        <f t="shared" si="1138"/>
        <v>028411207</v>
      </c>
      <c r="G2793" t="str">
        <f>T("NAVAL WAR COLLEGE")</f>
        <v>NAVAL WAR COLLEGE</v>
      </c>
      <c r="H2793" t="str">
        <f>T("686 CUSHING ROAD")</f>
        <v>686 CUSHING ROAD</v>
      </c>
      <c r="I2793" t="str">
        <f t="shared" si="1133"/>
        <v>NEWPORT</v>
      </c>
      <c r="J2793" t="str">
        <f t="shared" si="1134"/>
        <v>RI</v>
      </c>
      <c r="K2793" t="str">
        <f>T("000000000000000000")</f>
        <v>000000000000000000</v>
      </c>
      <c r="L2793" t="str">
        <f>T("4018413640")</f>
        <v>4018413640</v>
      </c>
    </row>
    <row r="2794" spans="1:12" x14ac:dyDescent="0.35">
      <c r="A2794" t="str">
        <f t="shared" si="1130"/>
        <v>NAVAL WAR COLLEGE</v>
      </c>
      <c r="B2794" t="str">
        <f t="shared" si="1123"/>
        <v>686 CUSHING ROAD</v>
      </c>
      <c r="C2794" t="str">
        <f>T("CODE 24")</f>
        <v>CODE 24</v>
      </c>
      <c r="D2794" t="str">
        <f t="shared" si="1131"/>
        <v>NEWPORT</v>
      </c>
      <c r="E2794" t="str">
        <f t="shared" si="1132"/>
        <v>RI</v>
      </c>
      <c r="F2794" t="str">
        <f t="shared" si="1138"/>
        <v>028411207</v>
      </c>
      <c r="G2794" t="str">
        <f>T("NAVAL WAR COLLEGE")</f>
        <v>NAVAL WAR COLLEGE</v>
      </c>
      <c r="H2794" t="str">
        <f>T("686 CUSHING ROAD")</f>
        <v>686 CUSHING ROAD</v>
      </c>
      <c r="I2794" t="str">
        <f t="shared" si="1133"/>
        <v>NEWPORT</v>
      </c>
      <c r="J2794" t="str">
        <f t="shared" si="1134"/>
        <v>RI</v>
      </c>
      <c r="K2794" t="str">
        <f>T("000000000000000000")</f>
        <v>000000000000000000</v>
      </c>
      <c r="L2794" t="str">
        <f>T("4018416384")</f>
        <v>4018416384</v>
      </c>
    </row>
    <row r="2795" spans="1:12" x14ac:dyDescent="0.35">
      <c r="A2795" t="str">
        <f t="shared" si="1130"/>
        <v>NAVAL WAR COLLEGE</v>
      </c>
      <c r="B2795" t="str">
        <f t="shared" si="1123"/>
        <v>686 CUSHING ROAD</v>
      </c>
      <c r="C2795" t="str">
        <f>T("CODE 28")</f>
        <v>CODE 28</v>
      </c>
      <c r="D2795" t="str">
        <f t="shared" si="1131"/>
        <v>NEWPORT</v>
      </c>
      <c r="E2795" t="str">
        <f t="shared" si="1132"/>
        <v>RI</v>
      </c>
      <c r="F2795" t="str">
        <f t="shared" si="1138"/>
        <v>028411207</v>
      </c>
      <c r="G2795" t="str">
        <f>T("686 CUSHING ROAD")</f>
        <v>686 CUSHING ROAD</v>
      </c>
      <c r="H2795" t="str">
        <f>T("CODE 28")</f>
        <v>CODE 28</v>
      </c>
      <c r="I2795" t="str">
        <f t="shared" si="1133"/>
        <v>NEWPORT</v>
      </c>
      <c r="J2795" t="str">
        <f t="shared" si="1134"/>
        <v>RI</v>
      </c>
      <c r="K2795" t="str">
        <f>T("")</f>
        <v/>
      </c>
      <c r="L2795" t="str">
        <f>T("4018413066")</f>
        <v>4018413066</v>
      </c>
    </row>
    <row r="2796" spans="1:12" x14ac:dyDescent="0.35">
      <c r="A2796" t="str">
        <f t="shared" si="1130"/>
        <v>NAVAL WAR COLLEGE</v>
      </c>
      <c r="B2796" t="str">
        <f t="shared" si="1123"/>
        <v>686 CUSHING ROAD</v>
      </c>
      <c r="C2796" t="str">
        <f>T("CODE 28")</f>
        <v>CODE 28</v>
      </c>
      <c r="D2796" t="str">
        <f t="shared" si="1131"/>
        <v>NEWPORT</v>
      </c>
      <c r="E2796" t="str">
        <f t="shared" si="1132"/>
        <v>RI</v>
      </c>
      <c r="F2796" t="str">
        <f t="shared" si="1138"/>
        <v>028411207</v>
      </c>
      <c r="G2796" t="str">
        <f>T("686 CUSHING ROAD - CODE 28")</f>
        <v>686 CUSHING ROAD - CODE 28</v>
      </c>
      <c r="H2796" t="str">
        <f>T("")</f>
        <v/>
      </c>
      <c r="I2796" t="str">
        <f t="shared" si="1133"/>
        <v>NEWPORT</v>
      </c>
      <c r="J2796" t="str">
        <f t="shared" si="1134"/>
        <v>RI</v>
      </c>
      <c r="K2796" t="str">
        <f>T("000000000000000000")</f>
        <v>000000000000000000</v>
      </c>
      <c r="L2796" t="str">
        <f>T("4018411945")</f>
        <v>4018411945</v>
      </c>
    </row>
    <row r="2797" spans="1:12" x14ac:dyDescent="0.35">
      <c r="A2797" t="str">
        <f t="shared" si="1130"/>
        <v>NAVAL WAR COLLEGE</v>
      </c>
      <c r="B2797" t="str">
        <f t="shared" si="1123"/>
        <v>686 CUSHING ROAD</v>
      </c>
      <c r="C2797" t="str">
        <f>T("CODE 28")</f>
        <v>CODE 28</v>
      </c>
      <c r="D2797" t="str">
        <f t="shared" si="1131"/>
        <v>NEWPORT</v>
      </c>
      <c r="E2797" t="str">
        <f t="shared" si="1132"/>
        <v>RI</v>
      </c>
      <c r="F2797" t="str">
        <f t="shared" si="1138"/>
        <v>028411207</v>
      </c>
      <c r="G2797" t="str">
        <f>T("NAVAL WAR COLLEGE")</f>
        <v>NAVAL WAR COLLEGE</v>
      </c>
      <c r="H2797" t="str">
        <f>T("686 CUSHING ROAD")</f>
        <v>686 CUSHING ROAD</v>
      </c>
      <c r="I2797" t="str">
        <f t="shared" si="1133"/>
        <v>NEWPORT</v>
      </c>
      <c r="J2797" t="str">
        <f t="shared" si="1134"/>
        <v>RI</v>
      </c>
      <c r="K2797" t="str">
        <f>T("000000000000000000")</f>
        <v>000000000000000000</v>
      </c>
      <c r="L2797" t="str">
        <f>T("4018414448")</f>
        <v>4018414448</v>
      </c>
    </row>
    <row r="2798" spans="1:12" x14ac:dyDescent="0.35">
      <c r="A2798" t="str">
        <f t="shared" si="1130"/>
        <v>NAVAL WAR COLLEGE</v>
      </c>
      <c r="B2798" t="str">
        <f t="shared" si="1123"/>
        <v>686 CUSHING ROAD</v>
      </c>
      <c r="C2798" t="str">
        <f>T("CODE 28")</f>
        <v>CODE 28</v>
      </c>
      <c r="D2798" t="str">
        <f t="shared" si="1131"/>
        <v>NEWPORT</v>
      </c>
      <c r="E2798" t="str">
        <f t="shared" si="1132"/>
        <v>RI</v>
      </c>
      <c r="F2798" t="str">
        <f t="shared" si="1138"/>
        <v>028411207</v>
      </c>
      <c r="G2798" t="str">
        <f>T("NAVAL WAR COLLEGE")</f>
        <v>NAVAL WAR COLLEGE</v>
      </c>
      <c r="H2798" t="str">
        <f>T("686 CUSHING ROAD")</f>
        <v>686 CUSHING ROAD</v>
      </c>
      <c r="I2798" t="str">
        <f t="shared" si="1133"/>
        <v>NEWPORT</v>
      </c>
      <c r="J2798" t="str">
        <f t="shared" si="1134"/>
        <v>RI</v>
      </c>
      <c r="K2798" t="str">
        <f>T("000000000000000000")</f>
        <v>000000000000000000</v>
      </c>
      <c r="L2798" t="str">
        <f>T("4018417336")</f>
        <v>4018417336</v>
      </c>
    </row>
    <row r="2799" spans="1:12" x14ac:dyDescent="0.35">
      <c r="A2799" t="str">
        <f t="shared" ref="A2799:A2810" si="1139">T("NAVAL WAR COLLEGE")</f>
        <v>NAVAL WAR COLLEGE</v>
      </c>
      <c r="B2799" t="str">
        <f t="shared" si="1123"/>
        <v>686 CUSHING ROAD</v>
      </c>
      <c r="C2799" t="str">
        <f>T("CODE 39")</f>
        <v>CODE 39</v>
      </c>
      <c r="D2799" t="str">
        <f t="shared" ref="D2799:D2810" si="1140">T("NEWPORT")</f>
        <v>NEWPORT</v>
      </c>
      <c r="E2799" t="str">
        <f t="shared" ref="E2799:E2810" si="1141">T("RI")</f>
        <v>RI</v>
      </c>
      <c r="F2799" t="str">
        <f t="shared" si="1138"/>
        <v>028411207</v>
      </c>
      <c r="G2799" t="str">
        <f>T("686 CUSHING ROAD")</f>
        <v>686 CUSHING ROAD</v>
      </c>
      <c r="H2799" t="str">
        <f>T("CODE 39")</f>
        <v>CODE 39</v>
      </c>
      <c r="I2799" t="str">
        <f t="shared" ref="I2799:I2810" si="1142">T("NEWPORT")</f>
        <v>NEWPORT</v>
      </c>
      <c r="J2799" t="str">
        <f t="shared" ref="J2799:J2810" si="1143">T("RI")</f>
        <v>RI</v>
      </c>
      <c r="K2799" t="str">
        <f>T("")</f>
        <v/>
      </c>
      <c r="L2799" t="str">
        <f>T("4018417767")</f>
        <v>4018417767</v>
      </c>
    </row>
    <row r="2800" spans="1:12" x14ac:dyDescent="0.35">
      <c r="A2800" t="str">
        <f t="shared" si="1139"/>
        <v>NAVAL WAR COLLEGE</v>
      </c>
      <c r="B2800" t="str">
        <f t="shared" si="1123"/>
        <v>686 CUSHING ROAD</v>
      </c>
      <c r="C2800" t="str">
        <f>T("CODE 39")</f>
        <v>CODE 39</v>
      </c>
      <c r="D2800" t="str">
        <f t="shared" si="1140"/>
        <v>NEWPORT</v>
      </c>
      <c r="E2800" t="str">
        <f t="shared" si="1141"/>
        <v>RI</v>
      </c>
      <c r="F2800" t="str">
        <f t="shared" si="1138"/>
        <v>028411207</v>
      </c>
      <c r="G2800" t="str">
        <f>T("NAVAL WAR COLLEGE")</f>
        <v>NAVAL WAR COLLEGE</v>
      </c>
      <c r="H2800" t="str">
        <f>T("686 CUSHING RD")</f>
        <v>686 CUSHING RD</v>
      </c>
      <c r="I2800" t="str">
        <f t="shared" si="1142"/>
        <v>NEWPORT</v>
      </c>
      <c r="J2800" t="str">
        <f t="shared" si="1143"/>
        <v>RI</v>
      </c>
      <c r="K2800" t="str">
        <f>T("000000000000000000")</f>
        <v>000000000000000000</v>
      </c>
      <c r="L2800" t="str">
        <f>T("4018416551")</f>
        <v>4018416551</v>
      </c>
    </row>
    <row r="2801" spans="1:12" x14ac:dyDescent="0.35">
      <c r="A2801" t="str">
        <f t="shared" si="1139"/>
        <v>NAVAL WAR COLLEGE</v>
      </c>
      <c r="B2801" t="str">
        <f t="shared" si="1123"/>
        <v>686 CUSHING ROAD</v>
      </c>
      <c r="C2801" t="str">
        <f>T("CODE 39")</f>
        <v>CODE 39</v>
      </c>
      <c r="D2801" t="str">
        <f t="shared" si="1140"/>
        <v>NEWPORT</v>
      </c>
      <c r="E2801" t="str">
        <f t="shared" si="1141"/>
        <v>RI</v>
      </c>
      <c r="F2801" t="str">
        <f t="shared" si="1138"/>
        <v>028411207</v>
      </c>
      <c r="G2801" t="str">
        <f>T("NAVAL WAR COLLEGE")</f>
        <v>NAVAL WAR COLLEGE</v>
      </c>
      <c r="H2801" t="str">
        <f>T("686 CUSHING ROAD")</f>
        <v>686 CUSHING ROAD</v>
      </c>
      <c r="I2801" t="str">
        <f t="shared" si="1142"/>
        <v>NEWPORT</v>
      </c>
      <c r="J2801" t="str">
        <f t="shared" si="1143"/>
        <v>RI</v>
      </c>
      <c r="K2801" t="str">
        <f>T("000000000000000000")</f>
        <v>000000000000000000</v>
      </c>
      <c r="L2801" t="str">
        <f>T("4018413263")</f>
        <v>4018413263</v>
      </c>
    </row>
    <row r="2802" spans="1:12" x14ac:dyDescent="0.35">
      <c r="A2802" t="str">
        <f t="shared" si="1139"/>
        <v>NAVAL WAR COLLEGE</v>
      </c>
      <c r="B2802" t="str">
        <f t="shared" si="1123"/>
        <v>686 CUSHING ROAD</v>
      </c>
      <c r="C2802" t="str">
        <f>T("COSL - EVANS HALL")</f>
        <v>COSL - EVANS HALL</v>
      </c>
      <c r="D2802" t="str">
        <f t="shared" si="1140"/>
        <v>NEWPORT</v>
      </c>
      <c r="E2802" t="str">
        <f t="shared" si="1141"/>
        <v>RI</v>
      </c>
      <c r="F2802" t="str">
        <f t="shared" si="1138"/>
        <v>028411207</v>
      </c>
      <c r="G2802" t="str">
        <f>T("686 CUSHING ROAD")</f>
        <v>686 CUSHING ROAD</v>
      </c>
      <c r="H2802" t="str">
        <f>T("COSL - EVANS HALL")</f>
        <v>COSL - EVANS HALL</v>
      </c>
      <c r="I2802" t="str">
        <f t="shared" si="1142"/>
        <v>NEWPORT</v>
      </c>
      <c r="J2802" t="str">
        <f t="shared" si="1143"/>
        <v>RI</v>
      </c>
      <c r="K2802" t="str">
        <f>T("")</f>
        <v/>
      </c>
      <c r="L2802" t="str">
        <f>T("4018413717")</f>
        <v>4018413717</v>
      </c>
    </row>
    <row r="2803" spans="1:12" x14ac:dyDescent="0.35">
      <c r="A2803" t="str">
        <f t="shared" si="1139"/>
        <v>NAVAL WAR COLLEGE</v>
      </c>
      <c r="B2803" t="str">
        <f t="shared" si="1123"/>
        <v>686 CUSHING ROAD</v>
      </c>
      <c r="C2803" t="str">
        <f>T("COSL - EVANS HALL")</f>
        <v>COSL - EVANS HALL</v>
      </c>
      <c r="D2803" t="str">
        <f t="shared" si="1140"/>
        <v>NEWPORT</v>
      </c>
      <c r="E2803" t="str">
        <f t="shared" si="1141"/>
        <v>RI</v>
      </c>
      <c r="F2803" t="str">
        <f t="shared" si="1138"/>
        <v>028411207</v>
      </c>
      <c r="G2803" t="str">
        <f t="shared" ref="G2803:G2808" si="1144">T("NAVAL WAR COLLEGE")</f>
        <v>NAVAL WAR COLLEGE</v>
      </c>
      <c r="H2803" t="str">
        <f t="shared" ref="H2803:H2808" si="1145">T("686 CUSHING ROAD")</f>
        <v>686 CUSHING ROAD</v>
      </c>
      <c r="I2803" t="str">
        <f t="shared" si="1142"/>
        <v>NEWPORT</v>
      </c>
      <c r="J2803" t="str">
        <f t="shared" si="1143"/>
        <v>RI</v>
      </c>
      <c r="K2803" t="str">
        <f>T("000000000000000000")</f>
        <v>000000000000000000</v>
      </c>
      <c r="L2803" t="str">
        <f>T("4018413690")</f>
        <v>4018413690</v>
      </c>
    </row>
    <row r="2804" spans="1:12" x14ac:dyDescent="0.35">
      <c r="A2804" t="str">
        <f t="shared" si="1139"/>
        <v>NAVAL WAR COLLEGE</v>
      </c>
      <c r="B2804" t="str">
        <f t="shared" si="1123"/>
        <v>686 CUSHING ROAD</v>
      </c>
      <c r="C2804" t="str">
        <f>T("COSL - EVANS HALL")</f>
        <v>COSL - EVANS HALL</v>
      </c>
      <c r="D2804" t="str">
        <f t="shared" si="1140"/>
        <v>NEWPORT</v>
      </c>
      <c r="E2804" t="str">
        <f t="shared" si="1141"/>
        <v>RI</v>
      </c>
      <c r="F2804" t="str">
        <f t="shared" si="1138"/>
        <v>028411207</v>
      </c>
      <c r="G2804" t="str">
        <f t="shared" si="1144"/>
        <v>NAVAL WAR COLLEGE</v>
      </c>
      <c r="H2804" t="str">
        <f t="shared" si="1145"/>
        <v>686 CUSHING ROAD</v>
      </c>
      <c r="I2804" t="str">
        <f t="shared" si="1142"/>
        <v>NEWPORT</v>
      </c>
      <c r="J2804" t="str">
        <f t="shared" si="1143"/>
        <v>RI</v>
      </c>
      <c r="K2804" t="str">
        <f>T("000000000000000000")</f>
        <v>000000000000000000</v>
      </c>
      <c r="L2804" t="str">
        <f>T("4018413728")</f>
        <v>4018413728</v>
      </c>
    </row>
    <row r="2805" spans="1:12" x14ac:dyDescent="0.35">
      <c r="A2805" t="str">
        <f t="shared" si="1139"/>
        <v>NAVAL WAR COLLEGE</v>
      </c>
      <c r="B2805" t="str">
        <f t="shared" ref="B2805:B2810" si="1146">T("NAVAL WAR COLLEGE")</f>
        <v>NAVAL WAR COLLEGE</v>
      </c>
      <c r="C2805" t="str">
        <f>T("686 CUSHING ROAD")</f>
        <v>686 CUSHING ROAD</v>
      </c>
      <c r="D2805" t="str">
        <f t="shared" si="1140"/>
        <v>NEWPORT</v>
      </c>
      <c r="E2805" t="str">
        <f t="shared" si="1141"/>
        <v>RI</v>
      </c>
      <c r="F2805" t="str">
        <f t="shared" si="1138"/>
        <v>028411207</v>
      </c>
      <c r="G2805" t="str">
        <f t="shared" si="1144"/>
        <v>NAVAL WAR COLLEGE</v>
      </c>
      <c r="H2805" t="str">
        <f t="shared" si="1145"/>
        <v>686 CUSHING ROAD</v>
      </c>
      <c r="I2805" t="str">
        <f t="shared" si="1142"/>
        <v>NEWPORT</v>
      </c>
      <c r="J2805" t="str">
        <f t="shared" si="1143"/>
        <v>RI</v>
      </c>
      <c r="K2805" t="str">
        <f>T("")</f>
        <v/>
      </c>
      <c r="L2805" t="str">
        <f>T("4018412846")</f>
        <v>4018412846</v>
      </c>
    </row>
    <row r="2806" spans="1:12" x14ac:dyDescent="0.35">
      <c r="A2806" t="str">
        <f t="shared" si="1139"/>
        <v>NAVAL WAR COLLEGE</v>
      </c>
      <c r="B2806" t="str">
        <f t="shared" si="1146"/>
        <v>NAVAL WAR COLLEGE</v>
      </c>
      <c r="C2806" t="str">
        <f>T("686 CUSHING ROAD")</f>
        <v>686 CUSHING ROAD</v>
      </c>
      <c r="D2806" t="str">
        <f t="shared" si="1140"/>
        <v>NEWPORT</v>
      </c>
      <c r="E2806" t="str">
        <f t="shared" si="1141"/>
        <v>RI</v>
      </c>
      <c r="F2806" t="str">
        <f t="shared" si="1138"/>
        <v>028411207</v>
      </c>
      <c r="G2806" t="str">
        <f t="shared" si="1144"/>
        <v>NAVAL WAR COLLEGE</v>
      </c>
      <c r="H2806" t="str">
        <f t="shared" si="1145"/>
        <v>686 CUSHING ROAD</v>
      </c>
      <c r="I2806" t="str">
        <f t="shared" si="1142"/>
        <v>NEWPORT</v>
      </c>
      <c r="J2806" t="str">
        <f t="shared" si="1143"/>
        <v>RI</v>
      </c>
      <c r="K2806" t="str">
        <f>T("")</f>
        <v/>
      </c>
      <c r="L2806" t="str">
        <f>T("4018413460")</f>
        <v>4018413460</v>
      </c>
    </row>
    <row r="2807" spans="1:12" x14ac:dyDescent="0.35">
      <c r="A2807" t="str">
        <f t="shared" si="1139"/>
        <v>NAVAL WAR COLLEGE</v>
      </c>
      <c r="B2807" t="str">
        <f t="shared" si="1146"/>
        <v>NAVAL WAR COLLEGE</v>
      </c>
      <c r="C2807" t="str">
        <f>T("686 CUSHING ROAD")</f>
        <v>686 CUSHING ROAD</v>
      </c>
      <c r="D2807" t="str">
        <f t="shared" si="1140"/>
        <v>NEWPORT</v>
      </c>
      <c r="E2807" t="str">
        <f t="shared" si="1141"/>
        <v>RI</v>
      </c>
      <c r="F2807" t="str">
        <f t="shared" si="1138"/>
        <v>028411207</v>
      </c>
      <c r="G2807" t="str">
        <f t="shared" si="1144"/>
        <v>NAVAL WAR COLLEGE</v>
      </c>
      <c r="H2807" t="str">
        <f t="shared" si="1145"/>
        <v>686 CUSHING ROAD</v>
      </c>
      <c r="I2807" t="str">
        <f t="shared" si="1142"/>
        <v>NEWPORT</v>
      </c>
      <c r="J2807" t="str">
        <f t="shared" si="1143"/>
        <v>RI</v>
      </c>
      <c r="K2807" t="str">
        <f>T("000000000000000000")</f>
        <v>000000000000000000</v>
      </c>
      <c r="L2807" t="str">
        <f>T("4018411812")</f>
        <v>4018411812</v>
      </c>
    </row>
    <row r="2808" spans="1:12" x14ac:dyDescent="0.35">
      <c r="A2808" t="str">
        <f t="shared" si="1139"/>
        <v>NAVAL WAR COLLEGE</v>
      </c>
      <c r="B2808" t="str">
        <f t="shared" si="1146"/>
        <v>NAVAL WAR COLLEGE</v>
      </c>
      <c r="C2808" t="str">
        <f>T("686 CUSHING ROAD")</f>
        <v>686 CUSHING ROAD</v>
      </c>
      <c r="D2808" t="str">
        <f t="shared" si="1140"/>
        <v>NEWPORT</v>
      </c>
      <c r="E2808" t="str">
        <f t="shared" si="1141"/>
        <v>RI</v>
      </c>
      <c r="F2808" t="str">
        <f t="shared" si="1138"/>
        <v>028411207</v>
      </c>
      <c r="G2808" t="str">
        <f t="shared" si="1144"/>
        <v>NAVAL WAR COLLEGE</v>
      </c>
      <c r="H2808" t="str">
        <f t="shared" si="1145"/>
        <v>686 CUSHING ROAD</v>
      </c>
      <c r="I2808" t="str">
        <f t="shared" si="1142"/>
        <v>NEWPORT</v>
      </c>
      <c r="J2808" t="str">
        <f t="shared" si="1143"/>
        <v>RI</v>
      </c>
      <c r="K2808" t="str">
        <f>T("000000000000000000")</f>
        <v>000000000000000000</v>
      </c>
      <c r="L2808" t="str">
        <f>T("4018412010")</f>
        <v>4018412010</v>
      </c>
    </row>
    <row r="2809" spans="1:12" x14ac:dyDescent="0.35">
      <c r="A2809" t="str">
        <f t="shared" si="1139"/>
        <v>NAVAL WAR COLLEGE</v>
      </c>
      <c r="B2809" t="str">
        <f t="shared" si="1146"/>
        <v>NAVAL WAR COLLEGE</v>
      </c>
      <c r="C2809" t="str">
        <f>T("686 CUSING ROAD")</f>
        <v>686 CUSING ROAD</v>
      </c>
      <c r="D2809" t="str">
        <f t="shared" si="1140"/>
        <v>NEWPORT</v>
      </c>
      <c r="E2809" t="str">
        <f t="shared" si="1141"/>
        <v>RI</v>
      </c>
      <c r="F2809" t="str">
        <f t="shared" si="1138"/>
        <v>028411207</v>
      </c>
      <c r="G2809" t="str">
        <f>T("686 CUSHING RD")</f>
        <v>686 CUSHING RD</v>
      </c>
      <c r="H2809" t="str">
        <f>T("")</f>
        <v/>
      </c>
      <c r="I2809" t="str">
        <f t="shared" si="1142"/>
        <v>NEWPORT</v>
      </c>
      <c r="J2809" t="str">
        <f t="shared" si="1143"/>
        <v>RI</v>
      </c>
      <c r="K2809" t="str">
        <f>T("000000000000000000")</f>
        <v>000000000000000000</v>
      </c>
      <c r="L2809" t="str">
        <f>T("4018413628")</f>
        <v>4018413628</v>
      </c>
    </row>
    <row r="2810" spans="1:12" x14ac:dyDescent="0.35">
      <c r="A2810" t="str">
        <f t="shared" si="1139"/>
        <v>NAVAL WAR COLLEGE</v>
      </c>
      <c r="B2810" t="str">
        <f t="shared" si="1146"/>
        <v>NAVAL WAR COLLEGE</v>
      </c>
      <c r="C2810" t="str">
        <f>T("686 CUSING ROAD")</f>
        <v>686 CUSING ROAD</v>
      </c>
      <c r="D2810" t="str">
        <f t="shared" si="1140"/>
        <v>NEWPORT</v>
      </c>
      <c r="E2810" t="str">
        <f t="shared" si="1141"/>
        <v>RI</v>
      </c>
      <c r="F2810" t="str">
        <f t="shared" si="1138"/>
        <v>028411207</v>
      </c>
      <c r="G2810" t="str">
        <f>T("NAVAL WAR COLLEGE")</f>
        <v>NAVAL WAR COLLEGE</v>
      </c>
      <c r="H2810" t="str">
        <f>T("686 CUSING ROAD")</f>
        <v>686 CUSING ROAD</v>
      </c>
      <c r="I2810" t="str">
        <f t="shared" si="1142"/>
        <v>NEWPORT</v>
      </c>
      <c r="J2810" t="str">
        <f t="shared" si="1143"/>
        <v>RI</v>
      </c>
      <c r="K2810" t="str">
        <f>T("4018413567")</f>
        <v>4018413567</v>
      </c>
      <c r="L2810" t="str">
        <f>T("4018413688")</f>
        <v>4018413688</v>
      </c>
    </row>
    <row r="2811" spans="1:12" x14ac:dyDescent="0.35">
      <c r="A2811" t="str">
        <f t="shared" ref="A2811:A2818" si="1147">T("ZZ DELETE NSTC GLAKES")</f>
        <v>ZZ DELETE NSTC GLAKES</v>
      </c>
      <c r="B2811" t="str">
        <f>T("250 DALLAS ST")</f>
        <v>250 DALLAS ST</v>
      </c>
      <c r="C2811" t="str">
        <f>T("NJROTC")</f>
        <v>NJROTC</v>
      </c>
      <c r="D2811" t="str">
        <f>T("PENSACOLA")</f>
        <v>PENSACOLA</v>
      </c>
      <c r="E2811" t="str">
        <f>T("FL")</f>
        <v>FL</v>
      </c>
      <c r="F2811" t="str">
        <f>T("325085218")</f>
        <v>325085218</v>
      </c>
      <c r="G2811" t="str">
        <f>T("250 DALLAS ST")</f>
        <v>250 DALLAS ST</v>
      </c>
      <c r="H2811" t="str">
        <f>T("NJROTC")</f>
        <v>NJROTC</v>
      </c>
      <c r="I2811" t="str">
        <f>T("PENSACOLA")</f>
        <v>PENSACOLA</v>
      </c>
      <c r="J2811" t="str">
        <f>T("FL")</f>
        <v>FL</v>
      </c>
      <c r="K2811" t="str">
        <f>T("8524524954")</f>
        <v>8524524954</v>
      </c>
      <c r="L2811" t="str">
        <f>T("8504529483")</f>
        <v>8504529483</v>
      </c>
    </row>
    <row r="2812" spans="1:12" x14ac:dyDescent="0.35">
      <c r="A2812" t="str">
        <f t="shared" si="1147"/>
        <v>ZZ DELETE NSTC GLAKES</v>
      </c>
      <c r="B2812" t="str">
        <f>T("250 DALLAS ST")</f>
        <v>250 DALLAS ST</v>
      </c>
      <c r="C2812" t="str">
        <f>T("NJROTC")</f>
        <v>NJROTC</v>
      </c>
      <c r="D2812" t="str">
        <f>T("PENSACOLA")</f>
        <v>PENSACOLA</v>
      </c>
      <c r="E2812" t="str">
        <f>T("FL")</f>
        <v>FL</v>
      </c>
      <c r="F2812" t="str">
        <f>T("325085218")</f>
        <v>325085218</v>
      </c>
      <c r="G2812" t="str">
        <f>T("250 DALLAS ST STE A")</f>
        <v>250 DALLAS ST STE A</v>
      </c>
      <c r="H2812" t="str">
        <f>T("")</f>
        <v/>
      </c>
      <c r="I2812" t="str">
        <f>T("PENSACOLA")</f>
        <v>PENSACOLA</v>
      </c>
      <c r="J2812" t="str">
        <f>T("FL")</f>
        <v>FL</v>
      </c>
      <c r="K2812" t="str">
        <f>T("8504524954")</f>
        <v>8504524954</v>
      </c>
      <c r="L2812" t="str">
        <f>T("8504529508")</f>
        <v>8504529508</v>
      </c>
    </row>
    <row r="2813" spans="1:12" x14ac:dyDescent="0.35">
      <c r="A2813" t="str">
        <f t="shared" si="1147"/>
        <v>ZZ DELETE NSTC GLAKES</v>
      </c>
      <c r="B2813" t="str">
        <f>T("250 DALLAS ST")</f>
        <v>250 DALLAS ST</v>
      </c>
      <c r="C2813" t="str">
        <f>T("NROTC")</f>
        <v>NROTC</v>
      </c>
      <c r="D2813" t="str">
        <f>T("PENSACOLA")</f>
        <v>PENSACOLA</v>
      </c>
      <c r="E2813" t="str">
        <f>T("FL")</f>
        <v>FL</v>
      </c>
      <c r="F2813" t="str">
        <f>T("325085218")</f>
        <v>325085218</v>
      </c>
      <c r="G2813" t="str">
        <f>T("250 DALLAS ST")</f>
        <v>250 DALLAS ST</v>
      </c>
      <c r="H2813" t="str">
        <f>T("NROTC")</f>
        <v>NROTC</v>
      </c>
      <c r="I2813" t="str">
        <f>T("PENSACOLA")</f>
        <v>PENSACOLA</v>
      </c>
      <c r="J2813" t="str">
        <f>T("FL")</f>
        <v>FL</v>
      </c>
      <c r="K2813" t="str">
        <f>T("8504524237")</f>
        <v>8504524237</v>
      </c>
      <c r="L2813" t="str">
        <f>T("8504529258")</f>
        <v>8504529258</v>
      </c>
    </row>
    <row r="2814" spans="1:12" x14ac:dyDescent="0.35">
      <c r="A2814" t="str">
        <f t="shared" si="1147"/>
        <v>ZZ DELETE NSTC GLAKES</v>
      </c>
      <c r="B2814" t="str">
        <f>T("250 DALLAS ST")</f>
        <v>250 DALLAS ST</v>
      </c>
      <c r="C2814" t="str">
        <f>T("NROTC")</f>
        <v>NROTC</v>
      </c>
      <c r="D2814" t="str">
        <f>T("PENSACOLA")</f>
        <v>PENSACOLA</v>
      </c>
      <c r="E2814" t="str">
        <f>T("FL")</f>
        <v>FL</v>
      </c>
      <c r="F2814" t="str">
        <f>T("325085218")</f>
        <v>325085218</v>
      </c>
      <c r="G2814" t="str">
        <f>T("CODE OD")</f>
        <v>CODE OD</v>
      </c>
      <c r="H2814" t="str">
        <f>T("250 DALLAS ST BLDG 628")</f>
        <v>250 DALLAS ST BLDG 628</v>
      </c>
      <c r="I2814" t="str">
        <f>T("PENSACOLA")</f>
        <v>PENSACOLA</v>
      </c>
      <c r="J2814" t="str">
        <f>T("FL")</f>
        <v>FL</v>
      </c>
      <c r="K2814" t="str">
        <f>T("000000000000000000")</f>
        <v>000000000000000000</v>
      </c>
      <c r="L2814" t="str">
        <f>T("8504524414")</f>
        <v>8504524414</v>
      </c>
    </row>
    <row r="2815" spans="1:12" x14ac:dyDescent="0.35">
      <c r="A2815" t="str">
        <f t="shared" si="1147"/>
        <v>ZZ DELETE NSTC GLAKES</v>
      </c>
      <c r="B2815" t="str">
        <f>T("2601 A PAUL JONES ST")</f>
        <v>2601 A PAUL JONES ST</v>
      </c>
      <c r="C2815" t="str">
        <f>T("BLDG 1 RM 207")</f>
        <v>BLDG 1 RM 207</v>
      </c>
      <c r="D2815" t="str">
        <f>T("GREAT LAKES")</f>
        <v>GREAT LAKES</v>
      </c>
      <c r="E2815" t="str">
        <f>T("IL")</f>
        <v>IL</v>
      </c>
      <c r="F2815" t="str">
        <f>T("600882845")</f>
        <v>600882845</v>
      </c>
      <c r="G2815" t="str">
        <f>T("2601 A PAUL JONES ST")</f>
        <v>2601 A PAUL JONES ST</v>
      </c>
      <c r="H2815" t="str">
        <f>T("BLDG 1 RM 207")</f>
        <v>BLDG 1 RM 207</v>
      </c>
      <c r="I2815" t="str">
        <f>T("GREAT LAKES")</f>
        <v>GREAT LAKES</v>
      </c>
      <c r="J2815" t="str">
        <f>T("IL")</f>
        <v>IL</v>
      </c>
      <c r="K2815" t="str">
        <f>T("8476887827")</f>
        <v>8476887827</v>
      </c>
      <c r="L2815" t="str">
        <f>T("8476887853")</f>
        <v>8476887853</v>
      </c>
    </row>
    <row r="2816" spans="1:12" x14ac:dyDescent="0.35">
      <c r="A2816" t="str">
        <f t="shared" si="1147"/>
        <v>ZZ DELETE NSTC GLAKES</v>
      </c>
      <c r="B2816" t="str">
        <f>T("2601 A PAUL JONES ST")</f>
        <v>2601 A PAUL JONES ST</v>
      </c>
      <c r="C2816" t="str">
        <f>T("BLDG 1 RM 207")</f>
        <v>BLDG 1 RM 207</v>
      </c>
      <c r="D2816" t="str">
        <f>T("GREAT LAKES")</f>
        <v>GREAT LAKES</v>
      </c>
      <c r="E2816" t="str">
        <f>T("IL")</f>
        <v>IL</v>
      </c>
      <c r="F2816" t="str">
        <f>T("600882845")</f>
        <v>600882845</v>
      </c>
      <c r="G2816" t="str">
        <f>T("2601 PAUL JONES ST STE A")</f>
        <v>2601 PAUL JONES ST STE A</v>
      </c>
      <c r="H2816" t="str">
        <f>T("BLDG 1, RM M30")</f>
        <v>BLDG 1, RM M30</v>
      </c>
      <c r="I2816" t="str">
        <f>T("GREAT LAKES")</f>
        <v>GREAT LAKES</v>
      </c>
      <c r="J2816" t="str">
        <f>T("IL")</f>
        <v>IL</v>
      </c>
      <c r="K2816" t="str">
        <f>T("8476883245")</f>
        <v>8476883245</v>
      </c>
      <c r="L2816" t="str">
        <f>T("8476884509")</f>
        <v>8476884509</v>
      </c>
    </row>
    <row r="2817" spans="1:12" x14ac:dyDescent="0.35">
      <c r="A2817" t="str">
        <f t="shared" si="1147"/>
        <v>ZZ DELETE NSTC GLAKES</v>
      </c>
      <c r="B2817" t="str">
        <f>T("2601A PAUL JONES STREET")</f>
        <v>2601A PAUL JONES STREET</v>
      </c>
      <c r="C2817" t="str">
        <f>T("BLDG 1 RM 207")</f>
        <v>BLDG 1 RM 207</v>
      </c>
      <c r="D2817" t="str">
        <f>T("GREAT LAKES")</f>
        <v>GREAT LAKES</v>
      </c>
      <c r="E2817" t="str">
        <f>T("IL")</f>
        <v>IL</v>
      </c>
      <c r="F2817" t="str">
        <f>T("600882845")</f>
        <v>600882845</v>
      </c>
      <c r="G2817" t="str">
        <f>T("2601A PAUL JONES STREET")</f>
        <v>2601A PAUL JONES STREET</v>
      </c>
      <c r="H2817" t="str">
        <f>T("BLDG 1 RM 207")</f>
        <v>BLDG 1 RM 207</v>
      </c>
      <c r="I2817" t="str">
        <f>T("GREAT LAKES")</f>
        <v>GREAT LAKES</v>
      </c>
      <c r="J2817" t="str">
        <f>T("IL")</f>
        <v>IL</v>
      </c>
      <c r="K2817" t="str">
        <f>T("8476887827")</f>
        <v>8476887827</v>
      </c>
      <c r="L2817" t="str">
        <f>T("8476887853")</f>
        <v>8476887853</v>
      </c>
    </row>
    <row r="2818" spans="1:12" x14ac:dyDescent="0.35">
      <c r="A2818" t="str">
        <f t="shared" si="1147"/>
        <v>ZZ DELETE NSTC GLAKES</v>
      </c>
      <c r="B2818" t="str">
        <f>T("2601A PAUL JONES STREET")</f>
        <v>2601A PAUL JONES STREET</v>
      </c>
      <c r="C2818" t="str">
        <f>T("BLDG 1 RM 207")</f>
        <v>BLDG 1 RM 207</v>
      </c>
      <c r="D2818" t="str">
        <f>T("GREAT LAKES")</f>
        <v>GREAT LAKES</v>
      </c>
      <c r="E2818" t="str">
        <f>T("IL")</f>
        <v>IL</v>
      </c>
      <c r="F2818" t="str">
        <f>T("600882845")</f>
        <v>600882845</v>
      </c>
      <c r="G2818" t="str">
        <f>T("NSTC PAO")</f>
        <v>NSTC PAO</v>
      </c>
      <c r="H2818" t="str">
        <f>T("2601 PAUL JONES ST STE A")</f>
        <v>2601 PAUL JONES ST STE A</v>
      </c>
      <c r="I2818" t="str">
        <f>T("GREAT LAKES")</f>
        <v>GREAT LAKES</v>
      </c>
      <c r="J2818" t="str">
        <f>T("IL")</f>
        <v>IL</v>
      </c>
      <c r="K2818" t="str">
        <f>T("000000000000000000")</f>
        <v>000000000000000000</v>
      </c>
      <c r="L2818" t="str">
        <f>T("8476882201")</f>
        <v>8476882201</v>
      </c>
    </row>
    <row r="2819" spans="1:12" x14ac:dyDescent="0.35">
      <c r="A2819" t="str">
        <f>T("NETC/FMCP")</f>
        <v>NETC/FMCP</v>
      </c>
      <c r="B2819" t="str">
        <f>T("201 12TH ST S")</f>
        <v>201 12TH ST S</v>
      </c>
      <c r="C2819" t="str">
        <f>T("CGN SUITE 701A")</f>
        <v>CGN SUITE 701A</v>
      </c>
      <c r="D2819" t="str">
        <f>T("ARLINGTON")</f>
        <v>ARLINGTON</v>
      </c>
      <c r="E2819" t="str">
        <f>T("VA")</f>
        <v>VA</v>
      </c>
      <c r="F2819" t="str">
        <f>T("222025406")</f>
        <v>222025406</v>
      </c>
      <c r="G2819" t="str">
        <f>T("201 12TH ST S")</f>
        <v>201 12TH ST S</v>
      </c>
      <c r="H2819" t="str">
        <f>T("CGN SUITE 701A")</f>
        <v>CGN SUITE 701A</v>
      </c>
      <c r="I2819" t="str">
        <f>T("ARLINGTON")</f>
        <v>ARLINGTON</v>
      </c>
      <c r="J2819" t="str">
        <f>T("VA")</f>
        <v>VA</v>
      </c>
      <c r="K2819" t="str">
        <f>T("000000000000000000")</f>
        <v>000000000000000000</v>
      </c>
      <c r="L2819" t="str">
        <f>T("7036029911")</f>
        <v>7036029911</v>
      </c>
    </row>
    <row r="2820" spans="1:12" x14ac:dyDescent="0.35">
      <c r="A2820" t="str">
        <f>T("NETC/FMCP")</f>
        <v>NETC/FMCP</v>
      </c>
      <c r="B2820" t="str">
        <f>T("201 12TH ST S")</f>
        <v>201 12TH ST S</v>
      </c>
      <c r="C2820" t="str">
        <f>T("CGN SUITE 701A")</f>
        <v>CGN SUITE 701A</v>
      </c>
      <c r="D2820" t="str">
        <f>T("ARLINGTON")</f>
        <v>ARLINGTON</v>
      </c>
      <c r="E2820" t="str">
        <f>T("VA")</f>
        <v>VA</v>
      </c>
      <c r="F2820" t="str">
        <f>T("222025406")</f>
        <v>222025406</v>
      </c>
      <c r="G2820" t="str">
        <f>T("201 12TH ST SOUTH")</f>
        <v>201 12TH ST SOUTH</v>
      </c>
      <c r="H2820" t="str">
        <f>T("CGN SUITE 701A")</f>
        <v>CGN SUITE 701A</v>
      </c>
      <c r="I2820" t="str">
        <f>T("ARLINGTON")</f>
        <v>ARLINGTON</v>
      </c>
      <c r="J2820" t="str">
        <f>T("VA")</f>
        <v>VA</v>
      </c>
      <c r="K2820" t="str">
        <f>T("000000000000000000")</f>
        <v>000000000000000000</v>
      </c>
      <c r="L2820" t="str">
        <f>T("7036011105")</f>
        <v>7036011105</v>
      </c>
    </row>
    <row r="2821" spans="1:12" x14ac:dyDescent="0.35">
      <c r="A2821" t="str">
        <f>T("DANTES")</f>
        <v>DANTES</v>
      </c>
      <c r="B2821" t="str">
        <f>T("6490 SAUFLEY FIELD RD")</f>
        <v>6490 SAUFLEY FIELD RD</v>
      </c>
      <c r="C2821" t="str">
        <f t="shared" ref="C2821:C2826" si="1148">T("")</f>
        <v/>
      </c>
      <c r="D2821" t="str">
        <f>T("PENSACOLA")</f>
        <v>PENSACOLA</v>
      </c>
      <c r="E2821" t="str">
        <f>T("FL")</f>
        <v>FL</v>
      </c>
      <c r="F2821" t="str">
        <f>T("325095223")</f>
        <v>325095223</v>
      </c>
      <c r="G2821" t="str">
        <f>T("6490 SAUFLEY FIELD RD")</f>
        <v>6490 SAUFLEY FIELD RD</v>
      </c>
      <c r="H2821" t="str">
        <f t="shared" ref="H2821:H2826" si="1149">T("")</f>
        <v/>
      </c>
      <c r="I2821" t="str">
        <f>T("PENSACOLA")</f>
        <v>PENSACOLA</v>
      </c>
      <c r="J2821" t="str">
        <f>T("FL")</f>
        <v>FL</v>
      </c>
      <c r="K2821" t="str">
        <f>T("8504521978")</f>
        <v>8504521978</v>
      </c>
      <c r="L2821" t="str">
        <f>T("8504521111")</f>
        <v>8504521111</v>
      </c>
    </row>
    <row r="2822" spans="1:12" x14ac:dyDescent="0.35">
      <c r="A2822" t="str">
        <f>T("DANTES")</f>
        <v>DANTES</v>
      </c>
      <c r="B2822" t="str">
        <f>T("6490 SAUFLEY FIELD RD")</f>
        <v>6490 SAUFLEY FIELD RD</v>
      </c>
      <c r="C2822" t="str">
        <f t="shared" si="1148"/>
        <v/>
      </c>
      <c r="D2822" t="str">
        <f>T("PENSACOLA")</f>
        <v>PENSACOLA</v>
      </c>
      <c r="E2822" t="str">
        <f>T("FL")</f>
        <v>FL</v>
      </c>
      <c r="F2822" t="str">
        <f>T("325095223")</f>
        <v>325095223</v>
      </c>
      <c r="G2822" t="str">
        <f>T("6490 SAUFLEY FLD RD")</f>
        <v>6490 SAUFLEY FLD RD</v>
      </c>
      <c r="H2822" t="str">
        <f t="shared" si="1149"/>
        <v/>
      </c>
      <c r="I2822" t="str">
        <f>T("PENSACOLA")</f>
        <v>PENSACOLA</v>
      </c>
      <c r="J2822" t="str">
        <f>T("FL")</f>
        <v>FL</v>
      </c>
      <c r="K2822" t="str">
        <f>T("8504521137")</f>
        <v>8504521137</v>
      </c>
      <c r="L2822" t="str">
        <f>T("8504521111")</f>
        <v>8504521111</v>
      </c>
    </row>
    <row r="2823" spans="1:12" x14ac:dyDescent="0.35">
      <c r="A2823" t="str">
        <f>T("DANTES")</f>
        <v>DANTES</v>
      </c>
      <c r="B2823" t="str">
        <f>T("6490 SAUFLEY FIELD RD")</f>
        <v>6490 SAUFLEY FIELD RD</v>
      </c>
      <c r="C2823" t="str">
        <f t="shared" si="1148"/>
        <v/>
      </c>
      <c r="D2823" t="str">
        <f>T("PENSACOLA")</f>
        <v>PENSACOLA</v>
      </c>
      <c r="E2823" t="str">
        <f>T("FL")</f>
        <v>FL</v>
      </c>
      <c r="F2823" t="str">
        <f>T("325095223")</f>
        <v>325095223</v>
      </c>
      <c r="G2823" t="str">
        <f>T("6490 SAUFLEY FLD RD")</f>
        <v>6490 SAUFLEY FLD RD</v>
      </c>
      <c r="H2823" t="str">
        <f t="shared" si="1149"/>
        <v/>
      </c>
      <c r="I2823" t="str">
        <f>T("PENSACOLA")</f>
        <v>PENSACOLA</v>
      </c>
      <c r="J2823" t="str">
        <f>T("FL")</f>
        <v>FL</v>
      </c>
      <c r="K2823" t="str">
        <f>T("8504521978")</f>
        <v>8504521978</v>
      </c>
      <c r="L2823" t="str">
        <f>T("8504521111")</f>
        <v>8504521111</v>
      </c>
    </row>
    <row r="2824" spans="1:12" x14ac:dyDescent="0.35">
      <c r="A2824" t="str">
        <f>T("NVL CONSLIDTD BRIG CHESAPEAKE")</f>
        <v>NVL CONSLIDTD BRIG CHESAPEAKE</v>
      </c>
      <c r="B2824" t="str">
        <f>T("1548 WILDERNESS RD")</f>
        <v>1548 WILDERNESS RD</v>
      </c>
      <c r="C2824" t="str">
        <f t="shared" si="1148"/>
        <v/>
      </c>
      <c r="D2824" t="str">
        <f>T("CHESAPEAKE")</f>
        <v>CHESAPEAKE</v>
      </c>
      <c r="E2824" t="str">
        <f>T("VA")</f>
        <v>VA</v>
      </c>
      <c r="F2824" t="str">
        <f>T("233227930")</f>
        <v>233227930</v>
      </c>
      <c r="G2824" t="str">
        <f>T("1548 WILDERNESS RD")</f>
        <v>1548 WILDERNESS RD</v>
      </c>
      <c r="H2824" t="str">
        <f t="shared" si="1149"/>
        <v/>
      </c>
      <c r="I2824" t="str">
        <f>T("CHESAPEAKE")</f>
        <v>CHESAPEAKE</v>
      </c>
      <c r="J2824" t="str">
        <f>T("VA")</f>
        <v>VA</v>
      </c>
      <c r="K2824" t="str">
        <f>T("7574218850")</f>
        <v>7574218850</v>
      </c>
      <c r="L2824" t="str">
        <f>T("7574218685")</f>
        <v>7574218685</v>
      </c>
    </row>
    <row r="2825" spans="1:12" x14ac:dyDescent="0.35">
      <c r="A2825" t="str">
        <f>T("NVL CONSLIDTD BRIG CHESAPEAKE")</f>
        <v>NVL CONSLIDTD BRIG CHESAPEAKE</v>
      </c>
      <c r="B2825" t="str">
        <f>T("1548 WILDERNESS RD")</f>
        <v>1548 WILDERNESS RD</v>
      </c>
      <c r="C2825" t="str">
        <f t="shared" si="1148"/>
        <v/>
      </c>
      <c r="D2825" t="str">
        <f>T("CHESAPEAKE")</f>
        <v>CHESAPEAKE</v>
      </c>
      <c r="E2825" t="str">
        <f>T("VA")</f>
        <v>VA</v>
      </c>
      <c r="F2825" t="str">
        <f>T("233227930")</f>
        <v>233227930</v>
      </c>
      <c r="G2825" t="str">
        <f>T("1548 WILDERNESS ROAD")</f>
        <v>1548 WILDERNESS ROAD</v>
      </c>
      <c r="H2825" t="str">
        <f t="shared" si="1149"/>
        <v/>
      </c>
      <c r="I2825" t="str">
        <f>T("CHESAPEAKE")</f>
        <v>CHESAPEAKE</v>
      </c>
      <c r="J2825" t="str">
        <f>T("VA")</f>
        <v>VA</v>
      </c>
      <c r="K2825" t="str">
        <f>T("000000000000000000")</f>
        <v>000000000000000000</v>
      </c>
      <c r="L2825" t="str">
        <f>T("7574218681")</f>
        <v>7574218681</v>
      </c>
    </row>
    <row r="2826" spans="1:12" x14ac:dyDescent="0.35">
      <c r="A2826" t="str">
        <f>T("NVL CONSLIDTD BRIG CHESAPEAKE")</f>
        <v>NVL CONSLIDTD BRIG CHESAPEAKE</v>
      </c>
      <c r="B2826" t="str">
        <f>T("1548 WILDERNESS RD")</f>
        <v>1548 WILDERNESS RD</v>
      </c>
      <c r="C2826" t="str">
        <f t="shared" si="1148"/>
        <v/>
      </c>
      <c r="D2826" t="str">
        <f>T("CHESAPEAKE")</f>
        <v>CHESAPEAKE</v>
      </c>
      <c r="E2826" t="str">
        <f>T("VA")</f>
        <v>VA</v>
      </c>
      <c r="F2826" t="str">
        <f>T("233227930")</f>
        <v>233227930</v>
      </c>
      <c r="G2826" t="str">
        <f>T("1548 WILDERNESS ROAD")</f>
        <v>1548 WILDERNESS ROAD</v>
      </c>
      <c r="H2826" t="str">
        <f t="shared" si="1149"/>
        <v/>
      </c>
      <c r="I2826" t="str">
        <f>T("CHESAPEAKE")</f>
        <v>CHESAPEAKE</v>
      </c>
      <c r="J2826" t="str">
        <f>T("VA")</f>
        <v>VA</v>
      </c>
      <c r="K2826" t="str">
        <f>T("000000000000000000")</f>
        <v>000000000000000000</v>
      </c>
      <c r="L2826" t="str">
        <f>T("7574218682")</f>
        <v>7574218682</v>
      </c>
    </row>
    <row r="2827" spans="1:12" x14ac:dyDescent="0.35">
      <c r="A2827" t="str">
        <f>T("NAVCONBRIG CHARLESTON")</f>
        <v>NAVCONBRIG CHARLESTON</v>
      </c>
      <c r="B2827" t="str">
        <f>T("1050 REMOUNT RD")</f>
        <v>1050 REMOUNT RD</v>
      </c>
      <c r="C2827" t="str">
        <f>T("BLDG 3124")</f>
        <v>BLDG 3124</v>
      </c>
      <c r="D2827" t="str">
        <f>T("NORTH CHARLESTON")</f>
        <v>NORTH CHARLESTON</v>
      </c>
      <c r="E2827" t="str">
        <f>T("SC")</f>
        <v>SC</v>
      </c>
      <c r="F2827" t="str">
        <f>T("294063516")</f>
        <v>294063516</v>
      </c>
      <c r="G2827" t="str">
        <f>T("1050 REMOUNT RD")</f>
        <v>1050 REMOUNT RD</v>
      </c>
      <c r="H2827" t="str">
        <f>T("BLDG 3124")</f>
        <v>BLDG 3124</v>
      </c>
      <c r="I2827" t="str">
        <f>T("NORTH CHARLESTON")</f>
        <v>NORTH CHARLESTON</v>
      </c>
      <c r="J2827" t="str">
        <f>T("SC")</f>
        <v>SC</v>
      </c>
      <c r="K2827" t="str">
        <f>T("8437430330")</f>
        <v>8437430330</v>
      </c>
      <c r="L2827" t="str">
        <f>T("8437940306")</f>
        <v>8437940306</v>
      </c>
    </row>
    <row r="2828" spans="1:12" x14ac:dyDescent="0.35">
      <c r="A2828" t="str">
        <f>T("NAVCONBRIG CHARLESTON")</f>
        <v>NAVCONBRIG CHARLESTON</v>
      </c>
      <c r="B2828" t="str">
        <f>T("1050 REMOUNT RD")</f>
        <v>1050 REMOUNT RD</v>
      </c>
      <c r="C2828" t="str">
        <f>T("BLDG 3124")</f>
        <v>BLDG 3124</v>
      </c>
      <c r="D2828" t="str">
        <f>T("NORTH CHARLESTON")</f>
        <v>NORTH CHARLESTON</v>
      </c>
      <c r="E2828" t="str">
        <f>T("SC")</f>
        <v>SC</v>
      </c>
      <c r="F2828" t="str">
        <f>T("294063516")</f>
        <v>294063516</v>
      </c>
      <c r="G2828" t="str">
        <f>T("1050 REMOUNT RD")</f>
        <v>1050 REMOUNT RD</v>
      </c>
      <c r="H2828" t="str">
        <f>T("BLDG 3124")</f>
        <v>BLDG 3124</v>
      </c>
      <c r="I2828" t="str">
        <f>T("NORTH CHARLESTON")</f>
        <v>NORTH CHARLESTON</v>
      </c>
      <c r="J2828" t="str">
        <f>T("SC")</f>
        <v>SC</v>
      </c>
      <c r="K2828" t="str">
        <f>T("8437940306 3020")</f>
        <v>8437940306 3020</v>
      </c>
      <c r="L2828" t="str">
        <f>T("8437940306")</f>
        <v>8437940306</v>
      </c>
    </row>
    <row r="2829" spans="1:12" x14ac:dyDescent="0.35">
      <c r="A2829" t="str">
        <f>T("NAVCONBRIG CHARLESTON")</f>
        <v>NAVCONBRIG CHARLESTON</v>
      </c>
      <c r="B2829" t="str">
        <f>T("1050 REMOUNT RD")</f>
        <v>1050 REMOUNT RD</v>
      </c>
      <c r="C2829" t="str">
        <f>T("BLDG 3124")</f>
        <v>BLDG 3124</v>
      </c>
      <c r="D2829" t="str">
        <f>T("NORTH CHARLESTON")</f>
        <v>NORTH CHARLESTON</v>
      </c>
      <c r="E2829" t="str">
        <f>T("SC")</f>
        <v>SC</v>
      </c>
      <c r="F2829" t="str">
        <f>T("294063516")</f>
        <v>294063516</v>
      </c>
      <c r="G2829" t="str">
        <f>T("1050 REMOUNT RD")</f>
        <v>1050 REMOUNT RD</v>
      </c>
      <c r="H2829" t="str">
        <f>T("BLDG 3124")</f>
        <v>BLDG 3124</v>
      </c>
      <c r="I2829" t="str">
        <f>T("NORTH CHARLESTON")</f>
        <v>NORTH CHARLESTON</v>
      </c>
      <c r="J2829" t="str">
        <f>T("SC")</f>
        <v>SC</v>
      </c>
      <c r="K2829" t="str">
        <f>T("8437940306 3038")</f>
        <v>8437940306 3038</v>
      </c>
      <c r="L2829" t="str">
        <f>T("8437940306")</f>
        <v>8437940306</v>
      </c>
    </row>
    <row r="2830" spans="1:12" x14ac:dyDescent="0.35">
      <c r="A2830" t="str">
        <f>T("NAVCONBRIG CHARLESTON")</f>
        <v>NAVCONBRIG CHARLESTON</v>
      </c>
      <c r="B2830" t="str">
        <f>T("1050 REMOUNT RD")</f>
        <v>1050 REMOUNT RD</v>
      </c>
      <c r="C2830" t="str">
        <f>T("BLDG 3124")</f>
        <v>BLDG 3124</v>
      </c>
      <c r="D2830" t="str">
        <f>T("NORTH CHARLESTON")</f>
        <v>NORTH CHARLESTON</v>
      </c>
      <c r="E2830" t="str">
        <f>T("SC")</f>
        <v>SC</v>
      </c>
      <c r="F2830" t="str">
        <f>T("294063516")</f>
        <v>294063516</v>
      </c>
      <c r="G2830" t="str">
        <f>T("1050 REMOUNT RD BLDG 3124")</f>
        <v>1050 REMOUNT RD BLDG 3124</v>
      </c>
      <c r="H2830" t="str">
        <f>T("")</f>
        <v/>
      </c>
      <c r="I2830" t="str">
        <f>T("NORTH CHARLESTON")</f>
        <v>NORTH CHARLESTON</v>
      </c>
      <c r="J2830" t="str">
        <f>T("SC")</f>
        <v>SC</v>
      </c>
      <c r="K2830" t="str">
        <f>T("84379403063038")</f>
        <v>84379403063038</v>
      </c>
      <c r="L2830" t="str">
        <f>T("8437940306")</f>
        <v>8437940306</v>
      </c>
    </row>
    <row r="2831" spans="1:12" x14ac:dyDescent="0.35">
      <c r="A2831" t="str">
        <f t="shared" ref="A2831:A2837" si="1150">T("NAVCONBRIG MIRAMAR")</f>
        <v>NAVCONBRIG MIRAMAR</v>
      </c>
      <c r="B2831" t="str">
        <f t="shared" ref="B2831:B2836" si="1151">T("46141 MIRAMAR WAY")</f>
        <v>46141 MIRAMAR WAY</v>
      </c>
      <c r="C2831" t="str">
        <f t="shared" ref="C2831:C2836" si="1152">T("SUITE 1")</f>
        <v>SUITE 1</v>
      </c>
      <c r="D2831" t="str">
        <f t="shared" ref="D2831:D2837" si="1153">T("SAN DIEGO")</f>
        <v>SAN DIEGO</v>
      </c>
      <c r="E2831" t="str">
        <f t="shared" ref="E2831:E2837" si="1154">T("CA")</f>
        <v>CA</v>
      </c>
      <c r="F2831" t="str">
        <f t="shared" ref="F2831:F2837" si="1155">T("921455401")</f>
        <v>921455401</v>
      </c>
      <c r="G2831" t="str">
        <f>T("2056 WASP BLVD")</f>
        <v>2056 WASP BLVD</v>
      </c>
      <c r="H2831" t="str">
        <f>T("BUILDING 462")</f>
        <v>BUILDING 462</v>
      </c>
      <c r="I2831" t="str">
        <f>T("PEARL HARBOR")</f>
        <v>PEARL HARBOR</v>
      </c>
      <c r="J2831" t="str">
        <f>T("HI")</f>
        <v>HI</v>
      </c>
      <c r="K2831" t="str">
        <f>T("000000000000000000")</f>
        <v>000000000000000000</v>
      </c>
      <c r="L2831" t="str">
        <f>T("8084729810")</f>
        <v>8084729810</v>
      </c>
    </row>
    <row r="2832" spans="1:12" x14ac:dyDescent="0.35">
      <c r="A2832" t="str">
        <f t="shared" si="1150"/>
        <v>NAVCONBRIG MIRAMAR</v>
      </c>
      <c r="B2832" t="str">
        <f t="shared" si="1151"/>
        <v>46141 MIRAMAR WAY</v>
      </c>
      <c r="C2832" t="str">
        <f t="shared" si="1152"/>
        <v>SUITE 1</v>
      </c>
      <c r="D2832" t="str">
        <f t="shared" si="1153"/>
        <v>SAN DIEGO</v>
      </c>
      <c r="E2832" t="str">
        <f t="shared" si="1154"/>
        <v>CA</v>
      </c>
      <c r="F2832" t="str">
        <f t="shared" si="1155"/>
        <v>921455401</v>
      </c>
      <c r="G2832" t="str">
        <f>T("2056 WASP BLVD")</f>
        <v>2056 WASP BLVD</v>
      </c>
      <c r="H2832" t="str">
        <f>T("BUILDING 482")</f>
        <v>BUILDING 482</v>
      </c>
      <c r="I2832" t="str">
        <f>T("PEARL HARBOR")</f>
        <v>PEARL HARBOR</v>
      </c>
      <c r="J2832" t="str">
        <f>T("HI")</f>
        <v>HI</v>
      </c>
      <c r="K2832" t="str">
        <f>T("8084726610")</f>
        <v>8084726610</v>
      </c>
      <c r="L2832" t="str">
        <f>T("8084729810")</f>
        <v>8084729810</v>
      </c>
    </row>
    <row r="2833" spans="1:12" x14ac:dyDescent="0.35">
      <c r="A2833" t="str">
        <f t="shared" si="1150"/>
        <v>NAVCONBRIG MIRAMAR</v>
      </c>
      <c r="B2833" t="str">
        <f t="shared" si="1151"/>
        <v>46141 MIRAMAR WAY</v>
      </c>
      <c r="C2833" t="str">
        <f t="shared" si="1152"/>
        <v>SUITE 1</v>
      </c>
      <c r="D2833" t="str">
        <f t="shared" si="1153"/>
        <v>SAN DIEGO</v>
      </c>
      <c r="E2833" t="str">
        <f t="shared" si="1154"/>
        <v>CA</v>
      </c>
      <c r="F2833" t="str">
        <f t="shared" si="1155"/>
        <v>921455401</v>
      </c>
      <c r="G2833" t="str">
        <f>T("46141 MIRAMAR WAY")</f>
        <v>46141 MIRAMAR WAY</v>
      </c>
      <c r="H2833" t="str">
        <f>T("SUITE 1")</f>
        <v>SUITE 1</v>
      </c>
      <c r="I2833" t="str">
        <f>T("SAN DIEGO")</f>
        <v>SAN DIEGO</v>
      </c>
      <c r="J2833" t="str">
        <f>T("CA")</f>
        <v>CA</v>
      </c>
      <c r="K2833" t="str">
        <f>T("000000000000000000")</f>
        <v>000000000000000000</v>
      </c>
      <c r="L2833" t="str">
        <f>T("8585777005")</f>
        <v>8585777005</v>
      </c>
    </row>
    <row r="2834" spans="1:12" x14ac:dyDescent="0.35">
      <c r="A2834" t="str">
        <f t="shared" si="1150"/>
        <v>NAVCONBRIG MIRAMAR</v>
      </c>
      <c r="B2834" t="str">
        <f t="shared" si="1151"/>
        <v>46141 MIRAMAR WAY</v>
      </c>
      <c r="C2834" t="str">
        <f t="shared" si="1152"/>
        <v>SUITE 1</v>
      </c>
      <c r="D2834" t="str">
        <f t="shared" si="1153"/>
        <v>SAN DIEGO</v>
      </c>
      <c r="E2834" t="str">
        <f t="shared" si="1154"/>
        <v>CA</v>
      </c>
      <c r="F2834" t="str">
        <f t="shared" si="1155"/>
        <v>921455401</v>
      </c>
      <c r="G2834" t="str">
        <f>T("46141 MIRAMAR WAY")</f>
        <v>46141 MIRAMAR WAY</v>
      </c>
      <c r="H2834" t="str">
        <f>T("SUITE 1")</f>
        <v>SUITE 1</v>
      </c>
      <c r="I2834" t="str">
        <f>T("SAN DIEGO")</f>
        <v>SAN DIEGO</v>
      </c>
      <c r="J2834" t="str">
        <f>T("CA")</f>
        <v>CA</v>
      </c>
      <c r="K2834" t="str">
        <f>T("8585777167")</f>
        <v>8585777167</v>
      </c>
      <c r="L2834" t="str">
        <f>T("8585777102")</f>
        <v>8585777102</v>
      </c>
    </row>
    <row r="2835" spans="1:12" x14ac:dyDescent="0.35">
      <c r="A2835" t="str">
        <f t="shared" si="1150"/>
        <v>NAVCONBRIG MIRAMAR</v>
      </c>
      <c r="B2835" t="str">
        <f t="shared" si="1151"/>
        <v>46141 MIRAMAR WAY</v>
      </c>
      <c r="C2835" t="str">
        <f t="shared" si="1152"/>
        <v>SUITE 1</v>
      </c>
      <c r="D2835" t="str">
        <f t="shared" si="1153"/>
        <v>SAN DIEGO</v>
      </c>
      <c r="E2835" t="str">
        <f t="shared" si="1154"/>
        <v>CA</v>
      </c>
      <c r="F2835" t="str">
        <f t="shared" si="1155"/>
        <v>921455401</v>
      </c>
      <c r="G2835" t="str">
        <f>T("46141 MIRAMAR WAY BLDG 7684")</f>
        <v>46141 MIRAMAR WAY BLDG 7684</v>
      </c>
      <c r="H2835" t="str">
        <f>T("")</f>
        <v/>
      </c>
      <c r="I2835" t="str">
        <f>T("SAN DIEGO")</f>
        <v>SAN DIEGO</v>
      </c>
      <c r="J2835" t="str">
        <f>T("CA")</f>
        <v>CA</v>
      </c>
      <c r="K2835" t="str">
        <f>T("000000000000000000")</f>
        <v>000000000000000000</v>
      </c>
      <c r="L2835" t="str">
        <f>T("8585777005")</f>
        <v>8585777005</v>
      </c>
    </row>
    <row r="2836" spans="1:12" x14ac:dyDescent="0.35">
      <c r="A2836" t="str">
        <f t="shared" si="1150"/>
        <v>NAVCONBRIG MIRAMAR</v>
      </c>
      <c r="B2836" t="str">
        <f t="shared" si="1151"/>
        <v>46141 MIRAMAR WAY</v>
      </c>
      <c r="C2836" t="str">
        <f t="shared" si="1152"/>
        <v>SUITE 1</v>
      </c>
      <c r="D2836" t="str">
        <f t="shared" si="1153"/>
        <v>SAN DIEGO</v>
      </c>
      <c r="E2836" t="str">
        <f t="shared" si="1154"/>
        <v>CA</v>
      </c>
      <c r="F2836" t="str">
        <f t="shared" si="1155"/>
        <v>921455401</v>
      </c>
      <c r="G2836" t="str">
        <f>T("46141 MIRAMAR WAY SUITE 1")</f>
        <v>46141 MIRAMAR WAY SUITE 1</v>
      </c>
      <c r="H2836" t="str">
        <f>T("")</f>
        <v/>
      </c>
      <c r="I2836" t="str">
        <f>T("SAN DIEGO")</f>
        <v>SAN DIEGO</v>
      </c>
      <c r="J2836" t="str">
        <f>T("CA")</f>
        <v>CA</v>
      </c>
      <c r="K2836" t="str">
        <f>T("000000000000000000")</f>
        <v>000000000000000000</v>
      </c>
      <c r="L2836" t="str">
        <f>T("8585777005")</f>
        <v>8585777005</v>
      </c>
    </row>
    <row r="2837" spans="1:12" x14ac:dyDescent="0.35">
      <c r="A2837" t="str">
        <f t="shared" si="1150"/>
        <v>NAVCONBRIG MIRAMAR</v>
      </c>
      <c r="B2837" t="str">
        <f>T("46141 MIRAMAR WAY SUITE 1")</f>
        <v>46141 MIRAMAR WAY SUITE 1</v>
      </c>
      <c r="C2837" t="str">
        <f>T("")</f>
        <v/>
      </c>
      <c r="D2837" t="str">
        <f t="shared" si="1153"/>
        <v>SAN DIEGO</v>
      </c>
      <c r="E2837" t="str">
        <f t="shared" si="1154"/>
        <v>CA</v>
      </c>
      <c r="F2837" t="str">
        <f t="shared" si="1155"/>
        <v>921455401</v>
      </c>
      <c r="G2837" t="str">
        <f>T("46141 MIRAMAR WAY SUITE 1")</f>
        <v>46141 MIRAMAR WAY SUITE 1</v>
      </c>
      <c r="H2837" t="str">
        <f>T("")</f>
        <v/>
      </c>
      <c r="I2837" t="str">
        <f>T("SAN DIEGO")</f>
        <v>SAN DIEGO</v>
      </c>
      <c r="J2837" t="str">
        <f>T("CA")</f>
        <v>CA</v>
      </c>
      <c r="K2837" t="str">
        <f>T("000000000000000000")</f>
        <v>000000000000000000</v>
      </c>
      <c r="L2837" t="str">
        <f>T("8585777102")</f>
        <v>8585777102</v>
      </c>
    </row>
    <row r="2838" spans="1:12" x14ac:dyDescent="0.35">
      <c r="A2838" t="str">
        <f>T("NAVY PCSVC")</f>
        <v>NAVY PCSVC</v>
      </c>
      <c r="B2838" t="str">
        <f>T("1240 EAST 9TH STREET")</f>
        <v>1240 EAST 9TH STREET</v>
      </c>
      <c r="C2838" t="str">
        <f>T("RM 967")</f>
        <v>RM 967</v>
      </c>
      <c r="D2838" t="str">
        <f>T("CLEVELAND")</f>
        <v>CLEVELAND</v>
      </c>
      <c r="E2838" t="str">
        <f>T("OH")</f>
        <v>OH</v>
      </c>
      <c r="F2838" t="str">
        <f>T("441992001")</f>
        <v>441992001</v>
      </c>
      <c r="G2838" t="str">
        <f>T("1240 EAST 9TH STREET")</f>
        <v>1240 EAST 9TH STREET</v>
      </c>
      <c r="H2838" t="str">
        <f>T("RM 967")</f>
        <v>RM 967</v>
      </c>
      <c r="I2838" t="str">
        <f>T("CLEVELAND")</f>
        <v>CLEVELAND</v>
      </c>
      <c r="J2838" t="str">
        <f>T("OH")</f>
        <v>OH</v>
      </c>
      <c r="K2838" t="str">
        <f>T("2165226449")</f>
        <v>2165226449</v>
      </c>
      <c r="L2838" t="str">
        <f>T("2165225564")</f>
        <v>2165225564</v>
      </c>
    </row>
    <row r="2839" spans="1:12" x14ac:dyDescent="0.35">
      <c r="A2839" t="str">
        <f>T("NAVY PCSVC")</f>
        <v>NAVY PCSVC</v>
      </c>
      <c r="B2839" t="str">
        <f>T("1240 EAST 9TH STREET")</f>
        <v>1240 EAST 9TH STREET</v>
      </c>
      <c r="C2839" t="str">
        <f>T("RM 967")</f>
        <v>RM 967</v>
      </c>
      <c r="D2839" t="str">
        <f>T("CLEVELAND")</f>
        <v>CLEVELAND</v>
      </c>
      <c r="E2839" t="str">
        <f>T("OH")</f>
        <v>OH</v>
      </c>
      <c r="F2839" t="str">
        <f>T("441992001")</f>
        <v>441992001</v>
      </c>
      <c r="G2839" t="str">
        <f>T("1240 EAST 9TH STREET")</f>
        <v>1240 EAST 9TH STREET</v>
      </c>
      <c r="H2839" t="str">
        <f>T("ROOM 967")</f>
        <v>ROOM 967</v>
      </c>
      <c r="I2839" t="str">
        <f>T("CLEVELAND")</f>
        <v>CLEVELAND</v>
      </c>
      <c r="J2839" t="str">
        <f>T("OH")</f>
        <v>OH</v>
      </c>
      <c r="K2839" t="str">
        <f>T("000000000000000000")</f>
        <v>000000000000000000</v>
      </c>
      <c r="L2839" t="str">
        <f>T("2165225574")</f>
        <v>2165225574</v>
      </c>
    </row>
    <row r="2840" spans="1:12" x14ac:dyDescent="0.35">
      <c r="A2840" t="str">
        <f t="shared" ref="A2840:A2887" si="1156">T("NPS")</f>
        <v>NPS</v>
      </c>
      <c r="B2840" t="str">
        <f>T("1 UNIV CIRCLE RM HE-046A")</f>
        <v>1 UNIV CIRCLE RM HE-046A</v>
      </c>
      <c r="C2840" t="str">
        <f>T("NAVAL POSTGRADUATE SCHOOL")</f>
        <v>NAVAL POSTGRADUATE SCHOOL</v>
      </c>
      <c r="D2840" t="str">
        <f t="shared" ref="D2840:D2887" si="1157">T("MONTEREY")</f>
        <v>MONTEREY</v>
      </c>
      <c r="E2840" t="str">
        <f t="shared" ref="E2840:E2887" si="1158">T("CA")</f>
        <v>CA</v>
      </c>
      <c r="F2840" t="str">
        <f>T("939430000")</f>
        <v>939430000</v>
      </c>
      <c r="G2840" t="str">
        <f>T("1 UNIV CIRCLE RM HE-046A")</f>
        <v>1 UNIV CIRCLE RM HE-046A</v>
      </c>
      <c r="H2840" t="str">
        <f>T("NAVAL POSTGRADUATE SCHOOL")</f>
        <v>NAVAL POSTGRADUATE SCHOOL</v>
      </c>
      <c r="I2840" t="str">
        <f t="shared" ref="I2840:I2887" si="1159">T("MONTEREY")</f>
        <v>MONTEREY</v>
      </c>
      <c r="J2840" t="str">
        <f t="shared" ref="J2840:J2887" si="1160">T("CA")</f>
        <v>CA</v>
      </c>
      <c r="K2840" t="str">
        <f>T("")</f>
        <v/>
      </c>
      <c r="L2840" t="str">
        <f>T("8316562417")</f>
        <v>8316562417</v>
      </c>
    </row>
    <row r="2841" spans="1:12" x14ac:dyDescent="0.35">
      <c r="A2841" t="str">
        <f t="shared" si="1156"/>
        <v>NPS</v>
      </c>
      <c r="B2841" t="str">
        <f>T("1 UNIV CIRCLE RM HE-046A")</f>
        <v>1 UNIV CIRCLE RM HE-046A</v>
      </c>
      <c r="C2841" t="str">
        <f>T("NAVAL POSTGRADUATE SCHOOL")</f>
        <v>NAVAL POSTGRADUATE SCHOOL</v>
      </c>
      <c r="D2841" t="str">
        <f t="shared" si="1157"/>
        <v>MONTEREY</v>
      </c>
      <c r="E2841" t="str">
        <f t="shared" si="1158"/>
        <v>CA</v>
      </c>
      <c r="F2841" t="str">
        <f>T("939430000")</f>
        <v>939430000</v>
      </c>
      <c r="G2841" t="str">
        <f>T("1 UNIVERSITY CIRCLE ROOM HE-046")</f>
        <v>1 UNIVERSITY CIRCLE ROOM HE-046</v>
      </c>
      <c r="H2841" t="str">
        <f>T("NAVAL POSTGRADUATE SCHOOL")</f>
        <v>NAVAL POSTGRADUATE SCHOOL</v>
      </c>
      <c r="I2841" t="str">
        <f t="shared" si="1159"/>
        <v>MONTEREY</v>
      </c>
      <c r="J2841" t="str">
        <f t="shared" si="1160"/>
        <v>CA</v>
      </c>
      <c r="K2841" t="str">
        <f>T("000000000000000000")</f>
        <v>000000000000000000</v>
      </c>
      <c r="L2841" t="str">
        <f>T("8316562319")</f>
        <v>8316562319</v>
      </c>
    </row>
    <row r="2842" spans="1:12" x14ac:dyDescent="0.35">
      <c r="A2842" t="str">
        <f t="shared" si="1156"/>
        <v>NPS</v>
      </c>
      <c r="B2842" t="str">
        <f>T("1 UNIVERSITY CIR")</f>
        <v>1 UNIVERSITY CIR</v>
      </c>
      <c r="C2842" t="str">
        <f>T("RM HE-M06C")</f>
        <v>RM HE-M06C</v>
      </c>
      <c r="D2842" t="str">
        <f t="shared" si="1157"/>
        <v>MONTEREY</v>
      </c>
      <c r="E2842" t="str">
        <f t="shared" si="1158"/>
        <v>CA</v>
      </c>
      <c r="F2842" t="str">
        <f>T("939435098")</f>
        <v>939435098</v>
      </c>
      <c r="G2842" t="str">
        <f>T("1 UNIVERSITY CIR")</f>
        <v>1 UNIVERSITY CIR</v>
      </c>
      <c r="H2842" t="str">
        <f>T("RM HE-M06C")</f>
        <v>RM HE-M06C</v>
      </c>
      <c r="I2842" t="str">
        <f t="shared" si="1159"/>
        <v>MONTEREY</v>
      </c>
      <c r="J2842" t="str">
        <f t="shared" si="1160"/>
        <v>CA</v>
      </c>
      <c r="K2842" t="str">
        <f>T("8316562370")</f>
        <v>8316562370</v>
      </c>
      <c r="L2842" t="str">
        <f>T("8316562616")</f>
        <v>8316562616</v>
      </c>
    </row>
    <row r="2843" spans="1:12" x14ac:dyDescent="0.35">
      <c r="A2843" t="str">
        <f t="shared" si="1156"/>
        <v>NPS</v>
      </c>
      <c r="B2843" t="str">
        <f>T("1 UNIVERSITY CIR")</f>
        <v>1 UNIVERSITY CIR</v>
      </c>
      <c r="C2843" t="str">
        <f>T("RM HE-M06C")</f>
        <v>RM HE-M06C</v>
      </c>
      <c r="D2843" t="str">
        <f t="shared" si="1157"/>
        <v>MONTEREY</v>
      </c>
      <c r="E2843" t="str">
        <f t="shared" si="1158"/>
        <v>CA</v>
      </c>
      <c r="F2843" t="str">
        <f>T("939435098")</f>
        <v>939435098</v>
      </c>
      <c r="G2843" t="str">
        <f>T("1 UNIVERSITY CIRCLE HE 061")</f>
        <v>1 UNIVERSITY CIRCLE HE 061</v>
      </c>
      <c r="H2843" t="str">
        <f>T("NAVAL POSTGRADUATE SCHOOL")</f>
        <v>NAVAL POSTGRADUATE SCHOOL</v>
      </c>
      <c r="I2843" t="str">
        <f t="shared" si="1159"/>
        <v>MONTEREY</v>
      </c>
      <c r="J2843" t="str">
        <f t="shared" si="1160"/>
        <v>CA</v>
      </c>
      <c r="K2843" t="str">
        <f>T("000000000000000000")</f>
        <v>000000000000000000</v>
      </c>
      <c r="L2843" t="str">
        <f>T("8316567638")</f>
        <v>8316567638</v>
      </c>
    </row>
    <row r="2844" spans="1:12" x14ac:dyDescent="0.35">
      <c r="A2844" t="str">
        <f t="shared" si="1156"/>
        <v>NPS</v>
      </c>
      <c r="B2844" t="str">
        <f>T("1 UNIVERSITY CIR RM 022")</f>
        <v>1 UNIVERSITY CIR RM 022</v>
      </c>
      <c r="C2844" t="str">
        <f>T("NAVAL POSTGRADUATE SCHOOL")</f>
        <v>NAVAL POSTGRADUATE SCHOOL</v>
      </c>
      <c r="D2844" t="str">
        <f t="shared" si="1157"/>
        <v>MONTEREY</v>
      </c>
      <c r="E2844" t="str">
        <f t="shared" si="1158"/>
        <v>CA</v>
      </c>
      <c r="F2844" t="str">
        <f>T("939435019")</f>
        <v>939435019</v>
      </c>
      <c r="G2844" t="str">
        <f>T("1 UNIVERSITY CIR RM 022")</f>
        <v>1 UNIVERSITY CIR RM 022</v>
      </c>
      <c r="H2844" t="str">
        <f>T("NAVAL POSTGRADUATE SCHOOL")</f>
        <v>NAVAL POSTGRADUATE SCHOOL</v>
      </c>
      <c r="I2844" t="str">
        <f t="shared" si="1159"/>
        <v>MONTEREY</v>
      </c>
      <c r="J2844" t="str">
        <f t="shared" si="1160"/>
        <v>CA</v>
      </c>
      <c r="K2844" t="str">
        <f>T("")</f>
        <v/>
      </c>
      <c r="L2844" t="str">
        <f>T("8316563023")</f>
        <v>8316563023</v>
      </c>
    </row>
    <row r="2845" spans="1:12" x14ac:dyDescent="0.35">
      <c r="A2845" t="str">
        <f t="shared" si="1156"/>
        <v>NPS</v>
      </c>
      <c r="B2845" t="str">
        <f>T("1 UNIVERSITY CIR RM 159")</f>
        <v>1 UNIVERSITY CIR RM 159</v>
      </c>
      <c r="C2845" t="str">
        <f>T("NAVAL POST GRADUATE SCHOOL")</f>
        <v>NAVAL POST GRADUATE SCHOOL</v>
      </c>
      <c r="D2845" t="str">
        <f t="shared" si="1157"/>
        <v>MONTEREY</v>
      </c>
      <c r="E2845" t="str">
        <f t="shared" si="1158"/>
        <v>CA</v>
      </c>
      <c r="F2845" t="str">
        <f>T("939435022")</f>
        <v>939435022</v>
      </c>
      <c r="G2845" t="str">
        <f>T("1 UNIVERSITY CIR RM 159")</f>
        <v>1 UNIVERSITY CIR RM 159</v>
      </c>
      <c r="H2845" t="str">
        <f>T("")</f>
        <v/>
      </c>
      <c r="I2845" t="str">
        <f t="shared" si="1159"/>
        <v>MONTEREY</v>
      </c>
      <c r="J2845" t="str">
        <f t="shared" si="1160"/>
        <v>CA</v>
      </c>
      <c r="K2845" t="str">
        <f>T("000000000000000000")</f>
        <v>000000000000000000</v>
      </c>
      <c r="L2845" t="str">
        <f>T("8316562245")</f>
        <v>8316562245</v>
      </c>
    </row>
    <row r="2846" spans="1:12" x14ac:dyDescent="0.35">
      <c r="A2846" t="str">
        <f t="shared" si="1156"/>
        <v>NPS</v>
      </c>
      <c r="B2846" t="str">
        <f>T("1 UNIVERSITY CIR RM 159")</f>
        <v>1 UNIVERSITY CIR RM 159</v>
      </c>
      <c r="C2846" t="str">
        <f>T("NAVAL POST GRADUATE SCHOOL")</f>
        <v>NAVAL POST GRADUATE SCHOOL</v>
      </c>
      <c r="D2846" t="str">
        <f t="shared" si="1157"/>
        <v>MONTEREY</v>
      </c>
      <c r="E2846" t="str">
        <f t="shared" si="1158"/>
        <v>CA</v>
      </c>
      <c r="F2846" t="str">
        <f>T("939435022")</f>
        <v>939435022</v>
      </c>
      <c r="G2846" t="str">
        <f>T("1 UNIVERSITY CIR RM 159")</f>
        <v>1 UNIVERSITY CIR RM 159</v>
      </c>
      <c r="H2846" t="str">
        <f>T("NAVAL POST GRADUATE SCHOOL")</f>
        <v>NAVAL POST GRADUATE SCHOOL</v>
      </c>
      <c r="I2846" t="str">
        <f t="shared" si="1159"/>
        <v>MONTEREY</v>
      </c>
      <c r="J2846" t="str">
        <f t="shared" si="1160"/>
        <v>CA</v>
      </c>
      <c r="K2846" t="str">
        <f>T("8316567697")</f>
        <v>8316567697</v>
      </c>
      <c r="L2846" t="str">
        <f>T("8316562192")</f>
        <v>8316562192</v>
      </c>
    </row>
    <row r="2847" spans="1:12" x14ac:dyDescent="0.35">
      <c r="A2847" t="str">
        <f t="shared" si="1156"/>
        <v>NPS</v>
      </c>
      <c r="B2847" t="str">
        <f>T("1 UNIVERSITY CIR RM 159")</f>
        <v>1 UNIVERSITY CIR RM 159</v>
      </c>
      <c r="C2847" t="str">
        <f>T("NAVAL POST GRADUATE SCHOOL")</f>
        <v>NAVAL POST GRADUATE SCHOOL</v>
      </c>
      <c r="D2847" t="str">
        <f t="shared" si="1157"/>
        <v>MONTEREY</v>
      </c>
      <c r="E2847" t="str">
        <f t="shared" si="1158"/>
        <v>CA</v>
      </c>
      <c r="F2847" t="str">
        <f>T("939435022")</f>
        <v>939435022</v>
      </c>
      <c r="G2847" t="str">
        <f>T("1 UNIVERSITY CIR ROOM 159")</f>
        <v>1 UNIVERSITY CIR ROOM 159</v>
      </c>
      <c r="H2847" t="str">
        <f>T("NAVAL POSTGRADUATE SCHOOL")</f>
        <v>NAVAL POSTGRADUATE SCHOOL</v>
      </c>
      <c r="I2847" t="str">
        <f t="shared" si="1159"/>
        <v>MONTEREY</v>
      </c>
      <c r="J2847" t="str">
        <f t="shared" si="1160"/>
        <v>CA</v>
      </c>
      <c r="K2847" t="str">
        <f>T("000000000000000000")</f>
        <v>000000000000000000</v>
      </c>
      <c r="L2847" t="str">
        <f>T("8316562321")</f>
        <v>8316562321</v>
      </c>
    </row>
    <row r="2848" spans="1:12" x14ac:dyDescent="0.35">
      <c r="A2848" t="str">
        <f t="shared" si="1156"/>
        <v>NPS</v>
      </c>
      <c r="B2848" t="str">
        <f>T("1 UNIVERSITY CIRCLE HE-039A")</f>
        <v>1 UNIVERSITY CIRCLE HE-039A</v>
      </c>
      <c r="C2848" t="str">
        <f t="shared" ref="C2848:C2862" si="1161">T("NAVAL POSTGRADUATE SCHOOL")</f>
        <v>NAVAL POSTGRADUATE SCHOOL</v>
      </c>
      <c r="D2848" t="str">
        <f t="shared" si="1157"/>
        <v>MONTEREY</v>
      </c>
      <c r="E2848" t="str">
        <f t="shared" si="1158"/>
        <v>CA</v>
      </c>
      <c r="F2848" t="str">
        <f t="shared" ref="F2848:F2862" si="1162">T("939435019")</f>
        <v>939435019</v>
      </c>
      <c r="G2848" t="str">
        <f>T("1 UNIVERSITY CIR HE-039")</f>
        <v>1 UNIVERSITY CIR HE-039</v>
      </c>
      <c r="H2848" t="str">
        <f>T("")</f>
        <v/>
      </c>
      <c r="I2848" t="str">
        <f t="shared" si="1159"/>
        <v>MONTEREY</v>
      </c>
      <c r="J2848" t="str">
        <f t="shared" si="1160"/>
        <v>CA</v>
      </c>
      <c r="K2848" t="str">
        <f>T("000000000000000000")</f>
        <v>000000000000000000</v>
      </c>
      <c r="L2848" t="str">
        <f>T("8316562075")</f>
        <v>8316562075</v>
      </c>
    </row>
    <row r="2849" spans="1:12" x14ac:dyDescent="0.35">
      <c r="A2849" t="str">
        <f t="shared" si="1156"/>
        <v>NPS</v>
      </c>
      <c r="B2849" t="str">
        <f>T("1 UNIVERSITY CIRCLE HE-039A")</f>
        <v>1 UNIVERSITY CIRCLE HE-039A</v>
      </c>
      <c r="C2849" t="str">
        <f t="shared" si="1161"/>
        <v>NAVAL POSTGRADUATE SCHOOL</v>
      </c>
      <c r="D2849" t="str">
        <f t="shared" si="1157"/>
        <v>MONTEREY</v>
      </c>
      <c r="E2849" t="str">
        <f t="shared" si="1158"/>
        <v>CA</v>
      </c>
      <c r="F2849" t="str">
        <f t="shared" si="1162"/>
        <v>939435019</v>
      </c>
      <c r="G2849" t="str">
        <f>T("1 UNIVERSITY CIRCLE HE-039A")</f>
        <v>1 UNIVERSITY CIRCLE HE-039A</v>
      </c>
      <c r="H2849" t="str">
        <f t="shared" ref="H2849:H2856" si="1163">T("NAVAL POSTGRADUATE SCHOOL")</f>
        <v>NAVAL POSTGRADUATE SCHOOL</v>
      </c>
      <c r="I2849" t="str">
        <f t="shared" si="1159"/>
        <v>MONTEREY</v>
      </c>
      <c r="J2849" t="str">
        <f t="shared" si="1160"/>
        <v>CA</v>
      </c>
      <c r="K2849" t="str">
        <f>T("")</f>
        <v/>
      </c>
      <c r="L2849" t="str">
        <f>T("8316567843")</f>
        <v>8316567843</v>
      </c>
    </row>
    <row r="2850" spans="1:12" x14ac:dyDescent="0.35">
      <c r="A2850" t="str">
        <f t="shared" si="1156"/>
        <v>NPS</v>
      </c>
      <c r="B2850" t="str">
        <f t="shared" ref="B2850:B2862" si="1164">T("1 UNIVERSITY CIRCLE STOP 49")</f>
        <v>1 UNIVERSITY CIRCLE STOP 49</v>
      </c>
      <c r="C2850" t="str">
        <f t="shared" si="1161"/>
        <v>NAVAL POSTGRADUATE SCHOOL</v>
      </c>
      <c r="D2850" t="str">
        <f t="shared" si="1157"/>
        <v>MONTEREY</v>
      </c>
      <c r="E2850" t="str">
        <f t="shared" si="1158"/>
        <v>CA</v>
      </c>
      <c r="F2850" t="str">
        <f t="shared" si="1162"/>
        <v>939435019</v>
      </c>
      <c r="G2850" t="str">
        <f>T("1 UNIVERSITY CIR RM 139D")</f>
        <v>1 UNIVERSITY CIR RM 139D</v>
      </c>
      <c r="H2850" t="str">
        <f t="shared" si="1163"/>
        <v>NAVAL POSTGRADUATE SCHOOL</v>
      </c>
      <c r="I2850" t="str">
        <f t="shared" si="1159"/>
        <v>MONTEREY</v>
      </c>
      <c r="J2850" t="str">
        <f t="shared" si="1160"/>
        <v>CA</v>
      </c>
      <c r="K2850" t="str">
        <f t="shared" ref="K2850:K2855" si="1165">T("000000000000000000")</f>
        <v>000000000000000000</v>
      </c>
      <c r="L2850" t="str">
        <f>T("8316562999")</f>
        <v>8316562999</v>
      </c>
    </row>
    <row r="2851" spans="1:12" x14ac:dyDescent="0.35">
      <c r="A2851" t="str">
        <f t="shared" si="1156"/>
        <v>NPS</v>
      </c>
      <c r="B2851" t="str">
        <f t="shared" si="1164"/>
        <v>1 UNIVERSITY CIRCLE STOP 49</v>
      </c>
      <c r="C2851" t="str">
        <f t="shared" si="1161"/>
        <v>NAVAL POSTGRADUATE SCHOOL</v>
      </c>
      <c r="D2851" t="str">
        <f t="shared" si="1157"/>
        <v>MONTEREY</v>
      </c>
      <c r="E2851" t="str">
        <f t="shared" si="1158"/>
        <v>CA</v>
      </c>
      <c r="F2851" t="str">
        <f t="shared" si="1162"/>
        <v>939435019</v>
      </c>
      <c r="G2851" t="str">
        <f t="shared" ref="G2851:G2856" si="1166">T("1 UNIVERSITY CIRCLE STOP 49")</f>
        <v>1 UNIVERSITY CIRCLE STOP 49</v>
      </c>
      <c r="H2851" t="str">
        <f t="shared" si="1163"/>
        <v>NAVAL POSTGRADUATE SCHOOL</v>
      </c>
      <c r="I2851" t="str">
        <f t="shared" si="1159"/>
        <v>MONTEREY</v>
      </c>
      <c r="J2851" t="str">
        <f t="shared" si="1160"/>
        <v>CA</v>
      </c>
      <c r="K2851" t="str">
        <f t="shared" si="1165"/>
        <v>000000000000000000</v>
      </c>
      <c r="L2851" t="str">
        <f>T("8316561976")</f>
        <v>8316561976</v>
      </c>
    </row>
    <row r="2852" spans="1:12" x14ac:dyDescent="0.35">
      <c r="A2852" t="str">
        <f t="shared" si="1156"/>
        <v>NPS</v>
      </c>
      <c r="B2852" t="str">
        <f t="shared" si="1164"/>
        <v>1 UNIVERSITY CIRCLE STOP 49</v>
      </c>
      <c r="C2852" t="str">
        <f t="shared" si="1161"/>
        <v>NAVAL POSTGRADUATE SCHOOL</v>
      </c>
      <c r="D2852" t="str">
        <f t="shared" si="1157"/>
        <v>MONTEREY</v>
      </c>
      <c r="E2852" t="str">
        <f t="shared" si="1158"/>
        <v>CA</v>
      </c>
      <c r="F2852" t="str">
        <f t="shared" si="1162"/>
        <v>939435019</v>
      </c>
      <c r="G2852" t="str">
        <f t="shared" si="1166"/>
        <v>1 UNIVERSITY CIRCLE STOP 49</v>
      </c>
      <c r="H2852" t="str">
        <f t="shared" si="1163"/>
        <v>NAVAL POSTGRADUATE SCHOOL</v>
      </c>
      <c r="I2852" t="str">
        <f t="shared" si="1159"/>
        <v>MONTEREY</v>
      </c>
      <c r="J2852" t="str">
        <f t="shared" si="1160"/>
        <v>CA</v>
      </c>
      <c r="K2852" t="str">
        <f t="shared" si="1165"/>
        <v>000000000000000000</v>
      </c>
      <c r="L2852" t="str">
        <f>T("8316561979")</f>
        <v>8316561979</v>
      </c>
    </row>
    <row r="2853" spans="1:12" x14ac:dyDescent="0.35">
      <c r="A2853" t="str">
        <f t="shared" si="1156"/>
        <v>NPS</v>
      </c>
      <c r="B2853" t="str">
        <f t="shared" si="1164"/>
        <v>1 UNIVERSITY CIRCLE STOP 49</v>
      </c>
      <c r="C2853" t="str">
        <f t="shared" si="1161"/>
        <v>NAVAL POSTGRADUATE SCHOOL</v>
      </c>
      <c r="D2853" t="str">
        <f t="shared" si="1157"/>
        <v>MONTEREY</v>
      </c>
      <c r="E2853" t="str">
        <f t="shared" si="1158"/>
        <v>CA</v>
      </c>
      <c r="F2853" t="str">
        <f t="shared" si="1162"/>
        <v>939435019</v>
      </c>
      <c r="G2853" t="str">
        <f t="shared" si="1166"/>
        <v>1 UNIVERSITY CIRCLE STOP 49</v>
      </c>
      <c r="H2853" t="str">
        <f t="shared" si="1163"/>
        <v>NAVAL POSTGRADUATE SCHOOL</v>
      </c>
      <c r="I2853" t="str">
        <f t="shared" si="1159"/>
        <v>MONTEREY</v>
      </c>
      <c r="J2853" t="str">
        <f t="shared" si="1160"/>
        <v>CA</v>
      </c>
      <c r="K2853" t="str">
        <f t="shared" si="1165"/>
        <v>000000000000000000</v>
      </c>
      <c r="L2853" t="str">
        <f>T("8316562687")</f>
        <v>8316562687</v>
      </c>
    </row>
    <row r="2854" spans="1:12" x14ac:dyDescent="0.35">
      <c r="A2854" t="str">
        <f t="shared" si="1156"/>
        <v>NPS</v>
      </c>
      <c r="B2854" t="str">
        <f t="shared" si="1164"/>
        <v>1 UNIVERSITY CIRCLE STOP 49</v>
      </c>
      <c r="C2854" t="str">
        <f t="shared" si="1161"/>
        <v>NAVAL POSTGRADUATE SCHOOL</v>
      </c>
      <c r="D2854" t="str">
        <f t="shared" si="1157"/>
        <v>MONTEREY</v>
      </c>
      <c r="E2854" t="str">
        <f t="shared" si="1158"/>
        <v>CA</v>
      </c>
      <c r="F2854" t="str">
        <f t="shared" si="1162"/>
        <v>939435019</v>
      </c>
      <c r="G2854" t="str">
        <f t="shared" si="1166"/>
        <v>1 UNIVERSITY CIRCLE STOP 49</v>
      </c>
      <c r="H2854" t="str">
        <f t="shared" si="1163"/>
        <v>NAVAL POSTGRADUATE SCHOOL</v>
      </c>
      <c r="I2854" t="str">
        <f t="shared" si="1159"/>
        <v>MONTEREY</v>
      </c>
      <c r="J2854" t="str">
        <f t="shared" si="1160"/>
        <v>CA</v>
      </c>
      <c r="K2854" t="str">
        <f t="shared" si="1165"/>
        <v>000000000000000000</v>
      </c>
      <c r="L2854" t="str">
        <f>T("8316563154")</f>
        <v>8316563154</v>
      </c>
    </row>
    <row r="2855" spans="1:12" x14ac:dyDescent="0.35">
      <c r="A2855" t="str">
        <f t="shared" si="1156"/>
        <v>NPS</v>
      </c>
      <c r="B2855" t="str">
        <f t="shared" si="1164"/>
        <v>1 UNIVERSITY CIRCLE STOP 49</v>
      </c>
      <c r="C2855" t="str">
        <f t="shared" si="1161"/>
        <v>NAVAL POSTGRADUATE SCHOOL</v>
      </c>
      <c r="D2855" t="str">
        <f t="shared" si="1157"/>
        <v>MONTEREY</v>
      </c>
      <c r="E2855" t="str">
        <f t="shared" si="1158"/>
        <v>CA</v>
      </c>
      <c r="F2855" t="str">
        <f t="shared" si="1162"/>
        <v>939435019</v>
      </c>
      <c r="G2855" t="str">
        <f t="shared" si="1166"/>
        <v>1 UNIVERSITY CIRCLE STOP 49</v>
      </c>
      <c r="H2855" t="str">
        <f t="shared" si="1163"/>
        <v>NAVAL POSTGRADUATE SCHOOL</v>
      </c>
      <c r="I2855" t="str">
        <f t="shared" si="1159"/>
        <v>MONTEREY</v>
      </c>
      <c r="J2855" t="str">
        <f t="shared" si="1160"/>
        <v>CA</v>
      </c>
      <c r="K2855" t="str">
        <f t="shared" si="1165"/>
        <v>000000000000000000</v>
      </c>
      <c r="L2855" t="str">
        <f>T("8316567765")</f>
        <v>8316567765</v>
      </c>
    </row>
    <row r="2856" spans="1:12" x14ac:dyDescent="0.35">
      <c r="A2856" t="str">
        <f t="shared" si="1156"/>
        <v>NPS</v>
      </c>
      <c r="B2856" t="str">
        <f t="shared" si="1164"/>
        <v>1 UNIVERSITY CIRCLE STOP 49</v>
      </c>
      <c r="C2856" t="str">
        <f t="shared" si="1161"/>
        <v>NAVAL POSTGRADUATE SCHOOL</v>
      </c>
      <c r="D2856" t="str">
        <f t="shared" si="1157"/>
        <v>MONTEREY</v>
      </c>
      <c r="E2856" t="str">
        <f t="shared" si="1158"/>
        <v>CA</v>
      </c>
      <c r="F2856" t="str">
        <f t="shared" si="1162"/>
        <v>939435019</v>
      </c>
      <c r="G2856" t="str">
        <f t="shared" si="1166"/>
        <v>1 UNIVERSITY CIRCLE STOP 49</v>
      </c>
      <c r="H2856" t="str">
        <f t="shared" si="1163"/>
        <v>NAVAL POSTGRADUATE SCHOOL</v>
      </c>
      <c r="I2856" t="str">
        <f t="shared" si="1159"/>
        <v>MONTEREY</v>
      </c>
      <c r="J2856" t="str">
        <f t="shared" si="1160"/>
        <v>CA</v>
      </c>
      <c r="K2856" t="str">
        <f>T("8316561962")</f>
        <v>8316561962</v>
      </c>
      <c r="L2856" t="str">
        <f>T("8316561115")</f>
        <v>8316561115</v>
      </c>
    </row>
    <row r="2857" spans="1:12" x14ac:dyDescent="0.35">
      <c r="A2857" t="str">
        <f t="shared" si="1156"/>
        <v>NPS</v>
      </c>
      <c r="B2857" t="str">
        <f t="shared" si="1164"/>
        <v>1 UNIVERSITY CIRCLE STOP 49</v>
      </c>
      <c r="C2857" t="str">
        <f t="shared" si="1161"/>
        <v>NAVAL POSTGRADUATE SCHOOL</v>
      </c>
      <c r="D2857" t="str">
        <f t="shared" si="1157"/>
        <v>MONTEREY</v>
      </c>
      <c r="E2857" t="str">
        <f t="shared" si="1158"/>
        <v>CA</v>
      </c>
      <c r="F2857" t="str">
        <f t="shared" si="1162"/>
        <v>939435019</v>
      </c>
      <c r="G2857" t="str">
        <f>T("1 UNIVERSTY CIRCLE")</f>
        <v>1 UNIVERSTY CIRCLE</v>
      </c>
      <c r="H2857" t="str">
        <f>T("RM 139D")</f>
        <v>RM 139D</v>
      </c>
      <c r="I2857" t="str">
        <f t="shared" si="1159"/>
        <v>MONTEREY</v>
      </c>
      <c r="J2857" t="str">
        <f t="shared" si="1160"/>
        <v>CA</v>
      </c>
      <c r="K2857" t="str">
        <f t="shared" ref="K2857:K2863" si="1167">T("000000000000000000")</f>
        <v>000000000000000000</v>
      </c>
      <c r="L2857" t="str">
        <f>T("8312643215")</f>
        <v>8312643215</v>
      </c>
    </row>
    <row r="2858" spans="1:12" x14ac:dyDescent="0.35">
      <c r="A2858" t="str">
        <f t="shared" si="1156"/>
        <v>NPS</v>
      </c>
      <c r="B2858" t="str">
        <f t="shared" si="1164"/>
        <v>1 UNIVERSITY CIRCLE STOP 49</v>
      </c>
      <c r="C2858" t="str">
        <f t="shared" si="1161"/>
        <v>NAVAL POSTGRADUATE SCHOOL</v>
      </c>
      <c r="D2858" t="str">
        <f t="shared" si="1157"/>
        <v>MONTEREY</v>
      </c>
      <c r="E2858" t="str">
        <f t="shared" si="1158"/>
        <v>CA</v>
      </c>
      <c r="F2858" t="str">
        <f t="shared" si="1162"/>
        <v>939435019</v>
      </c>
      <c r="G2858" t="str">
        <f>T("833 DYER RD BLDG 232 RM 031")</f>
        <v>833 DYER RD BLDG 232 RM 031</v>
      </c>
      <c r="H2858" t="str">
        <f>T("NAVAL POSTGRADUATE SCHOOL")</f>
        <v>NAVAL POSTGRADUATE SCHOOL</v>
      </c>
      <c r="I2858" t="str">
        <f t="shared" si="1159"/>
        <v>MONTEREY</v>
      </c>
      <c r="J2858" t="str">
        <f t="shared" si="1160"/>
        <v>CA</v>
      </c>
      <c r="K2858" t="str">
        <f t="shared" si="1167"/>
        <v>000000000000000000</v>
      </c>
      <c r="L2858" t="str">
        <f>T("8319154877")</f>
        <v>8319154877</v>
      </c>
    </row>
    <row r="2859" spans="1:12" x14ac:dyDescent="0.35">
      <c r="A2859" t="str">
        <f t="shared" si="1156"/>
        <v>NPS</v>
      </c>
      <c r="B2859" t="str">
        <f t="shared" si="1164"/>
        <v>1 UNIVERSITY CIRCLE STOP 49</v>
      </c>
      <c r="C2859" t="str">
        <f t="shared" si="1161"/>
        <v>NAVAL POSTGRADUATE SCHOOL</v>
      </c>
      <c r="D2859" t="str">
        <f t="shared" si="1157"/>
        <v>MONTEREY</v>
      </c>
      <c r="E2859" t="str">
        <f t="shared" si="1158"/>
        <v>CA</v>
      </c>
      <c r="F2859" t="str">
        <f t="shared" si="1162"/>
        <v>939435019</v>
      </c>
      <c r="G2859" t="str">
        <f>T("833 DYER RD BLDG SP-031")</f>
        <v>833 DYER RD BLDG SP-031</v>
      </c>
      <c r="H2859" t="str">
        <f>T("NAVAL POSTGRADUATE SCHOOL")</f>
        <v>NAVAL POSTGRADUATE SCHOOL</v>
      </c>
      <c r="I2859" t="str">
        <f t="shared" si="1159"/>
        <v>MONTEREY</v>
      </c>
      <c r="J2859" t="str">
        <f t="shared" si="1160"/>
        <v>CA</v>
      </c>
      <c r="K2859" t="str">
        <f t="shared" si="1167"/>
        <v>000000000000000000</v>
      </c>
      <c r="L2859" t="str">
        <f>T("8313925738")</f>
        <v>8313925738</v>
      </c>
    </row>
    <row r="2860" spans="1:12" x14ac:dyDescent="0.35">
      <c r="A2860" t="str">
        <f t="shared" si="1156"/>
        <v>NPS</v>
      </c>
      <c r="B2860" t="str">
        <f t="shared" si="1164"/>
        <v>1 UNIVERSITY CIRCLE STOP 49</v>
      </c>
      <c r="C2860" t="str">
        <f t="shared" si="1161"/>
        <v>NAVAL POSTGRADUATE SCHOOL</v>
      </c>
      <c r="D2860" t="str">
        <f t="shared" si="1157"/>
        <v>MONTEREY</v>
      </c>
      <c r="E2860" t="str">
        <f t="shared" si="1158"/>
        <v>CA</v>
      </c>
      <c r="F2860" t="str">
        <f t="shared" si="1162"/>
        <v>939435019</v>
      </c>
      <c r="G2860" t="str">
        <f>T("CONTRACTS  LGC STOP 49")</f>
        <v>CONTRACTS  LGC STOP 49</v>
      </c>
      <c r="H2860" t="str">
        <f>T("NAVAL POSTGRADUATE SCHOOL")</f>
        <v>NAVAL POSTGRADUATE SCHOOL</v>
      </c>
      <c r="I2860" t="str">
        <f t="shared" si="1159"/>
        <v>MONTEREY</v>
      </c>
      <c r="J2860" t="str">
        <f t="shared" si="1160"/>
        <v>CA</v>
      </c>
      <c r="K2860" t="str">
        <f t="shared" si="1167"/>
        <v>000000000000000000</v>
      </c>
      <c r="L2860" t="str">
        <f>T("8316563555")</f>
        <v>8316563555</v>
      </c>
    </row>
    <row r="2861" spans="1:12" x14ac:dyDescent="0.35">
      <c r="A2861" t="str">
        <f t="shared" si="1156"/>
        <v>NPS</v>
      </c>
      <c r="B2861" t="str">
        <f t="shared" si="1164"/>
        <v>1 UNIVERSITY CIRCLE STOP 49</v>
      </c>
      <c r="C2861" t="str">
        <f t="shared" si="1161"/>
        <v>NAVAL POSTGRADUATE SCHOOL</v>
      </c>
      <c r="D2861" t="str">
        <f t="shared" si="1157"/>
        <v>MONTEREY</v>
      </c>
      <c r="E2861" t="str">
        <f t="shared" si="1158"/>
        <v>CA</v>
      </c>
      <c r="F2861" t="str">
        <f t="shared" si="1162"/>
        <v>939435019</v>
      </c>
      <c r="G2861" t="str">
        <f>T("NAVAL POSTGRADUATE SCHOOL")</f>
        <v>NAVAL POSTGRADUATE SCHOOL</v>
      </c>
      <c r="H2861" t="str">
        <f>T("1 UNIVERSITY CIRCLE STOP 49")</f>
        <v>1 UNIVERSITY CIRCLE STOP 49</v>
      </c>
      <c r="I2861" t="str">
        <f t="shared" si="1159"/>
        <v>MONTEREY</v>
      </c>
      <c r="J2861" t="str">
        <f t="shared" si="1160"/>
        <v>CA</v>
      </c>
      <c r="K2861" t="str">
        <f t="shared" si="1167"/>
        <v>000000000000000000</v>
      </c>
      <c r="L2861" t="str">
        <f>T("8316563252")</f>
        <v>8316563252</v>
      </c>
    </row>
    <row r="2862" spans="1:12" x14ac:dyDescent="0.35">
      <c r="A2862" t="str">
        <f t="shared" si="1156"/>
        <v>NPS</v>
      </c>
      <c r="B2862" t="str">
        <f t="shared" si="1164"/>
        <v>1 UNIVERSITY CIRCLE STOP 49</v>
      </c>
      <c r="C2862" t="str">
        <f t="shared" si="1161"/>
        <v>NAVAL POSTGRADUATE SCHOOL</v>
      </c>
      <c r="D2862" t="str">
        <f t="shared" si="1157"/>
        <v>MONTEREY</v>
      </c>
      <c r="E2862" t="str">
        <f t="shared" si="1158"/>
        <v>CA</v>
      </c>
      <c r="F2862" t="str">
        <f t="shared" si="1162"/>
        <v>939435019</v>
      </c>
      <c r="G2862" t="str">
        <f>T("NAVAL POSTGRADUATE SCHOOL")</f>
        <v>NAVAL POSTGRADUATE SCHOOL</v>
      </c>
      <c r="H2862" t="str">
        <f>T("1 UNIVERSITY CIRCLE STOP 49")</f>
        <v>1 UNIVERSITY CIRCLE STOP 49</v>
      </c>
      <c r="I2862" t="str">
        <f t="shared" si="1159"/>
        <v>MONTEREY</v>
      </c>
      <c r="J2862" t="str">
        <f t="shared" si="1160"/>
        <v>CA</v>
      </c>
      <c r="K2862" t="str">
        <f t="shared" si="1167"/>
        <v>000000000000000000</v>
      </c>
      <c r="L2862" t="str">
        <f>T("8316563580")</f>
        <v>8316563580</v>
      </c>
    </row>
    <row r="2863" spans="1:12" x14ac:dyDescent="0.35">
      <c r="A2863" t="str">
        <f t="shared" si="1156"/>
        <v>NPS</v>
      </c>
      <c r="B2863" t="str">
        <f>T("1411 CUNNINGHAM RD GL-230")</f>
        <v>1411 CUNNINGHAM RD GL-230</v>
      </c>
      <c r="C2863" t="str">
        <f>T("NAVAL POST GRADUATE SCHOOL")</f>
        <v>NAVAL POST GRADUATE SCHOOL</v>
      </c>
      <c r="D2863" t="str">
        <f t="shared" si="1157"/>
        <v>MONTEREY</v>
      </c>
      <c r="E2863" t="str">
        <f t="shared" si="1158"/>
        <v>CA</v>
      </c>
      <c r="F2863" t="str">
        <f>T("939435285")</f>
        <v>939435285</v>
      </c>
      <c r="G2863" t="str">
        <f>T("1411 CUNNINGHAM RD GL 219A")</f>
        <v>1411 CUNNINGHAM RD GL 219A</v>
      </c>
      <c r="H2863" t="str">
        <f>T("NAVAL POSTGRADUATE SCHOOL")</f>
        <v>NAVAL POSTGRADUATE SCHOOL</v>
      </c>
      <c r="I2863" t="str">
        <f t="shared" si="1159"/>
        <v>MONTEREY</v>
      </c>
      <c r="J2863" t="str">
        <f t="shared" si="1160"/>
        <v>CA</v>
      </c>
      <c r="K2863" t="str">
        <f t="shared" si="1167"/>
        <v>000000000000000000</v>
      </c>
      <c r="L2863" t="str">
        <f>T("8316561111")</f>
        <v>8316561111</v>
      </c>
    </row>
    <row r="2864" spans="1:12" x14ac:dyDescent="0.35">
      <c r="A2864" t="str">
        <f t="shared" si="1156"/>
        <v>NPS</v>
      </c>
      <c r="B2864" t="str">
        <f>T("1411 CUNNINGHAM RD GL-230")</f>
        <v>1411 CUNNINGHAM RD GL-230</v>
      </c>
      <c r="C2864" t="str">
        <f>T("NAVAL POST GRADUATE SCHOOL")</f>
        <v>NAVAL POST GRADUATE SCHOOL</v>
      </c>
      <c r="D2864" t="str">
        <f t="shared" si="1157"/>
        <v>MONTEREY</v>
      </c>
      <c r="E2864" t="str">
        <f t="shared" si="1158"/>
        <v>CA</v>
      </c>
      <c r="F2864" t="str">
        <f>T("939435285")</f>
        <v>939435285</v>
      </c>
      <c r="G2864" t="str">
        <f>T("1411 CUNNINGHAM RD GL-230")</f>
        <v>1411 CUNNINGHAM RD GL-230</v>
      </c>
      <c r="H2864" t="str">
        <f>T("NAVAL POST GRADUATE SCHOOL")</f>
        <v>NAVAL POST GRADUATE SCHOOL</v>
      </c>
      <c r="I2864" t="str">
        <f t="shared" si="1159"/>
        <v>MONTEREY</v>
      </c>
      <c r="J2864" t="str">
        <f t="shared" si="1160"/>
        <v>CA</v>
      </c>
      <c r="K2864" t="str">
        <f>T("")</f>
        <v/>
      </c>
      <c r="L2864" t="str">
        <f>T("8316567524")</f>
        <v>8316567524</v>
      </c>
    </row>
    <row r="2865" spans="1:12" x14ac:dyDescent="0.35">
      <c r="A2865" t="str">
        <f t="shared" si="1156"/>
        <v>NPS</v>
      </c>
      <c r="B2865" t="str">
        <f>T("411 DYER RD")</f>
        <v>411 DYER RD</v>
      </c>
      <c r="C2865" t="str">
        <f>T("RM 102")</f>
        <v>RM 102</v>
      </c>
      <c r="D2865" t="str">
        <f t="shared" si="1157"/>
        <v>MONTEREY</v>
      </c>
      <c r="E2865" t="str">
        <f t="shared" si="1158"/>
        <v>CA</v>
      </c>
      <c r="F2865" t="str">
        <f>T("939435198")</f>
        <v>939435198</v>
      </c>
      <c r="G2865" t="str">
        <f>T("411 DYER RD")</f>
        <v>411 DYER RD</v>
      </c>
      <c r="H2865" t="str">
        <f>T("RM 102")</f>
        <v>RM 102</v>
      </c>
      <c r="I2865" t="str">
        <f t="shared" si="1159"/>
        <v>MONTEREY</v>
      </c>
      <c r="J2865" t="str">
        <f t="shared" si="1160"/>
        <v>CA</v>
      </c>
      <c r="K2865" t="str">
        <f>T("000000000000000000")</f>
        <v>000000000000000000</v>
      </c>
      <c r="L2865" t="str">
        <f>T("8316563950")</f>
        <v>8316563950</v>
      </c>
    </row>
    <row r="2866" spans="1:12" x14ac:dyDescent="0.35">
      <c r="A2866" t="str">
        <f t="shared" si="1156"/>
        <v>NPS</v>
      </c>
      <c r="B2866" t="str">
        <f>T("411 DYER RD")</f>
        <v>411 DYER RD</v>
      </c>
      <c r="C2866" t="str">
        <f>T("RM 102")</f>
        <v>RM 102</v>
      </c>
      <c r="D2866" t="str">
        <f t="shared" si="1157"/>
        <v>MONTEREY</v>
      </c>
      <c r="E2866" t="str">
        <f t="shared" si="1158"/>
        <v>CA</v>
      </c>
      <c r="F2866" t="str">
        <f>T("939435198")</f>
        <v>939435198</v>
      </c>
      <c r="G2866" t="str">
        <f>T("411 DYER RD BLDG 339 RM 120")</f>
        <v>411 DYER RD BLDG 339 RM 120</v>
      </c>
      <c r="H2866" t="str">
        <f>T("NAVAL POSTGRADUATE SCHOOL")</f>
        <v>NAVAL POSTGRADUATE SCHOOL</v>
      </c>
      <c r="I2866" t="str">
        <f t="shared" si="1159"/>
        <v>MONTEREY</v>
      </c>
      <c r="J2866" t="str">
        <f t="shared" si="1160"/>
        <v>CA</v>
      </c>
      <c r="K2866" t="str">
        <f>T("000000000000000000")</f>
        <v>000000000000000000</v>
      </c>
      <c r="L2866" t="str">
        <f>T("8316567983")</f>
        <v>8316567983</v>
      </c>
    </row>
    <row r="2867" spans="1:12" x14ac:dyDescent="0.35">
      <c r="A2867" t="str">
        <f t="shared" si="1156"/>
        <v>NPS</v>
      </c>
      <c r="B2867" t="str">
        <f>T("411 DYER RD CODE 130 RM 125")</f>
        <v>411 DYER RD CODE 130 RM 125</v>
      </c>
      <c r="C2867" t="str">
        <f>T("NAVAL POST GRADUATE SCHOOL")</f>
        <v>NAVAL POST GRADUATE SCHOOL</v>
      </c>
      <c r="D2867" t="str">
        <f t="shared" si="1157"/>
        <v>MONTEREY</v>
      </c>
      <c r="E2867" t="str">
        <f t="shared" si="1158"/>
        <v>CA</v>
      </c>
      <c r="F2867" t="str">
        <f>T("939435198")</f>
        <v>939435198</v>
      </c>
      <c r="G2867" t="str">
        <f>T("411 DYER RD CODE 130 RM 125")</f>
        <v>411 DYER RD CODE 130 RM 125</v>
      </c>
      <c r="H2867" t="str">
        <f>T("NAVAL POST GRADUATE SCHOOL")</f>
        <v>NAVAL POST GRADUATE SCHOOL</v>
      </c>
      <c r="I2867" t="str">
        <f t="shared" si="1159"/>
        <v>MONTEREY</v>
      </c>
      <c r="J2867" t="str">
        <f t="shared" si="1160"/>
        <v>CA</v>
      </c>
      <c r="K2867" t="str">
        <f>T("000000000000000000")</f>
        <v>000000000000000000</v>
      </c>
      <c r="L2867" t="str">
        <f>T("8316562975")</f>
        <v>8316562975</v>
      </c>
    </row>
    <row r="2868" spans="1:12" x14ac:dyDescent="0.35">
      <c r="A2868" t="str">
        <f t="shared" si="1156"/>
        <v>NPS</v>
      </c>
      <c r="B2868" t="str">
        <f>T("411 DYER RD CODE 130 RM 125")</f>
        <v>411 DYER RD CODE 130 RM 125</v>
      </c>
      <c r="C2868" t="str">
        <f>T("NAVAL POST GRADUATE SCHOOL")</f>
        <v>NAVAL POST GRADUATE SCHOOL</v>
      </c>
      <c r="D2868" t="str">
        <f t="shared" si="1157"/>
        <v>MONTEREY</v>
      </c>
      <c r="E2868" t="str">
        <f t="shared" si="1158"/>
        <v>CA</v>
      </c>
      <c r="F2868" t="str">
        <f>T("939435198")</f>
        <v>939435198</v>
      </c>
      <c r="G2868" t="str">
        <f>T("411 DYER ROAD")</f>
        <v>411 DYER ROAD</v>
      </c>
      <c r="H2868" t="str">
        <f>T("")</f>
        <v/>
      </c>
      <c r="I2868" t="str">
        <f t="shared" si="1159"/>
        <v>MONTEREY</v>
      </c>
      <c r="J2868" t="str">
        <f t="shared" si="1160"/>
        <v>CA</v>
      </c>
      <c r="K2868" t="str">
        <f>T("000000000000000000")</f>
        <v>000000000000000000</v>
      </c>
      <c r="L2868" t="str">
        <f>T("8316562384")</f>
        <v>8316562384</v>
      </c>
    </row>
    <row r="2869" spans="1:12" x14ac:dyDescent="0.35">
      <c r="A2869" t="str">
        <f t="shared" si="1156"/>
        <v>NPS</v>
      </c>
      <c r="B2869" t="str">
        <f>T("555 DYER RD BLDG 300 RM 346")</f>
        <v>555 DYER RD BLDG 300 RM 346</v>
      </c>
      <c r="C2869" t="str">
        <f>T("")</f>
        <v/>
      </c>
      <c r="D2869" t="str">
        <f t="shared" si="1157"/>
        <v>MONTEREY</v>
      </c>
      <c r="E2869" t="str">
        <f t="shared" si="1158"/>
        <v>CA</v>
      </c>
      <c r="F2869" t="str">
        <f>T("939435197")</f>
        <v>939435197</v>
      </c>
      <c r="G2869" t="str">
        <f>T("555 DYER RD BLDG 300 RM 346")</f>
        <v>555 DYER RD BLDG 300 RM 346</v>
      </c>
      <c r="H2869" t="str">
        <f>T("")</f>
        <v/>
      </c>
      <c r="I2869" t="str">
        <f t="shared" si="1159"/>
        <v>MONTEREY</v>
      </c>
      <c r="J2869" t="str">
        <f t="shared" si="1160"/>
        <v>CA</v>
      </c>
      <c r="K2869" t="str">
        <f>T("8316562580")</f>
        <v>8316562580</v>
      </c>
      <c r="L2869" t="str">
        <f>T("8316563334")</f>
        <v>8316563334</v>
      </c>
    </row>
    <row r="2870" spans="1:12" x14ac:dyDescent="0.35">
      <c r="A2870" t="str">
        <f t="shared" si="1156"/>
        <v>NPS</v>
      </c>
      <c r="B2870" t="str">
        <f>T("555 DYER ROAD")</f>
        <v>555 DYER ROAD</v>
      </c>
      <c r="C2870" t="str">
        <f>T("IN-116")</f>
        <v>IN-116</v>
      </c>
      <c r="D2870" t="str">
        <f t="shared" si="1157"/>
        <v>MONTEREY</v>
      </c>
      <c r="E2870" t="str">
        <f t="shared" si="1158"/>
        <v>CA</v>
      </c>
      <c r="F2870" t="str">
        <f>T("939435155")</f>
        <v>939435155</v>
      </c>
      <c r="G2870" t="str">
        <f>T("555 DYER RD")</f>
        <v>555 DYER RD</v>
      </c>
      <c r="H2870" t="str">
        <f>T("NAVAL POSTGRADUATE SCHOOL")</f>
        <v>NAVAL POSTGRADUATE SCHOOL</v>
      </c>
      <c r="I2870" t="str">
        <f t="shared" si="1159"/>
        <v>MONTEREY</v>
      </c>
      <c r="J2870" t="str">
        <f t="shared" si="1160"/>
        <v>CA</v>
      </c>
      <c r="K2870" t="str">
        <f>T("8316562611")</f>
        <v>8316562611</v>
      </c>
      <c r="L2870" t="str">
        <f>T("8316563333")</f>
        <v>8316563333</v>
      </c>
    </row>
    <row r="2871" spans="1:12" x14ac:dyDescent="0.35">
      <c r="A2871" t="str">
        <f t="shared" si="1156"/>
        <v>NPS</v>
      </c>
      <c r="B2871" t="str">
        <f>T("555 DYER ROAD")</f>
        <v>555 DYER ROAD</v>
      </c>
      <c r="C2871" t="str">
        <f>T("IN-116")</f>
        <v>IN-116</v>
      </c>
      <c r="D2871" t="str">
        <f t="shared" si="1157"/>
        <v>MONTEREY</v>
      </c>
      <c r="E2871" t="str">
        <f t="shared" si="1158"/>
        <v>CA</v>
      </c>
      <c r="F2871" t="str">
        <f>T("939435155")</f>
        <v>939435155</v>
      </c>
      <c r="G2871" t="str">
        <f>T("555 DYER RD RM 163A")</f>
        <v>555 DYER RD RM 163A</v>
      </c>
      <c r="H2871" t="str">
        <f>T("NAVAL POSTGRADUATE SCHOOL")</f>
        <v>NAVAL POSTGRADUATE SCHOOL</v>
      </c>
      <c r="I2871" t="str">
        <f t="shared" si="1159"/>
        <v>MONTEREY</v>
      </c>
      <c r="J2871" t="str">
        <f t="shared" si="1160"/>
        <v>CA</v>
      </c>
      <c r="K2871" t="str">
        <f>T("000000000000000000")</f>
        <v>000000000000000000</v>
      </c>
      <c r="L2871" t="str">
        <f>T("8316562586")</f>
        <v>8316562586</v>
      </c>
    </row>
    <row r="2872" spans="1:12" x14ac:dyDescent="0.35">
      <c r="A2872" t="str">
        <f t="shared" si="1156"/>
        <v>NPS</v>
      </c>
      <c r="B2872" t="str">
        <f>T("555 DYER ROAD")</f>
        <v>555 DYER ROAD</v>
      </c>
      <c r="C2872" t="str">
        <f>T("IN-116")</f>
        <v>IN-116</v>
      </c>
      <c r="D2872" t="str">
        <f t="shared" si="1157"/>
        <v>MONTEREY</v>
      </c>
      <c r="E2872" t="str">
        <f t="shared" si="1158"/>
        <v>CA</v>
      </c>
      <c r="F2872" t="str">
        <f>T("939435155")</f>
        <v>939435155</v>
      </c>
      <c r="G2872" t="str">
        <f>T("555 DYER ROAD")</f>
        <v>555 DYER ROAD</v>
      </c>
      <c r="H2872" t="str">
        <f>T("IN-116")</f>
        <v>IN-116</v>
      </c>
      <c r="I2872" t="str">
        <f t="shared" si="1159"/>
        <v>MONTEREY</v>
      </c>
      <c r="J2872" t="str">
        <f t="shared" si="1160"/>
        <v>CA</v>
      </c>
      <c r="K2872" t="str">
        <f>T("")</f>
        <v/>
      </c>
      <c r="L2872" t="str">
        <f>T("8316562479")</f>
        <v>8316562479</v>
      </c>
    </row>
    <row r="2873" spans="1:12" x14ac:dyDescent="0.35">
      <c r="A2873" t="str">
        <f t="shared" si="1156"/>
        <v>NPS</v>
      </c>
      <c r="B2873" t="str">
        <f>T("555 DYER ROAD INGERSOLL 235")</f>
        <v>555 DYER ROAD INGERSOLL 235</v>
      </c>
      <c r="C2873" t="str">
        <f>T("NAVAL POST GRADUATE SCHOOL")</f>
        <v>NAVAL POST GRADUATE SCHOOL</v>
      </c>
      <c r="D2873" t="str">
        <f t="shared" si="1157"/>
        <v>MONTEREY</v>
      </c>
      <c r="E2873" t="str">
        <f t="shared" si="1158"/>
        <v>CA</v>
      </c>
      <c r="F2873" t="str">
        <f>T("939435155")</f>
        <v>939435155</v>
      </c>
      <c r="G2873" t="str">
        <f>T("555 DYER RD RM 231")</f>
        <v>555 DYER RD RM 231</v>
      </c>
      <c r="H2873" t="str">
        <f>T("NAVAL POSTGRADUATE SCHOOL")</f>
        <v>NAVAL POSTGRADUATE SCHOOL</v>
      </c>
      <c r="I2873" t="str">
        <f t="shared" si="1159"/>
        <v>MONTEREY</v>
      </c>
      <c r="J2873" t="str">
        <f t="shared" si="1160"/>
        <v>CA</v>
      </c>
      <c r="K2873" t="str">
        <f>T("8316567633")</f>
        <v>8316567633</v>
      </c>
      <c r="L2873" t="str">
        <f>T("8316567792")</f>
        <v>8316567792</v>
      </c>
    </row>
    <row r="2874" spans="1:12" x14ac:dyDescent="0.35">
      <c r="A2874" t="str">
        <f t="shared" si="1156"/>
        <v>NPS</v>
      </c>
      <c r="B2874" t="str">
        <f>T("555 DYER ROAD INGERSOLL 235")</f>
        <v>555 DYER ROAD INGERSOLL 235</v>
      </c>
      <c r="C2874" t="str">
        <f>T("NAVAL POST GRADUATE SCHOOL")</f>
        <v>NAVAL POST GRADUATE SCHOOL</v>
      </c>
      <c r="D2874" t="str">
        <f t="shared" si="1157"/>
        <v>MONTEREY</v>
      </c>
      <c r="E2874" t="str">
        <f t="shared" si="1158"/>
        <v>CA</v>
      </c>
      <c r="F2874" t="str">
        <f>T("939435155")</f>
        <v>939435155</v>
      </c>
      <c r="G2874" t="str">
        <f>T("555 DYER ROAD INGERSOLL 235")</f>
        <v>555 DYER ROAD INGERSOLL 235</v>
      </c>
      <c r="H2874" t="str">
        <f>T("NAVAL POST GRADUATE SCHOOL")</f>
        <v>NAVAL POST GRADUATE SCHOOL</v>
      </c>
      <c r="I2874" t="str">
        <f t="shared" si="1159"/>
        <v>MONTEREY</v>
      </c>
      <c r="J2874" t="str">
        <f t="shared" si="1160"/>
        <v>CA</v>
      </c>
      <c r="K2874" t="str">
        <f>T("8316567633")</f>
        <v>8316567633</v>
      </c>
      <c r="L2874" t="str">
        <f>T("8316562360")</f>
        <v>8316562360</v>
      </c>
    </row>
    <row r="2875" spans="1:12" x14ac:dyDescent="0.35">
      <c r="A2875" t="str">
        <f t="shared" si="1156"/>
        <v>NPS</v>
      </c>
      <c r="B2875" t="str">
        <f>T("699 DYER ROAD RM 101B")</f>
        <v>699 DYER ROAD RM 101B</v>
      </c>
      <c r="C2875" t="str">
        <f>T("")</f>
        <v/>
      </c>
      <c r="D2875" t="str">
        <f t="shared" si="1157"/>
        <v>MONTEREY</v>
      </c>
      <c r="E2875" t="str">
        <f t="shared" si="1158"/>
        <v>CA</v>
      </c>
      <c r="F2875" t="str">
        <f>T("939435195")</f>
        <v>939435195</v>
      </c>
      <c r="G2875" t="str">
        <f>T("699 DYER RD BLDG 234 RM 101B")</f>
        <v>699 DYER RD BLDG 234 RM 101B</v>
      </c>
      <c r="H2875" t="str">
        <f>T("")</f>
        <v/>
      </c>
      <c r="I2875" t="str">
        <f t="shared" si="1159"/>
        <v>MONTEREY</v>
      </c>
      <c r="J2875" t="str">
        <f t="shared" si="1160"/>
        <v>CA</v>
      </c>
      <c r="K2875" t="str">
        <f>T("8316563461")</f>
        <v>8316563461</v>
      </c>
      <c r="L2875" t="str">
        <f>T("8316562104")</f>
        <v>8316562104</v>
      </c>
    </row>
    <row r="2876" spans="1:12" x14ac:dyDescent="0.35">
      <c r="A2876" t="str">
        <f t="shared" si="1156"/>
        <v>NPS</v>
      </c>
      <c r="B2876" t="str">
        <f>T("699 DYER ROAD RM 101B")</f>
        <v>699 DYER ROAD RM 101B</v>
      </c>
      <c r="C2876" t="str">
        <f>T("")</f>
        <v/>
      </c>
      <c r="D2876" t="str">
        <f t="shared" si="1157"/>
        <v>MONTEREY</v>
      </c>
      <c r="E2876" t="str">
        <f t="shared" si="1158"/>
        <v>CA</v>
      </c>
      <c r="F2876" t="str">
        <f>T("939435195")</f>
        <v>939435195</v>
      </c>
      <c r="G2876" t="str">
        <f>T("699 DYER ROAD RM 101B")</f>
        <v>699 DYER ROAD RM 101B</v>
      </c>
      <c r="H2876" t="str">
        <f>T("")</f>
        <v/>
      </c>
      <c r="I2876" t="str">
        <f t="shared" si="1159"/>
        <v>MONTEREY</v>
      </c>
      <c r="J2876" t="str">
        <f t="shared" si="1160"/>
        <v>CA</v>
      </c>
      <c r="K2876" t="str">
        <f>T("8316563461")</f>
        <v>8316563461</v>
      </c>
      <c r="L2876" t="str">
        <f>T("8316562996")</f>
        <v>8316562996</v>
      </c>
    </row>
    <row r="2877" spans="1:12" x14ac:dyDescent="0.35">
      <c r="A2877" t="str">
        <f t="shared" si="1156"/>
        <v>NPS</v>
      </c>
      <c r="B2877" t="str">
        <f>T("700 DYER RD RM 172")</f>
        <v>700 DYER RD RM 172</v>
      </c>
      <c r="C2877" t="str">
        <f>T("")</f>
        <v/>
      </c>
      <c r="D2877" t="str">
        <f t="shared" si="1157"/>
        <v>MONTEREY</v>
      </c>
      <c r="E2877" t="str">
        <f t="shared" si="1158"/>
        <v>CA</v>
      </c>
      <c r="F2877" t="str">
        <f>T("939435145")</f>
        <v>939435145</v>
      </c>
      <c r="G2877" t="str">
        <f>T("700 DYER RD RM 172")</f>
        <v>700 DYER RD RM 172</v>
      </c>
      <c r="H2877" t="str">
        <f>T("")</f>
        <v/>
      </c>
      <c r="I2877" t="str">
        <f t="shared" si="1159"/>
        <v>MONTEREY</v>
      </c>
      <c r="J2877" t="str">
        <f t="shared" si="1160"/>
        <v>CA</v>
      </c>
      <c r="K2877" t="str">
        <f>T("")</f>
        <v/>
      </c>
      <c r="L2877" t="str">
        <f>T("8316566271")</f>
        <v>8316566271</v>
      </c>
    </row>
    <row r="2878" spans="1:12" x14ac:dyDescent="0.35">
      <c r="A2878" t="str">
        <f t="shared" si="1156"/>
        <v>NPS</v>
      </c>
      <c r="B2878" t="str">
        <f>T("833 DYER RD BLDG 232 RM 537")</f>
        <v>833 DYER RD BLDG 232 RM 537</v>
      </c>
      <c r="C2878" t="str">
        <f>T("NAVAL POST GRADUATE SCHOOL")</f>
        <v>NAVAL POST GRADUATE SCHOOL</v>
      </c>
      <c r="D2878" t="str">
        <f t="shared" si="1157"/>
        <v>MONTEREY</v>
      </c>
      <c r="E2878" t="str">
        <f t="shared" si="1158"/>
        <v>CA</v>
      </c>
      <c r="F2878" t="str">
        <f>T("939435193")</f>
        <v>939435193</v>
      </c>
      <c r="G2878" t="str">
        <f>T("777 DYER ROAD 114 BULLARD")</f>
        <v>777 DYER ROAD 114 BULLARD</v>
      </c>
      <c r="H2878" t="str">
        <f>T("NAVAL POSTGRADUATE SCHOOL")</f>
        <v>NAVAL POSTGRADUATE SCHOOL</v>
      </c>
      <c r="I2878" t="str">
        <f t="shared" si="1159"/>
        <v>MONTEREY</v>
      </c>
      <c r="J2878" t="str">
        <f t="shared" si="1160"/>
        <v>CA</v>
      </c>
      <c r="K2878" t="str">
        <f>T("000000000000000000")</f>
        <v>000000000000000000</v>
      </c>
      <c r="L2878" t="str">
        <f>T("8316567739")</f>
        <v>8316567739</v>
      </c>
    </row>
    <row r="2879" spans="1:12" x14ac:dyDescent="0.35">
      <c r="A2879" t="str">
        <f t="shared" si="1156"/>
        <v>NPS</v>
      </c>
      <c r="B2879" t="str">
        <f>T("833 DYER RD BLDG 232 RM 537")</f>
        <v>833 DYER RD BLDG 232 RM 537</v>
      </c>
      <c r="C2879" t="str">
        <f>T("NAVAL POST GRADUATE SCHOOL")</f>
        <v>NAVAL POST GRADUATE SCHOOL</v>
      </c>
      <c r="D2879" t="str">
        <f t="shared" si="1157"/>
        <v>MONTEREY</v>
      </c>
      <c r="E2879" t="str">
        <f t="shared" si="1158"/>
        <v>CA</v>
      </c>
      <c r="F2879" t="str">
        <f>T("939435193")</f>
        <v>939435193</v>
      </c>
      <c r="G2879" t="str">
        <f>T("833 DYER RD BLDG 232 RM 537")</f>
        <v>833 DYER RD BLDG 232 RM 537</v>
      </c>
      <c r="H2879" t="str">
        <f>T("NAVAL POST GRADUATE SCHOOL")</f>
        <v>NAVAL POST GRADUATE SCHOOL</v>
      </c>
      <c r="I2879" t="str">
        <f t="shared" si="1159"/>
        <v>MONTEREY</v>
      </c>
      <c r="J2879" t="str">
        <f t="shared" si="1160"/>
        <v>CA</v>
      </c>
      <c r="K2879" t="str">
        <f>T("")</f>
        <v/>
      </c>
      <c r="L2879" t="str">
        <f>T("8316567648")</f>
        <v>8316567648</v>
      </c>
    </row>
    <row r="2880" spans="1:12" x14ac:dyDescent="0.35">
      <c r="A2880" t="str">
        <f t="shared" si="1156"/>
        <v>NPS</v>
      </c>
      <c r="B2880" t="str">
        <f>T("833 DYER RD BLDG 232 RM 537")</f>
        <v>833 DYER RD BLDG 232 RM 537</v>
      </c>
      <c r="C2880" t="str">
        <f>T("NAVAL POST GRADUATE SCHOOL")</f>
        <v>NAVAL POST GRADUATE SCHOOL</v>
      </c>
      <c r="D2880" t="str">
        <f t="shared" si="1157"/>
        <v>MONTEREY</v>
      </c>
      <c r="E2880" t="str">
        <f t="shared" si="1158"/>
        <v>CA</v>
      </c>
      <c r="F2880" t="str">
        <f>T("939435193")</f>
        <v>939435193</v>
      </c>
      <c r="G2880" t="str">
        <f>T("833 DYER RD BLDG 233 RM 330")</f>
        <v>833 DYER RD BLDG 233 RM 330</v>
      </c>
      <c r="H2880" t="str">
        <f>T("NAVAL POSTGRADUATE SCHOOL")</f>
        <v>NAVAL POSTGRADUATE SCHOOL</v>
      </c>
      <c r="I2880" t="str">
        <f t="shared" si="1159"/>
        <v>MONTEREY</v>
      </c>
      <c r="J2880" t="str">
        <f t="shared" si="1160"/>
        <v>CA</v>
      </c>
      <c r="K2880" t="str">
        <f>T("000000000000000000")</f>
        <v>000000000000000000</v>
      </c>
      <c r="L2880" t="str">
        <f>T("8316563269")</f>
        <v>8316563269</v>
      </c>
    </row>
    <row r="2881" spans="1:12" x14ac:dyDescent="0.35">
      <c r="A2881" t="str">
        <f t="shared" si="1156"/>
        <v>NPS</v>
      </c>
      <c r="B2881" t="str">
        <f>T("833 DYER RD BLDG 232 RM 537")</f>
        <v>833 DYER RD BLDG 232 RM 537</v>
      </c>
      <c r="C2881" t="str">
        <f>T("NAVAL POSTGRADUATE SCHOOL")</f>
        <v>NAVAL POSTGRADUATE SCHOOL</v>
      </c>
      <c r="D2881" t="str">
        <f t="shared" si="1157"/>
        <v>MONTEREY</v>
      </c>
      <c r="E2881" t="str">
        <f t="shared" si="1158"/>
        <v>CA</v>
      </c>
      <c r="F2881" t="str">
        <f>T("939435193")</f>
        <v>939435193</v>
      </c>
      <c r="G2881" t="str">
        <f>T("700 DYER RD BLDG246 RM265")</f>
        <v>700 DYER RD BLDG246 RM265</v>
      </c>
      <c r="H2881" t="str">
        <f>T("")</f>
        <v/>
      </c>
      <c r="I2881" t="str">
        <f t="shared" si="1159"/>
        <v>MONTEREY</v>
      </c>
      <c r="J2881" t="str">
        <f t="shared" si="1160"/>
        <v>CA</v>
      </c>
      <c r="K2881" t="str">
        <f>T("000000000000000000")</f>
        <v>000000000000000000</v>
      </c>
      <c r="L2881" t="str">
        <f>T("8316567599")</f>
        <v>8316567599</v>
      </c>
    </row>
    <row r="2882" spans="1:12" x14ac:dyDescent="0.35">
      <c r="A2882" t="str">
        <f t="shared" si="1156"/>
        <v>NPS</v>
      </c>
      <c r="B2882" t="str">
        <f>T("833 DYER RD BLDG 232 RM 537")</f>
        <v>833 DYER RD BLDG 232 RM 537</v>
      </c>
      <c r="C2882" t="str">
        <f>T("NAVAL POSTGRADUATE SCHOOL")</f>
        <v>NAVAL POSTGRADUATE SCHOOL</v>
      </c>
      <c r="D2882" t="str">
        <f t="shared" si="1157"/>
        <v>MONTEREY</v>
      </c>
      <c r="E2882" t="str">
        <f t="shared" si="1158"/>
        <v>CA</v>
      </c>
      <c r="F2882" t="str">
        <f>T("939435193")</f>
        <v>939435193</v>
      </c>
      <c r="G2882" t="str">
        <f>T("833 DYER RD BLDG 232 RM 537")</f>
        <v>833 DYER RD BLDG 232 RM 537</v>
      </c>
      <c r="H2882" t="str">
        <f>T("NAVAL POSTGRADUATE SCHOOL")</f>
        <v>NAVAL POSTGRADUATE SCHOOL</v>
      </c>
      <c r="I2882" t="str">
        <f t="shared" si="1159"/>
        <v>MONTEREY</v>
      </c>
      <c r="J2882" t="str">
        <f t="shared" si="1160"/>
        <v>CA</v>
      </c>
      <c r="K2882" t="str">
        <f>T("")</f>
        <v/>
      </c>
      <c r="L2882" t="str">
        <f>T("8316567648")</f>
        <v>8316567648</v>
      </c>
    </row>
    <row r="2883" spans="1:12" x14ac:dyDescent="0.35">
      <c r="A2883" t="str">
        <f t="shared" si="1156"/>
        <v>NPS</v>
      </c>
      <c r="B2883" t="str">
        <f>T("I UNIVERSITY CIR HE 310")</f>
        <v>I UNIVERSITY CIR HE 310</v>
      </c>
      <c r="C2883" t="str">
        <f>T("")</f>
        <v/>
      </c>
      <c r="D2883" t="str">
        <f t="shared" si="1157"/>
        <v>MONTEREY</v>
      </c>
      <c r="E2883" t="str">
        <f t="shared" si="1158"/>
        <v>CA</v>
      </c>
      <c r="F2883" t="str">
        <f>T("939430000")</f>
        <v>939430000</v>
      </c>
      <c r="G2883" t="str">
        <f>T("1 UNIVERSITY CIRCLE HEW-416")</f>
        <v>1 UNIVERSITY CIRCLE HEW-416</v>
      </c>
      <c r="H2883" t="str">
        <f>T("NAVAL POSTGRADUATE SCHOOL")</f>
        <v>NAVAL POSTGRADUATE SCHOOL</v>
      </c>
      <c r="I2883" t="str">
        <f t="shared" si="1159"/>
        <v>MONTEREY</v>
      </c>
      <c r="J2883" t="str">
        <f t="shared" si="1160"/>
        <v>CA</v>
      </c>
      <c r="K2883" t="str">
        <f>T("000000000000000000")</f>
        <v>000000000000000000</v>
      </c>
      <c r="L2883" t="str">
        <f>T("8316563781")</f>
        <v>8316563781</v>
      </c>
    </row>
    <row r="2884" spans="1:12" x14ac:dyDescent="0.35">
      <c r="A2884" t="str">
        <f t="shared" si="1156"/>
        <v>NPS</v>
      </c>
      <c r="B2884" t="str">
        <f>T("I UNIVERSITY CIR HE 310")</f>
        <v>I UNIVERSITY CIR HE 310</v>
      </c>
      <c r="C2884" t="str">
        <f>T("")</f>
        <v/>
      </c>
      <c r="D2884" t="str">
        <f t="shared" si="1157"/>
        <v>MONTEREY</v>
      </c>
      <c r="E2884" t="str">
        <f t="shared" si="1158"/>
        <v>CA</v>
      </c>
      <c r="F2884" t="str">
        <f>T("939430000")</f>
        <v>939430000</v>
      </c>
      <c r="G2884" t="str">
        <f>T("1411 CUNNINGHAM RD BLDG 302 RM 320")</f>
        <v>1411 CUNNINGHAM RD BLDG 302 RM 320</v>
      </c>
      <c r="H2884" t="str">
        <f>T("")</f>
        <v/>
      </c>
      <c r="I2884" t="str">
        <f t="shared" si="1159"/>
        <v>MONTEREY</v>
      </c>
      <c r="J2884" t="str">
        <f t="shared" si="1160"/>
        <v>CA</v>
      </c>
      <c r="K2884" t="str">
        <f>T("000000000000000000")</f>
        <v>000000000000000000</v>
      </c>
      <c r="L2884" t="str">
        <f>T("8316562632")</f>
        <v>8316562632</v>
      </c>
    </row>
    <row r="2885" spans="1:12" x14ac:dyDescent="0.35">
      <c r="A2885" t="str">
        <f t="shared" si="1156"/>
        <v>NPS</v>
      </c>
      <c r="B2885" t="str">
        <f>T("I UNIVERSITY CIR HE 310")</f>
        <v>I UNIVERSITY CIR HE 310</v>
      </c>
      <c r="C2885" t="str">
        <f>T("")</f>
        <v/>
      </c>
      <c r="D2885" t="str">
        <f t="shared" si="1157"/>
        <v>MONTEREY</v>
      </c>
      <c r="E2885" t="str">
        <f t="shared" si="1158"/>
        <v>CA</v>
      </c>
      <c r="F2885" t="str">
        <f>T("939430000")</f>
        <v>939430000</v>
      </c>
      <c r="G2885" t="str">
        <f>T("833 DYER RD BLDG 232 RM 031")</f>
        <v>833 DYER RD BLDG 232 RM 031</v>
      </c>
      <c r="H2885" t="str">
        <f>T("NAVAL POSTGRADUATE SCHOOL")</f>
        <v>NAVAL POSTGRADUATE SCHOOL</v>
      </c>
      <c r="I2885" t="str">
        <f t="shared" si="1159"/>
        <v>MONTEREY</v>
      </c>
      <c r="J2885" t="str">
        <f t="shared" si="1160"/>
        <v>CA</v>
      </c>
      <c r="K2885" t="str">
        <f>T("000000000000000000")</f>
        <v>000000000000000000</v>
      </c>
      <c r="L2885" t="str">
        <f>T("8313925738")</f>
        <v>8313925738</v>
      </c>
    </row>
    <row r="2886" spans="1:12" x14ac:dyDescent="0.35">
      <c r="A2886" t="str">
        <f t="shared" si="1156"/>
        <v>NPS</v>
      </c>
      <c r="B2886" t="str">
        <f>T("I UNIVERSITY CIR HE 310")</f>
        <v>I UNIVERSITY CIR HE 310</v>
      </c>
      <c r="C2886" t="str">
        <f>T("")</f>
        <v/>
      </c>
      <c r="D2886" t="str">
        <f t="shared" si="1157"/>
        <v>MONTEREY</v>
      </c>
      <c r="E2886" t="str">
        <f t="shared" si="1158"/>
        <v>CA</v>
      </c>
      <c r="F2886" t="str">
        <f>T("939430000")</f>
        <v>939430000</v>
      </c>
      <c r="G2886" t="str">
        <f>T("833 DYER RD BLDG 232 RM 031")</f>
        <v>833 DYER RD BLDG 232 RM 031</v>
      </c>
      <c r="H2886" t="str">
        <f>T("NAVAL POSTGRADUATE SCHOOL")</f>
        <v>NAVAL POSTGRADUATE SCHOOL</v>
      </c>
      <c r="I2886" t="str">
        <f t="shared" si="1159"/>
        <v>MONTEREY</v>
      </c>
      <c r="J2886" t="str">
        <f t="shared" si="1160"/>
        <v>CA</v>
      </c>
      <c r="K2886" t="str">
        <f>T("000000000000000000")</f>
        <v>000000000000000000</v>
      </c>
      <c r="L2886" t="str">
        <f>T("8319154877")</f>
        <v>8319154877</v>
      </c>
    </row>
    <row r="2887" spans="1:12" x14ac:dyDescent="0.35">
      <c r="A2887" t="str">
        <f t="shared" si="1156"/>
        <v>NPS</v>
      </c>
      <c r="B2887" t="str">
        <f>T("I UNIVERSITY CIR HE 310")</f>
        <v>I UNIVERSITY CIR HE 310</v>
      </c>
      <c r="C2887" t="str">
        <f>T("")</f>
        <v/>
      </c>
      <c r="D2887" t="str">
        <f t="shared" si="1157"/>
        <v>MONTEREY</v>
      </c>
      <c r="E2887" t="str">
        <f t="shared" si="1158"/>
        <v>CA</v>
      </c>
      <c r="F2887" t="str">
        <f>T("939430000")</f>
        <v>939430000</v>
      </c>
      <c r="G2887" t="str">
        <f>T("I UNIVERSITY CIR HE 310")</f>
        <v>I UNIVERSITY CIR HE 310</v>
      </c>
      <c r="H2887" t="str">
        <f>T("")</f>
        <v/>
      </c>
      <c r="I2887" t="str">
        <f t="shared" si="1159"/>
        <v>MONTEREY</v>
      </c>
      <c r="J2887" t="str">
        <f t="shared" si="1160"/>
        <v>CA</v>
      </c>
      <c r="K2887" t="str">
        <f>T("8316561018")</f>
        <v>8316561018</v>
      </c>
      <c r="L2887" t="str">
        <f>T("8316563165")</f>
        <v>8316563165</v>
      </c>
    </row>
    <row r="2888" spans="1:12" x14ac:dyDescent="0.35">
      <c r="A2888" t="str">
        <f>T("ZZ DELETE NAV JUSTICE SCHOOL")</f>
        <v>ZZ DELETE NAV JUSTICE SCHOOL</v>
      </c>
      <c r="B2888" t="str">
        <f>T("NAVAL JUSTICE SCHOOL")</f>
        <v>NAVAL JUSTICE SCHOOL</v>
      </c>
      <c r="C2888" t="str">
        <f>T("360 ELLIOT STREET")</f>
        <v>360 ELLIOT STREET</v>
      </c>
      <c r="D2888" t="str">
        <f>T("NEWPORT")</f>
        <v>NEWPORT</v>
      </c>
      <c r="E2888" t="str">
        <f>T("RI")</f>
        <v>RI</v>
      </c>
      <c r="F2888" t="str">
        <f>T("028411523")</f>
        <v>028411523</v>
      </c>
      <c r="G2888" t="str">
        <f>T("NAVAL JUSTICE SCHOOL")</f>
        <v>NAVAL JUSTICE SCHOOL</v>
      </c>
      <c r="H2888" t="str">
        <f>T("360 ELLIOT STREET")</f>
        <v>360 ELLIOT STREET</v>
      </c>
      <c r="I2888" t="str">
        <f>T("NEWPORT")</f>
        <v>NEWPORT</v>
      </c>
      <c r="J2888" t="str">
        <f>T("RI")</f>
        <v>RI</v>
      </c>
      <c r="K2888" t="str">
        <f>T("4018413767")</f>
        <v>4018413767</v>
      </c>
      <c r="L2888" t="str">
        <f>T("4018413800")</f>
        <v>4018413800</v>
      </c>
    </row>
    <row r="2889" spans="1:12" x14ac:dyDescent="0.35">
      <c r="A2889" t="str">
        <f t="shared" ref="A2889:A2910" si="1168">T("NAVY PERSONNEL COMMAND")</f>
        <v>NAVY PERSONNEL COMMAND</v>
      </c>
      <c r="B2889" t="str">
        <f t="shared" ref="B2889:B2910" si="1169">T("5720 INTEGRITY DRIVE")</f>
        <v>5720 INTEGRITY DRIVE</v>
      </c>
      <c r="C2889" t="str">
        <f>T("")</f>
        <v/>
      </c>
      <c r="D2889" t="str">
        <f t="shared" ref="D2889:D2910" si="1170">T("MILLINGTON")</f>
        <v>MILLINGTON</v>
      </c>
      <c r="E2889" t="str">
        <f t="shared" ref="E2889:E2910" si="1171">T("TN")</f>
        <v>TN</v>
      </c>
      <c r="F2889" t="str">
        <f t="shared" ref="F2889:F2910" si="1172">T("380550002")</f>
        <v>380550002</v>
      </c>
      <c r="G2889" t="str">
        <f>T("5720 INTEGRITY DRIVE")</f>
        <v>5720 INTEGRITY DRIVE</v>
      </c>
      <c r="H2889" t="str">
        <f>T("")</f>
        <v/>
      </c>
      <c r="I2889" t="str">
        <f t="shared" ref="I2889:I2910" si="1173">T("MILLINGTON")</f>
        <v>MILLINGTON</v>
      </c>
      <c r="J2889" t="str">
        <f t="shared" ref="J2889:J2910" si="1174">T("TN")</f>
        <v>TN</v>
      </c>
      <c r="K2889" t="str">
        <f>T("9018742265")</f>
        <v>9018742265</v>
      </c>
      <c r="L2889" t="str">
        <f>T("9018744290")</f>
        <v>9018744290</v>
      </c>
    </row>
    <row r="2890" spans="1:12" x14ac:dyDescent="0.35">
      <c r="A2890" t="str">
        <f t="shared" si="1168"/>
        <v>NAVY PERSONNEL COMMAND</v>
      </c>
      <c r="B2890" t="str">
        <f t="shared" si="1169"/>
        <v>5720 INTEGRITY DRIVE</v>
      </c>
      <c r="C2890" t="str">
        <f>T("")</f>
        <v/>
      </c>
      <c r="D2890" t="str">
        <f t="shared" si="1170"/>
        <v>MILLINGTON</v>
      </c>
      <c r="E2890" t="str">
        <f t="shared" si="1171"/>
        <v>TN</v>
      </c>
      <c r="F2890" t="str">
        <f t="shared" si="1172"/>
        <v>380550002</v>
      </c>
      <c r="G2890" t="str">
        <f>T("5720 INTEGRITY DRIVE")</f>
        <v>5720 INTEGRITY DRIVE</v>
      </c>
      <c r="H2890" t="str">
        <f>T("BLDG 457 ROOM 294")</f>
        <v>BLDG 457 ROOM 294</v>
      </c>
      <c r="I2890" t="str">
        <f t="shared" si="1173"/>
        <v>MILLINGTON</v>
      </c>
      <c r="J2890" t="str">
        <f t="shared" si="1174"/>
        <v>TN</v>
      </c>
      <c r="K2890" t="str">
        <f>T("9018742611")</f>
        <v>9018742611</v>
      </c>
      <c r="L2890" t="str">
        <f>T("9018742933")</f>
        <v>9018742933</v>
      </c>
    </row>
    <row r="2891" spans="1:12" x14ac:dyDescent="0.35">
      <c r="A2891" t="str">
        <f t="shared" si="1168"/>
        <v>NAVY PERSONNEL COMMAND</v>
      </c>
      <c r="B2891" t="str">
        <f t="shared" si="1169"/>
        <v>5720 INTEGRITY DRIVE</v>
      </c>
      <c r="C2891" t="str">
        <f>T("")</f>
        <v/>
      </c>
      <c r="D2891" t="str">
        <f t="shared" si="1170"/>
        <v>MILLINGTON</v>
      </c>
      <c r="E2891" t="str">
        <f t="shared" si="1171"/>
        <v>TN</v>
      </c>
      <c r="F2891" t="str">
        <f t="shared" si="1172"/>
        <v>380550002</v>
      </c>
      <c r="G2891" t="str">
        <f>T("5720 INTEGRITY DRIVE")</f>
        <v>5720 INTEGRITY DRIVE</v>
      </c>
      <c r="H2891" t="str">
        <f>T("BLDG 768 ROOM N202")</f>
        <v>BLDG 768 ROOM N202</v>
      </c>
      <c r="I2891" t="str">
        <f t="shared" si="1173"/>
        <v>MILLINGTON</v>
      </c>
      <c r="J2891" t="str">
        <f t="shared" si="1174"/>
        <v>TN</v>
      </c>
      <c r="K2891" t="str">
        <f>T("9018746654")</f>
        <v>9018746654</v>
      </c>
      <c r="L2891" t="str">
        <f>T("9018744530")</f>
        <v>9018744530</v>
      </c>
    </row>
    <row r="2892" spans="1:12" x14ac:dyDescent="0.35">
      <c r="A2892" t="str">
        <f t="shared" si="1168"/>
        <v>NAVY PERSONNEL COMMAND</v>
      </c>
      <c r="B2892" t="str">
        <f t="shared" si="1169"/>
        <v>5720 INTEGRITY DRIVE</v>
      </c>
      <c r="C2892" t="str">
        <f t="shared" ref="C2892:C2901" si="1175">T("BLDG 768 RM N202")</f>
        <v>BLDG 768 RM N202</v>
      </c>
      <c r="D2892" t="str">
        <f t="shared" si="1170"/>
        <v>MILLINGTON</v>
      </c>
      <c r="E2892" t="str">
        <f t="shared" si="1171"/>
        <v>TN</v>
      </c>
      <c r="F2892" t="str">
        <f t="shared" si="1172"/>
        <v>380550002</v>
      </c>
      <c r="G2892" t="str">
        <f>T("5720 INTEGRITY DR")</f>
        <v>5720 INTEGRITY DR</v>
      </c>
      <c r="H2892" t="str">
        <f>T("BLDG 791 RM C101A")</f>
        <v>BLDG 791 RM C101A</v>
      </c>
      <c r="I2892" t="str">
        <f t="shared" si="1173"/>
        <v>MILLINGTON</v>
      </c>
      <c r="J2892" t="str">
        <f t="shared" si="1174"/>
        <v>TN</v>
      </c>
      <c r="K2892" t="str">
        <f>T("9018742004")</f>
        <v>9018742004</v>
      </c>
      <c r="L2892" t="str">
        <f>T("9018743105")</f>
        <v>9018743105</v>
      </c>
    </row>
    <row r="2893" spans="1:12" x14ac:dyDescent="0.35">
      <c r="A2893" t="str">
        <f t="shared" si="1168"/>
        <v>NAVY PERSONNEL COMMAND</v>
      </c>
      <c r="B2893" t="str">
        <f t="shared" si="1169"/>
        <v>5720 INTEGRITY DRIVE</v>
      </c>
      <c r="C2893" t="str">
        <f t="shared" si="1175"/>
        <v>BLDG 768 RM N202</v>
      </c>
      <c r="D2893" t="str">
        <f t="shared" si="1170"/>
        <v>MILLINGTON</v>
      </c>
      <c r="E2893" t="str">
        <f t="shared" si="1171"/>
        <v>TN</v>
      </c>
      <c r="F2893" t="str">
        <f t="shared" si="1172"/>
        <v>380550002</v>
      </c>
      <c r="G2893" t="str">
        <f t="shared" ref="G2893:G2903" si="1176">T("5720 INTEGRITY DRIVE")</f>
        <v>5720 INTEGRITY DRIVE</v>
      </c>
      <c r="H2893" t="str">
        <f>T("BLDG 768 RM N202")</f>
        <v>BLDG 768 RM N202</v>
      </c>
      <c r="I2893" t="str">
        <f t="shared" si="1173"/>
        <v>MILLINGTON</v>
      </c>
      <c r="J2893" t="str">
        <f t="shared" si="1174"/>
        <v>TN</v>
      </c>
      <c r="K2893" t="str">
        <f>T("000000000000000000")</f>
        <v>000000000000000000</v>
      </c>
      <c r="L2893" t="str">
        <f>T("9018744015")</f>
        <v>9018744015</v>
      </c>
    </row>
    <row r="2894" spans="1:12" x14ac:dyDescent="0.35">
      <c r="A2894" t="str">
        <f t="shared" si="1168"/>
        <v>NAVY PERSONNEL COMMAND</v>
      </c>
      <c r="B2894" t="str">
        <f t="shared" si="1169"/>
        <v>5720 INTEGRITY DRIVE</v>
      </c>
      <c r="C2894" t="str">
        <f t="shared" si="1175"/>
        <v>BLDG 768 RM N202</v>
      </c>
      <c r="D2894" t="str">
        <f t="shared" si="1170"/>
        <v>MILLINGTON</v>
      </c>
      <c r="E2894" t="str">
        <f t="shared" si="1171"/>
        <v>TN</v>
      </c>
      <c r="F2894" t="str">
        <f t="shared" si="1172"/>
        <v>380550002</v>
      </c>
      <c r="G2894" t="str">
        <f t="shared" si="1176"/>
        <v>5720 INTEGRITY DRIVE</v>
      </c>
      <c r="H2894" t="str">
        <f>T("BLDG 768 RM N202")</f>
        <v>BLDG 768 RM N202</v>
      </c>
      <c r="I2894" t="str">
        <f t="shared" si="1173"/>
        <v>MILLINGTON</v>
      </c>
      <c r="J2894" t="str">
        <f t="shared" si="1174"/>
        <v>TN</v>
      </c>
      <c r="K2894" t="str">
        <f>T("901-874-2702")</f>
        <v>901-874-2702</v>
      </c>
      <c r="L2894" t="str">
        <f>T("9078743263")</f>
        <v>9078743263</v>
      </c>
    </row>
    <row r="2895" spans="1:12" x14ac:dyDescent="0.35">
      <c r="A2895" t="str">
        <f t="shared" si="1168"/>
        <v>NAVY PERSONNEL COMMAND</v>
      </c>
      <c r="B2895" t="str">
        <f t="shared" si="1169"/>
        <v>5720 INTEGRITY DRIVE</v>
      </c>
      <c r="C2895" t="str">
        <f t="shared" si="1175"/>
        <v>BLDG 768 RM N202</v>
      </c>
      <c r="D2895" t="str">
        <f t="shared" si="1170"/>
        <v>MILLINGTON</v>
      </c>
      <c r="E2895" t="str">
        <f t="shared" si="1171"/>
        <v>TN</v>
      </c>
      <c r="F2895" t="str">
        <f t="shared" si="1172"/>
        <v>380550002</v>
      </c>
      <c r="G2895" t="str">
        <f t="shared" si="1176"/>
        <v>5720 INTEGRITY DRIVE</v>
      </c>
      <c r="H2895" t="str">
        <f>T("BLDG 768 RM N202")</f>
        <v>BLDG 768 RM N202</v>
      </c>
      <c r="I2895" t="str">
        <f t="shared" si="1173"/>
        <v>MILLINGTON</v>
      </c>
      <c r="J2895" t="str">
        <f t="shared" si="1174"/>
        <v>TN</v>
      </c>
      <c r="K2895" t="str">
        <f t="shared" ref="K2895:K2901" si="1177">T("9018742702")</f>
        <v>9018742702</v>
      </c>
      <c r="L2895" t="str">
        <f>T("9018744005")</f>
        <v>9018744005</v>
      </c>
    </row>
    <row r="2896" spans="1:12" x14ac:dyDescent="0.35">
      <c r="A2896" t="str">
        <f t="shared" si="1168"/>
        <v>NAVY PERSONNEL COMMAND</v>
      </c>
      <c r="B2896" t="str">
        <f t="shared" si="1169"/>
        <v>5720 INTEGRITY DRIVE</v>
      </c>
      <c r="C2896" t="str">
        <f t="shared" si="1175"/>
        <v>BLDG 768 RM N202</v>
      </c>
      <c r="D2896" t="str">
        <f t="shared" si="1170"/>
        <v>MILLINGTON</v>
      </c>
      <c r="E2896" t="str">
        <f t="shared" si="1171"/>
        <v>TN</v>
      </c>
      <c r="F2896" t="str">
        <f t="shared" si="1172"/>
        <v>380550002</v>
      </c>
      <c r="G2896" t="str">
        <f t="shared" si="1176"/>
        <v>5720 INTEGRITY DRIVE</v>
      </c>
      <c r="H2896" t="str">
        <f t="shared" ref="H2896:H2901" si="1178">T("BLDG 768 ROOM N202")</f>
        <v>BLDG 768 ROOM N202</v>
      </c>
      <c r="I2896" t="str">
        <f t="shared" si="1173"/>
        <v>MILLINGTON</v>
      </c>
      <c r="J2896" t="str">
        <f t="shared" si="1174"/>
        <v>TN</v>
      </c>
      <c r="K2896" t="str">
        <f t="shared" si="1177"/>
        <v>9018742702</v>
      </c>
      <c r="L2896" t="str">
        <f>T("9018744006")</f>
        <v>9018744006</v>
      </c>
    </row>
    <row r="2897" spans="1:12" x14ac:dyDescent="0.35">
      <c r="A2897" t="str">
        <f t="shared" si="1168"/>
        <v>NAVY PERSONNEL COMMAND</v>
      </c>
      <c r="B2897" t="str">
        <f t="shared" si="1169"/>
        <v>5720 INTEGRITY DRIVE</v>
      </c>
      <c r="C2897" t="str">
        <f t="shared" si="1175"/>
        <v>BLDG 768 RM N202</v>
      </c>
      <c r="D2897" t="str">
        <f t="shared" si="1170"/>
        <v>MILLINGTON</v>
      </c>
      <c r="E2897" t="str">
        <f t="shared" si="1171"/>
        <v>TN</v>
      </c>
      <c r="F2897" t="str">
        <f t="shared" si="1172"/>
        <v>380550002</v>
      </c>
      <c r="G2897" t="str">
        <f t="shared" si="1176"/>
        <v>5720 INTEGRITY DRIVE</v>
      </c>
      <c r="H2897" t="str">
        <f t="shared" si="1178"/>
        <v>BLDG 768 ROOM N202</v>
      </c>
      <c r="I2897" t="str">
        <f t="shared" si="1173"/>
        <v>MILLINGTON</v>
      </c>
      <c r="J2897" t="str">
        <f t="shared" si="1174"/>
        <v>TN</v>
      </c>
      <c r="K2897" t="str">
        <f t="shared" si="1177"/>
        <v>9018742702</v>
      </c>
      <c r="L2897" t="str">
        <f>T("9018744008")</f>
        <v>9018744008</v>
      </c>
    </row>
    <row r="2898" spans="1:12" x14ac:dyDescent="0.35">
      <c r="A2898" t="str">
        <f t="shared" si="1168"/>
        <v>NAVY PERSONNEL COMMAND</v>
      </c>
      <c r="B2898" t="str">
        <f t="shared" si="1169"/>
        <v>5720 INTEGRITY DRIVE</v>
      </c>
      <c r="C2898" t="str">
        <f t="shared" si="1175"/>
        <v>BLDG 768 RM N202</v>
      </c>
      <c r="D2898" t="str">
        <f t="shared" si="1170"/>
        <v>MILLINGTON</v>
      </c>
      <c r="E2898" t="str">
        <f t="shared" si="1171"/>
        <v>TN</v>
      </c>
      <c r="F2898" t="str">
        <f t="shared" si="1172"/>
        <v>380550002</v>
      </c>
      <c r="G2898" t="str">
        <f t="shared" si="1176"/>
        <v>5720 INTEGRITY DRIVE</v>
      </c>
      <c r="H2898" t="str">
        <f t="shared" si="1178"/>
        <v>BLDG 768 ROOM N202</v>
      </c>
      <c r="I2898" t="str">
        <f t="shared" si="1173"/>
        <v>MILLINGTON</v>
      </c>
      <c r="J2898" t="str">
        <f t="shared" si="1174"/>
        <v>TN</v>
      </c>
      <c r="K2898" t="str">
        <f t="shared" si="1177"/>
        <v>9018742702</v>
      </c>
      <c r="L2898" t="str">
        <f>T("9018744009")</f>
        <v>9018744009</v>
      </c>
    </row>
    <row r="2899" spans="1:12" x14ac:dyDescent="0.35">
      <c r="A2899" t="str">
        <f t="shared" si="1168"/>
        <v>NAVY PERSONNEL COMMAND</v>
      </c>
      <c r="B2899" t="str">
        <f t="shared" si="1169"/>
        <v>5720 INTEGRITY DRIVE</v>
      </c>
      <c r="C2899" t="str">
        <f t="shared" si="1175"/>
        <v>BLDG 768 RM N202</v>
      </c>
      <c r="D2899" t="str">
        <f t="shared" si="1170"/>
        <v>MILLINGTON</v>
      </c>
      <c r="E2899" t="str">
        <f t="shared" si="1171"/>
        <v>TN</v>
      </c>
      <c r="F2899" t="str">
        <f t="shared" si="1172"/>
        <v>380550002</v>
      </c>
      <c r="G2899" t="str">
        <f t="shared" si="1176"/>
        <v>5720 INTEGRITY DRIVE</v>
      </c>
      <c r="H2899" t="str">
        <f t="shared" si="1178"/>
        <v>BLDG 768 ROOM N202</v>
      </c>
      <c r="I2899" t="str">
        <f t="shared" si="1173"/>
        <v>MILLINGTON</v>
      </c>
      <c r="J2899" t="str">
        <f t="shared" si="1174"/>
        <v>TN</v>
      </c>
      <c r="K2899" t="str">
        <f t="shared" si="1177"/>
        <v>9018742702</v>
      </c>
      <c r="L2899" t="str">
        <f>T("9018744015")</f>
        <v>9018744015</v>
      </c>
    </row>
    <row r="2900" spans="1:12" x14ac:dyDescent="0.35">
      <c r="A2900" t="str">
        <f t="shared" si="1168"/>
        <v>NAVY PERSONNEL COMMAND</v>
      </c>
      <c r="B2900" t="str">
        <f t="shared" si="1169"/>
        <v>5720 INTEGRITY DRIVE</v>
      </c>
      <c r="C2900" t="str">
        <f t="shared" si="1175"/>
        <v>BLDG 768 RM N202</v>
      </c>
      <c r="D2900" t="str">
        <f t="shared" si="1170"/>
        <v>MILLINGTON</v>
      </c>
      <c r="E2900" t="str">
        <f t="shared" si="1171"/>
        <v>TN</v>
      </c>
      <c r="F2900" t="str">
        <f t="shared" si="1172"/>
        <v>380550002</v>
      </c>
      <c r="G2900" t="str">
        <f t="shared" si="1176"/>
        <v>5720 INTEGRITY DRIVE</v>
      </c>
      <c r="H2900" t="str">
        <f t="shared" si="1178"/>
        <v>BLDG 768 ROOM N202</v>
      </c>
      <c r="I2900" t="str">
        <f t="shared" si="1173"/>
        <v>MILLINGTON</v>
      </c>
      <c r="J2900" t="str">
        <f t="shared" si="1174"/>
        <v>TN</v>
      </c>
      <c r="K2900" t="str">
        <f t="shared" si="1177"/>
        <v>9018742702</v>
      </c>
      <c r="L2900" t="str">
        <f>T("9018744016")</f>
        <v>9018744016</v>
      </c>
    </row>
    <row r="2901" spans="1:12" x14ac:dyDescent="0.35">
      <c r="A2901" t="str">
        <f t="shared" si="1168"/>
        <v>NAVY PERSONNEL COMMAND</v>
      </c>
      <c r="B2901" t="str">
        <f t="shared" si="1169"/>
        <v>5720 INTEGRITY DRIVE</v>
      </c>
      <c r="C2901" t="str">
        <f t="shared" si="1175"/>
        <v>BLDG 768 RM N202</v>
      </c>
      <c r="D2901" t="str">
        <f t="shared" si="1170"/>
        <v>MILLINGTON</v>
      </c>
      <c r="E2901" t="str">
        <f t="shared" si="1171"/>
        <v>TN</v>
      </c>
      <c r="F2901" t="str">
        <f t="shared" si="1172"/>
        <v>380550002</v>
      </c>
      <c r="G2901" t="str">
        <f t="shared" si="1176"/>
        <v>5720 INTEGRITY DRIVE</v>
      </c>
      <c r="H2901" t="str">
        <f t="shared" si="1178"/>
        <v>BLDG 768 ROOM N202</v>
      </c>
      <c r="I2901" t="str">
        <f t="shared" si="1173"/>
        <v>MILLINGTON</v>
      </c>
      <c r="J2901" t="str">
        <f t="shared" si="1174"/>
        <v>TN</v>
      </c>
      <c r="K2901" t="str">
        <f t="shared" si="1177"/>
        <v>9018742702</v>
      </c>
      <c r="L2901" t="str">
        <f>T("9018744549")</f>
        <v>9018744549</v>
      </c>
    </row>
    <row r="2902" spans="1:12" x14ac:dyDescent="0.35">
      <c r="A2902" t="str">
        <f t="shared" si="1168"/>
        <v>NAVY PERSONNEL COMMAND</v>
      </c>
      <c r="B2902" t="str">
        <f t="shared" si="1169"/>
        <v>5720 INTEGRITY DRIVE</v>
      </c>
      <c r="C2902" t="str">
        <f>T("BLDG 768 RM S305")</f>
        <v>BLDG 768 RM S305</v>
      </c>
      <c r="D2902" t="str">
        <f t="shared" si="1170"/>
        <v>MILLINGTON</v>
      </c>
      <c r="E2902" t="str">
        <f t="shared" si="1171"/>
        <v>TN</v>
      </c>
      <c r="F2902" t="str">
        <f t="shared" si="1172"/>
        <v>380550002</v>
      </c>
      <c r="G2902" t="str">
        <f t="shared" si="1176"/>
        <v>5720 INTEGRITY DRIVE</v>
      </c>
      <c r="H2902" t="str">
        <f>T("BLDG 768 RM S305")</f>
        <v>BLDG 768 RM S305</v>
      </c>
      <c r="I2902" t="str">
        <f t="shared" si="1173"/>
        <v>MILLINGTON</v>
      </c>
      <c r="J2902" t="str">
        <f t="shared" si="1174"/>
        <v>TN</v>
      </c>
      <c r="K2902" t="str">
        <f>T("901-874-2737")</f>
        <v>901-874-2737</v>
      </c>
      <c r="L2902" t="str">
        <f>T("9018744997")</f>
        <v>9018744997</v>
      </c>
    </row>
    <row r="2903" spans="1:12" x14ac:dyDescent="0.35">
      <c r="A2903" t="str">
        <f t="shared" si="1168"/>
        <v>NAVY PERSONNEL COMMAND</v>
      </c>
      <c r="B2903" t="str">
        <f t="shared" si="1169"/>
        <v>5720 INTEGRITY DRIVE</v>
      </c>
      <c r="C2903" t="str">
        <f>T("BLDG 768 RM S305")</f>
        <v>BLDG 768 RM S305</v>
      </c>
      <c r="D2903" t="str">
        <f t="shared" si="1170"/>
        <v>MILLINGTON</v>
      </c>
      <c r="E2903" t="str">
        <f t="shared" si="1171"/>
        <v>TN</v>
      </c>
      <c r="F2903" t="str">
        <f t="shared" si="1172"/>
        <v>380550002</v>
      </c>
      <c r="G2903" t="str">
        <f t="shared" si="1176"/>
        <v>5720 INTEGRITY DRIVE</v>
      </c>
      <c r="H2903" t="str">
        <f>T("BLDG 769 RM 185")</f>
        <v>BLDG 769 RM 185</v>
      </c>
      <c r="I2903" t="str">
        <f t="shared" si="1173"/>
        <v>MILLINGTON</v>
      </c>
      <c r="J2903" t="str">
        <f t="shared" si="1174"/>
        <v>TN</v>
      </c>
      <c r="K2903" t="str">
        <f>T("9018742657")</f>
        <v>9018742657</v>
      </c>
      <c r="L2903" t="str">
        <f>T("9018744029")</f>
        <v>9018744029</v>
      </c>
    </row>
    <row r="2904" spans="1:12" x14ac:dyDescent="0.35">
      <c r="A2904" t="str">
        <f t="shared" si="1168"/>
        <v>NAVY PERSONNEL COMMAND</v>
      </c>
      <c r="B2904" t="str">
        <f t="shared" si="1169"/>
        <v>5720 INTEGRITY DRIVE</v>
      </c>
      <c r="C2904" t="str">
        <f>T("BLDG 769 RM 103")</f>
        <v>BLDG 769 RM 103</v>
      </c>
      <c r="D2904" t="str">
        <f t="shared" si="1170"/>
        <v>MILLINGTON</v>
      </c>
      <c r="E2904" t="str">
        <f t="shared" si="1171"/>
        <v>TN</v>
      </c>
      <c r="F2904" t="str">
        <f t="shared" si="1172"/>
        <v>380550002</v>
      </c>
      <c r="G2904" t="str">
        <f>T("5720 INTEGRITY DR")</f>
        <v>5720 INTEGRITY DR</v>
      </c>
      <c r="H2904" t="str">
        <f>T("BLDG 769 RM 137")</f>
        <v>BLDG 769 RM 137</v>
      </c>
      <c r="I2904" t="str">
        <f t="shared" si="1173"/>
        <v>MILLINGTON</v>
      </c>
      <c r="J2904" t="str">
        <f t="shared" si="1174"/>
        <v>TN</v>
      </c>
      <c r="K2904" t="str">
        <f>T("9018742745")</f>
        <v>9018742745</v>
      </c>
      <c r="L2904" t="str">
        <f>T("9018743439")</f>
        <v>9018743439</v>
      </c>
    </row>
    <row r="2905" spans="1:12" x14ac:dyDescent="0.35">
      <c r="A2905" t="str">
        <f t="shared" si="1168"/>
        <v>NAVY PERSONNEL COMMAND</v>
      </c>
      <c r="B2905" t="str">
        <f t="shared" si="1169"/>
        <v>5720 INTEGRITY DRIVE</v>
      </c>
      <c r="C2905" t="str">
        <f>T("BLDG 769 RM 103")</f>
        <v>BLDG 769 RM 103</v>
      </c>
      <c r="D2905" t="str">
        <f t="shared" si="1170"/>
        <v>MILLINGTON</v>
      </c>
      <c r="E2905" t="str">
        <f t="shared" si="1171"/>
        <v>TN</v>
      </c>
      <c r="F2905" t="str">
        <f t="shared" si="1172"/>
        <v>380550002</v>
      </c>
      <c r="G2905" t="str">
        <f>T("5720 INTEGRITY DRIVE")</f>
        <v>5720 INTEGRITY DRIVE</v>
      </c>
      <c r="H2905" t="str">
        <f>T("BLDG 769 RM 103")</f>
        <v>BLDG 769 RM 103</v>
      </c>
      <c r="I2905" t="str">
        <f t="shared" si="1173"/>
        <v>MILLINGTON</v>
      </c>
      <c r="J2905" t="str">
        <f t="shared" si="1174"/>
        <v>TN</v>
      </c>
      <c r="K2905" t="str">
        <f>T("9018742770")</f>
        <v>9018742770</v>
      </c>
      <c r="L2905" t="str">
        <f>T("9018743306")</f>
        <v>9018743306</v>
      </c>
    </row>
    <row r="2906" spans="1:12" x14ac:dyDescent="0.35">
      <c r="A2906" t="str">
        <f t="shared" si="1168"/>
        <v>NAVY PERSONNEL COMMAND</v>
      </c>
      <c r="B2906" t="str">
        <f t="shared" si="1169"/>
        <v>5720 INTEGRITY DRIVE</v>
      </c>
      <c r="C2906" t="str">
        <f>T("BLDG 769 RM 189B")</f>
        <v>BLDG 769 RM 189B</v>
      </c>
      <c r="D2906" t="str">
        <f t="shared" si="1170"/>
        <v>MILLINGTON</v>
      </c>
      <c r="E2906" t="str">
        <f t="shared" si="1171"/>
        <v>TN</v>
      </c>
      <c r="F2906" t="str">
        <f t="shared" si="1172"/>
        <v>380550002</v>
      </c>
      <c r="G2906" t="str">
        <f>T("5720 INTEGRITY DR")</f>
        <v>5720 INTEGRITY DR</v>
      </c>
      <c r="H2906" t="str">
        <f>T("BLDG 769 RM 197")</f>
        <v>BLDG 769 RM 197</v>
      </c>
      <c r="I2906" t="str">
        <f t="shared" si="1173"/>
        <v>MILLINGTON</v>
      </c>
      <c r="J2906" t="str">
        <f t="shared" si="1174"/>
        <v>TN</v>
      </c>
      <c r="K2906" t="str">
        <f>T("9018742564")</f>
        <v>9018742564</v>
      </c>
      <c r="L2906" t="str">
        <f>T("9018744718")</f>
        <v>9018744718</v>
      </c>
    </row>
    <row r="2907" spans="1:12" x14ac:dyDescent="0.35">
      <c r="A2907" t="str">
        <f t="shared" si="1168"/>
        <v>NAVY PERSONNEL COMMAND</v>
      </c>
      <c r="B2907" t="str">
        <f t="shared" si="1169"/>
        <v>5720 INTEGRITY DRIVE</v>
      </c>
      <c r="C2907" t="str">
        <f>T("BLDG 769 RM 189B")</f>
        <v>BLDG 769 RM 189B</v>
      </c>
      <c r="D2907" t="str">
        <f t="shared" si="1170"/>
        <v>MILLINGTON</v>
      </c>
      <c r="E2907" t="str">
        <f t="shared" si="1171"/>
        <v>TN</v>
      </c>
      <c r="F2907" t="str">
        <f t="shared" si="1172"/>
        <v>380550002</v>
      </c>
      <c r="G2907" t="str">
        <f>T("5720 INTEGRITY DRIVE")</f>
        <v>5720 INTEGRITY DRIVE</v>
      </c>
      <c r="H2907" t="str">
        <f>T("BLDG 769 RM 189B")</f>
        <v>BLDG 769 RM 189B</v>
      </c>
      <c r="I2907" t="str">
        <f t="shared" si="1173"/>
        <v>MILLINGTON</v>
      </c>
      <c r="J2907" t="str">
        <f t="shared" si="1174"/>
        <v>TN</v>
      </c>
      <c r="K2907" t="str">
        <f>T("9018742564")</f>
        <v>9018742564</v>
      </c>
      <c r="L2907" t="str">
        <f>T("9018742254")</f>
        <v>9018742254</v>
      </c>
    </row>
    <row r="2908" spans="1:12" x14ac:dyDescent="0.35">
      <c r="A2908" t="str">
        <f t="shared" si="1168"/>
        <v>NAVY PERSONNEL COMMAND</v>
      </c>
      <c r="B2908" t="str">
        <f t="shared" si="1169"/>
        <v>5720 INTEGRITY DRIVE</v>
      </c>
      <c r="C2908" t="str">
        <f>T("BLDG 791")</f>
        <v>BLDG 791</v>
      </c>
      <c r="D2908" t="str">
        <f t="shared" si="1170"/>
        <v>MILLINGTON</v>
      </c>
      <c r="E2908" t="str">
        <f t="shared" si="1171"/>
        <v>TN</v>
      </c>
      <c r="F2908" t="str">
        <f t="shared" si="1172"/>
        <v>380550002</v>
      </c>
      <c r="G2908" t="str">
        <f>T("5720 INTEGRITY DRIVE")</f>
        <v>5720 INTEGRITY DRIVE</v>
      </c>
      <c r="H2908" t="str">
        <f>T("BLDG 768 RM N202")</f>
        <v>BLDG 768 RM N202</v>
      </c>
      <c r="I2908" t="str">
        <f t="shared" si="1173"/>
        <v>MILLINGTON</v>
      </c>
      <c r="J2908" t="str">
        <f t="shared" si="1174"/>
        <v>TN</v>
      </c>
      <c r="K2908" t="str">
        <f>T("9018742453")</f>
        <v>9018742453</v>
      </c>
      <c r="L2908" t="str">
        <f>T("9018744975")</f>
        <v>9018744975</v>
      </c>
    </row>
    <row r="2909" spans="1:12" x14ac:dyDescent="0.35">
      <c r="A2909" t="str">
        <f t="shared" si="1168"/>
        <v>NAVY PERSONNEL COMMAND</v>
      </c>
      <c r="B2909" t="str">
        <f t="shared" si="1169"/>
        <v>5720 INTEGRITY DRIVE</v>
      </c>
      <c r="C2909" t="str">
        <f>T("BLDG 791")</f>
        <v>BLDG 791</v>
      </c>
      <c r="D2909" t="str">
        <f t="shared" si="1170"/>
        <v>MILLINGTON</v>
      </c>
      <c r="E2909" t="str">
        <f t="shared" si="1171"/>
        <v>TN</v>
      </c>
      <c r="F2909" t="str">
        <f t="shared" si="1172"/>
        <v>380550002</v>
      </c>
      <c r="G2909" t="str">
        <f>T("5720 INTEGRITY DRIVE")</f>
        <v>5720 INTEGRITY DRIVE</v>
      </c>
      <c r="H2909" t="str">
        <f>T("BLDG 768 RM S205")</f>
        <v>BLDG 768 RM S205</v>
      </c>
      <c r="I2909" t="str">
        <f t="shared" si="1173"/>
        <v>MILLINGTON</v>
      </c>
      <c r="J2909" t="str">
        <f t="shared" si="1174"/>
        <v>TN</v>
      </c>
      <c r="K2909" t="str">
        <f>T("9018742691")</f>
        <v>9018742691</v>
      </c>
      <c r="L2909" t="str">
        <f>T("9018744960")</f>
        <v>9018744960</v>
      </c>
    </row>
    <row r="2910" spans="1:12" x14ac:dyDescent="0.35">
      <c r="A2910" t="str">
        <f t="shared" si="1168"/>
        <v>NAVY PERSONNEL COMMAND</v>
      </c>
      <c r="B2910" t="str">
        <f t="shared" si="1169"/>
        <v>5720 INTEGRITY DRIVE</v>
      </c>
      <c r="C2910" t="str">
        <f>T("BLDG 791")</f>
        <v>BLDG 791</v>
      </c>
      <c r="D2910" t="str">
        <f t="shared" si="1170"/>
        <v>MILLINGTON</v>
      </c>
      <c r="E2910" t="str">
        <f t="shared" si="1171"/>
        <v>TN</v>
      </c>
      <c r="F2910" t="str">
        <f t="shared" si="1172"/>
        <v>380550002</v>
      </c>
      <c r="G2910" t="str">
        <f>T("5720 INTEGRITY DRIVE")</f>
        <v>5720 INTEGRITY DRIVE</v>
      </c>
      <c r="H2910" t="str">
        <f>T("BLDG 791")</f>
        <v>BLDG 791</v>
      </c>
      <c r="I2910" t="str">
        <f t="shared" si="1173"/>
        <v>MILLINGTON</v>
      </c>
      <c r="J2910" t="str">
        <f t="shared" si="1174"/>
        <v>TN</v>
      </c>
      <c r="K2910" t="str">
        <f>T("9018742691")</f>
        <v>9018742691</v>
      </c>
      <c r="L2910" t="str">
        <f>T("9018744959")</f>
        <v>9018744959</v>
      </c>
    </row>
    <row r="2911" spans="1:12" x14ac:dyDescent="0.35">
      <c r="A2911" t="str">
        <f>T("NPTU BALLSTON SPA")</f>
        <v>NPTU BALLSTON SPA</v>
      </c>
      <c r="B2911" t="str">
        <f>T("19 J.F.KING DRIVE")</f>
        <v>19 J.F.KING DRIVE</v>
      </c>
      <c r="C2911" t="str">
        <f>T("BLDG 102")</f>
        <v>BLDG 102</v>
      </c>
      <c r="D2911" t="str">
        <f>T("SARATOGA SPRINGS")</f>
        <v>SARATOGA SPRINGS</v>
      </c>
      <c r="E2911" t="str">
        <f>T("NY")</f>
        <v>NY</v>
      </c>
      <c r="F2911" t="str">
        <f>T("128669267")</f>
        <v>128669267</v>
      </c>
      <c r="G2911" t="str">
        <f>T("19 J F KING DR")</f>
        <v>19 J F KING DR</v>
      </c>
      <c r="H2911" t="str">
        <f>T("BLDG 102")</f>
        <v>BLDG 102</v>
      </c>
      <c r="I2911" t="str">
        <f>T("SARATOGA SPRINGS")</f>
        <v>SARATOGA SPRINGS</v>
      </c>
      <c r="J2911" t="str">
        <f>T("NY")</f>
        <v>NY</v>
      </c>
      <c r="K2911" t="str">
        <f>T("5188860122")</f>
        <v>5188860122</v>
      </c>
      <c r="L2911" t="str">
        <f>T("5188860200")</f>
        <v>5188860200</v>
      </c>
    </row>
    <row r="2912" spans="1:12" x14ac:dyDescent="0.35">
      <c r="A2912" t="str">
        <f>T("NPTU BALLSTON SPA")</f>
        <v>NPTU BALLSTON SPA</v>
      </c>
      <c r="B2912" t="str">
        <f>T("19 J.F.KING DRIVE")</f>
        <v>19 J.F.KING DRIVE</v>
      </c>
      <c r="C2912" t="str">
        <f>T("BLDG 102")</f>
        <v>BLDG 102</v>
      </c>
      <c r="D2912" t="str">
        <f>T("SARATOGA SPRINGS")</f>
        <v>SARATOGA SPRINGS</v>
      </c>
      <c r="E2912" t="str">
        <f>T("NY")</f>
        <v>NY</v>
      </c>
      <c r="F2912" t="str">
        <f>T("128669267")</f>
        <v>128669267</v>
      </c>
      <c r="G2912" t="str">
        <f>T("19 J F KING DRIVE")</f>
        <v>19 J F KING DRIVE</v>
      </c>
      <c r="H2912" t="str">
        <f>T("BLDG 102")</f>
        <v>BLDG 102</v>
      </c>
      <c r="I2912" t="str">
        <f>T("SARATOGA SPRINGS")</f>
        <v>SARATOGA SPRINGS</v>
      </c>
      <c r="J2912" t="str">
        <f>T("NY")</f>
        <v>NY</v>
      </c>
      <c r="K2912" t="str">
        <f>T("5188843150")</f>
        <v>5188843150</v>
      </c>
      <c r="L2912" t="str">
        <f>T("5188841312")</f>
        <v>5188841312</v>
      </c>
    </row>
    <row r="2913" spans="1:12" x14ac:dyDescent="0.35">
      <c r="A2913" t="str">
        <f>T("NPTU BALLSTON SPA")</f>
        <v>NPTU BALLSTON SPA</v>
      </c>
      <c r="B2913" t="str">
        <f>T("19 J.F.KING DRIVE")</f>
        <v>19 J.F.KING DRIVE</v>
      </c>
      <c r="C2913" t="str">
        <f>T("BLDG 102")</f>
        <v>BLDG 102</v>
      </c>
      <c r="D2913" t="str">
        <f>T("SARATOGA SPRINGS")</f>
        <v>SARATOGA SPRINGS</v>
      </c>
      <c r="E2913" t="str">
        <f>T("NY")</f>
        <v>NY</v>
      </c>
      <c r="F2913" t="str">
        <f>T("128669267")</f>
        <v>128669267</v>
      </c>
      <c r="G2913" t="str">
        <f>T("19 J F KING DRIVE")</f>
        <v>19 J F KING DRIVE</v>
      </c>
      <c r="H2913" t="str">
        <f>T("BLDG 102")</f>
        <v>BLDG 102</v>
      </c>
      <c r="I2913" t="str">
        <f>T("SARATOGA SPRINGS")</f>
        <v>SARATOGA SPRINGS</v>
      </c>
      <c r="J2913" t="str">
        <f>T("NY")</f>
        <v>NY</v>
      </c>
      <c r="K2913" t="str">
        <f>T("5188843150")</f>
        <v>5188843150</v>
      </c>
      <c r="L2913" t="str">
        <f>T("5188841505")</f>
        <v>5188841505</v>
      </c>
    </row>
    <row r="2914" spans="1:12" x14ac:dyDescent="0.35">
      <c r="A2914" t="str">
        <f>T("NPTU BALLSTON SPA")</f>
        <v>NPTU BALLSTON SPA</v>
      </c>
      <c r="B2914" t="str">
        <f>T("19 J.F.KING DRIVE")</f>
        <v>19 J.F.KING DRIVE</v>
      </c>
      <c r="C2914" t="str">
        <f>T("BLDG 102")</f>
        <v>BLDG 102</v>
      </c>
      <c r="D2914" t="str">
        <f>T("SARATOGA SPRINGS")</f>
        <v>SARATOGA SPRINGS</v>
      </c>
      <c r="E2914" t="str">
        <f>T("NY")</f>
        <v>NY</v>
      </c>
      <c r="F2914" t="str">
        <f>T("128669267")</f>
        <v>128669267</v>
      </c>
      <c r="G2914" t="str">
        <f>T("19 J.F.KING DRIVE")</f>
        <v>19 J.F.KING DRIVE</v>
      </c>
      <c r="H2914" t="str">
        <f>T("BLDG 102")</f>
        <v>BLDG 102</v>
      </c>
      <c r="I2914" t="str">
        <f>T("SARATOGA SPRINGS")</f>
        <v>SARATOGA SPRINGS</v>
      </c>
      <c r="J2914" t="str">
        <f>T("NY")</f>
        <v>NY</v>
      </c>
      <c r="K2914" t="str">
        <f>T("5188860122")</f>
        <v>5188860122</v>
      </c>
      <c r="L2914" t="str">
        <f>T("5188860200")</f>
        <v>5188860200</v>
      </c>
    </row>
    <row r="2915" spans="1:12" x14ac:dyDescent="0.35">
      <c r="A2915" t="str">
        <f>T("ZZ DELETE NAVMAC MILLINGTON TN")</f>
        <v>ZZ DELETE NAVMAC MILLINGTON TN</v>
      </c>
      <c r="B2915" t="str">
        <f>T("5722 INTEGRITY DRIVE")</f>
        <v>5722 INTEGRITY DRIVE</v>
      </c>
      <c r="C2915" t="str">
        <f>T("")</f>
        <v/>
      </c>
      <c r="D2915" t="str">
        <f t="shared" ref="D2915:D2923" si="1179">T("MILLINGTON")</f>
        <v>MILLINGTON</v>
      </c>
      <c r="E2915" t="str">
        <f t="shared" ref="E2915:E2923" si="1180">T("TN")</f>
        <v>TN</v>
      </c>
      <c r="F2915" t="str">
        <f t="shared" ref="F2915:F2922" si="1181">T("380545028")</f>
        <v>380545028</v>
      </c>
      <c r="G2915" t="str">
        <f>T("5722 INTEGRITY DRIVE")</f>
        <v>5722 INTEGRITY DRIVE</v>
      </c>
      <c r="H2915" t="str">
        <f>T("")</f>
        <v/>
      </c>
      <c r="I2915" t="str">
        <f t="shared" ref="I2915:I2923" si="1182">T("MILLINGTON")</f>
        <v>MILLINGTON</v>
      </c>
      <c r="J2915" t="str">
        <f t="shared" ref="J2915:J2923" si="1183">T("TN")</f>
        <v>TN</v>
      </c>
      <c r="K2915" t="str">
        <f>T("901-874-6475")</f>
        <v>901-874-6475</v>
      </c>
      <c r="L2915" t="str">
        <f>T("9018746416")</f>
        <v>9018746416</v>
      </c>
    </row>
    <row r="2916" spans="1:12" x14ac:dyDescent="0.35">
      <c r="A2916" t="str">
        <f t="shared" ref="A2916:A2922" si="1184">T("CNRC")</f>
        <v>CNRC</v>
      </c>
      <c r="B2916" t="str">
        <f t="shared" ref="B2916:B2922" si="1185">T("5722 INTEGRITY DR")</f>
        <v>5722 INTEGRITY DR</v>
      </c>
      <c r="C2916" t="str">
        <f>T("BLDG 754")</f>
        <v>BLDG 754</v>
      </c>
      <c r="D2916" t="str">
        <f t="shared" si="1179"/>
        <v>MILLINGTON</v>
      </c>
      <c r="E2916" t="str">
        <f t="shared" si="1180"/>
        <v>TN</v>
      </c>
      <c r="F2916" t="str">
        <f t="shared" si="1181"/>
        <v>380545028</v>
      </c>
      <c r="G2916" t="str">
        <f>T("5722 INTEGRITY DR")</f>
        <v>5722 INTEGRITY DR</v>
      </c>
      <c r="H2916" t="str">
        <f>T("BLDG 754")</f>
        <v>BLDG 754</v>
      </c>
      <c r="I2916" t="str">
        <f t="shared" si="1182"/>
        <v>MILLINGTON</v>
      </c>
      <c r="J2916" t="str">
        <f t="shared" si="1183"/>
        <v>TN</v>
      </c>
      <c r="K2916" t="str">
        <f>T("90187479105")</f>
        <v>90187479105</v>
      </c>
      <c r="L2916" t="str">
        <f>T("9018749105")</f>
        <v>9018749105</v>
      </c>
    </row>
    <row r="2917" spans="1:12" x14ac:dyDescent="0.35">
      <c r="A2917" t="str">
        <f t="shared" si="1184"/>
        <v>CNRC</v>
      </c>
      <c r="B2917" t="str">
        <f t="shared" si="1185"/>
        <v>5722 INTEGRITY DR</v>
      </c>
      <c r="C2917" t="str">
        <f>T("BLDG 754")</f>
        <v>BLDG 754</v>
      </c>
      <c r="D2917" t="str">
        <f t="shared" si="1179"/>
        <v>MILLINGTON</v>
      </c>
      <c r="E2917" t="str">
        <f t="shared" si="1180"/>
        <v>TN</v>
      </c>
      <c r="F2917" t="str">
        <f t="shared" si="1181"/>
        <v>380545028</v>
      </c>
      <c r="G2917" t="str">
        <f>T("5722 INTEGRITY DRIVE")</f>
        <v>5722 INTEGRITY DRIVE</v>
      </c>
      <c r="H2917" t="str">
        <f>T("BLDG 784/N4")</f>
        <v>BLDG 784/N4</v>
      </c>
      <c r="I2917" t="str">
        <f t="shared" si="1182"/>
        <v>MILLINGTON</v>
      </c>
      <c r="J2917" t="str">
        <f t="shared" si="1183"/>
        <v>TN</v>
      </c>
      <c r="K2917" t="str">
        <f>T("9018749084")</f>
        <v>9018749084</v>
      </c>
      <c r="L2917" t="str">
        <f>T("9018749105")</f>
        <v>9018749105</v>
      </c>
    </row>
    <row r="2918" spans="1:12" x14ac:dyDescent="0.35">
      <c r="A2918" t="str">
        <f t="shared" si="1184"/>
        <v>CNRC</v>
      </c>
      <c r="B2918" t="str">
        <f t="shared" si="1185"/>
        <v>5722 INTEGRITY DR</v>
      </c>
      <c r="C2918" t="str">
        <f>T("BLDG 754")</f>
        <v>BLDG 754</v>
      </c>
      <c r="D2918" t="str">
        <f t="shared" si="1179"/>
        <v>MILLINGTON</v>
      </c>
      <c r="E2918" t="str">
        <f t="shared" si="1180"/>
        <v>TN</v>
      </c>
      <c r="F2918" t="str">
        <f t="shared" si="1181"/>
        <v>380545028</v>
      </c>
      <c r="G2918" t="str">
        <f>T("5722 INTERGRITY DRIVE")</f>
        <v>5722 INTERGRITY DRIVE</v>
      </c>
      <c r="H2918" t="str">
        <f>T("BLDG 784/N4")</f>
        <v>BLDG 784/N4</v>
      </c>
      <c r="I2918" t="str">
        <f t="shared" si="1182"/>
        <v>MILLINGTON</v>
      </c>
      <c r="J2918" t="str">
        <f t="shared" si="1183"/>
        <v>TN</v>
      </c>
      <c r="K2918" t="str">
        <f>T("9018749084")</f>
        <v>9018749084</v>
      </c>
      <c r="L2918" t="str">
        <f>T("9018749136")</f>
        <v>9018749136</v>
      </c>
    </row>
    <row r="2919" spans="1:12" x14ac:dyDescent="0.35">
      <c r="A2919" t="str">
        <f t="shared" si="1184"/>
        <v>CNRC</v>
      </c>
      <c r="B2919" t="str">
        <f t="shared" si="1185"/>
        <v>5722 INTEGRITY DR</v>
      </c>
      <c r="C2919" t="str">
        <f>T("BLDG 754")</f>
        <v>BLDG 754</v>
      </c>
      <c r="D2919" t="str">
        <f t="shared" si="1179"/>
        <v>MILLINGTON</v>
      </c>
      <c r="E2919" t="str">
        <f t="shared" si="1180"/>
        <v>TN</v>
      </c>
      <c r="F2919" t="str">
        <f t="shared" si="1181"/>
        <v>380545028</v>
      </c>
      <c r="G2919" t="str">
        <f>T("COMMANDER NAVY RECUTINING COMMAND-HQ")</f>
        <v>COMMANDER NAVY RECUTINING COMMAND-HQ</v>
      </c>
      <c r="H2919" t="str">
        <f>T("5722 INTEGRITY DRIVE BLDG 784/ N4")</f>
        <v>5722 INTEGRITY DRIVE BLDG 784/ N4</v>
      </c>
      <c r="I2919" t="str">
        <f t="shared" si="1182"/>
        <v>MILLINGTON</v>
      </c>
      <c r="J2919" t="str">
        <f t="shared" si="1183"/>
        <v>TN</v>
      </c>
      <c r="K2919" t="str">
        <f>T("9018749082")</f>
        <v>9018749082</v>
      </c>
      <c r="L2919" t="str">
        <f>T("9018747653")</f>
        <v>9018747653</v>
      </c>
    </row>
    <row r="2920" spans="1:12" x14ac:dyDescent="0.35">
      <c r="A2920" t="str">
        <f t="shared" si="1184"/>
        <v>CNRC</v>
      </c>
      <c r="B2920" t="str">
        <f t="shared" si="1185"/>
        <v>5722 INTEGRITY DR</v>
      </c>
      <c r="C2920" t="str">
        <f>T("BLDG 754")</f>
        <v>BLDG 754</v>
      </c>
      <c r="D2920" t="str">
        <f t="shared" si="1179"/>
        <v>MILLINGTON</v>
      </c>
      <c r="E2920" t="str">
        <f t="shared" si="1180"/>
        <v>TN</v>
      </c>
      <c r="F2920" t="str">
        <f t="shared" si="1181"/>
        <v>380545028</v>
      </c>
      <c r="G2920" t="str">
        <f>T("NAVY RECRUITING COMMAND HQ")</f>
        <v>NAVY RECRUITING COMMAND HQ</v>
      </c>
      <c r="H2920" t="str">
        <f>T("BLDG 784/N4")</f>
        <v>BLDG 784/N4</v>
      </c>
      <c r="I2920" t="str">
        <f t="shared" si="1182"/>
        <v>MILLINGTON</v>
      </c>
      <c r="J2920" t="str">
        <f t="shared" si="1183"/>
        <v>TN</v>
      </c>
      <c r="K2920" t="str">
        <f>T("9018749084")</f>
        <v>9018749084</v>
      </c>
      <c r="L2920" t="str">
        <f>T("9018747340")</f>
        <v>9018747340</v>
      </c>
    </row>
    <row r="2921" spans="1:12" x14ac:dyDescent="0.35">
      <c r="A2921" t="str">
        <f t="shared" si="1184"/>
        <v>CNRC</v>
      </c>
      <c r="B2921" t="str">
        <f t="shared" si="1185"/>
        <v>5722 INTEGRITY DR</v>
      </c>
      <c r="C2921" t="str">
        <f>T("BLDG 784")</f>
        <v>BLDG 784</v>
      </c>
      <c r="D2921" t="str">
        <f t="shared" si="1179"/>
        <v>MILLINGTON</v>
      </c>
      <c r="E2921" t="str">
        <f t="shared" si="1180"/>
        <v>TN</v>
      </c>
      <c r="F2921" t="str">
        <f t="shared" si="1181"/>
        <v>380545028</v>
      </c>
      <c r="G2921" t="str">
        <f>T("5722 INTEGRITY DR")</f>
        <v>5722 INTEGRITY DR</v>
      </c>
      <c r="H2921" t="str">
        <f>T("BLDG 784")</f>
        <v>BLDG 784</v>
      </c>
      <c r="I2921" t="str">
        <f t="shared" si="1182"/>
        <v>MILLINGTON</v>
      </c>
      <c r="J2921" t="str">
        <f t="shared" si="1183"/>
        <v>TN</v>
      </c>
      <c r="K2921" t="str">
        <f>T("000000000000000000")</f>
        <v>000000000000000000</v>
      </c>
      <c r="L2921" t="str">
        <f>T("9018749105")</f>
        <v>9018749105</v>
      </c>
    </row>
    <row r="2922" spans="1:12" x14ac:dyDescent="0.35">
      <c r="A2922" t="str">
        <f t="shared" si="1184"/>
        <v>CNRC</v>
      </c>
      <c r="B2922" t="str">
        <f t="shared" si="1185"/>
        <v>5722 INTEGRITY DR</v>
      </c>
      <c r="C2922" t="str">
        <f>T("BLDG 784")</f>
        <v>BLDG 784</v>
      </c>
      <c r="D2922" t="str">
        <f t="shared" si="1179"/>
        <v>MILLINGTON</v>
      </c>
      <c r="E2922" t="str">
        <f t="shared" si="1180"/>
        <v>TN</v>
      </c>
      <c r="F2922" t="str">
        <f t="shared" si="1181"/>
        <v>380545028</v>
      </c>
      <c r="G2922" t="str">
        <f>T("5722 INTEGRITY DRIVE")</f>
        <v>5722 INTEGRITY DRIVE</v>
      </c>
      <c r="H2922" t="str">
        <f>T("BLDG 784")</f>
        <v>BLDG 784</v>
      </c>
      <c r="I2922" t="str">
        <f t="shared" si="1182"/>
        <v>MILLINGTON</v>
      </c>
      <c r="J2922" t="str">
        <f t="shared" si="1183"/>
        <v>TN</v>
      </c>
      <c r="K2922" t="str">
        <f>T("000000000000000000")</f>
        <v>000000000000000000</v>
      </c>
      <c r="L2922" t="str">
        <f>T("9018747340")</f>
        <v>9018747340</v>
      </c>
    </row>
    <row r="2923" spans="1:12" x14ac:dyDescent="0.35">
      <c r="A2923" t="str">
        <f>T("ZZ DELETE NPRST")</f>
        <v>ZZ DELETE NPRST</v>
      </c>
      <c r="B2923" t="str">
        <f>T("NPRST/BUPERS-1")</f>
        <v>NPRST/BUPERS-1</v>
      </c>
      <c r="C2923" t="str">
        <f>T("5720 INTEGRITY DR BLDG 785")</f>
        <v>5720 INTEGRITY DR BLDG 785</v>
      </c>
      <c r="D2923" t="str">
        <f t="shared" si="1179"/>
        <v>MILLINGTON</v>
      </c>
      <c r="E2923" t="str">
        <f t="shared" si="1180"/>
        <v>TN</v>
      </c>
      <c r="F2923" t="str">
        <f>T("380550002")</f>
        <v>380550002</v>
      </c>
      <c r="G2923" t="str">
        <f>T("NPRST/BUPERS-1")</f>
        <v>NPRST/BUPERS-1</v>
      </c>
      <c r="H2923" t="str">
        <f>T("5720 INTEGRITY DR BLDG 785")</f>
        <v>5720 INTEGRITY DR BLDG 785</v>
      </c>
      <c r="I2923" t="str">
        <f t="shared" si="1182"/>
        <v>MILLINGTON</v>
      </c>
      <c r="J2923" t="str">
        <f t="shared" si="1183"/>
        <v>TN</v>
      </c>
      <c r="K2923" t="str">
        <f>T("9018742064")</f>
        <v>9018742064</v>
      </c>
      <c r="L2923" t="str">
        <f>T("9018742130")</f>
        <v>9018742130</v>
      </c>
    </row>
    <row r="2924" spans="1:12" x14ac:dyDescent="0.35">
      <c r="A2924" t="str">
        <f t="shared" ref="A2924:A2932" si="1186">T("NETPDC")</f>
        <v>NETPDC</v>
      </c>
      <c r="B2924" t="str">
        <f>T("6490 SAUFLEY FIELD RD")</f>
        <v>6490 SAUFLEY FIELD RD</v>
      </c>
      <c r="C2924" t="str">
        <f>T("BLDG 2434, CODE N6")</f>
        <v>BLDG 2434, CODE N6</v>
      </c>
      <c r="D2924" t="str">
        <f t="shared" ref="D2924:D2936" si="1187">T("PENSACOLA")</f>
        <v>PENSACOLA</v>
      </c>
      <c r="E2924" t="str">
        <f t="shared" ref="E2924:E2936" si="1188">T("FL")</f>
        <v>FL</v>
      </c>
      <c r="F2924" t="str">
        <f>T("325090001")</f>
        <v>325090001</v>
      </c>
      <c r="G2924" t="str">
        <f>T("6490 SAUFLEY FIELD RD")</f>
        <v>6490 SAUFLEY FIELD RD</v>
      </c>
      <c r="H2924" t="str">
        <f>T("BLDG 2434, CODE N6")</f>
        <v>BLDG 2434, CODE N6</v>
      </c>
      <c r="I2924" t="str">
        <f t="shared" ref="I2924:I2936" si="1189">T("PENSACOLA")</f>
        <v>PENSACOLA</v>
      </c>
      <c r="J2924" t="str">
        <f t="shared" ref="J2924:J2936" si="1190">T("FL")</f>
        <v>FL</v>
      </c>
      <c r="K2924" t="str">
        <f>T("8504735603")</f>
        <v>8504735603</v>
      </c>
      <c r="L2924" t="str">
        <f>T("8504735232")</f>
        <v>8504735232</v>
      </c>
    </row>
    <row r="2925" spans="1:12" x14ac:dyDescent="0.35">
      <c r="A2925" t="str">
        <f t="shared" si="1186"/>
        <v>NETPDC</v>
      </c>
      <c r="B2925" t="str">
        <f>T("6490 SAUFLEY FIELD RD")</f>
        <v>6490 SAUFLEY FIELD RD</v>
      </c>
      <c r="C2925" t="str">
        <f>T("BLDG 2435 CODE N82")</f>
        <v>BLDG 2435 CODE N82</v>
      </c>
      <c r="D2925" t="str">
        <f t="shared" si="1187"/>
        <v>PENSACOLA</v>
      </c>
      <c r="E2925" t="str">
        <f t="shared" si="1188"/>
        <v>FL</v>
      </c>
      <c r="F2925" t="str">
        <f>T("325095223")</f>
        <v>325095223</v>
      </c>
      <c r="G2925" t="str">
        <f>T("6490 SAUFLEY FIELD RD")</f>
        <v>6490 SAUFLEY FIELD RD</v>
      </c>
      <c r="H2925" t="str">
        <f>T("BLDG 2435 CODE N82")</f>
        <v>BLDG 2435 CODE N82</v>
      </c>
      <c r="I2925" t="str">
        <f t="shared" si="1189"/>
        <v>PENSACOLA</v>
      </c>
      <c r="J2925" t="str">
        <f t="shared" si="1190"/>
        <v>FL</v>
      </c>
      <c r="K2925" t="str">
        <f>T("8504736380")</f>
        <v>8504736380</v>
      </c>
      <c r="L2925" t="str">
        <f>T("8504736438")</f>
        <v>8504736438</v>
      </c>
    </row>
    <row r="2926" spans="1:12" x14ac:dyDescent="0.35">
      <c r="A2926" t="str">
        <f t="shared" si="1186"/>
        <v>NETPDC</v>
      </c>
      <c r="B2926" t="str">
        <f>T("6490 SAUFLEY FIELD RD")</f>
        <v>6490 SAUFLEY FIELD RD</v>
      </c>
      <c r="C2926" t="str">
        <f>T("BLDG 2435 CODE N82")</f>
        <v>BLDG 2435 CODE N82</v>
      </c>
      <c r="D2926" t="str">
        <f t="shared" si="1187"/>
        <v>PENSACOLA</v>
      </c>
      <c r="E2926" t="str">
        <f t="shared" si="1188"/>
        <v>FL</v>
      </c>
      <c r="F2926" t="str">
        <f>T("325095223")</f>
        <v>325095223</v>
      </c>
      <c r="G2926" t="str">
        <f>T("6490 SAUFLEY FIELD ROAD")</f>
        <v>6490 SAUFLEY FIELD ROAD</v>
      </c>
      <c r="H2926" t="str">
        <f>T("BLDG 2435 CODE N8A")</f>
        <v>BLDG 2435 CODE N8A</v>
      </c>
      <c r="I2926" t="str">
        <f t="shared" si="1189"/>
        <v>PENSACOLA</v>
      </c>
      <c r="J2926" t="str">
        <f t="shared" si="1190"/>
        <v>FL</v>
      </c>
      <c r="K2926" t="str">
        <f>T("8504736380")</f>
        <v>8504736380</v>
      </c>
      <c r="L2926" t="str">
        <f>T("8504736475")</f>
        <v>8504736475</v>
      </c>
    </row>
    <row r="2927" spans="1:12" x14ac:dyDescent="0.35">
      <c r="A2927" t="str">
        <f t="shared" si="1186"/>
        <v>NETPDC</v>
      </c>
      <c r="B2927" t="str">
        <f>T("6490 SAUFLEY FIELD RD")</f>
        <v>6490 SAUFLEY FIELD RD</v>
      </c>
      <c r="C2927" t="str">
        <f>T("BLDG 2435 CODE N84")</f>
        <v>BLDG 2435 CODE N84</v>
      </c>
      <c r="D2927" t="str">
        <f t="shared" si="1187"/>
        <v>PENSACOLA</v>
      </c>
      <c r="E2927" t="str">
        <f t="shared" si="1188"/>
        <v>FL</v>
      </c>
      <c r="F2927" t="str">
        <f>T("325095223")</f>
        <v>325095223</v>
      </c>
      <c r="G2927" t="str">
        <f>T("6490 SAUFLEY FIELD RD")</f>
        <v>6490 SAUFLEY FIELD RD</v>
      </c>
      <c r="H2927" t="str">
        <f>T("BLDG 2435 CODE N84")</f>
        <v>BLDG 2435 CODE N84</v>
      </c>
      <c r="I2927" t="str">
        <f t="shared" si="1189"/>
        <v>PENSACOLA</v>
      </c>
      <c r="J2927" t="str">
        <f t="shared" si="1190"/>
        <v>FL</v>
      </c>
      <c r="K2927" t="str">
        <f>T("8504521082")</f>
        <v>8504521082</v>
      </c>
      <c r="L2927" t="str">
        <f>T("8604736449")</f>
        <v>8604736449</v>
      </c>
    </row>
    <row r="2928" spans="1:12" x14ac:dyDescent="0.35">
      <c r="A2928" t="str">
        <f t="shared" si="1186"/>
        <v>NETPDC</v>
      </c>
      <c r="B2928" t="str">
        <f>T("6490 SAUFLEY FIELD ROAD")</f>
        <v>6490 SAUFLEY FIELD ROAD</v>
      </c>
      <c r="C2928" t="str">
        <f>T("BLDG 2435 CODE N3")</f>
        <v>BLDG 2435 CODE N3</v>
      </c>
      <c r="D2928" t="str">
        <f t="shared" si="1187"/>
        <v>PENSACOLA</v>
      </c>
      <c r="E2928" t="str">
        <f t="shared" si="1188"/>
        <v>FL</v>
      </c>
      <c r="F2928" t="str">
        <f>T("325095239")</f>
        <v>325095239</v>
      </c>
      <c r="G2928" t="str">
        <f>T("6490 SAUFLEY FIELD ROAD")</f>
        <v>6490 SAUFLEY FIELD ROAD</v>
      </c>
      <c r="H2928" t="str">
        <f>T("BLDG 2435 CODE N3")</f>
        <v>BLDG 2435 CODE N3</v>
      </c>
      <c r="I2928" t="str">
        <f t="shared" si="1189"/>
        <v>PENSACOLA</v>
      </c>
      <c r="J2928" t="str">
        <f t="shared" si="1190"/>
        <v>FL</v>
      </c>
      <c r="K2928" t="str">
        <f>T("8504521057")</f>
        <v>8504521057</v>
      </c>
      <c r="L2928" t="str">
        <f>T("8504736119")</f>
        <v>8504736119</v>
      </c>
    </row>
    <row r="2929" spans="1:12" x14ac:dyDescent="0.35">
      <c r="A2929" t="str">
        <f t="shared" si="1186"/>
        <v>NETPDC</v>
      </c>
      <c r="B2929" t="str">
        <f>T("6490 SAUFLEY FIELD ROAD")</f>
        <v>6490 SAUFLEY FIELD ROAD</v>
      </c>
      <c r="C2929" t="str">
        <f>T("BLDG 2435 CODE N3")</f>
        <v>BLDG 2435 CODE N3</v>
      </c>
      <c r="D2929" t="str">
        <f t="shared" si="1187"/>
        <v>PENSACOLA</v>
      </c>
      <c r="E2929" t="str">
        <f t="shared" si="1188"/>
        <v>FL</v>
      </c>
      <c r="F2929" t="str">
        <f>T("325095239")</f>
        <v>325095239</v>
      </c>
      <c r="G2929" t="str">
        <f>T("6490 SAUFLEY FIELD ROAD")</f>
        <v>6490 SAUFLEY FIELD ROAD</v>
      </c>
      <c r="H2929" t="str">
        <f>T("BLDG 2435 CODE N3")</f>
        <v>BLDG 2435 CODE N3</v>
      </c>
      <c r="I2929" t="str">
        <f t="shared" si="1189"/>
        <v>PENSACOLA</v>
      </c>
      <c r="J2929" t="str">
        <f t="shared" si="1190"/>
        <v>FL</v>
      </c>
      <c r="K2929" t="str">
        <f>T("8504521077")</f>
        <v>8504521077</v>
      </c>
      <c r="L2929" t="str">
        <f>T("8504736105")</f>
        <v>8504736105</v>
      </c>
    </row>
    <row r="2930" spans="1:12" x14ac:dyDescent="0.35">
      <c r="A2930" t="str">
        <f t="shared" si="1186"/>
        <v>NETPDC</v>
      </c>
      <c r="B2930" t="str">
        <f>T("6490 SAUFLEY FIELD ROAD")</f>
        <v>6490 SAUFLEY FIELD ROAD</v>
      </c>
      <c r="C2930" t="str">
        <f>T("BLDG 2435 CODE N8611")</f>
        <v>BLDG 2435 CODE N8611</v>
      </c>
      <c r="D2930" t="str">
        <f t="shared" si="1187"/>
        <v>PENSACOLA</v>
      </c>
      <c r="E2930" t="str">
        <f t="shared" si="1188"/>
        <v>FL</v>
      </c>
      <c r="F2930" t="str">
        <f>T("325095230")</f>
        <v>325095230</v>
      </c>
      <c r="G2930" t="str">
        <f>T("6490 SAUFLEY FIELD ROAD")</f>
        <v>6490 SAUFLEY FIELD ROAD</v>
      </c>
      <c r="H2930" t="str">
        <f>T("BLDG 2435 CODE N861")</f>
        <v>BLDG 2435 CODE N861</v>
      </c>
      <c r="I2930" t="str">
        <f t="shared" si="1189"/>
        <v>PENSACOLA</v>
      </c>
      <c r="J2930" t="str">
        <f t="shared" si="1190"/>
        <v>FL</v>
      </c>
      <c r="K2930" t="str">
        <f>T("8504736460")</f>
        <v>8504736460</v>
      </c>
      <c r="L2930" t="str">
        <f>T("8504736471")</f>
        <v>8504736471</v>
      </c>
    </row>
    <row r="2931" spans="1:12" x14ac:dyDescent="0.35">
      <c r="A2931" t="str">
        <f t="shared" si="1186"/>
        <v>NETPDC</v>
      </c>
      <c r="B2931" t="str">
        <f>T("6490 SAUFLEY FIELD ROAD")</f>
        <v>6490 SAUFLEY FIELD ROAD</v>
      </c>
      <c r="C2931" t="str">
        <f>T("BLDG 2435 CODE N8611")</f>
        <v>BLDG 2435 CODE N8611</v>
      </c>
      <c r="D2931" t="str">
        <f t="shared" si="1187"/>
        <v>PENSACOLA</v>
      </c>
      <c r="E2931" t="str">
        <f t="shared" si="1188"/>
        <v>FL</v>
      </c>
      <c r="F2931" t="str">
        <f>T("325095230")</f>
        <v>325095230</v>
      </c>
      <c r="G2931" t="str">
        <f>T("6490 SAUFLEY FIELD ROAD")</f>
        <v>6490 SAUFLEY FIELD ROAD</v>
      </c>
      <c r="H2931" t="str">
        <f>T("BLDG 2435 CODE N8611")</f>
        <v>BLDG 2435 CODE N8611</v>
      </c>
      <c r="I2931" t="str">
        <f t="shared" si="1189"/>
        <v>PENSACOLA</v>
      </c>
      <c r="J2931" t="str">
        <f t="shared" si="1190"/>
        <v>FL</v>
      </c>
      <c r="K2931" t="str">
        <f>T("8504732118")</f>
        <v>8504732118</v>
      </c>
      <c r="L2931" t="str">
        <f>T("8504736458")</f>
        <v>8504736458</v>
      </c>
    </row>
    <row r="2932" spans="1:12" x14ac:dyDescent="0.35">
      <c r="A2932" t="str">
        <f t="shared" si="1186"/>
        <v>NETPDC</v>
      </c>
      <c r="B2932" t="str">
        <f>T("6490 SAUFLEY FIELD ROAD")</f>
        <v>6490 SAUFLEY FIELD ROAD</v>
      </c>
      <c r="C2932" t="str">
        <f>T("BLDG 2435 CODE N8611")</f>
        <v>BLDG 2435 CODE N8611</v>
      </c>
      <c r="D2932" t="str">
        <f t="shared" si="1187"/>
        <v>PENSACOLA</v>
      </c>
      <c r="E2932" t="str">
        <f t="shared" si="1188"/>
        <v>FL</v>
      </c>
      <c r="F2932" t="str">
        <f>T("325095230")</f>
        <v>325095230</v>
      </c>
      <c r="G2932" t="str">
        <f>T("6490 SAUFLEY FIELD ROAD")</f>
        <v>6490 SAUFLEY FIELD ROAD</v>
      </c>
      <c r="H2932" t="str">
        <f>T("BLDG 2435 CODE N8611")</f>
        <v>BLDG 2435 CODE N8611</v>
      </c>
      <c r="I2932" t="str">
        <f t="shared" si="1189"/>
        <v>PENSACOLA</v>
      </c>
      <c r="J2932" t="str">
        <f t="shared" si="1190"/>
        <v>FL</v>
      </c>
      <c r="K2932" t="str">
        <f>T("8504736460")</f>
        <v>8504736460</v>
      </c>
      <c r="L2932" t="str">
        <f>T("8504736466")</f>
        <v>8504736466</v>
      </c>
    </row>
    <row r="2933" spans="1:12" x14ac:dyDescent="0.35">
      <c r="A2933" t="str">
        <f>T("NETSAFA")</f>
        <v>NETSAFA</v>
      </c>
      <c r="B2933" t="str">
        <f>T("250 DALLAS ST")</f>
        <v>250 DALLAS ST</v>
      </c>
      <c r="C2933" t="str">
        <f>T("")</f>
        <v/>
      </c>
      <c r="D2933" t="str">
        <f t="shared" si="1187"/>
        <v>PENSACOLA</v>
      </c>
      <c r="E2933" t="str">
        <f t="shared" si="1188"/>
        <v>FL</v>
      </c>
      <c r="F2933" t="str">
        <f>T("325085218")</f>
        <v>325085218</v>
      </c>
      <c r="G2933" t="str">
        <f>T("250 DALLAS ST")</f>
        <v>250 DALLAS ST</v>
      </c>
      <c r="H2933" t="str">
        <f>T("")</f>
        <v/>
      </c>
      <c r="I2933" t="str">
        <f t="shared" si="1189"/>
        <v>PENSACOLA</v>
      </c>
      <c r="J2933" t="str">
        <f t="shared" si="1190"/>
        <v>FL</v>
      </c>
      <c r="K2933" t="str">
        <f>T("8504528841")</f>
        <v>8504528841</v>
      </c>
      <c r="L2933" t="str">
        <f>T("8504522900")</f>
        <v>8504522900</v>
      </c>
    </row>
    <row r="2934" spans="1:12" x14ac:dyDescent="0.35">
      <c r="A2934" t="str">
        <f>T("NETSAFA")</f>
        <v>NETSAFA</v>
      </c>
      <c r="B2934" t="str">
        <f>T("250 DALLAS ST")</f>
        <v>250 DALLAS ST</v>
      </c>
      <c r="C2934" t="str">
        <f>T("")</f>
        <v/>
      </c>
      <c r="D2934" t="str">
        <f t="shared" si="1187"/>
        <v>PENSACOLA</v>
      </c>
      <c r="E2934" t="str">
        <f t="shared" si="1188"/>
        <v>FL</v>
      </c>
      <c r="F2934" t="str">
        <f>T("325085218")</f>
        <v>325085218</v>
      </c>
      <c r="G2934" t="str">
        <f>T("250 DALLAS STREET")</f>
        <v>250 DALLAS STREET</v>
      </c>
      <c r="H2934" t="str">
        <f>T("SUITE B")</f>
        <v>SUITE B</v>
      </c>
      <c r="I2934" t="str">
        <f t="shared" si="1189"/>
        <v>PENSACOLA</v>
      </c>
      <c r="J2934" t="str">
        <f t="shared" si="1190"/>
        <v>FL</v>
      </c>
      <c r="K2934" t="str">
        <f>T("000000000000000000")</f>
        <v>000000000000000000</v>
      </c>
      <c r="L2934" t="str">
        <f>T("8504524717")</f>
        <v>8504524717</v>
      </c>
    </row>
    <row r="2935" spans="1:12" x14ac:dyDescent="0.35">
      <c r="A2935" t="str">
        <f>T("NETSAFA")</f>
        <v>NETSAFA</v>
      </c>
      <c r="B2935" t="str">
        <f>T("250 DALLAS ST")</f>
        <v>250 DALLAS ST</v>
      </c>
      <c r="C2935" t="str">
        <f>T("")</f>
        <v/>
      </c>
      <c r="D2935" t="str">
        <f t="shared" si="1187"/>
        <v>PENSACOLA</v>
      </c>
      <c r="E2935" t="str">
        <f t="shared" si="1188"/>
        <v>FL</v>
      </c>
      <c r="F2935" t="str">
        <f>T("325085218")</f>
        <v>325085218</v>
      </c>
      <c r="G2935" t="str">
        <f>T("250 DALLAS STREET SUITE B")</f>
        <v>250 DALLAS STREET SUITE B</v>
      </c>
      <c r="H2935" t="str">
        <f>T("")</f>
        <v/>
      </c>
      <c r="I2935" t="str">
        <f t="shared" si="1189"/>
        <v>PENSACOLA</v>
      </c>
      <c r="J2935" t="str">
        <f t="shared" si="1190"/>
        <v>FL</v>
      </c>
      <c r="K2935" t="str">
        <f>T("8504522953")</f>
        <v>8504522953</v>
      </c>
      <c r="L2935" t="str">
        <f>T("8504525570")</f>
        <v>8504525570</v>
      </c>
    </row>
    <row r="2936" spans="1:12" x14ac:dyDescent="0.35">
      <c r="A2936" t="str">
        <f>T("NETSAFA")</f>
        <v>NETSAFA</v>
      </c>
      <c r="B2936" t="str">
        <f>T("250 DALLAS ST")</f>
        <v>250 DALLAS ST</v>
      </c>
      <c r="C2936" t="str">
        <f>T("")</f>
        <v/>
      </c>
      <c r="D2936" t="str">
        <f t="shared" si="1187"/>
        <v>PENSACOLA</v>
      </c>
      <c r="E2936" t="str">
        <f t="shared" si="1188"/>
        <v>FL</v>
      </c>
      <c r="F2936" t="str">
        <f>T("325085218")</f>
        <v>325085218</v>
      </c>
      <c r="G2936" t="str">
        <f>T("250 DALLAS STREET SUITE B")</f>
        <v>250 DALLAS STREET SUITE B</v>
      </c>
      <c r="H2936" t="str">
        <f>T("")</f>
        <v/>
      </c>
      <c r="I2936" t="str">
        <f t="shared" si="1189"/>
        <v>PENSACOLA</v>
      </c>
      <c r="J2936" t="str">
        <f t="shared" si="1190"/>
        <v>FL</v>
      </c>
      <c r="K2936" t="str">
        <f>T("8504523744")</f>
        <v>8504523744</v>
      </c>
      <c r="L2936" t="str">
        <f>T("8504524791")</f>
        <v>8504524791</v>
      </c>
    </row>
    <row r="2937" spans="1:12" x14ac:dyDescent="0.35">
      <c r="A2937" t="str">
        <f>T("NPTU")</f>
        <v>NPTU</v>
      </c>
      <c r="B2937" t="str">
        <f>T("1260 SNOW POINTE ROAD")</f>
        <v>1260 SNOW POINTE ROAD</v>
      </c>
      <c r="C2937" t="str">
        <f>T("NPTU")</f>
        <v>NPTU</v>
      </c>
      <c r="D2937" t="str">
        <f>T("GOOSE CREEK")</f>
        <v>GOOSE CREEK</v>
      </c>
      <c r="E2937" t="str">
        <f>T("SC")</f>
        <v>SC</v>
      </c>
      <c r="F2937" t="str">
        <f>T("294458610")</f>
        <v>294458610</v>
      </c>
      <c r="G2937" t="str">
        <f>T("1260 SNOW POINTE RD")</f>
        <v>1260 SNOW POINTE RD</v>
      </c>
      <c r="H2937" t="str">
        <f>T("NPTU")</f>
        <v>NPTU</v>
      </c>
      <c r="I2937" t="str">
        <f>T("GOOSE CREEK")</f>
        <v>GOOSE CREEK</v>
      </c>
      <c r="J2937" t="str">
        <f>T("SC")</f>
        <v>SC</v>
      </c>
      <c r="K2937" t="str">
        <f>T("8437944262")</f>
        <v>8437944262</v>
      </c>
      <c r="L2937" t="str">
        <f>T("8437944274")</f>
        <v>8437944274</v>
      </c>
    </row>
    <row r="2938" spans="1:12" x14ac:dyDescent="0.35">
      <c r="A2938" t="str">
        <f>T("NPTU")</f>
        <v>NPTU</v>
      </c>
      <c r="B2938" t="str">
        <f>T("1260 SNOW POINTE ROAD")</f>
        <v>1260 SNOW POINTE ROAD</v>
      </c>
      <c r="C2938" t="str">
        <f>T("NPTU")</f>
        <v>NPTU</v>
      </c>
      <c r="D2938" t="str">
        <f>T("GOOSE CREEK")</f>
        <v>GOOSE CREEK</v>
      </c>
      <c r="E2938" t="str">
        <f>T("SC")</f>
        <v>SC</v>
      </c>
      <c r="F2938" t="str">
        <f>T("294458610")</f>
        <v>294458610</v>
      </c>
      <c r="G2938" t="str">
        <f>T("1260 SNOW POINTE ROAD")</f>
        <v>1260 SNOW POINTE ROAD</v>
      </c>
      <c r="H2938" t="str">
        <f>T("")</f>
        <v/>
      </c>
      <c r="I2938" t="str">
        <f>T("GOOSE CREEK")</f>
        <v>GOOSE CREEK</v>
      </c>
      <c r="J2938" t="str">
        <f>T("SC")</f>
        <v>SC</v>
      </c>
      <c r="K2938" t="str">
        <f>T("000000000000000000")</f>
        <v>000000000000000000</v>
      </c>
      <c r="L2938" t="str">
        <f>T("8438635580")</f>
        <v>8438635580</v>
      </c>
    </row>
    <row r="2939" spans="1:12" x14ac:dyDescent="0.35">
      <c r="A2939" t="str">
        <f>T("NPTU")</f>
        <v>NPTU</v>
      </c>
      <c r="B2939" t="str">
        <f>T("1260 SNOW POINTE ROAD")</f>
        <v>1260 SNOW POINTE ROAD</v>
      </c>
      <c r="C2939" t="str">
        <f>T("NPTU")</f>
        <v>NPTU</v>
      </c>
      <c r="D2939" t="str">
        <f>T("GOOSE CREEK")</f>
        <v>GOOSE CREEK</v>
      </c>
      <c r="E2939" t="str">
        <f>T("SC")</f>
        <v>SC</v>
      </c>
      <c r="F2939" t="str">
        <f>T("294458610")</f>
        <v>294458610</v>
      </c>
      <c r="G2939" t="str">
        <f>T("1260 SNOW POINTE ROAD")</f>
        <v>1260 SNOW POINTE ROAD</v>
      </c>
      <c r="H2939" t="str">
        <f>T("NPTU")</f>
        <v>NPTU</v>
      </c>
      <c r="I2939" t="str">
        <f>T("GOOSE CREEK")</f>
        <v>GOOSE CREEK</v>
      </c>
      <c r="J2939" t="str">
        <f>T("SC")</f>
        <v>SC</v>
      </c>
      <c r="K2939" t="str">
        <f>T("8437644272")</f>
        <v>8437644272</v>
      </c>
      <c r="L2939" t="str">
        <f>T("8438635683")</f>
        <v>8438635683</v>
      </c>
    </row>
    <row r="2940" spans="1:12" x14ac:dyDescent="0.35">
      <c r="A2940" t="str">
        <f t="shared" ref="A2940:A2945" si="1191">T("NRD CHICAGO")</f>
        <v>NRD CHICAGO</v>
      </c>
      <c r="B2940" t="str">
        <f>T("2834 B GREEN BAY RD")</f>
        <v>2834 B GREEN BAY RD</v>
      </c>
      <c r="C2940" t="str">
        <f>T("STE 266")</f>
        <v>STE 266</v>
      </c>
      <c r="D2940" t="str">
        <f t="shared" ref="D2940:D2945" si="1192">T("GREAT LAKES")</f>
        <v>GREAT LAKES</v>
      </c>
      <c r="E2940" t="str">
        <f t="shared" ref="E2940:E2945" si="1193">T("IL")</f>
        <v>IL</v>
      </c>
      <c r="F2940" t="str">
        <f t="shared" ref="F2940:F2945" si="1194">T("600883211")</f>
        <v>600883211</v>
      </c>
      <c r="G2940" t="str">
        <f>T("2834 B GREEN BAY RD")</f>
        <v>2834 B GREEN BAY RD</v>
      </c>
      <c r="H2940" t="str">
        <f>T("STE 266")</f>
        <v>STE 266</v>
      </c>
      <c r="I2940" t="str">
        <f t="shared" ref="I2940:I2945" si="1195">T("GREAT LAKES")</f>
        <v>GREAT LAKES</v>
      </c>
      <c r="J2940" t="str">
        <f t="shared" ref="J2940:J2945" si="1196">T("IL")</f>
        <v>IL</v>
      </c>
      <c r="K2940" t="str">
        <f>T("000000000000000000")</f>
        <v>000000000000000000</v>
      </c>
      <c r="L2940" t="str">
        <f t="shared" ref="L2940:L2945" si="1197">T("8476887100")</f>
        <v>8476887100</v>
      </c>
    </row>
    <row r="2941" spans="1:12" x14ac:dyDescent="0.35">
      <c r="A2941" t="str">
        <f t="shared" si="1191"/>
        <v>NRD CHICAGO</v>
      </c>
      <c r="B2941" t="str">
        <f>T("2834 B GREEN BAY RD")</f>
        <v>2834 B GREEN BAY RD</v>
      </c>
      <c r="C2941" t="str">
        <f>T("STE 266")</f>
        <v>STE 266</v>
      </c>
      <c r="D2941" t="str">
        <f t="shared" si="1192"/>
        <v>GREAT LAKES</v>
      </c>
      <c r="E2941" t="str">
        <f t="shared" si="1193"/>
        <v>IL</v>
      </c>
      <c r="F2941" t="str">
        <f t="shared" si="1194"/>
        <v>600883211</v>
      </c>
      <c r="G2941" t="str">
        <f>T("2834 B GREENBAY RD")</f>
        <v>2834 B GREENBAY RD</v>
      </c>
      <c r="H2941" t="str">
        <f>T("SUITE 266 BLDG 3400")</f>
        <v>SUITE 266 BLDG 3400</v>
      </c>
      <c r="I2941" t="str">
        <f t="shared" si="1195"/>
        <v>GREAT LAKES</v>
      </c>
      <c r="J2941" t="str">
        <f t="shared" si="1196"/>
        <v>IL</v>
      </c>
      <c r="K2941" t="str">
        <f>T("84706887230")</f>
        <v>84706887230</v>
      </c>
      <c r="L2941" t="str">
        <f t="shared" si="1197"/>
        <v>8476887100</v>
      </c>
    </row>
    <row r="2942" spans="1:12" x14ac:dyDescent="0.35">
      <c r="A2942" t="str">
        <f t="shared" si="1191"/>
        <v>NRD CHICAGO</v>
      </c>
      <c r="B2942" t="str">
        <f>T("2834 B GREEN BAY RD")</f>
        <v>2834 B GREEN BAY RD</v>
      </c>
      <c r="C2942" t="str">
        <f>T("STE 266")</f>
        <v>STE 266</v>
      </c>
      <c r="D2942" t="str">
        <f t="shared" si="1192"/>
        <v>GREAT LAKES</v>
      </c>
      <c r="E2942" t="str">
        <f t="shared" si="1193"/>
        <v>IL</v>
      </c>
      <c r="F2942" t="str">
        <f t="shared" si="1194"/>
        <v>600883211</v>
      </c>
      <c r="G2942" t="str">
        <f>T("2834 GREEN BAY RD")</f>
        <v>2834 GREEN BAY RD</v>
      </c>
      <c r="H2942" t="str">
        <f>T("STE 266")</f>
        <v>STE 266</v>
      </c>
      <c r="I2942" t="str">
        <f t="shared" si="1195"/>
        <v>GREAT LAKES</v>
      </c>
      <c r="J2942" t="str">
        <f t="shared" si="1196"/>
        <v>IL</v>
      </c>
      <c r="K2942" t="str">
        <f>T("8476887127")</f>
        <v>8476887127</v>
      </c>
      <c r="L2942" t="str">
        <f t="shared" si="1197"/>
        <v>8476887100</v>
      </c>
    </row>
    <row r="2943" spans="1:12" x14ac:dyDescent="0.35">
      <c r="A2943" t="str">
        <f t="shared" si="1191"/>
        <v>NRD CHICAGO</v>
      </c>
      <c r="B2943" t="str">
        <f>T("2834 B GREEN BAY RD")</f>
        <v>2834 B GREEN BAY RD</v>
      </c>
      <c r="C2943" t="str">
        <f>T("STE 266")</f>
        <v>STE 266</v>
      </c>
      <c r="D2943" t="str">
        <f t="shared" si="1192"/>
        <v>GREAT LAKES</v>
      </c>
      <c r="E2943" t="str">
        <f t="shared" si="1193"/>
        <v>IL</v>
      </c>
      <c r="F2943" t="str">
        <f t="shared" si="1194"/>
        <v>600883211</v>
      </c>
      <c r="G2943" t="str">
        <f>T("2834B GREEN BAY RD")</f>
        <v>2834B GREEN BAY RD</v>
      </c>
      <c r="H2943" t="str">
        <f>T("SUITE 266")</f>
        <v>SUITE 266</v>
      </c>
      <c r="I2943" t="str">
        <f t="shared" si="1195"/>
        <v>GREAT LAKES</v>
      </c>
      <c r="J2943" t="str">
        <f t="shared" si="1196"/>
        <v>IL</v>
      </c>
      <c r="K2943" t="str">
        <f>T("8476887124")</f>
        <v>8476887124</v>
      </c>
      <c r="L2943" t="str">
        <f t="shared" si="1197"/>
        <v>8476887100</v>
      </c>
    </row>
    <row r="2944" spans="1:12" x14ac:dyDescent="0.35">
      <c r="A2944" t="str">
        <f t="shared" si="1191"/>
        <v>NRD CHICAGO</v>
      </c>
      <c r="B2944" t="str">
        <f>T("2834 B GREENBAY RD")</f>
        <v>2834 B GREENBAY RD</v>
      </c>
      <c r="C2944" t="str">
        <f>T("BLDG 3400 SUITE 266")</f>
        <v>BLDG 3400 SUITE 266</v>
      </c>
      <c r="D2944" t="str">
        <f t="shared" si="1192"/>
        <v>GREAT LAKES</v>
      </c>
      <c r="E2944" t="str">
        <f t="shared" si="1193"/>
        <v>IL</v>
      </c>
      <c r="F2944" t="str">
        <f t="shared" si="1194"/>
        <v>600883211</v>
      </c>
      <c r="G2944" t="str">
        <f>T("2834 B GREENBAY RD")</f>
        <v>2834 B GREENBAY RD</v>
      </c>
      <c r="H2944" t="str">
        <f>T("BLDG 3400 SUITE 266")</f>
        <v>BLDG 3400 SUITE 266</v>
      </c>
      <c r="I2944" t="str">
        <f t="shared" si="1195"/>
        <v>GREAT LAKES</v>
      </c>
      <c r="J2944" t="str">
        <f t="shared" si="1196"/>
        <v>IL</v>
      </c>
      <c r="K2944" t="str">
        <f>T("8476887124")</f>
        <v>8476887124</v>
      </c>
      <c r="L2944" t="str">
        <f t="shared" si="1197"/>
        <v>8476887100</v>
      </c>
    </row>
    <row r="2945" spans="1:12" x14ac:dyDescent="0.35">
      <c r="A2945" t="str">
        <f t="shared" si="1191"/>
        <v>NRD CHICAGO</v>
      </c>
      <c r="B2945" t="str">
        <f>T("2834 B GREENBAY RD")</f>
        <v>2834 B GREENBAY RD</v>
      </c>
      <c r="C2945" t="str">
        <f>T("BLDG 3400 SUITE 266")</f>
        <v>BLDG 3400 SUITE 266</v>
      </c>
      <c r="D2945" t="str">
        <f t="shared" si="1192"/>
        <v>GREAT LAKES</v>
      </c>
      <c r="E2945" t="str">
        <f t="shared" si="1193"/>
        <v>IL</v>
      </c>
      <c r="F2945" t="str">
        <f t="shared" si="1194"/>
        <v>600883211</v>
      </c>
      <c r="G2945" t="str">
        <f>T("2834B GREEN BAY RD STE 266")</f>
        <v>2834B GREEN BAY RD STE 266</v>
      </c>
      <c r="H2945" t="str">
        <f>T("BLDG 3400")</f>
        <v>BLDG 3400</v>
      </c>
      <c r="I2945" t="str">
        <f t="shared" si="1195"/>
        <v>GREAT LAKES</v>
      </c>
      <c r="J2945" t="str">
        <f t="shared" si="1196"/>
        <v>IL</v>
      </c>
      <c r="K2945" t="str">
        <f>T("8476887230")</f>
        <v>8476887230</v>
      </c>
      <c r="L2945" t="str">
        <f t="shared" si="1197"/>
        <v>8476887100</v>
      </c>
    </row>
    <row r="2946" spans="1:12" x14ac:dyDescent="0.35">
      <c r="A2946" t="str">
        <f>T("NRD PHOENIX")</f>
        <v>NRD PHOENIX</v>
      </c>
      <c r="B2946" t="str">
        <f>T("ONE NORTH FIRST STREET")</f>
        <v>ONE NORTH FIRST STREET</v>
      </c>
      <c r="C2946" t="str">
        <f>T("STE 327")</f>
        <v>STE 327</v>
      </c>
      <c r="D2946" t="str">
        <f>T("PHOENIX")</f>
        <v>PHOENIX</v>
      </c>
      <c r="E2946" t="str">
        <f>T("AZ")</f>
        <v>AZ</v>
      </c>
      <c r="F2946" t="str">
        <f>T("850042365")</f>
        <v>850042365</v>
      </c>
      <c r="G2946" t="str">
        <f>T("1 N 1ST ST")</f>
        <v>1 N 1ST ST</v>
      </c>
      <c r="H2946" t="str">
        <f>T("SUITE 327")</f>
        <v>SUITE 327</v>
      </c>
      <c r="I2946" t="str">
        <f>T("PHOENIX")</f>
        <v>PHOENIX</v>
      </c>
      <c r="J2946" t="str">
        <f>T("AZ")</f>
        <v>AZ</v>
      </c>
      <c r="K2946" t="str">
        <f>T("6022566022205")</f>
        <v>6022566022205</v>
      </c>
      <c r="L2946" t="str">
        <f>T("6022562246")</f>
        <v>6022562246</v>
      </c>
    </row>
    <row r="2947" spans="1:12" x14ac:dyDescent="0.35">
      <c r="A2947" t="str">
        <f>T("NRD PHOENIX")</f>
        <v>NRD PHOENIX</v>
      </c>
      <c r="B2947" t="str">
        <f>T("ONE NORTH FIRST STREET")</f>
        <v>ONE NORTH FIRST STREET</v>
      </c>
      <c r="C2947" t="str">
        <f>T("STE 327")</f>
        <v>STE 327</v>
      </c>
      <c r="D2947" t="str">
        <f>T("PHOENIX")</f>
        <v>PHOENIX</v>
      </c>
      <c r="E2947" t="str">
        <f>T("AZ")</f>
        <v>AZ</v>
      </c>
      <c r="F2947" t="str">
        <f>T("850042365")</f>
        <v>850042365</v>
      </c>
      <c r="G2947" t="str">
        <f>T("1 N 1ST STREET 327")</f>
        <v>1 N 1ST STREET 327</v>
      </c>
      <c r="H2947" t="str">
        <f>T("")</f>
        <v/>
      </c>
      <c r="I2947" t="str">
        <f>T("PHOENIX")</f>
        <v>PHOENIX</v>
      </c>
      <c r="J2947" t="str">
        <f>T("AZ")</f>
        <v>AZ</v>
      </c>
      <c r="K2947" t="str">
        <f>T("000000000000000000")</f>
        <v>000000000000000000</v>
      </c>
      <c r="L2947" t="str">
        <f>T("6022562246")</f>
        <v>6022562246</v>
      </c>
    </row>
    <row r="2948" spans="1:12" x14ac:dyDescent="0.35">
      <c r="A2948" t="str">
        <f>T("NRD PHOENIX")</f>
        <v>NRD PHOENIX</v>
      </c>
      <c r="B2948" t="str">
        <f>T("ONE NORTH FIRST STREET")</f>
        <v>ONE NORTH FIRST STREET</v>
      </c>
      <c r="C2948" t="str">
        <f>T("STE 327")</f>
        <v>STE 327</v>
      </c>
      <c r="D2948" t="str">
        <f>T("PHOENIX")</f>
        <v>PHOENIX</v>
      </c>
      <c r="E2948" t="str">
        <f>T("AZ")</f>
        <v>AZ</v>
      </c>
      <c r="F2948" t="str">
        <f>T("850042365")</f>
        <v>850042365</v>
      </c>
      <c r="G2948" t="str">
        <f>T("1 NORTH FIRST STREET")</f>
        <v>1 NORTH FIRST STREET</v>
      </c>
      <c r="H2948" t="str">
        <f>T("SUITE 327")</f>
        <v>SUITE 327</v>
      </c>
      <c r="I2948" t="str">
        <f>T("PHOENIX")</f>
        <v>PHOENIX</v>
      </c>
      <c r="J2948" t="str">
        <f>T("AZ")</f>
        <v>AZ</v>
      </c>
      <c r="K2948" t="str">
        <f>T("6022535456")</f>
        <v>6022535456</v>
      </c>
      <c r="L2948" t="str">
        <f>T("6022566022")</f>
        <v>6022566022</v>
      </c>
    </row>
    <row r="2949" spans="1:12" x14ac:dyDescent="0.35">
      <c r="A2949" t="str">
        <f>T("NRD PHOENIX")</f>
        <v>NRD PHOENIX</v>
      </c>
      <c r="B2949" t="str">
        <f>T("ONE NORTH FIRST STREET")</f>
        <v>ONE NORTH FIRST STREET</v>
      </c>
      <c r="C2949" t="str">
        <f>T("STE 327")</f>
        <v>STE 327</v>
      </c>
      <c r="D2949" t="str">
        <f>T("PHOENIX")</f>
        <v>PHOENIX</v>
      </c>
      <c r="E2949" t="str">
        <f>T("AZ")</f>
        <v>AZ</v>
      </c>
      <c r="F2949" t="str">
        <f>T("850042365")</f>
        <v>850042365</v>
      </c>
      <c r="G2949" t="str">
        <f>T("ONE NORTH FIRST ST")</f>
        <v>ONE NORTH FIRST ST</v>
      </c>
      <c r="H2949" t="str">
        <f>T("STE 427")</f>
        <v>STE 427</v>
      </c>
      <c r="I2949" t="str">
        <f>T("PHOENIX")</f>
        <v>PHOENIX</v>
      </c>
      <c r="J2949" t="str">
        <f>T("AZ")</f>
        <v>AZ</v>
      </c>
      <c r="K2949" t="str">
        <f>T("6022622835")</f>
        <v>6022622835</v>
      </c>
      <c r="L2949" t="str">
        <f>T("6022622996")</f>
        <v>6022622996</v>
      </c>
    </row>
    <row r="2950" spans="1:12" x14ac:dyDescent="0.35">
      <c r="A2950" t="str">
        <f>T("NRD PHOENIX")</f>
        <v>NRD PHOENIX</v>
      </c>
      <c r="B2950" t="str">
        <f>T("ONE NORTH FIRST STREET")</f>
        <v>ONE NORTH FIRST STREET</v>
      </c>
      <c r="C2950" t="str">
        <f>T("STE 327")</f>
        <v>STE 327</v>
      </c>
      <c r="D2950" t="str">
        <f>T("PHOENIX")</f>
        <v>PHOENIX</v>
      </c>
      <c r="E2950" t="str">
        <f>T("AZ")</f>
        <v>AZ</v>
      </c>
      <c r="F2950" t="str">
        <f>T("850042365")</f>
        <v>850042365</v>
      </c>
      <c r="G2950" t="str">
        <f>T("ONE NORTH FIRST STREET")</f>
        <v>ONE NORTH FIRST STREET</v>
      </c>
      <c r="H2950" t="str">
        <f>T("STE 327")</f>
        <v>STE 327</v>
      </c>
      <c r="I2950" t="str">
        <f>T("PHOENIX")</f>
        <v>PHOENIX</v>
      </c>
      <c r="J2950" t="str">
        <f>T("AZ")</f>
        <v>AZ</v>
      </c>
      <c r="K2950" t="str">
        <f>T("000000000000000000")</f>
        <v>000000000000000000</v>
      </c>
      <c r="L2950" t="str">
        <f>T("6022562256")</f>
        <v>6022562256</v>
      </c>
    </row>
    <row r="2951" spans="1:12" x14ac:dyDescent="0.35">
      <c r="A2951" t="str">
        <f t="shared" ref="A2951:A2956" si="1198">T("NRD OHIO")</f>
        <v>NRD OHIO</v>
      </c>
      <c r="B2951" t="str">
        <f t="shared" ref="B2951:B2956" si="1199">T("3990 E BROAD ST")</f>
        <v>3990 E BROAD ST</v>
      </c>
      <c r="C2951" t="str">
        <f t="shared" ref="C2951:C2956" si="1200">T("")</f>
        <v/>
      </c>
      <c r="D2951" t="str">
        <f t="shared" ref="D2951:D2956" si="1201">T("COLUMBUS")</f>
        <v>COLUMBUS</v>
      </c>
      <c r="E2951" t="str">
        <f t="shared" ref="E2951:E2956" si="1202">T("OH")</f>
        <v>OH</v>
      </c>
      <c r="F2951" t="str">
        <f t="shared" ref="F2951:F2956" si="1203">T("432131152")</f>
        <v>432131152</v>
      </c>
      <c r="G2951" t="str">
        <f>T("3990 E BROAD ST")</f>
        <v>3990 E BROAD ST</v>
      </c>
      <c r="H2951" t="str">
        <f t="shared" ref="H2951:H2956" si="1204">T("")</f>
        <v/>
      </c>
      <c r="I2951" t="str">
        <f t="shared" ref="I2951:I2956" si="1205">T("COLUMBUS")</f>
        <v>COLUMBUS</v>
      </c>
      <c r="J2951" t="str">
        <f t="shared" ref="J2951:J2956" si="1206">T("OH")</f>
        <v>OH</v>
      </c>
      <c r="K2951" t="str">
        <f>T("000000000000000000")</f>
        <v>000000000000000000</v>
      </c>
      <c r="L2951" t="str">
        <f>T("6146933056")</f>
        <v>6146933056</v>
      </c>
    </row>
    <row r="2952" spans="1:12" x14ac:dyDescent="0.35">
      <c r="A2952" t="str">
        <f t="shared" si="1198"/>
        <v>NRD OHIO</v>
      </c>
      <c r="B2952" t="str">
        <f t="shared" si="1199"/>
        <v>3990 E BROAD ST</v>
      </c>
      <c r="C2952" t="str">
        <f t="shared" si="1200"/>
        <v/>
      </c>
      <c r="D2952" t="str">
        <f t="shared" si="1201"/>
        <v>COLUMBUS</v>
      </c>
      <c r="E2952" t="str">
        <f t="shared" si="1202"/>
        <v>OH</v>
      </c>
      <c r="F2952" t="str">
        <f t="shared" si="1203"/>
        <v>432131152</v>
      </c>
      <c r="G2952" t="str">
        <f>T("3990 E BROAD ST")</f>
        <v>3990 E BROAD ST</v>
      </c>
      <c r="H2952" t="str">
        <f t="shared" si="1204"/>
        <v/>
      </c>
      <c r="I2952" t="str">
        <f t="shared" si="1205"/>
        <v>COLUMBUS</v>
      </c>
      <c r="J2952" t="str">
        <f t="shared" si="1206"/>
        <v>OH</v>
      </c>
      <c r="K2952" t="str">
        <f>T("6146933059")</f>
        <v>6146933059</v>
      </c>
      <c r="L2952" t="str">
        <f>T("6146933051")</f>
        <v>6146933051</v>
      </c>
    </row>
    <row r="2953" spans="1:12" x14ac:dyDescent="0.35">
      <c r="A2953" t="str">
        <f t="shared" si="1198"/>
        <v>NRD OHIO</v>
      </c>
      <c r="B2953" t="str">
        <f t="shared" si="1199"/>
        <v>3990 E BROAD ST</v>
      </c>
      <c r="C2953" t="str">
        <f t="shared" si="1200"/>
        <v/>
      </c>
      <c r="D2953" t="str">
        <f t="shared" si="1201"/>
        <v>COLUMBUS</v>
      </c>
      <c r="E2953" t="str">
        <f t="shared" si="1202"/>
        <v>OH</v>
      </c>
      <c r="F2953" t="str">
        <f t="shared" si="1203"/>
        <v>432131152</v>
      </c>
      <c r="G2953" t="str">
        <f>T("P O BOX 3990")</f>
        <v>P O BOX 3990</v>
      </c>
      <c r="H2953" t="str">
        <f t="shared" si="1204"/>
        <v/>
      </c>
      <c r="I2953" t="str">
        <f t="shared" si="1205"/>
        <v>COLUMBUS</v>
      </c>
      <c r="J2953" t="str">
        <f t="shared" si="1206"/>
        <v>OH</v>
      </c>
      <c r="K2953" t="str">
        <f>T("6146933059")</f>
        <v>6146933059</v>
      </c>
      <c r="L2953" t="str">
        <f>T("6146933052")</f>
        <v>6146933052</v>
      </c>
    </row>
    <row r="2954" spans="1:12" x14ac:dyDescent="0.35">
      <c r="A2954" t="str">
        <f t="shared" si="1198"/>
        <v>NRD OHIO</v>
      </c>
      <c r="B2954" t="str">
        <f t="shared" si="1199"/>
        <v>3990 E BROAD ST</v>
      </c>
      <c r="C2954" t="str">
        <f t="shared" si="1200"/>
        <v/>
      </c>
      <c r="D2954" t="str">
        <f t="shared" si="1201"/>
        <v>COLUMBUS</v>
      </c>
      <c r="E2954" t="str">
        <f t="shared" si="1202"/>
        <v>OH</v>
      </c>
      <c r="F2954" t="str">
        <f t="shared" si="1203"/>
        <v>432131152</v>
      </c>
      <c r="G2954" t="str">
        <f>T("PO BOX 3990")</f>
        <v>PO BOX 3990</v>
      </c>
      <c r="H2954" t="str">
        <f t="shared" si="1204"/>
        <v/>
      </c>
      <c r="I2954" t="str">
        <f t="shared" si="1205"/>
        <v>COLUMBUS</v>
      </c>
      <c r="J2954" t="str">
        <f t="shared" si="1206"/>
        <v>OH</v>
      </c>
      <c r="K2954" t="str">
        <f>T("000000000000000000")</f>
        <v>000000000000000000</v>
      </c>
      <c r="L2954" t="str">
        <f>T("6146933053")</f>
        <v>6146933053</v>
      </c>
    </row>
    <row r="2955" spans="1:12" x14ac:dyDescent="0.35">
      <c r="A2955" t="str">
        <f t="shared" si="1198"/>
        <v>NRD OHIO</v>
      </c>
      <c r="B2955" t="str">
        <f t="shared" si="1199"/>
        <v>3990 E BROAD ST</v>
      </c>
      <c r="C2955" t="str">
        <f t="shared" si="1200"/>
        <v/>
      </c>
      <c r="D2955" t="str">
        <f t="shared" si="1201"/>
        <v>COLUMBUS</v>
      </c>
      <c r="E2955" t="str">
        <f t="shared" si="1202"/>
        <v>OH</v>
      </c>
      <c r="F2955" t="str">
        <f t="shared" si="1203"/>
        <v>432131152</v>
      </c>
      <c r="G2955" t="str">
        <f>T("PO BOX 3990")</f>
        <v>PO BOX 3990</v>
      </c>
      <c r="H2955" t="str">
        <f t="shared" si="1204"/>
        <v/>
      </c>
      <c r="I2955" t="str">
        <f t="shared" si="1205"/>
        <v>COLUMBUS</v>
      </c>
      <c r="J2955" t="str">
        <f t="shared" si="1206"/>
        <v>OH</v>
      </c>
      <c r="K2955" t="str">
        <f>T("000000000000000000")</f>
        <v>000000000000000000</v>
      </c>
      <c r="L2955" t="str">
        <f>T("6146933054")</f>
        <v>6146933054</v>
      </c>
    </row>
    <row r="2956" spans="1:12" x14ac:dyDescent="0.35">
      <c r="A2956" t="str">
        <f t="shared" si="1198"/>
        <v>NRD OHIO</v>
      </c>
      <c r="B2956" t="str">
        <f t="shared" si="1199"/>
        <v>3990 E BROAD ST</v>
      </c>
      <c r="C2956" t="str">
        <f t="shared" si="1200"/>
        <v/>
      </c>
      <c r="D2956" t="str">
        <f t="shared" si="1201"/>
        <v>COLUMBUS</v>
      </c>
      <c r="E2956" t="str">
        <f t="shared" si="1202"/>
        <v>OH</v>
      </c>
      <c r="F2956" t="str">
        <f t="shared" si="1203"/>
        <v>432131152</v>
      </c>
      <c r="G2956" t="str">
        <f>T("PO BOX 3990")</f>
        <v>PO BOX 3990</v>
      </c>
      <c r="H2956" t="str">
        <f t="shared" si="1204"/>
        <v/>
      </c>
      <c r="I2956" t="str">
        <f t="shared" si="1205"/>
        <v>COLUMBUS</v>
      </c>
      <c r="J2956" t="str">
        <f t="shared" si="1206"/>
        <v>OH</v>
      </c>
      <c r="K2956" t="str">
        <f>T("000000000000000000")</f>
        <v>000000000000000000</v>
      </c>
      <c r="L2956" t="str">
        <f>T("6146933060")</f>
        <v>6146933060</v>
      </c>
    </row>
    <row r="2957" spans="1:12" x14ac:dyDescent="0.35">
      <c r="A2957" t="str">
        <f>T("NAVY RECRUITING DISTRICT HOUST")</f>
        <v>NAVY RECRUITING DISTRICT HOUST</v>
      </c>
      <c r="B2957" t="str">
        <f>T("9990 RICHMOND AVE")</f>
        <v>9990 RICHMOND AVE</v>
      </c>
      <c r="C2957" t="str">
        <f>T("STE 200")</f>
        <v>STE 200</v>
      </c>
      <c r="D2957" t="str">
        <f>T("HOUSTON")</f>
        <v>HOUSTON</v>
      </c>
      <c r="E2957" t="str">
        <f>T("TX")</f>
        <v>TX</v>
      </c>
      <c r="F2957" t="str">
        <f>T("770424546")</f>
        <v>770424546</v>
      </c>
      <c r="G2957" t="str">
        <f>T("9990 RICHMOND AVE")</f>
        <v>9990 RICHMOND AVE</v>
      </c>
      <c r="H2957" t="str">
        <f>T("STE 200")</f>
        <v>STE 200</v>
      </c>
      <c r="I2957" t="str">
        <f>T("HOUSTON")</f>
        <v>HOUSTON</v>
      </c>
      <c r="J2957" t="str">
        <f>T("TX")</f>
        <v>TX</v>
      </c>
      <c r="K2957" t="str">
        <f>T("")</f>
        <v/>
      </c>
      <c r="L2957" t="str">
        <f>T("7139535923")</f>
        <v>7139535923</v>
      </c>
    </row>
    <row r="2958" spans="1:12" x14ac:dyDescent="0.35">
      <c r="A2958" t="str">
        <f>T("NAVY RECRUITING DISTRICT HOUST")</f>
        <v>NAVY RECRUITING DISTRICT HOUST</v>
      </c>
      <c r="B2958" t="str">
        <f>T("9990 RICHMOND AVE")</f>
        <v>9990 RICHMOND AVE</v>
      </c>
      <c r="C2958" t="str">
        <f>T("STE 200")</f>
        <v>STE 200</v>
      </c>
      <c r="D2958" t="str">
        <f>T("HOUSTON")</f>
        <v>HOUSTON</v>
      </c>
      <c r="E2958" t="str">
        <f>T("TX")</f>
        <v>TX</v>
      </c>
      <c r="F2958" t="str">
        <f>T("770424546")</f>
        <v>770424546</v>
      </c>
      <c r="G2958" t="str">
        <f>T("9990 RICHMOND AVE")</f>
        <v>9990 RICHMOND AVE</v>
      </c>
      <c r="H2958" t="str">
        <f>T("STE 200")</f>
        <v>STE 200</v>
      </c>
      <c r="I2958" t="str">
        <f>T("HOUSTON")</f>
        <v>HOUSTON</v>
      </c>
      <c r="J2958" t="str">
        <f>T("TX")</f>
        <v>TX</v>
      </c>
      <c r="K2958" t="str">
        <f>T("000000000000000000")</f>
        <v>000000000000000000</v>
      </c>
      <c r="L2958" t="str">
        <f>T("7139535916")</f>
        <v>7139535916</v>
      </c>
    </row>
    <row r="2959" spans="1:12" x14ac:dyDescent="0.35">
      <c r="A2959" t="str">
        <f>T("NAVY RECRUITING DISTRICT HOUST")</f>
        <v>NAVY RECRUITING DISTRICT HOUST</v>
      </c>
      <c r="B2959" t="str">
        <f>T("9990 RICHMOND AVE")</f>
        <v>9990 RICHMOND AVE</v>
      </c>
      <c r="C2959" t="str">
        <f>T("STE 200")</f>
        <v>STE 200</v>
      </c>
      <c r="D2959" t="str">
        <f>T("HOUSTON")</f>
        <v>HOUSTON</v>
      </c>
      <c r="E2959" t="str">
        <f>T("TX")</f>
        <v>TX</v>
      </c>
      <c r="F2959" t="str">
        <f>T("770424546")</f>
        <v>770424546</v>
      </c>
      <c r="G2959" t="str">
        <f>T("9990 RICHMOND AVE")</f>
        <v>9990 RICHMOND AVE</v>
      </c>
      <c r="H2959" t="str">
        <f>T("STE 200")</f>
        <v>STE 200</v>
      </c>
      <c r="I2959" t="str">
        <f>T("HOUSTON")</f>
        <v>HOUSTON</v>
      </c>
      <c r="J2959" t="str">
        <f>T("TX")</f>
        <v>TX</v>
      </c>
      <c r="K2959" t="str">
        <f>T("000000000000000000")</f>
        <v>000000000000000000</v>
      </c>
      <c r="L2959" t="str">
        <f>T("7139535959")</f>
        <v>7139535959</v>
      </c>
    </row>
    <row r="2960" spans="1:12" x14ac:dyDescent="0.35">
      <c r="A2960" t="str">
        <f>T("NAVY RECRUITING DISTRICT HOUST")</f>
        <v>NAVY RECRUITING DISTRICT HOUST</v>
      </c>
      <c r="B2960" t="str">
        <f>T("9990 RICHMOND AVE")</f>
        <v>9990 RICHMOND AVE</v>
      </c>
      <c r="C2960" t="str">
        <f>T("STE 200")</f>
        <v>STE 200</v>
      </c>
      <c r="D2960" t="str">
        <f>T("HOUSTON")</f>
        <v>HOUSTON</v>
      </c>
      <c r="E2960" t="str">
        <f>T("TX")</f>
        <v>TX</v>
      </c>
      <c r="F2960" t="str">
        <f>T("770424546")</f>
        <v>770424546</v>
      </c>
      <c r="G2960" t="str">
        <f>T("9990 RICHMOND AVE")</f>
        <v>9990 RICHMOND AVE</v>
      </c>
      <c r="H2960" t="str">
        <f>T("STE 200")</f>
        <v>STE 200</v>
      </c>
      <c r="I2960" t="str">
        <f>T("HOUSTON")</f>
        <v>HOUSTON</v>
      </c>
      <c r="J2960" t="str">
        <f>T("TX")</f>
        <v>TX</v>
      </c>
      <c r="K2960" t="str">
        <f>T("713 953 5932")</f>
        <v>713 953 5932</v>
      </c>
      <c r="L2960" t="str">
        <f>T("7139535923")</f>
        <v>7139535923</v>
      </c>
    </row>
    <row r="2961" spans="1:12" x14ac:dyDescent="0.35">
      <c r="A2961" t="str">
        <f>T("NRD JACKSONVILLE")</f>
        <v>NRD JACKSONVILLE</v>
      </c>
      <c r="B2961" t="str">
        <f>T("4070 BOULEVARD CTR DR")</f>
        <v>4070 BOULEVARD CTR DR</v>
      </c>
      <c r="C2961" t="str">
        <f t="shared" ref="C2961:C2967" si="1207">T("")</f>
        <v/>
      </c>
      <c r="D2961" t="str">
        <f>T("JACKSONVILLE")</f>
        <v>JACKSONVILLE</v>
      </c>
      <c r="E2961" t="str">
        <f>T("FL")</f>
        <v>FL</v>
      </c>
      <c r="F2961" t="str">
        <f>T("322072824")</f>
        <v>322072824</v>
      </c>
      <c r="G2961" t="str">
        <f>T("4070 BOULEVARD CENTER DR")</f>
        <v>4070 BOULEVARD CENTER DR</v>
      </c>
      <c r="H2961" t="str">
        <f>T("")</f>
        <v/>
      </c>
      <c r="I2961" t="str">
        <f>T("JACKSONVILLE")</f>
        <v>JACKSONVILLE</v>
      </c>
      <c r="J2961" t="str">
        <f>T("FL")</f>
        <v>FL</v>
      </c>
      <c r="K2961" t="str">
        <f>T("9043986934")</f>
        <v>9043986934</v>
      </c>
      <c r="L2961" t="str">
        <f>T("9043965909")</f>
        <v>9043965909</v>
      </c>
    </row>
    <row r="2962" spans="1:12" x14ac:dyDescent="0.35">
      <c r="A2962" t="str">
        <f>T("NRD JACKSONVILLE")</f>
        <v>NRD JACKSONVILLE</v>
      </c>
      <c r="B2962" t="str">
        <f>T("4070 BOULEVARD CTR DR")</f>
        <v>4070 BOULEVARD CTR DR</v>
      </c>
      <c r="C2962" t="str">
        <f t="shared" si="1207"/>
        <v/>
      </c>
      <c r="D2962" t="str">
        <f>T("JACKSONVILLE")</f>
        <v>JACKSONVILLE</v>
      </c>
      <c r="E2962" t="str">
        <f>T("FL")</f>
        <v>FL</v>
      </c>
      <c r="F2962" t="str">
        <f>T("322072824")</f>
        <v>322072824</v>
      </c>
      <c r="G2962" t="str">
        <f>T("4070 BOULEVARD CENTER DRIVE")</f>
        <v>4070 BOULEVARD CENTER DRIVE</v>
      </c>
      <c r="H2962" t="str">
        <f>T("")</f>
        <v/>
      </c>
      <c r="I2962" t="str">
        <f>T("JACKSONVILLE")</f>
        <v>JACKSONVILLE</v>
      </c>
      <c r="J2962" t="str">
        <f>T("FL")</f>
        <v>FL</v>
      </c>
      <c r="K2962" t="str">
        <f>T("000000000000000000")</f>
        <v>000000000000000000</v>
      </c>
      <c r="L2962" t="str">
        <f>T("9043965909")</f>
        <v>9043965909</v>
      </c>
    </row>
    <row r="2963" spans="1:12" x14ac:dyDescent="0.35">
      <c r="A2963" t="str">
        <f>T("NRD JACKSONVILLE")</f>
        <v>NRD JACKSONVILLE</v>
      </c>
      <c r="B2963" t="str">
        <f>T("4070 BOULEVARD CTR DR")</f>
        <v>4070 BOULEVARD CTR DR</v>
      </c>
      <c r="C2963" t="str">
        <f t="shared" si="1207"/>
        <v/>
      </c>
      <c r="D2963" t="str">
        <f>T("JACKSONVILLE")</f>
        <v>JACKSONVILLE</v>
      </c>
      <c r="E2963" t="str">
        <f>T("FL")</f>
        <v>FL</v>
      </c>
      <c r="F2963" t="str">
        <f>T("322072824")</f>
        <v>322072824</v>
      </c>
      <c r="G2963" t="str">
        <f>T("4070 BOULEVARD CTR DR")</f>
        <v>4070 BOULEVARD CTR DR</v>
      </c>
      <c r="H2963" t="str">
        <f>T("")</f>
        <v/>
      </c>
      <c r="I2963" t="str">
        <f>T("JACKSONVILLE")</f>
        <v>JACKSONVILLE</v>
      </c>
      <c r="J2963" t="str">
        <f>T("FL")</f>
        <v>FL</v>
      </c>
      <c r="K2963" t="str">
        <f>T("000000000000000000")</f>
        <v>000000000000000000</v>
      </c>
      <c r="L2963" t="str">
        <f>T("9043965909")</f>
        <v>9043965909</v>
      </c>
    </row>
    <row r="2964" spans="1:12" x14ac:dyDescent="0.35">
      <c r="A2964" t="str">
        <f>T("NRD JACKSONVILLE")</f>
        <v>NRD JACKSONVILLE</v>
      </c>
      <c r="B2964" t="str">
        <f>T("4070 BOULEVARD CTR DR")</f>
        <v>4070 BOULEVARD CTR DR</v>
      </c>
      <c r="C2964" t="str">
        <f t="shared" si="1207"/>
        <v/>
      </c>
      <c r="D2964" t="str">
        <f>T("JACKSONVILLE")</f>
        <v>JACKSONVILLE</v>
      </c>
      <c r="E2964" t="str">
        <f>T("FL")</f>
        <v>FL</v>
      </c>
      <c r="F2964" t="str">
        <f>T("322072824")</f>
        <v>322072824</v>
      </c>
      <c r="G2964" t="str">
        <f>T("4070 BOULEVARD CTR DR")</f>
        <v>4070 BOULEVARD CTR DR</v>
      </c>
      <c r="H2964" t="str">
        <f>T("")</f>
        <v/>
      </c>
      <c r="I2964" t="str">
        <f>T("JACKSONVILLE")</f>
        <v>JACKSONVILLE</v>
      </c>
      <c r="J2964" t="str">
        <f>T("FL")</f>
        <v>FL</v>
      </c>
      <c r="K2964" t="str">
        <f>T("9043986934")</f>
        <v>9043986934</v>
      </c>
      <c r="L2964" t="str">
        <f>T("1111111111")</f>
        <v>1111111111</v>
      </c>
    </row>
    <row r="2965" spans="1:12" x14ac:dyDescent="0.35">
      <c r="A2965" t="str">
        <f>T("NRD JACKSONVILLE")</f>
        <v>NRD JACKSONVILLE</v>
      </c>
      <c r="B2965" t="str">
        <f>T("4070 BOULEVARD CTR DR")</f>
        <v>4070 BOULEVARD CTR DR</v>
      </c>
      <c r="C2965" t="str">
        <f t="shared" si="1207"/>
        <v/>
      </c>
      <c r="D2965" t="str">
        <f>T("JACKSONVILLE")</f>
        <v>JACKSONVILLE</v>
      </c>
      <c r="E2965" t="str">
        <f>T("FL")</f>
        <v>FL</v>
      </c>
      <c r="F2965" t="str">
        <f>T("322072824")</f>
        <v>322072824</v>
      </c>
      <c r="G2965" t="str">
        <f>T("NRD JACKSONVILLE")</f>
        <v>NRD JACKSONVILLE</v>
      </c>
      <c r="H2965" t="str">
        <f>T("4070 BOULEVARD CENTER DRIVE")</f>
        <v>4070 BOULEVARD CENTER DRIVE</v>
      </c>
      <c r="I2965" t="str">
        <f>T("JACKSONVILLE")</f>
        <v>JACKSONVILLE</v>
      </c>
      <c r="J2965" t="str">
        <f>T("FL")</f>
        <v>FL</v>
      </c>
      <c r="K2965" t="str">
        <f>T("000000000000000000")</f>
        <v>000000000000000000</v>
      </c>
      <c r="L2965" t="str">
        <f>T("9043965909")</f>
        <v>9043965909</v>
      </c>
    </row>
    <row r="2966" spans="1:12" x14ac:dyDescent="0.35">
      <c r="A2966" t="str">
        <f>T("NRD NASHVILLE")</f>
        <v>NRD NASHVILLE</v>
      </c>
      <c r="B2966" t="str">
        <f>T("640 GRASSMERE PARK STE 104")</f>
        <v>640 GRASSMERE PARK STE 104</v>
      </c>
      <c r="C2966" t="str">
        <f t="shared" si="1207"/>
        <v/>
      </c>
      <c r="D2966" t="str">
        <f>T("NASHVILLE")</f>
        <v>NASHVILLE</v>
      </c>
      <c r="E2966" t="str">
        <f>T("TN")</f>
        <v>TN</v>
      </c>
      <c r="F2966" t="str">
        <f>T("372113678")</f>
        <v>372113678</v>
      </c>
      <c r="G2966" t="str">
        <f>T("640 GRASSMERE PARK")</f>
        <v>640 GRASSMERE PARK</v>
      </c>
      <c r="H2966" t="str">
        <f>T("STE 104")</f>
        <v>STE 104</v>
      </c>
      <c r="I2966" t="str">
        <f>T("NASHVILLE")</f>
        <v>NASHVILLE</v>
      </c>
      <c r="J2966" t="str">
        <f>T("TN")</f>
        <v>TN</v>
      </c>
      <c r="K2966" t="str">
        <f>T("6158315468")</f>
        <v>6158315468</v>
      </c>
      <c r="L2966" t="str">
        <f>T("6153320926")</f>
        <v>6153320926</v>
      </c>
    </row>
    <row r="2967" spans="1:12" x14ac:dyDescent="0.35">
      <c r="A2967" t="str">
        <f>T("NRD NASHVILLE")</f>
        <v>NRD NASHVILLE</v>
      </c>
      <c r="B2967" t="str">
        <f>T("640 GRASSMERE PARK STE 104")</f>
        <v>640 GRASSMERE PARK STE 104</v>
      </c>
      <c r="C2967" t="str">
        <f t="shared" si="1207"/>
        <v/>
      </c>
      <c r="D2967" t="str">
        <f>T("NASHVILLE")</f>
        <v>NASHVILLE</v>
      </c>
      <c r="E2967" t="str">
        <f>T("TN")</f>
        <v>TN</v>
      </c>
      <c r="F2967" t="str">
        <f>T("372113678")</f>
        <v>372113678</v>
      </c>
      <c r="G2967" t="str">
        <f>T("640 GRASSMERE PARK STE 104")</f>
        <v>640 GRASSMERE PARK STE 104</v>
      </c>
      <c r="H2967" t="str">
        <f>T("")</f>
        <v/>
      </c>
      <c r="I2967" t="str">
        <f>T("NASHVILLE")</f>
        <v>NASHVILLE</v>
      </c>
      <c r="J2967" t="str">
        <f>T("TN")</f>
        <v>TN</v>
      </c>
      <c r="K2967" t="str">
        <f>T("6153320994")</f>
        <v>6153320994</v>
      </c>
      <c r="L2967" t="str">
        <f>T("6153320622")</f>
        <v>6153320622</v>
      </c>
    </row>
    <row r="2968" spans="1:12" x14ac:dyDescent="0.35">
      <c r="A2968" t="str">
        <f>T("NRD NASHVILLE")</f>
        <v>NRD NASHVILLE</v>
      </c>
      <c r="B2968" t="str">
        <f>T("640 GRASSMERE PARK SUITE 104")</f>
        <v>640 GRASSMERE PARK SUITE 104</v>
      </c>
      <c r="C2968" t="str">
        <f>T("SUITE 104")</f>
        <v>SUITE 104</v>
      </c>
      <c r="D2968" t="str">
        <f>T("NASHVILLE")</f>
        <v>NASHVILLE</v>
      </c>
      <c r="E2968" t="str">
        <f>T("TN")</f>
        <v>TN</v>
      </c>
      <c r="F2968" t="str">
        <f>T("372113678")</f>
        <v>372113678</v>
      </c>
      <c r="G2968" t="str">
        <f>T("640 GRASSMERE PARK")</f>
        <v>640 GRASSMERE PARK</v>
      </c>
      <c r="H2968" t="str">
        <f>T("SUITE 104")</f>
        <v>SUITE 104</v>
      </c>
      <c r="I2968" t="str">
        <f>T("NASHVILLE")</f>
        <v>NASHVILLE</v>
      </c>
      <c r="J2968" t="str">
        <f>T("TN")</f>
        <v>TN</v>
      </c>
      <c r="K2968" t="str">
        <f>T("6153320994")</f>
        <v>6153320994</v>
      </c>
      <c r="L2968" t="str">
        <f>T("6153320622")</f>
        <v>6153320622</v>
      </c>
    </row>
    <row r="2969" spans="1:12" x14ac:dyDescent="0.35">
      <c r="A2969" t="str">
        <f>T("NRD NASHVILLE")</f>
        <v>NRD NASHVILLE</v>
      </c>
      <c r="B2969" t="str">
        <f>T("640 GRASSMERE PARK SUITE 104")</f>
        <v>640 GRASSMERE PARK SUITE 104</v>
      </c>
      <c r="C2969" t="str">
        <f>T("SUITE 104")</f>
        <v>SUITE 104</v>
      </c>
      <c r="D2969" t="str">
        <f>T("NASHVILLE")</f>
        <v>NASHVILLE</v>
      </c>
      <c r="E2969" t="str">
        <f>T("TN")</f>
        <v>TN</v>
      </c>
      <c r="F2969" t="str">
        <f>T("372113678")</f>
        <v>372113678</v>
      </c>
      <c r="G2969" t="str">
        <f>T("640 GRASSMERE PARK SUITE 104")</f>
        <v>640 GRASSMERE PARK SUITE 104</v>
      </c>
      <c r="H2969" t="str">
        <f>T("SUITE 104")</f>
        <v>SUITE 104</v>
      </c>
      <c r="I2969" t="str">
        <f>T("NASHVILLE")</f>
        <v>NASHVILLE</v>
      </c>
      <c r="J2969" t="str">
        <f>T("TN")</f>
        <v>TN</v>
      </c>
      <c r="K2969" t="str">
        <f>T("6153320994")</f>
        <v>6153320994</v>
      </c>
      <c r="L2969" t="str">
        <f>T("6153320622")</f>
        <v>6153320622</v>
      </c>
    </row>
    <row r="2970" spans="1:12" x14ac:dyDescent="0.35">
      <c r="A2970" t="str">
        <f>T("NRD PORTLAND")</f>
        <v>NRD PORTLAND</v>
      </c>
      <c r="B2970" t="str">
        <f>T("7028 NE 79TH CT")</f>
        <v>7028 NE 79TH CT</v>
      </c>
      <c r="C2970" t="str">
        <f t="shared" ref="C2970:C2975" si="1208">T("")</f>
        <v/>
      </c>
      <c r="D2970" t="str">
        <f>T("PORTLAND")</f>
        <v>PORTLAND</v>
      </c>
      <c r="E2970" t="str">
        <f>T("OR")</f>
        <v>OR</v>
      </c>
      <c r="F2970" t="str">
        <f>T("972182813")</f>
        <v>972182813</v>
      </c>
      <c r="G2970" t="str">
        <f>T("7028 NE 79TH CT")</f>
        <v>7028 NE 79TH CT</v>
      </c>
      <c r="H2970" t="str">
        <f>T("")</f>
        <v/>
      </c>
      <c r="I2970" t="str">
        <f>T("PORTLAND")</f>
        <v>PORTLAND</v>
      </c>
      <c r="J2970" t="str">
        <f>T("OR")</f>
        <v>OR</v>
      </c>
      <c r="K2970" t="str">
        <f>T("000000000000000000")</f>
        <v>000000000000000000</v>
      </c>
      <c r="L2970" t="str">
        <f>T("5032582036")</f>
        <v>5032582036</v>
      </c>
    </row>
    <row r="2971" spans="1:12" x14ac:dyDescent="0.35">
      <c r="A2971" t="str">
        <f>T("NRD PORTLAND")</f>
        <v>NRD PORTLAND</v>
      </c>
      <c r="B2971" t="str">
        <f>T("7028 NE 79TH CT")</f>
        <v>7028 NE 79TH CT</v>
      </c>
      <c r="C2971" t="str">
        <f t="shared" si="1208"/>
        <v/>
      </c>
      <c r="D2971" t="str">
        <f>T("PORTLAND")</f>
        <v>PORTLAND</v>
      </c>
      <c r="E2971" t="str">
        <f>T("OR")</f>
        <v>OR</v>
      </c>
      <c r="F2971" t="str">
        <f>T("972182813")</f>
        <v>972182813</v>
      </c>
      <c r="G2971" t="str">
        <f>T("7028 NE 79TH CT")</f>
        <v>7028 NE 79TH CT</v>
      </c>
      <c r="H2971" t="str">
        <f>T("")</f>
        <v/>
      </c>
      <c r="I2971" t="str">
        <f>T("PORTLAND")</f>
        <v>PORTLAND</v>
      </c>
      <c r="J2971" t="str">
        <f>T("OR")</f>
        <v>OR</v>
      </c>
      <c r="K2971" t="str">
        <f>T("000000000000000000")</f>
        <v>000000000000000000</v>
      </c>
      <c r="L2971" t="str">
        <f>T("5032582039")</f>
        <v>5032582039</v>
      </c>
    </row>
    <row r="2972" spans="1:12" x14ac:dyDescent="0.35">
      <c r="A2972" t="str">
        <f>T("NRD PORTLAND")</f>
        <v>NRD PORTLAND</v>
      </c>
      <c r="B2972" t="str">
        <f>T("7028 NE 79TH CT")</f>
        <v>7028 NE 79TH CT</v>
      </c>
      <c r="C2972" t="str">
        <f t="shared" si="1208"/>
        <v/>
      </c>
      <c r="D2972" t="str">
        <f>T("PORTLAND")</f>
        <v>PORTLAND</v>
      </c>
      <c r="E2972" t="str">
        <f>T("OR")</f>
        <v>OR</v>
      </c>
      <c r="F2972" t="str">
        <f>T("972182813")</f>
        <v>972182813</v>
      </c>
      <c r="G2972" t="str">
        <f>T("7028 NE 79TH CT")</f>
        <v>7028 NE 79TH CT</v>
      </c>
      <c r="H2972" t="str">
        <f>T("")</f>
        <v/>
      </c>
      <c r="I2972" t="str">
        <f>T("PORTLAND")</f>
        <v>PORTLAND</v>
      </c>
      <c r="J2972" t="str">
        <f>T("OR")</f>
        <v>OR</v>
      </c>
      <c r="K2972" t="str">
        <f>T("503 258 2042")</f>
        <v>503 258 2042</v>
      </c>
      <c r="L2972" t="str">
        <f>T("5032582036")</f>
        <v>5032582036</v>
      </c>
    </row>
    <row r="2973" spans="1:12" x14ac:dyDescent="0.35">
      <c r="A2973" t="str">
        <f>T("NRD PORTLAND")</f>
        <v>NRD PORTLAND</v>
      </c>
      <c r="B2973" t="str">
        <f>T("7028 NE 79TH CT")</f>
        <v>7028 NE 79TH CT</v>
      </c>
      <c r="C2973" t="str">
        <f t="shared" si="1208"/>
        <v/>
      </c>
      <c r="D2973" t="str">
        <f>T("PORTLAND")</f>
        <v>PORTLAND</v>
      </c>
      <c r="E2973" t="str">
        <f>T("OR")</f>
        <v>OR</v>
      </c>
      <c r="F2973" t="str">
        <f>T("972182813")</f>
        <v>972182813</v>
      </c>
      <c r="G2973" t="str">
        <f>T("7028 NE 79TH CT")</f>
        <v>7028 NE 79TH CT</v>
      </c>
      <c r="H2973" t="str">
        <f>T("")</f>
        <v/>
      </c>
      <c r="I2973" t="str">
        <f>T("PORTLAND")</f>
        <v>PORTLAND</v>
      </c>
      <c r="J2973" t="str">
        <f>T("OR")</f>
        <v>OR</v>
      </c>
      <c r="K2973" t="str">
        <f>T("5032582042")</f>
        <v>5032582042</v>
      </c>
      <c r="L2973" t="str">
        <f>T("5032582039")</f>
        <v>5032582039</v>
      </c>
    </row>
    <row r="2974" spans="1:12" x14ac:dyDescent="0.35">
      <c r="A2974" t="str">
        <f>T("NRD RALEIGH")</f>
        <v>NRD RALEIGH</v>
      </c>
      <c r="B2974" t="str">
        <f>T("801 OBERLIN RD")</f>
        <v>801 OBERLIN RD</v>
      </c>
      <c r="C2974" t="str">
        <f t="shared" si="1208"/>
        <v/>
      </c>
      <c r="D2974" t="str">
        <f>T("RALEIGH")</f>
        <v>RALEIGH</v>
      </c>
      <c r="E2974" t="str">
        <f>T("NC")</f>
        <v>NC</v>
      </c>
      <c r="F2974" t="str">
        <f>T("276051101")</f>
        <v>276051101</v>
      </c>
      <c r="G2974" t="str">
        <f>T("801 OBERLIN RD")</f>
        <v>801 OBERLIN RD</v>
      </c>
      <c r="H2974" t="str">
        <f>T("")</f>
        <v/>
      </c>
      <c r="I2974" t="str">
        <f>T("RALEIGH")</f>
        <v>RALEIGH</v>
      </c>
      <c r="J2974" t="str">
        <f>T("NC")</f>
        <v>NC</v>
      </c>
      <c r="K2974" t="str">
        <f>T("000000000000000000")</f>
        <v>000000000000000000</v>
      </c>
      <c r="L2974" t="str">
        <f>T("9196006142")</f>
        <v>9196006142</v>
      </c>
    </row>
    <row r="2975" spans="1:12" x14ac:dyDescent="0.35">
      <c r="A2975" t="str">
        <f>T("NRD RALEIGH")</f>
        <v>NRD RALEIGH</v>
      </c>
      <c r="B2975" t="str">
        <f>T("801 OBERLIN RD")</f>
        <v>801 OBERLIN RD</v>
      </c>
      <c r="C2975" t="str">
        <f t="shared" si="1208"/>
        <v/>
      </c>
      <c r="D2975" t="str">
        <f>T("RALEIGH")</f>
        <v>RALEIGH</v>
      </c>
      <c r="E2975" t="str">
        <f>T("NC")</f>
        <v>NC</v>
      </c>
      <c r="F2975" t="str">
        <f>T("276051101")</f>
        <v>276051101</v>
      </c>
      <c r="G2975" t="str">
        <f>T("801 OBERLIN RD")</f>
        <v>801 OBERLIN RD</v>
      </c>
      <c r="H2975" t="str">
        <f>T("SUITE 101")</f>
        <v>SUITE 101</v>
      </c>
      <c r="I2975" t="str">
        <f>T("RALEIGH")</f>
        <v>RALEIGH</v>
      </c>
      <c r="J2975" t="str">
        <f>T("NC")</f>
        <v>NC</v>
      </c>
      <c r="K2975" t="str">
        <f>T("9198314174")</f>
        <v>9198314174</v>
      </c>
      <c r="L2975" t="str">
        <f>T("9196006144")</f>
        <v>9196006144</v>
      </c>
    </row>
    <row r="2976" spans="1:12" x14ac:dyDescent="0.35">
      <c r="A2976" t="str">
        <f>T("NRD RALEIGH")</f>
        <v>NRD RALEIGH</v>
      </c>
      <c r="B2976" t="str">
        <f>T("801 OBERLIN RD")</f>
        <v>801 OBERLIN RD</v>
      </c>
      <c r="C2976" t="str">
        <f>T("STE 120")</f>
        <v>STE 120</v>
      </c>
      <c r="D2976" t="str">
        <f>T("RALEIGH")</f>
        <v>RALEIGH</v>
      </c>
      <c r="E2976" t="str">
        <f>T("NC")</f>
        <v>NC</v>
      </c>
      <c r="F2976" t="str">
        <f>T("276051101")</f>
        <v>276051101</v>
      </c>
      <c r="G2976" t="str">
        <f>T("801 OBERLIN RD")</f>
        <v>801 OBERLIN RD</v>
      </c>
      <c r="H2976" t="str">
        <f>T("STE 101")</f>
        <v>STE 101</v>
      </c>
      <c r="I2976" t="str">
        <f>T("RALEIGH")</f>
        <v>RALEIGH</v>
      </c>
      <c r="J2976" t="str">
        <f>T("NC")</f>
        <v>NC</v>
      </c>
      <c r="K2976" t="str">
        <f>T("000000000000000000")</f>
        <v>000000000000000000</v>
      </c>
      <c r="L2976" t="str">
        <f>T("9196006144")</f>
        <v>9196006144</v>
      </c>
    </row>
    <row r="2977" spans="1:12" x14ac:dyDescent="0.35">
      <c r="A2977" t="str">
        <f>T("NRD RALEIGH")</f>
        <v>NRD RALEIGH</v>
      </c>
      <c r="B2977" t="str">
        <f>T("801 OBERLIN RD")</f>
        <v>801 OBERLIN RD</v>
      </c>
      <c r="C2977" t="str">
        <f>T("STE 120")</f>
        <v>STE 120</v>
      </c>
      <c r="D2977" t="str">
        <f>T("RALEIGH")</f>
        <v>RALEIGH</v>
      </c>
      <c r="E2977" t="str">
        <f>T("NC")</f>
        <v>NC</v>
      </c>
      <c r="F2977" t="str">
        <f>T("276051101")</f>
        <v>276051101</v>
      </c>
      <c r="G2977" t="str">
        <f>T("801 OBERLIN RD")</f>
        <v>801 OBERLIN RD</v>
      </c>
      <c r="H2977" t="str">
        <f>T("STE 120")</f>
        <v>STE 120</v>
      </c>
      <c r="I2977" t="str">
        <f>T("RALEIGH")</f>
        <v>RALEIGH</v>
      </c>
      <c r="J2977" t="str">
        <f>T("NC")</f>
        <v>NC</v>
      </c>
      <c r="K2977" t="str">
        <f>T("000000000000000000")</f>
        <v>000000000000000000</v>
      </c>
      <c r="L2977" t="str">
        <f>T("9198314148")</f>
        <v>9198314148</v>
      </c>
    </row>
    <row r="2978" spans="1:12" x14ac:dyDescent="0.35">
      <c r="A2978" t="str">
        <f>T("NAVY RECRUITING DIST")</f>
        <v>NAVY RECRUITING DIST</v>
      </c>
      <c r="B2978" t="str">
        <f>T("411 E FRANKLIN ST")</f>
        <v>411 E FRANKLIN ST</v>
      </c>
      <c r="C2978" t="str">
        <f>T("STE 101")</f>
        <v>STE 101</v>
      </c>
      <c r="D2978" t="str">
        <f>T("RICHMOND")</f>
        <v>RICHMOND</v>
      </c>
      <c r="E2978" t="str">
        <f>T("VA")</f>
        <v>VA</v>
      </c>
      <c r="F2978" t="str">
        <f>T("232192243")</f>
        <v>232192243</v>
      </c>
      <c r="G2978" t="str">
        <f>T("411 E FRANKLIN ST")</f>
        <v>411 E FRANKLIN ST</v>
      </c>
      <c r="H2978" t="str">
        <f>T("STE 101")</f>
        <v>STE 101</v>
      </c>
      <c r="I2978" t="str">
        <f>T("RICHMOND")</f>
        <v>RICHMOND</v>
      </c>
      <c r="J2978" t="str">
        <f>T("VA")</f>
        <v>VA</v>
      </c>
      <c r="K2978" t="str">
        <f>T("000000000000000000")</f>
        <v>000000000000000000</v>
      </c>
      <c r="L2978" t="str">
        <f>T("8047712001")</f>
        <v>8047712001</v>
      </c>
    </row>
    <row r="2979" spans="1:12" x14ac:dyDescent="0.35">
      <c r="A2979" t="str">
        <f>T("NAVY RECRUITING DIST")</f>
        <v>NAVY RECRUITING DIST</v>
      </c>
      <c r="B2979" t="str">
        <f>T("411 E FRANKLIN ST")</f>
        <v>411 E FRANKLIN ST</v>
      </c>
      <c r="C2979" t="str">
        <f>T("STE 101")</f>
        <v>STE 101</v>
      </c>
      <c r="D2979" t="str">
        <f>T("RICHMOND")</f>
        <v>RICHMOND</v>
      </c>
      <c r="E2979" t="str">
        <f>T("VA")</f>
        <v>VA</v>
      </c>
      <c r="F2979" t="str">
        <f>T("232192243")</f>
        <v>232192243</v>
      </c>
      <c r="G2979" t="str">
        <f>T("411 E FRANKLIN ST")</f>
        <v>411 E FRANKLIN ST</v>
      </c>
      <c r="H2979" t="str">
        <f>T("STE 101")</f>
        <v>STE 101</v>
      </c>
      <c r="I2979" t="str">
        <f>T("RICHMOND")</f>
        <v>RICHMOND</v>
      </c>
      <c r="J2979" t="str">
        <f>T("VA")</f>
        <v>VA</v>
      </c>
      <c r="K2979" t="str">
        <f>T("8047712070")</f>
        <v>8047712070</v>
      </c>
      <c r="L2979" t="str">
        <f>T("8047712001")</f>
        <v>8047712001</v>
      </c>
    </row>
    <row r="2980" spans="1:12" x14ac:dyDescent="0.35">
      <c r="A2980" t="str">
        <f>T("NAVY RECRUITING DIST")</f>
        <v>NAVY RECRUITING DIST</v>
      </c>
      <c r="B2980" t="str">
        <f>T("411 E FRANKLIN ST")</f>
        <v>411 E FRANKLIN ST</v>
      </c>
      <c r="C2980" t="str">
        <f>T("STE 101")</f>
        <v>STE 101</v>
      </c>
      <c r="D2980" t="str">
        <f>T("RICHMOND")</f>
        <v>RICHMOND</v>
      </c>
      <c r="E2980" t="str">
        <f>T("VA")</f>
        <v>VA</v>
      </c>
      <c r="F2980" t="str">
        <f>T("232192243")</f>
        <v>232192243</v>
      </c>
      <c r="G2980" t="str">
        <f>T("411 EAST FRANKLIN STREET")</f>
        <v>411 EAST FRANKLIN STREET</v>
      </c>
      <c r="H2980" t="str">
        <f>T("SUITE 101")</f>
        <v>SUITE 101</v>
      </c>
      <c r="I2980" t="str">
        <f>T("RICHMOND")</f>
        <v>RICHMOND</v>
      </c>
      <c r="J2980" t="str">
        <f>T("VA")</f>
        <v>VA</v>
      </c>
      <c r="K2980" t="str">
        <f>T("8047712070")</f>
        <v>8047712070</v>
      </c>
      <c r="L2980" t="str">
        <f>T("8047712001")</f>
        <v>8047712001</v>
      </c>
    </row>
    <row r="2981" spans="1:12" x14ac:dyDescent="0.35">
      <c r="A2981" t="str">
        <f t="shared" ref="A2981:A2986" si="1209">T("NRD NEW ENGLAND")</f>
        <v>NRD NEW ENGLAND</v>
      </c>
      <c r="B2981" t="str">
        <f t="shared" ref="B2981:B2986" si="1210">T("495 SUMMER ST")</f>
        <v>495 SUMMER ST</v>
      </c>
      <c r="C2981" t="str">
        <f t="shared" ref="C2981:C2989" si="1211">T("")</f>
        <v/>
      </c>
      <c r="D2981" t="str">
        <f t="shared" ref="D2981:D2986" si="1212">T("BOSTON")</f>
        <v>BOSTON</v>
      </c>
      <c r="E2981" t="str">
        <f t="shared" ref="E2981:E2986" si="1213">T("MA")</f>
        <v>MA</v>
      </c>
      <c r="F2981" t="str">
        <f t="shared" ref="F2981:F2986" si="1214">T("022102109")</f>
        <v>022102109</v>
      </c>
      <c r="G2981" t="str">
        <f>T("495 SUMMER ST")</f>
        <v>495 SUMMER ST</v>
      </c>
      <c r="H2981" t="str">
        <f>T("")</f>
        <v/>
      </c>
      <c r="I2981" t="str">
        <f t="shared" ref="I2981:I2986" si="1215">T("BOSTON")</f>
        <v>BOSTON</v>
      </c>
      <c r="J2981" t="str">
        <f t="shared" ref="J2981:J2986" si="1216">T("MA")</f>
        <v>MA</v>
      </c>
      <c r="K2981" t="str">
        <f>T("000000000000000000")</f>
        <v>000000000000000000</v>
      </c>
      <c r="L2981" t="str">
        <f>T("6177534530")</f>
        <v>6177534530</v>
      </c>
    </row>
    <row r="2982" spans="1:12" x14ac:dyDescent="0.35">
      <c r="A2982" t="str">
        <f t="shared" si="1209"/>
        <v>NRD NEW ENGLAND</v>
      </c>
      <c r="B2982" t="str">
        <f t="shared" si="1210"/>
        <v>495 SUMMER ST</v>
      </c>
      <c r="C2982" t="str">
        <f t="shared" si="1211"/>
        <v/>
      </c>
      <c r="D2982" t="str">
        <f t="shared" si="1212"/>
        <v>BOSTON</v>
      </c>
      <c r="E2982" t="str">
        <f t="shared" si="1213"/>
        <v>MA</v>
      </c>
      <c r="F2982" t="str">
        <f t="shared" si="1214"/>
        <v>022102109</v>
      </c>
      <c r="G2982" t="str">
        <f>T("495 SUMMER ST")</f>
        <v>495 SUMMER ST</v>
      </c>
      <c r="H2982" t="str">
        <f>T("")</f>
        <v/>
      </c>
      <c r="I2982" t="str">
        <f t="shared" si="1215"/>
        <v>BOSTON</v>
      </c>
      <c r="J2982" t="str">
        <f t="shared" si="1216"/>
        <v>MA</v>
      </c>
      <c r="K2982" t="str">
        <f>T("000000000000000000")</f>
        <v>000000000000000000</v>
      </c>
      <c r="L2982" t="str">
        <f>T("6177534769")</f>
        <v>6177534769</v>
      </c>
    </row>
    <row r="2983" spans="1:12" x14ac:dyDescent="0.35">
      <c r="A2983" t="str">
        <f t="shared" si="1209"/>
        <v>NRD NEW ENGLAND</v>
      </c>
      <c r="B2983" t="str">
        <f t="shared" si="1210"/>
        <v>495 SUMMER ST</v>
      </c>
      <c r="C2983" t="str">
        <f t="shared" si="1211"/>
        <v/>
      </c>
      <c r="D2983" t="str">
        <f t="shared" si="1212"/>
        <v>BOSTON</v>
      </c>
      <c r="E2983" t="str">
        <f t="shared" si="1213"/>
        <v>MA</v>
      </c>
      <c r="F2983" t="str">
        <f t="shared" si="1214"/>
        <v>022102109</v>
      </c>
      <c r="G2983" t="str">
        <f>T("495 SUMMER ST")</f>
        <v>495 SUMMER ST</v>
      </c>
      <c r="H2983" t="str">
        <f>T("")</f>
        <v/>
      </c>
      <c r="I2983" t="str">
        <f t="shared" si="1215"/>
        <v>BOSTON</v>
      </c>
      <c r="J2983" t="str">
        <f t="shared" si="1216"/>
        <v>MA</v>
      </c>
      <c r="K2983" t="str">
        <f>T("000000000000000000")</f>
        <v>000000000000000000</v>
      </c>
      <c r="L2983" t="str">
        <f>T("6177534954")</f>
        <v>6177534954</v>
      </c>
    </row>
    <row r="2984" spans="1:12" x14ac:dyDescent="0.35">
      <c r="A2984" t="str">
        <f t="shared" si="1209"/>
        <v>NRD NEW ENGLAND</v>
      </c>
      <c r="B2984" t="str">
        <f t="shared" si="1210"/>
        <v>495 SUMMER ST</v>
      </c>
      <c r="C2984" t="str">
        <f t="shared" si="1211"/>
        <v/>
      </c>
      <c r="D2984" t="str">
        <f t="shared" si="1212"/>
        <v>BOSTON</v>
      </c>
      <c r="E2984" t="str">
        <f t="shared" si="1213"/>
        <v>MA</v>
      </c>
      <c r="F2984" t="str">
        <f t="shared" si="1214"/>
        <v>022102109</v>
      </c>
      <c r="G2984" t="str">
        <f>T("495 SUMMER ST")</f>
        <v>495 SUMMER ST</v>
      </c>
      <c r="H2984" t="str">
        <f>T("")</f>
        <v/>
      </c>
      <c r="I2984" t="str">
        <f t="shared" si="1215"/>
        <v>BOSTON</v>
      </c>
      <c r="J2984" t="str">
        <f t="shared" si="1216"/>
        <v>MA</v>
      </c>
      <c r="K2984" t="str">
        <f>T("617 350 7629")</f>
        <v>617 350 7629</v>
      </c>
      <c r="L2984" t="str">
        <f>T("6177534769")</f>
        <v>6177534769</v>
      </c>
    </row>
    <row r="2985" spans="1:12" x14ac:dyDescent="0.35">
      <c r="A2985" t="str">
        <f t="shared" si="1209"/>
        <v>NRD NEW ENGLAND</v>
      </c>
      <c r="B2985" t="str">
        <f t="shared" si="1210"/>
        <v>495 SUMMER ST</v>
      </c>
      <c r="C2985" t="str">
        <f t="shared" si="1211"/>
        <v/>
      </c>
      <c r="D2985" t="str">
        <f t="shared" si="1212"/>
        <v>BOSTON</v>
      </c>
      <c r="E2985" t="str">
        <f t="shared" si="1213"/>
        <v>MA</v>
      </c>
      <c r="F2985" t="str">
        <f t="shared" si="1214"/>
        <v>022102109</v>
      </c>
      <c r="G2985" t="str">
        <f>T("495 SUMMER STREET SUITE 314")</f>
        <v>495 SUMMER STREET SUITE 314</v>
      </c>
      <c r="H2985" t="str">
        <f>T("NAVY RECRUITING COMMAND")</f>
        <v>NAVY RECRUITING COMMAND</v>
      </c>
      <c r="I2985" t="str">
        <f t="shared" si="1215"/>
        <v>BOSTON</v>
      </c>
      <c r="J2985" t="str">
        <f t="shared" si="1216"/>
        <v>MA</v>
      </c>
      <c r="K2985" t="str">
        <f>T("000000000000000000")</f>
        <v>000000000000000000</v>
      </c>
      <c r="L2985" t="str">
        <f>T("6177534954")</f>
        <v>6177534954</v>
      </c>
    </row>
    <row r="2986" spans="1:12" x14ac:dyDescent="0.35">
      <c r="A2986" t="str">
        <f t="shared" si="1209"/>
        <v>NRD NEW ENGLAND</v>
      </c>
      <c r="B2986" t="str">
        <f t="shared" si="1210"/>
        <v>495 SUMMER ST</v>
      </c>
      <c r="C2986" t="str">
        <f t="shared" si="1211"/>
        <v/>
      </c>
      <c r="D2986" t="str">
        <f t="shared" si="1212"/>
        <v>BOSTON</v>
      </c>
      <c r="E2986" t="str">
        <f t="shared" si="1213"/>
        <v>MA</v>
      </c>
      <c r="F2986" t="str">
        <f t="shared" si="1214"/>
        <v>022102109</v>
      </c>
      <c r="G2986" t="str">
        <f>T("NRD NEW NEW ENGLAND SUITE 314")</f>
        <v>NRD NEW NEW ENGLAND SUITE 314</v>
      </c>
      <c r="H2986" t="str">
        <f>T("495 SUMMER STREET")</f>
        <v>495 SUMMER STREET</v>
      </c>
      <c r="I2986" t="str">
        <f t="shared" si="1215"/>
        <v>BOSTON</v>
      </c>
      <c r="J2986" t="str">
        <f t="shared" si="1216"/>
        <v>MA</v>
      </c>
      <c r="K2986" t="str">
        <f>T("000000000000000000")</f>
        <v>000000000000000000</v>
      </c>
      <c r="L2986" t="str">
        <f>T("6177534632")</f>
        <v>6177534632</v>
      </c>
    </row>
    <row r="2987" spans="1:12" x14ac:dyDescent="0.35">
      <c r="A2987" t="str">
        <f>T("NRD DALLAS")</f>
        <v>NRD DALLAS</v>
      </c>
      <c r="B2987" t="str">
        <f>T("6440 N BELTLINE RD STE 150")</f>
        <v>6440 N BELTLINE RD STE 150</v>
      </c>
      <c r="C2987" t="str">
        <f t="shared" si="1211"/>
        <v/>
      </c>
      <c r="D2987" t="str">
        <f>T("DALLAS")</f>
        <v>DALLAS</v>
      </c>
      <c r="E2987" t="str">
        <f>T("TX")</f>
        <v>TX</v>
      </c>
      <c r="F2987" t="str">
        <f>T("750380000")</f>
        <v>750380000</v>
      </c>
      <c r="G2987" t="str">
        <f>T("6440 N BELT LINE RD STE 150")</f>
        <v>6440 N BELT LINE RD STE 150</v>
      </c>
      <c r="H2987" t="str">
        <f>T("")</f>
        <v/>
      </c>
      <c r="I2987" t="str">
        <f>T("IRVING")</f>
        <v>IRVING</v>
      </c>
      <c r="J2987" t="str">
        <f>T("TX")</f>
        <v>TX</v>
      </c>
      <c r="K2987" t="str">
        <f>T("9727148345")</f>
        <v>9727148345</v>
      </c>
      <c r="L2987" t="str">
        <f>T("9727148300")</f>
        <v>9727148300</v>
      </c>
    </row>
    <row r="2988" spans="1:12" x14ac:dyDescent="0.35">
      <c r="A2988" t="str">
        <f>T("NRD DALLAS")</f>
        <v>NRD DALLAS</v>
      </c>
      <c r="B2988" t="str">
        <f>T("6440 N BELTLINE RD STE 150")</f>
        <v>6440 N BELTLINE RD STE 150</v>
      </c>
      <c r="C2988" t="str">
        <f t="shared" si="1211"/>
        <v/>
      </c>
      <c r="D2988" t="str">
        <f>T("DALLAS")</f>
        <v>DALLAS</v>
      </c>
      <c r="E2988" t="str">
        <f>T("TX")</f>
        <v>TX</v>
      </c>
      <c r="F2988" t="str">
        <f>T("750380000")</f>
        <v>750380000</v>
      </c>
      <c r="G2988" t="str">
        <f>T("6440 N BELTLINE RD")</f>
        <v>6440 N BELTLINE RD</v>
      </c>
      <c r="H2988" t="str">
        <f>T("SUITE 150")</f>
        <v>SUITE 150</v>
      </c>
      <c r="I2988" t="str">
        <f>T("IRVING")</f>
        <v>IRVING</v>
      </c>
      <c r="J2988" t="str">
        <f>T("TX")</f>
        <v>TX</v>
      </c>
      <c r="K2988" t="str">
        <f>T("9727148345")</f>
        <v>9727148345</v>
      </c>
      <c r="L2988" t="str">
        <f>T("9727148300")</f>
        <v>9727148300</v>
      </c>
    </row>
    <row r="2989" spans="1:12" x14ac:dyDescent="0.35">
      <c r="A2989" t="str">
        <f>T("NRD DALLAS")</f>
        <v>NRD DALLAS</v>
      </c>
      <c r="B2989" t="str">
        <f>T("6440 N BELTLINE RD STE 150")</f>
        <v>6440 N BELTLINE RD STE 150</v>
      </c>
      <c r="C2989" t="str">
        <f t="shared" si="1211"/>
        <v/>
      </c>
      <c r="D2989" t="str">
        <f>T("DALLAS")</f>
        <v>DALLAS</v>
      </c>
      <c r="E2989" t="str">
        <f>T("TX")</f>
        <v>TX</v>
      </c>
      <c r="F2989" t="str">
        <f>T("750380000")</f>
        <v>750380000</v>
      </c>
      <c r="G2989" t="str">
        <f>T("6440 N BELTLINE RD STE 150")</f>
        <v>6440 N BELTLINE RD STE 150</v>
      </c>
      <c r="H2989" t="str">
        <f>T("")</f>
        <v/>
      </c>
      <c r="I2989" t="str">
        <f>T("DALLAS")</f>
        <v>DALLAS</v>
      </c>
      <c r="J2989" t="str">
        <f>T("TX")</f>
        <v>TX</v>
      </c>
      <c r="K2989" t="str">
        <f>T("000000000000000000")</f>
        <v>000000000000000000</v>
      </c>
      <c r="L2989" t="str">
        <f>T("9727148300")</f>
        <v>9727148300</v>
      </c>
    </row>
    <row r="2990" spans="1:12" x14ac:dyDescent="0.35">
      <c r="A2990" t="str">
        <f>T("NRD DALLAS")</f>
        <v>NRD DALLAS</v>
      </c>
      <c r="B2990" t="str">
        <f>T("6440 N BELTLINE ROAD")</f>
        <v>6440 N BELTLINE ROAD</v>
      </c>
      <c r="C2990" t="str">
        <f>T("STE 150")</f>
        <v>STE 150</v>
      </c>
      <c r="D2990" t="str">
        <f>T("IRVING")</f>
        <v>IRVING</v>
      </c>
      <c r="E2990" t="str">
        <f>T("TX")</f>
        <v>TX</v>
      </c>
      <c r="F2990" t="str">
        <f>T("750636081")</f>
        <v>750636081</v>
      </c>
      <c r="G2990" t="str">
        <f>T("6440 N BELTLINE RD")</f>
        <v>6440 N BELTLINE RD</v>
      </c>
      <c r="H2990" t="str">
        <f>T("STE 150")</f>
        <v>STE 150</v>
      </c>
      <c r="I2990" t="str">
        <f>T("IRVING")</f>
        <v>IRVING</v>
      </c>
      <c r="J2990" t="str">
        <f>T("TX")</f>
        <v>TX</v>
      </c>
      <c r="K2990" t="str">
        <f>T("9727148345")</f>
        <v>9727148345</v>
      </c>
      <c r="L2990" t="str">
        <f>T("9727148300")</f>
        <v>9727148300</v>
      </c>
    </row>
    <row r="2991" spans="1:12" x14ac:dyDescent="0.35">
      <c r="A2991" t="str">
        <f>T("NRD DALLAS")</f>
        <v>NRD DALLAS</v>
      </c>
      <c r="B2991" t="str">
        <f>T("6440 N BELTLINE ROAD")</f>
        <v>6440 N BELTLINE ROAD</v>
      </c>
      <c r="C2991" t="str">
        <f>T("STE 150")</f>
        <v>STE 150</v>
      </c>
      <c r="D2991" t="str">
        <f>T("IRVING")</f>
        <v>IRVING</v>
      </c>
      <c r="E2991" t="str">
        <f>T("TX")</f>
        <v>TX</v>
      </c>
      <c r="F2991" t="str">
        <f>T("750636081")</f>
        <v>750636081</v>
      </c>
      <c r="G2991" t="str">
        <f>T("6440 N BELTLINE ROAD")</f>
        <v>6440 N BELTLINE ROAD</v>
      </c>
      <c r="H2991" t="str">
        <f>T("STE 150")</f>
        <v>STE 150</v>
      </c>
      <c r="I2991" t="str">
        <f>T("IRVING")</f>
        <v>IRVING</v>
      </c>
      <c r="J2991" t="str">
        <f>T("TX")</f>
        <v>TX</v>
      </c>
      <c r="K2991" t="str">
        <f>T("9727148345")</f>
        <v>9727148345</v>
      </c>
      <c r="L2991" t="str">
        <f>T("1111111111")</f>
        <v>1111111111</v>
      </c>
    </row>
    <row r="2992" spans="1:12" x14ac:dyDescent="0.35">
      <c r="A2992" t="str">
        <f>T("NRD DENVER")</f>
        <v>NRD DENVER</v>
      </c>
      <c r="B2992" t="str">
        <f>T("225 E 16TH AVE")</f>
        <v>225 E 16TH AVE</v>
      </c>
      <c r="C2992" t="str">
        <f>T("SUITE 300")</f>
        <v>SUITE 300</v>
      </c>
      <c r="D2992" t="str">
        <f>T("DENVER")</f>
        <v>DENVER</v>
      </c>
      <c r="E2992" t="str">
        <f>T("CO")</f>
        <v>CO</v>
      </c>
      <c r="F2992" t="str">
        <f>T("802031607")</f>
        <v>802031607</v>
      </c>
      <c r="G2992" t="str">
        <f>T("225 E 16TH AVE")</f>
        <v>225 E 16TH AVE</v>
      </c>
      <c r="H2992" t="str">
        <f>T("SUITE 300")</f>
        <v>SUITE 300</v>
      </c>
      <c r="I2992" t="str">
        <f>T("DENVER")</f>
        <v>DENVER</v>
      </c>
      <c r="J2992" t="str">
        <f>T("CO")</f>
        <v>CO</v>
      </c>
      <c r="K2992" t="str">
        <f>T("303 866 1054")</f>
        <v>303 866 1054</v>
      </c>
      <c r="L2992" t="str">
        <f>T("3038661984")</f>
        <v>3038661984</v>
      </c>
    </row>
    <row r="2993" spans="1:12" x14ac:dyDescent="0.35">
      <c r="A2993" t="str">
        <f>T("NRD DENVER")</f>
        <v>NRD DENVER</v>
      </c>
      <c r="B2993" t="str">
        <f>T("225 E 16TH AVE")</f>
        <v>225 E 16TH AVE</v>
      </c>
      <c r="C2993" t="str">
        <f>T("SUITE 300")</f>
        <v>SUITE 300</v>
      </c>
      <c r="D2993" t="str">
        <f>T("DENVER")</f>
        <v>DENVER</v>
      </c>
      <c r="E2993" t="str">
        <f>T("CO")</f>
        <v>CO</v>
      </c>
      <c r="F2993" t="str">
        <f>T("802031607")</f>
        <v>802031607</v>
      </c>
      <c r="G2993" t="str">
        <f>T("225 E 16TH AVE SUITE 300")</f>
        <v>225 E 16TH AVE SUITE 300</v>
      </c>
      <c r="H2993" t="str">
        <f>T("")</f>
        <v/>
      </c>
      <c r="I2993" t="str">
        <f>T("DENVER")</f>
        <v>DENVER</v>
      </c>
      <c r="J2993" t="str">
        <f>T("CO")</f>
        <v>CO</v>
      </c>
      <c r="K2993" t="str">
        <f>T("3038661054")</f>
        <v>3038661054</v>
      </c>
      <c r="L2993" t="str">
        <f>T("3038661984")</f>
        <v>3038661984</v>
      </c>
    </row>
    <row r="2994" spans="1:12" x14ac:dyDescent="0.35">
      <c r="A2994" t="str">
        <f>T("NRD DENVER")</f>
        <v>NRD DENVER</v>
      </c>
      <c r="B2994" t="str">
        <f>T("621 17TH ST")</f>
        <v>621 17TH ST</v>
      </c>
      <c r="C2994" t="str">
        <f>T("SUITE 301")</f>
        <v>SUITE 301</v>
      </c>
      <c r="D2994" t="str">
        <f>T("DENVER")</f>
        <v>DENVER</v>
      </c>
      <c r="E2994" t="str">
        <f>T("CO")</f>
        <v>CO</v>
      </c>
      <c r="F2994" t="str">
        <f>T("802931304")</f>
        <v>802931304</v>
      </c>
      <c r="G2994" t="str">
        <f>T("621 17TH ST")</f>
        <v>621 17TH ST</v>
      </c>
      <c r="H2994" t="str">
        <f>T("STE 301")</f>
        <v>STE 301</v>
      </c>
      <c r="I2994" t="str">
        <f>T("DENVER")</f>
        <v>DENVER</v>
      </c>
      <c r="J2994" t="str">
        <f>T("CO")</f>
        <v>CO</v>
      </c>
      <c r="K2994" t="str">
        <f>T("000000000000000000")</f>
        <v>000000000000000000</v>
      </c>
      <c r="L2994" t="str">
        <f>T("3038661984")</f>
        <v>3038661984</v>
      </c>
    </row>
    <row r="2995" spans="1:12" x14ac:dyDescent="0.35">
      <c r="A2995" t="str">
        <f>T("NRD DENVER")</f>
        <v>NRD DENVER</v>
      </c>
      <c r="B2995" t="str">
        <f>T("621 17TH ST")</f>
        <v>621 17TH ST</v>
      </c>
      <c r="C2995" t="str">
        <f>T("SUITE 301")</f>
        <v>SUITE 301</v>
      </c>
      <c r="D2995" t="str">
        <f>T("DENVER")</f>
        <v>DENVER</v>
      </c>
      <c r="E2995" t="str">
        <f>T("CO")</f>
        <v>CO</v>
      </c>
      <c r="F2995" t="str">
        <f>T("802931304")</f>
        <v>802931304</v>
      </c>
      <c r="G2995" t="str">
        <f>T("621 17TH ST")</f>
        <v>621 17TH ST</v>
      </c>
      <c r="H2995" t="str">
        <f>T("SUITE 301")</f>
        <v>SUITE 301</v>
      </c>
      <c r="I2995" t="str">
        <f>T("DENVER")</f>
        <v>DENVER</v>
      </c>
      <c r="J2995" t="str">
        <f>T("CO")</f>
        <v>CO</v>
      </c>
      <c r="K2995" t="str">
        <f>T("000000000000000000")</f>
        <v>000000000000000000</v>
      </c>
      <c r="L2995" t="str">
        <f>T("3038661984")</f>
        <v>3038661984</v>
      </c>
    </row>
    <row r="2996" spans="1:12" x14ac:dyDescent="0.35">
      <c r="A2996" t="str">
        <f>T("NRD DENVER")</f>
        <v>NRD DENVER</v>
      </c>
      <c r="B2996" t="str">
        <f>T("621 17TH ST")</f>
        <v>621 17TH ST</v>
      </c>
      <c r="C2996" t="str">
        <f>T("SUITE 301")</f>
        <v>SUITE 301</v>
      </c>
      <c r="D2996" t="str">
        <f>T("DENVER")</f>
        <v>DENVER</v>
      </c>
      <c r="E2996" t="str">
        <f>T("CO")</f>
        <v>CO</v>
      </c>
      <c r="F2996" t="str">
        <f>T("802931304")</f>
        <v>802931304</v>
      </c>
      <c r="G2996" t="str">
        <f>T("621 17TH ST STE 301")</f>
        <v>621 17TH ST STE 301</v>
      </c>
      <c r="H2996" t="str">
        <f>T("")</f>
        <v/>
      </c>
      <c r="I2996" t="str">
        <f>T("DENVER")</f>
        <v>DENVER</v>
      </c>
      <c r="J2996" t="str">
        <f>T("CO")</f>
        <v>CO</v>
      </c>
      <c r="K2996" t="str">
        <f>T("30386619841406")</f>
        <v>30386619841406</v>
      </c>
      <c r="L2996" t="str">
        <f>T("3038661984")</f>
        <v>3038661984</v>
      </c>
    </row>
    <row r="2997" spans="1:12" x14ac:dyDescent="0.35">
      <c r="A2997" t="str">
        <f>T("NRD MICHIGAN")</f>
        <v>NRD MICHIGAN</v>
      </c>
      <c r="B2997" t="str">
        <f>T("1155 BREWERY PARK BLVD")</f>
        <v>1155 BREWERY PARK BLVD</v>
      </c>
      <c r="C2997" t="str">
        <f>T("STE 320")</f>
        <v>STE 320</v>
      </c>
      <c r="D2997" t="str">
        <f>T("DETROIT")</f>
        <v>DETROIT</v>
      </c>
      <c r="E2997" t="str">
        <f>T("MI")</f>
        <v>MI</v>
      </c>
      <c r="F2997" t="str">
        <f>T("482072640")</f>
        <v>482072640</v>
      </c>
      <c r="G2997" t="str">
        <f>T("1155 BREWERY PARK BLVD")</f>
        <v>1155 BREWERY PARK BLVD</v>
      </c>
      <c r="H2997" t="str">
        <f>T("STE 320")</f>
        <v>STE 320</v>
      </c>
      <c r="I2997" t="str">
        <f>T("DETROIT")</f>
        <v>DETROIT</v>
      </c>
      <c r="J2997" t="str">
        <f>T("MI")</f>
        <v>MI</v>
      </c>
      <c r="K2997" t="str">
        <f>T("000000000000000000")</f>
        <v>000000000000000000</v>
      </c>
      <c r="L2997" t="str">
        <f>T("3132591004")</f>
        <v>3132591004</v>
      </c>
    </row>
    <row r="2998" spans="1:12" x14ac:dyDescent="0.35">
      <c r="A2998" t="str">
        <f>T("NRD MICHIGAN")</f>
        <v>NRD MICHIGAN</v>
      </c>
      <c r="B2998" t="str">
        <f>T("1155 BREWERY PARK BLVD")</f>
        <v>1155 BREWERY PARK BLVD</v>
      </c>
      <c r="C2998" t="str">
        <f>T("STE 320")</f>
        <v>STE 320</v>
      </c>
      <c r="D2998" t="str">
        <f>T("DETROIT")</f>
        <v>DETROIT</v>
      </c>
      <c r="E2998" t="str">
        <f>T("MI")</f>
        <v>MI</v>
      </c>
      <c r="F2998" t="str">
        <f>T("482072640")</f>
        <v>482072640</v>
      </c>
      <c r="G2998" t="str">
        <f>T("1155 BREWERY PARK BLVD STE 320")</f>
        <v>1155 BREWERY PARK BLVD STE 320</v>
      </c>
      <c r="H2998" t="str">
        <f>T("")</f>
        <v/>
      </c>
      <c r="I2998" t="str">
        <f>T("DETROIT")</f>
        <v>DETROIT</v>
      </c>
      <c r="J2998" t="str">
        <f>T("MI")</f>
        <v>MI</v>
      </c>
      <c r="K2998" t="str">
        <f>T("000000000000000000")</f>
        <v>000000000000000000</v>
      </c>
      <c r="L2998" t="str">
        <f>T("3132591004")</f>
        <v>3132591004</v>
      </c>
    </row>
    <row r="2999" spans="1:12" x14ac:dyDescent="0.35">
      <c r="A2999" t="str">
        <f>T("NRD MICHIGAN")</f>
        <v>NRD MICHIGAN</v>
      </c>
      <c r="B2999" t="str">
        <f>T("1155 BREWERY PARK BLVD")</f>
        <v>1155 BREWERY PARK BLVD</v>
      </c>
      <c r="C2999" t="str">
        <f>T("STE 320")</f>
        <v>STE 320</v>
      </c>
      <c r="D2999" t="str">
        <f>T("DETROIT")</f>
        <v>DETROIT</v>
      </c>
      <c r="E2999" t="str">
        <f>T("MI")</f>
        <v>MI</v>
      </c>
      <c r="F2999" t="str">
        <f>T("482072640")</f>
        <v>482072640</v>
      </c>
      <c r="G2999" t="str">
        <f>T("NAVCRUITDIST MICHIGAN")</f>
        <v>NAVCRUITDIST MICHIGAN</v>
      </c>
      <c r="H2999" t="str">
        <f>T("1155 BREWERY PARK BLVD STE 320")</f>
        <v>1155 BREWERY PARK BLVD STE 320</v>
      </c>
      <c r="I2999" t="str">
        <f>T("DETROIT")</f>
        <v>DETROIT</v>
      </c>
      <c r="J2999" t="str">
        <f>T("MI")</f>
        <v>MI</v>
      </c>
      <c r="K2999" t="str">
        <f>T("3132591425")</f>
        <v>3132591425</v>
      </c>
      <c r="L2999" t="str">
        <f>T("3132591004")</f>
        <v>3132591004</v>
      </c>
    </row>
    <row r="3000" spans="1:12" x14ac:dyDescent="0.35">
      <c r="A3000" t="str">
        <f>T("NRD MICHIGAN")</f>
        <v>NRD MICHIGAN</v>
      </c>
      <c r="B3000" t="str">
        <f>T("1155 BREWERY PARK BLVD")</f>
        <v>1155 BREWERY PARK BLVD</v>
      </c>
      <c r="C3000" t="str">
        <f>T("SUITE 320")</f>
        <v>SUITE 320</v>
      </c>
      <c r="D3000" t="str">
        <f>T("DETROIT")</f>
        <v>DETROIT</v>
      </c>
      <c r="E3000" t="str">
        <f>T("MI")</f>
        <v>MI</v>
      </c>
      <c r="F3000" t="str">
        <f>T("482072640")</f>
        <v>482072640</v>
      </c>
      <c r="G3000" t="str">
        <f>T("1155 BREWERY PARK BLVD")</f>
        <v>1155 BREWERY PARK BLVD</v>
      </c>
      <c r="H3000" t="str">
        <f>T("STE 320")</f>
        <v>STE 320</v>
      </c>
      <c r="I3000" t="str">
        <f>T("DETROIT")</f>
        <v>DETROIT</v>
      </c>
      <c r="J3000" t="str">
        <f>T("MI")</f>
        <v>MI</v>
      </c>
      <c r="K3000" t="str">
        <f>T("000000000000000000")</f>
        <v>000000000000000000</v>
      </c>
      <c r="L3000" t="str">
        <f>T("3132591004")</f>
        <v>3132591004</v>
      </c>
    </row>
    <row r="3001" spans="1:12" x14ac:dyDescent="0.35">
      <c r="A3001" t="str">
        <f>T("NRD MICHIGAN")</f>
        <v>NRD MICHIGAN</v>
      </c>
      <c r="B3001" t="str">
        <f>T("1155 BREWERY PARK BLVD")</f>
        <v>1155 BREWERY PARK BLVD</v>
      </c>
      <c r="C3001" t="str">
        <f>T("SUITE 320")</f>
        <v>SUITE 320</v>
      </c>
      <c r="D3001" t="str">
        <f>T("DETROIT")</f>
        <v>DETROIT</v>
      </c>
      <c r="E3001" t="str">
        <f>T("MI")</f>
        <v>MI</v>
      </c>
      <c r="F3001" t="str">
        <f>T("482072640")</f>
        <v>482072640</v>
      </c>
      <c r="G3001" t="str">
        <f>T("1155 BREWERY PARK BLVD")</f>
        <v>1155 BREWERY PARK BLVD</v>
      </c>
      <c r="H3001" t="str">
        <f>T("SUITE 320")</f>
        <v>SUITE 320</v>
      </c>
      <c r="I3001" t="str">
        <f>T("DETROIT")</f>
        <v>DETROIT</v>
      </c>
      <c r="J3001" t="str">
        <f>T("MI")</f>
        <v>MI</v>
      </c>
      <c r="K3001" t="str">
        <f>T("3132592296")</f>
        <v>3132592296</v>
      </c>
      <c r="L3001" t="str">
        <f>T("3132591004")</f>
        <v>3132591004</v>
      </c>
    </row>
    <row r="3002" spans="1:12" x14ac:dyDescent="0.35">
      <c r="A3002" t="str">
        <f t="shared" ref="A3002:A3009" si="1217">T("NRD LOS ANGELES")</f>
        <v>NRD LOS ANGELES</v>
      </c>
      <c r="B3002" t="str">
        <f t="shared" ref="B3002:B3009" si="1218">T("100 N SEPULVEDA BLVD")</f>
        <v>100 N SEPULVEDA BLVD</v>
      </c>
      <c r="C3002" t="str">
        <f t="shared" ref="C3002:C3009" si="1219">T("STE 950")</f>
        <v>STE 950</v>
      </c>
      <c r="D3002" t="str">
        <f t="shared" ref="D3002:D3009" si="1220">T("EL SEGUNDO")</f>
        <v>EL SEGUNDO</v>
      </c>
      <c r="E3002" t="str">
        <f t="shared" ref="E3002:E3009" si="1221">T("CA")</f>
        <v>CA</v>
      </c>
      <c r="F3002" t="str">
        <f t="shared" ref="F3002:F3009" si="1222">T("902455659")</f>
        <v>902455659</v>
      </c>
      <c r="G3002" t="str">
        <f t="shared" ref="G3002:G3007" si="1223">T("100 N SEPULVEDA BLVD")</f>
        <v>100 N SEPULVEDA BLVD</v>
      </c>
      <c r="H3002" t="str">
        <f>T("STE 950")</f>
        <v>STE 950</v>
      </c>
      <c r="I3002" t="str">
        <f t="shared" ref="I3002:I3009" si="1224">T("EL SEGUNDO")</f>
        <v>EL SEGUNDO</v>
      </c>
      <c r="J3002" t="str">
        <f t="shared" ref="J3002:J3009" si="1225">T("CA")</f>
        <v>CA</v>
      </c>
      <c r="K3002" t="str">
        <f>T("")</f>
        <v/>
      </c>
      <c r="L3002" t="str">
        <f>T("8002521588")</f>
        <v>8002521588</v>
      </c>
    </row>
    <row r="3003" spans="1:12" x14ac:dyDescent="0.35">
      <c r="A3003" t="str">
        <f t="shared" si="1217"/>
        <v>NRD LOS ANGELES</v>
      </c>
      <c r="B3003" t="str">
        <f t="shared" si="1218"/>
        <v>100 N SEPULVEDA BLVD</v>
      </c>
      <c r="C3003" t="str">
        <f t="shared" si="1219"/>
        <v>STE 950</v>
      </c>
      <c r="D3003" t="str">
        <f t="shared" si="1220"/>
        <v>EL SEGUNDO</v>
      </c>
      <c r="E3003" t="str">
        <f t="shared" si="1221"/>
        <v>CA</v>
      </c>
      <c r="F3003" t="str">
        <f t="shared" si="1222"/>
        <v>902455659</v>
      </c>
      <c r="G3003" t="str">
        <f t="shared" si="1223"/>
        <v>100 N SEPULVEDA BLVD</v>
      </c>
      <c r="H3003" t="str">
        <f>T("STE 950")</f>
        <v>STE 950</v>
      </c>
      <c r="I3003" t="str">
        <f t="shared" si="1224"/>
        <v>EL SEGUNDO</v>
      </c>
      <c r="J3003" t="str">
        <f t="shared" si="1225"/>
        <v>CA</v>
      </c>
      <c r="K3003" t="str">
        <f>T("323 298 0709")</f>
        <v>323 298 0709</v>
      </c>
      <c r="L3003" t="str">
        <f>T("1111111111")</f>
        <v>1111111111</v>
      </c>
    </row>
    <row r="3004" spans="1:12" x14ac:dyDescent="0.35">
      <c r="A3004" t="str">
        <f t="shared" si="1217"/>
        <v>NRD LOS ANGELES</v>
      </c>
      <c r="B3004" t="str">
        <f t="shared" si="1218"/>
        <v>100 N SEPULVEDA BLVD</v>
      </c>
      <c r="C3004" t="str">
        <f t="shared" si="1219"/>
        <v>STE 950</v>
      </c>
      <c r="D3004" t="str">
        <f t="shared" si="1220"/>
        <v>EL SEGUNDO</v>
      </c>
      <c r="E3004" t="str">
        <f t="shared" si="1221"/>
        <v>CA</v>
      </c>
      <c r="F3004" t="str">
        <f t="shared" si="1222"/>
        <v>902455659</v>
      </c>
      <c r="G3004" t="str">
        <f t="shared" si="1223"/>
        <v>100 N SEPULVEDA BLVD</v>
      </c>
      <c r="H3004" t="str">
        <f>T("SUITE 950")</f>
        <v>SUITE 950</v>
      </c>
      <c r="I3004" t="str">
        <f t="shared" si="1224"/>
        <v>EL SEGUNDO</v>
      </c>
      <c r="J3004" t="str">
        <f t="shared" si="1225"/>
        <v>CA</v>
      </c>
      <c r="K3004" t="str">
        <f>T("000000000000000000")</f>
        <v>000000000000000000</v>
      </c>
      <c r="L3004" t="str">
        <f>T("8002521588")</f>
        <v>8002521588</v>
      </c>
    </row>
    <row r="3005" spans="1:12" x14ac:dyDescent="0.35">
      <c r="A3005" t="str">
        <f t="shared" si="1217"/>
        <v>NRD LOS ANGELES</v>
      </c>
      <c r="B3005" t="str">
        <f t="shared" si="1218"/>
        <v>100 N SEPULVEDA BLVD</v>
      </c>
      <c r="C3005" t="str">
        <f t="shared" si="1219"/>
        <v>STE 950</v>
      </c>
      <c r="D3005" t="str">
        <f t="shared" si="1220"/>
        <v>EL SEGUNDO</v>
      </c>
      <c r="E3005" t="str">
        <f t="shared" si="1221"/>
        <v>CA</v>
      </c>
      <c r="F3005" t="str">
        <f t="shared" si="1222"/>
        <v>902455659</v>
      </c>
      <c r="G3005" t="str">
        <f t="shared" si="1223"/>
        <v>100 N SEPULVEDA BLVD</v>
      </c>
      <c r="H3005" t="str">
        <f>T("SUITE 950")</f>
        <v>SUITE 950</v>
      </c>
      <c r="I3005" t="str">
        <f t="shared" si="1224"/>
        <v>EL SEGUNDO</v>
      </c>
      <c r="J3005" t="str">
        <f t="shared" si="1225"/>
        <v>CA</v>
      </c>
      <c r="K3005" t="str">
        <f>T("18002521588350")</f>
        <v>18002521588350</v>
      </c>
      <c r="L3005" t="str">
        <f>T("1111111111")</f>
        <v>1111111111</v>
      </c>
    </row>
    <row r="3006" spans="1:12" x14ac:dyDescent="0.35">
      <c r="A3006" t="str">
        <f t="shared" si="1217"/>
        <v>NRD LOS ANGELES</v>
      </c>
      <c r="B3006" t="str">
        <f t="shared" si="1218"/>
        <v>100 N SEPULVEDA BLVD</v>
      </c>
      <c r="C3006" t="str">
        <f t="shared" si="1219"/>
        <v>STE 950</v>
      </c>
      <c r="D3006" t="str">
        <f t="shared" si="1220"/>
        <v>EL SEGUNDO</v>
      </c>
      <c r="E3006" t="str">
        <f t="shared" si="1221"/>
        <v>CA</v>
      </c>
      <c r="F3006" t="str">
        <f t="shared" si="1222"/>
        <v>902455659</v>
      </c>
      <c r="G3006" t="str">
        <f t="shared" si="1223"/>
        <v>100 N SEPULVEDA BLVD</v>
      </c>
      <c r="H3006" t="str">
        <f>T("SUITE 950")</f>
        <v>SUITE 950</v>
      </c>
      <c r="I3006" t="str">
        <f t="shared" si="1224"/>
        <v>EL SEGUNDO</v>
      </c>
      <c r="J3006" t="str">
        <f t="shared" si="1225"/>
        <v>CA</v>
      </c>
      <c r="K3006" t="str">
        <f>T("3106409520")</f>
        <v>3106409520</v>
      </c>
      <c r="L3006" t="str">
        <f>T("8002521588")</f>
        <v>8002521588</v>
      </c>
    </row>
    <row r="3007" spans="1:12" x14ac:dyDescent="0.35">
      <c r="A3007" t="str">
        <f t="shared" si="1217"/>
        <v>NRD LOS ANGELES</v>
      </c>
      <c r="B3007" t="str">
        <f t="shared" si="1218"/>
        <v>100 N SEPULVEDA BLVD</v>
      </c>
      <c r="C3007" t="str">
        <f t="shared" si="1219"/>
        <v>STE 950</v>
      </c>
      <c r="D3007" t="str">
        <f t="shared" si="1220"/>
        <v>EL SEGUNDO</v>
      </c>
      <c r="E3007" t="str">
        <f t="shared" si="1221"/>
        <v>CA</v>
      </c>
      <c r="F3007" t="str">
        <f t="shared" si="1222"/>
        <v>902455659</v>
      </c>
      <c r="G3007" t="str">
        <f t="shared" si="1223"/>
        <v>100 N SEPULVEDA BLVD</v>
      </c>
      <c r="H3007" t="str">
        <f>T("SUITE 950")</f>
        <v>SUITE 950</v>
      </c>
      <c r="I3007" t="str">
        <f t="shared" si="1224"/>
        <v>EL SEGUNDO</v>
      </c>
      <c r="J3007" t="str">
        <f t="shared" si="1225"/>
        <v>CA</v>
      </c>
      <c r="K3007" t="str">
        <f>T("3232980709")</f>
        <v>3232980709</v>
      </c>
      <c r="L3007" t="str">
        <f>T("8002521588")</f>
        <v>8002521588</v>
      </c>
    </row>
    <row r="3008" spans="1:12" x14ac:dyDescent="0.35">
      <c r="A3008" t="str">
        <f t="shared" si="1217"/>
        <v>NRD LOS ANGELES</v>
      </c>
      <c r="B3008" t="str">
        <f t="shared" si="1218"/>
        <v>100 N SEPULVEDA BLVD</v>
      </c>
      <c r="C3008" t="str">
        <f t="shared" si="1219"/>
        <v>STE 950</v>
      </c>
      <c r="D3008" t="str">
        <f t="shared" si="1220"/>
        <v>EL SEGUNDO</v>
      </c>
      <c r="E3008" t="str">
        <f t="shared" si="1221"/>
        <v>CA</v>
      </c>
      <c r="F3008" t="str">
        <f t="shared" si="1222"/>
        <v>902455659</v>
      </c>
      <c r="G3008" t="str">
        <f>T("100 N. SEPULVEDA BLVD")</f>
        <v>100 N. SEPULVEDA BLVD</v>
      </c>
      <c r="H3008" t="str">
        <f>T("STE 950")</f>
        <v>STE 950</v>
      </c>
      <c r="I3008" t="str">
        <f t="shared" si="1224"/>
        <v>EL SEGUNDO</v>
      </c>
      <c r="J3008" t="str">
        <f t="shared" si="1225"/>
        <v>CA</v>
      </c>
      <c r="K3008" t="str">
        <f>T("000000000000000000")</f>
        <v>000000000000000000</v>
      </c>
      <c r="L3008" t="str">
        <f>T("8002521588")</f>
        <v>8002521588</v>
      </c>
    </row>
    <row r="3009" spans="1:12" x14ac:dyDescent="0.35">
      <c r="A3009" t="str">
        <f t="shared" si="1217"/>
        <v>NRD LOS ANGELES</v>
      </c>
      <c r="B3009" t="str">
        <f t="shared" si="1218"/>
        <v>100 N SEPULVEDA BLVD</v>
      </c>
      <c r="C3009" t="str">
        <f t="shared" si="1219"/>
        <v>STE 950</v>
      </c>
      <c r="D3009" t="str">
        <f t="shared" si="1220"/>
        <v>EL SEGUNDO</v>
      </c>
      <c r="E3009" t="str">
        <f t="shared" si="1221"/>
        <v>CA</v>
      </c>
      <c r="F3009" t="str">
        <f t="shared" si="1222"/>
        <v>902455659</v>
      </c>
      <c r="G3009" t="str">
        <f>T("CODE 40 NRD LA")</f>
        <v>CODE 40 NRD LA</v>
      </c>
      <c r="H3009" t="str">
        <f>T("100 N SEPULVDEA BLVD STE 950")</f>
        <v>100 N SEPULVDEA BLVD STE 950</v>
      </c>
      <c r="I3009" t="str">
        <f t="shared" si="1224"/>
        <v>EL SEGUNDO</v>
      </c>
      <c r="J3009" t="str">
        <f t="shared" si="1225"/>
        <v>CA</v>
      </c>
      <c r="K3009" t="str">
        <f>T("3232980709")</f>
        <v>3232980709</v>
      </c>
      <c r="L3009" t="str">
        <f>T("8002521588")</f>
        <v>8002521588</v>
      </c>
    </row>
    <row r="3010" spans="1:12" x14ac:dyDescent="0.35">
      <c r="A3010" t="str">
        <f t="shared" ref="A3010:A3016" si="1226">T("NRD ATLANTA")</f>
        <v>NRD ATLANTA</v>
      </c>
      <c r="B3010" t="str">
        <f>T("2400 LAKE PARK DR")</f>
        <v>2400 LAKE PARK DR</v>
      </c>
      <c r="C3010" t="str">
        <f>T("STE 410")</f>
        <v>STE 410</v>
      </c>
      <c r="D3010" t="str">
        <f t="shared" ref="D3010:D3015" si="1227">T("SMYRNA")</f>
        <v>SMYRNA</v>
      </c>
      <c r="E3010" t="str">
        <f t="shared" ref="E3010:E3015" si="1228">T("GA")</f>
        <v>GA</v>
      </c>
      <c r="F3010" t="str">
        <f t="shared" ref="F3010:F3015" si="1229">T("300807695")</f>
        <v>300807695</v>
      </c>
      <c r="G3010" t="str">
        <f>T("2400 LAKE PARK DR")</f>
        <v>2400 LAKE PARK DR</v>
      </c>
      <c r="H3010" t="str">
        <f>T("STE 410")</f>
        <v>STE 410</v>
      </c>
      <c r="I3010" t="str">
        <f t="shared" ref="I3010:I3016" si="1230">T("SMYRNA")</f>
        <v>SMYRNA</v>
      </c>
      <c r="J3010" t="str">
        <f t="shared" ref="J3010:J3016" si="1231">T("GA")</f>
        <v>GA</v>
      </c>
      <c r="K3010" t="str">
        <f>T("770612 4373")</f>
        <v>770612 4373</v>
      </c>
      <c r="L3010" t="str">
        <f>T("7706124360")</f>
        <v>7706124360</v>
      </c>
    </row>
    <row r="3011" spans="1:12" x14ac:dyDescent="0.35">
      <c r="A3011" t="str">
        <f t="shared" si="1226"/>
        <v>NRD ATLANTA</v>
      </c>
      <c r="B3011" t="str">
        <f>T("2400 LAKE PARK DR")</f>
        <v>2400 LAKE PARK DR</v>
      </c>
      <c r="C3011" t="str">
        <f>T("STE 410")</f>
        <v>STE 410</v>
      </c>
      <c r="D3011" t="str">
        <f t="shared" si="1227"/>
        <v>SMYRNA</v>
      </c>
      <c r="E3011" t="str">
        <f t="shared" si="1228"/>
        <v>GA</v>
      </c>
      <c r="F3011" t="str">
        <f t="shared" si="1229"/>
        <v>300807695</v>
      </c>
      <c r="G3011" t="str">
        <f>T("2400 LAKE PARK DR STE 410")</f>
        <v>2400 LAKE PARK DR STE 410</v>
      </c>
      <c r="H3011" t="str">
        <f>T("")</f>
        <v/>
      </c>
      <c r="I3011" t="str">
        <f t="shared" si="1230"/>
        <v>SMYRNA</v>
      </c>
      <c r="J3011" t="str">
        <f t="shared" si="1231"/>
        <v>GA</v>
      </c>
      <c r="K3011" t="str">
        <f>T("7706124373")</f>
        <v>7706124373</v>
      </c>
      <c r="L3011" t="str">
        <f>T("6783059134")</f>
        <v>6783059134</v>
      </c>
    </row>
    <row r="3012" spans="1:12" x14ac:dyDescent="0.35">
      <c r="A3012" t="str">
        <f t="shared" si="1226"/>
        <v>NRD ATLANTA</v>
      </c>
      <c r="B3012" t="str">
        <f>T("2400 LAKE PARK DR")</f>
        <v>2400 LAKE PARK DR</v>
      </c>
      <c r="C3012" t="str">
        <f>T("STE 410")</f>
        <v>STE 410</v>
      </c>
      <c r="D3012" t="str">
        <f t="shared" si="1227"/>
        <v>SMYRNA</v>
      </c>
      <c r="E3012" t="str">
        <f t="shared" si="1228"/>
        <v>GA</v>
      </c>
      <c r="F3012" t="str">
        <f t="shared" si="1229"/>
        <v>300807695</v>
      </c>
      <c r="G3012" t="str">
        <f>T("2400 LAKE PARK DRIVE")</f>
        <v>2400 LAKE PARK DRIVE</v>
      </c>
      <c r="H3012" t="str">
        <f>T("SUITE 410")</f>
        <v>SUITE 410</v>
      </c>
      <c r="I3012" t="str">
        <f t="shared" si="1230"/>
        <v>SMYRNA</v>
      </c>
      <c r="J3012" t="str">
        <f t="shared" si="1231"/>
        <v>GA</v>
      </c>
      <c r="K3012" t="str">
        <f>T("6783059196")</f>
        <v>6783059196</v>
      </c>
      <c r="L3012" t="str">
        <f>T("6783059198")</f>
        <v>6783059198</v>
      </c>
    </row>
    <row r="3013" spans="1:12" x14ac:dyDescent="0.35">
      <c r="A3013" t="str">
        <f t="shared" si="1226"/>
        <v>NRD ATLANTA</v>
      </c>
      <c r="B3013" t="str">
        <f>T("2400 LAKE PARK DR SE STE 410")</f>
        <v>2400 LAKE PARK DR SE STE 410</v>
      </c>
      <c r="C3013" t="str">
        <f>T("")</f>
        <v/>
      </c>
      <c r="D3013" t="str">
        <f t="shared" si="1227"/>
        <v>SMYRNA</v>
      </c>
      <c r="E3013" t="str">
        <f t="shared" si="1228"/>
        <v>GA</v>
      </c>
      <c r="F3013" t="str">
        <f t="shared" si="1229"/>
        <v>300807695</v>
      </c>
      <c r="G3013" t="str">
        <f>T("2400 LAKE PARK DR SE STE 410")</f>
        <v>2400 LAKE PARK DR SE STE 410</v>
      </c>
      <c r="H3013" t="str">
        <f>T("")</f>
        <v/>
      </c>
      <c r="I3013" t="str">
        <f t="shared" si="1230"/>
        <v>SMYRNA</v>
      </c>
      <c r="J3013" t="str">
        <f t="shared" si="1231"/>
        <v>GA</v>
      </c>
      <c r="K3013" t="str">
        <f>T("7706124373")</f>
        <v>7706124373</v>
      </c>
      <c r="L3013" t="str">
        <f>T("6783059151")</f>
        <v>6783059151</v>
      </c>
    </row>
    <row r="3014" spans="1:12" x14ac:dyDescent="0.35">
      <c r="A3014" t="str">
        <f t="shared" si="1226"/>
        <v>NRD ATLANTA</v>
      </c>
      <c r="B3014" t="str">
        <f>T("2400 LAKE PARK DR SE STE 410")</f>
        <v>2400 LAKE PARK DR SE STE 410</v>
      </c>
      <c r="C3014" t="str">
        <f>T("")</f>
        <v/>
      </c>
      <c r="D3014" t="str">
        <f t="shared" si="1227"/>
        <v>SMYRNA</v>
      </c>
      <c r="E3014" t="str">
        <f t="shared" si="1228"/>
        <v>GA</v>
      </c>
      <c r="F3014" t="str">
        <f t="shared" si="1229"/>
        <v>300807695</v>
      </c>
      <c r="G3014" t="str">
        <f>T("2400 LAKE PARK DR SE STE 410")</f>
        <v>2400 LAKE PARK DR SE STE 410</v>
      </c>
      <c r="H3014" t="str">
        <f>T("")</f>
        <v/>
      </c>
      <c r="I3014" t="str">
        <f t="shared" si="1230"/>
        <v>SMYRNA</v>
      </c>
      <c r="J3014" t="str">
        <f t="shared" si="1231"/>
        <v>GA</v>
      </c>
      <c r="K3014" t="str">
        <f>T("7706124373")</f>
        <v>7706124373</v>
      </c>
      <c r="L3014" t="str">
        <f>T("7706124373")</f>
        <v>7706124373</v>
      </c>
    </row>
    <row r="3015" spans="1:12" x14ac:dyDescent="0.35">
      <c r="A3015" t="str">
        <f t="shared" si="1226"/>
        <v>NRD ATLANTA</v>
      </c>
      <c r="B3015" t="str">
        <f>T("2400 LAKE PARK DR SE STE 410")</f>
        <v>2400 LAKE PARK DR SE STE 410</v>
      </c>
      <c r="C3015" t="str">
        <f>T("")</f>
        <v/>
      </c>
      <c r="D3015" t="str">
        <f t="shared" si="1227"/>
        <v>SMYRNA</v>
      </c>
      <c r="E3015" t="str">
        <f t="shared" si="1228"/>
        <v>GA</v>
      </c>
      <c r="F3015" t="str">
        <f t="shared" si="1229"/>
        <v>300807695</v>
      </c>
      <c r="G3015" t="str">
        <f>T("2400 LAKE PARK DRIVE STE 410")</f>
        <v>2400 LAKE PARK DRIVE STE 410</v>
      </c>
      <c r="H3015" t="str">
        <f>T("")</f>
        <v/>
      </c>
      <c r="I3015" t="str">
        <f t="shared" si="1230"/>
        <v>SMYRNA</v>
      </c>
      <c r="J3015" t="str">
        <f t="shared" si="1231"/>
        <v>GA</v>
      </c>
      <c r="K3015" t="str">
        <f>T("6783059136")</f>
        <v>6783059136</v>
      </c>
      <c r="L3015" t="str">
        <f>T("6783059198")</f>
        <v>6783059198</v>
      </c>
    </row>
    <row r="3016" spans="1:12" x14ac:dyDescent="0.35">
      <c r="A3016" t="str">
        <f t="shared" si="1226"/>
        <v>NRD ATLANTA</v>
      </c>
      <c r="B3016" t="str">
        <f>T("USNA/ADMISSIONS/LEAHY RM 303")</f>
        <v>USNA/ADMISSIONS/LEAHY RM 303</v>
      </c>
      <c r="C3016" t="str">
        <f>T("117 DECATUR RD")</f>
        <v>117 DECATUR RD</v>
      </c>
      <c r="D3016" t="str">
        <f>T("ANNAPOLIS")</f>
        <v>ANNAPOLIS</v>
      </c>
      <c r="E3016" t="str">
        <f>T("MD")</f>
        <v>MD</v>
      </c>
      <c r="F3016" t="str">
        <f>T("214021370")</f>
        <v>214021370</v>
      </c>
      <c r="G3016" t="str">
        <f>T("2400 LAKE PARK DR")</f>
        <v>2400 LAKE PARK DR</v>
      </c>
      <c r="H3016" t="str">
        <f>T("SUITE 410")</f>
        <v>SUITE 410</v>
      </c>
      <c r="I3016" t="str">
        <f t="shared" si="1230"/>
        <v>SMYRNA</v>
      </c>
      <c r="J3016" t="str">
        <f t="shared" si="1231"/>
        <v>GA</v>
      </c>
      <c r="K3016" t="str">
        <f>T("6783059196")</f>
        <v>6783059196</v>
      </c>
      <c r="L3016" t="str">
        <f>T("6783059198")</f>
        <v>6783059198</v>
      </c>
    </row>
    <row r="3017" spans="1:12" x14ac:dyDescent="0.35">
      <c r="A3017" t="str">
        <f>T("NRD MINNEAPOLIS")</f>
        <v>NRD MINNEAPOLIS</v>
      </c>
      <c r="B3017" t="str">
        <f>T("1 FEDERAL DRIVE")</f>
        <v>1 FEDERAL DRIVE</v>
      </c>
      <c r="C3017" t="str">
        <f>T("SUITE 2501")</f>
        <v>SUITE 2501</v>
      </c>
      <c r="D3017" t="str">
        <f>T("FORT SNELLING")</f>
        <v>FORT SNELLING</v>
      </c>
      <c r="E3017" t="str">
        <f>T("MN")</f>
        <v>MN</v>
      </c>
      <c r="F3017" t="str">
        <f>T("551112201")</f>
        <v>551112201</v>
      </c>
      <c r="G3017" t="str">
        <f>T("1 FEDERAL DRIVE")</f>
        <v>1 FEDERAL DRIVE</v>
      </c>
      <c r="H3017" t="str">
        <f>T("SUITE 2501")</f>
        <v>SUITE 2501</v>
      </c>
      <c r="I3017" t="str">
        <f>T("FORT SNELLING")</f>
        <v>FORT SNELLING</v>
      </c>
      <c r="J3017" t="str">
        <f>T("MN")</f>
        <v>MN</v>
      </c>
      <c r="K3017" t="str">
        <f>T("9528538379")</f>
        <v>9528538379</v>
      </c>
      <c r="L3017" t="str">
        <f>T("6128433000")</f>
        <v>6128433000</v>
      </c>
    </row>
    <row r="3018" spans="1:12" x14ac:dyDescent="0.35">
      <c r="A3018" t="str">
        <f>T("NRD MINNEAPOLIS")</f>
        <v>NRD MINNEAPOLIS</v>
      </c>
      <c r="B3018" t="str">
        <f>T("1 FEDERAL DRIVE")</f>
        <v>1 FEDERAL DRIVE</v>
      </c>
      <c r="C3018" t="str">
        <f>T("SUITE 2501")</f>
        <v>SUITE 2501</v>
      </c>
      <c r="D3018" t="str">
        <f>T("FORT SNELLING")</f>
        <v>FORT SNELLING</v>
      </c>
      <c r="E3018" t="str">
        <f>T("MN")</f>
        <v>MN</v>
      </c>
      <c r="F3018" t="str">
        <f>T("551112201")</f>
        <v>551112201</v>
      </c>
      <c r="G3018" t="str">
        <f>T("NAVY RECRUITING DISTRICT")</f>
        <v>NAVY RECRUITING DISTRICT</v>
      </c>
      <c r="H3018" t="str">
        <f>T("1 FEDERAL DRIVE SUITE 2501")</f>
        <v>1 FEDERAL DRIVE SUITE 2501</v>
      </c>
      <c r="I3018" t="str">
        <f>T("FORT SNELLING")</f>
        <v>FORT SNELLING</v>
      </c>
      <c r="J3018" t="str">
        <f>T("MN")</f>
        <v>MN</v>
      </c>
      <c r="K3018" t="str">
        <f>T("000000000000000000")</f>
        <v>000000000000000000</v>
      </c>
      <c r="L3018" t="str">
        <f>T("6128433000")</f>
        <v>6128433000</v>
      </c>
    </row>
    <row r="3019" spans="1:12" x14ac:dyDescent="0.35">
      <c r="A3019" t="str">
        <f>T("NRD MINNEAPOLIS")</f>
        <v>NRD MINNEAPOLIS</v>
      </c>
      <c r="B3019" t="str">
        <f>T("1 FEDERAL DRIVE")</f>
        <v>1 FEDERAL DRIVE</v>
      </c>
      <c r="C3019" t="str">
        <f>T("SUITE 2501")</f>
        <v>SUITE 2501</v>
      </c>
      <c r="D3019" t="str">
        <f>T("FORT SNELLING")</f>
        <v>FORT SNELLING</v>
      </c>
      <c r="E3019" t="str">
        <f>T("MN")</f>
        <v>MN</v>
      </c>
      <c r="F3019" t="str">
        <f>T("551112201")</f>
        <v>551112201</v>
      </c>
      <c r="G3019" t="str">
        <f>T("NAVY RECRUITING DISTRICT")</f>
        <v>NAVY RECRUITING DISTRICT</v>
      </c>
      <c r="H3019" t="str">
        <f>T("1 FEDERAL DRIVE SUITE 2501")</f>
        <v>1 FEDERAL DRIVE SUITE 2501</v>
      </c>
      <c r="I3019" t="str">
        <f>T("FORT SNELLING")</f>
        <v>FORT SNELLING</v>
      </c>
      <c r="J3019" t="str">
        <f>T("MN")</f>
        <v>MN</v>
      </c>
      <c r="K3019" t="str">
        <f>T("6128433005")</f>
        <v>6128433005</v>
      </c>
      <c r="L3019" t="str">
        <f>T("6128433000")</f>
        <v>6128433000</v>
      </c>
    </row>
    <row r="3020" spans="1:12" x14ac:dyDescent="0.35">
      <c r="A3020" t="str">
        <f>T("NRD NEW ORLEANS")</f>
        <v>NRD NEW ORLEANS</v>
      </c>
      <c r="B3020" t="str">
        <f>T("400 RUSSELL AVE")</f>
        <v>400 RUSSELL AVE</v>
      </c>
      <c r="C3020" t="str">
        <f>T("BLDG 192 RM 104")</f>
        <v>BLDG 192 RM 104</v>
      </c>
      <c r="D3020" t="str">
        <f>T("NEW ORLEANS")</f>
        <v>NEW ORLEANS</v>
      </c>
      <c r="E3020" t="str">
        <f>T("LA")</f>
        <v>LA</v>
      </c>
      <c r="F3020" t="str">
        <f>T("701435077")</f>
        <v>701435077</v>
      </c>
      <c r="G3020" t="str">
        <f>T("400 RUSSELL AVE")</f>
        <v>400 RUSSELL AVE</v>
      </c>
      <c r="H3020" t="str">
        <f>T("BLDG 192")</f>
        <v>BLDG 192</v>
      </c>
      <c r="I3020" t="str">
        <f>T("NEW ORLEANS")</f>
        <v>NEW ORLEANS</v>
      </c>
      <c r="J3020" t="str">
        <f>T("LA")</f>
        <v>LA</v>
      </c>
      <c r="K3020" t="str">
        <f>T("000000000000000000")</f>
        <v>000000000000000000</v>
      </c>
      <c r="L3020" t="str">
        <f>T("5046786704")</f>
        <v>5046786704</v>
      </c>
    </row>
    <row r="3021" spans="1:12" x14ac:dyDescent="0.35">
      <c r="A3021" t="str">
        <f>T("NRD NEW ORLEANS")</f>
        <v>NRD NEW ORLEANS</v>
      </c>
      <c r="B3021" t="str">
        <f>T("400 RUSSELL AVE")</f>
        <v>400 RUSSELL AVE</v>
      </c>
      <c r="C3021" t="str">
        <f>T("BLDG 192 RM 104")</f>
        <v>BLDG 192 RM 104</v>
      </c>
      <c r="D3021" t="str">
        <f>T("NEW ORLEANS")</f>
        <v>NEW ORLEANS</v>
      </c>
      <c r="E3021" t="str">
        <f>T("LA")</f>
        <v>LA</v>
      </c>
      <c r="F3021" t="str">
        <f>T("701435077")</f>
        <v>701435077</v>
      </c>
      <c r="G3021" t="str">
        <f>T("400 RUSSELL AVE")</f>
        <v>400 RUSSELL AVE</v>
      </c>
      <c r="H3021" t="str">
        <f>T("BLDG 192 RM 104")</f>
        <v>BLDG 192 RM 104</v>
      </c>
      <c r="I3021" t="str">
        <f>T("NEW ORLEANS")</f>
        <v>NEW ORLEANS</v>
      </c>
      <c r="J3021" t="str">
        <f>T("LA")</f>
        <v>LA</v>
      </c>
      <c r="K3021" t="str">
        <f>T("5046786706")</f>
        <v>5046786706</v>
      </c>
      <c r="L3021" t="str">
        <f>T("5046786703")</f>
        <v>5046786703</v>
      </c>
    </row>
    <row r="3022" spans="1:12" x14ac:dyDescent="0.35">
      <c r="A3022" t="str">
        <f>T("NRD NEW ORLEANS")</f>
        <v>NRD NEW ORLEANS</v>
      </c>
      <c r="B3022" t="str">
        <f>T("400 RUSSELL AVE")</f>
        <v>400 RUSSELL AVE</v>
      </c>
      <c r="C3022" t="str">
        <f>T("BLDG 192 RM 104-103")</f>
        <v>BLDG 192 RM 104-103</v>
      </c>
      <c r="D3022" t="str">
        <f>T("NEW ORLEANS")</f>
        <v>NEW ORLEANS</v>
      </c>
      <c r="E3022" t="str">
        <f>T("LA")</f>
        <v>LA</v>
      </c>
      <c r="F3022" t="str">
        <f>T("701435077")</f>
        <v>701435077</v>
      </c>
      <c r="G3022" t="str">
        <f>T("400 RUSSELL AVE")</f>
        <v>400 RUSSELL AVE</v>
      </c>
      <c r="H3022" t="str">
        <f>T("BLDG 192 RM 104-103")</f>
        <v>BLDG 192 RM 104-103</v>
      </c>
      <c r="I3022" t="str">
        <f>T("NEW ORLEANS")</f>
        <v>NEW ORLEANS</v>
      </c>
      <c r="J3022" t="str">
        <f>T("LA")</f>
        <v>LA</v>
      </c>
      <c r="K3022" t="str">
        <f>T("")</f>
        <v/>
      </c>
      <c r="L3022" t="str">
        <f>T("5046785855")</f>
        <v>5046785855</v>
      </c>
    </row>
    <row r="3023" spans="1:12" x14ac:dyDescent="0.35">
      <c r="A3023" t="str">
        <f>T("NRD NEW ORLEANS")</f>
        <v>NRD NEW ORLEANS</v>
      </c>
      <c r="B3023" t="str">
        <f>T("400 RUSSELL AVE")</f>
        <v>400 RUSSELL AVE</v>
      </c>
      <c r="C3023" t="str">
        <f>T("BLDG 192 RM 104-103")</f>
        <v>BLDG 192 RM 104-103</v>
      </c>
      <c r="D3023" t="str">
        <f>T("NEW ORLEANS")</f>
        <v>NEW ORLEANS</v>
      </c>
      <c r="E3023" t="str">
        <f>T("LA")</f>
        <v>LA</v>
      </c>
      <c r="F3023" t="str">
        <f>T("701435077")</f>
        <v>701435077</v>
      </c>
      <c r="G3023" t="str">
        <f>T("400 RUSSELL AVE BLDG 192")</f>
        <v>400 RUSSELL AVE BLDG 192</v>
      </c>
      <c r="H3023" t="str">
        <f>T("")</f>
        <v/>
      </c>
      <c r="I3023" t="str">
        <f>T("NEW ORLEANS")</f>
        <v>NEW ORLEANS</v>
      </c>
      <c r="J3023" t="str">
        <f>T("LA")</f>
        <v>LA</v>
      </c>
      <c r="K3023" t="str">
        <f>T("000000000000000000")</f>
        <v>000000000000000000</v>
      </c>
      <c r="L3023" t="str">
        <f>T("5046781288")</f>
        <v>5046781288</v>
      </c>
    </row>
    <row r="3024" spans="1:12" x14ac:dyDescent="0.35">
      <c r="A3024" t="str">
        <f>T("NRD NEW ORLEANS")</f>
        <v>NRD NEW ORLEANS</v>
      </c>
      <c r="B3024" t="str">
        <f>T("400 RUSSELL AVE")</f>
        <v>400 RUSSELL AVE</v>
      </c>
      <c r="C3024" t="str">
        <f>T("BLDG 192 RM 104-103")</f>
        <v>BLDG 192 RM 104-103</v>
      </c>
      <c r="D3024" t="str">
        <f>T("NEW ORLEANS")</f>
        <v>NEW ORLEANS</v>
      </c>
      <c r="E3024" t="str">
        <f>T("LA")</f>
        <v>LA</v>
      </c>
      <c r="F3024" t="str">
        <f>T("701435077")</f>
        <v>701435077</v>
      </c>
      <c r="G3024" t="str">
        <f>T("400 RUSSELL AVE RM 104103")</f>
        <v>400 RUSSELL AVE RM 104103</v>
      </c>
      <c r="H3024" t="str">
        <f>T("BLDG 192")</f>
        <v>BLDG 192</v>
      </c>
      <c r="I3024" t="str">
        <f>T("NEW ORLEANS")</f>
        <v>NEW ORLEANS</v>
      </c>
      <c r="J3024" t="str">
        <f>T("LA")</f>
        <v>LA</v>
      </c>
      <c r="K3024" t="str">
        <f>T("000000000000000000")</f>
        <v>000000000000000000</v>
      </c>
      <c r="L3024" t="str">
        <f>T("5046786704")</f>
        <v>5046786704</v>
      </c>
    </row>
    <row r="3025" spans="1:12" x14ac:dyDescent="0.35">
      <c r="A3025" t="str">
        <f>T("NAVY RECRUITING DISTRICT NY")</f>
        <v>NAVY RECRUITING DISTRICT NY</v>
      </c>
      <c r="B3025" t="str">
        <f>T("1975 HEMPSTEAD TURNPIKE")</f>
        <v>1975 HEMPSTEAD TURNPIKE</v>
      </c>
      <c r="C3025" t="str">
        <f>T(" 3RD FLOOR")</f>
        <v xml:space="preserve"> 3RD FLOOR</v>
      </c>
      <c r="D3025" t="str">
        <f>T("EAST MEADOW")</f>
        <v>EAST MEADOW</v>
      </c>
      <c r="E3025" t="str">
        <f>T("NY")</f>
        <v>NY</v>
      </c>
      <c r="F3025" t="str">
        <f>T("115541758")</f>
        <v>115541758</v>
      </c>
      <c r="G3025" t="str">
        <f>T("1975 HEMPSTEAD TURNPIKE")</f>
        <v>1975 HEMPSTEAD TURNPIKE</v>
      </c>
      <c r="H3025" t="str">
        <f>T(" 3RD FLOOR")</f>
        <v xml:space="preserve"> 3RD FLOOR</v>
      </c>
      <c r="I3025" t="str">
        <f>T("EAST MEADOW")</f>
        <v>EAST MEADOW</v>
      </c>
      <c r="J3025" t="str">
        <f>T("NY")</f>
        <v>NY</v>
      </c>
      <c r="K3025" t="str">
        <f>T("516 683 2540")</f>
        <v>516 683 2540</v>
      </c>
      <c r="L3025" t="str">
        <f>T("5166832512")</f>
        <v>5166832512</v>
      </c>
    </row>
    <row r="3026" spans="1:12" x14ac:dyDescent="0.35">
      <c r="A3026" t="str">
        <f>T("NAVY RECRUITING DISTRICT NY")</f>
        <v>NAVY RECRUITING DISTRICT NY</v>
      </c>
      <c r="B3026" t="str">
        <f>T("1975 HEMPSTEAD TURNPIKE")</f>
        <v>1975 HEMPSTEAD TURNPIKE</v>
      </c>
      <c r="C3026" t="str">
        <f>T(" 3RD FLOOR")</f>
        <v xml:space="preserve"> 3RD FLOOR</v>
      </c>
      <c r="D3026" t="str">
        <f>T("EAST MEADOW")</f>
        <v>EAST MEADOW</v>
      </c>
      <c r="E3026" t="str">
        <f>T("NY")</f>
        <v>NY</v>
      </c>
      <c r="F3026" t="str">
        <f>T("115541758")</f>
        <v>115541758</v>
      </c>
      <c r="G3026" t="str">
        <f>T("990 STEWART AVENUE")</f>
        <v>990 STEWART AVENUE</v>
      </c>
      <c r="H3026" t="str">
        <f>T("STE 220")</f>
        <v>STE 220</v>
      </c>
      <c r="I3026" t="str">
        <f>T("GARDEN CITY")</f>
        <v>GARDEN CITY</v>
      </c>
      <c r="J3026" t="str">
        <f>T("NY")</f>
        <v>NY</v>
      </c>
      <c r="K3026" t="str">
        <f>T("5167949227")</f>
        <v>5167949227</v>
      </c>
      <c r="L3026" t="str">
        <f>T("5166831087")</f>
        <v>5166831087</v>
      </c>
    </row>
    <row r="3027" spans="1:12" x14ac:dyDescent="0.35">
      <c r="A3027" t="str">
        <f>T("NAVY RECRUITING DISTRICT NY")</f>
        <v>NAVY RECRUITING DISTRICT NY</v>
      </c>
      <c r="B3027" t="str">
        <f>T("990 STEWART AVE STE 220")</f>
        <v>990 STEWART AVE STE 220</v>
      </c>
      <c r="C3027" t="str">
        <f>T("")</f>
        <v/>
      </c>
      <c r="D3027" t="str">
        <f>T("GARDEN CITY")</f>
        <v>GARDEN CITY</v>
      </c>
      <c r="E3027" t="str">
        <f>T("NY")</f>
        <v>NY</v>
      </c>
      <c r="F3027" t="str">
        <f>T("115304805")</f>
        <v>115304805</v>
      </c>
      <c r="G3027" t="str">
        <f>T("990 STEWART AVE STE 220")</f>
        <v>990 STEWART AVE STE 220</v>
      </c>
      <c r="H3027" t="str">
        <f>T("")</f>
        <v/>
      </c>
      <c r="I3027" t="str">
        <f>T("GARDEN CITY")</f>
        <v>GARDEN CITY</v>
      </c>
      <c r="J3027" t="str">
        <f>T("NY")</f>
        <v>NY</v>
      </c>
      <c r="K3027" t="str">
        <f>T("000000000000000000")</f>
        <v>000000000000000000</v>
      </c>
      <c r="L3027" t="str">
        <f>T("5196832512")</f>
        <v>5196832512</v>
      </c>
    </row>
    <row r="3028" spans="1:12" x14ac:dyDescent="0.35">
      <c r="A3028" t="str">
        <f>T("NAVY RECRUITING DISTRICT NY")</f>
        <v>NAVY RECRUITING DISTRICT NY</v>
      </c>
      <c r="B3028" t="str">
        <f>T("990 STEWART AVE STE 220")</f>
        <v>990 STEWART AVE STE 220</v>
      </c>
      <c r="C3028" t="str">
        <f>T("")</f>
        <v/>
      </c>
      <c r="D3028" t="str">
        <f>T("GARDEN CITY")</f>
        <v>GARDEN CITY</v>
      </c>
      <c r="E3028" t="str">
        <f>T("NY")</f>
        <v>NY</v>
      </c>
      <c r="F3028" t="str">
        <f>T("115304805")</f>
        <v>115304805</v>
      </c>
      <c r="G3028" t="str">
        <f>T("990 STEWART AVE STE 220")</f>
        <v>990 STEWART AVE STE 220</v>
      </c>
      <c r="H3028" t="str">
        <f>T("")</f>
        <v/>
      </c>
      <c r="I3028" t="str">
        <f>T("GARDEN CITY")</f>
        <v>GARDEN CITY</v>
      </c>
      <c r="J3028" t="str">
        <f>T("NY")</f>
        <v>NY</v>
      </c>
      <c r="K3028" t="str">
        <f>T("5166832520")</f>
        <v>5166832520</v>
      </c>
      <c r="L3028" t="str">
        <f>T("5166831565")</f>
        <v>5166831565</v>
      </c>
    </row>
    <row r="3029" spans="1:12" x14ac:dyDescent="0.35">
      <c r="A3029" t="str">
        <f>T("NAVY RECRUITING DISTRICT NY")</f>
        <v>NAVY RECRUITING DISTRICT NY</v>
      </c>
      <c r="B3029" t="str">
        <f>T("990 STEWART AVE STE 220")</f>
        <v>990 STEWART AVE STE 220</v>
      </c>
      <c r="C3029" t="str">
        <f>T("")</f>
        <v/>
      </c>
      <c r="D3029" t="str">
        <f>T("GARDEN CITY")</f>
        <v>GARDEN CITY</v>
      </c>
      <c r="E3029" t="str">
        <f>T("NY")</f>
        <v>NY</v>
      </c>
      <c r="F3029" t="str">
        <f>T("115304805")</f>
        <v>115304805</v>
      </c>
      <c r="G3029" t="str">
        <f>T("NRD NY")</f>
        <v>NRD NY</v>
      </c>
      <c r="H3029" t="str">
        <f>T("990 STEWART AVE STE 220")</f>
        <v>990 STEWART AVE STE 220</v>
      </c>
      <c r="I3029" t="str">
        <f>T("GARDEN CITY")</f>
        <v>GARDEN CITY</v>
      </c>
      <c r="J3029" t="str">
        <f>T("NY")</f>
        <v>NY</v>
      </c>
      <c r="K3029" t="str">
        <f>T("516-683-2540")</f>
        <v>516-683-2540</v>
      </c>
      <c r="L3029" t="str">
        <f>T("5166832512")</f>
        <v>5166832512</v>
      </c>
    </row>
    <row r="3030" spans="1:12" x14ac:dyDescent="0.35">
      <c r="A3030" t="str">
        <f t="shared" ref="A3030:B3033" si="1232">T("NRD PHILADELPHIA")</f>
        <v>NRD PHILADELPHIA</v>
      </c>
      <c r="B3030" t="str">
        <f t="shared" si="1232"/>
        <v>NRD PHILADELPHIA</v>
      </c>
      <c r="C3030" t="str">
        <f>T("700 ROBBINS AVE BLDG 2D 1ST FL")</f>
        <v>700 ROBBINS AVE BLDG 2D 1ST FL</v>
      </c>
      <c r="D3030" t="str">
        <f>T("PHILADELPHIA")</f>
        <v>PHILADELPHIA</v>
      </c>
      <c r="E3030" t="str">
        <f t="shared" ref="E3030:E3038" si="1233">T("PA")</f>
        <v>PA</v>
      </c>
      <c r="F3030" t="str">
        <f>T("191115008")</f>
        <v>191115008</v>
      </c>
      <c r="G3030" t="str">
        <f>T("NRD PHILADELPHIA")</f>
        <v>NRD PHILADELPHIA</v>
      </c>
      <c r="H3030" t="str">
        <f>T("700 ROBBINS AVE BLDG 2D")</f>
        <v>700 ROBBINS AVE BLDG 2D</v>
      </c>
      <c r="I3030" t="str">
        <f>T("PHILADELPHIA")</f>
        <v>PHILADELPHIA</v>
      </c>
      <c r="J3030" t="str">
        <f t="shared" ref="J3030:J3038" si="1234">T("PA")</f>
        <v>PA</v>
      </c>
      <c r="K3030" t="str">
        <f>T("000000000000000000")</f>
        <v>000000000000000000</v>
      </c>
      <c r="L3030" t="str">
        <f>T("2156974127")</f>
        <v>2156974127</v>
      </c>
    </row>
    <row r="3031" spans="1:12" x14ac:dyDescent="0.35">
      <c r="A3031" t="str">
        <f t="shared" si="1232"/>
        <v>NRD PHILADELPHIA</v>
      </c>
      <c r="B3031" t="str">
        <f t="shared" si="1232"/>
        <v>NRD PHILADELPHIA</v>
      </c>
      <c r="C3031" t="str">
        <f>T("700 ROBBINS AVE BLDG 2D 1ST FL")</f>
        <v>700 ROBBINS AVE BLDG 2D 1ST FL</v>
      </c>
      <c r="D3031" t="str">
        <f>T("PHILADELPHIA")</f>
        <v>PHILADELPHIA</v>
      </c>
      <c r="E3031" t="str">
        <f t="shared" si="1233"/>
        <v>PA</v>
      </c>
      <c r="F3031" t="str">
        <f>T("191115008")</f>
        <v>191115008</v>
      </c>
      <c r="G3031" t="str">
        <f>T("NRD PHILADELPHIA")</f>
        <v>NRD PHILADELPHIA</v>
      </c>
      <c r="H3031" t="str">
        <f>T("700 ROBBINS AVE BLDG 2D")</f>
        <v>700 ROBBINS AVE BLDG 2D</v>
      </c>
      <c r="I3031" t="str">
        <f>T("PHILADELPHIA")</f>
        <v>PHILADELPHIA</v>
      </c>
      <c r="J3031" t="str">
        <f t="shared" si="1234"/>
        <v>PA</v>
      </c>
      <c r="K3031" t="str">
        <f>T("000000000000000000")</f>
        <v>000000000000000000</v>
      </c>
      <c r="L3031" t="str">
        <f>T("2156974137")</f>
        <v>2156974137</v>
      </c>
    </row>
    <row r="3032" spans="1:12" x14ac:dyDescent="0.35">
      <c r="A3032" t="str">
        <f t="shared" si="1232"/>
        <v>NRD PHILADELPHIA</v>
      </c>
      <c r="B3032" t="str">
        <f t="shared" si="1232"/>
        <v>NRD PHILADELPHIA</v>
      </c>
      <c r="C3032" t="str">
        <f>T("700 ROBBINS AVE BLDG 2D 1ST FL")</f>
        <v>700 ROBBINS AVE BLDG 2D 1ST FL</v>
      </c>
      <c r="D3032" t="str">
        <f>T("PHILADELPHIA")</f>
        <v>PHILADELPHIA</v>
      </c>
      <c r="E3032" t="str">
        <f t="shared" si="1233"/>
        <v>PA</v>
      </c>
      <c r="F3032" t="str">
        <f>T("191115008")</f>
        <v>191115008</v>
      </c>
      <c r="G3032" t="str">
        <f>T("NRD PHILADELPHIA")</f>
        <v>NRD PHILADELPHIA</v>
      </c>
      <c r="H3032" t="str">
        <f>T("700 ROBBINS AVE BLDG 2D 1ST FL")</f>
        <v>700 ROBBINS AVE BLDG 2D 1ST FL</v>
      </c>
      <c r="I3032" t="str">
        <f>T("PHILADELPHIA")</f>
        <v>PHILADELPHIA</v>
      </c>
      <c r="J3032" t="str">
        <f t="shared" si="1234"/>
        <v>PA</v>
      </c>
      <c r="K3032" t="str">
        <f>T("000000000000000000")</f>
        <v>000000000000000000</v>
      </c>
      <c r="L3032" t="str">
        <f>T("2156971041")</f>
        <v>2156971041</v>
      </c>
    </row>
    <row r="3033" spans="1:12" x14ac:dyDescent="0.35">
      <c r="A3033" t="str">
        <f t="shared" si="1232"/>
        <v>NRD PHILADELPHIA</v>
      </c>
      <c r="B3033" t="str">
        <f t="shared" si="1232"/>
        <v>NRD PHILADELPHIA</v>
      </c>
      <c r="C3033" t="str">
        <f>T("700 ROBBINS AVE BLDG 2D 1ST FL")</f>
        <v>700 ROBBINS AVE BLDG 2D 1ST FL</v>
      </c>
      <c r="D3033" t="str">
        <f>T("PHILADELPHIA")</f>
        <v>PHILADELPHIA</v>
      </c>
      <c r="E3033" t="str">
        <f t="shared" si="1233"/>
        <v>PA</v>
      </c>
      <c r="F3033" t="str">
        <f>T("191115008")</f>
        <v>191115008</v>
      </c>
      <c r="G3033" t="str">
        <f>T("NRD PHILADELPHIA")</f>
        <v>NRD PHILADELPHIA</v>
      </c>
      <c r="H3033" t="str">
        <f>T("700 ROBBINS AVE BLDG 2D 1ST FL")</f>
        <v>700 ROBBINS AVE BLDG 2D 1ST FL</v>
      </c>
      <c r="I3033" t="str">
        <f>T("PHILADELPHIA")</f>
        <v>PHILADELPHIA</v>
      </c>
      <c r="J3033" t="str">
        <f t="shared" si="1234"/>
        <v>PA</v>
      </c>
      <c r="K3033" t="str">
        <f>T("2156974452")</f>
        <v>2156974452</v>
      </c>
      <c r="L3033" t="str">
        <f>T("2156971041")</f>
        <v>2156971041</v>
      </c>
    </row>
    <row r="3034" spans="1:12" x14ac:dyDescent="0.35">
      <c r="A3034" t="str">
        <f>T("NRD PITTSBURGH")</f>
        <v>NRD PITTSBURGH</v>
      </c>
      <c r="B3034" t="str">
        <f>T("1000 LIBERTY AVE")</f>
        <v>1000 LIBERTY AVE</v>
      </c>
      <c r="C3034" t="str">
        <f>T("RM 2016")</f>
        <v>RM 2016</v>
      </c>
      <c r="D3034" t="str">
        <f>T("PITTSBURGH")</f>
        <v>PITTSBURGH</v>
      </c>
      <c r="E3034" t="str">
        <f t="shared" si="1233"/>
        <v>PA</v>
      </c>
      <c r="F3034" t="str">
        <f>T("152224020")</f>
        <v>152224020</v>
      </c>
      <c r="G3034" t="str">
        <f>T("1000 LIBERTY AVE")</f>
        <v>1000 LIBERTY AVE</v>
      </c>
      <c r="H3034" t="str">
        <f>T("RM 2016")</f>
        <v>RM 2016</v>
      </c>
      <c r="I3034" t="str">
        <f>T("PITTSBURGH")</f>
        <v>PITTSBURGH</v>
      </c>
      <c r="J3034" t="str">
        <f t="shared" si="1234"/>
        <v>PA</v>
      </c>
      <c r="K3034" t="str">
        <f>T("000000000000000000")</f>
        <v>000000000000000000</v>
      </c>
      <c r="L3034" t="str">
        <f>T("4123956830")</f>
        <v>4123956830</v>
      </c>
    </row>
    <row r="3035" spans="1:12" x14ac:dyDescent="0.35">
      <c r="A3035" t="str">
        <f>T("NRD PITTSBURGH")</f>
        <v>NRD PITTSBURGH</v>
      </c>
      <c r="B3035" t="str">
        <f>T("1000 LIBERTY AVE")</f>
        <v>1000 LIBERTY AVE</v>
      </c>
      <c r="C3035" t="str">
        <f>T("RM 2016")</f>
        <v>RM 2016</v>
      </c>
      <c r="D3035" t="str">
        <f>T("PITTSBURGH")</f>
        <v>PITTSBURGH</v>
      </c>
      <c r="E3035" t="str">
        <f t="shared" si="1233"/>
        <v>PA</v>
      </c>
      <c r="F3035" t="str">
        <f>T("152224020")</f>
        <v>152224020</v>
      </c>
      <c r="G3035" t="str">
        <f>T("1000 LIBERTY AVE")</f>
        <v>1000 LIBERTY AVE</v>
      </c>
      <c r="H3035" t="str">
        <f>T("RM 2016")</f>
        <v>RM 2016</v>
      </c>
      <c r="I3035" t="str">
        <f>T("PITTSBURGH")</f>
        <v>PITTSBURGH</v>
      </c>
      <c r="J3035" t="str">
        <f t="shared" si="1234"/>
        <v>PA</v>
      </c>
      <c r="K3035" t="str">
        <f>T("4123955897")</f>
        <v>4123955897</v>
      </c>
      <c r="L3035" t="str">
        <f>T("4123955881")</f>
        <v>4123955881</v>
      </c>
    </row>
    <row r="3036" spans="1:12" x14ac:dyDescent="0.35">
      <c r="A3036" t="str">
        <f>T("NRD PITTSBURGH")</f>
        <v>NRD PITTSBURGH</v>
      </c>
      <c r="B3036" t="str">
        <f>T("1000 LIBERTY AVE")</f>
        <v>1000 LIBERTY AVE</v>
      </c>
      <c r="C3036" t="str">
        <f>T("RM 2016")</f>
        <v>RM 2016</v>
      </c>
      <c r="D3036" t="str">
        <f>T("PITTSBURGH")</f>
        <v>PITTSBURGH</v>
      </c>
      <c r="E3036" t="str">
        <f t="shared" si="1233"/>
        <v>PA</v>
      </c>
      <c r="F3036" t="str">
        <f>T("152224020")</f>
        <v>152224020</v>
      </c>
      <c r="G3036" t="str">
        <f>T("1000 LIBERTY AVE")</f>
        <v>1000 LIBERTY AVE</v>
      </c>
      <c r="H3036" t="str">
        <f>T("SUITE 2016")</f>
        <v>SUITE 2016</v>
      </c>
      <c r="I3036" t="str">
        <f>T("PITTSBURGH")</f>
        <v>PITTSBURGH</v>
      </c>
      <c r="J3036" t="str">
        <f t="shared" si="1234"/>
        <v>PA</v>
      </c>
      <c r="K3036" t="str">
        <f>T("000000000000000000")</f>
        <v>000000000000000000</v>
      </c>
      <c r="L3036" t="str">
        <f>T("4123955893")</f>
        <v>4123955893</v>
      </c>
    </row>
    <row r="3037" spans="1:12" x14ac:dyDescent="0.35">
      <c r="A3037" t="str">
        <f>T("NRD PITTSBURGH")</f>
        <v>NRD PITTSBURGH</v>
      </c>
      <c r="B3037" t="str">
        <f>T("1000 LIBERTY AVENUE")</f>
        <v>1000 LIBERTY AVENUE</v>
      </c>
      <c r="C3037" t="str">
        <f>T("RM 2016")</f>
        <v>RM 2016</v>
      </c>
      <c r="D3037" t="str">
        <f>T("PITTSBURGH")</f>
        <v>PITTSBURGH</v>
      </c>
      <c r="E3037" t="str">
        <f t="shared" si="1233"/>
        <v>PA</v>
      </c>
      <c r="F3037" t="str">
        <f>T("152224020")</f>
        <v>152224020</v>
      </c>
      <c r="G3037" t="str">
        <f>T("1000 LIBERTY AVE")</f>
        <v>1000 LIBERTY AVE</v>
      </c>
      <c r="H3037" t="str">
        <f>T("SUITE 2016")</f>
        <v>SUITE 2016</v>
      </c>
      <c r="I3037" t="str">
        <f>T("PITTSBURGH")</f>
        <v>PITTSBURGH</v>
      </c>
      <c r="J3037" t="str">
        <f t="shared" si="1234"/>
        <v>PA</v>
      </c>
      <c r="K3037" t="str">
        <f>T("000000000000000000")</f>
        <v>000000000000000000</v>
      </c>
      <c r="L3037" t="str">
        <f>T("4123955893")</f>
        <v>4123955893</v>
      </c>
    </row>
    <row r="3038" spans="1:12" x14ac:dyDescent="0.35">
      <c r="A3038" t="str">
        <f>T("NRD PITTSBURGH")</f>
        <v>NRD PITTSBURGH</v>
      </c>
      <c r="B3038" t="str">
        <f>T("1000 LIBERTY AVENUE")</f>
        <v>1000 LIBERTY AVENUE</v>
      </c>
      <c r="C3038" t="str">
        <f>T("RM 2016")</f>
        <v>RM 2016</v>
      </c>
      <c r="D3038" t="str">
        <f>T("PITTSBURGH")</f>
        <v>PITTSBURGH</v>
      </c>
      <c r="E3038" t="str">
        <f t="shared" si="1233"/>
        <v>PA</v>
      </c>
      <c r="F3038" t="str">
        <f>T("152224020")</f>
        <v>152224020</v>
      </c>
      <c r="G3038" t="str">
        <f>T("1000 LIBERTY AVENUE")</f>
        <v>1000 LIBERTY AVENUE</v>
      </c>
      <c r="H3038" t="str">
        <f>T("RM 2016")</f>
        <v>RM 2016</v>
      </c>
      <c r="I3038" t="str">
        <f>T("PITTSBURGH")</f>
        <v>PITTSBURGH</v>
      </c>
      <c r="J3038" t="str">
        <f t="shared" si="1234"/>
        <v>PA</v>
      </c>
      <c r="K3038" t="str">
        <f>T("4123955897")</f>
        <v>4123955897</v>
      </c>
      <c r="L3038" t="str">
        <f>T("4123956830")</f>
        <v>4123956830</v>
      </c>
    </row>
    <row r="3039" spans="1:12" x14ac:dyDescent="0.35">
      <c r="A3039" t="str">
        <f>T("NRD SAN FRANCISCO")</f>
        <v>NRD SAN FRANCISCO</v>
      </c>
      <c r="B3039" t="str">
        <f>T("546 VERNON AVENUE")</f>
        <v>546 VERNON AVENUE</v>
      </c>
      <c r="C3039" t="str">
        <f>T("")</f>
        <v/>
      </c>
      <c r="D3039" t="str">
        <f>T("MOUNTAIN VIEW")</f>
        <v>MOUNTAIN VIEW</v>
      </c>
      <c r="E3039" t="str">
        <f>T("CA")</f>
        <v>CA</v>
      </c>
      <c r="F3039" t="str">
        <f>T("940431571")</f>
        <v>940431571</v>
      </c>
      <c r="G3039" t="str">
        <f>T("546 VERNON AVE")</f>
        <v>546 VERNON AVE</v>
      </c>
      <c r="H3039" t="str">
        <f>T("")</f>
        <v/>
      </c>
      <c r="I3039" t="str">
        <f>T("MOUNTAIN VIEW")</f>
        <v>MOUNTAIN VIEW</v>
      </c>
      <c r="J3039" t="str">
        <f>T("CA")</f>
        <v>CA</v>
      </c>
      <c r="K3039" t="str">
        <f>T("6506039652")</f>
        <v>6506039652</v>
      </c>
      <c r="L3039" t="str">
        <f>T("6506039659")</f>
        <v>6506039659</v>
      </c>
    </row>
    <row r="3040" spans="1:12" x14ac:dyDescent="0.35">
      <c r="A3040" t="str">
        <f>T("NRD SAN FRANCISCO")</f>
        <v>NRD SAN FRANCISCO</v>
      </c>
      <c r="B3040" t="str">
        <f>T("546 VERNON AVENUE")</f>
        <v>546 VERNON AVENUE</v>
      </c>
      <c r="C3040" t="str">
        <f>T("")</f>
        <v/>
      </c>
      <c r="D3040" t="str">
        <f>T("MOUNTAIN VIEW")</f>
        <v>MOUNTAIN VIEW</v>
      </c>
      <c r="E3040" t="str">
        <f>T("CA")</f>
        <v>CA</v>
      </c>
      <c r="F3040" t="str">
        <f>T("940431571")</f>
        <v>940431571</v>
      </c>
      <c r="G3040" t="str">
        <f>T("546 VERNON AVENUE")</f>
        <v>546 VERNON AVENUE</v>
      </c>
      <c r="H3040" t="str">
        <f>T("")</f>
        <v/>
      </c>
      <c r="I3040" t="str">
        <f>T("MOUNTAIN VIEW")</f>
        <v>MOUNTAIN VIEW</v>
      </c>
      <c r="J3040" t="str">
        <f>T("CA")</f>
        <v>CA</v>
      </c>
      <c r="K3040" t="str">
        <f>T("6506039652")</f>
        <v>6506039652</v>
      </c>
      <c r="L3040" t="str">
        <f>T("6506031571")</f>
        <v>6506031571</v>
      </c>
    </row>
    <row r="3041" spans="1:12" x14ac:dyDescent="0.35">
      <c r="A3041" t="str">
        <f>T("NRD SAN FRANCISCO")</f>
        <v>NRD SAN FRANCISCO</v>
      </c>
      <c r="B3041" t="str">
        <f>T("546 VERNON AVENUE")</f>
        <v>546 VERNON AVENUE</v>
      </c>
      <c r="C3041" t="str">
        <f>T("")</f>
        <v/>
      </c>
      <c r="D3041" t="str">
        <f>T("MOUNTAIN VIEW")</f>
        <v>MOUNTAIN VIEW</v>
      </c>
      <c r="E3041" t="str">
        <f>T("CA")</f>
        <v>CA</v>
      </c>
      <c r="F3041" t="str">
        <f>T("940431571")</f>
        <v>940431571</v>
      </c>
      <c r="G3041" t="str">
        <f>T("BLDG 546 VERNON AVENUE")</f>
        <v>BLDG 546 VERNON AVENUE</v>
      </c>
      <c r="H3041" t="str">
        <f>T("SUITE280")</f>
        <v>SUITE280</v>
      </c>
      <c r="I3041" t="str">
        <f>T("MOUNTAIN VIEW")</f>
        <v>MOUNTAIN VIEW</v>
      </c>
      <c r="J3041" t="str">
        <f>T("CA")</f>
        <v>CA</v>
      </c>
      <c r="K3041" t="str">
        <f>T("000000000000000000")</f>
        <v>000000000000000000</v>
      </c>
      <c r="L3041" t="str">
        <f>T("6506039648")</f>
        <v>6506039648</v>
      </c>
    </row>
    <row r="3042" spans="1:12" x14ac:dyDescent="0.35">
      <c r="A3042" t="str">
        <f>T("NRD SAN FRANCISCO")</f>
        <v>NRD SAN FRANCISCO</v>
      </c>
      <c r="B3042" t="str">
        <f>T("NRD SAN FRANCISCO")</f>
        <v>NRD SAN FRANCISCO</v>
      </c>
      <c r="C3042" t="str">
        <f>T("546 VERNON AVE")</f>
        <v>546 VERNON AVE</v>
      </c>
      <c r="D3042" t="str">
        <f>T("MOUNTAIN VIEW")</f>
        <v>MOUNTAIN VIEW</v>
      </c>
      <c r="E3042" t="str">
        <f>T("CA")</f>
        <v>CA</v>
      </c>
      <c r="F3042" t="str">
        <f>T("940431571")</f>
        <v>940431571</v>
      </c>
      <c r="G3042" t="str">
        <f>T("BLDG 546 VERNON AVE")</f>
        <v>BLDG 546 VERNON AVE</v>
      </c>
      <c r="H3042" t="str">
        <f>T("SUITE 280")</f>
        <v>SUITE 280</v>
      </c>
      <c r="I3042" t="str">
        <f>T("MOUNTAIN VIEW")</f>
        <v>MOUNTAIN VIEW</v>
      </c>
      <c r="J3042" t="str">
        <f>T("CA")</f>
        <v>CA</v>
      </c>
      <c r="K3042" t="str">
        <f>T("000000000000000000")</f>
        <v>000000000000000000</v>
      </c>
      <c r="L3042" t="str">
        <f>T("6506039645")</f>
        <v>6506039645</v>
      </c>
    </row>
    <row r="3043" spans="1:12" x14ac:dyDescent="0.35">
      <c r="A3043" t="str">
        <f>T("NRD SAN FRANCISCO")</f>
        <v>NRD SAN FRANCISCO</v>
      </c>
      <c r="B3043" t="str">
        <f>T("NRD SAN FRANCISCO")</f>
        <v>NRD SAN FRANCISCO</v>
      </c>
      <c r="C3043" t="str">
        <f>T("546 VERNON AVE")</f>
        <v>546 VERNON AVE</v>
      </c>
      <c r="D3043" t="str">
        <f>T("MOUNTAIN VIEW")</f>
        <v>MOUNTAIN VIEW</v>
      </c>
      <c r="E3043" t="str">
        <f>T("CA")</f>
        <v>CA</v>
      </c>
      <c r="F3043" t="str">
        <f>T("940431571")</f>
        <v>940431571</v>
      </c>
      <c r="G3043" t="str">
        <f>T("NRD SAN FRANCISCO")</f>
        <v>NRD SAN FRANCISCO</v>
      </c>
      <c r="H3043" t="str">
        <f>T("546 VERNON AVE")</f>
        <v>546 VERNON AVE</v>
      </c>
      <c r="I3043" t="str">
        <f>T("MOUNTAIN VIEW")</f>
        <v>MOUNTAIN VIEW</v>
      </c>
      <c r="J3043" t="str">
        <f>T("CA")</f>
        <v>CA</v>
      </c>
      <c r="K3043" t="str">
        <f>T("6506039649")</f>
        <v>6506039649</v>
      </c>
      <c r="L3043" t="str">
        <f>T("1111111111")</f>
        <v>1111111111</v>
      </c>
    </row>
    <row r="3044" spans="1:12" x14ac:dyDescent="0.35">
      <c r="A3044" t="str">
        <f>T("NRD SEATTLE")</f>
        <v>NRD SEATTLE</v>
      </c>
      <c r="B3044" t="str">
        <f>T("NAVY RECRUITING DISTRICT SEATTLE")</f>
        <v>NAVY RECRUITING DISTRICT SEATTLE</v>
      </c>
      <c r="C3044" t="str">
        <f>T("1531 UTAH AVE S SUITE 400")</f>
        <v>1531 UTAH AVE S SUITE 400</v>
      </c>
      <c r="D3044" t="str">
        <f>T("SEATTLE")</f>
        <v>SEATTLE</v>
      </c>
      <c r="E3044" t="str">
        <f>T("WA")</f>
        <v>WA</v>
      </c>
      <c r="F3044" t="str">
        <f>T("981341469")</f>
        <v>981341469</v>
      </c>
      <c r="G3044" t="str">
        <f>T("1531 UTAH AVE S")</f>
        <v>1531 UTAH AVE S</v>
      </c>
      <c r="H3044" t="str">
        <f>T("STE 300")</f>
        <v>STE 300</v>
      </c>
      <c r="I3044" t="str">
        <f>T("SEATTLE")</f>
        <v>SEATTLE</v>
      </c>
      <c r="J3044" t="str">
        <f>T("WA")</f>
        <v>WA</v>
      </c>
      <c r="K3044" t="str">
        <f>T("000000000000000000")</f>
        <v>000000000000000000</v>
      </c>
      <c r="L3044" t="str">
        <f>T("2067288940")</f>
        <v>2067288940</v>
      </c>
    </row>
    <row r="3045" spans="1:12" x14ac:dyDescent="0.35">
      <c r="A3045" t="str">
        <f>T("NRD SEATTLE")</f>
        <v>NRD SEATTLE</v>
      </c>
      <c r="B3045" t="str">
        <f>T("NAVY RECRUITING DISTRICT SEATTLE")</f>
        <v>NAVY RECRUITING DISTRICT SEATTLE</v>
      </c>
      <c r="C3045" t="str">
        <f>T("1531 UTAH AVE S SUITE 400")</f>
        <v>1531 UTAH AVE S SUITE 400</v>
      </c>
      <c r="D3045" t="str">
        <f>T("SEATTLE")</f>
        <v>SEATTLE</v>
      </c>
      <c r="E3045" t="str">
        <f>T("WA")</f>
        <v>WA</v>
      </c>
      <c r="F3045" t="str">
        <f>T("981341469")</f>
        <v>981341469</v>
      </c>
      <c r="G3045" t="str">
        <f>T("1531 UTAH AVE S")</f>
        <v>1531 UTAH AVE S</v>
      </c>
      <c r="H3045" t="str">
        <f>T("STE 300")</f>
        <v>STE 300</v>
      </c>
      <c r="I3045" t="str">
        <f>T("SEATTLE")</f>
        <v>SEATTLE</v>
      </c>
      <c r="J3045" t="str">
        <f>T("WA")</f>
        <v>WA</v>
      </c>
      <c r="K3045" t="str">
        <f>T("000000000000000000")</f>
        <v>000000000000000000</v>
      </c>
      <c r="L3045" t="str">
        <f>T("2067288953")</f>
        <v>2067288953</v>
      </c>
    </row>
    <row r="3046" spans="1:12" x14ac:dyDescent="0.35">
      <c r="A3046" t="str">
        <f>T("NRD SEATTLE")</f>
        <v>NRD SEATTLE</v>
      </c>
      <c r="B3046" t="str">
        <f>T("NAVY RECRUITING DISTRICT SEATTLE")</f>
        <v>NAVY RECRUITING DISTRICT SEATTLE</v>
      </c>
      <c r="C3046" t="str">
        <f>T("1531 UTAH AVE S SUITE 400")</f>
        <v>1531 UTAH AVE S SUITE 400</v>
      </c>
      <c r="D3046" t="str">
        <f>T("SEATTLE")</f>
        <v>SEATTLE</v>
      </c>
      <c r="E3046" t="str">
        <f>T("WA")</f>
        <v>WA</v>
      </c>
      <c r="F3046" t="str">
        <f>T("981341469")</f>
        <v>981341469</v>
      </c>
      <c r="G3046" t="str">
        <f>T("NAVY RECRUITING DISTRICT SEATTLE")</f>
        <v>NAVY RECRUITING DISTRICT SEATTLE</v>
      </c>
      <c r="H3046" t="str">
        <f>T("1531 UTAH AVE S SUITE 400")</f>
        <v>1531 UTAH AVE S SUITE 400</v>
      </c>
      <c r="I3046" t="str">
        <f>T("SEATTLE")</f>
        <v>SEATTLE</v>
      </c>
      <c r="J3046" t="str">
        <f>T("WA")</f>
        <v>WA</v>
      </c>
      <c r="K3046" t="str">
        <f>T("2067287736")</f>
        <v>2067287736</v>
      </c>
      <c r="L3046" t="str">
        <f>T("2067288950")</f>
        <v>2067288950</v>
      </c>
    </row>
    <row r="3047" spans="1:12" x14ac:dyDescent="0.35">
      <c r="A3047" t="str">
        <f>T("NRD SEATTLE")</f>
        <v>NRD SEATTLE</v>
      </c>
      <c r="B3047" t="str">
        <f>T("NAVY RECRUITING DISTRICT SEATTLE")</f>
        <v>NAVY RECRUITING DISTRICT SEATTLE</v>
      </c>
      <c r="C3047" t="str">
        <f>T("1531 UTAH AVE S SUITE 400")</f>
        <v>1531 UTAH AVE S SUITE 400</v>
      </c>
      <c r="D3047" t="str">
        <f>T("SEATTLE")</f>
        <v>SEATTLE</v>
      </c>
      <c r="E3047" t="str">
        <f>T("WA")</f>
        <v>WA</v>
      </c>
      <c r="F3047" t="str">
        <f>T("981341469")</f>
        <v>981341469</v>
      </c>
      <c r="G3047" t="str">
        <f>T("NAVY RECRUITING DISTRICT SEATTLE")</f>
        <v>NAVY RECRUITING DISTRICT SEATTLE</v>
      </c>
      <c r="H3047" t="str">
        <f>T("1531 UTAH AVE S SUITE 400")</f>
        <v>1531 UTAH AVE S SUITE 400</v>
      </c>
      <c r="I3047" t="str">
        <f>T("SEATTLE")</f>
        <v>SEATTLE</v>
      </c>
      <c r="J3047" t="str">
        <f>T("WA")</f>
        <v>WA</v>
      </c>
      <c r="K3047" t="str">
        <f>T("2067287736")</f>
        <v>2067287736</v>
      </c>
      <c r="L3047" t="str">
        <f>T("2067288952")</f>
        <v>2067288952</v>
      </c>
    </row>
    <row r="3048" spans="1:12" x14ac:dyDescent="0.35">
      <c r="A3048" t="str">
        <f>T("NRD MIAMI")</f>
        <v>NRD MIAMI</v>
      </c>
      <c r="B3048" t="str">
        <f>T("14050 NW 14TH ST")</f>
        <v>14050 NW 14TH ST</v>
      </c>
      <c r="C3048" t="str">
        <f>T("STE 150")</f>
        <v>STE 150</v>
      </c>
      <c r="D3048" t="str">
        <f>T("SUNRISE")</f>
        <v>SUNRISE</v>
      </c>
      <c r="E3048" t="str">
        <f>T("FL")</f>
        <v>FL</v>
      </c>
      <c r="F3048" t="str">
        <f>T("333232868")</f>
        <v>333232868</v>
      </c>
      <c r="G3048" t="str">
        <f>T("14050 NW 14TH ST")</f>
        <v>14050 NW 14TH ST</v>
      </c>
      <c r="H3048" t="str">
        <f>T("STE 150")</f>
        <v>STE 150</v>
      </c>
      <c r="I3048" t="str">
        <f>T("SUNRISE")</f>
        <v>SUNRISE</v>
      </c>
      <c r="J3048" t="str">
        <f>T("FL")</f>
        <v>FL</v>
      </c>
      <c r="K3048" t="str">
        <f>T("000000000000000000")</f>
        <v>000000000000000000</v>
      </c>
      <c r="L3048" t="str">
        <f>T("1111111111")</f>
        <v>1111111111</v>
      </c>
    </row>
    <row r="3049" spans="1:12" x14ac:dyDescent="0.35">
      <c r="A3049" t="str">
        <f>T("NRD MIAMI")</f>
        <v>NRD MIAMI</v>
      </c>
      <c r="B3049" t="str">
        <f>T("14050 NW 14TH ST")</f>
        <v>14050 NW 14TH ST</v>
      </c>
      <c r="C3049" t="str">
        <f>T("STE 150")</f>
        <v>STE 150</v>
      </c>
      <c r="D3049" t="str">
        <f>T("SUNRISE")</f>
        <v>SUNRISE</v>
      </c>
      <c r="E3049" t="str">
        <f>T("FL")</f>
        <v>FL</v>
      </c>
      <c r="F3049" t="str">
        <f>T("333232868")</f>
        <v>333232868</v>
      </c>
      <c r="G3049" t="str">
        <f>T("14050 NW 14TH ST")</f>
        <v>14050 NW 14TH ST</v>
      </c>
      <c r="H3049" t="str">
        <f>T("STE 150")</f>
        <v>STE 150</v>
      </c>
      <c r="I3049" t="str">
        <f>T("SUNRISE")</f>
        <v>SUNRISE</v>
      </c>
      <c r="J3049" t="str">
        <f>T("FL")</f>
        <v>FL</v>
      </c>
      <c r="K3049" t="str">
        <f>T("9548581806")</f>
        <v>9548581806</v>
      </c>
      <c r="L3049" t="str">
        <f>T("9548581806")</f>
        <v>9548581806</v>
      </c>
    </row>
    <row r="3050" spans="1:12" x14ac:dyDescent="0.35">
      <c r="A3050" t="str">
        <f>T("NRD MIAMI")</f>
        <v>NRD MIAMI</v>
      </c>
      <c r="B3050" t="str">
        <f>T("14050 NW 14TH ST")</f>
        <v>14050 NW 14TH ST</v>
      </c>
      <c r="C3050" t="str">
        <f>T("STE 150")</f>
        <v>STE 150</v>
      </c>
      <c r="D3050" t="str">
        <f>T("SUNRISE")</f>
        <v>SUNRISE</v>
      </c>
      <c r="E3050" t="str">
        <f>T("FL")</f>
        <v>FL</v>
      </c>
      <c r="F3050" t="str">
        <f>T("333232868")</f>
        <v>333232868</v>
      </c>
      <c r="G3050" t="str">
        <f>T("14050 NW 14TH ST STE 150")</f>
        <v>14050 NW 14TH ST STE 150</v>
      </c>
      <c r="H3050" t="str">
        <f>T("")</f>
        <v/>
      </c>
      <c r="I3050" t="str">
        <f>T("SUNRISE")</f>
        <v>SUNRISE</v>
      </c>
      <c r="J3050" t="str">
        <f>T("FL")</f>
        <v>FL</v>
      </c>
      <c r="K3050" t="str">
        <f>T("000000000000000000")</f>
        <v>000000000000000000</v>
      </c>
      <c r="L3050" t="str">
        <f>T("9548450101")</f>
        <v>9548450101</v>
      </c>
    </row>
    <row r="3051" spans="1:12" x14ac:dyDescent="0.35">
      <c r="A3051" t="str">
        <f>T("NRD MIAMI")</f>
        <v>NRD MIAMI</v>
      </c>
      <c r="B3051" t="str">
        <f>T("14050 NW 14TH ST")</f>
        <v>14050 NW 14TH ST</v>
      </c>
      <c r="C3051" t="str">
        <f>T("STE 150")</f>
        <v>STE 150</v>
      </c>
      <c r="D3051" t="str">
        <f>T("SUNRISE")</f>
        <v>SUNRISE</v>
      </c>
      <c r="E3051" t="str">
        <f>T("FL")</f>
        <v>FL</v>
      </c>
      <c r="F3051" t="str">
        <f>T("333232868")</f>
        <v>333232868</v>
      </c>
      <c r="G3051" t="str">
        <f>T("NAVY RECRUITING DISTRICT MIAMI")</f>
        <v>NAVY RECRUITING DISTRICT MIAMI</v>
      </c>
      <c r="H3051" t="str">
        <f>T("14050 NW 14TH ST STE 150")</f>
        <v>14050 NW 14TH ST STE 150</v>
      </c>
      <c r="I3051" t="str">
        <f>T("SUNRISE")</f>
        <v>SUNRISE</v>
      </c>
      <c r="J3051" t="str">
        <f>T("FL")</f>
        <v>FL</v>
      </c>
      <c r="K3051" t="str">
        <f>T("000000000000000000")</f>
        <v>000000000000000000</v>
      </c>
      <c r="L3051" t="str">
        <f>T("9548450101")</f>
        <v>9548450101</v>
      </c>
    </row>
    <row r="3052" spans="1:12" x14ac:dyDescent="0.35">
      <c r="A3052" t="str">
        <f>T("NRD SAN ANTONIO")</f>
        <v>NRD SAN ANTONIO</v>
      </c>
      <c r="B3052" t="str">
        <f>T("1950 STANLEY RD")</f>
        <v>1950 STANLEY RD</v>
      </c>
      <c r="C3052" t="str">
        <f>T("BLDG 2376 STE 16")</f>
        <v>BLDG 2376 STE 16</v>
      </c>
      <c r="D3052" t="str">
        <f>T("FORT SAM HOUSTON")</f>
        <v>FORT SAM HOUSTON</v>
      </c>
      <c r="E3052" t="str">
        <f>T("TX")</f>
        <v>TX</v>
      </c>
      <c r="F3052" t="str">
        <f>T("782347547")</f>
        <v>782347547</v>
      </c>
      <c r="G3052" t="str">
        <f>T("1950 STANLEY RD")</f>
        <v>1950 STANLEY RD</v>
      </c>
      <c r="H3052" t="str">
        <f>T("BLDG 2376 STE 16")</f>
        <v>BLDG 2376 STE 16</v>
      </c>
      <c r="I3052" t="str">
        <f>T("FORT SAM HOUSTON")</f>
        <v>FORT SAM HOUSTON</v>
      </c>
      <c r="J3052" t="str">
        <f>T("TX")</f>
        <v>TX</v>
      </c>
      <c r="K3052" t="str">
        <f>T("2102959634")</f>
        <v>2102959634</v>
      </c>
      <c r="L3052" t="str">
        <f>T("2102959627")</f>
        <v>2102959627</v>
      </c>
    </row>
    <row r="3053" spans="1:12" x14ac:dyDescent="0.35">
      <c r="A3053" t="str">
        <f>T("NRD SAN ANTONIO")</f>
        <v>NRD SAN ANTONIO</v>
      </c>
      <c r="B3053" t="str">
        <f>T("1950 STANLEY RD")</f>
        <v>1950 STANLEY RD</v>
      </c>
      <c r="C3053" t="str">
        <f>T("BLDG 2376 STE 16")</f>
        <v>BLDG 2376 STE 16</v>
      </c>
      <c r="D3053" t="str">
        <f>T("FORT SAM HOUSTON")</f>
        <v>FORT SAM HOUSTON</v>
      </c>
      <c r="E3053" t="str">
        <f>T("TX")</f>
        <v>TX</v>
      </c>
      <c r="F3053" t="str">
        <f>T("782347547")</f>
        <v>782347547</v>
      </c>
      <c r="G3053" t="str">
        <f>T("2850 STANLEY RD")</f>
        <v>2850 STANLEY RD</v>
      </c>
      <c r="H3053" t="str">
        <f>T("BLDG 2376 STE 018")</f>
        <v>BLDG 2376 STE 018</v>
      </c>
      <c r="I3053" t="str">
        <f>T("FORT SAM HOUSTON")</f>
        <v>FORT SAM HOUSTON</v>
      </c>
      <c r="J3053" t="str">
        <f>T("TX")</f>
        <v>TX</v>
      </c>
      <c r="K3053" t="str">
        <f>T("2102959634")</f>
        <v>2102959634</v>
      </c>
      <c r="L3053" t="str">
        <f>T("2102959625")</f>
        <v>2102959625</v>
      </c>
    </row>
    <row r="3054" spans="1:12" x14ac:dyDescent="0.35">
      <c r="A3054" t="str">
        <f>T("NRD SAN ANTONIO")</f>
        <v>NRD SAN ANTONIO</v>
      </c>
      <c r="B3054" t="str">
        <f>T("1950 STANLEY RD")</f>
        <v>1950 STANLEY RD</v>
      </c>
      <c r="C3054" t="str">
        <f>T("BLDG 2376 STE 16")</f>
        <v>BLDG 2376 STE 16</v>
      </c>
      <c r="D3054" t="str">
        <f>T("SAN ANTONIO")</f>
        <v>SAN ANTONIO</v>
      </c>
      <c r="E3054" t="str">
        <f>T("TX")</f>
        <v>TX</v>
      </c>
      <c r="F3054" t="str">
        <f>T("782347547")</f>
        <v>782347547</v>
      </c>
      <c r="G3054" t="str">
        <f>T("1950 STANLEY RD")</f>
        <v>1950 STANLEY RD</v>
      </c>
      <c r="H3054" t="str">
        <f>T("BLDG 2376 STE 16")</f>
        <v>BLDG 2376 STE 16</v>
      </c>
      <c r="I3054" t="str">
        <f>T("SAN ANTONIO")</f>
        <v>SAN ANTONIO</v>
      </c>
      <c r="J3054" t="str">
        <f>T("TX")</f>
        <v>TX</v>
      </c>
      <c r="K3054" t="str">
        <f>T("2102959634")</f>
        <v>2102959634</v>
      </c>
      <c r="L3054" t="str">
        <f>T("2102959627")</f>
        <v>2102959627</v>
      </c>
    </row>
    <row r="3055" spans="1:12" x14ac:dyDescent="0.35">
      <c r="A3055" t="str">
        <f>T("NRD SAN ANTONIO")</f>
        <v>NRD SAN ANTONIO</v>
      </c>
      <c r="B3055" t="str">
        <f>T("1950 STANLEY RD")</f>
        <v>1950 STANLEY RD</v>
      </c>
      <c r="C3055" t="str">
        <f>T("BLDG 2376 STE 16")</f>
        <v>BLDG 2376 STE 16</v>
      </c>
      <c r="D3055" t="str">
        <f>T("SAN ANTONIO")</f>
        <v>SAN ANTONIO</v>
      </c>
      <c r="E3055" t="str">
        <f>T("TX")</f>
        <v>TX</v>
      </c>
      <c r="F3055" t="str">
        <f>T("782347547")</f>
        <v>782347547</v>
      </c>
      <c r="G3055" t="str">
        <f>T("2850 STANLEY ROAD")</f>
        <v>2850 STANLEY ROAD</v>
      </c>
      <c r="H3055" t="str">
        <f>T("BLDG 2376 SUITE 16")</f>
        <v>BLDG 2376 SUITE 16</v>
      </c>
      <c r="I3055" t="str">
        <f>T("FORT SAM HOUSTON")</f>
        <v>FORT SAM HOUSTON</v>
      </c>
      <c r="J3055" t="str">
        <f>T("TX")</f>
        <v>TX</v>
      </c>
      <c r="K3055" t="str">
        <f>T("2102959634")</f>
        <v>2102959634</v>
      </c>
      <c r="L3055" t="str">
        <f>T("2102959625")</f>
        <v>2102959625</v>
      </c>
    </row>
    <row r="3056" spans="1:12" x14ac:dyDescent="0.35">
      <c r="A3056" t="str">
        <f>T("NRD ST LOUIS")</f>
        <v>NRD ST LOUIS</v>
      </c>
      <c r="B3056" t="str">
        <f>T("1222 SPRUCE ST")</f>
        <v>1222 SPRUCE ST</v>
      </c>
      <c r="C3056" t="str">
        <f>T("RM 305")</f>
        <v>RM 305</v>
      </c>
      <c r="D3056" t="str">
        <f>T("SAINT LOUIS")</f>
        <v>SAINT LOUIS</v>
      </c>
      <c r="E3056" t="str">
        <f>T("MO")</f>
        <v>MO</v>
      </c>
      <c r="F3056" t="str">
        <f>T("631032818")</f>
        <v>631032818</v>
      </c>
      <c r="G3056" t="str">
        <f>T("1222 SPRUCE ST")</f>
        <v>1222 SPRUCE ST</v>
      </c>
      <c r="H3056" t="str">
        <f>T("RM 305")</f>
        <v>RM 305</v>
      </c>
      <c r="I3056" t="str">
        <f>T("SAINT LOUIS")</f>
        <v>SAINT LOUIS</v>
      </c>
      <c r="J3056" t="str">
        <f>T("MO")</f>
        <v>MO</v>
      </c>
      <c r="K3056" t="str">
        <f>T("3143315053")</f>
        <v>3143315053</v>
      </c>
      <c r="L3056" t="str">
        <f>T("3145535087")</f>
        <v>3145535087</v>
      </c>
    </row>
    <row r="3057" spans="1:12" x14ac:dyDescent="0.35">
      <c r="A3057" t="str">
        <f>T("NRD ST LOUIS")</f>
        <v>NRD ST LOUIS</v>
      </c>
      <c r="B3057" t="str">
        <f>T("1222 SPRUCE ST")</f>
        <v>1222 SPRUCE ST</v>
      </c>
      <c r="C3057" t="str">
        <f>T("RM 305")</f>
        <v>RM 305</v>
      </c>
      <c r="D3057" t="str">
        <f>T("SAINT LOUIS")</f>
        <v>SAINT LOUIS</v>
      </c>
      <c r="E3057" t="str">
        <f>T("MO")</f>
        <v>MO</v>
      </c>
      <c r="F3057" t="str">
        <f>T("631032818")</f>
        <v>631032818</v>
      </c>
      <c r="G3057" t="str">
        <f>T("1222 SPRUCE ST 10TH FLOOR")</f>
        <v>1222 SPRUCE ST 10TH FLOOR</v>
      </c>
      <c r="H3057" t="str">
        <f>T("RM 10 305")</f>
        <v>RM 10 305</v>
      </c>
      <c r="I3057" t="str">
        <f>T("SAINT LOUIS")</f>
        <v>SAINT LOUIS</v>
      </c>
      <c r="J3057" t="str">
        <f>T("MO")</f>
        <v>MO</v>
      </c>
      <c r="K3057" t="str">
        <f>T("3143315051")</f>
        <v>3143315051</v>
      </c>
      <c r="L3057" t="str">
        <f>T("3143315106")</f>
        <v>3143315106</v>
      </c>
    </row>
    <row r="3058" spans="1:12" x14ac:dyDescent="0.35">
      <c r="A3058" t="str">
        <f>T("NRD ST LOUIS")</f>
        <v>NRD ST LOUIS</v>
      </c>
      <c r="B3058" t="str">
        <f>T("1222 SPRUCE ST")</f>
        <v>1222 SPRUCE ST</v>
      </c>
      <c r="C3058" t="str">
        <f>T("RM 305")</f>
        <v>RM 305</v>
      </c>
      <c r="D3058" t="str">
        <f>T("SAINT LOUIS")</f>
        <v>SAINT LOUIS</v>
      </c>
      <c r="E3058" t="str">
        <f>T("MO")</f>
        <v>MO</v>
      </c>
      <c r="F3058" t="str">
        <f>T("631032818")</f>
        <v>631032818</v>
      </c>
      <c r="G3058" t="str">
        <f>T("1222 SPRUCE ST FLR10")</f>
        <v>1222 SPRUCE ST FLR10</v>
      </c>
      <c r="H3058" t="str">
        <f>T("RM 10 305")</f>
        <v>RM 10 305</v>
      </c>
      <c r="I3058" t="str">
        <f>T("SAINT LOUIS")</f>
        <v>SAINT LOUIS</v>
      </c>
      <c r="J3058" t="str">
        <f>T("MO")</f>
        <v>MO</v>
      </c>
      <c r="K3058" t="str">
        <f>T("3143315053")</f>
        <v>3143315053</v>
      </c>
      <c r="L3058" t="str">
        <f>T("3143315085")</f>
        <v>3143315085</v>
      </c>
    </row>
    <row r="3059" spans="1:12" x14ac:dyDescent="0.35">
      <c r="A3059" t="str">
        <f>T("NRD ST LOUIS")</f>
        <v>NRD ST LOUIS</v>
      </c>
      <c r="B3059" t="str">
        <f>T("1222 SPRUCE ST FLR 10")</f>
        <v>1222 SPRUCE ST FLR 10</v>
      </c>
      <c r="C3059" t="str">
        <f>T("RM 305")</f>
        <v>RM 305</v>
      </c>
      <c r="D3059" t="str">
        <f>T("SAINT LOUIS")</f>
        <v>SAINT LOUIS</v>
      </c>
      <c r="E3059" t="str">
        <f>T("MO")</f>
        <v>MO</v>
      </c>
      <c r="F3059" t="str">
        <f>T("631032818")</f>
        <v>631032818</v>
      </c>
      <c r="G3059" t="str">
        <f>T("1222 SPRUCE ST FLR 10")</f>
        <v>1222 SPRUCE ST FLR 10</v>
      </c>
      <c r="H3059" t="str">
        <f>T("RM 10.305")</f>
        <v>RM 10.305</v>
      </c>
      <c r="I3059" t="str">
        <f>T("SAINT LOUIS")</f>
        <v>SAINT LOUIS</v>
      </c>
      <c r="J3059" t="str">
        <f>T("MO")</f>
        <v>MO</v>
      </c>
      <c r="K3059" t="str">
        <f>T("3143315053")</f>
        <v>3143315053</v>
      </c>
      <c r="L3059" t="str">
        <f>T("3143315085")</f>
        <v>3143315085</v>
      </c>
    </row>
    <row r="3060" spans="1:12" x14ac:dyDescent="0.35">
      <c r="A3060" t="str">
        <f>T("NRD ST LOUIS")</f>
        <v>NRD ST LOUIS</v>
      </c>
      <c r="B3060" t="str">
        <f>T("1222 SPRUCE ST FLR 10")</f>
        <v>1222 SPRUCE ST FLR 10</v>
      </c>
      <c r="C3060" t="str">
        <f>T("RM 305")</f>
        <v>RM 305</v>
      </c>
      <c r="D3060" t="str">
        <f>T("SAINT LOUIS")</f>
        <v>SAINT LOUIS</v>
      </c>
      <c r="E3060" t="str">
        <f>T("MO")</f>
        <v>MO</v>
      </c>
      <c r="F3060" t="str">
        <f>T("631032818")</f>
        <v>631032818</v>
      </c>
      <c r="G3060" t="str">
        <f>T("1222 SPRUCE ST FLR 10")</f>
        <v>1222 SPRUCE ST FLR 10</v>
      </c>
      <c r="H3060" t="str">
        <f>T("RM 305")</f>
        <v>RM 305</v>
      </c>
      <c r="I3060" t="str">
        <f>T("SAINT LOUIS")</f>
        <v>SAINT LOUIS</v>
      </c>
      <c r="J3060" t="str">
        <f>T("MO")</f>
        <v>MO</v>
      </c>
      <c r="K3060" t="str">
        <f>T("3143315053")</f>
        <v>3143315053</v>
      </c>
      <c r="L3060" t="str">
        <f>T("3143315087")</f>
        <v>3143315087</v>
      </c>
    </row>
    <row r="3061" spans="1:12" x14ac:dyDescent="0.35">
      <c r="A3061" t="str">
        <f t="shared" ref="A3061:A3066" si="1235">T("NRD SAN DIEGO")</f>
        <v>NRD SAN DIEGO</v>
      </c>
      <c r="B3061" t="str">
        <f>T("33050 NIXIE WAY")</f>
        <v>33050 NIXIE WAY</v>
      </c>
      <c r="C3061" t="str">
        <f>T(" BLDG 17A")</f>
        <v xml:space="preserve"> BLDG 17A</v>
      </c>
      <c r="D3061" t="str">
        <f t="shared" ref="D3061:D3066" si="1236">T("SAN DIEGO")</f>
        <v>SAN DIEGO</v>
      </c>
      <c r="E3061" t="str">
        <f t="shared" ref="E3061:E3066" si="1237">T("CA")</f>
        <v>CA</v>
      </c>
      <c r="F3061" t="str">
        <f t="shared" ref="F3061:F3066" si="1238">T("921475400")</f>
        <v>921475400</v>
      </c>
      <c r="G3061" t="str">
        <f>T("33050 NIXIE WAY")</f>
        <v>33050 NIXIE WAY</v>
      </c>
      <c r="H3061" t="str">
        <f>T(" BLDG 17A")</f>
        <v xml:space="preserve"> BLDG 17A</v>
      </c>
      <c r="I3061" t="str">
        <f t="shared" ref="I3061:I3066" si="1239">T("SAN DIEGO")</f>
        <v>SAN DIEGO</v>
      </c>
      <c r="J3061" t="str">
        <f t="shared" ref="J3061:J3066" si="1240">T("CA")</f>
        <v>CA</v>
      </c>
      <c r="K3061" t="str">
        <f>T("000000000000000000")</f>
        <v>000000000000000000</v>
      </c>
      <c r="L3061" t="str">
        <f>T("6195246742")</f>
        <v>6195246742</v>
      </c>
    </row>
    <row r="3062" spans="1:12" x14ac:dyDescent="0.35">
      <c r="A3062" t="str">
        <f t="shared" si="1235"/>
        <v>NRD SAN DIEGO</v>
      </c>
      <c r="B3062" t="str">
        <f>T("33050 NIXIE WAY")</f>
        <v>33050 NIXIE WAY</v>
      </c>
      <c r="C3062" t="str">
        <f>T(" BLDG 17A")</f>
        <v xml:space="preserve"> BLDG 17A</v>
      </c>
      <c r="D3062" t="str">
        <f t="shared" si="1236"/>
        <v>SAN DIEGO</v>
      </c>
      <c r="E3062" t="str">
        <f t="shared" si="1237"/>
        <v>CA</v>
      </c>
      <c r="F3062" t="str">
        <f t="shared" si="1238"/>
        <v>921475400</v>
      </c>
      <c r="G3062" t="str">
        <f>T("33050 NIXIE WAY")</f>
        <v>33050 NIXIE WAY</v>
      </c>
      <c r="H3062" t="str">
        <f>T("ASW BASE BLDG 17A")</f>
        <v>ASW BASE BLDG 17A</v>
      </c>
      <c r="I3062" t="str">
        <f t="shared" si="1239"/>
        <v>SAN DIEGO</v>
      </c>
      <c r="J3062" t="str">
        <f t="shared" si="1240"/>
        <v>CA</v>
      </c>
      <c r="K3062" t="str">
        <f>T("6195246856")</f>
        <v>6195246856</v>
      </c>
      <c r="L3062" t="str">
        <f>T("6195246690")</f>
        <v>6195246690</v>
      </c>
    </row>
    <row r="3063" spans="1:12" x14ac:dyDescent="0.35">
      <c r="A3063" t="str">
        <f t="shared" si="1235"/>
        <v>NRD SAN DIEGO</v>
      </c>
      <c r="B3063" t="str">
        <f>T("33050 NIXIE WAY")</f>
        <v>33050 NIXIE WAY</v>
      </c>
      <c r="C3063" t="str">
        <f>T(" BLDG 17A")</f>
        <v xml:space="preserve"> BLDG 17A</v>
      </c>
      <c r="D3063" t="str">
        <f t="shared" si="1236"/>
        <v>SAN DIEGO</v>
      </c>
      <c r="E3063" t="str">
        <f t="shared" si="1237"/>
        <v>CA</v>
      </c>
      <c r="F3063" t="str">
        <f t="shared" si="1238"/>
        <v>921475400</v>
      </c>
      <c r="G3063" t="str">
        <f>T("33050 NIXIE WAY")</f>
        <v>33050 NIXIE WAY</v>
      </c>
      <c r="H3063" t="str">
        <f>T("BLDG 17A")</f>
        <v>BLDG 17A</v>
      </c>
      <c r="I3063" t="str">
        <f t="shared" si="1239"/>
        <v>SAN DIEGO</v>
      </c>
      <c r="J3063" t="str">
        <f t="shared" si="1240"/>
        <v>CA</v>
      </c>
      <c r="K3063" t="str">
        <f>T("6195246856")</f>
        <v>6195246856</v>
      </c>
      <c r="L3063" t="str">
        <f>T("6195246742")</f>
        <v>6195246742</v>
      </c>
    </row>
    <row r="3064" spans="1:12" x14ac:dyDescent="0.35">
      <c r="A3064" t="str">
        <f t="shared" si="1235"/>
        <v>NRD SAN DIEGO</v>
      </c>
      <c r="B3064" t="str">
        <f>T("33050 NIXIE WAY")</f>
        <v>33050 NIXIE WAY</v>
      </c>
      <c r="C3064" t="str">
        <f>T(" BLDG 17A")</f>
        <v xml:space="preserve"> BLDG 17A</v>
      </c>
      <c r="D3064" t="str">
        <f t="shared" si="1236"/>
        <v>SAN DIEGO</v>
      </c>
      <c r="E3064" t="str">
        <f t="shared" si="1237"/>
        <v>CA</v>
      </c>
      <c r="F3064" t="str">
        <f t="shared" si="1238"/>
        <v>921475400</v>
      </c>
      <c r="G3064" t="str">
        <f>T("33050 NIXIE WAY BLDG 17A")</f>
        <v>33050 NIXIE WAY BLDG 17A</v>
      </c>
      <c r="H3064" t="str">
        <f>T("")</f>
        <v/>
      </c>
      <c r="I3064" t="str">
        <f t="shared" si="1239"/>
        <v>SAN DIEGO</v>
      </c>
      <c r="J3064" t="str">
        <f t="shared" si="1240"/>
        <v>CA</v>
      </c>
      <c r="K3064" t="str">
        <f>T("000000000000000000")</f>
        <v>000000000000000000</v>
      </c>
      <c r="L3064" t="str">
        <f>T("6195246792")</f>
        <v>6195246792</v>
      </c>
    </row>
    <row r="3065" spans="1:12" x14ac:dyDescent="0.35">
      <c r="A3065" t="str">
        <f t="shared" si="1235"/>
        <v>NRD SAN DIEGO</v>
      </c>
      <c r="B3065" t="str">
        <f>T("33050 NIXIE WAY BLDG 17A")</f>
        <v>33050 NIXIE WAY BLDG 17A</v>
      </c>
      <c r="C3065" t="str">
        <f t="shared" ref="C3065:C3070" si="1241">T("")</f>
        <v/>
      </c>
      <c r="D3065" t="str">
        <f t="shared" si="1236"/>
        <v>SAN DIEGO</v>
      </c>
      <c r="E3065" t="str">
        <f t="shared" si="1237"/>
        <v>CA</v>
      </c>
      <c r="F3065" t="str">
        <f t="shared" si="1238"/>
        <v>921475400</v>
      </c>
      <c r="G3065" t="str">
        <f>T("33050 NIXIE WAY BLDG 17A")</f>
        <v>33050 NIXIE WAY BLDG 17A</v>
      </c>
      <c r="H3065" t="str">
        <f>T("")</f>
        <v/>
      </c>
      <c r="I3065" t="str">
        <f t="shared" si="1239"/>
        <v>SAN DIEGO</v>
      </c>
      <c r="J3065" t="str">
        <f t="shared" si="1240"/>
        <v>CA</v>
      </c>
      <c r="K3065" t="str">
        <f>T("619-524-6856")</f>
        <v>619-524-6856</v>
      </c>
      <c r="L3065" t="str">
        <f>T("1111111111")</f>
        <v>1111111111</v>
      </c>
    </row>
    <row r="3066" spans="1:12" x14ac:dyDescent="0.35">
      <c r="A3066" t="str">
        <f t="shared" si="1235"/>
        <v>NRD SAN DIEGO</v>
      </c>
      <c r="B3066" t="str">
        <f>T("33050 NIXIE WAY BLDG 17A")</f>
        <v>33050 NIXIE WAY BLDG 17A</v>
      </c>
      <c r="C3066" t="str">
        <f t="shared" si="1241"/>
        <v/>
      </c>
      <c r="D3066" t="str">
        <f t="shared" si="1236"/>
        <v>SAN DIEGO</v>
      </c>
      <c r="E3066" t="str">
        <f t="shared" si="1237"/>
        <v>CA</v>
      </c>
      <c r="F3066" t="str">
        <f t="shared" si="1238"/>
        <v>921475400</v>
      </c>
      <c r="G3066" t="str">
        <f>T("33050 NIXIE WAY BLDG 17A")</f>
        <v>33050 NIXIE WAY BLDG 17A</v>
      </c>
      <c r="H3066" t="str">
        <f>T("")</f>
        <v/>
      </c>
      <c r="I3066" t="str">
        <f t="shared" si="1239"/>
        <v>SAN DIEGO</v>
      </c>
      <c r="J3066" t="str">
        <f t="shared" si="1240"/>
        <v>CA</v>
      </c>
      <c r="K3066" t="str">
        <f>T("6195246856")</f>
        <v>6195246856</v>
      </c>
      <c r="L3066" t="str">
        <f>T("6195246742")</f>
        <v>6195246742</v>
      </c>
    </row>
    <row r="3067" spans="1:12" x14ac:dyDescent="0.35">
      <c r="A3067" t="str">
        <f>T("NORU")</f>
        <v>NORU</v>
      </c>
      <c r="B3067" t="str">
        <f>T("385 MILLINGTON AVE B-3644")</f>
        <v>385 MILLINGTON AVE B-3644</v>
      </c>
      <c r="C3067" t="str">
        <f t="shared" si="1241"/>
        <v/>
      </c>
      <c r="D3067" t="str">
        <f>T("PENSACOLA")</f>
        <v>PENSACOLA</v>
      </c>
      <c r="E3067" t="str">
        <f>T("FL")</f>
        <v>FL</v>
      </c>
      <c r="F3067" t="str">
        <f>T("325085015")</f>
        <v>325085015</v>
      </c>
      <c r="G3067" t="str">
        <f>T("385 MILLINGTON AVE")</f>
        <v>385 MILLINGTON AVE</v>
      </c>
      <c r="H3067" t="str">
        <f>T("BLDG 3466")</f>
        <v>BLDG 3466</v>
      </c>
      <c r="I3067" t="str">
        <f>T("PENSACOLA")</f>
        <v>PENSACOLA</v>
      </c>
      <c r="J3067" t="str">
        <f>T("FL")</f>
        <v>FL</v>
      </c>
      <c r="K3067" t="str">
        <f>T("000000000000000000")</f>
        <v>000000000000000000</v>
      </c>
      <c r="L3067" t="str">
        <f>T("8504524473")</f>
        <v>8504524473</v>
      </c>
    </row>
    <row r="3068" spans="1:12" x14ac:dyDescent="0.35">
      <c r="A3068" t="str">
        <f>T("NORU")</f>
        <v>NORU</v>
      </c>
      <c r="B3068" t="str">
        <f>T("385 MILLINGTON AVE B-3644")</f>
        <v>385 MILLINGTON AVE B-3644</v>
      </c>
      <c r="C3068" t="str">
        <f t="shared" si="1241"/>
        <v/>
      </c>
      <c r="D3068" t="str">
        <f>T("PENSACOLA")</f>
        <v>PENSACOLA</v>
      </c>
      <c r="E3068" t="str">
        <f>T("FL")</f>
        <v>FL</v>
      </c>
      <c r="F3068" t="str">
        <f>T("325085015")</f>
        <v>325085015</v>
      </c>
      <c r="G3068" t="str">
        <f>T("385 MILLINGTON AVE")</f>
        <v>385 MILLINGTON AVE</v>
      </c>
      <c r="H3068" t="str">
        <f>T("BLDG 3466")</f>
        <v>BLDG 3466</v>
      </c>
      <c r="I3068" t="str">
        <f>T("PENSACOLA")</f>
        <v>PENSACOLA</v>
      </c>
      <c r="J3068" t="str">
        <f>T("FL")</f>
        <v>FL</v>
      </c>
      <c r="K3068" t="str">
        <f>T("000000000000000000")</f>
        <v>000000000000000000</v>
      </c>
      <c r="L3068" t="str">
        <f>T("8504524614")</f>
        <v>8504524614</v>
      </c>
    </row>
    <row r="3069" spans="1:12" x14ac:dyDescent="0.35">
      <c r="A3069" t="str">
        <f>T("NORU")</f>
        <v>NORU</v>
      </c>
      <c r="B3069" t="str">
        <f>T("385 MILLINGTON AVE B-3644")</f>
        <v>385 MILLINGTON AVE B-3644</v>
      </c>
      <c r="C3069" t="str">
        <f t="shared" si="1241"/>
        <v/>
      </c>
      <c r="D3069" t="str">
        <f>T("PENSACOLA")</f>
        <v>PENSACOLA</v>
      </c>
      <c r="E3069" t="str">
        <f>T("FL")</f>
        <v>FL</v>
      </c>
      <c r="F3069" t="str">
        <f>T("325085015")</f>
        <v>325085015</v>
      </c>
      <c r="G3069" t="str">
        <f>T("385 MILLINGTON AVE B-3644")</f>
        <v>385 MILLINGTON AVE B-3644</v>
      </c>
      <c r="H3069" t="str">
        <f>T("")</f>
        <v/>
      </c>
      <c r="I3069" t="str">
        <f>T("PENSACOLA")</f>
        <v>PENSACOLA</v>
      </c>
      <c r="J3069" t="str">
        <f>T("FL")</f>
        <v>FL</v>
      </c>
      <c r="K3069" t="str">
        <f>T("8504524547")</f>
        <v>8504524547</v>
      </c>
      <c r="L3069" t="str">
        <f>T("8504524479")</f>
        <v>8504524479</v>
      </c>
    </row>
    <row r="3070" spans="1:12" x14ac:dyDescent="0.35">
      <c r="A3070" t="str">
        <f>T("NORU")</f>
        <v>NORU</v>
      </c>
      <c r="B3070" t="str">
        <f>T("385 MILLINGTON AVE B-3644")</f>
        <v>385 MILLINGTON AVE B-3644</v>
      </c>
      <c r="C3070" t="str">
        <f t="shared" si="1241"/>
        <v/>
      </c>
      <c r="D3070" t="str">
        <f>T("PENSACOLA")</f>
        <v>PENSACOLA</v>
      </c>
      <c r="E3070" t="str">
        <f>T("FL")</f>
        <v>FL</v>
      </c>
      <c r="F3070" t="str">
        <f>T("325085015")</f>
        <v>325085015</v>
      </c>
      <c r="G3070" t="str">
        <f>T("385 MILLINGTON AVE BLDG 3466")</f>
        <v>385 MILLINGTON AVE BLDG 3466</v>
      </c>
      <c r="H3070" t="str">
        <f>T("")</f>
        <v/>
      </c>
      <c r="I3070" t="str">
        <f>T("PENSACOLA")</f>
        <v>PENSACOLA</v>
      </c>
      <c r="J3070" t="str">
        <f>T("FL")</f>
        <v>FL</v>
      </c>
      <c r="K3070" t="str">
        <f>T("000000000000000000")</f>
        <v>000000000000000000</v>
      </c>
      <c r="L3070" t="str">
        <f>T("8504524164")</f>
        <v>8504524164</v>
      </c>
    </row>
    <row r="3071" spans="1:12" x14ac:dyDescent="0.35">
      <c r="A3071" t="str">
        <f>T("NAVY RECRUITING COMMAND MEPS")</f>
        <v>NAVY RECRUITING COMMAND MEPS</v>
      </c>
      <c r="B3071" t="str">
        <f>T("5722 INTEGRITY DRIVE")</f>
        <v>5722 INTEGRITY DRIVE</v>
      </c>
      <c r="C3071" t="str">
        <f>T("BLDG 784")</f>
        <v>BLDG 784</v>
      </c>
      <c r="D3071" t="str">
        <f>T("MILLINGTON")</f>
        <v>MILLINGTON</v>
      </c>
      <c r="E3071" t="str">
        <f>T("TN")</f>
        <v>TN</v>
      </c>
      <c r="F3071" t="str">
        <f>T("380545028")</f>
        <v>380545028</v>
      </c>
      <c r="G3071" t="str">
        <f>T("5722 INTEGRITY DR")</f>
        <v>5722 INTEGRITY DR</v>
      </c>
      <c r="H3071" t="str">
        <f>T("BLDG 784/N8")</f>
        <v>BLDG 784/N8</v>
      </c>
      <c r="I3071" t="str">
        <f>T("MILLINGTON")</f>
        <v>MILLINGTON</v>
      </c>
      <c r="J3071" t="str">
        <f>T("TN")</f>
        <v>TN</v>
      </c>
      <c r="K3071" t="str">
        <f>T("000000000000000000")</f>
        <v>000000000000000000</v>
      </c>
      <c r="L3071" t="str">
        <f>T("9018747327")</f>
        <v>9018747327</v>
      </c>
    </row>
    <row r="3072" spans="1:12" x14ac:dyDescent="0.35">
      <c r="A3072" t="str">
        <f>T("NAVY RECRUITING COMMAND MEPS")</f>
        <v>NAVY RECRUITING COMMAND MEPS</v>
      </c>
      <c r="B3072" t="str">
        <f>T("5722 INTEGRITY DRIVE")</f>
        <v>5722 INTEGRITY DRIVE</v>
      </c>
      <c r="C3072" t="str">
        <f>T("BLDG 784")</f>
        <v>BLDG 784</v>
      </c>
      <c r="D3072" t="str">
        <f>T("MILLINGTON")</f>
        <v>MILLINGTON</v>
      </c>
      <c r="E3072" t="str">
        <f>T("TN")</f>
        <v>TN</v>
      </c>
      <c r="F3072" t="str">
        <f>T("380545028")</f>
        <v>380545028</v>
      </c>
      <c r="G3072" t="str">
        <f>T("5722 INTEGRITY DRIVE")</f>
        <v>5722 INTEGRITY DRIVE</v>
      </c>
      <c r="H3072" t="str">
        <f>T("BDLG 784")</f>
        <v>BDLG 784</v>
      </c>
      <c r="I3072" t="str">
        <f>T("MILLINGTON")</f>
        <v>MILLINGTON</v>
      </c>
      <c r="J3072" t="str">
        <f>T("TN")</f>
        <v>TN</v>
      </c>
      <c r="K3072" t="str">
        <f>T("9018749104")</f>
        <v>9018749104</v>
      </c>
      <c r="L3072" t="str">
        <f>T("9018749233")</f>
        <v>9018749233</v>
      </c>
    </row>
    <row r="3073" spans="1:12" x14ac:dyDescent="0.35">
      <c r="A3073" t="str">
        <f>T("NAVY RECRUITING COMMAND MEPS")</f>
        <v>NAVY RECRUITING COMMAND MEPS</v>
      </c>
      <c r="B3073" t="str">
        <f>T("5722 INTEGRITY DRIVE")</f>
        <v>5722 INTEGRITY DRIVE</v>
      </c>
      <c r="C3073" t="str">
        <f>T("BLDG 784")</f>
        <v>BLDG 784</v>
      </c>
      <c r="D3073" t="str">
        <f>T("MILLINGTON")</f>
        <v>MILLINGTON</v>
      </c>
      <c r="E3073" t="str">
        <f>T("TN")</f>
        <v>TN</v>
      </c>
      <c r="F3073" t="str">
        <f>T("380545028")</f>
        <v>380545028</v>
      </c>
      <c r="G3073" t="str">
        <f>T("5722 INTEGRITY DRIVE")</f>
        <v>5722 INTEGRITY DRIVE</v>
      </c>
      <c r="H3073" t="str">
        <f>T("BLDG 784")</f>
        <v>BLDG 784</v>
      </c>
      <c r="I3073" t="str">
        <f>T("MILLINGTON")</f>
        <v>MILLINGTON</v>
      </c>
      <c r="J3073" t="str">
        <f>T("TN")</f>
        <v>TN</v>
      </c>
      <c r="K3073" t="str">
        <f>T("000000000000000000")</f>
        <v>000000000000000000</v>
      </c>
      <c r="L3073" t="str">
        <f>T("9018747635")</f>
        <v>9018747635</v>
      </c>
    </row>
    <row r="3074" spans="1:12" x14ac:dyDescent="0.35">
      <c r="A3074" t="str">
        <f>T("NAVY RECRUITING COMMAND MEPS")</f>
        <v>NAVY RECRUITING COMMAND MEPS</v>
      </c>
      <c r="B3074" t="str">
        <f>T("5722 INTEGRITY DRIVE")</f>
        <v>5722 INTEGRITY DRIVE</v>
      </c>
      <c r="C3074" t="str">
        <f>T("BLDG 784")</f>
        <v>BLDG 784</v>
      </c>
      <c r="D3074" t="str">
        <f>T("MILLINGTON")</f>
        <v>MILLINGTON</v>
      </c>
      <c r="E3074" t="str">
        <f>T("TN")</f>
        <v>TN</v>
      </c>
      <c r="F3074" t="str">
        <f>T("380545028")</f>
        <v>380545028</v>
      </c>
      <c r="G3074" t="str">
        <f>T("5722 INTEGRITY DRIVE")</f>
        <v>5722 INTEGRITY DRIVE</v>
      </c>
      <c r="H3074" t="str">
        <f>T("BLDG 784")</f>
        <v>BLDG 784</v>
      </c>
      <c r="I3074" t="str">
        <f>T("MILLINGTON")</f>
        <v>MILLINGTON</v>
      </c>
      <c r="J3074" t="str">
        <f>T("TN")</f>
        <v>TN</v>
      </c>
      <c r="K3074" t="str">
        <f>T("9018749084")</f>
        <v>9018749084</v>
      </c>
      <c r="L3074" t="str">
        <f>T("9018749425")</f>
        <v>9018749425</v>
      </c>
    </row>
    <row r="3075" spans="1:12" x14ac:dyDescent="0.35">
      <c r="A3075" t="str">
        <f t="shared" ref="A3075:A3106" si="1242">T("US NAVAL ACADEMY")</f>
        <v>US NAVAL ACADEMY</v>
      </c>
      <c r="B3075" t="str">
        <f>T("440 MEYERKORD RD - PERRY HALL")</f>
        <v>440 MEYERKORD RD - PERRY HALL</v>
      </c>
      <c r="C3075" t="str">
        <f>T("SUPPLY DEPT RM G115")</f>
        <v>SUPPLY DEPT RM G115</v>
      </c>
      <c r="D3075" t="str">
        <f>T("NEWPORT")</f>
        <v>NEWPORT</v>
      </c>
      <c r="E3075" t="str">
        <f>T("RI")</f>
        <v>RI</v>
      </c>
      <c r="F3075" t="str">
        <f>T("028411650")</f>
        <v>028411650</v>
      </c>
      <c r="G3075" t="str">
        <f>T("440 MEYERKORD RD - PERRY HALL")</f>
        <v>440 MEYERKORD RD - PERRY HALL</v>
      </c>
      <c r="H3075" t="str">
        <f>T("")</f>
        <v/>
      </c>
      <c r="I3075" t="str">
        <f>T("NEWPORT")</f>
        <v>NEWPORT</v>
      </c>
      <c r="J3075" t="str">
        <f>T("RI")</f>
        <v>RI</v>
      </c>
      <c r="K3075" t="str">
        <f>T("000000000000000000")</f>
        <v>000000000000000000</v>
      </c>
      <c r="L3075" t="str">
        <f>T("4018412692")</f>
        <v>4018412692</v>
      </c>
    </row>
    <row r="3076" spans="1:12" x14ac:dyDescent="0.35">
      <c r="A3076" t="str">
        <f t="shared" si="1242"/>
        <v>US NAVAL ACADEMY</v>
      </c>
      <c r="B3076" t="str">
        <f>T("440 MEYERKORD RD - PERRY HALL")</f>
        <v>440 MEYERKORD RD - PERRY HALL</v>
      </c>
      <c r="C3076" t="str">
        <f>T("SUPPLY DEPT RM G115")</f>
        <v>SUPPLY DEPT RM G115</v>
      </c>
      <c r="D3076" t="str">
        <f>T("NEWPORT")</f>
        <v>NEWPORT</v>
      </c>
      <c r="E3076" t="str">
        <f>T("RI")</f>
        <v>RI</v>
      </c>
      <c r="F3076" t="str">
        <f>T("028411650")</f>
        <v>028411650</v>
      </c>
      <c r="G3076" t="str">
        <f>T("440 MEYERKORD RD - PERRY HALL")</f>
        <v>440 MEYERKORD RD - PERRY HALL</v>
      </c>
      <c r="H3076" t="str">
        <f>T("SUPPLY DEPT RM G115")</f>
        <v>SUPPLY DEPT RM G115</v>
      </c>
      <c r="I3076" t="str">
        <f>T("NEWPORT")</f>
        <v>NEWPORT</v>
      </c>
      <c r="J3076" t="str">
        <f>T("RI")</f>
        <v>RI</v>
      </c>
      <c r="K3076" t="str">
        <f>T("4018417067")</f>
        <v>4018417067</v>
      </c>
      <c r="L3076" t="str">
        <f>T("4018412267")</f>
        <v>4018412267</v>
      </c>
    </row>
    <row r="3077" spans="1:12" x14ac:dyDescent="0.35">
      <c r="A3077" t="str">
        <f t="shared" si="1242"/>
        <v>US NAVAL ACADEMY</v>
      </c>
      <c r="B3077" t="str">
        <f>T("440 MEYERKORD RD - PERRY HALL")</f>
        <v>440 MEYERKORD RD - PERRY HALL</v>
      </c>
      <c r="C3077" t="str">
        <f>T("SUPPLY DEPT RM G115")</f>
        <v>SUPPLY DEPT RM G115</v>
      </c>
      <c r="D3077" t="str">
        <f>T("NEWPORT")</f>
        <v>NEWPORT</v>
      </c>
      <c r="E3077" t="str">
        <f>T("RI")</f>
        <v>RI</v>
      </c>
      <c r="F3077" t="str">
        <f>T("028411650")</f>
        <v>028411650</v>
      </c>
      <c r="G3077" t="str">
        <f>T("COMMAND SERVICES/SUPPLY")</f>
        <v>COMMAND SERVICES/SUPPLY</v>
      </c>
      <c r="H3077" t="str">
        <f>T("440 MEYERKORD AVE")</f>
        <v>440 MEYERKORD AVE</v>
      </c>
      <c r="I3077" t="str">
        <f>T("NEWPORT")</f>
        <v>NEWPORT</v>
      </c>
      <c r="J3077" t="str">
        <f>T("RI")</f>
        <v>RI</v>
      </c>
      <c r="K3077" t="str">
        <f>T("4018417067")</f>
        <v>4018417067</v>
      </c>
      <c r="L3077" t="str">
        <f>T("4018413392")</f>
        <v>4018413392</v>
      </c>
    </row>
    <row r="3078" spans="1:12" x14ac:dyDescent="0.35">
      <c r="A3078" t="str">
        <f t="shared" si="1242"/>
        <v>US NAVAL ACADEMY</v>
      </c>
      <c r="B3078" t="str">
        <f>T("ADMIN BLDG")</f>
        <v>ADMIN BLDG</v>
      </c>
      <c r="C3078" t="str">
        <f>T("121 BLAKE ROAD")</f>
        <v>121 BLAKE ROAD</v>
      </c>
      <c r="D3078" t="str">
        <f t="shared" ref="D3078:D3109" si="1243">T("ANNAPOLIS")</f>
        <v>ANNAPOLIS</v>
      </c>
      <c r="E3078" t="str">
        <f t="shared" ref="E3078:E3109" si="1244">T("MD")</f>
        <v>MD</v>
      </c>
      <c r="F3078" t="str">
        <f>T("214021300")</f>
        <v>214021300</v>
      </c>
      <c r="G3078" t="str">
        <f>T("ADMIN BLDG")</f>
        <v>ADMIN BLDG</v>
      </c>
      <c r="H3078" t="str">
        <f>T("121 BLAKE ROAD")</f>
        <v>121 BLAKE ROAD</v>
      </c>
      <c r="I3078" t="str">
        <f t="shared" ref="I3078:I3109" si="1245">T("ANNAPOLIS")</f>
        <v>ANNAPOLIS</v>
      </c>
      <c r="J3078" t="str">
        <f t="shared" ref="J3078:J3109" si="1246">T("MD")</f>
        <v>MD</v>
      </c>
      <c r="K3078" t="str">
        <f>T("410-293-2879")</f>
        <v>410-293-2879</v>
      </c>
      <c r="L3078" t="str">
        <f>T("4102931507")</f>
        <v>4102931507</v>
      </c>
    </row>
    <row r="3079" spans="1:12" x14ac:dyDescent="0.35">
      <c r="A3079" t="str">
        <f t="shared" si="1242"/>
        <v>US NAVAL ACADEMY</v>
      </c>
      <c r="B3079" t="str">
        <f>T("ADMIN BLDG")</f>
        <v>ADMIN BLDG</v>
      </c>
      <c r="C3079" t="str">
        <f>T("121 BLAKE ROAD")</f>
        <v>121 BLAKE ROAD</v>
      </c>
      <c r="D3079" t="str">
        <f t="shared" si="1243"/>
        <v>ANNAPOLIS</v>
      </c>
      <c r="E3079" t="str">
        <f t="shared" si="1244"/>
        <v>MD</v>
      </c>
      <c r="F3079" t="str">
        <f>T("214021300")</f>
        <v>214021300</v>
      </c>
      <c r="G3079" t="str">
        <f>T("ADMIN OFFICE RM 210")</f>
        <v>ADMIN OFFICE RM 210</v>
      </c>
      <c r="H3079" t="str">
        <f>T("121 BLAKE ROAD")</f>
        <v>121 BLAKE ROAD</v>
      </c>
      <c r="I3079" t="str">
        <f t="shared" si="1245"/>
        <v>ANNAPOLIS</v>
      </c>
      <c r="J3079" t="str">
        <f t="shared" si="1246"/>
        <v>MD</v>
      </c>
      <c r="K3079" t="str">
        <f>T("4102932303")</f>
        <v>4102932303</v>
      </c>
      <c r="L3079" t="str">
        <f>T("4102931550")</f>
        <v>4102931550</v>
      </c>
    </row>
    <row r="3080" spans="1:12" x14ac:dyDescent="0.35">
      <c r="A3080" t="str">
        <f t="shared" si="1242"/>
        <v>US NAVAL ACADEMY</v>
      </c>
      <c r="B3080" t="str">
        <f>T("ADMIN BLDG")</f>
        <v>ADMIN BLDG</v>
      </c>
      <c r="C3080" t="str">
        <f>T("121 BLAKE ROAD")</f>
        <v>121 BLAKE ROAD</v>
      </c>
      <c r="D3080" t="str">
        <f t="shared" si="1243"/>
        <v>ANNAPOLIS</v>
      </c>
      <c r="E3080" t="str">
        <f t="shared" si="1244"/>
        <v>MD</v>
      </c>
      <c r="F3080" t="str">
        <f>T("214021300")</f>
        <v>214021300</v>
      </c>
      <c r="G3080" t="str">
        <f>T("BUCHANAN HOUSE STAFF OFFICE")</f>
        <v>BUCHANAN HOUSE STAFF OFFICE</v>
      </c>
      <c r="H3080" t="str">
        <f>T("1 BUCHANAN RD")</f>
        <v>1 BUCHANAN RD</v>
      </c>
      <c r="I3080" t="str">
        <f t="shared" si="1245"/>
        <v>ANNAPOLIS</v>
      </c>
      <c r="J3080" t="str">
        <f t="shared" si="1246"/>
        <v>MD</v>
      </c>
      <c r="K3080" t="str">
        <f>T("000000000000000000")</f>
        <v>000000000000000000</v>
      </c>
      <c r="L3080" t="str">
        <f>T("4102933677")</f>
        <v>4102933677</v>
      </c>
    </row>
    <row r="3081" spans="1:12" x14ac:dyDescent="0.35">
      <c r="A3081" t="str">
        <f t="shared" si="1242"/>
        <v>US NAVAL ACADEMY</v>
      </c>
      <c r="B3081" t="str">
        <f>T("ADMIN BLDG")</f>
        <v>ADMIN BLDG</v>
      </c>
      <c r="C3081" t="str">
        <f>T("121 BLAKE ROAD")</f>
        <v>121 BLAKE ROAD</v>
      </c>
      <c r="D3081" t="str">
        <f t="shared" si="1243"/>
        <v>ANNAPOLIS</v>
      </c>
      <c r="E3081" t="str">
        <f t="shared" si="1244"/>
        <v>MD</v>
      </c>
      <c r="F3081" t="str">
        <f>T("214021300")</f>
        <v>214021300</v>
      </c>
      <c r="G3081" t="str">
        <f>T("BUCHANAN HOUSE STAFF OFFICE")</f>
        <v>BUCHANAN HOUSE STAFF OFFICE</v>
      </c>
      <c r="H3081" t="str">
        <f>T("1 BUCHANAN RD")</f>
        <v>1 BUCHANAN RD</v>
      </c>
      <c r="I3081" t="str">
        <f t="shared" si="1245"/>
        <v>ANNAPOLIS</v>
      </c>
      <c r="J3081" t="str">
        <f t="shared" si="1246"/>
        <v>MD</v>
      </c>
      <c r="K3081" t="str">
        <f>T("4102932914")</f>
        <v>4102932914</v>
      </c>
      <c r="L3081" t="str">
        <f>T("4102933677")</f>
        <v>4102933677</v>
      </c>
    </row>
    <row r="3082" spans="1:12" x14ac:dyDescent="0.35">
      <c r="A3082" t="str">
        <f t="shared" si="1242"/>
        <v>US NAVAL ACADEMY</v>
      </c>
      <c r="B3082" t="str">
        <f>T("ADMIN BLDG")</f>
        <v>ADMIN BLDG</v>
      </c>
      <c r="C3082" t="str">
        <f>T("121 BLAKE ROAD")</f>
        <v>121 BLAKE ROAD</v>
      </c>
      <c r="D3082" t="str">
        <f t="shared" si="1243"/>
        <v>ANNAPOLIS</v>
      </c>
      <c r="E3082" t="str">
        <f t="shared" si="1244"/>
        <v>MD</v>
      </c>
      <c r="F3082" t="str">
        <f>T("214021300")</f>
        <v>214021300</v>
      </c>
      <c r="G3082" t="str">
        <f>T("BUCHANAN HOUSE STAFF OFFICE")</f>
        <v>BUCHANAN HOUSE STAFF OFFICE</v>
      </c>
      <c r="H3082" t="str">
        <f>T("1 BUCHANAN RD")</f>
        <v>1 BUCHANAN RD</v>
      </c>
      <c r="I3082" t="str">
        <f t="shared" si="1245"/>
        <v>ANNAPOLIS</v>
      </c>
      <c r="J3082" t="str">
        <f t="shared" si="1246"/>
        <v>MD</v>
      </c>
      <c r="K3082" t="str">
        <f>T("5043908041")</f>
        <v>5043908041</v>
      </c>
      <c r="L3082" t="str">
        <f>T("5043908041")</f>
        <v>5043908041</v>
      </c>
    </row>
    <row r="3083" spans="1:12" x14ac:dyDescent="0.35">
      <c r="A3083" t="str">
        <f t="shared" si="1242"/>
        <v>US NAVAL ACADEMY</v>
      </c>
      <c r="B3083" t="str">
        <f>T("CHAUVENT HALL RM 292")</f>
        <v>CHAUVENT HALL RM 292</v>
      </c>
      <c r="C3083" t="str">
        <f>T("572C HOLLOWAY ROAD")</f>
        <v>572C HOLLOWAY ROAD</v>
      </c>
      <c r="D3083" t="str">
        <f t="shared" si="1243"/>
        <v>ANNAPOLIS</v>
      </c>
      <c r="E3083" t="str">
        <f t="shared" si="1244"/>
        <v>MD</v>
      </c>
      <c r="F3083" t="str">
        <f t="shared" ref="F3083:F3092" si="1247">T("214021363")</f>
        <v>214021363</v>
      </c>
      <c r="G3083" t="str">
        <f>T("CHAUVENT HALL RM 292")</f>
        <v>CHAUVENT HALL RM 292</v>
      </c>
      <c r="H3083" t="str">
        <f>T("572C HOLLOWAY ROAD")</f>
        <v>572C HOLLOWAY ROAD</v>
      </c>
      <c r="I3083" t="str">
        <f t="shared" si="1245"/>
        <v>ANNAPOLIS</v>
      </c>
      <c r="J3083" t="str">
        <f t="shared" si="1246"/>
        <v>MD</v>
      </c>
      <c r="K3083" t="str">
        <f>T("410-293-3729")</f>
        <v>410-293-3729</v>
      </c>
      <c r="L3083" t="str">
        <f>T("4102934680")</f>
        <v>4102934680</v>
      </c>
    </row>
    <row r="3084" spans="1:12" x14ac:dyDescent="0.35">
      <c r="A3084" t="str">
        <f t="shared" si="1242"/>
        <v>US NAVAL ACADEMY</v>
      </c>
      <c r="B3084" t="str">
        <f>T("CHAUVENT HALL RM 292")</f>
        <v>CHAUVENT HALL RM 292</v>
      </c>
      <c r="C3084" t="str">
        <f>T("572C HOLLOWAY ROAD")</f>
        <v>572C HOLLOWAY ROAD</v>
      </c>
      <c r="D3084" t="str">
        <f t="shared" si="1243"/>
        <v>ANNAPOLIS</v>
      </c>
      <c r="E3084" t="str">
        <f t="shared" si="1244"/>
        <v>MD</v>
      </c>
      <c r="F3084" t="str">
        <f t="shared" si="1247"/>
        <v>214021363</v>
      </c>
      <c r="G3084" t="str">
        <f>T("DIV OF MATH &amp; SCIENCE  MATH")</f>
        <v>DIV OF MATH &amp; SCIENCE  MATH</v>
      </c>
      <c r="H3084" t="str">
        <f>T("572C HOLLOWAY ROAD")</f>
        <v>572C HOLLOWAY ROAD</v>
      </c>
      <c r="I3084" t="str">
        <f t="shared" si="1245"/>
        <v>ANNAPOLIS</v>
      </c>
      <c r="J3084" t="str">
        <f t="shared" si="1246"/>
        <v>MD</v>
      </c>
      <c r="K3084" t="str">
        <f>T("000000000000000000")</f>
        <v>000000000000000000</v>
      </c>
      <c r="L3084" t="str">
        <f>T("4102936701")</f>
        <v>4102936701</v>
      </c>
    </row>
    <row r="3085" spans="1:12" x14ac:dyDescent="0.35">
      <c r="A3085" t="str">
        <f t="shared" si="1242"/>
        <v>US NAVAL ACADEMY</v>
      </c>
      <c r="B3085" t="str">
        <f>T("CHAUVENT HALL RM 292")</f>
        <v>CHAUVENT HALL RM 292</v>
      </c>
      <c r="C3085" t="str">
        <f>T("572C HOLLOWAY ROAD")</f>
        <v>572C HOLLOWAY ROAD</v>
      </c>
      <c r="D3085" t="str">
        <f t="shared" si="1243"/>
        <v>ANNAPOLIS</v>
      </c>
      <c r="E3085" t="str">
        <f t="shared" si="1244"/>
        <v>MD</v>
      </c>
      <c r="F3085" t="str">
        <f t="shared" si="1247"/>
        <v>214021363</v>
      </c>
      <c r="G3085" t="str">
        <f>T("MATH &amp; SCIENCE/OCEANOGRAPHY")</f>
        <v>MATH &amp; SCIENCE/OCEANOGRAPHY</v>
      </c>
      <c r="H3085" t="str">
        <f>T("572C HOLLOWAY RD")</f>
        <v>572C HOLLOWAY RD</v>
      </c>
      <c r="I3085" t="str">
        <f t="shared" si="1245"/>
        <v>ANNAPOLIS</v>
      </c>
      <c r="J3085" t="str">
        <f t="shared" si="1246"/>
        <v>MD</v>
      </c>
      <c r="K3085" t="str">
        <f>T("000000000000000000")</f>
        <v>000000000000000000</v>
      </c>
      <c r="L3085" t="str">
        <f>T("4102936550")</f>
        <v>4102936550</v>
      </c>
    </row>
    <row r="3086" spans="1:12" x14ac:dyDescent="0.35">
      <c r="A3086" t="str">
        <f t="shared" si="1242"/>
        <v>US NAVAL ACADEMY</v>
      </c>
      <c r="B3086" t="str">
        <f>T("CHAUVENT HALL RM 292")</f>
        <v>CHAUVENT HALL RM 292</v>
      </c>
      <c r="C3086" t="str">
        <f>T("572C HOLLOWAY ROAD")</f>
        <v>572C HOLLOWAY ROAD</v>
      </c>
      <c r="D3086" t="str">
        <f t="shared" si="1243"/>
        <v>ANNAPOLIS</v>
      </c>
      <c r="E3086" t="str">
        <f t="shared" si="1244"/>
        <v>MD</v>
      </c>
      <c r="F3086" t="str">
        <f t="shared" si="1247"/>
        <v>214021363</v>
      </c>
      <c r="G3086" t="str">
        <f>T("PHYSICS/CHAUVENT CH003")</f>
        <v>PHYSICS/CHAUVENT CH003</v>
      </c>
      <c r="H3086" t="str">
        <f>T("572C HOLLOWAY RD")</f>
        <v>572C HOLLOWAY RD</v>
      </c>
      <c r="I3086" t="str">
        <f t="shared" si="1245"/>
        <v>ANNAPOLIS</v>
      </c>
      <c r="J3086" t="str">
        <f t="shared" si="1246"/>
        <v>MD</v>
      </c>
      <c r="K3086" t="str">
        <f>T("000000000000000000")</f>
        <v>000000000000000000</v>
      </c>
      <c r="L3086" t="str">
        <f>T("4102934609")</f>
        <v>4102934609</v>
      </c>
    </row>
    <row r="3087" spans="1:12" x14ac:dyDescent="0.35">
      <c r="A3087" t="str">
        <f t="shared" si="1242"/>
        <v>US NAVAL ACADEMY</v>
      </c>
      <c r="B3087" t="str">
        <f t="shared" ref="B3087:B3092" si="1248">T("CHEMISTRY/MATH &amp; SCIENCE")</f>
        <v>CHEMISTRY/MATH &amp; SCIENCE</v>
      </c>
      <c r="C3087" t="str">
        <f t="shared" ref="C3087:C3092" si="1249">T("572 M HOLLOWAY RD")</f>
        <v>572 M HOLLOWAY RD</v>
      </c>
      <c r="D3087" t="str">
        <f t="shared" si="1243"/>
        <v>ANNAPOLIS</v>
      </c>
      <c r="E3087" t="str">
        <f t="shared" si="1244"/>
        <v>MD</v>
      </c>
      <c r="F3087" t="str">
        <f t="shared" si="1247"/>
        <v>214021363</v>
      </c>
      <c r="G3087" t="str">
        <f>T("CHEMISTRY- MICHELSON MI273")</f>
        <v>CHEMISTRY- MICHELSON MI273</v>
      </c>
      <c r="H3087" t="str">
        <f>T("572M HOLLOWAY RD")</f>
        <v>572M HOLLOWAY RD</v>
      </c>
      <c r="I3087" t="str">
        <f t="shared" si="1245"/>
        <v>ANNAPOLIS</v>
      </c>
      <c r="J3087" t="str">
        <f t="shared" si="1246"/>
        <v>MD</v>
      </c>
      <c r="K3087" t="str">
        <f>T("4102932218")</f>
        <v>4102932218</v>
      </c>
      <c r="L3087" t="str">
        <f>T("4102936618")</f>
        <v>4102936618</v>
      </c>
    </row>
    <row r="3088" spans="1:12" x14ac:dyDescent="0.35">
      <c r="A3088" t="str">
        <f t="shared" si="1242"/>
        <v>US NAVAL ACADEMY</v>
      </c>
      <c r="B3088" t="str">
        <f t="shared" si="1248"/>
        <v>CHEMISTRY/MATH &amp; SCIENCE</v>
      </c>
      <c r="C3088" t="str">
        <f t="shared" si="1249"/>
        <v>572 M HOLLOWAY RD</v>
      </c>
      <c r="D3088" t="str">
        <f t="shared" si="1243"/>
        <v>ANNAPOLIS</v>
      </c>
      <c r="E3088" t="str">
        <f t="shared" si="1244"/>
        <v>MD</v>
      </c>
      <c r="F3088" t="str">
        <f t="shared" si="1247"/>
        <v>214021363</v>
      </c>
      <c r="G3088" t="str">
        <f>T("CHEMISTRY- MICHELSON- MI280")</f>
        <v>CHEMISTRY- MICHELSON- MI280</v>
      </c>
      <c r="H3088" t="str">
        <f>T("572M HOLLOWAY ROAD")</f>
        <v>572M HOLLOWAY ROAD</v>
      </c>
      <c r="I3088" t="str">
        <f t="shared" si="1245"/>
        <v>ANNAPOLIS</v>
      </c>
      <c r="J3088" t="str">
        <f t="shared" si="1246"/>
        <v>MD</v>
      </c>
      <c r="K3088" t="str">
        <f>T("4102932218")</f>
        <v>4102932218</v>
      </c>
      <c r="L3088" t="str">
        <f>T("4102936600")</f>
        <v>4102936600</v>
      </c>
    </row>
    <row r="3089" spans="1:12" x14ac:dyDescent="0.35">
      <c r="A3089" t="str">
        <f t="shared" si="1242"/>
        <v>US NAVAL ACADEMY</v>
      </c>
      <c r="B3089" t="str">
        <f t="shared" si="1248"/>
        <v>CHEMISTRY/MATH &amp; SCIENCE</v>
      </c>
      <c r="C3089" t="str">
        <f t="shared" si="1249"/>
        <v>572 M HOLLOWAY RD</v>
      </c>
      <c r="D3089" t="str">
        <f t="shared" si="1243"/>
        <v>ANNAPOLIS</v>
      </c>
      <c r="E3089" t="str">
        <f t="shared" si="1244"/>
        <v>MD</v>
      </c>
      <c r="F3089" t="str">
        <f t="shared" si="1247"/>
        <v>214021363</v>
      </c>
      <c r="G3089" t="str">
        <f>T("CHEMISTRY/MATH &amp; SCIENCE")</f>
        <v>CHEMISTRY/MATH &amp; SCIENCE</v>
      </c>
      <c r="H3089" t="str">
        <f>T("572 M HOLLOWAY RD")</f>
        <v>572 M HOLLOWAY RD</v>
      </c>
      <c r="I3089" t="str">
        <f t="shared" si="1245"/>
        <v>ANNAPOLIS</v>
      </c>
      <c r="J3089" t="str">
        <f t="shared" si="1246"/>
        <v>MD</v>
      </c>
      <c r="K3089" t="str">
        <f>T("4102932218")</f>
        <v>4102932218</v>
      </c>
      <c r="L3089" t="str">
        <f>T("4102935222")</f>
        <v>4102935222</v>
      </c>
    </row>
    <row r="3090" spans="1:12" x14ac:dyDescent="0.35">
      <c r="A3090" t="str">
        <f t="shared" si="1242"/>
        <v>US NAVAL ACADEMY</v>
      </c>
      <c r="B3090" t="str">
        <f t="shared" si="1248"/>
        <v>CHEMISTRY/MATH &amp; SCIENCE</v>
      </c>
      <c r="C3090" t="str">
        <f t="shared" si="1249"/>
        <v>572 M HOLLOWAY RD</v>
      </c>
      <c r="D3090" t="str">
        <f t="shared" si="1243"/>
        <v>ANNAPOLIS</v>
      </c>
      <c r="E3090" t="str">
        <f t="shared" si="1244"/>
        <v>MD</v>
      </c>
      <c r="F3090" t="str">
        <f t="shared" si="1247"/>
        <v>214021363</v>
      </c>
      <c r="G3090" t="str">
        <f>T("CHEMISTRY/MICHELSON 061A")</f>
        <v>CHEMISTRY/MICHELSON 061A</v>
      </c>
      <c r="H3090" t="str">
        <f>T("572 M HOLLOWAY RD")</f>
        <v>572 M HOLLOWAY RD</v>
      </c>
      <c r="I3090" t="str">
        <f t="shared" si="1245"/>
        <v>ANNAPOLIS</v>
      </c>
      <c r="J3090" t="str">
        <f t="shared" si="1246"/>
        <v>MD</v>
      </c>
      <c r="K3090" t="str">
        <f>T("4102932218")</f>
        <v>4102932218</v>
      </c>
      <c r="L3090" t="str">
        <f>T("4102935246")</f>
        <v>4102935246</v>
      </c>
    </row>
    <row r="3091" spans="1:12" x14ac:dyDescent="0.35">
      <c r="A3091" t="str">
        <f t="shared" si="1242"/>
        <v>US NAVAL ACADEMY</v>
      </c>
      <c r="B3091" t="str">
        <f t="shared" si="1248"/>
        <v>CHEMISTRY/MATH &amp; SCIENCE</v>
      </c>
      <c r="C3091" t="str">
        <f t="shared" si="1249"/>
        <v>572 M HOLLOWAY RD</v>
      </c>
      <c r="D3091" t="str">
        <f t="shared" si="1243"/>
        <v>ANNAPOLIS</v>
      </c>
      <c r="E3091" t="str">
        <f t="shared" si="1244"/>
        <v>MD</v>
      </c>
      <c r="F3091" t="str">
        <f t="shared" si="1247"/>
        <v>214021363</v>
      </c>
      <c r="G3091" t="str">
        <f>T("MATH/SCIENCE - MICHELSON 033 MS9B")</f>
        <v>MATH/SCIENCE - MICHELSON 033 MS9B</v>
      </c>
      <c r="H3091" t="str">
        <f>T("572 HOLLOWAY RD")</f>
        <v>572 HOLLOWAY RD</v>
      </c>
      <c r="I3091" t="str">
        <f t="shared" si="1245"/>
        <v>ANNAPOLIS</v>
      </c>
      <c r="J3091" t="str">
        <f t="shared" si="1246"/>
        <v>MD</v>
      </c>
      <c r="K3091" t="str">
        <f>T("4102932218")</f>
        <v>4102932218</v>
      </c>
      <c r="L3091" t="str">
        <f>T("4102935247")</f>
        <v>4102935247</v>
      </c>
    </row>
    <row r="3092" spans="1:12" x14ac:dyDescent="0.35">
      <c r="A3092" t="str">
        <f t="shared" si="1242"/>
        <v>US NAVAL ACADEMY</v>
      </c>
      <c r="B3092" t="str">
        <f t="shared" si="1248"/>
        <v>CHEMISTRY/MATH &amp; SCIENCE</v>
      </c>
      <c r="C3092" t="str">
        <f t="shared" si="1249"/>
        <v>572 M HOLLOWAY RD</v>
      </c>
      <c r="D3092" t="str">
        <f t="shared" si="1243"/>
        <v>ANNAPOLIS</v>
      </c>
      <c r="E3092" t="str">
        <f t="shared" si="1244"/>
        <v>MD</v>
      </c>
      <c r="F3092" t="str">
        <f t="shared" si="1247"/>
        <v>214021363</v>
      </c>
      <c r="G3092" t="str">
        <f>T("OCEANOGRAPHY- HENDRIX LAB")</f>
        <v>OCEANOGRAPHY- HENDRIX LAB</v>
      </c>
      <c r="H3092" t="str">
        <f>T("572C HOLLOWAY RD")</f>
        <v>572C HOLLOWAY RD</v>
      </c>
      <c r="I3092" t="str">
        <f t="shared" si="1245"/>
        <v>ANNAPOLIS</v>
      </c>
      <c r="J3092" t="str">
        <f t="shared" si="1246"/>
        <v>MD</v>
      </c>
      <c r="K3092" t="str">
        <f>T("4102932137")</f>
        <v>4102932137</v>
      </c>
      <c r="L3092" t="str">
        <f>T("4102934962")</f>
        <v>4102934962</v>
      </c>
    </row>
    <row r="3093" spans="1:12" x14ac:dyDescent="0.35">
      <c r="A3093" t="str">
        <f t="shared" si="1242"/>
        <v>US NAVAL ACADEMY</v>
      </c>
      <c r="B3093" t="str">
        <f t="shared" ref="B3093:B3098" si="1250">T("CMDT BUDGET OFFICE")</f>
        <v>CMDT BUDGET OFFICE</v>
      </c>
      <c r="C3093" t="str">
        <f t="shared" ref="C3093:C3098" si="1251">T("101 BUCHANAN RD")</f>
        <v>101 BUCHANAN RD</v>
      </c>
      <c r="D3093" t="str">
        <f t="shared" si="1243"/>
        <v>ANNAPOLIS</v>
      </c>
      <c r="E3093" t="str">
        <f t="shared" si="1244"/>
        <v>MD</v>
      </c>
      <c r="F3093" t="str">
        <f t="shared" ref="F3093:F3098" si="1252">T("214025107")</f>
        <v>214025107</v>
      </c>
      <c r="G3093" t="str">
        <f>T("CMDT BUDGET OFFICE")</f>
        <v>CMDT BUDGET OFFICE</v>
      </c>
      <c r="H3093" t="str">
        <f>T("101 BUCHANAN RD")</f>
        <v>101 BUCHANAN RD</v>
      </c>
      <c r="I3093" t="str">
        <f t="shared" si="1245"/>
        <v>ANNAPOLIS</v>
      </c>
      <c r="J3093" t="str">
        <f t="shared" si="1246"/>
        <v>MD</v>
      </c>
      <c r="K3093" t="str">
        <f>T("4102933789")</f>
        <v>4102933789</v>
      </c>
      <c r="L3093" t="str">
        <f>T("4102933302")</f>
        <v>4102933302</v>
      </c>
    </row>
    <row r="3094" spans="1:12" x14ac:dyDescent="0.35">
      <c r="A3094" t="str">
        <f t="shared" si="1242"/>
        <v>US NAVAL ACADEMY</v>
      </c>
      <c r="B3094" t="str">
        <f t="shared" si="1250"/>
        <v>CMDT BUDGET OFFICE</v>
      </c>
      <c r="C3094" t="str">
        <f t="shared" si="1251"/>
        <v>101 BUCHANAN RD</v>
      </c>
      <c r="D3094" t="str">
        <f t="shared" si="1243"/>
        <v>ANNAPOLIS</v>
      </c>
      <c r="E3094" t="str">
        <f t="shared" si="1244"/>
        <v>MD</v>
      </c>
      <c r="F3094" t="str">
        <f t="shared" si="1252"/>
        <v>214025107</v>
      </c>
      <c r="G3094" t="str">
        <f>T("CMDT FINANCE BANCROFT RM 4002A")</f>
        <v>CMDT FINANCE BANCROFT RM 4002A</v>
      </c>
      <c r="H3094" t="str">
        <f>T("101 BUCHANAN ROAD")</f>
        <v>101 BUCHANAN ROAD</v>
      </c>
      <c r="I3094" t="str">
        <f t="shared" si="1245"/>
        <v>ANNAPOLIS</v>
      </c>
      <c r="J3094" t="str">
        <f t="shared" si="1246"/>
        <v>MD</v>
      </c>
      <c r="K3094" t="str">
        <f>T("4102933299")</f>
        <v>4102933299</v>
      </c>
      <c r="L3094" t="str">
        <f>T("4102933305")</f>
        <v>4102933305</v>
      </c>
    </row>
    <row r="3095" spans="1:12" x14ac:dyDescent="0.35">
      <c r="A3095" t="str">
        <f t="shared" si="1242"/>
        <v>US NAVAL ACADEMY</v>
      </c>
      <c r="B3095" t="str">
        <f t="shared" si="1250"/>
        <v>CMDT BUDGET OFFICE</v>
      </c>
      <c r="C3095" t="str">
        <f t="shared" si="1251"/>
        <v>101 BUCHANAN RD</v>
      </c>
      <c r="D3095" t="str">
        <f t="shared" si="1243"/>
        <v>ANNAPOLIS</v>
      </c>
      <c r="E3095" t="str">
        <f t="shared" si="1244"/>
        <v>MD</v>
      </c>
      <c r="F3095" t="str">
        <f t="shared" si="1252"/>
        <v>214025107</v>
      </c>
      <c r="G3095" t="str">
        <f>T("COMMANDANTS OFFICE BH RM 3110CB")</f>
        <v>COMMANDANTS OFFICE BH RM 3110CB</v>
      </c>
      <c r="H3095" t="str">
        <f>T("101 BUCHANAN RD")</f>
        <v>101 BUCHANAN RD</v>
      </c>
      <c r="I3095" t="str">
        <f t="shared" si="1245"/>
        <v>ANNAPOLIS</v>
      </c>
      <c r="J3095" t="str">
        <f t="shared" si="1246"/>
        <v>MD</v>
      </c>
      <c r="K3095" t="str">
        <f>T("4102933889")</f>
        <v>4102933889</v>
      </c>
      <c r="L3095" t="str">
        <f>T("4102937008")</f>
        <v>4102937008</v>
      </c>
    </row>
    <row r="3096" spans="1:12" x14ac:dyDescent="0.35">
      <c r="A3096" t="str">
        <f t="shared" si="1242"/>
        <v>US NAVAL ACADEMY</v>
      </c>
      <c r="B3096" t="str">
        <f t="shared" si="1250"/>
        <v>CMDT BUDGET OFFICE</v>
      </c>
      <c r="C3096" t="str">
        <f t="shared" si="1251"/>
        <v>101 BUCHANAN RD</v>
      </c>
      <c r="D3096" t="str">
        <f t="shared" si="1243"/>
        <v>ANNAPOLIS</v>
      </c>
      <c r="E3096" t="str">
        <f t="shared" si="1244"/>
        <v>MD</v>
      </c>
      <c r="F3096" t="str">
        <f t="shared" si="1252"/>
        <v>214025107</v>
      </c>
      <c r="G3096" t="str">
        <f>T("LUCE HALL ROOM 238")</f>
        <v>LUCE HALL ROOM 238</v>
      </c>
      <c r="H3096" t="str">
        <f>T("112 COOPER ROAD")</f>
        <v>112 COOPER ROAD</v>
      </c>
      <c r="I3096" t="str">
        <f t="shared" si="1245"/>
        <v>ANNAPOLIS</v>
      </c>
      <c r="J3096" t="str">
        <f t="shared" si="1246"/>
        <v>MD</v>
      </c>
      <c r="K3096" t="str">
        <f>T("4102934896")</f>
        <v>4102934896</v>
      </c>
      <c r="L3096" t="str">
        <f>T("4102936008")</f>
        <v>4102936008</v>
      </c>
    </row>
    <row r="3097" spans="1:12" x14ac:dyDescent="0.35">
      <c r="A3097" t="str">
        <f t="shared" si="1242"/>
        <v>US NAVAL ACADEMY</v>
      </c>
      <c r="B3097" t="str">
        <f t="shared" si="1250"/>
        <v>CMDT BUDGET OFFICE</v>
      </c>
      <c r="C3097" t="str">
        <f t="shared" si="1251"/>
        <v>101 BUCHANAN RD</v>
      </c>
      <c r="D3097" t="str">
        <f t="shared" si="1243"/>
        <v>ANNAPOLIS</v>
      </c>
      <c r="E3097" t="str">
        <f t="shared" si="1244"/>
        <v>MD</v>
      </c>
      <c r="F3097" t="str">
        <f t="shared" si="1252"/>
        <v>214025107</v>
      </c>
      <c r="G3097" t="str">
        <f>T("SAILING DEPT/PROFESSIONAL DEV")</f>
        <v>SAILING DEPT/PROFESSIONAL DEV</v>
      </c>
      <c r="H3097" t="str">
        <f>T("601 BROWNSON ROAD")</f>
        <v>601 BROWNSON ROAD</v>
      </c>
      <c r="I3097" t="str">
        <f t="shared" si="1245"/>
        <v>ANNAPOLIS</v>
      </c>
      <c r="J3097" t="str">
        <f t="shared" si="1246"/>
        <v>MD</v>
      </c>
      <c r="K3097" t="str">
        <f>T("000000000000000000")</f>
        <v>000000000000000000</v>
      </c>
      <c r="L3097" t="str">
        <f>T("4102935618")</f>
        <v>4102935618</v>
      </c>
    </row>
    <row r="3098" spans="1:12" x14ac:dyDescent="0.35">
      <c r="A3098" t="str">
        <f t="shared" si="1242"/>
        <v>US NAVAL ACADEMY</v>
      </c>
      <c r="B3098" t="str">
        <f t="shared" si="1250"/>
        <v>CMDT BUDGET OFFICE</v>
      </c>
      <c r="C3098" t="str">
        <f t="shared" si="1251"/>
        <v>101 BUCHANAN RD</v>
      </c>
      <c r="D3098" t="str">
        <f t="shared" si="1243"/>
        <v>ANNAPOLIS</v>
      </c>
      <c r="E3098" t="str">
        <f t="shared" si="1244"/>
        <v>MD</v>
      </c>
      <c r="F3098" t="str">
        <f t="shared" si="1252"/>
        <v>214025107</v>
      </c>
      <c r="G3098" t="str">
        <f>T("USNA BAND- BANCROFT HALL 2B14")</f>
        <v>USNA BAND- BANCROFT HALL 2B14</v>
      </c>
      <c r="H3098" t="str">
        <f>T("101 BUCHANAN ROAD")</f>
        <v>101 BUCHANAN ROAD</v>
      </c>
      <c r="I3098" t="str">
        <f t="shared" si="1245"/>
        <v>ANNAPOLIS</v>
      </c>
      <c r="J3098" t="str">
        <f t="shared" si="1246"/>
        <v>MD</v>
      </c>
      <c r="K3098" t="str">
        <f>T("4102932116")</f>
        <v>4102932116</v>
      </c>
      <c r="L3098" t="str">
        <f>T("4102931270")</f>
        <v>4102931270</v>
      </c>
    </row>
    <row r="3099" spans="1:12" x14ac:dyDescent="0.35">
      <c r="A3099" t="str">
        <f t="shared" si="1242"/>
        <v>US NAVAL ACADEMY</v>
      </c>
      <c r="B3099" t="str">
        <f t="shared" ref="B3099:B3104" si="1253">T("COMPTROLLER DEPARTMENT")</f>
        <v>COMPTROLLER DEPARTMENT</v>
      </c>
      <c r="C3099" t="str">
        <f t="shared" ref="C3099:C3109" si="1254">T("181 WAINWRIGHT RD")</f>
        <v>181 WAINWRIGHT RD</v>
      </c>
      <c r="D3099" t="str">
        <f t="shared" si="1243"/>
        <v>ANNAPOLIS</v>
      </c>
      <c r="E3099" t="str">
        <f t="shared" si="1244"/>
        <v>MD</v>
      </c>
      <c r="F3099" t="str">
        <f t="shared" ref="F3099:F3109" si="1255">T("214021236")</f>
        <v>214021236</v>
      </c>
      <c r="G3099" t="str">
        <f>T("COMPTROLLER")</f>
        <v>COMPTROLLER</v>
      </c>
      <c r="H3099" t="str">
        <f>T("181 WAINWRIGHT RD")</f>
        <v>181 WAINWRIGHT RD</v>
      </c>
      <c r="I3099" t="str">
        <f t="shared" si="1245"/>
        <v>ANNAPOLIS</v>
      </c>
      <c r="J3099" t="str">
        <f t="shared" si="1246"/>
        <v>MD</v>
      </c>
      <c r="K3099" t="str">
        <f>T("4102933884")</f>
        <v>4102933884</v>
      </c>
      <c r="L3099" t="str">
        <f>T("4102931602")</f>
        <v>4102931602</v>
      </c>
    </row>
    <row r="3100" spans="1:12" x14ac:dyDescent="0.35">
      <c r="A3100" t="str">
        <f t="shared" si="1242"/>
        <v>US NAVAL ACADEMY</v>
      </c>
      <c r="B3100" t="str">
        <f t="shared" si="1253"/>
        <v>COMPTROLLER DEPARTMENT</v>
      </c>
      <c r="C3100" t="str">
        <f t="shared" si="1254"/>
        <v>181 WAINWRIGHT RD</v>
      </c>
      <c r="D3100" t="str">
        <f t="shared" si="1243"/>
        <v>ANNAPOLIS</v>
      </c>
      <c r="E3100" t="str">
        <f t="shared" si="1244"/>
        <v>MD</v>
      </c>
      <c r="F3100" t="str">
        <f t="shared" si="1255"/>
        <v>214021236</v>
      </c>
      <c r="G3100" t="str">
        <f>T("COMPTROLLER DEPARTMENT")</f>
        <v>COMPTROLLER DEPARTMENT</v>
      </c>
      <c r="H3100" t="str">
        <f>T("181 WAINWRIGHT RD")</f>
        <v>181 WAINWRIGHT RD</v>
      </c>
      <c r="I3100" t="str">
        <f t="shared" si="1245"/>
        <v>ANNAPOLIS</v>
      </c>
      <c r="J3100" t="str">
        <f t="shared" si="1246"/>
        <v>MD</v>
      </c>
      <c r="K3100" t="str">
        <f>T("4102933880")</f>
        <v>4102933880</v>
      </c>
      <c r="L3100" t="str">
        <f>T("4102931621")</f>
        <v>4102931621</v>
      </c>
    </row>
    <row r="3101" spans="1:12" x14ac:dyDescent="0.35">
      <c r="A3101" t="str">
        <f t="shared" si="1242"/>
        <v>US NAVAL ACADEMY</v>
      </c>
      <c r="B3101" t="str">
        <f t="shared" si="1253"/>
        <v>COMPTROLLER DEPARTMENT</v>
      </c>
      <c r="C3101" t="str">
        <f t="shared" si="1254"/>
        <v>181 WAINWRIGHT RD</v>
      </c>
      <c r="D3101" t="str">
        <f t="shared" si="1243"/>
        <v>ANNAPOLIS</v>
      </c>
      <c r="E3101" t="str">
        <f t="shared" si="1244"/>
        <v>MD</v>
      </c>
      <c r="F3101" t="str">
        <f t="shared" si="1255"/>
        <v>214021236</v>
      </c>
      <c r="G3101" t="str">
        <f>T("COMPTROLLER DEPT")</f>
        <v>COMPTROLLER DEPT</v>
      </c>
      <c r="H3101" t="str">
        <f>T("181 WAINWRIGHT RD")</f>
        <v>181 WAINWRIGHT RD</v>
      </c>
      <c r="I3101" t="str">
        <f t="shared" si="1245"/>
        <v>ANNAPOLIS</v>
      </c>
      <c r="J3101" t="str">
        <f t="shared" si="1246"/>
        <v>MD</v>
      </c>
      <c r="K3101" t="str">
        <f>T("4102933884")</f>
        <v>4102933884</v>
      </c>
      <c r="L3101" t="str">
        <f>T("4102931602")</f>
        <v>4102931602</v>
      </c>
    </row>
    <row r="3102" spans="1:12" x14ac:dyDescent="0.35">
      <c r="A3102" t="str">
        <f t="shared" si="1242"/>
        <v>US NAVAL ACADEMY</v>
      </c>
      <c r="B3102" t="str">
        <f t="shared" si="1253"/>
        <v>COMPTROLLER DEPARTMENT</v>
      </c>
      <c r="C3102" t="str">
        <f t="shared" si="1254"/>
        <v>181 WAINWRIGHT RD</v>
      </c>
      <c r="D3102" t="str">
        <f t="shared" si="1243"/>
        <v>ANNAPOLIS</v>
      </c>
      <c r="E3102" t="str">
        <f t="shared" si="1244"/>
        <v>MD</v>
      </c>
      <c r="F3102" t="str">
        <f t="shared" si="1255"/>
        <v>214021236</v>
      </c>
      <c r="G3102" t="str">
        <f>T("HRD- HALLIGAN HALL- RM 220")</f>
        <v>HRD- HALLIGAN HALL- RM 220</v>
      </c>
      <c r="H3102" t="str">
        <f>T("181 WAINWIRGHT ROAD")</f>
        <v>181 WAINWIRGHT ROAD</v>
      </c>
      <c r="I3102" t="str">
        <f t="shared" si="1245"/>
        <v>ANNAPOLIS</v>
      </c>
      <c r="J3102" t="str">
        <f t="shared" si="1246"/>
        <v>MD</v>
      </c>
      <c r="K3102" t="str">
        <f>T("4102932441")</f>
        <v>4102932441</v>
      </c>
      <c r="L3102" t="str">
        <f>T("4102933821")</f>
        <v>4102933821</v>
      </c>
    </row>
    <row r="3103" spans="1:12" x14ac:dyDescent="0.35">
      <c r="A3103" t="str">
        <f t="shared" si="1242"/>
        <v>US NAVAL ACADEMY</v>
      </c>
      <c r="B3103" t="str">
        <f t="shared" si="1253"/>
        <v>COMPTROLLER DEPARTMENT</v>
      </c>
      <c r="C3103" t="str">
        <f t="shared" si="1254"/>
        <v>181 WAINWRIGHT RD</v>
      </c>
      <c r="D3103" t="str">
        <f t="shared" si="1243"/>
        <v>ANNAPOLIS</v>
      </c>
      <c r="E3103" t="str">
        <f t="shared" si="1244"/>
        <v>MD</v>
      </c>
      <c r="F3103" t="str">
        <f t="shared" si="1255"/>
        <v>214021236</v>
      </c>
      <c r="G3103" t="str">
        <f>T("HRO- HALLIGAN HALL 2ND FLOOR")</f>
        <v>HRO- HALLIGAN HALL 2ND FLOOR</v>
      </c>
      <c r="H3103" t="str">
        <f>T("181 WAINWRIGHT RD")</f>
        <v>181 WAINWRIGHT RD</v>
      </c>
      <c r="I3103" t="str">
        <f t="shared" si="1245"/>
        <v>ANNAPOLIS</v>
      </c>
      <c r="J3103" t="str">
        <f t="shared" si="1246"/>
        <v>MD</v>
      </c>
      <c r="K3103" t="str">
        <f>T("4102932441")</f>
        <v>4102932441</v>
      </c>
      <c r="L3103" t="str">
        <f>T("4102935370")</f>
        <v>4102935370</v>
      </c>
    </row>
    <row r="3104" spans="1:12" x14ac:dyDescent="0.35">
      <c r="A3104" t="str">
        <f t="shared" si="1242"/>
        <v>US NAVAL ACADEMY</v>
      </c>
      <c r="B3104" t="str">
        <f t="shared" si="1253"/>
        <v>COMPTROLLER DEPARTMENT</v>
      </c>
      <c r="C3104" t="str">
        <f t="shared" si="1254"/>
        <v>181 WAINWRIGHT RD</v>
      </c>
      <c r="D3104" t="str">
        <f t="shared" si="1243"/>
        <v>ANNAPOLIS</v>
      </c>
      <c r="E3104" t="str">
        <f t="shared" si="1244"/>
        <v>MD</v>
      </c>
      <c r="F3104" t="str">
        <f t="shared" si="1255"/>
        <v>214021236</v>
      </c>
      <c r="G3104" t="str">
        <f>T("LARSON HALL ROOM 208")</f>
        <v>LARSON HALL ROOM 208</v>
      </c>
      <c r="H3104" t="str">
        <f>T("121 BLAKE ROAD")</f>
        <v>121 BLAKE ROAD</v>
      </c>
      <c r="I3104" t="str">
        <f t="shared" si="1245"/>
        <v>ANNAPOLIS</v>
      </c>
      <c r="J3104" t="str">
        <f t="shared" si="1246"/>
        <v>MD</v>
      </c>
      <c r="K3104" t="str">
        <f>T("4102932303")</f>
        <v>4102932303</v>
      </c>
      <c r="L3104" t="str">
        <f>T("4102931557")</f>
        <v>4102931557</v>
      </c>
    </row>
    <row r="3105" spans="1:12" x14ac:dyDescent="0.35">
      <c r="A3105" t="str">
        <f t="shared" si="1242"/>
        <v>US NAVAL ACADEMY</v>
      </c>
      <c r="B3105" t="str">
        <f>T("COMPTROLLER DEPT")</f>
        <v>COMPTROLLER DEPT</v>
      </c>
      <c r="C3105" t="str">
        <f t="shared" si="1254"/>
        <v>181 WAINWRIGHT RD</v>
      </c>
      <c r="D3105" t="str">
        <f t="shared" si="1243"/>
        <v>ANNAPOLIS</v>
      </c>
      <c r="E3105" t="str">
        <f t="shared" si="1244"/>
        <v>MD</v>
      </c>
      <c r="F3105" t="str">
        <f t="shared" si="1255"/>
        <v>214021236</v>
      </c>
      <c r="G3105" t="str">
        <f>T("COMPTROLLER DEPT")</f>
        <v>COMPTROLLER DEPT</v>
      </c>
      <c r="H3105" t="str">
        <f>T("181 WAINWRIGHT RD")</f>
        <v>181 WAINWRIGHT RD</v>
      </c>
      <c r="I3105" t="str">
        <f t="shared" si="1245"/>
        <v>ANNAPOLIS</v>
      </c>
      <c r="J3105" t="str">
        <f t="shared" si="1246"/>
        <v>MD</v>
      </c>
      <c r="K3105" t="str">
        <f>T("410-293-3880")</f>
        <v>410-293-3880</v>
      </c>
      <c r="L3105" t="str">
        <f>T("4102931619")</f>
        <v>4102931619</v>
      </c>
    </row>
    <row r="3106" spans="1:12" x14ac:dyDescent="0.35">
      <c r="A3106" t="str">
        <f t="shared" si="1242"/>
        <v>US NAVAL ACADEMY</v>
      </c>
      <c r="B3106" t="str">
        <f>T("COMPTROLLER DEPT")</f>
        <v>COMPTROLLER DEPT</v>
      </c>
      <c r="C3106" t="str">
        <f t="shared" si="1254"/>
        <v>181 WAINWRIGHT RD</v>
      </c>
      <c r="D3106" t="str">
        <f t="shared" si="1243"/>
        <v>ANNAPOLIS</v>
      </c>
      <c r="E3106" t="str">
        <f t="shared" si="1244"/>
        <v>MD</v>
      </c>
      <c r="F3106" t="str">
        <f t="shared" si="1255"/>
        <v>214021236</v>
      </c>
      <c r="G3106" t="str">
        <f>T("ETHICS CTR LUCE 201")</f>
        <v>ETHICS CTR LUCE 201</v>
      </c>
      <c r="H3106" t="str">
        <f>T("112 COOPER ROAD")</f>
        <v>112 COOPER ROAD</v>
      </c>
      <c r="I3106" t="str">
        <f t="shared" si="1245"/>
        <v>ANNAPOLIS</v>
      </c>
      <c r="J3106" t="str">
        <f t="shared" si="1246"/>
        <v>MD</v>
      </c>
      <c r="K3106" t="str">
        <f>T("000000000000000000")</f>
        <v>000000000000000000</v>
      </c>
      <c r="L3106" t="str">
        <f>T("4102936085")</f>
        <v>4102936085</v>
      </c>
    </row>
    <row r="3107" spans="1:12" x14ac:dyDescent="0.35">
      <c r="A3107" t="str">
        <f t="shared" ref="A3107:A3138" si="1256">T("US NAVAL ACADEMY")</f>
        <v>US NAVAL ACADEMY</v>
      </c>
      <c r="B3107" t="str">
        <f>T("COMPTROLLER DEPT")</f>
        <v>COMPTROLLER DEPT</v>
      </c>
      <c r="C3107" t="str">
        <f t="shared" si="1254"/>
        <v>181 WAINWRIGHT RD</v>
      </c>
      <c r="D3107" t="str">
        <f t="shared" si="1243"/>
        <v>ANNAPOLIS</v>
      </c>
      <c r="E3107" t="str">
        <f t="shared" si="1244"/>
        <v>MD</v>
      </c>
      <c r="F3107" t="str">
        <f t="shared" si="1255"/>
        <v>214021236</v>
      </c>
      <c r="G3107" t="str">
        <f>T("PROTOCOL ADMIN BLDG RM 305")</f>
        <v>PROTOCOL ADMIN BLDG RM 305</v>
      </c>
      <c r="H3107" t="str">
        <f>T("121 BLAKE ROAD")</f>
        <v>121 BLAKE ROAD</v>
      </c>
      <c r="I3107" t="str">
        <f t="shared" si="1245"/>
        <v>ANNAPOLIS</v>
      </c>
      <c r="J3107" t="str">
        <f t="shared" si="1246"/>
        <v>MD</v>
      </c>
      <c r="K3107" t="str">
        <f>T("4102931596")</f>
        <v>4102931596</v>
      </c>
      <c r="L3107" t="str">
        <f>T("4102931510")</f>
        <v>4102931510</v>
      </c>
    </row>
    <row r="3108" spans="1:12" x14ac:dyDescent="0.35">
      <c r="A3108" t="str">
        <f t="shared" si="1256"/>
        <v>US NAVAL ACADEMY</v>
      </c>
      <c r="B3108" t="str">
        <f>T("COMPTROLLER DEPT")</f>
        <v>COMPTROLLER DEPT</v>
      </c>
      <c r="C3108" t="str">
        <f t="shared" si="1254"/>
        <v>181 WAINWRIGHT RD</v>
      </c>
      <c r="D3108" t="str">
        <f t="shared" si="1243"/>
        <v>ANNAPOLIS</v>
      </c>
      <c r="E3108" t="str">
        <f t="shared" si="1244"/>
        <v>MD</v>
      </c>
      <c r="F3108" t="str">
        <f t="shared" si="1255"/>
        <v>214021236</v>
      </c>
      <c r="G3108" t="str">
        <f>T("PUBLIC AFFAIRS OFFICE ADMIN")</f>
        <v>PUBLIC AFFAIRS OFFICE ADMIN</v>
      </c>
      <c r="H3108" t="str">
        <f>T("121 BLAKE ROAD")</f>
        <v>121 BLAKE ROAD</v>
      </c>
      <c r="I3108" t="str">
        <f t="shared" si="1245"/>
        <v>ANNAPOLIS</v>
      </c>
      <c r="J3108" t="str">
        <f t="shared" si="1246"/>
        <v>MD</v>
      </c>
      <c r="K3108" t="str">
        <f>T("000000000000000000")</f>
        <v>000000000000000000</v>
      </c>
      <c r="L3108" t="str">
        <f>T("4102936393")</f>
        <v>4102936393</v>
      </c>
    </row>
    <row r="3109" spans="1:12" x14ac:dyDescent="0.35">
      <c r="A3109" t="str">
        <f t="shared" si="1256"/>
        <v>US NAVAL ACADEMY</v>
      </c>
      <c r="B3109" t="str">
        <f>T("COMPTROLLER DEPT")</f>
        <v>COMPTROLLER DEPT</v>
      </c>
      <c r="C3109" t="str">
        <f t="shared" si="1254"/>
        <v>181 WAINWRIGHT RD</v>
      </c>
      <c r="D3109" t="str">
        <f t="shared" si="1243"/>
        <v>ANNAPOLIS</v>
      </c>
      <c r="E3109" t="str">
        <f t="shared" si="1244"/>
        <v>MD</v>
      </c>
      <c r="F3109" t="str">
        <f t="shared" si="1255"/>
        <v>214021236</v>
      </c>
      <c r="G3109" t="str">
        <f>T("SUPT OPERATIONS-ALUMNI HALL RM 309")</f>
        <v>SUPT OPERATIONS-ALUMNI HALL RM 309</v>
      </c>
      <c r="H3109" t="str">
        <f>T("675 DECATUR RD")</f>
        <v>675 DECATUR RD</v>
      </c>
      <c r="I3109" t="str">
        <f t="shared" si="1245"/>
        <v>ANNAPOLIS</v>
      </c>
      <c r="J3109" t="str">
        <f t="shared" si="1246"/>
        <v>MD</v>
      </c>
      <c r="K3109" t="str">
        <f>T("4102932815")</f>
        <v>4102932815</v>
      </c>
      <c r="L3109" t="str">
        <f>T("4102932517")</f>
        <v>4102932517</v>
      </c>
    </row>
    <row r="3110" spans="1:12" x14ac:dyDescent="0.35">
      <c r="A3110" t="str">
        <f t="shared" si="1256"/>
        <v>US NAVAL ACADEMY</v>
      </c>
      <c r="B3110" t="str">
        <f t="shared" ref="B3110:B3117" si="1257">T("ELECTRICAL DIV BLDG 66")</f>
        <v>ELECTRICAL DIV BLDG 66</v>
      </c>
      <c r="C3110" t="str">
        <f t="shared" ref="C3110:C3117" si="1258">T("66 BENNION ROAD")</f>
        <v>66 BENNION ROAD</v>
      </c>
      <c r="D3110" t="str">
        <f t="shared" ref="D3110:D3141" si="1259">T("ANNAPOLIS")</f>
        <v>ANNAPOLIS</v>
      </c>
      <c r="E3110" t="str">
        <f t="shared" ref="E3110:E3141" si="1260">T("MD")</f>
        <v>MD</v>
      </c>
      <c r="F3110" t="str">
        <f t="shared" ref="F3110:F3117" si="1261">T("214020000")</f>
        <v>214020000</v>
      </c>
      <c r="G3110" t="str">
        <f>T("ADMIN  SUPPLY- BLDG 66")</f>
        <v>ADMIN  SUPPLY- BLDG 66</v>
      </c>
      <c r="H3110" t="str">
        <f>T("66 HALLIGAN RD")</f>
        <v>66 HALLIGAN RD</v>
      </c>
      <c r="I3110" t="str">
        <f t="shared" ref="I3110:I3141" si="1262">T("ANNAPOLIS")</f>
        <v>ANNAPOLIS</v>
      </c>
      <c r="J3110" t="str">
        <f t="shared" ref="J3110:J3141" si="1263">T("MD")</f>
        <v>MD</v>
      </c>
      <c r="K3110" t="str">
        <f>T("000000000000000000")</f>
        <v>000000000000000000</v>
      </c>
      <c r="L3110" t="str">
        <f>T("4102939136")</f>
        <v>4102939136</v>
      </c>
    </row>
    <row r="3111" spans="1:12" x14ac:dyDescent="0.35">
      <c r="A3111" t="str">
        <f t="shared" si="1256"/>
        <v>US NAVAL ACADEMY</v>
      </c>
      <c r="B3111" t="str">
        <f t="shared" si="1257"/>
        <v>ELECTRICAL DIV BLDG 66</v>
      </c>
      <c r="C3111" t="str">
        <f t="shared" si="1258"/>
        <v>66 BENNION ROAD</v>
      </c>
      <c r="D3111" t="str">
        <f t="shared" si="1259"/>
        <v>ANNAPOLIS</v>
      </c>
      <c r="E3111" t="str">
        <f t="shared" si="1260"/>
        <v>MD</v>
      </c>
      <c r="F3111" t="str">
        <f t="shared" si="1261"/>
        <v>214020000</v>
      </c>
      <c r="G3111" t="str">
        <f>T("BUILDING 66")</f>
        <v>BUILDING 66</v>
      </c>
      <c r="H3111" t="str">
        <f>T("66 HALLIGAN ROAD")</f>
        <v>66 HALLIGAN ROAD</v>
      </c>
      <c r="I3111" t="str">
        <f t="shared" si="1262"/>
        <v>ANNAPOLIS</v>
      </c>
      <c r="J3111" t="str">
        <f t="shared" si="1263"/>
        <v>MD</v>
      </c>
      <c r="K3111" t="str">
        <f>T("4102939154")</f>
        <v>4102939154</v>
      </c>
      <c r="L3111" t="str">
        <f>T("4102939151")</f>
        <v>4102939151</v>
      </c>
    </row>
    <row r="3112" spans="1:12" x14ac:dyDescent="0.35">
      <c r="A3112" t="str">
        <f t="shared" si="1256"/>
        <v>US NAVAL ACADEMY</v>
      </c>
      <c r="B3112" t="str">
        <f t="shared" si="1257"/>
        <v>ELECTRICAL DIV BLDG 66</v>
      </c>
      <c r="C3112" t="str">
        <f t="shared" si="1258"/>
        <v>66 BENNION ROAD</v>
      </c>
      <c r="D3112" t="str">
        <f t="shared" si="1259"/>
        <v>ANNAPOLIS</v>
      </c>
      <c r="E3112" t="str">
        <f t="shared" si="1260"/>
        <v>MD</v>
      </c>
      <c r="F3112" t="str">
        <f t="shared" si="1261"/>
        <v>214020000</v>
      </c>
      <c r="G3112" t="str">
        <f>T("ELECTRICAL DIV BLDG 66")</f>
        <v>ELECTRICAL DIV BLDG 66</v>
      </c>
      <c r="H3112" t="str">
        <f>T("66 BENNION ROAD")</f>
        <v>66 BENNION ROAD</v>
      </c>
      <c r="I3112" t="str">
        <f t="shared" si="1262"/>
        <v>ANNAPOLIS</v>
      </c>
      <c r="J3112" t="str">
        <f t="shared" si="1263"/>
        <v>MD</v>
      </c>
      <c r="K3112" t="str">
        <f>T("4102933578")</f>
        <v>4102933578</v>
      </c>
      <c r="L3112" t="str">
        <f>T("4102939148")</f>
        <v>4102939148</v>
      </c>
    </row>
    <row r="3113" spans="1:12" x14ac:dyDescent="0.35">
      <c r="A3113" t="str">
        <f t="shared" si="1256"/>
        <v>US NAVAL ACADEMY</v>
      </c>
      <c r="B3113" t="str">
        <f t="shared" si="1257"/>
        <v>ELECTRICAL DIV BLDG 66</v>
      </c>
      <c r="C3113" t="str">
        <f t="shared" si="1258"/>
        <v>66 BENNION ROAD</v>
      </c>
      <c r="D3113" t="str">
        <f t="shared" si="1259"/>
        <v>ANNAPOLIS</v>
      </c>
      <c r="E3113" t="str">
        <f t="shared" si="1260"/>
        <v>MD</v>
      </c>
      <c r="F3113" t="str">
        <f t="shared" si="1261"/>
        <v>214020000</v>
      </c>
      <c r="G3113" t="str">
        <f>T("SCRD- BLDG 66")</f>
        <v>SCRD- BLDG 66</v>
      </c>
      <c r="H3113" t="str">
        <f>T("66 HALLIGAN ROAD")</f>
        <v>66 HALLIGAN ROAD</v>
      </c>
      <c r="I3113" t="str">
        <f t="shared" si="1262"/>
        <v>ANNAPOLIS</v>
      </c>
      <c r="J3113" t="str">
        <f t="shared" si="1263"/>
        <v>MD</v>
      </c>
      <c r="K3113" t="str">
        <f>T("4102939154")</f>
        <v>4102939154</v>
      </c>
      <c r="L3113" t="str">
        <f>T("4102939183")</f>
        <v>4102939183</v>
      </c>
    </row>
    <row r="3114" spans="1:12" x14ac:dyDescent="0.35">
      <c r="A3114" t="str">
        <f t="shared" si="1256"/>
        <v>US NAVAL ACADEMY</v>
      </c>
      <c r="B3114" t="str">
        <f t="shared" si="1257"/>
        <v>ELECTRICAL DIV BLDG 66</v>
      </c>
      <c r="C3114" t="str">
        <f t="shared" si="1258"/>
        <v>66 BENNION ROAD</v>
      </c>
      <c r="D3114" t="str">
        <f t="shared" si="1259"/>
        <v>ANNAPOLIS</v>
      </c>
      <c r="E3114" t="str">
        <f t="shared" si="1260"/>
        <v>MD</v>
      </c>
      <c r="F3114" t="str">
        <f t="shared" si="1261"/>
        <v>214020000</v>
      </c>
      <c r="G3114" t="str">
        <f>T("WATERFRONT READINESS BLDG 66 RM 103")</f>
        <v>WATERFRONT READINESS BLDG 66 RM 103</v>
      </c>
      <c r="H3114" t="str">
        <f>T("66 HALLIGAN ROAD")</f>
        <v>66 HALLIGAN ROAD</v>
      </c>
      <c r="I3114" t="str">
        <f t="shared" si="1262"/>
        <v>ANNAPOLIS</v>
      </c>
      <c r="J3114" t="str">
        <f t="shared" si="1263"/>
        <v>MD</v>
      </c>
      <c r="K3114" t="str">
        <f>T("4102939154")</f>
        <v>4102939154</v>
      </c>
      <c r="L3114" t="str">
        <f>T("4102939156")</f>
        <v>4102939156</v>
      </c>
    </row>
    <row r="3115" spans="1:12" x14ac:dyDescent="0.35">
      <c r="A3115" t="str">
        <f t="shared" si="1256"/>
        <v>US NAVAL ACADEMY</v>
      </c>
      <c r="B3115" t="str">
        <f t="shared" si="1257"/>
        <v>ELECTRICAL DIV BLDG 66</v>
      </c>
      <c r="C3115" t="str">
        <f t="shared" si="1258"/>
        <v>66 BENNION ROAD</v>
      </c>
      <c r="D3115" t="str">
        <f t="shared" si="1259"/>
        <v>ANNAPOLIS</v>
      </c>
      <c r="E3115" t="str">
        <f t="shared" si="1260"/>
        <v>MD</v>
      </c>
      <c r="F3115" t="str">
        <f t="shared" si="1261"/>
        <v>214020000</v>
      </c>
      <c r="G3115" t="str">
        <f>T("WATERFRONT READINESS SCRD BLDG 66")</f>
        <v>WATERFRONT READINESS SCRD BLDG 66</v>
      </c>
      <c r="H3115" t="str">
        <f>T("66 HALLIGAN ROAD")</f>
        <v>66 HALLIGAN ROAD</v>
      </c>
      <c r="I3115" t="str">
        <f t="shared" si="1262"/>
        <v>ANNAPOLIS</v>
      </c>
      <c r="J3115" t="str">
        <f t="shared" si="1263"/>
        <v>MD</v>
      </c>
      <c r="K3115" t="str">
        <f>T("4102939154")</f>
        <v>4102939154</v>
      </c>
      <c r="L3115" t="str">
        <f>T("4102939156")</f>
        <v>4102939156</v>
      </c>
    </row>
    <row r="3116" spans="1:12" x14ac:dyDescent="0.35">
      <c r="A3116" t="str">
        <f t="shared" si="1256"/>
        <v>US NAVAL ACADEMY</v>
      </c>
      <c r="B3116" t="str">
        <f t="shared" si="1257"/>
        <v>ELECTRICAL DIV BLDG 66</v>
      </c>
      <c r="C3116" t="str">
        <f t="shared" si="1258"/>
        <v>66 BENNION ROAD</v>
      </c>
      <c r="D3116" t="str">
        <f t="shared" si="1259"/>
        <v>ANNAPOLIS</v>
      </c>
      <c r="E3116" t="str">
        <f t="shared" si="1260"/>
        <v>MD</v>
      </c>
      <c r="F3116" t="str">
        <f t="shared" si="1261"/>
        <v>214020000</v>
      </c>
      <c r="G3116" t="str">
        <f>T("WATERFRONT READINESS SCRD BLDG 66")</f>
        <v>WATERFRONT READINESS SCRD BLDG 66</v>
      </c>
      <c r="H3116" t="str">
        <f>T("66 HALLIGAN ROAD")</f>
        <v>66 HALLIGAN ROAD</v>
      </c>
      <c r="I3116" t="str">
        <f t="shared" si="1262"/>
        <v>ANNAPOLIS</v>
      </c>
      <c r="J3116" t="str">
        <f t="shared" si="1263"/>
        <v>MD</v>
      </c>
      <c r="K3116" t="str">
        <f>T("4102939154")</f>
        <v>4102939154</v>
      </c>
      <c r="L3116" t="str">
        <f>T("4102939158")</f>
        <v>4102939158</v>
      </c>
    </row>
    <row r="3117" spans="1:12" x14ac:dyDescent="0.35">
      <c r="A3117" t="str">
        <f t="shared" si="1256"/>
        <v>US NAVAL ACADEMY</v>
      </c>
      <c r="B3117" t="str">
        <f t="shared" si="1257"/>
        <v>ELECTRICAL DIV BLDG 66</v>
      </c>
      <c r="C3117" t="str">
        <f t="shared" si="1258"/>
        <v>66 BENNION ROAD</v>
      </c>
      <c r="D3117" t="str">
        <f t="shared" si="1259"/>
        <v>ANNAPOLIS</v>
      </c>
      <c r="E3117" t="str">
        <f t="shared" si="1260"/>
        <v>MD</v>
      </c>
      <c r="F3117" t="str">
        <f t="shared" si="1261"/>
        <v>214020000</v>
      </c>
      <c r="G3117" t="str">
        <f>T("WATERFRONT READINESS/BLDG 66 RM 121")</f>
        <v>WATERFRONT READINESS/BLDG 66 RM 121</v>
      </c>
      <c r="H3117" t="str">
        <f>T("66 HALLIGAN ROAD")</f>
        <v>66 HALLIGAN ROAD</v>
      </c>
      <c r="I3117" t="str">
        <f t="shared" si="1262"/>
        <v>ANNAPOLIS</v>
      </c>
      <c r="J3117" t="str">
        <f t="shared" si="1263"/>
        <v>MD</v>
      </c>
      <c r="K3117" t="str">
        <f>T("4102939154")</f>
        <v>4102939154</v>
      </c>
      <c r="L3117" t="str">
        <f>T("4102939142")</f>
        <v>4102939142</v>
      </c>
    </row>
    <row r="3118" spans="1:12" x14ac:dyDescent="0.35">
      <c r="A3118" t="str">
        <f t="shared" si="1256"/>
        <v>US NAVAL ACADEMY</v>
      </c>
      <c r="B3118" t="str">
        <f>T("ENG &amp; WPNS DIV")</f>
        <v>ENG &amp; WPNS DIV</v>
      </c>
      <c r="C3118" t="str">
        <f t="shared" ref="C3118:C3127" si="1264">T("590 HOLLOWAY RD")</f>
        <v>590 HOLLOWAY RD</v>
      </c>
      <c r="D3118" t="str">
        <f t="shared" si="1259"/>
        <v>ANNAPOLIS</v>
      </c>
      <c r="E3118" t="str">
        <f t="shared" si="1260"/>
        <v>MD</v>
      </c>
      <c r="F3118" t="str">
        <f t="shared" ref="F3118:F3127" si="1265">T("214021314")</f>
        <v>214021314</v>
      </c>
      <c r="G3118" t="str">
        <f>T("AEROSPACE ENG RICKOVER 327")</f>
        <v>AEROSPACE ENG RICKOVER 327</v>
      </c>
      <c r="H3118" t="str">
        <f>T("590 HOLLOWAY RD")</f>
        <v>590 HOLLOWAY RD</v>
      </c>
      <c r="I3118" t="str">
        <f t="shared" si="1262"/>
        <v>ANNAPOLIS</v>
      </c>
      <c r="J3118" t="str">
        <f t="shared" si="1263"/>
        <v>MD</v>
      </c>
      <c r="K3118" t="str">
        <f>T("4102936404")</f>
        <v>4102936404</v>
      </c>
      <c r="L3118" t="str">
        <f>T("4102936400")</f>
        <v>4102936400</v>
      </c>
    </row>
    <row r="3119" spans="1:12" x14ac:dyDescent="0.35">
      <c r="A3119" t="str">
        <f t="shared" si="1256"/>
        <v>US NAVAL ACADEMY</v>
      </c>
      <c r="B3119" t="str">
        <f>T("ENG &amp; WPNS DIV")</f>
        <v>ENG &amp; WPNS DIV</v>
      </c>
      <c r="C3119" t="str">
        <f t="shared" si="1264"/>
        <v>590 HOLLOWAY RD</v>
      </c>
      <c r="D3119" t="str">
        <f t="shared" si="1259"/>
        <v>ANNAPOLIS</v>
      </c>
      <c r="E3119" t="str">
        <f t="shared" si="1260"/>
        <v>MD</v>
      </c>
      <c r="F3119" t="str">
        <f t="shared" si="1265"/>
        <v>214021314</v>
      </c>
      <c r="G3119" t="str">
        <f>T("ENG &amp; WPNS DIV")</f>
        <v>ENG &amp; WPNS DIV</v>
      </c>
      <c r="H3119" t="str">
        <f>T("590 HOLLOWAY RD")</f>
        <v>590 HOLLOWAY RD</v>
      </c>
      <c r="I3119" t="str">
        <f t="shared" si="1262"/>
        <v>ANNAPOLIS</v>
      </c>
      <c r="J3119" t="str">
        <f t="shared" si="1263"/>
        <v>MD</v>
      </c>
      <c r="K3119" t="str">
        <f>T("4102933496")</f>
        <v>4102933496</v>
      </c>
      <c r="L3119" t="str">
        <f>T("4102936832")</f>
        <v>4102936832</v>
      </c>
    </row>
    <row r="3120" spans="1:12" x14ac:dyDescent="0.35">
      <c r="A3120" t="str">
        <f t="shared" si="1256"/>
        <v>US NAVAL ACADEMY</v>
      </c>
      <c r="B3120" t="str">
        <f>T("ENG &amp; WPNS DIV")</f>
        <v>ENG &amp; WPNS DIV</v>
      </c>
      <c r="C3120" t="str">
        <f t="shared" si="1264"/>
        <v>590 HOLLOWAY RD</v>
      </c>
      <c r="D3120" t="str">
        <f t="shared" si="1259"/>
        <v>ANNAPOLIS</v>
      </c>
      <c r="E3120" t="str">
        <f t="shared" si="1260"/>
        <v>MD</v>
      </c>
      <c r="F3120" t="str">
        <f t="shared" si="1265"/>
        <v>214021314</v>
      </c>
      <c r="G3120" t="str">
        <f>T("ENG/WPNS RICKOVER HALL 312")</f>
        <v>ENG/WPNS RICKOVER HALL 312</v>
      </c>
      <c r="H3120" t="str">
        <f>T("590 HOLLOWAY RD")</f>
        <v>590 HOLLOWAY RD</v>
      </c>
      <c r="I3120" t="str">
        <f t="shared" si="1262"/>
        <v>ANNAPOLIS</v>
      </c>
      <c r="J3120" t="str">
        <f t="shared" si="1263"/>
        <v>MD</v>
      </c>
      <c r="K3120" t="str">
        <f>T("000000000000000000")</f>
        <v>000000000000000000</v>
      </c>
      <c r="L3120" t="str">
        <f>T("4102936313")</f>
        <v>4102936313</v>
      </c>
    </row>
    <row r="3121" spans="1:12" x14ac:dyDescent="0.35">
      <c r="A3121" t="str">
        <f t="shared" si="1256"/>
        <v>US NAVAL ACADEMY</v>
      </c>
      <c r="B3121" t="str">
        <f>T("ENG &amp; WPNS DIV")</f>
        <v>ENG &amp; WPNS DIV</v>
      </c>
      <c r="C3121" t="str">
        <f t="shared" si="1264"/>
        <v>590 HOLLOWAY RD</v>
      </c>
      <c r="D3121" t="str">
        <f t="shared" si="1259"/>
        <v>ANNAPOLIS</v>
      </c>
      <c r="E3121" t="str">
        <f t="shared" si="1260"/>
        <v>MD</v>
      </c>
      <c r="F3121" t="str">
        <f t="shared" si="1265"/>
        <v>214021314</v>
      </c>
      <c r="G3121" t="str">
        <f>T("MECH ENG - RICKOVER - RM 363")</f>
        <v>MECH ENG - RICKOVER - RM 363</v>
      </c>
      <c r="H3121" t="str">
        <f>T("590 HOLLOWAY RD")</f>
        <v>590 HOLLOWAY RD</v>
      </c>
      <c r="I3121" t="str">
        <f t="shared" si="1262"/>
        <v>ANNAPOLIS</v>
      </c>
      <c r="J3121" t="str">
        <f t="shared" si="1263"/>
        <v>MD</v>
      </c>
      <c r="K3121" t="str">
        <f>T("4102933041")</f>
        <v>4102933041</v>
      </c>
      <c r="L3121" t="str">
        <f>T("4102936500")</f>
        <v>4102936500</v>
      </c>
    </row>
    <row r="3122" spans="1:12" x14ac:dyDescent="0.35">
      <c r="A3122" t="str">
        <f t="shared" si="1256"/>
        <v>US NAVAL ACADEMY</v>
      </c>
      <c r="B3122" t="str">
        <f>T("ENG &amp; WPNS DIV")</f>
        <v>ENG &amp; WPNS DIV</v>
      </c>
      <c r="C3122" t="str">
        <f t="shared" si="1264"/>
        <v>590 HOLLOWAY RD</v>
      </c>
      <c r="D3122" t="str">
        <f t="shared" si="1259"/>
        <v>ANNAPOLIS</v>
      </c>
      <c r="E3122" t="str">
        <f t="shared" si="1260"/>
        <v>MD</v>
      </c>
      <c r="F3122" t="str">
        <f t="shared" si="1265"/>
        <v>214021314</v>
      </c>
      <c r="G3122" t="str">
        <f>T("NAOE - RICKOVER HALL")</f>
        <v>NAOE - RICKOVER HALL</v>
      </c>
      <c r="H3122" t="str">
        <f>T("590 HOLLOWAY ROAD")</f>
        <v>590 HOLLOWAY ROAD</v>
      </c>
      <c r="I3122" t="str">
        <f t="shared" si="1262"/>
        <v>ANNAPOLIS</v>
      </c>
      <c r="J3122" t="str">
        <f t="shared" si="1263"/>
        <v>MD</v>
      </c>
      <c r="K3122" t="str">
        <f>T("4102932219")</f>
        <v>4102932219</v>
      </c>
      <c r="L3122" t="str">
        <f>T("4102936420")</f>
        <v>4102936420</v>
      </c>
    </row>
    <row r="3123" spans="1:12" x14ac:dyDescent="0.35">
      <c r="A3123" t="str">
        <f t="shared" si="1256"/>
        <v>US NAVAL ACADEMY</v>
      </c>
      <c r="B3123" t="str">
        <f>T("ENG/WPNS/RICKOVER HALL RM 1")</f>
        <v>ENG/WPNS/RICKOVER HALL RM 1</v>
      </c>
      <c r="C3123" t="str">
        <f t="shared" si="1264"/>
        <v>590 HOLLOWAY RD</v>
      </c>
      <c r="D3123" t="str">
        <f t="shared" si="1259"/>
        <v>ANNAPOLIS</v>
      </c>
      <c r="E3123" t="str">
        <f t="shared" si="1260"/>
        <v>MD</v>
      </c>
      <c r="F3123" t="str">
        <f t="shared" si="1265"/>
        <v>214021314</v>
      </c>
      <c r="G3123" t="str">
        <f>T("BLD 590 RICKOVER HALL")</f>
        <v>BLD 590 RICKOVER HALL</v>
      </c>
      <c r="H3123" t="str">
        <f>T("590 HOLLOWAY RD")</f>
        <v>590 HOLLOWAY RD</v>
      </c>
      <c r="I3123" t="str">
        <f t="shared" si="1262"/>
        <v>ANNAPOLIS</v>
      </c>
      <c r="J3123" t="str">
        <f t="shared" si="1263"/>
        <v>MD</v>
      </c>
      <c r="K3123" t="str">
        <f>T("000000000000000000")</f>
        <v>000000000000000000</v>
      </c>
      <c r="L3123" t="str">
        <f>T("4102935147")</f>
        <v>4102935147</v>
      </c>
    </row>
    <row r="3124" spans="1:12" x14ac:dyDescent="0.35">
      <c r="A3124" t="str">
        <f t="shared" si="1256"/>
        <v>US NAVAL ACADEMY</v>
      </c>
      <c r="B3124" t="str">
        <f>T("ENG/WPNS/RICKOVER HALL RM 1")</f>
        <v>ENG/WPNS/RICKOVER HALL RM 1</v>
      </c>
      <c r="C3124" t="str">
        <f t="shared" si="1264"/>
        <v>590 HOLLOWAY RD</v>
      </c>
      <c r="D3124" t="str">
        <f t="shared" si="1259"/>
        <v>ANNAPOLIS</v>
      </c>
      <c r="E3124" t="str">
        <f t="shared" si="1260"/>
        <v>MD</v>
      </c>
      <c r="F3124" t="str">
        <f t="shared" si="1265"/>
        <v>214021314</v>
      </c>
      <c r="G3124" t="str">
        <f>T("ENG/WPNS RICKOVER RM 302")</f>
        <v>ENG/WPNS RICKOVER RM 302</v>
      </c>
      <c r="H3124" t="str">
        <f>T("590 HOLLOWAY RD")</f>
        <v>590 HOLLOWAY RD</v>
      </c>
      <c r="I3124" t="str">
        <f t="shared" si="1262"/>
        <v>ANNAPOLIS</v>
      </c>
      <c r="J3124" t="str">
        <f t="shared" si="1263"/>
        <v>MD</v>
      </c>
      <c r="K3124" t="str">
        <f>T("000000000000000000")</f>
        <v>000000000000000000</v>
      </c>
      <c r="L3124" t="str">
        <f>T("4102930000")</f>
        <v>4102930000</v>
      </c>
    </row>
    <row r="3125" spans="1:12" x14ac:dyDescent="0.35">
      <c r="A3125" t="str">
        <f t="shared" si="1256"/>
        <v>US NAVAL ACADEMY</v>
      </c>
      <c r="B3125" t="str">
        <f>T("ENG/WPNS/RICKOVER HALL RM 1")</f>
        <v>ENG/WPNS/RICKOVER HALL RM 1</v>
      </c>
      <c r="C3125" t="str">
        <f t="shared" si="1264"/>
        <v>590 HOLLOWAY RD</v>
      </c>
      <c r="D3125" t="str">
        <f t="shared" si="1259"/>
        <v>ANNAPOLIS</v>
      </c>
      <c r="E3125" t="str">
        <f t="shared" si="1260"/>
        <v>MD</v>
      </c>
      <c r="F3125" t="str">
        <f t="shared" si="1265"/>
        <v>214021314</v>
      </c>
      <c r="G3125" t="str">
        <f>T("ENG/WPNS/RICKOVER HALL RM 1")</f>
        <v>ENG/WPNS/RICKOVER HALL RM 1</v>
      </c>
      <c r="H3125" t="str">
        <f>T("590 HOLLOWAY RD")</f>
        <v>590 HOLLOWAY RD</v>
      </c>
      <c r="I3125" t="str">
        <f t="shared" si="1262"/>
        <v>ANNAPOLIS</v>
      </c>
      <c r="J3125" t="str">
        <f t="shared" si="1263"/>
        <v>MD</v>
      </c>
      <c r="K3125" t="str">
        <f>T("4102935145")</f>
        <v>4102935145</v>
      </c>
      <c r="L3125" t="str">
        <f>T("4102935188")</f>
        <v>4102935188</v>
      </c>
    </row>
    <row r="3126" spans="1:12" x14ac:dyDescent="0.35">
      <c r="A3126" t="str">
        <f t="shared" si="1256"/>
        <v>US NAVAL ACADEMY</v>
      </c>
      <c r="B3126" t="str">
        <f>T("ENG/WPNS/RICKOVER HALL RM 1")</f>
        <v>ENG/WPNS/RICKOVER HALL RM 1</v>
      </c>
      <c r="C3126" t="str">
        <f t="shared" si="1264"/>
        <v>590 HOLLOWAY RD</v>
      </c>
      <c r="D3126" t="str">
        <f t="shared" si="1259"/>
        <v>ANNAPOLIS</v>
      </c>
      <c r="E3126" t="str">
        <f t="shared" si="1260"/>
        <v>MD</v>
      </c>
      <c r="F3126" t="str">
        <f t="shared" si="1265"/>
        <v>214021314</v>
      </c>
      <c r="G3126" t="str">
        <f>T("TECH SUP/ENG &amp; WPNS DIV")</f>
        <v>TECH SUP/ENG &amp; WPNS DIV</v>
      </c>
      <c r="H3126" t="str">
        <f>T("590 HOLLOWAY ROAD")</f>
        <v>590 HOLLOWAY ROAD</v>
      </c>
      <c r="I3126" t="str">
        <f t="shared" si="1262"/>
        <v>ANNAPOLIS</v>
      </c>
      <c r="J3126" t="str">
        <f t="shared" si="1263"/>
        <v>MD</v>
      </c>
      <c r="K3126" t="str">
        <f>T("000000000000000000")</f>
        <v>000000000000000000</v>
      </c>
      <c r="L3126" t="str">
        <f>T("4102936418")</f>
        <v>4102936418</v>
      </c>
    </row>
    <row r="3127" spans="1:12" x14ac:dyDescent="0.35">
      <c r="A3127" t="str">
        <f t="shared" si="1256"/>
        <v>US NAVAL ACADEMY</v>
      </c>
      <c r="B3127" t="str">
        <f>T("ENG/WPNS/RICKOVER HALL RM 1")</f>
        <v>ENG/WPNS/RICKOVER HALL RM 1</v>
      </c>
      <c r="C3127" t="str">
        <f t="shared" si="1264"/>
        <v>590 HOLLOWAY RD</v>
      </c>
      <c r="D3127" t="str">
        <f t="shared" si="1259"/>
        <v>ANNAPOLIS</v>
      </c>
      <c r="E3127" t="str">
        <f t="shared" si="1260"/>
        <v>MD</v>
      </c>
      <c r="F3127" t="str">
        <f t="shared" si="1265"/>
        <v>214021314</v>
      </c>
      <c r="G3127" t="str">
        <f>T("TSD/PROPULSION- RICKOVER 76")</f>
        <v>TSD/PROPULSION- RICKOVER 76</v>
      </c>
      <c r="H3127" t="str">
        <f>T("590 HOLLOWAY RD")</f>
        <v>590 HOLLOWAY RD</v>
      </c>
      <c r="I3127" t="str">
        <f t="shared" si="1262"/>
        <v>ANNAPOLIS</v>
      </c>
      <c r="J3127" t="str">
        <f t="shared" si="1263"/>
        <v>MD</v>
      </c>
      <c r="K3127" t="str">
        <f>T("4102935189")</f>
        <v>4102935189</v>
      </c>
      <c r="L3127" t="str">
        <f>T("4102935137")</f>
        <v>4102935137</v>
      </c>
    </row>
    <row r="3128" spans="1:12" x14ac:dyDescent="0.35">
      <c r="A3128" t="str">
        <f t="shared" si="1256"/>
        <v>US NAVAL ACADEMY</v>
      </c>
      <c r="B3128" t="str">
        <f t="shared" ref="B3128:B3133" si="1266">T("FINANCE/SUPPLY BANCROFT 4002")</f>
        <v>FINANCE/SUPPLY BANCROFT 4002</v>
      </c>
      <c r="C3128" t="str">
        <f t="shared" ref="C3128:C3133" si="1267">T("101 BUCHANAN RD")</f>
        <v>101 BUCHANAN RD</v>
      </c>
      <c r="D3128" t="str">
        <f t="shared" si="1259"/>
        <v>ANNAPOLIS</v>
      </c>
      <c r="E3128" t="str">
        <f t="shared" si="1260"/>
        <v>MD</v>
      </c>
      <c r="F3128" t="str">
        <f t="shared" ref="F3128:F3133" si="1268">T("214025107")</f>
        <v>214025107</v>
      </c>
      <c r="G3128" t="str">
        <f>T("CDT- BANCROFT HALL RM 4109A")</f>
        <v>CDT- BANCROFT HALL RM 4109A</v>
      </c>
      <c r="H3128" t="str">
        <f>T("101 BUCHANAN RD")</f>
        <v>101 BUCHANAN RD</v>
      </c>
      <c r="I3128" t="str">
        <f t="shared" si="1262"/>
        <v>ANNAPOLIS</v>
      </c>
      <c r="J3128" t="str">
        <f t="shared" si="1263"/>
        <v>MD</v>
      </c>
      <c r="K3128" t="str">
        <f>T("000000000000000000")</f>
        <v>000000000000000000</v>
      </c>
      <c r="L3128" t="str">
        <f>T("4102931928")</f>
        <v>4102931928</v>
      </c>
    </row>
    <row r="3129" spans="1:12" x14ac:dyDescent="0.35">
      <c r="A3129" t="str">
        <f t="shared" si="1256"/>
        <v>US NAVAL ACADEMY</v>
      </c>
      <c r="B3129" t="str">
        <f t="shared" si="1266"/>
        <v>FINANCE/SUPPLY BANCROFT 4002</v>
      </c>
      <c r="C3129" t="str">
        <f t="shared" si="1267"/>
        <v>101 BUCHANAN RD</v>
      </c>
      <c r="D3129" t="str">
        <f t="shared" si="1259"/>
        <v>ANNAPOLIS</v>
      </c>
      <c r="E3129" t="str">
        <f t="shared" si="1260"/>
        <v>MD</v>
      </c>
      <c r="F3129" t="str">
        <f t="shared" si="1268"/>
        <v>214025107</v>
      </c>
      <c r="G3129" t="str">
        <f>T("CHAPLAINS CTR/MITSCHER HALL RM 205")</f>
        <v>CHAPLAINS CTR/MITSCHER HALL RM 205</v>
      </c>
      <c r="H3129" t="str">
        <f>T("101 COOPER ROAD")</f>
        <v>101 COOPER ROAD</v>
      </c>
      <c r="I3129" t="str">
        <f t="shared" si="1262"/>
        <v>ANNAPOLIS</v>
      </c>
      <c r="J3129" t="str">
        <f t="shared" si="1263"/>
        <v>MD</v>
      </c>
      <c r="K3129" t="str">
        <f>T("4102934809")</f>
        <v>4102934809</v>
      </c>
      <c r="L3129" t="str">
        <f>T("4102931100")</f>
        <v>4102931100</v>
      </c>
    </row>
    <row r="3130" spans="1:12" x14ac:dyDescent="0.35">
      <c r="A3130" t="str">
        <f t="shared" si="1256"/>
        <v>US NAVAL ACADEMY</v>
      </c>
      <c r="B3130" t="str">
        <f t="shared" si="1266"/>
        <v>FINANCE/SUPPLY BANCROFT 4002</v>
      </c>
      <c r="C3130" t="str">
        <f t="shared" si="1267"/>
        <v>101 BUCHANAN RD</v>
      </c>
      <c r="D3130" t="str">
        <f t="shared" si="1259"/>
        <v>ANNAPOLIS</v>
      </c>
      <c r="E3130" t="str">
        <f t="shared" si="1260"/>
        <v>MD</v>
      </c>
      <c r="F3130" t="str">
        <f t="shared" si="1268"/>
        <v>214025107</v>
      </c>
      <c r="G3130" t="str">
        <f>T("CMDT FACILITIES- BH- RM 4B07")</f>
        <v>CMDT FACILITIES- BH- RM 4B07</v>
      </c>
      <c r="H3130" t="str">
        <f>T("101 BUCHANAN ROAD")</f>
        <v>101 BUCHANAN ROAD</v>
      </c>
      <c r="I3130" t="str">
        <f t="shared" si="1262"/>
        <v>ANNAPOLIS</v>
      </c>
      <c r="J3130" t="str">
        <f t="shared" si="1263"/>
        <v>MD</v>
      </c>
      <c r="K3130" t="str">
        <f>T("4102937220")</f>
        <v>4102937220</v>
      </c>
      <c r="L3130" t="str">
        <f>T("4102932705")</f>
        <v>4102932705</v>
      </c>
    </row>
    <row r="3131" spans="1:12" x14ac:dyDescent="0.35">
      <c r="A3131" t="str">
        <f t="shared" si="1256"/>
        <v>US NAVAL ACADEMY</v>
      </c>
      <c r="B3131" t="str">
        <f t="shared" si="1266"/>
        <v>FINANCE/SUPPLY BANCROFT 4002</v>
      </c>
      <c r="C3131" t="str">
        <f t="shared" si="1267"/>
        <v>101 BUCHANAN RD</v>
      </c>
      <c r="D3131" t="str">
        <f t="shared" si="1259"/>
        <v>ANNAPOLIS</v>
      </c>
      <c r="E3131" t="str">
        <f t="shared" si="1260"/>
        <v>MD</v>
      </c>
      <c r="F3131" t="str">
        <f t="shared" si="1268"/>
        <v>214025107</v>
      </c>
      <c r="G3131" t="str">
        <f>T("CMDT FINANCE BANCROFT RM 4002A")</f>
        <v>CMDT FINANCE BANCROFT RM 4002A</v>
      </c>
      <c r="H3131" t="str">
        <f>T("101 BUCHANAN ROAD")</f>
        <v>101 BUCHANAN ROAD</v>
      </c>
      <c r="I3131" t="str">
        <f t="shared" si="1262"/>
        <v>ANNAPOLIS</v>
      </c>
      <c r="J3131" t="str">
        <f t="shared" si="1263"/>
        <v>MD</v>
      </c>
      <c r="K3131" t="str">
        <f>T("4102933299")</f>
        <v>4102933299</v>
      </c>
      <c r="L3131" t="str">
        <f>T("4102933305")</f>
        <v>4102933305</v>
      </c>
    </row>
    <row r="3132" spans="1:12" x14ac:dyDescent="0.35">
      <c r="A3132" t="str">
        <f t="shared" si="1256"/>
        <v>US NAVAL ACADEMY</v>
      </c>
      <c r="B3132" t="str">
        <f t="shared" si="1266"/>
        <v>FINANCE/SUPPLY BANCROFT 4002</v>
      </c>
      <c r="C3132" t="str">
        <f t="shared" si="1267"/>
        <v>101 BUCHANAN RD</v>
      </c>
      <c r="D3132" t="str">
        <f t="shared" si="1259"/>
        <v>ANNAPOLIS</v>
      </c>
      <c r="E3132" t="str">
        <f t="shared" si="1260"/>
        <v>MD</v>
      </c>
      <c r="F3132" t="str">
        <f t="shared" si="1268"/>
        <v>214025107</v>
      </c>
      <c r="G3132" t="str">
        <f>T("FINANCE/SUPPLY BANCROFT 4002")</f>
        <v>FINANCE/SUPPLY BANCROFT 4002</v>
      </c>
      <c r="H3132" t="str">
        <f>T("101 BUCHANAN RD")</f>
        <v>101 BUCHANAN RD</v>
      </c>
      <c r="I3132" t="str">
        <f t="shared" si="1262"/>
        <v>ANNAPOLIS</v>
      </c>
      <c r="J3132" t="str">
        <f t="shared" si="1263"/>
        <v>MD</v>
      </c>
      <c r="K3132" t="str">
        <f>T("410-293-3299")</f>
        <v>410-293-3299</v>
      </c>
      <c r="L3132" t="str">
        <f>T("4102937017")</f>
        <v>4102937017</v>
      </c>
    </row>
    <row r="3133" spans="1:12" x14ac:dyDescent="0.35">
      <c r="A3133" t="str">
        <f t="shared" si="1256"/>
        <v>US NAVAL ACADEMY</v>
      </c>
      <c r="B3133" t="str">
        <f t="shared" si="1266"/>
        <v>FINANCE/SUPPLY BANCROFT 4002</v>
      </c>
      <c r="C3133" t="str">
        <f t="shared" si="1267"/>
        <v>101 BUCHANAN RD</v>
      </c>
      <c r="D3133" t="str">
        <f t="shared" si="1259"/>
        <v>ANNAPOLIS</v>
      </c>
      <c r="E3133" t="str">
        <f t="shared" si="1260"/>
        <v>MD</v>
      </c>
      <c r="F3133" t="str">
        <f t="shared" si="1268"/>
        <v>214025107</v>
      </c>
      <c r="G3133" t="str">
        <f>T("MFSD BANCROFT HALL D101")</f>
        <v>MFSD BANCROFT HALL D101</v>
      </c>
      <c r="H3133" t="str">
        <f>T("101 BUCHANAN RD")</f>
        <v>101 BUCHANAN RD</v>
      </c>
      <c r="I3133" t="str">
        <f t="shared" si="1262"/>
        <v>ANNAPOLIS</v>
      </c>
      <c r="J3133" t="str">
        <f t="shared" si="1263"/>
        <v>MD</v>
      </c>
      <c r="K3133" t="str">
        <f>T("000000000000000000")</f>
        <v>000000000000000000</v>
      </c>
      <c r="L3133" t="str">
        <f>T("4102937158")</f>
        <v>4102937158</v>
      </c>
    </row>
    <row r="3134" spans="1:12" x14ac:dyDescent="0.35">
      <c r="A3134" t="str">
        <f t="shared" si="1256"/>
        <v>US NAVAL ACADEMY</v>
      </c>
      <c r="B3134" t="str">
        <f t="shared" ref="B3134:B3139" si="1269">T("HUM/SS ECONOMICS")</f>
        <v>HUM/SS ECONOMICS</v>
      </c>
      <c r="C3134" t="str">
        <f t="shared" ref="C3134:C3139" si="1270">T("589 MCNAIR ROAD")</f>
        <v>589 MCNAIR ROAD</v>
      </c>
      <c r="D3134" t="str">
        <f t="shared" si="1259"/>
        <v>ANNAPOLIS</v>
      </c>
      <c r="E3134" t="str">
        <f t="shared" si="1260"/>
        <v>MD</v>
      </c>
      <c r="F3134" t="str">
        <f t="shared" ref="F3134:F3139" si="1271">T("214021323")</f>
        <v>214021323</v>
      </c>
      <c r="G3134" t="str">
        <f>T("ACDEAN/HUMSS")</f>
        <v>ACDEAN/HUMSS</v>
      </c>
      <c r="H3134" t="str">
        <f>T("589 MCNAIR ROAD")</f>
        <v>589 MCNAIR ROAD</v>
      </c>
      <c r="I3134" t="str">
        <f t="shared" si="1262"/>
        <v>ANNAPOLIS</v>
      </c>
      <c r="J3134" t="str">
        <f t="shared" si="1263"/>
        <v>MD</v>
      </c>
      <c r="K3134" t="str">
        <f>T("4102932729")</f>
        <v>4102932729</v>
      </c>
      <c r="L3134" t="str">
        <f>T("4102936350")</f>
        <v>4102936350</v>
      </c>
    </row>
    <row r="3135" spans="1:12" x14ac:dyDescent="0.35">
      <c r="A3135" t="str">
        <f t="shared" si="1256"/>
        <v>US NAVAL ACADEMY</v>
      </c>
      <c r="B3135" t="str">
        <f t="shared" si="1269"/>
        <v>HUM/SS ECONOMICS</v>
      </c>
      <c r="C3135" t="str">
        <f t="shared" si="1270"/>
        <v>589 MCNAIR ROAD</v>
      </c>
      <c r="D3135" t="str">
        <f t="shared" si="1259"/>
        <v>ANNAPOLIS</v>
      </c>
      <c r="E3135" t="str">
        <f t="shared" si="1260"/>
        <v>MD</v>
      </c>
      <c r="F3135" t="str">
        <f t="shared" si="1271"/>
        <v>214021323</v>
      </c>
      <c r="G3135" t="str">
        <f>T("HISTORY-SAMPSON-RM 325")</f>
        <v>HISTORY-SAMPSON-RM 325</v>
      </c>
      <c r="H3135" t="str">
        <f>T("107 MARYLAND AVE")</f>
        <v>107 MARYLAND AVE</v>
      </c>
      <c r="I3135" t="str">
        <f t="shared" si="1262"/>
        <v>ANNAPOLIS</v>
      </c>
      <c r="J3135" t="str">
        <f t="shared" si="1263"/>
        <v>MD</v>
      </c>
      <c r="K3135" t="str">
        <f>T("000000000000000000")</f>
        <v>000000000000000000</v>
      </c>
      <c r="L3135" t="str">
        <f>T("4102936250")</f>
        <v>4102936250</v>
      </c>
    </row>
    <row r="3136" spans="1:12" x14ac:dyDescent="0.35">
      <c r="A3136" t="str">
        <f t="shared" si="1256"/>
        <v>US NAVAL ACADEMY</v>
      </c>
      <c r="B3136" t="str">
        <f t="shared" si="1269"/>
        <v>HUM/SS ECONOMICS</v>
      </c>
      <c r="C3136" t="str">
        <f t="shared" si="1270"/>
        <v>589 MCNAIR ROAD</v>
      </c>
      <c r="D3136" t="str">
        <f t="shared" si="1259"/>
        <v>ANNAPOLIS</v>
      </c>
      <c r="E3136" t="str">
        <f t="shared" si="1260"/>
        <v>MD</v>
      </c>
      <c r="F3136" t="str">
        <f t="shared" si="1271"/>
        <v>214021323</v>
      </c>
      <c r="G3136" t="str">
        <f>T("HUM/SS ECONOMICS")</f>
        <v>HUM/SS ECONOMICS</v>
      </c>
      <c r="H3136" t="str">
        <f>T("589 MCNAIR ROAD")</f>
        <v>589 MCNAIR ROAD</v>
      </c>
      <c r="I3136" t="str">
        <f t="shared" si="1262"/>
        <v>ANNAPOLIS</v>
      </c>
      <c r="J3136" t="str">
        <f t="shared" si="1263"/>
        <v>MD</v>
      </c>
      <c r="K3136" t="str">
        <f>T("000000000000000000")</f>
        <v>000000000000000000</v>
      </c>
      <c r="L3136" t="str">
        <f>T("4102936880")</f>
        <v>4102936880</v>
      </c>
    </row>
    <row r="3137" spans="1:12" x14ac:dyDescent="0.35">
      <c r="A3137" t="str">
        <f t="shared" si="1256"/>
        <v>US NAVAL ACADEMY</v>
      </c>
      <c r="B3137" t="str">
        <f t="shared" si="1269"/>
        <v>HUM/SS ECONOMICS</v>
      </c>
      <c r="C3137" t="str">
        <f t="shared" si="1270"/>
        <v>589 MCNAIR ROAD</v>
      </c>
      <c r="D3137" t="str">
        <f t="shared" si="1259"/>
        <v>ANNAPOLIS</v>
      </c>
      <c r="E3137" t="str">
        <f t="shared" si="1260"/>
        <v>MD</v>
      </c>
      <c r="F3137" t="str">
        <f t="shared" si="1271"/>
        <v>214021323</v>
      </c>
      <c r="G3137" t="str">
        <f>T("HUM/SS ECONOMICS")</f>
        <v>HUM/SS ECONOMICS</v>
      </c>
      <c r="H3137" t="str">
        <f>T("589 MCNAIR ROAD")</f>
        <v>589 MCNAIR ROAD</v>
      </c>
      <c r="I3137" t="str">
        <f t="shared" si="1262"/>
        <v>ANNAPOLIS</v>
      </c>
      <c r="J3137" t="str">
        <f t="shared" si="1263"/>
        <v>MD</v>
      </c>
      <c r="K3137" t="str">
        <f>T("410-293-6899")</f>
        <v>410-293-6899</v>
      </c>
      <c r="L3137" t="str">
        <f>T("4102935384")</f>
        <v>4102935384</v>
      </c>
    </row>
    <row r="3138" spans="1:12" x14ac:dyDescent="0.35">
      <c r="A3138" t="str">
        <f t="shared" si="1256"/>
        <v>US NAVAL ACADEMY</v>
      </c>
      <c r="B3138" t="str">
        <f t="shared" si="1269"/>
        <v>HUM/SS ECONOMICS</v>
      </c>
      <c r="C3138" t="str">
        <f t="shared" si="1270"/>
        <v>589 MCNAIR ROAD</v>
      </c>
      <c r="D3138" t="str">
        <f t="shared" si="1259"/>
        <v>ANNAPOLIS</v>
      </c>
      <c r="E3138" t="str">
        <f t="shared" si="1260"/>
        <v>MD</v>
      </c>
      <c r="F3138" t="str">
        <f t="shared" si="1271"/>
        <v>214021323</v>
      </c>
      <c r="G3138" t="str">
        <f>T("HUM/SS POLI SCI DEPT")</f>
        <v>HUM/SS POLI SCI DEPT</v>
      </c>
      <c r="H3138" t="str">
        <f>T("589 MCNAIR ROAD")</f>
        <v>589 MCNAIR ROAD</v>
      </c>
      <c r="I3138" t="str">
        <f t="shared" si="1262"/>
        <v>ANNAPOLIS</v>
      </c>
      <c r="J3138" t="str">
        <f t="shared" si="1263"/>
        <v>MD</v>
      </c>
      <c r="K3138" t="str">
        <f>T("000000000000000000")</f>
        <v>000000000000000000</v>
      </c>
      <c r="L3138" t="str">
        <f>T("4102936850")</f>
        <v>4102936850</v>
      </c>
    </row>
    <row r="3139" spans="1:12" x14ac:dyDescent="0.35">
      <c r="A3139" t="str">
        <f t="shared" ref="A3139:A3170" si="1272">T("US NAVAL ACADEMY")</f>
        <v>US NAVAL ACADEMY</v>
      </c>
      <c r="B3139" t="str">
        <f t="shared" si="1269"/>
        <v>HUM/SS ECONOMICS</v>
      </c>
      <c r="C3139" t="str">
        <f t="shared" si="1270"/>
        <v>589 MCNAIR ROAD</v>
      </c>
      <c r="D3139" t="str">
        <f t="shared" si="1259"/>
        <v>ANNAPOLIS</v>
      </c>
      <c r="E3139" t="str">
        <f t="shared" si="1260"/>
        <v>MD</v>
      </c>
      <c r="F3139" t="str">
        <f t="shared" si="1271"/>
        <v>214021323</v>
      </c>
      <c r="G3139" t="str">
        <f>T("SAMPSON HALL - RM 250")</f>
        <v>SAMPSON HALL - RM 250</v>
      </c>
      <c r="H3139" t="str">
        <f>T("107 MARYLAND AVE")</f>
        <v>107 MARYLAND AVE</v>
      </c>
      <c r="I3139" t="str">
        <f t="shared" si="1262"/>
        <v>ANNAPOLIS</v>
      </c>
      <c r="J3139" t="str">
        <f t="shared" si="1263"/>
        <v>MD</v>
      </c>
      <c r="K3139" t="str">
        <f>T("4102933225")</f>
        <v>4102933225</v>
      </c>
      <c r="L3139" t="str">
        <f>T("4102936200")</f>
        <v>4102936200</v>
      </c>
    </row>
    <row r="3140" spans="1:12" x14ac:dyDescent="0.35">
      <c r="A3140" t="str">
        <f t="shared" si="1272"/>
        <v>US NAVAL ACADEMY</v>
      </c>
      <c r="B3140" t="str">
        <f>T("HYDRO LAB RICKOVER RM 48")</f>
        <v>HYDRO LAB RICKOVER RM 48</v>
      </c>
      <c r="C3140" t="str">
        <f>T("590 HOLLOWAY RD")</f>
        <v>590 HOLLOWAY RD</v>
      </c>
      <c r="D3140" t="str">
        <f t="shared" si="1259"/>
        <v>ANNAPOLIS</v>
      </c>
      <c r="E3140" t="str">
        <f t="shared" si="1260"/>
        <v>MD</v>
      </c>
      <c r="F3140" t="str">
        <f>T("214021314")</f>
        <v>214021314</v>
      </c>
      <c r="G3140" t="str">
        <f>T("ENG  WPNS- RICKOVER- 48C")</f>
        <v>ENG  WPNS- RICKOVER- 48C</v>
      </c>
      <c r="H3140" t="str">
        <f>T("121 BLAKE ROAD")</f>
        <v>121 BLAKE ROAD</v>
      </c>
      <c r="I3140" t="str">
        <f t="shared" si="1262"/>
        <v>ANNAPOLIS</v>
      </c>
      <c r="J3140" t="str">
        <f t="shared" si="1263"/>
        <v>MD</v>
      </c>
      <c r="K3140" t="str">
        <f>T("000000000000000000")</f>
        <v>000000000000000000</v>
      </c>
      <c r="L3140" t="str">
        <f>T("4102935103")</f>
        <v>4102935103</v>
      </c>
    </row>
    <row r="3141" spans="1:12" x14ac:dyDescent="0.35">
      <c r="A3141" t="str">
        <f t="shared" si="1272"/>
        <v>US NAVAL ACADEMY</v>
      </c>
      <c r="B3141" t="str">
        <f>T("HYDRO LAB RICKOVER RM 48")</f>
        <v>HYDRO LAB RICKOVER RM 48</v>
      </c>
      <c r="C3141" t="str">
        <f>T("590 HOLLOWAY RD")</f>
        <v>590 HOLLOWAY RD</v>
      </c>
      <c r="D3141" t="str">
        <f t="shared" si="1259"/>
        <v>ANNAPOLIS</v>
      </c>
      <c r="E3141" t="str">
        <f t="shared" si="1260"/>
        <v>MD</v>
      </c>
      <c r="F3141" t="str">
        <f>T("214021314")</f>
        <v>214021314</v>
      </c>
      <c r="G3141" t="str">
        <f>T("HYDRO LAB RICKOVER RM 48")</f>
        <v>HYDRO LAB RICKOVER RM 48</v>
      </c>
      <c r="H3141" t="str">
        <f>T("590 HOLLOWAY RD")</f>
        <v>590 HOLLOWAY RD</v>
      </c>
      <c r="I3141" t="str">
        <f t="shared" si="1262"/>
        <v>ANNAPOLIS</v>
      </c>
      <c r="J3141" t="str">
        <f t="shared" si="1263"/>
        <v>MD</v>
      </c>
      <c r="K3141" t="str">
        <f>T("4102935848")</f>
        <v>4102935848</v>
      </c>
      <c r="L3141" t="str">
        <f>T("4102935102")</f>
        <v>4102935102</v>
      </c>
    </row>
    <row r="3142" spans="1:12" x14ac:dyDescent="0.35">
      <c r="A3142" t="str">
        <f t="shared" si="1272"/>
        <v>US NAVAL ACADEMY</v>
      </c>
      <c r="B3142" t="str">
        <f>T("HYDRO LAB RICKOVER RM 48")</f>
        <v>HYDRO LAB RICKOVER RM 48</v>
      </c>
      <c r="C3142" t="str">
        <f>T("590 HOLLOWAY RD")</f>
        <v>590 HOLLOWAY RD</v>
      </c>
      <c r="D3142" t="str">
        <f t="shared" ref="D3142:D3173" si="1273">T("ANNAPOLIS")</f>
        <v>ANNAPOLIS</v>
      </c>
      <c r="E3142" t="str">
        <f t="shared" ref="E3142:E3173" si="1274">T("MD")</f>
        <v>MD</v>
      </c>
      <c r="F3142" t="str">
        <f>T("214021314")</f>
        <v>214021314</v>
      </c>
      <c r="G3142" t="str">
        <f>T("RICKOVER HALL RM H48")</f>
        <v>RICKOVER HALL RM H48</v>
      </c>
      <c r="H3142" t="str">
        <f>T("590 HOLLOWAY RD")</f>
        <v>590 HOLLOWAY RD</v>
      </c>
      <c r="I3142" t="str">
        <f t="shared" ref="I3142:I3173" si="1275">T("ANNAPOLIS")</f>
        <v>ANNAPOLIS</v>
      </c>
      <c r="J3142" t="str">
        <f t="shared" ref="J3142:J3173" si="1276">T("MD")</f>
        <v>MD</v>
      </c>
      <c r="K3142" t="str">
        <f>T("000000000000000000")</f>
        <v>000000000000000000</v>
      </c>
      <c r="L3142" t="str">
        <f>T("4102935105")</f>
        <v>4102935105</v>
      </c>
    </row>
    <row r="3143" spans="1:12" x14ac:dyDescent="0.35">
      <c r="A3143" t="str">
        <f t="shared" si="1272"/>
        <v>US NAVAL ACADEMY</v>
      </c>
      <c r="B3143" t="str">
        <f t="shared" ref="B3143:B3148" si="1277">T("INFORMATION TECHNOLOGY SERVICES")</f>
        <v>INFORMATION TECHNOLOGY SERVICES</v>
      </c>
      <c r="C3143" t="str">
        <f t="shared" ref="C3143:C3148" si="1278">T("290 BUCHANAN RD")</f>
        <v>290 BUCHANAN RD</v>
      </c>
      <c r="D3143" t="str">
        <f t="shared" si="1273"/>
        <v>ANNAPOLIS</v>
      </c>
      <c r="E3143" t="str">
        <f t="shared" si="1274"/>
        <v>MD</v>
      </c>
      <c r="F3143" t="str">
        <f t="shared" ref="F3143:F3148" si="1279">T("214021304")</f>
        <v>214021304</v>
      </c>
      <c r="G3143" t="str">
        <f>T("INFO TECH SVCS DIV")</f>
        <v>INFO TECH SVCS DIV</v>
      </c>
      <c r="H3143" t="str">
        <f>T("290 BUCHANAN RD RM 117")</f>
        <v>290 BUCHANAN RD RM 117</v>
      </c>
      <c r="I3143" t="str">
        <f t="shared" si="1275"/>
        <v>ANNAPOLIS</v>
      </c>
      <c r="J3143" t="str">
        <f t="shared" si="1276"/>
        <v>MD</v>
      </c>
      <c r="K3143" t="str">
        <f>T("000000000000000000")</f>
        <v>000000000000000000</v>
      </c>
      <c r="L3143" t="str">
        <f>T("4102931425")</f>
        <v>4102931425</v>
      </c>
    </row>
    <row r="3144" spans="1:12" x14ac:dyDescent="0.35">
      <c r="A3144" t="str">
        <f t="shared" si="1272"/>
        <v>US NAVAL ACADEMY</v>
      </c>
      <c r="B3144" t="str">
        <f t="shared" si="1277"/>
        <v>INFORMATION TECHNOLOGY SERVICES</v>
      </c>
      <c r="C3144" t="str">
        <f t="shared" si="1278"/>
        <v>290 BUCHANAN RD</v>
      </c>
      <c r="D3144" t="str">
        <f t="shared" si="1273"/>
        <v>ANNAPOLIS</v>
      </c>
      <c r="E3144" t="str">
        <f t="shared" si="1274"/>
        <v>MD</v>
      </c>
      <c r="F3144" t="str">
        <f t="shared" si="1279"/>
        <v>214021304</v>
      </c>
      <c r="G3144" t="str">
        <f>T("INFORMATION TECHNOLOGY SERVICES")</f>
        <v>INFORMATION TECHNOLOGY SERVICES</v>
      </c>
      <c r="H3144" t="str">
        <f>T("290 BUCHANAN RD")</f>
        <v>290 BUCHANAN RD</v>
      </c>
      <c r="I3144" t="str">
        <f t="shared" si="1275"/>
        <v>ANNAPOLIS</v>
      </c>
      <c r="J3144" t="str">
        <f t="shared" si="1276"/>
        <v>MD</v>
      </c>
      <c r="K3144" t="str">
        <f>T("")</f>
        <v/>
      </c>
      <c r="L3144" t="str">
        <f>T("4102931488")</f>
        <v>4102931488</v>
      </c>
    </row>
    <row r="3145" spans="1:12" x14ac:dyDescent="0.35">
      <c r="A3145" t="str">
        <f t="shared" si="1272"/>
        <v>US NAVAL ACADEMY</v>
      </c>
      <c r="B3145" t="str">
        <f t="shared" si="1277"/>
        <v>INFORMATION TECHNOLOGY SERVICES</v>
      </c>
      <c r="C3145" t="str">
        <f t="shared" si="1278"/>
        <v>290 BUCHANAN RD</v>
      </c>
      <c r="D3145" t="str">
        <f t="shared" si="1273"/>
        <v>ANNAPOLIS</v>
      </c>
      <c r="E3145" t="str">
        <f t="shared" si="1274"/>
        <v>MD</v>
      </c>
      <c r="F3145" t="str">
        <f t="shared" si="1279"/>
        <v>214021304</v>
      </c>
      <c r="G3145" t="str">
        <f>T("ITSA - WARD HALL RM 154")</f>
        <v>ITSA - WARD HALL RM 154</v>
      </c>
      <c r="H3145" t="str">
        <f>T("290 BUCHANAN RD")</f>
        <v>290 BUCHANAN RD</v>
      </c>
      <c r="I3145" t="str">
        <f t="shared" si="1275"/>
        <v>ANNAPOLIS</v>
      </c>
      <c r="J3145" t="str">
        <f t="shared" si="1276"/>
        <v>MD</v>
      </c>
      <c r="K3145" t="str">
        <f>T("4102931916")</f>
        <v>4102931916</v>
      </c>
      <c r="L3145" t="str">
        <f>T("4102931433")</f>
        <v>4102931433</v>
      </c>
    </row>
    <row r="3146" spans="1:12" x14ac:dyDescent="0.35">
      <c r="A3146" t="str">
        <f t="shared" si="1272"/>
        <v>US NAVAL ACADEMY</v>
      </c>
      <c r="B3146" t="str">
        <f t="shared" si="1277"/>
        <v>INFORMATION TECHNOLOGY SERVICES</v>
      </c>
      <c r="C3146" t="str">
        <f t="shared" si="1278"/>
        <v>290 BUCHANAN RD</v>
      </c>
      <c r="D3146" t="str">
        <f t="shared" si="1273"/>
        <v>ANNAPOLIS</v>
      </c>
      <c r="E3146" t="str">
        <f t="shared" si="1274"/>
        <v>MD</v>
      </c>
      <c r="F3146" t="str">
        <f t="shared" si="1279"/>
        <v>214021304</v>
      </c>
      <c r="G3146" t="str">
        <f>T("ITSD WARD HALL RM 112")</f>
        <v>ITSD WARD HALL RM 112</v>
      </c>
      <c r="H3146" t="str">
        <f>T("290 BUCHANAN RD")</f>
        <v>290 BUCHANAN RD</v>
      </c>
      <c r="I3146" t="str">
        <f t="shared" si="1275"/>
        <v>ANNAPOLIS</v>
      </c>
      <c r="J3146" t="str">
        <f t="shared" si="1276"/>
        <v>MD</v>
      </c>
      <c r="K3146" t="str">
        <f>T("4102933193")</f>
        <v>4102933193</v>
      </c>
      <c r="L3146" t="str">
        <f>T("4102931402")</f>
        <v>4102931402</v>
      </c>
    </row>
    <row r="3147" spans="1:12" x14ac:dyDescent="0.35">
      <c r="A3147" t="str">
        <f t="shared" si="1272"/>
        <v>US NAVAL ACADEMY</v>
      </c>
      <c r="B3147" t="str">
        <f t="shared" si="1277"/>
        <v>INFORMATION TECHNOLOGY SERVICES</v>
      </c>
      <c r="C3147" t="str">
        <f t="shared" si="1278"/>
        <v>290 BUCHANAN RD</v>
      </c>
      <c r="D3147" t="str">
        <f t="shared" si="1273"/>
        <v>ANNAPOLIS</v>
      </c>
      <c r="E3147" t="str">
        <f t="shared" si="1274"/>
        <v>MD</v>
      </c>
      <c r="F3147" t="str">
        <f t="shared" si="1279"/>
        <v>214021304</v>
      </c>
      <c r="G3147" t="str">
        <f>T("ITSD- WARD HALL")</f>
        <v>ITSD- WARD HALL</v>
      </c>
      <c r="H3147" t="str">
        <f>T("290 BUCHANAN RD")</f>
        <v>290 BUCHANAN RD</v>
      </c>
      <c r="I3147" t="str">
        <f t="shared" si="1275"/>
        <v>ANNAPOLIS</v>
      </c>
      <c r="J3147" t="str">
        <f t="shared" si="1276"/>
        <v>MD</v>
      </c>
      <c r="K3147" t="str">
        <f>T("4102933193")</f>
        <v>4102933193</v>
      </c>
      <c r="L3147" t="str">
        <f>T("4102931430")</f>
        <v>4102931430</v>
      </c>
    </row>
    <row r="3148" spans="1:12" x14ac:dyDescent="0.35">
      <c r="A3148" t="str">
        <f t="shared" si="1272"/>
        <v>US NAVAL ACADEMY</v>
      </c>
      <c r="B3148" t="str">
        <f t="shared" si="1277"/>
        <v>INFORMATION TECHNOLOGY SERVICES</v>
      </c>
      <c r="C3148" t="str">
        <f t="shared" si="1278"/>
        <v>290 BUCHANAN RD</v>
      </c>
      <c r="D3148" t="str">
        <f t="shared" si="1273"/>
        <v>ANNAPOLIS</v>
      </c>
      <c r="E3148" t="str">
        <f t="shared" si="1274"/>
        <v>MD</v>
      </c>
      <c r="F3148" t="str">
        <f t="shared" si="1279"/>
        <v>214021304</v>
      </c>
      <c r="G3148" t="str">
        <f>T("ITSD/WARD HALL G1")</f>
        <v>ITSD/WARD HALL G1</v>
      </c>
      <c r="H3148" t="str">
        <f>T("290 BUCHANAN RD")</f>
        <v>290 BUCHANAN RD</v>
      </c>
      <c r="I3148" t="str">
        <f t="shared" si="1275"/>
        <v>ANNAPOLIS</v>
      </c>
      <c r="J3148" t="str">
        <f t="shared" si="1276"/>
        <v>MD</v>
      </c>
      <c r="K3148" t="str">
        <f>T("4102933193")</f>
        <v>4102933193</v>
      </c>
      <c r="L3148" t="str">
        <f>T("4102931414")</f>
        <v>4102931414</v>
      </c>
    </row>
    <row r="3149" spans="1:12" x14ac:dyDescent="0.35">
      <c r="A3149" t="str">
        <f t="shared" si="1272"/>
        <v>US NAVAL ACADEMY</v>
      </c>
      <c r="B3149" t="str">
        <f>T("INTRNTNL PROG LEAHY RM 201")</f>
        <v>INTRNTNL PROG LEAHY RM 201</v>
      </c>
      <c r="C3149" t="str">
        <f>T("117 DECATURE RD")</f>
        <v>117 DECATURE RD</v>
      </c>
      <c r="D3149" t="str">
        <f t="shared" si="1273"/>
        <v>ANNAPOLIS</v>
      </c>
      <c r="E3149" t="str">
        <f t="shared" si="1274"/>
        <v>MD</v>
      </c>
      <c r="F3149" t="str">
        <f>T("214021370")</f>
        <v>214021370</v>
      </c>
      <c r="G3149" t="str">
        <f>T("CTR CYBER SECURITY LEAHY 303")</f>
        <v>CTR CYBER SECURITY LEAHY 303</v>
      </c>
      <c r="H3149" t="str">
        <f>T("117 DECATUR")</f>
        <v>117 DECATUR</v>
      </c>
      <c r="I3149" t="str">
        <f t="shared" si="1275"/>
        <v>ANNAPOLIS</v>
      </c>
      <c r="J3149" t="str">
        <f t="shared" si="1276"/>
        <v>MD</v>
      </c>
      <c r="K3149" t="str">
        <f>T("4102930940")</f>
        <v>4102930940</v>
      </c>
      <c r="L3149" t="str">
        <f>T("4102930930")</f>
        <v>4102930930</v>
      </c>
    </row>
    <row r="3150" spans="1:12" x14ac:dyDescent="0.35">
      <c r="A3150" t="str">
        <f t="shared" si="1272"/>
        <v>US NAVAL ACADEMY</v>
      </c>
      <c r="B3150" t="str">
        <f>T("INTRNTNL PROG LEAHY RM 201")</f>
        <v>INTRNTNL PROG LEAHY RM 201</v>
      </c>
      <c r="C3150" t="str">
        <f>T("117 DECATURE RD")</f>
        <v>117 DECATURE RD</v>
      </c>
      <c r="D3150" t="str">
        <f t="shared" si="1273"/>
        <v>ANNAPOLIS</v>
      </c>
      <c r="E3150" t="str">
        <f t="shared" si="1274"/>
        <v>MD</v>
      </c>
      <c r="F3150" t="str">
        <f>T("214021370")</f>
        <v>214021370</v>
      </c>
      <c r="G3150" t="str">
        <f>T("INTERNATIONAL PROGRAMS")</f>
        <v>INTERNATIONAL PROGRAMS</v>
      </c>
      <c r="H3150" t="str">
        <f>T("117 DECATUR RD")</f>
        <v>117 DECATUR RD</v>
      </c>
      <c r="I3150" t="str">
        <f t="shared" si="1275"/>
        <v>ANNAPOLIS</v>
      </c>
      <c r="J3150" t="str">
        <f t="shared" si="1276"/>
        <v>MD</v>
      </c>
      <c r="K3150" t="str">
        <f>T("000000000000000000")</f>
        <v>000000000000000000</v>
      </c>
      <c r="L3150" t="str">
        <f>T("4102932988")</f>
        <v>4102932988</v>
      </c>
    </row>
    <row r="3151" spans="1:12" x14ac:dyDescent="0.35">
      <c r="A3151" t="str">
        <f t="shared" si="1272"/>
        <v>US NAVAL ACADEMY</v>
      </c>
      <c r="B3151" t="str">
        <f>T("INTRNTNL PROG LEAHY RM 201")</f>
        <v>INTRNTNL PROG LEAHY RM 201</v>
      </c>
      <c r="C3151" t="str">
        <f>T("117 DECATURE RD")</f>
        <v>117 DECATURE RD</v>
      </c>
      <c r="D3151" t="str">
        <f t="shared" si="1273"/>
        <v>ANNAPOLIS</v>
      </c>
      <c r="E3151" t="str">
        <f t="shared" si="1274"/>
        <v>MD</v>
      </c>
      <c r="F3151" t="str">
        <f>T("214021370")</f>
        <v>214021370</v>
      </c>
      <c r="G3151" t="str">
        <f>T("INTRNTNL PROG LEAHY RM 201")</f>
        <v>INTRNTNL PROG LEAHY RM 201</v>
      </c>
      <c r="H3151" t="str">
        <f>T("117 DECATURE RD")</f>
        <v>117 DECATURE RD</v>
      </c>
      <c r="I3151" t="str">
        <f t="shared" si="1275"/>
        <v>ANNAPOLIS</v>
      </c>
      <c r="J3151" t="str">
        <f t="shared" si="1276"/>
        <v>MD</v>
      </c>
      <c r="K3151" t="str">
        <f>T("4102932985")</f>
        <v>4102932985</v>
      </c>
      <c r="L3151" t="str">
        <f>T("4102932986")</f>
        <v>4102932986</v>
      </c>
    </row>
    <row r="3152" spans="1:12" x14ac:dyDescent="0.35">
      <c r="A3152" t="str">
        <f t="shared" si="1272"/>
        <v>US NAVAL ACADEMY</v>
      </c>
      <c r="B3152" t="str">
        <f>T("INTRNTNL PROG LEAHY RM 201")</f>
        <v>INTRNTNL PROG LEAHY RM 201</v>
      </c>
      <c r="C3152" t="str">
        <f>T("117 DECATURE RD")</f>
        <v>117 DECATURE RD</v>
      </c>
      <c r="D3152" t="str">
        <f t="shared" si="1273"/>
        <v>ANNAPOLIS</v>
      </c>
      <c r="E3152" t="str">
        <f t="shared" si="1274"/>
        <v>MD</v>
      </c>
      <c r="F3152" t="str">
        <f>T("214021370")</f>
        <v>214021370</v>
      </c>
      <c r="G3152" t="str">
        <f>T("IPO- LEAHY RM 207")</f>
        <v>IPO- LEAHY RM 207</v>
      </c>
      <c r="H3152" t="str">
        <f>T("117 DECATUR ROAD")</f>
        <v>117 DECATUR ROAD</v>
      </c>
      <c r="I3152" t="str">
        <f t="shared" si="1275"/>
        <v>ANNAPOLIS</v>
      </c>
      <c r="J3152" t="str">
        <f t="shared" si="1276"/>
        <v>MD</v>
      </c>
      <c r="K3152" t="str">
        <f>T("4102932985")</f>
        <v>4102932985</v>
      </c>
      <c r="L3152" t="str">
        <f>T("4102932987")</f>
        <v>4102932987</v>
      </c>
    </row>
    <row r="3153" spans="1:12" x14ac:dyDescent="0.35">
      <c r="A3153" t="str">
        <f t="shared" si="1272"/>
        <v>US NAVAL ACADEMY</v>
      </c>
      <c r="B3153" t="str">
        <f>T("MATHEMATICS/CHAUVENET 359")</f>
        <v>MATHEMATICS/CHAUVENET 359</v>
      </c>
      <c r="C3153" t="str">
        <f>T("121 BLAKE ROAD")</f>
        <v>121 BLAKE ROAD</v>
      </c>
      <c r="D3153" t="str">
        <f t="shared" si="1273"/>
        <v>ANNAPOLIS</v>
      </c>
      <c r="E3153" t="str">
        <f t="shared" si="1274"/>
        <v>MD</v>
      </c>
      <c r="F3153" t="str">
        <f>T("214021300")</f>
        <v>214021300</v>
      </c>
      <c r="G3153" t="str">
        <f>T("COMPUTER SCIENCE-MICHELSON RM 346")</f>
        <v>COMPUTER SCIENCE-MICHELSON RM 346</v>
      </c>
      <c r="H3153" t="str">
        <f>T("572 M HOLLOWAY ROAD")</f>
        <v>572 M HOLLOWAY ROAD</v>
      </c>
      <c r="I3153" t="str">
        <f t="shared" si="1275"/>
        <v>ANNAPOLIS</v>
      </c>
      <c r="J3153" t="str">
        <f t="shared" si="1276"/>
        <v>MD</v>
      </c>
      <c r="K3153" t="str">
        <f>T("4102932686")</f>
        <v>4102932686</v>
      </c>
      <c r="L3153" t="str">
        <f>T("4102936800")</f>
        <v>4102936800</v>
      </c>
    </row>
    <row r="3154" spans="1:12" x14ac:dyDescent="0.35">
      <c r="A3154" t="str">
        <f t="shared" si="1272"/>
        <v>US NAVAL ACADEMY</v>
      </c>
      <c r="B3154" t="str">
        <f>T("MATHEMATICS/CHAUVENET 359")</f>
        <v>MATHEMATICS/CHAUVENET 359</v>
      </c>
      <c r="C3154" t="str">
        <f>T("121 BLAKE ROAD")</f>
        <v>121 BLAKE ROAD</v>
      </c>
      <c r="D3154" t="str">
        <f t="shared" si="1273"/>
        <v>ANNAPOLIS</v>
      </c>
      <c r="E3154" t="str">
        <f t="shared" si="1274"/>
        <v>MD</v>
      </c>
      <c r="F3154" t="str">
        <f>T("214021300")</f>
        <v>214021300</v>
      </c>
      <c r="G3154" t="str">
        <f>T("MATHEMATICS/CHAUVENET 359")</f>
        <v>MATHEMATICS/CHAUVENET 359</v>
      </c>
      <c r="H3154" t="str">
        <f>T("121 BLAKE ROAD")</f>
        <v>121 BLAKE ROAD</v>
      </c>
      <c r="I3154" t="str">
        <f t="shared" si="1275"/>
        <v>ANNAPOLIS</v>
      </c>
      <c r="J3154" t="str">
        <f t="shared" si="1276"/>
        <v>MD</v>
      </c>
      <c r="K3154" t="str">
        <f>T("000000000000000000")</f>
        <v>000000000000000000</v>
      </c>
      <c r="L3154" t="str">
        <f>T("4102936781")</f>
        <v>4102936781</v>
      </c>
    </row>
    <row r="3155" spans="1:12" x14ac:dyDescent="0.35">
      <c r="A3155" t="str">
        <f t="shared" si="1272"/>
        <v>US NAVAL ACADEMY</v>
      </c>
      <c r="B3155" t="str">
        <f>T("MATHEMATICS/CHAUVENET 359")</f>
        <v>MATHEMATICS/CHAUVENET 359</v>
      </c>
      <c r="C3155" t="str">
        <f>T("121 BLAKE ROAD")</f>
        <v>121 BLAKE ROAD</v>
      </c>
      <c r="D3155" t="str">
        <f t="shared" si="1273"/>
        <v>ANNAPOLIS</v>
      </c>
      <c r="E3155" t="str">
        <f t="shared" si="1274"/>
        <v>MD</v>
      </c>
      <c r="F3155" t="str">
        <f>T("214021300")</f>
        <v>214021300</v>
      </c>
      <c r="G3155" t="str">
        <f>T("PHYSICS DEPT CHAUVENET RM 266")</f>
        <v>PHYSICS DEPT CHAUVENET RM 266</v>
      </c>
      <c r="H3155" t="str">
        <f>T("572 HOLLOWAY RD STE C")</f>
        <v>572 HOLLOWAY RD STE C</v>
      </c>
      <c r="I3155" t="str">
        <f t="shared" si="1275"/>
        <v>ANNAPOLIS</v>
      </c>
      <c r="J3155" t="str">
        <f t="shared" si="1276"/>
        <v>MD</v>
      </c>
      <c r="K3155" t="str">
        <f>T("41102933729")</f>
        <v>41102933729</v>
      </c>
      <c r="L3155" t="str">
        <f>T("4102936650")</f>
        <v>4102936650</v>
      </c>
    </row>
    <row r="3156" spans="1:12" x14ac:dyDescent="0.35">
      <c r="A3156" t="str">
        <f t="shared" si="1272"/>
        <v>US NAVAL ACADEMY</v>
      </c>
      <c r="B3156" t="str">
        <f>T("MATHEMATICS/CHAUVENET 359")</f>
        <v>MATHEMATICS/CHAUVENET 359</v>
      </c>
      <c r="C3156" t="str">
        <f>T("121 BLAKE ROAD")</f>
        <v>121 BLAKE ROAD</v>
      </c>
      <c r="D3156" t="str">
        <f t="shared" si="1273"/>
        <v>ANNAPOLIS</v>
      </c>
      <c r="E3156" t="str">
        <f t="shared" si="1274"/>
        <v>MD</v>
      </c>
      <c r="F3156" t="str">
        <f>T("214021300")</f>
        <v>214021300</v>
      </c>
      <c r="G3156" t="str">
        <f>T("PHYSICS/MATH  SCIENCE CH-003")</f>
        <v>PHYSICS/MATH  SCIENCE CH-003</v>
      </c>
      <c r="H3156" t="str">
        <f>T("572C HOLLOWAY ROAD")</f>
        <v>572C HOLLOWAY ROAD</v>
      </c>
      <c r="I3156" t="str">
        <f t="shared" si="1275"/>
        <v>ANNAPOLIS</v>
      </c>
      <c r="J3156" t="str">
        <f t="shared" si="1276"/>
        <v>MD</v>
      </c>
      <c r="K3156" t="str">
        <f>T("4102935508")</f>
        <v>4102935508</v>
      </c>
      <c r="L3156" t="str">
        <f>T("4102934609")</f>
        <v>4102934609</v>
      </c>
    </row>
    <row r="3157" spans="1:12" x14ac:dyDescent="0.35">
      <c r="A3157" t="str">
        <f t="shared" si="1272"/>
        <v>US NAVAL ACADEMY</v>
      </c>
      <c r="B3157" t="str">
        <f>T("MAURY HALL ROOM G08")</f>
        <v>MAURY HALL ROOM G08</v>
      </c>
      <c r="C3157" t="str">
        <f>T("105 MARYLAND AVE")</f>
        <v>105 MARYLAND AVE</v>
      </c>
      <c r="D3157" t="str">
        <f t="shared" si="1273"/>
        <v>ANNAPOLIS</v>
      </c>
      <c r="E3157" t="str">
        <f t="shared" si="1274"/>
        <v>MD</v>
      </c>
      <c r="F3157" t="str">
        <f>T("214021316")</f>
        <v>214021316</v>
      </c>
      <c r="G3157" t="str">
        <f>T("ENG  WPNS MAURY HALL G07")</f>
        <v>ENG  WPNS MAURY HALL G07</v>
      </c>
      <c r="H3157" t="str">
        <f>T("105 MARYLAND AVE")</f>
        <v>105 MARYLAND AVE</v>
      </c>
      <c r="I3157" t="str">
        <f t="shared" si="1275"/>
        <v>ANNAPOLIS</v>
      </c>
      <c r="J3157" t="str">
        <f t="shared" si="1276"/>
        <v>MD</v>
      </c>
      <c r="K3157" t="str">
        <f>T("4102936198")</f>
        <v>4102936198</v>
      </c>
      <c r="L3157" t="str">
        <f>T("4102932915")</f>
        <v>4102932915</v>
      </c>
    </row>
    <row r="3158" spans="1:12" x14ac:dyDescent="0.35">
      <c r="A3158" t="str">
        <f t="shared" si="1272"/>
        <v>US NAVAL ACADEMY</v>
      </c>
      <c r="B3158" t="str">
        <f>T("MAURY HALL ROOM G08")</f>
        <v>MAURY HALL ROOM G08</v>
      </c>
      <c r="C3158" t="str">
        <f>T("105 MARYLAND AVE")</f>
        <v>105 MARYLAND AVE</v>
      </c>
      <c r="D3158" t="str">
        <f t="shared" si="1273"/>
        <v>ANNAPOLIS</v>
      </c>
      <c r="E3158" t="str">
        <f t="shared" si="1274"/>
        <v>MD</v>
      </c>
      <c r="F3158" t="str">
        <f>T("214021316")</f>
        <v>214021316</v>
      </c>
      <c r="G3158" t="str">
        <f>T("ENG &amp; WPNS MAURY G07")</f>
        <v>ENG &amp; WPNS MAURY G07</v>
      </c>
      <c r="H3158" t="str">
        <f>T("105 MARYLAND AVE")</f>
        <v>105 MARYLAND AVE</v>
      </c>
      <c r="I3158" t="str">
        <f t="shared" si="1275"/>
        <v>ANNAPOLIS</v>
      </c>
      <c r="J3158" t="str">
        <f t="shared" si="1276"/>
        <v>MD</v>
      </c>
      <c r="K3158" t="str">
        <f>T("")</f>
        <v/>
      </c>
      <c r="L3158" t="str">
        <f>T("4102936195")</f>
        <v>4102936195</v>
      </c>
    </row>
    <row r="3159" spans="1:12" x14ac:dyDescent="0.35">
      <c r="A3159" t="str">
        <f t="shared" si="1272"/>
        <v>US NAVAL ACADEMY</v>
      </c>
      <c r="B3159" t="str">
        <f>T("MAURY HALL ROOM G08")</f>
        <v>MAURY HALL ROOM G08</v>
      </c>
      <c r="C3159" t="str">
        <f>T("105 MARYLAND AVE")</f>
        <v>105 MARYLAND AVE</v>
      </c>
      <c r="D3159" t="str">
        <f t="shared" si="1273"/>
        <v>ANNAPOLIS</v>
      </c>
      <c r="E3159" t="str">
        <f t="shared" si="1274"/>
        <v>MD</v>
      </c>
      <c r="F3159" t="str">
        <f>T("214021316")</f>
        <v>214021316</v>
      </c>
      <c r="G3159" t="str">
        <f>T("MAURY HALL ROOM G08")</f>
        <v>MAURY HALL ROOM G08</v>
      </c>
      <c r="H3159" t="str">
        <f>T("105 MARYLAND AVE")</f>
        <v>105 MARYLAND AVE</v>
      </c>
      <c r="I3159" t="str">
        <f t="shared" si="1275"/>
        <v>ANNAPOLIS</v>
      </c>
      <c r="J3159" t="str">
        <f t="shared" si="1276"/>
        <v>MD</v>
      </c>
      <c r="K3159" t="str">
        <f>T("4102936198")</f>
        <v>4102936198</v>
      </c>
      <c r="L3159" t="str">
        <f>T("4102936194")</f>
        <v>4102936194</v>
      </c>
    </row>
    <row r="3160" spans="1:12" x14ac:dyDescent="0.35">
      <c r="A3160" t="str">
        <f t="shared" si="1272"/>
        <v>US NAVAL ACADEMY</v>
      </c>
      <c r="B3160" t="str">
        <f>T("MAURY HALL ROOM G08")</f>
        <v>MAURY HALL ROOM G08</v>
      </c>
      <c r="C3160" t="str">
        <f>T("105 MARYLAND AVE")</f>
        <v>105 MARYLAND AVE</v>
      </c>
      <c r="D3160" t="str">
        <f t="shared" si="1273"/>
        <v>ANNAPOLIS</v>
      </c>
      <c r="E3160" t="str">
        <f t="shared" si="1274"/>
        <v>MD</v>
      </c>
      <c r="F3160" t="str">
        <f>T("214021316")</f>
        <v>214021316</v>
      </c>
      <c r="G3160" t="str">
        <f>T("WPNS  SYS ENG- MAURY 306")</f>
        <v>WPNS  SYS ENG- MAURY 306</v>
      </c>
      <c r="H3160" t="str">
        <f>T("105 MARYLAND AVE")</f>
        <v>105 MARYLAND AVE</v>
      </c>
      <c r="I3160" t="str">
        <f t="shared" si="1275"/>
        <v>ANNAPOLIS</v>
      </c>
      <c r="J3160" t="str">
        <f t="shared" si="1276"/>
        <v>MD</v>
      </c>
      <c r="K3160" t="str">
        <f>T("4102932215")</f>
        <v>4102932215</v>
      </c>
      <c r="L3160" t="str">
        <f>T("4102936101")</f>
        <v>4102936101</v>
      </c>
    </row>
    <row r="3161" spans="1:12" x14ac:dyDescent="0.35">
      <c r="A3161" t="str">
        <f t="shared" si="1272"/>
        <v>US NAVAL ACADEMY</v>
      </c>
      <c r="B3161" t="str">
        <f>T("MAURY HALL ROOM G08")</f>
        <v>MAURY HALL ROOM G08</v>
      </c>
      <c r="C3161" t="str">
        <f>T("105 MARYLAND AVE")</f>
        <v>105 MARYLAND AVE</v>
      </c>
      <c r="D3161" t="str">
        <f t="shared" si="1273"/>
        <v>ANNAPOLIS</v>
      </c>
      <c r="E3161" t="str">
        <f t="shared" si="1274"/>
        <v>MD</v>
      </c>
      <c r="F3161" t="str">
        <f>T("214021316")</f>
        <v>214021316</v>
      </c>
      <c r="G3161" t="str">
        <f>T("WSE/TSD MAURY G08")</f>
        <v>WSE/TSD MAURY G08</v>
      </c>
      <c r="H3161" t="str">
        <f>T("105 MARYLAND AVE")</f>
        <v>105 MARYLAND AVE</v>
      </c>
      <c r="I3161" t="str">
        <f t="shared" si="1275"/>
        <v>ANNAPOLIS</v>
      </c>
      <c r="J3161" t="str">
        <f t="shared" si="1276"/>
        <v>MD</v>
      </c>
      <c r="K3161" t="str">
        <f>T("4102936198")</f>
        <v>4102936198</v>
      </c>
      <c r="L3161" t="str">
        <f>T("4102936123")</f>
        <v>4102936123</v>
      </c>
    </row>
    <row r="3162" spans="1:12" x14ac:dyDescent="0.35">
      <c r="A3162" t="str">
        <f t="shared" si="1272"/>
        <v>US NAVAL ACADEMY</v>
      </c>
      <c r="B3162" t="str">
        <f t="shared" ref="B3162:B3167" si="1280">T("NIMITZ LIBRARY RM 109A")</f>
        <v>NIMITZ LIBRARY RM 109A</v>
      </c>
      <c r="C3162" t="str">
        <f t="shared" ref="C3162:C3167" si="1281">T("589 MCNAIR RD")</f>
        <v>589 MCNAIR RD</v>
      </c>
      <c r="D3162" t="str">
        <f t="shared" si="1273"/>
        <v>ANNAPOLIS</v>
      </c>
      <c r="E3162" t="str">
        <f t="shared" si="1274"/>
        <v>MD</v>
      </c>
      <c r="F3162" t="str">
        <f t="shared" ref="F3162:F3169" si="1282">T("214021323")</f>
        <v>214021323</v>
      </c>
      <c r="G3162" t="str">
        <f>T("ACDEAN-NIMITZ 160")</f>
        <v>ACDEAN-NIMITZ 160</v>
      </c>
      <c r="H3162" t="str">
        <f>T("589 MCNAIR ROAD")</f>
        <v>589 MCNAIR ROAD</v>
      </c>
      <c r="I3162" t="str">
        <f t="shared" si="1275"/>
        <v>ANNAPOLIS</v>
      </c>
      <c r="J3162" t="str">
        <f t="shared" si="1276"/>
        <v>MD</v>
      </c>
      <c r="K3162" t="str">
        <f>T("000000000000000000")</f>
        <v>000000000000000000</v>
      </c>
      <c r="L3162" t="str">
        <f>T("4102931596")</f>
        <v>4102931596</v>
      </c>
    </row>
    <row r="3163" spans="1:12" x14ac:dyDescent="0.35">
      <c r="A3163" t="str">
        <f t="shared" si="1272"/>
        <v>US NAVAL ACADEMY</v>
      </c>
      <c r="B3163" t="str">
        <f t="shared" si="1280"/>
        <v>NIMITZ LIBRARY RM 109A</v>
      </c>
      <c r="C3163" t="str">
        <f t="shared" si="1281"/>
        <v>589 MCNAIR RD</v>
      </c>
      <c r="D3163" t="str">
        <f t="shared" si="1273"/>
        <v>ANNAPOLIS</v>
      </c>
      <c r="E3163" t="str">
        <f t="shared" si="1274"/>
        <v>MD</v>
      </c>
      <c r="F3163" t="str">
        <f t="shared" si="1282"/>
        <v>214021323</v>
      </c>
      <c r="G3163" t="str">
        <f>T("ACDEAN/PROVOST ADMIN BLDG RM 205")</f>
        <v>ACDEAN/PROVOST ADMIN BLDG RM 205</v>
      </c>
      <c r="H3163" t="str">
        <f>T("121 BLAKE ROAD")</f>
        <v>121 BLAKE ROAD</v>
      </c>
      <c r="I3163" t="str">
        <f t="shared" si="1275"/>
        <v>ANNAPOLIS</v>
      </c>
      <c r="J3163" t="str">
        <f t="shared" si="1276"/>
        <v>MD</v>
      </c>
      <c r="K3163" t="str">
        <f>T("4102933735")</f>
        <v>4102933735</v>
      </c>
      <c r="L3163" t="str">
        <f>T("4102931589")</f>
        <v>4102931589</v>
      </c>
    </row>
    <row r="3164" spans="1:12" x14ac:dyDescent="0.35">
      <c r="A3164" t="str">
        <f t="shared" si="1272"/>
        <v>US NAVAL ACADEMY</v>
      </c>
      <c r="B3164" t="str">
        <f t="shared" si="1280"/>
        <v>NIMITZ LIBRARY RM 109A</v>
      </c>
      <c r="C3164" t="str">
        <f t="shared" si="1281"/>
        <v>589 MCNAIR RD</v>
      </c>
      <c r="D3164" t="str">
        <f t="shared" si="1273"/>
        <v>ANNAPOLIS</v>
      </c>
      <c r="E3164" t="str">
        <f t="shared" si="1274"/>
        <v>MD</v>
      </c>
      <c r="F3164" t="str">
        <f t="shared" si="1282"/>
        <v>214021323</v>
      </c>
      <c r="G3164" t="str">
        <f>T("FACULTY ENHANCEMENT CTR MMU119")</f>
        <v>FACULTY ENHANCEMENT CTR MMU119</v>
      </c>
      <c r="H3164" t="str">
        <f>T("589 MCNAIR ROAD")</f>
        <v>589 MCNAIR ROAD</v>
      </c>
      <c r="I3164" t="str">
        <f t="shared" si="1275"/>
        <v>ANNAPOLIS</v>
      </c>
      <c r="J3164" t="str">
        <f t="shared" si="1276"/>
        <v>MD</v>
      </c>
      <c r="K3164" t="str">
        <f>T("000000000000000000")</f>
        <v>000000000000000000</v>
      </c>
      <c r="L3164" t="str">
        <f>T("4102932503")</f>
        <v>4102932503</v>
      </c>
    </row>
    <row r="3165" spans="1:12" x14ac:dyDescent="0.35">
      <c r="A3165" t="str">
        <f t="shared" si="1272"/>
        <v>US NAVAL ACADEMY</v>
      </c>
      <c r="B3165" t="str">
        <f t="shared" si="1280"/>
        <v>NIMITZ LIBRARY RM 109A</v>
      </c>
      <c r="C3165" t="str">
        <f t="shared" si="1281"/>
        <v>589 MCNAIR RD</v>
      </c>
      <c r="D3165" t="str">
        <f t="shared" si="1273"/>
        <v>ANNAPOLIS</v>
      </c>
      <c r="E3165" t="str">
        <f t="shared" si="1274"/>
        <v>MD</v>
      </c>
      <c r="F3165" t="str">
        <f t="shared" si="1282"/>
        <v>214021323</v>
      </c>
      <c r="G3165" t="str">
        <f>T("NIMITZ LIBRARY RM 109")</f>
        <v>NIMITZ LIBRARY RM 109</v>
      </c>
      <c r="H3165" t="str">
        <f>T("589 MCNAIR RD")</f>
        <v>589 MCNAIR RD</v>
      </c>
      <c r="I3165" t="str">
        <f t="shared" si="1275"/>
        <v>ANNAPOLIS</v>
      </c>
      <c r="J3165" t="str">
        <f t="shared" si="1276"/>
        <v>MD</v>
      </c>
      <c r="K3165" t="str">
        <f>T("4102933669")</f>
        <v>4102933669</v>
      </c>
      <c r="L3165" t="str">
        <f>T("4102936952")</f>
        <v>4102936952</v>
      </c>
    </row>
    <row r="3166" spans="1:12" x14ac:dyDescent="0.35">
      <c r="A3166" t="str">
        <f t="shared" si="1272"/>
        <v>US NAVAL ACADEMY</v>
      </c>
      <c r="B3166" t="str">
        <f t="shared" si="1280"/>
        <v>NIMITZ LIBRARY RM 109A</v>
      </c>
      <c r="C3166" t="str">
        <f t="shared" si="1281"/>
        <v>589 MCNAIR RD</v>
      </c>
      <c r="D3166" t="str">
        <f t="shared" si="1273"/>
        <v>ANNAPOLIS</v>
      </c>
      <c r="E3166" t="str">
        <f t="shared" si="1274"/>
        <v>MD</v>
      </c>
      <c r="F3166" t="str">
        <f t="shared" si="1282"/>
        <v>214021323</v>
      </c>
      <c r="G3166" t="str">
        <f>T("NIMITZ LIBRARY RM 109A")</f>
        <v>NIMITZ LIBRARY RM 109A</v>
      </c>
      <c r="H3166" t="str">
        <f>T("589 MCNAIR RD")</f>
        <v>589 MCNAIR RD</v>
      </c>
      <c r="I3166" t="str">
        <f t="shared" si="1275"/>
        <v>ANNAPOLIS</v>
      </c>
      <c r="J3166" t="str">
        <f t="shared" si="1276"/>
        <v>MD</v>
      </c>
      <c r="K3166" t="str">
        <f>T("4102933669")</f>
        <v>4102933669</v>
      </c>
      <c r="L3166" t="str">
        <f>T("4102936953")</f>
        <v>4102936953</v>
      </c>
    </row>
    <row r="3167" spans="1:12" x14ac:dyDescent="0.35">
      <c r="A3167" t="str">
        <f t="shared" si="1272"/>
        <v>US NAVAL ACADEMY</v>
      </c>
      <c r="B3167" t="str">
        <f t="shared" si="1280"/>
        <v>NIMITZ LIBRARY RM 109A</v>
      </c>
      <c r="C3167" t="str">
        <f t="shared" si="1281"/>
        <v>589 MCNAIR RD</v>
      </c>
      <c r="D3167" t="str">
        <f t="shared" si="1273"/>
        <v>ANNAPOLIS</v>
      </c>
      <c r="E3167" t="str">
        <f t="shared" si="1274"/>
        <v>MD</v>
      </c>
      <c r="F3167" t="str">
        <f t="shared" si="1282"/>
        <v>214021323</v>
      </c>
      <c r="G3167" t="str">
        <f>T("NIMITZ LIBRARY/AQUISITION DEPT")</f>
        <v>NIMITZ LIBRARY/AQUISITION DEPT</v>
      </c>
      <c r="H3167" t="str">
        <f>T("589 MCNAIR RD")</f>
        <v>589 MCNAIR RD</v>
      </c>
      <c r="I3167" t="str">
        <f t="shared" si="1275"/>
        <v>ANNAPOLIS</v>
      </c>
      <c r="J3167" t="str">
        <f t="shared" si="1276"/>
        <v>MD</v>
      </c>
      <c r="K3167" t="str">
        <f>T("000000000000000000")</f>
        <v>000000000000000000</v>
      </c>
      <c r="L3167" t="str">
        <f>T("4102936954")</f>
        <v>4102936954</v>
      </c>
    </row>
    <row r="3168" spans="1:12" x14ac:dyDescent="0.35">
      <c r="A3168" t="str">
        <f t="shared" si="1272"/>
        <v>US NAVAL ACADEMY</v>
      </c>
      <c r="B3168" t="str">
        <f>T("NIMITZ LIBRARY/ MSC 112B")</f>
        <v>NIMITZ LIBRARY/ MSC 112B</v>
      </c>
      <c r="C3168" t="str">
        <f>T("589 MCNAIR ROAD")</f>
        <v>589 MCNAIR ROAD</v>
      </c>
      <c r="D3168" t="str">
        <f t="shared" si="1273"/>
        <v>ANNAPOLIS</v>
      </c>
      <c r="E3168" t="str">
        <f t="shared" si="1274"/>
        <v>MD</v>
      </c>
      <c r="F3168" t="str">
        <f t="shared" si="1282"/>
        <v>214021323</v>
      </c>
      <c r="G3168" t="str">
        <f>T("NIMITZ LIBRARY")</f>
        <v>NIMITZ LIBRARY</v>
      </c>
      <c r="H3168" t="str">
        <f>T("589 MCNAIR ROAD")</f>
        <v>589 MCNAIR ROAD</v>
      </c>
      <c r="I3168" t="str">
        <f t="shared" si="1275"/>
        <v>ANNAPOLIS</v>
      </c>
      <c r="J3168" t="str">
        <f t="shared" si="1276"/>
        <v>MD</v>
      </c>
      <c r="K3168" t="str">
        <f>T("000000000000000000")</f>
        <v>000000000000000000</v>
      </c>
      <c r="L3168" t="str">
        <f>T("4102936953")</f>
        <v>4102936953</v>
      </c>
    </row>
    <row r="3169" spans="1:12" x14ac:dyDescent="0.35">
      <c r="A3169" t="str">
        <f t="shared" si="1272"/>
        <v>US NAVAL ACADEMY</v>
      </c>
      <c r="B3169" t="str">
        <f>T("NIMITZ LIBRARY/ MSC 112B")</f>
        <v>NIMITZ LIBRARY/ MSC 112B</v>
      </c>
      <c r="C3169" t="str">
        <f>T("589 MCNAIR ROAD")</f>
        <v>589 MCNAIR ROAD</v>
      </c>
      <c r="D3169" t="str">
        <f t="shared" si="1273"/>
        <v>ANNAPOLIS</v>
      </c>
      <c r="E3169" t="str">
        <f t="shared" si="1274"/>
        <v>MD</v>
      </c>
      <c r="F3169" t="str">
        <f t="shared" si="1282"/>
        <v>214021323</v>
      </c>
      <c r="G3169" t="str">
        <f>T("NIMITZ LIBRARY/ MSC 112B")</f>
        <v>NIMITZ LIBRARY/ MSC 112B</v>
      </c>
      <c r="H3169" t="str">
        <f>T("589 MCNAIR ROAD")</f>
        <v>589 MCNAIR ROAD</v>
      </c>
      <c r="I3169" t="str">
        <f t="shared" si="1275"/>
        <v>ANNAPOLIS</v>
      </c>
      <c r="J3169" t="str">
        <f t="shared" si="1276"/>
        <v>MD</v>
      </c>
      <c r="K3169" t="str">
        <f>T("4102933669")</f>
        <v>4102933669</v>
      </c>
      <c r="L3169" t="str">
        <f>T("4102936926")</f>
        <v>4102936926</v>
      </c>
    </row>
    <row r="3170" spans="1:12" x14ac:dyDescent="0.35">
      <c r="A3170" t="str">
        <f t="shared" si="1272"/>
        <v>US NAVAL ACADEMY</v>
      </c>
      <c r="B3170" t="str">
        <f>T("RICKOVER HALL RM 21B")</f>
        <v>RICKOVER HALL RM 21B</v>
      </c>
      <c r="C3170" t="str">
        <f t="shared" ref="C3170:C3182" si="1283">T("590 HOLLOWAY RD")</f>
        <v>590 HOLLOWAY RD</v>
      </c>
      <c r="D3170" t="str">
        <f t="shared" si="1273"/>
        <v>ANNAPOLIS</v>
      </c>
      <c r="E3170" t="str">
        <f t="shared" si="1274"/>
        <v>MD</v>
      </c>
      <c r="F3170" t="str">
        <f t="shared" ref="F3170:F3182" si="1284">T("214021314")</f>
        <v>214021314</v>
      </c>
      <c r="G3170" t="str">
        <f>T("ELEC ENG TSD RICKOVER HALL")</f>
        <v>ELEC ENG TSD RICKOVER HALL</v>
      </c>
      <c r="H3170" t="str">
        <f>T("590 HOLLOWAY RD")</f>
        <v>590 HOLLOWAY RD</v>
      </c>
      <c r="I3170" t="str">
        <f t="shared" si="1275"/>
        <v>ANNAPOLIS</v>
      </c>
      <c r="J3170" t="str">
        <f t="shared" si="1276"/>
        <v>MD</v>
      </c>
      <c r="K3170" t="str">
        <f>T("000000000000000000")</f>
        <v>000000000000000000</v>
      </c>
      <c r="L3170" t="str">
        <f>T("4102933287")</f>
        <v>4102933287</v>
      </c>
    </row>
    <row r="3171" spans="1:12" x14ac:dyDescent="0.35">
      <c r="A3171" t="str">
        <f t="shared" ref="A3171:A3186" si="1285">T("US NAVAL ACADEMY")</f>
        <v>US NAVAL ACADEMY</v>
      </c>
      <c r="B3171" t="str">
        <f>T("RICKOVER HALL RM 21B")</f>
        <v>RICKOVER HALL RM 21B</v>
      </c>
      <c r="C3171" t="str">
        <f t="shared" si="1283"/>
        <v>590 HOLLOWAY RD</v>
      </c>
      <c r="D3171" t="str">
        <f t="shared" si="1273"/>
        <v>ANNAPOLIS</v>
      </c>
      <c r="E3171" t="str">
        <f t="shared" si="1274"/>
        <v>MD</v>
      </c>
      <c r="F3171" t="str">
        <f t="shared" si="1284"/>
        <v>214021314</v>
      </c>
      <c r="G3171" t="str">
        <f>T("ELEC/COMPUTER ENG MAURY RM 327")</f>
        <v>ELEC/COMPUTER ENG MAURY RM 327</v>
      </c>
      <c r="H3171" t="str">
        <f>T("105 MARYLAND AVE")</f>
        <v>105 MARYLAND AVE</v>
      </c>
      <c r="I3171" t="str">
        <f t="shared" si="1275"/>
        <v>ANNAPOLIS</v>
      </c>
      <c r="J3171" t="str">
        <f t="shared" si="1276"/>
        <v>MD</v>
      </c>
      <c r="K3171" t="str">
        <f>T("4102933493")</f>
        <v>4102933493</v>
      </c>
      <c r="L3171" t="str">
        <f>T("4102936150")</f>
        <v>4102936150</v>
      </c>
    </row>
    <row r="3172" spans="1:12" x14ac:dyDescent="0.35">
      <c r="A3172" t="str">
        <f t="shared" si="1285"/>
        <v>US NAVAL ACADEMY</v>
      </c>
      <c r="B3172" t="str">
        <f>T("RICKOVER HALL RM 21B")</f>
        <v>RICKOVER HALL RM 21B</v>
      </c>
      <c r="C3172" t="str">
        <f t="shared" si="1283"/>
        <v>590 HOLLOWAY RD</v>
      </c>
      <c r="D3172" t="str">
        <f t="shared" si="1273"/>
        <v>ANNAPOLIS</v>
      </c>
      <c r="E3172" t="str">
        <f t="shared" si="1274"/>
        <v>MD</v>
      </c>
      <c r="F3172" t="str">
        <f t="shared" si="1284"/>
        <v>214021314</v>
      </c>
      <c r="G3172" t="str">
        <f>T("ENG  WPNS- RICKOVER 21")</f>
        <v>ENG  WPNS- RICKOVER 21</v>
      </c>
      <c r="H3172" t="str">
        <f>T("590 HOLLOWAY ROAD")</f>
        <v>590 HOLLOWAY ROAD</v>
      </c>
      <c r="I3172" t="str">
        <f t="shared" si="1275"/>
        <v>ANNAPOLIS</v>
      </c>
      <c r="J3172" t="str">
        <f t="shared" si="1276"/>
        <v>MD</v>
      </c>
      <c r="K3172" t="str">
        <f>T("4102935366")</f>
        <v>4102935366</v>
      </c>
      <c r="L3172" t="str">
        <f>T("4102933030")</f>
        <v>4102933030</v>
      </c>
    </row>
    <row r="3173" spans="1:12" x14ac:dyDescent="0.35">
      <c r="A3173" t="str">
        <f t="shared" si="1285"/>
        <v>US NAVAL ACADEMY</v>
      </c>
      <c r="B3173" t="str">
        <f>T("RICKOVER HALL RM 21B")</f>
        <v>RICKOVER HALL RM 21B</v>
      </c>
      <c r="C3173" t="str">
        <f t="shared" si="1283"/>
        <v>590 HOLLOWAY RD</v>
      </c>
      <c r="D3173" t="str">
        <f t="shared" si="1273"/>
        <v>ANNAPOLIS</v>
      </c>
      <c r="E3173" t="str">
        <f t="shared" si="1274"/>
        <v>MD</v>
      </c>
      <c r="F3173" t="str">
        <f t="shared" si="1284"/>
        <v>214021314</v>
      </c>
      <c r="G3173" t="str">
        <f>T("RICKOVER HALL RM 21B")</f>
        <v>RICKOVER HALL RM 21B</v>
      </c>
      <c r="H3173" t="str">
        <f>T("590 HOLLOWAY RD")</f>
        <v>590 HOLLOWAY RD</v>
      </c>
      <c r="I3173" t="str">
        <f t="shared" si="1275"/>
        <v>ANNAPOLIS</v>
      </c>
      <c r="J3173" t="str">
        <f t="shared" si="1276"/>
        <v>MD</v>
      </c>
      <c r="K3173" t="str">
        <f>T("410-293-2943")</f>
        <v>410-293-2943</v>
      </c>
      <c r="L3173" t="str">
        <f>T("4102933646")</f>
        <v>4102933646</v>
      </c>
    </row>
    <row r="3174" spans="1:12" x14ac:dyDescent="0.35">
      <c r="A3174" t="str">
        <f t="shared" si="1285"/>
        <v>US NAVAL ACADEMY</v>
      </c>
      <c r="B3174" t="str">
        <f>T("RICKOVER HALL RM 21B")</f>
        <v>RICKOVER HALL RM 21B</v>
      </c>
      <c r="C3174" t="str">
        <f t="shared" si="1283"/>
        <v>590 HOLLOWAY RD</v>
      </c>
      <c r="D3174" t="str">
        <f t="shared" ref="D3174:D3186" si="1286">T("ANNAPOLIS")</f>
        <v>ANNAPOLIS</v>
      </c>
      <c r="E3174" t="str">
        <f t="shared" ref="E3174:E3186" si="1287">T("MD")</f>
        <v>MD</v>
      </c>
      <c r="F3174" t="str">
        <f t="shared" si="1284"/>
        <v>214021314</v>
      </c>
      <c r="G3174" t="str">
        <f>T("TSD/EW RICKOVER 21")</f>
        <v>TSD/EW RICKOVER 21</v>
      </c>
      <c r="H3174" t="str">
        <f>T("590 HOLLOWAY ROAD")</f>
        <v>590 HOLLOWAY ROAD</v>
      </c>
      <c r="I3174" t="str">
        <f t="shared" ref="I3174:I3186" si="1288">T("ANNAPOLIS")</f>
        <v>ANNAPOLIS</v>
      </c>
      <c r="J3174" t="str">
        <f t="shared" ref="J3174:J3186" si="1289">T("MD")</f>
        <v>MD</v>
      </c>
      <c r="K3174" t="str">
        <f>T("4102935366")</f>
        <v>4102935366</v>
      </c>
      <c r="L3174" t="str">
        <f>T("4102935523")</f>
        <v>4102935523</v>
      </c>
    </row>
    <row r="3175" spans="1:12" x14ac:dyDescent="0.35">
      <c r="A3175" t="str">
        <f t="shared" si="1285"/>
        <v>US NAVAL ACADEMY</v>
      </c>
      <c r="B3175" t="str">
        <f>T("RICKOVER HALL RM 33A")</f>
        <v>RICKOVER HALL RM 33A</v>
      </c>
      <c r="C3175" t="str">
        <f t="shared" si="1283"/>
        <v>590 HOLLOWAY RD</v>
      </c>
      <c r="D3175" t="str">
        <f t="shared" si="1286"/>
        <v>ANNAPOLIS</v>
      </c>
      <c r="E3175" t="str">
        <f t="shared" si="1287"/>
        <v>MD</v>
      </c>
      <c r="F3175" t="str">
        <f t="shared" si="1284"/>
        <v>214021314</v>
      </c>
      <c r="G3175" t="str">
        <f>T("RICKOVER HALL RM 33A")</f>
        <v>RICKOVER HALL RM 33A</v>
      </c>
      <c r="H3175" t="str">
        <f>T("590 HOLLOWAY RD")</f>
        <v>590 HOLLOWAY RD</v>
      </c>
      <c r="I3175" t="str">
        <f t="shared" si="1288"/>
        <v>ANNAPOLIS</v>
      </c>
      <c r="J3175" t="str">
        <f t="shared" si="1289"/>
        <v>MD</v>
      </c>
      <c r="K3175" t="str">
        <f>T("4102933886")</f>
        <v>4102933886</v>
      </c>
      <c r="L3175" t="str">
        <f>T("4102935155")</f>
        <v>4102935155</v>
      </c>
    </row>
    <row r="3176" spans="1:12" x14ac:dyDescent="0.35">
      <c r="A3176" t="str">
        <f t="shared" si="1285"/>
        <v>US NAVAL ACADEMY</v>
      </c>
      <c r="B3176" t="str">
        <f>T("RICKOVER HALL RM 33A")</f>
        <v>RICKOVER HALL RM 33A</v>
      </c>
      <c r="C3176" t="str">
        <f t="shared" si="1283"/>
        <v>590 HOLLOWAY RD</v>
      </c>
      <c r="D3176" t="str">
        <f t="shared" si="1286"/>
        <v>ANNAPOLIS</v>
      </c>
      <c r="E3176" t="str">
        <f t="shared" si="1287"/>
        <v>MD</v>
      </c>
      <c r="F3176" t="str">
        <f t="shared" si="1284"/>
        <v>214021314</v>
      </c>
      <c r="G3176" t="str">
        <f>T("TSD - RICKOVER HALL ROOM 34")</f>
        <v>TSD - RICKOVER HALL ROOM 34</v>
      </c>
      <c r="H3176" t="str">
        <f>T("590 HOLLOWAY RD")</f>
        <v>590 HOLLOWAY RD</v>
      </c>
      <c r="I3176" t="str">
        <f t="shared" si="1288"/>
        <v>ANNAPOLIS</v>
      </c>
      <c r="J3176" t="str">
        <f t="shared" si="1289"/>
        <v>MD</v>
      </c>
      <c r="K3176" t="str">
        <f>T("4102933886")</f>
        <v>4102933886</v>
      </c>
      <c r="L3176" t="str">
        <f>T("4102935157")</f>
        <v>4102935157</v>
      </c>
    </row>
    <row r="3177" spans="1:12" x14ac:dyDescent="0.35">
      <c r="A3177" t="str">
        <f t="shared" si="1285"/>
        <v>US NAVAL ACADEMY</v>
      </c>
      <c r="B3177" t="str">
        <f t="shared" ref="B3177:B3182" si="1290">T("RICKOVER RM 35D")</f>
        <v>RICKOVER RM 35D</v>
      </c>
      <c r="C3177" t="str">
        <f t="shared" si="1283"/>
        <v>590 HOLLOWAY RD</v>
      </c>
      <c r="D3177" t="str">
        <f t="shared" si="1286"/>
        <v>ANNAPOLIS</v>
      </c>
      <c r="E3177" t="str">
        <f t="shared" si="1287"/>
        <v>MD</v>
      </c>
      <c r="F3177" t="str">
        <f t="shared" si="1284"/>
        <v>214021314</v>
      </c>
      <c r="G3177" t="str">
        <f>T("ENG  WPNS- RICKOVER HALL RM 38")</f>
        <v>ENG  WPNS- RICKOVER HALL RM 38</v>
      </c>
      <c r="H3177" t="str">
        <f>T("590 HOLLOWAY ROAD")</f>
        <v>590 HOLLOWAY ROAD</v>
      </c>
      <c r="I3177" t="str">
        <f t="shared" si="1288"/>
        <v>ANNAPOLIS</v>
      </c>
      <c r="J3177" t="str">
        <f t="shared" si="1289"/>
        <v>MD</v>
      </c>
      <c r="K3177" t="str">
        <f>T("4102933883")</f>
        <v>4102933883</v>
      </c>
      <c r="L3177" t="str">
        <f>T("4102936320")</f>
        <v>4102936320</v>
      </c>
    </row>
    <row r="3178" spans="1:12" x14ac:dyDescent="0.35">
      <c r="A3178" t="str">
        <f t="shared" si="1285"/>
        <v>US NAVAL ACADEMY</v>
      </c>
      <c r="B3178" t="str">
        <f t="shared" si="1290"/>
        <v>RICKOVER RM 35D</v>
      </c>
      <c r="C3178" t="str">
        <f t="shared" si="1283"/>
        <v>590 HOLLOWAY RD</v>
      </c>
      <c r="D3178" t="str">
        <f t="shared" si="1286"/>
        <v>ANNAPOLIS</v>
      </c>
      <c r="E3178" t="str">
        <f t="shared" si="1287"/>
        <v>MD</v>
      </c>
      <c r="F3178" t="str">
        <f t="shared" si="1284"/>
        <v>214021314</v>
      </c>
      <c r="G3178" t="str">
        <f>T("ENGINEERING &amp; WEAPONS")</f>
        <v>ENGINEERING &amp; WEAPONS</v>
      </c>
      <c r="H3178" t="str">
        <f>T("590 HOLLOWAY ROAD")</f>
        <v>590 HOLLOWAY ROAD</v>
      </c>
      <c r="I3178" t="str">
        <f t="shared" si="1288"/>
        <v>ANNAPOLIS</v>
      </c>
      <c r="J3178" t="str">
        <f t="shared" si="1289"/>
        <v>MD</v>
      </c>
      <c r="K3178" t="str">
        <f>T("000000000000000000")</f>
        <v>000000000000000000</v>
      </c>
      <c r="L3178" t="str">
        <f>T("4102935209")</f>
        <v>4102935209</v>
      </c>
    </row>
    <row r="3179" spans="1:12" x14ac:dyDescent="0.35">
      <c r="A3179" t="str">
        <f t="shared" si="1285"/>
        <v>US NAVAL ACADEMY</v>
      </c>
      <c r="B3179" t="str">
        <f t="shared" si="1290"/>
        <v>RICKOVER RM 35D</v>
      </c>
      <c r="C3179" t="str">
        <f t="shared" si="1283"/>
        <v>590 HOLLOWAY RD</v>
      </c>
      <c r="D3179" t="str">
        <f t="shared" si="1286"/>
        <v>ANNAPOLIS</v>
      </c>
      <c r="E3179" t="str">
        <f t="shared" si="1287"/>
        <v>MD</v>
      </c>
      <c r="F3179" t="str">
        <f t="shared" si="1284"/>
        <v>214021314</v>
      </c>
      <c r="G3179" t="str">
        <f>T("RICKOVER RM 31E")</f>
        <v>RICKOVER RM 31E</v>
      </c>
      <c r="H3179" t="str">
        <f>T("590 HOLLOWAY RD")</f>
        <v>590 HOLLOWAY RD</v>
      </c>
      <c r="I3179" t="str">
        <f t="shared" si="1288"/>
        <v>ANNAPOLIS</v>
      </c>
      <c r="J3179" t="str">
        <f t="shared" si="1289"/>
        <v>MD</v>
      </c>
      <c r="K3179" t="str">
        <f>T("000000000000000000")</f>
        <v>000000000000000000</v>
      </c>
      <c r="L3179" t="str">
        <f>T("4102935193")</f>
        <v>4102935193</v>
      </c>
    </row>
    <row r="3180" spans="1:12" x14ac:dyDescent="0.35">
      <c r="A3180" t="str">
        <f t="shared" si="1285"/>
        <v>US NAVAL ACADEMY</v>
      </c>
      <c r="B3180" t="str">
        <f t="shared" si="1290"/>
        <v>RICKOVER RM 35D</v>
      </c>
      <c r="C3180" t="str">
        <f t="shared" si="1283"/>
        <v>590 HOLLOWAY RD</v>
      </c>
      <c r="D3180" t="str">
        <f t="shared" si="1286"/>
        <v>ANNAPOLIS</v>
      </c>
      <c r="E3180" t="str">
        <f t="shared" si="1287"/>
        <v>MD</v>
      </c>
      <c r="F3180" t="str">
        <f t="shared" si="1284"/>
        <v>214021314</v>
      </c>
      <c r="G3180" t="str">
        <f>T("RICKOVER RM 35D")</f>
        <v>RICKOVER RM 35D</v>
      </c>
      <c r="H3180" t="str">
        <f>T("590 HOLLOWAY RD")</f>
        <v>590 HOLLOWAY RD</v>
      </c>
      <c r="I3180" t="str">
        <f t="shared" si="1288"/>
        <v>ANNAPOLIS</v>
      </c>
      <c r="J3180" t="str">
        <f t="shared" si="1289"/>
        <v>MD</v>
      </c>
      <c r="K3180" t="str">
        <f>T("")</f>
        <v/>
      </c>
      <c r="L3180" t="str">
        <f>T("4102935148")</f>
        <v>4102935148</v>
      </c>
    </row>
    <row r="3181" spans="1:12" x14ac:dyDescent="0.35">
      <c r="A3181" t="str">
        <f t="shared" si="1285"/>
        <v>US NAVAL ACADEMY</v>
      </c>
      <c r="B3181" t="str">
        <f t="shared" si="1290"/>
        <v>RICKOVER RM 35D</v>
      </c>
      <c r="C3181" t="str">
        <f t="shared" si="1283"/>
        <v>590 HOLLOWAY RD</v>
      </c>
      <c r="D3181" t="str">
        <f t="shared" si="1286"/>
        <v>ANNAPOLIS</v>
      </c>
      <c r="E3181" t="str">
        <f t="shared" si="1287"/>
        <v>MD</v>
      </c>
      <c r="F3181" t="str">
        <f t="shared" si="1284"/>
        <v>214021314</v>
      </c>
      <c r="G3181" t="str">
        <f>T("TSD - RICKOVER HALL RM 124D")</f>
        <v>TSD - RICKOVER HALL RM 124D</v>
      </c>
      <c r="H3181" t="str">
        <f>T("590 HOLLOWAY RD")</f>
        <v>590 HOLLOWAY RD</v>
      </c>
      <c r="I3181" t="str">
        <f t="shared" si="1288"/>
        <v>ANNAPOLIS</v>
      </c>
      <c r="J3181" t="str">
        <f t="shared" si="1289"/>
        <v>MD</v>
      </c>
      <c r="K3181" t="str">
        <f>T("4102935626")</f>
        <v>4102935626</v>
      </c>
      <c r="L3181" t="str">
        <f>T("4102935528")</f>
        <v>4102935528</v>
      </c>
    </row>
    <row r="3182" spans="1:12" x14ac:dyDescent="0.35">
      <c r="A3182" t="str">
        <f t="shared" si="1285"/>
        <v>US NAVAL ACADEMY</v>
      </c>
      <c r="B3182" t="str">
        <f t="shared" si="1290"/>
        <v>RICKOVER RM 35D</v>
      </c>
      <c r="C3182" t="str">
        <f t="shared" si="1283"/>
        <v>590 HOLLOWAY RD</v>
      </c>
      <c r="D3182" t="str">
        <f t="shared" si="1286"/>
        <v>ANNAPOLIS</v>
      </c>
      <c r="E3182" t="str">
        <f t="shared" si="1287"/>
        <v>MD</v>
      </c>
      <c r="F3182" t="str">
        <f t="shared" si="1284"/>
        <v>214021314</v>
      </c>
      <c r="G3182" t="str">
        <f>T("TSD- RICKOVER ROOM 25D")</f>
        <v>TSD- RICKOVER ROOM 25D</v>
      </c>
      <c r="H3182" t="str">
        <f>T("590 HOLLOWAY ROAD")</f>
        <v>590 HOLLOWAY ROAD</v>
      </c>
      <c r="I3182" t="str">
        <f t="shared" si="1288"/>
        <v>ANNAPOLIS</v>
      </c>
      <c r="J3182" t="str">
        <f t="shared" si="1289"/>
        <v>MD</v>
      </c>
      <c r="K3182" t="str">
        <f>T("000000000000000000")</f>
        <v>000000000000000000</v>
      </c>
      <c r="L3182" t="str">
        <f>T("4102935194")</f>
        <v>4102935194</v>
      </c>
    </row>
    <row r="3183" spans="1:12" x14ac:dyDescent="0.35">
      <c r="A3183" t="str">
        <f t="shared" si="1285"/>
        <v>US NAVAL ACADEMY</v>
      </c>
      <c r="B3183" t="str">
        <f>T("USNA/ADMISSIONS/LEAHY RM 303")</f>
        <v>USNA/ADMISSIONS/LEAHY RM 303</v>
      </c>
      <c r="C3183" t="str">
        <f>T("117 DECATUR RD")</f>
        <v>117 DECATUR RD</v>
      </c>
      <c r="D3183" t="str">
        <f t="shared" si="1286"/>
        <v>ANNAPOLIS</v>
      </c>
      <c r="E3183" t="str">
        <f t="shared" si="1287"/>
        <v>MD</v>
      </c>
      <c r="F3183" t="str">
        <f>T("214021370")</f>
        <v>214021370</v>
      </c>
      <c r="G3183" t="str">
        <f>T("OFFICE OF ADMISSIONS LEAHY HALL")</f>
        <v>OFFICE OF ADMISSIONS LEAHY HALL</v>
      </c>
      <c r="H3183" t="str">
        <f>T("117 DECATUR ROAD")</f>
        <v>117 DECATUR ROAD</v>
      </c>
      <c r="I3183" t="str">
        <f t="shared" si="1288"/>
        <v>ANNAPOLIS</v>
      </c>
      <c r="J3183" t="str">
        <f t="shared" si="1289"/>
        <v>MD</v>
      </c>
      <c r="K3183" t="str">
        <f>T("000000000000000000")</f>
        <v>000000000000000000</v>
      </c>
      <c r="L3183" t="str">
        <f>T("4102931827")</f>
        <v>4102931827</v>
      </c>
    </row>
    <row r="3184" spans="1:12" x14ac:dyDescent="0.35">
      <c r="A3184" t="str">
        <f t="shared" si="1285"/>
        <v>US NAVAL ACADEMY</v>
      </c>
      <c r="B3184" t="str">
        <f>T("USNA/ADMISSIONS/LEAHY RM 303")</f>
        <v>USNA/ADMISSIONS/LEAHY RM 303</v>
      </c>
      <c r="C3184" t="str">
        <f>T("117 DECATUR RD")</f>
        <v>117 DECATUR RD</v>
      </c>
      <c r="D3184" t="str">
        <f t="shared" si="1286"/>
        <v>ANNAPOLIS</v>
      </c>
      <c r="E3184" t="str">
        <f t="shared" si="1287"/>
        <v>MD</v>
      </c>
      <c r="F3184" t="str">
        <f>T("214021370")</f>
        <v>214021370</v>
      </c>
      <c r="G3184" t="str">
        <f>T("OFFICE OF ADMISSIONS LEAHYHALL")</f>
        <v>OFFICE OF ADMISSIONS LEAHYHALL</v>
      </c>
      <c r="H3184" t="str">
        <f>T("117 DECATUR ROAD")</f>
        <v>117 DECATUR ROAD</v>
      </c>
      <c r="I3184" t="str">
        <f t="shared" si="1288"/>
        <v>ANNAPOLIS</v>
      </c>
      <c r="J3184" t="str">
        <f t="shared" si="1289"/>
        <v>MD</v>
      </c>
      <c r="K3184" t="str">
        <f>T("000000000000000000")</f>
        <v>000000000000000000</v>
      </c>
      <c r="L3184" t="str">
        <f>T("4102931827")</f>
        <v>4102931827</v>
      </c>
    </row>
    <row r="3185" spans="1:12" x14ac:dyDescent="0.35">
      <c r="A3185" t="str">
        <f t="shared" si="1285"/>
        <v>US NAVAL ACADEMY</v>
      </c>
      <c r="B3185" t="str">
        <f>T("USNA/ADMISSIONS/LEAHY RM 303")</f>
        <v>USNA/ADMISSIONS/LEAHY RM 303</v>
      </c>
      <c r="C3185" t="str">
        <f>T("117 DECATUR RD")</f>
        <v>117 DECATUR RD</v>
      </c>
      <c r="D3185" t="str">
        <f t="shared" si="1286"/>
        <v>ANNAPOLIS</v>
      </c>
      <c r="E3185" t="str">
        <f t="shared" si="1287"/>
        <v>MD</v>
      </c>
      <c r="F3185" t="str">
        <f>T("214021370")</f>
        <v>214021370</v>
      </c>
      <c r="G3185" t="str">
        <f>T("USNA/ADMISSIONS/LEAHY RM 303")</f>
        <v>USNA/ADMISSIONS/LEAHY RM 303</v>
      </c>
      <c r="H3185" t="str">
        <f>T("117 DECATUR RD")</f>
        <v>117 DECATUR RD</v>
      </c>
      <c r="I3185" t="str">
        <f t="shared" si="1288"/>
        <v>ANNAPOLIS</v>
      </c>
      <c r="J3185" t="str">
        <f t="shared" si="1289"/>
        <v>MD</v>
      </c>
      <c r="K3185" t="str">
        <f>T("4102931828")</f>
        <v>4102931828</v>
      </c>
      <c r="L3185" t="str">
        <f>T("4102931884")</f>
        <v>4102931884</v>
      </c>
    </row>
    <row r="3186" spans="1:12" x14ac:dyDescent="0.35">
      <c r="A3186" t="str">
        <f t="shared" si="1285"/>
        <v>US NAVAL ACADEMY</v>
      </c>
      <c r="B3186" t="str">
        <f>T("USNA/CHARACTER DEVELOPMENT")</f>
        <v>USNA/CHARACTER DEVELOPMENT</v>
      </c>
      <c r="C3186" t="str">
        <f>T("101 BUCHANAN RD")</f>
        <v>101 BUCHANAN RD</v>
      </c>
      <c r="D3186" t="str">
        <f t="shared" si="1286"/>
        <v>ANNAPOLIS</v>
      </c>
      <c r="E3186" t="str">
        <f t="shared" si="1287"/>
        <v>MD</v>
      </c>
      <c r="F3186" t="str">
        <f>T("214025107")</f>
        <v>214025107</v>
      </c>
      <c r="G3186" t="str">
        <f>T("USNA/CHARACTER DEVELOPMENT")</f>
        <v>USNA/CHARACTER DEVELOPMENT</v>
      </c>
      <c r="H3186" t="str">
        <f>T("101 BUCHANAN RD")</f>
        <v>101 BUCHANAN RD</v>
      </c>
      <c r="I3186" t="str">
        <f t="shared" si="1288"/>
        <v>ANNAPOLIS</v>
      </c>
      <c r="J3186" t="str">
        <f t="shared" si="1289"/>
        <v>MD</v>
      </c>
      <c r="K3186" t="str">
        <f>T("4102931909")</f>
        <v>4102931909</v>
      </c>
      <c r="L3186" t="str">
        <f>T("4102931920")</f>
        <v>4102931920</v>
      </c>
    </row>
    <row r="3187" spans="1:12" x14ac:dyDescent="0.35">
      <c r="A3187" t="str">
        <f t="shared" ref="A3187:A3197" si="1291">T("NSTC GREAT LAKES")</f>
        <v>NSTC GREAT LAKES</v>
      </c>
      <c r="B3187" t="str">
        <f t="shared" ref="B3187:B3193" si="1292">T("250 DALLAS ST")</f>
        <v>250 DALLAS ST</v>
      </c>
      <c r="C3187" t="str">
        <f>T("NJROTC")</f>
        <v>NJROTC</v>
      </c>
      <c r="D3187" t="str">
        <f t="shared" ref="D3187:D3193" si="1293">T("PENSACOLA")</f>
        <v>PENSACOLA</v>
      </c>
      <c r="E3187" t="str">
        <f t="shared" ref="E3187:E3193" si="1294">T("FL")</f>
        <v>FL</v>
      </c>
      <c r="F3187" t="str">
        <f t="shared" ref="F3187:F3193" si="1295">T("325085218")</f>
        <v>325085218</v>
      </c>
      <c r="G3187" t="str">
        <f>T("250 DALLAS ST")</f>
        <v>250 DALLAS ST</v>
      </c>
      <c r="H3187" t="str">
        <f>T("NJROTC")</f>
        <v>NJROTC</v>
      </c>
      <c r="I3187" t="str">
        <f t="shared" ref="I3187:I3193" si="1296">T("PENSACOLA")</f>
        <v>PENSACOLA</v>
      </c>
      <c r="J3187" t="str">
        <f t="shared" ref="J3187:J3193" si="1297">T("FL")</f>
        <v>FL</v>
      </c>
      <c r="K3187" t="str">
        <f>T("000000000000000000")</f>
        <v>000000000000000000</v>
      </c>
      <c r="L3187" t="str">
        <f>T("8504529483")</f>
        <v>8504529483</v>
      </c>
    </row>
    <row r="3188" spans="1:12" x14ac:dyDescent="0.35">
      <c r="A3188" t="str">
        <f t="shared" si="1291"/>
        <v>NSTC GREAT LAKES</v>
      </c>
      <c r="B3188" t="str">
        <f t="shared" si="1292"/>
        <v>250 DALLAS ST</v>
      </c>
      <c r="C3188" t="str">
        <f>T("NJROTC")</f>
        <v>NJROTC</v>
      </c>
      <c r="D3188" t="str">
        <f t="shared" si="1293"/>
        <v>PENSACOLA</v>
      </c>
      <c r="E3188" t="str">
        <f t="shared" si="1294"/>
        <v>FL</v>
      </c>
      <c r="F3188" t="str">
        <f t="shared" si="1295"/>
        <v>325085218</v>
      </c>
      <c r="G3188" t="str">
        <f>T("250 DALLAS STREET")</f>
        <v>250 DALLAS STREET</v>
      </c>
      <c r="H3188" t="str">
        <f>T("")</f>
        <v/>
      </c>
      <c r="I3188" t="str">
        <f t="shared" si="1296"/>
        <v>PENSACOLA</v>
      </c>
      <c r="J3188" t="str">
        <f t="shared" si="1297"/>
        <v>FL</v>
      </c>
      <c r="K3188" t="str">
        <f>T("000000000000000000")</f>
        <v>000000000000000000</v>
      </c>
      <c r="L3188" t="str">
        <f>T("8504529507")</f>
        <v>8504529507</v>
      </c>
    </row>
    <row r="3189" spans="1:12" x14ac:dyDescent="0.35">
      <c r="A3189" t="str">
        <f t="shared" si="1291"/>
        <v>NSTC GREAT LAKES</v>
      </c>
      <c r="B3189" t="str">
        <f t="shared" si="1292"/>
        <v>250 DALLAS ST</v>
      </c>
      <c r="C3189" t="str">
        <f>T("NJROTC")</f>
        <v>NJROTC</v>
      </c>
      <c r="D3189" t="str">
        <f t="shared" si="1293"/>
        <v>PENSACOLA</v>
      </c>
      <c r="E3189" t="str">
        <f t="shared" si="1294"/>
        <v>FL</v>
      </c>
      <c r="F3189" t="str">
        <f t="shared" si="1295"/>
        <v>325085218</v>
      </c>
      <c r="G3189" t="str">
        <f>T("250 DALLAS STREET")</f>
        <v>250 DALLAS STREET</v>
      </c>
      <c r="H3189" t="str">
        <f>T("")</f>
        <v/>
      </c>
      <c r="I3189" t="str">
        <f t="shared" si="1296"/>
        <v>PENSACOLA</v>
      </c>
      <c r="J3189" t="str">
        <f t="shared" si="1297"/>
        <v>FL</v>
      </c>
      <c r="K3189" t="str">
        <f>T("8504524954")</f>
        <v>8504524954</v>
      </c>
      <c r="L3189" t="str">
        <f>T("8504529508")</f>
        <v>8504529508</v>
      </c>
    </row>
    <row r="3190" spans="1:12" x14ac:dyDescent="0.35">
      <c r="A3190" t="str">
        <f t="shared" si="1291"/>
        <v>NSTC GREAT LAKES</v>
      </c>
      <c r="B3190" t="str">
        <f t="shared" si="1292"/>
        <v>250 DALLAS ST</v>
      </c>
      <c r="C3190" t="str">
        <f>T("NROTC")</f>
        <v>NROTC</v>
      </c>
      <c r="D3190" t="str">
        <f t="shared" si="1293"/>
        <v>PENSACOLA</v>
      </c>
      <c r="E3190" t="str">
        <f t="shared" si="1294"/>
        <v>FL</v>
      </c>
      <c r="F3190" t="str">
        <f t="shared" si="1295"/>
        <v>325085218</v>
      </c>
      <c r="G3190" t="str">
        <f>T("250 DALLAS ST")</f>
        <v>250 DALLAS ST</v>
      </c>
      <c r="H3190" t="str">
        <f>T("NROTC")</f>
        <v>NROTC</v>
      </c>
      <c r="I3190" t="str">
        <f t="shared" si="1296"/>
        <v>PENSACOLA</v>
      </c>
      <c r="J3190" t="str">
        <f t="shared" si="1297"/>
        <v>FL</v>
      </c>
      <c r="K3190" t="str">
        <f>T("000000000000000000")</f>
        <v>000000000000000000</v>
      </c>
      <c r="L3190" t="str">
        <f>T("8504529258")</f>
        <v>8504529258</v>
      </c>
    </row>
    <row r="3191" spans="1:12" x14ac:dyDescent="0.35">
      <c r="A3191" t="str">
        <f t="shared" si="1291"/>
        <v>NSTC GREAT LAKES</v>
      </c>
      <c r="B3191" t="str">
        <f t="shared" si="1292"/>
        <v>250 DALLAS ST</v>
      </c>
      <c r="C3191" t="str">
        <f>T("NROTC")</f>
        <v>NROTC</v>
      </c>
      <c r="D3191" t="str">
        <f t="shared" si="1293"/>
        <v>PENSACOLA</v>
      </c>
      <c r="E3191" t="str">
        <f t="shared" si="1294"/>
        <v>FL</v>
      </c>
      <c r="F3191" t="str">
        <f t="shared" si="1295"/>
        <v>325085218</v>
      </c>
      <c r="G3191" t="str">
        <f>T("CODE OD")</f>
        <v>CODE OD</v>
      </c>
      <c r="H3191" t="str">
        <f>T("250 DALLAS STREET STE A")</f>
        <v>250 DALLAS STREET STE A</v>
      </c>
      <c r="I3191" t="str">
        <f t="shared" si="1296"/>
        <v>PENSACOLA</v>
      </c>
      <c r="J3191" t="str">
        <f t="shared" si="1297"/>
        <v>FL</v>
      </c>
      <c r="K3191" t="str">
        <f>T("000000000000000000")</f>
        <v>000000000000000000</v>
      </c>
      <c r="L3191" t="str">
        <f>T("8504523084")</f>
        <v>8504523084</v>
      </c>
    </row>
    <row r="3192" spans="1:12" x14ac:dyDescent="0.35">
      <c r="A3192" t="str">
        <f t="shared" si="1291"/>
        <v>NSTC GREAT LAKES</v>
      </c>
      <c r="B3192" t="str">
        <f t="shared" si="1292"/>
        <v>250 DALLAS ST</v>
      </c>
      <c r="C3192" t="str">
        <f>T("NROTC")</f>
        <v>NROTC</v>
      </c>
      <c r="D3192" t="str">
        <f t="shared" si="1293"/>
        <v>PENSACOLA</v>
      </c>
      <c r="E3192" t="str">
        <f t="shared" si="1294"/>
        <v>FL</v>
      </c>
      <c r="F3192" t="str">
        <f t="shared" si="1295"/>
        <v>325085218</v>
      </c>
      <c r="G3192" t="str">
        <f>T("CODE OD")</f>
        <v>CODE OD</v>
      </c>
      <c r="H3192" t="str">
        <f>T("250 DALLAS STREET STE A")</f>
        <v>250 DALLAS STREET STE A</v>
      </c>
      <c r="I3192" t="str">
        <f t="shared" si="1296"/>
        <v>PENSACOLA</v>
      </c>
      <c r="J3192" t="str">
        <f t="shared" si="1297"/>
        <v>FL</v>
      </c>
      <c r="K3192" t="str">
        <f>T("8404524943")</f>
        <v>8404524943</v>
      </c>
      <c r="L3192" t="str">
        <f>T("8504524414")</f>
        <v>8504524414</v>
      </c>
    </row>
    <row r="3193" spans="1:12" x14ac:dyDescent="0.35">
      <c r="A3193" t="str">
        <f t="shared" si="1291"/>
        <v>NSTC GREAT LAKES</v>
      </c>
      <c r="B3193" t="str">
        <f t="shared" si="1292"/>
        <v>250 DALLAS ST</v>
      </c>
      <c r="C3193" t="str">
        <f>T("NROTC")</f>
        <v>NROTC</v>
      </c>
      <c r="D3193" t="str">
        <f t="shared" si="1293"/>
        <v>PENSACOLA</v>
      </c>
      <c r="E3193" t="str">
        <f t="shared" si="1294"/>
        <v>FL</v>
      </c>
      <c r="F3193" t="str">
        <f t="shared" si="1295"/>
        <v>325085218</v>
      </c>
      <c r="G3193" t="str">
        <f>T("CODE OD")</f>
        <v>CODE OD</v>
      </c>
      <c r="H3193" t="str">
        <f>T("250 DALLAS STREET STE A")</f>
        <v>250 DALLAS STREET STE A</v>
      </c>
      <c r="I3193" t="str">
        <f t="shared" si="1296"/>
        <v>PENSACOLA</v>
      </c>
      <c r="J3193" t="str">
        <f t="shared" si="1297"/>
        <v>FL</v>
      </c>
      <c r="K3193" t="str">
        <f>T("8404524943")</f>
        <v>8404524943</v>
      </c>
      <c r="L3193" t="str">
        <f>T("8504524974")</f>
        <v>8504524974</v>
      </c>
    </row>
    <row r="3194" spans="1:12" x14ac:dyDescent="0.35">
      <c r="A3194" t="str">
        <f t="shared" si="1291"/>
        <v>NSTC GREAT LAKES</v>
      </c>
      <c r="B3194" t="str">
        <f>T("2601A PAUL JONES ST")</f>
        <v>2601A PAUL JONES ST</v>
      </c>
      <c r="C3194" t="str">
        <f>T("BLDG 1 RM 237")</f>
        <v>BLDG 1 RM 237</v>
      </c>
      <c r="D3194" t="str">
        <f t="shared" ref="D3194:D3200" si="1298">T("GREAT LAKES")</f>
        <v>GREAT LAKES</v>
      </c>
      <c r="E3194" t="str">
        <f t="shared" ref="E3194:E3200" si="1299">T("IL")</f>
        <v>IL</v>
      </c>
      <c r="F3194" t="str">
        <f>T("600882845")</f>
        <v>600882845</v>
      </c>
      <c r="G3194" t="str">
        <f>T("2601A PAUL JONES ST")</f>
        <v>2601A PAUL JONES ST</v>
      </c>
      <c r="H3194" t="str">
        <f>T("BLDG 1 RM 237")</f>
        <v>BLDG 1 RM 237</v>
      </c>
      <c r="I3194" t="str">
        <f t="shared" ref="I3194:I3200" si="1300">T("GREAT LAKES")</f>
        <v>GREAT LAKES</v>
      </c>
      <c r="J3194" t="str">
        <f t="shared" ref="J3194:J3200" si="1301">T("IL")</f>
        <v>IL</v>
      </c>
      <c r="K3194" t="str">
        <f>T("000000000000000000")</f>
        <v>000000000000000000</v>
      </c>
      <c r="L3194" t="str">
        <f>T("8476884141")</f>
        <v>8476884141</v>
      </c>
    </row>
    <row r="3195" spans="1:12" x14ac:dyDescent="0.35">
      <c r="A3195" t="str">
        <f t="shared" si="1291"/>
        <v>NSTC GREAT LAKES</v>
      </c>
      <c r="B3195" t="str">
        <f>T("2601A PAUL JONES ST")</f>
        <v>2601A PAUL JONES ST</v>
      </c>
      <c r="C3195" t="str">
        <f>T("BLDG 1 RM 237")</f>
        <v>BLDG 1 RM 237</v>
      </c>
      <c r="D3195" t="str">
        <f t="shared" si="1298"/>
        <v>GREAT LAKES</v>
      </c>
      <c r="E3195" t="str">
        <f t="shared" si="1299"/>
        <v>IL</v>
      </c>
      <c r="F3195" t="str">
        <f>T("600882845")</f>
        <v>600882845</v>
      </c>
      <c r="G3195" t="str">
        <f>T("2601A PAUL JONES STREET")</f>
        <v>2601A PAUL JONES STREET</v>
      </c>
      <c r="H3195" t="str">
        <f>T("BLDG 1 RM 237")</f>
        <v>BLDG 1 RM 237</v>
      </c>
      <c r="I3195" t="str">
        <f t="shared" si="1300"/>
        <v>GREAT LAKES</v>
      </c>
      <c r="J3195" t="str">
        <f t="shared" si="1301"/>
        <v>IL</v>
      </c>
      <c r="K3195" t="str">
        <f>T("8476883277")</f>
        <v>8476883277</v>
      </c>
      <c r="L3195" t="str">
        <f>T("8476884141")</f>
        <v>8476884141</v>
      </c>
    </row>
    <row r="3196" spans="1:12" x14ac:dyDescent="0.35">
      <c r="A3196" t="str">
        <f t="shared" si="1291"/>
        <v>NSTC GREAT LAKES</v>
      </c>
      <c r="B3196" t="str">
        <f>T("2601A PAUL JONES ST")</f>
        <v>2601A PAUL JONES ST</v>
      </c>
      <c r="C3196" t="str">
        <f>T("BLDG 1 RM 237")</f>
        <v>BLDG 1 RM 237</v>
      </c>
      <c r="D3196" t="str">
        <f t="shared" si="1298"/>
        <v>GREAT LAKES</v>
      </c>
      <c r="E3196" t="str">
        <f t="shared" si="1299"/>
        <v>IL</v>
      </c>
      <c r="F3196" t="str">
        <f>T("600882845")</f>
        <v>600882845</v>
      </c>
      <c r="G3196" t="str">
        <f>T("2601A PAUL JONES STREET")</f>
        <v>2601A PAUL JONES STREET</v>
      </c>
      <c r="H3196" t="str">
        <f>T("BLDG 1 RM 237")</f>
        <v>BLDG 1 RM 237</v>
      </c>
      <c r="I3196" t="str">
        <f t="shared" si="1300"/>
        <v>GREAT LAKES</v>
      </c>
      <c r="J3196" t="str">
        <f t="shared" si="1301"/>
        <v>IL</v>
      </c>
      <c r="K3196" t="str">
        <f>T("8476883277")</f>
        <v>8476883277</v>
      </c>
      <c r="L3196" t="str">
        <f>T("8476884509")</f>
        <v>8476884509</v>
      </c>
    </row>
    <row r="3197" spans="1:12" x14ac:dyDescent="0.35">
      <c r="A3197" t="str">
        <f t="shared" si="1291"/>
        <v>NSTC GREAT LAKES</v>
      </c>
      <c r="B3197" t="str">
        <f>T("2601A PAUL JONES ST")</f>
        <v>2601A PAUL JONES ST</v>
      </c>
      <c r="C3197" t="str">
        <f>T("BLDG 1 RM 237")</f>
        <v>BLDG 1 RM 237</v>
      </c>
      <c r="D3197" t="str">
        <f t="shared" si="1298"/>
        <v>GREAT LAKES</v>
      </c>
      <c r="E3197" t="str">
        <f t="shared" si="1299"/>
        <v>IL</v>
      </c>
      <c r="F3197" t="str">
        <f>T("600882845")</f>
        <v>600882845</v>
      </c>
      <c r="G3197" t="str">
        <f>T("2601A PAUL JONES STREET")</f>
        <v>2601A PAUL JONES STREET</v>
      </c>
      <c r="H3197" t="str">
        <f>T("BLDG 1 RM 237")</f>
        <v>BLDG 1 RM 237</v>
      </c>
      <c r="I3197" t="str">
        <f t="shared" si="1300"/>
        <v>GREAT LAKES</v>
      </c>
      <c r="J3197" t="str">
        <f t="shared" si="1301"/>
        <v>IL</v>
      </c>
      <c r="K3197" t="str">
        <f>T("8476884509439")</f>
        <v>8476884509439</v>
      </c>
      <c r="L3197" t="str">
        <f>T("8476884509")</f>
        <v>8476884509</v>
      </c>
    </row>
    <row r="3198" spans="1:12" x14ac:dyDescent="0.35">
      <c r="A3198" t="str">
        <f>T("SUPPLY DEPT")</f>
        <v>SUPPLY DEPT</v>
      </c>
      <c r="B3198" t="str">
        <f>T("3811 INDIANA ST")</f>
        <v>3811 INDIANA ST</v>
      </c>
      <c r="C3198" t="str">
        <f>T("BLDG 7210 SUPPLY DEPT")</f>
        <v>BLDG 7210 SUPPLY DEPT</v>
      </c>
      <c r="D3198" t="str">
        <f t="shared" si="1298"/>
        <v>GREAT LAKES</v>
      </c>
      <c r="E3198" t="str">
        <f t="shared" si="1299"/>
        <v>IL</v>
      </c>
      <c r="F3198" t="str">
        <f>T("600883150")</f>
        <v>600883150</v>
      </c>
      <c r="G3198" t="str">
        <f>T("3811 INDIANA ST")</f>
        <v>3811 INDIANA ST</v>
      </c>
      <c r="H3198" t="str">
        <f>T("BLDG 7210")</f>
        <v>BLDG 7210</v>
      </c>
      <c r="I3198" t="str">
        <f t="shared" si="1300"/>
        <v>GREAT LAKES</v>
      </c>
      <c r="J3198" t="str">
        <f t="shared" si="1301"/>
        <v>IL</v>
      </c>
      <c r="K3198" t="str">
        <f>T("8476884393")</f>
        <v>8476884393</v>
      </c>
      <c r="L3198" t="str">
        <f>T("8476884980")</f>
        <v>8476884980</v>
      </c>
    </row>
    <row r="3199" spans="1:12" x14ac:dyDescent="0.35">
      <c r="A3199" t="str">
        <f>T("SUPPLY DEPT")</f>
        <v>SUPPLY DEPT</v>
      </c>
      <c r="B3199" t="str">
        <f>T("3811 INDIANA ST")</f>
        <v>3811 INDIANA ST</v>
      </c>
      <c r="C3199" t="str">
        <f>T("BLDG 7210 SUPPLY DEPT")</f>
        <v>BLDG 7210 SUPPLY DEPT</v>
      </c>
      <c r="D3199" t="str">
        <f t="shared" si="1298"/>
        <v>GREAT LAKES</v>
      </c>
      <c r="E3199" t="str">
        <f t="shared" si="1299"/>
        <v>IL</v>
      </c>
      <c r="F3199" t="str">
        <f>T("600883150")</f>
        <v>600883150</v>
      </c>
      <c r="G3199" t="str">
        <f>T("3811 INDIANA ST")</f>
        <v>3811 INDIANA ST</v>
      </c>
      <c r="H3199" t="str">
        <f>T("BLDG 7210 SUPPLY DEPT")</f>
        <v>BLDG 7210 SUPPLY DEPT</v>
      </c>
      <c r="I3199" t="str">
        <f t="shared" si="1300"/>
        <v>GREAT LAKES</v>
      </c>
      <c r="J3199" t="str">
        <f t="shared" si="1301"/>
        <v>IL</v>
      </c>
      <c r="K3199" t="str">
        <f>T("8476885393")</f>
        <v>8476885393</v>
      </c>
      <c r="L3199" t="str">
        <f>T("8476882720")</f>
        <v>8476882720</v>
      </c>
    </row>
    <row r="3200" spans="1:12" x14ac:dyDescent="0.35">
      <c r="A3200" t="str">
        <f>T("SUPPLY DEPT")</f>
        <v>SUPPLY DEPT</v>
      </c>
      <c r="B3200" t="str">
        <f>T("3811 INDIANA ST")</f>
        <v>3811 INDIANA ST</v>
      </c>
      <c r="C3200" t="str">
        <f>T("BLDG 7210 SUPPLY DEPT")</f>
        <v>BLDG 7210 SUPPLY DEPT</v>
      </c>
      <c r="D3200" t="str">
        <f t="shared" si="1298"/>
        <v>GREAT LAKES</v>
      </c>
      <c r="E3200" t="str">
        <f t="shared" si="1299"/>
        <v>IL</v>
      </c>
      <c r="F3200" t="str">
        <f>T("600883150")</f>
        <v>600883150</v>
      </c>
      <c r="G3200" t="str">
        <f>T("3811 INDIANA ST BLDG 7210")</f>
        <v>3811 INDIANA ST BLDG 7210</v>
      </c>
      <c r="H3200" t="str">
        <f>T("SUPPLY DEPT")</f>
        <v>SUPPLY DEPT</v>
      </c>
      <c r="I3200" t="str">
        <f t="shared" si="1300"/>
        <v>GREAT LAKES</v>
      </c>
      <c r="J3200" t="str">
        <f t="shared" si="1301"/>
        <v>IL</v>
      </c>
      <c r="K3200" t="str">
        <f>T("000000000000000000")</f>
        <v>000000000000000000</v>
      </c>
      <c r="L3200" t="str">
        <f>T("8476884980")</f>
        <v>8476884980</v>
      </c>
    </row>
    <row r="3201" spans="1:12" x14ac:dyDescent="0.35">
      <c r="A3201" t="str">
        <f>T("OFFICER TRAINING CMD NEWPORT")</f>
        <v>OFFICER TRAINING CMD NEWPORT</v>
      </c>
      <c r="B3201" t="str">
        <f>T("OFFICER TRAINING COMMAND")</f>
        <v>OFFICER TRAINING COMMAND</v>
      </c>
      <c r="C3201" t="str">
        <f>T("1356 MEYERKORD AVE")</f>
        <v>1356 MEYERKORD AVE</v>
      </c>
      <c r="D3201" t="str">
        <f>T("NEWPORT")</f>
        <v>NEWPORT</v>
      </c>
      <c r="E3201" t="str">
        <f>T("RI")</f>
        <v>RI</v>
      </c>
      <c r="F3201" t="str">
        <f>T("028411212")</f>
        <v>028411212</v>
      </c>
      <c r="G3201" t="str">
        <f>T("1356 MEYERKORD AVENUE")</f>
        <v>1356 MEYERKORD AVENUE</v>
      </c>
      <c r="H3201" t="str">
        <f>T("")</f>
        <v/>
      </c>
      <c r="I3201" t="str">
        <f>T("NEWPORT")</f>
        <v>NEWPORT</v>
      </c>
      <c r="J3201" t="str">
        <f>T("RI")</f>
        <v>RI</v>
      </c>
      <c r="K3201" t="str">
        <f>T("000000000000000000")</f>
        <v>000000000000000000</v>
      </c>
      <c r="L3201" t="str">
        <f>T("4018411510")</f>
        <v>4018411510</v>
      </c>
    </row>
    <row r="3202" spans="1:12" x14ac:dyDescent="0.35">
      <c r="A3202" t="str">
        <f>T("OFFICER TRAINING CMD NEWPORT")</f>
        <v>OFFICER TRAINING CMD NEWPORT</v>
      </c>
      <c r="B3202" t="str">
        <f>T("OFFICER TRAINING COMMAND")</f>
        <v>OFFICER TRAINING COMMAND</v>
      </c>
      <c r="C3202" t="str">
        <f>T("1356 MEYERKORD AVE")</f>
        <v>1356 MEYERKORD AVE</v>
      </c>
      <c r="D3202" t="str">
        <f>T("NEWPORT")</f>
        <v>NEWPORT</v>
      </c>
      <c r="E3202" t="str">
        <f>T("RI")</f>
        <v>RI</v>
      </c>
      <c r="F3202" t="str">
        <f>T("028411212")</f>
        <v>028411212</v>
      </c>
      <c r="G3202" t="str">
        <f>T("1356 MEYERKORD AVENUE")</f>
        <v>1356 MEYERKORD AVENUE</v>
      </c>
      <c r="H3202" t="str">
        <f>T("")</f>
        <v/>
      </c>
      <c r="I3202" t="str">
        <f>T("NEWPORT")</f>
        <v>NEWPORT</v>
      </c>
      <c r="J3202" t="str">
        <f>T("RI")</f>
        <v>RI</v>
      </c>
      <c r="K3202" t="str">
        <f>T("000000000000000000")</f>
        <v>000000000000000000</v>
      </c>
      <c r="L3202" t="str">
        <f>T("4018417930")</f>
        <v>4018417930</v>
      </c>
    </row>
    <row r="3203" spans="1:12" x14ac:dyDescent="0.35">
      <c r="A3203" t="str">
        <f>T("OFFICER TRAINING CMD NEWPORT")</f>
        <v>OFFICER TRAINING CMD NEWPORT</v>
      </c>
      <c r="B3203" t="str">
        <f>T("OFFICER TRAINING COMMAND")</f>
        <v>OFFICER TRAINING COMMAND</v>
      </c>
      <c r="C3203" t="str">
        <f>T("1356 MEYERKORD AVE")</f>
        <v>1356 MEYERKORD AVE</v>
      </c>
      <c r="D3203" t="str">
        <f>T("NEWPORT")</f>
        <v>NEWPORT</v>
      </c>
      <c r="E3203" t="str">
        <f>T("RI")</f>
        <v>RI</v>
      </c>
      <c r="F3203" t="str">
        <f>T("028411212")</f>
        <v>028411212</v>
      </c>
      <c r="G3203" t="str">
        <f>T("OFFICER TRAINING COMMAND")</f>
        <v>OFFICER TRAINING COMMAND</v>
      </c>
      <c r="H3203" t="str">
        <f>T("1356 MEYERKORD AVE")</f>
        <v>1356 MEYERKORD AVE</v>
      </c>
      <c r="I3203" t="str">
        <f>T("NEWPORT")</f>
        <v>NEWPORT</v>
      </c>
      <c r="J3203" t="str">
        <f>T("RI")</f>
        <v>RI</v>
      </c>
      <c r="K3203" t="str">
        <f>T("4018417012")</f>
        <v>4018417012</v>
      </c>
      <c r="L3203" t="str">
        <f>T("4018411197")</f>
        <v>4018411197</v>
      </c>
    </row>
    <row r="3204" spans="1:12" x14ac:dyDescent="0.35">
      <c r="A3204" t="str">
        <f t="shared" ref="A3204:A3212" si="1302">T("TSC HAMPTON RD DAM NECK")</f>
        <v>TSC HAMPTON RD DAM NECK</v>
      </c>
      <c r="B3204" t="str">
        <f t="shared" ref="B3204:B3212" si="1303">T("2025 TARTAR AVE BLDG 543")</f>
        <v>2025 TARTAR AVE BLDG 543</v>
      </c>
      <c r="C3204" t="str">
        <f t="shared" ref="C3204:C3212" si="1304">T("")</f>
        <v/>
      </c>
      <c r="D3204" t="str">
        <f t="shared" ref="D3204:D3212" si="1305">T("VIRGINIA BCH")</f>
        <v>VIRGINIA BCH</v>
      </c>
      <c r="E3204" t="str">
        <f t="shared" ref="E3204:E3212" si="1306">T("VA")</f>
        <v>VA</v>
      </c>
      <c r="F3204" t="str">
        <f t="shared" ref="F3204:F3212" si="1307">T("234611930")</f>
        <v>234611930</v>
      </c>
      <c r="G3204" t="str">
        <f>T("2025 TARTAR AVE BLDG 543")</f>
        <v>2025 TARTAR AVE BLDG 543</v>
      </c>
      <c r="H3204" t="str">
        <f>T("")</f>
        <v/>
      </c>
      <c r="I3204" t="str">
        <f>T("VIRGINIA BCH")</f>
        <v>VIRGINIA BCH</v>
      </c>
      <c r="J3204" t="str">
        <f t="shared" ref="J3204:J3212" si="1308">T("VA")</f>
        <v>VA</v>
      </c>
      <c r="K3204" t="str">
        <f>T("7574926390")</f>
        <v>7574926390</v>
      </c>
      <c r="L3204" t="str">
        <f>T("7574927744")</f>
        <v>7574927744</v>
      </c>
    </row>
    <row r="3205" spans="1:12" x14ac:dyDescent="0.35">
      <c r="A3205" t="str">
        <f t="shared" si="1302"/>
        <v>TSC HAMPTON RD DAM NECK</v>
      </c>
      <c r="B3205" t="str">
        <f t="shared" si="1303"/>
        <v>2025 TARTAR AVE BLDG 543</v>
      </c>
      <c r="C3205" t="str">
        <f t="shared" si="1304"/>
        <v/>
      </c>
      <c r="D3205" t="str">
        <f t="shared" si="1305"/>
        <v>VIRGINIA BCH</v>
      </c>
      <c r="E3205" t="str">
        <f t="shared" si="1306"/>
        <v>VA</v>
      </c>
      <c r="F3205" t="str">
        <f t="shared" si="1307"/>
        <v>234611930</v>
      </c>
      <c r="G3205" t="str">
        <f>T("TSC-HAMPTON ROAD")</f>
        <v>TSC-HAMPTON ROAD</v>
      </c>
      <c r="H3205" t="str">
        <f>T("2025 TARTAR AVE CODE N82")</f>
        <v>2025 TARTAR AVE CODE N82</v>
      </c>
      <c r="I3205" t="str">
        <f t="shared" ref="I3205:I3212" si="1309">T("VIRGINIA BEACH")</f>
        <v>VIRGINIA BEACH</v>
      </c>
      <c r="J3205" t="str">
        <f t="shared" si="1308"/>
        <v>VA</v>
      </c>
      <c r="K3205" t="str">
        <f>T("000000000000000000")</f>
        <v>000000000000000000</v>
      </c>
      <c r="L3205" t="str">
        <f>T("7574926319")</f>
        <v>7574926319</v>
      </c>
    </row>
    <row r="3206" spans="1:12" x14ac:dyDescent="0.35">
      <c r="A3206" t="str">
        <f t="shared" si="1302"/>
        <v>TSC HAMPTON RD DAM NECK</v>
      </c>
      <c r="B3206" t="str">
        <f t="shared" si="1303"/>
        <v>2025 TARTAR AVE BLDG 543</v>
      </c>
      <c r="C3206" t="str">
        <f t="shared" si="1304"/>
        <v/>
      </c>
      <c r="D3206" t="str">
        <f t="shared" si="1305"/>
        <v>VIRGINIA BCH</v>
      </c>
      <c r="E3206" t="str">
        <f t="shared" si="1306"/>
        <v>VA</v>
      </c>
      <c r="F3206" t="str">
        <f t="shared" si="1307"/>
        <v>234611930</v>
      </c>
      <c r="G3206" t="str">
        <f>T("TSC-HAMPTON ROADS")</f>
        <v>TSC-HAMPTON ROADS</v>
      </c>
      <c r="H3206" t="str">
        <f>T("2025 TARTAR AVE CODE N82")</f>
        <v>2025 TARTAR AVE CODE N82</v>
      </c>
      <c r="I3206" t="str">
        <f t="shared" si="1309"/>
        <v>VIRGINIA BEACH</v>
      </c>
      <c r="J3206" t="str">
        <f t="shared" si="1308"/>
        <v>VA</v>
      </c>
      <c r="K3206" t="str">
        <f>T("7574926562")</f>
        <v>7574926562</v>
      </c>
      <c r="L3206" t="str">
        <f>T("7574925794")</f>
        <v>7574925794</v>
      </c>
    </row>
    <row r="3207" spans="1:12" x14ac:dyDescent="0.35">
      <c r="A3207" t="str">
        <f t="shared" si="1302"/>
        <v>TSC HAMPTON RD DAM NECK</v>
      </c>
      <c r="B3207" t="str">
        <f t="shared" si="1303"/>
        <v>2025 TARTAR AVE BLDG 543</v>
      </c>
      <c r="C3207" t="str">
        <f t="shared" si="1304"/>
        <v/>
      </c>
      <c r="D3207" t="str">
        <f t="shared" si="1305"/>
        <v>VIRGINIA BCH</v>
      </c>
      <c r="E3207" t="str">
        <f t="shared" si="1306"/>
        <v>VA</v>
      </c>
      <c r="F3207" t="str">
        <f t="shared" si="1307"/>
        <v>234611930</v>
      </c>
      <c r="G3207" t="str">
        <f>T("TSC-HAMPTON ROADS")</f>
        <v>TSC-HAMPTON ROADS</v>
      </c>
      <c r="H3207" t="str">
        <f>T("2025 TARTAR AVE CODE N82")</f>
        <v>2025 TARTAR AVE CODE N82</v>
      </c>
      <c r="I3207" t="str">
        <f t="shared" si="1309"/>
        <v>VIRGINIA BEACH</v>
      </c>
      <c r="J3207" t="str">
        <f t="shared" si="1308"/>
        <v>VA</v>
      </c>
      <c r="K3207" t="str">
        <f>T("7574926562")</f>
        <v>7574926562</v>
      </c>
      <c r="L3207" t="str">
        <f>T("7574926295")</f>
        <v>7574926295</v>
      </c>
    </row>
    <row r="3208" spans="1:12" x14ac:dyDescent="0.35">
      <c r="A3208" t="str">
        <f t="shared" si="1302"/>
        <v>TSC HAMPTON RD DAM NECK</v>
      </c>
      <c r="B3208" t="str">
        <f t="shared" si="1303"/>
        <v>2025 TARTAR AVE BLDG 543</v>
      </c>
      <c r="C3208" t="str">
        <f t="shared" si="1304"/>
        <v/>
      </c>
      <c r="D3208" t="str">
        <f t="shared" si="1305"/>
        <v>VIRGINIA BCH</v>
      </c>
      <c r="E3208" t="str">
        <f t="shared" si="1306"/>
        <v>VA</v>
      </c>
      <c r="F3208" t="str">
        <f t="shared" si="1307"/>
        <v>234611930</v>
      </c>
      <c r="G3208" t="str">
        <f>T("TSC-HAMPTON ROADS")</f>
        <v>TSC-HAMPTON ROADS</v>
      </c>
      <c r="H3208" t="str">
        <f>T("2025 TARTAR AVE CODE N82")</f>
        <v>2025 TARTAR AVE CODE N82</v>
      </c>
      <c r="I3208" t="str">
        <f t="shared" si="1309"/>
        <v>VIRGINIA BEACH</v>
      </c>
      <c r="J3208" t="str">
        <f t="shared" si="1308"/>
        <v>VA</v>
      </c>
      <c r="K3208" t="str">
        <f>T("7574926562")</f>
        <v>7574926562</v>
      </c>
      <c r="L3208" t="str">
        <f>T("7574926425")</f>
        <v>7574926425</v>
      </c>
    </row>
    <row r="3209" spans="1:12" x14ac:dyDescent="0.35">
      <c r="A3209" t="str">
        <f t="shared" si="1302"/>
        <v>TSC HAMPTON RD DAM NECK</v>
      </c>
      <c r="B3209" t="str">
        <f t="shared" si="1303"/>
        <v>2025 TARTAR AVE BLDG 543</v>
      </c>
      <c r="C3209" t="str">
        <f t="shared" si="1304"/>
        <v/>
      </c>
      <c r="D3209" t="str">
        <f t="shared" si="1305"/>
        <v>VIRGINIA BCH</v>
      </c>
      <c r="E3209" t="str">
        <f t="shared" si="1306"/>
        <v>VA</v>
      </c>
      <c r="F3209" t="str">
        <f t="shared" si="1307"/>
        <v>234611930</v>
      </c>
      <c r="G3209" t="str">
        <f>T("TSC-HAMPTON ROADS")</f>
        <v>TSC-HAMPTON ROADS</v>
      </c>
      <c r="H3209" t="str">
        <f>T("2025 TARTAR AVE CODEN82")</f>
        <v>2025 TARTAR AVE CODEN82</v>
      </c>
      <c r="I3209" t="str">
        <f t="shared" si="1309"/>
        <v>VIRGINIA BEACH</v>
      </c>
      <c r="J3209" t="str">
        <f t="shared" si="1308"/>
        <v>VA</v>
      </c>
      <c r="K3209" t="str">
        <f>T("000000000000000000")</f>
        <v>000000000000000000</v>
      </c>
      <c r="L3209" t="str">
        <f>T("7574926295")</f>
        <v>7574926295</v>
      </c>
    </row>
    <row r="3210" spans="1:12" x14ac:dyDescent="0.35">
      <c r="A3210" t="str">
        <f t="shared" si="1302"/>
        <v>TSC HAMPTON RD DAM NECK</v>
      </c>
      <c r="B3210" t="str">
        <f t="shared" si="1303"/>
        <v>2025 TARTAR AVE BLDG 543</v>
      </c>
      <c r="C3210" t="str">
        <f t="shared" si="1304"/>
        <v/>
      </c>
      <c r="D3210" t="str">
        <f t="shared" si="1305"/>
        <v>VIRGINIA BCH</v>
      </c>
      <c r="E3210" t="str">
        <f t="shared" si="1306"/>
        <v>VA</v>
      </c>
      <c r="F3210" t="str">
        <f t="shared" si="1307"/>
        <v>234611930</v>
      </c>
      <c r="G3210" t="str">
        <f>T("TSC-HAMPTON ROADS BLDG 543")</f>
        <v>TSC-HAMPTON ROADS BLDG 543</v>
      </c>
      <c r="H3210" t="str">
        <f>T("2025 TARTAR AVE # CODEN82")</f>
        <v>2025 TARTAR AVE # CODEN82</v>
      </c>
      <c r="I3210" t="str">
        <f t="shared" si="1309"/>
        <v>VIRGINIA BEACH</v>
      </c>
      <c r="J3210" t="str">
        <f t="shared" si="1308"/>
        <v>VA</v>
      </c>
      <c r="K3210" t="str">
        <f>T("7574926390")</f>
        <v>7574926390</v>
      </c>
      <c r="L3210" t="str">
        <f>T("7574921127")</f>
        <v>7574921127</v>
      </c>
    </row>
    <row r="3211" spans="1:12" x14ac:dyDescent="0.35">
      <c r="A3211" t="str">
        <f t="shared" si="1302"/>
        <v>TSC HAMPTON RD DAM NECK</v>
      </c>
      <c r="B3211" t="str">
        <f t="shared" si="1303"/>
        <v>2025 TARTAR AVE BLDG 543</v>
      </c>
      <c r="C3211" t="str">
        <f t="shared" si="1304"/>
        <v/>
      </c>
      <c r="D3211" t="str">
        <f t="shared" si="1305"/>
        <v>VIRGINIA BCH</v>
      </c>
      <c r="E3211" t="str">
        <f t="shared" si="1306"/>
        <v>VA</v>
      </c>
      <c r="F3211" t="str">
        <f t="shared" si="1307"/>
        <v>234611930</v>
      </c>
      <c r="G3211" t="str">
        <f>T("TSC-HAMPTON ROADS BLDG 543")</f>
        <v>TSC-HAMPTON ROADS BLDG 543</v>
      </c>
      <c r="H3211" t="str">
        <f>T("2025 TARTAR AVE CODE N82")</f>
        <v>2025 TARTAR AVE CODE N82</v>
      </c>
      <c r="I3211" t="str">
        <f t="shared" si="1309"/>
        <v>VIRGINIA BEACH</v>
      </c>
      <c r="J3211" t="str">
        <f t="shared" si="1308"/>
        <v>VA</v>
      </c>
      <c r="K3211" t="str">
        <f>T("7574926390")</f>
        <v>7574926390</v>
      </c>
      <c r="L3211" t="str">
        <f>T("7574926319")</f>
        <v>7574926319</v>
      </c>
    </row>
    <row r="3212" spans="1:12" x14ac:dyDescent="0.35">
      <c r="A3212" t="str">
        <f t="shared" si="1302"/>
        <v>TSC HAMPTON RD DAM NECK</v>
      </c>
      <c r="B3212" t="str">
        <f t="shared" si="1303"/>
        <v>2025 TARTAR AVE BLDG 543</v>
      </c>
      <c r="C3212" t="str">
        <f t="shared" si="1304"/>
        <v/>
      </c>
      <c r="D3212" t="str">
        <f t="shared" si="1305"/>
        <v>VIRGINIA BCH</v>
      </c>
      <c r="E3212" t="str">
        <f t="shared" si="1306"/>
        <v>VA</v>
      </c>
      <c r="F3212" t="str">
        <f t="shared" si="1307"/>
        <v>234611930</v>
      </c>
      <c r="G3212" t="str">
        <f>T("TSC-HAMPTON ROADS BLDG 543")</f>
        <v>TSC-HAMPTON ROADS BLDG 543</v>
      </c>
      <c r="H3212" t="str">
        <f>T("2025 TARTAR AVE CODE N82")</f>
        <v>2025 TARTAR AVE CODE N82</v>
      </c>
      <c r="I3212" t="str">
        <f t="shared" si="1309"/>
        <v>VIRGINIA BEACH</v>
      </c>
      <c r="J3212" t="str">
        <f t="shared" si="1308"/>
        <v>VA</v>
      </c>
      <c r="K3212" t="str">
        <f>T("7574926390")</f>
        <v>7574926390</v>
      </c>
      <c r="L3212" t="str">
        <f>T("7574927129")</f>
        <v>7574927129</v>
      </c>
    </row>
    <row r="3213" spans="1:12" x14ac:dyDescent="0.35">
      <c r="A3213" t="str">
        <f t="shared" ref="A3213:A3219" si="1310">T("TSC GREAT LAKES")</f>
        <v>TSC GREAT LAKES</v>
      </c>
      <c r="B3213" t="str">
        <f t="shared" ref="B3213:B3219" si="1311">T("320A DEWEY AVE")</f>
        <v>320A DEWEY AVE</v>
      </c>
      <c r="C3213" t="str">
        <f t="shared" ref="C3213:C3219" si="1312">T("BLDG 3 RM B106")</f>
        <v>BLDG 3 RM B106</v>
      </c>
      <c r="D3213" t="str">
        <f t="shared" ref="D3213:D3219" si="1313">T("GREAT LAKES")</f>
        <v>GREAT LAKES</v>
      </c>
      <c r="E3213" t="str">
        <f t="shared" ref="E3213:E3219" si="1314">T("IL")</f>
        <v>IL</v>
      </c>
      <c r="F3213" t="str">
        <f t="shared" ref="F3213:F3219" si="1315">T("600882912")</f>
        <v>600882912</v>
      </c>
      <c r="G3213" t="str">
        <f>T("320 A DEWEY AVE")</f>
        <v>320 A DEWEY AVE</v>
      </c>
      <c r="H3213" t="str">
        <f>T("BLDG 3 ROOM B106")</f>
        <v>BLDG 3 ROOM B106</v>
      </c>
      <c r="I3213" t="str">
        <f t="shared" ref="I3213:I3219" si="1316">T("GREAT LAKES")</f>
        <v>GREAT LAKES</v>
      </c>
      <c r="J3213" t="str">
        <f t="shared" ref="J3213:J3219" si="1317">T("IL")</f>
        <v>IL</v>
      </c>
      <c r="K3213" t="str">
        <f>T("8476885454125")</f>
        <v>8476885454125</v>
      </c>
      <c r="L3213" t="str">
        <f>T("8476885454")</f>
        <v>8476885454</v>
      </c>
    </row>
    <row r="3214" spans="1:12" x14ac:dyDescent="0.35">
      <c r="A3214" t="str">
        <f t="shared" si="1310"/>
        <v>TSC GREAT LAKES</v>
      </c>
      <c r="B3214" t="str">
        <f t="shared" si="1311"/>
        <v>320A DEWEY AVE</v>
      </c>
      <c r="C3214" t="str">
        <f t="shared" si="1312"/>
        <v>BLDG 3 RM B106</v>
      </c>
      <c r="D3214" t="str">
        <f t="shared" si="1313"/>
        <v>GREAT LAKES</v>
      </c>
      <c r="E3214" t="str">
        <f t="shared" si="1314"/>
        <v>IL</v>
      </c>
      <c r="F3214" t="str">
        <f t="shared" si="1315"/>
        <v>600882912</v>
      </c>
      <c r="G3214" t="str">
        <f>T("320 A DEWEY AVE")</f>
        <v>320 A DEWEY AVE</v>
      </c>
      <c r="H3214" t="str">
        <f>T("BLDG 3 ROOM B106")</f>
        <v>BLDG 3 ROOM B106</v>
      </c>
      <c r="I3214" t="str">
        <f t="shared" si="1316"/>
        <v>GREAT LAKES</v>
      </c>
      <c r="J3214" t="str">
        <f t="shared" si="1317"/>
        <v>IL</v>
      </c>
      <c r="K3214" t="str">
        <f>T("8476885454193")</f>
        <v>8476885454193</v>
      </c>
      <c r="L3214" t="str">
        <f>T("1111111111")</f>
        <v>1111111111</v>
      </c>
    </row>
    <row r="3215" spans="1:12" x14ac:dyDescent="0.35">
      <c r="A3215" t="str">
        <f t="shared" si="1310"/>
        <v>TSC GREAT LAKES</v>
      </c>
      <c r="B3215" t="str">
        <f t="shared" si="1311"/>
        <v>320A DEWEY AVE</v>
      </c>
      <c r="C3215" t="str">
        <f t="shared" si="1312"/>
        <v>BLDG 3 RM B106</v>
      </c>
      <c r="D3215" t="str">
        <f t="shared" si="1313"/>
        <v>GREAT LAKES</v>
      </c>
      <c r="E3215" t="str">
        <f t="shared" si="1314"/>
        <v>IL</v>
      </c>
      <c r="F3215" t="str">
        <f t="shared" si="1315"/>
        <v>600882912</v>
      </c>
      <c r="G3215" t="str">
        <f>T("320 A DEWEY AVE")</f>
        <v>320 A DEWEY AVE</v>
      </c>
      <c r="H3215" t="str">
        <f>T("BLDG3 ROOM B106")</f>
        <v>BLDG3 ROOM B106</v>
      </c>
      <c r="I3215" t="str">
        <f t="shared" si="1316"/>
        <v>GREAT LAKES</v>
      </c>
      <c r="J3215" t="str">
        <f t="shared" si="1317"/>
        <v>IL</v>
      </c>
      <c r="K3215" t="str">
        <f>T("8476885454188")</f>
        <v>8476885454188</v>
      </c>
      <c r="L3215" t="str">
        <f>T("8476885454")</f>
        <v>8476885454</v>
      </c>
    </row>
    <row r="3216" spans="1:12" x14ac:dyDescent="0.35">
      <c r="A3216" t="str">
        <f t="shared" si="1310"/>
        <v>TSC GREAT LAKES</v>
      </c>
      <c r="B3216" t="str">
        <f t="shared" si="1311"/>
        <v>320A DEWEY AVE</v>
      </c>
      <c r="C3216" t="str">
        <f t="shared" si="1312"/>
        <v>BLDG 3 RM B106</v>
      </c>
      <c r="D3216" t="str">
        <f t="shared" si="1313"/>
        <v>GREAT LAKES</v>
      </c>
      <c r="E3216" t="str">
        <f t="shared" si="1314"/>
        <v>IL</v>
      </c>
      <c r="F3216" t="str">
        <f t="shared" si="1315"/>
        <v>600882912</v>
      </c>
      <c r="G3216" t="str">
        <f>T("320A DEWEY AVE")</f>
        <v>320A DEWEY AVE</v>
      </c>
      <c r="H3216" t="str">
        <f>T("")</f>
        <v/>
      </c>
      <c r="I3216" t="str">
        <f t="shared" si="1316"/>
        <v>GREAT LAKES</v>
      </c>
      <c r="J3216" t="str">
        <f t="shared" si="1317"/>
        <v>IL</v>
      </c>
      <c r="K3216" t="str">
        <f>T("8476884403")</f>
        <v>8476884403</v>
      </c>
      <c r="L3216" t="str">
        <f>T("1111111111")</f>
        <v>1111111111</v>
      </c>
    </row>
    <row r="3217" spans="1:12" x14ac:dyDescent="0.35">
      <c r="A3217" t="str">
        <f t="shared" si="1310"/>
        <v>TSC GREAT LAKES</v>
      </c>
      <c r="B3217" t="str">
        <f t="shared" si="1311"/>
        <v>320A DEWEY AVE</v>
      </c>
      <c r="C3217" t="str">
        <f t="shared" si="1312"/>
        <v>BLDG 3 RM B106</v>
      </c>
      <c r="D3217" t="str">
        <f t="shared" si="1313"/>
        <v>GREAT LAKES</v>
      </c>
      <c r="E3217" t="str">
        <f t="shared" si="1314"/>
        <v>IL</v>
      </c>
      <c r="F3217" t="str">
        <f t="shared" si="1315"/>
        <v>600882912</v>
      </c>
      <c r="G3217" t="str">
        <f>T("320A DEWEY AVE")</f>
        <v>320A DEWEY AVE</v>
      </c>
      <c r="H3217" t="str">
        <f>T("")</f>
        <v/>
      </c>
      <c r="I3217" t="str">
        <f t="shared" si="1316"/>
        <v>GREAT LAKES</v>
      </c>
      <c r="J3217" t="str">
        <f t="shared" si="1317"/>
        <v>IL</v>
      </c>
      <c r="K3217" t="str">
        <f>T("8476884403")</f>
        <v>8476884403</v>
      </c>
      <c r="L3217" t="str">
        <f>T("8476884509")</f>
        <v>8476884509</v>
      </c>
    </row>
    <row r="3218" spans="1:12" x14ac:dyDescent="0.35">
      <c r="A3218" t="str">
        <f t="shared" si="1310"/>
        <v>TSC GREAT LAKES</v>
      </c>
      <c r="B3218" t="str">
        <f t="shared" si="1311"/>
        <v>320A DEWEY AVE</v>
      </c>
      <c r="C3218" t="str">
        <f t="shared" si="1312"/>
        <v>BLDG 3 RM B106</v>
      </c>
      <c r="D3218" t="str">
        <f t="shared" si="1313"/>
        <v>GREAT LAKES</v>
      </c>
      <c r="E3218" t="str">
        <f t="shared" si="1314"/>
        <v>IL</v>
      </c>
      <c r="F3218" t="str">
        <f t="shared" si="1315"/>
        <v>600882912</v>
      </c>
      <c r="G3218" t="str">
        <f>T("320A DEWEY AVE")</f>
        <v>320A DEWEY AVE</v>
      </c>
      <c r="H3218" t="str">
        <f>T("")</f>
        <v/>
      </c>
      <c r="I3218" t="str">
        <f t="shared" si="1316"/>
        <v>GREAT LAKES</v>
      </c>
      <c r="J3218" t="str">
        <f t="shared" si="1317"/>
        <v>IL</v>
      </c>
      <c r="K3218" t="str">
        <f>T("8476884403")</f>
        <v>8476884403</v>
      </c>
      <c r="L3218" t="str">
        <f>T("8476885454")</f>
        <v>8476885454</v>
      </c>
    </row>
    <row r="3219" spans="1:12" x14ac:dyDescent="0.35">
      <c r="A3219" t="str">
        <f t="shared" si="1310"/>
        <v>TSC GREAT LAKES</v>
      </c>
      <c r="B3219" t="str">
        <f t="shared" si="1311"/>
        <v>320A DEWEY AVE</v>
      </c>
      <c r="C3219" t="str">
        <f t="shared" si="1312"/>
        <v>BLDG 3 RM B106</v>
      </c>
      <c r="D3219" t="str">
        <f t="shared" si="1313"/>
        <v>GREAT LAKES</v>
      </c>
      <c r="E3219" t="str">
        <f t="shared" si="1314"/>
        <v>IL</v>
      </c>
      <c r="F3219" t="str">
        <f t="shared" si="1315"/>
        <v>600882912</v>
      </c>
      <c r="G3219" t="str">
        <f>T("320A DEWEY AVE")</f>
        <v>320A DEWEY AVE</v>
      </c>
      <c r="H3219" t="str">
        <f>T("BLDG 3 RM B106")</f>
        <v>BLDG 3 RM B106</v>
      </c>
      <c r="I3219" t="str">
        <f t="shared" si="1316"/>
        <v>GREAT LAKES</v>
      </c>
      <c r="J3219" t="str">
        <f t="shared" si="1317"/>
        <v>IL</v>
      </c>
      <c r="K3219" t="str">
        <f>T("8476884403")</f>
        <v>8476884403</v>
      </c>
      <c r="L3219" t="str">
        <f>T("1111111111")</f>
        <v>1111111111</v>
      </c>
    </row>
    <row r="3220" spans="1:12" x14ac:dyDescent="0.35">
      <c r="A3220" t="str">
        <f>T("NNPTC")</f>
        <v>NNPTC</v>
      </c>
      <c r="B3220" t="str">
        <f>T("101 NNPTC CIR")</f>
        <v>101 NNPTC CIR</v>
      </c>
      <c r="C3220" t="str">
        <f>T("ATTN  WALTER WILSON")</f>
        <v>ATTN  WALTER WILSON</v>
      </c>
      <c r="D3220" t="str">
        <f>T("GOOSE CREEK")</f>
        <v>GOOSE CREEK</v>
      </c>
      <c r="E3220" t="str">
        <f>T("SC")</f>
        <v>SC</v>
      </c>
      <c r="F3220" t="str">
        <f>T("294456324")</f>
        <v>294456324</v>
      </c>
      <c r="G3220" t="str">
        <f>T("101 NNPTC CIR")</f>
        <v>101 NNPTC CIR</v>
      </c>
      <c r="H3220" t="str">
        <f>T("ATTN  WALTER WILSON")</f>
        <v>ATTN  WALTER WILSON</v>
      </c>
      <c r="I3220" t="str">
        <f>T("GOOSE CREEK")</f>
        <v>GOOSE CREEK</v>
      </c>
      <c r="J3220" t="str">
        <f>T("SC")</f>
        <v>SC</v>
      </c>
      <c r="K3220" t="str">
        <f>T("8435748225")</f>
        <v>8435748225</v>
      </c>
      <c r="L3220" t="str">
        <f>T("8435748317")</f>
        <v>8435748317</v>
      </c>
    </row>
    <row r="3221" spans="1:12" x14ac:dyDescent="0.35">
      <c r="A3221" t="str">
        <f>T("NNPTC")</f>
        <v>NNPTC</v>
      </c>
      <c r="B3221" t="str">
        <f>T("101 NNPTC CIR")</f>
        <v>101 NNPTC CIR</v>
      </c>
      <c r="C3221" t="str">
        <f>T("ATTN  WALTER WILSON")</f>
        <v>ATTN  WALTER WILSON</v>
      </c>
      <c r="D3221" t="str">
        <f>T("GOOSE CREEK")</f>
        <v>GOOSE CREEK</v>
      </c>
      <c r="E3221" t="str">
        <f>T("SC")</f>
        <v>SC</v>
      </c>
      <c r="F3221" t="str">
        <f>T("294456324")</f>
        <v>294456324</v>
      </c>
      <c r="G3221" t="str">
        <f>T("101 NNPTC CIR")</f>
        <v>101 NNPTC CIR</v>
      </c>
      <c r="H3221" t="str">
        <f>T("ATTN WALTER WILSON")</f>
        <v>ATTN WALTER WILSON</v>
      </c>
      <c r="I3221" t="str">
        <f>T("GOOSE CREEK")</f>
        <v>GOOSE CREEK</v>
      </c>
      <c r="J3221" t="str">
        <f>T("SC")</f>
        <v>SC</v>
      </c>
      <c r="K3221" t="str">
        <f>T("8437944262")</f>
        <v>8437944262</v>
      </c>
      <c r="L3221" t="str">
        <f>T("8437948222")</f>
        <v>8437948222</v>
      </c>
    </row>
    <row r="3222" spans="1:12" x14ac:dyDescent="0.35">
      <c r="A3222" t="str">
        <f>T("NNPTC")</f>
        <v>NNPTC</v>
      </c>
      <c r="B3222" t="str">
        <f>T("101 NNPTC CIR")</f>
        <v>101 NNPTC CIR</v>
      </c>
      <c r="C3222" t="str">
        <f>T("ATTN  WALTER WILSON")</f>
        <v>ATTN  WALTER WILSON</v>
      </c>
      <c r="D3222" t="str">
        <f>T("GOOSE CREEK")</f>
        <v>GOOSE CREEK</v>
      </c>
      <c r="E3222" t="str">
        <f>T("SC")</f>
        <v>SC</v>
      </c>
      <c r="F3222" t="str">
        <f>T("294456324")</f>
        <v>294456324</v>
      </c>
      <c r="G3222" t="str">
        <f>T("101 NNPTC CIRCLE")</f>
        <v>101 NNPTC CIRCLE</v>
      </c>
      <c r="H3222" t="str">
        <f>T("")</f>
        <v/>
      </c>
      <c r="I3222" t="str">
        <f>T("GOOSE CREEK")</f>
        <v>GOOSE CREEK</v>
      </c>
      <c r="J3222" t="str">
        <f>T("SC")</f>
        <v>SC</v>
      </c>
      <c r="K3222" t="str">
        <f>T("8435748225")</f>
        <v>8435748225</v>
      </c>
      <c r="L3222" t="str">
        <f>T("8437948298")</f>
        <v>8437948298</v>
      </c>
    </row>
    <row r="3223" spans="1:12" x14ac:dyDescent="0.35">
      <c r="A3223" t="str">
        <f>T("ZZ DELETE CPPD")</f>
        <v>ZZ DELETE CPPD</v>
      </c>
      <c r="B3223" t="str">
        <f>T("1905 REGULUS AVE")</f>
        <v>1905 REGULUS AVE</v>
      </c>
      <c r="C3223" t="str">
        <f>T("SUITE 101")</f>
        <v>SUITE 101</v>
      </c>
      <c r="D3223" t="str">
        <f>T("VIRGINIA BCH")</f>
        <v>VIRGINIA BCH</v>
      </c>
      <c r="E3223" t="str">
        <f>T("VA")</f>
        <v>VA</v>
      </c>
      <c r="F3223" t="str">
        <f>T("234612003")</f>
        <v>234612003</v>
      </c>
      <c r="G3223" t="str">
        <f>T("1905 REGULUS AVE")</f>
        <v>1905 REGULUS AVE</v>
      </c>
      <c r="H3223" t="str">
        <f>T("SUITE 101")</f>
        <v>SUITE 101</v>
      </c>
      <c r="I3223" t="str">
        <f>T("VIRGINIA BCH")</f>
        <v>VIRGINIA BCH</v>
      </c>
      <c r="J3223" t="str">
        <f>T("VA")</f>
        <v>VA</v>
      </c>
      <c r="K3223" t="str">
        <f>T("7574925622")</f>
        <v>7574925622</v>
      </c>
      <c r="L3223" t="str">
        <f>T("7574920901")</f>
        <v>7574920901</v>
      </c>
    </row>
    <row r="3224" spans="1:12" x14ac:dyDescent="0.35">
      <c r="A3224" t="str">
        <f t="shared" ref="A3224:A3245" si="1318">T("CENTER FOR SVCS SUPPORT")</f>
        <v>CENTER FOR SVCS SUPPORT</v>
      </c>
      <c r="B3224" t="str">
        <f>T("1112 KOLLMEYER ST")</f>
        <v>1112 KOLLMEYER ST</v>
      </c>
      <c r="C3224" t="str">
        <f t="shared" ref="C3224:C3234" si="1319">T("")</f>
        <v/>
      </c>
      <c r="D3224" t="str">
        <f t="shared" ref="D3224:D3229" si="1320">T("NEWPORT")</f>
        <v>NEWPORT</v>
      </c>
      <c r="E3224" t="str">
        <f t="shared" ref="E3224:E3229" si="1321">T("RI")</f>
        <v>RI</v>
      </c>
      <c r="F3224" t="str">
        <f>T("028411604")</f>
        <v>028411604</v>
      </c>
      <c r="G3224" t="str">
        <f>T("1112 KOLLMEYER ST")</f>
        <v>1112 KOLLMEYER ST</v>
      </c>
      <c r="H3224" t="str">
        <f t="shared" ref="H3224:H3231" si="1322">T("")</f>
        <v/>
      </c>
      <c r="I3224" t="str">
        <f t="shared" ref="I3224:I3229" si="1323">T("NEWPORT")</f>
        <v>NEWPORT</v>
      </c>
      <c r="J3224" t="str">
        <f t="shared" ref="J3224:J3229" si="1324">T("RI")</f>
        <v>RI</v>
      </c>
      <c r="K3224" t="str">
        <f>T("4018413202")</f>
        <v>4018413202</v>
      </c>
      <c r="L3224" t="str">
        <f>T("4018414093")</f>
        <v>4018414093</v>
      </c>
    </row>
    <row r="3225" spans="1:12" x14ac:dyDescent="0.35">
      <c r="A3225" t="str">
        <f t="shared" si="1318"/>
        <v>CENTER FOR SVCS SUPPORT</v>
      </c>
      <c r="B3225" t="str">
        <f>T("1183 CUSHING ROAD")</f>
        <v>1183 CUSHING ROAD</v>
      </c>
      <c r="C3225" t="str">
        <f t="shared" si="1319"/>
        <v/>
      </c>
      <c r="D3225" t="str">
        <f t="shared" si="1320"/>
        <v>NEWPORT</v>
      </c>
      <c r="E3225" t="str">
        <f t="shared" si="1321"/>
        <v>RI</v>
      </c>
      <c r="F3225" t="str">
        <f>T("028411214")</f>
        <v>028411214</v>
      </c>
      <c r="G3225" t="str">
        <f>T("1183 CUSHING ROAD")</f>
        <v>1183 CUSHING ROAD</v>
      </c>
      <c r="H3225" t="str">
        <f t="shared" si="1322"/>
        <v/>
      </c>
      <c r="I3225" t="str">
        <f t="shared" si="1323"/>
        <v>NEWPORT</v>
      </c>
      <c r="J3225" t="str">
        <f t="shared" si="1324"/>
        <v>RI</v>
      </c>
      <c r="K3225" t="str">
        <f>T("4018411432")</f>
        <v>4018411432</v>
      </c>
      <c r="L3225" t="str">
        <f>T("4018411211")</f>
        <v>4018411211</v>
      </c>
    </row>
    <row r="3226" spans="1:12" x14ac:dyDescent="0.35">
      <c r="A3226" t="str">
        <f t="shared" si="1318"/>
        <v>CENTER FOR SVCS SUPPORT</v>
      </c>
      <c r="B3226" t="str">
        <f>T("1183 CUSHING ROAD")</f>
        <v>1183 CUSHING ROAD</v>
      </c>
      <c r="C3226" t="str">
        <f t="shared" si="1319"/>
        <v/>
      </c>
      <c r="D3226" t="str">
        <f t="shared" si="1320"/>
        <v>NEWPORT</v>
      </c>
      <c r="E3226" t="str">
        <f t="shared" si="1321"/>
        <v>RI</v>
      </c>
      <c r="F3226" t="str">
        <f>T("028411214")</f>
        <v>028411214</v>
      </c>
      <c r="G3226" t="str">
        <f>T("1183 CUSHING ROAD")</f>
        <v>1183 CUSHING ROAD</v>
      </c>
      <c r="H3226" t="str">
        <f t="shared" si="1322"/>
        <v/>
      </c>
      <c r="I3226" t="str">
        <f t="shared" si="1323"/>
        <v>NEWPORT</v>
      </c>
      <c r="J3226" t="str">
        <f t="shared" si="1324"/>
        <v>RI</v>
      </c>
      <c r="K3226" t="str">
        <f>T("4018411432")</f>
        <v>4018411432</v>
      </c>
      <c r="L3226" t="str">
        <f>T("4018411253")</f>
        <v>4018411253</v>
      </c>
    </row>
    <row r="3227" spans="1:12" x14ac:dyDescent="0.35">
      <c r="A3227" t="str">
        <f t="shared" si="1318"/>
        <v>CENTER FOR SVCS SUPPORT</v>
      </c>
      <c r="B3227" t="str">
        <f>T("1378 PORTER AVE")</f>
        <v>1378 PORTER AVE</v>
      </c>
      <c r="C3227" t="str">
        <f t="shared" si="1319"/>
        <v/>
      </c>
      <c r="D3227" t="str">
        <f t="shared" si="1320"/>
        <v>NEWPORT</v>
      </c>
      <c r="E3227" t="str">
        <f t="shared" si="1321"/>
        <v>RI</v>
      </c>
      <c r="F3227" t="str">
        <f>T("028411208")</f>
        <v>028411208</v>
      </c>
      <c r="G3227" t="str">
        <f>T("1378 PORTER AVE")</f>
        <v>1378 PORTER AVE</v>
      </c>
      <c r="H3227" t="str">
        <f t="shared" si="1322"/>
        <v/>
      </c>
      <c r="I3227" t="str">
        <f t="shared" si="1323"/>
        <v>NEWPORT</v>
      </c>
      <c r="J3227" t="str">
        <f t="shared" si="1324"/>
        <v>RI</v>
      </c>
      <c r="K3227" t="str">
        <f>T("4018414818")</f>
        <v>4018414818</v>
      </c>
      <c r="L3227" t="str">
        <f>T("4018414819")</f>
        <v>4018414819</v>
      </c>
    </row>
    <row r="3228" spans="1:12" x14ac:dyDescent="0.35">
      <c r="A3228" t="str">
        <f t="shared" si="1318"/>
        <v>CENTER FOR SVCS SUPPORT</v>
      </c>
      <c r="B3228" t="str">
        <f>T("1378 PORTER AVE")</f>
        <v>1378 PORTER AVE</v>
      </c>
      <c r="C3228" t="str">
        <f t="shared" si="1319"/>
        <v/>
      </c>
      <c r="D3228" t="str">
        <f t="shared" si="1320"/>
        <v>NEWPORT</v>
      </c>
      <c r="E3228" t="str">
        <f t="shared" si="1321"/>
        <v>RI</v>
      </c>
      <c r="F3228" t="str">
        <f>T("028411208")</f>
        <v>028411208</v>
      </c>
      <c r="G3228" t="str">
        <f>T("1378 PORTER AVE")</f>
        <v>1378 PORTER AVE</v>
      </c>
      <c r="H3228" t="str">
        <f t="shared" si="1322"/>
        <v/>
      </c>
      <c r="I3228" t="str">
        <f t="shared" si="1323"/>
        <v>NEWPORT</v>
      </c>
      <c r="J3228" t="str">
        <f t="shared" si="1324"/>
        <v>RI</v>
      </c>
      <c r="K3228" t="str">
        <f>T("4018414827")</f>
        <v>4018414827</v>
      </c>
      <c r="L3228" t="str">
        <f>T("4018414867")</f>
        <v>4018414867</v>
      </c>
    </row>
    <row r="3229" spans="1:12" x14ac:dyDescent="0.35">
      <c r="A3229" t="str">
        <f t="shared" si="1318"/>
        <v>CENTER FOR SVCS SUPPORT</v>
      </c>
      <c r="B3229" t="str">
        <f>T("1378 PORTER AVE")</f>
        <v>1378 PORTER AVE</v>
      </c>
      <c r="C3229" t="str">
        <f t="shared" si="1319"/>
        <v/>
      </c>
      <c r="D3229" t="str">
        <f t="shared" si="1320"/>
        <v>NEWPORT</v>
      </c>
      <c r="E3229" t="str">
        <f t="shared" si="1321"/>
        <v>RI</v>
      </c>
      <c r="F3229" t="str">
        <f>T("028411208")</f>
        <v>028411208</v>
      </c>
      <c r="G3229" t="str">
        <f>T("1378 PORTER AVE")</f>
        <v>1378 PORTER AVE</v>
      </c>
      <c r="H3229" t="str">
        <f t="shared" si="1322"/>
        <v/>
      </c>
      <c r="I3229" t="str">
        <f t="shared" si="1323"/>
        <v>NEWPORT</v>
      </c>
      <c r="J3229" t="str">
        <f t="shared" si="1324"/>
        <v>RI</v>
      </c>
      <c r="K3229" t="str">
        <f>T("4018414830")</f>
        <v>4018414830</v>
      </c>
      <c r="L3229" t="str">
        <f>T("4018414815")</f>
        <v>4018414815</v>
      </c>
    </row>
    <row r="3230" spans="1:12" x14ac:dyDescent="0.35">
      <c r="A3230" t="str">
        <f t="shared" si="1318"/>
        <v>CENTER FOR SVCS SUPPORT</v>
      </c>
      <c r="B3230" t="str">
        <f>T("1420 GATOR BLVD")</f>
        <v>1420 GATOR BLVD</v>
      </c>
      <c r="C3230" t="str">
        <f t="shared" si="1319"/>
        <v/>
      </c>
      <c r="D3230" t="str">
        <f>T("VIRGINIA BEACH")</f>
        <v>VIRGINIA BEACH</v>
      </c>
      <c r="E3230" t="str">
        <f t="shared" ref="E3230:E3236" si="1325">T("VA")</f>
        <v>VA</v>
      </c>
      <c r="F3230" t="str">
        <f>T("234598614")</f>
        <v>234598614</v>
      </c>
      <c r="G3230" t="str">
        <f>T("1420 GATOR BLVD")</f>
        <v>1420 GATOR BLVD</v>
      </c>
      <c r="H3230" t="str">
        <f t="shared" si="1322"/>
        <v/>
      </c>
      <c r="I3230" t="str">
        <f>T("VIRGINIA BEACH")</f>
        <v>VIRGINIA BEACH</v>
      </c>
      <c r="J3230" t="str">
        <f t="shared" ref="J3230:J3236" si="1326">T("VA")</f>
        <v>VA</v>
      </c>
      <c r="K3230" t="str">
        <f>T("000000000000000000")</f>
        <v>000000000000000000</v>
      </c>
      <c r="L3230" t="str">
        <f>T("7574625000")</f>
        <v>7574625000</v>
      </c>
    </row>
    <row r="3231" spans="1:12" x14ac:dyDescent="0.35">
      <c r="A3231" t="str">
        <f t="shared" si="1318"/>
        <v>CENTER FOR SVCS SUPPORT</v>
      </c>
      <c r="B3231" t="str">
        <f>T("1420 GATOR BLVD")</f>
        <v>1420 GATOR BLVD</v>
      </c>
      <c r="C3231" t="str">
        <f t="shared" si="1319"/>
        <v/>
      </c>
      <c r="D3231" t="str">
        <f>T("VIRGINIA BEACH")</f>
        <v>VIRGINIA BEACH</v>
      </c>
      <c r="E3231" t="str">
        <f t="shared" si="1325"/>
        <v>VA</v>
      </c>
      <c r="F3231" t="str">
        <f>T("234598614")</f>
        <v>234598614</v>
      </c>
      <c r="G3231" t="str">
        <f>T("1420 GATOR BLVD")</f>
        <v>1420 GATOR BLVD</v>
      </c>
      <c r="H3231" t="str">
        <f t="shared" si="1322"/>
        <v/>
      </c>
      <c r="I3231" t="str">
        <f>T("VIRGINIA BEACH")</f>
        <v>VIRGINIA BEACH</v>
      </c>
      <c r="J3231" t="str">
        <f t="shared" si="1326"/>
        <v>VA</v>
      </c>
      <c r="K3231" t="str">
        <f>T("7574627294")</f>
        <v>7574627294</v>
      </c>
      <c r="L3231" t="str">
        <f>T("7574627970")</f>
        <v>7574627970</v>
      </c>
    </row>
    <row r="3232" spans="1:12" x14ac:dyDescent="0.35">
      <c r="A3232" t="str">
        <f t="shared" si="1318"/>
        <v>CENTER FOR SVCS SUPPORT</v>
      </c>
      <c r="B3232" t="str">
        <f>T("1474 GILBERT ST N-30")</f>
        <v>1474 GILBERT ST N-30</v>
      </c>
      <c r="C3232" t="str">
        <f t="shared" si="1319"/>
        <v/>
      </c>
      <c r="D3232" t="str">
        <f>T("NORFOLK")</f>
        <v>NORFOLK</v>
      </c>
      <c r="E3232" t="str">
        <f t="shared" si="1325"/>
        <v>VA</v>
      </c>
      <c r="F3232" t="str">
        <f>T("235112729")</f>
        <v>235112729</v>
      </c>
      <c r="G3232" t="str">
        <f>T("1474 GILBERT ST")</f>
        <v>1474 GILBERT ST</v>
      </c>
      <c r="H3232" t="str">
        <f>T("N-30")</f>
        <v>N-30</v>
      </c>
      <c r="I3232" t="str">
        <f>T("NORFOLK")</f>
        <v>NORFOLK</v>
      </c>
      <c r="J3232" t="str">
        <f t="shared" si="1326"/>
        <v>VA</v>
      </c>
      <c r="K3232" t="str">
        <f>T("7574477358")</f>
        <v>7574477358</v>
      </c>
      <c r="L3232" t="str">
        <f>T("7574457358")</f>
        <v>7574457358</v>
      </c>
    </row>
    <row r="3233" spans="1:12" x14ac:dyDescent="0.35">
      <c r="A3233" t="str">
        <f t="shared" si="1318"/>
        <v>CENTER FOR SVCS SUPPORT</v>
      </c>
      <c r="B3233" t="str">
        <f>T("1474 GILBERT ST N-30")</f>
        <v>1474 GILBERT ST N-30</v>
      </c>
      <c r="C3233" t="str">
        <f t="shared" si="1319"/>
        <v/>
      </c>
      <c r="D3233" t="str">
        <f>T("NORFOLK")</f>
        <v>NORFOLK</v>
      </c>
      <c r="E3233" t="str">
        <f t="shared" si="1325"/>
        <v>VA</v>
      </c>
      <c r="F3233" t="str">
        <f>T("235112729")</f>
        <v>235112729</v>
      </c>
      <c r="G3233" t="str">
        <f>T("1474 GILBERT ST N-30")</f>
        <v>1474 GILBERT ST N-30</v>
      </c>
      <c r="H3233" t="str">
        <f>T("")</f>
        <v/>
      </c>
      <c r="I3233" t="str">
        <f>T("NORFOLK")</f>
        <v>NORFOLK</v>
      </c>
      <c r="J3233" t="str">
        <f t="shared" si="1326"/>
        <v>VA</v>
      </c>
      <c r="K3233" t="str">
        <f>T("")</f>
        <v/>
      </c>
      <c r="L3233" t="str">
        <f>T("1111111111")</f>
        <v>1111111111</v>
      </c>
    </row>
    <row r="3234" spans="1:12" x14ac:dyDescent="0.35">
      <c r="A3234" t="str">
        <f t="shared" si="1318"/>
        <v>CENTER FOR SVCS SUPPORT</v>
      </c>
      <c r="B3234" t="str">
        <f>T("1474 GILBERT ST N-30")</f>
        <v>1474 GILBERT ST N-30</v>
      </c>
      <c r="C3234" t="str">
        <f t="shared" si="1319"/>
        <v/>
      </c>
      <c r="D3234" t="str">
        <f>T("NORFOLK")</f>
        <v>NORFOLK</v>
      </c>
      <c r="E3234" t="str">
        <f t="shared" si="1325"/>
        <v>VA</v>
      </c>
      <c r="F3234" t="str">
        <f>T("235112729")</f>
        <v>235112729</v>
      </c>
      <c r="G3234" t="str">
        <f>T("1474 GILBERT STREET")</f>
        <v>1474 GILBERT STREET</v>
      </c>
      <c r="H3234" t="str">
        <f>T("N-30")</f>
        <v>N-30</v>
      </c>
      <c r="I3234" t="str">
        <f>T("NORFOLK")</f>
        <v>NORFOLK</v>
      </c>
      <c r="J3234" t="str">
        <f t="shared" si="1326"/>
        <v>VA</v>
      </c>
      <c r="K3234" t="str">
        <f>T("7574477358")</f>
        <v>7574477358</v>
      </c>
      <c r="L3234" t="str">
        <f>T("7574457353")</f>
        <v>7574457353</v>
      </c>
    </row>
    <row r="3235" spans="1:12" x14ac:dyDescent="0.35">
      <c r="A3235" t="str">
        <f t="shared" si="1318"/>
        <v>CENTER FOR SVCS SUPPORT</v>
      </c>
      <c r="B3235" t="str">
        <f>T("1630 BYRD AVE")</f>
        <v>1630 BYRD AVE</v>
      </c>
      <c r="C3235" t="str">
        <f>T("BLDG 4200 ROOM 289")</f>
        <v>BLDG 4200 ROOM 289</v>
      </c>
      <c r="D3235" t="str">
        <f>T("FORT LEE")</f>
        <v>FORT LEE</v>
      </c>
      <c r="E3235" t="str">
        <f t="shared" si="1325"/>
        <v>VA</v>
      </c>
      <c r="F3235" t="str">
        <f>T("238011730")</f>
        <v>238011730</v>
      </c>
      <c r="G3235" t="str">
        <f>T("1630 BYRD AVE")</f>
        <v>1630 BYRD AVE</v>
      </c>
      <c r="H3235" t="str">
        <f>T("BLDG 4200 ROOM 289")</f>
        <v>BLDG 4200 ROOM 289</v>
      </c>
      <c r="I3235" t="str">
        <f>T("FORT LEE")</f>
        <v>FORT LEE</v>
      </c>
      <c r="J3235" t="str">
        <f t="shared" si="1326"/>
        <v>VA</v>
      </c>
      <c r="K3235" t="str">
        <f>T("8047653354")</f>
        <v>8047653354</v>
      </c>
      <c r="L3235" t="str">
        <f>T("8047657703")</f>
        <v>8047657703</v>
      </c>
    </row>
    <row r="3236" spans="1:12" x14ac:dyDescent="0.35">
      <c r="A3236" t="str">
        <f t="shared" si="1318"/>
        <v>CENTER FOR SVCS SUPPORT</v>
      </c>
      <c r="B3236" t="str">
        <f>T("1630 BYRD AVE")</f>
        <v>1630 BYRD AVE</v>
      </c>
      <c r="C3236" t="str">
        <f>T("BLDG 4200 ROOM 289")</f>
        <v>BLDG 4200 ROOM 289</v>
      </c>
      <c r="D3236" t="str">
        <f>T("FORT LEE")</f>
        <v>FORT LEE</v>
      </c>
      <c r="E3236" t="str">
        <f t="shared" si="1325"/>
        <v>VA</v>
      </c>
      <c r="F3236" t="str">
        <f>T("238011730")</f>
        <v>238011730</v>
      </c>
      <c r="G3236" t="str">
        <f>T("1630 BYRD AVENUE BLDG 4200")</f>
        <v>1630 BYRD AVENUE BLDG 4200</v>
      </c>
      <c r="H3236" t="str">
        <f>T("")</f>
        <v/>
      </c>
      <c r="I3236" t="str">
        <f>T("FORT LEE")</f>
        <v>FORT LEE</v>
      </c>
      <c r="J3236" t="str">
        <f t="shared" si="1326"/>
        <v>VA</v>
      </c>
      <c r="K3236" t="str">
        <f>T("000000000000000000")</f>
        <v>000000000000000000</v>
      </c>
      <c r="L3236" t="str">
        <f>T("8047657718")</f>
        <v>8047657718</v>
      </c>
    </row>
    <row r="3237" spans="1:12" x14ac:dyDescent="0.35">
      <c r="A3237" t="str">
        <f t="shared" si="1318"/>
        <v>CENTER FOR SVCS SUPPORT</v>
      </c>
      <c r="B3237" t="str">
        <f>T("3975 NORMAN SCOTT RD")</f>
        <v>3975 NORMAN SCOTT RD</v>
      </c>
      <c r="C3237" t="str">
        <f>T("STE 1 BLDG 3290 4TH FL RM 404")</f>
        <v>STE 1 BLDG 3290 4TH FL RM 404</v>
      </c>
      <c r="D3237" t="str">
        <f>T("SAN DIEGO")</f>
        <v>SAN DIEGO</v>
      </c>
      <c r="E3237" t="str">
        <f>T("CA")</f>
        <v>CA</v>
      </c>
      <c r="F3237" t="str">
        <f>T("921365523")</f>
        <v>921365523</v>
      </c>
      <c r="G3237" t="str">
        <f>T("3975 NORMAN SCOTT RD")</f>
        <v>3975 NORMAN SCOTT RD</v>
      </c>
      <c r="H3237" t="str">
        <f>T("STE 1 BLDG 3290 4TH FL RM 404")</f>
        <v>STE 1 BLDG 3290 4TH FL RM 404</v>
      </c>
      <c r="I3237" t="str">
        <f>T("SAN DIEGO")</f>
        <v>SAN DIEGO</v>
      </c>
      <c r="J3237" t="str">
        <f>T("CA")</f>
        <v>CA</v>
      </c>
      <c r="K3237" t="str">
        <f>T("000000000000000000")</f>
        <v>000000000000000000</v>
      </c>
      <c r="L3237" t="str">
        <f>T("6195566188")</f>
        <v>6195566188</v>
      </c>
    </row>
    <row r="3238" spans="1:12" x14ac:dyDescent="0.35">
      <c r="A3238" t="str">
        <f t="shared" si="1318"/>
        <v>CENTER FOR SVCS SUPPORT</v>
      </c>
      <c r="B3238" t="str">
        <f>T("3975 NORMAN SCOTT RD")</f>
        <v>3975 NORMAN SCOTT RD</v>
      </c>
      <c r="C3238" t="str">
        <f>T("STE 1 BLDG 3290 4TH FL RM 404")</f>
        <v>STE 1 BLDG 3290 4TH FL RM 404</v>
      </c>
      <c r="D3238" t="str">
        <f>T("SAN DIEGO")</f>
        <v>SAN DIEGO</v>
      </c>
      <c r="E3238" t="str">
        <f>T("CA")</f>
        <v>CA</v>
      </c>
      <c r="F3238" t="str">
        <f>T("921365523")</f>
        <v>921365523</v>
      </c>
      <c r="G3238" t="str">
        <f>T("3975 NORMAN SCOTT RD")</f>
        <v>3975 NORMAN SCOTT RD</v>
      </c>
      <c r="H3238" t="str">
        <f>T("STE 1 BLDG 3290 4TH FL RM 404")</f>
        <v>STE 1 BLDG 3290 4TH FL RM 404</v>
      </c>
      <c r="I3238" t="str">
        <f>T("SAN DIEGO")</f>
        <v>SAN DIEGO</v>
      </c>
      <c r="J3238" t="str">
        <f>T("CA")</f>
        <v>CA</v>
      </c>
      <c r="K3238" t="str">
        <f>T("6195565248")</f>
        <v>6195565248</v>
      </c>
      <c r="L3238" t="str">
        <f>T("6195566188")</f>
        <v>6195566188</v>
      </c>
    </row>
    <row r="3239" spans="1:12" x14ac:dyDescent="0.35">
      <c r="A3239" t="str">
        <f t="shared" si="1318"/>
        <v>CENTER FOR SVCS SUPPORT</v>
      </c>
      <c r="B3239" t="str">
        <f>T("3975 NORMAN SCOTT RD")</f>
        <v>3975 NORMAN SCOTT RD</v>
      </c>
      <c r="C3239" t="str">
        <f>T("STE 1 BLDG 3290 4TH FL RM 404")</f>
        <v>STE 1 BLDG 3290 4TH FL RM 404</v>
      </c>
      <c r="D3239" t="str">
        <f>T("SAN DIEGO")</f>
        <v>SAN DIEGO</v>
      </c>
      <c r="E3239" t="str">
        <f>T("CA")</f>
        <v>CA</v>
      </c>
      <c r="F3239" t="str">
        <f>T("921365523")</f>
        <v>921365523</v>
      </c>
      <c r="G3239" t="str">
        <f>T("3975 NORMAN SCOTT ROAD")</f>
        <v>3975 NORMAN SCOTT ROAD</v>
      </c>
      <c r="H3239" t="str">
        <f>T("STE 1 BLDG 3290 4TH FL RM 404")</f>
        <v>STE 1 BLDG 3290 4TH FL RM 404</v>
      </c>
      <c r="I3239" t="str">
        <f>T("SAN DIEGO")</f>
        <v>SAN DIEGO</v>
      </c>
      <c r="J3239" t="str">
        <f>T("CA")</f>
        <v>CA</v>
      </c>
      <c r="K3239" t="str">
        <f>T("000000000000000000")</f>
        <v>000000000000000000</v>
      </c>
      <c r="L3239" t="str">
        <f>T("6195566188")</f>
        <v>6195566188</v>
      </c>
    </row>
    <row r="3240" spans="1:12" x14ac:dyDescent="0.35">
      <c r="A3240" t="str">
        <f t="shared" si="1318"/>
        <v>CENTER FOR SVCS SUPPORT</v>
      </c>
      <c r="B3240" t="str">
        <f>T("3975 NORMAN SCOTT RD")</f>
        <v>3975 NORMAN SCOTT RD</v>
      </c>
      <c r="C3240" t="str">
        <f>T("STE 1 BLDG 3290 4TH FL RM 404")</f>
        <v>STE 1 BLDG 3290 4TH FL RM 404</v>
      </c>
      <c r="D3240" t="str">
        <f>T("SAN DIEGO")</f>
        <v>SAN DIEGO</v>
      </c>
      <c r="E3240" t="str">
        <f>T("CA")</f>
        <v>CA</v>
      </c>
      <c r="F3240" t="str">
        <f>T("921365523")</f>
        <v>921365523</v>
      </c>
      <c r="G3240" t="str">
        <f>T("3975 NORMAN SCOTT ROAD SUITE 1")</f>
        <v>3975 NORMAN SCOTT ROAD SUITE 1</v>
      </c>
      <c r="H3240" t="str">
        <f>T("")</f>
        <v/>
      </c>
      <c r="I3240" t="str">
        <f>T("SAN DIEGO")</f>
        <v>SAN DIEGO</v>
      </c>
      <c r="J3240" t="str">
        <f>T("CA")</f>
        <v>CA</v>
      </c>
      <c r="K3240" t="str">
        <f>T("6195565248")</f>
        <v>6195565248</v>
      </c>
      <c r="L3240" t="str">
        <f>T("6195566188")</f>
        <v>6195566188</v>
      </c>
    </row>
    <row r="3241" spans="1:12" x14ac:dyDescent="0.35">
      <c r="A3241" t="str">
        <f t="shared" si="1318"/>
        <v>CENTER FOR SVCS SUPPORT</v>
      </c>
      <c r="B3241" t="str">
        <f>T("740 FLETCHER RD")</f>
        <v>740 FLETCHER RD</v>
      </c>
      <c r="C3241" t="str">
        <f>T("SUITE 100")</f>
        <v>SUITE 100</v>
      </c>
      <c r="D3241" t="str">
        <f>T("MERIDIAN")</f>
        <v>MERIDIAN</v>
      </c>
      <c r="E3241" t="str">
        <f>T("MS")</f>
        <v>MS</v>
      </c>
      <c r="F3241" t="str">
        <f>T("393095059")</f>
        <v>393095059</v>
      </c>
      <c r="G3241" t="str">
        <f>T("740 FLETCHER RD")</f>
        <v>740 FLETCHER RD</v>
      </c>
      <c r="H3241" t="str">
        <f>T("SUITE 100")</f>
        <v>SUITE 100</v>
      </c>
      <c r="I3241" t="str">
        <f>T("MERIDIAN")</f>
        <v>MERIDIAN</v>
      </c>
      <c r="J3241" t="str">
        <f>T("MS")</f>
        <v>MS</v>
      </c>
      <c r="K3241" t="str">
        <f>T("6016792518")</f>
        <v>6016792518</v>
      </c>
      <c r="L3241" t="str">
        <f>T("6016793411")</f>
        <v>6016793411</v>
      </c>
    </row>
    <row r="3242" spans="1:12" x14ac:dyDescent="0.35">
      <c r="A3242" t="str">
        <f t="shared" si="1318"/>
        <v>CENTER FOR SVCS SUPPORT</v>
      </c>
      <c r="B3242" t="str">
        <f>T("740 FLETCHER RD")</f>
        <v>740 FLETCHER RD</v>
      </c>
      <c r="C3242" t="str">
        <f>T("SUITE 100")</f>
        <v>SUITE 100</v>
      </c>
      <c r="D3242" t="str">
        <f>T("MERIDIAN")</f>
        <v>MERIDIAN</v>
      </c>
      <c r="E3242" t="str">
        <f>T("MS")</f>
        <v>MS</v>
      </c>
      <c r="F3242" t="str">
        <f>T("393095059")</f>
        <v>393095059</v>
      </c>
      <c r="G3242" t="str">
        <f>T("740 FLETCHER RD")</f>
        <v>740 FLETCHER RD</v>
      </c>
      <c r="H3242" t="str">
        <f>T("SUITE 100")</f>
        <v>SUITE 100</v>
      </c>
      <c r="I3242" t="str">
        <f>T("MERIDIAN")</f>
        <v>MERIDIAN</v>
      </c>
      <c r="J3242" t="str">
        <f>T("MS")</f>
        <v>MS</v>
      </c>
      <c r="K3242" t="str">
        <f>T("6016795818")</f>
        <v>6016795818</v>
      </c>
      <c r="L3242" t="str">
        <f>T("6016792415")</f>
        <v>6016792415</v>
      </c>
    </row>
    <row r="3243" spans="1:12" x14ac:dyDescent="0.35">
      <c r="A3243" t="str">
        <f t="shared" si="1318"/>
        <v>CENTER FOR SVCS SUPPORT</v>
      </c>
      <c r="B3243" t="str">
        <f>T("COMPTROLLER DEPT")</f>
        <v>COMPTROLLER DEPT</v>
      </c>
      <c r="C3243" t="str">
        <f>T("1183 CUSHING ROAD")</f>
        <v>1183 CUSHING ROAD</v>
      </c>
      <c r="D3243" t="str">
        <f>T("NEWPORT")</f>
        <v>NEWPORT</v>
      </c>
      <c r="E3243" t="str">
        <f>T("RI")</f>
        <v>RI</v>
      </c>
      <c r="F3243" t="str">
        <f>T("028411214")</f>
        <v>028411214</v>
      </c>
      <c r="G3243" t="str">
        <f>T("CENTER FOR SERVICE SUPPORT")</f>
        <v>CENTER FOR SERVICE SUPPORT</v>
      </c>
      <c r="H3243" t="str">
        <f>T("1183 CUSHING ROAD")</f>
        <v>1183 CUSHING ROAD</v>
      </c>
      <c r="I3243" t="str">
        <f>T("NEWPORT")</f>
        <v>NEWPORT</v>
      </c>
      <c r="J3243" t="str">
        <f>T("RI")</f>
        <v>RI</v>
      </c>
      <c r="K3243" t="str">
        <f>T("4018411432")</f>
        <v>4018411432</v>
      </c>
      <c r="L3243" t="str">
        <f>T("4018411581")</f>
        <v>4018411581</v>
      </c>
    </row>
    <row r="3244" spans="1:12" x14ac:dyDescent="0.35">
      <c r="A3244" t="str">
        <f t="shared" si="1318"/>
        <v>CENTER FOR SVCS SUPPORT</v>
      </c>
      <c r="B3244" t="str">
        <f>T("COMPTROLLER DEPT")</f>
        <v>COMPTROLLER DEPT</v>
      </c>
      <c r="C3244" t="str">
        <f>T("1183 CUSHING ROAD")</f>
        <v>1183 CUSHING ROAD</v>
      </c>
      <c r="D3244" t="str">
        <f>T("NEWPORT")</f>
        <v>NEWPORT</v>
      </c>
      <c r="E3244" t="str">
        <f>T("RI")</f>
        <v>RI</v>
      </c>
      <c r="F3244" t="str">
        <f>T("028411214")</f>
        <v>028411214</v>
      </c>
      <c r="G3244" t="str">
        <f>T("CENTER FOR SVC SUPPORT")</f>
        <v>CENTER FOR SVC SUPPORT</v>
      </c>
      <c r="H3244" t="str">
        <f>T("1183 CUSHING RD")</f>
        <v>1183 CUSHING RD</v>
      </c>
      <c r="I3244" t="str">
        <f>T("NEWPORT")</f>
        <v>NEWPORT</v>
      </c>
      <c r="J3244" t="str">
        <f>T("RI")</f>
        <v>RI</v>
      </c>
      <c r="K3244" t="str">
        <f>T("000000000000000000")</f>
        <v>000000000000000000</v>
      </c>
      <c r="L3244" t="str">
        <f>T("4018411280")</f>
        <v>4018411280</v>
      </c>
    </row>
    <row r="3245" spans="1:12" x14ac:dyDescent="0.35">
      <c r="A3245" t="str">
        <f t="shared" si="1318"/>
        <v>CENTER FOR SVCS SUPPORT</v>
      </c>
      <c r="B3245" t="str">
        <f>T("COMPTROLLER DEPT")</f>
        <v>COMPTROLLER DEPT</v>
      </c>
      <c r="C3245" t="str">
        <f>T("1183 CUSHING ROAD")</f>
        <v>1183 CUSHING ROAD</v>
      </c>
      <c r="D3245" t="str">
        <f>T("NEWPORT")</f>
        <v>NEWPORT</v>
      </c>
      <c r="E3245" t="str">
        <f>T("RI")</f>
        <v>RI</v>
      </c>
      <c r="F3245" t="str">
        <f>T("028411214")</f>
        <v>028411214</v>
      </c>
      <c r="G3245" t="str">
        <f>T("COMPTROLLER DEPT")</f>
        <v>COMPTROLLER DEPT</v>
      </c>
      <c r="H3245" t="str">
        <f>T("1183 CUSHING ROAD")</f>
        <v>1183 CUSHING ROAD</v>
      </c>
      <c r="I3245" t="str">
        <f>T("NEWPORT")</f>
        <v>NEWPORT</v>
      </c>
      <c r="J3245" t="str">
        <f>T("RI")</f>
        <v>RI</v>
      </c>
      <c r="K3245" t="str">
        <f>T("")</f>
        <v/>
      </c>
      <c r="L3245" t="str">
        <f>T("4018411211")</f>
        <v>4018411211</v>
      </c>
    </row>
    <row r="3246" spans="1:12" x14ac:dyDescent="0.35">
      <c r="A3246" t="str">
        <f>T("CNATT HQ")</f>
        <v>CNATT HQ</v>
      </c>
      <c r="B3246" t="str">
        <f>T("1425 PRINCE AVE")</f>
        <v>1425 PRINCE AVE</v>
      </c>
      <c r="C3246" t="str">
        <f>T("")</f>
        <v/>
      </c>
      <c r="D3246" t="str">
        <f>T("ATHENS")</f>
        <v>ATHENS</v>
      </c>
      <c r="E3246" t="str">
        <f>T("GA")</f>
        <v>GA</v>
      </c>
      <c r="F3246" t="str">
        <f>T("306062296")</f>
        <v>306062296</v>
      </c>
      <c r="G3246" t="str">
        <f>T("1425 PRINCE AVE")</f>
        <v>1425 PRINCE AVE</v>
      </c>
      <c r="H3246" t="str">
        <f>T("")</f>
        <v/>
      </c>
      <c r="I3246" t="str">
        <f>T("ATHENS")</f>
        <v>ATHENS</v>
      </c>
      <c r="J3246" t="str">
        <f>T("GA")</f>
        <v>GA</v>
      </c>
      <c r="K3246" t="str">
        <f>T("")</f>
        <v/>
      </c>
      <c r="L3246" t="str">
        <f>T("7063557435")</f>
        <v>7063557435</v>
      </c>
    </row>
    <row r="3247" spans="1:12" x14ac:dyDescent="0.35">
      <c r="A3247" t="str">
        <f>T("CNATT HQ")</f>
        <v>CNATT HQ</v>
      </c>
      <c r="B3247" t="str">
        <f>T("230 CHEVALIER FIELD AVE")</f>
        <v>230 CHEVALIER FIELD AVE</v>
      </c>
      <c r="C3247" t="str">
        <f>T("SUITE C")</f>
        <v>SUITE C</v>
      </c>
      <c r="D3247" t="str">
        <f>T("PENSACOLA")</f>
        <v>PENSACOLA</v>
      </c>
      <c r="E3247" t="str">
        <f>T("FL")</f>
        <v>FL</v>
      </c>
      <c r="F3247" t="str">
        <f>T("325085160")</f>
        <v>325085160</v>
      </c>
      <c r="G3247" t="str">
        <f>T("230 CHAVALIER FIELD")</f>
        <v>230 CHAVALIER FIELD</v>
      </c>
      <c r="H3247" t="str">
        <f>T("SUITE C")</f>
        <v>SUITE C</v>
      </c>
      <c r="I3247" t="str">
        <f>T("PENSACOLA")</f>
        <v>PENSACOLA</v>
      </c>
      <c r="J3247" t="str">
        <f>T("FL")</f>
        <v>FL</v>
      </c>
      <c r="K3247" t="str">
        <f>T("000000000000000000")</f>
        <v>000000000000000000</v>
      </c>
      <c r="L3247" t="str">
        <f>T("8504527725")</f>
        <v>8504527725</v>
      </c>
    </row>
    <row r="3248" spans="1:12" x14ac:dyDescent="0.35">
      <c r="A3248" t="str">
        <f>T("CNATT HQ")</f>
        <v>CNATT HQ</v>
      </c>
      <c r="B3248" t="str">
        <f>T("230 CHEVALIER FIELD AVE")</f>
        <v>230 CHEVALIER FIELD AVE</v>
      </c>
      <c r="C3248" t="str">
        <f>T("SUITE C")</f>
        <v>SUITE C</v>
      </c>
      <c r="D3248" t="str">
        <f>T("PENSACOLA")</f>
        <v>PENSACOLA</v>
      </c>
      <c r="E3248" t="str">
        <f>T("FL")</f>
        <v>FL</v>
      </c>
      <c r="F3248" t="str">
        <f>T("325085160")</f>
        <v>325085160</v>
      </c>
      <c r="G3248" t="str">
        <f>T("230 CHEVALIER FIELD AVE")</f>
        <v>230 CHEVALIER FIELD AVE</v>
      </c>
      <c r="H3248" t="str">
        <f>T("BLDG 3460 RM 1713")</f>
        <v>BLDG 3460 RM 1713</v>
      </c>
      <c r="I3248" t="str">
        <f>T("PENSACOLA")</f>
        <v>PENSACOLA</v>
      </c>
      <c r="J3248" t="str">
        <f>T("FL")</f>
        <v>FL</v>
      </c>
      <c r="K3248" t="str">
        <f>T("000000000000000000")</f>
        <v>000000000000000000</v>
      </c>
      <c r="L3248" t="str">
        <f>T("8504528106")</f>
        <v>8504528106</v>
      </c>
    </row>
    <row r="3249" spans="1:12" x14ac:dyDescent="0.35">
      <c r="A3249" t="str">
        <f>T("CNATT HQ")</f>
        <v>CNATT HQ</v>
      </c>
      <c r="B3249" t="str">
        <f>T("230 CHEVALIER FIELD AVE")</f>
        <v>230 CHEVALIER FIELD AVE</v>
      </c>
      <c r="C3249" t="str">
        <f>T("SUITE C")</f>
        <v>SUITE C</v>
      </c>
      <c r="D3249" t="str">
        <f>T("PENSACOLA")</f>
        <v>PENSACOLA</v>
      </c>
      <c r="E3249" t="str">
        <f>T("FL")</f>
        <v>FL</v>
      </c>
      <c r="F3249" t="str">
        <f>T("325085160")</f>
        <v>325085160</v>
      </c>
      <c r="G3249" t="str">
        <f>T("230 CHEVALIER FIELD AVE")</f>
        <v>230 CHEVALIER FIELD AVE</v>
      </c>
      <c r="H3249" t="str">
        <f>T("SUITE C")</f>
        <v>SUITE C</v>
      </c>
      <c r="I3249" t="str">
        <f>T("PENSACOLA")</f>
        <v>PENSACOLA</v>
      </c>
      <c r="J3249" t="str">
        <f>T("FL")</f>
        <v>FL</v>
      </c>
      <c r="K3249" t="str">
        <f>T("8504523527")</f>
        <v>8504523527</v>
      </c>
      <c r="L3249" t="str">
        <f>T("8504528299")</f>
        <v>8504528299</v>
      </c>
    </row>
    <row r="3250" spans="1:12" x14ac:dyDescent="0.35">
      <c r="A3250" t="str">
        <f>T("CNATT HQ")</f>
        <v>CNATT HQ</v>
      </c>
      <c r="B3250" t="str">
        <f>T("230 CHEVALIER FIELD AVE")</f>
        <v>230 CHEVALIER FIELD AVE</v>
      </c>
      <c r="C3250" t="str">
        <f>T("SUITE C")</f>
        <v>SUITE C</v>
      </c>
      <c r="D3250" t="str">
        <f>T("PENSACOLA")</f>
        <v>PENSACOLA</v>
      </c>
      <c r="E3250" t="str">
        <f>T("FL")</f>
        <v>FL</v>
      </c>
      <c r="F3250" t="str">
        <f>T("325085160")</f>
        <v>325085160</v>
      </c>
      <c r="G3250" t="str">
        <f>T("711 MEADOWS DR")</f>
        <v>711 MEADOWS DR</v>
      </c>
      <c r="H3250" t="str">
        <f>T("BLDG 4331 RM 236")</f>
        <v>BLDG 4331 RM 236</v>
      </c>
      <c r="I3250" t="str">
        <f>T("BILOXI")</f>
        <v>BILOXI</v>
      </c>
      <c r="J3250" t="str">
        <f>T("MS")</f>
        <v>MS</v>
      </c>
      <c r="K3250" t="str">
        <f>T("000000000000000000")</f>
        <v>000000000000000000</v>
      </c>
      <c r="L3250" t="str">
        <f>T("8504528299")</f>
        <v>8504528299</v>
      </c>
    </row>
    <row r="3251" spans="1:12" x14ac:dyDescent="0.35">
      <c r="A3251" t="str">
        <f>T("CENSEALSWCC")</f>
        <v>CENSEALSWCC</v>
      </c>
      <c r="B3251" t="str">
        <f>T("2546 TRIDENT WAY")</f>
        <v>2546 TRIDENT WAY</v>
      </c>
      <c r="C3251" t="str">
        <f>T("BLDG 633")</f>
        <v>BLDG 633</v>
      </c>
      <c r="D3251" t="str">
        <f>T("SAN DIEGO")</f>
        <v>SAN DIEGO</v>
      </c>
      <c r="E3251" t="str">
        <f>T("CA")</f>
        <v>CA</v>
      </c>
      <c r="F3251" t="str">
        <f>T("921555493")</f>
        <v>921555493</v>
      </c>
      <c r="G3251" t="str">
        <f>T("2546 TRIDENT WAY")</f>
        <v>2546 TRIDENT WAY</v>
      </c>
      <c r="H3251" t="str">
        <f>T("BLDG 633")</f>
        <v>BLDG 633</v>
      </c>
      <c r="I3251" t="str">
        <f>T("SAN DIEGO")</f>
        <v>SAN DIEGO</v>
      </c>
      <c r="J3251" t="str">
        <f>T("CA")</f>
        <v>CA</v>
      </c>
      <c r="K3251" t="str">
        <f>T("6194375733")</f>
        <v>6194375733</v>
      </c>
      <c r="L3251" t="str">
        <f>T("6195372801")</f>
        <v>6195372801</v>
      </c>
    </row>
    <row r="3252" spans="1:12" x14ac:dyDescent="0.35">
      <c r="A3252" t="str">
        <f>T("CENSEALSWCC")</f>
        <v>CENSEALSWCC</v>
      </c>
      <c r="B3252" t="str">
        <f>T("2546 TRIDENT WAY")</f>
        <v>2546 TRIDENT WAY</v>
      </c>
      <c r="C3252" t="str">
        <f>T("BLDG 633")</f>
        <v>BLDG 633</v>
      </c>
      <c r="D3252" t="str">
        <f>T("SAN DIEGO")</f>
        <v>SAN DIEGO</v>
      </c>
      <c r="E3252" t="str">
        <f>T("CA")</f>
        <v>CA</v>
      </c>
      <c r="F3252" t="str">
        <f>T("921555493")</f>
        <v>921555493</v>
      </c>
      <c r="G3252" t="str">
        <f>T("2546 TRIDENT WAY")</f>
        <v>2546 TRIDENT WAY</v>
      </c>
      <c r="H3252" t="str">
        <f>T("BLDG 633")</f>
        <v>BLDG 633</v>
      </c>
      <c r="I3252" t="str">
        <f>T("SAN DIEGO")</f>
        <v>SAN DIEGO</v>
      </c>
      <c r="J3252" t="str">
        <f>T("CA")</f>
        <v>CA</v>
      </c>
      <c r="K3252" t="str">
        <f>T("6194375733")</f>
        <v>6194375733</v>
      </c>
      <c r="L3252" t="str">
        <f>T("6195372834")</f>
        <v>6195372834</v>
      </c>
    </row>
    <row r="3253" spans="1:12" x14ac:dyDescent="0.35">
      <c r="A3253" t="str">
        <f>T("CENSEALSWCC")</f>
        <v>CENSEALSWCC</v>
      </c>
      <c r="B3253" t="str">
        <f>T("2546 TRIDENT WAY")</f>
        <v>2546 TRIDENT WAY</v>
      </c>
      <c r="C3253" t="str">
        <f>T("BLDG 633")</f>
        <v>BLDG 633</v>
      </c>
      <c r="D3253" t="str">
        <f>T("SAN DIEGO")</f>
        <v>SAN DIEGO</v>
      </c>
      <c r="E3253" t="str">
        <f>T("CA")</f>
        <v>CA</v>
      </c>
      <c r="F3253" t="str">
        <f>T("921555493")</f>
        <v>921555493</v>
      </c>
      <c r="G3253" t="str">
        <f>T("2546 TRIDENT WAY")</f>
        <v>2546 TRIDENT WAY</v>
      </c>
      <c r="H3253" t="str">
        <f>T("BLDG 633")</f>
        <v>BLDG 633</v>
      </c>
      <c r="I3253" t="str">
        <f>T("SAN DIEGO")</f>
        <v>SAN DIEGO</v>
      </c>
      <c r="J3253" t="str">
        <f>T("CA")</f>
        <v>CA</v>
      </c>
      <c r="K3253" t="str">
        <f>T("6194375733")</f>
        <v>6194375733</v>
      </c>
      <c r="L3253" t="str">
        <f>T("6197671805")</f>
        <v>6197671805</v>
      </c>
    </row>
    <row r="3254" spans="1:12" x14ac:dyDescent="0.35">
      <c r="A3254" t="str">
        <f>T("CENSEALSWCC")</f>
        <v>CENSEALSWCC</v>
      </c>
      <c r="B3254" t="str">
        <f>T("2546 TRIDENT WAY")</f>
        <v>2546 TRIDENT WAY</v>
      </c>
      <c r="C3254" t="str">
        <f>T("BLDG 633")</f>
        <v>BLDG 633</v>
      </c>
      <c r="D3254" t="str">
        <f>T("SAN DIEGO")</f>
        <v>SAN DIEGO</v>
      </c>
      <c r="E3254" t="str">
        <f>T("CA")</f>
        <v>CA</v>
      </c>
      <c r="F3254" t="str">
        <f>T("921555493")</f>
        <v>921555493</v>
      </c>
      <c r="G3254" t="str">
        <f>T("2546 TRIDENT WAY BUILDING 633")</f>
        <v>2546 TRIDENT WAY BUILDING 633</v>
      </c>
      <c r="H3254" t="str">
        <f t="shared" ref="H3254:H3260" si="1327">T("")</f>
        <v/>
      </c>
      <c r="I3254" t="str">
        <f>T("SAN DIEGO")</f>
        <v>SAN DIEGO</v>
      </c>
      <c r="J3254" t="str">
        <f>T("CA")</f>
        <v>CA</v>
      </c>
      <c r="K3254" t="str">
        <f>T("6194375505")</f>
        <v>6194375505</v>
      </c>
      <c r="L3254" t="str">
        <f>T("6195372817")</f>
        <v>6195372817</v>
      </c>
    </row>
    <row r="3255" spans="1:12" x14ac:dyDescent="0.35">
      <c r="A3255" t="str">
        <f t="shared" ref="A3255:A3264" si="1328">T("CENTER FOR EOD AND DIVING")</f>
        <v>CENTER FOR EOD AND DIVING</v>
      </c>
      <c r="B3255" t="str">
        <f>T("350 SOUTH CRAG ROAD")</f>
        <v>350 SOUTH CRAG ROAD</v>
      </c>
      <c r="C3255" t="str">
        <f t="shared" ref="C3255:C3264" si="1329">T("")</f>
        <v/>
      </c>
      <c r="D3255" t="str">
        <f t="shared" ref="D3255:D3262" si="1330">T("PANAMA CITY")</f>
        <v>PANAMA CITY</v>
      </c>
      <c r="E3255" t="str">
        <f t="shared" ref="E3255:E3264" si="1331">T("FL")</f>
        <v>FL</v>
      </c>
      <c r="F3255" t="str">
        <f t="shared" ref="F3255:F3262" si="1332">T("324077013")</f>
        <v>324077013</v>
      </c>
      <c r="G3255" t="str">
        <f>T("350 S CRAG RD")</f>
        <v>350 S CRAG RD</v>
      </c>
      <c r="H3255" t="str">
        <f t="shared" si="1327"/>
        <v/>
      </c>
      <c r="I3255" t="str">
        <f t="shared" ref="I3255:I3262" si="1333">T("PANAMA CITY")</f>
        <v>PANAMA CITY</v>
      </c>
      <c r="J3255" t="str">
        <f t="shared" ref="J3255:J3264" si="1334">T("FL")</f>
        <v>FL</v>
      </c>
      <c r="K3255" t="str">
        <f>T("8502355267")</f>
        <v>8502355267</v>
      </c>
      <c r="L3255" t="str">
        <f>T("8506366177")</f>
        <v>8506366177</v>
      </c>
    </row>
    <row r="3256" spans="1:12" x14ac:dyDescent="0.35">
      <c r="A3256" t="str">
        <f t="shared" si="1328"/>
        <v>CENTER FOR EOD AND DIVING</v>
      </c>
      <c r="B3256" t="str">
        <f>T("350 SOUTH CRAG ROAD")</f>
        <v>350 SOUTH CRAG ROAD</v>
      </c>
      <c r="C3256" t="str">
        <f t="shared" si="1329"/>
        <v/>
      </c>
      <c r="D3256" t="str">
        <f t="shared" si="1330"/>
        <v>PANAMA CITY</v>
      </c>
      <c r="E3256" t="str">
        <f t="shared" si="1331"/>
        <v>FL</v>
      </c>
      <c r="F3256" t="str">
        <f t="shared" si="1332"/>
        <v>324077013</v>
      </c>
      <c r="G3256" t="str">
        <f>T("350 S CRAG ROAD")</f>
        <v>350 S CRAG ROAD</v>
      </c>
      <c r="H3256" t="str">
        <f t="shared" si="1327"/>
        <v/>
      </c>
      <c r="I3256" t="str">
        <f t="shared" si="1333"/>
        <v>PANAMA CITY</v>
      </c>
      <c r="J3256" t="str">
        <f t="shared" si="1334"/>
        <v>FL</v>
      </c>
      <c r="K3256" t="str">
        <f>T("8502355267")</f>
        <v>8502355267</v>
      </c>
      <c r="L3256" t="str">
        <f>T("8506366177")</f>
        <v>8506366177</v>
      </c>
    </row>
    <row r="3257" spans="1:12" x14ac:dyDescent="0.35">
      <c r="A3257" t="str">
        <f t="shared" si="1328"/>
        <v>CENTER FOR EOD AND DIVING</v>
      </c>
      <c r="B3257" t="str">
        <f>T("350 SOUTH CRAG ROAD")</f>
        <v>350 SOUTH CRAG ROAD</v>
      </c>
      <c r="C3257" t="str">
        <f t="shared" si="1329"/>
        <v/>
      </c>
      <c r="D3257" t="str">
        <f t="shared" si="1330"/>
        <v>PANAMA CITY</v>
      </c>
      <c r="E3257" t="str">
        <f t="shared" si="1331"/>
        <v>FL</v>
      </c>
      <c r="F3257" t="str">
        <f t="shared" si="1332"/>
        <v>324077013</v>
      </c>
      <c r="G3257" t="str">
        <f>T("350 SOUTH CRAG ROAD")</f>
        <v>350 SOUTH CRAG ROAD</v>
      </c>
      <c r="H3257" t="str">
        <f t="shared" si="1327"/>
        <v/>
      </c>
      <c r="I3257" t="str">
        <f t="shared" si="1333"/>
        <v>PANAMA CITY</v>
      </c>
      <c r="J3257" t="str">
        <f t="shared" si="1334"/>
        <v>FL</v>
      </c>
      <c r="K3257" t="str">
        <f>T("8506366205")</f>
        <v>8506366205</v>
      </c>
      <c r="L3257" t="str">
        <f>T("8502344960")</f>
        <v>8502344960</v>
      </c>
    </row>
    <row r="3258" spans="1:12" x14ac:dyDescent="0.35">
      <c r="A3258" t="str">
        <f t="shared" si="1328"/>
        <v>CENTER FOR EOD AND DIVING</v>
      </c>
      <c r="B3258" t="str">
        <f>T("350 SOUTH CRAG ROAD")</f>
        <v>350 SOUTH CRAG ROAD</v>
      </c>
      <c r="C3258" t="str">
        <f t="shared" si="1329"/>
        <v/>
      </c>
      <c r="D3258" t="str">
        <f t="shared" si="1330"/>
        <v>PANAMA CITY</v>
      </c>
      <c r="E3258" t="str">
        <f t="shared" si="1331"/>
        <v>FL</v>
      </c>
      <c r="F3258" t="str">
        <f t="shared" si="1332"/>
        <v>324077013</v>
      </c>
      <c r="G3258" t="str">
        <f>T("350 SOUTH CRAG ROAD")</f>
        <v>350 SOUTH CRAG ROAD</v>
      </c>
      <c r="H3258" t="str">
        <f t="shared" si="1327"/>
        <v/>
      </c>
      <c r="I3258" t="str">
        <f t="shared" si="1333"/>
        <v>PANAMA CITY</v>
      </c>
      <c r="J3258" t="str">
        <f t="shared" si="1334"/>
        <v>FL</v>
      </c>
      <c r="K3258" t="str">
        <f>T("8506366205")</f>
        <v>8506366205</v>
      </c>
      <c r="L3258" t="str">
        <f>T("8506237019")</f>
        <v>8506237019</v>
      </c>
    </row>
    <row r="3259" spans="1:12" x14ac:dyDescent="0.35">
      <c r="A3259" t="str">
        <f t="shared" si="1328"/>
        <v>CENTER FOR EOD AND DIVING</v>
      </c>
      <c r="B3259" t="str">
        <f>T("350 SOUTH CRAIG ROAD")</f>
        <v>350 SOUTH CRAIG ROAD</v>
      </c>
      <c r="C3259" t="str">
        <f t="shared" si="1329"/>
        <v/>
      </c>
      <c r="D3259" t="str">
        <f t="shared" si="1330"/>
        <v>PANAMA CITY</v>
      </c>
      <c r="E3259" t="str">
        <f t="shared" si="1331"/>
        <v>FL</v>
      </c>
      <c r="F3259" t="str">
        <f t="shared" si="1332"/>
        <v>324077013</v>
      </c>
      <c r="G3259" t="str">
        <f>T("350 SOUTH CRAG ROAD")</f>
        <v>350 SOUTH CRAG ROAD</v>
      </c>
      <c r="H3259" t="str">
        <f t="shared" si="1327"/>
        <v/>
      </c>
      <c r="I3259" t="str">
        <f t="shared" si="1333"/>
        <v>PANAMA CITY</v>
      </c>
      <c r="J3259" t="str">
        <f t="shared" si="1334"/>
        <v>FL</v>
      </c>
      <c r="K3259" t="str">
        <f>T("000000000000000000")</f>
        <v>000000000000000000</v>
      </c>
      <c r="L3259" t="str">
        <f>T("8502355227")</f>
        <v>8502355227</v>
      </c>
    </row>
    <row r="3260" spans="1:12" x14ac:dyDescent="0.35">
      <c r="A3260" t="str">
        <f t="shared" si="1328"/>
        <v>CENTER FOR EOD AND DIVING</v>
      </c>
      <c r="B3260" t="str">
        <f>T("350 SOUTH CRAIG ROAD")</f>
        <v>350 SOUTH CRAIG ROAD</v>
      </c>
      <c r="C3260" t="str">
        <f t="shared" si="1329"/>
        <v/>
      </c>
      <c r="D3260" t="str">
        <f t="shared" si="1330"/>
        <v>PANAMA CITY</v>
      </c>
      <c r="E3260" t="str">
        <f t="shared" si="1331"/>
        <v>FL</v>
      </c>
      <c r="F3260" t="str">
        <f t="shared" si="1332"/>
        <v>324077013</v>
      </c>
      <c r="G3260" t="str">
        <f>T("350 SOUTH CRAG ROAD")</f>
        <v>350 SOUTH CRAG ROAD</v>
      </c>
      <c r="H3260" t="str">
        <f t="shared" si="1327"/>
        <v/>
      </c>
      <c r="I3260" t="str">
        <f t="shared" si="1333"/>
        <v>PANAMA CITY</v>
      </c>
      <c r="J3260" t="str">
        <f t="shared" si="1334"/>
        <v>FL</v>
      </c>
      <c r="K3260" t="str">
        <f>T("8502307059")</f>
        <v>8502307059</v>
      </c>
      <c r="L3260" t="str">
        <f>T("8502355339")</f>
        <v>8502355339</v>
      </c>
    </row>
    <row r="3261" spans="1:12" x14ac:dyDescent="0.35">
      <c r="A3261" t="str">
        <f t="shared" si="1328"/>
        <v>CENTER FOR EOD AND DIVING</v>
      </c>
      <c r="B3261" t="str">
        <f>T("350 SOUTH CRAIG ROAD")</f>
        <v>350 SOUTH CRAIG ROAD</v>
      </c>
      <c r="C3261" t="str">
        <f t="shared" si="1329"/>
        <v/>
      </c>
      <c r="D3261" t="str">
        <f t="shared" si="1330"/>
        <v>PANAMA CITY</v>
      </c>
      <c r="E3261" t="str">
        <f t="shared" si="1331"/>
        <v>FL</v>
      </c>
      <c r="F3261" t="str">
        <f t="shared" si="1332"/>
        <v>324077013</v>
      </c>
      <c r="G3261" t="str">
        <f>T("350 SOUTH CRAG ROAD")</f>
        <v>350 SOUTH CRAG ROAD</v>
      </c>
      <c r="H3261" t="str">
        <f>T("CODE 09")</f>
        <v>CODE 09</v>
      </c>
      <c r="I3261" t="str">
        <f t="shared" si="1333"/>
        <v>PANAMA CITY</v>
      </c>
      <c r="J3261" t="str">
        <f t="shared" si="1334"/>
        <v>FL</v>
      </c>
      <c r="K3261" t="str">
        <f>T("000000000000000000")</f>
        <v>000000000000000000</v>
      </c>
      <c r="L3261" t="str">
        <f>T("8502355225")</f>
        <v>8502355225</v>
      </c>
    </row>
    <row r="3262" spans="1:12" x14ac:dyDescent="0.35">
      <c r="A3262" t="str">
        <f t="shared" si="1328"/>
        <v>CENTER FOR EOD AND DIVING</v>
      </c>
      <c r="B3262" t="str">
        <f>T("350 SOUTH CRAIG ROAD")</f>
        <v>350 SOUTH CRAIG ROAD</v>
      </c>
      <c r="C3262" t="str">
        <f t="shared" si="1329"/>
        <v/>
      </c>
      <c r="D3262" t="str">
        <f t="shared" si="1330"/>
        <v>PANAMA CITY</v>
      </c>
      <c r="E3262" t="str">
        <f t="shared" si="1331"/>
        <v>FL</v>
      </c>
      <c r="F3262" t="str">
        <f t="shared" si="1332"/>
        <v>324077013</v>
      </c>
      <c r="G3262" t="str">
        <f>T("350 SOUTH CRAIG ROAD")</f>
        <v>350 SOUTH CRAIG ROAD</v>
      </c>
      <c r="H3262" t="str">
        <f>T("")</f>
        <v/>
      </c>
      <c r="I3262" t="str">
        <f t="shared" si="1333"/>
        <v>PANAMA CITY</v>
      </c>
      <c r="J3262" t="str">
        <f t="shared" si="1334"/>
        <v>FL</v>
      </c>
      <c r="K3262" t="str">
        <f>T("8502307059")</f>
        <v>8502307059</v>
      </c>
      <c r="L3262" t="str">
        <f>T("8502355262")</f>
        <v>8502355262</v>
      </c>
    </row>
    <row r="3263" spans="1:12" x14ac:dyDescent="0.35">
      <c r="A3263" t="str">
        <f t="shared" si="1328"/>
        <v>CENTER FOR EOD AND DIVING</v>
      </c>
      <c r="B3263" t="str">
        <f>T("8840 RANGE ROAD")</f>
        <v>8840 RANGE ROAD</v>
      </c>
      <c r="C3263" t="str">
        <f t="shared" si="1329"/>
        <v/>
      </c>
      <c r="D3263" t="str">
        <f>T("NICEVILLE")</f>
        <v>NICEVILLE</v>
      </c>
      <c r="E3263" t="str">
        <f t="shared" si="1331"/>
        <v>FL</v>
      </c>
      <c r="F3263" t="str">
        <f>T("325425630")</f>
        <v>325425630</v>
      </c>
      <c r="G3263" t="str">
        <f>T("8840 RANGE ROAD")</f>
        <v>8840 RANGE ROAD</v>
      </c>
      <c r="H3263" t="str">
        <f>T("")</f>
        <v/>
      </c>
      <c r="I3263" t="str">
        <f>T("NICEVILLE")</f>
        <v>NICEVILLE</v>
      </c>
      <c r="J3263" t="str">
        <f t="shared" si="1334"/>
        <v>FL</v>
      </c>
      <c r="K3263" t="str">
        <f>T("8508831536")</f>
        <v>8508831536</v>
      </c>
      <c r="L3263" t="str">
        <f>T("8508825002")</f>
        <v>8508825002</v>
      </c>
    </row>
    <row r="3264" spans="1:12" x14ac:dyDescent="0.35">
      <c r="A3264" t="str">
        <f t="shared" si="1328"/>
        <v>CENTER FOR EOD AND DIVING</v>
      </c>
      <c r="B3264" t="str">
        <f>T("8840 RANGE ROAD")</f>
        <v>8840 RANGE ROAD</v>
      </c>
      <c r="C3264" t="str">
        <f t="shared" si="1329"/>
        <v/>
      </c>
      <c r="D3264" t="str">
        <f>T("NICEVILLE")</f>
        <v>NICEVILLE</v>
      </c>
      <c r="E3264" t="str">
        <f t="shared" si="1331"/>
        <v>FL</v>
      </c>
      <c r="F3264" t="str">
        <f>T("325425630")</f>
        <v>325425630</v>
      </c>
      <c r="G3264" t="str">
        <f>T("8840 RANGE ROAD")</f>
        <v>8840 RANGE ROAD</v>
      </c>
      <c r="H3264" t="str">
        <f>T("")</f>
        <v/>
      </c>
      <c r="I3264" t="str">
        <f>T("NICEVILLE")</f>
        <v>NICEVILLE</v>
      </c>
      <c r="J3264" t="str">
        <f t="shared" si="1334"/>
        <v>FL</v>
      </c>
      <c r="K3264" t="str">
        <f>T("8508831536")</f>
        <v>8508831536</v>
      </c>
      <c r="L3264" t="str">
        <f>T("8508839094")</f>
        <v>8508839094</v>
      </c>
    </row>
    <row r="3265" spans="1:12" x14ac:dyDescent="0.35">
      <c r="A3265" t="str">
        <f t="shared" ref="A3265:A3276" si="1335">T("CENTER FOR SURFACE COMBAT SYS")</f>
        <v>CENTER FOR SURFACE COMBAT SYS</v>
      </c>
      <c r="B3265" t="str">
        <f t="shared" ref="B3265:B3276" si="1336">T("5395 FIRST STREET")</f>
        <v>5395 FIRST STREET</v>
      </c>
      <c r="C3265" t="str">
        <f t="shared" ref="C3265:C3276" si="1337">T("BLDG 1520")</f>
        <v>BLDG 1520</v>
      </c>
      <c r="D3265" t="str">
        <f t="shared" ref="D3265:D3276" si="1338">T("DAHLGREN")</f>
        <v>DAHLGREN</v>
      </c>
      <c r="E3265" t="str">
        <f t="shared" ref="E3265:E3276" si="1339">T("VA")</f>
        <v>VA</v>
      </c>
      <c r="F3265" t="str">
        <f t="shared" ref="F3265:F3276" si="1340">T("224485201")</f>
        <v>224485201</v>
      </c>
      <c r="G3265" t="str">
        <f>T("2000 WEST MARINE VIEW DR")</f>
        <v>2000 WEST MARINE VIEW DR</v>
      </c>
      <c r="H3265" t="str">
        <f>T("BLDG 2120")</f>
        <v>BLDG 2120</v>
      </c>
      <c r="I3265" t="str">
        <f>T("EVERETT")</f>
        <v>EVERETT</v>
      </c>
      <c r="J3265" t="str">
        <f>T("WA")</f>
        <v>WA</v>
      </c>
      <c r="K3265" t="str">
        <f t="shared" ref="K3265:K3272" si="1341">T("000000000000000000")</f>
        <v>000000000000000000</v>
      </c>
      <c r="L3265" t="str">
        <f>T("4253043743")</f>
        <v>4253043743</v>
      </c>
    </row>
    <row r="3266" spans="1:12" x14ac:dyDescent="0.35">
      <c r="A3266" t="str">
        <f t="shared" si="1335"/>
        <v>CENTER FOR SURFACE COMBAT SYS</v>
      </c>
      <c r="B3266" t="str">
        <f t="shared" si="1336"/>
        <v>5395 FIRST STREET</v>
      </c>
      <c r="C3266" t="str">
        <f t="shared" si="1337"/>
        <v>BLDG 1520</v>
      </c>
      <c r="D3266" t="str">
        <f t="shared" si="1338"/>
        <v>DAHLGREN</v>
      </c>
      <c r="E3266" t="str">
        <f t="shared" si="1339"/>
        <v>VA</v>
      </c>
      <c r="F3266" t="str">
        <f t="shared" si="1340"/>
        <v>224485201</v>
      </c>
      <c r="G3266" t="str">
        <f>T("30 BATTLEGROUP WAY")</f>
        <v>30 BATTLEGROUP WAY</v>
      </c>
      <c r="H3266" t="str">
        <f>T("")</f>
        <v/>
      </c>
      <c r="I3266" t="str">
        <f>T("WALLOPS ISLAND")</f>
        <v>WALLOPS ISLAND</v>
      </c>
      <c r="J3266" t="str">
        <f t="shared" ref="J3266:J3276" si="1342">T("VA")</f>
        <v>VA</v>
      </c>
      <c r="K3266" t="str">
        <f t="shared" si="1341"/>
        <v>000000000000000000</v>
      </c>
      <c r="L3266" t="str">
        <f>T("7578247759")</f>
        <v>7578247759</v>
      </c>
    </row>
    <row r="3267" spans="1:12" x14ac:dyDescent="0.35">
      <c r="A3267" t="str">
        <f t="shared" si="1335"/>
        <v>CENTER FOR SURFACE COMBAT SYS</v>
      </c>
      <c r="B3267" t="str">
        <f t="shared" si="1336"/>
        <v>5395 FIRST STREET</v>
      </c>
      <c r="C3267" t="str">
        <f t="shared" si="1337"/>
        <v>BLDG 1520</v>
      </c>
      <c r="D3267" t="str">
        <f t="shared" si="1338"/>
        <v>DAHLGREN</v>
      </c>
      <c r="E3267" t="str">
        <f t="shared" si="1339"/>
        <v>VA</v>
      </c>
      <c r="F3267" t="str">
        <f t="shared" si="1340"/>
        <v>224485201</v>
      </c>
      <c r="G3267" t="str">
        <f t="shared" ref="G3267:G3272" si="1343">T("5395 FIRST ST")</f>
        <v>5395 FIRST ST</v>
      </c>
      <c r="H3267" t="str">
        <f t="shared" ref="H3267:H3274" si="1344">T("BLDG 1520")</f>
        <v>BLDG 1520</v>
      </c>
      <c r="I3267" t="str">
        <f t="shared" ref="I3267:I3274" si="1345">T("DAHLGREN")</f>
        <v>DAHLGREN</v>
      </c>
      <c r="J3267" t="str">
        <f t="shared" si="1342"/>
        <v>VA</v>
      </c>
      <c r="K3267" t="str">
        <f t="shared" si="1341"/>
        <v>000000000000000000</v>
      </c>
      <c r="L3267" t="str">
        <f>T("5406531014")</f>
        <v>5406531014</v>
      </c>
    </row>
    <row r="3268" spans="1:12" x14ac:dyDescent="0.35">
      <c r="A3268" t="str">
        <f t="shared" si="1335"/>
        <v>CENTER FOR SURFACE COMBAT SYS</v>
      </c>
      <c r="B3268" t="str">
        <f t="shared" si="1336"/>
        <v>5395 FIRST STREET</v>
      </c>
      <c r="C3268" t="str">
        <f t="shared" si="1337"/>
        <v>BLDG 1520</v>
      </c>
      <c r="D3268" t="str">
        <f t="shared" si="1338"/>
        <v>DAHLGREN</v>
      </c>
      <c r="E3268" t="str">
        <f t="shared" si="1339"/>
        <v>VA</v>
      </c>
      <c r="F3268" t="str">
        <f t="shared" si="1340"/>
        <v>224485201</v>
      </c>
      <c r="G3268" t="str">
        <f t="shared" si="1343"/>
        <v>5395 FIRST ST</v>
      </c>
      <c r="H3268" t="str">
        <f t="shared" si="1344"/>
        <v>BLDG 1520</v>
      </c>
      <c r="I3268" t="str">
        <f t="shared" si="1345"/>
        <v>DAHLGREN</v>
      </c>
      <c r="J3268" t="str">
        <f t="shared" si="1342"/>
        <v>VA</v>
      </c>
      <c r="K3268" t="str">
        <f t="shared" si="1341"/>
        <v>000000000000000000</v>
      </c>
      <c r="L3268" t="str">
        <f>T("5406531374")</f>
        <v>5406531374</v>
      </c>
    </row>
    <row r="3269" spans="1:12" x14ac:dyDescent="0.35">
      <c r="A3269" t="str">
        <f t="shared" si="1335"/>
        <v>CENTER FOR SURFACE COMBAT SYS</v>
      </c>
      <c r="B3269" t="str">
        <f t="shared" si="1336"/>
        <v>5395 FIRST STREET</v>
      </c>
      <c r="C3269" t="str">
        <f t="shared" si="1337"/>
        <v>BLDG 1520</v>
      </c>
      <c r="D3269" t="str">
        <f t="shared" si="1338"/>
        <v>DAHLGREN</v>
      </c>
      <c r="E3269" t="str">
        <f t="shared" si="1339"/>
        <v>VA</v>
      </c>
      <c r="F3269" t="str">
        <f t="shared" si="1340"/>
        <v>224485201</v>
      </c>
      <c r="G3269" t="str">
        <f t="shared" si="1343"/>
        <v>5395 FIRST ST</v>
      </c>
      <c r="H3269" t="str">
        <f t="shared" si="1344"/>
        <v>BLDG 1520</v>
      </c>
      <c r="I3269" t="str">
        <f t="shared" si="1345"/>
        <v>DAHLGREN</v>
      </c>
      <c r="J3269" t="str">
        <f t="shared" si="1342"/>
        <v>VA</v>
      </c>
      <c r="K3269" t="str">
        <f t="shared" si="1341"/>
        <v>000000000000000000</v>
      </c>
      <c r="L3269" t="str">
        <f>T("5406534246")</f>
        <v>5406534246</v>
      </c>
    </row>
    <row r="3270" spans="1:12" x14ac:dyDescent="0.35">
      <c r="A3270" t="str">
        <f t="shared" si="1335"/>
        <v>CENTER FOR SURFACE COMBAT SYS</v>
      </c>
      <c r="B3270" t="str">
        <f t="shared" si="1336"/>
        <v>5395 FIRST STREET</v>
      </c>
      <c r="C3270" t="str">
        <f t="shared" si="1337"/>
        <v>BLDG 1520</v>
      </c>
      <c r="D3270" t="str">
        <f t="shared" si="1338"/>
        <v>DAHLGREN</v>
      </c>
      <c r="E3270" t="str">
        <f t="shared" si="1339"/>
        <v>VA</v>
      </c>
      <c r="F3270" t="str">
        <f t="shared" si="1340"/>
        <v>224485201</v>
      </c>
      <c r="G3270" t="str">
        <f t="shared" si="1343"/>
        <v>5395 FIRST ST</v>
      </c>
      <c r="H3270" t="str">
        <f t="shared" si="1344"/>
        <v>BLDG 1520</v>
      </c>
      <c r="I3270" t="str">
        <f t="shared" si="1345"/>
        <v>DAHLGREN</v>
      </c>
      <c r="J3270" t="str">
        <f t="shared" si="1342"/>
        <v>VA</v>
      </c>
      <c r="K3270" t="str">
        <f t="shared" si="1341"/>
        <v>000000000000000000</v>
      </c>
      <c r="L3270" t="str">
        <f>T("5406534645")</f>
        <v>5406534645</v>
      </c>
    </row>
    <row r="3271" spans="1:12" x14ac:dyDescent="0.35">
      <c r="A3271" t="str">
        <f t="shared" si="1335"/>
        <v>CENTER FOR SURFACE COMBAT SYS</v>
      </c>
      <c r="B3271" t="str">
        <f t="shared" si="1336"/>
        <v>5395 FIRST STREET</v>
      </c>
      <c r="C3271" t="str">
        <f t="shared" si="1337"/>
        <v>BLDG 1520</v>
      </c>
      <c r="D3271" t="str">
        <f t="shared" si="1338"/>
        <v>DAHLGREN</v>
      </c>
      <c r="E3271" t="str">
        <f t="shared" si="1339"/>
        <v>VA</v>
      </c>
      <c r="F3271" t="str">
        <f t="shared" si="1340"/>
        <v>224485201</v>
      </c>
      <c r="G3271" t="str">
        <f t="shared" si="1343"/>
        <v>5395 FIRST ST</v>
      </c>
      <c r="H3271" t="str">
        <f t="shared" si="1344"/>
        <v>BLDG 1520</v>
      </c>
      <c r="I3271" t="str">
        <f t="shared" si="1345"/>
        <v>DAHLGREN</v>
      </c>
      <c r="J3271" t="str">
        <f t="shared" si="1342"/>
        <v>VA</v>
      </c>
      <c r="K3271" t="str">
        <f t="shared" si="1341"/>
        <v>000000000000000000</v>
      </c>
      <c r="L3271" t="str">
        <f>T("5406534726")</f>
        <v>5406534726</v>
      </c>
    </row>
    <row r="3272" spans="1:12" x14ac:dyDescent="0.35">
      <c r="A3272" t="str">
        <f t="shared" si="1335"/>
        <v>CENTER FOR SURFACE COMBAT SYS</v>
      </c>
      <c r="B3272" t="str">
        <f t="shared" si="1336"/>
        <v>5395 FIRST STREET</v>
      </c>
      <c r="C3272" t="str">
        <f t="shared" si="1337"/>
        <v>BLDG 1520</v>
      </c>
      <c r="D3272" t="str">
        <f t="shared" si="1338"/>
        <v>DAHLGREN</v>
      </c>
      <c r="E3272" t="str">
        <f t="shared" si="1339"/>
        <v>VA</v>
      </c>
      <c r="F3272" t="str">
        <f t="shared" si="1340"/>
        <v>224485201</v>
      </c>
      <c r="G3272" t="str">
        <f t="shared" si="1343"/>
        <v>5395 FIRST ST</v>
      </c>
      <c r="H3272" t="str">
        <f t="shared" si="1344"/>
        <v>BLDG 1520</v>
      </c>
      <c r="I3272" t="str">
        <f t="shared" si="1345"/>
        <v>DAHLGREN</v>
      </c>
      <c r="J3272" t="str">
        <f t="shared" si="1342"/>
        <v>VA</v>
      </c>
      <c r="K3272" t="str">
        <f t="shared" si="1341"/>
        <v>000000000000000000</v>
      </c>
      <c r="L3272" t="str">
        <f>T("9042707180")</f>
        <v>9042707180</v>
      </c>
    </row>
    <row r="3273" spans="1:12" x14ac:dyDescent="0.35">
      <c r="A3273" t="str">
        <f t="shared" si="1335"/>
        <v>CENTER FOR SURFACE COMBAT SYS</v>
      </c>
      <c r="B3273" t="str">
        <f t="shared" si="1336"/>
        <v>5395 FIRST STREET</v>
      </c>
      <c r="C3273" t="str">
        <f t="shared" si="1337"/>
        <v>BLDG 1520</v>
      </c>
      <c r="D3273" t="str">
        <f t="shared" si="1338"/>
        <v>DAHLGREN</v>
      </c>
      <c r="E3273" t="str">
        <f t="shared" si="1339"/>
        <v>VA</v>
      </c>
      <c r="F3273" t="str">
        <f t="shared" si="1340"/>
        <v>224485201</v>
      </c>
      <c r="G3273" t="str">
        <f>T("5395 FIRST STREET")</f>
        <v>5395 FIRST STREET</v>
      </c>
      <c r="H3273" t="str">
        <f t="shared" si="1344"/>
        <v>BLDG 1520</v>
      </c>
      <c r="I3273" t="str">
        <f t="shared" si="1345"/>
        <v>DAHLGREN</v>
      </c>
      <c r="J3273" t="str">
        <f t="shared" si="1342"/>
        <v>VA</v>
      </c>
      <c r="K3273" t="str">
        <f>T("5406531801")</f>
        <v>5406531801</v>
      </c>
      <c r="L3273" t="str">
        <f>T("5406530723")</f>
        <v>5406530723</v>
      </c>
    </row>
    <row r="3274" spans="1:12" x14ac:dyDescent="0.35">
      <c r="A3274" t="str">
        <f t="shared" si="1335"/>
        <v>CENTER FOR SURFACE COMBAT SYS</v>
      </c>
      <c r="B3274" t="str">
        <f t="shared" si="1336"/>
        <v>5395 FIRST STREET</v>
      </c>
      <c r="C3274" t="str">
        <f t="shared" si="1337"/>
        <v>BLDG 1520</v>
      </c>
      <c r="D3274" t="str">
        <f t="shared" si="1338"/>
        <v>DAHLGREN</v>
      </c>
      <c r="E3274" t="str">
        <f t="shared" si="1339"/>
        <v>VA</v>
      </c>
      <c r="F3274" t="str">
        <f t="shared" si="1340"/>
        <v>224485201</v>
      </c>
      <c r="G3274" t="str">
        <f>T("5395 FIRST STREET")</f>
        <v>5395 FIRST STREET</v>
      </c>
      <c r="H3274" t="str">
        <f t="shared" si="1344"/>
        <v>BLDG 1520</v>
      </c>
      <c r="I3274" t="str">
        <f t="shared" si="1345"/>
        <v>DAHLGREN</v>
      </c>
      <c r="J3274" t="str">
        <f t="shared" si="1342"/>
        <v>VA</v>
      </c>
      <c r="K3274" t="str">
        <f>T("5406531801")</f>
        <v>5406531801</v>
      </c>
      <c r="L3274" t="str">
        <f>T("5406534325")</f>
        <v>5406534325</v>
      </c>
    </row>
    <row r="3275" spans="1:12" x14ac:dyDescent="0.35">
      <c r="A3275" t="str">
        <f t="shared" si="1335"/>
        <v>CENTER FOR SURFACE COMBAT SYS</v>
      </c>
      <c r="B3275" t="str">
        <f t="shared" si="1336"/>
        <v>5395 FIRST STREET</v>
      </c>
      <c r="C3275" t="str">
        <f t="shared" si="1337"/>
        <v>BLDG 1520</v>
      </c>
      <c r="D3275" t="str">
        <f t="shared" si="1338"/>
        <v>DAHLGREN</v>
      </c>
      <c r="E3275" t="str">
        <f t="shared" si="1339"/>
        <v>VA</v>
      </c>
      <c r="F3275" t="str">
        <f t="shared" si="1340"/>
        <v>224485201</v>
      </c>
      <c r="G3275" t="str">
        <f>T("8890 FIRST ST")</f>
        <v>8890 FIRST ST</v>
      </c>
      <c r="H3275" t="str">
        <f>T("SUITE 150/CEP 195")</f>
        <v>SUITE 150/CEP 195</v>
      </c>
      <c r="I3275" t="str">
        <f>T("NORFOLK")</f>
        <v>NORFOLK</v>
      </c>
      <c r="J3275" t="str">
        <f t="shared" si="1342"/>
        <v>VA</v>
      </c>
      <c r="K3275" t="str">
        <f>T("000000000000000000")</f>
        <v>000000000000000000</v>
      </c>
      <c r="L3275" t="str">
        <f>T("7574446771")</f>
        <v>7574446771</v>
      </c>
    </row>
    <row r="3276" spans="1:12" x14ac:dyDescent="0.35">
      <c r="A3276" t="str">
        <f t="shared" si="1335"/>
        <v>CENTER FOR SURFACE COMBAT SYS</v>
      </c>
      <c r="B3276" t="str">
        <f t="shared" si="1336"/>
        <v>5395 FIRST STREET</v>
      </c>
      <c r="C3276" t="str">
        <f t="shared" si="1337"/>
        <v>BLDG 1520</v>
      </c>
      <c r="D3276" t="str">
        <f t="shared" si="1338"/>
        <v>DAHLGREN</v>
      </c>
      <c r="E3276" t="str">
        <f t="shared" si="1339"/>
        <v>VA</v>
      </c>
      <c r="F3276" t="str">
        <f t="shared" si="1340"/>
        <v>224485201</v>
      </c>
      <c r="G3276" t="str">
        <f>T("8890 FIRST ST")</f>
        <v>8890 FIRST ST</v>
      </c>
      <c r="H3276" t="str">
        <f>T("SUITE 150/CEP195")</f>
        <v>SUITE 150/CEP195</v>
      </c>
      <c r="I3276" t="str">
        <f>T("NORFOLK")</f>
        <v>NORFOLK</v>
      </c>
      <c r="J3276" t="str">
        <f t="shared" si="1342"/>
        <v>VA</v>
      </c>
      <c r="K3276" t="str">
        <f>T("000000000000000000")</f>
        <v>000000000000000000</v>
      </c>
      <c r="L3276" t="str">
        <f>T("7574446771")</f>
        <v>7574446771</v>
      </c>
    </row>
    <row r="3277" spans="1:12" x14ac:dyDescent="0.35">
      <c r="A3277" t="str">
        <f t="shared" ref="A3277:A3287" si="1346">T("NAVAL SUBMARINE SCHOOL")</f>
        <v>NAVAL SUBMARINE SCHOOL</v>
      </c>
      <c r="B3277" t="str">
        <f>T("ATTN SLC FISCAL")</f>
        <v>ATTN SLC FISCAL</v>
      </c>
      <c r="C3277" t="str">
        <f>T("PO BOX 29")</f>
        <v>PO BOX 29</v>
      </c>
      <c r="D3277" t="str">
        <f>T("GROTON")</f>
        <v>GROTON</v>
      </c>
      <c r="E3277" t="str">
        <f>T("CT")</f>
        <v>CT</v>
      </c>
      <c r="F3277" t="str">
        <f>T("063495029")</f>
        <v>063495029</v>
      </c>
      <c r="G3277" t="str">
        <f>T("ATTN SLC FISCAL")</f>
        <v>ATTN SLC FISCAL</v>
      </c>
      <c r="H3277" t="str">
        <f>T("PO BOX 29")</f>
        <v>PO BOX 29</v>
      </c>
      <c r="I3277" t="str">
        <f>T("GROTON")</f>
        <v>GROTON</v>
      </c>
      <c r="J3277" t="str">
        <f>T("CT")</f>
        <v>CT</v>
      </c>
      <c r="K3277" t="str">
        <f>T("")</f>
        <v/>
      </c>
      <c r="L3277" t="str">
        <f>T("1111111111")</f>
        <v>1111111111</v>
      </c>
    </row>
    <row r="3278" spans="1:12" x14ac:dyDescent="0.35">
      <c r="A3278" t="str">
        <f t="shared" si="1346"/>
        <v>NAVAL SUBMARINE SCHOOL</v>
      </c>
      <c r="B3278" t="str">
        <f>T("C/O TRIDENT TRAINING FACILITY TTF")</f>
        <v>C/O TRIDENT TRAINING FACILITY TTF</v>
      </c>
      <c r="C3278" t="str">
        <f>T("2000 TRESHER AVE")</f>
        <v>2000 TRESHER AVE</v>
      </c>
      <c r="D3278" t="str">
        <f>T("SILVERDALE")</f>
        <v>SILVERDALE</v>
      </c>
      <c r="E3278" t="str">
        <f>T("WA")</f>
        <v>WA</v>
      </c>
      <c r="F3278" t="str">
        <f>T("983152004")</f>
        <v>983152004</v>
      </c>
      <c r="G3278" t="str">
        <f>T("C/O TRIDENT TRAINING FACILITY TTF")</f>
        <v>C/O TRIDENT TRAINING FACILITY TTF</v>
      </c>
      <c r="H3278" t="str">
        <f>T("2000 TRESHER AVE")</f>
        <v>2000 TRESHER AVE</v>
      </c>
      <c r="I3278" t="str">
        <f>T("SILVERDALE")</f>
        <v>SILVERDALE</v>
      </c>
      <c r="J3278" t="str">
        <f>T("WA")</f>
        <v>WA</v>
      </c>
      <c r="K3278" t="str">
        <f>T("3603152543")</f>
        <v>3603152543</v>
      </c>
      <c r="L3278" t="str">
        <f>T("3603152705")</f>
        <v>3603152705</v>
      </c>
    </row>
    <row r="3279" spans="1:12" x14ac:dyDescent="0.35">
      <c r="A3279" t="str">
        <f t="shared" si="1346"/>
        <v>NAVAL SUBMARINE SCHOOL</v>
      </c>
      <c r="B3279" t="str">
        <f>T("C/O TRIDENT TRAINING FACILITY TTF")</f>
        <v>C/O TRIDENT TRAINING FACILITY TTF</v>
      </c>
      <c r="C3279" t="str">
        <f>T("2000 TRESHER AVE")</f>
        <v>2000 TRESHER AVE</v>
      </c>
      <c r="D3279" t="str">
        <f>T("SILVERDALE")</f>
        <v>SILVERDALE</v>
      </c>
      <c r="E3279" t="str">
        <f>T("WA")</f>
        <v>WA</v>
      </c>
      <c r="F3279" t="str">
        <f>T("983152004")</f>
        <v>983152004</v>
      </c>
      <c r="G3279" t="str">
        <f>T("SLC TRIDENT TRAINING FACILITY")</f>
        <v>SLC TRIDENT TRAINING FACILITY</v>
      </c>
      <c r="H3279" t="str">
        <f>T("2000 THRESHER AVE BLDG 2000")</f>
        <v>2000 THRESHER AVE BLDG 2000</v>
      </c>
      <c r="I3279" t="str">
        <f>T("SILVERDALE")</f>
        <v>SILVERDALE</v>
      </c>
      <c r="J3279" t="str">
        <f>T("WA")</f>
        <v>WA</v>
      </c>
      <c r="K3279" t="str">
        <f>T("000000000000000000")</f>
        <v>000000000000000000</v>
      </c>
      <c r="L3279" t="str">
        <f>T("3603152546")</f>
        <v>3603152546</v>
      </c>
    </row>
    <row r="3280" spans="1:12" x14ac:dyDescent="0.35">
      <c r="A3280" t="str">
        <f t="shared" si="1346"/>
        <v>NAVAL SUBMARINE SCHOOL</v>
      </c>
      <c r="B3280" t="str">
        <f>T("C/O TRIDENT TRAINING FACILITY TTF")</f>
        <v>C/O TRIDENT TRAINING FACILITY TTF</v>
      </c>
      <c r="C3280" t="str">
        <f>T("2000 TRESHER AVE")</f>
        <v>2000 TRESHER AVE</v>
      </c>
      <c r="D3280" t="str">
        <f>T("SILVERDALE")</f>
        <v>SILVERDALE</v>
      </c>
      <c r="E3280" t="str">
        <f>T("WA")</f>
        <v>WA</v>
      </c>
      <c r="F3280" t="str">
        <f>T("983152004")</f>
        <v>983152004</v>
      </c>
      <c r="G3280" t="str">
        <f>T("SLC TRIDENT TRAINING FACILITY")</f>
        <v>SLC TRIDENT TRAINING FACILITY</v>
      </c>
      <c r="H3280" t="str">
        <f>T("2000 THRESHERAVE BLDG 2000")</f>
        <v>2000 THRESHERAVE BLDG 2000</v>
      </c>
      <c r="I3280" t="str">
        <f>T("SILVERDALE")</f>
        <v>SILVERDALE</v>
      </c>
      <c r="J3280" t="str">
        <f>T("WA")</f>
        <v>WA</v>
      </c>
      <c r="K3280" t="str">
        <f>T("3603152543")</f>
        <v>3603152543</v>
      </c>
      <c r="L3280" t="str">
        <f>T("3603152546")</f>
        <v>3603152546</v>
      </c>
    </row>
    <row r="3281" spans="1:12" x14ac:dyDescent="0.35">
      <c r="A3281" t="str">
        <f t="shared" si="1346"/>
        <v>NAVAL SUBMARINE SCHOOL</v>
      </c>
      <c r="B3281" t="str">
        <f>T("CODE N8")</f>
        <v>CODE N8</v>
      </c>
      <c r="C3281" t="str">
        <f>T("PO BOX 29")</f>
        <v>PO BOX 29</v>
      </c>
      <c r="D3281" t="str">
        <f t="shared" ref="D3281:D3287" si="1347">T("GROTON")</f>
        <v>GROTON</v>
      </c>
      <c r="E3281" t="str">
        <f t="shared" ref="E3281:E3287" si="1348">T("CT")</f>
        <v>CT</v>
      </c>
      <c r="F3281" t="str">
        <f t="shared" ref="F3281:F3287" si="1349">T("063495029")</f>
        <v>063495029</v>
      </c>
      <c r="G3281" t="str">
        <f>T("CODE N8")</f>
        <v>CODE N8</v>
      </c>
      <c r="H3281" t="str">
        <f>T("PO BOX 29")</f>
        <v>PO BOX 29</v>
      </c>
      <c r="I3281" t="str">
        <f>T("GROTON")</f>
        <v>GROTON</v>
      </c>
      <c r="J3281" t="str">
        <f>T("CT")</f>
        <v>CT</v>
      </c>
      <c r="K3281" t="str">
        <f>T("8606943788")</f>
        <v>8606943788</v>
      </c>
      <c r="L3281" t="str">
        <f>T("8606941716")</f>
        <v>8606941716</v>
      </c>
    </row>
    <row r="3282" spans="1:12" x14ac:dyDescent="0.35">
      <c r="A3282" t="str">
        <f t="shared" si="1346"/>
        <v>NAVAL SUBMARINE SCHOOL</v>
      </c>
      <c r="B3282" t="str">
        <f>T("CODE N8")</f>
        <v>CODE N8</v>
      </c>
      <c r="C3282" t="str">
        <f>T("PO BOX 29")</f>
        <v>PO BOX 29</v>
      </c>
      <c r="D3282" t="str">
        <f t="shared" si="1347"/>
        <v>GROTON</v>
      </c>
      <c r="E3282" t="str">
        <f t="shared" si="1348"/>
        <v>CT</v>
      </c>
      <c r="F3282" t="str">
        <f t="shared" si="1349"/>
        <v>063495029</v>
      </c>
      <c r="G3282" t="str">
        <f>T("NAVAL SUBMARINE SCHOOL")</f>
        <v>NAVAL SUBMARINE SCHOOL</v>
      </c>
      <c r="H3282" t="str">
        <f>T("BLDG-499 ROOM 218")</f>
        <v>BLDG-499 ROOM 218</v>
      </c>
      <c r="I3282" t="str">
        <f>T("GROTON")</f>
        <v>GROTON</v>
      </c>
      <c r="J3282" t="str">
        <f>T("CT")</f>
        <v>CT</v>
      </c>
      <c r="K3282" t="str">
        <f>T("8606945076")</f>
        <v>8606945076</v>
      </c>
      <c r="L3282" t="str">
        <f>T("8606945156")</f>
        <v>8606945156</v>
      </c>
    </row>
    <row r="3283" spans="1:12" x14ac:dyDescent="0.35">
      <c r="A3283" t="str">
        <f t="shared" si="1346"/>
        <v>NAVAL SUBMARINE SCHOOL</v>
      </c>
      <c r="B3283" t="str">
        <f>T("CODE N8")</f>
        <v>CODE N8</v>
      </c>
      <c r="C3283" t="str">
        <f>T("POBOX 29")</f>
        <v>POBOX 29</v>
      </c>
      <c r="D3283" t="str">
        <f t="shared" si="1347"/>
        <v>GROTON</v>
      </c>
      <c r="E3283" t="str">
        <f t="shared" si="1348"/>
        <v>CT</v>
      </c>
      <c r="F3283" t="str">
        <f t="shared" si="1349"/>
        <v>063495029</v>
      </c>
      <c r="G3283" t="str">
        <f>T("1130 BOLE LOOP")</f>
        <v>1130 BOLE LOOP</v>
      </c>
      <c r="H3283" t="str">
        <f>T("")</f>
        <v/>
      </c>
      <c r="I3283" t="str">
        <f>T("PEARL HARBOR")</f>
        <v>PEARL HARBOR</v>
      </c>
      <c r="J3283" t="str">
        <f>T("HI")</f>
        <v>HI</v>
      </c>
      <c r="K3283" t="str">
        <f>T("000000000000000000")</f>
        <v>000000000000000000</v>
      </c>
      <c r="L3283" t="str">
        <f>T("8084730749")</f>
        <v>8084730749</v>
      </c>
    </row>
    <row r="3284" spans="1:12" x14ac:dyDescent="0.35">
      <c r="A3284" t="str">
        <f t="shared" si="1346"/>
        <v>NAVAL SUBMARINE SCHOOL</v>
      </c>
      <c r="B3284" t="str">
        <f>T("CODE N8")</f>
        <v>CODE N8</v>
      </c>
      <c r="C3284" t="str">
        <f>T("POBOX 29")</f>
        <v>POBOX 29</v>
      </c>
      <c r="D3284" t="str">
        <f t="shared" si="1347"/>
        <v>GROTON</v>
      </c>
      <c r="E3284" t="str">
        <f t="shared" si="1348"/>
        <v>CT</v>
      </c>
      <c r="F3284" t="str">
        <f t="shared" si="1349"/>
        <v>063495029</v>
      </c>
      <c r="G3284" t="str">
        <f>T("607 SHARK BLVE")</f>
        <v>607 SHARK BLVE</v>
      </c>
      <c r="H3284" t="str">
        <f>T("NAVAL SUBMARINE BASE NEW LONDON")</f>
        <v>NAVAL SUBMARINE BASE NEW LONDON</v>
      </c>
      <c r="I3284" t="str">
        <f>T("GROTON")</f>
        <v>GROTON</v>
      </c>
      <c r="J3284" t="str">
        <f>T("CT")</f>
        <v>CT</v>
      </c>
      <c r="K3284" t="str">
        <f>T("000000000000000000")</f>
        <v>000000000000000000</v>
      </c>
      <c r="L3284" t="str">
        <f>T("8606941954")</f>
        <v>8606941954</v>
      </c>
    </row>
    <row r="3285" spans="1:12" x14ac:dyDescent="0.35">
      <c r="A3285" t="str">
        <f t="shared" si="1346"/>
        <v>NAVAL SUBMARINE SCHOOL</v>
      </c>
      <c r="B3285" t="str">
        <f>T("CODE N8")</f>
        <v>CODE N8</v>
      </c>
      <c r="C3285" t="str">
        <f>T("POBOX 29")</f>
        <v>POBOX 29</v>
      </c>
      <c r="D3285" t="str">
        <f t="shared" si="1347"/>
        <v>GROTON</v>
      </c>
      <c r="E3285" t="str">
        <f t="shared" si="1348"/>
        <v>CT</v>
      </c>
      <c r="F3285" t="str">
        <f t="shared" si="1349"/>
        <v>063495029</v>
      </c>
      <c r="G3285" t="str">
        <f>T("CODE N8")</f>
        <v>CODE N8</v>
      </c>
      <c r="H3285" t="str">
        <f>T("POBOX 29")</f>
        <v>POBOX 29</v>
      </c>
      <c r="I3285" t="str">
        <f>T("GROTON")</f>
        <v>GROTON</v>
      </c>
      <c r="J3285" t="str">
        <f>T("CT")</f>
        <v>CT</v>
      </c>
      <c r="K3285" t="str">
        <f>T("8606945076")</f>
        <v>8606945076</v>
      </c>
      <c r="L3285" t="str">
        <f>T("8606943337")</f>
        <v>8606943337</v>
      </c>
    </row>
    <row r="3286" spans="1:12" x14ac:dyDescent="0.35">
      <c r="A3286" t="str">
        <f t="shared" si="1346"/>
        <v>NAVAL SUBMARINE SCHOOL</v>
      </c>
      <c r="B3286" t="str">
        <f>T("SUB LEARNING CENTER")</f>
        <v>SUB LEARNING CENTER</v>
      </c>
      <c r="C3286" t="str">
        <f>T("PO BOX 29")</f>
        <v>PO BOX 29</v>
      </c>
      <c r="D3286" t="str">
        <f t="shared" si="1347"/>
        <v>GROTON</v>
      </c>
      <c r="E3286" t="str">
        <f t="shared" si="1348"/>
        <v>CT</v>
      </c>
      <c r="F3286" t="str">
        <f t="shared" si="1349"/>
        <v>063495029</v>
      </c>
      <c r="G3286" t="str">
        <f>T("1040 USS GEORGIA AVE")</f>
        <v>1040 USS GEORGIA AVE</v>
      </c>
      <c r="H3286" t="str">
        <f>T("")</f>
        <v/>
      </c>
      <c r="I3286" t="str">
        <f>T("KINGS BAY")</f>
        <v>KINGS BAY</v>
      </c>
      <c r="J3286" t="str">
        <f>T("GA")</f>
        <v>GA</v>
      </c>
      <c r="K3286" t="str">
        <f>T("000000000000000000")</f>
        <v>000000000000000000</v>
      </c>
      <c r="L3286" t="str">
        <f>T("9125733491")</f>
        <v>9125733491</v>
      </c>
    </row>
    <row r="3287" spans="1:12" x14ac:dyDescent="0.35">
      <c r="A3287" t="str">
        <f t="shared" si="1346"/>
        <v>NAVAL SUBMARINE SCHOOL</v>
      </c>
      <c r="B3287" t="str">
        <f>T("SUB LEARNING CENTER")</f>
        <v>SUB LEARNING CENTER</v>
      </c>
      <c r="C3287" t="str">
        <f>T("PO BOX 29")</f>
        <v>PO BOX 29</v>
      </c>
      <c r="D3287" t="str">
        <f t="shared" si="1347"/>
        <v>GROTON</v>
      </c>
      <c r="E3287" t="str">
        <f t="shared" si="1348"/>
        <v>CT</v>
      </c>
      <c r="F3287" t="str">
        <f t="shared" si="1349"/>
        <v>063495029</v>
      </c>
      <c r="G3287" t="str">
        <f>T("SUB LEARNING CENTER")</f>
        <v>SUB LEARNING CENTER</v>
      </c>
      <c r="H3287" t="str">
        <f>T("PO BOX 29")</f>
        <v>PO BOX 29</v>
      </c>
      <c r="I3287" t="str">
        <f>T("GROTON")</f>
        <v>GROTON</v>
      </c>
      <c r="J3287" t="str">
        <f>T("CT")</f>
        <v>CT</v>
      </c>
      <c r="K3287" t="str">
        <f>T("9125733492")</f>
        <v>9125733492</v>
      </c>
      <c r="L3287" t="str">
        <f>T("1111111111")</f>
        <v>1111111111</v>
      </c>
    </row>
    <row r="3288" spans="1:12" x14ac:dyDescent="0.35">
      <c r="A3288" t="str">
        <f t="shared" ref="A3288:A3309" si="1350">T("CSF")</f>
        <v>CSF</v>
      </c>
      <c r="B3288" t="str">
        <f>T("1260 SHOTGUN RD")</f>
        <v>1260 SHOTGUN RD</v>
      </c>
      <c r="C3288" t="str">
        <f>T("BLDG 41")</f>
        <v>BLDG 41</v>
      </c>
      <c r="D3288" t="str">
        <f>T("CHESAPEAKE")</f>
        <v>CHESAPEAKE</v>
      </c>
      <c r="E3288" t="str">
        <f>T("VA")</f>
        <v>VA</v>
      </c>
      <c r="F3288" t="str">
        <f>T("233224512")</f>
        <v>233224512</v>
      </c>
      <c r="G3288" t="str">
        <f>T("1260 SHOTGUN RD")</f>
        <v>1260 SHOTGUN RD</v>
      </c>
      <c r="H3288" t="str">
        <f>T("BLDG 41")</f>
        <v>BLDG 41</v>
      </c>
      <c r="I3288" t="str">
        <f>T("CHESAPEAKE")</f>
        <v>CHESAPEAKE</v>
      </c>
      <c r="J3288" t="str">
        <f>T("VA")</f>
        <v>VA</v>
      </c>
      <c r="K3288" t="str">
        <f>T("7574218232")</f>
        <v>7574218232</v>
      </c>
      <c r="L3288" t="str">
        <f>T("7574218776")</f>
        <v>7574218776</v>
      </c>
    </row>
    <row r="3289" spans="1:12" x14ac:dyDescent="0.35">
      <c r="A3289" t="str">
        <f t="shared" si="1350"/>
        <v>CSF</v>
      </c>
      <c r="B3289" t="str">
        <f>T("1260 SHOTGUN RD")</f>
        <v>1260 SHOTGUN RD</v>
      </c>
      <c r="C3289" t="str">
        <f>T("BLDG 41")</f>
        <v>BLDG 41</v>
      </c>
      <c r="D3289" t="str">
        <f>T("CHESAPEAKE")</f>
        <v>CHESAPEAKE</v>
      </c>
      <c r="E3289" t="str">
        <f>T("VA")</f>
        <v>VA</v>
      </c>
      <c r="F3289" t="str">
        <f>T("233224512")</f>
        <v>233224512</v>
      </c>
      <c r="G3289" t="str">
        <f>T("1260 SHOTGUN RD")</f>
        <v>1260 SHOTGUN RD</v>
      </c>
      <c r="H3289" t="str">
        <f>T("STE 41")</f>
        <v>STE 41</v>
      </c>
      <c r="I3289" t="str">
        <f>T("CHESAPEAKE")</f>
        <v>CHESAPEAKE</v>
      </c>
      <c r="J3289" t="str">
        <f>T("VA")</f>
        <v>VA</v>
      </c>
      <c r="K3289" t="str">
        <f>T("7574218232")</f>
        <v>7574218232</v>
      </c>
      <c r="L3289" t="str">
        <f>T("7574218062")</f>
        <v>7574218062</v>
      </c>
    </row>
    <row r="3290" spans="1:12" x14ac:dyDescent="0.35">
      <c r="A3290" t="str">
        <f t="shared" si="1350"/>
        <v>CSF</v>
      </c>
      <c r="B3290" t="str">
        <f>T("1575 GATOR BLVD")</f>
        <v>1575 GATOR BLVD</v>
      </c>
      <c r="C3290" t="str">
        <f>T("SUITE 326")</f>
        <v>SUITE 326</v>
      </c>
      <c r="D3290" t="str">
        <f>T("VIRGINIA BEACH")</f>
        <v>VIRGINIA BEACH</v>
      </c>
      <c r="E3290" t="str">
        <f>T("VA")</f>
        <v>VA</v>
      </c>
      <c r="F3290" t="str">
        <f>T("234598739")</f>
        <v>234598739</v>
      </c>
      <c r="G3290" t="str">
        <f>T("1575 GATOR BLVD")</f>
        <v>1575 GATOR BLVD</v>
      </c>
      <c r="H3290" t="str">
        <f>T("BLDG 3504 RM 326")</f>
        <v>BLDG 3504 RM 326</v>
      </c>
      <c r="I3290" t="str">
        <f>T("VIRGINIA BEACH")</f>
        <v>VIRGINIA BEACH</v>
      </c>
      <c r="J3290" t="str">
        <f>T("VA")</f>
        <v>VA</v>
      </c>
      <c r="K3290" t="str">
        <f>T("7574622429")</f>
        <v>7574622429</v>
      </c>
      <c r="L3290" t="str">
        <f>T("7574623819")</f>
        <v>7574623819</v>
      </c>
    </row>
    <row r="3291" spans="1:12" x14ac:dyDescent="0.35">
      <c r="A3291" t="str">
        <f t="shared" si="1350"/>
        <v>CSF</v>
      </c>
      <c r="B3291" t="str">
        <f>T("1575 GATOR BLVD")</f>
        <v>1575 GATOR BLVD</v>
      </c>
      <c r="C3291" t="str">
        <f>T("SUITE 326")</f>
        <v>SUITE 326</v>
      </c>
      <c r="D3291" t="str">
        <f>T("VIRGINIA BEACH")</f>
        <v>VIRGINIA BEACH</v>
      </c>
      <c r="E3291" t="str">
        <f>T("VA")</f>
        <v>VA</v>
      </c>
      <c r="F3291" t="str">
        <f>T("234598739")</f>
        <v>234598739</v>
      </c>
      <c r="G3291" t="str">
        <f>T("1575 GATOR BLVD")</f>
        <v>1575 GATOR BLVD</v>
      </c>
      <c r="H3291" t="str">
        <f>T("STE 326")</f>
        <v>STE 326</v>
      </c>
      <c r="I3291" t="str">
        <f>T("VIRGINIA BEACH")</f>
        <v>VIRGINIA BEACH</v>
      </c>
      <c r="J3291" t="str">
        <f>T("VA")</f>
        <v>VA</v>
      </c>
      <c r="K3291" t="str">
        <f>T("7574622429")</f>
        <v>7574622429</v>
      </c>
      <c r="L3291" t="str">
        <f>T("7574625216")</f>
        <v>7574625216</v>
      </c>
    </row>
    <row r="3292" spans="1:12" x14ac:dyDescent="0.35">
      <c r="A3292" t="str">
        <f t="shared" si="1350"/>
        <v>CSF</v>
      </c>
      <c r="B3292" t="str">
        <f>T("1575 GATOR BLVD")</f>
        <v>1575 GATOR BLVD</v>
      </c>
      <c r="C3292" t="str">
        <f>T("SUITE 326")</f>
        <v>SUITE 326</v>
      </c>
      <c r="D3292" t="str">
        <f>T("VIRGINIA BEACH")</f>
        <v>VIRGINIA BEACH</v>
      </c>
      <c r="E3292" t="str">
        <f>T("VA")</f>
        <v>VA</v>
      </c>
      <c r="F3292" t="str">
        <f>T("234598739")</f>
        <v>234598739</v>
      </c>
      <c r="G3292" t="str">
        <f>T("1575 GATOR BLVD")</f>
        <v>1575 GATOR BLVD</v>
      </c>
      <c r="H3292" t="str">
        <f>T("SUITE 326")</f>
        <v>SUITE 326</v>
      </c>
      <c r="I3292" t="str">
        <f>T("VIRGINIA BEACH")</f>
        <v>VIRGINIA BEACH</v>
      </c>
      <c r="J3292" t="str">
        <f>T("VA")</f>
        <v>VA</v>
      </c>
      <c r="K3292" t="str">
        <f>T("7574522429")</f>
        <v>7574522429</v>
      </c>
      <c r="L3292" t="str">
        <f>T("7574623861")</f>
        <v>7574623861</v>
      </c>
    </row>
    <row r="3293" spans="1:12" x14ac:dyDescent="0.35">
      <c r="A3293" t="str">
        <f t="shared" si="1350"/>
        <v>CSF</v>
      </c>
      <c r="B3293" t="str">
        <f>T("1801 BURBANK AVE")</f>
        <v>1801 BURBANK AVE</v>
      </c>
      <c r="C3293" t="str">
        <f>T("BLDG 54")</f>
        <v>BLDG 54</v>
      </c>
      <c r="D3293" t="str">
        <f>T("BRUNSWICK")</f>
        <v>BRUNSWICK</v>
      </c>
      <c r="E3293" t="str">
        <f>T("ME")</f>
        <v>ME</v>
      </c>
      <c r="F3293" t="str">
        <f>T("040115013")</f>
        <v>040115013</v>
      </c>
      <c r="G3293" t="str">
        <f>T("1801 BURBANK AVE")</f>
        <v>1801 BURBANK AVE</v>
      </c>
      <c r="H3293" t="str">
        <f>T("BLDG 54")</f>
        <v>BLDG 54</v>
      </c>
      <c r="I3293" t="str">
        <f>T("BRUNSWICK")</f>
        <v>BRUNSWICK</v>
      </c>
      <c r="J3293" t="str">
        <f>T("ME")</f>
        <v>ME</v>
      </c>
      <c r="K3293" t="str">
        <f>T("2079212292")</f>
        <v>2079212292</v>
      </c>
      <c r="L3293" t="str">
        <f>T("2079212345")</f>
        <v>2079212345</v>
      </c>
    </row>
    <row r="3294" spans="1:12" x14ac:dyDescent="0.35">
      <c r="A3294" t="str">
        <f t="shared" si="1350"/>
        <v>CSF</v>
      </c>
      <c r="B3294" t="str">
        <f>T("1801 BURBANK AVE")</f>
        <v>1801 BURBANK AVE</v>
      </c>
      <c r="C3294" t="str">
        <f>T("BLDG 54")</f>
        <v>BLDG 54</v>
      </c>
      <c r="D3294" t="str">
        <f>T("BRUNSWICK")</f>
        <v>BRUNSWICK</v>
      </c>
      <c r="E3294" t="str">
        <f>T("ME")</f>
        <v>ME</v>
      </c>
      <c r="F3294" t="str">
        <f>T("040115013")</f>
        <v>040115013</v>
      </c>
      <c r="G3294" t="str">
        <f>T("389 BEAUMONT ST BLDG 389 PNSY")</f>
        <v>389 BEAUMONT ST BLDG 389 PNSY</v>
      </c>
      <c r="H3294" t="str">
        <f>T("PNSY")</f>
        <v>PNSY</v>
      </c>
      <c r="I3294" t="str">
        <f>T("PORTSMOUTH")</f>
        <v>PORTSMOUTH</v>
      </c>
      <c r="J3294" t="str">
        <f>T("NH")</f>
        <v>NH</v>
      </c>
      <c r="K3294" t="str">
        <f>T("2074384586")</f>
        <v>2074384586</v>
      </c>
      <c r="L3294" t="str">
        <f>T("2074384335")</f>
        <v>2074384335</v>
      </c>
    </row>
    <row r="3295" spans="1:12" x14ac:dyDescent="0.35">
      <c r="A3295" t="str">
        <f t="shared" si="1350"/>
        <v>CSF</v>
      </c>
      <c r="B3295" t="str">
        <f>T("198 LEXINGTON BLVD")</f>
        <v>198 LEXINGTON BLVD</v>
      </c>
      <c r="C3295" t="str">
        <f>T("SUITE 228 C")</f>
        <v>SUITE 228 C</v>
      </c>
      <c r="D3295" t="str">
        <f>T("PEARL HARBOR")</f>
        <v>PEARL HARBOR</v>
      </c>
      <c r="E3295" t="str">
        <f>T("HI")</f>
        <v>HI</v>
      </c>
      <c r="F3295" t="str">
        <f>T("968605814")</f>
        <v>968605814</v>
      </c>
      <c r="G3295" t="str">
        <f>T("198 LEXINGTON BLVD")</f>
        <v>198 LEXINGTON BLVD</v>
      </c>
      <c r="H3295" t="str">
        <f>T("BLDG 39")</f>
        <v>BLDG 39</v>
      </c>
      <c r="I3295" t="str">
        <f>T("PEARL HARBOR")</f>
        <v>PEARL HARBOR</v>
      </c>
      <c r="J3295" t="str">
        <f>T("HI")</f>
        <v>HI</v>
      </c>
      <c r="K3295" t="str">
        <f>T("8084720579")</f>
        <v>8084720579</v>
      </c>
      <c r="L3295" t="str">
        <f>T("8084720395")</f>
        <v>8084720395</v>
      </c>
    </row>
    <row r="3296" spans="1:12" x14ac:dyDescent="0.35">
      <c r="A3296" t="str">
        <f t="shared" si="1350"/>
        <v>CSF</v>
      </c>
      <c r="B3296" t="str">
        <f>T("198 LEXINGTON BLVD")</f>
        <v>198 LEXINGTON BLVD</v>
      </c>
      <c r="C3296" t="str">
        <f>T("SUITE 228 C")</f>
        <v>SUITE 228 C</v>
      </c>
      <c r="D3296" t="str">
        <f>T("PEARL HARBOR")</f>
        <v>PEARL HARBOR</v>
      </c>
      <c r="E3296" t="str">
        <f>T("HI")</f>
        <v>HI</v>
      </c>
      <c r="F3296" t="str">
        <f>T("968605814")</f>
        <v>968605814</v>
      </c>
      <c r="G3296" t="str">
        <f>T("198 LEXINGTON BLVD")</f>
        <v>198 LEXINGTON BLVD</v>
      </c>
      <c r="H3296" t="str">
        <f>T("SUITE 228 C")</f>
        <v>SUITE 228 C</v>
      </c>
      <c r="I3296" t="str">
        <f>T("PEARL HARBOR")</f>
        <v>PEARL HARBOR</v>
      </c>
      <c r="J3296" t="str">
        <f>T("HI")</f>
        <v>HI</v>
      </c>
      <c r="K3296" t="str">
        <f>T("7574720579")</f>
        <v>7574720579</v>
      </c>
      <c r="L3296" t="str">
        <f>T("8084720678")</f>
        <v>8084720678</v>
      </c>
    </row>
    <row r="3297" spans="1:12" x14ac:dyDescent="0.35">
      <c r="A3297" t="str">
        <f t="shared" si="1350"/>
        <v>CSF</v>
      </c>
      <c r="B3297" t="str">
        <f>T("3975 NORMAN SCOTT RD STE 2")</f>
        <v>3975 NORMAN SCOTT RD STE 2</v>
      </c>
      <c r="C3297" t="str">
        <f>T("BLDG 3290 CODE N744")</f>
        <v>BLDG 3290 CODE N744</v>
      </c>
      <c r="D3297" t="str">
        <f>T("SAN DIEGO")</f>
        <v>SAN DIEGO</v>
      </c>
      <c r="E3297" t="str">
        <f>T("CA")</f>
        <v>CA</v>
      </c>
      <c r="F3297" t="str">
        <f>T("921365589")</f>
        <v>921365589</v>
      </c>
      <c r="G3297" t="str">
        <f>T("3975 NORMAN SCOTT RD")</f>
        <v>3975 NORMAN SCOTT RD</v>
      </c>
      <c r="H3297" t="str">
        <f>T("STE 1")</f>
        <v>STE 1</v>
      </c>
      <c r="I3297" t="str">
        <f>T("SAN DIEGO")</f>
        <v>SAN DIEGO</v>
      </c>
      <c r="J3297" t="str">
        <f>T("CA")</f>
        <v>CA</v>
      </c>
      <c r="K3297" t="str">
        <f>T("000000000000000000")</f>
        <v>000000000000000000</v>
      </c>
      <c r="L3297" t="str">
        <f>T("6195568757")</f>
        <v>6195568757</v>
      </c>
    </row>
    <row r="3298" spans="1:12" x14ac:dyDescent="0.35">
      <c r="A3298" t="str">
        <f t="shared" si="1350"/>
        <v>CSF</v>
      </c>
      <c r="B3298" t="str">
        <f>T("3975 NORMAN SCOTT RD STE 2")</f>
        <v>3975 NORMAN SCOTT RD STE 2</v>
      </c>
      <c r="C3298" t="str">
        <f>T("BLDG 3290 CODE N744")</f>
        <v>BLDG 3290 CODE N744</v>
      </c>
      <c r="D3298" t="str">
        <f>T("SAN DIEGO")</f>
        <v>SAN DIEGO</v>
      </c>
      <c r="E3298" t="str">
        <f>T("CA")</f>
        <v>CA</v>
      </c>
      <c r="F3298" t="str">
        <f>T("921365589")</f>
        <v>921365589</v>
      </c>
      <c r="G3298" t="str">
        <f>T("3975 NORMAN SCOTT RD STE 2")</f>
        <v>3975 NORMAN SCOTT RD STE 2</v>
      </c>
      <c r="H3298" t="str">
        <f>T("BLDG 3290 CODE N744")</f>
        <v>BLDG 3290 CODE N744</v>
      </c>
      <c r="I3298" t="str">
        <f>T("SAN DIEGO")</f>
        <v>SAN DIEGO</v>
      </c>
      <c r="J3298" t="str">
        <f>T("CA")</f>
        <v>CA</v>
      </c>
      <c r="K3298" t="str">
        <f>T("619 556 7761")</f>
        <v>619 556 7761</v>
      </c>
      <c r="L3298" t="str">
        <f>T("6197676507")</f>
        <v>6197676507</v>
      </c>
    </row>
    <row r="3299" spans="1:12" x14ac:dyDescent="0.35">
      <c r="A3299" t="str">
        <f t="shared" si="1350"/>
        <v>CSF</v>
      </c>
      <c r="B3299" t="str">
        <f>T("3975 NORMAN SCOTT RD STE 2")</f>
        <v>3975 NORMAN SCOTT RD STE 2</v>
      </c>
      <c r="C3299" t="str">
        <f>T("BLDG 3290 CODE N744")</f>
        <v>BLDG 3290 CODE N744</v>
      </c>
      <c r="D3299" t="str">
        <f>T("SAN DIEGO")</f>
        <v>SAN DIEGO</v>
      </c>
      <c r="E3299" t="str">
        <f>T("CA")</f>
        <v>CA</v>
      </c>
      <c r="F3299" t="str">
        <f>T("921365589")</f>
        <v>921365589</v>
      </c>
      <c r="G3299" t="str">
        <f>T("3975 NORMAN SCOTT ROAD")</f>
        <v>3975 NORMAN SCOTT ROAD</v>
      </c>
      <c r="H3299" t="str">
        <f>T("STE 1")</f>
        <v>STE 1</v>
      </c>
      <c r="I3299" t="str">
        <f>T("SAN DIEGO")</f>
        <v>SAN DIEGO</v>
      </c>
      <c r="J3299" t="str">
        <f>T("CA")</f>
        <v>CA</v>
      </c>
      <c r="K3299" t="str">
        <f>T("000000000000000000")</f>
        <v>000000000000000000</v>
      </c>
      <c r="L3299" t="str">
        <f>T("6195568757")</f>
        <v>6195568757</v>
      </c>
    </row>
    <row r="3300" spans="1:12" x14ac:dyDescent="0.35">
      <c r="A3300" t="str">
        <f t="shared" si="1350"/>
        <v>CSF</v>
      </c>
      <c r="B3300" t="str">
        <f>T("BLDG 351 BALTIMORE STREET")</f>
        <v>BLDG 351 BALTIMORE STREET</v>
      </c>
      <c r="C3300" t="str">
        <f>T("NAVAL STATION MAYPORT")</f>
        <v>NAVAL STATION MAYPORT</v>
      </c>
      <c r="D3300" t="str">
        <f>T("MAYPORT")</f>
        <v>MAYPORT</v>
      </c>
      <c r="E3300" t="str">
        <f>T("FL")</f>
        <v>FL</v>
      </c>
      <c r="F3300" t="str">
        <f>T("322280000")</f>
        <v>322280000</v>
      </c>
      <c r="G3300" t="str">
        <f>T("413 BALTIMORE ST")</f>
        <v>413 BALTIMORE ST</v>
      </c>
      <c r="H3300" t="str">
        <f>T("BLDG 413")</f>
        <v>BLDG 413</v>
      </c>
      <c r="I3300" t="str">
        <f>T("JACKSONVILLE")</f>
        <v>JACKSONVILLE</v>
      </c>
      <c r="J3300" t="str">
        <f>T("FL")</f>
        <v>FL</v>
      </c>
      <c r="K3300" t="str">
        <f>T("9042707693")</f>
        <v>9042707693</v>
      </c>
      <c r="L3300" t="str">
        <f>T("9042705007")</f>
        <v>9042705007</v>
      </c>
    </row>
    <row r="3301" spans="1:12" x14ac:dyDescent="0.35">
      <c r="A3301" t="str">
        <f t="shared" si="1350"/>
        <v>CSF</v>
      </c>
      <c r="B3301" t="str">
        <f>T("BLDG 351 BALTIMORE STREET")</f>
        <v>BLDG 351 BALTIMORE STREET</v>
      </c>
      <c r="C3301" t="str">
        <f>T("NAVAL STATION MAYPORT")</f>
        <v>NAVAL STATION MAYPORT</v>
      </c>
      <c r="D3301" t="str">
        <f>T("MAYPORT")</f>
        <v>MAYPORT</v>
      </c>
      <c r="E3301" t="str">
        <f>T("FL")</f>
        <v>FL</v>
      </c>
      <c r="F3301" t="str">
        <f>T("322280000")</f>
        <v>322280000</v>
      </c>
      <c r="G3301" t="str">
        <f>T("BLDG 351 BALTIMORE STREET")</f>
        <v>BLDG 351 BALTIMORE STREET</v>
      </c>
      <c r="H3301" t="str">
        <f>T("NAVAL STATION MAYPORT")</f>
        <v>NAVAL STATION MAYPORT</v>
      </c>
      <c r="I3301" t="str">
        <f>T("MAYPORT")</f>
        <v>MAYPORT</v>
      </c>
      <c r="J3301" t="str">
        <f>T("FL")</f>
        <v>FL</v>
      </c>
      <c r="K3301" t="str">
        <f>T("9042706671")</f>
        <v>9042706671</v>
      </c>
      <c r="L3301" t="str">
        <f>T("9042705530")</f>
        <v>9042705530</v>
      </c>
    </row>
    <row r="3302" spans="1:12" x14ac:dyDescent="0.35">
      <c r="A3302" t="str">
        <f t="shared" si="1350"/>
        <v>CSF</v>
      </c>
      <c r="B3302" t="str">
        <f>T("BLDG 351 BALTIMORE STREET")</f>
        <v>BLDG 351 BALTIMORE STREET</v>
      </c>
      <c r="C3302" t="str">
        <f>T("NAVAL STATION MAYPORT")</f>
        <v>NAVAL STATION MAYPORT</v>
      </c>
      <c r="D3302" t="str">
        <f>T("MAYPORT")</f>
        <v>MAYPORT</v>
      </c>
      <c r="E3302" t="str">
        <f>T("FL")</f>
        <v>FL</v>
      </c>
      <c r="F3302" t="str">
        <f>T("322280000")</f>
        <v>322280000</v>
      </c>
      <c r="G3302" t="str">
        <f>T("NS MAYPORT")</f>
        <v>NS MAYPORT</v>
      </c>
      <c r="H3302" t="str">
        <f>T("BLDG 351 BALTIMORE ST")</f>
        <v>BLDG 351 BALTIMORE ST</v>
      </c>
      <c r="I3302" t="str">
        <f>T("MAYPORT")</f>
        <v>MAYPORT</v>
      </c>
      <c r="J3302" t="str">
        <f>T("FL")</f>
        <v>FL</v>
      </c>
      <c r="K3302" t="str">
        <f>T("9042707693")</f>
        <v>9042707693</v>
      </c>
      <c r="L3302" t="str">
        <f>T("9042705007")</f>
        <v>9042705007</v>
      </c>
    </row>
    <row r="3303" spans="1:12" x14ac:dyDescent="0.35">
      <c r="A3303" t="str">
        <f t="shared" si="1350"/>
        <v>CSF</v>
      </c>
      <c r="B3303" t="str">
        <f>T("CSF LEARNING SITE SERE WEST BLDG 618")</f>
        <v>CSF LEARNING SITE SERE WEST BLDG 618</v>
      </c>
      <c r="C3303" t="str">
        <f>T("")</f>
        <v/>
      </c>
      <c r="D3303" t="str">
        <f>T("SAN DIEGO")</f>
        <v>SAN DIEGO</v>
      </c>
      <c r="E3303" t="str">
        <f>T("CA")</f>
        <v>CA</v>
      </c>
      <c r="F3303" t="str">
        <f>T("921350000")</f>
        <v>921350000</v>
      </c>
      <c r="G3303" t="str">
        <f>T("BLDG 618 RMA-105")</f>
        <v>BLDG 618 RMA-105</v>
      </c>
      <c r="H3303" t="str">
        <f>T("MCCAIN BLVD")</f>
        <v>MCCAIN BLVD</v>
      </c>
      <c r="I3303" t="str">
        <f>T("SAN DIEGO")</f>
        <v>SAN DIEGO</v>
      </c>
      <c r="J3303" t="str">
        <f>T("CA")</f>
        <v>CA</v>
      </c>
      <c r="K3303" t="str">
        <f>T("6195459000")</f>
        <v>6195459000</v>
      </c>
      <c r="L3303" t="str">
        <f>T("6195456343")</f>
        <v>6195456343</v>
      </c>
    </row>
    <row r="3304" spans="1:12" x14ac:dyDescent="0.35">
      <c r="A3304" t="str">
        <f t="shared" si="1350"/>
        <v>CSF</v>
      </c>
      <c r="B3304" t="str">
        <f>T("CSF LEARNING SITE SERE WEST BLDG 618")</f>
        <v>CSF LEARNING SITE SERE WEST BLDG 618</v>
      </c>
      <c r="C3304" t="str">
        <f>T("")</f>
        <v/>
      </c>
      <c r="D3304" t="str">
        <f>T("SAN DIEGO")</f>
        <v>SAN DIEGO</v>
      </c>
      <c r="E3304" t="str">
        <f>T("CA")</f>
        <v>CA</v>
      </c>
      <c r="F3304" t="str">
        <f>T("921350000")</f>
        <v>921350000</v>
      </c>
      <c r="G3304" t="str">
        <f>T("BOX 357068")</f>
        <v>BOX 357068</v>
      </c>
      <c r="H3304" t="str">
        <f>T("")</f>
        <v/>
      </c>
      <c r="I3304" t="str">
        <f>T("SAN DIEGO")</f>
        <v>SAN DIEGO</v>
      </c>
      <c r="J3304" t="str">
        <f>T("CA")</f>
        <v>CA</v>
      </c>
      <c r="K3304" t="str">
        <f>T("000000000000000000")</f>
        <v>000000000000000000</v>
      </c>
      <c r="L3304" t="str">
        <f>T("6195456294")</f>
        <v>6195456294</v>
      </c>
    </row>
    <row r="3305" spans="1:12" x14ac:dyDescent="0.35">
      <c r="A3305" t="str">
        <f t="shared" si="1350"/>
        <v>CSF</v>
      </c>
      <c r="B3305" t="str">
        <f>T("CSF LEARNING SITE SERE WEST BLDG 618")</f>
        <v>CSF LEARNING SITE SERE WEST BLDG 618</v>
      </c>
      <c r="C3305" t="str">
        <f>T("")</f>
        <v/>
      </c>
      <c r="D3305" t="str">
        <f>T("SAN DIEGO")</f>
        <v>SAN DIEGO</v>
      </c>
      <c r="E3305" t="str">
        <f>T("CA")</f>
        <v>CA</v>
      </c>
      <c r="F3305" t="str">
        <f>T("921350000")</f>
        <v>921350000</v>
      </c>
      <c r="G3305" t="str">
        <f>T("CSF LEARNING SITE SERE WEST BLDG 618")</f>
        <v>CSF LEARNING SITE SERE WEST BLDG 618</v>
      </c>
      <c r="H3305" t="str">
        <f>T("")</f>
        <v/>
      </c>
      <c r="I3305" t="str">
        <f>T("SAN DIEGO")</f>
        <v>SAN DIEGO</v>
      </c>
      <c r="J3305" t="str">
        <f>T("CA")</f>
        <v>CA</v>
      </c>
      <c r="K3305" t="str">
        <f>T("6195459000")</f>
        <v>6195459000</v>
      </c>
      <c r="L3305" t="str">
        <f>T("6195456343")</f>
        <v>6195456343</v>
      </c>
    </row>
    <row r="3306" spans="1:12" x14ac:dyDescent="0.35">
      <c r="A3306" t="str">
        <f t="shared" si="1350"/>
        <v>CSF</v>
      </c>
      <c r="B3306" t="str">
        <f>T("JOINT MARITIME TRAINING CENTER")</f>
        <v>JOINT MARITIME TRAINING CENTER</v>
      </c>
      <c r="C3306" t="str">
        <f>T("PCS BOX 20068")</f>
        <v>PCS BOX 20068</v>
      </c>
      <c r="D3306" t="str">
        <f>T("CAMP LEJEUNE")</f>
        <v>CAMP LEJEUNE</v>
      </c>
      <c r="E3306" t="str">
        <f>T("NC")</f>
        <v>NC</v>
      </c>
      <c r="F3306" t="str">
        <f>T("285420000")</f>
        <v>285420000</v>
      </c>
      <c r="G3306" t="str">
        <f>T("BB 329 COURTHOUSE BAY")</f>
        <v>BB 329 COURTHOUSE BAY</v>
      </c>
      <c r="H3306" t="str">
        <f>T("")</f>
        <v/>
      </c>
      <c r="I3306" t="str">
        <f>T("CAMP LEJEUNE")</f>
        <v>CAMP LEJEUNE</v>
      </c>
      <c r="J3306" t="str">
        <f>T("NC")</f>
        <v>NC</v>
      </c>
      <c r="K3306" t="str">
        <f>T("9104407412")</f>
        <v>9104407412</v>
      </c>
      <c r="L3306" t="str">
        <f>T("9104417654")</f>
        <v>9104417654</v>
      </c>
    </row>
    <row r="3307" spans="1:12" x14ac:dyDescent="0.35">
      <c r="A3307" t="str">
        <f t="shared" si="1350"/>
        <v>CSF</v>
      </c>
      <c r="B3307" t="str">
        <f>T("JOINT MARITIME TRAINING CENTER")</f>
        <v>JOINT MARITIME TRAINING CENTER</v>
      </c>
      <c r="C3307" t="str">
        <f>T("PCS BOX 20068")</f>
        <v>PCS BOX 20068</v>
      </c>
      <c r="D3307" t="str">
        <f>T("CAMP LEJEUNE")</f>
        <v>CAMP LEJEUNE</v>
      </c>
      <c r="E3307" t="str">
        <f>T("NC")</f>
        <v>NC</v>
      </c>
      <c r="F3307" t="str">
        <f>T("285420000")</f>
        <v>285420000</v>
      </c>
      <c r="G3307" t="str">
        <f>T("JOINT MARITIME TRAINING CENTER")</f>
        <v>JOINT MARITIME TRAINING CENTER</v>
      </c>
      <c r="H3307" t="str">
        <f>T("PCS BOX 20068")</f>
        <v>PCS BOX 20068</v>
      </c>
      <c r="I3307" t="str">
        <f>T("CAMP LEJEUNE")</f>
        <v>CAMP LEJEUNE</v>
      </c>
      <c r="J3307" t="str">
        <f>T("NC")</f>
        <v>NC</v>
      </c>
      <c r="K3307" t="str">
        <f>T("9104407412")</f>
        <v>9104407412</v>
      </c>
      <c r="L3307" t="str">
        <f>T("9104407595")</f>
        <v>9104407595</v>
      </c>
    </row>
    <row r="3308" spans="1:12" x14ac:dyDescent="0.35">
      <c r="A3308" t="str">
        <f t="shared" si="1350"/>
        <v>CSF</v>
      </c>
      <c r="B3308" t="str">
        <f>T("NTTC LACKLAND")</f>
        <v>NTTC LACKLAND</v>
      </c>
      <c r="C3308" t="str">
        <f>T("1250 ARNOLD CIRCLE STE 1")</f>
        <v>1250 ARNOLD CIRCLE STE 1</v>
      </c>
      <c r="D3308" t="str">
        <f>T("LACKLAND AFB")</f>
        <v>LACKLAND AFB</v>
      </c>
      <c r="E3308" t="str">
        <f>T("TX")</f>
        <v>TX</v>
      </c>
      <c r="F3308" t="str">
        <f>T("782365414")</f>
        <v>782365414</v>
      </c>
      <c r="G3308" t="str">
        <f>T("1250 ARNOLD CIRCLE SUITE 1")</f>
        <v>1250 ARNOLD CIRCLE SUITE 1</v>
      </c>
      <c r="H3308" t="str">
        <f>T("")</f>
        <v/>
      </c>
      <c r="I3308" t="str">
        <f>T("LACKLAND A F B")</f>
        <v>LACKLAND A F B</v>
      </c>
      <c r="J3308" t="str">
        <f>T("TX")</f>
        <v>TX</v>
      </c>
      <c r="K3308" t="str">
        <f>T("000000000000000000")</f>
        <v>000000000000000000</v>
      </c>
      <c r="L3308" t="str">
        <f>T("2106710446")</f>
        <v>2106710446</v>
      </c>
    </row>
    <row r="3309" spans="1:12" x14ac:dyDescent="0.35">
      <c r="A3309" t="str">
        <f t="shared" si="1350"/>
        <v>CSF</v>
      </c>
      <c r="B3309" t="str">
        <f>T("NTTC LACKLAND")</f>
        <v>NTTC LACKLAND</v>
      </c>
      <c r="C3309" t="str">
        <f>T("1250 ARNOLD CIRCLE STE 1")</f>
        <v>1250 ARNOLD CIRCLE STE 1</v>
      </c>
      <c r="D3309" t="str">
        <f>T("LACKLAND AFB")</f>
        <v>LACKLAND AFB</v>
      </c>
      <c r="E3309" t="str">
        <f>T("TX")</f>
        <v>TX</v>
      </c>
      <c r="F3309" t="str">
        <f>T("782365414")</f>
        <v>782365414</v>
      </c>
      <c r="G3309" t="str">
        <f>T("NTTC LACKLAND")</f>
        <v>NTTC LACKLAND</v>
      </c>
      <c r="H3309" t="str">
        <f>T("1250 ARNOLD CIRCLE STE 1")</f>
        <v>1250 ARNOLD CIRCLE STE 1</v>
      </c>
      <c r="I3309" t="str">
        <f>T("LACKLAND AFB")</f>
        <v>LACKLAND AFB</v>
      </c>
      <c r="J3309" t="str">
        <f>T("TX")</f>
        <v>TX</v>
      </c>
      <c r="K3309" t="str">
        <f>T("2106711320")</f>
        <v>2106711320</v>
      </c>
      <c r="L3309" t="str">
        <f>T("2106716217")</f>
        <v>2106716217</v>
      </c>
    </row>
    <row r="3310" spans="1:12" x14ac:dyDescent="0.35">
      <c r="A3310" t="str">
        <f>T("ENGINEERING DUTY OS")</f>
        <v>ENGINEERING DUTY OS</v>
      </c>
      <c r="B3310" t="str">
        <f>T("3502 GOODSPEED ST")</f>
        <v>3502 GOODSPEED ST</v>
      </c>
      <c r="C3310" t="str">
        <f>T("SUITE 6")</f>
        <v>SUITE 6</v>
      </c>
      <c r="D3310" t="str">
        <f>T("PORT HUENEME")</f>
        <v>PORT HUENEME</v>
      </c>
      <c r="E3310" t="str">
        <f>T("CA")</f>
        <v>CA</v>
      </c>
      <c r="F3310" t="str">
        <f>T("930434474")</f>
        <v>930434474</v>
      </c>
      <c r="G3310" t="str">
        <f>T("3502 GOODSPEED ST")</f>
        <v>3502 GOODSPEED ST</v>
      </c>
      <c r="H3310" t="str">
        <f>T("SUITE 6")</f>
        <v>SUITE 6</v>
      </c>
      <c r="I3310" t="str">
        <f>T("PORT HUENEME")</f>
        <v>PORT HUENEME</v>
      </c>
      <c r="J3310" t="str">
        <f>T("CA")</f>
        <v>CA</v>
      </c>
      <c r="K3310" t="str">
        <f>T("8059825847")</f>
        <v>8059825847</v>
      </c>
      <c r="L3310" t="str">
        <f>T("8059826159")</f>
        <v>8059826159</v>
      </c>
    </row>
    <row r="3311" spans="1:12" x14ac:dyDescent="0.35">
      <c r="A3311" t="str">
        <f>T("ENGINEERING DUTY OS")</f>
        <v>ENGINEERING DUTY OS</v>
      </c>
      <c r="B3311" t="str">
        <f>T("3502 GOODSPEED ST")</f>
        <v>3502 GOODSPEED ST</v>
      </c>
      <c r="C3311" t="str">
        <f>T("SUITE 6")</f>
        <v>SUITE 6</v>
      </c>
      <c r="D3311" t="str">
        <f>T("PORT HUENEME")</f>
        <v>PORT HUENEME</v>
      </c>
      <c r="E3311" t="str">
        <f>T("CA")</f>
        <v>CA</v>
      </c>
      <c r="F3311" t="str">
        <f>T("930434474")</f>
        <v>930434474</v>
      </c>
      <c r="G3311" t="str">
        <f>T("EDO SCHOOL")</f>
        <v>EDO SCHOOL</v>
      </c>
      <c r="H3311" t="str">
        <f>T("3502 GOODSPEED ST STE 6")</f>
        <v>3502 GOODSPEED ST STE 6</v>
      </c>
      <c r="I3311" t="str">
        <f>T("PORT HUENEME")</f>
        <v>PORT HUENEME</v>
      </c>
      <c r="J3311" t="str">
        <f>T("CA")</f>
        <v>CA</v>
      </c>
      <c r="K3311" t="str">
        <f>T("8059825847")</f>
        <v>8059825847</v>
      </c>
      <c r="L3311" t="str">
        <f>T("8509286265")</f>
        <v>8509286265</v>
      </c>
    </row>
    <row r="3312" spans="1:12" x14ac:dyDescent="0.35">
      <c r="A3312" t="str">
        <f>T("NCSC")</f>
        <v>NCSC</v>
      </c>
      <c r="B3312" t="str">
        <f>T("NAVCHAPSCHLEN")</f>
        <v>NAVCHAPSCHLEN</v>
      </c>
      <c r="C3312" t="str">
        <f>T("10098 BENNING ROAD")</f>
        <v>10098 BENNING ROAD</v>
      </c>
      <c r="D3312" t="str">
        <f>T("COLUMBIA")</f>
        <v>COLUMBIA</v>
      </c>
      <c r="E3312" t="str">
        <f>T("SC")</f>
        <v>SC</v>
      </c>
      <c r="F3312" t="str">
        <f>T("292075307")</f>
        <v>292075307</v>
      </c>
      <c r="G3312" t="str">
        <f>T("NAVAL CHAPLAINCY SCHOOL AND CENTER")</f>
        <v>NAVAL CHAPLAINCY SCHOOL AND CENTER</v>
      </c>
      <c r="H3312" t="str">
        <f>T("10098 BENNING RD")</f>
        <v>10098 BENNING RD</v>
      </c>
      <c r="I3312" t="str">
        <f>T("COLUMBIA")</f>
        <v>COLUMBIA</v>
      </c>
      <c r="J3312" t="str">
        <f>T("SC")</f>
        <v>SC</v>
      </c>
      <c r="K3312" t="str">
        <f>T("8037515399")</f>
        <v>8037515399</v>
      </c>
      <c r="L3312" t="str">
        <f>T("8037519014")</f>
        <v>8037519014</v>
      </c>
    </row>
    <row r="3313" spans="1:12" x14ac:dyDescent="0.35">
      <c r="A3313" t="str">
        <f>T("NCSC")</f>
        <v>NCSC</v>
      </c>
      <c r="B3313" t="str">
        <f>T("NAVCHAPSCHLEN")</f>
        <v>NAVCHAPSCHLEN</v>
      </c>
      <c r="C3313" t="str">
        <f>T("10098 BENNING ROAD")</f>
        <v>10098 BENNING ROAD</v>
      </c>
      <c r="D3313" t="str">
        <f>T("COLUMBIA")</f>
        <v>COLUMBIA</v>
      </c>
      <c r="E3313" t="str">
        <f>T("SC")</f>
        <v>SC</v>
      </c>
      <c r="F3313" t="str">
        <f>T("292075307")</f>
        <v>292075307</v>
      </c>
      <c r="G3313" t="str">
        <f>T("NAVCHAPSCHLEN")</f>
        <v>NAVCHAPSCHLEN</v>
      </c>
      <c r="H3313" t="str">
        <f>T("10098 BENNING ROAD")</f>
        <v>10098 BENNING ROAD</v>
      </c>
      <c r="I3313" t="str">
        <f>T("COLUMBIA")</f>
        <v>COLUMBIA</v>
      </c>
      <c r="J3313" t="str">
        <f>T("SC")</f>
        <v>SC</v>
      </c>
      <c r="K3313" t="str">
        <f>T("8037515399")</f>
        <v>8037515399</v>
      </c>
      <c r="L3313" t="str">
        <f>T("8037519017")</f>
        <v>8037519017</v>
      </c>
    </row>
    <row r="3314" spans="1:12" x14ac:dyDescent="0.35">
      <c r="A3314" t="str">
        <f>T("TSC SAN DIEGO")</f>
        <v>TSC SAN DIEGO</v>
      </c>
      <c r="B3314" t="str">
        <f>T("3975 NORMAN SCOTT ROAD STE 1")</f>
        <v>3975 NORMAN SCOTT ROAD STE 1</v>
      </c>
      <c r="C3314" t="str">
        <f>T("BLDG 3290")</f>
        <v>BLDG 3290</v>
      </c>
      <c r="D3314" t="str">
        <f>T("SAN DIEGO")</f>
        <v>SAN DIEGO</v>
      </c>
      <c r="E3314" t="str">
        <f>T("CA")</f>
        <v>CA</v>
      </c>
      <c r="F3314" t="str">
        <f>T("921365588")</f>
        <v>921365588</v>
      </c>
      <c r="G3314" t="str">
        <f>T("1171 NOLAN AVENUE")</f>
        <v>1171 NOLAN AVENUE</v>
      </c>
      <c r="H3314" t="str">
        <f>T("")</f>
        <v/>
      </c>
      <c r="I3314" t="str">
        <f>T("CHULA VISTA")</f>
        <v>CHULA VISTA</v>
      </c>
      <c r="J3314" t="str">
        <f>T("CA")</f>
        <v>CA</v>
      </c>
      <c r="K3314" t="str">
        <f>T("6195569185")</f>
        <v>6195569185</v>
      </c>
      <c r="L3314" t="str">
        <f>T("6195568418")</f>
        <v>6195568418</v>
      </c>
    </row>
    <row r="3315" spans="1:12" x14ac:dyDescent="0.35">
      <c r="A3315" t="str">
        <f>T("TSC SAN DIEGO")</f>
        <v>TSC SAN DIEGO</v>
      </c>
      <c r="B3315" t="str">
        <f>T("3975 NORMAN SCOTT ROAD STE 1")</f>
        <v>3975 NORMAN SCOTT ROAD STE 1</v>
      </c>
      <c r="C3315" t="str">
        <f>T("BLDG 3290")</f>
        <v>BLDG 3290</v>
      </c>
      <c r="D3315" t="str">
        <f>T("SAN DIEGO")</f>
        <v>SAN DIEGO</v>
      </c>
      <c r="E3315" t="str">
        <f>T("CA")</f>
        <v>CA</v>
      </c>
      <c r="F3315" t="str">
        <f>T("921365588")</f>
        <v>921365588</v>
      </c>
      <c r="G3315" t="str">
        <f>T("3975 NORMAN SCOTT RD STE 1")</f>
        <v>3975 NORMAN SCOTT RD STE 1</v>
      </c>
      <c r="H3315" t="str">
        <f>T("BLDG 3290 WAREHOUSE RM 101")</f>
        <v>BLDG 3290 WAREHOUSE RM 101</v>
      </c>
      <c r="I3315" t="str">
        <f>T("SAN DIEGO")</f>
        <v>SAN DIEGO</v>
      </c>
      <c r="J3315" t="str">
        <f>T("CA")</f>
        <v>CA</v>
      </c>
      <c r="K3315" t="str">
        <f>T("000000000000000000")</f>
        <v>000000000000000000</v>
      </c>
      <c r="L3315" t="str">
        <f>T("6195568422")</f>
        <v>6195568422</v>
      </c>
    </row>
    <row r="3316" spans="1:12" x14ac:dyDescent="0.35">
      <c r="A3316" t="str">
        <f>T("TSC SAN DIEGO")</f>
        <v>TSC SAN DIEGO</v>
      </c>
      <c r="B3316" t="str">
        <f>T("3975 NORMAN SCOTT ROAD STE 1")</f>
        <v>3975 NORMAN SCOTT ROAD STE 1</v>
      </c>
      <c r="C3316" t="str">
        <f>T("BLDG 3290")</f>
        <v>BLDG 3290</v>
      </c>
      <c r="D3316" t="str">
        <f>T("SAN DIEGO")</f>
        <v>SAN DIEGO</v>
      </c>
      <c r="E3316" t="str">
        <f>T("CA")</f>
        <v>CA</v>
      </c>
      <c r="F3316" t="str">
        <f>T("921365588")</f>
        <v>921365588</v>
      </c>
      <c r="G3316" t="str">
        <f>T("3975 NORMAN SCOTT ROAD STE 1")</f>
        <v>3975 NORMAN SCOTT ROAD STE 1</v>
      </c>
      <c r="H3316" t="str">
        <f>T("")</f>
        <v/>
      </c>
      <c r="I3316" t="str">
        <f>T("SAN DIEGO")</f>
        <v>SAN DIEGO</v>
      </c>
      <c r="J3316" t="str">
        <f>T("CA")</f>
        <v>CA</v>
      </c>
      <c r="K3316" t="str">
        <f>T("6195568418")</f>
        <v>6195568418</v>
      </c>
      <c r="L3316" t="str">
        <f>T("6195568418")</f>
        <v>6195568418</v>
      </c>
    </row>
    <row r="3317" spans="1:12" x14ac:dyDescent="0.35">
      <c r="A3317" t="str">
        <f>T("TSC SAN DIEGO")</f>
        <v>TSC SAN DIEGO</v>
      </c>
      <c r="B3317" t="str">
        <f>T("3975 NORMAN SCOTT ROAD STE 1")</f>
        <v>3975 NORMAN SCOTT ROAD STE 1</v>
      </c>
      <c r="C3317" t="str">
        <f>T("BLDG 3290")</f>
        <v>BLDG 3290</v>
      </c>
      <c r="D3317" t="str">
        <f>T("SAN DIEGO")</f>
        <v>SAN DIEGO</v>
      </c>
      <c r="E3317" t="str">
        <f>T("CA")</f>
        <v>CA</v>
      </c>
      <c r="F3317" t="str">
        <f>T("921365588")</f>
        <v>921365588</v>
      </c>
      <c r="G3317" t="str">
        <f>T("3975 NORMAN SCOTT ROAD STE 1")</f>
        <v>3975 NORMAN SCOTT ROAD STE 1</v>
      </c>
      <c r="H3317" t="str">
        <f>T("BLDG 3290")</f>
        <v>BLDG 3290</v>
      </c>
      <c r="I3317" t="str">
        <f>T("SAN DIEGO")</f>
        <v>SAN DIEGO</v>
      </c>
      <c r="J3317" t="str">
        <f>T("CA")</f>
        <v>CA</v>
      </c>
      <c r="K3317" t="str">
        <f>T("")</f>
        <v/>
      </c>
      <c r="L3317" t="str">
        <f>T("6195568416")</f>
        <v>6195568416</v>
      </c>
    </row>
    <row r="3318" spans="1:12" x14ac:dyDescent="0.35">
      <c r="A3318" t="str">
        <f>T("TSC SAN DIEGO")</f>
        <v>TSC SAN DIEGO</v>
      </c>
      <c r="B3318" t="str">
        <f>T("3975 NORMAN SCOTT ROAD STE 1")</f>
        <v>3975 NORMAN SCOTT ROAD STE 1</v>
      </c>
      <c r="C3318" t="str">
        <f>T("BLDG 3290")</f>
        <v>BLDG 3290</v>
      </c>
      <c r="D3318" t="str">
        <f>T("SAN DIEGO")</f>
        <v>SAN DIEGO</v>
      </c>
      <c r="E3318" t="str">
        <f>T("CA")</f>
        <v>CA</v>
      </c>
      <c r="F3318" t="str">
        <f>T("921365588")</f>
        <v>921365588</v>
      </c>
      <c r="G3318" t="str">
        <f>T("3975 NORMAN SCOTT ROAD SUITE 1")</f>
        <v>3975 NORMAN SCOTT ROAD SUITE 1</v>
      </c>
      <c r="H3318" t="str">
        <f>T("BLDG 3290 ROOM 100")</f>
        <v>BLDG 3290 ROOM 100</v>
      </c>
      <c r="I3318" t="str">
        <f>T("SAN DIEGO")</f>
        <v>SAN DIEGO</v>
      </c>
      <c r="J3318" t="str">
        <f>T("CA")</f>
        <v>CA</v>
      </c>
      <c r="K3318" t="str">
        <f>T("6195568418")</f>
        <v>6195568418</v>
      </c>
      <c r="L3318" t="str">
        <f>T("6195568418")</f>
        <v>6195568418</v>
      </c>
    </row>
    <row r="3319" spans="1:12" x14ac:dyDescent="0.35">
      <c r="A3319" t="str">
        <f t="shared" ref="A3319:A3335" si="1351">T("CENINFOWARTRA PENSACOLA FL")</f>
        <v>CENINFOWARTRA PENSACOLA FL</v>
      </c>
      <c r="B3319" t="str">
        <f>T("2088 REGULUS AVE")</f>
        <v>2088 REGULUS AVE</v>
      </c>
      <c r="C3319" t="str">
        <f>T("BLDG 420 CODE N4")</f>
        <v>BLDG 420 CODE N4</v>
      </c>
      <c r="D3319" t="str">
        <f>T("VIRGINIA BEACH")</f>
        <v>VIRGINIA BEACH</v>
      </c>
      <c r="E3319" t="str">
        <f>T("VA")</f>
        <v>VA</v>
      </c>
      <c r="F3319" t="str">
        <f>T("234612017")</f>
        <v>234612017</v>
      </c>
      <c r="G3319" t="str">
        <f>T("2088 REGULUS AVE")</f>
        <v>2088 REGULUS AVE</v>
      </c>
      <c r="H3319" t="str">
        <f>T("BLDG 420")</f>
        <v>BLDG 420</v>
      </c>
      <c r="I3319" t="str">
        <f>T("VIRGINIA BEACH")</f>
        <v>VIRGINIA BEACH</v>
      </c>
      <c r="J3319" t="str">
        <f>T("VA")</f>
        <v>VA</v>
      </c>
      <c r="K3319" t="str">
        <f>T("7574920431")</f>
        <v>7574920431</v>
      </c>
      <c r="L3319" t="str">
        <f>T("7574920049")</f>
        <v>7574920049</v>
      </c>
    </row>
    <row r="3320" spans="1:12" x14ac:dyDescent="0.35">
      <c r="A3320" t="str">
        <f t="shared" si="1351"/>
        <v>CENINFOWARTRA PENSACOLA FL</v>
      </c>
      <c r="B3320" t="str">
        <f>T("2088 REGULUS AVE")</f>
        <v>2088 REGULUS AVE</v>
      </c>
      <c r="C3320" t="str">
        <f>T("BLDG 420 CODE N4")</f>
        <v>BLDG 420 CODE N4</v>
      </c>
      <c r="D3320" t="str">
        <f>T("VIRGINIA BEACH")</f>
        <v>VIRGINIA BEACH</v>
      </c>
      <c r="E3320" t="str">
        <f>T("VA")</f>
        <v>VA</v>
      </c>
      <c r="F3320" t="str">
        <f>T("234612017")</f>
        <v>234612017</v>
      </c>
      <c r="G3320" t="str">
        <f>T("2088 REGULUS AVE")</f>
        <v>2088 REGULUS AVE</v>
      </c>
      <c r="H3320" t="str">
        <f>T("BLDG 420 CODE N4")</f>
        <v>BLDG 420 CODE N4</v>
      </c>
      <c r="I3320" t="str">
        <f>T("VIRGINIA BEACH")</f>
        <v>VIRGINIA BEACH</v>
      </c>
      <c r="J3320" t="str">
        <f>T("VA")</f>
        <v>VA</v>
      </c>
      <c r="K3320" t="str">
        <f>T("7574920431")</f>
        <v>7574920431</v>
      </c>
      <c r="L3320" t="str">
        <f>T("7574920052")</f>
        <v>7574920052</v>
      </c>
    </row>
    <row r="3321" spans="1:12" x14ac:dyDescent="0.35">
      <c r="A3321" t="str">
        <f t="shared" si="1351"/>
        <v>CENINFOWARTRA PENSACOLA FL</v>
      </c>
      <c r="B3321" t="str">
        <f>T("3955 NORTH HARBOR DRIVE")</f>
        <v>3955 NORTH HARBOR DRIVE</v>
      </c>
      <c r="C3321" t="str">
        <f>T("")</f>
        <v/>
      </c>
      <c r="D3321" t="str">
        <f>T("SAN DIEGO")</f>
        <v>SAN DIEGO</v>
      </c>
      <c r="E3321" t="str">
        <f t="shared" ref="E3321:E3326" si="1352">T("CA")</f>
        <v>CA</v>
      </c>
      <c r="F3321" t="str">
        <f>T("921011031")</f>
        <v>921011031</v>
      </c>
      <c r="G3321" t="str">
        <f>T("3955 N HARBOR DRIVE")</f>
        <v>3955 N HARBOR DRIVE</v>
      </c>
      <c r="H3321" t="str">
        <f>T("")</f>
        <v/>
      </c>
      <c r="I3321" t="str">
        <f>T("SAN DIEGO")</f>
        <v>SAN DIEGO</v>
      </c>
      <c r="J3321" t="str">
        <f t="shared" ref="J3321:J3326" si="1353">T("CA")</f>
        <v>CA</v>
      </c>
      <c r="K3321" t="str">
        <f>T("000000000000000000")</f>
        <v>000000000000000000</v>
      </c>
      <c r="L3321" t="str">
        <f>T("6195241302")</f>
        <v>6195241302</v>
      </c>
    </row>
    <row r="3322" spans="1:12" x14ac:dyDescent="0.35">
      <c r="A3322" t="str">
        <f t="shared" si="1351"/>
        <v>CENINFOWARTRA PENSACOLA FL</v>
      </c>
      <c r="B3322" t="str">
        <f>T("3955 NORTH HARBOR DRIVE")</f>
        <v>3955 NORTH HARBOR DRIVE</v>
      </c>
      <c r="C3322" t="str">
        <f>T("")</f>
        <v/>
      </c>
      <c r="D3322" t="str">
        <f>T("SAN DIEGO")</f>
        <v>SAN DIEGO</v>
      </c>
      <c r="E3322" t="str">
        <f t="shared" si="1352"/>
        <v>CA</v>
      </c>
      <c r="F3322" t="str">
        <f>T("921011031")</f>
        <v>921011031</v>
      </c>
      <c r="G3322" t="str">
        <f>T("3955 NORTH HARBOR DRIVE")</f>
        <v>3955 NORTH HARBOR DRIVE</v>
      </c>
      <c r="H3322" t="str">
        <f>T("")</f>
        <v/>
      </c>
      <c r="I3322" t="str">
        <f>T("SAN DIEGO")</f>
        <v>SAN DIEGO</v>
      </c>
      <c r="J3322" t="str">
        <f t="shared" si="1353"/>
        <v>CA</v>
      </c>
      <c r="K3322" t="str">
        <f>T("000000000000000000")</f>
        <v>000000000000000000</v>
      </c>
      <c r="L3322" t="str">
        <f>T("6195567192")</f>
        <v>6195567192</v>
      </c>
    </row>
    <row r="3323" spans="1:12" x14ac:dyDescent="0.35">
      <c r="A3323" t="str">
        <f t="shared" si="1351"/>
        <v>CENINFOWARTRA PENSACOLA FL</v>
      </c>
      <c r="B3323" t="str">
        <f>T("3955 NORTH HARBOR DRIVE")</f>
        <v>3955 NORTH HARBOR DRIVE</v>
      </c>
      <c r="C3323" t="str">
        <f>T("")</f>
        <v/>
      </c>
      <c r="D3323" t="str">
        <f>T("SAN DIEGO")</f>
        <v>SAN DIEGO</v>
      </c>
      <c r="E3323" t="str">
        <f t="shared" si="1352"/>
        <v>CA</v>
      </c>
      <c r="F3323" t="str">
        <f>T("921011031")</f>
        <v>921011031</v>
      </c>
      <c r="G3323" t="str">
        <f>T("3975 NORMAN SCOTT ROAD")</f>
        <v>3975 NORMAN SCOTT ROAD</v>
      </c>
      <c r="H3323" t="str">
        <f>T("")</f>
        <v/>
      </c>
      <c r="I3323" t="str">
        <f>T("SAN DIEGO")</f>
        <v>SAN DIEGO</v>
      </c>
      <c r="J3323" t="str">
        <f t="shared" si="1353"/>
        <v>CA</v>
      </c>
      <c r="K3323" t="str">
        <f>T("000000000000000000")</f>
        <v>000000000000000000</v>
      </c>
      <c r="L3323" t="str">
        <f>T("6195569486")</f>
        <v>6195569486</v>
      </c>
    </row>
    <row r="3324" spans="1:12" x14ac:dyDescent="0.35">
      <c r="A3324" t="str">
        <f t="shared" si="1351"/>
        <v>CENINFOWARTRA PENSACOLA FL</v>
      </c>
      <c r="B3324" t="str">
        <f>T("3955 NORTH HARBOR DRIVE")</f>
        <v>3955 NORTH HARBOR DRIVE</v>
      </c>
      <c r="C3324" t="str">
        <f>T("")</f>
        <v/>
      </c>
      <c r="D3324" t="str">
        <f>T("SAN DIEGO")</f>
        <v>SAN DIEGO</v>
      </c>
      <c r="E3324" t="str">
        <f t="shared" si="1352"/>
        <v>CA</v>
      </c>
      <c r="F3324" t="str">
        <f>T("921011031")</f>
        <v>921011031</v>
      </c>
      <c r="G3324" t="str">
        <f>T("NAVAL STATION SAN DIEGO BLDG 3141")</f>
        <v>NAVAL STATION SAN DIEGO BLDG 3141</v>
      </c>
      <c r="H3324" t="str">
        <f>T("2790 CHANNEL LANE")</f>
        <v>2790 CHANNEL LANE</v>
      </c>
      <c r="I3324" t="str">
        <f>T("SAN DIEGO")</f>
        <v>SAN DIEGO</v>
      </c>
      <c r="J3324" t="str">
        <f t="shared" si="1353"/>
        <v>CA</v>
      </c>
      <c r="K3324" t="str">
        <f>T("000000000000000000")</f>
        <v>000000000000000000</v>
      </c>
      <c r="L3324" t="str">
        <f>T("6195567192")</f>
        <v>6195567192</v>
      </c>
    </row>
    <row r="3325" spans="1:12" x14ac:dyDescent="0.35">
      <c r="A3325" t="str">
        <f t="shared" si="1351"/>
        <v>CENINFOWARTRA PENSACOLA FL</v>
      </c>
      <c r="B3325" t="str">
        <f>T("485 CAFFEREY CT")</f>
        <v>485 CAFFEREY CT</v>
      </c>
      <c r="C3325" t="str">
        <f>T("BLDG 629A")</f>
        <v>BLDG 629A</v>
      </c>
      <c r="D3325" t="str">
        <f>T("MONTEREY")</f>
        <v>MONTEREY</v>
      </c>
      <c r="E3325" t="str">
        <f t="shared" si="1352"/>
        <v>CA</v>
      </c>
      <c r="F3325" t="str">
        <f>T("939443101")</f>
        <v>939443101</v>
      </c>
      <c r="G3325" t="str">
        <f>T("412 RIFLE RANGE ROAD")</f>
        <v>412 RIFLE RANGE ROAD</v>
      </c>
      <c r="H3325" t="str">
        <f>T("SUITE 228")</f>
        <v>SUITE 228</v>
      </c>
      <c r="I3325" t="str">
        <f>T("MONTEREY")</f>
        <v>MONTEREY</v>
      </c>
      <c r="J3325" t="str">
        <f t="shared" si="1353"/>
        <v>CA</v>
      </c>
      <c r="K3325" t="str">
        <f>T("8312427090")</f>
        <v>8312427090</v>
      </c>
      <c r="L3325" t="str">
        <f>T("8312427065")</f>
        <v>8312427065</v>
      </c>
    </row>
    <row r="3326" spans="1:12" x14ac:dyDescent="0.35">
      <c r="A3326" t="str">
        <f t="shared" si="1351"/>
        <v>CENINFOWARTRA PENSACOLA FL</v>
      </c>
      <c r="B3326" t="str">
        <f>T("485 CAFFEREY CT")</f>
        <v>485 CAFFEREY CT</v>
      </c>
      <c r="C3326" t="str">
        <f>T("BLDG 629A")</f>
        <v>BLDG 629A</v>
      </c>
      <c r="D3326" t="str">
        <f>T("MONTEREY")</f>
        <v>MONTEREY</v>
      </c>
      <c r="E3326" t="str">
        <f t="shared" si="1352"/>
        <v>CA</v>
      </c>
      <c r="F3326" t="str">
        <f>T("939443101")</f>
        <v>939443101</v>
      </c>
      <c r="G3326" t="str">
        <f>T("485 CAFFEREY CT")</f>
        <v>485 CAFFEREY CT</v>
      </c>
      <c r="H3326" t="str">
        <f>T("BLDG 629A")</f>
        <v>BLDG 629A</v>
      </c>
      <c r="I3326" t="str">
        <f>T("MONTEREY")</f>
        <v>MONTEREY</v>
      </c>
      <c r="J3326" t="str">
        <f t="shared" si="1353"/>
        <v>CA</v>
      </c>
      <c r="K3326" t="str">
        <f>T("")</f>
        <v/>
      </c>
      <c r="L3326" t="str">
        <f>T("8312427120")</f>
        <v>8312427120</v>
      </c>
    </row>
    <row r="3327" spans="1:12" x14ac:dyDescent="0.35">
      <c r="A3327" t="str">
        <f t="shared" si="1351"/>
        <v>CENINFOWARTRA PENSACOLA FL</v>
      </c>
      <c r="B3327" t="str">
        <f t="shared" ref="B3327:B3335" si="1354">T("640 ROBERTS AVE")</f>
        <v>640 ROBERTS AVE</v>
      </c>
      <c r="C3327" t="str">
        <f>T("")</f>
        <v/>
      </c>
      <c r="D3327" t="str">
        <f t="shared" ref="D3327:D3335" si="1355">T("PENSACOLA")</f>
        <v>PENSACOLA</v>
      </c>
      <c r="E3327" t="str">
        <f t="shared" ref="E3327:E3338" si="1356">T("FL")</f>
        <v>FL</v>
      </c>
      <c r="F3327" t="str">
        <f t="shared" ref="F3327:F3335" si="1357">T("325115155")</f>
        <v>325115155</v>
      </c>
      <c r="G3327" t="str">
        <f t="shared" ref="G3327:G3335" si="1358">T("640 ROBERTS AVE")</f>
        <v>640 ROBERTS AVE</v>
      </c>
      <c r="H3327" t="str">
        <f>T("")</f>
        <v/>
      </c>
      <c r="I3327" t="str">
        <f t="shared" ref="I3327:I3335" si="1359">T("PENSACOLA")</f>
        <v>PENSACOLA</v>
      </c>
      <c r="J3327" t="str">
        <f t="shared" ref="J3327:J3338" si="1360">T("FL")</f>
        <v>FL</v>
      </c>
      <c r="K3327" t="str">
        <f>T("000000000000000000")</f>
        <v>000000000000000000</v>
      </c>
      <c r="L3327" t="str">
        <f>T("8504526500")</f>
        <v>8504526500</v>
      </c>
    </row>
    <row r="3328" spans="1:12" x14ac:dyDescent="0.35">
      <c r="A3328" t="str">
        <f t="shared" si="1351"/>
        <v>CENINFOWARTRA PENSACOLA FL</v>
      </c>
      <c r="B3328" t="str">
        <f t="shared" si="1354"/>
        <v>640 ROBERTS AVE</v>
      </c>
      <c r="C3328" t="str">
        <f>T("")</f>
        <v/>
      </c>
      <c r="D3328" t="str">
        <f t="shared" si="1355"/>
        <v>PENSACOLA</v>
      </c>
      <c r="E3328" t="str">
        <f t="shared" si="1356"/>
        <v>FL</v>
      </c>
      <c r="F3328" t="str">
        <f t="shared" si="1357"/>
        <v>325115155</v>
      </c>
      <c r="G3328" t="str">
        <f t="shared" si="1358"/>
        <v>640 ROBERTS AVE</v>
      </c>
      <c r="H3328" t="str">
        <f>T("")</f>
        <v/>
      </c>
      <c r="I3328" t="str">
        <f t="shared" si="1359"/>
        <v>PENSACOLA</v>
      </c>
      <c r="J3328" t="str">
        <f t="shared" si="1360"/>
        <v>FL</v>
      </c>
      <c r="K3328" t="str">
        <f>T("000000000000000000")</f>
        <v>000000000000000000</v>
      </c>
      <c r="L3328" t="str">
        <f>T("8504526828")</f>
        <v>8504526828</v>
      </c>
    </row>
    <row r="3329" spans="1:12" x14ac:dyDescent="0.35">
      <c r="A3329" t="str">
        <f t="shared" si="1351"/>
        <v>CENINFOWARTRA PENSACOLA FL</v>
      </c>
      <c r="B3329" t="str">
        <f t="shared" si="1354"/>
        <v>640 ROBERTS AVE</v>
      </c>
      <c r="C3329" t="str">
        <f>T("")</f>
        <v/>
      </c>
      <c r="D3329" t="str">
        <f t="shared" si="1355"/>
        <v>PENSACOLA</v>
      </c>
      <c r="E3329" t="str">
        <f t="shared" si="1356"/>
        <v>FL</v>
      </c>
      <c r="F3329" t="str">
        <f t="shared" si="1357"/>
        <v>325115155</v>
      </c>
      <c r="G3329" t="str">
        <f t="shared" si="1358"/>
        <v>640 ROBERTS AVE</v>
      </c>
      <c r="H3329" t="str">
        <f>T("")</f>
        <v/>
      </c>
      <c r="I3329" t="str">
        <f t="shared" si="1359"/>
        <v>PENSACOLA</v>
      </c>
      <c r="J3329" t="str">
        <f t="shared" si="1360"/>
        <v>FL</v>
      </c>
      <c r="K3329" t="str">
        <f>T("8504526260")</f>
        <v>8504526260</v>
      </c>
      <c r="L3329" t="str">
        <f>T("8504526870")</f>
        <v>8504526870</v>
      </c>
    </row>
    <row r="3330" spans="1:12" x14ac:dyDescent="0.35">
      <c r="A3330" t="str">
        <f t="shared" si="1351"/>
        <v>CENINFOWARTRA PENSACOLA FL</v>
      </c>
      <c r="B3330" t="str">
        <f t="shared" si="1354"/>
        <v>640 ROBERTS AVE</v>
      </c>
      <c r="C3330" t="str">
        <f>T("BLDG 502")</f>
        <v>BLDG 502</v>
      </c>
      <c r="D3330" t="str">
        <f t="shared" si="1355"/>
        <v>PENSACOLA</v>
      </c>
      <c r="E3330" t="str">
        <f t="shared" si="1356"/>
        <v>FL</v>
      </c>
      <c r="F3330" t="str">
        <f t="shared" si="1357"/>
        <v>325115155</v>
      </c>
      <c r="G3330" t="str">
        <f t="shared" si="1358"/>
        <v>640 ROBERTS AVE</v>
      </c>
      <c r="H3330" t="str">
        <f>T("BLDG 502")</f>
        <v>BLDG 502</v>
      </c>
      <c r="I3330" t="str">
        <f t="shared" si="1359"/>
        <v>PENSACOLA</v>
      </c>
      <c r="J3330" t="str">
        <f t="shared" si="1360"/>
        <v>FL</v>
      </c>
      <c r="K3330" t="str">
        <f>T("8504526003")</f>
        <v>8504526003</v>
      </c>
      <c r="L3330" t="str">
        <f>T("8504526173")</f>
        <v>8504526173</v>
      </c>
    </row>
    <row r="3331" spans="1:12" x14ac:dyDescent="0.35">
      <c r="A3331" t="str">
        <f t="shared" si="1351"/>
        <v>CENINFOWARTRA PENSACOLA FL</v>
      </c>
      <c r="B3331" t="str">
        <f t="shared" si="1354"/>
        <v>640 ROBERTS AVE</v>
      </c>
      <c r="C3331" t="str">
        <f>T("BLDG 502")</f>
        <v>BLDG 502</v>
      </c>
      <c r="D3331" t="str">
        <f t="shared" si="1355"/>
        <v>PENSACOLA</v>
      </c>
      <c r="E3331" t="str">
        <f t="shared" si="1356"/>
        <v>FL</v>
      </c>
      <c r="F3331" t="str">
        <f t="shared" si="1357"/>
        <v>325115155</v>
      </c>
      <c r="G3331" t="str">
        <f t="shared" si="1358"/>
        <v>640 ROBERTS AVE</v>
      </c>
      <c r="H3331" t="str">
        <f>T("CODE N4")</f>
        <v>CODE N4</v>
      </c>
      <c r="I3331" t="str">
        <f t="shared" si="1359"/>
        <v>PENSACOLA</v>
      </c>
      <c r="J3331" t="str">
        <f t="shared" si="1360"/>
        <v>FL</v>
      </c>
      <c r="K3331" t="str">
        <f>T("8504526003")</f>
        <v>8504526003</v>
      </c>
      <c r="L3331" t="str">
        <f>T("8504526017")</f>
        <v>8504526017</v>
      </c>
    </row>
    <row r="3332" spans="1:12" x14ac:dyDescent="0.35">
      <c r="A3332" t="str">
        <f t="shared" si="1351"/>
        <v>CENINFOWARTRA PENSACOLA FL</v>
      </c>
      <c r="B3332" t="str">
        <f t="shared" si="1354"/>
        <v>640 ROBERTS AVE</v>
      </c>
      <c r="C3332" t="str">
        <f>T("BUILDING 502")</f>
        <v>BUILDING 502</v>
      </c>
      <c r="D3332" t="str">
        <f t="shared" si="1355"/>
        <v>PENSACOLA</v>
      </c>
      <c r="E3332" t="str">
        <f t="shared" si="1356"/>
        <v>FL</v>
      </c>
      <c r="F3332" t="str">
        <f t="shared" si="1357"/>
        <v>325115155</v>
      </c>
      <c r="G3332" t="str">
        <f t="shared" si="1358"/>
        <v>640 ROBERTS AVE</v>
      </c>
      <c r="H3332" t="str">
        <f>T("")</f>
        <v/>
      </c>
      <c r="I3332" t="str">
        <f t="shared" si="1359"/>
        <v>PENSACOLA</v>
      </c>
      <c r="J3332" t="str">
        <f t="shared" si="1360"/>
        <v>FL</v>
      </c>
      <c r="K3332" t="str">
        <f>T("000000000000000000")</f>
        <v>000000000000000000</v>
      </c>
      <c r="L3332" t="str">
        <f>T("8504526322")</f>
        <v>8504526322</v>
      </c>
    </row>
    <row r="3333" spans="1:12" x14ac:dyDescent="0.35">
      <c r="A3333" t="str">
        <f t="shared" si="1351"/>
        <v>CENINFOWARTRA PENSACOLA FL</v>
      </c>
      <c r="B3333" t="str">
        <f t="shared" si="1354"/>
        <v>640 ROBERTS AVE</v>
      </c>
      <c r="C3333" t="str">
        <f>T("BUILDING 502")</f>
        <v>BUILDING 502</v>
      </c>
      <c r="D3333" t="str">
        <f t="shared" si="1355"/>
        <v>PENSACOLA</v>
      </c>
      <c r="E3333" t="str">
        <f t="shared" si="1356"/>
        <v>FL</v>
      </c>
      <c r="F3333" t="str">
        <f t="shared" si="1357"/>
        <v>325115155</v>
      </c>
      <c r="G3333" t="str">
        <f t="shared" si="1358"/>
        <v>640 ROBERTS AVE</v>
      </c>
      <c r="H3333" t="str">
        <f>T("")</f>
        <v/>
      </c>
      <c r="I3333" t="str">
        <f t="shared" si="1359"/>
        <v>PENSACOLA</v>
      </c>
      <c r="J3333" t="str">
        <f t="shared" si="1360"/>
        <v>FL</v>
      </c>
      <c r="K3333" t="str">
        <f>T("000000000000000000")</f>
        <v>000000000000000000</v>
      </c>
      <c r="L3333" t="str">
        <f>T("8504526534")</f>
        <v>8504526534</v>
      </c>
    </row>
    <row r="3334" spans="1:12" x14ac:dyDescent="0.35">
      <c r="A3334" t="str">
        <f t="shared" si="1351"/>
        <v>CENINFOWARTRA PENSACOLA FL</v>
      </c>
      <c r="B3334" t="str">
        <f t="shared" si="1354"/>
        <v>640 ROBERTS AVE</v>
      </c>
      <c r="C3334" t="str">
        <f>T("BUILDING 502")</f>
        <v>BUILDING 502</v>
      </c>
      <c r="D3334" t="str">
        <f t="shared" si="1355"/>
        <v>PENSACOLA</v>
      </c>
      <c r="E3334" t="str">
        <f t="shared" si="1356"/>
        <v>FL</v>
      </c>
      <c r="F3334" t="str">
        <f t="shared" si="1357"/>
        <v>325115155</v>
      </c>
      <c r="G3334" t="str">
        <f t="shared" si="1358"/>
        <v>640 ROBERTS AVE</v>
      </c>
      <c r="H3334" t="str">
        <f>T("BLDG 502 N4")</f>
        <v>BLDG 502 N4</v>
      </c>
      <c r="I3334" t="str">
        <f t="shared" si="1359"/>
        <v>PENSACOLA</v>
      </c>
      <c r="J3334" t="str">
        <f t="shared" si="1360"/>
        <v>FL</v>
      </c>
      <c r="K3334" t="str">
        <f>T("8504526003")</f>
        <v>8504526003</v>
      </c>
      <c r="L3334" t="str">
        <f>T("8504526533")</f>
        <v>8504526533</v>
      </c>
    </row>
    <row r="3335" spans="1:12" x14ac:dyDescent="0.35">
      <c r="A3335" t="str">
        <f t="shared" si="1351"/>
        <v>CENINFOWARTRA PENSACOLA FL</v>
      </c>
      <c r="B3335" t="str">
        <f t="shared" si="1354"/>
        <v>640 ROBERTS AVE</v>
      </c>
      <c r="C3335" t="str">
        <f>T("BUILDING 502")</f>
        <v>BUILDING 502</v>
      </c>
      <c r="D3335" t="str">
        <f t="shared" si="1355"/>
        <v>PENSACOLA</v>
      </c>
      <c r="E3335" t="str">
        <f t="shared" si="1356"/>
        <v>FL</v>
      </c>
      <c r="F3335" t="str">
        <f t="shared" si="1357"/>
        <v>325115155</v>
      </c>
      <c r="G3335" t="str">
        <f t="shared" si="1358"/>
        <v>640 ROBERTS AVE</v>
      </c>
      <c r="H3335" t="str">
        <f>T("BUILDING 502")</f>
        <v>BUILDING 502</v>
      </c>
      <c r="I3335" t="str">
        <f t="shared" si="1359"/>
        <v>PENSACOLA</v>
      </c>
      <c r="J3335" t="str">
        <f t="shared" si="1360"/>
        <v>FL</v>
      </c>
      <c r="K3335" t="str">
        <f>T("8504526260")</f>
        <v>8504526260</v>
      </c>
      <c r="L3335" t="str">
        <f>T("8504526941")</f>
        <v>8504526941</v>
      </c>
    </row>
    <row r="3336" spans="1:12" x14ac:dyDescent="0.35">
      <c r="A3336" t="str">
        <f>T("CNATT DET MILTON")</f>
        <v>CNATT DET MILTON</v>
      </c>
      <c r="B3336" t="str">
        <f>T("BLDG 2945 NAS WHITING FIELD")</f>
        <v>BLDG 2945 NAS WHITING FIELD</v>
      </c>
      <c r="C3336" t="str">
        <f>T("")</f>
        <v/>
      </c>
      <c r="D3336" t="str">
        <f>T("MILTON")</f>
        <v>MILTON</v>
      </c>
      <c r="E3336" t="str">
        <f t="shared" si="1356"/>
        <v>FL</v>
      </c>
      <c r="F3336" t="str">
        <f>T("325700000")</f>
        <v>325700000</v>
      </c>
      <c r="G3336" t="str">
        <f>T("BLDG 2945 NAS WHITING FIELD")</f>
        <v>BLDG 2945 NAS WHITING FIELD</v>
      </c>
      <c r="H3336" t="str">
        <f>T("")</f>
        <v/>
      </c>
      <c r="I3336" t="str">
        <f>T("MILTON")</f>
        <v>MILTON</v>
      </c>
      <c r="J3336" t="str">
        <f t="shared" si="1360"/>
        <v>FL</v>
      </c>
      <c r="K3336" t="str">
        <f>T("")</f>
        <v/>
      </c>
      <c r="L3336" t="str">
        <f>T("8506237981")</f>
        <v>8506237981</v>
      </c>
    </row>
    <row r="3337" spans="1:12" x14ac:dyDescent="0.35">
      <c r="A3337" t="str">
        <f>T("CNATT DET MILTON")</f>
        <v>CNATT DET MILTON</v>
      </c>
      <c r="B3337" t="str">
        <f>T("BLDG 2945 NAS WHITING FIELD")</f>
        <v>BLDG 2945 NAS WHITING FIELD</v>
      </c>
      <c r="C3337" t="str">
        <f>T("")</f>
        <v/>
      </c>
      <c r="D3337" t="str">
        <f>T("MILTON")</f>
        <v>MILTON</v>
      </c>
      <c r="E3337" t="str">
        <f t="shared" si="1356"/>
        <v>FL</v>
      </c>
      <c r="F3337" t="str">
        <f>T("325700000")</f>
        <v>325700000</v>
      </c>
      <c r="G3337" t="str">
        <f>T("BLDG 2945 NAS WHITING FIELD")</f>
        <v>BLDG 2945 NAS WHITING FIELD</v>
      </c>
      <c r="H3337" t="str">
        <f>T("")</f>
        <v/>
      </c>
      <c r="I3337" t="str">
        <f>T("MILTON")</f>
        <v>MILTON</v>
      </c>
      <c r="J3337" t="str">
        <f t="shared" si="1360"/>
        <v>FL</v>
      </c>
      <c r="K3337" t="str">
        <f>T("000000000000000000")</f>
        <v>000000000000000000</v>
      </c>
      <c r="L3337" t="str">
        <f>T("8506237853")</f>
        <v>8506237853</v>
      </c>
    </row>
    <row r="3338" spans="1:12" x14ac:dyDescent="0.35">
      <c r="A3338" t="str">
        <f>T("CNATT DET MILTON")</f>
        <v>CNATT DET MILTON</v>
      </c>
      <c r="B3338" t="str">
        <f>T("BLDG 2945 NAS WHITING FIELD")</f>
        <v>BLDG 2945 NAS WHITING FIELD</v>
      </c>
      <c r="C3338" t="str">
        <f>T("")</f>
        <v/>
      </c>
      <c r="D3338" t="str">
        <f>T("MILTON")</f>
        <v>MILTON</v>
      </c>
      <c r="E3338" t="str">
        <f t="shared" si="1356"/>
        <v>FL</v>
      </c>
      <c r="F3338" t="str">
        <f>T("325700000")</f>
        <v>325700000</v>
      </c>
      <c r="G3338" t="str">
        <f>T("BLDG 2945 NAS WHITING FIELD")</f>
        <v>BLDG 2945 NAS WHITING FIELD</v>
      </c>
      <c r="H3338" t="str">
        <f>T("")</f>
        <v/>
      </c>
      <c r="I3338" t="str">
        <f>T("MILTON")</f>
        <v>MILTON</v>
      </c>
      <c r="J3338" t="str">
        <f t="shared" si="1360"/>
        <v>FL</v>
      </c>
      <c r="K3338" t="str">
        <f>T("8506237823")</f>
        <v>8506237823</v>
      </c>
      <c r="L3338" t="str">
        <f>T("8506237896")</f>
        <v>8506237896</v>
      </c>
    </row>
    <row r="3339" spans="1:12" x14ac:dyDescent="0.35">
      <c r="A3339" t="str">
        <f>T("CNATT DET TINKER")</f>
        <v>CNATT DET TINKER</v>
      </c>
      <c r="B3339" t="str">
        <f>T("7641 MERCURY RD BLDG 830")</f>
        <v>7641 MERCURY RD BLDG 830</v>
      </c>
      <c r="C3339" t="str">
        <f t="shared" ref="C3339:D3341" si="1361">T("TINKER AFB")</f>
        <v>TINKER AFB</v>
      </c>
      <c r="D3339" t="str">
        <f t="shared" si="1361"/>
        <v>TINKER AFB</v>
      </c>
      <c r="E3339" t="str">
        <f>T("OK")</f>
        <v>OK</v>
      </c>
      <c r="F3339" t="str">
        <f>T("731458707")</f>
        <v>731458707</v>
      </c>
      <c r="G3339" t="str">
        <f>T("7641 MERCURY RD BLDG 830")</f>
        <v>7641 MERCURY RD BLDG 830</v>
      </c>
      <c r="H3339" t="str">
        <f>T("")</f>
        <v/>
      </c>
      <c r="I3339" t="str">
        <f>T("TINKER AFB")</f>
        <v>TINKER AFB</v>
      </c>
      <c r="J3339" t="str">
        <f>T("OK")</f>
        <v>OK</v>
      </c>
      <c r="K3339" t="str">
        <f>T("000000000000000000")</f>
        <v>000000000000000000</v>
      </c>
      <c r="L3339" t="str">
        <f>T("4057393500")</f>
        <v>4057393500</v>
      </c>
    </row>
    <row r="3340" spans="1:12" x14ac:dyDescent="0.35">
      <c r="A3340" t="str">
        <f>T("CNATT DET TINKER")</f>
        <v>CNATT DET TINKER</v>
      </c>
      <c r="B3340" t="str">
        <f>T("7641 MERCURY RD BLDG 830")</f>
        <v>7641 MERCURY RD BLDG 830</v>
      </c>
      <c r="C3340" t="str">
        <f t="shared" si="1361"/>
        <v>TINKER AFB</v>
      </c>
      <c r="D3340" t="str">
        <f t="shared" si="1361"/>
        <v>TINKER AFB</v>
      </c>
      <c r="E3340" t="str">
        <f>T("OK")</f>
        <v>OK</v>
      </c>
      <c r="F3340" t="str">
        <f>T("731458707")</f>
        <v>731458707</v>
      </c>
      <c r="G3340" t="str">
        <f>T("7641 MERCURY RD BLDG 830")</f>
        <v>7641 MERCURY RD BLDG 830</v>
      </c>
      <c r="H3340" t="str">
        <f>T("TINKER AFB")</f>
        <v>TINKER AFB</v>
      </c>
      <c r="I3340" t="str">
        <f>T("TINKER AFB")</f>
        <v>TINKER AFB</v>
      </c>
      <c r="J3340" t="str">
        <f>T("OK")</f>
        <v>OK</v>
      </c>
      <c r="K3340" t="str">
        <f>T("4057393505")</f>
        <v>4057393505</v>
      </c>
      <c r="L3340" t="str">
        <f>T("4057394072")</f>
        <v>4057394072</v>
      </c>
    </row>
    <row r="3341" spans="1:12" x14ac:dyDescent="0.35">
      <c r="A3341" t="str">
        <f>T("CNATT DET TINKER")</f>
        <v>CNATT DET TINKER</v>
      </c>
      <c r="B3341" t="str">
        <f>T("7641 MERCURY RD BLDG 830")</f>
        <v>7641 MERCURY RD BLDG 830</v>
      </c>
      <c r="C3341" t="str">
        <f t="shared" si="1361"/>
        <v>TINKER AFB</v>
      </c>
      <c r="D3341" t="str">
        <f t="shared" si="1361"/>
        <v>TINKER AFB</v>
      </c>
      <c r="E3341" t="str">
        <f>T("OK")</f>
        <v>OK</v>
      </c>
      <c r="F3341" t="str">
        <f>T("731458707")</f>
        <v>731458707</v>
      </c>
      <c r="G3341" t="str">
        <f>T("AFB TINKER")</f>
        <v>AFB TINKER</v>
      </c>
      <c r="H3341" t="str">
        <f>T("7641 MERCURY RD")</f>
        <v>7641 MERCURY RD</v>
      </c>
      <c r="I3341" t="str">
        <f>T("TINKER AFB")</f>
        <v>TINKER AFB</v>
      </c>
      <c r="J3341" t="str">
        <f>T("OK")</f>
        <v>OK</v>
      </c>
      <c r="K3341" t="str">
        <f>T("000000000000000000")</f>
        <v>000000000000000000</v>
      </c>
      <c r="L3341" t="str">
        <f>T("4057399577")</f>
        <v>4057399577</v>
      </c>
    </row>
    <row r="3342" spans="1:12" x14ac:dyDescent="0.35">
      <c r="A3342" t="str">
        <f>T("NAVAVSCOLSOM")</f>
        <v>NAVAVSCOLSOM</v>
      </c>
      <c r="B3342" t="str">
        <f>T("181 CHAMBERS AVE")</f>
        <v>181 CHAMBERS AVE</v>
      </c>
      <c r="C3342" t="str">
        <f>T("SUITE C")</f>
        <v>SUITE C</v>
      </c>
      <c r="D3342" t="str">
        <f t="shared" ref="D3342:D3350" si="1362">T("PENSACOLA")</f>
        <v>PENSACOLA</v>
      </c>
      <c r="E3342" t="str">
        <f t="shared" ref="E3342:E3350" si="1363">T("FL")</f>
        <v>FL</v>
      </c>
      <c r="F3342" t="str">
        <f>T("325085272")</f>
        <v>325085272</v>
      </c>
      <c r="G3342" t="str">
        <f>T("181 CHAMBERS AVE")</f>
        <v>181 CHAMBERS AVE</v>
      </c>
      <c r="H3342" t="str">
        <f>T("SUITE C")</f>
        <v>SUITE C</v>
      </c>
      <c r="I3342" t="str">
        <f t="shared" ref="I3342:I3350" si="1364">T("PENSACOLA")</f>
        <v>PENSACOLA</v>
      </c>
      <c r="J3342" t="str">
        <f t="shared" ref="J3342:J3350" si="1365">T("FL")</f>
        <v>FL</v>
      </c>
      <c r="K3342" t="str">
        <f>T("8504523060")</f>
        <v>8504523060</v>
      </c>
      <c r="L3342" t="str">
        <f>T("8504522505")</f>
        <v>8504522505</v>
      </c>
    </row>
    <row r="3343" spans="1:12" x14ac:dyDescent="0.35">
      <c r="A3343" t="str">
        <f>T("NAVAVSCOLSOM")</f>
        <v>NAVAVSCOLSOM</v>
      </c>
      <c r="B3343" t="str">
        <f>T("181 CHAMBERS AVE")</f>
        <v>181 CHAMBERS AVE</v>
      </c>
      <c r="C3343" t="str">
        <f>T("SUITE C")</f>
        <v>SUITE C</v>
      </c>
      <c r="D3343" t="str">
        <f t="shared" si="1362"/>
        <v>PENSACOLA</v>
      </c>
      <c r="E3343" t="str">
        <f t="shared" si="1363"/>
        <v>FL</v>
      </c>
      <c r="F3343" t="str">
        <f>T("325085272")</f>
        <v>325085272</v>
      </c>
      <c r="G3343" t="str">
        <f>T("181 CHAMBERS AVE")</f>
        <v>181 CHAMBERS AVE</v>
      </c>
      <c r="H3343" t="str">
        <f>T("SUITE C SUPPLY DEPT")</f>
        <v>SUITE C SUPPLY DEPT</v>
      </c>
      <c r="I3343" t="str">
        <f t="shared" si="1364"/>
        <v>PENSACOLA</v>
      </c>
      <c r="J3343" t="str">
        <f t="shared" si="1365"/>
        <v>FL</v>
      </c>
      <c r="K3343" t="str">
        <f>T("000000000000000000")</f>
        <v>000000000000000000</v>
      </c>
      <c r="L3343" t="str">
        <f>T("8504522515")</f>
        <v>8504522515</v>
      </c>
    </row>
    <row r="3344" spans="1:12" x14ac:dyDescent="0.35">
      <c r="A3344" t="str">
        <f>T("NAVAVSCOLSOM")</f>
        <v>NAVAVSCOLSOM</v>
      </c>
      <c r="B3344" t="str">
        <f>T("181 CHAMBERS AVE")</f>
        <v>181 CHAMBERS AVE</v>
      </c>
      <c r="C3344" t="str">
        <f>T("SUITE C")</f>
        <v>SUITE C</v>
      </c>
      <c r="D3344" t="str">
        <f t="shared" si="1362"/>
        <v>PENSACOLA</v>
      </c>
      <c r="E3344" t="str">
        <f t="shared" si="1363"/>
        <v>FL</v>
      </c>
      <c r="F3344" t="str">
        <f>T("325085272")</f>
        <v>325085272</v>
      </c>
      <c r="G3344" t="str">
        <f>T("181 CHAMBERS AVE SUITE C")</f>
        <v>181 CHAMBERS AVE SUITE C</v>
      </c>
      <c r="H3344" t="str">
        <f>T("ATTN PAT RATHBONE")</f>
        <v>ATTN PAT RATHBONE</v>
      </c>
      <c r="I3344" t="str">
        <f t="shared" si="1364"/>
        <v>PENSACOLA</v>
      </c>
      <c r="J3344" t="str">
        <f t="shared" si="1365"/>
        <v>FL</v>
      </c>
      <c r="K3344" t="str">
        <f>T("000000000000000000")</f>
        <v>000000000000000000</v>
      </c>
      <c r="L3344" t="str">
        <f>T("8504522515")</f>
        <v>8504522515</v>
      </c>
    </row>
    <row r="3345" spans="1:12" x14ac:dyDescent="0.35">
      <c r="A3345" t="str">
        <f t="shared" ref="A3345:A3350" si="1366">T("CNATT PENSACOLA")</f>
        <v>CNATT PENSACOLA</v>
      </c>
      <c r="B3345" t="str">
        <f t="shared" ref="B3345:B3350" si="1367">T("230 CHEVALIER FEILD AVE")</f>
        <v>230 CHEVALIER FEILD AVE</v>
      </c>
      <c r="C3345" t="str">
        <f t="shared" ref="C3345:C3350" si="1368">T("ATTN SUPPORT SERVICES DIV")</f>
        <v>ATTN SUPPORT SERVICES DIV</v>
      </c>
      <c r="D3345" t="str">
        <f t="shared" si="1362"/>
        <v>PENSACOLA</v>
      </c>
      <c r="E3345" t="str">
        <f t="shared" si="1363"/>
        <v>FL</v>
      </c>
      <c r="F3345" t="str">
        <f t="shared" ref="F3345:F3350" si="1369">T("325085163")</f>
        <v>325085163</v>
      </c>
      <c r="G3345" t="str">
        <f>T("230 CHEVALIER FEILD AVE")</f>
        <v>230 CHEVALIER FEILD AVE</v>
      </c>
      <c r="H3345" t="str">
        <f>T("ATTN CORPORATE SUPPORT")</f>
        <v>ATTN CORPORATE SUPPORT</v>
      </c>
      <c r="I3345" t="str">
        <f t="shared" si="1364"/>
        <v>PENSACOLA</v>
      </c>
      <c r="J3345" t="str">
        <f t="shared" si="1365"/>
        <v>FL</v>
      </c>
      <c r="K3345" t="str">
        <f>T("8504523366")</f>
        <v>8504523366</v>
      </c>
      <c r="L3345" t="str">
        <f>T("1111111111")</f>
        <v>1111111111</v>
      </c>
    </row>
    <row r="3346" spans="1:12" x14ac:dyDescent="0.35">
      <c r="A3346" t="str">
        <f t="shared" si="1366"/>
        <v>CNATT PENSACOLA</v>
      </c>
      <c r="B3346" t="str">
        <f t="shared" si="1367"/>
        <v>230 CHEVALIER FEILD AVE</v>
      </c>
      <c r="C3346" t="str">
        <f t="shared" si="1368"/>
        <v>ATTN SUPPORT SERVICES DIV</v>
      </c>
      <c r="D3346" t="str">
        <f t="shared" si="1362"/>
        <v>PENSACOLA</v>
      </c>
      <c r="E3346" t="str">
        <f t="shared" si="1363"/>
        <v>FL</v>
      </c>
      <c r="F3346" t="str">
        <f t="shared" si="1369"/>
        <v>325085163</v>
      </c>
      <c r="G3346" t="str">
        <f>T("230 CHEVALIER FEILD AVE")</f>
        <v>230 CHEVALIER FEILD AVE</v>
      </c>
      <c r="H3346" t="str">
        <f>T("ATTN SUPPORT SERVICES DIV")</f>
        <v>ATTN SUPPORT SERVICES DIV</v>
      </c>
      <c r="I3346" t="str">
        <f t="shared" si="1364"/>
        <v>PENSACOLA</v>
      </c>
      <c r="J3346" t="str">
        <f t="shared" si="1365"/>
        <v>FL</v>
      </c>
      <c r="K3346" t="str">
        <f>T("")</f>
        <v/>
      </c>
      <c r="L3346" t="str">
        <f>T("8504529115")</f>
        <v>8504529115</v>
      </c>
    </row>
    <row r="3347" spans="1:12" x14ac:dyDescent="0.35">
      <c r="A3347" t="str">
        <f t="shared" si="1366"/>
        <v>CNATT PENSACOLA</v>
      </c>
      <c r="B3347" t="str">
        <f t="shared" si="1367"/>
        <v>230 CHEVALIER FEILD AVE</v>
      </c>
      <c r="C3347" t="str">
        <f t="shared" si="1368"/>
        <v>ATTN SUPPORT SERVICES DIV</v>
      </c>
      <c r="D3347" t="str">
        <f t="shared" si="1362"/>
        <v>PENSACOLA</v>
      </c>
      <c r="E3347" t="str">
        <f t="shared" si="1363"/>
        <v>FL</v>
      </c>
      <c r="F3347" t="str">
        <f t="shared" si="1369"/>
        <v>325085163</v>
      </c>
      <c r="G3347" t="str">
        <f>T("230 CHEVALIER FIELD AVE")</f>
        <v>230 CHEVALIER FIELD AVE</v>
      </c>
      <c r="H3347" t="str">
        <f>T("ATTN SUPPORT SERVICES DIVISION")</f>
        <v>ATTN SUPPORT SERVICES DIVISION</v>
      </c>
      <c r="I3347" t="str">
        <f t="shared" si="1364"/>
        <v>PENSACOLA</v>
      </c>
      <c r="J3347" t="str">
        <f t="shared" si="1365"/>
        <v>FL</v>
      </c>
      <c r="K3347" t="str">
        <f>T("8504523355")</f>
        <v>8504523355</v>
      </c>
      <c r="L3347" t="str">
        <f>T("8504528639")</f>
        <v>8504528639</v>
      </c>
    </row>
    <row r="3348" spans="1:12" x14ac:dyDescent="0.35">
      <c r="A3348" t="str">
        <f t="shared" si="1366"/>
        <v>CNATT PENSACOLA</v>
      </c>
      <c r="B3348" t="str">
        <f t="shared" si="1367"/>
        <v>230 CHEVALIER FEILD AVE</v>
      </c>
      <c r="C3348" t="str">
        <f t="shared" si="1368"/>
        <v>ATTN SUPPORT SERVICES DIV</v>
      </c>
      <c r="D3348" t="str">
        <f t="shared" si="1362"/>
        <v>PENSACOLA</v>
      </c>
      <c r="E3348" t="str">
        <f t="shared" si="1363"/>
        <v>FL</v>
      </c>
      <c r="F3348" t="str">
        <f t="shared" si="1369"/>
        <v>325085163</v>
      </c>
      <c r="G3348" t="str">
        <f>T("230 CHEVALIER FIELD AVE")</f>
        <v>230 CHEVALIER FIELD AVE</v>
      </c>
      <c r="H3348" t="str">
        <f>T("BLDG 3460 RM 1410")</f>
        <v>BLDG 3460 RM 1410</v>
      </c>
      <c r="I3348" t="str">
        <f t="shared" si="1364"/>
        <v>PENSACOLA</v>
      </c>
      <c r="J3348" t="str">
        <f t="shared" si="1365"/>
        <v>FL</v>
      </c>
      <c r="K3348" t="str">
        <f>T("8504523357")</f>
        <v>8504523357</v>
      </c>
      <c r="L3348" t="str">
        <f>T("8504529114")</f>
        <v>8504529114</v>
      </c>
    </row>
    <row r="3349" spans="1:12" x14ac:dyDescent="0.35">
      <c r="A3349" t="str">
        <f t="shared" si="1366"/>
        <v>CNATT PENSACOLA</v>
      </c>
      <c r="B3349" t="str">
        <f t="shared" si="1367"/>
        <v>230 CHEVALIER FEILD AVE</v>
      </c>
      <c r="C3349" t="str">
        <f t="shared" si="1368"/>
        <v>ATTN SUPPORT SERVICES DIV</v>
      </c>
      <c r="D3349" t="str">
        <f t="shared" si="1362"/>
        <v>PENSACOLA</v>
      </c>
      <c r="E3349" t="str">
        <f t="shared" si="1363"/>
        <v>FL</v>
      </c>
      <c r="F3349" t="str">
        <f t="shared" si="1369"/>
        <v>325085163</v>
      </c>
      <c r="G3349" t="str">
        <f>T("230 CHEVALIER FIELD AVE")</f>
        <v>230 CHEVALIER FIELD AVE</v>
      </c>
      <c r="H3349" t="str">
        <f>T("BLDG 3460 RM 1410 TSD")</f>
        <v>BLDG 3460 RM 1410 TSD</v>
      </c>
      <c r="I3349" t="str">
        <f t="shared" si="1364"/>
        <v>PENSACOLA</v>
      </c>
      <c r="J3349" t="str">
        <f t="shared" si="1365"/>
        <v>FL</v>
      </c>
      <c r="K3349" t="str">
        <f>T("8504523355")</f>
        <v>8504523355</v>
      </c>
      <c r="L3349" t="str">
        <f>T("8504529112")</f>
        <v>8504529112</v>
      </c>
    </row>
    <row r="3350" spans="1:12" x14ac:dyDescent="0.35">
      <c r="A3350" t="str">
        <f t="shared" si="1366"/>
        <v>CNATT PENSACOLA</v>
      </c>
      <c r="B3350" t="str">
        <f t="shared" si="1367"/>
        <v>230 CHEVALIER FEILD AVE</v>
      </c>
      <c r="C3350" t="str">
        <f t="shared" si="1368"/>
        <v>ATTN SUPPORT SERVICES DIV</v>
      </c>
      <c r="D3350" t="str">
        <f t="shared" si="1362"/>
        <v>PENSACOLA</v>
      </c>
      <c r="E3350" t="str">
        <f t="shared" si="1363"/>
        <v>FL</v>
      </c>
      <c r="F3350" t="str">
        <f t="shared" si="1369"/>
        <v>325085163</v>
      </c>
      <c r="G3350" t="str">
        <f>T("230 CHEVALIER FIELD AVE")</f>
        <v>230 CHEVALIER FIELD AVE</v>
      </c>
      <c r="H3350" t="str">
        <f>T("BLDG 3460 TSD")</f>
        <v>BLDG 3460 TSD</v>
      </c>
      <c r="I3350" t="str">
        <f t="shared" si="1364"/>
        <v>PENSACOLA</v>
      </c>
      <c r="J3350" t="str">
        <f t="shared" si="1365"/>
        <v>FL</v>
      </c>
      <c r="K3350" t="str">
        <f>T("000000000000000000")</f>
        <v>000000000000000000</v>
      </c>
      <c r="L3350" t="str">
        <f>T("8504529119")</f>
        <v>8504529119</v>
      </c>
    </row>
    <row r="3351" spans="1:12" x14ac:dyDescent="0.35">
      <c r="A3351" t="str">
        <f>T("CNATTU OCEANA")</f>
        <v>CNATTU OCEANA</v>
      </c>
      <c r="B3351" t="str">
        <f>T("790 D AVE")</f>
        <v>790 D AVE</v>
      </c>
      <c r="C3351" t="str">
        <f>T("")</f>
        <v/>
      </c>
      <c r="D3351" t="str">
        <f>T("VIRGINIA BCH")</f>
        <v>VIRGINIA BCH</v>
      </c>
      <c r="E3351" t="str">
        <f t="shared" ref="E3351:E3356" si="1370">T("VA")</f>
        <v>VA</v>
      </c>
      <c r="F3351" t="str">
        <f>T("234602136")</f>
        <v>234602136</v>
      </c>
      <c r="G3351" t="str">
        <f>T("790 D AVE")</f>
        <v>790 D AVE</v>
      </c>
      <c r="H3351" t="str">
        <f>T("")</f>
        <v/>
      </c>
      <c r="I3351" t="str">
        <f>T("VIRGINIA BCH")</f>
        <v>VIRGINIA BCH</v>
      </c>
      <c r="J3351" t="str">
        <f t="shared" ref="J3351:J3356" si="1371">T("VA")</f>
        <v>VA</v>
      </c>
      <c r="K3351" t="str">
        <f>T("7574332484")</f>
        <v>7574332484</v>
      </c>
      <c r="L3351" t="str">
        <f>T("7574333359")</f>
        <v>7574333359</v>
      </c>
    </row>
    <row r="3352" spans="1:12" x14ac:dyDescent="0.35">
      <c r="A3352" t="str">
        <f>T("CNATTU OCEANA")</f>
        <v>CNATTU OCEANA</v>
      </c>
      <c r="B3352" t="str">
        <f>T("790 D AVE")</f>
        <v>790 D AVE</v>
      </c>
      <c r="C3352" t="str">
        <f>T("")</f>
        <v/>
      </c>
      <c r="D3352" t="str">
        <f>T("VIRGINIA BCH")</f>
        <v>VIRGINIA BCH</v>
      </c>
      <c r="E3352" t="str">
        <f t="shared" si="1370"/>
        <v>VA</v>
      </c>
      <c r="F3352" t="str">
        <f>T("234602136")</f>
        <v>234602136</v>
      </c>
      <c r="G3352" t="str">
        <f>T("790 D AVE")</f>
        <v>790 D AVE</v>
      </c>
      <c r="H3352" t="str">
        <f>T("")</f>
        <v/>
      </c>
      <c r="I3352" t="str">
        <f>T("VIRGINIA BEACH")</f>
        <v>VIRGINIA BEACH</v>
      </c>
      <c r="J3352" t="str">
        <f t="shared" si="1371"/>
        <v>VA</v>
      </c>
      <c r="K3352" t="str">
        <f>T("7574332484")</f>
        <v>7574332484</v>
      </c>
      <c r="L3352" t="str">
        <f>T("7574333365")</f>
        <v>7574333365</v>
      </c>
    </row>
    <row r="3353" spans="1:12" x14ac:dyDescent="0.35">
      <c r="A3353" t="str">
        <f>T("CNATTU OCEANA")</f>
        <v>CNATTU OCEANA</v>
      </c>
      <c r="B3353" t="str">
        <f>T("790 D AVE")</f>
        <v>790 D AVE</v>
      </c>
      <c r="C3353" t="str">
        <f>T("")</f>
        <v/>
      </c>
      <c r="D3353" t="str">
        <f>T("VIRGINIA BCH")</f>
        <v>VIRGINIA BCH</v>
      </c>
      <c r="E3353" t="str">
        <f t="shared" si="1370"/>
        <v>VA</v>
      </c>
      <c r="F3353" t="str">
        <f>T("234602136")</f>
        <v>234602136</v>
      </c>
      <c r="G3353" t="str">
        <f>T("790 D AVE")</f>
        <v>790 D AVE</v>
      </c>
      <c r="H3353" t="str">
        <f>T("")</f>
        <v/>
      </c>
      <c r="I3353" t="str">
        <f>T("VIRGINIA BEACH")</f>
        <v>VIRGINIA BEACH</v>
      </c>
      <c r="J3353" t="str">
        <f t="shared" si="1371"/>
        <v>VA</v>
      </c>
      <c r="K3353" t="str">
        <f>T("7574333166")</f>
        <v>7574333166</v>
      </c>
      <c r="L3353" t="str">
        <f>T("7574333365")</f>
        <v>7574333365</v>
      </c>
    </row>
    <row r="3354" spans="1:12" x14ac:dyDescent="0.35">
      <c r="A3354" t="str">
        <f>T("CNATTU NORFOLK")</f>
        <v>CNATTU NORFOLK</v>
      </c>
      <c r="B3354" t="str">
        <f>T("CNATT NORFOLK")</f>
        <v>CNATT NORFOLK</v>
      </c>
      <c r="C3354" t="str">
        <f>T("9287 SEVENTH AVE")</f>
        <v>9287 SEVENTH AVE</v>
      </c>
      <c r="D3354" t="str">
        <f>T("NORFOLK")</f>
        <v>NORFOLK</v>
      </c>
      <c r="E3354" t="str">
        <f t="shared" si="1370"/>
        <v>VA</v>
      </c>
      <c r="F3354" t="str">
        <f>T("235114292")</f>
        <v>235114292</v>
      </c>
      <c r="G3354" t="str">
        <f>T("9287 7TH AVE BLDG SP-381")</f>
        <v>9287 7TH AVE BLDG SP-381</v>
      </c>
      <c r="H3354" t="str">
        <f>T("")</f>
        <v/>
      </c>
      <c r="I3354" t="str">
        <f>T("NORFOLK")</f>
        <v>NORFOLK</v>
      </c>
      <c r="J3354" t="str">
        <f t="shared" si="1371"/>
        <v>VA</v>
      </c>
      <c r="K3354" t="str">
        <f>T("000000000000000000")</f>
        <v>000000000000000000</v>
      </c>
      <c r="L3354" t="str">
        <f>T("7574444497")</f>
        <v>7574444497</v>
      </c>
    </row>
    <row r="3355" spans="1:12" x14ac:dyDescent="0.35">
      <c r="A3355" t="str">
        <f>T("CNATTU NORFOLK")</f>
        <v>CNATTU NORFOLK</v>
      </c>
      <c r="B3355" t="str">
        <f>T("CNATT NORFOLK")</f>
        <v>CNATT NORFOLK</v>
      </c>
      <c r="C3355" t="str">
        <f>T("9287 SEVENTH AVE")</f>
        <v>9287 SEVENTH AVE</v>
      </c>
      <c r="D3355" t="str">
        <f>T("NORFOLK")</f>
        <v>NORFOLK</v>
      </c>
      <c r="E3355" t="str">
        <f t="shared" si="1370"/>
        <v>VA</v>
      </c>
      <c r="F3355" t="str">
        <f>T("235114292")</f>
        <v>235114292</v>
      </c>
      <c r="G3355" t="str">
        <f>T("CNATT NORFOLK")</f>
        <v>CNATT NORFOLK</v>
      </c>
      <c r="H3355" t="str">
        <f>T("9287 SEVENTH AVE")</f>
        <v>9287 SEVENTH AVE</v>
      </c>
      <c r="I3355" t="str">
        <f>T("NORFOLK")</f>
        <v>NORFOLK</v>
      </c>
      <c r="J3355" t="str">
        <f t="shared" si="1371"/>
        <v>VA</v>
      </c>
      <c r="K3355" t="str">
        <f>T("757-445-9234")</f>
        <v>757-445-9234</v>
      </c>
      <c r="L3355" t="str">
        <f>T("7574452439")</f>
        <v>7574452439</v>
      </c>
    </row>
    <row r="3356" spans="1:12" x14ac:dyDescent="0.35">
      <c r="A3356" t="str">
        <f>T("CNATTU NORFOLK")</f>
        <v>CNATTU NORFOLK</v>
      </c>
      <c r="B3356" t="str">
        <f>T("CNATT NORFOLK")</f>
        <v>CNATT NORFOLK</v>
      </c>
      <c r="C3356" t="str">
        <f>T("9287 SEVENTH AVE")</f>
        <v>9287 SEVENTH AVE</v>
      </c>
      <c r="D3356" t="str">
        <f>T("NORFOLK")</f>
        <v>NORFOLK</v>
      </c>
      <c r="E3356" t="str">
        <f t="shared" si="1370"/>
        <v>VA</v>
      </c>
      <c r="F3356" t="str">
        <f>T("235114292")</f>
        <v>235114292</v>
      </c>
      <c r="G3356" t="str">
        <f>T("CNATTU")</f>
        <v>CNATTU</v>
      </c>
      <c r="H3356" t="str">
        <f>T("9287 SEVENTH AVENUE")</f>
        <v>9287 SEVENTH AVENUE</v>
      </c>
      <c r="I3356" t="str">
        <f>T("NORFOLK")</f>
        <v>NORFOLK</v>
      </c>
      <c r="J3356" t="str">
        <f t="shared" si="1371"/>
        <v>VA</v>
      </c>
      <c r="K3356" t="str">
        <f>T("000000000000000000")</f>
        <v>000000000000000000</v>
      </c>
      <c r="L3356" t="str">
        <f>T("7574451696")</f>
        <v>7574451696</v>
      </c>
    </row>
    <row r="3357" spans="1:12" x14ac:dyDescent="0.35">
      <c r="A3357" t="str">
        <f>T("CNATT CHERRY POINT")</f>
        <v>CNATT CHERRY POINT</v>
      </c>
      <c r="B3357" t="str">
        <f>T("MCAS CHERRY POINT")</f>
        <v>MCAS CHERRY POINT</v>
      </c>
      <c r="C3357" t="str">
        <f>T("PSC BOX 8055")</f>
        <v>PSC BOX 8055</v>
      </c>
      <c r="D3357" t="str">
        <f>T("CHERRY POINT")</f>
        <v>CHERRY POINT</v>
      </c>
      <c r="E3357" t="str">
        <f t="shared" ref="E3357:E3364" si="1372">T("NC")</f>
        <v>NC</v>
      </c>
      <c r="F3357" t="str">
        <f>T("285330000")</f>
        <v>285330000</v>
      </c>
      <c r="G3357" t="str">
        <f>T("BLD 432 4TH ST")</f>
        <v>BLD 432 4TH ST</v>
      </c>
      <c r="H3357" t="str">
        <f>T("")</f>
        <v/>
      </c>
      <c r="I3357" t="str">
        <f>T("LITTLE ROCK AFB")</f>
        <v>LITTLE ROCK AFB</v>
      </c>
      <c r="J3357" t="str">
        <f>T("AR")</f>
        <v>AR</v>
      </c>
      <c r="K3357" t="str">
        <f>T("000000000000000000")</f>
        <v>000000000000000000</v>
      </c>
      <c r="L3357" t="str">
        <f>T("5019877170")</f>
        <v>5019877170</v>
      </c>
    </row>
    <row r="3358" spans="1:12" x14ac:dyDescent="0.35">
      <c r="A3358" t="str">
        <f>T("CNATT CHERRY POINT")</f>
        <v>CNATT CHERRY POINT</v>
      </c>
      <c r="B3358" t="str">
        <f>T("MCAS CHERRY POINT")</f>
        <v>MCAS CHERRY POINT</v>
      </c>
      <c r="C3358" t="str">
        <f>T("PSC BOX 8055")</f>
        <v>PSC BOX 8055</v>
      </c>
      <c r="D3358" t="str">
        <f>T("CHERRY POINT")</f>
        <v>CHERRY POINT</v>
      </c>
      <c r="E3358" t="str">
        <f t="shared" si="1372"/>
        <v>NC</v>
      </c>
      <c r="F3358" t="str">
        <f>T("285330000")</f>
        <v>285330000</v>
      </c>
      <c r="G3358" t="str">
        <f>T("CNATT MARUNIT CHERRY POINT")</f>
        <v>CNATT MARUNIT CHERRY POINT</v>
      </c>
      <c r="H3358" t="str">
        <f>T("4414 E STREET ROOM 307")</f>
        <v>4414 E STREET ROOM 307</v>
      </c>
      <c r="I3358" t="str">
        <f>T("CHERRY POINT")</f>
        <v>CHERRY POINT</v>
      </c>
      <c r="J3358" t="str">
        <f t="shared" ref="J3358:J3364" si="1373">T("NC")</f>
        <v>NC</v>
      </c>
      <c r="K3358" t="str">
        <f>T("000000000000000000")</f>
        <v>000000000000000000</v>
      </c>
      <c r="L3358" t="str">
        <f>T("2524666186")</f>
        <v>2524666186</v>
      </c>
    </row>
    <row r="3359" spans="1:12" x14ac:dyDescent="0.35">
      <c r="A3359" t="str">
        <f>T("CNATT CHERRY POINT")</f>
        <v>CNATT CHERRY POINT</v>
      </c>
      <c r="B3359" t="str">
        <f>T("MCAS CHERRY POINT")</f>
        <v>MCAS CHERRY POINT</v>
      </c>
      <c r="C3359" t="str">
        <f>T("PSC BOX 8055")</f>
        <v>PSC BOX 8055</v>
      </c>
      <c r="D3359" t="str">
        <f>T("CHERRY POINT")</f>
        <v>CHERRY POINT</v>
      </c>
      <c r="E3359" t="str">
        <f t="shared" si="1372"/>
        <v>NC</v>
      </c>
      <c r="F3359" t="str">
        <f>T("285330000")</f>
        <v>285330000</v>
      </c>
      <c r="G3359" t="str">
        <f>T("MARINE UNIT CHERRY POINT")</f>
        <v>MARINE UNIT CHERRY POINT</v>
      </c>
      <c r="H3359" t="str">
        <f>T("PO BOX 8055")</f>
        <v>PO BOX 8055</v>
      </c>
      <c r="I3359" t="str">
        <f>T("CHERRY POINT")</f>
        <v>CHERRY POINT</v>
      </c>
      <c r="J3359" t="str">
        <f t="shared" si="1373"/>
        <v>NC</v>
      </c>
      <c r="K3359" t="str">
        <f>T("000000000000000000")</f>
        <v>000000000000000000</v>
      </c>
      <c r="L3359" t="str">
        <f>T("2524666186")</f>
        <v>2524666186</v>
      </c>
    </row>
    <row r="3360" spans="1:12" x14ac:dyDescent="0.35">
      <c r="A3360" t="str">
        <f>T("CNATT CHERRY POINT")</f>
        <v>CNATT CHERRY POINT</v>
      </c>
      <c r="B3360" t="str">
        <f>T("MCAS CHERRY POINT")</f>
        <v>MCAS CHERRY POINT</v>
      </c>
      <c r="C3360" t="str">
        <f>T("PSC BOX 8055")</f>
        <v>PSC BOX 8055</v>
      </c>
      <c r="D3360" t="str">
        <f>T("CHERRY POINT")</f>
        <v>CHERRY POINT</v>
      </c>
      <c r="E3360" t="str">
        <f t="shared" si="1372"/>
        <v>NC</v>
      </c>
      <c r="F3360" t="str">
        <f>T("285330000")</f>
        <v>285330000</v>
      </c>
      <c r="G3360" t="str">
        <f>T("MARINE UNIT CHERRY POINT")</f>
        <v>MARINE UNIT CHERRY POINT</v>
      </c>
      <c r="H3360" t="str">
        <f>T("PSC BOX 8055")</f>
        <v>PSC BOX 8055</v>
      </c>
      <c r="I3360" t="str">
        <f>T("CHERRY POINT")</f>
        <v>CHERRY POINT</v>
      </c>
      <c r="J3360" t="str">
        <f t="shared" si="1373"/>
        <v>NC</v>
      </c>
      <c r="K3360" t="str">
        <f>T("000000000000000000")</f>
        <v>000000000000000000</v>
      </c>
      <c r="L3360" t="str">
        <f>T("2524665721")</f>
        <v>2524665721</v>
      </c>
    </row>
    <row r="3361" spans="1:12" x14ac:dyDescent="0.35">
      <c r="A3361" t="str">
        <f>T("CNATT CHERRY POINT")</f>
        <v>CNATT CHERRY POINT</v>
      </c>
      <c r="B3361" t="str">
        <f>T("MCAS CHERRY POINT")</f>
        <v>MCAS CHERRY POINT</v>
      </c>
      <c r="C3361" t="str">
        <f>T("PSC BOX 8055")</f>
        <v>PSC BOX 8055</v>
      </c>
      <c r="D3361" t="str">
        <f>T("CHERRY POINT")</f>
        <v>CHERRY POINT</v>
      </c>
      <c r="E3361" t="str">
        <f t="shared" si="1372"/>
        <v>NC</v>
      </c>
      <c r="F3361" t="str">
        <f>T("285330000")</f>
        <v>285330000</v>
      </c>
      <c r="G3361" t="str">
        <f>T("MCAS CHERRY POINT")</f>
        <v>MCAS CHERRY POINT</v>
      </c>
      <c r="H3361" t="str">
        <f>T("PSC BOX 8055")</f>
        <v>PSC BOX 8055</v>
      </c>
      <c r="I3361" t="str">
        <f>T("CHERRY POINT")</f>
        <v>CHERRY POINT</v>
      </c>
      <c r="J3361" t="str">
        <f t="shared" si="1373"/>
        <v>NC</v>
      </c>
      <c r="K3361" t="str">
        <f>T("2524667281")</f>
        <v>2524667281</v>
      </c>
      <c r="L3361" t="str">
        <f>T("2524662582")</f>
        <v>2524662582</v>
      </c>
    </row>
    <row r="3362" spans="1:12" x14ac:dyDescent="0.35">
      <c r="A3362" t="str">
        <f>T("CNATTMARU MCAS NEW RIVER")</f>
        <v>CNATTMARU MCAS NEW RIVER</v>
      </c>
      <c r="B3362" t="str">
        <f>T("MCAS NEW RIVER BLDG AS312")</f>
        <v>MCAS NEW RIVER BLDG AS312</v>
      </c>
      <c r="C3362" t="str">
        <f>T("PSC BOX 21036")</f>
        <v>PSC BOX 21036</v>
      </c>
      <c r="D3362" t="str">
        <f>T("JACKSONVILLE")</f>
        <v>JACKSONVILLE</v>
      </c>
      <c r="E3362" t="str">
        <f t="shared" si="1372"/>
        <v>NC</v>
      </c>
      <c r="F3362" t="str">
        <f>T("285450000")</f>
        <v>285450000</v>
      </c>
      <c r="G3362" t="str">
        <f>T("AS222 CAMBELL ST")</f>
        <v>AS222 CAMBELL ST</v>
      </c>
      <c r="H3362" t="str">
        <f>T("CNATT MCAS NEW RIVER")</f>
        <v>CNATT MCAS NEW RIVER</v>
      </c>
      <c r="I3362" t="str">
        <f>T("JACKSONVILLE")</f>
        <v>JACKSONVILLE</v>
      </c>
      <c r="J3362" t="str">
        <f t="shared" si="1373"/>
        <v>NC</v>
      </c>
      <c r="K3362" t="str">
        <f>T("000000000000000000")</f>
        <v>000000000000000000</v>
      </c>
      <c r="L3362" t="str">
        <f>T("9104496869")</f>
        <v>9104496869</v>
      </c>
    </row>
    <row r="3363" spans="1:12" x14ac:dyDescent="0.35">
      <c r="A3363" t="str">
        <f>T("CNATTMARU MCAS NEW RIVER")</f>
        <v>CNATTMARU MCAS NEW RIVER</v>
      </c>
      <c r="B3363" t="str">
        <f>T("MCAS NEW RIVER BLDG AS312")</f>
        <v>MCAS NEW RIVER BLDG AS312</v>
      </c>
      <c r="C3363" t="str">
        <f>T("PSC BOX 21036")</f>
        <v>PSC BOX 21036</v>
      </c>
      <c r="D3363" t="str">
        <f>T("JACKSONVILLE")</f>
        <v>JACKSONVILLE</v>
      </c>
      <c r="E3363" t="str">
        <f t="shared" si="1372"/>
        <v>NC</v>
      </c>
      <c r="F3363" t="str">
        <f>T("285450000")</f>
        <v>285450000</v>
      </c>
      <c r="G3363" t="str">
        <f>T("MARINE CORPS AIR STATION NEW RIVER")</f>
        <v>MARINE CORPS AIR STATION NEW RIVER</v>
      </c>
      <c r="H3363" t="str">
        <f>T("PO BOX 21036")</f>
        <v>PO BOX 21036</v>
      </c>
      <c r="I3363" t="str">
        <f>T("JACKSONVILLE")</f>
        <v>JACKSONVILLE</v>
      </c>
      <c r="J3363" t="str">
        <f t="shared" si="1373"/>
        <v>NC</v>
      </c>
      <c r="K3363" t="str">
        <f>T("000000000000000000")</f>
        <v>000000000000000000</v>
      </c>
      <c r="L3363" t="str">
        <f>T("9104494883")</f>
        <v>9104494883</v>
      </c>
    </row>
    <row r="3364" spans="1:12" x14ac:dyDescent="0.35">
      <c r="A3364" t="str">
        <f>T("CNATTMARU MCAS NEW RIVER")</f>
        <v>CNATTMARU MCAS NEW RIVER</v>
      </c>
      <c r="B3364" t="str">
        <f>T("MCAS NEW RIVER BLDG AS312")</f>
        <v>MCAS NEW RIVER BLDG AS312</v>
      </c>
      <c r="C3364" t="str">
        <f>T("PSC BOX 21036")</f>
        <v>PSC BOX 21036</v>
      </c>
      <c r="D3364" t="str">
        <f>T("JACKSONVILLE")</f>
        <v>JACKSONVILLE</v>
      </c>
      <c r="E3364" t="str">
        <f t="shared" si="1372"/>
        <v>NC</v>
      </c>
      <c r="F3364" t="str">
        <f>T("285450000")</f>
        <v>285450000</v>
      </c>
      <c r="G3364" t="str">
        <f>T("MCAS NEW RIVER BLDG AS312")</f>
        <v>MCAS NEW RIVER BLDG AS312</v>
      </c>
      <c r="H3364" t="str">
        <f>T("PSC BOX 21036")</f>
        <v>PSC BOX 21036</v>
      </c>
      <c r="I3364" t="str">
        <f>T("JACKSONVILLE")</f>
        <v>JACKSONVILLE</v>
      </c>
      <c r="J3364" t="str">
        <f t="shared" si="1373"/>
        <v>NC</v>
      </c>
      <c r="K3364" t="str">
        <f>T("9104495753")</f>
        <v>9104495753</v>
      </c>
      <c r="L3364" t="str">
        <f>T("9104495751")</f>
        <v>9104495751</v>
      </c>
    </row>
    <row r="3365" spans="1:12" x14ac:dyDescent="0.35">
      <c r="A3365" t="str">
        <f>T("CNATT JACKSONVILLE")</f>
        <v>CNATT JACKSONVILLE</v>
      </c>
      <c r="B3365" t="str">
        <f>T("CNATTU JACKSONVILLE")</f>
        <v>CNATTU JACKSONVILLE</v>
      </c>
      <c r="C3365" t="str">
        <f>T("BLDG 848E YORKTOWN AVE")</f>
        <v>BLDG 848E YORKTOWN AVE</v>
      </c>
      <c r="D3365" t="str">
        <f>T("NAS JACKSONVILLE")</f>
        <v>NAS JACKSONVILLE</v>
      </c>
      <c r="E3365" t="str">
        <f>T("FL")</f>
        <v>FL</v>
      </c>
      <c r="F3365" t="str">
        <f>T("322120000")</f>
        <v>322120000</v>
      </c>
      <c r="G3365" t="str">
        <f>T("848E YORKTOWN AVENUE")</f>
        <v>848E YORKTOWN AVENUE</v>
      </c>
      <c r="H3365" t="str">
        <f>T("")</f>
        <v/>
      </c>
      <c r="I3365" t="str">
        <f>T("JACKSONVILLE")</f>
        <v>JACKSONVILLE</v>
      </c>
      <c r="J3365" t="str">
        <f>T("FL")</f>
        <v>FL</v>
      </c>
      <c r="K3365" t="str">
        <f>T("000000000000000000")</f>
        <v>000000000000000000</v>
      </c>
      <c r="L3365" t="str">
        <f>T("9045425361")</f>
        <v>9045425361</v>
      </c>
    </row>
    <row r="3366" spans="1:12" x14ac:dyDescent="0.35">
      <c r="A3366" t="str">
        <f>T("CNATT JACKSONVILLE")</f>
        <v>CNATT JACKSONVILLE</v>
      </c>
      <c r="B3366" t="str">
        <f>T("CNATTU JACKSONVILLE")</f>
        <v>CNATTU JACKSONVILLE</v>
      </c>
      <c r="C3366" t="str">
        <f>T("BLDG 848E YORKTOWN AVE")</f>
        <v>BLDG 848E YORKTOWN AVE</v>
      </c>
      <c r="D3366" t="str">
        <f>T("NAS JACKSONVILLE")</f>
        <v>NAS JACKSONVILLE</v>
      </c>
      <c r="E3366" t="str">
        <f>T("FL")</f>
        <v>FL</v>
      </c>
      <c r="F3366" t="str">
        <f>T("322120000")</f>
        <v>322120000</v>
      </c>
      <c r="G3366" t="str">
        <f>T("CNATTU JACKSONVILLE")</f>
        <v>CNATTU JACKSONVILLE</v>
      </c>
      <c r="H3366" t="str">
        <f>T("BLDG 848E YORKTOWN AVE")</f>
        <v>BLDG 848E YORKTOWN AVE</v>
      </c>
      <c r="I3366" t="str">
        <f>T("NAS JACKSONVILLE")</f>
        <v>NAS JACKSONVILLE</v>
      </c>
      <c r="J3366" t="str">
        <f>T("FL")</f>
        <v>FL</v>
      </c>
      <c r="K3366" t="str">
        <f>T("9045425544")</f>
        <v>9045425544</v>
      </c>
      <c r="L3366" t="str">
        <f>T("1111111111")</f>
        <v>1111111111</v>
      </c>
    </row>
    <row r="3367" spans="1:12" x14ac:dyDescent="0.35">
      <c r="A3367" t="str">
        <f>T("CNATT UNIT WHIDBEY ISLAND")</f>
        <v>CNATT UNIT WHIDBEY ISLAND</v>
      </c>
      <c r="B3367" t="str">
        <f>T("3665 NORTH PRINCETON ST")</f>
        <v>3665 NORTH PRINCETON ST</v>
      </c>
      <c r="C3367" t="str">
        <f>T("BLDG 976")</f>
        <v>BLDG 976</v>
      </c>
      <c r="D3367" t="str">
        <f>T("OAK HARBOR")</f>
        <v>OAK HARBOR</v>
      </c>
      <c r="E3367" t="str">
        <f>T("WA")</f>
        <v>WA</v>
      </c>
      <c r="F3367" t="str">
        <f>T("982784924")</f>
        <v>982784924</v>
      </c>
      <c r="G3367" t="str">
        <f>T("3665 N PRINCETON ST BLDG 976")</f>
        <v>3665 N PRINCETON ST BLDG 976</v>
      </c>
      <c r="H3367" t="str">
        <f>T("BUILDING 976")</f>
        <v>BUILDING 976</v>
      </c>
      <c r="I3367" t="str">
        <f>T("OAK HARBOR")</f>
        <v>OAK HARBOR</v>
      </c>
      <c r="J3367" t="str">
        <f>T("WA")</f>
        <v>WA</v>
      </c>
      <c r="K3367" t="str">
        <f>T("000000000000000000")</f>
        <v>000000000000000000</v>
      </c>
      <c r="L3367" t="str">
        <f>T("3602575946")</f>
        <v>3602575946</v>
      </c>
    </row>
    <row r="3368" spans="1:12" x14ac:dyDescent="0.35">
      <c r="A3368" t="str">
        <f>T("CNATT UNIT WHIDBEY ISLAND")</f>
        <v>CNATT UNIT WHIDBEY ISLAND</v>
      </c>
      <c r="B3368" t="str">
        <f>T("3665 NORTH PRINCETON ST")</f>
        <v>3665 NORTH PRINCETON ST</v>
      </c>
      <c r="C3368" t="str">
        <f>T("BLDG 976")</f>
        <v>BLDG 976</v>
      </c>
      <c r="D3368" t="str">
        <f>T("OAK HARBOR")</f>
        <v>OAK HARBOR</v>
      </c>
      <c r="E3368" t="str">
        <f>T("WA")</f>
        <v>WA</v>
      </c>
      <c r="F3368" t="str">
        <f>T("982784924")</f>
        <v>982784924</v>
      </c>
      <c r="G3368" t="str">
        <f>T("3665 NORTH PRINCETON ST")</f>
        <v>3665 NORTH PRINCETON ST</v>
      </c>
      <c r="H3368" t="str">
        <f>T("BLDG 976")</f>
        <v>BLDG 976</v>
      </c>
      <c r="I3368" t="str">
        <f>T("OAK HARBOR")</f>
        <v>OAK HARBOR</v>
      </c>
      <c r="J3368" t="str">
        <f>T("WA")</f>
        <v>WA</v>
      </c>
      <c r="K3368" t="str">
        <f>T("3602571200")</f>
        <v>3602571200</v>
      </c>
      <c r="L3368" t="str">
        <f>T("3602572734")</f>
        <v>3602572734</v>
      </c>
    </row>
    <row r="3369" spans="1:12" x14ac:dyDescent="0.35">
      <c r="A3369" t="str">
        <f>T("CNATT LEMOORE")</f>
        <v>CNATT LEMOORE</v>
      </c>
      <c r="B3369" t="str">
        <f>T("CNATTU LEMOORE")</f>
        <v>CNATTU LEMOORE</v>
      </c>
      <c r="C3369" t="str">
        <f>T("738 ENTERPRISE AVE")</f>
        <v>738 ENTERPRISE AVE</v>
      </c>
      <c r="D3369" t="str">
        <f>T("LEMOORE")</f>
        <v>LEMOORE</v>
      </c>
      <c r="E3369" t="str">
        <f t="shared" ref="E3369:E3375" si="1374">T("CA")</f>
        <v>CA</v>
      </c>
      <c r="F3369" t="str">
        <f>T("932466200")</f>
        <v>932466200</v>
      </c>
      <c r="G3369" t="str">
        <f>T("738 ENTERPRISE AVE")</f>
        <v>738 ENTERPRISE AVE</v>
      </c>
      <c r="H3369" t="str">
        <f>T("CNATTU LEMOORE SUPPLY DEPT")</f>
        <v>CNATTU LEMOORE SUPPLY DEPT</v>
      </c>
      <c r="I3369" t="str">
        <f>T("LEMOORE")</f>
        <v>LEMOORE</v>
      </c>
      <c r="J3369" t="str">
        <f t="shared" ref="J3369:J3375" si="1375">T("CA")</f>
        <v>CA</v>
      </c>
      <c r="K3369" t="str">
        <f>T("5599983847")</f>
        <v>5599983847</v>
      </c>
      <c r="L3369" t="str">
        <f>T("5599983960")</f>
        <v>5599983960</v>
      </c>
    </row>
    <row r="3370" spans="1:12" x14ac:dyDescent="0.35">
      <c r="A3370" t="str">
        <f>T("CNATT LEMOORE")</f>
        <v>CNATT LEMOORE</v>
      </c>
      <c r="B3370" t="str">
        <f>T("CNATTU LEMOORE")</f>
        <v>CNATTU LEMOORE</v>
      </c>
      <c r="C3370" t="str">
        <f>T("738 ENTERPRISE AVE")</f>
        <v>738 ENTERPRISE AVE</v>
      </c>
      <c r="D3370" t="str">
        <f>T("LEMOORE")</f>
        <v>LEMOORE</v>
      </c>
      <c r="E3370" t="str">
        <f t="shared" si="1374"/>
        <v>CA</v>
      </c>
      <c r="F3370" t="str">
        <f>T("932466200")</f>
        <v>932466200</v>
      </c>
      <c r="G3370" t="str">
        <f>T("738 ENTERPRISE AVENUE")</f>
        <v>738 ENTERPRISE AVENUE</v>
      </c>
      <c r="H3370" t="str">
        <f>T("")</f>
        <v/>
      </c>
      <c r="I3370" t="str">
        <f>T("LEMOORE")</f>
        <v>LEMOORE</v>
      </c>
      <c r="J3370" t="str">
        <f t="shared" si="1375"/>
        <v>CA</v>
      </c>
      <c r="K3370" t="str">
        <f>T("5599983847")</f>
        <v>5599983847</v>
      </c>
      <c r="L3370" t="str">
        <f>T("5599983960")</f>
        <v>5599983960</v>
      </c>
    </row>
    <row r="3371" spans="1:12" x14ac:dyDescent="0.35">
      <c r="A3371" t="str">
        <f>T("CNATT LEMOORE")</f>
        <v>CNATT LEMOORE</v>
      </c>
      <c r="B3371" t="str">
        <f>T("CNATTU LEMOORE")</f>
        <v>CNATTU LEMOORE</v>
      </c>
      <c r="C3371" t="str">
        <f>T("738 ENTERPRISE AVE")</f>
        <v>738 ENTERPRISE AVE</v>
      </c>
      <c r="D3371" t="str">
        <f>T("LEMOORE")</f>
        <v>LEMOORE</v>
      </c>
      <c r="E3371" t="str">
        <f t="shared" si="1374"/>
        <v>CA</v>
      </c>
      <c r="F3371" t="str">
        <f>T("932466200")</f>
        <v>932466200</v>
      </c>
      <c r="G3371" t="str">
        <f>T("CNATTU LEMOORE")</f>
        <v>CNATTU LEMOORE</v>
      </c>
      <c r="H3371" t="str">
        <f>T("738 ENTERPRISE AVE")</f>
        <v>738 ENTERPRISE AVE</v>
      </c>
      <c r="I3371" t="str">
        <f>T("LEMOORE")</f>
        <v>LEMOORE</v>
      </c>
      <c r="J3371" t="str">
        <f t="shared" si="1375"/>
        <v>CA</v>
      </c>
      <c r="K3371" t="str">
        <f>T("5599983847")</f>
        <v>5599983847</v>
      </c>
      <c r="L3371" t="str">
        <f>T("5599980187")</f>
        <v>5599980187</v>
      </c>
    </row>
    <row r="3372" spans="1:12" x14ac:dyDescent="0.35">
      <c r="A3372" t="str">
        <f>T("CNATT LEMOORE")</f>
        <v>CNATT LEMOORE</v>
      </c>
      <c r="B3372" t="str">
        <f>T("CNATTU LEMOORE")</f>
        <v>CNATTU LEMOORE</v>
      </c>
      <c r="C3372" t="str">
        <f>T("738 ENTERPRISE AVE")</f>
        <v>738 ENTERPRISE AVE</v>
      </c>
      <c r="D3372" t="str">
        <f>T("LEMOORE")</f>
        <v>LEMOORE</v>
      </c>
      <c r="E3372" t="str">
        <f t="shared" si="1374"/>
        <v>CA</v>
      </c>
      <c r="F3372" t="str">
        <f>T("932466200")</f>
        <v>932466200</v>
      </c>
      <c r="G3372" t="str">
        <f>T("CNATTU LEMOORE")</f>
        <v>CNATTU LEMOORE</v>
      </c>
      <c r="H3372" t="str">
        <f>T("738 ENTERPRISE AVENUE")</f>
        <v>738 ENTERPRISE AVENUE</v>
      </c>
      <c r="I3372" t="str">
        <f>T("LEMOORE")</f>
        <v>LEMOORE</v>
      </c>
      <c r="J3372" t="str">
        <f t="shared" si="1375"/>
        <v>CA</v>
      </c>
      <c r="K3372" t="str">
        <f>T("5599983847")</f>
        <v>5599983847</v>
      </c>
      <c r="L3372" t="str">
        <f>T("5599983960")</f>
        <v>5599983960</v>
      </c>
    </row>
    <row r="3373" spans="1:12" x14ac:dyDescent="0.35">
      <c r="A3373" t="str">
        <f>T("CNATT NORTH ISLAND")</f>
        <v>CNATT NORTH ISLAND</v>
      </c>
      <c r="B3373" t="str">
        <f>T("BLDG 698 STOCKDALE BLVD")</f>
        <v>BLDG 698 STOCKDALE BLVD</v>
      </c>
      <c r="C3373" t="str">
        <f>T("BOX 357059")</f>
        <v>BOX 357059</v>
      </c>
      <c r="D3373" t="str">
        <f>T("SAN DIEGO")</f>
        <v>SAN DIEGO</v>
      </c>
      <c r="E3373" t="str">
        <f t="shared" si="1374"/>
        <v>CA</v>
      </c>
      <c r="F3373" t="str">
        <f>T("921357059")</f>
        <v>921357059</v>
      </c>
      <c r="G3373" t="str">
        <f>T("BLDG 698 STOCKDALE BLVD")</f>
        <v>BLDG 698 STOCKDALE BLVD</v>
      </c>
      <c r="H3373" t="str">
        <f>T("")</f>
        <v/>
      </c>
      <c r="I3373" t="str">
        <f>T("SAN DIEGO")</f>
        <v>SAN DIEGO</v>
      </c>
      <c r="J3373" t="str">
        <f t="shared" si="1375"/>
        <v>CA</v>
      </c>
      <c r="K3373" t="str">
        <f>T("000000000000000000")</f>
        <v>000000000000000000</v>
      </c>
      <c r="L3373" t="str">
        <f>T("6195456214")</f>
        <v>6195456214</v>
      </c>
    </row>
    <row r="3374" spans="1:12" x14ac:dyDescent="0.35">
      <c r="A3374" t="str">
        <f>T("CNATT NORTH ISLAND")</f>
        <v>CNATT NORTH ISLAND</v>
      </c>
      <c r="B3374" t="str">
        <f>T("BLDG 698 STOCKDALE BLVD")</f>
        <v>BLDG 698 STOCKDALE BLVD</v>
      </c>
      <c r="C3374" t="str">
        <f>T("BOX 357059")</f>
        <v>BOX 357059</v>
      </c>
      <c r="D3374" t="str">
        <f>T("SAN DIEGO")</f>
        <v>SAN DIEGO</v>
      </c>
      <c r="E3374" t="str">
        <f t="shared" si="1374"/>
        <v>CA</v>
      </c>
      <c r="F3374" t="str">
        <f>T("921357059")</f>
        <v>921357059</v>
      </c>
      <c r="G3374" t="str">
        <f>T("BLDG 698 STOCKDALE BLVD")</f>
        <v>BLDG 698 STOCKDALE BLVD</v>
      </c>
      <c r="H3374" t="str">
        <f>T("BOX 357059")</f>
        <v>BOX 357059</v>
      </c>
      <c r="I3374" t="str">
        <f>T("SAN DIEGO")</f>
        <v>SAN DIEGO</v>
      </c>
      <c r="J3374" t="str">
        <f t="shared" si="1375"/>
        <v>CA</v>
      </c>
      <c r="K3374" t="str">
        <f>T("6195457575")</f>
        <v>6195457575</v>
      </c>
      <c r="L3374" t="str">
        <f>T("6197677622")</f>
        <v>6197677622</v>
      </c>
    </row>
    <row r="3375" spans="1:12" x14ac:dyDescent="0.35">
      <c r="A3375" t="str">
        <f>T("CNATT NORTH ISLAND")</f>
        <v>CNATT NORTH ISLAND</v>
      </c>
      <c r="B3375" t="str">
        <f>T("BLDG 698 STOCKDALE BLVD")</f>
        <v>BLDG 698 STOCKDALE BLVD</v>
      </c>
      <c r="C3375" t="str">
        <f>T("BOX 357059")</f>
        <v>BOX 357059</v>
      </c>
      <c r="D3375" t="str">
        <f>T("SAN DIEGO")</f>
        <v>SAN DIEGO</v>
      </c>
      <c r="E3375" t="str">
        <f t="shared" si="1374"/>
        <v>CA</v>
      </c>
      <c r="F3375" t="str">
        <f>T("921357059")</f>
        <v>921357059</v>
      </c>
      <c r="G3375" t="str">
        <f>T("CNATT NORTH ISLAND")</f>
        <v>CNATT NORTH ISLAND</v>
      </c>
      <c r="H3375" t="str">
        <f>T("BLDG 698 RM 29")</f>
        <v>BLDG 698 RM 29</v>
      </c>
      <c r="I3375" t="str">
        <f>T("SAN DEIGO")</f>
        <v>SAN DEIGO</v>
      </c>
      <c r="J3375" t="str">
        <f t="shared" si="1375"/>
        <v>CA</v>
      </c>
      <c r="K3375" t="str">
        <f>T("000000000000000000")</f>
        <v>000000000000000000</v>
      </c>
      <c r="L3375" t="str">
        <f>T("6195456214")</f>
        <v>6195456214</v>
      </c>
    </row>
    <row r="3376" spans="1:12" x14ac:dyDescent="0.35">
      <c r="A3376" t="str">
        <f>T("CNATT NORTH ISLAND")</f>
        <v>CNATT NORTH ISLAND</v>
      </c>
      <c r="B3376" t="str">
        <f>T("BOX 64005")</f>
        <v>BOX 64005</v>
      </c>
      <c r="C3376" t="str">
        <f>T("MCBH")</f>
        <v>MCBH</v>
      </c>
      <c r="D3376" t="str">
        <f>T("KANEOHE BAY")</f>
        <v>KANEOHE BAY</v>
      </c>
      <c r="E3376" t="str">
        <f>T("HI")</f>
        <v>HI</v>
      </c>
      <c r="F3376" t="str">
        <f>T("968634000")</f>
        <v>968634000</v>
      </c>
      <c r="G3376" t="str">
        <f>T("BOX 64005")</f>
        <v>BOX 64005</v>
      </c>
      <c r="H3376" t="str">
        <f>T("MCBH")</f>
        <v>MCBH</v>
      </c>
      <c r="I3376" t="str">
        <f>T("KANEOHE BAY")</f>
        <v>KANEOHE BAY</v>
      </c>
      <c r="J3376" t="str">
        <f>T("HI")</f>
        <v>HI</v>
      </c>
      <c r="K3376" t="str">
        <f>T("000000000000000000")</f>
        <v>000000000000000000</v>
      </c>
      <c r="L3376" t="str">
        <f>T("8082570807")</f>
        <v>8082570807</v>
      </c>
    </row>
    <row r="3377" spans="1:12" x14ac:dyDescent="0.35">
      <c r="A3377" t="str">
        <f>T("CNATT NORTH ISLAND")</f>
        <v>CNATT NORTH ISLAND</v>
      </c>
      <c r="B3377" t="str">
        <f>T("BOX 64005")</f>
        <v>BOX 64005</v>
      </c>
      <c r="C3377" t="str">
        <f>T("MCBH")</f>
        <v>MCBH</v>
      </c>
      <c r="D3377" t="str">
        <f>T("KANEOHE BAY")</f>
        <v>KANEOHE BAY</v>
      </c>
      <c r="E3377" t="str">
        <f>T("HI")</f>
        <v>HI</v>
      </c>
      <c r="F3377" t="str">
        <f>T("968634000")</f>
        <v>968634000</v>
      </c>
      <c r="G3377" t="str">
        <f>T("PO BOX 64005")</f>
        <v>PO BOX 64005</v>
      </c>
      <c r="H3377" t="str">
        <f>T("")</f>
        <v/>
      </c>
      <c r="I3377" t="str">
        <f>T("MCBH KANEOHE BAY")</f>
        <v>MCBH KANEOHE BAY</v>
      </c>
      <c r="J3377" t="str">
        <f>T("HI")</f>
        <v>HI</v>
      </c>
      <c r="K3377" t="str">
        <f>T("000000000000000000")</f>
        <v>000000000000000000</v>
      </c>
      <c r="L3377" t="str">
        <f>T("8082570807")</f>
        <v>8082570807</v>
      </c>
    </row>
    <row r="3378" spans="1:12" x14ac:dyDescent="0.35">
      <c r="A3378" t="str">
        <f>T("NROTC SOUTH FLORIDA UNIV")</f>
        <v>NROTC SOUTH FLORIDA UNIV</v>
      </c>
      <c r="B3378" t="str">
        <f>T("4202 EAST FOWLER AVE")</f>
        <v>4202 EAST FOWLER AVE</v>
      </c>
      <c r="C3378" t="str">
        <f>T("")</f>
        <v/>
      </c>
      <c r="D3378" t="str">
        <f>T("TAMPA")</f>
        <v>TAMPA</v>
      </c>
      <c r="E3378" t="str">
        <f>T("FL")</f>
        <v>FL</v>
      </c>
      <c r="F3378" t="str">
        <f>T("336208000")</f>
        <v>336208000</v>
      </c>
      <c r="G3378" t="str">
        <f>T("4202 E FOWLER AVE # CWY406")</f>
        <v>4202 E FOWLER AVE # CWY406</v>
      </c>
      <c r="H3378" t="str">
        <f>T("")</f>
        <v/>
      </c>
      <c r="I3378" t="str">
        <f>T("TAMPA")</f>
        <v>TAMPA</v>
      </c>
      <c r="J3378" t="str">
        <f>T("FL")</f>
        <v>FL</v>
      </c>
      <c r="K3378" t="str">
        <f>T("000000000000000000")</f>
        <v>000000000000000000</v>
      </c>
      <c r="L3378" t="str">
        <f>T("8139744789")</f>
        <v>8139744789</v>
      </c>
    </row>
    <row r="3379" spans="1:12" x14ac:dyDescent="0.35">
      <c r="A3379" t="str">
        <f>T("NROTC SOUTH FLORIDA UNIV")</f>
        <v>NROTC SOUTH FLORIDA UNIV</v>
      </c>
      <c r="B3379" t="str">
        <f>T("4202 EAST FOWLER AVE")</f>
        <v>4202 EAST FOWLER AVE</v>
      </c>
      <c r="C3379" t="str">
        <f>T("")</f>
        <v/>
      </c>
      <c r="D3379" t="str">
        <f>T("TAMPA")</f>
        <v>TAMPA</v>
      </c>
      <c r="E3379" t="str">
        <f>T("FL")</f>
        <v>FL</v>
      </c>
      <c r="F3379" t="str">
        <f>T("336208000")</f>
        <v>336208000</v>
      </c>
      <c r="G3379" t="str">
        <f>T("4202 EAST FOWLER AVE")</f>
        <v>4202 EAST FOWLER AVE</v>
      </c>
      <c r="H3379" t="str">
        <f>T("")</f>
        <v/>
      </c>
      <c r="I3379" t="str">
        <f>T("TAMPA")</f>
        <v>TAMPA</v>
      </c>
      <c r="J3379" t="str">
        <f>T("FL")</f>
        <v>FL</v>
      </c>
      <c r="K3379" t="str">
        <f>T("8139740058")</f>
        <v>8139740058</v>
      </c>
      <c r="L3379" t="str">
        <f>T("8139744386")</f>
        <v>8139744386</v>
      </c>
    </row>
    <row r="3380" spans="1:12" x14ac:dyDescent="0.35">
      <c r="A3380" t="str">
        <f>T("NROTC EMBRY-RIDDLE AERO UNIV")</f>
        <v>NROTC EMBRY-RIDDLE AERO UNIV</v>
      </c>
      <c r="B3380" t="str">
        <f>T("600 S CLYDE MORRIS BLVD")</f>
        <v>600 S CLYDE MORRIS BLVD</v>
      </c>
      <c r="C3380" t="str">
        <f>T("NROTC DEPT")</f>
        <v>NROTC DEPT</v>
      </c>
      <c r="D3380" t="str">
        <f>T("DAYTONA BEACH")</f>
        <v>DAYTONA BEACH</v>
      </c>
      <c r="E3380" t="str">
        <f>T("FL")</f>
        <v>FL</v>
      </c>
      <c r="F3380" t="str">
        <f>T("321143966")</f>
        <v>321143966</v>
      </c>
      <c r="G3380" t="str">
        <f>T("600 S CLYDE MORRIS BLVD")</f>
        <v>600 S CLYDE MORRIS BLVD</v>
      </c>
      <c r="H3380" t="str">
        <f>T("NROTC DEPT")</f>
        <v>NROTC DEPT</v>
      </c>
      <c r="I3380" t="str">
        <f>T("DAYTONA BEACH")</f>
        <v>DAYTONA BEACH</v>
      </c>
      <c r="J3380" t="str">
        <f>T("FL")</f>
        <v>FL</v>
      </c>
      <c r="K3380" t="str">
        <f>T("000000000000000000")</f>
        <v>000000000000000000</v>
      </c>
      <c r="L3380" t="str">
        <f>T("3863238998")</f>
        <v>3863238998</v>
      </c>
    </row>
    <row r="3381" spans="1:12" x14ac:dyDescent="0.35">
      <c r="A3381" t="str">
        <f>T("NROTC EMBRY-RIDDLE AERO UNIV")</f>
        <v>NROTC EMBRY-RIDDLE AERO UNIV</v>
      </c>
      <c r="B3381" t="str">
        <f>T("600 S CLYDE MORRIS BLVD")</f>
        <v>600 S CLYDE MORRIS BLVD</v>
      </c>
      <c r="C3381" t="str">
        <f>T("NROTC DEPT")</f>
        <v>NROTC DEPT</v>
      </c>
      <c r="D3381" t="str">
        <f>T("DAYTONA BEACH")</f>
        <v>DAYTONA BEACH</v>
      </c>
      <c r="E3381" t="str">
        <f>T("FL")</f>
        <v>FL</v>
      </c>
      <c r="F3381" t="str">
        <f>T("321143966")</f>
        <v>321143966</v>
      </c>
      <c r="G3381" t="str">
        <f>T("600 S CLYDE MORRIS BLVD")</f>
        <v>600 S CLYDE MORRIS BLVD</v>
      </c>
      <c r="H3381" t="str">
        <f>T("NROTC DEPT")</f>
        <v>NROTC DEPT</v>
      </c>
      <c r="I3381" t="str">
        <f>T("DAYTONA BEACH")</f>
        <v>DAYTONA BEACH</v>
      </c>
      <c r="J3381" t="str">
        <f>T("FL")</f>
        <v>FL</v>
      </c>
      <c r="K3381" t="str">
        <f>T("3863238989")</f>
        <v>3863238989</v>
      </c>
      <c r="L3381" t="str">
        <f>T("3863238997")</f>
        <v>3863238997</v>
      </c>
    </row>
    <row r="3382" spans="1:12" x14ac:dyDescent="0.35">
      <c r="A3382" t="str">
        <f>T("NROTC ARIZONA STATE UNIVERSITY")</f>
        <v>NROTC ARIZONA STATE UNIVERSITY</v>
      </c>
      <c r="B3382" t="str">
        <f>T("951 S CADY MALL")</f>
        <v>951 S CADY MALL</v>
      </c>
      <c r="C3382" t="str">
        <f>T("SOCIAL SCIENCE BLDG RM 227")</f>
        <v>SOCIAL SCIENCE BLDG RM 227</v>
      </c>
      <c r="D3382" t="str">
        <f>T("TEMPE")</f>
        <v>TEMPE</v>
      </c>
      <c r="E3382" t="str">
        <f>T("AZ")</f>
        <v>AZ</v>
      </c>
      <c r="F3382" t="str">
        <f>T("852872801")</f>
        <v>852872801</v>
      </c>
      <c r="G3382" t="str">
        <f>T("951 S CADY MALL")</f>
        <v>951 S CADY MALL</v>
      </c>
      <c r="H3382" t="str">
        <f>T("SOCIAL SCIENCE BLDG RM 227")</f>
        <v>SOCIAL SCIENCE BLDG RM 227</v>
      </c>
      <c r="I3382" t="str">
        <f>T("TEMPE")</f>
        <v>TEMPE</v>
      </c>
      <c r="J3382" t="str">
        <f>T("AZ")</f>
        <v>AZ</v>
      </c>
      <c r="K3382" t="str">
        <f>T("")</f>
        <v/>
      </c>
      <c r="L3382" t="str">
        <f>T("4809651230")</f>
        <v>4809651230</v>
      </c>
    </row>
    <row r="3383" spans="1:12" x14ac:dyDescent="0.35">
      <c r="A3383" t="str">
        <f>T("NROTC ARIZONA STATE UNIVERSITY")</f>
        <v>NROTC ARIZONA STATE UNIVERSITY</v>
      </c>
      <c r="B3383" t="str">
        <f>T("951 S CADY MALL")</f>
        <v>951 S CADY MALL</v>
      </c>
      <c r="C3383" t="str">
        <f>T("SOCIAL SCIENCE BLDG RM 227")</f>
        <v>SOCIAL SCIENCE BLDG RM 227</v>
      </c>
      <c r="D3383" t="str">
        <f>T("TEMPE")</f>
        <v>TEMPE</v>
      </c>
      <c r="E3383" t="str">
        <f>T("AZ")</f>
        <v>AZ</v>
      </c>
      <c r="F3383" t="str">
        <f>T("852872801")</f>
        <v>852872801</v>
      </c>
      <c r="G3383" t="str">
        <f>T("SOCIAL SCIENCE BLDG ROOM 227")</f>
        <v>SOCIAL SCIENCE BLDG ROOM 227</v>
      </c>
      <c r="H3383" t="str">
        <f>T("")</f>
        <v/>
      </c>
      <c r="I3383" t="str">
        <f>T("TEMPE")</f>
        <v>TEMPE</v>
      </c>
      <c r="J3383" t="str">
        <f>T("AZ")</f>
        <v>AZ</v>
      </c>
      <c r="K3383" t="str">
        <f>T("000000000000000000")</f>
        <v>000000000000000000</v>
      </c>
      <c r="L3383" t="str">
        <f>T("4809656587")</f>
        <v>4809656587</v>
      </c>
    </row>
    <row r="3384" spans="1:12" x14ac:dyDescent="0.35">
      <c r="A3384" t="str">
        <f>T("NROTC NEW MEXICO")</f>
        <v>NROTC NEW MEXICO</v>
      </c>
      <c r="B3384" t="str">
        <f>T("1 UNIVERSITY OF NM")</f>
        <v>1 UNIVERSITY OF NM</v>
      </c>
      <c r="C3384" t="str">
        <f>T("")</f>
        <v/>
      </c>
      <c r="D3384" t="str">
        <f>T("ALBUQUERQUE")</f>
        <v>ALBUQUERQUE</v>
      </c>
      <c r="E3384" t="str">
        <f>T("NM")</f>
        <v>NM</v>
      </c>
      <c r="F3384" t="str">
        <f>T("871310001")</f>
        <v>871310001</v>
      </c>
      <c r="G3384" t="str">
        <f>T("1 UNIVERSITY OF NM")</f>
        <v>1 UNIVERSITY OF NM</v>
      </c>
      <c r="H3384" t="str">
        <f>T("")</f>
        <v/>
      </c>
      <c r="I3384" t="str">
        <f>T("ALBUQUERQUE")</f>
        <v>ALBUQUERQUE</v>
      </c>
      <c r="J3384" t="str">
        <f>T("NM")</f>
        <v>NM</v>
      </c>
      <c r="K3384" t="str">
        <f>T("")</f>
        <v/>
      </c>
      <c r="L3384" t="str">
        <f>T("5052774710")</f>
        <v>5052774710</v>
      </c>
    </row>
    <row r="3385" spans="1:12" x14ac:dyDescent="0.35">
      <c r="A3385" t="str">
        <f>T("NROTC NEW MEXICO")</f>
        <v>NROTC NEW MEXICO</v>
      </c>
      <c r="B3385" t="str">
        <f>T("1 UNIVERSITY OF NM")</f>
        <v>1 UNIVERSITY OF NM</v>
      </c>
      <c r="C3385" t="str">
        <f>T("")</f>
        <v/>
      </c>
      <c r="D3385" t="str">
        <f>T("ALBUQUERQUE")</f>
        <v>ALBUQUERQUE</v>
      </c>
      <c r="E3385" t="str">
        <f>T("NM")</f>
        <v>NM</v>
      </c>
      <c r="F3385" t="str">
        <f>T("871310001")</f>
        <v>871310001</v>
      </c>
      <c r="G3385" t="str">
        <f>T("NROTC UNIT UNM")</f>
        <v>NROTC UNIT UNM</v>
      </c>
      <c r="H3385" t="str">
        <f>T("MSC02 1700 1 UNIVERSITY")</f>
        <v>MSC02 1700 1 UNIVERSITY</v>
      </c>
      <c r="I3385" t="str">
        <f>T("ALBUQUERQUE")</f>
        <v>ALBUQUERQUE</v>
      </c>
      <c r="J3385" t="str">
        <f>T("NM")</f>
        <v>NM</v>
      </c>
      <c r="K3385" t="str">
        <f>T("000000000000000000")</f>
        <v>000000000000000000</v>
      </c>
      <c r="L3385" t="str">
        <f>T("5052777030")</f>
        <v>5052777030</v>
      </c>
    </row>
    <row r="3386" spans="1:12" x14ac:dyDescent="0.35">
      <c r="A3386" t="str">
        <f>T("NROTC IOWA STATE UNIV")</f>
        <v>NROTC IOWA STATE UNIV</v>
      </c>
      <c r="B3386" t="str">
        <f>T("3 ARMORY")</f>
        <v>3 ARMORY</v>
      </c>
      <c r="C3386" t="str">
        <f>T("")</f>
        <v/>
      </c>
      <c r="D3386" t="str">
        <f>T("AMES")</f>
        <v>AMES</v>
      </c>
      <c r="E3386" t="str">
        <f>T("IA")</f>
        <v>IA</v>
      </c>
      <c r="F3386" t="str">
        <f>T("500110001")</f>
        <v>500110001</v>
      </c>
      <c r="G3386" t="str">
        <f>T("3 ARMORY")</f>
        <v>3 ARMORY</v>
      </c>
      <c r="H3386" t="str">
        <f>T("")</f>
        <v/>
      </c>
      <c r="I3386" t="str">
        <f>T("AMES")</f>
        <v>AMES</v>
      </c>
      <c r="J3386" t="str">
        <f>T("IA")</f>
        <v>IA</v>
      </c>
      <c r="K3386" t="str">
        <f>T("5152943768")</f>
        <v>5152943768</v>
      </c>
      <c r="L3386" t="str">
        <f>T("5152940328")</f>
        <v>5152940328</v>
      </c>
    </row>
    <row r="3387" spans="1:12" x14ac:dyDescent="0.35">
      <c r="A3387" t="str">
        <f>T("NROTC IOWA STATE UNIV")</f>
        <v>NROTC IOWA STATE UNIV</v>
      </c>
      <c r="B3387" t="str">
        <f>T("3 ARMORY")</f>
        <v>3 ARMORY</v>
      </c>
      <c r="C3387" t="str">
        <f>T("")</f>
        <v/>
      </c>
      <c r="D3387" t="str">
        <f>T("AMES")</f>
        <v>AMES</v>
      </c>
      <c r="E3387" t="str">
        <f>T("IA")</f>
        <v>IA</v>
      </c>
      <c r="F3387" t="str">
        <f>T("500110001")</f>
        <v>500110001</v>
      </c>
      <c r="G3387" t="str">
        <f>T("NROTC IOWA STATE UNIV")</f>
        <v>NROTC IOWA STATE UNIV</v>
      </c>
      <c r="H3387" t="str">
        <f>T("ARMORY BLDG ROOM 3")</f>
        <v>ARMORY BLDG ROOM 3</v>
      </c>
      <c r="I3387" t="str">
        <f>T("AMES")</f>
        <v>AMES</v>
      </c>
      <c r="J3387" t="str">
        <f>T("IA")</f>
        <v>IA</v>
      </c>
      <c r="K3387" t="str">
        <f>T("000000000000000000")</f>
        <v>000000000000000000</v>
      </c>
      <c r="L3387" t="str">
        <f>T("5152940330")</f>
        <v>5152940330</v>
      </c>
    </row>
    <row r="3388" spans="1:12" x14ac:dyDescent="0.35">
      <c r="A3388" t="str">
        <f>T("NROTC UNIT MI")</f>
        <v>NROTC UNIT MI</v>
      </c>
      <c r="B3388" t="str">
        <f>T("1105 N UNIVERSITY AVE")</f>
        <v>1105 N UNIVERSITY AVE</v>
      </c>
      <c r="C3388" t="str">
        <f>T("NORTH HALL")</f>
        <v>NORTH HALL</v>
      </c>
      <c r="D3388" t="str">
        <f>T("ANN ARBOR")</f>
        <v>ANN ARBOR</v>
      </c>
      <c r="E3388" t="str">
        <f>T("MI")</f>
        <v>MI</v>
      </c>
      <c r="F3388" t="str">
        <f>T("481091085")</f>
        <v>481091085</v>
      </c>
      <c r="G3388" t="str">
        <f>T("1105 N UNIVERSITY AVE")</f>
        <v>1105 N UNIVERSITY AVE</v>
      </c>
      <c r="H3388" t="str">
        <f>T("")</f>
        <v/>
      </c>
      <c r="I3388" t="str">
        <f>T("ANN ARBOR")</f>
        <v>ANN ARBOR</v>
      </c>
      <c r="J3388" t="str">
        <f>T("MI")</f>
        <v>MI</v>
      </c>
      <c r="K3388" t="str">
        <f>T("000000000000000000")</f>
        <v>000000000000000000</v>
      </c>
      <c r="L3388" t="str">
        <f>T("7346474586")</f>
        <v>7346474586</v>
      </c>
    </row>
    <row r="3389" spans="1:12" x14ac:dyDescent="0.35">
      <c r="A3389" t="str">
        <f>T("NROTC UNIT MI")</f>
        <v>NROTC UNIT MI</v>
      </c>
      <c r="B3389" t="str">
        <f>T("1105 N UNIVERSITY AVE")</f>
        <v>1105 N UNIVERSITY AVE</v>
      </c>
      <c r="C3389" t="str">
        <f>T("NORTH HALL")</f>
        <v>NORTH HALL</v>
      </c>
      <c r="D3389" t="str">
        <f>T("ANN ARBOR")</f>
        <v>ANN ARBOR</v>
      </c>
      <c r="E3389" t="str">
        <f>T("MI")</f>
        <v>MI</v>
      </c>
      <c r="F3389" t="str">
        <f>T("481091085")</f>
        <v>481091085</v>
      </c>
      <c r="G3389" t="str">
        <f>T("1105 N UNIVERSITY AVE")</f>
        <v>1105 N UNIVERSITY AVE</v>
      </c>
      <c r="H3389" t="str">
        <f>T("NORTH HALL")</f>
        <v>NORTH HALL</v>
      </c>
      <c r="I3389" t="str">
        <f>T("ANN ARBOR")</f>
        <v>ANN ARBOR</v>
      </c>
      <c r="J3389" t="str">
        <f>T("MI")</f>
        <v>MI</v>
      </c>
      <c r="K3389" t="str">
        <f>T("7347643318")</f>
        <v>7347643318</v>
      </c>
      <c r="L3389" t="str">
        <f>T("7346473901")</f>
        <v>7346473901</v>
      </c>
    </row>
    <row r="3390" spans="1:12" x14ac:dyDescent="0.35">
      <c r="A3390" t="str">
        <f>T("NROTC TEXAS")</f>
        <v>NROTC TEXAS</v>
      </c>
      <c r="B3390" t="str">
        <f>T("NROTC UNIT UNIVERSITY OF TEXAS")</f>
        <v>NROTC UNIT UNIVERSITY OF TEXAS</v>
      </c>
      <c r="C3390" t="str">
        <f>T("305 E 23RD STREET C3604")</f>
        <v>305 E 23RD STREET C3604</v>
      </c>
      <c r="D3390" t="str">
        <f>T("AUSTIN")</f>
        <v>AUSTIN</v>
      </c>
      <c r="E3390" t="str">
        <f>T("TX")</f>
        <v>TX</v>
      </c>
      <c r="F3390" t="str">
        <f>T("787121804")</f>
        <v>787121804</v>
      </c>
      <c r="G3390" t="str">
        <f>T("NROTC UNIT UNIVERSITY OF TEXAS")</f>
        <v>NROTC UNIT UNIVERSITY OF TEXAS</v>
      </c>
      <c r="H3390" t="str">
        <f>T("305 E 23RD ST C3604")</f>
        <v>305 E 23RD ST C3604</v>
      </c>
      <c r="I3390" t="str">
        <f>T("AUSTIN")</f>
        <v>AUSTIN</v>
      </c>
      <c r="J3390" t="str">
        <f>T("TX")</f>
        <v>TX</v>
      </c>
      <c r="K3390" t="str">
        <f>T("000000000000000000")</f>
        <v>000000000000000000</v>
      </c>
      <c r="L3390" t="str">
        <f>T("5122471651")</f>
        <v>5122471651</v>
      </c>
    </row>
    <row r="3391" spans="1:12" x14ac:dyDescent="0.35">
      <c r="A3391" t="str">
        <f>T("NROTC TEXAS")</f>
        <v>NROTC TEXAS</v>
      </c>
      <c r="B3391" t="str">
        <f>T("NROTC UNIT UNIVERSITY OF TEXAS")</f>
        <v>NROTC UNIT UNIVERSITY OF TEXAS</v>
      </c>
      <c r="C3391" t="str">
        <f>T("305 E 23RD STREET C3604")</f>
        <v>305 E 23RD STREET C3604</v>
      </c>
      <c r="D3391" t="str">
        <f>T("AUSTIN")</f>
        <v>AUSTIN</v>
      </c>
      <c r="E3391" t="str">
        <f>T("TX")</f>
        <v>TX</v>
      </c>
      <c r="F3391" t="str">
        <f>T("787121804")</f>
        <v>787121804</v>
      </c>
      <c r="G3391" t="str">
        <f>T("NROTC UNIT UNIVERSITY OF TEXAS")</f>
        <v>NROTC UNIT UNIVERSITY OF TEXAS</v>
      </c>
      <c r="H3391" t="str">
        <f>T("305 E 23RD ST C3604")</f>
        <v>305 E 23RD ST C3604</v>
      </c>
      <c r="I3391" t="str">
        <f>T("AUSTIN")</f>
        <v>AUSTIN</v>
      </c>
      <c r="J3391" t="str">
        <f>T("TX")</f>
        <v>TX</v>
      </c>
      <c r="K3391" t="str">
        <f>T("000000000000000000")</f>
        <v>000000000000000000</v>
      </c>
      <c r="L3391" t="str">
        <f>T("5124717675")</f>
        <v>5124717675</v>
      </c>
    </row>
    <row r="3392" spans="1:12" x14ac:dyDescent="0.35">
      <c r="A3392" t="str">
        <f>T("NROTC TEXAS")</f>
        <v>NROTC TEXAS</v>
      </c>
      <c r="B3392" t="str">
        <f>T("NROTC UNIT UNIVERSITY OF TEXAS")</f>
        <v>NROTC UNIT UNIVERSITY OF TEXAS</v>
      </c>
      <c r="C3392" t="str">
        <f>T("305 E 23RD STREET C3604")</f>
        <v>305 E 23RD STREET C3604</v>
      </c>
      <c r="D3392" t="str">
        <f>T("AUSTIN")</f>
        <v>AUSTIN</v>
      </c>
      <c r="E3392" t="str">
        <f>T("TX")</f>
        <v>TX</v>
      </c>
      <c r="F3392" t="str">
        <f>T("787121804")</f>
        <v>787121804</v>
      </c>
      <c r="G3392" t="str">
        <f>T("NROTC UNIT UNIVERSITY OF TEXAS")</f>
        <v>NROTC UNIT UNIVERSITY OF TEXAS</v>
      </c>
      <c r="H3392" t="str">
        <f>T("305 E 23RD STREET C3604")</f>
        <v>305 E 23RD STREET C3604</v>
      </c>
      <c r="I3392" t="str">
        <f>T("AUSTIN")</f>
        <v>AUSTIN</v>
      </c>
      <c r="J3392" t="str">
        <f>T("TX")</f>
        <v>TX</v>
      </c>
      <c r="K3392" t="str">
        <f>T("")</f>
        <v/>
      </c>
      <c r="L3392" t="str">
        <f>T("5124717643")</f>
        <v>5124717643</v>
      </c>
    </row>
    <row r="3393" spans="1:12" x14ac:dyDescent="0.35">
      <c r="A3393" t="str">
        <f>T("NROTC TEXAS")</f>
        <v>NROTC TEXAS</v>
      </c>
      <c r="B3393" t="str">
        <f>T("NROTC UNIT UNIVERSITY OF TEXAS")</f>
        <v>NROTC UNIT UNIVERSITY OF TEXAS</v>
      </c>
      <c r="C3393" t="str">
        <f>T("305 E 23RD STREET C3604")</f>
        <v>305 E 23RD STREET C3604</v>
      </c>
      <c r="D3393" t="str">
        <f>T("AUSTIN")</f>
        <v>AUSTIN</v>
      </c>
      <c r="E3393" t="str">
        <f>T("TX")</f>
        <v>TX</v>
      </c>
      <c r="F3393" t="str">
        <f>T("787121804")</f>
        <v>787121804</v>
      </c>
      <c r="G3393" t="str">
        <f>T("NROTC UNIT UNIVERSITY OF TEXAS")</f>
        <v>NROTC UNIT UNIVERSITY OF TEXAS</v>
      </c>
      <c r="H3393" t="str">
        <f>T("305 E. 23RD STREET, C3604")</f>
        <v>305 E. 23RD STREET, C3604</v>
      </c>
      <c r="I3393" t="str">
        <f>T("AUSTIN")</f>
        <v>AUSTIN</v>
      </c>
      <c r="J3393" t="str">
        <f>T("TX")</f>
        <v>TX</v>
      </c>
      <c r="K3393" t="str">
        <f>T("5124717690")</f>
        <v>5124717690</v>
      </c>
      <c r="L3393" t="str">
        <f>T("5124717651")</f>
        <v>5124717651</v>
      </c>
    </row>
    <row r="3394" spans="1:12" x14ac:dyDescent="0.35">
      <c r="A3394" t="str">
        <f>T("NROTC BERKELEY")</f>
        <v>NROTC BERKELEY</v>
      </c>
      <c r="B3394" t="str">
        <f>T("152 HEARST GYMNASIUM")</f>
        <v>152 HEARST GYMNASIUM</v>
      </c>
      <c r="C3394" t="str">
        <f>T("")</f>
        <v/>
      </c>
      <c r="D3394" t="str">
        <f>T("BERKELEY")</f>
        <v>BERKELEY</v>
      </c>
      <c r="E3394" t="str">
        <f>T("CA")</f>
        <v>CA</v>
      </c>
      <c r="F3394" t="str">
        <f>T("947203640")</f>
        <v>947203640</v>
      </c>
      <c r="G3394" t="str">
        <f>T("152 HEARST GYM")</f>
        <v>152 HEARST GYM</v>
      </c>
      <c r="H3394" t="str">
        <f>T("")</f>
        <v/>
      </c>
      <c r="I3394" t="str">
        <f>T("BERKELEY")</f>
        <v>BERKELEY</v>
      </c>
      <c r="J3394" t="str">
        <f>T("CA")</f>
        <v>CA</v>
      </c>
      <c r="K3394" t="str">
        <f>T("000000000000000000")</f>
        <v>000000000000000000</v>
      </c>
      <c r="L3394" t="str">
        <f>T("5106436346")</f>
        <v>5106436346</v>
      </c>
    </row>
    <row r="3395" spans="1:12" x14ac:dyDescent="0.35">
      <c r="A3395" t="str">
        <f>T("NROTC BERKELEY")</f>
        <v>NROTC BERKELEY</v>
      </c>
      <c r="B3395" t="str">
        <f>T("152 HEARST GYMNASIUM")</f>
        <v>152 HEARST GYMNASIUM</v>
      </c>
      <c r="C3395" t="str">
        <f>T("")</f>
        <v/>
      </c>
      <c r="D3395" t="str">
        <f>T("BERKELEY")</f>
        <v>BERKELEY</v>
      </c>
      <c r="E3395" t="str">
        <f>T("CA")</f>
        <v>CA</v>
      </c>
      <c r="F3395" t="str">
        <f>T("947203640")</f>
        <v>947203640</v>
      </c>
      <c r="G3395" t="str">
        <f>T("152 HEARST GYMNASIUM")</f>
        <v>152 HEARST GYMNASIUM</v>
      </c>
      <c r="H3395" t="str">
        <f>T("")</f>
        <v/>
      </c>
      <c r="I3395" t="str">
        <f>T("BERKELEY")</f>
        <v>BERKELEY</v>
      </c>
      <c r="J3395" t="str">
        <f>T("CA")</f>
        <v>CA</v>
      </c>
      <c r="K3395" t="str">
        <f>T("5106439731")</f>
        <v>5106439731</v>
      </c>
      <c r="L3395" t="str">
        <f>T("5106421920")</f>
        <v>5106421920</v>
      </c>
    </row>
    <row r="3396" spans="1:12" x14ac:dyDescent="0.35">
      <c r="A3396" t="str">
        <f>T("NROTC COLORADO")</f>
        <v>NROTC COLORADO</v>
      </c>
      <c r="B3396" t="str">
        <f>T("NCOTC U OF CO")</f>
        <v>NCOTC U OF CO</v>
      </c>
      <c r="C3396" t="str">
        <f>T("CAMPUS BOX 374")</f>
        <v>CAMPUS BOX 374</v>
      </c>
      <c r="D3396" t="str">
        <f>T("BOULDER")</f>
        <v>BOULDER</v>
      </c>
      <c r="E3396" t="str">
        <f>T("CO")</f>
        <v>CO</v>
      </c>
      <c r="F3396" t="str">
        <f>T("803090001")</f>
        <v>803090001</v>
      </c>
      <c r="G3396" t="str">
        <f>T("FLOSOM STADIUM GATE 6 RM 236")</f>
        <v>FLOSOM STADIUM GATE 6 RM 236</v>
      </c>
      <c r="H3396" t="str">
        <f>T("UCB 374")</f>
        <v>UCB 374</v>
      </c>
      <c r="I3396" t="str">
        <f>T("BOULDER")</f>
        <v>BOULDER</v>
      </c>
      <c r="J3396" t="str">
        <f>T("CO")</f>
        <v>CO</v>
      </c>
      <c r="K3396" t="str">
        <f>T("000000000000000000")</f>
        <v>000000000000000000</v>
      </c>
      <c r="L3396" t="str">
        <f>T("3034922577")</f>
        <v>3034922577</v>
      </c>
    </row>
    <row r="3397" spans="1:12" x14ac:dyDescent="0.35">
      <c r="A3397" t="str">
        <f>T("NROTC COLORADO")</f>
        <v>NROTC COLORADO</v>
      </c>
      <c r="B3397" t="str">
        <f>T("NCOTC U OF CO")</f>
        <v>NCOTC U OF CO</v>
      </c>
      <c r="C3397" t="str">
        <f>T("CAMPUS BOX 374")</f>
        <v>CAMPUS BOX 374</v>
      </c>
      <c r="D3397" t="str">
        <f>T("BOULDER")</f>
        <v>BOULDER</v>
      </c>
      <c r="E3397" t="str">
        <f>T("CO")</f>
        <v>CO</v>
      </c>
      <c r="F3397" t="str">
        <f>T("803090001")</f>
        <v>803090001</v>
      </c>
      <c r="G3397" t="str">
        <f>T("FLOSOM STADIUM GATE 6 RM 236")</f>
        <v>FLOSOM STADIUM GATE 6 RM 236</v>
      </c>
      <c r="H3397" t="str">
        <f>T("UCB 374")</f>
        <v>UCB 374</v>
      </c>
      <c r="I3397" t="str">
        <f>T("BOULDER")</f>
        <v>BOULDER</v>
      </c>
      <c r="J3397" t="str">
        <f>T("CO")</f>
        <v>CO</v>
      </c>
      <c r="K3397" t="str">
        <f>T("000000000000000000")</f>
        <v>000000000000000000</v>
      </c>
      <c r="L3397" t="str">
        <f>T("3034922579")</f>
        <v>3034922579</v>
      </c>
    </row>
    <row r="3398" spans="1:12" x14ac:dyDescent="0.35">
      <c r="A3398" t="str">
        <f>T("NROTC COLORADO")</f>
        <v>NROTC COLORADO</v>
      </c>
      <c r="B3398" t="str">
        <f>T("NCOTC U OF CO")</f>
        <v>NCOTC U OF CO</v>
      </c>
      <c r="C3398" t="str">
        <f>T("CAMPUS BOX 374")</f>
        <v>CAMPUS BOX 374</v>
      </c>
      <c r="D3398" t="str">
        <f>T("BOULDER")</f>
        <v>BOULDER</v>
      </c>
      <c r="E3398" t="str">
        <f>T("CO")</f>
        <v>CO</v>
      </c>
      <c r="F3398" t="str">
        <f>T("803090001")</f>
        <v>803090001</v>
      </c>
      <c r="G3398" t="str">
        <f>T("NCOTC U OF CO")</f>
        <v>NCOTC U OF CO</v>
      </c>
      <c r="H3398" t="str">
        <f>T("CAMPUS BOX 374")</f>
        <v>CAMPUS BOX 374</v>
      </c>
      <c r="I3398" t="str">
        <f>T("BOULDER")</f>
        <v>BOULDER</v>
      </c>
      <c r="J3398" t="str">
        <f>T("CO")</f>
        <v>CO</v>
      </c>
      <c r="K3398" t="str">
        <f>T("")</f>
        <v/>
      </c>
      <c r="L3398" t="str">
        <f>T("3034922576")</f>
        <v>3034922576</v>
      </c>
    </row>
    <row r="3399" spans="1:12" x14ac:dyDescent="0.35">
      <c r="A3399" t="str">
        <f>T("NROTC CHICAGO")</f>
        <v>NROTC CHICAGO</v>
      </c>
      <c r="B3399" t="str">
        <f>T("617 HAVEN STREET")</f>
        <v>617 HAVEN STREET</v>
      </c>
      <c r="C3399" t="str">
        <f t="shared" ref="C3399:C3404" si="1376">T("")</f>
        <v/>
      </c>
      <c r="D3399" t="str">
        <f>T("EVANSTON")</f>
        <v>EVANSTON</v>
      </c>
      <c r="E3399" t="str">
        <f>T("IL")</f>
        <v>IL</v>
      </c>
      <c r="F3399" t="str">
        <f>T("602084140")</f>
        <v>602084140</v>
      </c>
      <c r="G3399" t="str">
        <f>T("10 WEST 35TH STREET")</f>
        <v>10 WEST 35TH STREET</v>
      </c>
      <c r="H3399" t="str">
        <f>T("15FL RM: E8-3")</f>
        <v>15FL RM: E8-3</v>
      </c>
      <c r="I3399" t="str">
        <f>T("CHICAGO")</f>
        <v>CHICAGO</v>
      </c>
      <c r="J3399" t="str">
        <f>T("IL")</f>
        <v>IL</v>
      </c>
      <c r="K3399" t="str">
        <f>T("000000000000000000")</f>
        <v>000000000000000000</v>
      </c>
      <c r="L3399" t="str">
        <f>T("3125678969")</f>
        <v>3125678969</v>
      </c>
    </row>
    <row r="3400" spans="1:12" x14ac:dyDescent="0.35">
      <c r="A3400" t="str">
        <f>T("NROTC CHICAGO")</f>
        <v>NROTC CHICAGO</v>
      </c>
      <c r="B3400" t="str">
        <f>T("617 HAVEN STREET")</f>
        <v>617 HAVEN STREET</v>
      </c>
      <c r="C3400" t="str">
        <f t="shared" si="1376"/>
        <v/>
      </c>
      <c r="D3400" t="str">
        <f>T("EVANSTON")</f>
        <v>EVANSTON</v>
      </c>
      <c r="E3400" t="str">
        <f>T("IL")</f>
        <v>IL</v>
      </c>
      <c r="F3400" t="str">
        <f>T("602084140")</f>
        <v>602084140</v>
      </c>
      <c r="G3400" t="str">
        <f>T("617 HAVEN")</f>
        <v>617 HAVEN</v>
      </c>
      <c r="H3400" t="str">
        <f t="shared" ref="H3400:H3405" si="1377">T("")</f>
        <v/>
      </c>
      <c r="I3400" t="str">
        <f>T("EVANSTON")</f>
        <v>EVANSTON</v>
      </c>
      <c r="J3400" t="str">
        <f>T("IL")</f>
        <v>IL</v>
      </c>
      <c r="K3400" t="str">
        <f>T("000000000000000000")</f>
        <v>000000000000000000</v>
      </c>
      <c r="L3400" t="str">
        <f>T("8474912037")</f>
        <v>8474912037</v>
      </c>
    </row>
    <row r="3401" spans="1:12" x14ac:dyDescent="0.35">
      <c r="A3401" t="str">
        <f>T("NROTC CHICAGO")</f>
        <v>NROTC CHICAGO</v>
      </c>
      <c r="B3401" t="str">
        <f>T("617 HAVEN STREET")</f>
        <v>617 HAVEN STREET</v>
      </c>
      <c r="C3401" t="str">
        <f t="shared" si="1376"/>
        <v/>
      </c>
      <c r="D3401" t="str">
        <f>T("EVANSTON")</f>
        <v>EVANSTON</v>
      </c>
      <c r="E3401" t="str">
        <f>T("IL")</f>
        <v>IL</v>
      </c>
      <c r="F3401" t="str">
        <f>T("602084140")</f>
        <v>602084140</v>
      </c>
      <c r="G3401" t="str">
        <f>T("617 HAVEN STREET")</f>
        <v>617 HAVEN STREET</v>
      </c>
      <c r="H3401" t="str">
        <f t="shared" si="1377"/>
        <v/>
      </c>
      <c r="I3401" t="str">
        <f>T("EVANSTON")</f>
        <v>EVANSTON</v>
      </c>
      <c r="J3401" t="str">
        <f>T("IL")</f>
        <v>IL</v>
      </c>
      <c r="K3401" t="str">
        <f>T("")</f>
        <v/>
      </c>
      <c r="L3401" t="str">
        <f>T("8474913088")</f>
        <v>8474913088</v>
      </c>
    </row>
    <row r="3402" spans="1:12" x14ac:dyDescent="0.35">
      <c r="A3402" t="str">
        <f>T("NROTC UNIV OF MO")</f>
        <v>NROTC UNIV OF MO</v>
      </c>
      <c r="B3402" t="str">
        <f>T("105 CROWDER HALL")</f>
        <v>105 CROWDER HALL</v>
      </c>
      <c r="C3402" t="str">
        <f t="shared" si="1376"/>
        <v/>
      </c>
      <c r="D3402" t="str">
        <f>T("COLUMBIA")</f>
        <v>COLUMBIA</v>
      </c>
      <c r="E3402" t="str">
        <f>T("MO")</f>
        <v>MO</v>
      </c>
      <c r="F3402" t="str">
        <f>T("652114090")</f>
        <v>652114090</v>
      </c>
      <c r="G3402" t="str">
        <f>T("105 CRODER HALL")</f>
        <v>105 CRODER HALL</v>
      </c>
      <c r="H3402" t="str">
        <f t="shared" si="1377"/>
        <v/>
      </c>
      <c r="I3402" t="str">
        <f>T("COLUMBIA")</f>
        <v>COLUMBIA</v>
      </c>
      <c r="J3402" t="str">
        <f>T("MO")</f>
        <v>MO</v>
      </c>
      <c r="K3402" t="str">
        <f>T("000000000000000000")</f>
        <v>000000000000000000</v>
      </c>
      <c r="L3402" t="str">
        <f>T("5738826690")</f>
        <v>5738826690</v>
      </c>
    </row>
    <row r="3403" spans="1:12" x14ac:dyDescent="0.35">
      <c r="A3403" t="str">
        <f>T("NROTC UNIV OF MO")</f>
        <v>NROTC UNIV OF MO</v>
      </c>
      <c r="B3403" t="str">
        <f>T("105 CROWDER HALL")</f>
        <v>105 CROWDER HALL</v>
      </c>
      <c r="C3403" t="str">
        <f t="shared" si="1376"/>
        <v/>
      </c>
      <c r="D3403" t="str">
        <f>T("COLUMBIA")</f>
        <v>COLUMBIA</v>
      </c>
      <c r="E3403" t="str">
        <f>T("MO")</f>
        <v>MO</v>
      </c>
      <c r="F3403" t="str">
        <f>T("652114090")</f>
        <v>652114090</v>
      </c>
      <c r="G3403" t="str">
        <f>T("105 CROWDER HALL")</f>
        <v>105 CROWDER HALL</v>
      </c>
      <c r="H3403" t="str">
        <f t="shared" si="1377"/>
        <v/>
      </c>
      <c r="I3403" t="str">
        <f>T("COLUMBIA")</f>
        <v>COLUMBIA</v>
      </c>
      <c r="J3403" t="str">
        <f>T("MO")</f>
        <v>MO</v>
      </c>
      <c r="K3403" t="str">
        <f>T("000000000000000000")</f>
        <v>000000000000000000</v>
      </c>
      <c r="L3403" t="str">
        <f>T("5738826690")</f>
        <v>5738826690</v>
      </c>
    </row>
    <row r="3404" spans="1:12" x14ac:dyDescent="0.35">
      <c r="A3404" t="str">
        <f>T("NROTC UNIV OF MO")</f>
        <v>NROTC UNIV OF MO</v>
      </c>
      <c r="B3404" t="str">
        <f>T("105 CROWDER HALL")</f>
        <v>105 CROWDER HALL</v>
      </c>
      <c r="C3404" t="str">
        <f t="shared" si="1376"/>
        <v/>
      </c>
      <c r="D3404" t="str">
        <f>T("COLUMBIA")</f>
        <v>COLUMBIA</v>
      </c>
      <c r="E3404" t="str">
        <f>T("MO")</f>
        <v>MO</v>
      </c>
      <c r="F3404" t="str">
        <f>T("652114090")</f>
        <v>652114090</v>
      </c>
      <c r="G3404" t="str">
        <f>T("105 CROWDER HALL")</f>
        <v>105 CROWDER HALL</v>
      </c>
      <c r="H3404" t="str">
        <f t="shared" si="1377"/>
        <v/>
      </c>
      <c r="I3404" t="str">
        <f>T("COLUMBIA")</f>
        <v>COLUMBIA</v>
      </c>
      <c r="J3404" t="str">
        <f>T("MO")</f>
        <v>MO</v>
      </c>
      <c r="K3404" t="str">
        <f>T("5738845411")</f>
        <v>5738845411</v>
      </c>
      <c r="L3404" t="str">
        <f>T("5738826675")</f>
        <v>5738826675</v>
      </c>
    </row>
    <row r="3405" spans="1:12" x14ac:dyDescent="0.35">
      <c r="A3405" t="str">
        <f>T("NROTC OREGON STATE UNIV")</f>
        <v>NROTC OREGON STATE UNIV</v>
      </c>
      <c r="B3405" t="str">
        <f>T("NAVAL ARMORY OSU")</f>
        <v>NAVAL ARMORY OSU</v>
      </c>
      <c r="C3405" t="str">
        <f>T("OREGON STATE UNIV")</f>
        <v>OREGON STATE UNIV</v>
      </c>
      <c r="D3405" t="str">
        <f>T("CORCALLIS")</f>
        <v>CORCALLIS</v>
      </c>
      <c r="E3405" t="str">
        <f>T("OR")</f>
        <v>OR</v>
      </c>
      <c r="F3405" t="str">
        <f>T("973330000")</f>
        <v>973330000</v>
      </c>
      <c r="G3405" t="str">
        <f>T("NAVAL ARMORY")</f>
        <v>NAVAL ARMORY</v>
      </c>
      <c r="H3405" t="str">
        <f t="shared" si="1377"/>
        <v/>
      </c>
      <c r="I3405" t="str">
        <f>T("CORVALLIS")</f>
        <v>CORVALLIS</v>
      </c>
      <c r="J3405" t="str">
        <f>T("OR")</f>
        <v>OR</v>
      </c>
      <c r="K3405" t="str">
        <f>T("000000000000000000")</f>
        <v>000000000000000000</v>
      </c>
      <c r="L3405" t="str">
        <f>T("5417375619")</f>
        <v>5417375619</v>
      </c>
    </row>
    <row r="3406" spans="1:12" x14ac:dyDescent="0.35">
      <c r="A3406" t="str">
        <f>T("NROTC OREGON STATE UNIV")</f>
        <v>NROTC OREGON STATE UNIV</v>
      </c>
      <c r="B3406" t="str">
        <f>T("NAVAL ARMORY OSU")</f>
        <v>NAVAL ARMORY OSU</v>
      </c>
      <c r="C3406" t="str">
        <f>T("OREGON STATE UNIV")</f>
        <v>OREGON STATE UNIV</v>
      </c>
      <c r="D3406" t="str">
        <f>T("CORCALLIS")</f>
        <v>CORCALLIS</v>
      </c>
      <c r="E3406" t="str">
        <f>T("OR")</f>
        <v>OR</v>
      </c>
      <c r="F3406" t="str">
        <f>T("973330000")</f>
        <v>973330000</v>
      </c>
      <c r="G3406" t="str">
        <f>T("NAVAL ARMORY OSU")</f>
        <v>NAVAL ARMORY OSU</v>
      </c>
      <c r="H3406" t="str">
        <f>T("OREGON STATE UNIV")</f>
        <v>OREGON STATE UNIV</v>
      </c>
      <c r="I3406" t="str">
        <f>T("CORCALLIS")</f>
        <v>CORCALLIS</v>
      </c>
      <c r="J3406" t="str">
        <f>T("OR")</f>
        <v>OR</v>
      </c>
      <c r="K3406" t="str">
        <f>T("")</f>
        <v/>
      </c>
      <c r="L3406" t="str">
        <f>T("5417375611")</f>
        <v>5417375611</v>
      </c>
    </row>
    <row r="3407" spans="1:12" x14ac:dyDescent="0.35">
      <c r="A3407" t="str">
        <f>T("NROTC HOUSTON CONSORTIUM")</f>
        <v>NROTC HOUSTON CONSORTIUM</v>
      </c>
      <c r="B3407" t="str">
        <f>T("6100 MAIN ST MS-556")</f>
        <v>6100 MAIN ST MS-556</v>
      </c>
      <c r="C3407" t="str">
        <f>T("")</f>
        <v/>
      </c>
      <c r="D3407" t="str">
        <f>T("HOUSTON")</f>
        <v>HOUSTON</v>
      </c>
      <c r="E3407" t="str">
        <f>T("TX")</f>
        <v>TX</v>
      </c>
      <c r="F3407" t="str">
        <f>T("770051827")</f>
        <v>770051827</v>
      </c>
      <c r="G3407" t="str">
        <f>T("6100 MAIN ST MS-556")</f>
        <v>6100 MAIN ST MS-556</v>
      </c>
      <c r="H3407" t="str">
        <f>T("")</f>
        <v/>
      </c>
      <c r="I3407" t="str">
        <f>T("HOUSTON")</f>
        <v>HOUSTON</v>
      </c>
      <c r="J3407" t="str">
        <f>T("TX")</f>
        <v>TX</v>
      </c>
      <c r="K3407" t="str">
        <f>T("")</f>
        <v/>
      </c>
      <c r="L3407" t="str">
        <f>T("9362611631")</f>
        <v>9362611631</v>
      </c>
    </row>
    <row r="3408" spans="1:12" x14ac:dyDescent="0.35">
      <c r="A3408" t="str">
        <f>T("NROTC HOUSTON CONSORTIUM")</f>
        <v>NROTC HOUSTON CONSORTIUM</v>
      </c>
      <c r="B3408" t="str">
        <f>T("6100 MAIN ST MS-556")</f>
        <v>6100 MAIN ST MS-556</v>
      </c>
      <c r="C3408" t="str">
        <f>T("")</f>
        <v/>
      </c>
      <c r="D3408" t="str">
        <f>T("HOUSTON")</f>
        <v>HOUSTON</v>
      </c>
      <c r="E3408" t="str">
        <f>T("TX")</f>
        <v>TX</v>
      </c>
      <c r="F3408" t="str">
        <f>T("770051827")</f>
        <v>770051827</v>
      </c>
      <c r="G3408" t="str">
        <f>T("6100 MAIN ST MS-556")</f>
        <v>6100 MAIN ST MS-556</v>
      </c>
      <c r="H3408" t="str">
        <f>T("")</f>
        <v/>
      </c>
      <c r="I3408" t="str">
        <f>T("HOUSTON")</f>
        <v>HOUSTON</v>
      </c>
      <c r="J3408" t="str">
        <f>T("TX")</f>
        <v>TX</v>
      </c>
      <c r="K3408" t="str">
        <f>T("000000000000000000")</f>
        <v>000000000000000000</v>
      </c>
      <c r="L3408" t="str">
        <f>T("7133483932")</f>
        <v>7133483932</v>
      </c>
    </row>
    <row r="3409" spans="1:12" x14ac:dyDescent="0.35">
      <c r="A3409" t="str">
        <f>T("NROTC HOUSTON CONSORTIUM")</f>
        <v>NROTC HOUSTON CONSORTIUM</v>
      </c>
      <c r="B3409" t="str">
        <f>T("6100 MAIN ST MS-556")</f>
        <v>6100 MAIN ST MS-556</v>
      </c>
      <c r="C3409" t="str">
        <f>T("BLDG 676 ANN PRESTON DR")</f>
        <v>BLDG 676 ANN PRESTON DR</v>
      </c>
      <c r="D3409" t="str">
        <f>T("HOUSTON")</f>
        <v>HOUSTON</v>
      </c>
      <c r="E3409" t="str">
        <f>T("TX")</f>
        <v>TX</v>
      </c>
      <c r="F3409" t="str">
        <f>T("770051827")</f>
        <v>770051827</v>
      </c>
      <c r="G3409" t="str">
        <f>T("6100 MAIN ST MS-556")</f>
        <v>6100 MAIN ST MS-556</v>
      </c>
      <c r="H3409" t="str">
        <f>T("")</f>
        <v/>
      </c>
      <c r="I3409" t="str">
        <f>T("HOUSTON")</f>
        <v>HOUSTON</v>
      </c>
      <c r="J3409" t="str">
        <f>T("TX")</f>
        <v>TX</v>
      </c>
      <c r="K3409" t="str">
        <f>T("000000000000000000")</f>
        <v>000000000000000000</v>
      </c>
      <c r="L3409" t="str">
        <f>T("7133483932")</f>
        <v>7133483932</v>
      </c>
    </row>
    <row r="3410" spans="1:12" x14ac:dyDescent="0.35">
      <c r="A3410" t="str">
        <f>T("NROTC HOUSTON CONSORTIUM")</f>
        <v>NROTC HOUSTON CONSORTIUM</v>
      </c>
      <c r="B3410" t="str">
        <f>T("6100 MAIN ST MS-556")</f>
        <v>6100 MAIN ST MS-556</v>
      </c>
      <c r="C3410" t="str">
        <f>T("BLDG 676 ANN PRESTON DR")</f>
        <v>BLDG 676 ANN PRESTON DR</v>
      </c>
      <c r="D3410" t="str">
        <f>T("HOUSTON")</f>
        <v>HOUSTON</v>
      </c>
      <c r="E3410" t="str">
        <f>T("TX")</f>
        <v>TX</v>
      </c>
      <c r="F3410" t="str">
        <f>T("770051827")</f>
        <v>770051827</v>
      </c>
      <c r="G3410" t="str">
        <f>T("6100 MAIN ST MS-556")</f>
        <v>6100 MAIN ST MS-556</v>
      </c>
      <c r="H3410" t="str">
        <f>T("BLDG 676 ANN PRESTON DR")</f>
        <v>BLDG 676 ANN PRESTON DR</v>
      </c>
      <c r="I3410" t="str">
        <f>T("HOUSTON")</f>
        <v>HOUSTON</v>
      </c>
      <c r="J3410" t="str">
        <f>T("TX")</f>
        <v>TX</v>
      </c>
      <c r="K3410" t="str">
        <f>T("")</f>
        <v/>
      </c>
      <c r="L3410" t="str">
        <f>T("9362611631")</f>
        <v>9362611631</v>
      </c>
    </row>
    <row r="3411" spans="1:12" x14ac:dyDescent="0.35">
      <c r="A3411" t="str">
        <f>T("NROTC LA CONSORTIUM")</f>
        <v>NROTC LA CONSORTIUM</v>
      </c>
      <c r="B3411" t="str">
        <f>T("3560 WATT WAY")</f>
        <v>3560 WATT WAY</v>
      </c>
      <c r="C3411" t="str">
        <f>T("PED 101")</f>
        <v>PED 101</v>
      </c>
      <c r="D3411" t="str">
        <f>T("LOS ANGELES")</f>
        <v>LOS ANGELES</v>
      </c>
      <c r="E3411" t="str">
        <f>T("CA")</f>
        <v>CA</v>
      </c>
      <c r="F3411" t="str">
        <f>T("900890654")</f>
        <v>900890654</v>
      </c>
      <c r="G3411" t="str">
        <f>T("3560 WATT WAY")</f>
        <v>3560 WATT WAY</v>
      </c>
      <c r="H3411" t="str">
        <f>T("PED 101")</f>
        <v>PED 101</v>
      </c>
      <c r="I3411" t="str">
        <f>T("LOS ANGELES")</f>
        <v>LOS ANGELES</v>
      </c>
      <c r="J3411" t="str">
        <f>T("CA")</f>
        <v>CA</v>
      </c>
      <c r="K3411" t="str">
        <f>T("2137401847")</f>
        <v>2137401847</v>
      </c>
      <c r="L3411" t="str">
        <f>T("2137401878")</f>
        <v>2137401878</v>
      </c>
    </row>
    <row r="3412" spans="1:12" x14ac:dyDescent="0.35">
      <c r="A3412" t="str">
        <f>T("NROTC LA CONSORTIUM")</f>
        <v>NROTC LA CONSORTIUM</v>
      </c>
      <c r="B3412" t="str">
        <f>T("3560 WATT WAY")</f>
        <v>3560 WATT WAY</v>
      </c>
      <c r="C3412" t="str">
        <f>T("PED 101")</f>
        <v>PED 101</v>
      </c>
      <c r="D3412" t="str">
        <f>T("LOS ANGELES")</f>
        <v>LOS ANGELES</v>
      </c>
      <c r="E3412" t="str">
        <f>T("CA")</f>
        <v>CA</v>
      </c>
      <c r="F3412" t="str">
        <f>T("900890654")</f>
        <v>900890654</v>
      </c>
      <c r="G3412" t="str">
        <f>T("3560 WATT WAY PED-101")</f>
        <v>3560 WATT WAY PED-101</v>
      </c>
      <c r="H3412" t="str">
        <f>T("")</f>
        <v/>
      </c>
      <c r="I3412" t="str">
        <f>T("LOS ANGELES")</f>
        <v>LOS ANGELES</v>
      </c>
      <c r="J3412" t="str">
        <f>T("CA")</f>
        <v>CA</v>
      </c>
      <c r="K3412" t="str">
        <f>T("000000000000000000")</f>
        <v>000000000000000000</v>
      </c>
      <c r="L3412" t="str">
        <f>T("2137401868")</f>
        <v>2137401868</v>
      </c>
    </row>
    <row r="3413" spans="1:12" x14ac:dyDescent="0.35">
      <c r="A3413" t="str">
        <f>T("NROTC LA CONSORTIUM")</f>
        <v>NROTC LA CONSORTIUM</v>
      </c>
      <c r="B3413" t="str">
        <f>T("3560 WATT WAY")</f>
        <v>3560 WATT WAY</v>
      </c>
      <c r="C3413" t="str">
        <f>T("PED 101")</f>
        <v>PED 101</v>
      </c>
      <c r="D3413" t="str">
        <f>T("LOS ANGELES")</f>
        <v>LOS ANGELES</v>
      </c>
      <c r="E3413" t="str">
        <f>T("CA")</f>
        <v>CA</v>
      </c>
      <c r="F3413" t="str">
        <f>T("900890654")</f>
        <v>900890654</v>
      </c>
      <c r="G3413" t="str">
        <f>T("3560 WATT WAY PED101")</f>
        <v>3560 WATT WAY PED101</v>
      </c>
      <c r="H3413" t="str">
        <f>T("")</f>
        <v/>
      </c>
      <c r="I3413" t="str">
        <f>T("LOS ANGELES")</f>
        <v>LOS ANGELES</v>
      </c>
      <c r="J3413" t="str">
        <f>T("CA")</f>
        <v>CA</v>
      </c>
      <c r="K3413" t="str">
        <f>T("000000000000000000")</f>
        <v>000000000000000000</v>
      </c>
      <c r="L3413" t="str">
        <f>T("2137401878")</f>
        <v>2137401878</v>
      </c>
    </row>
    <row r="3414" spans="1:12" x14ac:dyDescent="0.35">
      <c r="A3414" t="str">
        <f>T("NROTC LA CONSORTIUM")</f>
        <v>NROTC LA CONSORTIUM</v>
      </c>
      <c r="B3414" t="str">
        <f>T("3560 WATT WAY")</f>
        <v>3560 WATT WAY</v>
      </c>
      <c r="C3414" t="str">
        <f>T("PED-101")</f>
        <v>PED-101</v>
      </c>
      <c r="D3414" t="str">
        <f>T("LOS ANGELES")</f>
        <v>LOS ANGELES</v>
      </c>
      <c r="E3414" t="str">
        <f>T("CA")</f>
        <v>CA</v>
      </c>
      <c r="F3414" t="str">
        <f>T("900890654")</f>
        <v>900890654</v>
      </c>
      <c r="G3414" t="str">
        <f>T("3560 WATT WAY")</f>
        <v>3560 WATT WAY</v>
      </c>
      <c r="H3414" t="str">
        <f>T("PED-101")</f>
        <v>PED-101</v>
      </c>
      <c r="I3414" t="str">
        <f>T("LOS ANGELES")</f>
        <v>LOS ANGELES</v>
      </c>
      <c r="J3414" t="str">
        <f>T("CA")</f>
        <v>CA</v>
      </c>
      <c r="K3414" t="str">
        <f>T("2137401847")</f>
        <v>2137401847</v>
      </c>
      <c r="L3414" t="str">
        <f>T("2137401878")</f>
        <v>2137401878</v>
      </c>
    </row>
    <row r="3415" spans="1:12" x14ac:dyDescent="0.35">
      <c r="A3415" t="str">
        <f>T("NROTC LA CONSORTIUM")</f>
        <v>NROTC LA CONSORTIUM</v>
      </c>
      <c r="B3415" t="str">
        <f>T("3560 WATT WAY")</f>
        <v>3560 WATT WAY</v>
      </c>
      <c r="C3415" t="str">
        <f>T("PED-101")</f>
        <v>PED-101</v>
      </c>
      <c r="D3415" t="str">
        <f>T("LOS ANGELES")</f>
        <v>LOS ANGELES</v>
      </c>
      <c r="E3415" t="str">
        <f>T("CA")</f>
        <v>CA</v>
      </c>
      <c r="F3415" t="str">
        <f>T("900890654")</f>
        <v>900890654</v>
      </c>
      <c r="G3415" t="str">
        <f>T("NROTC LOS ANGELES")</f>
        <v>NROTC LOS ANGELES</v>
      </c>
      <c r="H3415" t="str">
        <f>T("3560 WATT WAY PED 101")</f>
        <v>3560 WATT WAY PED 101</v>
      </c>
      <c r="I3415" t="str">
        <f>T("LOS ANGELES")</f>
        <v>LOS ANGELES</v>
      </c>
      <c r="J3415" t="str">
        <f>T("CA")</f>
        <v>CA</v>
      </c>
      <c r="K3415" t="str">
        <f>T("000000000000000000")</f>
        <v>000000000000000000</v>
      </c>
      <c r="L3415" t="str">
        <f>T("2137401868")</f>
        <v>2137401868</v>
      </c>
    </row>
    <row r="3416" spans="1:12" x14ac:dyDescent="0.35">
      <c r="A3416" t="str">
        <f>T("NROTC UNIV OF KS")</f>
        <v>NROTC UNIV OF KS</v>
      </c>
      <c r="B3416" t="str">
        <f>T("1520 SUMMERFIELD HALL DR")</f>
        <v>1520 SUMMERFIELD HALL DR</v>
      </c>
      <c r="C3416" t="str">
        <f>T("RM 115")</f>
        <v>RM 115</v>
      </c>
      <c r="D3416" t="str">
        <f>T("LAWRENCE")</f>
        <v>LAWRENCE</v>
      </c>
      <c r="E3416" t="str">
        <f>T("KS")</f>
        <v>KS</v>
      </c>
      <c r="F3416" t="str">
        <f>T("660457554")</f>
        <v>660457554</v>
      </c>
      <c r="G3416" t="str">
        <f>T("1520 SUMMERFIELD HALL DR")</f>
        <v>1520 SUMMERFIELD HALL DR</v>
      </c>
      <c r="H3416" t="str">
        <f>T("RM 115")</f>
        <v>RM 115</v>
      </c>
      <c r="I3416" t="str">
        <f>T("LAWRENCE")</f>
        <v>LAWRENCE</v>
      </c>
      <c r="J3416" t="str">
        <f>T("KS")</f>
        <v>KS</v>
      </c>
      <c r="K3416" t="str">
        <f>T("")</f>
        <v/>
      </c>
      <c r="L3416" t="str">
        <f>T("7858641194")</f>
        <v>7858641194</v>
      </c>
    </row>
    <row r="3417" spans="1:12" x14ac:dyDescent="0.35">
      <c r="A3417" t="str">
        <f>T("NROTC UNIV OF KS")</f>
        <v>NROTC UNIV OF KS</v>
      </c>
      <c r="B3417" t="str">
        <f>T("1520 SUMMERFIELD HALL DR")</f>
        <v>1520 SUMMERFIELD HALL DR</v>
      </c>
      <c r="C3417" t="str">
        <f>T("RM 115")</f>
        <v>RM 115</v>
      </c>
      <c r="D3417" t="str">
        <f>T("LAWRENCE")</f>
        <v>LAWRENCE</v>
      </c>
      <c r="E3417" t="str">
        <f>T("KS")</f>
        <v>KS</v>
      </c>
      <c r="F3417" t="str">
        <f>T("660457554")</f>
        <v>660457554</v>
      </c>
      <c r="G3417" t="str">
        <f>T("1520 SUMMERFIELD HALL DR")</f>
        <v>1520 SUMMERFIELD HALL DR</v>
      </c>
      <c r="H3417" t="str">
        <f>T("RM 115")</f>
        <v>RM 115</v>
      </c>
      <c r="I3417" t="str">
        <f>T("LAWRENCE")</f>
        <v>LAWRENCE</v>
      </c>
      <c r="J3417" t="str">
        <f>T("KS")</f>
        <v>KS</v>
      </c>
      <c r="K3417" t="str">
        <f>T("7858643144")</f>
        <v>7858643144</v>
      </c>
      <c r="L3417" t="str">
        <f>T("7858641194")</f>
        <v>7858641194</v>
      </c>
    </row>
    <row r="3418" spans="1:12" x14ac:dyDescent="0.35">
      <c r="A3418" t="str">
        <f>T("NROTC UNIV OF KS")</f>
        <v>NROTC UNIV OF KS</v>
      </c>
      <c r="B3418" t="str">
        <f>T("1520 SUMMERFIELD HALL DR")</f>
        <v>1520 SUMMERFIELD HALL DR</v>
      </c>
      <c r="C3418" t="str">
        <f>T("RM 115")</f>
        <v>RM 115</v>
      </c>
      <c r="D3418" t="str">
        <f>T("LAWRENCE")</f>
        <v>LAWRENCE</v>
      </c>
      <c r="E3418" t="str">
        <f>T("KS")</f>
        <v>KS</v>
      </c>
      <c r="F3418" t="str">
        <f>T("660457554")</f>
        <v>660457554</v>
      </c>
      <c r="G3418" t="str">
        <f>T("1520 SUMMERFIELD HALL DR")</f>
        <v>1520 SUMMERFIELD HALL DR</v>
      </c>
      <c r="H3418" t="str">
        <f>T("RM 18")</f>
        <v>RM 18</v>
      </c>
      <c r="I3418" t="str">
        <f>T("LAWRENCE")</f>
        <v>LAWRENCE</v>
      </c>
      <c r="J3418" t="str">
        <f>T("KS")</f>
        <v>KS</v>
      </c>
      <c r="K3418" t="str">
        <f>T("000000000000000000")</f>
        <v>000000000000000000</v>
      </c>
      <c r="L3418" t="str">
        <f>T("7858641192")</f>
        <v>7858641192</v>
      </c>
    </row>
    <row r="3419" spans="1:12" x14ac:dyDescent="0.35">
      <c r="A3419" t="str">
        <f>T("NROTC UNIV OF KS")</f>
        <v>NROTC UNIV OF KS</v>
      </c>
      <c r="B3419" t="str">
        <f>T("1520 SUMMERFIELD HALL DR")</f>
        <v>1520 SUMMERFIELD HALL DR</v>
      </c>
      <c r="C3419" t="str">
        <f>T("RM 115")</f>
        <v>RM 115</v>
      </c>
      <c r="D3419" t="str">
        <f>T("LAWRENCE")</f>
        <v>LAWRENCE</v>
      </c>
      <c r="E3419" t="str">
        <f>T("KS")</f>
        <v>KS</v>
      </c>
      <c r="F3419" t="str">
        <f>T("660457554")</f>
        <v>660457554</v>
      </c>
      <c r="G3419" t="str">
        <f>T("1520 SUMMERFIELD HALL DR")</f>
        <v>1520 SUMMERFIELD HALL DR</v>
      </c>
      <c r="H3419" t="str">
        <f>T("RM 18")</f>
        <v>RM 18</v>
      </c>
      <c r="I3419" t="str">
        <f>T("LAWRENCE")</f>
        <v>LAWRENCE</v>
      </c>
      <c r="J3419" t="str">
        <f>T("KS")</f>
        <v>KS</v>
      </c>
      <c r="K3419" t="str">
        <f>T("000000000000000000")</f>
        <v>000000000000000000</v>
      </c>
      <c r="L3419" t="str">
        <f>T("7858641193")</f>
        <v>7858641193</v>
      </c>
    </row>
    <row r="3420" spans="1:12" x14ac:dyDescent="0.35">
      <c r="A3420" t="str">
        <f>T("NROTC UNIV OF NEBRASKA")</f>
        <v>NROTC UNIV OF NEBRASKA</v>
      </c>
      <c r="B3420" t="str">
        <f>T("103 M &amp; N BLDG UNL")</f>
        <v>103 M &amp; N BLDG UNL</v>
      </c>
      <c r="C3420" t="str">
        <f>T("PO BOX 880139")</f>
        <v>PO BOX 880139</v>
      </c>
      <c r="D3420" t="str">
        <f>T("LINCOLN")</f>
        <v>LINCOLN</v>
      </c>
      <c r="E3420" t="str">
        <f>T("NE")</f>
        <v>NE</v>
      </c>
      <c r="F3420" t="str">
        <f>T("685880139")</f>
        <v>685880139</v>
      </c>
      <c r="G3420" t="str">
        <f>T("103 J J PERSHING BLDG")</f>
        <v>103 J J PERSHING BLDG</v>
      </c>
      <c r="H3420" t="str">
        <f>T("UNIV OF NEBRASKA-LINCOLN")</f>
        <v>UNIV OF NEBRASKA-LINCOLN</v>
      </c>
      <c r="I3420" t="str">
        <f>T("LINCOLN")</f>
        <v>LINCOLN</v>
      </c>
      <c r="J3420" t="str">
        <f>T("NE")</f>
        <v>NE</v>
      </c>
      <c r="K3420" t="str">
        <f>T("4024727700")</f>
        <v>4024727700</v>
      </c>
      <c r="L3420" t="str">
        <f>T("4024724447")</f>
        <v>4024724447</v>
      </c>
    </row>
    <row r="3421" spans="1:12" x14ac:dyDescent="0.35">
      <c r="A3421" t="str">
        <f>T("NROTC UNIV OF NEBRASKA")</f>
        <v>NROTC UNIV OF NEBRASKA</v>
      </c>
      <c r="B3421" t="str">
        <f>T("103 M &amp; N BLDG UNL")</f>
        <v>103 M &amp; N BLDG UNL</v>
      </c>
      <c r="C3421" t="str">
        <f>T("PO BOX 880139")</f>
        <v>PO BOX 880139</v>
      </c>
      <c r="D3421" t="str">
        <f>T("LINCOLN")</f>
        <v>LINCOLN</v>
      </c>
      <c r="E3421" t="str">
        <f>T("NE")</f>
        <v>NE</v>
      </c>
      <c r="F3421" t="str">
        <f>T("685880139")</f>
        <v>685880139</v>
      </c>
      <c r="G3421" t="str">
        <f>T("103 M &amp; N BLDG UNL")</f>
        <v>103 M &amp; N BLDG UNL</v>
      </c>
      <c r="H3421" t="str">
        <f>T("PO BOX 880139")</f>
        <v>PO BOX 880139</v>
      </c>
      <c r="I3421" t="str">
        <f>T("LINCOLN")</f>
        <v>LINCOLN</v>
      </c>
      <c r="J3421" t="str">
        <f>T("NE")</f>
        <v>NE</v>
      </c>
      <c r="K3421" t="str">
        <f>T("4024727700")</f>
        <v>4024727700</v>
      </c>
      <c r="L3421" t="str">
        <f>T("4024724449")</f>
        <v>4024724449</v>
      </c>
    </row>
    <row r="3422" spans="1:12" x14ac:dyDescent="0.35">
      <c r="A3422" t="str">
        <f>T("NROTC UNIV OF NEBRASKA")</f>
        <v>NROTC UNIV OF NEBRASKA</v>
      </c>
      <c r="B3422" t="str">
        <f>T("103 M&amp;N BUILDING UNL")</f>
        <v>103 M&amp;N BUILDING UNL</v>
      </c>
      <c r="C3422" t="str">
        <f>T("PO BOX 880139")</f>
        <v>PO BOX 880139</v>
      </c>
      <c r="D3422" t="str">
        <f>T("LINCOLN")</f>
        <v>LINCOLN</v>
      </c>
      <c r="E3422" t="str">
        <f>T("NE")</f>
        <v>NE</v>
      </c>
      <c r="F3422" t="str">
        <f>T("685880139")</f>
        <v>685880139</v>
      </c>
      <c r="G3422" t="str">
        <f>T("103 JJ PERSHING BLDG")</f>
        <v>103 JJ PERSHING BLDG</v>
      </c>
      <c r="H3422" t="str">
        <f>T("UNIVERSITY OF NEBRASKA-LINCOLN")</f>
        <v>UNIVERSITY OF NEBRASKA-LINCOLN</v>
      </c>
      <c r="I3422" t="str">
        <f>T("LINCOLN")</f>
        <v>LINCOLN</v>
      </c>
      <c r="J3422" t="str">
        <f>T("NE")</f>
        <v>NE</v>
      </c>
      <c r="K3422" t="str">
        <f>T("4024727700")</f>
        <v>4024727700</v>
      </c>
      <c r="L3422" t="str">
        <f>T("4024724447")</f>
        <v>4024724447</v>
      </c>
    </row>
    <row r="3423" spans="1:12" x14ac:dyDescent="0.35">
      <c r="A3423" t="str">
        <f>T("NROTC UNIV OF NEBRASKA")</f>
        <v>NROTC UNIV OF NEBRASKA</v>
      </c>
      <c r="B3423" t="str">
        <f>T("103 M&amp;N BUILDING UNL")</f>
        <v>103 M&amp;N BUILDING UNL</v>
      </c>
      <c r="C3423" t="str">
        <f>T("PO BOX 880139")</f>
        <v>PO BOX 880139</v>
      </c>
      <c r="D3423" t="str">
        <f>T("LINCOLN")</f>
        <v>LINCOLN</v>
      </c>
      <c r="E3423" t="str">
        <f>T("NE")</f>
        <v>NE</v>
      </c>
      <c r="F3423" t="str">
        <f>T("685880139")</f>
        <v>685880139</v>
      </c>
      <c r="G3423" t="str">
        <f>T("103 M&amp;N BUILDING UNL")</f>
        <v>103 M&amp;N BUILDING UNL</v>
      </c>
      <c r="H3423" t="str">
        <f>T("PO BOX 880139")</f>
        <v>PO BOX 880139</v>
      </c>
      <c r="I3423" t="str">
        <f>T("LINCOLN")</f>
        <v>LINCOLN</v>
      </c>
      <c r="J3423" t="str">
        <f>T("NE")</f>
        <v>NE</v>
      </c>
      <c r="K3423" t="str">
        <f>T("4024727700")</f>
        <v>4024727700</v>
      </c>
      <c r="L3423" t="str">
        <f>T("4024724449")</f>
        <v>4024724449</v>
      </c>
    </row>
    <row r="3424" spans="1:12" x14ac:dyDescent="0.35">
      <c r="A3424" t="str">
        <f>T("NROTC WISCONSIN")</f>
        <v>NROTC WISCONSIN</v>
      </c>
      <c r="B3424" t="str">
        <f>T("1610 UNIV AVE")</f>
        <v>1610 UNIV AVE</v>
      </c>
      <c r="C3424" t="str">
        <f>T("NROTC UNIV OF WISCONSIN")</f>
        <v>NROTC UNIV OF WISCONSIN</v>
      </c>
      <c r="D3424" t="str">
        <f>T("MADISON")</f>
        <v>MADISON</v>
      </c>
      <c r="E3424" t="str">
        <f t="shared" ref="E3424:E3429" si="1378">T("WI")</f>
        <v>WI</v>
      </c>
      <c r="F3424" t="str">
        <f>T("537264086")</f>
        <v>537264086</v>
      </c>
      <c r="G3424" t="str">
        <f>T("1610 UNIV AVE")</f>
        <v>1610 UNIV AVE</v>
      </c>
      <c r="H3424" t="str">
        <f>T("NROTC UNIV OF WISCONSIN")</f>
        <v>NROTC UNIV OF WISCONSIN</v>
      </c>
      <c r="I3424" t="str">
        <f>T("MADISON")</f>
        <v>MADISON</v>
      </c>
      <c r="J3424" t="str">
        <f t="shared" ref="J3424:J3429" si="1379">T("WI")</f>
        <v>WI</v>
      </c>
      <c r="K3424" t="str">
        <f>T("000000000000000000")</f>
        <v>000000000000000000</v>
      </c>
      <c r="L3424" t="str">
        <f>T("6082623297")</f>
        <v>6082623297</v>
      </c>
    </row>
    <row r="3425" spans="1:12" x14ac:dyDescent="0.35">
      <c r="A3425" t="str">
        <f>T("NROTC WISCONSIN")</f>
        <v>NROTC WISCONSIN</v>
      </c>
      <c r="B3425" t="str">
        <f>T("1610 UNIV AVE")</f>
        <v>1610 UNIV AVE</v>
      </c>
      <c r="C3425" t="str">
        <f>T("NROTC UNIV OF WISCONSIN")</f>
        <v>NROTC UNIV OF WISCONSIN</v>
      </c>
      <c r="D3425" t="str">
        <f>T("MADISON")</f>
        <v>MADISON</v>
      </c>
      <c r="E3425" t="str">
        <f t="shared" si="1378"/>
        <v>WI</v>
      </c>
      <c r="F3425" t="str">
        <f>T("537264086")</f>
        <v>537264086</v>
      </c>
      <c r="G3425" t="str">
        <f>T("1610 UNIV AVE")</f>
        <v>1610 UNIV AVE</v>
      </c>
      <c r="H3425" t="str">
        <f>T("NROTC UNIV OF WISCONSIN")</f>
        <v>NROTC UNIV OF WISCONSIN</v>
      </c>
      <c r="I3425" t="str">
        <f>T("MADISON")</f>
        <v>MADISON</v>
      </c>
      <c r="J3425" t="str">
        <f t="shared" si="1379"/>
        <v>WI</v>
      </c>
      <c r="K3425" t="str">
        <f>T("000000000000000000")</f>
        <v>000000000000000000</v>
      </c>
      <c r="L3425" t="str">
        <f>T("6082629255")</f>
        <v>6082629255</v>
      </c>
    </row>
    <row r="3426" spans="1:12" x14ac:dyDescent="0.35">
      <c r="A3426" t="str">
        <f>T("NROTC WISCONSIN")</f>
        <v>NROTC WISCONSIN</v>
      </c>
      <c r="B3426" t="str">
        <f>T("1610 UNIV AVE")</f>
        <v>1610 UNIV AVE</v>
      </c>
      <c r="C3426" t="str">
        <f>T("NROTC UNIV OF WISCONSIN")</f>
        <v>NROTC UNIV OF WISCONSIN</v>
      </c>
      <c r="D3426" t="str">
        <f>T("MADISON")</f>
        <v>MADISON</v>
      </c>
      <c r="E3426" t="str">
        <f t="shared" si="1378"/>
        <v>WI</v>
      </c>
      <c r="F3426" t="str">
        <f>T("537264086")</f>
        <v>537264086</v>
      </c>
      <c r="G3426" t="str">
        <f>T("1610 UNIV AVE")</f>
        <v>1610 UNIV AVE</v>
      </c>
      <c r="H3426" t="str">
        <f>T("NROTC UNIV OF WISCONSIN")</f>
        <v>NROTC UNIV OF WISCONSIN</v>
      </c>
      <c r="I3426" t="str">
        <f>T("MADISON")</f>
        <v>MADISON</v>
      </c>
      <c r="J3426" t="str">
        <f t="shared" si="1379"/>
        <v>WI</v>
      </c>
      <c r="K3426" t="str">
        <f>T("6082629358")</f>
        <v>6082629358</v>
      </c>
      <c r="L3426" t="str">
        <f>T("6082623794")</f>
        <v>6082623794</v>
      </c>
    </row>
    <row r="3427" spans="1:12" x14ac:dyDescent="0.35">
      <c r="A3427" t="str">
        <f>T("NROTC WISCONSIN")</f>
        <v>NROTC WISCONSIN</v>
      </c>
      <c r="B3427" t="str">
        <f>T("1610 UNIV AVE")</f>
        <v>1610 UNIV AVE</v>
      </c>
      <c r="C3427" t="str">
        <f>T("NROTC UNIV OF WISONSIN")</f>
        <v>NROTC UNIV OF WISONSIN</v>
      </c>
      <c r="D3427" t="str">
        <f>T("MADISON")</f>
        <v>MADISON</v>
      </c>
      <c r="E3427" t="str">
        <f t="shared" si="1378"/>
        <v>WI</v>
      </c>
      <c r="F3427" t="str">
        <f>T("537264086")</f>
        <v>537264086</v>
      </c>
      <c r="G3427" t="str">
        <f>T("1610 UNIV AVE")</f>
        <v>1610 UNIV AVE</v>
      </c>
      <c r="H3427" t="str">
        <f>T("NROTC UNIV OF WISONSIN")</f>
        <v>NROTC UNIV OF WISONSIN</v>
      </c>
      <c r="I3427" t="str">
        <f>T("MADISON")</f>
        <v>MADISON</v>
      </c>
      <c r="J3427" t="str">
        <f t="shared" si="1379"/>
        <v>WI</v>
      </c>
      <c r="K3427" t="str">
        <f>T("")</f>
        <v/>
      </c>
      <c r="L3427" t="str">
        <f>T("6082623358")</f>
        <v>6082623358</v>
      </c>
    </row>
    <row r="3428" spans="1:12" x14ac:dyDescent="0.35">
      <c r="A3428" t="str">
        <f>T("NROTC MARQUETTE UNIV")</f>
        <v>NROTC MARQUETTE UNIV</v>
      </c>
      <c r="B3428" t="str">
        <f>T("1532 WEST CLYBOURN STREET")</f>
        <v>1532 WEST CLYBOURN STREET</v>
      </c>
      <c r="C3428" t="str">
        <f>T("")</f>
        <v/>
      </c>
      <c r="D3428" t="str">
        <f>T("MILWAUKEE")</f>
        <v>MILWAUKEE</v>
      </c>
      <c r="E3428" t="str">
        <f t="shared" si="1378"/>
        <v>WI</v>
      </c>
      <c r="F3428" t="str">
        <f>T("532332202")</f>
        <v>532332202</v>
      </c>
      <c r="G3428" t="str">
        <f>T("1532 W CLYBOURNE ST")</f>
        <v>1532 W CLYBOURNE ST</v>
      </c>
      <c r="H3428" t="str">
        <f>T("RM N106")</f>
        <v>RM N106</v>
      </c>
      <c r="I3428" t="str">
        <f>T("MILWAUKEE")</f>
        <v>MILWAUKEE</v>
      </c>
      <c r="J3428" t="str">
        <f t="shared" si="1379"/>
        <v>WI</v>
      </c>
      <c r="K3428" t="str">
        <f>T("000000000000000000")</f>
        <v>000000000000000000</v>
      </c>
      <c r="L3428" t="str">
        <f>T("4142887052")</f>
        <v>4142887052</v>
      </c>
    </row>
    <row r="3429" spans="1:12" x14ac:dyDescent="0.35">
      <c r="A3429" t="str">
        <f>T("NROTC MARQUETTE UNIV")</f>
        <v>NROTC MARQUETTE UNIV</v>
      </c>
      <c r="B3429" t="str">
        <f>T("1532 WEST CLYBOURN STREET")</f>
        <v>1532 WEST CLYBOURN STREET</v>
      </c>
      <c r="C3429" t="str">
        <f>T("")</f>
        <v/>
      </c>
      <c r="D3429" t="str">
        <f>T("MILWAUKEE")</f>
        <v>MILWAUKEE</v>
      </c>
      <c r="E3429" t="str">
        <f t="shared" si="1378"/>
        <v>WI</v>
      </c>
      <c r="F3429" t="str">
        <f>T("532332202")</f>
        <v>532332202</v>
      </c>
      <c r="G3429" t="str">
        <f>T("1532 WEST CLYBOURN STREET")</f>
        <v>1532 WEST CLYBOURN STREET</v>
      </c>
      <c r="H3429" t="str">
        <f>T("")</f>
        <v/>
      </c>
      <c r="I3429" t="str">
        <f>T("MILWAUKEE")</f>
        <v>MILWAUKEE</v>
      </c>
      <c r="J3429" t="str">
        <f t="shared" si="1379"/>
        <v>WI</v>
      </c>
      <c r="K3429" t="str">
        <f>T("4142887078")</f>
        <v>4142887078</v>
      </c>
      <c r="L3429" t="str">
        <f>T("4142886032")</f>
        <v>4142886032</v>
      </c>
    </row>
    <row r="3430" spans="1:12" x14ac:dyDescent="0.35">
      <c r="A3430" t="str">
        <f>T("NROTC UNIV OF MN")</f>
        <v>NROTC UNIV OF MN</v>
      </c>
      <c r="B3430" t="str">
        <f>T("203 ARMORY BLDG")</f>
        <v>203 ARMORY BLDG</v>
      </c>
      <c r="C3430" t="str">
        <f>T("15 CHURCH ST SE")</f>
        <v>15 CHURCH ST SE</v>
      </c>
      <c r="D3430" t="str">
        <f>T("MINNEAPOLIS")</f>
        <v>MINNEAPOLIS</v>
      </c>
      <c r="E3430" t="str">
        <f>T("MN")</f>
        <v>MN</v>
      </c>
      <c r="F3430" t="str">
        <f>T("554550137")</f>
        <v>554550137</v>
      </c>
      <c r="G3430" t="str">
        <f>T("203 ARMORY BLDG")</f>
        <v>203 ARMORY BLDG</v>
      </c>
      <c r="H3430" t="str">
        <f>T("15 CHURCH ST SE")</f>
        <v>15 CHURCH ST SE</v>
      </c>
      <c r="I3430" t="str">
        <f>T("MINNEAPOLIS")</f>
        <v>MINNEAPOLIS</v>
      </c>
      <c r="J3430" t="str">
        <f>T("MN")</f>
        <v>MN</v>
      </c>
      <c r="K3430" t="str">
        <f>T("")</f>
        <v/>
      </c>
      <c r="L3430" t="str">
        <f>T("6126255287")</f>
        <v>6126255287</v>
      </c>
    </row>
    <row r="3431" spans="1:12" x14ac:dyDescent="0.35">
      <c r="A3431" t="str">
        <f>T("NROTC UNIV OF MN")</f>
        <v>NROTC UNIV OF MN</v>
      </c>
      <c r="B3431" t="str">
        <f>T("203 ARMORY BLDG")</f>
        <v>203 ARMORY BLDG</v>
      </c>
      <c r="C3431" t="str">
        <f>T("15 CHURCH ST SE")</f>
        <v>15 CHURCH ST SE</v>
      </c>
      <c r="D3431" t="str">
        <f>T("MINNEAPOLIS")</f>
        <v>MINNEAPOLIS</v>
      </c>
      <c r="E3431" t="str">
        <f>T("MN")</f>
        <v>MN</v>
      </c>
      <c r="F3431" t="str">
        <f>T("554550137")</f>
        <v>554550137</v>
      </c>
      <c r="G3431" t="str">
        <f>T("203 ARMORY BLDG")</f>
        <v>203 ARMORY BLDG</v>
      </c>
      <c r="H3431" t="str">
        <f>T("15 CHURCH ST SE")</f>
        <v>15 CHURCH ST SE</v>
      </c>
      <c r="I3431" t="str">
        <f>T("MINNEAPOLIS")</f>
        <v>MINNEAPOLIS</v>
      </c>
      <c r="J3431" t="str">
        <f>T("MN")</f>
        <v>MN</v>
      </c>
      <c r="K3431" t="str">
        <f>T("000000000000000000")</f>
        <v>000000000000000000</v>
      </c>
      <c r="L3431" t="str">
        <f>T("6126252347")</f>
        <v>6126252347</v>
      </c>
    </row>
    <row r="3432" spans="1:12" x14ac:dyDescent="0.35">
      <c r="A3432" t="str">
        <f>T("NROTC UNIV OF MN")</f>
        <v>NROTC UNIV OF MN</v>
      </c>
      <c r="B3432" t="str">
        <f>T("203 ARMORY BLDG")</f>
        <v>203 ARMORY BLDG</v>
      </c>
      <c r="C3432" t="str">
        <f>T("15 CHURCH ST SE")</f>
        <v>15 CHURCH ST SE</v>
      </c>
      <c r="D3432" t="str">
        <f>T("MINNEAPOLIS")</f>
        <v>MINNEAPOLIS</v>
      </c>
      <c r="E3432" t="str">
        <f>T("MN")</f>
        <v>MN</v>
      </c>
      <c r="F3432" t="str">
        <f>T("554550137")</f>
        <v>554550137</v>
      </c>
      <c r="G3432" t="str">
        <f>T("203 ARMORY BLDG")</f>
        <v>203 ARMORY BLDG</v>
      </c>
      <c r="H3432" t="str">
        <f>T("15 CHURCH ST SE")</f>
        <v>15 CHURCH ST SE</v>
      </c>
      <c r="I3432" t="str">
        <f>T("MINNEAPOLIS")</f>
        <v>MINNEAPOLIS</v>
      </c>
      <c r="J3432" t="str">
        <f>T("MN")</f>
        <v>MN</v>
      </c>
      <c r="K3432" t="str">
        <f>T("6126245030")</f>
        <v>6126245030</v>
      </c>
      <c r="L3432" t="str">
        <f>T("6126255287")</f>
        <v>6126255287</v>
      </c>
    </row>
    <row r="3433" spans="1:12" x14ac:dyDescent="0.35">
      <c r="A3433" t="str">
        <f>T("NROTC UNIV OF IDAHO")</f>
        <v>NROTC UNIV OF IDAHO</v>
      </c>
      <c r="B3433" t="str">
        <f>T("MS 3236")</f>
        <v>MS 3236</v>
      </c>
      <c r="C3433" t="str">
        <f>T("1212 BLAKE AVE")</f>
        <v>1212 BLAKE AVE</v>
      </c>
      <c r="D3433" t="str">
        <f>T("MOSCOW")</f>
        <v>MOSCOW</v>
      </c>
      <c r="E3433" t="str">
        <f>T("ID")</f>
        <v>ID</v>
      </c>
      <c r="F3433" t="str">
        <f>T("838441122")</f>
        <v>838441122</v>
      </c>
      <c r="G3433" t="str">
        <f>T("685 S LINE ST")</f>
        <v>685 S LINE ST</v>
      </c>
      <c r="H3433" t="str">
        <f>T("")</f>
        <v/>
      </c>
      <c r="I3433" t="str">
        <f>T("MOSCOW")</f>
        <v>MOSCOW</v>
      </c>
      <c r="J3433" t="str">
        <f>T("ID")</f>
        <v>ID</v>
      </c>
      <c r="K3433" t="str">
        <f>T("2088856339")</f>
        <v>2088856339</v>
      </c>
      <c r="L3433" t="str">
        <f>T("2088852175")</f>
        <v>2088852175</v>
      </c>
    </row>
    <row r="3434" spans="1:12" x14ac:dyDescent="0.35">
      <c r="A3434" t="str">
        <f>T("NROTC UNIV OF IDAHO")</f>
        <v>NROTC UNIV OF IDAHO</v>
      </c>
      <c r="B3434" t="str">
        <f>T("MS 3236")</f>
        <v>MS 3236</v>
      </c>
      <c r="C3434" t="str">
        <f>T("1212 BLAKE AVE")</f>
        <v>1212 BLAKE AVE</v>
      </c>
      <c r="D3434" t="str">
        <f>T("MOSCOW")</f>
        <v>MOSCOW</v>
      </c>
      <c r="E3434" t="str">
        <f>T("ID")</f>
        <v>ID</v>
      </c>
      <c r="F3434" t="str">
        <f>T("838441122")</f>
        <v>838441122</v>
      </c>
      <c r="G3434" t="str">
        <f>T("MS 3236")</f>
        <v>MS 3236</v>
      </c>
      <c r="H3434" t="str">
        <f>T("1212 BLAKE AVE")</f>
        <v>1212 BLAKE AVE</v>
      </c>
      <c r="I3434" t="str">
        <f>T("MOSCOW")</f>
        <v>MOSCOW</v>
      </c>
      <c r="J3434" t="str">
        <f>T("ID")</f>
        <v>ID</v>
      </c>
      <c r="K3434" t="str">
        <f>T("2088856339")</f>
        <v>2088856339</v>
      </c>
      <c r="L3434" t="str">
        <f>T("2088852174")</f>
        <v>2088852174</v>
      </c>
    </row>
    <row r="3435" spans="1:12" x14ac:dyDescent="0.35">
      <c r="A3435" t="str">
        <f>T("NROTC UNIV OF IDAHO")</f>
        <v>NROTC UNIV OF IDAHO</v>
      </c>
      <c r="B3435" t="str">
        <f>T("MS 3236")</f>
        <v>MS 3236</v>
      </c>
      <c r="C3435" t="str">
        <f>T("1212 BLAKE AVE")</f>
        <v>1212 BLAKE AVE</v>
      </c>
      <c r="D3435" t="str">
        <f>T("MOSCOW")</f>
        <v>MOSCOW</v>
      </c>
      <c r="E3435" t="str">
        <f>T("ID")</f>
        <v>ID</v>
      </c>
      <c r="F3435" t="str">
        <f>T("838441122")</f>
        <v>838441122</v>
      </c>
      <c r="G3435" t="str">
        <f>T("MS 3236")</f>
        <v>MS 3236</v>
      </c>
      <c r="H3435" t="str">
        <f>T("1212 BLAKE AVE")</f>
        <v>1212 BLAKE AVE</v>
      </c>
      <c r="I3435" t="str">
        <f>T("MOSCOW")</f>
        <v>MOSCOW</v>
      </c>
      <c r="J3435" t="str">
        <f>T("ID")</f>
        <v>ID</v>
      </c>
      <c r="K3435" t="str">
        <f>T("2088856339")</f>
        <v>2088856339</v>
      </c>
      <c r="L3435" t="str">
        <f>T("2088856334")</f>
        <v>2088856334</v>
      </c>
    </row>
    <row r="3436" spans="1:12" x14ac:dyDescent="0.35">
      <c r="A3436" t="str">
        <f>T("NROTC UNIV OF IDAHO")</f>
        <v>NROTC UNIV OF IDAHO</v>
      </c>
      <c r="B3436" t="str">
        <f>T("MS 3236")</f>
        <v>MS 3236</v>
      </c>
      <c r="C3436" t="str">
        <f>T("1212 BLAKE AVE")</f>
        <v>1212 BLAKE AVE</v>
      </c>
      <c r="D3436" t="str">
        <f>T("MOSCOW")</f>
        <v>MOSCOW</v>
      </c>
      <c r="E3436" t="str">
        <f>T("ID")</f>
        <v>ID</v>
      </c>
      <c r="F3436" t="str">
        <f>T("838441122")</f>
        <v>838441122</v>
      </c>
      <c r="G3436" t="str">
        <f>T("PO BOX 443236")</f>
        <v>PO BOX 443236</v>
      </c>
      <c r="H3436" t="str">
        <f>T("1212 BLAKE AVE")</f>
        <v>1212 BLAKE AVE</v>
      </c>
      <c r="I3436" t="str">
        <f>T("MOSCOW")</f>
        <v>MOSCOW</v>
      </c>
      <c r="J3436" t="str">
        <f>T("ID")</f>
        <v>ID</v>
      </c>
      <c r="K3436" t="str">
        <f>T("2088556339")</f>
        <v>2088556339</v>
      </c>
      <c r="L3436" t="str">
        <f>T("2088852175")</f>
        <v>2088852175</v>
      </c>
    </row>
    <row r="3437" spans="1:12" x14ac:dyDescent="0.35">
      <c r="A3437" t="str">
        <f>T("NROTC TULANE UNIT")</f>
        <v>NROTC TULANE UNIT</v>
      </c>
      <c r="B3437" t="str">
        <f>T("6823 ST CHARLES AVE")</f>
        <v>6823 ST CHARLES AVE</v>
      </c>
      <c r="C3437" t="str">
        <f>T("")</f>
        <v/>
      </c>
      <c r="D3437" t="str">
        <f>T("NEW ORLEANS")</f>
        <v>NEW ORLEANS</v>
      </c>
      <c r="E3437" t="str">
        <f>T("LA")</f>
        <v>LA</v>
      </c>
      <c r="F3437" t="str">
        <f>T("701185665")</f>
        <v>701185665</v>
      </c>
      <c r="G3437" t="str">
        <f>T("6823 ST CHARLES AVE")</f>
        <v>6823 ST CHARLES AVE</v>
      </c>
      <c r="H3437" t="str">
        <f>T("")</f>
        <v/>
      </c>
      <c r="I3437" t="str">
        <f>T("NEW ORLEANS")</f>
        <v>NEW ORLEANS</v>
      </c>
      <c r="J3437" t="str">
        <f>T("LA")</f>
        <v>LA</v>
      </c>
      <c r="K3437" t="str">
        <f>T("")</f>
        <v/>
      </c>
      <c r="L3437" t="str">
        <f>T("5042471605")</f>
        <v>5042471605</v>
      </c>
    </row>
    <row r="3438" spans="1:12" x14ac:dyDescent="0.35">
      <c r="A3438" t="str">
        <f>T("NROTC TULANE UNIT")</f>
        <v>NROTC TULANE UNIT</v>
      </c>
      <c r="B3438" t="str">
        <f>T("6823 ST CHARLES AVE")</f>
        <v>6823 ST CHARLES AVE</v>
      </c>
      <c r="C3438" t="str">
        <f>T("")</f>
        <v/>
      </c>
      <c r="D3438" t="str">
        <f>T("NEW ORLEANS")</f>
        <v>NEW ORLEANS</v>
      </c>
      <c r="E3438" t="str">
        <f>T("LA")</f>
        <v>LA</v>
      </c>
      <c r="F3438" t="str">
        <f>T("701185665")</f>
        <v>701185665</v>
      </c>
      <c r="G3438" t="str">
        <f>T("6823 ST CHARLES AVE")</f>
        <v>6823 ST CHARLES AVE</v>
      </c>
      <c r="H3438" t="str">
        <f>T("")</f>
        <v/>
      </c>
      <c r="I3438" t="str">
        <f>T("NEW ORLEANS")</f>
        <v>NEW ORLEANS</v>
      </c>
      <c r="J3438" t="str">
        <f>T("LA")</f>
        <v>LA</v>
      </c>
      <c r="K3438" t="str">
        <f>T("000000000000000000")</f>
        <v>000000000000000000</v>
      </c>
      <c r="L3438" t="str">
        <f>T("5042471615")</f>
        <v>5042471615</v>
      </c>
    </row>
    <row r="3439" spans="1:12" x14ac:dyDescent="0.35">
      <c r="A3439" t="str">
        <f>T("NROTC TULANE UNIT")</f>
        <v>NROTC TULANE UNIT</v>
      </c>
      <c r="B3439" t="str">
        <f>T("6823 ST CHARLES AVE")</f>
        <v>6823 ST CHARLES AVE</v>
      </c>
      <c r="C3439" t="str">
        <f>T("")</f>
        <v/>
      </c>
      <c r="D3439" t="str">
        <f>T("NEW ORLEANS")</f>
        <v>NEW ORLEANS</v>
      </c>
      <c r="E3439" t="str">
        <f>T("LA")</f>
        <v>LA</v>
      </c>
      <c r="F3439" t="str">
        <f>T("701185665")</f>
        <v>701185665</v>
      </c>
      <c r="G3439" t="str">
        <f>T("NROTC TULANE UNIVERSITY")</f>
        <v>NROTC TULANE UNIVERSITY</v>
      </c>
      <c r="H3439" t="str">
        <f>T("6823 ST CHARLES AVE")</f>
        <v>6823 ST CHARLES AVE</v>
      </c>
      <c r="I3439" t="str">
        <f>T("NEW ORLEANS")</f>
        <v>NEW ORLEANS</v>
      </c>
      <c r="J3439" t="str">
        <f>T("LA")</f>
        <v>LA</v>
      </c>
      <c r="K3439" t="str">
        <f>T("000000000000000000")</f>
        <v>000000000000000000</v>
      </c>
      <c r="L3439" t="str">
        <f>T("5042471615")</f>
        <v>5042471615</v>
      </c>
    </row>
    <row r="3440" spans="1:12" x14ac:dyDescent="0.35">
      <c r="A3440" t="str">
        <f>T("NROTC OKLAHOMA")</f>
        <v>NROTC OKLAHOMA</v>
      </c>
      <c r="B3440" t="str">
        <f>T("290 W BROOKS ST")</f>
        <v>290 W BROOKS ST</v>
      </c>
      <c r="C3440" t="str">
        <f>T("RM 12")</f>
        <v>RM 12</v>
      </c>
      <c r="D3440" t="str">
        <f>T("NORMAN")</f>
        <v>NORMAN</v>
      </c>
      <c r="E3440" t="str">
        <f>T("OK")</f>
        <v>OK</v>
      </c>
      <c r="F3440" t="str">
        <f>T("730194123")</f>
        <v>730194123</v>
      </c>
      <c r="G3440" t="str">
        <f>T("290 W BROOKS ST")</f>
        <v>290 W BROOKS ST</v>
      </c>
      <c r="H3440" t="str">
        <f>T("")</f>
        <v/>
      </c>
      <c r="I3440" t="str">
        <f>T("NORMAN")</f>
        <v>NORMAN</v>
      </c>
      <c r="J3440" t="str">
        <f>T("OK")</f>
        <v>OK</v>
      </c>
      <c r="K3440" t="str">
        <f>T("000000000000000000")</f>
        <v>000000000000000000</v>
      </c>
      <c r="L3440" t="str">
        <f>T("3863238998")</f>
        <v>3863238998</v>
      </c>
    </row>
    <row r="3441" spans="1:12" x14ac:dyDescent="0.35">
      <c r="A3441" t="str">
        <f>T("NROTC OKLAHOMA")</f>
        <v>NROTC OKLAHOMA</v>
      </c>
      <c r="B3441" t="str">
        <f>T("290 W BROOKS ST")</f>
        <v>290 W BROOKS ST</v>
      </c>
      <c r="C3441" t="str">
        <f>T("RM 12")</f>
        <v>RM 12</v>
      </c>
      <c r="D3441" t="str">
        <f>T("NORMAN")</f>
        <v>NORMAN</v>
      </c>
      <c r="E3441" t="str">
        <f>T("OK")</f>
        <v>OK</v>
      </c>
      <c r="F3441" t="str">
        <f>T("730194123")</f>
        <v>730194123</v>
      </c>
      <c r="G3441" t="str">
        <f>T("290 W BROOKS ST")</f>
        <v>290 W BROOKS ST</v>
      </c>
      <c r="H3441" t="str">
        <f>T("RM 12")</f>
        <v>RM 12</v>
      </c>
      <c r="I3441" t="str">
        <f>T("NORMAN")</f>
        <v>NORMAN</v>
      </c>
      <c r="J3441" t="str">
        <f>T("OK")</f>
        <v>OK</v>
      </c>
      <c r="K3441" t="str">
        <f>T("4053257639")</f>
        <v>4053257639</v>
      </c>
      <c r="L3441" t="str">
        <f>T("4053252021")</f>
        <v>4053252021</v>
      </c>
    </row>
    <row r="3442" spans="1:12" x14ac:dyDescent="0.35">
      <c r="A3442" t="str">
        <f>T("NROTC OKLAHOMA")</f>
        <v>NROTC OKLAHOMA</v>
      </c>
      <c r="B3442" t="str">
        <f>T("290 W BROOKS ST")</f>
        <v>290 W BROOKS ST</v>
      </c>
      <c r="C3442" t="str">
        <f>T("ROOM 12")</f>
        <v>ROOM 12</v>
      </c>
      <c r="D3442" t="str">
        <f>T("NORMAN")</f>
        <v>NORMAN</v>
      </c>
      <c r="E3442" t="str">
        <f>T("OK")</f>
        <v>OK</v>
      </c>
      <c r="F3442" t="str">
        <f>T("730194123")</f>
        <v>730194123</v>
      </c>
      <c r="G3442" t="str">
        <f>T("290 W BROOKS ST")</f>
        <v>290 W BROOKS ST</v>
      </c>
      <c r="H3442" t="str">
        <f>T("ROOM 12")</f>
        <v>ROOM 12</v>
      </c>
      <c r="I3442" t="str">
        <f>T("NORMAN")</f>
        <v>NORMAN</v>
      </c>
      <c r="J3442" t="str">
        <f>T("OK")</f>
        <v>OK</v>
      </c>
      <c r="K3442" t="str">
        <f>T("")</f>
        <v/>
      </c>
      <c r="L3442" t="str">
        <f>T("1111111111")</f>
        <v>1111111111</v>
      </c>
    </row>
    <row r="3443" spans="1:12" x14ac:dyDescent="0.35">
      <c r="A3443" t="str">
        <f>T("NROTC OKLAHOMA")</f>
        <v>NROTC OKLAHOMA</v>
      </c>
      <c r="B3443" t="str">
        <f>T("290 W BROOKS ST")</f>
        <v>290 W BROOKS ST</v>
      </c>
      <c r="C3443" t="str">
        <f>T("ROOM 12")</f>
        <v>ROOM 12</v>
      </c>
      <c r="D3443" t="str">
        <f>T("NORMAN")</f>
        <v>NORMAN</v>
      </c>
      <c r="E3443" t="str">
        <f>T("OK")</f>
        <v>OK</v>
      </c>
      <c r="F3443" t="str">
        <f>T("730194123")</f>
        <v>730194123</v>
      </c>
      <c r="G3443" t="str">
        <f>T("290 WEST BROOKS ST")</f>
        <v>290 WEST BROOKS ST</v>
      </c>
      <c r="H3443" t="str">
        <f>T("")</f>
        <v/>
      </c>
      <c r="I3443" t="str">
        <f>T("NORMAN")</f>
        <v>NORMAN</v>
      </c>
      <c r="J3443" t="str">
        <f>T("OK")</f>
        <v>OK</v>
      </c>
      <c r="K3443" t="str">
        <f>T("000000000000000000")</f>
        <v>000000000000000000</v>
      </c>
      <c r="L3443" t="str">
        <f>T("4053252022")</f>
        <v>4053252022</v>
      </c>
    </row>
    <row r="3444" spans="1:12" x14ac:dyDescent="0.35">
      <c r="A3444" t="str">
        <f>T("NROTC NOTRE DAME UNIV")</f>
        <v>NROTC NOTRE DAME UNIV</v>
      </c>
      <c r="B3444" t="str">
        <f>T("213 PASQUERILLA CNTR")</f>
        <v>213 PASQUERILLA CNTR</v>
      </c>
      <c r="C3444" t="str">
        <f>T("UNIV OF NOTRE DAME")</f>
        <v>UNIV OF NOTRE DAME</v>
      </c>
      <c r="D3444" t="str">
        <f>T("NOTRE DAME")</f>
        <v>NOTRE DAME</v>
      </c>
      <c r="E3444" t="str">
        <f>T("IN")</f>
        <v>IN</v>
      </c>
      <c r="F3444" t="str">
        <f>T("465565672")</f>
        <v>465565672</v>
      </c>
      <c r="G3444" t="str">
        <f>T("213 PASQUERILLA CENTER")</f>
        <v>213 PASQUERILLA CENTER</v>
      </c>
      <c r="H3444" t="str">
        <f>T("UNIV OF NOTRE DAME")</f>
        <v>UNIV OF NOTRE DAME</v>
      </c>
      <c r="I3444" t="str">
        <f>T("NOTRE DAME")</f>
        <v>NOTRE DAME</v>
      </c>
      <c r="J3444" t="str">
        <f>T("IN")</f>
        <v>IN</v>
      </c>
      <c r="K3444" t="str">
        <f>T("000000000000000000")</f>
        <v>000000000000000000</v>
      </c>
      <c r="L3444" t="str">
        <f>T("5746314691")</f>
        <v>5746314691</v>
      </c>
    </row>
    <row r="3445" spans="1:12" x14ac:dyDescent="0.35">
      <c r="A3445" t="str">
        <f>T("NROTC NOTRE DAME UNIV")</f>
        <v>NROTC NOTRE DAME UNIV</v>
      </c>
      <c r="B3445" t="str">
        <f>T("213 PASQUERILLA CNTR")</f>
        <v>213 PASQUERILLA CNTR</v>
      </c>
      <c r="C3445" t="str">
        <f>T("UNIV OF NOTRE DAME")</f>
        <v>UNIV OF NOTRE DAME</v>
      </c>
      <c r="D3445" t="str">
        <f>T("NOTRE DAME")</f>
        <v>NOTRE DAME</v>
      </c>
      <c r="E3445" t="str">
        <f>T("IN")</f>
        <v>IN</v>
      </c>
      <c r="F3445" t="str">
        <f>T("465565672")</f>
        <v>465565672</v>
      </c>
      <c r="G3445" t="str">
        <f>T("213 PASQUERILLA CNTR")</f>
        <v>213 PASQUERILLA CNTR</v>
      </c>
      <c r="H3445" t="str">
        <f>T("UNIV OF NOTRE DAME")</f>
        <v>UNIV OF NOTRE DAME</v>
      </c>
      <c r="I3445" t="str">
        <f>T("NOTRE DAME")</f>
        <v>NOTRE DAME</v>
      </c>
      <c r="J3445" t="str">
        <f>T("IN")</f>
        <v>IN</v>
      </c>
      <c r="K3445" t="str">
        <f>T("")</f>
        <v/>
      </c>
      <c r="L3445" t="str">
        <f>T("5746314690")</f>
        <v>5746314690</v>
      </c>
    </row>
    <row r="3446" spans="1:12" x14ac:dyDescent="0.35">
      <c r="A3446" t="str">
        <f>T("NROTC NOTRE DAME UNIV")</f>
        <v>NROTC NOTRE DAME UNIV</v>
      </c>
      <c r="B3446" t="str">
        <f>T("213 PASQUERILLA CNTR")</f>
        <v>213 PASQUERILLA CNTR</v>
      </c>
      <c r="C3446" t="str">
        <f>T("UNIV OF NOTRE DAME")</f>
        <v>UNIV OF NOTRE DAME</v>
      </c>
      <c r="D3446" t="str">
        <f>T("NOTRE DAME")</f>
        <v>NOTRE DAME</v>
      </c>
      <c r="E3446" t="str">
        <f>T("IN")</f>
        <v>IN</v>
      </c>
      <c r="F3446" t="str">
        <f>T("465565672")</f>
        <v>465565672</v>
      </c>
      <c r="G3446" t="str">
        <f>T("213 PASQUERILLA CNTR")</f>
        <v>213 PASQUERILLA CNTR</v>
      </c>
      <c r="H3446" t="str">
        <f>T("UNIV OF NOTRE DAME")</f>
        <v>UNIV OF NOTRE DAME</v>
      </c>
      <c r="I3446" t="str">
        <f>T("NOTRE DAME")</f>
        <v>NOTRE DAME</v>
      </c>
      <c r="J3446" t="str">
        <f>T("IN")</f>
        <v>IN</v>
      </c>
      <c r="K3446" t="str">
        <f>T("000000000000000000")</f>
        <v>000000000000000000</v>
      </c>
      <c r="L3446" t="str">
        <f>T("5746314690")</f>
        <v>5746314690</v>
      </c>
    </row>
    <row r="3447" spans="1:12" x14ac:dyDescent="0.35">
      <c r="A3447" t="str">
        <f>T("NROTC NOTRE DAME UNIV")</f>
        <v>NROTC NOTRE DAME UNIV</v>
      </c>
      <c r="B3447" t="str">
        <f>T("213 PASQUERILLA CNTR")</f>
        <v>213 PASQUERILLA CNTR</v>
      </c>
      <c r="C3447" t="str">
        <f>T("UNIV OF NOTRE DAME")</f>
        <v>UNIV OF NOTRE DAME</v>
      </c>
      <c r="D3447" t="str">
        <f>T("NOTRE DAME")</f>
        <v>NOTRE DAME</v>
      </c>
      <c r="E3447" t="str">
        <f>T("IN")</f>
        <v>IN</v>
      </c>
      <c r="F3447" t="str">
        <f>T("465565672")</f>
        <v>465565672</v>
      </c>
      <c r="G3447" t="str">
        <f>T("213 PASQUERILLA CNTR")</f>
        <v>213 PASQUERILLA CNTR</v>
      </c>
      <c r="H3447" t="str">
        <f>T("UNIV OF NOTRE DAME")</f>
        <v>UNIV OF NOTRE DAME</v>
      </c>
      <c r="I3447" t="str">
        <f>T("NOTRE DAME")</f>
        <v>NOTRE DAME</v>
      </c>
      <c r="J3447" t="str">
        <f>T("IN")</f>
        <v>IN</v>
      </c>
      <c r="K3447" t="str">
        <f>T("000000000000000000")</f>
        <v>000000000000000000</v>
      </c>
      <c r="L3447" t="str">
        <f>T("5746314691")</f>
        <v>5746314691</v>
      </c>
    </row>
    <row r="3448" spans="1:12" x14ac:dyDescent="0.35">
      <c r="A3448" t="str">
        <f>T("NROTC UNIV OF UTAH")</f>
        <v>NROTC UNIV OF UTAH</v>
      </c>
      <c r="B3448" t="str">
        <f>T("110 S 1452 EAST")</f>
        <v>110 S 1452 EAST</v>
      </c>
      <c r="C3448" t="str">
        <f>T("")</f>
        <v/>
      </c>
      <c r="D3448" t="str">
        <f>T("SALT LAKE CTY")</f>
        <v>SALT LAKE CTY</v>
      </c>
      <c r="E3448" t="str">
        <f>T("UT")</f>
        <v>UT</v>
      </c>
      <c r="F3448" t="str">
        <f>T("841128911")</f>
        <v>841128911</v>
      </c>
      <c r="G3448" t="str">
        <f>T("110 S 1452 EAST")</f>
        <v>110 S 1452 EAST</v>
      </c>
      <c r="H3448" t="str">
        <f>T("")</f>
        <v/>
      </c>
      <c r="I3448" t="str">
        <f>T("SALT LAKE CTY")</f>
        <v>SALT LAKE CTY</v>
      </c>
      <c r="J3448" t="str">
        <f>T("UT")</f>
        <v>UT</v>
      </c>
      <c r="K3448" t="str">
        <f>T("")</f>
        <v/>
      </c>
      <c r="L3448" t="str">
        <f>T("8015876723")</f>
        <v>8015876723</v>
      </c>
    </row>
    <row r="3449" spans="1:12" x14ac:dyDescent="0.35">
      <c r="A3449" t="str">
        <f>T("NROTC UNIV OF UTAH")</f>
        <v>NROTC UNIV OF UTAH</v>
      </c>
      <c r="B3449" t="str">
        <f>T("110 S 1452 EAST")</f>
        <v>110 S 1452 EAST</v>
      </c>
      <c r="C3449" t="str">
        <f>T("")</f>
        <v/>
      </c>
      <c r="D3449" t="str">
        <f>T("SALT LAKE CTY")</f>
        <v>SALT LAKE CTY</v>
      </c>
      <c r="E3449" t="str">
        <f>T("UT")</f>
        <v>UT</v>
      </c>
      <c r="F3449" t="str">
        <f>T("841128911")</f>
        <v>841128911</v>
      </c>
      <c r="G3449" t="str">
        <f>T("NROTC UNIV OF UTAH")</f>
        <v>NROTC UNIV OF UTAH</v>
      </c>
      <c r="H3449" t="str">
        <f>T("110 S 1452 E")</f>
        <v>110 S 1452 E</v>
      </c>
      <c r="I3449" t="str">
        <f>T("SALT LAKE CITY")</f>
        <v>SALT LAKE CITY</v>
      </c>
      <c r="J3449" t="str">
        <f>T("UT")</f>
        <v>UT</v>
      </c>
      <c r="K3449" t="str">
        <f>T("000000000000000000")</f>
        <v>000000000000000000</v>
      </c>
      <c r="L3449" t="str">
        <f>T("8015816723")</f>
        <v>8015816723</v>
      </c>
    </row>
    <row r="3450" spans="1:12" x14ac:dyDescent="0.35">
      <c r="A3450" t="str">
        <f>T("NROTC UNIV OF WASH")</f>
        <v>NROTC UNIV OF WASH</v>
      </c>
      <c r="B3450" t="str">
        <f>T("CLARK HALL RM 305")</f>
        <v>CLARK HALL RM 305</v>
      </c>
      <c r="C3450" t="str">
        <f>T("BOX 353840")</f>
        <v>BOX 353840</v>
      </c>
      <c r="D3450" t="str">
        <f>T("SEATTLE")</f>
        <v>SEATTLE</v>
      </c>
      <c r="E3450" t="str">
        <f>T("WA")</f>
        <v>WA</v>
      </c>
      <c r="F3450" t="str">
        <f>T("981950001")</f>
        <v>981950001</v>
      </c>
      <c r="G3450" t="str">
        <f>T("BOX 353840")</f>
        <v>BOX 353840</v>
      </c>
      <c r="H3450" t="str">
        <f>T("810 CONDON 1100 NE CAMPUS PKY")</f>
        <v>810 CONDON 1100 NE CAMPUS PKY</v>
      </c>
      <c r="I3450" t="str">
        <f>T("SEATTLE")</f>
        <v>SEATTLE</v>
      </c>
      <c r="J3450" t="str">
        <f>T("WA")</f>
        <v>WA</v>
      </c>
      <c r="K3450" t="str">
        <f>T("000000000000000000")</f>
        <v>000000000000000000</v>
      </c>
      <c r="L3450" t="str">
        <f>T("2065430158")</f>
        <v>2065430158</v>
      </c>
    </row>
    <row r="3451" spans="1:12" x14ac:dyDescent="0.35">
      <c r="A3451" t="str">
        <f>T("NROTC UNIV OF WASH")</f>
        <v>NROTC UNIV OF WASH</v>
      </c>
      <c r="B3451" t="str">
        <f>T("CLARK HALL RM 305")</f>
        <v>CLARK HALL RM 305</v>
      </c>
      <c r="C3451" t="str">
        <f>T("BOX 353840")</f>
        <v>BOX 353840</v>
      </c>
      <c r="D3451" t="str">
        <f>T("SEATTLE")</f>
        <v>SEATTLE</v>
      </c>
      <c r="E3451" t="str">
        <f>T("WA")</f>
        <v>WA</v>
      </c>
      <c r="F3451" t="str">
        <f>T("981950001")</f>
        <v>981950001</v>
      </c>
      <c r="G3451" t="str">
        <f>T("CLARK HALL RM 305")</f>
        <v>CLARK HALL RM 305</v>
      </c>
      <c r="H3451" t="str">
        <f>T("BOX 353840")</f>
        <v>BOX 353840</v>
      </c>
      <c r="I3451" t="str">
        <f>T("SEATTLE")</f>
        <v>SEATTLE</v>
      </c>
      <c r="J3451" t="str">
        <f>T("WA")</f>
        <v>WA</v>
      </c>
      <c r="K3451" t="str">
        <f>T("2065430163")</f>
        <v>2065430163</v>
      </c>
      <c r="L3451" t="str">
        <f>T("2065430165")</f>
        <v>2065430165</v>
      </c>
    </row>
    <row r="3452" spans="1:12" x14ac:dyDescent="0.35">
      <c r="A3452" t="str">
        <f>T("NROTC UNIV OF WASH")</f>
        <v>NROTC UNIV OF WASH</v>
      </c>
      <c r="B3452" t="str">
        <f>T("CLARK HALL RM 305")</f>
        <v>CLARK HALL RM 305</v>
      </c>
      <c r="C3452" t="str">
        <f>T("BOX 353840")</f>
        <v>BOX 353840</v>
      </c>
      <c r="D3452" t="str">
        <f>T("SEATTLE")</f>
        <v>SEATTLE</v>
      </c>
      <c r="E3452" t="str">
        <f>T("WA")</f>
        <v>WA</v>
      </c>
      <c r="F3452" t="str">
        <f>T("981953840")</f>
        <v>981953840</v>
      </c>
      <c r="G3452" t="str">
        <f>T("BOX 353840")</f>
        <v>BOX 353840</v>
      </c>
      <c r="H3452" t="str">
        <f>T("810 CONDON 1100 NE CAMPUS PKY")</f>
        <v>810 CONDON 1100 NE CAMPUS PKY</v>
      </c>
      <c r="I3452" t="str">
        <f>T("SEATTLE")</f>
        <v>SEATTLE</v>
      </c>
      <c r="J3452" t="str">
        <f>T("WA")</f>
        <v>WA</v>
      </c>
      <c r="K3452" t="str">
        <f>T("000000000000000000")</f>
        <v>000000000000000000</v>
      </c>
      <c r="L3452" t="str">
        <f>T("2065430158")</f>
        <v>2065430158</v>
      </c>
    </row>
    <row r="3453" spans="1:12" x14ac:dyDescent="0.35">
      <c r="A3453" t="str">
        <f>T("NROTC UNIV OF WASH")</f>
        <v>NROTC UNIV OF WASH</v>
      </c>
      <c r="B3453" t="str">
        <f>T("CLARK HALL RM 305")</f>
        <v>CLARK HALL RM 305</v>
      </c>
      <c r="C3453" t="str">
        <f>T("BOX 353840")</f>
        <v>BOX 353840</v>
      </c>
      <c r="D3453" t="str">
        <f>T("SEATTLE")</f>
        <v>SEATTLE</v>
      </c>
      <c r="E3453" t="str">
        <f>T("WA")</f>
        <v>WA</v>
      </c>
      <c r="F3453" t="str">
        <f>T("981953840")</f>
        <v>981953840</v>
      </c>
      <c r="G3453" t="str">
        <f>T("CLARK HALL RM 305")</f>
        <v>CLARK HALL RM 305</v>
      </c>
      <c r="H3453" t="str">
        <f>T("BOX 353840")</f>
        <v>BOX 353840</v>
      </c>
      <c r="I3453" t="str">
        <f>T("SEATTLE")</f>
        <v>SEATTLE</v>
      </c>
      <c r="J3453" t="str">
        <f>T("WA")</f>
        <v>WA</v>
      </c>
      <c r="K3453" t="str">
        <f>T("")</f>
        <v/>
      </c>
      <c r="L3453" t="str">
        <f>T("2065430165")</f>
        <v>2065430165</v>
      </c>
    </row>
    <row r="3454" spans="1:12" x14ac:dyDescent="0.35">
      <c r="A3454" t="str">
        <f>T("NROTC UNIV ILL")</f>
        <v>NROTC UNIV ILL</v>
      </c>
      <c r="B3454" t="str">
        <f>T("505 E ARMORY STREET")</f>
        <v>505 E ARMORY STREET</v>
      </c>
      <c r="C3454" t="str">
        <f>T("ROOM 236B")</f>
        <v>ROOM 236B</v>
      </c>
      <c r="D3454" t="str">
        <f>T("CHAMPAIGN")</f>
        <v>CHAMPAIGN</v>
      </c>
      <c r="E3454" t="str">
        <f>T("IL")</f>
        <v>IL</v>
      </c>
      <c r="F3454" t="str">
        <f>T("618206237")</f>
        <v>618206237</v>
      </c>
      <c r="G3454" t="str">
        <f>T("505 E ARMORY STREET")</f>
        <v>505 E ARMORY STREET</v>
      </c>
      <c r="H3454" t="str">
        <f>T("ROOM 236B")</f>
        <v>ROOM 236B</v>
      </c>
      <c r="I3454" t="str">
        <f>T("CHAMPAIGN")</f>
        <v>CHAMPAIGN</v>
      </c>
      <c r="J3454" t="str">
        <f>T("IL")</f>
        <v>IL</v>
      </c>
      <c r="K3454" t="str">
        <f>T("2172441435")</f>
        <v>2172441435</v>
      </c>
      <c r="L3454" t="str">
        <f>T("2172446690")</f>
        <v>2172446690</v>
      </c>
    </row>
    <row r="3455" spans="1:12" x14ac:dyDescent="0.35">
      <c r="A3455" t="str">
        <f>T("NROTC UNIV ILL")</f>
        <v>NROTC UNIV ILL</v>
      </c>
      <c r="B3455" t="str">
        <f>T("505 E ARMORY STREET")</f>
        <v>505 E ARMORY STREET</v>
      </c>
      <c r="C3455" t="str">
        <f>T("ROOM 236B")</f>
        <v>ROOM 236B</v>
      </c>
      <c r="D3455" t="str">
        <f>T("CHAMPAIGN")</f>
        <v>CHAMPAIGN</v>
      </c>
      <c r="E3455" t="str">
        <f>T("IL")</f>
        <v>IL</v>
      </c>
      <c r="F3455" t="str">
        <f>T("618206237")</f>
        <v>618206237</v>
      </c>
      <c r="G3455" t="str">
        <f>T("NROTC UNIVERSITY OF ILLINOIS")</f>
        <v>NROTC UNIVERSITY OF ILLINOIS</v>
      </c>
      <c r="H3455" t="str">
        <f>T("505 E ARMORY ST RM 236B")</f>
        <v>505 E ARMORY ST RM 236B</v>
      </c>
      <c r="I3455" t="str">
        <f>T("CHAMPAIGN")</f>
        <v>CHAMPAIGN</v>
      </c>
      <c r="J3455" t="str">
        <f>T("IL")</f>
        <v>IL</v>
      </c>
      <c r="K3455" t="str">
        <f>T("000000000000000000")</f>
        <v>000000000000000000</v>
      </c>
      <c r="L3455" t="str">
        <f>T("2172441434")</f>
        <v>2172441434</v>
      </c>
    </row>
    <row r="3456" spans="1:12" x14ac:dyDescent="0.35">
      <c r="A3456" t="str">
        <f>T("NROTC UNIV ILL")</f>
        <v>NROTC UNIV ILL</v>
      </c>
      <c r="B3456" t="str">
        <f>T("505 E ARMORY STREET")</f>
        <v>505 E ARMORY STREET</v>
      </c>
      <c r="C3456" t="str">
        <f>T("ROOM 236B")</f>
        <v>ROOM 236B</v>
      </c>
      <c r="D3456" t="str">
        <f>T("CHAMPAIGN")</f>
        <v>CHAMPAIGN</v>
      </c>
      <c r="E3456" t="str">
        <f>T("IL")</f>
        <v>IL</v>
      </c>
      <c r="F3456" t="str">
        <f>T("618206237")</f>
        <v>618206237</v>
      </c>
      <c r="G3456" t="str">
        <f>T("NROTC UNIVERSITY OF ILLINOIS")</f>
        <v>NROTC UNIVERSITY OF ILLINOIS</v>
      </c>
      <c r="H3456" t="str">
        <f>T("505 E ARMORY ST RM 236B")</f>
        <v>505 E ARMORY ST RM 236B</v>
      </c>
      <c r="I3456" t="str">
        <f>T("CHAMPAIGN")</f>
        <v>CHAMPAIGN</v>
      </c>
      <c r="J3456" t="str">
        <f>T("IL")</f>
        <v>IL</v>
      </c>
      <c r="K3456" t="str">
        <f>T("000000000000000000")</f>
        <v>000000000000000000</v>
      </c>
      <c r="L3456" t="str">
        <f>T("2173331061")</f>
        <v>2173331061</v>
      </c>
    </row>
    <row r="3457" spans="1:12" x14ac:dyDescent="0.35">
      <c r="A3457" t="str">
        <f>T("NROTC PURDUE UNIV")</f>
        <v>NROTC PURDUE UNIV</v>
      </c>
      <c r="B3457" t="str">
        <f>T("DEPT OF NAVAL SCIENCE")</f>
        <v>DEPT OF NAVAL SCIENCE</v>
      </c>
      <c r="C3457" t="str">
        <f>T("812 THIRD ST")</f>
        <v>812 THIRD ST</v>
      </c>
      <c r="D3457" t="str">
        <f>T("W LAFAYETTE")</f>
        <v>W LAFAYETTE</v>
      </c>
      <c r="E3457" t="str">
        <f>T("IN")</f>
        <v>IN</v>
      </c>
      <c r="F3457" t="str">
        <f>T("479072006")</f>
        <v>479072006</v>
      </c>
      <c r="G3457" t="str">
        <f>T("DEPT OF NAVAL SCIENCE")</f>
        <v>DEPT OF NAVAL SCIENCE</v>
      </c>
      <c r="H3457" t="str">
        <f>T("812 THIRD ST")</f>
        <v>812 THIRD ST</v>
      </c>
      <c r="I3457" t="str">
        <f>T("W LAFAYETTE")</f>
        <v>W LAFAYETTE</v>
      </c>
      <c r="J3457" t="str">
        <f>T("IN")</f>
        <v>IN</v>
      </c>
      <c r="K3457" t="str">
        <f>T("7654961674")</f>
        <v>7654961674</v>
      </c>
      <c r="L3457" t="str">
        <f>T("7654942057")</f>
        <v>7654942057</v>
      </c>
    </row>
    <row r="3458" spans="1:12" x14ac:dyDescent="0.35">
      <c r="A3458" t="str">
        <f>T("NROTC PURDUE UNIV")</f>
        <v>NROTC PURDUE UNIV</v>
      </c>
      <c r="B3458" t="str">
        <f>T("DEPT OF NAVY SCIENCE")</f>
        <v>DEPT OF NAVY SCIENCE</v>
      </c>
      <c r="C3458" t="str">
        <f>T("812 3RD STREET")</f>
        <v>812 3RD STREET</v>
      </c>
      <c r="D3458" t="str">
        <f>T("W LAFAYETTE")</f>
        <v>W LAFAYETTE</v>
      </c>
      <c r="E3458" t="str">
        <f>T("IN")</f>
        <v>IN</v>
      </c>
      <c r="F3458" t="str">
        <f>T("479072006")</f>
        <v>479072006</v>
      </c>
      <c r="G3458" t="str">
        <f>T("DEPT OF NAVAL SCIENCE")</f>
        <v>DEPT OF NAVAL SCIENCE</v>
      </c>
      <c r="H3458" t="str">
        <f>T("812 THIRD ST")</f>
        <v>812 THIRD ST</v>
      </c>
      <c r="I3458" t="str">
        <f>T("WEST LAFAYETTE")</f>
        <v>WEST LAFAYETTE</v>
      </c>
      <c r="J3458" t="str">
        <f>T("IN")</f>
        <v>IN</v>
      </c>
      <c r="K3458" t="str">
        <f>T("000000000000000000")</f>
        <v>000000000000000000</v>
      </c>
      <c r="L3458" t="str">
        <f>T("7654942054")</f>
        <v>7654942054</v>
      </c>
    </row>
    <row r="3459" spans="1:12" x14ac:dyDescent="0.35">
      <c r="A3459" t="str">
        <f>T("NROTC PURDUE UNIV")</f>
        <v>NROTC PURDUE UNIV</v>
      </c>
      <c r="B3459" t="str">
        <f>T("DEPT OF NAVY SCIENCE")</f>
        <v>DEPT OF NAVY SCIENCE</v>
      </c>
      <c r="C3459" t="str">
        <f>T("812 3RD STREET")</f>
        <v>812 3RD STREET</v>
      </c>
      <c r="D3459" t="str">
        <f>T("W LAFAYETTE")</f>
        <v>W LAFAYETTE</v>
      </c>
      <c r="E3459" t="str">
        <f>T("IN")</f>
        <v>IN</v>
      </c>
      <c r="F3459" t="str">
        <f>T("479072006")</f>
        <v>479072006</v>
      </c>
      <c r="G3459" t="str">
        <f>T("DEPT OF NAVY SCIENCE")</f>
        <v>DEPT OF NAVY SCIENCE</v>
      </c>
      <c r="H3459" t="str">
        <f>T("812 3RD STREET")</f>
        <v>812 3RD STREET</v>
      </c>
      <c r="I3459" t="str">
        <f>T("W LAFAYETTE")</f>
        <v>W LAFAYETTE</v>
      </c>
      <c r="J3459" t="str">
        <f>T("IN")</f>
        <v>IN</v>
      </c>
      <c r="K3459" t="str">
        <f>T("")</f>
        <v/>
      </c>
      <c r="L3459" t="str">
        <f>T("7654942055")</f>
        <v>7654942055</v>
      </c>
    </row>
    <row r="3460" spans="1:12" x14ac:dyDescent="0.35">
      <c r="A3460" t="str">
        <f>T("NROTC UNIT CORNELL UNIVERSITY")</f>
        <v>NROTC UNIT CORNELL UNIVERSITY</v>
      </c>
      <c r="B3460" t="str">
        <f>T("NROTC CORNELL UNIVERSITY")</f>
        <v>NROTC CORNELL UNIVERSITY</v>
      </c>
      <c r="C3460" t="str">
        <f>T("RM 145 BARTON HALL")</f>
        <v>RM 145 BARTON HALL</v>
      </c>
      <c r="D3460" t="str">
        <f>T("ITHACA")</f>
        <v>ITHACA</v>
      </c>
      <c r="E3460" t="str">
        <f>T("NY")</f>
        <v>NY</v>
      </c>
      <c r="F3460" t="str">
        <f>T("148531701")</f>
        <v>148531701</v>
      </c>
      <c r="G3460" t="str">
        <f>T("NROTC CORNELL UNIVERSITY")</f>
        <v>NROTC CORNELL UNIVERSITY</v>
      </c>
      <c r="H3460" t="str">
        <f>T("RM 145 BARTON HALL")</f>
        <v>RM 145 BARTON HALL</v>
      </c>
      <c r="I3460" t="str">
        <f>T("ITHACA")</f>
        <v>ITHACA</v>
      </c>
      <c r="J3460" t="str">
        <f>T("NY")</f>
        <v>NY</v>
      </c>
      <c r="K3460" t="str">
        <f>T("")</f>
        <v/>
      </c>
      <c r="L3460" t="str">
        <f>T("6072554202")</f>
        <v>6072554202</v>
      </c>
    </row>
    <row r="3461" spans="1:12" x14ac:dyDescent="0.35">
      <c r="A3461" t="str">
        <f>T("NROTC UNIT CORNELL UNIVERSITY")</f>
        <v>NROTC UNIT CORNELL UNIVERSITY</v>
      </c>
      <c r="B3461" t="str">
        <f>T("NROTC CORNELL UNIVERSITY")</f>
        <v>NROTC CORNELL UNIVERSITY</v>
      </c>
      <c r="C3461" t="str">
        <f>T("RM 145 BARTON HALL")</f>
        <v>RM 145 BARTON HALL</v>
      </c>
      <c r="D3461" t="str">
        <f>T("ITHACA")</f>
        <v>ITHACA</v>
      </c>
      <c r="E3461" t="str">
        <f>T("NY")</f>
        <v>NY</v>
      </c>
      <c r="F3461" t="str">
        <f>T("148531701")</f>
        <v>148531701</v>
      </c>
      <c r="G3461" t="str">
        <f>T("NROTC CORNELL UNIVERSITY")</f>
        <v>NROTC CORNELL UNIVERSITY</v>
      </c>
      <c r="H3461" t="str">
        <f>T("ROOM 141A BARTON HALL")</f>
        <v>ROOM 141A BARTON HALL</v>
      </c>
      <c r="I3461" t="str">
        <f>T("ITHACA")</f>
        <v>ITHACA</v>
      </c>
      <c r="J3461" t="str">
        <f>T("NY")</f>
        <v>NY</v>
      </c>
      <c r="K3461" t="str">
        <f>T("6072553201")</f>
        <v>6072553201</v>
      </c>
      <c r="L3461" t="str">
        <f>T("6072558987")</f>
        <v>6072558987</v>
      </c>
    </row>
    <row r="3462" spans="1:12" x14ac:dyDescent="0.35">
      <c r="A3462" t="str">
        <f>T("NROTC UNIT CORNELL UNIVERSITY")</f>
        <v>NROTC UNIT CORNELL UNIVERSITY</v>
      </c>
      <c r="B3462" t="str">
        <f>T("NROTCU CORNELL UNIVERSITY")</f>
        <v>NROTCU CORNELL UNIVERSITY</v>
      </c>
      <c r="C3462" t="str">
        <f>T("BARTON HALL")</f>
        <v>BARTON HALL</v>
      </c>
      <c r="D3462" t="str">
        <f>T("ITHACA")</f>
        <v>ITHACA</v>
      </c>
      <c r="E3462" t="str">
        <f>T("NY")</f>
        <v>NY</v>
      </c>
      <c r="F3462" t="str">
        <f>T("148531701")</f>
        <v>148531701</v>
      </c>
      <c r="G3462" t="str">
        <f>T("NROTCU CORNELL UNIVERSITY")</f>
        <v>NROTCU CORNELL UNIVERSITY</v>
      </c>
      <c r="H3462" t="str">
        <f>T("BARTON HALL")</f>
        <v>BARTON HALL</v>
      </c>
      <c r="I3462" t="str">
        <f>T("ITHACA")</f>
        <v>ITHACA</v>
      </c>
      <c r="J3462" t="str">
        <f>T("NY")</f>
        <v>NY</v>
      </c>
      <c r="K3462" t="str">
        <f>T("6072553201")</f>
        <v>6072553201</v>
      </c>
      <c r="L3462" t="str">
        <f>T("6072554202")</f>
        <v>6072554202</v>
      </c>
    </row>
    <row r="3463" spans="1:12" x14ac:dyDescent="0.35">
      <c r="A3463" t="str">
        <f>T("NROTC UNIT CORNELL UNIVERSITY")</f>
        <v>NROTC UNIT CORNELL UNIVERSITY</v>
      </c>
      <c r="B3463" t="str">
        <f>T("NROTCU CORNELL UNIVERSITY")</f>
        <v>NROTCU CORNELL UNIVERSITY</v>
      </c>
      <c r="C3463" t="str">
        <f>T("BARTON HALL")</f>
        <v>BARTON HALL</v>
      </c>
      <c r="D3463" t="str">
        <f>T("ITHACA")</f>
        <v>ITHACA</v>
      </c>
      <c r="E3463" t="str">
        <f>T("NY")</f>
        <v>NY</v>
      </c>
      <c r="F3463" t="str">
        <f>T("148531701")</f>
        <v>148531701</v>
      </c>
      <c r="G3463" t="str">
        <f>T("ROOM 141A BARTON HALL")</f>
        <v>ROOM 141A BARTON HALL</v>
      </c>
      <c r="H3463" t="str">
        <f>T("")</f>
        <v/>
      </c>
      <c r="I3463" t="str">
        <f>T("ITHACA")</f>
        <v>ITHACA</v>
      </c>
      <c r="J3463" t="str">
        <f>T("NY")</f>
        <v>NY</v>
      </c>
      <c r="K3463" t="str">
        <f>T("6072553201")</f>
        <v>6072553201</v>
      </c>
      <c r="L3463" t="str">
        <f>T("6072556967")</f>
        <v>6072556967</v>
      </c>
    </row>
    <row r="3464" spans="1:12" x14ac:dyDescent="0.35">
      <c r="A3464" t="str">
        <f>T("NROTCU YALE UNIVERSITY")</f>
        <v>NROTCU YALE UNIVERSITY</v>
      </c>
      <c r="B3464" t="str">
        <f>T("55 WHITNEY AVE SUITE 430")</f>
        <v>55 WHITNEY AVE SUITE 430</v>
      </c>
      <c r="C3464" t="str">
        <f>T("")</f>
        <v/>
      </c>
      <c r="D3464" t="str">
        <f>T("NEW HAVEN")</f>
        <v>NEW HAVEN</v>
      </c>
      <c r="E3464" t="str">
        <f>T("CT")</f>
        <v>CT</v>
      </c>
      <c r="F3464" t="str">
        <f>T("065101302")</f>
        <v>065101302</v>
      </c>
      <c r="G3464" t="str">
        <f>T("55 WHITNEY AVE SUITE 430")</f>
        <v>55 WHITNEY AVE SUITE 430</v>
      </c>
      <c r="H3464" t="str">
        <f>T("")</f>
        <v/>
      </c>
      <c r="I3464" t="str">
        <f>T("NEW HAVEN")</f>
        <v>NEW HAVEN</v>
      </c>
      <c r="J3464" t="str">
        <f>T("CT")</f>
        <v>CT</v>
      </c>
      <c r="K3464" t="str">
        <f>T("000000000000000000")</f>
        <v>000000000000000000</v>
      </c>
      <c r="L3464" t="str">
        <f>T("2034325420")</f>
        <v>2034325420</v>
      </c>
    </row>
    <row r="3465" spans="1:12" x14ac:dyDescent="0.35">
      <c r="A3465" t="str">
        <f>T("NROTC UNIT UNIV OF ROCHESTER")</f>
        <v>NROTC UNIT UNIV OF ROCHESTER</v>
      </c>
      <c r="B3465" t="str">
        <f>T("UNIVERSITY OF ROCHESTER")</f>
        <v>UNIVERSITY OF ROCHESTER</v>
      </c>
      <c r="C3465" t="str">
        <f>T("MOREY HALL RM 108")</f>
        <v>MOREY HALL RM 108</v>
      </c>
      <c r="D3465" t="str">
        <f>T("ROCHESTER")</f>
        <v>ROCHESTER</v>
      </c>
      <c r="E3465" t="str">
        <f t="shared" ref="E3465:E3470" si="1380">T("NY")</f>
        <v>NY</v>
      </c>
      <c r="F3465" t="str">
        <f>T("146270436")</f>
        <v>146270436</v>
      </c>
      <c r="G3465" t="str">
        <f>T("MOREY HALL 100 DRAWER 270436")</f>
        <v>MOREY HALL 100 DRAWER 270436</v>
      </c>
      <c r="H3465" t="str">
        <f>T("")</f>
        <v/>
      </c>
      <c r="I3465" t="str">
        <f>T("ROCHESTER")</f>
        <v>ROCHESTER</v>
      </c>
      <c r="J3465" t="str">
        <f t="shared" ref="J3465:J3470" si="1381">T("NY")</f>
        <v>NY</v>
      </c>
      <c r="K3465" t="str">
        <f>T("000000000000000000")</f>
        <v>000000000000000000</v>
      </c>
      <c r="L3465" t="str">
        <f>T("5852759011")</f>
        <v>5852759011</v>
      </c>
    </row>
    <row r="3466" spans="1:12" x14ac:dyDescent="0.35">
      <c r="A3466" t="str">
        <f>T("NROTC UNIT UNIV OF ROCHESTER")</f>
        <v>NROTC UNIT UNIV OF ROCHESTER</v>
      </c>
      <c r="B3466" t="str">
        <f>T("UNIVERSITY OF ROCHESTER")</f>
        <v>UNIVERSITY OF ROCHESTER</v>
      </c>
      <c r="C3466" t="str">
        <f>T("MOREY HALL RM 108")</f>
        <v>MOREY HALL RM 108</v>
      </c>
      <c r="D3466" t="str">
        <f>T("ROCHESTER")</f>
        <v>ROCHESTER</v>
      </c>
      <c r="E3466" t="str">
        <f t="shared" si="1380"/>
        <v>NY</v>
      </c>
      <c r="F3466" t="str">
        <f>T("146270436")</f>
        <v>146270436</v>
      </c>
      <c r="G3466" t="str">
        <f>T("UNIVERSITY OF ROCHESTER")</f>
        <v>UNIVERSITY OF ROCHESTER</v>
      </c>
      <c r="H3466" t="str">
        <f>T("MOREY HALL RM 108")</f>
        <v>MOREY HALL RM 108</v>
      </c>
      <c r="I3466" t="str">
        <f>T("ROCHESTER")</f>
        <v>ROCHESTER</v>
      </c>
      <c r="J3466" t="str">
        <f t="shared" si="1381"/>
        <v>NY</v>
      </c>
      <c r="K3466" t="str">
        <f>T("")</f>
        <v/>
      </c>
      <c r="L3466" t="str">
        <f>T("5852768603")</f>
        <v>5852768603</v>
      </c>
    </row>
    <row r="3467" spans="1:12" x14ac:dyDescent="0.35">
      <c r="A3467" t="str">
        <f>T("NROTC RPI")</f>
        <v>NROTC RPI</v>
      </c>
      <c r="B3467" t="str">
        <f>T("110 8TH ST")</f>
        <v>110 8TH ST</v>
      </c>
      <c r="C3467" t="str">
        <f>T("")</f>
        <v/>
      </c>
      <c r="D3467" t="str">
        <f>T("TROY")</f>
        <v>TROY</v>
      </c>
      <c r="E3467" t="str">
        <f t="shared" si="1380"/>
        <v>NY</v>
      </c>
      <c r="F3467" t="str">
        <f>T("121803522")</f>
        <v>121803522</v>
      </c>
      <c r="G3467" t="str">
        <f>T("110 8TH ST")</f>
        <v>110 8TH ST</v>
      </c>
      <c r="H3467" t="str">
        <f>T("")</f>
        <v/>
      </c>
      <c r="I3467" t="str">
        <f>T("TROY")</f>
        <v>TROY</v>
      </c>
      <c r="J3467" t="str">
        <f t="shared" si="1381"/>
        <v>NY</v>
      </c>
      <c r="K3467" t="str">
        <f>T("000000000000000000")</f>
        <v>000000000000000000</v>
      </c>
      <c r="L3467" t="str">
        <f>T("5182768013")</f>
        <v>5182768013</v>
      </c>
    </row>
    <row r="3468" spans="1:12" x14ac:dyDescent="0.35">
      <c r="A3468" t="str">
        <f>T("NROTC RPI")</f>
        <v>NROTC RPI</v>
      </c>
      <c r="B3468" t="str">
        <f>T("110 8TH ST")</f>
        <v>110 8TH ST</v>
      </c>
      <c r="C3468" t="str">
        <f>T("")</f>
        <v/>
      </c>
      <c r="D3468" t="str">
        <f>T("TROY")</f>
        <v>TROY</v>
      </c>
      <c r="E3468" t="str">
        <f t="shared" si="1380"/>
        <v>NY</v>
      </c>
      <c r="F3468" t="str">
        <f>T("121803522")</f>
        <v>121803522</v>
      </c>
      <c r="G3468" t="str">
        <f>T("110 8TH ST")</f>
        <v>110 8TH ST</v>
      </c>
      <c r="H3468" t="str">
        <f>T("")</f>
        <v/>
      </c>
      <c r="I3468" t="str">
        <f>T("TROY")</f>
        <v>TROY</v>
      </c>
      <c r="J3468" t="str">
        <f t="shared" si="1381"/>
        <v>NY</v>
      </c>
      <c r="K3468" t="str">
        <f>T("5182764788")</f>
        <v>5182764788</v>
      </c>
      <c r="L3468" t="str">
        <f>T("5182768002")</f>
        <v>5182768002</v>
      </c>
    </row>
    <row r="3469" spans="1:12" x14ac:dyDescent="0.35">
      <c r="A3469" t="str">
        <f>T("NROTC RPI")</f>
        <v>NROTC RPI</v>
      </c>
      <c r="B3469" t="str">
        <f>T("110 8TH STREET")</f>
        <v>110 8TH STREET</v>
      </c>
      <c r="C3469" t="str">
        <f>T("ARMORY RM 201")</f>
        <v>ARMORY RM 201</v>
      </c>
      <c r="D3469" t="str">
        <f>T("TROY")</f>
        <v>TROY</v>
      </c>
      <c r="E3469" t="str">
        <f t="shared" si="1380"/>
        <v>NY</v>
      </c>
      <c r="F3469" t="str">
        <f>T("121803522")</f>
        <v>121803522</v>
      </c>
      <c r="G3469" t="str">
        <f>T("110 8TH STREET")</f>
        <v>110 8TH STREET</v>
      </c>
      <c r="H3469" t="str">
        <f>T("ARMORY RM 201")</f>
        <v>ARMORY RM 201</v>
      </c>
      <c r="I3469" t="str">
        <f>T("TROY")</f>
        <v>TROY</v>
      </c>
      <c r="J3469" t="str">
        <f t="shared" si="1381"/>
        <v>NY</v>
      </c>
      <c r="K3469" t="str">
        <f>T("")</f>
        <v/>
      </c>
      <c r="L3469" t="str">
        <f>T("5182768002")</f>
        <v>5182768002</v>
      </c>
    </row>
    <row r="3470" spans="1:12" x14ac:dyDescent="0.35">
      <c r="A3470" t="str">
        <f>T("NROTC RPI")</f>
        <v>NROTC RPI</v>
      </c>
      <c r="B3470" t="str">
        <f>T("110 8TH STREET")</f>
        <v>110 8TH STREET</v>
      </c>
      <c r="C3470" t="str">
        <f>T("ARMORY RM 201")</f>
        <v>ARMORY RM 201</v>
      </c>
      <c r="D3470" t="str">
        <f>T("TROY")</f>
        <v>TROY</v>
      </c>
      <c r="E3470" t="str">
        <f t="shared" si="1380"/>
        <v>NY</v>
      </c>
      <c r="F3470" t="str">
        <f>T("121803522")</f>
        <v>121803522</v>
      </c>
      <c r="G3470" t="str">
        <f>T("RENSSELAER POLYTECNIC INST")</f>
        <v>RENSSELAER POLYTECNIC INST</v>
      </c>
      <c r="H3470" t="str">
        <f>T("")</f>
        <v/>
      </c>
      <c r="I3470" t="str">
        <f>T("TROY")</f>
        <v>TROY</v>
      </c>
      <c r="J3470" t="str">
        <f t="shared" si="1381"/>
        <v>NY</v>
      </c>
      <c r="K3470" t="str">
        <f>T("000000000000000000")</f>
        <v>000000000000000000</v>
      </c>
      <c r="L3470" t="str">
        <f>T("5182768013")</f>
        <v>5182768013</v>
      </c>
    </row>
    <row r="3471" spans="1:12" x14ac:dyDescent="0.35">
      <c r="A3471" t="str">
        <f>T("NROTC AUBURN UNIV")</f>
        <v>NROTC AUBURN UNIV</v>
      </c>
      <c r="B3471" t="str">
        <f>T("W F NICHOLS CENTER")</f>
        <v>W F NICHOLS CENTER</v>
      </c>
      <c r="C3471" t="str">
        <f>T("223")</f>
        <v>223</v>
      </c>
      <c r="D3471" t="str">
        <f>T("AUBURN")</f>
        <v>AUBURN</v>
      </c>
      <c r="E3471" t="str">
        <f>T("AL")</f>
        <v>AL</v>
      </c>
      <c r="F3471" t="str">
        <f>T("368460000")</f>
        <v>368460000</v>
      </c>
      <c r="G3471" t="str">
        <f>T("W F NICHOLS CENTER")</f>
        <v>W F NICHOLS CENTER</v>
      </c>
      <c r="H3471" t="str">
        <f>T("223")</f>
        <v>223</v>
      </c>
      <c r="I3471" t="str">
        <f>T("AUBURN")</f>
        <v>AUBURN</v>
      </c>
      <c r="J3471" t="str">
        <f>T("AL")</f>
        <v>AL</v>
      </c>
      <c r="K3471" t="str">
        <f>T("")</f>
        <v/>
      </c>
      <c r="L3471" t="str">
        <f>T("3348443439")</f>
        <v>3348443439</v>
      </c>
    </row>
    <row r="3472" spans="1:12" x14ac:dyDescent="0.35">
      <c r="A3472" t="str">
        <f>T("NROTC AUBURN UNIV")</f>
        <v>NROTC AUBURN UNIV</v>
      </c>
      <c r="B3472" t="str">
        <f>T("W F NICHOLS CENTER")</f>
        <v>W F NICHOLS CENTER</v>
      </c>
      <c r="C3472" t="str">
        <f>T("223")</f>
        <v>223</v>
      </c>
      <c r="D3472" t="str">
        <f>T("AUBURN")</f>
        <v>AUBURN</v>
      </c>
      <c r="E3472" t="str">
        <f>T("AL")</f>
        <v>AL</v>
      </c>
      <c r="F3472" t="str">
        <f>T("368460000")</f>
        <v>368460000</v>
      </c>
      <c r="G3472" t="str">
        <f>T("W F NICHOLS CENTER")</f>
        <v>W F NICHOLS CENTER</v>
      </c>
      <c r="H3472" t="str">
        <f>T("NO 223")</f>
        <v>NO 223</v>
      </c>
      <c r="I3472" t="str">
        <f>T("AUBURN")</f>
        <v>AUBURN</v>
      </c>
      <c r="J3472" t="str">
        <f>T("AL")</f>
        <v>AL</v>
      </c>
      <c r="K3472" t="str">
        <f>T("000000000000000000")</f>
        <v>000000000000000000</v>
      </c>
      <c r="L3472" t="str">
        <f>T("3348443427")</f>
        <v>3348443427</v>
      </c>
    </row>
    <row r="3473" spans="1:12" x14ac:dyDescent="0.35">
      <c r="A3473" t="str">
        <f>T("NROTC AUBURN UNIV")</f>
        <v>NROTC AUBURN UNIV</v>
      </c>
      <c r="B3473" t="str">
        <f>T("W F NICHOLS CENTER")</f>
        <v>W F NICHOLS CENTER</v>
      </c>
      <c r="C3473" t="str">
        <f>T("223")</f>
        <v>223</v>
      </c>
      <c r="D3473" t="str">
        <f>T("AUBURN")</f>
        <v>AUBURN</v>
      </c>
      <c r="E3473" t="str">
        <f>T("AL")</f>
        <v>AL</v>
      </c>
      <c r="F3473" t="str">
        <f>T("368460000")</f>
        <v>368460000</v>
      </c>
      <c r="G3473" t="str">
        <f>T("W F NICHOLS CTR OFFICE 223")</f>
        <v>W F NICHOLS CTR OFFICE 223</v>
      </c>
      <c r="H3473" t="str">
        <f>T("AUBURN UNIVERSITY")</f>
        <v>AUBURN UNIVERSITY</v>
      </c>
      <c r="I3473" t="str">
        <f>T("AUBURN")</f>
        <v>AUBURN</v>
      </c>
      <c r="J3473" t="str">
        <f>T("AL")</f>
        <v>AL</v>
      </c>
      <c r="K3473" t="str">
        <f>T("000000000000000000")</f>
        <v>000000000000000000</v>
      </c>
      <c r="L3473" t="str">
        <f>T("3348443444")</f>
        <v>3348443444</v>
      </c>
    </row>
    <row r="3474" spans="1:12" x14ac:dyDescent="0.35">
      <c r="A3474" t="str">
        <f t="shared" ref="A3474:A3479" si="1382">T("NROTC PIEDMONT CONSORTIUM")</f>
        <v>NROTC PIEDMONT CONSORTIUM</v>
      </c>
      <c r="B3474" t="str">
        <f>T("RM 361 TRENT HALL")</f>
        <v>RM 361 TRENT HALL</v>
      </c>
      <c r="C3474" t="str">
        <f t="shared" ref="C3474:C3479" si="1383">T("TRENT DR")</f>
        <v>TRENT DR</v>
      </c>
      <c r="D3474" t="str">
        <f t="shared" ref="D3474:D3479" si="1384">T("DURHAM")</f>
        <v>DURHAM</v>
      </c>
      <c r="E3474" t="str">
        <f t="shared" ref="E3474:E3479" si="1385">T("NC")</f>
        <v>NC</v>
      </c>
      <c r="F3474" t="str">
        <f>T("277080456")</f>
        <v>277080456</v>
      </c>
      <c r="G3474" t="str">
        <f>T("RM 361 TRENT HALL")</f>
        <v>RM 361 TRENT HALL</v>
      </c>
      <c r="H3474" t="str">
        <f>T("TRENT DR")</f>
        <v>TRENT DR</v>
      </c>
      <c r="I3474" t="str">
        <f t="shared" ref="I3474:I3479" si="1386">T("DURHAM")</f>
        <v>DURHAM</v>
      </c>
      <c r="J3474" t="str">
        <f t="shared" ref="J3474:J3479" si="1387">T("NC")</f>
        <v>NC</v>
      </c>
      <c r="K3474" t="str">
        <f>T("9196603712")</f>
        <v>9196603712</v>
      </c>
      <c r="L3474" t="str">
        <f>T("9196603703")</f>
        <v>9196603703</v>
      </c>
    </row>
    <row r="3475" spans="1:12" x14ac:dyDescent="0.35">
      <c r="A3475" t="str">
        <f t="shared" si="1382"/>
        <v>NROTC PIEDMONT CONSORTIUM</v>
      </c>
      <c r="B3475" t="str">
        <f>T("RM 361 TRENT HALL")</f>
        <v>RM 361 TRENT HALL</v>
      </c>
      <c r="C3475" t="str">
        <f t="shared" si="1383"/>
        <v>TRENT DR</v>
      </c>
      <c r="D3475" t="str">
        <f t="shared" si="1384"/>
        <v>DURHAM</v>
      </c>
      <c r="E3475" t="str">
        <f t="shared" si="1385"/>
        <v>NC</v>
      </c>
      <c r="F3475" t="str">
        <f>T("277080456")</f>
        <v>277080456</v>
      </c>
      <c r="G3475" t="str">
        <f>T("RM 361 TRENT HALL")</f>
        <v>RM 361 TRENT HALL</v>
      </c>
      <c r="H3475" t="str">
        <f>T("TRENT DR BOX 90456")</f>
        <v>TRENT DR BOX 90456</v>
      </c>
      <c r="I3475" t="str">
        <f t="shared" si="1386"/>
        <v>DURHAM</v>
      </c>
      <c r="J3475" t="str">
        <f t="shared" si="1387"/>
        <v>NC</v>
      </c>
      <c r="K3475" t="str">
        <f>T("000000000000000000")</f>
        <v>000000000000000000</v>
      </c>
      <c r="L3475" t="str">
        <f>T("9195134865")</f>
        <v>9195134865</v>
      </c>
    </row>
    <row r="3476" spans="1:12" x14ac:dyDescent="0.35">
      <c r="A3476" t="str">
        <f t="shared" si="1382"/>
        <v>NROTC PIEDMONT CONSORTIUM</v>
      </c>
      <c r="B3476" t="str">
        <f>T("RM 361 TRENT HALL")</f>
        <v>RM 361 TRENT HALL</v>
      </c>
      <c r="C3476" t="str">
        <f t="shared" si="1383"/>
        <v>TRENT DR</v>
      </c>
      <c r="D3476" t="str">
        <f t="shared" si="1384"/>
        <v>DURHAM</v>
      </c>
      <c r="E3476" t="str">
        <f t="shared" si="1385"/>
        <v>NC</v>
      </c>
      <c r="F3476" t="str">
        <f>T("277080456")</f>
        <v>277080456</v>
      </c>
      <c r="G3476" t="str">
        <f>T("TRENT HALL ROOM 361")</f>
        <v>TRENT HALL ROOM 361</v>
      </c>
      <c r="H3476" t="str">
        <f>T("TRENT DR BOX 90456")</f>
        <v>TRENT DR BOX 90456</v>
      </c>
      <c r="I3476" t="str">
        <f t="shared" si="1386"/>
        <v>DURHAM</v>
      </c>
      <c r="J3476" t="str">
        <f t="shared" si="1387"/>
        <v>NC</v>
      </c>
      <c r="K3476" t="str">
        <f>T("000000000000000000")</f>
        <v>000000000000000000</v>
      </c>
      <c r="L3476" t="str">
        <f>T("9196603710")</f>
        <v>9196603710</v>
      </c>
    </row>
    <row r="3477" spans="1:12" x14ac:dyDescent="0.35">
      <c r="A3477" t="str">
        <f t="shared" si="1382"/>
        <v>NROTC PIEDMONT CONSORTIUM</v>
      </c>
      <c r="B3477" t="str">
        <f>T("ROOM 361 TRENT HALL")</f>
        <v>ROOM 361 TRENT HALL</v>
      </c>
      <c r="C3477" t="str">
        <f t="shared" si="1383"/>
        <v>TRENT DR</v>
      </c>
      <c r="D3477" t="str">
        <f t="shared" si="1384"/>
        <v>DURHAM</v>
      </c>
      <c r="E3477" t="str">
        <f t="shared" si="1385"/>
        <v>NC</v>
      </c>
      <c r="F3477" t="str">
        <f>T("277080001")</f>
        <v>277080001</v>
      </c>
      <c r="G3477" t="str">
        <f>T("ROOM 361 TRENT HALL")</f>
        <v>ROOM 361 TRENT HALL</v>
      </c>
      <c r="H3477" t="str">
        <f>T("TRENT DR")</f>
        <v>TRENT DR</v>
      </c>
      <c r="I3477" t="str">
        <f t="shared" si="1386"/>
        <v>DURHAM</v>
      </c>
      <c r="J3477" t="str">
        <f t="shared" si="1387"/>
        <v>NC</v>
      </c>
      <c r="K3477" t="str">
        <f>T("")</f>
        <v/>
      </c>
      <c r="L3477" t="str">
        <f>T("9196603703")</f>
        <v>9196603703</v>
      </c>
    </row>
    <row r="3478" spans="1:12" x14ac:dyDescent="0.35">
      <c r="A3478" t="str">
        <f t="shared" si="1382"/>
        <v>NROTC PIEDMONT CONSORTIUM</v>
      </c>
      <c r="B3478" t="str">
        <f>T("ROOM 361 TRENT HALL")</f>
        <v>ROOM 361 TRENT HALL</v>
      </c>
      <c r="C3478" t="str">
        <f t="shared" si="1383"/>
        <v>TRENT DR</v>
      </c>
      <c r="D3478" t="str">
        <f t="shared" si="1384"/>
        <v>DURHAM</v>
      </c>
      <c r="E3478" t="str">
        <f t="shared" si="1385"/>
        <v>NC</v>
      </c>
      <c r="F3478" t="str">
        <f>T("277080001")</f>
        <v>277080001</v>
      </c>
      <c r="G3478" t="str">
        <f>T("TRENT HALL TRENT DR ROOM 361")</f>
        <v>TRENT HALL TRENT DR ROOM 361</v>
      </c>
      <c r="H3478" t="str">
        <f>T("CAMPUS BOX 90456")</f>
        <v>CAMPUS BOX 90456</v>
      </c>
      <c r="I3478" t="str">
        <f t="shared" si="1386"/>
        <v>DURHAM</v>
      </c>
      <c r="J3478" t="str">
        <f t="shared" si="1387"/>
        <v>NC</v>
      </c>
      <c r="K3478" t="str">
        <f>T("000000000000000000")</f>
        <v>000000000000000000</v>
      </c>
      <c r="L3478" t="str">
        <f>T("9195134865")</f>
        <v>9195134865</v>
      </c>
    </row>
    <row r="3479" spans="1:12" x14ac:dyDescent="0.35">
      <c r="A3479" t="str">
        <f t="shared" si="1382"/>
        <v>NROTC PIEDMONT CONSORTIUM</v>
      </c>
      <c r="B3479" t="str">
        <f>T("ROOM 361 TRENT HALL")</f>
        <v>ROOM 361 TRENT HALL</v>
      </c>
      <c r="C3479" t="str">
        <f t="shared" si="1383"/>
        <v>TRENT DR</v>
      </c>
      <c r="D3479" t="str">
        <f t="shared" si="1384"/>
        <v>DURHAM</v>
      </c>
      <c r="E3479" t="str">
        <f t="shared" si="1385"/>
        <v>NC</v>
      </c>
      <c r="F3479" t="str">
        <f>T("277080001")</f>
        <v>277080001</v>
      </c>
      <c r="G3479" t="str">
        <f>T("TRENT HALL TRENT DRIVE RM 361")</f>
        <v>TRENT HALL TRENT DRIVE RM 361</v>
      </c>
      <c r="H3479" t="str">
        <f>T("CAMPUS BOX 90456")</f>
        <v>CAMPUS BOX 90456</v>
      </c>
      <c r="I3479" t="str">
        <f t="shared" si="1386"/>
        <v>DURHAM</v>
      </c>
      <c r="J3479" t="str">
        <f t="shared" si="1387"/>
        <v>NC</v>
      </c>
      <c r="K3479" t="str">
        <f>T("000000000000000000")</f>
        <v>000000000000000000</v>
      </c>
      <c r="L3479" t="str">
        <f>T("9196603710")</f>
        <v>9196603710</v>
      </c>
    </row>
    <row r="3480" spans="1:12" x14ac:dyDescent="0.35">
      <c r="A3480" t="str">
        <f>T("NROTCU ATLANTA REGION")</f>
        <v>NROTCU ATLANTA REGION</v>
      </c>
      <c r="B3480" t="str">
        <f>T("225 NORTH AVE NW")</f>
        <v>225 NORTH AVE NW</v>
      </c>
      <c r="C3480" t="str">
        <f>T("")</f>
        <v/>
      </c>
      <c r="D3480" t="str">
        <f>T("ATLANTA")</f>
        <v>ATLANTA</v>
      </c>
      <c r="E3480" t="str">
        <f>T("GA")</f>
        <v>GA</v>
      </c>
      <c r="F3480" t="str">
        <f>T("303320001")</f>
        <v>303320001</v>
      </c>
      <c r="G3480" t="str">
        <f>T("225 NORTH AVE NW")</f>
        <v>225 NORTH AVE NW</v>
      </c>
      <c r="H3480" t="str">
        <f>T("")</f>
        <v/>
      </c>
      <c r="I3480" t="str">
        <f>T("ATLANTA")</f>
        <v>ATLANTA</v>
      </c>
      <c r="J3480" t="str">
        <f>T("GA")</f>
        <v>GA</v>
      </c>
      <c r="K3480" t="str">
        <f>T("")</f>
        <v/>
      </c>
      <c r="L3480" t="str">
        <f>T("4043856305")</f>
        <v>4043856305</v>
      </c>
    </row>
    <row r="3481" spans="1:12" x14ac:dyDescent="0.35">
      <c r="A3481" t="str">
        <f>T("NROTCU ATLANTA REGION")</f>
        <v>NROTCU ATLANTA REGION</v>
      </c>
      <c r="B3481" t="str">
        <f>T("225 NORTH AVE NW")</f>
        <v>225 NORTH AVE NW</v>
      </c>
      <c r="C3481" t="str">
        <f>T("")</f>
        <v/>
      </c>
      <c r="D3481" t="str">
        <f>T("ATLANTA")</f>
        <v>ATLANTA</v>
      </c>
      <c r="E3481" t="str">
        <f>T("GA")</f>
        <v>GA</v>
      </c>
      <c r="F3481" t="str">
        <f>T("303320001")</f>
        <v>303320001</v>
      </c>
      <c r="G3481" t="str">
        <f>T("NROTCU ATLANTA REGION")</f>
        <v>NROTCU ATLANTA REGION</v>
      </c>
      <c r="H3481" t="str">
        <f>T("GA TECH 151 6TH ST")</f>
        <v>GA TECH 151 6TH ST</v>
      </c>
      <c r="I3481" t="str">
        <f>T("ATLANTA")</f>
        <v>ATLANTA</v>
      </c>
      <c r="J3481" t="str">
        <f>T("GA")</f>
        <v>GA</v>
      </c>
      <c r="K3481" t="str">
        <f>T("000000000000000000")</f>
        <v>000000000000000000</v>
      </c>
      <c r="L3481" t="str">
        <f>T("4043856310")</f>
        <v>4043856310</v>
      </c>
    </row>
    <row r="3482" spans="1:12" x14ac:dyDescent="0.35">
      <c r="A3482" t="str">
        <f>T("NROTCU ATLANTA REGION")</f>
        <v>NROTCU ATLANTA REGION</v>
      </c>
      <c r="B3482" t="str">
        <f>T("225 NORTH AVE NW")</f>
        <v>225 NORTH AVE NW</v>
      </c>
      <c r="C3482" t="str">
        <f>T("")</f>
        <v/>
      </c>
      <c r="D3482" t="str">
        <f>T("ATLANTA")</f>
        <v>ATLANTA</v>
      </c>
      <c r="E3482" t="str">
        <f>T("GA")</f>
        <v>GA</v>
      </c>
      <c r="F3482" t="str">
        <f>T("303320125")</f>
        <v>303320125</v>
      </c>
      <c r="G3482" t="str">
        <f>T("225 NORTH AVE NW")</f>
        <v>225 NORTH AVE NW</v>
      </c>
      <c r="H3482" t="str">
        <f>T("")</f>
        <v/>
      </c>
      <c r="I3482" t="str">
        <f>T("ATLANTA")</f>
        <v>ATLANTA</v>
      </c>
      <c r="J3482" t="str">
        <f>T("GA")</f>
        <v>GA</v>
      </c>
      <c r="K3482" t="str">
        <f>T("4048946029")</f>
        <v>4048946029</v>
      </c>
      <c r="L3482" t="str">
        <f>T("4043856305")</f>
        <v>4043856305</v>
      </c>
    </row>
    <row r="3483" spans="1:12" x14ac:dyDescent="0.35">
      <c r="A3483" t="str">
        <f>T("NROTCU ATLANTA REGION")</f>
        <v>NROTCU ATLANTA REGION</v>
      </c>
      <c r="B3483" t="str">
        <f>T("225 NORTH AVE NW")</f>
        <v>225 NORTH AVE NW</v>
      </c>
      <c r="C3483" t="str">
        <f>T("")</f>
        <v/>
      </c>
      <c r="D3483" t="str">
        <f>T("ATLANTA")</f>
        <v>ATLANTA</v>
      </c>
      <c r="E3483" t="str">
        <f>T("GA")</f>
        <v>GA</v>
      </c>
      <c r="F3483" t="str">
        <f>T("303320125")</f>
        <v>303320125</v>
      </c>
      <c r="G3483" t="str">
        <f>T("NROTCU ATLANTA REGION")</f>
        <v>NROTCU ATLANTA REGION</v>
      </c>
      <c r="H3483" t="str">
        <f>T("GA TECH 151 6TH ST")</f>
        <v>GA TECH 151 6TH ST</v>
      </c>
      <c r="I3483" t="str">
        <f>T("ATLANTA")</f>
        <v>ATLANTA</v>
      </c>
      <c r="J3483" t="str">
        <f>T("GA")</f>
        <v>GA</v>
      </c>
      <c r="K3483" t="str">
        <f>T("000000000000000000")</f>
        <v>000000000000000000</v>
      </c>
      <c r="L3483" t="str">
        <f>T("4043856310")</f>
        <v>4043856310</v>
      </c>
    </row>
    <row r="3484" spans="1:12" x14ac:dyDescent="0.35">
      <c r="A3484" t="str">
        <f>T("NROTC HOLY CROSS")</f>
        <v>NROTC HOLY CROSS</v>
      </c>
      <c r="B3484" t="str">
        <f>T("1 COLLEGE ST")</f>
        <v>1 COLLEGE ST</v>
      </c>
      <c r="C3484" t="str">
        <f>T("BOX E")</f>
        <v>BOX E</v>
      </c>
      <c r="D3484" t="str">
        <f>T("WORCESTER")</f>
        <v>WORCESTER</v>
      </c>
      <c r="E3484" t="str">
        <f>T("MA")</f>
        <v>MA</v>
      </c>
      <c r="F3484" t="str">
        <f>T("016102322")</f>
        <v>016102322</v>
      </c>
      <c r="G3484" t="str">
        <f>T("1 COLLEGE ST")</f>
        <v>1 COLLEGE ST</v>
      </c>
      <c r="H3484" t="str">
        <f>T("BOX E")</f>
        <v>BOX E</v>
      </c>
      <c r="I3484" t="str">
        <f>T("WORCESTER")</f>
        <v>WORCESTER</v>
      </c>
      <c r="J3484" t="str">
        <f>T("MA")</f>
        <v>MA</v>
      </c>
      <c r="K3484" t="str">
        <f>T("")</f>
        <v/>
      </c>
      <c r="L3484" t="str">
        <f>T("5087932243")</f>
        <v>5087932243</v>
      </c>
    </row>
    <row r="3485" spans="1:12" x14ac:dyDescent="0.35">
      <c r="A3485" t="str">
        <f>T("NROTC HOLY CROSS")</f>
        <v>NROTC HOLY CROSS</v>
      </c>
      <c r="B3485" t="str">
        <f>T("1 COLLEGE ST")</f>
        <v>1 COLLEGE ST</v>
      </c>
      <c r="C3485" t="str">
        <f>T("BOX E")</f>
        <v>BOX E</v>
      </c>
      <c r="D3485" t="str">
        <f>T("WORCESTER")</f>
        <v>WORCESTER</v>
      </c>
      <c r="E3485" t="str">
        <f>T("MA")</f>
        <v>MA</v>
      </c>
      <c r="F3485" t="str">
        <f>T("016102322")</f>
        <v>016102322</v>
      </c>
      <c r="G3485" t="str">
        <f>T("1 COLLEGE STREET DRAWER E")</f>
        <v>1 COLLEGE STREET DRAWER E</v>
      </c>
      <c r="H3485" t="str">
        <f>T("")</f>
        <v/>
      </c>
      <c r="I3485" t="str">
        <f>T("WORCESTER")</f>
        <v>WORCESTER</v>
      </c>
      <c r="J3485" t="str">
        <f>T("MA")</f>
        <v>MA</v>
      </c>
      <c r="K3485" t="str">
        <f>T("000000000000000000")</f>
        <v>000000000000000000</v>
      </c>
      <c r="L3485" t="str">
        <f>T("5087933354")</f>
        <v>5087933354</v>
      </c>
    </row>
    <row r="3486" spans="1:12" x14ac:dyDescent="0.35">
      <c r="A3486" t="str">
        <f>T("NROTC HOLY CROSS")</f>
        <v>NROTC HOLY CROSS</v>
      </c>
      <c r="B3486" t="str">
        <f>T("NROTC HOLY CROSS")</f>
        <v>NROTC HOLY CROSS</v>
      </c>
      <c r="C3486" t="str">
        <f>T("1 COLLEGE STREET")</f>
        <v>1 COLLEGE STREET</v>
      </c>
      <c r="D3486" t="str">
        <f>T("WORCESTER")</f>
        <v>WORCESTER</v>
      </c>
      <c r="E3486" t="str">
        <f>T("MA")</f>
        <v>MA</v>
      </c>
      <c r="F3486" t="str">
        <f>T("016102395")</f>
        <v>016102395</v>
      </c>
      <c r="G3486" t="str">
        <f>T("NROTC HOLY CROSS")</f>
        <v>NROTC HOLY CROSS</v>
      </c>
      <c r="H3486" t="str">
        <f>T("1 COLLEGE STREET")</f>
        <v>1 COLLEGE STREET</v>
      </c>
      <c r="I3486" t="str">
        <f>T("WORCESTER")</f>
        <v>WORCESTER</v>
      </c>
      <c r="J3486" t="str">
        <f>T("MA")</f>
        <v>MA</v>
      </c>
      <c r="K3486" t="str">
        <f>T("5087932373")</f>
        <v>5087932373</v>
      </c>
      <c r="L3486" t="str">
        <f>T("5087933342")</f>
        <v>5087933342</v>
      </c>
    </row>
    <row r="3487" spans="1:12" x14ac:dyDescent="0.35">
      <c r="A3487" t="str">
        <f>T("NROTC HOLY CROSS")</f>
        <v>NROTC HOLY CROSS</v>
      </c>
      <c r="B3487" t="str">
        <f>T("NROTC HOLY CROSS")</f>
        <v>NROTC HOLY CROSS</v>
      </c>
      <c r="C3487" t="str">
        <f>T("1 COLLEGE STREET")</f>
        <v>1 COLLEGE STREET</v>
      </c>
      <c r="D3487" t="str">
        <f>T("WORCESTER")</f>
        <v>WORCESTER</v>
      </c>
      <c r="E3487" t="str">
        <f>T("MA")</f>
        <v>MA</v>
      </c>
      <c r="F3487" t="str">
        <f>T("016102395")</f>
        <v>016102395</v>
      </c>
      <c r="G3487" t="str">
        <f>T("SUPPLY OFFICER NROTC HOLY CROSS")</f>
        <v>SUPPLY OFFICER NROTC HOLY CROSS</v>
      </c>
      <c r="H3487" t="str">
        <f>T("1 COLLEGE ST BOX E")</f>
        <v>1 COLLEGE ST BOX E</v>
      </c>
      <c r="I3487" t="str">
        <f>T("WORCESTER")</f>
        <v>WORCESTER</v>
      </c>
      <c r="J3487" t="str">
        <f>T("MA")</f>
        <v>MA</v>
      </c>
      <c r="K3487" t="str">
        <f>T("000000000000000000")</f>
        <v>000000000000000000</v>
      </c>
      <c r="L3487" t="str">
        <f>T("5087933354")</f>
        <v>5087933354</v>
      </c>
    </row>
    <row r="3488" spans="1:12" x14ac:dyDescent="0.35">
      <c r="A3488" t="str">
        <f>T("NROTCU MARYLAND CONSORTIUM")</f>
        <v>NROTCU MARYLAND CONSORTIUM</v>
      </c>
      <c r="B3488" t="str">
        <f>T("5449 WILKENS AVE")</f>
        <v>5449 WILKENS AVE</v>
      </c>
      <c r="C3488" t="str">
        <f>T("")</f>
        <v/>
      </c>
      <c r="D3488" t="str">
        <f>T("BALTIMORE")</f>
        <v>BALTIMORE</v>
      </c>
      <c r="E3488" t="str">
        <f>T("MD")</f>
        <v>MD</v>
      </c>
      <c r="F3488" t="str">
        <f>T("212500001")</f>
        <v>212500001</v>
      </c>
      <c r="G3488" t="str">
        <f>T("5449 WILKENS AVE")</f>
        <v>5449 WILKENS AVE</v>
      </c>
      <c r="H3488" t="str">
        <f>T("")</f>
        <v/>
      </c>
      <c r="I3488" t="str">
        <f>T("BALTIMORE")</f>
        <v>BALTIMORE</v>
      </c>
      <c r="J3488" t="str">
        <f>T("MD")</f>
        <v>MD</v>
      </c>
      <c r="K3488" t="str">
        <f>T("000000000000000000")</f>
        <v>000000000000000000</v>
      </c>
      <c r="L3488" t="str">
        <f>T("3013146289")</f>
        <v>3013146289</v>
      </c>
    </row>
    <row r="3489" spans="1:12" x14ac:dyDescent="0.35">
      <c r="A3489" t="str">
        <f>T("NROTCU MARYLAND CONSORTIUM")</f>
        <v>NROTCU MARYLAND CONSORTIUM</v>
      </c>
      <c r="B3489" t="str">
        <f>T("5449 WILKENS AVE")</f>
        <v>5449 WILKENS AVE</v>
      </c>
      <c r="C3489" t="str">
        <f>T("")</f>
        <v/>
      </c>
      <c r="D3489" t="str">
        <f>T("BALTIMORE")</f>
        <v>BALTIMORE</v>
      </c>
      <c r="E3489" t="str">
        <f>T("MD")</f>
        <v>MD</v>
      </c>
      <c r="F3489" t="str">
        <f>T("212500001")</f>
        <v>212500001</v>
      </c>
      <c r="G3489" t="str">
        <f>T("5449 WILKENS AVE")</f>
        <v>5449 WILKENS AVE</v>
      </c>
      <c r="H3489" t="str">
        <f>T("")</f>
        <v/>
      </c>
      <c r="I3489" t="str">
        <f>T("BALTIMORE")</f>
        <v>BALTIMORE</v>
      </c>
      <c r="J3489" t="str">
        <f>T("MD")</f>
        <v>MD</v>
      </c>
      <c r="K3489" t="str">
        <f>T("000000000000000000")</f>
        <v>000000000000000000</v>
      </c>
      <c r="L3489" t="str">
        <f>T("3013146299")</f>
        <v>3013146299</v>
      </c>
    </row>
    <row r="3490" spans="1:12" x14ac:dyDescent="0.35">
      <c r="A3490" t="str">
        <f>T("NROTCU MARYLAND CONSORTIUM")</f>
        <v>NROTCU MARYLAND CONSORTIUM</v>
      </c>
      <c r="B3490" t="str">
        <f>T("5449 WILKENS AVE")</f>
        <v>5449 WILKENS AVE</v>
      </c>
      <c r="C3490" t="str">
        <f>T("")</f>
        <v/>
      </c>
      <c r="D3490" t="str">
        <f>T("BALTIMORE")</f>
        <v>BALTIMORE</v>
      </c>
      <c r="E3490" t="str">
        <f>T("MD")</f>
        <v>MD</v>
      </c>
      <c r="F3490" t="str">
        <f>T("212500001")</f>
        <v>212500001</v>
      </c>
      <c r="G3490" t="str">
        <f>T("RECKORD ARMORY")</f>
        <v>RECKORD ARMORY</v>
      </c>
      <c r="H3490" t="str">
        <f>T("4490 ROSSBOROUGH LN")</f>
        <v>4490 ROSSBOROUGH LN</v>
      </c>
      <c r="I3490" t="str">
        <f>T("COLLEGE PARK")</f>
        <v>COLLEGE PARK</v>
      </c>
      <c r="J3490" t="str">
        <f>T("MD")</f>
        <v>MD</v>
      </c>
      <c r="K3490" t="str">
        <f>T("000000000000000000")</f>
        <v>000000000000000000</v>
      </c>
      <c r="L3490" t="str">
        <f>T("4846786082")</f>
        <v>4846786082</v>
      </c>
    </row>
    <row r="3491" spans="1:12" x14ac:dyDescent="0.35">
      <c r="A3491" t="str">
        <f>T("NROTC MIAMI UNIV")</f>
        <v>NROTC MIAMI UNIV</v>
      </c>
      <c r="B3491" t="str">
        <f>T("NROTC MIAMI UNIVERSITY")</f>
        <v>NROTC MIAMI UNIVERSITY</v>
      </c>
      <c r="C3491" t="str">
        <f>T("67 MILLETT HALL")</f>
        <v>67 MILLETT HALL</v>
      </c>
      <c r="D3491" t="str">
        <f>T("OXFORD")</f>
        <v>OXFORD</v>
      </c>
      <c r="E3491" t="str">
        <f>T("OH")</f>
        <v>OH</v>
      </c>
      <c r="F3491" t="str">
        <f>T("450560000")</f>
        <v>450560000</v>
      </c>
      <c r="G3491" t="str">
        <f>T("NROTC MIAMI UNIVERSITY")</f>
        <v>NROTC MIAMI UNIVERSITY</v>
      </c>
      <c r="H3491" t="str">
        <f>T("67 MILLETT HALL")</f>
        <v>67 MILLETT HALL</v>
      </c>
      <c r="I3491" t="str">
        <f>T("OXFORD")</f>
        <v>OXFORD</v>
      </c>
      <c r="J3491" t="str">
        <f>T("OH")</f>
        <v>OH</v>
      </c>
      <c r="K3491" t="str">
        <f>T("000000000000000000")</f>
        <v>000000000000000000</v>
      </c>
      <c r="L3491" t="str">
        <f>T("5135293700")</f>
        <v>5135293700</v>
      </c>
    </row>
    <row r="3492" spans="1:12" x14ac:dyDescent="0.35">
      <c r="A3492" t="str">
        <f>T("NROTC MIAMI UNIV")</f>
        <v>NROTC MIAMI UNIV</v>
      </c>
      <c r="B3492" t="str">
        <f>T("NROTC MIAMI UNIVERSITY")</f>
        <v>NROTC MIAMI UNIVERSITY</v>
      </c>
      <c r="C3492" t="str">
        <f>T("67 MILLETT HALL")</f>
        <v>67 MILLETT HALL</v>
      </c>
      <c r="D3492" t="str">
        <f>T("OXFORD")</f>
        <v>OXFORD</v>
      </c>
      <c r="E3492" t="str">
        <f>T("OH")</f>
        <v>OH</v>
      </c>
      <c r="F3492" t="str">
        <f>T("450560000")</f>
        <v>450560000</v>
      </c>
      <c r="G3492" t="str">
        <f>T("NROTC MIAMI UNIVERSITY")</f>
        <v>NROTC MIAMI UNIVERSITY</v>
      </c>
      <c r="H3492" t="str">
        <f>T("67 MILLETT HALL")</f>
        <v>67 MILLETT HALL</v>
      </c>
      <c r="I3492" t="str">
        <f>T("OXFORD")</f>
        <v>OXFORD</v>
      </c>
      <c r="J3492" t="str">
        <f>T("OH")</f>
        <v>OH</v>
      </c>
      <c r="K3492" t="str">
        <f>T("5135294292")</f>
        <v>5135294292</v>
      </c>
      <c r="L3492" t="str">
        <f>T("5135293700")</f>
        <v>5135293700</v>
      </c>
    </row>
    <row r="3493" spans="1:12" x14ac:dyDescent="0.35">
      <c r="A3493" t="str">
        <f>T("NROTC MID-SOUTH REGION 25")</f>
        <v>NROTC MID-SOUTH REGION 25</v>
      </c>
      <c r="B3493" t="str">
        <f>T("UNIV OF MEMPHIS NROTC")</f>
        <v>UNIV OF MEMPHIS NROTC</v>
      </c>
      <c r="C3493" t="str">
        <f>T("120 HAYDEN HALL")</f>
        <v>120 HAYDEN HALL</v>
      </c>
      <c r="D3493" t="str">
        <f>T("MEMPHIS")</f>
        <v>MEMPHIS</v>
      </c>
      <c r="E3493" t="str">
        <f>T("TN")</f>
        <v>TN</v>
      </c>
      <c r="F3493" t="str">
        <f>T("381523410")</f>
        <v>381523410</v>
      </c>
      <c r="G3493" t="str">
        <f>T("NROTC MID SOUTH REGION")</f>
        <v>NROTC MID SOUTH REGION</v>
      </c>
      <c r="H3493" t="str">
        <f>T("PO BOX 69")</f>
        <v>PO BOX 69</v>
      </c>
      <c r="I3493" t="str">
        <f>T("UNIVERSITY")</f>
        <v>UNIVERSITY</v>
      </c>
      <c r="J3493" t="str">
        <f>T("MS")</f>
        <v>MS</v>
      </c>
      <c r="K3493" t="str">
        <f>T("000000000000000000")</f>
        <v>000000000000000000</v>
      </c>
      <c r="L3493" t="str">
        <f>T("6629155301")</f>
        <v>6629155301</v>
      </c>
    </row>
    <row r="3494" spans="1:12" x14ac:dyDescent="0.35">
      <c r="A3494" t="str">
        <f>T("NROTC MID-SOUTH REGION 25")</f>
        <v>NROTC MID-SOUTH REGION 25</v>
      </c>
      <c r="B3494" t="str">
        <f>T("UNIV OF MEMPHIS NROTC")</f>
        <v>UNIV OF MEMPHIS NROTC</v>
      </c>
      <c r="C3494" t="str">
        <f>T("120 HAYDEN HALL")</f>
        <v>120 HAYDEN HALL</v>
      </c>
      <c r="D3494" t="str">
        <f>T("MEMPHIS")</f>
        <v>MEMPHIS</v>
      </c>
      <c r="E3494" t="str">
        <f>T("TN")</f>
        <v>TN</v>
      </c>
      <c r="F3494" t="str">
        <f>T("381523410")</f>
        <v>381523410</v>
      </c>
      <c r="G3494" t="str">
        <f>T("P O BOX 69")</f>
        <v>P O BOX 69</v>
      </c>
      <c r="H3494" t="str">
        <f>T("")</f>
        <v/>
      </c>
      <c r="I3494" t="str">
        <f>T("UNIVERSITY")</f>
        <v>UNIVERSITY</v>
      </c>
      <c r="J3494" t="str">
        <f>T("MS")</f>
        <v>MS</v>
      </c>
      <c r="K3494" t="str">
        <f>T("000000000000000000")</f>
        <v>000000000000000000</v>
      </c>
      <c r="L3494" t="str">
        <f>T("6629155301")</f>
        <v>6629155301</v>
      </c>
    </row>
    <row r="3495" spans="1:12" x14ac:dyDescent="0.35">
      <c r="A3495" t="str">
        <f>T("NROTC MID-SOUTH REGION 25")</f>
        <v>NROTC MID-SOUTH REGION 25</v>
      </c>
      <c r="B3495" t="str">
        <f>T("UNIV OF MEMPHIS NROTC")</f>
        <v>UNIV OF MEMPHIS NROTC</v>
      </c>
      <c r="C3495" t="str">
        <f>T("120 HAYDEN HALL")</f>
        <v>120 HAYDEN HALL</v>
      </c>
      <c r="D3495" t="str">
        <f>T("MEMPHIS")</f>
        <v>MEMPHIS</v>
      </c>
      <c r="E3495" t="str">
        <f>T("TN")</f>
        <v>TN</v>
      </c>
      <c r="F3495" t="str">
        <f>T("381523410")</f>
        <v>381523410</v>
      </c>
      <c r="G3495" t="str">
        <f>T("UNIV OF MEMPHIS NROTC")</f>
        <v>UNIV OF MEMPHIS NROTC</v>
      </c>
      <c r="H3495" t="str">
        <f>T("120 HAYDEN HALL")</f>
        <v>120 HAYDEN HALL</v>
      </c>
      <c r="I3495" t="str">
        <f>T("MEMPHIS")</f>
        <v>MEMPHIS</v>
      </c>
      <c r="J3495" t="str">
        <f>T("TN")</f>
        <v>TN</v>
      </c>
      <c r="K3495" t="str">
        <f>T("")</f>
        <v/>
      </c>
      <c r="L3495" t="str">
        <f>T("6629155308")</f>
        <v>6629155308</v>
      </c>
    </row>
    <row r="3496" spans="1:12" x14ac:dyDescent="0.35">
      <c r="A3496" t="str">
        <f>T("NROTC MID-SOUTH REGION 25")</f>
        <v>NROTC MID-SOUTH REGION 25</v>
      </c>
      <c r="B3496" t="str">
        <f>T("UNIV OF MEMPHIS NROTC")</f>
        <v>UNIV OF MEMPHIS NROTC</v>
      </c>
      <c r="C3496" t="str">
        <f>T("120 HAYDEN HALL")</f>
        <v>120 HAYDEN HALL</v>
      </c>
      <c r="D3496" t="str">
        <f>T("MEMPHIS")</f>
        <v>MEMPHIS</v>
      </c>
      <c r="E3496" t="str">
        <f>T("TN")</f>
        <v>TN</v>
      </c>
      <c r="F3496" t="str">
        <f>T("381523410")</f>
        <v>381523410</v>
      </c>
      <c r="G3496" t="str">
        <f>T("UNIV OF MEMPHIS NROTC")</f>
        <v>UNIV OF MEMPHIS NROTC</v>
      </c>
      <c r="H3496" t="str">
        <f>T("120 HAYDEN HALL")</f>
        <v>120 HAYDEN HALL</v>
      </c>
      <c r="I3496" t="str">
        <f>T("MEMPHIS")</f>
        <v>MEMPHIS</v>
      </c>
      <c r="J3496" t="str">
        <f>T("TN")</f>
        <v>TN</v>
      </c>
      <c r="K3496" t="str">
        <f>T("9016784353")</f>
        <v>9016784353</v>
      </c>
      <c r="L3496" t="str">
        <f>T("6629156308")</f>
        <v>6629156308</v>
      </c>
    </row>
    <row r="3497" spans="1:12" x14ac:dyDescent="0.35">
      <c r="A3497" t="str">
        <f>T("NROTC MID-SOUTH REGION 25")</f>
        <v>NROTC MID-SOUTH REGION 25</v>
      </c>
      <c r="B3497" t="str">
        <f>T("UNIV OF MEMPHIS NROTC")</f>
        <v>UNIV OF MEMPHIS NROTC</v>
      </c>
      <c r="C3497" t="str">
        <f>T("120 HAYDEN HALL")</f>
        <v>120 HAYDEN HALL</v>
      </c>
      <c r="D3497" t="str">
        <f>T("MEMPHIS")</f>
        <v>MEMPHIS</v>
      </c>
      <c r="E3497" t="str">
        <f>T("TN")</f>
        <v>TN</v>
      </c>
      <c r="F3497" t="str">
        <f>T("381523410")</f>
        <v>381523410</v>
      </c>
      <c r="G3497" t="str">
        <f>T("UNIVERSITY OF MEMPHIS")</f>
        <v>UNIVERSITY OF MEMPHIS</v>
      </c>
      <c r="H3497" t="str">
        <f>T("120 HAYDEN HALL")</f>
        <v>120 HAYDEN HALL</v>
      </c>
      <c r="I3497" t="str">
        <f>T("MEMPHIS")</f>
        <v>MEMPHIS</v>
      </c>
      <c r="J3497" t="str">
        <f>T("TN")</f>
        <v>TN</v>
      </c>
      <c r="K3497" t="str">
        <f>T("000000000000000000")</f>
        <v>000000000000000000</v>
      </c>
      <c r="L3497" t="str">
        <f>T("9016784393")</f>
        <v>9016784393</v>
      </c>
    </row>
    <row r="3498" spans="1:12" x14ac:dyDescent="0.35">
      <c r="A3498" t="str">
        <f>T("NROTC OHIO STATE")</f>
        <v>NROTC OHIO STATE</v>
      </c>
      <c r="B3498" t="str">
        <f>T("2121 TUTTLE PARK PLACE")</f>
        <v>2121 TUTTLE PARK PLACE</v>
      </c>
      <c r="C3498" t="str">
        <f>T("")</f>
        <v/>
      </c>
      <c r="D3498" t="str">
        <f>T("COLUMBUS")</f>
        <v>COLUMBUS</v>
      </c>
      <c r="E3498" t="str">
        <f>T("OH")</f>
        <v>OH</v>
      </c>
      <c r="F3498" t="str">
        <f>T("432101102")</f>
        <v>432101102</v>
      </c>
      <c r="G3498" t="str">
        <f>T("2121 TUTTLE PARK PL")</f>
        <v>2121 TUTTLE PARK PL</v>
      </c>
      <c r="H3498" t="str">
        <f>T("")</f>
        <v/>
      </c>
      <c r="I3498" t="str">
        <f>T("COLUMBUS")</f>
        <v>COLUMBUS</v>
      </c>
      <c r="J3498" t="str">
        <f>T("OH")</f>
        <v>OH</v>
      </c>
      <c r="K3498" t="str">
        <f>T("000000000000000000")</f>
        <v>000000000000000000</v>
      </c>
      <c r="L3498" t="str">
        <f>T("6142924690")</f>
        <v>6142924690</v>
      </c>
    </row>
    <row r="3499" spans="1:12" x14ac:dyDescent="0.35">
      <c r="A3499" t="str">
        <f>T("NROTC OHIO STATE")</f>
        <v>NROTC OHIO STATE</v>
      </c>
      <c r="B3499" t="str">
        <f>T("2121 TUTTLE PARK PLACE")</f>
        <v>2121 TUTTLE PARK PLACE</v>
      </c>
      <c r="C3499" t="str">
        <f>T("")</f>
        <v/>
      </c>
      <c r="D3499" t="str">
        <f>T("COLUMBUS")</f>
        <v>COLUMBUS</v>
      </c>
      <c r="E3499" t="str">
        <f>T("OH")</f>
        <v>OH</v>
      </c>
      <c r="F3499" t="str">
        <f>T("432101102")</f>
        <v>432101102</v>
      </c>
      <c r="G3499" t="str">
        <f>T("2121 TUTTLE PARK PLACE")</f>
        <v>2121 TUTTLE PARK PLACE</v>
      </c>
      <c r="H3499" t="str">
        <f>T("")</f>
        <v/>
      </c>
      <c r="I3499" t="str">
        <f>T("COLUMBUS")</f>
        <v>COLUMBUS</v>
      </c>
      <c r="J3499" t="str">
        <f>T("OH")</f>
        <v>OH</v>
      </c>
      <c r="K3499" t="str">
        <f>T("6142926405")</f>
        <v>6142926405</v>
      </c>
      <c r="L3499" t="str">
        <f>T("6142920030")</f>
        <v>6142920030</v>
      </c>
    </row>
    <row r="3500" spans="1:12" x14ac:dyDescent="0.35">
      <c r="A3500" t="str">
        <f>T("NROTC PENN STATE")</f>
        <v>NROTC PENN STATE</v>
      </c>
      <c r="B3500" t="str">
        <f>T("315 WAGNER BLDG")</f>
        <v>315 WAGNER BLDG</v>
      </c>
      <c r="C3500" t="str">
        <f>T("NROTC UNIT PENN STATE UNIV")</f>
        <v>NROTC UNIT PENN STATE UNIV</v>
      </c>
      <c r="D3500" t="str">
        <f>T("UNIVERSITY PK")</f>
        <v>UNIVERSITY PK</v>
      </c>
      <c r="E3500" t="str">
        <f>T("PA")</f>
        <v>PA</v>
      </c>
      <c r="F3500" t="str">
        <f>T("168023803")</f>
        <v>168023803</v>
      </c>
      <c r="G3500" t="str">
        <f>T("315 WAGNER BLDG")</f>
        <v>315 WAGNER BLDG</v>
      </c>
      <c r="H3500" t="str">
        <f>T("NROTC UNIT PENN STATE UNIV")</f>
        <v>NROTC UNIT PENN STATE UNIV</v>
      </c>
      <c r="I3500" t="str">
        <f>T("UNIVERSITY PK")</f>
        <v>UNIVERSITY PK</v>
      </c>
      <c r="J3500" t="str">
        <f>T("PA")</f>
        <v>PA</v>
      </c>
      <c r="K3500" t="str">
        <f>T("8148638692")</f>
        <v>8148638692</v>
      </c>
      <c r="L3500" t="str">
        <f>T("8148636289")</f>
        <v>8148636289</v>
      </c>
    </row>
    <row r="3501" spans="1:12" x14ac:dyDescent="0.35">
      <c r="A3501" t="str">
        <f>T("NROTC PENN STATE")</f>
        <v>NROTC PENN STATE</v>
      </c>
      <c r="B3501" t="str">
        <f>T("315 WAGNER BLDG")</f>
        <v>315 WAGNER BLDG</v>
      </c>
      <c r="C3501" t="str">
        <f>T("NROTC UNIT PENN STATE UNIV")</f>
        <v>NROTC UNIT PENN STATE UNIV</v>
      </c>
      <c r="D3501" t="str">
        <f>T("UNIVERSITY PK")</f>
        <v>UNIVERSITY PK</v>
      </c>
      <c r="E3501" t="str">
        <f>T("PA")</f>
        <v>PA</v>
      </c>
      <c r="F3501" t="str">
        <f>T("168023803")</f>
        <v>168023803</v>
      </c>
      <c r="G3501" t="str">
        <f>T("315 WAGNER BUILDING")</f>
        <v>315 WAGNER BUILDING</v>
      </c>
      <c r="H3501" t="str">
        <f>T("PENNSYLVANIA STATE UNIVERSITY")</f>
        <v>PENNSYLVANIA STATE UNIVERSITY</v>
      </c>
      <c r="I3501" t="str">
        <f>T("UNIVERSITY PARK")</f>
        <v>UNIVERSITY PARK</v>
      </c>
      <c r="J3501" t="str">
        <f>T("PA")</f>
        <v>PA</v>
      </c>
      <c r="K3501" t="str">
        <f>T("8148638692")</f>
        <v>8148638692</v>
      </c>
      <c r="L3501" t="str">
        <f>T("8148656289")</f>
        <v>8148656289</v>
      </c>
    </row>
    <row r="3502" spans="1:12" x14ac:dyDescent="0.35">
      <c r="A3502" t="str">
        <f>T("NROTC PHILADELPHIA CONS")</f>
        <v>NROTC PHILADELPHIA CONS</v>
      </c>
      <c r="B3502" t="str">
        <f>T("NROTCU PHILDELPHIA UNIV")</f>
        <v>NROTCU PHILDELPHIA UNIV</v>
      </c>
      <c r="C3502" t="str">
        <f>T("3000 SOUTH STREET")</f>
        <v>3000 SOUTH STREET</v>
      </c>
      <c r="D3502" t="str">
        <f>T("PHILADELPHIA")</f>
        <v>PHILADELPHIA</v>
      </c>
      <c r="E3502" t="str">
        <f>T("PA")</f>
        <v>PA</v>
      </c>
      <c r="F3502" t="str">
        <f>T("191046325")</f>
        <v>191046325</v>
      </c>
      <c r="G3502" t="str">
        <f>T("JOHN BARRY HALL")</f>
        <v>JOHN BARRY HALL</v>
      </c>
      <c r="H3502" t="str">
        <f>T("800 LANCASTER AVE")</f>
        <v>800 LANCASTER AVE</v>
      </c>
      <c r="I3502" t="str">
        <f>T("VILLANOVA")</f>
        <v>VILLANOVA</v>
      </c>
      <c r="J3502" t="str">
        <f>T("PA")</f>
        <v>PA</v>
      </c>
      <c r="K3502" t="str">
        <f>T("000000000000000000")</f>
        <v>000000000000000000</v>
      </c>
      <c r="L3502" t="str">
        <f>T("6105197390")</f>
        <v>6105197390</v>
      </c>
    </row>
    <row r="3503" spans="1:12" x14ac:dyDescent="0.35">
      <c r="A3503" t="str">
        <f>T("NROTC PHILADELPHIA CONS")</f>
        <v>NROTC PHILADELPHIA CONS</v>
      </c>
      <c r="B3503" t="str">
        <f>T("NROTCU PHILDELPHIA UNIV")</f>
        <v>NROTCU PHILDELPHIA UNIV</v>
      </c>
      <c r="C3503" t="str">
        <f>T("3000 SOUTH STREET")</f>
        <v>3000 SOUTH STREET</v>
      </c>
      <c r="D3503" t="str">
        <f>T("PHILADELPHIA")</f>
        <v>PHILADELPHIA</v>
      </c>
      <c r="E3503" t="str">
        <f>T("PA")</f>
        <v>PA</v>
      </c>
      <c r="F3503" t="str">
        <f>T("191046325")</f>
        <v>191046325</v>
      </c>
      <c r="G3503" t="str">
        <f>T("NROTC UNIT PHILADELPHIA")</f>
        <v>NROTC UNIT PHILADELPHIA</v>
      </c>
      <c r="H3503" t="str">
        <f>T("3000 SOUTH STREET")</f>
        <v>3000 SOUTH STREET</v>
      </c>
      <c r="I3503" t="str">
        <f>T("PHILADELPHIA")</f>
        <v>PHILADELPHIA</v>
      </c>
      <c r="J3503" t="str">
        <f>T("PA")</f>
        <v>PA</v>
      </c>
      <c r="K3503" t="str">
        <f>T("000000000000000000")</f>
        <v>000000000000000000</v>
      </c>
      <c r="L3503" t="str">
        <f>T("2157466933")</f>
        <v>2157466933</v>
      </c>
    </row>
    <row r="3504" spans="1:12" x14ac:dyDescent="0.35">
      <c r="A3504" t="str">
        <f>T("NROTC PHILADELPHIA CONS")</f>
        <v>NROTC PHILADELPHIA CONS</v>
      </c>
      <c r="B3504" t="str">
        <f>T("NROTCU PHILDELPHIA UNIV")</f>
        <v>NROTCU PHILDELPHIA UNIV</v>
      </c>
      <c r="C3504" t="str">
        <f>T("3000 SOUTH STREET")</f>
        <v>3000 SOUTH STREET</v>
      </c>
      <c r="D3504" t="str">
        <f>T("PHILADELPHIA")</f>
        <v>PHILADELPHIA</v>
      </c>
      <c r="E3504" t="str">
        <f>T("PA")</f>
        <v>PA</v>
      </c>
      <c r="F3504" t="str">
        <f>T("191046325")</f>
        <v>191046325</v>
      </c>
      <c r="G3504" t="str">
        <f>T("NROTCU PHILDELPHIA UNIV")</f>
        <v>NROTCU PHILDELPHIA UNIV</v>
      </c>
      <c r="H3504" t="str">
        <f>T("3000 SOUTH STREET")</f>
        <v>3000 SOUTH STREET</v>
      </c>
      <c r="I3504" t="str">
        <f>T("PHILADELPHIA")</f>
        <v>PHILADELPHIA</v>
      </c>
      <c r="J3504" t="str">
        <f>T("PA")</f>
        <v>PA</v>
      </c>
      <c r="K3504" t="str">
        <f>T("")</f>
        <v/>
      </c>
      <c r="L3504" t="str">
        <f>T("2158987436")</f>
        <v>2158987436</v>
      </c>
    </row>
    <row r="3505" spans="1:12" x14ac:dyDescent="0.35">
      <c r="A3505" t="str">
        <f>T("NROTC SOUTH CAROLINA")</f>
        <v>NROTC SOUTH CAROLINA</v>
      </c>
      <c r="B3505" t="str">
        <f>T("513 PICKENS STREET")</f>
        <v>513 PICKENS STREET</v>
      </c>
      <c r="C3505" t="str">
        <f>T("")</f>
        <v/>
      </c>
      <c r="D3505" t="str">
        <f>T("COLUMBIA")</f>
        <v>COLUMBIA</v>
      </c>
      <c r="E3505" t="str">
        <f>T("SC")</f>
        <v>SC</v>
      </c>
      <c r="F3505" t="str">
        <f>T("292014137")</f>
        <v>292014137</v>
      </c>
      <c r="G3505" t="str">
        <f>T("513 PICKENS ST")</f>
        <v>513 PICKENS ST</v>
      </c>
      <c r="H3505" t="str">
        <f t="shared" ref="H3505:H3510" si="1388">T("")</f>
        <v/>
      </c>
      <c r="I3505" t="str">
        <f>T("COLUMBIA")</f>
        <v>COLUMBIA</v>
      </c>
      <c r="J3505" t="str">
        <f>T("SC")</f>
        <v>SC</v>
      </c>
      <c r="K3505" t="str">
        <f>T("000000000000000000")</f>
        <v>000000000000000000</v>
      </c>
      <c r="L3505" t="str">
        <f>T("8035766099")</f>
        <v>8035766099</v>
      </c>
    </row>
    <row r="3506" spans="1:12" x14ac:dyDescent="0.35">
      <c r="A3506" t="str">
        <f>T("NROTC SOUTH CAROLINA")</f>
        <v>NROTC SOUTH CAROLINA</v>
      </c>
      <c r="B3506" t="str">
        <f>T("513 PICKENS STREET")</f>
        <v>513 PICKENS STREET</v>
      </c>
      <c r="C3506" t="str">
        <f>T("")</f>
        <v/>
      </c>
      <c r="D3506" t="str">
        <f>T("COLUMBIA")</f>
        <v>COLUMBIA</v>
      </c>
      <c r="E3506" t="str">
        <f>T("SC")</f>
        <v>SC</v>
      </c>
      <c r="F3506" t="str">
        <f>T("292014137")</f>
        <v>292014137</v>
      </c>
      <c r="G3506" t="str">
        <f>T("513 PICKENS ST")</f>
        <v>513 PICKENS ST</v>
      </c>
      <c r="H3506" t="str">
        <f t="shared" si="1388"/>
        <v/>
      </c>
      <c r="I3506" t="str">
        <f>T("COLUMBIA")</f>
        <v>COLUMBIA</v>
      </c>
      <c r="J3506" t="str">
        <f>T("SC")</f>
        <v>SC</v>
      </c>
      <c r="K3506" t="str">
        <f>T("000000000000000000")</f>
        <v>000000000000000000</v>
      </c>
      <c r="L3506" t="str">
        <f>T("8037772172")</f>
        <v>8037772172</v>
      </c>
    </row>
    <row r="3507" spans="1:12" x14ac:dyDescent="0.35">
      <c r="A3507" t="str">
        <f>T("NROTC SOUTH CAROLINA")</f>
        <v>NROTC SOUTH CAROLINA</v>
      </c>
      <c r="B3507" t="str">
        <f>T("513 PICKENS STREET")</f>
        <v>513 PICKENS STREET</v>
      </c>
      <c r="C3507" t="str">
        <f>T("")</f>
        <v/>
      </c>
      <c r="D3507" t="str">
        <f>T("COLUMBIA")</f>
        <v>COLUMBIA</v>
      </c>
      <c r="E3507" t="str">
        <f>T("SC")</f>
        <v>SC</v>
      </c>
      <c r="F3507" t="str">
        <f>T("292014137")</f>
        <v>292014137</v>
      </c>
      <c r="G3507" t="str">
        <f>T("513 PICKENS STREET")</f>
        <v>513 PICKENS STREET</v>
      </c>
      <c r="H3507" t="str">
        <f t="shared" si="1388"/>
        <v/>
      </c>
      <c r="I3507" t="str">
        <f>T("COLUMBIA")</f>
        <v>COLUMBIA</v>
      </c>
      <c r="J3507" t="str">
        <f>T("SC")</f>
        <v>SC</v>
      </c>
      <c r="K3507" t="str">
        <f>T("8037772743")</f>
        <v>8037772743</v>
      </c>
      <c r="L3507" t="str">
        <f>T("8037773453")</f>
        <v>8037773453</v>
      </c>
    </row>
    <row r="3508" spans="1:12" x14ac:dyDescent="0.35">
      <c r="A3508" t="str">
        <f>T("NROTC VANDERBILT")</f>
        <v>NROTC VANDERBILT</v>
      </c>
      <c r="B3508" t="str">
        <f>T("1114 19TH AVE SOUTH")</f>
        <v>1114 19TH AVE SOUTH</v>
      </c>
      <c r="C3508" t="str">
        <f>T("")</f>
        <v/>
      </c>
      <c r="D3508" t="str">
        <f>T("NASHVILLE")</f>
        <v>NASHVILLE</v>
      </c>
      <c r="E3508" t="str">
        <f>T("TN")</f>
        <v>TN</v>
      </c>
      <c r="F3508" t="str">
        <f>T("372122191")</f>
        <v>372122191</v>
      </c>
      <c r="G3508" t="str">
        <f>T("1114 19TH AVE S")</f>
        <v>1114 19TH AVE S</v>
      </c>
      <c r="H3508" t="str">
        <f t="shared" si="1388"/>
        <v/>
      </c>
      <c r="I3508" t="str">
        <f>T("NASHVILLE")</f>
        <v>NASHVILLE</v>
      </c>
      <c r="J3508" t="str">
        <f>T("TN")</f>
        <v>TN</v>
      </c>
      <c r="K3508" t="str">
        <f>T("000000000000000000")</f>
        <v>000000000000000000</v>
      </c>
      <c r="L3508" t="str">
        <f>T("6153222671")</f>
        <v>6153222671</v>
      </c>
    </row>
    <row r="3509" spans="1:12" x14ac:dyDescent="0.35">
      <c r="A3509" t="str">
        <f>T("NROTC VANDERBILT")</f>
        <v>NROTC VANDERBILT</v>
      </c>
      <c r="B3509" t="str">
        <f>T("1114 19TH AVE SOUTH")</f>
        <v>1114 19TH AVE SOUTH</v>
      </c>
      <c r="C3509" t="str">
        <f>T("")</f>
        <v/>
      </c>
      <c r="D3509" t="str">
        <f>T("NASHVILLE")</f>
        <v>NASHVILLE</v>
      </c>
      <c r="E3509" t="str">
        <f>T("TN")</f>
        <v>TN</v>
      </c>
      <c r="F3509" t="str">
        <f>T("372122191")</f>
        <v>372122191</v>
      </c>
      <c r="G3509" t="str">
        <f>T("1114 19TH AVE SOUTH")</f>
        <v>1114 19TH AVE SOUTH</v>
      </c>
      <c r="H3509" t="str">
        <f t="shared" si="1388"/>
        <v/>
      </c>
      <c r="I3509" t="str">
        <f>T("NASHVILLE")</f>
        <v>NASHVILLE</v>
      </c>
      <c r="J3509" t="str">
        <f>T("TN")</f>
        <v>TN</v>
      </c>
      <c r="K3509" t="str">
        <f>T("6153432555")</f>
        <v>6153432555</v>
      </c>
      <c r="L3509" t="str">
        <f>T("6153221772")</f>
        <v>6153221772</v>
      </c>
    </row>
    <row r="3510" spans="1:12" x14ac:dyDescent="0.35">
      <c r="A3510" t="str">
        <f>T("NROTC VANDERBILT")</f>
        <v>NROTC VANDERBILT</v>
      </c>
      <c r="B3510" t="str">
        <f>T("NROTC VANDERBILT UNIV")</f>
        <v>NROTC VANDERBILT UNIV</v>
      </c>
      <c r="C3510" t="str">
        <f>T("1114 19TH AVE SOUTH")</f>
        <v>1114 19TH AVE SOUTH</v>
      </c>
      <c r="D3510" t="str">
        <f>T("NASHVILLE")</f>
        <v>NASHVILLE</v>
      </c>
      <c r="E3510" t="str">
        <f>T("TN")</f>
        <v>TN</v>
      </c>
      <c r="F3510" t="str">
        <f>T("372122191")</f>
        <v>372122191</v>
      </c>
      <c r="G3510" t="str">
        <f>T("1114 19TH AVE SOUTH")</f>
        <v>1114 19TH AVE SOUTH</v>
      </c>
      <c r="H3510" t="str">
        <f t="shared" si="1388"/>
        <v/>
      </c>
      <c r="I3510" t="str">
        <f>T("NASHVILLE")</f>
        <v>NASHVILLE</v>
      </c>
      <c r="J3510" t="str">
        <f>T("TN")</f>
        <v>TN</v>
      </c>
      <c r="K3510" t="str">
        <f>T("000000000000000000")</f>
        <v>000000000000000000</v>
      </c>
      <c r="L3510" t="str">
        <f>T("6153223559")</f>
        <v>6153223559</v>
      </c>
    </row>
    <row r="3511" spans="1:12" x14ac:dyDescent="0.35">
      <c r="A3511" t="str">
        <f>T("NROTC VANDERBILT")</f>
        <v>NROTC VANDERBILT</v>
      </c>
      <c r="B3511" t="str">
        <f>T("NROTC VANDERBILT UNIV")</f>
        <v>NROTC VANDERBILT UNIV</v>
      </c>
      <c r="C3511" t="str">
        <f>T("1114 19TH AVE SOUTH")</f>
        <v>1114 19TH AVE SOUTH</v>
      </c>
      <c r="D3511" t="str">
        <f>T("NASHVILLE")</f>
        <v>NASHVILLE</v>
      </c>
      <c r="E3511" t="str">
        <f>T("TN")</f>
        <v>TN</v>
      </c>
      <c r="F3511" t="str">
        <f>T("372122191")</f>
        <v>372122191</v>
      </c>
      <c r="G3511" t="str">
        <f>T("NROTC VANDERBILT UNIV")</f>
        <v>NROTC VANDERBILT UNIV</v>
      </c>
      <c r="H3511" t="str">
        <f>T("1114 19TH AVE SOUTH")</f>
        <v>1114 19TH AVE SOUTH</v>
      </c>
      <c r="I3511" t="str">
        <f>T("NASHVILLE")</f>
        <v>NASHVILLE</v>
      </c>
      <c r="J3511" t="str">
        <f>T("TN")</f>
        <v>TN</v>
      </c>
      <c r="K3511" t="str">
        <f>T("")</f>
        <v/>
      </c>
      <c r="L3511" t="str">
        <f>T("6153221772")</f>
        <v>6153221772</v>
      </c>
    </row>
    <row r="3512" spans="1:12" x14ac:dyDescent="0.35">
      <c r="A3512" t="str">
        <f t="shared" ref="A3512:A3518" si="1389">T("NROTC UNIV OF VIRGINIA")</f>
        <v>NROTC UNIV OF VIRGINIA</v>
      </c>
      <c r="B3512" t="str">
        <f t="shared" ref="B3512:B3518" si="1390">T("UNIV OF VA MUARY HALL")</f>
        <v>UNIV OF VA MUARY HALL</v>
      </c>
      <c r="C3512" t="str">
        <f t="shared" ref="C3512:C3518" si="1391">T("PO BOX 400158")</f>
        <v>PO BOX 400158</v>
      </c>
      <c r="D3512" t="str">
        <f>T("CHARLOTTESV")</f>
        <v>CHARLOTTESV</v>
      </c>
      <c r="E3512" t="str">
        <f>T("LE")</f>
        <v>LE</v>
      </c>
      <c r="F3512" t="str">
        <f t="shared" ref="F3512:F3518" si="1392">T("229044158")</f>
        <v>229044158</v>
      </c>
      <c r="G3512" t="str">
        <f>T("MAURY HALL- UNIV OF VIRGINIA")</f>
        <v>MAURY HALL- UNIV OF VIRGINIA</v>
      </c>
      <c r="H3512" t="str">
        <f t="shared" ref="H3512:H3518" si="1393">T("PO BOX 400158")</f>
        <v>PO BOX 400158</v>
      </c>
      <c r="I3512" t="str">
        <f>T("CHARLOTTESVILLE")</f>
        <v>CHARLOTTESVILLE</v>
      </c>
      <c r="J3512" t="str">
        <f>T("VA")</f>
        <v>VA</v>
      </c>
      <c r="K3512" t="str">
        <f>T("000000000000000000")</f>
        <v>000000000000000000</v>
      </c>
      <c r="L3512" t="str">
        <f>T("4349240977")</f>
        <v>4349240977</v>
      </c>
    </row>
    <row r="3513" spans="1:12" x14ac:dyDescent="0.35">
      <c r="A3513" t="str">
        <f t="shared" si="1389"/>
        <v>NROTC UNIV OF VIRGINIA</v>
      </c>
      <c r="B3513" t="str">
        <f t="shared" si="1390"/>
        <v>UNIV OF VA MUARY HALL</v>
      </c>
      <c r="C3513" t="str">
        <f t="shared" si="1391"/>
        <v>PO BOX 400158</v>
      </c>
      <c r="D3513" t="str">
        <f>T("CHARLOTTESV")</f>
        <v>CHARLOTTESV</v>
      </c>
      <c r="E3513" t="str">
        <f>T("LE")</f>
        <v>LE</v>
      </c>
      <c r="F3513" t="str">
        <f t="shared" si="1392"/>
        <v>229044158</v>
      </c>
      <c r="G3513" t="str">
        <f>T("MAURY HALLL - UNIV OF VIRGINIA")</f>
        <v>MAURY HALLL - UNIV OF VIRGINIA</v>
      </c>
      <c r="H3513" t="str">
        <f t="shared" si="1393"/>
        <v>PO BOX 400158</v>
      </c>
      <c r="I3513" t="str">
        <f>T("CHARLOTTESVILLE")</f>
        <v>CHARLOTTESVILLE</v>
      </c>
      <c r="J3513" t="str">
        <f>T("VA")</f>
        <v>VA</v>
      </c>
      <c r="K3513" t="str">
        <f>T("000000000000000000")</f>
        <v>000000000000000000</v>
      </c>
      <c r="L3513" t="str">
        <f>T("4349240980")</f>
        <v>4349240980</v>
      </c>
    </row>
    <row r="3514" spans="1:12" x14ac:dyDescent="0.35">
      <c r="A3514" t="str">
        <f t="shared" si="1389"/>
        <v>NROTC UNIV OF VIRGINIA</v>
      </c>
      <c r="B3514" t="str">
        <f t="shared" si="1390"/>
        <v>UNIV OF VA MUARY HALL</v>
      </c>
      <c r="C3514" t="str">
        <f t="shared" si="1391"/>
        <v>PO BOX 400158</v>
      </c>
      <c r="D3514" t="str">
        <f>T("CHARLOTTESV")</f>
        <v>CHARLOTTESV</v>
      </c>
      <c r="E3514" t="str">
        <f>T("LE")</f>
        <v>LE</v>
      </c>
      <c r="F3514" t="str">
        <f t="shared" si="1392"/>
        <v>229044158</v>
      </c>
      <c r="G3514" t="str">
        <f>T("UNIV OF VA MUARY HALL")</f>
        <v>UNIV OF VA MUARY HALL</v>
      </c>
      <c r="H3514" t="str">
        <f t="shared" si="1393"/>
        <v>PO BOX 400158</v>
      </c>
      <c r="I3514" t="str">
        <f>T("CHARLOTTESV")</f>
        <v>CHARLOTTESV</v>
      </c>
      <c r="J3514" t="str">
        <f>T("LE")</f>
        <v>LE</v>
      </c>
      <c r="K3514" t="str">
        <f>T("")</f>
        <v/>
      </c>
      <c r="L3514" t="str">
        <f>T("4349240978")</f>
        <v>4349240978</v>
      </c>
    </row>
    <row r="3515" spans="1:12" x14ac:dyDescent="0.35">
      <c r="A3515" t="str">
        <f t="shared" si="1389"/>
        <v>NROTC UNIV OF VIRGINIA</v>
      </c>
      <c r="B3515" t="str">
        <f t="shared" si="1390"/>
        <v>UNIV OF VA MUARY HALL</v>
      </c>
      <c r="C3515" t="str">
        <f t="shared" si="1391"/>
        <v>PO BOX 400158</v>
      </c>
      <c r="D3515" t="str">
        <f>T("CHARLOTTESVLE")</f>
        <v>CHARLOTTESVLE</v>
      </c>
      <c r="E3515" t="str">
        <f>T("VA")</f>
        <v>VA</v>
      </c>
      <c r="F3515" t="str">
        <f t="shared" si="1392"/>
        <v>229044158</v>
      </c>
      <c r="G3515" t="str">
        <f>T("MAURY HALL - UNIV OF VIRGINIA")</f>
        <v>MAURY HALL - UNIV OF VIRGINIA</v>
      </c>
      <c r="H3515" t="str">
        <f t="shared" si="1393"/>
        <v>PO BOX 400158</v>
      </c>
      <c r="I3515" t="str">
        <f>T("CHARLOTTESVILLE")</f>
        <v>CHARLOTTESVILLE</v>
      </c>
      <c r="J3515" t="str">
        <f>T("VA")</f>
        <v>VA</v>
      </c>
      <c r="K3515" t="str">
        <f>T("000000000000000000")</f>
        <v>000000000000000000</v>
      </c>
      <c r="L3515" t="str">
        <f>T("4349240977")</f>
        <v>4349240977</v>
      </c>
    </row>
    <row r="3516" spans="1:12" x14ac:dyDescent="0.35">
      <c r="A3516" t="str">
        <f t="shared" si="1389"/>
        <v>NROTC UNIV OF VIRGINIA</v>
      </c>
      <c r="B3516" t="str">
        <f t="shared" si="1390"/>
        <v>UNIV OF VA MUARY HALL</v>
      </c>
      <c r="C3516" t="str">
        <f t="shared" si="1391"/>
        <v>PO BOX 400158</v>
      </c>
      <c r="D3516" t="str">
        <f>T("CHARLOTTESVLE")</f>
        <v>CHARLOTTESVLE</v>
      </c>
      <c r="E3516" t="str">
        <f>T("VA")</f>
        <v>VA</v>
      </c>
      <c r="F3516" t="str">
        <f t="shared" si="1392"/>
        <v>229044158</v>
      </c>
      <c r="G3516" t="str">
        <f>T("MAURY HALL-UNIV OF VIRGINIA")</f>
        <v>MAURY HALL-UNIV OF VIRGINIA</v>
      </c>
      <c r="H3516" t="str">
        <f t="shared" si="1393"/>
        <v>PO BOX 400158</v>
      </c>
      <c r="I3516" t="str">
        <f>T("CHARLOTTESVILLE")</f>
        <v>CHARLOTTESVILLE</v>
      </c>
      <c r="J3516" t="str">
        <f>T("VA")</f>
        <v>VA</v>
      </c>
      <c r="K3516" t="str">
        <f>T("000000000000000000")</f>
        <v>000000000000000000</v>
      </c>
      <c r="L3516" t="str">
        <f>T("4349240977")</f>
        <v>4349240977</v>
      </c>
    </row>
    <row r="3517" spans="1:12" x14ac:dyDescent="0.35">
      <c r="A3517" t="str">
        <f t="shared" si="1389"/>
        <v>NROTC UNIV OF VIRGINIA</v>
      </c>
      <c r="B3517" t="str">
        <f t="shared" si="1390"/>
        <v>UNIV OF VA MUARY HALL</v>
      </c>
      <c r="C3517" t="str">
        <f t="shared" si="1391"/>
        <v>PO BOX 400158</v>
      </c>
      <c r="D3517" t="str">
        <f>T("CHARLOTTESVLE")</f>
        <v>CHARLOTTESVLE</v>
      </c>
      <c r="E3517" t="str">
        <f>T("VA")</f>
        <v>VA</v>
      </c>
      <c r="F3517" t="str">
        <f t="shared" si="1392"/>
        <v>229044158</v>
      </c>
      <c r="G3517" t="str">
        <f>T("MAURY HALLL - UNIV OF VIRGINIA")</f>
        <v>MAURY HALLL - UNIV OF VIRGINIA</v>
      </c>
      <c r="H3517" t="str">
        <f t="shared" si="1393"/>
        <v>PO BOX 400158</v>
      </c>
      <c r="I3517" t="str">
        <f>T("CHARLOTTESVILLE")</f>
        <v>CHARLOTTESVILLE</v>
      </c>
      <c r="J3517" t="str">
        <f>T("VA")</f>
        <v>VA</v>
      </c>
      <c r="K3517" t="str">
        <f>T("000000000000000000")</f>
        <v>000000000000000000</v>
      </c>
      <c r="L3517" t="str">
        <f>T("4349240980")</f>
        <v>4349240980</v>
      </c>
    </row>
    <row r="3518" spans="1:12" x14ac:dyDescent="0.35">
      <c r="A3518" t="str">
        <f t="shared" si="1389"/>
        <v>NROTC UNIV OF VIRGINIA</v>
      </c>
      <c r="B3518" t="str">
        <f t="shared" si="1390"/>
        <v>UNIV OF VA MUARY HALL</v>
      </c>
      <c r="C3518" t="str">
        <f t="shared" si="1391"/>
        <v>PO BOX 400158</v>
      </c>
      <c r="D3518" t="str">
        <f>T("CHARLOTTESVLE")</f>
        <v>CHARLOTTESVLE</v>
      </c>
      <c r="E3518" t="str">
        <f>T("VA")</f>
        <v>VA</v>
      </c>
      <c r="F3518" t="str">
        <f t="shared" si="1392"/>
        <v>229044158</v>
      </c>
      <c r="G3518" t="str">
        <f>T("UNIV OF VA MUARY HALL")</f>
        <v>UNIV OF VA MUARY HALL</v>
      </c>
      <c r="H3518" t="str">
        <f t="shared" si="1393"/>
        <v>PO BOX 400158</v>
      </c>
      <c r="I3518" t="str">
        <f>T("CHARLOTTESVLE")</f>
        <v>CHARLOTTESVLE</v>
      </c>
      <c r="J3518" t="str">
        <f>T("VA")</f>
        <v>VA</v>
      </c>
      <c r="K3518" t="str">
        <f>T("4349823087")</f>
        <v>4349823087</v>
      </c>
      <c r="L3518" t="str">
        <f>T("4349240978")</f>
        <v>4349240978</v>
      </c>
    </row>
    <row r="3519" spans="1:12" x14ac:dyDescent="0.35">
      <c r="A3519" t="str">
        <f>T("RUTGERS UNIVERSITY")</f>
        <v>RUTGERS UNIVERSITY</v>
      </c>
      <c r="B3519" t="str">
        <f>T("12 LAFAYETTE")</f>
        <v>12 LAFAYETTE</v>
      </c>
      <c r="C3519" t="str">
        <f>T("")</f>
        <v/>
      </c>
      <c r="D3519" t="str">
        <f>T("NEW BRUNSWICK")</f>
        <v>NEW BRUNSWICK</v>
      </c>
      <c r="E3519" t="str">
        <f>T("NJ")</f>
        <v>NJ</v>
      </c>
      <c r="F3519" t="str">
        <f>T("089011004")</f>
        <v>089011004</v>
      </c>
      <c r="G3519" t="str">
        <f>T("12 LAFAYETTE")</f>
        <v>12 LAFAYETTE</v>
      </c>
      <c r="H3519" t="str">
        <f>T("")</f>
        <v/>
      </c>
      <c r="I3519" t="str">
        <f>T("NEW BRUNSWICK")</f>
        <v>NEW BRUNSWICK</v>
      </c>
      <c r="J3519" t="str">
        <f>T("NJ")</f>
        <v>NJ</v>
      </c>
      <c r="K3519" t="str">
        <f>T("000000000000000000")</f>
        <v>000000000000000000</v>
      </c>
      <c r="L3519" t="str">
        <f>T("8489322309")</f>
        <v>8489322309</v>
      </c>
    </row>
    <row r="3520" spans="1:12" x14ac:dyDescent="0.35">
      <c r="A3520" t="str">
        <f>T("RUTGERS UNIVERSITY")</f>
        <v>RUTGERS UNIVERSITY</v>
      </c>
      <c r="B3520" t="str">
        <f>T("12 LAFAYETTE")</f>
        <v>12 LAFAYETTE</v>
      </c>
      <c r="C3520" t="str">
        <f>T("")</f>
        <v/>
      </c>
      <c r="D3520" t="str">
        <f>T("NEW BRUNSWICK")</f>
        <v>NEW BRUNSWICK</v>
      </c>
      <c r="E3520" t="str">
        <f>T("NJ")</f>
        <v>NJ</v>
      </c>
      <c r="F3520" t="str">
        <f>T("089011004")</f>
        <v>089011004</v>
      </c>
      <c r="G3520" t="str">
        <f>T("12 LAFAYETTE")</f>
        <v>12 LAFAYETTE</v>
      </c>
      <c r="H3520" t="str">
        <f>T("")</f>
        <v/>
      </c>
      <c r="I3520" t="str">
        <f>T("NEW BRUNSWICK")</f>
        <v>NEW BRUNSWICK</v>
      </c>
      <c r="J3520" t="str">
        <f>T("NJ")</f>
        <v>NJ</v>
      </c>
      <c r="K3520" t="str">
        <f>T("7329328410")</f>
        <v>7329328410</v>
      </c>
      <c r="L3520" t="str">
        <f>T("8489322356")</f>
        <v>8489322356</v>
      </c>
    </row>
    <row r="3521" spans="1:12" x14ac:dyDescent="0.35">
      <c r="A3521" t="str">
        <f>T("DEPT OF NAVAL SCIENCE")</f>
        <v>DEPT OF NAVAL SCIENCE</v>
      </c>
      <c r="B3521" t="str">
        <f>T("DPTNAVSCI-CMA")</f>
        <v>DPTNAVSCI-CMA</v>
      </c>
      <c r="C3521" t="str">
        <f>T("200 MARITIME ACADEMY DR")</f>
        <v>200 MARITIME ACADEMY DR</v>
      </c>
      <c r="D3521" t="str">
        <f>T("VALLEJO")</f>
        <v>VALLEJO</v>
      </c>
      <c r="E3521" t="str">
        <f>T("CA")</f>
        <v>CA</v>
      </c>
      <c r="F3521" t="str">
        <f>T("945908181")</f>
        <v>945908181</v>
      </c>
      <c r="G3521" t="str">
        <f>T("200 MARITIME ACADEMY DR")</f>
        <v>200 MARITIME ACADEMY DR</v>
      </c>
      <c r="H3521" t="str">
        <f>T("CA")</f>
        <v>CA</v>
      </c>
      <c r="I3521" t="str">
        <f>T("VALLEJO")</f>
        <v>VALLEJO</v>
      </c>
      <c r="J3521" t="str">
        <f>T("CA")</f>
        <v>CA</v>
      </c>
      <c r="K3521" t="str">
        <f>T("000000000000000000")</f>
        <v>000000000000000000</v>
      </c>
      <c r="L3521" t="str">
        <f>T("7076541266")</f>
        <v>7076541266</v>
      </c>
    </row>
    <row r="3522" spans="1:12" x14ac:dyDescent="0.35">
      <c r="A3522" t="str">
        <f>T("DEPT OF NAVAL SCIENCE")</f>
        <v>DEPT OF NAVAL SCIENCE</v>
      </c>
      <c r="B3522" t="str">
        <f>T("DPTNAVSCI-CMA")</f>
        <v>DPTNAVSCI-CMA</v>
      </c>
      <c r="C3522" t="str">
        <f>T("200 MARITIME ACADEMY DR")</f>
        <v>200 MARITIME ACADEMY DR</v>
      </c>
      <c r="D3522" t="str">
        <f>T("VALLEJO")</f>
        <v>VALLEJO</v>
      </c>
      <c r="E3522" t="str">
        <f>T("CA")</f>
        <v>CA</v>
      </c>
      <c r="F3522" t="str">
        <f>T("945908181")</f>
        <v>945908181</v>
      </c>
      <c r="G3522" t="str">
        <f>T("DPTNAVSCI-CMA")</f>
        <v>DPTNAVSCI-CMA</v>
      </c>
      <c r="H3522" t="str">
        <f>T("200 MARITIME ACADEMY DR")</f>
        <v>200 MARITIME ACADEMY DR</v>
      </c>
      <c r="I3522" t="str">
        <f>T("VALLEJO")</f>
        <v>VALLEJO</v>
      </c>
      <c r="J3522" t="str">
        <f>T("CA")</f>
        <v>CA</v>
      </c>
      <c r="K3522" t="str">
        <f>T("7076541268")</f>
        <v>7076541268</v>
      </c>
      <c r="L3522" t="str">
        <f>T("7076541265")</f>
        <v>7076541265</v>
      </c>
    </row>
    <row r="3523" spans="1:12" x14ac:dyDescent="0.35">
      <c r="A3523" t="str">
        <f>T("NROTC UNITS REGIONAL CITADEL")</f>
        <v>NROTC UNITS REGIONAL CITADEL</v>
      </c>
      <c r="B3523" t="str">
        <f>T("171 MOULTRIE ST JENKINS HALL")</f>
        <v>171 MOULTRIE ST JENKINS HALL</v>
      </c>
      <c r="C3523" t="str">
        <f>T("NROTCU")</f>
        <v>NROTCU</v>
      </c>
      <c r="D3523" t="str">
        <f>T("CHARLESTON")</f>
        <v>CHARLESTON</v>
      </c>
      <c r="E3523" t="str">
        <f>T("SC")</f>
        <v>SC</v>
      </c>
      <c r="F3523" t="str">
        <f>T("294010000")</f>
        <v>294010000</v>
      </c>
      <c r="G3523" t="str">
        <f>T("171 MOULTRIE ST")</f>
        <v>171 MOULTRIE ST</v>
      </c>
      <c r="H3523" t="str">
        <f>T("JENKINS HALL NROTC")</f>
        <v>JENKINS HALL NROTC</v>
      </c>
      <c r="I3523" t="str">
        <f>T("CHARLESTON")</f>
        <v>CHARLESTON</v>
      </c>
      <c r="J3523" t="str">
        <f>T("SC")</f>
        <v>SC</v>
      </c>
      <c r="K3523" t="str">
        <f>T("000000000000000000")</f>
        <v>000000000000000000</v>
      </c>
      <c r="L3523" t="str">
        <f>T("8439535180")</f>
        <v>8439535180</v>
      </c>
    </row>
    <row r="3524" spans="1:12" x14ac:dyDescent="0.35">
      <c r="A3524" t="str">
        <f>T("NROTC UNITS REGIONAL CITADEL")</f>
        <v>NROTC UNITS REGIONAL CITADEL</v>
      </c>
      <c r="B3524" t="str">
        <f>T("171 MOULTRIE ST JENKINS HALL")</f>
        <v>171 MOULTRIE ST JENKINS HALL</v>
      </c>
      <c r="C3524" t="str">
        <f>T("NROTCU")</f>
        <v>NROTCU</v>
      </c>
      <c r="D3524" t="str">
        <f>T("CHARLESTON")</f>
        <v>CHARLESTON</v>
      </c>
      <c r="E3524" t="str">
        <f>T("SC")</f>
        <v>SC</v>
      </c>
      <c r="F3524" t="str">
        <f>T("294010000")</f>
        <v>294010000</v>
      </c>
      <c r="G3524" t="str">
        <f>T("171 MOULTRIE ST JENKINS HALL")</f>
        <v>171 MOULTRIE ST JENKINS HALL</v>
      </c>
      <c r="H3524" t="str">
        <f>T("NROTCU")</f>
        <v>NROTCU</v>
      </c>
      <c r="I3524" t="str">
        <f>T("CHARLESTON")</f>
        <v>CHARLESTON</v>
      </c>
      <c r="J3524" t="str">
        <f>T("SC")</f>
        <v>SC</v>
      </c>
      <c r="K3524" t="str">
        <f>T("")</f>
        <v/>
      </c>
      <c r="L3524" t="str">
        <f>T("8439535250")</f>
        <v>8439535250</v>
      </c>
    </row>
    <row r="3525" spans="1:12" x14ac:dyDescent="0.35">
      <c r="A3525" t="str">
        <f>T("NROTC JACKSONVILLE UNIV")</f>
        <v>NROTC JACKSONVILLE UNIV</v>
      </c>
      <c r="B3525" t="str">
        <f>T("2800 UNIVERSITY BLVD N")</f>
        <v>2800 UNIVERSITY BLVD N</v>
      </c>
      <c r="C3525" t="str">
        <f>T("")</f>
        <v/>
      </c>
      <c r="D3525" t="str">
        <f>T("JACKSONVILLE")</f>
        <v>JACKSONVILLE</v>
      </c>
      <c r="E3525" t="str">
        <f>T("FL")</f>
        <v>FL</v>
      </c>
      <c r="F3525" t="str">
        <f>T("322113321")</f>
        <v>322113321</v>
      </c>
      <c r="G3525" t="str">
        <f>T("2800 UNIVERSITY BLVD N")</f>
        <v>2800 UNIVERSITY BLVD N</v>
      </c>
      <c r="H3525" t="str">
        <f>T("")</f>
        <v/>
      </c>
      <c r="I3525" t="str">
        <f>T("JACKSONVILLE")</f>
        <v>JACKSONVILLE</v>
      </c>
      <c r="J3525" t="str">
        <f>T("FL")</f>
        <v>FL</v>
      </c>
      <c r="K3525" t="str">
        <f>T("9042567499")</f>
        <v>9042567499</v>
      </c>
      <c r="L3525" t="str">
        <f>T("9042567487")</f>
        <v>9042567487</v>
      </c>
    </row>
    <row r="3526" spans="1:12" x14ac:dyDescent="0.35">
      <c r="A3526" t="str">
        <f>T("NROTC JACKSONVILLE UNIV")</f>
        <v>NROTC JACKSONVILLE UNIV</v>
      </c>
      <c r="B3526" t="str">
        <f>T("2800 UNIVERSITY BLVD NORTH")</f>
        <v>2800 UNIVERSITY BLVD NORTH</v>
      </c>
      <c r="C3526" t="str">
        <f>T("")</f>
        <v/>
      </c>
      <c r="D3526" t="str">
        <f>T("JACKSONVILLE")</f>
        <v>JACKSONVILLE</v>
      </c>
      <c r="E3526" t="str">
        <f>T("FL")</f>
        <v>FL</v>
      </c>
      <c r="F3526" t="str">
        <f>T("322113321")</f>
        <v>322113321</v>
      </c>
      <c r="G3526" t="str">
        <f>T("2800 UNIVERSITY BLVD N")</f>
        <v>2800 UNIVERSITY BLVD N</v>
      </c>
      <c r="H3526" t="str">
        <f>T("")</f>
        <v/>
      </c>
      <c r="I3526" t="str">
        <f>T("JACKSONVILLE")</f>
        <v>JACKSONVILLE</v>
      </c>
      <c r="J3526" t="str">
        <f>T("FL")</f>
        <v>FL</v>
      </c>
      <c r="K3526" t="str">
        <f>T("000000000000000000")</f>
        <v>000000000000000000</v>
      </c>
      <c r="L3526" t="str">
        <f>T("9042567492")</f>
        <v>9042567492</v>
      </c>
    </row>
    <row r="3527" spans="1:12" x14ac:dyDescent="0.35">
      <c r="A3527" t="str">
        <f>T("NROTC JACKSONVILLE UNIV")</f>
        <v>NROTC JACKSONVILLE UNIV</v>
      </c>
      <c r="B3527" t="str">
        <f>T("2800 UNIVERSITY BLVD NORTH")</f>
        <v>2800 UNIVERSITY BLVD NORTH</v>
      </c>
      <c r="C3527" t="str">
        <f>T("")</f>
        <v/>
      </c>
      <c r="D3527" t="str">
        <f>T("JACKSONVILLE")</f>
        <v>JACKSONVILLE</v>
      </c>
      <c r="E3527" t="str">
        <f>T("FL")</f>
        <v>FL</v>
      </c>
      <c r="F3527" t="str">
        <f>T("322113321")</f>
        <v>322113321</v>
      </c>
      <c r="G3527" t="str">
        <f>T("2800 UNIVERSITY BLVD NORTH")</f>
        <v>2800 UNIVERSITY BLVD NORTH</v>
      </c>
      <c r="H3527" t="str">
        <f>T("")</f>
        <v/>
      </c>
      <c r="I3527" t="str">
        <f>T("JACKSONVILLE")</f>
        <v>JACKSONVILLE</v>
      </c>
      <c r="J3527" t="str">
        <f>T("FL")</f>
        <v>FL</v>
      </c>
      <c r="K3527" t="str">
        <f>T("")</f>
        <v/>
      </c>
      <c r="L3527" t="str">
        <f>T("9042567487")</f>
        <v>9042567487</v>
      </c>
    </row>
    <row r="3528" spans="1:12" x14ac:dyDescent="0.35">
      <c r="A3528" t="str">
        <f>T("NROTC SAVANNAH")</f>
        <v>NROTC SAVANNAH</v>
      </c>
      <c r="B3528" t="str">
        <f>T("NROTC 200 TOMPKINS RD")</f>
        <v>NROTC 200 TOMPKINS RD</v>
      </c>
      <c r="C3528" t="str">
        <f>T("MCGLOCKTON BLD")</f>
        <v>MCGLOCKTON BLD</v>
      </c>
      <c r="D3528" t="str">
        <f>T("SAVANNAH")</f>
        <v>SAVANNAH</v>
      </c>
      <c r="E3528" t="str">
        <f>T("GA")</f>
        <v>GA</v>
      </c>
      <c r="F3528" t="str">
        <f>T("314049701")</f>
        <v>314049701</v>
      </c>
      <c r="G3528" t="str">
        <f>T("200 TOMPKINS ROAD")</f>
        <v>200 TOMPKINS ROAD</v>
      </c>
      <c r="H3528" t="str">
        <f>T("NAVAL ROTC MCGLOCKTON BLDG")</f>
        <v>NAVAL ROTC MCGLOCKTON BLDG</v>
      </c>
      <c r="I3528" t="str">
        <f>T("SAVANNAH")</f>
        <v>SAVANNAH</v>
      </c>
      <c r="J3528" t="str">
        <f>T("GA")</f>
        <v>GA</v>
      </c>
      <c r="K3528" t="str">
        <f>T("000000000000000000")</f>
        <v>000000000000000000</v>
      </c>
      <c r="L3528" t="str">
        <f>T("9123583086")</f>
        <v>9123583086</v>
      </c>
    </row>
    <row r="3529" spans="1:12" x14ac:dyDescent="0.35">
      <c r="A3529" t="str">
        <f>T("NROTC SAVANNAH")</f>
        <v>NROTC SAVANNAH</v>
      </c>
      <c r="B3529" t="str">
        <f>T("NROTC 200 TOMPKINS RD")</f>
        <v>NROTC 200 TOMPKINS RD</v>
      </c>
      <c r="C3529" t="str">
        <f>T("MCGLOCKTON BLD")</f>
        <v>MCGLOCKTON BLD</v>
      </c>
      <c r="D3529" t="str">
        <f>T("SAVANNAH")</f>
        <v>SAVANNAH</v>
      </c>
      <c r="E3529" t="str">
        <f>T("GA")</f>
        <v>GA</v>
      </c>
      <c r="F3529" t="str">
        <f>T("314049701")</f>
        <v>314049701</v>
      </c>
      <c r="G3529" t="str">
        <f>T("NROTC 200 TOMPKINS RD")</f>
        <v>NROTC 200 TOMPKINS RD</v>
      </c>
      <c r="H3529" t="str">
        <f>T("MCGLOCKTON BLD")</f>
        <v>MCGLOCKTON BLD</v>
      </c>
      <c r="I3529" t="str">
        <f>T("SAVANNAH")</f>
        <v>SAVANNAH</v>
      </c>
      <c r="J3529" t="str">
        <f>T("GA")</f>
        <v>GA</v>
      </c>
      <c r="K3529" t="str">
        <f>T("9123533074")</f>
        <v>9123533074</v>
      </c>
      <c r="L3529" t="str">
        <f>T("9123583087")</f>
        <v>9123583087</v>
      </c>
    </row>
    <row r="3530" spans="1:12" x14ac:dyDescent="0.35">
      <c r="A3530" t="str">
        <f>T("NROTC SOUTHERN UNIV")</f>
        <v>NROTC SOUTHERN UNIV</v>
      </c>
      <c r="B3530" t="str">
        <f>T("PO BOX 9214")</f>
        <v>PO BOX 9214</v>
      </c>
      <c r="C3530" t="str">
        <f>T("")</f>
        <v/>
      </c>
      <c r="D3530" t="str">
        <f>T("BATON ROUGE")</f>
        <v>BATON ROUGE</v>
      </c>
      <c r="E3530" t="str">
        <f>T("LA")</f>
        <v>LA</v>
      </c>
      <c r="F3530" t="str">
        <f>T("708130001")</f>
        <v>708130001</v>
      </c>
      <c r="G3530" t="str">
        <f>T("P O BOX 9214")</f>
        <v>P O BOX 9214</v>
      </c>
      <c r="H3530" t="str">
        <f>T("")</f>
        <v/>
      </c>
      <c r="I3530" t="str">
        <f>T("BATON ROUGE")</f>
        <v>BATON ROUGE</v>
      </c>
      <c r="J3530" t="str">
        <f>T("LA")</f>
        <v>LA</v>
      </c>
      <c r="K3530" t="str">
        <f>T("000000000000000000")</f>
        <v>000000000000000000</v>
      </c>
      <c r="L3530" t="str">
        <f>T("2257714370")</f>
        <v>2257714370</v>
      </c>
    </row>
    <row r="3531" spans="1:12" x14ac:dyDescent="0.35">
      <c r="A3531" t="str">
        <f>T("NROTC SOUTHERN UNIV")</f>
        <v>NROTC SOUTHERN UNIV</v>
      </c>
      <c r="B3531" t="str">
        <f>T("PO BOX 9214")</f>
        <v>PO BOX 9214</v>
      </c>
      <c r="C3531" t="str">
        <f>T("")</f>
        <v/>
      </c>
      <c r="D3531" t="str">
        <f>T("BATON ROUGE")</f>
        <v>BATON ROUGE</v>
      </c>
      <c r="E3531" t="str">
        <f>T("LA")</f>
        <v>LA</v>
      </c>
      <c r="F3531" t="str">
        <f>T("708130001")</f>
        <v>708130001</v>
      </c>
      <c r="G3531" t="str">
        <f>T("PO BOX 9214")</f>
        <v>PO BOX 9214</v>
      </c>
      <c r="H3531" t="str">
        <f>T("")</f>
        <v/>
      </c>
      <c r="I3531" t="str">
        <f>T("BATON ROUGE")</f>
        <v>BATON ROUGE</v>
      </c>
      <c r="J3531" t="str">
        <f>T("LA")</f>
        <v>LA</v>
      </c>
      <c r="K3531" t="str">
        <f>T("2257743604")</f>
        <v>2257743604</v>
      </c>
      <c r="L3531" t="str">
        <f>T("2257713521")</f>
        <v>2257713521</v>
      </c>
    </row>
    <row r="3532" spans="1:12" x14ac:dyDescent="0.35">
      <c r="A3532" t="str">
        <f>T("NROTC SOUTHERN UNIV")</f>
        <v>NROTC SOUTHERN UNIV</v>
      </c>
      <c r="B3532" t="str">
        <f>T("PO BOX 9214")</f>
        <v>PO BOX 9214</v>
      </c>
      <c r="C3532" t="str">
        <f>T("")</f>
        <v/>
      </c>
      <c r="D3532" t="str">
        <f>T("BATON ROUGE")</f>
        <v>BATON ROUGE</v>
      </c>
      <c r="E3532" t="str">
        <f>T("LA")</f>
        <v>LA</v>
      </c>
      <c r="F3532" t="str">
        <f>T("708139214")</f>
        <v>708139214</v>
      </c>
      <c r="G3532" t="str">
        <f>T("MCNAIR HALL BLDG 18")</f>
        <v>MCNAIR HALL BLDG 18</v>
      </c>
      <c r="H3532" t="str">
        <f>T("")</f>
        <v/>
      </c>
      <c r="I3532" t="str">
        <f>T("BATON ROUGE")</f>
        <v>BATON ROUGE</v>
      </c>
      <c r="J3532" t="str">
        <f>T("LA")</f>
        <v>LA</v>
      </c>
      <c r="K3532" t="str">
        <f>T("2257743604")</f>
        <v>2257743604</v>
      </c>
      <c r="L3532" t="str">
        <f>T("2257714370")</f>
        <v>2257714370</v>
      </c>
    </row>
    <row r="3533" spans="1:12" x14ac:dyDescent="0.35">
      <c r="A3533" t="str">
        <f>T("NROTC SOUTHERN UNIV")</f>
        <v>NROTC SOUTHERN UNIV</v>
      </c>
      <c r="B3533" t="str">
        <f>T("PO BOX 9214")</f>
        <v>PO BOX 9214</v>
      </c>
      <c r="C3533" t="str">
        <f>T("")</f>
        <v/>
      </c>
      <c r="D3533" t="str">
        <f>T("BATON ROUGE")</f>
        <v>BATON ROUGE</v>
      </c>
      <c r="E3533" t="str">
        <f>T("LA")</f>
        <v>LA</v>
      </c>
      <c r="F3533" t="str">
        <f>T("708139214")</f>
        <v>708139214</v>
      </c>
      <c r="G3533" t="str">
        <f>T("PO BOX 9214")</f>
        <v>PO BOX 9214</v>
      </c>
      <c r="H3533" t="str">
        <f>T("")</f>
        <v/>
      </c>
      <c r="I3533" t="str">
        <f>T("BATON ROUGE")</f>
        <v>BATON ROUGE</v>
      </c>
      <c r="J3533" t="str">
        <f>T("LA")</f>
        <v>LA</v>
      </c>
      <c r="K3533" t="str">
        <f>T("")</f>
        <v/>
      </c>
      <c r="L3533" t="str">
        <f>T("2257714676")</f>
        <v>2257714676</v>
      </c>
    </row>
    <row r="3534" spans="1:12" x14ac:dyDescent="0.35">
      <c r="A3534" t="str">
        <f>T("NROTC UNIV OF FLORIDA")</f>
        <v>NROTC UNIV OF FLORIDA</v>
      </c>
      <c r="B3534" t="str">
        <f>T("20 VAN FLEET HALL")</f>
        <v>20 VAN FLEET HALL</v>
      </c>
      <c r="C3534" t="str">
        <f>T("STADIUM ROAD")</f>
        <v>STADIUM ROAD</v>
      </c>
      <c r="D3534" t="str">
        <f>T("GAINESVILLE")</f>
        <v>GAINESVILLE</v>
      </c>
      <c r="E3534" t="str">
        <f>T("FL")</f>
        <v>FL</v>
      </c>
      <c r="F3534" t="str">
        <f>T("326118537")</f>
        <v>326118537</v>
      </c>
      <c r="G3534" t="str">
        <f>T("20 VAN FLEET HALL")</f>
        <v>20 VAN FLEET HALL</v>
      </c>
      <c r="H3534" t="str">
        <f>T("STADIUM ROAD")</f>
        <v>STADIUM ROAD</v>
      </c>
      <c r="I3534" t="str">
        <f>T("GAINESVILLE")</f>
        <v>GAINESVILLE</v>
      </c>
      <c r="J3534" t="str">
        <f>T("FL")</f>
        <v>FL</v>
      </c>
      <c r="K3534" t="str">
        <f>T("3523923069")</f>
        <v>3523923069</v>
      </c>
      <c r="L3534" t="str">
        <f>T("3523920973")</f>
        <v>3523920973</v>
      </c>
    </row>
    <row r="3535" spans="1:12" x14ac:dyDescent="0.35">
      <c r="A3535" t="str">
        <f>T("NROTC UNIV OF FLORIDA")</f>
        <v>NROTC UNIV OF FLORIDA</v>
      </c>
      <c r="B3535" t="str">
        <f>T("20 VAN FLEET HALL")</f>
        <v>20 VAN FLEET HALL</v>
      </c>
      <c r="C3535" t="str">
        <f>T("STADIUM ROAD")</f>
        <v>STADIUM ROAD</v>
      </c>
      <c r="D3535" t="str">
        <f>T("GAINESVILLE")</f>
        <v>GAINESVILLE</v>
      </c>
      <c r="E3535" t="str">
        <f>T("FL")</f>
        <v>FL</v>
      </c>
      <c r="F3535" t="str">
        <f>T("326118537")</f>
        <v>326118537</v>
      </c>
      <c r="G3535" t="str">
        <f>T("UF NROTC")</f>
        <v>UF NROTC</v>
      </c>
      <c r="H3535" t="str">
        <f>T("20 VAN FLEET HALL")</f>
        <v>20 VAN FLEET HALL</v>
      </c>
      <c r="I3535" t="str">
        <f>T("GAINESVILLE")</f>
        <v>GAINESVILLE</v>
      </c>
      <c r="J3535" t="str">
        <f>T("FL")</f>
        <v>FL</v>
      </c>
      <c r="K3535" t="str">
        <f>T("000000000000000000")</f>
        <v>000000000000000000</v>
      </c>
      <c r="L3535" t="str">
        <f>T("3522940717")</f>
        <v>3522940717</v>
      </c>
    </row>
    <row r="3536" spans="1:12" x14ac:dyDescent="0.35">
      <c r="A3536" t="str">
        <f>T("NROTC UNIV OF FLORIDA")</f>
        <v>NROTC UNIV OF FLORIDA</v>
      </c>
      <c r="B3536" t="str">
        <f>T("20 VAN FLEET HALL")</f>
        <v>20 VAN FLEET HALL</v>
      </c>
      <c r="C3536" t="str">
        <f>T("STADIUM ROAD")</f>
        <v>STADIUM ROAD</v>
      </c>
      <c r="D3536" t="str">
        <f>T("GAINESVILLE")</f>
        <v>GAINESVILLE</v>
      </c>
      <c r="E3536" t="str">
        <f>T("FL")</f>
        <v>FL</v>
      </c>
      <c r="F3536" t="str">
        <f>T("326118537")</f>
        <v>326118537</v>
      </c>
      <c r="G3536" t="str">
        <f>T("UF NROTC")</f>
        <v>UF NROTC</v>
      </c>
      <c r="H3536" t="str">
        <f>T("20 VAN FLEET HALL")</f>
        <v>20 VAN FLEET HALL</v>
      </c>
      <c r="I3536" t="str">
        <f>T("GAINESVILLE")</f>
        <v>GAINESVILLE</v>
      </c>
      <c r="J3536" t="str">
        <f>T("FL")</f>
        <v>FL</v>
      </c>
      <c r="K3536" t="str">
        <f>T("000000000000000000")</f>
        <v>000000000000000000</v>
      </c>
      <c r="L3536" t="str">
        <f>T("3523920973")</f>
        <v>3523920973</v>
      </c>
    </row>
    <row r="3537" spans="1:12" x14ac:dyDescent="0.35">
      <c r="A3537" t="str">
        <f>T("NROTC TEXAS A&amp;M")</f>
        <v>NROTC TEXAS A&amp;M</v>
      </c>
      <c r="B3537" t="str">
        <f>T("NROTC TEXAS A&amp;M")</f>
        <v>NROTC TEXAS A&amp;M</v>
      </c>
      <c r="C3537" t="str">
        <f>T("PO BOX 2920")</f>
        <v>PO BOX 2920</v>
      </c>
      <c r="D3537" t="str">
        <f>T("COLLEGE STA")</f>
        <v>COLLEGE STA</v>
      </c>
      <c r="E3537" t="str">
        <f>T("TX")</f>
        <v>TX</v>
      </c>
      <c r="F3537" t="str">
        <f>T("778412920")</f>
        <v>778412920</v>
      </c>
      <c r="G3537" t="str">
        <f>T("NROTC TEXAS A AND M UNIVERSITY")</f>
        <v>NROTC TEXAS A AND M UNIVERSITY</v>
      </c>
      <c r="H3537" t="str">
        <f>T("PO BOX 2920")</f>
        <v>PO BOX 2920</v>
      </c>
      <c r="I3537" t="str">
        <f>T("COLLEGE STATION")</f>
        <v>COLLEGE STATION</v>
      </c>
      <c r="J3537" t="str">
        <f>T("TX")</f>
        <v>TX</v>
      </c>
      <c r="K3537" t="str">
        <f>T("9798458991")</f>
        <v>9798458991</v>
      </c>
      <c r="L3537" t="str">
        <f>T("9798451775")</f>
        <v>9798451775</v>
      </c>
    </row>
    <row r="3538" spans="1:12" x14ac:dyDescent="0.35">
      <c r="A3538" t="str">
        <f>T("NROTC TEXAS A&amp;M")</f>
        <v>NROTC TEXAS A&amp;M</v>
      </c>
      <c r="B3538" t="str">
        <f>T("NROTC TEXAS A&amp;M")</f>
        <v>NROTC TEXAS A&amp;M</v>
      </c>
      <c r="C3538" t="str">
        <f>T("PO BOX 2920")</f>
        <v>PO BOX 2920</v>
      </c>
      <c r="D3538" t="str">
        <f>T("COLLEGE STA")</f>
        <v>COLLEGE STA</v>
      </c>
      <c r="E3538" t="str">
        <f>T("TX")</f>
        <v>TX</v>
      </c>
      <c r="F3538" t="str">
        <f>T("778412920")</f>
        <v>778412920</v>
      </c>
      <c r="G3538" t="str">
        <f>T("NROTC TEXAS A&amp;M")</f>
        <v>NROTC TEXAS A&amp;M</v>
      </c>
      <c r="H3538" t="str">
        <f>T("PO BOX 2920")</f>
        <v>PO BOX 2920</v>
      </c>
      <c r="I3538" t="str">
        <f>T("COLLEGE STA")</f>
        <v>COLLEGE STA</v>
      </c>
      <c r="J3538" t="str">
        <f>T("TX")</f>
        <v>TX</v>
      </c>
      <c r="K3538" t="str">
        <f>T("9798458991")</f>
        <v>9798458991</v>
      </c>
      <c r="L3538" t="str">
        <f>T("9798451775")</f>
        <v>9798451775</v>
      </c>
    </row>
    <row r="3539" spans="1:12" x14ac:dyDescent="0.35">
      <c r="A3539" t="str">
        <f>T("NROTC TEXAS A&amp;M")</f>
        <v>NROTC TEXAS A&amp;M</v>
      </c>
      <c r="B3539" t="str">
        <f>T("PO BOX 2920")</f>
        <v>PO BOX 2920</v>
      </c>
      <c r="C3539" t="str">
        <f>T("NROTC TEXAS A&amp;M")</f>
        <v>NROTC TEXAS A&amp;M</v>
      </c>
      <c r="D3539" t="str">
        <f>T("COLLEGE STA")</f>
        <v>COLLEGE STA</v>
      </c>
      <c r="E3539" t="str">
        <f>T("TX")</f>
        <v>TX</v>
      </c>
      <c r="F3539" t="str">
        <f>T("778412920")</f>
        <v>778412920</v>
      </c>
      <c r="G3539" t="str">
        <f>T("NROTC TEXAS A AND M UNIVERSITY")</f>
        <v>NROTC TEXAS A AND M UNIVERSITY</v>
      </c>
      <c r="H3539" t="str">
        <f>T("PO BOX 2920")</f>
        <v>PO BOX 2920</v>
      </c>
      <c r="I3539" t="str">
        <f>T("COLLEGE STATION")</f>
        <v>COLLEGE STATION</v>
      </c>
      <c r="J3539" t="str">
        <f>T("TX")</f>
        <v>TX</v>
      </c>
      <c r="K3539" t="str">
        <f>T("9798458991")</f>
        <v>9798458991</v>
      </c>
      <c r="L3539" t="str">
        <f>T("9798451775")</f>
        <v>9798451775</v>
      </c>
    </row>
    <row r="3540" spans="1:12" x14ac:dyDescent="0.35">
      <c r="A3540" t="str">
        <f>T("NROTC TEXAS A&amp;M")</f>
        <v>NROTC TEXAS A&amp;M</v>
      </c>
      <c r="B3540" t="str">
        <f>T("PO BOX 2920")</f>
        <v>PO BOX 2920</v>
      </c>
      <c r="C3540" t="str">
        <f>T("NROTC TEXAS A&amp;M")</f>
        <v>NROTC TEXAS A&amp;M</v>
      </c>
      <c r="D3540" t="str">
        <f>T("COLLEGE STA")</f>
        <v>COLLEGE STA</v>
      </c>
      <c r="E3540" t="str">
        <f>T("TX")</f>
        <v>TX</v>
      </c>
      <c r="F3540" t="str">
        <f>T("778412920")</f>
        <v>778412920</v>
      </c>
      <c r="G3540" t="str">
        <f>T("PO BOX 2920")</f>
        <v>PO BOX 2920</v>
      </c>
      <c r="H3540" t="str">
        <f>T("NROTC TEXAS A&amp;M")</f>
        <v>NROTC TEXAS A&amp;M</v>
      </c>
      <c r="I3540" t="str">
        <f>T("COLLEGE STA")</f>
        <v>COLLEGE STA</v>
      </c>
      <c r="J3540" t="str">
        <f>T("TX")</f>
        <v>TX</v>
      </c>
      <c r="K3540" t="str">
        <f>T("979-845-8991")</f>
        <v>979-845-8991</v>
      </c>
      <c r="L3540" t="str">
        <f>T("9798451775")</f>
        <v>9798451775</v>
      </c>
    </row>
    <row r="3541" spans="1:12" x14ac:dyDescent="0.35">
      <c r="A3541" t="str">
        <f>T("NROTC FAMU")</f>
        <v>NROTC FAMU</v>
      </c>
      <c r="B3541" t="str">
        <f>T("1740 SOUTH MARTIN LUTHER KING")</f>
        <v>1740 SOUTH MARTIN LUTHER KING</v>
      </c>
      <c r="C3541" t="str">
        <f>T("")</f>
        <v/>
      </c>
      <c r="D3541" t="str">
        <f>T("TALLAHASSEE")</f>
        <v>TALLAHASSEE</v>
      </c>
      <c r="E3541" t="str">
        <f>T("FL")</f>
        <v>FL</v>
      </c>
      <c r="F3541" t="str">
        <f>T("323074100")</f>
        <v>323074100</v>
      </c>
      <c r="G3541" t="str">
        <f>T("1740 SOUTH MARTIN LUTHER KING")</f>
        <v>1740 SOUTH MARTIN LUTHER KING</v>
      </c>
      <c r="H3541" t="str">
        <f>T("")</f>
        <v/>
      </c>
      <c r="I3541" t="str">
        <f>T("TALLAHASSEE")</f>
        <v>TALLAHASSEE</v>
      </c>
      <c r="J3541" t="str">
        <f>T("FL")</f>
        <v>FL</v>
      </c>
      <c r="K3541" t="str">
        <f>T("")</f>
        <v/>
      </c>
      <c r="L3541" t="str">
        <f>T("8505998411")</f>
        <v>8505998411</v>
      </c>
    </row>
    <row r="3542" spans="1:12" x14ac:dyDescent="0.35">
      <c r="A3542" t="str">
        <f>T("NROTC FAMU")</f>
        <v>NROTC FAMU</v>
      </c>
      <c r="B3542" t="str">
        <f>T("1740 SOUTH MARTIN LUTHER KING")</f>
        <v>1740 SOUTH MARTIN LUTHER KING</v>
      </c>
      <c r="C3542" t="str">
        <f>T("")</f>
        <v/>
      </c>
      <c r="D3542" t="str">
        <f>T("TALLAHASSEE")</f>
        <v>TALLAHASSEE</v>
      </c>
      <c r="E3542" t="str">
        <f>T("FL")</f>
        <v>FL</v>
      </c>
      <c r="F3542" t="str">
        <f>T("323074100")</f>
        <v>323074100</v>
      </c>
      <c r="G3542" t="str">
        <f>T("PO BOX 6508")</f>
        <v>PO BOX 6508</v>
      </c>
      <c r="H3542" t="str">
        <f>T("")</f>
        <v/>
      </c>
      <c r="I3542" t="str">
        <f>T("TALLAHASSEE")</f>
        <v>TALLAHASSEE</v>
      </c>
      <c r="J3542" t="str">
        <f>T("FL")</f>
        <v>FL</v>
      </c>
      <c r="K3542" t="str">
        <f>T("8505612517")</f>
        <v>8505612517</v>
      </c>
      <c r="L3542" t="str">
        <f>T("8505998516")</f>
        <v>8505998516</v>
      </c>
    </row>
    <row r="3543" spans="1:12" x14ac:dyDescent="0.35">
      <c r="A3543" t="str">
        <f>T("NROTC FAMU")</f>
        <v>NROTC FAMU</v>
      </c>
      <c r="B3543" t="str">
        <f>T("NROTC FAMU")</f>
        <v>NROTC FAMU</v>
      </c>
      <c r="C3543" t="str">
        <f>T("1740 SOUTH MARTIN LUTHER KING")</f>
        <v>1740 SOUTH MARTIN LUTHER KING</v>
      </c>
      <c r="D3543" t="str">
        <f>T("TALLAHASSEE")</f>
        <v>TALLAHASSEE</v>
      </c>
      <c r="E3543" t="str">
        <f>T("FL")</f>
        <v>FL</v>
      </c>
      <c r="F3543" t="str">
        <f>T("323074100")</f>
        <v>323074100</v>
      </c>
      <c r="G3543" t="str">
        <f>T("NROTC FAMU")</f>
        <v>NROTC FAMU</v>
      </c>
      <c r="H3543" t="str">
        <f>T("1740 SOUTH MARTIN LUTHER KING")</f>
        <v>1740 SOUTH MARTIN LUTHER KING</v>
      </c>
      <c r="I3543" t="str">
        <f>T("TALLAHASSEE")</f>
        <v>TALLAHASSEE</v>
      </c>
      <c r="J3543" t="str">
        <f>T("FL")</f>
        <v>FL</v>
      </c>
      <c r="K3543" t="str">
        <f>T("")</f>
        <v/>
      </c>
      <c r="L3543" t="str">
        <f>T("8505998411")</f>
        <v>8505998411</v>
      </c>
    </row>
    <row r="3544" spans="1:12" x14ac:dyDescent="0.35">
      <c r="A3544" t="str">
        <f>T("NROTC FAMU")</f>
        <v>NROTC FAMU</v>
      </c>
      <c r="B3544" t="str">
        <f>T("NROTC FAMU")</f>
        <v>NROTC FAMU</v>
      </c>
      <c r="C3544" t="str">
        <f>T("1740 SOUTH MARTIN LUTHER KING")</f>
        <v>1740 SOUTH MARTIN LUTHER KING</v>
      </c>
      <c r="D3544" t="str">
        <f>T("TALLAHASSEE")</f>
        <v>TALLAHASSEE</v>
      </c>
      <c r="E3544" t="str">
        <f>T("FL")</f>
        <v>FL</v>
      </c>
      <c r="F3544" t="str">
        <f>T("323074100")</f>
        <v>323074100</v>
      </c>
      <c r="G3544" t="str">
        <f>T("PO BOX 6508")</f>
        <v>PO BOX 6508</v>
      </c>
      <c r="H3544" t="str">
        <f>T("")</f>
        <v/>
      </c>
      <c r="I3544" t="str">
        <f>T("TALLAHASSEE")</f>
        <v>TALLAHASSEE</v>
      </c>
      <c r="J3544" t="str">
        <f>T("FL")</f>
        <v>FL</v>
      </c>
      <c r="K3544" t="str">
        <f>T("8505612517")</f>
        <v>8505612517</v>
      </c>
      <c r="L3544" t="str">
        <f>T("8505998516")</f>
        <v>8505998516</v>
      </c>
    </row>
    <row r="3545" spans="1:12" x14ac:dyDescent="0.35">
      <c r="A3545" t="str">
        <f>T("NROTC MAINE MARITIME")</f>
        <v>NROTC MAINE MARITIME</v>
      </c>
      <c r="B3545" t="str">
        <f>T("44 PLEASANT STREET")</f>
        <v>44 PLEASANT STREET</v>
      </c>
      <c r="C3545" t="str">
        <f>T("")</f>
        <v/>
      </c>
      <c r="D3545" t="str">
        <f>T("CASTINE")</f>
        <v>CASTINE</v>
      </c>
      <c r="E3545" t="str">
        <f>T("ME")</f>
        <v>ME</v>
      </c>
      <c r="F3545" t="str">
        <f>T("044200001")</f>
        <v>044200001</v>
      </c>
      <c r="G3545" t="str">
        <f>T("44 PLEASANT ST")</f>
        <v>44 PLEASANT ST</v>
      </c>
      <c r="H3545" t="str">
        <f>T("")</f>
        <v/>
      </c>
      <c r="I3545" t="str">
        <f>T("CASTINE")</f>
        <v>CASTINE</v>
      </c>
      <c r="J3545" t="str">
        <f>T("ME")</f>
        <v>ME</v>
      </c>
      <c r="K3545" t="str">
        <f>T("000000000000000000")</f>
        <v>000000000000000000</v>
      </c>
      <c r="L3545" t="str">
        <f>T("2073262352")</f>
        <v>2073262352</v>
      </c>
    </row>
    <row r="3546" spans="1:12" x14ac:dyDescent="0.35">
      <c r="A3546" t="str">
        <f>T("NROTC MAINE MARITIME")</f>
        <v>NROTC MAINE MARITIME</v>
      </c>
      <c r="B3546" t="str">
        <f>T("44 PLEASANT STREET")</f>
        <v>44 PLEASANT STREET</v>
      </c>
      <c r="C3546" t="str">
        <f>T("")</f>
        <v/>
      </c>
      <c r="D3546" t="str">
        <f>T("CASTINE")</f>
        <v>CASTINE</v>
      </c>
      <c r="E3546" t="str">
        <f>T("ME")</f>
        <v>ME</v>
      </c>
      <c r="F3546" t="str">
        <f>T("044200001")</f>
        <v>044200001</v>
      </c>
      <c r="G3546" t="str">
        <f>T("44 PLEASANT STREET")</f>
        <v>44 PLEASANT STREET</v>
      </c>
      <c r="H3546" t="str">
        <f>T("")</f>
        <v/>
      </c>
      <c r="I3546" t="str">
        <f>T("CASTINE")</f>
        <v>CASTINE</v>
      </c>
      <c r="J3546" t="str">
        <f>T("ME")</f>
        <v>ME</v>
      </c>
      <c r="K3546" t="str">
        <f>T("2073262351")</f>
        <v>2073262351</v>
      </c>
      <c r="L3546" t="str">
        <f>T("2073262357")</f>
        <v>2073262357</v>
      </c>
    </row>
    <row r="3547" spans="1:12" x14ac:dyDescent="0.35">
      <c r="A3547" t="str">
        <f>T("NROTC MAINE MARITIME")</f>
        <v>NROTC MAINE MARITIME</v>
      </c>
      <c r="B3547" t="str">
        <f>T("NROTC MAINE-MEMARACAD")</f>
        <v>NROTC MAINE-MEMARACAD</v>
      </c>
      <c r="C3547" t="str">
        <f>T("44 PLEASANT STREET")</f>
        <v>44 PLEASANT STREET</v>
      </c>
      <c r="D3547" t="str">
        <f>T("CASTINE")</f>
        <v>CASTINE</v>
      </c>
      <c r="E3547" t="str">
        <f>T("ME")</f>
        <v>ME</v>
      </c>
      <c r="F3547" t="str">
        <f>T("044200001")</f>
        <v>044200001</v>
      </c>
      <c r="G3547" t="str">
        <f>T("44 PLEASANT ST")</f>
        <v>44 PLEASANT ST</v>
      </c>
      <c r="H3547" t="str">
        <f>T("")</f>
        <v/>
      </c>
      <c r="I3547" t="str">
        <f>T("CASTINE")</f>
        <v>CASTINE</v>
      </c>
      <c r="J3547" t="str">
        <f>T("ME")</f>
        <v>ME</v>
      </c>
      <c r="K3547" t="str">
        <f>T("000000000000000000")</f>
        <v>000000000000000000</v>
      </c>
      <c r="L3547" t="str">
        <f>T("2073262352")</f>
        <v>2073262352</v>
      </c>
    </row>
    <row r="3548" spans="1:12" x14ac:dyDescent="0.35">
      <c r="A3548" t="str">
        <f>T("NROTC MAINE MARITIME")</f>
        <v>NROTC MAINE MARITIME</v>
      </c>
      <c r="B3548" t="str">
        <f>T("NROTC MAINE-MEMARACAD")</f>
        <v>NROTC MAINE-MEMARACAD</v>
      </c>
      <c r="C3548" t="str">
        <f>T("44 PLEASANT STREET")</f>
        <v>44 PLEASANT STREET</v>
      </c>
      <c r="D3548" t="str">
        <f>T("CASTINE")</f>
        <v>CASTINE</v>
      </c>
      <c r="E3548" t="str">
        <f>T("ME")</f>
        <v>ME</v>
      </c>
      <c r="F3548" t="str">
        <f>T("044200001")</f>
        <v>044200001</v>
      </c>
      <c r="G3548" t="str">
        <f>T("NROTC MAINE-MEMARACAD")</f>
        <v>NROTC MAINE-MEMARACAD</v>
      </c>
      <c r="H3548" t="str">
        <f>T("44 PLEASANT STREET")</f>
        <v>44 PLEASANT STREET</v>
      </c>
      <c r="I3548" t="str">
        <f>T("CASTINE")</f>
        <v>CASTINE</v>
      </c>
      <c r="J3548" t="str">
        <f>T("ME")</f>
        <v>ME</v>
      </c>
      <c r="K3548" t="str">
        <f>T("2073262351")</f>
        <v>2073262351</v>
      </c>
      <c r="L3548" t="str">
        <f>T("2073262357")</f>
        <v>2073262357</v>
      </c>
    </row>
    <row r="3549" spans="1:12" x14ac:dyDescent="0.35">
      <c r="A3549" t="str">
        <f>T("NROTC UNIT SUNY MARITIME")</f>
        <v>NROTC UNIT SUNY MARITIME</v>
      </c>
      <c r="B3549" t="str">
        <f>T("NROTC UNIT")</f>
        <v>NROTC UNIT</v>
      </c>
      <c r="C3549" t="str">
        <f>T("6 PENNYFIELD AVE")</f>
        <v>6 PENNYFIELD AVE</v>
      </c>
      <c r="D3549" t="str">
        <f>T("BRONX")</f>
        <v>BRONX</v>
      </c>
      <c r="E3549" t="str">
        <f>T("NY")</f>
        <v>NY</v>
      </c>
      <c r="F3549" t="str">
        <f>T("104654127")</f>
        <v>104654127</v>
      </c>
      <c r="G3549" t="str">
        <f>T("NAVY ROTC UNIT")</f>
        <v>NAVY ROTC UNIT</v>
      </c>
      <c r="H3549" t="str">
        <f>T("6 PENNYFIELD AVENUE")</f>
        <v>6 PENNYFIELD AVENUE</v>
      </c>
      <c r="I3549" t="str">
        <f>T("BRONX")</f>
        <v>BRONX</v>
      </c>
      <c r="J3549" t="str">
        <f>T("NY")</f>
        <v>NY</v>
      </c>
      <c r="K3549" t="str">
        <f>T("000000000000000000")</f>
        <v>000000000000000000</v>
      </c>
      <c r="L3549" t="str">
        <f>T("7184097485")</f>
        <v>7184097485</v>
      </c>
    </row>
    <row r="3550" spans="1:12" x14ac:dyDescent="0.35">
      <c r="A3550" t="str">
        <f>T("NROTC UNIT SUNY MARITIME")</f>
        <v>NROTC UNIT SUNY MARITIME</v>
      </c>
      <c r="B3550" t="str">
        <f>T("NROTC UNIT")</f>
        <v>NROTC UNIT</v>
      </c>
      <c r="C3550" t="str">
        <f>T("6 PENNYFIELD AVE")</f>
        <v>6 PENNYFIELD AVE</v>
      </c>
      <c r="D3550" t="str">
        <f>T("BRONX")</f>
        <v>BRONX</v>
      </c>
      <c r="E3550" t="str">
        <f>T("NY")</f>
        <v>NY</v>
      </c>
      <c r="F3550" t="str">
        <f>T("104654127")</f>
        <v>104654127</v>
      </c>
      <c r="G3550" t="str">
        <f>T("NROTC UNIT")</f>
        <v>NROTC UNIT</v>
      </c>
      <c r="H3550" t="str">
        <f>T("6 PENNYFIELD AVE")</f>
        <v>6 PENNYFIELD AVE</v>
      </c>
      <c r="I3550" t="str">
        <f>T("BRONX")</f>
        <v>BRONX</v>
      </c>
      <c r="J3550" t="str">
        <f>T("NY")</f>
        <v>NY</v>
      </c>
      <c r="K3550" t="str">
        <f>T("")</f>
        <v/>
      </c>
      <c r="L3550" t="str">
        <f>T("7184097288")</f>
        <v>7184097288</v>
      </c>
    </row>
    <row r="3551" spans="1:12" x14ac:dyDescent="0.35">
      <c r="A3551" t="str">
        <f>T("NROTC VMI")</f>
        <v>NROTC VMI</v>
      </c>
      <c r="B3551" t="str">
        <f>T("NROTC UNIT VMI")</f>
        <v>NROTC UNIT VMI</v>
      </c>
      <c r="C3551" t="str">
        <f t="shared" ref="C3551:C3556" si="1394">T("")</f>
        <v/>
      </c>
      <c r="D3551" t="str">
        <f>T("LEXINGTON")</f>
        <v>LEXINGTON</v>
      </c>
      <c r="E3551" t="str">
        <f>T("VA")</f>
        <v>VA</v>
      </c>
      <c r="F3551" t="str">
        <f>T("244500000")</f>
        <v>244500000</v>
      </c>
      <c r="G3551" t="str">
        <f>T("2106 KILBOURNE HALL")</f>
        <v>2106 KILBOURNE HALL</v>
      </c>
      <c r="H3551" t="str">
        <f>T("")</f>
        <v/>
      </c>
      <c r="I3551" t="str">
        <f>T("LEXINGTON")</f>
        <v>LEXINGTON</v>
      </c>
      <c r="J3551" t="str">
        <f>T("VA")</f>
        <v>VA</v>
      </c>
      <c r="K3551" t="str">
        <f>T("5404647329")</f>
        <v>5404647329</v>
      </c>
      <c r="L3551" t="str">
        <f>T("5404647227")</f>
        <v>5404647227</v>
      </c>
    </row>
    <row r="3552" spans="1:12" x14ac:dyDescent="0.35">
      <c r="A3552" t="str">
        <f>T("NROTC VMI")</f>
        <v>NROTC VMI</v>
      </c>
      <c r="B3552" t="str">
        <f>T("NROTC UNIT VMI")</f>
        <v>NROTC UNIT VMI</v>
      </c>
      <c r="C3552" t="str">
        <f t="shared" si="1394"/>
        <v/>
      </c>
      <c r="D3552" t="str">
        <f>T("LEXINGTON")</f>
        <v>LEXINGTON</v>
      </c>
      <c r="E3552" t="str">
        <f>T("VA")</f>
        <v>VA</v>
      </c>
      <c r="F3552" t="str">
        <f>T("244500000")</f>
        <v>244500000</v>
      </c>
      <c r="G3552" t="str">
        <f>T("NROTC UNIT VMI")</f>
        <v>NROTC UNIT VMI</v>
      </c>
      <c r="H3552" t="str">
        <f>T("")</f>
        <v/>
      </c>
      <c r="I3552" t="str">
        <f>T("LEXINGTON")</f>
        <v>LEXINGTON</v>
      </c>
      <c r="J3552" t="str">
        <f>T("VA")</f>
        <v>VA</v>
      </c>
      <c r="K3552" t="str">
        <f>T("")</f>
        <v/>
      </c>
      <c r="L3552" t="str">
        <f>T("5404647597")</f>
        <v>5404647597</v>
      </c>
    </row>
    <row r="3553" spans="1:12" x14ac:dyDescent="0.35">
      <c r="A3553" t="str">
        <f>T("NROTC VMI")</f>
        <v>NROTC VMI</v>
      </c>
      <c r="B3553" t="str">
        <f>T("NROTC UNIT VMI")</f>
        <v>NROTC UNIT VMI</v>
      </c>
      <c r="C3553" t="str">
        <f t="shared" si="1394"/>
        <v/>
      </c>
      <c r="D3553" t="str">
        <f>T("LEXINGTON")</f>
        <v>LEXINGTON</v>
      </c>
      <c r="E3553" t="str">
        <f>T("VA")</f>
        <v>VA</v>
      </c>
      <c r="F3553" t="str">
        <f>T("244500000")</f>
        <v>244500000</v>
      </c>
      <c r="G3553" t="str">
        <f>T("NROTC UNIT VMI")</f>
        <v>NROTC UNIT VMI</v>
      </c>
      <c r="H3553" t="str">
        <f>T("")</f>
        <v/>
      </c>
      <c r="I3553" t="str">
        <f>T("LEXINGTON")</f>
        <v>LEXINGTON</v>
      </c>
      <c r="J3553" t="str">
        <f>T("VA")</f>
        <v>VA</v>
      </c>
      <c r="K3553" t="str">
        <f>T("5404647329")</f>
        <v>5404647329</v>
      </c>
      <c r="L3553" t="str">
        <f>T("5404647597")</f>
        <v>5404647597</v>
      </c>
    </row>
    <row r="3554" spans="1:12" x14ac:dyDescent="0.35">
      <c r="A3554" t="str">
        <f>T("NROTC VMI")</f>
        <v>NROTC VMI</v>
      </c>
      <c r="B3554" t="str">
        <f>T("NROTC UNIT VMI")</f>
        <v>NROTC UNIT VMI</v>
      </c>
      <c r="C3554" t="str">
        <f t="shared" si="1394"/>
        <v/>
      </c>
      <c r="D3554" t="str">
        <f>T("LEXINGTON")</f>
        <v>LEXINGTON</v>
      </c>
      <c r="E3554" t="str">
        <f>T("VA")</f>
        <v>VA</v>
      </c>
      <c r="F3554" t="str">
        <f>T("244500000")</f>
        <v>244500000</v>
      </c>
      <c r="G3554" t="str">
        <f>T("NROTC VMI")</f>
        <v>NROTC VMI</v>
      </c>
      <c r="H3554" t="str">
        <f>T("KILBOURNE HALL")</f>
        <v>KILBOURNE HALL</v>
      </c>
      <c r="I3554" t="str">
        <f>T("LEXINGTON")</f>
        <v>LEXINGTON</v>
      </c>
      <c r="J3554" t="str">
        <f>T("VA")</f>
        <v>VA</v>
      </c>
      <c r="K3554" t="str">
        <f>T("000000000000000000")</f>
        <v>000000000000000000</v>
      </c>
      <c r="L3554" t="str">
        <f>T("5404647227")</f>
        <v>5404647227</v>
      </c>
    </row>
    <row r="3555" spans="1:12" x14ac:dyDescent="0.35">
      <c r="A3555" t="str">
        <f>T("NROTC USD/SDSU")</f>
        <v>NROTC USD/SDSU</v>
      </c>
      <c r="B3555" t="str">
        <f>T("5998 ALCALA PARK")</f>
        <v>5998 ALCALA PARK</v>
      </c>
      <c r="C3555" t="str">
        <f t="shared" si="1394"/>
        <v/>
      </c>
      <c r="D3555" t="str">
        <f>T("SAN DIEGO")</f>
        <v>SAN DIEGO</v>
      </c>
      <c r="E3555" t="str">
        <f>T("CA")</f>
        <v>CA</v>
      </c>
      <c r="F3555" t="str">
        <f>T("921108001")</f>
        <v>921108001</v>
      </c>
      <c r="G3555" t="str">
        <f>T("5998 ALCALA PARK")</f>
        <v>5998 ALCALA PARK</v>
      </c>
      <c r="H3555" t="str">
        <f>T("")</f>
        <v/>
      </c>
      <c r="I3555" t="str">
        <f>T("SAN DIEGO")</f>
        <v>SAN DIEGO</v>
      </c>
      <c r="J3555" t="str">
        <f>T("CA")</f>
        <v>CA</v>
      </c>
      <c r="K3555" t="str">
        <f>T("")</f>
        <v/>
      </c>
      <c r="L3555" t="str">
        <f>T("6192602288")</f>
        <v>6192602288</v>
      </c>
    </row>
    <row r="3556" spans="1:12" x14ac:dyDescent="0.35">
      <c r="A3556" t="str">
        <f>T("NROTC USD/SDSU")</f>
        <v>NROTC USD/SDSU</v>
      </c>
      <c r="B3556" t="str">
        <f>T("5998 ALCALA PARK")</f>
        <v>5998 ALCALA PARK</v>
      </c>
      <c r="C3556" t="str">
        <f t="shared" si="1394"/>
        <v/>
      </c>
      <c r="D3556" t="str">
        <f>T("SAN DIEGO")</f>
        <v>SAN DIEGO</v>
      </c>
      <c r="E3556" t="str">
        <f>T("CA")</f>
        <v>CA</v>
      </c>
      <c r="F3556" t="str">
        <f>T("921108001")</f>
        <v>921108001</v>
      </c>
      <c r="G3556" t="str">
        <f>T("5998 ALCALA PARK")</f>
        <v>5998 ALCALA PARK</v>
      </c>
      <c r="H3556" t="str">
        <f>T("")</f>
        <v/>
      </c>
      <c r="I3556" t="str">
        <f>T("SAN DIEGO")</f>
        <v>SAN DIEGO</v>
      </c>
      <c r="J3556" t="str">
        <f>T("CA")</f>
        <v>CA</v>
      </c>
      <c r="K3556" t="str">
        <f>T("000000000000000000")</f>
        <v>000000000000000000</v>
      </c>
      <c r="L3556" t="str">
        <f>T("6192602285")</f>
        <v>6192602285</v>
      </c>
    </row>
    <row r="3557" spans="1:12" x14ac:dyDescent="0.35">
      <c r="A3557" t="str">
        <f>T("NROTC HAMPTON RD")</f>
        <v>NROTC HAMPTON RD</v>
      </c>
      <c r="B3557" t="str">
        <f>T("NROTC U HAMPTON ROADS")</f>
        <v>NROTC U HAMPTON ROADS</v>
      </c>
      <c r="C3557" t="str">
        <f>T("5215 HAMPTON ROAD")</f>
        <v>5215 HAMPTON ROAD</v>
      </c>
      <c r="D3557" t="str">
        <f>T("NORFOLK")</f>
        <v>NORFOLK</v>
      </c>
      <c r="E3557" t="str">
        <f t="shared" ref="E3557:E3563" si="1395">T("VA")</f>
        <v>VA</v>
      </c>
      <c r="F3557" t="str">
        <f>T("235290001")</f>
        <v>235290001</v>
      </c>
      <c r="G3557" t="str">
        <f>T("5215 HAMPTON BLVD")</f>
        <v>5215 HAMPTON BLVD</v>
      </c>
      <c r="H3557" t="str">
        <f>T("")</f>
        <v/>
      </c>
      <c r="I3557" t="str">
        <f>T("NORFOLK")</f>
        <v>NORFOLK</v>
      </c>
      <c r="J3557" t="str">
        <f t="shared" ref="J3557:J3563" si="1396">T("VA")</f>
        <v>VA</v>
      </c>
      <c r="K3557" t="str">
        <f>T("000000000000000000")</f>
        <v>000000000000000000</v>
      </c>
      <c r="L3557" t="str">
        <f>T("7576833558")</f>
        <v>7576833558</v>
      </c>
    </row>
    <row r="3558" spans="1:12" x14ac:dyDescent="0.35">
      <c r="A3558" t="str">
        <f>T("NROTC HAMPTON RD")</f>
        <v>NROTC HAMPTON RD</v>
      </c>
      <c r="B3558" t="str">
        <f>T("NROTC U HAMPTON ROADS")</f>
        <v>NROTC U HAMPTON ROADS</v>
      </c>
      <c r="C3558" t="str">
        <f>T("5215 HAMPTON ROAD")</f>
        <v>5215 HAMPTON ROAD</v>
      </c>
      <c r="D3558" t="str">
        <f>T("NORFOLK")</f>
        <v>NORFOLK</v>
      </c>
      <c r="E3558" t="str">
        <f t="shared" si="1395"/>
        <v>VA</v>
      </c>
      <c r="F3558" t="str">
        <f>T("235290001")</f>
        <v>235290001</v>
      </c>
      <c r="G3558" t="str">
        <f>T("NROTC U HAMPTON ROADS")</f>
        <v>NROTC U HAMPTON ROADS</v>
      </c>
      <c r="H3558" t="str">
        <f>T("5215 HAMPTON ROAD")</f>
        <v>5215 HAMPTON ROAD</v>
      </c>
      <c r="I3558" t="str">
        <f>T("NORFOLK")</f>
        <v>NORFOLK</v>
      </c>
      <c r="J3558" t="str">
        <f t="shared" si="1396"/>
        <v>VA</v>
      </c>
      <c r="K3558" t="str">
        <f>T("")</f>
        <v/>
      </c>
      <c r="L3558" t="str">
        <f>T("7576835306")</f>
        <v>7576835306</v>
      </c>
    </row>
    <row r="3559" spans="1:12" x14ac:dyDescent="0.35">
      <c r="A3559" t="str">
        <f>T("NROTC HAMPTON RD")</f>
        <v>NROTC HAMPTON RD</v>
      </c>
      <c r="B3559" t="str">
        <f>T("NROTC UNIT HAMPTON ROADS")</f>
        <v>NROTC UNIT HAMPTON ROADS</v>
      </c>
      <c r="C3559" t="str">
        <f>T("5215 HAMPTON BLVD")</f>
        <v>5215 HAMPTON BLVD</v>
      </c>
      <c r="D3559" t="str">
        <f>T("NORFOLK")</f>
        <v>NORFOLK</v>
      </c>
      <c r="E3559" t="str">
        <f t="shared" si="1395"/>
        <v>VA</v>
      </c>
      <c r="F3559" t="str">
        <f>T("235081506")</f>
        <v>235081506</v>
      </c>
      <c r="G3559" t="str">
        <f>T("NROTC UNIT HAMPTON ROADS")</f>
        <v>NROTC UNIT HAMPTON ROADS</v>
      </c>
      <c r="H3559" t="str">
        <f>T("5215 HAMPTON BLVD")</f>
        <v>5215 HAMPTON BLVD</v>
      </c>
      <c r="I3559" t="str">
        <f>T("NORFOLK")</f>
        <v>NORFOLK</v>
      </c>
      <c r="J3559" t="str">
        <f t="shared" si="1396"/>
        <v>VA</v>
      </c>
      <c r="K3559" t="str">
        <f>T("7576834725")</f>
        <v>7576834725</v>
      </c>
      <c r="L3559" t="str">
        <f>T("7576835306")</f>
        <v>7576835306</v>
      </c>
    </row>
    <row r="3560" spans="1:12" x14ac:dyDescent="0.35">
      <c r="A3560" t="str">
        <f>T("NROTC HAMPTON RD")</f>
        <v>NROTC HAMPTON RD</v>
      </c>
      <c r="B3560" t="str">
        <f>T("NROTC UNIT HAMPTON ROADS")</f>
        <v>NROTC UNIT HAMPTON ROADS</v>
      </c>
      <c r="C3560" t="str">
        <f>T("5215 HAMPTON BLVD")</f>
        <v>5215 HAMPTON BLVD</v>
      </c>
      <c r="D3560" t="str">
        <f>T("NORFOLK")</f>
        <v>NORFOLK</v>
      </c>
      <c r="E3560" t="str">
        <f t="shared" si="1395"/>
        <v>VA</v>
      </c>
      <c r="F3560" t="str">
        <f>T("235081506")</f>
        <v>235081506</v>
      </c>
      <c r="G3560" t="str">
        <f>T("NROTCU HAMPTON ROADS")</f>
        <v>NROTCU HAMPTON ROADS</v>
      </c>
      <c r="H3560" t="str">
        <f>T("5215 HAMPTON BLVD")</f>
        <v>5215 HAMPTON BLVD</v>
      </c>
      <c r="I3560" t="str">
        <f>T("NORFOLK")</f>
        <v>NORFOLK</v>
      </c>
      <c r="J3560" t="str">
        <f t="shared" si="1396"/>
        <v>VA</v>
      </c>
      <c r="K3560" t="str">
        <f>T("000000000000000000")</f>
        <v>000000000000000000</v>
      </c>
      <c r="L3560" t="str">
        <f>T("7576836677")</f>
        <v>7576836677</v>
      </c>
    </row>
    <row r="3561" spans="1:12" x14ac:dyDescent="0.35">
      <c r="A3561" t="str">
        <f>T("NROTC VPI")</f>
        <v>NROTC VPI</v>
      </c>
      <c r="B3561" t="str">
        <f>T("FEMOYER HALL RM 419 VIRGINIA TECH")</f>
        <v>FEMOYER HALL RM 419 VIRGINIA TECH</v>
      </c>
      <c r="C3561" t="str">
        <f>T("280 STANGER STREET")</f>
        <v>280 STANGER STREET</v>
      </c>
      <c r="D3561" t="str">
        <f>T("BLACKSBURG")</f>
        <v>BLACKSBURG</v>
      </c>
      <c r="E3561" t="str">
        <f t="shared" si="1395"/>
        <v>VA</v>
      </c>
      <c r="F3561" t="str">
        <f>T("240610001")</f>
        <v>240610001</v>
      </c>
      <c r="G3561" t="str">
        <f>T("FEMOYER HALL RM 419 VIRGINIA TECH")</f>
        <v>FEMOYER HALL RM 419 VIRGINIA TECH</v>
      </c>
      <c r="H3561" t="str">
        <f>T("280 STANGER STREET")</f>
        <v>280 STANGER STREET</v>
      </c>
      <c r="I3561" t="str">
        <f>T("BLACKSBURG")</f>
        <v>BLACKSBURG</v>
      </c>
      <c r="J3561" t="str">
        <f t="shared" si="1396"/>
        <v>VA</v>
      </c>
      <c r="K3561" t="str">
        <f>T("5402310000")</f>
        <v>5402310000</v>
      </c>
      <c r="L3561" t="str">
        <f>T("5402317883")</f>
        <v>5402317883</v>
      </c>
    </row>
    <row r="3562" spans="1:12" x14ac:dyDescent="0.35">
      <c r="A3562" t="str">
        <f>T("NROTC VPI")</f>
        <v>NROTC VPI</v>
      </c>
      <c r="B3562" t="str">
        <f>T("FEMOYER HALL RM 419 VIRGINIA TECH")</f>
        <v>FEMOYER HALL RM 419 VIRGINIA TECH</v>
      </c>
      <c r="C3562" t="str">
        <f>T("280 STANGER STREET")</f>
        <v>280 STANGER STREET</v>
      </c>
      <c r="D3562" t="str">
        <f>T("BLACKSBURG")</f>
        <v>BLACKSBURG</v>
      </c>
      <c r="E3562" t="str">
        <f t="shared" si="1395"/>
        <v>VA</v>
      </c>
      <c r="F3562" t="str">
        <f>T("240610001")</f>
        <v>240610001</v>
      </c>
      <c r="G3562" t="str">
        <f>T("NROTC UNIT VIRGINIA TECH")</f>
        <v>NROTC UNIT VIRGINIA TECH</v>
      </c>
      <c r="H3562" t="str">
        <f>T("419 FEMYER HALL")</f>
        <v>419 FEMYER HALL</v>
      </c>
      <c r="I3562" t="str">
        <f>T("BLACKSBURG")</f>
        <v>BLACKSBURG</v>
      </c>
      <c r="J3562" t="str">
        <f t="shared" si="1396"/>
        <v>VA</v>
      </c>
      <c r="K3562" t="str">
        <f>T("000000000000000000")</f>
        <v>000000000000000000</v>
      </c>
      <c r="L3562" t="str">
        <f>T("5402316541")</f>
        <v>5402316541</v>
      </c>
    </row>
    <row r="3563" spans="1:12" x14ac:dyDescent="0.35">
      <c r="A3563" t="str">
        <f>T("NROTC VPI")</f>
        <v>NROTC VPI</v>
      </c>
      <c r="B3563" t="str">
        <f>T("FEMOYER HALL RM 419 VIRGINIA TECH")</f>
        <v>FEMOYER HALL RM 419 VIRGINIA TECH</v>
      </c>
      <c r="C3563" t="str">
        <f>T("280 STANGER STREET")</f>
        <v>280 STANGER STREET</v>
      </c>
      <c r="D3563" t="str">
        <f>T("BLACKSBURG")</f>
        <v>BLACKSBURG</v>
      </c>
      <c r="E3563" t="str">
        <f t="shared" si="1395"/>
        <v>VA</v>
      </c>
      <c r="F3563" t="str">
        <f>T("240610001")</f>
        <v>240610001</v>
      </c>
      <c r="G3563" t="str">
        <f>T("NROTC UNIT VIRGINIA TECH")</f>
        <v>NROTC UNIT VIRGINIA TECH</v>
      </c>
      <c r="H3563" t="str">
        <f>T("419 FEMYER HALL")</f>
        <v>419 FEMYER HALL</v>
      </c>
      <c r="I3563" t="str">
        <f>T("BLACKSBURG")</f>
        <v>BLACKSBURG</v>
      </c>
      <c r="J3563" t="str">
        <f t="shared" si="1396"/>
        <v>VA</v>
      </c>
      <c r="K3563" t="str">
        <f>T("000000000000000000")</f>
        <v>000000000000000000</v>
      </c>
      <c r="L3563" t="str">
        <f>T("5402318531")</f>
        <v>5402318531</v>
      </c>
    </row>
    <row r="3564" spans="1:12" x14ac:dyDescent="0.35">
      <c r="A3564" t="str">
        <f>T("BOSTON NROTC CONSORTIUM")</f>
        <v>BOSTON NROTC CONSORTIUM</v>
      </c>
      <c r="B3564" t="str">
        <f>T("116 BAY STATE RD")</f>
        <v>116 BAY STATE RD</v>
      </c>
      <c r="C3564" t="str">
        <f t="shared" ref="C3564:C3575" si="1397">T("")</f>
        <v/>
      </c>
      <c r="D3564" t="str">
        <f>T("BOSTON")</f>
        <v>BOSTON</v>
      </c>
      <c r="E3564" t="str">
        <f>T("MA")</f>
        <v>MA</v>
      </c>
      <c r="F3564" t="str">
        <f>T("022151701")</f>
        <v>022151701</v>
      </c>
      <c r="G3564" t="str">
        <f>T("116 BAY STATE RD")</f>
        <v>116 BAY STATE RD</v>
      </c>
      <c r="H3564" t="str">
        <f>T("")</f>
        <v/>
      </c>
      <c r="I3564" t="str">
        <f>T("BOSTON")</f>
        <v>BOSTON</v>
      </c>
      <c r="J3564" t="str">
        <f>T("MA")</f>
        <v>MA</v>
      </c>
      <c r="K3564" t="str">
        <f>T("6173536475")</f>
        <v>6173536475</v>
      </c>
      <c r="L3564" t="str">
        <f>T("6172521762")</f>
        <v>6172521762</v>
      </c>
    </row>
    <row r="3565" spans="1:12" x14ac:dyDescent="0.35">
      <c r="A3565" t="str">
        <f>T("BOSTON NROTC CONSORTIUM")</f>
        <v>BOSTON NROTC CONSORTIUM</v>
      </c>
      <c r="B3565" t="str">
        <f>T("116 BAY STATE RD")</f>
        <v>116 BAY STATE RD</v>
      </c>
      <c r="C3565" t="str">
        <f t="shared" si="1397"/>
        <v/>
      </c>
      <c r="D3565" t="str">
        <f>T("BOSTON")</f>
        <v>BOSTON</v>
      </c>
      <c r="E3565" t="str">
        <f>T("MA")</f>
        <v>MA</v>
      </c>
      <c r="F3565" t="str">
        <f>T("022151701")</f>
        <v>022151701</v>
      </c>
      <c r="G3565" t="str">
        <f>T("77 MASS AVE")</f>
        <v>77 MASS AVE</v>
      </c>
      <c r="H3565" t="str">
        <f>T("BLDG W59-110")</f>
        <v>BLDG W59-110</v>
      </c>
      <c r="I3565" t="str">
        <f>T("CAMBRIDGE")</f>
        <v>CAMBRIDGE</v>
      </c>
      <c r="J3565" t="str">
        <f>T("MA")</f>
        <v>MA</v>
      </c>
      <c r="K3565" t="str">
        <f>T("000000000000000000")</f>
        <v>000000000000000000</v>
      </c>
      <c r="L3565" t="str">
        <f>T("6172521765")</f>
        <v>6172521765</v>
      </c>
    </row>
    <row r="3566" spans="1:12" x14ac:dyDescent="0.35">
      <c r="A3566" t="str">
        <f>T("BOSTON NROTC CONSORTIUM")</f>
        <v>BOSTON NROTC CONSORTIUM</v>
      </c>
      <c r="B3566" t="str">
        <f>T("116 BEY STATE RD")</f>
        <v>116 BEY STATE RD</v>
      </c>
      <c r="C3566" t="str">
        <f t="shared" si="1397"/>
        <v/>
      </c>
      <c r="D3566" t="str">
        <f>T("BOSTON")</f>
        <v>BOSTON</v>
      </c>
      <c r="E3566" t="str">
        <f>T("MA")</f>
        <v>MA</v>
      </c>
      <c r="F3566" t="str">
        <f>T("022151701")</f>
        <v>022151701</v>
      </c>
      <c r="G3566" t="str">
        <f>T("116 BEY STATE RD")</f>
        <v>116 BEY STATE RD</v>
      </c>
      <c r="H3566" t="str">
        <f>T("")</f>
        <v/>
      </c>
      <c r="I3566" t="str">
        <f>T("BOSTON")</f>
        <v>BOSTON</v>
      </c>
      <c r="J3566" t="str">
        <f>T("MA")</f>
        <v>MA</v>
      </c>
      <c r="K3566" t="str">
        <f>T("")</f>
        <v/>
      </c>
      <c r="L3566" t="str">
        <f>T("6172521762")</f>
        <v>6172521762</v>
      </c>
    </row>
    <row r="3567" spans="1:12" x14ac:dyDescent="0.35">
      <c r="A3567" t="str">
        <f>T("BOSTON NROTC CONSORTIUM")</f>
        <v>BOSTON NROTC CONSORTIUM</v>
      </c>
      <c r="B3567" t="str">
        <f>T("116 BEY STATE RD")</f>
        <v>116 BEY STATE RD</v>
      </c>
      <c r="C3567" t="str">
        <f t="shared" si="1397"/>
        <v/>
      </c>
      <c r="D3567" t="str">
        <f>T("BOSTON")</f>
        <v>BOSTON</v>
      </c>
      <c r="E3567" t="str">
        <f>T("MA")</f>
        <v>MA</v>
      </c>
      <c r="F3567" t="str">
        <f>T("022151701")</f>
        <v>022151701</v>
      </c>
      <c r="G3567" t="str">
        <f>T("77 MASS AVE")</f>
        <v>77 MASS AVE</v>
      </c>
      <c r="H3567" t="str">
        <f>T("BLDG W59-110")</f>
        <v>BLDG W59-110</v>
      </c>
      <c r="I3567" t="str">
        <f>T("CAMBRIDGE")</f>
        <v>CAMBRIDGE</v>
      </c>
      <c r="J3567" t="str">
        <f>T("MA")</f>
        <v>MA</v>
      </c>
      <c r="K3567" t="str">
        <f>T("000000000000000000")</f>
        <v>000000000000000000</v>
      </c>
      <c r="L3567" t="str">
        <f>T("6172521765")</f>
        <v>6172521765</v>
      </c>
    </row>
    <row r="3568" spans="1:12" x14ac:dyDescent="0.35">
      <c r="A3568" t="str">
        <f>T("BOSTON NROTC CONSORTIUM")</f>
        <v>BOSTON NROTC CONSORTIUM</v>
      </c>
      <c r="B3568" t="str">
        <f>T("116 BEY STATE RD")</f>
        <v>116 BEY STATE RD</v>
      </c>
      <c r="C3568" t="str">
        <f t="shared" si="1397"/>
        <v/>
      </c>
      <c r="D3568" t="str">
        <f>T("BOSTON")</f>
        <v>BOSTON</v>
      </c>
      <c r="E3568" t="str">
        <f>T("MA")</f>
        <v>MA</v>
      </c>
      <c r="F3568" t="str">
        <f>T("022151701")</f>
        <v>022151701</v>
      </c>
      <c r="G3568" t="str">
        <f>T("77 MASS AVE")</f>
        <v>77 MASS AVE</v>
      </c>
      <c r="H3568" t="str">
        <f>T("BLDG W59-110")</f>
        <v>BLDG W59-110</v>
      </c>
      <c r="I3568" t="str">
        <f>T("CAMBRIDGE")</f>
        <v>CAMBRIDGE</v>
      </c>
      <c r="J3568" t="str">
        <f>T("MA")</f>
        <v>MA</v>
      </c>
      <c r="K3568" t="str">
        <f>T("000000000000000000")</f>
        <v>000000000000000000</v>
      </c>
      <c r="L3568" t="str">
        <f>T("6172521766")</f>
        <v>6172521766</v>
      </c>
    </row>
    <row r="3569" spans="1:12" x14ac:dyDescent="0.35">
      <c r="A3569" t="str">
        <f>T("NROTC UNIV OF AZ")</f>
        <v>NROTC UNIV OF AZ</v>
      </c>
      <c r="B3569" t="str">
        <f>T("1042 E SOUTH CAMPUS DR")</f>
        <v>1042 E SOUTH CAMPUS DR</v>
      </c>
      <c r="C3569" t="str">
        <f t="shared" si="1397"/>
        <v/>
      </c>
      <c r="D3569" t="str">
        <f>T("TUCSON")</f>
        <v>TUCSON</v>
      </c>
      <c r="E3569" t="str">
        <f>T("AZ")</f>
        <v>AZ</v>
      </c>
      <c r="F3569" t="str">
        <f>T("857190504")</f>
        <v>857190504</v>
      </c>
      <c r="G3569" t="str">
        <f>T("1042 E SOUTH CAMPUS DR")</f>
        <v>1042 E SOUTH CAMPUS DR</v>
      </c>
      <c r="H3569" t="str">
        <f>T("")</f>
        <v/>
      </c>
      <c r="I3569" t="str">
        <f>T("TUCSON")</f>
        <v>TUCSON</v>
      </c>
      <c r="J3569" t="str">
        <f>T("AZ")</f>
        <v>AZ</v>
      </c>
      <c r="K3569" t="str">
        <f>T("")</f>
        <v/>
      </c>
      <c r="L3569" t="str">
        <f>T("5206265770")</f>
        <v>5206265770</v>
      </c>
    </row>
    <row r="3570" spans="1:12" x14ac:dyDescent="0.35">
      <c r="A3570" t="str">
        <f>T("NROTC UNIV OF AZ")</f>
        <v>NROTC UNIV OF AZ</v>
      </c>
      <c r="B3570" t="str">
        <f>T("1042 E SOUTH CAMPUS DR")</f>
        <v>1042 E SOUTH CAMPUS DR</v>
      </c>
      <c r="C3570" t="str">
        <f t="shared" si="1397"/>
        <v/>
      </c>
      <c r="D3570" t="str">
        <f>T("TUCSON")</f>
        <v>TUCSON</v>
      </c>
      <c r="E3570" t="str">
        <f>T("AZ")</f>
        <v>AZ</v>
      </c>
      <c r="F3570" t="str">
        <f>T("857190504")</f>
        <v>857190504</v>
      </c>
      <c r="G3570" t="str">
        <f>T("1042 E SOUTH CAMPUS DR")</f>
        <v>1042 E SOUTH CAMPUS DR</v>
      </c>
      <c r="H3570" t="str">
        <f>T("")</f>
        <v/>
      </c>
      <c r="I3570" t="str">
        <f>T("TUCSON")</f>
        <v>TUCSON</v>
      </c>
      <c r="J3570" t="str">
        <f>T("AZ")</f>
        <v>AZ</v>
      </c>
      <c r="K3570" t="str">
        <f>T("5206269254")</f>
        <v>5206269254</v>
      </c>
      <c r="L3570" t="str">
        <f>T("5206265770")</f>
        <v>5206265770</v>
      </c>
    </row>
    <row r="3571" spans="1:12" x14ac:dyDescent="0.35">
      <c r="A3571" t="str">
        <f>T("NROTC UNIV OF AZ")</f>
        <v>NROTC UNIV OF AZ</v>
      </c>
      <c r="B3571" t="str">
        <f>T("1042 E SOUTH CAMPUS DR")</f>
        <v>1042 E SOUTH CAMPUS DR</v>
      </c>
      <c r="C3571" t="str">
        <f t="shared" si="1397"/>
        <v/>
      </c>
      <c r="D3571" t="str">
        <f>T("TUCSON")</f>
        <v>TUCSON</v>
      </c>
      <c r="E3571" t="str">
        <f>T("AZ")</f>
        <v>AZ</v>
      </c>
      <c r="F3571" t="str">
        <f>T("857190504")</f>
        <v>857190504</v>
      </c>
      <c r="G3571" t="str">
        <f>T("1042 E SOUTH CAMPUS DR")</f>
        <v>1042 E SOUTH CAMPUS DR</v>
      </c>
      <c r="H3571" t="str">
        <f>T("ROOM 109")</f>
        <v>ROOM 109</v>
      </c>
      <c r="I3571" t="str">
        <f>T("TUCSON")</f>
        <v>TUCSON</v>
      </c>
      <c r="J3571" t="str">
        <f>T("AZ")</f>
        <v>AZ</v>
      </c>
      <c r="K3571" t="str">
        <f>T("000000000000000000")</f>
        <v>000000000000000000</v>
      </c>
      <c r="L3571" t="str">
        <f>T("5206211283")</f>
        <v>5206211283</v>
      </c>
    </row>
    <row r="3572" spans="1:12" x14ac:dyDescent="0.35">
      <c r="A3572" t="str">
        <f>T("NROTC UNIV OF AZ")</f>
        <v>NROTC UNIV OF AZ</v>
      </c>
      <c r="B3572" t="str">
        <f>T("1042 E SOUTH CAMPUS DR")</f>
        <v>1042 E SOUTH CAMPUS DR</v>
      </c>
      <c r="C3572" t="str">
        <f t="shared" si="1397"/>
        <v/>
      </c>
      <c r="D3572" t="str">
        <f>T("TUCSON")</f>
        <v>TUCSON</v>
      </c>
      <c r="E3572" t="str">
        <f>T("AZ")</f>
        <v>AZ</v>
      </c>
      <c r="F3572" t="str">
        <f>T("857190504")</f>
        <v>857190504</v>
      </c>
      <c r="G3572" t="str">
        <f>T("1042 E SOUTH CAMPUS DR")</f>
        <v>1042 E SOUTH CAMPUS DR</v>
      </c>
      <c r="H3572" t="str">
        <f>T("ROOM 109")</f>
        <v>ROOM 109</v>
      </c>
      <c r="I3572" t="str">
        <f>T("TUCSON")</f>
        <v>TUCSON</v>
      </c>
      <c r="J3572" t="str">
        <f>T("AZ")</f>
        <v>AZ</v>
      </c>
      <c r="K3572" t="str">
        <f>T("000000000000000000")</f>
        <v>000000000000000000</v>
      </c>
      <c r="L3572" t="str">
        <f>T("5206265776")</f>
        <v>5206265776</v>
      </c>
    </row>
    <row r="3573" spans="1:12" x14ac:dyDescent="0.35">
      <c r="A3573" t="str">
        <f>T("NROTC GEORGE WASHINGTON")</f>
        <v>NROTC GEORGE WASHINGTON</v>
      </c>
      <c r="B3573" t="str">
        <f>T("2035 F ST NW")</f>
        <v>2035 F ST NW</v>
      </c>
      <c r="C3573" t="str">
        <f t="shared" si="1397"/>
        <v/>
      </c>
      <c r="D3573" t="str">
        <f>T("WASHINGTON")</f>
        <v>WASHINGTON</v>
      </c>
      <c r="E3573" t="str">
        <f>T("DC")</f>
        <v>DC</v>
      </c>
      <c r="F3573" t="str">
        <f>T("200520044")</f>
        <v>200520044</v>
      </c>
      <c r="G3573" t="str">
        <f>T("2035 F ST NW")</f>
        <v>2035 F ST NW</v>
      </c>
      <c r="H3573" t="str">
        <f>T("")</f>
        <v/>
      </c>
      <c r="I3573" t="str">
        <f>T("WASHINGTON")</f>
        <v>WASHINGTON</v>
      </c>
      <c r="J3573" t="str">
        <f>T("DC")</f>
        <v>DC</v>
      </c>
      <c r="K3573" t="str">
        <f>T("000000000000000000")</f>
        <v>000000000000000000</v>
      </c>
      <c r="L3573" t="str">
        <f>T("2029949102")</f>
        <v>2029949102</v>
      </c>
    </row>
    <row r="3574" spans="1:12" x14ac:dyDescent="0.35">
      <c r="A3574" t="str">
        <f>T("NROTC GEORGE WASHINGTON")</f>
        <v>NROTC GEORGE WASHINGTON</v>
      </c>
      <c r="B3574" t="str">
        <f>T("2035 F ST NW")</f>
        <v>2035 F ST NW</v>
      </c>
      <c r="C3574" t="str">
        <f t="shared" si="1397"/>
        <v/>
      </c>
      <c r="D3574" t="str">
        <f>T("WASHINGTON")</f>
        <v>WASHINGTON</v>
      </c>
      <c r="E3574" t="str">
        <f>T("DC")</f>
        <v>DC</v>
      </c>
      <c r="F3574" t="str">
        <f>T("200520044")</f>
        <v>200520044</v>
      </c>
      <c r="G3574" t="str">
        <f>T("2035 F ST NW")</f>
        <v>2035 F ST NW</v>
      </c>
      <c r="H3574" t="str">
        <f>T("")</f>
        <v/>
      </c>
      <c r="I3574" t="str">
        <f>T("WASHINGTON")</f>
        <v>WASHINGTON</v>
      </c>
      <c r="J3574" t="str">
        <f>T("DC")</f>
        <v>DC</v>
      </c>
      <c r="K3574" t="str">
        <f>T("000000000000000000")</f>
        <v>000000000000000000</v>
      </c>
      <c r="L3574" t="str">
        <f>T("2029949107")</f>
        <v>2029949107</v>
      </c>
    </row>
    <row r="3575" spans="1:12" x14ac:dyDescent="0.35">
      <c r="A3575" t="str">
        <f>T("NROTC GEORGE WASHINGTON")</f>
        <v>NROTC GEORGE WASHINGTON</v>
      </c>
      <c r="B3575" t="str">
        <f>T("2035 F ST NW")</f>
        <v>2035 F ST NW</v>
      </c>
      <c r="C3575" t="str">
        <f t="shared" si="1397"/>
        <v/>
      </c>
      <c r="D3575" t="str">
        <f>T("WASHINGTON")</f>
        <v>WASHINGTON</v>
      </c>
      <c r="E3575" t="str">
        <f>T("DC")</f>
        <v>DC</v>
      </c>
      <c r="F3575" t="str">
        <f>T("200520044")</f>
        <v>200520044</v>
      </c>
      <c r="G3575" t="str">
        <f>T("2035 F ST NW")</f>
        <v>2035 F ST NW</v>
      </c>
      <c r="H3575" t="str">
        <f>T("")</f>
        <v/>
      </c>
      <c r="I3575" t="str">
        <f>T("WASHINGTON")</f>
        <v>WASHINGTON</v>
      </c>
      <c r="J3575" t="str">
        <f>T("DC")</f>
        <v>DC</v>
      </c>
      <c r="K3575" t="str">
        <f>T("2029940090")</f>
        <v>2029940090</v>
      </c>
      <c r="L3575" t="str">
        <f>T("2029949107")</f>
        <v>2029949107</v>
      </c>
    </row>
    <row r="3576" spans="1:12" x14ac:dyDescent="0.35">
      <c r="A3576" t="str">
        <f>T("NROTC NORWICH UNIVERSITY")</f>
        <v>NROTC NORWICH UNIVERSITY</v>
      </c>
      <c r="B3576" t="str">
        <f>T("158 HARMON DRIVE")</f>
        <v>158 HARMON DRIVE</v>
      </c>
      <c r="C3576" t="str">
        <f>T("ATTN NAVAL ROTC")</f>
        <v>ATTN NAVAL ROTC</v>
      </c>
      <c r="D3576" t="str">
        <f>T("NORTHFIELD")</f>
        <v>NORTHFIELD</v>
      </c>
      <c r="E3576" t="str">
        <f>T("VT")</f>
        <v>VT</v>
      </c>
      <c r="F3576" t="str">
        <f>T("056631000")</f>
        <v>056631000</v>
      </c>
      <c r="G3576" t="str">
        <f>T("158 HARMON DR")</f>
        <v>158 HARMON DR</v>
      </c>
      <c r="H3576" t="str">
        <f>T("ATTN NAVAL ROTC")</f>
        <v>ATTN NAVAL ROTC</v>
      </c>
      <c r="I3576" t="str">
        <f>T("NORTHFIELD")</f>
        <v>NORTHFIELD</v>
      </c>
      <c r="J3576" t="str">
        <f>T("VT")</f>
        <v>VT</v>
      </c>
      <c r="K3576" t="str">
        <f>T("000000000000000000")</f>
        <v>000000000000000000</v>
      </c>
      <c r="L3576" t="str">
        <f>T("8024852195")</f>
        <v>8024852195</v>
      </c>
    </row>
    <row r="3577" spans="1:12" x14ac:dyDescent="0.35">
      <c r="A3577" t="str">
        <f>T("NROTC NORWICH UNIVERSITY")</f>
        <v>NROTC NORWICH UNIVERSITY</v>
      </c>
      <c r="B3577" t="str">
        <f>T("158 HARMON DRIVE")</f>
        <v>158 HARMON DRIVE</v>
      </c>
      <c r="C3577" t="str">
        <f>T("ATTN NAVAL ROTC")</f>
        <v>ATTN NAVAL ROTC</v>
      </c>
      <c r="D3577" t="str">
        <f>T("NORTHFIELD")</f>
        <v>NORTHFIELD</v>
      </c>
      <c r="E3577" t="str">
        <f>T("VT")</f>
        <v>VT</v>
      </c>
      <c r="F3577" t="str">
        <f>T("056631000")</f>
        <v>056631000</v>
      </c>
      <c r="G3577" t="str">
        <f>T("158 HARMON DRIVE")</f>
        <v>158 HARMON DRIVE</v>
      </c>
      <c r="H3577" t="str">
        <f>T("ATTN NAVAL ROTC")</f>
        <v>ATTN NAVAL ROTC</v>
      </c>
      <c r="I3577" t="str">
        <f>T("NORTHFIELD")</f>
        <v>NORTHFIELD</v>
      </c>
      <c r="J3577" t="str">
        <f>T("VT")</f>
        <v>VT</v>
      </c>
      <c r="K3577" t="str">
        <f>T("000000000000000000")</f>
        <v>000000000000000000</v>
      </c>
      <c r="L3577" t="str">
        <f>T("8024852190")</f>
        <v>8024852190</v>
      </c>
    </row>
    <row r="3578" spans="1:12" x14ac:dyDescent="0.35">
      <c r="A3578" t="str">
        <f>T("NROTC NORWICH UNIVERSITY")</f>
        <v>NROTC NORWICH UNIVERSITY</v>
      </c>
      <c r="B3578" t="str">
        <f>T("158 HARMON DRIVE")</f>
        <v>158 HARMON DRIVE</v>
      </c>
      <c r="C3578" t="str">
        <f>T("ATTN NAVAL ROTC")</f>
        <v>ATTN NAVAL ROTC</v>
      </c>
      <c r="D3578" t="str">
        <f>T("NORTHFIELD")</f>
        <v>NORTHFIELD</v>
      </c>
      <c r="E3578" t="str">
        <f>T("VT")</f>
        <v>VT</v>
      </c>
      <c r="F3578" t="str">
        <f>T("056631000")</f>
        <v>056631000</v>
      </c>
      <c r="G3578" t="str">
        <f>T("158 HARMON DRIVE")</f>
        <v>158 HARMON DRIVE</v>
      </c>
      <c r="H3578" t="str">
        <f>T("ATTN NAVAL ROTC")</f>
        <v>ATTN NAVAL ROTC</v>
      </c>
      <c r="I3578" t="str">
        <f>T("NORTHFIELD")</f>
        <v>NORTHFIELD</v>
      </c>
      <c r="J3578" t="str">
        <f>T("VT")</f>
        <v>VT</v>
      </c>
      <c r="K3578" t="str">
        <f>T("000000000000000000")</f>
        <v>000000000000000000</v>
      </c>
      <c r="L3578" t="str">
        <f>T("8024852195")</f>
        <v>8024852195</v>
      </c>
    </row>
    <row r="3579" spans="1:12" x14ac:dyDescent="0.35">
      <c r="A3579" t="str">
        <f>T("NROTC NORWICH UNIVERSITY")</f>
        <v>NROTC NORWICH UNIVERSITY</v>
      </c>
      <c r="B3579" t="str">
        <f>T("158 HARMON DRIVE")</f>
        <v>158 HARMON DRIVE</v>
      </c>
      <c r="C3579" t="str">
        <f>T("ATTN NAVAL ROTC")</f>
        <v>ATTN NAVAL ROTC</v>
      </c>
      <c r="D3579" t="str">
        <f>T("NORTHFIELD")</f>
        <v>NORTHFIELD</v>
      </c>
      <c r="E3579" t="str">
        <f>T("VT")</f>
        <v>VT</v>
      </c>
      <c r="F3579" t="str">
        <f>T("056631000")</f>
        <v>056631000</v>
      </c>
      <c r="G3579" t="str">
        <f>T("158 HARMON DRIVE")</f>
        <v>158 HARMON DRIVE</v>
      </c>
      <c r="H3579" t="str">
        <f>T("ATTN NAVAL ROTC")</f>
        <v>ATTN NAVAL ROTC</v>
      </c>
      <c r="I3579" t="str">
        <f>T("NORTHFIELD")</f>
        <v>NORTHFIELD</v>
      </c>
      <c r="J3579" t="str">
        <f>T("VT")</f>
        <v>VT</v>
      </c>
      <c r="K3579" t="str">
        <f>T("8024852105")</f>
        <v>8024852105</v>
      </c>
      <c r="L3579" t="str">
        <f>T("8024852190")</f>
        <v>8024852190</v>
      </c>
    </row>
    <row r="3580" spans="1:12" x14ac:dyDescent="0.35">
      <c r="A3580" t="str">
        <f>T("CMU NROTC")</f>
        <v>CMU NROTC</v>
      </c>
      <c r="B3580" t="str">
        <f>T("4615 FORBES AVE")</f>
        <v>4615 FORBES AVE</v>
      </c>
      <c r="C3580" t="str">
        <f>T("STE 200")</f>
        <v>STE 200</v>
      </c>
      <c r="D3580" t="str">
        <f>T("PITTSBURGH")</f>
        <v>PITTSBURGH</v>
      </c>
      <c r="E3580" t="str">
        <f>T("PA")</f>
        <v>PA</v>
      </c>
      <c r="F3580" t="str">
        <f>T("152133743")</f>
        <v>152133743</v>
      </c>
      <c r="G3580" t="str">
        <f>T("4615 FORBES AVE")</f>
        <v>4615 FORBES AVE</v>
      </c>
      <c r="H3580" t="str">
        <f>T("STE 200")</f>
        <v>STE 200</v>
      </c>
      <c r="I3580" t="str">
        <f>T("PITTSBURGH")</f>
        <v>PITTSBURGH</v>
      </c>
      <c r="J3580" t="str">
        <f>T("PA")</f>
        <v>PA</v>
      </c>
      <c r="K3580" t="str">
        <f>T("")</f>
        <v/>
      </c>
      <c r="L3580" t="str">
        <f>T("4122685109")</f>
        <v>4122685109</v>
      </c>
    </row>
    <row r="3581" spans="1:12" x14ac:dyDescent="0.35">
      <c r="A3581" t="str">
        <f>T("CMU NROTC")</f>
        <v>CMU NROTC</v>
      </c>
      <c r="B3581" t="str">
        <f>T("4615 FORBES AVE")</f>
        <v>4615 FORBES AVE</v>
      </c>
      <c r="C3581" t="str">
        <f>T("STE 200")</f>
        <v>STE 200</v>
      </c>
      <c r="D3581" t="str">
        <f>T("PITTSBURGH")</f>
        <v>PITTSBURGH</v>
      </c>
      <c r="E3581" t="str">
        <f>T("PA")</f>
        <v>PA</v>
      </c>
      <c r="F3581" t="str">
        <f>T("152133743")</f>
        <v>152133743</v>
      </c>
      <c r="G3581" t="str">
        <f>T("4615 FORBES AVE")</f>
        <v>4615 FORBES AVE</v>
      </c>
      <c r="H3581" t="str">
        <f>T("STE 200")</f>
        <v>STE 200</v>
      </c>
      <c r="I3581" t="str">
        <f>T("PITTSBURGH")</f>
        <v>PITTSBURGH</v>
      </c>
      <c r="J3581" t="str">
        <f>T("PA")</f>
        <v>PA</v>
      </c>
      <c r="K3581" t="str">
        <f>T("000000000000000000")</f>
        <v>000000000000000000</v>
      </c>
      <c r="L3581" t="str">
        <f>T("4122683160")</f>
        <v>4122683160</v>
      </c>
    </row>
    <row r="3582" spans="1:12" x14ac:dyDescent="0.35">
      <c r="A3582" t="str">
        <f>T("CMU NROTC")</f>
        <v>CMU NROTC</v>
      </c>
      <c r="B3582" t="str">
        <f>T("4615 FORBES AVE")</f>
        <v>4615 FORBES AVE</v>
      </c>
      <c r="C3582" t="str">
        <f>T("SUITE 200")</f>
        <v>SUITE 200</v>
      </c>
      <c r="D3582" t="str">
        <f>T("PITTSBURGH")</f>
        <v>PITTSBURGH</v>
      </c>
      <c r="E3582" t="str">
        <f>T("PA")</f>
        <v>PA</v>
      </c>
      <c r="F3582" t="str">
        <f>T("152133743")</f>
        <v>152133743</v>
      </c>
      <c r="G3582" t="str">
        <f>T("4615 FORBES AVE")</f>
        <v>4615 FORBES AVE</v>
      </c>
      <c r="H3582" t="str">
        <f>T("SUITE 200")</f>
        <v>SUITE 200</v>
      </c>
      <c r="I3582" t="str">
        <f>T("PITTSBURGH")</f>
        <v>PITTSBURGH</v>
      </c>
      <c r="J3582" t="str">
        <f>T("PA")</f>
        <v>PA</v>
      </c>
      <c r="K3582" t="str">
        <f>T("4122686381")</f>
        <v>4122686381</v>
      </c>
      <c r="L3582" t="str">
        <f>T("4122685109")</f>
        <v>4122685109</v>
      </c>
    </row>
    <row r="3583" spans="1:12" x14ac:dyDescent="0.35">
      <c r="A3583" t="str">
        <f t="shared" ref="A3583:A3592" si="1398">T("TRNG SPPRT DTCHMNT PORT HUENEM")</f>
        <v>TRNG SPPRT DTCHMNT PORT HUENEM</v>
      </c>
      <c r="B3583" t="str">
        <f>T("1 ADMIN CIRCLE BLDG 02681")</f>
        <v>1 ADMIN CIRCLE BLDG 02681</v>
      </c>
      <c r="C3583" t="str">
        <f>T("STOP 1102")</f>
        <v>STOP 1102</v>
      </c>
      <c r="D3583" t="str">
        <f>T("RIDGECREST")</f>
        <v>RIDGECREST</v>
      </c>
      <c r="E3583" t="str">
        <f t="shared" ref="E3583:E3592" si="1399">T("CA")</f>
        <v>CA</v>
      </c>
      <c r="F3583" t="str">
        <f>T("935556104")</f>
        <v>935556104</v>
      </c>
      <c r="G3583" t="str">
        <f>T("1 ADMIN CIRCLE")</f>
        <v>1 ADMIN CIRCLE</v>
      </c>
      <c r="H3583" t="str">
        <f>T("BLDG 02681 STOP 1102")</f>
        <v>BLDG 02681 STOP 1102</v>
      </c>
      <c r="I3583" t="str">
        <f>T("RIDGECREST")</f>
        <v>RIDGECREST</v>
      </c>
      <c r="J3583" t="str">
        <f t="shared" ref="J3583:J3592" si="1400">T("CA")</f>
        <v>CA</v>
      </c>
      <c r="K3583" t="str">
        <f>T("7609390596")</f>
        <v>7609390596</v>
      </c>
      <c r="L3583" t="str">
        <f>T("7609390581")</f>
        <v>7609390581</v>
      </c>
    </row>
    <row r="3584" spans="1:12" x14ac:dyDescent="0.35">
      <c r="A3584" t="str">
        <f t="shared" si="1398"/>
        <v>TRNG SPPRT DTCHMNT PORT HUENEM</v>
      </c>
      <c r="B3584" t="str">
        <f>T("1 ADMIN CIRCLE BLDG 02681")</f>
        <v>1 ADMIN CIRCLE BLDG 02681</v>
      </c>
      <c r="C3584" t="str">
        <f>T("STOP 1102")</f>
        <v>STOP 1102</v>
      </c>
      <c r="D3584" t="str">
        <f>T("RIDGECREST")</f>
        <v>RIDGECREST</v>
      </c>
      <c r="E3584" t="str">
        <f t="shared" si="1399"/>
        <v>CA</v>
      </c>
      <c r="F3584" t="str">
        <f>T("935556104")</f>
        <v>935556104</v>
      </c>
      <c r="G3584" t="str">
        <f>T("1 ADMIN CIRCLE BLDG 02681")</f>
        <v>1 ADMIN CIRCLE BLDG 02681</v>
      </c>
      <c r="H3584" t="str">
        <f>T("STOP 1102")</f>
        <v>STOP 1102</v>
      </c>
      <c r="I3584" t="str">
        <f>T("CHINA LAKE")</f>
        <v>CHINA LAKE</v>
      </c>
      <c r="J3584" t="str">
        <f t="shared" si="1400"/>
        <v>CA</v>
      </c>
      <c r="K3584" t="str">
        <f>T("7609390596")</f>
        <v>7609390596</v>
      </c>
      <c r="L3584" t="str">
        <f>T("7609390625")</f>
        <v>7609390625</v>
      </c>
    </row>
    <row r="3585" spans="1:12" x14ac:dyDescent="0.35">
      <c r="A3585" t="str">
        <f t="shared" si="1398"/>
        <v>TRNG SPPRT DTCHMNT PORT HUENEM</v>
      </c>
      <c r="B3585" t="str">
        <f>T("1 ADMIN CIRCLE BLDG 02681")</f>
        <v>1 ADMIN CIRCLE BLDG 02681</v>
      </c>
      <c r="C3585" t="str">
        <f>T("STOP 1102")</f>
        <v>STOP 1102</v>
      </c>
      <c r="D3585" t="str">
        <f>T("RIDGECREST")</f>
        <v>RIDGECREST</v>
      </c>
      <c r="E3585" t="str">
        <f t="shared" si="1399"/>
        <v>CA</v>
      </c>
      <c r="F3585" t="str">
        <f>T("935556104")</f>
        <v>935556104</v>
      </c>
      <c r="G3585" t="str">
        <f>T("1 ADMIN CIRCLE BLDG 02681")</f>
        <v>1 ADMIN CIRCLE BLDG 02681</v>
      </c>
      <c r="H3585" t="str">
        <f>T("STOP 1102")</f>
        <v>STOP 1102</v>
      </c>
      <c r="I3585" t="str">
        <f>T("RIDGECREST")</f>
        <v>RIDGECREST</v>
      </c>
      <c r="J3585" t="str">
        <f t="shared" si="1400"/>
        <v>CA</v>
      </c>
      <c r="K3585" t="str">
        <f>T("7609390596")</f>
        <v>7609390596</v>
      </c>
      <c r="L3585" t="str">
        <f>T("7609390598")</f>
        <v>7609390598</v>
      </c>
    </row>
    <row r="3586" spans="1:12" x14ac:dyDescent="0.35">
      <c r="A3586" t="str">
        <f t="shared" si="1398"/>
        <v>TRNG SPPRT DTCHMNT PORT HUENEM</v>
      </c>
      <c r="B3586" t="str">
        <f t="shared" ref="B3586:B3592" si="1401">T("363 WHITEHOUSE WAY BLDG 1300")</f>
        <v>363 WHITEHOUSE WAY BLDG 1300</v>
      </c>
      <c r="C3586" t="str">
        <f t="shared" ref="C3586:C3592" si="1402">T("")</f>
        <v/>
      </c>
      <c r="D3586" t="str">
        <f t="shared" ref="D3586:D3592" si="1403">T("PORT HUENEME")</f>
        <v>PORT HUENEME</v>
      </c>
      <c r="E3586" t="str">
        <f t="shared" si="1399"/>
        <v>CA</v>
      </c>
      <c r="F3586" t="str">
        <f t="shared" ref="F3586:F3592" si="1404">T("930434303")</f>
        <v>930434303</v>
      </c>
      <c r="G3586" t="str">
        <f>T("3502 GOODSPEED ST STE 1")</f>
        <v>3502 GOODSPEED ST STE 1</v>
      </c>
      <c r="H3586" t="str">
        <f>T("BLDG 1444 RM 142")</f>
        <v>BLDG 1444 RM 142</v>
      </c>
      <c r="I3586" t="str">
        <f t="shared" ref="I3586:I3592" si="1405">T("PORT HUENEME")</f>
        <v>PORT HUENEME</v>
      </c>
      <c r="J3586" t="str">
        <f t="shared" si="1400"/>
        <v>CA</v>
      </c>
      <c r="K3586" t="str">
        <f>T("8059821425")</f>
        <v>8059821425</v>
      </c>
      <c r="L3586" t="str">
        <f>T("8059821772")</f>
        <v>8059821772</v>
      </c>
    </row>
    <row r="3587" spans="1:12" x14ac:dyDescent="0.35">
      <c r="A3587" t="str">
        <f t="shared" si="1398"/>
        <v>TRNG SPPRT DTCHMNT PORT HUENEM</v>
      </c>
      <c r="B3587" t="str">
        <f t="shared" si="1401"/>
        <v>363 WHITEHOUSE WAY BLDG 1300</v>
      </c>
      <c r="C3587" t="str">
        <f t="shared" si="1402"/>
        <v/>
      </c>
      <c r="D3587" t="str">
        <f t="shared" si="1403"/>
        <v>PORT HUENEME</v>
      </c>
      <c r="E3587" t="str">
        <f t="shared" si="1399"/>
        <v>CA</v>
      </c>
      <c r="F3587" t="str">
        <f t="shared" si="1404"/>
        <v>930434303</v>
      </c>
      <c r="G3587" t="str">
        <f>T("363 WHITE HOUSE WAY")</f>
        <v>363 WHITE HOUSE WAY</v>
      </c>
      <c r="H3587" t="str">
        <f>T("")</f>
        <v/>
      </c>
      <c r="I3587" t="str">
        <f t="shared" si="1405"/>
        <v>PORT HUENEME</v>
      </c>
      <c r="J3587" t="str">
        <f t="shared" si="1400"/>
        <v>CA</v>
      </c>
      <c r="K3587" t="str">
        <f>T("000000000000000000")</f>
        <v>000000000000000000</v>
      </c>
      <c r="L3587" t="str">
        <f>T("8059825468")</f>
        <v>8059825468</v>
      </c>
    </row>
    <row r="3588" spans="1:12" x14ac:dyDescent="0.35">
      <c r="A3588" t="str">
        <f t="shared" si="1398"/>
        <v>TRNG SPPRT DTCHMNT PORT HUENEM</v>
      </c>
      <c r="B3588" t="str">
        <f t="shared" si="1401"/>
        <v>363 WHITEHOUSE WAY BLDG 1300</v>
      </c>
      <c r="C3588" t="str">
        <f t="shared" si="1402"/>
        <v/>
      </c>
      <c r="D3588" t="str">
        <f t="shared" si="1403"/>
        <v>PORT HUENEME</v>
      </c>
      <c r="E3588" t="str">
        <f t="shared" si="1399"/>
        <v>CA</v>
      </c>
      <c r="F3588" t="str">
        <f t="shared" si="1404"/>
        <v>930434303</v>
      </c>
      <c r="G3588" t="str">
        <f>T("363 WHITE HOUSE WAY")</f>
        <v>363 WHITE HOUSE WAY</v>
      </c>
      <c r="H3588" t="str">
        <f>T("")</f>
        <v/>
      </c>
      <c r="I3588" t="str">
        <f t="shared" si="1405"/>
        <v>PORT HUENEME</v>
      </c>
      <c r="J3588" t="str">
        <f t="shared" si="1400"/>
        <v>CA</v>
      </c>
      <c r="K3588" t="str">
        <f>T("8059821425")</f>
        <v>8059821425</v>
      </c>
      <c r="L3588" t="str">
        <f>T("8059821750")</f>
        <v>8059821750</v>
      </c>
    </row>
    <row r="3589" spans="1:12" x14ac:dyDescent="0.35">
      <c r="A3589" t="str">
        <f t="shared" si="1398"/>
        <v>TRNG SPPRT DTCHMNT PORT HUENEM</v>
      </c>
      <c r="B3589" t="str">
        <f t="shared" si="1401"/>
        <v>363 WHITEHOUSE WAY BLDG 1300</v>
      </c>
      <c r="C3589" t="str">
        <f t="shared" si="1402"/>
        <v/>
      </c>
      <c r="D3589" t="str">
        <f t="shared" si="1403"/>
        <v>PORT HUENEME</v>
      </c>
      <c r="E3589" t="str">
        <f t="shared" si="1399"/>
        <v>CA</v>
      </c>
      <c r="F3589" t="str">
        <f t="shared" si="1404"/>
        <v>930434303</v>
      </c>
      <c r="G3589" t="str">
        <f>T("363 WHITE HOUSE WAY")</f>
        <v>363 WHITE HOUSE WAY</v>
      </c>
      <c r="H3589" t="str">
        <f>T("")</f>
        <v/>
      </c>
      <c r="I3589" t="str">
        <f t="shared" si="1405"/>
        <v>PORT HUENEME</v>
      </c>
      <c r="J3589" t="str">
        <f t="shared" si="1400"/>
        <v>CA</v>
      </c>
      <c r="K3589" t="str">
        <f>T("8059821425")</f>
        <v>8059821425</v>
      </c>
      <c r="L3589" t="str">
        <f>T("8059824920")</f>
        <v>8059824920</v>
      </c>
    </row>
    <row r="3590" spans="1:12" x14ac:dyDescent="0.35">
      <c r="A3590" t="str">
        <f t="shared" si="1398"/>
        <v>TRNG SPPRT DTCHMNT PORT HUENEM</v>
      </c>
      <c r="B3590" t="str">
        <f t="shared" si="1401"/>
        <v>363 WHITEHOUSE WAY BLDG 1300</v>
      </c>
      <c r="C3590" t="str">
        <f t="shared" si="1402"/>
        <v/>
      </c>
      <c r="D3590" t="str">
        <f t="shared" si="1403"/>
        <v>PORT HUENEME</v>
      </c>
      <c r="E3590" t="str">
        <f t="shared" si="1399"/>
        <v>CA</v>
      </c>
      <c r="F3590" t="str">
        <f t="shared" si="1404"/>
        <v>930434303</v>
      </c>
      <c r="G3590" t="str">
        <f>T("363 WHITEHOUSE WAY")</f>
        <v>363 WHITEHOUSE WAY</v>
      </c>
      <c r="H3590" t="str">
        <f>T("BLDG 1300")</f>
        <v>BLDG 1300</v>
      </c>
      <c r="I3590" t="str">
        <f t="shared" si="1405"/>
        <v>PORT HUENEME</v>
      </c>
      <c r="J3590" t="str">
        <f t="shared" si="1400"/>
        <v>CA</v>
      </c>
      <c r="K3590" t="str">
        <f>T("000000000000000000")</f>
        <v>000000000000000000</v>
      </c>
      <c r="L3590" t="str">
        <f>T("8059822834")</f>
        <v>8059822834</v>
      </c>
    </row>
    <row r="3591" spans="1:12" x14ac:dyDescent="0.35">
      <c r="A3591" t="str">
        <f t="shared" si="1398"/>
        <v>TRNG SPPRT DTCHMNT PORT HUENEM</v>
      </c>
      <c r="B3591" t="str">
        <f t="shared" si="1401"/>
        <v>363 WHITEHOUSE WAY BLDG 1300</v>
      </c>
      <c r="C3591" t="str">
        <f t="shared" si="1402"/>
        <v/>
      </c>
      <c r="D3591" t="str">
        <f t="shared" si="1403"/>
        <v>PORT HUENEME</v>
      </c>
      <c r="E3591" t="str">
        <f t="shared" si="1399"/>
        <v>CA</v>
      </c>
      <c r="F3591" t="str">
        <f t="shared" si="1404"/>
        <v>930434303</v>
      </c>
      <c r="G3591" t="str">
        <f>T("363 WHITEHOUSE WAY BLDG 1300")</f>
        <v>363 WHITEHOUSE WAY BLDG 1300</v>
      </c>
      <c r="H3591" t="str">
        <f>T("")</f>
        <v/>
      </c>
      <c r="I3591" t="str">
        <f t="shared" si="1405"/>
        <v>PORT HUENEME</v>
      </c>
      <c r="J3591" t="str">
        <f t="shared" si="1400"/>
        <v>CA</v>
      </c>
      <c r="K3591" t="str">
        <f>T("8059821425")</f>
        <v>8059821425</v>
      </c>
      <c r="L3591" t="str">
        <f>T("8059824430")</f>
        <v>8059824430</v>
      </c>
    </row>
    <row r="3592" spans="1:12" x14ac:dyDescent="0.35">
      <c r="A3592" t="str">
        <f t="shared" si="1398"/>
        <v>TRNG SPPRT DTCHMNT PORT HUENEM</v>
      </c>
      <c r="B3592" t="str">
        <f t="shared" si="1401"/>
        <v>363 WHITEHOUSE WAY BLDG 1300</v>
      </c>
      <c r="C3592" t="str">
        <f t="shared" si="1402"/>
        <v/>
      </c>
      <c r="D3592" t="str">
        <f t="shared" si="1403"/>
        <v>PORT HUENEME</v>
      </c>
      <c r="E3592" t="str">
        <f t="shared" si="1399"/>
        <v>CA</v>
      </c>
      <c r="F3592" t="str">
        <f t="shared" si="1404"/>
        <v>930434303</v>
      </c>
      <c r="G3592" t="str">
        <f>T("NCTC PH")</f>
        <v>NCTC PH</v>
      </c>
      <c r="H3592" t="str">
        <f>T("363 WHITEHOUSE WAY")</f>
        <v>363 WHITEHOUSE WAY</v>
      </c>
      <c r="I3592" t="str">
        <f t="shared" si="1405"/>
        <v>PORT HUENEME</v>
      </c>
      <c r="J3592" t="str">
        <f t="shared" si="1400"/>
        <v>CA</v>
      </c>
      <c r="K3592" t="str">
        <f>T("8059821425")</f>
        <v>8059821425</v>
      </c>
      <c r="L3592" t="str">
        <f>T("8059824341")</f>
        <v>8059824341</v>
      </c>
    </row>
    <row r="3593" spans="1:12" x14ac:dyDescent="0.35">
      <c r="A3593" t="str">
        <f t="shared" ref="A3593:A3602" si="1406">T("NAVCONSTRACEN GULFPORT")</f>
        <v>NAVCONSTRACEN GULFPORT</v>
      </c>
      <c r="B3593" t="str">
        <f>T("5510 CBC 8TH STREET")</f>
        <v>5510 CBC 8TH STREET</v>
      </c>
      <c r="C3593" t="str">
        <f>T("CODE N8")</f>
        <v>CODE N8</v>
      </c>
      <c r="D3593" t="str">
        <f>T("GULFPORT")</f>
        <v>GULFPORT</v>
      </c>
      <c r="E3593" t="str">
        <f>T("MS")</f>
        <v>MS</v>
      </c>
      <c r="F3593" t="str">
        <f>T("395019040")</f>
        <v>395019040</v>
      </c>
      <c r="G3593" t="str">
        <f>T("5510 CBC 8TH ST")</f>
        <v>5510 CBC 8TH ST</v>
      </c>
      <c r="H3593" t="str">
        <f>T("")</f>
        <v/>
      </c>
      <c r="I3593" t="str">
        <f>T("GULFPORT")</f>
        <v>GULFPORT</v>
      </c>
      <c r="J3593" t="str">
        <f>T("MS")</f>
        <v>MS</v>
      </c>
      <c r="K3593" t="str">
        <f>T("2288713752")</f>
        <v>2288713752</v>
      </c>
      <c r="L3593" t="str">
        <f>T("2288713879")</f>
        <v>2288713879</v>
      </c>
    </row>
    <row r="3594" spans="1:12" x14ac:dyDescent="0.35">
      <c r="A3594" t="str">
        <f t="shared" si="1406"/>
        <v>NAVCONSTRACEN GULFPORT</v>
      </c>
      <c r="B3594" t="str">
        <f>T("5510 CBC 8TH STREET")</f>
        <v>5510 CBC 8TH STREET</v>
      </c>
      <c r="C3594" t="str">
        <f>T("CODE N8")</f>
        <v>CODE N8</v>
      </c>
      <c r="D3594" t="str">
        <f>T("GULFPORT")</f>
        <v>GULFPORT</v>
      </c>
      <c r="E3594" t="str">
        <f>T("MS")</f>
        <v>MS</v>
      </c>
      <c r="F3594" t="str">
        <f>T("395019040")</f>
        <v>395019040</v>
      </c>
      <c r="G3594" t="str">
        <f>T("5510 CBC 8TH STREET")</f>
        <v>5510 CBC 8TH STREET</v>
      </c>
      <c r="H3594" t="str">
        <f>T("CODE N8")</f>
        <v>CODE N8</v>
      </c>
      <c r="I3594" t="str">
        <f>T("GULFPORT")</f>
        <v>GULFPORT</v>
      </c>
      <c r="J3594" t="str">
        <f>T("MS")</f>
        <v>MS</v>
      </c>
      <c r="K3594" t="str">
        <f>T("")</f>
        <v/>
      </c>
      <c r="L3594" t="str">
        <f>T("2288713379")</f>
        <v>2288713379</v>
      </c>
    </row>
    <row r="3595" spans="1:12" x14ac:dyDescent="0.35">
      <c r="A3595" t="str">
        <f t="shared" si="1406"/>
        <v>NAVCONSTRACEN GULFPORT</v>
      </c>
      <c r="B3595" t="str">
        <f>T("5510 CBC 8TH STREET")</f>
        <v>5510 CBC 8TH STREET</v>
      </c>
      <c r="C3595" t="str">
        <f>T("CODE N8")</f>
        <v>CODE N8</v>
      </c>
      <c r="D3595" t="str">
        <f>T("GULFPORT")</f>
        <v>GULFPORT</v>
      </c>
      <c r="E3595" t="str">
        <f>T("MS")</f>
        <v>MS</v>
      </c>
      <c r="F3595" t="str">
        <f>T("395019040")</f>
        <v>395019040</v>
      </c>
      <c r="G3595" t="str">
        <f>T("NAVAL CONSTRUCTION TRAINING CENTER")</f>
        <v>NAVAL CONSTRUCTION TRAINING CENTER</v>
      </c>
      <c r="H3595" t="str">
        <f>T("5510 CBC 8TH STREET")</f>
        <v>5510 CBC 8TH STREET</v>
      </c>
      <c r="I3595" t="str">
        <f>T("GULFPORT")</f>
        <v>GULFPORT</v>
      </c>
      <c r="J3595" t="str">
        <f>T("MS")</f>
        <v>MS</v>
      </c>
      <c r="K3595" t="str">
        <f>T("2288712905")</f>
        <v>2288712905</v>
      </c>
      <c r="L3595" t="str">
        <f>T("2288713879")</f>
        <v>2288713879</v>
      </c>
    </row>
    <row r="3596" spans="1:12" x14ac:dyDescent="0.35">
      <c r="A3596" t="str">
        <f t="shared" si="1406"/>
        <v>NAVCONSTRACEN GULFPORT</v>
      </c>
      <c r="B3596" t="str">
        <f>T("5510 CBC 8TH STREET")</f>
        <v>5510 CBC 8TH STREET</v>
      </c>
      <c r="C3596" t="str">
        <f>T("CODE N8")</f>
        <v>CODE N8</v>
      </c>
      <c r="D3596" t="str">
        <f>T("GULFPORT")</f>
        <v>GULFPORT</v>
      </c>
      <c r="E3596" t="str">
        <f>T("MS")</f>
        <v>MS</v>
      </c>
      <c r="F3596" t="str">
        <f>T("395019040")</f>
        <v>395019040</v>
      </c>
      <c r="G3596" t="str">
        <f>T("NAVAL CONSTRUCTION TRAINING CENTER")</f>
        <v>NAVAL CONSTRUCTION TRAINING CENTER</v>
      </c>
      <c r="H3596" t="str">
        <f>T("5510 CBDC 8TH STREET")</f>
        <v>5510 CBDC 8TH STREET</v>
      </c>
      <c r="I3596" t="str">
        <f>T("GULFPORT")</f>
        <v>GULFPORT</v>
      </c>
      <c r="J3596" t="str">
        <f>T("MS")</f>
        <v>MS</v>
      </c>
      <c r="K3596" t="str">
        <f>T("2287317391")</f>
        <v>2287317391</v>
      </c>
      <c r="L3596" t="str">
        <f>T("2288712977")</f>
        <v>2288712977</v>
      </c>
    </row>
    <row r="3597" spans="1:12" x14ac:dyDescent="0.35">
      <c r="A3597" t="str">
        <f t="shared" si="1406"/>
        <v>NAVCONSTRACEN GULFPORT</v>
      </c>
      <c r="B3597" t="str">
        <f>T("5510 CBC 8TH STREET")</f>
        <v>5510 CBC 8TH STREET</v>
      </c>
      <c r="C3597" t="str">
        <f>T("CODE N8")</f>
        <v>CODE N8</v>
      </c>
      <c r="D3597" t="str">
        <f>T("GULFPORT")</f>
        <v>GULFPORT</v>
      </c>
      <c r="E3597" t="str">
        <f>T("MS")</f>
        <v>MS</v>
      </c>
      <c r="F3597" t="str">
        <f>T("395019040")</f>
        <v>395019040</v>
      </c>
      <c r="G3597" t="str">
        <f>T("NCTC")</f>
        <v>NCTC</v>
      </c>
      <c r="H3597" t="str">
        <f>T("5510 CBC 8TH ST")</f>
        <v>5510 CBC 8TH ST</v>
      </c>
      <c r="I3597" t="str">
        <f>T("GULFPORT")</f>
        <v>GULFPORT</v>
      </c>
      <c r="J3597" t="str">
        <f>T("MS")</f>
        <v>MS</v>
      </c>
      <c r="K3597" t="str">
        <f>T("2288712905")</f>
        <v>2288712905</v>
      </c>
      <c r="L3597" t="str">
        <f>T("2288713744")</f>
        <v>2288713744</v>
      </c>
    </row>
    <row r="3598" spans="1:12" x14ac:dyDescent="0.35">
      <c r="A3598" t="str">
        <f t="shared" si="1406"/>
        <v>NAVCONSTRACEN GULFPORT</v>
      </c>
      <c r="B3598" t="str">
        <f>T("727 MISSILE ROAD")</f>
        <v>727 MISSILE ROAD</v>
      </c>
      <c r="C3598" t="str">
        <f>T("")</f>
        <v/>
      </c>
      <c r="D3598" t="str">
        <f>T("SHEPPARD AFB")</f>
        <v>SHEPPARD AFB</v>
      </c>
      <c r="E3598" t="str">
        <f>T("TX")</f>
        <v>TX</v>
      </c>
      <c r="F3598" t="str">
        <f>T("763112235")</f>
        <v>763112235</v>
      </c>
      <c r="G3598" t="str">
        <f>T("727 MISSILE RD")</f>
        <v>727 MISSILE RD</v>
      </c>
      <c r="H3598" t="str">
        <f>T("")</f>
        <v/>
      </c>
      <c r="I3598" t="str">
        <f>T("SHEPPARD AFB")</f>
        <v>SHEPPARD AFB</v>
      </c>
      <c r="J3598" t="str">
        <f>T("TX")</f>
        <v>TX</v>
      </c>
      <c r="K3598" t="str">
        <f>T("000000000000000000")</f>
        <v>000000000000000000</v>
      </c>
      <c r="L3598" t="str">
        <f>T("9406765428")</f>
        <v>9406765428</v>
      </c>
    </row>
    <row r="3599" spans="1:12" x14ac:dyDescent="0.35">
      <c r="A3599" t="str">
        <f t="shared" si="1406"/>
        <v>NAVCONSTRACEN GULFPORT</v>
      </c>
      <c r="B3599" t="str">
        <f>T("727 MISSILE ROAD")</f>
        <v>727 MISSILE ROAD</v>
      </c>
      <c r="C3599" t="str">
        <f>T("")</f>
        <v/>
      </c>
      <c r="D3599" t="str">
        <f>T("SHEPPARD AFB")</f>
        <v>SHEPPARD AFB</v>
      </c>
      <c r="E3599" t="str">
        <f>T("TX")</f>
        <v>TX</v>
      </c>
      <c r="F3599" t="str">
        <f>T("763112235")</f>
        <v>763112235</v>
      </c>
      <c r="G3599" t="str">
        <f>T("727 MISSILE RD BLDG 1927")</f>
        <v>727 MISSILE RD BLDG 1927</v>
      </c>
      <c r="H3599" t="str">
        <f>T("")</f>
        <v/>
      </c>
      <c r="I3599" t="str">
        <f>T("SHEPPARD AFB")</f>
        <v>SHEPPARD AFB</v>
      </c>
      <c r="J3599" t="str">
        <f>T("TX")</f>
        <v>TX</v>
      </c>
      <c r="K3599" t="str">
        <f>T("000000000000000000")</f>
        <v>000000000000000000</v>
      </c>
      <c r="L3599" t="str">
        <f>T("9406765428")</f>
        <v>9406765428</v>
      </c>
    </row>
    <row r="3600" spans="1:12" x14ac:dyDescent="0.35">
      <c r="A3600" t="str">
        <f t="shared" si="1406"/>
        <v>NAVCONSTRACEN GULFPORT</v>
      </c>
      <c r="B3600" t="str">
        <f>T("727 MISSILE ROAD")</f>
        <v>727 MISSILE ROAD</v>
      </c>
      <c r="C3600" t="str">
        <f>T("")</f>
        <v/>
      </c>
      <c r="D3600" t="str">
        <f>T("SHEPPARD AFB")</f>
        <v>SHEPPARD AFB</v>
      </c>
      <c r="E3600" t="str">
        <f>T("TX")</f>
        <v>TX</v>
      </c>
      <c r="F3600" t="str">
        <f>T("763112235")</f>
        <v>763112235</v>
      </c>
      <c r="G3600" t="str">
        <f>T("727 MISSILE ROAD")</f>
        <v>727 MISSILE ROAD</v>
      </c>
      <c r="H3600" t="str">
        <f>T("")</f>
        <v/>
      </c>
      <c r="I3600" t="str">
        <f>T("SHEPPARD AFB")</f>
        <v>SHEPPARD AFB</v>
      </c>
      <c r="J3600" t="str">
        <f>T("TX")</f>
        <v>TX</v>
      </c>
      <c r="K3600" t="str">
        <f>T("9406767543")</f>
        <v>9406767543</v>
      </c>
      <c r="L3600" t="str">
        <f>T("9406767534")</f>
        <v>9406767534</v>
      </c>
    </row>
    <row r="3601" spans="1:12" x14ac:dyDescent="0.35">
      <c r="A3601" t="str">
        <f t="shared" si="1406"/>
        <v>NAVCONSTRACEN GULFPORT</v>
      </c>
      <c r="B3601" t="str">
        <f>T("US NAVY DETACHMENT")</f>
        <v>US NAVY DETACHMENT</v>
      </c>
      <c r="C3601" t="str">
        <f>T("1750 COWLEY AVE")</f>
        <v>1750 COWLEY AVE</v>
      </c>
      <c r="D3601" t="str">
        <f>T("FT LEONARD WD")</f>
        <v>FT LEONARD WD</v>
      </c>
      <c r="E3601" t="str">
        <f>T("MO")</f>
        <v>MO</v>
      </c>
      <c r="F3601" t="str">
        <f>T("654739114")</f>
        <v>654739114</v>
      </c>
      <c r="G3601" t="str">
        <f>T("NCTC NAVY DETACHMENT FLW")</f>
        <v>NCTC NAVY DETACHMENT FLW</v>
      </c>
      <c r="H3601" t="str">
        <f>T("1750 COOLEY AVENUE")</f>
        <v>1750 COOLEY AVENUE</v>
      </c>
      <c r="I3601" t="str">
        <f>T("FORT LEONARD WOOD")</f>
        <v>FORT LEONARD WOOD</v>
      </c>
      <c r="J3601" t="str">
        <f>T("MO")</f>
        <v>MO</v>
      </c>
      <c r="K3601" t="str">
        <f>T("000000000000000000")</f>
        <v>000000000000000000</v>
      </c>
      <c r="L3601" t="str">
        <f>T("5735960302")</f>
        <v>5735960302</v>
      </c>
    </row>
    <row r="3602" spans="1:12" x14ac:dyDescent="0.35">
      <c r="A3602" t="str">
        <f t="shared" si="1406"/>
        <v>NAVCONSTRACEN GULFPORT</v>
      </c>
      <c r="B3602" t="str">
        <f>T("US NAVY DETACHMENT")</f>
        <v>US NAVY DETACHMENT</v>
      </c>
      <c r="C3602" t="str">
        <f>T("1750 COWLEY AVE")</f>
        <v>1750 COWLEY AVE</v>
      </c>
      <c r="D3602" t="str">
        <f>T("FT LEONARD WD")</f>
        <v>FT LEONARD WD</v>
      </c>
      <c r="E3602" t="str">
        <f>T("MO")</f>
        <v>MO</v>
      </c>
      <c r="F3602" t="str">
        <f>T("654739114")</f>
        <v>654739114</v>
      </c>
      <c r="G3602" t="str">
        <f>T("US NAVY DETACHMENT")</f>
        <v>US NAVY DETACHMENT</v>
      </c>
      <c r="H3602" t="str">
        <f>T("1750 COWLEY AVE")</f>
        <v>1750 COWLEY AVE</v>
      </c>
      <c r="I3602" t="str">
        <f>T("FT LEONARD WD")</f>
        <v>FT LEONARD WD</v>
      </c>
      <c r="J3602" t="str">
        <f>T("MO")</f>
        <v>MO</v>
      </c>
      <c r="K3602" t="str">
        <f>T("")</f>
        <v/>
      </c>
      <c r="L3602" t="str">
        <f>T("5735960488")</f>
        <v>5735960488</v>
      </c>
    </row>
    <row r="3603" spans="1:12" x14ac:dyDescent="0.35">
      <c r="A3603" t="str">
        <f t="shared" ref="A3603:A3610" si="1407">T("FASW-SAN DIEGO")</f>
        <v>FASW-SAN DIEGO</v>
      </c>
      <c r="B3603" t="str">
        <f t="shared" ref="B3603:B3610" si="1408">T("33150 DESTROYER LANE")</f>
        <v>33150 DESTROYER LANE</v>
      </c>
      <c r="C3603" t="str">
        <f t="shared" ref="C3603:C3608" si="1409">T("BLDG 11 STE 401")</f>
        <v>BLDG 11 STE 401</v>
      </c>
      <c r="D3603" t="str">
        <f t="shared" ref="D3603:D3610" si="1410">T("SAN DIEGO")</f>
        <v>SAN DIEGO</v>
      </c>
      <c r="E3603" t="str">
        <f t="shared" ref="E3603:E3610" si="1411">T("CA")</f>
        <v>CA</v>
      </c>
      <c r="F3603" t="str">
        <f t="shared" ref="F3603:F3610" si="1412">T("921475118")</f>
        <v>921475118</v>
      </c>
      <c r="G3603" t="str">
        <f>T("33150 DESTROYER LANE")</f>
        <v>33150 DESTROYER LANE</v>
      </c>
      <c r="H3603" t="str">
        <f>T("BLDG 11 STE 401")</f>
        <v>BLDG 11 STE 401</v>
      </c>
      <c r="I3603" t="str">
        <f t="shared" ref="I3603:I3610" si="1413">T("SAN DIEGO")</f>
        <v>SAN DIEGO</v>
      </c>
      <c r="J3603" t="str">
        <f t="shared" ref="J3603:J3610" si="1414">T("CA")</f>
        <v>CA</v>
      </c>
      <c r="K3603" t="str">
        <f>T("")</f>
        <v/>
      </c>
      <c r="L3603" t="str">
        <f>T("6195241668")</f>
        <v>6195241668</v>
      </c>
    </row>
    <row r="3604" spans="1:12" x14ac:dyDescent="0.35">
      <c r="A3604" t="str">
        <f t="shared" si="1407"/>
        <v>FASW-SAN DIEGO</v>
      </c>
      <c r="B3604" t="str">
        <f t="shared" si="1408"/>
        <v>33150 DESTROYER LANE</v>
      </c>
      <c r="C3604" t="str">
        <f t="shared" si="1409"/>
        <v>BLDG 11 STE 401</v>
      </c>
      <c r="D3604" t="str">
        <f t="shared" si="1410"/>
        <v>SAN DIEGO</v>
      </c>
      <c r="E3604" t="str">
        <f t="shared" si="1411"/>
        <v>CA</v>
      </c>
      <c r="F3604" t="str">
        <f t="shared" si="1412"/>
        <v>921475118</v>
      </c>
      <c r="G3604" t="str">
        <f>T("33150 DESTROYER LANE")</f>
        <v>33150 DESTROYER LANE</v>
      </c>
      <c r="H3604" t="str">
        <f>T("BLDG 11 STE 401")</f>
        <v>BLDG 11 STE 401</v>
      </c>
      <c r="I3604" t="str">
        <f t="shared" si="1413"/>
        <v>SAN DIEGO</v>
      </c>
      <c r="J3604" t="str">
        <f t="shared" si="1414"/>
        <v>CA</v>
      </c>
      <c r="K3604" t="str">
        <f>T("6195241674")</f>
        <v>6195241674</v>
      </c>
      <c r="L3604" t="str">
        <f>T("6195538287")</f>
        <v>6195538287</v>
      </c>
    </row>
    <row r="3605" spans="1:12" x14ac:dyDescent="0.35">
      <c r="A3605" t="str">
        <f t="shared" si="1407"/>
        <v>FASW-SAN DIEGO</v>
      </c>
      <c r="B3605" t="str">
        <f t="shared" si="1408"/>
        <v>33150 DESTROYER LANE</v>
      </c>
      <c r="C3605" t="str">
        <f t="shared" si="1409"/>
        <v>BLDG 11 STE 401</v>
      </c>
      <c r="D3605" t="str">
        <f t="shared" si="1410"/>
        <v>SAN DIEGO</v>
      </c>
      <c r="E3605" t="str">
        <f t="shared" si="1411"/>
        <v>CA</v>
      </c>
      <c r="F3605" t="str">
        <f t="shared" si="1412"/>
        <v>921475118</v>
      </c>
      <c r="G3605" t="str">
        <f>T("33150 DESTROYER LANE")</f>
        <v>33150 DESTROYER LANE</v>
      </c>
      <c r="H3605" t="str">
        <f>T("BLDG 11 SUITE 401")</f>
        <v>BLDG 11 SUITE 401</v>
      </c>
      <c r="I3605" t="str">
        <f t="shared" si="1413"/>
        <v>SAN DIEGO</v>
      </c>
      <c r="J3605" t="str">
        <f t="shared" si="1414"/>
        <v>CA</v>
      </c>
      <c r="K3605" t="str">
        <f>T("000000000000000000")</f>
        <v>000000000000000000</v>
      </c>
      <c r="L3605" t="str">
        <f>T("6195240905")</f>
        <v>6195240905</v>
      </c>
    </row>
    <row r="3606" spans="1:12" x14ac:dyDescent="0.35">
      <c r="A3606" t="str">
        <f t="shared" si="1407"/>
        <v>FASW-SAN DIEGO</v>
      </c>
      <c r="B3606" t="str">
        <f t="shared" si="1408"/>
        <v>33150 DESTROYER LANE</v>
      </c>
      <c r="C3606" t="str">
        <f t="shared" si="1409"/>
        <v>BLDG 11 STE 401</v>
      </c>
      <c r="D3606" t="str">
        <f t="shared" si="1410"/>
        <v>SAN DIEGO</v>
      </c>
      <c r="E3606" t="str">
        <f t="shared" si="1411"/>
        <v>CA</v>
      </c>
      <c r="F3606" t="str">
        <f t="shared" si="1412"/>
        <v>921475118</v>
      </c>
      <c r="G3606" t="str">
        <f>T("33150 DESTROYER LANE")</f>
        <v>33150 DESTROYER LANE</v>
      </c>
      <c r="H3606" t="str">
        <f>T("BLDG 11 SUITE 401")</f>
        <v>BLDG 11 SUITE 401</v>
      </c>
      <c r="I3606" t="str">
        <f t="shared" si="1413"/>
        <v>SAN DIEGO</v>
      </c>
      <c r="J3606" t="str">
        <f t="shared" si="1414"/>
        <v>CA</v>
      </c>
      <c r="K3606" t="str">
        <f>T("000000000000000000")</f>
        <v>000000000000000000</v>
      </c>
      <c r="L3606" t="str">
        <f>T("6195245171")</f>
        <v>6195245171</v>
      </c>
    </row>
    <row r="3607" spans="1:12" x14ac:dyDescent="0.35">
      <c r="A3607" t="str">
        <f t="shared" si="1407"/>
        <v>FASW-SAN DIEGO</v>
      </c>
      <c r="B3607" t="str">
        <f t="shared" si="1408"/>
        <v>33150 DESTROYER LANE</v>
      </c>
      <c r="C3607" t="str">
        <f t="shared" si="1409"/>
        <v>BLDG 11 STE 401</v>
      </c>
      <c r="D3607" t="str">
        <f t="shared" si="1410"/>
        <v>SAN DIEGO</v>
      </c>
      <c r="E3607" t="str">
        <f t="shared" si="1411"/>
        <v>CA</v>
      </c>
      <c r="F3607" t="str">
        <f t="shared" si="1412"/>
        <v>921475118</v>
      </c>
      <c r="G3607" t="str">
        <f>T("33150 DESTROYER LANE")</f>
        <v>33150 DESTROYER LANE</v>
      </c>
      <c r="H3607" t="str">
        <f>T("BLDG 11 SUITE 401")</f>
        <v>BLDG 11 SUITE 401</v>
      </c>
      <c r="I3607" t="str">
        <f t="shared" si="1413"/>
        <v>SAN DIEGO</v>
      </c>
      <c r="J3607" t="str">
        <f t="shared" si="1414"/>
        <v>CA</v>
      </c>
      <c r="K3607" t="str">
        <f>T("000000000000000000")</f>
        <v>000000000000000000</v>
      </c>
      <c r="L3607" t="str">
        <f>T("6195246423")</f>
        <v>6195246423</v>
      </c>
    </row>
    <row r="3608" spans="1:12" x14ac:dyDescent="0.35">
      <c r="A3608" t="str">
        <f t="shared" si="1407"/>
        <v>FASW-SAN DIEGO</v>
      </c>
      <c r="B3608" t="str">
        <f t="shared" si="1408"/>
        <v>33150 DESTROYER LANE</v>
      </c>
      <c r="C3608" t="str">
        <f t="shared" si="1409"/>
        <v>BLDG 11 STE 401</v>
      </c>
      <c r="D3608" t="str">
        <f t="shared" si="1410"/>
        <v>SAN DIEGO</v>
      </c>
      <c r="E3608" t="str">
        <f t="shared" si="1411"/>
        <v>CA</v>
      </c>
      <c r="F3608" t="str">
        <f t="shared" si="1412"/>
        <v>921475118</v>
      </c>
      <c r="G3608" t="str">
        <f>T("33150 DESTROYER LN STE 401")</f>
        <v>33150 DESTROYER LN STE 401</v>
      </c>
      <c r="H3608" t="str">
        <f>T("")</f>
        <v/>
      </c>
      <c r="I3608" t="str">
        <f t="shared" si="1413"/>
        <v>SAN DIEGO</v>
      </c>
      <c r="J3608" t="str">
        <f t="shared" si="1414"/>
        <v>CA</v>
      </c>
      <c r="K3608" t="str">
        <f>T("000000000000000000")</f>
        <v>000000000000000000</v>
      </c>
      <c r="L3608" t="str">
        <f>T("6195241610")</f>
        <v>6195241610</v>
      </c>
    </row>
    <row r="3609" spans="1:12" x14ac:dyDescent="0.35">
      <c r="A3609" t="str">
        <f t="shared" si="1407"/>
        <v>FASW-SAN DIEGO</v>
      </c>
      <c r="B3609" t="str">
        <f t="shared" si="1408"/>
        <v>33150 DESTROYER LANE</v>
      </c>
      <c r="C3609" t="str">
        <f>T("BLDG 11 SUITE 401")</f>
        <v>BLDG 11 SUITE 401</v>
      </c>
      <c r="D3609" t="str">
        <f t="shared" si="1410"/>
        <v>SAN DIEGO</v>
      </c>
      <c r="E3609" t="str">
        <f t="shared" si="1411"/>
        <v>CA</v>
      </c>
      <c r="F3609" t="str">
        <f t="shared" si="1412"/>
        <v>921475118</v>
      </c>
      <c r="G3609" t="str">
        <f>T("33150 DESTROYER LANE")</f>
        <v>33150 DESTROYER LANE</v>
      </c>
      <c r="H3609" t="str">
        <f>T("BLDG 11 SUITE 401")</f>
        <v>BLDG 11 SUITE 401</v>
      </c>
      <c r="I3609" t="str">
        <f t="shared" si="1413"/>
        <v>SAN DIEGO</v>
      </c>
      <c r="J3609" t="str">
        <f t="shared" si="1414"/>
        <v>CA</v>
      </c>
      <c r="K3609" t="str">
        <f>T("000000000000000000")</f>
        <v>000000000000000000</v>
      </c>
      <c r="L3609" t="str">
        <f>T("6195561361")</f>
        <v>6195561361</v>
      </c>
    </row>
    <row r="3610" spans="1:12" x14ac:dyDescent="0.35">
      <c r="A3610" t="str">
        <f t="shared" si="1407"/>
        <v>FASW-SAN DIEGO</v>
      </c>
      <c r="B3610" t="str">
        <f t="shared" si="1408"/>
        <v>33150 DESTROYER LANE</v>
      </c>
      <c r="C3610" t="str">
        <f>T("BLDG 11 SUITE 401")</f>
        <v>BLDG 11 SUITE 401</v>
      </c>
      <c r="D3610" t="str">
        <f t="shared" si="1410"/>
        <v>SAN DIEGO</v>
      </c>
      <c r="E3610" t="str">
        <f t="shared" si="1411"/>
        <v>CA</v>
      </c>
      <c r="F3610" t="str">
        <f t="shared" si="1412"/>
        <v>921475118</v>
      </c>
      <c r="G3610" t="str">
        <f>T("33150 DESTROYER LN")</f>
        <v>33150 DESTROYER LN</v>
      </c>
      <c r="H3610" t="str">
        <f>T("BLDG 11 STE 401")</f>
        <v>BLDG 11 STE 401</v>
      </c>
      <c r="I3610" t="str">
        <f t="shared" si="1413"/>
        <v>SAN DIEGO</v>
      </c>
      <c r="J3610" t="str">
        <f t="shared" si="1414"/>
        <v>CA</v>
      </c>
      <c r="K3610" t="str">
        <f>T("6195241674")</f>
        <v>6195241674</v>
      </c>
      <c r="L3610" t="str">
        <f>T("6195568129")</f>
        <v>6195568129</v>
      </c>
    </row>
    <row r="3611" spans="1:12" x14ac:dyDescent="0.35">
      <c r="A3611" t="str">
        <f t="shared" ref="A3611:A3617" si="1415">T("CSCS DET PEARL HARBOR")</f>
        <v>CSCS DET PEARL HARBOR</v>
      </c>
      <c r="B3611" t="str">
        <f>T("1000 NORTH ROAD STE 100")</f>
        <v>1000 NORTH ROAD STE 100</v>
      </c>
      <c r="C3611" t="str">
        <f>T("BLDG 1631")</f>
        <v>BLDG 1631</v>
      </c>
      <c r="D3611" t="str">
        <f>T("PEARL HARBOR")</f>
        <v>PEARL HARBOR</v>
      </c>
      <c r="E3611" t="str">
        <f t="shared" ref="E3611:E3617" si="1416">T("HI")</f>
        <v>HI</v>
      </c>
      <c r="F3611" t="str">
        <f t="shared" ref="F3611:F3617" si="1417">T("968604461")</f>
        <v>968604461</v>
      </c>
      <c r="G3611" t="str">
        <f>T("1000 NORTH RD BLDG 1631")</f>
        <v>1000 NORTH RD BLDG 1631</v>
      </c>
      <c r="H3611" t="str">
        <f>T("SUITE 100")</f>
        <v>SUITE 100</v>
      </c>
      <c r="I3611" t="str">
        <f>T("JBPHH")</f>
        <v>JBPHH</v>
      </c>
      <c r="J3611" t="str">
        <f t="shared" ref="J3611:J3617" si="1418">T("HI")</f>
        <v>HI</v>
      </c>
      <c r="K3611" t="str">
        <f t="shared" ref="K3611:K3617" si="1419">T("000000000000000000")</f>
        <v>000000000000000000</v>
      </c>
      <c r="L3611" t="str">
        <f>T("8084733182")</f>
        <v>8084733182</v>
      </c>
    </row>
    <row r="3612" spans="1:12" x14ac:dyDescent="0.35">
      <c r="A3612" t="str">
        <f t="shared" si="1415"/>
        <v>CSCS DET PEARL HARBOR</v>
      </c>
      <c r="B3612" t="str">
        <f>T("1000 NORTH ROAD STE 100")</f>
        <v>1000 NORTH ROAD STE 100</v>
      </c>
      <c r="C3612" t="str">
        <f>T("BLDG 1631")</f>
        <v>BLDG 1631</v>
      </c>
      <c r="D3612" t="str">
        <f>T("PEARL HARBOR")</f>
        <v>PEARL HARBOR</v>
      </c>
      <c r="E3612" t="str">
        <f t="shared" si="1416"/>
        <v>HI</v>
      </c>
      <c r="F3612" t="str">
        <f t="shared" si="1417"/>
        <v>968604461</v>
      </c>
      <c r="G3612" t="str">
        <f>T("1000 NORTH ROAD")</f>
        <v>1000 NORTH ROAD</v>
      </c>
      <c r="H3612" t="str">
        <f>T("SUITE 100")</f>
        <v>SUITE 100</v>
      </c>
      <c r="I3612" t="str">
        <f>T("JBPHH")</f>
        <v>JBPHH</v>
      </c>
      <c r="J3612" t="str">
        <f t="shared" si="1418"/>
        <v>HI</v>
      </c>
      <c r="K3612" t="str">
        <f t="shared" si="1419"/>
        <v>000000000000000000</v>
      </c>
      <c r="L3612" t="str">
        <f>T("8084734929")</f>
        <v>8084734929</v>
      </c>
    </row>
    <row r="3613" spans="1:12" x14ac:dyDescent="0.35">
      <c r="A3613" t="str">
        <f t="shared" si="1415"/>
        <v>CSCS DET PEARL HARBOR</v>
      </c>
      <c r="B3613" t="str">
        <f>T("1000 NORTH ROAD STE 100")</f>
        <v>1000 NORTH ROAD STE 100</v>
      </c>
      <c r="C3613" t="str">
        <f>T("BLDG 1631")</f>
        <v>BLDG 1631</v>
      </c>
      <c r="D3613" t="str">
        <f>T("PEARL HARBOR")</f>
        <v>PEARL HARBOR</v>
      </c>
      <c r="E3613" t="str">
        <f t="shared" si="1416"/>
        <v>HI</v>
      </c>
      <c r="F3613" t="str">
        <f t="shared" si="1417"/>
        <v>968604461</v>
      </c>
      <c r="G3613" t="str">
        <f>T("1000 NORTH ROAD BLDG 1631")</f>
        <v>1000 NORTH ROAD BLDG 1631</v>
      </c>
      <c r="H3613" t="str">
        <f>T("SUITE 100")</f>
        <v>SUITE 100</v>
      </c>
      <c r="I3613" t="str">
        <f>T("JBPHH")</f>
        <v>JBPHH</v>
      </c>
      <c r="J3613" t="str">
        <f t="shared" si="1418"/>
        <v>HI</v>
      </c>
      <c r="K3613" t="str">
        <f t="shared" si="1419"/>
        <v>000000000000000000</v>
      </c>
      <c r="L3613" t="str">
        <f>T("8084730493")</f>
        <v>8084730493</v>
      </c>
    </row>
    <row r="3614" spans="1:12" x14ac:dyDescent="0.35">
      <c r="A3614" t="str">
        <f t="shared" si="1415"/>
        <v>CSCS DET PEARL HARBOR</v>
      </c>
      <c r="B3614" t="str">
        <f>T("1000 NORTH ROAD STE 100")</f>
        <v>1000 NORTH ROAD STE 100</v>
      </c>
      <c r="C3614" t="str">
        <f>T("BLDG 1631")</f>
        <v>BLDG 1631</v>
      </c>
      <c r="D3614" t="str">
        <f>T("PEARL HARBOR")</f>
        <v>PEARL HARBOR</v>
      </c>
      <c r="E3614" t="str">
        <f t="shared" si="1416"/>
        <v>HI</v>
      </c>
      <c r="F3614" t="str">
        <f t="shared" si="1417"/>
        <v>968604461</v>
      </c>
      <c r="G3614" t="str">
        <f>T("1000 NORTH ROAD STE 100")</f>
        <v>1000 NORTH ROAD STE 100</v>
      </c>
      <c r="H3614" t="str">
        <f>T("BLDG 1631")</f>
        <v>BLDG 1631</v>
      </c>
      <c r="I3614" t="str">
        <f>T("PEARL HARBOR")</f>
        <v>PEARL HARBOR</v>
      </c>
      <c r="J3614" t="str">
        <f t="shared" si="1418"/>
        <v>HI</v>
      </c>
      <c r="K3614" t="str">
        <f t="shared" si="1419"/>
        <v>000000000000000000</v>
      </c>
      <c r="L3614" t="str">
        <f>T("8084731344")</f>
        <v>8084731344</v>
      </c>
    </row>
    <row r="3615" spans="1:12" x14ac:dyDescent="0.35">
      <c r="A3615" t="str">
        <f t="shared" si="1415"/>
        <v>CSCS DET PEARL HARBOR</v>
      </c>
      <c r="B3615" t="str">
        <f>T("1000 NORTH ROAD SUITE 100")</f>
        <v>1000 NORTH ROAD SUITE 100</v>
      </c>
      <c r="C3615" t="str">
        <f>T("")</f>
        <v/>
      </c>
      <c r="D3615" t="str">
        <f>T("JBPHH")</f>
        <v>JBPHH</v>
      </c>
      <c r="E3615" t="str">
        <f t="shared" si="1416"/>
        <v>HI</v>
      </c>
      <c r="F3615" t="str">
        <f t="shared" si="1417"/>
        <v>968604461</v>
      </c>
      <c r="G3615" t="str">
        <f>T("1000 NORTH RD BLDG 1631")</f>
        <v>1000 NORTH RD BLDG 1631</v>
      </c>
      <c r="H3615" t="str">
        <f>T("SUITE 100")</f>
        <v>SUITE 100</v>
      </c>
      <c r="I3615" t="str">
        <f>T("JBPHH")</f>
        <v>JBPHH</v>
      </c>
      <c r="J3615" t="str">
        <f t="shared" si="1418"/>
        <v>HI</v>
      </c>
      <c r="K3615" t="str">
        <f t="shared" si="1419"/>
        <v>000000000000000000</v>
      </c>
      <c r="L3615" t="str">
        <f>T("8084733182")</f>
        <v>8084733182</v>
      </c>
    </row>
    <row r="3616" spans="1:12" x14ac:dyDescent="0.35">
      <c r="A3616" t="str">
        <f t="shared" si="1415"/>
        <v>CSCS DET PEARL HARBOR</v>
      </c>
      <c r="B3616" t="str">
        <f>T("1000 NORTH ROAD SUITE 100")</f>
        <v>1000 NORTH ROAD SUITE 100</v>
      </c>
      <c r="C3616" t="str">
        <f>T("")</f>
        <v/>
      </c>
      <c r="D3616" t="str">
        <f>T("JBPHH")</f>
        <v>JBPHH</v>
      </c>
      <c r="E3616" t="str">
        <f t="shared" si="1416"/>
        <v>HI</v>
      </c>
      <c r="F3616" t="str">
        <f t="shared" si="1417"/>
        <v>968604461</v>
      </c>
      <c r="G3616" t="str">
        <f>T("1000 NORTH ROAD BLDG 1631")</f>
        <v>1000 NORTH ROAD BLDG 1631</v>
      </c>
      <c r="H3616" t="str">
        <f>T("SUITE 100")</f>
        <v>SUITE 100</v>
      </c>
      <c r="I3616" t="str">
        <f>T("JBPHH")</f>
        <v>JBPHH</v>
      </c>
      <c r="J3616" t="str">
        <f t="shared" si="1418"/>
        <v>HI</v>
      </c>
      <c r="K3616" t="str">
        <f t="shared" si="1419"/>
        <v>000000000000000000</v>
      </c>
      <c r="L3616" t="str">
        <f>T("8084730493")</f>
        <v>8084730493</v>
      </c>
    </row>
    <row r="3617" spans="1:12" x14ac:dyDescent="0.35">
      <c r="A3617" t="str">
        <f t="shared" si="1415"/>
        <v>CSCS DET PEARL HARBOR</v>
      </c>
      <c r="B3617" t="str">
        <f>T("1000 NORTH ROAD SUITE 100")</f>
        <v>1000 NORTH ROAD SUITE 100</v>
      </c>
      <c r="C3617" t="str">
        <f>T("")</f>
        <v/>
      </c>
      <c r="D3617" t="str">
        <f>T("JBPHH")</f>
        <v>JBPHH</v>
      </c>
      <c r="E3617" t="str">
        <f t="shared" si="1416"/>
        <v>HI</v>
      </c>
      <c r="F3617" t="str">
        <f t="shared" si="1417"/>
        <v>968604461</v>
      </c>
      <c r="G3617" t="str">
        <f>T("1000 NORTH ROAD SUITE 100")</f>
        <v>1000 NORTH ROAD SUITE 100</v>
      </c>
      <c r="H3617" t="str">
        <f>T("")</f>
        <v/>
      </c>
      <c r="I3617" t="str">
        <f>T("JBPHH")</f>
        <v>JBPHH</v>
      </c>
      <c r="J3617" t="str">
        <f t="shared" si="1418"/>
        <v>HI</v>
      </c>
      <c r="K3617" t="str">
        <f t="shared" si="1419"/>
        <v>000000000000000000</v>
      </c>
      <c r="L3617" t="str">
        <f>T("9084733183")</f>
        <v>9084733183</v>
      </c>
    </row>
    <row r="3618" spans="1:12" x14ac:dyDescent="0.35">
      <c r="A3618" t="str">
        <f>T("CSCS DET SAN DIEGO")</f>
        <v>CSCS DET SAN DIEGO</v>
      </c>
      <c r="B3618" t="str">
        <f>T("3975 NORMAN SCOTT RD")</f>
        <v>3975 NORMAN SCOTT RD</v>
      </c>
      <c r="C3618" t="str">
        <f>T("CSCS DET WEST UIC69189")</f>
        <v>CSCS DET WEST UIC69189</v>
      </c>
      <c r="D3618" t="str">
        <f>T("SAN DIEGO")</f>
        <v>SAN DIEGO</v>
      </c>
      <c r="E3618" t="str">
        <f>T("CA")</f>
        <v>CA</v>
      </c>
      <c r="F3618" t="str">
        <f>T("921365523")</f>
        <v>921365523</v>
      </c>
      <c r="G3618" t="str">
        <f>T("3975 NORMAN SCOTT RD")</f>
        <v>3975 NORMAN SCOTT RD</v>
      </c>
      <c r="H3618" t="str">
        <f>T("CSCS DET WEST UIC69189")</f>
        <v>CSCS DET WEST UIC69189</v>
      </c>
      <c r="I3618" t="str">
        <f>T("SAN DIEGO")</f>
        <v>SAN DIEGO</v>
      </c>
      <c r="J3618" t="str">
        <f>T("CA")</f>
        <v>CA</v>
      </c>
      <c r="K3618" t="str">
        <f>T("6195566111")</f>
        <v>6195566111</v>
      </c>
      <c r="L3618" t="str">
        <f>T("6195565040")</f>
        <v>6195565040</v>
      </c>
    </row>
    <row r="3619" spans="1:12" x14ac:dyDescent="0.35">
      <c r="A3619" t="str">
        <f>T("CSCS DET SAN DIEGO")</f>
        <v>CSCS DET SAN DIEGO</v>
      </c>
      <c r="B3619" t="str">
        <f>T("3975 NORMAN SCOTT RD")</f>
        <v>3975 NORMAN SCOTT RD</v>
      </c>
      <c r="C3619" t="str">
        <f>T("CSCS DET WEST UIC69189")</f>
        <v>CSCS DET WEST UIC69189</v>
      </c>
      <c r="D3619" t="str">
        <f>T("SAN DIEGO")</f>
        <v>SAN DIEGO</v>
      </c>
      <c r="E3619" t="str">
        <f>T("CA")</f>
        <v>CA</v>
      </c>
      <c r="F3619" t="str">
        <f>T("921365523")</f>
        <v>921365523</v>
      </c>
      <c r="G3619" t="str">
        <f>T("CSCS DET WEST")</f>
        <v>CSCS DET WEST</v>
      </c>
      <c r="H3619" t="str">
        <f>T("3975 NORMAN SCOTT RD STE 1")</f>
        <v>3975 NORMAN SCOTT RD STE 1</v>
      </c>
      <c r="I3619" t="str">
        <f>T("SAN DIEGO")</f>
        <v>SAN DIEGO</v>
      </c>
      <c r="J3619" t="str">
        <f>T("CA")</f>
        <v>CA</v>
      </c>
      <c r="K3619" t="str">
        <f>T("6195566111")</f>
        <v>6195566111</v>
      </c>
      <c r="L3619" t="str">
        <f>T("6195567584")</f>
        <v>6195567584</v>
      </c>
    </row>
    <row r="3620" spans="1:12" x14ac:dyDescent="0.35">
      <c r="A3620" t="str">
        <f>T("CSCS DET SAN DIEGO")</f>
        <v>CSCS DET SAN DIEGO</v>
      </c>
      <c r="B3620" t="str">
        <f>T("CSCSDET SD BLDG 3281 4TH FL")</f>
        <v>CSCSDET SD BLDG 3281 4TH FL</v>
      </c>
      <c r="C3620" t="str">
        <f>T("3975 NORMAN SCOTT RD STE 1")</f>
        <v>3975 NORMAN SCOTT RD STE 1</v>
      </c>
      <c r="D3620" t="str">
        <f>T("SAN DIEGO")</f>
        <v>SAN DIEGO</v>
      </c>
      <c r="E3620" t="str">
        <f>T("CA")</f>
        <v>CA</v>
      </c>
      <c r="F3620" t="str">
        <f>T("921365588")</f>
        <v>921365588</v>
      </c>
      <c r="G3620" t="str">
        <f>T("CSCS DET SAN DIEGO BLDG 3281 4TH FL")</f>
        <v>CSCS DET SAN DIEGO BLDG 3281 4TH FL</v>
      </c>
      <c r="H3620" t="str">
        <f>T("3975 NORMAN SCOTT ROAD STE 1")</f>
        <v>3975 NORMAN SCOTT ROAD STE 1</v>
      </c>
      <c r="I3620" t="str">
        <f>T("SAN DIEGO")</f>
        <v>SAN DIEGO</v>
      </c>
      <c r="J3620" t="str">
        <f>T("CA")</f>
        <v>CA</v>
      </c>
      <c r="K3620" t="str">
        <f>T("6195566111")</f>
        <v>6195566111</v>
      </c>
      <c r="L3620" t="str">
        <f>T("6195562087")</f>
        <v>6195562087</v>
      </c>
    </row>
    <row r="3621" spans="1:12" x14ac:dyDescent="0.35">
      <c r="A3621" t="str">
        <f>T("CSCS DET SAN DIEGO")</f>
        <v>CSCS DET SAN DIEGO</v>
      </c>
      <c r="B3621" t="str">
        <f>T("CSCSDET SD BLDG 3281 4TH FL")</f>
        <v>CSCSDET SD BLDG 3281 4TH FL</v>
      </c>
      <c r="C3621" t="str">
        <f>T("3975 NORMAN SCOTT RD STE 1")</f>
        <v>3975 NORMAN SCOTT RD STE 1</v>
      </c>
      <c r="D3621" t="str">
        <f>T("SAN DIEGO")</f>
        <v>SAN DIEGO</v>
      </c>
      <c r="E3621" t="str">
        <f>T("CA")</f>
        <v>CA</v>
      </c>
      <c r="F3621" t="str">
        <f>T("921365588")</f>
        <v>921365588</v>
      </c>
      <c r="G3621" t="str">
        <f>T("CSCSDET SD BLDG 3281 4TH FL")</f>
        <v>CSCSDET SD BLDG 3281 4TH FL</v>
      </c>
      <c r="H3621" t="str">
        <f>T("3975 NORMAN SCOTT RD STE 1")</f>
        <v>3975 NORMAN SCOTT RD STE 1</v>
      </c>
      <c r="I3621" t="str">
        <f>T("SAN DIEGO")</f>
        <v>SAN DIEGO</v>
      </c>
      <c r="J3621" t="str">
        <f>T("CA")</f>
        <v>CA</v>
      </c>
      <c r="K3621" t="str">
        <f>T("6195566111")</f>
        <v>6195566111</v>
      </c>
      <c r="L3621" t="str">
        <f>T("6195561786")</f>
        <v>6195561786</v>
      </c>
    </row>
    <row r="3622" spans="1:12" x14ac:dyDescent="0.35">
      <c r="A3622" t="str">
        <f>T("CSCS DET YOKOSUKA JAPAN")</f>
        <v>CSCS DET YOKOSUKA JAPAN</v>
      </c>
      <c r="B3622" t="str">
        <f>T("PSC 473 BOX 100")</f>
        <v>PSC 473 BOX 100</v>
      </c>
      <c r="C3622" t="str">
        <f>T("")</f>
        <v/>
      </c>
      <c r="D3622" t="str">
        <f>T("FPO")</f>
        <v>FPO</v>
      </c>
      <c r="E3622" t="str">
        <f>T("AP")</f>
        <v>AP</v>
      </c>
      <c r="F3622" t="str">
        <f>T("963499998")</f>
        <v>963499998</v>
      </c>
      <c r="G3622" t="str">
        <f>T("CSCS DET YOKOSUKA JAPAN")</f>
        <v>CSCS DET YOKOSUKA JAPAN</v>
      </c>
      <c r="H3622" t="str">
        <f>T("PSC 473 BOX 100")</f>
        <v>PSC 473 BOX 100</v>
      </c>
      <c r="I3622" t="str">
        <f>T("FPO")</f>
        <v>FPO</v>
      </c>
      <c r="J3622" t="str">
        <f>T("AP")</f>
        <v>AP</v>
      </c>
      <c r="K3622" t="str">
        <f>T("01181469168929")</f>
        <v>01181469168929</v>
      </c>
      <c r="L3622" t="str">
        <f>T("1111111111")</f>
        <v>1111111111</v>
      </c>
    </row>
    <row r="3623" spans="1:12" x14ac:dyDescent="0.35">
      <c r="A3623" t="str">
        <f>T("CSCS DET YOKOSUKA JAPAN")</f>
        <v>CSCS DET YOKOSUKA JAPAN</v>
      </c>
      <c r="B3623" t="str">
        <f>T("PSC 473 BOX 100")</f>
        <v>PSC 473 BOX 100</v>
      </c>
      <c r="C3623" t="str">
        <f>T("")</f>
        <v/>
      </c>
      <c r="D3623" t="str">
        <f>T("FPO")</f>
        <v>FPO</v>
      </c>
      <c r="E3623" t="str">
        <f>T("AP")</f>
        <v>AP</v>
      </c>
      <c r="F3623" t="str">
        <f>T("963499998")</f>
        <v>963499998</v>
      </c>
      <c r="G3623" t="str">
        <f>T("PSC 473 BOX 100")</f>
        <v>PSC 473 BOX 100</v>
      </c>
      <c r="H3623" t="str">
        <f>T("")</f>
        <v/>
      </c>
      <c r="I3623" t="str">
        <f>T("FPO")</f>
        <v>FPO</v>
      </c>
      <c r="J3623" t="str">
        <f>T("AP")</f>
        <v>AP</v>
      </c>
      <c r="K3623" t="str">
        <f>T("000000000000000000")</f>
        <v>000000000000000000</v>
      </c>
      <c r="L3623" t="str">
        <f>T("0118146816")</f>
        <v>0118146816</v>
      </c>
    </row>
    <row r="3624" spans="1:12" x14ac:dyDescent="0.35">
      <c r="A3624" t="str">
        <f>T("CSCS DET YOKOSUKA JAPAN")</f>
        <v>CSCS DET YOKOSUKA JAPAN</v>
      </c>
      <c r="B3624" t="str">
        <f>T("PSC 473 BOX 100")</f>
        <v>PSC 473 BOX 100</v>
      </c>
      <c r="C3624" t="str">
        <f>T("")</f>
        <v/>
      </c>
      <c r="D3624" t="str">
        <f>T("FPO")</f>
        <v>FPO</v>
      </c>
      <c r="E3624" t="str">
        <f>T("AP")</f>
        <v>AP</v>
      </c>
      <c r="F3624" t="str">
        <f>T("963499998")</f>
        <v>963499998</v>
      </c>
      <c r="G3624" t="str">
        <f>T("PSC 473 BOX 100")</f>
        <v>PSC 473 BOX 100</v>
      </c>
      <c r="H3624" t="str">
        <f>T("")</f>
        <v/>
      </c>
      <c r="I3624" t="str">
        <f>T("FPO")</f>
        <v>FPO</v>
      </c>
      <c r="J3624" t="str">
        <f>T("AP")</f>
        <v>AP</v>
      </c>
      <c r="K3624" t="str">
        <f>T("000000000000000000")</f>
        <v>000000000000000000</v>
      </c>
      <c r="L3624" t="str">
        <f>T("1111111111")</f>
        <v>1111111111</v>
      </c>
    </row>
    <row r="3625" spans="1:12" x14ac:dyDescent="0.35">
      <c r="A3625" t="str">
        <f>T("CSCS DET YOKOSUKA JAPAN")</f>
        <v>CSCS DET YOKOSUKA JAPAN</v>
      </c>
      <c r="B3625" t="str">
        <f>T("PSC 473 BOX 100")</f>
        <v>PSC 473 BOX 100</v>
      </c>
      <c r="C3625" t="str">
        <f>T("")</f>
        <v/>
      </c>
      <c r="D3625" t="str">
        <f>T("FPO")</f>
        <v>FPO</v>
      </c>
      <c r="E3625" t="str">
        <f>T("AP")</f>
        <v>AP</v>
      </c>
      <c r="F3625" t="str">
        <f>T("963499998")</f>
        <v>963499998</v>
      </c>
      <c r="G3625" t="str">
        <f>T("PSC 473 BOX 100")</f>
        <v>PSC 473 BOX 100</v>
      </c>
      <c r="H3625" t="str">
        <f>T("")</f>
        <v/>
      </c>
      <c r="I3625" t="str">
        <f>T("FPO")</f>
        <v>FPO</v>
      </c>
      <c r="J3625" t="str">
        <f>T("AP")</f>
        <v>AP</v>
      </c>
      <c r="K3625" t="str">
        <f>T("01181468168916")</f>
        <v>01181468168916</v>
      </c>
      <c r="L3625" t="str">
        <f>T("1111111111")</f>
        <v>1111111111</v>
      </c>
    </row>
    <row r="3626" spans="1:12" x14ac:dyDescent="0.35">
      <c r="A3626" t="str">
        <f>T("CSCS DET YOKOSUKA JAPAN")</f>
        <v>CSCS DET YOKOSUKA JAPAN</v>
      </c>
      <c r="B3626" t="str">
        <f>T("PSC 473 BOX 100")</f>
        <v>PSC 473 BOX 100</v>
      </c>
      <c r="C3626" t="str">
        <f>T("")</f>
        <v/>
      </c>
      <c r="D3626" t="str">
        <f>T("FPO")</f>
        <v>FPO</v>
      </c>
      <c r="E3626" t="str">
        <f>T("AP")</f>
        <v>AP</v>
      </c>
      <c r="F3626" t="str">
        <f>T("963499998")</f>
        <v>963499998</v>
      </c>
      <c r="G3626" t="str">
        <f>T("PSC 473 BOX 100")</f>
        <v>PSC 473 BOX 100</v>
      </c>
      <c r="H3626" t="str">
        <f>T("")</f>
        <v/>
      </c>
      <c r="I3626" t="str">
        <f>T("FPO")</f>
        <v>FPO</v>
      </c>
      <c r="J3626" t="str">
        <f>T("AP")</f>
        <v>AP</v>
      </c>
      <c r="K3626" t="str">
        <f>T("810468162236")</f>
        <v>810468162236</v>
      </c>
      <c r="L3626" t="str">
        <f>T("1111111111")</f>
        <v>1111111111</v>
      </c>
    </row>
    <row r="3627" spans="1:12" x14ac:dyDescent="0.35">
      <c r="A3627" t="str">
        <f t="shared" ref="A3627:A3639" si="1420">T("NAVY/MARINE CORPS")</f>
        <v>NAVY/MARINE CORPS</v>
      </c>
      <c r="B3627" t="str">
        <f>T("NEXCOM SHIPS STORE PROGRAM")</f>
        <v>NEXCOM SHIPS STORE PROGRAM</v>
      </c>
      <c r="C3627" t="str">
        <f>T("3280 VIRGINIA BEACH BLVD")</f>
        <v>3280 VIRGINIA BEACH BLVD</v>
      </c>
      <c r="D3627" t="str">
        <f t="shared" ref="D3627:D3639" si="1421">T("VIRGINIA BCH")</f>
        <v>VIRGINIA BCH</v>
      </c>
      <c r="E3627" t="str">
        <f t="shared" ref="E3627:E3639" si="1422">T("VA")</f>
        <v>VA</v>
      </c>
      <c r="F3627" t="str">
        <f t="shared" ref="F3627:F3639" si="1423">T("234525724")</f>
        <v>234525724</v>
      </c>
      <c r="G3627" t="str">
        <f>T("3280 VIRGINIA BEACH BLVD")</f>
        <v>3280 VIRGINIA BEACH BLVD</v>
      </c>
      <c r="H3627" t="str">
        <f>T("CODE A")</f>
        <v>CODE A</v>
      </c>
      <c r="I3627" t="str">
        <f>T("VIRGINIA BEACH")</f>
        <v>VIRGINIA BEACH</v>
      </c>
      <c r="J3627" t="str">
        <f>T("VA")</f>
        <v>VA</v>
      </c>
      <c r="K3627" t="str">
        <f>T("7575027482")</f>
        <v>7575027482</v>
      </c>
      <c r="L3627" t="str">
        <f>T("7575027470")</f>
        <v>7575027470</v>
      </c>
    </row>
    <row r="3628" spans="1:12" x14ac:dyDescent="0.35">
      <c r="A3628" t="str">
        <f t="shared" si="1420"/>
        <v>NAVY/MARINE CORPS</v>
      </c>
      <c r="B3628" t="str">
        <f>T("NEXCOM SHIPS STORE PROGRAM")</f>
        <v>NEXCOM SHIPS STORE PROGRAM</v>
      </c>
      <c r="C3628" t="str">
        <f>T("3280 VIRGINIA BEACH BLVD")</f>
        <v>3280 VIRGINIA BEACH BLVD</v>
      </c>
      <c r="D3628" t="str">
        <f t="shared" si="1421"/>
        <v>VIRGINIA BCH</v>
      </c>
      <c r="E3628" t="str">
        <f t="shared" si="1422"/>
        <v>VA</v>
      </c>
      <c r="F3628" t="str">
        <f t="shared" si="1423"/>
        <v>234525724</v>
      </c>
      <c r="G3628" t="str">
        <f>T("NEXCOM SHIPS STORE PROGRAM")</f>
        <v>NEXCOM SHIPS STORE PROGRAM</v>
      </c>
      <c r="H3628" t="str">
        <f>T("3280 VIRGINIA BEACH BLVD")</f>
        <v>3280 VIRGINIA BEACH BLVD</v>
      </c>
      <c r="I3628" t="str">
        <f>T("VIRGINIA BCH")</f>
        <v>VIRGINIA BCH</v>
      </c>
      <c r="J3628" t="str">
        <f>T("VA")</f>
        <v>VA</v>
      </c>
      <c r="K3628" t="str">
        <f>T("7575027482")</f>
        <v>7575027482</v>
      </c>
      <c r="L3628" t="str">
        <f>T("7575027477")</f>
        <v>7575027477</v>
      </c>
    </row>
    <row r="3629" spans="1:12" x14ac:dyDescent="0.35">
      <c r="A3629" t="str">
        <f t="shared" si="1420"/>
        <v>NAVY/MARINE CORPS</v>
      </c>
      <c r="B3629" t="str">
        <f>T("NEXCOM SHIPS STORE PROGRAM")</f>
        <v>NEXCOM SHIPS STORE PROGRAM</v>
      </c>
      <c r="C3629" t="str">
        <f>T("3280 VIRGINIA BEACH BLVD")</f>
        <v>3280 VIRGINIA BEACH BLVD</v>
      </c>
      <c r="D3629" t="str">
        <f t="shared" si="1421"/>
        <v>VIRGINIA BCH</v>
      </c>
      <c r="E3629" t="str">
        <f t="shared" si="1422"/>
        <v>VA</v>
      </c>
      <c r="F3629" t="str">
        <f t="shared" si="1423"/>
        <v>234525724</v>
      </c>
      <c r="G3629" t="str">
        <f>T("NEXCOM SHIPS STORE PROGRAM")</f>
        <v>NEXCOM SHIPS STORE PROGRAM</v>
      </c>
      <c r="H3629" t="str">
        <f>T("3280 VIRGINIA BEACH BLVD")</f>
        <v>3280 VIRGINIA BEACH BLVD</v>
      </c>
      <c r="I3629" t="str">
        <f>T("VIRGINIA BEACH")</f>
        <v>VIRGINIA BEACH</v>
      </c>
      <c r="J3629" t="str">
        <f>T("VA")</f>
        <v>VA</v>
      </c>
      <c r="K3629" t="str">
        <f>T("000000000000000000")</f>
        <v>000000000000000000</v>
      </c>
      <c r="L3629" t="str">
        <f>T("7575027468")</f>
        <v>7575027468</v>
      </c>
    </row>
    <row r="3630" spans="1:12" x14ac:dyDescent="0.35">
      <c r="A3630" t="str">
        <f t="shared" si="1420"/>
        <v>NAVY/MARINE CORPS</v>
      </c>
      <c r="B3630" t="str">
        <f>T("NEXCOM SHIPS STORE PROGRAM")</f>
        <v>NEXCOM SHIPS STORE PROGRAM</v>
      </c>
      <c r="C3630" t="str">
        <f>T("3280 VIRGINIA BEACH BLVD")</f>
        <v>3280 VIRGINIA BEACH BLVD</v>
      </c>
      <c r="D3630" t="str">
        <f t="shared" si="1421"/>
        <v>VIRGINIA BCH</v>
      </c>
      <c r="E3630" t="str">
        <f t="shared" si="1422"/>
        <v>VA</v>
      </c>
      <c r="F3630" t="str">
        <f t="shared" si="1423"/>
        <v>234525724</v>
      </c>
      <c r="G3630" t="str">
        <f>T("NEXCOM SHIPS STORE PROGRAM")</f>
        <v>NEXCOM SHIPS STORE PROGRAM</v>
      </c>
      <c r="H3630" t="str">
        <f>T("3280 VIRGINIA BEACH BLVD")</f>
        <v>3280 VIRGINIA BEACH BLVD</v>
      </c>
      <c r="I3630" t="str">
        <f>T("VIRGINIA BEACH")</f>
        <v>VIRGINIA BEACH</v>
      </c>
      <c r="J3630" t="str">
        <f>T("VA")</f>
        <v>VA</v>
      </c>
      <c r="K3630" t="str">
        <f>T("000000000000000000")</f>
        <v>000000000000000000</v>
      </c>
      <c r="L3630" t="str">
        <f>T("7575027470")</f>
        <v>7575027470</v>
      </c>
    </row>
    <row r="3631" spans="1:12" x14ac:dyDescent="0.35">
      <c r="A3631" t="str">
        <f t="shared" si="1420"/>
        <v>NAVY/MARINE CORPS</v>
      </c>
      <c r="B3631" t="str">
        <f>T("3280 VIRGINIA BEACH")</f>
        <v>3280 VIRGINIA BEACH</v>
      </c>
      <c r="C3631" t="str">
        <f>T("NWCF")</f>
        <v>NWCF</v>
      </c>
      <c r="D3631" t="str">
        <f t="shared" si="1421"/>
        <v>VIRGINIA BCH</v>
      </c>
      <c r="E3631" t="str">
        <f t="shared" si="1422"/>
        <v>VA</v>
      </c>
      <c r="F3631" t="str">
        <f t="shared" si="1423"/>
        <v>234525724</v>
      </c>
      <c r="G3631" t="str">
        <f>T("3280 VIRGINIA BEACH")</f>
        <v>3280 VIRGINIA BEACH</v>
      </c>
      <c r="H3631" t="str">
        <f>T("NWCF")</f>
        <v>NWCF</v>
      </c>
      <c r="I3631" t="str">
        <f>T("VIRGINIA BCH")</f>
        <v>VIRGINIA BCH</v>
      </c>
      <c r="J3631" t="str">
        <f>T("VA")</f>
        <v>VA</v>
      </c>
      <c r="K3631" t="str">
        <f>T("7575027482")</f>
        <v>7575027482</v>
      </c>
      <c r="L3631" t="str">
        <f>T("7575027477")</f>
        <v>7575027477</v>
      </c>
    </row>
    <row r="3632" spans="1:12" x14ac:dyDescent="0.35">
      <c r="A3632" t="str">
        <f t="shared" si="1420"/>
        <v>NAVY/MARINE CORPS</v>
      </c>
      <c r="B3632" t="str">
        <f>T("3280 VIRGINIA BEACH")</f>
        <v>3280 VIRGINIA BEACH</v>
      </c>
      <c r="C3632" t="str">
        <f>T("NWCF")</f>
        <v>NWCF</v>
      </c>
      <c r="D3632" t="str">
        <f t="shared" si="1421"/>
        <v>VIRGINIA BCH</v>
      </c>
      <c r="E3632" t="str">
        <f t="shared" si="1422"/>
        <v>VA</v>
      </c>
      <c r="F3632" t="str">
        <f t="shared" si="1423"/>
        <v>234525724</v>
      </c>
      <c r="G3632" t="str">
        <f>T("PSC 473 BOX 11")</f>
        <v>PSC 473 BOX 11</v>
      </c>
      <c r="H3632" t="str">
        <f>T("")</f>
        <v/>
      </c>
      <c r="I3632" t="str">
        <f>T("FPO")</f>
        <v>FPO</v>
      </c>
      <c r="J3632" t="str">
        <f>T("AP")</f>
        <v>AP</v>
      </c>
      <c r="K3632" t="str">
        <f>T("011810468166296")</f>
        <v>011810468166296</v>
      </c>
      <c r="L3632" t="str">
        <f>T("1111111111")</f>
        <v>1111111111</v>
      </c>
    </row>
    <row r="3633" spans="1:12" x14ac:dyDescent="0.35">
      <c r="A3633" t="str">
        <f t="shared" si="1420"/>
        <v>NAVY/MARINE CORPS</v>
      </c>
      <c r="B3633" t="str">
        <f t="shared" ref="B3633:B3639" si="1424">T("NEXCOM SHIPS STORE PROGRAM")</f>
        <v>NEXCOM SHIPS STORE PROGRAM</v>
      </c>
      <c r="C3633" t="str">
        <f t="shared" ref="C3633:C3639" si="1425">T("3280 VIRGINIA BEACH BLVD")</f>
        <v>3280 VIRGINIA BEACH BLVD</v>
      </c>
      <c r="D3633" t="str">
        <f t="shared" si="1421"/>
        <v>VIRGINIA BCH</v>
      </c>
      <c r="E3633" t="str">
        <f t="shared" si="1422"/>
        <v>VA</v>
      </c>
      <c r="F3633" t="str">
        <f t="shared" si="1423"/>
        <v>234525724</v>
      </c>
      <c r="G3633" t="str">
        <f>T("3280 VIRGINIA BEACH BLVD")</f>
        <v>3280 VIRGINIA BEACH BLVD</v>
      </c>
      <c r="H3633" t="str">
        <f>T("")</f>
        <v/>
      </c>
      <c r="I3633" t="str">
        <f>T("VIRGINIA BEACH")</f>
        <v>VIRGINIA BEACH</v>
      </c>
      <c r="J3633" t="str">
        <f t="shared" ref="J3633:J3639" si="1426">T("VA")</f>
        <v>VA</v>
      </c>
      <c r="K3633" t="str">
        <f>T("7575027482")</f>
        <v>7575027482</v>
      </c>
      <c r="L3633" t="str">
        <f>T("7575027471")</f>
        <v>7575027471</v>
      </c>
    </row>
    <row r="3634" spans="1:12" x14ac:dyDescent="0.35">
      <c r="A3634" t="str">
        <f t="shared" si="1420"/>
        <v>NAVY/MARINE CORPS</v>
      </c>
      <c r="B3634" t="str">
        <f t="shared" si="1424"/>
        <v>NEXCOM SHIPS STORE PROGRAM</v>
      </c>
      <c r="C3634" t="str">
        <f t="shared" si="1425"/>
        <v>3280 VIRGINIA BEACH BLVD</v>
      </c>
      <c r="D3634" t="str">
        <f t="shared" si="1421"/>
        <v>VIRGINIA BCH</v>
      </c>
      <c r="E3634" t="str">
        <f t="shared" si="1422"/>
        <v>VA</v>
      </c>
      <c r="F3634" t="str">
        <f t="shared" si="1423"/>
        <v>234525724</v>
      </c>
      <c r="G3634" t="str">
        <f>T("3280 VIRGINIA BEACH BLVD")</f>
        <v>3280 VIRGINIA BEACH BLVD</v>
      </c>
      <c r="H3634" t="str">
        <f>T("CODE A")</f>
        <v>CODE A</v>
      </c>
      <c r="I3634" t="str">
        <f>T("VIRGINIA BEACH")</f>
        <v>VIRGINIA BEACH</v>
      </c>
      <c r="J3634" t="str">
        <f t="shared" si="1426"/>
        <v>VA</v>
      </c>
      <c r="K3634" t="str">
        <f>T("7575027482")</f>
        <v>7575027482</v>
      </c>
      <c r="L3634" t="str">
        <f>T("7575027470")</f>
        <v>7575027470</v>
      </c>
    </row>
    <row r="3635" spans="1:12" x14ac:dyDescent="0.35">
      <c r="A3635" t="str">
        <f t="shared" si="1420"/>
        <v>NAVY/MARINE CORPS</v>
      </c>
      <c r="B3635" t="str">
        <f t="shared" si="1424"/>
        <v>NEXCOM SHIPS STORE PROGRAM</v>
      </c>
      <c r="C3635" t="str">
        <f t="shared" si="1425"/>
        <v>3280 VIRGINIA BEACH BLVD</v>
      </c>
      <c r="D3635" t="str">
        <f t="shared" si="1421"/>
        <v>VIRGINIA BCH</v>
      </c>
      <c r="E3635" t="str">
        <f t="shared" si="1422"/>
        <v>VA</v>
      </c>
      <c r="F3635" t="str">
        <f t="shared" si="1423"/>
        <v>234525724</v>
      </c>
      <c r="G3635" t="str">
        <f>T("NEXCOM SHIPS STORE PROGRAM")</f>
        <v>NEXCOM SHIPS STORE PROGRAM</v>
      </c>
      <c r="H3635" t="str">
        <f>T("3280 VIRGINIA BEACH BLVD")</f>
        <v>3280 VIRGINIA BEACH BLVD</v>
      </c>
      <c r="I3635" t="str">
        <f>T("VIRGINIA BCH")</f>
        <v>VIRGINIA BCH</v>
      </c>
      <c r="J3635" t="str">
        <f t="shared" si="1426"/>
        <v>VA</v>
      </c>
      <c r="K3635" t="str">
        <f>T("7575027482")</f>
        <v>7575027482</v>
      </c>
      <c r="L3635" t="str">
        <f>T("7575027473")</f>
        <v>7575027473</v>
      </c>
    </row>
    <row r="3636" spans="1:12" x14ac:dyDescent="0.35">
      <c r="A3636" t="str">
        <f t="shared" si="1420"/>
        <v>NAVY/MARINE CORPS</v>
      </c>
      <c r="B3636" t="str">
        <f t="shared" si="1424"/>
        <v>NEXCOM SHIPS STORE PROGRAM</v>
      </c>
      <c r="C3636" t="str">
        <f t="shared" si="1425"/>
        <v>3280 VIRGINIA BEACH BLVD</v>
      </c>
      <c r="D3636" t="str">
        <f t="shared" si="1421"/>
        <v>VIRGINIA BCH</v>
      </c>
      <c r="E3636" t="str">
        <f t="shared" si="1422"/>
        <v>VA</v>
      </c>
      <c r="F3636" t="str">
        <f t="shared" si="1423"/>
        <v>234525724</v>
      </c>
      <c r="G3636" t="str">
        <f>T("NEXCOM SHIPS STORE PROGRAM")</f>
        <v>NEXCOM SHIPS STORE PROGRAM</v>
      </c>
      <c r="H3636" t="str">
        <f>T("3280 VIRGINIA BEACH BLVD")</f>
        <v>3280 VIRGINIA BEACH BLVD</v>
      </c>
      <c r="I3636" t="str">
        <f>T("VIRGINIA BEACH")</f>
        <v>VIRGINIA BEACH</v>
      </c>
      <c r="J3636" t="str">
        <f t="shared" si="1426"/>
        <v>VA</v>
      </c>
      <c r="K3636" t="str">
        <f>T("000000000000000000")</f>
        <v>000000000000000000</v>
      </c>
      <c r="L3636" t="str">
        <f>T("7575027468")</f>
        <v>7575027468</v>
      </c>
    </row>
    <row r="3637" spans="1:12" x14ac:dyDescent="0.35">
      <c r="A3637" t="str">
        <f t="shared" si="1420"/>
        <v>NAVY/MARINE CORPS</v>
      </c>
      <c r="B3637" t="str">
        <f t="shared" si="1424"/>
        <v>NEXCOM SHIPS STORE PROGRAM</v>
      </c>
      <c r="C3637" t="str">
        <f t="shared" si="1425"/>
        <v>3280 VIRGINIA BEACH BLVD</v>
      </c>
      <c r="D3637" t="str">
        <f t="shared" si="1421"/>
        <v>VIRGINIA BCH</v>
      </c>
      <c r="E3637" t="str">
        <f t="shared" si="1422"/>
        <v>VA</v>
      </c>
      <c r="F3637" t="str">
        <f t="shared" si="1423"/>
        <v>234525724</v>
      </c>
      <c r="G3637" t="str">
        <f>T("NEXCOM")</f>
        <v>NEXCOM</v>
      </c>
      <c r="H3637" t="str">
        <f>T("3280 VIRGINIA BEACH BLVD")</f>
        <v>3280 VIRGINIA BEACH BLVD</v>
      </c>
      <c r="I3637" t="str">
        <f>T("VIRGINIA BCH")</f>
        <v>VIRGINIA BCH</v>
      </c>
      <c r="J3637" t="str">
        <f t="shared" si="1426"/>
        <v>VA</v>
      </c>
      <c r="K3637" t="str">
        <f>T("7575027482")</f>
        <v>7575027482</v>
      </c>
      <c r="L3637" t="str">
        <f>T("7575027468")</f>
        <v>7575027468</v>
      </c>
    </row>
    <row r="3638" spans="1:12" x14ac:dyDescent="0.35">
      <c r="A3638" t="str">
        <f t="shared" si="1420"/>
        <v>NAVY/MARINE CORPS</v>
      </c>
      <c r="B3638" t="str">
        <f t="shared" si="1424"/>
        <v>NEXCOM SHIPS STORE PROGRAM</v>
      </c>
      <c r="C3638" t="str">
        <f t="shared" si="1425"/>
        <v>3280 VIRGINIA BEACH BLVD</v>
      </c>
      <c r="D3638" t="str">
        <f t="shared" si="1421"/>
        <v>VIRGINIA BCH</v>
      </c>
      <c r="E3638" t="str">
        <f t="shared" si="1422"/>
        <v>VA</v>
      </c>
      <c r="F3638" t="str">
        <f t="shared" si="1423"/>
        <v>234525724</v>
      </c>
      <c r="G3638" t="str">
        <f>T("NEXCOM SHIPS STORE PROGRAM")</f>
        <v>NEXCOM SHIPS STORE PROGRAM</v>
      </c>
      <c r="H3638" t="str">
        <f>T("3280 VIRGINIA BEACH BLVD")</f>
        <v>3280 VIRGINIA BEACH BLVD</v>
      </c>
      <c r="I3638" t="str">
        <f>T("VIRGINIA BCH")</f>
        <v>VIRGINIA BCH</v>
      </c>
      <c r="J3638" t="str">
        <f t="shared" si="1426"/>
        <v>VA</v>
      </c>
      <c r="K3638" t="str">
        <f>T("7575027482")</f>
        <v>7575027482</v>
      </c>
      <c r="L3638" t="str">
        <f>T("7575027480")</f>
        <v>7575027480</v>
      </c>
    </row>
    <row r="3639" spans="1:12" x14ac:dyDescent="0.35">
      <c r="A3639" t="str">
        <f t="shared" si="1420"/>
        <v>NAVY/MARINE CORPS</v>
      </c>
      <c r="B3639" t="str">
        <f t="shared" si="1424"/>
        <v>NEXCOM SHIPS STORE PROGRAM</v>
      </c>
      <c r="C3639" t="str">
        <f t="shared" si="1425"/>
        <v>3280 VIRGINIA BEACH BLVD</v>
      </c>
      <c r="D3639" t="str">
        <f t="shared" si="1421"/>
        <v>VIRGINIA BCH</v>
      </c>
      <c r="E3639" t="str">
        <f t="shared" si="1422"/>
        <v>VA</v>
      </c>
      <c r="F3639" t="str">
        <f t="shared" si="1423"/>
        <v>234525724</v>
      </c>
      <c r="G3639" t="str">
        <f>T("NEXCOM SHIPS STORE PROGRAM")</f>
        <v>NEXCOM SHIPS STORE PROGRAM</v>
      </c>
      <c r="H3639" t="str">
        <f>T("3280 VIRGINIA BEACH BLVD")</f>
        <v>3280 VIRGINIA BEACH BLVD</v>
      </c>
      <c r="I3639" t="str">
        <f>T("VIRGINIA BEACH")</f>
        <v>VIRGINIA BEACH</v>
      </c>
      <c r="J3639" t="str">
        <f t="shared" si="1426"/>
        <v>VA</v>
      </c>
      <c r="K3639" t="str">
        <f>T("000000000000000000")</f>
        <v>000000000000000000</v>
      </c>
      <c r="L3639" t="str">
        <f>T("7575027470")</f>
        <v>7575027470</v>
      </c>
    </row>
    <row r="3640" spans="1:12" x14ac:dyDescent="0.35">
      <c r="A3640" t="str">
        <f>T("NEXCOM")</f>
        <v>NEXCOM</v>
      </c>
      <c r="B3640" t="str">
        <f>T("15 GENERAL GREENE BLVD")</f>
        <v>15 GENERAL GREENE BLVD</v>
      </c>
      <c r="C3640" t="str">
        <f>T("")</f>
        <v/>
      </c>
      <c r="D3640" t="str">
        <f>T("NATICK")</f>
        <v>NATICK</v>
      </c>
      <c r="E3640" t="str">
        <f>T("MA")</f>
        <v>MA</v>
      </c>
      <c r="F3640" t="str">
        <f>T("017602642")</f>
        <v>017602642</v>
      </c>
      <c r="G3640" t="str">
        <f>T("15 GENERAL GREEN AVENUE")</f>
        <v>15 GENERAL GREEN AVENUE</v>
      </c>
      <c r="H3640" t="str">
        <f>T("")</f>
        <v/>
      </c>
      <c r="I3640" t="str">
        <f>T("NATICK")</f>
        <v>NATICK</v>
      </c>
      <c r="J3640" t="str">
        <f>T("MA")</f>
        <v>MA</v>
      </c>
      <c r="K3640" t="str">
        <f>T("5082334783")</f>
        <v>5082334783</v>
      </c>
      <c r="L3640" t="str">
        <f>T("5082331321")</f>
        <v>5082331321</v>
      </c>
    </row>
    <row r="3641" spans="1:12" x14ac:dyDescent="0.35">
      <c r="A3641" t="str">
        <f>T("NEXCOM")</f>
        <v>NEXCOM</v>
      </c>
      <c r="B3641" t="str">
        <f>T("15 GENERAL GREENE BLVD")</f>
        <v>15 GENERAL GREENE BLVD</v>
      </c>
      <c r="C3641" t="str">
        <f>T("")</f>
        <v/>
      </c>
      <c r="D3641" t="str">
        <f>T("NATICK")</f>
        <v>NATICK</v>
      </c>
      <c r="E3641" t="str">
        <f>T("MA")</f>
        <v>MA</v>
      </c>
      <c r="F3641" t="str">
        <f>T("017602642")</f>
        <v>017602642</v>
      </c>
      <c r="G3641" t="str">
        <f>T("15 GENERAL GREENE AVE")</f>
        <v>15 GENERAL GREENE AVE</v>
      </c>
      <c r="H3641" t="str">
        <f>T("")</f>
        <v/>
      </c>
      <c r="I3641" t="str">
        <f>T("NATICK")</f>
        <v>NATICK</v>
      </c>
      <c r="J3641" t="str">
        <f>T("MA")</f>
        <v>MA</v>
      </c>
      <c r="K3641" t="str">
        <f>T("5082334783")</f>
        <v>5082334783</v>
      </c>
      <c r="L3641" t="str">
        <f>T("5082331321")</f>
        <v>5082331321</v>
      </c>
    </row>
    <row r="3642" spans="1:12" x14ac:dyDescent="0.35">
      <c r="A3642" t="str">
        <f>T("NEXCOM")</f>
        <v>NEXCOM</v>
      </c>
      <c r="B3642" t="str">
        <f>T("15 GENERAL GREENE BLVD")</f>
        <v>15 GENERAL GREENE BLVD</v>
      </c>
      <c r="C3642" t="str">
        <f>T("")</f>
        <v/>
      </c>
      <c r="D3642" t="str">
        <f>T("NATICK")</f>
        <v>NATICK</v>
      </c>
      <c r="E3642" t="str">
        <f>T("MA")</f>
        <v>MA</v>
      </c>
      <c r="F3642" t="str">
        <f>T("017602642")</f>
        <v>017602642</v>
      </c>
      <c r="G3642" t="str">
        <f>T("15 GENERAL GREENE BLVD")</f>
        <v>15 GENERAL GREENE BLVD</v>
      </c>
      <c r="H3642" t="str">
        <f>T("")</f>
        <v/>
      </c>
      <c r="I3642" t="str">
        <f>T("NATICK")</f>
        <v>NATICK</v>
      </c>
      <c r="J3642" t="str">
        <f>T("MA")</f>
        <v>MA</v>
      </c>
      <c r="K3642" t="str">
        <f>T("000000000000000000")</f>
        <v>000000000000000000</v>
      </c>
      <c r="L3642" t="str">
        <f>T("5082331307")</f>
        <v>5082331307</v>
      </c>
    </row>
    <row r="3643" spans="1:12" x14ac:dyDescent="0.35">
      <c r="A3643" t="str">
        <f>T("NEXCOM")</f>
        <v>NEXCOM</v>
      </c>
      <c r="B3643" t="str">
        <f>T("NAVY CLOTHING AND TEXTILE RESEARCH")</f>
        <v>NAVY CLOTHING AND TEXTILE RESEARCH</v>
      </c>
      <c r="C3643" t="str">
        <f>T("GENERAL GREENE AVE")</f>
        <v>GENERAL GREENE AVE</v>
      </c>
      <c r="D3643" t="str">
        <f>T("NATICK")</f>
        <v>NATICK</v>
      </c>
      <c r="E3643" t="str">
        <f>T("MA")</f>
        <v>MA</v>
      </c>
      <c r="F3643" t="str">
        <f>T("017600000")</f>
        <v>017600000</v>
      </c>
      <c r="G3643" t="str">
        <f>T("NAVY CLOTHING AND TEXTILE RESEARCH")</f>
        <v>NAVY CLOTHING AND TEXTILE RESEARCH</v>
      </c>
      <c r="H3643" t="str">
        <f>T("GENERAL GREENE AVE")</f>
        <v>GENERAL GREENE AVE</v>
      </c>
      <c r="I3643" t="str">
        <f>T("NATICK")</f>
        <v>NATICK</v>
      </c>
      <c r="J3643" t="str">
        <f>T("MA")</f>
        <v>MA</v>
      </c>
      <c r="K3643" t="str">
        <f>T("000000000000000000")</f>
        <v>000000000000000000</v>
      </c>
      <c r="L3643" t="str">
        <f>T("5082331301")</f>
        <v>5082331301</v>
      </c>
    </row>
    <row r="3644" spans="1:12" x14ac:dyDescent="0.35">
      <c r="A3644" t="str">
        <f>T("NEX COMMAND CODE A")</f>
        <v>NEX COMMAND CODE A</v>
      </c>
      <c r="B3644" t="str">
        <f>T("3280 VIRGINIA BEACH BLVD")</f>
        <v>3280 VIRGINIA BEACH BLVD</v>
      </c>
      <c r="C3644" t="str">
        <f>T("")</f>
        <v/>
      </c>
      <c r="D3644" t="str">
        <f>T("VIRGINIA BCH")</f>
        <v>VIRGINIA BCH</v>
      </c>
      <c r="E3644" t="str">
        <f>T("VA")</f>
        <v>VA</v>
      </c>
      <c r="F3644" t="str">
        <f>T("234525724")</f>
        <v>234525724</v>
      </c>
      <c r="G3644" t="str">
        <f>T("3280 VIRGINIA BEACH BLVD")</f>
        <v>3280 VIRGINIA BEACH BLVD</v>
      </c>
      <c r="H3644" t="str">
        <f>T("")</f>
        <v/>
      </c>
      <c r="I3644" t="str">
        <f>T("VIRGINIA BCH")</f>
        <v>VIRGINIA BCH</v>
      </c>
      <c r="J3644" t="str">
        <f>T("VA")</f>
        <v>VA</v>
      </c>
      <c r="K3644" t="str">
        <f>T("7575027482")</f>
        <v>7575027482</v>
      </c>
      <c r="L3644" t="str">
        <f>T("7575027477")</f>
        <v>7575027477</v>
      </c>
    </row>
    <row r="3645" spans="1:12" x14ac:dyDescent="0.35">
      <c r="A3645" t="str">
        <f>T("NEX COMMAND CODE A")</f>
        <v>NEX COMMAND CODE A</v>
      </c>
      <c r="B3645" t="str">
        <f>T("3280 VIRGINIA BEACH BLVD")</f>
        <v>3280 VIRGINIA BEACH BLVD</v>
      </c>
      <c r="C3645" t="str">
        <f>T("")</f>
        <v/>
      </c>
      <c r="D3645" t="str">
        <f>T("VIRGINIA BCH")</f>
        <v>VIRGINIA BCH</v>
      </c>
      <c r="E3645" t="str">
        <f>T("VA")</f>
        <v>VA</v>
      </c>
      <c r="F3645" t="str">
        <f>T("234525724")</f>
        <v>234525724</v>
      </c>
      <c r="G3645" t="str">
        <f>T("3280 VIRGINIA BEACH BLVD")</f>
        <v>3280 VIRGINIA BEACH BLVD</v>
      </c>
      <c r="H3645" t="str">
        <f>T("")</f>
        <v/>
      </c>
      <c r="I3645" t="str">
        <f>T("VIRGINIA BEACH")</f>
        <v>VIRGINIA BEACH</v>
      </c>
      <c r="J3645" t="str">
        <f>T("VA")</f>
        <v>VA</v>
      </c>
      <c r="K3645" t="str">
        <f>T("011390818135446")</f>
        <v>011390818135446</v>
      </c>
      <c r="L3645" t="str">
        <f>T("1111111111")</f>
        <v>1111111111</v>
      </c>
    </row>
    <row r="3646" spans="1:12" x14ac:dyDescent="0.35">
      <c r="A3646" t="str">
        <f>T("NAVSUPHQ")</f>
        <v>NAVSUPHQ</v>
      </c>
      <c r="B3646" t="str">
        <f>T("5450 CARLISLE PIKE BLDG 309 RM 205")</f>
        <v>5450 CARLISLE PIKE BLDG 309 RM 205</v>
      </c>
      <c r="C3646" t="str">
        <f>T("P O BOX 2020")</f>
        <v>P O BOX 2020</v>
      </c>
      <c r="D3646" t="str">
        <f>T("MECHANICSBURG")</f>
        <v>MECHANICSBURG</v>
      </c>
      <c r="E3646" t="str">
        <f>T("PA")</f>
        <v>PA</v>
      </c>
      <c r="F3646" t="str">
        <f>T("170550788")</f>
        <v>170550788</v>
      </c>
      <c r="G3646" t="str">
        <f>T("5450 CARLISLE PIKE")</f>
        <v>5450 CARLISLE PIKE</v>
      </c>
      <c r="H3646" t="str">
        <f>T("BLDG 309 CODE N8")</f>
        <v>BLDG 309 CODE N8</v>
      </c>
      <c r="I3646" t="str">
        <f>T("MECHANICSBURG")</f>
        <v>MECHANICSBURG</v>
      </c>
      <c r="J3646" t="str">
        <f>T("PA")</f>
        <v>PA</v>
      </c>
      <c r="K3646" t="str">
        <f>T("000000000000000000")</f>
        <v>000000000000000000</v>
      </c>
      <c r="L3646" t="str">
        <f>T("7176056493")</f>
        <v>7176056493</v>
      </c>
    </row>
    <row r="3647" spans="1:12" x14ac:dyDescent="0.35">
      <c r="A3647" t="str">
        <f>T("NAVSUPHQ")</f>
        <v>NAVSUPHQ</v>
      </c>
      <c r="B3647" t="str">
        <f>T("5450 CARLISLE PIKE BLDG 309 RM 205")</f>
        <v>5450 CARLISLE PIKE BLDG 309 RM 205</v>
      </c>
      <c r="C3647" t="str">
        <f>T("P O BOX 2020")</f>
        <v>P O BOX 2020</v>
      </c>
      <c r="D3647" t="str">
        <f>T("MECHANICSBURG")</f>
        <v>MECHANICSBURG</v>
      </c>
      <c r="E3647" t="str">
        <f>T("PA")</f>
        <v>PA</v>
      </c>
      <c r="F3647" t="str">
        <f>T("170550788")</f>
        <v>170550788</v>
      </c>
      <c r="G3647" t="str">
        <f>T("5450 CARLISLE PIKE")</f>
        <v>5450 CARLISLE PIKE</v>
      </c>
      <c r="H3647" t="str">
        <f>T("PO BOX 2050")</f>
        <v>PO BOX 2050</v>
      </c>
      <c r="I3647" t="str">
        <f>T("MECHANICSBURG")</f>
        <v>MECHANICSBURG</v>
      </c>
      <c r="J3647" t="str">
        <f>T("PA")</f>
        <v>PA</v>
      </c>
      <c r="K3647" t="str">
        <f>T("7176058605")</f>
        <v>7176058605</v>
      </c>
      <c r="L3647" t="str">
        <f>T("7176057550")</f>
        <v>7176057550</v>
      </c>
    </row>
    <row r="3648" spans="1:12" x14ac:dyDescent="0.35">
      <c r="A3648" t="str">
        <f>T("NAVSUPHQ")</f>
        <v>NAVSUPHQ</v>
      </c>
      <c r="B3648" t="str">
        <f>T("5450 CARLISLE PIKE BLDG 309 RM 205")</f>
        <v>5450 CARLISLE PIKE BLDG 309 RM 205</v>
      </c>
      <c r="C3648" t="str">
        <f>T("P O BOX 2020")</f>
        <v>P O BOX 2020</v>
      </c>
      <c r="D3648" t="str">
        <f>T("MECHANICSBURG")</f>
        <v>MECHANICSBURG</v>
      </c>
      <c r="E3648" t="str">
        <f>T("PA")</f>
        <v>PA</v>
      </c>
      <c r="F3648" t="str">
        <f>T("170550788")</f>
        <v>170550788</v>
      </c>
      <c r="G3648" t="str">
        <f>T("5450 CARLISLE PIKE BLDG 309 RM 205")</f>
        <v>5450 CARLISLE PIKE BLDG 309 RM 205</v>
      </c>
      <c r="H3648" t="str">
        <f>T("P O BOX 2020")</f>
        <v>P O BOX 2020</v>
      </c>
      <c r="I3648" t="str">
        <f>T("MECHANICSBURG")</f>
        <v>MECHANICSBURG</v>
      </c>
      <c r="J3648" t="str">
        <f>T("PA")</f>
        <v>PA</v>
      </c>
      <c r="K3648" t="str">
        <f>T("")</f>
        <v/>
      </c>
      <c r="L3648" t="str">
        <f>T("7176056351")</f>
        <v>7176056351</v>
      </c>
    </row>
    <row r="3649" spans="1:12" x14ac:dyDescent="0.35">
      <c r="A3649" t="str">
        <f>T("NCTRF")</f>
        <v>NCTRF</v>
      </c>
      <c r="B3649" t="str">
        <f>T("NCTRF")</f>
        <v>NCTRF</v>
      </c>
      <c r="C3649" t="str">
        <f>T("KANSAS STREET")</f>
        <v>KANSAS STREET</v>
      </c>
      <c r="D3649" t="str">
        <f>T("NATICK")</f>
        <v>NATICK</v>
      </c>
      <c r="E3649" t="str">
        <f>T("MA")</f>
        <v>MA</v>
      </c>
      <c r="F3649" t="str">
        <f>T("017600000")</f>
        <v>017600000</v>
      </c>
      <c r="G3649" t="str">
        <f>T("15 GENERAL GREENE AVE")</f>
        <v>15 GENERAL GREENE AVE</v>
      </c>
      <c r="H3649" t="str">
        <f>T("")</f>
        <v/>
      </c>
      <c r="I3649" t="str">
        <f>T("NATICK")</f>
        <v>NATICK</v>
      </c>
      <c r="J3649" t="str">
        <f>T("MA")</f>
        <v>MA</v>
      </c>
      <c r="K3649" t="str">
        <f>T("000000000000000000")</f>
        <v>000000000000000000</v>
      </c>
      <c r="L3649" t="str">
        <f>T("5082331321")</f>
        <v>5082331321</v>
      </c>
    </row>
    <row r="3650" spans="1:12" x14ac:dyDescent="0.35">
      <c r="A3650" t="str">
        <f>T("NCTRF")</f>
        <v>NCTRF</v>
      </c>
      <c r="B3650" t="str">
        <f>T("NCTRF")</f>
        <v>NCTRF</v>
      </c>
      <c r="C3650" t="str">
        <f>T("KANSAS STREET")</f>
        <v>KANSAS STREET</v>
      </c>
      <c r="D3650" t="str">
        <f>T("NATICK")</f>
        <v>NATICK</v>
      </c>
      <c r="E3650" t="str">
        <f>T("MA")</f>
        <v>MA</v>
      </c>
      <c r="F3650" t="str">
        <f>T("017600000")</f>
        <v>017600000</v>
      </c>
      <c r="G3650" t="str">
        <f>T("NCTRF")</f>
        <v>NCTRF</v>
      </c>
      <c r="H3650" t="str">
        <f>T("KANSAS STREET")</f>
        <v>KANSAS STREET</v>
      </c>
      <c r="I3650" t="str">
        <f>T("NATICK")</f>
        <v>NATICK</v>
      </c>
      <c r="J3650" t="str">
        <f>T("MA")</f>
        <v>MA</v>
      </c>
      <c r="K3650" t="str">
        <f>T("")</f>
        <v/>
      </c>
      <c r="L3650" t="str">
        <f>T("5082331301")</f>
        <v>5082331301</v>
      </c>
    </row>
    <row r="3651" spans="1:12" x14ac:dyDescent="0.35">
      <c r="A3651" t="str">
        <f t="shared" ref="A3651:A3677" si="1427">T("FISC NNSY ANNEX")</f>
        <v>FISC NNSY ANNEX</v>
      </c>
      <c r="B3651" t="str">
        <f t="shared" ref="B3651:B3658" si="1428">T("BLDG 1500 2ND FLOOR")</f>
        <v>BLDG 1500 2ND FLOOR</v>
      </c>
      <c r="C3651" t="str">
        <f>T("")</f>
        <v/>
      </c>
      <c r="D3651" t="str">
        <f t="shared" ref="D3651:D3677" si="1429">T("PORTSMOUTH")</f>
        <v>PORTSMOUTH</v>
      </c>
      <c r="E3651" t="str">
        <f t="shared" ref="E3651:E3685" si="1430">T("VA")</f>
        <v>VA</v>
      </c>
      <c r="F3651" t="str">
        <f>T("237090000")</f>
        <v>237090000</v>
      </c>
      <c r="G3651" t="str">
        <f>T("BLDG 1500 2ND FLOOR")</f>
        <v>BLDG 1500 2ND FLOOR</v>
      </c>
      <c r="H3651" t="str">
        <f>T("")</f>
        <v/>
      </c>
      <c r="I3651" t="str">
        <f t="shared" ref="I3651:I3677" si="1431">T("PORTSMOUTH")</f>
        <v>PORTSMOUTH</v>
      </c>
      <c r="J3651" t="str">
        <f t="shared" ref="J3651:J3685" si="1432">T("VA")</f>
        <v>VA</v>
      </c>
      <c r="K3651" t="str">
        <f>T("")</f>
        <v/>
      </c>
      <c r="L3651" t="str">
        <f>T("7573968414")</f>
        <v>7573968414</v>
      </c>
    </row>
    <row r="3652" spans="1:12" x14ac:dyDescent="0.35">
      <c r="A3652" t="str">
        <f t="shared" si="1427"/>
        <v>FISC NNSY ANNEX</v>
      </c>
      <c r="B3652" t="str">
        <f t="shared" si="1428"/>
        <v>BLDG 1500 2ND FLOOR</v>
      </c>
      <c r="C3652" t="str">
        <f>T("")</f>
        <v/>
      </c>
      <c r="D3652" t="str">
        <f t="shared" si="1429"/>
        <v>PORTSMOUTH</v>
      </c>
      <c r="E3652" t="str">
        <f t="shared" si="1430"/>
        <v>VA</v>
      </c>
      <c r="F3652" t="str">
        <f>T("237090000")</f>
        <v>237090000</v>
      </c>
      <c r="G3652" t="str">
        <f>T("BLDG 1500 2ND FLOOR")</f>
        <v>BLDG 1500 2ND FLOOR</v>
      </c>
      <c r="H3652" t="str">
        <f>T("")</f>
        <v/>
      </c>
      <c r="I3652" t="str">
        <f t="shared" si="1431"/>
        <v>PORTSMOUTH</v>
      </c>
      <c r="J3652" t="str">
        <f t="shared" si="1432"/>
        <v>VA</v>
      </c>
      <c r="K3652" t="str">
        <f>T("7573968412")</f>
        <v>7573968412</v>
      </c>
      <c r="L3652" t="str">
        <f>T("7573968426")</f>
        <v>7573968426</v>
      </c>
    </row>
    <row r="3653" spans="1:12" x14ac:dyDescent="0.35">
      <c r="A3653" t="str">
        <f t="shared" si="1427"/>
        <v>FISC NNSY ANNEX</v>
      </c>
      <c r="B3653" t="str">
        <f t="shared" si="1428"/>
        <v>BLDG 1500 2ND FLOOR</v>
      </c>
      <c r="C3653" t="str">
        <f>T("")</f>
        <v/>
      </c>
      <c r="D3653" t="str">
        <f t="shared" si="1429"/>
        <v>PORTSMOUTH</v>
      </c>
      <c r="E3653" t="str">
        <f t="shared" si="1430"/>
        <v>VA</v>
      </c>
      <c r="F3653" t="str">
        <f>T("237090000")</f>
        <v>237090000</v>
      </c>
      <c r="G3653" t="str">
        <f>T("DLA BLDG 1500 2ND FLOOR")</f>
        <v>DLA BLDG 1500 2ND FLOOR</v>
      </c>
      <c r="H3653" t="str">
        <f>T("")</f>
        <v/>
      </c>
      <c r="I3653" t="str">
        <f t="shared" si="1431"/>
        <v>PORTSMOUTH</v>
      </c>
      <c r="J3653" t="str">
        <f t="shared" si="1432"/>
        <v>VA</v>
      </c>
      <c r="K3653" t="str">
        <f>T("000000000000000000")</f>
        <v>000000000000000000</v>
      </c>
      <c r="L3653" t="str">
        <f>T("7573969444")</f>
        <v>7573969444</v>
      </c>
    </row>
    <row r="3654" spans="1:12" x14ac:dyDescent="0.35">
      <c r="A3654" t="str">
        <f t="shared" si="1427"/>
        <v>FISC NNSY ANNEX</v>
      </c>
      <c r="B3654" t="str">
        <f t="shared" si="1428"/>
        <v>BLDG 1500 2ND FLOOR</v>
      </c>
      <c r="C3654" t="str">
        <f>T("")</f>
        <v/>
      </c>
      <c r="D3654" t="str">
        <f t="shared" si="1429"/>
        <v>PORTSMOUTH</v>
      </c>
      <c r="E3654" t="str">
        <f t="shared" si="1430"/>
        <v>VA</v>
      </c>
      <c r="F3654" t="str">
        <f>T("237090000")</f>
        <v>237090000</v>
      </c>
      <c r="G3654" t="str">
        <f>T("DLA LAND AND MARITIME NNSY")</f>
        <v>DLA LAND AND MARITIME NNSY</v>
      </c>
      <c r="H3654" t="str">
        <f>T("B1500 2ND FLOOR")</f>
        <v>B1500 2ND FLOOR</v>
      </c>
      <c r="I3654" t="str">
        <f t="shared" si="1431"/>
        <v>PORTSMOUTH</v>
      </c>
      <c r="J3654" t="str">
        <f t="shared" si="1432"/>
        <v>VA</v>
      </c>
      <c r="K3654" t="str">
        <f>T("7573968639")</f>
        <v>7573968639</v>
      </c>
      <c r="L3654" t="str">
        <f>T("7573960458")</f>
        <v>7573960458</v>
      </c>
    </row>
    <row r="3655" spans="1:12" x14ac:dyDescent="0.35">
      <c r="A3655" t="str">
        <f t="shared" si="1427"/>
        <v>FISC NNSY ANNEX</v>
      </c>
      <c r="B3655" t="str">
        <f t="shared" si="1428"/>
        <v>BLDG 1500 2ND FLOOR</v>
      </c>
      <c r="C3655" t="str">
        <f>T("NORFOLK NAVAL SHIP YARD, MAHONEY AVE")</f>
        <v>NORFOLK NAVAL SHIP YARD, MAHONEY AVE</v>
      </c>
      <c r="D3655" t="str">
        <f t="shared" si="1429"/>
        <v>PORTSMOUTH</v>
      </c>
      <c r="E3655" t="str">
        <f t="shared" si="1430"/>
        <v>VA</v>
      </c>
      <c r="F3655" t="str">
        <f>T("237030000")</f>
        <v>237030000</v>
      </c>
      <c r="G3655" t="str">
        <f>T("BLDG 1500 2ND FLOOR")</f>
        <v>BLDG 1500 2ND FLOOR</v>
      </c>
      <c r="H3655" t="str">
        <f>T("")</f>
        <v/>
      </c>
      <c r="I3655" t="str">
        <f t="shared" si="1431"/>
        <v>PORTSMOUTH</v>
      </c>
      <c r="J3655" t="str">
        <f t="shared" si="1432"/>
        <v>VA</v>
      </c>
      <c r="K3655" t="str">
        <f>T("7573969447")</f>
        <v>7573969447</v>
      </c>
      <c r="L3655" t="str">
        <f>T("7573968513")</f>
        <v>7573968513</v>
      </c>
    </row>
    <row r="3656" spans="1:12" x14ac:dyDescent="0.35">
      <c r="A3656" t="str">
        <f t="shared" si="1427"/>
        <v>FISC NNSY ANNEX</v>
      </c>
      <c r="B3656" t="str">
        <f t="shared" si="1428"/>
        <v>BLDG 1500 2ND FLOOR</v>
      </c>
      <c r="C3656" t="str">
        <f>T("NORFOLK NAVAL SHIP YARD, MAHONEY AVE")</f>
        <v>NORFOLK NAVAL SHIP YARD, MAHONEY AVE</v>
      </c>
      <c r="D3656" t="str">
        <f t="shared" si="1429"/>
        <v>PORTSMOUTH</v>
      </c>
      <c r="E3656" t="str">
        <f t="shared" si="1430"/>
        <v>VA</v>
      </c>
      <c r="F3656" t="str">
        <f>T("237030000")</f>
        <v>237030000</v>
      </c>
      <c r="G3656" t="str">
        <f>T("BLDG 1500 2ND FLOOR")</f>
        <v>BLDG 1500 2ND FLOOR</v>
      </c>
      <c r="H3656" t="str">
        <f>T("NORFOLK NAVAL SHIP YARD, MAHONEY AVE")</f>
        <v>NORFOLK NAVAL SHIP YARD, MAHONEY AVE</v>
      </c>
      <c r="I3656" t="str">
        <f t="shared" si="1431"/>
        <v>PORTSMOUTH</v>
      </c>
      <c r="J3656" t="str">
        <f t="shared" si="1432"/>
        <v>VA</v>
      </c>
      <c r="K3656" t="str">
        <f>T("757-396-8412")</f>
        <v>757-396-8412</v>
      </c>
      <c r="L3656" t="str">
        <f>T("7573968441")</f>
        <v>7573968441</v>
      </c>
    </row>
    <row r="3657" spans="1:12" x14ac:dyDescent="0.35">
      <c r="A3657" t="str">
        <f t="shared" si="1427"/>
        <v>FISC NNSY ANNEX</v>
      </c>
      <c r="B3657" t="str">
        <f t="shared" si="1428"/>
        <v>BLDG 1500 2ND FLOOR</v>
      </c>
      <c r="C3657" t="str">
        <f>T("NORFOLK NAVAL SHIP YARD, MAHONEY AVE")</f>
        <v>NORFOLK NAVAL SHIP YARD, MAHONEY AVE</v>
      </c>
      <c r="D3657" t="str">
        <f t="shared" si="1429"/>
        <v>PORTSMOUTH</v>
      </c>
      <c r="E3657" t="str">
        <f t="shared" si="1430"/>
        <v>VA</v>
      </c>
      <c r="F3657" t="str">
        <f>T("237030000")</f>
        <v>237030000</v>
      </c>
      <c r="G3657" t="str">
        <f>T("BLDG 1500 2ND FLOOR")</f>
        <v>BLDG 1500 2ND FLOOR</v>
      </c>
      <c r="H3657" t="str">
        <f>T("NORFOLK NAVAL SHIP YARD, MAHONEY AVE")</f>
        <v>NORFOLK NAVAL SHIP YARD, MAHONEY AVE</v>
      </c>
      <c r="I3657" t="str">
        <f t="shared" si="1431"/>
        <v>PORTSMOUTH</v>
      </c>
      <c r="J3657" t="str">
        <f t="shared" si="1432"/>
        <v>VA</v>
      </c>
      <c r="K3657" t="str">
        <f>T("757-396-8412")</f>
        <v>757-396-8412</v>
      </c>
      <c r="L3657" t="str">
        <f>T("7573969399")</f>
        <v>7573969399</v>
      </c>
    </row>
    <row r="3658" spans="1:12" x14ac:dyDescent="0.35">
      <c r="A3658" t="str">
        <f t="shared" si="1427"/>
        <v>FISC NNSY ANNEX</v>
      </c>
      <c r="B3658" t="str">
        <f t="shared" si="1428"/>
        <v>BLDG 1500 2ND FLOOR</v>
      </c>
      <c r="C3658" t="str">
        <f>T("NORFOLK NAVAL SHIP YARD, MAHONEY AVE")</f>
        <v>NORFOLK NAVAL SHIP YARD, MAHONEY AVE</v>
      </c>
      <c r="D3658" t="str">
        <f t="shared" si="1429"/>
        <v>PORTSMOUTH</v>
      </c>
      <c r="E3658" t="str">
        <f t="shared" si="1430"/>
        <v>VA</v>
      </c>
      <c r="F3658" t="str">
        <f>T("237030000")</f>
        <v>237030000</v>
      </c>
      <c r="G3658" t="str">
        <f>T("DLA BLDG 1500 2ND FLOOR NNSY")</f>
        <v>DLA BLDG 1500 2ND FLOOR NNSY</v>
      </c>
      <c r="H3658" t="str">
        <f>T("")</f>
        <v/>
      </c>
      <c r="I3658" t="str">
        <f t="shared" si="1431"/>
        <v>PORTSMOUTH</v>
      </c>
      <c r="J3658" t="str">
        <f t="shared" si="1432"/>
        <v>VA</v>
      </c>
      <c r="K3658" t="str">
        <f>T("000000000000000000")</f>
        <v>000000000000000000</v>
      </c>
      <c r="L3658" t="str">
        <f>T("7573969356")</f>
        <v>7573969356</v>
      </c>
    </row>
    <row r="3659" spans="1:12" x14ac:dyDescent="0.35">
      <c r="A3659" t="str">
        <f t="shared" si="1427"/>
        <v>FISC NNSY ANNEX</v>
      </c>
      <c r="B3659" t="str">
        <f>T("BLDG 1500 2ND FLR")</f>
        <v>BLDG 1500 2ND FLR</v>
      </c>
      <c r="C3659" t="str">
        <f>T("CODE 515.2")</f>
        <v>CODE 515.2</v>
      </c>
      <c r="D3659" t="str">
        <f t="shared" si="1429"/>
        <v>PORTSMOUTH</v>
      </c>
      <c r="E3659" t="str">
        <f t="shared" si="1430"/>
        <v>VA</v>
      </c>
      <c r="F3659" t="str">
        <f t="shared" ref="F3659:F3676" si="1433">T("237090000")</f>
        <v>237090000</v>
      </c>
      <c r="G3659" t="str">
        <f>T("BLDG 1500 2ND FL")</f>
        <v>BLDG 1500 2ND FL</v>
      </c>
      <c r="H3659" t="str">
        <f>T("CODE 515.2")</f>
        <v>CODE 515.2</v>
      </c>
      <c r="I3659" t="str">
        <f t="shared" si="1431"/>
        <v>PORTSMOUTH</v>
      </c>
      <c r="J3659" t="str">
        <f t="shared" si="1432"/>
        <v>VA</v>
      </c>
      <c r="K3659" t="str">
        <f>T("7573968344")</f>
        <v>7573968344</v>
      </c>
      <c r="L3659" t="str">
        <f>T("7573968506")</f>
        <v>7573968506</v>
      </c>
    </row>
    <row r="3660" spans="1:12" x14ac:dyDescent="0.35">
      <c r="A3660" t="str">
        <f t="shared" si="1427"/>
        <v>FISC NNSY ANNEX</v>
      </c>
      <c r="B3660" t="str">
        <f>T("BLDG 1500 2ND FLR")</f>
        <v>BLDG 1500 2ND FLR</v>
      </c>
      <c r="C3660" t="str">
        <f>T("CODE 515.2")</f>
        <v>CODE 515.2</v>
      </c>
      <c r="D3660" t="str">
        <f t="shared" si="1429"/>
        <v>PORTSMOUTH</v>
      </c>
      <c r="E3660" t="str">
        <f t="shared" si="1430"/>
        <v>VA</v>
      </c>
      <c r="F3660" t="str">
        <f t="shared" si="1433"/>
        <v>237090000</v>
      </c>
      <c r="G3660" t="str">
        <f>T("BLDG 1500 2ND FLR")</f>
        <v>BLDG 1500 2ND FLR</v>
      </c>
      <c r="H3660" t="str">
        <f>T("CODE 515.2")</f>
        <v>CODE 515.2</v>
      </c>
      <c r="I3660" t="str">
        <f t="shared" si="1431"/>
        <v>PORTSMOUTH</v>
      </c>
      <c r="J3660" t="str">
        <f t="shared" si="1432"/>
        <v>VA</v>
      </c>
      <c r="K3660" t="str">
        <f>T("000000000000000000")</f>
        <v>000000000000000000</v>
      </c>
      <c r="L3660" t="str">
        <f>T("7573968408")</f>
        <v>7573968408</v>
      </c>
    </row>
    <row r="3661" spans="1:12" x14ac:dyDescent="0.35">
      <c r="A3661" t="str">
        <f t="shared" si="1427"/>
        <v>FISC NNSY ANNEX</v>
      </c>
      <c r="B3661" t="str">
        <f>T("BLDG 1500-2")</f>
        <v>BLDG 1500-2</v>
      </c>
      <c r="C3661" t="str">
        <f>T("CODE 515.3")</f>
        <v>CODE 515.3</v>
      </c>
      <c r="D3661" t="str">
        <f t="shared" si="1429"/>
        <v>PORTSMOUTH</v>
      </c>
      <c r="E3661" t="str">
        <f t="shared" si="1430"/>
        <v>VA</v>
      </c>
      <c r="F3661" t="str">
        <f t="shared" si="1433"/>
        <v>237090000</v>
      </c>
      <c r="G3661" t="str">
        <f>T("BLDG 1500 2ND FLOOR")</f>
        <v>BLDG 1500 2ND FLOOR</v>
      </c>
      <c r="H3661" t="str">
        <f>T("NNSY MAHONEY AVE")</f>
        <v>NNSY MAHONEY AVE</v>
      </c>
      <c r="I3661" t="str">
        <f t="shared" si="1431"/>
        <v>PORTSMOUTH</v>
      </c>
      <c r="J3661" t="str">
        <f t="shared" si="1432"/>
        <v>VA</v>
      </c>
      <c r="K3661" t="str">
        <f>T("7573968344")</f>
        <v>7573968344</v>
      </c>
      <c r="L3661" t="str">
        <f>T("7573968506")</f>
        <v>7573968506</v>
      </c>
    </row>
    <row r="3662" spans="1:12" x14ac:dyDescent="0.35">
      <c r="A3662" t="str">
        <f t="shared" si="1427"/>
        <v>FISC NNSY ANNEX</v>
      </c>
      <c r="B3662" t="str">
        <f>T("BLDG 1500-2")</f>
        <v>BLDG 1500-2</v>
      </c>
      <c r="C3662" t="str">
        <f>T("CODE 515.3")</f>
        <v>CODE 515.3</v>
      </c>
      <c r="D3662" t="str">
        <f t="shared" si="1429"/>
        <v>PORTSMOUTH</v>
      </c>
      <c r="E3662" t="str">
        <f t="shared" si="1430"/>
        <v>VA</v>
      </c>
      <c r="F3662" t="str">
        <f t="shared" si="1433"/>
        <v>237090000</v>
      </c>
      <c r="G3662" t="str">
        <f>T("BLDG 1500-2")</f>
        <v>BLDG 1500-2</v>
      </c>
      <c r="H3662" t="str">
        <f>T("CODE 515.3")</f>
        <v>CODE 515.3</v>
      </c>
      <c r="I3662" t="str">
        <f t="shared" si="1431"/>
        <v>PORTSMOUTH</v>
      </c>
      <c r="J3662" t="str">
        <f t="shared" si="1432"/>
        <v>VA</v>
      </c>
      <c r="K3662" t="str">
        <f>T("7573968412")</f>
        <v>7573968412</v>
      </c>
      <c r="L3662" t="str">
        <f>T("7573968407")</f>
        <v>7573968407</v>
      </c>
    </row>
    <row r="3663" spans="1:12" x14ac:dyDescent="0.35">
      <c r="A3663" t="str">
        <f t="shared" si="1427"/>
        <v>FISC NNSY ANNEX</v>
      </c>
      <c r="B3663" t="str">
        <f>T("BLDG 1500-2")</f>
        <v>BLDG 1500-2</v>
      </c>
      <c r="C3663" t="str">
        <f>T("CODE 515.3")</f>
        <v>CODE 515.3</v>
      </c>
      <c r="D3663" t="str">
        <f t="shared" si="1429"/>
        <v>PORTSMOUTH</v>
      </c>
      <c r="E3663" t="str">
        <f t="shared" si="1430"/>
        <v>VA</v>
      </c>
      <c r="F3663" t="str">
        <f t="shared" si="1433"/>
        <v>237090000</v>
      </c>
      <c r="G3663" t="str">
        <f>T("DLA MARITIME NORFOLK")</f>
        <v>DLA MARITIME NORFOLK</v>
      </c>
      <c r="H3663" t="str">
        <f>T("BLDG 1500 2ND FLOOR")</f>
        <v>BLDG 1500 2ND FLOOR</v>
      </c>
      <c r="I3663" t="str">
        <f t="shared" si="1431"/>
        <v>PORTSMOUTH</v>
      </c>
      <c r="J3663" t="str">
        <f t="shared" si="1432"/>
        <v>VA</v>
      </c>
      <c r="K3663" t="str">
        <f>T("7573968639")</f>
        <v>7573968639</v>
      </c>
      <c r="L3663" t="str">
        <f>T("7573969443")</f>
        <v>7573969443</v>
      </c>
    </row>
    <row r="3664" spans="1:12" x14ac:dyDescent="0.35">
      <c r="A3664" t="str">
        <f t="shared" si="1427"/>
        <v>FISC NNSY ANNEX</v>
      </c>
      <c r="B3664" t="str">
        <f>T("DLA BLDG 1500 2ND FL")</f>
        <v>DLA BLDG 1500 2ND FL</v>
      </c>
      <c r="C3664" t="str">
        <f t="shared" ref="C3664:C3671" si="1434">T("")</f>
        <v/>
      </c>
      <c r="D3664" t="str">
        <f t="shared" si="1429"/>
        <v>PORTSMOUTH</v>
      </c>
      <c r="E3664" t="str">
        <f t="shared" si="1430"/>
        <v>VA</v>
      </c>
      <c r="F3664" t="str">
        <f t="shared" si="1433"/>
        <v>237090000</v>
      </c>
      <c r="G3664" t="str">
        <f>T("BLDG 1500 2ND FLOOR DLA")</f>
        <v>BLDG 1500 2ND FLOOR DLA</v>
      </c>
      <c r="H3664" t="str">
        <f t="shared" ref="H3664:H3671" si="1435">T("")</f>
        <v/>
      </c>
      <c r="I3664" t="str">
        <f t="shared" si="1431"/>
        <v>PORTSMOUTH</v>
      </c>
      <c r="J3664" t="str">
        <f t="shared" si="1432"/>
        <v>VA</v>
      </c>
      <c r="K3664" t="str">
        <f>T("000000000000000000")</f>
        <v>000000000000000000</v>
      </c>
      <c r="L3664" t="str">
        <f>T("7573969466")</f>
        <v>7573969466</v>
      </c>
    </row>
    <row r="3665" spans="1:12" x14ac:dyDescent="0.35">
      <c r="A3665" t="str">
        <f t="shared" si="1427"/>
        <v>FISC NNSY ANNEX</v>
      </c>
      <c r="B3665" t="str">
        <f>T("DLA BLDG 1500 2ND FL")</f>
        <v>DLA BLDG 1500 2ND FL</v>
      </c>
      <c r="C3665" t="str">
        <f t="shared" si="1434"/>
        <v/>
      </c>
      <c r="D3665" t="str">
        <f t="shared" si="1429"/>
        <v>PORTSMOUTH</v>
      </c>
      <c r="E3665" t="str">
        <f t="shared" si="1430"/>
        <v>VA</v>
      </c>
      <c r="F3665" t="str">
        <f t="shared" si="1433"/>
        <v>237090000</v>
      </c>
      <c r="G3665" t="str">
        <f>T("BLDG 1500 2ND FLOOR DLA")</f>
        <v>BLDG 1500 2ND FLOOR DLA</v>
      </c>
      <c r="H3665" t="str">
        <f t="shared" si="1435"/>
        <v/>
      </c>
      <c r="I3665" t="str">
        <f t="shared" si="1431"/>
        <v>PORTSMOUTH</v>
      </c>
      <c r="J3665" t="str">
        <f t="shared" si="1432"/>
        <v>VA</v>
      </c>
      <c r="K3665" t="str">
        <f>T("000000000000000000")</f>
        <v>000000000000000000</v>
      </c>
      <c r="L3665" t="str">
        <f>T("7573969680")</f>
        <v>7573969680</v>
      </c>
    </row>
    <row r="3666" spans="1:12" x14ac:dyDescent="0.35">
      <c r="A3666" t="str">
        <f t="shared" si="1427"/>
        <v>FISC NNSY ANNEX</v>
      </c>
      <c r="B3666" t="str">
        <f>T("DLA BLDG 1500 2ND FL")</f>
        <v>DLA BLDG 1500 2ND FL</v>
      </c>
      <c r="C3666" t="str">
        <f t="shared" si="1434"/>
        <v/>
      </c>
      <c r="D3666" t="str">
        <f t="shared" si="1429"/>
        <v>PORTSMOUTH</v>
      </c>
      <c r="E3666" t="str">
        <f t="shared" si="1430"/>
        <v>VA</v>
      </c>
      <c r="F3666" t="str">
        <f t="shared" si="1433"/>
        <v>237090000</v>
      </c>
      <c r="G3666" t="str">
        <f>T("DLA BLDG 1500 2ND FL")</f>
        <v>DLA BLDG 1500 2ND FL</v>
      </c>
      <c r="H3666" t="str">
        <f t="shared" si="1435"/>
        <v/>
      </c>
      <c r="I3666" t="str">
        <f t="shared" si="1431"/>
        <v>PORTSMOUTH</v>
      </c>
      <c r="J3666" t="str">
        <f t="shared" si="1432"/>
        <v>VA</v>
      </c>
      <c r="K3666" t="str">
        <f>T("000000000000000000")</f>
        <v>000000000000000000</v>
      </c>
      <c r="L3666" t="str">
        <f>T("7573968009")</f>
        <v>7573968009</v>
      </c>
    </row>
    <row r="3667" spans="1:12" x14ac:dyDescent="0.35">
      <c r="A3667" t="str">
        <f t="shared" si="1427"/>
        <v>FISC NNSY ANNEX</v>
      </c>
      <c r="B3667" t="str">
        <f>T("DLA BLDG 1500 2ND FL")</f>
        <v>DLA BLDG 1500 2ND FL</v>
      </c>
      <c r="C3667" t="str">
        <f t="shared" si="1434"/>
        <v/>
      </c>
      <c r="D3667" t="str">
        <f t="shared" si="1429"/>
        <v>PORTSMOUTH</v>
      </c>
      <c r="E3667" t="str">
        <f t="shared" si="1430"/>
        <v>VA</v>
      </c>
      <c r="F3667" t="str">
        <f t="shared" si="1433"/>
        <v>237090000</v>
      </c>
      <c r="G3667" t="str">
        <f>T("DLA BLDG 1500 2ND FL")</f>
        <v>DLA BLDG 1500 2ND FL</v>
      </c>
      <c r="H3667" t="str">
        <f t="shared" si="1435"/>
        <v/>
      </c>
      <c r="I3667" t="str">
        <f t="shared" si="1431"/>
        <v>PORTSMOUTH</v>
      </c>
      <c r="J3667" t="str">
        <f t="shared" si="1432"/>
        <v>VA</v>
      </c>
      <c r="K3667" t="str">
        <f>T("000000000000000000")</f>
        <v>000000000000000000</v>
      </c>
      <c r="L3667" t="str">
        <f>T("7573969399")</f>
        <v>7573969399</v>
      </c>
    </row>
    <row r="3668" spans="1:12" x14ac:dyDescent="0.35">
      <c r="A3668" t="str">
        <f t="shared" si="1427"/>
        <v>FISC NNSY ANNEX</v>
      </c>
      <c r="B3668" t="str">
        <f>T("DLA BLDG 1500 2ND FL")</f>
        <v>DLA BLDG 1500 2ND FL</v>
      </c>
      <c r="C3668" t="str">
        <f t="shared" si="1434"/>
        <v/>
      </c>
      <c r="D3668" t="str">
        <f t="shared" si="1429"/>
        <v>PORTSMOUTH</v>
      </c>
      <c r="E3668" t="str">
        <f t="shared" si="1430"/>
        <v>VA</v>
      </c>
      <c r="F3668" t="str">
        <f t="shared" si="1433"/>
        <v>237090000</v>
      </c>
      <c r="G3668" t="str">
        <f>T("DLA BLDG 1500 2ND FLOOR")</f>
        <v>DLA BLDG 1500 2ND FLOOR</v>
      </c>
      <c r="H3668" t="str">
        <f t="shared" si="1435"/>
        <v/>
      </c>
      <c r="I3668" t="str">
        <f t="shared" si="1431"/>
        <v>PORTSMOUTH</v>
      </c>
      <c r="J3668" t="str">
        <f t="shared" si="1432"/>
        <v>VA</v>
      </c>
      <c r="K3668" t="str">
        <f>T("000000000000000000")</f>
        <v>000000000000000000</v>
      </c>
      <c r="L3668" t="str">
        <f>T("7573968859")</f>
        <v>7573968859</v>
      </c>
    </row>
    <row r="3669" spans="1:12" x14ac:dyDescent="0.35">
      <c r="A3669" t="str">
        <f t="shared" si="1427"/>
        <v>FISC NNSY ANNEX</v>
      </c>
      <c r="B3669" t="str">
        <f>T("NNSY BLDG 1500 2ND FL")</f>
        <v>NNSY BLDG 1500 2ND FL</v>
      </c>
      <c r="C3669" t="str">
        <f t="shared" si="1434"/>
        <v/>
      </c>
      <c r="D3669" t="str">
        <f t="shared" si="1429"/>
        <v>PORTSMOUTH</v>
      </c>
      <c r="E3669" t="str">
        <f t="shared" si="1430"/>
        <v>VA</v>
      </c>
      <c r="F3669" t="str">
        <f t="shared" si="1433"/>
        <v>237090000</v>
      </c>
      <c r="G3669" t="str">
        <f>T("BLDG 1500 2ND FLOOR")</f>
        <v>BLDG 1500 2ND FLOOR</v>
      </c>
      <c r="H3669" t="str">
        <f t="shared" si="1435"/>
        <v/>
      </c>
      <c r="I3669" t="str">
        <f t="shared" si="1431"/>
        <v>PORTSMOUTH</v>
      </c>
      <c r="J3669" t="str">
        <f t="shared" si="1432"/>
        <v>VA</v>
      </c>
      <c r="K3669" t="str">
        <f>T("7573969447")</f>
        <v>7573969447</v>
      </c>
      <c r="L3669" t="str">
        <f>T("7573968513")</f>
        <v>7573968513</v>
      </c>
    </row>
    <row r="3670" spans="1:12" x14ac:dyDescent="0.35">
      <c r="A3670" t="str">
        <f t="shared" si="1427"/>
        <v>FISC NNSY ANNEX</v>
      </c>
      <c r="B3670" t="str">
        <f>T("NNSY BLDG 1500 2ND FL")</f>
        <v>NNSY BLDG 1500 2ND FL</v>
      </c>
      <c r="C3670" t="str">
        <f t="shared" si="1434"/>
        <v/>
      </c>
      <c r="D3670" t="str">
        <f t="shared" si="1429"/>
        <v>PORTSMOUTH</v>
      </c>
      <c r="E3670" t="str">
        <f t="shared" si="1430"/>
        <v>VA</v>
      </c>
      <c r="F3670" t="str">
        <f t="shared" si="1433"/>
        <v>237090000</v>
      </c>
      <c r="G3670" t="str">
        <f>T("DLA BLDG 1500 2ND FLOOR")</f>
        <v>DLA BLDG 1500 2ND FLOOR</v>
      </c>
      <c r="H3670" t="str">
        <f t="shared" si="1435"/>
        <v/>
      </c>
      <c r="I3670" t="str">
        <f t="shared" si="1431"/>
        <v>PORTSMOUTH</v>
      </c>
      <c r="J3670" t="str">
        <f t="shared" si="1432"/>
        <v>VA</v>
      </c>
      <c r="K3670" t="str">
        <f>T("000000000000000000")</f>
        <v>000000000000000000</v>
      </c>
      <c r="L3670" t="str">
        <f>T("7573968859")</f>
        <v>7573968859</v>
      </c>
    </row>
    <row r="3671" spans="1:12" x14ac:dyDescent="0.35">
      <c r="A3671" t="str">
        <f t="shared" si="1427"/>
        <v>FISC NNSY ANNEX</v>
      </c>
      <c r="B3671" t="str">
        <f>T("NNSY BLDG 1500 2ND FL")</f>
        <v>NNSY BLDG 1500 2ND FL</v>
      </c>
      <c r="C3671" t="str">
        <f t="shared" si="1434"/>
        <v/>
      </c>
      <c r="D3671" t="str">
        <f t="shared" si="1429"/>
        <v>PORTSMOUTH</v>
      </c>
      <c r="E3671" t="str">
        <f t="shared" si="1430"/>
        <v>VA</v>
      </c>
      <c r="F3671" t="str">
        <f t="shared" si="1433"/>
        <v>237090000</v>
      </c>
      <c r="G3671" t="str">
        <f>T("NNSY BLDG 1500 2ND FL")</f>
        <v>NNSY BLDG 1500 2ND FL</v>
      </c>
      <c r="H3671" t="str">
        <f t="shared" si="1435"/>
        <v/>
      </c>
      <c r="I3671" t="str">
        <f t="shared" si="1431"/>
        <v>PORTSMOUTH</v>
      </c>
      <c r="J3671" t="str">
        <f t="shared" si="1432"/>
        <v>VA</v>
      </c>
      <c r="K3671" t="str">
        <f>T("000000000000000000")</f>
        <v>000000000000000000</v>
      </c>
      <c r="L3671" t="str">
        <f>T("7573968418")</f>
        <v>7573968418</v>
      </c>
    </row>
    <row r="3672" spans="1:12" x14ac:dyDescent="0.35">
      <c r="A3672" t="str">
        <f t="shared" si="1427"/>
        <v>FISC NNSY ANNEX</v>
      </c>
      <c r="B3672" t="str">
        <f t="shared" ref="B3672:B3677" si="1436">T("NORFOLK NAVAL SHIPYARD")</f>
        <v>NORFOLK NAVAL SHIPYARD</v>
      </c>
      <c r="C3672" t="str">
        <f t="shared" ref="C3672:C3677" si="1437">T("BLDG 1500 2ND FLOOR")</f>
        <v>BLDG 1500 2ND FLOOR</v>
      </c>
      <c r="D3672" t="str">
        <f t="shared" si="1429"/>
        <v>PORTSMOUTH</v>
      </c>
      <c r="E3672" t="str">
        <f t="shared" si="1430"/>
        <v>VA</v>
      </c>
      <c r="F3672" t="str">
        <f t="shared" si="1433"/>
        <v>237090000</v>
      </c>
      <c r="G3672" t="str">
        <f>T("BLDG 1500 2ND FL")</f>
        <v>BLDG 1500 2ND FL</v>
      </c>
      <c r="H3672" t="str">
        <f>T("CODE NMA")</f>
        <v>CODE NMA</v>
      </c>
      <c r="I3672" t="str">
        <f t="shared" si="1431"/>
        <v>PORTSMOUTH</v>
      </c>
      <c r="J3672" t="str">
        <f t="shared" si="1432"/>
        <v>VA</v>
      </c>
      <c r="K3672" t="str">
        <f>T("7573968344")</f>
        <v>7573968344</v>
      </c>
      <c r="L3672" t="str">
        <f>T("7573969354")</f>
        <v>7573969354</v>
      </c>
    </row>
    <row r="3673" spans="1:12" x14ac:dyDescent="0.35">
      <c r="A3673" t="str">
        <f t="shared" si="1427"/>
        <v>FISC NNSY ANNEX</v>
      </c>
      <c r="B3673" t="str">
        <f t="shared" si="1436"/>
        <v>NORFOLK NAVAL SHIPYARD</v>
      </c>
      <c r="C3673" t="str">
        <f t="shared" si="1437"/>
        <v>BLDG 1500 2ND FLOOR</v>
      </c>
      <c r="D3673" t="str">
        <f t="shared" si="1429"/>
        <v>PORTSMOUTH</v>
      </c>
      <c r="E3673" t="str">
        <f t="shared" si="1430"/>
        <v>VA</v>
      </c>
      <c r="F3673" t="str">
        <f t="shared" si="1433"/>
        <v>237090000</v>
      </c>
      <c r="G3673" t="str">
        <f>T("DLA MARITIME NORFOLK")</f>
        <v>DLA MARITIME NORFOLK</v>
      </c>
      <c r="H3673" t="str">
        <f>T("B1500 2ND FLOOR")</f>
        <v>B1500 2ND FLOOR</v>
      </c>
      <c r="I3673" t="str">
        <f t="shared" si="1431"/>
        <v>PORTSMOUTH</v>
      </c>
      <c r="J3673" t="str">
        <f t="shared" si="1432"/>
        <v>VA</v>
      </c>
      <c r="K3673" t="str">
        <f>T("7573968639")</f>
        <v>7573968639</v>
      </c>
      <c r="L3673" t="str">
        <f>T("7573969441")</f>
        <v>7573969441</v>
      </c>
    </row>
    <row r="3674" spans="1:12" x14ac:dyDescent="0.35">
      <c r="A3674" t="str">
        <f t="shared" si="1427"/>
        <v>FISC NNSY ANNEX</v>
      </c>
      <c r="B3674" t="str">
        <f t="shared" si="1436"/>
        <v>NORFOLK NAVAL SHIPYARD</v>
      </c>
      <c r="C3674" t="str">
        <f t="shared" si="1437"/>
        <v>BLDG 1500 2ND FLOOR</v>
      </c>
      <c r="D3674" t="str">
        <f t="shared" si="1429"/>
        <v>PORTSMOUTH</v>
      </c>
      <c r="E3674" t="str">
        <f t="shared" si="1430"/>
        <v>VA</v>
      </c>
      <c r="F3674" t="str">
        <f t="shared" si="1433"/>
        <v>237090000</v>
      </c>
      <c r="G3674" t="str">
        <f>T("DLA-BLDG 1500 2ND FLOOR")</f>
        <v>DLA-BLDG 1500 2ND FLOOR</v>
      </c>
      <c r="H3674" t="str">
        <f>T("")</f>
        <v/>
      </c>
      <c r="I3674" t="str">
        <f t="shared" si="1431"/>
        <v>PORTSMOUTH</v>
      </c>
      <c r="J3674" t="str">
        <f t="shared" si="1432"/>
        <v>VA</v>
      </c>
      <c r="K3674" t="str">
        <f>T("000000000000000000")</f>
        <v>000000000000000000</v>
      </c>
      <c r="L3674" t="str">
        <f>T("7573969443")</f>
        <v>7573969443</v>
      </c>
    </row>
    <row r="3675" spans="1:12" x14ac:dyDescent="0.35">
      <c r="A3675" t="str">
        <f t="shared" si="1427"/>
        <v>FISC NNSY ANNEX</v>
      </c>
      <c r="B3675" t="str">
        <f t="shared" si="1436"/>
        <v>NORFOLK NAVAL SHIPYARD</v>
      </c>
      <c r="C3675" t="str">
        <f t="shared" si="1437"/>
        <v>BLDG 1500 2ND FLOOR</v>
      </c>
      <c r="D3675" t="str">
        <f t="shared" si="1429"/>
        <v>PORTSMOUTH</v>
      </c>
      <c r="E3675" t="str">
        <f t="shared" si="1430"/>
        <v>VA</v>
      </c>
      <c r="F3675" t="str">
        <f t="shared" si="1433"/>
        <v>237090000</v>
      </c>
      <c r="G3675" t="str">
        <f>T("NNSY BLDG 1500 2ND FLOOR")</f>
        <v>NNSY BLDG 1500 2ND FLOOR</v>
      </c>
      <c r="H3675" t="str">
        <f>T("")</f>
        <v/>
      </c>
      <c r="I3675" t="str">
        <f t="shared" si="1431"/>
        <v>PORTSMOUTH</v>
      </c>
      <c r="J3675" t="str">
        <f t="shared" si="1432"/>
        <v>VA</v>
      </c>
      <c r="K3675" t="str">
        <f>T("000000000000000000")</f>
        <v>000000000000000000</v>
      </c>
      <c r="L3675" t="str">
        <f>T("7573969443")</f>
        <v>7573969443</v>
      </c>
    </row>
    <row r="3676" spans="1:12" x14ac:dyDescent="0.35">
      <c r="A3676" t="str">
        <f t="shared" si="1427"/>
        <v>FISC NNSY ANNEX</v>
      </c>
      <c r="B3676" t="str">
        <f t="shared" si="1436"/>
        <v>NORFOLK NAVAL SHIPYARD</v>
      </c>
      <c r="C3676" t="str">
        <f t="shared" si="1437"/>
        <v>BLDG 1500 2ND FLOOR</v>
      </c>
      <c r="D3676" t="str">
        <f t="shared" si="1429"/>
        <v>PORTSMOUTH</v>
      </c>
      <c r="E3676" t="str">
        <f t="shared" si="1430"/>
        <v>VA</v>
      </c>
      <c r="F3676" t="str">
        <f t="shared" si="1433"/>
        <v>237090000</v>
      </c>
      <c r="G3676" t="str">
        <f>T("NORFOLK NAVAL SHIPYARD")</f>
        <v>NORFOLK NAVAL SHIPYARD</v>
      </c>
      <c r="H3676" t="str">
        <f>T("BLDG 1500 2ND FLOOR")</f>
        <v>BLDG 1500 2ND FLOOR</v>
      </c>
      <c r="I3676" t="str">
        <f t="shared" si="1431"/>
        <v>PORTSMOUTH</v>
      </c>
      <c r="J3676" t="str">
        <f t="shared" si="1432"/>
        <v>VA</v>
      </c>
      <c r="K3676" t="str">
        <f>T("7573968412")</f>
        <v>7573968412</v>
      </c>
      <c r="L3676" t="str">
        <f>T("7573969896")</f>
        <v>7573969896</v>
      </c>
    </row>
    <row r="3677" spans="1:12" x14ac:dyDescent="0.35">
      <c r="A3677" t="str">
        <f t="shared" si="1427"/>
        <v>FISC NNSY ANNEX</v>
      </c>
      <c r="B3677" t="str">
        <f t="shared" si="1436"/>
        <v>NORFOLK NAVAL SHIPYARD</v>
      </c>
      <c r="C3677" t="str">
        <f t="shared" si="1437"/>
        <v>BLDG 1500 2ND FLOOR</v>
      </c>
      <c r="D3677" t="str">
        <f t="shared" si="1429"/>
        <v>PORTSMOUTH</v>
      </c>
      <c r="E3677" t="str">
        <f t="shared" si="1430"/>
        <v>VA</v>
      </c>
      <c r="F3677" t="str">
        <f>T("237095000")</f>
        <v>237095000</v>
      </c>
      <c r="G3677" t="str">
        <f>T("NORFOLK NAVAL SHIPYARD")</f>
        <v>NORFOLK NAVAL SHIPYARD</v>
      </c>
      <c r="H3677" t="str">
        <f>T("BLDG 1500 2ND FLOOR")</f>
        <v>BLDG 1500 2ND FLOOR</v>
      </c>
      <c r="I3677" t="str">
        <f t="shared" si="1431"/>
        <v>PORTSMOUTH</v>
      </c>
      <c r="J3677" t="str">
        <f t="shared" si="1432"/>
        <v>VA</v>
      </c>
      <c r="K3677" t="str">
        <f>T("7573968412")</f>
        <v>7573968412</v>
      </c>
      <c r="L3677" t="str">
        <f>T("7573968418")</f>
        <v>7573968418</v>
      </c>
    </row>
    <row r="3678" spans="1:12" x14ac:dyDescent="0.35">
      <c r="A3678" t="str">
        <f t="shared" ref="A3678:A3685" si="1438">T("FLC NORFOLK")</f>
        <v>FLC NORFOLK</v>
      </c>
      <c r="B3678" t="str">
        <f>T("1968 GILBERT ST STE 600")</f>
        <v>1968 GILBERT ST STE 600</v>
      </c>
      <c r="C3678" t="str">
        <f>T("")</f>
        <v/>
      </c>
      <c r="D3678" t="str">
        <f t="shared" ref="D3678:D3685" si="1439">T("NORFOLK")</f>
        <v>NORFOLK</v>
      </c>
      <c r="E3678" t="str">
        <f t="shared" si="1430"/>
        <v>VA</v>
      </c>
      <c r="F3678" t="str">
        <f t="shared" ref="F3678:F3685" si="1440">T("235113331")</f>
        <v>235113331</v>
      </c>
      <c r="G3678" t="str">
        <f>T("1968 GILBERT ST STE 600")</f>
        <v>1968 GILBERT ST STE 600</v>
      </c>
      <c r="H3678" t="str">
        <f t="shared" ref="H3678:H3684" si="1441">T("")</f>
        <v/>
      </c>
      <c r="I3678" t="str">
        <f t="shared" ref="I3678:I3685" si="1442">T("NORFOLK")</f>
        <v>NORFOLK</v>
      </c>
      <c r="J3678" t="str">
        <f t="shared" si="1432"/>
        <v>VA</v>
      </c>
      <c r="K3678" t="str">
        <f>T("")</f>
        <v/>
      </c>
      <c r="L3678" t="str">
        <f>T("7574431332")</f>
        <v>7574431332</v>
      </c>
    </row>
    <row r="3679" spans="1:12" x14ac:dyDescent="0.35">
      <c r="A3679" t="str">
        <f t="shared" si="1438"/>
        <v>FLC NORFOLK</v>
      </c>
      <c r="B3679" t="str">
        <f>T("1968 GILBERT ST STE 600")</f>
        <v>1968 GILBERT ST STE 600</v>
      </c>
      <c r="C3679" t="str">
        <f>T("")</f>
        <v/>
      </c>
      <c r="D3679" t="str">
        <f t="shared" si="1439"/>
        <v>NORFOLK</v>
      </c>
      <c r="E3679" t="str">
        <f t="shared" si="1430"/>
        <v>VA</v>
      </c>
      <c r="F3679" t="str">
        <f t="shared" si="1440"/>
        <v>235113331</v>
      </c>
      <c r="G3679" t="str">
        <f>T("1968 GILBERT ST STE 600")</f>
        <v>1968 GILBERT ST STE 600</v>
      </c>
      <c r="H3679" t="str">
        <f t="shared" si="1441"/>
        <v/>
      </c>
      <c r="I3679" t="str">
        <f t="shared" si="1442"/>
        <v>NORFOLK</v>
      </c>
      <c r="J3679" t="str">
        <f t="shared" si="1432"/>
        <v>VA</v>
      </c>
      <c r="K3679" t="str">
        <f>T("000000000000000000")</f>
        <v>000000000000000000</v>
      </c>
      <c r="L3679" t="str">
        <f>T("7574431930")</f>
        <v>7574431930</v>
      </c>
    </row>
    <row r="3680" spans="1:12" x14ac:dyDescent="0.35">
      <c r="A3680" t="str">
        <f t="shared" si="1438"/>
        <v>FLC NORFOLK</v>
      </c>
      <c r="B3680" t="str">
        <f>T("1968 GILBERT ST STE 600")</f>
        <v>1968 GILBERT ST STE 600</v>
      </c>
      <c r="C3680" t="str">
        <f>T("")</f>
        <v/>
      </c>
      <c r="D3680" t="str">
        <f t="shared" si="1439"/>
        <v>NORFOLK</v>
      </c>
      <c r="E3680" t="str">
        <f t="shared" si="1430"/>
        <v>VA</v>
      </c>
      <c r="F3680" t="str">
        <f t="shared" si="1440"/>
        <v>235113331</v>
      </c>
      <c r="G3680" t="str">
        <f>T("1968 GILBERT STREET STE 600")</f>
        <v>1968 GILBERT STREET STE 600</v>
      </c>
      <c r="H3680" t="str">
        <f t="shared" si="1441"/>
        <v/>
      </c>
      <c r="I3680" t="str">
        <f t="shared" si="1442"/>
        <v>NORFOLK</v>
      </c>
      <c r="J3680" t="str">
        <f t="shared" si="1432"/>
        <v>VA</v>
      </c>
      <c r="K3680" t="str">
        <f>T("000000000000000000")</f>
        <v>000000000000000000</v>
      </c>
      <c r="L3680" t="str">
        <f>T("7574431357")</f>
        <v>7574431357</v>
      </c>
    </row>
    <row r="3681" spans="1:12" x14ac:dyDescent="0.35">
      <c r="A3681" t="str">
        <f t="shared" si="1438"/>
        <v>FLC NORFOLK</v>
      </c>
      <c r="B3681" t="str">
        <f>T("1968 GILBERT ST STE 600")</f>
        <v>1968 GILBERT ST STE 600</v>
      </c>
      <c r="C3681" t="str">
        <f>T("")</f>
        <v/>
      </c>
      <c r="D3681" t="str">
        <f t="shared" si="1439"/>
        <v>NORFOLK</v>
      </c>
      <c r="E3681" t="str">
        <f t="shared" si="1430"/>
        <v>VA</v>
      </c>
      <c r="F3681" t="str">
        <f t="shared" si="1440"/>
        <v>235113331</v>
      </c>
      <c r="G3681" t="str">
        <f>T("1968 GILBERT STREET STE 600")</f>
        <v>1968 GILBERT STREET STE 600</v>
      </c>
      <c r="H3681" t="str">
        <f t="shared" si="1441"/>
        <v/>
      </c>
      <c r="I3681" t="str">
        <f t="shared" si="1442"/>
        <v>NORFOLK</v>
      </c>
      <c r="J3681" t="str">
        <f t="shared" si="1432"/>
        <v>VA</v>
      </c>
      <c r="K3681" t="str">
        <f>T("000000000000000000")</f>
        <v>000000000000000000</v>
      </c>
      <c r="L3681" t="str">
        <f>T("7574431415")</f>
        <v>7574431415</v>
      </c>
    </row>
    <row r="3682" spans="1:12" x14ac:dyDescent="0.35">
      <c r="A3682" t="str">
        <f t="shared" si="1438"/>
        <v>FLC NORFOLK</v>
      </c>
      <c r="B3682" t="str">
        <f>T("1968 GILBERT STREET")</f>
        <v>1968 GILBERT STREET</v>
      </c>
      <c r="C3682" t="str">
        <f>T("STE 600")</f>
        <v>STE 600</v>
      </c>
      <c r="D3682" t="str">
        <f t="shared" si="1439"/>
        <v>NORFOLK</v>
      </c>
      <c r="E3682" t="str">
        <f t="shared" si="1430"/>
        <v>VA</v>
      </c>
      <c r="F3682" t="str">
        <f t="shared" si="1440"/>
        <v>235113331</v>
      </c>
      <c r="G3682" t="str">
        <f>T("1968 GILBERT ST")</f>
        <v>1968 GILBERT ST</v>
      </c>
      <c r="H3682" t="str">
        <f t="shared" si="1441"/>
        <v/>
      </c>
      <c r="I3682" t="str">
        <f t="shared" si="1442"/>
        <v>NORFOLK</v>
      </c>
      <c r="J3682" t="str">
        <f t="shared" si="1432"/>
        <v>VA</v>
      </c>
      <c r="K3682" t="str">
        <f>T("7574431504")</f>
        <v>7574431504</v>
      </c>
      <c r="L3682" t="str">
        <f>T("7574431704")</f>
        <v>7574431704</v>
      </c>
    </row>
    <row r="3683" spans="1:12" x14ac:dyDescent="0.35">
      <c r="A3683" t="str">
        <f t="shared" si="1438"/>
        <v>FLC NORFOLK</v>
      </c>
      <c r="B3683" t="str">
        <f>T("1968 GILBERT STREET")</f>
        <v>1968 GILBERT STREET</v>
      </c>
      <c r="C3683" t="str">
        <f>T("STE 600")</f>
        <v>STE 600</v>
      </c>
      <c r="D3683" t="str">
        <f t="shared" si="1439"/>
        <v>NORFOLK</v>
      </c>
      <c r="E3683" t="str">
        <f t="shared" si="1430"/>
        <v>VA</v>
      </c>
      <c r="F3683" t="str">
        <f t="shared" si="1440"/>
        <v>235113331</v>
      </c>
      <c r="G3683" t="str">
        <f>T("1968 GILBERT STREET")</f>
        <v>1968 GILBERT STREET</v>
      </c>
      <c r="H3683" t="str">
        <f t="shared" si="1441"/>
        <v/>
      </c>
      <c r="I3683" t="str">
        <f t="shared" si="1442"/>
        <v>NORFOLK</v>
      </c>
      <c r="J3683" t="str">
        <f t="shared" si="1432"/>
        <v>VA</v>
      </c>
      <c r="K3683" t="str">
        <f>T("000000000000000000")</f>
        <v>000000000000000000</v>
      </c>
      <c r="L3683" t="str">
        <f>T("7574431415")</f>
        <v>7574431415</v>
      </c>
    </row>
    <row r="3684" spans="1:12" x14ac:dyDescent="0.35">
      <c r="A3684" t="str">
        <f t="shared" si="1438"/>
        <v>FLC NORFOLK</v>
      </c>
      <c r="B3684" t="str">
        <f>T("1968 GILBERT STREET")</f>
        <v>1968 GILBERT STREET</v>
      </c>
      <c r="C3684" t="str">
        <f>T("STE 600")</f>
        <v>STE 600</v>
      </c>
      <c r="D3684" t="str">
        <f t="shared" si="1439"/>
        <v>NORFOLK</v>
      </c>
      <c r="E3684" t="str">
        <f t="shared" si="1430"/>
        <v>VA</v>
      </c>
      <c r="F3684" t="str">
        <f t="shared" si="1440"/>
        <v>235113331</v>
      </c>
      <c r="G3684" t="str">
        <f>T("1968 GILBERT STREET")</f>
        <v>1968 GILBERT STREET</v>
      </c>
      <c r="H3684" t="str">
        <f t="shared" si="1441"/>
        <v/>
      </c>
      <c r="I3684" t="str">
        <f t="shared" si="1442"/>
        <v>NORFOLK</v>
      </c>
      <c r="J3684" t="str">
        <f t="shared" si="1432"/>
        <v>VA</v>
      </c>
      <c r="K3684" t="str">
        <f>T("7574431504")</f>
        <v>7574431504</v>
      </c>
      <c r="L3684" t="str">
        <f>T("7574430059")</f>
        <v>7574430059</v>
      </c>
    </row>
    <row r="3685" spans="1:12" x14ac:dyDescent="0.35">
      <c r="A3685" t="str">
        <f t="shared" si="1438"/>
        <v>FLC NORFOLK</v>
      </c>
      <c r="B3685" t="str">
        <f>T("1968 GILBERT STREET")</f>
        <v>1968 GILBERT STREET</v>
      </c>
      <c r="C3685" t="str">
        <f>T("STE 600")</f>
        <v>STE 600</v>
      </c>
      <c r="D3685" t="str">
        <f t="shared" si="1439"/>
        <v>NORFOLK</v>
      </c>
      <c r="E3685" t="str">
        <f t="shared" si="1430"/>
        <v>VA</v>
      </c>
      <c r="F3685" t="str">
        <f t="shared" si="1440"/>
        <v>235113331</v>
      </c>
      <c r="G3685" t="str">
        <f>T("1968 GILBERT STREET")</f>
        <v>1968 GILBERT STREET</v>
      </c>
      <c r="H3685" t="str">
        <f>T("STE 600")</f>
        <v>STE 600</v>
      </c>
      <c r="I3685" t="str">
        <f t="shared" si="1442"/>
        <v>NORFOLK</v>
      </c>
      <c r="J3685" t="str">
        <f t="shared" si="1432"/>
        <v>VA</v>
      </c>
      <c r="K3685" t="str">
        <f>T("")</f>
        <v/>
      </c>
      <c r="L3685" t="str">
        <f>T("7574431430")</f>
        <v>7574431430</v>
      </c>
    </row>
    <row r="3686" spans="1:12" x14ac:dyDescent="0.35">
      <c r="A3686" t="str">
        <f>T("FLC PH ERP-09-C/400")</f>
        <v>FLC PH ERP-09-C/400</v>
      </c>
      <c r="B3686" t="str">
        <f>T("1942 GAFFNEY STREET")</f>
        <v>1942 GAFFNEY STREET</v>
      </c>
      <c r="C3686" t="str">
        <f>T("SUITE 100")</f>
        <v>SUITE 100</v>
      </c>
      <c r="D3686" t="str">
        <f>T("PEARL HARBOR")</f>
        <v>PEARL HARBOR</v>
      </c>
      <c r="E3686" t="str">
        <f>T("HI")</f>
        <v>HI</v>
      </c>
      <c r="F3686" t="str">
        <f>T("968604549")</f>
        <v>968604549</v>
      </c>
      <c r="G3686" t="str">
        <f>T("1942 GAFFNEY STREET")</f>
        <v>1942 GAFFNEY STREET</v>
      </c>
      <c r="H3686" t="str">
        <f>T("SUITE 100")</f>
        <v>SUITE 100</v>
      </c>
      <c r="I3686" t="str">
        <f>T("PEARL HARBOR")</f>
        <v>PEARL HARBOR</v>
      </c>
      <c r="J3686" t="str">
        <f>T("HI")</f>
        <v>HI</v>
      </c>
      <c r="K3686" t="str">
        <f>T("")</f>
        <v/>
      </c>
      <c r="L3686" t="str">
        <f>T("8084737634")</f>
        <v>8084737634</v>
      </c>
    </row>
    <row r="3687" spans="1:12" x14ac:dyDescent="0.35">
      <c r="A3687" t="str">
        <f>T("FLC PEARL")</f>
        <v>FLC PEARL</v>
      </c>
      <c r="B3687" t="str">
        <f>T("1942 GAFFNEY ST STE 100")</f>
        <v>1942 GAFFNEY ST STE 100</v>
      </c>
      <c r="C3687" t="str">
        <f t="shared" ref="C3687:C3694" si="1443">T("")</f>
        <v/>
      </c>
      <c r="D3687" t="str">
        <f>T("PEARL HARBOR")</f>
        <v>PEARL HARBOR</v>
      </c>
      <c r="E3687" t="str">
        <f>T("HI")</f>
        <v>HI</v>
      </c>
      <c r="F3687" t="str">
        <f>T("968604549")</f>
        <v>968604549</v>
      </c>
      <c r="G3687" t="str">
        <f>T("1942 GAFFNEY ST STE 100")</f>
        <v>1942 GAFFNEY ST STE 100</v>
      </c>
      <c r="H3687" t="str">
        <f>T("")</f>
        <v/>
      </c>
      <c r="I3687" t="str">
        <f>T("PEARL HARBOR")</f>
        <v>PEARL HARBOR</v>
      </c>
      <c r="J3687" t="str">
        <f>T("HI")</f>
        <v>HI</v>
      </c>
      <c r="K3687" t="str">
        <f>T("")</f>
        <v/>
      </c>
      <c r="L3687" t="str">
        <f>T("8084737941")</f>
        <v>8084737941</v>
      </c>
    </row>
    <row r="3688" spans="1:12" x14ac:dyDescent="0.35">
      <c r="A3688" t="str">
        <f>T("FLC PEARL")</f>
        <v>FLC PEARL</v>
      </c>
      <c r="B3688" t="str">
        <f>T("1942 GAFFNEY ST STE 100")</f>
        <v>1942 GAFFNEY ST STE 100</v>
      </c>
      <c r="C3688" t="str">
        <f t="shared" si="1443"/>
        <v/>
      </c>
      <c r="D3688" t="str">
        <f>T("PEARL HARBOR")</f>
        <v>PEARL HARBOR</v>
      </c>
      <c r="E3688" t="str">
        <f>T("HI")</f>
        <v>HI</v>
      </c>
      <c r="F3688" t="str">
        <f>T("968604549")</f>
        <v>968604549</v>
      </c>
      <c r="G3688" t="str">
        <f>T("FISC CODE 902")</f>
        <v>FISC CODE 902</v>
      </c>
      <c r="H3688" t="str">
        <f>T("1942 GAFFNEY ST STE 100")</f>
        <v>1942 GAFFNEY ST STE 100</v>
      </c>
      <c r="I3688" t="str">
        <f>T("PEARL HARBOR")</f>
        <v>PEARL HARBOR</v>
      </c>
      <c r="J3688" t="str">
        <f>T("HI")</f>
        <v>HI</v>
      </c>
      <c r="K3688" t="str">
        <f>T("000000000000000000")</f>
        <v>000000000000000000</v>
      </c>
      <c r="L3688" t="str">
        <f>T("8084732919")</f>
        <v>8084732919</v>
      </c>
    </row>
    <row r="3689" spans="1:12" x14ac:dyDescent="0.35">
      <c r="A3689" t="str">
        <f t="shared" ref="A3689:A3707" si="1444">T("FLC PUGET SOUND")</f>
        <v>FLC PUGET SOUND</v>
      </c>
      <c r="B3689" t="str">
        <f>T("467 W ST")</f>
        <v>467 W ST</v>
      </c>
      <c r="C3689" t="str">
        <f t="shared" si="1443"/>
        <v/>
      </c>
      <c r="D3689" t="str">
        <f>T("BREMERTON")</f>
        <v>BREMERTON</v>
      </c>
      <c r="E3689" t="str">
        <f t="shared" ref="E3689:E3707" si="1445">T("WA")</f>
        <v>WA</v>
      </c>
      <c r="F3689" t="str">
        <f>T("983146008")</f>
        <v>983146008</v>
      </c>
      <c r="G3689" t="str">
        <f>T("467 W ST")</f>
        <v>467 W ST</v>
      </c>
      <c r="H3689" t="str">
        <f t="shared" ref="H3689:H3694" si="1446">T("")</f>
        <v/>
      </c>
      <c r="I3689" t="str">
        <f>T("BREMERTON")</f>
        <v>BREMERTON</v>
      </c>
      <c r="J3689" t="str">
        <f t="shared" ref="J3689:J3707" si="1447">T("WA")</f>
        <v>WA</v>
      </c>
      <c r="K3689" t="str">
        <f>T("")</f>
        <v/>
      </c>
      <c r="L3689" t="str">
        <f>T("3604762801")</f>
        <v>3604762801</v>
      </c>
    </row>
    <row r="3690" spans="1:12" x14ac:dyDescent="0.35">
      <c r="A3690" t="str">
        <f t="shared" si="1444"/>
        <v>FLC PUGET SOUND</v>
      </c>
      <c r="B3690" t="str">
        <f>T("467 W ST")</f>
        <v>467 W ST</v>
      </c>
      <c r="C3690" t="str">
        <f t="shared" si="1443"/>
        <v/>
      </c>
      <c r="D3690" t="str">
        <f>T("BREMERTON")</f>
        <v>BREMERTON</v>
      </c>
      <c r="E3690" t="str">
        <f t="shared" si="1445"/>
        <v>WA</v>
      </c>
      <c r="F3690" t="str">
        <f>T("983146008")</f>
        <v>983146008</v>
      </c>
      <c r="G3690" t="str">
        <f>T("467 W ST")</f>
        <v>467 W ST</v>
      </c>
      <c r="H3690" t="str">
        <f t="shared" si="1446"/>
        <v/>
      </c>
      <c r="I3690" t="str">
        <f>T("BREMERTON")</f>
        <v>BREMERTON</v>
      </c>
      <c r="J3690" t="str">
        <f t="shared" si="1447"/>
        <v>WA</v>
      </c>
      <c r="K3690" t="str">
        <f>T("3604762931")</f>
        <v>3604762931</v>
      </c>
      <c r="L3690" t="str">
        <f>T("3604767626")</f>
        <v>3604767626</v>
      </c>
    </row>
    <row r="3691" spans="1:12" x14ac:dyDescent="0.35">
      <c r="A3691" t="str">
        <f t="shared" si="1444"/>
        <v>FLC PUGET SOUND</v>
      </c>
      <c r="B3691" t="str">
        <f>T("6403 SKIPJACK CIRCLE")</f>
        <v>6403 SKIPJACK CIRCLE</v>
      </c>
      <c r="C3691" t="str">
        <f t="shared" si="1443"/>
        <v/>
      </c>
      <c r="D3691" t="str">
        <f>T("SILVERDALE")</f>
        <v>SILVERDALE</v>
      </c>
      <c r="E3691" t="str">
        <f t="shared" si="1445"/>
        <v>WA</v>
      </c>
      <c r="F3691" t="str">
        <f>T("983156400")</f>
        <v>983156400</v>
      </c>
      <c r="G3691" t="str">
        <f>T("467 W ST")</f>
        <v>467 W ST</v>
      </c>
      <c r="H3691" t="str">
        <f t="shared" si="1446"/>
        <v/>
      </c>
      <c r="I3691" t="str">
        <f>T("BREMERTON")</f>
        <v>BREMERTON</v>
      </c>
      <c r="J3691" t="str">
        <f t="shared" si="1447"/>
        <v>WA</v>
      </c>
      <c r="K3691" t="str">
        <f t="shared" ref="K3691:K3699" si="1448">T("000000000000000000")</f>
        <v>000000000000000000</v>
      </c>
      <c r="L3691" t="str">
        <f>T("3603151582")</f>
        <v>3603151582</v>
      </c>
    </row>
    <row r="3692" spans="1:12" x14ac:dyDescent="0.35">
      <c r="A3692" t="str">
        <f t="shared" si="1444"/>
        <v>FLC PUGET SOUND</v>
      </c>
      <c r="B3692" t="str">
        <f>T("6403 SKIPJACK CIRCLE")</f>
        <v>6403 SKIPJACK CIRCLE</v>
      </c>
      <c r="C3692" t="str">
        <f t="shared" si="1443"/>
        <v/>
      </c>
      <c r="D3692" t="str">
        <f>T("SILVERDALE")</f>
        <v>SILVERDALE</v>
      </c>
      <c r="E3692" t="str">
        <f t="shared" si="1445"/>
        <v>WA</v>
      </c>
      <c r="F3692" t="str">
        <f>T("983156400")</f>
        <v>983156400</v>
      </c>
      <c r="G3692" t="str">
        <f>T("467 W ST")</f>
        <v>467 W ST</v>
      </c>
      <c r="H3692" t="str">
        <f t="shared" si="1446"/>
        <v/>
      </c>
      <c r="I3692" t="str">
        <f>T("BREMERTON")</f>
        <v>BREMERTON</v>
      </c>
      <c r="J3692" t="str">
        <f t="shared" si="1447"/>
        <v>WA</v>
      </c>
      <c r="K3692" t="str">
        <f t="shared" si="1448"/>
        <v>000000000000000000</v>
      </c>
      <c r="L3692" t="str">
        <f>T("3603968912")</f>
        <v>3603968912</v>
      </c>
    </row>
    <row r="3693" spans="1:12" x14ac:dyDescent="0.35">
      <c r="A3693" t="str">
        <f t="shared" si="1444"/>
        <v>FLC PUGET SOUND</v>
      </c>
      <c r="B3693" t="str">
        <f>T("6403 SKIPJACK CIRCLE")</f>
        <v>6403 SKIPJACK CIRCLE</v>
      </c>
      <c r="C3693" t="str">
        <f t="shared" si="1443"/>
        <v/>
      </c>
      <c r="D3693" t="str">
        <f>T("SILVERDALE")</f>
        <v>SILVERDALE</v>
      </c>
      <c r="E3693" t="str">
        <f t="shared" si="1445"/>
        <v>WA</v>
      </c>
      <c r="F3693" t="str">
        <f>T("983156400")</f>
        <v>983156400</v>
      </c>
      <c r="G3693" t="str">
        <f>T("467 W ST")</f>
        <v>467 W ST</v>
      </c>
      <c r="H3693" t="str">
        <f t="shared" si="1446"/>
        <v/>
      </c>
      <c r="I3693" t="str">
        <f>T("BREMERTON")</f>
        <v>BREMERTON</v>
      </c>
      <c r="J3693" t="str">
        <f t="shared" si="1447"/>
        <v>WA</v>
      </c>
      <c r="K3693" t="str">
        <f t="shared" si="1448"/>
        <v>000000000000000000</v>
      </c>
      <c r="L3693" t="str">
        <f>T("3604760298")</f>
        <v>3604760298</v>
      </c>
    </row>
    <row r="3694" spans="1:12" x14ac:dyDescent="0.35">
      <c r="A3694" t="str">
        <f t="shared" si="1444"/>
        <v>FLC PUGET SOUND</v>
      </c>
      <c r="B3694" t="str">
        <f>T("6403 SKIPJACK CIRCLE")</f>
        <v>6403 SKIPJACK CIRCLE</v>
      </c>
      <c r="C3694" t="str">
        <f t="shared" si="1443"/>
        <v/>
      </c>
      <c r="D3694" t="str">
        <f>T("SILVERDALE")</f>
        <v>SILVERDALE</v>
      </c>
      <c r="E3694" t="str">
        <f t="shared" si="1445"/>
        <v>WA</v>
      </c>
      <c r="F3694" t="str">
        <f>T("983156400")</f>
        <v>983156400</v>
      </c>
      <c r="G3694" t="str">
        <f>T("6403 SKIPJACK CIRCLE")</f>
        <v>6403 SKIPJACK CIRCLE</v>
      </c>
      <c r="H3694" t="str">
        <f t="shared" si="1446"/>
        <v/>
      </c>
      <c r="I3694" t="str">
        <f>T("SILVERDALE")</f>
        <v>SILVERDALE</v>
      </c>
      <c r="J3694" t="str">
        <f t="shared" si="1447"/>
        <v>WA</v>
      </c>
      <c r="K3694" t="str">
        <f t="shared" si="1448"/>
        <v>000000000000000000</v>
      </c>
      <c r="L3694" t="str">
        <f>T("3603968533")</f>
        <v>3603968533</v>
      </c>
    </row>
    <row r="3695" spans="1:12" x14ac:dyDescent="0.35">
      <c r="A3695" t="str">
        <f t="shared" si="1444"/>
        <v>FLC PUGET SOUND</v>
      </c>
      <c r="B3695" t="str">
        <f>T("DETACHMENT WHIDBEY ISLAND")</f>
        <v>DETACHMENT WHIDBEY ISLAND</v>
      </c>
      <c r="C3695" t="str">
        <f>T("3480 N LANGLEY BLVD")</f>
        <v>3480 N LANGLEY BLVD</v>
      </c>
      <c r="D3695" t="str">
        <f>T("OAK HARBOR")</f>
        <v>OAK HARBOR</v>
      </c>
      <c r="E3695" t="str">
        <f t="shared" si="1445"/>
        <v>WA</v>
      </c>
      <c r="F3695" t="str">
        <f>T("982784934")</f>
        <v>982784934</v>
      </c>
      <c r="G3695" t="str">
        <f>T("DETACHMENT WHIDBEY ISLAND")</f>
        <v>DETACHMENT WHIDBEY ISLAND</v>
      </c>
      <c r="H3695" t="str">
        <f>T("3480 N LANGLEY BLVD")</f>
        <v>3480 N LANGLEY BLVD</v>
      </c>
      <c r="I3695" t="str">
        <f>T("OAK HARBOR")</f>
        <v>OAK HARBOR</v>
      </c>
      <c r="J3695" t="str">
        <f t="shared" si="1447"/>
        <v>WA</v>
      </c>
      <c r="K3695" t="str">
        <f t="shared" si="1448"/>
        <v>000000000000000000</v>
      </c>
      <c r="L3695" t="str">
        <f>T("3602571392")</f>
        <v>3602571392</v>
      </c>
    </row>
    <row r="3696" spans="1:12" x14ac:dyDescent="0.35">
      <c r="A3696" t="str">
        <f t="shared" si="1444"/>
        <v>FLC PUGET SOUND</v>
      </c>
      <c r="B3696" t="str">
        <f>T("DETACHMENT WHIDBEY ISLAND")</f>
        <v>DETACHMENT WHIDBEY ISLAND</v>
      </c>
      <c r="C3696" t="str">
        <f>T("3480 N LANGLEY BLVD")</f>
        <v>3480 N LANGLEY BLVD</v>
      </c>
      <c r="D3696" t="str">
        <f>T("OAK HARBOR")</f>
        <v>OAK HARBOR</v>
      </c>
      <c r="E3696" t="str">
        <f t="shared" si="1445"/>
        <v>WA</v>
      </c>
      <c r="F3696" t="str">
        <f>T("982784934")</f>
        <v>982784934</v>
      </c>
      <c r="G3696" t="str">
        <f>T("FLC PUGET SOUND")</f>
        <v>FLC PUGET SOUND</v>
      </c>
      <c r="H3696" t="str">
        <f>T("467 W ST")</f>
        <v>467 W ST</v>
      </c>
      <c r="I3696" t="str">
        <f>T("BREMERTON")</f>
        <v>BREMERTON</v>
      </c>
      <c r="J3696" t="str">
        <f t="shared" si="1447"/>
        <v>WA</v>
      </c>
      <c r="K3696" t="str">
        <f t="shared" si="1448"/>
        <v>000000000000000000</v>
      </c>
      <c r="L3696" t="str">
        <f>T("3602571395")</f>
        <v>3602571395</v>
      </c>
    </row>
    <row r="3697" spans="1:12" x14ac:dyDescent="0.35">
      <c r="A3697" t="str">
        <f t="shared" si="1444"/>
        <v>FLC PUGET SOUND</v>
      </c>
      <c r="B3697" t="str">
        <f>T("FLC PUGET SOUND DET KEYPORT C501")</f>
        <v>FLC PUGET SOUND DET KEYPORT C501</v>
      </c>
      <c r="C3697" t="str">
        <f>T("610 DOWELL ST BLDG 893")</f>
        <v>610 DOWELL ST BLDG 893</v>
      </c>
      <c r="D3697" t="str">
        <f>T("KEYPORT")</f>
        <v>KEYPORT</v>
      </c>
      <c r="E3697" t="str">
        <f t="shared" si="1445"/>
        <v>WA</v>
      </c>
      <c r="F3697" t="str">
        <f>T("983457600")</f>
        <v>983457600</v>
      </c>
      <c r="G3697" t="str">
        <f>T("610 DOWELL ST")</f>
        <v>610 DOWELL ST</v>
      </c>
      <c r="H3697" t="str">
        <f>T("")</f>
        <v/>
      </c>
      <c r="I3697" t="str">
        <f>T("KEYPORT")</f>
        <v>KEYPORT</v>
      </c>
      <c r="J3697" t="str">
        <f t="shared" si="1447"/>
        <v>WA</v>
      </c>
      <c r="K3697" t="str">
        <f t="shared" si="1448"/>
        <v>000000000000000000</v>
      </c>
      <c r="L3697" t="str">
        <f>T("3603152242")</f>
        <v>3603152242</v>
      </c>
    </row>
    <row r="3698" spans="1:12" x14ac:dyDescent="0.35">
      <c r="A3698" t="str">
        <f t="shared" si="1444"/>
        <v>FLC PUGET SOUND</v>
      </c>
      <c r="B3698" t="str">
        <f>T("FLC PUGET SOUND DET KEYPORT C501")</f>
        <v>FLC PUGET SOUND DET KEYPORT C501</v>
      </c>
      <c r="C3698" t="str">
        <f>T("610 DOWELL ST BLDG 893")</f>
        <v>610 DOWELL ST BLDG 893</v>
      </c>
      <c r="D3698" t="str">
        <f>T("KEYPORT")</f>
        <v>KEYPORT</v>
      </c>
      <c r="E3698" t="str">
        <f t="shared" si="1445"/>
        <v>WA</v>
      </c>
      <c r="F3698" t="str">
        <f>T("983457600")</f>
        <v>983457600</v>
      </c>
      <c r="G3698" t="str">
        <f>T("FLC PUGET SOUND DET KEYPORT C501")</f>
        <v>FLC PUGET SOUND DET KEYPORT C501</v>
      </c>
      <c r="H3698" t="str">
        <f>T("610 DOWELL ST")</f>
        <v>610 DOWELL ST</v>
      </c>
      <c r="I3698" t="str">
        <f>T("KEYPORT")</f>
        <v>KEYPORT</v>
      </c>
      <c r="J3698" t="str">
        <f t="shared" si="1447"/>
        <v>WA</v>
      </c>
      <c r="K3698" t="str">
        <f t="shared" si="1448"/>
        <v>000000000000000000</v>
      </c>
      <c r="L3698" t="str">
        <f>T("3603150309")</f>
        <v>3603150309</v>
      </c>
    </row>
    <row r="3699" spans="1:12" x14ac:dyDescent="0.35">
      <c r="A3699" t="str">
        <f t="shared" si="1444"/>
        <v>FLC PUGET SOUND</v>
      </c>
      <c r="B3699" t="str">
        <f>T("FLC PUGET SOUND DET KEYPORT C501")</f>
        <v>FLC PUGET SOUND DET KEYPORT C501</v>
      </c>
      <c r="C3699" t="str">
        <f>T("610 DOWELL ST BLDG 893")</f>
        <v>610 DOWELL ST BLDG 893</v>
      </c>
      <c r="D3699" t="str">
        <f>T("KEYPORT")</f>
        <v>KEYPORT</v>
      </c>
      <c r="E3699" t="str">
        <f t="shared" si="1445"/>
        <v>WA</v>
      </c>
      <c r="F3699" t="str">
        <f>T("983457600")</f>
        <v>983457600</v>
      </c>
      <c r="G3699" t="str">
        <f>T("FLC PUGET SOUND DET KEYPORT C501")</f>
        <v>FLC PUGET SOUND DET KEYPORT C501</v>
      </c>
      <c r="H3699" t="str">
        <f>T("610 DOWELL ST")</f>
        <v>610 DOWELL ST</v>
      </c>
      <c r="I3699" t="str">
        <f>T("KEYPORT")</f>
        <v>KEYPORT</v>
      </c>
      <c r="J3699" t="str">
        <f t="shared" si="1447"/>
        <v>WA</v>
      </c>
      <c r="K3699" t="str">
        <f t="shared" si="1448"/>
        <v>000000000000000000</v>
      </c>
      <c r="L3699" t="str">
        <f>T("3603152427")</f>
        <v>3603152427</v>
      </c>
    </row>
    <row r="3700" spans="1:12" x14ac:dyDescent="0.35">
      <c r="A3700" t="str">
        <f t="shared" si="1444"/>
        <v>FLC PUGET SOUND</v>
      </c>
      <c r="B3700" t="str">
        <f>T("FLC PUGET SOUND DET KEYPORT C501")</f>
        <v>FLC PUGET SOUND DET KEYPORT C501</v>
      </c>
      <c r="C3700" t="str">
        <f>T("610 DOWELL ST BLDG 893")</f>
        <v>610 DOWELL ST BLDG 893</v>
      </c>
      <c r="D3700" t="str">
        <f>T("KEYPORT")</f>
        <v>KEYPORT</v>
      </c>
      <c r="E3700" t="str">
        <f t="shared" si="1445"/>
        <v>WA</v>
      </c>
      <c r="F3700" t="str">
        <f>T("983457600")</f>
        <v>983457600</v>
      </c>
      <c r="G3700" t="str">
        <f>T("FLC PUGET SOUND DET KEYPORT C501")</f>
        <v>FLC PUGET SOUND DET KEYPORT C501</v>
      </c>
      <c r="H3700" t="str">
        <f>T("610 DOWELL ST BLDG 893")</f>
        <v>610 DOWELL ST BLDG 893</v>
      </c>
      <c r="I3700" t="str">
        <f>T("KEYPORT")</f>
        <v>KEYPORT</v>
      </c>
      <c r="J3700" t="str">
        <f t="shared" si="1447"/>
        <v>WA</v>
      </c>
      <c r="K3700" t="str">
        <f>T("")</f>
        <v/>
      </c>
      <c r="L3700" t="str">
        <f>T("3603157869")</f>
        <v>3603157869</v>
      </c>
    </row>
    <row r="3701" spans="1:12" x14ac:dyDescent="0.35">
      <c r="A3701" t="str">
        <f t="shared" si="1444"/>
        <v>FLC PUGET SOUND</v>
      </c>
      <c r="B3701" t="str">
        <f>T("NAVSUP FLC PUGET SOUND")</f>
        <v>NAVSUP FLC PUGET SOUND</v>
      </c>
      <c r="C3701" t="str">
        <f>T("467 W ST")</f>
        <v>467 W ST</v>
      </c>
      <c r="D3701" t="str">
        <f>T("BREMERTON")</f>
        <v>BREMERTON</v>
      </c>
      <c r="E3701" t="str">
        <f t="shared" si="1445"/>
        <v>WA</v>
      </c>
      <c r="F3701" t="str">
        <f>T("983145100")</f>
        <v>983145100</v>
      </c>
      <c r="G3701" t="str">
        <f>T("467 W ST")</f>
        <v>467 W ST</v>
      </c>
      <c r="H3701" t="str">
        <f>T("")</f>
        <v/>
      </c>
      <c r="I3701" t="str">
        <f>T("BREMERTON")</f>
        <v>BREMERTON</v>
      </c>
      <c r="J3701" t="str">
        <f t="shared" si="1447"/>
        <v>WA</v>
      </c>
      <c r="K3701" t="str">
        <f>T("000000000000000000")</f>
        <v>000000000000000000</v>
      </c>
      <c r="L3701" t="str">
        <f>T("3604765034")</f>
        <v>3604765034</v>
      </c>
    </row>
    <row r="3702" spans="1:12" x14ac:dyDescent="0.35">
      <c r="A3702" t="str">
        <f t="shared" si="1444"/>
        <v>FLC PUGET SOUND</v>
      </c>
      <c r="B3702" t="str">
        <f>T("NAVSUP FLC PUGET SOUND")</f>
        <v>NAVSUP FLC PUGET SOUND</v>
      </c>
      <c r="C3702" t="str">
        <f>T("467 W ST")</f>
        <v>467 W ST</v>
      </c>
      <c r="D3702" t="str">
        <f>T("BREMERTON")</f>
        <v>BREMERTON</v>
      </c>
      <c r="E3702" t="str">
        <f t="shared" si="1445"/>
        <v>WA</v>
      </c>
      <c r="F3702" t="str">
        <f>T("983145100")</f>
        <v>983145100</v>
      </c>
      <c r="G3702" t="str">
        <f>T("FLC PUGET SOUND BREMERTON")</f>
        <v>FLC PUGET SOUND BREMERTON</v>
      </c>
      <c r="H3702" t="str">
        <f>T("467 W ST")</f>
        <v>467 W ST</v>
      </c>
      <c r="I3702" t="str">
        <f>T("BREMERTON")</f>
        <v>BREMERTON</v>
      </c>
      <c r="J3702" t="str">
        <f t="shared" si="1447"/>
        <v>WA</v>
      </c>
      <c r="K3702" t="str">
        <f>T("000000000000000000")</f>
        <v>000000000000000000</v>
      </c>
      <c r="L3702" t="str">
        <f>T("3604767226")</f>
        <v>3604767226</v>
      </c>
    </row>
    <row r="3703" spans="1:12" x14ac:dyDescent="0.35">
      <c r="A3703" t="str">
        <f t="shared" si="1444"/>
        <v>FLC PUGET SOUND</v>
      </c>
      <c r="B3703" t="str">
        <f>T("NAVSUP FLC PUGET SOUND")</f>
        <v>NAVSUP FLC PUGET SOUND</v>
      </c>
      <c r="C3703" t="str">
        <f>T("467 W ST")</f>
        <v>467 W ST</v>
      </c>
      <c r="D3703" t="str">
        <f>T("BREMERTON")</f>
        <v>BREMERTON</v>
      </c>
      <c r="E3703" t="str">
        <f t="shared" si="1445"/>
        <v>WA</v>
      </c>
      <c r="F3703" t="str">
        <f>T("983145100")</f>
        <v>983145100</v>
      </c>
      <c r="G3703" t="str">
        <f>T("NAVSUP FLC PUGET SOUND")</f>
        <v>NAVSUP FLC PUGET SOUND</v>
      </c>
      <c r="H3703" t="str">
        <f>T("467 W ST")</f>
        <v>467 W ST</v>
      </c>
      <c r="I3703" t="str">
        <f>T("BREMERTON")</f>
        <v>BREMERTON</v>
      </c>
      <c r="J3703" t="str">
        <f t="shared" si="1447"/>
        <v>WA</v>
      </c>
      <c r="K3703" t="str">
        <f>T("")</f>
        <v/>
      </c>
      <c r="L3703" t="str">
        <f>T("3604767203")</f>
        <v>3604767203</v>
      </c>
    </row>
    <row r="3704" spans="1:12" x14ac:dyDescent="0.35">
      <c r="A3704" t="str">
        <f t="shared" si="1444"/>
        <v>FLC PUGET SOUND</v>
      </c>
      <c r="B3704" t="str">
        <f>T("PO BOX 8")</f>
        <v>PO BOX 8</v>
      </c>
      <c r="C3704" t="str">
        <f>T("MANCHESTER FUEL DEPT CODE")</f>
        <v>MANCHESTER FUEL DEPT CODE</v>
      </c>
      <c r="D3704" t="str">
        <f>T("MANCHESTER")</f>
        <v>MANCHESTER</v>
      </c>
      <c r="E3704" t="str">
        <f t="shared" si="1445"/>
        <v>WA</v>
      </c>
      <c r="F3704" t="str">
        <f>T("983530008")</f>
        <v>983530008</v>
      </c>
      <c r="G3704" t="str">
        <f>T("467 W ST")</f>
        <v>467 W ST</v>
      </c>
      <c r="H3704" t="str">
        <f>T("")</f>
        <v/>
      </c>
      <c r="I3704" t="str">
        <f>T("BREMERTON")</f>
        <v>BREMERTON</v>
      </c>
      <c r="J3704" t="str">
        <f t="shared" si="1447"/>
        <v>WA</v>
      </c>
      <c r="K3704" t="str">
        <f>T("000000000000000000")</f>
        <v>000000000000000000</v>
      </c>
      <c r="L3704" t="str">
        <f>T("3604769584")</f>
        <v>3604769584</v>
      </c>
    </row>
    <row r="3705" spans="1:12" x14ac:dyDescent="0.35">
      <c r="A3705" t="str">
        <f t="shared" si="1444"/>
        <v>FLC PUGET SOUND</v>
      </c>
      <c r="B3705" t="str">
        <f>T("PO BOX 8")</f>
        <v>PO BOX 8</v>
      </c>
      <c r="C3705" t="str">
        <f>T("MANCHESTER FUEL DEPT CODE")</f>
        <v>MANCHESTER FUEL DEPT CODE</v>
      </c>
      <c r="D3705" t="str">
        <f>T("MANCHESTER")</f>
        <v>MANCHESTER</v>
      </c>
      <c r="E3705" t="str">
        <f t="shared" si="1445"/>
        <v>WA</v>
      </c>
      <c r="F3705" t="str">
        <f>T("983530008")</f>
        <v>983530008</v>
      </c>
      <c r="G3705" t="str">
        <f>T("467 W ST")</f>
        <v>467 W ST</v>
      </c>
      <c r="H3705" t="str">
        <f>T("")</f>
        <v/>
      </c>
      <c r="I3705" t="str">
        <f>T("BREMERTON")</f>
        <v>BREMERTON</v>
      </c>
      <c r="J3705" t="str">
        <f t="shared" si="1447"/>
        <v>WA</v>
      </c>
      <c r="K3705" t="str">
        <f>T("000000000000000000")</f>
        <v>000000000000000000</v>
      </c>
      <c r="L3705" t="str">
        <f>T("3604769865")</f>
        <v>3604769865</v>
      </c>
    </row>
    <row r="3706" spans="1:12" x14ac:dyDescent="0.35">
      <c r="A3706" t="str">
        <f t="shared" si="1444"/>
        <v>FLC PUGET SOUND</v>
      </c>
      <c r="B3706" t="str">
        <f>T("PO BOX 8")</f>
        <v>PO BOX 8</v>
      </c>
      <c r="C3706" t="str">
        <f>T("MANCHESTER FUEL DEPT CODE")</f>
        <v>MANCHESTER FUEL DEPT CODE</v>
      </c>
      <c r="D3706" t="str">
        <f>T("MANCHESTER")</f>
        <v>MANCHESTER</v>
      </c>
      <c r="E3706" t="str">
        <f t="shared" si="1445"/>
        <v>WA</v>
      </c>
      <c r="F3706" t="str">
        <f>T("983530008")</f>
        <v>983530008</v>
      </c>
      <c r="G3706" t="str">
        <f>T("MANCHESTER FUEL DEPOT CODE 700")</f>
        <v>MANCHESTER FUEL DEPOT CODE 700</v>
      </c>
      <c r="H3706" t="str">
        <f>T("7501 BEACH DRIVE EAST")</f>
        <v>7501 BEACH DRIVE EAST</v>
      </c>
      <c r="I3706" t="str">
        <f>T("PORT ORCHARD")</f>
        <v>PORT ORCHARD</v>
      </c>
      <c r="J3706" t="str">
        <f t="shared" si="1447"/>
        <v>WA</v>
      </c>
      <c r="K3706" t="str">
        <f>T("000000000000000000")</f>
        <v>000000000000000000</v>
      </c>
      <c r="L3706" t="str">
        <f>T("3604762135")</f>
        <v>3604762135</v>
      </c>
    </row>
    <row r="3707" spans="1:12" x14ac:dyDescent="0.35">
      <c r="A3707" t="str">
        <f t="shared" si="1444"/>
        <v>FLC PUGET SOUND</v>
      </c>
      <c r="B3707" t="str">
        <f>T("PO BOX 8")</f>
        <v>PO BOX 8</v>
      </c>
      <c r="C3707" t="str">
        <f>T("MANCHESTER FUEL DEPT CODE")</f>
        <v>MANCHESTER FUEL DEPT CODE</v>
      </c>
      <c r="D3707" t="str">
        <f>T("MANCHESTER")</f>
        <v>MANCHESTER</v>
      </c>
      <c r="E3707" t="str">
        <f t="shared" si="1445"/>
        <v>WA</v>
      </c>
      <c r="F3707" t="str">
        <f>T("983530008")</f>
        <v>983530008</v>
      </c>
      <c r="G3707" t="str">
        <f>T("PO BOX 8")</f>
        <v>PO BOX 8</v>
      </c>
      <c r="H3707" t="str">
        <f>T("MANCHESTER FUEL DEPT CODE")</f>
        <v>MANCHESTER FUEL DEPT CODE</v>
      </c>
      <c r="I3707" t="str">
        <f>T("MANCHESTER")</f>
        <v>MANCHESTER</v>
      </c>
      <c r="J3707" t="str">
        <f t="shared" si="1447"/>
        <v>WA</v>
      </c>
      <c r="K3707" t="str">
        <f>T("")</f>
        <v/>
      </c>
      <c r="L3707" t="str">
        <f>T("3604762145")</f>
        <v>3604762145</v>
      </c>
    </row>
    <row r="3708" spans="1:12" x14ac:dyDescent="0.35">
      <c r="A3708" t="str">
        <f>T("FLC PEARL")</f>
        <v>FLC PEARL</v>
      </c>
      <c r="B3708" t="str">
        <f>T("1942 GAFFNEY ST STE 100")</f>
        <v>1942 GAFFNEY ST STE 100</v>
      </c>
      <c r="C3708" t="str">
        <f>T("")</f>
        <v/>
      </c>
      <c r="D3708" t="str">
        <f>T("PEARL HARBOR")</f>
        <v>PEARL HARBOR</v>
      </c>
      <c r="E3708" t="str">
        <f>T("HI")</f>
        <v>HI</v>
      </c>
      <c r="F3708" t="str">
        <f>T("968604549")</f>
        <v>968604549</v>
      </c>
      <c r="G3708" t="str">
        <f>T("1942 GAFFNEY ST STE 100")</f>
        <v>1942 GAFFNEY ST STE 100</v>
      </c>
      <c r="H3708" t="str">
        <f>T("")</f>
        <v/>
      </c>
      <c r="I3708" t="str">
        <f>T("PEARL HARBOR")</f>
        <v>PEARL HARBOR</v>
      </c>
      <c r="J3708" t="str">
        <f>T("HI")</f>
        <v>HI</v>
      </c>
      <c r="K3708" t="str">
        <f>T("")</f>
        <v/>
      </c>
      <c r="L3708" t="str">
        <f>T("8084737597")</f>
        <v>8084737597</v>
      </c>
    </row>
    <row r="3709" spans="1:12" x14ac:dyDescent="0.35">
      <c r="A3709" t="str">
        <f>T("FLC PEARL")</f>
        <v>FLC PEARL</v>
      </c>
      <c r="B3709" t="str">
        <f>T("1942 GAFFNEY ST STE 100")</f>
        <v>1942 GAFFNEY ST STE 100</v>
      </c>
      <c r="C3709" t="str">
        <f>T("")</f>
        <v/>
      </c>
      <c r="D3709" t="str">
        <f>T("PEARL HARBOR")</f>
        <v>PEARL HARBOR</v>
      </c>
      <c r="E3709" t="str">
        <f>T("HI")</f>
        <v>HI</v>
      </c>
      <c r="F3709" t="str">
        <f>T("968604549")</f>
        <v>968604549</v>
      </c>
      <c r="G3709" t="str">
        <f>T("MAVSUP FLC PEARL HARBOR")</f>
        <v>MAVSUP FLC PEARL HARBOR</v>
      </c>
      <c r="H3709" t="str">
        <f>T("1942 GAFFNEY ST STE 100")</f>
        <v>1942 GAFFNEY ST STE 100</v>
      </c>
      <c r="I3709" t="str">
        <f>T("PEARL HARBOR")</f>
        <v>PEARL HARBOR</v>
      </c>
      <c r="J3709" t="str">
        <f>T("HI")</f>
        <v>HI</v>
      </c>
      <c r="K3709" t="str">
        <f>T("000000000000000000")</f>
        <v>000000000000000000</v>
      </c>
      <c r="L3709" t="str">
        <f>T("8084737535")</f>
        <v>8084737535</v>
      </c>
    </row>
    <row r="3710" spans="1:12" x14ac:dyDescent="0.35">
      <c r="A3710" t="str">
        <f>T("FLC PEARL")</f>
        <v>FLC PEARL</v>
      </c>
      <c r="B3710" t="str">
        <f>T("1942 GAFFNEY ST STE 100")</f>
        <v>1942 GAFFNEY ST STE 100</v>
      </c>
      <c r="C3710" t="str">
        <f>T("")</f>
        <v/>
      </c>
      <c r="D3710" t="str">
        <f>T("PEARL HARBOR")</f>
        <v>PEARL HARBOR</v>
      </c>
      <c r="E3710" t="str">
        <f>T("HI")</f>
        <v>HI</v>
      </c>
      <c r="F3710" t="str">
        <f>T("968604549")</f>
        <v>968604549</v>
      </c>
      <c r="G3710" t="str">
        <f>T("NAVSUP FLEET LOGISTIC CENTER PEARL H")</f>
        <v>NAVSUP FLEET LOGISTIC CENTER PEARL H</v>
      </c>
      <c r="H3710" t="str">
        <f>T("1942 GAFFNEY ST STE 100")</f>
        <v>1942 GAFFNEY ST STE 100</v>
      </c>
      <c r="I3710" t="str">
        <f>T("PEARL HARBOR")</f>
        <v>PEARL HARBOR</v>
      </c>
      <c r="J3710" t="str">
        <f>T("HI")</f>
        <v>HI</v>
      </c>
      <c r="K3710" t="str">
        <f>T("000000000000000000")</f>
        <v>000000000000000000</v>
      </c>
      <c r="L3710" t="str">
        <f>T("8084737596")</f>
        <v>8084737596</v>
      </c>
    </row>
    <row r="3711" spans="1:12" x14ac:dyDescent="0.35">
      <c r="A3711" t="str">
        <f t="shared" ref="A3711:A3716" si="1449">T("GLS/FLC SAN DIEGO")</f>
        <v>GLS/FLC SAN DIEGO</v>
      </c>
      <c r="B3711" t="str">
        <f>T("937 N HARBOR DR CODE 10")</f>
        <v>937 N HARBOR DR CODE 10</v>
      </c>
      <c r="C3711" t="str">
        <f>T("6TH FLOOR COMTROLLER OFFICE")</f>
        <v>6TH FLOOR COMTROLLER OFFICE</v>
      </c>
      <c r="D3711" t="str">
        <f t="shared" ref="D3711:D3717" si="1450">T("SAN DIEGO")</f>
        <v>SAN DIEGO</v>
      </c>
      <c r="E3711" t="str">
        <f t="shared" ref="E3711:E3717" si="1451">T("CA")</f>
        <v>CA</v>
      </c>
      <c r="F3711" t="str">
        <f t="shared" ref="F3711:F3717" si="1452">T("921320001")</f>
        <v>921320001</v>
      </c>
      <c r="G3711" t="str">
        <f>T("937 N HARBOR DR")</f>
        <v>937 N HARBOR DR</v>
      </c>
      <c r="H3711" t="str">
        <f>T("CODE 431")</f>
        <v>CODE 431</v>
      </c>
      <c r="I3711" t="str">
        <f t="shared" ref="I3711:I3717" si="1453">T("SAN DIEGO")</f>
        <v>SAN DIEGO</v>
      </c>
      <c r="J3711" t="str">
        <f t="shared" ref="J3711:J3717" si="1454">T("CA")</f>
        <v>CA</v>
      </c>
      <c r="K3711" t="str">
        <f>T("000000000000000000")</f>
        <v>000000000000000000</v>
      </c>
      <c r="L3711" t="str">
        <f>T("6195560407")</f>
        <v>6195560407</v>
      </c>
    </row>
    <row r="3712" spans="1:12" x14ac:dyDescent="0.35">
      <c r="A3712" t="str">
        <f t="shared" si="1449"/>
        <v>GLS/FLC SAN DIEGO</v>
      </c>
      <c r="B3712" t="str">
        <f>T("937 N HARBOR DR CODE 10")</f>
        <v>937 N HARBOR DR CODE 10</v>
      </c>
      <c r="C3712" t="str">
        <f>T("6TH FLOOR COMTROLLER OFFICE")</f>
        <v>6TH FLOOR COMTROLLER OFFICE</v>
      </c>
      <c r="D3712" t="str">
        <f t="shared" si="1450"/>
        <v>SAN DIEGO</v>
      </c>
      <c r="E3712" t="str">
        <f t="shared" si="1451"/>
        <v>CA</v>
      </c>
      <c r="F3712" t="str">
        <f t="shared" si="1452"/>
        <v>921320001</v>
      </c>
      <c r="G3712" t="str">
        <f>T("937 N HARBOR DR CODE 10")</f>
        <v>937 N HARBOR DR CODE 10</v>
      </c>
      <c r="H3712" t="str">
        <f>T("6TH FLOOR COMTROLLER OFFICE")</f>
        <v>6TH FLOOR COMTROLLER OFFICE</v>
      </c>
      <c r="I3712" t="str">
        <f t="shared" si="1453"/>
        <v>SAN DIEGO</v>
      </c>
      <c r="J3712" t="str">
        <f t="shared" si="1454"/>
        <v>CA</v>
      </c>
      <c r="K3712" t="str">
        <f>T("")</f>
        <v/>
      </c>
      <c r="L3712" t="str">
        <f>T("6195560402")</f>
        <v>6195560402</v>
      </c>
    </row>
    <row r="3713" spans="1:12" x14ac:dyDescent="0.35">
      <c r="A3713" t="str">
        <f t="shared" si="1449"/>
        <v>GLS/FLC SAN DIEGO</v>
      </c>
      <c r="B3713" t="str">
        <f>T("937 N HARBOR DR CODE 10")</f>
        <v>937 N HARBOR DR CODE 10</v>
      </c>
      <c r="C3713" t="str">
        <f>T("6TH FLOOR COMTROLLER OFFICE")</f>
        <v>6TH FLOOR COMTROLLER OFFICE</v>
      </c>
      <c r="D3713" t="str">
        <f t="shared" si="1450"/>
        <v>SAN DIEGO</v>
      </c>
      <c r="E3713" t="str">
        <f t="shared" si="1451"/>
        <v>CA</v>
      </c>
      <c r="F3713" t="str">
        <f t="shared" si="1452"/>
        <v>921320001</v>
      </c>
      <c r="G3713" t="str">
        <f>T("937 N HARBOR DRIVE")</f>
        <v>937 N HARBOR DRIVE</v>
      </c>
      <c r="H3713" t="str">
        <f>T("COMPTROLLER OFFICE 6TH FLOOR")</f>
        <v>COMPTROLLER OFFICE 6TH FLOOR</v>
      </c>
      <c r="I3713" t="str">
        <f t="shared" si="1453"/>
        <v>SAN DIEGO</v>
      </c>
      <c r="J3713" t="str">
        <f t="shared" si="1454"/>
        <v>CA</v>
      </c>
      <c r="K3713" t="str">
        <f>T("6195566025")</f>
        <v>6195566025</v>
      </c>
      <c r="L3713" t="str">
        <f>T("6195568302")</f>
        <v>6195568302</v>
      </c>
    </row>
    <row r="3714" spans="1:12" x14ac:dyDescent="0.35">
      <c r="A3714" t="str">
        <f t="shared" si="1449"/>
        <v>GLS/FLC SAN DIEGO</v>
      </c>
      <c r="B3714" t="str">
        <f>T("937 N HARBOR DRIVE CODE 10")</f>
        <v>937 N HARBOR DRIVE CODE 10</v>
      </c>
      <c r="C3714" t="str">
        <f>T("6TH FLR COMPTROLLERS OFC")</f>
        <v>6TH FLR COMPTROLLERS OFC</v>
      </c>
      <c r="D3714" t="str">
        <f t="shared" si="1450"/>
        <v>SAN DIEGO</v>
      </c>
      <c r="E3714" t="str">
        <f t="shared" si="1451"/>
        <v>CA</v>
      </c>
      <c r="F3714" t="str">
        <f t="shared" si="1452"/>
        <v>921320001</v>
      </c>
      <c r="G3714" t="str">
        <f>T("937 N HARBOR DRIVE")</f>
        <v>937 N HARBOR DRIVE</v>
      </c>
      <c r="H3714" t="str">
        <f>T("COMPTROLLER 6FL RM603")</f>
        <v>COMPTROLLER 6FL RM603</v>
      </c>
      <c r="I3714" t="str">
        <f t="shared" si="1453"/>
        <v>SAN DIEGO</v>
      </c>
      <c r="J3714" t="str">
        <f t="shared" si="1454"/>
        <v>CA</v>
      </c>
      <c r="K3714" t="str">
        <f>T("000000000000000000")</f>
        <v>000000000000000000</v>
      </c>
      <c r="L3714" t="str">
        <f>T("6195562233")</f>
        <v>6195562233</v>
      </c>
    </row>
    <row r="3715" spans="1:12" x14ac:dyDescent="0.35">
      <c r="A3715" t="str">
        <f t="shared" si="1449"/>
        <v>GLS/FLC SAN DIEGO</v>
      </c>
      <c r="B3715" t="str">
        <f>T("937 N HARBOR DRIVE CODE 10")</f>
        <v>937 N HARBOR DRIVE CODE 10</v>
      </c>
      <c r="C3715" t="str">
        <f>T("6TH FLR COMPTROLLERS OFC")</f>
        <v>6TH FLR COMPTROLLERS OFC</v>
      </c>
      <c r="D3715" t="str">
        <f t="shared" si="1450"/>
        <v>SAN DIEGO</v>
      </c>
      <c r="E3715" t="str">
        <f t="shared" si="1451"/>
        <v>CA</v>
      </c>
      <c r="F3715" t="str">
        <f t="shared" si="1452"/>
        <v>921320001</v>
      </c>
      <c r="G3715" t="str">
        <f>T("937 N HARBOR DRIVE")</f>
        <v>937 N HARBOR DRIVE</v>
      </c>
      <c r="H3715" t="str">
        <f>T("COMPTROLLERS 6FL RM 603")</f>
        <v>COMPTROLLERS 6FL RM 603</v>
      </c>
      <c r="I3715" t="str">
        <f t="shared" si="1453"/>
        <v>SAN DIEGO</v>
      </c>
      <c r="J3715" t="str">
        <f t="shared" si="1454"/>
        <v>CA</v>
      </c>
      <c r="K3715" t="str">
        <f>T("000000000000000000")</f>
        <v>000000000000000000</v>
      </c>
      <c r="L3715" t="str">
        <f>T("6195562902")</f>
        <v>6195562902</v>
      </c>
    </row>
    <row r="3716" spans="1:12" x14ac:dyDescent="0.35">
      <c r="A3716" t="str">
        <f t="shared" si="1449"/>
        <v>GLS/FLC SAN DIEGO</v>
      </c>
      <c r="B3716" t="str">
        <f>T("937 N HARBOR DRIVE CODE 10")</f>
        <v>937 N HARBOR DRIVE CODE 10</v>
      </c>
      <c r="C3716" t="str">
        <f>T("6TH FLR COMPTROLLERS OFC")</f>
        <v>6TH FLR COMPTROLLERS OFC</v>
      </c>
      <c r="D3716" t="str">
        <f t="shared" si="1450"/>
        <v>SAN DIEGO</v>
      </c>
      <c r="E3716" t="str">
        <f t="shared" si="1451"/>
        <v>CA</v>
      </c>
      <c r="F3716" t="str">
        <f t="shared" si="1452"/>
        <v>921320001</v>
      </c>
      <c r="G3716" t="str">
        <f>T("937 N HARBOR DRIVE CODE 10")</f>
        <v>937 N HARBOR DRIVE CODE 10</v>
      </c>
      <c r="H3716" t="str">
        <f>T("6TH FLR COMPTROLLERS OFC")</f>
        <v>6TH FLR COMPTROLLERS OFC</v>
      </c>
      <c r="I3716" t="str">
        <f t="shared" si="1453"/>
        <v>SAN DIEGO</v>
      </c>
      <c r="J3716" t="str">
        <f t="shared" si="1454"/>
        <v>CA</v>
      </c>
      <c r="K3716" t="str">
        <f>T("")</f>
        <v/>
      </c>
      <c r="L3716" t="str">
        <f>T("6195562249")</f>
        <v>6195562249</v>
      </c>
    </row>
    <row r="3717" spans="1:12" x14ac:dyDescent="0.35">
      <c r="A3717" t="str">
        <f>T("FLC SAN DIEGO/SUB")</f>
        <v>FLC SAN DIEGO/SUB</v>
      </c>
      <c r="B3717" t="str">
        <f>T("FLEET AND INDUSTRIAL SUPPLY")</f>
        <v>FLEET AND INDUSTRIAL SUPPLY</v>
      </c>
      <c r="C3717" t="str">
        <f>T("937 N HARBOR DR CODE 105")</f>
        <v>937 N HARBOR DR CODE 105</v>
      </c>
      <c r="D3717" t="str">
        <f t="shared" si="1450"/>
        <v>SAN DIEGO</v>
      </c>
      <c r="E3717" t="str">
        <f t="shared" si="1451"/>
        <v>CA</v>
      </c>
      <c r="F3717" t="str">
        <f t="shared" si="1452"/>
        <v>921320001</v>
      </c>
      <c r="G3717" t="str">
        <f>T("FLEET AND INDUSTRIAL SUPPLY")</f>
        <v>FLEET AND INDUSTRIAL SUPPLY</v>
      </c>
      <c r="H3717" t="str">
        <f>T("937 N HARBOR DR CODE 105")</f>
        <v>937 N HARBOR DR CODE 105</v>
      </c>
      <c r="I3717" t="str">
        <f t="shared" si="1453"/>
        <v>SAN DIEGO</v>
      </c>
      <c r="J3717" t="str">
        <f t="shared" si="1454"/>
        <v>CA</v>
      </c>
      <c r="K3717" t="str">
        <f>T("")</f>
        <v/>
      </c>
      <c r="L3717" t="str">
        <f>T("6195560419")</f>
        <v>6195560419</v>
      </c>
    </row>
    <row r="3718" spans="1:12" x14ac:dyDescent="0.35">
      <c r="A3718" t="str">
        <f t="shared" ref="A3718:A3736" si="1455">T("FLC YOKO")</f>
        <v>FLC YOKO</v>
      </c>
      <c r="B3718" t="str">
        <f>T("FISC YOKOSUKA DET SASEBO")</f>
        <v>FISC YOKOSUKA DET SASEBO</v>
      </c>
      <c r="C3718" t="str">
        <f>T("PSC 476 BOX 6")</f>
        <v>PSC 476 BOX 6</v>
      </c>
      <c r="D3718" t="str">
        <f t="shared" ref="D3718:D3750" si="1456">T("FPO")</f>
        <v>FPO</v>
      </c>
      <c r="E3718" t="str">
        <f t="shared" ref="E3718:E3736" si="1457">T("AP")</f>
        <v>AP</v>
      </c>
      <c r="F3718" t="str">
        <f>T("963220001")</f>
        <v>963220001</v>
      </c>
      <c r="G3718" t="str">
        <f>T("FISC YOKOSUKA DET SASEBO")</f>
        <v>FISC YOKOSUKA DET SASEBO</v>
      </c>
      <c r="H3718" t="str">
        <f>T("PSC 476 BOX 6")</f>
        <v>PSC 476 BOX 6</v>
      </c>
      <c r="I3718" t="str">
        <f>T("FPO")</f>
        <v>FPO</v>
      </c>
      <c r="J3718" t="str">
        <f t="shared" ref="J3718:J3736" si="1458">T("AP")</f>
        <v>AP</v>
      </c>
      <c r="K3718" t="str">
        <f>T("")</f>
        <v/>
      </c>
      <c r="L3718" t="str">
        <f>T("1111111111")</f>
        <v>1111111111</v>
      </c>
    </row>
    <row r="3719" spans="1:12" x14ac:dyDescent="0.35">
      <c r="A3719" t="str">
        <f t="shared" si="1455"/>
        <v>FLC YOKO</v>
      </c>
      <c r="B3719" t="str">
        <f>T("FISC YOKOSUKA DET SASEBO")</f>
        <v>FISC YOKOSUKA DET SASEBO</v>
      </c>
      <c r="C3719" t="str">
        <f>T("PSC 476 BOX 6")</f>
        <v>PSC 476 BOX 6</v>
      </c>
      <c r="D3719" t="str">
        <f t="shared" si="1456"/>
        <v>FPO</v>
      </c>
      <c r="E3719" t="str">
        <f t="shared" si="1457"/>
        <v>AP</v>
      </c>
      <c r="F3719" t="str">
        <f>T("963220001")</f>
        <v>963220001</v>
      </c>
      <c r="G3719" t="str">
        <f>T("FISC YOKOSUKA DET SASEBO")</f>
        <v>FISC YOKOSUKA DET SASEBO</v>
      </c>
      <c r="H3719" t="str">
        <f>T("PSC 476 BOX 6")</f>
        <v>PSC 476 BOX 6</v>
      </c>
      <c r="I3719" t="str">
        <f>T("FPO")</f>
        <v>FPO</v>
      </c>
      <c r="J3719" t="str">
        <f t="shared" si="1458"/>
        <v>AP</v>
      </c>
      <c r="K3719" t="str">
        <f>T("000000000000000000")</f>
        <v>000000000000000000</v>
      </c>
      <c r="L3719" t="str">
        <f>T("8195650384")</f>
        <v>8195650384</v>
      </c>
    </row>
    <row r="3720" spans="1:12" x14ac:dyDescent="0.35">
      <c r="A3720" t="str">
        <f t="shared" si="1455"/>
        <v>FLC YOKO</v>
      </c>
      <c r="B3720" t="str">
        <f>T("FISC YOKOSUKA DET SASEBO")</f>
        <v>FISC YOKOSUKA DET SASEBO</v>
      </c>
      <c r="C3720" t="str">
        <f>T("PSC 476 BOX 6")</f>
        <v>PSC 476 BOX 6</v>
      </c>
      <c r="D3720" t="str">
        <f t="shared" si="1456"/>
        <v>FPO</v>
      </c>
      <c r="E3720" t="str">
        <f t="shared" si="1457"/>
        <v>AP</v>
      </c>
      <c r="F3720" t="str">
        <f>T("963220001")</f>
        <v>963220001</v>
      </c>
      <c r="G3720" t="str">
        <f>T("SASEBO NAVAL BASE BLDG 1651")</f>
        <v>SASEBO NAVAL BASE BLDG 1651</v>
      </c>
      <c r="H3720" t="str">
        <f>T("TATEGAMI-CHO SASEBO CITY")</f>
        <v>TATEGAMI-CHO SASEBO CITY</v>
      </c>
      <c r="I3720" t="str">
        <f>T("SASEBO CITY")</f>
        <v>SASEBO CITY</v>
      </c>
      <c r="J3720" t="str">
        <f t="shared" si="1458"/>
        <v>AP</v>
      </c>
      <c r="K3720" t="str">
        <f>T("000000000000000000")</f>
        <v>000000000000000000</v>
      </c>
      <c r="L3720" t="str">
        <f>T("1234567890")</f>
        <v>1234567890</v>
      </c>
    </row>
    <row r="3721" spans="1:12" x14ac:dyDescent="0.35">
      <c r="A3721" t="str">
        <f t="shared" si="1455"/>
        <v>FLC YOKO</v>
      </c>
      <c r="B3721" t="str">
        <f>T("NAVSUP FLC YOKO HAZMINCEN")</f>
        <v>NAVSUP FLC YOKO HAZMINCEN</v>
      </c>
      <c r="C3721" t="str">
        <f>T("PSC 473 BOX 11")</f>
        <v>PSC 473 BOX 11</v>
      </c>
      <c r="D3721" t="str">
        <f t="shared" si="1456"/>
        <v>FPO</v>
      </c>
      <c r="E3721" t="str">
        <f t="shared" si="1457"/>
        <v>AP</v>
      </c>
      <c r="F3721" t="str">
        <f>T("963490001")</f>
        <v>963490001</v>
      </c>
      <c r="G3721" t="str">
        <f>T("NAVSUP FLC YOKO HAZMINCEN")</f>
        <v>NAVSUP FLC YOKO HAZMINCEN</v>
      </c>
      <c r="H3721" t="str">
        <f>T("PSC 473 BOX 11")</f>
        <v>PSC 473 BOX 11</v>
      </c>
      <c r="I3721" t="str">
        <f t="shared" ref="I3721:I3732" si="1459">T("FPO")</f>
        <v>FPO</v>
      </c>
      <c r="J3721" t="str">
        <f t="shared" si="1458"/>
        <v>AP</v>
      </c>
      <c r="K3721" t="str">
        <f>T("01181468168006")</f>
        <v>01181468168006</v>
      </c>
      <c r="L3721" t="str">
        <f>T("1111111111")</f>
        <v>1111111111</v>
      </c>
    </row>
    <row r="3722" spans="1:12" x14ac:dyDescent="0.35">
      <c r="A3722" t="str">
        <f t="shared" si="1455"/>
        <v>FLC YOKO</v>
      </c>
      <c r="B3722" t="str">
        <f>T("PSC 470 BOX 2150")</f>
        <v>PSC 470 BOX 2150</v>
      </c>
      <c r="C3722" t="str">
        <f t="shared" ref="C3722:C3731" si="1460">T("")</f>
        <v/>
      </c>
      <c r="D3722" t="str">
        <f t="shared" si="1456"/>
        <v>FPO</v>
      </c>
      <c r="E3722" t="str">
        <f t="shared" si="1457"/>
        <v>AP</v>
      </c>
      <c r="F3722" t="str">
        <f>T("965340022")</f>
        <v>965340022</v>
      </c>
      <c r="G3722" t="str">
        <f>T("NAVSUP FLCYOKO DET SINGAPORE C430")</f>
        <v>NAVSUP FLCYOKO DET SINGAPORE C430</v>
      </c>
      <c r="H3722" t="str">
        <f>T("PSC 470 BOX 2150")</f>
        <v>PSC 470 BOX 2150</v>
      </c>
      <c r="I3722" t="str">
        <f t="shared" si="1459"/>
        <v>FPO</v>
      </c>
      <c r="J3722" t="str">
        <f t="shared" si="1458"/>
        <v>AP</v>
      </c>
      <c r="K3722" t="str">
        <f>T("000000000000000000")</f>
        <v>000000000000000000</v>
      </c>
      <c r="L3722" t="str">
        <f>T("3154212479")</f>
        <v>3154212479</v>
      </c>
    </row>
    <row r="3723" spans="1:12" x14ac:dyDescent="0.35">
      <c r="A3723" t="str">
        <f t="shared" si="1455"/>
        <v>FLC YOKO</v>
      </c>
      <c r="B3723" t="str">
        <f>T("PSC 470 BOX 2150")</f>
        <v>PSC 470 BOX 2150</v>
      </c>
      <c r="C3723" t="str">
        <f t="shared" si="1460"/>
        <v/>
      </c>
      <c r="D3723" t="str">
        <f t="shared" si="1456"/>
        <v>FPO</v>
      </c>
      <c r="E3723" t="str">
        <f t="shared" si="1457"/>
        <v>AP</v>
      </c>
      <c r="F3723" t="str">
        <f>T("965340022")</f>
        <v>965340022</v>
      </c>
      <c r="G3723" t="str">
        <f>T("PSC 455 BOX 170")</f>
        <v>PSC 455 BOX 170</v>
      </c>
      <c r="H3723" t="str">
        <f>T("")</f>
        <v/>
      </c>
      <c r="I3723" t="str">
        <f t="shared" si="1459"/>
        <v>FPO</v>
      </c>
      <c r="J3723" t="str">
        <f t="shared" si="1458"/>
        <v>AP</v>
      </c>
      <c r="K3723" t="str">
        <f>T("000000000000000000")</f>
        <v>000000000000000000</v>
      </c>
      <c r="L3723" t="str">
        <f>T("6713398021")</f>
        <v>6713398021</v>
      </c>
    </row>
    <row r="3724" spans="1:12" x14ac:dyDescent="0.35">
      <c r="A3724" t="str">
        <f t="shared" si="1455"/>
        <v>FLC YOKO</v>
      </c>
      <c r="B3724" t="str">
        <f>T("PSC 470 BOX 2150")</f>
        <v>PSC 470 BOX 2150</v>
      </c>
      <c r="C3724" t="str">
        <f t="shared" si="1460"/>
        <v/>
      </c>
      <c r="D3724" t="str">
        <f t="shared" si="1456"/>
        <v>FPO</v>
      </c>
      <c r="E3724" t="str">
        <f t="shared" si="1457"/>
        <v>AP</v>
      </c>
      <c r="F3724" t="str">
        <f>T("965340022")</f>
        <v>965340022</v>
      </c>
      <c r="G3724" t="str">
        <f>T("PSC 470 BOX 2150")</f>
        <v>PSC 470 BOX 2150</v>
      </c>
      <c r="H3724" t="str">
        <f>T("")</f>
        <v/>
      </c>
      <c r="I3724" t="str">
        <f t="shared" si="1459"/>
        <v>FPO</v>
      </c>
      <c r="J3724" t="str">
        <f t="shared" si="1458"/>
        <v>AP</v>
      </c>
      <c r="K3724" t="str">
        <f>T("")</f>
        <v/>
      </c>
      <c r="L3724" t="str">
        <f>T("3153395524")</f>
        <v>3153395524</v>
      </c>
    </row>
    <row r="3725" spans="1:12" x14ac:dyDescent="0.35">
      <c r="A3725" t="str">
        <f t="shared" si="1455"/>
        <v>FLC YOKO</v>
      </c>
      <c r="B3725" t="str">
        <f>T("PSC 470 BOX 2150")</f>
        <v>PSC 470 BOX 2150</v>
      </c>
      <c r="C3725" t="str">
        <f t="shared" si="1460"/>
        <v/>
      </c>
      <c r="D3725" t="str">
        <f t="shared" si="1456"/>
        <v>FPO</v>
      </c>
      <c r="E3725" t="str">
        <f t="shared" si="1457"/>
        <v>AP</v>
      </c>
      <c r="F3725" t="str">
        <f>T("965340022")</f>
        <v>965340022</v>
      </c>
      <c r="G3725" t="str">
        <f>T("PSC 470 BOX 2150")</f>
        <v>PSC 470 BOX 2150</v>
      </c>
      <c r="H3725" t="str">
        <f>T("")</f>
        <v/>
      </c>
      <c r="I3725" t="str">
        <f t="shared" si="1459"/>
        <v>FPO</v>
      </c>
      <c r="J3725" t="str">
        <f t="shared" si="1458"/>
        <v>AP</v>
      </c>
      <c r="K3725" t="str">
        <f>T("6567502080")</f>
        <v>6567502080</v>
      </c>
      <c r="L3725" t="str">
        <f>T("3154212094")</f>
        <v>3154212094</v>
      </c>
    </row>
    <row r="3726" spans="1:12" x14ac:dyDescent="0.35">
      <c r="A3726" t="str">
        <f t="shared" si="1455"/>
        <v>FLC YOKO</v>
      </c>
      <c r="B3726" t="str">
        <f>T("PSC 473 BOX 11")</f>
        <v>PSC 473 BOX 11</v>
      </c>
      <c r="C3726" t="str">
        <f t="shared" si="1460"/>
        <v/>
      </c>
      <c r="D3726" t="str">
        <f t="shared" si="1456"/>
        <v>FPO</v>
      </c>
      <c r="E3726" t="str">
        <f t="shared" si="1457"/>
        <v>AP</v>
      </c>
      <c r="F3726" t="str">
        <f>T("963490001")</f>
        <v>963490001</v>
      </c>
      <c r="G3726" t="str">
        <f>T("BUSINESS OFFICE CODE 313")</f>
        <v>BUSINESS OFFICE CODE 313</v>
      </c>
      <c r="H3726" t="str">
        <f>T("PSC 473 BOX 11 CODE 313")</f>
        <v>PSC 473 BOX 11 CODE 313</v>
      </c>
      <c r="I3726" t="str">
        <f t="shared" si="1459"/>
        <v>FPO</v>
      </c>
      <c r="J3726" t="str">
        <f t="shared" si="1458"/>
        <v>AP</v>
      </c>
      <c r="K3726" t="str">
        <f>T("01181468168048")</f>
        <v>01181468168048</v>
      </c>
      <c r="L3726" t="str">
        <f>T("1111111111")</f>
        <v>1111111111</v>
      </c>
    </row>
    <row r="3727" spans="1:12" x14ac:dyDescent="0.35">
      <c r="A3727" t="str">
        <f t="shared" si="1455"/>
        <v>FLC YOKO</v>
      </c>
      <c r="B3727" t="str">
        <f>T("PSC 473 BOX 11")</f>
        <v>PSC 473 BOX 11</v>
      </c>
      <c r="C3727" t="str">
        <f t="shared" si="1460"/>
        <v/>
      </c>
      <c r="D3727" t="str">
        <f t="shared" si="1456"/>
        <v>FPO</v>
      </c>
      <c r="E3727" t="str">
        <f t="shared" si="1457"/>
        <v>AP</v>
      </c>
      <c r="F3727" t="str">
        <f>T("963490001")</f>
        <v>963490001</v>
      </c>
      <c r="G3727" t="str">
        <f>T("PSC 473 BOX 11")</f>
        <v>PSC 473 BOX 11</v>
      </c>
      <c r="H3727" t="str">
        <f>T("")</f>
        <v/>
      </c>
      <c r="I3727" t="str">
        <f t="shared" si="1459"/>
        <v>FPO</v>
      </c>
      <c r="J3727" t="str">
        <f t="shared" si="1458"/>
        <v>AP</v>
      </c>
      <c r="K3727" t="str">
        <f>T("")</f>
        <v/>
      </c>
      <c r="L3727" t="str">
        <f>T("3152435676")</f>
        <v>3152435676</v>
      </c>
    </row>
    <row r="3728" spans="1:12" x14ac:dyDescent="0.35">
      <c r="A3728" t="str">
        <f t="shared" si="1455"/>
        <v>FLC YOKO</v>
      </c>
      <c r="B3728" t="str">
        <f>T("PSC 473 BOX 11")</f>
        <v>PSC 473 BOX 11</v>
      </c>
      <c r="C3728" t="str">
        <f t="shared" si="1460"/>
        <v/>
      </c>
      <c r="D3728" t="str">
        <f t="shared" si="1456"/>
        <v>FPO</v>
      </c>
      <c r="E3728" t="str">
        <f t="shared" si="1457"/>
        <v>AP</v>
      </c>
      <c r="F3728" t="str">
        <f>T("963490001")</f>
        <v>963490001</v>
      </c>
      <c r="G3728" t="str">
        <f>T("PSC 473 BOX 11")</f>
        <v>PSC 473 BOX 11</v>
      </c>
      <c r="H3728" t="str">
        <f>T("CODE 313")</f>
        <v>CODE 313</v>
      </c>
      <c r="I3728" t="str">
        <f t="shared" si="1459"/>
        <v>FPO</v>
      </c>
      <c r="J3728" t="str">
        <f t="shared" si="1458"/>
        <v>AP</v>
      </c>
      <c r="K3728" t="str">
        <f>T("01181468168048")</f>
        <v>01181468168048</v>
      </c>
      <c r="L3728" t="str">
        <f>T("1111111111")</f>
        <v>1111111111</v>
      </c>
    </row>
    <row r="3729" spans="1:12" x14ac:dyDescent="0.35">
      <c r="A3729" t="str">
        <f t="shared" si="1455"/>
        <v>FLC YOKO</v>
      </c>
      <c r="B3729" t="str">
        <f>T("PSC 476 BOX 7")</f>
        <v>PSC 476 BOX 7</v>
      </c>
      <c r="C3729" t="str">
        <f t="shared" si="1460"/>
        <v/>
      </c>
      <c r="D3729" t="str">
        <f t="shared" si="1456"/>
        <v>FPO</v>
      </c>
      <c r="E3729" t="str">
        <f t="shared" si="1457"/>
        <v>AP</v>
      </c>
      <c r="F3729" t="str">
        <f>T("963220001")</f>
        <v>963220001</v>
      </c>
      <c r="G3729" t="str">
        <f>T("C/O CO FISC DET SASEBO")</f>
        <v>C/O CO FISC DET SASEBO</v>
      </c>
      <c r="H3729" t="str">
        <f>T("PSC 476 BOX 6")</f>
        <v>PSC 476 BOX 6</v>
      </c>
      <c r="I3729" t="str">
        <f t="shared" si="1459"/>
        <v>FPO</v>
      </c>
      <c r="J3729" t="str">
        <f t="shared" si="1458"/>
        <v>AP</v>
      </c>
      <c r="K3729" t="str">
        <f>T("000000000000000000")</f>
        <v>000000000000000000</v>
      </c>
      <c r="L3729" t="str">
        <f>T("1111111111")</f>
        <v>1111111111</v>
      </c>
    </row>
    <row r="3730" spans="1:12" x14ac:dyDescent="0.35">
      <c r="A3730" t="str">
        <f t="shared" si="1455"/>
        <v>FLC YOKO</v>
      </c>
      <c r="B3730" t="str">
        <f>T("PSC 476 BOX 7")</f>
        <v>PSC 476 BOX 7</v>
      </c>
      <c r="C3730" t="str">
        <f t="shared" si="1460"/>
        <v/>
      </c>
      <c r="D3730" t="str">
        <f t="shared" si="1456"/>
        <v>FPO</v>
      </c>
      <c r="E3730" t="str">
        <f t="shared" si="1457"/>
        <v>AP</v>
      </c>
      <c r="F3730" t="str">
        <f>T("963220001")</f>
        <v>963220001</v>
      </c>
      <c r="G3730" t="str">
        <f>T("PSC 476 BOX 7")</f>
        <v>PSC 476 BOX 7</v>
      </c>
      <c r="H3730" t="str">
        <f>T("")</f>
        <v/>
      </c>
      <c r="I3730" t="str">
        <f t="shared" si="1459"/>
        <v>FPO</v>
      </c>
      <c r="J3730" t="str">
        <f t="shared" si="1458"/>
        <v>AP</v>
      </c>
      <c r="K3730" t="str">
        <f>T("")</f>
        <v/>
      </c>
      <c r="L3730" t="str">
        <f>T("3152524110")</f>
        <v>3152524110</v>
      </c>
    </row>
    <row r="3731" spans="1:12" x14ac:dyDescent="0.35">
      <c r="A3731" t="str">
        <f t="shared" si="1455"/>
        <v>FLC YOKO</v>
      </c>
      <c r="B3731" t="str">
        <f>T("PSC 476 BOX 7")</f>
        <v>PSC 476 BOX 7</v>
      </c>
      <c r="C3731" t="str">
        <f t="shared" si="1460"/>
        <v/>
      </c>
      <c r="D3731" t="str">
        <f t="shared" si="1456"/>
        <v>FPO</v>
      </c>
      <c r="E3731" t="str">
        <f t="shared" si="1457"/>
        <v>AP</v>
      </c>
      <c r="F3731" t="str">
        <f>T("963220001")</f>
        <v>963220001</v>
      </c>
      <c r="G3731" t="str">
        <f>T("PSC 476 BOX 7")</f>
        <v>PSC 476 BOX 7</v>
      </c>
      <c r="H3731" t="str">
        <f>T("")</f>
        <v/>
      </c>
      <c r="I3731" t="str">
        <f t="shared" si="1459"/>
        <v>FPO</v>
      </c>
      <c r="J3731" t="str">
        <f t="shared" si="1458"/>
        <v>AP</v>
      </c>
      <c r="K3731" t="str">
        <f>T("000000000000000000")</f>
        <v>000000000000000000</v>
      </c>
      <c r="L3731" t="str">
        <f>T("8162524115")</f>
        <v>8162524115</v>
      </c>
    </row>
    <row r="3732" spans="1:12" x14ac:dyDescent="0.35">
      <c r="A3732" t="str">
        <f t="shared" si="1455"/>
        <v>FLC YOKO</v>
      </c>
      <c r="B3732" t="str">
        <f>T("US FISC YOKOSUKA FUEL DEPT")</f>
        <v>US FISC YOKOSUKA FUEL DEPT</v>
      </c>
      <c r="C3732" t="str">
        <f>T("HACHINOHE TERMINAL UNIT 526")</f>
        <v>HACHINOHE TERMINAL UNIT 526</v>
      </c>
      <c r="D3732" t="str">
        <f t="shared" si="1456"/>
        <v>FPO</v>
      </c>
      <c r="E3732" t="str">
        <f t="shared" si="1457"/>
        <v>AP</v>
      </c>
      <c r="F3732" t="str">
        <f>T("963680000")</f>
        <v>963680000</v>
      </c>
      <c r="G3732" t="str">
        <f>T("FUEL DEPARMTENT CODE 700")</f>
        <v>FUEL DEPARMTENT CODE 700</v>
      </c>
      <c r="H3732" t="str">
        <f>T("PSC 473 BOX 11")</f>
        <v>PSC 473 BOX 11</v>
      </c>
      <c r="I3732" t="str">
        <f t="shared" si="1459"/>
        <v>FPO</v>
      </c>
      <c r="J3732" t="str">
        <f t="shared" si="1458"/>
        <v>AP</v>
      </c>
      <c r="K3732" t="str">
        <f>T("000000000000000000")</f>
        <v>000000000000000000</v>
      </c>
      <c r="L3732" t="str">
        <f>T("1111111111")</f>
        <v>1111111111</v>
      </c>
    </row>
    <row r="3733" spans="1:12" x14ac:dyDescent="0.35">
      <c r="A3733" t="str">
        <f t="shared" si="1455"/>
        <v>FLC YOKO</v>
      </c>
      <c r="B3733" t="str">
        <f>T("US FISC YOKOSUKA FUEL DEPT")</f>
        <v>US FISC YOKOSUKA FUEL DEPT</v>
      </c>
      <c r="C3733" t="str">
        <f>T("HACHINOHE TERMINAL UNIT 526")</f>
        <v>HACHINOHE TERMINAL UNIT 526</v>
      </c>
      <c r="D3733" t="str">
        <f t="shared" si="1456"/>
        <v>FPO</v>
      </c>
      <c r="E3733" t="str">
        <f t="shared" si="1457"/>
        <v>AP</v>
      </c>
      <c r="F3733" t="str">
        <f>T("963680000")</f>
        <v>963680000</v>
      </c>
      <c r="G3733" t="str">
        <f>T("NAVSUP FLC YOKOSUKA")</f>
        <v>NAVSUP FLC YOKOSUKA</v>
      </c>
      <c r="H3733" t="str">
        <f>T("HACHINOHE FUEL DIVISION UNIT 5260")</f>
        <v>HACHINOHE FUEL DIVISION UNIT 5260</v>
      </c>
      <c r="I3733" t="str">
        <f>T("APO")</f>
        <v>APO</v>
      </c>
      <c r="J3733" t="str">
        <f t="shared" si="1458"/>
        <v>AP</v>
      </c>
      <c r="K3733" t="str">
        <f>T("000000000000000000")</f>
        <v>000000000000000000</v>
      </c>
      <c r="L3733" t="str">
        <f>T("8178411035")</f>
        <v>8178411035</v>
      </c>
    </row>
    <row r="3734" spans="1:12" x14ac:dyDescent="0.35">
      <c r="A3734" t="str">
        <f t="shared" si="1455"/>
        <v>FLC YOKO</v>
      </c>
      <c r="B3734" t="str">
        <f>T("US FISC YOKOSUKA FUEL DEPT")</f>
        <v>US FISC YOKOSUKA FUEL DEPT</v>
      </c>
      <c r="C3734" t="str">
        <f>T("HACHINOHE TERMINAL UNIT 526")</f>
        <v>HACHINOHE TERMINAL UNIT 526</v>
      </c>
      <c r="D3734" t="str">
        <f t="shared" si="1456"/>
        <v>FPO</v>
      </c>
      <c r="E3734" t="str">
        <f t="shared" si="1457"/>
        <v>AP</v>
      </c>
      <c r="F3734" t="str">
        <f>T("963680000")</f>
        <v>963680000</v>
      </c>
      <c r="G3734" t="str">
        <f>T("PSC 473 BOX 11")</f>
        <v>PSC 473 BOX 11</v>
      </c>
      <c r="H3734" t="str">
        <f>T("CODE 700")</f>
        <v>CODE 700</v>
      </c>
      <c r="I3734" t="str">
        <f t="shared" ref="I3734:I3752" si="1461">T("FPO")</f>
        <v>FPO</v>
      </c>
      <c r="J3734" t="str">
        <f t="shared" si="1458"/>
        <v>AP</v>
      </c>
      <c r="K3734" t="str">
        <f>T("3152430505")</f>
        <v>3152430505</v>
      </c>
      <c r="L3734" t="str">
        <f>T("3152430512")</f>
        <v>3152430512</v>
      </c>
    </row>
    <row r="3735" spans="1:12" x14ac:dyDescent="0.35">
      <c r="A3735" t="str">
        <f t="shared" si="1455"/>
        <v>FLC YOKO</v>
      </c>
      <c r="B3735" t="str">
        <f>T("US FISC YOKOSUKA FUEL DEPT")</f>
        <v>US FISC YOKOSUKA FUEL DEPT</v>
      </c>
      <c r="C3735" t="str">
        <f>T("HACHINOHE TERMINAL UNIT 526")</f>
        <v>HACHINOHE TERMINAL UNIT 526</v>
      </c>
      <c r="D3735" t="str">
        <f t="shared" si="1456"/>
        <v>FPO</v>
      </c>
      <c r="E3735" t="str">
        <f t="shared" si="1457"/>
        <v>AP</v>
      </c>
      <c r="F3735" t="str">
        <f>T("963680000")</f>
        <v>963680000</v>
      </c>
      <c r="G3735" t="str">
        <f>T("PSC 473 BOX 11")</f>
        <v>PSC 473 BOX 11</v>
      </c>
      <c r="H3735" t="str">
        <f>T("CODE 700")</f>
        <v>CODE 700</v>
      </c>
      <c r="I3735" t="str">
        <f t="shared" si="1461"/>
        <v>FPO</v>
      </c>
      <c r="J3735" t="str">
        <f t="shared" si="1458"/>
        <v>AP</v>
      </c>
      <c r="K3735" t="str">
        <f>T("3152430505")</f>
        <v>3152430505</v>
      </c>
      <c r="L3735" t="str">
        <f>T("3152430513")</f>
        <v>3152430513</v>
      </c>
    </row>
    <row r="3736" spans="1:12" x14ac:dyDescent="0.35">
      <c r="A3736" t="str">
        <f t="shared" si="1455"/>
        <v>FLC YOKO</v>
      </c>
      <c r="B3736" t="str">
        <f>T("US FISC YOKOSUKA FUEL DEPT")</f>
        <v>US FISC YOKOSUKA FUEL DEPT</v>
      </c>
      <c r="C3736" t="str">
        <f>T("HACHINOHE TERMINAL UNIT 526")</f>
        <v>HACHINOHE TERMINAL UNIT 526</v>
      </c>
      <c r="D3736" t="str">
        <f t="shared" si="1456"/>
        <v>FPO</v>
      </c>
      <c r="E3736" t="str">
        <f t="shared" si="1457"/>
        <v>AP</v>
      </c>
      <c r="F3736" t="str">
        <f>T("963680000")</f>
        <v>963680000</v>
      </c>
      <c r="G3736" t="str">
        <f>T("US FISC YOKOSUKA FUEL DEPT")</f>
        <v>US FISC YOKOSUKA FUEL DEPT</v>
      </c>
      <c r="H3736" t="str">
        <f>T("HACHINOHE TERMINAL UNIT 526")</f>
        <v>HACHINOHE TERMINAL UNIT 526</v>
      </c>
      <c r="I3736" t="str">
        <f t="shared" si="1461"/>
        <v>FPO</v>
      </c>
      <c r="J3736" t="str">
        <f t="shared" si="1458"/>
        <v>AP</v>
      </c>
      <c r="K3736" t="str">
        <f>T("")</f>
        <v/>
      </c>
      <c r="L3736" t="str">
        <f>T("1111111111")</f>
        <v>1111111111</v>
      </c>
    </row>
    <row r="3737" spans="1:12" x14ac:dyDescent="0.35">
      <c r="A3737" t="str">
        <f>T("FLC SIG/ROTA")</f>
        <v>FLC SIG/ROTA</v>
      </c>
      <c r="B3737" t="str">
        <f>T("PSC 819 BOX 8")</f>
        <v>PSC 819 BOX 8</v>
      </c>
      <c r="C3737" t="str">
        <f>T("")</f>
        <v/>
      </c>
      <c r="D3737" t="str">
        <f t="shared" si="1456"/>
        <v>FPO</v>
      </c>
      <c r="E3737" t="str">
        <f t="shared" ref="E3737:E3754" si="1462">T("AE")</f>
        <v>AE</v>
      </c>
      <c r="F3737" t="str">
        <f>T("096450001")</f>
        <v>096450001</v>
      </c>
      <c r="G3737" t="str">
        <f>T("FLEET LOGISTCI CENTER ROTA")</f>
        <v>FLEET LOGISTCI CENTER ROTA</v>
      </c>
      <c r="H3737" t="str">
        <f>T("PSC 819 BOX 8")</f>
        <v>PSC 819 BOX 8</v>
      </c>
      <c r="I3737" t="str">
        <f t="shared" si="1461"/>
        <v>FPO</v>
      </c>
      <c r="J3737" t="str">
        <f t="shared" ref="J3737:J3754" si="1463">T("AE")</f>
        <v>AE</v>
      </c>
      <c r="K3737" t="str">
        <f>T("3146264015")</f>
        <v>3146264015</v>
      </c>
      <c r="L3737" t="str">
        <f>T("3146264231")</f>
        <v>3146264231</v>
      </c>
    </row>
    <row r="3738" spans="1:12" x14ac:dyDescent="0.35">
      <c r="A3738" t="str">
        <f>T("FLC SIG/ROTA")</f>
        <v>FLC SIG/ROTA</v>
      </c>
      <c r="B3738" t="str">
        <f>T("PSC 819 BOX 8")</f>
        <v>PSC 819 BOX 8</v>
      </c>
      <c r="C3738" t="str">
        <f>T("")</f>
        <v/>
      </c>
      <c r="D3738" t="str">
        <f t="shared" si="1456"/>
        <v>FPO</v>
      </c>
      <c r="E3738" t="str">
        <f t="shared" si="1462"/>
        <v>AE</v>
      </c>
      <c r="F3738" t="str">
        <f>T("096450001")</f>
        <v>096450001</v>
      </c>
      <c r="G3738" t="str">
        <f>T("PSC 819")</f>
        <v>PSC 819</v>
      </c>
      <c r="H3738" t="str">
        <f>T("BOX 8")</f>
        <v>BOX 8</v>
      </c>
      <c r="I3738" t="str">
        <f t="shared" si="1461"/>
        <v>FPO</v>
      </c>
      <c r="J3738" t="str">
        <f t="shared" si="1463"/>
        <v>AE</v>
      </c>
      <c r="K3738" t="str">
        <f>T("000000000000000000")</f>
        <v>000000000000000000</v>
      </c>
      <c r="L3738" t="str">
        <f>T("1111111111")</f>
        <v>1111111111</v>
      </c>
    </row>
    <row r="3739" spans="1:12" x14ac:dyDescent="0.35">
      <c r="A3739" t="str">
        <f>T("FLC SIG/ROTA")</f>
        <v>FLC SIG/ROTA</v>
      </c>
      <c r="B3739" t="str">
        <f>T("PSC 819 BOX 8")</f>
        <v>PSC 819 BOX 8</v>
      </c>
      <c r="C3739" t="str">
        <f>T("")</f>
        <v/>
      </c>
      <c r="D3739" t="str">
        <f t="shared" si="1456"/>
        <v>FPO</v>
      </c>
      <c r="E3739" t="str">
        <f t="shared" si="1462"/>
        <v>AE</v>
      </c>
      <c r="F3739" t="str">
        <f>T("096450001")</f>
        <v>096450001</v>
      </c>
      <c r="G3739" t="str">
        <f>T("PSC 819 BOX 8")</f>
        <v>PSC 819 BOX 8</v>
      </c>
      <c r="H3739" t="str">
        <f>T("")</f>
        <v/>
      </c>
      <c r="I3739" t="str">
        <f t="shared" si="1461"/>
        <v>FPO</v>
      </c>
      <c r="J3739" t="str">
        <f t="shared" si="1463"/>
        <v>AE</v>
      </c>
      <c r="K3739" t="str">
        <f>T("")</f>
        <v/>
      </c>
      <c r="L3739" t="str">
        <f>T("4356723422")</f>
        <v>4356723422</v>
      </c>
    </row>
    <row r="3740" spans="1:12" x14ac:dyDescent="0.35">
      <c r="A3740" t="str">
        <f>T("FLC SIG/ROTA")</f>
        <v>FLC SIG/ROTA</v>
      </c>
      <c r="B3740" t="str">
        <f>T("PSC 819 BOX 8")</f>
        <v>PSC 819 BOX 8</v>
      </c>
      <c r="C3740" t="str">
        <f>T("")</f>
        <v/>
      </c>
      <c r="D3740" t="str">
        <f t="shared" si="1456"/>
        <v>FPO</v>
      </c>
      <c r="E3740" t="str">
        <f t="shared" si="1462"/>
        <v>AE</v>
      </c>
      <c r="F3740" t="str">
        <f>T("096450001")</f>
        <v>096450001</v>
      </c>
      <c r="G3740" t="str">
        <f>T("PSC 819 BOX 8")</f>
        <v>PSC 819 BOX 8</v>
      </c>
      <c r="H3740" t="str">
        <f>T("")</f>
        <v/>
      </c>
      <c r="I3740" t="str">
        <f t="shared" si="1461"/>
        <v>FPO</v>
      </c>
      <c r="J3740" t="str">
        <f t="shared" si="1463"/>
        <v>AE</v>
      </c>
      <c r="K3740" t="str">
        <f>T("000000000000000000")</f>
        <v>000000000000000000</v>
      </c>
      <c r="L3740" t="str">
        <f>T("1111111111")</f>
        <v>1111111111</v>
      </c>
    </row>
    <row r="3741" spans="1:12" x14ac:dyDescent="0.35">
      <c r="A3741" t="str">
        <f>T("FLC SIG/ROTA")</f>
        <v>FLC SIG/ROTA</v>
      </c>
      <c r="B3741" t="str">
        <f>T("PSC 819 BOX 8")</f>
        <v>PSC 819 BOX 8</v>
      </c>
      <c r="C3741" t="str">
        <f>T("")</f>
        <v/>
      </c>
      <c r="D3741" t="str">
        <f t="shared" si="1456"/>
        <v>FPO</v>
      </c>
      <c r="E3741" t="str">
        <f t="shared" si="1462"/>
        <v>AE</v>
      </c>
      <c r="F3741" t="str">
        <f>T("096450001")</f>
        <v>096450001</v>
      </c>
      <c r="G3741" t="str">
        <f>T("PSC 819 BOX 8")</f>
        <v>PSC 819 BOX 8</v>
      </c>
      <c r="H3741" t="str">
        <f>T("")</f>
        <v/>
      </c>
      <c r="I3741" t="str">
        <f t="shared" si="1461"/>
        <v>FPO</v>
      </c>
      <c r="J3741" t="str">
        <f t="shared" si="1463"/>
        <v>AE</v>
      </c>
      <c r="K3741" t="str">
        <f>T("111111111111111111")</f>
        <v>111111111111111111</v>
      </c>
      <c r="L3741" t="str">
        <f>T("1111111111")</f>
        <v>1111111111</v>
      </c>
    </row>
    <row r="3742" spans="1:12" x14ac:dyDescent="0.35">
      <c r="A3742" t="str">
        <f>T("FLC SIGONELL")</f>
        <v>FLC SIGONELL</v>
      </c>
      <c r="B3742" t="str">
        <f>T("FLC SIGONELLA HQ")</f>
        <v>FLC SIGONELLA HQ</v>
      </c>
      <c r="C3742" t="str">
        <f>T("PSC 812 BOX 3560")</f>
        <v>PSC 812 BOX 3560</v>
      </c>
      <c r="D3742" t="str">
        <f t="shared" si="1456"/>
        <v>FPO</v>
      </c>
      <c r="E3742" t="str">
        <f t="shared" si="1462"/>
        <v>AE</v>
      </c>
      <c r="F3742" t="str">
        <f>T("096270036")</f>
        <v>096270036</v>
      </c>
      <c r="G3742" t="str">
        <f>T("FISC SIGONELLA HQ")</f>
        <v>FISC SIGONELLA HQ</v>
      </c>
      <c r="H3742" t="str">
        <f>T("PSC 812 BOX 3560")</f>
        <v>PSC 812 BOX 3560</v>
      </c>
      <c r="I3742" t="str">
        <f t="shared" si="1461"/>
        <v>FPO</v>
      </c>
      <c r="J3742" t="str">
        <f t="shared" si="1463"/>
        <v>AE</v>
      </c>
      <c r="K3742" t="str">
        <f>T("1111111111")</f>
        <v>1111111111</v>
      </c>
      <c r="L3742" t="str">
        <f>T("3186245003")</f>
        <v>3186245003</v>
      </c>
    </row>
    <row r="3743" spans="1:12" x14ac:dyDescent="0.35">
      <c r="A3743" t="str">
        <f>T("FLC SIGONELL")</f>
        <v>FLC SIGONELL</v>
      </c>
      <c r="B3743" t="str">
        <f>T("FLC SIGONELLA HQ")</f>
        <v>FLC SIGONELLA HQ</v>
      </c>
      <c r="C3743" t="str">
        <f>T("PSC 812 BOX 3560")</f>
        <v>PSC 812 BOX 3560</v>
      </c>
      <c r="D3743" t="str">
        <f t="shared" si="1456"/>
        <v>FPO</v>
      </c>
      <c r="E3743" t="str">
        <f t="shared" si="1462"/>
        <v>AE</v>
      </c>
      <c r="F3743" t="str">
        <f>T("096270036")</f>
        <v>096270036</v>
      </c>
      <c r="G3743" t="str">
        <f>T("FLC SIGONELLA HQ")</f>
        <v>FLC SIGONELLA HQ</v>
      </c>
      <c r="H3743" t="str">
        <f>T("PSC 812 BOX 3560")</f>
        <v>PSC 812 BOX 3560</v>
      </c>
      <c r="I3743" t="str">
        <f t="shared" si="1461"/>
        <v>FPO</v>
      </c>
      <c r="J3743" t="str">
        <f t="shared" si="1463"/>
        <v>AE</v>
      </c>
      <c r="K3743" t="str">
        <f>T("")</f>
        <v/>
      </c>
      <c r="L3743" t="str">
        <f t="shared" ref="L3743:L3754" si="1464">T("1111111111")</f>
        <v>1111111111</v>
      </c>
    </row>
    <row r="3744" spans="1:12" x14ac:dyDescent="0.35">
      <c r="A3744" t="str">
        <f>T("FLC SIGONELL")</f>
        <v>FLC SIGONELL</v>
      </c>
      <c r="B3744" t="str">
        <f>T("FLC SIGONELLA HQ")</f>
        <v>FLC SIGONELLA HQ</v>
      </c>
      <c r="C3744" t="str">
        <f>T("PSC 812 BOX 3560")</f>
        <v>PSC 812 BOX 3560</v>
      </c>
      <c r="D3744" t="str">
        <f t="shared" si="1456"/>
        <v>FPO</v>
      </c>
      <c r="E3744" t="str">
        <f t="shared" si="1462"/>
        <v>AE</v>
      </c>
      <c r="F3744" t="str">
        <f>T("096270036")</f>
        <v>096270036</v>
      </c>
      <c r="G3744" t="str">
        <f>T("NAVSUP FLC SIGONELLA")</f>
        <v>NAVSUP FLC SIGONELLA</v>
      </c>
      <c r="H3744" t="str">
        <f>T("PSC 812 BOX 19")</f>
        <v>PSC 812 BOX 19</v>
      </c>
      <c r="I3744" t="str">
        <f t="shared" si="1461"/>
        <v>FPO</v>
      </c>
      <c r="J3744" t="str">
        <f t="shared" si="1463"/>
        <v>AE</v>
      </c>
      <c r="K3744" t="str">
        <f>T("111111111111111111")</f>
        <v>111111111111111111</v>
      </c>
      <c r="L3744" t="str">
        <f t="shared" si="1464"/>
        <v>1111111111</v>
      </c>
    </row>
    <row r="3745" spans="1:12" x14ac:dyDescent="0.35">
      <c r="A3745" t="str">
        <f>T("FLC SIGONELL")</f>
        <v>FLC SIGONELL</v>
      </c>
      <c r="B3745" t="str">
        <f>T("FLC SIGONELLA HQ")</f>
        <v>FLC SIGONELLA HQ</v>
      </c>
      <c r="C3745" t="str">
        <f>T("PSC 812 BOX 3560")</f>
        <v>PSC 812 BOX 3560</v>
      </c>
      <c r="D3745" t="str">
        <f t="shared" si="1456"/>
        <v>FPO</v>
      </c>
      <c r="E3745" t="str">
        <f t="shared" si="1462"/>
        <v>AE</v>
      </c>
      <c r="F3745" t="str">
        <f>T("096270036")</f>
        <v>096270036</v>
      </c>
      <c r="G3745" t="str">
        <f>T("PSC 812")</f>
        <v>PSC 812</v>
      </c>
      <c r="H3745" t="str">
        <f>T("BOX 19")</f>
        <v>BOX 19</v>
      </c>
      <c r="I3745" t="str">
        <f t="shared" si="1461"/>
        <v>FPO</v>
      </c>
      <c r="J3745" t="str">
        <f t="shared" si="1463"/>
        <v>AE</v>
      </c>
      <c r="K3745" t="str">
        <f>T("1213334111111111")</f>
        <v>1213334111111111</v>
      </c>
      <c r="L3745" t="str">
        <f t="shared" si="1464"/>
        <v>1111111111</v>
      </c>
    </row>
    <row r="3746" spans="1:12" x14ac:dyDescent="0.35">
      <c r="A3746" t="str">
        <f>T("FLC SIGONELL")</f>
        <v>FLC SIGONELL</v>
      </c>
      <c r="B3746" t="str">
        <f>T("FLC SIGONELLA HQ")</f>
        <v>FLC SIGONELLA HQ</v>
      </c>
      <c r="C3746" t="str">
        <f>T("PSC 812 BOX 3560")</f>
        <v>PSC 812 BOX 3560</v>
      </c>
      <c r="D3746" t="str">
        <f t="shared" si="1456"/>
        <v>FPO</v>
      </c>
      <c r="E3746" t="str">
        <f t="shared" si="1462"/>
        <v>AE</v>
      </c>
      <c r="F3746" t="str">
        <f>T("096270036")</f>
        <v>096270036</v>
      </c>
      <c r="G3746" t="str">
        <f>T("PSC 812 BOX 3560")</f>
        <v>PSC 812 BOX 3560</v>
      </c>
      <c r="H3746" t="str">
        <f>T("")</f>
        <v/>
      </c>
      <c r="I3746" t="str">
        <f t="shared" si="1461"/>
        <v>FPO</v>
      </c>
      <c r="J3746" t="str">
        <f t="shared" si="1463"/>
        <v>AE</v>
      </c>
      <c r="K3746" t="str">
        <f>T("000000000000000000")</f>
        <v>000000000000000000</v>
      </c>
      <c r="L3746" t="str">
        <f t="shared" si="1464"/>
        <v>1111111111</v>
      </c>
    </row>
    <row r="3747" spans="1:12" x14ac:dyDescent="0.35">
      <c r="A3747" t="str">
        <f>T("FLC SIG/SOUDA")</f>
        <v>FLC SIG/SOUDA</v>
      </c>
      <c r="B3747" t="str">
        <f>T("FLC SIG DET SOUDA BAY")</f>
        <v>FLC SIG DET SOUDA BAY</v>
      </c>
      <c r="C3747" t="str">
        <f>T("PSC 814 BOX 3")</f>
        <v>PSC 814 BOX 3</v>
      </c>
      <c r="D3747" t="str">
        <f t="shared" si="1456"/>
        <v>FPO</v>
      </c>
      <c r="E3747" t="str">
        <f t="shared" si="1462"/>
        <v>AE</v>
      </c>
      <c r="F3747" t="str">
        <f>T("098650001")</f>
        <v>098650001</v>
      </c>
      <c r="G3747" t="str">
        <f>T("FLC SIG DET SOUDA BAY")</f>
        <v>FLC SIG DET SOUDA BAY</v>
      </c>
      <c r="H3747" t="str">
        <f>T("PSC 814 BOX 3")</f>
        <v>PSC 814 BOX 3</v>
      </c>
      <c r="I3747" t="str">
        <f t="shared" si="1461"/>
        <v>FPO</v>
      </c>
      <c r="J3747" t="str">
        <f t="shared" si="1463"/>
        <v>AE</v>
      </c>
      <c r="K3747" t="str">
        <f>T("")</f>
        <v/>
      </c>
      <c r="L3747" t="str">
        <f t="shared" si="1464"/>
        <v>1111111111</v>
      </c>
    </row>
    <row r="3748" spans="1:12" x14ac:dyDescent="0.35">
      <c r="A3748" t="str">
        <f>T("FLC SIG/SOUDA")</f>
        <v>FLC SIG/SOUDA</v>
      </c>
      <c r="B3748" t="str">
        <f>T("FLC SIG DET SOUDA BAY")</f>
        <v>FLC SIG DET SOUDA BAY</v>
      </c>
      <c r="C3748" t="str">
        <f>T("PSC 814 BOX 3")</f>
        <v>PSC 814 BOX 3</v>
      </c>
      <c r="D3748" t="str">
        <f t="shared" si="1456"/>
        <v>FPO</v>
      </c>
      <c r="E3748" t="str">
        <f t="shared" si="1462"/>
        <v>AE</v>
      </c>
      <c r="F3748" t="str">
        <f>T("098650001")</f>
        <v>098650001</v>
      </c>
      <c r="G3748" t="str">
        <f>T("PSC 814 BOX 3")</f>
        <v>PSC 814 BOX 3</v>
      </c>
      <c r="H3748" t="str">
        <f>T("")</f>
        <v/>
      </c>
      <c r="I3748" t="str">
        <f t="shared" si="1461"/>
        <v>FPO</v>
      </c>
      <c r="J3748" t="str">
        <f t="shared" si="1463"/>
        <v>AE</v>
      </c>
      <c r="K3748" t="str">
        <f>T("000000000000000000")</f>
        <v>000000000000000000</v>
      </c>
      <c r="L3748" t="str">
        <f t="shared" si="1464"/>
        <v>1111111111</v>
      </c>
    </row>
    <row r="3749" spans="1:12" x14ac:dyDescent="0.35">
      <c r="A3749" t="str">
        <f>T("FLC SIG/SOUDA")</f>
        <v>FLC SIG/SOUDA</v>
      </c>
      <c r="B3749" t="str">
        <f>T("FLC SIG DET SOUDA BAY")</f>
        <v>FLC SIG DET SOUDA BAY</v>
      </c>
      <c r="C3749" t="str">
        <f>T("PSC 814 BOX 3")</f>
        <v>PSC 814 BOX 3</v>
      </c>
      <c r="D3749" t="str">
        <f t="shared" si="1456"/>
        <v>FPO</v>
      </c>
      <c r="E3749" t="str">
        <f t="shared" si="1462"/>
        <v>AE</v>
      </c>
      <c r="F3749" t="str">
        <f>T("098650001")</f>
        <v>098650001</v>
      </c>
      <c r="G3749" t="str">
        <f>T("PSC 814 BOX 76")</f>
        <v>PSC 814 BOX 76</v>
      </c>
      <c r="H3749" t="str">
        <f>T("FPO AE 09865")</f>
        <v>FPO AE 09865</v>
      </c>
      <c r="I3749" t="str">
        <f t="shared" si="1461"/>
        <v>FPO</v>
      </c>
      <c r="J3749" t="str">
        <f t="shared" si="1463"/>
        <v>AE</v>
      </c>
      <c r="K3749" t="str">
        <f>T("111111111111111111")</f>
        <v>111111111111111111</v>
      </c>
      <c r="L3749" t="str">
        <f t="shared" si="1464"/>
        <v>1111111111</v>
      </c>
    </row>
    <row r="3750" spans="1:12" x14ac:dyDescent="0.35">
      <c r="A3750" t="str">
        <f>T("FLC SIG/NAPLES")</f>
        <v>FLC SIG/NAPLES</v>
      </c>
      <c r="B3750" t="str">
        <f>T("CJTF-HOA J4")</f>
        <v>CJTF-HOA J4</v>
      </c>
      <c r="C3750" t="str">
        <f>T("PSC 831 BOX 0032")</f>
        <v>PSC 831 BOX 0032</v>
      </c>
      <c r="D3750" t="str">
        <f t="shared" si="1456"/>
        <v>FPO</v>
      </c>
      <c r="E3750" t="str">
        <f t="shared" si="1462"/>
        <v>AE</v>
      </c>
      <c r="F3750" t="str">
        <f>T("093630001")</f>
        <v>093630001</v>
      </c>
      <c r="G3750" t="str">
        <f>T("CJTF-HOA J4")</f>
        <v>CJTF-HOA J4</v>
      </c>
      <c r="H3750" t="str">
        <f>T("PSC 831 BOX 0032")</f>
        <v>PSC 831 BOX 0032</v>
      </c>
      <c r="I3750" t="str">
        <f t="shared" si="1461"/>
        <v>FPO</v>
      </c>
      <c r="J3750" t="str">
        <f t="shared" si="1463"/>
        <v>AE</v>
      </c>
      <c r="K3750" t="str">
        <f>T("")</f>
        <v/>
      </c>
      <c r="L3750" t="str">
        <f t="shared" si="1464"/>
        <v>1111111111</v>
      </c>
    </row>
    <row r="3751" spans="1:12" x14ac:dyDescent="0.35">
      <c r="A3751" t="str">
        <f>T("FLC SIG/NAPLES")</f>
        <v>FLC SIG/NAPLES</v>
      </c>
      <c r="B3751" t="str">
        <f>T("PSC 817 BOX 50")</f>
        <v>PSC 817 BOX 50</v>
      </c>
      <c r="C3751" t="str">
        <f>T("")</f>
        <v/>
      </c>
      <c r="D3751" t="str">
        <f>T("NAPLES,ITALY")</f>
        <v>NAPLES,ITALY</v>
      </c>
      <c r="E3751" t="str">
        <f t="shared" si="1462"/>
        <v>AE</v>
      </c>
      <c r="F3751" t="str">
        <f>T("096220001")</f>
        <v>096220001</v>
      </c>
      <c r="G3751" t="str">
        <f>T("FISC SIGONELLA NRCD NAPLES")</f>
        <v>FISC SIGONELLA NRCD NAPLES</v>
      </c>
      <c r="H3751" t="str">
        <f>T("PSC 817 BOX 50")</f>
        <v>PSC 817 BOX 50</v>
      </c>
      <c r="I3751" t="str">
        <f t="shared" si="1461"/>
        <v>FPO</v>
      </c>
      <c r="J3751" t="str">
        <f t="shared" si="1463"/>
        <v>AE</v>
      </c>
      <c r="K3751" t="str">
        <f>T("000000000000000000")</f>
        <v>000000000000000000</v>
      </c>
      <c r="L3751" t="str">
        <f t="shared" si="1464"/>
        <v>1111111111</v>
      </c>
    </row>
    <row r="3752" spans="1:12" x14ac:dyDescent="0.35">
      <c r="A3752" t="str">
        <f>T("FLC SIG/NAPLES")</f>
        <v>FLC SIG/NAPLES</v>
      </c>
      <c r="B3752" t="str">
        <f>T("PSC 817 BOX 50")</f>
        <v>PSC 817 BOX 50</v>
      </c>
      <c r="C3752" t="str">
        <f>T("")</f>
        <v/>
      </c>
      <c r="D3752" t="str">
        <f>T("NAPLES,ITALY")</f>
        <v>NAPLES,ITALY</v>
      </c>
      <c r="E3752" t="str">
        <f t="shared" si="1462"/>
        <v>AE</v>
      </c>
      <c r="F3752" t="str">
        <f>T("096220001")</f>
        <v>096220001</v>
      </c>
      <c r="G3752" t="str">
        <f>T("NAVSUP FLC SIG NAPLES")</f>
        <v>NAVSUP FLC SIG NAPLES</v>
      </c>
      <c r="H3752" t="str">
        <f>T("FPO 817 BX 50")</f>
        <v>FPO 817 BX 50</v>
      </c>
      <c r="I3752" t="str">
        <f t="shared" si="1461"/>
        <v>FPO</v>
      </c>
      <c r="J3752" t="str">
        <f t="shared" si="1463"/>
        <v>AE</v>
      </c>
      <c r="K3752" t="str">
        <f>T("111111111111111111")</f>
        <v>111111111111111111</v>
      </c>
      <c r="L3752" t="str">
        <f t="shared" si="1464"/>
        <v>1111111111</v>
      </c>
    </row>
    <row r="3753" spans="1:12" x14ac:dyDescent="0.35">
      <c r="A3753" t="str">
        <f>T("FLC SIG/NAPLES")</f>
        <v>FLC SIG/NAPLES</v>
      </c>
      <c r="B3753" t="str">
        <f>T("PSC 817 BOX 50")</f>
        <v>PSC 817 BOX 50</v>
      </c>
      <c r="C3753" t="str">
        <f>T("")</f>
        <v/>
      </c>
      <c r="D3753" t="str">
        <f>T("NAPLES,ITALY")</f>
        <v>NAPLES,ITALY</v>
      </c>
      <c r="E3753" t="str">
        <f t="shared" si="1462"/>
        <v>AE</v>
      </c>
      <c r="F3753" t="str">
        <f>T("096220001")</f>
        <v>096220001</v>
      </c>
      <c r="G3753" t="str">
        <f>T("PSC 817 BOX 50")</f>
        <v>PSC 817 BOX 50</v>
      </c>
      <c r="H3753" t="str">
        <f>T("")</f>
        <v/>
      </c>
      <c r="I3753" t="str">
        <f>T("NAPLES,ITALY")</f>
        <v>NAPLES,ITALY</v>
      </c>
      <c r="J3753" t="str">
        <f t="shared" si="1463"/>
        <v>AE</v>
      </c>
      <c r="K3753" t="str">
        <f>T("")</f>
        <v/>
      </c>
      <c r="L3753" t="str">
        <f t="shared" si="1464"/>
        <v>1111111111</v>
      </c>
    </row>
    <row r="3754" spans="1:12" x14ac:dyDescent="0.35">
      <c r="A3754" t="str">
        <f>T("FLC SIG/NAPLES")</f>
        <v>FLC SIG/NAPLES</v>
      </c>
      <c r="B3754" t="str">
        <f>T("PSC 817 BOX 50")</f>
        <v>PSC 817 BOX 50</v>
      </c>
      <c r="C3754" t="str">
        <f>T("")</f>
        <v/>
      </c>
      <c r="D3754" t="str">
        <f>T("NAPLES,ITALY")</f>
        <v>NAPLES,ITALY</v>
      </c>
      <c r="E3754" t="str">
        <f t="shared" si="1462"/>
        <v>AE</v>
      </c>
      <c r="F3754" t="str">
        <f>T("096220001")</f>
        <v>096220001</v>
      </c>
      <c r="G3754" t="str">
        <f>T("PSC 817 BOX 50")</f>
        <v>PSC 817 BOX 50</v>
      </c>
      <c r="H3754" t="str">
        <f>T("09622")</f>
        <v>09622</v>
      </c>
      <c r="I3754" t="str">
        <f>T("FPO")</f>
        <v>FPO</v>
      </c>
      <c r="J3754" t="str">
        <f t="shared" si="1463"/>
        <v>AE</v>
      </c>
      <c r="K3754" t="str">
        <f>T("111111111111111111")</f>
        <v>111111111111111111</v>
      </c>
      <c r="L3754" t="str">
        <f t="shared" si="1464"/>
        <v>1111111111</v>
      </c>
    </row>
    <row r="3755" spans="1:12" x14ac:dyDescent="0.35">
      <c r="A3755" t="str">
        <f>T("FLC JAX")</f>
        <v>FLC JAX</v>
      </c>
      <c r="B3755" t="str">
        <f>T("110 YORKTOWN AVE")</f>
        <v>110 YORKTOWN AVE</v>
      </c>
      <c r="C3755" t="str">
        <f>T("3RD FLOOR")</f>
        <v>3RD FLOOR</v>
      </c>
      <c r="D3755" t="str">
        <f>T("JACKSONVILLE")</f>
        <v>JACKSONVILLE</v>
      </c>
      <c r="E3755" t="str">
        <f>T("FL")</f>
        <v>FL</v>
      </c>
      <c r="F3755" t="str">
        <f>T("322120097")</f>
        <v>322120097</v>
      </c>
      <c r="G3755" t="str">
        <f>T("110 YORKTOWN AVE")</f>
        <v>110 YORKTOWN AVE</v>
      </c>
      <c r="H3755" t="str">
        <f>T("3RD FL")</f>
        <v>3RD FL</v>
      </c>
      <c r="I3755" t="str">
        <f>T("JACKSONVILLE")</f>
        <v>JACKSONVILLE</v>
      </c>
      <c r="J3755" t="str">
        <f>T("FL")</f>
        <v>FL</v>
      </c>
      <c r="K3755" t="str">
        <f>T("9045420142")</f>
        <v>9045420142</v>
      </c>
      <c r="L3755" t="str">
        <f>T("9045421001")</f>
        <v>9045421001</v>
      </c>
    </row>
    <row r="3756" spans="1:12" x14ac:dyDescent="0.35">
      <c r="A3756" t="str">
        <f>T("FLC JAX")</f>
        <v>FLC JAX</v>
      </c>
      <c r="B3756" t="str">
        <f>T("110 YORKTOWN AVE")</f>
        <v>110 YORKTOWN AVE</v>
      </c>
      <c r="C3756" t="str">
        <f>T("3RD FLOOR")</f>
        <v>3RD FLOOR</v>
      </c>
      <c r="D3756" t="str">
        <f>T("JACKSONVILLE")</f>
        <v>JACKSONVILLE</v>
      </c>
      <c r="E3756" t="str">
        <f>T("FL")</f>
        <v>FL</v>
      </c>
      <c r="F3756" t="str">
        <f>T("322120097")</f>
        <v>322120097</v>
      </c>
      <c r="G3756" t="str">
        <f>T("110 YORKTOWN AVE")</f>
        <v>110 YORKTOWN AVE</v>
      </c>
      <c r="H3756" t="str">
        <f>T("3RD FL")</f>
        <v>3RD FL</v>
      </c>
      <c r="I3756" t="str">
        <f>T("JACKSONVILLE")</f>
        <v>JACKSONVILLE</v>
      </c>
      <c r="J3756" t="str">
        <f>T("FL")</f>
        <v>FL</v>
      </c>
      <c r="K3756" t="str">
        <f>T("9045420142")</f>
        <v>9045420142</v>
      </c>
      <c r="L3756" t="str">
        <f>T("9045421118")</f>
        <v>9045421118</v>
      </c>
    </row>
    <row r="3757" spans="1:12" x14ac:dyDescent="0.35">
      <c r="A3757" t="str">
        <f>T("FLC JAX")</f>
        <v>FLC JAX</v>
      </c>
      <c r="B3757" t="str">
        <f>T("110 YORKTOWN AVE")</f>
        <v>110 YORKTOWN AVE</v>
      </c>
      <c r="C3757" t="str">
        <f>T("3RD FLOOR")</f>
        <v>3RD FLOOR</v>
      </c>
      <c r="D3757" t="str">
        <f>T("JACKSONVILLE")</f>
        <v>JACKSONVILLE</v>
      </c>
      <c r="E3757" t="str">
        <f>T("FL")</f>
        <v>FL</v>
      </c>
      <c r="F3757" t="str">
        <f>T("322120097")</f>
        <v>322120097</v>
      </c>
      <c r="G3757" t="str">
        <f>T("110 YORKTOWN AVE")</f>
        <v>110 YORKTOWN AVE</v>
      </c>
      <c r="H3757" t="str">
        <f>T("3RD FLOOR")</f>
        <v>3RD FLOOR</v>
      </c>
      <c r="I3757" t="str">
        <f>T("JACKSONVILLE")</f>
        <v>JACKSONVILLE</v>
      </c>
      <c r="J3757" t="str">
        <f>T("FL")</f>
        <v>FL</v>
      </c>
      <c r="K3757" t="str">
        <f>T("9045421102")</f>
        <v>9045421102</v>
      </c>
      <c r="L3757" t="str">
        <f>T("9045421129")</f>
        <v>9045421129</v>
      </c>
    </row>
    <row r="3758" spans="1:12" x14ac:dyDescent="0.35">
      <c r="A3758" t="str">
        <f t="shared" ref="A3758:A3765" si="1465">T("FLC BAHRAIN")</f>
        <v>FLC BAHRAIN</v>
      </c>
      <c r="B3758" t="str">
        <f>T("PSC 451 BOX 430")</f>
        <v>PSC 451 BOX 430</v>
      </c>
      <c r="C3758" t="str">
        <f t="shared" ref="C3758:C3765" si="1466">T("")</f>
        <v/>
      </c>
      <c r="D3758" t="str">
        <f t="shared" ref="D3758:D3765" si="1467">T("FPO")</f>
        <v>FPO</v>
      </c>
      <c r="E3758" t="str">
        <f t="shared" ref="E3758:E3765" si="1468">T("AE")</f>
        <v>AE</v>
      </c>
      <c r="F3758" t="str">
        <f>T("098340005")</f>
        <v>098340005</v>
      </c>
      <c r="G3758" t="str">
        <f>T("PSC 451 BOX 430")</f>
        <v>PSC 451 BOX 430</v>
      </c>
      <c r="H3758" t="str">
        <f>T("")</f>
        <v/>
      </c>
      <c r="I3758" t="str">
        <f t="shared" ref="I3758:I3765" si="1469">T("FPO")</f>
        <v>FPO</v>
      </c>
      <c r="J3758" t="str">
        <f t="shared" ref="J3758:J3765" si="1470">T("AE")</f>
        <v>AE</v>
      </c>
      <c r="K3758" t="str">
        <f>T("")</f>
        <v/>
      </c>
      <c r="L3758" t="str">
        <f>T("1111111111")</f>
        <v>1111111111</v>
      </c>
    </row>
    <row r="3759" spans="1:12" x14ac:dyDescent="0.35">
      <c r="A3759" t="str">
        <f t="shared" si="1465"/>
        <v>FLC BAHRAIN</v>
      </c>
      <c r="B3759" t="str">
        <f>T("PSC 451 BOX 430")</f>
        <v>PSC 451 BOX 430</v>
      </c>
      <c r="C3759" t="str">
        <f t="shared" si="1466"/>
        <v/>
      </c>
      <c r="D3759" t="str">
        <f t="shared" si="1467"/>
        <v>FPO</v>
      </c>
      <c r="E3759" t="str">
        <f t="shared" si="1468"/>
        <v>AE</v>
      </c>
      <c r="F3759" t="str">
        <f>T("098340005")</f>
        <v>098340005</v>
      </c>
      <c r="G3759" t="str">
        <f>T("PSC 451 BOX NRCD")</f>
        <v>PSC 451 BOX NRCD</v>
      </c>
      <c r="H3759" t="str">
        <f>T("")</f>
        <v/>
      </c>
      <c r="I3759" t="str">
        <f t="shared" si="1469"/>
        <v>FPO</v>
      </c>
      <c r="J3759" t="str">
        <f t="shared" si="1470"/>
        <v>AE</v>
      </c>
      <c r="K3759" t="str">
        <f>T("000000000000000000")</f>
        <v>000000000000000000</v>
      </c>
      <c r="L3759" t="str">
        <f>T("9731785415")</f>
        <v>9731785415</v>
      </c>
    </row>
    <row r="3760" spans="1:12" x14ac:dyDescent="0.35">
      <c r="A3760" t="str">
        <f t="shared" si="1465"/>
        <v>FLC BAHRAIN</v>
      </c>
      <c r="B3760" t="str">
        <f>T("PSC 451 BOX 430")</f>
        <v>PSC 451 BOX 430</v>
      </c>
      <c r="C3760" t="str">
        <f t="shared" si="1466"/>
        <v/>
      </c>
      <c r="D3760" t="str">
        <f t="shared" si="1467"/>
        <v>FPO</v>
      </c>
      <c r="E3760" t="str">
        <f t="shared" si="1468"/>
        <v>AE</v>
      </c>
      <c r="F3760" t="str">
        <f>T("098340005")</f>
        <v>098340005</v>
      </c>
      <c r="G3760" t="str">
        <f>T("PSC815 BOX 430 NRCD")</f>
        <v>PSC815 BOX 430 NRCD</v>
      </c>
      <c r="H3760" t="str">
        <f>T("PSC 815 BOX 430")</f>
        <v>PSC 815 BOX 430</v>
      </c>
      <c r="I3760" t="str">
        <f t="shared" si="1469"/>
        <v>FPO</v>
      </c>
      <c r="J3760" t="str">
        <f t="shared" si="1470"/>
        <v>AE</v>
      </c>
      <c r="K3760" t="str">
        <f>T("000000000000000000")</f>
        <v>000000000000000000</v>
      </c>
      <c r="L3760" t="str">
        <f>T("3184394106")</f>
        <v>3184394106</v>
      </c>
    </row>
    <row r="3761" spans="1:12" x14ac:dyDescent="0.35">
      <c r="A3761" t="str">
        <f t="shared" si="1465"/>
        <v>FLC BAHRAIN</v>
      </c>
      <c r="B3761" t="str">
        <f>T("PSC 851 BOX 515")</f>
        <v>PSC 851 BOX 515</v>
      </c>
      <c r="C3761" t="str">
        <f t="shared" si="1466"/>
        <v/>
      </c>
      <c r="D3761" t="str">
        <f t="shared" si="1467"/>
        <v>FPO</v>
      </c>
      <c r="E3761" t="str">
        <f t="shared" si="1468"/>
        <v>AE</v>
      </c>
      <c r="F3761" t="str">
        <f>T("098340006")</f>
        <v>098340006</v>
      </c>
      <c r="G3761" t="str">
        <f>T("PSC 851 BOX 50")</f>
        <v>PSC 851 BOX 50</v>
      </c>
      <c r="H3761" t="str">
        <f>T("")</f>
        <v/>
      </c>
      <c r="I3761" t="str">
        <f t="shared" si="1469"/>
        <v>FPO</v>
      </c>
      <c r="J3761" t="str">
        <f t="shared" si="1470"/>
        <v>AE</v>
      </c>
      <c r="K3761" t="str">
        <f>T("97317856195")</f>
        <v>97317856195</v>
      </c>
      <c r="L3761" t="str">
        <f>T("1111111111")</f>
        <v>1111111111</v>
      </c>
    </row>
    <row r="3762" spans="1:12" x14ac:dyDescent="0.35">
      <c r="A3762" t="str">
        <f t="shared" si="1465"/>
        <v>FLC BAHRAIN</v>
      </c>
      <c r="B3762" t="str">
        <f>T("PSC 851 BOX 515")</f>
        <v>PSC 851 BOX 515</v>
      </c>
      <c r="C3762" t="str">
        <f t="shared" si="1466"/>
        <v/>
      </c>
      <c r="D3762" t="str">
        <f t="shared" si="1467"/>
        <v>FPO</v>
      </c>
      <c r="E3762" t="str">
        <f t="shared" si="1468"/>
        <v>AE</v>
      </c>
      <c r="F3762" t="str">
        <f>T("098340006")</f>
        <v>098340006</v>
      </c>
      <c r="G3762" t="str">
        <f>T("PSC 851 BOX 50")</f>
        <v>PSC 851 BOX 50</v>
      </c>
      <c r="H3762" t="str">
        <f>T("FLC BAHRAIN")</f>
        <v>FLC BAHRAIN</v>
      </c>
      <c r="I3762" t="str">
        <f t="shared" si="1469"/>
        <v>FPO</v>
      </c>
      <c r="J3762" t="str">
        <f t="shared" si="1470"/>
        <v>AE</v>
      </c>
      <c r="K3762" t="str">
        <f>T("11111111111111111")</f>
        <v>11111111111111111</v>
      </c>
      <c r="L3762" t="str">
        <f>T("1111111111")</f>
        <v>1111111111</v>
      </c>
    </row>
    <row r="3763" spans="1:12" x14ac:dyDescent="0.35">
      <c r="A3763" t="str">
        <f t="shared" si="1465"/>
        <v>FLC BAHRAIN</v>
      </c>
      <c r="B3763" t="str">
        <f>T("PSC 851 BOX 515")</f>
        <v>PSC 851 BOX 515</v>
      </c>
      <c r="C3763" t="str">
        <f t="shared" si="1466"/>
        <v/>
      </c>
      <c r="D3763" t="str">
        <f t="shared" si="1467"/>
        <v>FPO</v>
      </c>
      <c r="E3763" t="str">
        <f t="shared" si="1468"/>
        <v>AE</v>
      </c>
      <c r="F3763" t="str">
        <f>T("098340006")</f>
        <v>098340006</v>
      </c>
      <c r="G3763" t="str">
        <f>T("PSC 851 BOX 50")</f>
        <v>PSC 851 BOX 50</v>
      </c>
      <c r="H3763" t="str">
        <f>T("FLC BAHRAIN")</f>
        <v>FLC BAHRAIN</v>
      </c>
      <c r="I3763" t="str">
        <f t="shared" si="1469"/>
        <v>FPO</v>
      </c>
      <c r="J3763" t="str">
        <f t="shared" si="1470"/>
        <v>AE</v>
      </c>
      <c r="K3763" t="str">
        <f>T("111111111111111111")</f>
        <v>111111111111111111</v>
      </c>
      <c r="L3763" t="str">
        <f>T("1111111111")</f>
        <v>1111111111</v>
      </c>
    </row>
    <row r="3764" spans="1:12" x14ac:dyDescent="0.35">
      <c r="A3764" t="str">
        <f t="shared" si="1465"/>
        <v>FLC BAHRAIN</v>
      </c>
      <c r="B3764" t="str">
        <f>T("PSC 851 BOX 515")</f>
        <v>PSC 851 BOX 515</v>
      </c>
      <c r="C3764" t="str">
        <f t="shared" si="1466"/>
        <v/>
      </c>
      <c r="D3764" t="str">
        <f t="shared" si="1467"/>
        <v>FPO</v>
      </c>
      <c r="E3764" t="str">
        <f t="shared" si="1468"/>
        <v>AE</v>
      </c>
      <c r="F3764" t="str">
        <f>T("098340006")</f>
        <v>098340006</v>
      </c>
      <c r="G3764" t="str">
        <f>T("PSC 851 BOX 50")</f>
        <v>PSC 851 BOX 50</v>
      </c>
      <c r="H3764" t="str">
        <f>T("FLC BAHRAIN")</f>
        <v>FLC BAHRAIN</v>
      </c>
      <c r="I3764" t="str">
        <f t="shared" si="1469"/>
        <v>FPO</v>
      </c>
      <c r="J3764" t="str">
        <f t="shared" si="1470"/>
        <v>AE</v>
      </c>
      <c r="K3764" t="str">
        <f>T("111111111111111111")</f>
        <v>111111111111111111</v>
      </c>
      <c r="L3764" t="str">
        <f>T("3184396195")</f>
        <v>3184396195</v>
      </c>
    </row>
    <row r="3765" spans="1:12" x14ac:dyDescent="0.35">
      <c r="A3765" t="str">
        <f t="shared" si="1465"/>
        <v>FLC BAHRAIN</v>
      </c>
      <c r="B3765" t="str">
        <f>T("PSC 851 BOX 515")</f>
        <v>PSC 851 BOX 515</v>
      </c>
      <c r="C3765" t="str">
        <f t="shared" si="1466"/>
        <v/>
      </c>
      <c r="D3765" t="str">
        <f t="shared" si="1467"/>
        <v>FPO</v>
      </c>
      <c r="E3765" t="str">
        <f t="shared" si="1468"/>
        <v>AE</v>
      </c>
      <c r="F3765" t="str">
        <f>T("098340006")</f>
        <v>098340006</v>
      </c>
      <c r="G3765" t="str">
        <f>T("PSC 851 BOX 515")</f>
        <v>PSC 851 BOX 515</v>
      </c>
      <c r="H3765" t="str">
        <f>T("")</f>
        <v/>
      </c>
      <c r="I3765" t="str">
        <f t="shared" si="1469"/>
        <v>FPO</v>
      </c>
      <c r="J3765" t="str">
        <f t="shared" si="1470"/>
        <v>AE</v>
      </c>
      <c r="K3765" t="str">
        <f>T("")</f>
        <v/>
      </c>
      <c r="L3765" t="str">
        <f>T("1111111111")</f>
        <v>1111111111</v>
      </c>
    </row>
    <row r="3766" spans="1:12" x14ac:dyDescent="0.35">
      <c r="A3766" t="str">
        <f>T("NAVSUP GLS")</f>
        <v>NAVSUP GLS</v>
      </c>
      <c r="B3766" t="str">
        <f>T("937 N HARBOR DR")</f>
        <v>937 N HARBOR DR</v>
      </c>
      <c r="C3766" t="str">
        <f>T("BLDG 1")</f>
        <v>BLDG 1</v>
      </c>
      <c r="D3766" t="str">
        <f>T("SAN DIEGO")</f>
        <v>SAN DIEGO</v>
      </c>
      <c r="E3766" t="str">
        <f>T("CA")</f>
        <v>CA</v>
      </c>
      <c r="F3766" t="str">
        <f>T("921320001")</f>
        <v>921320001</v>
      </c>
      <c r="G3766" t="str">
        <f>T("937 N HARBOR DR")</f>
        <v>937 N HARBOR DR</v>
      </c>
      <c r="H3766" t="str">
        <f>T("")</f>
        <v/>
      </c>
      <c r="I3766" t="str">
        <f>T("SAN DIEGO")</f>
        <v>SAN DIEGO</v>
      </c>
      <c r="J3766" t="str">
        <f>T("CA")</f>
        <v>CA</v>
      </c>
      <c r="K3766" t="str">
        <f>T("000000000000000000")</f>
        <v>000000000000000000</v>
      </c>
      <c r="L3766" t="str">
        <f>T("6195323030")</f>
        <v>6195323030</v>
      </c>
    </row>
    <row r="3767" spans="1:12" x14ac:dyDescent="0.35">
      <c r="A3767" t="str">
        <f>T("NAVSUP GLS")</f>
        <v>NAVSUP GLS</v>
      </c>
      <c r="B3767" t="str">
        <f>T("937 N HARBOR DR")</f>
        <v>937 N HARBOR DR</v>
      </c>
      <c r="C3767" t="str">
        <f>T("BLDG 1")</f>
        <v>BLDG 1</v>
      </c>
      <c r="D3767" t="str">
        <f>T("SAN DIEGO")</f>
        <v>SAN DIEGO</v>
      </c>
      <c r="E3767" t="str">
        <f>T("CA")</f>
        <v>CA</v>
      </c>
      <c r="F3767" t="str">
        <f>T("921320001")</f>
        <v>921320001</v>
      </c>
      <c r="G3767" t="str">
        <f>T("937 N HARBOR DR")</f>
        <v>937 N HARBOR DR</v>
      </c>
      <c r="H3767" t="str">
        <f>T("")</f>
        <v/>
      </c>
      <c r="I3767" t="str">
        <f>T("SAN DIEGO")</f>
        <v>SAN DIEGO</v>
      </c>
      <c r="J3767" t="str">
        <f>T("CA")</f>
        <v>CA</v>
      </c>
      <c r="K3767" t="str">
        <f>T("000000000000000000")</f>
        <v>000000000000000000</v>
      </c>
      <c r="L3767" t="str">
        <f>T("6195324580")</f>
        <v>6195324580</v>
      </c>
    </row>
    <row r="3768" spans="1:12" x14ac:dyDescent="0.35">
      <c r="A3768" t="str">
        <f>T("NAVSUP GLS")</f>
        <v>NAVSUP GLS</v>
      </c>
      <c r="B3768" t="str">
        <f>T("937 N HARBOR DR")</f>
        <v>937 N HARBOR DR</v>
      </c>
      <c r="C3768" t="str">
        <f>T("BLDG 1")</f>
        <v>BLDG 1</v>
      </c>
      <c r="D3768" t="str">
        <f>T("SAN DIEGO")</f>
        <v>SAN DIEGO</v>
      </c>
      <c r="E3768" t="str">
        <f>T("CA")</f>
        <v>CA</v>
      </c>
      <c r="F3768" t="str">
        <f>T("921320001")</f>
        <v>921320001</v>
      </c>
      <c r="G3768" t="str">
        <f>T("937 N HARBOR DR")</f>
        <v>937 N HARBOR DR</v>
      </c>
      <c r="H3768" t="str">
        <f>T("")</f>
        <v/>
      </c>
      <c r="I3768" t="str">
        <f>T("SAN DIEGO")</f>
        <v>SAN DIEGO</v>
      </c>
      <c r="J3768" t="str">
        <f>T("CA")</f>
        <v>CA</v>
      </c>
      <c r="K3768" t="str">
        <f>T("000000000000000000")</f>
        <v>000000000000000000</v>
      </c>
      <c r="L3768" t="str">
        <f>T("6195458458")</f>
        <v>6195458458</v>
      </c>
    </row>
    <row r="3769" spans="1:12" x14ac:dyDescent="0.35">
      <c r="A3769" t="str">
        <f>T("NAVSUP GLS")</f>
        <v>NAVSUP GLS</v>
      </c>
      <c r="B3769" t="str">
        <f>T("937 N HARBOR DR")</f>
        <v>937 N HARBOR DR</v>
      </c>
      <c r="C3769" t="str">
        <f>T("BLDG 1")</f>
        <v>BLDG 1</v>
      </c>
      <c r="D3769" t="str">
        <f>T("SAN DIEGO")</f>
        <v>SAN DIEGO</v>
      </c>
      <c r="E3769" t="str">
        <f>T("CA")</f>
        <v>CA</v>
      </c>
      <c r="F3769" t="str">
        <f>T("921320001")</f>
        <v>921320001</v>
      </c>
      <c r="G3769" t="str">
        <f>T("937 N HARBOR DR")</f>
        <v>937 N HARBOR DR</v>
      </c>
      <c r="H3769" t="str">
        <f>T("BLDG 1")</f>
        <v>BLDG 1</v>
      </c>
      <c r="I3769" t="str">
        <f>T("SAN DIEGO")</f>
        <v>SAN DIEGO</v>
      </c>
      <c r="J3769" t="str">
        <f>T("CA")</f>
        <v>CA</v>
      </c>
      <c r="K3769" t="str">
        <f>T("000000000000000000")</f>
        <v>000000000000000000</v>
      </c>
      <c r="L3769" t="str">
        <f>T("6195323446")</f>
        <v>6195323446</v>
      </c>
    </row>
    <row r="3770" spans="1:12" x14ac:dyDescent="0.35">
      <c r="A3770" t="str">
        <f>T("FLC SIG-NA400")</f>
        <v>FLC SIG-NA400</v>
      </c>
      <c r="B3770" t="str">
        <f>T("SITE NAPLES")</f>
        <v>SITE NAPLES</v>
      </c>
      <c r="C3770" t="str">
        <f>T("PSC 817 BOX 5")</f>
        <v>PSC 817 BOX 5</v>
      </c>
      <c r="D3770" t="str">
        <f>T("FPO")</f>
        <v>FPO</v>
      </c>
      <c r="E3770" t="str">
        <f>T("AE")</f>
        <v>AE</v>
      </c>
      <c r="F3770" t="str">
        <f>T("096220001")</f>
        <v>096220001</v>
      </c>
      <c r="G3770" t="str">
        <f>T("FLC SIG DET NAPLES CODE 400")</f>
        <v>FLC SIG DET NAPLES CODE 400</v>
      </c>
      <c r="H3770" t="str">
        <f>T("PSC 817 BOX 5")</f>
        <v>PSC 817 BOX 5</v>
      </c>
      <c r="I3770" t="str">
        <f>T("FPO")</f>
        <v>FPO</v>
      </c>
      <c r="J3770" t="str">
        <f>T("AE")</f>
        <v>AE</v>
      </c>
      <c r="K3770" t="str">
        <f>T("111111111111111111")</f>
        <v>111111111111111111</v>
      </c>
      <c r="L3770" t="str">
        <f>T("1111111111")</f>
        <v>1111111111</v>
      </c>
    </row>
    <row r="3771" spans="1:12" x14ac:dyDescent="0.35">
      <c r="A3771" t="str">
        <f>T("FLC SIG-NA400")</f>
        <v>FLC SIG-NA400</v>
      </c>
      <c r="B3771" t="str">
        <f>T("SITE NAPLES")</f>
        <v>SITE NAPLES</v>
      </c>
      <c r="C3771" t="str">
        <f>T("PSC 817 BOX 5")</f>
        <v>PSC 817 BOX 5</v>
      </c>
      <c r="D3771" t="str">
        <f>T("FPO")</f>
        <v>FPO</v>
      </c>
      <c r="E3771" t="str">
        <f>T("AE")</f>
        <v>AE</v>
      </c>
      <c r="F3771" t="str">
        <f>T("096220001")</f>
        <v>096220001</v>
      </c>
      <c r="G3771" t="str">
        <f>T("SITE NAPLES")</f>
        <v>SITE NAPLES</v>
      </c>
      <c r="H3771" t="str">
        <f>T("PSC 817 BOX 5")</f>
        <v>PSC 817 BOX 5</v>
      </c>
      <c r="I3771" t="str">
        <f>T("FPO")</f>
        <v>FPO</v>
      </c>
      <c r="J3771" t="str">
        <f>T("AE")</f>
        <v>AE</v>
      </c>
      <c r="K3771" t="str">
        <f>T("000000000000000000")</f>
        <v>000000000000000000</v>
      </c>
      <c r="L3771" t="str">
        <f>T("0113908156")</f>
        <v>0113908156</v>
      </c>
    </row>
    <row r="3772" spans="1:12" x14ac:dyDescent="0.35">
      <c r="A3772" t="str">
        <f t="shared" ref="A3772:A3785" si="1471">T("NATIONAL DEFENSE UNIV (NDU)")</f>
        <v>NATIONAL DEFENSE UNIV (NDU)</v>
      </c>
      <c r="B3772" t="str">
        <f>T("300 5TH AVE")</f>
        <v>300 5TH AVE</v>
      </c>
      <c r="C3772" t="str">
        <f>T("OPERATIONS SUITE 134")</f>
        <v>OPERATIONS SUITE 134</v>
      </c>
      <c r="D3772" t="str">
        <f>T("FORT MCNAIR")</f>
        <v>FORT MCNAIR</v>
      </c>
      <c r="E3772" t="str">
        <f t="shared" ref="E3772:E3783" si="1472">T("DC")</f>
        <v>DC</v>
      </c>
      <c r="F3772" t="str">
        <f t="shared" ref="F3772:F3783" si="1473">T("203195066")</f>
        <v>203195066</v>
      </c>
      <c r="G3772" t="str">
        <f>T("300 5TH AVE")</f>
        <v>300 5TH AVE</v>
      </c>
      <c r="H3772" t="str">
        <f>T("OPERATIONS SUITE 134")</f>
        <v>OPERATIONS SUITE 134</v>
      </c>
      <c r="I3772" t="str">
        <f>T("FORT MCNAIR")</f>
        <v>FORT MCNAIR</v>
      </c>
      <c r="J3772" t="str">
        <f t="shared" ref="J3772:J3783" si="1474">T("DC")</f>
        <v>DC</v>
      </c>
      <c r="K3772" t="str">
        <f>T("000000000000000000")</f>
        <v>000000000000000000</v>
      </c>
      <c r="L3772" t="str">
        <f>T("2026852372")</f>
        <v>2026852372</v>
      </c>
    </row>
    <row r="3773" spans="1:12" x14ac:dyDescent="0.35">
      <c r="A3773" t="str">
        <f t="shared" si="1471"/>
        <v>NATIONAL DEFENSE UNIV (NDU)</v>
      </c>
      <c r="B3773" t="str">
        <f>T("300 5TH AVE SW")</f>
        <v>300 5TH AVE SW</v>
      </c>
      <c r="C3773" t="str">
        <f>T("BLDG 62 RM 333C")</f>
        <v>BLDG 62 RM 333C</v>
      </c>
      <c r="D3773" t="str">
        <f t="shared" ref="D3773:D3783" si="1475">T("WASHINGTON")</f>
        <v>WASHINGTON</v>
      </c>
      <c r="E3773" t="str">
        <f t="shared" si="1472"/>
        <v>DC</v>
      </c>
      <c r="F3773" t="str">
        <f t="shared" si="1473"/>
        <v>203195066</v>
      </c>
      <c r="G3773" t="str">
        <f>T("300 5TH AVE BLDG 62/ RM 333C")</f>
        <v>300 5TH AVE BLDG 62/ RM 333C</v>
      </c>
      <c r="H3773" t="str">
        <f>T("FORT MCNAIR SW")</f>
        <v>FORT MCNAIR SW</v>
      </c>
      <c r="I3773" t="str">
        <f t="shared" ref="I3773:I3783" si="1476">T("WASHINGTON")</f>
        <v>WASHINGTON</v>
      </c>
      <c r="J3773" t="str">
        <f t="shared" si="1474"/>
        <v>DC</v>
      </c>
      <c r="K3773" t="str">
        <f>T("2026853733")</f>
        <v>2026853733</v>
      </c>
      <c r="L3773" t="str">
        <f>T("2026853961")</f>
        <v>2026853961</v>
      </c>
    </row>
    <row r="3774" spans="1:12" x14ac:dyDescent="0.35">
      <c r="A3774" t="str">
        <f t="shared" si="1471"/>
        <v>NATIONAL DEFENSE UNIV (NDU)</v>
      </c>
      <c r="B3774" t="str">
        <f>T("300 5TH AVE SW")</f>
        <v>300 5TH AVE SW</v>
      </c>
      <c r="C3774" t="str">
        <f>T("BLDG 62 RM 333C")</f>
        <v>BLDG 62 RM 333C</v>
      </c>
      <c r="D3774" t="str">
        <f t="shared" si="1475"/>
        <v>WASHINGTON</v>
      </c>
      <c r="E3774" t="str">
        <f t="shared" si="1472"/>
        <v>DC</v>
      </c>
      <c r="F3774" t="str">
        <f t="shared" si="1473"/>
        <v>203195066</v>
      </c>
      <c r="G3774" t="str">
        <f>T("300 5TH AVE SW")</f>
        <v>300 5TH AVE SW</v>
      </c>
      <c r="H3774" t="str">
        <f>T("BLDG 62 RM 333C")</f>
        <v>BLDG 62 RM 333C</v>
      </c>
      <c r="I3774" t="str">
        <f t="shared" si="1476"/>
        <v>WASHINGTON</v>
      </c>
      <c r="J3774" t="str">
        <f t="shared" si="1474"/>
        <v>DC</v>
      </c>
      <c r="K3774" t="str">
        <f>T("000000000000000000")</f>
        <v>000000000000000000</v>
      </c>
      <c r="L3774" t="str">
        <f>T("2026852384")</f>
        <v>2026852384</v>
      </c>
    </row>
    <row r="3775" spans="1:12" x14ac:dyDescent="0.35">
      <c r="A3775" t="str">
        <f t="shared" si="1471"/>
        <v>NATIONAL DEFENSE UNIV (NDU)</v>
      </c>
      <c r="B3775" t="str">
        <f>T("300 5TH AVE SW*")</f>
        <v>300 5TH AVE SW*</v>
      </c>
      <c r="C3775" t="str">
        <f>T("BLDG 62 RM 333C")</f>
        <v>BLDG 62 RM 333C</v>
      </c>
      <c r="D3775" t="str">
        <f t="shared" si="1475"/>
        <v>WASHINGTON</v>
      </c>
      <c r="E3775" t="str">
        <f t="shared" si="1472"/>
        <v>DC</v>
      </c>
      <c r="F3775" t="str">
        <f t="shared" si="1473"/>
        <v>203195066</v>
      </c>
      <c r="G3775" t="str">
        <f>T("300 5TH AVE SW*")</f>
        <v>300 5TH AVE SW*</v>
      </c>
      <c r="H3775" t="str">
        <f>T("BLDG 62 RM 333C")</f>
        <v>BLDG 62 RM 333C</v>
      </c>
      <c r="I3775" t="str">
        <f t="shared" si="1476"/>
        <v>WASHINGTON</v>
      </c>
      <c r="J3775" t="str">
        <f t="shared" si="1474"/>
        <v>DC</v>
      </c>
      <c r="K3775" t="str">
        <f>T("000000000000000000")</f>
        <v>000000000000000000</v>
      </c>
      <c r="L3775" t="str">
        <f>T("2026852384")</f>
        <v>2026852384</v>
      </c>
    </row>
    <row r="3776" spans="1:12" x14ac:dyDescent="0.35">
      <c r="A3776" t="str">
        <f t="shared" si="1471"/>
        <v>NATIONAL DEFENSE UNIV (NDU)</v>
      </c>
      <c r="B3776" t="str">
        <f t="shared" ref="B3776:B3783" si="1477">T("300 5TH AVENUE")</f>
        <v>300 5TH AVENUE</v>
      </c>
      <c r="C3776" t="str">
        <f t="shared" ref="C3776:C3785" si="1478">T("")</f>
        <v/>
      </c>
      <c r="D3776" t="str">
        <f t="shared" si="1475"/>
        <v>WASHINGTON</v>
      </c>
      <c r="E3776" t="str">
        <f t="shared" si="1472"/>
        <v>DC</v>
      </c>
      <c r="F3776" t="str">
        <f t="shared" si="1473"/>
        <v>203195066</v>
      </c>
      <c r="G3776" t="str">
        <f>T("300 5TH AVE")</f>
        <v>300 5TH AVE</v>
      </c>
      <c r="H3776" t="str">
        <f>T("FORT MCNAIR")</f>
        <v>FORT MCNAIR</v>
      </c>
      <c r="I3776" t="str">
        <f t="shared" si="1476"/>
        <v>WASHINGTON</v>
      </c>
      <c r="J3776" t="str">
        <f t="shared" si="1474"/>
        <v>DC</v>
      </c>
      <c r="K3776" t="str">
        <f>T("000000000000000000")</f>
        <v>000000000000000000</v>
      </c>
      <c r="L3776" t="str">
        <f>T("2026854726")</f>
        <v>2026854726</v>
      </c>
    </row>
    <row r="3777" spans="1:12" x14ac:dyDescent="0.35">
      <c r="A3777" t="str">
        <f t="shared" si="1471"/>
        <v>NATIONAL DEFENSE UNIV (NDU)</v>
      </c>
      <c r="B3777" t="str">
        <f t="shared" si="1477"/>
        <v>300 5TH AVENUE</v>
      </c>
      <c r="C3777" t="str">
        <f t="shared" si="1478"/>
        <v/>
      </c>
      <c r="D3777" t="str">
        <f t="shared" si="1475"/>
        <v>WASHINGTON</v>
      </c>
      <c r="E3777" t="str">
        <f t="shared" si="1472"/>
        <v>DC</v>
      </c>
      <c r="F3777" t="str">
        <f t="shared" si="1473"/>
        <v>203195066</v>
      </c>
      <c r="G3777" t="str">
        <f>T("300 5TH AVE FORT MCNAIR")</f>
        <v>300 5TH AVE FORT MCNAIR</v>
      </c>
      <c r="H3777" t="str">
        <f>T("")</f>
        <v/>
      </c>
      <c r="I3777" t="str">
        <f t="shared" si="1476"/>
        <v>WASHINGTON</v>
      </c>
      <c r="J3777" t="str">
        <f t="shared" si="1474"/>
        <v>DC</v>
      </c>
      <c r="K3777" t="str">
        <f>T("000000000000000000")</f>
        <v>000000000000000000</v>
      </c>
      <c r="L3777" t="str">
        <f>T("2026852236")</f>
        <v>2026852236</v>
      </c>
    </row>
    <row r="3778" spans="1:12" x14ac:dyDescent="0.35">
      <c r="A3778" t="str">
        <f t="shared" si="1471"/>
        <v>NATIONAL DEFENSE UNIV (NDU)</v>
      </c>
      <c r="B3778" t="str">
        <f t="shared" si="1477"/>
        <v>300 5TH AVENUE</v>
      </c>
      <c r="C3778" t="str">
        <f t="shared" si="1478"/>
        <v/>
      </c>
      <c r="D3778" t="str">
        <f t="shared" si="1475"/>
        <v>WASHINGTON</v>
      </c>
      <c r="E3778" t="str">
        <f t="shared" si="1472"/>
        <v>DC</v>
      </c>
      <c r="F3778" t="str">
        <f t="shared" si="1473"/>
        <v>203195066</v>
      </c>
      <c r="G3778" t="str">
        <f>T("300 5TH AVE FORT MCNAIR")</f>
        <v>300 5TH AVE FORT MCNAIR</v>
      </c>
      <c r="H3778" t="str">
        <f>T("BLDG 62 SUITE 174")</f>
        <v>BLDG 62 SUITE 174</v>
      </c>
      <c r="I3778" t="str">
        <f t="shared" si="1476"/>
        <v>WASHINGTON</v>
      </c>
      <c r="J3778" t="str">
        <f t="shared" si="1474"/>
        <v>DC</v>
      </c>
      <c r="K3778" t="str">
        <f>T("2026853978")</f>
        <v>2026853978</v>
      </c>
      <c r="L3778" t="str">
        <f>T("2026854848")</f>
        <v>2026854848</v>
      </c>
    </row>
    <row r="3779" spans="1:12" x14ac:dyDescent="0.35">
      <c r="A3779" t="str">
        <f t="shared" si="1471"/>
        <v>NATIONAL DEFENSE UNIV (NDU)</v>
      </c>
      <c r="B3779" t="str">
        <f t="shared" si="1477"/>
        <v>300 5TH AVENUE</v>
      </c>
      <c r="C3779" t="str">
        <f t="shared" si="1478"/>
        <v/>
      </c>
      <c r="D3779" t="str">
        <f t="shared" si="1475"/>
        <v>WASHINGTON</v>
      </c>
      <c r="E3779" t="str">
        <f t="shared" si="1472"/>
        <v>DC</v>
      </c>
      <c r="F3779" t="str">
        <f t="shared" si="1473"/>
        <v>203195066</v>
      </c>
      <c r="G3779" t="str">
        <f>T("300 5TH AVE FORT MCNAIR")</f>
        <v>300 5TH AVE FORT MCNAIR</v>
      </c>
      <c r="H3779" t="str">
        <f>T("BLDG 62 SUITE 177")</f>
        <v>BLDG 62 SUITE 177</v>
      </c>
      <c r="I3779" t="str">
        <f t="shared" si="1476"/>
        <v>WASHINGTON</v>
      </c>
      <c r="J3779" t="str">
        <f t="shared" si="1474"/>
        <v>DC</v>
      </c>
      <c r="K3779" t="str">
        <f>T("2026853978")</f>
        <v>2026853978</v>
      </c>
      <c r="L3779" t="str">
        <f>T("2026854871")</f>
        <v>2026854871</v>
      </c>
    </row>
    <row r="3780" spans="1:12" x14ac:dyDescent="0.35">
      <c r="A3780" t="str">
        <f t="shared" si="1471"/>
        <v>NATIONAL DEFENSE UNIV (NDU)</v>
      </c>
      <c r="B3780" t="str">
        <f t="shared" si="1477"/>
        <v>300 5TH AVENUE</v>
      </c>
      <c r="C3780" t="str">
        <f t="shared" si="1478"/>
        <v/>
      </c>
      <c r="D3780" t="str">
        <f t="shared" si="1475"/>
        <v>WASHINGTON</v>
      </c>
      <c r="E3780" t="str">
        <f t="shared" si="1472"/>
        <v>DC</v>
      </c>
      <c r="F3780" t="str">
        <f t="shared" si="1473"/>
        <v>203195066</v>
      </c>
      <c r="G3780" t="str">
        <f>T("300 5TH AVENUE")</f>
        <v>300 5TH AVENUE</v>
      </c>
      <c r="H3780" t="str">
        <f>T("")</f>
        <v/>
      </c>
      <c r="I3780" t="str">
        <f t="shared" si="1476"/>
        <v>WASHINGTON</v>
      </c>
      <c r="J3780" t="str">
        <f t="shared" si="1474"/>
        <v>DC</v>
      </c>
      <c r="K3780" t="str">
        <f>T("000000000000000000")</f>
        <v>000000000000000000</v>
      </c>
      <c r="L3780" t="str">
        <f>T("2026853725")</f>
        <v>2026853725</v>
      </c>
    </row>
    <row r="3781" spans="1:12" x14ac:dyDescent="0.35">
      <c r="A3781" t="str">
        <f t="shared" si="1471"/>
        <v>NATIONAL DEFENSE UNIV (NDU)</v>
      </c>
      <c r="B3781" t="str">
        <f t="shared" si="1477"/>
        <v>300 5TH AVENUE</v>
      </c>
      <c r="C3781" t="str">
        <f t="shared" si="1478"/>
        <v/>
      </c>
      <c r="D3781" t="str">
        <f t="shared" si="1475"/>
        <v>WASHINGTON</v>
      </c>
      <c r="E3781" t="str">
        <f t="shared" si="1472"/>
        <v>DC</v>
      </c>
      <c r="F3781" t="str">
        <f t="shared" si="1473"/>
        <v>203195066</v>
      </c>
      <c r="G3781" t="str">
        <f>T("300 5TH AVENUE")</f>
        <v>300 5TH AVENUE</v>
      </c>
      <c r="H3781" t="str">
        <f>T("")</f>
        <v/>
      </c>
      <c r="I3781" t="str">
        <f t="shared" si="1476"/>
        <v>WASHINGTON</v>
      </c>
      <c r="J3781" t="str">
        <f t="shared" si="1474"/>
        <v>DC</v>
      </c>
      <c r="K3781" t="str">
        <f>T("000000000000000000")</f>
        <v>000000000000000000</v>
      </c>
      <c r="L3781" t="str">
        <f>T("2026854846")</f>
        <v>2026854846</v>
      </c>
    </row>
    <row r="3782" spans="1:12" x14ac:dyDescent="0.35">
      <c r="A3782" t="str">
        <f t="shared" si="1471"/>
        <v>NATIONAL DEFENSE UNIV (NDU)</v>
      </c>
      <c r="B3782" t="str">
        <f t="shared" si="1477"/>
        <v>300 5TH AVENUE</v>
      </c>
      <c r="C3782" t="str">
        <f t="shared" si="1478"/>
        <v/>
      </c>
      <c r="D3782" t="str">
        <f t="shared" si="1475"/>
        <v>WASHINGTON</v>
      </c>
      <c r="E3782" t="str">
        <f t="shared" si="1472"/>
        <v>DC</v>
      </c>
      <c r="F3782" t="str">
        <f t="shared" si="1473"/>
        <v>203195066</v>
      </c>
      <c r="G3782" t="str">
        <f>T("300 5TH AVENUE")</f>
        <v>300 5TH AVENUE</v>
      </c>
      <c r="H3782" t="str">
        <f>T("")</f>
        <v/>
      </c>
      <c r="I3782" t="str">
        <f t="shared" si="1476"/>
        <v>WASHINGTON</v>
      </c>
      <c r="J3782" t="str">
        <f t="shared" si="1474"/>
        <v>DC</v>
      </c>
      <c r="K3782" t="str">
        <f>T("7574436095")</f>
        <v>7574436095</v>
      </c>
      <c r="L3782" t="str">
        <f>T("7574436094")</f>
        <v>7574436094</v>
      </c>
    </row>
    <row r="3783" spans="1:12" x14ac:dyDescent="0.35">
      <c r="A3783" t="str">
        <f t="shared" si="1471"/>
        <v>NATIONAL DEFENSE UNIV (NDU)</v>
      </c>
      <c r="B3783" t="str">
        <f t="shared" si="1477"/>
        <v>300 5TH AVENUE</v>
      </c>
      <c r="C3783" t="str">
        <f t="shared" si="1478"/>
        <v/>
      </c>
      <c r="D3783" t="str">
        <f t="shared" si="1475"/>
        <v>WASHINGTON</v>
      </c>
      <c r="E3783" t="str">
        <f t="shared" si="1472"/>
        <v>DC</v>
      </c>
      <c r="F3783" t="str">
        <f t="shared" si="1473"/>
        <v>203195066</v>
      </c>
      <c r="G3783" t="str">
        <f>T("300 FIFTH AVENUE")</f>
        <v>300 FIFTH AVENUE</v>
      </c>
      <c r="H3783" t="str">
        <f>T("")</f>
        <v/>
      </c>
      <c r="I3783" t="str">
        <f t="shared" si="1476"/>
        <v>WASHINGTON</v>
      </c>
      <c r="J3783" t="str">
        <f t="shared" si="1474"/>
        <v>DC</v>
      </c>
      <c r="K3783" t="str">
        <f>T("2026856461")</f>
        <v>2026856461</v>
      </c>
      <c r="L3783" t="str">
        <f>T("2026853639")</f>
        <v>2026853639</v>
      </c>
    </row>
    <row r="3784" spans="1:12" x14ac:dyDescent="0.35">
      <c r="A3784" t="str">
        <f t="shared" si="1471"/>
        <v>NATIONAL DEFENSE UNIV (NDU)</v>
      </c>
      <c r="B3784" t="str">
        <f>T("7800 HAMPTON BLVD")</f>
        <v>7800 HAMPTON BLVD</v>
      </c>
      <c r="C3784" t="str">
        <f t="shared" si="1478"/>
        <v/>
      </c>
      <c r="D3784" t="str">
        <f>T("NORFOLK")</f>
        <v>NORFOLK</v>
      </c>
      <c r="E3784" t="str">
        <f>T("VA")</f>
        <v>VA</v>
      </c>
      <c r="F3784" t="str">
        <f>T("235111701")</f>
        <v>235111701</v>
      </c>
      <c r="G3784" t="str">
        <f>T("7800 HAMPTON BLVD")</f>
        <v>7800 HAMPTON BLVD</v>
      </c>
      <c r="H3784" t="str">
        <f>T("")</f>
        <v/>
      </c>
      <c r="I3784" t="str">
        <f>T("NORFOLK")</f>
        <v>NORFOLK</v>
      </c>
      <c r="J3784" t="str">
        <f>T("VA")</f>
        <v>VA</v>
      </c>
      <c r="K3784" t="str">
        <f>T("000000000000000000")</f>
        <v>000000000000000000</v>
      </c>
      <c r="L3784" t="str">
        <f>T("7574436082")</f>
        <v>7574436082</v>
      </c>
    </row>
    <row r="3785" spans="1:12" x14ac:dyDescent="0.35">
      <c r="A3785" t="str">
        <f t="shared" si="1471"/>
        <v>NATIONAL DEFENSE UNIV (NDU)</v>
      </c>
      <c r="B3785" t="str">
        <f>T("7800 HAMPTON BLVD")</f>
        <v>7800 HAMPTON BLVD</v>
      </c>
      <c r="C3785" t="str">
        <f t="shared" si="1478"/>
        <v/>
      </c>
      <c r="D3785" t="str">
        <f>T("NORFOLK")</f>
        <v>NORFOLK</v>
      </c>
      <c r="E3785" t="str">
        <f>T("VA")</f>
        <v>VA</v>
      </c>
      <c r="F3785" t="str">
        <f>T("235111701")</f>
        <v>235111701</v>
      </c>
      <c r="G3785" t="str">
        <f>T("JOINT FORCES STAFF COLLEGE")</f>
        <v>JOINT FORCES STAFF COLLEGE</v>
      </c>
      <c r="H3785" t="str">
        <f>T("7800 HAMPTON BLVD")</f>
        <v>7800 HAMPTON BLVD</v>
      </c>
      <c r="I3785" t="str">
        <f>T("NORFOLK")</f>
        <v>NORFOLK</v>
      </c>
      <c r="J3785" t="str">
        <f>T("VA")</f>
        <v>VA</v>
      </c>
      <c r="K3785" t="str">
        <f>T("7574436095")</f>
        <v>7574436095</v>
      </c>
      <c r="L3785" t="str">
        <f>T("7574436099")</f>
        <v>7574436099</v>
      </c>
    </row>
    <row r="3786" spans="1:12" x14ac:dyDescent="0.35">
      <c r="A3786" t="str">
        <f t="shared" ref="A3786:A3792" si="1479">T("NWSS")</f>
        <v>NWSS</v>
      </c>
      <c r="B3786" t="str">
        <f>T("5450 CARLISLE PIKE")</f>
        <v>5450 CARLISLE PIKE</v>
      </c>
      <c r="C3786" t="str">
        <f>T("NWSS/MECH")</f>
        <v>NWSS/MECH</v>
      </c>
      <c r="D3786" t="str">
        <f t="shared" ref="D3786:D3792" si="1480">T("MECHANICSBURG")</f>
        <v>MECHANICSBURG</v>
      </c>
      <c r="E3786" t="str">
        <f t="shared" ref="E3786:E3817" si="1481">T("PA")</f>
        <v>PA</v>
      </c>
      <c r="F3786" t="str">
        <f t="shared" ref="F3786:F3792" si="1482">T("170502411")</f>
        <v>170502411</v>
      </c>
      <c r="G3786" t="str">
        <f>T("5450 CARLISLE PIKE")</f>
        <v>5450 CARLISLE PIKE</v>
      </c>
      <c r="H3786" t="str">
        <f>T("NWSS/MECH")</f>
        <v>NWSS/MECH</v>
      </c>
      <c r="I3786" t="str">
        <f t="shared" ref="I3786:I3792" si="1483">T("MECHANICSBURG")</f>
        <v>MECHANICSBURG</v>
      </c>
      <c r="J3786" t="str">
        <f t="shared" ref="J3786:J3817" si="1484">T("PA")</f>
        <v>PA</v>
      </c>
      <c r="K3786" t="str">
        <f>T("")</f>
        <v/>
      </c>
      <c r="L3786" t="str">
        <f>T("7176055212")</f>
        <v>7176055212</v>
      </c>
    </row>
    <row r="3787" spans="1:12" x14ac:dyDescent="0.35">
      <c r="A3787" t="str">
        <f t="shared" si="1479"/>
        <v>NWSS</v>
      </c>
      <c r="B3787" t="str">
        <f>T("5450 CARLISLE PIKE")</f>
        <v>5450 CARLISLE PIKE</v>
      </c>
      <c r="C3787" t="str">
        <f>T("NWSS/MECH")</f>
        <v>NWSS/MECH</v>
      </c>
      <c r="D3787" t="str">
        <f t="shared" si="1480"/>
        <v>MECHANICSBURG</v>
      </c>
      <c r="E3787" t="str">
        <f t="shared" si="1481"/>
        <v>PA</v>
      </c>
      <c r="F3787" t="str">
        <f t="shared" si="1482"/>
        <v>170502411</v>
      </c>
      <c r="G3787" t="str">
        <f>T("NWSS MECH")</f>
        <v>NWSS MECH</v>
      </c>
      <c r="H3787" t="str">
        <f>T("5450 CARLISLE PIKE")</f>
        <v>5450 CARLISLE PIKE</v>
      </c>
      <c r="I3787" t="str">
        <f t="shared" si="1483"/>
        <v>MECHANICSBURG</v>
      </c>
      <c r="J3787" t="str">
        <f t="shared" si="1484"/>
        <v>PA</v>
      </c>
      <c r="K3787" t="str">
        <f>T("000000000000000000")</f>
        <v>000000000000000000</v>
      </c>
      <c r="L3787" t="str">
        <f>T("7176055758")</f>
        <v>7176055758</v>
      </c>
    </row>
    <row r="3788" spans="1:12" x14ac:dyDescent="0.35">
      <c r="A3788" t="str">
        <f t="shared" si="1479"/>
        <v>NWSS</v>
      </c>
      <c r="B3788" t="str">
        <f>T("NWSS MECH")</f>
        <v>NWSS MECH</v>
      </c>
      <c r="C3788" t="str">
        <f>T("5450 CARLISLE PIKE")</f>
        <v>5450 CARLISLE PIKE</v>
      </c>
      <c r="D3788" t="str">
        <f t="shared" si="1480"/>
        <v>MECHANICSBURG</v>
      </c>
      <c r="E3788" t="str">
        <f t="shared" si="1481"/>
        <v>PA</v>
      </c>
      <c r="F3788" t="str">
        <f t="shared" si="1482"/>
        <v>170502411</v>
      </c>
      <c r="G3788" t="str">
        <f>T("NWSS MECH")</f>
        <v>NWSS MECH</v>
      </c>
      <c r="H3788" t="str">
        <f>T("5450 CARLISLE PIKE")</f>
        <v>5450 CARLISLE PIKE</v>
      </c>
      <c r="I3788" t="str">
        <f t="shared" si="1483"/>
        <v>MECHANICSBURG</v>
      </c>
      <c r="J3788" t="str">
        <f t="shared" si="1484"/>
        <v>PA</v>
      </c>
      <c r="K3788" t="str">
        <f>T("")</f>
        <v/>
      </c>
      <c r="L3788" t="str">
        <f>T("7176055508")</f>
        <v>7176055508</v>
      </c>
    </row>
    <row r="3789" spans="1:12" x14ac:dyDescent="0.35">
      <c r="A3789" t="str">
        <f t="shared" si="1479"/>
        <v>NWSS</v>
      </c>
      <c r="B3789" t="str">
        <f>T("NWSS/MECH")</f>
        <v>NWSS/MECH</v>
      </c>
      <c r="C3789" t="str">
        <f>T("5450 CARLISIE PIKE")</f>
        <v>5450 CARLISIE PIKE</v>
      </c>
      <c r="D3789" t="str">
        <f t="shared" si="1480"/>
        <v>MECHANICSBURG</v>
      </c>
      <c r="E3789" t="str">
        <f t="shared" si="1481"/>
        <v>PA</v>
      </c>
      <c r="F3789" t="str">
        <f t="shared" si="1482"/>
        <v>170502411</v>
      </c>
      <c r="G3789" t="str">
        <f>T("NWSS MECHANICSBURG")</f>
        <v>NWSS MECHANICSBURG</v>
      </c>
      <c r="H3789" t="str">
        <f>T("5450 CARLISLE PIKE")</f>
        <v>5450 CARLISLE PIKE</v>
      </c>
      <c r="I3789" t="str">
        <f t="shared" si="1483"/>
        <v>MECHANICSBURG</v>
      </c>
      <c r="J3789" t="str">
        <f t="shared" si="1484"/>
        <v>PA</v>
      </c>
      <c r="K3789" t="str">
        <f>T("7175055482")</f>
        <v>7175055482</v>
      </c>
      <c r="L3789" t="str">
        <f>T("7176051534")</f>
        <v>7176051534</v>
      </c>
    </row>
    <row r="3790" spans="1:12" x14ac:dyDescent="0.35">
      <c r="A3790" t="str">
        <f t="shared" si="1479"/>
        <v>NWSS</v>
      </c>
      <c r="B3790" t="str">
        <f>T("NWSS/MECH")</f>
        <v>NWSS/MECH</v>
      </c>
      <c r="C3790" t="str">
        <f>T("5450 CARLISIE PIKE")</f>
        <v>5450 CARLISIE PIKE</v>
      </c>
      <c r="D3790" t="str">
        <f t="shared" si="1480"/>
        <v>MECHANICSBURG</v>
      </c>
      <c r="E3790" t="str">
        <f t="shared" si="1481"/>
        <v>PA</v>
      </c>
      <c r="F3790" t="str">
        <f t="shared" si="1482"/>
        <v>170502411</v>
      </c>
      <c r="G3790" t="str">
        <f>T("NWSS MECHANICSBURG")</f>
        <v>NWSS MECHANICSBURG</v>
      </c>
      <c r="H3790" t="str">
        <f>T("5450 CARLISLE PIKE")</f>
        <v>5450 CARLISLE PIKE</v>
      </c>
      <c r="I3790" t="str">
        <f t="shared" si="1483"/>
        <v>MECHANICSBURG</v>
      </c>
      <c r="J3790" t="str">
        <f t="shared" si="1484"/>
        <v>PA</v>
      </c>
      <c r="K3790" t="str">
        <f>T("7176055482")</f>
        <v>7176055482</v>
      </c>
      <c r="L3790" t="str">
        <f>T("7176055158")</f>
        <v>7176055158</v>
      </c>
    </row>
    <row r="3791" spans="1:12" x14ac:dyDescent="0.35">
      <c r="A3791" t="str">
        <f t="shared" si="1479"/>
        <v>NWSS</v>
      </c>
      <c r="B3791" t="str">
        <f>T("NWSS/MECH")</f>
        <v>NWSS/MECH</v>
      </c>
      <c r="C3791" t="str">
        <f>T("5450 CARLISIE PIKE")</f>
        <v>5450 CARLISIE PIKE</v>
      </c>
      <c r="D3791" t="str">
        <f t="shared" si="1480"/>
        <v>MECHANICSBURG</v>
      </c>
      <c r="E3791" t="str">
        <f t="shared" si="1481"/>
        <v>PA</v>
      </c>
      <c r="F3791" t="str">
        <f t="shared" si="1482"/>
        <v>170502411</v>
      </c>
      <c r="G3791" t="str">
        <f>T("NWSS MECHANICSBURG")</f>
        <v>NWSS MECHANICSBURG</v>
      </c>
      <c r="H3791" t="str">
        <f>T("5450 CARLISLE PIKE")</f>
        <v>5450 CARLISLE PIKE</v>
      </c>
      <c r="I3791" t="str">
        <f t="shared" si="1483"/>
        <v>MECHANICSBURG</v>
      </c>
      <c r="J3791" t="str">
        <f t="shared" si="1484"/>
        <v>PA</v>
      </c>
      <c r="K3791" t="str">
        <f>T("7176056878")</f>
        <v>7176056878</v>
      </c>
      <c r="L3791" t="str">
        <f>T("7176057119")</f>
        <v>7176057119</v>
      </c>
    </row>
    <row r="3792" spans="1:12" x14ac:dyDescent="0.35">
      <c r="A3792" t="str">
        <f t="shared" si="1479"/>
        <v>NWSS</v>
      </c>
      <c r="B3792" t="str">
        <f>T("NWSS/MECH")</f>
        <v>NWSS/MECH</v>
      </c>
      <c r="C3792" t="str">
        <f>T("5450 CARLISIE PIKE")</f>
        <v>5450 CARLISIE PIKE</v>
      </c>
      <c r="D3792" t="str">
        <f t="shared" si="1480"/>
        <v>MECHANICSBURG</v>
      </c>
      <c r="E3792" t="str">
        <f t="shared" si="1481"/>
        <v>PA</v>
      </c>
      <c r="F3792" t="str">
        <f t="shared" si="1482"/>
        <v>170502411</v>
      </c>
      <c r="G3792" t="str">
        <f>T("NWSS/MECH")</f>
        <v>NWSS/MECH</v>
      </c>
      <c r="H3792" t="str">
        <f>T("5450 CARLISIE PIKE")</f>
        <v>5450 CARLISIE PIKE</v>
      </c>
      <c r="I3792" t="str">
        <f t="shared" si="1483"/>
        <v>MECHANICSBURG</v>
      </c>
      <c r="J3792" t="str">
        <f t="shared" si="1484"/>
        <v>PA</v>
      </c>
      <c r="K3792" t="str">
        <f>T("7176056878")</f>
        <v>7176056878</v>
      </c>
      <c r="L3792" t="str">
        <f>T("7176051809")</f>
        <v>7176051809</v>
      </c>
    </row>
    <row r="3793" spans="1:12" x14ac:dyDescent="0.35">
      <c r="A3793" t="str">
        <f>T("NAVY/NAVICP")</f>
        <v>NAVY/NAVICP</v>
      </c>
      <c r="B3793" t="str">
        <f>T("700 ROBBINS AVENUE")</f>
        <v>700 ROBBINS AVENUE</v>
      </c>
      <c r="C3793" t="str">
        <f>T("BLDG 1")</f>
        <v>BLDG 1</v>
      </c>
      <c r="D3793" t="str">
        <f>T("PHILADELPHIA")</f>
        <v>PHILADELPHIA</v>
      </c>
      <c r="E3793" t="str">
        <f t="shared" si="1481"/>
        <v>PA</v>
      </c>
      <c r="F3793" t="str">
        <f>T("191115001")</f>
        <v>191115001</v>
      </c>
      <c r="G3793" t="str">
        <f>T("700 ROBBINS AVENUE")</f>
        <v>700 ROBBINS AVENUE</v>
      </c>
      <c r="H3793" t="str">
        <f>T("BLDG 1")</f>
        <v>BLDG 1</v>
      </c>
      <c r="I3793" t="str">
        <f>T("700 ROBBINS AVENUE")</f>
        <v>700 ROBBINS AVENUE</v>
      </c>
      <c r="J3793" t="str">
        <f t="shared" si="1484"/>
        <v>PA</v>
      </c>
      <c r="K3793" t="str">
        <f>T("000000000000000000")</f>
        <v>000000000000000000</v>
      </c>
      <c r="L3793" t="str">
        <f>T("2156974711")</f>
        <v>2156974711</v>
      </c>
    </row>
    <row r="3794" spans="1:12" x14ac:dyDescent="0.35">
      <c r="A3794" t="str">
        <f>T("NAVY/NAVICP")</f>
        <v>NAVY/NAVICP</v>
      </c>
      <c r="B3794" t="str">
        <f>T("700 ROBBINS AVENUE")</f>
        <v>700 ROBBINS AVENUE</v>
      </c>
      <c r="C3794" t="str">
        <f>T("BLDG 1")</f>
        <v>BLDG 1</v>
      </c>
      <c r="D3794" t="str">
        <f>T("PHILADELPHIA")</f>
        <v>PHILADELPHIA</v>
      </c>
      <c r="E3794" t="str">
        <f t="shared" si="1481"/>
        <v>PA</v>
      </c>
      <c r="F3794" t="str">
        <f>T("191115001")</f>
        <v>191115001</v>
      </c>
      <c r="G3794" t="str">
        <f>T("700 ROBBINS AVENUE")</f>
        <v>700 ROBBINS AVENUE</v>
      </c>
      <c r="H3794" t="str">
        <f>T("BLDG 1")</f>
        <v>BLDG 1</v>
      </c>
      <c r="I3794" t="str">
        <f>T("PHILADELPHIA")</f>
        <v>PHILADELPHIA</v>
      </c>
      <c r="J3794" t="str">
        <f t="shared" si="1484"/>
        <v>PA</v>
      </c>
      <c r="K3794" t="str">
        <f>T("000000000000000000")</f>
        <v>000000000000000000</v>
      </c>
      <c r="L3794" t="str">
        <f>T("2156973815")</f>
        <v>2156973815</v>
      </c>
    </row>
    <row r="3795" spans="1:12" x14ac:dyDescent="0.35">
      <c r="A3795" t="str">
        <f>T("NAVY/NAVICP")</f>
        <v>NAVY/NAVICP</v>
      </c>
      <c r="B3795" t="str">
        <f>T("700 ROBBINS AVENUE")</f>
        <v>700 ROBBINS AVENUE</v>
      </c>
      <c r="C3795" t="str">
        <f>T("BLDG 1")</f>
        <v>BLDG 1</v>
      </c>
      <c r="D3795" t="str">
        <f>T("PHILADELPHIA")</f>
        <v>PHILADELPHIA</v>
      </c>
      <c r="E3795" t="str">
        <f t="shared" si="1481"/>
        <v>PA</v>
      </c>
      <c r="F3795" t="str">
        <f>T("191115001")</f>
        <v>191115001</v>
      </c>
      <c r="G3795" t="str">
        <f>T("700 ROBBINS AVENUE")</f>
        <v>700 ROBBINS AVENUE</v>
      </c>
      <c r="H3795" t="str">
        <f>T("BLDG 1")</f>
        <v>BLDG 1</v>
      </c>
      <c r="I3795" t="str">
        <f>T("PHILADELPHIA")</f>
        <v>PHILADELPHIA</v>
      </c>
      <c r="J3795" t="str">
        <f t="shared" si="1484"/>
        <v>PA</v>
      </c>
      <c r="K3795" t="str">
        <f>T("2156975094")</f>
        <v>2156975094</v>
      </c>
      <c r="L3795" t="str">
        <f>T("2156974158")</f>
        <v>2156974158</v>
      </c>
    </row>
    <row r="3796" spans="1:12" x14ac:dyDescent="0.35">
      <c r="A3796" t="str">
        <f>T("NAVY/NAVICP")</f>
        <v>NAVY/NAVICP</v>
      </c>
      <c r="B3796" t="str">
        <f>T("700 ROBBINS AVENUE")</f>
        <v>700 ROBBINS AVENUE</v>
      </c>
      <c r="C3796" t="str">
        <f>T("BLDG 1")</f>
        <v>BLDG 1</v>
      </c>
      <c r="D3796" t="str">
        <f>T("PHILADELPHIA")</f>
        <v>PHILADELPHIA</v>
      </c>
      <c r="E3796" t="str">
        <f t="shared" si="1481"/>
        <v>PA</v>
      </c>
      <c r="F3796" t="str">
        <f>T("191115001")</f>
        <v>191115001</v>
      </c>
      <c r="G3796" t="str">
        <f>T("700 ROBBINS AVENUE")</f>
        <v>700 ROBBINS AVENUE</v>
      </c>
      <c r="H3796" t="str">
        <f>T("BLDG 1 ROOM 3600")</f>
        <v>BLDG 1 ROOM 3600</v>
      </c>
      <c r="I3796" t="str">
        <f>T("PHILADELPHIA")</f>
        <v>PHILADELPHIA</v>
      </c>
      <c r="J3796" t="str">
        <f t="shared" si="1484"/>
        <v>PA</v>
      </c>
      <c r="K3796" t="str">
        <f>T("2156975094")</f>
        <v>2156975094</v>
      </c>
      <c r="L3796" t="str">
        <f>T("2156973753")</f>
        <v>2156973753</v>
      </c>
    </row>
    <row r="3797" spans="1:12" x14ac:dyDescent="0.35">
      <c r="A3797" t="str">
        <f>T("NWSS M SHIPS")</f>
        <v>NWSS M SHIPS</v>
      </c>
      <c r="B3797" t="str">
        <f>T("5450 CARLISLE PIKE")</f>
        <v>5450 CARLISLE PIKE</v>
      </c>
      <c r="C3797" t="str">
        <f>T("PO BOX 2020")</f>
        <v>PO BOX 2020</v>
      </c>
      <c r="D3797" t="str">
        <f>T("MECHANICSBURG")</f>
        <v>MECHANICSBURG</v>
      </c>
      <c r="E3797" t="str">
        <f t="shared" si="1481"/>
        <v>PA</v>
      </c>
      <c r="F3797" t="str">
        <f>T("170550788")</f>
        <v>170550788</v>
      </c>
      <c r="G3797" t="str">
        <f>T("5450 CARLISLE PIKE")</f>
        <v>5450 CARLISLE PIKE</v>
      </c>
      <c r="H3797" t="str">
        <f>T("P O BOX 2020")</f>
        <v>P O BOX 2020</v>
      </c>
      <c r="I3797" t="str">
        <f>T("MECHANICSBURG")</f>
        <v>MECHANICSBURG</v>
      </c>
      <c r="J3797" t="str">
        <f t="shared" si="1484"/>
        <v>PA</v>
      </c>
      <c r="K3797" t="str">
        <f>T("7176056878")</f>
        <v>7176056878</v>
      </c>
      <c r="L3797" t="str">
        <f>T("7176051382")</f>
        <v>7176051382</v>
      </c>
    </row>
    <row r="3798" spans="1:12" x14ac:dyDescent="0.35">
      <c r="A3798" t="str">
        <f>T("NWSS M SHIPS")</f>
        <v>NWSS M SHIPS</v>
      </c>
      <c r="B3798" t="str">
        <f>T("5450 CARLISLE PIKE")</f>
        <v>5450 CARLISLE PIKE</v>
      </c>
      <c r="C3798" t="str">
        <f>T("PO BOX 2020")</f>
        <v>PO BOX 2020</v>
      </c>
      <c r="D3798" t="str">
        <f>T("MECHANICSBURG")</f>
        <v>MECHANICSBURG</v>
      </c>
      <c r="E3798" t="str">
        <f t="shared" si="1481"/>
        <v>PA</v>
      </c>
      <c r="F3798" t="str">
        <f>T("170550788")</f>
        <v>170550788</v>
      </c>
      <c r="G3798" t="str">
        <f>T("5450 CARLISLE PIKE")</f>
        <v>5450 CARLISLE PIKE</v>
      </c>
      <c r="H3798" t="str">
        <f>T("P O BOX 2020")</f>
        <v>P O BOX 2020</v>
      </c>
      <c r="I3798" t="str">
        <f>T("MECHANICSBURG")</f>
        <v>MECHANICSBURG</v>
      </c>
      <c r="J3798" t="str">
        <f t="shared" si="1484"/>
        <v>PA</v>
      </c>
      <c r="K3798" t="str">
        <f>T("7176056878")</f>
        <v>7176056878</v>
      </c>
      <c r="L3798" t="str">
        <f>T("7176054192")</f>
        <v>7176054192</v>
      </c>
    </row>
    <row r="3799" spans="1:12" x14ac:dyDescent="0.35">
      <c r="A3799" t="str">
        <f>T("NWSS M SHIPS")</f>
        <v>NWSS M SHIPS</v>
      </c>
      <c r="B3799" t="str">
        <f>T("5450 CARLISLE PIKE")</f>
        <v>5450 CARLISLE PIKE</v>
      </c>
      <c r="C3799" t="str">
        <f>T("PO BOX 2020")</f>
        <v>PO BOX 2020</v>
      </c>
      <c r="D3799" t="str">
        <f>T("MECHANICSBURG")</f>
        <v>MECHANICSBURG</v>
      </c>
      <c r="E3799" t="str">
        <f t="shared" si="1481"/>
        <v>PA</v>
      </c>
      <c r="F3799" t="str">
        <f>T("170550788")</f>
        <v>170550788</v>
      </c>
      <c r="G3799" t="str">
        <f>T("5450 CARLISLE PIKE")</f>
        <v>5450 CARLISLE PIKE</v>
      </c>
      <c r="H3799" t="str">
        <f>T("PO BOX 2020")</f>
        <v>PO BOX 2020</v>
      </c>
      <c r="I3799" t="str">
        <f>T("MECHANICSBURG")</f>
        <v>MECHANICSBURG</v>
      </c>
      <c r="J3799" t="str">
        <f t="shared" si="1484"/>
        <v>PA</v>
      </c>
      <c r="K3799" t="str">
        <f>T("7176056878")</f>
        <v>7176056878</v>
      </c>
      <c r="L3799" t="str">
        <f>T("7176051799")</f>
        <v>7176051799</v>
      </c>
    </row>
    <row r="3800" spans="1:12" x14ac:dyDescent="0.35">
      <c r="A3800" t="str">
        <f>T("NWSS M SHIPS")</f>
        <v>NWSS M SHIPS</v>
      </c>
      <c r="B3800" t="str">
        <f>T("5450 CARLISLE PIKE")</f>
        <v>5450 CARLISLE PIKE</v>
      </c>
      <c r="C3800" t="str">
        <f>T("PO BOX 2020")</f>
        <v>PO BOX 2020</v>
      </c>
      <c r="D3800" t="str">
        <f>T("MECHANICSBURG")</f>
        <v>MECHANICSBURG</v>
      </c>
      <c r="E3800" t="str">
        <f t="shared" si="1481"/>
        <v>PA</v>
      </c>
      <c r="F3800" t="str">
        <f>T("170550788")</f>
        <v>170550788</v>
      </c>
      <c r="G3800" t="str">
        <f>T("NWSS MECHANICSBURG")</f>
        <v>NWSS MECHANICSBURG</v>
      </c>
      <c r="H3800" t="str">
        <f>T("5450 CARLISLE PIKE")</f>
        <v>5450 CARLISLE PIKE</v>
      </c>
      <c r="I3800" t="str">
        <f>T("MECHANICSBURG")</f>
        <v>MECHANICSBURG</v>
      </c>
      <c r="J3800" t="str">
        <f t="shared" si="1484"/>
        <v>PA</v>
      </c>
      <c r="K3800" t="str">
        <f>T("7176055482")</f>
        <v>7176055482</v>
      </c>
      <c r="L3800" t="str">
        <f>T("7176053089")</f>
        <v>7176053089</v>
      </c>
    </row>
    <row r="3801" spans="1:12" x14ac:dyDescent="0.35">
      <c r="A3801" t="str">
        <f>T("NWSS M SHIPS")</f>
        <v>NWSS M SHIPS</v>
      </c>
      <c r="B3801" t="str">
        <f>T("5450 CARLISLE PIKE")</f>
        <v>5450 CARLISLE PIKE</v>
      </c>
      <c r="C3801" t="str">
        <f>T("PO BOX 2020")</f>
        <v>PO BOX 2020</v>
      </c>
      <c r="D3801" t="str">
        <f>T("MECHANICSBURG")</f>
        <v>MECHANICSBURG</v>
      </c>
      <c r="E3801" t="str">
        <f t="shared" si="1481"/>
        <v>PA</v>
      </c>
      <c r="F3801" t="str">
        <f>T("170550788")</f>
        <v>170550788</v>
      </c>
      <c r="G3801" t="str">
        <f>T("NWSS MECHANICSBURG")</f>
        <v>NWSS MECHANICSBURG</v>
      </c>
      <c r="H3801" t="str">
        <f>T("5450 CARLISLE PIKE")</f>
        <v>5450 CARLISLE PIKE</v>
      </c>
      <c r="I3801" t="str">
        <f>T("MECHANICSBURG")</f>
        <v>MECHANICSBURG</v>
      </c>
      <c r="J3801" t="str">
        <f t="shared" si="1484"/>
        <v>PA</v>
      </c>
      <c r="K3801" t="str">
        <f>T("7176055482")</f>
        <v>7176055482</v>
      </c>
      <c r="L3801" t="str">
        <f>T("7176054920")</f>
        <v>7176054920</v>
      </c>
    </row>
    <row r="3802" spans="1:12" x14ac:dyDescent="0.35">
      <c r="A3802" t="str">
        <f>T("NAVICP")</f>
        <v>NAVICP</v>
      </c>
      <c r="B3802" t="str">
        <f>T("700 ROBBINS AVE")</f>
        <v>700 ROBBINS AVE</v>
      </c>
      <c r="C3802" t="str">
        <f>T("BLDG 1")</f>
        <v>BLDG 1</v>
      </c>
      <c r="D3802" t="str">
        <f t="shared" ref="D3802:D3839" si="1485">T("PHILADELPHIA")</f>
        <v>PHILADELPHIA</v>
      </c>
      <c r="E3802" t="str">
        <f t="shared" si="1481"/>
        <v>PA</v>
      </c>
      <c r="F3802" t="str">
        <f>T("191115001")</f>
        <v>191115001</v>
      </c>
      <c r="G3802" t="str">
        <f>T("700 ROBBINS AVE")</f>
        <v>700 ROBBINS AVE</v>
      </c>
      <c r="H3802" t="str">
        <f>T("")</f>
        <v/>
      </c>
      <c r="I3802" t="str">
        <f t="shared" ref="I3802:I3839" si="1486">T("PHILADELPHIA")</f>
        <v>PHILADELPHIA</v>
      </c>
      <c r="J3802" t="str">
        <f t="shared" si="1484"/>
        <v>PA</v>
      </c>
      <c r="K3802" t="str">
        <f>T("2156975684")</f>
        <v>2156975684</v>
      </c>
      <c r="L3802" t="str">
        <f>T("2156970404")</f>
        <v>2156970404</v>
      </c>
    </row>
    <row r="3803" spans="1:12" x14ac:dyDescent="0.35">
      <c r="A3803" t="str">
        <f>T("NAVICP")</f>
        <v>NAVICP</v>
      </c>
      <c r="B3803" t="str">
        <f>T("700 ROBBINS AVE")</f>
        <v>700 ROBBINS AVE</v>
      </c>
      <c r="C3803" t="str">
        <f>T("BLDG 1")</f>
        <v>BLDG 1</v>
      </c>
      <c r="D3803" t="str">
        <f t="shared" si="1485"/>
        <v>PHILADELPHIA</v>
      </c>
      <c r="E3803" t="str">
        <f t="shared" si="1481"/>
        <v>PA</v>
      </c>
      <c r="F3803" t="str">
        <f>T("191115001")</f>
        <v>191115001</v>
      </c>
      <c r="G3803" t="str">
        <f>T("700 ROBBINS AVE")</f>
        <v>700 ROBBINS AVE</v>
      </c>
      <c r="H3803" t="str">
        <f>T("BLDG 1")</f>
        <v>BLDG 1</v>
      </c>
      <c r="I3803" t="str">
        <f t="shared" si="1486"/>
        <v>PHILADELPHIA</v>
      </c>
      <c r="J3803" t="str">
        <f t="shared" si="1484"/>
        <v>PA</v>
      </c>
      <c r="K3803" t="str">
        <f>T("")</f>
        <v/>
      </c>
      <c r="L3803" t="str">
        <f>T("2156975858")</f>
        <v>2156975858</v>
      </c>
    </row>
    <row r="3804" spans="1:12" x14ac:dyDescent="0.35">
      <c r="A3804" t="str">
        <f>T("NAVICP")</f>
        <v>NAVICP</v>
      </c>
      <c r="B3804" t="str">
        <f>T("700 ROBBINS AVE")</f>
        <v>700 ROBBINS AVE</v>
      </c>
      <c r="C3804" t="str">
        <f>T("BLDG 1")</f>
        <v>BLDG 1</v>
      </c>
      <c r="D3804" t="str">
        <f t="shared" si="1485"/>
        <v>PHILADELPHIA</v>
      </c>
      <c r="E3804" t="str">
        <f t="shared" si="1481"/>
        <v>PA</v>
      </c>
      <c r="F3804" t="str">
        <f>T("191115001")</f>
        <v>191115001</v>
      </c>
      <c r="G3804" t="str">
        <f>T("700 ROBBINS AVENUE")</f>
        <v>700 ROBBINS AVENUE</v>
      </c>
      <c r="H3804" t="str">
        <f>T("BLDG 1 ROOM 2600")</f>
        <v>BLDG 1 ROOM 2600</v>
      </c>
      <c r="I3804" t="str">
        <f t="shared" si="1486"/>
        <v>PHILADELPHIA</v>
      </c>
      <c r="J3804" t="str">
        <f t="shared" si="1484"/>
        <v>PA</v>
      </c>
      <c r="K3804" t="str">
        <f>T("2156972932")</f>
        <v>2156972932</v>
      </c>
      <c r="L3804" t="str">
        <f>T("2156971290")</f>
        <v>2156971290</v>
      </c>
    </row>
    <row r="3805" spans="1:12" x14ac:dyDescent="0.35">
      <c r="A3805" t="str">
        <f>T("NAVICP")</f>
        <v>NAVICP</v>
      </c>
      <c r="B3805" t="str">
        <f>T("700 ROBBINS AVE")</f>
        <v>700 ROBBINS AVE</v>
      </c>
      <c r="C3805" t="str">
        <f>T("BLDG 1")</f>
        <v>BLDG 1</v>
      </c>
      <c r="D3805" t="str">
        <f t="shared" si="1485"/>
        <v>PHILADELPHIA</v>
      </c>
      <c r="E3805" t="str">
        <f t="shared" si="1481"/>
        <v>PA</v>
      </c>
      <c r="F3805" t="str">
        <f>T("191115001")</f>
        <v>191115001</v>
      </c>
      <c r="G3805" t="str">
        <f>T("700 ROBBINS AVEUE")</f>
        <v>700 ROBBINS AVEUE</v>
      </c>
      <c r="H3805" t="str">
        <f>T("BLDG 1 ROOM 2500")</f>
        <v>BLDG 1 ROOM 2500</v>
      </c>
      <c r="I3805" t="str">
        <f t="shared" si="1486"/>
        <v>PHILADELPHIA</v>
      </c>
      <c r="J3805" t="str">
        <f t="shared" si="1484"/>
        <v>PA</v>
      </c>
      <c r="K3805" t="str">
        <f>T("000000000000000000")</f>
        <v>000000000000000000</v>
      </c>
      <c r="L3805" t="str">
        <f>T("2156975254")</f>
        <v>2156975254</v>
      </c>
    </row>
    <row r="3806" spans="1:12" x14ac:dyDescent="0.35">
      <c r="A3806" t="str">
        <f>T("NAVICP")</f>
        <v>NAVICP</v>
      </c>
      <c r="B3806" t="str">
        <f>T("BLDG 4 CODE N521B")</f>
        <v>BLDG 4 CODE N521B</v>
      </c>
      <c r="C3806" t="str">
        <f>T("700 ROBBINS AVENUE")</f>
        <v>700 ROBBINS AVENUE</v>
      </c>
      <c r="D3806" t="str">
        <f t="shared" si="1485"/>
        <v>PHILADELPHIA</v>
      </c>
      <c r="E3806" t="str">
        <f t="shared" si="1481"/>
        <v>PA</v>
      </c>
      <c r="F3806" t="str">
        <f>T("191115008")</f>
        <v>191115008</v>
      </c>
      <c r="G3806" t="str">
        <f>T("BLDG 4 CODE N521B")</f>
        <v>BLDG 4 CODE N521B</v>
      </c>
      <c r="H3806" t="str">
        <f>T("700 ROBBINS AVENUE")</f>
        <v>700 ROBBINS AVENUE</v>
      </c>
      <c r="I3806" t="str">
        <f t="shared" si="1486"/>
        <v>PHILADELPHIA</v>
      </c>
      <c r="J3806" t="str">
        <f t="shared" si="1484"/>
        <v>PA</v>
      </c>
      <c r="K3806" t="str">
        <f>T("000000000000000000")</f>
        <v>000000000000000000</v>
      </c>
      <c r="L3806" t="str">
        <f>T("2156975123")</f>
        <v>2156975123</v>
      </c>
    </row>
    <row r="3807" spans="1:12" x14ac:dyDescent="0.35">
      <c r="A3807" t="str">
        <f t="shared" ref="A3807:A3839" si="1487">T("WSS PHILA")</f>
        <v>WSS PHILA</v>
      </c>
      <c r="B3807" t="str">
        <f t="shared" ref="B3807:B3830" si="1488">T("700 ROBBINS AVE")</f>
        <v>700 ROBBINS AVE</v>
      </c>
      <c r="C3807" t="str">
        <f t="shared" ref="C3807:C3822" si="1489">T("BLDG 1")</f>
        <v>BLDG 1</v>
      </c>
      <c r="D3807" t="str">
        <f t="shared" si="1485"/>
        <v>PHILADELPHIA</v>
      </c>
      <c r="E3807" t="str">
        <f t="shared" si="1481"/>
        <v>PA</v>
      </c>
      <c r="F3807" t="str">
        <f t="shared" ref="F3807:F3822" si="1490">T("191115001")</f>
        <v>191115001</v>
      </c>
      <c r="G3807" t="str">
        <f t="shared" ref="G3807:G3820" si="1491">T("700 ROBBINS AVE")</f>
        <v>700 ROBBINS AVE</v>
      </c>
      <c r="H3807" t="str">
        <f>T("")</f>
        <v/>
      </c>
      <c r="I3807" t="str">
        <f t="shared" si="1486"/>
        <v>PHILADELPHIA</v>
      </c>
      <c r="J3807" t="str">
        <f t="shared" si="1484"/>
        <v>PA</v>
      </c>
      <c r="K3807" t="str">
        <f>T("000000000000000000")</f>
        <v>000000000000000000</v>
      </c>
      <c r="L3807" t="str">
        <f>T("2156973118")</f>
        <v>2156973118</v>
      </c>
    </row>
    <row r="3808" spans="1:12" x14ac:dyDescent="0.35">
      <c r="A3808" t="str">
        <f t="shared" si="1487"/>
        <v>WSS PHILA</v>
      </c>
      <c r="B3808" t="str">
        <f t="shared" si="1488"/>
        <v>700 ROBBINS AVE</v>
      </c>
      <c r="C3808" t="str">
        <f t="shared" si="1489"/>
        <v>BLDG 1</v>
      </c>
      <c r="D3808" t="str">
        <f t="shared" si="1485"/>
        <v>PHILADELPHIA</v>
      </c>
      <c r="E3808" t="str">
        <f t="shared" si="1481"/>
        <v>PA</v>
      </c>
      <c r="F3808" t="str">
        <f t="shared" si="1490"/>
        <v>191115001</v>
      </c>
      <c r="G3808" t="str">
        <f t="shared" si="1491"/>
        <v>700 ROBBINS AVE</v>
      </c>
      <c r="H3808" t="str">
        <f t="shared" ref="H3808:H3821" si="1492">T("BLDG 1")</f>
        <v>BLDG 1</v>
      </c>
      <c r="I3808" t="str">
        <f t="shared" si="1486"/>
        <v>PHILADELPHIA</v>
      </c>
      <c r="J3808" t="str">
        <f t="shared" si="1484"/>
        <v>PA</v>
      </c>
      <c r="K3808" t="str">
        <f>T("")</f>
        <v/>
      </c>
      <c r="L3808" t="str">
        <f>T("2156972859")</f>
        <v>2156972859</v>
      </c>
    </row>
    <row r="3809" spans="1:12" x14ac:dyDescent="0.35">
      <c r="A3809" t="str">
        <f t="shared" si="1487"/>
        <v>WSS PHILA</v>
      </c>
      <c r="B3809" t="str">
        <f t="shared" si="1488"/>
        <v>700 ROBBINS AVE</v>
      </c>
      <c r="C3809" t="str">
        <f t="shared" si="1489"/>
        <v>BLDG 1</v>
      </c>
      <c r="D3809" t="str">
        <f t="shared" si="1485"/>
        <v>PHILADELPHIA</v>
      </c>
      <c r="E3809" t="str">
        <f t="shared" si="1481"/>
        <v>PA</v>
      </c>
      <c r="F3809" t="str">
        <f t="shared" si="1490"/>
        <v>191115001</v>
      </c>
      <c r="G3809" t="str">
        <f t="shared" si="1491"/>
        <v>700 ROBBINS AVE</v>
      </c>
      <c r="H3809" t="str">
        <f t="shared" si="1492"/>
        <v>BLDG 1</v>
      </c>
      <c r="I3809" t="str">
        <f t="shared" si="1486"/>
        <v>PHILADELPHIA</v>
      </c>
      <c r="J3809" t="str">
        <f t="shared" si="1484"/>
        <v>PA</v>
      </c>
      <c r="K3809" t="str">
        <f>T("")</f>
        <v/>
      </c>
      <c r="L3809" t="str">
        <f>T("2156973910")</f>
        <v>2156973910</v>
      </c>
    </row>
    <row r="3810" spans="1:12" x14ac:dyDescent="0.35">
      <c r="A3810" t="str">
        <f t="shared" si="1487"/>
        <v>WSS PHILA</v>
      </c>
      <c r="B3810" t="str">
        <f t="shared" si="1488"/>
        <v>700 ROBBINS AVE</v>
      </c>
      <c r="C3810" t="str">
        <f t="shared" si="1489"/>
        <v>BLDG 1</v>
      </c>
      <c r="D3810" t="str">
        <f t="shared" si="1485"/>
        <v>PHILADELPHIA</v>
      </c>
      <c r="E3810" t="str">
        <f t="shared" si="1481"/>
        <v>PA</v>
      </c>
      <c r="F3810" t="str">
        <f t="shared" si="1490"/>
        <v>191115001</v>
      </c>
      <c r="G3810" t="str">
        <f t="shared" si="1491"/>
        <v>700 ROBBINS AVE</v>
      </c>
      <c r="H3810" t="str">
        <f t="shared" si="1492"/>
        <v>BLDG 1</v>
      </c>
      <c r="I3810" t="str">
        <f t="shared" si="1486"/>
        <v>PHILADELPHIA</v>
      </c>
      <c r="J3810" t="str">
        <f t="shared" si="1484"/>
        <v>PA</v>
      </c>
      <c r="K3810" t="str">
        <f>T("000000000000000000")</f>
        <v>000000000000000000</v>
      </c>
      <c r="L3810" t="str">
        <f>T("2156971396")</f>
        <v>2156971396</v>
      </c>
    </row>
    <row r="3811" spans="1:12" x14ac:dyDescent="0.35">
      <c r="A3811" t="str">
        <f t="shared" si="1487"/>
        <v>WSS PHILA</v>
      </c>
      <c r="B3811" t="str">
        <f t="shared" si="1488"/>
        <v>700 ROBBINS AVE</v>
      </c>
      <c r="C3811" t="str">
        <f t="shared" si="1489"/>
        <v>BLDG 1</v>
      </c>
      <c r="D3811" t="str">
        <f t="shared" si="1485"/>
        <v>PHILADELPHIA</v>
      </c>
      <c r="E3811" t="str">
        <f t="shared" si="1481"/>
        <v>PA</v>
      </c>
      <c r="F3811" t="str">
        <f t="shared" si="1490"/>
        <v>191115001</v>
      </c>
      <c r="G3811" t="str">
        <f t="shared" si="1491"/>
        <v>700 ROBBINS AVE</v>
      </c>
      <c r="H3811" t="str">
        <f t="shared" si="1492"/>
        <v>BLDG 1</v>
      </c>
      <c r="I3811" t="str">
        <f t="shared" si="1486"/>
        <v>PHILADELPHIA</v>
      </c>
      <c r="J3811" t="str">
        <f t="shared" si="1484"/>
        <v>PA</v>
      </c>
      <c r="K3811" t="str">
        <f>T("000000000000000000")</f>
        <v>000000000000000000</v>
      </c>
      <c r="L3811" t="str">
        <f>T("2156972146")</f>
        <v>2156972146</v>
      </c>
    </row>
    <row r="3812" spans="1:12" x14ac:dyDescent="0.35">
      <c r="A3812" t="str">
        <f t="shared" si="1487"/>
        <v>WSS PHILA</v>
      </c>
      <c r="B3812" t="str">
        <f t="shared" si="1488"/>
        <v>700 ROBBINS AVE</v>
      </c>
      <c r="C3812" t="str">
        <f t="shared" si="1489"/>
        <v>BLDG 1</v>
      </c>
      <c r="D3812" t="str">
        <f t="shared" si="1485"/>
        <v>PHILADELPHIA</v>
      </c>
      <c r="E3812" t="str">
        <f t="shared" si="1481"/>
        <v>PA</v>
      </c>
      <c r="F3812" t="str">
        <f t="shared" si="1490"/>
        <v>191115001</v>
      </c>
      <c r="G3812" t="str">
        <f t="shared" si="1491"/>
        <v>700 ROBBINS AVE</v>
      </c>
      <c r="H3812" t="str">
        <f t="shared" si="1492"/>
        <v>BLDG 1</v>
      </c>
      <c r="I3812" t="str">
        <f t="shared" si="1486"/>
        <v>PHILADELPHIA</v>
      </c>
      <c r="J3812" t="str">
        <f t="shared" si="1484"/>
        <v>PA</v>
      </c>
      <c r="K3812" t="str">
        <f>T("000000000000000000")</f>
        <v>000000000000000000</v>
      </c>
      <c r="L3812" t="str">
        <f>T("2156974545")</f>
        <v>2156974545</v>
      </c>
    </row>
    <row r="3813" spans="1:12" x14ac:dyDescent="0.35">
      <c r="A3813" t="str">
        <f t="shared" si="1487"/>
        <v>WSS PHILA</v>
      </c>
      <c r="B3813" t="str">
        <f t="shared" si="1488"/>
        <v>700 ROBBINS AVE</v>
      </c>
      <c r="C3813" t="str">
        <f t="shared" si="1489"/>
        <v>BLDG 1</v>
      </c>
      <c r="D3813" t="str">
        <f t="shared" si="1485"/>
        <v>PHILADELPHIA</v>
      </c>
      <c r="E3813" t="str">
        <f t="shared" si="1481"/>
        <v>PA</v>
      </c>
      <c r="F3813" t="str">
        <f t="shared" si="1490"/>
        <v>191115001</v>
      </c>
      <c r="G3813" t="str">
        <f t="shared" si="1491"/>
        <v>700 ROBBINS AVE</v>
      </c>
      <c r="H3813" t="str">
        <f t="shared" si="1492"/>
        <v>BLDG 1</v>
      </c>
      <c r="I3813" t="str">
        <f t="shared" si="1486"/>
        <v>PHILADELPHIA</v>
      </c>
      <c r="J3813" t="str">
        <f t="shared" si="1484"/>
        <v>PA</v>
      </c>
      <c r="K3813" t="str">
        <f>T("215-697-5457")</f>
        <v>215-697-5457</v>
      </c>
      <c r="L3813" t="str">
        <f>T("2156972949")</f>
        <v>2156972949</v>
      </c>
    </row>
    <row r="3814" spans="1:12" x14ac:dyDescent="0.35">
      <c r="A3814" t="str">
        <f t="shared" si="1487"/>
        <v>WSS PHILA</v>
      </c>
      <c r="B3814" t="str">
        <f t="shared" si="1488"/>
        <v>700 ROBBINS AVE</v>
      </c>
      <c r="C3814" t="str">
        <f t="shared" si="1489"/>
        <v>BLDG 1</v>
      </c>
      <c r="D3814" t="str">
        <f t="shared" si="1485"/>
        <v>PHILADELPHIA</v>
      </c>
      <c r="E3814" t="str">
        <f t="shared" si="1481"/>
        <v>PA</v>
      </c>
      <c r="F3814" t="str">
        <f t="shared" si="1490"/>
        <v>191115001</v>
      </c>
      <c r="G3814" t="str">
        <f t="shared" si="1491"/>
        <v>700 ROBBINS AVE</v>
      </c>
      <c r="H3814" t="str">
        <f t="shared" si="1492"/>
        <v>BLDG 1</v>
      </c>
      <c r="I3814" t="str">
        <f t="shared" si="1486"/>
        <v>PHILADELPHIA</v>
      </c>
      <c r="J3814" t="str">
        <f t="shared" si="1484"/>
        <v>PA</v>
      </c>
      <c r="K3814" t="str">
        <f>T("215-697-5457")</f>
        <v>215-697-5457</v>
      </c>
      <c r="L3814" t="str">
        <f>T("2156973819")</f>
        <v>2156973819</v>
      </c>
    </row>
    <row r="3815" spans="1:12" x14ac:dyDescent="0.35">
      <c r="A3815" t="str">
        <f t="shared" si="1487"/>
        <v>WSS PHILA</v>
      </c>
      <c r="B3815" t="str">
        <f t="shared" si="1488"/>
        <v>700 ROBBINS AVE</v>
      </c>
      <c r="C3815" t="str">
        <f t="shared" si="1489"/>
        <v>BLDG 1</v>
      </c>
      <c r="D3815" t="str">
        <f t="shared" si="1485"/>
        <v>PHILADELPHIA</v>
      </c>
      <c r="E3815" t="str">
        <f t="shared" si="1481"/>
        <v>PA</v>
      </c>
      <c r="F3815" t="str">
        <f t="shared" si="1490"/>
        <v>191115001</v>
      </c>
      <c r="G3815" t="str">
        <f t="shared" si="1491"/>
        <v>700 ROBBINS AVE</v>
      </c>
      <c r="H3815" t="str">
        <f t="shared" si="1492"/>
        <v>BLDG 1</v>
      </c>
      <c r="I3815" t="str">
        <f t="shared" si="1486"/>
        <v>PHILADELPHIA</v>
      </c>
      <c r="J3815" t="str">
        <f t="shared" si="1484"/>
        <v>PA</v>
      </c>
      <c r="K3815" t="str">
        <f>T("215-697-5457")</f>
        <v>215-697-5457</v>
      </c>
      <c r="L3815" t="str">
        <f>T("2156975668")</f>
        <v>2156975668</v>
      </c>
    </row>
    <row r="3816" spans="1:12" x14ac:dyDescent="0.35">
      <c r="A3816" t="str">
        <f t="shared" si="1487"/>
        <v>WSS PHILA</v>
      </c>
      <c r="B3816" t="str">
        <f t="shared" si="1488"/>
        <v>700 ROBBINS AVE</v>
      </c>
      <c r="C3816" t="str">
        <f t="shared" si="1489"/>
        <v>BLDG 1</v>
      </c>
      <c r="D3816" t="str">
        <f t="shared" si="1485"/>
        <v>PHILADELPHIA</v>
      </c>
      <c r="E3816" t="str">
        <f t="shared" si="1481"/>
        <v>PA</v>
      </c>
      <c r="F3816" t="str">
        <f t="shared" si="1490"/>
        <v>191115001</v>
      </c>
      <c r="G3816" t="str">
        <f t="shared" si="1491"/>
        <v>700 ROBBINS AVE</v>
      </c>
      <c r="H3816" t="str">
        <f t="shared" si="1492"/>
        <v>BLDG 1</v>
      </c>
      <c r="I3816" t="str">
        <f t="shared" si="1486"/>
        <v>PHILADELPHIA</v>
      </c>
      <c r="J3816" t="str">
        <f t="shared" si="1484"/>
        <v>PA</v>
      </c>
      <c r="K3816" t="str">
        <f>T("2156975457")</f>
        <v>2156975457</v>
      </c>
      <c r="L3816" t="str">
        <f>T("2156972101")</f>
        <v>2156972101</v>
      </c>
    </row>
    <row r="3817" spans="1:12" x14ac:dyDescent="0.35">
      <c r="A3817" t="str">
        <f t="shared" si="1487"/>
        <v>WSS PHILA</v>
      </c>
      <c r="B3817" t="str">
        <f t="shared" si="1488"/>
        <v>700 ROBBINS AVE</v>
      </c>
      <c r="C3817" t="str">
        <f t="shared" si="1489"/>
        <v>BLDG 1</v>
      </c>
      <c r="D3817" t="str">
        <f t="shared" si="1485"/>
        <v>PHILADELPHIA</v>
      </c>
      <c r="E3817" t="str">
        <f t="shared" si="1481"/>
        <v>PA</v>
      </c>
      <c r="F3817" t="str">
        <f t="shared" si="1490"/>
        <v>191115001</v>
      </c>
      <c r="G3817" t="str">
        <f t="shared" si="1491"/>
        <v>700 ROBBINS AVE</v>
      </c>
      <c r="H3817" t="str">
        <f t="shared" si="1492"/>
        <v>BLDG 1</v>
      </c>
      <c r="I3817" t="str">
        <f t="shared" si="1486"/>
        <v>PHILADELPHIA</v>
      </c>
      <c r="J3817" t="str">
        <f t="shared" si="1484"/>
        <v>PA</v>
      </c>
      <c r="K3817" t="str">
        <f>T("2156975457")</f>
        <v>2156975457</v>
      </c>
      <c r="L3817" t="str">
        <f>T("2156972146")</f>
        <v>2156972146</v>
      </c>
    </row>
    <row r="3818" spans="1:12" x14ac:dyDescent="0.35">
      <c r="A3818" t="str">
        <f t="shared" si="1487"/>
        <v>WSS PHILA</v>
      </c>
      <c r="B3818" t="str">
        <f t="shared" si="1488"/>
        <v>700 ROBBINS AVE</v>
      </c>
      <c r="C3818" t="str">
        <f t="shared" si="1489"/>
        <v>BLDG 1</v>
      </c>
      <c r="D3818" t="str">
        <f t="shared" si="1485"/>
        <v>PHILADELPHIA</v>
      </c>
      <c r="E3818" t="str">
        <f t="shared" ref="E3818:E3839" si="1493">T("PA")</f>
        <v>PA</v>
      </c>
      <c r="F3818" t="str">
        <f t="shared" si="1490"/>
        <v>191115001</v>
      </c>
      <c r="G3818" t="str">
        <f t="shared" si="1491"/>
        <v>700 ROBBINS AVE</v>
      </c>
      <c r="H3818" t="str">
        <f t="shared" si="1492"/>
        <v>BLDG 1</v>
      </c>
      <c r="I3818" t="str">
        <f t="shared" si="1486"/>
        <v>PHILADELPHIA</v>
      </c>
      <c r="J3818" t="str">
        <f t="shared" ref="J3818:J3839" si="1494">T("PA")</f>
        <v>PA</v>
      </c>
      <c r="K3818" t="str">
        <f>T("2156975457")</f>
        <v>2156975457</v>
      </c>
      <c r="L3818" t="str">
        <f>T("2156975907")</f>
        <v>2156975907</v>
      </c>
    </row>
    <row r="3819" spans="1:12" x14ac:dyDescent="0.35">
      <c r="A3819" t="str">
        <f t="shared" si="1487"/>
        <v>WSS PHILA</v>
      </c>
      <c r="B3819" t="str">
        <f t="shared" si="1488"/>
        <v>700 ROBBINS AVE</v>
      </c>
      <c r="C3819" t="str">
        <f t="shared" si="1489"/>
        <v>BLDG 1</v>
      </c>
      <c r="D3819" t="str">
        <f t="shared" si="1485"/>
        <v>PHILADELPHIA</v>
      </c>
      <c r="E3819" t="str">
        <f t="shared" si="1493"/>
        <v>PA</v>
      </c>
      <c r="F3819" t="str">
        <f t="shared" si="1490"/>
        <v>191115001</v>
      </c>
      <c r="G3819" t="str">
        <f t="shared" si="1491"/>
        <v>700 ROBBINS AVE</v>
      </c>
      <c r="H3819" t="str">
        <f t="shared" si="1492"/>
        <v>BLDG 1</v>
      </c>
      <c r="I3819" t="str">
        <f t="shared" si="1486"/>
        <v>PHILADELPHIA</v>
      </c>
      <c r="J3819" t="str">
        <f t="shared" si="1494"/>
        <v>PA</v>
      </c>
      <c r="K3819" t="str">
        <f>T("2156975457")</f>
        <v>2156975457</v>
      </c>
      <c r="L3819" t="str">
        <f>T("2156975954")</f>
        <v>2156975954</v>
      </c>
    </row>
    <row r="3820" spans="1:12" x14ac:dyDescent="0.35">
      <c r="A3820" t="str">
        <f t="shared" si="1487"/>
        <v>WSS PHILA</v>
      </c>
      <c r="B3820" t="str">
        <f t="shared" si="1488"/>
        <v>700 ROBBINS AVE</v>
      </c>
      <c r="C3820" t="str">
        <f t="shared" si="1489"/>
        <v>BLDG 1</v>
      </c>
      <c r="D3820" t="str">
        <f t="shared" si="1485"/>
        <v>PHILADELPHIA</v>
      </c>
      <c r="E3820" t="str">
        <f t="shared" si="1493"/>
        <v>PA</v>
      </c>
      <c r="F3820" t="str">
        <f t="shared" si="1490"/>
        <v>191115001</v>
      </c>
      <c r="G3820" t="str">
        <f t="shared" si="1491"/>
        <v>700 ROBBINS AVE</v>
      </c>
      <c r="H3820" t="str">
        <f t="shared" si="1492"/>
        <v>BLDG 1</v>
      </c>
      <c r="I3820" t="str">
        <f t="shared" si="1486"/>
        <v>PHILADELPHIA</v>
      </c>
      <c r="J3820" t="str">
        <f t="shared" si="1494"/>
        <v>PA</v>
      </c>
      <c r="K3820" t="str">
        <f>T("2156975457")</f>
        <v>2156975457</v>
      </c>
      <c r="L3820" t="str">
        <f>T("7176055657")</f>
        <v>7176055657</v>
      </c>
    </row>
    <row r="3821" spans="1:12" x14ac:dyDescent="0.35">
      <c r="A3821" t="str">
        <f t="shared" si="1487"/>
        <v>WSS PHILA</v>
      </c>
      <c r="B3821" t="str">
        <f t="shared" si="1488"/>
        <v>700 ROBBINS AVE</v>
      </c>
      <c r="C3821" t="str">
        <f t="shared" si="1489"/>
        <v>BLDG 1</v>
      </c>
      <c r="D3821" t="str">
        <f t="shared" si="1485"/>
        <v>PHILADELPHIA</v>
      </c>
      <c r="E3821" t="str">
        <f t="shared" si="1493"/>
        <v>PA</v>
      </c>
      <c r="F3821" t="str">
        <f t="shared" si="1490"/>
        <v>191115001</v>
      </c>
      <c r="G3821" t="str">
        <f>T("CODE N98.02")</f>
        <v>CODE N98.02</v>
      </c>
      <c r="H3821" t="str">
        <f t="shared" si="1492"/>
        <v>BLDG 1</v>
      </c>
      <c r="I3821" t="str">
        <f t="shared" si="1486"/>
        <v>PHILADELPHIA</v>
      </c>
      <c r="J3821" t="str">
        <f t="shared" si="1494"/>
        <v>PA</v>
      </c>
      <c r="K3821" t="str">
        <f>T("000000000000000000")</f>
        <v>000000000000000000</v>
      </c>
      <c r="L3821" t="str">
        <f>T("2156972699")</f>
        <v>2156972699</v>
      </c>
    </row>
    <row r="3822" spans="1:12" x14ac:dyDescent="0.35">
      <c r="A3822" t="str">
        <f t="shared" si="1487"/>
        <v>WSS PHILA</v>
      </c>
      <c r="B3822" t="str">
        <f t="shared" si="1488"/>
        <v>700 ROBBINS AVE</v>
      </c>
      <c r="C3822" t="str">
        <f t="shared" si="1489"/>
        <v>BLDG 1</v>
      </c>
      <c r="D3822" t="str">
        <f t="shared" si="1485"/>
        <v>PHILADELPHIA</v>
      </c>
      <c r="E3822" t="str">
        <f t="shared" si="1493"/>
        <v>PA</v>
      </c>
      <c r="F3822" t="str">
        <f t="shared" si="1490"/>
        <v>191115001</v>
      </c>
      <c r="G3822" t="str">
        <f>T("NAVSUP WSS N231 28")</f>
        <v>NAVSUP WSS N231 28</v>
      </c>
      <c r="H3822" t="str">
        <f>T("700 ROBBINS AVENUE")</f>
        <v>700 ROBBINS AVENUE</v>
      </c>
      <c r="I3822" t="str">
        <f t="shared" si="1486"/>
        <v>PHILADELPHIA</v>
      </c>
      <c r="J3822" t="str">
        <f t="shared" si="1494"/>
        <v>PA</v>
      </c>
      <c r="K3822" t="str">
        <f>T("2156975457")</f>
        <v>2156975457</v>
      </c>
      <c r="L3822" t="str">
        <f>T("2156972963")</f>
        <v>2156972963</v>
      </c>
    </row>
    <row r="3823" spans="1:12" x14ac:dyDescent="0.35">
      <c r="A3823" t="str">
        <f t="shared" si="1487"/>
        <v>WSS PHILA</v>
      </c>
      <c r="B3823" t="str">
        <f t="shared" si="1488"/>
        <v>700 ROBBINS AVE</v>
      </c>
      <c r="C3823" t="str">
        <f>T("BLDG 4 FMS")</f>
        <v>BLDG 4 FMS</v>
      </c>
      <c r="D3823" t="str">
        <f t="shared" si="1485"/>
        <v>PHILADELPHIA</v>
      </c>
      <c r="E3823" t="str">
        <f t="shared" si="1493"/>
        <v>PA</v>
      </c>
      <c r="F3823" t="str">
        <f>T("191115008")</f>
        <v>191115008</v>
      </c>
      <c r="G3823" t="str">
        <f>T("700 ROBBINS AVE")</f>
        <v>700 ROBBINS AVE</v>
      </c>
      <c r="H3823" t="str">
        <f>T("BLDG 4 FMS")</f>
        <v>BLDG 4 FMS</v>
      </c>
      <c r="I3823" t="str">
        <f t="shared" si="1486"/>
        <v>PHILADELPHIA</v>
      </c>
      <c r="J3823" t="str">
        <f t="shared" si="1494"/>
        <v>PA</v>
      </c>
      <c r="K3823" t="str">
        <f>T("")</f>
        <v/>
      </c>
      <c r="L3823" t="str">
        <f>T("2156974410")</f>
        <v>2156974410</v>
      </c>
    </row>
    <row r="3824" spans="1:12" x14ac:dyDescent="0.35">
      <c r="A3824" t="str">
        <f t="shared" si="1487"/>
        <v>WSS PHILA</v>
      </c>
      <c r="B3824" t="str">
        <f t="shared" si="1488"/>
        <v>700 ROBBINS AVE</v>
      </c>
      <c r="C3824" t="str">
        <f>T("BLDG 4 FMS")</f>
        <v>BLDG 4 FMS</v>
      </c>
      <c r="D3824" t="str">
        <f t="shared" si="1485"/>
        <v>PHILADELPHIA</v>
      </c>
      <c r="E3824" t="str">
        <f t="shared" si="1493"/>
        <v>PA</v>
      </c>
      <c r="F3824" t="str">
        <f>T("191115008")</f>
        <v>191115008</v>
      </c>
      <c r="G3824" t="str">
        <f>T("700 ROBBINS ST")</f>
        <v>700 ROBBINS ST</v>
      </c>
      <c r="H3824" t="str">
        <f>T("BLDG 4B N52")</f>
        <v>BLDG 4B N52</v>
      </c>
      <c r="I3824" t="str">
        <f t="shared" si="1486"/>
        <v>PHILADELPHIA</v>
      </c>
      <c r="J3824" t="str">
        <f t="shared" si="1494"/>
        <v>PA</v>
      </c>
      <c r="K3824" t="str">
        <f>T("000000000000000000")</f>
        <v>000000000000000000</v>
      </c>
      <c r="L3824" t="str">
        <f>T("2156976547")</f>
        <v>2156976547</v>
      </c>
    </row>
    <row r="3825" spans="1:12" x14ac:dyDescent="0.35">
      <c r="A3825" t="str">
        <f t="shared" si="1487"/>
        <v>WSS PHILA</v>
      </c>
      <c r="B3825" t="str">
        <f t="shared" si="1488"/>
        <v>700 ROBBINS AVE</v>
      </c>
      <c r="C3825" t="str">
        <f>T("BUILDING 1")</f>
        <v>BUILDING 1</v>
      </c>
      <c r="D3825" t="str">
        <f t="shared" si="1485"/>
        <v>PHILADELPHIA</v>
      </c>
      <c r="E3825" t="str">
        <f t="shared" si="1493"/>
        <v>PA</v>
      </c>
      <c r="F3825" t="str">
        <f>T("191115001")</f>
        <v>191115001</v>
      </c>
      <c r="G3825" t="str">
        <f t="shared" ref="G3825:G3831" si="1495">T("700 ROBBINS AVE")</f>
        <v>700 ROBBINS AVE</v>
      </c>
      <c r="H3825" t="str">
        <f>T("")</f>
        <v/>
      </c>
      <c r="I3825" t="str">
        <f t="shared" si="1486"/>
        <v>PHILADELPHIA</v>
      </c>
      <c r="J3825" t="str">
        <f t="shared" si="1494"/>
        <v>PA</v>
      </c>
      <c r="K3825" t="str">
        <f>T("000000000000000000")</f>
        <v>000000000000000000</v>
      </c>
      <c r="L3825" t="str">
        <f>T("2156972143")</f>
        <v>2156972143</v>
      </c>
    </row>
    <row r="3826" spans="1:12" x14ac:dyDescent="0.35">
      <c r="A3826" t="str">
        <f t="shared" si="1487"/>
        <v>WSS PHILA</v>
      </c>
      <c r="B3826" t="str">
        <f t="shared" si="1488"/>
        <v>700 ROBBINS AVE</v>
      </c>
      <c r="C3826" t="str">
        <f>T("BUILDING 1")</f>
        <v>BUILDING 1</v>
      </c>
      <c r="D3826" t="str">
        <f t="shared" si="1485"/>
        <v>PHILADELPHIA</v>
      </c>
      <c r="E3826" t="str">
        <f t="shared" si="1493"/>
        <v>PA</v>
      </c>
      <c r="F3826" t="str">
        <f>T("191115001")</f>
        <v>191115001</v>
      </c>
      <c r="G3826" t="str">
        <f t="shared" si="1495"/>
        <v>700 ROBBINS AVE</v>
      </c>
      <c r="H3826" t="str">
        <f>T("BLDG 1")</f>
        <v>BLDG 1</v>
      </c>
      <c r="I3826" t="str">
        <f t="shared" si="1486"/>
        <v>PHILADELPHIA</v>
      </c>
      <c r="J3826" t="str">
        <f t="shared" si="1494"/>
        <v>PA</v>
      </c>
      <c r="K3826" t="str">
        <f>T("2156975457")</f>
        <v>2156975457</v>
      </c>
      <c r="L3826" t="str">
        <f>T("2156974055")</f>
        <v>2156974055</v>
      </c>
    </row>
    <row r="3827" spans="1:12" x14ac:dyDescent="0.35">
      <c r="A3827" t="str">
        <f t="shared" si="1487"/>
        <v>WSS PHILA</v>
      </c>
      <c r="B3827" t="str">
        <f t="shared" si="1488"/>
        <v>700 ROBBINS AVE</v>
      </c>
      <c r="C3827" t="str">
        <f>T("BUILDING 1")</f>
        <v>BUILDING 1</v>
      </c>
      <c r="D3827" t="str">
        <f t="shared" si="1485"/>
        <v>PHILADELPHIA</v>
      </c>
      <c r="E3827" t="str">
        <f t="shared" si="1493"/>
        <v>PA</v>
      </c>
      <c r="F3827" t="str">
        <f>T("191115001")</f>
        <v>191115001</v>
      </c>
      <c r="G3827" t="str">
        <f t="shared" si="1495"/>
        <v>700 ROBBINS AVE</v>
      </c>
      <c r="H3827" t="str">
        <f>T("BUILDING 1")</f>
        <v>BUILDING 1</v>
      </c>
      <c r="I3827" t="str">
        <f t="shared" si="1486"/>
        <v>PHILADELPHIA</v>
      </c>
      <c r="J3827" t="str">
        <f t="shared" si="1494"/>
        <v>PA</v>
      </c>
      <c r="K3827" t="str">
        <f>T("")</f>
        <v/>
      </c>
      <c r="L3827" t="str">
        <f>T("2156973296")</f>
        <v>2156973296</v>
      </c>
    </row>
    <row r="3828" spans="1:12" x14ac:dyDescent="0.35">
      <c r="A3828" t="str">
        <f t="shared" si="1487"/>
        <v>WSS PHILA</v>
      </c>
      <c r="B3828" t="str">
        <f t="shared" si="1488"/>
        <v>700 ROBBINS AVE</v>
      </c>
      <c r="C3828" t="str">
        <f>T("BUILDING 1")</f>
        <v>BUILDING 1</v>
      </c>
      <c r="D3828" t="str">
        <f t="shared" si="1485"/>
        <v>PHILADELPHIA</v>
      </c>
      <c r="E3828" t="str">
        <f t="shared" si="1493"/>
        <v>PA</v>
      </c>
      <c r="F3828" t="str">
        <f>T("191115001")</f>
        <v>191115001</v>
      </c>
      <c r="G3828" t="str">
        <f t="shared" si="1495"/>
        <v>700 ROBBINS AVE</v>
      </c>
      <c r="H3828" t="str">
        <f>T("BUILDING 1")</f>
        <v>BUILDING 1</v>
      </c>
      <c r="I3828" t="str">
        <f t="shared" si="1486"/>
        <v>PHILADELPHIA</v>
      </c>
      <c r="J3828" t="str">
        <f t="shared" si="1494"/>
        <v>PA</v>
      </c>
      <c r="K3828" t="str">
        <f>T("")</f>
        <v/>
      </c>
      <c r="L3828" t="str">
        <f>T("2156975283")</f>
        <v>2156975283</v>
      </c>
    </row>
    <row r="3829" spans="1:12" x14ac:dyDescent="0.35">
      <c r="A3829" t="str">
        <f t="shared" si="1487"/>
        <v>WSS PHILA</v>
      </c>
      <c r="B3829" t="str">
        <f t="shared" si="1488"/>
        <v>700 ROBBINS AVE</v>
      </c>
      <c r="C3829" t="str">
        <f>T("CORP COMMUNICATIONS")</f>
        <v>CORP COMMUNICATIONS</v>
      </c>
      <c r="D3829" t="str">
        <f t="shared" si="1485"/>
        <v>PHILADELPHIA</v>
      </c>
      <c r="E3829" t="str">
        <f t="shared" si="1493"/>
        <v>PA</v>
      </c>
      <c r="F3829" t="str">
        <f>T("191115008")</f>
        <v>191115008</v>
      </c>
      <c r="G3829" t="str">
        <f t="shared" si="1495"/>
        <v>700 ROBBINS AVE</v>
      </c>
      <c r="H3829" t="str">
        <f>T("BLDG 1")</f>
        <v>BLDG 1</v>
      </c>
      <c r="I3829" t="str">
        <f t="shared" si="1486"/>
        <v>PHILADELPHIA</v>
      </c>
      <c r="J3829" t="str">
        <f t="shared" si="1494"/>
        <v>PA</v>
      </c>
      <c r="K3829" t="str">
        <f>T("2156975457")</f>
        <v>2156975457</v>
      </c>
      <c r="L3829" t="str">
        <f>T("2156972104")</f>
        <v>2156972104</v>
      </c>
    </row>
    <row r="3830" spans="1:12" x14ac:dyDescent="0.35">
      <c r="A3830" t="str">
        <f t="shared" si="1487"/>
        <v>WSS PHILA</v>
      </c>
      <c r="B3830" t="str">
        <f t="shared" si="1488"/>
        <v>700 ROBBINS AVE</v>
      </c>
      <c r="C3830" t="str">
        <f>T("CORP COMMUNICATIONS")</f>
        <v>CORP COMMUNICATIONS</v>
      </c>
      <c r="D3830" t="str">
        <f t="shared" si="1485"/>
        <v>PHILADELPHIA</v>
      </c>
      <c r="E3830" t="str">
        <f t="shared" si="1493"/>
        <v>PA</v>
      </c>
      <c r="F3830" t="str">
        <f>T("191115008")</f>
        <v>191115008</v>
      </c>
      <c r="G3830" t="str">
        <f t="shared" si="1495"/>
        <v>700 ROBBINS AVE</v>
      </c>
      <c r="H3830" t="str">
        <f>T("CORP COMMUNICATIONS")</f>
        <v>CORP COMMUNICATIONS</v>
      </c>
      <c r="I3830" t="str">
        <f t="shared" si="1486"/>
        <v>PHILADELPHIA</v>
      </c>
      <c r="J3830" t="str">
        <f t="shared" si="1494"/>
        <v>PA</v>
      </c>
      <c r="K3830" t="str">
        <f>T("")</f>
        <v/>
      </c>
      <c r="L3830" t="str">
        <f>T("2156970105")</f>
        <v>2156970105</v>
      </c>
    </row>
    <row r="3831" spans="1:12" x14ac:dyDescent="0.35">
      <c r="A3831" t="str">
        <f t="shared" si="1487"/>
        <v>WSS PHILA</v>
      </c>
      <c r="B3831" t="str">
        <f t="shared" ref="B3831:B3837" si="1496">T("700 ROBBINS AVENUE")</f>
        <v>700 ROBBINS AVENUE</v>
      </c>
      <c r="C3831" t="str">
        <f>T("")</f>
        <v/>
      </c>
      <c r="D3831" t="str">
        <f t="shared" si="1485"/>
        <v>PHILADELPHIA</v>
      </c>
      <c r="E3831" t="str">
        <f t="shared" si="1493"/>
        <v>PA</v>
      </c>
      <c r="F3831" t="str">
        <f>T("191115008")</f>
        <v>191115008</v>
      </c>
      <c r="G3831" t="str">
        <f t="shared" si="1495"/>
        <v>700 ROBBINS AVE</v>
      </c>
      <c r="H3831" t="str">
        <f>T("BLDG 2")</f>
        <v>BLDG 2</v>
      </c>
      <c r="I3831" t="str">
        <f t="shared" si="1486"/>
        <v>PHILADELPHIA</v>
      </c>
      <c r="J3831" t="str">
        <f t="shared" si="1494"/>
        <v>PA</v>
      </c>
      <c r="K3831" t="str">
        <f>T("2156975457")</f>
        <v>2156975457</v>
      </c>
      <c r="L3831" t="str">
        <f>T("2156971218")</f>
        <v>2156971218</v>
      </c>
    </row>
    <row r="3832" spans="1:12" x14ac:dyDescent="0.35">
      <c r="A3832" t="str">
        <f t="shared" si="1487"/>
        <v>WSS PHILA</v>
      </c>
      <c r="B3832" t="str">
        <f t="shared" si="1496"/>
        <v>700 ROBBINS AVENUE</v>
      </c>
      <c r="C3832" t="str">
        <f>T("")</f>
        <v/>
      </c>
      <c r="D3832" t="str">
        <f t="shared" si="1485"/>
        <v>PHILADELPHIA</v>
      </c>
      <c r="E3832" t="str">
        <f t="shared" si="1493"/>
        <v>PA</v>
      </c>
      <c r="F3832" t="str">
        <f>T("191115008")</f>
        <v>191115008</v>
      </c>
      <c r="G3832" t="str">
        <f>T("700 ROBBINS AVENUE")</f>
        <v>700 ROBBINS AVENUE</v>
      </c>
      <c r="H3832" t="str">
        <f>T("")</f>
        <v/>
      </c>
      <c r="I3832" t="str">
        <f t="shared" si="1486"/>
        <v>PHILADELPHIA</v>
      </c>
      <c r="J3832" t="str">
        <f t="shared" si="1494"/>
        <v>PA</v>
      </c>
      <c r="K3832" t="str">
        <f>T("")</f>
        <v/>
      </c>
      <c r="L3832" t="str">
        <f>T("2156975669")</f>
        <v>2156975669</v>
      </c>
    </row>
    <row r="3833" spans="1:12" x14ac:dyDescent="0.35">
      <c r="A3833" t="str">
        <f t="shared" si="1487"/>
        <v>WSS PHILA</v>
      </c>
      <c r="B3833" t="str">
        <f t="shared" si="1496"/>
        <v>700 ROBBINS AVENUE</v>
      </c>
      <c r="C3833" t="str">
        <f>T("")</f>
        <v/>
      </c>
      <c r="D3833" t="str">
        <f t="shared" si="1485"/>
        <v>PHILADELPHIA</v>
      </c>
      <c r="E3833" t="str">
        <f t="shared" si="1493"/>
        <v>PA</v>
      </c>
      <c r="F3833" t="str">
        <f>T("191115008")</f>
        <v>191115008</v>
      </c>
      <c r="G3833" t="str">
        <f>T("700 ROBBINS AVENUE")</f>
        <v>700 ROBBINS AVENUE</v>
      </c>
      <c r="H3833" t="str">
        <f>T("BLDG 1 CODE N623")</f>
        <v>BLDG 1 CODE N623</v>
      </c>
      <c r="I3833" t="str">
        <f t="shared" si="1486"/>
        <v>PHILADELPHIA</v>
      </c>
      <c r="J3833" t="str">
        <f t="shared" si="1494"/>
        <v>PA</v>
      </c>
      <c r="K3833" t="str">
        <f>T("2156975457")</f>
        <v>2156975457</v>
      </c>
      <c r="L3833" t="str">
        <f>T("2156973936")</f>
        <v>2156973936</v>
      </c>
    </row>
    <row r="3834" spans="1:12" x14ac:dyDescent="0.35">
      <c r="A3834" t="str">
        <f t="shared" si="1487"/>
        <v>WSS PHILA</v>
      </c>
      <c r="B3834" t="str">
        <f t="shared" si="1496"/>
        <v>700 ROBBINS AVENUE</v>
      </c>
      <c r="C3834" t="str">
        <f>T("BLDG 1")</f>
        <v>BLDG 1</v>
      </c>
      <c r="D3834" t="str">
        <f t="shared" si="1485"/>
        <v>PHILADELPHIA</v>
      </c>
      <c r="E3834" t="str">
        <f t="shared" si="1493"/>
        <v>PA</v>
      </c>
      <c r="F3834" t="str">
        <f>T("191115001")</f>
        <v>191115001</v>
      </c>
      <c r="G3834" t="str">
        <f>T("700 ROBBINS AVE")</f>
        <v>700 ROBBINS AVE</v>
      </c>
      <c r="H3834" t="str">
        <f>T("BLDG 1")</f>
        <v>BLDG 1</v>
      </c>
      <c r="I3834" t="str">
        <f t="shared" si="1486"/>
        <v>PHILADELPHIA</v>
      </c>
      <c r="J3834" t="str">
        <f t="shared" si="1494"/>
        <v>PA</v>
      </c>
      <c r="K3834" t="str">
        <f>T("2156975457")</f>
        <v>2156975457</v>
      </c>
      <c r="L3834" t="str">
        <f>T("2156975751")</f>
        <v>2156975751</v>
      </c>
    </row>
    <row r="3835" spans="1:12" x14ac:dyDescent="0.35">
      <c r="A3835" t="str">
        <f t="shared" si="1487"/>
        <v>WSS PHILA</v>
      </c>
      <c r="B3835" t="str">
        <f t="shared" si="1496"/>
        <v>700 ROBBINS AVENUE</v>
      </c>
      <c r="C3835" t="str">
        <f>T("BLDG 1")</f>
        <v>BLDG 1</v>
      </c>
      <c r="D3835" t="str">
        <f t="shared" si="1485"/>
        <v>PHILADELPHIA</v>
      </c>
      <c r="E3835" t="str">
        <f t="shared" si="1493"/>
        <v>PA</v>
      </c>
      <c r="F3835" t="str">
        <f>T("191115001")</f>
        <v>191115001</v>
      </c>
      <c r="G3835" t="str">
        <f>T("700 ROBBINS AVE")</f>
        <v>700 ROBBINS AVE</v>
      </c>
      <c r="H3835" t="str">
        <f>T("BLDG 1")</f>
        <v>BLDG 1</v>
      </c>
      <c r="I3835" t="str">
        <f t="shared" si="1486"/>
        <v>PHILADELPHIA</v>
      </c>
      <c r="J3835" t="str">
        <f t="shared" si="1494"/>
        <v>PA</v>
      </c>
      <c r="K3835" t="str">
        <f>T("2156975457")</f>
        <v>2156975457</v>
      </c>
      <c r="L3835" t="str">
        <f>T("2156979989")</f>
        <v>2156979989</v>
      </c>
    </row>
    <row r="3836" spans="1:12" x14ac:dyDescent="0.35">
      <c r="A3836" t="str">
        <f t="shared" si="1487"/>
        <v>WSS PHILA</v>
      </c>
      <c r="B3836" t="str">
        <f t="shared" si="1496"/>
        <v>700 ROBBINS AVENUE</v>
      </c>
      <c r="C3836" t="str">
        <f>T("BLDG 1")</f>
        <v>BLDG 1</v>
      </c>
      <c r="D3836" t="str">
        <f t="shared" si="1485"/>
        <v>PHILADELPHIA</v>
      </c>
      <c r="E3836" t="str">
        <f t="shared" si="1493"/>
        <v>PA</v>
      </c>
      <c r="F3836" t="str">
        <f>T("191115001")</f>
        <v>191115001</v>
      </c>
      <c r="G3836" t="str">
        <f>T("700 ROBBINS AVENUE")</f>
        <v>700 ROBBINS AVENUE</v>
      </c>
      <c r="H3836" t="str">
        <f>T("BLDG 1")</f>
        <v>BLDG 1</v>
      </c>
      <c r="I3836" t="str">
        <f t="shared" si="1486"/>
        <v>PHILADELPHIA</v>
      </c>
      <c r="J3836" t="str">
        <f t="shared" si="1494"/>
        <v>PA</v>
      </c>
      <c r="K3836" t="str">
        <f>T("")</f>
        <v/>
      </c>
      <c r="L3836" t="str">
        <f>T("2156971406")</f>
        <v>2156971406</v>
      </c>
    </row>
    <row r="3837" spans="1:12" x14ac:dyDescent="0.35">
      <c r="A3837" t="str">
        <f t="shared" si="1487"/>
        <v>WSS PHILA</v>
      </c>
      <c r="B3837" t="str">
        <f t="shared" si="1496"/>
        <v>700 ROBBINS AVENUE</v>
      </c>
      <c r="C3837" t="str">
        <f>T("BLDG 1")</f>
        <v>BLDG 1</v>
      </c>
      <c r="D3837" t="str">
        <f t="shared" si="1485"/>
        <v>PHILADELPHIA</v>
      </c>
      <c r="E3837" t="str">
        <f t="shared" si="1493"/>
        <v>PA</v>
      </c>
      <c r="F3837" t="str">
        <f>T("191115001")</f>
        <v>191115001</v>
      </c>
      <c r="G3837" t="str">
        <f>T("700 ROBBINS AVENUE")</f>
        <v>700 ROBBINS AVENUE</v>
      </c>
      <c r="H3837" t="str">
        <f>T("BLDG 1")</f>
        <v>BLDG 1</v>
      </c>
      <c r="I3837" t="str">
        <f t="shared" si="1486"/>
        <v>PHILADELPHIA</v>
      </c>
      <c r="J3837" t="str">
        <f t="shared" si="1494"/>
        <v>PA</v>
      </c>
      <c r="K3837" t="str">
        <f>T("2156975457")</f>
        <v>2156975457</v>
      </c>
      <c r="L3837" t="str">
        <f>T("2156971268")</f>
        <v>2156971268</v>
      </c>
    </row>
    <row r="3838" spans="1:12" x14ac:dyDescent="0.35">
      <c r="A3838" t="str">
        <f t="shared" si="1487"/>
        <v>WSS PHILA</v>
      </c>
      <c r="B3838" t="str">
        <f>T("BLDG 4 FMS")</f>
        <v>BLDG 4 FMS</v>
      </c>
      <c r="C3838" t="str">
        <f>T("700 ROBBINS AVE")</f>
        <v>700 ROBBINS AVE</v>
      </c>
      <c r="D3838" t="str">
        <f t="shared" si="1485"/>
        <v>PHILADELPHIA</v>
      </c>
      <c r="E3838" t="str">
        <f t="shared" si="1493"/>
        <v>PA</v>
      </c>
      <c r="F3838" t="str">
        <f>T("191115008")</f>
        <v>191115008</v>
      </c>
      <c r="G3838" t="str">
        <f>T("700 ROBBINS ST")</f>
        <v>700 ROBBINS ST</v>
      </c>
      <c r="H3838" t="str">
        <f>T("BLDG 4 B N52")</f>
        <v>BLDG 4 B N52</v>
      </c>
      <c r="I3838" t="str">
        <f t="shared" si="1486"/>
        <v>PHILADELPHIA</v>
      </c>
      <c r="J3838" t="str">
        <f t="shared" si="1494"/>
        <v>PA</v>
      </c>
      <c r="K3838" t="str">
        <f>T("000000000000000000")</f>
        <v>000000000000000000</v>
      </c>
      <c r="L3838" t="str">
        <f>T("2156976547")</f>
        <v>2156976547</v>
      </c>
    </row>
    <row r="3839" spans="1:12" x14ac:dyDescent="0.35">
      <c r="A3839" t="str">
        <f t="shared" si="1487"/>
        <v>WSS PHILA</v>
      </c>
      <c r="B3839" t="str">
        <f>T("BLDG 4 FMS")</f>
        <v>BLDG 4 FMS</v>
      </c>
      <c r="C3839" t="str">
        <f>T("700 ROBBINS AVE")</f>
        <v>700 ROBBINS AVE</v>
      </c>
      <c r="D3839" t="str">
        <f t="shared" si="1485"/>
        <v>PHILADELPHIA</v>
      </c>
      <c r="E3839" t="str">
        <f t="shared" si="1493"/>
        <v>PA</v>
      </c>
      <c r="F3839" t="str">
        <f>T("191115008")</f>
        <v>191115008</v>
      </c>
      <c r="G3839" t="str">
        <f>T("BLDG 4 FMS")</f>
        <v>BLDG 4 FMS</v>
      </c>
      <c r="H3839" t="str">
        <f>T("700 ROBBINS AVE")</f>
        <v>700 ROBBINS AVE</v>
      </c>
      <c r="I3839" t="str">
        <f t="shared" si="1486"/>
        <v>PHILADELPHIA</v>
      </c>
      <c r="J3839" t="str">
        <f t="shared" si="1494"/>
        <v>PA</v>
      </c>
      <c r="K3839" t="str">
        <f>T("")</f>
        <v/>
      </c>
      <c r="L3839" t="str">
        <f>T("2156974410")</f>
        <v>2156974410</v>
      </c>
    </row>
    <row r="3840" spans="1:12" x14ac:dyDescent="0.35">
      <c r="A3840" t="str">
        <f t="shared" ref="A3840:A3885" si="1497">T("WSS MECH")</f>
        <v>WSS MECH</v>
      </c>
      <c r="B3840" t="str">
        <f>T("1837 MORRIS ST 5TH FLOOR")</f>
        <v>1837 MORRIS ST 5TH FLOOR</v>
      </c>
      <c r="C3840" t="str">
        <f>T("")</f>
        <v/>
      </c>
      <c r="D3840" t="str">
        <f>T("NORFOLK")</f>
        <v>NORFOLK</v>
      </c>
      <c r="E3840" t="str">
        <f>T("VA")</f>
        <v>VA</v>
      </c>
      <c r="F3840" t="str">
        <f>T("235113498")</f>
        <v>235113498</v>
      </c>
      <c r="G3840" t="str">
        <f>T("1837 MORRIS ST 5TH FLOOR")</f>
        <v>1837 MORRIS ST 5TH FLOOR</v>
      </c>
      <c r="H3840" t="str">
        <f>T("")</f>
        <v/>
      </c>
      <c r="I3840" t="str">
        <f>T("NORFOLK")</f>
        <v>NORFOLK</v>
      </c>
      <c r="J3840" t="str">
        <f>T("VA")</f>
        <v>VA</v>
      </c>
      <c r="K3840" t="str">
        <f>T("7574432019")</f>
        <v>7574432019</v>
      </c>
      <c r="L3840" t="str">
        <f>T("7574432012")</f>
        <v>7574432012</v>
      </c>
    </row>
    <row r="3841" spans="1:12" x14ac:dyDescent="0.35">
      <c r="A3841" t="str">
        <f t="shared" si="1497"/>
        <v>WSS MECH</v>
      </c>
      <c r="B3841" t="str">
        <f>T("1837 MORRIS ST 5TH FLOOR")</f>
        <v>1837 MORRIS ST 5TH FLOOR</v>
      </c>
      <c r="C3841" t="str">
        <f>T("")</f>
        <v/>
      </c>
      <c r="D3841" t="str">
        <f>T("NORFOLK")</f>
        <v>NORFOLK</v>
      </c>
      <c r="E3841" t="str">
        <f>T("VA")</f>
        <v>VA</v>
      </c>
      <c r="F3841" t="str">
        <f>T("235113498")</f>
        <v>235113498</v>
      </c>
      <c r="G3841" t="str">
        <f>T("1837 MORRIS STREET 5TH FLOOR")</f>
        <v>1837 MORRIS STREET 5TH FLOOR</v>
      </c>
      <c r="H3841" t="str">
        <f>T("")</f>
        <v/>
      </c>
      <c r="I3841" t="str">
        <f>T("NORFOLK")</f>
        <v>NORFOLK</v>
      </c>
      <c r="J3841" t="str">
        <f>T("VA")</f>
        <v>VA</v>
      </c>
      <c r="K3841" t="str">
        <f>T("7574435018")</f>
        <v>7574435018</v>
      </c>
      <c r="L3841" t="str">
        <f>T("7574435011")</f>
        <v>7574435011</v>
      </c>
    </row>
    <row r="3842" spans="1:12" x14ac:dyDescent="0.35">
      <c r="A3842" t="str">
        <f t="shared" si="1497"/>
        <v>WSS MECH</v>
      </c>
      <c r="B3842" t="str">
        <f>T("1837 MORRIS ST STE 600")</f>
        <v>1837 MORRIS ST STE 600</v>
      </c>
      <c r="C3842" t="str">
        <f>T("")</f>
        <v/>
      </c>
      <c r="D3842" t="str">
        <f>T("NORFOLK")</f>
        <v>NORFOLK</v>
      </c>
      <c r="E3842" t="str">
        <f>T("VA")</f>
        <v>VA</v>
      </c>
      <c r="F3842" t="str">
        <f>T("235113499")</f>
        <v>235113499</v>
      </c>
      <c r="G3842" t="str">
        <f>T("1837 MORRIS ST CODE N86 STE 600")</f>
        <v>1837 MORRIS ST CODE N86 STE 600</v>
      </c>
      <c r="H3842" t="str">
        <f>T("")</f>
        <v/>
      </c>
      <c r="I3842" t="str">
        <f>T("NORFOLK")</f>
        <v>NORFOLK</v>
      </c>
      <c r="J3842" t="str">
        <f>T("VA")</f>
        <v>VA</v>
      </c>
      <c r="K3842" t="str">
        <f>T("7574435353")</f>
        <v>7574435353</v>
      </c>
      <c r="L3842" t="str">
        <f>T("7574435423")</f>
        <v>7574435423</v>
      </c>
    </row>
    <row r="3843" spans="1:12" x14ac:dyDescent="0.35">
      <c r="A3843" t="str">
        <f t="shared" si="1497"/>
        <v>WSS MECH</v>
      </c>
      <c r="B3843" t="str">
        <f>T("1837 MORRIS ST STE 600")</f>
        <v>1837 MORRIS ST STE 600</v>
      </c>
      <c r="C3843" t="str">
        <f>T("")</f>
        <v/>
      </c>
      <c r="D3843" t="str">
        <f>T("NORFOLK")</f>
        <v>NORFOLK</v>
      </c>
      <c r="E3843" t="str">
        <f>T("VA")</f>
        <v>VA</v>
      </c>
      <c r="F3843" t="str">
        <f>T("235113499")</f>
        <v>235113499</v>
      </c>
      <c r="G3843" t="str">
        <f>T("1837 MORRIS ST STE 600")</f>
        <v>1837 MORRIS ST STE 600</v>
      </c>
      <c r="H3843" t="str">
        <f>T("")</f>
        <v/>
      </c>
      <c r="I3843" t="str">
        <f>T("NORFOLK")</f>
        <v>NORFOLK</v>
      </c>
      <c r="J3843" t="str">
        <f>T("VA")</f>
        <v>VA</v>
      </c>
      <c r="K3843" t="str">
        <f>T("000000000000000000")</f>
        <v>000000000000000000</v>
      </c>
      <c r="L3843" t="str">
        <f>T("7574435484")</f>
        <v>7574435484</v>
      </c>
    </row>
    <row r="3844" spans="1:12" x14ac:dyDescent="0.35">
      <c r="A3844" t="str">
        <f t="shared" si="1497"/>
        <v>WSS MECH</v>
      </c>
      <c r="B3844" t="str">
        <f t="shared" ref="B3844:B3864" si="1498">T("5450 CARLISLE PIKE")</f>
        <v>5450 CARLISLE PIKE</v>
      </c>
      <c r="C3844" t="str">
        <f>T("CODE N43")</f>
        <v>CODE N43</v>
      </c>
      <c r="D3844" t="str">
        <f t="shared" ref="D3844:D3864" si="1499">T("MECHANICSBURG")</f>
        <v>MECHANICSBURG</v>
      </c>
      <c r="E3844" t="str">
        <f t="shared" ref="E3844:E3890" si="1500">T("PA")</f>
        <v>PA</v>
      </c>
      <c r="F3844" t="str">
        <f>T("170502411")</f>
        <v>170502411</v>
      </c>
      <c r="G3844" t="str">
        <f>T("5450 CARLISLE PIKE")</f>
        <v>5450 CARLISLE PIKE</v>
      </c>
      <c r="H3844" t="str">
        <f>T("CODE N43")</f>
        <v>CODE N43</v>
      </c>
      <c r="I3844" t="str">
        <f t="shared" ref="I3844:I3851" si="1501">T("MECHANICSBURG")</f>
        <v>MECHANICSBURG</v>
      </c>
      <c r="J3844" t="str">
        <f t="shared" ref="J3844:J3890" si="1502">T("PA")</f>
        <v>PA</v>
      </c>
      <c r="K3844" t="str">
        <f>T("7176052033")</f>
        <v>7176052033</v>
      </c>
      <c r="L3844" t="str">
        <f>T("7176052893")</f>
        <v>7176052893</v>
      </c>
    </row>
    <row r="3845" spans="1:12" x14ac:dyDescent="0.35">
      <c r="A3845" t="str">
        <f t="shared" si="1497"/>
        <v>WSS MECH</v>
      </c>
      <c r="B3845" t="str">
        <f t="shared" si="1498"/>
        <v>5450 CARLISLE PIKE</v>
      </c>
      <c r="C3845" t="str">
        <f>T("CODE N43")</f>
        <v>CODE N43</v>
      </c>
      <c r="D3845" t="str">
        <f t="shared" si="1499"/>
        <v>MECHANICSBURG</v>
      </c>
      <c r="E3845" t="str">
        <f t="shared" si="1500"/>
        <v>PA</v>
      </c>
      <c r="F3845" t="str">
        <f>T("170502411")</f>
        <v>170502411</v>
      </c>
      <c r="G3845" t="str">
        <f>T("5450 CARLISLE PIKE CODE 01")</f>
        <v>5450 CARLISLE PIKE CODE 01</v>
      </c>
      <c r="H3845" t="str">
        <f>T("PO BOX 2020")</f>
        <v>PO BOX 2020</v>
      </c>
      <c r="I3845" t="str">
        <f t="shared" si="1501"/>
        <v>MECHANICSBURG</v>
      </c>
      <c r="J3845" t="str">
        <f t="shared" si="1502"/>
        <v>PA</v>
      </c>
      <c r="K3845" t="str">
        <f>T("7176057278")</f>
        <v>7176057278</v>
      </c>
      <c r="L3845" t="str">
        <f>T("7176053302")</f>
        <v>7176053302</v>
      </c>
    </row>
    <row r="3846" spans="1:12" x14ac:dyDescent="0.35">
      <c r="A3846" t="str">
        <f t="shared" si="1497"/>
        <v>WSS MECH</v>
      </c>
      <c r="B3846" t="str">
        <f t="shared" si="1498"/>
        <v>5450 CARLISLE PIKE</v>
      </c>
      <c r="C3846" t="str">
        <f t="shared" ref="C3846:C3854" si="1503">T("PO BOX 2020")</f>
        <v>PO BOX 2020</v>
      </c>
      <c r="D3846" t="str">
        <f t="shared" si="1499"/>
        <v>MECHANICSBURG</v>
      </c>
      <c r="E3846" t="str">
        <f t="shared" si="1500"/>
        <v>PA</v>
      </c>
      <c r="F3846" t="str">
        <f t="shared" ref="F3846:F3864" si="1504">T("170550788")</f>
        <v>170550788</v>
      </c>
      <c r="G3846" t="str">
        <f>T("5450 CARLISLE PIKE")</f>
        <v>5450 CARLISLE PIKE</v>
      </c>
      <c r="H3846" t="str">
        <f>T("PO BOX 2020")</f>
        <v>PO BOX 2020</v>
      </c>
      <c r="I3846" t="str">
        <f t="shared" si="1501"/>
        <v>MECHANICSBURG</v>
      </c>
      <c r="J3846" t="str">
        <f t="shared" si="1502"/>
        <v>PA</v>
      </c>
      <c r="K3846" t="str">
        <f>T("")</f>
        <v/>
      </c>
      <c r="L3846" t="str">
        <f>T("7176051841")</f>
        <v>7176051841</v>
      </c>
    </row>
    <row r="3847" spans="1:12" x14ac:dyDescent="0.35">
      <c r="A3847" t="str">
        <f t="shared" si="1497"/>
        <v>WSS MECH</v>
      </c>
      <c r="B3847" t="str">
        <f t="shared" si="1498"/>
        <v>5450 CARLISLE PIKE</v>
      </c>
      <c r="C3847" t="str">
        <f t="shared" si="1503"/>
        <v>PO BOX 2020</v>
      </c>
      <c r="D3847" t="str">
        <f t="shared" si="1499"/>
        <v>MECHANICSBURG</v>
      </c>
      <c r="E3847" t="str">
        <f t="shared" si="1500"/>
        <v>PA</v>
      </c>
      <c r="F3847" t="str">
        <f t="shared" si="1504"/>
        <v>170550788</v>
      </c>
      <c r="G3847" t="str">
        <f>T("5450 CARLISLE PIKE")</f>
        <v>5450 CARLISLE PIKE</v>
      </c>
      <c r="H3847" t="str">
        <f>T("PO BOX 2020")</f>
        <v>PO BOX 2020</v>
      </c>
      <c r="I3847" t="str">
        <f t="shared" si="1501"/>
        <v>MECHANICSBURG</v>
      </c>
      <c r="J3847" t="str">
        <f t="shared" si="1502"/>
        <v>PA</v>
      </c>
      <c r="K3847" t="str">
        <f>T("000000000000000000")</f>
        <v>000000000000000000</v>
      </c>
      <c r="L3847" t="str">
        <f>T("7176052535")</f>
        <v>7176052535</v>
      </c>
    </row>
    <row r="3848" spans="1:12" x14ac:dyDescent="0.35">
      <c r="A3848" t="str">
        <f t="shared" si="1497"/>
        <v>WSS MECH</v>
      </c>
      <c r="B3848" t="str">
        <f t="shared" si="1498"/>
        <v>5450 CARLISLE PIKE</v>
      </c>
      <c r="C3848" t="str">
        <f t="shared" si="1503"/>
        <v>PO BOX 2020</v>
      </c>
      <c r="D3848" t="str">
        <f t="shared" si="1499"/>
        <v>MECHANICSBURG</v>
      </c>
      <c r="E3848" t="str">
        <f t="shared" si="1500"/>
        <v>PA</v>
      </c>
      <c r="F3848" t="str">
        <f t="shared" si="1504"/>
        <v>170550788</v>
      </c>
      <c r="G3848" t="str">
        <f>T("5450 CARLISLE PIKE")</f>
        <v>5450 CARLISLE PIKE</v>
      </c>
      <c r="H3848" t="str">
        <f>T("PO BOX 2020")</f>
        <v>PO BOX 2020</v>
      </c>
      <c r="I3848" t="str">
        <f t="shared" si="1501"/>
        <v>MECHANICSBURG</v>
      </c>
      <c r="J3848" t="str">
        <f t="shared" si="1502"/>
        <v>PA</v>
      </c>
      <c r="K3848" t="str">
        <f>T("7176053941")</f>
        <v>7176053941</v>
      </c>
      <c r="L3848" t="str">
        <f>T("7176051799")</f>
        <v>7176051799</v>
      </c>
    </row>
    <row r="3849" spans="1:12" x14ac:dyDescent="0.35">
      <c r="A3849" t="str">
        <f t="shared" si="1497"/>
        <v>WSS MECH</v>
      </c>
      <c r="B3849" t="str">
        <f t="shared" si="1498"/>
        <v>5450 CARLISLE PIKE</v>
      </c>
      <c r="C3849" t="str">
        <f t="shared" si="1503"/>
        <v>PO BOX 2020</v>
      </c>
      <c r="D3849" t="str">
        <f t="shared" si="1499"/>
        <v>MECHANICSBURG</v>
      </c>
      <c r="E3849" t="str">
        <f t="shared" si="1500"/>
        <v>PA</v>
      </c>
      <c r="F3849" t="str">
        <f t="shared" si="1504"/>
        <v>170550788</v>
      </c>
      <c r="G3849" t="str">
        <f>T("5450 CARLISLE PIKE")</f>
        <v>5450 CARLISLE PIKE</v>
      </c>
      <c r="H3849" t="str">
        <f>T("PO BOX 2020")</f>
        <v>PO BOX 2020</v>
      </c>
      <c r="I3849" t="str">
        <f t="shared" si="1501"/>
        <v>MECHANICSBURG</v>
      </c>
      <c r="J3849" t="str">
        <f t="shared" si="1502"/>
        <v>PA</v>
      </c>
      <c r="K3849" t="str">
        <f>T("7176057706")</f>
        <v>7176057706</v>
      </c>
      <c r="L3849" t="str">
        <f>T("7176051166")</f>
        <v>7176051166</v>
      </c>
    </row>
    <row r="3850" spans="1:12" x14ac:dyDescent="0.35">
      <c r="A3850" t="str">
        <f t="shared" si="1497"/>
        <v>WSS MECH</v>
      </c>
      <c r="B3850" t="str">
        <f t="shared" si="1498"/>
        <v>5450 CARLISLE PIKE</v>
      </c>
      <c r="C3850" t="str">
        <f t="shared" si="1503"/>
        <v>PO BOX 2020</v>
      </c>
      <c r="D3850" t="str">
        <f t="shared" si="1499"/>
        <v>MECHANICSBURG</v>
      </c>
      <c r="E3850" t="str">
        <f t="shared" si="1500"/>
        <v>PA</v>
      </c>
      <c r="F3850" t="str">
        <f t="shared" si="1504"/>
        <v>170550788</v>
      </c>
      <c r="G3850" t="str">
        <f>T("5450 CARLISLE PIKE CODE 02522.03")</f>
        <v>5450 CARLISLE PIKE CODE 02522.03</v>
      </c>
      <c r="H3850" t="str">
        <f>T("PO BOX 2020 CODE 02522.03")</f>
        <v>PO BOX 2020 CODE 02522.03</v>
      </c>
      <c r="I3850" t="str">
        <f t="shared" si="1501"/>
        <v>MECHANICSBURG</v>
      </c>
      <c r="J3850" t="str">
        <f t="shared" si="1502"/>
        <v>PA</v>
      </c>
      <c r="K3850" t="str">
        <f>T("000000000000000000")</f>
        <v>000000000000000000</v>
      </c>
      <c r="L3850" t="str">
        <f>T("7176054443")</f>
        <v>7176054443</v>
      </c>
    </row>
    <row r="3851" spans="1:12" x14ac:dyDescent="0.35">
      <c r="A3851" t="str">
        <f t="shared" si="1497"/>
        <v>WSS MECH</v>
      </c>
      <c r="B3851" t="str">
        <f t="shared" si="1498"/>
        <v>5450 CARLISLE PIKE</v>
      </c>
      <c r="C3851" t="str">
        <f t="shared" si="1503"/>
        <v>PO BOX 2020</v>
      </c>
      <c r="D3851" t="str">
        <f t="shared" si="1499"/>
        <v>MECHANICSBURG</v>
      </c>
      <c r="E3851" t="str">
        <f t="shared" si="1500"/>
        <v>PA</v>
      </c>
      <c r="F3851" t="str">
        <f t="shared" si="1504"/>
        <v>170550788</v>
      </c>
      <c r="G3851" t="str">
        <f>T("5450 CARLISLE PIKE CODE N7")</f>
        <v>5450 CARLISLE PIKE CODE N7</v>
      </c>
      <c r="H3851" t="str">
        <f>T("PO BOX 2020")</f>
        <v>PO BOX 2020</v>
      </c>
      <c r="I3851" t="str">
        <f t="shared" si="1501"/>
        <v>MECHANICSBURG</v>
      </c>
      <c r="J3851" t="str">
        <f t="shared" si="1502"/>
        <v>PA</v>
      </c>
      <c r="K3851" t="str">
        <f>T("7176051553")</f>
        <v>7176051553</v>
      </c>
      <c r="L3851" t="str">
        <f>T("7176052774")</f>
        <v>7176052774</v>
      </c>
    </row>
    <row r="3852" spans="1:12" x14ac:dyDescent="0.35">
      <c r="A3852" t="str">
        <f t="shared" si="1497"/>
        <v>WSS MECH</v>
      </c>
      <c r="B3852" t="str">
        <f t="shared" si="1498"/>
        <v>5450 CARLISLE PIKE</v>
      </c>
      <c r="C3852" t="str">
        <f t="shared" si="1503"/>
        <v>PO BOX 2020</v>
      </c>
      <c r="D3852" t="str">
        <f t="shared" si="1499"/>
        <v>MECHANICSBURG</v>
      </c>
      <c r="E3852" t="str">
        <f t="shared" si="1500"/>
        <v>PA</v>
      </c>
      <c r="F3852" t="str">
        <f t="shared" si="1504"/>
        <v>170550788</v>
      </c>
      <c r="G3852" t="str">
        <f>T("CODE 0251 06")</f>
        <v>CODE 0251 06</v>
      </c>
      <c r="H3852" t="str">
        <f>T("700 ROBBINS AVE")</f>
        <v>700 ROBBINS AVE</v>
      </c>
      <c r="I3852" t="str">
        <f>T("PHILADELPHIA")</f>
        <v>PHILADELPHIA</v>
      </c>
      <c r="J3852" t="str">
        <f t="shared" si="1502"/>
        <v>PA</v>
      </c>
      <c r="K3852" t="str">
        <f>T("2156970297")</f>
        <v>2156970297</v>
      </c>
      <c r="L3852" t="str">
        <f>T("2156976560")</f>
        <v>2156976560</v>
      </c>
    </row>
    <row r="3853" spans="1:12" x14ac:dyDescent="0.35">
      <c r="A3853" t="str">
        <f t="shared" si="1497"/>
        <v>WSS MECH</v>
      </c>
      <c r="B3853" t="str">
        <f t="shared" si="1498"/>
        <v>5450 CARLISLE PIKE</v>
      </c>
      <c r="C3853" t="str">
        <f t="shared" si="1503"/>
        <v>PO BOX 2020</v>
      </c>
      <c r="D3853" t="str">
        <f t="shared" si="1499"/>
        <v>MECHANICSBURG</v>
      </c>
      <c r="E3853" t="str">
        <f t="shared" si="1500"/>
        <v>PA</v>
      </c>
      <c r="F3853" t="str">
        <f t="shared" si="1504"/>
        <v>170550788</v>
      </c>
      <c r="G3853" t="str">
        <f>T("PO BOX 2020")</f>
        <v>PO BOX 2020</v>
      </c>
      <c r="H3853" t="str">
        <f>T("5450 CARLISLE PIKE")</f>
        <v>5450 CARLISLE PIKE</v>
      </c>
      <c r="I3853" t="str">
        <f t="shared" ref="I3853:I3864" si="1505">T("MECHANICSBURG")</f>
        <v>MECHANICSBURG</v>
      </c>
      <c r="J3853" t="str">
        <f t="shared" si="1502"/>
        <v>PA</v>
      </c>
      <c r="K3853" t="str">
        <f>T("7176057706")</f>
        <v>7176057706</v>
      </c>
      <c r="L3853" t="str">
        <f>T("7176052979")</f>
        <v>7176052979</v>
      </c>
    </row>
    <row r="3854" spans="1:12" x14ac:dyDescent="0.35">
      <c r="A3854" t="str">
        <f t="shared" si="1497"/>
        <v>WSS MECH</v>
      </c>
      <c r="B3854" t="str">
        <f t="shared" si="1498"/>
        <v>5450 CARLISLE PIKE</v>
      </c>
      <c r="C3854" t="str">
        <f t="shared" si="1503"/>
        <v>PO BOX 2020</v>
      </c>
      <c r="D3854" t="str">
        <f t="shared" si="1499"/>
        <v>MECHANICSBURG</v>
      </c>
      <c r="E3854" t="str">
        <f t="shared" si="1500"/>
        <v>PA</v>
      </c>
      <c r="F3854" t="str">
        <f t="shared" si="1504"/>
        <v>170550788</v>
      </c>
      <c r="G3854" t="str">
        <f>T("PO BOX 2020 CODE 0094")</f>
        <v>PO BOX 2020 CODE 0094</v>
      </c>
      <c r="H3854" t="str">
        <f>T("5450 CARLISLE PIKE")</f>
        <v>5450 CARLISLE PIKE</v>
      </c>
      <c r="I3854" t="str">
        <f t="shared" si="1505"/>
        <v>MECHANICSBURG</v>
      </c>
      <c r="J3854" t="str">
        <f t="shared" si="1502"/>
        <v>PA</v>
      </c>
      <c r="K3854" t="str">
        <f>T("000000000000000000")</f>
        <v>000000000000000000</v>
      </c>
      <c r="L3854" t="str">
        <f>T("7176053530")</f>
        <v>7176053530</v>
      </c>
    </row>
    <row r="3855" spans="1:12" x14ac:dyDescent="0.35">
      <c r="A3855" t="str">
        <f t="shared" si="1497"/>
        <v>WSS MECH</v>
      </c>
      <c r="B3855" t="str">
        <f t="shared" si="1498"/>
        <v>5450 CARLISLE PIKE</v>
      </c>
      <c r="C3855" t="str">
        <f>T("PO BOX 2020 CODE N0914")</f>
        <v>PO BOX 2020 CODE N0914</v>
      </c>
      <c r="D3855" t="str">
        <f t="shared" si="1499"/>
        <v>MECHANICSBURG</v>
      </c>
      <c r="E3855" t="str">
        <f t="shared" si="1500"/>
        <v>PA</v>
      </c>
      <c r="F3855" t="str">
        <f t="shared" si="1504"/>
        <v>170550788</v>
      </c>
      <c r="G3855" t="str">
        <f>T("5450 CARLISLE PIKE")</f>
        <v>5450 CARLISLE PIKE</v>
      </c>
      <c r="H3855" t="str">
        <f>T("PO BOX 2020")</f>
        <v>PO BOX 2020</v>
      </c>
      <c r="I3855" t="str">
        <f t="shared" si="1505"/>
        <v>MECHANICSBURG</v>
      </c>
      <c r="J3855" t="str">
        <f t="shared" si="1502"/>
        <v>PA</v>
      </c>
      <c r="K3855" t="str">
        <f>T("7176058453")</f>
        <v>7176058453</v>
      </c>
      <c r="L3855" t="str">
        <f>T("7176057664")</f>
        <v>7176057664</v>
      </c>
    </row>
    <row r="3856" spans="1:12" x14ac:dyDescent="0.35">
      <c r="A3856" t="str">
        <f t="shared" si="1497"/>
        <v>WSS MECH</v>
      </c>
      <c r="B3856" t="str">
        <f t="shared" si="1498"/>
        <v>5450 CARLISLE PIKE</v>
      </c>
      <c r="C3856" t="str">
        <f>T("PO BOX 2020 CODE N0914")</f>
        <v>PO BOX 2020 CODE N0914</v>
      </c>
      <c r="D3856" t="str">
        <f t="shared" si="1499"/>
        <v>MECHANICSBURG</v>
      </c>
      <c r="E3856" t="str">
        <f t="shared" si="1500"/>
        <v>PA</v>
      </c>
      <c r="F3856" t="str">
        <f t="shared" si="1504"/>
        <v>170550788</v>
      </c>
      <c r="G3856" t="str">
        <f>T("5450 CARLISLE PIKE")</f>
        <v>5450 CARLISLE PIKE</v>
      </c>
      <c r="H3856" t="str">
        <f>T("PO BOX 2020 CODE N0914")</f>
        <v>PO BOX 2020 CODE N0914</v>
      </c>
      <c r="I3856" t="str">
        <f t="shared" si="1505"/>
        <v>MECHANICSBURG</v>
      </c>
      <c r="J3856" t="str">
        <f t="shared" si="1502"/>
        <v>PA</v>
      </c>
      <c r="K3856" t="str">
        <f>T("7176058453")</f>
        <v>7176058453</v>
      </c>
      <c r="L3856" t="str">
        <f>T("7176052055")</f>
        <v>7176052055</v>
      </c>
    </row>
    <row r="3857" spans="1:12" x14ac:dyDescent="0.35">
      <c r="A3857" t="str">
        <f t="shared" si="1497"/>
        <v>WSS MECH</v>
      </c>
      <c r="B3857" t="str">
        <f t="shared" si="1498"/>
        <v>5450 CARLISLE PIKE</v>
      </c>
      <c r="C3857" t="str">
        <f>T("PO BOX 2020 CODE N0914")</f>
        <v>PO BOX 2020 CODE N0914</v>
      </c>
      <c r="D3857" t="str">
        <f t="shared" si="1499"/>
        <v>MECHANICSBURG</v>
      </c>
      <c r="E3857" t="str">
        <f t="shared" si="1500"/>
        <v>PA</v>
      </c>
      <c r="F3857" t="str">
        <f t="shared" si="1504"/>
        <v>170550788</v>
      </c>
      <c r="G3857" t="str">
        <f>T("PO BOX 2020")</f>
        <v>PO BOX 2020</v>
      </c>
      <c r="H3857" t="str">
        <f>T("5450 CARLISLE PIKE")</f>
        <v>5450 CARLISLE PIKE</v>
      </c>
      <c r="I3857" t="str">
        <f t="shared" si="1505"/>
        <v>MECHANICSBURG</v>
      </c>
      <c r="J3857" t="str">
        <f t="shared" si="1502"/>
        <v>PA</v>
      </c>
      <c r="K3857" t="str">
        <f>T("7176058269")</f>
        <v>7176058269</v>
      </c>
      <c r="L3857" t="str">
        <f>T("7176054603")</f>
        <v>7176054603</v>
      </c>
    </row>
    <row r="3858" spans="1:12" x14ac:dyDescent="0.35">
      <c r="A3858" t="str">
        <f t="shared" si="1497"/>
        <v>WSS MECH</v>
      </c>
      <c r="B3858" t="str">
        <f t="shared" si="1498"/>
        <v>5450 CARLISLE PIKE</v>
      </c>
      <c r="C3858" t="str">
        <f>T("PO BOX 2020 CODE N81")</f>
        <v>PO BOX 2020 CODE N81</v>
      </c>
      <c r="D3858" t="str">
        <f t="shared" si="1499"/>
        <v>MECHANICSBURG</v>
      </c>
      <c r="E3858" t="str">
        <f t="shared" si="1500"/>
        <v>PA</v>
      </c>
      <c r="F3858" t="str">
        <f t="shared" si="1504"/>
        <v>170550788</v>
      </c>
      <c r="G3858" t="str">
        <f>T("5450 CARLISE PIKE")</f>
        <v>5450 CARLISE PIKE</v>
      </c>
      <c r="H3858" t="str">
        <f>T("P O BOX 2020")</f>
        <v>P O BOX 2020</v>
      </c>
      <c r="I3858" t="str">
        <f t="shared" si="1505"/>
        <v>MECHANICSBURG</v>
      </c>
      <c r="J3858" t="str">
        <f t="shared" si="1502"/>
        <v>PA</v>
      </c>
      <c r="K3858" t="str">
        <f>T("7176055234")</f>
        <v>7176055234</v>
      </c>
      <c r="L3858" t="str">
        <f>T("7176051338")</f>
        <v>7176051338</v>
      </c>
    </row>
    <row r="3859" spans="1:12" x14ac:dyDescent="0.35">
      <c r="A3859" t="str">
        <f t="shared" si="1497"/>
        <v>WSS MECH</v>
      </c>
      <c r="B3859" t="str">
        <f t="shared" si="1498"/>
        <v>5450 CARLISLE PIKE</v>
      </c>
      <c r="C3859" t="str">
        <f>T("PO BOX 2020 CODE N81")</f>
        <v>PO BOX 2020 CODE N81</v>
      </c>
      <c r="D3859" t="str">
        <f t="shared" si="1499"/>
        <v>MECHANICSBURG</v>
      </c>
      <c r="E3859" t="str">
        <f t="shared" si="1500"/>
        <v>PA</v>
      </c>
      <c r="F3859" t="str">
        <f t="shared" si="1504"/>
        <v>170550788</v>
      </c>
      <c r="G3859" t="str">
        <f>T("5450 CARLISLE PIKE")</f>
        <v>5450 CARLISLE PIKE</v>
      </c>
      <c r="H3859" t="str">
        <f>T("PO BOX 2020 CODE N81")</f>
        <v>PO BOX 2020 CODE N81</v>
      </c>
      <c r="I3859" t="str">
        <f t="shared" si="1505"/>
        <v>MECHANICSBURG</v>
      </c>
      <c r="J3859" t="str">
        <f t="shared" si="1502"/>
        <v>PA</v>
      </c>
      <c r="K3859" t="str">
        <f>T("7176055234")</f>
        <v>7176055234</v>
      </c>
      <c r="L3859" t="str">
        <f>T("7176055502")</f>
        <v>7176055502</v>
      </c>
    </row>
    <row r="3860" spans="1:12" x14ac:dyDescent="0.35">
      <c r="A3860" t="str">
        <f t="shared" si="1497"/>
        <v>WSS MECH</v>
      </c>
      <c r="B3860" t="str">
        <f t="shared" si="1498"/>
        <v>5450 CARLISLE PIKE</v>
      </c>
      <c r="C3860" t="str">
        <f>T("POBOX 2020 CODE M0082 X")</f>
        <v>POBOX 2020 CODE M0082 X</v>
      </c>
      <c r="D3860" t="str">
        <f t="shared" si="1499"/>
        <v>MECHANICSBURG</v>
      </c>
      <c r="E3860" t="str">
        <f t="shared" si="1500"/>
        <v>PA</v>
      </c>
      <c r="F3860" t="str">
        <f t="shared" si="1504"/>
        <v>170550788</v>
      </c>
      <c r="G3860" t="str">
        <f>T("5450 CARLISLE PIKE")</f>
        <v>5450 CARLISLE PIKE</v>
      </c>
      <c r="H3860" t="str">
        <f>T("POBOX 2020 CODE M0082 X")</f>
        <v>POBOX 2020 CODE M0082 X</v>
      </c>
      <c r="I3860" t="str">
        <f t="shared" si="1505"/>
        <v>MECHANICSBURG</v>
      </c>
      <c r="J3860" t="str">
        <f t="shared" si="1502"/>
        <v>PA</v>
      </c>
      <c r="K3860" t="str">
        <f>T("")</f>
        <v/>
      </c>
      <c r="L3860" t="str">
        <f>T("7176052424")</f>
        <v>7176052424</v>
      </c>
    </row>
    <row r="3861" spans="1:12" x14ac:dyDescent="0.35">
      <c r="A3861" t="str">
        <f t="shared" si="1497"/>
        <v>WSS MECH</v>
      </c>
      <c r="B3861" t="str">
        <f t="shared" si="1498"/>
        <v>5450 CARLISLE PIKE</v>
      </c>
      <c r="C3861" t="str">
        <f>T("POBOX 2020 CODE M0082 X")</f>
        <v>POBOX 2020 CODE M0082 X</v>
      </c>
      <c r="D3861" t="str">
        <f t="shared" si="1499"/>
        <v>MECHANICSBURG</v>
      </c>
      <c r="E3861" t="str">
        <f t="shared" si="1500"/>
        <v>PA</v>
      </c>
      <c r="F3861" t="str">
        <f t="shared" si="1504"/>
        <v>170550788</v>
      </c>
      <c r="G3861" t="str">
        <f>T("5450 CARLISLE PIKE BLDG 310")</f>
        <v>5450 CARLISLE PIKE BLDG 310</v>
      </c>
      <c r="H3861" t="str">
        <f>T("PO BOX 2020 CODE OS")</f>
        <v>PO BOX 2020 CODE OS</v>
      </c>
      <c r="I3861" t="str">
        <f t="shared" si="1505"/>
        <v>MECHANICSBURG</v>
      </c>
      <c r="J3861" t="str">
        <f t="shared" si="1502"/>
        <v>PA</v>
      </c>
      <c r="K3861" t="str">
        <f>T("000000000000000000")</f>
        <v>000000000000000000</v>
      </c>
      <c r="L3861" t="str">
        <f>T("7176053702")</f>
        <v>7176053702</v>
      </c>
    </row>
    <row r="3862" spans="1:12" x14ac:dyDescent="0.35">
      <c r="A3862" t="str">
        <f t="shared" si="1497"/>
        <v>WSS MECH</v>
      </c>
      <c r="B3862" t="str">
        <f t="shared" si="1498"/>
        <v>5450 CARLISLE PIKE</v>
      </c>
      <c r="C3862" t="str">
        <f>T("POBOX 2020 CODE OSX1 BLDG 41")</f>
        <v>POBOX 2020 CODE OSX1 BLDG 41</v>
      </c>
      <c r="D3862" t="str">
        <f t="shared" si="1499"/>
        <v>MECHANICSBURG</v>
      </c>
      <c r="E3862" t="str">
        <f t="shared" si="1500"/>
        <v>PA</v>
      </c>
      <c r="F3862" t="str">
        <f t="shared" si="1504"/>
        <v>170550788</v>
      </c>
      <c r="G3862" t="str">
        <f>T("5450 CARLISLE PIKE")</f>
        <v>5450 CARLISLE PIKE</v>
      </c>
      <c r="H3862" t="str">
        <f>T("PO BOX 2020")</f>
        <v>PO BOX 2020</v>
      </c>
      <c r="I3862" t="str">
        <f t="shared" si="1505"/>
        <v>MECHANICSBURG</v>
      </c>
      <c r="J3862" t="str">
        <f t="shared" si="1502"/>
        <v>PA</v>
      </c>
      <c r="K3862" t="str">
        <f>T("000000000000000000")</f>
        <v>000000000000000000</v>
      </c>
      <c r="L3862" t="str">
        <f>T("7176053022")</f>
        <v>7176053022</v>
      </c>
    </row>
    <row r="3863" spans="1:12" x14ac:dyDescent="0.35">
      <c r="A3863" t="str">
        <f t="shared" si="1497"/>
        <v>WSS MECH</v>
      </c>
      <c r="B3863" t="str">
        <f t="shared" si="1498"/>
        <v>5450 CARLISLE PIKE</v>
      </c>
      <c r="C3863" t="str">
        <f>T("POBOX 2020 CODE OSX1 BLDG 41")</f>
        <v>POBOX 2020 CODE OSX1 BLDG 41</v>
      </c>
      <c r="D3863" t="str">
        <f t="shared" si="1499"/>
        <v>MECHANICSBURG</v>
      </c>
      <c r="E3863" t="str">
        <f t="shared" si="1500"/>
        <v>PA</v>
      </c>
      <c r="F3863" t="str">
        <f t="shared" si="1504"/>
        <v>170550788</v>
      </c>
      <c r="G3863" t="str">
        <f>T("5450 CARLISLE PIKE")</f>
        <v>5450 CARLISLE PIKE</v>
      </c>
      <c r="H3863" t="str">
        <f>T("PO BOX 2020")</f>
        <v>PO BOX 2020</v>
      </c>
      <c r="I3863" t="str">
        <f t="shared" si="1505"/>
        <v>MECHANICSBURG</v>
      </c>
      <c r="J3863" t="str">
        <f t="shared" si="1502"/>
        <v>PA</v>
      </c>
      <c r="K3863" t="str">
        <f>T("000000000000000000")</f>
        <v>000000000000000000</v>
      </c>
      <c r="L3863" t="str">
        <f>T("7176055669")</f>
        <v>7176055669</v>
      </c>
    </row>
    <row r="3864" spans="1:12" x14ac:dyDescent="0.35">
      <c r="A3864" t="str">
        <f t="shared" si="1497"/>
        <v>WSS MECH</v>
      </c>
      <c r="B3864" t="str">
        <f t="shared" si="1498"/>
        <v>5450 CARLISLE PIKE</v>
      </c>
      <c r="C3864" t="str">
        <f>T("POBOX 2020 CODE OSX1 BLDG 41")</f>
        <v>POBOX 2020 CODE OSX1 BLDG 41</v>
      </c>
      <c r="D3864" t="str">
        <f t="shared" si="1499"/>
        <v>MECHANICSBURG</v>
      </c>
      <c r="E3864" t="str">
        <f t="shared" si="1500"/>
        <v>PA</v>
      </c>
      <c r="F3864" t="str">
        <f t="shared" si="1504"/>
        <v>170550788</v>
      </c>
      <c r="G3864" t="str">
        <f>T("5450 CARLISLE PIKE")</f>
        <v>5450 CARLISLE PIKE</v>
      </c>
      <c r="H3864" t="str">
        <f>T("POBOX 2020 CODE OSX1 BLDG 41")</f>
        <v>POBOX 2020 CODE OSX1 BLDG 41</v>
      </c>
      <c r="I3864" t="str">
        <f t="shared" si="1505"/>
        <v>MECHANICSBURG</v>
      </c>
      <c r="J3864" t="str">
        <f t="shared" si="1502"/>
        <v>PA</v>
      </c>
      <c r="K3864" t="str">
        <f>T("7176051906")</f>
        <v>7176051906</v>
      </c>
      <c r="L3864" t="str">
        <f>T("7176053879")</f>
        <v>7176053879</v>
      </c>
    </row>
    <row r="3865" spans="1:12" x14ac:dyDescent="0.35">
      <c r="A3865" t="str">
        <f t="shared" si="1497"/>
        <v>WSS MECH</v>
      </c>
      <c r="B3865" t="str">
        <f>T("700 ROBBINS AVE")</f>
        <v>700 ROBBINS AVE</v>
      </c>
      <c r="C3865" t="str">
        <f>T("BLDG 1 ROOM 1600")</f>
        <v>BLDG 1 ROOM 1600</v>
      </c>
      <c r="D3865" t="str">
        <f>T("PHILADELPHIA")</f>
        <v>PHILADELPHIA</v>
      </c>
      <c r="E3865" t="str">
        <f t="shared" si="1500"/>
        <v>PA</v>
      </c>
      <c r="F3865" t="str">
        <f>T("191115001")</f>
        <v>191115001</v>
      </c>
      <c r="G3865" t="str">
        <f>T("700 ROBBINS AVE")</f>
        <v>700 ROBBINS AVE</v>
      </c>
      <c r="H3865" t="str">
        <f>T("BLDG 1 ROOM 1600")</f>
        <v>BLDG 1 ROOM 1600</v>
      </c>
      <c r="I3865" t="str">
        <f>T("PHILADELPHIA")</f>
        <v>PHILADELPHIA</v>
      </c>
      <c r="J3865" t="str">
        <f t="shared" si="1502"/>
        <v>PA</v>
      </c>
      <c r="K3865" t="str">
        <f>T("2156972293")</f>
        <v>2156972293</v>
      </c>
      <c r="L3865" t="str">
        <f>T("2156970940")</f>
        <v>2156970940</v>
      </c>
    </row>
    <row r="3866" spans="1:12" x14ac:dyDescent="0.35">
      <c r="A3866" t="str">
        <f t="shared" si="1497"/>
        <v>WSS MECH</v>
      </c>
      <c r="B3866" t="str">
        <f>T("700 ROBBINS AVE")</f>
        <v>700 ROBBINS AVE</v>
      </c>
      <c r="C3866" t="str">
        <f>T("BLDG 1 ROOM 1600")</f>
        <v>BLDG 1 ROOM 1600</v>
      </c>
      <c r="D3866" t="str">
        <f>T("PHILADELPHIA")</f>
        <v>PHILADELPHIA</v>
      </c>
      <c r="E3866" t="str">
        <f t="shared" si="1500"/>
        <v>PA</v>
      </c>
      <c r="F3866" t="str">
        <f>T("191115001")</f>
        <v>191115001</v>
      </c>
      <c r="G3866" t="str">
        <f>T("700 ROBBINS AVE BLDG 2")</f>
        <v>700 ROBBINS AVE BLDG 2</v>
      </c>
      <c r="H3866" t="str">
        <f>T("")</f>
        <v/>
      </c>
      <c r="I3866" t="str">
        <f>T("PHILADELPHIA")</f>
        <v>PHILADELPHIA</v>
      </c>
      <c r="J3866" t="str">
        <f t="shared" si="1502"/>
        <v>PA</v>
      </c>
      <c r="K3866" t="str">
        <f>T("000000000000000000")</f>
        <v>000000000000000000</v>
      </c>
      <c r="L3866" t="str">
        <f>T("2156972077")</f>
        <v>2156972077</v>
      </c>
    </row>
    <row r="3867" spans="1:12" x14ac:dyDescent="0.35">
      <c r="A3867" t="str">
        <f t="shared" si="1497"/>
        <v>WSS MECH</v>
      </c>
      <c r="B3867" t="str">
        <f>T("NAVSUP-WSS CODE N97")</f>
        <v>NAVSUP-WSS CODE N97</v>
      </c>
      <c r="C3867" t="str">
        <f>T("PO BOX 2020")</f>
        <v>PO BOX 2020</v>
      </c>
      <c r="D3867" t="str">
        <f t="shared" ref="D3867:D3890" si="1506">T("MECHANICSBURG")</f>
        <v>MECHANICSBURG</v>
      </c>
      <c r="E3867" t="str">
        <f t="shared" si="1500"/>
        <v>PA</v>
      </c>
      <c r="F3867" t="str">
        <f>T("170550788")</f>
        <v>170550788</v>
      </c>
      <c r="G3867" t="str">
        <f>T("5450 CARLISLE PIKE")</f>
        <v>5450 CARLISLE PIKE</v>
      </c>
      <c r="H3867" t="str">
        <f>T("PO BOX 2020")</f>
        <v>PO BOX 2020</v>
      </c>
      <c r="I3867" t="str">
        <f t="shared" ref="I3867:I3890" si="1507">T("MECHANICSBURG")</f>
        <v>MECHANICSBURG</v>
      </c>
      <c r="J3867" t="str">
        <f t="shared" si="1502"/>
        <v>PA</v>
      </c>
      <c r="K3867" t="str">
        <f>T("000000000000000000")</f>
        <v>000000000000000000</v>
      </c>
      <c r="L3867" t="str">
        <f>T("7176053571")</f>
        <v>7176053571</v>
      </c>
    </row>
    <row r="3868" spans="1:12" x14ac:dyDescent="0.35">
      <c r="A3868" t="str">
        <f t="shared" si="1497"/>
        <v>WSS MECH</v>
      </c>
      <c r="B3868" t="str">
        <f>T("NAVSUP-WSS CODE N97")</f>
        <v>NAVSUP-WSS CODE N97</v>
      </c>
      <c r="C3868" t="str">
        <f>T("PO BOX 2020")</f>
        <v>PO BOX 2020</v>
      </c>
      <c r="D3868" t="str">
        <f t="shared" si="1506"/>
        <v>MECHANICSBURG</v>
      </c>
      <c r="E3868" t="str">
        <f t="shared" si="1500"/>
        <v>PA</v>
      </c>
      <c r="F3868" t="str">
        <f>T("170550788")</f>
        <v>170550788</v>
      </c>
      <c r="G3868" t="str">
        <f>T("NAVSUP-WSS CODE N97")</f>
        <v>NAVSUP-WSS CODE N97</v>
      </c>
      <c r="H3868" t="str">
        <f>T("PO BOX 2020")</f>
        <v>PO BOX 2020</v>
      </c>
      <c r="I3868" t="str">
        <f t="shared" si="1507"/>
        <v>MECHANICSBURG</v>
      </c>
      <c r="J3868" t="str">
        <f t="shared" si="1502"/>
        <v>PA</v>
      </c>
      <c r="K3868" t="str">
        <f>T("7176052554")</f>
        <v>7176052554</v>
      </c>
      <c r="L3868" t="str">
        <f>T("7176051970")</f>
        <v>7176051970</v>
      </c>
    </row>
    <row r="3869" spans="1:12" x14ac:dyDescent="0.35">
      <c r="A3869" t="str">
        <f t="shared" si="1497"/>
        <v>WSS MECH</v>
      </c>
      <c r="B3869" t="str">
        <f>T("NAVSUP-WSS CODE N97")</f>
        <v>NAVSUP-WSS CODE N97</v>
      </c>
      <c r="C3869" t="str">
        <f>T("PO BOX 2020")</f>
        <v>PO BOX 2020</v>
      </c>
      <c r="D3869" t="str">
        <f t="shared" si="1506"/>
        <v>MECHANICSBURG</v>
      </c>
      <c r="E3869" t="str">
        <f t="shared" si="1500"/>
        <v>PA</v>
      </c>
      <c r="F3869" t="str">
        <f>T("170550788")</f>
        <v>170550788</v>
      </c>
      <c r="G3869" t="str">
        <f>T("PO BOX 2020")</f>
        <v>PO BOX 2020</v>
      </c>
      <c r="H3869" t="str">
        <f>T("5450 CARLISLE PIKE CODE N971")</f>
        <v>5450 CARLISLE PIKE CODE N971</v>
      </c>
      <c r="I3869" t="str">
        <f t="shared" si="1507"/>
        <v>MECHANICSBURG</v>
      </c>
      <c r="J3869" t="str">
        <f t="shared" si="1502"/>
        <v>PA</v>
      </c>
      <c r="K3869" t="str">
        <f>T("000000000000000000")</f>
        <v>000000000000000000</v>
      </c>
      <c r="L3869" t="str">
        <f>T("7176052514")</f>
        <v>7176052514</v>
      </c>
    </row>
    <row r="3870" spans="1:12" x14ac:dyDescent="0.35">
      <c r="A3870" t="str">
        <f t="shared" si="1497"/>
        <v>WSS MECH</v>
      </c>
      <c r="B3870" t="str">
        <f>T("NWSS/MECH")</f>
        <v>NWSS/MECH</v>
      </c>
      <c r="C3870" t="str">
        <f t="shared" ref="C3870:C3877" si="1508">T("5450 CARLISLE PIKE")</f>
        <v>5450 CARLISLE PIKE</v>
      </c>
      <c r="D3870" t="str">
        <f t="shared" si="1506"/>
        <v>MECHANICSBURG</v>
      </c>
      <c r="E3870" t="str">
        <f t="shared" si="1500"/>
        <v>PA</v>
      </c>
      <c r="F3870" t="str">
        <f>T("170502411")</f>
        <v>170502411</v>
      </c>
      <c r="G3870" t="str">
        <f>T("5450 CARLISLE PIKE")</f>
        <v>5450 CARLISLE PIKE</v>
      </c>
      <c r="H3870" t="str">
        <f>T("PO BOX 2020")</f>
        <v>PO BOX 2020</v>
      </c>
      <c r="I3870" t="str">
        <f t="shared" si="1507"/>
        <v>MECHANICSBURG</v>
      </c>
      <c r="J3870" t="str">
        <f t="shared" si="1502"/>
        <v>PA</v>
      </c>
      <c r="K3870" t="str">
        <f>T("1716056990")</f>
        <v>1716056990</v>
      </c>
      <c r="L3870" t="str">
        <f>T("7176053670")</f>
        <v>7176053670</v>
      </c>
    </row>
    <row r="3871" spans="1:12" x14ac:dyDescent="0.35">
      <c r="A3871" t="str">
        <f t="shared" si="1497"/>
        <v>WSS MECH</v>
      </c>
      <c r="B3871" t="str">
        <f>T("NWSS/MECH")</f>
        <v>NWSS/MECH</v>
      </c>
      <c r="C3871" t="str">
        <f t="shared" si="1508"/>
        <v>5450 CARLISLE PIKE</v>
      </c>
      <c r="D3871" t="str">
        <f t="shared" si="1506"/>
        <v>MECHANICSBURG</v>
      </c>
      <c r="E3871" t="str">
        <f t="shared" si="1500"/>
        <v>PA</v>
      </c>
      <c r="F3871" t="str">
        <f>T("170502411")</f>
        <v>170502411</v>
      </c>
      <c r="G3871" t="str">
        <f>T("5450 CARLISLE PIKE")</f>
        <v>5450 CARLISLE PIKE</v>
      </c>
      <c r="H3871" t="str">
        <f>T("PO BOX 2020")</f>
        <v>PO BOX 2020</v>
      </c>
      <c r="I3871" t="str">
        <f t="shared" si="1507"/>
        <v>MECHANICSBURG</v>
      </c>
      <c r="J3871" t="str">
        <f t="shared" si="1502"/>
        <v>PA</v>
      </c>
      <c r="K3871" t="str">
        <f>T("7176056696")</f>
        <v>7176056696</v>
      </c>
      <c r="L3871" t="str">
        <f>T("7176053669")</f>
        <v>7176053669</v>
      </c>
    </row>
    <row r="3872" spans="1:12" x14ac:dyDescent="0.35">
      <c r="A3872" t="str">
        <f t="shared" si="1497"/>
        <v>WSS MECH</v>
      </c>
      <c r="B3872" t="str">
        <f>T("NWSS/MECH")</f>
        <v>NWSS/MECH</v>
      </c>
      <c r="C3872" t="str">
        <f t="shared" si="1508"/>
        <v>5450 CARLISLE PIKE</v>
      </c>
      <c r="D3872" t="str">
        <f t="shared" si="1506"/>
        <v>MECHANICSBURG</v>
      </c>
      <c r="E3872" t="str">
        <f t="shared" si="1500"/>
        <v>PA</v>
      </c>
      <c r="F3872" t="str">
        <f>T("170502411")</f>
        <v>170502411</v>
      </c>
      <c r="G3872" t="str">
        <f>T("NWSS/MECH")</f>
        <v>NWSS/MECH</v>
      </c>
      <c r="H3872" t="str">
        <f>T("5450 CARLISLE PIKE")</f>
        <v>5450 CARLISLE PIKE</v>
      </c>
      <c r="I3872" t="str">
        <f t="shared" si="1507"/>
        <v>MECHANICSBURG</v>
      </c>
      <c r="J3872" t="str">
        <f t="shared" si="1502"/>
        <v>PA</v>
      </c>
      <c r="K3872" t="str">
        <f>T("7176055482")</f>
        <v>7176055482</v>
      </c>
      <c r="L3872" t="str">
        <f>T("7176056981")</f>
        <v>7176056981</v>
      </c>
    </row>
    <row r="3873" spans="1:12" x14ac:dyDescent="0.35">
      <c r="A3873" t="str">
        <f t="shared" si="1497"/>
        <v>WSS MECH</v>
      </c>
      <c r="B3873" t="str">
        <f t="shared" ref="B3873:B3879" si="1509">T("PO BOX 2020")</f>
        <v>PO BOX 2020</v>
      </c>
      <c r="C3873" t="str">
        <f t="shared" si="1508"/>
        <v>5450 CARLISLE PIKE</v>
      </c>
      <c r="D3873" t="str">
        <f t="shared" si="1506"/>
        <v>MECHANICSBURG</v>
      </c>
      <c r="E3873" t="str">
        <f t="shared" si="1500"/>
        <v>PA</v>
      </c>
      <c r="F3873" t="str">
        <f t="shared" ref="F3873:F3890" si="1510">T("170550788")</f>
        <v>170550788</v>
      </c>
      <c r="G3873" t="str">
        <f>T("5450 CARLISLE PIKE")</f>
        <v>5450 CARLISLE PIKE</v>
      </c>
      <c r="H3873" t="str">
        <f>T("PO BOX 2020")</f>
        <v>PO BOX 2020</v>
      </c>
      <c r="I3873" t="str">
        <f t="shared" si="1507"/>
        <v>MECHANICSBURG</v>
      </c>
      <c r="J3873" t="str">
        <f t="shared" si="1502"/>
        <v>PA</v>
      </c>
      <c r="K3873" t="str">
        <f>T("000000000000000000")</f>
        <v>000000000000000000</v>
      </c>
      <c r="L3873" t="str">
        <f>T("7176053896")</f>
        <v>7176053896</v>
      </c>
    </row>
    <row r="3874" spans="1:12" x14ac:dyDescent="0.35">
      <c r="A3874" t="str">
        <f t="shared" si="1497"/>
        <v>WSS MECH</v>
      </c>
      <c r="B3874" t="str">
        <f t="shared" si="1509"/>
        <v>PO BOX 2020</v>
      </c>
      <c r="C3874" t="str">
        <f t="shared" si="1508"/>
        <v>5450 CARLISLE PIKE</v>
      </c>
      <c r="D3874" t="str">
        <f t="shared" si="1506"/>
        <v>MECHANICSBURG</v>
      </c>
      <c r="E3874" t="str">
        <f t="shared" si="1500"/>
        <v>PA</v>
      </c>
      <c r="F3874" t="str">
        <f t="shared" si="1510"/>
        <v>170550788</v>
      </c>
      <c r="G3874" t="str">
        <f>T("PO BOX 2020")</f>
        <v>PO BOX 2020</v>
      </c>
      <c r="H3874" t="str">
        <f>T("5450 CARLISLE PIKE")</f>
        <v>5450 CARLISLE PIKE</v>
      </c>
      <c r="I3874" t="str">
        <f t="shared" si="1507"/>
        <v>MECHANICSBURG</v>
      </c>
      <c r="J3874" t="str">
        <f t="shared" si="1502"/>
        <v>PA</v>
      </c>
      <c r="K3874" t="str">
        <f>T("000000000000000000")</f>
        <v>000000000000000000</v>
      </c>
      <c r="L3874" t="str">
        <f>T("7176053302")</f>
        <v>7176053302</v>
      </c>
    </row>
    <row r="3875" spans="1:12" x14ac:dyDescent="0.35">
      <c r="A3875" t="str">
        <f t="shared" si="1497"/>
        <v>WSS MECH</v>
      </c>
      <c r="B3875" t="str">
        <f t="shared" si="1509"/>
        <v>PO BOX 2020</v>
      </c>
      <c r="C3875" t="str">
        <f t="shared" si="1508"/>
        <v>5450 CARLISLE PIKE</v>
      </c>
      <c r="D3875" t="str">
        <f t="shared" si="1506"/>
        <v>MECHANICSBURG</v>
      </c>
      <c r="E3875" t="str">
        <f t="shared" si="1500"/>
        <v>PA</v>
      </c>
      <c r="F3875" t="str">
        <f t="shared" si="1510"/>
        <v>170550788</v>
      </c>
      <c r="G3875" t="str">
        <f>T("PO BOX 2020")</f>
        <v>PO BOX 2020</v>
      </c>
      <c r="H3875" t="str">
        <f>T("5450 CARLISLE PIKE")</f>
        <v>5450 CARLISLE PIKE</v>
      </c>
      <c r="I3875" t="str">
        <f t="shared" si="1507"/>
        <v>MECHANICSBURG</v>
      </c>
      <c r="J3875" t="str">
        <f t="shared" si="1502"/>
        <v>PA</v>
      </c>
      <c r="K3875" t="str">
        <f>T("7176051247")</f>
        <v>7176051247</v>
      </c>
      <c r="L3875" t="str">
        <f>T("7176055536")</f>
        <v>7176055536</v>
      </c>
    </row>
    <row r="3876" spans="1:12" x14ac:dyDescent="0.35">
      <c r="A3876" t="str">
        <f t="shared" si="1497"/>
        <v>WSS MECH</v>
      </c>
      <c r="B3876" t="str">
        <f t="shared" si="1509"/>
        <v>PO BOX 2020</v>
      </c>
      <c r="C3876" t="str">
        <f t="shared" si="1508"/>
        <v>5450 CARLISLE PIKE</v>
      </c>
      <c r="D3876" t="str">
        <f t="shared" si="1506"/>
        <v>MECHANICSBURG</v>
      </c>
      <c r="E3876" t="str">
        <f t="shared" si="1500"/>
        <v>PA</v>
      </c>
      <c r="F3876" t="str">
        <f t="shared" si="1510"/>
        <v>170550788</v>
      </c>
      <c r="G3876" t="str">
        <f>T("PO BOX 2020")</f>
        <v>PO BOX 2020</v>
      </c>
      <c r="H3876" t="str">
        <f>T("5450 CARLISLE PIKE")</f>
        <v>5450 CARLISLE PIKE</v>
      </c>
      <c r="I3876" t="str">
        <f t="shared" si="1507"/>
        <v>MECHANICSBURG</v>
      </c>
      <c r="J3876" t="str">
        <f t="shared" si="1502"/>
        <v>PA</v>
      </c>
      <c r="K3876" t="str">
        <f>T("7176051549")</f>
        <v>7176051549</v>
      </c>
      <c r="L3876" t="str">
        <f>T("7176056797")</f>
        <v>7176056797</v>
      </c>
    </row>
    <row r="3877" spans="1:12" x14ac:dyDescent="0.35">
      <c r="A3877" t="str">
        <f t="shared" si="1497"/>
        <v>WSS MECH</v>
      </c>
      <c r="B3877" t="str">
        <f t="shared" si="1509"/>
        <v>PO BOX 2020</v>
      </c>
      <c r="C3877" t="str">
        <f t="shared" si="1508"/>
        <v>5450 CARLISLE PIKE</v>
      </c>
      <c r="D3877" t="str">
        <f t="shared" si="1506"/>
        <v>MECHANICSBURG</v>
      </c>
      <c r="E3877" t="str">
        <f t="shared" si="1500"/>
        <v>PA</v>
      </c>
      <c r="F3877" t="str">
        <f t="shared" si="1510"/>
        <v>170550788</v>
      </c>
      <c r="G3877" t="str">
        <f>T("PO BOX 2020 CODE 04")</f>
        <v>PO BOX 2020 CODE 04</v>
      </c>
      <c r="H3877" t="str">
        <f>T("5450 CARLISLE PIKE")</f>
        <v>5450 CARLISLE PIKE</v>
      </c>
      <c r="I3877" t="str">
        <f t="shared" si="1507"/>
        <v>MECHANICSBURG</v>
      </c>
      <c r="J3877" t="str">
        <f t="shared" si="1502"/>
        <v>PA</v>
      </c>
      <c r="K3877" t="str">
        <f>T("7176055028")</f>
        <v>7176055028</v>
      </c>
      <c r="L3877" t="str">
        <f>T("7176056674")</f>
        <v>7176056674</v>
      </c>
    </row>
    <row r="3878" spans="1:12" x14ac:dyDescent="0.35">
      <c r="A3878" t="str">
        <f t="shared" si="1497"/>
        <v>WSS MECH</v>
      </c>
      <c r="B3878" t="str">
        <f t="shared" si="1509"/>
        <v>PO BOX 2020</v>
      </c>
      <c r="C3878" t="str">
        <f>T("5450 CARLISLE PIKE BLDG 312")</f>
        <v>5450 CARLISLE PIKE BLDG 312</v>
      </c>
      <c r="D3878" t="str">
        <f t="shared" si="1506"/>
        <v>MECHANICSBURG</v>
      </c>
      <c r="E3878" t="str">
        <f t="shared" si="1500"/>
        <v>PA</v>
      </c>
      <c r="F3878" t="str">
        <f t="shared" si="1510"/>
        <v>170550788</v>
      </c>
      <c r="G3878" t="str">
        <f>T("PO BOX 2020")</f>
        <v>PO BOX 2020</v>
      </c>
      <c r="H3878" t="str">
        <f>T("5450 CARLISLE PIKE")</f>
        <v>5450 CARLISLE PIKE</v>
      </c>
      <c r="I3878" t="str">
        <f t="shared" si="1507"/>
        <v>MECHANICSBURG</v>
      </c>
      <c r="J3878" t="str">
        <f t="shared" si="1502"/>
        <v>PA</v>
      </c>
      <c r="K3878" t="str">
        <f>T("7176051590")</f>
        <v>7176051590</v>
      </c>
      <c r="L3878" t="str">
        <f>T("7176054472")</f>
        <v>7176054472</v>
      </c>
    </row>
    <row r="3879" spans="1:12" x14ac:dyDescent="0.35">
      <c r="A3879" t="str">
        <f t="shared" si="1497"/>
        <v>WSS MECH</v>
      </c>
      <c r="B3879" t="str">
        <f t="shared" si="1509"/>
        <v>PO BOX 2020</v>
      </c>
      <c r="C3879" t="str">
        <f>T("5450 CARLISLE PIKE BLDG 312")</f>
        <v>5450 CARLISLE PIKE BLDG 312</v>
      </c>
      <c r="D3879" t="str">
        <f t="shared" si="1506"/>
        <v>MECHANICSBURG</v>
      </c>
      <c r="E3879" t="str">
        <f t="shared" si="1500"/>
        <v>PA</v>
      </c>
      <c r="F3879" t="str">
        <f t="shared" si="1510"/>
        <v>170550788</v>
      </c>
      <c r="G3879" t="str">
        <f>T("PO BOX 2020")</f>
        <v>PO BOX 2020</v>
      </c>
      <c r="H3879" t="str">
        <f>T("5450 CARLISLE PIKE BLDG 312")</f>
        <v>5450 CARLISLE PIKE BLDG 312</v>
      </c>
      <c r="I3879" t="str">
        <f t="shared" si="1507"/>
        <v>MECHANICSBURG</v>
      </c>
      <c r="J3879" t="str">
        <f t="shared" si="1502"/>
        <v>PA</v>
      </c>
      <c r="K3879" t="str">
        <f>T("7176053167")</f>
        <v>7176053167</v>
      </c>
      <c r="L3879" t="str">
        <f>T("7176053230")</f>
        <v>7176053230</v>
      </c>
    </row>
    <row r="3880" spans="1:12" x14ac:dyDescent="0.35">
      <c r="A3880" t="str">
        <f t="shared" si="1497"/>
        <v>WSS MECH</v>
      </c>
      <c r="B3880" t="str">
        <f>T("PO BOX 2020 CODE 85")</f>
        <v>PO BOX 2020 CODE 85</v>
      </c>
      <c r="C3880" t="str">
        <f t="shared" ref="C3880:C3885" si="1511">T("5450 CARLISLE PIKE")</f>
        <v>5450 CARLISLE PIKE</v>
      </c>
      <c r="D3880" t="str">
        <f t="shared" si="1506"/>
        <v>MECHANICSBURG</v>
      </c>
      <c r="E3880" t="str">
        <f t="shared" si="1500"/>
        <v>PA</v>
      </c>
      <c r="F3880" t="str">
        <f t="shared" si="1510"/>
        <v>170550788</v>
      </c>
      <c r="G3880" t="str">
        <f>T("5450 CARLISLE PIKE")</f>
        <v>5450 CARLISLE PIKE</v>
      </c>
      <c r="H3880" t="str">
        <f>T("PO BOX 2020")</f>
        <v>PO BOX 2020</v>
      </c>
      <c r="I3880" t="str">
        <f t="shared" si="1507"/>
        <v>MECHANICSBURG</v>
      </c>
      <c r="J3880" t="str">
        <f t="shared" si="1502"/>
        <v>PA</v>
      </c>
      <c r="K3880" t="str">
        <f>T("000000000000000000")</f>
        <v>000000000000000000</v>
      </c>
      <c r="L3880" t="str">
        <f>T("7176055495")</f>
        <v>7176055495</v>
      </c>
    </row>
    <row r="3881" spans="1:12" x14ac:dyDescent="0.35">
      <c r="A3881" t="str">
        <f t="shared" si="1497"/>
        <v>WSS MECH</v>
      </c>
      <c r="B3881" t="str">
        <f>T("PO BOX 2020 CODE 85")</f>
        <v>PO BOX 2020 CODE 85</v>
      </c>
      <c r="C3881" t="str">
        <f t="shared" si="1511"/>
        <v>5450 CARLISLE PIKE</v>
      </c>
      <c r="D3881" t="str">
        <f t="shared" si="1506"/>
        <v>MECHANICSBURG</v>
      </c>
      <c r="E3881" t="str">
        <f t="shared" si="1500"/>
        <v>PA</v>
      </c>
      <c r="F3881" t="str">
        <f t="shared" si="1510"/>
        <v>170550788</v>
      </c>
      <c r="G3881" t="str">
        <f>T("PO BOX 2020 CODE 0583")</f>
        <v>PO BOX 2020 CODE 0583</v>
      </c>
      <c r="H3881" t="str">
        <f>T("5450 CARLISLE PIKE")</f>
        <v>5450 CARLISLE PIKE</v>
      </c>
      <c r="I3881" t="str">
        <f t="shared" si="1507"/>
        <v>MECHANICSBURG</v>
      </c>
      <c r="J3881" t="str">
        <f t="shared" si="1502"/>
        <v>PA</v>
      </c>
      <c r="K3881" t="str">
        <f>T("000000000000000000")</f>
        <v>000000000000000000</v>
      </c>
      <c r="L3881" t="str">
        <f>T("7176051675")</f>
        <v>7176051675</v>
      </c>
    </row>
    <row r="3882" spans="1:12" x14ac:dyDescent="0.35">
      <c r="A3882" t="str">
        <f t="shared" si="1497"/>
        <v>WSS MECH</v>
      </c>
      <c r="B3882" t="str">
        <f>T("PO BOX 2020 CODE 85")</f>
        <v>PO BOX 2020 CODE 85</v>
      </c>
      <c r="C3882" t="str">
        <f t="shared" si="1511"/>
        <v>5450 CARLISLE PIKE</v>
      </c>
      <c r="D3882" t="str">
        <f t="shared" si="1506"/>
        <v>MECHANICSBURG</v>
      </c>
      <c r="E3882" t="str">
        <f t="shared" si="1500"/>
        <v>PA</v>
      </c>
      <c r="F3882" t="str">
        <f t="shared" si="1510"/>
        <v>170550788</v>
      </c>
      <c r="G3882" t="str">
        <f>T("PO BOX 2020 CODE 85")</f>
        <v>PO BOX 2020 CODE 85</v>
      </c>
      <c r="H3882" t="str">
        <f>T("5450 CARLISLE PIKE")</f>
        <v>5450 CARLISLE PIKE</v>
      </c>
      <c r="I3882" t="str">
        <f t="shared" si="1507"/>
        <v>MECHANICSBURG</v>
      </c>
      <c r="J3882" t="str">
        <f t="shared" si="1502"/>
        <v>PA</v>
      </c>
      <c r="K3882" t="str">
        <f>T("")</f>
        <v/>
      </c>
      <c r="L3882" t="str">
        <f>T("7176051711")</f>
        <v>7176051711</v>
      </c>
    </row>
    <row r="3883" spans="1:12" x14ac:dyDescent="0.35">
      <c r="A3883" t="str">
        <f t="shared" si="1497"/>
        <v>WSS MECH</v>
      </c>
      <c r="B3883" t="str">
        <f>T("PO BOX 2020 CODE OSX2 BLDG311")</f>
        <v>PO BOX 2020 CODE OSX2 BLDG311</v>
      </c>
      <c r="C3883" t="str">
        <f t="shared" si="1511"/>
        <v>5450 CARLISLE PIKE</v>
      </c>
      <c r="D3883" t="str">
        <f t="shared" si="1506"/>
        <v>MECHANICSBURG</v>
      </c>
      <c r="E3883" t="str">
        <f t="shared" si="1500"/>
        <v>PA</v>
      </c>
      <c r="F3883" t="str">
        <f t="shared" si="1510"/>
        <v>170550788</v>
      </c>
      <c r="G3883" t="str">
        <f>T("5450 CARLISLE PIKE")</f>
        <v>5450 CARLISLE PIKE</v>
      </c>
      <c r="H3883" t="str">
        <f>T("PO BOX 2020")</f>
        <v>PO BOX 2020</v>
      </c>
      <c r="I3883" t="str">
        <f t="shared" si="1507"/>
        <v>MECHANICSBURG</v>
      </c>
      <c r="J3883" t="str">
        <f t="shared" si="1502"/>
        <v>PA</v>
      </c>
      <c r="K3883" t="str">
        <f>T("7176052539")</f>
        <v>7176052539</v>
      </c>
      <c r="L3883" t="str">
        <f>T("7176053117")</f>
        <v>7176053117</v>
      </c>
    </row>
    <row r="3884" spans="1:12" x14ac:dyDescent="0.35">
      <c r="A3884" t="str">
        <f t="shared" si="1497"/>
        <v>WSS MECH</v>
      </c>
      <c r="B3884" t="str">
        <f>T("PO BOX 2020 CODE OSX2 BLDG311")</f>
        <v>PO BOX 2020 CODE OSX2 BLDG311</v>
      </c>
      <c r="C3884" t="str">
        <f t="shared" si="1511"/>
        <v>5450 CARLISLE PIKE</v>
      </c>
      <c r="D3884" t="str">
        <f t="shared" si="1506"/>
        <v>MECHANICSBURG</v>
      </c>
      <c r="E3884" t="str">
        <f t="shared" si="1500"/>
        <v>PA</v>
      </c>
      <c r="F3884" t="str">
        <f t="shared" si="1510"/>
        <v>170550788</v>
      </c>
      <c r="G3884" t="str">
        <f>T("5450 CARLISLE PIKE CODE OSX")</f>
        <v>5450 CARLISLE PIKE CODE OSX</v>
      </c>
      <c r="H3884" t="str">
        <f>T("PO BOX 2020")</f>
        <v>PO BOX 2020</v>
      </c>
      <c r="I3884" t="str">
        <f t="shared" si="1507"/>
        <v>MECHANICSBURG</v>
      </c>
      <c r="J3884" t="str">
        <f t="shared" si="1502"/>
        <v>PA</v>
      </c>
      <c r="K3884" t="str">
        <f>T("7176057936")</f>
        <v>7176057936</v>
      </c>
      <c r="L3884" t="str">
        <f>T("7176051700")</f>
        <v>7176051700</v>
      </c>
    </row>
    <row r="3885" spans="1:12" x14ac:dyDescent="0.35">
      <c r="A3885" t="str">
        <f t="shared" si="1497"/>
        <v>WSS MECH</v>
      </c>
      <c r="B3885" t="str">
        <f>T("PO BOX 2020 CODE OSX2 BLDG311")</f>
        <v>PO BOX 2020 CODE OSX2 BLDG311</v>
      </c>
      <c r="C3885" t="str">
        <f t="shared" si="1511"/>
        <v>5450 CARLISLE PIKE</v>
      </c>
      <c r="D3885" t="str">
        <f t="shared" si="1506"/>
        <v>MECHANICSBURG</v>
      </c>
      <c r="E3885" t="str">
        <f t="shared" si="1500"/>
        <v>PA</v>
      </c>
      <c r="F3885" t="str">
        <f t="shared" si="1510"/>
        <v>170550788</v>
      </c>
      <c r="G3885" t="str">
        <f>T("PO BOX 2020 CODE OSX2 BLDG311")</f>
        <v>PO BOX 2020 CODE OSX2 BLDG311</v>
      </c>
      <c r="H3885" t="str">
        <f>T("5450 CARLISLE PIKE")</f>
        <v>5450 CARLISLE PIKE</v>
      </c>
      <c r="I3885" t="str">
        <f t="shared" si="1507"/>
        <v>MECHANICSBURG</v>
      </c>
      <c r="J3885" t="str">
        <f t="shared" si="1502"/>
        <v>PA</v>
      </c>
      <c r="K3885" t="str">
        <f>T("7176052146")</f>
        <v>7176052146</v>
      </c>
      <c r="L3885" t="str">
        <f>T("7176057845")</f>
        <v>7176057845</v>
      </c>
    </row>
    <row r="3886" spans="1:12" x14ac:dyDescent="0.35">
      <c r="A3886" t="str">
        <f>T("WSS CODE 0123")</f>
        <v>WSS CODE 0123</v>
      </c>
      <c r="B3886" t="str">
        <f>T("5450 CARLISLE PIKE")</f>
        <v>5450 CARLISLE PIKE</v>
      </c>
      <c r="C3886" t="str">
        <f>T("PO BOX 2020")</f>
        <v>PO BOX 2020</v>
      </c>
      <c r="D3886" t="str">
        <f t="shared" si="1506"/>
        <v>MECHANICSBURG</v>
      </c>
      <c r="E3886" t="str">
        <f t="shared" si="1500"/>
        <v>PA</v>
      </c>
      <c r="F3886" t="str">
        <f t="shared" si="1510"/>
        <v>170550788</v>
      </c>
      <c r="G3886" t="str">
        <f>T("5450 CARLISLE PIKE")</f>
        <v>5450 CARLISLE PIKE</v>
      </c>
      <c r="H3886" t="str">
        <f>T("PO BOX 2020")</f>
        <v>PO BOX 2020</v>
      </c>
      <c r="I3886" t="str">
        <f t="shared" si="1507"/>
        <v>MECHANICSBURG</v>
      </c>
      <c r="J3886" t="str">
        <f t="shared" si="1502"/>
        <v>PA</v>
      </c>
      <c r="K3886" t="str">
        <f>T("")</f>
        <v/>
      </c>
      <c r="L3886" t="str">
        <f>T("7176056601")</f>
        <v>7176056601</v>
      </c>
    </row>
    <row r="3887" spans="1:12" x14ac:dyDescent="0.35">
      <c r="A3887" t="str">
        <f>T("WSS CODE 0123")</f>
        <v>WSS CODE 0123</v>
      </c>
      <c r="B3887" t="str">
        <f>T("5450 CARLISLE PIKE")</f>
        <v>5450 CARLISLE PIKE</v>
      </c>
      <c r="C3887" t="str">
        <f>T("PO BOX 2020")</f>
        <v>PO BOX 2020</v>
      </c>
      <c r="D3887" t="str">
        <f t="shared" si="1506"/>
        <v>MECHANICSBURG</v>
      </c>
      <c r="E3887" t="str">
        <f t="shared" si="1500"/>
        <v>PA</v>
      </c>
      <c r="F3887" t="str">
        <f t="shared" si="1510"/>
        <v>170550788</v>
      </c>
      <c r="G3887" t="str">
        <f>T("5450 CARLISLE PIKE BUILDING 409")</f>
        <v>5450 CARLISLE PIKE BUILDING 409</v>
      </c>
      <c r="H3887" t="str">
        <f>T("")</f>
        <v/>
      </c>
      <c r="I3887" t="str">
        <f t="shared" si="1507"/>
        <v>MECHANICSBURG</v>
      </c>
      <c r="J3887" t="str">
        <f t="shared" si="1502"/>
        <v>PA</v>
      </c>
      <c r="K3887" t="str">
        <f>T("7176057691")</f>
        <v>7176057691</v>
      </c>
      <c r="L3887" t="str">
        <f>T("7176051054")</f>
        <v>7176051054</v>
      </c>
    </row>
    <row r="3888" spans="1:12" x14ac:dyDescent="0.35">
      <c r="A3888" t="str">
        <f>T("WSS CODE 0123")</f>
        <v>WSS CODE 0123</v>
      </c>
      <c r="B3888" t="str">
        <f>T("5450 CARLISLE PIKE")</f>
        <v>5450 CARLISLE PIKE</v>
      </c>
      <c r="C3888" t="str">
        <f>T("PO BOX 2020")</f>
        <v>PO BOX 2020</v>
      </c>
      <c r="D3888" t="str">
        <f t="shared" si="1506"/>
        <v>MECHANICSBURG</v>
      </c>
      <c r="E3888" t="str">
        <f t="shared" si="1500"/>
        <v>PA</v>
      </c>
      <c r="F3888" t="str">
        <f t="shared" si="1510"/>
        <v>170550788</v>
      </c>
      <c r="G3888" t="str">
        <f>T("5450 CARLISLE PIKE CODE 9122")</f>
        <v>5450 CARLISLE PIKE CODE 9122</v>
      </c>
      <c r="H3888" t="str">
        <f>T("PO BOX 2010")</f>
        <v>PO BOX 2010</v>
      </c>
      <c r="I3888" t="str">
        <f t="shared" si="1507"/>
        <v>MECHANICSBURG</v>
      </c>
      <c r="J3888" t="str">
        <f t="shared" si="1502"/>
        <v>PA</v>
      </c>
      <c r="K3888" t="str">
        <f>T("000000000000000000")</f>
        <v>000000000000000000</v>
      </c>
      <c r="L3888" t="str">
        <f>T("7176052580")</f>
        <v>7176052580</v>
      </c>
    </row>
    <row r="3889" spans="1:12" x14ac:dyDescent="0.35">
      <c r="A3889" t="str">
        <f>T("WSS CODE 0123")</f>
        <v>WSS CODE 0123</v>
      </c>
      <c r="B3889" t="str">
        <f>T("5450 CARLISLE PIKE")</f>
        <v>5450 CARLISLE PIKE</v>
      </c>
      <c r="C3889" t="str">
        <f>T("PO BOX 2020")</f>
        <v>PO BOX 2020</v>
      </c>
      <c r="D3889" t="str">
        <f t="shared" si="1506"/>
        <v>MECHANICSBURG</v>
      </c>
      <c r="E3889" t="str">
        <f t="shared" si="1500"/>
        <v>PA</v>
      </c>
      <c r="F3889" t="str">
        <f t="shared" si="1510"/>
        <v>170550788</v>
      </c>
      <c r="G3889" t="str">
        <f>T("PO BOX 2010")</f>
        <v>PO BOX 2010</v>
      </c>
      <c r="H3889" t="str">
        <f>T("5450 CARLISLE PIKE")</f>
        <v>5450 CARLISLE PIKE</v>
      </c>
      <c r="I3889" t="str">
        <f t="shared" si="1507"/>
        <v>MECHANICSBURG</v>
      </c>
      <c r="J3889" t="str">
        <f t="shared" si="1502"/>
        <v>PA</v>
      </c>
      <c r="K3889" t="str">
        <f>T("000000000000000000")</f>
        <v>000000000000000000</v>
      </c>
      <c r="L3889" t="str">
        <f>T("7176051768")</f>
        <v>7176051768</v>
      </c>
    </row>
    <row r="3890" spans="1:12" x14ac:dyDescent="0.35">
      <c r="A3890" t="str">
        <f>T("WSS CODE 0123")</f>
        <v>WSS CODE 0123</v>
      </c>
      <c r="B3890" t="str">
        <f>T("5450 CARLISLE PIKE")</f>
        <v>5450 CARLISLE PIKE</v>
      </c>
      <c r="C3890" t="str">
        <f>T("PO BOX 2020")</f>
        <v>PO BOX 2020</v>
      </c>
      <c r="D3890" t="str">
        <f t="shared" si="1506"/>
        <v>MECHANICSBURG</v>
      </c>
      <c r="E3890" t="str">
        <f t="shared" si="1500"/>
        <v>PA</v>
      </c>
      <c r="F3890" t="str">
        <f t="shared" si="1510"/>
        <v>170550788</v>
      </c>
      <c r="G3890" t="str">
        <f>T("PO BOX 2010")</f>
        <v>PO BOX 2010</v>
      </c>
      <c r="H3890" t="str">
        <f>T("5450 CARLISLE PIKE")</f>
        <v>5450 CARLISLE PIKE</v>
      </c>
      <c r="I3890" t="str">
        <f t="shared" si="1507"/>
        <v>MECHANICSBURG</v>
      </c>
      <c r="J3890" t="str">
        <f t="shared" si="1502"/>
        <v>PA</v>
      </c>
      <c r="K3890" t="str">
        <f>T("7176056543")</f>
        <v>7176056543</v>
      </c>
      <c r="L3890" t="str">
        <f>T("7176054220")</f>
        <v>7176054220</v>
      </c>
    </row>
    <row r="3891" spans="1:12" x14ac:dyDescent="0.35">
      <c r="A3891" t="str">
        <f t="shared" ref="A3891:A3920" si="1512">T("FLC PUGET SND NVSHIPYD")</f>
        <v>FLC PUGET SND NVSHIPYD</v>
      </c>
      <c r="B3891" t="str">
        <f t="shared" ref="B3891:B3898" si="1513">T("467 W STREET")</f>
        <v>467 W STREET</v>
      </c>
      <c r="C3891" t="str">
        <f>T("C/501.14")</f>
        <v>C/501.14</v>
      </c>
      <c r="D3891" t="str">
        <f t="shared" ref="D3891:D3900" si="1514">T("BREMERTON")</f>
        <v>BREMERTON</v>
      </c>
      <c r="E3891" t="str">
        <f t="shared" ref="E3891:E3923" si="1515">T("WA")</f>
        <v>WA</v>
      </c>
      <c r="F3891" t="str">
        <f>T("983145100")</f>
        <v>983145100</v>
      </c>
      <c r="G3891" t="str">
        <f t="shared" ref="G3891:G3899" si="1516">T("467 W STREET")</f>
        <v>467 W STREET</v>
      </c>
      <c r="H3891" t="str">
        <f>T("2ND FLOOR PMBC")</f>
        <v>2ND FLOOR PMBC</v>
      </c>
      <c r="I3891" t="str">
        <f t="shared" ref="I3891:I3900" si="1517">T("BREMERTON")</f>
        <v>BREMERTON</v>
      </c>
      <c r="J3891" t="str">
        <f t="shared" ref="J3891:J3923" si="1518">T("WA")</f>
        <v>WA</v>
      </c>
      <c r="K3891" t="str">
        <f>T("3604764121")</f>
        <v>3604764121</v>
      </c>
      <c r="L3891" t="str">
        <f>T("3604764405")</f>
        <v>3604764405</v>
      </c>
    </row>
    <row r="3892" spans="1:12" x14ac:dyDescent="0.35">
      <c r="A3892" t="str">
        <f t="shared" si="1512"/>
        <v>FLC PUGET SND NVSHIPYD</v>
      </c>
      <c r="B3892" t="str">
        <f t="shared" si="1513"/>
        <v>467 W STREET</v>
      </c>
      <c r="C3892" t="str">
        <f>T("C/501.14")</f>
        <v>C/501.14</v>
      </c>
      <c r="D3892" t="str">
        <f t="shared" si="1514"/>
        <v>BREMERTON</v>
      </c>
      <c r="E3892" t="str">
        <f t="shared" si="1515"/>
        <v>WA</v>
      </c>
      <c r="F3892" t="str">
        <f>T("983145100")</f>
        <v>983145100</v>
      </c>
      <c r="G3892" t="str">
        <f t="shared" si="1516"/>
        <v>467 W STREET</v>
      </c>
      <c r="H3892" t="str">
        <f>T("2ND FLOOR PMBC")</f>
        <v>2ND FLOOR PMBC</v>
      </c>
      <c r="I3892" t="str">
        <f t="shared" si="1517"/>
        <v>BREMERTON</v>
      </c>
      <c r="J3892" t="str">
        <f t="shared" si="1518"/>
        <v>WA</v>
      </c>
      <c r="K3892" t="str">
        <f>T("3604767113")</f>
        <v>3604767113</v>
      </c>
      <c r="L3892" t="str">
        <f>T("3603152028")</f>
        <v>3603152028</v>
      </c>
    </row>
    <row r="3893" spans="1:12" x14ac:dyDescent="0.35">
      <c r="A3893" t="str">
        <f t="shared" si="1512"/>
        <v>FLC PUGET SND NVSHIPYD</v>
      </c>
      <c r="B3893" t="str">
        <f t="shared" si="1513"/>
        <v>467 W STREET</v>
      </c>
      <c r="C3893" t="str">
        <f>T("C/501.14")</f>
        <v>C/501.14</v>
      </c>
      <c r="D3893" t="str">
        <f t="shared" si="1514"/>
        <v>BREMERTON</v>
      </c>
      <c r="E3893" t="str">
        <f t="shared" si="1515"/>
        <v>WA</v>
      </c>
      <c r="F3893" t="str">
        <f>T("983145100")</f>
        <v>983145100</v>
      </c>
      <c r="G3893" t="str">
        <f t="shared" si="1516"/>
        <v>467 W STREET</v>
      </c>
      <c r="H3893" t="str">
        <f>T("2ND FLOOR PMBC")</f>
        <v>2ND FLOOR PMBC</v>
      </c>
      <c r="I3893" t="str">
        <f t="shared" si="1517"/>
        <v>BREMERTON</v>
      </c>
      <c r="J3893" t="str">
        <f t="shared" si="1518"/>
        <v>WA</v>
      </c>
      <c r="K3893" t="str">
        <f>T("3604767113")</f>
        <v>3604767113</v>
      </c>
      <c r="L3893" t="str">
        <f>T("3604760926")</f>
        <v>3604760926</v>
      </c>
    </row>
    <row r="3894" spans="1:12" x14ac:dyDescent="0.35">
      <c r="A3894" t="str">
        <f t="shared" si="1512"/>
        <v>FLC PUGET SND NVSHIPYD</v>
      </c>
      <c r="B3894" t="str">
        <f t="shared" si="1513"/>
        <v>467 W STREET</v>
      </c>
      <c r="C3894" t="str">
        <f>T("C/501.14")</f>
        <v>C/501.14</v>
      </c>
      <c r="D3894" t="str">
        <f t="shared" si="1514"/>
        <v>BREMERTON</v>
      </c>
      <c r="E3894" t="str">
        <f t="shared" si="1515"/>
        <v>WA</v>
      </c>
      <c r="F3894" t="str">
        <f>T("983145100")</f>
        <v>983145100</v>
      </c>
      <c r="G3894" t="str">
        <f t="shared" si="1516"/>
        <v>467 W STREET</v>
      </c>
      <c r="H3894" t="str">
        <f>T("C/501.14")</f>
        <v>C/501.14</v>
      </c>
      <c r="I3894" t="str">
        <f t="shared" si="1517"/>
        <v>BREMERTON</v>
      </c>
      <c r="J3894" t="str">
        <f t="shared" si="1518"/>
        <v>WA</v>
      </c>
      <c r="K3894" t="str">
        <f>T("360-476-0089")</f>
        <v>360-476-0089</v>
      </c>
      <c r="L3894" t="str">
        <f>T("3604762150")</f>
        <v>3604762150</v>
      </c>
    </row>
    <row r="3895" spans="1:12" x14ac:dyDescent="0.35">
      <c r="A3895" t="str">
        <f t="shared" si="1512"/>
        <v>FLC PUGET SND NVSHIPYD</v>
      </c>
      <c r="B3895" t="str">
        <f t="shared" si="1513"/>
        <v>467 W STREET</v>
      </c>
      <c r="C3895" t="str">
        <f>T("C/501.14")</f>
        <v>C/501.14</v>
      </c>
      <c r="D3895" t="str">
        <f t="shared" si="1514"/>
        <v>BREMERTON</v>
      </c>
      <c r="E3895" t="str">
        <f t="shared" si="1515"/>
        <v>WA</v>
      </c>
      <c r="F3895" t="str">
        <f>T("983145100")</f>
        <v>983145100</v>
      </c>
      <c r="G3895" t="str">
        <f t="shared" si="1516"/>
        <v>467 W STREET</v>
      </c>
      <c r="H3895" t="str">
        <f>T("CODE PMBC")</f>
        <v>CODE PMBC</v>
      </c>
      <c r="I3895" t="str">
        <f t="shared" si="1517"/>
        <v>BREMERTON</v>
      </c>
      <c r="J3895" t="str">
        <f t="shared" si="1518"/>
        <v>WA</v>
      </c>
      <c r="K3895" t="str">
        <f>T("3604767113")</f>
        <v>3604767113</v>
      </c>
      <c r="L3895" t="str">
        <f>T("3604763994")</f>
        <v>3604763994</v>
      </c>
    </row>
    <row r="3896" spans="1:12" x14ac:dyDescent="0.35">
      <c r="A3896" t="str">
        <f t="shared" si="1512"/>
        <v>FLC PUGET SND NVSHIPYD</v>
      </c>
      <c r="B3896" t="str">
        <f t="shared" si="1513"/>
        <v>467 W STREET</v>
      </c>
      <c r="C3896" t="str">
        <f>T("PMBC")</f>
        <v>PMBC</v>
      </c>
      <c r="D3896" t="str">
        <f t="shared" si="1514"/>
        <v>BREMERTON</v>
      </c>
      <c r="E3896" t="str">
        <f t="shared" si="1515"/>
        <v>WA</v>
      </c>
      <c r="F3896" t="str">
        <f>T("983146008")</f>
        <v>983146008</v>
      </c>
      <c r="G3896" t="str">
        <f t="shared" si="1516"/>
        <v>467 W STREET</v>
      </c>
      <c r="H3896" t="str">
        <f>T("CODE PMBC")</f>
        <v>CODE PMBC</v>
      </c>
      <c r="I3896" t="str">
        <f t="shared" si="1517"/>
        <v>BREMERTON</v>
      </c>
      <c r="J3896" t="str">
        <f t="shared" si="1518"/>
        <v>WA</v>
      </c>
      <c r="K3896" t="str">
        <f>T("3604767113")</f>
        <v>3604767113</v>
      </c>
      <c r="L3896" t="str">
        <f>T("3604767408")</f>
        <v>3604767408</v>
      </c>
    </row>
    <row r="3897" spans="1:12" x14ac:dyDescent="0.35">
      <c r="A3897" t="str">
        <f t="shared" si="1512"/>
        <v>FLC PUGET SND NVSHIPYD</v>
      </c>
      <c r="B3897" t="str">
        <f t="shared" si="1513"/>
        <v>467 W STREET</v>
      </c>
      <c r="C3897" t="str">
        <f>T("PMBC")</f>
        <v>PMBC</v>
      </c>
      <c r="D3897" t="str">
        <f t="shared" si="1514"/>
        <v>BREMERTON</v>
      </c>
      <c r="E3897" t="str">
        <f t="shared" si="1515"/>
        <v>WA</v>
      </c>
      <c r="F3897" t="str">
        <f>T("983146008")</f>
        <v>983146008</v>
      </c>
      <c r="G3897" t="str">
        <f t="shared" si="1516"/>
        <v>467 W STREET</v>
      </c>
      <c r="H3897" t="str">
        <f>T("PMBC")</f>
        <v>PMBC</v>
      </c>
      <c r="I3897" t="str">
        <f t="shared" si="1517"/>
        <v>BREMERTON</v>
      </c>
      <c r="J3897" t="str">
        <f t="shared" si="1518"/>
        <v>WA</v>
      </c>
      <c r="K3897" t="str">
        <f>T("000000000000000000")</f>
        <v>000000000000000000</v>
      </c>
      <c r="L3897" t="str">
        <f>T("3604765595")</f>
        <v>3604765595</v>
      </c>
    </row>
    <row r="3898" spans="1:12" x14ac:dyDescent="0.35">
      <c r="A3898" t="str">
        <f t="shared" si="1512"/>
        <v>FLC PUGET SND NVSHIPYD</v>
      </c>
      <c r="B3898" t="str">
        <f t="shared" si="1513"/>
        <v>467 W STREET</v>
      </c>
      <c r="C3898" t="str">
        <f>T("PMBC")</f>
        <v>PMBC</v>
      </c>
      <c r="D3898" t="str">
        <f t="shared" si="1514"/>
        <v>BREMERTON</v>
      </c>
      <c r="E3898" t="str">
        <f t="shared" si="1515"/>
        <v>WA</v>
      </c>
      <c r="F3898" t="str">
        <f>T("983146008")</f>
        <v>983146008</v>
      </c>
      <c r="G3898" t="str">
        <f t="shared" si="1516"/>
        <v>467 W STREET</v>
      </c>
      <c r="H3898" t="str">
        <f>T("PMBC")</f>
        <v>PMBC</v>
      </c>
      <c r="I3898" t="str">
        <f t="shared" si="1517"/>
        <v>BREMERTON</v>
      </c>
      <c r="J3898" t="str">
        <f t="shared" si="1518"/>
        <v>WA</v>
      </c>
      <c r="K3898" t="str">
        <f>T("3604767113")</f>
        <v>3604767113</v>
      </c>
      <c r="L3898" t="str">
        <f>T("3604764118")</f>
        <v>3604764118</v>
      </c>
    </row>
    <row r="3899" spans="1:12" x14ac:dyDescent="0.35">
      <c r="A3899" t="str">
        <f t="shared" si="1512"/>
        <v>FLC PUGET SND NVSHIPYD</v>
      </c>
      <c r="B3899" t="str">
        <f>T("467 W STREET 2ND FL")</f>
        <v>467 W STREET 2ND FL</v>
      </c>
      <c r="C3899" t="str">
        <f>T("PMBC")</f>
        <v>PMBC</v>
      </c>
      <c r="D3899" t="str">
        <f t="shared" si="1514"/>
        <v>BREMERTON</v>
      </c>
      <c r="E3899" t="str">
        <f t="shared" si="1515"/>
        <v>WA</v>
      </c>
      <c r="F3899" t="str">
        <f>T("983146008")</f>
        <v>983146008</v>
      </c>
      <c r="G3899" t="str">
        <f t="shared" si="1516"/>
        <v>467 W STREET</v>
      </c>
      <c r="H3899" t="str">
        <f>T("PMBC")</f>
        <v>PMBC</v>
      </c>
      <c r="I3899" t="str">
        <f t="shared" si="1517"/>
        <v>BREMERTON</v>
      </c>
      <c r="J3899" t="str">
        <f t="shared" si="1518"/>
        <v>WA</v>
      </c>
      <c r="K3899" t="str">
        <f>T("000000000000000000")</f>
        <v>000000000000000000</v>
      </c>
      <c r="L3899" t="str">
        <f>T("3606272068")</f>
        <v>3606272068</v>
      </c>
    </row>
    <row r="3900" spans="1:12" x14ac:dyDescent="0.35">
      <c r="A3900" t="str">
        <f t="shared" si="1512"/>
        <v>FLC PUGET SND NVSHIPYD</v>
      </c>
      <c r="B3900" t="str">
        <f>T("467 W STREET 2ND FL")</f>
        <v>467 W STREET 2ND FL</v>
      </c>
      <c r="C3900" t="str">
        <f>T("PMBC")</f>
        <v>PMBC</v>
      </c>
      <c r="D3900" t="str">
        <f t="shared" si="1514"/>
        <v>BREMERTON</v>
      </c>
      <c r="E3900" t="str">
        <f t="shared" si="1515"/>
        <v>WA</v>
      </c>
      <c r="F3900" t="str">
        <f>T("983146008")</f>
        <v>983146008</v>
      </c>
      <c r="G3900" t="str">
        <f>T("467 W STREET 2ND FL")</f>
        <v>467 W STREET 2ND FL</v>
      </c>
      <c r="H3900" t="str">
        <f>T("PMBC")</f>
        <v>PMBC</v>
      </c>
      <c r="I3900" t="str">
        <f t="shared" si="1517"/>
        <v>BREMERTON</v>
      </c>
      <c r="J3900" t="str">
        <f t="shared" si="1518"/>
        <v>WA</v>
      </c>
      <c r="K3900" t="str">
        <f>T("000000000000000000")</f>
        <v>000000000000000000</v>
      </c>
      <c r="L3900" t="str">
        <f>T("3604763994")</f>
        <v>3604763994</v>
      </c>
    </row>
    <row r="3901" spans="1:12" x14ac:dyDescent="0.35">
      <c r="A3901" t="str">
        <f t="shared" si="1512"/>
        <v>FLC PUGET SND NVSHIPYD</v>
      </c>
      <c r="B3901" t="str">
        <f>T("6403 SKIPJACK CIRCLE")</f>
        <v>6403 SKIPJACK CIRCLE</v>
      </c>
      <c r="C3901" t="str">
        <f>T("CODE 502")</f>
        <v>CODE 502</v>
      </c>
      <c r="D3901" t="str">
        <f t="shared" ref="D3901:D3912" si="1519">T("SILVERDALE")</f>
        <v>SILVERDALE</v>
      </c>
      <c r="E3901" t="str">
        <f t="shared" si="1515"/>
        <v>WA</v>
      </c>
      <c r="F3901" t="str">
        <f>T("983156400")</f>
        <v>983156400</v>
      </c>
      <c r="G3901" t="str">
        <f>T("6403 SKIPJACK CIRCLE")</f>
        <v>6403 SKIPJACK CIRCLE</v>
      </c>
      <c r="H3901" t="str">
        <f>T("CODE 502")</f>
        <v>CODE 502</v>
      </c>
      <c r="I3901" t="str">
        <f t="shared" ref="I3901:I3912" si="1520">T("SILVERDALE")</f>
        <v>SILVERDALE</v>
      </c>
      <c r="J3901" t="str">
        <f t="shared" si="1518"/>
        <v>WA</v>
      </c>
      <c r="K3901" t="str">
        <f>T("000000000000000000")</f>
        <v>000000000000000000</v>
      </c>
      <c r="L3901" t="str">
        <f>T("3603151591")</f>
        <v>3603151591</v>
      </c>
    </row>
    <row r="3902" spans="1:12" x14ac:dyDescent="0.35">
      <c r="A3902" t="str">
        <f t="shared" si="1512"/>
        <v>FLC PUGET SND NVSHIPYD</v>
      </c>
      <c r="B3902" t="str">
        <f t="shared" ref="B3902:B3909" si="1521">T("7000 FINBACK CIRCLE")</f>
        <v>7000 FINBACK CIRCLE</v>
      </c>
      <c r="C3902" t="str">
        <f t="shared" ref="C3902:C3909" si="1522">T("PMBC")</f>
        <v>PMBC</v>
      </c>
      <c r="D3902" t="str">
        <f t="shared" si="1519"/>
        <v>SILVERDALE</v>
      </c>
      <c r="E3902" t="str">
        <f t="shared" si="1515"/>
        <v>WA</v>
      </c>
      <c r="F3902" t="str">
        <f t="shared" ref="F3902:F3909" si="1523">T("983157002")</f>
        <v>983157002</v>
      </c>
      <c r="G3902" t="str">
        <f>T("7000 FINBACK CIR")</f>
        <v>7000 FINBACK CIR</v>
      </c>
      <c r="H3902" t="str">
        <f>T("PMBC")</f>
        <v>PMBC</v>
      </c>
      <c r="I3902" t="str">
        <f t="shared" si="1520"/>
        <v>SILVERDALE</v>
      </c>
      <c r="J3902" t="str">
        <f t="shared" si="1518"/>
        <v>WA</v>
      </c>
      <c r="K3902" t="str">
        <f>T("3603966585")</f>
        <v>3603966585</v>
      </c>
      <c r="L3902" t="str">
        <f>T("3603968522")</f>
        <v>3603968522</v>
      </c>
    </row>
    <row r="3903" spans="1:12" x14ac:dyDescent="0.35">
      <c r="A3903" t="str">
        <f t="shared" si="1512"/>
        <v>FLC PUGET SND NVSHIPYD</v>
      </c>
      <c r="B3903" t="str">
        <f t="shared" si="1521"/>
        <v>7000 FINBACK CIRCLE</v>
      </c>
      <c r="C3903" t="str">
        <f t="shared" si="1522"/>
        <v>PMBC</v>
      </c>
      <c r="D3903" t="str">
        <f t="shared" si="1519"/>
        <v>SILVERDALE</v>
      </c>
      <c r="E3903" t="str">
        <f t="shared" si="1515"/>
        <v>WA</v>
      </c>
      <c r="F3903" t="str">
        <f t="shared" si="1523"/>
        <v>983157002</v>
      </c>
      <c r="G3903" t="str">
        <f t="shared" ref="G3903:G3909" si="1524">T("7000 FINBACK CIRCLE")</f>
        <v>7000 FINBACK CIRCLE</v>
      </c>
      <c r="H3903" t="str">
        <f>T("CODE PMBC")</f>
        <v>CODE PMBC</v>
      </c>
      <c r="I3903" t="str">
        <f t="shared" si="1520"/>
        <v>SILVERDALE</v>
      </c>
      <c r="J3903" t="str">
        <f t="shared" si="1518"/>
        <v>WA</v>
      </c>
      <c r="K3903" t="str">
        <f>T("3603966585")</f>
        <v>3603966585</v>
      </c>
      <c r="L3903" t="str">
        <f>T("3603152028")</f>
        <v>3603152028</v>
      </c>
    </row>
    <row r="3904" spans="1:12" x14ac:dyDescent="0.35">
      <c r="A3904" t="str">
        <f t="shared" si="1512"/>
        <v>FLC PUGET SND NVSHIPYD</v>
      </c>
      <c r="B3904" t="str">
        <f t="shared" si="1521"/>
        <v>7000 FINBACK CIRCLE</v>
      </c>
      <c r="C3904" t="str">
        <f t="shared" si="1522"/>
        <v>PMBC</v>
      </c>
      <c r="D3904" t="str">
        <f t="shared" si="1519"/>
        <v>SILVERDALE</v>
      </c>
      <c r="E3904" t="str">
        <f t="shared" si="1515"/>
        <v>WA</v>
      </c>
      <c r="F3904" t="str">
        <f t="shared" si="1523"/>
        <v>983157002</v>
      </c>
      <c r="G3904" t="str">
        <f t="shared" si="1524"/>
        <v>7000 FINBACK CIRCLE</v>
      </c>
      <c r="H3904" t="str">
        <f t="shared" ref="H3904:H3909" si="1525">T("PMBC")</f>
        <v>PMBC</v>
      </c>
      <c r="I3904" t="str">
        <f t="shared" si="1520"/>
        <v>SILVERDALE</v>
      </c>
      <c r="J3904" t="str">
        <f t="shared" si="1518"/>
        <v>WA</v>
      </c>
      <c r="K3904" t="str">
        <f>T("000000000000000000")</f>
        <v>000000000000000000</v>
      </c>
      <c r="L3904" t="str">
        <f>T("3604762150")</f>
        <v>3604762150</v>
      </c>
    </row>
    <row r="3905" spans="1:12" x14ac:dyDescent="0.35">
      <c r="A3905" t="str">
        <f t="shared" si="1512"/>
        <v>FLC PUGET SND NVSHIPYD</v>
      </c>
      <c r="B3905" t="str">
        <f t="shared" si="1521"/>
        <v>7000 FINBACK CIRCLE</v>
      </c>
      <c r="C3905" t="str">
        <f t="shared" si="1522"/>
        <v>PMBC</v>
      </c>
      <c r="D3905" t="str">
        <f t="shared" si="1519"/>
        <v>SILVERDALE</v>
      </c>
      <c r="E3905" t="str">
        <f t="shared" si="1515"/>
        <v>WA</v>
      </c>
      <c r="F3905" t="str">
        <f t="shared" si="1523"/>
        <v>983157002</v>
      </c>
      <c r="G3905" t="str">
        <f t="shared" si="1524"/>
        <v>7000 FINBACK CIRCLE</v>
      </c>
      <c r="H3905" t="str">
        <f t="shared" si="1525"/>
        <v>PMBC</v>
      </c>
      <c r="I3905" t="str">
        <f t="shared" si="1520"/>
        <v>SILVERDALE</v>
      </c>
      <c r="J3905" t="str">
        <f t="shared" si="1518"/>
        <v>WA</v>
      </c>
      <c r="K3905" t="str">
        <f>T("3603966380")</f>
        <v>3603966380</v>
      </c>
      <c r="L3905" t="str">
        <f>T("3603968522")</f>
        <v>3603968522</v>
      </c>
    </row>
    <row r="3906" spans="1:12" x14ac:dyDescent="0.35">
      <c r="A3906" t="str">
        <f t="shared" si="1512"/>
        <v>FLC PUGET SND NVSHIPYD</v>
      </c>
      <c r="B3906" t="str">
        <f t="shared" si="1521"/>
        <v>7000 FINBACK CIRCLE</v>
      </c>
      <c r="C3906" t="str">
        <f t="shared" si="1522"/>
        <v>PMBC</v>
      </c>
      <c r="D3906" t="str">
        <f t="shared" si="1519"/>
        <v>SILVERDALE</v>
      </c>
      <c r="E3906" t="str">
        <f t="shared" si="1515"/>
        <v>WA</v>
      </c>
      <c r="F3906" t="str">
        <f t="shared" si="1523"/>
        <v>983157002</v>
      </c>
      <c r="G3906" t="str">
        <f t="shared" si="1524"/>
        <v>7000 FINBACK CIRCLE</v>
      </c>
      <c r="H3906" t="str">
        <f t="shared" si="1525"/>
        <v>PMBC</v>
      </c>
      <c r="I3906" t="str">
        <f t="shared" si="1520"/>
        <v>SILVERDALE</v>
      </c>
      <c r="J3906" t="str">
        <f t="shared" si="1518"/>
        <v>WA</v>
      </c>
      <c r="K3906" t="str">
        <f>T("3603966585")</f>
        <v>3603966585</v>
      </c>
      <c r="L3906" t="str">
        <f>T("3603151511")</f>
        <v>3603151511</v>
      </c>
    </row>
    <row r="3907" spans="1:12" x14ac:dyDescent="0.35">
      <c r="A3907" t="str">
        <f t="shared" si="1512"/>
        <v>FLC PUGET SND NVSHIPYD</v>
      </c>
      <c r="B3907" t="str">
        <f t="shared" si="1521"/>
        <v>7000 FINBACK CIRCLE</v>
      </c>
      <c r="C3907" t="str">
        <f t="shared" si="1522"/>
        <v>PMBC</v>
      </c>
      <c r="D3907" t="str">
        <f t="shared" si="1519"/>
        <v>SILVERDALE</v>
      </c>
      <c r="E3907" t="str">
        <f t="shared" si="1515"/>
        <v>WA</v>
      </c>
      <c r="F3907" t="str">
        <f t="shared" si="1523"/>
        <v>983157002</v>
      </c>
      <c r="G3907" t="str">
        <f t="shared" si="1524"/>
        <v>7000 FINBACK CIRCLE</v>
      </c>
      <c r="H3907" t="str">
        <f t="shared" si="1525"/>
        <v>PMBC</v>
      </c>
      <c r="I3907" t="str">
        <f t="shared" si="1520"/>
        <v>SILVERDALE</v>
      </c>
      <c r="J3907" t="str">
        <f t="shared" si="1518"/>
        <v>WA</v>
      </c>
      <c r="K3907" t="str">
        <f>T("3603966585")</f>
        <v>3603966585</v>
      </c>
      <c r="L3907" t="str">
        <f>T("3603152028")</f>
        <v>3603152028</v>
      </c>
    </row>
    <row r="3908" spans="1:12" x14ac:dyDescent="0.35">
      <c r="A3908" t="str">
        <f t="shared" si="1512"/>
        <v>FLC PUGET SND NVSHIPYD</v>
      </c>
      <c r="B3908" t="str">
        <f t="shared" si="1521"/>
        <v>7000 FINBACK CIRCLE</v>
      </c>
      <c r="C3908" t="str">
        <f t="shared" si="1522"/>
        <v>PMBC</v>
      </c>
      <c r="D3908" t="str">
        <f t="shared" si="1519"/>
        <v>SILVERDALE</v>
      </c>
      <c r="E3908" t="str">
        <f t="shared" si="1515"/>
        <v>WA</v>
      </c>
      <c r="F3908" t="str">
        <f t="shared" si="1523"/>
        <v>983157002</v>
      </c>
      <c r="G3908" t="str">
        <f t="shared" si="1524"/>
        <v>7000 FINBACK CIRCLE</v>
      </c>
      <c r="H3908" t="str">
        <f t="shared" si="1525"/>
        <v>PMBC</v>
      </c>
      <c r="I3908" t="str">
        <f t="shared" si="1520"/>
        <v>SILVERDALE</v>
      </c>
      <c r="J3908" t="str">
        <f t="shared" si="1518"/>
        <v>WA</v>
      </c>
      <c r="K3908" t="str">
        <f>T("3603966585")</f>
        <v>3603966585</v>
      </c>
      <c r="L3908" t="str">
        <f>T("3603153622")</f>
        <v>3603153622</v>
      </c>
    </row>
    <row r="3909" spans="1:12" x14ac:dyDescent="0.35">
      <c r="A3909" t="str">
        <f t="shared" si="1512"/>
        <v>FLC PUGET SND NVSHIPYD</v>
      </c>
      <c r="B3909" t="str">
        <f t="shared" si="1521"/>
        <v>7000 FINBACK CIRCLE</v>
      </c>
      <c r="C3909" t="str">
        <f t="shared" si="1522"/>
        <v>PMBC</v>
      </c>
      <c r="D3909" t="str">
        <f t="shared" si="1519"/>
        <v>SILVERDALE</v>
      </c>
      <c r="E3909" t="str">
        <f t="shared" si="1515"/>
        <v>WA</v>
      </c>
      <c r="F3909" t="str">
        <f t="shared" si="1523"/>
        <v>983157002</v>
      </c>
      <c r="G3909" t="str">
        <f t="shared" si="1524"/>
        <v>7000 FINBACK CIRCLE</v>
      </c>
      <c r="H3909" t="str">
        <f t="shared" si="1525"/>
        <v>PMBC</v>
      </c>
      <c r="I3909" t="str">
        <f t="shared" si="1520"/>
        <v>SILVERDALE</v>
      </c>
      <c r="J3909" t="str">
        <f t="shared" si="1518"/>
        <v>WA</v>
      </c>
      <c r="K3909" t="str">
        <f>T("3603966585")</f>
        <v>3603966585</v>
      </c>
      <c r="L3909" t="str">
        <f>T("3604761822")</f>
        <v>3604761822</v>
      </c>
    </row>
    <row r="3910" spans="1:12" x14ac:dyDescent="0.35">
      <c r="A3910" t="str">
        <f t="shared" si="1512"/>
        <v>FLC PUGET SND NVSHIPYD</v>
      </c>
      <c r="B3910" t="str">
        <f>T("FISC PUGET SOUND IMF")</f>
        <v>FISC PUGET SOUND IMF</v>
      </c>
      <c r="C3910" t="str">
        <f>T("7203 GUITARRO ROADC/502")</f>
        <v>7203 GUITARRO ROADC/502</v>
      </c>
      <c r="D3910" t="str">
        <f t="shared" si="1519"/>
        <v>SILVERDALE</v>
      </c>
      <c r="E3910" t="str">
        <f t="shared" si="1515"/>
        <v>WA</v>
      </c>
      <c r="F3910" t="str">
        <f>T("983156400")</f>
        <v>983156400</v>
      </c>
      <c r="G3910" t="str">
        <f>T("7203 GUITARRO ROAD")</f>
        <v>7203 GUITARRO ROAD</v>
      </c>
      <c r="H3910" t="str">
        <f>T("C/502")</f>
        <v>C/502</v>
      </c>
      <c r="I3910" t="str">
        <f t="shared" si="1520"/>
        <v>SILVERDALE</v>
      </c>
      <c r="J3910" t="str">
        <f t="shared" si="1518"/>
        <v>WA</v>
      </c>
      <c r="K3910" t="str">
        <f>T("3603155177")</f>
        <v>3603155177</v>
      </c>
      <c r="L3910" t="str">
        <f>T("3603968930")</f>
        <v>3603968930</v>
      </c>
    </row>
    <row r="3911" spans="1:12" x14ac:dyDescent="0.35">
      <c r="A3911" t="str">
        <f t="shared" si="1512"/>
        <v>FLC PUGET SND NVSHIPYD</v>
      </c>
      <c r="B3911" t="str">
        <f>T("FISC PUGET SOUND IMF")</f>
        <v>FISC PUGET SOUND IMF</v>
      </c>
      <c r="C3911" t="str">
        <f>T("7203 GUITARRO ROADC/502")</f>
        <v>7203 GUITARRO ROADC/502</v>
      </c>
      <c r="D3911" t="str">
        <f t="shared" si="1519"/>
        <v>SILVERDALE</v>
      </c>
      <c r="E3911" t="str">
        <f t="shared" si="1515"/>
        <v>WA</v>
      </c>
      <c r="F3911" t="str">
        <f>T("983156400")</f>
        <v>983156400</v>
      </c>
      <c r="G3911" t="str">
        <f>T("7203 GUITARRO ROAD/502")</f>
        <v>7203 GUITARRO ROAD/502</v>
      </c>
      <c r="H3911" t="str">
        <f>T("")</f>
        <v/>
      </c>
      <c r="I3911" t="str">
        <f t="shared" si="1520"/>
        <v>SILVERDALE</v>
      </c>
      <c r="J3911" t="str">
        <f t="shared" si="1518"/>
        <v>WA</v>
      </c>
      <c r="K3911" t="str">
        <f>T("000000000000000000")</f>
        <v>000000000000000000</v>
      </c>
      <c r="L3911" t="str">
        <f>T("3603152058")</f>
        <v>3603152058</v>
      </c>
    </row>
    <row r="3912" spans="1:12" x14ac:dyDescent="0.35">
      <c r="A3912" t="str">
        <f t="shared" si="1512"/>
        <v>FLC PUGET SND NVSHIPYD</v>
      </c>
      <c r="B3912" t="str">
        <f>T("FISC PUGET SOUND IMF")</f>
        <v>FISC PUGET SOUND IMF</v>
      </c>
      <c r="C3912" t="str">
        <f>T("7203 GUITARRO ROADC/502")</f>
        <v>7203 GUITARRO ROADC/502</v>
      </c>
      <c r="D3912" t="str">
        <f t="shared" si="1519"/>
        <v>SILVERDALE</v>
      </c>
      <c r="E3912" t="str">
        <f t="shared" si="1515"/>
        <v>WA</v>
      </c>
      <c r="F3912" t="str">
        <f>T("983156400")</f>
        <v>983156400</v>
      </c>
      <c r="G3912" t="str">
        <f>T("FISC PUGET SOUND IMF")</f>
        <v>FISC PUGET SOUND IMF</v>
      </c>
      <c r="H3912" t="str">
        <f>T("7203 GUITARRO ROADC/502")</f>
        <v>7203 GUITARRO ROADC/502</v>
      </c>
      <c r="I3912" t="str">
        <f t="shared" si="1520"/>
        <v>SILVERDALE</v>
      </c>
      <c r="J3912" t="str">
        <f t="shared" si="1518"/>
        <v>WA</v>
      </c>
      <c r="K3912" t="str">
        <f>T("")</f>
        <v/>
      </c>
      <c r="L3912" t="str">
        <f>T("3603152160")</f>
        <v>3603152160</v>
      </c>
    </row>
    <row r="3913" spans="1:12" x14ac:dyDescent="0.35">
      <c r="A3913" t="str">
        <f t="shared" si="1512"/>
        <v>FLC PUGET SND NVSHIPYD</v>
      </c>
      <c r="B3913" t="str">
        <f t="shared" ref="B3913:B3920" si="1526">T("FISC PUGET SOUND ISD")</f>
        <v>FISC PUGET SOUND ISD</v>
      </c>
      <c r="C3913" t="str">
        <f t="shared" ref="C3913:C3920" si="1527">T("467 W ST PMBC")</f>
        <v>467 W ST PMBC</v>
      </c>
      <c r="D3913" t="str">
        <f t="shared" ref="D3913:D3923" si="1528">T("BREMERTON")</f>
        <v>BREMERTON</v>
      </c>
      <c r="E3913" t="str">
        <f t="shared" si="1515"/>
        <v>WA</v>
      </c>
      <c r="F3913" t="str">
        <f t="shared" ref="F3913:F3923" si="1529">T("983146008")</f>
        <v>983146008</v>
      </c>
      <c r="G3913" t="str">
        <f>T("467 W ST")</f>
        <v>467 W ST</v>
      </c>
      <c r="H3913" t="str">
        <f>T("CODE 501 14")</f>
        <v>CODE 501 14</v>
      </c>
      <c r="I3913" t="str">
        <f t="shared" ref="I3913:I3923" si="1530">T("BREMERTON")</f>
        <v>BREMERTON</v>
      </c>
      <c r="J3913" t="str">
        <f t="shared" si="1518"/>
        <v>WA</v>
      </c>
      <c r="K3913" t="str">
        <f>T("3604760088")</f>
        <v>3604760088</v>
      </c>
      <c r="L3913" t="str">
        <f>T("3608652880")</f>
        <v>3608652880</v>
      </c>
    </row>
    <row r="3914" spans="1:12" x14ac:dyDescent="0.35">
      <c r="A3914" t="str">
        <f t="shared" si="1512"/>
        <v>FLC PUGET SND NVSHIPYD</v>
      </c>
      <c r="B3914" t="str">
        <f t="shared" si="1526"/>
        <v>FISC PUGET SOUND ISD</v>
      </c>
      <c r="C3914" t="str">
        <f t="shared" si="1527"/>
        <v>467 W ST PMBC</v>
      </c>
      <c r="D3914" t="str">
        <f t="shared" si="1528"/>
        <v>BREMERTON</v>
      </c>
      <c r="E3914" t="str">
        <f t="shared" si="1515"/>
        <v>WA</v>
      </c>
      <c r="F3914" t="str">
        <f t="shared" si="1529"/>
        <v>983146008</v>
      </c>
      <c r="G3914" t="str">
        <f t="shared" ref="G3914:G3919" si="1531">T("467 W STREET")</f>
        <v>467 W STREET</v>
      </c>
      <c r="H3914" t="str">
        <f>T("2ND FLOOR PMBC")</f>
        <v>2ND FLOOR PMBC</v>
      </c>
      <c r="I3914" t="str">
        <f t="shared" si="1530"/>
        <v>BREMERTON</v>
      </c>
      <c r="J3914" t="str">
        <f t="shared" si="1518"/>
        <v>WA</v>
      </c>
      <c r="K3914" t="str">
        <f>T("000000000000000000")</f>
        <v>000000000000000000</v>
      </c>
      <c r="L3914" t="str">
        <f>T("3604760926")</f>
        <v>3604760926</v>
      </c>
    </row>
    <row r="3915" spans="1:12" x14ac:dyDescent="0.35">
      <c r="A3915" t="str">
        <f t="shared" si="1512"/>
        <v>FLC PUGET SND NVSHIPYD</v>
      </c>
      <c r="B3915" t="str">
        <f t="shared" si="1526"/>
        <v>FISC PUGET SOUND ISD</v>
      </c>
      <c r="C3915" t="str">
        <f t="shared" si="1527"/>
        <v>467 W ST PMBC</v>
      </c>
      <c r="D3915" t="str">
        <f t="shared" si="1528"/>
        <v>BREMERTON</v>
      </c>
      <c r="E3915" t="str">
        <f t="shared" si="1515"/>
        <v>WA</v>
      </c>
      <c r="F3915" t="str">
        <f t="shared" si="1529"/>
        <v>983146008</v>
      </c>
      <c r="G3915" t="str">
        <f t="shared" si="1531"/>
        <v>467 W STREET</v>
      </c>
      <c r="H3915" t="str">
        <f>T("2ND FLOOR PMBC")</f>
        <v>2ND FLOOR PMBC</v>
      </c>
      <c r="I3915" t="str">
        <f t="shared" si="1530"/>
        <v>BREMERTON</v>
      </c>
      <c r="J3915" t="str">
        <f t="shared" si="1518"/>
        <v>WA</v>
      </c>
      <c r="K3915" t="str">
        <f>T("000000000000000000")</f>
        <v>000000000000000000</v>
      </c>
      <c r="L3915" t="str">
        <f>T("3604767161")</f>
        <v>3604767161</v>
      </c>
    </row>
    <row r="3916" spans="1:12" x14ac:dyDescent="0.35">
      <c r="A3916" t="str">
        <f t="shared" si="1512"/>
        <v>FLC PUGET SND NVSHIPYD</v>
      </c>
      <c r="B3916" t="str">
        <f t="shared" si="1526"/>
        <v>FISC PUGET SOUND ISD</v>
      </c>
      <c r="C3916" t="str">
        <f t="shared" si="1527"/>
        <v>467 W ST PMBC</v>
      </c>
      <c r="D3916" t="str">
        <f t="shared" si="1528"/>
        <v>BREMERTON</v>
      </c>
      <c r="E3916" t="str">
        <f t="shared" si="1515"/>
        <v>WA</v>
      </c>
      <c r="F3916" t="str">
        <f t="shared" si="1529"/>
        <v>983146008</v>
      </c>
      <c r="G3916" t="str">
        <f t="shared" si="1531"/>
        <v>467 W STREET</v>
      </c>
      <c r="H3916" t="str">
        <f>T("2ND FLOOR PMBC")</f>
        <v>2ND FLOOR PMBC</v>
      </c>
      <c r="I3916" t="str">
        <f t="shared" si="1530"/>
        <v>BREMERTON</v>
      </c>
      <c r="J3916" t="str">
        <f t="shared" si="1518"/>
        <v>WA</v>
      </c>
      <c r="K3916" t="str">
        <f>T("3604767113")</f>
        <v>3604767113</v>
      </c>
      <c r="L3916" t="str">
        <f>T("3604760298")</f>
        <v>3604760298</v>
      </c>
    </row>
    <row r="3917" spans="1:12" x14ac:dyDescent="0.35">
      <c r="A3917" t="str">
        <f t="shared" si="1512"/>
        <v>FLC PUGET SND NVSHIPYD</v>
      </c>
      <c r="B3917" t="str">
        <f t="shared" si="1526"/>
        <v>FISC PUGET SOUND ISD</v>
      </c>
      <c r="C3917" t="str">
        <f t="shared" si="1527"/>
        <v>467 W ST PMBC</v>
      </c>
      <c r="D3917" t="str">
        <f t="shared" si="1528"/>
        <v>BREMERTON</v>
      </c>
      <c r="E3917" t="str">
        <f t="shared" si="1515"/>
        <v>WA</v>
      </c>
      <c r="F3917" t="str">
        <f t="shared" si="1529"/>
        <v>983146008</v>
      </c>
      <c r="G3917" t="str">
        <f t="shared" si="1531"/>
        <v>467 W STREET</v>
      </c>
      <c r="H3917" t="str">
        <f>T("2ND FLOOR PMBC")</f>
        <v>2ND FLOOR PMBC</v>
      </c>
      <c r="I3917" t="str">
        <f t="shared" si="1530"/>
        <v>BREMERTON</v>
      </c>
      <c r="J3917" t="str">
        <f t="shared" si="1518"/>
        <v>WA</v>
      </c>
      <c r="K3917" t="str">
        <f>T("3604767113")</f>
        <v>3604767113</v>
      </c>
      <c r="L3917" t="str">
        <f>T("3604760325")</f>
        <v>3604760325</v>
      </c>
    </row>
    <row r="3918" spans="1:12" x14ac:dyDescent="0.35">
      <c r="A3918" t="str">
        <f t="shared" si="1512"/>
        <v>FLC PUGET SND NVSHIPYD</v>
      </c>
      <c r="B3918" t="str">
        <f t="shared" si="1526"/>
        <v>FISC PUGET SOUND ISD</v>
      </c>
      <c r="C3918" t="str">
        <f t="shared" si="1527"/>
        <v>467 W ST PMBC</v>
      </c>
      <c r="D3918" t="str">
        <f t="shared" si="1528"/>
        <v>BREMERTON</v>
      </c>
      <c r="E3918" t="str">
        <f t="shared" si="1515"/>
        <v>WA</v>
      </c>
      <c r="F3918" t="str">
        <f t="shared" si="1529"/>
        <v>983146008</v>
      </c>
      <c r="G3918" t="str">
        <f t="shared" si="1531"/>
        <v>467 W STREET</v>
      </c>
      <c r="H3918" t="str">
        <f>T("2ND FLOOR PMBC")</f>
        <v>2ND FLOOR PMBC</v>
      </c>
      <c r="I3918" t="str">
        <f t="shared" si="1530"/>
        <v>BREMERTON</v>
      </c>
      <c r="J3918" t="str">
        <f t="shared" si="1518"/>
        <v>WA</v>
      </c>
      <c r="K3918" t="str">
        <f>T("3604767113")</f>
        <v>3604767113</v>
      </c>
      <c r="L3918" t="str">
        <f>T("3604769669")</f>
        <v>3604769669</v>
      </c>
    </row>
    <row r="3919" spans="1:12" x14ac:dyDescent="0.35">
      <c r="A3919" t="str">
        <f t="shared" si="1512"/>
        <v>FLC PUGET SND NVSHIPYD</v>
      </c>
      <c r="B3919" t="str">
        <f t="shared" si="1526"/>
        <v>FISC PUGET SOUND ISD</v>
      </c>
      <c r="C3919" t="str">
        <f t="shared" si="1527"/>
        <v>467 W ST PMBC</v>
      </c>
      <c r="D3919" t="str">
        <f t="shared" si="1528"/>
        <v>BREMERTON</v>
      </c>
      <c r="E3919" t="str">
        <f t="shared" si="1515"/>
        <v>WA</v>
      </c>
      <c r="F3919" t="str">
        <f t="shared" si="1529"/>
        <v>983146008</v>
      </c>
      <c r="G3919" t="str">
        <f t="shared" si="1531"/>
        <v>467 W STREET</v>
      </c>
      <c r="H3919" t="str">
        <f>T("CODE PMBC")</f>
        <v>CODE PMBC</v>
      </c>
      <c r="I3919" t="str">
        <f t="shared" si="1530"/>
        <v>BREMERTON</v>
      </c>
      <c r="J3919" t="str">
        <f t="shared" si="1518"/>
        <v>WA</v>
      </c>
      <c r="K3919" t="str">
        <f>T("3604767113")</f>
        <v>3604767113</v>
      </c>
      <c r="L3919" t="str">
        <f>T("3604761364")</f>
        <v>3604761364</v>
      </c>
    </row>
    <row r="3920" spans="1:12" x14ac:dyDescent="0.35">
      <c r="A3920" t="str">
        <f t="shared" si="1512"/>
        <v>FLC PUGET SND NVSHIPYD</v>
      </c>
      <c r="B3920" t="str">
        <f t="shared" si="1526"/>
        <v>FISC PUGET SOUND ISD</v>
      </c>
      <c r="C3920" t="str">
        <f t="shared" si="1527"/>
        <v>467 W ST PMBC</v>
      </c>
      <c r="D3920" t="str">
        <f t="shared" si="1528"/>
        <v>BREMERTON</v>
      </c>
      <c r="E3920" t="str">
        <f t="shared" si="1515"/>
        <v>WA</v>
      </c>
      <c r="F3920" t="str">
        <f t="shared" si="1529"/>
        <v>983146008</v>
      </c>
      <c r="G3920" t="str">
        <f>T("FISC PUGET SOUND ISD")</f>
        <v>FISC PUGET SOUND ISD</v>
      </c>
      <c r="H3920" t="str">
        <f>T("467 W ST PMBC")</f>
        <v>467 W ST PMBC</v>
      </c>
      <c r="I3920" t="str">
        <f t="shared" si="1530"/>
        <v>BREMERTON</v>
      </c>
      <c r="J3920" t="str">
        <f t="shared" si="1518"/>
        <v>WA</v>
      </c>
      <c r="K3920" t="str">
        <f>T("3604769839")</f>
        <v>3604769839</v>
      </c>
      <c r="L3920" t="str">
        <f>T("3604765595")</f>
        <v>3604765595</v>
      </c>
    </row>
    <row r="3921" spans="1:12" x14ac:dyDescent="0.35">
      <c r="A3921" t="str">
        <f>T("FLC PUGET SOUND")</f>
        <v>FLC PUGET SOUND</v>
      </c>
      <c r="B3921" t="str">
        <f>T("467 W ST")</f>
        <v>467 W ST</v>
      </c>
      <c r="C3921" t="str">
        <f>T("CODE 431")</f>
        <v>CODE 431</v>
      </c>
      <c r="D3921" t="str">
        <f t="shared" si="1528"/>
        <v>BREMERTON</v>
      </c>
      <c r="E3921" t="str">
        <f t="shared" si="1515"/>
        <v>WA</v>
      </c>
      <c r="F3921" t="str">
        <f t="shared" si="1529"/>
        <v>983146008</v>
      </c>
      <c r="G3921" t="str">
        <f>T("467 W ST")</f>
        <v>467 W ST</v>
      </c>
      <c r="H3921" t="str">
        <f>T("CODE 431")</f>
        <v>CODE 431</v>
      </c>
      <c r="I3921" t="str">
        <f t="shared" si="1530"/>
        <v>BREMERTON</v>
      </c>
      <c r="J3921" t="str">
        <f t="shared" si="1518"/>
        <v>WA</v>
      </c>
      <c r="K3921" t="str">
        <f>T("360 476 0768")</f>
        <v>360 476 0768</v>
      </c>
      <c r="L3921" t="str">
        <f>T("3604761819")</f>
        <v>3604761819</v>
      </c>
    </row>
    <row r="3922" spans="1:12" x14ac:dyDescent="0.35">
      <c r="A3922" t="str">
        <f>T("FLC PUGET SOUND")</f>
        <v>FLC PUGET SOUND</v>
      </c>
      <c r="B3922" t="str">
        <f>T("467 W ST")</f>
        <v>467 W ST</v>
      </c>
      <c r="C3922" t="str">
        <f>T("CODE 431")</f>
        <v>CODE 431</v>
      </c>
      <c r="D3922" t="str">
        <f t="shared" si="1528"/>
        <v>BREMERTON</v>
      </c>
      <c r="E3922" t="str">
        <f t="shared" si="1515"/>
        <v>WA</v>
      </c>
      <c r="F3922" t="str">
        <f t="shared" si="1529"/>
        <v>983146008</v>
      </c>
      <c r="G3922" t="str">
        <f>T("467 W STREET")</f>
        <v>467 W STREET</v>
      </c>
      <c r="H3922" t="str">
        <f>T("")</f>
        <v/>
      </c>
      <c r="I3922" t="str">
        <f t="shared" si="1530"/>
        <v>BREMERTON</v>
      </c>
      <c r="J3922" t="str">
        <f t="shared" si="1518"/>
        <v>WA</v>
      </c>
      <c r="K3922" t="str">
        <f>T("000000000000000000")</f>
        <v>000000000000000000</v>
      </c>
      <c r="L3922" t="str">
        <f>T("3604764853")</f>
        <v>3604764853</v>
      </c>
    </row>
    <row r="3923" spans="1:12" x14ac:dyDescent="0.35">
      <c r="A3923" t="str">
        <f>T("FLC PUGET SOUND")</f>
        <v>FLC PUGET SOUND</v>
      </c>
      <c r="B3923" t="str">
        <f>T("467 W ST")</f>
        <v>467 W ST</v>
      </c>
      <c r="C3923" t="str">
        <f>T("CODE 431")</f>
        <v>CODE 431</v>
      </c>
      <c r="D3923" t="str">
        <f t="shared" si="1528"/>
        <v>BREMERTON</v>
      </c>
      <c r="E3923" t="str">
        <f t="shared" si="1515"/>
        <v>WA</v>
      </c>
      <c r="F3923" t="str">
        <f t="shared" si="1529"/>
        <v>983146008</v>
      </c>
      <c r="G3923" t="str">
        <f>T("467 W STREET")</f>
        <v>467 W STREET</v>
      </c>
      <c r="H3923" t="str">
        <f>T("CODE 431")</f>
        <v>CODE 431</v>
      </c>
      <c r="I3923" t="str">
        <f t="shared" si="1530"/>
        <v>BREMERTON</v>
      </c>
      <c r="J3923" t="str">
        <f t="shared" si="1518"/>
        <v>WA</v>
      </c>
      <c r="K3923" t="str">
        <f>T("000000000000000000")</f>
        <v>000000000000000000</v>
      </c>
      <c r="L3923" t="str">
        <f>T("3604767437")</f>
        <v>3604767437</v>
      </c>
    </row>
    <row r="3924" spans="1:12" x14ac:dyDescent="0.35">
      <c r="A3924" t="str">
        <f t="shared" ref="A3924:A3958" si="1532">T("NAVSUP/WSS")</f>
        <v>NAVSUP/WSS</v>
      </c>
      <c r="B3924" t="str">
        <f>T("5450 CARLISLE PIKE")</f>
        <v>5450 CARLISLE PIKE</v>
      </c>
      <c r="C3924" t="str">
        <f>T("")</f>
        <v/>
      </c>
      <c r="D3924" t="str">
        <f t="shared" ref="D3924:D3938" si="1533">T("MECHANICSBURG")</f>
        <v>MECHANICSBURG</v>
      </c>
      <c r="E3924" t="str">
        <f t="shared" ref="E3924:E3958" si="1534">T("PA")</f>
        <v>PA</v>
      </c>
      <c r="F3924" t="str">
        <f t="shared" ref="F3924:F3938" si="1535">T("170502411")</f>
        <v>170502411</v>
      </c>
      <c r="G3924" t="str">
        <f>T("5450 CARLISLE PIKE")</f>
        <v>5450 CARLISLE PIKE</v>
      </c>
      <c r="H3924" t="str">
        <f>T("")</f>
        <v/>
      </c>
      <c r="I3924" t="str">
        <f t="shared" ref="I3924:I3938" si="1536">T("MECHANICSBURG")</f>
        <v>MECHANICSBURG</v>
      </c>
      <c r="J3924" t="str">
        <f t="shared" ref="J3924:J3958" si="1537">T("PA")</f>
        <v>PA</v>
      </c>
      <c r="K3924" t="str">
        <f>T("000000000000000000")</f>
        <v>000000000000000000</v>
      </c>
      <c r="L3924" t="str">
        <f>T("7176056624")</f>
        <v>7176056624</v>
      </c>
    </row>
    <row r="3925" spans="1:12" x14ac:dyDescent="0.35">
      <c r="A3925" t="str">
        <f t="shared" si="1532"/>
        <v>NAVSUP/WSS</v>
      </c>
      <c r="B3925" t="str">
        <f>T("5450 CARLISLE PIKE")</f>
        <v>5450 CARLISLE PIKE</v>
      </c>
      <c r="C3925" t="str">
        <f>T("")</f>
        <v/>
      </c>
      <c r="D3925" t="str">
        <f t="shared" si="1533"/>
        <v>MECHANICSBURG</v>
      </c>
      <c r="E3925" t="str">
        <f t="shared" si="1534"/>
        <v>PA</v>
      </c>
      <c r="F3925" t="str">
        <f t="shared" si="1535"/>
        <v>170502411</v>
      </c>
      <c r="G3925" t="str">
        <f>T("NWSS MECHANICSBURG")</f>
        <v>NWSS MECHANICSBURG</v>
      </c>
      <c r="H3925" t="str">
        <f t="shared" ref="H3925:H3938" si="1538">T("5450 CARLISLE PIKE")</f>
        <v>5450 CARLISLE PIKE</v>
      </c>
      <c r="I3925" t="str">
        <f t="shared" si="1536"/>
        <v>MECHANICSBURG</v>
      </c>
      <c r="J3925" t="str">
        <f t="shared" si="1537"/>
        <v>PA</v>
      </c>
      <c r="K3925" t="str">
        <f>T("7176055524")</f>
        <v>7176055524</v>
      </c>
      <c r="L3925" t="str">
        <f>T("7176055524")</f>
        <v>7176055524</v>
      </c>
    </row>
    <row r="3926" spans="1:12" x14ac:dyDescent="0.35">
      <c r="A3926" t="str">
        <f t="shared" si="1532"/>
        <v>NAVSUP/WSS</v>
      </c>
      <c r="B3926" t="str">
        <f t="shared" ref="B3926:B3938" si="1539">T("NAVSUP WSS")</f>
        <v>NAVSUP WSS</v>
      </c>
      <c r="C3926" t="str">
        <f t="shared" ref="C3926:C3938" si="1540">T("5450 CARLISLE PIKE")</f>
        <v>5450 CARLISLE PIKE</v>
      </c>
      <c r="D3926" t="str">
        <f t="shared" si="1533"/>
        <v>MECHANICSBURG</v>
      </c>
      <c r="E3926" t="str">
        <f t="shared" si="1534"/>
        <v>PA</v>
      </c>
      <c r="F3926" t="str">
        <f t="shared" si="1535"/>
        <v>170502411</v>
      </c>
      <c r="G3926" t="str">
        <f>T("NAVSUP WSS")</f>
        <v>NAVSUP WSS</v>
      </c>
      <c r="H3926" t="str">
        <f t="shared" si="1538"/>
        <v>5450 CARLISLE PIKE</v>
      </c>
      <c r="I3926" t="str">
        <f t="shared" si="1536"/>
        <v>MECHANICSBURG</v>
      </c>
      <c r="J3926" t="str">
        <f t="shared" si="1537"/>
        <v>PA</v>
      </c>
      <c r="K3926" t="str">
        <f>T("000000000000000000")</f>
        <v>000000000000000000</v>
      </c>
      <c r="L3926" t="str">
        <f>T("7176051809")</f>
        <v>7176051809</v>
      </c>
    </row>
    <row r="3927" spans="1:12" x14ac:dyDescent="0.35">
      <c r="A3927" t="str">
        <f t="shared" si="1532"/>
        <v>NAVSUP/WSS</v>
      </c>
      <c r="B3927" t="str">
        <f t="shared" si="1539"/>
        <v>NAVSUP WSS</v>
      </c>
      <c r="C3927" t="str">
        <f t="shared" si="1540"/>
        <v>5450 CARLISLE PIKE</v>
      </c>
      <c r="D3927" t="str">
        <f t="shared" si="1533"/>
        <v>MECHANICSBURG</v>
      </c>
      <c r="E3927" t="str">
        <f t="shared" si="1534"/>
        <v>PA</v>
      </c>
      <c r="F3927" t="str">
        <f t="shared" si="1535"/>
        <v>170502411</v>
      </c>
      <c r="G3927" t="str">
        <f>T("NAVSUP WSS")</f>
        <v>NAVSUP WSS</v>
      </c>
      <c r="H3927" t="str">
        <f t="shared" si="1538"/>
        <v>5450 CARLISLE PIKE</v>
      </c>
      <c r="I3927" t="str">
        <f t="shared" si="1536"/>
        <v>MECHANICSBURG</v>
      </c>
      <c r="J3927" t="str">
        <f t="shared" si="1537"/>
        <v>PA</v>
      </c>
      <c r="K3927" t="str">
        <f>T("000000000000000000")</f>
        <v>000000000000000000</v>
      </c>
      <c r="L3927" t="str">
        <f>T("7176055212")</f>
        <v>7176055212</v>
      </c>
    </row>
    <row r="3928" spans="1:12" x14ac:dyDescent="0.35">
      <c r="A3928" t="str">
        <f t="shared" si="1532"/>
        <v>NAVSUP/WSS</v>
      </c>
      <c r="B3928" t="str">
        <f t="shared" si="1539"/>
        <v>NAVSUP WSS</v>
      </c>
      <c r="C3928" t="str">
        <f t="shared" si="1540"/>
        <v>5450 CARLISLE PIKE</v>
      </c>
      <c r="D3928" t="str">
        <f t="shared" si="1533"/>
        <v>MECHANICSBURG</v>
      </c>
      <c r="E3928" t="str">
        <f t="shared" si="1534"/>
        <v>PA</v>
      </c>
      <c r="F3928" t="str">
        <f t="shared" si="1535"/>
        <v>170502411</v>
      </c>
      <c r="G3928" t="str">
        <f>T("NAVSUP WSS")</f>
        <v>NAVSUP WSS</v>
      </c>
      <c r="H3928" t="str">
        <f t="shared" si="1538"/>
        <v>5450 CARLISLE PIKE</v>
      </c>
      <c r="I3928" t="str">
        <f t="shared" si="1536"/>
        <v>MECHANICSBURG</v>
      </c>
      <c r="J3928" t="str">
        <f t="shared" si="1537"/>
        <v>PA</v>
      </c>
      <c r="K3928" t="str">
        <f>T("000000000000000000")</f>
        <v>000000000000000000</v>
      </c>
      <c r="L3928" t="str">
        <f>T("7176055508")</f>
        <v>7176055508</v>
      </c>
    </row>
    <row r="3929" spans="1:12" x14ac:dyDescent="0.35">
      <c r="A3929" t="str">
        <f t="shared" si="1532"/>
        <v>NAVSUP/WSS</v>
      </c>
      <c r="B3929" t="str">
        <f t="shared" si="1539"/>
        <v>NAVSUP WSS</v>
      </c>
      <c r="C3929" t="str">
        <f t="shared" si="1540"/>
        <v>5450 CARLISLE PIKE</v>
      </c>
      <c r="D3929" t="str">
        <f t="shared" si="1533"/>
        <v>MECHANICSBURG</v>
      </c>
      <c r="E3929" t="str">
        <f t="shared" si="1534"/>
        <v>PA</v>
      </c>
      <c r="F3929" t="str">
        <f t="shared" si="1535"/>
        <v>170502411</v>
      </c>
      <c r="G3929" t="str">
        <f>T("NWSS MECHANICBURG")</f>
        <v>NWSS MECHANICBURG</v>
      </c>
      <c r="H3929" t="str">
        <f t="shared" si="1538"/>
        <v>5450 CARLISLE PIKE</v>
      </c>
      <c r="I3929" t="str">
        <f t="shared" si="1536"/>
        <v>MECHANICSBURG</v>
      </c>
      <c r="J3929" t="str">
        <f t="shared" si="1537"/>
        <v>PA</v>
      </c>
      <c r="K3929" t="str">
        <f t="shared" ref="K3929:K3938" si="1541">T("7176055482")</f>
        <v>7176055482</v>
      </c>
      <c r="L3929" t="str">
        <f>T("7176052808")</f>
        <v>7176052808</v>
      </c>
    </row>
    <row r="3930" spans="1:12" x14ac:dyDescent="0.35">
      <c r="A3930" t="str">
        <f t="shared" si="1532"/>
        <v>NAVSUP/WSS</v>
      </c>
      <c r="B3930" t="str">
        <f t="shared" si="1539"/>
        <v>NAVSUP WSS</v>
      </c>
      <c r="C3930" t="str">
        <f t="shared" si="1540"/>
        <v>5450 CARLISLE PIKE</v>
      </c>
      <c r="D3930" t="str">
        <f t="shared" si="1533"/>
        <v>MECHANICSBURG</v>
      </c>
      <c r="E3930" t="str">
        <f t="shared" si="1534"/>
        <v>PA</v>
      </c>
      <c r="F3930" t="str">
        <f t="shared" si="1535"/>
        <v>170502411</v>
      </c>
      <c r="G3930" t="str">
        <f t="shared" ref="G3930:G3938" si="1542">T("NWSS MECHANICSBURG")</f>
        <v>NWSS MECHANICSBURG</v>
      </c>
      <c r="H3930" t="str">
        <f t="shared" si="1538"/>
        <v>5450 CARLISLE PIKE</v>
      </c>
      <c r="I3930" t="str">
        <f t="shared" si="1536"/>
        <v>MECHANICSBURG</v>
      </c>
      <c r="J3930" t="str">
        <f t="shared" si="1537"/>
        <v>PA</v>
      </c>
      <c r="K3930" t="str">
        <f t="shared" si="1541"/>
        <v>7176055482</v>
      </c>
      <c r="L3930" t="str">
        <f>T("7176051499")</f>
        <v>7176051499</v>
      </c>
    </row>
    <row r="3931" spans="1:12" x14ac:dyDescent="0.35">
      <c r="A3931" t="str">
        <f t="shared" si="1532"/>
        <v>NAVSUP/WSS</v>
      </c>
      <c r="B3931" t="str">
        <f t="shared" si="1539"/>
        <v>NAVSUP WSS</v>
      </c>
      <c r="C3931" t="str">
        <f t="shared" si="1540"/>
        <v>5450 CARLISLE PIKE</v>
      </c>
      <c r="D3931" t="str">
        <f t="shared" si="1533"/>
        <v>MECHANICSBURG</v>
      </c>
      <c r="E3931" t="str">
        <f t="shared" si="1534"/>
        <v>PA</v>
      </c>
      <c r="F3931" t="str">
        <f t="shared" si="1535"/>
        <v>170502411</v>
      </c>
      <c r="G3931" t="str">
        <f t="shared" si="1542"/>
        <v>NWSS MECHANICSBURG</v>
      </c>
      <c r="H3931" t="str">
        <f t="shared" si="1538"/>
        <v>5450 CARLISLE PIKE</v>
      </c>
      <c r="I3931" t="str">
        <f t="shared" si="1536"/>
        <v>MECHANICSBURG</v>
      </c>
      <c r="J3931" t="str">
        <f t="shared" si="1537"/>
        <v>PA</v>
      </c>
      <c r="K3931" t="str">
        <f t="shared" si="1541"/>
        <v>7176055482</v>
      </c>
      <c r="L3931" t="str">
        <f>T("7176051534")</f>
        <v>7176051534</v>
      </c>
    </row>
    <row r="3932" spans="1:12" x14ac:dyDescent="0.35">
      <c r="A3932" t="str">
        <f t="shared" si="1532"/>
        <v>NAVSUP/WSS</v>
      </c>
      <c r="B3932" t="str">
        <f t="shared" si="1539"/>
        <v>NAVSUP WSS</v>
      </c>
      <c r="C3932" t="str">
        <f t="shared" si="1540"/>
        <v>5450 CARLISLE PIKE</v>
      </c>
      <c r="D3932" t="str">
        <f t="shared" si="1533"/>
        <v>MECHANICSBURG</v>
      </c>
      <c r="E3932" t="str">
        <f t="shared" si="1534"/>
        <v>PA</v>
      </c>
      <c r="F3932" t="str">
        <f t="shared" si="1535"/>
        <v>170502411</v>
      </c>
      <c r="G3932" t="str">
        <f t="shared" si="1542"/>
        <v>NWSS MECHANICSBURG</v>
      </c>
      <c r="H3932" t="str">
        <f t="shared" si="1538"/>
        <v>5450 CARLISLE PIKE</v>
      </c>
      <c r="I3932" t="str">
        <f t="shared" si="1536"/>
        <v>MECHANICSBURG</v>
      </c>
      <c r="J3932" t="str">
        <f t="shared" si="1537"/>
        <v>PA</v>
      </c>
      <c r="K3932" t="str">
        <f t="shared" si="1541"/>
        <v>7176055482</v>
      </c>
      <c r="L3932" t="str">
        <f>T("7176051623")</f>
        <v>7176051623</v>
      </c>
    </row>
    <row r="3933" spans="1:12" x14ac:dyDescent="0.35">
      <c r="A3933" t="str">
        <f t="shared" si="1532"/>
        <v>NAVSUP/WSS</v>
      </c>
      <c r="B3933" t="str">
        <f t="shared" si="1539"/>
        <v>NAVSUP WSS</v>
      </c>
      <c r="C3933" t="str">
        <f t="shared" si="1540"/>
        <v>5450 CARLISLE PIKE</v>
      </c>
      <c r="D3933" t="str">
        <f t="shared" si="1533"/>
        <v>MECHANICSBURG</v>
      </c>
      <c r="E3933" t="str">
        <f t="shared" si="1534"/>
        <v>PA</v>
      </c>
      <c r="F3933" t="str">
        <f t="shared" si="1535"/>
        <v>170502411</v>
      </c>
      <c r="G3933" t="str">
        <f t="shared" si="1542"/>
        <v>NWSS MECHANICSBURG</v>
      </c>
      <c r="H3933" t="str">
        <f t="shared" si="1538"/>
        <v>5450 CARLISLE PIKE</v>
      </c>
      <c r="I3933" t="str">
        <f t="shared" si="1536"/>
        <v>MECHANICSBURG</v>
      </c>
      <c r="J3933" t="str">
        <f t="shared" si="1537"/>
        <v>PA</v>
      </c>
      <c r="K3933" t="str">
        <f t="shared" si="1541"/>
        <v>7176055482</v>
      </c>
      <c r="L3933" t="str">
        <f>T("7176052157")</f>
        <v>7176052157</v>
      </c>
    </row>
    <row r="3934" spans="1:12" x14ac:dyDescent="0.35">
      <c r="A3934" t="str">
        <f t="shared" si="1532"/>
        <v>NAVSUP/WSS</v>
      </c>
      <c r="B3934" t="str">
        <f t="shared" si="1539"/>
        <v>NAVSUP WSS</v>
      </c>
      <c r="C3934" t="str">
        <f t="shared" si="1540"/>
        <v>5450 CARLISLE PIKE</v>
      </c>
      <c r="D3934" t="str">
        <f t="shared" si="1533"/>
        <v>MECHANICSBURG</v>
      </c>
      <c r="E3934" t="str">
        <f t="shared" si="1534"/>
        <v>PA</v>
      </c>
      <c r="F3934" t="str">
        <f t="shared" si="1535"/>
        <v>170502411</v>
      </c>
      <c r="G3934" t="str">
        <f t="shared" si="1542"/>
        <v>NWSS MECHANICSBURG</v>
      </c>
      <c r="H3934" t="str">
        <f t="shared" si="1538"/>
        <v>5450 CARLISLE PIKE</v>
      </c>
      <c r="I3934" t="str">
        <f t="shared" si="1536"/>
        <v>MECHANICSBURG</v>
      </c>
      <c r="J3934" t="str">
        <f t="shared" si="1537"/>
        <v>PA</v>
      </c>
      <c r="K3934" t="str">
        <f t="shared" si="1541"/>
        <v>7176055482</v>
      </c>
      <c r="L3934" t="str">
        <f>T("7176055158")</f>
        <v>7176055158</v>
      </c>
    </row>
    <row r="3935" spans="1:12" x14ac:dyDescent="0.35">
      <c r="A3935" t="str">
        <f t="shared" si="1532"/>
        <v>NAVSUP/WSS</v>
      </c>
      <c r="B3935" t="str">
        <f t="shared" si="1539"/>
        <v>NAVSUP WSS</v>
      </c>
      <c r="C3935" t="str">
        <f t="shared" si="1540"/>
        <v>5450 CARLISLE PIKE</v>
      </c>
      <c r="D3935" t="str">
        <f t="shared" si="1533"/>
        <v>MECHANICSBURG</v>
      </c>
      <c r="E3935" t="str">
        <f t="shared" si="1534"/>
        <v>PA</v>
      </c>
      <c r="F3935" t="str">
        <f t="shared" si="1535"/>
        <v>170502411</v>
      </c>
      <c r="G3935" t="str">
        <f t="shared" si="1542"/>
        <v>NWSS MECHANICSBURG</v>
      </c>
      <c r="H3935" t="str">
        <f t="shared" si="1538"/>
        <v>5450 CARLISLE PIKE</v>
      </c>
      <c r="I3935" t="str">
        <f t="shared" si="1536"/>
        <v>MECHANICSBURG</v>
      </c>
      <c r="J3935" t="str">
        <f t="shared" si="1537"/>
        <v>PA</v>
      </c>
      <c r="K3935" t="str">
        <f t="shared" si="1541"/>
        <v>7176055482</v>
      </c>
      <c r="L3935" t="str">
        <f>T("7176055758")</f>
        <v>7176055758</v>
      </c>
    </row>
    <row r="3936" spans="1:12" x14ac:dyDescent="0.35">
      <c r="A3936" t="str">
        <f t="shared" si="1532"/>
        <v>NAVSUP/WSS</v>
      </c>
      <c r="B3936" t="str">
        <f t="shared" si="1539"/>
        <v>NAVSUP WSS</v>
      </c>
      <c r="C3936" t="str">
        <f t="shared" si="1540"/>
        <v>5450 CARLISLE PIKE</v>
      </c>
      <c r="D3936" t="str">
        <f t="shared" si="1533"/>
        <v>MECHANICSBURG</v>
      </c>
      <c r="E3936" t="str">
        <f t="shared" si="1534"/>
        <v>PA</v>
      </c>
      <c r="F3936" t="str">
        <f t="shared" si="1535"/>
        <v>170502411</v>
      </c>
      <c r="G3936" t="str">
        <f t="shared" si="1542"/>
        <v>NWSS MECHANICSBURG</v>
      </c>
      <c r="H3936" t="str">
        <f t="shared" si="1538"/>
        <v>5450 CARLISLE PIKE</v>
      </c>
      <c r="I3936" t="str">
        <f t="shared" si="1536"/>
        <v>MECHANICSBURG</v>
      </c>
      <c r="J3936" t="str">
        <f t="shared" si="1537"/>
        <v>PA</v>
      </c>
      <c r="K3936" t="str">
        <f t="shared" si="1541"/>
        <v>7176055482</v>
      </c>
      <c r="L3936" t="str">
        <f>T("7176055778")</f>
        <v>7176055778</v>
      </c>
    </row>
    <row r="3937" spans="1:12" x14ac:dyDescent="0.35">
      <c r="A3937" t="str">
        <f t="shared" si="1532"/>
        <v>NAVSUP/WSS</v>
      </c>
      <c r="B3937" t="str">
        <f t="shared" si="1539"/>
        <v>NAVSUP WSS</v>
      </c>
      <c r="C3937" t="str">
        <f t="shared" si="1540"/>
        <v>5450 CARLISLE PIKE</v>
      </c>
      <c r="D3937" t="str">
        <f t="shared" si="1533"/>
        <v>MECHANICSBURG</v>
      </c>
      <c r="E3937" t="str">
        <f t="shared" si="1534"/>
        <v>PA</v>
      </c>
      <c r="F3937" t="str">
        <f t="shared" si="1535"/>
        <v>170502411</v>
      </c>
      <c r="G3937" t="str">
        <f t="shared" si="1542"/>
        <v>NWSS MECHANICSBURG</v>
      </c>
      <c r="H3937" t="str">
        <f t="shared" si="1538"/>
        <v>5450 CARLISLE PIKE</v>
      </c>
      <c r="I3937" t="str">
        <f t="shared" si="1536"/>
        <v>MECHANICSBURG</v>
      </c>
      <c r="J3937" t="str">
        <f t="shared" si="1537"/>
        <v>PA</v>
      </c>
      <c r="K3937" t="str">
        <f t="shared" si="1541"/>
        <v>7176055482</v>
      </c>
      <c r="L3937" t="str">
        <f>T("7176056944")</f>
        <v>7176056944</v>
      </c>
    </row>
    <row r="3938" spans="1:12" x14ac:dyDescent="0.35">
      <c r="A3938" t="str">
        <f t="shared" si="1532"/>
        <v>NAVSUP/WSS</v>
      </c>
      <c r="B3938" t="str">
        <f t="shared" si="1539"/>
        <v>NAVSUP WSS</v>
      </c>
      <c r="C3938" t="str">
        <f t="shared" si="1540"/>
        <v>5450 CARLISLE PIKE</v>
      </c>
      <c r="D3938" t="str">
        <f t="shared" si="1533"/>
        <v>MECHANICSBURG</v>
      </c>
      <c r="E3938" t="str">
        <f t="shared" si="1534"/>
        <v>PA</v>
      </c>
      <c r="F3938" t="str">
        <f t="shared" si="1535"/>
        <v>170502411</v>
      </c>
      <c r="G3938" t="str">
        <f t="shared" si="1542"/>
        <v>NWSS MECHANICSBURG</v>
      </c>
      <c r="H3938" t="str">
        <f t="shared" si="1538"/>
        <v>5450 CARLISLE PIKE</v>
      </c>
      <c r="I3938" t="str">
        <f t="shared" si="1536"/>
        <v>MECHANICSBURG</v>
      </c>
      <c r="J3938" t="str">
        <f t="shared" si="1537"/>
        <v>PA</v>
      </c>
      <c r="K3938" t="str">
        <f t="shared" si="1541"/>
        <v>7176055482</v>
      </c>
      <c r="L3938" t="str">
        <f>T("7176057119")</f>
        <v>7176057119</v>
      </c>
    </row>
    <row r="3939" spans="1:12" x14ac:dyDescent="0.35">
      <c r="A3939" t="str">
        <f t="shared" si="1532"/>
        <v>NAVSUP/WSS</v>
      </c>
      <c r="B3939" t="str">
        <f>T("700 ROBBINS AVE")</f>
        <v>700 ROBBINS AVE</v>
      </c>
      <c r="C3939" t="str">
        <f>T("BLDG 1 RM 3100")</f>
        <v>BLDG 1 RM 3100</v>
      </c>
      <c r="D3939" t="str">
        <f>T("PHILADELPHIA")</f>
        <v>PHILADELPHIA</v>
      </c>
      <c r="E3939" t="str">
        <f t="shared" si="1534"/>
        <v>PA</v>
      </c>
      <c r="F3939" t="str">
        <f>T("191115001")</f>
        <v>191115001</v>
      </c>
      <c r="G3939" t="str">
        <f>T("700 ROBBINS AVE")</f>
        <v>700 ROBBINS AVE</v>
      </c>
      <c r="H3939" t="str">
        <f>T("BLDG 1 RM 3100")</f>
        <v>BLDG 1 RM 3100</v>
      </c>
      <c r="I3939" t="str">
        <f>T("PHILADELPHIA")</f>
        <v>PHILADELPHIA</v>
      </c>
      <c r="J3939" t="str">
        <f t="shared" si="1537"/>
        <v>PA</v>
      </c>
      <c r="K3939" t="str">
        <f>T("000000000000000000")</f>
        <v>000000000000000000</v>
      </c>
      <c r="L3939" t="str">
        <f>T("2156973815")</f>
        <v>2156973815</v>
      </c>
    </row>
    <row r="3940" spans="1:12" x14ac:dyDescent="0.35">
      <c r="A3940" t="str">
        <f t="shared" si="1532"/>
        <v>NAVSUP/WSS</v>
      </c>
      <c r="B3940" t="str">
        <f>T("700 ROBBINS AVE")</f>
        <v>700 ROBBINS AVE</v>
      </c>
      <c r="C3940" t="str">
        <f>T("BLDG 1 RM 3100")</f>
        <v>BLDG 1 RM 3100</v>
      </c>
      <c r="D3940" t="str">
        <f>T("PHILADELPHIA")</f>
        <v>PHILADELPHIA</v>
      </c>
      <c r="E3940" t="str">
        <f t="shared" si="1534"/>
        <v>PA</v>
      </c>
      <c r="F3940" t="str">
        <f>T("191115001")</f>
        <v>191115001</v>
      </c>
      <c r="G3940" t="str">
        <f>T("700 ROBBINS AVENUE")</f>
        <v>700 ROBBINS AVENUE</v>
      </c>
      <c r="H3940" t="str">
        <f>T("BLDG 1")</f>
        <v>BLDG 1</v>
      </c>
      <c r="I3940" t="str">
        <f>T("PHILADELPHIA")</f>
        <v>PHILADELPHIA</v>
      </c>
      <c r="J3940" t="str">
        <f t="shared" si="1537"/>
        <v>PA</v>
      </c>
      <c r="K3940" t="str">
        <f>T("000000000000000000")</f>
        <v>000000000000000000</v>
      </c>
      <c r="L3940" t="str">
        <f>T("2156972886")</f>
        <v>2156972886</v>
      </c>
    </row>
    <row r="3941" spans="1:12" x14ac:dyDescent="0.35">
      <c r="A3941" t="str">
        <f t="shared" si="1532"/>
        <v>NAVSUP/WSS</v>
      </c>
      <c r="B3941" t="str">
        <f>T("700 ROBBINS AVE")</f>
        <v>700 ROBBINS AVE</v>
      </c>
      <c r="C3941" t="str">
        <f>T("BLDG 1 RM 3100")</f>
        <v>BLDG 1 RM 3100</v>
      </c>
      <c r="D3941" t="str">
        <f>T("PHILADELPHIA")</f>
        <v>PHILADELPHIA</v>
      </c>
      <c r="E3941" t="str">
        <f t="shared" si="1534"/>
        <v>PA</v>
      </c>
      <c r="F3941" t="str">
        <f>T("191115001")</f>
        <v>191115001</v>
      </c>
      <c r="G3941" t="str">
        <f>T("700 ROBBINS AVENUE")</f>
        <v>700 ROBBINS AVENUE</v>
      </c>
      <c r="H3941" t="str">
        <f>T("BLDG 1")</f>
        <v>BLDG 1</v>
      </c>
      <c r="I3941" t="str">
        <f>T("PHILADELPHIA")</f>
        <v>PHILADELPHIA</v>
      </c>
      <c r="J3941" t="str">
        <f t="shared" si="1537"/>
        <v>PA</v>
      </c>
      <c r="K3941" t="str">
        <f>T("000000000000000000")</f>
        <v>000000000000000000</v>
      </c>
      <c r="L3941" t="str">
        <f>T("2156974711")</f>
        <v>2156974711</v>
      </c>
    </row>
    <row r="3942" spans="1:12" x14ac:dyDescent="0.35">
      <c r="A3942" t="str">
        <f t="shared" si="1532"/>
        <v>NAVSUP/WSS</v>
      </c>
      <c r="B3942" t="str">
        <f>T("700 ROBBINS AVE")</f>
        <v>700 ROBBINS AVE</v>
      </c>
      <c r="C3942" t="str">
        <f>T("BLDG 1 RM 3600")</f>
        <v>BLDG 1 RM 3600</v>
      </c>
      <c r="D3942" t="str">
        <f>T("PHILADELPHIA")</f>
        <v>PHILADELPHIA</v>
      </c>
      <c r="E3942" t="str">
        <f t="shared" si="1534"/>
        <v>PA</v>
      </c>
      <c r="F3942" t="str">
        <f>T("191115001")</f>
        <v>191115001</v>
      </c>
      <c r="G3942" t="str">
        <f>T("700 ROBBINS AVE")</f>
        <v>700 ROBBINS AVE</v>
      </c>
      <c r="H3942" t="str">
        <f>T("BLDG 1 RM 3600")</f>
        <v>BLDG 1 RM 3600</v>
      </c>
      <c r="I3942" t="str">
        <f>T("PHILADELPHIA")</f>
        <v>PHILADELPHIA</v>
      </c>
      <c r="J3942" t="str">
        <f t="shared" si="1537"/>
        <v>PA</v>
      </c>
      <c r="K3942" t="str">
        <f>T("000000000000000000")</f>
        <v>000000000000000000</v>
      </c>
      <c r="L3942" t="str">
        <f>T("2156974158")</f>
        <v>2156974158</v>
      </c>
    </row>
    <row r="3943" spans="1:12" x14ac:dyDescent="0.35">
      <c r="A3943" t="str">
        <f t="shared" si="1532"/>
        <v>NAVSUP/WSS</v>
      </c>
      <c r="B3943" t="str">
        <f>T("700 ROBBINS AVE")</f>
        <v>700 ROBBINS AVE</v>
      </c>
      <c r="C3943" t="str">
        <f>T("BLDG 1 RM 3600")</f>
        <v>BLDG 1 RM 3600</v>
      </c>
      <c r="D3943" t="str">
        <f>T("PHILADELPHIA")</f>
        <v>PHILADELPHIA</v>
      </c>
      <c r="E3943" t="str">
        <f t="shared" si="1534"/>
        <v>PA</v>
      </c>
      <c r="F3943" t="str">
        <f>T("191115001")</f>
        <v>191115001</v>
      </c>
      <c r="G3943" t="str">
        <f>T("700 ROBBINS AVENUE")</f>
        <v>700 ROBBINS AVENUE</v>
      </c>
      <c r="H3943" t="str">
        <f>T("BLDG 1 ROOM 3600")</f>
        <v>BLDG 1 ROOM 3600</v>
      </c>
      <c r="I3943" t="str">
        <f>T("PHILADELPHIA")</f>
        <v>PHILADELPHIA</v>
      </c>
      <c r="J3943" t="str">
        <f t="shared" si="1537"/>
        <v>PA</v>
      </c>
      <c r="K3943" t="str">
        <f>T("2156975094")</f>
        <v>2156975094</v>
      </c>
      <c r="L3943" t="str">
        <f>T("2156973169")</f>
        <v>2156973169</v>
      </c>
    </row>
    <row r="3944" spans="1:12" x14ac:dyDescent="0.35">
      <c r="A3944" t="str">
        <f t="shared" si="1532"/>
        <v>NAVSUP/WSS</v>
      </c>
      <c r="B3944" t="str">
        <f t="shared" ref="B3944:B3950" si="1543">T("NAVSUP WSS")</f>
        <v>NAVSUP WSS</v>
      </c>
      <c r="C3944" t="str">
        <f t="shared" ref="C3944:C3950" si="1544">T("5450 CARLISLE PIKE")</f>
        <v>5450 CARLISLE PIKE</v>
      </c>
      <c r="D3944" t="str">
        <f t="shared" ref="D3944:D3950" si="1545">T("MECHANICSBURG")</f>
        <v>MECHANICSBURG</v>
      </c>
      <c r="E3944" t="str">
        <f t="shared" si="1534"/>
        <v>PA</v>
      </c>
      <c r="F3944" t="str">
        <f t="shared" ref="F3944:F3950" si="1546">T("170502411")</f>
        <v>170502411</v>
      </c>
      <c r="G3944" t="str">
        <f>T("NAVSUP WSS")</f>
        <v>NAVSUP WSS</v>
      </c>
      <c r="H3944" t="str">
        <f t="shared" ref="H3944:H3950" si="1547">T("5450 CARLISLE PIKE")</f>
        <v>5450 CARLISLE PIKE</v>
      </c>
      <c r="I3944" t="str">
        <f t="shared" ref="I3944:I3950" si="1548">T("MECHANICSBURG")</f>
        <v>MECHANICSBURG</v>
      </c>
      <c r="J3944" t="str">
        <f t="shared" si="1537"/>
        <v>PA</v>
      </c>
      <c r="K3944" t="str">
        <f>T("000000000000000000")</f>
        <v>000000000000000000</v>
      </c>
      <c r="L3944" t="str">
        <f>T("7176051799")</f>
        <v>7176051799</v>
      </c>
    </row>
    <row r="3945" spans="1:12" x14ac:dyDescent="0.35">
      <c r="A3945" t="str">
        <f t="shared" si="1532"/>
        <v>NAVSUP/WSS</v>
      </c>
      <c r="B3945" t="str">
        <f t="shared" si="1543"/>
        <v>NAVSUP WSS</v>
      </c>
      <c r="C3945" t="str">
        <f t="shared" si="1544"/>
        <v>5450 CARLISLE PIKE</v>
      </c>
      <c r="D3945" t="str">
        <f t="shared" si="1545"/>
        <v>MECHANICSBURG</v>
      </c>
      <c r="E3945" t="str">
        <f t="shared" si="1534"/>
        <v>PA</v>
      </c>
      <c r="F3945" t="str">
        <f t="shared" si="1546"/>
        <v>170502411</v>
      </c>
      <c r="G3945" t="str">
        <f>T("NWSS MECH")</f>
        <v>NWSS MECH</v>
      </c>
      <c r="H3945" t="str">
        <f t="shared" si="1547"/>
        <v>5450 CARLISLE PIKE</v>
      </c>
      <c r="I3945" t="str">
        <f t="shared" si="1548"/>
        <v>MECHANICSBURG</v>
      </c>
      <c r="J3945" t="str">
        <f t="shared" si="1537"/>
        <v>PA</v>
      </c>
      <c r="K3945" t="str">
        <f>T("7176055482")</f>
        <v>7176055482</v>
      </c>
      <c r="L3945" t="str">
        <f>T("7176055285")</f>
        <v>7176055285</v>
      </c>
    </row>
    <row r="3946" spans="1:12" x14ac:dyDescent="0.35">
      <c r="A3946" t="str">
        <f t="shared" si="1532"/>
        <v>NAVSUP/WSS</v>
      </c>
      <c r="B3946" t="str">
        <f t="shared" si="1543"/>
        <v>NAVSUP WSS</v>
      </c>
      <c r="C3946" t="str">
        <f t="shared" si="1544"/>
        <v>5450 CARLISLE PIKE</v>
      </c>
      <c r="D3946" t="str">
        <f t="shared" si="1545"/>
        <v>MECHANICSBURG</v>
      </c>
      <c r="E3946" t="str">
        <f t="shared" si="1534"/>
        <v>PA</v>
      </c>
      <c r="F3946" t="str">
        <f t="shared" si="1546"/>
        <v>170502411</v>
      </c>
      <c r="G3946" t="str">
        <f>T("NWSS MECHANICSBURG")</f>
        <v>NWSS MECHANICSBURG</v>
      </c>
      <c r="H3946" t="str">
        <f t="shared" si="1547"/>
        <v>5450 CARLISLE PIKE</v>
      </c>
      <c r="I3946" t="str">
        <f t="shared" si="1548"/>
        <v>MECHANICSBURG</v>
      </c>
      <c r="J3946" t="str">
        <f t="shared" si="1537"/>
        <v>PA</v>
      </c>
      <c r="K3946" t="str">
        <f>T("7146055482")</f>
        <v>7146055482</v>
      </c>
      <c r="L3946" t="str">
        <f>T("7176053823")</f>
        <v>7176053823</v>
      </c>
    </row>
    <row r="3947" spans="1:12" x14ac:dyDescent="0.35">
      <c r="A3947" t="str">
        <f t="shared" si="1532"/>
        <v>NAVSUP/WSS</v>
      </c>
      <c r="B3947" t="str">
        <f t="shared" si="1543"/>
        <v>NAVSUP WSS</v>
      </c>
      <c r="C3947" t="str">
        <f t="shared" si="1544"/>
        <v>5450 CARLISLE PIKE</v>
      </c>
      <c r="D3947" t="str">
        <f t="shared" si="1545"/>
        <v>MECHANICSBURG</v>
      </c>
      <c r="E3947" t="str">
        <f t="shared" si="1534"/>
        <v>PA</v>
      </c>
      <c r="F3947" t="str">
        <f t="shared" si="1546"/>
        <v>170502411</v>
      </c>
      <c r="G3947" t="str">
        <f>T("NWSS MECHANICSBURG")</f>
        <v>NWSS MECHANICSBURG</v>
      </c>
      <c r="H3947" t="str">
        <f t="shared" si="1547"/>
        <v>5450 CARLISLE PIKE</v>
      </c>
      <c r="I3947" t="str">
        <f t="shared" si="1548"/>
        <v>MECHANICSBURG</v>
      </c>
      <c r="J3947" t="str">
        <f t="shared" si="1537"/>
        <v>PA</v>
      </c>
      <c r="K3947" t="str">
        <f>T("7176055482")</f>
        <v>7176055482</v>
      </c>
      <c r="L3947" t="str">
        <f>T("7176051382")</f>
        <v>7176051382</v>
      </c>
    </row>
    <row r="3948" spans="1:12" x14ac:dyDescent="0.35">
      <c r="A3948" t="str">
        <f t="shared" si="1532"/>
        <v>NAVSUP/WSS</v>
      </c>
      <c r="B3948" t="str">
        <f t="shared" si="1543"/>
        <v>NAVSUP WSS</v>
      </c>
      <c r="C3948" t="str">
        <f t="shared" si="1544"/>
        <v>5450 CARLISLE PIKE</v>
      </c>
      <c r="D3948" t="str">
        <f t="shared" si="1545"/>
        <v>MECHANICSBURG</v>
      </c>
      <c r="E3948" t="str">
        <f t="shared" si="1534"/>
        <v>PA</v>
      </c>
      <c r="F3948" t="str">
        <f t="shared" si="1546"/>
        <v>170502411</v>
      </c>
      <c r="G3948" t="str">
        <f>T("NWSS MECHANICSBURG")</f>
        <v>NWSS MECHANICSBURG</v>
      </c>
      <c r="H3948" t="str">
        <f t="shared" si="1547"/>
        <v>5450 CARLISLE PIKE</v>
      </c>
      <c r="I3948" t="str">
        <f t="shared" si="1548"/>
        <v>MECHANICSBURG</v>
      </c>
      <c r="J3948" t="str">
        <f t="shared" si="1537"/>
        <v>PA</v>
      </c>
      <c r="K3948" t="str">
        <f>T("7176055482")</f>
        <v>7176055482</v>
      </c>
      <c r="L3948" t="str">
        <f>T("7176053089")</f>
        <v>7176053089</v>
      </c>
    </row>
    <row r="3949" spans="1:12" x14ac:dyDescent="0.35">
      <c r="A3949" t="str">
        <f t="shared" si="1532"/>
        <v>NAVSUP/WSS</v>
      </c>
      <c r="B3949" t="str">
        <f t="shared" si="1543"/>
        <v>NAVSUP WSS</v>
      </c>
      <c r="C3949" t="str">
        <f t="shared" si="1544"/>
        <v>5450 CARLISLE PIKE</v>
      </c>
      <c r="D3949" t="str">
        <f t="shared" si="1545"/>
        <v>MECHANICSBURG</v>
      </c>
      <c r="E3949" t="str">
        <f t="shared" si="1534"/>
        <v>PA</v>
      </c>
      <c r="F3949" t="str">
        <f t="shared" si="1546"/>
        <v>170502411</v>
      </c>
      <c r="G3949" t="str">
        <f>T("NWSS MECHANICSBURG")</f>
        <v>NWSS MECHANICSBURG</v>
      </c>
      <c r="H3949" t="str">
        <f t="shared" si="1547"/>
        <v>5450 CARLISLE PIKE</v>
      </c>
      <c r="I3949" t="str">
        <f t="shared" si="1548"/>
        <v>MECHANICSBURG</v>
      </c>
      <c r="J3949" t="str">
        <f t="shared" si="1537"/>
        <v>PA</v>
      </c>
      <c r="K3949" t="str">
        <f>T("7176055482")</f>
        <v>7176055482</v>
      </c>
      <c r="L3949" t="str">
        <f>T("7176054192")</f>
        <v>7176054192</v>
      </c>
    </row>
    <row r="3950" spans="1:12" x14ac:dyDescent="0.35">
      <c r="A3950" t="str">
        <f t="shared" si="1532"/>
        <v>NAVSUP/WSS</v>
      </c>
      <c r="B3950" t="str">
        <f t="shared" si="1543"/>
        <v>NAVSUP WSS</v>
      </c>
      <c r="C3950" t="str">
        <f t="shared" si="1544"/>
        <v>5450 CARLISLE PIKE</v>
      </c>
      <c r="D3950" t="str">
        <f t="shared" si="1545"/>
        <v>MECHANICSBURG</v>
      </c>
      <c r="E3950" t="str">
        <f t="shared" si="1534"/>
        <v>PA</v>
      </c>
      <c r="F3950" t="str">
        <f t="shared" si="1546"/>
        <v>170502411</v>
      </c>
      <c r="G3950" t="str">
        <f>T("NWSS MECHANICSBURG")</f>
        <v>NWSS MECHANICSBURG</v>
      </c>
      <c r="H3950" t="str">
        <f t="shared" si="1547"/>
        <v>5450 CARLISLE PIKE</v>
      </c>
      <c r="I3950" t="str">
        <f t="shared" si="1548"/>
        <v>MECHANICSBURG</v>
      </c>
      <c r="J3950" t="str">
        <f t="shared" si="1537"/>
        <v>PA</v>
      </c>
      <c r="K3950" t="str">
        <f>T("7176055482")</f>
        <v>7176055482</v>
      </c>
      <c r="L3950" t="str">
        <f>T("7176054920")</f>
        <v>7176054920</v>
      </c>
    </row>
    <row r="3951" spans="1:12" x14ac:dyDescent="0.35">
      <c r="A3951" t="str">
        <f t="shared" si="1532"/>
        <v>NAVSUP/WSS</v>
      </c>
      <c r="B3951" t="str">
        <f>T("700 ROBBINS AVE")</f>
        <v>700 ROBBINS AVE</v>
      </c>
      <c r="C3951" t="str">
        <f>T("BLDG 4 CODE N521B")</f>
        <v>BLDG 4 CODE N521B</v>
      </c>
      <c r="D3951" t="str">
        <f t="shared" ref="D3951:D3958" si="1549">T("PHILADELPHIA")</f>
        <v>PHILADELPHIA</v>
      </c>
      <c r="E3951" t="str">
        <f t="shared" si="1534"/>
        <v>PA</v>
      </c>
      <c r="F3951" t="str">
        <f>T("191115008")</f>
        <v>191115008</v>
      </c>
      <c r="G3951" t="str">
        <f>T("700 ROBBINS AVE")</f>
        <v>700 ROBBINS AVE</v>
      </c>
      <c r="H3951" t="str">
        <f>T("BLDG 4 CODE N521B")</f>
        <v>BLDG 4 CODE N521B</v>
      </c>
      <c r="I3951" t="str">
        <f t="shared" ref="I3951:I3958" si="1550">T("PHILADELPHIA")</f>
        <v>PHILADELPHIA</v>
      </c>
      <c r="J3951" t="str">
        <f t="shared" si="1537"/>
        <v>PA</v>
      </c>
      <c r="K3951" t="str">
        <f t="shared" ref="K3951:K3957" si="1551">T("000000000000000000")</f>
        <v>000000000000000000</v>
      </c>
      <c r="L3951" t="str">
        <f>T("2156975123")</f>
        <v>2156975123</v>
      </c>
    </row>
    <row r="3952" spans="1:12" x14ac:dyDescent="0.35">
      <c r="A3952" t="str">
        <f t="shared" si="1532"/>
        <v>NAVSUP/WSS</v>
      </c>
      <c r="B3952" t="str">
        <f>T("700 ROBBINS AVE")</f>
        <v>700 ROBBINS AVE</v>
      </c>
      <c r="C3952" t="str">
        <f>T("BLDG 4 CODE N521B")</f>
        <v>BLDG 4 CODE N521B</v>
      </c>
      <c r="D3952" t="str">
        <f t="shared" si="1549"/>
        <v>PHILADELPHIA</v>
      </c>
      <c r="E3952" t="str">
        <f t="shared" si="1534"/>
        <v>PA</v>
      </c>
      <c r="F3952" t="str">
        <f>T("191115008")</f>
        <v>191115008</v>
      </c>
      <c r="G3952" t="str">
        <f>T("700 ROBBINS AVENUE")</f>
        <v>700 ROBBINS AVENUE</v>
      </c>
      <c r="H3952" t="str">
        <f>T("BLDG 4 CODE N52")</f>
        <v>BLDG 4 CODE N52</v>
      </c>
      <c r="I3952" t="str">
        <f t="shared" si="1550"/>
        <v>PHILADELPHIA</v>
      </c>
      <c r="J3952" t="str">
        <f t="shared" si="1537"/>
        <v>PA</v>
      </c>
      <c r="K3952" t="str">
        <f t="shared" si="1551"/>
        <v>000000000000000000</v>
      </c>
      <c r="L3952" t="str">
        <f>T("2156970707")</f>
        <v>2156970707</v>
      </c>
    </row>
    <row r="3953" spans="1:12" x14ac:dyDescent="0.35">
      <c r="A3953" t="str">
        <f t="shared" si="1532"/>
        <v>NAVSUP/WSS</v>
      </c>
      <c r="B3953" t="str">
        <f>T("700 ROBBINS AVE")</f>
        <v>700 ROBBINS AVE</v>
      </c>
      <c r="C3953" t="str">
        <f>T("BLDG 4 CODE N521B")</f>
        <v>BLDG 4 CODE N521B</v>
      </c>
      <c r="D3953" t="str">
        <f t="shared" si="1549"/>
        <v>PHILADELPHIA</v>
      </c>
      <c r="E3953" t="str">
        <f t="shared" si="1534"/>
        <v>PA</v>
      </c>
      <c r="F3953" t="str">
        <f>T("191115008")</f>
        <v>191115008</v>
      </c>
      <c r="G3953" t="str">
        <f>T("BLDG 4 CODE N52")</f>
        <v>BLDG 4 CODE N52</v>
      </c>
      <c r="H3953" t="str">
        <f>T("700 ROBBINS AVENUE")</f>
        <v>700 ROBBINS AVENUE</v>
      </c>
      <c r="I3953" t="str">
        <f t="shared" si="1550"/>
        <v>PHILADELPHIA</v>
      </c>
      <c r="J3953" t="str">
        <f t="shared" si="1537"/>
        <v>PA</v>
      </c>
      <c r="K3953" t="str">
        <f t="shared" si="1551"/>
        <v>000000000000000000</v>
      </c>
      <c r="L3953" t="str">
        <f>T("2156974417")</f>
        <v>2156974417</v>
      </c>
    </row>
    <row r="3954" spans="1:12" x14ac:dyDescent="0.35">
      <c r="A3954" t="str">
        <f t="shared" si="1532"/>
        <v>NAVSUP/WSS</v>
      </c>
      <c r="B3954" t="str">
        <f>T("700 ROBBINS AVENUE")</f>
        <v>700 ROBBINS AVENUE</v>
      </c>
      <c r="C3954" t="str">
        <f>T("BLDG 1 RM 2600")</f>
        <v>BLDG 1 RM 2600</v>
      </c>
      <c r="D3954" t="str">
        <f t="shared" si="1549"/>
        <v>PHILADELPHIA</v>
      </c>
      <c r="E3954" t="str">
        <f t="shared" si="1534"/>
        <v>PA</v>
      </c>
      <c r="F3954" t="str">
        <f>T("191115001")</f>
        <v>191115001</v>
      </c>
      <c r="G3954" t="str">
        <f>T("700 ROBBINS AVENUE")</f>
        <v>700 ROBBINS AVENUE</v>
      </c>
      <c r="H3954" t="str">
        <f>T("BLDG 1 RM 2600")</f>
        <v>BLDG 1 RM 2600</v>
      </c>
      <c r="I3954" t="str">
        <f t="shared" si="1550"/>
        <v>PHILADELPHIA</v>
      </c>
      <c r="J3954" t="str">
        <f t="shared" si="1537"/>
        <v>PA</v>
      </c>
      <c r="K3954" t="str">
        <f t="shared" si="1551"/>
        <v>000000000000000000</v>
      </c>
      <c r="L3954" t="str">
        <f>T("2156975858")</f>
        <v>2156975858</v>
      </c>
    </row>
    <row r="3955" spans="1:12" x14ac:dyDescent="0.35">
      <c r="A3955" t="str">
        <f t="shared" si="1532"/>
        <v>NAVSUP/WSS</v>
      </c>
      <c r="B3955" t="str">
        <f>T("700 ROBBINS AVENUE")</f>
        <v>700 ROBBINS AVENUE</v>
      </c>
      <c r="C3955" t="str">
        <f>T("BLDG 1 RM 2600")</f>
        <v>BLDG 1 RM 2600</v>
      </c>
      <c r="D3955" t="str">
        <f t="shared" si="1549"/>
        <v>PHILADELPHIA</v>
      </c>
      <c r="E3955" t="str">
        <f t="shared" si="1534"/>
        <v>PA</v>
      </c>
      <c r="F3955" t="str">
        <f>T("191115001")</f>
        <v>191115001</v>
      </c>
      <c r="G3955" t="str">
        <f>T("700 ROBBINS AVENUE")</f>
        <v>700 ROBBINS AVENUE</v>
      </c>
      <c r="H3955" t="str">
        <f>T("BLDG 1 ROOM 2500")</f>
        <v>BLDG 1 ROOM 2500</v>
      </c>
      <c r="I3955" t="str">
        <f t="shared" si="1550"/>
        <v>PHILADELPHIA</v>
      </c>
      <c r="J3955" t="str">
        <f t="shared" si="1537"/>
        <v>PA</v>
      </c>
      <c r="K3955" t="str">
        <f t="shared" si="1551"/>
        <v>000000000000000000</v>
      </c>
      <c r="L3955" t="str">
        <f>T("2156970404")</f>
        <v>2156970404</v>
      </c>
    </row>
    <row r="3956" spans="1:12" x14ac:dyDescent="0.35">
      <c r="A3956" t="str">
        <f t="shared" si="1532"/>
        <v>NAVSUP/WSS</v>
      </c>
      <c r="B3956" t="str">
        <f>T("700 ROBBINS AVENUE")</f>
        <v>700 ROBBINS AVENUE</v>
      </c>
      <c r="C3956" t="str">
        <f>T("BLDG 1 RM 2600")</f>
        <v>BLDG 1 RM 2600</v>
      </c>
      <c r="D3956" t="str">
        <f t="shared" si="1549"/>
        <v>PHILADELPHIA</v>
      </c>
      <c r="E3956" t="str">
        <f t="shared" si="1534"/>
        <v>PA</v>
      </c>
      <c r="F3956" t="str">
        <f>T("191115001")</f>
        <v>191115001</v>
      </c>
      <c r="G3956" t="str">
        <f>T("700 ROBBINS AVENUE")</f>
        <v>700 ROBBINS AVENUE</v>
      </c>
      <c r="H3956" t="str">
        <f>T("BLDG 1 ROOM 2500")</f>
        <v>BLDG 1 ROOM 2500</v>
      </c>
      <c r="I3956" t="str">
        <f t="shared" si="1550"/>
        <v>PHILADELPHIA</v>
      </c>
      <c r="J3956" t="str">
        <f t="shared" si="1537"/>
        <v>PA</v>
      </c>
      <c r="K3956" t="str">
        <f t="shared" si="1551"/>
        <v>000000000000000000</v>
      </c>
      <c r="L3956" t="str">
        <f>T("2156971290")</f>
        <v>2156971290</v>
      </c>
    </row>
    <row r="3957" spans="1:12" x14ac:dyDescent="0.35">
      <c r="A3957" t="str">
        <f t="shared" si="1532"/>
        <v>NAVSUP/WSS</v>
      </c>
      <c r="B3957" t="str">
        <f>T("700 ROBBINS AVENUE")</f>
        <v>700 ROBBINS AVENUE</v>
      </c>
      <c r="C3957" t="str">
        <f>T("BLDG 1 RM 2600")</f>
        <v>BLDG 1 RM 2600</v>
      </c>
      <c r="D3957" t="str">
        <f t="shared" si="1549"/>
        <v>PHILADELPHIA</v>
      </c>
      <c r="E3957" t="str">
        <f t="shared" si="1534"/>
        <v>PA</v>
      </c>
      <c r="F3957" t="str">
        <f>T("191115001")</f>
        <v>191115001</v>
      </c>
      <c r="G3957" t="str">
        <f>T("700 ROBBINS AVENUE")</f>
        <v>700 ROBBINS AVENUE</v>
      </c>
      <c r="H3957" t="str">
        <f>T("BLDG 1 ROOM 2500")</f>
        <v>BLDG 1 ROOM 2500</v>
      </c>
      <c r="I3957" t="str">
        <f t="shared" si="1550"/>
        <v>PHILADELPHIA</v>
      </c>
      <c r="J3957" t="str">
        <f t="shared" si="1537"/>
        <v>PA</v>
      </c>
      <c r="K3957" t="str">
        <f t="shared" si="1551"/>
        <v>000000000000000000</v>
      </c>
      <c r="L3957" t="str">
        <f>T("2156975254")</f>
        <v>2156975254</v>
      </c>
    </row>
    <row r="3958" spans="1:12" x14ac:dyDescent="0.35">
      <c r="A3958" t="str">
        <f t="shared" si="1532"/>
        <v>NAVSUP/WSS</v>
      </c>
      <c r="B3958" t="str">
        <f>T("700 ROBBINS AVENUE")</f>
        <v>700 ROBBINS AVENUE</v>
      </c>
      <c r="C3958" t="str">
        <f>T("BLDG 1 RM 2600")</f>
        <v>BLDG 1 RM 2600</v>
      </c>
      <c r="D3958" t="str">
        <f t="shared" si="1549"/>
        <v>PHILADELPHIA</v>
      </c>
      <c r="E3958" t="str">
        <f t="shared" si="1534"/>
        <v>PA</v>
      </c>
      <c r="F3958" t="str">
        <f>T("191115001")</f>
        <v>191115001</v>
      </c>
      <c r="G3958" t="str">
        <f>T("700 ROBBINS AVENUE")</f>
        <v>700 ROBBINS AVENUE</v>
      </c>
      <c r="H3958" t="str">
        <f>T("BLDG 1 ROOM 2600")</f>
        <v>BLDG 1 ROOM 2600</v>
      </c>
      <c r="I3958" t="str">
        <f t="shared" si="1550"/>
        <v>PHILADELPHIA</v>
      </c>
      <c r="J3958" t="str">
        <f t="shared" si="1537"/>
        <v>PA</v>
      </c>
      <c r="K3958" t="str">
        <f>T("2156975684")</f>
        <v>2156975684</v>
      </c>
      <c r="L3958" t="str">
        <f>T("2156976734")</f>
        <v>2156976734</v>
      </c>
    </row>
    <row r="3959" spans="1:12" x14ac:dyDescent="0.35">
      <c r="A3959" t="str">
        <f t="shared" ref="A3959:A3990" si="1552">T("NSWC DAHLGREN")</f>
        <v>NSWC DAHLGREN</v>
      </c>
      <c r="B3959" t="str">
        <f>T("17632 DAHLGREN ROAD")</f>
        <v>17632 DAHLGREN ROAD</v>
      </c>
      <c r="C3959" t="str">
        <f>T("BLDG 183 RM 100")</f>
        <v>BLDG 183 RM 100</v>
      </c>
      <c r="D3959" t="str">
        <f t="shared" ref="D3959:D3970" si="1553">T("DAHLGREN")</f>
        <v>DAHLGREN</v>
      </c>
      <c r="E3959" t="str">
        <f t="shared" ref="E3959:E3995" si="1554">T("VA")</f>
        <v>VA</v>
      </c>
      <c r="F3959" t="str">
        <f>T("224485154")</f>
        <v>224485154</v>
      </c>
      <c r="G3959" t="str">
        <f>T("17632 DAHLGREN RD")</f>
        <v>17632 DAHLGREN RD</v>
      </c>
      <c r="H3959" t="str">
        <f>T("BLDG 183 RM 100")</f>
        <v>BLDG 183 RM 100</v>
      </c>
      <c r="I3959" t="str">
        <f t="shared" ref="I3959:I3970" si="1555">T("DAHLGREN")</f>
        <v>DAHLGREN</v>
      </c>
      <c r="J3959" t="str">
        <f t="shared" ref="J3959:J3995" si="1556">T("VA")</f>
        <v>VA</v>
      </c>
      <c r="K3959" t="str">
        <f>T("5406537276")</f>
        <v>5406537276</v>
      </c>
      <c r="L3959" t="str">
        <f>T("5406530648")</f>
        <v>5406530648</v>
      </c>
    </row>
    <row r="3960" spans="1:12" x14ac:dyDescent="0.35">
      <c r="A3960" t="str">
        <f t="shared" si="1552"/>
        <v>NSWC DAHLGREN</v>
      </c>
      <c r="B3960" t="str">
        <f>T("17632 DAHLGREN ROAD")</f>
        <v>17632 DAHLGREN ROAD</v>
      </c>
      <c r="C3960" t="str">
        <f>T("BLDG 183 RM 100")</f>
        <v>BLDG 183 RM 100</v>
      </c>
      <c r="D3960" t="str">
        <f t="shared" si="1553"/>
        <v>DAHLGREN</v>
      </c>
      <c r="E3960" t="str">
        <f t="shared" si="1554"/>
        <v>VA</v>
      </c>
      <c r="F3960" t="str">
        <f>T("224485154")</f>
        <v>224485154</v>
      </c>
      <c r="G3960" t="str">
        <f>T("17632 DAHLGREN ROAD")</f>
        <v>17632 DAHLGREN ROAD</v>
      </c>
      <c r="H3960" t="str">
        <f>T("BLDG 183 RM 100")</f>
        <v>BLDG 183 RM 100</v>
      </c>
      <c r="I3960" t="str">
        <f t="shared" si="1555"/>
        <v>DAHLGREN</v>
      </c>
      <c r="J3960" t="str">
        <f t="shared" si="1556"/>
        <v>VA</v>
      </c>
      <c r="K3960" t="str">
        <f>T("000000000000000000")</f>
        <v>000000000000000000</v>
      </c>
      <c r="L3960" t="str">
        <f>T("5406538889")</f>
        <v>5406538889</v>
      </c>
    </row>
    <row r="3961" spans="1:12" x14ac:dyDescent="0.35">
      <c r="A3961" t="str">
        <f t="shared" si="1552"/>
        <v>NSWC DAHLGREN</v>
      </c>
      <c r="B3961" t="str">
        <f>T("17632 DAHLGREN ROAD")</f>
        <v>17632 DAHLGREN ROAD</v>
      </c>
      <c r="C3961" t="str">
        <f>T("BLDG 183 RM 100")</f>
        <v>BLDG 183 RM 100</v>
      </c>
      <c r="D3961" t="str">
        <f t="shared" si="1553"/>
        <v>DAHLGREN</v>
      </c>
      <c r="E3961" t="str">
        <f t="shared" si="1554"/>
        <v>VA</v>
      </c>
      <c r="F3961" t="str">
        <f>T("224485154")</f>
        <v>224485154</v>
      </c>
      <c r="G3961" t="str">
        <f>T("CONTRACTS DIVISION CODE")</f>
        <v>CONTRACTS DIVISION CODE</v>
      </c>
      <c r="H3961" t="str">
        <f>T("17632 DAHLGREN RD SUITE 157")</f>
        <v>17632 DAHLGREN RD SUITE 157</v>
      </c>
      <c r="I3961" t="str">
        <f t="shared" si="1555"/>
        <v>DAHLGREN</v>
      </c>
      <c r="J3961" t="str">
        <f t="shared" si="1556"/>
        <v>VA</v>
      </c>
      <c r="K3961" t="str">
        <f>T("000000000000000000")</f>
        <v>000000000000000000</v>
      </c>
      <c r="L3961" t="str">
        <f>T("5406534204")</f>
        <v>5406534204</v>
      </c>
    </row>
    <row r="3962" spans="1:12" x14ac:dyDescent="0.35">
      <c r="A3962" t="str">
        <f t="shared" si="1552"/>
        <v>NSWC DAHLGREN</v>
      </c>
      <c r="B3962" t="str">
        <f t="shared" ref="B3962:B3970" si="1557">T("18444 FRONTAGE RD STE 324")</f>
        <v>18444 FRONTAGE RD STE 324</v>
      </c>
      <c r="C3962" t="str">
        <f t="shared" ref="C3962:C3976" si="1558">T("")</f>
        <v/>
      </c>
      <c r="D3962" t="str">
        <f t="shared" si="1553"/>
        <v>DAHLGREN</v>
      </c>
      <c r="E3962" t="str">
        <f t="shared" si="1554"/>
        <v>VA</v>
      </c>
      <c r="F3962" t="str">
        <f t="shared" ref="F3962:F3970" si="1559">T("224485182")</f>
        <v>224485182</v>
      </c>
      <c r="G3962" t="str">
        <f>T("18444 FRONTAGE RD STE 324")</f>
        <v>18444 FRONTAGE RD STE 324</v>
      </c>
      <c r="H3962" t="str">
        <f>T("")</f>
        <v/>
      </c>
      <c r="I3962" t="str">
        <f t="shared" si="1555"/>
        <v>DAHLGREN</v>
      </c>
      <c r="J3962" t="str">
        <f t="shared" si="1556"/>
        <v>VA</v>
      </c>
      <c r="K3962" t="str">
        <f>T("5406531040")</f>
        <v>5406531040</v>
      </c>
      <c r="L3962" t="str">
        <f>T("5406534094")</f>
        <v>5406534094</v>
      </c>
    </row>
    <row r="3963" spans="1:12" x14ac:dyDescent="0.35">
      <c r="A3963" t="str">
        <f t="shared" si="1552"/>
        <v>NSWC DAHLGREN</v>
      </c>
      <c r="B3963" t="str">
        <f t="shared" si="1557"/>
        <v>18444 FRONTAGE RD STE 324</v>
      </c>
      <c r="C3963" t="str">
        <f t="shared" si="1558"/>
        <v/>
      </c>
      <c r="D3963" t="str">
        <f t="shared" si="1553"/>
        <v>DAHLGREN</v>
      </c>
      <c r="E3963" t="str">
        <f t="shared" si="1554"/>
        <v>VA</v>
      </c>
      <c r="F3963" t="str">
        <f t="shared" si="1559"/>
        <v>224485182</v>
      </c>
      <c r="G3963" t="str">
        <f>T("18444 FRONTAGE ROAD")</f>
        <v>18444 FRONTAGE ROAD</v>
      </c>
      <c r="H3963" t="str">
        <f>T("SUITE 324")</f>
        <v>SUITE 324</v>
      </c>
      <c r="I3963" t="str">
        <f t="shared" si="1555"/>
        <v>DAHLGREN</v>
      </c>
      <c r="J3963" t="str">
        <f t="shared" si="1556"/>
        <v>VA</v>
      </c>
      <c r="K3963" t="str">
        <f>T("5402840146")</f>
        <v>5402840146</v>
      </c>
      <c r="L3963" t="str">
        <f>T("5406534080")</f>
        <v>5406534080</v>
      </c>
    </row>
    <row r="3964" spans="1:12" x14ac:dyDescent="0.35">
      <c r="A3964" t="str">
        <f t="shared" si="1552"/>
        <v>NSWC DAHLGREN</v>
      </c>
      <c r="B3964" t="str">
        <f t="shared" si="1557"/>
        <v>18444 FRONTAGE RD STE 324</v>
      </c>
      <c r="C3964" t="str">
        <f t="shared" si="1558"/>
        <v/>
      </c>
      <c r="D3964" t="str">
        <f t="shared" si="1553"/>
        <v>DAHLGREN</v>
      </c>
      <c r="E3964" t="str">
        <f t="shared" si="1554"/>
        <v>VA</v>
      </c>
      <c r="F3964" t="str">
        <f t="shared" si="1559"/>
        <v>224485182</v>
      </c>
      <c r="G3964" t="str">
        <f>T("18444 FRONTAGE ROAD")</f>
        <v>18444 FRONTAGE ROAD</v>
      </c>
      <c r="H3964" t="str">
        <f>T("SUITE 324")</f>
        <v>SUITE 324</v>
      </c>
      <c r="I3964" t="str">
        <f t="shared" si="1555"/>
        <v>DAHLGREN</v>
      </c>
      <c r="J3964" t="str">
        <f t="shared" si="1556"/>
        <v>VA</v>
      </c>
      <c r="K3964" t="str">
        <f>T("5406535676")</f>
        <v>5406535676</v>
      </c>
      <c r="L3964" t="str">
        <f>T("5406538775")</f>
        <v>5406538775</v>
      </c>
    </row>
    <row r="3965" spans="1:12" x14ac:dyDescent="0.35">
      <c r="A3965" t="str">
        <f t="shared" si="1552"/>
        <v>NSWC DAHLGREN</v>
      </c>
      <c r="B3965" t="str">
        <f t="shared" si="1557"/>
        <v>18444 FRONTAGE RD STE 324</v>
      </c>
      <c r="C3965" t="str">
        <f t="shared" si="1558"/>
        <v/>
      </c>
      <c r="D3965" t="str">
        <f t="shared" si="1553"/>
        <v>DAHLGREN</v>
      </c>
      <c r="E3965" t="str">
        <f t="shared" si="1554"/>
        <v>VA</v>
      </c>
      <c r="F3965" t="str">
        <f t="shared" si="1559"/>
        <v>224485182</v>
      </c>
      <c r="G3965" t="str">
        <f>T("18444 FRONTAGE ROAD")</f>
        <v>18444 FRONTAGE ROAD</v>
      </c>
      <c r="H3965" t="str">
        <f>T("SUITE 329")</f>
        <v>SUITE 329</v>
      </c>
      <c r="I3965" t="str">
        <f t="shared" si="1555"/>
        <v>DAHLGREN</v>
      </c>
      <c r="J3965" t="str">
        <f t="shared" si="1556"/>
        <v>VA</v>
      </c>
      <c r="K3965" t="str">
        <f>T("5406537360")</f>
        <v>5406537360</v>
      </c>
      <c r="L3965" t="str">
        <f>T("5406534097")</f>
        <v>5406534097</v>
      </c>
    </row>
    <row r="3966" spans="1:12" x14ac:dyDescent="0.35">
      <c r="A3966" t="str">
        <f t="shared" si="1552"/>
        <v>NSWC DAHLGREN</v>
      </c>
      <c r="B3966" t="str">
        <f t="shared" si="1557"/>
        <v>18444 FRONTAGE RD STE 324</v>
      </c>
      <c r="C3966" t="str">
        <f t="shared" si="1558"/>
        <v/>
      </c>
      <c r="D3966" t="str">
        <f t="shared" si="1553"/>
        <v>DAHLGREN</v>
      </c>
      <c r="E3966" t="str">
        <f t="shared" si="1554"/>
        <v>VA</v>
      </c>
      <c r="F3966" t="str">
        <f t="shared" si="1559"/>
        <v>224485182</v>
      </c>
      <c r="G3966" t="str">
        <f>T("6078 NORC AVE BLDG 278")</f>
        <v>6078 NORC AVE BLDG 278</v>
      </c>
      <c r="H3966" t="str">
        <f>T("")</f>
        <v/>
      </c>
      <c r="I3966" t="str">
        <f t="shared" si="1555"/>
        <v>DAHLGREN</v>
      </c>
      <c r="J3966" t="str">
        <f t="shared" si="1556"/>
        <v>VA</v>
      </c>
      <c r="K3966" t="str">
        <f>T("000000000000000000")</f>
        <v>000000000000000000</v>
      </c>
      <c r="L3966" t="str">
        <f>T("5406531716")</f>
        <v>5406531716</v>
      </c>
    </row>
    <row r="3967" spans="1:12" x14ac:dyDescent="0.35">
      <c r="A3967" t="str">
        <f t="shared" si="1552"/>
        <v>NSWC DAHLGREN</v>
      </c>
      <c r="B3967" t="str">
        <f t="shared" si="1557"/>
        <v>18444 FRONTAGE RD STE 324</v>
      </c>
      <c r="C3967" t="str">
        <f t="shared" si="1558"/>
        <v/>
      </c>
      <c r="D3967" t="str">
        <f t="shared" si="1553"/>
        <v>DAHLGREN</v>
      </c>
      <c r="E3967" t="str">
        <f t="shared" si="1554"/>
        <v>VA</v>
      </c>
      <c r="F3967" t="str">
        <f t="shared" si="1559"/>
        <v>224485182</v>
      </c>
      <c r="G3967" t="str">
        <f>T("DIRECTED ENERGY")</f>
        <v>DIRECTED ENERGY</v>
      </c>
      <c r="H3967" t="str">
        <f>T("18444 FRONTAGE RD SUITE 328")</f>
        <v>18444 FRONTAGE RD SUITE 328</v>
      </c>
      <c r="I3967" t="str">
        <f t="shared" si="1555"/>
        <v>DAHLGREN</v>
      </c>
      <c r="J3967" t="str">
        <f t="shared" si="1556"/>
        <v>VA</v>
      </c>
      <c r="K3967" t="str">
        <f>T("000000000000000000")</f>
        <v>000000000000000000</v>
      </c>
      <c r="L3967" t="str">
        <f>T("5406532713")</f>
        <v>5406532713</v>
      </c>
    </row>
    <row r="3968" spans="1:12" x14ac:dyDescent="0.35">
      <c r="A3968" t="str">
        <f t="shared" si="1552"/>
        <v>NSWC DAHLGREN</v>
      </c>
      <c r="B3968" t="str">
        <f t="shared" si="1557"/>
        <v>18444 FRONTAGE RD STE 324</v>
      </c>
      <c r="C3968" t="str">
        <f t="shared" si="1558"/>
        <v/>
      </c>
      <c r="D3968" t="str">
        <f t="shared" si="1553"/>
        <v>DAHLGREN</v>
      </c>
      <c r="E3968" t="str">
        <f t="shared" si="1554"/>
        <v>VA</v>
      </c>
      <c r="F3968" t="str">
        <f t="shared" si="1559"/>
        <v>224485182</v>
      </c>
      <c r="G3968" t="str">
        <f>T("NSWC DAHLGREN DIVISION")</f>
        <v>NSWC DAHLGREN DIVISION</v>
      </c>
      <c r="H3968" t="str">
        <f>T("18444 FRONTAGE RD SUITE 324")</f>
        <v>18444 FRONTAGE RD SUITE 324</v>
      </c>
      <c r="I3968" t="str">
        <f t="shared" si="1555"/>
        <v>DAHLGREN</v>
      </c>
      <c r="J3968" t="str">
        <f t="shared" si="1556"/>
        <v>VA</v>
      </c>
      <c r="K3968" t="str">
        <f>T("5406533246")</f>
        <v>5406533246</v>
      </c>
      <c r="L3968" t="str">
        <f>T("5406537893")</f>
        <v>5406537893</v>
      </c>
    </row>
    <row r="3969" spans="1:12" x14ac:dyDescent="0.35">
      <c r="A3969" t="str">
        <f t="shared" si="1552"/>
        <v>NSWC DAHLGREN</v>
      </c>
      <c r="B3969" t="str">
        <f t="shared" si="1557"/>
        <v>18444 FRONTAGE RD STE 324</v>
      </c>
      <c r="C3969" t="str">
        <f t="shared" si="1558"/>
        <v/>
      </c>
      <c r="D3969" t="str">
        <f t="shared" si="1553"/>
        <v>DAHLGREN</v>
      </c>
      <c r="E3969" t="str">
        <f t="shared" si="1554"/>
        <v>VA</v>
      </c>
      <c r="F3969" t="str">
        <f t="shared" si="1559"/>
        <v>224485182</v>
      </c>
      <c r="G3969" t="str">
        <f>T("NSWC DAHLGREN DIVISION")</f>
        <v>NSWC DAHLGREN DIVISION</v>
      </c>
      <c r="H3969" t="str">
        <f>T("18444 FRONTAGE ROAD SUITE 324")</f>
        <v>18444 FRONTAGE ROAD SUITE 324</v>
      </c>
      <c r="I3969" t="str">
        <f t="shared" si="1555"/>
        <v>DAHLGREN</v>
      </c>
      <c r="J3969" t="str">
        <f t="shared" si="1556"/>
        <v>VA</v>
      </c>
      <c r="K3969" t="str">
        <f>T("000000000000000000")</f>
        <v>000000000000000000</v>
      </c>
      <c r="L3969" t="str">
        <f>T("5406539004")</f>
        <v>5406539004</v>
      </c>
    </row>
    <row r="3970" spans="1:12" x14ac:dyDescent="0.35">
      <c r="A3970" t="str">
        <f t="shared" si="1552"/>
        <v>NSWC DAHLGREN</v>
      </c>
      <c r="B3970" t="str">
        <f t="shared" si="1557"/>
        <v>18444 FRONTAGE RD STE 324</v>
      </c>
      <c r="C3970" t="str">
        <f t="shared" si="1558"/>
        <v/>
      </c>
      <c r="D3970" t="str">
        <f t="shared" si="1553"/>
        <v>DAHLGREN</v>
      </c>
      <c r="E3970" t="str">
        <f t="shared" si="1554"/>
        <v>VA</v>
      </c>
      <c r="F3970" t="str">
        <f t="shared" si="1559"/>
        <v>224485182</v>
      </c>
      <c r="G3970" t="str">
        <f>T("NSWCDD DAHLGREN DIVISION Q06")</f>
        <v>NSWCDD DAHLGREN DIVISION Q06</v>
      </c>
      <c r="H3970" t="str">
        <f>T("18444 FRONTAGE RD STE 328")</f>
        <v>18444 FRONTAGE RD STE 328</v>
      </c>
      <c r="I3970" t="str">
        <f t="shared" si="1555"/>
        <v>DAHLGREN</v>
      </c>
      <c r="J3970" t="str">
        <f t="shared" si="1556"/>
        <v>VA</v>
      </c>
      <c r="K3970" t="str">
        <f>T("5406531040")</f>
        <v>5406531040</v>
      </c>
      <c r="L3970" t="str">
        <f>T("5406535586")</f>
        <v>5406535586</v>
      </c>
    </row>
    <row r="3971" spans="1:12" x14ac:dyDescent="0.35">
      <c r="A3971" t="str">
        <f t="shared" si="1552"/>
        <v>NSWC DAHLGREN</v>
      </c>
      <c r="B3971" t="str">
        <f>T("1922 REGULUS AVE")</f>
        <v>1922 REGULUS AVE</v>
      </c>
      <c r="C3971" t="str">
        <f t="shared" si="1558"/>
        <v/>
      </c>
      <c r="D3971" t="str">
        <f>T("VIRGINIA BCH")</f>
        <v>VIRGINIA BCH</v>
      </c>
      <c r="E3971" t="str">
        <f t="shared" si="1554"/>
        <v>VA</v>
      </c>
      <c r="F3971" t="str">
        <f>T("234612002")</f>
        <v>234612002</v>
      </c>
      <c r="G3971" t="str">
        <f>T("1922 REGULUS AVE")</f>
        <v>1922 REGULUS AVE</v>
      </c>
      <c r="H3971" t="str">
        <f>T("")</f>
        <v/>
      </c>
      <c r="I3971" t="str">
        <f>T("VIRGINIA BCH")</f>
        <v>VIRGINIA BCH</v>
      </c>
      <c r="J3971" t="str">
        <f t="shared" si="1556"/>
        <v>VA</v>
      </c>
      <c r="K3971" t="str">
        <f>T("7574926933")</f>
        <v>7574926933</v>
      </c>
      <c r="L3971" t="str">
        <f>T("7574921952")</f>
        <v>7574921952</v>
      </c>
    </row>
    <row r="3972" spans="1:12" x14ac:dyDescent="0.35">
      <c r="A3972" t="str">
        <f t="shared" si="1552"/>
        <v>NSWC DAHLGREN</v>
      </c>
      <c r="B3972" t="str">
        <f>T("1922 REGULUS AVE")</f>
        <v>1922 REGULUS AVE</v>
      </c>
      <c r="C3972" t="str">
        <f t="shared" si="1558"/>
        <v/>
      </c>
      <c r="D3972" t="str">
        <f>T("VIRGINIA BCH")</f>
        <v>VIRGINIA BCH</v>
      </c>
      <c r="E3972" t="str">
        <f t="shared" si="1554"/>
        <v>VA</v>
      </c>
      <c r="F3972" t="str">
        <f>T("234612002")</f>
        <v>234612002</v>
      </c>
      <c r="G3972" t="str">
        <f>T("CDSA DAMNECK")</f>
        <v>CDSA DAMNECK</v>
      </c>
      <c r="H3972" t="str">
        <f>T("1922 REGULUS AVE")</f>
        <v>1922 REGULUS AVE</v>
      </c>
      <c r="I3972" t="str">
        <f>T("VIRGINIA BEACH")</f>
        <v>VIRGINIA BEACH</v>
      </c>
      <c r="J3972" t="str">
        <f t="shared" si="1556"/>
        <v>VA</v>
      </c>
      <c r="K3972" t="str">
        <f>T("000000000000000000")</f>
        <v>000000000000000000</v>
      </c>
      <c r="L3972" t="str">
        <f>T("7574921907")</f>
        <v>7574921907</v>
      </c>
    </row>
    <row r="3973" spans="1:12" x14ac:dyDescent="0.35">
      <c r="A3973" t="str">
        <f t="shared" si="1552"/>
        <v>NSWC DAHLGREN</v>
      </c>
      <c r="B3973" t="str">
        <f>T("1922 REGULUS AVE")</f>
        <v>1922 REGULUS AVE</v>
      </c>
      <c r="C3973" t="str">
        <f t="shared" si="1558"/>
        <v/>
      </c>
      <c r="D3973" t="str">
        <f>T("VIRGINIA BCH")</f>
        <v>VIRGINIA BCH</v>
      </c>
      <c r="E3973" t="str">
        <f t="shared" si="1554"/>
        <v>VA</v>
      </c>
      <c r="F3973" t="str">
        <f>T("234612002")</f>
        <v>234612002</v>
      </c>
      <c r="G3973" t="str">
        <f>T("CDSA DAMNECK")</f>
        <v>CDSA DAMNECK</v>
      </c>
      <c r="H3973" t="str">
        <f>T("1922 REGULUS AVE")</f>
        <v>1922 REGULUS AVE</v>
      </c>
      <c r="I3973" t="str">
        <f>T("VIRGINIA BEACH")</f>
        <v>VIRGINIA BEACH</v>
      </c>
      <c r="J3973" t="str">
        <f t="shared" si="1556"/>
        <v>VA</v>
      </c>
      <c r="K3973" t="str">
        <f>T("7574926100")</f>
        <v>7574926100</v>
      </c>
      <c r="L3973" t="str">
        <f>T("7574926519")</f>
        <v>7574926519</v>
      </c>
    </row>
    <row r="3974" spans="1:12" x14ac:dyDescent="0.35">
      <c r="A3974" t="str">
        <f t="shared" si="1552"/>
        <v>NSWC DAHLGREN</v>
      </c>
      <c r="B3974" t="str">
        <f>T("5443 BRONSON RD STE 110")</f>
        <v>5443 BRONSON RD STE 110</v>
      </c>
      <c r="C3974" t="str">
        <f t="shared" si="1558"/>
        <v/>
      </c>
      <c r="D3974" t="str">
        <f t="shared" ref="D3974:D3983" si="1560">T("DAHLGREN")</f>
        <v>DAHLGREN</v>
      </c>
      <c r="E3974" t="str">
        <f t="shared" si="1554"/>
        <v>VA</v>
      </c>
      <c r="F3974" t="str">
        <f>T("224485100")</f>
        <v>224485100</v>
      </c>
      <c r="G3974" t="str">
        <f>T("5443 BRONSON RD")</f>
        <v>5443 BRONSON RD</v>
      </c>
      <c r="H3974" t="str">
        <f>T("STE 110")</f>
        <v>STE 110</v>
      </c>
      <c r="I3974" t="str">
        <f>T("DAHLGREN")</f>
        <v>DAHLGREN</v>
      </c>
      <c r="J3974" t="str">
        <f t="shared" si="1556"/>
        <v>VA</v>
      </c>
      <c r="K3974" t="str">
        <f>T("000000000000000000")</f>
        <v>000000000000000000</v>
      </c>
      <c r="L3974" t="str">
        <f>T("5402840817")</f>
        <v>5402840817</v>
      </c>
    </row>
    <row r="3975" spans="1:12" x14ac:dyDescent="0.35">
      <c r="A3975" t="str">
        <f t="shared" si="1552"/>
        <v>NSWC DAHLGREN</v>
      </c>
      <c r="B3975" t="str">
        <f>T("5443 BRONSON RD STE 110")</f>
        <v>5443 BRONSON RD STE 110</v>
      </c>
      <c r="C3975" t="str">
        <f t="shared" si="1558"/>
        <v/>
      </c>
      <c r="D3975" t="str">
        <f t="shared" si="1560"/>
        <v>DAHLGREN</v>
      </c>
      <c r="E3975" t="str">
        <f t="shared" si="1554"/>
        <v>VA</v>
      </c>
      <c r="F3975" t="str">
        <f>T("224485100")</f>
        <v>224485100</v>
      </c>
      <c r="G3975" t="str">
        <f>T("5443 BRONSON RD STE 110")</f>
        <v>5443 BRONSON RD STE 110</v>
      </c>
      <c r="H3975" t="str">
        <f>T("")</f>
        <v/>
      </c>
      <c r="I3975" t="str">
        <f>T("DAHLGREN")</f>
        <v>DAHLGREN</v>
      </c>
      <c r="J3975" t="str">
        <f t="shared" si="1556"/>
        <v>VA</v>
      </c>
      <c r="K3975" t="str">
        <f>T("5406532369")</f>
        <v>5406532369</v>
      </c>
      <c r="L3975" t="str">
        <f>T("5406533290")</f>
        <v>5406533290</v>
      </c>
    </row>
    <row r="3976" spans="1:12" x14ac:dyDescent="0.35">
      <c r="A3976" t="str">
        <f t="shared" si="1552"/>
        <v>NSWC DAHLGREN</v>
      </c>
      <c r="B3976" t="str">
        <f>T("5443 BRONSON RD STE 110")</f>
        <v>5443 BRONSON RD STE 110</v>
      </c>
      <c r="C3976" t="str">
        <f t="shared" si="1558"/>
        <v/>
      </c>
      <c r="D3976" t="str">
        <f t="shared" si="1560"/>
        <v>DAHLGREN</v>
      </c>
      <c r="E3976" t="str">
        <f t="shared" si="1554"/>
        <v>VA</v>
      </c>
      <c r="F3976" t="str">
        <f>T("224485100")</f>
        <v>224485100</v>
      </c>
      <c r="G3976" t="str">
        <f>T("5443 BRONSON ROAD SUITE 110")</f>
        <v>5443 BRONSON ROAD SUITE 110</v>
      </c>
      <c r="H3976" t="str">
        <f>T("BUILDING 1200 FLOOR 1 ROOM C114")</f>
        <v>BUILDING 1200 FLOOR 1 ROOM C114</v>
      </c>
      <c r="I3976" t="str">
        <f>T("DAHLGREN")</f>
        <v>DAHLGREN</v>
      </c>
      <c r="J3976" t="str">
        <f t="shared" si="1556"/>
        <v>VA</v>
      </c>
      <c r="K3976" t="str">
        <f>T("5406535676")</f>
        <v>5406535676</v>
      </c>
      <c r="L3976" t="str">
        <f>T("5406538775")</f>
        <v>5406538775</v>
      </c>
    </row>
    <row r="3977" spans="1:12" x14ac:dyDescent="0.35">
      <c r="A3977" t="str">
        <f t="shared" si="1552"/>
        <v>NSWC DAHLGREN</v>
      </c>
      <c r="B3977" t="str">
        <f t="shared" ref="B3977:B3983" si="1561">T("6078 NORC AVE")</f>
        <v>6078 NORC AVE</v>
      </c>
      <c r="C3977" t="str">
        <f t="shared" ref="C3977:C3983" si="1562">T("BLDG 278")</f>
        <v>BLDG 278</v>
      </c>
      <c r="D3977" t="str">
        <f t="shared" si="1560"/>
        <v>DAHLGREN</v>
      </c>
      <c r="E3977" t="str">
        <f t="shared" si="1554"/>
        <v>VA</v>
      </c>
      <c r="F3977" t="str">
        <f t="shared" ref="F3977:F3983" si="1563">T("224485131")</f>
        <v>224485131</v>
      </c>
      <c r="G3977" t="str">
        <f>T("1922 REGULUS AVE # F11")</f>
        <v>1922 REGULUS AVE # F11</v>
      </c>
      <c r="H3977" t="str">
        <f>T("")</f>
        <v/>
      </c>
      <c r="I3977" t="str">
        <f>T("VIRGINIA BEACH")</f>
        <v>VIRGINIA BEACH</v>
      </c>
      <c r="J3977" t="str">
        <f t="shared" si="1556"/>
        <v>VA</v>
      </c>
      <c r="K3977" t="str">
        <f>T("000000000000000000")</f>
        <v>000000000000000000</v>
      </c>
      <c r="L3977" t="str">
        <f>T("7574926231")</f>
        <v>7574926231</v>
      </c>
    </row>
    <row r="3978" spans="1:12" x14ac:dyDescent="0.35">
      <c r="A3978" t="str">
        <f t="shared" si="1552"/>
        <v>NSWC DAHLGREN</v>
      </c>
      <c r="B3978" t="str">
        <f t="shared" si="1561"/>
        <v>6078 NORC AVE</v>
      </c>
      <c r="C3978" t="str">
        <f t="shared" si="1562"/>
        <v>BLDG 278</v>
      </c>
      <c r="D3978" t="str">
        <f t="shared" si="1560"/>
        <v>DAHLGREN</v>
      </c>
      <c r="E3978" t="str">
        <f t="shared" si="1554"/>
        <v>VA</v>
      </c>
      <c r="F3978" t="str">
        <f t="shared" si="1563"/>
        <v>224485131</v>
      </c>
      <c r="G3978" t="str">
        <f>T("6078 NORC AVE")</f>
        <v>6078 NORC AVE</v>
      </c>
      <c r="H3978" t="str">
        <f>T("BLDG 278")</f>
        <v>BLDG 278</v>
      </c>
      <c r="I3978" t="str">
        <f>T("DAHLGREN")</f>
        <v>DAHLGREN</v>
      </c>
      <c r="J3978" t="str">
        <f t="shared" si="1556"/>
        <v>VA</v>
      </c>
      <c r="K3978" t="str">
        <f>T("5406533246")</f>
        <v>5406533246</v>
      </c>
      <c r="L3978" t="str">
        <f>T("5406534080")</f>
        <v>5406534080</v>
      </c>
    </row>
    <row r="3979" spans="1:12" x14ac:dyDescent="0.35">
      <c r="A3979" t="str">
        <f t="shared" si="1552"/>
        <v>NSWC DAHLGREN</v>
      </c>
      <c r="B3979" t="str">
        <f t="shared" si="1561"/>
        <v>6078 NORC AVE</v>
      </c>
      <c r="C3979" t="str">
        <f t="shared" si="1562"/>
        <v>BLDG 278</v>
      </c>
      <c r="D3979" t="str">
        <f t="shared" si="1560"/>
        <v>DAHLGREN</v>
      </c>
      <c r="E3979" t="str">
        <f t="shared" si="1554"/>
        <v>VA</v>
      </c>
      <c r="F3979" t="str">
        <f t="shared" si="1563"/>
        <v>224485131</v>
      </c>
      <c r="G3979" t="str">
        <f>T("6078 NORC AVE STE 309")</f>
        <v>6078 NORC AVE STE 309</v>
      </c>
      <c r="H3979" t="str">
        <f>T("BLDG 278 RM 108")</f>
        <v>BLDG 278 RM 108</v>
      </c>
      <c r="I3979" t="str">
        <f>T("DAHLGREN")</f>
        <v>DAHLGREN</v>
      </c>
      <c r="J3979" t="str">
        <f t="shared" si="1556"/>
        <v>VA</v>
      </c>
      <c r="K3979" t="str">
        <f>T("000000000000000000")</f>
        <v>000000000000000000</v>
      </c>
      <c r="L3979" t="str">
        <f>T("5406530962")</f>
        <v>5406530962</v>
      </c>
    </row>
    <row r="3980" spans="1:12" x14ac:dyDescent="0.35">
      <c r="A3980" t="str">
        <f t="shared" si="1552"/>
        <v>NSWC DAHLGREN</v>
      </c>
      <c r="B3980" t="str">
        <f t="shared" si="1561"/>
        <v>6078 NORC AVE</v>
      </c>
      <c r="C3980" t="str">
        <f t="shared" si="1562"/>
        <v>BLDG 278</v>
      </c>
      <c r="D3980" t="str">
        <f t="shared" si="1560"/>
        <v>DAHLGREN</v>
      </c>
      <c r="E3980" t="str">
        <f t="shared" si="1554"/>
        <v>VA</v>
      </c>
      <c r="F3980" t="str">
        <f t="shared" si="1563"/>
        <v>224485131</v>
      </c>
      <c r="G3980" t="str">
        <f>T("NSWC DAHLGREN DIVISION")</f>
        <v>NSWC DAHLGREN DIVISION</v>
      </c>
      <c r="H3980" t="str">
        <f>T("6078 NORC AVE BLDG 278")</f>
        <v>6078 NORC AVE BLDG 278</v>
      </c>
      <c r="I3980" t="str">
        <f>T("DAHLGREN")</f>
        <v>DAHLGREN</v>
      </c>
      <c r="J3980" t="str">
        <f t="shared" si="1556"/>
        <v>VA</v>
      </c>
      <c r="K3980" t="str">
        <f>T("5406538824")</f>
        <v>5406538824</v>
      </c>
      <c r="L3980" t="str">
        <f>T("5406539001")</f>
        <v>5406539001</v>
      </c>
    </row>
    <row r="3981" spans="1:12" x14ac:dyDescent="0.35">
      <c r="A3981" t="str">
        <f t="shared" si="1552"/>
        <v>NSWC DAHLGREN</v>
      </c>
      <c r="B3981" t="str">
        <f t="shared" si="1561"/>
        <v>6078 NORC AVE</v>
      </c>
      <c r="C3981" t="str">
        <f t="shared" si="1562"/>
        <v>BLDG 278</v>
      </c>
      <c r="D3981" t="str">
        <f t="shared" si="1560"/>
        <v>DAHLGREN</v>
      </c>
      <c r="E3981" t="str">
        <f t="shared" si="1554"/>
        <v>VA</v>
      </c>
      <c r="F3981" t="str">
        <f t="shared" si="1563"/>
        <v>224485131</v>
      </c>
      <c r="G3981" t="str">
        <f>T("NSWC DAHLGREN DIVISION")</f>
        <v>NSWC DAHLGREN DIVISION</v>
      </c>
      <c r="H3981" t="str">
        <f>T("6078 NORC AVE BLDG 278")</f>
        <v>6078 NORC AVE BLDG 278</v>
      </c>
      <c r="I3981" t="str">
        <f>T("DAHLGREN")</f>
        <v>DAHLGREN</v>
      </c>
      <c r="J3981" t="str">
        <f t="shared" si="1556"/>
        <v>VA</v>
      </c>
      <c r="K3981" t="str">
        <f>T("5406538824")</f>
        <v>5406538824</v>
      </c>
      <c r="L3981" t="str">
        <f>T("5406539002")</f>
        <v>5406539002</v>
      </c>
    </row>
    <row r="3982" spans="1:12" x14ac:dyDescent="0.35">
      <c r="A3982" t="str">
        <f t="shared" si="1552"/>
        <v>NSWC DAHLGREN</v>
      </c>
      <c r="B3982" t="str">
        <f t="shared" si="1561"/>
        <v>6078 NORC AVE</v>
      </c>
      <c r="C3982" t="str">
        <f t="shared" si="1562"/>
        <v>BLDG 278</v>
      </c>
      <c r="D3982" t="str">
        <f t="shared" si="1560"/>
        <v>DAHLGREN</v>
      </c>
      <c r="E3982" t="str">
        <f t="shared" si="1554"/>
        <v>VA</v>
      </c>
      <c r="F3982" t="str">
        <f t="shared" si="1563"/>
        <v>224485131</v>
      </c>
      <c r="G3982" t="str">
        <f>T("NSWC DAHLGREN DIVISION 1071")</f>
        <v>NSWC DAHLGREN DIVISION 1071</v>
      </c>
      <c r="H3982" t="str">
        <f>T("6078 NORC AVE BLDG 278 RM 108")</f>
        <v>6078 NORC AVE BLDG 278 RM 108</v>
      </c>
      <c r="I3982" t="str">
        <f>T("DAHLGREN")</f>
        <v>DAHLGREN</v>
      </c>
      <c r="J3982" t="str">
        <f t="shared" si="1556"/>
        <v>VA</v>
      </c>
      <c r="K3982" t="str">
        <f>T("000000000000000000")</f>
        <v>000000000000000000</v>
      </c>
      <c r="L3982" t="str">
        <f>T("5406535581")</f>
        <v>5406535581</v>
      </c>
    </row>
    <row r="3983" spans="1:12" x14ac:dyDescent="0.35">
      <c r="A3983" t="str">
        <f t="shared" si="1552"/>
        <v>NSWC DAHLGREN</v>
      </c>
      <c r="B3983" t="str">
        <f t="shared" si="1561"/>
        <v>6078 NORC AVE</v>
      </c>
      <c r="C3983" t="str">
        <f t="shared" si="1562"/>
        <v>BLDG 278</v>
      </c>
      <c r="D3983" t="str">
        <f t="shared" si="1560"/>
        <v>DAHLGREN</v>
      </c>
      <c r="E3983" t="str">
        <f t="shared" si="1554"/>
        <v>VA</v>
      </c>
      <c r="F3983" t="str">
        <f t="shared" si="1563"/>
        <v>224485131</v>
      </c>
      <c r="G3983" t="str">
        <f>T("NSWC DAM NECK")</f>
        <v>NSWC DAM NECK</v>
      </c>
      <c r="H3983" t="str">
        <f>T("1922 REGULUS AVENUE BLDG S127")</f>
        <v>1922 REGULUS AVENUE BLDG S127</v>
      </c>
      <c r="I3983" t="str">
        <f>T("VIRGINIA BEACH")</f>
        <v>VIRGINIA BEACH</v>
      </c>
      <c r="J3983" t="str">
        <f t="shared" si="1556"/>
        <v>VA</v>
      </c>
      <c r="K3983" t="str">
        <f>T("7574927329")</f>
        <v>7574927329</v>
      </c>
      <c r="L3983" t="str">
        <f>T("7574924622")</f>
        <v>7574924622</v>
      </c>
    </row>
    <row r="3984" spans="1:12" x14ac:dyDescent="0.35">
      <c r="A3984" t="str">
        <f t="shared" si="1552"/>
        <v>NSWC DAHLGREN</v>
      </c>
      <c r="B3984" t="str">
        <f>T("CDSA DAM NECK")</f>
        <v>CDSA DAM NECK</v>
      </c>
      <c r="C3984" t="str">
        <f>T("1922 REGULUS AVE BLDG 127")</f>
        <v>1922 REGULUS AVE BLDG 127</v>
      </c>
      <c r="D3984" t="str">
        <f>T("VIRGINIA BEACH")</f>
        <v>VIRGINIA BEACH</v>
      </c>
      <c r="E3984" t="str">
        <f t="shared" si="1554"/>
        <v>VA</v>
      </c>
      <c r="F3984" t="str">
        <f>T("234612002")</f>
        <v>234612002</v>
      </c>
      <c r="G3984" t="str">
        <f>T("1922 REGULUS AVE")</f>
        <v>1922 REGULUS AVE</v>
      </c>
      <c r="H3984" t="str">
        <f>T("F32")</f>
        <v>F32</v>
      </c>
      <c r="I3984" t="str">
        <f>T("VIRGINIA BEACH")</f>
        <v>VIRGINIA BEACH</v>
      </c>
      <c r="J3984" t="str">
        <f t="shared" si="1556"/>
        <v>VA</v>
      </c>
      <c r="K3984" t="str">
        <f>T("000000000000000000")</f>
        <v>000000000000000000</v>
      </c>
      <c r="L3984" t="str">
        <f>T("7574926318")</f>
        <v>7574926318</v>
      </c>
    </row>
    <row r="3985" spans="1:12" x14ac:dyDescent="0.35">
      <c r="A3985" t="str">
        <f t="shared" si="1552"/>
        <v>NSWC DAHLGREN</v>
      </c>
      <c r="B3985" t="str">
        <f>T("CDSA DAM NECK")</f>
        <v>CDSA DAM NECK</v>
      </c>
      <c r="C3985" t="str">
        <f>T("1922 REGULUS AVE BLDG 127")</f>
        <v>1922 REGULUS AVE BLDG 127</v>
      </c>
      <c r="D3985" t="str">
        <f>T("VIRGINIA BEACH")</f>
        <v>VIRGINIA BEACH</v>
      </c>
      <c r="E3985" t="str">
        <f t="shared" si="1554"/>
        <v>VA</v>
      </c>
      <c r="F3985" t="str">
        <f>T("234612002")</f>
        <v>234612002</v>
      </c>
      <c r="G3985" t="str">
        <f>T("CDSA DAM NECK")</f>
        <v>CDSA DAM NECK</v>
      </c>
      <c r="H3985" t="str">
        <f>T("1922 REGULUS AVE BLDG 127")</f>
        <v>1922 REGULUS AVE BLDG 127</v>
      </c>
      <c r="I3985" t="str">
        <f>T("VIRGINIA BEACH")</f>
        <v>VIRGINIA BEACH</v>
      </c>
      <c r="J3985" t="str">
        <f t="shared" si="1556"/>
        <v>VA</v>
      </c>
      <c r="K3985" t="str">
        <f>T("000000000000000000")</f>
        <v>000000000000000000</v>
      </c>
      <c r="L3985" t="str">
        <f>T("7574927261")</f>
        <v>7574927261</v>
      </c>
    </row>
    <row r="3986" spans="1:12" x14ac:dyDescent="0.35">
      <c r="A3986" t="str">
        <f t="shared" si="1552"/>
        <v>NSWC DAHLGREN</v>
      </c>
      <c r="B3986" t="str">
        <f>T("CDSA DAM NECK")</f>
        <v>CDSA DAM NECK</v>
      </c>
      <c r="C3986" t="str">
        <f>T("1922 REGULUS AVE BLDG 127")</f>
        <v>1922 REGULUS AVE BLDG 127</v>
      </c>
      <c r="D3986" t="str">
        <f>T("VIRGINIA BEACH")</f>
        <v>VIRGINIA BEACH</v>
      </c>
      <c r="E3986" t="str">
        <f t="shared" si="1554"/>
        <v>VA</v>
      </c>
      <c r="F3986" t="str">
        <f>T("234612002")</f>
        <v>234612002</v>
      </c>
      <c r="G3986" t="str">
        <f>T("CDSA DAM NECK")</f>
        <v>CDSA DAM NECK</v>
      </c>
      <c r="H3986" t="str">
        <f>T("1922 REGULUS AVE BLDG 127")</f>
        <v>1922 REGULUS AVE BLDG 127</v>
      </c>
      <c r="I3986" t="str">
        <f>T("VIRGINIA BEACH")</f>
        <v>VIRGINIA BEACH</v>
      </c>
      <c r="J3986" t="str">
        <f t="shared" si="1556"/>
        <v>VA</v>
      </c>
      <c r="K3986" t="str">
        <f>T("7574928334")</f>
        <v>7574928334</v>
      </c>
      <c r="L3986" t="str">
        <f>T("7574928076")</f>
        <v>7574928076</v>
      </c>
    </row>
    <row r="3987" spans="1:12" x14ac:dyDescent="0.35">
      <c r="A3987" t="str">
        <f t="shared" si="1552"/>
        <v>NSWC DAHLGREN</v>
      </c>
      <c r="B3987" t="str">
        <f>T("CODE Z10")</f>
        <v>CODE Z10</v>
      </c>
      <c r="C3987" t="str">
        <f>T("18372 FRONTAGE RD STE 318")</f>
        <v>18372 FRONTAGE RD STE 318</v>
      </c>
      <c r="D3987" t="str">
        <f t="shared" ref="D3987:D3995" si="1564">T("DAHLGREN")</f>
        <v>DAHLGREN</v>
      </c>
      <c r="E3987" t="str">
        <f t="shared" si="1554"/>
        <v>VA</v>
      </c>
      <c r="F3987" t="str">
        <f>T("224485160")</f>
        <v>224485160</v>
      </c>
      <c r="G3987" t="str">
        <f>T("6078 NORC AVE STE 309")</f>
        <v>6078 NORC AVE STE 309</v>
      </c>
      <c r="H3987" t="str">
        <f>T("BLDG 278 RM 108")</f>
        <v>BLDG 278 RM 108</v>
      </c>
      <c r="I3987" t="str">
        <f t="shared" ref="I3987:I3992" si="1565">T("DAHLGREN")</f>
        <v>DAHLGREN</v>
      </c>
      <c r="J3987" t="str">
        <f t="shared" si="1556"/>
        <v>VA</v>
      </c>
      <c r="K3987" t="str">
        <f>T("000000000000000000")</f>
        <v>000000000000000000</v>
      </c>
      <c r="L3987" t="str">
        <f>T("5406530962")</f>
        <v>5406530962</v>
      </c>
    </row>
    <row r="3988" spans="1:12" x14ac:dyDescent="0.35">
      <c r="A3988" t="str">
        <f t="shared" si="1552"/>
        <v>NSWC DAHLGREN</v>
      </c>
      <c r="B3988" t="str">
        <f>T("CODE Z10")</f>
        <v>CODE Z10</v>
      </c>
      <c r="C3988" t="str">
        <f>T("18372 FRONTAGE RD STE 318")</f>
        <v>18372 FRONTAGE RD STE 318</v>
      </c>
      <c r="D3988" t="str">
        <f t="shared" si="1564"/>
        <v>DAHLGREN</v>
      </c>
      <c r="E3988" t="str">
        <f t="shared" si="1554"/>
        <v>VA</v>
      </c>
      <c r="F3988" t="str">
        <f>T("224485160")</f>
        <v>224485160</v>
      </c>
      <c r="G3988" t="str">
        <f>T("CODE Z10")</f>
        <v>CODE Z10</v>
      </c>
      <c r="H3988" t="str">
        <f>T("18372 FRONTAGE RD STE 318")</f>
        <v>18372 FRONTAGE RD STE 318</v>
      </c>
      <c r="I3988" t="str">
        <f t="shared" si="1565"/>
        <v>DAHLGREN</v>
      </c>
      <c r="J3988" t="str">
        <f t="shared" si="1556"/>
        <v>VA</v>
      </c>
      <c r="K3988" t="str">
        <f>T("5406537351")</f>
        <v>5406537351</v>
      </c>
      <c r="L3988" t="str">
        <f>T("5406530181")</f>
        <v>5406530181</v>
      </c>
    </row>
    <row r="3989" spans="1:12" x14ac:dyDescent="0.35">
      <c r="A3989" t="str">
        <f t="shared" si="1552"/>
        <v>NSWC DAHLGREN</v>
      </c>
      <c r="B3989" t="str">
        <f>T("CODE Z10")</f>
        <v>CODE Z10</v>
      </c>
      <c r="C3989" t="str">
        <f>T("18372 FRONTAGE RD STE 318")</f>
        <v>18372 FRONTAGE RD STE 318</v>
      </c>
      <c r="D3989" t="str">
        <f t="shared" si="1564"/>
        <v>DAHLGREN</v>
      </c>
      <c r="E3989" t="str">
        <f t="shared" si="1554"/>
        <v>VA</v>
      </c>
      <c r="F3989" t="str">
        <f>T("224485160")</f>
        <v>224485160</v>
      </c>
      <c r="G3989" t="str">
        <f>T("NSWC DAHLGREN DIVISION 1071")</f>
        <v>NSWC DAHLGREN DIVISION 1071</v>
      </c>
      <c r="H3989" t="str">
        <f>T("6078 NORC AVE, BLDG. 278, RM 108")</f>
        <v>6078 NORC AVE, BLDG. 278, RM 108</v>
      </c>
      <c r="I3989" t="str">
        <f t="shared" si="1565"/>
        <v>DAHLGREN</v>
      </c>
      <c r="J3989" t="str">
        <f t="shared" si="1556"/>
        <v>VA</v>
      </c>
      <c r="K3989" t="str">
        <f>T("000000000000000000")</f>
        <v>000000000000000000</v>
      </c>
      <c r="L3989" t="str">
        <f>T("5406535581")</f>
        <v>5406535581</v>
      </c>
    </row>
    <row r="3990" spans="1:12" x14ac:dyDescent="0.35">
      <c r="A3990" t="str">
        <f t="shared" si="1552"/>
        <v>NSWC DAHLGREN</v>
      </c>
      <c r="B3990" t="str">
        <f>T("CODE Z10")</f>
        <v>CODE Z10</v>
      </c>
      <c r="C3990" t="str">
        <f>T("18372 FRONTAGE RD STE 318")</f>
        <v>18372 FRONTAGE RD STE 318</v>
      </c>
      <c r="D3990" t="str">
        <f t="shared" si="1564"/>
        <v>DAHLGREN</v>
      </c>
      <c r="E3990" t="str">
        <f t="shared" si="1554"/>
        <v>VA</v>
      </c>
      <c r="F3990" t="str">
        <f>T("224485160")</f>
        <v>224485160</v>
      </c>
      <c r="G3990" t="str">
        <f>T("NSWC DD Z03")</f>
        <v>NSWC DD Z03</v>
      </c>
      <c r="H3990" t="str">
        <f>T("18313 FRONTAGE RD SUITE 317")</f>
        <v>18313 FRONTAGE RD SUITE 317</v>
      </c>
      <c r="I3990" t="str">
        <f t="shared" si="1565"/>
        <v>DAHLGREN</v>
      </c>
      <c r="J3990" t="str">
        <f t="shared" si="1556"/>
        <v>VA</v>
      </c>
      <c r="K3990" t="str">
        <f>T("5406530492")</f>
        <v>5406530492</v>
      </c>
      <c r="L3990" t="str">
        <f>T("5406535653")</f>
        <v>5406535653</v>
      </c>
    </row>
    <row r="3991" spans="1:12" x14ac:dyDescent="0.35">
      <c r="A3991" t="str">
        <f t="shared" ref="A3991:A4026" si="1566">T("NSWC DAHLGREN")</f>
        <v>NSWC DAHLGREN</v>
      </c>
      <c r="B3991" t="str">
        <f>T("HUMAN RESOURCES DIV")</f>
        <v>HUMAN RESOURCES DIV</v>
      </c>
      <c r="C3991" t="str">
        <f>T("17632 DAHLGREN RD STE 200")</f>
        <v>17632 DAHLGREN RD STE 200</v>
      </c>
      <c r="D3991" t="str">
        <f t="shared" si="1564"/>
        <v>DAHLGREN</v>
      </c>
      <c r="E3991" t="str">
        <f t="shared" si="1554"/>
        <v>VA</v>
      </c>
      <c r="F3991" t="str">
        <f>T("224485154")</f>
        <v>224485154</v>
      </c>
      <c r="G3991" t="str">
        <f>T("17632 DAHLGREN RD STE 200")</f>
        <v>17632 DAHLGREN RD STE 200</v>
      </c>
      <c r="H3991" t="str">
        <f>T("")</f>
        <v/>
      </c>
      <c r="I3991" t="str">
        <f t="shared" si="1565"/>
        <v>DAHLGREN</v>
      </c>
      <c r="J3991" t="str">
        <f t="shared" si="1556"/>
        <v>VA</v>
      </c>
      <c r="K3991" t="str">
        <f>T("5406534398")</f>
        <v>5406534398</v>
      </c>
      <c r="L3991" t="str">
        <f>T("5406538703")</f>
        <v>5406538703</v>
      </c>
    </row>
    <row r="3992" spans="1:12" x14ac:dyDescent="0.35">
      <c r="A3992" t="str">
        <f t="shared" si="1566"/>
        <v>NSWC DAHLGREN</v>
      </c>
      <c r="B3992" t="str">
        <f>T("HUMAN RESOURCES DIV")</f>
        <v>HUMAN RESOURCES DIV</v>
      </c>
      <c r="C3992" t="str">
        <f>T("17632 DAHLGREN RD STE 200")</f>
        <v>17632 DAHLGREN RD STE 200</v>
      </c>
      <c r="D3992" t="str">
        <f t="shared" si="1564"/>
        <v>DAHLGREN</v>
      </c>
      <c r="E3992" t="str">
        <f t="shared" si="1554"/>
        <v>VA</v>
      </c>
      <c r="F3992" t="str">
        <f>T("224485154")</f>
        <v>224485154</v>
      </c>
      <c r="G3992" t="str">
        <f>T("6302 WELSH ROAD SUITE 213")</f>
        <v>6302 WELSH ROAD SUITE 213</v>
      </c>
      <c r="H3992" t="str">
        <f>T("CODE 1016")</f>
        <v>CODE 1016</v>
      </c>
      <c r="I3992" t="str">
        <f t="shared" si="1565"/>
        <v>DAHLGREN</v>
      </c>
      <c r="J3992" t="str">
        <f t="shared" si="1556"/>
        <v>VA</v>
      </c>
      <c r="K3992" t="str">
        <f>T("5406535359")</f>
        <v>5406535359</v>
      </c>
      <c r="L3992" t="str">
        <f>T("5406538032")</f>
        <v>5406538032</v>
      </c>
    </row>
    <row r="3993" spans="1:12" x14ac:dyDescent="0.35">
      <c r="A3993" t="str">
        <f t="shared" si="1566"/>
        <v>NSWC DAHLGREN</v>
      </c>
      <c r="B3993" t="str">
        <f>T("HUMAN RESOURCES DIV")</f>
        <v>HUMAN RESOURCES DIV</v>
      </c>
      <c r="C3993" t="str">
        <f>T("17632 DAHLGREN RD STE 200")</f>
        <v>17632 DAHLGREN RD STE 200</v>
      </c>
      <c r="D3993" t="str">
        <f t="shared" si="1564"/>
        <v>DAHLGREN</v>
      </c>
      <c r="E3993" t="str">
        <f t="shared" si="1554"/>
        <v>VA</v>
      </c>
      <c r="F3993" t="str">
        <f>T("224485154")</f>
        <v>224485154</v>
      </c>
      <c r="G3993" t="str">
        <f>T("CDSA DAMNECK")</f>
        <v>CDSA DAMNECK</v>
      </c>
      <c r="H3993" t="str">
        <f>T("1922 REGULUS AVE BLDG 127S")</f>
        <v>1922 REGULUS AVE BLDG 127S</v>
      </c>
      <c r="I3993" t="str">
        <f>T("VIRGINIA BEACH")</f>
        <v>VIRGINIA BEACH</v>
      </c>
      <c r="J3993" t="str">
        <f t="shared" si="1556"/>
        <v>VA</v>
      </c>
      <c r="K3993" t="str">
        <f>T("000000000000000000")</f>
        <v>000000000000000000</v>
      </c>
      <c r="L3993" t="str">
        <f>T("7574926596")</f>
        <v>7574926596</v>
      </c>
    </row>
    <row r="3994" spans="1:12" x14ac:dyDescent="0.35">
      <c r="A3994" t="str">
        <f t="shared" si="1566"/>
        <v>NSWC DAHLGREN</v>
      </c>
      <c r="B3994" t="str">
        <f>T("HUMAN RESOURCES DIV")</f>
        <v>HUMAN RESOURCES DIV</v>
      </c>
      <c r="C3994" t="str">
        <f>T("17632 DAHLGREN RD STE 200")</f>
        <v>17632 DAHLGREN RD STE 200</v>
      </c>
      <c r="D3994" t="str">
        <f t="shared" si="1564"/>
        <v>DAHLGREN</v>
      </c>
      <c r="E3994" t="str">
        <f t="shared" si="1554"/>
        <v>VA</v>
      </c>
      <c r="F3994" t="str">
        <f>T("224485154")</f>
        <v>224485154</v>
      </c>
      <c r="G3994" t="str">
        <f>T("CODE 1016")</f>
        <v>CODE 1016</v>
      </c>
      <c r="H3994" t="str">
        <f>T("6302 WELSH ROAD SUITE 213")</f>
        <v>6302 WELSH ROAD SUITE 213</v>
      </c>
      <c r="I3994" t="str">
        <f>T("DAHLGREN")</f>
        <v>DAHLGREN</v>
      </c>
      <c r="J3994" t="str">
        <f t="shared" si="1556"/>
        <v>VA</v>
      </c>
      <c r="K3994" t="str">
        <f>T("000000000000000000")</f>
        <v>000000000000000000</v>
      </c>
      <c r="L3994" t="str">
        <f>T("5406533225")</f>
        <v>5406533225</v>
      </c>
    </row>
    <row r="3995" spans="1:12" x14ac:dyDescent="0.35">
      <c r="A3995" t="str">
        <f t="shared" si="1566"/>
        <v>NSWC DAHLGREN</v>
      </c>
      <c r="B3995" t="str">
        <f>T("HUMAN RESOURCES DIV")</f>
        <v>HUMAN RESOURCES DIV</v>
      </c>
      <c r="C3995" t="str">
        <f>T("17632 DAHLGREN RD STE 200")</f>
        <v>17632 DAHLGREN RD STE 200</v>
      </c>
      <c r="D3995" t="str">
        <f t="shared" si="1564"/>
        <v>DAHLGREN</v>
      </c>
      <c r="E3995" t="str">
        <f t="shared" si="1554"/>
        <v>VA</v>
      </c>
      <c r="F3995" t="str">
        <f>T("224485154")</f>
        <v>224485154</v>
      </c>
      <c r="G3995" t="str">
        <f>T("HUMAN RESOURCES DIV")</f>
        <v>HUMAN RESOURCES DIV</v>
      </c>
      <c r="H3995" t="str">
        <f>T("17632 DAHLGREN RD STE 200")</f>
        <v>17632 DAHLGREN RD STE 200</v>
      </c>
      <c r="I3995" t="str">
        <f>T("DAHLGREN")</f>
        <v>DAHLGREN</v>
      </c>
      <c r="J3995" t="str">
        <f t="shared" si="1556"/>
        <v>VA</v>
      </c>
      <c r="K3995" t="str">
        <f>T("")</f>
        <v/>
      </c>
      <c r="L3995" t="str">
        <f>T("5406530522")</f>
        <v>5406530522</v>
      </c>
    </row>
    <row r="3996" spans="1:12" x14ac:dyDescent="0.35">
      <c r="A3996" t="str">
        <f t="shared" si="1566"/>
        <v>NSWC DAHLGREN</v>
      </c>
      <c r="B3996" t="str">
        <f>T("K08")</f>
        <v>K08</v>
      </c>
      <c r="C3996" t="str">
        <f>T("3450 MASSACHUSETTS AVE NW")</f>
        <v>3450 MASSACHUSETTS AVE NW</v>
      </c>
      <c r="D3996" t="str">
        <f>T("WASHINGTON")</f>
        <v>WASHINGTON</v>
      </c>
      <c r="E3996" t="str">
        <f>T("DC")</f>
        <v>DC</v>
      </c>
      <c r="F3996" t="str">
        <f>T("203920001")</f>
        <v>203920001</v>
      </c>
      <c r="G3996" t="str">
        <f>T("K08")</f>
        <v>K08</v>
      </c>
      <c r="H3996" t="str">
        <f>T("3450 MASSACHUSETTS AVE NW")</f>
        <v>3450 MASSACHUSETTS AVE NW</v>
      </c>
      <c r="I3996" t="str">
        <f>T("WASHINGTON")</f>
        <v>WASHINGTON</v>
      </c>
      <c r="J3996" t="str">
        <f>T("DC")</f>
        <v>DC</v>
      </c>
      <c r="K3996" t="str">
        <f>T("2027620821")</f>
        <v>2027620821</v>
      </c>
      <c r="L3996" t="str">
        <f>T("2027620817")</f>
        <v>2027620817</v>
      </c>
    </row>
    <row r="3997" spans="1:12" x14ac:dyDescent="0.35">
      <c r="A3997" t="str">
        <f t="shared" si="1566"/>
        <v>NSWC DAHLGREN</v>
      </c>
      <c r="B3997" t="str">
        <f t="shared" ref="B3997:B4002" si="1567">T("NSWCDD")</f>
        <v>NSWCDD</v>
      </c>
      <c r="C3997" t="str">
        <f t="shared" ref="C3997:C4002" si="1568">T("5378 3RD STREET SUITE 137")</f>
        <v>5378 3RD STREET SUITE 137</v>
      </c>
      <c r="D3997" t="str">
        <f t="shared" ref="D3997:D4026" si="1569">T("DAHLGREN")</f>
        <v>DAHLGREN</v>
      </c>
      <c r="E3997" t="str">
        <f t="shared" ref="E3997:E4026" si="1570">T("VA")</f>
        <v>VA</v>
      </c>
      <c r="F3997" t="str">
        <f t="shared" ref="F3997:F4002" si="1571">T("224485171")</f>
        <v>224485171</v>
      </c>
      <c r="G3997" t="str">
        <f>T("5378 THIRD STREET")</f>
        <v>5378 THIRD STREET</v>
      </c>
      <c r="H3997" t="str">
        <f>T("BLDG 1524")</f>
        <v>BLDG 1524</v>
      </c>
      <c r="I3997" t="str">
        <f t="shared" ref="I3997:I4026" si="1572">T("DAHLGREN")</f>
        <v>DAHLGREN</v>
      </c>
      <c r="J3997" t="str">
        <f t="shared" ref="J3997:J4026" si="1573">T("VA")</f>
        <v>VA</v>
      </c>
      <c r="K3997" t="str">
        <f>T("000000000000000000")</f>
        <v>000000000000000000</v>
      </c>
      <c r="L3997" t="str">
        <f>T("5406535684")</f>
        <v>5406535684</v>
      </c>
    </row>
    <row r="3998" spans="1:12" x14ac:dyDescent="0.35">
      <c r="A3998" t="str">
        <f t="shared" si="1566"/>
        <v>NSWC DAHLGREN</v>
      </c>
      <c r="B3998" t="str">
        <f t="shared" si="1567"/>
        <v>NSWCDD</v>
      </c>
      <c r="C3998" t="str">
        <f t="shared" si="1568"/>
        <v>5378 3RD STREET SUITE 137</v>
      </c>
      <c r="D3998" t="str">
        <f t="shared" si="1569"/>
        <v>DAHLGREN</v>
      </c>
      <c r="E3998" t="str">
        <f t="shared" si="1570"/>
        <v>VA</v>
      </c>
      <c r="F3998" t="str">
        <f t="shared" si="1571"/>
        <v>224485171</v>
      </c>
      <c r="G3998" t="str">
        <f>T("NSWC DAHLGREN DIVISION")</f>
        <v>NSWC DAHLGREN DIVISION</v>
      </c>
      <c r="H3998" t="str">
        <f>T("6226 TISDALE RD SUITE 231")</f>
        <v>6226 TISDALE RD SUITE 231</v>
      </c>
      <c r="I3998" t="str">
        <f t="shared" si="1572"/>
        <v>DAHLGREN</v>
      </c>
      <c r="J3998" t="str">
        <f t="shared" si="1573"/>
        <v>VA</v>
      </c>
      <c r="K3998" t="str">
        <f>T("5406532756")</f>
        <v>5406532756</v>
      </c>
      <c r="L3998" t="str">
        <f>T("5406538693")</f>
        <v>5406538693</v>
      </c>
    </row>
    <row r="3999" spans="1:12" x14ac:dyDescent="0.35">
      <c r="A3999" t="str">
        <f t="shared" si="1566"/>
        <v>NSWC DAHLGREN</v>
      </c>
      <c r="B3999" t="str">
        <f t="shared" si="1567"/>
        <v>NSWCDD</v>
      </c>
      <c r="C3999" t="str">
        <f t="shared" si="1568"/>
        <v>5378 3RD STREET SUITE 137</v>
      </c>
      <c r="D3999" t="str">
        <f t="shared" si="1569"/>
        <v>DAHLGREN</v>
      </c>
      <c r="E3999" t="str">
        <f t="shared" si="1570"/>
        <v>VA</v>
      </c>
      <c r="F3999" t="str">
        <f t="shared" si="1571"/>
        <v>224485171</v>
      </c>
      <c r="G3999" t="str">
        <f>T("NSWCDD")</f>
        <v>NSWCDD</v>
      </c>
      <c r="H3999" t="str">
        <f>T("5378 3RD STREET SUITE 137")</f>
        <v>5378 3RD STREET SUITE 137</v>
      </c>
      <c r="I3999" t="str">
        <f t="shared" si="1572"/>
        <v>DAHLGREN</v>
      </c>
      <c r="J3999" t="str">
        <f t="shared" si="1573"/>
        <v>VA</v>
      </c>
      <c r="K3999" t="str">
        <f>T("5406535682")</f>
        <v>5406535682</v>
      </c>
      <c r="L3999" t="str">
        <f>T("5406531398")</f>
        <v>5406531398</v>
      </c>
    </row>
    <row r="4000" spans="1:12" x14ac:dyDescent="0.35">
      <c r="A4000" t="str">
        <f t="shared" si="1566"/>
        <v>NSWC DAHLGREN</v>
      </c>
      <c r="B4000" t="str">
        <f t="shared" si="1567"/>
        <v>NSWCDD</v>
      </c>
      <c r="C4000" t="str">
        <f t="shared" si="1568"/>
        <v>5378 3RD STREET SUITE 137</v>
      </c>
      <c r="D4000" t="str">
        <f t="shared" si="1569"/>
        <v>DAHLGREN</v>
      </c>
      <c r="E4000" t="str">
        <f t="shared" si="1570"/>
        <v>VA</v>
      </c>
      <c r="F4000" t="str">
        <f t="shared" si="1571"/>
        <v>224485171</v>
      </c>
      <c r="G4000" t="str">
        <f>T("NSWCDD")</f>
        <v>NSWCDD</v>
      </c>
      <c r="H4000" t="str">
        <f>T("5378 THIRD STREET, SUITE 137")</f>
        <v>5378 THIRD STREET, SUITE 137</v>
      </c>
      <c r="I4000" t="str">
        <f t="shared" si="1572"/>
        <v>DAHLGREN</v>
      </c>
      <c r="J4000" t="str">
        <f t="shared" si="1573"/>
        <v>VA</v>
      </c>
      <c r="K4000" t="str">
        <f>T("5406535478")</f>
        <v>5406535478</v>
      </c>
      <c r="L4000" t="str">
        <f>T("5406530263")</f>
        <v>5406530263</v>
      </c>
    </row>
    <row r="4001" spans="1:12" x14ac:dyDescent="0.35">
      <c r="A4001" t="str">
        <f t="shared" si="1566"/>
        <v>NSWC DAHLGREN</v>
      </c>
      <c r="B4001" t="str">
        <f t="shared" si="1567"/>
        <v>NSWCDD</v>
      </c>
      <c r="C4001" t="str">
        <f t="shared" si="1568"/>
        <v>5378 3RD STREET SUITE 137</v>
      </c>
      <c r="D4001" t="str">
        <f t="shared" si="1569"/>
        <v>DAHLGREN</v>
      </c>
      <c r="E4001" t="str">
        <f t="shared" si="1570"/>
        <v>VA</v>
      </c>
      <c r="F4001" t="str">
        <f t="shared" si="1571"/>
        <v>224485171</v>
      </c>
      <c r="G4001" t="str">
        <f>T("PROPERTY MANAGEMENT 00M1")</f>
        <v>PROPERTY MANAGEMENT 00M1</v>
      </c>
      <c r="H4001" t="str">
        <f>T("6226 TISDALE RD BLDG 121")</f>
        <v>6226 TISDALE RD BLDG 121</v>
      </c>
      <c r="I4001" t="str">
        <f t="shared" si="1572"/>
        <v>DAHLGREN</v>
      </c>
      <c r="J4001" t="str">
        <f t="shared" si="1573"/>
        <v>VA</v>
      </c>
      <c r="K4001" t="str">
        <f>T("000000000000000000")</f>
        <v>000000000000000000</v>
      </c>
      <c r="L4001" t="str">
        <f>T("5406530041")</f>
        <v>5406530041</v>
      </c>
    </row>
    <row r="4002" spans="1:12" x14ac:dyDescent="0.35">
      <c r="A4002" t="str">
        <f t="shared" si="1566"/>
        <v>NSWC DAHLGREN</v>
      </c>
      <c r="B4002" t="str">
        <f t="shared" si="1567"/>
        <v>NSWCDD</v>
      </c>
      <c r="C4002" t="str">
        <f t="shared" si="1568"/>
        <v>5378 3RD STREET SUITE 137</v>
      </c>
      <c r="D4002" t="str">
        <f t="shared" si="1569"/>
        <v>DAHLGREN</v>
      </c>
      <c r="E4002" t="str">
        <f t="shared" si="1570"/>
        <v>VA</v>
      </c>
      <c r="F4002" t="str">
        <f t="shared" si="1571"/>
        <v>224485171</v>
      </c>
      <c r="G4002" t="str">
        <f>T("PROPERTY MANAGEMENT 00M1")</f>
        <v>PROPERTY MANAGEMENT 00M1</v>
      </c>
      <c r="H4002" t="str">
        <f>T("6226 TISDALE ROAD SUITE 231 B 121")</f>
        <v>6226 TISDALE ROAD SUITE 231 B 121</v>
      </c>
      <c r="I4002" t="str">
        <f t="shared" si="1572"/>
        <v>DAHLGREN</v>
      </c>
      <c r="J4002" t="str">
        <f t="shared" si="1573"/>
        <v>VA</v>
      </c>
      <c r="K4002" t="str">
        <f>T("5406530492")</f>
        <v>5406530492</v>
      </c>
      <c r="L4002" t="str">
        <f>T("5406539660")</f>
        <v>5406539660</v>
      </c>
    </row>
    <row r="4003" spans="1:12" x14ac:dyDescent="0.35">
      <c r="A4003" t="str">
        <f t="shared" si="1566"/>
        <v>NSWC DAHLGREN</v>
      </c>
      <c r="B4003" t="str">
        <f>T("OPERATIONS DEPARTMENT")</f>
        <v>OPERATIONS DEPARTMENT</v>
      </c>
      <c r="C4003" t="str">
        <f>T("17632 DAHLGREN RD STE 202")</f>
        <v>17632 DAHLGREN RD STE 202</v>
      </c>
      <c r="D4003" t="str">
        <f t="shared" si="1569"/>
        <v>DAHLGREN</v>
      </c>
      <c r="E4003" t="str">
        <f t="shared" si="1570"/>
        <v>VA</v>
      </c>
      <c r="F4003" t="str">
        <f>T("224485154")</f>
        <v>224485154</v>
      </c>
      <c r="G4003" t="str">
        <f>T("NAVAL SURFACE WARFARE CENTER")</f>
        <v>NAVAL SURFACE WARFARE CENTER</v>
      </c>
      <c r="H4003" t="str">
        <f>T("6226 TISDALE DRIVE")</f>
        <v>6226 TISDALE DRIVE</v>
      </c>
      <c r="I4003" t="str">
        <f t="shared" si="1572"/>
        <v>DAHLGREN</v>
      </c>
      <c r="J4003" t="str">
        <f t="shared" si="1573"/>
        <v>VA</v>
      </c>
      <c r="K4003" t="str">
        <f>T("000000000000000000")</f>
        <v>000000000000000000</v>
      </c>
      <c r="L4003" t="str">
        <f>T("5406536042")</f>
        <v>5406536042</v>
      </c>
    </row>
    <row r="4004" spans="1:12" x14ac:dyDescent="0.35">
      <c r="A4004" t="str">
        <f t="shared" si="1566"/>
        <v>NSWC DAHLGREN</v>
      </c>
      <c r="B4004" t="str">
        <f>T("OPERATIONS DEPARTMENT")</f>
        <v>OPERATIONS DEPARTMENT</v>
      </c>
      <c r="C4004" t="str">
        <f>T("17632 DAHLGREN RD STE 202")</f>
        <v>17632 DAHLGREN RD STE 202</v>
      </c>
      <c r="D4004" t="str">
        <f t="shared" si="1569"/>
        <v>DAHLGREN</v>
      </c>
      <c r="E4004" t="str">
        <f t="shared" si="1570"/>
        <v>VA</v>
      </c>
      <c r="F4004" t="str">
        <f>T("224485154")</f>
        <v>224485154</v>
      </c>
      <c r="G4004" t="str">
        <f>T("OPERATIONS DEPARTMENT")</f>
        <v>OPERATIONS DEPARTMENT</v>
      </c>
      <c r="H4004" t="str">
        <f>T("17632 DAHLGREN RD STE 202")</f>
        <v>17632 DAHLGREN RD STE 202</v>
      </c>
      <c r="I4004" t="str">
        <f t="shared" si="1572"/>
        <v>DAHLGREN</v>
      </c>
      <c r="J4004" t="str">
        <f t="shared" si="1573"/>
        <v>VA</v>
      </c>
      <c r="K4004" t="str">
        <f>T("000000000000000000")</f>
        <v>000000000000000000</v>
      </c>
      <c r="L4004" t="str">
        <f>T("5406537745")</f>
        <v>5406537745</v>
      </c>
    </row>
    <row r="4005" spans="1:12" x14ac:dyDescent="0.35">
      <c r="A4005" t="str">
        <f t="shared" si="1566"/>
        <v>NSWC DAHLGREN</v>
      </c>
      <c r="B4005" t="str">
        <f>T("OPERATIONS DEPARTMENT")</f>
        <v>OPERATIONS DEPARTMENT</v>
      </c>
      <c r="C4005" t="str">
        <f>T("17632 DAHLGREN RD SUITE 202")</f>
        <v>17632 DAHLGREN RD SUITE 202</v>
      </c>
      <c r="D4005" t="str">
        <f t="shared" si="1569"/>
        <v>DAHLGREN</v>
      </c>
      <c r="E4005" t="str">
        <f t="shared" si="1570"/>
        <v>VA</v>
      </c>
      <c r="F4005" t="str">
        <f>T("224485154")</f>
        <v>224485154</v>
      </c>
      <c r="G4005" t="str">
        <f>T("NAVAL SURFACE WARFARE CENTER")</f>
        <v>NAVAL SURFACE WARFARE CENTER</v>
      </c>
      <c r="H4005" t="str">
        <f>T("6226 TISDALE DRIVE")</f>
        <v>6226 TISDALE DRIVE</v>
      </c>
      <c r="I4005" t="str">
        <f t="shared" si="1572"/>
        <v>DAHLGREN</v>
      </c>
      <c r="J4005" t="str">
        <f t="shared" si="1573"/>
        <v>VA</v>
      </c>
      <c r="K4005" t="str">
        <f>T("000000000000000000")</f>
        <v>000000000000000000</v>
      </c>
      <c r="L4005" t="str">
        <f>T("5406537091")</f>
        <v>5406537091</v>
      </c>
    </row>
    <row r="4006" spans="1:12" x14ac:dyDescent="0.35">
      <c r="A4006" t="str">
        <f t="shared" si="1566"/>
        <v>NSWC DAHLGREN</v>
      </c>
      <c r="B4006" t="str">
        <f>T("OPERATIONS DEPARTMENT")</f>
        <v>OPERATIONS DEPARTMENT</v>
      </c>
      <c r="C4006" t="str">
        <f>T("17632 DAHLGREN RD SUITE 202")</f>
        <v>17632 DAHLGREN RD SUITE 202</v>
      </c>
      <c r="D4006" t="str">
        <f t="shared" si="1569"/>
        <v>DAHLGREN</v>
      </c>
      <c r="E4006" t="str">
        <f t="shared" si="1570"/>
        <v>VA</v>
      </c>
      <c r="F4006" t="str">
        <f>T("224485154")</f>
        <v>224485154</v>
      </c>
      <c r="G4006" t="str">
        <f>T("OPERATIONS DEPARTMENT")</f>
        <v>OPERATIONS DEPARTMENT</v>
      </c>
      <c r="H4006" t="str">
        <f>T("17632 DAHLGREN RD SUITE 202")</f>
        <v>17632 DAHLGREN RD SUITE 202</v>
      </c>
      <c r="I4006" t="str">
        <f t="shared" si="1572"/>
        <v>DAHLGREN</v>
      </c>
      <c r="J4006" t="str">
        <f t="shared" si="1573"/>
        <v>VA</v>
      </c>
      <c r="K4006" t="str">
        <f>T("")</f>
        <v/>
      </c>
      <c r="L4006" t="str">
        <f>T("5406537051")</f>
        <v>5406537051</v>
      </c>
    </row>
    <row r="4007" spans="1:12" x14ac:dyDescent="0.35">
      <c r="A4007" t="str">
        <f t="shared" si="1566"/>
        <v>NSWC DAHLGREN</v>
      </c>
      <c r="B4007" t="str">
        <f t="shared" ref="B4007:B4013" si="1574">T("PROPERTY MANAGEMENT 00M1")</f>
        <v>PROPERTY MANAGEMENT 00M1</v>
      </c>
      <c r="C4007" t="str">
        <f t="shared" ref="C4007:C4013" si="1575">T("6226 TISDALE ROAD SUITE 231")</f>
        <v>6226 TISDALE ROAD SUITE 231</v>
      </c>
      <c r="D4007" t="str">
        <f t="shared" si="1569"/>
        <v>DAHLGREN</v>
      </c>
      <c r="E4007" t="str">
        <f t="shared" si="1570"/>
        <v>VA</v>
      </c>
      <c r="F4007" t="str">
        <f t="shared" ref="F4007:F4013" si="1576">T("224485114")</f>
        <v>224485114</v>
      </c>
      <c r="G4007" t="str">
        <f>T("6226 TISDALE ROAD")</f>
        <v>6226 TISDALE ROAD</v>
      </c>
      <c r="H4007" t="str">
        <f>T("BLDG 121")</f>
        <v>BLDG 121</v>
      </c>
      <c r="I4007" t="str">
        <f t="shared" si="1572"/>
        <v>DAHLGREN</v>
      </c>
      <c r="J4007" t="str">
        <f t="shared" si="1573"/>
        <v>VA</v>
      </c>
      <c r="K4007" t="str">
        <f>T("000000000000000000")</f>
        <v>000000000000000000</v>
      </c>
      <c r="L4007" t="str">
        <f>T("5406538489")</f>
        <v>5406538489</v>
      </c>
    </row>
    <row r="4008" spans="1:12" x14ac:dyDescent="0.35">
      <c r="A4008" t="str">
        <f t="shared" si="1566"/>
        <v>NSWC DAHLGREN</v>
      </c>
      <c r="B4008" t="str">
        <f t="shared" si="1574"/>
        <v>PROPERTY MANAGEMENT 00M1</v>
      </c>
      <c r="C4008" t="str">
        <f t="shared" si="1575"/>
        <v>6226 TISDALE ROAD SUITE 231</v>
      </c>
      <c r="D4008" t="str">
        <f t="shared" si="1569"/>
        <v>DAHLGREN</v>
      </c>
      <c r="E4008" t="str">
        <f t="shared" si="1570"/>
        <v>VA</v>
      </c>
      <c r="F4008" t="str">
        <f t="shared" si="1576"/>
        <v>224485114</v>
      </c>
      <c r="G4008" t="str">
        <f>T("NAVAL SURFACE WARFARE CENTER")</f>
        <v>NAVAL SURFACE WARFARE CENTER</v>
      </c>
      <c r="H4008" t="str">
        <f>T("6226 TISDALE DRIVE")</f>
        <v>6226 TISDALE DRIVE</v>
      </c>
      <c r="I4008" t="str">
        <f t="shared" si="1572"/>
        <v>DAHLGREN</v>
      </c>
      <c r="J4008" t="str">
        <f t="shared" si="1573"/>
        <v>VA</v>
      </c>
      <c r="K4008" t="str">
        <f>T("000000000000000000")</f>
        <v>000000000000000000</v>
      </c>
      <c r="L4008" t="str">
        <f>T("5406536042")</f>
        <v>5406536042</v>
      </c>
    </row>
    <row r="4009" spans="1:12" x14ac:dyDescent="0.35">
      <c r="A4009" t="str">
        <f t="shared" si="1566"/>
        <v>NSWC DAHLGREN</v>
      </c>
      <c r="B4009" t="str">
        <f t="shared" si="1574"/>
        <v>PROPERTY MANAGEMENT 00M1</v>
      </c>
      <c r="C4009" t="str">
        <f t="shared" si="1575"/>
        <v>6226 TISDALE ROAD SUITE 231</v>
      </c>
      <c r="D4009" t="str">
        <f t="shared" si="1569"/>
        <v>DAHLGREN</v>
      </c>
      <c r="E4009" t="str">
        <f t="shared" si="1570"/>
        <v>VA</v>
      </c>
      <c r="F4009" t="str">
        <f t="shared" si="1576"/>
        <v>224485114</v>
      </c>
      <c r="G4009" t="str">
        <f>T("NAVAL SURFACE WARFARE CENTER")</f>
        <v>NAVAL SURFACE WARFARE CENTER</v>
      </c>
      <c r="H4009" t="str">
        <f>T("6226 TISDALE DRIVE")</f>
        <v>6226 TISDALE DRIVE</v>
      </c>
      <c r="I4009" t="str">
        <f t="shared" si="1572"/>
        <v>DAHLGREN</v>
      </c>
      <c r="J4009" t="str">
        <f t="shared" si="1573"/>
        <v>VA</v>
      </c>
      <c r="K4009" t="str">
        <f>T("000000000000000000")</f>
        <v>000000000000000000</v>
      </c>
      <c r="L4009" t="str">
        <f>T("5406537091")</f>
        <v>5406537091</v>
      </c>
    </row>
    <row r="4010" spans="1:12" x14ac:dyDescent="0.35">
      <c r="A4010" t="str">
        <f t="shared" si="1566"/>
        <v>NSWC DAHLGREN</v>
      </c>
      <c r="B4010" t="str">
        <f t="shared" si="1574"/>
        <v>PROPERTY MANAGEMENT 00M1</v>
      </c>
      <c r="C4010" t="str">
        <f t="shared" si="1575"/>
        <v>6226 TISDALE ROAD SUITE 231</v>
      </c>
      <c r="D4010" t="str">
        <f t="shared" si="1569"/>
        <v>DAHLGREN</v>
      </c>
      <c r="E4010" t="str">
        <f t="shared" si="1570"/>
        <v>VA</v>
      </c>
      <c r="F4010" t="str">
        <f t="shared" si="1576"/>
        <v>224485114</v>
      </c>
      <c r="G4010" t="str">
        <f>T("NSWC DAHLGREN DIVISION")</f>
        <v>NSWC DAHLGREN DIVISION</v>
      </c>
      <c r="H4010" t="str">
        <f>T("6226 TISDALE ROAD SUITE 231")</f>
        <v>6226 TISDALE ROAD SUITE 231</v>
      </c>
      <c r="I4010" t="str">
        <f t="shared" si="1572"/>
        <v>DAHLGREN</v>
      </c>
      <c r="J4010" t="str">
        <f t="shared" si="1573"/>
        <v>VA</v>
      </c>
      <c r="K4010" t="str">
        <f>T("5406532756")</f>
        <v>5406532756</v>
      </c>
      <c r="L4010" t="str">
        <f>T("5406531855")</f>
        <v>5406531855</v>
      </c>
    </row>
    <row r="4011" spans="1:12" x14ac:dyDescent="0.35">
      <c r="A4011" t="str">
        <f t="shared" si="1566"/>
        <v>NSWC DAHLGREN</v>
      </c>
      <c r="B4011" t="str">
        <f t="shared" si="1574"/>
        <v>PROPERTY MANAGEMENT 00M1</v>
      </c>
      <c r="C4011" t="str">
        <f t="shared" si="1575"/>
        <v>6226 TISDALE ROAD SUITE 231</v>
      </c>
      <c r="D4011" t="str">
        <f t="shared" si="1569"/>
        <v>DAHLGREN</v>
      </c>
      <c r="E4011" t="str">
        <f t="shared" si="1570"/>
        <v>VA</v>
      </c>
      <c r="F4011" t="str">
        <f t="shared" si="1576"/>
        <v>224485114</v>
      </c>
      <c r="G4011" t="str">
        <f>T("PROPERTY MANAGEMENT 00M1")</f>
        <v>PROPERTY MANAGEMENT 00M1</v>
      </c>
      <c r="H4011" t="str">
        <f>T("6226 TISDALE ROAD SUITE 231")</f>
        <v>6226 TISDALE ROAD SUITE 231</v>
      </c>
      <c r="I4011" t="str">
        <f t="shared" si="1572"/>
        <v>DAHLGREN</v>
      </c>
      <c r="J4011" t="str">
        <f t="shared" si="1573"/>
        <v>VA</v>
      </c>
      <c r="K4011" t="str">
        <f>T("")</f>
        <v/>
      </c>
      <c r="L4011" t="str">
        <f>T("5406532650")</f>
        <v>5406532650</v>
      </c>
    </row>
    <row r="4012" spans="1:12" x14ac:dyDescent="0.35">
      <c r="A4012" t="str">
        <f t="shared" si="1566"/>
        <v>NSWC DAHLGREN</v>
      </c>
      <c r="B4012" t="str">
        <f t="shared" si="1574"/>
        <v>PROPERTY MANAGEMENT 00M1</v>
      </c>
      <c r="C4012" t="str">
        <f t="shared" si="1575"/>
        <v>6226 TISDALE ROAD SUITE 231</v>
      </c>
      <c r="D4012" t="str">
        <f t="shared" si="1569"/>
        <v>DAHLGREN</v>
      </c>
      <c r="E4012" t="str">
        <f t="shared" si="1570"/>
        <v>VA</v>
      </c>
      <c r="F4012" t="str">
        <f t="shared" si="1576"/>
        <v>224485114</v>
      </c>
      <c r="G4012" t="str">
        <f>T("PROPERTY MANAGEMENT 00M1")</f>
        <v>PROPERTY MANAGEMENT 00M1</v>
      </c>
      <c r="H4012" t="str">
        <f>T("6226 TISDALE ROAD SUITE 231 B 121")</f>
        <v>6226 TISDALE ROAD SUITE 231 B 121</v>
      </c>
      <c r="I4012" t="str">
        <f t="shared" si="1572"/>
        <v>DAHLGREN</v>
      </c>
      <c r="J4012" t="str">
        <f t="shared" si="1573"/>
        <v>VA</v>
      </c>
      <c r="K4012" t="str">
        <f>T("000000000000000000")</f>
        <v>000000000000000000</v>
      </c>
      <c r="L4012" t="str">
        <f>T("5406530041")</f>
        <v>5406530041</v>
      </c>
    </row>
    <row r="4013" spans="1:12" x14ac:dyDescent="0.35">
      <c r="A4013" t="str">
        <f t="shared" si="1566"/>
        <v>NSWC DAHLGREN</v>
      </c>
      <c r="B4013" t="str">
        <f t="shared" si="1574"/>
        <v>PROPERTY MANAGEMENT 00M1</v>
      </c>
      <c r="C4013" t="str">
        <f t="shared" si="1575"/>
        <v>6226 TISDALE ROAD SUITE 231</v>
      </c>
      <c r="D4013" t="str">
        <f t="shared" si="1569"/>
        <v>DAHLGREN</v>
      </c>
      <c r="E4013" t="str">
        <f t="shared" si="1570"/>
        <v>VA</v>
      </c>
      <c r="F4013" t="str">
        <f t="shared" si="1576"/>
        <v>224485114</v>
      </c>
      <c r="G4013" t="str">
        <f>T("PROPERTY MANAGEMENT 00M1")</f>
        <v>PROPERTY MANAGEMENT 00M1</v>
      </c>
      <c r="H4013" t="str">
        <f>T("6226 TISDALE ROAD SUITE 231 B 121")</f>
        <v>6226 TISDALE ROAD SUITE 231 B 121</v>
      </c>
      <c r="I4013" t="str">
        <f t="shared" si="1572"/>
        <v>DAHLGREN</v>
      </c>
      <c r="J4013" t="str">
        <f t="shared" si="1573"/>
        <v>VA</v>
      </c>
      <c r="K4013" t="str">
        <f>T("5406530492")</f>
        <v>5406530492</v>
      </c>
      <c r="L4013" t="str">
        <f>T("5406539660")</f>
        <v>5406539660</v>
      </c>
    </row>
    <row r="4014" spans="1:12" x14ac:dyDescent="0.35">
      <c r="A4014" t="str">
        <f t="shared" si="1566"/>
        <v>NSWC DAHLGREN</v>
      </c>
      <c r="B4014" t="str">
        <f t="shared" ref="B4014:B4026" si="1577">T("PURCHASE CARD OFFICE")</f>
        <v>PURCHASE CARD OFFICE</v>
      </c>
      <c r="C4014" t="str">
        <f>T("6078 NORC AVE STE 309")</f>
        <v>6078 NORC AVE STE 309</v>
      </c>
      <c r="D4014" t="str">
        <f t="shared" si="1569"/>
        <v>DAHLGREN</v>
      </c>
      <c r="E4014" t="str">
        <f t="shared" si="1570"/>
        <v>VA</v>
      </c>
      <c r="F4014" t="str">
        <f t="shared" ref="F4014:F4026" si="1578">T("224485131")</f>
        <v>224485131</v>
      </c>
      <c r="G4014" t="str">
        <f>T("6078 NORC AVE")</f>
        <v>6078 NORC AVE</v>
      </c>
      <c r="H4014" t="str">
        <f>T("BLDG 278")</f>
        <v>BLDG 278</v>
      </c>
      <c r="I4014" t="str">
        <f t="shared" si="1572"/>
        <v>DAHLGREN</v>
      </c>
      <c r="J4014" t="str">
        <f t="shared" si="1573"/>
        <v>VA</v>
      </c>
      <c r="K4014" t="str">
        <f>T("000000000000000000")</f>
        <v>000000000000000000</v>
      </c>
      <c r="L4014" t="str">
        <f>T("5406538489")</f>
        <v>5406538489</v>
      </c>
    </row>
    <row r="4015" spans="1:12" x14ac:dyDescent="0.35">
      <c r="A4015" t="str">
        <f t="shared" si="1566"/>
        <v>NSWC DAHLGREN</v>
      </c>
      <c r="B4015" t="str">
        <f t="shared" si="1577"/>
        <v>PURCHASE CARD OFFICE</v>
      </c>
      <c r="C4015" t="str">
        <f>T("6078 NORC AVE STE 309")</f>
        <v>6078 NORC AVE STE 309</v>
      </c>
      <c r="D4015" t="str">
        <f t="shared" si="1569"/>
        <v>DAHLGREN</v>
      </c>
      <c r="E4015" t="str">
        <f t="shared" si="1570"/>
        <v>VA</v>
      </c>
      <c r="F4015" t="str">
        <f t="shared" si="1578"/>
        <v>224485131</v>
      </c>
      <c r="G4015" t="str">
        <f>T("6078 NORC AVE")</f>
        <v>6078 NORC AVE</v>
      </c>
      <c r="H4015" t="str">
        <f>T("BLDG 278")</f>
        <v>BLDG 278</v>
      </c>
      <c r="I4015" t="str">
        <f t="shared" si="1572"/>
        <v>DAHLGREN</v>
      </c>
      <c r="J4015" t="str">
        <f t="shared" si="1573"/>
        <v>VA</v>
      </c>
      <c r="K4015" t="str">
        <f>T("5406538824")</f>
        <v>5406538824</v>
      </c>
      <c r="L4015" t="str">
        <f>T("5406535609")</f>
        <v>5406535609</v>
      </c>
    </row>
    <row r="4016" spans="1:12" x14ac:dyDescent="0.35">
      <c r="A4016" t="str">
        <f t="shared" si="1566"/>
        <v>NSWC DAHLGREN</v>
      </c>
      <c r="B4016" t="str">
        <f t="shared" si="1577"/>
        <v>PURCHASE CARD OFFICE</v>
      </c>
      <c r="C4016" t="str">
        <f>T("6078 NORC AVE STE 309")</f>
        <v>6078 NORC AVE STE 309</v>
      </c>
      <c r="D4016" t="str">
        <f t="shared" si="1569"/>
        <v>DAHLGREN</v>
      </c>
      <c r="E4016" t="str">
        <f t="shared" si="1570"/>
        <v>VA</v>
      </c>
      <c r="F4016" t="str">
        <f t="shared" si="1578"/>
        <v>224485131</v>
      </c>
      <c r="G4016" t="str">
        <f>T("PURCHASE CARD OFFICE")</f>
        <v>PURCHASE CARD OFFICE</v>
      </c>
      <c r="H4016" t="str">
        <f>T("6078 NORC AVE STE 309")</f>
        <v>6078 NORC AVE STE 309</v>
      </c>
      <c r="I4016" t="str">
        <f t="shared" si="1572"/>
        <v>DAHLGREN</v>
      </c>
      <c r="J4016" t="str">
        <f t="shared" si="1573"/>
        <v>VA</v>
      </c>
      <c r="K4016" t="str">
        <f>T("")</f>
        <v/>
      </c>
      <c r="L4016" t="str">
        <f>T("5406539487")</f>
        <v>5406539487</v>
      </c>
    </row>
    <row r="4017" spans="1:12" x14ac:dyDescent="0.35">
      <c r="A4017" t="str">
        <f t="shared" si="1566"/>
        <v>NSWC DAHLGREN</v>
      </c>
      <c r="B4017" t="str">
        <f t="shared" si="1577"/>
        <v>PURCHASE CARD OFFICE</v>
      </c>
      <c r="C4017" t="str">
        <f t="shared" ref="C4017:C4026" si="1579">T("6078 NORC AVE SUITE 309")</f>
        <v>6078 NORC AVE SUITE 309</v>
      </c>
      <c r="D4017" t="str">
        <f t="shared" si="1569"/>
        <v>DAHLGREN</v>
      </c>
      <c r="E4017" t="str">
        <f t="shared" si="1570"/>
        <v>VA</v>
      </c>
      <c r="F4017" t="str">
        <f t="shared" si="1578"/>
        <v>224485131</v>
      </c>
      <c r="G4017" t="str">
        <f>T("6078 NORC AVE")</f>
        <v>6078 NORC AVE</v>
      </c>
      <c r="H4017" t="str">
        <f>T("BLDG 278")</f>
        <v>BLDG 278</v>
      </c>
      <c r="I4017" t="str">
        <f t="shared" si="1572"/>
        <v>DAHLGREN</v>
      </c>
      <c r="J4017" t="str">
        <f t="shared" si="1573"/>
        <v>VA</v>
      </c>
      <c r="K4017" t="str">
        <f>T("000000000000000000")</f>
        <v>000000000000000000</v>
      </c>
      <c r="L4017" t="str">
        <f>T("5406538489")</f>
        <v>5406538489</v>
      </c>
    </row>
    <row r="4018" spans="1:12" x14ac:dyDescent="0.35">
      <c r="A4018" t="str">
        <f t="shared" si="1566"/>
        <v>NSWC DAHLGREN</v>
      </c>
      <c r="B4018" t="str">
        <f t="shared" si="1577"/>
        <v>PURCHASE CARD OFFICE</v>
      </c>
      <c r="C4018" t="str">
        <f t="shared" si="1579"/>
        <v>6078 NORC AVE SUITE 309</v>
      </c>
      <c r="D4018" t="str">
        <f t="shared" si="1569"/>
        <v>DAHLGREN</v>
      </c>
      <c r="E4018" t="str">
        <f t="shared" si="1570"/>
        <v>VA</v>
      </c>
      <c r="F4018" t="str">
        <f t="shared" si="1578"/>
        <v>224485131</v>
      </c>
      <c r="G4018" t="str">
        <f>T("6078 NORC AVE")</f>
        <v>6078 NORC AVE</v>
      </c>
      <c r="H4018" t="str">
        <f>T("BLDG 278")</f>
        <v>BLDG 278</v>
      </c>
      <c r="I4018" t="str">
        <f t="shared" si="1572"/>
        <v>DAHLGREN</v>
      </c>
      <c r="J4018" t="str">
        <f t="shared" si="1573"/>
        <v>VA</v>
      </c>
      <c r="K4018" t="str">
        <f>T("5406538824")</f>
        <v>5406538824</v>
      </c>
      <c r="L4018" t="str">
        <f>T("5406535609")</f>
        <v>5406535609</v>
      </c>
    </row>
    <row r="4019" spans="1:12" x14ac:dyDescent="0.35">
      <c r="A4019" t="str">
        <f t="shared" si="1566"/>
        <v>NSWC DAHLGREN</v>
      </c>
      <c r="B4019" t="str">
        <f t="shared" si="1577"/>
        <v>PURCHASE CARD OFFICE</v>
      </c>
      <c r="C4019" t="str">
        <f t="shared" si="1579"/>
        <v>6078 NORC AVE SUITE 309</v>
      </c>
      <c r="D4019" t="str">
        <f t="shared" si="1569"/>
        <v>DAHLGREN</v>
      </c>
      <c r="E4019" t="str">
        <f t="shared" si="1570"/>
        <v>VA</v>
      </c>
      <c r="F4019" t="str">
        <f t="shared" si="1578"/>
        <v>224485131</v>
      </c>
      <c r="G4019" t="str">
        <f>T("6078 NORC AVE")</f>
        <v>6078 NORC AVE</v>
      </c>
      <c r="H4019" t="str">
        <f>T("BLDG 278")</f>
        <v>BLDG 278</v>
      </c>
      <c r="I4019" t="str">
        <f t="shared" si="1572"/>
        <v>DAHLGREN</v>
      </c>
      <c r="J4019" t="str">
        <f t="shared" si="1573"/>
        <v>VA</v>
      </c>
      <c r="K4019" t="str">
        <f>T("5406538824")</f>
        <v>5406538824</v>
      </c>
      <c r="L4019" t="str">
        <f>T("5406539331")</f>
        <v>5406539331</v>
      </c>
    </row>
    <row r="4020" spans="1:12" x14ac:dyDescent="0.35">
      <c r="A4020" t="str">
        <f t="shared" si="1566"/>
        <v>NSWC DAHLGREN</v>
      </c>
      <c r="B4020" t="str">
        <f t="shared" si="1577"/>
        <v>PURCHASE CARD OFFICE</v>
      </c>
      <c r="C4020" t="str">
        <f t="shared" si="1579"/>
        <v>6078 NORC AVE SUITE 309</v>
      </c>
      <c r="D4020" t="str">
        <f t="shared" si="1569"/>
        <v>DAHLGREN</v>
      </c>
      <c r="E4020" t="str">
        <f t="shared" si="1570"/>
        <v>VA</v>
      </c>
      <c r="F4020" t="str">
        <f t="shared" si="1578"/>
        <v>224485131</v>
      </c>
      <c r="G4020" t="str">
        <f>T("6078 NORC AVE BLDG 278")</f>
        <v>6078 NORC AVE BLDG 278</v>
      </c>
      <c r="H4020" t="str">
        <f>T("")</f>
        <v/>
      </c>
      <c r="I4020" t="str">
        <f t="shared" si="1572"/>
        <v>DAHLGREN</v>
      </c>
      <c r="J4020" t="str">
        <f t="shared" si="1573"/>
        <v>VA</v>
      </c>
      <c r="K4020" t="str">
        <f>T("000000000000000000")</f>
        <v>000000000000000000</v>
      </c>
      <c r="L4020" t="str">
        <f>T("5406532317")</f>
        <v>5406532317</v>
      </c>
    </row>
    <row r="4021" spans="1:12" x14ac:dyDescent="0.35">
      <c r="A4021" t="str">
        <f t="shared" si="1566"/>
        <v>NSWC DAHLGREN</v>
      </c>
      <c r="B4021" t="str">
        <f t="shared" si="1577"/>
        <v>PURCHASE CARD OFFICE</v>
      </c>
      <c r="C4021" t="str">
        <f t="shared" si="1579"/>
        <v>6078 NORC AVE SUITE 309</v>
      </c>
      <c r="D4021" t="str">
        <f t="shared" si="1569"/>
        <v>DAHLGREN</v>
      </c>
      <c r="E4021" t="str">
        <f t="shared" si="1570"/>
        <v>VA</v>
      </c>
      <c r="F4021" t="str">
        <f t="shared" si="1578"/>
        <v>224485131</v>
      </c>
      <c r="G4021" t="str">
        <f>T("6078 NORC AVE BLDG 278")</f>
        <v>6078 NORC AVE BLDG 278</v>
      </c>
      <c r="H4021" t="str">
        <f>T("")</f>
        <v/>
      </c>
      <c r="I4021" t="str">
        <f t="shared" si="1572"/>
        <v>DAHLGREN</v>
      </c>
      <c r="J4021" t="str">
        <f t="shared" si="1573"/>
        <v>VA</v>
      </c>
      <c r="K4021" t="str">
        <f>T("000000000000000000")</f>
        <v>000000000000000000</v>
      </c>
      <c r="L4021" t="str">
        <f>T("5406533320")</f>
        <v>5406533320</v>
      </c>
    </row>
    <row r="4022" spans="1:12" x14ac:dyDescent="0.35">
      <c r="A4022" t="str">
        <f t="shared" si="1566"/>
        <v>NSWC DAHLGREN</v>
      </c>
      <c r="B4022" t="str">
        <f t="shared" si="1577"/>
        <v>PURCHASE CARD OFFICE</v>
      </c>
      <c r="C4022" t="str">
        <f t="shared" si="1579"/>
        <v>6078 NORC AVE SUITE 309</v>
      </c>
      <c r="D4022" t="str">
        <f t="shared" si="1569"/>
        <v>DAHLGREN</v>
      </c>
      <c r="E4022" t="str">
        <f t="shared" si="1570"/>
        <v>VA</v>
      </c>
      <c r="F4022" t="str">
        <f t="shared" si="1578"/>
        <v>224485131</v>
      </c>
      <c r="G4022" t="str">
        <f>T("NSWC DAHLGREN DIVISION")</f>
        <v>NSWC DAHLGREN DIVISION</v>
      </c>
      <c r="H4022" t="str">
        <f>T("6078 NORC AVE BLDG 278")</f>
        <v>6078 NORC AVE BLDG 278</v>
      </c>
      <c r="I4022" t="str">
        <f t="shared" si="1572"/>
        <v>DAHLGREN</v>
      </c>
      <c r="J4022" t="str">
        <f t="shared" si="1573"/>
        <v>VA</v>
      </c>
      <c r="K4022" t="str">
        <f>T("5406538824")</f>
        <v>5406538824</v>
      </c>
      <c r="L4022" t="str">
        <f>T("5406533577")</f>
        <v>5406533577</v>
      </c>
    </row>
    <row r="4023" spans="1:12" x14ac:dyDescent="0.35">
      <c r="A4023" t="str">
        <f t="shared" si="1566"/>
        <v>NSWC DAHLGREN</v>
      </c>
      <c r="B4023" t="str">
        <f t="shared" si="1577"/>
        <v>PURCHASE CARD OFFICE</v>
      </c>
      <c r="C4023" t="str">
        <f t="shared" si="1579"/>
        <v>6078 NORC AVE SUITE 309</v>
      </c>
      <c r="D4023" t="str">
        <f t="shared" si="1569"/>
        <v>DAHLGREN</v>
      </c>
      <c r="E4023" t="str">
        <f t="shared" si="1570"/>
        <v>VA</v>
      </c>
      <c r="F4023" t="str">
        <f t="shared" si="1578"/>
        <v>224485131</v>
      </c>
      <c r="G4023" t="str">
        <f>T("NSWC DAHLGREN DIVISION")</f>
        <v>NSWC DAHLGREN DIVISION</v>
      </c>
      <c r="H4023" t="str">
        <f>T("6078 NORC AVENUE BLDG 278")</f>
        <v>6078 NORC AVENUE BLDG 278</v>
      </c>
      <c r="I4023" t="str">
        <f t="shared" si="1572"/>
        <v>DAHLGREN</v>
      </c>
      <c r="J4023" t="str">
        <f t="shared" si="1573"/>
        <v>VA</v>
      </c>
      <c r="K4023" t="str">
        <f>T("5406538824")</f>
        <v>5406538824</v>
      </c>
      <c r="L4023" t="str">
        <f>T("5402840154")</f>
        <v>5402840154</v>
      </c>
    </row>
    <row r="4024" spans="1:12" x14ac:dyDescent="0.35">
      <c r="A4024" t="str">
        <f t="shared" si="1566"/>
        <v>NSWC DAHLGREN</v>
      </c>
      <c r="B4024" t="str">
        <f t="shared" si="1577"/>
        <v>PURCHASE CARD OFFICE</v>
      </c>
      <c r="C4024" t="str">
        <f t="shared" si="1579"/>
        <v>6078 NORC AVE SUITE 309</v>
      </c>
      <c r="D4024" t="str">
        <f t="shared" si="1569"/>
        <v>DAHLGREN</v>
      </c>
      <c r="E4024" t="str">
        <f t="shared" si="1570"/>
        <v>VA</v>
      </c>
      <c r="F4024" t="str">
        <f t="shared" si="1578"/>
        <v>224485131</v>
      </c>
      <c r="G4024" t="str">
        <f>T("NSWC DAHLGREN DIVISION")</f>
        <v>NSWC DAHLGREN DIVISION</v>
      </c>
      <c r="H4024" t="str">
        <f>T("6078 NORC AVENUE BLDG 278")</f>
        <v>6078 NORC AVENUE BLDG 278</v>
      </c>
      <c r="I4024" t="str">
        <f t="shared" si="1572"/>
        <v>DAHLGREN</v>
      </c>
      <c r="J4024" t="str">
        <f t="shared" si="1573"/>
        <v>VA</v>
      </c>
      <c r="K4024" t="str">
        <f>T("5406538824")</f>
        <v>5406538824</v>
      </c>
      <c r="L4024" t="str">
        <f>T("5406533577")</f>
        <v>5406533577</v>
      </c>
    </row>
    <row r="4025" spans="1:12" x14ac:dyDescent="0.35">
      <c r="A4025" t="str">
        <f t="shared" si="1566"/>
        <v>NSWC DAHLGREN</v>
      </c>
      <c r="B4025" t="str">
        <f t="shared" si="1577"/>
        <v>PURCHASE CARD OFFICE</v>
      </c>
      <c r="C4025" t="str">
        <f t="shared" si="1579"/>
        <v>6078 NORC AVE SUITE 309</v>
      </c>
      <c r="D4025" t="str">
        <f t="shared" si="1569"/>
        <v>DAHLGREN</v>
      </c>
      <c r="E4025" t="str">
        <f t="shared" si="1570"/>
        <v>VA</v>
      </c>
      <c r="F4025" t="str">
        <f t="shared" si="1578"/>
        <v>224485131</v>
      </c>
      <c r="G4025" t="str">
        <f>T("NSWCDD G65 BLDG 113")</f>
        <v>NSWCDD G65 BLDG 113</v>
      </c>
      <c r="H4025" t="str">
        <f>T("6213 CASKEY RD STE 222")</f>
        <v>6213 CASKEY RD STE 222</v>
      </c>
      <c r="I4025" t="str">
        <f t="shared" si="1572"/>
        <v>DAHLGREN</v>
      </c>
      <c r="J4025" t="str">
        <f t="shared" si="1573"/>
        <v>VA</v>
      </c>
      <c r="K4025" t="str">
        <f>T("5406538925")</f>
        <v>5406538925</v>
      </c>
      <c r="L4025" t="str">
        <f>T("5406534354")</f>
        <v>5406534354</v>
      </c>
    </row>
    <row r="4026" spans="1:12" x14ac:dyDescent="0.35">
      <c r="A4026" t="str">
        <f t="shared" si="1566"/>
        <v>NSWC DAHLGREN</v>
      </c>
      <c r="B4026" t="str">
        <f t="shared" si="1577"/>
        <v>PURCHASE CARD OFFICE</v>
      </c>
      <c r="C4026" t="str">
        <f t="shared" si="1579"/>
        <v>6078 NORC AVE SUITE 309</v>
      </c>
      <c r="D4026" t="str">
        <f t="shared" si="1569"/>
        <v>DAHLGREN</v>
      </c>
      <c r="E4026" t="str">
        <f t="shared" si="1570"/>
        <v>VA</v>
      </c>
      <c r="F4026" t="str">
        <f t="shared" si="1578"/>
        <v>224485131</v>
      </c>
      <c r="G4026" t="str">
        <f>T("PURCHASE CARD OFFICE")</f>
        <v>PURCHASE CARD OFFICE</v>
      </c>
      <c r="H4026" t="str">
        <f>T("6078 NORC AVE SUITE 309")</f>
        <v>6078 NORC AVE SUITE 309</v>
      </c>
      <c r="I4026" t="str">
        <f t="shared" si="1572"/>
        <v>DAHLGREN</v>
      </c>
      <c r="J4026" t="str">
        <f t="shared" si="1573"/>
        <v>VA</v>
      </c>
      <c r="K4026" t="str">
        <f>T("")</f>
        <v/>
      </c>
      <c r="L4026" t="str">
        <f>T("5406537997")</f>
        <v>5406537997</v>
      </c>
    </row>
    <row r="4027" spans="1:12" x14ac:dyDescent="0.35">
      <c r="A4027" t="str">
        <f t="shared" ref="A4027:A4058" si="1580">T("NAVSEA HQ")</f>
        <v>NAVSEA HQ</v>
      </c>
      <c r="B4027" t="str">
        <f t="shared" ref="B4027:B4066" si="1581">T("1333 ISAAC HULL AVE SE")</f>
        <v>1333 ISAAC HULL AVE SE</v>
      </c>
      <c r="C4027" t="str">
        <f t="shared" ref="C4027:C4056" si="1582">T("")</f>
        <v/>
      </c>
      <c r="D4027" t="str">
        <f t="shared" ref="D4027:D4039" si="1583">T("WASHINGTON")</f>
        <v>WASHINGTON</v>
      </c>
      <c r="E4027" t="str">
        <f t="shared" ref="E4027:E4072" si="1584">T("DC")</f>
        <v>DC</v>
      </c>
      <c r="F4027" t="str">
        <f t="shared" ref="F4027:F4072" si="1585">T("203760005")</f>
        <v>203760005</v>
      </c>
      <c r="G4027" t="str">
        <f t="shared" ref="G4027:G4037" si="1586">T("1333 ISAAC HULL AVE SE")</f>
        <v>1333 ISAAC HULL AVE SE</v>
      </c>
      <c r="H4027" t="str">
        <f t="shared" ref="H4027:H4036" si="1587">T("")</f>
        <v/>
      </c>
      <c r="I4027" t="str">
        <f t="shared" ref="I4027:I4034" si="1588">T("WASHINGTON")</f>
        <v>WASHINGTON</v>
      </c>
      <c r="J4027" t="str">
        <f t="shared" ref="J4027:J4072" si="1589">T("DC")</f>
        <v>DC</v>
      </c>
      <c r="K4027" t="str">
        <f>T("")</f>
        <v/>
      </c>
      <c r="L4027" t="str">
        <f>T("2027812138")</f>
        <v>2027812138</v>
      </c>
    </row>
    <row r="4028" spans="1:12" x14ac:dyDescent="0.35">
      <c r="A4028" t="str">
        <f t="shared" si="1580"/>
        <v>NAVSEA HQ</v>
      </c>
      <c r="B4028" t="str">
        <f t="shared" si="1581"/>
        <v>1333 ISAAC HULL AVE SE</v>
      </c>
      <c r="C4028" t="str">
        <f t="shared" si="1582"/>
        <v/>
      </c>
      <c r="D4028" t="str">
        <f t="shared" si="1583"/>
        <v>WASHINGTON</v>
      </c>
      <c r="E4028" t="str">
        <f t="shared" si="1584"/>
        <v>DC</v>
      </c>
      <c r="F4028" t="str">
        <f t="shared" si="1585"/>
        <v>203760005</v>
      </c>
      <c r="G4028" t="str">
        <f t="shared" si="1586"/>
        <v>1333 ISAAC HULL AVE SE</v>
      </c>
      <c r="H4028" t="str">
        <f t="shared" si="1587"/>
        <v/>
      </c>
      <c r="I4028" t="str">
        <f t="shared" si="1588"/>
        <v>WASHINGTON</v>
      </c>
      <c r="J4028" t="str">
        <f t="shared" si="1589"/>
        <v>DC</v>
      </c>
      <c r="K4028" t="str">
        <f>T("000000000000000000")</f>
        <v>000000000000000000</v>
      </c>
      <c r="L4028" t="str">
        <f>T("2027810638")</f>
        <v>2027810638</v>
      </c>
    </row>
    <row r="4029" spans="1:12" x14ac:dyDescent="0.35">
      <c r="A4029" t="str">
        <f t="shared" si="1580"/>
        <v>NAVSEA HQ</v>
      </c>
      <c r="B4029" t="str">
        <f t="shared" si="1581"/>
        <v>1333 ISAAC HULL AVE SE</v>
      </c>
      <c r="C4029" t="str">
        <f t="shared" si="1582"/>
        <v/>
      </c>
      <c r="D4029" t="str">
        <f t="shared" si="1583"/>
        <v>WASHINGTON</v>
      </c>
      <c r="E4029" t="str">
        <f t="shared" si="1584"/>
        <v>DC</v>
      </c>
      <c r="F4029" t="str">
        <f t="shared" si="1585"/>
        <v>203760005</v>
      </c>
      <c r="G4029" t="str">
        <f t="shared" si="1586"/>
        <v>1333 ISAAC HULL AVE SE</v>
      </c>
      <c r="H4029" t="str">
        <f t="shared" si="1587"/>
        <v/>
      </c>
      <c r="I4029" t="str">
        <f t="shared" si="1588"/>
        <v>WASHINGTON</v>
      </c>
      <c r="J4029" t="str">
        <f t="shared" si="1589"/>
        <v>DC</v>
      </c>
      <c r="K4029" t="str">
        <f>T("000000000000000000")</f>
        <v>000000000000000000</v>
      </c>
      <c r="L4029" t="str">
        <f>T("2027812419")</f>
        <v>2027812419</v>
      </c>
    </row>
    <row r="4030" spans="1:12" x14ac:dyDescent="0.35">
      <c r="A4030" t="str">
        <f t="shared" si="1580"/>
        <v>NAVSEA HQ</v>
      </c>
      <c r="B4030" t="str">
        <f t="shared" si="1581"/>
        <v>1333 ISAAC HULL AVE SE</v>
      </c>
      <c r="C4030" t="str">
        <f t="shared" si="1582"/>
        <v/>
      </c>
      <c r="D4030" t="str">
        <f t="shared" si="1583"/>
        <v>WASHINGTON</v>
      </c>
      <c r="E4030" t="str">
        <f t="shared" si="1584"/>
        <v>DC</v>
      </c>
      <c r="F4030" t="str">
        <f t="shared" si="1585"/>
        <v>203760005</v>
      </c>
      <c r="G4030" t="str">
        <f t="shared" si="1586"/>
        <v>1333 ISAAC HULL AVE SE</v>
      </c>
      <c r="H4030" t="str">
        <f t="shared" si="1587"/>
        <v/>
      </c>
      <c r="I4030" t="str">
        <f t="shared" si="1588"/>
        <v>WASHINGTON</v>
      </c>
      <c r="J4030" t="str">
        <f t="shared" si="1589"/>
        <v>DC</v>
      </c>
      <c r="K4030" t="str">
        <f>T("000000000000000000")</f>
        <v>000000000000000000</v>
      </c>
      <c r="L4030" t="str">
        <f>T("2027812837")</f>
        <v>2027812837</v>
      </c>
    </row>
    <row r="4031" spans="1:12" x14ac:dyDescent="0.35">
      <c r="A4031" t="str">
        <f t="shared" si="1580"/>
        <v>NAVSEA HQ</v>
      </c>
      <c r="B4031" t="str">
        <f t="shared" si="1581"/>
        <v>1333 ISAAC HULL AVE SE</v>
      </c>
      <c r="C4031" t="str">
        <f t="shared" si="1582"/>
        <v/>
      </c>
      <c r="D4031" t="str">
        <f t="shared" si="1583"/>
        <v>WASHINGTON</v>
      </c>
      <c r="E4031" t="str">
        <f t="shared" si="1584"/>
        <v>DC</v>
      </c>
      <c r="F4031" t="str">
        <f t="shared" si="1585"/>
        <v>203760005</v>
      </c>
      <c r="G4031" t="str">
        <f t="shared" si="1586"/>
        <v>1333 ISAAC HULL AVE SE</v>
      </c>
      <c r="H4031" t="str">
        <f t="shared" si="1587"/>
        <v/>
      </c>
      <c r="I4031" t="str">
        <f t="shared" si="1588"/>
        <v>WASHINGTON</v>
      </c>
      <c r="J4031" t="str">
        <f t="shared" si="1589"/>
        <v>DC</v>
      </c>
      <c r="K4031" t="str">
        <f>T("000000000000000000")</f>
        <v>000000000000000000</v>
      </c>
      <c r="L4031" t="str">
        <f>T("2027813378")</f>
        <v>2027813378</v>
      </c>
    </row>
    <row r="4032" spans="1:12" x14ac:dyDescent="0.35">
      <c r="A4032" t="str">
        <f t="shared" si="1580"/>
        <v>NAVSEA HQ</v>
      </c>
      <c r="B4032" t="str">
        <f t="shared" si="1581"/>
        <v>1333 ISAAC HULL AVE SE</v>
      </c>
      <c r="C4032" t="str">
        <f t="shared" si="1582"/>
        <v/>
      </c>
      <c r="D4032" t="str">
        <f t="shared" si="1583"/>
        <v>WASHINGTON</v>
      </c>
      <c r="E4032" t="str">
        <f t="shared" si="1584"/>
        <v>DC</v>
      </c>
      <c r="F4032" t="str">
        <f t="shared" si="1585"/>
        <v>203760005</v>
      </c>
      <c r="G4032" t="str">
        <f t="shared" si="1586"/>
        <v>1333 ISAAC HULL AVE SE</v>
      </c>
      <c r="H4032" t="str">
        <f t="shared" si="1587"/>
        <v/>
      </c>
      <c r="I4032" t="str">
        <f t="shared" si="1588"/>
        <v>WASHINGTON</v>
      </c>
      <c r="J4032" t="str">
        <f t="shared" si="1589"/>
        <v>DC</v>
      </c>
      <c r="K4032" t="str">
        <f>T("000000000000000000")</f>
        <v>000000000000000000</v>
      </c>
      <c r="L4032" t="str">
        <f>T("2027815096")</f>
        <v>2027815096</v>
      </c>
    </row>
    <row r="4033" spans="1:12" x14ac:dyDescent="0.35">
      <c r="A4033" t="str">
        <f t="shared" si="1580"/>
        <v>NAVSEA HQ</v>
      </c>
      <c r="B4033" t="str">
        <f t="shared" si="1581"/>
        <v>1333 ISAAC HULL AVE SE</v>
      </c>
      <c r="C4033" t="str">
        <f t="shared" si="1582"/>
        <v/>
      </c>
      <c r="D4033" t="str">
        <f t="shared" si="1583"/>
        <v>WASHINGTON</v>
      </c>
      <c r="E4033" t="str">
        <f t="shared" si="1584"/>
        <v>DC</v>
      </c>
      <c r="F4033" t="str">
        <f t="shared" si="1585"/>
        <v>203760005</v>
      </c>
      <c r="G4033" t="str">
        <f t="shared" si="1586"/>
        <v>1333 ISAAC HULL AVE SE</v>
      </c>
      <c r="H4033" t="str">
        <f t="shared" si="1587"/>
        <v/>
      </c>
      <c r="I4033" t="str">
        <f t="shared" si="1588"/>
        <v>WASHINGTON</v>
      </c>
      <c r="J4033" t="str">
        <f t="shared" si="1589"/>
        <v>DC</v>
      </c>
      <c r="K4033" t="str">
        <f>T("2027814600")</f>
        <v>2027814600</v>
      </c>
      <c r="L4033" t="str">
        <f>T("2027813594")</f>
        <v>2027813594</v>
      </c>
    </row>
    <row r="4034" spans="1:12" x14ac:dyDescent="0.35">
      <c r="A4034" t="str">
        <f t="shared" si="1580"/>
        <v>NAVSEA HQ</v>
      </c>
      <c r="B4034" t="str">
        <f t="shared" si="1581"/>
        <v>1333 ISAAC HULL AVE SE</v>
      </c>
      <c r="C4034" t="str">
        <f t="shared" si="1582"/>
        <v/>
      </c>
      <c r="D4034" t="str">
        <f t="shared" si="1583"/>
        <v>WASHINGTON</v>
      </c>
      <c r="E4034" t="str">
        <f t="shared" si="1584"/>
        <v>DC</v>
      </c>
      <c r="F4034" t="str">
        <f t="shared" si="1585"/>
        <v>203760005</v>
      </c>
      <c r="G4034" t="str">
        <f t="shared" si="1586"/>
        <v>1333 ISAAC HULL AVE SE</v>
      </c>
      <c r="H4034" t="str">
        <f t="shared" si="1587"/>
        <v/>
      </c>
      <c r="I4034" t="str">
        <f t="shared" si="1588"/>
        <v>WASHINGTON</v>
      </c>
      <c r="J4034" t="str">
        <f t="shared" si="1589"/>
        <v>DC</v>
      </c>
      <c r="K4034" t="str">
        <f>T("2027814775")</f>
        <v>2027814775</v>
      </c>
      <c r="L4034" t="str">
        <f>T("2027810992")</f>
        <v>2027810992</v>
      </c>
    </row>
    <row r="4035" spans="1:12" x14ac:dyDescent="0.35">
      <c r="A4035" t="str">
        <f t="shared" si="1580"/>
        <v>NAVSEA HQ</v>
      </c>
      <c r="B4035" t="str">
        <f t="shared" si="1581"/>
        <v>1333 ISAAC HULL AVE SE</v>
      </c>
      <c r="C4035" t="str">
        <f t="shared" si="1582"/>
        <v/>
      </c>
      <c r="D4035" t="str">
        <f t="shared" si="1583"/>
        <v>WASHINGTON</v>
      </c>
      <c r="E4035" t="str">
        <f t="shared" si="1584"/>
        <v>DC</v>
      </c>
      <c r="F4035" t="str">
        <f t="shared" si="1585"/>
        <v>203760005</v>
      </c>
      <c r="G4035" t="str">
        <f t="shared" si="1586"/>
        <v>1333 ISAAC HULL AVE SE</v>
      </c>
      <c r="H4035" t="str">
        <f t="shared" si="1587"/>
        <v/>
      </c>
      <c r="I4035" t="str">
        <f>T("WASHINGTON NAVY YARD")</f>
        <v>WASHINGTON NAVY YARD</v>
      </c>
      <c r="J4035" t="str">
        <f t="shared" si="1589"/>
        <v>DC</v>
      </c>
      <c r="K4035" t="str">
        <f t="shared" ref="K4035:K4040" si="1590">T("000000000000000000")</f>
        <v>000000000000000000</v>
      </c>
      <c r="L4035" t="str">
        <f>T("2027812849")</f>
        <v>2027812849</v>
      </c>
    </row>
    <row r="4036" spans="1:12" x14ac:dyDescent="0.35">
      <c r="A4036" t="str">
        <f t="shared" si="1580"/>
        <v>NAVSEA HQ</v>
      </c>
      <c r="B4036" t="str">
        <f t="shared" si="1581"/>
        <v>1333 ISAAC HULL AVE SE</v>
      </c>
      <c r="C4036" t="str">
        <f t="shared" si="1582"/>
        <v/>
      </c>
      <c r="D4036" t="str">
        <f t="shared" si="1583"/>
        <v>WASHINGTON</v>
      </c>
      <c r="E4036" t="str">
        <f t="shared" si="1584"/>
        <v>DC</v>
      </c>
      <c r="F4036" t="str">
        <f t="shared" si="1585"/>
        <v>203760005</v>
      </c>
      <c r="G4036" t="str">
        <f t="shared" si="1586"/>
        <v>1333 ISAAC HULL AVE SE</v>
      </c>
      <c r="H4036" t="str">
        <f t="shared" si="1587"/>
        <v/>
      </c>
      <c r="I4036" t="str">
        <f>T("WASHINGTON NAVY YARD")</f>
        <v>WASHINGTON NAVY YARD</v>
      </c>
      <c r="J4036" t="str">
        <f t="shared" si="1589"/>
        <v>DC</v>
      </c>
      <c r="K4036" t="str">
        <f t="shared" si="1590"/>
        <v>000000000000000000</v>
      </c>
      <c r="L4036" t="str">
        <f>T("2027813298")</f>
        <v>2027813298</v>
      </c>
    </row>
    <row r="4037" spans="1:12" x14ac:dyDescent="0.35">
      <c r="A4037" t="str">
        <f t="shared" si="1580"/>
        <v>NAVSEA HQ</v>
      </c>
      <c r="B4037" t="str">
        <f t="shared" si="1581"/>
        <v>1333 ISAAC HULL AVE SE</v>
      </c>
      <c r="C4037" t="str">
        <f t="shared" si="1582"/>
        <v/>
      </c>
      <c r="D4037" t="str">
        <f t="shared" si="1583"/>
        <v>WASHINGTON</v>
      </c>
      <c r="E4037" t="str">
        <f t="shared" si="1584"/>
        <v>DC</v>
      </c>
      <c r="F4037" t="str">
        <f t="shared" si="1585"/>
        <v>203760005</v>
      </c>
      <c r="G4037" t="str">
        <f t="shared" si="1586"/>
        <v>1333 ISAAC HULL AVE SE</v>
      </c>
      <c r="H4037" t="str">
        <f>T("WASHINGTON NAVY YARD")</f>
        <v>WASHINGTON NAVY YARD</v>
      </c>
      <c r="I4037" t="str">
        <f t="shared" ref="I4037:I4042" si="1591">T("WASHINGTON")</f>
        <v>WASHINGTON</v>
      </c>
      <c r="J4037" t="str">
        <f t="shared" si="1589"/>
        <v>DC</v>
      </c>
      <c r="K4037" t="str">
        <f t="shared" si="1590"/>
        <v>000000000000000000</v>
      </c>
      <c r="L4037" t="str">
        <f>T("2027810558")</f>
        <v>2027810558</v>
      </c>
    </row>
    <row r="4038" spans="1:12" x14ac:dyDescent="0.35">
      <c r="A4038" t="str">
        <f t="shared" si="1580"/>
        <v>NAVSEA HQ</v>
      </c>
      <c r="B4038" t="str">
        <f t="shared" si="1581"/>
        <v>1333 ISAAC HULL AVE SE</v>
      </c>
      <c r="C4038" t="str">
        <f t="shared" si="1582"/>
        <v/>
      </c>
      <c r="D4038" t="str">
        <f t="shared" si="1583"/>
        <v>WASHINGTON</v>
      </c>
      <c r="E4038" t="str">
        <f t="shared" si="1584"/>
        <v>DC</v>
      </c>
      <c r="F4038" t="str">
        <f t="shared" si="1585"/>
        <v>203760005</v>
      </c>
      <c r="G4038" t="str">
        <f>T("1333 ISAAC HULL SE")</f>
        <v>1333 ISAAC HULL SE</v>
      </c>
      <c r="H4038" t="str">
        <f>T("BLDG 201 2E-342")</f>
        <v>BLDG 201 2E-342</v>
      </c>
      <c r="I4038" t="str">
        <f t="shared" si="1591"/>
        <v>WASHINGTON</v>
      </c>
      <c r="J4038" t="str">
        <f t="shared" si="1589"/>
        <v>DC</v>
      </c>
      <c r="K4038" t="str">
        <f t="shared" si="1590"/>
        <v>000000000000000000</v>
      </c>
      <c r="L4038" t="str">
        <f>T("2027814262")</f>
        <v>2027814262</v>
      </c>
    </row>
    <row r="4039" spans="1:12" x14ac:dyDescent="0.35">
      <c r="A4039" t="str">
        <f t="shared" si="1580"/>
        <v>NAVSEA HQ</v>
      </c>
      <c r="B4039" t="str">
        <f t="shared" si="1581"/>
        <v>1333 ISAAC HULL AVE SE</v>
      </c>
      <c r="C4039" t="str">
        <f t="shared" si="1582"/>
        <v/>
      </c>
      <c r="D4039" t="str">
        <f t="shared" si="1583"/>
        <v>WASHINGTON</v>
      </c>
      <c r="E4039" t="str">
        <f t="shared" si="1584"/>
        <v>DC</v>
      </c>
      <c r="F4039" t="str">
        <f t="shared" si="1585"/>
        <v>203760005</v>
      </c>
      <c r="G4039" t="str">
        <f>T("NAVAL SEA SYSTEMS COMMAND")</f>
        <v>NAVAL SEA SYSTEMS COMMAND</v>
      </c>
      <c r="H4039" t="str">
        <f>T("1333 ISACC HULL AVE SE")</f>
        <v>1333 ISACC HULL AVE SE</v>
      </c>
      <c r="I4039" t="str">
        <f t="shared" si="1591"/>
        <v>WASHINGTON</v>
      </c>
      <c r="J4039" t="str">
        <f t="shared" si="1589"/>
        <v>DC</v>
      </c>
      <c r="K4039" t="str">
        <f t="shared" si="1590"/>
        <v>000000000000000000</v>
      </c>
      <c r="L4039" t="str">
        <f>T("2027813272")</f>
        <v>2027813272</v>
      </c>
    </row>
    <row r="4040" spans="1:12" x14ac:dyDescent="0.35">
      <c r="A4040" t="str">
        <f t="shared" si="1580"/>
        <v>NAVSEA HQ</v>
      </c>
      <c r="B4040" t="str">
        <f t="shared" si="1581"/>
        <v>1333 ISAAC HULL AVE SE</v>
      </c>
      <c r="C4040" t="str">
        <f t="shared" si="1582"/>
        <v/>
      </c>
      <c r="D4040" t="str">
        <f t="shared" ref="D4040:D4070" si="1592">T("WASHINGTON NA")</f>
        <v>WASHINGTON NA</v>
      </c>
      <c r="E4040" t="str">
        <f t="shared" si="1584"/>
        <v>DC</v>
      </c>
      <c r="F4040" t="str">
        <f t="shared" si="1585"/>
        <v>203760005</v>
      </c>
      <c r="G4040" t="str">
        <f t="shared" ref="G4040:G4054" si="1593">T("1333 ISAAC HULL AVE SE")</f>
        <v>1333 ISAAC HULL AVE SE</v>
      </c>
      <c r="H4040" t="str">
        <f t="shared" ref="H4040:H4052" si="1594">T("")</f>
        <v/>
      </c>
      <c r="I4040" t="str">
        <f t="shared" si="1591"/>
        <v>WASHINGTON</v>
      </c>
      <c r="J4040" t="str">
        <f t="shared" si="1589"/>
        <v>DC</v>
      </c>
      <c r="K4040" t="str">
        <f t="shared" si="1590"/>
        <v>000000000000000000</v>
      </c>
      <c r="L4040" t="str">
        <f>T("2027814030")</f>
        <v>2027814030</v>
      </c>
    </row>
    <row r="4041" spans="1:12" x14ac:dyDescent="0.35">
      <c r="A4041" t="str">
        <f t="shared" si="1580"/>
        <v>NAVSEA HQ</v>
      </c>
      <c r="B4041" t="str">
        <f t="shared" si="1581"/>
        <v>1333 ISAAC HULL AVE SE</v>
      </c>
      <c r="C4041" t="str">
        <f t="shared" si="1582"/>
        <v/>
      </c>
      <c r="D4041" t="str">
        <f t="shared" si="1592"/>
        <v>WASHINGTON NA</v>
      </c>
      <c r="E4041" t="str">
        <f t="shared" si="1584"/>
        <v>DC</v>
      </c>
      <c r="F4041" t="str">
        <f t="shared" si="1585"/>
        <v>203760005</v>
      </c>
      <c r="G4041" t="str">
        <f t="shared" si="1593"/>
        <v>1333 ISAAC HULL AVE SE</v>
      </c>
      <c r="H4041" t="str">
        <f t="shared" si="1594"/>
        <v/>
      </c>
      <c r="I4041" t="str">
        <f t="shared" si="1591"/>
        <v>WASHINGTON</v>
      </c>
      <c r="J4041" t="str">
        <f t="shared" si="1589"/>
        <v>DC</v>
      </c>
      <c r="K4041" t="str">
        <f>T("2027814530")</f>
        <v>2027814530</v>
      </c>
      <c r="L4041" t="str">
        <f>T("2027813764")</f>
        <v>2027813764</v>
      </c>
    </row>
    <row r="4042" spans="1:12" x14ac:dyDescent="0.35">
      <c r="A4042" t="str">
        <f t="shared" si="1580"/>
        <v>NAVSEA HQ</v>
      </c>
      <c r="B4042" t="str">
        <f t="shared" si="1581"/>
        <v>1333 ISAAC HULL AVE SE</v>
      </c>
      <c r="C4042" t="str">
        <f t="shared" si="1582"/>
        <v/>
      </c>
      <c r="D4042" t="str">
        <f t="shared" si="1592"/>
        <v>WASHINGTON NA</v>
      </c>
      <c r="E4042" t="str">
        <f t="shared" si="1584"/>
        <v>DC</v>
      </c>
      <c r="F4042" t="str">
        <f t="shared" si="1585"/>
        <v>203760005</v>
      </c>
      <c r="G4042" t="str">
        <f t="shared" si="1593"/>
        <v>1333 ISAAC HULL AVE SE</v>
      </c>
      <c r="H4042" t="str">
        <f t="shared" si="1594"/>
        <v/>
      </c>
      <c r="I4042" t="str">
        <f t="shared" si="1591"/>
        <v>WASHINGTON</v>
      </c>
      <c r="J4042" t="str">
        <f t="shared" si="1589"/>
        <v>DC</v>
      </c>
      <c r="K4042" t="str">
        <f>T("2027814608")</f>
        <v>2027814608</v>
      </c>
      <c r="L4042" t="str">
        <f>T("2027814177")</f>
        <v>2027814177</v>
      </c>
    </row>
    <row r="4043" spans="1:12" x14ac:dyDescent="0.35">
      <c r="A4043" t="str">
        <f t="shared" si="1580"/>
        <v>NAVSEA HQ</v>
      </c>
      <c r="B4043" t="str">
        <f t="shared" si="1581"/>
        <v>1333 ISAAC HULL AVE SE</v>
      </c>
      <c r="C4043" t="str">
        <f t="shared" si="1582"/>
        <v/>
      </c>
      <c r="D4043" t="str">
        <f t="shared" si="1592"/>
        <v>WASHINGTON NA</v>
      </c>
      <c r="E4043" t="str">
        <f t="shared" si="1584"/>
        <v>DC</v>
      </c>
      <c r="F4043" t="str">
        <f t="shared" si="1585"/>
        <v>203760005</v>
      </c>
      <c r="G4043" t="str">
        <f t="shared" si="1593"/>
        <v>1333 ISAAC HULL AVE SE</v>
      </c>
      <c r="H4043" t="str">
        <f t="shared" si="1594"/>
        <v/>
      </c>
      <c r="I4043" t="str">
        <f t="shared" ref="I4043:I4049" si="1595">T("WASHINGTON NA")</f>
        <v>WASHINGTON NA</v>
      </c>
      <c r="J4043" t="str">
        <f t="shared" si="1589"/>
        <v>DC</v>
      </c>
      <c r="K4043" t="str">
        <f>T("2027814530")</f>
        <v>2027814530</v>
      </c>
      <c r="L4043" t="str">
        <f>T("2027812674")</f>
        <v>2027812674</v>
      </c>
    </row>
    <row r="4044" spans="1:12" x14ac:dyDescent="0.35">
      <c r="A4044" t="str">
        <f t="shared" si="1580"/>
        <v>NAVSEA HQ</v>
      </c>
      <c r="B4044" t="str">
        <f t="shared" si="1581"/>
        <v>1333 ISAAC HULL AVE SE</v>
      </c>
      <c r="C4044" t="str">
        <f t="shared" si="1582"/>
        <v/>
      </c>
      <c r="D4044" t="str">
        <f t="shared" si="1592"/>
        <v>WASHINGTON NA</v>
      </c>
      <c r="E4044" t="str">
        <f t="shared" si="1584"/>
        <v>DC</v>
      </c>
      <c r="F4044" t="str">
        <f t="shared" si="1585"/>
        <v>203760005</v>
      </c>
      <c r="G4044" t="str">
        <f t="shared" si="1593"/>
        <v>1333 ISAAC HULL AVE SE</v>
      </c>
      <c r="H4044" t="str">
        <f t="shared" si="1594"/>
        <v/>
      </c>
      <c r="I4044" t="str">
        <f t="shared" si="1595"/>
        <v>WASHINGTON NA</v>
      </c>
      <c r="J4044" t="str">
        <f t="shared" si="1589"/>
        <v>DC</v>
      </c>
      <c r="K4044" t="str">
        <f>T("2027814619")</f>
        <v>2027814619</v>
      </c>
      <c r="L4044" t="str">
        <f>T("2027813379")</f>
        <v>2027813379</v>
      </c>
    </row>
    <row r="4045" spans="1:12" x14ac:dyDescent="0.35">
      <c r="A4045" t="str">
        <f t="shared" si="1580"/>
        <v>NAVSEA HQ</v>
      </c>
      <c r="B4045" t="str">
        <f t="shared" si="1581"/>
        <v>1333 ISAAC HULL AVE SE</v>
      </c>
      <c r="C4045" t="str">
        <f t="shared" si="1582"/>
        <v/>
      </c>
      <c r="D4045" t="str">
        <f t="shared" si="1592"/>
        <v>WASHINGTON NA</v>
      </c>
      <c r="E4045" t="str">
        <f t="shared" si="1584"/>
        <v>DC</v>
      </c>
      <c r="F4045" t="str">
        <f t="shared" si="1585"/>
        <v>203760005</v>
      </c>
      <c r="G4045" t="str">
        <f t="shared" si="1593"/>
        <v>1333 ISAAC HULL AVE SE</v>
      </c>
      <c r="H4045" t="str">
        <f t="shared" si="1594"/>
        <v/>
      </c>
      <c r="I4045" t="str">
        <f t="shared" si="1595"/>
        <v>WASHINGTON NA</v>
      </c>
      <c r="J4045" t="str">
        <f t="shared" si="1589"/>
        <v>DC</v>
      </c>
      <c r="K4045" t="str">
        <f>T("2027814658")</f>
        <v>2027814658</v>
      </c>
      <c r="L4045" t="str">
        <f>T("2027812956")</f>
        <v>2027812956</v>
      </c>
    </row>
    <row r="4046" spans="1:12" x14ac:dyDescent="0.35">
      <c r="A4046" t="str">
        <f t="shared" si="1580"/>
        <v>NAVSEA HQ</v>
      </c>
      <c r="B4046" t="str">
        <f t="shared" si="1581"/>
        <v>1333 ISAAC HULL AVE SE</v>
      </c>
      <c r="C4046" t="str">
        <f t="shared" si="1582"/>
        <v/>
      </c>
      <c r="D4046" t="str">
        <f t="shared" si="1592"/>
        <v>WASHINGTON NA</v>
      </c>
      <c r="E4046" t="str">
        <f t="shared" si="1584"/>
        <v>DC</v>
      </c>
      <c r="F4046" t="str">
        <f t="shared" si="1585"/>
        <v>203760005</v>
      </c>
      <c r="G4046" t="str">
        <f t="shared" si="1593"/>
        <v>1333 ISAAC HULL AVE SE</v>
      </c>
      <c r="H4046" t="str">
        <f t="shared" si="1594"/>
        <v/>
      </c>
      <c r="I4046" t="str">
        <f t="shared" si="1595"/>
        <v>WASHINGTON NA</v>
      </c>
      <c r="J4046" t="str">
        <f t="shared" si="1589"/>
        <v>DC</v>
      </c>
      <c r="K4046" t="str">
        <f>T("2027814713")</f>
        <v>2027814713</v>
      </c>
      <c r="L4046" t="str">
        <f>T("2027813482")</f>
        <v>2027813482</v>
      </c>
    </row>
    <row r="4047" spans="1:12" x14ac:dyDescent="0.35">
      <c r="A4047" t="str">
        <f t="shared" si="1580"/>
        <v>NAVSEA HQ</v>
      </c>
      <c r="B4047" t="str">
        <f t="shared" si="1581"/>
        <v>1333 ISAAC HULL AVE SE</v>
      </c>
      <c r="C4047" t="str">
        <f t="shared" si="1582"/>
        <v/>
      </c>
      <c r="D4047" t="str">
        <f t="shared" si="1592"/>
        <v>WASHINGTON NA</v>
      </c>
      <c r="E4047" t="str">
        <f t="shared" si="1584"/>
        <v>DC</v>
      </c>
      <c r="F4047" t="str">
        <f t="shared" si="1585"/>
        <v>203760005</v>
      </c>
      <c r="G4047" t="str">
        <f t="shared" si="1593"/>
        <v>1333 ISAAC HULL AVE SE</v>
      </c>
      <c r="H4047" t="str">
        <f t="shared" si="1594"/>
        <v/>
      </c>
      <c r="I4047" t="str">
        <f t="shared" si="1595"/>
        <v>WASHINGTON NA</v>
      </c>
      <c r="J4047" t="str">
        <f t="shared" si="1589"/>
        <v>DC</v>
      </c>
      <c r="K4047" t="str">
        <f>T("2027814736")</f>
        <v>2027814736</v>
      </c>
      <c r="L4047" t="str">
        <f>T("2027811114")</f>
        <v>2027811114</v>
      </c>
    </row>
    <row r="4048" spans="1:12" x14ac:dyDescent="0.35">
      <c r="A4048" t="str">
        <f t="shared" si="1580"/>
        <v>NAVSEA HQ</v>
      </c>
      <c r="B4048" t="str">
        <f t="shared" si="1581"/>
        <v>1333 ISAAC HULL AVE SE</v>
      </c>
      <c r="C4048" t="str">
        <f t="shared" si="1582"/>
        <v/>
      </c>
      <c r="D4048" t="str">
        <f t="shared" si="1592"/>
        <v>WASHINGTON NA</v>
      </c>
      <c r="E4048" t="str">
        <f t="shared" si="1584"/>
        <v>DC</v>
      </c>
      <c r="F4048" t="str">
        <f t="shared" si="1585"/>
        <v>203760005</v>
      </c>
      <c r="G4048" t="str">
        <f t="shared" si="1593"/>
        <v>1333 ISAAC HULL AVE SE</v>
      </c>
      <c r="H4048" t="str">
        <f t="shared" si="1594"/>
        <v/>
      </c>
      <c r="I4048" t="str">
        <f t="shared" si="1595"/>
        <v>WASHINGTON NA</v>
      </c>
      <c r="J4048" t="str">
        <f t="shared" si="1589"/>
        <v>DC</v>
      </c>
      <c r="K4048" t="str">
        <f>T("2027816405")</f>
        <v>2027816405</v>
      </c>
      <c r="L4048" t="str">
        <f>T("2027816080")</f>
        <v>2027816080</v>
      </c>
    </row>
    <row r="4049" spans="1:12" x14ac:dyDescent="0.35">
      <c r="A4049" t="str">
        <f t="shared" si="1580"/>
        <v>NAVSEA HQ</v>
      </c>
      <c r="B4049" t="str">
        <f t="shared" si="1581"/>
        <v>1333 ISAAC HULL AVE SE</v>
      </c>
      <c r="C4049" t="str">
        <f t="shared" si="1582"/>
        <v/>
      </c>
      <c r="D4049" t="str">
        <f t="shared" si="1592"/>
        <v>WASHINGTON NA</v>
      </c>
      <c r="E4049" t="str">
        <f t="shared" si="1584"/>
        <v>DC</v>
      </c>
      <c r="F4049" t="str">
        <f t="shared" si="1585"/>
        <v>203760005</v>
      </c>
      <c r="G4049" t="str">
        <f t="shared" si="1593"/>
        <v>1333 ISAAC HULL AVE SE</v>
      </c>
      <c r="H4049" t="str">
        <f t="shared" si="1594"/>
        <v/>
      </c>
      <c r="I4049" t="str">
        <f t="shared" si="1595"/>
        <v>WASHINGTON NA</v>
      </c>
      <c r="J4049" t="str">
        <f t="shared" si="1589"/>
        <v>DC</v>
      </c>
      <c r="K4049" t="str">
        <f>T("220781")</f>
        <v>220781</v>
      </c>
      <c r="L4049" t="str">
        <f>T("2207811816")</f>
        <v>2207811816</v>
      </c>
    </row>
    <row r="4050" spans="1:12" x14ac:dyDescent="0.35">
      <c r="A4050" t="str">
        <f t="shared" si="1580"/>
        <v>NAVSEA HQ</v>
      </c>
      <c r="B4050" t="str">
        <f t="shared" si="1581"/>
        <v>1333 ISAAC HULL AVE SE</v>
      </c>
      <c r="C4050" t="str">
        <f t="shared" si="1582"/>
        <v/>
      </c>
      <c r="D4050" t="str">
        <f t="shared" si="1592"/>
        <v>WASHINGTON NA</v>
      </c>
      <c r="E4050" t="str">
        <f t="shared" si="1584"/>
        <v>DC</v>
      </c>
      <c r="F4050" t="str">
        <f t="shared" si="1585"/>
        <v>203760005</v>
      </c>
      <c r="G4050" t="str">
        <f t="shared" si="1593"/>
        <v>1333 ISAAC HULL AVE SE</v>
      </c>
      <c r="H4050" t="str">
        <f t="shared" si="1594"/>
        <v/>
      </c>
      <c r="I4050" t="str">
        <f>T("WASHINGTON NAVY YARD")</f>
        <v>WASHINGTON NAVY YARD</v>
      </c>
      <c r="J4050" t="str">
        <f t="shared" si="1589"/>
        <v>DC</v>
      </c>
      <c r="K4050" t="str">
        <f>T("000000000000000000")</f>
        <v>000000000000000000</v>
      </c>
      <c r="L4050" t="str">
        <f>T("2027812449")</f>
        <v>2027812449</v>
      </c>
    </row>
    <row r="4051" spans="1:12" x14ac:dyDescent="0.35">
      <c r="A4051" t="str">
        <f t="shared" si="1580"/>
        <v>NAVSEA HQ</v>
      </c>
      <c r="B4051" t="str">
        <f t="shared" si="1581"/>
        <v>1333 ISAAC HULL AVE SE</v>
      </c>
      <c r="C4051" t="str">
        <f t="shared" si="1582"/>
        <v/>
      </c>
      <c r="D4051" t="str">
        <f t="shared" si="1592"/>
        <v>WASHINGTON NA</v>
      </c>
      <c r="E4051" t="str">
        <f t="shared" si="1584"/>
        <v>DC</v>
      </c>
      <c r="F4051" t="str">
        <f t="shared" si="1585"/>
        <v>203760005</v>
      </c>
      <c r="G4051" t="str">
        <f t="shared" si="1593"/>
        <v>1333 ISAAC HULL AVE SE</v>
      </c>
      <c r="H4051" t="str">
        <f t="shared" si="1594"/>
        <v/>
      </c>
      <c r="I4051" t="str">
        <f>T("WASHINGTON NAVY YARD")</f>
        <v>WASHINGTON NAVY YARD</v>
      </c>
      <c r="J4051" t="str">
        <f t="shared" si="1589"/>
        <v>DC</v>
      </c>
      <c r="K4051" t="str">
        <f>T("000000000000000000")</f>
        <v>000000000000000000</v>
      </c>
      <c r="L4051" t="str">
        <f>T("2027812977")</f>
        <v>2027812977</v>
      </c>
    </row>
    <row r="4052" spans="1:12" x14ac:dyDescent="0.35">
      <c r="A4052" t="str">
        <f t="shared" si="1580"/>
        <v>NAVSEA HQ</v>
      </c>
      <c r="B4052" t="str">
        <f t="shared" si="1581"/>
        <v>1333 ISAAC HULL AVE SE</v>
      </c>
      <c r="C4052" t="str">
        <f t="shared" si="1582"/>
        <v/>
      </c>
      <c r="D4052" t="str">
        <f t="shared" si="1592"/>
        <v>WASHINGTON NA</v>
      </c>
      <c r="E4052" t="str">
        <f t="shared" si="1584"/>
        <v>DC</v>
      </c>
      <c r="F4052" t="str">
        <f t="shared" si="1585"/>
        <v>203760005</v>
      </c>
      <c r="G4052" t="str">
        <f t="shared" si="1593"/>
        <v>1333 ISAAC HULL AVE SE</v>
      </c>
      <c r="H4052" t="str">
        <f t="shared" si="1594"/>
        <v/>
      </c>
      <c r="I4052" t="str">
        <f>T("WASHINGTON NAVY YARD")</f>
        <v>WASHINGTON NAVY YARD</v>
      </c>
      <c r="J4052" t="str">
        <f t="shared" si="1589"/>
        <v>DC</v>
      </c>
      <c r="K4052" t="str">
        <f>T("000000000000000000")</f>
        <v>000000000000000000</v>
      </c>
      <c r="L4052" t="str">
        <f>T("2027815926")</f>
        <v>2027815926</v>
      </c>
    </row>
    <row r="4053" spans="1:12" x14ac:dyDescent="0.35">
      <c r="A4053" t="str">
        <f t="shared" si="1580"/>
        <v>NAVSEA HQ</v>
      </c>
      <c r="B4053" t="str">
        <f t="shared" si="1581"/>
        <v>1333 ISAAC HULL AVE SE</v>
      </c>
      <c r="C4053" t="str">
        <f t="shared" si="1582"/>
        <v/>
      </c>
      <c r="D4053" t="str">
        <f t="shared" si="1592"/>
        <v>WASHINGTON NA</v>
      </c>
      <c r="E4053" t="str">
        <f t="shared" si="1584"/>
        <v>DC</v>
      </c>
      <c r="F4053" t="str">
        <f t="shared" si="1585"/>
        <v>203760005</v>
      </c>
      <c r="G4053" t="str">
        <f t="shared" si="1593"/>
        <v>1333 ISAAC HULL AVE SE</v>
      </c>
      <c r="H4053" t="str">
        <f>T("SEA 08 BLDG 104 - 1S102")</f>
        <v>SEA 08 BLDG 104 - 1S102</v>
      </c>
      <c r="I4053" t="str">
        <f>T("WASHINGTON NAVY YARD")</f>
        <v>WASHINGTON NAVY YARD</v>
      </c>
      <c r="J4053" t="str">
        <f t="shared" si="1589"/>
        <v>DC</v>
      </c>
      <c r="K4053" t="str">
        <f>T("2027816442")</f>
        <v>2027816442</v>
      </c>
      <c r="L4053" t="str">
        <f>T("2027815744")</f>
        <v>2027815744</v>
      </c>
    </row>
    <row r="4054" spans="1:12" x14ac:dyDescent="0.35">
      <c r="A4054" t="str">
        <f t="shared" si="1580"/>
        <v>NAVSEA HQ</v>
      </c>
      <c r="B4054" t="str">
        <f t="shared" si="1581"/>
        <v>1333 ISAAC HULL AVE SE</v>
      </c>
      <c r="C4054" t="str">
        <f t="shared" si="1582"/>
        <v/>
      </c>
      <c r="D4054" t="str">
        <f t="shared" si="1592"/>
        <v>WASHINGTON NA</v>
      </c>
      <c r="E4054" t="str">
        <f t="shared" si="1584"/>
        <v>DC</v>
      </c>
      <c r="F4054" t="str">
        <f t="shared" si="1585"/>
        <v>203760005</v>
      </c>
      <c r="G4054" t="str">
        <f t="shared" si="1593"/>
        <v>1333 ISAAC HULL AVE SE</v>
      </c>
      <c r="H4054" t="str">
        <f>T("WASHINGTON NAVY YARD SEA 00N")</f>
        <v>WASHINGTON NAVY YARD SEA 00N</v>
      </c>
      <c r="I4054" t="str">
        <f>T("WASHINGTON")</f>
        <v>WASHINGTON</v>
      </c>
      <c r="J4054" t="str">
        <f t="shared" si="1589"/>
        <v>DC</v>
      </c>
      <c r="K4054" t="str">
        <f>T("000000000000000000")</f>
        <v>000000000000000000</v>
      </c>
      <c r="L4054" t="str">
        <f>T("2027815272")</f>
        <v>2027815272</v>
      </c>
    </row>
    <row r="4055" spans="1:12" x14ac:dyDescent="0.35">
      <c r="A4055" t="str">
        <f t="shared" si="1580"/>
        <v>NAVSEA HQ</v>
      </c>
      <c r="B4055" t="str">
        <f t="shared" si="1581"/>
        <v>1333 ISAAC HULL AVE SE</v>
      </c>
      <c r="C4055" t="str">
        <f t="shared" si="1582"/>
        <v/>
      </c>
      <c r="D4055" t="str">
        <f t="shared" si="1592"/>
        <v>WASHINGTON NA</v>
      </c>
      <c r="E4055" t="str">
        <f t="shared" si="1584"/>
        <v>DC</v>
      </c>
      <c r="F4055" t="str">
        <f t="shared" si="1585"/>
        <v>203760005</v>
      </c>
      <c r="G4055" t="str">
        <f>T("1333 ISAAC HULL AVE SE BLDG 197")</f>
        <v>1333 ISAAC HULL AVE SE BLDG 197</v>
      </c>
      <c r="H4055" t="str">
        <f>T("")</f>
        <v/>
      </c>
      <c r="I4055" t="str">
        <f>T("WASHINGTON NAVY YARD")</f>
        <v>WASHINGTON NAVY YARD</v>
      </c>
      <c r="J4055" t="str">
        <f t="shared" si="1589"/>
        <v>DC</v>
      </c>
      <c r="K4055" t="str">
        <f>T("000000000000000000")</f>
        <v>000000000000000000</v>
      </c>
      <c r="L4055" t="str">
        <f>T("2027814926")</f>
        <v>2027814926</v>
      </c>
    </row>
    <row r="4056" spans="1:12" x14ac:dyDescent="0.35">
      <c r="A4056" t="str">
        <f t="shared" si="1580"/>
        <v>NAVSEA HQ</v>
      </c>
      <c r="B4056" t="str">
        <f t="shared" si="1581"/>
        <v>1333 ISAAC HULL AVE SE</v>
      </c>
      <c r="C4056" t="str">
        <f t="shared" si="1582"/>
        <v/>
      </c>
      <c r="D4056" t="str">
        <f t="shared" si="1592"/>
        <v>WASHINGTON NA</v>
      </c>
      <c r="E4056" t="str">
        <f t="shared" si="1584"/>
        <v>DC</v>
      </c>
      <c r="F4056" t="str">
        <f t="shared" si="1585"/>
        <v>203760005</v>
      </c>
      <c r="G4056" t="str">
        <f>T("1333 ISAAC HULL AVE SW")</f>
        <v>1333 ISAAC HULL AVE SW</v>
      </c>
      <c r="H4056" t="str">
        <f>T("")</f>
        <v/>
      </c>
      <c r="I4056" t="str">
        <f>T("WASHINGTON")</f>
        <v>WASHINGTON</v>
      </c>
      <c r="J4056" t="str">
        <f t="shared" si="1589"/>
        <v>DC</v>
      </c>
      <c r="K4056" t="str">
        <f>T("2027814608")</f>
        <v>2027814608</v>
      </c>
      <c r="L4056" t="str">
        <f>T("2027815237")</f>
        <v>2027815237</v>
      </c>
    </row>
    <row r="4057" spans="1:12" x14ac:dyDescent="0.35">
      <c r="A4057" t="str">
        <f t="shared" si="1580"/>
        <v>NAVSEA HQ</v>
      </c>
      <c r="B4057" t="str">
        <f t="shared" si="1581"/>
        <v>1333 ISAAC HULL AVE SE</v>
      </c>
      <c r="C4057" t="str">
        <f>T("BLDG 197")</f>
        <v>BLDG 197</v>
      </c>
      <c r="D4057" t="str">
        <f t="shared" si="1592"/>
        <v>WASHINGTON NA</v>
      </c>
      <c r="E4057" t="str">
        <f t="shared" si="1584"/>
        <v>DC</v>
      </c>
      <c r="F4057" t="str">
        <f t="shared" si="1585"/>
        <v>203760005</v>
      </c>
      <c r="G4057" t="str">
        <f>T("1333 ISAAC HULL AVE S E")</f>
        <v>1333 ISAAC HULL AVE S E</v>
      </c>
      <c r="H4057" t="str">
        <f>T("")</f>
        <v/>
      </c>
      <c r="I4057" t="str">
        <f>T("WASHINGTON")</f>
        <v>WASHINGTON</v>
      </c>
      <c r="J4057" t="str">
        <f t="shared" si="1589"/>
        <v>DC</v>
      </c>
      <c r="K4057" t="str">
        <f>T("2027814568")</f>
        <v>2027814568</v>
      </c>
      <c r="L4057" t="str">
        <f>T("2027815378")</f>
        <v>2027815378</v>
      </c>
    </row>
    <row r="4058" spans="1:12" x14ac:dyDescent="0.35">
      <c r="A4058" t="str">
        <f t="shared" si="1580"/>
        <v>NAVSEA HQ</v>
      </c>
      <c r="B4058" t="str">
        <f t="shared" si="1581"/>
        <v>1333 ISAAC HULL AVE SE</v>
      </c>
      <c r="C4058" t="str">
        <f>T("BLDG 197")</f>
        <v>BLDG 197</v>
      </c>
      <c r="D4058" t="str">
        <f t="shared" si="1592"/>
        <v>WASHINGTON NA</v>
      </c>
      <c r="E4058" t="str">
        <f t="shared" si="1584"/>
        <v>DC</v>
      </c>
      <c r="F4058" t="str">
        <f t="shared" si="1585"/>
        <v>203760005</v>
      </c>
      <c r="G4058" t="str">
        <f t="shared" ref="G4058:G4068" si="1596">T("1333 ISAAC HULL AVE SE")</f>
        <v>1333 ISAAC HULL AVE SE</v>
      </c>
      <c r="H4058" t="str">
        <f>T("")</f>
        <v/>
      </c>
      <c r="I4058" t="str">
        <f>T("WASHINGTON")</f>
        <v>WASHINGTON</v>
      </c>
      <c r="J4058" t="str">
        <f t="shared" si="1589"/>
        <v>DC</v>
      </c>
      <c r="K4058" t="str">
        <f>T("000000000000000000")</f>
        <v>000000000000000000</v>
      </c>
      <c r="L4058" t="str">
        <f>T("2027812350")</f>
        <v>2027812350</v>
      </c>
    </row>
    <row r="4059" spans="1:12" x14ac:dyDescent="0.35">
      <c r="A4059" t="str">
        <f t="shared" ref="A4059:A4086" si="1597">T("NAVSEA HQ")</f>
        <v>NAVSEA HQ</v>
      </c>
      <c r="B4059" t="str">
        <f t="shared" si="1581"/>
        <v>1333 ISAAC HULL AVE SE</v>
      </c>
      <c r="C4059" t="str">
        <f>T("BLDG 197")</f>
        <v>BLDG 197</v>
      </c>
      <c r="D4059" t="str">
        <f t="shared" si="1592"/>
        <v>WASHINGTON NA</v>
      </c>
      <c r="E4059" t="str">
        <f t="shared" si="1584"/>
        <v>DC</v>
      </c>
      <c r="F4059" t="str">
        <f t="shared" si="1585"/>
        <v>203760005</v>
      </c>
      <c r="G4059" t="str">
        <f t="shared" si="1596"/>
        <v>1333 ISAAC HULL AVE SE</v>
      </c>
      <c r="H4059" t="str">
        <f>T("")</f>
        <v/>
      </c>
      <c r="I4059" t="str">
        <f>T("WASHINGTON NAVY YARD")</f>
        <v>WASHINGTON NAVY YARD</v>
      </c>
      <c r="J4059" t="str">
        <f t="shared" si="1589"/>
        <v>DC</v>
      </c>
      <c r="K4059" t="str">
        <f>T("2027814526")</f>
        <v>2027814526</v>
      </c>
      <c r="L4059" t="str">
        <f>T("2027810464")</f>
        <v>2027810464</v>
      </c>
    </row>
    <row r="4060" spans="1:12" x14ac:dyDescent="0.35">
      <c r="A4060" t="str">
        <f t="shared" si="1597"/>
        <v>NAVSEA HQ</v>
      </c>
      <c r="B4060" t="str">
        <f t="shared" si="1581"/>
        <v>1333 ISAAC HULL AVE SE</v>
      </c>
      <c r="C4060" t="str">
        <f>T("BLDG 197")</f>
        <v>BLDG 197</v>
      </c>
      <c r="D4060" t="str">
        <f t="shared" si="1592"/>
        <v>WASHINGTON NA</v>
      </c>
      <c r="E4060" t="str">
        <f t="shared" si="1584"/>
        <v>DC</v>
      </c>
      <c r="F4060" t="str">
        <f t="shared" si="1585"/>
        <v>203760005</v>
      </c>
      <c r="G4060" t="str">
        <f t="shared" si="1596"/>
        <v>1333 ISAAC HULL AVE SE</v>
      </c>
      <c r="H4060" t="str">
        <f>T("BLDG 197")</f>
        <v>BLDG 197</v>
      </c>
      <c r="I4060" t="str">
        <f>T("WASHINGTON NA")</f>
        <v>WASHINGTON NA</v>
      </c>
      <c r="J4060" t="str">
        <f t="shared" si="1589"/>
        <v>DC</v>
      </c>
      <c r="K4060" t="str">
        <f>T("")</f>
        <v/>
      </c>
      <c r="L4060" t="str">
        <f>T("2027813051")</f>
        <v>2027813051</v>
      </c>
    </row>
    <row r="4061" spans="1:12" x14ac:dyDescent="0.35">
      <c r="A4061" t="str">
        <f t="shared" si="1597"/>
        <v>NAVSEA HQ</v>
      </c>
      <c r="B4061" t="str">
        <f t="shared" si="1581"/>
        <v>1333 ISAAC HULL AVE SE</v>
      </c>
      <c r="C4061" t="str">
        <f>T("BLDG 197")</f>
        <v>BLDG 197</v>
      </c>
      <c r="D4061" t="str">
        <f t="shared" si="1592"/>
        <v>WASHINGTON NA</v>
      </c>
      <c r="E4061" t="str">
        <f t="shared" si="1584"/>
        <v>DC</v>
      </c>
      <c r="F4061" t="str">
        <f t="shared" si="1585"/>
        <v>203760005</v>
      </c>
      <c r="G4061" t="str">
        <f t="shared" si="1596"/>
        <v>1333 ISAAC HULL AVE SE</v>
      </c>
      <c r="H4061" t="str">
        <f>T("BLDG 197")</f>
        <v>BLDG 197</v>
      </c>
      <c r="I4061" t="str">
        <f>T("WASHINGTON NA")</f>
        <v>WASHINGTON NA</v>
      </c>
      <c r="J4061" t="str">
        <f t="shared" si="1589"/>
        <v>DC</v>
      </c>
      <c r="K4061" t="str">
        <f>T("")</f>
        <v/>
      </c>
      <c r="L4061" t="str">
        <f>T("2027813242")</f>
        <v>2027813242</v>
      </c>
    </row>
    <row r="4062" spans="1:12" x14ac:dyDescent="0.35">
      <c r="A4062" t="str">
        <f t="shared" si="1597"/>
        <v>NAVSEA HQ</v>
      </c>
      <c r="B4062" t="str">
        <f t="shared" si="1581"/>
        <v>1333 ISAAC HULL AVE SE</v>
      </c>
      <c r="C4062" t="str">
        <f>T("BLDG 197 4W3842")</f>
        <v>BLDG 197 4W3842</v>
      </c>
      <c r="D4062" t="str">
        <f t="shared" si="1592"/>
        <v>WASHINGTON NA</v>
      </c>
      <c r="E4062" t="str">
        <f t="shared" si="1584"/>
        <v>DC</v>
      </c>
      <c r="F4062" t="str">
        <f t="shared" si="1585"/>
        <v>203760005</v>
      </c>
      <c r="G4062" t="str">
        <f t="shared" si="1596"/>
        <v>1333 ISAAC HULL AVE SE</v>
      </c>
      <c r="H4062" t="str">
        <f>T("")</f>
        <v/>
      </c>
      <c r="I4062" t="str">
        <f>T("WASHINGTON NAVY YARD")</f>
        <v>WASHINGTON NAVY YARD</v>
      </c>
      <c r="J4062" t="str">
        <f t="shared" si="1589"/>
        <v>DC</v>
      </c>
      <c r="K4062" t="str">
        <f>T("000000000000000000")</f>
        <v>000000000000000000</v>
      </c>
      <c r="L4062" t="str">
        <f>T("2027813109")</f>
        <v>2027813109</v>
      </c>
    </row>
    <row r="4063" spans="1:12" x14ac:dyDescent="0.35">
      <c r="A4063" t="str">
        <f t="shared" si="1597"/>
        <v>NAVSEA HQ</v>
      </c>
      <c r="B4063" t="str">
        <f t="shared" si="1581"/>
        <v>1333 ISAAC HULL AVE SE</v>
      </c>
      <c r="C4063" t="str">
        <f>T("BLDG 197 4W3842")</f>
        <v>BLDG 197 4W3842</v>
      </c>
      <c r="D4063" t="str">
        <f t="shared" si="1592"/>
        <v>WASHINGTON NA</v>
      </c>
      <c r="E4063" t="str">
        <f t="shared" si="1584"/>
        <v>DC</v>
      </c>
      <c r="F4063" t="str">
        <f t="shared" si="1585"/>
        <v>203760005</v>
      </c>
      <c r="G4063" t="str">
        <f t="shared" si="1596"/>
        <v>1333 ISAAC HULL AVE SE</v>
      </c>
      <c r="H4063" t="str">
        <f>T("BLDG 197 4W3842")</f>
        <v>BLDG 197 4W3842</v>
      </c>
      <c r="I4063" t="str">
        <f>T("WASHINGTON NA")</f>
        <v>WASHINGTON NA</v>
      </c>
      <c r="J4063" t="str">
        <f t="shared" si="1589"/>
        <v>DC</v>
      </c>
      <c r="K4063" t="str">
        <f>T("2027814628")</f>
        <v>2027814628</v>
      </c>
      <c r="L4063" t="str">
        <f>T("2027813105")</f>
        <v>2027813105</v>
      </c>
    </row>
    <row r="4064" spans="1:12" x14ac:dyDescent="0.35">
      <c r="A4064" t="str">
        <f t="shared" si="1597"/>
        <v>NAVSEA HQ</v>
      </c>
      <c r="B4064" t="str">
        <f t="shared" si="1581"/>
        <v>1333 ISAAC HULL AVE SE</v>
      </c>
      <c r="C4064" t="str">
        <f>T("BLDG 197 5W1063")</f>
        <v>BLDG 197 5W1063</v>
      </c>
      <c r="D4064" t="str">
        <f t="shared" si="1592"/>
        <v>WASHINGTON NA</v>
      </c>
      <c r="E4064" t="str">
        <f t="shared" si="1584"/>
        <v>DC</v>
      </c>
      <c r="F4064" t="str">
        <f t="shared" si="1585"/>
        <v>203760005</v>
      </c>
      <c r="G4064" t="str">
        <f t="shared" si="1596"/>
        <v>1333 ISAAC HULL AVE SE</v>
      </c>
      <c r="H4064" t="str">
        <f>T("")</f>
        <v/>
      </c>
      <c r="I4064" t="str">
        <f>T("WASHINGTON NAVY YARD")</f>
        <v>WASHINGTON NAVY YARD</v>
      </c>
      <c r="J4064" t="str">
        <f t="shared" si="1589"/>
        <v>DC</v>
      </c>
      <c r="K4064" t="str">
        <f>T("000000000000000000")</f>
        <v>000000000000000000</v>
      </c>
      <c r="L4064" t="str">
        <f>T("2027811534")</f>
        <v>2027811534</v>
      </c>
    </row>
    <row r="4065" spans="1:12" x14ac:dyDescent="0.35">
      <c r="A4065" t="str">
        <f t="shared" si="1597"/>
        <v>NAVSEA HQ</v>
      </c>
      <c r="B4065" t="str">
        <f t="shared" si="1581"/>
        <v>1333 ISAAC HULL AVE SE</v>
      </c>
      <c r="C4065" t="str">
        <f>T("BLDG 197 5W1063")</f>
        <v>BLDG 197 5W1063</v>
      </c>
      <c r="D4065" t="str">
        <f t="shared" si="1592"/>
        <v>WASHINGTON NA</v>
      </c>
      <c r="E4065" t="str">
        <f t="shared" si="1584"/>
        <v>DC</v>
      </c>
      <c r="F4065" t="str">
        <f t="shared" si="1585"/>
        <v>203760005</v>
      </c>
      <c r="G4065" t="str">
        <f t="shared" si="1596"/>
        <v>1333 ISAAC HULL AVE SE</v>
      </c>
      <c r="H4065" t="str">
        <f>T("BLDG 197 5W1063")</f>
        <v>BLDG 197 5W1063</v>
      </c>
      <c r="I4065" t="str">
        <f>T("WASHINGTON NA")</f>
        <v>WASHINGTON NA</v>
      </c>
      <c r="J4065" t="str">
        <f t="shared" si="1589"/>
        <v>DC</v>
      </c>
      <c r="K4065" t="str">
        <f>T("")</f>
        <v/>
      </c>
      <c r="L4065" t="str">
        <f>T("2027811534")</f>
        <v>2027811534</v>
      </c>
    </row>
    <row r="4066" spans="1:12" x14ac:dyDescent="0.35">
      <c r="A4066" t="str">
        <f t="shared" si="1597"/>
        <v>NAVSEA HQ</v>
      </c>
      <c r="B4066" t="str">
        <f t="shared" si="1581"/>
        <v>1333 ISAAC HULL AVE SE</v>
      </c>
      <c r="C4066" t="str">
        <f>T("BLDG 197 5W1063")</f>
        <v>BLDG 197 5W1063</v>
      </c>
      <c r="D4066" t="str">
        <f t="shared" si="1592"/>
        <v>WASHINGTON NA</v>
      </c>
      <c r="E4066" t="str">
        <f t="shared" si="1584"/>
        <v>DC</v>
      </c>
      <c r="F4066" t="str">
        <f t="shared" si="1585"/>
        <v>203760005</v>
      </c>
      <c r="G4066" t="str">
        <f t="shared" si="1596"/>
        <v>1333 ISAAC HULL AVE SE</v>
      </c>
      <c r="H4066" t="str">
        <f>T("MS 5020")</f>
        <v>MS 5020</v>
      </c>
      <c r="I4066" t="str">
        <f>T("WASHINGTON NAVY YARD")</f>
        <v>WASHINGTON NAVY YARD</v>
      </c>
      <c r="J4066" t="str">
        <f t="shared" si="1589"/>
        <v>DC</v>
      </c>
      <c r="K4066" t="str">
        <f>T("2027814557")</f>
        <v>2027814557</v>
      </c>
      <c r="L4066" t="str">
        <f>T("2027814048")</f>
        <v>2027814048</v>
      </c>
    </row>
    <row r="4067" spans="1:12" x14ac:dyDescent="0.35">
      <c r="A4067" t="str">
        <f t="shared" si="1597"/>
        <v>NAVSEA HQ</v>
      </c>
      <c r="B4067" t="str">
        <f>T("1333 ISAAC HULL SE")</f>
        <v>1333 ISAAC HULL SE</v>
      </c>
      <c r="C4067" t="str">
        <f>T("BLDG 197")</f>
        <v>BLDG 197</v>
      </c>
      <c r="D4067" t="str">
        <f t="shared" si="1592"/>
        <v>WASHINGTON NA</v>
      </c>
      <c r="E4067" t="str">
        <f t="shared" si="1584"/>
        <v>DC</v>
      </c>
      <c r="F4067" t="str">
        <f t="shared" si="1585"/>
        <v>203760005</v>
      </c>
      <c r="G4067" t="str">
        <f t="shared" si="1596"/>
        <v>1333 ISAAC HULL AVE SE</v>
      </c>
      <c r="H4067" t="str">
        <f>T("")</f>
        <v/>
      </c>
      <c r="I4067" t="str">
        <f>T("WASHINGTON")</f>
        <v>WASHINGTON</v>
      </c>
      <c r="J4067" t="str">
        <f t="shared" si="1589"/>
        <v>DC</v>
      </c>
      <c r="K4067" t="str">
        <f>T("000000000000000000")</f>
        <v>000000000000000000</v>
      </c>
      <c r="L4067" t="str">
        <f>T("2027811871")</f>
        <v>2027811871</v>
      </c>
    </row>
    <row r="4068" spans="1:12" x14ac:dyDescent="0.35">
      <c r="A4068" t="str">
        <f t="shared" si="1597"/>
        <v>NAVSEA HQ</v>
      </c>
      <c r="B4068" t="str">
        <f>T("1333 ISAAC HULL SE")</f>
        <v>1333 ISAAC HULL SE</v>
      </c>
      <c r="C4068" t="str">
        <f>T("BLDG 197")</f>
        <v>BLDG 197</v>
      </c>
      <c r="D4068" t="str">
        <f t="shared" si="1592"/>
        <v>WASHINGTON NA</v>
      </c>
      <c r="E4068" t="str">
        <f t="shared" si="1584"/>
        <v>DC</v>
      </c>
      <c r="F4068" t="str">
        <f t="shared" si="1585"/>
        <v>203760005</v>
      </c>
      <c r="G4068" t="str">
        <f t="shared" si="1596"/>
        <v>1333 ISAAC HULL AVE SE</v>
      </c>
      <c r="H4068" t="str">
        <f>T("WASHINGTON NAVY YARD")</f>
        <v>WASHINGTON NAVY YARD</v>
      </c>
      <c r="I4068" t="str">
        <f>T("WASHINGTON")</f>
        <v>WASHINGTON</v>
      </c>
      <c r="J4068" t="str">
        <f t="shared" si="1589"/>
        <v>DC</v>
      </c>
      <c r="K4068" t="str">
        <f>T("000000000000000000")</f>
        <v>000000000000000000</v>
      </c>
      <c r="L4068" t="str">
        <f>T("2027814908")</f>
        <v>2027814908</v>
      </c>
    </row>
    <row r="4069" spans="1:12" x14ac:dyDescent="0.35">
      <c r="A4069" t="str">
        <f t="shared" si="1597"/>
        <v>NAVSEA HQ</v>
      </c>
      <c r="B4069" t="str">
        <f>T("1333 ISAAC HULL SE")</f>
        <v>1333 ISAAC HULL SE</v>
      </c>
      <c r="C4069" t="str">
        <f>T("BLDG 197")</f>
        <v>BLDG 197</v>
      </c>
      <c r="D4069" t="str">
        <f t="shared" si="1592"/>
        <v>WASHINGTON NA</v>
      </c>
      <c r="E4069" t="str">
        <f t="shared" si="1584"/>
        <v>DC</v>
      </c>
      <c r="F4069" t="str">
        <f t="shared" si="1585"/>
        <v>203760005</v>
      </c>
      <c r="G4069" t="str">
        <f>T("1333 ISAAC HULL SE")</f>
        <v>1333 ISAAC HULL SE</v>
      </c>
      <c r="H4069" t="str">
        <f>T("BLDG 197")</f>
        <v>BLDG 197</v>
      </c>
      <c r="I4069" t="str">
        <f>T("WASHINGTON NA")</f>
        <v>WASHINGTON NA</v>
      </c>
      <c r="J4069" t="str">
        <f t="shared" si="1589"/>
        <v>DC</v>
      </c>
      <c r="K4069" t="str">
        <f>T("2027814717")</f>
        <v>2027814717</v>
      </c>
      <c r="L4069" t="str">
        <f>T("2027814862")</f>
        <v>2027814862</v>
      </c>
    </row>
    <row r="4070" spans="1:12" x14ac:dyDescent="0.35">
      <c r="A4070" t="str">
        <f t="shared" si="1597"/>
        <v>NAVSEA HQ</v>
      </c>
      <c r="B4070" t="str">
        <f>T("1333 ISAAC HULL SE")</f>
        <v>1333 ISAAC HULL SE</v>
      </c>
      <c r="C4070" t="str">
        <f>T("BLDG 197")</f>
        <v>BLDG 197</v>
      </c>
      <c r="D4070" t="str">
        <f t="shared" si="1592"/>
        <v>WASHINGTON NA</v>
      </c>
      <c r="E4070" t="str">
        <f t="shared" si="1584"/>
        <v>DC</v>
      </c>
      <c r="F4070" t="str">
        <f t="shared" si="1585"/>
        <v>203760005</v>
      </c>
      <c r="G4070" t="str">
        <f>T("NAVAL SEA SYSTEMS COMMAND")</f>
        <v>NAVAL SEA SYSTEMS COMMAND</v>
      </c>
      <c r="H4070" t="str">
        <f>T("1331 HULL SE BLDG 197")</f>
        <v>1331 HULL SE BLDG 197</v>
      </c>
      <c r="I4070" t="str">
        <f>T("WASHINGTON NAVY YARD")</f>
        <v>WASHINGTON NAVY YARD</v>
      </c>
      <c r="J4070" t="str">
        <f t="shared" si="1589"/>
        <v>DC</v>
      </c>
      <c r="K4070" t="str">
        <f>T("000000000000000000")</f>
        <v>000000000000000000</v>
      </c>
      <c r="L4070" t="str">
        <f>T("2027815200")</f>
        <v>2027815200</v>
      </c>
    </row>
    <row r="4071" spans="1:12" x14ac:dyDescent="0.35">
      <c r="A4071" t="str">
        <f t="shared" si="1597"/>
        <v>NAVSEA HQ</v>
      </c>
      <c r="B4071" t="str">
        <f>T("1333 ISAAC HULL SE BLDG 197")</f>
        <v>1333 ISAAC HULL SE BLDG 197</v>
      </c>
      <c r="C4071" t="str">
        <f>T("WASHINGTON NAVY YARD")</f>
        <v>WASHINGTON NAVY YARD</v>
      </c>
      <c r="D4071" t="str">
        <f>T("WASHINGTON")</f>
        <v>WASHINGTON</v>
      </c>
      <c r="E4071" t="str">
        <f t="shared" si="1584"/>
        <v>DC</v>
      </c>
      <c r="F4071" t="str">
        <f t="shared" si="1585"/>
        <v>203760005</v>
      </c>
      <c r="G4071" t="str">
        <f>T("1333 ISAAC HULL AVE SE")</f>
        <v>1333 ISAAC HULL AVE SE</v>
      </c>
      <c r="H4071" t="str">
        <f>T("WASHINGTON NAVY YARD")</f>
        <v>WASHINGTON NAVY YARD</v>
      </c>
      <c r="I4071" t="str">
        <f>T("WASHINGTON")</f>
        <v>WASHINGTON</v>
      </c>
      <c r="J4071" t="str">
        <f t="shared" si="1589"/>
        <v>DC</v>
      </c>
      <c r="K4071" t="str">
        <f>T("000000000000000000")</f>
        <v>000000000000000000</v>
      </c>
      <c r="L4071" t="str">
        <f>T("2027812055")</f>
        <v>2027812055</v>
      </c>
    </row>
    <row r="4072" spans="1:12" x14ac:dyDescent="0.35">
      <c r="A4072" t="str">
        <f t="shared" si="1597"/>
        <v>NAVSEA HQ</v>
      </c>
      <c r="B4072" t="str">
        <f>T("1333 ISAAC HULL SE BLDG 197")</f>
        <v>1333 ISAAC HULL SE BLDG 197</v>
      </c>
      <c r="C4072" t="str">
        <f>T("WASHINGTON NAVY YARD")</f>
        <v>WASHINGTON NAVY YARD</v>
      </c>
      <c r="D4072" t="str">
        <f>T("WASHINGTON")</f>
        <v>WASHINGTON</v>
      </c>
      <c r="E4072" t="str">
        <f t="shared" si="1584"/>
        <v>DC</v>
      </c>
      <c r="F4072" t="str">
        <f t="shared" si="1585"/>
        <v>203760005</v>
      </c>
      <c r="G4072" t="str">
        <f>T("1333 ISAAC HULL SE BLDG 197")</f>
        <v>1333 ISAAC HULL SE BLDG 197</v>
      </c>
      <c r="H4072" t="str">
        <f>T("WASHINGTON NAVY YARD")</f>
        <v>WASHINGTON NAVY YARD</v>
      </c>
      <c r="I4072" t="str">
        <f>T("WASHINGTON")</f>
        <v>WASHINGTON</v>
      </c>
      <c r="J4072" t="str">
        <f t="shared" si="1589"/>
        <v>DC</v>
      </c>
      <c r="K4072" t="str">
        <f>T("000000000000000000")</f>
        <v>000000000000000000</v>
      </c>
      <c r="L4072" t="str">
        <f>T("2027810992")</f>
        <v>2027810992</v>
      </c>
    </row>
    <row r="4073" spans="1:12" x14ac:dyDescent="0.35">
      <c r="A4073" t="str">
        <f t="shared" si="1597"/>
        <v>NAVSEA HQ</v>
      </c>
      <c r="B4073" t="str">
        <f>T("510 INDEPENDENCE PKWY SUITE 500")</f>
        <v>510 INDEPENDENCE PKWY SUITE 500</v>
      </c>
      <c r="C4073" t="str">
        <f>T("PEO CARRIERS")</f>
        <v>PEO CARRIERS</v>
      </c>
      <c r="D4073" t="str">
        <f>T("CHESAPEAKE")</f>
        <v>CHESAPEAKE</v>
      </c>
      <c r="E4073" t="str">
        <f>T("VA")</f>
        <v>VA</v>
      </c>
      <c r="F4073" t="str">
        <f>T("233205191")</f>
        <v>233205191</v>
      </c>
      <c r="G4073" t="str">
        <f>T("510 INDEPENDENCE PKWY SUITE 500")</f>
        <v>510 INDEPENDENCE PKWY SUITE 500</v>
      </c>
      <c r="H4073" t="str">
        <f>T("PEO CARRIERS")</f>
        <v>PEO CARRIERS</v>
      </c>
      <c r="I4073" t="str">
        <f>T("CHESAPEAKE")</f>
        <v>CHESAPEAKE</v>
      </c>
      <c r="J4073" t="str">
        <f>T("VA")</f>
        <v>VA</v>
      </c>
      <c r="K4073" t="str">
        <f>T("")</f>
        <v/>
      </c>
      <c r="L4073" t="str">
        <f>T("7578196820")</f>
        <v>7578196820</v>
      </c>
    </row>
    <row r="4074" spans="1:12" x14ac:dyDescent="0.35">
      <c r="A4074" t="str">
        <f t="shared" si="1597"/>
        <v>NAVSEA HQ</v>
      </c>
      <c r="B4074" t="str">
        <f>T("510 INDEPENDENCE PKWY SUITE 500")</f>
        <v>510 INDEPENDENCE PKWY SUITE 500</v>
      </c>
      <c r="C4074" t="str">
        <f>T("PEO CARRIERS")</f>
        <v>PEO CARRIERS</v>
      </c>
      <c r="D4074" t="str">
        <f>T("CHESAPEAKE")</f>
        <v>CHESAPEAKE</v>
      </c>
      <c r="E4074" t="str">
        <f>T("VA")</f>
        <v>VA</v>
      </c>
      <c r="F4074" t="str">
        <f>T("233205191")</f>
        <v>233205191</v>
      </c>
      <c r="G4074" t="str">
        <f>T("CARRIER PLANNING ACTIVITY")</f>
        <v>CARRIER PLANNING ACTIVITY</v>
      </c>
      <c r="H4074" t="str">
        <f>T("BLDG 33")</f>
        <v>BLDG 33</v>
      </c>
      <c r="I4074" t="str">
        <f>T("PORTSMOUTH")</f>
        <v>PORTSMOUTH</v>
      </c>
      <c r="J4074" t="str">
        <f>T("VA")</f>
        <v>VA</v>
      </c>
      <c r="K4074" t="str">
        <f>T("000000000000000000")</f>
        <v>000000000000000000</v>
      </c>
      <c r="L4074" t="str">
        <f>T("7579672595")</f>
        <v>7579672595</v>
      </c>
    </row>
    <row r="4075" spans="1:12" x14ac:dyDescent="0.35">
      <c r="A4075" t="str">
        <f t="shared" si="1597"/>
        <v>NAVSEA HQ</v>
      </c>
      <c r="B4075" t="str">
        <f>T("614 SICARD ST SE")</f>
        <v>614 SICARD ST SE</v>
      </c>
      <c r="C4075" t="str">
        <f>T("")</f>
        <v/>
      </c>
      <c r="D4075" t="str">
        <f>T("WASHINGTON NA")</f>
        <v>WASHINGTON NA</v>
      </c>
      <c r="E4075" t="str">
        <f>T("DC")</f>
        <v>DC</v>
      </c>
      <c r="F4075" t="str">
        <f>T("203767000")</f>
        <v>203767000</v>
      </c>
      <c r="G4075" t="str">
        <f>T("614 SICARD ST SE")</f>
        <v>614 SICARD ST SE</v>
      </c>
      <c r="H4075" t="str">
        <f>T("")</f>
        <v/>
      </c>
      <c r="I4075" t="str">
        <f>T("WASHINGTON NA")</f>
        <v>WASHINGTON NA</v>
      </c>
      <c r="J4075" t="str">
        <f>T("DC")</f>
        <v>DC</v>
      </c>
      <c r="K4075" t="str">
        <f>T("2027814688")</f>
        <v>2027814688</v>
      </c>
      <c r="L4075" t="str">
        <f>T("2027811468")</f>
        <v>2027811468</v>
      </c>
    </row>
    <row r="4076" spans="1:12" x14ac:dyDescent="0.35">
      <c r="A4076" t="str">
        <f t="shared" si="1597"/>
        <v>NAVSEA HQ</v>
      </c>
      <c r="B4076" t="str">
        <f>T("614 SICARD STREET SE")</f>
        <v>614 SICARD STREET SE</v>
      </c>
      <c r="C4076" t="str">
        <f>T("BLDG 201 MAIL STOP 7007")</f>
        <v>BLDG 201 MAIL STOP 7007</v>
      </c>
      <c r="D4076" t="str">
        <f>T("WASHINGTON NA")</f>
        <v>WASHINGTON NA</v>
      </c>
      <c r="E4076" t="str">
        <f>T("DC")</f>
        <v>DC</v>
      </c>
      <c r="F4076" t="str">
        <f>T("203767000")</f>
        <v>203767000</v>
      </c>
      <c r="G4076" t="str">
        <f>T("1333 ISAAC HULL AVE SE")</f>
        <v>1333 ISAAC HULL AVE SE</v>
      </c>
      <c r="H4076" t="str">
        <f>T("")</f>
        <v/>
      </c>
      <c r="I4076" t="str">
        <f>T("WASHINGTON NAVY YARD")</f>
        <v>WASHINGTON NAVY YARD</v>
      </c>
      <c r="J4076" t="str">
        <f>T("DC")</f>
        <v>DC</v>
      </c>
      <c r="K4076" t="str">
        <f>T("000000000000000000")</f>
        <v>000000000000000000</v>
      </c>
      <c r="L4076" t="str">
        <f>T("2027810529")</f>
        <v>2027810529</v>
      </c>
    </row>
    <row r="4077" spans="1:12" x14ac:dyDescent="0.35">
      <c r="A4077" t="str">
        <f t="shared" si="1597"/>
        <v>NAVSEA HQ</v>
      </c>
      <c r="B4077" t="str">
        <f>T("614 SICARD STREET SE")</f>
        <v>614 SICARD STREET SE</v>
      </c>
      <c r="C4077" t="str">
        <f>T("BLDG 201 MAIL STOP 7007")</f>
        <v>BLDG 201 MAIL STOP 7007</v>
      </c>
      <c r="D4077" t="str">
        <f>T("WASHINGTON NA")</f>
        <v>WASHINGTON NA</v>
      </c>
      <c r="E4077" t="str">
        <f>T("DC")</f>
        <v>DC</v>
      </c>
      <c r="F4077" t="str">
        <f>T("203767000")</f>
        <v>203767000</v>
      </c>
      <c r="G4077" t="str">
        <f>T("614 SICARD STREET SE")</f>
        <v>614 SICARD STREET SE</v>
      </c>
      <c r="H4077" t="str">
        <f>T("BLDG 201 MAIL STOP 7007")</f>
        <v>BLDG 201 MAIL STOP 7007</v>
      </c>
      <c r="I4077" t="str">
        <f>T("WASHINGTON NA")</f>
        <v>WASHINGTON NA</v>
      </c>
      <c r="J4077" t="str">
        <f>T("DC")</f>
        <v>DC</v>
      </c>
      <c r="K4077" t="str">
        <f>T("")</f>
        <v/>
      </c>
      <c r="L4077" t="str">
        <f>T("2027810755")</f>
        <v>2027810755</v>
      </c>
    </row>
    <row r="4078" spans="1:12" x14ac:dyDescent="0.35">
      <c r="A4078" t="str">
        <f t="shared" si="1597"/>
        <v>NAVSEA HQ</v>
      </c>
      <c r="B4078" t="str">
        <f>T("9170 SECOND STREET")</f>
        <v>9170 SECOND STREET</v>
      </c>
      <c r="C4078" t="str">
        <f>T("SUITE 245")</f>
        <v>SUITE 245</v>
      </c>
      <c r="D4078" t="str">
        <f>T("NORFOLK")</f>
        <v>NORFOLK</v>
      </c>
      <c r="E4078" t="str">
        <f t="shared" ref="E4078:E4086" si="1598">T("VA")</f>
        <v>VA</v>
      </c>
      <c r="F4078" t="str">
        <f>T("235112327")</f>
        <v>235112327</v>
      </c>
      <c r="G4078" t="str">
        <f>T("9170 SECOND STREET")</f>
        <v>9170 SECOND STREET</v>
      </c>
      <c r="H4078" t="str">
        <f>T("SUITE 245")</f>
        <v>SUITE 245</v>
      </c>
      <c r="I4078" t="str">
        <f>T("NORFOLK")</f>
        <v>NORFOLK</v>
      </c>
      <c r="J4078" t="str">
        <f t="shared" ref="J4078:J4086" si="1599">T("VA")</f>
        <v>VA</v>
      </c>
      <c r="K4078" t="str">
        <f>T("7574452993")</f>
        <v>7574452993</v>
      </c>
      <c r="L4078" t="str">
        <f>T("1111111111")</f>
        <v>1111111111</v>
      </c>
    </row>
    <row r="4079" spans="1:12" x14ac:dyDescent="0.35">
      <c r="A4079" t="str">
        <f t="shared" si="1597"/>
        <v>NAVSEA HQ</v>
      </c>
      <c r="B4079" t="str">
        <f>T("9170 SECOND STREET")</f>
        <v>9170 SECOND STREET</v>
      </c>
      <c r="C4079" t="str">
        <f>T("SUITE 245")</f>
        <v>SUITE 245</v>
      </c>
      <c r="D4079" t="str">
        <f>T("NORFOLK")</f>
        <v>NORFOLK</v>
      </c>
      <c r="E4079" t="str">
        <f t="shared" si="1598"/>
        <v>VA</v>
      </c>
      <c r="F4079" t="str">
        <f>T("235112327")</f>
        <v>235112327</v>
      </c>
      <c r="G4079" t="str">
        <f>T("CRMC 9170 SECOND STREET STE 245")</f>
        <v>CRMC 9170 SECOND STREET STE 245</v>
      </c>
      <c r="H4079" t="str">
        <f>T("")</f>
        <v/>
      </c>
      <c r="I4079" t="str">
        <f>T("NORFOLK")</f>
        <v>NORFOLK</v>
      </c>
      <c r="J4079" t="str">
        <f t="shared" si="1599"/>
        <v>VA</v>
      </c>
      <c r="K4079" t="str">
        <f>T("7574452993")</f>
        <v>7574452993</v>
      </c>
      <c r="L4079" t="str">
        <f>T("7574432650")</f>
        <v>7574432650</v>
      </c>
    </row>
    <row r="4080" spans="1:12" x14ac:dyDescent="0.35">
      <c r="A4080" t="str">
        <f t="shared" si="1597"/>
        <v>NAVSEA HQ</v>
      </c>
      <c r="B4080" t="str">
        <f>T("9170 SECOND STREET")</f>
        <v>9170 SECOND STREET</v>
      </c>
      <c r="C4080" t="str">
        <f>T("SUITE 245")</f>
        <v>SUITE 245</v>
      </c>
      <c r="D4080" t="str">
        <f>T("NORFOLK")</f>
        <v>NORFOLK</v>
      </c>
      <c r="E4080" t="str">
        <f t="shared" si="1598"/>
        <v>VA</v>
      </c>
      <c r="F4080" t="str">
        <f>T("235112327")</f>
        <v>235112327</v>
      </c>
      <c r="G4080" t="str">
        <f>T("NAVY REGIONAL MAINTENANCE CENTER")</f>
        <v>NAVY REGIONAL MAINTENANCE CENTER</v>
      </c>
      <c r="H4080" t="str">
        <f>T("9170 SECOND STREET SUITE 15")</f>
        <v>9170 SECOND STREET SUITE 15</v>
      </c>
      <c r="I4080" t="str">
        <f>T("NORFOLK")</f>
        <v>NORFOLK</v>
      </c>
      <c r="J4080" t="str">
        <f t="shared" si="1599"/>
        <v>VA</v>
      </c>
      <c r="K4080" t="str">
        <f>T("000000000000000000")</f>
        <v>000000000000000000</v>
      </c>
      <c r="L4080" t="str">
        <f>T("7574002467")</f>
        <v>7574002467</v>
      </c>
    </row>
    <row r="4081" spans="1:12" x14ac:dyDescent="0.35">
      <c r="A4081" t="str">
        <f t="shared" si="1597"/>
        <v>NAVSEA HQ</v>
      </c>
      <c r="B4081" t="str">
        <f>T("9170 SECOND STREET")</f>
        <v>9170 SECOND STREET</v>
      </c>
      <c r="C4081" t="str">
        <f>T("SUITE 245")</f>
        <v>SUITE 245</v>
      </c>
      <c r="D4081" t="str">
        <f>T("NORFOLK")</f>
        <v>NORFOLK</v>
      </c>
      <c r="E4081" t="str">
        <f t="shared" si="1598"/>
        <v>VA</v>
      </c>
      <c r="F4081" t="str">
        <f>T("235112327")</f>
        <v>235112327</v>
      </c>
      <c r="G4081" t="str">
        <f>T("NAVY REGIONAL MAINTENANCE CENTER")</f>
        <v>NAVY REGIONAL MAINTENANCE CENTER</v>
      </c>
      <c r="H4081" t="str">
        <f>T("9170 SECOND STREET SUITE 245")</f>
        <v>9170 SECOND STREET SUITE 245</v>
      </c>
      <c r="I4081" t="str">
        <f>T("NORFOLK")</f>
        <v>NORFOLK</v>
      </c>
      <c r="J4081" t="str">
        <f t="shared" si="1599"/>
        <v>VA</v>
      </c>
      <c r="K4081" t="str">
        <f>T("000000000000000000")</f>
        <v>000000000000000000</v>
      </c>
      <c r="L4081" t="str">
        <f>T("7574432650")</f>
        <v>7574432650</v>
      </c>
    </row>
    <row r="4082" spans="1:12" x14ac:dyDescent="0.35">
      <c r="A4082" t="str">
        <f t="shared" si="1597"/>
        <v>NAVSEA HQ</v>
      </c>
      <c r="B4082" t="str">
        <f>T("NAVSEADET RASO BLDG 1971")</f>
        <v>NAVSEADET RASO BLDG 1971</v>
      </c>
      <c r="C4082" t="str">
        <f>T("NWS P O DRAWER 260")</f>
        <v>NWS P O DRAWER 260</v>
      </c>
      <c r="D4082" t="str">
        <f>T("YORKTOWN")</f>
        <v>YORKTOWN</v>
      </c>
      <c r="E4082" t="str">
        <f t="shared" si="1598"/>
        <v>VA</v>
      </c>
      <c r="F4082" t="str">
        <f>T("236900260")</f>
        <v>236900260</v>
      </c>
      <c r="G4082" t="str">
        <f>T("160 MAIN RD")</f>
        <v>160 MAIN RD</v>
      </c>
      <c r="H4082" t="str">
        <f>T("")</f>
        <v/>
      </c>
      <c r="I4082" t="str">
        <f>T("YORKTOWN")</f>
        <v>YORKTOWN</v>
      </c>
      <c r="J4082" t="str">
        <f t="shared" si="1599"/>
        <v>VA</v>
      </c>
      <c r="K4082" t="str">
        <f>T("000000000000000000")</f>
        <v>000000000000000000</v>
      </c>
      <c r="L4082" t="str">
        <f>T("7578877558")</f>
        <v>7578877558</v>
      </c>
    </row>
    <row r="4083" spans="1:12" x14ac:dyDescent="0.35">
      <c r="A4083" t="str">
        <f t="shared" si="1597"/>
        <v>NAVSEA HQ</v>
      </c>
      <c r="B4083" t="str">
        <f>T("NAVSEADET RASO BLDG 1971")</f>
        <v>NAVSEADET RASO BLDG 1971</v>
      </c>
      <c r="C4083" t="str">
        <f>T("NWS P O DRAWER 260")</f>
        <v>NWS P O DRAWER 260</v>
      </c>
      <c r="D4083" t="str">
        <f>T("YORKTOWN")</f>
        <v>YORKTOWN</v>
      </c>
      <c r="E4083" t="str">
        <f t="shared" si="1598"/>
        <v>VA</v>
      </c>
      <c r="F4083" t="str">
        <f>T("236900260")</f>
        <v>236900260</v>
      </c>
      <c r="G4083" t="str">
        <f>T("NAVSEADET RASO BLDG 1971")</f>
        <v>NAVSEADET RASO BLDG 1971</v>
      </c>
      <c r="H4083" t="str">
        <f>T("NWS P O DRAWER 260")</f>
        <v>NWS P O DRAWER 260</v>
      </c>
      <c r="I4083" t="str">
        <f>T("YORKTOWN")</f>
        <v>YORKTOWN</v>
      </c>
      <c r="J4083" t="str">
        <f t="shared" si="1599"/>
        <v>VA</v>
      </c>
      <c r="K4083" t="str">
        <f>T("7578873235")</f>
        <v>7578873235</v>
      </c>
      <c r="L4083" t="str">
        <f>T("7578877709")</f>
        <v>7578877709</v>
      </c>
    </row>
    <row r="4084" spans="1:12" x14ac:dyDescent="0.35">
      <c r="A4084" t="str">
        <f t="shared" si="1597"/>
        <v>NAVSEA HQ</v>
      </c>
      <c r="B4084" t="str">
        <f>T("SURFACE SHIP LIFE CYCLE MANAGEMENT")</f>
        <v>SURFACE SHIP LIFE CYCLE MANAGEMENT</v>
      </c>
      <c r="C4084" t="str">
        <f>T("NORFOLK NAVY SHIPYARD-BLDG 13")</f>
        <v>NORFOLK NAVY SHIPYARD-BLDG 13</v>
      </c>
      <c r="D4084" t="str">
        <f>T("PORTSMOUTH")</f>
        <v>PORTSMOUTH</v>
      </c>
      <c r="E4084" t="str">
        <f t="shared" si="1598"/>
        <v>VA</v>
      </c>
      <c r="F4084" t="str">
        <f>T("230790000")</f>
        <v>230790000</v>
      </c>
      <c r="G4084" t="str">
        <f>T("SURFACE SHIP LIFE CYCLE MANAGEMENT")</f>
        <v>SURFACE SHIP LIFE CYCLE MANAGEMENT</v>
      </c>
      <c r="H4084" t="str">
        <f>T("NORFOLK NAVY SHIPYARD-BLDG 13")</f>
        <v>NORFOLK NAVY SHIPYARD-BLDG 13</v>
      </c>
      <c r="I4084" t="str">
        <f>T("PORTSMOUTH")</f>
        <v>PORTSMOUTH</v>
      </c>
      <c r="J4084" t="str">
        <f t="shared" si="1599"/>
        <v>VA</v>
      </c>
      <c r="K4084" t="str">
        <f>T("7579673494")</f>
        <v>7579673494</v>
      </c>
      <c r="L4084" t="str">
        <f>T("7579673730")</f>
        <v>7579673730</v>
      </c>
    </row>
    <row r="4085" spans="1:12" x14ac:dyDescent="0.35">
      <c r="A4085" t="str">
        <f t="shared" si="1597"/>
        <v>NAVSEA HQ</v>
      </c>
      <c r="B4085" t="str">
        <f>T("SURFACE SHIP LIFE CYCLE MANAGEMENT")</f>
        <v>SURFACE SHIP LIFE CYCLE MANAGEMENT</v>
      </c>
      <c r="C4085" t="str">
        <f>T("NORFOLK NAVY SHIPYARD-BLDG 13")</f>
        <v>NORFOLK NAVY SHIPYARD-BLDG 13</v>
      </c>
      <c r="D4085" t="str">
        <f>T("PORTSMOUTH")</f>
        <v>PORTSMOUTH</v>
      </c>
      <c r="E4085" t="str">
        <f t="shared" si="1598"/>
        <v>VA</v>
      </c>
      <c r="F4085" t="str">
        <f>T("230790000")</f>
        <v>230790000</v>
      </c>
      <c r="G4085" t="str">
        <f>T("SURFMEPP NORFOLK NAVAL SHIPYARD")</f>
        <v>SURFMEPP NORFOLK NAVAL SHIPYARD</v>
      </c>
      <c r="H4085" t="str">
        <f>T("BLDG 13 2ND DECK")</f>
        <v>BLDG 13 2ND DECK</v>
      </c>
      <c r="I4085" t="str">
        <f>T("PORTSMOUTH")</f>
        <v>PORTSMOUTH</v>
      </c>
      <c r="J4085" t="str">
        <f t="shared" si="1599"/>
        <v>VA</v>
      </c>
      <c r="K4085" t="str">
        <f>T("7579673494")</f>
        <v>7579673494</v>
      </c>
      <c r="L4085" t="str">
        <f>T("7579672837")</f>
        <v>7579672837</v>
      </c>
    </row>
    <row r="4086" spans="1:12" x14ac:dyDescent="0.35">
      <c r="A4086" t="str">
        <f t="shared" si="1597"/>
        <v>NAVSEA HQ</v>
      </c>
      <c r="B4086" t="str">
        <f>T("SURFACE SHIP LIFE CYCLE MANAGEMENT")</f>
        <v>SURFACE SHIP LIFE CYCLE MANAGEMENT</v>
      </c>
      <c r="C4086" t="str">
        <f>T("NORFOLK NAVY SHIPYARD-BLDG 13")</f>
        <v>NORFOLK NAVY SHIPYARD-BLDG 13</v>
      </c>
      <c r="D4086" t="str">
        <f>T("PORTSMOUTH")</f>
        <v>PORTSMOUTH</v>
      </c>
      <c r="E4086" t="str">
        <f t="shared" si="1598"/>
        <v>VA</v>
      </c>
      <c r="F4086" t="str">
        <f>T("230790000")</f>
        <v>230790000</v>
      </c>
      <c r="G4086" t="str">
        <f>T("SURFMEPP- NORFOLK NAVAL SHIPYARD")</f>
        <v>SURFMEPP- NORFOLK NAVAL SHIPYARD</v>
      </c>
      <c r="H4086" t="str">
        <f>T("BUILDING M-22 2ND FLOOR")</f>
        <v>BUILDING M-22 2ND FLOOR</v>
      </c>
      <c r="I4086" t="str">
        <f>T("PORTSMOUTH")</f>
        <v>PORTSMOUTH</v>
      </c>
      <c r="J4086" t="str">
        <f t="shared" si="1599"/>
        <v>VA</v>
      </c>
      <c r="K4086" t="str">
        <f>T("7579673494")</f>
        <v>7579673494</v>
      </c>
      <c r="L4086" t="str">
        <f>T("7579674971")</f>
        <v>7579674971</v>
      </c>
    </row>
    <row r="4087" spans="1:12" x14ac:dyDescent="0.35">
      <c r="A4087" t="str">
        <f t="shared" ref="A4087:A4118" si="1600">T("NSWC CRANE DIVISION")</f>
        <v>NSWC CRANE DIVISION</v>
      </c>
      <c r="B4087" t="str">
        <f>T("300 HIGHWAY 361")</f>
        <v>300 HIGHWAY 361</v>
      </c>
      <c r="C4087" t="str">
        <f>T("BLDG 41 CODE JXSL")</f>
        <v>BLDG 41 CODE JXSL</v>
      </c>
      <c r="D4087" t="str">
        <f t="shared" ref="D4087:D4121" si="1601">T("CRANE")</f>
        <v>CRANE</v>
      </c>
      <c r="E4087" t="str">
        <f t="shared" ref="E4087:E4121" si="1602">T("IN")</f>
        <v>IN</v>
      </c>
      <c r="F4087" t="str">
        <f t="shared" ref="F4087:F4095" si="1603">T("475225001")</f>
        <v>475225001</v>
      </c>
      <c r="G4087" t="str">
        <f>T("300 HIGHWAY 361")</f>
        <v>300 HIGHWAY 361</v>
      </c>
      <c r="H4087" t="str">
        <f>T("BLDG 41 CODE JXSL")</f>
        <v>BLDG 41 CODE JXSL</v>
      </c>
      <c r="I4087" t="str">
        <f t="shared" ref="I4087:I4121" si="1604">T("CRANE")</f>
        <v>CRANE</v>
      </c>
      <c r="J4087" t="str">
        <f t="shared" ref="J4087:J4121" si="1605">T("IN")</f>
        <v>IN</v>
      </c>
      <c r="K4087" t="str">
        <f>T("000000000000000000")</f>
        <v>000000000000000000</v>
      </c>
      <c r="L4087" t="str">
        <f>T("8128548504")</f>
        <v>8128548504</v>
      </c>
    </row>
    <row r="4088" spans="1:12" x14ac:dyDescent="0.35">
      <c r="A4088" t="str">
        <f t="shared" si="1600"/>
        <v>NSWC CRANE DIVISION</v>
      </c>
      <c r="B4088" t="str">
        <f>T("300 HIGHWAY 361")</f>
        <v>300 HIGHWAY 361</v>
      </c>
      <c r="C4088" t="str">
        <f>T("BLDG 41 CODE JXSL")</f>
        <v>BLDG 41 CODE JXSL</v>
      </c>
      <c r="D4088" t="str">
        <f t="shared" si="1601"/>
        <v>CRANE</v>
      </c>
      <c r="E4088" t="str">
        <f t="shared" si="1602"/>
        <v>IN</v>
      </c>
      <c r="F4088" t="str">
        <f t="shared" si="1603"/>
        <v>475225001</v>
      </c>
      <c r="G4088" t="str">
        <f>T("300 HWY 361")</f>
        <v>300 HWY 361</v>
      </c>
      <c r="H4088" t="str">
        <f>T("BLDG 41 CODE JXSL")</f>
        <v>BLDG 41 CODE JXSL</v>
      </c>
      <c r="I4088" t="str">
        <f t="shared" si="1604"/>
        <v>CRANE</v>
      </c>
      <c r="J4088" t="str">
        <f t="shared" si="1605"/>
        <v>IN</v>
      </c>
      <c r="K4088" t="str">
        <f>T("000000000000000000")</f>
        <v>000000000000000000</v>
      </c>
      <c r="L4088" t="str">
        <f>T("8128548087")</f>
        <v>8128548087</v>
      </c>
    </row>
    <row r="4089" spans="1:12" x14ac:dyDescent="0.35">
      <c r="A4089" t="str">
        <f t="shared" si="1600"/>
        <v>NSWC CRANE DIVISION</v>
      </c>
      <c r="B4089" t="str">
        <f t="shared" ref="B4089:B4121" si="1606">T("300 HWY 361")</f>
        <v>300 HWY 361</v>
      </c>
      <c r="C4089" t="str">
        <f>T("BLDG 121 CODE 0251")</f>
        <v>BLDG 121 CODE 0251</v>
      </c>
      <c r="D4089" t="str">
        <f t="shared" si="1601"/>
        <v>CRANE</v>
      </c>
      <c r="E4089" t="str">
        <f t="shared" si="1602"/>
        <v>IN</v>
      </c>
      <c r="F4089" t="str">
        <f t="shared" si="1603"/>
        <v>475225001</v>
      </c>
      <c r="G4089" t="str">
        <f>T("300 HWY 361")</f>
        <v>300 HWY 361</v>
      </c>
      <c r="H4089" t="str">
        <f>T("BLDG 121")</f>
        <v>BLDG 121</v>
      </c>
      <c r="I4089" t="str">
        <f t="shared" si="1604"/>
        <v>CRANE</v>
      </c>
      <c r="J4089" t="str">
        <f t="shared" si="1605"/>
        <v>IN</v>
      </c>
      <c r="K4089" t="str">
        <f>T("000000000000000000")</f>
        <v>000000000000000000</v>
      </c>
      <c r="L4089" t="str">
        <f>T("8128544495")</f>
        <v>8128544495</v>
      </c>
    </row>
    <row r="4090" spans="1:12" x14ac:dyDescent="0.35">
      <c r="A4090" t="str">
        <f t="shared" si="1600"/>
        <v>NSWC CRANE DIVISION</v>
      </c>
      <c r="B4090" t="str">
        <f t="shared" si="1606"/>
        <v>300 HWY 361</v>
      </c>
      <c r="C4090" t="str">
        <f>T("BLDG 121 CODE 0251")</f>
        <v>BLDG 121 CODE 0251</v>
      </c>
      <c r="D4090" t="str">
        <f t="shared" si="1601"/>
        <v>CRANE</v>
      </c>
      <c r="E4090" t="str">
        <f t="shared" si="1602"/>
        <v>IN</v>
      </c>
      <c r="F4090" t="str">
        <f t="shared" si="1603"/>
        <v>475225001</v>
      </c>
      <c r="G4090" t="str">
        <f>T("300 HWY 361")</f>
        <v>300 HWY 361</v>
      </c>
      <c r="H4090" t="str">
        <f>T("BLDG 121 CODE 0251")</f>
        <v>BLDG 121 CODE 0251</v>
      </c>
      <c r="I4090" t="str">
        <f t="shared" si="1604"/>
        <v>CRANE</v>
      </c>
      <c r="J4090" t="str">
        <f t="shared" si="1605"/>
        <v>IN</v>
      </c>
      <c r="K4090" t="str">
        <f>T("8128543184")</f>
        <v>8128543184</v>
      </c>
      <c r="L4090" t="str">
        <f>T("8128548190")</f>
        <v>8128548190</v>
      </c>
    </row>
    <row r="4091" spans="1:12" x14ac:dyDescent="0.35">
      <c r="A4091" t="str">
        <f t="shared" si="1600"/>
        <v>NSWC CRANE DIVISION</v>
      </c>
      <c r="B4091" t="str">
        <f t="shared" si="1606"/>
        <v>300 HWY 361</v>
      </c>
      <c r="C4091" t="str">
        <f>T("BLDG 121 CODE 0251")</f>
        <v>BLDG 121 CODE 0251</v>
      </c>
      <c r="D4091" t="str">
        <f t="shared" si="1601"/>
        <v>CRANE</v>
      </c>
      <c r="E4091" t="str">
        <f t="shared" si="1602"/>
        <v>IN</v>
      </c>
      <c r="F4091" t="str">
        <f t="shared" si="1603"/>
        <v>475225001</v>
      </c>
      <c r="G4091" t="str">
        <f>T("BLDG 3373 CODE CXRL")</f>
        <v>BLDG 3373 CODE CXRL</v>
      </c>
      <c r="H4091" t="str">
        <f>T("300 HWY 361")</f>
        <v>300 HWY 361</v>
      </c>
      <c r="I4091" t="str">
        <f t="shared" si="1604"/>
        <v>CRANE</v>
      </c>
      <c r="J4091" t="str">
        <f t="shared" si="1605"/>
        <v>IN</v>
      </c>
      <c r="K4091" t="str">
        <f>T("5737181264")</f>
        <v>5737181264</v>
      </c>
      <c r="L4091" t="str">
        <f>T("8128546802")</f>
        <v>8128546802</v>
      </c>
    </row>
    <row r="4092" spans="1:12" x14ac:dyDescent="0.35">
      <c r="A4092" t="str">
        <f t="shared" si="1600"/>
        <v>NSWC CRANE DIVISION</v>
      </c>
      <c r="B4092" t="str">
        <f t="shared" si="1606"/>
        <v>300 HWY 361</v>
      </c>
      <c r="C4092" t="str">
        <f>T("BLDG 122 CODE WXRM")</f>
        <v>BLDG 122 CODE WXRM</v>
      </c>
      <c r="D4092" t="str">
        <f t="shared" si="1601"/>
        <v>CRANE</v>
      </c>
      <c r="E4092" t="str">
        <f t="shared" si="1602"/>
        <v>IN</v>
      </c>
      <c r="F4092" t="str">
        <f t="shared" si="1603"/>
        <v>475225001</v>
      </c>
      <c r="G4092" t="str">
        <f>T("300 HWY 361")</f>
        <v>300 HWY 361</v>
      </c>
      <c r="H4092" t="str">
        <f>T("BLDG 122 CODE WXRM")</f>
        <v>BLDG 122 CODE WXRM</v>
      </c>
      <c r="I4092" t="str">
        <f t="shared" si="1604"/>
        <v>CRANE</v>
      </c>
      <c r="J4092" t="str">
        <f t="shared" si="1605"/>
        <v>IN</v>
      </c>
      <c r="K4092" t="str">
        <f>T("000000000000000000")</f>
        <v>000000000000000000</v>
      </c>
      <c r="L4092" t="str">
        <f>T("8128542857")</f>
        <v>8128542857</v>
      </c>
    </row>
    <row r="4093" spans="1:12" x14ac:dyDescent="0.35">
      <c r="A4093" t="str">
        <f t="shared" si="1600"/>
        <v>NSWC CRANE DIVISION</v>
      </c>
      <c r="B4093" t="str">
        <f t="shared" si="1606"/>
        <v>300 HWY 361</v>
      </c>
      <c r="C4093" t="str">
        <f>T("BLDG 122 CODE WXRM")</f>
        <v>BLDG 122 CODE WXRM</v>
      </c>
      <c r="D4093" t="str">
        <f t="shared" si="1601"/>
        <v>CRANE</v>
      </c>
      <c r="E4093" t="str">
        <f t="shared" si="1602"/>
        <v>IN</v>
      </c>
      <c r="F4093" t="str">
        <f t="shared" si="1603"/>
        <v>475225001</v>
      </c>
      <c r="G4093" t="str">
        <f>T("BLDG 122 CODE WXRM")</f>
        <v>BLDG 122 CODE WXRM</v>
      </c>
      <c r="H4093" t="str">
        <f>T("300 HIGHWAY 361")</f>
        <v>300 HIGHWAY 361</v>
      </c>
      <c r="I4093" t="str">
        <f t="shared" si="1604"/>
        <v>CRANE</v>
      </c>
      <c r="J4093" t="str">
        <f t="shared" si="1605"/>
        <v>IN</v>
      </c>
      <c r="K4093" t="str">
        <f>T("000000000000000000")</f>
        <v>000000000000000000</v>
      </c>
      <c r="L4093" t="str">
        <f>T("8128545513")</f>
        <v>8128545513</v>
      </c>
    </row>
    <row r="4094" spans="1:12" x14ac:dyDescent="0.35">
      <c r="A4094" t="str">
        <f t="shared" si="1600"/>
        <v>NSWC CRANE DIVISION</v>
      </c>
      <c r="B4094" t="str">
        <f t="shared" si="1606"/>
        <v>300 HWY 361</v>
      </c>
      <c r="C4094" t="str">
        <f>T("BLDG 14 CODE 1016")</f>
        <v>BLDG 14 CODE 1016</v>
      </c>
      <c r="D4094" t="str">
        <f t="shared" si="1601"/>
        <v>CRANE</v>
      </c>
      <c r="E4094" t="str">
        <f t="shared" si="1602"/>
        <v>IN</v>
      </c>
      <c r="F4094" t="str">
        <f t="shared" si="1603"/>
        <v>475225001</v>
      </c>
      <c r="G4094" t="str">
        <f>T("300 HWY 361")</f>
        <v>300 HWY 361</v>
      </c>
      <c r="H4094" t="str">
        <f>T("BLDG 14 CODE 1016")</f>
        <v>BLDG 14 CODE 1016</v>
      </c>
      <c r="I4094" t="str">
        <f t="shared" si="1604"/>
        <v>CRANE</v>
      </c>
      <c r="J4094" t="str">
        <f t="shared" si="1605"/>
        <v>IN</v>
      </c>
      <c r="K4094" t="str">
        <f>T("000000000000000000")</f>
        <v>000000000000000000</v>
      </c>
      <c r="L4094" t="str">
        <f>T("8128543895")</f>
        <v>8128543895</v>
      </c>
    </row>
    <row r="4095" spans="1:12" x14ac:dyDescent="0.35">
      <c r="A4095" t="str">
        <f t="shared" si="1600"/>
        <v>NSWC CRANE DIVISION</v>
      </c>
      <c r="B4095" t="str">
        <f t="shared" si="1606"/>
        <v>300 HWY 361</v>
      </c>
      <c r="C4095" t="str">
        <f>T("BLDG 14 CODE 1016")</f>
        <v>BLDG 14 CODE 1016</v>
      </c>
      <c r="D4095" t="str">
        <f t="shared" si="1601"/>
        <v>CRANE</v>
      </c>
      <c r="E4095" t="str">
        <f t="shared" si="1602"/>
        <v>IN</v>
      </c>
      <c r="F4095" t="str">
        <f t="shared" si="1603"/>
        <v>475225001</v>
      </c>
      <c r="G4095" t="str">
        <f>T("BLDG 14 CODE 1016")</f>
        <v>BLDG 14 CODE 1016</v>
      </c>
      <c r="H4095" t="str">
        <f>T("300 HIGHWAY 361")</f>
        <v>300 HIGHWAY 361</v>
      </c>
      <c r="I4095" t="str">
        <f t="shared" si="1604"/>
        <v>CRANE</v>
      </c>
      <c r="J4095" t="str">
        <f t="shared" si="1605"/>
        <v>IN</v>
      </c>
      <c r="K4095" t="str">
        <f>T("000000000000000000")</f>
        <v>000000000000000000</v>
      </c>
      <c r="L4095" t="str">
        <f>T("8128545204")</f>
        <v>8128545204</v>
      </c>
    </row>
    <row r="4096" spans="1:12" x14ac:dyDescent="0.35">
      <c r="A4096" t="str">
        <f t="shared" si="1600"/>
        <v>NSWC CRANE DIVISION</v>
      </c>
      <c r="B4096" t="str">
        <f t="shared" si="1606"/>
        <v>300 HWY 361</v>
      </c>
      <c r="C4096" t="str">
        <f>T("BLDG 2036 CODE WXTM")</f>
        <v>BLDG 2036 CODE WXTM</v>
      </c>
      <c r="D4096" t="str">
        <f t="shared" si="1601"/>
        <v>CRANE</v>
      </c>
      <c r="E4096" t="str">
        <f t="shared" si="1602"/>
        <v>IN</v>
      </c>
      <c r="F4096" t="str">
        <f>T("475224000")</f>
        <v>475224000</v>
      </c>
      <c r="G4096" t="str">
        <f>T("300 HWY 361")</f>
        <v>300 HWY 361</v>
      </c>
      <c r="H4096" t="str">
        <f>T("BLDG 2036 CODE WXTM")</f>
        <v>BLDG 2036 CODE WXTM</v>
      </c>
      <c r="I4096" t="str">
        <f t="shared" si="1604"/>
        <v>CRANE</v>
      </c>
      <c r="J4096" t="str">
        <f t="shared" si="1605"/>
        <v>IN</v>
      </c>
      <c r="K4096" t="str">
        <f>T("")</f>
        <v/>
      </c>
      <c r="L4096" t="str">
        <f>T("8128544730")</f>
        <v>8128544730</v>
      </c>
    </row>
    <row r="4097" spans="1:12" x14ac:dyDescent="0.35">
      <c r="A4097" t="str">
        <f t="shared" si="1600"/>
        <v>NSWC CRANE DIVISION</v>
      </c>
      <c r="B4097" t="str">
        <f t="shared" si="1606"/>
        <v>300 HWY 361</v>
      </c>
      <c r="C4097" t="str">
        <f>T("BLDG 3173 CODE 1042")</f>
        <v>BLDG 3173 CODE 1042</v>
      </c>
      <c r="D4097" t="str">
        <f t="shared" si="1601"/>
        <v>CRANE</v>
      </c>
      <c r="E4097" t="str">
        <f t="shared" si="1602"/>
        <v>IN</v>
      </c>
      <c r="F4097" t="str">
        <f>T("475224000")</f>
        <v>475224000</v>
      </c>
      <c r="G4097" t="str">
        <f>T("300 HWY 361")</f>
        <v>300 HWY 361</v>
      </c>
      <c r="H4097" t="str">
        <f>T("BLDG 3173 CODE 1042")</f>
        <v>BLDG 3173 CODE 1042</v>
      </c>
      <c r="I4097" t="str">
        <f t="shared" si="1604"/>
        <v>CRANE</v>
      </c>
      <c r="J4097" t="str">
        <f t="shared" si="1605"/>
        <v>IN</v>
      </c>
      <c r="K4097" t="str">
        <f t="shared" ref="K4097:K4117" si="1607">T("000000000000000000")</f>
        <v>000000000000000000</v>
      </c>
      <c r="L4097" t="str">
        <f>T("8128542135")</f>
        <v>8128542135</v>
      </c>
    </row>
    <row r="4098" spans="1:12" x14ac:dyDescent="0.35">
      <c r="A4098" t="str">
        <f t="shared" si="1600"/>
        <v>NSWC CRANE DIVISION</v>
      </c>
      <c r="B4098" t="str">
        <f t="shared" si="1606"/>
        <v>300 HWY 361</v>
      </c>
      <c r="C4098" t="str">
        <f>T("BLDG 3173 CODE 1042")</f>
        <v>BLDG 3173 CODE 1042</v>
      </c>
      <c r="D4098" t="str">
        <f t="shared" si="1601"/>
        <v>CRANE</v>
      </c>
      <c r="E4098" t="str">
        <f t="shared" si="1602"/>
        <v>IN</v>
      </c>
      <c r="F4098" t="str">
        <f>T("475224000")</f>
        <v>475224000</v>
      </c>
      <c r="G4098" t="str">
        <f>T("BLDG 3173 CODE 1042")</f>
        <v>BLDG 3173 CODE 1042</v>
      </c>
      <c r="H4098" t="str">
        <f>T("300 HIGHWAY 361")</f>
        <v>300 HIGHWAY 361</v>
      </c>
      <c r="I4098" t="str">
        <f t="shared" si="1604"/>
        <v>CRANE</v>
      </c>
      <c r="J4098" t="str">
        <f t="shared" si="1605"/>
        <v>IN</v>
      </c>
      <c r="K4098" t="str">
        <f t="shared" si="1607"/>
        <v>000000000000000000</v>
      </c>
      <c r="L4098" t="str">
        <f>T("8128548345")</f>
        <v>8128548345</v>
      </c>
    </row>
    <row r="4099" spans="1:12" x14ac:dyDescent="0.35">
      <c r="A4099" t="str">
        <f t="shared" si="1600"/>
        <v>NSWC CRANE DIVISION</v>
      </c>
      <c r="B4099" t="str">
        <f t="shared" si="1606"/>
        <v>300 HWY 361</v>
      </c>
      <c r="C4099" t="str">
        <f>T("BLDG 3234 CODE WXSTL")</f>
        <v>BLDG 3234 CODE WXSTL</v>
      </c>
      <c r="D4099" t="str">
        <f t="shared" si="1601"/>
        <v>CRANE</v>
      </c>
      <c r="E4099" t="str">
        <f t="shared" si="1602"/>
        <v>IN</v>
      </c>
      <c r="F4099" t="str">
        <f t="shared" ref="F4099:F4116" si="1608">T("475225001")</f>
        <v>475225001</v>
      </c>
      <c r="G4099" t="str">
        <f>T("300 HWY 361")</f>
        <v>300 HWY 361</v>
      </c>
      <c r="H4099" t="str">
        <f>T("BLDG 3234 CODE WXSTL")</f>
        <v>BLDG 3234 CODE WXSTL</v>
      </c>
      <c r="I4099" t="str">
        <f t="shared" si="1604"/>
        <v>CRANE</v>
      </c>
      <c r="J4099" t="str">
        <f t="shared" si="1605"/>
        <v>IN</v>
      </c>
      <c r="K4099" t="str">
        <f t="shared" si="1607"/>
        <v>000000000000000000</v>
      </c>
      <c r="L4099" t="str">
        <f>T("8128543951")</f>
        <v>8128543951</v>
      </c>
    </row>
    <row r="4100" spans="1:12" x14ac:dyDescent="0.35">
      <c r="A4100" t="str">
        <f t="shared" si="1600"/>
        <v>NSWC CRANE DIVISION</v>
      </c>
      <c r="B4100" t="str">
        <f t="shared" si="1606"/>
        <v>300 HWY 361</v>
      </c>
      <c r="C4100" t="str">
        <f>T("BLDG 3234 CODE WXSTL")</f>
        <v>BLDG 3234 CODE WXSTL</v>
      </c>
      <c r="D4100" t="str">
        <f t="shared" si="1601"/>
        <v>CRANE</v>
      </c>
      <c r="E4100" t="str">
        <f t="shared" si="1602"/>
        <v>IN</v>
      </c>
      <c r="F4100" t="str">
        <f t="shared" si="1608"/>
        <v>475225001</v>
      </c>
      <c r="G4100" t="str">
        <f>T("BLD 3234 CODE WXTRN")</f>
        <v>BLD 3234 CODE WXTRN</v>
      </c>
      <c r="H4100" t="str">
        <f>T("300 HWY 361")</f>
        <v>300 HWY 361</v>
      </c>
      <c r="I4100" t="str">
        <f t="shared" si="1604"/>
        <v>CRANE</v>
      </c>
      <c r="J4100" t="str">
        <f t="shared" si="1605"/>
        <v>IN</v>
      </c>
      <c r="K4100" t="str">
        <f t="shared" si="1607"/>
        <v>000000000000000000</v>
      </c>
      <c r="L4100" t="str">
        <f>T("8128544480")</f>
        <v>8128544480</v>
      </c>
    </row>
    <row r="4101" spans="1:12" x14ac:dyDescent="0.35">
      <c r="A4101" t="str">
        <f t="shared" si="1600"/>
        <v>NSWC CRANE DIVISION</v>
      </c>
      <c r="B4101" t="str">
        <f t="shared" si="1606"/>
        <v>300 HWY 361</v>
      </c>
      <c r="C4101" t="str">
        <f>T("BLDG 3234 CODE WXSTL")</f>
        <v>BLDG 3234 CODE WXSTL</v>
      </c>
      <c r="D4101" t="str">
        <f t="shared" si="1601"/>
        <v>CRANE</v>
      </c>
      <c r="E4101" t="str">
        <f t="shared" si="1602"/>
        <v>IN</v>
      </c>
      <c r="F4101" t="str">
        <f t="shared" si="1608"/>
        <v>475225001</v>
      </c>
      <c r="G4101" t="str">
        <f>T("BLDG 41 CODE WXST")</f>
        <v>BLDG 41 CODE WXST</v>
      </c>
      <c r="H4101" t="str">
        <f>T("300 HIGHWAY 361")</f>
        <v>300 HIGHWAY 361</v>
      </c>
      <c r="I4101" t="str">
        <f t="shared" si="1604"/>
        <v>CRANE</v>
      </c>
      <c r="J4101" t="str">
        <f t="shared" si="1605"/>
        <v>IN</v>
      </c>
      <c r="K4101" t="str">
        <f t="shared" si="1607"/>
        <v>000000000000000000</v>
      </c>
      <c r="L4101" t="str">
        <f>T("8128548110")</f>
        <v>8128548110</v>
      </c>
    </row>
    <row r="4102" spans="1:12" x14ac:dyDescent="0.35">
      <c r="A4102" t="str">
        <f t="shared" si="1600"/>
        <v>NSWC CRANE DIVISION</v>
      </c>
      <c r="B4102" t="str">
        <f t="shared" si="1606"/>
        <v>300 HWY 361</v>
      </c>
      <c r="C4102" t="str">
        <f>T("BLDG 3235 CODE GXSS")</f>
        <v>BLDG 3235 CODE GXSS</v>
      </c>
      <c r="D4102" t="str">
        <f t="shared" si="1601"/>
        <v>CRANE</v>
      </c>
      <c r="E4102" t="str">
        <f t="shared" si="1602"/>
        <v>IN</v>
      </c>
      <c r="F4102" t="str">
        <f t="shared" si="1608"/>
        <v>475225001</v>
      </c>
      <c r="G4102" t="str">
        <f>T("300 HWY 361")</f>
        <v>300 HWY 361</v>
      </c>
      <c r="H4102" t="str">
        <f>T("BLDG 3235 CODE GXSS")</f>
        <v>BLDG 3235 CODE GXSS</v>
      </c>
      <c r="I4102" t="str">
        <f t="shared" si="1604"/>
        <v>CRANE</v>
      </c>
      <c r="J4102" t="str">
        <f t="shared" si="1605"/>
        <v>IN</v>
      </c>
      <c r="K4102" t="str">
        <f t="shared" si="1607"/>
        <v>000000000000000000</v>
      </c>
      <c r="L4102" t="str">
        <f>T("8128544103")</f>
        <v>8128544103</v>
      </c>
    </row>
    <row r="4103" spans="1:12" x14ac:dyDescent="0.35">
      <c r="A4103" t="str">
        <f t="shared" si="1600"/>
        <v>NSWC CRANE DIVISION</v>
      </c>
      <c r="B4103" t="str">
        <f t="shared" si="1606"/>
        <v>300 HWY 361</v>
      </c>
      <c r="C4103" t="str">
        <f>T("BLDG 3235 CODE GXSS")</f>
        <v>BLDG 3235 CODE GXSS</v>
      </c>
      <c r="D4103" t="str">
        <f t="shared" si="1601"/>
        <v>CRANE</v>
      </c>
      <c r="E4103" t="str">
        <f t="shared" si="1602"/>
        <v>IN</v>
      </c>
      <c r="F4103" t="str">
        <f t="shared" si="1608"/>
        <v>475225001</v>
      </c>
      <c r="G4103" t="str">
        <f>T("BLDG 3287E CODE GXST")</f>
        <v>BLDG 3287E CODE GXST</v>
      </c>
      <c r="H4103" t="str">
        <f>T("300 HWY 361")</f>
        <v>300 HWY 361</v>
      </c>
      <c r="I4103" t="str">
        <f t="shared" si="1604"/>
        <v>CRANE</v>
      </c>
      <c r="J4103" t="str">
        <f t="shared" si="1605"/>
        <v>IN</v>
      </c>
      <c r="K4103" t="str">
        <f t="shared" si="1607"/>
        <v>000000000000000000</v>
      </c>
      <c r="L4103" t="str">
        <f>T("8128541194")</f>
        <v>8128541194</v>
      </c>
    </row>
    <row r="4104" spans="1:12" x14ac:dyDescent="0.35">
      <c r="A4104" t="str">
        <f t="shared" si="1600"/>
        <v>NSWC CRANE DIVISION</v>
      </c>
      <c r="B4104" t="str">
        <f t="shared" si="1606"/>
        <v>300 HWY 361</v>
      </c>
      <c r="C4104" t="str">
        <f>T("BLDG 3235 CODE GXSS")</f>
        <v>BLDG 3235 CODE GXSS</v>
      </c>
      <c r="D4104" t="str">
        <f t="shared" si="1601"/>
        <v>CRANE</v>
      </c>
      <c r="E4104" t="str">
        <f t="shared" si="1602"/>
        <v>IN</v>
      </c>
      <c r="F4104" t="str">
        <f t="shared" si="1608"/>
        <v>475225001</v>
      </c>
      <c r="G4104" t="str">
        <f>T("BLDG 3287E ROOM 0035 CODE GXSPL")</f>
        <v>BLDG 3287E ROOM 0035 CODE GXSPL</v>
      </c>
      <c r="H4104" t="str">
        <f>T("300 HWY 361")</f>
        <v>300 HWY 361</v>
      </c>
      <c r="I4104" t="str">
        <f t="shared" si="1604"/>
        <v>CRANE</v>
      </c>
      <c r="J4104" t="str">
        <f t="shared" si="1605"/>
        <v>IN</v>
      </c>
      <c r="K4104" t="str">
        <f t="shared" si="1607"/>
        <v>000000000000000000</v>
      </c>
      <c r="L4104" t="str">
        <f>T("8128543916")</f>
        <v>8128543916</v>
      </c>
    </row>
    <row r="4105" spans="1:12" x14ac:dyDescent="0.35">
      <c r="A4105" t="str">
        <f t="shared" si="1600"/>
        <v>NSWC CRANE DIVISION</v>
      </c>
      <c r="B4105" t="str">
        <f t="shared" si="1606"/>
        <v>300 HWY 361</v>
      </c>
      <c r="C4105" t="str">
        <f>T("BLDG 3291 CODE JXQL")</f>
        <v>BLDG 3291 CODE JXQL</v>
      </c>
      <c r="D4105" t="str">
        <f t="shared" si="1601"/>
        <v>CRANE</v>
      </c>
      <c r="E4105" t="str">
        <f t="shared" si="1602"/>
        <v>IN</v>
      </c>
      <c r="F4105" t="str">
        <f t="shared" si="1608"/>
        <v>475225001</v>
      </c>
      <c r="G4105" t="str">
        <f>T("300 HWY 361")</f>
        <v>300 HWY 361</v>
      </c>
      <c r="H4105" t="str">
        <f>T("BLDG 3291 CODE JXQL")</f>
        <v>BLDG 3291 CODE JXQL</v>
      </c>
      <c r="I4105" t="str">
        <f t="shared" si="1604"/>
        <v>CRANE</v>
      </c>
      <c r="J4105" t="str">
        <f t="shared" si="1605"/>
        <v>IN</v>
      </c>
      <c r="K4105" t="str">
        <f t="shared" si="1607"/>
        <v>000000000000000000</v>
      </c>
      <c r="L4105" t="str">
        <f>T("1111111111")</f>
        <v>1111111111</v>
      </c>
    </row>
    <row r="4106" spans="1:12" x14ac:dyDescent="0.35">
      <c r="A4106" t="str">
        <f t="shared" si="1600"/>
        <v>NSWC CRANE DIVISION</v>
      </c>
      <c r="B4106" t="str">
        <f t="shared" si="1606"/>
        <v>300 HWY 361</v>
      </c>
      <c r="C4106" t="str">
        <f>T("BLDG 3291 CODE JXQL")</f>
        <v>BLDG 3291 CODE JXQL</v>
      </c>
      <c r="D4106" t="str">
        <f t="shared" si="1601"/>
        <v>CRANE</v>
      </c>
      <c r="E4106" t="str">
        <f t="shared" si="1602"/>
        <v>IN</v>
      </c>
      <c r="F4106" t="str">
        <f t="shared" si="1608"/>
        <v>475225001</v>
      </c>
      <c r="G4106" t="str">
        <f>T("BLD 3373 CODE PM4C")</f>
        <v>BLD 3373 CODE PM4C</v>
      </c>
      <c r="H4106" t="str">
        <f>T("300 HWY 361")</f>
        <v>300 HWY 361</v>
      </c>
      <c r="I4106" t="str">
        <f t="shared" si="1604"/>
        <v>CRANE</v>
      </c>
      <c r="J4106" t="str">
        <f t="shared" si="1605"/>
        <v>IN</v>
      </c>
      <c r="K4106" t="str">
        <f t="shared" si="1607"/>
        <v>000000000000000000</v>
      </c>
      <c r="L4106" t="str">
        <f>T("8128542384")</f>
        <v>8128542384</v>
      </c>
    </row>
    <row r="4107" spans="1:12" x14ac:dyDescent="0.35">
      <c r="A4107" t="str">
        <f t="shared" si="1600"/>
        <v>NSWC CRANE DIVISION</v>
      </c>
      <c r="B4107" t="str">
        <f t="shared" si="1606"/>
        <v>300 HWY 361</v>
      </c>
      <c r="C4107" t="str">
        <f>T("BLDG 3334 CODE GXTQ")</f>
        <v>BLDG 3334 CODE GXTQ</v>
      </c>
      <c r="D4107" t="str">
        <f t="shared" si="1601"/>
        <v>CRANE</v>
      </c>
      <c r="E4107" t="str">
        <f t="shared" si="1602"/>
        <v>IN</v>
      </c>
      <c r="F4107" t="str">
        <f t="shared" si="1608"/>
        <v>475225001</v>
      </c>
      <c r="G4107" t="str">
        <f>T("300 HWY 361")</f>
        <v>300 HWY 361</v>
      </c>
      <c r="H4107" t="str">
        <f>T("BLDG 3334 CODE GXTQ")</f>
        <v>BLDG 3334 CODE GXTQ</v>
      </c>
      <c r="I4107" t="str">
        <f t="shared" si="1604"/>
        <v>CRANE</v>
      </c>
      <c r="J4107" t="str">
        <f t="shared" si="1605"/>
        <v>IN</v>
      </c>
      <c r="K4107" t="str">
        <f t="shared" si="1607"/>
        <v>000000000000000000</v>
      </c>
      <c r="L4107" t="str">
        <f>T("8128545879")</f>
        <v>8128545879</v>
      </c>
    </row>
    <row r="4108" spans="1:12" x14ac:dyDescent="0.35">
      <c r="A4108" t="str">
        <f t="shared" si="1600"/>
        <v>NSWC CRANE DIVISION</v>
      </c>
      <c r="B4108" t="str">
        <f t="shared" si="1606"/>
        <v>300 HWY 361</v>
      </c>
      <c r="C4108" t="str">
        <f>T("BLDG 3334 CODE GXTQ")</f>
        <v>BLDG 3334 CODE GXTQ</v>
      </c>
      <c r="D4108" t="str">
        <f t="shared" si="1601"/>
        <v>CRANE</v>
      </c>
      <c r="E4108" t="str">
        <f t="shared" si="1602"/>
        <v>IN</v>
      </c>
      <c r="F4108" t="str">
        <f t="shared" si="1608"/>
        <v>475225001</v>
      </c>
      <c r="G4108" t="str">
        <f>T("BLDG 3334 CODE GXTQ")</f>
        <v>BLDG 3334 CODE GXTQ</v>
      </c>
      <c r="H4108" t="str">
        <f>T("")</f>
        <v/>
      </c>
      <c r="I4108" t="str">
        <f t="shared" si="1604"/>
        <v>CRANE</v>
      </c>
      <c r="J4108" t="str">
        <f t="shared" si="1605"/>
        <v>IN</v>
      </c>
      <c r="K4108" t="str">
        <f t="shared" si="1607"/>
        <v>000000000000000000</v>
      </c>
      <c r="L4108" t="str">
        <f>T("8128545171")</f>
        <v>8128545171</v>
      </c>
    </row>
    <row r="4109" spans="1:12" x14ac:dyDescent="0.35">
      <c r="A4109" t="str">
        <f t="shared" si="1600"/>
        <v>NSWC CRANE DIVISION</v>
      </c>
      <c r="B4109" t="str">
        <f t="shared" si="1606"/>
        <v>300 HWY 361</v>
      </c>
      <c r="C4109" t="str">
        <f>T("BLDG 3334 CODE GXTQ")</f>
        <v>BLDG 3334 CODE GXTQ</v>
      </c>
      <c r="D4109" t="str">
        <f t="shared" si="1601"/>
        <v>CRANE</v>
      </c>
      <c r="E4109" t="str">
        <f t="shared" si="1602"/>
        <v>IN</v>
      </c>
      <c r="F4109" t="str">
        <f t="shared" si="1608"/>
        <v>475225001</v>
      </c>
      <c r="G4109" t="str">
        <f>T("BLDG 3395 CODE GXQ")</f>
        <v>BLDG 3395 CODE GXQ</v>
      </c>
      <c r="H4109" t="str">
        <f>T("300 HWY 361")</f>
        <v>300 HWY 361</v>
      </c>
      <c r="I4109" t="str">
        <f t="shared" si="1604"/>
        <v>CRANE</v>
      </c>
      <c r="J4109" t="str">
        <f t="shared" si="1605"/>
        <v>IN</v>
      </c>
      <c r="K4109" t="str">
        <f t="shared" si="1607"/>
        <v>000000000000000000</v>
      </c>
      <c r="L4109" t="str">
        <f>T("8128546698")</f>
        <v>8128546698</v>
      </c>
    </row>
    <row r="4110" spans="1:12" x14ac:dyDescent="0.35">
      <c r="A4110" t="str">
        <f t="shared" si="1600"/>
        <v>NSWC CRANE DIVISION</v>
      </c>
      <c r="B4110" t="str">
        <f t="shared" si="1606"/>
        <v>300 HWY 361</v>
      </c>
      <c r="C4110" t="str">
        <f>T("BLDG 3373 CODE JXSL")</f>
        <v>BLDG 3373 CODE JXSL</v>
      </c>
      <c r="D4110" t="str">
        <f t="shared" si="1601"/>
        <v>CRANE</v>
      </c>
      <c r="E4110" t="str">
        <f t="shared" si="1602"/>
        <v>IN</v>
      </c>
      <c r="F4110" t="str">
        <f t="shared" si="1608"/>
        <v>475225001</v>
      </c>
      <c r="G4110" t="str">
        <f>T("300 HWY 361")</f>
        <v>300 HWY 361</v>
      </c>
      <c r="H4110" t="str">
        <f>T("BLDG 3373 CODE JXSL")</f>
        <v>BLDG 3373 CODE JXSL</v>
      </c>
      <c r="I4110" t="str">
        <f t="shared" si="1604"/>
        <v>CRANE</v>
      </c>
      <c r="J4110" t="str">
        <f t="shared" si="1605"/>
        <v>IN</v>
      </c>
      <c r="K4110" t="str">
        <f t="shared" si="1607"/>
        <v>000000000000000000</v>
      </c>
      <c r="L4110" t="str">
        <f>T("8128546431")</f>
        <v>8128546431</v>
      </c>
    </row>
    <row r="4111" spans="1:12" x14ac:dyDescent="0.35">
      <c r="A4111" t="str">
        <f t="shared" si="1600"/>
        <v>NSWC CRANE DIVISION</v>
      </c>
      <c r="B4111" t="str">
        <f t="shared" si="1606"/>
        <v>300 HWY 361</v>
      </c>
      <c r="C4111" t="str">
        <f>T("BLDG 3373 CODE JXSL")</f>
        <v>BLDG 3373 CODE JXSL</v>
      </c>
      <c r="D4111" t="str">
        <f t="shared" si="1601"/>
        <v>CRANE</v>
      </c>
      <c r="E4111" t="str">
        <f t="shared" si="1602"/>
        <v>IN</v>
      </c>
      <c r="F4111" t="str">
        <f t="shared" si="1608"/>
        <v>475225001</v>
      </c>
      <c r="G4111" t="str">
        <f>T("300 HWY 361")</f>
        <v>300 HWY 361</v>
      </c>
      <c r="H4111" t="str">
        <f>T("BLDG 41 CODE JXSL")</f>
        <v>BLDG 41 CODE JXSL</v>
      </c>
      <c r="I4111" t="str">
        <f t="shared" si="1604"/>
        <v>CRANE</v>
      </c>
      <c r="J4111" t="str">
        <f t="shared" si="1605"/>
        <v>IN</v>
      </c>
      <c r="K4111" t="str">
        <f t="shared" si="1607"/>
        <v>000000000000000000</v>
      </c>
      <c r="L4111" t="str">
        <f>T("8128548087")</f>
        <v>8128548087</v>
      </c>
    </row>
    <row r="4112" spans="1:12" x14ac:dyDescent="0.35">
      <c r="A4112" t="str">
        <f t="shared" si="1600"/>
        <v>NSWC CRANE DIVISION</v>
      </c>
      <c r="B4112" t="str">
        <f t="shared" si="1606"/>
        <v>300 HWY 361</v>
      </c>
      <c r="C4112" t="str">
        <f>T("BLDG 3395 CODE JXTR")</f>
        <v>BLDG 3395 CODE JXTR</v>
      </c>
      <c r="D4112" t="str">
        <f t="shared" si="1601"/>
        <v>CRANE</v>
      </c>
      <c r="E4112" t="str">
        <f t="shared" si="1602"/>
        <v>IN</v>
      </c>
      <c r="F4112" t="str">
        <f t="shared" si="1608"/>
        <v>475225001</v>
      </c>
      <c r="G4112" t="str">
        <f>T("300 HWY 361")</f>
        <v>300 HWY 361</v>
      </c>
      <c r="H4112" t="str">
        <f>T("BLDG 3395 CODE JXTR")</f>
        <v>BLDG 3395 CODE JXTR</v>
      </c>
      <c r="I4112" t="str">
        <f t="shared" si="1604"/>
        <v>CRANE</v>
      </c>
      <c r="J4112" t="str">
        <f t="shared" si="1605"/>
        <v>IN</v>
      </c>
      <c r="K4112" t="str">
        <f t="shared" si="1607"/>
        <v>000000000000000000</v>
      </c>
      <c r="L4112" t="str">
        <f>T("8128544874")</f>
        <v>8128544874</v>
      </c>
    </row>
    <row r="4113" spans="1:12" x14ac:dyDescent="0.35">
      <c r="A4113" t="str">
        <f t="shared" si="1600"/>
        <v>NSWC CRANE DIVISION</v>
      </c>
      <c r="B4113" t="str">
        <f t="shared" si="1606"/>
        <v>300 HWY 361</v>
      </c>
      <c r="C4113" t="str">
        <f>T("BLDG 3395 CODE JXTR")</f>
        <v>BLDG 3395 CODE JXTR</v>
      </c>
      <c r="D4113" t="str">
        <f t="shared" si="1601"/>
        <v>CRANE</v>
      </c>
      <c r="E4113" t="str">
        <f t="shared" si="1602"/>
        <v>IN</v>
      </c>
      <c r="F4113" t="str">
        <f t="shared" si="1608"/>
        <v>475225001</v>
      </c>
      <c r="G4113" t="str">
        <f>T("BLDG 2036 CODE JXTR")</f>
        <v>BLDG 2036 CODE JXTR</v>
      </c>
      <c r="H4113" t="str">
        <f>T("300 HIGHWAY 361")</f>
        <v>300 HIGHWAY 361</v>
      </c>
      <c r="I4113" t="str">
        <f t="shared" si="1604"/>
        <v>CRANE</v>
      </c>
      <c r="J4113" t="str">
        <f t="shared" si="1605"/>
        <v>IN</v>
      </c>
      <c r="K4113" t="str">
        <f t="shared" si="1607"/>
        <v>000000000000000000</v>
      </c>
      <c r="L4113" t="str">
        <f>T("8128542980")</f>
        <v>8128542980</v>
      </c>
    </row>
    <row r="4114" spans="1:12" x14ac:dyDescent="0.35">
      <c r="A4114" t="str">
        <f t="shared" si="1600"/>
        <v>NSWC CRANE DIVISION</v>
      </c>
      <c r="B4114" t="str">
        <f t="shared" si="1606"/>
        <v>300 HWY 361</v>
      </c>
      <c r="C4114" t="str">
        <f>T("BLDG 3395 CODE JXTR")</f>
        <v>BLDG 3395 CODE JXTR</v>
      </c>
      <c r="D4114" t="str">
        <f t="shared" si="1601"/>
        <v>CRANE</v>
      </c>
      <c r="E4114" t="str">
        <f t="shared" si="1602"/>
        <v>IN</v>
      </c>
      <c r="F4114" t="str">
        <f t="shared" si="1608"/>
        <v>475225001</v>
      </c>
      <c r="G4114" t="str">
        <f>T("BLDG 2036 CODE JXTR")</f>
        <v>BLDG 2036 CODE JXTR</v>
      </c>
      <c r="H4114" t="str">
        <f>T("300 HIGHWAY 361")</f>
        <v>300 HIGHWAY 361</v>
      </c>
      <c r="I4114" t="str">
        <f t="shared" si="1604"/>
        <v>CRANE</v>
      </c>
      <c r="J4114" t="str">
        <f t="shared" si="1605"/>
        <v>IN</v>
      </c>
      <c r="K4114" t="str">
        <f t="shared" si="1607"/>
        <v>000000000000000000</v>
      </c>
      <c r="L4114" t="str">
        <f>T("8128546617")</f>
        <v>8128546617</v>
      </c>
    </row>
    <row r="4115" spans="1:12" x14ac:dyDescent="0.35">
      <c r="A4115" t="str">
        <f t="shared" si="1600"/>
        <v>NSWC CRANE DIVISION</v>
      </c>
      <c r="B4115" t="str">
        <f t="shared" si="1606"/>
        <v>300 HWY 361</v>
      </c>
      <c r="C4115" t="str">
        <f>T("BLDG 3395 CODE JXTR")</f>
        <v>BLDG 3395 CODE JXTR</v>
      </c>
      <c r="D4115" t="str">
        <f t="shared" si="1601"/>
        <v>CRANE</v>
      </c>
      <c r="E4115" t="str">
        <f t="shared" si="1602"/>
        <v>IN</v>
      </c>
      <c r="F4115" t="str">
        <f t="shared" si="1608"/>
        <v>475225001</v>
      </c>
      <c r="G4115" t="str">
        <f>T("BLDG 3395 CODE JXTR")</f>
        <v>BLDG 3395 CODE JXTR</v>
      </c>
      <c r="H4115" t="str">
        <f>T("300 HIGHWAY 361")</f>
        <v>300 HIGHWAY 361</v>
      </c>
      <c r="I4115" t="str">
        <f t="shared" si="1604"/>
        <v>CRANE</v>
      </c>
      <c r="J4115" t="str">
        <f t="shared" si="1605"/>
        <v>IN</v>
      </c>
      <c r="K4115" t="str">
        <f t="shared" si="1607"/>
        <v>000000000000000000</v>
      </c>
      <c r="L4115" t="str">
        <f>T("8128543493")</f>
        <v>8128543493</v>
      </c>
    </row>
    <row r="4116" spans="1:12" x14ac:dyDescent="0.35">
      <c r="A4116" t="str">
        <f t="shared" si="1600"/>
        <v>NSWC CRANE DIVISION</v>
      </c>
      <c r="B4116" t="str">
        <f t="shared" si="1606"/>
        <v>300 HWY 361</v>
      </c>
      <c r="C4116" t="str">
        <f>T("BLDG 3395 CODE JXTR")</f>
        <v>BLDG 3395 CODE JXTR</v>
      </c>
      <c r="D4116" t="str">
        <f t="shared" si="1601"/>
        <v>CRANE</v>
      </c>
      <c r="E4116" t="str">
        <f t="shared" si="1602"/>
        <v>IN</v>
      </c>
      <c r="F4116" t="str">
        <f t="shared" si="1608"/>
        <v>475225001</v>
      </c>
      <c r="G4116" t="str">
        <f>T("BLDG 3395 CODE JXTR")</f>
        <v>BLDG 3395 CODE JXTR</v>
      </c>
      <c r="H4116" t="str">
        <f>T("300 HIGHWAY 361")</f>
        <v>300 HIGHWAY 361</v>
      </c>
      <c r="I4116" t="str">
        <f t="shared" si="1604"/>
        <v>CRANE</v>
      </c>
      <c r="J4116" t="str">
        <f t="shared" si="1605"/>
        <v>IN</v>
      </c>
      <c r="K4116" t="str">
        <f t="shared" si="1607"/>
        <v>000000000000000000</v>
      </c>
      <c r="L4116" t="str">
        <f>T("8128544119")</f>
        <v>8128544119</v>
      </c>
    </row>
    <row r="4117" spans="1:12" x14ac:dyDescent="0.35">
      <c r="A4117" t="str">
        <f t="shared" si="1600"/>
        <v>NSWC CRANE DIVISION</v>
      </c>
      <c r="B4117" t="str">
        <f t="shared" si="1606"/>
        <v>300 HWY 361</v>
      </c>
      <c r="C4117" t="str">
        <f>T("BLDG 41 CODE JXSL")</f>
        <v>BLDG 41 CODE JXSL</v>
      </c>
      <c r="D4117" t="str">
        <f t="shared" si="1601"/>
        <v>CRANE</v>
      </c>
      <c r="E4117" t="str">
        <f t="shared" si="1602"/>
        <v>IN</v>
      </c>
      <c r="F4117" t="str">
        <f>T("475224000")</f>
        <v>475224000</v>
      </c>
      <c r="G4117" t="str">
        <f>T("300 HWY 361")</f>
        <v>300 HWY 361</v>
      </c>
      <c r="H4117" t="str">
        <f>T("BLDG 41 CODE JXSL")</f>
        <v>BLDG 41 CODE JXSL</v>
      </c>
      <c r="I4117" t="str">
        <f t="shared" si="1604"/>
        <v>CRANE</v>
      </c>
      <c r="J4117" t="str">
        <f t="shared" si="1605"/>
        <v>IN</v>
      </c>
      <c r="K4117" t="str">
        <f t="shared" si="1607"/>
        <v>000000000000000000</v>
      </c>
      <c r="L4117" t="str">
        <f>T("8128548504")</f>
        <v>8128548504</v>
      </c>
    </row>
    <row r="4118" spans="1:12" x14ac:dyDescent="0.35">
      <c r="A4118" t="str">
        <f t="shared" si="1600"/>
        <v>NSWC CRANE DIVISION</v>
      </c>
      <c r="B4118" t="str">
        <f t="shared" si="1606"/>
        <v>300 HWY 361</v>
      </c>
      <c r="C4118" t="str">
        <f>T("BLDG 41NE CODE GXP")</f>
        <v>BLDG 41NE CODE GXP</v>
      </c>
      <c r="D4118" t="str">
        <f t="shared" si="1601"/>
        <v>CRANE</v>
      </c>
      <c r="E4118" t="str">
        <f t="shared" si="1602"/>
        <v>IN</v>
      </c>
      <c r="F4118" t="str">
        <f>T("475225001")</f>
        <v>475225001</v>
      </c>
      <c r="G4118" t="str">
        <f>T("300 HWY 361")</f>
        <v>300 HWY 361</v>
      </c>
      <c r="H4118" t="str">
        <f>T("BLDG 41NE CODE GXP")</f>
        <v>BLDG 41NE CODE GXP</v>
      </c>
      <c r="I4118" t="str">
        <f t="shared" si="1604"/>
        <v>CRANE</v>
      </c>
      <c r="J4118" t="str">
        <f t="shared" si="1605"/>
        <v>IN</v>
      </c>
      <c r="K4118" t="str">
        <f>T("8128543170")</f>
        <v>8128543170</v>
      </c>
      <c r="L4118" t="str">
        <f>T("8128542296")</f>
        <v>8128542296</v>
      </c>
    </row>
    <row r="4119" spans="1:12" x14ac:dyDescent="0.35">
      <c r="A4119" t="str">
        <f t="shared" ref="A4119:A4137" si="1609">T("NSWC CRANE DIVISION")</f>
        <v>NSWC CRANE DIVISION</v>
      </c>
      <c r="B4119" t="str">
        <f t="shared" si="1606"/>
        <v>300 HWY 361</v>
      </c>
      <c r="C4119" t="str">
        <f>T("BLDG 41NE CODE GXP")</f>
        <v>BLDG 41NE CODE GXP</v>
      </c>
      <c r="D4119" t="str">
        <f t="shared" si="1601"/>
        <v>CRANE</v>
      </c>
      <c r="E4119" t="str">
        <f t="shared" si="1602"/>
        <v>IN</v>
      </c>
      <c r="F4119" t="str">
        <f>T("475225001")</f>
        <v>475225001</v>
      </c>
      <c r="G4119" t="str">
        <f>T("300 HWY 361")</f>
        <v>300 HWY 361</v>
      </c>
      <c r="H4119" t="str">
        <f>T("CODE GXPP BLDG 41")</f>
        <v>CODE GXPP BLDG 41</v>
      </c>
      <c r="I4119" t="str">
        <f t="shared" si="1604"/>
        <v>CRANE</v>
      </c>
      <c r="J4119" t="str">
        <f t="shared" si="1605"/>
        <v>IN</v>
      </c>
      <c r="K4119" t="str">
        <f t="shared" ref="K4119:K4141" si="1610">T("000000000000000000")</f>
        <v>000000000000000000</v>
      </c>
      <c r="L4119" t="str">
        <f>T("8128544046")</f>
        <v>8128544046</v>
      </c>
    </row>
    <row r="4120" spans="1:12" x14ac:dyDescent="0.35">
      <c r="A4120" t="str">
        <f t="shared" si="1609"/>
        <v>NSWC CRANE DIVISION</v>
      </c>
      <c r="B4120" t="str">
        <f t="shared" si="1606"/>
        <v>300 HWY 361</v>
      </c>
      <c r="C4120" t="str">
        <f>T("BLDG 8 CODE 1016")</f>
        <v>BLDG 8 CODE 1016</v>
      </c>
      <c r="D4120" t="str">
        <f t="shared" si="1601"/>
        <v>CRANE</v>
      </c>
      <c r="E4120" t="str">
        <f t="shared" si="1602"/>
        <v>IN</v>
      </c>
      <c r="F4120" t="str">
        <f>T("475225001")</f>
        <v>475225001</v>
      </c>
      <c r="G4120" t="str">
        <f>T("300 HWY 361")</f>
        <v>300 HWY 361</v>
      </c>
      <c r="H4120" t="str">
        <f>T("BLDG 8 CODE 1016")</f>
        <v>BLDG 8 CODE 1016</v>
      </c>
      <c r="I4120" t="str">
        <f t="shared" si="1604"/>
        <v>CRANE</v>
      </c>
      <c r="J4120" t="str">
        <f t="shared" si="1605"/>
        <v>IN</v>
      </c>
      <c r="K4120" t="str">
        <f t="shared" si="1610"/>
        <v>000000000000000000</v>
      </c>
      <c r="L4120" t="str">
        <f>T("8128545740")</f>
        <v>8128545740</v>
      </c>
    </row>
    <row r="4121" spans="1:12" x14ac:dyDescent="0.35">
      <c r="A4121" t="str">
        <f t="shared" si="1609"/>
        <v>NSWC CRANE DIVISION</v>
      </c>
      <c r="B4121" t="str">
        <f t="shared" si="1606"/>
        <v>300 HWY 361</v>
      </c>
      <c r="C4121" t="str">
        <f>T("BLDG 8 CODE 1016")</f>
        <v>BLDG 8 CODE 1016</v>
      </c>
      <c r="D4121" t="str">
        <f t="shared" si="1601"/>
        <v>CRANE</v>
      </c>
      <c r="E4121" t="str">
        <f t="shared" si="1602"/>
        <v>IN</v>
      </c>
      <c r="F4121" t="str">
        <f>T("475225001")</f>
        <v>475225001</v>
      </c>
      <c r="G4121" t="str">
        <f>T("BLDG 14 CODE 1016")</f>
        <v>BLDG 14 CODE 1016</v>
      </c>
      <c r="H4121" t="str">
        <f>T("300 HIGHWAY 361")</f>
        <v>300 HIGHWAY 361</v>
      </c>
      <c r="I4121" t="str">
        <f t="shared" si="1604"/>
        <v>CRANE</v>
      </c>
      <c r="J4121" t="str">
        <f t="shared" si="1605"/>
        <v>IN</v>
      </c>
      <c r="K4121" t="str">
        <f t="shared" si="1610"/>
        <v>000000000000000000</v>
      </c>
      <c r="L4121" t="str">
        <f>T("8128543870")</f>
        <v>8128543870</v>
      </c>
    </row>
    <row r="4122" spans="1:12" x14ac:dyDescent="0.35">
      <c r="A4122" t="str">
        <f t="shared" si="1609"/>
        <v>NSWC CRANE DIVISION</v>
      </c>
      <c r="B4122" t="str">
        <f>T("700 AMMUNITION RD")</f>
        <v>700 AMMUNITION RD</v>
      </c>
      <c r="C4122" t="str">
        <f>T("BLDG 103 CODE JXPL")</f>
        <v>BLDG 103 CODE JXPL</v>
      </c>
      <c r="D4122" t="str">
        <f>T("FALLBROOK")</f>
        <v>FALLBROOK</v>
      </c>
      <c r="E4122" t="str">
        <f>T("CA")</f>
        <v>CA</v>
      </c>
      <c r="F4122" t="str">
        <f>T("920283187")</f>
        <v>920283187</v>
      </c>
      <c r="G4122" t="str">
        <f>T("700 AMMUNITION RD")</f>
        <v>700 AMMUNITION RD</v>
      </c>
      <c r="H4122" t="str">
        <f>T("BLDG 103 CODE JXPL")</f>
        <v>BLDG 103 CODE JXPL</v>
      </c>
      <c r="I4122" t="str">
        <f>T("FALLBROOK")</f>
        <v>FALLBROOK</v>
      </c>
      <c r="J4122" t="str">
        <f>T("CA")</f>
        <v>CA</v>
      </c>
      <c r="K4122" t="str">
        <f t="shared" si="1610"/>
        <v>000000000000000000</v>
      </c>
      <c r="L4122" t="str">
        <f>T("7607313420")</f>
        <v>7607313420</v>
      </c>
    </row>
    <row r="4123" spans="1:12" x14ac:dyDescent="0.35">
      <c r="A4123" t="str">
        <f t="shared" si="1609"/>
        <v>NSWC CRANE DIVISION</v>
      </c>
      <c r="B4123" t="str">
        <f>T("700 AMMUNITION RD")</f>
        <v>700 AMMUNITION RD</v>
      </c>
      <c r="C4123" t="str">
        <f>T("BLDG 103 CODE JXPL")</f>
        <v>BLDG 103 CODE JXPL</v>
      </c>
      <c r="D4123" t="str">
        <f>T("FALLBROOK")</f>
        <v>FALLBROOK</v>
      </c>
      <c r="E4123" t="str">
        <f>T("CA")</f>
        <v>CA</v>
      </c>
      <c r="F4123" t="str">
        <f>T("920283187")</f>
        <v>920283187</v>
      </c>
      <c r="G4123" t="str">
        <f>T("700 AMMUNITION RD")</f>
        <v>700 AMMUNITION RD</v>
      </c>
      <c r="H4123" t="str">
        <f>T("BLDG 5")</f>
        <v>BLDG 5</v>
      </c>
      <c r="I4123" t="str">
        <f>T("FALLBROOK")</f>
        <v>FALLBROOK</v>
      </c>
      <c r="J4123" t="str">
        <f>T("CA")</f>
        <v>CA</v>
      </c>
      <c r="K4123" t="str">
        <f t="shared" si="1610"/>
        <v>000000000000000000</v>
      </c>
      <c r="L4123" t="str">
        <f>T("7607313787")</f>
        <v>7607313787</v>
      </c>
    </row>
    <row r="4124" spans="1:12" x14ac:dyDescent="0.35">
      <c r="A4124" t="str">
        <f t="shared" si="1609"/>
        <v>NSWC CRANE DIVISION</v>
      </c>
      <c r="B4124" t="str">
        <f t="shared" ref="B4124:B4130" si="1611">T("BLDG 121 CODE 0251")</f>
        <v>BLDG 121 CODE 0251</v>
      </c>
      <c r="C4124" t="str">
        <f t="shared" ref="C4124:C4137" si="1612">T("300 HWY 361")</f>
        <v>300 HWY 361</v>
      </c>
      <c r="D4124" t="str">
        <f t="shared" ref="D4124:D4137" si="1613">T("CRANE")</f>
        <v>CRANE</v>
      </c>
      <c r="E4124" t="str">
        <f t="shared" ref="E4124:E4137" si="1614">T("IN")</f>
        <v>IN</v>
      </c>
      <c r="F4124" t="str">
        <f t="shared" ref="F4124:F4130" si="1615">T("475225001")</f>
        <v>475225001</v>
      </c>
      <c r="G4124" t="str">
        <f>T("300 HWY 361")</f>
        <v>300 HWY 361</v>
      </c>
      <c r="H4124" t="str">
        <f>T("BLDG 121 CODE 0251")</f>
        <v>BLDG 121 CODE 0251</v>
      </c>
      <c r="I4124" t="str">
        <f t="shared" ref="I4124:I4137" si="1616">T("CRANE")</f>
        <v>CRANE</v>
      </c>
      <c r="J4124" t="str">
        <f t="shared" ref="J4124:J4137" si="1617">T("IN")</f>
        <v>IN</v>
      </c>
      <c r="K4124" t="str">
        <f t="shared" si="1610"/>
        <v>000000000000000000</v>
      </c>
      <c r="L4124" t="str">
        <f>T("8128541406")</f>
        <v>8128541406</v>
      </c>
    </row>
    <row r="4125" spans="1:12" x14ac:dyDescent="0.35">
      <c r="A4125" t="str">
        <f t="shared" si="1609"/>
        <v>NSWC CRANE DIVISION</v>
      </c>
      <c r="B4125" t="str">
        <f t="shared" si="1611"/>
        <v>BLDG 121 CODE 0251</v>
      </c>
      <c r="C4125" t="str">
        <f t="shared" si="1612"/>
        <v>300 HWY 361</v>
      </c>
      <c r="D4125" t="str">
        <f t="shared" si="1613"/>
        <v>CRANE</v>
      </c>
      <c r="E4125" t="str">
        <f t="shared" si="1614"/>
        <v>IN</v>
      </c>
      <c r="F4125" t="str">
        <f t="shared" si="1615"/>
        <v>475225001</v>
      </c>
      <c r="G4125" t="str">
        <f>T("300 HWY 361")</f>
        <v>300 HWY 361</v>
      </c>
      <c r="H4125" t="str">
        <f>T("CODE 1071 BLDG 3373")</f>
        <v>CODE 1071 BLDG 3373</v>
      </c>
      <c r="I4125" t="str">
        <f t="shared" si="1616"/>
        <v>CRANE</v>
      </c>
      <c r="J4125" t="str">
        <f t="shared" si="1617"/>
        <v>IN</v>
      </c>
      <c r="K4125" t="str">
        <f t="shared" si="1610"/>
        <v>000000000000000000</v>
      </c>
      <c r="L4125" t="str">
        <f>T("8128546055")</f>
        <v>8128546055</v>
      </c>
    </row>
    <row r="4126" spans="1:12" x14ac:dyDescent="0.35">
      <c r="A4126" t="str">
        <f t="shared" si="1609"/>
        <v>NSWC CRANE DIVISION</v>
      </c>
      <c r="B4126" t="str">
        <f t="shared" si="1611"/>
        <v>BLDG 121 CODE 0251</v>
      </c>
      <c r="C4126" t="str">
        <f t="shared" si="1612"/>
        <v>300 HWY 361</v>
      </c>
      <c r="D4126" t="str">
        <f t="shared" si="1613"/>
        <v>CRANE</v>
      </c>
      <c r="E4126" t="str">
        <f t="shared" si="1614"/>
        <v>IN</v>
      </c>
      <c r="F4126" t="str">
        <f t="shared" si="1615"/>
        <v>475225001</v>
      </c>
      <c r="G4126" t="str">
        <f>T("BLDG 121")</f>
        <v>BLDG 121</v>
      </c>
      <c r="H4126" t="str">
        <f>T("300 HWY 361")</f>
        <v>300 HWY 361</v>
      </c>
      <c r="I4126" t="str">
        <f t="shared" si="1616"/>
        <v>CRANE</v>
      </c>
      <c r="J4126" t="str">
        <f t="shared" si="1617"/>
        <v>IN</v>
      </c>
      <c r="K4126" t="str">
        <f t="shared" si="1610"/>
        <v>000000000000000000</v>
      </c>
      <c r="L4126" t="str">
        <f>T("8128546155")</f>
        <v>8128546155</v>
      </c>
    </row>
    <row r="4127" spans="1:12" x14ac:dyDescent="0.35">
      <c r="A4127" t="str">
        <f t="shared" si="1609"/>
        <v>NSWC CRANE DIVISION</v>
      </c>
      <c r="B4127" t="str">
        <f t="shared" si="1611"/>
        <v>BLDG 121 CODE 0251</v>
      </c>
      <c r="C4127" t="str">
        <f t="shared" si="1612"/>
        <v>300 HWY 361</v>
      </c>
      <c r="D4127" t="str">
        <f t="shared" si="1613"/>
        <v>CRANE</v>
      </c>
      <c r="E4127" t="str">
        <f t="shared" si="1614"/>
        <v>IN</v>
      </c>
      <c r="F4127" t="str">
        <f t="shared" si="1615"/>
        <v>475225001</v>
      </c>
      <c r="G4127" t="str">
        <f>T("BLDG 121 CODE 0251")</f>
        <v>BLDG 121 CODE 0251</v>
      </c>
      <c r="H4127" t="str">
        <f>T("300 HIGHWAY 361")</f>
        <v>300 HIGHWAY 361</v>
      </c>
      <c r="I4127" t="str">
        <f t="shared" si="1616"/>
        <v>CRANE</v>
      </c>
      <c r="J4127" t="str">
        <f t="shared" si="1617"/>
        <v>IN</v>
      </c>
      <c r="K4127" t="str">
        <f t="shared" si="1610"/>
        <v>000000000000000000</v>
      </c>
      <c r="L4127" t="str">
        <f>T("8128542704")</f>
        <v>8128542704</v>
      </c>
    </row>
    <row r="4128" spans="1:12" x14ac:dyDescent="0.35">
      <c r="A4128" t="str">
        <f t="shared" si="1609"/>
        <v>NSWC CRANE DIVISION</v>
      </c>
      <c r="B4128" t="str">
        <f t="shared" si="1611"/>
        <v>BLDG 121 CODE 0251</v>
      </c>
      <c r="C4128" t="str">
        <f t="shared" si="1612"/>
        <v>300 HWY 361</v>
      </c>
      <c r="D4128" t="str">
        <f t="shared" si="1613"/>
        <v>CRANE</v>
      </c>
      <c r="E4128" t="str">
        <f t="shared" si="1614"/>
        <v>IN</v>
      </c>
      <c r="F4128" t="str">
        <f t="shared" si="1615"/>
        <v>475225001</v>
      </c>
      <c r="G4128" t="str">
        <f>T("BLDG 121 CODE 0251")</f>
        <v>BLDG 121 CODE 0251</v>
      </c>
      <c r="H4128" t="str">
        <f>T("300 HWY 361")</f>
        <v>300 HWY 361</v>
      </c>
      <c r="I4128" t="str">
        <f t="shared" si="1616"/>
        <v>CRANE</v>
      </c>
      <c r="J4128" t="str">
        <f t="shared" si="1617"/>
        <v>IN</v>
      </c>
      <c r="K4128" t="str">
        <f t="shared" si="1610"/>
        <v>000000000000000000</v>
      </c>
      <c r="L4128" t="str">
        <f>T("8128541406")</f>
        <v>8128541406</v>
      </c>
    </row>
    <row r="4129" spans="1:12" x14ac:dyDescent="0.35">
      <c r="A4129" t="str">
        <f t="shared" si="1609"/>
        <v>NSWC CRANE DIVISION</v>
      </c>
      <c r="B4129" t="str">
        <f t="shared" si="1611"/>
        <v>BLDG 121 CODE 0251</v>
      </c>
      <c r="C4129" t="str">
        <f t="shared" si="1612"/>
        <v>300 HWY 361</v>
      </c>
      <c r="D4129" t="str">
        <f t="shared" si="1613"/>
        <v>CRANE</v>
      </c>
      <c r="E4129" t="str">
        <f t="shared" si="1614"/>
        <v>IN</v>
      </c>
      <c r="F4129" t="str">
        <f t="shared" si="1615"/>
        <v>475225001</v>
      </c>
      <c r="G4129" t="str">
        <f>T("BLDG 121 CODE 0251")</f>
        <v>BLDG 121 CODE 0251</v>
      </c>
      <c r="H4129" t="str">
        <f>T("300 HWY 361")</f>
        <v>300 HWY 361</v>
      </c>
      <c r="I4129" t="str">
        <f t="shared" si="1616"/>
        <v>CRANE</v>
      </c>
      <c r="J4129" t="str">
        <f t="shared" si="1617"/>
        <v>IN</v>
      </c>
      <c r="K4129" t="str">
        <f t="shared" si="1610"/>
        <v>000000000000000000</v>
      </c>
      <c r="L4129" t="str">
        <f>T("8128544305")</f>
        <v>8128544305</v>
      </c>
    </row>
    <row r="4130" spans="1:12" x14ac:dyDescent="0.35">
      <c r="A4130" t="str">
        <f t="shared" si="1609"/>
        <v>NSWC CRANE DIVISION</v>
      </c>
      <c r="B4130" t="str">
        <f t="shared" si="1611"/>
        <v>BLDG 121 CODE 0251</v>
      </c>
      <c r="C4130" t="str">
        <f t="shared" si="1612"/>
        <v>300 HWY 361</v>
      </c>
      <c r="D4130" t="str">
        <f t="shared" si="1613"/>
        <v>CRANE</v>
      </c>
      <c r="E4130" t="str">
        <f t="shared" si="1614"/>
        <v>IN</v>
      </c>
      <c r="F4130" t="str">
        <f t="shared" si="1615"/>
        <v>475225001</v>
      </c>
      <c r="G4130" t="str">
        <f>T("BLDG 121 CODE 0251")</f>
        <v>BLDG 121 CODE 0251</v>
      </c>
      <c r="H4130" t="str">
        <f>T("300 HWY 361")</f>
        <v>300 HWY 361</v>
      </c>
      <c r="I4130" t="str">
        <f t="shared" si="1616"/>
        <v>CRANE</v>
      </c>
      <c r="J4130" t="str">
        <f t="shared" si="1617"/>
        <v>IN</v>
      </c>
      <c r="K4130" t="str">
        <f t="shared" si="1610"/>
        <v>000000000000000000</v>
      </c>
      <c r="L4130" t="str">
        <f>T("8128544327")</f>
        <v>8128544327</v>
      </c>
    </row>
    <row r="4131" spans="1:12" x14ac:dyDescent="0.35">
      <c r="A4131" t="str">
        <f t="shared" si="1609"/>
        <v>NSWC CRANE DIVISION</v>
      </c>
      <c r="B4131" t="str">
        <f>T("BLDG 14 CODE 1O16")</f>
        <v>BLDG 14 CODE 1O16</v>
      </c>
      <c r="C4131" t="str">
        <f t="shared" si="1612"/>
        <v>300 HWY 361</v>
      </c>
      <c r="D4131" t="str">
        <f t="shared" si="1613"/>
        <v>CRANE</v>
      </c>
      <c r="E4131" t="str">
        <f t="shared" si="1614"/>
        <v>IN</v>
      </c>
      <c r="F4131" t="str">
        <f>T("475224000")</f>
        <v>475224000</v>
      </c>
      <c r="G4131" t="str">
        <f>T("BLDG 14 CODE 1O16")</f>
        <v>BLDG 14 CODE 1O16</v>
      </c>
      <c r="H4131" t="str">
        <f>T("300 HWY 361")</f>
        <v>300 HWY 361</v>
      </c>
      <c r="I4131" t="str">
        <f t="shared" si="1616"/>
        <v>CRANE</v>
      </c>
      <c r="J4131" t="str">
        <f t="shared" si="1617"/>
        <v>IN</v>
      </c>
      <c r="K4131" t="str">
        <f t="shared" si="1610"/>
        <v>000000000000000000</v>
      </c>
      <c r="L4131" t="str">
        <f>T("8128548563")</f>
        <v>8128548563</v>
      </c>
    </row>
    <row r="4132" spans="1:12" x14ac:dyDescent="0.35">
      <c r="A4132" t="str">
        <f t="shared" si="1609"/>
        <v>NSWC CRANE DIVISION</v>
      </c>
      <c r="B4132" t="str">
        <f>T("BLDG 3168 CODE GXRP")</f>
        <v>BLDG 3168 CODE GXRP</v>
      </c>
      <c r="C4132" t="str">
        <f t="shared" si="1612"/>
        <v>300 HWY 361</v>
      </c>
      <c r="D4132" t="str">
        <f t="shared" si="1613"/>
        <v>CRANE</v>
      </c>
      <c r="E4132" t="str">
        <f t="shared" si="1614"/>
        <v>IN</v>
      </c>
      <c r="F4132" t="str">
        <f t="shared" ref="F4132:F4137" si="1618">T("475225001")</f>
        <v>475225001</v>
      </c>
      <c r="G4132" t="str">
        <f>T("BLDG 3168 CODE GXRP")</f>
        <v>BLDG 3168 CODE GXRP</v>
      </c>
      <c r="H4132" t="str">
        <f>T("300 HWY 361")</f>
        <v>300 HWY 361</v>
      </c>
      <c r="I4132" t="str">
        <f t="shared" si="1616"/>
        <v>CRANE</v>
      </c>
      <c r="J4132" t="str">
        <f t="shared" si="1617"/>
        <v>IN</v>
      </c>
      <c r="K4132" t="str">
        <f t="shared" si="1610"/>
        <v>000000000000000000</v>
      </c>
      <c r="L4132" t="str">
        <f>T("8128541836")</f>
        <v>8128541836</v>
      </c>
    </row>
    <row r="4133" spans="1:12" x14ac:dyDescent="0.35">
      <c r="A4133" t="str">
        <f t="shared" si="1609"/>
        <v>NSWC CRANE DIVISION</v>
      </c>
      <c r="B4133" t="str">
        <f>T("BLDG 3168 CODE GXRP")</f>
        <v>BLDG 3168 CODE GXRP</v>
      </c>
      <c r="C4133" t="str">
        <f t="shared" si="1612"/>
        <v>300 HWY 361</v>
      </c>
      <c r="D4133" t="str">
        <f t="shared" si="1613"/>
        <v>CRANE</v>
      </c>
      <c r="E4133" t="str">
        <f t="shared" si="1614"/>
        <v>IN</v>
      </c>
      <c r="F4133" t="str">
        <f t="shared" si="1618"/>
        <v>475225001</v>
      </c>
      <c r="G4133" t="str">
        <f>T("BLDG 3168 CODE GXRW")</f>
        <v>BLDG 3168 CODE GXRW</v>
      </c>
      <c r="H4133" t="str">
        <f>T("300 HIGHWAY 361")</f>
        <v>300 HIGHWAY 361</v>
      </c>
      <c r="I4133" t="str">
        <f t="shared" si="1616"/>
        <v>CRANE</v>
      </c>
      <c r="J4133" t="str">
        <f t="shared" si="1617"/>
        <v>IN</v>
      </c>
      <c r="K4133" t="str">
        <f t="shared" si="1610"/>
        <v>000000000000000000</v>
      </c>
      <c r="L4133" t="str">
        <f>T("8128542698")</f>
        <v>8128542698</v>
      </c>
    </row>
    <row r="4134" spans="1:12" x14ac:dyDescent="0.35">
      <c r="A4134" t="str">
        <f t="shared" si="1609"/>
        <v>NSWC CRANE DIVISION</v>
      </c>
      <c r="B4134" t="str">
        <f>T("BLDG 3330C CODE WXSQ")</f>
        <v>BLDG 3330C CODE WXSQ</v>
      </c>
      <c r="C4134" t="str">
        <f t="shared" si="1612"/>
        <v>300 HWY 361</v>
      </c>
      <c r="D4134" t="str">
        <f t="shared" si="1613"/>
        <v>CRANE</v>
      </c>
      <c r="E4134" t="str">
        <f t="shared" si="1614"/>
        <v>IN</v>
      </c>
      <c r="F4134" t="str">
        <f t="shared" si="1618"/>
        <v>475225001</v>
      </c>
      <c r="G4134" t="str">
        <f>T("300 HWY 361")</f>
        <v>300 HWY 361</v>
      </c>
      <c r="H4134" t="str">
        <f>T("CODE WXSQ BLDG 3330S")</f>
        <v>CODE WXSQ BLDG 3330S</v>
      </c>
      <c r="I4134" t="str">
        <f t="shared" si="1616"/>
        <v>CRANE</v>
      </c>
      <c r="J4134" t="str">
        <f t="shared" si="1617"/>
        <v>IN</v>
      </c>
      <c r="K4134" t="str">
        <f t="shared" si="1610"/>
        <v>000000000000000000</v>
      </c>
      <c r="L4134" t="str">
        <f>T("8128542620")</f>
        <v>8128542620</v>
      </c>
    </row>
    <row r="4135" spans="1:12" x14ac:dyDescent="0.35">
      <c r="A4135" t="str">
        <f t="shared" si="1609"/>
        <v>NSWC CRANE DIVISION</v>
      </c>
      <c r="B4135" t="str">
        <f>T("BLDG 3330C CODE WXSQ")</f>
        <v>BLDG 3330C CODE WXSQ</v>
      </c>
      <c r="C4135" t="str">
        <f t="shared" si="1612"/>
        <v>300 HWY 361</v>
      </c>
      <c r="D4135" t="str">
        <f t="shared" si="1613"/>
        <v>CRANE</v>
      </c>
      <c r="E4135" t="str">
        <f t="shared" si="1614"/>
        <v>IN</v>
      </c>
      <c r="F4135" t="str">
        <f t="shared" si="1618"/>
        <v>475225001</v>
      </c>
      <c r="G4135" t="str">
        <f>T("BLDG 3330C CODE WXSQ")</f>
        <v>BLDG 3330C CODE WXSQ</v>
      </c>
      <c r="H4135" t="str">
        <f>T("300 HWY 361")</f>
        <v>300 HWY 361</v>
      </c>
      <c r="I4135" t="str">
        <f t="shared" si="1616"/>
        <v>CRANE</v>
      </c>
      <c r="J4135" t="str">
        <f t="shared" si="1617"/>
        <v>IN</v>
      </c>
      <c r="K4135" t="str">
        <f t="shared" si="1610"/>
        <v>000000000000000000</v>
      </c>
      <c r="L4135" t="str">
        <f>T("8128546258")</f>
        <v>8128546258</v>
      </c>
    </row>
    <row r="4136" spans="1:12" x14ac:dyDescent="0.35">
      <c r="A4136" t="str">
        <f t="shared" si="1609"/>
        <v>NSWC CRANE DIVISION</v>
      </c>
      <c r="B4136" t="str">
        <f>T("BLDG 3330C CODE WXSQ")</f>
        <v>BLDG 3330C CODE WXSQ</v>
      </c>
      <c r="C4136" t="str">
        <f t="shared" si="1612"/>
        <v>300 HWY 361</v>
      </c>
      <c r="D4136" t="str">
        <f t="shared" si="1613"/>
        <v>CRANE</v>
      </c>
      <c r="E4136" t="str">
        <f t="shared" si="1614"/>
        <v>IN</v>
      </c>
      <c r="F4136" t="str">
        <f t="shared" si="1618"/>
        <v>475225001</v>
      </c>
      <c r="G4136" t="str">
        <f>T("BLDG 3330C CODE WXSQ")</f>
        <v>BLDG 3330C CODE WXSQ</v>
      </c>
      <c r="H4136" t="str">
        <f>T("300 HWY 361")</f>
        <v>300 HWY 361</v>
      </c>
      <c r="I4136" t="str">
        <f t="shared" si="1616"/>
        <v>CRANE</v>
      </c>
      <c r="J4136" t="str">
        <f t="shared" si="1617"/>
        <v>IN</v>
      </c>
      <c r="K4136" t="str">
        <f t="shared" si="1610"/>
        <v>000000000000000000</v>
      </c>
      <c r="L4136" t="str">
        <f>T("8128546771")</f>
        <v>8128546771</v>
      </c>
    </row>
    <row r="4137" spans="1:12" x14ac:dyDescent="0.35">
      <c r="A4137" t="str">
        <f t="shared" si="1609"/>
        <v>NSWC CRANE DIVISION</v>
      </c>
      <c r="B4137" t="str">
        <f>T("BLDG 41 CODE GXPL")</f>
        <v>BLDG 41 CODE GXPL</v>
      </c>
      <c r="C4137" t="str">
        <f t="shared" si="1612"/>
        <v>300 HWY 361</v>
      </c>
      <c r="D4137" t="str">
        <f t="shared" si="1613"/>
        <v>CRANE</v>
      </c>
      <c r="E4137" t="str">
        <f t="shared" si="1614"/>
        <v>IN</v>
      </c>
      <c r="F4137" t="str">
        <f t="shared" si="1618"/>
        <v>475225001</v>
      </c>
      <c r="G4137" t="str">
        <f>T("BLDG 41 CODE GXPL")</f>
        <v>BLDG 41 CODE GXPL</v>
      </c>
      <c r="H4137" t="str">
        <f>T("300 HWY 361")</f>
        <v>300 HWY 361</v>
      </c>
      <c r="I4137" t="str">
        <f t="shared" si="1616"/>
        <v>CRANE</v>
      </c>
      <c r="J4137" t="str">
        <f t="shared" si="1617"/>
        <v>IN</v>
      </c>
      <c r="K4137" t="str">
        <f t="shared" si="1610"/>
        <v>000000000000000000</v>
      </c>
      <c r="L4137" t="str">
        <f>T("8128548691")</f>
        <v>8128548691</v>
      </c>
    </row>
    <row r="4138" spans="1:12" x14ac:dyDescent="0.35">
      <c r="A4138" t="str">
        <f t="shared" ref="A4138:A4152" si="1619">T("NAVXDIVINGU")</f>
        <v>NAVXDIVINGU</v>
      </c>
      <c r="B4138" t="str">
        <f t="shared" ref="B4138:B4144" si="1620">T("321 BULLFINCH RD")</f>
        <v>321 BULLFINCH RD</v>
      </c>
      <c r="C4138" t="str">
        <f t="shared" ref="C4138:C4144" si="1621">T("CODE 01")</f>
        <v>CODE 01</v>
      </c>
      <c r="D4138" t="str">
        <f t="shared" ref="D4138:D4152" si="1622">T("PANAMA CITY")</f>
        <v>PANAMA CITY</v>
      </c>
      <c r="E4138" t="str">
        <f t="shared" ref="E4138:E4152" si="1623">T("FL")</f>
        <v>FL</v>
      </c>
      <c r="F4138" t="str">
        <f t="shared" ref="F4138:F4152" si="1624">T("324077012")</f>
        <v>324077012</v>
      </c>
      <c r="G4138" t="str">
        <f>T("321 BULFINCH ROAD")</f>
        <v>321 BULFINCH ROAD</v>
      </c>
      <c r="H4138" t="str">
        <f>T("")</f>
        <v/>
      </c>
      <c r="I4138" t="str">
        <f t="shared" ref="I4138:I4152" si="1625">T("PANAMA CITY")</f>
        <v>PANAMA CITY</v>
      </c>
      <c r="J4138" t="str">
        <f t="shared" ref="J4138:J4152" si="1626">T("FL")</f>
        <v>FL</v>
      </c>
      <c r="K4138" t="str">
        <f t="shared" si="1610"/>
        <v>000000000000000000</v>
      </c>
      <c r="L4138" t="str">
        <f>T("8502303295")</f>
        <v>8502303295</v>
      </c>
    </row>
    <row r="4139" spans="1:12" x14ac:dyDescent="0.35">
      <c r="A4139" t="str">
        <f t="shared" si="1619"/>
        <v>NAVXDIVINGU</v>
      </c>
      <c r="B4139" t="str">
        <f t="shared" si="1620"/>
        <v>321 BULLFINCH RD</v>
      </c>
      <c r="C4139" t="str">
        <f t="shared" si="1621"/>
        <v>CODE 01</v>
      </c>
      <c r="D4139" t="str">
        <f t="shared" si="1622"/>
        <v>PANAMA CITY</v>
      </c>
      <c r="E4139" t="str">
        <f t="shared" si="1623"/>
        <v>FL</v>
      </c>
      <c r="F4139" t="str">
        <f t="shared" si="1624"/>
        <v>324077012</v>
      </c>
      <c r="G4139" t="str">
        <f>T("321 BULLFINCH RD")</f>
        <v>321 BULLFINCH RD</v>
      </c>
      <c r="H4139" t="str">
        <f>T("CODE 01")</f>
        <v>CODE 01</v>
      </c>
      <c r="I4139" t="str">
        <f t="shared" si="1625"/>
        <v>PANAMA CITY</v>
      </c>
      <c r="J4139" t="str">
        <f t="shared" si="1626"/>
        <v>FL</v>
      </c>
      <c r="K4139" t="str">
        <f t="shared" si="1610"/>
        <v>000000000000000000</v>
      </c>
      <c r="L4139" t="str">
        <f>T("8502303107")</f>
        <v>8502303107</v>
      </c>
    </row>
    <row r="4140" spans="1:12" x14ac:dyDescent="0.35">
      <c r="A4140" t="str">
        <f t="shared" si="1619"/>
        <v>NAVXDIVINGU</v>
      </c>
      <c r="B4140" t="str">
        <f t="shared" si="1620"/>
        <v>321 BULLFINCH RD</v>
      </c>
      <c r="C4140" t="str">
        <f t="shared" si="1621"/>
        <v>CODE 01</v>
      </c>
      <c r="D4140" t="str">
        <f t="shared" si="1622"/>
        <v>PANAMA CITY</v>
      </c>
      <c r="E4140" t="str">
        <f t="shared" si="1623"/>
        <v>FL</v>
      </c>
      <c r="F4140" t="str">
        <f t="shared" si="1624"/>
        <v>324077012</v>
      </c>
      <c r="G4140" t="str">
        <f t="shared" ref="G4140:G4152" si="1627">T("321 BULLFINCH ROAD")</f>
        <v>321 BULLFINCH ROAD</v>
      </c>
      <c r="H4140" t="str">
        <f t="shared" ref="H4140:H4150" si="1628">T("")</f>
        <v/>
      </c>
      <c r="I4140" t="str">
        <f t="shared" si="1625"/>
        <v>PANAMA CITY</v>
      </c>
      <c r="J4140" t="str">
        <f t="shared" si="1626"/>
        <v>FL</v>
      </c>
      <c r="K4140" t="str">
        <f t="shared" si="1610"/>
        <v>000000000000000000</v>
      </c>
      <c r="L4140" t="str">
        <f>T("8502303100")</f>
        <v>8502303100</v>
      </c>
    </row>
    <row r="4141" spans="1:12" x14ac:dyDescent="0.35">
      <c r="A4141" t="str">
        <f t="shared" si="1619"/>
        <v>NAVXDIVINGU</v>
      </c>
      <c r="B4141" t="str">
        <f t="shared" si="1620"/>
        <v>321 BULLFINCH RD</v>
      </c>
      <c r="C4141" t="str">
        <f t="shared" si="1621"/>
        <v>CODE 01</v>
      </c>
      <c r="D4141" t="str">
        <f t="shared" si="1622"/>
        <v>PANAMA CITY</v>
      </c>
      <c r="E4141" t="str">
        <f t="shared" si="1623"/>
        <v>FL</v>
      </c>
      <c r="F4141" t="str">
        <f t="shared" si="1624"/>
        <v>324077012</v>
      </c>
      <c r="G4141" t="str">
        <f t="shared" si="1627"/>
        <v>321 BULLFINCH ROAD</v>
      </c>
      <c r="H4141" t="str">
        <f t="shared" si="1628"/>
        <v/>
      </c>
      <c r="I4141" t="str">
        <f t="shared" si="1625"/>
        <v>PANAMA CITY</v>
      </c>
      <c r="J4141" t="str">
        <f t="shared" si="1626"/>
        <v>FL</v>
      </c>
      <c r="K4141" t="str">
        <f t="shared" si="1610"/>
        <v>000000000000000000</v>
      </c>
      <c r="L4141" t="str">
        <f>T("8502303127")</f>
        <v>8502303127</v>
      </c>
    </row>
    <row r="4142" spans="1:12" x14ac:dyDescent="0.35">
      <c r="A4142" t="str">
        <f t="shared" si="1619"/>
        <v>NAVXDIVINGU</v>
      </c>
      <c r="B4142" t="str">
        <f t="shared" si="1620"/>
        <v>321 BULLFINCH RD</v>
      </c>
      <c r="C4142" t="str">
        <f t="shared" si="1621"/>
        <v>CODE 01</v>
      </c>
      <c r="D4142" t="str">
        <f t="shared" si="1622"/>
        <v>PANAMA CITY</v>
      </c>
      <c r="E4142" t="str">
        <f t="shared" si="1623"/>
        <v>FL</v>
      </c>
      <c r="F4142" t="str">
        <f t="shared" si="1624"/>
        <v>324077012</v>
      </c>
      <c r="G4142" t="str">
        <f t="shared" si="1627"/>
        <v>321 BULLFINCH ROAD</v>
      </c>
      <c r="H4142" t="str">
        <f t="shared" si="1628"/>
        <v/>
      </c>
      <c r="I4142" t="str">
        <f t="shared" si="1625"/>
        <v>PANAMA CITY</v>
      </c>
      <c r="J4142" t="str">
        <f t="shared" si="1626"/>
        <v>FL</v>
      </c>
      <c r="K4142" t="str">
        <f>T("8502303182")</f>
        <v>8502303182</v>
      </c>
      <c r="L4142" t="str">
        <f>T("8502303206")</f>
        <v>8502303206</v>
      </c>
    </row>
    <row r="4143" spans="1:12" x14ac:dyDescent="0.35">
      <c r="A4143" t="str">
        <f t="shared" si="1619"/>
        <v>NAVXDIVINGU</v>
      </c>
      <c r="B4143" t="str">
        <f t="shared" si="1620"/>
        <v>321 BULLFINCH RD</v>
      </c>
      <c r="C4143" t="str">
        <f t="shared" si="1621"/>
        <v>CODE 01</v>
      </c>
      <c r="D4143" t="str">
        <f t="shared" si="1622"/>
        <v>PANAMA CITY</v>
      </c>
      <c r="E4143" t="str">
        <f t="shared" si="1623"/>
        <v>FL</v>
      </c>
      <c r="F4143" t="str">
        <f t="shared" si="1624"/>
        <v>324077012</v>
      </c>
      <c r="G4143" t="str">
        <f t="shared" si="1627"/>
        <v>321 BULLFINCH ROAD</v>
      </c>
      <c r="H4143" t="str">
        <f t="shared" si="1628"/>
        <v/>
      </c>
      <c r="I4143" t="str">
        <f t="shared" si="1625"/>
        <v>PANAMA CITY</v>
      </c>
      <c r="J4143" t="str">
        <f t="shared" si="1626"/>
        <v>FL</v>
      </c>
      <c r="K4143" t="str">
        <f>T("85023032016")</f>
        <v>85023032016</v>
      </c>
      <c r="L4143" t="str">
        <f>T("1111111111")</f>
        <v>1111111111</v>
      </c>
    </row>
    <row r="4144" spans="1:12" x14ac:dyDescent="0.35">
      <c r="A4144" t="str">
        <f t="shared" si="1619"/>
        <v>NAVXDIVINGU</v>
      </c>
      <c r="B4144" t="str">
        <f t="shared" si="1620"/>
        <v>321 BULLFINCH RD</v>
      </c>
      <c r="C4144" t="str">
        <f t="shared" si="1621"/>
        <v>CODE 01</v>
      </c>
      <c r="D4144" t="str">
        <f t="shared" si="1622"/>
        <v>PANAMA CITY</v>
      </c>
      <c r="E4144" t="str">
        <f t="shared" si="1623"/>
        <v>FL</v>
      </c>
      <c r="F4144" t="str">
        <f t="shared" si="1624"/>
        <v>324077012</v>
      </c>
      <c r="G4144" t="str">
        <f t="shared" si="1627"/>
        <v>321 BULLFINCH ROAD</v>
      </c>
      <c r="H4144" t="str">
        <f t="shared" si="1628"/>
        <v/>
      </c>
      <c r="I4144" t="str">
        <f t="shared" si="1625"/>
        <v>PANAMA CITY</v>
      </c>
      <c r="J4144" t="str">
        <f t="shared" si="1626"/>
        <v>FL</v>
      </c>
      <c r="K4144" t="str">
        <f>T("8502303215")</f>
        <v>8502303215</v>
      </c>
      <c r="L4144" t="str">
        <f>T("8502303230")</f>
        <v>8502303230</v>
      </c>
    </row>
    <row r="4145" spans="1:12" x14ac:dyDescent="0.35">
      <c r="A4145" t="str">
        <f t="shared" si="1619"/>
        <v>NAVXDIVINGU</v>
      </c>
      <c r="B4145" t="str">
        <f t="shared" ref="B4145:B4152" si="1629">T("321 BULLFINCH ROAD")</f>
        <v>321 BULLFINCH ROAD</v>
      </c>
      <c r="C4145" t="str">
        <f t="shared" ref="C4145:C4152" si="1630">T("CODE 50")</f>
        <v>CODE 50</v>
      </c>
      <c r="D4145" t="str">
        <f t="shared" si="1622"/>
        <v>PANAMA CITY</v>
      </c>
      <c r="E4145" t="str">
        <f t="shared" si="1623"/>
        <v>FL</v>
      </c>
      <c r="F4145" t="str">
        <f t="shared" si="1624"/>
        <v>324077012</v>
      </c>
      <c r="G4145" t="str">
        <f t="shared" si="1627"/>
        <v>321 BULLFINCH ROAD</v>
      </c>
      <c r="H4145" t="str">
        <f t="shared" si="1628"/>
        <v/>
      </c>
      <c r="I4145" t="str">
        <f t="shared" si="1625"/>
        <v>PANAMA CITY</v>
      </c>
      <c r="J4145" t="str">
        <f t="shared" si="1626"/>
        <v>FL</v>
      </c>
      <c r="K4145" t="str">
        <f>T("000000000000000000")</f>
        <v>000000000000000000</v>
      </c>
      <c r="L4145" t="str">
        <f>T("8502303100")</f>
        <v>8502303100</v>
      </c>
    </row>
    <row r="4146" spans="1:12" x14ac:dyDescent="0.35">
      <c r="A4146" t="str">
        <f t="shared" si="1619"/>
        <v>NAVXDIVINGU</v>
      </c>
      <c r="B4146" t="str">
        <f t="shared" si="1629"/>
        <v>321 BULLFINCH ROAD</v>
      </c>
      <c r="C4146" t="str">
        <f t="shared" si="1630"/>
        <v>CODE 50</v>
      </c>
      <c r="D4146" t="str">
        <f t="shared" si="1622"/>
        <v>PANAMA CITY</v>
      </c>
      <c r="E4146" t="str">
        <f t="shared" si="1623"/>
        <v>FL</v>
      </c>
      <c r="F4146" t="str">
        <f t="shared" si="1624"/>
        <v>324077012</v>
      </c>
      <c r="G4146" t="str">
        <f t="shared" si="1627"/>
        <v>321 BULLFINCH ROAD</v>
      </c>
      <c r="H4146" t="str">
        <f t="shared" si="1628"/>
        <v/>
      </c>
      <c r="I4146" t="str">
        <f t="shared" si="1625"/>
        <v>PANAMA CITY</v>
      </c>
      <c r="J4146" t="str">
        <f t="shared" si="1626"/>
        <v>FL</v>
      </c>
      <c r="K4146" t="str">
        <f>T("000000000000000000")</f>
        <v>000000000000000000</v>
      </c>
      <c r="L4146" t="str">
        <f>T("8502303127")</f>
        <v>8502303127</v>
      </c>
    </row>
    <row r="4147" spans="1:12" x14ac:dyDescent="0.35">
      <c r="A4147" t="str">
        <f t="shared" si="1619"/>
        <v>NAVXDIVINGU</v>
      </c>
      <c r="B4147" t="str">
        <f t="shared" si="1629"/>
        <v>321 BULLFINCH ROAD</v>
      </c>
      <c r="C4147" t="str">
        <f t="shared" si="1630"/>
        <v>CODE 50</v>
      </c>
      <c r="D4147" t="str">
        <f t="shared" si="1622"/>
        <v>PANAMA CITY</v>
      </c>
      <c r="E4147" t="str">
        <f t="shared" si="1623"/>
        <v>FL</v>
      </c>
      <c r="F4147" t="str">
        <f t="shared" si="1624"/>
        <v>324077012</v>
      </c>
      <c r="G4147" t="str">
        <f t="shared" si="1627"/>
        <v>321 BULLFINCH ROAD</v>
      </c>
      <c r="H4147" t="str">
        <f t="shared" si="1628"/>
        <v/>
      </c>
      <c r="I4147" t="str">
        <f t="shared" si="1625"/>
        <v>PANAMA CITY</v>
      </c>
      <c r="J4147" t="str">
        <f t="shared" si="1626"/>
        <v>FL</v>
      </c>
      <c r="K4147" t="str">
        <f>T("000000000000000000")</f>
        <v>000000000000000000</v>
      </c>
      <c r="L4147" t="str">
        <f>T("8502303295")</f>
        <v>8502303295</v>
      </c>
    </row>
    <row r="4148" spans="1:12" x14ac:dyDescent="0.35">
      <c r="A4148" t="str">
        <f t="shared" si="1619"/>
        <v>NAVXDIVINGU</v>
      </c>
      <c r="B4148" t="str">
        <f t="shared" si="1629"/>
        <v>321 BULLFINCH ROAD</v>
      </c>
      <c r="C4148" t="str">
        <f t="shared" si="1630"/>
        <v>CODE 50</v>
      </c>
      <c r="D4148" t="str">
        <f t="shared" si="1622"/>
        <v>PANAMA CITY</v>
      </c>
      <c r="E4148" t="str">
        <f t="shared" si="1623"/>
        <v>FL</v>
      </c>
      <c r="F4148" t="str">
        <f t="shared" si="1624"/>
        <v>324077012</v>
      </c>
      <c r="G4148" t="str">
        <f t="shared" si="1627"/>
        <v>321 BULLFINCH ROAD</v>
      </c>
      <c r="H4148" t="str">
        <f t="shared" si="1628"/>
        <v/>
      </c>
      <c r="I4148" t="str">
        <f t="shared" si="1625"/>
        <v>PANAMA CITY</v>
      </c>
      <c r="J4148" t="str">
        <f t="shared" si="1626"/>
        <v>FL</v>
      </c>
      <c r="K4148" t="str">
        <f>T("8502303182")</f>
        <v>8502303182</v>
      </c>
      <c r="L4148" t="str">
        <f>T("8502303206")</f>
        <v>8502303206</v>
      </c>
    </row>
    <row r="4149" spans="1:12" x14ac:dyDescent="0.35">
      <c r="A4149" t="str">
        <f t="shared" si="1619"/>
        <v>NAVXDIVINGU</v>
      </c>
      <c r="B4149" t="str">
        <f t="shared" si="1629"/>
        <v>321 BULLFINCH ROAD</v>
      </c>
      <c r="C4149" t="str">
        <f t="shared" si="1630"/>
        <v>CODE 50</v>
      </c>
      <c r="D4149" t="str">
        <f t="shared" si="1622"/>
        <v>PANAMA CITY</v>
      </c>
      <c r="E4149" t="str">
        <f t="shared" si="1623"/>
        <v>FL</v>
      </c>
      <c r="F4149" t="str">
        <f t="shared" si="1624"/>
        <v>324077012</v>
      </c>
      <c r="G4149" t="str">
        <f t="shared" si="1627"/>
        <v>321 BULLFINCH ROAD</v>
      </c>
      <c r="H4149" t="str">
        <f t="shared" si="1628"/>
        <v/>
      </c>
      <c r="I4149" t="str">
        <f t="shared" si="1625"/>
        <v>PANAMA CITY</v>
      </c>
      <c r="J4149" t="str">
        <f t="shared" si="1626"/>
        <v>FL</v>
      </c>
      <c r="K4149" t="str">
        <f>T("8502303215")</f>
        <v>8502303215</v>
      </c>
      <c r="L4149" t="str">
        <f>T("8502303230")</f>
        <v>8502303230</v>
      </c>
    </row>
    <row r="4150" spans="1:12" x14ac:dyDescent="0.35">
      <c r="A4150" t="str">
        <f t="shared" si="1619"/>
        <v>NAVXDIVINGU</v>
      </c>
      <c r="B4150" t="str">
        <f t="shared" si="1629"/>
        <v>321 BULLFINCH ROAD</v>
      </c>
      <c r="C4150" t="str">
        <f t="shared" si="1630"/>
        <v>CODE 50</v>
      </c>
      <c r="D4150" t="str">
        <f t="shared" si="1622"/>
        <v>PANAMA CITY</v>
      </c>
      <c r="E4150" t="str">
        <f t="shared" si="1623"/>
        <v>FL</v>
      </c>
      <c r="F4150" t="str">
        <f t="shared" si="1624"/>
        <v>324077012</v>
      </c>
      <c r="G4150" t="str">
        <f t="shared" si="1627"/>
        <v>321 BULLFINCH ROAD</v>
      </c>
      <c r="H4150" t="str">
        <f t="shared" si="1628"/>
        <v/>
      </c>
      <c r="I4150" t="str">
        <f t="shared" si="1625"/>
        <v>PANAMA CITY</v>
      </c>
      <c r="J4150" t="str">
        <f t="shared" si="1626"/>
        <v>FL</v>
      </c>
      <c r="K4150" t="str">
        <f>T("8502344238")</f>
        <v>8502344238</v>
      </c>
      <c r="L4150" t="str">
        <f>T("8502303206")</f>
        <v>8502303206</v>
      </c>
    </row>
    <row r="4151" spans="1:12" x14ac:dyDescent="0.35">
      <c r="A4151" t="str">
        <f t="shared" si="1619"/>
        <v>NAVXDIVINGU</v>
      </c>
      <c r="B4151" t="str">
        <f t="shared" si="1629"/>
        <v>321 BULLFINCH ROAD</v>
      </c>
      <c r="C4151" t="str">
        <f t="shared" si="1630"/>
        <v>CODE 50</v>
      </c>
      <c r="D4151" t="str">
        <f t="shared" si="1622"/>
        <v>PANAMA CITY</v>
      </c>
      <c r="E4151" t="str">
        <f t="shared" si="1623"/>
        <v>FL</v>
      </c>
      <c r="F4151" t="str">
        <f t="shared" si="1624"/>
        <v>324077012</v>
      </c>
      <c r="G4151" t="str">
        <f t="shared" si="1627"/>
        <v>321 BULLFINCH ROAD</v>
      </c>
      <c r="H4151" t="str">
        <f>T("CODE 50")</f>
        <v>CODE 50</v>
      </c>
      <c r="I4151" t="str">
        <f t="shared" si="1625"/>
        <v>PANAMA CITY</v>
      </c>
      <c r="J4151" t="str">
        <f t="shared" si="1626"/>
        <v>FL</v>
      </c>
      <c r="K4151" t="str">
        <f>T("8502303113")</f>
        <v>8502303113</v>
      </c>
      <c r="L4151" t="str">
        <f>T("8502303107")</f>
        <v>8502303107</v>
      </c>
    </row>
    <row r="4152" spans="1:12" x14ac:dyDescent="0.35">
      <c r="A4152" t="str">
        <f t="shared" si="1619"/>
        <v>NAVXDIVINGU</v>
      </c>
      <c r="B4152" t="str">
        <f t="shared" si="1629"/>
        <v>321 BULLFINCH ROAD</v>
      </c>
      <c r="C4152" t="str">
        <f t="shared" si="1630"/>
        <v>CODE 50</v>
      </c>
      <c r="D4152" t="str">
        <f t="shared" si="1622"/>
        <v>PANAMA CITY</v>
      </c>
      <c r="E4152" t="str">
        <f t="shared" si="1623"/>
        <v>FL</v>
      </c>
      <c r="F4152" t="str">
        <f t="shared" si="1624"/>
        <v>324077012</v>
      </c>
      <c r="G4152" t="str">
        <f t="shared" si="1627"/>
        <v>321 BULLFINCH ROAD</v>
      </c>
      <c r="H4152" t="str">
        <f>T("CODE 50")</f>
        <v>CODE 50</v>
      </c>
      <c r="I4152" t="str">
        <f t="shared" si="1625"/>
        <v>PANAMA CITY</v>
      </c>
      <c r="J4152" t="str">
        <f t="shared" si="1626"/>
        <v>FL</v>
      </c>
      <c r="K4152" t="str">
        <f>T("8502303113")</f>
        <v>8502303113</v>
      </c>
      <c r="L4152" t="str">
        <f>T("8502303110")</f>
        <v>8502303110</v>
      </c>
    </row>
    <row r="4153" spans="1:12" x14ac:dyDescent="0.35">
      <c r="A4153" t="str">
        <f t="shared" ref="A4153:A4164" si="1631">T("SUPSHIP GULF COAST")</f>
        <v>SUPSHIP GULF COAST</v>
      </c>
      <c r="B4153" t="str">
        <f>T("P O BOX 7003 CODE 500")</f>
        <v>P O BOX 7003 CODE 500</v>
      </c>
      <c r="C4153" t="str">
        <f>T("KREBS AVENUE")</f>
        <v>KREBS AVENUE</v>
      </c>
      <c r="D4153" t="str">
        <f t="shared" ref="D4153:D4164" si="1632">T("PASCAGOULA")</f>
        <v>PASCAGOULA</v>
      </c>
      <c r="E4153" t="str">
        <f t="shared" ref="E4153:E4164" si="1633">T("MS")</f>
        <v>MS</v>
      </c>
      <c r="F4153" t="str">
        <f t="shared" ref="F4153:F4159" si="1634">T("395687003")</f>
        <v>395687003</v>
      </c>
      <c r="G4153" t="str">
        <f>T("BLDG 88 CODE 500")</f>
        <v>BLDG 88 CODE 500</v>
      </c>
      <c r="H4153" t="str">
        <f>T("SINGING RIVER ISLAND")</f>
        <v>SINGING RIVER ISLAND</v>
      </c>
      <c r="I4153" t="str">
        <f t="shared" ref="I4153:I4164" si="1635">T("PASCAGOULA")</f>
        <v>PASCAGOULA</v>
      </c>
      <c r="J4153" t="str">
        <f t="shared" ref="J4153:J4164" si="1636">T("MS")</f>
        <v>MS</v>
      </c>
      <c r="K4153" t="str">
        <f>T("000000000000000000")</f>
        <v>000000000000000000</v>
      </c>
      <c r="L4153" t="str">
        <f>T("2289350407")</f>
        <v>2289350407</v>
      </c>
    </row>
    <row r="4154" spans="1:12" x14ac:dyDescent="0.35">
      <c r="A4154" t="str">
        <f t="shared" si="1631"/>
        <v>SUPSHIP GULF COAST</v>
      </c>
      <c r="B4154" t="str">
        <f>T("P O BOX 7003 CODE 500")</f>
        <v>P O BOX 7003 CODE 500</v>
      </c>
      <c r="C4154" t="str">
        <f>T("KREBS AVENUE")</f>
        <v>KREBS AVENUE</v>
      </c>
      <c r="D4154" t="str">
        <f t="shared" si="1632"/>
        <v>PASCAGOULA</v>
      </c>
      <c r="E4154" t="str">
        <f t="shared" si="1633"/>
        <v>MS</v>
      </c>
      <c r="F4154" t="str">
        <f t="shared" si="1634"/>
        <v>395687003</v>
      </c>
      <c r="G4154" t="str">
        <f>T("P O BOX 7003 CODE 500")</f>
        <v>P O BOX 7003 CODE 500</v>
      </c>
      <c r="H4154" t="str">
        <f>T("KREBS AVENUE")</f>
        <v>KREBS AVENUE</v>
      </c>
      <c r="I4154" t="str">
        <f t="shared" si="1635"/>
        <v>PASCAGOULA</v>
      </c>
      <c r="J4154" t="str">
        <f t="shared" si="1636"/>
        <v>MS</v>
      </c>
      <c r="K4154" t="str">
        <f>T("000000000000000000")</f>
        <v>000000000000000000</v>
      </c>
      <c r="L4154" t="str">
        <f>T("2289352078")</f>
        <v>2289352078</v>
      </c>
    </row>
    <row r="4155" spans="1:12" x14ac:dyDescent="0.35">
      <c r="A4155" t="str">
        <f t="shared" si="1631"/>
        <v>SUPSHIP GULF COAST</v>
      </c>
      <c r="B4155" t="str">
        <f>T("P O BOX 7003 CODE 500")</f>
        <v>P O BOX 7003 CODE 500</v>
      </c>
      <c r="C4155" t="str">
        <f>T("KREBS AVENUE")</f>
        <v>KREBS AVENUE</v>
      </c>
      <c r="D4155" t="str">
        <f t="shared" si="1632"/>
        <v>PASCAGOULA</v>
      </c>
      <c r="E4155" t="str">
        <f t="shared" si="1633"/>
        <v>MS</v>
      </c>
      <c r="F4155" t="str">
        <f t="shared" si="1634"/>
        <v>395687003</v>
      </c>
      <c r="G4155" t="str">
        <f>T("PO BOX 7003")</f>
        <v>PO BOX 7003</v>
      </c>
      <c r="H4155" t="str">
        <f>T("")</f>
        <v/>
      </c>
      <c r="I4155" t="str">
        <f t="shared" si="1635"/>
        <v>PASCAGOULA</v>
      </c>
      <c r="J4155" t="str">
        <f t="shared" si="1636"/>
        <v>MS</v>
      </c>
      <c r="K4155" t="str">
        <f>T("000000000000000000")</f>
        <v>000000000000000000</v>
      </c>
      <c r="L4155" t="str">
        <f>T("2289350406")</f>
        <v>2289350406</v>
      </c>
    </row>
    <row r="4156" spans="1:12" x14ac:dyDescent="0.35">
      <c r="A4156" t="str">
        <f t="shared" si="1631"/>
        <v>SUPSHIP GULF COAST</v>
      </c>
      <c r="B4156" t="str">
        <f>T("P O BOX 7003 CODE 500")</f>
        <v>P O BOX 7003 CODE 500</v>
      </c>
      <c r="C4156" t="str">
        <f>T("KREBS AVENUE")</f>
        <v>KREBS AVENUE</v>
      </c>
      <c r="D4156" t="str">
        <f t="shared" si="1632"/>
        <v>PASCAGOULA</v>
      </c>
      <c r="E4156" t="str">
        <f t="shared" si="1633"/>
        <v>MS</v>
      </c>
      <c r="F4156" t="str">
        <f t="shared" si="1634"/>
        <v>395687003</v>
      </c>
      <c r="G4156" t="str">
        <f>T("PO BOX 7003")</f>
        <v>PO BOX 7003</v>
      </c>
      <c r="H4156" t="str">
        <f>T("")</f>
        <v/>
      </c>
      <c r="I4156" t="str">
        <f t="shared" si="1635"/>
        <v>PASCAGOULA</v>
      </c>
      <c r="J4156" t="str">
        <f t="shared" si="1636"/>
        <v>MS</v>
      </c>
      <c r="K4156" t="str">
        <f>T("000000000000000000")</f>
        <v>000000000000000000</v>
      </c>
      <c r="L4156" t="str">
        <f>T("2289350418")</f>
        <v>2289350418</v>
      </c>
    </row>
    <row r="4157" spans="1:12" x14ac:dyDescent="0.35">
      <c r="A4157" t="str">
        <f t="shared" si="1631"/>
        <v>SUPSHIP GULF COAST</v>
      </c>
      <c r="B4157" t="str">
        <f>T("P O BOX 7003 CODE 500")</f>
        <v>P O BOX 7003 CODE 500</v>
      </c>
      <c r="C4157" t="str">
        <f>T("KREBS AVENUE")</f>
        <v>KREBS AVENUE</v>
      </c>
      <c r="D4157" t="str">
        <f t="shared" si="1632"/>
        <v>PASCAGOULA</v>
      </c>
      <c r="E4157" t="str">
        <f t="shared" si="1633"/>
        <v>MS</v>
      </c>
      <c r="F4157" t="str">
        <f t="shared" si="1634"/>
        <v>395687003</v>
      </c>
      <c r="G4157" t="str">
        <f>T("PO BOX 7003")</f>
        <v>PO BOX 7003</v>
      </c>
      <c r="H4157" t="str">
        <f>T("")</f>
        <v/>
      </c>
      <c r="I4157" t="str">
        <f t="shared" si="1635"/>
        <v>PASCAGOULA</v>
      </c>
      <c r="J4157" t="str">
        <f t="shared" si="1636"/>
        <v>MS</v>
      </c>
      <c r="K4157" t="str">
        <f>T("000000000000000000")</f>
        <v>000000000000000000</v>
      </c>
      <c r="L4157" t="str">
        <f>T("2289355710")</f>
        <v>2289355710</v>
      </c>
    </row>
    <row r="4158" spans="1:12" x14ac:dyDescent="0.35">
      <c r="A4158" t="str">
        <f t="shared" si="1631"/>
        <v>SUPSHIP GULF COAST</v>
      </c>
      <c r="B4158" t="str">
        <f>T("PO BOX 7003 CODE 186")</f>
        <v>PO BOX 7003 CODE 186</v>
      </c>
      <c r="C4158" t="str">
        <f>T("ADMIN 1")</f>
        <v>ADMIN 1</v>
      </c>
      <c r="D4158" t="str">
        <f t="shared" si="1632"/>
        <v>PASCAGOULA</v>
      </c>
      <c r="E4158" t="str">
        <f t="shared" si="1633"/>
        <v>MS</v>
      </c>
      <c r="F4158" t="str">
        <f t="shared" si="1634"/>
        <v>395687003</v>
      </c>
      <c r="G4158" t="str">
        <f>T("PO BOX 7003 CODE 186")</f>
        <v>PO BOX 7003 CODE 186</v>
      </c>
      <c r="H4158" t="str">
        <f>T("ADMIN 1")</f>
        <v>ADMIN 1</v>
      </c>
      <c r="I4158" t="str">
        <f t="shared" si="1635"/>
        <v>PASCAGOULA</v>
      </c>
      <c r="J4158" t="str">
        <f t="shared" si="1636"/>
        <v>MS</v>
      </c>
      <c r="K4158" t="str">
        <f>T("")</f>
        <v/>
      </c>
      <c r="L4158" t="str">
        <f>T("2287694500")</f>
        <v>2287694500</v>
      </c>
    </row>
    <row r="4159" spans="1:12" x14ac:dyDescent="0.35">
      <c r="A4159" t="str">
        <f t="shared" si="1631"/>
        <v>SUPSHIP GULF COAST</v>
      </c>
      <c r="B4159" t="str">
        <f>T("PO BOX 7003 CODE 186")</f>
        <v>PO BOX 7003 CODE 186</v>
      </c>
      <c r="C4159" t="str">
        <f>T("ADMIN 1")</f>
        <v>ADMIN 1</v>
      </c>
      <c r="D4159" t="str">
        <f t="shared" si="1632"/>
        <v>PASCAGOULA</v>
      </c>
      <c r="E4159" t="str">
        <f t="shared" si="1633"/>
        <v>MS</v>
      </c>
      <c r="F4159" t="str">
        <f t="shared" si="1634"/>
        <v>395687003</v>
      </c>
      <c r="G4159" t="str">
        <f>T("SUPSHIP GULF COAST")</f>
        <v>SUPSHIP GULF COAST</v>
      </c>
      <c r="H4159" t="str">
        <f>T("PO BOX 7003")</f>
        <v>PO BOX 7003</v>
      </c>
      <c r="I4159" t="str">
        <f t="shared" si="1635"/>
        <v>PASCAGOULA</v>
      </c>
      <c r="J4159" t="str">
        <f t="shared" si="1636"/>
        <v>MS</v>
      </c>
      <c r="K4159" t="str">
        <f>T("000000000000000000")</f>
        <v>000000000000000000</v>
      </c>
      <c r="L4159" t="str">
        <f>T("2287694307")</f>
        <v>2287694307</v>
      </c>
    </row>
    <row r="4160" spans="1:12" x14ac:dyDescent="0.35">
      <c r="A4160" t="str">
        <f t="shared" si="1631"/>
        <v>SUPSHIP GULF COAST</v>
      </c>
      <c r="B4160" t="str">
        <f>T("PO BOX 703 CODE 500")</f>
        <v>PO BOX 703 CODE 500</v>
      </c>
      <c r="C4160" t="str">
        <f>T("KREBS AVENUE")</f>
        <v>KREBS AVENUE</v>
      </c>
      <c r="D4160" t="str">
        <f t="shared" si="1632"/>
        <v>PASCAGOULA</v>
      </c>
      <c r="E4160" t="str">
        <f t="shared" si="1633"/>
        <v>MS</v>
      </c>
      <c r="F4160" t="str">
        <f>T("395680703")</f>
        <v>395680703</v>
      </c>
      <c r="G4160" t="str">
        <f>T("PO BOX 7003")</f>
        <v>PO BOX 7003</v>
      </c>
      <c r="H4160" t="str">
        <f>T("")</f>
        <v/>
      </c>
      <c r="I4160" t="str">
        <f t="shared" si="1635"/>
        <v>PASCAGOULA</v>
      </c>
      <c r="J4160" t="str">
        <f t="shared" si="1636"/>
        <v>MS</v>
      </c>
      <c r="K4160" t="str">
        <f>T("000000000000000000")</f>
        <v>000000000000000000</v>
      </c>
      <c r="L4160" t="str">
        <f>T("2287122174")</f>
        <v>2287122174</v>
      </c>
    </row>
    <row r="4161" spans="1:12" x14ac:dyDescent="0.35">
      <c r="A4161" t="str">
        <f t="shared" si="1631"/>
        <v>SUPSHIP GULF COAST</v>
      </c>
      <c r="B4161" t="str">
        <f>T("PO BOX 703 CODE 500")</f>
        <v>PO BOX 703 CODE 500</v>
      </c>
      <c r="C4161" t="str">
        <f>T("KREBS AVENUE")</f>
        <v>KREBS AVENUE</v>
      </c>
      <c r="D4161" t="str">
        <f t="shared" si="1632"/>
        <v>PASCAGOULA</v>
      </c>
      <c r="E4161" t="str">
        <f t="shared" si="1633"/>
        <v>MS</v>
      </c>
      <c r="F4161" t="str">
        <f>T("395680703")</f>
        <v>395680703</v>
      </c>
      <c r="G4161" t="str">
        <f>T("PO BOX 703 CODE 500")</f>
        <v>PO BOX 703 CODE 500</v>
      </c>
      <c r="H4161" t="str">
        <f>T("KREBS AVENUE")</f>
        <v>KREBS AVENUE</v>
      </c>
      <c r="I4161" t="str">
        <f t="shared" si="1635"/>
        <v>PASCAGOULA</v>
      </c>
      <c r="J4161" t="str">
        <f t="shared" si="1636"/>
        <v>MS</v>
      </c>
      <c r="K4161" t="str">
        <f>T("2287612468")</f>
        <v>2287612468</v>
      </c>
      <c r="L4161" t="str">
        <f>T("2289352078")</f>
        <v>2289352078</v>
      </c>
    </row>
    <row r="4162" spans="1:12" x14ac:dyDescent="0.35">
      <c r="A4162" t="str">
        <f t="shared" si="1631"/>
        <v>SUPSHIP GULF COAST</v>
      </c>
      <c r="B4162" t="str">
        <f>T("SUPSHIP GULF COAST")</f>
        <v>SUPSHIP GULF COAST</v>
      </c>
      <c r="C4162" t="str">
        <f>T("PO BOX 7003")</f>
        <v>PO BOX 7003</v>
      </c>
      <c r="D4162" t="str">
        <f t="shared" si="1632"/>
        <v>PASCAGOULA</v>
      </c>
      <c r="E4162" t="str">
        <f t="shared" si="1633"/>
        <v>MS</v>
      </c>
      <c r="F4162" t="str">
        <f>T("395687003")</f>
        <v>395687003</v>
      </c>
      <c r="G4162" t="str">
        <f>T("PO BOX 7003")</f>
        <v>PO BOX 7003</v>
      </c>
      <c r="H4162" t="str">
        <f>T("")</f>
        <v/>
      </c>
      <c r="I4162" t="str">
        <f t="shared" si="1635"/>
        <v>PASCAGOULA</v>
      </c>
      <c r="J4162" t="str">
        <f t="shared" si="1636"/>
        <v>MS</v>
      </c>
      <c r="K4162" t="str">
        <f>T("000000000000000000")</f>
        <v>000000000000000000</v>
      </c>
      <c r="L4162" t="str">
        <f>T("2287694246")</f>
        <v>2287694246</v>
      </c>
    </row>
    <row r="4163" spans="1:12" x14ac:dyDescent="0.35">
      <c r="A4163" t="str">
        <f t="shared" si="1631"/>
        <v>SUPSHIP GULF COAST</v>
      </c>
      <c r="B4163" t="str">
        <f>T("SUPSHIP GULF COAST")</f>
        <v>SUPSHIP GULF COAST</v>
      </c>
      <c r="C4163" t="str">
        <f>T("PO BOX 7003")</f>
        <v>PO BOX 7003</v>
      </c>
      <c r="D4163" t="str">
        <f t="shared" si="1632"/>
        <v>PASCAGOULA</v>
      </c>
      <c r="E4163" t="str">
        <f t="shared" si="1633"/>
        <v>MS</v>
      </c>
      <c r="F4163" t="str">
        <f>T("395687003")</f>
        <v>395687003</v>
      </c>
      <c r="G4163" t="str">
        <f>T("PO BOX 7003")</f>
        <v>PO BOX 7003</v>
      </c>
      <c r="H4163" t="str">
        <f>T("")</f>
        <v/>
      </c>
      <c r="I4163" t="str">
        <f t="shared" si="1635"/>
        <v>PASCAGOULA</v>
      </c>
      <c r="J4163" t="str">
        <f t="shared" si="1636"/>
        <v>MS</v>
      </c>
      <c r="K4163" t="str">
        <f>T("000000000000000000")</f>
        <v>000000000000000000</v>
      </c>
      <c r="L4163" t="str">
        <f>T("2287694473")</f>
        <v>2287694473</v>
      </c>
    </row>
    <row r="4164" spans="1:12" x14ac:dyDescent="0.35">
      <c r="A4164" t="str">
        <f t="shared" si="1631"/>
        <v>SUPSHIP GULF COAST</v>
      </c>
      <c r="B4164" t="str">
        <f>T("SUPSHIP GULF COAST")</f>
        <v>SUPSHIP GULF COAST</v>
      </c>
      <c r="C4164" t="str">
        <f>T("PO BOX 7003")</f>
        <v>PO BOX 7003</v>
      </c>
      <c r="D4164" t="str">
        <f t="shared" si="1632"/>
        <v>PASCAGOULA</v>
      </c>
      <c r="E4164" t="str">
        <f t="shared" si="1633"/>
        <v>MS</v>
      </c>
      <c r="F4164" t="str">
        <f>T("395687003")</f>
        <v>395687003</v>
      </c>
      <c r="G4164" t="str">
        <f>T("SUPSHIP GULF COAST")</f>
        <v>SUPSHIP GULF COAST</v>
      </c>
      <c r="H4164" t="str">
        <f>T("PO BOX 7003")</f>
        <v>PO BOX 7003</v>
      </c>
      <c r="I4164" t="str">
        <f t="shared" si="1635"/>
        <v>PASCAGOULA</v>
      </c>
      <c r="J4164" t="str">
        <f t="shared" si="1636"/>
        <v>MS</v>
      </c>
      <c r="K4164" t="str">
        <f>T("")</f>
        <v/>
      </c>
      <c r="L4164" t="str">
        <f>T("2287694358")</f>
        <v>2287694358</v>
      </c>
    </row>
    <row r="4165" spans="1:12" x14ac:dyDescent="0.35">
      <c r="A4165" t="str">
        <f t="shared" ref="A4165:A4196" si="1637">T("NSWC PORT HUENEME")</f>
        <v>NSWC PORT HUENEME</v>
      </c>
      <c r="B4165" t="str">
        <f t="shared" ref="B4165:B4206" si="1638">T("4363 MISSILE WAY")</f>
        <v>4363 MISSILE WAY</v>
      </c>
      <c r="C4165" t="str">
        <f>T("BLDG 1214 CODE 1016")</f>
        <v>BLDG 1214 CODE 1016</v>
      </c>
      <c r="D4165" t="str">
        <f t="shared" ref="D4165:D4203" si="1639">T("PORT HUENEME")</f>
        <v>PORT HUENEME</v>
      </c>
      <c r="E4165" t="str">
        <f t="shared" ref="E4165:E4203" si="1640">T("CA")</f>
        <v>CA</v>
      </c>
      <c r="F4165" t="str">
        <f>T("930434383")</f>
        <v>930434383</v>
      </c>
      <c r="G4165" t="str">
        <f>T("4363 MISSILE WAY")</f>
        <v>4363 MISSILE WAY</v>
      </c>
      <c r="H4165" t="str">
        <f>T("BLDG 1214 CODE 1016")</f>
        <v>BLDG 1214 CODE 1016</v>
      </c>
      <c r="I4165" t="str">
        <f t="shared" ref="I4165:I4187" si="1641">T("PORT HUENEME")</f>
        <v>PORT HUENEME</v>
      </c>
      <c r="J4165" t="str">
        <f t="shared" ref="J4165:J4203" si="1642">T("CA")</f>
        <v>CA</v>
      </c>
      <c r="K4165" t="str">
        <f>T("000000000000000000")</f>
        <v>000000000000000000</v>
      </c>
      <c r="L4165" t="str">
        <f>T("8052286196")</f>
        <v>8052286196</v>
      </c>
    </row>
    <row r="4166" spans="1:12" x14ac:dyDescent="0.35">
      <c r="A4166" t="str">
        <f t="shared" si="1637"/>
        <v>NSWC PORT HUENEME</v>
      </c>
      <c r="B4166" t="str">
        <f t="shared" si="1638"/>
        <v>4363 MISSILE WAY</v>
      </c>
      <c r="C4166" t="str">
        <f>T("BLG 445")</f>
        <v>BLG 445</v>
      </c>
      <c r="D4166" t="str">
        <f t="shared" si="1639"/>
        <v>PORT HUENEME</v>
      </c>
      <c r="E4166" t="str">
        <f t="shared" si="1640"/>
        <v>CA</v>
      </c>
      <c r="F4166" t="str">
        <f t="shared" ref="F4166:F4171" si="1643">T("930434307")</f>
        <v>930434307</v>
      </c>
      <c r="G4166" t="str">
        <f>T("4363 MISSILE WAY")</f>
        <v>4363 MISSILE WAY</v>
      </c>
      <c r="H4166" t="str">
        <f>T("BLG 445")</f>
        <v>BLG 445</v>
      </c>
      <c r="I4166" t="str">
        <f t="shared" si="1641"/>
        <v>PORT HUENEME</v>
      </c>
      <c r="J4166" t="str">
        <f t="shared" si="1642"/>
        <v>CA</v>
      </c>
      <c r="K4166" t="str">
        <f>T("000000000000000000")</f>
        <v>000000000000000000</v>
      </c>
      <c r="L4166" t="str">
        <f>T("8052287552")</f>
        <v>8052287552</v>
      </c>
    </row>
    <row r="4167" spans="1:12" x14ac:dyDescent="0.35">
      <c r="A4167" t="str">
        <f t="shared" si="1637"/>
        <v>NSWC PORT HUENEME</v>
      </c>
      <c r="B4167" t="str">
        <f t="shared" si="1638"/>
        <v>4363 MISSILE WAY</v>
      </c>
      <c r="C4167" t="str">
        <f>T("BLG 445")</f>
        <v>BLG 445</v>
      </c>
      <c r="D4167" t="str">
        <f t="shared" si="1639"/>
        <v>PORT HUENEME</v>
      </c>
      <c r="E4167" t="str">
        <f t="shared" si="1640"/>
        <v>CA</v>
      </c>
      <c r="F4167" t="str">
        <f t="shared" si="1643"/>
        <v>930434307</v>
      </c>
      <c r="G4167" t="str">
        <f>T("NSWC PHD")</f>
        <v>NSWC PHD</v>
      </c>
      <c r="H4167" t="str">
        <f>T("4363 MISSILE WAY CODE 00M")</f>
        <v>4363 MISSILE WAY CODE 00M</v>
      </c>
      <c r="I4167" t="str">
        <f t="shared" si="1641"/>
        <v>PORT HUENEME</v>
      </c>
      <c r="J4167" t="str">
        <f t="shared" si="1642"/>
        <v>CA</v>
      </c>
      <c r="K4167" t="str">
        <f>T("000000000000000000")</f>
        <v>000000000000000000</v>
      </c>
      <c r="L4167" t="str">
        <f>T("8052280552")</f>
        <v>8052280552</v>
      </c>
    </row>
    <row r="4168" spans="1:12" x14ac:dyDescent="0.35">
      <c r="A4168" t="str">
        <f t="shared" si="1637"/>
        <v>NSWC PORT HUENEME</v>
      </c>
      <c r="B4168" t="str">
        <f t="shared" si="1638"/>
        <v>4363 MISSILE WAY</v>
      </c>
      <c r="C4168" t="str">
        <f>T("BLG 445")</f>
        <v>BLG 445</v>
      </c>
      <c r="D4168" t="str">
        <f t="shared" si="1639"/>
        <v>PORT HUENEME</v>
      </c>
      <c r="E4168" t="str">
        <f t="shared" si="1640"/>
        <v>CA</v>
      </c>
      <c r="F4168" t="str">
        <f t="shared" si="1643"/>
        <v>930434307</v>
      </c>
      <c r="G4168" t="str">
        <f>T("NSWC PORT HUENEME DIVISION")</f>
        <v>NSWC PORT HUENEME DIVISION</v>
      </c>
      <c r="H4168" t="str">
        <f>T("4363 MISSILE WAY CODE 00M")</f>
        <v>4363 MISSILE WAY CODE 00M</v>
      </c>
      <c r="I4168" t="str">
        <f t="shared" si="1641"/>
        <v>PORT HUENEME</v>
      </c>
      <c r="J4168" t="str">
        <f t="shared" si="1642"/>
        <v>CA</v>
      </c>
      <c r="K4168" t="str">
        <f>T("000000000000000000")</f>
        <v>000000000000000000</v>
      </c>
      <c r="L4168" t="str">
        <f>T("8052280892")</f>
        <v>8052280892</v>
      </c>
    </row>
    <row r="4169" spans="1:12" x14ac:dyDescent="0.35">
      <c r="A4169" t="str">
        <f t="shared" si="1637"/>
        <v>NSWC PORT HUENEME</v>
      </c>
      <c r="B4169" t="str">
        <f t="shared" si="1638"/>
        <v>4363 MISSILE WAY</v>
      </c>
      <c r="C4169" t="str">
        <f>T("BLG 445")</f>
        <v>BLG 445</v>
      </c>
      <c r="D4169" t="str">
        <f t="shared" si="1639"/>
        <v>PORT HUENEME</v>
      </c>
      <c r="E4169" t="str">
        <f t="shared" si="1640"/>
        <v>CA</v>
      </c>
      <c r="F4169" t="str">
        <f t="shared" si="1643"/>
        <v>930434307</v>
      </c>
      <c r="G4169" t="str">
        <f>T("NSWC PORT HUENEME DIVISION")</f>
        <v>NSWC PORT HUENEME DIVISION</v>
      </c>
      <c r="H4169" t="str">
        <f>T("4363 MISSILE WAY CODE 00M")</f>
        <v>4363 MISSILE WAY CODE 00M</v>
      </c>
      <c r="I4169" t="str">
        <f t="shared" si="1641"/>
        <v>PORT HUENEME</v>
      </c>
      <c r="J4169" t="str">
        <f t="shared" si="1642"/>
        <v>CA</v>
      </c>
      <c r="K4169" t="str">
        <f>T("8052288103")</f>
        <v>8052288103</v>
      </c>
      <c r="L4169" t="str">
        <f>T("8052280312")</f>
        <v>8052280312</v>
      </c>
    </row>
    <row r="4170" spans="1:12" x14ac:dyDescent="0.35">
      <c r="A4170" t="str">
        <f t="shared" si="1637"/>
        <v>NSWC PORT HUENEME</v>
      </c>
      <c r="B4170" t="str">
        <f t="shared" si="1638"/>
        <v>4363 MISSILE WAY</v>
      </c>
      <c r="C4170" t="str">
        <f>T("BLG 445")</f>
        <v>BLG 445</v>
      </c>
      <c r="D4170" t="str">
        <f t="shared" si="1639"/>
        <v>PORT HUENEME</v>
      </c>
      <c r="E4170" t="str">
        <f t="shared" si="1640"/>
        <v>CA</v>
      </c>
      <c r="F4170" t="str">
        <f t="shared" si="1643"/>
        <v>930434307</v>
      </c>
      <c r="G4170" t="str">
        <f>T("NSWC PORT HUENEME DIVISION")</f>
        <v>NSWC PORT HUENEME DIVISION</v>
      </c>
      <c r="H4170" t="str">
        <f>T("4363 MISSILE WAY CODE 00M")</f>
        <v>4363 MISSILE WAY CODE 00M</v>
      </c>
      <c r="I4170" t="str">
        <f t="shared" si="1641"/>
        <v>PORT HUENEME</v>
      </c>
      <c r="J4170" t="str">
        <f t="shared" si="1642"/>
        <v>CA</v>
      </c>
      <c r="K4170" t="str">
        <f>T("8052288103")</f>
        <v>8052288103</v>
      </c>
      <c r="L4170" t="str">
        <f>T("8052280345")</f>
        <v>8052280345</v>
      </c>
    </row>
    <row r="4171" spans="1:12" x14ac:dyDescent="0.35">
      <c r="A4171" t="str">
        <f t="shared" si="1637"/>
        <v>NSWC PORT HUENEME</v>
      </c>
      <c r="B4171" t="str">
        <f t="shared" si="1638"/>
        <v>4363 MISSILE WAY</v>
      </c>
      <c r="C4171" t="str">
        <f>T("CODE 022 BUILDING 1215")</f>
        <v>CODE 022 BUILDING 1215</v>
      </c>
      <c r="D4171" t="str">
        <f t="shared" si="1639"/>
        <v>PORT HUENEME</v>
      </c>
      <c r="E4171" t="str">
        <f t="shared" si="1640"/>
        <v>CA</v>
      </c>
      <c r="F4171" t="str">
        <f t="shared" si="1643"/>
        <v>930434307</v>
      </c>
      <c r="G4171" t="str">
        <f>T("4363 MISSILE WAY")</f>
        <v>4363 MISSILE WAY</v>
      </c>
      <c r="H4171" t="str">
        <f>T("CODE 022 BUILDING 1215")</f>
        <v>CODE 022 BUILDING 1215</v>
      </c>
      <c r="I4171" t="str">
        <f t="shared" si="1641"/>
        <v>PORT HUENEME</v>
      </c>
      <c r="J4171" t="str">
        <f t="shared" si="1642"/>
        <v>CA</v>
      </c>
      <c r="K4171" t="str">
        <f>T("8052288715")</f>
        <v>8052288715</v>
      </c>
      <c r="L4171" t="str">
        <f>T("8052288701")</f>
        <v>8052288701</v>
      </c>
    </row>
    <row r="4172" spans="1:12" x14ac:dyDescent="0.35">
      <c r="A4172" t="str">
        <f t="shared" si="1637"/>
        <v>NSWC PORT HUENEME</v>
      </c>
      <c r="B4172" t="str">
        <f t="shared" si="1638"/>
        <v>4363 MISSILE WAY</v>
      </c>
      <c r="C4172" t="str">
        <f>T("CODE 0232 BLDG 1215")</f>
        <v>CODE 0232 BLDG 1215</v>
      </c>
      <c r="D4172" t="str">
        <f t="shared" si="1639"/>
        <v>PORT HUENEME</v>
      </c>
      <c r="E4172" t="str">
        <f t="shared" si="1640"/>
        <v>CA</v>
      </c>
      <c r="F4172" t="str">
        <f>T("930434383")</f>
        <v>930434383</v>
      </c>
      <c r="G4172" t="str">
        <f>T("4363 MISSILE WAY")</f>
        <v>4363 MISSILE WAY</v>
      </c>
      <c r="H4172" t="str">
        <f>T("CODE 0232 B-1215")</f>
        <v>CODE 0232 B-1215</v>
      </c>
      <c r="I4172" t="str">
        <f t="shared" si="1641"/>
        <v>PORT HUENEME</v>
      </c>
      <c r="J4172" t="str">
        <f t="shared" si="1642"/>
        <v>CA</v>
      </c>
      <c r="K4172" t="str">
        <f>T("8052286299")</f>
        <v>8052286299</v>
      </c>
      <c r="L4172" t="str">
        <f>T("8052286128")</f>
        <v>8052286128</v>
      </c>
    </row>
    <row r="4173" spans="1:12" x14ac:dyDescent="0.35">
      <c r="A4173" t="str">
        <f t="shared" si="1637"/>
        <v>NSWC PORT HUENEME</v>
      </c>
      <c r="B4173" t="str">
        <f t="shared" si="1638"/>
        <v>4363 MISSILE WAY</v>
      </c>
      <c r="C4173" t="str">
        <f>T("CODE 0232 BLDG 1215")</f>
        <v>CODE 0232 BLDG 1215</v>
      </c>
      <c r="D4173" t="str">
        <f t="shared" si="1639"/>
        <v>PORT HUENEME</v>
      </c>
      <c r="E4173" t="str">
        <f t="shared" si="1640"/>
        <v>CA</v>
      </c>
      <c r="F4173" t="str">
        <f>T("930434383")</f>
        <v>930434383</v>
      </c>
      <c r="G4173" t="str">
        <f>T("4363 MISSILE WAY")</f>
        <v>4363 MISSILE WAY</v>
      </c>
      <c r="H4173" t="str">
        <f>T("CODE 0232 BLDG 1215")</f>
        <v>CODE 0232 BLDG 1215</v>
      </c>
      <c r="I4173" t="str">
        <f t="shared" si="1641"/>
        <v>PORT HUENEME</v>
      </c>
      <c r="J4173" t="str">
        <f t="shared" si="1642"/>
        <v>CA</v>
      </c>
      <c r="K4173" t="str">
        <f>T("000000000000000000")</f>
        <v>000000000000000000</v>
      </c>
      <c r="L4173" t="str">
        <f>T("8052280442")</f>
        <v>8052280442</v>
      </c>
    </row>
    <row r="4174" spans="1:12" x14ac:dyDescent="0.35">
      <c r="A4174" t="str">
        <f t="shared" si="1637"/>
        <v>NSWC PORT HUENEME</v>
      </c>
      <c r="B4174" t="str">
        <f t="shared" si="1638"/>
        <v>4363 MISSILE WAY</v>
      </c>
      <c r="C4174" t="str">
        <f>T("CODE 0232 BLDG 1215")</f>
        <v>CODE 0232 BLDG 1215</v>
      </c>
      <c r="D4174" t="str">
        <f t="shared" si="1639"/>
        <v>PORT HUENEME</v>
      </c>
      <c r="E4174" t="str">
        <f t="shared" si="1640"/>
        <v>CA</v>
      </c>
      <c r="F4174" t="str">
        <f>T("930434383")</f>
        <v>930434383</v>
      </c>
      <c r="G4174" t="str">
        <f>T("NSWC PHD")</f>
        <v>NSWC PHD</v>
      </c>
      <c r="H4174" t="str">
        <f>T("4363 MISSILE WAY CODE 0232")</f>
        <v>4363 MISSILE WAY CODE 0232</v>
      </c>
      <c r="I4174" t="str">
        <f t="shared" si="1641"/>
        <v>PORT HUENEME</v>
      </c>
      <c r="J4174" t="str">
        <f t="shared" si="1642"/>
        <v>CA</v>
      </c>
      <c r="K4174" t="str">
        <f>T("000000000000000000")</f>
        <v>000000000000000000</v>
      </c>
      <c r="L4174" t="str">
        <f>T("8052288512")</f>
        <v>8052288512</v>
      </c>
    </row>
    <row r="4175" spans="1:12" x14ac:dyDescent="0.35">
      <c r="A4175" t="str">
        <f t="shared" si="1637"/>
        <v>NSWC PORT HUENEME</v>
      </c>
      <c r="B4175" t="str">
        <f t="shared" si="1638"/>
        <v>4363 MISSILE WAY</v>
      </c>
      <c r="C4175" t="str">
        <f>T("CODE 07")</f>
        <v>CODE 07</v>
      </c>
      <c r="D4175" t="str">
        <f t="shared" si="1639"/>
        <v>PORT HUENEME</v>
      </c>
      <c r="E4175" t="str">
        <f t="shared" si="1640"/>
        <v>CA</v>
      </c>
      <c r="F4175" t="str">
        <f>T("930434307")</f>
        <v>930434307</v>
      </c>
      <c r="G4175" t="str">
        <f>T("4363 MISSILE WAY")</f>
        <v>4363 MISSILE WAY</v>
      </c>
      <c r="H4175" t="str">
        <f>T("CODE 07")</f>
        <v>CODE 07</v>
      </c>
      <c r="I4175" t="str">
        <f t="shared" si="1641"/>
        <v>PORT HUENEME</v>
      </c>
      <c r="J4175" t="str">
        <f t="shared" si="1642"/>
        <v>CA</v>
      </c>
      <c r="K4175" t="str">
        <f>T("805 228 8030")</f>
        <v>805 228 8030</v>
      </c>
      <c r="L4175" t="str">
        <f>T("8052286148")</f>
        <v>8052286148</v>
      </c>
    </row>
    <row r="4176" spans="1:12" x14ac:dyDescent="0.35">
      <c r="A4176" t="str">
        <f t="shared" si="1637"/>
        <v>NSWC PORT HUENEME</v>
      </c>
      <c r="B4176" t="str">
        <f t="shared" si="1638"/>
        <v>4363 MISSILE WAY</v>
      </c>
      <c r="C4176" t="str">
        <f>T("CODE 07")</f>
        <v>CODE 07</v>
      </c>
      <c r="D4176" t="str">
        <f t="shared" si="1639"/>
        <v>PORT HUENEME</v>
      </c>
      <c r="E4176" t="str">
        <f t="shared" si="1640"/>
        <v>CA</v>
      </c>
      <c r="F4176" t="str">
        <f>T("930434307")</f>
        <v>930434307</v>
      </c>
      <c r="G4176" t="str">
        <f>T("4363 MISSILE WAY")</f>
        <v>4363 MISSILE WAY</v>
      </c>
      <c r="H4176" t="str">
        <f>T("PHD NSWC PORT HUENEME")</f>
        <v>PHD NSWC PORT HUENEME</v>
      </c>
      <c r="I4176" t="str">
        <f t="shared" si="1641"/>
        <v>PORT HUENEME</v>
      </c>
      <c r="J4176" t="str">
        <f t="shared" si="1642"/>
        <v>CA</v>
      </c>
      <c r="K4176" t="str">
        <f>T("000000000000000000")</f>
        <v>000000000000000000</v>
      </c>
      <c r="L4176" t="str">
        <f>T("8052286172")</f>
        <v>8052286172</v>
      </c>
    </row>
    <row r="4177" spans="1:12" x14ac:dyDescent="0.35">
      <c r="A4177" t="str">
        <f t="shared" si="1637"/>
        <v>NSWC PORT HUENEME</v>
      </c>
      <c r="B4177" t="str">
        <f t="shared" si="1638"/>
        <v>4363 MISSILE WAY</v>
      </c>
      <c r="C4177" t="str">
        <f>T("CODE 07")</f>
        <v>CODE 07</v>
      </c>
      <c r="D4177" t="str">
        <f t="shared" si="1639"/>
        <v>PORT HUENEME</v>
      </c>
      <c r="E4177" t="str">
        <f t="shared" si="1640"/>
        <v>CA</v>
      </c>
      <c r="F4177" t="str">
        <f>T("930434307")</f>
        <v>930434307</v>
      </c>
      <c r="G4177" t="str">
        <f>T("4363 MISSILE WAY CODE 1022")</f>
        <v>4363 MISSILE WAY CODE 1022</v>
      </c>
      <c r="H4177" t="str">
        <f>T("BUILDING 444")</f>
        <v>BUILDING 444</v>
      </c>
      <c r="I4177" t="str">
        <f t="shared" si="1641"/>
        <v>PORT HUENEME</v>
      </c>
      <c r="J4177" t="str">
        <f t="shared" si="1642"/>
        <v>CA</v>
      </c>
      <c r="K4177" t="str">
        <f>T("000000000000000000")</f>
        <v>000000000000000000</v>
      </c>
      <c r="L4177" t="str">
        <f>T("8052280882")</f>
        <v>8052280882</v>
      </c>
    </row>
    <row r="4178" spans="1:12" x14ac:dyDescent="0.35">
      <c r="A4178" t="str">
        <f t="shared" si="1637"/>
        <v>NSWC PORT HUENEME</v>
      </c>
      <c r="B4178" t="str">
        <f t="shared" si="1638"/>
        <v>4363 MISSILE WAY</v>
      </c>
      <c r="C4178" t="str">
        <f>T("CODE 08 BUILDING 444")</f>
        <v>CODE 08 BUILDING 444</v>
      </c>
      <c r="D4178" t="str">
        <f t="shared" si="1639"/>
        <v>PORT HUENEME</v>
      </c>
      <c r="E4178" t="str">
        <f t="shared" si="1640"/>
        <v>CA</v>
      </c>
      <c r="F4178" t="str">
        <f>T("930434383")</f>
        <v>930434383</v>
      </c>
      <c r="G4178" t="str">
        <f>T("4363 MISSILE WAY")</f>
        <v>4363 MISSILE WAY</v>
      </c>
      <c r="H4178" t="str">
        <f>T("CODE 08 BUILDING 444")</f>
        <v>CODE 08 BUILDING 444</v>
      </c>
      <c r="I4178" t="str">
        <f t="shared" si="1641"/>
        <v>PORT HUENEME</v>
      </c>
      <c r="J4178" t="str">
        <f t="shared" si="1642"/>
        <v>CA</v>
      </c>
      <c r="K4178" t="str">
        <f>T("000000000000000000")</f>
        <v>000000000000000000</v>
      </c>
      <c r="L4178" t="str">
        <f>T("8052288786")</f>
        <v>8052288786</v>
      </c>
    </row>
    <row r="4179" spans="1:12" x14ac:dyDescent="0.35">
      <c r="A4179" t="str">
        <f t="shared" si="1637"/>
        <v>NSWC PORT HUENEME</v>
      </c>
      <c r="B4179" t="str">
        <f t="shared" si="1638"/>
        <v>4363 MISSILE WAY</v>
      </c>
      <c r="C4179" t="str">
        <f>T("CODE 08 BUILDING 444")</f>
        <v>CODE 08 BUILDING 444</v>
      </c>
      <c r="D4179" t="str">
        <f t="shared" si="1639"/>
        <v>PORT HUENEME</v>
      </c>
      <c r="E4179" t="str">
        <f t="shared" si="1640"/>
        <v>CA</v>
      </c>
      <c r="F4179" t="str">
        <f>T("930434383")</f>
        <v>930434383</v>
      </c>
      <c r="G4179" t="str">
        <f>T("NAVAL SURFACE WARFARE CENTER PHD")</f>
        <v>NAVAL SURFACE WARFARE CENTER PHD</v>
      </c>
      <c r="H4179" t="str">
        <f>T("BUILDING 444 CODE 08")</f>
        <v>BUILDING 444 CODE 08</v>
      </c>
      <c r="I4179" t="str">
        <f t="shared" si="1641"/>
        <v>PORT HUENEME</v>
      </c>
      <c r="J4179" t="str">
        <f t="shared" si="1642"/>
        <v>CA</v>
      </c>
      <c r="K4179" t="str">
        <f>T("000000000000000000")</f>
        <v>000000000000000000</v>
      </c>
      <c r="L4179" t="str">
        <f>T("8052288733")</f>
        <v>8052288733</v>
      </c>
    </row>
    <row r="4180" spans="1:12" x14ac:dyDescent="0.35">
      <c r="A4180" t="str">
        <f t="shared" si="1637"/>
        <v>NSWC PORT HUENEME</v>
      </c>
      <c r="B4180" t="str">
        <f t="shared" si="1638"/>
        <v>4363 MISSILE WAY</v>
      </c>
      <c r="C4180" t="str">
        <f>T("CODE 111")</f>
        <v>CODE 111</v>
      </c>
      <c r="D4180" t="str">
        <f t="shared" si="1639"/>
        <v>PORT HUENEME</v>
      </c>
      <c r="E4180" t="str">
        <f t="shared" si="1640"/>
        <v>CA</v>
      </c>
      <c r="F4180" t="str">
        <f t="shared" ref="F4180:F4203" si="1644">T("930434307")</f>
        <v>930434307</v>
      </c>
      <c r="G4180" t="str">
        <f t="shared" ref="G4180:G4186" si="1645">T("4363 MISSILE WAY")</f>
        <v>4363 MISSILE WAY</v>
      </c>
      <c r="H4180" t="str">
        <f>T("CODE 111")</f>
        <v>CODE 111</v>
      </c>
      <c r="I4180" t="str">
        <f t="shared" si="1641"/>
        <v>PORT HUENEME</v>
      </c>
      <c r="J4180" t="str">
        <f t="shared" si="1642"/>
        <v>CA</v>
      </c>
      <c r="K4180" t="str">
        <f>T("8052286298")</f>
        <v>8052286298</v>
      </c>
      <c r="L4180" t="str">
        <f>T("8052287570")</f>
        <v>8052287570</v>
      </c>
    </row>
    <row r="4181" spans="1:12" x14ac:dyDescent="0.35">
      <c r="A4181" t="str">
        <f t="shared" si="1637"/>
        <v>NSWC PORT HUENEME</v>
      </c>
      <c r="B4181" t="str">
        <f t="shared" si="1638"/>
        <v>4363 MISSILE WAY</v>
      </c>
      <c r="C4181" t="str">
        <f>T("CODE 201")</f>
        <v>CODE 201</v>
      </c>
      <c r="D4181" t="str">
        <f t="shared" si="1639"/>
        <v>PORT HUENEME</v>
      </c>
      <c r="E4181" t="str">
        <f t="shared" si="1640"/>
        <v>CA</v>
      </c>
      <c r="F4181" t="str">
        <f t="shared" si="1644"/>
        <v>930434307</v>
      </c>
      <c r="G4181" t="str">
        <f t="shared" si="1645"/>
        <v>4363 MISSILE WAY</v>
      </c>
      <c r="H4181" t="str">
        <f>T("CODE 201")</f>
        <v>CODE 201</v>
      </c>
      <c r="I4181" t="str">
        <f t="shared" si="1641"/>
        <v>PORT HUENEME</v>
      </c>
      <c r="J4181" t="str">
        <f t="shared" si="1642"/>
        <v>CA</v>
      </c>
      <c r="K4181" t="str">
        <f>T("8052285721")</f>
        <v>8052285721</v>
      </c>
      <c r="L4181" t="str">
        <f>T("8052286628")</f>
        <v>8052286628</v>
      </c>
    </row>
    <row r="4182" spans="1:12" x14ac:dyDescent="0.35">
      <c r="A4182" t="str">
        <f t="shared" si="1637"/>
        <v>NSWC PORT HUENEME</v>
      </c>
      <c r="B4182" t="str">
        <f t="shared" si="1638"/>
        <v>4363 MISSILE WAY</v>
      </c>
      <c r="C4182" t="str">
        <f>T("CODE 201")</f>
        <v>CODE 201</v>
      </c>
      <c r="D4182" t="str">
        <f t="shared" si="1639"/>
        <v>PORT HUENEME</v>
      </c>
      <c r="E4182" t="str">
        <f t="shared" si="1640"/>
        <v>CA</v>
      </c>
      <c r="F4182" t="str">
        <f t="shared" si="1644"/>
        <v>930434307</v>
      </c>
      <c r="G4182" t="str">
        <f t="shared" si="1645"/>
        <v>4363 MISSILE WAY</v>
      </c>
      <c r="H4182" t="str">
        <f>T("PHD NSWC PORT HUENEME")</f>
        <v>PHD NSWC PORT HUENEME</v>
      </c>
      <c r="I4182" t="str">
        <f t="shared" si="1641"/>
        <v>PORT HUENEME</v>
      </c>
      <c r="J4182" t="str">
        <f t="shared" si="1642"/>
        <v>CA</v>
      </c>
      <c r="K4182" t="str">
        <f>T("8052288129")</f>
        <v>8052288129</v>
      </c>
      <c r="L4182" t="str">
        <f>T("8052288048")</f>
        <v>8052288048</v>
      </c>
    </row>
    <row r="4183" spans="1:12" x14ac:dyDescent="0.35">
      <c r="A4183" t="str">
        <f t="shared" si="1637"/>
        <v>NSWC PORT HUENEME</v>
      </c>
      <c r="B4183" t="str">
        <f t="shared" si="1638"/>
        <v>4363 MISSILE WAY</v>
      </c>
      <c r="C4183" t="str">
        <f>T("CODE 311")</f>
        <v>CODE 311</v>
      </c>
      <c r="D4183" t="str">
        <f t="shared" si="1639"/>
        <v>PORT HUENEME</v>
      </c>
      <c r="E4183" t="str">
        <f t="shared" si="1640"/>
        <v>CA</v>
      </c>
      <c r="F4183" t="str">
        <f t="shared" si="1644"/>
        <v>930434307</v>
      </c>
      <c r="G4183" t="str">
        <f t="shared" si="1645"/>
        <v>4363 MISSILE WAY</v>
      </c>
      <c r="H4183" t="str">
        <f>T("CODE 311")</f>
        <v>CODE 311</v>
      </c>
      <c r="I4183" t="str">
        <f t="shared" si="1641"/>
        <v>PORT HUENEME</v>
      </c>
      <c r="J4183" t="str">
        <f t="shared" si="1642"/>
        <v>CA</v>
      </c>
      <c r="K4183" t="str">
        <f>T("8052280726")</f>
        <v>8052280726</v>
      </c>
      <c r="L4183" t="str">
        <f>T("8052287842")</f>
        <v>8052287842</v>
      </c>
    </row>
    <row r="4184" spans="1:12" x14ac:dyDescent="0.35">
      <c r="A4184" t="str">
        <f t="shared" si="1637"/>
        <v>NSWC PORT HUENEME</v>
      </c>
      <c r="B4184" t="str">
        <f t="shared" si="1638"/>
        <v>4363 MISSILE WAY</v>
      </c>
      <c r="C4184" t="str">
        <f>T("CODE A03, BLDG 1387")</f>
        <v>CODE A03, BLDG 1387</v>
      </c>
      <c r="D4184" t="str">
        <f t="shared" si="1639"/>
        <v>PORT HUENEME</v>
      </c>
      <c r="E4184" t="str">
        <f t="shared" si="1640"/>
        <v>CA</v>
      </c>
      <c r="F4184" t="str">
        <f t="shared" si="1644"/>
        <v>930434307</v>
      </c>
      <c r="G4184" t="str">
        <f t="shared" si="1645"/>
        <v>4363 MISSILE WAY</v>
      </c>
      <c r="H4184" t="str">
        <f>T("CODE A03, BLDG 1387")</f>
        <v>CODE A03, BLDG 1387</v>
      </c>
      <c r="I4184" t="str">
        <f t="shared" si="1641"/>
        <v>PORT HUENEME</v>
      </c>
      <c r="J4184" t="str">
        <f t="shared" si="1642"/>
        <v>CA</v>
      </c>
      <c r="K4184" t="str">
        <f>T("000000000000000000")</f>
        <v>000000000000000000</v>
      </c>
      <c r="L4184" t="str">
        <f>T("8052287260")</f>
        <v>8052287260</v>
      </c>
    </row>
    <row r="4185" spans="1:12" x14ac:dyDescent="0.35">
      <c r="A4185" t="str">
        <f t="shared" si="1637"/>
        <v>NSWC PORT HUENEME</v>
      </c>
      <c r="B4185" t="str">
        <f t="shared" si="1638"/>
        <v>4363 MISSILE WAY</v>
      </c>
      <c r="C4185" t="str">
        <f>T("CODE A62 BLDG 1387")</f>
        <v>CODE A62 BLDG 1387</v>
      </c>
      <c r="D4185" t="str">
        <f t="shared" si="1639"/>
        <v>PORT HUENEME</v>
      </c>
      <c r="E4185" t="str">
        <f t="shared" si="1640"/>
        <v>CA</v>
      </c>
      <c r="F4185" t="str">
        <f t="shared" si="1644"/>
        <v>930434307</v>
      </c>
      <c r="G4185" t="str">
        <f t="shared" si="1645"/>
        <v>4363 MISSILE WAY</v>
      </c>
      <c r="H4185" t="str">
        <f>T("CODE A62 BLDG 1387")</f>
        <v>CODE A62 BLDG 1387</v>
      </c>
      <c r="I4185" t="str">
        <f t="shared" si="1641"/>
        <v>PORT HUENEME</v>
      </c>
      <c r="J4185" t="str">
        <f t="shared" si="1642"/>
        <v>CA</v>
      </c>
      <c r="K4185" t="str">
        <f>T("8052286767")</f>
        <v>8052286767</v>
      </c>
      <c r="L4185" t="str">
        <f>T("8052288619")</f>
        <v>8052288619</v>
      </c>
    </row>
    <row r="4186" spans="1:12" x14ac:dyDescent="0.35">
      <c r="A4186" t="str">
        <f t="shared" si="1637"/>
        <v>NSWC PORT HUENEME</v>
      </c>
      <c r="B4186" t="str">
        <f t="shared" si="1638"/>
        <v>4363 MISSILE WAY</v>
      </c>
      <c r="C4186" t="str">
        <f>T("CODE L21")</f>
        <v>CODE L21</v>
      </c>
      <c r="D4186" t="str">
        <f t="shared" si="1639"/>
        <v>PORT HUENEME</v>
      </c>
      <c r="E4186" t="str">
        <f t="shared" si="1640"/>
        <v>CA</v>
      </c>
      <c r="F4186" t="str">
        <f t="shared" si="1644"/>
        <v>930434307</v>
      </c>
      <c r="G4186" t="str">
        <f t="shared" si="1645"/>
        <v>4363 MISSILE WAY</v>
      </c>
      <c r="H4186" t="str">
        <f>T("CODE L21")</f>
        <v>CODE L21</v>
      </c>
      <c r="I4186" t="str">
        <f t="shared" si="1641"/>
        <v>PORT HUENEME</v>
      </c>
      <c r="J4186" t="str">
        <f t="shared" si="1642"/>
        <v>CA</v>
      </c>
      <c r="K4186" t="str">
        <f>T("1111111111")</f>
        <v>1111111111</v>
      </c>
      <c r="L4186" t="str">
        <f>T("8052285171")</f>
        <v>8052285171</v>
      </c>
    </row>
    <row r="4187" spans="1:12" x14ac:dyDescent="0.35">
      <c r="A4187" t="str">
        <f t="shared" si="1637"/>
        <v>NSWC PORT HUENEME</v>
      </c>
      <c r="B4187" t="str">
        <f t="shared" si="1638"/>
        <v>4363 MISSILE WAY</v>
      </c>
      <c r="C4187" t="str">
        <f>T("CODE L21")</f>
        <v>CODE L21</v>
      </c>
      <c r="D4187" t="str">
        <f t="shared" si="1639"/>
        <v>PORT HUENEME</v>
      </c>
      <c r="E4187" t="str">
        <f t="shared" si="1640"/>
        <v>CA</v>
      </c>
      <c r="F4187" t="str">
        <f t="shared" si="1644"/>
        <v>930434307</v>
      </c>
      <c r="G4187" t="str">
        <f>T("PHD NAVAL SURFACE WARFARE CENTER")</f>
        <v>PHD NAVAL SURFACE WARFARE CENTER</v>
      </c>
      <c r="H4187" t="str">
        <f>T("BUILDING 1384 CODE L22")</f>
        <v>BUILDING 1384 CODE L22</v>
      </c>
      <c r="I4187" t="str">
        <f t="shared" si="1641"/>
        <v>PORT HUENEME</v>
      </c>
      <c r="J4187" t="str">
        <f t="shared" si="1642"/>
        <v>CA</v>
      </c>
      <c r="K4187" t="str">
        <f>T("8052285699")</f>
        <v>8052285699</v>
      </c>
      <c r="L4187" t="str">
        <f>T("8052287237")</f>
        <v>8052287237</v>
      </c>
    </row>
    <row r="4188" spans="1:12" x14ac:dyDescent="0.35">
      <c r="A4188" t="str">
        <f t="shared" si="1637"/>
        <v>NSWC PORT HUENEME</v>
      </c>
      <c r="B4188" t="str">
        <f t="shared" si="1638"/>
        <v>4363 MISSILE WAY</v>
      </c>
      <c r="C4188" t="str">
        <f>T("CODE L43 BLDG 1388")</f>
        <v>CODE L43 BLDG 1388</v>
      </c>
      <c r="D4188" t="str">
        <f t="shared" si="1639"/>
        <v>PORT HUENEME</v>
      </c>
      <c r="E4188" t="str">
        <f t="shared" si="1640"/>
        <v>CA</v>
      </c>
      <c r="F4188" t="str">
        <f t="shared" si="1644"/>
        <v>930434307</v>
      </c>
      <c r="G4188" t="str">
        <f>T("4363 MISSILE WAY")</f>
        <v>4363 MISSILE WAY</v>
      </c>
      <c r="H4188" t="str">
        <f>T("CODE L33 BLDG 1388")</f>
        <v>CODE L33 BLDG 1388</v>
      </c>
      <c r="I4188" t="str">
        <f>T("PORT HUENEME CBC BASE")</f>
        <v>PORT HUENEME CBC BASE</v>
      </c>
      <c r="J4188" t="str">
        <f t="shared" si="1642"/>
        <v>CA</v>
      </c>
      <c r="K4188" t="str">
        <f>T("000000000000000000")</f>
        <v>000000000000000000</v>
      </c>
      <c r="L4188" t="str">
        <f>T("8052285756")</f>
        <v>8052285756</v>
      </c>
    </row>
    <row r="4189" spans="1:12" x14ac:dyDescent="0.35">
      <c r="A4189" t="str">
        <f t="shared" si="1637"/>
        <v>NSWC PORT HUENEME</v>
      </c>
      <c r="B4189" t="str">
        <f t="shared" si="1638"/>
        <v>4363 MISSILE WAY</v>
      </c>
      <c r="C4189" t="str">
        <f>T("CODE L43 BLDG 1388")</f>
        <v>CODE L43 BLDG 1388</v>
      </c>
      <c r="D4189" t="str">
        <f t="shared" si="1639"/>
        <v>PORT HUENEME</v>
      </c>
      <c r="E4189" t="str">
        <f t="shared" si="1640"/>
        <v>CA</v>
      </c>
      <c r="F4189" t="str">
        <f t="shared" si="1644"/>
        <v>930434307</v>
      </c>
      <c r="G4189" t="str">
        <f>T("4363 MISSILE WAY")</f>
        <v>4363 MISSILE WAY</v>
      </c>
      <c r="H4189" t="str">
        <f>T("CODE L43 BLDG 1388")</f>
        <v>CODE L43 BLDG 1388</v>
      </c>
      <c r="I4189" t="str">
        <f t="shared" ref="I4189:I4198" si="1646">T("PORT HUENEME")</f>
        <v>PORT HUENEME</v>
      </c>
      <c r="J4189" t="str">
        <f t="shared" si="1642"/>
        <v>CA</v>
      </c>
      <c r="K4189" t="str">
        <f>T("8052287637")</f>
        <v>8052287637</v>
      </c>
      <c r="L4189" t="str">
        <f>T("8052286156")</f>
        <v>8052286156</v>
      </c>
    </row>
    <row r="4190" spans="1:12" x14ac:dyDescent="0.35">
      <c r="A4190" t="str">
        <f t="shared" si="1637"/>
        <v>NSWC PORT HUENEME</v>
      </c>
      <c r="B4190" t="str">
        <f t="shared" si="1638"/>
        <v>4363 MISSILE WAY</v>
      </c>
      <c r="C4190" t="str">
        <f>T("CODE L43 BLDG 1388")</f>
        <v>CODE L43 BLDG 1388</v>
      </c>
      <c r="D4190" t="str">
        <f t="shared" si="1639"/>
        <v>PORT HUENEME</v>
      </c>
      <c r="E4190" t="str">
        <f t="shared" si="1640"/>
        <v>CA</v>
      </c>
      <c r="F4190" t="str">
        <f t="shared" si="1644"/>
        <v>930434307</v>
      </c>
      <c r="G4190" t="str">
        <f>T("4363 MISSLE WAY")</f>
        <v>4363 MISSLE WAY</v>
      </c>
      <c r="H4190" t="str">
        <f>T("")</f>
        <v/>
      </c>
      <c r="I4190" t="str">
        <f t="shared" si="1646"/>
        <v>PORT HUENEME</v>
      </c>
      <c r="J4190" t="str">
        <f t="shared" si="1642"/>
        <v>CA</v>
      </c>
      <c r="K4190" t="str">
        <f t="shared" ref="K4190:K4197" si="1647">T("000000000000000000")</f>
        <v>000000000000000000</v>
      </c>
      <c r="L4190" t="str">
        <f>T("8052285846")</f>
        <v>8052285846</v>
      </c>
    </row>
    <row r="4191" spans="1:12" x14ac:dyDescent="0.35">
      <c r="A4191" t="str">
        <f t="shared" si="1637"/>
        <v>NSWC PORT HUENEME</v>
      </c>
      <c r="B4191" t="str">
        <f t="shared" si="1638"/>
        <v>4363 MISSILE WAY</v>
      </c>
      <c r="C4191" t="str">
        <f>T("CODE L43 BLDG 1388")</f>
        <v>CODE L43 BLDG 1388</v>
      </c>
      <c r="D4191" t="str">
        <f t="shared" si="1639"/>
        <v>PORT HUENEME</v>
      </c>
      <c r="E4191" t="str">
        <f t="shared" si="1640"/>
        <v>CA</v>
      </c>
      <c r="F4191" t="str">
        <f t="shared" si="1644"/>
        <v>930434307</v>
      </c>
      <c r="G4191" t="str">
        <f>T("4363 MISSLE WAY")</f>
        <v>4363 MISSLE WAY</v>
      </c>
      <c r="H4191" t="str">
        <f>T("")</f>
        <v/>
      </c>
      <c r="I4191" t="str">
        <f t="shared" si="1646"/>
        <v>PORT HUENEME</v>
      </c>
      <c r="J4191" t="str">
        <f t="shared" si="1642"/>
        <v>CA</v>
      </c>
      <c r="K4191" t="str">
        <f t="shared" si="1647"/>
        <v>000000000000000000</v>
      </c>
      <c r="L4191" t="str">
        <f>T("8052287961")</f>
        <v>8052287961</v>
      </c>
    </row>
    <row r="4192" spans="1:12" x14ac:dyDescent="0.35">
      <c r="A4192" t="str">
        <f t="shared" si="1637"/>
        <v>NSWC PORT HUENEME</v>
      </c>
      <c r="B4192" t="str">
        <f t="shared" si="1638"/>
        <v>4363 MISSILE WAY</v>
      </c>
      <c r="C4192" t="str">
        <f>T("CODE L44 BLDG 1388")</f>
        <v>CODE L44 BLDG 1388</v>
      </c>
      <c r="D4192" t="str">
        <f t="shared" si="1639"/>
        <v>PORT HUENEME</v>
      </c>
      <c r="E4192" t="str">
        <f t="shared" si="1640"/>
        <v>CA</v>
      </c>
      <c r="F4192" t="str">
        <f t="shared" si="1644"/>
        <v>930434307</v>
      </c>
      <c r="G4192" t="str">
        <f>T("4363 MISSILE WAY")</f>
        <v>4363 MISSILE WAY</v>
      </c>
      <c r="H4192" t="str">
        <f>T("BLDG 1388 CODE L34")</f>
        <v>BLDG 1388 CODE L34</v>
      </c>
      <c r="I4192" t="str">
        <f t="shared" si="1646"/>
        <v>PORT HUENEME</v>
      </c>
      <c r="J4192" t="str">
        <f t="shared" si="1642"/>
        <v>CA</v>
      </c>
      <c r="K4192" t="str">
        <f t="shared" si="1647"/>
        <v>000000000000000000</v>
      </c>
      <c r="L4192" t="str">
        <f>T("8052288042")</f>
        <v>8052288042</v>
      </c>
    </row>
    <row r="4193" spans="1:12" x14ac:dyDescent="0.35">
      <c r="A4193" t="str">
        <f t="shared" si="1637"/>
        <v>NSWC PORT HUENEME</v>
      </c>
      <c r="B4193" t="str">
        <f t="shared" si="1638"/>
        <v>4363 MISSILE WAY</v>
      </c>
      <c r="C4193" t="str">
        <f>T("CODE L44 BLDG 1388")</f>
        <v>CODE L44 BLDG 1388</v>
      </c>
      <c r="D4193" t="str">
        <f t="shared" si="1639"/>
        <v>PORT HUENEME</v>
      </c>
      <c r="E4193" t="str">
        <f t="shared" si="1640"/>
        <v>CA</v>
      </c>
      <c r="F4193" t="str">
        <f t="shared" si="1644"/>
        <v>930434307</v>
      </c>
      <c r="G4193" t="str">
        <f>T("4363 MISSILE WAY")</f>
        <v>4363 MISSILE WAY</v>
      </c>
      <c r="H4193" t="str">
        <f>T("BLDG 1388 CODE L42")</f>
        <v>BLDG 1388 CODE L42</v>
      </c>
      <c r="I4193" t="str">
        <f t="shared" si="1646"/>
        <v>PORT HUENEME</v>
      </c>
      <c r="J4193" t="str">
        <f t="shared" si="1642"/>
        <v>CA</v>
      </c>
      <c r="K4193" t="str">
        <f t="shared" si="1647"/>
        <v>000000000000000000</v>
      </c>
      <c r="L4193" t="str">
        <f>T("8052285340")</f>
        <v>8052285340</v>
      </c>
    </row>
    <row r="4194" spans="1:12" x14ac:dyDescent="0.35">
      <c r="A4194" t="str">
        <f t="shared" si="1637"/>
        <v>NSWC PORT HUENEME</v>
      </c>
      <c r="B4194" t="str">
        <f t="shared" si="1638"/>
        <v>4363 MISSILE WAY</v>
      </c>
      <c r="C4194" t="str">
        <f>T("CODE L44 BLDG 1388")</f>
        <v>CODE L44 BLDG 1388</v>
      </c>
      <c r="D4194" t="str">
        <f t="shared" si="1639"/>
        <v>PORT HUENEME</v>
      </c>
      <c r="E4194" t="str">
        <f t="shared" si="1640"/>
        <v>CA</v>
      </c>
      <c r="F4194" t="str">
        <f t="shared" si="1644"/>
        <v>930434307</v>
      </c>
      <c r="G4194" t="str">
        <f>T("4363 MISSILE WAY")</f>
        <v>4363 MISSILE WAY</v>
      </c>
      <c r="H4194" t="str">
        <f>T("CODE L44 BLDG 1388")</f>
        <v>CODE L44 BLDG 1388</v>
      </c>
      <c r="I4194" t="str">
        <f t="shared" si="1646"/>
        <v>PORT HUENEME</v>
      </c>
      <c r="J4194" t="str">
        <f t="shared" si="1642"/>
        <v>CA</v>
      </c>
      <c r="K4194" t="str">
        <f t="shared" si="1647"/>
        <v>000000000000000000</v>
      </c>
      <c r="L4194" t="str">
        <f>T("8052287930")</f>
        <v>8052287930</v>
      </c>
    </row>
    <row r="4195" spans="1:12" x14ac:dyDescent="0.35">
      <c r="A4195" t="str">
        <f t="shared" si="1637"/>
        <v>NSWC PORT HUENEME</v>
      </c>
      <c r="B4195" t="str">
        <f t="shared" si="1638"/>
        <v>4363 MISSILE WAY</v>
      </c>
      <c r="C4195" t="str">
        <f>T("CODE OOM B-435")</f>
        <v>CODE OOM B-435</v>
      </c>
      <c r="D4195" t="str">
        <f t="shared" si="1639"/>
        <v>PORT HUENEME</v>
      </c>
      <c r="E4195" t="str">
        <f t="shared" si="1640"/>
        <v>CA</v>
      </c>
      <c r="F4195" t="str">
        <f t="shared" si="1644"/>
        <v>930434307</v>
      </c>
      <c r="G4195" t="str">
        <f>T("4363 MISSILE WAY")</f>
        <v>4363 MISSILE WAY</v>
      </c>
      <c r="H4195" t="str">
        <f>T("CODE OOM B-435")</f>
        <v>CODE OOM B-435</v>
      </c>
      <c r="I4195" t="str">
        <f t="shared" si="1646"/>
        <v>PORT HUENEME</v>
      </c>
      <c r="J4195" t="str">
        <f t="shared" si="1642"/>
        <v>CA</v>
      </c>
      <c r="K4195" t="str">
        <f t="shared" si="1647"/>
        <v>000000000000000000</v>
      </c>
      <c r="L4195" t="str">
        <f>T("8052288679")</f>
        <v>8052288679</v>
      </c>
    </row>
    <row r="4196" spans="1:12" x14ac:dyDescent="0.35">
      <c r="A4196" t="str">
        <f t="shared" si="1637"/>
        <v>NSWC PORT HUENEME</v>
      </c>
      <c r="B4196" t="str">
        <f t="shared" si="1638"/>
        <v>4363 MISSILE WAY</v>
      </c>
      <c r="C4196" t="str">
        <f>T("CODE OOM B-435")</f>
        <v>CODE OOM B-435</v>
      </c>
      <c r="D4196" t="str">
        <f t="shared" si="1639"/>
        <v>PORT HUENEME</v>
      </c>
      <c r="E4196" t="str">
        <f t="shared" si="1640"/>
        <v>CA</v>
      </c>
      <c r="F4196" t="str">
        <f t="shared" si="1644"/>
        <v>930434307</v>
      </c>
      <c r="G4196" t="str">
        <f>T("NAVAL SURFACE WARFARE CENTER")</f>
        <v>NAVAL SURFACE WARFARE CENTER</v>
      </c>
      <c r="H4196" t="str">
        <f>T("4363 MISSILE WAY CODE 00M")</f>
        <v>4363 MISSILE WAY CODE 00M</v>
      </c>
      <c r="I4196" t="str">
        <f t="shared" si="1646"/>
        <v>PORT HUENEME</v>
      </c>
      <c r="J4196" t="str">
        <f t="shared" si="1642"/>
        <v>CA</v>
      </c>
      <c r="K4196" t="str">
        <f t="shared" si="1647"/>
        <v>000000000000000000</v>
      </c>
      <c r="L4196" t="str">
        <f>T("8052288400")</f>
        <v>8052288400</v>
      </c>
    </row>
    <row r="4197" spans="1:12" x14ac:dyDescent="0.35">
      <c r="A4197" t="str">
        <f t="shared" ref="A4197:A4217" si="1648">T("NSWC PORT HUENEME")</f>
        <v>NSWC PORT HUENEME</v>
      </c>
      <c r="B4197" t="str">
        <f t="shared" si="1638"/>
        <v>4363 MISSILE WAY</v>
      </c>
      <c r="C4197" t="str">
        <f>T("CODE OOM B-435")</f>
        <v>CODE OOM B-435</v>
      </c>
      <c r="D4197" t="str">
        <f t="shared" si="1639"/>
        <v>PORT HUENEME</v>
      </c>
      <c r="E4197" t="str">
        <f t="shared" si="1640"/>
        <v>CA</v>
      </c>
      <c r="F4197" t="str">
        <f t="shared" si="1644"/>
        <v>930434307</v>
      </c>
      <c r="G4197" t="str">
        <f>T("NAVAL SURFACE WARFARE CENTER")</f>
        <v>NAVAL SURFACE WARFARE CENTER</v>
      </c>
      <c r="H4197" t="str">
        <f>T("4363 MISSLE WAY CODE 00M")</f>
        <v>4363 MISSLE WAY CODE 00M</v>
      </c>
      <c r="I4197" t="str">
        <f t="shared" si="1646"/>
        <v>PORT HUENEME</v>
      </c>
      <c r="J4197" t="str">
        <f t="shared" si="1642"/>
        <v>CA</v>
      </c>
      <c r="K4197" t="str">
        <f t="shared" si="1647"/>
        <v>000000000000000000</v>
      </c>
      <c r="L4197" t="str">
        <f>T("8052280312")</f>
        <v>8052280312</v>
      </c>
    </row>
    <row r="4198" spans="1:12" x14ac:dyDescent="0.35">
      <c r="A4198" t="str">
        <f t="shared" si="1648"/>
        <v>NSWC PORT HUENEME</v>
      </c>
      <c r="B4198" t="str">
        <f t="shared" si="1638"/>
        <v>4363 MISSILE WAY</v>
      </c>
      <c r="C4198" t="str">
        <f>T("CODE OOM B-435")</f>
        <v>CODE OOM B-435</v>
      </c>
      <c r="D4198" t="str">
        <f t="shared" si="1639"/>
        <v>PORT HUENEME</v>
      </c>
      <c r="E4198" t="str">
        <f t="shared" si="1640"/>
        <v>CA</v>
      </c>
      <c r="F4198" t="str">
        <f t="shared" si="1644"/>
        <v>930434307</v>
      </c>
      <c r="G4198" t="str">
        <f>T("NSWC PORT HUENEME DIVISION")</f>
        <v>NSWC PORT HUENEME DIVISION</v>
      </c>
      <c r="H4198" t="str">
        <f>T("4363 MISSILE WAY CODE 00M")</f>
        <v>4363 MISSILE WAY CODE 00M</v>
      </c>
      <c r="I4198" t="str">
        <f t="shared" si="1646"/>
        <v>PORT HUENEME</v>
      </c>
      <c r="J4198" t="str">
        <f t="shared" si="1642"/>
        <v>CA</v>
      </c>
      <c r="K4198" t="str">
        <f>T("8052288105")</f>
        <v>8052288105</v>
      </c>
      <c r="L4198" t="str">
        <f>T("8052280263")</f>
        <v>8052280263</v>
      </c>
    </row>
    <row r="4199" spans="1:12" x14ac:dyDescent="0.35">
      <c r="A4199" t="str">
        <f t="shared" si="1648"/>
        <v>NSWC PORT HUENEME</v>
      </c>
      <c r="B4199" t="str">
        <f t="shared" si="1638"/>
        <v>4363 MISSILE WAY</v>
      </c>
      <c r="C4199" t="str">
        <f>T("CODE S03")</f>
        <v>CODE S03</v>
      </c>
      <c r="D4199" t="str">
        <f t="shared" si="1639"/>
        <v>PORT HUENEME</v>
      </c>
      <c r="E4199" t="str">
        <f t="shared" si="1640"/>
        <v>CA</v>
      </c>
      <c r="F4199" t="str">
        <f t="shared" si="1644"/>
        <v>930434307</v>
      </c>
      <c r="G4199" t="str">
        <f>T("4363 MISSEL WAY")</f>
        <v>4363 MISSEL WAY</v>
      </c>
      <c r="H4199" t="str">
        <f>T("CODE S61")</f>
        <v>CODE S61</v>
      </c>
      <c r="I4199" t="str">
        <f>T("PORT HUENEME CBC BASE")</f>
        <v>PORT HUENEME CBC BASE</v>
      </c>
      <c r="J4199" t="str">
        <f t="shared" si="1642"/>
        <v>CA</v>
      </c>
      <c r="K4199" t="str">
        <f>T("8052288334")</f>
        <v>8052288334</v>
      </c>
      <c r="L4199" t="str">
        <f>T("8052288027")</f>
        <v>8052288027</v>
      </c>
    </row>
    <row r="4200" spans="1:12" x14ac:dyDescent="0.35">
      <c r="A4200" t="str">
        <f t="shared" si="1648"/>
        <v>NSWC PORT HUENEME</v>
      </c>
      <c r="B4200" t="str">
        <f t="shared" si="1638"/>
        <v>4363 MISSILE WAY</v>
      </c>
      <c r="C4200" t="str">
        <f>T("CODE S03")</f>
        <v>CODE S03</v>
      </c>
      <c r="D4200" t="str">
        <f t="shared" si="1639"/>
        <v>PORT HUENEME</v>
      </c>
      <c r="E4200" t="str">
        <f t="shared" si="1640"/>
        <v>CA</v>
      </c>
      <c r="F4200" t="str">
        <f t="shared" si="1644"/>
        <v>930434307</v>
      </c>
      <c r="G4200" t="str">
        <f>T("4363 MISSILE WAY")</f>
        <v>4363 MISSILE WAY</v>
      </c>
      <c r="H4200" t="str">
        <f>T("CODE S03")</f>
        <v>CODE S03</v>
      </c>
      <c r="I4200" t="str">
        <f>T("PORT HUENEME")</f>
        <v>PORT HUENEME</v>
      </c>
      <c r="J4200" t="str">
        <f t="shared" si="1642"/>
        <v>CA</v>
      </c>
      <c r="K4200" t="str">
        <f>T("8052288334")</f>
        <v>8052288334</v>
      </c>
      <c r="L4200" t="str">
        <f>T("8052288253")</f>
        <v>8052288253</v>
      </c>
    </row>
    <row r="4201" spans="1:12" x14ac:dyDescent="0.35">
      <c r="A4201" t="str">
        <f t="shared" si="1648"/>
        <v>NSWC PORT HUENEME</v>
      </c>
      <c r="B4201" t="str">
        <f t="shared" si="1638"/>
        <v>4363 MISSILE WAY</v>
      </c>
      <c r="C4201" t="str">
        <f>T("CODE S34")</f>
        <v>CODE S34</v>
      </c>
      <c r="D4201" t="str">
        <f t="shared" si="1639"/>
        <v>PORT HUENEME</v>
      </c>
      <c r="E4201" t="str">
        <f t="shared" si="1640"/>
        <v>CA</v>
      </c>
      <c r="F4201" t="str">
        <f t="shared" si="1644"/>
        <v>930434307</v>
      </c>
      <c r="G4201" t="str">
        <f>T("4363 MISSILE WAY")</f>
        <v>4363 MISSILE WAY</v>
      </c>
      <c r="H4201" t="str">
        <f>T("CODE S34")</f>
        <v>CODE S34</v>
      </c>
      <c r="I4201" t="str">
        <f>T("PORT HUENEME")</f>
        <v>PORT HUENEME</v>
      </c>
      <c r="J4201" t="str">
        <f t="shared" si="1642"/>
        <v>CA</v>
      </c>
      <c r="K4201" t="str">
        <f>T("000000000000000000")</f>
        <v>000000000000000000</v>
      </c>
      <c r="L4201" t="str">
        <f>T("8052286308")</f>
        <v>8052286308</v>
      </c>
    </row>
    <row r="4202" spans="1:12" x14ac:dyDescent="0.35">
      <c r="A4202" t="str">
        <f t="shared" si="1648"/>
        <v>NSWC PORT HUENEME</v>
      </c>
      <c r="B4202" t="str">
        <f t="shared" si="1638"/>
        <v>4363 MISSILE WAY</v>
      </c>
      <c r="C4202" t="str">
        <f>T("CODE S34")</f>
        <v>CODE S34</v>
      </c>
      <c r="D4202" t="str">
        <f t="shared" si="1639"/>
        <v>PORT HUENEME</v>
      </c>
      <c r="E4202" t="str">
        <f t="shared" si="1640"/>
        <v>CA</v>
      </c>
      <c r="F4202" t="str">
        <f t="shared" si="1644"/>
        <v>930434307</v>
      </c>
      <c r="G4202" t="str">
        <f>T("NSWC PHD")</f>
        <v>NSWC PHD</v>
      </c>
      <c r="H4202" t="str">
        <f>T("4363 MISSILE WAY CODE S23")</f>
        <v>4363 MISSILE WAY CODE S23</v>
      </c>
      <c r="I4202" t="str">
        <f>T("PORT HUENEME")</f>
        <v>PORT HUENEME</v>
      </c>
      <c r="J4202" t="str">
        <f t="shared" si="1642"/>
        <v>CA</v>
      </c>
      <c r="K4202" t="str">
        <f>T("000000000000000000")</f>
        <v>000000000000000000</v>
      </c>
      <c r="L4202" t="str">
        <f>T("8052288055")</f>
        <v>8052288055</v>
      </c>
    </row>
    <row r="4203" spans="1:12" x14ac:dyDescent="0.35">
      <c r="A4203" t="str">
        <f t="shared" si="1648"/>
        <v>NSWC PORT HUENEME</v>
      </c>
      <c r="B4203" t="str">
        <f t="shared" si="1638"/>
        <v>4363 MISSILE WAY</v>
      </c>
      <c r="C4203" t="str">
        <f>T("CODE S34 BLDG 1389")</f>
        <v>CODE S34 BLDG 1389</v>
      </c>
      <c r="D4203" t="str">
        <f t="shared" si="1639"/>
        <v>PORT HUENEME</v>
      </c>
      <c r="E4203" t="str">
        <f t="shared" si="1640"/>
        <v>CA</v>
      </c>
      <c r="F4203" t="str">
        <f t="shared" si="1644"/>
        <v>930434307</v>
      </c>
      <c r="G4203" t="str">
        <f>T("4363 MISSILE WAY")</f>
        <v>4363 MISSILE WAY</v>
      </c>
      <c r="H4203" t="str">
        <f>T("CODE S34 BLDG 1389")</f>
        <v>CODE S34 BLDG 1389</v>
      </c>
      <c r="I4203" t="str">
        <f>T("PORT HUENEME")</f>
        <v>PORT HUENEME</v>
      </c>
      <c r="J4203" t="str">
        <f t="shared" si="1642"/>
        <v>CA</v>
      </c>
      <c r="K4203" t="str">
        <f>T("000000000000000000")</f>
        <v>000000000000000000</v>
      </c>
      <c r="L4203" t="str">
        <f>T("8052287654")</f>
        <v>8052287654</v>
      </c>
    </row>
    <row r="4204" spans="1:12" x14ac:dyDescent="0.35">
      <c r="A4204" t="str">
        <f t="shared" si="1648"/>
        <v>NSWC PORT HUENEME</v>
      </c>
      <c r="B4204" t="str">
        <f t="shared" si="1638"/>
        <v>4363 MISSILE WAY</v>
      </c>
      <c r="C4204" t="str">
        <f>T("CODE S40")</f>
        <v>CODE S40</v>
      </c>
      <c r="D4204" t="str">
        <f>T("VIRGINA BEACH")</f>
        <v>VIRGINA BEACH</v>
      </c>
      <c r="E4204" t="str">
        <f>T("VA")</f>
        <v>VA</v>
      </c>
      <c r="F4204" t="str">
        <f>T("234610000")</f>
        <v>234610000</v>
      </c>
      <c r="G4204" t="str">
        <f>T("4363 MISSILE WAY")</f>
        <v>4363 MISSILE WAY</v>
      </c>
      <c r="H4204" t="str">
        <f>T("CODE S40")</f>
        <v>CODE S40</v>
      </c>
      <c r="I4204" t="str">
        <f>T("VIRGINA BEACH")</f>
        <v>VIRGINA BEACH</v>
      </c>
      <c r="J4204" t="str">
        <f>T("VA")</f>
        <v>VA</v>
      </c>
      <c r="K4204" t="str">
        <f>T("000000000000000000")</f>
        <v>000000000000000000</v>
      </c>
      <c r="L4204" t="str">
        <f>T("7574925009")</f>
        <v>7574925009</v>
      </c>
    </row>
    <row r="4205" spans="1:12" x14ac:dyDescent="0.35">
      <c r="A4205" t="str">
        <f t="shared" si="1648"/>
        <v>NSWC PORT HUENEME</v>
      </c>
      <c r="B4205" t="str">
        <f t="shared" si="1638"/>
        <v>4363 MISSILE WAY</v>
      </c>
      <c r="C4205" t="str">
        <f>T("CODE S40")</f>
        <v>CODE S40</v>
      </c>
      <c r="D4205" t="str">
        <f>T("VIRGINA BEACH")</f>
        <v>VIRGINA BEACH</v>
      </c>
      <c r="E4205" t="str">
        <f>T("VA")</f>
        <v>VA</v>
      </c>
      <c r="F4205" t="str">
        <f>T("234610000")</f>
        <v>234610000</v>
      </c>
      <c r="G4205" t="str">
        <f>T("NSWC PHD VA BEACH DET")</f>
        <v>NSWC PHD VA BEACH DET</v>
      </c>
      <c r="H4205" t="str">
        <f>T("488 SPARROW STREET BLDG 522")</f>
        <v>488 SPARROW STREET BLDG 522</v>
      </c>
      <c r="I4205" t="str">
        <f>T("VIRGINIA BEACH")</f>
        <v>VIRGINIA BEACH</v>
      </c>
      <c r="J4205" t="str">
        <f>T("VA")</f>
        <v>VA</v>
      </c>
      <c r="K4205" t="str">
        <f>T("7574928502")</f>
        <v>7574928502</v>
      </c>
      <c r="L4205" t="str">
        <f>T("7574928015")</f>
        <v>7574928015</v>
      </c>
    </row>
    <row r="4206" spans="1:12" x14ac:dyDescent="0.35">
      <c r="A4206" t="str">
        <f t="shared" si="1648"/>
        <v>NSWC PORT HUENEME</v>
      </c>
      <c r="B4206" t="str">
        <f t="shared" si="1638"/>
        <v>4363 MISSILE WAY</v>
      </c>
      <c r="C4206" t="str">
        <f>T("CODE T06")</f>
        <v>CODE T06</v>
      </c>
      <c r="D4206" t="str">
        <f>T("PORT HUENEME")</f>
        <v>PORT HUENEME</v>
      </c>
      <c r="E4206" t="str">
        <f>T("CA")</f>
        <v>CA</v>
      </c>
      <c r="F4206" t="str">
        <f>T("930434307")</f>
        <v>930434307</v>
      </c>
      <c r="G4206" t="str">
        <f>T("4363 MISSILE WAY")</f>
        <v>4363 MISSILE WAY</v>
      </c>
      <c r="H4206" t="str">
        <f>T("CODE T06")</f>
        <v>CODE T06</v>
      </c>
      <c r="I4206" t="str">
        <f>T("PORT HUENEME")</f>
        <v>PORT HUENEME</v>
      </c>
      <c r="J4206" t="str">
        <f>T("CA")</f>
        <v>CA</v>
      </c>
      <c r="K4206" t="str">
        <f>T("8052285706")</f>
        <v>8052285706</v>
      </c>
      <c r="L4206" t="str">
        <f>T("8052288939")</f>
        <v>8052288939</v>
      </c>
    </row>
    <row r="4207" spans="1:12" x14ac:dyDescent="0.35">
      <c r="A4207" t="str">
        <f t="shared" si="1648"/>
        <v>NSWC PORT HUENEME</v>
      </c>
      <c r="B4207" t="str">
        <f>T("4363 MISSLE WAY")</f>
        <v>4363 MISSLE WAY</v>
      </c>
      <c r="C4207" t="str">
        <f>T("CODE L24 BLDG 1392")</f>
        <v>CODE L24 BLDG 1392</v>
      </c>
      <c r="D4207" t="str">
        <f>T("PORT HUENEME")</f>
        <v>PORT HUENEME</v>
      </c>
      <c r="E4207" t="str">
        <f>T("CA")</f>
        <v>CA</v>
      </c>
      <c r="F4207" t="str">
        <f>T("930434307")</f>
        <v>930434307</v>
      </c>
      <c r="G4207" t="str">
        <f>T("4363 MISSLE WAY")</f>
        <v>4363 MISSLE WAY</v>
      </c>
      <c r="H4207" t="str">
        <f>T("CODE L24 BLDG 1392")</f>
        <v>CODE L24 BLDG 1392</v>
      </c>
      <c r="I4207" t="str">
        <f>T("PORT HUENEME")</f>
        <v>PORT HUENEME</v>
      </c>
      <c r="J4207" t="str">
        <f>T("CA")</f>
        <v>CA</v>
      </c>
      <c r="K4207" t="str">
        <f t="shared" ref="K4207:K4212" si="1649">T("000000000000000000")</f>
        <v>000000000000000000</v>
      </c>
      <c r="L4207" t="str">
        <f>T("8052287152")</f>
        <v>8052287152</v>
      </c>
    </row>
    <row r="4208" spans="1:12" x14ac:dyDescent="0.35">
      <c r="A4208" t="str">
        <f t="shared" si="1648"/>
        <v>NSWC PORT HUENEME</v>
      </c>
      <c r="B4208" t="str">
        <f>T("4363 MISSLE WAY")</f>
        <v>4363 MISSLE WAY</v>
      </c>
      <c r="C4208" t="str">
        <f>T("CODE L24 BLDG 1392")</f>
        <v>CODE L24 BLDG 1392</v>
      </c>
      <c r="D4208" t="str">
        <f>T("PORT HUENEME")</f>
        <v>PORT HUENEME</v>
      </c>
      <c r="E4208" t="str">
        <f>T("CA")</f>
        <v>CA</v>
      </c>
      <c r="F4208" t="str">
        <f>T("930434307")</f>
        <v>930434307</v>
      </c>
      <c r="G4208" t="str">
        <f>T("NSWC PORT HUENEME DIVISION")</f>
        <v>NSWC PORT HUENEME DIVISION</v>
      </c>
      <c r="H4208" t="str">
        <f>T("BUILDING 1392 CODE L24")</f>
        <v>BUILDING 1392 CODE L24</v>
      </c>
      <c r="I4208" t="str">
        <f>T("PORT HUENEME")</f>
        <v>PORT HUENEME</v>
      </c>
      <c r="J4208" t="str">
        <f>T("CA")</f>
        <v>CA</v>
      </c>
      <c r="K4208" t="str">
        <f t="shared" si="1649"/>
        <v>000000000000000000</v>
      </c>
      <c r="L4208" t="str">
        <f>T("8052287436")</f>
        <v>8052287436</v>
      </c>
    </row>
    <row r="4209" spans="1:12" x14ac:dyDescent="0.35">
      <c r="A4209" t="str">
        <f t="shared" si="1648"/>
        <v>NSWC PORT HUENEME</v>
      </c>
      <c r="B4209" t="str">
        <f>T("BUILDING 1438, N103")</f>
        <v>BUILDING 1438, N103</v>
      </c>
      <c r="C4209" t="str">
        <f>T("WHITE SANDS MISSILE RANGE")</f>
        <v>WHITE SANDS MISSILE RANGE</v>
      </c>
      <c r="D4209" t="str">
        <f>T("WHITE SANDS")</f>
        <v>WHITE SANDS</v>
      </c>
      <c r="E4209" t="str">
        <f>T("NM")</f>
        <v>NM</v>
      </c>
      <c r="F4209" t="str">
        <f>T("880020000")</f>
        <v>880020000</v>
      </c>
      <c r="G4209" t="str">
        <f>T("BUILDING 1438, N103")</f>
        <v>BUILDING 1438, N103</v>
      </c>
      <c r="H4209" t="str">
        <f>T("WHITE SANDS MISSILE RANGE")</f>
        <v>WHITE SANDS MISSILE RANGE</v>
      </c>
      <c r="I4209" t="str">
        <f>T("WHITE SANDS")</f>
        <v>WHITE SANDS</v>
      </c>
      <c r="J4209" t="str">
        <f>T("NM")</f>
        <v>NM</v>
      </c>
      <c r="K4209" t="str">
        <f t="shared" si="1649"/>
        <v>000000000000000000</v>
      </c>
      <c r="L4209" t="str">
        <f>T("5756786111")</f>
        <v>5756786111</v>
      </c>
    </row>
    <row r="4210" spans="1:12" x14ac:dyDescent="0.35">
      <c r="A4210" t="str">
        <f t="shared" si="1648"/>
        <v>NSWC PORT HUENEME</v>
      </c>
      <c r="B4210" t="str">
        <f>T("BUILDING 1438, N103")</f>
        <v>BUILDING 1438, N103</v>
      </c>
      <c r="C4210" t="str">
        <f>T("WHITE SANDS MISSILE RANGE")</f>
        <v>WHITE SANDS MISSILE RANGE</v>
      </c>
      <c r="D4210" t="str">
        <f>T("WHITE SANDS")</f>
        <v>WHITE SANDS</v>
      </c>
      <c r="E4210" t="str">
        <f>T("NM")</f>
        <v>NM</v>
      </c>
      <c r="F4210" t="str">
        <f>T("880020000")</f>
        <v>880020000</v>
      </c>
      <c r="G4210" t="str">
        <f>T("NSWC PHD WHITE SANDS DETACHMENT")</f>
        <v>NSWC PHD WHITE SANDS DETACHMENT</v>
      </c>
      <c r="H4210" t="str">
        <f>T("BUILDING 1438 N103")</f>
        <v>BUILDING 1438 N103</v>
      </c>
      <c r="I4210" t="str">
        <f>T("WSMR")</f>
        <v>WSMR</v>
      </c>
      <c r="J4210" t="str">
        <f>T("NM")</f>
        <v>NM</v>
      </c>
      <c r="K4210" t="str">
        <f t="shared" si="1649"/>
        <v>000000000000000000</v>
      </c>
      <c r="L4210" t="str">
        <f>T("5756782102")</f>
        <v>5756782102</v>
      </c>
    </row>
    <row r="4211" spans="1:12" x14ac:dyDescent="0.35">
      <c r="A4211" t="str">
        <f t="shared" si="1648"/>
        <v>NSWC PORT HUENEME</v>
      </c>
      <c r="B4211" t="str">
        <f>T("BUILDING 1438, N103")</f>
        <v>BUILDING 1438, N103</v>
      </c>
      <c r="C4211" t="str">
        <f>T("WHITE SANDS MISSILE RANGE")</f>
        <v>WHITE SANDS MISSILE RANGE</v>
      </c>
      <c r="D4211" t="str">
        <f>T("WHITE SANDS")</f>
        <v>WHITE SANDS</v>
      </c>
      <c r="E4211" t="str">
        <f>T("NM")</f>
        <v>NM</v>
      </c>
      <c r="F4211" t="str">
        <f>T("880020000")</f>
        <v>880020000</v>
      </c>
      <c r="G4211" t="str">
        <f>T("NSWC PHD WHITE SANDS DETACHMENT")</f>
        <v>NSWC PHD WHITE SANDS DETACHMENT</v>
      </c>
      <c r="H4211" t="str">
        <f>T("BUILDING 1438 N103")</f>
        <v>BUILDING 1438 N103</v>
      </c>
      <c r="I4211" t="str">
        <f>T("WSMR")</f>
        <v>WSMR</v>
      </c>
      <c r="J4211" t="str">
        <f>T("NM")</f>
        <v>NM</v>
      </c>
      <c r="K4211" t="str">
        <f t="shared" si="1649"/>
        <v>000000000000000000</v>
      </c>
      <c r="L4211" t="str">
        <f>T("5756784757")</f>
        <v>5756784757</v>
      </c>
    </row>
    <row r="4212" spans="1:12" x14ac:dyDescent="0.35">
      <c r="A4212" t="str">
        <f t="shared" si="1648"/>
        <v>NSWC PORT HUENEME</v>
      </c>
      <c r="B4212" t="str">
        <f>T("BUILDING 1438, N103")</f>
        <v>BUILDING 1438, N103</v>
      </c>
      <c r="C4212" t="str">
        <f>T("WHITE SANDS MISSILE RANGE")</f>
        <v>WHITE SANDS MISSILE RANGE</v>
      </c>
      <c r="D4212" t="str">
        <f>T("WHITE SANDS")</f>
        <v>WHITE SANDS</v>
      </c>
      <c r="E4212" t="str">
        <f>T("NM")</f>
        <v>NM</v>
      </c>
      <c r="F4212" t="str">
        <f>T("880020000")</f>
        <v>880020000</v>
      </c>
      <c r="G4212" t="str">
        <f>T("WHITE SANDS MISSILE RANGE")</f>
        <v>WHITE SANDS MISSILE RANGE</v>
      </c>
      <c r="H4212" t="str">
        <f>T("BUILDING 1438 CODE T52")</f>
        <v>BUILDING 1438 CODE T52</v>
      </c>
      <c r="I4212" t="str">
        <f>T("WHITE SANDS MISSILE RANG")</f>
        <v>WHITE SANDS MISSILE RANG</v>
      </c>
      <c r="J4212" t="str">
        <f>T("NM")</f>
        <v>NM</v>
      </c>
      <c r="K4212" t="str">
        <f t="shared" si="1649"/>
        <v>000000000000000000</v>
      </c>
      <c r="L4212" t="str">
        <f>T("5756784075")</f>
        <v>5756784075</v>
      </c>
    </row>
    <row r="4213" spans="1:12" x14ac:dyDescent="0.35">
      <c r="A4213" t="str">
        <f t="shared" si="1648"/>
        <v>NSWC PORT HUENEME</v>
      </c>
      <c r="B4213" t="str">
        <f>T("LAND ATTACK L31")</f>
        <v>LAND ATTACK L31</v>
      </c>
      <c r="C4213" t="str">
        <f>T("4363 MISSILE WAY")</f>
        <v>4363 MISSILE WAY</v>
      </c>
      <c r="D4213" t="str">
        <f>T("PORT HUENEME")</f>
        <v>PORT HUENEME</v>
      </c>
      <c r="E4213" t="str">
        <f>T("CA")</f>
        <v>CA</v>
      </c>
      <c r="F4213" t="str">
        <f>T("930434307")</f>
        <v>930434307</v>
      </c>
      <c r="G4213" t="str">
        <f>T("LAND ATTACK L31")</f>
        <v>LAND ATTACK L31</v>
      </c>
      <c r="H4213" t="str">
        <f>T("4363 MISSILE WAY")</f>
        <v>4363 MISSILE WAY</v>
      </c>
      <c r="I4213" t="str">
        <f>T("PORT HUENEME")</f>
        <v>PORT HUENEME</v>
      </c>
      <c r="J4213" t="str">
        <f>T("CA")</f>
        <v>CA</v>
      </c>
      <c r="K4213" t="str">
        <f>T("8052287637")</f>
        <v>8052287637</v>
      </c>
      <c r="L4213" t="str">
        <f>T("8502285578")</f>
        <v>8502285578</v>
      </c>
    </row>
    <row r="4214" spans="1:12" x14ac:dyDescent="0.35">
      <c r="A4214" t="str">
        <f t="shared" si="1648"/>
        <v>NSWC PORT HUENEME</v>
      </c>
      <c r="B4214" t="str">
        <f>T("NAVAL SURFACE WARFARE CENTER")</f>
        <v>NAVAL SURFACE WARFARE CENTER</v>
      </c>
      <c r="C4214" t="str">
        <f>T("4363 MISSILE WAY CODE S53")</f>
        <v>4363 MISSILE WAY CODE S53</v>
      </c>
      <c r="D4214" t="str">
        <f>T("PORT HUENEME")</f>
        <v>PORT HUENEME</v>
      </c>
      <c r="E4214" t="str">
        <f>T("CA")</f>
        <v>CA</v>
      </c>
      <c r="F4214" t="str">
        <f>T("930430001")</f>
        <v>930430001</v>
      </c>
      <c r="G4214" t="str">
        <f>T("4363 MISSILE WAY")</f>
        <v>4363 MISSILE WAY</v>
      </c>
      <c r="H4214" t="str">
        <f>T("BUILDING 1389 CODE S52")</f>
        <v>BUILDING 1389 CODE S52</v>
      </c>
      <c r="I4214" t="str">
        <f>T("PORT HUENEME")</f>
        <v>PORT HUENEME</v>
      </c>
      <c r="J4214" t="str">
        <f>T("CA")</f>
        <v>CA</v>
      </c>
      <c r="K4214" t="str">
        <f>T("000000000000000000")</f>
        <v>000000000000000000</v>
      </c>
      <c r="L4214" t="str">
        <f>T("8052287943")</f>
        <v>8052287943</v>
      </c>
    </row>
    <row r="4215" spans="1:12" x14ac:dyDescent="0.35">
      <c r="A4215" t="str">
        <f t="shared" si="1648"/>
        <v>NSWC PORT HUENEME</v>
      </c>
      <c r="B4215" t="str">
        <f>T("NAVAL SURFACE WARFARE CENTER")</f>
        <v>NAVAL SURFACE WARFARE CENTER</v>
      </c>
      <c r="C4215" t="str">
        <f>T("4363 MISSILE WAY CODE S53")</f>
        <v>4363 MISSILE WAY CODE S53</v>
      </c>
      <c r="D4215" t="str">
        <f>T("PORT HUENEME")</f>
        <v>PORT HUENEME</v>
      </c>
      <c r="E4215" t="str">
        <f>T("CA")</f>
        <v>CA</v>
      </c>
      <c r="F4215" t="str">
        <f>T("930430001")</f>
        <v>930430001</v>
      </c>
      <c r="G4215" t="str">
        <f>T("NAVAL SURFACE WARFARE CENTER")</f>
        <v>NAVAL SURFACE WARFARE CENTER</v>
      </c>
      <c r="H4215" t="str">
        <f>T("4363 MISSILE WAY CODE S53")</f>
        <v>4363 MISSILE WAY CODE S53</v>
      </c>
      <c r="I4215" t="str">
        <f>T("PORT HUENEME")</f>
        <v>PORT HUENEME</v>
      </c>
      <c r="J4215" t="str">
        <f>T("CA")</f>
        <v>CA</v>
      </c>
      <c r="K4215" t="str">
        <f>T("000000000000000000")</f>
        <v>000000000000000000</v>
      </c>
      <c r="L4215" t="str">
        <f>T("8052280911")</f>
        <v>8052280911</v>
      </c>
    </row>
    <row r="4216" spans="1:12" x14ac:dyDescent="0.35">
      <c r="A4216" t="str">
        <f t="shared" si="1648"/>
        <v>NSWC PORT HUENEME</v>
      </c>
      <c r="B4216" t="str">
        <f>T("PHD NAVAL SURFACE WARFARE CENTER")</f>
        <v>PHD NAVAL SURFACE WARFARE CENTER</v>
      </c>
      <c r="C4216" t="str">
        <f>T("CODE 1016 BLDG 1214")</f>
        <v>CODE 1016 BLDG 1214</v>
      </c>
      <c r="D4216" t="str">
        <f>T("PORT HUENEME")</f>
        <v>PORT HUENEME</v>
      </c>
      <c r="E4216" t="str">
        <f>T("CA")</f>
        <v>CA</v>
      </c>
      <c r="F4216" t="str">
        <f>T("930434383")</f>
        <v>930434383</v>
      </c>
      <c r="G4216" t="str">
        <f>T("4363 MISSILE WAY")</f>
        <v>4363 MISSILE WAY</v>
      </c>
      <c r="H4216" t="str">
        <f>T("CODE 105")</f>
        <v>CODE 105</v>
      </c>
      <c r="I4216" t="str">
        <f>T("PORT HUENEME")</f>
        <v>PORT HUENEME</v>
      </c>
      <c r="J4216" t="str">
        <f>T("CA")</f>
        <v>CA</v>
      </c>
      <c r="K4216" t="str">
        <f>T("8052285596")</f>
        <v>8052285596</v>
      </c>
      <c r="L4216" t="str">
        <f>T("8052288193")</f>
        <v>8052288193</v>
      </c>
    </row>
    <row r="4217" spans="1:12" x14ac:dyDescent="0.35">
      <c r="A4217" t="str">
        <f t="shared" si="1648"/>
        <v>NSWC PORT HUENEME</v>
      </c>
      <c r="B4217" t="str">
        <f>T("PHD NAVAL SURFACE WARFARE CENTER")</f>
        <v>PHD NAVAL SURFACE WARFARE CENTER</v>
      </c>
      <c r="C4217" t="str">
        <f>T("CODE 1016 BLDG 1214")</f>
        <v>CODE 1016 BLDG 1214</v>
      </c>
      <c r="D4217" t="str">
        <f>T("PORT HUENEME")</f>
        <v>PORT HUENEME</v>
      </c>
      <c r="E4217" t="str">
        <f>T("CA")</f>
        <v>CA</v>
      </c>
      <c r="F4217" t="str">
        <f>T("930434383")</f>
        <v>930434383</v>
      </c>
      <c r="G4217" t="str">
        <f>T("PHD NAVAL SURFACE WARFARE CENTER")</f>
        <v>PHD NAVAL SURFACE WARFARE CENTER</v>
      </c>
      <c r="H4217" t="str">
        <f>T("CODE 1016 BLDG 1214")</f>
        <v>CODE 1016 BLDG 1214</v>
      </c>
      <c r="I4217" t="str">
        <f>T("PORT HUENEME")</f>
        <v>PORT HUENEME</v>
      </c>
      <c r="J4217" t="str">
        <f>T("CA")</f>
        <v>CA</v>
      </c>
      <c r="K4217" t="str">
        <f>T("8052285596")</f>
        <v>8052285596</v>
      </c>
      <c r="L4217" t="str">
        <f>T("8052286373")</f>
        <v>8052286373</v>
      </c>
    </row>
    <row r="4218" spans="1:12" x14ac:dyDescent="0.35">
      <c r="A4218" t="str">
        <f t="shared" ref="A4218:A4249" si="1650">T("NSWC IH DIV BOWIE")</f>
        <v>NSWC IH DIV BOWIE</v>
      </c>
      <c r="B4218" t="str">
        <f t="shared" ref="B4218:B4230" si="1651">T("2008 STUMP NECK ROAD")</f>
        <v>2008 STUMP NECK ROAD</v>
      </c>
      <c r="C4218" t="str">
        <f>T("BLDG 2008 2ND FLOOR ROOM 210")</f>
        <v>BLDG 2008 2ND FLOOR ROOM 210</v>
      </c>
      <c r="D4218" t="str">
        <f t="shared" ref="D4218:D4231" si="1652">T("INDIAN HEAD")</f>
        <v>INDIAN HEAD</v>
      </c>
      <c r="E4218" t="str">
        <f t="shared" ref="E4218:E4231" si="1653">T("MD")</f>
        <v>MD</v>
      </c>
      <c r="F4218" t="str">
        <f t="shared" ref="F4218:F4230" si="1654">T("206403681")</f>
        <v>206403681</v>
      </c>
      <c r="G4218" t="str">
        <f>T("2008 STUMP NECK ROAD")</f>
        <v>2008 STUMP NECK ROAD</v>
      </c>
      <c r="H4218" t="str">
        <f>T("BLDG 2008 2ND FLOOR ROOM 210")</f>
        <v>BLDG 2008 2ND FLOOR ROOM 210</v>
      </c>
      <c r="I4218" t="str">
        <f t="shared" ref="I4218:I4231" si="1655">T("INDIAN HEAD")</f>
        <v>INDIAN HEAD</v>
      </c>
      <c r="J4218" t="str">
        <f t="shared" ref="J4218:J4231" si="1656">T("MD")</f>
        <v>MD</v>
      </c>
      <c r="K4218" t="str">
        <f>T("000000000000000000")</f>
        <v>000000000000000000</v>
      </c>
      <c r="L4218" t="str">
        <f>T("3017446843")</f>
        <v>3017446843</v>
      </c>
    </row>
    <row r="4219" spans="1:12" x14ac:dyDescent="0.35">
      <c r="A4219" t="str">
        <f t="shared" si="1650"/>
        <v>NSWC IH DIV BOWIE</v>
      </c>
      <c r="B4219" t="str">
        <f t="shared" si="1651"/>
        <v>2008 STUMP NECK ROAD</v>
      </c>
      <c r="C4219" t="str">
        <f>T("BLDG 2008 2ND FLOOR ROOM 210")</f>
        <v>BLDG 2008 2ND FLOOR ROOM 210</v>
      </c>
      <c r="D4219" t="str">
        <f t="shared" si="1652"/>
        <v>INDIAN HEAD</v>
      </c>
      <c r="E4219" t="str">
        <f t="shared" si="1653"/>
        <v>MD</v>
      </c>
      <c r="F4219" t="str">
        <f t="shared" si="1654"/>
        <v>206403681</v>
      </c>
      <c r="G4219" t="str">
        <f>T("CODE 025 BLDG 2005")</f>
        <v>CODE 025 BLDG 2005</v>
      </c>
      <c r="H4219" t="str">
        <f>T("2008 STUMP NECK RD")</f>
        <v>2008 STUMP NECK RD</v>
      </c>
      <c r="I4219" t="str">
        <f t="shared" si="1655"/>
        <v>INDIAN HEAD</v>
      </c>
      <c r="J4219" t="str">
        <f t="shared" si="1656"/>
        <v>MD</v>
      </c>
      <c r="K4219" t="str">
        <f>T("3017445357")</f>
        <v>3017445357</v>
      </c>
      <c r="L4219" t="str">
        <f>T("3017446891")</f>
        <v>3017446891</v>
      </c>
    </row>
    <row r="4220" spans="1:12" x14ac:dyDescent="0.35">
      <c r="A4220" t="str">
        <f t="shared" si="1650"/>
        <v>NSWC IH DIV BOWIE</v>
      </c>
      <c r="B4220" t="str">
        <f t="shared" si="1651"/>
        <v>2008 STUMP NECK ROAD</v>
      </c>
      <c r="C4220" t="str">
        <f>T("BLDG 2008 2ND FLOOR ROOM 210")</f>
        <v>BLDG 2008 2ND FLOOR ROOM 210</v>
      </c>
      <c r="D4220" t="str">
        <f t="shared" si="1652"/>
        <v>INDIAN HEAD</v>
      </c>
      <c r="E4220" t="str">
        <f t="shared" si="1653"/>
        <v>MD</v>
      </c>
      <c r="F4220" t="str">
        <f t="shared" si="1654"/>
        <v>206403681</v>
      </c>
      <c r="G4220" t="str">
        <f>T("CODE 025 BLDG 2008")</f>
        <v>CODE 025 BLDG 2008</v>
      </c>
      <c r="H4220" t="str">
        <f>T("2008 STUMP NECK RD")</f>
        <v>2008 STUMP NECK RD</v>
      </c>
      <c r="I4220" t="str">
        <f t="shared" si="1655"/>
        <v>INDIAN HEAD</v>
      </c>
      <c r="J4220" t="str">
        <f t="shared" si="1656"/>
        <v>MD</v>
      </c>
      <c r="K4220" t="str">
        <f>T("3017444055")</f>
        <v>3017444055</v>
      </c>
      <c r="L4220" t="str">
        <f>T("3017446883")</f>
        <v>3017446883</v>
      </c>
    </row>
    <row r="4221" spans="1:12" x14ac:dyDescent="0.35">
      <c r="A4221" t="str">
        <f t="shared" si="1650"/>
        <v>NSWC IH DIV BOWIE</v>
      </c>
      <c r="B4221" t="str">
        <f t="shared" si="1651"/>
        <v>2008 STUMP NECK ROAD</v>
      </c>
      <c r="C4221" t="str">
        <f>T("BLDG 2008 2ND FLOOR ROOM 210")</f>
        <v>BLDG 2008 2ND FLOOR ROOM 210</v>
      </c>
      <c r="D4221" t="str">
        <f t="shared" si="1652"/>
        <v>INDIAN HEAD</v>
      </c>
      <c r="E4221" t="str">
        <f t="shared" si="1653"/>
        <v>MD</v>
      </c>
      <c r="F4221" t="str">
        <f t="shared" si="1654"/>
        <v>206403681</v>
      </c>
      <c r="G4221" t="str">
        <f>T("CODE 025 BLDG 2008")</f>
        <v>CODE 025 BLDG 2008</v>
      </c>
      <c r="H4221" t="str">
        <f>T("2008 STUMP NECK RD")</f>
        <v>2008 STUMP NECK RD</v>
      </c>
      <c r="I4221" t="str">
        <f t="shared" si="1655"/>
        <v>INDIAN HEAD</v>
      </c>
      <c r="J4221" t="str">
        <f t="shared" si="1656"/>
        <v>MD</v>
      </c>
      <c r="K4221" t="str">
        <f>T("3017444055")</f>
        <v>3017444055</v>
      </c>
      <c r="L4221" t="str">
        <f>T("3017446908")</f>
        <v>3017446908</v>
      </c>
    </row>
    <row r="4222" spans="1:12" x14ac:dyDescent="0.35">
      <c r="A4222" t="str">
        <f t="shared" si="1650"/>
        <v>NSWC IH DIV BOWIE</v>
      </c>
      <c r="B4222" t="str">
        <f t="shared" si="1651"/>
        <v>2008 STUMP NECK ROAD</v>
      </c>
      <c r="C4222" t="str">
        <f>T("BLDG 2008 2ND FLOOR ROOM 210")</f>
        <v>BLDG 2008 2ND FLOOR ROOM 210</v>
      </c>
      <c r="D4222" t="str">
        <f t="shared" si="1652"/>
        <v>INDIAN HEAD</v>
      </c>
      <c r="E4222" t="str">
        <f t="shared" si="1653"/>
        <v>MD</v>
      </c>
      <c r="F4222" t="str">
        <f t="shared" si="1654"/>
        <v>206403681</v>
      </c>
      <c r="G4222" t="str">
        <f>T("CODE 025 BLDG 2008")</f>
        <v>CODE 025 BLDG 2008</v>
      </c>
      <c r="H4222" t="str">
        <f>T("2008 STUMP NECK RD")</f>
        <v>2008 STUMP NECK RD</v>
      </c>
      <c r="I4222" t="str">
        <f t="shared" si="1655"/>
        <v>INDIAN HEAD</v>
      </c>
      <c r="J4222" t="str">
        <f t="shared" si="1656"/>
        <v>MD</v>
      </c>
      <c r="K4222" t="str">
        <f>T("3017444055")</f>
        <v>3017444055</v>
      </c>
      <c r="L4222" t="str">
        <f>T("3017446926")</f>
        <v>3017446926</v>
      </c>
    </row>
    <row r="4223" spans="1:12" x14ac:dyDescent="0.35">
      <c r="A4223" t="str">
        <f t="shared" si="1650"/>
        <v>NSWC IH DIV BOWIE</v>
      </c>
      <c r="B4223" t="str">
        <f t="shared" si="1651"/>
        <v>2008 STUMP NECK ROAD</v>
      </c>
      <c r="C4223" t="str">
        <f>T("CODE 00M1 BLDG 2008")</f>
        <v>CODE 00M1 BLDG 2008</v>
      </c>
      <c r="D4223" t="str">
        <f t="shared" si="1652"/>
        <v>INDIAN HEAD</v>
      </c>
      <c r="E4223" t="str">
        <f t="shared" si="1653"/>
        <v>MD</v>
      </c>
      <c r="F4223" t="str">
        <f t="shared" si="1654"/>
        <v>206403681</v>
      </c>
      <c r="G4223" t="str">
        <f>T("2008 STUMP NECK ROAD")</f>
        <v>2008 STUMP NECK ROAD</v>
      </c>
      <c r="H4223" t="str">
        <f>T("CODE 00M1 BLDG 2008")</f>
        <v>CODE 00M1 BLDG 2008</v>
      </c>
      <c r="I4223" t="str">
        <f t="shared" si="1655"/>
        <v>INDIAN HEAD</v>
      </c>
      <c r="J4223" t="str">
        <f t="shared" si="1656"/>
        <v>MD</v>
      </c>
      <c r="K4223" t="str">
        <f>T("3017440000")</f>
        <v>3017440000</v>
      </c>
      <c r="L4223" t="str">
        <f>T("3017444517")</f>
        <v>3017444517</v>
      </c>
    </row>
    <row r="4224" spans="1:12" x14ac:dyDescent="0.35">
      <c r="A4224" t="str">
        <f t="shared" si="1650"/>
        <v>NSWC IH DIV BOWIE</v>
      </c>
      <c r="B4224" t="str">
        <f t="shared" si="1651"/>
        <v>2008 STUMP NECK ROAD</v>
      </c>
      <c r="C4224" t="str">
        <f>T("CODE 00M1 BLDG 2008")</f>
        <v>CODE 00M1 BLDG 2008</v>
      </c>
      <c r="D4224" t="str">
        <f t="shared" si="1652"/>
        <v>INDIAN HEAD</v>
      </c>
      <c r="E4224" t="str">
        <f t="shared" si="1653"/>
        <v>MD</v>
      </c>
      <c r="F4224" t="str">
        <f t="shared" si="1654"/>
        <v>206403681</v>
      </c>
      <c r="G4224" t="str">
        <f>T("4522 MCMAHON RD")</f>
        <v>4522 MCMAHON RD</v>
      </c>
      <c r="H4224" t="str">
        <f>T("CODE 00M1MP BLDG 116")</f>
        <v>CODE 00M1MP BLDG 116</v>
      </c>
      <c r="I4224" t="str">
        <f t="shared" si="1655"/>
        <v>INDIAN HEAD</v>
      </c>
      <c r="J4224" t="str">
        <f t="shared" si="1656"/>
        <v>MD</v>
      </c>
      <c r="K4224" t="str">
        <f>T("3017444555")</f>
        <v>3017444555</v>
      </c>
      <c r="L4224" t="str">
        <f>T("3017444457")</f>
        <v>3017444457</v>
      </c>
    </row>
    <row r="4225" spans="1:12" x14ac:dyDescent="0.35">
      <c r="A4225" t="str">
        <f t="shared" si="1650"/>
        <v>NSWC IH DIV BOWIE</v>
      </c>
      <c r="B4225" t="str">
        <f t="shared" si="1651"/>
        <v>2008 STUMP NECK ROAD</v>
      </c>
      <c r="C4225" t="str">
        <f>T("CODE 00M1 BLDG 2008")</f>
        <v>CODE 00M1 BLDG 2008</v>
      </c>
      <c r="D4225" t="str">
        <f t="shared" si="1652"/>
        <v>INDIAN HEAD</v>
      </c>
      <c r="E4225" t="str">
        <f t="shared" si="1653"/>
        <v>MD</v>
      </c>
      <c r="F4225" t="str">
        <f t="shared" si="1654"/>
        <v>206403681</v>
      </c>
      <c r="G4225" t="str">
        <f>T("CODE 00M BLDG 2008")</f>
        <v>CODE 00M BLDG 2008</v>
      </c>
      <c r="H4225" t="str">
        <f>T("2008 STUMP NECK RD")</f>
        <v>2008 STUMP NECK RD</v>
      </c>
      <c r="I4225" t="str">
        <f t="shared" si="1655"/>
        <v>INDIAN HEAD</v>
      </c>
      <c r="J4225" t="str">
        <f t="shared" si="1656"/>
        <v>MD</v>
      </c>
      <c r="K4225" t="str">
        <f>T("000000000000000000")</f>
        <v>000000000000000000</v>
      </c>
      <c r="L4225" t="str">
        <f>T("3017445118")</f>
        <v>3017445118</v>
      </c>
    </row>
    <row r="4226" spans="1:12" x14ac:dyDescent="0.35">
      <c r="A4226" t="str">
        <f t="shared" si="1650"/>
        <v>NSWC IH DIV BOWIE</v>
      </c>
      <c r="B4226" t="str">
        <f t="shared" si="1651"/>
        <v>2008 STUMP NECK ROAD</v>
      </c>
      <c r="C4226" t="str">
        <f>T("CODE 00M1 BLDG 2008")</f>
        <v>CODE 00M1 BLDG 2008</v>
      </c>
      <c r="D4226" t="str">
        <f t="shared" si="1652"/>
        <v>INDIAN HEAD</v>
      </c>
      <c r="E4226" t="str">
        <f t="shared" si="1653"/>
        <v>MD</v>
      </c>
      <c r="F4226" t="str">
        <f t="shared" si="1654"/>
        <v>206403681</v>
      </c>
      <c r="G4226" t="str">
        <f>T("CODE 00M1AB BLDG 116")</f>
        <v>CODE 00M1AB BLDG 116</v>
      </c>
      <c r="H4226" t="str">
        <f>T("4522 MCMAHON RD")</f>
        <v>4522 MCMAHON RD</v>
      </c>
      <c r="I4226" t="str">
        <f t="shared" si="1655"/>
        <v>INDIAN HEAD</v>
      </c>
      <c r="J4226" t="str">
        <f t="shared" si="1656"/>
        <v>MD</v>
      </c>
      <c r="K4226" t="str">
        <f>T("3017444555")</f>
        <v>3017444555</v>
      </c>
      <c r="L4226" t="str">
        <f>T("3017441423")</f>
        <v>3017441423</v>
      </c>
    </row>
    <row r="4227" spans="1:12" x14ac:dyDescent="0.35">
      <c r="A4227" t="str">
        <f t="shared" si="1650"/>
        <v>NSWC IH DIV BOWIE</v>
      </c>
      <c r="B4227" t="str">
        <f t="shared" si="1651"/>
        <v>2008 STUMP NECK ROAD</v>
      </c>
      <c r="C4227" t="str">
        <f>T("CODE 00M1 BLDG 2008")</f>
        <v>CODE 00M1 BLDG 2008</v>
      </c>
      <c r="D4227" t="str">
        <f t="shared" si="1652"/>
        <v>INDIAN HEAD</v>
      </c>
      <c r="E4227" t="str">
        <f t="shared" si="1653"/>
        <v>MD</v>
      </c>
      <c r="F4227" t="str">
        <f t="shared" si="1654"/>
        <v>206403681</v>
      </c>
      <c r="G4227" t="str">
        <f>T("CODE 00M1AV BLDG 116")</f>
        <v>CODE 00M1AV BLDG 116</v>
      </c>
      <c r="H4227" t="str">
        <f>T("4522 MCMAHON RD")</f>
        <v>4522 MCMAHON RD</v>
      </c>
      <c r="I4227" t="str">
        <f t="shared" si="1655"/>
        <v>INDIAN HEAD</v>
      </c>
      <c r="J4227" t="str">
        <f t="shared" si="1656"/>
        <v>MD</v>
      </c>
      <c r="K4227" t="str">
        <f>T("3017444555")</f>
        <v>3017444555</v>
      </c>
      <c r="L4227" t="str">
        <f>T("3017441826")</f>
        <v>3017441826</v>
      </c>
    </row>
    <row r="4228" spans="1:12" x14ac:dyDescent="0.35">
      <c r="A4228" t="str">
        <f t="shared" si="1650"/>
        <v>NSWC IH DIV BOWIE</v>
      </c>
      <c r="B4228" t="str">
        <f t="shared" si="1651"/>
        <v>2008 STUMP NECK ROAD</v>
      </c>
      <c r="C4228" t="str">
        <f>T("CODE D31, BLDG 2112")</f>
        <v>CODE D31, BLDG 2112</v>
      </c>
      <c r="D4228" t="str">
        <f t="shared" si="1652"/>
        <v>INDIAN HEAD</v>
      </c>
      <c r="E4228" t="str">
        <f t="shared" si="1653"/>
        <v>MD</v>
      </c>
      <c r="F4228" t="str">
        <f t="shared" si="1654"/>
        <v>206403681</v>
      </c>
      <c r="G4228" t="str">
        <f>T("2008 STUMP NECK RD")</f>
        <v>2008 STUMP NECK RD</v>
      </c>
      <c r="H4228" t="str">
        <f>T("BLDG 2195")</f>
        <v>BLDG 2195</v>
      </c>
      <c r="I4228" t="str">
        <f t="shared" si="1655"/>
        <v>INDIAN HEAD</v>
      </c>
      <c r="J4228" t="str">
        <f t="shared" si="1656"/>
        <v>MD</v>
      </c>
      <c r="K4228" t="str">
        <f>T("3017446937")</f>
        <v>3017446937</v>
      </c>
      <c r="L4228" t="str">
        <f>T("3017441775")</f>
        <v>3017441775</v>
      </c>
    </row>
    <row r="4229" spans="1:12" x14ac:dyDescent="0.35">
      <c r="A4229" t="str">
        <f t="shared" si="1650"/>
        <v>NSWC IH DIV BOWIE</v>
      </c>
      <c r="B4229" t="str">
        <f t="shared" si="1651"/>
        <v>2008 STUMP NECK ROAD</v>
      </c>
      <c r="C4229" t="str">
        <f>T("CODE D31, BLDG 2112")</f>
        <v>CODE D31, BLDG 2112</v>
      </c>
      <c r="D4229" t="str">
        <f t="shared" si="1652"/>
        <v>INDIAN HEAD</v>
      </c>
      <c r="E4229" t="str">
        <f t="shared" si="1653"/>
        <v>MD</v>
      </c>
      <c r="F4229" t="str">
        <f t="shared" si="1654"/>
        <v>206403681</v>
      </c>
      <c r="G4229" t="str">
        <f>T("2008 STUMP NECK ROAD")</f>
        <v>2008 STUMP NECK ROAD</v>
      </c>
      <c r="H4229" t="str">
        <f>T("CODE D31, BLDG 2112")</f>
        <v>CODE D31, BLDG 2112</v>
      </c>
      <c r="I4229" t="str">
        <f t="shared" si="1655"/>
        <v>INDIAN HEAD</v>
      </c>
      <c r="J4229" t="str">
        <f t="shared" si="1656"/>
        <v>MD</v>
      </c>
      <c r="K4229" t="str">
        <f>T("301-744-6991")</f>
        <v>301-744-6991</v>
      </c>
      <c r="L4229" t="str">
        <f>T("3017441780")</f>
        <v>3017441780</v>
      </c>
    </row>
    <row r="4230" spans="1:12" x14ac:dyDescent="0.35">
      <c r="A4230" t="str">
        <f t="shared" si="1650"/>
        <v>NSWC IH DIV BOWIE</v>
      </c>
      <c r="B4230" t="str">
        <f t="shared" si="1651"/>
        <v>2008 STUMP NECK ROAD</v>
      </c>
      <c r="C4230" t="str">
        <f>T("CODE D31, BLDG 2112")</f>
        <v>CODE D31, BLDG 2112</v>
      </c>
      <c r="D4230" t="str">
        <f t="shared" si="1652"/>
        <v>INDIAN HEAD</v>
      </c>
      <c r="E4230" t="str">
        <f t="shared" si="1653"/>
        <v>MD</v>
      </c>
      <c r="F4230" t="str">
        <f t="shared" si="1654"/>
        <v>206403681</v>
      </c>
      <c r="G4230" t="str">
        <f>T("BLDG 2196 RM 114")</f>
        <v>BLDG 2196 RM 114</v>
      </c>
      <c r="H4230" t="str">
        <f>T("STUMP NECK RD")</f>
        <v>STUMP NECK RD</v>
      </c>
      <c r="I4230" t="str">
        <f t="shared" si="1655"/>
        <v>INDIAN HEAD</v>
      </c>
      <c r="J4230" t="str">
        <f t="shared" si="1656"/>
        <v>MD</v>
      </c>
      <c r="K4230" t="str">
        <f>T("3017440000")</f>
        <v>3017440000</v>
      </c>
      <c r="L4230" t="str">
        <f>T("3017440000")</f>
        <v>3017440000</v>
      </c>
    </row>
    <row r="4231" spans="1:12" x14ac:dyDescent="0.35">
      <c r="A4231" t="str">
        <f t="shared" si="1650"/>
        <v>NSWC IH DIV BOWIE</v>
      </c>
      <c r="B4231" t="str">
        <f>T("2907 STRAUSS AVE SUITE 102")</f>
        <v>2907 STRAUSS AVE SUITE 102</v>
      </c>
      <c r="C4231" t="str">
        <f>T("CODE R3, BLDG 695")</f>
        <v>CODE R3, BLDG 695</v>
      </c>
      <c r="D4231" t="str">
        <f t="shared" si="1652"/>
        <v>INDIAN HEAD</v>
      </c>
      <c r="E4231" t="str">
        <f t="shared" si="1653"/>
        <v>MD</v>
      </c>
      <c r="F4231" t="str">
        <f>T("206405116")</f>
        <v>206405116</v>
      </c>
      <c r="G4231" t="str">
        <f>T("2907 STRAUSS AVE SUITE 102")</f>
        <v>2907 STRAUSS AVE SUITE 102</v>
      </c>
      <c r="H4231" t="str">
        <f>T("CODE R3, BLDG 695")</f>
        <v>CODE R3, BLDG 695</v>
      </c>
      <c r="I4231" t="str">
        <f t="shared" si="1655"/>
        <v>INDIAN HEAD</v>
      </c>
      <c r="J4231" t="str">
        <f t="shared" si="1656"/>
        <v>MD</v>
      </c>
      <c r="K4231" t="str">
        <f>T("3017440000")</f>
        <v>3017440000</v>
      </c>
      <c r="L4231" t="str">
        <f>T("3017440000")</f>
        <v>3017440000</v>
      </c>
    </row>
    <row r="4232" spans="1:12" x14ac:dyDescent="0.35">
      <c r="A4232" t="str">
        <f t="shared" si="1650"/>
        <v>NSWC IH DIV BOWIE</v>
      </c>
      <c r="B4232" t="str">
        <f>T("3RD AVE")</f>
        <v>3RD AVE</v>
      </c>
      <c r="C4232" t="str">
        <f>T("BUILDING 61N")</f>
        <v>BUILDING 61N</v>
      </c>
      <c r="D4232" t="str">
        <f>T("PICATINNY ARSEN")</f>
        <v>PICATINNY ARSEN</v>
      </c>
      <c r="E4232" t="str">
        <f>T("NJ")</f>
        <v>NJ</v>
      </c>
      <c r="F4232" t="str">
        <f>T("078060000")</f>
        <v>078060000</v>
      </c>
      <c r="G4232" t="str">
        <f>T("3RD AVE")</f>
        <v>3RD AVE</v>
      </c>
      <c r="H4232" t="str">
        <f>T("BUILDING 61N")</f>
        <v>BUILDING 61N</v>
      </c>
      <c r="I4232" t="str">
        <f>T("PICATINNY ARSEN")</f>
        <v>PICATINNY ARSEN</v>
      </c>
      <c r="J4232" t="str">
        <f>T("NJ")</f>
        <v>NJ</v>
      </c>
      <c r="K4232" t="str">
        <f>T("9737242459")</f>
        <v>9737242459</v>
      </c>
      <c r="L4232" t="str">
        <f>T("3017440000")</f>
        <v>3017440000</v>
      </c>
    </row>
    <row r="4233" spans="1:12" x14ac:dyDescent="0.35">
      <c r="A4233" t="str">
        <f t="shared" si="1650"/>
        <v>NSWC IH DIV BOWIE</v>
      </c>
      <c r="B4233" t="str">
        <f>T("3RD AVE")</f>
        <v>3RD AVE</v>
      </c>
      <c r="C4233" t="str">
        <f>T("BUILDING 61N")</f>
        <v>BUILDING 61N</v>
      </c>
      <c r="D4233" t="str">
        <f>T("PICATINNY ARSEN")</f>
        <v>PICATINNY ARSEN</v>
      </c>
      <c r="E4233" t="str">
        <f>T("NJ")</f>
        <v>NJ</v>
      </c>
      <c r="F4233" t="str">
        <f>T("078060000")</f>
        <v>078060000</v>
      </c>
      <c r="G4233" t="str">
        <f>T("CODE G31 BLDG 3342")</f>
        <v>CODE G31 BLDG 3342</v>
      </c>
      <c r="H4233" t="str">
        <f>T("3342 BELT RD")</f>
        <v>3342 BELT RD</v>
      </c>
      <c r="I4233" t="str">
        <f>T("PICATINNY")</f>
        <v>PICATINNY</v>
      </c>
      <c r="J4233" t="str">
        <f>T("NJ")</f>
        <v>NJ</v>
      </c>
      <c r="K4233" t="str">
        <f>T("9737245376")</f>
        <v>9737245376</v>
      </c>
      <c r="L4233" t="str">
        <f>T("9737248963")</f>
        <v>9737248963</v>
      </c>
    </row>
    <row r="4234" spans="1:12" x14ac:dyDescent="0.35">
      <c r="A4234" t="str">
        <f t="shared" si="1650"/>
        <v>NSWC IH DIV BOWIE</v>
      </c>
      <c r="B4234" t="str">
        <f>T("4072 N JACKSON ROAD STE 132")</f>
        <v>4072 N JACKSON ROAD STE 132</v>
      </c>
      <c r="C4234" t="str">
        <f>T("CODE C1 BUILDING 1558")</f>
        <v>CODE C1 BUILDING 1558</v>
      </c>
      <c r="D4234" t="str">
        <f t="shared" ref="D4234:D4246" si="1657">T("INDIAN HEAD")</f>
        <v>INDIAN HEAD</v>
      </c>
      <c r="E4234" t="str">
        <f t="shared" ref="E4234:E4246" si="1658">T("MD")</f>
        <v>MD</v>
      </c>
      <c r="F4234" t="str">
        <f t="shared" ref="F4234:F4239" si="1659">T("206405115")</f>
        <v>206405115</v>
      </c>
      <c r="G4234" t="str">
        <f>T("4072 N JACKSON ROAD STE 132")</f>
        <v>4072 N JACKSON ROAD STE 132</v>
      </c>
      <c r="H4234" t="str">
        <f>T("CODE C1 BUILDING 1558")</f>
        <v>CODE C1 BUILDING 1558</v>
      </c>
      <c r="I4234" t="str">
        <f t="shared" ref="I4234:I4246" si="1660">T("INDIAN HEAD")</f>
        <v>INDIAN HEAD</v>
      </c>
      <c r="J4234" t="str">
        <f t="shared" ref="J4234:J4246" si="1661">T("MD")</f>
        <v>MD</v>
      </c>
      <c r="K4234" t="str">
        <f>T("000000000000000000")</f>
        <v>000000000000000000</v>
      </c>
      <c r="L4234" t="str">
        <f>T("3017446626")</f>
        <v>3017446626</v>
      </c>
    </row>
    <row r="4235" spans="1:12" x14ac:dyDescent="0.35">
      <c r="A4235" t="str">
        <f t="shared" si="1650"/>
        <v>NSWC IH DIV BOWIE</v>
      </c>
      <c r="B4235" t="str">
        <f>T("4072 NORTH JACKSON RD")</f>
        <v>4072 NORTH JACKSON RD</v>
      </c>
      <c r="C4235" t="str">
        <f>T("BLDG 1158 SUITE 106 CODE 02T")</f>
        <v>BLDG 1158 SUITE 106 CODE 02T</v>
      </c>
      <c r="D4235" t="str">
        <f t="shared" si="1657"/>
        <v>INDIAN HEAD</v>
      </c>
      <c r="E4235" t="str">
        <f t="shared" si="1658"/>
        <v>MD</v>
      </c>
      <c r="F4235" t="str">
        <f t="shared" si="1659"/>
        <v>206405115</v>
      </c>
      <c r="G4235" t="str">
        <f>T("4072 NORTH JACKSON RD")</f>
        <v>4072 NORTH JACKSON RD</v>
      </c>
      <c r="H4235" t="str">
        <f>T("BLDG 1158 SUITE 106 CODE 02T")</f>
        <v>BLDG 1158 SUITE 106 CODE 02T</v>
      </c>
      <c r="I4235" t="str">
        <f t="shared" si="1660"/>
        <v>INDIAN HEAD</v>
      </c>
      <c r="J4235" t="str">
        <f t="shared" si="1661"/>
        <v>MD</v>
      </c>
      <c r="K4235" t="str">
        <f>T("3017444246")</f>
        <v>3017444246</v>
      </c>
      <c r="L4235" t="str">
        <f>T("3017444453")</f>
        <v>3017444453</v>
      </c>
    </row>
    <row r="4236" spans="1:12" x14ac:dyDescent="0.35">
      <c r="A4236" t="str">
        <f t="shared" si="1650"/>
        <v>NSWC IH DIV BOWIE</v>
      </c>
      <c r="B4236" t="str">
        <f>T("4072 NORTH JACKSON RD")</f>
        <v>4072 NORTH JACKSON RD</v>
      </c>
      <c r="C4236" t="str">
        <f>T("BLDG 1158 SUITE 106 CODE 02T")</f>
        <v>BLDG 1158 SUITE 106 CODE 02T</v>
      </c>
      <c r="D4236" t="str">
        <f t="shared" si="1657"/>
        <v>INDIAN HEAD</v>
      </c>
      <c r="E4236" t="str">
        <f t="shared" si="1658"/>
        <v>MD</v>
      </c>
      <c r="F4236" t="str">
        <f t="shared" si="1659"/>
        <v>206405115</v>
      </c>
      <c r="G4236" t="str">
        <f>T("CODE 0212F BLDG 1581")</f>
        <v>CODE 0212F BLDG 1581</v>
      </c>
      <c r="H4236" t="str">
        <f>T("4141 W PATTON RD")</f>
        <v>4141 W PATTON RD</v>
      </c>
      <c r="I4236" t="str">
        <f t="shared" si="1660"/>
        <v>INDIAN HEAD</v>
      </c>
      <c r="J4236" t="str">
        <f t="shared" si="1661"/>
        <v>MD</v>
      </c>
      <c r="K4236" t="str">
        <f>T("3017446620")</f>
        <v>3017446620</v>
      </c>
      <c r="L4236" t="str">
        <f>T("3017446550")</f>
        <v>3017446550</v>
      </c>
    </row>
    <row r="4237" spans="1:12" x14ac:dyDescent="0.35">
      <c r="A4237" t="str">
        <f t="shared" si="1650"/>
        <v>NSWC IH DIV BOWIE</v>
      </c>
      <c r="B4237" t="str">
        <f>T("4072 NORTH JACKSON RD")</f>
        <v>4072 NORTH JACKSON RD</v>
      </c>
      <c r="C4237" t="str">
        <f>T("BLDG 1158 SUITE 106 CODE 02T")</f>
        <v>BLDG 1158 SUITE 106 CODE 02T</v>
      </c>
      <c r="D4237" t="str">
        <f t="shared" si="1657"/>
        <v>INDIAN HEAD</v>
      </c>
      <c r="E4237" t="str">
        <f t="shared" si="1658"/>
        <v>MD</v>
      </c>
      <c r="F4237" t="str">
        <f t="shared" si="1659"/>
        <v>206405115</v>
      </c>
      <c r="G4237" t="str">
        <f>T("CODE 0212G BLDG 1581")</f>
        <v>CODE 0212G BLDG 1581</v>
      </c>
      <c r="H4237" t="str">
        <f>T("4141 W PATTON RD")</f>
        <v>4141 W PATTON RD</v>
      </c>
      <c r="I4237" t="str">
        <f t="shared" si="1660"/>
        <v>INDIAN HEAD</v>
      </c>
      <c r="J4237" t="str">
        <f t="shared" si="1661"/>
        <v>MD</v>
      </c>
      <c r="K4237" t="str">
        <f>T("3017446620")</f>
        <v>3017446620</v>
      </c>
      <c r="L4237" t="str">
        <f>T("3017446684")</f>
        <v>3017446684</v>
      </c>
    </row>
    <row r="4238" spans="1:12" x14ac:dyDescent="0.35">
      <c r="A4238" t="str">
        <f t="shared" si="1650"/>
        <v>NSWC IH DIV BOWIE</v>
      </c>
      <c r="B4238" t="str">
        <f>T("4072 NORTH JACKSON ROAD")</f>
        <v>4072 NORTH JACKSON ROAD</v>
      </c>
      <c r="C4238" t="str">
        <f>T("CODE 024 BLDG 1558")</f>
        <v>CODE 024 BLDG 1558</v>
      </c>
      <c r="D4238" t="str">
        <f t="shared" si="1657"/>
        <v>INDIAN HEAD</v>
      </c>
      <c r="E4238" t="str">
        <f t="shared" si="1658"/>
        <v>MD</v>
      </c>
      <c r="F4238" t="str">
        <f t="shared" si="1659"/>
        <v>206405115</v>
      </c>
      <c r="G4238" t="str">
        <f>T("4072 N JACKSON RD")</f>
        <v>4072 N JACKSON RD</v>
      </c>
      <c r="H4238" t="str">
        <f>T("CODE 024 BLDG 1558 RM 132")</f>
        <v>CODE 024 BLDG 1558 RM 132</v>
      </c>
      <c r="I4238" t="str">
        <f t="shared" si="1660"/>
        <v>INDIAN HEAD</v>
      </c>
      <c r="J4238" t="str">
        <f t="shared" si="1661"/>
        <v>MD</v>
      </c>
      <c r="K4238" t="str">
        <f>T("3017446632")</f>
        <v>3017446632</v>
      </c>
      <c r="L4238" t="str">
        <f>T("3017444297")</f>
        <v>3017444297</v>
      </c>
    </row>
    <row r="4239" spans="1:12" x14ac:dyDescent="0.35">
      <c r="A4239" t="str">
        <f t="shared" si="1650"/>
        <v>NSWC IH DIV BOWIE</v>
      </c>
      <c r="B4239" t="str">
        <f>T("4072 NORTH JACKSON ROAD")</f>
        <v>4072 NORTH JACKSON ROAD</v>
      </c>
      <c r="C4239" t="str">
        <f>T("CODE 024 BLDG 1558")</f>
        <v>CODE 024 BLDG 1558</v>
      </c>
      <c r="D4239" t="str">
        <f t="shared" si="1657"/>
        <v>INDIAN HEAD</v>
      </c>
      <c r="E4239" t="str">
        <f t="shared" si="1658"/>
        <v>MD</v>
      </c>
      <c r="F4239" t="str">
        <f t="shared" si="1659"/>
        <v>206405115</v>
      </c>
      <c r="G4239" t="str">
        <f>T("4072 NORTH JACKSON ROAD")</f>
        <v>4072 NORTH JACKSON ROAD</v>
      </c>
      <c r="H4239" t="str">
        <f>T("CODE 024 BLDG 1558")</f>
        <v>CODE 024 BLDG 1558</v>
      </c>
      <c r="I4239" t="str">
        <f t="shared" si="1660"/>
        <v>INDIAN HEAD</v>
      </c>
      <c r="J4239" t="str">
        <f t="shared" si="1661"/>
        <v>MD</v>
      </c>
      <c r="K4239" t="str">
        <f>T("3017446547")</f>
        <v>3017446547</v>
      </c>
      <c r="L4239" t="str">
        <f>T("3017446671")</f>
        <v>3017446671</v>
      </c>
    </row>
    <row r="4240" spans="1:12" x14ac:dyDescent="0.35">
      <c r="A4240" t="str">
        <f t="shared" si="1650"/>
        <v>NSWC IH DIV BOWIE</v>
      </c>
      <c r="B4240" t="str">
        <f>T("4141 W PATTON RD")</f>
        <v>4141 W PATTON RD</v>
      </c>
      <c r="C4240" t="str">
        <f>T("BLDG 1581 RM130")</f>
        <v>BLDG 1581 RM130</v>
      </c>
      <c r="D4240" t="str">
        <f t="shared" si="1657"/>
        <v>INDIAN HEAD</v>
      </c>
      <c r="E4240" t="str">
        <f t="shared" si="1658"/>
        <v>MD</v>
      </c>
      <c r="F4240" t="str">
        <f>T("206405137")</f>
        <v>206405137</v>
      </c>
      <c r="G4240" t="str">
        <f>T("4141 W PATTON RD")</f>
        <v>4141 W PATTON RD</v>
      </c>
      <c r="H4240" t="str">
        <f>T("BLDG 1581 RM130")</f>
        <v>BLDG 1581 RM130</v>
      </c>
      <c r="I4240" t="str">
        <f t="shared" si="1660"/>
        <v>INDIAN HEAD</v>
      </c>
      <c r="J4240" t="str">
        <f t="shared" si="1661"/>
        <v>MD</v>
      </c>
      <c r="K4240" t="str">
        <f>T("3017446620")</f>
        <v>3017446620</v>
      </c>
      <c r="L4240" t="str">
        <f>T("3017446671")</f>
        <v>3017446671</v>
      </c>
    </row>
    <row r="4241" spans="1:12" x14ac:dyDescent="0.35">
      <c r="A4241" t="str">
        <f t="shared" si="1650"/>
        <v>NSWC IH DIV BOWIE</v>
      </c>
      <c r="B4241" t="str">
        <f>T("4217 HANLON ROAD SUITE 15")</f>
        <v>4217 HANLON ROAD SUITE 15</v>
      </c>
      <c r="C4241" t="str">
        <f>T("CODE SA BLDG 482")</f>
        <v>CODE SA BLDG 482</v>
      </c>
      <c r="D4241" t="str">
        <f t="shared" si="1657"/>
        <v>INDIAN HEAD</v>
      </c>
      <c r="E4241" t="str">
        <f t="shared" si="1658"/>
        <v>MD</v>
      </c>
      <c r="F4241" t="str">
        <f>T("206405113")</f>
        <v>206405113</v>
      </c>
      <c r="G4241" t="str">
        <f>T("4217 HANLON ROAD SUITE 15")</f>
        <v>4217 HANLON ROAD SUITE 15</v>
      </c>
      <c r="H4241" t="str">
        <f>T("CODE SA BLDG 482")</f>
        <v>CODE SA BLDG 482</v>
      </c>
      <c r="I4241" t="str">
        <f t="shared" si="1660"/>
        <v>INDIAN HEAD</v>
      </c>
      <c r="J4241" t="str">
        <f t="shared" si="1661"/>
        <v>MD</v>
      </c>
      <c r="K4241" t="str">
        <f>T("3017446533")</f>
        <v>3017446533</v>
      </c>
      <c r="L4241" t="str">
        <f>T("3017446799")</f>
        <v>3017446799</v>
      </c>
    </row>
    <row r="4242" spans="1:12" x14ac:dyDescent="0.35">
      <c r="A4242" t="str">
        <f t="shared" si="1650"/>
        <v>NSWC IH DIV BOWIE</v>
      </c>
      <c r="B4242" t="str">
        <f>T("4247 S PATTERSON ROAD")</f>
        <v>4247 S PATTERSON ROAD</v>
      </c>
      <c r="C4242" t="str">
        <f>T("CODE ACST BLDG D326")</f>
        <v>CODE ACST BLDG D326</v>
      </c>
      <c r="D4242" t="str">
        <f t="shared" si="1657"/>
        <v>INDIAN HEAD</v>
      </c>
      <c r="E4242" t="str">
        <f t="shared" si="1658"/>
        <v>MD</v>
      </c>
      <c r="F4242" t="str">
        <f>T("206405134")</f>
        <v>206405134</v>
      </c>
      <c r="G4242" t="str">
        <f>T("4247 S PATTERSON ROAD")</f>
        <v>4247 S PATTERSON ROAD</v>
      </c>
      <c r="H4242" t="str">
        <f>T("CODE ACST BLDG D326")</f>
        <v>CODE ACST BLDG D326</v>
      </c>
      <c r="I4242" t="str">
        <f t="shared" si="1660"/>
        <v>INDIAN HEAD</v>
      </c>
      <c r="J4242" t="str">
        <f t="shared" si="1661"/>
        <v>MD</v>
      </c>
      <c r="K4242" t="str">
        <f>T("3017444707")</f>
        <v>3017444707</v>
      </c>
      <c r="L4242" t="str">
        <f>T("3017444925")</f>
        <v>3017444925</v>
      </c>
    </row>
    <row r="4243" spans="1:12" x14ac:dyDescent="0.35">
      <c r="A4243" t="str">
        <f t="shared" si="1650"/>
        <v>NSWC IH DIV BOWIE</v>
      </c>
      <c r="B4243" t="str">
        <f>T("4247 S PATTERSON ROAD")</f>
        <v>4247 S PATTERSON ROAD</v>
      </c>
      <c r="C4243" t="str">
        <f>T("CODE CAF2 ROOM 223")</f>
        <v>CODE CAF2 ROOM 223</v>
      </c>
      <c r="D4243" t="str">
        <f t="shared" si="1657"/>
        <v>INDIAN HEAD</v>
      </c>
      <c r="E4243" t="str">
        <f t="shared" si="1658"/>
        <v>MD</v>
      </c>
      <c r="F4243" t="str">
        <f>T("206405134")</f>
        <v>206405134</v>
      </c>
      <c r="G4243" t="str">
        <f>T("4247 S PATTERSON ROAD")</f>
        <v>4247 S PATTERSON ROAD</v>
      </c>
      <c r="H4243" t="str">
        <f>T("CODE CAF2 ROOM 223")</f>
        <v>CODE CAF2 ROOM 223</v>
      </c>
      <c r="I4243" t="str">
        <f t="shared" si="1660"/>
        <v>INDIAN HEAD</v>
      </c>
      <c r="J4243" t="str">
        <f t="shared" si="1661"/>
        <v>MD</v>
      </c>
      <c r="K4243" t="str">
        <f>T("301744000")</f>
        <v>301744000</v>
      </c>
      <c r="L4243" t="str">
        <f>T("3017440000")</f>
        <v>3017440000</v>
      </c>
    </row>
    <row r="4244" spans="1:12" x14ac:dyDescent="0.35">
      <c r="A4244" t="str">
        <f t="shared" si="1650"/>
        <v>NSWC IH DIV BOWIE</v>
      </c>
      <c r="B4244" t="str">
        <f>T("4393 BENSON ROAD")</f>
        <v>4393 BENSON ROAD</v>
      </c>
      <c r="C4244" t="str">
        <f>T("CODE E26 BLDG 1557")</f>
        <v>CODE E26 BLDG 1557</v>
      </c>
      <c r="D4244" t="str">
        <f t="shared" si="1657"/>
        <v>INDIAN HEAD</v>
      </c>
      <c r="E4244" t="str">
        <f t="shared" si="1658"/>
        <v>MD</v>
      </c>
      <c r="F4244" t="str">
        <f>T("206405092")</f>
        <v>206405092</v>
      </c>
      <c r="G4244" t="str">
        <f>T("4393 BENSON ROAD")</f>
        <v>4393 BENSON ROAD</v>
      </c>
      <c r="H4244" t="str">
        <f>T("CODE E26 BLDG 1557")</f>
        <v>CODE E26 BLDG 1557</v>
      </c>
      <c r="I4244" t="str">
        <f t="shared" si="1660"/>
        <v>INDIAN HEAD</v>
      </c>
      <c r="J4244" t="str">
        <f t="shared" si="1661"/>
        <v>MD</v>
      </c>
      <c r="K4244" t="str">
        <f>T("3017440000")</f>
        <v>3017440000</v>
      </c>
      <c r="L4244" t="str">
        <f>T("3017440000")</f>
        <v>3017440000</v>
      </c>
    </row>
    <row r="4245" spans="1:12" x14ac:dyDescent="0.35">
      <c r="A4245" t="str">
        <f t="shared" si="1650"/>
        <v>NSWC IH DIV BOWIE</v>
      </c>
      <c r="B4245" t="str">
        <f>T("BLDG 600 CODE R1")</f>
        <v>BLDG 600 CODE R1</v>
      </c>
      <c r="C4245" t="str">
        <f>T("4104 EVANS WAY SUITE 102")</f>
        <v>4104 EVANS WAY SUITE 102</v>
      </c>
      <c r="D4245" t="str">
        <f t="shared" si="1657"/>
        <v>INDIAN HEAD</v>
      </c>
      <c r="E4245" t="str">
        <f t="shared" si="1658"/>
        <v>MD</v>
      </c>
      <c r="F4245" t="str">
        <f>T("206405102")</f>
        <v>206405102</v>
      </c>
      <c r="G4245" t="str">
        <f>T("BLDG 600 CODE R1")</f>
        <v>BLDG 600 CODE R1</v>
      </c>
      <c r="H4245" t="str">
        <f>T("4104 EVANS WAY SUITE 102")</f>
        <v>4104 EVANS WAY SUITE 102</v>
      </c>
      <c r="I4245" t="str">
        <f t="shared" si="1660"/>
        <v>INDIAN HEAD</v>
      </c>
      <c r="J4245" t="str">
        <f t="shared" si="1661"/>
        <v>MD</v>
      </c>
      <c r="K4245" t="str">
        <f>T("3017444445")</f>
        <v>3017444445</v>
      </c>
      <c r="L4245" t="str">
        <f>T("3017446776")</f>
        <v>3017446776</v>
      </c>
    </row>
    <row r="4246" spans="1:12" x14ac:dyDescent="0.35">
      <c r="A4246" t="str">
        <f t="shared" si="1650"/>
        <v>NSWC IH DIV BOWIE</v>
      </c>
      <c r="B4246" t="str">
        <f>T("BLDG 600 CODE R1")</f>
        <v>BLDG 600 CODE R1</v>
      </c>
      <c r="C4246" t="str">
        <f>T("4104 EVANS WAY SUITE 102")</f>
        <v>4104 EVANS WAY SUITE 102</v>
      </c>
      <c r="D4246" t="str">
        <f t="shared" si="1657"/>
        <v>INDIAN HEAD</v>
      </c>
      <c r="E4246" t="str">
        <f t="shared" si="1658"/>
        <v>MD</v>
      </c>
      <c r="F4246" t="str">
        <f>T("206405102")</f>
        <v>206405102</v>
      </c>
      <c r="G4246" t="str">
        <f>T("CODE R14JP, BLDG 1864")</f>
        <v>CODE R14JP, BLDG 1864</v>
      </c>
      <c r="H4246" t="str">
        <f>T("5326 WHITMAN CT STE 115")</f>
        <v>5326 WHITMAN CT STE 115</v>
      </c>
      <c r="I4246" t="str">
        <f t="shared" si="1660"/>
        <v>INDIAN HEAD</v>
      </c>
      <c r="J4246" t="str">
        <f t="shared" si="1661"/>
        <v>MD</v>
      </c>
      <c r="K4246" t="str">
        <f>T("3017444865")</f>
        <v>3017444865</v>
      </c>
      <c r="L4246" t="str">
        <f>T("3017444577")</f>
        <v>3017444577</v>
      </c>
    </row>
    <row r="4247" spans="1:12" x14ac:dyDescent="0.35">
      <c r="A4247" t="str">
        <f t="shared" si="1650"/>
        <v>NSWC IH DIV BOWIE</v>
      </c>
      <c r="B4247" t="str">
        <f>T("BLDG 61N 3RD AVE")</f>
        <v>BLDG 61N 3RD AVE</v>
      </c>
      <c r="C4247" t="str">
        <f>T("")</f>
        <v/>
      </c>
      <c r="D4247" t="str">
        <f>T("PICATINNY")</f>
        <v>PICATINNY</v>
      </c>
      <c r="E4247" t="str">
        <f>T("NJ")</f>
        <v>NJ</v>
      </c>
      <c r="F4247" t="str">
        <f>T("078060000")</f>
        <v>078060000</v>
      </c>
      <c r="G4247" t="str">
        <f>T("BLDG 61N 3RD AVE")</f>
        <v>BLDG 61N 3RD AVE</v>
      </c>
      <c r="H4247" t="str">
        <f>T("")</f>
        <v/>
      </c>
      <c r="I4247" t="str">
        <f>T("PICATINNY")</f>
        <v>PICATINNY</v>
      </c>
      <c r="J4247" t="str">
        <f>T("NJ")</f>
        <v>NJ</v>
      </c>
      <c r="K4247" t="str">
        <f>T("000000000000000000")</f>
        <v>000000000000000000</v>
      </c>
      <c r="L4247" t="str">
        <f>T("9737246137")</f>
        <v>9737246137</v>
      </c>
    </row>
    <row r="4248" spans="1:12" x14ac:dyDescent="0.35">
      <c r="A4248" t="str">
        <f t="shared" si="1650"/>
        <v>NSWC IH DIV BOWIE</v>
      </c>
      <c r="B4248" t="str">
        <f>T("BLDG 61N RM 201")</f>
        <v>BLDG 61N RM 201</v>
      </c>
      <c r="C4248" t="str">
        <f>T("3RD AVENUE")</f>
        <v>3RD AVENUE</v>
      </c>
      <c r="D4248" t="str">
        <f>T("PICATINNY")</f>
        <v>PICATINNY</v>
      </c>
      <c r="E4248" t="str">
        <f>T("NJ")</f>
        <v>NJ</v>
      </c>
      <c r="F4248" t="str">
        <f>T("078060000")</f>
        <v>078060000</v>
      </c>
      <c r="G4248" t="str">
        <f>T("BLDG 61N RM 201")</f>
        <v>BLDG 61N RM 201</v>
      </c>
      <c r="H4248" t="str">
        <f>T("3RD AVENUE")</f>
        <v>3RD AVENUE</v>
      </c>
      <c r="I4248" t="str">
        <f>T("PICATINNY")</f>
        <v>PICATINNY</v>
      </c>
      <c r="J4248" t="str">
        <f>T("NJ")</f>
        <v>NJ</v>
      </c>
      <c r="K4248" t="str">
        <f>T("973-724-4757")</f>
        <v>973-724-4757</v>
      </c>
      <c r="L4248" t="str">
        <f>T("9737244325")</f>
        <v>9737244325</v>
      </c>
    </row>
    <row r="4249" spans="1:12" x14ac:dyDescent="0.35">
      <c r="A4249" t="str">
        <f t="shared" si="1650"/>
        <v>NSWC IH DIV BOWIE</v>
      </c>
      <c r="B4249" t="str">
        <f>T("BLDG 61N RM 201")</f>
        <v>BLDG 61N RM 201</v>
      </c>
      <c r="C4249" t="str">
        <f>T("3RD AVENUE")</f>
        <v>3RD AVENUE</v>
      </c>
      <c r="D4249" t="str">
        <f>T("PICATINNY")</f>
        <v>PICATINNY</v>
      </c>
      <c r="E4249" t="str">
        <f>T("NJ")</f>
        <v>NJ</v>
      </c>
      <c r="F4249" t="str">
        <f>T("078060000")</f>
        <v>078060000</v>
      </c>
      <c r="G4249" t="str">
        <f>T("BUILDING 61N")</f>
        <v>BUILDING 61N</v>
      </c>
      <c r="H4249" t="str">
        <f>T("3RD AVE")</f>
        <v>3RD AVE</v>
      </c>
      <c r="I4249" t="str">
        <f>T("PICATINNY")</f>
        <v>PICATINNY</v>
      </c>
      <c r="J4249" t="str">
        <f>T("NJ")</f>
        <v>NJ</v>
      </c>
      <c r="K4249" t="str">
        <f>T("000000000000000000")</f>
        <v>000000000000000000</v>
      </c>
      <c r="L4249" t="str">
        <f>T("9737248947")</f>
        <v>9737248947</v>
      </c>
    </row>
    <row r="4250" spans="1:12" x14ac:dyDescent="0.35">
      <c r="A4250" t="str">
        <f t="shared" ref="A4250:A4281" si="1662">T("NSWC IH DIV BOWIE")</f>
        <v>NSWC IH DIV BOWIE</v>
      </c>
      <c r="B4250" t="str">
        <f>T("CODE 00M")</f>
        <v>CODE 00M</v>
      </c>
      <c r="C4250" t="str">
        <f>T("BUILDING 116")</f>
        <v>BUILDING 116</v>
      </c>
      <c r="D4250" t="str">
        <f t="shared" ref="D4250:D4287" si="1663">T("INDIAN HEAD")</f>
        <v>INDIAN HEAD</v>
      </c>
      <c r="E4250" t="str">
        <f t="shared" ref="E4250:E4287" si="1664">T("MD")</f>
        <v>MD</v>
      </c>
      <c r="F4250" t="str">
        <f>T("206400000")</f>
        <v>206400000</v>
      </c>
      <c r="G4250" t="str">
        <f>T("CODE 00M")</f>
        <v>CODE 00M</v>
      </c>
      <c r="H4250" t="str">
        <f>T("BUILDING 116")</f>
        <v>BUILDING 116</v>
      </c>
      <c r="I4250" t="str">
        <f t="shared" ref="I4250:I4287" si="1665">T("INDIAN HEAD")</f>
        <v>INDIAN HEAD</v>
      </c>
      <c r="J4250" t="str">
        <f t="shared" ref="J4250:J4287" si="1666">T("MD")</f>
        <v>MD</v>
      </c>
      <c r="K4250" t="str">
        <f>T("3014440000")</f>
        <v>3014440000</v>
      </c>
      <c r="L4250" t="str">
        <f>T("3017444984")</f>
        <v>3017444984</v>
      </c>
    </row>
    <row r="4251" spans="1:12" x14ac:dyDescent="0.35">
      <c r="A4251" t="str">
        <f t="shared" si="1662"/>
        <v>NSWC IH DIV BOWIE</v>
      </c>
      <c r="B4251" t="str">
        <f>T("CODE 00M BLDG 116")</f>
        <v>CODE 00M BLDG 116</v>
      </c>
      <c r="C4251" t="str">
        <f>T("4522 MCMAHON ROAD")</f>
        <v>4522 MCMAHON ROAD</v>
      </c>
      <c r="D4251" t="str">
        <f t="shared" si="1663"/>
        <v>INDIAN HEAD</v>
      </c>
      <c r="E4251" t="str">
        <f t="shared" si="1664"/>
        <v>MD</v>
      </c>
      <c r="F4251" t="str">
        <f t="shared" ref="F4251:F4266" si="1667">T("206405125")</f>
        <v>206405125</v>
      </c>
      <c r="G4251" t="str">
        <f>T("CODE 00M BLDG 116")</f>
        <v>CODE 00M BLDG 116</v>
      </c>
      <c r="H4251" t="str">
        <f>T("4522 MCMAHON RD")</f>
        <v>4522 MCMAHON RD</v>
      </c>
      <c r="I4251" t="str">
        <f t="shared" si="1665"/>
        <v>INDIAN HEAD</v>
      </c>
      <c r="J4251" t="str">
        <f t="shared" si="1666"/>
        <v>MD</v>
      </c>
      <c r="K4251" t="str">
        <f>T("3017444555")</f>
        <v>3017444555</v>
      </c>
      <c r="L4251" t="str">
        <f>T("3017441020")</f>
        <v>3017441020</v>
      </c>
    </row>
    <row r="4252" spans="1:12" x14ac:dyDescent="0.35">
      <c r="A4252" t="str">
        <f t="shared" si="1662"/>
        <v>NSWC IH DIV BOWIE</v>
      </c>
      <c r="B4252" t="str">
        <f>T("CODE 00M BLDG 116")</f>
        <v>CODE 00M BLDG 116</v>
      </c>
      <c r="C4252" t="str">
        <f>T("4522 MCMAHON ROAD")</f>
        <v>4522 MCMAHON ROAD</v>
      </c>
      <c r="D4252" t="str">
        <f t="shared" si="1663"/>
        <v>INDIAN HEAD</v>
      </c>
      <c r="E4252" t="str">
        <f t="shared" si="1664"/>
        <v>MD</v>
      </c>
      <c r="F4252" t="str">
        <f t="shared" si="1667"/>
        <v>206405125</v>
      </c>
      <c r="G4252" t="str">
        <f>T("CODE 00M BLDG 116")</f>
        <v>CODE 00M BLDG 116</v>
      </c>
      <c r="H4252" t="str">
        <f>T("4522 MCMAHON ROAD")</f>
        <v>4522 MCMAHON ROAD</v>
      </c>
      <c r="I4252" t="str">
        <f t="shared" si="1665"/>
        <v>INDIAN HEAD</v>
      </c>
      <c r="J4252" t="str">
        <f t="shared" si="1666"/>
        <v>MD</v>
      </c>
      <c r="K4252" t="str">
        <f>T("301-744-4555")</f>
        <v>301-744-4555</v>
      </c>
      <c r="L4252" t="str">
        <f>T("3017444238")</f>
        <v>3017444238</v>
      </c>
    </row>
    <row r="4253" spans="1:12" x14ac:dyDescent="0.35">
      <c r="A4253" t="str">
        <f t="shared" si="1662"/>
        <v>NSWC IH DIV BOWIE</v>
      </c>
      <c r="B4253" t="str">
        <f t="shared" ref="B4253:B4260" si="1668">T("CODE 00M1 BLDG 116")</f>
        <v>CODE 00M1 BLDG 116</v>
      </c>
      <c r="C4253" t="str">
        <f t="shared" ref="C4253:C4260" si="1669">T("4522 MCMAHON RD")</f>
        <v>4522 MCMAHON RD</v>
      </c>
      <c r="D4253" t="str">
        <f t="shared" si="1663"/>
        <v>INDIAN HEAD</v>
      </c>
      <c r="E4253" t="str">
        <f t="shared" si="1664"/>
        <v>MD</v>
      </c>
      <c r="F4253" t="str">
        <f t="shared" si="1667"/>
        <v>206405125</v>
      </c>
      <c r="G4253" t="str">
        <f>T("4522 MCMAHON RD")</f>
        <v>4522 MCMAHON RD</v>
      </c>
      <c r="H4253" t="str">
        <f>T("")</f>
        <v/>
      </c>
      <c r="I4253" t="str">
        <f t="shared" si="1665"/>
        <v>INDIAN HEAD</v>
      </c>
      <c r="J4253" t="str">
        <f t="shared" si="1666"/>
        <v>MD</v>
      </c>
      <c r="K4253" t="str">
        <f>T("3017440000")</f>
        <v>3017440000</v>
      </c>
      <c r="L4253" t="str">
        <f>T("3017440000")</f>
        <v>3017440000</v>
      </c>
    </row>
    <row r="4254" spans="1:12" x14ac:dyDescent="0.35">
      <c r="A4254" t="str">
        <f t="shared" si="1662"/>
        <v>NSWC IH DIV BOWIE</v>
      </c>
      <c r="B4254" t="str">
        <f t="shared" si="1668"/>
        <v>CODE 00M1 BLDG 116</v>
      </c>
      <c r="C4254" t="str">
        <f t="shared" si="1669"/>
        <v>4522 MCMAHON RD</v>
      </c>
      <c r="D4254" t="str">
        <f t="shared" si="1663"/>
        <v>INDIAN HEAD</v>
      </c>
      <c r="E4254" t="str">
        <f t="shared" si="1664"/>
        <v>MD</v>
      </c>
      <c r="F4254" t="str">
        <f t="shared" si="1667"/>
        <v>206405125</v>
      </c>
      <c r="G4254" t="str">
        <f>T("CODE 00M BLDG 116")</f>
        <v>CODE 00M BLDG 116</v>
      </c>
      <c r="H4254" t="str">
        <f>T("4522 MCMAHON RD")</f>
        <v>4522 MCMAHON RD</v>
      </c>
      <c r="I4254" t="str">
        <f t="shared" si="1665"/>
        <v>INDIAN HEAD</v>
      </c>
      <c r="J4254" t="str">
        <f t="shared" si="1666"/>
        <v>MD</v>
      </c>
      <c r="K4254" t="str">
        <f>T("3017440000")</f>
        <v>3017440000</v>
      </c>
      <c r="L4254" t="str">
        <f>T("3017441702")</f>
        <v>3017441702</v>
      </c>
    </row>
    <row r="4255" spans="1:12" x14ac:dyDescent="0.35">
      <c r="A4255" t="str">
        <f t="shared" si="1662"/>
        <v>NSWC IH DIV BOWIE</v>
      </c>
      <c r="B4255" t="str">
        <f t="shared" si="1668"/>
        <v>CODE 00M1 BLDG 116</v>
      </c>
      <c r="C4255" t="str">
        <f t="shared" si="1669"/>
        <v>4522 MCMAHON RD</v>
      </c>
      <c r="D4255" t="str">
        <f t="shared" si="1663"/>
        <v>INDIAN HEAD</v>
      </c>
      <c r="E4255" t="str">
        <f t="shared" si="1664"/>
        <v>MD</v>
      </c>
      <c r="F4255" t="str">
        <f t="shared" si="1667"/>
        <v>206405125</v>
      </c>
      <c r="G4255" t="str">
        <f>T("CODE 00M BLDG 1601")</f>
        <v>CODE 00M BLDG 1601</v>
      </c>
      <c r="H4255" t="str">
        <f>T("4522 MCMAHON RD")</f>
        <v>4522 MCMAHON RD</v>
      </c>
      <c r="I4255" t="str">
        <f t="shared" si="1665"/>
        <v>INDIAN HEAD</v>
      </c>
      <c r="J4255" t="str">
        <f t="shared" si="1666"/>
        <v>MD</v>
      </c>
      <c r="K4255" t="str">
        <f>T("3017440000")</f>
        <v>3017440000</v>
      </c>
      <c r="L4255" t="str">
        <f>T("3017445118")</f>
        <v>3017445118</v>
      </c>
    </row>
    <row r="4256" spans="1:12" x14ac:dyDescent="0.35">
      <c r="A4256" t="str">
        <f t="shared" si="1662"/>
        <v>NSWC IH DIV BOWIE</v>
      </c>
      <c r="B4256" t="str">
        <f t="shared" si="1668"/>
        <v>CODE 00M1 BLDG 116</v>
      </c>
      <c r="C4256" t="str">
        <f t="shared" si="1669"/>
        <v>4522 MCMAHON RD</v>
      </c>
      <c r="D4256" t="str">
        <f t="shared" si="1663"/>
        <v>INDIAN HEAD</v>
      </c>
      <c r="E4256" t="str">
        <f t="shared" si="1664"/>
        <v>MD</v>
      </c>
      <c r="F4256" t="str">
        <f t="shared" si="1667"/>
        <v>206405125</v>
      </c>
      <c r="G4256" t="str">
        <f>T("CODE 00M BLDG 2008")</f>
        <v>CODE 00M BLDG 2008</v>
      </c>
      <c r="H4256" t="str">
        <f>T("2008 STUMP NECK RD")</f>
        <v>2008 STUMP NECK RD</v>
      </c>
      <c r="I4256" t="str">
        <f t="shared" si="1665"/>
        <v>INDIAN HEAD</v>
      </c>
      <c r="J4256" t="str">
        <f t="shared" si="1666"/>
        <v>MD</v>
      </c>
      <c r="K4256" t="str">
        <f>T("3017440000")</f>
        <v>3017440000</v>
      </c>
      <c r="L4256" t="str">
        <f>T("3017445120")</f>
        <v>3017445120</v>
      </c>
    </row>
    <row r="4257" spans="1:12" x14ac:dyDescent="0.35">
      <c r="A4257" t="str">
        <f t="shared" si="1662"/>
        <v>NSWC IH DIV BOWIE</v>
      </c>
      <c r="B4257" t="str">
        <f t="shared" si="1668"/>
        <v>CODE 00M1 BLDG 116</v>
      </c>
      <c r="C4257" t="str">
        <f t="shared" si="1669"/>
        <v>4522 MCMAHON RD</v>
      </c>
      <c r="D4257" t="str">
        <f t="shared" si="1663"/>
        <v>INDIAN HEAD</v>
      </c>
      <c r="E4257" t="str">
        <f t="shared" si="1664"/>
        <v>MD</v>
      </c>
      <c r="F4257" t="str">
        <f t="shared" si="1667"/>
        <v>206405125</v>
      </c>
      <c r="G4257" t="str">
        <f>T("CODE 00M BLDG 2008")</f>
        <v>CODE 00M BLDG 2008</v>
      </c>
      <c r="H4257" t="str">
        <f>T("2008 STUMP NECK RD")</f>
        <v>2008 STUMP NECK RD</v>
      </c>
      <c r="I4257" t="str">
        <f t="shared" si="1665"/>
        <v>INDIAN HEAD</v>
      </c>
      <c r="J4257" t="str">
        <f t="shared" si="1666"/>
        <v>MD</v>
      </c>
      <c r="K4257" t="str">
        <f>T("3017440000")</f>
        <v>3017440000</v>
      </c>
      <c r="L4257" t="str">
        <f>T("3017445382")</f>
        <v>3017445382</v>
      </c>
    </row>
    <row r="4258" spans="1:12" x14ac:dyDescent="0.35">
      <c r="A4258" t="str">
        <f t="shared" si="1662"/>
        <v>NSWC IH DIV BOWIE</v>
      </c>
      <c r="B4258" t="str">
        <f t="shared" si="1668"/>
        <v>CODE 00M1 BLDG 116</v>
      </c>
      <c r="C4258" t="str">
        <f t="shared" si="1669"/>
        <v>4522 MCMAHON RD</v>
      </c>
      <c r="D4258" t="str">
        <f t="shared" si="1663"/>
        <v>INDIAN HEAD</v>
      </c>
      <c r="E4258" t="str">
        <f t="shared" si="1664"/>
        <v>MD</v>
      </c>
      <c r="F4258" t="str">
        <f t="shared" si="1667"/>
        <v>206405125</v>
      </c>
      <c r="G4258" t="str">
        <f>T("CODE 00M BLDG 2008")</f>
        <v>CODE 00M BLDG 2008</v>
      </c>
      <c r="H4258" t="str">
        <f>T("2008 STUMP NECK RD")</f>
        <v>2008 STUMP NECK RD</v>
      </c>
      <c r="I4258" t="str">
        <f t="shared" si="1665"/>
        <v>INDIAN HEAD</v>
      </c>
      <c r="J4258" t="str">
        <f t="shared" si="1666"/>
        <v>MD</v>
      </c>
      <c r="K4258" t="str">
        <f>T("3017440000")</f>
        <v>3017440000</v>
      </c>
      <c r="L4258" t="str">
        <f>T("3017446857")</f>
        <v>3017446857</v>
      </c>
    </row>
    <row r="4259" spans="1:12" x14ac:dyDescent="0.35">
      <c r="A4259" t="str">
        <f t="shared" si="1662"/>
        <v>NSWC IH DIV BOWIE</v>
      </c>
      <c r="B4259" t="str">
        <f t="shared" si="1668"/>
        <v>CODE 00M1 BLDG 116</v>
      </c>
      <c r="C4259" t="str">
        <f t="shared" si="1669"/>
        <v>4522 MCMAHON RD</v>
      </c>
      <c r="D4259" t="str">
        <f t="shared" si="1663"/>
        <v>INDIAN HEAD</v>
      </c>
      <c r="E4259" t="str">
        <f t="shared" si="1664"/>
        <v>MD</v>
      </c>
      <c r="F4259" t="str">
        <f t="shared" si="1667"/>
        <v>206405125</v>
      </c>
      <c r="G4259" t="str">
        <f>T("CODE 00M1 BLDG 116")</f>
        <v>CODE 00M1 BLDG 116</v>
      </c>
      <c r="H4259" t="str">
        <f t="shared" ref="H4259:H4264" si="1670">T("4522 MCMAHON RD")</f>
        <v>4522 MCMAHON RD</v>
      </c>
      <c r="I4259" t="str">
        <f t="shared" si="1665"/>
        <v>INDIAN HEAD</v>
      </c>
      <c r="J4259" t="str">
        <f t="shared" si="1666"/>
        <v>MD</v>
      </c>
      <c r="K4259" t="str">
        <f>T("301-744-4555")</f>
        <v>301-744-4555</v>
      </c>
      <c r="L4259" t="str">
        <f>T("3017444984")</f>
        <v>3017444984</v>
      </c>
    </row>
    <row r="4260" spans="1:12" x14ac:dyDescent="0.35">
      <c r="A4260" t="str">
        <f t="shared" si="1662"/>
        <v>NSWC IH DIV BOWIE</v>
      </c>
      <c r="B4260" t="str">
        <f t="shared" si="1668"/>
        <v>CODE 00M1 BLDG 116</v>
      </c>
      <c r="C4260" t="str">
        <f t="shared" si="1669"/>
        <v>4522 MCMAHON RD</v>
      </c>
      <c r="D4260" t="str">
        <f t="shared" si="1663"/>
        <v>INDIAN HEAD</v>
      </c>
      <c r="E4260" t="str">
        <f t="shared" si="1664"/>
        <v>MD</v>
      </c>
      <c r="F4260" t="str">
        <f t="shared" si="1667"/>
        <v>206405125</v>
      </c>
      <c r="G4260" t="str">
        <f>T("CODE 00M1 BLDG 116")</f>
        <v>CODE 00M1 BLDG 116</v>
      </c>
      <c r="H4260" t="str">
        <f t="shared" si="1670"/>
        <v>4522 MCMAHON RD</v>
      </c>
      <c r="I4260" t="str">
        <f t="shared" si="1665"/>
        <v>INDIAN HEAD</v>
      </c>
      <c r="J4260" t="str">
        <f t="shared" si="1666"/>
        <v>MD</v>
      </c>
      <c r="K4260" t="str">
        <f>T("3017444555")</f>
        <v>3017444555</v>
      </c>
      <c r="L4260" t="str">
        <f>T("3017440000")</f>
        <v>3017440000</v>
      </c>
    </row>
    <row r="4261" spans="1:12" x14ac:dyDescent="0.35">
      <c r="A4261" t="str">
        <f t="shared" si="1662"/>
        <v>NSWC IH DIV BOWIE</v>
      </c>
      <c r="B4261" t="str">
        <f t="shared" ref="B4261:B4266" si="1671">T("CODE 00M1, BLDG 116")</f>
        <v>CODE 00M1, BLDG 116</v>
      </c>
      <c r="C4261" t="str">
        <f t="shared" ref="C4261:C4266" si="1672">T("4522 MCMAHON ROAD")</f>
        <v>4522 MCMAHON ROAD</v>
      </c>
      <c r="D4261" t="str">
        <f t="shared" si="1663"/>
        <v>INDIAN HEAD</v>
      </c>
      <c r="E4261" t="str">
        <f t="shared" si="1664"/>
        <v>MD</v>
      </c>
      <c r="F4261" t="str">
        <f t="shared" si="1667"/>
        <v>206405125</v>
      </c>
      <c r="G4261" t="str">
        <f>T("CODE 00M BLDG 1601")</f>
        <v>CODE 00M BLDG 1601</v>
      </c>
      <c r="H4261" t="str">
        <f t="shared" si="1670"/>
        <v>4522 MCMAHON RD</v>
      </c>
      <c r="I4261" t="str">
        <f t="shared" si="1665"/>
        <v>INDIAN HEAD</v>
      </c>
      <c r="J4261" t="str">
        <f t="shared" si="1666"/>
        <v>MD</v>
      </c>
      <c r="K4261" t="str">
        <f>T("3017440000")</f>
        <v>3017440000</v>
      </c>
      <c r="L4261" t="str">
        <f>T("3017445118")</f>
        <v>3017445118</v>
      </c>
    </row>
    <row r="4262" spans="1:12" x14ac:dyDescent="0.35">
      <c r="A4262" t="str">
        <f t="shared" si="1662"/>
        <v>NSWC IH DIV BOWIE</v>
      </c>
      <c r="B4262" t="str">
        <f t="shared" si="1671"/>
        <v>CODE 00M1, BLDG 116</v>
      </c>
      <c r="C4262" t="str">
        <f t="shared" si="1672"/>
        <v>4522 MCMAHON ROAD</v>
      </c>
      <c r="D4262" t="str">
        <f t="shared" si="1663"/>
        <v>INDIAN HEAD</v>
      </c>
      <c r="E4262" t="str">
        <f t="shared" si="1664"/>
        <v>MD</v>
      </c>
      <c r="F4262" t="str">
        <f t="shared" si="1667"/>
        <v>206405125</v>
      </c>
      <c r="G4262" t="str">
        <f>T("CODE 00M1 BLDG 116")</f>
        <v>CODE 00M1 BLDG 116</v>
      </c>
      <c r="H4262" t="str">
        <f t="shared" si="1670"/>
        <v>4522 MCMAHON RD</v>
      </c>
      <c r="I4262" t="str">
        <f t="shared" si="1665"/>
        <v>INDIAN HEAD</v>
      </c>
      <c r="J4262" t="str">
        <f t="shared" si="1666"/>
        <v>MD</v>
      </c>
      <c r="K4262" t="str">
        <f>T("3017440000")</f>
        <v>3017440000</v>
      </c>
      <c r="L4262" t="str">
        <f>T("3017440000")</f>
        <v>3017440000</v>
      </c>
    </row>
    <row r="4263" spans="1:12" x14ac:dyDescent="0.35">
      <c r="A4263" t="str">
        <f t="shared" si="1662"/>
        <v>NSWC IH DIV BOWIE</v>
      </c>
      <c r="B4263" t="str">
        <f t="shared" si="1671"/>
        <v>CODE 00M1, BLDG 116</v>
      </c>
      <c r="C4263" t="str">
        <f t="shared" si="1672"/>
        <v>4522 MCMAHON ROAD</v>
      </c>
      <c r="D4263" t="str">
        <f t="shared" si="1663"/>
        <v>INDIAN HEAD</v>
      </c>
      <c r="E4263" t="str">
        <f t="shared" si="1664"/>
        <v>MD</v>
      </c>
      <c r="F4263" t="str">
        <f t="shared" si="1667"/>
        <v>206405125</v>
      </c>
      <c r="G4263" t="str">
        <f>T("CODE 00M1 BLDG 116")</f>
        <v>CODE 00M1 BLDG 116</v>
      </c>
      <c r="H4263" t="str">
        <f t="shared" si="1670"/>
        <v>4522 MCMAHON RD</v>
      </c>
      <c r="I4263" t="str">
        <f t="shared" si="1665"/>
        <v>INDIAN HEAD</v>
      </c>
      <c r="J4263" t="str">
        <f t="shared" si="1666"/>
        <v>MD</v>
      </c>
      <c r="K4263" t="str">
        <f>T("3017444555")</f>
        <v>3017444555</v>
      </c>
      <c r="L4263" t="str">
        <f>T("3017444546")</f>
        <v>3017444546</v>
      </c>
    </row>
    <row r="4264" spans="1:12" x14ac:dyDescent="0.35">
      <c r="A4264" t="str">
        <f t="shared" si="1662"/>
        <v>NSWC IH DIV BOWIE</v>
      </c>
      <c r="B4264" t="str">
        <f t="shared" si="1671"/>
        <v>CODE 00M1, BLDG 116</v>
      </c>
      <c r="C4264" t="str">
        <f t="shared" si="1672"/>
        <v>4522 MCMAHON ROAD</v>
      </c>
      <c r="D4264" t="str">
        <f t="shared" si="1663"/>
        <v>INDIAN HEAD</v>
      </c>
      <c r="E4264" t="str">
        <f t="shared" si="1664"/>
        <v>MD</v>
      </c>
      <c r="F4264" t="str">
        <f t="shared" si="1667"/>
        <v>206405125</v>
      </c>
      <c r="G4264" t="str">
        <f>T("CODE 00M1 BLDG 116")</f>
        <v>CODE 00M1 BLDG 116</v>
      </c>
      <c r="H4264" t="str">
        <f t="shared" si="1670"/>
        <v>4522 MCMAHON RD</v>
      </c>
      <c r="I4264" t="str">
        <f t="shared" si="1665"/>
        <v>INDIAN HEAD</v>
      </c>
      <c r="J4264" t="str">
        <f t="shared" si="1666"/>
        <v>MD</v>
      </c>
      <c r="K4264" t="str">
        <f>T("3017444555")</f>
        <v>3017444555</v>
      </c>
      <c r="L4264" t="str">
        <f>T("3017446218")</f>
        <v>3017446218</v>
      </c>
    </row>
    <row r="4265" spans="1:12" x14ac:dyDescent="0.35">
      <c r="A4265" t="str">
        <f t="shared" si="1662"/>
        <v>NSWC IH DIV BOWIE</v>
      </c>
      <c r="B4265" t="str">
        <f t="shared" si="1671"/>
        <v>CODE 00M1, BLDG 116</v>
      </c>
      <c r="C4265" t="str">
        <f t="shared" si="1672"/>
        <v>4522 MCMAHON ROAD</v>
      </c>
      <c r="D4265" t="str">
        <f t="shared" si="1663"/>
        <v>INDIAN HEAD</v>
      </c>
      <c r="E4265" t="str">
        <f t="shared" si="1664"/>
        <v>MD</v>
      </c>
      <c r="F4265" t="str">
        <f t="shared" si="1667"/>
        <v>206405125</v>
      </c>
      <c r="G4265" t="str">
        <f>T("CODE 00M1 BLDG 2008")</f>
        <v>CODE 00M1 BLDG 2008</v>
      </c>
      <c r="H4265" t="str">
        <f>T("2008 STUMP NECK RD")</f>
        <v>2008 STUMP NECK RD</v>
      </c>
      <c r="I4265" t="str">
        <f t="shared" si="1665"/>
        <v>INDIAN HEAD</v>
      </c>
      <c r="J4265" t="str">
        <f t="shared" si="1666"/>
        <v>MD</v>
      </c>
      <c r="K4265" t="str">
        <f>T("3017444055")</f>
        <v>3017444055</v>
      </c>
      <c r="L4265" t="str">
        <f>T("3017446341")</f>
        <v>3017446341</v>
      </c>
    </row>
    <row r="4266" spans="1:12" x14ac:dyDescent="0.35">
      <c r="A4266" t="str">
        <f t="shared" si="1662"/>
        <v>NSWC IH DIV BOWIE</v>
      </c>
      <c r="B4266" t="str">
        <f t="shared" si="1671"/>
        <v>CODE 00M1, BLDG 116</v>
      </c>
      <c r="C4266" t="str">
        <f t="shared" si="1672"/>
        <v>4522 MCMAHON ROAD</v>
      </c>
      <c r="D4266" t="str">
        <f t="shared" si="1663"/>
        <v>INDIAN HEAD</v>
      </c>
      <c r="E4266" t="str">
        <f t="shared" si="1664"/>
        <v>MD</v>
      </c>
      <c r="F4266" t="str">
        <f t="shared" si="1667"/>
        <v>206405125</v>
      </c>
      <c r="G4266" t="str">
        <f>T("CODE 00M1, BLDG 116")</f>
        <v>CODE 00M1, BLDG 116</v>
      </c>
      <c r="H4266" t="str">
        <f>T("4522 MCMAHON ROAD")</f>
        <v>4522 MCMAHON ROAD</v>
      </c>
      <c r="I4266" t="str">
        <f t="shared" si="1665"/>
        <v>INDIAN HEAD</v>
      </c>
      <c r="J4266" t="str">
        <f t="shared" si="1666"/>
        <v>MD</v>
      </c>
      <c r="K4266" t="str">
        <f>T("301-744-0000")</f>
        <v>301-744-0000</v>
      </c>
      <c r="L4266" t="str">
        <f>T("3017446645")</f>
        <v>3017446645</v>
      </c>
    </row>
    <row r="4267" spans="1:12" x14ac:dyDescent="0.35">
      <c r="A4267" t="str">
        <f t="shared" si="1662"/>
        <v>NSWC IH DIV BOWIE</v>
      </c>
      <c r="B4267" t="str">
        <f t="shared" ref="B4267:B4272" si="1673">T("CODE 024, BLDG 1558")</f>
        <v>CODE 024, BLDG 1558</v>
      </c>
      <c r="C4267" t="str">
        <f t="shared" ref="C4267:C4272" si="1674">T("4072 NORTH JACKSON ROAD")</f>
        <v>4072 NORTH JACKSON ROAD</v>
      </c>
      <c r="D4267" t="str">
        <f t="shared" si="1663"/>
        <v>INDIAN HEAD</v>
      </c>
      <c r="E4267" t="str">
        <f t="shared" si="1664"/>
        <v>MD</v>
      </c>
      <c r="F4267" t="str">
        <f t="shared" ref="F4267:F4272" si="1675">T("206405115")</f>
        <v>206405115</v>
      </c>
      <c r="G4267" t="str">
        <f>T("CODE 024, BLDG 1558")</f>
        <v>CODE 024, BLDG 1558</v>
      </c>
      <c r="H4267" t="str">
        <f>T("4072 NORTH JACKSON ROAD")</f>
        <v>4072 NORTH JACKSON ROAD</v>
      </c>
      <c r="I4267" t="str">
        <f t="shared" si="1665"/>
        <v>INDIAN HEAD</v>
      </c>
      <c r="J4267" t="str">
        <f t="shared" si="1666"/>
        <v>MD</v>
      </c>
      <c r="K4267" t="str">
        <f>T("301-744-6632")</f>
        <v>301-744-6632</v>
      </c>
      <c r="L4267" t="str">
        <f>T("1111111111")</f>
        <v>1111111111</v>
      </c>
    </row>
    <row r="4268" spans="1:12" x14ac:dyDescent="0.35">
      <c r="A4268" t="str">
        <f t="shared" si="1662"/>
        <v>NSWC IH DIV BOWIE</v>
      </c>
      <c r="B4268" t="str">
        <f t="shared" si="1673"/>
        <v>CODE 024, BLDG 1558</v>
      </c>
      <c r="C4268" t="str">
        <f t="shared" si="1674"/>
        <v>4072 NORTH JACKSON ROAD</v>
      </c>
      <c r="D4268" t="str">
        <f t="shared" si="1663"/>
        <v>INDIAN HEAD</v>
      </c>
      <c r="E4268" t="str">
        <f t="shared" si="1664"/>
        <v>MD</v>
      </c>
      <c r="F4268" t="str">
        <f t="shared" si="1675"/>
        <v>206405115</v>
      </c>
      <c r="G4268" t="str">
        <f>T("CODE 024C BLDG 1558")</f>
        <v>CODE 024C BLDG 1558</v>
      </c>
      <c r="H4268" t="str">
        <f>T("4141 W PATTON RD")</f>
        <v>4141 W PATTON RD</v>
      </c>
      <c r="I4268" t="str">
        <f t="shared" si="1665"/>
        <v>INDIAN HEAD</v>
      </c>
      <c r="J4268" t="str">
        <f t="shared" si="1666"/>
        <v>MD</v>
      </c>
      <c r="K4268" t="str">
        <f>T("3017446632")</f>
        <v>3017446632</v>
      </c>
      <c r="L4268" t="str">
        <f>T("3017446545")</f>
        <v>3017446545</v>
      </c>
    </row>
    <row r="4269" spans="1:12" x14ac:dyDescent="0.35">
      <c r="A4269" t="str">
        <f t="shared" si="1662"/>
        <v>NSWC IH DIV BOWIE</v>
      </c>
      <c r="B4269" t="str">
        <f t="shared" si="1673"/>
        <v>CODE 024, BLDG 1558</v>
      </c>
      <c r="C4269" t="str">
        <f t="shared" si="1674"/>
        <v>4072 NORTH JACKSON ROAD</v>
      </c>
      <c r="D4269" t="str">
        <f t="shared" si="1663"/>
        <v>INDIAN HEAD</v>
      </c>
      <c r="E4269" t="str">
        <f t="shared" si="1664"/>
        <v>MD</v>
      </c>
      <c r="F4269" t="str">
        <f t="shared" si="1675"/>
        <v>206405115</v>
      </c>
      <c r="G4269" t="str">
        <f>T("CODE 024D BLDG 1558")</f>
        <v>CODE 024D BLDG 1558</v>
      </c>
      <c r="H4269" t="str">
        <f>T("4141 W PATTON RD")</f>
        <v>4141 W PATTON RD</v>
      </c>
      <c r="I4269" t="str">
        <f t="shared" si="1665"/>
        <v>INDIAN HEAD</v>
      </c>
      <c r="J4269" t="str">
        <f t="shared" si="1666"/>
        <v>MD</v>
      </c>
      <c r="K4269" t="str">
        <f>T("3017446632")</f>
        <v>3017446632</v>
      </c>
      <c r="L4269" t="str">
        <f>T("3017446576")</f>
        <v>3017446576</v>
      </c>
    </row>
    <row r="4270" spans="1:12" x14ac:dyDescent="0.35">
      <c r="A4270" t="str">
        <f t="shared" si="1662"/>
        <v>NSWC IH DIV BOWIE</v>
      </c>
      <c r="B4270" t="str">
        <f t="shared" si="1673"/>
        <v>CODE 024, BLDG 1558</v>
      </c>
      <c r="C4270" t="str">
        <f t="shared" si="1674"/>
        <v>4072 NORTH JACKSON ROAD</v>
      </c>
      <c r="D4270" t="str">
        <f t="shared" si="1663"/>
        <v>INDIAN HEAD</v>
      </c>
      <c r="E4270" t="str">
        <f t="shared" si="1664"/>
        <v>MD</v>
      </c>
      <c r="F4270" t="str">
        <f t="shared" si="1675"/>
        <v>206405115</v>
      </c>
      <c r="G4270" t="str">
        <f>T("CODE 024J BLDG 1558")</f>
        <v>CODE 024J BLDG 1558</v>
      </c>
      <c r="H4270" t="str">
        <f>T("4141 W PATTON RD")</f>
        <v>4141 W PATTON RD</v>
      </c>
      <c r="I4270" t="str">
        <f t="shared" si="1665"/>
        <v>INDIAN HEAD</v>
      </c>
      <c r="J4270" t="str">
        <f t="shared" si="1666"/>
        <v>MD</v>
      </c>
      <c r="K4270" t="str">
        <f>T("3017446632")</f>
        <v>3017446632</v>
      </c>
      <c r="L4270" t="str">
        <f>T("3017446544")</f>
        <v>3017446544</v>
      </c>
    </row>
    <row r="4271" spans="1:12" x14ac:dyDescent="0.35">
      <c r="A4271" t="str">
        <f t="shared" si="1662"/>
        <v>NSWC IH DIV BOWIE</v>
      </c>
      <c r="B4271" t="str">
        <f t="shared" si="1673"/>
        <v>CODE 024, BLDG 1558</v>
      </c>
      <c r="C4271" t="str">
        <f t="shared" si="1674"/>
        <v>4072 NORTH JACKSON ROAD</v>
      </c>
      <c r="D4271" t="str">
        <f t="shared" si="1663"/>
        <v>INDIAN HEAD</v>
      </c>
      <c r="E4271" t="str">
        <f t="shared" si="1664"/>
        <v>MD</v>
      </c>
      <c r="F4271" t="str">
        <f t="shared" si="1675"/>
        <v>206405115</v>
      </c>
      <c r="G4271" t="str">
        <f>T("CODE 024R BLDG 1558")</f>
        <v>CODE 024R BLDG 1558</v>
      </c>
      <c r="H4271" t="str">
        <f>T("4141 W PATTON RD")</f>
        <v>4141 W PATTON RD</v>
      </c>
      <c r="I4271" t="str">
        <f t="shared" si="1665"/>
        <v>INDIAN HEAD</v>
      </c>
      <c r="J4271" t="str">
        <f t="shared" si="1666"/>
        <v>MD</v>
      </c>
      <c r="K4271" t="str">
        <f>T("3017446632")</f>
        <v>3017446632</v>
      </c>
      <c r="L4271" t="str">
        <f>T("3017444297")</f>
        <v>3017444297</v>
      </c>
    </row>
    <row r="4272" spans="1:12" x14ac:dyDescent="0.35">
      <c r="A4272" t="str">
        <f t="shared" si="1662"/>
        <v>NSWC IH DIV BOWIE</v>
      </c>
      <c r="B4272" t="str">
        <f t="shared" si="1673"/>
        <v>CODE 024, BLDG 1558</v>
      </c>
      <c r="C4272" t="str">
        <f t="shared" si="1674"/>
        <v>4072 NORTH JACKSON ROAD</v>
      </c>
      <c r="D4272" t="str">
        <f t="shared" si="1663"/>
        <v>INDIAN HEAD</v>
      </c>
      <c r="E4272" t="str">
        <f t="shared" si="1664"/>
        <v>MD</v>
      </c>
      <c r="F4272" t="str">
        <f t="shared" si="1675"/>
        <v>206405115</v>
      </c>
      <c r="G4272" t="str">
        <f>T("CODE 024S BLDG 1558")</f>
        <v>CODE 024S BLDG 1558</v>
      </c>
      <c r="H4272" t="str">
        <f>T("4141 W PATTON RD")</f>
        <v>4141 W PATTON RD</v>
      </c>
      <c r="I4272" t="str">
        <f t="shared" si="1665"/>
        <v>INDIAN HEAD</v>
      </c>
      <c r="J4272" t="str">
        <f t="shared" si="1666"/>
        <v>MD</v>
      </c>
      <c r="K4272" t="str">
        <f>T("3017446632")</f>
        <v>3017446632</v>
      </c>
      <c r="L4272" t="str">
        <f>T("3017446789")</f>
        <v>3017446789</v>
      </c>
    </row>
    <row r="4273" spans="1:12" x14ac:dyDescent="0.35">
      <c r="A4273" t="str">
        <f t="shared" si="1662"/>
        <v>NSWC IH DIV BOWIE</v>
      </c>
      <c r="B4273" t="str">
        <f>T("CODE 103A")</f>
        <v>CODE 103A</v>
      </c>
      <c r="C4273" t="str">
        <f>T("4247 SOUTH PATTERSON RD")</f>
        <v>4247 SOUTH PATTERSON RD</v>
      </c>
      <c r="D4273" t="str">
        <f t="shared" si="1663"/>
        <v>INDIAN HEAD</v>
      </c>
      <c r="E4273" t="str">
        <f t="shared" si="1664"/>
        <v>MD</v>
      </c>
      <c r="F4273" t="str">
        <f>T("206405134")</f>
        <v>206405134</v>
      </c>
      <c r="G4273" t="str">
        <f>T("CODE 103A")</f>
        <v>CODE 103A</v>
      </c>
      <c r="H4273" t="str">
        <f>T("4247 SOUTH PATTERSON RD")</f>
        <v>4247 SOUTH PATTERSON RD</v>
      </c>
      <c r="I4273" t="str">
        <f t="shared" si="1665"/>
        <v>INDIAN HEAD</v>
      </c>
      <c r="J4273" t="str">
        <f t="shared" si="1666"/>
        <v>MD</v>
      </c>
      <c r="K4273" t="str">
        <f>T("3017446335")</f>
        <v>3017446335</v>
      </c>
      <c r="L4273" t="str">
        <f>T("3017444114")</f>
        <v>3017444114</v>
      </c>
    </row>
    <row r="4274" spans="1:12" x14ac:dyDescent="0.35">
      <c r="A4274" t="str">
        <f t="shared" si="1662"/>
        <v>NSWC IH DIV BOWIE</v>
      </c>
      <c r="B4274" t="str">
        <f>T("CODE 1071KH BLDG 116")</f>
        <v>CODE 1071KH BLDG 116</v>
      </c>
      <c r="C4274" t="str">
        <f>T("4522 MCMAHON RD")</f>
        <v>4522 MCMAHON RD</v>
      </c>
      <c r="D4274" t="str">
        <f t="shared" si="1663"/>
        <v>INDIAN HEAD</v>
      </c>
      <c r="E4274" t="str">
        <f t="shared" si="1664"/>
        <v>MD</v>
      </c>
      <c r="F4274" t="str">
        <f t="shared" ref="F4274:F4284" si="1676">T("206405125")</f>
        <v>206405125</v>
      </c>
      <c r="G4274" t="str">
        <f>T("CODE 1071KH BLDG 116")</f>
        <v>CODE 1071KH BLDG 116</v>
      </c>
      <c r="H4274" t="str">
        <f>T("4522 MCMAHON RD")</f>
        <v>4522 MCMAHON RD</v>
      </c>
      <c r="I4274" t="str">
        <f t="shared" si="1665"/>
        <v>INDIAN HEAD</v>
      </c>
      <c r="J4274" t="str">
        <f t="shared" si="1666"/>
        <v>MD</v>
      </c>
      <c r="K4274" t="str">
        <f>T("000000000000000000")</f>
        <v>000000000000000000</v>
      </c>
      <c r="L4274" t="str">
        <f>T("3017441745")</f>
        <v>3017441745</v>
      </c>
    </row>
    <row r="4275" spans="1:12" x14ac:dyDescent="0.35">
      <c r="A4275" t="str">
        <f t="shared" si="1662"/>
        <v>NSWC IH DIV BOWIE</v>
      </c>
      <c r="B4275" t="str">
        <f>T("CODE 1071LV BLDG 116")</f>
        <v>CODE 1071LV BLDG 116</v>
      </c>
      <c r="C4275" t="str">
        <f>T("4522 MCMAHON RD")</f>
        <v>4522 MCMAHON RD</v>
      </c>
      <c r="D4275" t="str">
        <f t="shared" si="1663"/>
        <v>INDIAN HEAD</v>
      </c>
      <c r="E4275" t="str">
        <f t="shared" si="1664"/>
        <v>MD</v>
      </c>
      <c r="F4275" t="str">
        <f t="shared" si="1676"/>
        <v>206405125</v>
      </c>
      <c r="G4275" t="str">
        <f>T("CODE 1071LV BLDG 116")</f>
        <v>CODE 1071LV BLDG 116</v>
      </c>
      <c r="H4275" t="str">
        <f>T("4522 MCMAHON RD")</f>
        <v>4522 MCMAHON RD</v>
      </c>
      <c r="I4275" t="str">
        <f t="shared" si="1665"/>
        <v>INDIAN HEAD</v>
      </c>
      <c r="J4275" t="str">
        <f t="shared" si="1666"/>
        <v>MD</v>
      </c>
      <c r="K4275" t="str">
        <f>T("000000000000000000")</f>
        <v>000000000000000000</v>
      </c>
      <c r="L4275" t="str">
        <f>T("3017445118")</f>
        <v>3017445118</v>
      </c>
    </row>
    <row r="4276" spans="1:12" x14ac:dyDescent="0.35">
      <c r="A4276" t="str">
        <f t="shared" si="1662"/>
        <v>NSWC IH DIV BOWIE</v>
      </c>
      <c r="B4276" t="str">
        <f t="shared" ref="B4276:B4284" si="1677">T("CODE 415 1 BLDG 116")</f>
        <v>CODE 415 1 BLDG 116</v>
      </c>
      <c r="C4276" t="str">
        <f>T("4522 MCMAHON RD")</f>
        <v>4522 MCMAHON RD</v>
      </c>
      <c r="D4276" t="str">
        <f t="shared" si="1663"/>
        <v>INDIAN HEAD</v>
      </c>
      <c r="E4276" t="str">
        <f t="shared" si="1664"/>
        <v>MD</v>
      </c>
      <c r="F4276" t="str">
        <f t="shared" si="1676"/>
        <v>206405125</v>
      </c>
      <c r="G4276" t="str">
        <f>T("CODE 415 1 BLDG 116")</f>
        <v>CODE 415 1 BLDG 116</v>
      </c>
      <c r="H4276" t="str">
        <f>T("4522 MCMAHON RD")</f>
        <v>4522 MCMAHON RD</v>
      </c>
      <c r="I4276" t="str">
        <f t="shared" si="1665"/>
        <v>INDIAN HEAD</v>
      </c>
      <c r="J4276" t="str">
        <f t="shared" si="1666"/>
        <v>MD</v>
      </c>
      <c r="K4276" t="str">
        <f>T("3017440000")</f>
        <v>3017440000</v>
      </c>
      <c r="L4276" t="str">
        <f>T("3017440000")</f>
        <v>3017440000</v>
      </c>
    </row>
    <row r="4277" spans="1:12" x14ac:dyDescent="0.35">
      <c r="A4277" t="str">
        <f t="shared" si="1662"/>
        <v>NSWC IH DIV BOWIE</v>
      </c>
      <c r="B4277" t="str">
        <f t="shared" si="1677"/>
        <v>CODE 415 1 BLDG 116</v>
      </c>
      <c r="C4277" t="str">
        <f t="shared" ref="C4277:C4284" si="1678">T("4522 MCMAHON ROAD")</f>
        <v>4522 MCMAHON ROAD</v>
      </c>
      <c r="D4277" t="str">
        <f t="shared" si="1663"/>
        <v>INDIAN HEAD</v>
      </c>
      <c r="E4277" t="str">
        <f t="shared" si="1664"/>
        <v>MD</v>
      </c>
      <c r="F4277" t="str">
        <f t="shared" si="1676"/>
        <v>206405125</v>
      </c>
      <c r="G4277" t="str">
        <f>T("CODE 00M BLDG 2008")</f>
        <v>CODE 00M BLDG 2008</v>
      </c>
      <c r="H4277" t="str">
        <f>T("2008 STUMP NECK RD")</f>
        <v>2008 STUMP NECK RD</v>
      </c>
      <c r="I4277" t="str">
        <f t="shared" si="1665"/>
        <v>INDIAN HEAD</v>
      </c>
      <c r="J4277" t="str">
        <f t="shared" si="1666"/>
        <v>MD</v>
      </c>
      <c r="K4277" t="str">
        <f>T("3017440000")</f>
        <v>3017440000</v>
      </c>
      <c r="L4277" t="str">
        <f>T("3017445756")</f>
        <v>3017445756</v>
      </c>
    </row>
    <row r="4278" spans="1:12" x14ac:dyDescent="0.35">
      <c r="A4278" t="str">
        <f t="shared" si="1662"/>
        <v>NSWC IH DIV BOWIE</v>
      </c>
      <c r="B4278" t="str">
        <f t="shared" si="1677"/>
        <v>CODE 415 1 BLDG 116</v>
      </c>
      <c r="C4278" t="str">
        <f t="shared" si="1678"/>
        <v>4522 MCMAHON ROAD</v>
      </c>
      <c r="D4278" t="str">
        <f t="shared" si="1663"/>
        <v>INDIAN HEAD</v>
      </c>
      <c r="E4278" t="str">
        <f t="shared" si="1664"/>
        <v>MD</v>
      </c>
      <c r="F4278" t="str">
        <f t="shared" si="1676"/>
        <v>206405125</v>
      </c>
      <c r="G4278" t="str">
        <f>T("CODE 00M BLDG 2008")</f>
        <v>CODE 00M BLDG 2008</v>
      </c>
      <c r="H4278" t="str">
        <f>T("2008 STUMP NECK RD")</f>
        <v>2008 STUMP NECK RD</v>
      </c>
      <c r="I4278" t="str">
        <f t="shared" si="1665"/>
        <v>INDIAN HEAD</v>
      </c>
      <c r="J4278" t="str">
        <f t="shared" si="1666"/>
        <v>MD</v>
      </c>
      <c r="K4278" t="str">
        <f>T("3017444555")</f>
        <v>3017444555</v>
      </c>
      <c r="L4278" t="str">
        <f>T("3017441826")</f>
        <v>3017441826</v>
      </c>
    </row>
    <row r="4279" spans="1:12" x14ac:dyDescent="0.35">
      <c r="A4279" t="str">
        <f t="shared" si="1662"/>
        <v>NSWC IH DIV BOWIE</v>
      </c>
      <c r="B4279" t="str">
        <f t="shared" si="1677"/>
        <v>CODE 415 1 BLDG 116</v>
      </c>
      <c r="C4279" t="str">
        <f t="shared" si="1678"/>
        <v>4522 MCMAHON ROAD</v>
      </c>
      <c r="D4279" t="str">
        <f t="shared" si="1663"/>
        <v>INDIAN HEAD</v>
      </c>
      <c r="E4279" t="str">
        <f t="shared" si="1664"/>
        <v>MD</v>
      </c>
      <c r="F4279" t="str">
        <f t="shared" si="1676"/>
        <v>206405125</v>
      </c>
      <c r="G4279" t="str">
        <f>T("CODE 00M1 BLDG 116")</f>
        <v>CODE 00M1 BLDG 116</v>
      </c>
      <c r="H4279" t="str">
        <f>T("4522 MCMAHON RD")</f>
        <v>4522 MCMAHON RD</v>
      </c>
      <c r="I4279" t="str">
        <f t="shared" si="1665"/>
        <v>INDIAN HEAD</v>
      </c>
      <c r="J4279" t="str">
        <f t="shared" si="1666"/>
        <v>MD</v>
      </c>
      <c r="K4279" t="str">
        <f>T("3017444555")</f>
        <v>3017444555</v>
      </c>
      <c r="L4279" t="str">
        <f>T("3017441423")</f>
        <v>3017441423</v>
      </c>
    </row>
    <row r="4280" spans="1:12" x14ac:dyDescent="0.35">
      <c r="A4280" t="str">
        <f t="shared" si="1662"/>
        <v>NSWC IH DIV BOWIE</v>
      </c>
      <c r="B4280" t="str">
        <f t="shared" si="1677"/>
        <v>CODE 415 1 BLDG 116</v>
      </c>
      <c r="C4280" t="str">
        <f t="shared" si="1678"/>
        <v>4522 MCMAHON ROAD</v>
      </c>
      <c r="D4280" t="str">
        <f t="shared" si="1663"/>
        <v>INDIAN HEAD</v>
      </c>
      <c r="E4280" t="str">
        <f t="shared" si="1664"/>
        <v>MD</v>
      </c>
      <c r="F4280" t="str">
        <f t="shared" si="1676"/>
        <v>206405125</v>
      </c>
      <c r="G4280" t="str">
        <f>T("CODE 00M1 BLDG 116")</f>
        <v>CODE 00M1 BLDG 116</v>
      </c>
      <c r="H4280" t="str">
        <f>T("4522 MCMAHON RD")</f>
        <v>4522 MCMAHON RD</v>
      </c>
      <c r="I4280" t="str">
        <f t="shared" si="1665"/>
        <v>INDIAN HEAD</v>
      </c>
      <c r="J4280" t="str">
        <f t="shared" si="1666"/>
        <v>MD</v>
      </c>
      <c r="K4280" t="str">
        <f>T("3017444555")</f>
        <v>3017444555</v>
      </c>
      <c r="L4280" t="str">
        <f>T("3017444231")</f>
        <v>3017444231</v>
      </c>
    </row>
    <row r="4281" spans="1:12" x14ac:dyDescent="0.35">
      <c r="A4281" t="str">
        <f t="shared" si="1662"/>
        <v>NSWC IH DIV BOWIE</v>
      </c>
      <c r="B4281" t="str">
        <f t="shared" si="1677"/>
        <v>CODE 415 1 BLDG 116</v>
      </c>
      <c r="C4281" t="str">
        <f t="shared" si="1678"/>
        <v>4522 MCMAHON ROAD</v>
      </c>
      <c r="D4281" t="str">
        <f t="shared" si="1663"/>
        <v>INDIAN HEAD</v>
      </c>
      <c r="E4281" t="str">
        <f t="shared" si="1664"/>
        <v>MD</v>
      </c>
      <c r="F4281" t="str">
        <f t="shared" si="1676"/>
        <v>206405125</v>
      </c>
      <c r="G4281" t="str">
        <f>T("CODE 00M1 BLDG 116")</f>
        <v>CODE 00M1 BLDG 116</v>
      </c>
      <c r="H4281" t="str">
        <f>T("4522 MCMAHON RD")</f>
        <v>4522 MCMAHON RD</v>
      </c>
      <c r="I4281" t="str">
        <f t="shared" si="1665"/>
        <v>INDIAN HEAD</v>
      </c>
      <c r="J4281" t="str">
        <f t="shared" si="1666"/>
        <v>MD</v>
      </c>
      <c r="K4281" t="str">
        <f>T("3017444555")</f>
        <v>3017444555</v>
      </c>
      <c r="L4281" t="str">
        <f>T("3017444457")</f>
        <v>3017444457</v>
      </c>
    </row>
    <row r="4282" spans="1:12" x14ac:dyDescent="0.35">
      <c r="A4282" t="str">
        <f t="shared" ref="A4282:A4295" si="1679">T("NSWC IH DIV BOWIE")</f>
        <v>NSWC IH DIV BOWIE</v>
      </c>
      <c r="B4282" t="str">
        <f t="shared" si="1677"/>
        <v>CODE 415 1 BLDG 116</v>
      </c>
      <c r="C4282" t="str">
        <f t="shared" si="1678"/>
        <v>4522 MCMAHON ROAD</v>
      </c>
      <c r="D4282" t="str">
        <f t="shared" si="1663"/>
        <v>INDIAN HEAD</v>
      </c>
      <c r="E4282" t="str">
        <f t="shared" si="1664"/>
        <v>MD</v>
      </c>
      <c r="F4282" t="str">
        <f t="shared" si="1676"/>
        <v>206405125</v>
      </c>
      <c r="G4282" t="str">
        <f>T("CODE 00M1ND BLDG 116")</f>
        <v>CODE 00M1ND BLDG 116</v>
      </c>
      <c r="H4282" t="str">
        <f>T("4522 MCMAHON RD")</f>
        <v>4522 MCMAHON RD</v>
      </c>
      <c r="I4282" t="str">
        <f t="shared" si="1665"/>
        <v>INDIAN HEAD</v>
      </c>
      <c r="J4282" t="str">
        <f t="shared" si="1666"/>
        <v>MD</v>
      </c>
      <c r="K4282" t="str">
        <f>T("3017443927")</f>
        <v>3017443927</v>
      </c>
      <c r="L4282" t="str">
        <f>T("3017446229")</f>
        <v>3017446229</v>
      </c>
    </row>
    <row r="4283" spans="1:12" x14ac:dyDescent="0.35">
      <c r="A4283" t="str">
        <f t="shared" si="1679"/>
        <v>NSWC IH DIV BOWIE</v>
      </c>
      <c r="B4283" t="str">
        <f t="shared" si="1677"/>
        <v>CODE 415 1 BLDG 116</v>
      </c>
      <c r="C4283" t="str">
        <f t="shared" si="1678"/>
        <v>4522 MCMAHON ROAD</v>
      </c>
      <c r="D4283" t="str">
        <f t="shared" si="1663"/>
        <v>INDIAN HEAD</v>
      </c>
      <c r="E4283" t="str">
        <f t="shared" si="1664"/>
        <v>MD</v>
      </c>
      <c r="F4283" t="str">
        <f t="shared" si="1676"/>
        <v>206405125</v>
      </c>
      <c r="G4283" t="str">
        <f>T("CODE 00M1TMT BLDG 2008")</f>
        <v>CODE 00M1TMT BLDG 2008</v>
      </c>
      <c r="H4283" t="str">
        <f>T("2008 STUMP NECK RD")</f>
        <v>2008 STUMP NECK RD</v>
      </c>
      <c r="I4283" t="str">
        <f t="shared" si="1665"/>
        <v>INDIAN HEAD</v>
      </c>
      <c r="J4283" t="str">
        <f t="shared" si="1666"/>
        <v>MD</v>
      </c>
      <c r="K4283" t="str">
        <f>T("3017444055")</f>
        <v>3017444055</v>
      </c>
      <c r="L4283" t="str">
        <f>T("3017441778")</f>
        <v>3017441778</v>
      </c>
    </row>
    <row r="4284" spans="1:12" x14ac:dyDescent="0.35">
      <c r="A4284" t="str">
        <f t="shared" si="1679"/>
        <v>NSWC IH DIV BOWIE</v>
      </c>
      <c r="B4284" t="str">
        <f t="shared" si="1677"/>
        <v>CODE 415 1 BLDG 116</v>
      </c>
      <c r="C4284" t="str">
        <f t="shared" si="1678"/>
        <v>4522 MCMAHON ROAD</v>
      </c>
      <c r="D4284" t="str">
        <f t="shared" si="1663"/>
        <v>INDIAN HEAD</v>
      </c>
      <c r="E4284" t="str">
        <f t="shared" si="1664"/>
        <v>MD</v>
      </c>
      <c r="F4284" t="str">
        <f t="shared" si="1676"/>
        <v>206405125</v>
      </c>
      <c r="G4284" t="str">
        <f>T("CODE 415 1 BLDG 116")</f>
        <v>CODE 415 1 BLDG 116</v>
      </c>
      <c r="H4284" t="str">
        <f>T("4522 MCMAHON ROAD")</f>
        <v>4522 MCMAHON ROAD</v>
      </c>
      <c r="I4284" t="str">
        <f t="shared" si="1665"/>
        <v>INDIAN HEAD</v>
      </c>
      <c r="J4284" t="str">
        <f t="shared" si="1666"/>
        <v>MD</v>
      </c>
      <c r="K4284" t="str">
        <f>T("301-744-4555")</f>
        <v>301-744-4555</v>
      </c>
      <c r="L4284" t="str">
        <f>T("3017446645")</f>
        <v>3017446645</v>
      </c>
    </row>
    <row r="4285" spans="1:12" x14ac:dyDescent="0.35">
      <c r="A4285" t="str">
        <f t="shared" si="1679"/>
        <v>NSWC IH DIV BOWIE</v>
      </c>
      <c r="B4285" t="str">
        <f>T("CODE A1")</f>
        <v>CODE A1</v>
      </c>
      <c r="C4285" t="str">
        <f>T("4219 S PATTERSON RD BLDG 1601")</f>
        <v>4219 S PATTERSON RD BLDG 1601</v>
      </c>
      <c r="D4285" t="str">
        <f t="shared" si="1663"/>
        <v>INDIAN HEAD</v>
      </c>
      <c r="E4285" t="str">
        <f t="shared" si="1664"/>
        <v>MD</v>
      </c>
      <c r="F4285" t="str">
        <f>T("206405133")</f>
        <v>206405133</v>
      </c>
      <c r="G4285" t="str">
        <f>T("CODE A1")</f>
        <v>CODE A1</v>
      </c>
      <c r="H4285" t="str">
        <f>T("4219 S PATTERSON RD BLDG 1601")</f>
        <v>4219 S PATTERSON RD BLDG 1601</v>
      </c>
      <c r="I4285" t="str">
        <f t="shared" si="1665"/>
        <v>INDIAN HEAD</v>
      </c>
      <c r="J4285" t="str">
        <f t="shared" si="1666"/>
        <v>MD</v>
      </c>
      <c r="K4285" t="str">
        <f>T("3017446419")</f>
        <v>3017446419</v>
      </c>
      <c r="L4285" t="str">
        <f>T("3017446354")</f>
        <v>3017446354</v>
      </c>
    </row>
    <row r="4286" spans="1:12" x14ac:dyDescent="0.35">
      <c r="A4286" t="str">
        <f t="shared" si="1679"/>
        <v>NSWC IH DIV BOWIE</v>
      </c>
      <c r="B4286" t="str">
        <f>T("CODE E35BM, BLDG 435")</f>
        <v>CODE E35BM, BLDG 435</v>
      </c>
      <c r="C4286" t="str">
        <f>T("4585 MCMAHAN ROAD")</f>
        <v>4585 MCMAHAN ROAD</v>
      </c>
      <c r="D4286" t="str">
        <f t="shared" si="1663"/>
        <v>INDIAN HEAD</v>
      </c>
      <c r="E4286" t="str">
        <f t="shared" si="1664"/>
        <v>MD</v>
      </c>
      <c r="F4286" t="str">
        <f>T("206405081")</f>
        <v>206405081</v>
      </c>
      <c r="G4286" t="str">
        <f>T("CODE E35BM, BLDG 435")</f>
        <v>CODE E35BM, BLDG 435</v>
      </c>
      <c r="H4286" t="str">
        <f>T("4585 MCMAHAN ROAD")</f>
        <v>4585 MCMAHAN ROAD</v>
      </c>
      <c r="I4286" t="str">
        <f t="shared" si="1665"/>
        <v>INDIAN HEAD</v>
      </c>
      <c r="J4286" t="str">
        <f t="shared" si="1666"/>
        <v>MD</v>
      </c>
      <c r="K4286" t="str">
        <f>T("3017444299")</f>
        <v>3017444299</v>
      </c>
      <c r="L4286" t="str">
        <f>T("3017444491")</f>
        <v>3017444491</v>
      </c>
    </row>
    <row r="4287" spans="1:12" x14ac:dyDescent="0.35">
      <c r="A4287" t="str">
        <f t="shared" si="1679"/>
        <v>NSWC IH DIV BOWIE</v>
      </c>
      <c r="B4287" t="str">
        <f>T("CODE E35BM, BLDG 435")</f>
        <v>CODE E35BM, BLDG 435</v>
      </c>
      <c r="C4287" t="str">
        <f>T("4585 MCMAHAN ROAD")</f>
        <v>4585 MCMAHAN ROAD</v>
      </c>
      <c r="D4287" t="str">
        <f t="shared" si="1663"/>
        <v>INDIAN HEAD</v>
      </c>
      <c r="E4287" t="str">
        <f t="shared" si="1664"/>
        <v>MD</v>
      </c>
      <c r="F4287" t="str">
        <f>T("206405081")</f>
        <v>206405081</v>
      </c>
      <c r="G4287" t="str">
        <f>T("CODE E35CB BLDG 300")</f>
        <v>CODE E35CB BLDG 300</v>
      </c>
      <c r="H4287" t="str">
        <f>T("4145 FOWLER RD")</f>
        <v>4145 FOWLER RD</v>
      </c>
      <c r="I4287" t="str">
        <f t="shared" si="1665"/>
        <v>INDIAN HEAD</v>
      </c>
      <c r="J4287" t="str">
        <f t="shared" si="1666"/>
        <v>MD</v>
      </c>
      <c r="K4287" t="str">
        <f>T("3017444459")</f>
        <v>3017444459</v>
      </c>
      <c r="L4287" t="str">
        <f>T("3017444173")</f>
        <v>3017444173</v>
      </c>
    </row>
    <row r="4288" spans="1:12" x14ac:dyDescent="0.35">
      <c r="A4288" t="str">
        <f t="shared" si="1679"/>
        <v>NSWC IH DIV BOWIE</v>
      </c>
      <c r="B4288" t="str">
        <f>T("CODE G11")</f>
        <v>CODE G11</v>
      </c>
      <c r="C4288" t="str">
        <f>T("BLDG 458 WHITTEMORE AVE")</f>
        <v>BLDG 458 WHITTEMORE AVE</v>
      </c>
      <c r="D4288" t="str">
        <f>T("PICATINNY ARSENAL")</f>
        <v>PICATINNY ARSENAL</v>
      </c>
      <c r="E4288" t="str">
        <f>T("NJ")</f>
        <v>NJ</v>
      </c>
      <c r="F4288" t="str">
        <f>T("078065000")</f>
        <v>078065000</v>
      </c>
      <c r="G4288" t="str">
        <f>T("CODE G11")</f>
        <v>CODE G11</v>
      </c>
      <c r="H4288" t="str">
        <f>T("BLDG 458 WHITTEMORE AVE")</f>
        <v>BLDG 458 WHITTEMORE AVE</v>
      </c>
      <c r="I4288" t="str">
        <f>T("PICATINNY ARSENAL")</f>
        <v>PICATINNY ARSENAL</v>
      </c>
      <c r="J4288" t="str">
        <f>T("NJ")</f>
        <v>NJ</v>
      </c>
      <c r="K4288" t="str">
        <f>T("9737243627")</f>
        <v>9737243627</v>
      </c>
      <c r="L4288" t="str">
        <f>T("9737247048")</f>
        <v>9737247048</v>
      </c>
    </row>
    <row r="4289" spans="1:12" x14ac:dyDescent="0.35">
      <c r="A4289" t="str">
        <f t="shared" si="1679"/>
        <v>NSWC IH DIV BOWIE</v>
      </c>
      <c r="B4289" t="str">
        <f>T("CODE OC SUITE 103")</f>
        <v>CODE OC SUITE 103</v>
      </c>
      <c r="C4289" t="str">
        <f>T("3824 STRAUSS AVE SUITE 103")</f>
        <v>3824 STRAUSS AVE SUITE 103</v>
      </c>
      <c r="D4289" t="str">
        <f>T("INDIAN HEAD")</f>
        <v>INDIAN HEAD</v>
      </c>
      <c r="E4289" t="str">
        <f>T("MD")</f>
        <v>MD</v>
      </c>
      <c r="F4289" t="str">
        <f>T("206405152")</f>
        <v>206405152</v>
      </c>
      <c r="G4289" t="str">
        <f>T("CODE OC SUITE 103")</f>
        <v>CODE OC SUITE 103</v>
      </c>
      <c r="H4289" t="str">
        <f>T("3824 STRAUSS AVE")</f>
        <v>3824 STRAUSS AVE</v>
      </c>
      <c r="I4289" t="str">
        <f>T("INDIAN HEAD")</f>
        <v>INDIAN HEAD</v>
      </c>
      <c r="J4289" t="str">
        <f>T("MD")</f>
        <v>MD</v>
      </c>
      <c r="K4289" t="str">
        <f>T("3017444423")</f>
        <v>3017444423</v>
      </c>
      <c r="L4289" t="str">
        <f>T("3017445606")</f>
        <v>3017445606</v>
      </c>
    </row>
    <row r="4290" spans="1:12" x14ac:dyDescent="0.35">
      <c r="A4290" t="str">
        <f t="shared" si="1679"/>
        <v>NSWC IH DIV BOWIE</v>
      </c>
      <c r="B4290" t="str">
        <f>T("CODE OC SUITE 103")</f>
        <v>CODE OC SUITE 103</v>
      </c>
      <c r="C4290" t="str">
        <f>T("3824 STRAUSS AVE SUITE 103")</f>
        <v>3824 STRAUSS AVE SUITE 103</v>
      </c>
      <c r="D4290" t="str">
        <f>T("INDIAN HEAD")</f>
        <v>INDIAN HEAD</v>
      </c>
      <c r="E4290" t="str">
        <f>T("MD")</f>
        <v>MD</v>
      </c>
      <c r="F4290" t="str">
        <f>T("206405152")</f>
        <v>206405152</v>
      </c>
      <c r="G4290" t="str">
        <f>T("CODE OC SUITE 103")</f>
        <v>CODE OC SUITE 103</v>
      </c>
      <c r="H4290" t="str">
        <f>T("3824 STRAUSS AVE SUITE 103")</f>
        <v>3824 STRAUSS AVE SUITE 103</v>
      </c>
      <c r="I4290" t="str">
        <f>T("INDIAN HEAD")</f>
        <v>INDIAN HEAD</v>
      </c>
      <c r="J4290" t="str">
        <f>T("MD")</f>
        <v>MD</v>
      </c>
      <c r="K4290" t="str">
        <f>T("3017444423")</f>
        <v>3017444423</v>
      </c>
      <c r="L4290" t="str">
        <f>T("3017445603")</f>
        <v>3017445603</v>
      </c>
    </row>
    <row r="4291" spans="1:12" x14ac:dyDescent="0.35">
      <c r="A4291" t="str">
        <f t="shared" si="1679"/>
        <v>NSWC IH DIV BOWIE</v>
      </c>
      <c r="B4291" t="str">
        <f>T("EQUIPMENT REPAIR BRANCH T272")</f>
        <v>EQUIPMENT REPAIR BRANCH T272</v>
      </c>
      <c r="C4291" t="str">
        <f>T("4337 BAILEY ROAD SUITE 102")</f>
        <v>4337 BAILEY ROAD SUITE 102</v>
      </c>
      <c r="D4291" t="str">
        <f>T("INDIAN HEAD")</f>
        <v>INDIAN HEAD</v>
      </c>
      <c r="E4291" t="str">
        <f>T("MD")</f>
        <v>MD</v>
      </c>
      <c r="F4291" t="str">
        <f>T("206405088")</f>
        <v>206405088</v>
      </c>
      <c r="G4291" t="str">
        <f>T("CODE M35ZB")</f>
        <v>CODE M35ZB</v>
      </c>
      <c r="H4291" t="str">
        <f>T("4337 BAILEY RD STE 203")</f>
        <v>4337 BAILEY RD STE 203</v>
      </c>
      <c r="I4291" t="str">
        <f>T("INDIAN HEAD")</f>
        <v>INDIAN HEAD</v>
      </c>
      <c r="J4291" t="str">
        <f>T("MD")</f>
        <v>MD</v>
      </c>
      <c r="K4291" t="str">
        <f>T("3017444828")</f>
        <v>3017444828</v>
      </c>
      <c r="L4291" t="str">
        <f>T("3017441863")</f>
        <v>3017441863</v>
      </c>
    </row>
    <row r="4292" spans="1:12" x14ac:dyDescent="0.35">
      <c r="A4292" t="str">
        <f t="shared" si="1679"/>
        <v>NSWC IH DIV BOWIE</v>
      </c>
      <c r="B4292" t="str">
        <f>T("EQUIPMENT REPAIR BRANCH T272")</f>
        <v>EQUIPMENT REPAIR BRANCH T272</v>
      </c>
      <c r="C4292" t="str">
        <f>T("4337 BAILEY ROAD SUITE 102")</f>
        <v>4337 BAILEY ROAD SUITE 102</v>
      </c>
      <c r="D4292" t="str">
        <f>T("INDIAN HEAD")</f>
        <v>INDIAN HEAD</v>
      </c>
      <c r="E4292" t="str">
        <f>T("MD")</f>
        <v>MD</v>
      </c>
      <c r="F4292" t="str">
        <f>T("206405088")</f>
        <v>206405088</v>
      </c>
      <c r="G4292" t="str">
        <f>T("EQUIPMENT REPAIR BRANCH T272")</f>
        <v>EQUIPMENT REPAIR BRANCH T272</v>
      </c>
      <c r="H4292" t="str">
        <f>T("4337 BAILEY ROAD SUITE 102")</f>
        <v>4337 BAILEY ROAD SUITE 102</v>
      </c>
      <c r="I4292" t="str">
        <f>T("INDIAN HEAD")</f>
        <v>INDIAN HEAD</v>
      </c>
      <c r="J4292" t="str">
        <f>T("MD")</f>
        <v>MD</v>
      </c>
      <c r="K4292" t="str">
        <f>T("3017444938")</f>
        <v>3017444938</v>
      </c>
      <c r="L4292" t="str">
        <f>T("3017442523")</f>
        <v>3017442523</v>
      </c>
    </row>
    <row r="4293" spans="1:12" x14ac:dyDescent="0.35">
      <c r="A4293" t="str">
        <f t="shared" si="1679"/>
        <v>NSWC IH DIV BOWIE</v>
      </c>
      <c r="B4293" t="str">
        <f>T("MAJOR CALIBER GUN BRANCH, CODE G34")</f>
        <v>MAJOR CALIBER GUN BRANCH, CODE G34</v>
      </c>
      <c r="C4293" t="str">
        <f>T("3RD AVENUE, BLDG. 61N, ROOM 122")</f>
        <v>3RD AVENUE, BLDG. 61N, ROOM 122</v>
      </c>
      <c r="D4293" t="str">
        <f>T("PICATINNY")</f>
        <v>PICATINNY</v>
      </c>
      <c r="E4293" t="str">
        <f>T("NJ")</f>
        <v>NJ</v>
      </c>
      <c r="F4293" t="str">
        <f>T("078060000")</f>
        <v>078060000</v>
      </c>
      <c r="G4293" t="str">
        <f>T("MAJOR CALIBER GUN BRANCH, CODE G34")</f>
        <v>MAJOR CALIBER GUN BRANCH, CODE G34</v>
      </c>
      <c r="H4293" t="str">
        <f>T("3RD AVENUE, BLDG. 61N, ROOM 122")</f>
        <v>3RD AVENUE, BLDG. 61N, ROOM 122</v>
      </c>
      <c r="I4293" t="str">
        <f>T("PICATINNY")</f>
        <v>PICATINNY</v>
      </c>
      <c r="J4293" t="str">
        <f>T("NJ")</f>
        <v>NJ</v>
      </c>
      <c r="K4293" t="str">
        <f>T("9737242459")</f>
        <v>9737242459</v>
      </c>
      <c r="L4293" t="str">
        <f>T("9737246035")</f>
        <v>9737246035</v>
      </c>
    </row>
    <row r="4294" spans="1:12" x14ac:dyDescent="0.35">
      <c r="A4294" t="str">
        <f t="shared" si="1679"/>
        <v>NSWC IH DIV BOWIE</v>
      </c>
      <c r="B4294" t="str">
        <f>T("RDT&amp;E ENERGETICS EVALUATION-R3F")</f>
        <v>RDT&amp;E ENERGETICS EVALUATION-R3F</v>
      </c>
      <c r="C4294" t="str">
        <f>T("3945 BALLISTIC LANE SUITE 1")</f>
        <v>3945 BALLISTIC LANE SUITE 1</v>
      </c>
      <c r="D4294" t="str">
        <f t="shared" ref="D4294:D4300" si="1680">T("INDIAN HEAD")</f>
        <v>INDIAN HEAD</v>
      </c>
      <c r="E4294" t="str">
        <f t="shared" ref="E4294:E4300" si="1681">T("MD")</f>
        <v>MD</v>
      </c>
      <c r="F4294" t="str">
        <f>T("206405089")</f>
        <v>206405089</v>
      </c>
      <c r="G4294" t="str">
        <f>T("3945 BALLISTICS LN STE 1")</f>
        <v>3945 BALLISTICS LN STE 1</v>
      </c>
      <c r="H4294" t="str">
        <f>T("CODE RJ")</f>
        <v>CODE RJ</v>
      </c>
      <c r="I4294" t="str">
        <f>T("INDIAN HEAD")</f>
        <v>INDIAN HEAD</v>
      </c>
      <c r="J4294" t="str">
        <f>T("MD")</f>
        <v>MD</v>
      </c>
      <c r="K4294" t="str">
        <f>T("000000000000000000")</f>
        <v>000000000000000000</v>
      </c>
      <c r="L4294" t="str">
        <f>T("3017442483")</f>
        <v>3017442483</v>
      </c>
    </row>
    <row r="4295" spans="1:12" x14ac:dyDescent="0.35">
      <c r="A4295" t="str">
        <f t="shared" si="1679"/>
        <v>NSWC IH DIV BOWIE</v>
      </c>
      <c r="B4295" t="str">
        <f>T("RDT&amp;E ENERGETICS EVALUATION-R3F")</f>
        <v>RDT&amp;E ENERGETICS EVALUATION-R3F</v>
      </c>
      <c r="C4295" t="str">
        <f>T("3945 BALLISTIC LANE SUITE 1")</f>
        <v>3945 BALLISTIC LANE SUITE 1</v>
      </c>
      <c r="D4295" t="str">
        <f t="shared" si="1680"/>
        <v>INDIAN HEAD</v>
      </c>
      <c r="E4295" t="str">
        <f t="shared" si="1681"/>
        <v>MD</v>
      </c>
      <c r="F4295" t="str">
        <f>T("206405089")</f>
        <v>206405089</v>
      </c>
      <c r="G4295" t="str">
        <f>T("RDT&amp;E ENERGETICS EVALUATION-R3F")</f>
        <v>RDT&amp;E ENERGETICS EVALUATION-R3F</v>
      </c>
      <c r="H4295" t="str">
        <f>T("3945 BALLISTIC LANE SUITE 1")</f>
        <v>3945 BALLISTIC LANE SUITE 1</v>
      </c>
      <c r="I4295" t="str">
        <f>T("INDIAN HEAD")</f>
        <v>INDIAN HEAD</v>
      </c>
      <c r="J4295" t="str">
        <f>T("MD")</f>
        <v>MD</v>
      </c>
      <c r="K4295" t="str">
        <f>T("3017444499")</f>
        <v>3017444499</v>
      </c>
      <c r="L4295" t="str">
        <f>T("3017441809")</f>
        <v>3017441809</v>
      </c>
    </row>
    <row r="4296" spans="1:12" x14ac:dyDescent="0.35">
      <c r="A4296" t="str">
        <f t="shared" ref="A4296:A4341" si="1682">T("NUWC DIVISION KEYPORT")</f>
        <v>NUWC DIVISION KEYPORT</v>
      </c>
      <c r="B4296" t="str">
        <f>T("4158 WEST PATTON ROAD")</f>
        <v>4158 WEST PATTON ROAD</v>
      </c>
      <c r="C4296" t="str">
        <f>T("BLDG 1581")</f>
        <v>BLDG 1581</v>
      </c>
      <c r="D4296" t="str">
        <f t="shared" si="1680"/>
        <v>INDIAN HEAD</v>
      </c>
      <c r="E4296" t="str">
        <f t="shared" si="1681"/>
        <v>MD</v>
      </c>
      <c r="F4296" t="str">
        <f>T("206405137")</f>
        <v>206405137</v>
      </c>
      <c r="G4296" t="str">
        <f>T("4158 WEST PATTON ROAD")</f>
        <v>4158 WEST PATTON ROAD</v>
      </c>
      <c r="H4296" t="str">
        <f>T("BLDG 1581")</f>
        <v>BLDG 1581</v>
      </c>
      <c r="I4296" t="str">
        <f>T("INDIAN HEAD")</f>
        <v>INDIAN HEAD</v>
      </c>
      <c r="J4296" t="str">
        <f>T("MD")</f>
        <v>MD</v>
      </c>
      <c r="K4296" t="str">
        <f>T("3017446344")</f>
        <v>3017446344</v>
      </c>
      <c r="L4296" t="str">
        <f>T("3017446234")</f>
        <v>3017446234</v>
      </c>
    </row>
    <row r="4297" spans="1:12" x14ac:dyDescent="0.35">
      <c r="A4297" t="str">
        <f t="shared" si="1682"/>
        <v>NUWC DIVISION KEYPORT</v>
      </c>
      <c r="B4297" t="str">
        <f>T("4158 WEST PATTON ROAD")</f>
        <v>4158 WEST PATTON ROAD</v>
      </c>
      <c r="C4297" t="str">
        <f>T("BLDG 1581")</f>
        <v>BLDG 1581</v>
      </c>
      <c r="D4297" t="str">
        <f t="shared" si="1680"/>
        <v>INDIAN HEAD</v>
      </c>
      <c r="E4297" t="str">
        <f t="shared" si="1681"/>
        <v>MD</v>
      </c>
      <c r="F4297" t="str">
        <f>T("206405137")</f>
        <v>206405137</v>
      </c>
      <c r="G4297" t="str">
        <f>T("5450 CARLISLE PIKE")</f>
        <v>5450 CARLISLE PIKE</v>
      </c>
      <c r="H4297" t="str">
        <f>T("P O BOX 2060 BLDG 307")</f>
        <v>P O BOX 2060 BLDG 307</v>
      </c>
      <c r="I4297" t="str">
        <f>T("MECHANICSBURG")</f>
        <v>MECHANICSBURG</v>
      </c>
      <c r="J4297" t="str">
        <f>T("PA")</f>
        <v>PA</v>
      </c>
      <c r="K4297" t="str">
        <f>T("000000000000000000")</f>
        <v>000000000000000000</v>
      </c>
      <c r="L4297" t="str">
        <f>T("7176052354")</f>
        <v>7176052354</v>
      </c>
    </row>
    <row r="4298" spans="1:12" x14ac:dyDescent="0.35">
      <c r="A4298" t="str">
        <f t="shared" si="1682"/>
        <v>NUWC DIVISION KEYPORT</v>
      </c>
      <c r="B4298" t="str">
        <f>T("4158 WEST PATTON ROAD")</f>
        <v>4158 WEST PATTON ROAD</v>
      </c>
      <c r="C4298" t="str">
        <f>T("BLDG 1581")</f>
        <v>BLDG 1581</v>
      </c>
      <c r="D4298" t="str">
        <f t="shared" si="1680"/>
        <v>INDIAN HEAD</v>
      </c>
      <c r="E4298" t="str">
        <f t="shared" si="1681"/>
        <v>MD</v>
      </c>
      <c r="F4298" t="str">
        <f>T("206405137")</f>
        <v>206405137</v>
      </c>
      <c r="G4298" t="str">
        <f>T("5450 CARLISLE PIKE")</f>
        <v>5450 CARLISLE PIKE</v>
      </c>
      <c r="H4298" t="str">
        <f>T("P O BOX 2060 BLDG 307")</f>
        <v>P O BOX 2060 BLDG 307</v>
      </c>
      <c r="I4298" t="str">
        <f>T("MECHANICSBURG")</f>
        <v>MECHANICSBURG</v>
      </c>
      <c r="J4298" t="str">
        <f>T("PA")</f>
        <v>PA</v>
      </c>
      <c r="K4298" t="str">
        <f>T("000000000000000000")</f>
        <v>000000000000000000</v>
      </c>
      <c r="L4298" t="str">
        <f>T("7176055095")</f>
        <v>7176055095</v>
      </c>
    </row>
    <row r="4299" spans="1:12" x14ac:dyDescent="0.35">
      <c r="A4299" t="str">
        <f t="shared" si="1682"/>
        <v>NUWC DIVISION KEYPORT</v>
      </c>
      <c r="B4299" t="str">
        <f>T("4158 WEST PATTON ROAD")</f>
        <v>4158 WEST PATTON ROAD</v>
      </c>
      <c r="C4299" t="str">
        <f>T("BLDG 1581")</f>
        <v>BLDG 1581</v>
      </c>
      <c r="D4299" t="str">
        <f t="shared" si="1680"/>
        <v>INDIAN HEAD</v>
      </c>
      <c r="E4299" t="str">
        <f t="shared" si="1681"/>
        <v>MD</v>
      </c>
      <c r="F4299" t="str">
        <f>T("206405137")</f>
        <v>206405137</v>
      </c>
      <c r="G4299" t="str">
        <f>T("5450 CARLISLE PIKE")</f>
        <v>5450 CARLISLE PIKE</v>
      </c>
      <c r="H4299" t="str">
        <f>T("P O BOX 2060 BLDG 307")</f>
        <v>P O BOX 2060 BLDG 307</v>
      </c>
      <c r="I4299" t="str">
        <f>T("MECHANICSBURG")</f>
        <v>MECHANICSBURG</v>
      </c>
      <c r="J4299" t="str">
        <f>T("PA")</f>
        <v>PA</v>
      </c>
      <c r="K4299" t="str">
        <f>T("000000000000000000")</f>
        <v>000000000000000000</v>
      </c>
      <c r="L4299" t="str">
        <f>T("7176057037")</f>
        <v>7176057037</v>
      </c>
    </row>
    <row r="4300" spans="1:12" x14ac:dyDescent="0.35">
      <c r="A4300" t="str">
        <f t="shared" si="1682"/>
        <v>NUWC DIVISION KEYPORT</v>
      </c>
      <c r="B4300" t="str">
        <f>T("4158 WEST PATTON ROAD")</f>
        <v>4158 WEST PATTON ROAD</v>
      </c>
      <c r="C4300" t="str">
        <f>T("BLDG 1581")</f>
        <v>BLDG 1581</v>
      </c>
      <c r="D4300" t="str">
        <f t="shared" si="1680"/>
        <v>INDIAN HEAD</v>
      </c>
      <c r="E4300" t="str">
        <f t="shared" si="1681"/>
        <v>MD</v>
      </c>
      <c r="F4300" t="str">
        <f>T("206405137")</f>
        <v>206405137</v>
      </c>
      <c r="G4300" t="str">
        <f>T("5450 CARLISLE PIKE")</f>
        <v>5450 CARLISLE PIKE</v>
      </c>
      <c r="H4300" t="str">
        <f>T("P O BOX 2060 BLDG 307")</f>
        <v>P O BOX 2060 BLDG 307</v>
      </c>
      <c r="I4300" t="str">
        <f>T("MECHANICSBURG")</f>
        <v>MECHANICSBURG</v>
      </c>
      <c r="J4300" t="str">
        <f>T("PA")</f>
        <v>PA</v>
      </c>
      <c r="K4300" t="str">
        <f>T("7176053995")</f>
        <v>7176053995</v>
      </c>
      <c r="L4300" t="str">
        <f>T("7176052559")</f>
        <v>7176052559</v>
      </c>
    </row>
    <row r="4301" spans="1:12" x14ac:dyDescent="0.35">
      <c r="A4301" t="str">
        <f t="shared" si="1682"/>
        <v>NUWC DIVISION KEYPORT</v>
      </c>
      <c r="B4301" t="str">
        <f t="shared" ref="B4301:B4310" si="1683">T("5450 CARLISLE PIKE")</f>
        <v>5450 CARLISLE PIKE</v>
      </c>
      <c r="C4301" t="str">
        <f>T("")</f>
        <v/>
      </c>
      <c r="D4301" t="str">
        <f t="shared" ref="D4301:D4310" si="1684">T("MECHANICSBURG")</f>
        <v>MECHANICSBURG</v>
      </c>
      <c r="E4301" t="str">
        <f t="shared" ref="E4301:E4310" si="1685">T("PA")</f>
        <v>PA</v>
      </c>
      <c r="F4301" t="str">
        <f>T("170502411")</f>
        <v>170502411</v>
      </c>
      <c r="G4301" t="str">
        <f>T("4158 WEST PATTON ROAD")</f>
        <v>4158 WEST PATTON ROAD</v>
      </c>
      <c r="H4301" t="str">
        <f>T("BLDG 1581")</f>
        <v>BLDG 1581</v>
      </c>
      <c r="I4301" t="str">
        <f>T("INDIAN HEAD")</f>
        <v>INDIAN HEAD</v>
      </c>
      <c r="J4301" t="str">
        <f>T("MD")</f>
        <v>MD</v>
      </c>
      <c r="K4301" t="str">
        <f>T("000000000000000000")</f>
        <v>000000000000000000</v>
      </c>
      <c r="L4301" t="str">
        <f>T("3017446114")</f>
        <v>3017446114</v>
      </c>
    </row>
    <row r="4302" spans="1:12" x14ac:dyDescent="0.35">
      <c r="A4302" t="str">
        <f t="shared" si="1682"/>
        <v>NUWC DIVISION KEYPORT</v>
      </c>
      <c r="B4302" t="str">
        <f t="shared" si="1683"/>
        <v>5450 CARLISLE PIKE</v>
      </c>
      <c r="C4302" t="str">
        <f>T("")</f>
        <v/>
      </c>
      <c r="D4302" t="str">
        <f t="shared" si="1684"/>
        <v>MECHANICSBURG</v>
      </c>
      <c r="E4302" t="str">
        <f t="shared" si="1685"/>
        <v>PA</v>
      </c>
      <c r="F4302" t="str">
        <f>T("170502411")</f>
        <v>170502411</v>
      </c>
      <c r="G4302" t="str">
        <f>T("5450 CARLISLE PIKE")</f>
        <v>5450 CARLISLE PIKE</v>
      </c>
      <c r="H4302" t="str">
        <f>T("")</f>
        <v/>
      </c>
      <c r="I4302" t="str">
        <f>T("MECHANICSBURG")</f>
        <v>MECHANICSBURG</v>
      </c>
      <c r="J4302" t="str">
        <f>T("PA")</f>
        <v>PA</v>
      </c>
      <c r="K4302" t="str">
        <f>T("3017446344")</f>
        <v>3017446344</v>
      </c>
      <c r="L4302" t="str">
        <f>T("7176054308")</f>
        <v>7176054308</v>
      </c>
    </row>
    <row r="4303" spans="1:12" x14ac:dyDescent="0.35">
      <c r="A4303" t="str">
        <f t="shared" si="1682"/>
        <v>NUWC DIVISION KEYPORT</v>
      </c>
      <c r="B4303" t="str">
        <f t="shared" si="1683"/>
        <v>5450 CARLISLE PIKE</v>
      </c>
      <c r="C4303" t="str">
        <f>T("")</f>
        <v/>
      </c>
      <c r="D4303" t="str">
        <f t="shared" si="1684"/>
        <v>MECHANICSBURG</v>
      </c>
      <c r="E4303" t="str">
        <f t="shared" si="1685"/>
        <v>PA</v>
      </c>
      <c r="F4303" t="str">
        <f>T("170502411")</f>
        <v>170502411</v>
      </c>
      <c r="G4303" t="str">
        <f>T("5450 CARLISLE PIKE")</f>
        <v>5450 CARLISLE PIKE</v>
      </c>
      <c r="H4303" t="str">
        <f>T("P O BOX 2060")</f>
        <v>P O BOX 2060</v>
      </c>
      <c r="I4303" t="str">
        <f>T("MECHANICSBURG")</f>
        <v>MECHANICSBURG</v>
      </c>
      <c r="J4303" t="str">
        <f>T("PA")</f>
        <v>PA</v>
      </c>
      <c r="K4303" t="str">
        <f>T("000000000000000000")</f>
        <v>000000000000000000</v>
      </c>
      <c r="L4303" t="str">
        <f>T("7176052370")</f>
        <v>7176052370</v>
      </c>
    </row>
    <row r="4304" spans="1:12" x14ac:dyDescent="0.35">
      <c r="A4304" t="str">
        <f t="shared" si="1682"/>
        <v>NUWC DIVISION KEYPORT</v>
      </c>
      <c r="B4304" t="str">
        <f t="shared" si="1683"/>
        <v>5450 CARLISLE PIKE</v>
      </c>
      <c r="C4304" t="str">
        <f>T("")</f>
        <v/>
      </c>
      <c r="D4304" t="str">
        <f t="shared" si="1684"/>
        <v>MECHANICSBURG</v>
      </c>
      <c r="E4304" t="str">
        <f t="shared" si="1685"/>
        <v>PA</v>
      </c>
      <c r="F4304" t="str">
        <f>T("170502411")</f>
        <v>170502411</v>
      </c>
      <c r="G4304" t="str">
        <f>T("5450 CARLISLE PIKE")</f>
        <v>5450 CARLISLE PIKE</v>
      </c>
      <c r="H4304" t="str">
        <f>T("PO BOX 2060")</f>
        <v>PO BOX 2060</v>
      </c>
      <c r="I4304" t="str">
        <f>T("MECHANICSBURG")</f>
        <v>MECHANICSBURG</v>
      </c>
      <c r="J4304" t="str">
        <f>T("PA")</f>
        <v>PA</v>
      </c>
      <c r="K4304" t="str">
        <f>T("000000000000000000")</f>
        <v>000000000000000000</v>
      </c>
      <c r="L4304" t="str">
        <f>T("7176052247")</f>
        <v>7176052247</v>
      </c>
    </row>
    <row r="4305" spans="1:12" x14ac:dyDescent="0.35">
      <c r="A4305" t="str">
        <f t="shared" si="1682"/>
        <v>NUWC DIVISION KEYPORT</v>
      </c>
      <c r="B4305" t="str">
        <f t="shared" si="1683"/>
        <v>5450 CARLISLE PIKE</v>
      </c>
      <c r="C4305" t="str">
        <f t="shared" ref="C4305:C4310" si="1686">T("P O BOX 2060")</f>
        <v>P O BOX 2060</v>
      </c>
      <c r="D4305" t="str">
        <f t="shared" si="1684"/>
        <v>MECHANICSBURG</v>
      </c>
      <c r="E4305" t="str">
        <f t="shared" si="1685"/>
        <v>PA</v>
      </c>
      <c r="F4305" t="str">
        <f t="shared" ref="F4305:F4310" si="1687">T("170550795")</f>
        <v>170550795</v>
      </c>
      <c r="G4305" t="str">
        <f>T("5450 CARLISLE PIKE")</f>
        <v>5450 CARLISLE PIKE</v>
      </c>
      <c r="H4305" t="str">
        <f>T("P O BOX 2060")</f>
        <v>P O BOX 2060</v>
      </c>
      <c r="I4305" t="str">
        <f>T("MECHANICSBURG")</f>
        <v>MECHANICSBURG</v>
      </c>
      <c r="J4305" t="str">
        <f>T("PA")</f>
        <v>PA</v>
      </c>
      <c r="K4305" t="str">
        <f>T("7176053995")</f>
        <v>7176053995</v>
      </c>
      <c r="L4305" t="str">
        <f>T("7176053682")</f>
        <v>7176053682</v>
      </c>
    </row>
    <row r="4306" spans="1:12" x14ac:dyDescent="0.35">
      <c r="A4306" t="str">
        <f t="shared" si="1682"/>
        <v>NUWC DIVISION KEYPORT</v>
      </c>
      <c r="B4306" t="str">
        <f t="shared" si="1683"/>
        <v>5450 CARLISLE PIKE</v>
      </c>
      <c r="C4306" t="str">
        <f t="shared" si="1686"/>
        <v>P O BOX 2060</v>
      </c>
      <c r="D4306" t="str">
        <f t="shared" si="1684"/>
        <v>MECHANICSBURG</v>
      </c>
      <c r="E4306" t="str">
        <f t="shared" si="1685"/>
        <v>PA</v>
      </c>
      <c r="F4306" t="str">
        <f t="shared" si="1687"/>
        <v>170550795</v>
      </c>
      <c r="G4306" t="str">
        <f t="shared" ref="G4306:G4312" si="1688">T("610 DOWELL ST")</f>
        <v>610 DOWELL ST</v>
      </c>
      <c r="H4306" t="str">
        <f>T("BLDG 1050")</f>
        <v>BLDG 1050</v>
      </c>
      <c r="I4306" t="str">
        <f t="shared" ref="I4306:I4341" si="1689">T("KEYPORT")</f>
        <v>KEYPORT</v>
      </c>
      <c r="J4306" t="str">
        <f t="shared" ref="J4306:J4341" si="1690">T("WA")</f>
        <v>WA</v>
      </c>
      <c r="K4306" t="str">
        <f>T("000000000000000000")</f>
        <v>000000000000000000</v>
      </c>
      <c r="L4306" t="str">
        <f>T("3603153168")</f>
        <v>3603153168</v>
      </c>
    </row>
    <row r="4307" spans="1:12" x14ac:dyDescent="0.35">
      <c r="A4307" t="str">
        <f t="shared" si="1682"/>
        <v>NUWC DIVISION KEYPORT</v>
      </c>
      <c r="B4307" t="str">
        <f t="shared" si="1683"/>
        <v>5450 CARLISLE PIKE</v>
      </c>
      <c r="C4307" t="str">
        <f t="shared" si="1686"/>
        <v>P O BOX 2060</v>
      </c>
      <c r="D4307" t="str">
        <f t="shared" si="1684"/>
        <v>MECHANICSBURG</v>
      </c>
      <c r="E4307" t="str">
        <f t="shared" si="1685"/>
        <v>PA</v>
      </c>
      <c r="F4307" t="str">
        <f t="shared" si="1687"/>
        <v>170550795</v>
      </c>
      <c r="G4307" t="str">
        <f t="shared" si="1688"/>
        <v>610 DOWELL ST</v>
      </c>
      <c r="H4307" t="str">
        <f>T("BLDG 1074")</f>
        <v>BLDG 1074</v>
      </c>
      <c r="I4307" t="str">
        <f t="shared" si="1689"/>
        <v>KEYPORT</v>
      </c>
      <c r="J4307" t="str">
        <f t="shared" si="1690"/>
        <v>WA</v>
      </c>
      <c r="K4307" t="str">
        <f>T("000000000000000000")</f>
        <v>000000000000000000</v>
      </c>
      <c r="L4307" t="str">
        <f>T("3603157549")</f>
        <v>3603157549</v>
      </c>
    </row>
    <row r="4308" spans="1:12" x14ac:dyDescent="0.35">
      <c r="A4308" t="str">
        <f t="shared" si="1682"/>
        <v>NUWC DIVISION KEYPORT</v>
      </c>
      <c r="B4308" t="str">
        <f t="shared" si="1683"/>
        <v>5450 CARLISLE PIKE</v>
      </c>
      <c r="C4308" t="str">
        <f t="shared" si="1686"/>
        <v>P O BOX 2060</v>
      </c>
      <c r="D4308" t="str">
        <f t="shared" si="1684"/>
        <v>MECHANICSBURG</v>
      </c>
      <c r="E4308" t="str">
        <f t="shared" si="1685"/>
        <v>PA</v>
      </c>
      <c r="F4308" t="str">
        <f t="shared" si="1687"/>
        <v>170550795</v>
      </c>
      <c r="G4308" t="str">
        <f t="shared" si="1688"/>
        <v>610 DOWELL ST</v>
      </c>
      <c r="H4308" t="str">
        <f>T("BLDG 82")</f>
        <v>BLDG 82</v>
      </c>
      <c r="I4308" t="str">
        <f t="shared" si="1689"/>
        <v>KEYPORT</v>
      </c>
      <c r="J4308" t="str">
        <f t="shared" si="1690"/>
        <v>WA</v>
      </c>
      <c r="K4308" t="str">
        <f>T("000000000000000000")</f>
        <v>000000000000000000</v>
      </c>
      <c r="L4308" t="str">
        <f>T("3603153837")</f>
        <v>3603153837</v>
      </c>
    </row>
    <row r="4309" spans="1:12" x14ac:dyDescent="0.35">
      <c r="A4309" t="str">
        <f t="shared" si="1682"/>
        <v>NUWC DIVISION KEYPORT</v>
      </c>
      <c r="B4309" t="str">
        <f t="shared" si="1683"/>
        <v>5450 CARLISLE PIKE</v>
      </c>
      <c r="C4309" t="str">
        <f t="shared" si="1686"/>
        <v>P O BOX 2060</v>
      </c>
      <c r="D4309" t="str">
        <f t="shared" si="1684"/>
        <v>MECHANICSBURG</v>
      </c>
      <c r="E4309" t="str">
        <f t="shared" si="1685"/>
        <v>PA</v>
      </c>
      <c r="F4309" t="str">
        <f t="shared" si="1687"/>
        <v>170550795</v>
      </c>
      <c r="G4309" t="str">
        <f t="shared" si="1688"/>
        <v>610 DOWELL ST</v>
      </c>
      <c r="H4309" t="str">
        <f>T("BLDG 82T CODE 20B")</f>
        <v>BLDG 82T CODE 20B</v>
      </c>
      <c r="I4309" t="str">
        <f t="shared" si="1689"/>
        <v>KEYPORT</v>
      </c>
      <c r="J4309" t="str">
        <f t="shared" si="1690"/>
        <v>WA</v>
      </c>
      <c r="K4309" t="str">
        <f>T("000000000000000000")</f>
        <v>000000000000000000</v>
      </c>
      <c r="L4309" t="str">
        <f>T("3603158557")</f>
        <v>3603158557</v>
      </c>
    </row>
    <row r="4310" spans="1:12" x14ac:dyDescent="0.35">
      <c r="A4310" t="str">
        <f t="shared" si="1682"/>
        <v>NUWC DIVISION KEYPORT</v>
      </c>
      <c r="B4310" t="str">
        <f t="shared" si="1683"/>
        <v>5450 CARLISLE PIKE</v>
      </c>
      <c r="C4310" t="str">
        <f t="shared" si="1686"/>
        <v>P O BOX 2060</v>
      </c>
      <c r="D4310" t="str">
        <f t="shared" si="1684"/>
        <v>MECHANICSBURG</v>
      </c>
      <c r="E4310" t="str">
        <f t="shared" si="1685"/>
        <v>PA</v>
      </c>
      <c r="F4310" t="str">
        <f t="shared" si="1687"/>
        <v>170550795</v>
      </c>
      <c r="G4310" t="str">
        <f t="shared" si="1688"/>
        <v>610 DOWELL ST</v>
      </c>
      <c r="H4310" t="str">
        <f>T("CODE 214")</f>
        <v>CODE 214</v>
      </c>
      <c r="I4310" t="str">
        <f t="shared" si="1689"/>
        <v>KEYPORT</v>
      </c>
      <c r="J4310" t="str">
        <f t="shared" si="1690"/>
        <v>WA</v>
      </c>
      <c r="K4310" t="str">
        <f>T("000000000000000000")</f>
        <v>000000000000000000</v>
      </c>
      <c r="L4310" t="str">
        <f>T("3603961352")</f>
        <v>3603961352</v>
      </c>
    </row>
    <row r="4311" spans="1:12" x14ac:dyDescent="0.35">
      <c r="A4311" t="str">
        <f t="shared" si="1682"/>
        <v>NUWC DIVISION KEYPORT</v>
      </c>
      <c r="B4311" t="str">
        <f t="shared" ref="B4311:B4330" si="1691">T("610 DOWELL ST")</f>
        <v>610 DOWELL ST</v>
      </c>
      <c r="C4311" t="str">
        <f>T("")</f>
        <v/>
      </c>
      <c r="D4311" t="str">
        <f t="shared" ref="D4311:D4341" si="1692">T("KEYPORT")</f>
        <v>KEYPORT</v>
      </c>
      <c r="E4311" t="str">
        <f t="shared" ref="E4311:E4341" si="1693">T("WA")</f>
        <v>WA</v>
      </c>
      <c r="F4311" t="str">
        <f t="shared" ref="F4311:F4341" si="1694">T("983457600")</f>
        <v>983457600</v>
      </c>
      <c r="G4311" t="str">
        <f t="shared" si="1688"/>
        <v>610 DOWELL ST</v>
      </c>
      <c r="H4311" t="str">
        <f>T("")</f>
        <v/>
      </c>
      <c r="I4311" t="str">
        <f t="shared" si="1689"/>
        <v>KEYPORT</v>
      </c>
      <c r="J4311" t="str">
        <f t="shared" si="1690"/>
        <v>WA</v>
      </c>
      <c r="K4311" t="str">
        <f>T("")</f>
        <v/>
      </c>
      <c r="L4311" t="str">
        <f>T("3603153846")</f>
        <v>3603153846</v>
      </c>
    </row>
    <row r="4312" spans="1:12" x14ac:dyDescent="0.35">
      <c r="A4312" t="str">
        <f t="shared" si="1682"/>
        <v>NUWC DIVISION KEYPORT</v>
      </c>
      <c r="B4312" t="str">
        <f t="shared" si="1691"/>
        <v>610 DOWELL ST</v>
      </c>
      <c r="C4312" t="str">
        <f>T("")</f>
        <v/>
      </c>
      <c r="D4312" t="str">
        <f t="shared" si="1692"/>
        <v>KEYPORT</v>
      </c>
      <c r="E4312" t="str">
        <f t="shared" si="1693"/>
        <v>WA</v>
      </c>
      <c r="F4312" t="str">
        <f t="shared" si="1694"/>
        <v>983457600</v>
      </c>
      <c r="G4312" t="str">
        <f t="shared" si="1688"/>
        <v>610 DOWELL ST</v>
      </c>
      <c r="H4312" t="str">
        <f>T("")</f>
        <v/>
      </c>
      <c r="I4312" t="str">
        <f t="shared" si="1689"/>
        <v>KEYPORT</v>
      </c>
      <c r="J4312" t="str">
        <f t="shared" si="1690"/>
        <v>WA</v>
      </c>
      <c r="K4312" t="str">
        <f>T("000000000000000000")</f>
        <v>000000000000000000</v>
      </c>
      <c r="L4312" t="str">
        <f>T("3603158461")</f>
        <v>3603158461</v>
      </c>
    </row>
    <row r="4313" spans="1:12" x14ac:dyDescent="0.35">
      <c r="A4313" t="str">
        <f t="shared" si="1682"/>
        <v>NUWC DIVISION KEYPORT</v>
      </c>
      <c r="B4313" t="str">
        <f t="shared" si="1691"/>
        <v>610 DOWELL ST</v>
      </c>
      <c r="C4313" t="str">
        <f>T("")</f>
        <v/>
      </c>
      <c r="D4313" t="str">
        <f t="shared" si="1692"/>
        <v>KEYPORT</v>
      </c>
      <c r="E4313" t="str">
        <f t="shared" si="1693"/>
        <v>WA</v>
      </c>
      <c r="F4313" t="str">
        <f t="shared" si="1694"/>
        <v>983457600</v>
      </c>
      <c r="G4313" t="str">
        <f>T("610 DOWELL STREET")</f>
        <v>610 DOWELL STREET</v>
      </c>
      <c r="H4313" t="str">
        <f>T("")</f>
        <v/>
      </c>
      <c r="I4313" t="str">
        <f t="shared" si="1689"/>
        <v>KEYPORT</v>
      </c>
      <c r="J4313" t="str">
        <f t="shared" si="1690"/>
        <v>WA</v>
      </c>
      <c r="K4313" t="str">
        <f>T("3603965193")</f>
        <v>3603965193</v>
      </c>
      <c r="L4313" t="str">
        <f>T("3603158599")</f>
        <v>3603158599</v>
      </c>
    </row>
    <row r="4314" spans="1:12" x14ac:dyDescent="0.35">
      <c r="A4314" t="str">
        <f t="shared" si="1682"/>
        <v>NUWC DIVISION KEYPORT</v>
      </c>
      <c r="B4314" t="str">
        <f t="shared" si="1691"/>
        <v>610 DOWELL ST</v>
      </c>
      <c r="C4314" t="str">
        <f>T("BLDG 1050")</f>
        <v>BLDG 1050</v>
      </c>
      <c r="D4314" t="str">
        <f t="shared" si="1692"/>
        <v>KEYPORT</v>
      </c>
      <c r="E4314" t="str">
        <f t="shared" si="1693"/>
        <v>WA</v>
      </c>
      <c r="F4314" t="str">
        <f t="shared" si="1694"/>
        <v>983457600</v>
      </c>
      <c r="G4314" t="str">
        <f>T("610 DOWELL ST")</f>
        <v>610 DOWELL ST</v>
      </c>
      <c r="H4314" t="str">
        <f>T("BLDG 1050")</f>
        <v>BLDG 1050</v>
      </c>
      <c r="I4314" t="str">
        <f t="shared" si="1689"/>
        <v>KEYPORT</v>
      </c>
      <c r="J4314" t="str">
        <f t="shared" si="1690"/>
        <v>WA</v>
      </c>
      <c r="K4314" t="str">
        <f>T("000000000000000000")</f>
        <v>000000000000000000</v>
      </c>
      <c r="L4314" t="str">
        <f>T("3603157636")</f>
        <v>3603157636</v>
      </c>
    </row>
    <row r="4315" spans="1:12" x14ac:dyDescent="0.35">
      <c r="A4315" t="str">
        <f t="shared" si="1682"/>
        <v>NUWC DIVISION KEYPORT</v>
      </c>
      <c r="B4315" t="str">
        <f t="shared" si="1691"/>
        <v>610 DOWELL ST</v>
      </c>
      <c r="C4315" t="str">
        <f>T("BLDG 206")</f>
        <v>BLDG 206</v>
      </c>
      <c r="D4315" t="str">
        <f t="shared" si="1692"/>
        <v>KEYPORT</v>
      </c>
      <c r="E4315" t="str">
        <f t="shared" si="1693"/>
        <v>WA</v>
      </c>
      <c r="F4315" t="str">
        <f t="shared" si="1694"/>
        <v>983457600</v>
      </c>
      <c r="G4315" t="str">
        <f>T("610 DOWELL ST")</f>
        <v>610 DOWELL ST</v>
      </c>
      <c r="H4315" t="str">
        <f>T("BLDG 206")</f>
        <v>BLDG 206</v>
      </c>
      <c r="I4315" t="str">
        <f t="shared" si="1689"/>
        <v>KEYPORT</v>
      </c>
      <c r="J4315" t="str">
        <f t="shared" si="1690"/>
        <v>WA</v>
      </c>
      <c r="K4315" t="str">
        <f>T("")</f>
        <v/>
      </c>
      <c r="L4315" t="str">
        <f>T("3603961014")</f>
        <v>3603961014</v>
      </c>
    </row>
    <row r="4316" spans="1:12" x14ac:dyDescent="0.35">
      <c r="A4316" t="str">
        <f t="shared" si="1682"/>
        <v>NUWC DIVISION KEYPORT</v>
      </c>
      <c r="B4316" t="str">
        <f t="shared" si="1691"/>
        <v>610 DOWELL ST</v>
      </c>
      <c r="C4316" t="str">
        <f>T("BLDG 206")</f>
        <v>BLDG 206</v>
      </c>
      <c r="D4316" t="str">
        <f t="shared" si="1692"/>
        <v>KEYPORT</v>
      </c>
      <c r="E4316" t="str">
        <f t="shared" si="1693"/>
        <v>WA</v>
      </c>
      <c r="F4316" t="str">
        <f t="shared" si="1694"/>
        <v>983457600</v>
      </c>
      <c r="G4316" t="str">
        <f>T("610 DOWELL ST")</f>
        <v>610 DOWELL ST</v>
      </c>
      <c r="H4316" t="str">
        <f>T("BLDG 206")</f>
        <v>BLDG 206</v>
      </c>
      <c r="I4316" t="str">
        <f t="shared" si="1689"/>
        <v>KEYPORT</v>
      </c>
      <c r="J4316" t="str">
        <f t="shared" si="1690"/>
        <v>WA</v>
      </c>
      <c r="K4316" t="str">
        <f>T("000000000000000000")</f>
        <v>000000000000000000</v>
      </c>
      <c r="L4316" t="str">
        <f>T("3603156708")</f>
        <v>3603156708</v>
      </c>
    </row>
    <row r="4317" spans="1:12" x14ac:dyDescent="0.35">
      <c r="A4317" t="str">
        <f t="shared" si="1682"/>
        <v>NUWC DIVISION KEYPORT</v>
      </c>
      <c r="B4317" t="str">
        <f t="shared" si="1691"/>
        <v>610 DOWELL ST</v>
      </c>
      <c r="C4317" t="str">
        <f>T("BLDG 206")</f>
        <v>BLDG 206</v>
      </c>
      <c r="D4317" t="str">
        <f t="shared" si="1692"/>
        <v>KEYPORT</v>
      </c>
      <c r="E4317" t="str">
        <f t="shared" si="1693"/>
        <v>WA</v>
      </c>
      <c r="F4317" t="str">
        <f t="shared" si="1694"/>
        <v>983457600</v>
      </c>
      <c r="G4317" t="str">
        <f>T("NUWC DIVISION KEYPORT")</f>
        <v>NUWC DIVISION KEYPORT</v>
      </c>
      <c r="H4317" t="str">
        <f>T("610 DOWELL ST")</f>
        <v>610 DOWELL ST</v>
      </c>
      <c r="I4317" t="str">
        <f t="shared" si="1689"/>
        <v>KEYPORT</v>
      </c>
      <c r="J4317" t="str">
        <f t="shared" si="1690"/>
        <v>WA</v>
      </c>
      <c r="K4317" t="str">
        <f>T("000000000000000000")</f>
        <v>000000000000000000</v>
      </c>
      <c r="L4317" t="str">
        <f>T("3603153379")</f>
        <v>3603153379</v>
      </c>
    </row>
    <row r="4318" spans="1:12" x14ac:dyDescent="0.35">
      <c r="A4318" t="str">
        <f t="shared" si="1682"/>
        <v>NUWC DIVISION KEYPORT</v>
      </c>
      <c r="B4318" t="str">
        <f t="shared" si="1691"/>
        <v>610 DOWELL ST</v>
      </c>
      <c r="C4318" t="str">
        <f t="shared" ref="C4318:C4323" si="1695">T("BLDG 82T")</f>
        <v>BLDG 82T</v>
      </c>
      <c r="D4318" t="str">
        <f t="shared" si="1692"/>
        <v>KEYPORT</v>
      </c>
      <c r="E4318" t="str">
        <f t="shared" si="1693"/>
        <v>WA</v>
      </c>
      <c r="F4318" t="str">
        <f t="shared" si="1694"/>
        <v>983457600</v>
      </c>
      <c r="G4318" t="str">
        <f>T("410 DOWELL ST")</f>
        <v>410 DOWELL ST</v>
      </c>
      <c r="H4318" t="str">
        <f>T("CODE 321")</f>
        <v>CODE 321</v>
      </c>
      <c r="I4318" t="str">
        <f t="shared" si="1689"/>
        <v>KEYPORT</v>
      </c>
      <c r="J4318" t="str">
        <f t="shared" si="1690"/>
        <v>WA</v>
      </c>
      <c r="K4318" t="str">
        <f>T("000000000000000000")</f>
        <v>000000000000000000</v>
      </c>
      <c r="L4318" t="str">
        <f>T("3603962535")</f>
        <v>3603962535</v>
      </c>
    </row>
    <row r="4319" spans="1:12" x14ac:dyDescent="0.35">
      <c r="A4319" t="str">
        <f t="shared" si="1682"/>
        <v>NUWC DIVISION KEYPORT</v>
      </c>
      <c r="B4319" t="str">
        <f t="shared" si="1691"/>
        <v>610 DOWELL ST</v>
      </c>
      <c r="C4319" t="str">
        <f t="shared" si="1695"/>
        <v>BLDG 82T</v>
      </c>
      <c r="D4319" t="str">
        <f t="shared" si="1692"/>
        <v>KEYPORT</v>
      </c>
      <c r="E4319" t="str">
        <f t="shared" si="1693"/>
        <v>WA</v>
      </c>
      <c r="F4319" t="str">
        <f t="shared" si="1694"/>
        <v>983457600</v>
      </c>
      <c r="G4319" t="str">
        <f>T("610 DOWELL ST")</f>
        <v>610 DOWELL ST</v>
      </c>
      <c r="H4319" t="str">
        <f>T("")</f>
        <v/>
      </c>
      <c r="I4319" t="str">
        <f t="shared" si="1689"/>
        <v>KEYPORT</v>
      </c>
      <c r="J4319" t="str">
        <f t="shared" si="1690"/>
        <v>WA</v>
      </c>
      <c r="K4319" t="str">
        <f>T("000000000000000000")</f>
        <v>000000000000000000</v>
      </c>
      <c r="L4319" t="str">
        <f>T("3603158432")</f>
        <v>3603158432</v>
      </c>
    </row>
    <row r="4320" spans="1:12" x14ac:dyDescent="0.35">
      <c r="A4320" t="str">
        <f t="shared" si="1682"/>
        <v>NUWC DIVISION KEYPORT</v>
      </c>
      <c r="B4320" t="str">
        <f t="shared" si="1691"/>
        <v>610 DOWELL ST</v>
      </c>
      <c r="C4320" t="str">
        <f t="shared" si="1695"/>
        <v>BLDG 82T</v>
      </c>
      <c r="D4320" t="str">
        <f t="shared" si="1692"/>
        <v>KEYPORT</v>
      </c>
      <c r="E4320" t="str">
        <f t="shared" si="1693"/>
        <v>WA</v>
      </c>
      <c r="F4320" t="str">
        <f t="shared" si="1694"/>
        <v>983457600</v>
      </c>
      <c r="G4320" t="str">
        <f>T("610 DOWELL ST")</f>
        <v>610 DOWELL ST</v>
      </c>
      <c r="H4320" t="str">
        <f>T("BLDG 82T")</f>
        <v>BLDG 82T</v>
      </c>
      <c r="I4320" t="str">
        <f t="shared" si="1689"/>
        <v>KEYPORT</v>
      </c>
      <c r="J4320" t="str">
        <f t="shared" si="1690"/>
        <v>WA</v>
      </c>
      <c r="K4320" t="str">
        <f>T("360 396 2578")</f>
        <v>360 396 2578</v>
      </c>
      <c r="L4320" t="str">
        <f>T("3603962303")</f>
        <v>3603962303</v>
      </c>
    </row>
    <row r="4321" spans="1:12" x14ac:dyDescent="0.35">
      <c r="A4321" t="str">
        <f t="shared" si="1682"/>
        <v>NUWC DIVISION KEYPORT</v>
      </c>
      <c r="B4321" t="str">
        <f t="shared" si="1691"/>
        <v>610 DOWELL ST</v>
      </c>
      <c r="C4321" t="str">
        <f t="shared" si="1695"/>
        <v>BLDG 82T</v>
      </c>
      <c r="D4321" t="str">
        <f t="shared" si="1692"/>
        <v>KEYPORT</v>
      </c>
      <c r="E4321" t="str">
        <f t="shared" si="1693"/>
        <v>WA</v>
      </c>
      <c r="F4321" t="str">
        <f t="shared" si="1694"/>
        <v>983457600</v>
      </c>
      <c r="G4321" t="str">
        <f>T("610 DOWELL ST")</f>
        <v>610 DOWELL ST</v>
      </c>
      <c r="H4321" t="str">
        <f>T("CODE 32")</f>
        <v>CODE 32</v>
      </c>
      <c r="I4321" t="str">
        <f t="shared" si="1689"/>
        <v>KEYPORT</v>
      </c>
      <c r="J4321" t="str">
        <f t="shared" si="1690"/>
        <v>WA</v>
      </c>
      <c r="K4321" t="str">
        <f t="shared" ref="K4321:K4335" si="1696">T("000000000000000000")</f>
        <v>000000000000000000</v>
      </c>
      <c r="L4321" t="str">
        <f>T("3603156745")</f>
        <v>3603156745</v>
      </c>
    </row>
    <row r="4322" spans="1:12" x14ac:dyDescent="0.35">
      <c r="A4322" t="str">
        <f t="shared" si="1682"/>
        <v>NUWC DIVISION KEYPORT</v>
      </c>
      <c r="B4322" t="str">
        <f t="shared" si="1691"/>
        <v>610 DOWELL ST</v>
      </c>
      <c r="C4322" t="str">
        <f t="shared" si="1695"/>
        <v>BLDG 82T</v>
      </c>
      <c r="D4322" t="str">
        <f t="shared" si="1692"/>
        <v>KEYPORT</v>
      </c>
      <c r="E4322" t="str">
        <f t="shared" si="1693"/>
        <v>WA</v>
      </c>
      <c r="F4322" t="str">
        <f t="shared" si="1694"/>
        <v>983457600</v>
      </c>
      <c r="G4322" t="str">
        <f>T("610 DOWELL ST")</f>
        <v>610 DOWELL ST</v>
      </c>
      <c r="H4322" t="str">
        <f>T("CODE 321")</f>
        <v>CODE 321</v>
      </c>
      <c r="I4322" t="str">
        <f t="shared" si="1689"/>
        <v>KEYPORT</v>
      </c>
      <c r="J4322" t="str">
        <f t="shared" si="1690"/>
        <v>WA</v>
      </c>
      <c r="K4322" t="str">
        <f t="shared" si="1696"/>
        <v>000000000000000000</v>
      </c>
      <c r="L4322" t="str">
        <f>T("3603150914")</f>
        <v>3603150914</v>
      </c>
    </row>
    <row r="4323" spans="1:12" x14ac:dyDescent="0.35">
      <c r="A4323" t="str">
        <f t="shared" si="1682"/>
        <v>NUWC DIVISION KEYPORT</v>
      </c>
      <c r="B4323" t="str">
        <f t="shared" si="1691"/>
        <v>610 DOWELL ST</v>
      </c>
      <c r="C4323" t="str">
        <f t="shared" si="1695"/>
        <v>BLDG 82T</v>
      </c>
      <c r="D4323" t="str">
        <f t="shared" si="1692"/>
        <v>KEYPORT</v>
      </c>
      <c r="E4323" t="str">
        <f t="shared" si="1693"/>
        <v>WA</v>
      </c>
      <c r="F4323" t="str">
        <f t="shared" si="1694"/>
        <v>983457600</v>
      </c>
      <c r="G4323" t="str">
        <f>T("BLDG 82T")</f>
        <v>BLDG 82T</v>
      </c>
      <c r="H4323" t="str">
        <f>T("610 DOWELL ST")</f>
        <v>610 DOWELL ST</v>
      </c>
      <c r="I4323" t="str">
        <f t="shared" si="1689"/>
        <v>KEYPORT</v>
      </c>
      <c r="J4323" t="str">
        <f t="shared" si="1690"/>
        <v>WA</v>
      </c>
      <c r="K4323" t="str">
        <f t="shared" si="1696"/>
        <v>000000000000000000</v>
      </c>
      <c r="L4323" t="str">
        <f>T("3603153811")</f>
        <v>3603153811</v>
      </c>
    </row>
    <row r="4324" spans="1:12" x14ac:dyDescent="0.35">
      <c r="A4324" t="str">
        <f t="shared" si="1682"/>
        <v>NUWC DIVISION KEYPORT</v>
      </c>
      <c r="B4324" t="str">
        <f t="shared" si="1691"/>
        <v>610 DOWELL ST</v>
      </c>
      <c r="C4324" t="str">
        <f t="shared" ref="C4324:C4330" si="1697">T("CODE 183 BLDG 206")</f>
        <v>CODE 183 BLDG 206</v>
      </c>
      <c r="D4324" t="str">
        <f t="shared" si="1692"/>
        <v>KEYPORT</v>
      </c>
      <c r="E4324" t="str">
        <f t="shared" si="1693"/>
        <v>WA</v>
      </c>
      <c r="F4324" t="str">
        <f t="shared" si="1694"/>
        <v>983457600</v>
      </c>
      <c r="G4324" t="str">
        <f t="shared" ref="G4324:G4330" si="1698">T("610 DOWELL ST")</f>
        <v>610 DOWELL ST</v>
      </c>
      <c r="H4324" t="str">
        <f t="shared" ref="H4324:H4329" si="1699">T("CODE 02")</f>
        <v>CODE 02</v>
      </c>
      <c r="I4324" t="str">
        <f t="shared" si="1689"/>
        <v>KEYPORT</v>
      </c>
      <c r="J4324" t="str">
        <f t="shared" si="1690"/>
        <v>WA</v>
      </c>
      <c r="K4324" t="str">
        <f t="shared" si="1696"/>
        <v>000000000000000000</v>
      </c>
      <c r="L4324" t="str">
        <f>T("3603150683")</f>
        <v>3603150683</v>
      </c>
    </row>
    <row r="4325" spans="1:12" x14ac:dyDescent="0.35">
      <c r="A4325" t="str">
        <f t="shared" si="1682"/>
        <v>NUWC DIVISION KEYPORT</v>
      </c>
      <c r="B4325" t="str">
        <f t="shared" si="1691"/>
        <v>610 DOWELL ST</v>
      </c>
      <c r="C4325" t="str">
        <f t="shared" si="1697"/>
        <v>CODE 183 BLDG 206</v>
      </c>
      <c r="D4325" t="str">
        <f t="shared" si="1692"/>
        <v>KEYPORT</v>
      </c>
      <c r="E4325" t="str">
        <f t="shared" si="1693"/>
        <v>WA</v>
      </c>
      <c r="F4325" t="str">
        <f t="shared" si="1694"/>
        <v>983457600</v>
      </c>
      <c r="G4325" t="str">
        <f t="shared" si="1698"/>
        <v>610 DOWELL ST</v>
      </c>
      <c r="H4325" t="str">
        <f t="shared" si="1699"/>
        <v>CODE 02</v>
      </c>
      <c r="I4325" t="str">
        <f t="shared" si="1689"/>
        <v>KEYPORT</v>
      </c>
      <c r="J4325" t="str">
        <f t="shared" si="1690"/>
        <v>WA</v>
      </c>
      <c r="K4325" t="str">
        <f t="shared" si="1696"/>
        <v>000000000000000000</v>
      </c>
      <c r="L4325" t="str">
        <f>T("3603150986")</f>
        <v>3603150986</v>
      </c>
    </row>
    <row r="4326" spans="1:12" x14ac:dyDescent="0.35">
      <c r="A4326" t="str">
        <f t="shared" si="1682"/>
        <v>NUWC DIVISION KEYPORT</v>
      </c>
      <c r="B4326" t="str">
        <f t="shared" si="1691"/>
        <v>610 DOWELL ST</v>
      </c>
      <c r="C4326" t="str">
        <f t="shared" si="1697"/>
        <v>CODE 183 BLDG 206</v>
      </c>
      <c r="D4326" t="str">
        <f t="shared" si="1692"/>
        <v>KEYPORT</v>
      </c>
      <c r="E4326" t="str">
        <f t="shared" si="1693"/>
        <v>WA</v>
      </c>
      <c r="F4326" t="str">
        <f t="shared" si="1694"/>
        <v>983457600</v>
      </c>
      <c r="G4326" t="str">
        <f t="shared" si="1698"/>
        <v>610 DOWELL ST</v>
      </c>
      <c r="H4326" t="str">
        <f t="shared" si="1699"/>
        <v>CODE 02</v>
      </c>
      <c r="I4326" t="str">
        <f t="shared" si="1689"/>
        <v>KEYPORT</v>
      </c>
      <c r="J4326" t="str">
        <f t="shared" si="1690"/>
        <v>WA</v>
      </c>
      <c r="K4326" t="str">
        <f t="shared" si="1696"/>
        <v>000000000000000000</v>
      </c>
      <c r="L4326" t="str">
        <f>T("3603150988")</f>
        <v>3603150988</v>
      </c>
    </row>
    <row r="4327" spans="1:12" x14ac:dyDescent="0.35">
      <c r="A4327" t="str">
        <f t="shared" si="1682"/>
        <v>NUWC DIVISION KEYPORT</v>
      </c>
      <c r="B4327" t="str">
        <f t="shared" si="1691"/>
        <v>610 DOWELL ST</v>
      </c>
      <c r="C4327" t="str">
        <f t="shared" si="1697"/>
        <v>CODE 183 BLDG 206</v>
      </c>
      <c r="D4327" t="str">
        <f t="shared" si="1692"/>
        <v>KEYPORT</v>
      </c>
      <c r="E4327" t="str">
        <f t="shared" si="1693"/>
        <v>WA</v>
      </c>
      <c r="F4327" t="str">
        <f t="shared" si="1694"/>
        <v>983457600</v>
      </c>
      <c r="G4327" t="str">
        <f t="shared" si="1698"/>
        <v>610 DOWELL ST</v>
      </c>
      <c r="H4327" t="str">
        <f t="shared" si="1699"/>
        <v>CODE 02</v>
      </c>
      <c r="I4327" t="str">
        <f t="shared" si="1689"/>
        <v>KEYPORT</v>
      </c>
      <c r="J4327" t="str">
        <f t="shared" si="1690"/>
        <v>WA</v>
      </c>
      <c r="K4327" t="str">
        <f t="shared" si="1696"/>
        <v>000000000000000000</v>
      </c>
      <c r="L4327" t="str">
        <f>T("3603153585")</f>
        <v>3603153585</v>
      </c>
    </row>
    <row r="4328" spans="1:12" x14ac:dyDescent="0.35">
      <c r="A4328" t="str">
        <f t="shared" si="1682"/>
        <v>NUWC DIVISION KEYPORT</v>
      </c>
      <c r="B4328" t="str">
        <f t="shared" si="1691"/>
        <v>610 DOWELL ST</v>
      </c>
      <c r="C4328" t="str">
        <f t="shared" si="1697"/>
        <v>CODE 183 BLDG 206</v>
      </c>
      <c r="D4328" t="str">
        <f t="shared" si="1692"/>
        <v>KEYPORT</v>
      </c>
      <c r="E4328" t="str">
        <f t="shared" si="1693"/>
        <v>WA</v>
      </c>
      <c r="F4328" t="str">
        <f t="shared" si="1694"/>
        <v>983457600</v>
      </c>
      <c r="G4328" t="str">
        <f t="shared" si="1698"/>
        <v>610 DOWELL ST</v>
      </c>
      <c r="H4328" t="str">
        <f t="shared" si="1699"/>
        <v>CODE 02</v>
      </c>
      <c r="I4328" t="str">
        <f t="shared" si="1689"/>
        <v>KEYPORT</v>
      </c>
      <c r="J4328" t="str">
        <f t="shared" si="1690"/>
        <v>WA</v>
      </c>
      <c r="K4328" t="str">
        <f t="shared" si="1696"/>
        <v>000000000000000000</v>
      </c>
      <c r="L4328" t="str">
        <f>T("3603157854")</f>
        <v>3603157854</v>
      </c>
    </row>
    <row r="4329" spans="1:12" x14ac:dyDescent="0.35">
      <c r="A4329" t="str">
        <f t="shared" si="1682"/>
        <v>NUWC DIVISION KEYPORT</v>
      </c>
      <c r="B4329" t="str">
        <f t="shared" si="1691"/>
        <v>610 DOWELL ST</v>
      </c>
      <c r="C4329" t="str">
        <f t="shared" si="1697"/>
        <v>CODE 183 BLDG 206</v>
      </c>
      <c r="D4329" t="str">
        <f t="shared" si="1692"/>
        <v>KEYPORT</v>
      </c>
      <c r="E4329" t="str">
        <f t="shared" si="1693"/>
        <v>WA</v>
      </c>
      <c r="F4329" t="str">
        <f t="shared" si="1694"/>
        <v>983457600</v>
      </c>
      <c r="G4329" t="str">
        <f t="shared" si="1698"/>
        <v>610 DOWELL ST</v>
      </c>
      <c r="H4329" t="str">
        <f t="shared" si="1699"/>
        <v>CODE 02</v>
      </c>
      <c r="I4329" t="str">
        <f t="shared" si="1689"/>
        <v>KEYPORT</v>
      </c>
      <c r="J4329" t="str">
        <f t="shared" si="1690"/>
        <v>WA</v>
      </c>
      <c r="K4329" t="str">
        <f t="shared" si="1696"/>
        <v>000000000000000000</v>
      </c>
      <c r="L4329" t="str">
        <f>T("3603962428")</f>
        <v>3603962428</v>
      </c>
    </row>
    <row r="4330" spans="1:12" x14ac:dyDescent="0.35">
      <c r="A4330" t="str">
        <f t="shared" si="1682"/>
        <v>NUWC DIVISION KEYPORT</v>
      </c>
      <c r="B4330" t="str">
        <f t="shared" si="1691"/>
        <v>610 DOWELL ST</v>
      </c>
      <c r="C4330" t="str">
        <f t="shared" si="1697"/>
        <v>CODE 183 BLDG 206</v>
      </c>
      <c r="D4330" t="str">
        <f t="shared" si="1692"/>
        <v>KEYPORT</v>
      </c>
      <c r="E4330" t="str">
        <f t="shared" si="1693"/>
        <v>WA</v>
      </c>
      <c r="F4330" t="str">
        <f t="shared" si="1694"/>
        <v>983457600</v>
      </c>
      <c r="G4330" t="str">
        <f t="shared" si="1698"/>
        <v>610 DOWELL ST</v>
      </c>
      <c r="H4330" t="str">
        <f>T("CODE 183 BLDG 206")</f>
        <v>CODE 183 BLDG 206</v>
      </c>
      <c r="I4330" t="str">
        <f t="shared" si="1689"/>
        <v>KEYPORT</v>
      </c>
      <c r="J4330" t="str">
        <f t="shared" si="1690"/>
        <v>WA</v>
      </c>
      <c r="K4330" t="str">
        <f t="shared" si="1696"/>
        <v>000000000000000000</v>
      </c>
      <c r="L4330" t="str">
        <f>T("3603155899")</f>
        <v>3603155899</v>
      </c>
    </row>
    <row r="4331" spans="1:12" x14ac:dyDescent="0.35">
      <c r="A4331" t="str">
        <f t="shared" si="1682"/>
        <v>NUWC DIVISION KEYPORT</v>
      </c>
      <c r="B4331" t="str">
        <f>T("610 DOWELL ST BLDG 206")</f>
        <v>610 DOWELL ST BLDG 206</v>
      </c>
      <c r="C4331" t="str">
        <f t="shared" ref="C4331:C4336" si="1700">T("")</f>
        <v/>
      </c>
      <c r="D4331" t="str">
        <f t="shared" si="1692"/>
        <v>KEYPORT</v>
      </c>
      <c r="E4331" t="str">
        <f t="shared" si="1693"/>
        <v>WA</v>
      </c>
      <c r="F4331" t="str">
        <f t="shared" si="1694"/>
        <v>983457600</v>
      </c>
      <c r="G4331" t="str">
        <f>T("410 DOWELL ST")</f>
        <v>410 DOWELL ST</v>
      </c>
      <c r="H4331" t="str">
        <f>T("CODE 312")</f>
        <v>CODE 312</v>
      </c>
      <c r="I4331" t="str">
        <f t="shared" si="1689"/>
        <v>KEYPORT</v>
      </c>
      <c r="J4331" t="str">
        <f t="shared" si="1690"/>
        <v>WA</v>
      </c>
      <c r="K4331" t="str">
        <f t="shared" si="1696"/>
        <v>000000000000000000</v>
      </c>
      <c r="L4331" t="str">
        <f>T("3603152154")</f>
        <v>3603152154</v>
      </c>
    </row>
    <row r="4332" spans="1:12" x14ac:dyDescent="0.35">
      <c r="A4332" t="str">
        <f t="shared" si="1682"/>
        <v>NUWC DIVISION KEYPORT</v>
      </c>
      <c r="B4332" t="str">
        <f>T("610 DOWELL ST BLDG 206")</f>
        <v>610 DOWELL ST BLDG 206</v>
      </c>
      <c r="C4332" t="str">
        <f t="shared" si="1700"/>
        <v/>
      </c>
      <c r="D4332" t="str">
        <f t="shared" si="1692"/>
        <v>KEYPORT</v>
      </c>
      <c r="E4332" t="str">
        <f t="shared" si="1693"/>
        <v>WA</v>
      </c>
      <c r="F4332" t="str">
        <f t="shared" si="1694"/>
        <v>983457600</v>
      </c>
      <c r="G4332" t="str">
        <f>T("610 DOWELL ST")</f>
        <v>610 DOWELL ST</v>
      </c>
      <c r="H4332" t="str">
        <f>T("BLDG 98")</f>
        <v>BLDG 98</v>
      </c>
      <c r="I4332" t="str">
        <f t="shared" si="1689"/>
        <v>KEYPORT</v>
      </c>
      <c r="J4332" t="str">
        <f t="shared" si="1690"/>
        <v>WA</v>
      </c>
      <c r="K4332" t="str">
        <f t="shared" si="1696"/>
        <v>000000000000000000</v>
      </c>
      <c r="L4332" t="str">
        <f>T("3603153864")</f>
        <v>3603153864</v>
      </c>
    </row>
    <row r="4333" spans="1:12" x14ac:dyDescent="0.35">
      <c r="A4333" t="str">
        <f t="shared" si="1682"/>
        <v>NUWC DIVISION KEYPORT</v>
      </c>
      <c r="B4333" t="str">
        <f>T("610 DOWELL ST BLDG 206")</f>
        <v>610 DOWELL ST BLDG 206</v>
      </c>
      <c r="C4333" t="str">
        <f t="shared" si="1700"/>
        <v/>
      </c>
      <c r="D4333" t="str">
        <f t="shared" si="1692"/>
        <v>KEYPORT</v>
      </c>
      <c r="E4333" t="str">
        <f t="shared" si="1693"/>
        <v>WA</v>
      </c>
      <c r="F4333" t="str">
        <f t="shared" si="1694"/>
        <v>983457600</v>
      </c>
      <c r="G4333" t="str">
        <f>T("610 DOWELL ST BLDG 206")</f>
        <v>610 DOWELL ST BLDG 206</v>
      </c>
      <c r="H4333" t="str">
        <f>T("")</f>
        <v/>
      </c>
      <c r="I4333" t="str">
        <f t="shared" si="1689"/>
        <v>KEYPORT</v>
      </c>
      <c r="J4333" t="str">
        <f t="shared" si="1690"/>
        <v>WA</v>
      </c>
      <c r="K4333" t="str">
        <f t="shared" si="1696"/>
        <v>000000000000000000</v>
      </c>
      <c r="L4333" t="str">
        <f>T("3603155846")</f>
        <v>3603155846</v>
      </c>
    </row>
    <row r="4334" spans="1:12" x14ac:dyDescent="0.35">
      <c r="A4334" t="str">
        <f t="shared" si="1682"/>
        <v>NUWC DIVISION KEYPORT</v>
      </c>
      <c r="B4334" t="str">
        <f>T("610 DOWELL ST BLDG 206")</f>
        <v>610 DOWELL ST BLDG 206</v>
      </c>
      <c r="C4334" t="str">
        <f t="shared" si="1700"/>
        <v/>
      </c>
      <c r="D4334" t="str">
        <f t="shared" si="1692"/>
        <v>KEYPORT</v>
      </c>
      <c r="E4334" t="str">
        <f t="shared" si="1693"/>
        <v>WA</v>
      </c>
      <c r="F4334" t="str">
        <f t="shared" si="1694"/>
        <v>983457600</v>
      </c>
      <c r="G4334" t="str">
        <f>T("NUWC DIVISION KEYPORT")</f>
        <v>NUWC DIVISION KEYPORT</v>
      </c>
      <c r="H4334" t="str">
        <f>T("610 DOWELL STREET")</f>
        <v>610 DOWELL STREET</v>
      </c>
      <c r="I4334" t="str">
        <f t="shared" si="1689"/>
        <v>KEYPORT</v>
      </c>
      <c r="J4334" t="str">
        <f t="shared" si="1690"/>
        <v>WA</v>
      </c>
      <c r="K4334" t="str">
        <f t="shared" si="1696"/>
        <v>000000000000000000</v>
      </c>
      <c r="L4334" t="str">
        <f>T("3603150438")</f>
        <v>3603150438</v>
      </c>
    </row>
    <row r="4335" spans="1:12" x14ac:dyDescent="0.35">
      <c r="A4335" t="str">
        <f t="shared" si="1682"/>
        <v>NUWC DIVISION KEYPORT</v>
      </c>
      <c r="B4335" t="str">
        <f>T("610 DOWELL STREET")</f>
        <v>610 DOWELL STREET</v>
      </c>
      <c r="C4335" t="str">
        <f t="shared" si="1700"/>
        <v/>
      </c>
      <c r="D4335" t="str">
        <f t="shared" si="1692"/>
        <v>KEYPORT</v>
      </c>
      <c r="E4335" t="str">
        <f t="shared" si="1693"/>
        <v>WA</v>
      </c>
      <c r="F4335" t="str">
        <f t="shared" si="1694"/>
        <v>983457600</v>
      </c>
      <c r="G4335" t="str">
        <f>T("610 DOWELL ST")</f>
        <v>610 DOWELL ST</v>
      </c>
      <c r="H4335" t="str">
        <f>T("BLDG 206")</f>
        <v>BLDG 206</v>
      </c>
      <c r="I4335" t="str">
        <f t="shared" si="1689"/>
        <v>KEYPORT</v>
      </c>
      <c r="J4335" t="str">
        <f t="shared" si="1690"/>
        <v>WA</v>
      </c>
      <c r="K4335" t="str">
        <f t="shared" si="1696"/>
        <v>000000000000000000</v>
      </c>
      <c r="L4335" t="str">
        <f>T("3603153871")</f>
        <v>3603153871</v>
      </c>
    </row>
    <row r="4336" spans="1:12" x14ac:dyDescent="0.35">
      <c r="A4336" t="str">
        <f t="shared" si="1682"/>
        <v>NUWC DIVISION KEYPORT</v>
      </c>
      <c r="B4336" t="str">
        <f>T("610 DOWELL STREET")</f>
        <v>610 DOWELL STREET</v>
      </c>
      <c r="C4336" t="str">
        <f t="shared" si="1700"/>
        <v/>
      </c>
      <c r="D4336" t="str">
        <f t="shared" si="1692"/>
        <v>KEYPORT</v>
      </c>
      <c r="E4336" t="str">
        <f t="shared" si="1693"/>
        <v>WA</v>
      </c>
      <c r="F4336" t="str">
        <f t="shared" si="1694"/>
        <v>983457600</v>
      </c>
      <c r="G4336" t="str">
        <f>T("610 DOWELL STREET")</f>
        <v>610 DOWELL STREET</v>
      </c>
      <c r="H4336" t="str">
        <f>T("")</f>
        <v/>
      </c>
      <c r="I4336" t="str">
        <f t="shared" si="1689"/>
        <v>KEYPORT</v>
      </c>
      <c r="J4336" t="str">
        <f t="shared" si="1690"/>
        <v>WA</v>
      </c>
      <c r="K4336" t="str">
        <f>T("3603965648")</f>
        <v>3603965648</v>
      </c>
      <c r="L4336" t="str">
        <f>T("3603158433")</f>
        <v>3603158433</v>
      </c>
    </row>
    <row r="4337" spans="1:12" x14ac:dyDescent="0.35">
      <c r="A4337" t="str">
        <f t="shared" si="1682"/>
        <v>NUWC DIVISION KEYPORT</v>
      </c>
      <c r="B4337" t="str">
        <f>T("610 DOWELL STREET")</f>
        <v>610 DOWELL STREET</v>
      </c>
      <c r="C4337" t="str">
        <f>T("BLDG 206L")</f>
        <v>BLDG 206L</v>
      </c>
      <c r="D4337" t="str">
        <f t="shared" si="1692"/>
        <v>KEYPORT</v>
      </c>
      <c r="E4337" t="str">
        <f t="shared" si="1693"/>
        <v>WA</v>
      </c>
      <c r="F4337" t="str">
        <f t="shared" si="1694"/>
        <v>983457600</v>
      </c>
      <c r="G4337" t="str">
        <f>T("610 DOWELL STREET")</f>
        <v>610 DOWELL STREET</v>
      </c>
      <c r="H4337" t="str">
        <f>T("BLDG 206L")</f>
        <v>BLDG 206L</v>
      </c>
      <c r="I4337" t="str">
        <f t="shared" si="1689"/>
        <v>KEYPORT</v>
      </c>
      <c r="J4337" t="str">
        <f t="shared" si="1690"/>
        <v>WA</v>
      </c>
      <c r="K4337" t="str">
        <f t="shared" ref="K4337:K4344" si="1701">T("000000000000000000")</f>
        <v>000000000000000000</v>
      </c>
      <c r="L4337" t="str">
        <f>T("3603155899")</f>
        <v>3603155899</v>
      </c>
    </row>
    <row r="4338" spans="1:12" x14ac:dyDescent="0.35">
      <c r="A4338" t="str">
        <f t="shared" si="1682"/>
        <v>NUWC DIVISION KEYPORT</v>
      </c>
      <c r="B4338" t="str">
        <f>T("NUWC DIVISION KEYPORT")</f>
        <v>NUWC DIVISION KEYPORT</v>
      </c>
      <c r="C4338" t="str">
        <f>T("610 DOWELL ST")</f>
        <v>610 DOWELL ST</v>
      </c>
      <c r="D4338" t="str">
        <f t="shared" si="1692"/>
        <v>KEYPORT</v>
      </c>
      <c r="E4338" t="str">
        <f t="shared" si="1693"/>
        <v>WA</v>
      </c>
      <c r="F4338" t="str">
        <f t="shared" si="1694"/>
        <v>983457600</v>
      </c>
      <c r="G4338" t="str">
        <f>T("610 DOWELL ST")</f>
        <v>610 DOWELL ST</v>
      </c>
      <c r="H4338" t="str">
        <f>T("")</f>
        <v/>
      </c>
      <c r="I4338" t="str">
        <f t="shared" si="1689"/>
        <v>KEYPORT</v>
      </c>
      <c r="J4338" t="str">
        <f t="shared" si="1690"/>
        <v>WA</v>
      </c>
      <c r="K4338" t="str">
        <f t="shared" si="1701"/>
        <v>000000000000000000</v>
      </c>
      <c r="L4338" t="str">
        <f>T("3603156741")</f>
        <v>3603156741</v>
      </c>
    </row>
    <row r="4339" spans="1:12" x14ac:dyDescent="0.35">
      <c r="A4339" t="str">
        <f t="shared" si="1682"/>
        <v>NUWC DIVISION KEYPORT</v>
      </c>
      <c r="B4339" t="str">
        <f>T("NUWC DIVISION KEYPORT")</f>
        <v>NUWC DIVISION KEYPORT</v>
      </c>
      <c r="C4339" t="str">
        <f>T("610 DOWELL ST")</f>
        <v>610 DOWELL ST</v>
      </c>
      <c r="D4339" t="str">
        <f t="shared" si="1692"/>
        <v>KEYPORT</v>
      </c>
      <c r="E4339" t="str">
        <f t="shared" si="1693"/>
        <v>WA</v>
      </c>
      <c r="F4339" t="str">
        <f t="shared" si="1694"/>
        <v>983457600</v>
      </c>
      <c r="G4339" t="str">
        <f>T("610 DOWELL ST")</f>
        <v>610 DOWELL ST</v>
      </c>
      <c r="H4339" t="str">
        <f>T("")</f>
        <v/>
      </c>
      <c r="I4339" t="str">
        <f t="shared" si="1689"/>
        <v>KEYPORT</v>
      </c>
      <c r="J4339" t="str">
        <f t="shared" si="1690"/>
        <v>WA</v>
      </c>
      <c r="K4339" t="str">
        <f t="shared" si="1701"/>
        <v>000000000000000000</v>
      </c>
      <c r="L4339" t="str">
        <f>T("3603157012")</f>
        <v>3603157012</v>
      </c>
    </row>
    <row r="4340" spans="1:12" x14ac:dyDescent="0.35">
      <c r="A4340" t="str">
        <f t="shared" si="1682"/>
        <v>NUWC DIVISION KEYPORT</v>
      </c>
      <c r="B4340" t="str">
        <f>T("NUWC DIVISION KEYPORT")</f>
        <v>NUWC DIVISION KEYPORT</v>
      </c>
      <c r="C4340" t="str">
        <f>T("610 DOWELL ST")</f>
        <v>610 DOWELL ST</v>
      </c>
      <c r="D4340" t="str">
        <f t="shared" si="1692"/>
        <v>KEYPORT</v>
      </c>
      <c r="E4340" t="str">
        <f t="shared" si="1693"/>
        <v>WA</v>
      </c>
      <c r="F4340" t="str">
        <f t="shared" si="1694"/>
        <v>983457600</v>
      </c>
      <c r="G4340" t="str">
        <f>T("610 DOWELL ST")</f>
        <v>610 DOWELL ST</v>
      </c>
      <c r="H4340" t="str">
        <f>T("BLDG 15")</f>
        <v>BLDG 15</v>
      </c>
      <c r="I4340" t="str">
        <f t="shared" si="1689"/>
        <v>KEYPORT</v>
      </c>
      <c r="J4340" t="str">
        <f t="shared" si="1690"/>
        <v>WA</v>
      </c>
      <c r="K4340" t="str">
        <f t="shared" si="1701"/>
        <v>000000000000000000</v>
      </c>
      <c r="L4340" t="str">
        <f>T("3603156735")</f>
        <v>3603156735</v>
      </c>
    </row>
    <row r="4341" spans="1:12" x14ac:dyDescent="0.35">
      <c r="A4341" t="str">
        <f t="shared" si="1682"/>
        <v>NUWC DIVISION KEYPORT</v>
      </c>
      <c r="B4341" t="str">
        <f>T("NUWC DIVISION KEYPORT")</f>
        <v>NUWC DIVISION KEYPORT</v>
      </c>
      <c r="C4341" t="str">
        <f>T("610 DOWELL ST")</f>
        <v>610 DOWELL ST</v>
      </c>
      <c r="D4341" t="str">
        <f t="shared" si="1692"/>
        <v>KEYPORT</v>
      </c>
      <c r="E4341" t="str">
        <f t="shared" si="1693"/>
        <v>WA</v>
      </c>
      <c r="F4341" t="str">
        <f t="shared" si="1694"/>
        <v>983457600</v>
      </c>
      <c r="G4341" t="str">
        <f>T("NUWC DIVISION KEYPORT")</f>
        <v>NUWC DIVISION KEYPORT</v>
      </c>
      <c r="H4341" t="str">
        <f>T("610 DOWELL ST")</f>
        <v>610 DOWELL ST</v>
      </c>
      <c r="I4341" t="str">
        <f t="shared" si="1689"/>
        <v>KEYPORT</v>
      </c>
      <c r="J4341" t="str">
        <f t="shared" si="1690"/>
        <v>WA</v>
      </c>
      <c r="K4341" t="str">
        <f t="shared" si="1701"/>
        <v>000000000000000000</v>
      </c>
      <c r="L4341" t="str">
        <f>T("3603150302")</f>
        <v>3603150302</v>
      </c>
    </row>
    <row r="4342" spans="1:12" x14ac:dyDescent="0.35">
      <c r="A4342" t="str">
        <f t="shared" ref="A4342:A4354" si="1702">T("SUPSHIP C AND R BATH ME")</f>
        <v>SUPSHIP C AND R BATH ME</v>
      </c>
      <c r="B4342" t="str">
        <f>T("574 WASHINGTON ST")</f>
        <v>574 WASHINGTON ST</v>
      </c>
      <c r="C4342" t="str">
        <f>T("")</f>
        <v/>
      </c>
      <c r="D4342" t="str">
        <f t="shared" ref="D4342:D4354" si="1703">T("BATH")</f>
        <v>BATH</v>
      </c>
      <c r="E4342" t="str">
        <f t="shared" ref="E4342:E4354" si="1704">T("ME")</f>
        <v>ME</v>
      </c>
      <c r="F4342" t="str">
        <f t="shared" ref="F4342:F4354" si="1705">T("045301961")</f>
        <v>045301961</v>
      </c>
      <c r="G4342" t="str">
        <f>T("574 WASHINGTON ST")</f>
        <v>574 WASHINGTON ST</v>
      </c>
      <c r="H4342" t="str">
        <f>T("")</f>
        <v/>
      </c>
      <c r="I4342" t="str">
        <f t="shared" ref="I4342:I4352" si="1706">T("BATH")</f>
        <v>BATH</v>
      </c>
      <c r="J4342" t="str">
        <f t="shared" ref="J4342:J4352" si="1707">T("ME")</f>
        <v>ME</v>
      </c>
      <c r="K4342" t="str">
        <f t="shared" si="1701"/>
        <v>000000000000000000</v>
      </c>
      <c r="L4342" t="str">
        <f>T("2074422788")</f>
        <v>2074422788</v>
      </c>
    </row>
    <row r="4343" spans="1:12" x14ac:dyDescent="0.35">
      <c r="A4343" t="str">
        <f t="shared" si="1702"/>
        <v>SUPSHIP C AND R BATH ME</v>
      </c>
      <c r="B4343" t="str">
        <f>T("574 WASHINGTON ST")</f>
        <v>574 WASHINGTON ST</v>
      </c>
      <c r="C4343" t="str">
        <f>T("")</f>
        <v/>
      </c>
      <c r="D4343" t="str">
        <f t="shared" si="1703"/>
        <v>BATH</v>
      </c>
      <c r="E4343" t="str">
        <f t="shared" si="1704"/>
        <v>ME</v>
      </c>
      <c r="F4343" t="str">
        <f t="shared" si="1705"/>
        <v>045301961</v>
      </c>
      <c r="G4343" t="str">
        <f>T("574 WASHINGTON STREET")</f>
        <v>574 WASHINGTON STREET</v>
      </c>
      <c r="H4343" t="str">
        <f>T("")</f>
        <v/>
      </c>
      <c r="I4343" t="str">
        <f t="shared" si="1706"/>
        <v>BATH</v>
      </c>
      <c r="J4343" t="str">
        <f t="shared" si="1707"/>
        <v>ME</v>
      </c>
      <c r="K4343" t="str">
        <f t="shared" si="1701"/>
        <v>000000000000000000</v>
      </c>
      <c r="L4343" t="str">
        <f>T("2074422640")</f>
        <v>2074422640</v>
      </c>
    </row>
    <row r="4344" spans="1:12" x14ac:dyDescent="0.35">
      <c r="A4344" t="str">
        <f t="shared" si="1702"/>
        <v>SUPSHIP C AND R BATH ME</v>
      </c>
      <c r="B4344" t="str">
        <f>T("574 WASHINGTON ST")</f>
        <v>574 WASHINGTON ST</v>
      </c>
      <c r="C4344" t="str">
        <f>T("")</f>
        <v/>
      </c>
      <c r="D4344" t="str">
        <f t="shared" si="1703"/>
        <v>BATH</v>
      </c>
      <c r="E4344" t="str">
        <f t="shared" si="1704"/>
        <v>ME</v>
      </c>
      <c r="F4344" t="str">
        <f t="shared" si="1705"/>
        <v>045301961</v>
      </c>
      <c r="G4344" t="str">
        <f>T("574 WASHINGTON STREET")</f>
        <v>574 WASHINGTON STREET</v>
      </c>
      <c r="H4344" t="str">
        <f>T("")</f>
        <v/>
      </c>
      <c r="I4344" t="str">
        <f t="shared" si="1706"/>
        <v>BATH</v>
      </c>
      <c r="J4344" t="str">
        <f t="shared" si="1707"/>
        <v>ME</v>
      </c>
      <c r="K4344" t="str">
        <f t="shared" si="1701"/>
        <v>000000000000000000</v>
      </c>
      <c r="L4344" t="str">
        <f>T("2074422678")</f>
        <v>2074422678</v>
      </c>
    </row>
    <row r="4345" spans="1:12" x14ac:dyDescent="0.35">
      <c r="A4345" t="str">
        <f t="shared" si="1702"/>
        <v>SUPSHIP C AND R BATH ME</v>
      </c>
      <c r="B4345" t="str">
        <f>T("574 WASHINGTON ST")</f>
        <v>574 WASHINGTON ST</v>
      </c>
      <c r="C4345" t="str">
        <f>T("M540")</f>
        <v>M540</v>
      </c>
      <c r="D4345" t="str">
        <f t="shared" si="1703"/>
        <v>BATH</v>
      </c>
      <c r="E4345" t="str">
        <f t="shared" si="1704"/>
        <v>ME</v>
      </c>
      <c r="F4345" t="str">
        <f t="shared" si="1705"/>
        <v>045301961</v>
      </c>
      <c r="G4345" t="str">
        <f>T("574 WASHINGTON ST")</f>
        <v>574 WASHINGTON ST</v>
      </c>
      <c r="H4345" t="str">
        <f>T("M540")</f>
        <v>M540</v>
      </c>
      <c r="I4345" t="str">
        <f t="shared" si="1706"/>
        <v>BATH</v>
      </c>
      <c r="J4345" t="str">
        <f t="shared" si="1707"/>
        <v>ME</v>
      </c>
      <c r="K4345" t="str">
        <f>T("2074424965")</f>
        <v>2074424965</v>
      </c>
      <c r="L4345" t="str">
        <f>T("2074422906")</f>
        <v>2074422906</v>
      </c>
    </row>
    <row r="4346" spans="1:12" x14ac:dyDescent="0.35">
      <c r="A4346" t="str">
        <f t="shared" si="1702"/>
        <v>SUPSHIP C AND R BATH ME</v>
      </c>
      <c r="B4346" t="str">
        <f>T("574 WASHINGTON ST")</f>
        <v>574 WASHINGTON ST</v>
      </c>
      <c r="C4346" t="str">
        <f>T("M540")</f>
        <v>M540</v>
      </c>
      <c r="D4346" t="str">
        <f t="shared" si="1703"/>
        <v>BATH</v>
      </c>
      <c r="E4346" t="str">
        <f t="shared" si="1704"/>
        <v>ME</v>
      </c>
      <c r="F4346" t="str">
        <f t="shared" si="1705"/>
        <v>045301961</v>
      </c>
      <c r="G4346" t="str">
        <f>T("SUPERVISOR OF SHIPBUILDING")</f>
        <v>SUPERVISOR OF SHIPBUILDING</v>
      </c>
      <c r="H4346" t="str">
        <f>T("574 WASHINGTON STREET")</f>
        <v>574 WASHINGTON STREET</v>
      </c>
      <c r="I4346" t="str">
        <f t="shared" si="1706"/>
        <v>BATH</v>
      </c>
      <c r="J4346" t="str">
        <f t="shared" si="1707"/>
        <v>ME</v>
      </c>
      <c r="K4346" t="str">
        <f>T("000000000000000000")</f>
        <v>000000000000000000</v>
      </c>
      <c r="L4346" t="str">
        <f>T("2074422519")</f>
        <v>2074422519</v>
      </c>
    </row>
    <row r="4347" spans="1:12" x14ac:dyDescent="0.35">
      <c r="A4347" t="str">
        <f t="shared" si="1702"/>
        <v>SUPSHIP C AND R BATH ME</v>
      </c>
      <c r="B4347" t="str">
        <f>T("574 WASHINGTON STREET")</f>
        <v>574 WASHINGTON STREET</v>
      </c>
      <c r="C4347" t="str">
        <f>T("")</f>
        <v/>
      </c>
      <c r="D4347" t="str">
        <f t="shared" si="1703"/>
        <v>BATH</v>
      </c>
      <c r="E4347" t="str">
        <f t="shared" si="1704"/>
        <v>ME</v>
      </c>
      <c r="F4347" t="str">
        <f t="shared" si="1705"/>
        <v>045301961</v>
      </c>
      <c r="G4347" t="str">
        <f>T("574 WASHINGTON STREET")</f>
        <v>574 WASHINGTON STREET</v>
      </c>
      <c r="H4347" t="str">
        <f>T("")</f>
        <v/>
      </c>
      <c r="I4347" t="str">
        <f t="shared" si="1706"/>
        <v>BATH</v>
      </c>
      <c r="J4347" t="str">
        <f t="shared" si="1707"/>
        <v>ME</v>
      </c>
      <c r="K4347" t="str">
        <f>T("000000000000000000")</f>
        <v>000000000000000000</v>
      </c>
      <c r="L4347" t="str">
        <f>T("2074425351")</f>
        <v>2074425351</v>
      </c>
    </row>
    <row r="4348" spans="1:12" x14ac:dyDescent="0.35">
      <c r="A4348" t="str">
        <f t="shared" si="1702"/>
        <v>SUPSHIP C AND R BATH ME</v>
      </c>
      <c r="B4348" t="str">
        <f>T("574 WASHINGTON STREET")</f>
        <v>574 WASHINGTON STREET</v>
      </c>
      <c r="C4348" t="str">
        <f>T("")</f>
        <v/>
      </c>
      <c r="D4348" t="str">
        <f t="shared" si="1703"/>
        <v>BATH</v>
      </c>
      <c r="E4348" t="str">
        <f t="shared" si="1704"/>
        <v>ME</v>
      </c>
      <c r="F4348" t="str">
        <f t="shared" si="1705"/>
        <v>045301961</v>
      </c>
      <c r="G4348" t="str">
        <f>T("574 WASHINGTON STREET")</f>
        <v>574 WASHINGTON STREET</v>
      </c>
      <c r="H4348" t="str">
        <f>T("")</f>
        <v/>
      </c>
      <c r="I4348" t="str">
        <f t="shared" si="1706"/>
        <v>BATH</v>
      </c>
      <c r="J4348" t="str">
        <f t="shared" si="1707"/>
        <v>ME</v>
      </c>
      <c r="K4348" t="str">
        <f>T("2074421030")</f>
        <v>2074421030</v>
      </c>
      <c r="L4348" t="str">
        <f>T("2074422640")</f>
        <v>2074422640</v>
      </c>
    </row>
    <row r="4349" spans="1:12" x14ac:dyDescent="0.35">
      <c r="A4349" t="str">
        <f t="shared" si="1702"/>
        <v>SUPSHIP C AND R BATH ME</v>
      </c>
      <c r="B4349" t="str">
        <f>T("574 WASHINGTON STREET")</f>
        <v>574 WASHINGTON STREET</v>
      </c>
      <c r="C4349" t="str">
        <f>T("")</f>
        <v/>
      </c>
      <c r="D4349" t="str">
        <f t="shared" si="1703"/>
        <v>BATH</v>
      </c>
      <c r="E4349" t="str">
        <f t="shared" si="1704"/>
        <v>ME</v>
      </c>
      <c r="F4349" t="str">
        <f t="shared" si="1705"/>
        <v>045301961</v>
      </c>
      <c r="G4349" t="str">
        <f>T("574 WASHINGTON STREET")</f>
        <v>574 WASHINGTON STREET</v>
      </c>
      <c r="H4349" t="str">
        <f>T("")</f>
        <v/>
      </c>
      <c r="I4349" t="str">
        <f t="shared" si="1706"/>
        <v>BATH</v>
      </c>
      <c r="J4349" t="str">
        <f t="shared" si="1707"/>
        <v>ME</v>
      </c>
      <c r="K4349" t="str">
        <f>T("2074421030")</f>
        <v>2074421030</v>
      </c>
      <c r="L4349" t="str">
        <f>T("2074422678")</f>
        <v>2074422678</v>
      </c>
    </row>
    <row r="4350" spans="1:12" x14ac:dyDescent="0.35">
      <c r="A4350" t="str">
        <f t="shared" si="1702"/>
        <v>SUPSHIP C AND R BATH ME</v>
      </c>
      <c r="B4350" t="str">
        <f>T("NAVY ERP AO")</f>
        <v>NAVY ERP AO</v>
      </c>
      <c r="C4350" t="str">
        <f>T("574 WASHINGTON ST")</f>
        <v>574 WASHINGTON ST</v>
      </c>
      <c r="D4350" t="str">
        <f t="shared" si="1703"/>
        <v>BATH</v>
      </c>
      <c r="E4350" t="str">
        <f t="shared" si="1704"/>
        <v>ME</v>
      </c>
      <c r="F4350" t="str">
        <f t="shared" si="1705"/>
        <v>045301961</v>
      </c>
      <c r="G4350" t="str">
        <f>T("574 WASHINGTON STREET")</f>
        <v>574 WASHINGTON STREET</v>
      </c>
      <c r="H4350" t="str">
        <f>T("")</f>
        <v/>
      </c>
      <c r="I4350" t="str">
        <f t="shared" si="1706"/>
        <v>BATH</v>
      </c>
      <c r="J4350" t="str">
        <f t="shared" si="1707"/>
        <v>ME</v>
      </c>
      <c r="K4350" t="str">
        <f>T("000000000000000000")</f>
        <v>000000000000000000</v>
      </c>
      <c r="L4350" t="str">
        <f>T("2074423363")</f>
        <v>2074423363</v>
      </c>
    </row>
    <row r="4351" spans="1:12" x14ac:dyDescent="0.35">
      <c r="A4351" t="str">
        <f t="shared" si="1702"/>
        <v>SUPSHIP C AND R BATH ME</v>
      </c>
      <c r="B4351" t="str">
        <f>T("NAVY ERP AO")</f>
        <v>NAVY ERP AO</v>
      </c>
      <c r="C4351" t="str">
        <f>T("574 WASHINGTON ST")</f>
        <v>574 WASHINGTON ST</v>
      </c>
      <c r="D4351" t="str">
        <f t="shared" si="1703"/>
        <v>BATH</v>
      </c>
      <c r="E4351" t="str">
        <f t="shared" si="1704"/>
        <v>ME</v>
      </c>
      <c r="F4351" t="str">
        <f t="shared" si="1705"/>
        <v>045301961</v>
      </c>
      <c r="G4351" t="str">
        <f>T("NAVY ERP AO")</f>
        <v>NAVY ERP AO</v>
      </c>
      <c r="H4351" t="str">
        <f>T("574 WASHINGTON ST")</f>
        <v>574 WASHINGTON ST</v>
      </c>
      <c r="I4351" t="str">
        <f t="shared" si="1706"/>
        <v>BATH</v>
      </c>
      <c r="J4351" t="str">
        <f t="shared" si="1707"/>
        <v>ME</v>
      </c>
      <c r="K4351" t="str">
        <f>T("")</f>
        <v/>
      </c>
      <c r="L4351" t="str">
        <f>T("2074422906")</f>
        <v>2074422906</v>
      </c>
    </row>
    <row r="4352" spans="1:12" x14ac:dyDescent="0.35">
      <c r="A4352" t="str">
        <f t="shared" si="1702"/>
        <v>SUPSHIP C AND R BATH ME</v>
      </c>
      <c r="B4352" t="str">
        <f>T("NAVY ERP AO")</f>
        <v>NAVY ERP AO</v>
      </c>
      <c r="C4352" t="str">
        <f>T("574 WASHINGTON ST")</f>
        <v>574 WASHINGTON ST</v>
      </c>
      <c r="D4352" t="str">
        <f t="shared" si="1703"/>
        <v>BATH</v>
      </c>
      <c r="E4352" t="str">
        <f t="shared" si="1704"/>
        <v>ME</v>
      </c>
      <c r="F4352" t="str">
        <f t="shared" si="1705"/>
        <v>045301961</v>
      </c>
      <c r="G4352" t="str">
        <f>T("NAVY ERP AO")</f>
        <v>NAVY ERP AO</v>
      </c>
      <c r="H4352" t="str">
        <f>T("574 WASHINGTON ST")</f>
        <v>574 WASHINGTON ST</v>
      </c>
      <c r="I4352" t="str">
        <f t="shared" si="1706"/>
        <v>BATH</v>
      </c>
      <c r="J4352" t="str">
        <f t="shared" si="1707"/>
        <v>ME</v>
      </c>
      <c r="K4352" t="str">
        <f>T("")</f>
        <v/>
      </c>
      <c r="L4352" t="str">
        <f>T("6197441650")</f>
        <v>6197441650</v>
      </c>
    </row>
    <row r="4353" spans="1:12" x14ac:dyDescent="0.35">
      <c r="A4353" t="str">
        <f t="shared" si="1702"/>
        <v>SUPSHIP C AND R BATH ME</v>
      </c>
      <c r="B4353" t="str">
        <f>T("NAVY ERP AO")</f>
        <v>NAVY ERP AO</v>
      </c>
      <c r="C4353" t="str">
        <f>T("574 WASHINGTON ST")</f>
        <v>574 WASHINGTON ST</v>
      </c>
      <c r="D4353" t="str">
        <f t="shared" si="1703"/>
        <v>BATH</v>
      </c>
      <c r="E4353" t="str">
        <f t="shared" si="1704"/>
        <v>ME</v>
      </c>
      <c r="F4353" t="str">
        <f t="shared" si="1705"/>
        <v>045301961</v>
      </c>
      <c r="G4353" t="str">
        <f>T("SOSBATH SAN DIEGO DET")</f>
        <v>SOSBATH SAN DIEGO DET</v>
      </c>
      <c r="H4353" t="str">
        <f>T("2798 HARBOR DR BLDG 15 RM 200")</f>
        <v>2798 HARBOR DR BLDG 15 RM 200</v>
      </c>
      <c r="I4353" t="str">
        <f>T("SAN DIEGO")</f>
        <v>SAN DIEGO</v>
      </c>
      <c r="J4353" t="str">
        <f>T("CA")</f>
        <v>CA</v>
      </c>
      <c r="K4353" t="str">
        <f>T("000000000000000000")</f>
        <v>000000000000000000</v>
      </c>
      <c r="L4353" t="str">
        <f>T("6195566474")</f>
        <v>6195566474</v>
      </c>
    </row>
    <row r="4354" spans="1:12" x14ac:dyDescent="0.35">
      <c r="A4354" t="str">
        <f t="shared" si="1702"/>
        <v>SUPSHIP C AND R BATH ME</v>
      </c>
      <c r="B4354" t="str">
        <f>T("NAVY ERP AO")</f>
        <v>NAVY ERP AO</v>
      </c>
      <c r="C4354" t="str">
        <f>T("574 WASHINGTON ST")</f>
        <v>574 WASHINGTON ST</v>
      </c>
      <c r="D4354" t="str">
        <f t="shared" si="1703"/>
        <v>BATH</v>
      </c>
      <c r="E4354" t="str">
        <f t="shared" si="1704"/>
        <v>ME</v>
      </c>
      <c r="F4354" t="str">
        <f t="shared" si="1705"/>
        <v>045301961</v>
      </c>
      <c r="G4354" t="str">
        <f>T("SUPERVISOR OF SHIPBUILDING")</f>
        <v>SUPERVISOR OF SHIPBUILDING</v>
      </c>
      <c r="H4354" t="str">
        <f>T("574 WASHINGTON STREET")</f>
        <v>574 WASHINGTON STREET</v>
      </c>
      <c r="I4354" t="str">
        <f>T("BATH")</f>
        <v>BATH</v>
      </c>
      <c r="J4354" t="str">
        <f>T("ME")</f>
        <v>ME</v>
      </c>
      <c r="K4354" t="str">
        <f>T("000000000000000000")</f>
        <v>000000000000000000</v>
      </c>
      <c r="L4354" t="str">
        <f>T("2074422519")</f>
        <v>2074422519</v>
      </c>
    </row>
    <row r="4355" spans="1:12" x14ac:dyDescent="0.35">
      <c r="A4355" t="str">
        <f t="shared" ref="A4355:A4369" si="1708">T("SUPSHIP GROTON")</f>
        <v>SUPSHIP GROTON</v>
      </c>
      <c r="B4355" t="str">
        <f>T("73 EASTERN POINT RD")</f>
        <v>73 EASTERN POINT RD</v>
      </c>
      <c r="C4355" t="str">
        <f>T("CODE 540")</f>
        <v>CODE 540</v>
      </c>
      <c r="D4355" t="str">
        <f t="shared" ref="D4355:D4369" si="1709">T("GROTON")</f>
        <v>GROTON</v>
      </c>
      <c r="E4355" t="str">
        <f t="shared" ref="E4355:E4369" si="1710">T("CT")</f>
        <v>CT</v>
      </c>
      <c r="F4355" t="str">
        <f>T("063400000")</f>
        <v>063400000</v>
      </c>
      <c r="G4355" t="str">
        <f>T("73 EASTERN POINT RD")</f>
        <v>73 EASTERN POINT RD</v>
      </c>
      <c r="H4355" t="str">
        <f>T("CODE 540")</f>
        <v>CODE 540</v>
      </c>
      <c r="I4355" t="str">
        <f t="shared" ref="I4355:I4369" si="1711">T("GROTON")</f>
        <v>GROTON</v>
      </c>
      <c r="J4355" t="str">
        <f t="shared" ref="J4355:J4369" si="1712">T("CT")</f>
        <v>CT</v>
      </c>
      <c r="K4355" t="str">
        <f>T("")</f>
        <v/>
      </c>
      <c r="L4355" t="str">
        <f>T("8604335608")</f>
        <v>8604335608</v>
      </c>
    </row>
    <row r="4356" spans="1:12" x14ac:dyDescent="0.35">
      <c r="A4356" t="str">
        <f t="shared" si="1708"/>
        <v>SUPSHIP GROTON</v>
      </c>
      <c r="B4356" t="str">
        <f>T("73 EASTERN POINT RD")</f>
        <v>73 EASTERN POINT RD</v>
      </c>
      <c r="C4356" t="str">
        <f>T("CODE 540")</f>
        <v>CODE 540</v>
      </c>
      <c r="D4356" t="str">
        <f t="shared" si="1709"/>
        <v>GROTON</v>
      </c>
      <c r="E4356" t="str">
        <f t="shared" si="1710"/>
        <v>CT</v>
      </c>
      <c r="F4356" t="str">
        <f>T("063400000")</f>
        <v>063400000</v>
      </c>
      <c r="G4356" t="str">
        <f>T("NAVSUP FLSC GROTON ANNEX")</f>
        <v>NAVSUP FLSC GROTON ANNEX</v>
      </c>
      <c r="H4356" t="str">
        <f>T("73 EASTERN POINT RD")</f>
        <v>73 EASTERN POINT RD</v>
      </c>
      <c r="I4356" t="str">
        <f t="shared" si="1711"/>
        <v>GROTON</v>
      </c>
      <c r="J4356" t="str">
        <f t="shared" si="1712"/>
        <v>CT</v>
      </c>
      <c r="K4356" t="str">
        <f>T("000000000000000000")</f>
        <v>000000000000000000</v>
      </c>
      <c r="L4356" t="str">
        <f>T("8604331085")</f>
        <v>8604331085</v>
      </c>
    </row>
    <row r="4357" spans="1:12" x14ac:dyDescent="0.35">
      <c r="A4357" t="str">
        <f t="shared" si="1708"/>
        <v>SUPSHIP GROTON</v>
      </c>
      <c r="B4357" t="str">
        <f t="shared" ref="B4357:B4369" si="1713">T("73 EASTERN POINT ROAD")</f>
        <v>73 EASTERN POINT ROAD</v>
      </c>
      <c r="C4357" t="str">
        <f t="shared" ref="C4357:C4363" si="1714">T("")</f>
        <v/>
      </c>
      <c r="D4357" t="str">
        <f t="shared" si="1709"/>
        <v>GROTON</v>
      </c>
      <c r="E4357" t="str">
        <f t="shared" si="1710"/>
        <v>CT</v>
      </c>
      <c r="F4357" t="str">
        <f t="shared" ref="F4357:F4363" si="1715">T("063404909")</f>
        <v>063404909</v>
      </c>
      <c r="G4357" t="str">
        <f>T("73 EASTERN POINT ROAD")</f>
        <v>73 EASTERN POINT ROAD</v>
      </c>
      <c r="H4357" t="str">
        <f>T("")</f>
        <v/>
      </c>
      <c r="I4357" t="str">
        <f t="shared" si="1711"/>
        <v>GROTON</v>
      </c>
      <c r="J4357" t="str">
        <f t="shared" si="1712"/>
        <v>CT</v>
      </c>
      <c r="K4357" t="str">
        <f>T("")</f>
        <v/>
      </c>
      <c r="L4357" t="str">
        <f>T("8604335021")</f>
        <v>8604335021</v>
      </c>
    </row>
    <row r="4358" spans="1:12" x14ac:dyDescent="0.35">
      <c r="A4358" t="str">
        <f t="shared" si="1708"/>
        <v>SUPSHIP GROTON</v>
      </c>
      <c r="B4358" t="str">
        <f t="shared" si="1713"/>
        <v>73 EASTERN POINT ROAD</v>
      </c>
      <c r="C4358" t="str">
        <f t="shared" si="1714"/>
        <v/>
      </c>
      <c r="D4358" t="str">
        <f t="shared" si="1709"/>
        <v>GROTON</v>
      </c>
      <c r="E4358" t="str">
        <f t="shared" si="1710"/>
        <v>CT</v>
      </c>
      <c r="F4358" t="str">
        <f t="shared" si="1715"/>
        <v>063404909</v>
      </c>
      <c r="G4358" t="str">
        <f>T("73 EASTERN POINT ROAD")</f>
        <v>73 EASTERN POINT ROAD</v>
      </c>
      <c r="H4358" t="str">
        <f>T("")</f>
        <v/>
      </c>
      <c r="I4358" t="str">
        <f t="shared" si="1711"/>
        <v>GROTON</v>
      </c>
      <c r="J4358" t="str">
        <f t="shared" si="1712"/>
        <v>CT</v>
      </c>
      <c r="K4358" t="str">
        <f t="shared" ref="K4358:K4363" si="1716">T("000000000000000000")</f>
        <v>000000000000000000</v>
      </c>
      <c r="L4358" t="str">
        <f>T("8604331870")</f>
        <v>8604331870</v>
      </c>
    </row>
    <row r="4359" spans="1:12" x14ac:dyDescent="0.35">
      <c r="A4359" t="str">
        <f t="shared" si="1708"/>
        <v>SUPSHIP GROTON</v>
      </c>
      <c r="B4359" t="str">
        <f t="shared" si="1713"/>
        <v>73 EASTERN POINT ROAD</v>
      </c>
      <c r="C4359" t="str">
        <f t="shared" si="1714"/>
        <v/>
      </c>
      <c r="D4359" t="str">
        <f t="shared" si="1709"/>
        <v>GROTON</v>
      </c>
      <c r="E4359" t="str">
        <f t="shared" si="1710"/>
        <v>CT</v>
      </c>
      <c r="F4359" t="str">
        <f t="shared" si="1715"/>
        <v>063404909</v>
      </c>
      <c r="G4359" t="str">
        <f>T("SUPSHIP GROTON")</f>
        <v>SUPSHIP GROTON</v>
      </c>
      <c r="H4359" t="str">
        <f>T("73 EASTERN POINT RD")</f>
        <v>73 EASTERN POINT RD</v>
      </c>
      <c r="I4359" t="str">
        <f t="shared" si="1711"/>
        <v>GROTON</v>
      </c>
      <c r="J4359" t="str">
        <f t="shared" si="1712"/>
        <v>CT</v>
      </c>
      <c r="K4359" t="str">
        <f t="shared" si="1716"/>
        <v>000000000000000000</v>
      </c>
      <c r="L4359" t="str">
        <f>T("8604333098")</f>
        <v>8604333098</v>
      </c>
    </row>
    <row r="4360" spans="1:12" x14ac:dyDescent="0.35">
      <c r="A4360" t="str">
        <f t="shared" si="1708"/>
        <v>SUPSHIP GROTON</v>
      </c>
      <c r="B4360" t="str">
        <f t="shared" si="1713"/>
        <v>73 EASTERN POINT ROAD</v>
      </c>
      <c r="C4360" t="str">
        <f t="shared" si="1714"/>
        <v/>
      </c>
      <c r="D4360" t="str">
        <f t="shared" si="1709"/>
        <v>GROTON</v>
      </c>
      <c r="E4360" t="str">
        <f t="shared" si="1710"/>
        <v>CT</v>
      </c>
      <c r="F4360" t="str">
        <f t="shared" si="1715"/>
        <v>063404909</v>
      </c>
      <c r="G4360" t="str">
        <f>T("SUPSHIP GROTON")</f>
        <v>SUPSHIP GROTON</v>
      </c>
      <c r="H4360" t="str">
        <f>T("73 EASTERN POINT RD")</f>
        <v>73 EASTERN POINT RD</v>
      </c>
      <c r="I4360" t="str">
        <f t="shared" si="1711"/>
        <v>GROTON</v>
      </c>
      <c r="J4360" t="str">
        <f t="shared" si="1712"/>
        <v>CT</v>
      </c>
      <c r="K4360" t="str">
        <f t="shared" si="1716"/>
        <v>000000000000000000</v>
      </c>
      <c r="L4360" t="str">
        <f>T("8604333103")</f>
        <v>8604333103</v>
      </c>
    </row>
    <row r="4361" spans="1:12" x14ac:dyDescent="0.35">
      <c r="A4361" t="str">
        <f t="shared" si="1708"/>
        <v>SUPSHIP GROTON</v>
      </c>
      <c r="B4361" t="str">
        <f t="shared" si="1713"/>
        <v>73 EASTERN POINT ROAD</v>
      </c>
      <c r="C4361" t="str">
        <f t="shared" si="1714"/>
        <v/>
      </c>
      <c r="D4361" t="str">
        <f t="shared" si="1709"/>
        <v>GROTON</v>
      </c>
      <c r="E4361" t="str">
        <f t="shared" si="1710"/>
        <v>CT</v>
      </c>
      <c r="F4361" t="str">
        <f t="shared" si="1715"/>
        <v>063404909</v>
      </c>
      <c r="G4361" t="str">
        <f>T("SUPSHIP GROTON")</f>
        <v>SUPSHIP GROTON</v>
      </c>
      <c r="H4361" t="str">
        <f>T("73 EASTERN POINT RD")</f>
        <v>73 EASTERN POINT RD</v>
      </c>
      <c r="I4361" t="str">
        <f t="shared" si="1711"/>
        <v>GROTON</v>
      </c>
      <c r="J4361" t="str">
        <f t="shared" si="1712"/>
        <v>CT</v>
      </c>
      <c r="K4361" t="str">
        <f t="shared" si="1716"/>
        <v>000000000000000000</v>
      </c>
      <c r="L4361" t="str">
        <f>T("8604333123")</f>
        <v>8604333123</v>
      </c>
    </row>
    <row r="4362" spans="1:12" x14ac:dyDescent="0.35">
      <c r="A4362" t="str">
        <f t="shared" si="1708"/>
        <v>SUPSHIP GROTON</v>
      </c>
      <c r="B4362" t="str">
        <f t="shared" si="1713"/>
        <v>73 EASTERN POINT ROAD</v>
      </c>
      <c r="C4362" t="str">
        <f t="shared" si="1714"/>
        <v/>
      </c>
      <c r="D4362" t="str">
        <f t="shared" si="1709"/>
        <v>GROTON</v>
      </c>
      <c r="E4362" t="str">
        <f t="shared" si="1710"/>
        <v>CT</v>
      </c>
      <c r="F4362" t="str">
        <f t="shared" si="1715"/>
        <v>063404909</v>
      </c>
      <c r="G4362" t="str">
        <f>T("SUPSHIP GROTON")</f>
        <v>SUPSHIP GROTON</v>
      </c>
      <c r="H4362" t="str">
        <f>T("73 EASTERN POINT RD")</f>
        <v>73 EASTERN POINT RD</v>
      </c>
      <c r="I4362" t="str">
        <f t="shared" si="1711"/>
        <v>GROTON</v>
      </c>
      <c r="J4362" t="str">
        <f t="shared" si="1712"/>
        <v>CT</v>
      </c>
      <c r="K4362" t="str">
        <f t="shared" si="1716"/>
        <v>000000000000000000</v>
      </c>
      <c r="L4362" t="str">
        <f>T("8604335728")</f>
        <v>8604335728</v>
      </c>
    </row>
    <row r="4363" spans="1:12" x14ac:dyDescent="0.35">
      <c r="A4363" t="str">
        <f t="shared" si="1708"/>
        <v>SUPSHIP GROTON</v>
      </c>
      <c r="B4363" t="str">
        <f t="shared" si="1713"/>
        <v>73 EASTERN POINT ROAD</v>
      </c>
      <c r="C4363" t="str">
        <f t="shared" si="1714"/>
        <v/>
      </c>
      <c r="D4363" t="str">
        <f t="shared" si="1709"/>
        <v>GROTON</v>
      </c>
      <c r="E4363" t="str">
        <f t="shared" si="1710"/>
        <v>CT</v>
      </c>
      <c r="F4363" t="str">
        <f t="shared" si="1715"/>
        <v>063404909</v>
      </c>
      <c r="G4363" t="str">
        <f>T("SUPSHIP GROTON")</f>
        <v>SUPSHIP GROTON</v>
      </c>
      <c r="H4363" t="str">
        <f>T("73 EASTERN POINT RD")</f>
        <v>73 EASTERN POINT RD</v>
      </c>
      <c r="I4363" t="str">
        <f t="shared" si="1711"/>
        <v>GROTON</v>
      </c>
      <c r="J4363" t="str">
        <f t="shared" si="1712"/>
        <v>CT</v>
      </c>
      <c r="K4363" t="str">
        <f t="shared" si="1716"/>
        <v>000000000000000000</v>
      </c>
      <c r="L4363" t="str">
        <f>T("8604336499")</f>
        <v>8604336499</v>
      </c>
    </row>
    <row r="4364" spans="1:12" x14ac:dyDescent="0.35">
      <c r="A4364" t="str">
        <f t="shared" si="1708"/>
        <v>SUPSHIP GROTON</v>
      </c>
      <c r="B4364" t="str">
        <f t="shared" si="1713"/>
        <v>73 EASTERN POINT ROAD</v>
      </c>
      <c r="C4364" t="str">
        <f t="shared" ref="C4364:C4369" si="1717">T("CODE 540")</f>
        <v>CODE 540</v>
      </c>
      <c r="D4364" t="str">
        <f t="shared" si="1709"/>
        <v>GROTON</v>
      </c>
      <c r="E4364" t="str">
        <f t="shared" si="1710"/>
        <v>CT</v>
      </c>
      <c r="F4364" t="str">
        <f t="shared" ref="F4364:F4369" si="1718">T("063400000")</f>
        <v>063400000</v>
      </c>
      <c r="G4364" t="str">
        <f>T("73 EASTERN POINT ROAD")</f>
        <v>73 EASTERN POINT ROAD</v>
      </c>
      <c r="H4364" t="str">
        <f>T("CODE 540")</f>
        <v>CODE 540</v>
      </c>
      <c r="I4364" t="str">
        <f t="shared" si="1711"/>
        <v>GROTON</v>
      </c>
      <c r="J4364" t="str">
        <f t="shared" si="1712"/>
        <v>CT</v>
      </c>
      <c r="K4364" t="str">
        <f>T("")</f>
        <v/>
      </c>
      <c r="L4364" t="str">
        <f>T("8604335608")</f>
        <v>8604335608</v>
      </c>
    </row>
    <row r="4365" spans="1:12" x14ac:dyDescent="0.35">
      <c r="A4365" t="str">
        <f t="shared" si="1708"/>
        <v>SUPSHIP GROTON</v>
      </c>
      <c r="B4365" t="str">
        <f t="shared" si="1713"/>
        <v>73 EASTERN POINT ROAD</v>
      </c>
      <c r="C4365" t="str">
        <f t="shared" si="1717"/>
        <v>CODE 540</v>
      </c>
      <c r="D4365" t="str">
        <f t="shared" si="1709"/>
        <v>GROTON</v>
      </c>
      <c r="E4365" t="str">
        <f t="shared" si="1710"/>
        <v>CT</v>
      </c>
      <c r="F4365" t="str">
        <f t="shared" si="1718"/>
        <v>063400000</v>
      </c>
      <c r="G4365" t="str">
        <f>T("NAVSUP FLSC AT SUPSHIP GROTON")</f>
        <v>NAVSUP FLSC AT SUPSHIP GROTON</v>
      </c>
      <c r="H4365" t="str">
        <f>T("73 EASTERN POINT RD")</f>
        <v>73 EASTERN POINT RD</v>
      </c>
      <c r="I4365" t="str">
        <f t="shared" si="1711"/>
        <v>GROTON</v>
      </c>
      <c r="J4365" t="str">
        <f t="shared" si="1712"/>
        <v>CT</v>
      </c>
      <c r="K4365" t="str">
        <f>T("000000000000000000")</f>
        <v>000000000000000000</v>
      </c>
      <c r="L4365" t="str">
        <f>T("8604334053")</f>
        <v>8604334053</v>
      </c>
    </row>
    <row r="4366" spans="1:12" x14ac:dyDescent="0.35">
      <c r="A4366" t="str">
        <f t="shared" si="1708"/>
        <v>SUPSHIP GROTON</v>
      </c>
      <c r="B4366" t="str">
        <f t="shared" si="1713"/>
        <v>73 EASTERN POINT ROAD</v>
      </c>
      <c r="C4366" t="str">
        <f t="shared" si="1717"/>
        <v>CODE 540</v>
      </c>
      <c r="D4366" t="str">
        <f t="shared" si="1709"/>
        <v>GROTON</v>
      </c>
      <c r="E4366" t="str">
        <f t="shared" si="1710"/>
        <v>CT</v>
      </c>
      <c r="F4366" t="str">
        <f t="shared" si="1718"/>
        <v>063400000</v>
      </c>
      <c r="G4366" t="str">
        <f>T("NAVSUP FLSC GROTON ANNEX")</f>
        <v>NAVSUP FLSC GROTON ANNEX</v>
      </c>
      <c r="H4366" t="str">
        <f>T("73 EASTERN POINT RD")</f>
        <v>73 EASTERN POINT RD</v>
      </c>
      <c r="I4366" t="str">
        <f t="shared" si="1711"/>
        <v>GROTON</v>
      </c>
      <c r="J4366" t="str">
        <f t="shared" si="1712"/>
        <v>CT</v>
      </c>
      <c r="K4366" t="str">
        <f>T("000000000000000000")</f>
        <v>000000000000000000</v>
      </c>
      <c r="L4366" t="str">
        <f>T("8604331085")</f>
        <v>8604331085</v>
      </c>
    </row>
    <row r="4367" spans="1:12" x14ac:dyDescent="0.35">
      <c r="A4367" t="str">
        <f t="shared" si="1708"/>
        <v>SUPSHIP GROTON</v>
      </c>
      <c r="B4367" t="str">
        <f t="shared" si="1713"/>
        <v>73 EASTERN POINT ROAD</v>
      </c>
      <c r="C4367" t="str">
        <f t="shared" si="1717"/>
        <v>CODE 540</v>
      </c>
      <c r="D4367" t="str">
        <f t="shared" si="1709"/>
        <v>GROTON</v>
      </c>
      <c r="E4367" t="str">
        <f t="shared" si="1710"/>
        <v>CT</v>
      </c>
      <c r="F4367" t="str">
        <f t="shared" si="1718"/>
        <v>063400000</v>
      </c>
      <c r="G4367" t="str">
        <f>T("SUPSHIP GROTON CODE 500")</f>
        <v>SUPSHIP GROTON CODE 500</v>
      </c>
      <c r="H4367" t="str">
        <f>T("73 EASTERN POINT RD")</f>
        <v>73 EASTERN POINT RD</v>
      </c>
      <c r="I4367" t="str">
        <f t="shared" si="1711"/>
        <v>GROTON</v>
      </c>
      <c r="J4367" t="str">
        <f t="shared" si="1712"/>
        <v>CT</v>
      </c>
      <c r="K4367" t="str">
        <f>T("000000000000000000")</f>
        <v>000000000000000000</v>
      </c>
      <c r="L4367" t="str">
        <f>T("8604330760")</f>
        <v>8604330760</v>
      </c>
    </row>
    <row r="4368" spans="1:12" x14ac:dyDescent="0.35">
      <c r="A4368" t="str">
        <f t="shared" si="1708"/>
        <v>SUPSHIP GROTON</v>
      </c>
      <c r="B4368" t="str">
        <f t="shared" si="1713"/>
        <v>73 EASTERN POINT ROAD</v>
      </c>
      <c r="C4368" t="str">
        <f t="shared" si="1717"/>
        <v>CODE 540</v>
      </c>
      <c r="D4368" t="str">
        <f t="shared" si="1709"/>
        <v>GROTON</v>
      </c>
      <c r="E4368" t="str">
        <f t="shared" si="1710"/>
        <v>CT</v>
      </c>
      <c r="F4368" t="str">
        <f t="shared" si="1718"/>
        <v>063400000</v>
      </c>
      <c r="G4368" t="str">
        <f>T("SUPSHIP GROTON CODE 500")</f>
        <v>SUPSHIP GROTON CODE 500</v>
      </c>
      <c r="H4368" t="str">
        <f>T("73 EASTERN POINT RD")</f>
        <v>73 EASTERN POINT RD</v>
      </c>
      <c r="I4368" t="str">
        <f t="shared" si="1711"/>
        <v>GROTON</v>
      </c>
      <c r="J4368" t="str">
        <f t="shared" si="1712"/>
        <v>CT</v>
      </c>
      <c r="K4368" t="str">
        <f>T("000000000000000000")</f>
        <v>000000000000000000</v>
      </c>
      <c r="L4368" t="str">
        <f>T("8604333095")</f>
        <v>8604333095</v>
      </c>
    </row>
    <row r="4369" spans="1:12" x14ac:dyDescent="0.35">
      <c r="A4369" t="str">
        <f t="shared" si="1708"/>
        <v>SUPSHIP GROTON</v>
      </c>
      <c r="B4369" t="str">
        <f t="shared" si="1713"/>
        <v>73 EASTERN POINT ROAD</v>
      </c>
      <c r="C4369" t="str">
        <f t="shared" si="1717"/>
        <v>CODE 540</v>
      </c>
      <c r="D4369" t="str">
        <f t="shared" si="1709"/>
        <v>GROTON</v>
      </c>
      <c r="E4369" t="str">
        <f t="shared" si="1710"/>
        <v>CT</v>
      </c>
      <c r="F4369" t="str">
        <f t="shared" si="1718"/>
        <v>063400000</v>
      </c>
      <c r="G4369" t="str">
        <f>T("SUPSHIP GROTON CODE 500")</f>
        <v>SUPSHIP GROTON CODE 500</v>
      </c>
      <c r="H4369" t="str">
        <f>T("73 EASTERN POINT RD")</f>
        <v>73 EASTERN POINT RD</v>
      </c>
      <c r="I4369" t="str">
        <f t="shared" si="1711"/>
        <v>GROTON</v>
      </c>
      <c r="J4369" t="str">
        <f t="shared" si="1712"/>
        <v>CT</v>
      </c>
      <c r="K4369" t="str">
        <f>T("000000000000000000")</f>
        <v>000000000000000000</v>
      </c>
      <c r="L4369" t="str">
        <f>T("8604333718")</f>
        <v>8604333718</v>
      </c>
    </row>
    <row r="4370" spans="1:12" x14ac:dyDescent="0.35">
      <c r="A4370" t="str">
        <f t="shared" ref="A4370:A4394" si="1719">T("SUPSHIPNN")</f>
        <v>SUPSHIPNN</v>
      </c>
      <c r="B4370" t="str">
        <f t="shared" ref="B4370:B4393" si="1720">T("4101 WASHINGTON AVE BLDG 2")</f>
        <v>4101 WASHINGTON AVE BLDG 2</v>
      </c>
      <c r="C4370" t="str">
        <f t="shared" ref="C4370:C4387" si="1721">T("")</f>
        <v/>
      </c>
      <c r="D4370" t="str">
        <f t="shared" ref="D4370:D4394" si="1722">T("NEWPORT NEWS")</f>
        <v>NEWPORT NEWS</v>
      </c>
      <c r="E4370" t="str">
        <f t="shared" ref="E4370:E4394" si="1723">T("VA")</f>
        <v>VA</v>
      </c>
      <c r="F4370" t="str">
        <f t="shared" ref="F4370:F4393" si="1724">T("236072734")</f>
        <v>236072734</v>
      </c>
      <c r="G4370" t="str">
        <f>T("4101 WASHINGTON AVE")</f>
        <v>4101 WASHINGTON AVE</v>
      </c>
      <c r="H4370" t="str">
        <f>T("BLDG 2")</f>
        <v>BLDG 2</v>
      </c>
      <c r="I4370" t="str">
        <f t="shared" ref="I4370:I4394" si="1725">T("NEWPORT NEWS")</f>
        <v>NEWPORT NEWS</v>
      </c>
      <c r="J4370" t="str">
        <f t="shared" ref="J4370:J4394" si="1726">T("VA")</f>
        <v>VA</v>
      </c>
      <c r="K4370" t="str">
        <f>T("7576880912")</f>
        <v>7576880912</v>
      </c>
      <c r="L4370" t="str">
        <f>T("7575340027")</f>
        <v>7575340027</v>
      </c>
    </row>
    <row r="4371" spans="1:12" x14ac:dyDescent="0.35">
      <c r="A4371" t="str">
        <f t="shared" si="1719"/>
        <v>SUPSHIPNN</v>
      </c>
      <c r="B4371" t="str">
        <f t="shared" si="1720"/>
        <v>4101 WASHINGTON AVE BLDG 2</v>
      </c>
      <c r="C4371" t="str">
        <f t="shared" si="1721"/>
        <v/>
      </c>
      <c r="D4371" t="str">
        <f t="shared" si="1722"/>
        <v>NEWPORT NEWS</v>
      </c>
      <c r="E4371" t="str">
        <f t="shared" si="1723"/>
        <v>VA</v>
      </c>
      <c r="F4371" t="str">
        <f t="shared" si="1724"/>
        <v>236072734</v>
      </c>
      <c r="G4371" t="str">
        <f t="shared" ref="G4371:G4383" si="1727">T("4101 WASHINGTON AVE BLDG 2")</f>
        <v>4101 WASHINGTON AVE BLDG 2</v>
      </c>
      <c r="H4371" t="str">
        <f t="shared" ref="H4371:H4383" si="1728">T("")</f>
        <v/>
      </c>
      <c r="I4371" t="str">
        <f t="shared" si="1725"/>
        <v>NEWPORT NEWS</v>
      </c>
      <c r="J4371" t="str">
        <f t="shared" si="1726"/>
        <v>VA</v>
      </c>
      <c r="K4371" t="str">
        <f t="shared" ref="K4371:K4381" si="1729">T("000000000000000000")</f>
        <v>000000000000000000</v>
      </c>
      <c r="L4371" t="str">
        <f>T("7573270281")</f>
        <v>7573270281</v>
      </c>
    </row>
    <row r="4372" spans="1:12" x14ac:dyDescent="0.35">
      <c r="A4372" t="str">
        <f t="shared" si="1719"/>
        <v>SUPSHIPNN</v>
      </c>
      <c r="B4372" t="str">
        <f t="shared" si="1720"/>
        <v>4101 WASHINGTON AVE BLDG 2</v>
      </c>
      <c r="C4372" t="str">
        <f t="shared" si="1721"/>
        <v/>
      </c>
      <c r="D4372" t="str">
        <f t="shared" si="1722"/>
        <v>NEWPORT NEWS</v>
      </c>
      <c r="E4372" t="str">
        <f t="shared" si="1723"/>
        <v>VA</v>
      </c>
      <c r="F4372" t="str">
        <f t="shared" si="1724"/>
        <v>236072734</v>
      </c>
      <c r="G4372" t="str">
        <f t="shared" si="1727"/>
        <v>4101 WASHINGTON AVE BLDG 2</v>
      </c>
      <c r="H4372" t="str">
        <f t="shared" si="1728"/>
        <v/>
      </c>
      <c r="I4372" t="str">
        <f t="shared" si="1725"/>
        <v>NEWPORT NEWS</v>
      </c>
      <c r="J4372" t="str">
        <f t="shared" si="1726"/>
        <v>VA</v>
      </c>
      <c r="K4372" t="str">
        <f t="shared" si="1729"/>
        <v>000000000000000000</v>
      </c>
      <c r="L4372" t="str">
        <f>T("7573804022")</f>
        <v>7573804022</v>
      </c>
    </row>
    <row r="4373" spans="1:12" x14ac:dyDescent="0.35">
      <c r="A4373" t="str">
        <f t="shared" si="1719"/>
        <v>SUPSHIPNN</v>
      </c>
      <c r="B4373" t="str">
        <f t="shared" si="1720"/>
        <v>4101 WASHINGTON AVE BLDG 2</v>
      </c>
      <c r="C4373" t="str">
        <f t="shared" si="1721"/>
        <v/>
      </c>
      <c r="D4373" t="str">
        <f t="shared" si="1722"/>
        <v>NEWPORT NEWS</v>
      </c>
      <c r="E4373" t="str">
        <f t="shared" si="1723"/>
        <v>VA</v>
      </c>
      <c r="F4373" t="str">
        <f t="shared" si="1724"/>
        <v>236072734</v>
      </c>
      <c r="G4373" t="str">
        <f t="shared" si="1727"/>
        <v>4101 WASHINGTON AVE BLDG 2</v>
      </c>
      <c r="H4373" t="str">
        <f t="shared" si="1728"/>
        <v/>
      </c>
      <c r="I4373" t="str">
        <f t="shared" si="1725"/>
        <v>NEWPORT NEWS</v>
      </c>
      <c r="J4373" t="str">
        <f t="shared" si="1726"/>
        <v>VA</v>
      </c>
      <c r="K4373" t="str">
        <f t="shared" si="1729"/>
        <v>000000000000000000</v>
      </c>
      <c r="L4373" t="str">
        <f>T("7573804563")</f>
        <v>7573804563</v>
      </c>
    </row>
    <row r="4374" spans="1:12" x14ac:dyDescent="0.35">
      <c r="A4374" t="str">
        <f t="shared" si="1719"/>
        <v>SUPSHIPNN</v>
      </c>
      <c r="B4374" t="str">
        <f t="shared" si="1720"/>
        <v>4101 WASHINGTON AVE BLDG 2</v>
      </c>
      <c r="C4374" t="str">
        <f t="shared" si="1721"/>
        <v/>
      </c>
      <c r="D4374" t="str">
        <f t="shared" si="1722"/>
        <v>NEWPORT NEWS</v>
      </c>
      <c r="E4374" t="str">
        <f t="shared" si="1723"/>
        <v>VA</v>
      </c>
      <c r="F4374" t="str">
        <f t="shared" si="1724"/>
        <v>236072734</v>
      </c>
      <c r="G4374" t="str">
        <f t="shared" si="1727"/>
        <v>4101 WASHINGTON AVE BLDG 2</v>
      </c>
      <c r="H4374" t="str">
        <f t="shared" si="1728"/>
        <v/>
      </c>
      <c r="I4374" t="str">
        <f t="shared" si="1725"/>
        <v>NEWPORT NEWS</v>
      </c>
      <c r="J4374" t="str">
        <f t="shared" si="1726"/>
        <v>VA</v>
      </c>
      <c r="K4374" t="str">
        <f t="shared" si="1729"/>
        <v>000000000000000000</v>
      </c>
      <c r="L4374" t="str">
        <f>T("7573807148")</f>
        <v>7573807148</v>
      </c>
    </row>
    <row r="4375" spans="1:12" x14ac:dyDescent="0.35">
      <c r="A4375" t="str">
        <f t="shared" si="1719"/>
        <v>SUPSHIPNN</v>
      </c>
      <c r="B4375" t="str">
        <f t="shared" si="1720"/>
        <v>4101 WASHINGTON AVE BLDG 2</v>
      </c>
      <c r="C4375" t="str">
        <f t="shared" si="1721"/>
        <v/>
      </c>
      <c r="D4375" t="str">
        <f t="shared" si="1722"/>
        <v>NEWPORT NEWS</v>
      </c>
      <c r="E4375" t="str">
        <f t="shared" si="1723"/>
        <v>VA</v>
      </c>
      <c r="F4375" t="str">
        <f t="shared" si="1724"/>
        <v>236072734</v>
      </c>
      <c r="G4375" t="str">
        <f t="shared" si="1727"/>
        <v>4101 WASHINGTON AVE BLDG 2</v>
      </c>
      <c r="H4375" t="str">
        <f t="shared" si="1728"/>
        <v/>
      </c>
      <c r="I4375" t="str">
        <f t="shared" si="1725"/>
        <v>NEWPORT NEWS</v>
      </c>
      <c r="J4375" t="str">
        <f t="shared" si="1726"/>
        <v>VA</v>
      </c>
      <c r="K4375" t="str">
        <f t="shared" si="1729"/>
        <v>000000000000000000</v>
      </c>
      <c r="L4375" t="str">
        <f>T("7575342030")</f>
        <v>7575342030</v>
      </c>
    </row>
    <row r="4376" spans="1:12" x14ac:dyDescent="0.35">
      <c r="A4376" t="str">
        <f t="shared" si="1719"/>
        <v>SUPSHIPNN</v>
      </c>
      <c r="B4376" t="str">
        <f t="shared" si="1720"/>
        <v>4101 WASHINGTON AVE BLDG 2</v>
      </c>
      <c r="C4376" t="str">
        <f t="shared" si="1721"/>
        <v/>
      </c>
      <c r="D4376" t="str">
        <f t="shared" si="1722"/>
        <v>NEWPORT NEWS</v>
      </c>
      <c r="E4376" t="str">
        <f t="shared" si="1723"/>
        <v>VA</v>
      </c>
      <c r="F4376" t="str">
        <f t="shared" si="1724"/>
        <v>236072734</v>
      </c>
      <c r="G4376" t="str">
        <f t="shared" si="1727"/>
        <v>4101 WASHINGTON AVE BLDG 2</v>
      </c>
      <c r="H4376" t="str">
        <f t="shared" si="1728"/>
        <v/>
      </c>
      <c r="I4376" t="str">
        <f t="shared" si="1725"/>
        <v>NEWPORT NEWS</v>
      </c>
      <c r="J4376" t="str">
        <f t="shared" si="1726"/>
        <v>VA</v>
      </c>
      <c r="K4376" t="str">
        <f t="shared" si="1729"/>
        <v>000000000000000000</v>
      </c>
      <c r="L4376" t="str">
        <f>T("7575343718")</f>
        <v>7575343718</v>
      </c>
    </row>
    <row r="4377" spans="1:12" x14ac:dyDescent="0.35">
      <c r="A4377" t="str">
        <f t="shared" si="1719"/>
        <v>SUPSHIPNN</v>
      </c>
      <c r="B4377" t="str">
        <f t="shared" si="1720"/>
        <v>4101 WASHINGTON AVE BLDG 2</v>
      </c>
      <c r="C4377" t="str">
        <f t="shared" si="1721"/>
        <v/>
      </c>
      <c r="D4377" t="str">
        <f t="shared" si="1722"/>
        <v>NEWPORT NEWS</v>
      </c>
      <c r="E4377" t="str">
        <f t="shared" si="1723"/>
        <v>VA</v>
      </c>
      <c r="F4377" t="str">
        <f t="shared" si="1724"/>
        <v>236072734</v>
      </c>
      <c r="G4377" t="str">
        <f t="shared" si="1727"/>
        <v>4101 WASHINGTON AVE BLDG 2</v>
      </c>
      <c r="H4377" t="str">
        <f t="shared" si="1728"/>
        <v/>
      </c>
      <c r="I4377" t="str">
        <f t="shared" si="1725"/>
        <v>NEWPORT NEWS</v>
      </c>
      <c r="J4377" t="str">
        <f t="shared" si="1726"/>
        <v>VA</v>
      </c>
      <c r="K4377" t="str">
        <f t="shared" si="1729"/>
        <v>000000000000000000</v>
      </c>
      <c r="L4377" t="str">
        <f>T("7575344764")</f>
        <v>7575344764</v>
      </c>
    </row>
    <row r="4378" spans="1:12" x14ac:dyDescent="0.35">
      <c r="A4378" t="str">
        <f t="shared" si="1719"/>
        <v>SUPSHIPNN</v>
      </c>
      <c r="B4378" t="str">
        <f t="shared" si="1720"/>
        <v>4101 WASHINGTON AVE BLDG 2</v>
      </c>
      <c r="C4378" t="str">
        <f t="shared" si="1721"/>
        <v/>
      </c>
      <c r="D4378" t="str">
        <f t="shared" si="1722"/>
        <v>NEWPORT NEWS</v>
      </c>
      <c r="E4378" t="str">
        <f t="shared" si="1723"/>
        <v>VA</v>
      </c>
      <c r="F4378" t="str">
        <f t="shared" si="1724"/>
        <v>236072734</v>
      </c>
      <c r="G4378" t="str">
        <f t="shared" si="1727"/>
        <v>4101 WASHINGTON AVE BLDG 2</v>
      </c>
      <c r="H4378" t="str">
        <f t="shared" si="1728"/>
        <v/>
      </c>
      <c r="I4378" t="str">
        <f t="shared" si="1725"/>
        <v>NEWPORT NEWS</v>
      </c>
      <c r="J4378" t="str">
        <f t="shared" si="1726"/>
        <v>VA</v>
      </c>
      <c r="K4378" t="str">
        <f t="shared" si="1729"/>
        <v>000000000000000000</v>
      </c>
      <c r="L4378" t="str">
        <f>T("7576883022")</f>
        <v>7576883022</v>
      </c>
    </row>
    <row r="4379" spans="1:12" x14ac:dyDescent="0.35">
      <c r="A4379" t="str">
        <f t="shared" si="1719"/>
        <v>SUPSHIPNN</v>
      </c>
      <c r="B4379" t="str">
        <f t="shared" si="1720"/>
        <v>4101 WASHINGTON AVE BLDG 2</v>
      </c>
      <c r="C4379" t="str">
        <f t="shared" si="1721"/>
        <v/>
      </c>
      <c r="D4379" t="str">
        <f t="shared" si="1722"/>
        <v>NEWPORT NEWS</v>
      </c>
      <c r="E4379" t="str">
        <f t="shared" si="1723"/>
        <v>VA</v>
      </c>
      <c r="F4379" t="str">
        <f t="shared" si="1724"/>
        <v>236072734</v>
      </c>
      <c r="G4379" t="str">
        <f t="shared" si="1727"/>
        <v>4101 WASHINGTON AVE BLDG 2</v>
      </c>
      <c r="H4379" t="str">
        <f t="shared" si="1728"/>
        <v/>
      </c>
      <c r="I4379" t="str">
        <f t="shared" si="1725"/>
        <v>NEWPORT NEWS</v>
      </c>
      <c r="J4379" t="str">
        <f t="shared" si="1726"/>
        <v>VA</v>
      </c>
      <c r="K4379" t="str">
        <f t="shared" si="1729"/>
        <v>000000000000000000</v>
      </c>
      <c r="L4379" t="str">
        <f>T("7576883065")</f>
        <v>7576883065</v>
      </c>
    </row>
    <row r="4380" spans="1:12" x14ac:dyDescent="0.35">
      <c r="A4380" t="str">
        <f t="shared" si="1719"/>
        <v>SUPSHIPNN</v>
      </c>
      <c r="B4380" t="str">
        <f t="shared" si="1720"/>
        <v>4101 WASHINGTON AVE BLDG 2</v>
      </c>
      <c r="C4380" t="str">
        <f t="shared" si="1721"/>
        <v/>
      </c>
      <c r="D4380" t="str">
        <f t="shared" si="1722"/>
        <v>NEWPORT NEWS</v>
      </c>
      <c r="E4380" t="str">
        <f t="shared" si="1723"/>
        <v>VA</v>
      </c>
      <c r="F4380" t="str">
        <f t="shared" si="1724"/>
        <v>236072734</v>
      </c>
      <c r="G4380" t="str">
        <f t="shared" si="1727"/>
        <v>4101 WASHINGTON AVE BLDG 2</v>
      </c>
      <c r="H4380" t="str">
        <f t="shared" si="1728"/>
        <v/>
      </c>
      <c r="I4380" t="str">
        <f t="shared" si="1725"/>
        <v>NEWPORT NEWS</v>
      </c>
      <c r="J4380" t="str">
        <f t="shared" si="1726"/>
        <v>VA</v>
      </c>
      <c r="K4380" t="str">
        <f t="shared" si="1729"/>
        <v>000000000000000000</v>
      </c>
      <c r="L4380" t="str">
        <f>T("7576883285")</f>
        <v>7576883285</v>
      </c>
    </row>
    <row r="4381" spans="1:12" x14ac:dyDescent="0.35">
      <c r="A4381" t="str">
        <f t="shared" si="1719"/>
        <v>SUPSHIPNN</v>
      </c>
      <c r="B4381" t="str">
        <f t="shared" si="1720"/>
        <v>4101 WASHINGTON AVE BLDG 2</v>
      </c>
      <c r="C4381" t="str">
        <f t="shared" si="1721"/>
        <v/>
      </c>
      <c r="D4381" t="str">
        <f t="shared" si="1722"/>
        <v>NEWPORT NEWS</v>
      </c>
      <c r="E4381" t="str">
        <f t="shared" si="1723"/>
        <v>VA</v>
      </c>
      <c r="F4381" t="str">
        <f t="shared" si="1724"/>
        <v>236072734</v>
      </c>
      <c r="G4381" t="str">
        <f t="shared" si="1727"/>
        <v>4101 WASHINGTON AVE BLDG 2</v>
      </c>
      <c r="H4381" t="str">
        <f t="shared" si="1728"/>
        <v/>
      </c>
      <c r="I4381" t="str">
        <f t="shared" si="1725"/>
        <v>NEWPORT NEWS</v>
      </c>
      <c r="J4381" t="str">
        <f t="shared" si="1726"/>
        <v>VA</v>
      </c>
      <c r="K4381" t="str">
        <f t="shared" si="1729"/>
        <v>000000000000000000</v>
      </c>
      <c r="L4381" t="str">
        <f>T("7576887409")</f>
        <v>7576887409</v>
      </c>
    </row>
    <row r="4382" spans="1:12" x14ac:dyDescent="0.35">
      <c r="A4382" t="str">
        <f t="shared" si="1719"/>
        <v>SUPSHIPNN</v>
      </c>
      <c r="B4382" t="str">
        <f t="shared" si="1720"/>
        <v>4101 WASHINGTON AVE BLDG 2</v>
      </c>
      <c r="C4382" t="str">
        <f t="shared" si="1721"/>
        <v/>
      </c>
      <c r="D4382" t="str">
        <f t="shared" si="1722"/>
        <v>NEWPORT NEWS</v>
      </c>
      <c r="E4382" t="str">
        <f t="shared" si="1723"/>
        <v>VA</v>
      </c>
      <c r="F4382" t="str">
        <f t="shared" si="1724"/>
        <v>236072734</v>
      </c>
      <c r="G4382" t="str">
        <f t="shared" si="1727"/>
        <v>4101 WASHINGTON AVE BLDG 2</v>
      </c>
      <c r="H4382" t="str">
        <f t="shared" si="1728"/>
        <v/>
      </c>
      <c r="I4382" t="str">
        <f t="shared" si="1725"/>
        <v>NEWPORT NEWS</v>
      </c>
      <c r="J4382" t="str">
        <f t="shared" si="1726"/>
        <v>VA</v>
      </c>
      <c r="K4382" t="str">
        <f>T("757-688-0912")</f>
        <v>757-688-0912</v>
      </c>
      <c r="L4382" t="str">
        <f>T("7575643856")</f>
        <v>7575643856</v>
      </c>
    </row>
    <row r="4383" spans="1:12" x14ac:dyDescent="0.35">
      <c r="A4383" t="str">
        <f t="shared" si="1719"/>
        <v>SUPSHIPNN</v>
      </c>
      <c r="B4383" t="str">
        <f t="shared" si="1720"/>
        <v>4101 WASHINGTON AVE BLDG 2</v>
      </c>
      <c r="C4383" t="str">
        <f t="shared" si="1721"/>
        <v/>
      </c>
      <c r="D4383" t="str">
        <f t="shared" si="1722"/>
        <v>NEWPORT NEWS</v>
      </c>
      <c r="E4383" t="str">
        <f t="shared" si="1723"/>
        <v>VA</v>
      </c>
      <c r="F4383" t="str">
        <f t="shared" si="1724"/>
        <v>236072734</v>
      </c>
      <c r="G4383" t="str">
        <f t="shared" si="1727"/>
        <v>4101 WASHINGTON AVE BLDG 2</v>
      </c>
      <c r="H4383" t="str">
        <f t="shared" si="1728"/>
        <v/>
      </c>
      <c r="I4383" t="str">
        <f t="shared" si="1725"/>
        <v>NEWPORT NEWS</v>
      </c>
      <c r="J4383" t="str">
        <f t="shared" si="1726"/>
        <v>VA</v>
      </c>
      <c r="K4383" t="str">
        <f>T("7575342031")</f>
        <v>7575342031</v>
      </c>
      <c r="L4383" t="str">
        <f>T("7576889010")</f>
        <v>7576889010</v>
      </c>
    </row>
    <row r="4384" spans="1:12" x14ac:dyDescent="0.35">
      <c r="A4384" t="str">
        <f t="shared" si="1719"/>
        <v>SUPSHIPNN</v>
      </c>
      <c r="B4384" t="str">
        <f t="shared" si="1720"/>
        <v>4101 WASHINGTON AVE BLDG 2</v>
      </c>
      <c r="C4384" t="str">
        <f t="shared" si="1721"/>
        <v/>
      </c>
      <c r="D4384" t="str">
        <f t="shared" si="1722"/>
        <v>NEWPORT NEWS</v>
      </c>
      <c r="E4384" t="str">
        <f t="shared" si="1723"/>
        <v>VA</v>
      </c>
      <c r="F4384" t="str">
        <f t="shared" si="1724"/>
        <v>236072734</v>
      </c>
      <c r="G4384" t="str">
        <f>T("SUPSHIPNN")</f>
        <v>SUPSHIPNN</v>
      </c>
      <c r="H4384" t="str">
        <f>T("4101 WASHINGTON AVE BLDG 2")</f>
        <v>4101 WASHINGTON AVE BLDG 2</v>
      </c>
      <c r="I4384" t="str">
        <f t="shared" si="1725"/>
        <v>NEWPORT NEWS</v>
      </c>
      <c r="J4384" t="str">
        <f t="shared" si="1726"/>
        <v>VA</v>
      </c>
      <c r="K4384" t="str">
        <f>T("7575343857")</f>
        <v>7575343857</v>
      </c>
      <c r="L4384" t="str">
        <f>T("7575340519")</f>
        <v>7575340519</v>
      </c>
    </row>
    <row r="4385" spans="1:12" x14ac:dyDescent="0.35">
      <c r="A4385" t="str">
        <f t="shared" si="1719"/>
        <v>SUPSHIPNN</v>
      </c>
      <c r="B4385" t="str">
        <f t="shared" si="1720"/>
        <v>4101 WASHINGTON AVE BLDG 2</v>
      </c>
      <c r="C4385" t="str">
        <f t="shared" si="1721"/>
        <v/>
      </c>
      <c r="D4385" t="str">
        <f t="shared" si="1722"/>
        <v>NEWPORT NEWS</v>
      </c>
      <c r="E4385" t="str">
        <f t="shared" si="1723"/>
        <v>VA</v>
      </c>
      <c r="F4385" t="str">
        <f t="shared" si="1724"/>
        <v>236072734</v>
      </c>
      <c r="G4385" t="str">
        <f>T("SUPSHIPNN")</f>
        <v>SUPSHIPNN</v>
      </c>
      <c r="H4385" t="str">
        <f>T("4101 WASHINGTON AVE BLDG 2")</f>
        <v>4101 WASHINGTON AVE BLDG 2</v>
      </c>
      <c r="I4385" t="str">
        <f t="shared" si="1725"/>
        <v>NEWPORT NEWS</v>
      </c>
      <c r="J4385" t="str">
        <f t="shared" si="1726"/>
        <v>VA</v>
      </c>
      <c r="K4385" t="str">
        <f>T("7576880912")</f>
        <v>7576880912</v>
      </c>
      <c r="L4385" t="str">
        <f>T("7575344537")</f>
        <v>7575344537</v>
      </c>
    </row>
    <row r="4386" spans="1:12" x14ac:dyDescent="0.35">
      <c r="A4386" t="str">
        <f t="shared" si="1719"/>
        <v>SUPSHIPNN</v>
      </c>
      <c r="B4386" t="str">
        <f t="shared" si="1720"/>
        <v>4101 WASHINGTON AVE BLDG 2</v>
      </c>
      <c r="C4386" t="str">
        <f t="shared" si="1721"/>
        <v/>
      </c>
      <c r="D4386" t="str">
        <f t="shared" si="1722"/>
        <v>NEWPORT NEWS</v>
      </c>
      <c r="E4386" t="str">
        <f t="shared" si="1723"/>
        <v>VA</v>
      </c>
      <c r="F4386" t="str">
        <f t="shared" si="1724"/>
        <v>236072734</v>
      </c>
      <c r="G4386" t="str">
        <f>T("SUPSHIPNN")</f>
        <v>SUPSHIPNN</v>
      </c>
      <c r="H4386" t="str">
        <f>T("BLDG 2 CODE 461RH")</f>
        <v>BLDG 2 CODE 461RH</v>
      </c>
      <c r="I4386" t="str">
        <f t="shared" si="1725"/>
        <v>NEWPORT NEWS</v>
      </c>
      <c r="J4386" t="str">
        <f t="shared" si="1726"/>
        <v>VA</v>
      </c>
      <c r="K4386" t="str">
        <f t="shared" ref="K4386:K4391" si="1730">T("000000000000000000")</f>
        <v>000000000000000000</v>
      </c>
      <c r="L4386" t="str">
        <f>T("7576889128")</f>
        <v>7576889128</v>
      </c>
    </row>
    <row r="4387" spans="1:12" x14ac:dyDescent="0.35">
      <c r="A4387" t="str">
        <f t="shared" si="1719"/>
        <v>SUPSHIPNN</v>
      </c>
      <c r="B4387" t="str">
        <f t="shared" si="1720"/>
        <v>4101 WASHINGTON AVE BLDG 2</v>
      </c>
      <c r="C4387" t="str">
        <f t="shared" si="1721"/>
        <v/>
      </c>
      <c r="D4387" t="str">
        <f t="shared" si="1722"/>
        <v>NEWPORT NEWS</v>
      </c>
      <c r="E4387" t="str">
        <f t="shared" si="1723"/>
        <v>VA</v>
      </c>
      <c r="F4387" t="str">
        <f t="shared" si="1724"/>
        <v>236072734</v>
      </c>
      <c r="G4387" t="str">
        <f>T("SUPSHIPNN")</f>
        <v>SUPSHIPNN</v>
      </c>
      <c r="H4387" t="str">
        <f>T("BLDG 2 CODE 710A")</f>
        <v>BLDG 2 CODE 710A</v>
      </c>
      <c r="I4387" t="str">
        <f t="shared" si="1725"/>
        <v>NEWPORT NEWS</v>
      </c>
      <c r="J4387" t="str">
        <f t="shared" si="1726"/>
        <v>VA</v>
      </c>
      <c r="K4387" t="str">
        <f t="shared" si="1730"/>
        <v>000000000000000000</v>
      </c>
      <c r="L4387" t="str">
        <f>T("7576881996")</f>
        <v>7576881996</v>
      </c>
    </row>
    <row r="4388" spans="1:12" x14ac:dyDescent="0.35">
      <c r="A4388" t="str">
        <f t="shared" si="1719"/>
        <v>SUPSHIPNN</v>
      </c>
      <c r="B4388" t="str">
        <f t="shared" si="1720"/>
        <v>4101 WASHINGTON AVE BLDG 2</v>
      </c>
      <c r="C4388" t="str">
        <f t="shared" ref="C4388:C4393" si="1731">T("CODE 520E")</f>
        <v>CODE 520E</v>
      </c>
      <c r="D4388" t="str">
        <f t="shared" si="1722"/>
        <v>NEWPORT NEWS</v>
      </c>
      <c r="E4388" t="str">
        <f t="shared" si="1723"/>
        <v>VA</v>
      </c>
      <c r="F4388" t="str">
        <f t="shared" si="1724"/>
        <v>236072734</v>
      </c>
      <c r="G4388" t="str">
        <f>T("4101 WASHINGTON AVE BLDG 2")</f>
        <v>4101 WASHINGTON AVE BLDG 2</v>
      </c>
      <c r="H4388" t="str">
        <f>T("")</f>
        <v/>
      </c>
      <c r="I4388" t="str">
        <f t="shared" si="1725"/>
        <v>NEWPORT NEWS</v>
      </c>
      <c r="J4388" t="str">
        <f t="shared" si="1726"/>
        <v>VA</v>
      </c>
      <c r="K4388" t="str">
        <f t="shared" si="1730"/>
        <v>000000000000000000</v>
      </c>
      <c r="L4388" t="str">
        <f>T("7573804563")</f>
        <v>7573804563</v>
      </c>
    </row>
    <row r="4389" spans="1:12" x14ac:dyDescent="0.35">
      <c r="A4389" t="str">
        <f t="shared" si="1719"/>
        <v>SUPSHIPNN</v>
      </c>
      <c r="B4389" t="str">
        <f t="shared" si="1720"/>
        <v>4101 WASHINGTON AVE BLDG 2</v>
      </c>
      <c r="C4389" t="str">
        <f t="shared" si="1731"/>
        <v>CODE 520E</v>
      </c>
      <c r="D4389" t="str">
        <f t="shared" si="1722"/>
        <v>NEWPORT NEWS</v>
      </c>
      <c r="E4389" t="str">
        <f t="shared" si="1723"/>
        <v>VA</v>
      </c>
      <c r="F4389" t="str">
        <f t="shared" si="1724"/>
        <v>236072734</v>
      </c>
      <c r="G4389" t="str">
        <f>T("4101 WASHINGTON AVE BLDG 2")</f>
        <v>4101 WASHINGTON AVE BLDG 2</v>
      </c>
      <c r="H4389" t="str">
        <f>T("")</f>
        <v/>
      </c>
      <c r="I4389" t="str">
        <f t="shared" si="1725"/>
        <v>NEWPORT NEWS</v>
      </c>
      <c r="J4389" t="str">
        <f t="shared" si="1726"/>
        <v>VA</v>
      </c>
      <c r="K4389" t="str">
        <f t="shared" si="1730"/>
        <v>000000000000000000</v>
      </c>
      <c r="L4389" t="str">
        <f>T("7575344764")</f>
        <v>7575344764</v>
      </c>
    </row>
    <row r="4390" spans="1:12" x14ac:dyDescent="0.35">
      <c r="A4390" t="str">
        <f t="shared" si="1719"/>
        <v>SUPSHIPNN</v>
      </c>
      <c r="B4390" t="str">
        <f t="shared" si="1720"/>
        <v>4101 WASHINGTON AVE BLDG 2</v>
      </c>
      <c r="C4390" t="str">
        <f t="shared" si="1731"/>
        <v>CODE 520E</v>
      </c>
      <c r="D4390" t="str">
        <f t="shared" si="1722"/>
        <v>NEWPORT NEWS</v>
      </c>
      <c r="E4390" t="str">
        <f t="shared" si="1723"/>
        <v>VA</v>
      </c>
      <c r="F4390" t="str">
        <f t="shared" si="1724"/>
        <v>236072734</v>
      </c>
      <c r="G4390" t="str">
        <f>T("4101 WASHINGTON AVE BLDG 2")</f>
        <v>4101 WASHINGTON AVE BLDG 2</v>
      </c>
      <c r="H4390" t="str">
        <f>T("")</f>
        <v/>
      </c>
      <c r="I4390" t="str">
        <f t="shared" si="1725"/>
        <v>NEWPORT NEWS</v>
      </c>
      <c r="J4390" t="str">
        <f t="shared" si="1726"/>
        <v>VA</v>
      </c>
      <c r="K4390" t="str">
        <f t="shared" si="1730"/>
        <v>000000000000000000</v>
      </c>
      <c r="L4390" t="str">
        <f>T("7576889217")</f>
        <v>7576889217</v>
      </c>
    </row>
    <row r="4391" spans="1:12" x14ac:dyDescent="0.35">
      <c r="A4391" t="str">
        <f t="shared" si="1719"/>
        <v>SUPSHIPNN</v>
      </c>
      <c r="B4391" t="str">
        <f t="shared" si="1720"/>
        <v>4101 WASHINGTON AVE BLDG 2</v>
      </c>
      <c r="C4391" t="str">
        <f t="shared" si="1731"/>
        <v>CODE 520E</v>
      </c>
      <c r="D4391" t="str">
        <f t="shared" si="1722"/>
        <v>NEWPORT NEWS</v>
      </c>
      <c r="E4391" t="str">
        <f t="shared" si="1723"/>
        <v>VA</v>
      </c>
      <c r="F4391" t="str">
        <f t="shared" si="1724"/>
        <v>236072734</v>
      </c>
      <c r="G4391" t="str">
        <f>T("4101 WASHINGTON AVE BLDG 2")</f>
        <v>4101 WASHINGTON AVE BLDG 2</v>
      </c>
      <c r="H4391" t="str">
        <f>T("CODE 520E")</f>
        <v>CODE 520E</v>
      </c>
      <c r="I4391" t="str">
        <f t="shared" si="1725"/>
        <v>NEWPORT NEWS</v>
      </c>
      <c r="J4391" t="str">
        <f t="shared" si="1726"/>
        <v>VA</v>
      </c>
      <c r="K4391" t="str">
        <f t="shared" si="1730"/>
        <v>000000000000000000</v>
      </c>
      <c r="L4391" t="str">
        <f>T("7576889010")</f>
        <v>7576889010</v>
      </c>
    </row>
    <row r="4392" spans="1:12" x14ac:dyDescent="0.35">
      <c r="A4392" t="str">
        <f t="shared" si="1719"/>
        <v>SUPSHIPNN</v>
      </c>
      <c r="B4392" t="str">
        <f t="shared" si="1720"/>
        <v>4101 WASHINGTON AVE BLDG 2</v>
      </c>
      <c r="C4392" t="str">
        <f t="shared" si="1731"/>
        <v>CODE 520E</v>
      </c>
      <c r="D4392" t="str">
        <f t="shared" si="1722"/>
        <v>NEWPORT NEWS</v>
      </c>
      <c r="E4392" t="str">
        <f t="shared" si="1723"/>
        <v>VA</v>
      </c>
      <c r="F4392" t="str">
        <f t="shared" si="1724"/>
        <v>236072734</v>
      </c>
      <c r="G4392" t="str">
        <f>T("SUPERVISOR OF SHIPBUILDING")</f>
        <v>SUPERVISOR OF SHIPBUILDING</v>
      </c>
      <c r="H4392" t="str">
        <f>T("FISC - BLDG 2")</f>
        <v>FISC - BLDG 2</v>
      </c>
      <c r="I4392" t="str">
        <f t="shared" si="1725"/>
        <v>NEWPORT NEWS</v>
      </c>
      <c r="J4392" t="str">
        <f t="shared" si="1726"/>
        <v>VA</v>
      </c>
      <c r="K4392" t="str">
        <f>T("7576889192")</f>
        <v>7576889192</v>
      </c>
      <c r="L4392" t="str">
        <f>T("7576883285")</f>
        <v>7576883285</v>
      </c>
    </row>
    <row r="4393" spans="1:12" x14ac:dyDescent="0.35">
      <c r="A4393" t="str">
        <f t="shared" si="1719"/>
        <v>SUPSHIPNN</v>
      </c>
      <c r="B4393" t="str">
        <f t="shared" si="1720"/>
        <v>4101 WASHINGTON AVE BLDG 2</v>
      </c>
      <c r="C4393" t="str">
        <f t="shared" si="1731"/>
        <v>CODE 520E</v>
      </c>
      <c r="D4393" t="str">
        <f t="shared" si="1722"/>
        <v>NEWPORT NEWS</v>
      </c>
      <c r="E4393" t="str">
        <f t="shared" si="1723"/>
        <v>VA</v>
      </c>
      <c r="F4393" t="str">
        <f t="shared" si="1724"/>
        <v>236072734</v>
      </c>
      <c r="G4393" t="str">
        <f>T("SUPSHIPNN")</f>
        <v>SUPSHIPNN</v>
      </c>
      <c r="H4393" t="str">
        <f>T("4101 WASHINGTON AVE BLDG 2")</f>
        <v>4101 WASHINGTON AVE BLDG 2</v>
      </c>
      <c r="I4393" t="str">
        <f t="shared" si="1725"/>
        <v>NEWPORT NEWS</v>
      </c>
      <c r="J4393" t="str">
        <f t="shared" si="1726"/>
        <v>VA</v>
      </c>
      <c r="K4393" t="str">
        <f>T("7576880912")</f>
        <v>7576880912</v>
      </c>
      <c r="L4393" t="str">
        <f>T("7573807148")</f>
        <v>7573807148</v>
      </c>
    </row>
    <row r="4394" spans="1:12" x14ac:dyDescent="0.35">
      <c r="A4394" t="str">
        <f t="shared" si="1719"/>
        <v>SUPSHIPNN</v>
      </c>
      <c r="B4394" t="str">
        <f>T("SUPERVISOR OF SHIPBUILDING")</f>
        <v>SUPERVISOR OF SHIPBUILDING</v>
      </c>
      <c r="C4394" t="str">
        <f>T("FISC BLDG 2 CODE 520E")</f>
        <v>FISC BLDG 2 CODE 520E</v>
      </c>
      <c r="D4394" t="str">
        <f t="shared" si="1722"/>
        <v>NEWPORT NEWS</v>
      </c>
      <c r="E4394" t="str">
        <f t="shared" si="1723"/>
        <v>VA</v>
      </c>
      <c r="F4394" t="str">
        <f>T("236072787")</f>
        <v>236072787</v>
      </c>
      <c r="G4394" t="str">
        <f>T("SUPERVISOR OF SHIPBUILDING")</f>
        <v>SUPERVISOR OF SHIPBUILDING</v>
      </c>
      <c r="H4394" t="str">
        <f>T("FISC BLDG 2 CODE 520E")</f>
        <v>FISC BLDG 2 CODE 520E</v>
      </c>
      <c r="I4394" t="str">
        <f t="shared" si="1725"/>
        <v>NEWPORT NEWS</v>
      </c>
      <c r="J4394" t="str">
        <f t="shared" si="1726"/>
        <v>VA</v>
      </c>
      <c r="K4394" t="str">
        <f>T("")</f>
        <v/>
      </c>
      <c r="L4394" t="str">
        <f>T("7576888532")</f>
        <v>7576888532</v>
      </c>
    </row>
    <row r="4395" spans="1:12" x14ac:dyDescent="0.35">
      <c r="A4395" t="str">
        <f t="shared" ref="A4395:A4418" si="1732">T("NSWC CORONA DIVISION")</f>
        <v>NSWC CORONA DIVISION</v>
      </c>
      <c r="B4395" t="str">
        <f t="shared" ref="B4395:B4418" si="1733">T("PO BOX 5000")</f>
        <v>PO BOX 5000</v>
      </c>
      <c r="C4395" t="str">
        <f t="shared" ref="C4395:C4411" si="1734">T("")</f>
        <v/>
      </c>
      <c r="D4395" t="str">
        <f t="shared" ref="D4395:D4418" si="1735">T("CORONA")</f>
        <v>CORONA</v>
      </c>
      <c r="E4395" t="str">
        <f t="shared" ref="E4395:E4418" si="1736">T("CA")</f>
        <v>CA</v>
      </c>
      <c r="F4395" t="str">
        <f t="shared" ref="F4395:F4418" si="1737">T("928785000")</f>
        <v>928785000</v>
      </c>
      <c r="G4395" t="str">
        <f>T("NSWC CORONA")</f>
        <v>NSWC CORONA</v>
      </c>
      <c r="H4395" t="str">
        <f>T("PO BOX 5000")</f>
        <v>PO BOX 5000</v>
      </c>
      <c r="I4395" t="str">
        <f t="shared" ref="I4395:I4415" si="1738">T("CORONA")</f>
        <v>CORONA</v>
      </c>
      <c r="J4395" t="str">
        <f t="shared" ref="J4395:J4418" si="1739">T("CA")</f>
        <v>CA</v>
      </c>
      <c r="K4395" t="str">
        <f t="shared" ref="K4395:K4401" si="1740">T("000000000000000000")</f>
        <v>000000000000000000</v>
      </c>
      <c r="L4395" t="str">
        <f>T("9513935000")</f>
        <v>9513935000</v>
      </c>
    </row>
    <row r="4396" spans="1:12" x14ac:dyDescent="0.35">
      <c r="A4396" t="str">
        <f t="shared" si="1732"/>
        <v>NSWC CORONA DIVISION</v>
      </c>
      <c r="B4396" t="str">
        <f t="shared" si="1733"/>
        <v>PO BOX 5000</v>
      </c>
      <c r="C4396" t="str">
        <f t="shared" si="1734"/>
        <v/>
      </c>
      <c r="D4396" t="str">
        <f t="shared" si="1735"/>
        <v>CORONA</v>
      </c>
      <c r="E4396" t="str">
        <f t="shared" si="1736"/>
        <v>CA</v>
      </c>
      <c r="F4396" t="str">
        <f t="shared" si="1737"/>
        <v>928785000</v>
      </c>
      <c r="G4396" t="str">
        <f t="shared" ref="G4396:G4401" si="1741">T("NSWC CORONA DIVISION")</f>
        <v>NSWC CORONA DIVISION</v>
      </c>
      <c r="H4396" t="str">
        <f>T("")</f>
        <v/>
      </c>
      <c r="I4396" t="str">
        <f t="shared" si="1738"/>
        <v>CORONA</v>
      </c>
      <c r="J4396" t="str">
        <f t="shared" si="1739"/>
        <v>CA</v>
      </c>
      <c r="K4396" t="str">
        <f t="shared" si="1740"/>
        <v>000000000000000000</v>
      </c>
      <c r="L4396" t="str">
        <f>T("9513934140")</f>
        <v>9513934140</v>
      </c>
    </row>
    <row r="4397" spans="1:12" x14ac:dyDescent="0.35">
      <c r="A4397" t="str">
        <f t="shared" si="1732"/>
        <v>NSWC CORONA DIVISION</v>
      </c>
      <c r="B4397" t="str">
        <f t="shared" si="1733"/>
        <v>PO BOX 5000</v>
      </c>
      <c r="C4397" t="str">
        <f t="shared" si="1734"/>
        <v/>
      </c>
      <c r="D4397" t="str">
        <f t="shared" si="1735"/>
        <v>CORONA</v>
      </c>
      <c r="E4397" t="str">
        <f t="shared" si="1736"/>
        <v>CA</v>
      </c>
      <c r="F4397" t="str">
        <f t="shared" si="1737"/>
        <v>928785000</v>
      </c>
      <c r="G4397" t="str">
        <f t="shared" si="1741"/>
        <v>NSWC CORONA DIVISION</v>
      </c>
      <c r="H4397" t="str">
        <f>T("PO BOX 5000")</f>
        <v>PO BOX 5000</v>
      </c>
      <c r="I4397" t="str">
        <f t="shared" si="1738"/>
        <v>CORONA</v>
      </c>
      <c r="J4397" t="str">
        <f t="shared" si="1739"/>
        <v>CA</v>
      </c>
      <c r="K4397" t="str">
        <f t="shared" si="1740"/>
        <v>000000000000000000</v>
      </c>
      <c r="L4397" t="str">
        <f>T("9513934140")</f>
        <v>9513934140</v>
      </c>
    </row>
    <row r="4398" spans="1:12" x14ac:dyDescent="0.35">
      <c r="A4398" t="str">
        <f t="shared" si="1732"/>
        <v>NSWC CORONA DIVISION</v>
      </c>
      <c r="B4398" t="str">
        <f t="shared" si="1733"/>
        <v>PO BOX 5000</v>
      </c>
      <c r="C4398" t="str">
        <f t="shared" si="1734"/>
        <v/>
      </c>
      <c r="D4398" t="str">
        <f t="shared" si="1735"/>
        <v>CORONA</v>
      </c>
      <c r="E4398" t="str">
        <f t="shared" si="1736"/>
        <v>CA</v>
      </c>
      <c r="F4398" t="str">
        <f t="shared" si="1737"/>
        <v>928785000</v>
      </c>
      <c r="G4398" t="str">
        <f t="shared" si="1741"/>
        <v>NSWC CORONA DIVISION</v>
      </c>
      <c r="H4398" t="str">
        <f>T("PO BOX 5000")</f>
        <v>PO BOX 5000</v>
      </c>
      <c r="I4398" t="str">
        <f t="shared" si="1738"/>
        <v>CORONA</v>
      </c>
      <c r="J4398" t="str">
        <f t="shared" si="1739"/>
        <v>CA</v>
      </c>
      <c r="K4398" t="str">
        <f t="shared" si="1740"/>
        <v>000000000000000000</v>
      </c>
      <c r="L4398" t="str">
        <f>T("9513934572")</f>
        <v>9513934572</v>
      </c>
    </row>
    <row r="4399" spans="1:12" x14ac:dyDescent="0.35">
      <c r="A4399" t="str">
        <f t="shared" si="1732"/>
        <v>NSWC CORONA DIVISION</v>
      </c>
      <c r="B4399" t="str">
        <f t="shared" si="1733"/>
        <v>PO BOX 5000</v>
      </c>
      <c r="C4399" t="str">
        <f t="shared" si="1734"/>
        <v/>
      </c>
      <c r="D4399" t="str">
        <f t="shared" si="1735"/>
        <v>CORONA</v>
      </c>
      <c r="E4399" t="str">
        <f t="shared" si="1736"/>
        <v>CA</v>
      </c>
      <c r="F4399" t="str">
        <f t="shared" si="1737"/>
        <v>928785000</v>
      </c>
      <c r="G4399" t="str">
        <f t="shared" si="1741"/>
        <v>NSWC CORONA DIVISION</v>
      </c>
      <c r="H4399" t="str">
        <f>T("PO BOX 5000")</f>
        <v>PO BOX 5000</v>
      </c>
      <c r="I4399" t="str">
        <f t="shared" si="1738"/>
        <v>CORONA</v>
      </c>
      <c r="J4399" t="str">
        <f t="shared" si="1739"/>
        <v>CA</v>
      </c>
      <c r="K4399" t="str">
        <f t="shared" si="1740"/>
        <v>000000000000000000</v>
      </c>
      <c r="L4399" t="str">
        <f>T("9513935493")</f>
        <v>9513935493</v>
      </c>
    </row>
    <row r="4400" spans="1:12" x14ac:dyDescent="0.35">
      <c r="A4400" t="str">
        <f t="shared" si="1732"/>
        <v>NSWC CORONA DIVISION</v>
      </c>
      <c r="B4400" t="str">
        <f t="shared" si="1733"/>
        <v>PO BOX 5000</v>
      </c>
      <c r="C4400" t="str">
        <f t="shared" si="1734"/>
        <v/>
      </c>
      <c r="D4400" t="str">
        <f t="shared" si="1735"/>
        <v>CORONA</v>
      </c>
      <c r="E4400" t="str">
        <f t="shared" si="1736"/>
        <v>CA</v>
      </c>
      <c r="F4400" t="str">
        <f t="shared" si="1737"/>
        <v>928785000</v>
      </c>
      <c r="G4400" t="str">
        <f t="shared" si="1741"/>
        <v>NSWC CORONA DIVISION</v>
      </c>
      <c r="H4400" t="str">
        <f>T("PO BOX 5000")</f>
        <v>PO BOX 5000</v>
      </c>
      <c r="I4400" t="str">
        <f t="shared" si="1738"/>
        <v>CORONA</v>
      </c>
      <c r="J4400" t="str">
        <f t="shared" si="1739"/>
        <v>CA</v>
      </c>
      <c r="K4400" t="str">
        <f t="shared" si="1740"/>
        <v>000000000000000000</v>
      </c>
      <c r="L4400" t="str">
        <f>T("9513935823")</f>
        <v>9513935823</v>
      </c>
    </row>
    <row r="4401" spans="1:12" x14ac:dyDescent="0.35">
      <c r="A4401" t="str">
        <f t="shared" si="1732"/>
        <v>NSWC CORONA DIVISION</v>
      </c>
      <c r="B4401" t="str">
        <f t="shared" si="1733"/>
        <v>PO BOX 5000</v>
      </c>
      <c r="C4401" t="str">
        <f t="shared" si="1734"/>
        <v/>
      </c>
      <c r="D4401" t="str">
        <f t="shared" si="1735"/>
        <v>CORONA</v>
      </c>
      <c r="E4401" t="str">
        <f t="shared" si="1736"/>
        <v>CA</v>
      </c>
      <c r="F4401" t="str">
        <f t="shared" si="1737"/>
        <v>928785000</v>
      </c>
      <c r="G4401" t="str">
        <f t="shared" si="1741"/>
        <v>NSWC CORONA DIVISION</v>
      </c>
      <c r="H4401" t="str">
        <f>T("PO BOX 5000")</f>
        <v>PO BOX 5000</v>
      </c>
      <c r="I4401" t="str">
        <f t="shared" si="1738"/>
        <v>CORONA</v>
      </c>
      <c r="J4401" t="str">
        <f t="shared" si="1739"/>
        <v>CA</v>
      </c>
      <c r="K4401" t="str">
        <f t="shared" si="1740"/>
        <v>000000000000000000</v>
      </c>
      <c r="L4401" t="str">
        <f>T("9513935924")</f>
        <v>9513935924</v>
      </c>
    </row>
    <row r="4402" spans="1:12" x14ac:dyDescent="0.35">
      <c r="A4402" t="str">
        <f t="shared" si="1732"/>
        <v>NSWC CORONA DIVISION</v>
      </c>
      <c r="B4402" t="str">
        <f t="shared" si="1733"/>
        <v>PO BOX 5000</v>
      </c>
      <c r="C4402" t="str">
        <f t="shared" si="1734"/>
        <v/>
      </c>
      <c r="D4402" t="str">
        <f t="shared" si="1735"/>
        <v>CORONA</v>
      </c>
      <c r="E4402" t="str">
        <f t="shared" si="1736"/>
        <v>CA</v>
      </c>
      <c r="F4402" t="str">
        <f t="shared" si="1737"/>
        <v>928785000</v>
      </c>
      <c r="G4402" t="str">
        <f t="shared" ref="G4402:G4413" si="1742">T("PO BOX 5000")</f>
        <v>PO BOX 5000</v>
      </c>
      <c r="H4402" t="str">
        <f t="shared" ref="H4402:H4411" si="1743">T("")</f>
        <v/>
      </c>
      <c r="I4402" t="str">
        <f t="shared" si="1738"/>
        <v>CORONA</v>
      </c>
      <c r="J4402" t="str">
        <f t="shared" si="1739"/>
        <v>CA</v>
      </c>
      <c r="K4402" t="str">
        <f>T("")</f>
        <v/>
      </c>
      <c r="L4402" t="str">
        <f>T("9512734636")</f>
        <v>9512734636</v>
      </c>
    </row>
    <row r="4403" spans="1:12" x14ac:dyDescent="0.35">
      <c r="A4403" t="str">
        <f t="shared" si="1732"/>
        <v>NSWC CORONA DIVISION</v>
      </c>
      <c r="B4403" t="str">
        <f t="shared" si="1733"/>
        <v>PO BOX 5000</v>
      </c>
      <c r="C4403" t="str">
        <f t="shared" si="1734"/>
        <v/>
      </c>
      <c r="D4403" t="str">
        <f t="shared" si="1735"/>
        <v>CORONA</v>
      </c>
      <c r="E4403" t="str">
        <f t="shared" si="1736"/>
        <v>CA</v>
      </c>
      <c r="F4403" t="str">
        <f t="shared" si="1737"/>
        <v>928785000</v>
      </c>
      <c r="G4403" t="str">
        <f t="shared" si="1742"/>
        <v>PO BOX 5000</v>
      </c>
      <c r="H4403" t="str">
        <f t="shared" si="1743"/>
        <v/>
      </c>
      <c r="I4403" t="str">
        <f t="shared" si="1738"/>
        <v>CORONA</v>
      </c>
      <c r="J4403" t="str">
        <f t="shared" si="1739"/>
        <v>CA</v>
      </c>
      <c r="K4403" t="str">
        <f>T("")</f>
        <v/>
      </c>
      <c r="L4403" t="str">
        <f>T("9513934371")</f>
        <v>9513934371</v>
      </c>
    </row>
    <row r="4404" spans="1:12" x14ac:dyDescent="0.35">
      <c r="A4404" t="str">
        <f t="shared" si="1732"/>
        <v>NSWC CORONA DIVISION</v>
      </c>
      <c r="B4404" t="str">
        <f t="shared" si="1733"/>
        <v>PO BOX 5000</v>
      </c>
      <c r="C4404" t="str">
        <f t="shared" si="1734"/>
        <v/>
      </c>
      <c r="D4404" t="str">
        <f t="shared" si="1735"/>
        <v>CORONA</v>
      </c>
      <c r="E4404" t="str">
        <f t="shared" si="1736"/>
        <v>CA</v>
      </c>
      <c r="F4404" t="str">
        <f t="shared" si="1737"/>
        <v>928785000</v>
      </c>
      <c r="G4404" t="str">
        <f t="shared" si="1742"/>
        <v>PO BOX 5000</v>
      </c>
      <c r="H4404" t="str">
        <f t="shared" si="1743"/>
        <v/>
      </c>
      <c r="I4404" t="str">
        <f t="shared" si="1738"/>
        <v>CORONA</v>
      </c>
      <c r="J4404" t="str">
        <f t="shared" si="1739"/>
        <v>CA</v>
      </c>
      <c r="K4404" t="str">
        <f>T("")</f>
        <v/>
      </c>
      <c r="L4404" t="str">
        <f>T("9513934736")</f>
        <v>9513934736</v>
      </c>
    </row>
    <row r="4405" spans="1:12" x14ac:dyDescent="0.35">
      <c r="A4405" t="str">
        <f t="shared" si="1732"/>
        <v>NSWC CORONA DIVISION</v>
      </c>
      <c r="B4405" t="str">
        <f t="shared" si="1733"/>
        <v>PO BOX 5000</v>
      </c>
      <c r="C4405" t="str">
        <f t="shared" si="1734"/>
        <v/>
      </c>
      <c r="D4405" t="str">
        <f t="shared" si="1735"/>
        <v>CORONA</v>
      </c>
      <c r="E4405" t="str">
        <f t="shared" si="1736"/>
        <v>CA</v>
      </c>
      <c r="F4405" t="str">
        <f t="shared" si="1737"/>
        <v>928785000</v>
      </c>
      <c r="G4405" t="str">
        <f t="shared" si="1742"/>
        <v>PO BOX 5000</v>
      </c>
      <c r="H4405" t="str">
        <f t="shared" si="1743"/>
        <v/>
      </c>
      <c r="I4405" t="str">
        <f t="shared" si="1738"/>
        <v>CORONA</v>
      </c>
      <c r="J4405" t="str">
        <f t="shared" si="1739"/>
        <v>CA</v>
      </c>
      <c r="K4405" t="str">
        <f>T("")</f>
        <v/>
      </c>
      <c r="L4405" t="str">
        <f>T("9513935544")</f>
        <v>9513935544</v>
      </c>
    </row>
    <row r="4406" spans="1:12" x14ac:dyDescent="0.35">
      <c r="A4406" t="str">
        <f t="shared" si="1732"/>
        <v>NSWC CORONA DIVISION</v>
      </c>
      <c r="B4406" t="str">
        <f t="shared" si="1733"/>
        <v>PO BOX 5000</v>
      </c>
      <c r="C4406" t="str">
        <f t="shared" si="1734"/>
        <v/>
      </c>
      <c r="D4406" t="str">
        <f t="shared" si="1735"/>
        <v>CORONA</v>
      </c>
      <c r="E4406" t="str">
        <f t="shared" si="1736"/>
        <v>CA</v>
      </c>
      <c r="F4406" t="str">
        <f t="shared" si="1737"/>
        <v>928785000</v>
      </c>
      <c r="G4406" t="str">
        <f t="shared" si="1742"/>
        <v>PO BOX 5000</v>
      </c>
      <c r="H4406" t="str">
        <f t="shared" si="1743"/>
        <v/>
      </c>
      <c r="I4406" t="str">
        <f t="shared" si="1738"/>
        <v>CORONA</v>
      </c>
      <c r="J4406" t="str">
        <f t="shared" si="1739"/>
        <v>CA</v>
      </c>
      <c r="K4406" t="str">
        <f t="shared" ref="K4406:K4411" si="1744">T("000000000000000000")</f>
        <v>000000000000000000</v>
      </c>
      <c r="L4406" t="str">
        <f>T("9513934202")</f>
        <v>9513934202</v>
      </c>
    </row>
    <row r="4407" spans="1:12" x14ac:dyDescent="0.35">
      <c r="A4407" t="str">
        <f t="shared" si="1732"/>
        <v>NSWC CORONA DIVISION</v>
      </c>
      <c r="B4407" t="str">
        <f t="shared" si="1733"/>
        <v>PO BOX 5000</v>
      </c>
      <c r="C4407" t="str">
        <f t="shared" si="1734"/>
        <v/>
      </c>
      <c r="D4407" t="str">
        <f t="shared" si="1735"/>
        <v>CORONA</v>
      </c>
      <c r="E4407" t="str">
        <f t="shared" si="1736"/>
        <v>CA</v>
      </c>
      <c r="F4407" t="str">
        <f t="shared" si="1737"/>
        <v>928785000</v>
      </c>
      <c r="G4407" t="str">
        <f t="shared" si="1742"/>
        <v>PO BOX 5000</v>
      </c>
      <c r="H4407" t="str">
        <f t="shared" si="1743"/>
        <v/>
      </c>
      <c r="I4407" t="str">
        <f t="shared" si="1738"/>
        <v>CORONA</v>
      </c>
      <c r="J4407" t="str">
        <f t="shared" si="1739"/>
        <v>CA</v>
      </c>
      <c r="K4407" t="str">
        <f t="shared" si="1744"/>
        <v>000000000000000000</v>
      </c>
      <c r="L4407" t="str">
        <f>T("9513934688")</f>
        <v>9513934688</v>
      </c>
    </row>
    <row r="4408" spans="1:12" x14ac:dyDescent="0.35">
      <c r="A4408" t="str">
        <f t="shared" si="1732"/>
        <v>NSWC CORONA DIVISION</v>
      </c>
      <c r="B4408" t="str">
        <f t="shared" si="1733"/>
        <v>PO BOX 5000</v>
      </c>
      <c r="C4408" t="str">
        <f t="shared" si="1734"/>
        <v/>
      </c>
      <c r="D4408" t="str">
        <f t="shared" si="1735"/>
        <v>CORONA</v>
      </c>
      <c r="E4408" t="str">
        <f t="shared" si="1736"/>
        <v>CA</v>
      </c>
      <c r="F4408" t="str">
        <f t="shared" si="1737"/>
        <v>928785000</v>
      </c>
      <c r="G4408" t="str">
        <f t="shared" si="1742"/>
        <v>PO BOX 5000</v>
      </c>
      <c r="H4408" t="str">
        <f t="shared" si="1743"/>
        <v/>
      </c>
      <c r="I4408" t="str">
        <f t="shared" si="1738"/>
        <v>CORONA</v>
      </c>
      <c r="J4408" t="str">
        <f t="shared" si="1739"/>
        <v>CA</v>
      </c>
      <c r="K4408" t="str">
        <f t="shared" si="1744"/>
        <v>000000000000000000</v>
      </c>
      <c r="L4408" t="str">
        <f>T("9513935435")</f>
        <v>9513935435</v>
      </c>
    </row>
    <row r="4409" spans="1:12" x14ac:dyDescent="0.35">
      <c r="A4409" t="str">
        <f t="shared" si="1732"/>
        <v>NSWC CORONA DIVISION</v>
      </c>
      <c r="B4409" t="str">
        <f t="shared" si="1733"/>
        <v>PO BOX 5000</v>
      </c>
      <c r="C4409" t="str">
        <f t="shared" si="1734"/>
        <v/>
      </c>
      <c r="D4409" t="str">
        <f t="shared" si="1735"/>
        <v>CORONA</v>
      </c>
      <c r="E4409" t="str">
        <f t="shared" si="1736"/>
        <v>CA</v>
      </c>
      <c r="F4409" t="str">
        <f t="shared" si="1737"/>
        <v>928785000</v>
      </c>
      <c r="G4409" t="str">
        <f t="shared" si="1742"/>
        <v>PO BOX 5000</v>
      </c>
      <c r="H4409" t="str">
        <f t="shared" si="1743"/>
        <v/>
      </c>
      <c r="I4409" t="str">
        <f t="shared" si="1738"/>
        <v>CORONA</v>
      </c>
      <c r="J4409" t="str">
        <f t="shared" si="1739"/>
        <v>CA</v>
      </c>
      <c r="K4409" t="str">
        <f t="shared" si="1744"/>
        <v>000000000000000000</v>
      </c>
      <c r="L4409" t="str">
        <f>T("9513935564")</f>
        <v>9513935564</v>
      </c>
    </row>
    <row r="4410" spans="1:12" x14ac:dyDescent="0.35">
      <c r="A4410" t="str">
        <f t="shared" si="1732"/>
        <v>NSWC CORONA DIVISION</v>
      </c>
      <c r="B4410" t="str">
        <f t="shared" si="1733"/>
        <v>PO BOX 5000</v>
      </c>
      <c r="C4410" t="str">
        <f t="shared" si="1734"/>
        <v/>
      </c>
      <c r="D4410" t="str">
        <f t="shared" si="1735"/>
        <v>CORONA</v>
      </c>
      <c r="E4410" t="str">
        <f t="shared" si="1736"/>
        <v>CA</v>
      </c>
      <c r="F4410" t="str">
        <f t="shared" si="1737"/>
        <v>928785000</v>
      </c>
      <c r="G4410" t="str">
        <f t="shared" si="1742"/>
        <v>PO BOX 5000</v>
      </c>
      <c r="H4410" t="str">
        <f t="shared" si="1743"/>
        <v/>
      </c>
      <c r="I4410" t="str">
        <f t="shared" si="1738"/>
        <v>CORONA</v>
      </c>
      <c r="J4410" t="str">
        <f t="shared" si="1739"/>
        <v>CA</v>
      </c>
      <c r="K4410" t="str">
        <f t="shared" si="1744"/>
        <v>000000000000000000</v>
      </c>
      <c r="L4410" t="str">
        <f>T("9513935751")</f>
        <v>9513935751</v>
      </c>
    </row>
    <row r="4411" spans="1:12" x14ac:dyDescent="0.35">
      <c r="A4411" t="str">
        <f t="shared" si="1732"/>
        <v>NSWC CORONA DIVISION</v>
      </c>
      <c r="B4411" t="str">
        <f t="shared" si="1733"/>
        <v>PO BOX 5000</v>
      </c>
      <c r="C4411" t="str">
        <f t="shared" si="1734"/>
        <v/>
      </c>
      <c r="D4411" t="str">
        <f t="shared" si="1735"/>
        <v>CORONA</v>
      </c>
      <c r="E4411" t="str">
        <f t="shared" si="1736"/>
        <v>CA</v>
      </c>
      <c r="F4411" t="str">
        <f t="shared" si="1737"/>
        <v>928785000</v>
      </c>
      <c r="G4411" t="str">
        <f t="shared" si="1742"/>
        <v>PO BOX 5000</v>
      </c>
      <c r="H4411" t="str">
        <f t="shared" si="1743"/>
        <v/>
      </c>
      <c r="I4411" t="str">
        <f t="shared" si="1738"/>
        <v>CORONA</v>
      </c>
      <c r="J4411" t="str">
        <f t="shared" si="1739"/>
        <v>CA</v>
      </c>
      <c r="K4411" t="str">
        <f t="shared" si="1744"/>
        <v>000000000000000000</v>
      </c>
      <c r="L4411" t="str">
        <f>T("9513935810")</f>
        <v>9513935810</v>
      </c>
    </row>
    <row r="4412" spans="1:12" x14ac:dyDescent="0.35">
      <c r="A4412" t="str">
        <f t="shared" si="1732"/>
        <v>NSWC CORONA DIVISION</v>
      </c>
      <c r="B4412" t="str">
        <f t="shared" si="1733"/>
        <v>PO BOX 5000</v>
      </c>
      <c r="C4412" t="str">
        <f>T("CODE PA")</f>
        <v>CODE PA</v>
      </c>
      <c r="D4412" t="str">
        <f t="shared" si="1735"/>
        <v>CORONA</v>
      </c>
      <c r="E4412" t="str">
        <f t="shared" si="1736"/>
        <v>CA</v>
      </c>
      <c r="F4412" t="str">
        <f t="shared" si="1737"/>
        <v>928785000</v>
      </c>
      <c r="G4412" t="str">
        <f t="shared" si="1742"/>
        <v>PO BOX 5000</v>
      </c>
      <c r="H4412" t="str">
        <f>T("CODE PA")</f>
        <v>CODE PA</v>
      </c>
      <c r="I4412" t="str">
        <f t="shared" si="1738"/>
        <v>CORONA</v>
      </c>
      <c r="J4412" t="str">
        <f t="shared" si="1739"/>
        <v>CA</v>
      </c>
      <c r="K4412" t="str">
        <f>T("")</f>
        <v/>
      </c>
      <c r="L4412" t="str">
        <f>T("9512734530")</f>
        <v>9512734530</v>
      </c>
    </row>
    <row r="4413" spans="1:12" x14ac:dyDescent="0.35">
      <c r="A4413" t="str">
        <f t="shared" si="1732"/>
        <v>NSWC CORONA DIVISION</v>
      </c>
      <c r="B4413" t="str">
        <f t="shared" si="1733"/>
        <v>PO BOX 5000</v>
      </c>
      <c r="C4413" t="str">
        <f>T("CODE PA")</f>
        <v>CODE PA</v>
      </c>
      <c r="D4413" t="str">
        <f t="shared" si="1735"/>
        <v>CORONA</v>
      </c>
      <c r="E4413" t="str">
        <f t="shared" si="1736"/>
        <v>CA</v>
      </c>
      <c r="F4413" t="str">
        <f t="shared" si="1737"/>
        <v>928785000</v>
      </c>
      <c r="G4413" t="str">
        <f t="shared" si="1742"/>
        <v>PO BOX 5000</v>
      </c>
      <c r="H4413" t="str">
        <f>T("CODE PA")</f>
        <v>CODE PA</v>
      </c>
      <c r="I4413" t="str">
        <f t="shared" si="1738"/>
        <v>CORONA</v>
      </c>
      <c r="J4413" t="str">
        <f t="shared" si="1739"/>
        <v>CA</v>
      </c>
      <c r="K4413" t="str">
        <f>T("")</f>
        <v/>
      </c>
      <c r="L4413" t="str">
        <f>T("9513934530")</f>
        <v>9513934530</v>
      </c>
    </row>
    <row r="4414" spans="1:12" x14ac:dyDescent="0.35">
      <c r="A4414" t="str">
        <f t="shared" si="1732"/>
        <v>NSWC CORONA DIVISION</v>
      </c>
      <c r="B4414" t="str">
        <f t="shared" si="1733"/>
        <v>PO BOX 5000</v>
      </c>
      <c r="C4414" t="str">
        <f>T("CODE RS14")</f>
        <v>CODE RS14</v>
      </c>
      <c r="D4414" t="str">
        <f t="shared" si="1735"/>
        <v>CORONA</v>
      </c>
      <c r="E4414" t="str">
        <f t="shared" si="1736"/>
        <v>CA</v>
      </c>
      <c r="F4414" t="str">
        <f t="shared" si="1737"/>
        <v>928785000</v>
      </c>
      <c r="G4414" t="str">
        <f>T("NSWC CORONA DIVISION")</f>
        <v>NSWC CORONA DIVISION</v>
      </c>
      <c r="H4414" t="str">
        <f>T("PO BOX 5000")</f>
        <v>PO BOX 5000</v>
      </c>
      <c r="I4414" t="str">
        <f t="shared" si="1738"/>
        <v>CORONA</v>
      </c>
      <c r="J4414" t="str">
        <f t="shared" si="1739"/>
        <v>CA</v>
      </c>
      <c r="K4414" t="str">
        <f>T("000000000000000000")</f>
        <v>000000000000000000</v>
      </c>
      <c r="L4414" t="str">
        <f>T("9513934572")</f>
        <v>9513934572</v>
      </c>
    </row>
    <row r="4415" spans="1:12" x14ac:dyDescent="0.35">
      <c r="A4415" t="str">
        <f t="shared" si="1732"/>
        <v>NSWC CORONA DIVISION</v>
      </c>
      <c r="B4415" t="str">
        <f t="shared" si="1733"/>
        <v>PO BOX 5000</v>
      </c>
      <c r="C4415" t="str">
        <f>T("CODE RS14")</f>
        <v>CODE RS14</v>
      </c>
      <c r="D4415" t="str">
        <f t="shared" si="1735"/>
        <v>CORONA</v>
      </c>
      <c r="E4415" t="str">
        <f t="shared" si="1736"/>
        <v>CA</v>
      </c>
      <c r="F4415" t="str">
        <f t="shared" si="1737"/>
        <v>928785000</v>
      </c>
      <c r="G4415" t="str">
        <f>T("PO BOX 5000")</f>
        <v>PO BOX 5000</v>
      </c>
      <c r="H4415" t="str">
        <f>T("CODE RS14")</f>
        <v>CODE RS14</v>
      </c>
      <c r="I4415" t="str">
        <f t="shared" si="1738"/>
        <v>CORONA</v>
      </c>
      <c r="J4415" t="str">
        <f t="shared" si="1739"/>
        <v>CA</v>
      </c>
      <c r="K4415" t="str">
        <f>T("")</f>
        <v/>
      </c>
      <c r="L4415" t="str">
        <f>T("9513934164")</f>
        <v>9513934164</v>
      </c>
    </row>
    <row r="4416" spans="1:12" x14ac:dyDescent="0.35">
      <c r="A4416" t="str">
        <f t="shared" si="1732"/>
        <v>NSWC CORONA DIVISION</v>
      </c>
      <c r="B4416" t="str">
        <f t="shared" si="1733"/>
        <v>PO BOX 5000</v>
      </c>
      <c r="C4416" t="str">
        <f>T("CODE RS31")</f>
        <v>CODE RS31</v>
      </c>
      <c r="D4416" t="str">
        <f t="shared" si="1735"/>
        <v>CORONA</v>
      </c>
      <c r="E4416" t="str">
        <f t="shared" si="1736"/>
        <v>CA</v>
      </c>
      <c r="F4416" t="str">
        <f t="shared" si="1737"/>
        <v>928785000</v>
      </c>
      <c r="G4416" t="str">
        <f>T("1999 4TH ST")</f>
        <v>1999 4TH ST</v>
      </c>
      <c r="H4416" t="str">
        <f>T("")</f>
        <v/>
      </c>
      <c r="I4416" t="str">
        <f>T("NORCO")</f>
        <v>NORCO</v>
      </c>
      <c r="J4416" t="str">
        <f t="shared" si="1739"/>
        <v>CA</v>
      </c>
      <c r="K4416" t="str">
        <f>T("000000000000000000")</f>
        <v>000000000000000000</v>
      </c>
      <c r="L4416" t="str">
        <f>T("9512735083")</f>
        <v>9512735083</v>
      </c>
    </row>
    <row r="4417" spans="1:12" x14ac:dyDescent="0.35">
      <c r="A4417" t="str">
        <f t="shared" si="1732"/>
        <v>NSWC CORONA DIVISION</v>
      </c>
      <c r="B4417" t="str">
        <f t="shared" si="1733"/>
        <v>PO BOX 5000</v>
      </c>
      <c r="C4417" t="str">
        <f>T("CODE RS31")</f>
        <v>CODE RS31</v>
      </c>
      <c r="D4417" t="str">
        <f t="shared" si="1735"/>
        <v>CORONA</v>
      </c>
      <c r="E4417" t="str">
        <f t="shared" si="1736"/>
        <v>CA</v>
      </c>
      <c r="F4417" t="str">
        <f t="shared" si="1737"/>
        <v>928785000</v>
      </c>
      <c r="G4417" t="str">
        <f>T("PO BOX 5000")</f>
        <v>PO BOX 5000</v>
      </c>
      <c r="H4417" t="str">
        <f>T("CODE RS31")</f>
        <v>CODE RS31</v>
      </c>
      <c r="I4417" t="str">
        <f>T("CORONA")</f>
        <v>CORONA</v>
      </c>
      <c r="J4417" t="str">
        <f t="shared" si="1739"/>
        <v>CA</v>
      </c>
      <c r="K4417" t="str">
        <f>T("")</f>
        <v/>
      </c>
      <c r="L4417" t="str">
        <f>T("9513934142")</f>
        <v>9513934142</v>
      </c>
    </row>
    <row r="4418" spans="1:12" x14ac:dyDescent="0.35">
      <c r="A4418" t="str">
        <f t="shared" si="1732"/>
        <v>NSWC CORONA DIVISION</v>
      </c>
      <c r="B4418" t="str">
        <f t="shared" si="1733"/>
        <v>PO BOX 5000</v>
      </c>
      <c r="C4418" t="str">
        <f>T("CORONA")</f>
        <v>CORONA</v>
      </c>
      <c r="D4418" t="str">
        <f t="shared" si="1735"/>
        <v>CORONA</v>
      </c>
      <c r="E4418" t="str">
        <f t="shared" si="1736"/>
        <v>CA</v>
      </c>
      <c r="F4418" t="str">
        <f t="shared" si="1737"/>
        <v>928785000</v>
      </c>
      <c r="G4418" t="str">
        <f>T("PO BOX 5000")</f>
        <v>PO BOX 5000</v>
      </c>
      <c r="H4418" t="str">
        <f>T("CORONA")</f>
        <v>CORONA</v>
      </c>
      <c r="I4418" t="str">
        <f>T("CORONA")</f>
        <v>CORONA</v>
      </c>
      <c r="J4418" t="str">
        <f t="shared" si="1739"/>
        <v>CA</v>
      </c>
      <c r="K4418" t="str">
        <f>T("")</f>
        <v/>
      </c>
      <c r="L4418" t="str">
        <f>T("9513935564")</f>
        <v>9513935564</v>
      </c>
    </row>
    <row r="4419" spans="1:12" x14ac:dyDescent="0.35">
      <c r="A4419" t="str">
        <f t="shared" ref="A4419:A4441" si="1745">T("NSWC PANAMA CITY")</f>
        <v>NSWC PANAMA CITY</v>
      </c>
      <c r="B4419" t="str">
        <f>T("101 VERNON AVE")</f>
        <v>101 VERNON AVE</v>
      </c>
      <c r="C4419" t="str">
        <f>T("CODE 400N1 BLDG 399")</f>
        <v>CODE 400N1 BLDG 399</v>
      </c>
      <c r="D4419" t="str">
        <f t="shared" ref="D4419:D4441" si="1746">T("PANAMA CITY")</f>
        <v>PANAMA CITY</v>
      </c>
      <c r="E4419" t="str">
        <f t="shared" ref="E4419:E4441" si="1747">T("FL")</f>
        <v>FL</v>
      </c>
      <c r="F4419" t="str">
        <f>T("324077018")</f>
        <v>324077018</v>
      </c>
      <c r="G4419" t="str">
        <f>T("101 VERNON AVE")</f>
        <v>101 VERNON AVE</v>
      </c>
      <c r="H4419" t="str">
        <f>T("CODE 400N1 BLDG 399")</f>
        <v>CODE 400N1 BLDG 399</v>
      </c>
      <c r="I4419" t="str">
        <f t="shared" ref="I4419:I4441" si="1748">T("PANAMA CITY")</f>
        <v>PANAMA CITY</v>
      </c>
      <c r="J4419" t="str">
        <f t="shared" ref="J4419:J4441" si="1749">T("FL")</f>
        <v>FL</v>
      </c>
      <c r="K4419" t="str">
        <f>T("8502344543")</f>
        <v>8502344543</v>
      </c>
      <c r="L4419" t="str">
        <f>T("8502344920")</f>
        <v>8502344920</v>
      </c>
    </row>
    <row r="4420" spans="1:12" x14ac:dyDescent="0.35">
      <c r="A4420" t="str">
        <f t="shared" si="1745"/>
        <v>NSWC PANAMA CITY</v>
      </c>
      <c r="B4420" t="str">
        <f>T("101 VERNON AVE")</f>
        <v>101 VERNON AVE</v>
      </c>
      <c r="C4420" t="str">
        <f>T("CODE 400N1 BLDG 399")</f>
        <v>CODE 400N1 BLDG 399</v>
      </c>
      <c r="D4420" t="str">
        <f t="shared" si="1746"/>
        <v>PANAMA CITY</v>
      </c>
      <c r="E4420" t="str">
        <f t="shared" si="1747"/>
        <v>FL</v>
      </c>
      <c r="F4420" t="str">
        <f>T("324077018")</f>
        <v>324077018</v>
      </c>
      <c r="G4420" t="str">
        <f>T("110 VERNON AVENUE")</f>
        <v>110 VERNON AVENUE</v>
      </c>
      <c r="H4420" t="str">
        <f>T("BLDG 399")</f>
        <v>BLDG 399</v>
      </c>
      <c r="I4420" t="str">
        <f t="shared" si="1748"/>
        <v>PANAMA CITY</v>
      </c>
      <c r="J4420" t="str">
        <f t="shared" si="1749"/>
        <v>FL</v>
      </c>
      <c r="K4420" t="str">
        <f>T("8502344543")</f>
        <v>8502344543</v>
      </c>
      <c r="L4420" t="str">
        <f>T("8502344518")</f>
        <v>8502344518</v>
      </c>
    </row>
    <row r="4421" spans="1:12" x14ac:dyDescent="0.35">
      <c r="A4421" t="str">
        <f t="shared" si="1745"/>
        <v>NSWC PANAMA CITY</v>
      </c>
      <c r="B4421" t="str">
        <f>T("101 VERNON AVE")</f>
        <v>101 VERNON AVE</v>
      </c>
      <c r="C4421" t="str">
        <f>T("CODE 400N1 BLDG 399")</f>
        <v>CODE 400N1 BLDG 399</v>
      </c>
      <c r="D4421" t="str">
        <f t="shared" si="1746"/>
        <v>PANAMA CITY</v>
      </c>
      <c r="E4421" t="str">
        <f t="shared" si="1747"/>
        <v>FL</v>
      </c>
      <c r="F4421" t="str">
        <f>T("324077018")</f>
        <v>324077018</v>
      </c>
      <c r="G4421" t="str">
        <f>T("110 VERNON AVENUE")</f>
        <v>110 VERNON AVENUE</v>
      </c>
      <c r="H4421" t="str">
        <f>T("CODE 400N5 BLDG 399")</f>
        <v>CODE 400N5 BLDG 399</v>
      </c>
      <c r="I4421" t="str">
        <f t="shared" si="1748"/>
        <v>PANAMA CITY</v>
      </c>
      <c r="J4421" t="str">
        <f t="shared" si="1749"/>
        <v>FL</v>
      </c>
      <c r="K4421" t="str">
        <f>T("8502344543")</f>
        <v>8502344543</v>
      </c>
      <c r="L4421" t="str">
        <f>T("8502307150")</f>
        <v>8502307150</v>
      </c>
    </row>
    <row r="4422" spans="1:12" x14ac:dyDescent="0.35">
      <c r="A4422" t="str">
        <f t="shared" si="1745"/>
        <v>NSWC PANAMA CITY</v>
      </c>
      <c r="B4422" t="str">
        <f t="shared" ref="B4422:B4438" si="1750">T("110 VERNON AVE")</f>
        <v>110 VERNON AVE</v>
      </c>
      <c r="C4422" t="str">
        <f>T("CDC3 BLDG 435")</f>
        <v>CDC3 BLDG 435</v>
      </c>
      <c r="D4422" t="str">
        <f t="shared" si="1746"/>
        <v>PANAMA CITY</v>
      </c>
      <c r="E4422" t="str">
        <f t="shared" si="1747"/>
        <v>FL</v>
      </c>
      <c r="F4422" t="str">
        <f t="shared" ref="F4422:F4441" si="1751">T("324077001")</f>
        <v>324077001</v>
      </c>
      <c r="G4422" t="str">
        <f>T("110 VERNON AVE")</f>
        <v>110 VERNON AVE</v>
      </c>
      <c r="H4422" t="str">
        <f>T("CDC3 BLDG 435")</f>
        <v>CDC3 BLDG 435</v>
      </c>
      <c r="I4422" t="str">
        <f t="shared" si="1748"/>
        <v>PANAMA CITY</v>
      </c>
      <c r="J4422" t="str">
        <f t="shared" si="1749"/>
        <v>FL</v>
      </c>
      <c r="K4422" t="str">
        <f>T("8502344738")</f>
        <v>8502344738</v>
      </c>
      <c r="L4422" t="str">
        <f>T("8502355698")</f>
        <v>8502355698</v>
      </c>
    </row>
    <row r="4423" spans="1:12" x14ac:dyDescent="0.35">
      <c r="A4423" t="str">
        <f t="shared" si="1745"/>
        <v>NSWC PANAMA CITY</v>
      </c>
      <c r="B4423" t="str">
        <f t="shared" si="1750"/>
        <v>110 VERNON AVE</v>
      </c>
      <c r="C4423" t="str">
        <f>T("CODE 024")</f>
        <v>CODE 024</v>
      </c>
      <c r="D4423" t="str">
        <f t="shared" si="1746"/>
        <v>PANAMA CITY</v>
      </c>
      <c r="E4423" t="str">
        <f t="shared" si="1747"/>
        <v>FL</v>
      </c>
      <c r="F4423" t="str">
        <f t="shared" si="1751"/>
        <v>324077001</v>
      </c>
      <c r="G4423" t="str">
        <f>T("110 VERNON AVE")</f>
        <v>110 VERNON AVE</v>
      </c>
      <c r="H4423" t="str">
        <f>T("CODE 024")</f>
        <v>CODE 024</v>
      </c>
      <c r="I4423" t="str">
        <f t="shared" si="1748"/>
        <v>PANAMA CITY</v>
      </c>
      <c r="J4423" t="str">
        <f t="shared" si="1749"/>
        <v>FL</v>
      </c>
      <c r="K4423" t="str">
        <f>T("000000000000000000")</f>
        <v>000000000000000000</v>
      </c>
      <c r="L4423" t="str">
        <f>T("8506366167")</f>
        <v>8506366167</v>
      </c>
    </row>
    <row r="4424" spans="1:12" x14ac:dyDescent="0.35">
      <c r="A4424" t="str">
        <f t="shared" si="1745"/>
        <v>NSWC PANAMA CITY</v>
      </c>
      <c r="B4424" t="str">
        <f t="shared" si="1750"/>
        <v>110 VERNON AVE</v>
      </c>
      <c r="C4424" t="str">
        <f>T("CODE 024")</f>
        <v>CODE 024</v>
      </c>
      <c r="D4424" t="str">
        <f t="shared" si="1746"/>
        <v>PANAMA CITY</v>
      </c>
      <c r="E4424" t="str">
        <f t="shared" si="1747"/>
        <v>FL</v>
      </c>
      <c r="F4424" t="str">
        <f t="shared" si="1751"/>
        <v>324077001</v>
      </c>
      <c r="G4424" t="str">
        <f>T("110 VERNON AVENUE")</f>
        <v>110 VERNON AVENUE</v>
      </c>
      <c r="H4424" t="str">
        <f>T("CODE 024 BLD 435")</f>
        <v>CODE 024 BLD 435</v>
      </c>
      <c r="I4424" t="str">
        <f t="shared" si="1748"/>
        <v>PANAMA CITY</v>
      </c>
      <c r="J4424" t="str">
        <f t="shared" si="1749"/>
        <v>FL</v>
      </c>
      <c r="K4424" t="str">
        <f>T("8502344738")</f>
        <v>8502344738</v>
      </c>
      <c r="L4424" t="str">
        <f>T("8502307497")</f>
        <v>8502307497</v>
      </c>
    </row>
    <row r="4425" spans="1:12" x14ac:dyDescent="0.35">
      <c r="A4425" t="str">
        <f t="shared" si="1745"/>
        <v>NSWC PANAMA CITY</v>
      </c>
      <c r="B4425" t="str">
        <f t="shared" si="1750"/>
        <v>110 VERNON AVE</v>
      </c>
      <c r="C4425" t="str">
        <f>T("CODE 024")</f>
        <v>CODE 024</v>
      </c>
      <c r="D4425" t="str">
        <f t="shared" si="1746"/>
        <v>PANAMA CITY</v>
      </c>
      <c r="E4425" t="str">
        <f t="shared" si="1747"/>
        <v>FL</v>
      </c>
      <c r="F4425" t="str">
        <f t="shared" si="1751"/>
        <v>324077001</v>
      </c>
      <c r="G4425" t="str">
        <f>T("110 VERNON AVENUE")</f>
        <v>110 VERNON AVENUE</v>
      </c>
      <c r="H4425" t="str">
        <f>T("CODE 024 BLDG 49B")</f>
        <v>CODE 024 BLDG 49B</v>
      </c>
      <c r="I4425" t="str">
        <f t="shared" si="1748"/>
        <v>PANAMA CITY</v>
      </c>
      <c r="J4425" t="str">
        <f t="shared" si="1749"/>
        <v>FL</v>
      </c>
      <c r="K4425" t="str">
        <f>T("8502307386")</f>
        <v>8502307386</v>
      </c>
      <c r="L4425" t="str">
        <f>T("8502355499")</f>
        <v>8502355499</v>
      </c>
    </row>
    <row r="4426" spans="1:12" x14ac:dyDescent="0.35">
      <c r="A4426" t="str">
        <f t="shared" si="1745"/>
        <v>NSWC PANAMA CITY</v>
      </c>
      <c r="B4426" t="str">
        <f t="shared" si="1750"/>
        <v>110 VERNON AVE</v>
      </c>
      <c r="C4426" t="str">
        <f>T("CODE 0241")</f>
        <v>CODE 0241</v>
      </c>
      <c r="D4426" t="str">
        <f t="shared" si="1746"/>
        <v>PANAMA CITY</v>
      </c>
      <c r="E4426" t="str">
        <f t="shared" si="1747"/>
        <v>FL</v>
      </c>
      <c r="F4426" t="str">
        <f t="shared" si="1751"/>
        <v>324077001</v>
      </c>
      <c r="G4426" t="str">
        <f>T("110 VERNON AVE")</f>
        <v>110 VERNON AVE</v>
      </c>
      <c r="H4426" t="str">
        <f>T("CODE 0241")</f>
        <v>CODE 0241</v>
      </c>
      <c r="I4426" t="str">
        <f t="shared" si="1748"/>
        <v>PANAMA CITY</v>
      </c>
      <c r="J4426" t="str">
        <f t="shared" si="1749"/>
        <v>FL</v>
      </c>
      <c r="K4426" t="str">
        <f>T("8502344738")</f>
        <v>8502344738</v>
      </c>
      <c r="L4426" t="str">
        <f>T("8506366210")</f>
        <v>8506366210</v>
      </c>
    </row>
    <row r="4427" spans="1:12" x14ac:dyDescent="0.35">
      <c r="A4427" t="str">
        <f t="shared" si="1745"/>
        <v>NSWC PANAMA CITY</v>
      </c>
      <c r="B4427" t="str">
        <f t="shared" si="1750"/>
        <v>110 VERNON AVE</v>
      </c>
      <c r="C4427" t="str">
        <f>T("CODE 0241")</f>
        <v>CODE 0241</v>
      </c>
      <c r="D4427" t="str">
        <f t="shared" si="1746"/>
        <v>PANAMA CITY</v>
      </c>
      <c r="E4427" t="str">
        <f t="shared" si="1747"/>
        <v>FL</v>
      </c>
      <c r="F4427" t="str">
        <f t="shared" si="1751"/>
        <v>324077001</v>
      </c>
      <c r="G4427" t="str">
        <f>T("110 VERNON AVENUE")</f>
        <v>110 VERNON AVENUE</v>
      </c>
      <c r="H4427" t="str">
        <f>T("CODE 024 BLDG 435")</f>
        <v>CODE 024 BLDG 435</v>
      </c>
      <c r="I4427" t="str">
        <f t="shared" si="1748"/>
        <v>PANAMA CITY</v>
      </c>
      <c r="J4427" t="str">
        <f t="shared" si="1749"/>
        <v>FL</v>
      </c>
      <c r="K4427" t="str">
        <f>T("000000000000000000")</f>
        <v>000000000000000000</v>
      </c>
      <c r="L4427" t="str">
        <f>T("8502355846")</f>
        <v>8502355846</v>
      </c>
    </row>
    <row r="4428" spans="1:12" x14ac:dyDescent="0.35">
      <c r="A4428" t="str">
        <f t="shared" si="1745"/>
        <v>NSWC PANAMA CITY</v>
      </c>
      <c r="B4428" t="str">
        <f t="shared" si="1750"/>
        <v>110 VERNON AVE</v>
      </c>
      <c r="C4428" t="str">
        <f>T("CODE 0241")</f>
        <v>CODE 0241</v>
      </c>
      <c r="D4428" t="str">
        <f t="shared" si="1746"/>
        <v>PANAMA CITY</v>
      </c>
      <c r="E4428" t="str">
        <f t="shared" si="1747"/>
        <v>FL</v>
      </c>
      <c r="F4428" t="str">
        <f t="shared" si="1751"/>
        <v>324077001</v>
      </c>
      <c r="G4428" t="str">
        <f>T("110 VERNON AVENUE")</f>
        <v>110 VERNON AVENUE</v>
      </c>
      <c r="H4428" t="str">
        <f>T("CODE 024 BLDG 435")</f>
        <v>CODE 024 BLDG 435</v>
      </c>
      <c r="I4428" t="str">
        <f t="shared" si="1748"/>
        <v>PANAMA CITY</v>
      </c>
      <c r="J4428" t="str">
        <f t="shared" si="1749"/>
        <v>FL</v>
      </c>
      <c r="K4428" t="str">
        <f>T("8502344738")</f>
        <v>8502344738</v>
      </c>
      <c r="L4428" t="str">
        <f>T("8502307360")</f>
        <v>8502307360</v>
      </c>
    </row>
    <row r="4429" spans="1:12" x14ac:dyDescent="0.35">
      <c r="A4429" t="str">
        <f t="shared" si="1745"/>
        <v>NSWC PANAMA CITY</v>
      </c>
      <c r="B4429" t="str">
        <f t="shared" si="1750"/>
        <v>110 VERNON AVE</v>
      </c>
      <c r="C4429" t="str">
        <f>T("CODE 0241")</f>
        <v>CODE 0241</v>
      </c>
      <c r="D4429" t="str">
        <f t="shared" si="1746"/>
        <v>PANAMA CITY</v>
      </c>
      <c r="E4429" t="str">
        <f t="shared" si="1747"/>
        <v>FL</v>
      </c>
      <c r="F4429" t="str">
        <f t="shared" si="1751"/>
        <v>324077001</v>
      </c>
      <c r="G4429" t="str">
        <f>T("110 VERNON AVENUE")</f>
        <v>110 VERNON AVENUE</v>
      </c>
      <c r="H4429" t="str">
        <f>T("CODE 024 BLDG 435")</f>
        <v>CODE 024 BLDG 435</v>
      </c>
      <c r="I4429" t="str">
        <f t="shared" si="1748"/>
        <v>PANAMA CITY</v>
      </c>
      <c r="J4429" t="str">
        <f t="shared" si="1749"/>
        <v>FL</v>
      </c>
      <c r="K4429" t="str">
        <f>T("8502344738")</f>
        <v>8502344738</v>
      </c>
      <c r="L4429" t="str">
        <f>T("8502344884")</f>
        <v>8502344884</v>
      </c>
    </row>
    <row r="4430" spans="1:12" x14ac:dyDescent="0.35">
      <c r="A4430" t="str">
        <f t="shared" si="1745"/>
        <v>NSWC PANAMA CITY</v>
      </c>
      <c r="B4430" t="str">
        <f t="shared" si="1750"/>
        <v>110 VERNON AVE</v>
      </c>
      <c r="C4430" t="str">
        <f>T("CODE 0241")</f>
        <v>CODE 0241</v>
      </c>
      <c r="D4430" t="str">
        <f t="shared" si="1746"/>
        <v>PANAMA CITY</v>
      </c>
      <c r="E4430" t="str">
        <f t="shared" si="1747"/>
        <v>FL</v>
      </c>
      <c r="F4430" t="str">
        <f t="shared" si="1751"/>
        <v>324077001</v>
      </c>
      <c r="G4430" t="str">
        <f>T("110 VERNON AVENUE")</f>
        <v>110 VERNON AVENUE</v>
      </c>
      <c r="H4430" t="str">
        <f>T("CODE 024 BLDG 435")</f>
        <v>CODE 024 BLDG 435</v>
      </c>
      <c r="I4430" t="str">
        <f t="shared" si="1748"/>
        <v>PANAMA CITY</v>
      </c>
      <c r="J4430" t="str">
        <f t="shared" si="1749"/>
        <v>FL</v>
      </c>
      <c r="K4430" t="str">
        <f>T("8502344738")</f>
        <v>8502344738</v>
      </c>
      <c r="L4430" t="str">
        <f>T("8506366167")</f>
        <v>8506366167</v>
      </c>
    </row>
    <row r="4431" spans="1:12" x14ac:dyDescent="0.35">
      <c r="A4431" t="str">
        <f t="shared" si="1745"/>
        <v>NSWC PANAMA CITY</v>
      </c>
      <c r="B4431" t="str">
        <f t="shared" si="1750"/>
        <v>110 VERNON AVE</v>
      </c>
      <c r="C4431" t="str">
        <f>T("CODE A")</f>
        <v>CODE A</v>
      </c>
      <c r="D4431" t="str">
        <f t="shared" si="1746"/>
        <v>PANAMA CITY</v>
      </c>
      <c r="E4431" t="str">
        <f t="shared" si="1747"/>
        <v>FL</v>
      </c>
      <c r="F4431" t="str">
        <f t="shared" si="1751"/>
        <v>324077001</v>
      </c>
      <c r="G4431" t="str">
        <f>T("110 VERNON AVE")</f>
        <v>110 VERNON AVE</v>
      </c>
      <c r="H4431" t="str">
        <f>T("CODE A")</f>
        <v>CODE A</v>
      </c>
      <c r="I4431" t="str">
        <f t="shared" si="1748"/>
        <v>PANAMA CITY</v>
      </c>
      <c r="J4431" t="str">
        <f t="shared" si="1749"/>
        <v>FL</v>
      </c>
      <c r="K4431" t="str">
        <f>T("8502355651")</f>
        <v>8502355651</v>
      </c>
      <c r="L4431" t="str">
        <f>T("8502303292")</f>
        <v>8502303292</v>
      </c>
    </row>
    <row r="4432" spans="1:12" x14ac:dyDescent="0.35">
      <c r="A4432" t="str">
        <f t="shared" si="1745"/>
        <v>NSWC PANAMA CITY</v>
      </c>
      <c r="B4432" t="str">
        <f t="shared" si="1750"/>
        <v>110 VERNON AVE</v>
      </c>
      <c r="C4432" t="str">
        <f>T("CODE E")</f>
        <v>CODE E</v>
      </c>
      <c r="D4432" t="str">
        <f t="shared" si="1746"/>
        <v>PANAMA CITY</v>
      </c>
      <c r="E4432" t="str">
        <f t="shared" si="1747"/>
        <v>FL</v>
      </c>
      <c r="F4432" t="str">
        <f t="shared" si="1751"/>
        <v>324077001</v>
      </c>
      <c r="G4432" t="str">
        <f>T("110 VERNON AVE")</f>
        <v>110 VERNON AVE</v>
      </c>
      <c r="H4432" t="str">
        <f>T("CODE E")</f>
        <v>CODE E</v>
      </c>
      <c r="I4432" t="str">
        <f t="shared" si="1748"/>
        <v>PANAMA CITY</v>
      </c>
      <c r="J4432" t="str">
        <f t="shared" si="1749"/>
        <v>FL</v>
      </c>
      <c r="K4432" t="str">
        <f>T("000000000000000000")</f>
        <v>000000000000000000</v>
      </c>
      <c r="L4432" t="str">
        <f>T("8502355047")</f>
        <v>8502355047</v>
      </c>
    </row>
    <row r="4433" spans="1:12" x14ac:dyDescent="0.35">
      <c r="A4433" t="str">
        <f t="shared" si="1745"/>
        <v>NSWC PANAMA CITY</v>
      </c>
      <c r="B4433" t="str">
        <f t="shared" si="1750"/>
        <v>110 VERNON AVE</v>
      </c>
      <c r="C4433" t="str">
        <f>T("CODE E")</f>
        <v>CODE E</v>
      </c>
      <c r="D4433" t="str">
        <f t="shared" si="1746"/>
        <v>PANAMA CITY</v>
      </c>
      <c r="E4433" t="str">
        <f t="shared" si="1747"/>
        <v>FL</v>
      </c>
      <c r="F4433" t="str">
        <f t="shared" si="1751"/>
        <v>324077001</v>
      </c>
      <c r="G4433" t="str">
        <f>T("110 VERNON AVENUE")</f>
        <v>110 VERNON AVENUE</v>
      </c>
      <c r="H4433" t="str">
        <f>T("CODE E02 BLDG 110")</f>
        <v>CODE E02 BLDG 110</v>
      </c>
      <c r="I4433" t="str">
        <f t="shared" si="1748"/>
        <v>PANAMA CITY</v>
      </c>
      <c r="J4433" t="str">
        <f t="shared" si="1749"/>
        <v>FL</v>
      </c>
      <c r="K4433" t="str">
        <f>T("8502344255")</f>
        <v>8502344255</v>
      </c>
      <c r="L4433" t="str">
        <f>T("8502355199")</f>
        <v>8502355199</v>
      </c>
    </row>
    <row r="4434" spans="1:12" x14ac:dyDescent="0.35">
      <c r="A4434" t="str">
        <f t="shared" si="1745"/>
        <v>NSWC PANAMA CITY</v>
      </c>
      <c r="B4434" t="str">
        <f t="shared" si="1750"/>
        <v>110 VERNON AVE</v>
      </c>
      <c r="C4434" t="str">
        <f>T("CODE E43, BLDG 431")</f>
        <v>CODE E43, BLDG 431</v>
      </c>
      <c r="D4434" t="str">
        <f t="shared" si="1746"/>
        <v>PANAMA CITY</v>
      </c>
      <c r="E4434" t="str">
        <f t="shared" si="1747"/>
        <v>FL</v>
      </c>
      <c r="F4434" t="str">
        <f t="shared" si="1751"/>
        <v>324077001</v>
      </c>
      <c r="G4434" t="str">
        <f>T("110 VERNON AVE")</f>
        <v>110 VERNON AVE</v>
      </c>
      <c r="H4434" t="str">
        <f>T("CODE E43 BLDG 431")</f>
        <v>CODE E43 BLDG 431</v>
      </c>
      <c r="I4434" t="str">
        <f t="shared" si="1748"/>
        <v>PANAMA CITY</v>
      </c>
      <c r="J4434" t="str">
        <f t="shared" si="1749"/>
        <v>FL</v>
      </c>
      <c r="K4434" t="str">
        <f>T("8502355954")</f>
        <v>8502355954</v>
      </c>
      <c r="L4434" t="str">
        <f>T("8502355672")</f>
        <v>8502355672</v>
      </c>
    </row>
    <row r="4435" spans="1:12" x14ac:dyDescent="0.35">
      <c r="A4435" t="str">
        <f t="shared" si="1745"/>
        <v>NSWC PANAMA CITY</v>
      </c>
      <c r="B4435" t="str">
        <f t="shared" si="1750"/>
        <v>110 VERNON AVE</v>
      </c>
      <c r="C4435" t="str">
        <f>T("CODE E43, BLDG 431")</f>
        <v>CODE E43, BLDG 431</v>
      </c>
      <c r="D4435" t="str">
        <f t="shared" si="1746"/>
        <v>PANAMA CITY</v>
      </c>
      <c r="E4435" t="str">
        <f t="shared" si="1747"/>
        <v>FL</v>
      </c>
      <c r="F4435" t="str">
        <f t="shared" si="1751"/>
        <v>324077001</v>
      </c>
      <c r="G4435" t="str">
        <f>T("110 VERNON AVE")</f>
        <v>110 VERNON AVE</v>
      </c>
      <c r="H4435" t="str">
        <f>T("CODE E43, BLDG 431")</f>
        <v>CODE E43, BLDG 431</v>
      </c>
      <c r="I4435" t="str">
        <f t="shared" si="1748"/>
        <v>PANAMA CITY</v>
      </c>
      <c r="J4435" t="str">
        <f t="shared" si="1749"/>
        <v>FL</v>
      </c>
      <c r="K4435" t="str">
        <f>T("8502355954")</f>
        <v>8502355954</v>
      </c>
      <c r="L4435" t="str">
        <f>T("8502355097")</f>
        <v>8502355097</v>
      </c>
    </row>
    <row r="4436" spans="1:12" x14ac:dyDescent="0.35">
      <c r="A4436" t="str">
        <f t="shared" si="1745"/>
        <v>NSWC PANAMA CITY</v>
      </c>
      <c r="B4436" t="str">
        <f t="shared" si="1750"/>
        <v>110 VERNON AVE</v>
      </c>
      <c r="C4436" t="str">
        <f>T("CODE G3 BLDG 435")</f>
        <v>CODE G3 BLDG 435</v>
      </c>
      <c r="D4436" t="str">
        <f t="shared" si="1746"/>
        <v>PANAMA CITY</v>
      </c>
      <c r="E4436" t="str">
        <f t="shared" si="1747"/>
        <v>FL</v>
      </c>
      <c r="F4436" t="str">
        <f t="shared" si="1751"/>
        <v>324077001</v>
      </c>
      <c r="G4436" t="str">
        <f>T("110 VERNON AVE")</f>
        <v>110 VERNON AVE</v>
      </c>
      <c r="H4436" t="str">
        <f>T("CODE G3 BLDG 435")</f>
        <v>CODE G3 BLDG 435</v>
      </c>
      <c r="I4436" t="str">
        <f t="shared" si="1748"/>
        <v>PANAMA CITY</v>
      </c>
      <c r="J4436" t="str">
        <f t="shared" si="1749"/>
        <v>FL</v>
      </c>
      <c r="K4436" t="str">
        <f>T("850-234-4738")</f>
        <v>850-234-4738</v>
      </c>
      <c r="L4436" t="str">
        <f>T("8502344239")</f>
        <v>8502344239</v>
      </c>
    </row>
    <row r="4437" spans="1:12" x14ac:dyDescent="0.35">
      <c r="A4437" t="str">
        <f t="shared" si="1745"/>
        <v>NSWC PANAMA CITY</v>
      </c>
      <c r="B4437" t="str">
        <f t="shared" si="1750"/>
        <v>110 VERNON AVE</v>
      </c>
      <c r="C4437" t="str">
        <f>T("CODE X")</f>
        <v>CODE X</v>
      </c>
      <c r="D4437" t="str">
        <f t="shared" si="1746"/>
        <v>PANAMA CITY</v>
      </c>
      <c r="E4437" t="str">
        <f t="shared" si="1747"/>
        <v>FL</v>
      </c>
      <c r="F4437" t="str">
        <f t="shared" si="1751"/>
        <v>324077001</v>
      </c>
      <c r="G4437" t="str">
        <f>T("110 VERNON AVE")</f>
        <v>110 VERNON AVE</v>
      </c>
      <c r="H4437" t="str">
        <f>T("CODE X")</f>
        <v>CODE X</v>
      </c>
      <c r="I4437" t="str">
        <f t="shared" si="1748"/>
        <v>PANAMA CITY</v>
      </c>
      <c r="J4437" t="str">
        <f t="shared" si="1749"/>
        <v>FL</v>
      </c>
      <c r="K4437" t="str">
        <f>T("8502344509")</f>
        <v>8502344509</v>
      </c>
      <c r="L4437" t="str">
        <f>T("8506367276")</f>
        <v>8506367276</v>
      </c>
    </row>
    <row r="4438" spans="1:12" x14ac:dyDescent="0.35">
      <c r="A4438" t="str">
        <f t="shared" si="1745"/>
        <v>NSWC PANAMA CITY</v>
      </c>
      <c r="B4438" t="str">
        <f t="shared" si="1750"/>
        <v>110 VERNON AVE</v>
      </c>
      <c r="C4438" t="str">
        <f>T("CODE X")</f>
        <v>CODE X</v>
      </c>
      <c r="D4438" t="str">
        <f t="shared" si="1746"/>
        <v>PANAMA CITY</v>
      </c>
      <c r="E4438" t="str">
        <f t="shared" si="1747"/>
        <v>FL</v>
      </c>
      <c r="F4438" t="str">
        <f t="shared" si="1751"/>
        <v>324077001</v>
      </c>
      <c r="G4438" t="str">
        <f>T("CODE X14")</f>
        <v>CODE X14</v>
      </c>
      <c r="H4438" t="str">
        <f>T("110 VERNON AVE")</f>
        <v>110 VERNON AVE</v>
      </c>
      <c r="I4438" t="str">
        <f t="shared" si="1748"/>
        <v>PANAMA CITY</v>
      </c>
      <c r="J4438" t="str">
        <f t="shared" si="1749"/>
        <v>FL</v>
      </c>
      <c r="K4438" t="str">
        <f>T("000000000000000000")</f>
        <v>000000000000000000</v>
      </c>
      <c r="L4438" t="str">
        <f>T("8502344996")</f>
        <v>8502344996</v>
      </c>
    </row>
    <row r="4439" spans="1:12" x14ac:dyDescent="0.35">
      <c r="A4439" t="str">
        <f t="shared" si="1745"/>
        <v>NSWC PANAMA CITY</v>
      </c>
      <c r="B4439" t="str">
        <f>T("110 VERNON DR BLDG 49A")</f>
        <v>110 VERNON DR BLDG 49A</v>
      </c>
      <c r="C4439" t="str">
        <f>T("ATTN GALE MOORE")</f>
        <v>ATTN GALE MOORE</v>
      </c>
      <c r="D4439" t="str">
        <f t="shared" si="1746"/>
        <v>PANAMA CITY</v>
      </c>
      <c r="E4439" t="str">
        <f t="shared" si="1747"/>
        <v>FL</v>
      </c>
      <c r="F4439" t="str">
        <f t="shared" si="1751"/>
        <v>324077001</v>
      </c>
      <c r="G4439" t="str">
        <f>T("110 VERNON AVENUE")</f>
        <v>110 VERNON AVENUE</v>
      </c>
      <c r="H4439" t="str">
        <f>T("")</f>
        <v/>
      </c>
      <c r="I4439" t="str">
        <f t="shared" si="1748"/>
        <v>PANAMA CITY</v>
      </c>
      <c r="J4439" t="str">
        <f t="shared" si="1749"/>
        <v>FL</v>
      </c>
      <c r="K4439" t="str">
        <f>T("8502344738")</f>
        <v>8502344738</v>
      </c>
      <c r="L4439" t="str">
        <f>T("8502307497")</f>
        <v>8502307497</v>
      </c>
    </row>
    <row r="4440" spans="1:12" x14ac:dyDescent="0.35">
      <c r="A4440" t="str">
        <f t="shared" si="1745"/>
        <v>NSWC PANAMA CITY</v>
      </c>
      <c r="B4440" t="str">
        <f>T("110 VERNON DR BLDG 49A")</f>
        <v>110 VERNON DR BLDG 49A</v>
      </c>
      <c r="C4440" t="str">
        <f>T("ATTN GALE MOORE")</f>
        <v>ATTN GALE MOORE</v>
      </c>
      <c r="D4440" t="str">
        <f t="shared" si="1746"/>
        <v>PANAMA CITY</v>
      </c>
      <c r="E4440" t="str">
        <f t="shared" si="1747"/>
        <v>FL</v>
      </c>
      <c r="F4440" t="str">
        <f t="shared" si="1751"/>
        <v>324077001</v>
      </c>
      <c r="G4440" t="str">
        <f>T("110 VERNON AVENUE")</f>
        <v>110 VERNON AVENUE</v>
      </c>
      <c r="H4440" t="str">
        <f>T("CODE 24 BLDG 435")</f>
        <v>CODE 24 BLDG 435</v>
      </c>
      <c r="I4440" t="str">
        <f t="shared" si="1748"/>
        <v>PANAMA CITY</v>
      </c>
      <c r="J4440" t="str">
        <f t="shared" si="1749"/>
        <v>FL</v>
      </c>
      <c r="K4440" t="str">
        <f>T("8502344738")</f>
        <v>8502344738</v>
      </c>
      <c r="L4440" t="str">
        <f>T("8502307360")</f>
        <v>8502307360</v>
      </c>
    </row>
    <row r="4441" spans="1:12" x14ac:dyDescent="0.35">
      <c r="A4441" t="str">
        <f t="shared" si="1745"/>
        <v>NSWC PANAMA CITY</v>
      </c>
      <c r="B4441" t="str">
        <f>T("110 VERNON DR BLDG 49A")</f>
        <v>110 VERNON DR BLDG 49A</v>
      </c>
      <c r="C4441" t="str">
        <f>T("ATTN GALE MOORE")</f>
        <v>ATTN GALE MOORE</v>
      </c>
      <c r="D4441" t="str">
        <f t="shared" si="1746"/>
        <v>PANAMA CITY</v>
      </c>
      <c r="E4441" t="str">
        <f t="shared" si="1747"/>
        <v>FL</v>
      </c>
      <c r="F4441" t="str">
        <f t="shared" si="1751"/>
        <v>324077001</v>
      </c>
      <c r="G4441" t="str">
        <f>T("110 VERNON DR BLDG 49A")</f>
        <v>110 VERNON DR BLDG 49A</v>
      </c>
      <c r="H4441" t="str">
        <f>T("ATTN GALE MOORE")</f>
        <v>ATTN GALE MOORE</v>
      </c>
      <c r="I4441" t="str">
        <f t="shared" si="1748"/>
        <v>PANAMA CITY</v>
      </c>
      <c r="J4441" t="str">
        <f t="shared" si="1749"/>
        <v>FL</v>
      </c>
      <c r="K4441" t="str">
        <f>T("8502344738")</f>
        <v>8502344738</v>
      </c>
      <c r="L4441" t="str">
        <f>T("8502344878")</f>
        <v>8502344878</v>
      </c>
    </row>
    <row r="4442" spans="1:12" x14ac:dyDescent="0.35">
      <c r="A4442" t="str">
        <f t="shared" ref="A4442:A4447" si="1752">T("NAVSEA INACTIVE SHIPS")</f>
        <v>NAVSEA INACTIVE SHIPS</v>
      </c>
      <c r="B4442" t="str">
        <f>T("4701 S 16TH ST BLDG 545")</f>
        <v>4701 S 16TH ST BLDG 545</v>
      </c>
      <c r="C4442" t="str">
        <f>T("NAVAL BUSINESS CENTER")</f>
        <v>NAVAL BUSINESS CENTER</v>
      </c>
      <c r="D4442" t="str">
        <f>T("PHILADELPHIA")</f>
        <v>PHILADELPHIA</v>
      </c>
      <c r="E4442" t="str">
        <f>T("PA")</f>
        <v>PA</v>
      </c>
      <c r="F4442" t="str">
        <f>T("191121709")</f>
        <v>191121709</v>
      </c>
      <c r="G4442" t="str">
        <f>T("4701 S 16TH ST BLDG 545")</f>
        <v>4701 S 16TH ST BLDG 545</v>
      </c>
      <c r="H4442" t="str">
        <f>T("NAVAL BUSINESS CENTER")</f>
        <v>NAVAL BUSINESS CENTER</v>
      </c>
      <c r="I4442" t="str">
        <f>T("PHILADELPHIA")</f>
        <v>PHILADELPHIA</v>
      </c>
      <c r="J4442" t="str">
        <f>T("PA")</f>
        <v>PA</v>
      </c>
      <c r="K4442" t="str">
        <f>T("")</f>
        <v/>
      </c>
      <c r="L4442" t="str">
        <f>T("2158975086")</f>
        <v>2158975086</v>
      </c>
    </row>
    <row r="4443" spans="1:12" x14ac:dyDescent="0.35">
      <c r="A4443" t="str">
        <f t="shared" si="1752"/>
        <v>NAVSEA INACTIVE SHIPS</v>
      </c>
      <c r="B4443" t="str">
        <f>T("4701 S 16TH ST BLDG 545")</f>
        <v>4701 S 16TH ST BLDG 545</v>
      </c>
      <c r="C4443" t="str">
        <f>T("NAVAL BUSINESS CENTER")</f>
        <v>NAVAL BUSINESS CENTER</v>
      </c>
      <c r="D4443" t="str">
        <f>T("PHILADELPHIA")</f>
        <v>PHILADELPHIA</v>
      </c>
      <c r="E4443" t="str">
        <f>T("PA")</f>
        <v>PA</v>
      </c>
      <c r="F4443" t="str">
        <f>T("191121709")</f>
        <v>191121709</v>
      </c>
      <c r="G4443" t="str">
        <f>T("4701 S 16TH ST BLDG 545")</f>
        <v>4701 S 16TH ST BLDG 545</v>
      </c>
      <c r="H4443" t="str">
        <f>T("PHILADELPHIA NAVAL BUSINESS CENTER")</f>
        <v>PHILADELPHIA NAVAL BUSINESS CENTER</v>
      </c>
      <c r="I4443" t="str">
        <f>T("PHILADELPHIA")</f>
        <v>PHILADELPHIA</v>
      </c>
      <c r="J4443" t="str">
        <f>T("PA")</f>
        <v>PA</v>
      </c>
      <c r="K4443" t="str">
        <f>T("2158976098")</f>
        <v>2158976098</v>
      </c>
      <c r="L4443" t="str">
        <f>T("2158976780")</f>
        <v>2158976780</v>
      </c>
    </row>
    <row r="4444" spans="1:12" x14ac:dyDescent="0.35">
      <c r="A4444" t="str">
        <f t="shared" si="1752"/>
        <v>NAVSEA INACTIVE SHIPS</v>
      </c>
      <c r="B4444" t="str">
        <f>T("93-051 WAIPIO PT ACCESS RD")</f>
        <v>93-051 WAIPIO PT ACCESS RD</v>
      </c>
      <c r="C4444" t="str">
        <f>T("BLDG 201")</f>
        <v>BLDG 201</v>
      </c>
      <c r="D4444" t="str">
        <f>T("WAIPAHU")</f>
        <v>WAIPAHU</v>
      </c>
      <c r="E4444" t="str">
        <f>T("HI")</f>
        <v>HI</v>
      </c>
      <c r="F4444" t="str">
        <f>T("967973259")</f>
        <v>967973259</v>
      </c>
      <c r="G4444" t="str">
        <f>T("93-051 WAIPIO PT ACCESS RD")</f>
        <v>93-051 WAIPIO PT ACCESS RD</v>
      </c>
      <c r="H4444" t="str">
        <f>T("BLDG 201")</f>
        <v>BLDG 201</v>
      </c>
      <c r="I4444" t="str">
        <f>T("WAIPAHU")</f>
        <v>WAIPAHU</v>
      </c>
      <c r="J4444" t="str">
        <f>T("HI")</f>
        <v>HI</v>
      </c>
      <c r="K4444" t="str">
        <f>T("")</f>
        <v/>
      </c>
      <c r="L4444" t="str">
        <f>T("8084714521")</f>
        <v>8084714521</v>
      </c>
    </row>
    <row r="4445" spans="1:12" x14ac:dyDescent="0.35">
      <c r="A4445" t="str">
        <f t="shared" si="1752"/>
        <v>NAVSEA INACTIVE SHIPS</v>
      </c>
      <c r="B4445" t="str">
        <f>T("BLDG 8Y")</f>
        <v>BLDG 8Y</v>
      </c>
      <c r="C4445" t="str">
        <f>T("ST JULIENS CREEK ANNEX")</f>
        <v>ST JULIENS CREEK ANNEX</v>
      </c>
      <c r="D4445" t="str">
        <f>T("PORTSMOUTH")</f>
        <v>PORTSMOUTH</v>
      </c>
      <c r="E4445" t="str">
        <f>T("VA")</f>
        <v>VA</v>
      </c>
      <c r="F4445" t="str">
        <f>T("237020470")</f>
        <v>237020470</v>
      </c>
      <c r="G4445" t="str">
        <f>T("BLDG 8Y")</f>
        <v>BLDG 8Y</v>
      </c>
      <c r="H4445" t="str">
        <f>T("ST JULIENS CREEK ANNEX")</f>
        <v>ST JULIENS CREEK ANNEX</v>
      </c>
      <c r="I4445" t="str">
        <f>T("PORTSMOUTH")</f>
        <v>PORTSMOUTH</v>
      </c>
      <c r="J4445" t="str">
        <f>T("VA")</f>
        <v>VA</v>
      </c>
      <c r="K4445" t="str">
        <f>T("")</f>
        <v/>
      </c>
      <c r="L4445" t="str">
        <f>T("7574856145")</f>
        <v>7574856145</v>
      </c>
    </row>
    <row r="4446" spans="1:12" x14ac:dyDescent="0.35">
      <c r="A4446" t="str">
        <f t="shared" si="1752"/>
        <v>NAVSEA INACTIVE SHIPS</v>
      </c>
      <c r="B4446" t="str">
        <f>T("PUGET SOUND NAVAL SHIPYARD B-550")</f>
        <v>PUGET SOUND NAVAL SHIPYARD B-550</v>
      </c>
      <c r="C4446" t="str">
        <f>T("2450 WYCOFF WAY")</f>
        <v>2450 WYCOFF WAY</v>
      </c>
      <c r="D4446" t="str">
        <f>T("BREMERTON")</f>
        <v>BREMERTON</v>
      </c>
      <c r="E4446" t="str">
        <f>T("WA")</f>
        <v>WA</v>
      </c>
      <c r="F4446" t="str">
        <f>T("983145250")</f>
        <v>983145250</v>
      </c>
      <c r="G4446" t="str">
        <f>T("PUGET SOUND NAVAL SHIPYARD B-550")</f>
        <v>PUGET SOUND NAVAL SHIPYARD B-550</v>
      </c>
      <c r="H4446" t="str">
        <f>T("2450 WYCOFF WAY")</f>
        <v>2450 WYCOFF WAY</v>
      </c>
      <c r="I4446" t="str">
        <f>T("BREMERTON")</f>
        <v>BREMERTON</v>
      </c>
      <c r="J4446" t="str">
        <f>T("WA")</f>
        <v>WA</v>
      </c>
      <c r="K4446" t="str">
        <f>T("3604768665")</f>
        <v>3604768665</v>
      </c>
      <c r="L4446" t="str">
        <f>T("1111111111")</f>
        <v>1111111111</v>
      </c>
    </row>
    <row r="4447" spans="1:12" x14ac:dyDescent="0.35">
      <c r="A4447" t="str">
        <f t="shared" si="1752"/>
        <v>NAVSEA INACTIVE SHIPS</v>
      </c>
      <c r="B4447" t="str">
        <f>T("PUGET SOUND NAVAL SHIPYARD B-550")</f>
        <v>PUGET SOUND NAVAL SHIPYARD B-550</v>
      </c>
      <c r="C4447" t="str">
        <f>T("2450 WYCOFF WAY")</f>
        <v>2450 WYCOFF WAY</v>
      </c>
      <c r="D4447" t="str">
        <f>T("BREMERTON")</f>
        <v>BREMERTON</v>
      </c>
      <c r="E4447" t="str">
        <f>T("WA")</f>
        <v>WA</v>
      </c>
      <c r="F4447" t="str">
        <f>T("983145250")</f>
        <v>983145250</v>
      </c>
      <c r="G4447" t="str">
        <f>T("PUGET SOUND NAVAL SHIPYD B-550")</f>
        <v>PUGET SOUND NAVAL SHIPYD B-550</v>
      </c>
      <c r="H4447" t="str">
        <f>T("2450 WYCOFF WAY")</f>
        <v>2450 WYCOFF WAY</v>
      </c>
      <c r="I4447" t="str">
        <f>T("BREMERTON")</f>
        <v>BREMERTON</v>
      </c>
      <c r="J4447" t="str">
        <f>T("WA")</f>
        <v>WA</v>
      </c>
      <c r="K4447" t="str">
        <f>T("000000000000000000")</f>
        <v>000000000000000000</v>
      </c>
      <c r="L4447" t="str">
        <f>T("3604763513")</f>
        <v>3604763513</v>
      </c>
    </row>
    <row r="4448" spans="1:12" x14ac:dyDescent="0.35">
      <c r="A4448" t="str">
        <f t="shared" ref="A4448:A4453" si="1753">T("SCSC WALLOPS ISLAND")</f>
        <v>SCSC WALLOPS ISLAND</v>
      </c>
      <c r="B4448" t="str">
        <f t="shared" ref="B4448:B4453" si="1754">T("30 BATTLE GROUP WAY")</f>
        <v>30 BATTLE GROUP WAY</v>
      </c>
      <c r="C4448" t="str">
        <f t="shared" ref="C4448:C4453" si="1755">T("")</f>
        <v/>
      </c>
      <c r="D4448" t="str">
        <f>T("WALLOPS IS")</f>
        <v>WALLOPS IS</v>
      </c>
      <c r="E4448" t="str">
        <f t="shared" ref="E4448:E4453" si="1756">T("VA")</f>
        <v>VA</v>
      </c>
      <c r="F4448" t="str">
        <f t="shared" ref="F4448:F4453" si="1757">T("233372283")</f>
        <v>233372283</v>
      </c>
      <c r="G4448" t="str">
        <f>T("30 BATTLE GROUP WAY")</f>
        <v>30 BATTLE GROUP WAY</v>
      </c>
      <c r="H4448" t="str">
        <f>T("")</f>
        <v/>
      </c>
      <c r="I4448" t="str">
        <f>T("WALLOPS IS")</f>
        <v>WALLOPS IS</v>
      </c>
      <c r="J4448" t="str">
        <f t="shared" ref="J4448:J4453" si="1758">T("VA")</f>
        <v>VA</v>
      </c>
      <c r="K4448" t="str">
        <f>T("7578547451")</f>
        <v>7578547451</v>
      </c>
      <c r="L4448" t="str">
        <f>T("7578267519")</f>
        <v>7578267519</v>
      </c>
    </row>
    <row r="4449" spans="1:12" x14ac:dyDescent="0.35">
      <c r="A4449" t="str">
        <f t="shared" si="1753"/>
        <v>SCSC WALLOPS ISLAND</v>
      </c>
      <c r="B4449" t="str">
        <f t="shared" si="1754"/>
        <v>30 BATTLE GROUP WAY</v>
      </c>
      <c r="C4449" t="str">
        <f t="shared" si="1755"/>
        <v/>
      </c>
      <c r="D4449" t="str">
        <f>T("WALLOPS IS")</f>
        <v>WALLOPS IS</v>
      </c>
      <c r="E4449" t="str">
        <f t="shared" si="1756"/>
        <v>VA</v>
      </c>
      <c r="F4449" t="str">
        <f t="shared" si="1757"/>
        <v>233372283</v>
      </c>
      <c r="G4449" t="str">
        <f>T("SURFACE COMBAT SYSTEMS CENTER")</f>
        <v>SURFACE COMBAT SYSTEMS CENTER</v>
      </c>
      <c r="H4449" t="str">
        <f>T("30 BATTLE GROUP WAY")</f>
        <v>30 BATTLE GROUP WAY</v>
      </c>
      <c r="I4449" t="str">
        <f>T("WALLOPS ISLAND")</f>
        <v>WALLOPS ISLAND</v>
      </c>
      <c r="J4449" t="str">
        <f t="shared" si="1758"/>
        <v>VA</v>
      </c>
      <c r="K4449" t="str">
        <f>T("000000000000000000")</f>
        <v>000000000000000000</v>
      </c>
      <c r="L4449" t="str">
        <f>T("7578247719")</f>
        <v>7578247719</v>
      </c>
    </row>
    <row r="4450" spans="1:12" x14ac:dyDescent="0.35">
      <c r="A4450" t="str">
        <f t="shared" si="1753"/>
        <v>SCSC WALLOPS ISLAND</v>
      </c>
      <c r="B4450" t="str">
        <f t="shared" si="1754"/>
        <v>30 BATTLE GROUP WAY</v>
      </c>
      <c r="C4450" t="str">
        <f t="shared" si="1755"/>
        <v/>
      </c>
      <c r="D4450" t="str">
        <f>T("WALLOPS IS")</f>
        <v>WALLOPS IS</v>
      </c>
      <c r="E4450" t="str">
        <f t="shared" si="1756"/>
        <v>VA</v>
      </c>
      <c r="F4450" t="str">
        <f t="shared" si="1757"/>
        <v>233372283</v>
      </c>
      <c r="G4450" t="str">
        <f>T("SURFACE COMBAT SYSTEMS CENTER")</f>
        <v>SURFACE COMBAT SYSTEMS CENTER</v>
      </c>
      <c r="H4450" t="str">
        <f>T("30 BATTLE GROUP WAY")</f>
        <v>30 BATTLE GROUP WAY</v>
      </c>
      <c r="I4450" t="str">
        <f>T("WALLOPS ISLAND")</f>
        <v>WALLOPS ISLAND</v>
      </c>
      <c r="J4450" t="str">
        <f t="shared" si="1758"/>
        <v>VA</v>
      </c>
      <c r="K4450" t="str">
        <f>T("000000000000000000")</f>
        <v>000000000000000000</v>
      </c>
      <c r="L4450" t="str">
        <f>T("7578247766")</f>
        <v>7578247766</v>
      </c>
    </row>
    <row r="4451" spans="1:12" x14ac:dyDescent="0.35">
      <c r="A4451" t="str">
        <f t="shared" si="1753"/>
        <v>SCSC WALLOPS ISLAND</v>
      </c>
      <c r="B4451" t="str">
        <f t="shared" si="1754"/>
        <v>30 BATTLE GROUP WAY</v>
      </c>
      <c r="C4451" t="str">
        <f t="shared" si="1755"/>
        <v/>
      </c>
      <c r="D4451" t="str">
        <f>T("WALLOPS ISLAND")</f>
        <v>WALLOPS ISLAND</v>
      </c>
      <c r="E4451" t="str">
        <f t="shared" si="1756"/>
        <v>VA</v>
      </c>
      <c r="F4451" t="str">
        <f t="shared" si="1757"/>
        <v>233372283</v>
      </c>
      <c r="G4451" t="str">
        <f>T("30 BATTLE GROUP WAY")</f>
        <v>30 BATTLE GROUP WAY</v>
      </c>
      <c r="H4451" t="str">
        <f>T("")</f>
        <v/>
      </c>
      <c r="I4451" t="str">
        <f>T("WALLOPS ISLAND")</f>
        <v>WALLOPS ISLAND</v>
      </c>
      <c r="J4451" t="str">
        <f t="shared" si="1758"/>
        <v>VA</v>
      </c>
      <c r="K4451" t="str">
        <f>T("000000000000000000")</f>
        <v>000000000000000000</v>
      </c>
      <c r="L4451" t="str">
        <f>T("7578247743")</f>
        <v>7578247743</v>
      </c>
    </row>
    <row r="4452" spans="1:12" x14ac:dyDescent="0.35">
      <c r="A4452" t="str">
        <f t="shared" si="1753"/>
        <v>SCSC WALLOPS ISLAND</v>
      </c>
      <c r="B4452" t="str">
        <f t="shared" si="1754"/>
        <v>30 BATTLE GROUP WAY</v>
      </c>
      <c r="C4452" t="str">
        <f t="shared" si="1755"/>
        <v/>
      </c>
      <c r="D4452" t="str">
        <f>T("WALLOPS ISLAND")</f>
        <v>WALLOPS ISLAND</v>
      </c>
      <c r="E4452" t="str">
        <f t="shared" si="1756"/>
        <v>VA</v>
      </c>
      <c r="F4452" t="str">
        <f t="shared" si="1757"/>
        <v>233372283</v>
      </c>
      <c r="G4452" t="str">
        <f>T("30 BATTLE GROUP WAY")</f>
        <v>30 BATTLE GROUP WAY</v>
      </c>
      <c r="H4452" t="str">
        <f>T("")</f>
        <v/>
      </c>
      <c r="I4452" t="str">
        <f>T("WALLOPS ISLAND")</f>
        <v>WALLOPS ISLAND</v>
      </c>
      <c r="J4452" t="str">
        <f t="shared" si="1758"/>
        <v>VA</v>
      </c>
      <c r="K4452" t="str">
        <f>T("7578542542")</f>
        <v>7578542542</v>
      </c>
      <c r="L4452" t="str">
        <f>T("7578247729")</f>
        <v>7578247729</v>
      </c>
    </row>
    <row r="4453" spans="1:12" x14ac:dyDescent="0.35">
      <c r="A4453" t="str">
        <f t="shared" si="1753"/>
        <v>SCSC WALLOPS ISLAND</v>
      </c>
      <c r="B4453" t="str">
        <f t="shared" si="1754"/>
        <v>30 BATTLE GROUP WAY</v>
      </c>
      <c r="C4453" t="str">
        <f t="shared" si="1755"/>
        <v/>
      </c>
      <c r="D4453" t="str">
        <f>T("WALLOPS ISLAND")</f>
        <v>WALLOPS ISLAND</v>
      </c>
      <c r="E4453" t="str">
        <f t="shared" si="1756"/>
        <v>VA</v>
      </c>
      <c r="F4453" t="str">
        <f t="shared" si="1757"/>
        <v>233372283</v>
      </c>
      <c r="G4453" t="str">
        <f>T("30 BATTLEGROUP WAY")</f>
        <v>30 BATTLEGROUP WAY</v>
      </c>
      <c r="H4453" t="str">
        <f>T("")</f>
        <v/>
      </c>
      <c r="I4453" t="str">
        <f>T("WALLOPS ISLAND")</f>
        <v>WALLOPS ISLAND</v>
      </c>
      <c r="J4453" t="str">
        <f t="shared" si="1758"/>
        <v>VA</v>
      </c>
      <c r="K4453" t="str">
        <f>T("000000000000000000")</f>
        <v>000000000000000000</v>
      </c>
      <c r="L4453" t="str">
        <f>T("7578247766")</f>
        <v>7578247766</v>
      </c>
    </row>
    <row r="4454" spans="1:12" x14ac:dyDescent="0.35">
      <c r="A4454" t="str">
        <f t="shared" ref="A4454:A4485" si="1759">T("NSWC CARDEROCK")</f>
        <v>NSWC CARDEROCK</v>
      </c>
      <c r="B4454" t="str">
        <f>T("1000 KITTY HAWK AVE")</f>
        <v>1000 KITTY HAWK AVE</v>
      </c>
      <c r="C4454" t="str">
        <f>T("CODE 916 BLDG 77L")</f>
        <v>CODE 916 BLDG 77L</v>
      </c>
      <c r="D4454" t="str">
        <f>T("PHILADELPHIA")</f>
        <v>PHILADELPHIA</v>
      </c>
      <c r="E4454" t="str">
        <f>T("PA")</f>
        <v>PA</v>
      </c>
      <c r="F4454" t="str">
        <f>T("191121408")</f>
        <v>191121408</v>
      </c>
      <c r="G4454" t="str">
        <f>T("1000 KITTY HAWK AVE")</f>
        <v>1000 KITTY HAWK AVE</v>
      </c>
      <c r="H4454" t="str">
        <f>T("CODE 916 BLDG 77L")</f>
        <v>CODE 916 BLDG 77L</v>
      </c>
      <c r="I4454" t="str">
        <f>T("PHILADELPHIA")</f>
        <v>PHILADELPHIA</v>
      </c>
      <c r="J4454" t="str">
        <f>T("PA")</f>
        <v>PA</v>
      </c>
      <c r="K4454" t="str">
        <f>T("2158971582")</f>
        <v>2158971582</v>
      </c>
      <c r="L4454" t="str">
        <f>T("2158977034")</f>
        <v>2158977034</v>
      </c>
    </row>
    <row r="4455" spans="1:12" x14ac:dyDescent="0.35">
      <c r="A4455" t="str">
        <f t="shared" si="1759"/>
        <v>NSWC CARDEROCK</v>
      </c>
      <c r="B4455" t="str">
        <f>T("2600 TARAWA COURT STE 303")</f>
        <v>2600 TARAWA COURT STE 303</v>
      </c>
      <c r="C4455" t="str">
        <f>T("CODE 23 BLDG 1602")</f>
        <v>CODE 23 BLDG 1602</v>
      </c>
      <c r="D4455" t="str">
        <f t="shared" ref="D4455:D4460" si="1760">T("NORFOLK")</f>
        <v>NORFOLK</v>
      </c>
      <c r="E4455" t="str">
        <f t="shared" ref="E4455:E4460" si="1761">T("VA")</f>
        <v>VA</v>
      </c>
      <c r="F4455" t="str">
        <f t="shared" ref="F4455:F4460" si="1762">T("234599235")</f>
        <v>234599235</v>
      </c>
      <c r="G4455" t="str">
        <f>T("2600 TARAWA COURT STE 303")</f>
        <v>2600 TARAWA COURT STE 303</v>
      </c>
      <c r="H4455" t="str">
        <f>T("CODE 23 BLDG 1602")</f>
        <v>CODE 23 BLDG 1602</v>
      </c>
      <c r="I4455" t="str">
        <f>T("NORFOLK")</f>
        <v>NORFOLK</v>
      </c>
      <c r="J4455" t="str">
        <f t="shared" ref="J4455:J4460" si="1763">T("VA")</f>
        <v>VA</v>
      </c>
      <c r="K4455" t="str">
        <f>T("")</f>
        <v/>
      </c>
      <c r="L4455" t="str">
        <f>T("7574624064")</f>
        <v>7574624064</v>
      </c>
    </row>
    <row r="4456" spans="1:12" x14ac:dyDescent="0.35">
      <c r="A4456" t="str">
        <f t="shared" si="1759"/>
        <v>NSWC CARDEROCK</v>
      </c>
      <c r="B4456" t="str">
        <f>T("2600 TARAWA CT STE 303")</f>
        <v>2600 TARAWA CT STE 303</v>
      </c>
      <c r="C4456" t="str">
        <f>T("CODE 8309, BLG 1602")</f>
        <v>CODE 8309, BLG 1602</v>
      </c>
      <c r="D4456" t="str">
        <f t="shared" si="1760"/>
        <v>NORFOLK</v>
      </c>
      <c r="E4456" t="str">
        <f t="shared" si="1761"/>
        <v>VA</v>
      </c>
      <c r="F4456" t="str">
        <f t="shared" si="1762"/>
        <v>234599235</v>
      </c>
      <c r="G4456" t="str">
        <f>T("2600 TARAWA COURT")</f>
        <v>2600 TARAWA COURT</v>
      </c>
      <c r="H4456" t="str">
        <f>T("BLDG 1602")</f>
        <v>BLDG 1602</v>
      </c>
      <c r="I4456" t="str">
        <f>T("VIRGINIA BEACH")</f>
        <v>VIRGINIA BEACH</v>
      </c>
      <c r="J4456" t="str">
        <f t="shared" si="1763"/>
        <v>VA</v>
      </c>
      <c r="K4456" t="str">
        <f>T("000000000000000000")</f>
        <v>000000000000000000</v>
      </c>
      <c r="L4456" t="str">
        <f>T("7574442592")</f>
        <v>7574442592</v>
      </c>
    </row>
    <row r="4457" spans="1:12" x14ac:dyDescent="0.35">
      <c r="A4457" t="str">
        <f t="shared" si="1759"/>
        <v>NSWC CARDEROCK</v>
      </c>
      <c r="B4457" t="str">
        <f>T("2600 TARAWA CT STE 303")</f>
        <v>2600 TARAWA CT STE 303</v>
      </c>
      <c r="C4457" t="str">
        <f>T("CODE 8309, BLG 1602")</f>
        <v>CODE 8309, BLG 1602</v>
      </c>
      <c r="D4457" t="str">
        <f t="shared" si="1760"/>
        <v>NORFOLK</v>
      </c>
      <c r="E4457" t="str">
        <f t="shared" si="1761"/>
        <v>VA</v>
      </c>
      <c r="F4457" t="str">
        <f t="shared" si="1762"/>
        <v>234599235</v>
      </c>
      <c r="G4457" t="str">
        <f>T("2600 TARAWA COURT")</f>
        <v>2600 TARAWA COURT</v>
      </c>
      <c r="H4457" t="str">
        <f>T("BLDG 1602")</f>
        <v>BLDG 1602</v>
      </c>
      <c r="I4457" t="str">
        <f>T("VIRGINIA BEACH")</f>
        <v>VIRGINIA BEACH</v>
      </c>
      <c r="J4457" t="str">
        <f t="shared" si="1763"/>
        <v>VA</v>
      </c>
      <c r="K4457" t="str">
        <f>T("000000000000000000")</f>
        <v>000000000000000000</v>
      </c>
      <c r="L4457" t="str">
        <f>T("7574623153")</f>
        <v>7574623153</v>
      </c>
    </row>
    <row r="4458" spans="1:12" x14ac:dyDescent="0.35">
      <c r="A4458" t="str">
        <f t="shared" si="1759"/>
        <v>NSWC CARDEROCK</v>
      </c>
      <c r="B4458" t="str">
        <f>T("2600 TARAWA CT STE 303")</f>
        <v>2600 TARAWA CT STE 303</v>
      </c>
      <c r="C4458" t="str">
        <f>T("CODE 8309, BLG 1602")</f>
        <v>CODE 8309, BLG 1602</v>
      </c>
      <c r="D4458" t="str">
        <f t="shared" si="1760"/>
        <v>NORFOLK</v>
      </c>
      <c r="E4458" t="str">
        <f t="shared" si="1761"/>
        <v>VA</v>
      </c>
      <c r="F4458" t="str">
        <f t="shared" si="1762"/>
        <v>234599235</v>
      </c>
      <c r="G4458" t="str">
        <f>T("2600 TARAWA CT")</f>
        <v>2600 TARAWA CT</v>
      </c>
      <c r="H4458" t="str">
        <f>T("BLDG 1602 STE 303")</f>
        <v>BLDG 1602 STE 303</v>
      </c>
      <c r="I4458" t="str">
        <f>T("VIRGINIA BEACH")</f>
        <v>VIRGINIA BEACH</v>
      </c>
      <c r="J4458" t="str">
        <f t="shared" si="1763"/>
        <v>VA</v>
      </c>
      <c r="K4458" t="str">
        <f>T("000000000000000000")</f>
        <v>000000000000000000</v>
      </c>
      <c r="L4458" t="str">
        <f>T("7574624064")</f>
        <v>7574624064</v>
      </c>
    </row>
    <row r="4459" spans="1:12" x14ac:dyDescent="0.35">
      <c r="A4459" t="str">
        <f t="shared" si="1759"/>
        <v>NSWC CARDEROCK</v>
      </c>
      <c r="B4459" t="str">
        <f>T("2600 TARAWA CT STE 303")</f>
        <v>2600 TARAWA CT STE 303</v>
      </c>
      <c r="C4459" t="str">
        <f>T("CODE 8309, BLG 1602")</f>
        <v>CODE 8309, BLG 1602</v>
      </c>
      <c r="D4459" t="str">
        <f t="shared" si="1760"/>
        <v>NORFOLK</v>
      </c>
      <c r="E4459" t="str">
        <f t="shared" si="1761"/>
        <v>VA</v>
      </c>
      <c r="F4459" t="str">
        <f t="shared" si="1762"/>
        <v>234599235</v>
      </c>
      <c r="G4459" t="str">
        <f>T("2600 TARAWA CT STE 303")</f>
        <v>2600 TARAWA CT STE 303</v>
      </c>
      <c r="H4459" t="str">
        <f>T("")</f>
        <v/>
      </c>
      <c r="I4459" t="str">
        <f>T("VIRGINIA BEACH")</f>
        <v>VIRGINIA BEACH</v>
      </c>
      <c r="J4459" t="str">
        <f t="shared" si="1763"/>
        <v>VA</v>
      </c>
      <c r="K4459" t="str">
        <f>T("000000000000000000")</f>
        <v>000000000000000000</v>
      </c>
      <c r="L4459" t="str">
        <f>T("7574624730")</f>
        <v>7574624730</v>
      </c>
    </row>
    <row r="4460" spans="1:12" x14ac:dyDescent="0.35">
      <c r="A4460" t="str">
        <f t="shared" si="1759"/>
        <v>NSWC CARDEROCK</v>
      </c>
      <c r="B4460" t="str">
        <f>T("2600 TARAWA CT STE 303")</f>
        <v>2600 TARAWA CT STE 303</v>
      </c>
      <c r="C4460" t="str">
        <f>T("CODE 8309, BLG 1602")</f>
        <v>CODE 8309, BLG 1602</v>
      </c>
      <c r="D4460" t="str">
        <f t="shared" si="1760"/>
        <v>NORFOLK</v>
      </c>
      <c r="E4460" t="str">
        <f t="shared" si="1761"/>
        <v>VA</v>
      </c>
      <c r="F4460" t="str">
        <f t="shared" si="1762"/>
        <v>234599235</v>
      </c>
      <c r="G4460" t="str">
        <f>T("2600 TARAWA CT STE 303")</f>
        <v>2600 TARAWA CT STE 303</v>
      </c>
      <c r="H4460" t="str">
        <f>T("CODE 8309, BLG 1602")</f>
        <v>CODE 8309, BLG 1602</v>
      </c>
      <c r="I4460" t="str">
        <f>T("NORFOLK")</f>
        <v>NORFOLK</v>
      </c>
      <c r="J4460" t="str">
        <f t="shared" si="1763"/>
        <v>VA</v>
      </c>
      <c r="K4460" t="str">
        <f>T("000000000000000000")</f>
        <v>000000000000000000</v>
      </c>
      <c r="L4460" t="str">
        <f>T("7574624201")</f>
        <v>7574624201</v>
      </c>
    </row>
    <row r="4461" spans="1:12" x14ac:dyDescent="0.35">
      <c r="A4461" t="str">
        <f t="shared" si="1759"/>
        <v>NSWC CARDEROCK</v>
      </c>
      <c r="B4461" t="str">
        <f>T("4700 BROAD ST")</f>
        <v>4700 BROAD ST</v>
      </c>
      <c r="C4461" t="str">
        <f>T("")</f>
        <v/>
      </c>
      <c r="D4461" t="str">
        <f t="shared" ref="D4461:D4476" si="1764">T("PHILADELPHIA")</f>
        <v>PHILADELPHIA</v>
      </c>
      <c r="E4461" t="str">
        <f t="shared" ref="E4461:E4476" si="1765">T("PA")</f>
        <v>PA</v>
      </c>
      <c r="F4461" t="str">
        <f>T("191121300")</f>
        <v>191121300</v>
      </c>
      <c r="G4461" t="str">
        <f>T("4700 BROAD ST")</f>
        <v>4700 BROAD ST</v>
      </c>
      <c r="H4461" t="str">
        <f>T("")</f>
        <v/>
      </c>
      <c r="I4461" t="str">
        <f t="shared" ref="I4461:I4476" si="1766">T("PHILADELPHIA")</f>
        <v>PHILADELPHIA</v>
      </c>
      <c r="J4461" t="str">
        <f t="shared" ref="J4461:J4476" si="1767">T("PA")</f>
        <v>PA</v>
      </c>
      <c r="K4461" t="str">
        <f>T("")</f>
        <v/>
      </c>
      <c r="L4461" t="str">
        <f>T("2158977149")</f>
        <v>2158977149</v>
      </c>
    </row>
    <row r="4462" spans="1:12" x14ac:dyDescent="0.35">
      <c r="A4462" t="str">
        <f t="shared" si="1759"/>
        <v>NSWC CARDEROCK</v>
      </c>
      <c r="B4462" t="str">
        <f>T("4700 BROAD ST")</f>
        <v>4700 BROAD ST</v>
      </c>
      <c r="C4462" t="str">
        <f>T("")</f>
        <v/>
      </c>
      <c r="D4462" t="str">
        <f t="shared" si="1764"/>
        <v>PHILADELPHIA</v>
      </c>
      <c r="E4462" t="str">
        <f t="shared" si="1765"/>
        <v>PA</v>
      </c>
      <c r="F4462" t="str">
        <f>T("191121300")</f>
        <v>191121300</v>
      </c>
      <c r="G4462" t="str">
        <f>T("4700 BROAD ST")</f>
        <v>4700 BROAD ST</v>
      </c>
      <c r="H4462" t="str">
        <f>T("")</f>
        <v/>
      </c>
      <c r="I4462" t="str">
        <f t="shared" si="1766"/>
        <v>PHILADELPHIA</v>
      </c>
      <c r="J4462" t="str">
        <f t="shared" si="1767"/>
        <v>PA</v>
      </c>
      <c r="K4462" t="str">
        <f>T("")</f>
        <v/>
      </c>
      <c r="L4462" t="str">
        <f>T("2158978440")</f>
        <v>2158978440</v>
      </c>
    </row>
    <row r="4463" spans="1:12" x14ac:dyDescent="0.35">
      <c r="A4463" t="str">
        <f t="shared" si="1759"/>
        <v>NSWC CARDEROCK</v>
      </c>
      <c r="B4463" t="str">
        <f>T("4700 BROAD ST")</f>
        <v>4700 BROAD ST</v>
      </c>
      <c r="C4463" t="str">
        <f>T("CODE 60")</f>
        <v>CODE 60</v>
      </c>
      <c r="D4463" t="str">
        <f t="shared" si="1764"/>
        <v>PHILADELPHIA</v>
      </c>
      <c r="E4463" t="str">
        <f t="shared" si="1765"/>
        <v>PA</v>
      </c>
      <c r="F4463" t="str">
        <f>T("191121300")</f>
        <v>191121300</v>
      </c>
      <c r="G4463" t="str">
        <f>T("4700 BROAD ST")</f>
        <v>4700 BROAD ST</v>
      </c>
      <c r="H4463" t="str">
        <f>T("CODE 60")</f>
        <v>CODE 60</v>
      </c>
      <c r="I4463" t="str">
        <f t="shared" si="1766"/>
        <v>PHILADELPHIA</v>
      </c>
      <c r="J4463" t="str">
        <f t="shared" si="1767"/>
        <v>PA</v>
      </c>
      <c r="K4463" t="str">
        <f>T("")</f>
        <v/>
      </c>
      <c r="L4463" t="str">
        <f>T("2158977697")</f>
        <v>2158977697</v>
      </c>
    </row>
    <row r="4464" spans="1:12" x14ac:dyDescent="0.35">
      <c r="A4464" t="str">
        <f t="shared" si="1759"/>
        <v>NSWC CARDEROCK</v>
      </c>
      <c r="B4464" t="str">
        <f>T("4700 BROAD STREET")</f>
        <v>4700 BROAD STREET</v>
      </c>
      <c r="C4464" t="str">
        <f>T("CODE 91")</f>
        <v>CODE 91</v>
      </c>
      <c r="D4464" t="str">
        <f t="shared" si="1764"/>
        <v>PHILADELPHIA</v>
      </c>
      <c r="E4464" t="str">
        <f t="shared" si="1765"/>
        <v>PA</v>
      </c>
      <c r="F4464" t="str">
        <f>T("191121300")</f>
        <v>191121300</v>
      </c>
      <c r="G4464" t="str">
        <f>T("4700 BROAD STREET")</f>
        <v>4700 BROAD STREET</v>
      </c>
      <c r="H4464" t="str">
        <f>T("CODE 91")</f>
        <v>CODE 91</v>
      </c>
      <c r="I4464" t="str">
        <f t="shared" si="1766"/>
        <v>PHILADELPHIA</v>
      </c>
      <c r="J4464" t="str">
        <f t="shared" si="1767"/>
        <v>PA</v>
      </c>
      <c r="K4464" t="str">
        <f>T("")</f>
        <v/>
      </c>
      <c r="L4464" t="str">
        <f>T("2158977376")</f>
        <v>2158977376</v>
      </c>
    </row>
    <row r="4465" spans="1:12" x14ac:dyDescent="0.35">
      <c r="A4465" t="str">
        <f t="shared" si="1759"/>
        <v>NSWC CARDEROCK</v>
      </c>
      <c r="B4465" t="str">
        <f t="shared" ref="B4465:B4471" si="1768">T("5001 S BROAD ST")</f>
        <v>5001 S BROAD ST</v>
      </c>
      <c r="C4465" t="str">
        <f>T("")</f>
        <v/>
      </c>
      <c r="D4465" t="str">
        <f t="shared" si="1764"/>
        <v>PHILADELPHIA</v>
      </c>
      <c r="E4465" t="str">
        <f t="shared" si="1765"/>
        <v>PA</v>
      </c>
      <c r="F4465" t="str">
        <f t="shared" ref="F4465:F4476" si="1769">T("191121403")</f>
        <v>191121403</v>
      </c>
      <c r="G4465" t="str">
        <f t="shared" ref="G4465:G4471" si="1770">T("5001 S BROAD ST")</f>
        <v>5001 S BROAD ST</v>
      </c>
      <c r="H4465" t="str">
        <f>T("")</f>
        <v/>
      </c>
      <c r="I4465" t="str">
        <f t="shared" si="1766"/>
        <v>PHILADELPHIA</v>
      </c>
      <c r="J4465" t="str">
        <f t="shared" si="1767"/>
        <v>PA</v>
      </c>
      <c r="K4465" t="str">
        <f>T("000000000000000000")</f>
        <v>000000000000000000</v>
      </c>
      <c r="L4465" t="str">
        <f>T("2158977592")</f>
        <v>2158977592</v>
      </c>
    </row>
    <row r="4466" spans="1:12" x14ac:dyDescent="0.35">
      <c r="A4466" t="str">
        <f t="shared" si="1759"/>
        <v>NSWC CARDEROCK</v>
      </c>
      <c r="B4466" t="str">
        <f t="shared" si="1768"/>
        <v>5001 S BROAD ST</v>
      </c>
      <c r="C4466" t="str">
        <f>T("CODE 3352")</f>
        <v>CODE 3352</v>
      </c>
      <c r="D4466" t="str">
        <f t="shared" si="1764"/>
        <v>PHILADELPHIA</v>
      </c>
      <c r="E4466" t="str">
        <f t="shared" si="1765"/>
        <v>PA</v>
      </c>
      <c r="F4466" t="str">
        <f t="shared" si="1769"/>
        <v>191121403</v>
      </c>
      <c r="G4466" t="str">
        <f t="shared" si="1770"/>
        <v>5001 S BROAD ST</v>
      </c>
      <c r="H4466" t="str">
        <f>T("CODE 3352")</f>
        <v>CODE 3352</v>
      </c>
      <c r="I4466" t="str">
        <f t="shared" si="1766"/>
        <v>PHILADELPHIA</v>
      </c>
      <c r="J4466" t="str">
        <f t="shared" si="1767"/>
        <v>PA</v>
      </c>
      <c r="K4466" t="str">
        <f>T("000000000000000000")</f>
        <v>000000000000000000</v>
      </c>
      <c r="L4466" t="str">
        <f>T("2158971693")</f>
        <v>2158971693</v>
      </c>
    </row>
    <row r="4467" spans="1:12" x14ac:dyDescent="0.35">
      <c r="A4467" t="str">
        <f t="shared" si="1759"/>
        <v>NSWC CARDEROCK</v>
      </c>
      <c r="B4467" t="str">
        <f t="shared" si="1768"/>
        <v>5001 S BROAD ST</v>
      </c>
      <c r="C4467" t="str">
        <f>T("CODE 6690")</f>
        <v>CODE 6690</v>
      </c>
      <c r="D4467" t="str">
        <f t="shared" si="1764"/>
        <v>PHILADELPHIA</v>
      </c>
      <c r="E4467" t="str">
        <f t="shared" si="1765"/>
        <v>PA</v>
      </c>
      <c r="F4467" t="str">
        <f t="shared" si="1769"/>
        <v>191121403</v>
      </c>
      <c r="G4467" t="str">
        <f t="shared" si="1770"/>
        <v>5001 S BROAD ST</v>
      </c>
      <c r="H4467" t="str">
        <f>T("CODE 6690")</f>
        <v>CODE 6690</v>
      </c>
      <c r="I4467" t="str">
        <f t="shared" si="1766"/>
        <v>PHILADELPHIA</v>
      </c>
      <c r="J4467" t="str">
        <f t="shared" si="1767"/>
        <v>PA</v>
      </c>
      <c r="K4467" t="str">
        <f>T("")</f>
        <v/>
      </c>
      <c r="L4467" t="str">
        <f>T("2158978765")</f>
        <v>2158978765</v>
      </c>
    </row>
    <row r="4468" spans="1:12" x14ac:dyDescent="0.35">
      <c r="A4468" t="str">
        <f t="shared" si="1759"/>
        <v>NSWC CARDEROCK</v>
      </c>
      <c r="B4468" t="str">
        <f t="shared" si="1768"/>
        <v>5001 S BROAD ST</v>
      </c>
      <c r="C4468" t="str">
        <f>T("CODE 92")</f>
        <v>CODE 92</v>
      </c>
      <c r="D4468" t="str">
        <f t="shared" si="1764"/>
        <v>PHILADELPHIA</v>
      </c>
      <c r="E4468" t="str">
        <f t="shared" si="1765"/>
        <v>PA</v>
      </c>
      <c r="F4468" t="str">
        <f t="shared" si="1769"/>
        <v>191121403</v>
      </c>
      <c r="G4468" t="str">
        <f t="shared" si="1770"/>
        <v>5001 S BROAD ST</v>
      </c>
      <c r="H4468" t="str">
        <f>T("CODE 92")</f>
        <v>CODE 92</v>
      </c>
      <c r="I4468" t="str">
        <f t="shared" si="1766"/>
        <v>PHILADELPHIA</v>
      </c>
      <c r="J4468" t="str">
        <f t="shared" si="1767"/>
        <v>PA</v>
      </c>
      <c r="K4468" t="str">
        <f>T("2158971594")</f>
        <v>2158971594</v>
      </c>
      <c r="L4468" t="str">
        <f>T("2158971178")</f>
        <v>2158971178</v>
      </c>
    </row>
    <row r="4469" spans="1:12" x14ac:dyDescent="0.35">
      <c r="A4469" t="str">
        <f t="shared" si="1759"/>
        <v>NSWC CARDEROCK</v>
      </c>
      <c r="B4469" t="str">
        <f t="shared" si="1768"/>
        <v>5001 S BROAD ST</v>
      </c>
      <c r="C4469" t="str">
        <f>T("CODE 932 BLDG 619")</f>
        <v>CODE 932 BLDG 619</v>
      </c>
      <c r="D4469" t="str">
        <f t="shared" si="1764"/>
        <v>PHILADELPHIA</v>
      </c>
      <c r="E4469" t="str">
        <f t="shared" si="1765"/>
        <v>PA</v>
      </c>
      <c r="F4469" t="str">
        <f t="shared" si="1769"/>
        <v>191121403</v>
      </c>
      <c r="G4469" t="str">
        <f t="shared" si="1770"/>
        <v>5001 S BROAD ST</v>
      </c>
      <c r="H4469" t="str">
        <f>T("CODE 932 BLDG 619")</f>
        <v>CODE 932 BLDG 619</v>
      </c>
      <c r="I4469" t="str">
        <f t="shared" si="1766"/>
        <v>PHILADELPHIA</v>
      </c>
      <c r="J4469" t="str">
        <f t="shared" si="1767"/>
        <v>PA</v>
      </c>
      <c r="K4469" t="str">
        <f>T("2158978361")</f>
        <v>2158978361</v>
      </c>
      <c r="L4469" t="str">
        <f>T("2158977285")</f>
        <v>2158977285</v>
      </c>
    </row>
    <row r="4470" spans="1:12" x14ac:dyDescent="0.35">
      <c r="A4470" t="str">
        <f t="shared" si="1759"/>
        <v>NSWC CARDEROCK</v>
      </c>
      <c r="B4470" t="str">
        <f t="shared" si="1768"/>
        <v>5001 S BROAD ST</v>
      </c>
      <c r="C4470" t="str">
        <f>T("CODE 942 BLDG 4 1ST FLR")</f>
        <v>CODE 942 BLDG 4 1ST FLR</v>
      </c>
      <c r="D4470" t="str">
        <f t="shared" si="1764"/>
        <v>PHILADELPHIA</v>
      </c>
      <c r="E4470" t="str">
        <f t="shared" si="1765"/>
        <v>PA</v>
      </c>
      <c r="F4470" t="str">
        <f t="shared" si="1769"/>
        <v>191121403</v>
      </c>
      <c r="G4470" t="str">
        <f t="shared" si="1770"/>
        <v>5001 S BROAD ST</v>
      </c>
      <c r="H4470" t="str">
        <f>T("CODE 942 BLDG 4 1ST FLR")</f>
        <v>CODE 942 BLDG 4 1ST FLR</v>
      </c>
      <c r="I4470" t="str">
        <f t="shared" si="1766"/>
        <v>PHILADELPHIA</v>
      </c>
      <c r="J4470" t="str">
        <f t="shared" si="1767"/>
        <v>PA</v>
      </c>
      <c r="K4470" t="str">
        <f>T("")</f>
        <v/>
      </c>
      <c r="L4470" t="str">
        <f>T("2158977233")</f>
        <v>2158977233</v>
      </c>
    </row>
    <row r="4471" spans="1:12" x14ac:dyDescent="0.35">
      <c r="A4471" t="str">
        <f t="shared" si="1759"/>
        <v>NSWC CARDEROCK</v>
      </c>
      <c r="B4471" t="str">
        <f t="shared" si="1768"/>
        <v>5001 S BROAD ST</v>
      </c>
      <c r="C4471" t="str">
        <f>T("CODE 984")</f>
        <v>CODE 984</v>
      </c>
      <c r="D4471" t="str">
        <f t="shared" si="1764"/>
        <v>PHILADELPHIA</v>
      </c>
      <c r="E4471" t="str">
        <f t="shared" si="1765"/>
        <v>PA</v>
      </c>
      <c r="F4471" t="str">
        <f t="shared" si="1769"/>
        <v>191121403</v>
      </c>
      <c r="G4471" t="str">
        <f t="shared" si="1770"/>
        <v>5001 S BROAD ST</v>
      </c>
      <c r="H4471" t="str">
        <f>T("CODE 984")</f>
        <v>CODE 984</v>
      </c>
      <c r="I4471" t="str">
        <f t="shared" si="1766"/>
        <v>PHILADELPHIA</v>
      </c>
      <c r="J4471" t="str">
        <f t="shared" si="1767"/>
        <v>PA</v>
      </c>
      <c r="K4471" t="str">
        <f>T("2158971695")</f>
        <v>2158971695</v>
      </c>
      <c r="L4471" t="str">
        <f>T("2158978913")</f>
        <v>2158978913</v>
      </c>
    </row>
    <row r="4472" spans="1:12" x14ac:dyDescent="0.35">
      <c r="A4472" t="str">
        <f t="shared" si="1759"/>
        <v>NSWC CARDEROCK</v>
      </c>
      <c r="B4472" t="str">
        <f>T("5001 S BROAD STREET")</f>
        <v>5001 S BROAD STREET</v>
      </c>
      <c r="C4472" t="str">
        <f>T("CODE 6350")</f>
        <v>CODE 6350</v>
      </c>
      <c r="D4472" t="str">
        <f t="shared" si="1764"/>
        <v>PHILADELPHIA</v>
      </c>
      <c r="E4472" t="str">
        <f t="shared" si="1765"/>
        <v>PA</v>
      </c>
      <c r="F4472" t="str">
        <f t="shared" si="1769"/>
        <v>191121403</v>
      </c>
      <c r="G4472" t="str">
        <f>T("5001 S BROAD STREET")</f>
        <v>5001 S BROAD STREET</v>
      </c>
      <c r="H4472" t="str">
        <f>T("CODE 6350")</f>
        <v>CODE 6350</v>
      </c>
      <c r="I4472" t="str">
        <f t="shared" si="1766"/>
        <v>PHILADELPHIA</v>
      </c>
      <c r="J4472" t="str">
        <f t="shared" si="1767"/>
        <v>PA</v>
      </c>
      <c r="K4472" t="str">
        <f>T("000000000000000000")</f>
        <v>000000000000000000</v>
      </c>
      <c r="L4472" t="str">
        <f>T("2158977181")</f>
        <v>2158977181</v>
      </c>
    </row>
    <row r="4473" spans="1:12" x14ac:dyDescent="0.35">
      <c r="A4473" t="str">
        <f t="shared" si="1759"/>
        <v>NSWC CARDEROCK</v>
      </c>
      <c r="B4473" t="str">
        <f>T("5001 S. BROAD ST.")</f>
        <v>5001 S. BROAD ST.</v>
      </c>
      <c r="C4473" t="str">
        <f>T("CODE 4231")</f>
        <v>CODE 4231</v>
      </c>
      <c r="D4473" t="str">
        <f t="shared" si="1764"/>
        <v>PHILADELPHIA</v>
      </c>
      <c r="E4473" t="str">
        <f t="shared" si="1765"/>
        <v>PA</v>
      </c>
      <c r="F4473" t="str">
        <f t="shared" si="1769"/>
        <v>191121403</v>
      </c>
      <c r="G4473" t="str">
        <f>T("5001 S. BROAD ST.")</f>
        <v>5001 S. BROAD ST.</v>
      </c>
      <c r="H4473" t="str">
        <f>T("CODE 4231")</f>
        <v>CODE 4231</v>
      </c>
      <c r="I4473" t="str">
        <f t="shared" si="1766"/>
        <v>PHILADELPHIA</v>
      </c>
      <c r="J4473" t="str">
        <f t="shared" si="1767"/>
        <v>PA</v>
      </c>
      <c r="K4473" t="str">
        <f>T("000000000000000000")</f>
        <v>000000000000000000</v>
      </c>
      <c r="L4473" t="str">
        <f>T("2158977160")</f>
        <v>2158977160</v>
      </c>
    </row>
    <row r="4474" spans="1:12" x14ac:dyDescent="0.35">
      <c r="A4474" t="str">
        <f t="shared" si="1759"/>
        <v>NSWC CARDEROCK</v>
      </c>
      <c r="B4474" t="str">
        <f>T("5001 S. BROAD ST.")</f>
        <v>5001 S. BROAD ST.</v>
      </c>
      <c r="C4474" t="str">
        <f>T("CODE 9330")</f>
        <v>CODE 9330</v>
      </c>
      <c r="D4474" t="str">
        <f t="shared" si="1764"/>
        <v>PHILADELPHIA</v>
      </c>
      <c r="E4474" t="str">
        <f t="shared" si="1765"/>
        <v>PA</v>
      </c>
      <c r="F4474" t="str">
        <f t="shared" si="1769"/>
        <v>191121403</v>
      </c>
      <c r="G4474" t="str">
        <f>T("5001 S. BROAD ST.")</f>
        <v>5001 S. BROAD ST.</v>
      </c>
      <c r="H4474" t="str">
        <f>T("CODE 9330")</f>
        <v>CODE 9330</v>
      </c>
      <c r="I4474" t="str">
        <f t="shared" si="1766"/>
        <v>PHILADELPHIA</v>
      </c>
      <c r="J4474" t="str">
        <f t="shared" si="1767"/>
        <v>PA</v>
      </c>
      <c r="K4474" t="str">
        <f>T("000000000000000000")</f>
        <v>000000000000000000</v>
      </c>
      <c r="L4474" t="str">
        <f>T("2158977335")</f>
        <v>2158977335</v>
      </c>
    </row>
    <row r="4475" spans="1:12" x14ac:dyDescent="0.35">
      <c r="A4475" t="str">
        <f t="shared" si="1759"/>
        <v>NSWC CARDEROCK</v>
      </c>
      <c r="B4475" t="str">
        <f>T("5001 S. BROAD ST.")</f>
        <v>5001 S. BROAD ST.</v>
      </c>
      <c r="C4475" t="str">
        <f>T("CODE 9611")</f>
        <v>CODE 9611</v>
      </c>
      <c r="D4475" t="str">
        <f t="shared" si="1764"/>
        <v>PHILADELPHIA</v>
      </c>
      <c r="E4475" t="str">
        <f t="shared" si="1765"/>
        <v>PA</v>
      </c>
      <c r="F4475" t="str">
        <f t="shared" si="1769"/>
        <v>191121403</v>
      </c>
      <c r="G4475" t="str">
        <f>T("5001 S. BROAD ST.")</f>
        <v>5001 S. BROAD ST.</v>
      </c>
      <c r="H4475" t="str">
        <f>T("CODE 9611")</f>
        <v>CODE 9611</v>
      </c>
      <c r="I4475" t="str">
        <f t="shared" si="1766"/>
        <v>PHILADELPHIA</v>
      </c>
      <c r="J4475" t="str">
        <f t="shared" si="1767"/>
        <v>PA</v>
      </c>
      <c r="K4475" t="str">
        <f>T("000000000000000000")</f>
        <v>000000000000000000</v>
      </c>
      <c r="L4475" t="str">
        <f>T("2158977671")</f>
        <v>2158977671</v>
      </c>
    </row>
    <row r="4476" spans="1:12" x14ac:dyDescent="0.35">
      <c r="A4476" t="str">
        <f t="shared" si="1759"/>
        <v>NSWC CARDEROCK</v>
      </c>
      <c r="B4476" t="str">
        <f>T("5001 SOUTH BROAD ST")</f>
        <v>5001 SOUTH BROAD ST</v>
      </c>
      <c r="C4476" t="str">
        <f>T("CODE 9780 BLDG 4")</f>
        <v>CODE 9780 BLDG 4</v>
      </c>
      <c r="D4476" t="str">
        <f t="shared" si="1764"/>
        <v>PHILADELPHIA</v>
      </c>
      <c r="E4476" t="str">
        <f t="shared" si="1765"/>
        <v>PA</v>
      </c>
      <c r="F4476" t="str">
        <f t="shared" si="1769"/>
        <v>191121403</v>
      </c>
      <c r="G4476" t="str">
        <f>T("5001 SOUTH BROAD ST")</f>
        <v>5001 SOUTH BROAD ST</v>
      </c>
      <c r="H4476" t="str">
        <f>T("CODE 9780 BLDG 4")</f>
        <v>CODE 9780 BLDG 4</v>
      </c>
      <c r="I4476" t="str">
        <f t="shared" si="1766"/>
        <v>PHILADELPHIA</v>
      </c>
      <c r="J4476" t="str">
        <f t="shared" si="1767"/>
        <v>PA</v>
      </c>
      <c r="K4476" t="str">
        <f>T("2158971094")</f>
        <v>2158971094</v>
      </c>
      <c r="L4476" t="str">
        <f>T("2158977310")</f>
        <v>2158977310</v>
      </c>
    </row>
    <row r="4477" spans="1:12" x14ac:dyDescent="0.35">
      <c r="A4477" t="str">
        <f t="shared" si="1759"/>
        <v>NSWC CARDEROCK</v>
      </c>
      <c r="B4477" t="str">
        <f>T("7131 SEA LION RD")</f>
        <v>7131 SEA LION RD</v>
      </c>
      <c r="C4477" t="str">
        <f>T("BLDG 7131F")</f>
        <v>BLDG 7131F</v>
      </c>
      <c r="D4477" t="str">
        <f>T("SILVERDALE")</f>
        <v>SILVERDALE</v>
      </c>
      <c r="E4477" t="str">
        <f>T("WA")</f>
        <v>WA</v>
      </c>
      <c r="F4477" t="str">
        <f>T("983157102")</f>
        <v>983157102</v>
      </c>
      <c r="G4477" t="str">
        <f>T("7131 SEA LION RD")</f>
        <v>7131 SEA LION RD</v>
      </c>
      <c r="H4477" t="str">
        <f>T("BLDG 7131F")</f>
        <v>BLDG 7131F</v>
      </c>
      <c r="I4477" t="str">
        <f>T("SILVERDALE")</f>
        <v>SILVERDALE</v>
      </c>
      <c r="J4477" t="str">
        <f>T("WA")</f>
        <v>WA</v>
      </c>
      <c r="K4477" t="str">
        <f>T("000000000000000000")</f>
        <v>000000000000000000</v>
      </c>
      <c r="L4477" t="str">
        <f>T("3603150330")</f>
        <v>3603150330</v>
      </c>
    </row>
    <row r="4478" spans="1:12" x14ac:dyDescent="0.35">
      <c r="A4478" t="str">
        <f t="shared" si="1759"/>
        <v>NSWC CARDEROCK</v>
      </c>
      <c r="B4478" t="str">
        <f>T("7131 SEA LION RD")</f>
        <v>7131 SEA LION RD</v>
      </c>
      <c r="C4478" t="str">
        <f>T("BLDG 7131F")</f>
        <v>BLDG 7131F</v>
      </c>
      <c r="D4478" t="str">
        <f>T("SILVERDALE")</f>
        <v>SILVERDALE</v>
      </c>
      <c r="E4478" t="str">
        <f>T("WA")</f>
        <v>WA</v>
      </c>
      <c r="F4478" t="str">
        <f>T("983157102")</f>
        <v>983157102</v>
      </c>
      <c r="G4478" t="str">
        <f>T("7131 SEALION RD")</f>
        <v>7131 SEALION RD</v>
      </c>
      <c r="H4478" t="str">
        <f>T("DETACHMENT PUGET SOUND")</f>
        <v>DETACHMENT PUGET SOUND</v>
      </c>
      <c r="I4478" t="str">
        <f>T("SILVERDALE")</f>
        <v>SILVERDALE</v>
      </c>
      <c r="J4478" t="str">
        <f>T("WA")</f>
        <v>WA</v>
      </c>
      <c r="K4478" t="str">
        <f>T("000000000000000000")</f>
        <v>000000000000000000</v>
      </c>
      <c r="L4478" t="str">
        <f>T("3603150342")</f>
        <v>3603150342</v>
      </c>
    </row>
    <row r="4479" spans="1:12" x14ac:dyDescent="0.35">
      <c r="A4479" t="str">
        <f t="shared" si="1759"/>
        <v>NSWC CARDEROCK</v>
      </c>
      <c r="B4479" t="str">
        <f>T("7131 SEA LION ROAD")</f>
        <v>7131 SEA LION ROAD</v>
      </c>
      <c r="C4479" t="str">
        <f>T("NAVAL BASE KITSAP CODE 7310")</f>
        <v>NAVAL BASE KITSAP CODE 7310</v>
      </c>
      <c r="D4479" t="str">
        <f>T("SILVERDALE")</f>
        <v>SILVERDALE</v>
      </c>
      <c r="E4479" t="str">
        <f>T("WA")</f>
        <v>WA</v>
      </c>
      <c r="F4479" t="str">
        <f>T("983157102")</f>
        <v>983157102</v>
      </c>
      <c r="G4479" t="str">
        <f>T("7131 SEA LION ROAD")</f>
        <v>7131 SEA LION ROAD</v>
      </c>
      <c r="H4479" t="str">
        <f>T("NAVAL BASE KITSAP CODE 7310")</f>
        <v>NAVAL BASE KITSAP CODE 7310</v>
      </c>
      <c r="I4479" t="str">
        <f>T("SILVERDALE")</f>
        <v>SILVERDALE</v>
      </c>
      <c r="J4479" t="str">
        <f>T("WA")</f>
        <v>WA</v>
      </c>
      <c r="K4479" t="str">
        <f>T("")</f>
        <v/>
      </c>
      <c r="L4479" t="str">
        <f>T("3603150226")</f>
        <v>3603150226</v>
      </c>
    </row>
    <row r="4480" spans="1:12" x14ac:dyDescent="0.35">
      <c r="A4480" t="str">
        <f t="shared" si="1759"/>
        <v>NSWC CARDEROCK</v>
      </c>
      <c r="B4480" t="str">
        <f>T("950  MACARTHUR BLVD")</f>
        <v>950  MACARTHUR BLVD</v>
      </c>
      <c r="C4480" t="str">
        <f>T("CODE 655 BLDG 60 RM 232")</f>
        <v>CODE 655 BLDG 60 RM 232</v>
      </c>
      <c r="D4480" t="str">
        <f>T("WEST BETHESDA")</f>
        <v>WEST BETHESDA</v>
      </c>
      <c r="E4480" t="str">
        <f t="shared" ref="E4480:E4511" si="1771">T("MD")</f>
        <v>MD</v>
      </c>
      <c r="F4480" t="str">
        <f t="shared" ref="F4480:F4511" si="1772">T("208175700")</f>
        <v>208175700</v>
      </c>
      <c r="G4480" t="str">
        <f>T("950  MACARTHUR BLVD")</f>
        <v>950  MACARTHUR BLVD</v>
      </c>
      <c r="H4480" t="str">
        <f>T("CODE 655 BLDG 60 RM 232")</f>
        <v>CODE 655 BLDG 60 RM 232</v>
      </c>
      <c r="I4480" t="str">
        <f>T("WEST BETHESDA")</f>
        <v>WEST BETHESDA</v>
      </c>
      <c r="J4480" t="str">
        <f t="shared" ref="J4480:J4492" si="1773">T("MD")</f>
        <v>MD</v>
      </c>
      <c r="K4480" t="str">
        <f>T("")</f>
        <v/>
      </c>
      <c r="L4480" t="str">
        <f>T("3012275065")</f>
        <v>3012275065</v>
      </c>
    </row>
    <row r="4481" spans="1:12" x14ac:dyDescent="0.35">
      <c r="A4481" t="str">
        <f t="shared" si="1759"/>
        <v>NSWC CARDEROCK</v>
      </c>
      <c r="B4481" t="str">
        <f>T("950  MACARTHUR BLVD")</f>
        <v>950  MACARTHUR BLVD</v>
      </c>
      <c r="C4481" t="str">
        <f>T("CODE 655 BLDG 60 RM 232")</f>
        <v>CODE 655 BLDG 60 RM 232</v>
      </c>
      <c r="D4481" t="str">
        <f>T("WEST BETHESDA")</f>
        <v>WEST BETHESDA</v>
      </c>
      <c r="E4481" t="str">
        <f t="shared" si="1771"/>
        <v>MD</v>
      </c>
      <c r="F4481" t="str">
        <f t="shared" si="1772"/>
        <v>208175700</v>
      </c>
      <c r="G4481" t="str">
        <f t="shared" ref="G4481:G4492" si="1774">T("9500 MACARTHUR BLVD")</f>
        <v>9500 MACARTHUR BLVD</v>
      </c>
      <c r="H4481" t="str">
        <f>T("CODE 6550")</f>
        <v>CODE 6550</v>
      </c>
      <c r="I4481" t="str">
        <f>T("W BETHESDA")</f>
        <v>W BETHESDA</v>
      </c>
      <c r="J4481" t="str">
        <f t="shared" si="1773"/>
        <v>MD</v>
      </c>
      <c r="K4481" t="str">
        <f t="shared" ref="K4481:K4486" si="1775">T("000000000000000000")</f>
        <v>000000000000000000</v>
      </c>
      <c r="L4481" t="str">
        <f>T("3017573417")</f>
        <v>3017573417</v>
      </c>
    </row>
    <row r="4482" spans="1:12" x14ac:dyDescent="0.35">
      <c r="A4482" t="str">
        <f t="shared" si="1759"/>
        <v>NSWC CARDEROCK</v>
      </c>
      <c r="B4482" t="str">
        <f>T("950  MACARTHUR BLVD")</f>
        <v>950  MACARTHUR BLVD</v>
      </c>
      <c r="C4482" t="str">
        <f>T("CODE 655 BLDG 60 RM 232")</f>
        <v>CODE 655 BLDG 60 RM 232</v>
      </c>
      <c r="D4482" t="str">
        <f>T("WEST BETHESDA")</f>
        <v>WEST BETHESDA</v>
      </c>
      <c r="E4482" t="str">
        <f t="shared" si="1771"/>
        <v>MD</v>
      </c>
      <c r="F4482" t="str">
        <f t="shared" si="1772"/>
        <v>208175700</v>
      </c>
      <c r="G4482" t="str">
        <f t="shared" si="1774"/>
        <v>9500 MACARTHUR BLVD</v>
      </c>
      <c r="H4482" t="str">
        <f>T("CODE 6553 BLDG 60 ROOM 230")</f>
        <v>CODE 6553 BLDG 60 ROOM 230</v>
      </c>
      <c r="I4482" t="str">
        <f>T("BETHESDA")</f>
        <v>BETHESDA</v>
      </c>
      <c r="J4482" t="str">
        <f t="shared" si="1773"/>
        <v>MD</v>
      </c>
      <c r="K4482" t="str">
        <f t="shared" si="1775"/>
        <v>000000000000000000</v>
      </c>
      <c r="L4482" t="str">
        <f>T("2402000093")</f>
        <v>2402000093</v>
      </c>
    </row>
    <row r="4483" spans="1:12" x14ac:dyDescent="0.35">
      <c r="A4483" t="str">
        <f t="shared" si="1759"/>
        <v>NSWC CARDEROCK</v>
      </c>
      <c r="B4483" t="str">
        <f t="shared" ref="B4483:B4514" si="1776">T("9500 MACARTHUR BLVD")</f>
        <v>9500 MACARTHUR BLVD</v>
      </c>
      <c r="C4483" t="str">
        <f>T("")</f>
        <v/>
      </c>
      <c r="D4483" t="str">
        <f>T("W BETHESDA")</f>
        <v>W BETHESDA</v>
      </c>
      <c r="E4483" t="str">
        <f t="shared" si="1771"/>
        <v>MD</v>
      </c>
      <c r="F4483" t="str">
        <f t="shared" si="1772"/>
        <v>208175700</v>
      </c>
      <c r="G4483" t="str">
        <f t="shared" si="1774"/>
        <v>9500 MACARTHUR BLVD</v>
      </c>
      <c r="H4483" t="str">
        <f>T("")</f>
        <v/>
      </c>
      <c r="I4483" t="str">
        <f>T("W BETHESDA")</f>
        <v>W BETHESDA</v>
      </c>
      <c r="J4483" t="str">
        <f t="shared" si="1773"/>
        <v>MD</v>
      </c>
      <c r="K4483" t="str">
        <f t="shared" si="1775"/>
        <v>000000000000000000</v>
      </c>
      <c r="L4483" t="str">
        <f>T("3012273116")</f>
        <v>3012273116</v>
      </c>
    </row>
    <row r="4484" spans="1:12" x14ac:dyDescent="0.35">
      <c r="A4484" t="str">
        <f t="shared" si="1759"/>
        <v>NSWC CARDEROCK</v>
      </c>
      <c r="B4484" t="str">
        <f t="shared" si="1776"/>
        <v>9500 MACARTHUR BLVD</v>
      </c>
      <c r="C4484" t="str">
        <f>T("")</f>
        <v/>
      </c>
      <c r="D4484" t="str">
        <f>T("W BETHESDA")</f>
        <v>W BETHESDA</v>
      </c>
      <c r="E4484" t="str">
        <f t="shared" si="1771"/>
        <v>MD</v>
      </c>
      <c r="F4484" t="str">
        <f t="shared" si="1772"/>
        <v>208175700</v>
      </c>
      <c r="G4484" t="str">
        <f t="shared" si="1774"/>
        <v>9500 MACARTHUR BLVD</v>
      </c>
      <c r="H4484" t="str">
        <f>T("CODE 7330 BLDG 29")</f>
        <v>CODE 7330 BLDG 29</v>
      </c>
      <c r="I4484" t="str">
        <f>T("WEST BETHESDA")</f>
        <v>WEST BETHESDA</v>
      </c>
      <c r="J4484" t="str">
        <f t="shared" si="1773"/>
        <v>MD</v>
      </c>
      <c r="K4484" t="str">
        <f t="shared" si="1775"/>
        <v>000000000000000000</v>
      </c>
      <c r="L4484" t="str">
        <f>T("3012272851")</f>
        <v>3012272851</v>
      </c>
    </row>
    <row r="4485" spans="1:12" x14ac:dyDescent="0.35">
      <c r="A4485" t="str">
        <f t="shared" si="1759"/>
        <v>NSWC CARDEROCK</v>
      </c>
      <c r="B4485" t="str">
        <f t="shared" si="1776"/>
        <v>9500 MACARTHUR BLVD</v>
      </c>
      <c r="C4485" t="str">
        <f>T("BLDG 1")</f>
        <v>BLDG 1</v>
      </c>
      <c r="D4485" t="str">
        <f>T("W  BETHESDA")</f>
        <v>W  BETHESDA</v>
      </c>
      <c r="E4485" t="str">
        <f t="shared" si="1771"/>
        <v>MD</v>
      </c>
      <c r="F4485" t="str">
        <f t="shared" si="1772"/>
        <v>208175700</v>
      </c>
      <c r="G4485" t="str">
        <f t="shared" si="1774"/>
        <v>9500 MACARTHUR BLVD</v>
      </c>
      <c r="H4485" t="str">
        <f>T("BLDG 1")</f>
        <v>BLDG 1</v>
      </c>
      <c r="I4485" t="str">
        <f>T("W  BETHESDA")</f>
        <v>W  BETHESDA</v>
      </c>
      <c r="J4485" t="str">
        <f t="shared" si="1773"/>
        <v>MD</v>
      </c>
      <c r="K4485" t="str">
        <f t="shared" si="1775"/>
        <v>000000000000000000</v>
      </c>
      <c r="L4485" t="str">
        <f>T("3012274763")</f>
        <v>3012274763</v>
      </c>
    </row>
    <row r="4486" spans="1:12" x14ac:dyDescent="0.35">
      <c r="A4486" t="str">
        <f t="shared" ref="A4486:A4517" si="1777">T("NSWC CARDEROCK")</f>
        <v>NSWC CARDEROCK</v>
      </c>
      <c r="B4486" t="str">
        <f t="shared" si="1776"/>
        <v>9500 MACARTHUR BLVD</v>
      </c>
      <c r="C4486" t="str">
        <f>T("BLDG 1")</f>
        <v>BLDG 1</v>
      </c>
      <c r="D4486" t="str">
        <f>T("W  BETHESDA")</f>
        <v>W  BETHESDA</v>
      </c>
      <c r="E4486" t="str">
        <f t="shared" si="1771"/>
        <v>MD</v>
      </c>
      <c r="F4486" t="str">
        <f t="shared" si="1772"/>
        <v>208175700</v>
      </c>
      <c r="G4486" t="str">
        <f t="shared" si="1774"/>
        <v>9500 MACARTHUR BLVD</v>
      </c>
      <c r="H4486" t="str">
        <f>T("BLDG 12 RM 204")</f>
        <v>BLDG 12 RM 204</v>
      </c>
      <c r="I4486" t="str">
        <f>T("WEST BETHESDA")</f>
        <v>WEST BETHESDA</v>
      </c>
      <c r="J4486" t="str">
        <f t="shared" si="1773"/>
        <v>MD</v>
      </c>
      <c r="K4486" t="str">
        <f t="shared" si="1775"/>
        <v>000000000000000000</v>
      </c>
      <c r="L4486" t="str">
        <f>T("3012274773")</f>
        <v>3012274773</v>
      </c>
    </row>
    <row r="4487" spans="1:12" x14ac:dyDescent="0.35">
      <c r="A4487" t="str">
        <f t="shared" si="1777"/>
        <v>NSWC CARDEROCK</v>
      </c>
      <c r="B4487" t="str">
        <f t="shared" si="1776"/>
        <v>9500 MACARTHUR BLVD</v>
      </c>
      <c r="C4487" t="str">
        <f>T("BLDG 17W RM 220")</f>
        <v>BLDG 17W RM 220</v>
      </c>
      <c r="D4487" t="str">
        <f>T("BETHESDA")</f>
        <v>BETHESDA</v>
      </c>
      <c r="E4487" t="str">
        <f t="shared" si="1771"/>
        <v>MD</v>
      </c>
      <c r="F4487" t="str">
        <f t="shared" si="1772"/>
        <v>208175700</v>
      </c>
      <c r="G4487" t="str">
        <f t="shared" si="1774"/>
        <v>9500 MACARTHUR BLVD</v>
      </c>
      <c r="H4487" t="str">
        <f>T("BLDG 17W RM 220")</f>
        <v>BLDG 17W RM 220</v>
      </c>
      <c r="I4487" t="str">
        <f>T("BETHESDA")</f>
        <v>BETHESDA</v>
      </c>
      <c r="J4487" t="str">
        <f t="shared" si="1773"/>
        <v>MD</v>
      </c>
      <c r="K4487" t="str">
        <f>T("3012273106")</f>
        <v>3012273106</v>
      </c>
      <c r="L4487" t="str">
        <f>T("3012271825")</f>
        <v>3012271825</v>
      </c>
    </row>
    <row r="4488" spans="1:12" x14ac:dyDescent="0.35">
      <c r="A4488" t="str">
        <f t="shared" si="1777"/>
        <v>NSWC CARDEROCK</v>
      </c>
      <c r="B4488" t="str">
        <f t="shared" si="1776"/>
        <v>9500 MACARTHUR BLVD</v>
      </c>
      <c r="C4488" t="str">
        <f>T("BLDG 19 RM B219")</f>
        <v>BLDG 19 RM B219</v>
      </c>
      <c r="D4488" t="str">
        <f t="shared" ref="D4488:D4496" si="1778">T("W BETHESDA")</f>
        <v>W BETHESDA</v>
      </c>
      <c r="E4488" t="str">
        <f t="shared" si="1771"/>
        <v>MD</v>
      </c>
      <c r="F4488" t="str">
        <f t="shared" si="1772"/>
        <v>208175700</v>
      </c>
      <c r="G4488" t="str">
        <f t="shared" si="1774"/>
        <v>9500 MACARTHUR BLVD</v>
      </c>
      <c r="H4488" t="str">
        <f>T("BLDG 19 RM B219")</f>
        <v>BLDG 19 RM B219</v>
      </c>
      <c r="I4488" t="str">
        <f>T("W BETHESDA")</f>
        <v>W BETHESDA</v>
      </c>
      <c r="J4488" t="str">
        <f t="shared" si="1773"/>
        <v>MD</v>
      </c>
      <c r="K4488" t="str">
        <f t="shared" ref="K4488:K4496" si="1779">T("000000000000000000")</f>
        <v>000000000000000000</v>
      </c>
      <c r="L4488" t="str">
        <f>T("3012277124")</f>
        <v>3012277124</v>
      </c>
    </row>
    <row r="4489" spans="1:12" x14ac:dyDescent="0.35">
      <c r="A4489" t="str">
        <f t="shared" si="1777"/>
        <v>NSWC CARDEROCK</v>
      </c>
      <c r="B4489" t="str">
        <f t="shared" si="1776"/>
        <v>9500 MACARTHUR BLVD</v>
      </c>
      <c r="C4489" t="str">
        <f>T("BLDG 19 RM B219")</f>
        <v>BLDG 19 RM B219</v>
      </c>
      <c r="D4489" t="str">
        <f t="shared" si="1778"/>
        <v>W BETHESDA</v>
      </c>
      <c r="E4489" t="str">
        <f t="shared" si="1771"/>
        <v>MD</v>
      </c>
      <c r="F4489" t="str">
        <f t="shared" si="1772"/>
        <v>208175700</v>
      </c>
      <c r="G4489" t="str">
        <f t="shared" si="1774"/>
        <v>9500 MACARTHUR BLVD</v>
      </c>
      <c r="H4489" t="str">
        <f>T("CODE 6509")</f>
        <v>CODE 6509</v>
      </c>
      <c r="I4489" t="str">
        <f>T("W BETHESDA")</f>
        <v>W BETHESDA</v>
      </c>
      <c r="J4489" t="str">
        <f t="shared" si="1773"/>
        <v>MD</v>
      </c>
      <c r="K4489" t="str">
        <f t="shared" si="1779"/>
        <v>000000000000000000</v>
      </c>
      <c r="L4489" t="str">
        <f>T("3012271750")</f>
        <v>3012271750</v>
      </c>
    </row>
    <row r="4490" spans="1:12" x14ac:dyDescent="0.35">
      <c r="A4490" t="str">
        <f t="shared" si="1777"/>
        <v>NSWC CARDEROCK</v>
      </c>
      <c r="B4490" t="str">
        <f t="shared" si="1776"/>
        <v>9500 MACARTHUR BLVD</v>
      </c>
      <c r="C4490" t="str">
        <f>T("BLDG 19 RM B219")</f>
        <v>BLDG 19 RM B219</v>
      </c>
      <c r="D4490" t="str">
        <f t="shared" si="1778"/>
        <v>W BETHESDA</v>
      </c>
      <c r="E4490" t="str">
        <f t="shared" si="1771"/>
        <v>MD</v>
      </c>
      <c r="F4490" t="str">
        <f t="shared" si="1772"/>
        <v>208175700</v>
      </c>
      <c r="G4490" t="str">
        <f t="shared" si="1774"/>
        <v>9500 MACARTHUR BLVD</v>
      </c>
      <c r="H4490" t="str">
        <f>T("CODE 6530")</f>
        <v>CODE 6530</v>
      </c>
      <c r="I4490" t="str">
        <f>T("W BETHESDA")</f>
        <v>W BETHESDA</v>
      </c>
      <c r="J4490" t="str">
        <f t="shared" si="1773"/>
        <v>MD</v>
      </c>
      <c r="K4490" t="str">
        <f t="shared" si="1779"/>
        <v>000000000000000000</v>
      </c>
      <c r="L4490" t="str">
        <f>T("3012271739")</f>
        <v>3012271739</v>
      </c>
    </row>
    <row r="4491" spans="1:12" x14ac:dyDescent="0.35">
      <c r="A4491" t="str">
        <f t="shared" si="1777"/>
        <v>NSWC CARDEROCK</v>
      </c>
      <c r="B4491" t="str">
        <f t="shared" si="1776"/>
        <v>9500 MACARTHUR BLVD</v>
      </c>
      <c r="C4491" t="str">
        <f>T("BLDG 193 CODE 00M")</f>
        <v>BLDG 193 CODE 00M</v>
      </c>
      <c r="D4491" t="str">
        <f t="shared" si="1778"/>
        <v>W BETHESDA</v>
      </c>
      <c r="E4491" t="str">
        <f t="shared" si="1771"/>
        <v>MD</v>
      </c>
      <c r="F4491" t="str">
        <f t="shared" si="1772"/>
        <v>208175700</v>
      </c>
      <c r="G4491" t="str">
        <f t="shared" si="1774"/>
        <v>9500 MACARTHUR BLVD</v>
      </c>
      <c r="H4491" t="str">
        <f>T("BLDG 193 CODE 00M")</f>
        <v>BLDG 193 CODE 00M</v>
      </c>
      <c r="I4491" t="str">
        <f>T("W BETHESDA")</f>
        <v>W BETHESDA</v>
      </c>
      <c r="J4491" t="str">
        <f t="shared" si="1773"/>
        <v>MD</v>
      </c>
      <c r="K4491" t="str">
        <f t="shared" si="1779"/>
        <v>000000000000000000</v>
      </c>
      <c r="L4491" t="str">
        <f>T("3012272404")</f>
        <v>3012272404</v>
      </c>
    </row>
    <row r="4492" spans="1:12" x14ac:dyDescent="0.35">
      <c r="A4492" t="str">
        <f t="shared" si="1777"/>
        <v>NSWC CARDEROCK</v>
      </c>
      <c r="B4492" t="str">
        <f t="shared" si="1776"/>
        <v>9500 MACARTHUR BLVD</v>
      </c>
      <c r="C4492" t="str">
        <f>T("BLDG 193 CODE 00M")</f>
        <v>BLDG 193 CODE 00M</v>
      </c>
      <c r="D4492" t="str">
        <f t="shared" si="1778"/>
        <v>W BETHESDA</v>
      </c>
      <c r="E4492" t="str">
        <f t="shared" si="1771"/>
        <v>MD</v>
      </c>
      <c r="F4492" t="str">
        <f t="shared" si="1772"/>
        <v>208175700</v>
      </c>
      <c r="G4492" t="str">
        <f t="shared" si="1774"/>
        <v>9500 MACARTHUR BLVD</v>
      </c>
      <c r="H4492" t="str">
        <f>T("CODE 00M1")</f>
        <v>CODE 00M1</v>
      </c>
      <c r="I4492" t="str">
        <f>T("W BETHESDA")</f>
        <v>W BETHESDA</v>
      </c>
      <c r="J4492" t="str">
        <f t="shared" si="1773"/>
        <v>MD</v>
      </c>
      <c r="K4492" t="str">
        <f t="shared" si="1779"/>
        <v>000000000000000000</v>
      </c>
      <c r="L4492" t="str">
        <f>T("3012272394")</f>
        <v>3012272394</v>
      </c>
    </row>
    <row r="4493" spans="1:12" x14ac:dyDescent="0.35">
      <c r="A4493" t="str">
        <f t="shared" si="1777"/>
        <v>NSWC CARDEROCK</v>
      </c>
      <c r="B4493" t="str">
        <f t="shared" si="1776"/>
        <v>9500 MACARTHUR BLVD</v>
      </c>
      <c r="C4493" t="str">
        <f>T("BLDG 3")</f>
        <v>BLDG 3</v>
      </c>
      <c r="D4493" t="str">
        <f t="shared" si="1778"/>
        <v>W BETHESDA</v>
      </c>
      <c r="E4493" t="str">
        <f t="shared" si="1771"/>
        <v>MD</v>
      </c>
      <c r="F4493" t="str">
        <f t="shared" si="1772"/>
        <v>208175700</v>
      </c>
      <c r="G4493" t="str">
        <f>T("740 MULLET DR")</f>
        <v>740 MULLET DR</v>
      </c>
      <c r="H4493" t="str">
        <f>T("CODE 7330 BLDG ATD RM 1")</f>
        <v>CODE 7330 BLDG ATD RM 1</v>
      </c>
      <c r="I4493" t="str">
        <f>T("CAPE CANAVERAL")</f>
        <v>CAPE CANAVERAL</v>
      </c>
      <c r="J4493" t="str">
        <f>T("FL")</f>
        <v>FL</v>
      </c>
      <c r="K4493" t="str">
        <f t="shared" si="1779"/>
        <v>000000000000000000</v>
      </c>
      <c r="L4493" t="str">
        <f>T("3218682800")</f>
        <v>3218682800</v>
      </c>
    </row>
    <row r="4494" spans="1:12" x14ac:dyDescent="0.35">
      <c r="A4494" t="str">
        <f t="shared" si="1777"/>
        <v>NSWC CARDEROCK</v>
      </c>
      <c r="B4494" t="str">
        <f t="shared" si="1776"/>
        <v>9500 MACARTHUR BLVD</v>
      </c>
      <c r="C4494" t="str">
        <f>T("BLDG 3")</f>
        <v>BLDG 3</v>
      </c>
      <c r="D4494" t="str">
        <f t="shared" si="1778"/>
        <v>W BETHESDA</v>
      </c>
      <c r="E4494" t="str">
        <f t="shared" si="1771"/>
        <v>MD</v>
      </c>
      <c r="F4494" t="str">
        <f t="shared" si="1772"/>
        <v>208175700</v>
      </c>
      <c r="G4494" t="str">
        <f>T("91 N BEACH RD")</f>
        <v>91 N BEACH RD</v>
      </c>
      <c r="H4494" t="str">
        <f>T("CODE 7072")</f>
        <v>CODE 7072</v>
      </c>
      <c r="I4494" t="str">
        <f>T("DANIA BEACH")</f>
        <v>DANIA BEACH</v>
      </c>
      <c r="J4494" t="str">
        <f>T("FL")</f>
        <v>FL</v>
      </c>
      <c r="K4494" t="str">
        <f t="shared" si="1779"/>
        <v>000000000000000000</v>
      </c>
      <c r="L4494" t="str">
        <f>T("9549264034")</f>
        <v>9549264034</v>
      </c>
    </row>
    <row r="4495" spans="1:12" x14ac:dyDescent="0.35">
      <c r="A4495" t="str">
        <f t="shared" si="1777"/>
        <v>NSWC CARDEROCK</v>
      </c>
      <c r="B4495" t="str">
        <f t="shared" si="1776"/>
        <v>9500 MACARTHUR BLVD</v>
      </c>
      <c r="C4495" t="str">
        <f>T("BLDG 3")</f>
        <v>BLDG 3</v>
      </c>
      <c r="D4495" t="str">
        <f t="shared" si="1778"/>
        <v>W BETHESDA</v>
      </c>
      <c r="E4495" t="str">
        <f t="shared" si="1771"/>
        <v>MD</v>
      </c>
      <c r="F4495" t="str">
        <f t="shared" si="1772"/>
        <v>208175700</v>
      </c>
      <c r="G4495" t="str">
        <f t="shared" ref="G4495:G4526" si="1780">T("9500 MACARTHUR BLVD")</f>
        <v>9500 MACARTHUR BLVD</v>
      </c>
      <c r="H4495" t="str">
        <f>T("BLDG 3")</f>
        <v>BLDG 3</v>
      </c>
      <c r="I4495" t="str">
        <f>T("W BETHESDA")</f>
        <v>W BETHESDA</v>
      </c>
      <c r="J4495" t="str">
        <f t="shared" ref="J4495:J4526" si="1781">T("MD")</f>
        <v>MD</v>
      </c>
      <c r="K4495" t="str">
        <f t="shared" si="1779"/>
        <v>000000000000000000</v>
      </c>
      <c r="L4495" t="str">
        <f>T("3012275700")</f>
        <v>3012275700</v>
      </c>
    </row>
    <row r="4496" spans="1:12" x14ac:dyDescent="0.35">
      <c r="A4496" t="str">
        <f t="shared" si="1777"/>
        <v>NSWC CARDEROCK</v>
      </c>
      <c r="B4496" t="str">
        <f t="shared" si="1776"/>
        <v>9500 MACARTHUR BLVD</v>
      </c>
      <c r="C4496" t="str">
        <f>T("BLDG 3")</f>
        <v>BLDG 3</v>
      </c>
      <c r="D4496" t="str">
        <f t="shared" si="1778"/>
        <v>W BETHESDA</v>
      </c>
      <c r="E4496" t="str">
        <f t="shared" si="1771"/>
        <v>MD</v>
      </c>
      <c r="F4496" t="str">
        <f t="shared" si="1772"/>
        <v>208175700</v>
      </c>
      <c r="G4496" t="str">
        <f t="shared" si="1780"/>
        <v>9500 MACARTHUR BLVD</v>
      </c>
      <c r="H4496" t="str">
        <f>T("CODE 7072")</f>
        <v>CODE 7072</v>
      </c>
      <c r="I4496" t="str">
        <f>T("W BETHESDA")</f>
        <v>W BETHESDA</v>
      </c>
      <c r="J4496" t="str">
        <f t="shared" si="1781"/>
        <v>MD</v>
      </c>
      <c r="K4496" t="str">
        <f t="shared" si="1779"/>
        <v>000000000000000000</v>
      </c>
      <c r="L4496" t="str">
        <f>T("3012271389")</f>
        <v>3012271389</v>
      </c>
    </row>
    <row r="4497" spans="1:12" x14ac:dyDescent="0.35">
      <c r="A4497" t="str">
        <f t="shared" si="1777"/>
        <v>NSWC CARDEROCK</v>
      </c>
      <c r="B4497" t="str">
        <f t="shared" si="1776"/>
        <v>9500 MACARTHUR BLVD</v>
      </c>
      <c r="C4497" t="str">
        <f>T("BLDG 3 ROOM 355")</f>
        <v>BLDG 3 ROOM 355</v>
      </c>
      <c r="D4497" t="str">
        <f>T("BETHESDA")</f>
        <v>BETHESDA</v>
      </c>
      <c r="E4497" t="str">
        <f t="shared" si="1771"/>
        <v>MD</v>
      </c>
      <c r="F4497" t="str">
        <f t="shared" si="1772"/>
        <v>208175700</v>
      </c>
      <c r="G4497" t="str">
        <f t="shared" si="1780"/>
        <v>9500 MACARTHUR BLVD</v>
      </c>
      <c r="H4497" t="str">
        <f>T("BLDG 3 ROOM 355")</f>
        <v>BLDG 3 ROOM 355</v>
      </c>
      <c r="I4497" t="str">
        <f>T("BETHESDA")</f>
        <v>BETHESDA</v>
      </c>
      <c r="J4497" t="str">
        <f t="shared" si="1781"/>
        <v>MD</v>
      </c>
      <c r="K4497" t="str">
        <f>T("")</f>
        <v/>
      </c>
      <c r="L4497" t="str">
        <f>T("3012275620")</f>
        <v>3012275620</v>
      </c>
    </row>
    <row r="4498" spans="1:12" x14ac:dyDescent="0.35">
      <c r="A4498" t="str">
        <f t="shared" si="1777"/>
        <v>NSWC CARDEROCK</v>
      </c>
      <c r="B4498" t="str">
        <f t="shared" si="1776"/>
        <v>9500 MACARTHUR BLVD</v>
      </c>
      <c r="C4498" t="str">
        <f t="shared" ref="C4498:C4504" si="1782">T("BLDG 42")</f>
        <v>BLDG 42</v>
      </c>
      <c r="D4498" t="str">
        <f t="shared" ref="D4498:D4508" si="1783">T("W BETHESDA")</f>
        <v>W BETHESDA</v>
      </c>
      <c r="E4498" t="str">
        <f t="shared" si="1771"/>
        <v>MD</v>
      </c>
      <c r="F4498" t="str">
        <f t="shared" si="1772"/>
        <v>208175700</v>
      </c>
      <c r="G4498" t="str">
        <f t="shared" si="1780"/>
        <v>9500 MACARTHUR BLVD</v>
      </c>
      <c r="H4498" t="str">
        <f>T("BLDG 42")</f>
        <v>BLDG 42</v>
      </c>
      <c r="I4498" t="str">
        <f t="shared" ref="I4498:I4505" si="1784">T("W BETHESDA")</f>
        <v>W BETHESDA</v>
      </c>
      <c r="J4498" t="str">
        <f t="shared" si="1781"/>
        <v>MD</v>
      </c>
      <c r="K4498" t="str">
        <f t="shared" ref="K4498:K4509" si="1785">T("000000000000000000")</f>
        <v>000000000000000000</v>
      </c>
      <c r="L4498" t="str">
        <f>T("3012272891")</f>
        <v>3012272891</v>
      </c>
    </row>
    <row r="4499" spans="1:12" x14ac:dyDescent="0.35">
      <c r="A4499" t="str">
        <f t="shared" si="1777"/>
        <v>NSWC CARDEROCK</v>
      </c>
      <c r="B4499" t="str">
        <f t="shared" si="1776"/>
        <v>9500 MACARTHUR BLVD</v>
      </c>
      <c r="C4499" t="str">
        <f t="shared" si="1782"/>
        <v>BLDG 42</v>
      </c>
      <c r="D4499" t="str">
        <f t="shared" si="1783"/>
        <v>W BETHESDA</v>
      </c>
      <c r="E4499" t="str">
        <f t="shared" si="1771"/>
        <v>MD</v>
      </c>
      <c r="F4499" t="str">
        <f t="shared" si="1772"/>
        <v>208175700</v>
      </c>
      <c r="G4499" t="str">
        <f t="shared" si="1780"/>
        <v>9500 MACARTHUR BLVD</v>
      </c>
      <c r="H4499" t="str">
        <f>T("BLDG 42")</f>
        <v>BLDG 42</v>
      </c>
      <c r="I4499" t="str">
        <f t="shared" si="1784"/>
        <v>W BETHESDA</v>
      </c>
      <c r="J4499" t="str">
        <f t="shared" si="1781"/>
        <v>MD</v>
      </c>
      <c r="K4499" t="str">
        <f t="shared" si="1785"/>
        <v>000000000000000000</v>
      </c>
      <c r="L4499" t="str">
        <f>T("3012273897")</f>
        <v>3012273897</v>
      </c>
    </row>
    <row r="4500" spans="1:12" x14ac:dyDescent="0.35">
      <c r="A4500" t="str">
        <f t="shared" si="1777"/>
        <v>NSWC CARDEROCK</v>
      </c>
      <c r="B4500" t="str">
        <f t="shared" si="1776"/>
        <v>9500 MACARTHUR BLVD</v>
      </c>
      <c r="C4500" t="str">
        <f t="shared" si="1782"/>
        <v>BLDG 42</v>
      </c>
      <c r="D4500" t="str">
        <f t="shared" si="1783"/>
        <v>W BETHESDA</v>
      </c>
      <c r="E4500" t="str">
        <f t="shared" si="1771"/>
        <v>MD</v>
      </c>
      <c r="F4500" t="str">
        <f t="shared" si="1772"/>
        <v>208175700</v>
      </c>
      <c r="G4500" t="str">
        <f t="shared" si="1780"/>
        <v>9500 MACARTHUR BLVD</v>
      </c>
      <c r="H4500" t="str">
        <f>T("BLDG 42 FIRST FLOOR")</f>
        <v>BLDG 42 FIRST FLOOR</v>
      </c>
      <c r="I4500" t="str">
        <f t="shared" si="1784"/>
        <v>W BETHESDA</v>
      </c>
      <c r="J4500" t="str">
        <f t="shared" si="1781"/>
        <v>MD</v>
      </c>
      <c r="K4500" t="str">
        <f t="shared" si="1785"/>
        <v>000000000000000000</v>
      </c>
      <c r="L4500" t="str">
        <f>T("3012275664")</f>
        <v>3012275664</v>
      </c>
    </row>
    <row r="4501" spans="1:12" x14ac:dyDescent="0.35">
      <c r="A4501" t="str">
        <f t="shared" si="1777"/>
        <v>NSWC CARDEROCK</v>
      </c>
      <c r="B4501" t="str">
        <f t="shared" si="1776"/>
        <v>9500 MACARTHUR BLVD</v>
      </c>
      <c r="C4501" t="str">
        <f t="shared" si="1782"/>
        <v>BLDG 42</v>
      </c>
      <c r="D4501" t="str">
        <f t="shared" si="1783"/>
        <v>W BETHESDA</v>
      </c>
      <c r="E4501" t="str">
        <f t="shared" si="1771"/>
        <v>MD</v>
      </c>
      <c r="F4501" t="str">
        <f t="shared" si="1772"/>
        <v>208175700</v>
      </c>
      <c r="G4501" t="str">
        <f t="shared" si="1780"/>
        <v>9500 MACARTHUR BLVD</v>
      </c>
      <c r="H4501" t="str">
        <f>T("BLDG 7 CODE 1021")</f>
        <v>BLDG 7 CODE 1021</v>
      </c>
      <c r="I4501" t="str">
        <f t="shared" si="1784"/>
        <v>W BETHESDA</v>
      </c>
      <c r="J4501" t="str">
        <f t="shared" si="1781"/>
        <v>MD</v>
      </c>
      <c r="K4501" t="str">
        <f t="shared" si="1785"/>
        <v>000000000000000000</v>
      </c>
      <c r="L4501" t="str">
        <f>T("3012271186")</f>
        <v>3012271186</v>
      </c>
    </row>
    <row r="4502" spans="1:12" x14ac:dyDescent="0.35">
      <c r="A4502" t="str">
        <f t="shared" si="1777"/>
        <v>NSWC CARDEROCK</v>
      </c>
      <c r="B4502" t="str">
        <f t="shared" si="1776"/>
        <v>9500 MACARTHUR BLVD</v>
      </c>
      <c r="C4502" t="str">
        <f t="shared" si="1782"/>
        <v>BLDG 42</v>
      </c>
      <c r="D4502" t="str">
        <f t="shared" si="1783"/>
        <v>W BETHESDA</v>
      </c>
      <c r="E4502" t="str">
        <f t="shared" si="1771"/>
        <v>MD</v>
      </c>
      <c r="F4502" t="str">
        <f t="shared" si="1772"/>
        <v>208175700</v>
      </c>
      <c r="G4502" t="str">
        <f t="shared" si="1780"/>
        <v>9500 MACARTHUR BLVD</v>
      </c>
      <c r="H4502" t="str">
        <f>T("BLDG 7 CODE 10263")</f>
        <v>BLDG 7 CODE 10263</v>
      </c>
      <c r="I4502" t="str">
        <f t="shared" si="1784"/>
        <v>W BETHESDA</v>
      </c>
      <c r="J4502" t="str">
        <f t="shared" si="1781"/>
        <v>MD</v>
      </c>
      <c r="K4502" t="str">
        <f t="shared" si="1785"/>
        <v>000000000000000000</v>
      </c>
      <c r="L4502" t="str">
        <f>T("3012272581")</f>
        <v>3012272581</v>
      </c>
    </row>
    <row r="4503" spans="1:12" x14ac:dyDescent="0.35">
      <c r="A4503" t="str">
        <f t="shared" si="1777"/>
        <v>NSWC CARDEROCK</v>
      </c>
      <c r="B4503" t="str">
        <f t="shared" si="1776"/>
        <v>9500 MACARTHUR BLVD</v>
      </c>
      <c r="C4503" t="str">
        <f t="shared" si="1782"/>
        <v>BLDG 42</v>
      </c>
      <c r="D4503" t="str">
        <f t="shared" si="1783"/>
        <v>W BETHESDA</v>
      </c>
      <c r="E4503" t="str">
        <f t="shared" si="1771"/>
        <v>MD</v>
      </c>
      <c r="F4503" t="str">
        <f t="shared" si="1772"/>
        <v>208175700</v>
      </c>
      <c r="G4503" t="str">
        <f t="shared" si="1780"/>
        <v>9500 MACARTHUR BLVD</v>
      </c>
      <c r="H4503" t="str">
        <f>T("BLDG 9 CODE 10263")</f>
        <v>BLDG 9 CODE 10263</v>
      </c>
      <c r="I4503" t="str">
        <f t="shared" si="1784"/>
        <v>W BETHESDA</v>
      </c>
      <c r="J4503" t="str">
        <f t="shared" si="1781"/>
        <v>MD</v>
      </c>
      <c r="K4503" t="str">
        <f t="shared" si="1785"/>
        <v>000000000000000000</v>
      </c>
      <c r="L4503" t="str">
        <f>T("3012275076")</f>
        <v>3012275076</v>
      </c>
    </row>
    <row r="4504" spans="1:12" x14ac:dyDescent="0.35">
      <c r="A4504" t="str">
        <f t="shared" si="1777"/>
        <v>NSWC CARDEROCK</v>
      </c>
      <c r="B4504" t="str">
        <f t="shared" si="1776"/>
        <v>9500 MACARTHUR BLVD</v>
      </c>
      <c r="C4504" t="str">
        <f t="shared" si="1782"/>
        <v>BLDG 42</v>
      </c>
      <c r="D4504" t="str">
        <f t="shared" si="1783"/>
        <v>W BETHESDA</v>
      </c>
      <c r="E4504" t="str">
        <f t="shared" si="1771"/>
        <v>MD</v>
      </c>
      <c r="F4504" t="str">
        <f t="shared" si="1772"/>
        <v>208175700</v>
      </c>
      <c r="G4504" t="str">
        <f t="shared" si="1780"/>
        <v>9500 MACARTHUR BLVD</v>
      </c>
      <c r="H4504" t="str">
        <f>T("BLDG 9 CODE 10263")</f>
        <v>BLDG 9 CODE 10263</v>
      </c>
      <c r="I4504" t="str">
        <f t="shared" si="1784"/>
        <v>W BETHESDA</v>
      </c>
      <c r="J4504" t="str">
        <f t="shared" si="1781"/>
        <v>MD</v>
      </c>
      <c r="K4504" t="str">
        <f t="shared" si="1785"/>
        <v>000000000000000000</v>
      </c>
      <c r="L4504" t="str">
        <f>T("3012275721")</f>
        <v>3012275721</v>
      </c>
    </row>
    <row r="4505" spans="1:12" x14ac:dyDescent="0.35">
      <c r="A4505" t="str">
        <f t="shared" si="1777"/>
        <v>NSWC CARDEROCK</v>
      </c>
      <c r="B4505" t="str">
        <f t="shared" si="1776"/>
        <v>9500 MACARTHUR BLVD</v>
      </c>
      <c r="C4505" t="str">
        <f>T("BLDG 42 1ST FL")</f>
        <v>BLDG 42 1ST FL</v>
      </c>
      <c r="D4505" t="str">
        <f t="shared" si="1783"/>
        <v>W BETHESDA</v>
      </c>
      <c r="E4505" t="str">
        <f t="shared" si="1771"/>
        <v>MD</v>
      </c>
      <c r="F4505" t="str">
        <f t="shared" si="1772"/>
        <v>208175700</v>
      </c>
      <c r="G4505" t="str">
        <f t="shared" si="1780"/>
        <v>9500 MACARTHUR BLVD</v>
      </c>
      <c r="H4505" t="str">
        <f>T("")</f>
        <v/>
      </c>
      <c r="I4505" t="str">
        <f t="shared" si="1784"/>
        <v>W BETHESDA</v>
      </c>
      <c r="J4505" t="str">
        <f t="shared" si="1781"/>
        <v>MD</v>
      </c>
      <c r="K4505" t="str">
        <f t="shared" si="1785"/>
        <v>000000000000000000</v>
      </c>
      <c r="L4505" t="str">
        <f>T("3012272153")</f>
        <v>3012272153</v>
      </c>
    </row>
    <row r="4506" spans="1:12" x14ac:dyDescent="0.35">
      <c r="A4506" t="str">
        <f t="shared" si="1777"/>
        <v>NSWC CARDEROCK</v>
      </c>
      <c r="B4506" t="str">
        <f t="shared" si="1776"/>
        <v>9500 MACARTHUR BLVD</v>
      </c>
      <c r="C4506" t="str">
        <f>T("BLDG 42 1ST FL")</f>
        <v>BLDG 42 1ST FL</v>
      </c>
      <c r="D4506" t="str">
        <f t="shared" si="1783"/>
        <v>W BETHESDA</v>
      </c>
      <c r="E4506" t="str">
        <f t="shared" si="1771"/>
        <v>MD</v>
      </c>
      <c r="F4506" t="str">
        <f t="shared" si="1772"/>
        <v>208175700</v>
      </c>
      <c r="G4506" t="str">
        <f t="shared" si="1780"/>
        <v>9500 MACARTHUR BLVD</v>
      </c>
      <c r="H4506" t="str">
        <f>T("")</f>
        <v/>
      </c>
      <c r="I4506" t="str">
        <f>T("WEST BETHESDA")</f>
        <v>WEST BETHESDA</v>
      </c>
      <c r="J4506" t="str">
        <f t="shared" si="1781"/>
        <v>MD</v>
      </c>
      <c r="K4506" t="str">
        <f t="shared" si="1785"/>
        <v>000000000000000000</v>
      </c>
      <c r="L4506" t="str">
        <f>T("3012272054")</f>
        <v>3012272054</v>
      </c>
    </row>
    <row r="4507" spans="1:12" x14ac:dyDescent="0.35">
      <c r="A4507" t="str">
        <f t="shared" si="1777"/>
        <v>NSWC CARDEROCK</v>
      </c>
      <c r="B4507" t="str">
        <f t="shared" si="1776"/>
        <v>9500 MACARTHUR BLVD</v>
      </c>
      <c r="C4507" t="str">
        <f>T("BLDG 42 1ST FL")</f>
        <v>BLDG 42 1ST FL</v>
      </c>
      <c r="D4507" t="str">
        <f t="shared" si="1783"/>
        <v>W BETHESDA</v>
      </c>
      <c r="E4507" t="str">
        <f t="shared" si="1771"/>
        <v>MD</v>
      </c>
      <c r="F4507" t="str">
        <f t="shared" si="1772"/>
        <v>208175700</v>
      </c>
      <c r="G4507" t="str">
        <f t="shared" si="1780"/>
        <v>9500 MACARTHUR BLVD</v>
      </c>
      <c r="H4507" t="str">
        <f>T("BLDG 42 1ST FL")</f>
        <v>BLDG 42 1ST FL</v>
      </c>
      <c r="I4507" t="str">
        <f>T("W BETHESDA")</f>
        <v>W BETHESDA</v>
      </c>
      <c r="J4507" t="str">
        <f t="shared" si="1781"/>
        <v>MD</v>
      </c>
      <c r="K4507" t="str">
        <f t="shared" si="1785"/>
        <v>000000000000000000</v>
      </c>
      <c r="L4507" t="str">
        <f>T("3012275632")</f>
        <v>3012275632</v>
      </c>
    </row>
    <row r="4508" spans="1:12" x14ac:dyDescent="0.35">
      <c r="A4508" t="str">
        <f t="shared" si="1777"/>
        <v>NSWC CARDEROCK</v>
      </c>
      <c r="B4508" t="str">
        <f t="shared" si="1776"/>
        <v>9500 MACARTHUR BLVD</v>
      </c>
      <c r="C4508" t="str">
        <f>T("BLDG 42 1ST FL")</f>
        <v>BLDG 42 1ST FL</v>
      </c>
      <c r="D4508" t="str">
        <f t="shared" si="1783"/>
        <v>W BETHESDA</v>
      </c>
      <c r="E4508" t="str">
        <f t="shared" si="1771"/>
        <v>MD</v>
      </c>
      <c r="F4508" t="str">
        <f t="shared" si="1772"/>
        <v>208175700</v>
      </c>
      <c r="G4508" t="str">
        <f t="shared" si="1780"/>
        <v>9500 MACARTHUR BLVD</v>
      </c>
      <c r="H4508" t="str">
        <f>T("BLDG 42 FIRST FLOOR")</f>
        <v>BLDG 42 FIRST FLOOR</v>
      </c>
      <c r="I4508" t="str">
        <f>T("W BETHESDA")</f>
        <v>W BETHESDA</v>
      </c>
      <c r="J4508" t="str">
        <f t="shared" si="1781"/>
        <v>MD</v>
      </c>
      <c r="K4508" t="str">
        <f t="shared" si="1785"/>
        <v>000000000000000000</v>
      </c>
      <c r="L4508" t="str">
        <f>T("3012275664")</f>
        <v>3012275664</v>
      </c>
    </row>
    <row r="4509" spans="1:12" x14ac:dyDescent="0.35">
      <c r="A4509" t="str">
        <f t="shared" si="1777"/>
        <v>NSWC CARDEROCK</v>
      </c>
      <c r="B4509" t="str">
        <f t="shared" si="1776"/>
        <v>9500 MACARTHUR BLVD</v>
      </c>
      <c r="C4509" t="str">
        <f>T("BLDG 42, 3RD FLOOR")</f>
        <v>BLDG 42, 3RD FLOOR</v>
      </c>
      <c r="D4509" t="str">
        <f>T("BETHESDA")</f>
        <v>BETHESDA</v>
      </c>
      <c r="E4509" t="str">
        <f t="shared" si="1771"/>
        <v>MD</v>
      </c>
      <c r="F4509" t="str">
        <f t="shared" si="1772"/>
        <v>208175700</v>
      </c>
      <c r="G4509" t="str">
        <f t="shared" si="1780"/>
        <v>9500 MACARTHUR BLVD</v>
      </c>
      <c r="H4509" t="str">
        <f>T("BLDG 42, 3RD FLOOR")</f>
        <v>BLDG 42, 3RD FLOOR</v>
      </c>
      <c r="I4509" t="str">
        <f>T("BETHESDA")</f>
        <v>BETHESDA</v>
      </c>
      <c r="J4509" t="str">
        <f t="shared" si="1781"/>
        <v>MD</v>
      </c>
      <c r="K4509" t="str">
        <f t="shared" si="1785"/>
        <v>000000000000000000</v>
      </c>
      <c r="L4509" t="str">
        <f>T("3012275720")</f>
        <v>3012275720</v>
      </c>
    </row>
    <row r="4510" spans="1:12" x14ac:dyDescent="0.35">
      <c r="A4510" t="str">
        <f t="shared" si="1777"/>
        <v>NSWC CARDEROCK</v>
      </c>
      <c r="B4510" t="str">
        <f t="shared" si="1776"/>
        <v>9500 MACARTHUR BLVD</v>
      </c>
      <c r="C4510" t="str">
        <f>T("BLDG 60")</f>
        <v>BLDG 60</v>
      </c>
      <c r="D4510" t="str">
        <f>T("BETHESDA")</f>
        <v>BETHESDA</v>
      </c>
      <c r="E4510" t="str">
        <f t="shared" si="1771"/>
        <v>MD</v>
      </c>
      <c r="F4510" t="str">
        <f t="shared" si="1772"/>
        <v>208175700</v>
      </c>
      <c r="G4510" t="str">
        <f t="shared" si="1780"/>
        <v>9500 MACARTHUR BLVD</v>
      </c>
      <c r="H4510" t="str">
        <f>T("BLDG 60")</f>
        <v>BLDG 60</v>
      </c>
      <c r="I4510" t="str">
        <f>T("BETHESDA")</f>
        <v>BETHESDA</v>
      </c>
      <c r="J4510" t="str">
        <f t="shared" si="1781"/>
        <v>MD</v>
      </c>
      <c r="K4510" t="str">
        <f>T("")</f>
        <v/>
      </c>
      <c r="L4510" t="str">
        <f>T("3012275464")</f>
        <v>3012275464</v>
      </c>
    </row>
    <row r="4511" spans="1:12" x14ac:dyDescent="0.35">
      <c r="A4511" t="str">
        <f t="shared" si="1777"/>
        <v>NSWC CARDEROCK</v>
      </c>
      <c r="B4511" t="str">
        <f t="shared" si="1776"/>
        <v>9500 MACARTHUR BLVD</v>
      </c>
      <c r="C4511" t="str">
        <f>T("BLG 3")</f>
        <v>BLG 3</v>
      </c>
      <c r="D4511" t="str">
        <f>T("W BETHESDA")</f>
        <v>W BETHESDA</v>
      </c>
      <c r="E4511" t="str">
        <f t="shared" si="1771"/>
        <v>MD</v>
      </c>
      <c r="F4511" t="str">
        <f t="shared" si="1772"/>
        <v>208175700</v>
      </c>
      <c r="G4511" t="str">
        <f t="shared" si="1780"/>
        <v>9500 MACARTHUR BLVD</v>
      </c>
      <c r="H4511" t="str">
        <f>T("")</f>
        <v/>
      </c>
      <c r="I4511" t="str">
        <f>T("W BETHESDA")</f>
        <v>W BETHESDA</v>
      </c>
      <c r="J4511" t="str">
        <f t="shared" si="1781"/>
        <v>MD</v>
      </c>
      <c r="K4511" t="str">
        <f>T("000000000000000000")</f>
        <v>000000000000000000</v>
      </c>
      <c r="L4511" t="str">
        <f>T("3012274938")</f>
        <v>3012274938</v>
      </c>
    </row>
    <row r="4512" spans="1:12" x14ac:dyDescent="0.35">
      <c r="A4512" t="str">
        <f t="shared" si="1777"/>
        <v>NSWC CARDEROCK</v>
      </c>
      <c r="B4512" t="str">
        <f t="shared" si="1776"/>
        <v>9500 MACARTHUR BLVD</v>
      </c>
      <c r="C4512" t="str">
        <f>T("BLG 3")</f>
        <v>BLG 3</v>
      </c>
      <c r="D4512" t="str">
        <f>T("W BETHESDA")</f>
        <v>W BETHESDA</v>
      </c>
      <c r="E4512" t="str">
        <f t="shared" ref="E4512:E4543" si="1786">T("MD")</f>
        <v>MD</v>
      </c>
      <c r="F4512" t="str">
        <f t="shared" ref="F4512:F4543" si="1787">T("208175700")</f>
        <v>208175700</v>
      </c>
      <c r="G4512" t="str">
        <f t="shared" si="1780"/>
        <v>9500 MACARTHUR BLVD</v>
      </c>
      <c r="H4512" t="str">
        <f>T("BLDG 42 3RD FLOOR")</f>
        <v>BLDG 42 3RD FLOOR</v>
      </c>
      <c r="I4512" t="str">
        <f>T("W BETHESDA")</f>
        <v>W BETHESDA</v>
      </c>
      <c r="J4512" t="str">
        <f t="shared" si="1781"/>
        <v>MD</v>
      </c>
      <c r="K4512" t="str">
        <f>T("000000000000000000")</f>
        <v>000000000000000000</v>
      </c>
      <c r="L4512" t="str">
        <f>T("3012275724")</f>
        <v>3012275724</v>
      </c>
    </row>
    <row r="4513" spans="1:12" x14ac:dyDescent="0.35">
      <c r="A4513" t="str">
        <f t="shared" si="1777"/>
        <v>NSWC CARDEROCK</v>
      </c>
      <c r="B4513" t="str">
        <f t="shared" si="1776"/>
        <v>9500 MACARTHUR BLVD</v>
      </c>
      <c r="C4513" t="str">
        <f>T("BLG 3")</f>
        <v>BLG 3</v>
      </c>
      <c r="D4513" t="str">
        <f>T("W BETHESDA")</f>
        <v>W BETHESDA</v>
      </c>
      <c r="E4513" t="str">
        <f t="shared" si="1786"/>
        <v>MD</v>
      </c>
      <c r="F4513" t="str">
        <f t="shared" si="1787"/>
        <v>208175700</v>
      </c>
      <c r="G4513" t="str">
        <f t="shared" si="1780"/>
        <v>9500 MACARTHUR BLVD</v>
      </c>
      <c r="H4513" t="str">
        <f>T("BLG 3")</f>
        <v>BLG 3</v>
      </c>
      <c r="I4513" t="str">
        <f>T("W BETHESDA")</f>
        <v>W BETHESDA</v>
      </c>
      <c r="J4513" t="str">
        <f t="shared" si="1781"/>
        <v>MD</v>
      </c>
      <c r="K4513" t="str">
        <f>T("000000000000000000")</f>
        <v>000000000000000000</v>
      </c>
      <c r="L4513" t="str">
        <f>T("3012275237")</f>
        <v>3012275237</v>
      </c>
    </row>
    <row r="4514" spans="1:12" x14ac:dyDescent="0.35">
      <c r="A4514" t="str">
        <f t="shared" si="1777"/>
        <v>NSWC CARDEROCK</v>
      </c>
      <c r="B4514" t="str">
        <f t="shared" si="1776"/>
        <v>9500 MACARTHUR BLVD</v>
      </c>
      <c r="C4514" t="str">
        <f>T("CODE 0039")</f>
        <v>CODE 0039</v>
      </c>
      <c r="D4514" t="str">
        <f>T("WEST BETHESDA")</f>
        <v>WEST BETHESDA</v>
      </c>
      <c r="E4514" t="str">
        <f t="shared" si="1786"/>
        <v>MD</v>
      </c>
      <c r="F4514" t="str">
        <f t="shared" si="1787"/>
        <v>208175700</v>
      </c>
      <c r="G4514" t="str">
        <f t="shared" si="1780"/>
        <v>9500 MACARTHUR BLVD</v>
      </c>
      <c r="H4514" t="str">
        <f>T("BLDG 1 RM 313")</f>
        <v>BLDG 1 RM 313</v>
      </c>
      <c r="I4514" t="str">
        <f>T("W BETHESDA")</f>
        <v>W BETHESDA</v>
      </c>
      <c r="J4514" t="str">
        <f t="shared" si="1781"/>
        <v>MD</v>
      </c>
      <c r="K4514" t="str">
        <f>T("000000000000000000")</f>
        <v>000000000000000000</v>
      </c>
      <c r="L4514" t="str">
        <f>T("3012271667")</f>
        <v>3012271667</v>
      </c>
    </row>
    <row r="4515" spans="1:12" x14ac:dyDescent="0.35">
      <c r="A4515" t="str">
        <f t="shared" si="1777"/>
        <v>NSWC CARDEROCK</v>
      </c>
      <c r="B4515" t="str">
        <f t="shared" ref="B4515:B4546" si="1788">T("9500 MACARTHUR BLVD")</f>
        <v>9500 MACARTHUR BLVD</v>
      </c>
      <c r="C4515" t="str">
        <f>T("CODE 0039")</f>
        <v>CODE 0039</v>
      </c>
      <c r="D4515" t="str">
        <f>T("WEST BETHESDA")</f>
        <v>WEST BETHESDA</v>
      </c>
      <c r="E4515" t="str">
        <f t="shared" si="1786"/>
        <v>MD</v>
      </c>
      <c r="F4515" t="str">
        <f t="shared" si="1787"/>
        <v>208175700</v>
      </c>
      <c r="G4515" t="str">
        <f t="shared" si="1780"/>
        <v>9500 MACARTHUR BLVD</v>
      </c>
      <c r="H4515" t="str">
        <f>T("CODE 0039")</f>
        <v>CODE 0039</v>
      </c>
      <c r="I4515" t="str">
        <f>T("WEST BETHESDA")</f>
        <v>WEST BETHESDA</v>
      </c>
      <c r="J4515" t="str">
        <f t="shared" si="1781"/>
        <v>MD</v>
      </c>
      <c r="K4515" t="str">
        <f>T("3012271366")</f>
        <v>3012271366</v>
      </c>
      <c r="L4515" t="str">
        <f>T("3012274161")</f>
        <v>3012274161</v>
      </c>
    </row>
    <row r="4516" spans="1:12" x14ac:dyDescent="0.35">
      <c r="A4516" t="str">
        <f t="shared" si="1777"/>
        <v>NSWC CARDEROCK</v>
      </c>
      <c r="B4516" t="str">
        <f t="shared" si="1788"/>
        <v>9500 MACARTHUR BLVD</v>
      </c>
      <c r="C4516" t="str">
        <f>T("CODE 0039")</f>
        <v>CODE 0039</v>
      </c>
      <c r="D4516" t="str">
        <f>T("WEST BETHESDA")</f>
        <v>WEST BETHESDA</v>
      </c>
      <c r="E4516" t="str">
        <f t="shared" si="1786"/>
        <v>MD</v>
      </c>
      <c r="F4516" t="str">
        <f t="shared" si="1787"/>
        <v>208175700</v>
      </c>
      <c r="G4516" t="str">
        <f t="shared" si="1780"/>
        <v>9500 MACARTHUR BLVD</v>
      </c>
      <c r="H4516" t="str">
        <f>T("CODE 104")</f>
        <v>CODE 104</v>
      </c>
      <c r="I4516" t="str">
        <f>T("W BETHESDA")</f>
        <v>W BETHESDA</v>
      </c>
      <c r="J4516" t="str">
        <f t="shared" si="1781"/>
        <v>MD</v>
      </c>
      <c r="K4516" t="str">
        <f>T("000000000000000000")</f>
        <v>000000000000000000</v>
      </c>
      <c r="L4516" t="str">
        <f>T("3012273575")</f>
        <v>3012273575</v>
      </c>
    </row>
    <row r="4517" spans="1:12" x14ac:dyDescent="0.35">
      <c r="A4517" t="str">
        <f t="shared" si="1777"/>
        <v>NSWC CARDEROCK</v>
      </c>
      <c r="B4517" t="str">
        <f t="shared" si="1788"/>
        <v>9500 MACARTHUR BLVD</v>
      </c>
      <c r="C4517" t="str">
        <f>T("CODE 0122")</f>
        <v>CODE 0122</v>
      </c>
      <c r="D4517" t="str">
        <f>T("BETHESDA")</f>
        <v>BETHESDA</v>
      </c>
      <c r="E4517" t="str">
        <f t="shared" si="1786"/>
        <v>MD</v>
      </c>
      <c r="F4517" t="str">
        <f t="shared" si="1787"/>
        <v>208175700</v>
      </c>
      <c r="G4517" t="str">
        <f t="shared" si="1780"/>
        <v>9500 MACARTHUR BLVD</v>
      </c>
      <c r="H4517" t="str">
        <f>T("CODE 01")</f>
        <v>CODE 01</v>
      </c>
      <c r="I4517" t="str">
        <f>T("W BETHESDA")</f>
        <v>W BETHESDA</v>
      </c>
      <c r="J4517" t="str">
        <f t="shared" si="1781"/>
        <v>MD</v>
      </c>
      <c r="K4517" t="str">
        <f>T("000000000000000000")</f>
        <v>000000000000000000</v>
      </c>
      <c r="L4517" t="str">
        <f>T("3012271084")</f>
        <v>3012271084</v>
      </c>
    </row>
    <row r="4518" spans="1:12" x14ac:dyDescent="0.35">
      <c r="A4518" t="str">
        <f t="shared" ref="A4518:A4549" si="1789">T("NSWC CARDEROCK")</f>
        <v>NSWC CARDEROCK</v>
      </c>
      <c r="B4518" t="str">
        <f t="shared" si="1788"/>
        <v>9500 MACARTHUR BLVD</v>
      </c>
      <c r="C4518" t="str">
        <f>T("CODE 0122")</f>
        <v>CODE 0122</v>
      </c>
      <c r="D4518" t="str">
        <f>T("BETHESDA")</f>
        <v>BETHESDA</v>
      </c>
      <c r="E4518" t="str">
        <f t="shared" si="1786"/>
        <v>MD</v>
      </c>
      <c r="F4518" t="str">
        <f t="shared" si="1787"/>
        <v>208175700</v>
      </c>
      <c r="G4518" t="str">
        <f t="shared" si="1780"/>
        <v>9500 MACARTHUR BLVD</v>
      </c>
      <c r="H4518" t="str">
        <f>T("CODE 0122")</f>
        <v>CODE 0122</v>
      </c>
      <c r="I4518" t="str">
        <f>T("BETHESDA")</f>
        <v>BETHESDA</v>
      </c>
      <c r="J4518" t="str">
        <f t="shared" si="1781"/>
        <v>MD</v>
      </c>
      <c r="K4518" t="str">
        <f>T("000000000000000000")</f>
        <v>000000000000000000</v>
      </c>
      <c r="L4518" t="str">
        <f>T("8502380708")</f>
        <v>8502380708</v>
      </c>
    </row>
    <row r="4519" spans="1:12" x14ac:dyDescent="0.35">
      <c r="A4519" t="str">
        <f t="shared" si="1789"/>
        <v>NSWC CARDEROCK</v>
      </c>
      <c r="B4519" t="str">
        <f t="shared" si="1788"/>
        <v>9500 MACARTHUR BLVD</v>
      </c>
      <c r="C4519" t="str">
        <f>T("CODE 36123 BLDG N RM 109")</f>
        <v>CODE 36123 BLDG N RM 109</v>
      </c>
      <c r="D4519" t="str">
        <f t="shared" ref="D4519:D4527" si="1790">T("WEST BETHESDA")</f>
        <v>WEST BETHESDA</v>
      </c>
      <c r="E4519" t="str">
        <f t="shared" si="1786"/>
        <v>MD</v>
      </c>
      <c r="F4519" t="str">
        <f t="shared" si="1787"/>
        <v>208175700</v>
      </c>
      <c r="G4519" t="str">
        <f t="shared" si="1780"/>
        <v>9500 MACARTHUR BLVD</v>
      </c>
      <c r="H4519" t="str">
        <f>T("BLDG 9 CODE 3613")</f>
        <v>BLDG 9 CODE 3613</v>
      </c>
      <c r="I4519" t="str">
        <f>T("W BETHESDA")</f>
        <v>W BETHESDA</v>
      </c>
      <c r="J4519" t="str">
        <f t="shared" si="1781"/>
        <v>MD</v>
      </c>
      <c r="K4519" t="str">
        <f>T("000000000000000000")</f>
        <v>000000000000000000</v>
      </c>
      <c r="L4519" t="str">
        <f>T("3012275721")</f>
        <v>3012275721</v>
      </c>
    </row>
    <row r="4520" spans="1:12" x14ac:dyDescent="0.35">
      <c r="A4520" t="str">
        <f t="shared" si="1789"/>
        <v>NSWC CARDEROCK</v>
      </c>
      <c r="B4520" t="str">
        <f t="shared" si="1788"/>
        <v>9500 MACARTHUR BLVD</v>
      </c>
      <c r="C4520" t="str">
        <f>T("CODE 36123 BLDG N RM 109")</f>
        <v>CODE 36123 BLDG N RM 109</v>
      </c>
      <c r="D4520" t="str">
        <f t="shared" si="1790"/>
        <v>WEST BETHESDA</v>
      </c>
      <c r="E4520" t="str">
        <f t="shared" si="1786"/>
        <v>MD</v>
      </c>
      <c r="F4520" t="str">
        <f t="shared" si="1787"/>
        <v>208175700</v>
      </c>
      <c r="G4520" t="str">
        <f t="shared" si="1780"/>
        <v>9500 MACARTHUR BLVD</v>
      </c>
      <c r="H4520" t="str">
        <f>T("CODE 36123 BLDG N RM 109")</f>
        <v>CODE 36123 BLDG N RM 109</v>
      </c>
      <c r="I4520" t="str">
        <f>T("WEST BETHESDA")</f>
        <v>WEST BETHESDA</v>
      </c>
      <c r="J4520" t="str">
        <f t="shared" si="1781"/>
        <v>MD</v>
      </c>
      <c r="K4520" t="str">
        <f>T("3012273871")</f>
        <v>3012273871</v>
      </c>
      <c r="L4520" t="str">
        <f>T("3012273006")</f>
        <v>3012273006</v>
      </c>
    </row>
    <row r="4521" spans="1:12" x14ac:dyDescent="0.35">
      <c r="A4521" t="str">
        <f t="shared" si="1789"/>
        <v>NSWC CARDEROCK</v>
      </c>
      <c r="B4521" t="str">
        <f t="shared" si="1788"/>
        <v>9500 MACARTHUR BLVD</v>
      </c>
      <c r="C4521" t="str">
        <f t="shared" ref="C4521:C4527" si="1791">T("CODE 5104 BLDG 2 RM 306B")</f>
        <v>CODE 5104 BLDG 2 RM 306B</v>
      </c>
      <c r="D4521" t="str">
        <f t="shared" si="1790"/>
        <v>WEST BETHESDA</v>
      </c>
      <c r="E4521" t="str">
        <f t="shared" si="1786"/>
        <v>MD</v>
      </c>
      <c r="F4521" t="str">
        <f t="shared" si="1787"/>
        <v>208175700</v>
      </c>
      <c r="G4521" t="str">
        <f t="shared" si="1780"/>
        <v>9500 MACARTHUR BLVD</v>
      </c>
      <c r="H4521" t="str">
        <f>T("")</f>
        <v/>
      </c>
      <c r="I4521" t="str">
        <f>T("BETHESDA")</f>
        <v>BETHESDA</v>
      </c>
      <c r="J4521" t="str">
        <f t="shared" si="1781"/>
        <v>MD</v>
      </c>
      <c r="K4521" t="str">
        <f>T("000000000000000000")</f>
        <v>000000000000000000</v>
      </c>
      <c r="L4521" t="str">
        <f>T("3012270022")</f>
        <v>3012270022</v>
      </c>
    </row>
    <row r="4522" spans="1:12" x14ac:dyDescent="0.35">
      <c r="A4522" t="str">
        <f t="shared" si="1789"/>
        <v>NSWC CARDEROCK</v>
      </c>
      <c r="B4522" t="str">
        <f t="shared" si="1788"/>
        <v>9500 MACARTHUR BLVD</v>
      </c>
      <c r="C4522" t="str">
        <f t="shared" si="1791"/>
        <v>CODE 5104 BLDG 2 RM 306B</v>
      </c>
      <c r="D4522" t="str">
        <f t="shared" si="1790"/>
        <v>WEST BETHESDA</v>
      </c>
      <c r="E4522" t="str">
        <f t="shared" si="1786"/>
        <v>MD</v>
      </c>
      <c r="F4522" t="str">
        <f t="shared" si="1787"/>
        <v>208175700</v>
      </c>
      <c r="G4522" t="str">
        <f t="shared" si="1780"/>
        <v>9500 MACARTHUR BLVD</v>
      </c>
      <c r="H4522" t="str">
        <f>T("")</f>
        <v/>
      </c>
      <c r="I4522" t="str">
        <f>T("W. BETHESDA")</f>
        <v>W. BETHESDA</v>
      </c>
      <c r="J4522" t="str">
        <f t="shared" si="1781"/>
        <v>MD</v>
      </c>
      <c r="K4522" t="str">
        <f>T("000000000000000000")</f>
        <v>000000000000000000</v>
      </c>
      <c r="L4522" t="str">
        <f>T("3012271863")</f>
        <v>3012271863</v>
      </c>
    </row>
    <row r="4523" spans="1:12" x14ac:dyDescent="0.35">
      <c r="A4523" t="str">
        <f t="shared" si="1789"/>
        <v>NSWC CARDEROCK</v>
      </c>
      <c r="B4523" t="str">
        <f t="shared" si="1788"/>
        <v>9500 MACARTHUR BLVD</v>
      </c>
      <c r="C4523" t="str">
        <f t="shared" si="1791"/>
        <v>CODE 5104 BLDG 2 RM 306B</v>
      </c>
      <c r="D4523" t="str">
        <f t="shared" si="1790"/>
        <v>WEST BETHESDA</v>
      </c>
      <c r="E4523" t="str">
        <f t="shared" si="1786"/>
        <v>MD</v>
      </c>
      <c r="F4523" t="str">
        <f t="shared" si="1787"/>
        <v>208175700</v>
      </c>
      <c r="G4523" t="str">
        <f t="shared" si="1780"/>
        <v>9500 MACARTHUR BLVD</v>
      </c>
      <c r="H4523" t="str">
        <f>T("CODE 5104 BLDG 2 RM 306B")</f>
        <v>CODE 5104 BLDG 2 RM 306B</v>
      </c>
      <c r="I4523" t="str">
        <f>T("WEST BETHESDA")</f>
        <v>WEST BETHESDA</v>
      </c>
      <c r="J4523" t="str">
        <f t="shared" si="1781"/>
        <v>MD</v>
      </c>
      <c r="K4523" t="str">
        <f>T("3012275484")</f>
        <v>3012275484</v>
      </c>
      <c r="L4523" t="str">
        <f>T("3012273837")</f>
        <v>3012273837</v>
      </c>
    </row>
    <row r="4524" spans="1:12" x14ac:dyDescent="0.35">
      <c r="A4524" t="str">
        <f t="shared" si="1789"/>
        <v>NSWC CARDEROCK</v>
      </c>
      <c r="B4524" t="str">
        <f t="shared" si="1788"/>
        <v>9500 MACARTHUR BLVD</v>
      </c>
      <c r="C4524" t="str">
        <f t="shared" si="1791"/>
        <v>CODE 5104 BLDG 2 RM 306B</v>
      </c>
      <c r="D4524" t="str">
        <f t="shared" si="1790"/>
        <v>WEST BETHESDA</v>
      </c>
      <c r="E4524" t="str">
        <f t="shared" si="1786"/>
        <v>MD</v>
      </c>
      <c r="F4524" t="str">
        <f t="shared" si="1787"/>
        <v>208175700</v>
      </c>
      <c r="G4524" t="str">
        <f t="shared" si="1780"/>
        <v>9500 MACARTHUR BLVD</v>
      </c>
      <c r="H4524" t="str">
        <f>T("CODE 809")</f>
        <v>CODE 809</v>
      </c>
      <c r="I4524" t="str">
        <f>T("W BETHESDA")</f>
        <v>W BETHESDA</v>
      </c>
      <c r="J4524" t="str">
        <f t="shared" si="1781"/>
        <v>MD</v>
      </c>
      <c r="K4524" t="str">
        <f t="shared" ref="K4524:K4536" si="1792">T("000000000000000000")</f>
        <v>000000000000000000</v>
      </c>
      <c r="L4524" t="str">
        <f>T("3012271419")</f>
        <v>3012271419</v>
      </c>
    </row>
    <row r="4525" spans="1:12" x14ac:dyDescent="0.35">
      <c r="A4525" t="str">
        <f t="shared" si="1789"/>
        <v>NSWC CARDEROCK</v>
      </c>
      <c r="B4525" t="str">
        <f t="shared" si="1788"/>
        <v>9500 MACARTHUR BLVD</v>
      </c>
      <c r="C4525" t="str">
        <f t="shared" si="1791"/>
        <v>CODE 5104 BLDG 2 RM 306B</v>
      </c>
      <c r="D4525" t="str">
        <f t="shared" si="1790"/>
        <v>WEST BETHESDA</v>
      </c>
      <c r="E4525" t="str">
        <f t="shared" si="1786"/>
        <v>MD</v>
      </c>
      <c r="F4525" t="str">
        <f t="shared" si="1787"/>
        <v>208175700</v>
      </c>
      <c r="G4525" t="str">
        <f t="shared" si="1780"/>
        <v>9500 MACARTHUR BLVD</v>
      </c>
      <c r="H4525" t="str">
        <f>T("CODE 809")</f>
        <v>CODE 809</v>
      </c>
      <c r="I4525" t="str">
        <f>T("W BETHESDA")</f>
        <v>W BETHESDA</v>
      </c>
      <c r="J4525" t="str">
        <f t="shared" si="1781"/>
        <v>MD</v>
      </c>
      <c r="K4525" t="str">
        <f t="shared" si="1792"/>
        <v>000000000000000000</v>
      </c>
      <c r="L4525" t="str">
        <f>T("3012271656")</f>
        <v>3012271656</v>
      </c>
    </row>
    <row r="4526" spans="1:12" x14ac:dyDescent="0.35">
      <c r="A4526" t="str">
        <f t="shared" si="1789"/>
        <v>NSWC CARDEROCK</v>
      </c>
      <c r="B4526" t="str">
        <f t="shared" si="1788"/>
        <v>9500 MACARTHUR BLVD</v>
      </c>
      <c r="C4526" t="str">
        <f t="shared" si="1791"/>
        <v>CODE 5104 BLDG 2 RM 306B</v>
      </c>
      <c r="D4526" t="str">
        <f t="shared" si="1790"/>
        <v>WEST BETHESDA</v>
      </c>
      <c r="E4526" t="str">
        <f t="shared" si="1786"/>
        <v>MD</v>
      </c>
      <c r="F4526" t="str">
        <f t="shared" si="1787"/>
        <v>208175700</v>
      </c>
      <c r="G4526" t="str">
        <f t="shared" si="1780"/>
        <v>9500 MACARTHUR BLVD</v>
      </c>
      <c r="H4526" t="str">
        <f>T("CODE 862")</f>
        <v>CODE 862</v>
      </c>
      <c r="I4526" t="str">
        <f>T("W BETHESDA")</f>
        <v>W BETHESDA</v>
      </c>
      <c r="J4526" t="str">
        <f t="shared" si="1781"/>
        <v>MD</v>
      </c>
      <c r="K4526" t="str">
        <f t="shared" si="1792"/>
        <v>000000000000000000</v>
      </c>
      <c r="L4526" t="str">
        <f>T("3012271243")</f>
        <v>3012271243</v>
      </c>
    </row>
    <row r="4527" spans="1:12" x14ac:dyDescent="0.35">
      <c r="A4527" t="str">
        <f t="shared" si="1789"/>
        <v>NSWC CARDEROCK</v>
      </c>
      <c r="B4527" t="str">
        <f t="shared" si="1788"/>
        <v>9500 MACARTHUR BLVD</v>
      </c>
      <c r="C4527" t="str">
        <f t="shared" si="1791"/>
        <v>CODE 5104 BLDG 2 RM 306B</v>
      </c>
      <c r="D4527" t="str">
        <f t="shared" si="1790"/>
        <v>WEST BETHESDA</v>
      </c>
      <c r="E4527" t="str">
        <f t="shared" si="1786"/>
        <v>MD</v>
      </c>
      <c r="F4527" t="str">
        <f t="shared" si="1787"/>
        <v>208175700</v>
      </c>
      <c r="G4527" t="str">
        <f t="shared" ref="G4527:G4558" si="1793">T("9500 MACARTHUR BLVD")</f>
        <v>9500 MACARTHUR BLVD</v>
      </c>
      <c r="H4527" t="str">
        <f>T("CODE 863")</f>
        <v>CODE 863</v>
      </c>
      <c r="I4527" t="str">
        <f>T("W BETHESDA")</f>
        <v>W BETHESDA</v>
      </c>
      <c r="J4527" t="str">
        <f t="shared" ref="J4527:J4562" si="1794">T("MD")</f>
        <v>MD</v>
      </c>
      <c r="K4527" t="str">
        <f t="shared" si="1792"/>
        <v>000000000000000000</v>
      </c>
      <c r="L4527" t="str">
        <f>T("3012275892")</f>
        <v>3012275892</v>
      </c>
    </row>
    <row r="4528" spans="1:12" x14ac:dyDescent="0.35">
      <c r="A4528" t="str">
        <f t="shared" si="1789"/>
        <v>NSWC CARDEROCK</v>
      </c>
      <c r="B4528" t="str">
        <f t="shared" si="1788"/>
        <v>9500 MACARTHUR BLVD</v>
      </c>
      <c r="C4528" t="str">
        <f>T("CODE 5510")</f>
        <v>CODE 5510</v>
      </c>
      <c r="D4528" t="str">
        <f t="shared" ref="D4528:D4536" si="1795">T("W. BETHESDA")</f>
        <v>W. BETHESDA</v>
      </c>
      <c r="E4528" t="str">
        <f t="shared" si="1786"/>
        <v>MD</v>
      </c>
      <c r="F4528" t="str">
        <f t="shared" si="1787"/>
        <v>208175700</v>
      </c>
      <c r="G4528" t="str">
        <f t="shared" si="1793"/>
        <v>9500 MACARTHUR BLVD</v>
      </c>
      <c r="H4528" t="str">
        <f>T("BLDG 18 RM 207B")</f>
        <v>BLDG 18 RM 207B</v>
      </c>
      <c r="I4528" t="str">
        <f>T("WEST BETHESDA")</f>
        <v>WEST BETHESDA</v>
      </c>
      <c r="J4528" t="str">
        <f t="shared" si="1794"/>
        <v>MD</v>
      </c>
      <c r="K4528" t="str">
        <f t="shared" si="1792"/>
        <v>000000000000000000</v>
      </c>
      <c r="L4528" t="str">
        <f>T("3012275920")</f>
        <v>3012275920</v>
      </c>
    </row>
    <row r="4529" spans="1:12" x14ac:dyDescent="0.35">
      <c r="A4529" t="str">
        <f t="shared" si="1789"/>
        <v>NSWC CARDEROCK</v>
      </c>
      <c r="B4529" t="str">
        <f t="shared" si="1788"/>
        <v>9500 MACARTHUR BLVD</v>
      </c>
      <c r="C4529" t="str">
        <f>T("CODE 5510")</f>
        <v>CODE 5510</v>
      </c>
      <c r="D4529" t="str">
        <f t="shared" si="1795"/>
        <v>W. BETHESDA</v>
      </c>
      <c r="E4529" t="str">
        <f t="shared" si="1786"/>
        <v>MD</v>
      </c>
      <c r="F4529" t="str">
        <f t="shared" si="1787"/>
        <v>208175700</v>
      </c>
      <c r="G4529" t="str">
        <f t="shared" si="1793"/>
        <v>9500 MACARTHUR BLVD</v>
      </c>
      <c r="H4529" t="str">
        <f>T("CODE 5510")</f>
        <v>CODE 5510</v>
      </c>
      <c r="I4529" t="str">
        <f>T("W. BETHESDA")</f>
        <v>W. BETHESDA</v>
      </c>
      <c r="J4529" t="str">
        <f t="shared" si="1794"/>
        <v>MD</v>
      </c>
      <c r="K4529" t="str">
        <f t="shared" si="1792"/>
        <v>000000000000000000</v>
      </c>
      <c r="L4529" t="str">
        <f>T("3012275119")</f>
        <v>3012275119</v>
      </c>
    </row>
    <row r="4530" spans="1:12" x14ac:dyDescent="0.35">
      <c r="A4530" t="str">
        <f t="shared" si="1789"/>
        <v>NSWC CARDEROCK</v>
      </c>
      <c r="B4530" t="str">
        <f t="shared" si="1788"/>
        <v>9500 MACARTHUR BLVD</v>
      </c>
      <c r="C4530" t="str">
        <f>T("CODE 5510")</f>
        <v>CODE 5510</v>
      </c>
      <c r="D4530" t="str">
        <f t="shared" si="1795"/>
        <v>W. BETHESDA</v>
      </c>
      <c r="E4530" t="str">
        <f t="shared" si="1786"/>
        <v>MD</v>
      </c>
      <c r="F4530" t="str">
        <f t="shared" si="1787"/>
        <v>208175700</v>
      </c>
      <c r="G4530" t="str">
        <f t="shared" si="1793"/>
        <v>9500 MACARTHUR BLVD</v>
      </c>
      <c r="H4530" t="str">
        <f>T("CODE 854")</f>
        <v>CODE 854</v>
      </c>
      <c r="I4530" t="str">
        <f>T("WEST BETHESDA")</f>
        <v>WEST BETHESDA</v>
      </c>
      <c r="J4530" t="str">
        <f t="shared" si="1794"/>
        <v>MD</v>
      </c>
      <c r="K4530" t="str">
        <f t="shared" si="1792"/>
        <v>000000000000000000</v>
      </c>
      <c r="L4530" t="str">
        <f>T("3012277007")</f>
        <v>3012277007</v>
      </c>
    </row>
    <row r="4531" spans="1:12" x14ac:dyDescent="0.35">
      <c r="A4531" t="str">
        <f t="shared" si="1789"/>
        <v>NSWC CARDEROCK</v>
      </c>
      <c r="B4531" t="str">
        <f t="shared" si="1788"/>
        <v>9500 MACARTHUR BLVD</v>
      </c>
      <c r="C4531" t="str">
        <f t="shared" ref="C4531:C4536" si="1796">T("CODE 60, BLDG 60, 3RD FLOOR")</f>
        <v>CODE 60, BLDG 60, 3RD FLOOR</v>
      </c>
      <c r="D4531" t="str">
        <f t="shared" si="1795"/>
        <v>W. BETHESDA</v>
      </c>
      <c r="E4531" t="str">
        <f t="shared" si="1786"/>
        <v>MD</v>
      </c>
      <c r="F4531" t="str">
        <f t="shared" si="1787"/>
        <v>208175700</v>
      </c>
      <c r="G4531" t="str">
        <f t="shared" si="1793"/>
        <v>9500 MACARTHUR BLVD</v>
      </c>
      <c r="H4531" t="str">
        <f>T("BLDG 60 2ND FLOOR")</f>
        <v>BLDG 60 2ND FLOOR</v>
      </c>
      <c r="I4531" t="str">
        <f>T("W BETHESDA")</f>
        <v>W BETHESDA</v>
      </c>
      <c r="J4531" t="str">
        <f t="shared" si="1794"/>
        <v>MD</v>
      </c>
      <c r="K4531" t="str">
        <f t="shared" si="1792"/>
        <v>000000000000000000</v>
      </c>
      <c r="L4531" t="str">
        <f>T("3012275112")</f>
        <v>3012275112</v>
      </c>
    </row>
    <row r="4532" spans="1:12" x14ac:dyDescent="0.35">
      <c r="A4532" t="str">
        <f t="shared" si="1789"/>
        <v>NSWC CARDEROCK</v>
      </c>
      <c r="B4532" t="str">
        <f t="shared" si="1788"/>
        <v>9500 MACARTHUR BLVD</v>
      </c>
      <c r="C4532" t="str">
        <f t="shared" si="1796"/>
        <v>CODE 60, BLDG 60, 3RD FLOOR</v>
      </c>
      <c r="D4532" t="str">
        <f t="shared" si="1795"/>
        <v>W. BETHESDA</v>
      </c>
      <c r="E4532" t="str">
        <f t="shared" si="1786"/>
        <v>MD</v>
      </c>
      <c r="F4532" t="str">
        <f t="shared" si="1787"/>
        <v>208175700</v>
      </c>
      <c r="G4532" t="str">
        <f t="shared" si="1793"/>
        <v>9500 MACARTHUR BLVD</v>
      </c>
      <c r="H4532" t="str">
        <f>T("CODE 60 BLDG 60 RM 350A")</f>
        <v>CODE 60 BLDG 60 RM 350A</v>
      </c>
      <c r="I4532" t="str">
        <f>T("W. BETHESDA")</f>
        <v>W. BETHESDA</v>
      </c>
      <c r="J4532" t="str">
        <f t="shared" si="1794"/>
        <v>MD</v>
      </c>
      <c r="K4532" t="str">
        <f t="shared" si="1792"/>
        <v>000000000000000000</v>
      </c>
      <c r="L4532" t="str">
        <f>T("3012275520")</f>
        <v>3012275520</v>
      </c>
    </row>
    <row r="4533" spans="1:12" x14ac:dyDescent="0.35">
      <c r="A4533" t="str">
        <f t="shared" si="1789"/>
        <v>NSWC CARDEROCK</v>
      </c>
      <c r="B4533" t="str">
        <f t="shared" si="1788"/>
        <v>9500 MACARTHUR BLVD</v>
      </c>
      <c r="C4533" t="str">
        <f t="shared" si="1796"/>
        <v>CODE 60, BLDG 60, 3RD FLOOR</v>
      </c>
      <c r="D4533" t="str">
        <f t="shared" si="1795"/>
        <v>W. BETHESDA</v>
      </c>
      <c r="E4533" t="str">
        <f t="shared" si="1786"/>
        <v>MD</v>
      </c>
      <c r="F4533" t="str">
        <f t="shared" si="1787"/>
        <v>208175700</v>
      </c>
      <c r="G4533" t="str">
        <f t="shared" si="1793"/>
        <v>9500 MACARTHUR BLVD</v>
      </c>
      <c r="H4533" t="str">
        <f>T("CODE 60, BLDG 60, 3RD FLOOR")</f>
        <v>CODE 60, BLDG 60, 3RD FLOOR</v>
      </c>
      <c r="I4533" t="str">
        <f>T("W. BETHESDA")</f>
        <v>W. BETHESDA</v>
      </c>
      <c r="J4533" t="str">
        <f t="shared" si="1794"/>
        <v>MD</v>
      </c>
      <c r="K4533" t="str">
        <f t="shared" si="1792"/>
        <v>000000000000000000</v>
      </c>
      <c r="L4533" t="str">
        <f>T("3012275620")</f>
        <v>3012275620</v>
      </c>
    </row>
    <row r="4534" spans="1:12" x14ac:dyDescent="0.35">
      <c r="A4534" t="str">
        <f t="shared" si="1789"/>
        <v>NSWC CARDEROCK</v>
      </c>
      <c r="B4534" t="str">
        <f t="shared" si="1788"/>
        <v>9500 MACARTHUR BLVD</v>
      </c>
      <c r="C4534" t="str">
        <f t="shared" si="1796"/>
        <v>CODE 60, BLDG 60, 3RD FLOOR</v>
      </c>
      <c r="D4534" t="str">
        <f t="shared" si="1795"/>
        <v>W. BETHESDA</v>
      </c>
      <c r="E4534" t="str">
        <f t="shared" si="1786"/>
        <v>MD</v>
      </c>
      <c r="F4534" t="str">
        <f t="shared" si="1787"/>
        <v>208175700</v>
      </c>
      <c r="G4534" t="str">
        <f t="shared" si="1793"/>
        <v>9500 MACARTHUR BLVD</v>
      </c>
      <c r="H4534" t="str">
        <f>T("CODE 61")</f>
        <v>CODE 61</v>
      </c>
      <c r="I4534" t="str">
        <f>T("BETHESDA")</f>
        <v>BETHESDA</v>
      </c>
      <c r="J4534" t="str">
        <f t="shared" si="1794"/>
        <v>MD</v>
      </c>
      <c r="K4534" t="str">
        <f t="shared" si="1792"/>
        <v>000000000000000000</v>
      </c>
      <c r="L4534" t="str">
        <f>T("3012274758")</f>
        <v>3012274758</v>
      </c>
    </row>
    <row r="4535" spans="1:12" x14ac:dyDescent="0.35">
      <c r="A4535" t="str">
        <f t="shared" si="1789"/>
        <v>NSWC CARDEROCK</v>
      </c>
      <c r="B4535" t="str">
        <f t="shared" si="1788"/>
        <v>9500 MACARTHUR BLVD</v>
      </c>
      <c r="C4535" t="str">
        <f t="shared" si="1796"/>
        <v>CODE 60, BLDG 60, 3RD FLOOR</v>
      </c>
      <c r="D4535" t="str">
        <f t="shared" si="1795"/>
        <v>W. BETHESDA</v>
      </c>
      <c r="E4535" t="str">
        <f t="shared" si="1786"/>
        <v>MD</v>
      </c>
      <c r="F4535" t="str">
        <f t="shared" si="1787"/>
        <v>208175700</v>
      </c>
      <c r="G4535" t="str">
        <f t="shared" si="1793"/>
        <v>9500 MACARTHUR BLVD</v>
      </c>
      <c r="H4535" t="str">
        <f>T("CODE 61 BLDG 60 RM 303")</f>
        <v>CODE 61 BLDG 60 RM 303</v>
      </c>
      <c r="I4535" t="str">
        <f>T("W. BETHESDA")</f>
        <v>W. BETHESDA</v>
      </c>
      <c r="J4535" t="str">
        <f t="shared" si="1794"/>
        <v>MD</v>
      </c>
      <c r="K4535" t="str">
        <f t="shared" si="1792"/>
        <v>000000000000000000</v>
      </c>
      <c r="L4535" t="str">
        <f>T("3012274799")</f>
        <v>3012274799</v>
      </c>
    </row>
    <row r="4536" spans="1:12" x14ac:dyDescent="0.35">
      <c r="A4536" t="str">
        <f t="shared" si="1789"/>
        <v>NSWC CARDEROCK</v>
      </c>
      <c r="B4536" t="str">
        <f t="shared" si="1788"/>
        <v>9500 MACARTHUR BLVD</v>
      </c>
      <c r="C4536" t="str">
        <f t="shared" si="1796"/>
        <v>CODE 60, BLDG 60, 3RD FLOOR</v>
      </c>
      <c r="D4536" t="str">
        <f t="shared" si="1795"/>
        <v>W. BETHESDA</v>
      </c>
      <c r="E4536" t="str">
        <f t="shared" si="1786"/>
        <v>MD</v>
      </c>
      <c r="F4536" t="str">
        <f t="shared" si="1787"/>
        <v>208175700</v>
      </c>
      <c r="G4536" t="str">
        <f t="shared" si="1793"/>
        <v>9500 MACARTHUR BLVD</v>
      </c>
      <c r="H4536" t="str">
        <f>T("CODE 6100")</f>
        <v>CODE 6100</v>
      </c>
      <c r="I4536" t="str">
        <f>T("W BETHESDA")</f>
        <v>W BETHESDA</v>
      </c>
      <c r="J4536" t="str">
        <f t="shared" si="1794"/>
        <v>MD</v>
      </c>
      <c r="K4536" t="str">
        <f t="shared" si="1792"/>
        <v>000000000000000000</v>
      </c>
      <c r="L4536" t="str">
        <f>T("3012275125")</f>
        <v>3012275125</v>
      </c>
    </row>
    <row r="4537" spans="1:12" x14ac:dyDescent="0.35">
      <c r="A4537" t="str">
        <f t="shared" si="1789"/>
        <v>NSWC CARDEROCK</v>
      </c>
      <c r="B4537" t="str">
        <f t="shared" si="1788"/>
        <v>9500 MACARTHUR BLVD</v>
      </c>
      <c r="C4537" t="str">
        <f>T("CODE 611")</f>
        <v>CODE 611</v>
      </c>
      <c r="D4537" t="str">
        <f>T("BETHESDA")</f>
        <v>BETHESDA</v>
      </c>
      <c r="E4537" t="str">
        <f t="shared" si="1786"/>
        <v>MD</v>
      </c>
      <c r="F4537" t="str">
        <f t="shared" si="1787"/>
        <v>208175700</v>
      </c>
      <c r="G4537" t="str">
        <f t="shared" si="1793"/>
        <v>9500 MACARTHUR BLVD</v>
      </c>
      <c r="H4537" t="str">
        <f>T("CODE 611")</f>
        <v>CODE 611</v>
      </c>
      <c r="I4537" t="str">
        <f>T("BETHESDA")</f>
        <v>BETHESDA</v>
      </c>
      <c r="J4537" t="str">
        <f t="shared" si="1794"/>
        <v>MD</v>
      </c>
      <c r="K4537" t="str">
        <f>T("3012275576")</f>
        <v>3012275576</v>
      </c>
      <c r="L4537" t="str">
        <f>T("3012274996")</f>
        <v>3012274996</v>
      </c>
    </row>
    <row r="4538" spans="1:12" x14ac:dyDescent="0.35">
      <c r="A4538" t="str">
        <f t="shared" si="1789"/>
        <v>NSWC CARDEROCK</v>
      </c>
      <c r="B4538" t="str">
        <f t="shared" si="1788"/>
        <v>9500 MACARTHUR BLVD</v>
      </c>
      <c r="C4538" t="str">
        <f>T("CODE 633 BLDG 60 RM 105")</f>
        <v>CODE 633 BLDG 60 RM 105</v>
      </c>
      <c r="D4538" t="str">
        <f>T("WEST BETHESDA")</f>
        <v>WEST BETHESDA</v>
      </c>
      <c r="E4538" t="str">
        <f t="shared" si="1786"/>
        <v>MD</v>
      </c>
      <c r="F4538" t="str">
        <f t="shared" si="1787"/>
        <v>208175700</v>
      </c>
      <c r="G4538" t="str">
        <f t="shared" si="1793"/>
        <v>9500 MACARTHUR BLVD</v>
      </c>
      <c r="H4538" t="str">
        <f>T("CODE 60")</f>
        <v>CODE 60</v>
      </c>
      <c r="I4538" t="str">
        <f>T("W. BETHESDA")</f>
        <v>W. BETHESDA</v>
      </c>
      <c r="J4538" t="str">
        <f t="shared" si="1794"/>
        <v>MD</v>
      </c>
      <c r="K4538" t="str">
        <f>T("000000000000000000")</f>
        <v>000000000000000000</v>
      </c>
      <c r="L4538" t="str">
        <f>T("3012274714")</f>
        <v>3012274714</v>
      </c>
    </row>
    <row r="4539" spans="1:12" x14ac:dyDescent="0.35">
      <c r="A4539" t="str">
        <f t="shared" si="1789"/>
        <v>NSWC CARDEROCK</v>
      </c>
      <c r="B4539" t="str">
        <f t="shared" si="1788"/>
        <v>9500 MACARTHUR BLVD</v>
      </c>
      <c r="C4539" t="str">
        <f>T("CODE 633 BLDG 60 RM 105")</f>
        <v>CODE 633 BLDG 60 RM 105</v>
      </c>
      <c r="D4539" t="str">
        <f>T("WEST BETHESDA")</f>
        <v>WEST BETHESDA</v>
      </c>
      <c r="E4539" t="str">
        <f t="shared" si="1786"/>
        <v>MD</v>
      </c>
      <c r="F4539" t="str">
        <f t="shared" si="1787"/>
        <v>208175700</v>
      </c>
      <c r="G4539" t="str">
        <f t="shared" si="1793"/>
        <v>9500 MACARTHUR BLVD</v>
      </c>
      <c r="H4539" t="str">
        <f>T("CODE 633 BLDG 60 RM 105")</f>
        <v>CODE 633 BLDG 60 RM 105</v>
      </c>
      <c r="I4539" t="str">
        <f>T("WEST BETHESDA")</f>
        <v>WEST BETHESDA</v>
      </c>
      <c r="J4539" t="str">
        <f t="shared" si="1794"/>
        <v>MD</v>
      </c>
      <c r="K4539" t="str">
        <f>T("3012275359")</f>
        <v>3012275359</v>
      </c>
      <c r="L4539" t="str">
        <f>T("3012275171")</f>
        <v>3012275171</v>
      </c>
    </row>
    <row r="4540" spans="1:12" x14ac:dyDescent="0.35">
      <c r="A4540" t="str">
        <f t="shared" si="1789"/>
        <v>NSWC CARDEROCK</v>
      </c>
      <c r="B4540" t="str">
        <f t="shared" si="1788"/>
        <v>9500 MACARTHUR BLVD</v>
      </c>
      <c r="C4540" t="str">
        <f>T("CODE 6330")</f>
        <v>CODE 6330</v>
      </c>
      <c r="D4540" t="str">
        <f>T("BETHESDA")</f>
        <v>BETHESDA</v>
      </c>
      <c r="E4540" t="str">
        <f t="shared" si="1786"/>
        <v>MD</v>
      </c>
      <c r="F4540" t="str">
        <f t="shared" si="1787"/>
        <v>208175700</v>
      </c>
      <c r="G4540" t="str">
        <f t="shared" si="1793"/>
        <v>9500 MACARTHUR BLVD</v>
      </c>
      <c r="H4540" t="str">
        <f>T("CODE 6330")</f>
        <v>CODE 6330</v>
      </c>
      <c r="I4540" t="str">
        <f>T("BETHESDA")</f>
        <v>BETHESDA</v>
      </c>
      <c r="J4540" t="str">
        <f t="shared" si="1794"/>
        <v>MD</v>
      </c>
      <c r="K4540" t="str">
        <f>T("")</f>
        <v/>
      </c>
      <c r="L4540" t="str">
        <f>T("3012275182")</f>
        <v>3012275182</v>
      </c>
    </row>
    <row r="4541" spans="1:12" x14ac:dyDescent="0.35">
      <c r="A4541" t="str">
        <f t="shared" si="1789"/>
        <v>NSWC CARDEROCK</v>
      </c>
      <c r="B4541" t="str">
        <f t="shared" si="1788"/>
        <v>9500 MACARTHUR BLVD</v>
      </c>
      <c r="C4541" t="str">
        <f>T("CODE 6630")</f>
        <v>CODE 6630</v>
      </c>
      <c r="D4541" t="str">
        <f>T("WEST BETHESDA")</f>
        <v>WEST BETHESDA</v>
      </c>
      <c r="E4541" t="str">
        <f t="shared" si="1786"/>
        <v>MD</v>
      </c>
      <c r="F4541" t="str">
        <f t="shared" si="1787"/>
        <v>208175700</v>
      </c>
      <c r="G4541" t="str">
        <f t="shared" si="1793"/>
        <v>9500 MACARTHUR BLVD</v>
      </c>
      <c r="H4541" t="str">
        <f>T("BLDG 19 RM A126")</f>
        <v>BLDG 19 RM A126</v>
      </c>
      <c r="I4541" t="str">
        <f>T("BETHESDA")</f>
        <v>BETHESDA</v>
      </c>
      <c r="J4541" t="str">
        <f t="shared" si="1794"/>
        <v>MD</v>
      </c>
      <c r="K4541" t="str">
        <f>T("000000000000000000")</f>
        <v>000000000000000000</v>
      </c>
      <c r="L4541" t="str">
        <f>T("3012273968")</f>
        <v>3012273968</v>
      </c>
    </row>
    <row r="4542" spans="1:12" x14ac:dyDescent="0.35">
      <c r="A4542" t="str">
        <f t="shared" si="1789"/>
        <v>NSWC CARDEROCK</v>
      </c>
      <c r="B4542" t="str">
        <f t="shared" si="1788"/>
        <v>9500 MACARTHUR BLVD</v>
      </c>
      <c r="C4542" t="str">
        <f>T("CODE 6630")</f>
        <v>CODE 6630</v>
      </c>
      <c r="D4542" t="str">
        <f>T("WEST BETHESDA")</f>
        <v>WEST BETHESDA</v>
      </c>
      <c r="E4542" t="str">
        <f t="shared" si="1786"/>
        <v>MD</v>
      </c>
      <c r="F4542" t="str">
        <f t="shared" si="1787"/>
        <v>208175700</v>
      </c>
      <c r="G4542" t="str">
        <f t="shared" si="1793"/>
        <v>9500 MACARTHUR BLVD</v>
      </c>
      <c r="H4542" t="str">
        <f>T("CODE 6630")</f>
        <v>CODE 6630</v>
      </c>
      <c r="I4542" t="str">
        <f>T("WEST BETHESDA")</f>
        <v>WEST BETHESDA</v>
      </c>
      <c r="J4542" t="str">
        <f t="shared" si="1794"/>
        <v>MD</v>
      </c>
      <c r="K4542" t="str">
        <f>T("3012275702")</f>
        <v>3012275702</v>
      </c>
      <c r="L4542" t="str">
        <f>T("3012275390")</f>
        <v>3012275390</v>
      </c>
    </row>
    <row r="4543" spans="1:12" x14ac:dyDescent="0.35">
      <c r="A4543" t="str">
        <f t="shared" si="1789"/>
        <v>NSWC CARDEROCK</v>
      </c>
      <c r="B4543" t="str">
        <f t="shared" si="1788"/>
        <v>9500 MACARTHUR BLVD</v>
      </c>
      <c r="C4543" t="str">
        <f>T("CODE 70 BLDG 121 RM 214A")</f>
        <v>CODE 70 BLDG 121 RM 214A</v>
      </c>
      <c r="D4543" t="str">
        <f>T("WEST BETHESDA")</f>
        <v>WEST BETHESDA</v>
      </c>
      <c r="E4543" t="str">
        <f t="shared" si="1786"/>
        <v>MD</v>
      </c>
      <c r="F4543" t="str">
        <f t="shared" si="1787"/>
        <v>208175700</v>
      </c>
      <c r="G4543" t="str">
        <f t="shared" si="1793"/>
        <v>9500 MACARTHUR BLVD</v>
      </c>
      <c r="H4543" t="str">
        <f>T("CODE 70")</f>
        <v>CODE 70</v>
      </c>
      <c r="I4543" t="str">
        <f>T("BETHESDA")</f>
        <v>BETHESDA</v>
      </c>
      <c r="J4543" t="str">
        <f t="shared" si="1794"/>
        <v>MD</v>
      </c>
      <c r="K4543" t="str">
        <f t="shared" ref="K4543:K4548" si="1797">T("000000000000000000")</f>
        <v>000000000000000000</v>
      </c>
      <c r="L4543" t="str">
        <f>T("3012271351")</f>
        <v>3012271351</v>
      </c>
    </row>
    <row r="4544" spans="1:12" x14ac:dyDescent="0.35">
      <c r="A4544" t="str">
        <f t="shared" si="1789"/>
        <v>NSWC CARDEROCK</v>
      </c>
      <c r="B4544" t="str">
        <f t="shared" si="1788"/>
        <v>9500 MACARTHUR BLVD</v>
      </c>
      <c r="C4544" t="str">
        <f>T("CODE 70 BLDG 121 RM 214A")</f>
        <v>CODE 70 BLDG 121 RM 214A</v>
      </c>
      <c r="D4544" t="str">
        <f>T("WEST BETHESDA")</f>
        <v>WEST BETHESDA</v>
      </c>
      <c r="E4544" t="str">
        <f t="shared" ref="E4544:E4562" si="1798">T("MD")</f>
        <v>MD</v>
      </c>
      <c r="F4544" t="str">
        <f t="shared" ref="F4544:F4562" si="1799">T("208175700")</f>
        <v>208175700</v>
      </c>
      <c r="G4544" t="str">
        <f t="shared" si="1793"/>
        <v>9500 MACARTHUR BLVD</v>
      </c>
      <c r="H4544" t="str">
        <f>T("CODE 70 BLDG 121 RM 214A")</f>
        <v>CODE 70 BLDG 121 RM 214A</v>
      </c>
      <c r="I4544" t="str">
        <f>T("WEST BETHESDA")</f>
        <v>WEST BETHESDA</v>
      </c>
      <c r="J4544" t="str">
        <f t="shared" si="1794"/>
        <v>MD</v>
      </c>
      <c r="K4544" t="str">
        <f t="shared" si="1797"/>
        <v>000000000000000000</v>
      </c>
      <c r="L4544" t="str">
        <f>T("3012271385")</f>
        <v>3012271385</v>
      </c>
    </row>
    <row r="4545" spans="1:12" x14ac:dyDescent="0.35">
      <c r="A4545" t="str">
        <f t="shared" si="1789"/>
        <v>NSWC CARDEROCK</v>
      </c>
      <c r="B4545" t="str">
        <f t="shared" si="1788"/>
        <v>9500 MACARTHUR BLVD</v>
      </c>
      <c r="C4545" t="str">
        <f>T("CODE 7201")</f>
        <v>CODE 7201</v>
      </c>
      <c r="D4545" t="str">
        <f>T("W BETHESDA")</f>
        <v>W BETHESDA</v>
      </c>
      <c r="E4545" t="str">
        <f t="shared" si="1798"/>
        <v>MD</v>
      </c>
      <c r="F4545" t="str">
        <f t="shared" si="1799"/>
        <v>208175700</v>
      </c>
      <c r="G4545" t="str">
        <f t="shared" si="1793"/>
        <v>9500 MACARTHUR BLVD</v>
      </c>
      <c r="H4545" t="str">
        <f>T("CODE 7201")</f>
        <v>CODE 7201</v>
      </c>
      <c r="I4545" t="str">
        <f>T("W BETHESDA")</f>
        <v>W BETHESDA</v>
      </c>
      <c r="J4545" t="str">
        <f t="shared" si="1794"/>
        <v>MD</v>
      </c>
      <c r="K4545" t="str">
        <f t="shared" si="1797"/>
        <v>000000000000000000</v>
      </c>
      <c r="L4545" t="str">
        <f>T("3012273537")</f>
        <v>3012273537</v>
      </c>
    </row>
    <row r="4546" spans="1:12" x14ac:dyDescent="0.35">
      <c r="A4546" t="str">
        <f t="shared" si="1789"/>
        <v>NSWC CARDEROCK</v>
      </c>
      <c r="B4546" t="str">
        <f t="shared" si="1788"/>
        <v>9500 MACARTHUR BLVD</v>
      </c>
      <c r="C4546" t="str">
        <f>T("CODE 7201")</f>
        <v>CODE 7201</v>
      </c>
      <c r="D4546" t="str">
        <f>T("W BETHESDA")</f>
        <v>W BETHESDA</v>
      </c>
      <c r="E4546" t="str">
        <f t="shared" si="1798"/>
        <v>MD</v>
      </c>
      <c r="F4546" t="str">
        <f t="shared" si="1799"/>
        <v>208175700</v>
      </c>
      <c r="G4546" t="str">
        <f t="shared" si="1793"/>
        <v>9500 MACARTHUR BLVD</v>
      </c>
      <c r="H4546" t="str">
        <f>T("CODE 7201")</f>
        <v>CODE 7201</v>
      </c>
      <c r="I4546" t="str">
        <f>T("W BETHESDA")</f>
        <v>W BETHESDA</v>
      </c>
      <c r="J4546" t="str">
        <f t="shared" si="1794"/>
        <v>MD</v>
      </c>
      <c r="K4546" t="str">
        <f t="shared" si="1797"/>
        <v>000000000000000000</v>
      </c>
      <c r="L4546" t="str">
        <f>T("3012275623")</f>
        <v>3012275623</v>
      </c>
    </row>
    <row r="4547" spans="1:12" x14ac:dyDescent="0.35">
      <c r="A4547" t="str">
        <f t="shared" si="1789"/>
        <v>NSWC CARDEROCK</v>
      </c>
      <c r="B4547" t="str">
        <f t="shared" ref="B4547:B4555" si="1800">T("9500 MACARTHUR BLVD")</f>
        <v>9500 MACARTHUR BLVD</v>
      </c>
      <c r="C4547" t="str">
        <f>T("CODE 7201")</f>
        <v>CODE 7201</v>
      </c>
      <c r="D4547" t="str">
        <f>T("W BETHESDA")</f>
        <v>W BETHESDA</v>
      </c>
      <c r="E4547" t="str">
        <f t="shared" si="1798"/>
        <v>MD</v>
      </c>
      <c r="F4547" t="str">
        <f t="shared" si="1799"/>
        <v>208175700</v>
      </c>
      <c r="G4547" t="str">
        <f t="shared" si="1793"/>
        <v>9500 MACARTHUR BLVD</v>
      </c>
      <c r="H4547" t="str">
        <f>T("CODE 7209")</f>
        <v>CODE 7209</v>
      </c>
      <c r="I4547" t="str">
        <f>T("W BETHESDA")</f>
        <v>W BETHESDA</v>
      </c>
      <c r="J4547" t="str">
        <f t="shared" si="1794"/>
        <v>MD</v>
      </c>
      <c r="K4547" t="str">
        <f t="shared" si="1797"/>
        <v>000000000000000000</v>
      </c>
      <c r="L4547" t="str">
        <f>T("3012271829")</f>
        <v>3012271829</v>
      </c>
    </row>
    <row r="4548" spans="1:12" x14ac:dyDescent="0.35">
      <c r="A4548" t="str">
        <f t="shared" si="1789"/>
        <v>NSWC CARDEROCK</v>
      </c>
      <c r="B4548" t="str">
        <f t="shared" si="1800"/>
        <v>9500 MACARTHUR BLVD</v>
      </c>
      <c r="C4548" t="str">
        <f>T("CODE 732 BLDG 31 RM 1")</f>
        <v>CODE 732 BLDG 31 RM 1</v>
      </c>
      <c r="D4548" t="str">
        <f>T("WEST BETHESDA")</f>
        <v>WEST BETHESDA</v>
      </c>
      <c r="E4548" t="str">
        <f t="shared" si="1798"/>
        <v>MD</v>
      </c>
      <c r="F4548" t="str">
        <f t="shared" si="1799"/>
        <v>208175700</v>
      </c>
      <c r="G4548" t="str">
        <f t="shared" si="1793"/>
        <v>9500 MACARTHUR BLVD</v>
      </c>
      <c r="H4548" t="str">
        <f>T("")</f>
        <v/>
      </c>
      <c r="I4548" t="str">
        <f>T("BETHESDA")</f>
        <v>BETHESDA</v>
      </c>
      <c r="J4548" t="str">
        <f t="shared" si="1794"/>
        <v>MD</v>
      </c>
      <c r="K4548" t="str">
        <f t="shared" si="1797"/>
        <v>000000000000000000</v>
      </c>
      <c r="L4548" t="str">
        <f>T("3012273052")</f>
        <v>3012273052</v>
      </c>
    </row>
    <row r="4549" spans="1:12" x14ac:dyDescent="0.35">
      <c r="A4549" t="str">
        <f t="shared" si="1789"/>
        <v>NSWC CARDEROCK</v>
      </c>
      <c r="B4549" t="str">
        <f t="shared" si="1800"/>
        <v>9500 MACARTHUR BLVD</v>
      </c>
      <c r="C4549" t="str">
        <f>T("CODE 732 BLDG 31 RM 1")</f>
        <v>CODE 732 BLDG 31 RM 1</v>
      </c>
      <c r="D4549" t="str">
        <f>T("WEST BETHESDA")</f>
        <v>WEST BETHESDA</v>
      </c>
      <c r="E4549" t="str">
        <f t="shared" si="1798"/>
        <v>MD</v>
      </c>
      <c r="F4549" t="str">
        <f t="shared" si="1799"/>
        <v>208175700</v>
      </c>
      <c r="G4549" t="str">
        <f t="shared" si="1793"/>
        <v>9500 MACARTHUR BLVD</v>
      </c>
      <c r="H4549" t="str">
        <f>T("CODE 732 BLDG 31 RM 1")</f>
        <v>CODE 732 BLDG 31 RM 1</v>
      </c>
      <c r="I4549" t="str">
        <f>T("WEST BETHESDA")</f>
        <v>WEST BETHESDA</v>
      </c>
      <c r="J4549" t="str">
        <f t="shared" si="1794"/>
        <v>MD</v>
      </c>
      <c r="K4549" t="str">
        <f>T("3012272997")</f>
        <v>3012272997</v>
      </c>
      <c r="L4549" t="str">
        <f>T("3012274327")</f>
        <v>3012274327</v>
      </c>
    </row>
    <row r="4550" spans="1:12" x14ac:dyDescent="0.35">
      <c r="A4550" t="str">
        <f t="shared" ref="A4550:A4567" si="1801">T("NSWC CARDEROCK")</f>
        <v>NSWC CARDEROCK</v>
      </c>
      <c r="B4550" t="str">
        <f t="shared" si="1800"/>
        <v>9500 MACARTHUR BLVD</v>
      </c>
      <c r="C4550" t="str">
        <f>T("CODE 743 BLDG 3 RM 110M")</f>
        <v>CODE 743 BLDG 3 RM 110M</v>
      </c>
      <c r="D4550" t="str">
        <f>T("BETHESDA")</f>
        <v>BETHESDA</v>
      </c>
      <c r="E4550" t="str">
        <f t="shared" si="1798"/>
        <v>MD</v>
      </c>
      <c r="F4550" t="str">
        <f t="shared" si="1799"/>
        <v>208175700</v>
      </c>
      <c r="G4550" t="str">
        <f t="shared" si="1793"/>
        <v>9500 MACARTHUR BLVD</v>
      </c>
      <c r="H4550" t="str">
        <f>T("CODE 743 BLDG 3 RM 110M")</f>
        <v>CODE 743 BLDG 3 RM 110M</v>
      </c>
      <c r="I4550" t="str">
        <f>T("BETHESDA")</f>
        <v>BETHESDA</v>
      </c>
      <c r="J4550" t="str">
        <f t="shared" si="1794"/>
        <v>MD</v>
      </c>
      <c r="K4550" t="str">
        <f>T("3012274511")</f>
        <v>3012274511</v>
      </c>
      <c r="L4550" t="str">
        <f>T("3012271970")</f>
        <v>3012271970</v>
      </c>
    </row>
    <row r="4551" spans="1:12" x14ac:dyDescent="0.35">
      <c r="A4551" t="str">
        <f t="shared" si="1801"/>
        <v>NSWC CARDEROCK</v>
      </c>
      <c r="B4551" t="str">
        <f t="shared" si="1800"/>
        <v>9500 MACARTHUR BLVD</v>
      </c>
      <c r="C4551" t="str">
        <f>T("CODE 7501")</f>
        <v>CODE 7501</v>
      </c>
      <c r="D4551" t="str">
        <f>T("W BETHESDA")</f>
        <v>W BETHESDA</v>
      </c>
      <c r="E4551" t="str">
        <f t="shared" si="1798"/>
        <v>MD</v>
      </c>
      <c r="F4551" t="str">
        <f t="shared" si="1799"/>
        <v>208175700</v>
      </c>
      <c r="G4551" t="str">
        <f t="shared" si="1793"/>
        <v>9500 MACARTHUR BLVD</v>
      </c>
      <c r="H4551" t="str">
        <f>T("")</f>
        <v/>
      </c>
      <c r="I4551" t="str">
        <f>T("W BETHESDA")</f>
        <v>W BETHESDA</v>
      </c>
      <c r="J4551" t="str">
        <f t="shared" si="1794"/>
        <v>MD</v>
      </c>
      <c r="K4551" t="str">
        <f t="shared" ref="K4551:K4558" si="1802">T("000000000000000000")</f>
        <v>000000000000000000</v>
      </c>
      <c r="L4551" t="str">
        <f>T("3012277033")</f>
        <v>3012277033</v>
      </c>
    </row>
    <row r="4552" spans="1:12" x14ac:dyDescent="0.35">
      <c r="A4552" t="str">
        <f t="shared" si="1801"/>
        <v>NSWC CARDEROCK</v>
      </c>
      <c r="B4552" t="str">
        <f t="shared" si="1800"/>
        <v>9500 MACARTHUR BLVD</v>
      </c>
      <c r="C4552" t="str">
        <f>T("CODE 7501")</f>
        <v>CODE 7501</v>
      </c>
      <c r="D4552" t="str">
        <f>T("W BETHESDA")</f>
        <v>W BETHESDA</v>
      </c>
      <c r="E4552" t="str">
        <f t="shared" si="1798"/>
        <v>MD</v>
      </c>
      <c r="F4552" t="str">
        <f t="shared" si="1799"/>
        <v>208175700</v>
      </c>
      <c r="G4552" t="str">
        <f t="shared" si="1793"/>
        <v>9500 MACARTHUR BLVD</v>
      </c>
      <c r="H4552" t="str">
        <f>T("BLDG 80 RM 316")</f>
        <v>BLDG 80 RM 316</v>
      </c>
      <c r="I4552" t="str">
        <f>T("W BETHESDA")</f>
        <v>W BETHESDA</v>
      </c>
      <c r="J4552" t="str">
        <f t="shared" si="1794"/>
        <v>MD</v>
      </c>
      <c r="K4552" t="str">
        <f t="shared" si="1802"/>
        <v>000000000000000000</v>
      </c>
      <c r="L4552" t="str">
        <f>T("3012277026")</f>
        <v>3012277026</v>
      </c>
    </row>
    <row r="4553" spans="1:12" x14ac:dyDescent="0.35">
      <c r="A4553" t="str">
        <f t="shared" si="1801"/>
        <v>NSWC CARDEROCK</v>
      </c>
      <c r="B4553" t="str">
        <f t="shared" si="1800"/>
        <v>9500 MACARTHUR BLVD</v>
      </c>
      <c r="C4553" t="str">
        <f>T("CODE 7501")</f>
        <v>CODE 7501</v>
      </c>
      <c r="D4553" t="str">
        <f>T("W BETHESDA")</f>
        <v>W BETHESDA</v>
      </c>
      <c r="E4553" t="str">
        <f t="shared" si="1798"/>
        <v>MD</v>
      </c>
      <c r="F4553" t="str">
        <f t="shared" si="1799"/>
        <v>208175700</v>
      </c>
      <c r="G4553" t="str">
        <f t="shared" si="1793"/>
        <v>9500 MACARTHUR BLVD</v>
      </c>
      <c r="H4553" t="str">
        <f>T("CODE 7209")</f>
        <v>CODE 7209</v>
      </c>
      <c r="I4553" t="str">
        <f>T("W BETHESDA")</f>
        <v>W BETHESDA</v>
      </c>
      <c r="J4553" t="str">
        <f t="shared" si="1794"/>
        <v>MD</v>
      </c>
      <c r="K4553" t="str">
        <f t="shared" si="1802"/>
        <v>000000000000000000</v>
      </c>
      <c r="L4553" t="str">
        <f>T("3012271829")</f>
        <v>3012271829</v>
      </c>
    </row>
    <row r="4554" spans="1:12" x14ac:dyDescent="0.35">
      <c r="A4554" t="str">
        <f t="shared" si="1801"/>
        <v>NSWC CARDEROCK</v>
      </c>
      <c r="B4554" t="str">
        <f t="shared" si="1800"/>
        <v>9500 MACARTHUR BLVD</v>
      </c>
      <c r="C4554" t="str">
        <f>T("CODE 7501")</f>
        <v>CODE 7501</v>
      </c>
      <c r="D4554" t="str">
        <f>T("W BETHESDA")</f>
        <v>W BETHESDA</v>
      </c>
      <c r="E4554" t="str">
        <f t="shared" si="1798"/>
        <v>MD</v>
      </c>
      <c r="F4554" t="str">
        <f t="shared" si="1799"/>
        <v>208175700</v>
      </c>
      <c r="G4554" t="str">
        <f t="shared" si="1793"/>
        <v>9500 MACARTHUR BLVD</v>
      </c>
      <c r="H4554" t="str">
        <f>T("CODE 7501")</f>
        <v>CODE 7501</v>
      </c>
      <c r="I4554" t="str">
        <f>T("W BETHESDA")</f>
        <v>W BETHESDA</v>
      </c>
      <c r="J4554" t="str">
        <f t="shared" si="1794"/>
        <v>MD</v>
      </c>
      <c r="K4554" t="str">
        <f t="shared" si="1802"/>
        <v>000000000000000000</v>
      </c>
      <c r="L4554" t="str">
        <f>T("3012270480")</f>
        <v>3012270480</v>
      </c>
    </row>
    <row r="4555" spans="1:12" x14ac:dyDescent="0.35">
      <c r="A4555" t="str">
        <f t="shared" si="1801"/>
        <v>NSWC CARDEROCK</v>
      </c>
      <c r="B4555" t="str">
        <f t="shared" si="1800"/>
        <v>9500 MACARTHUR BLVD</v>
      </c>
      <c r="C4555" t="str">
        <f>T("CODE 7530")</f>
        <v>CODE 7530</v>
      </c>
      <c r="D4555" t="str">
        <f>T("W. BETHESDA")</f>
        <v>W. BETHESDA</v>
      </c>
      <c r="E4555" t="str">
        <f t="shared" si="1798"/>
        <v>MD</v>
      </c>
      <c r="F4555" t="str">
        <f t="shared" si="1799"/>
        <v>208175700</v>
      </c>
      <c r="G4555" t="str">
        <f t="shared" si="1793"/>
        <v>9500 MACARTHUR BLVD</v>
      </c>
      <c r="H4555" t="str">
        <f>T("CODE 7530")</f>
        <v>CODE 7530</v>
      </c>
      <c r="I4555" t="str">
        <f>T("W. BETHESDA")</f>
        <v>W. BETHESDA</v>
      </c>
      <c r="J4555" t="str">
        <f t="shared" si="1794"/>
        <v>MD</v>
      </c>
      <c r="K4555" t="str">
        <f t="shared" si="1802"/>
        <v>000000000000000000</v>
      </c>
      <c r="L4555" t="str">
        <f>T("3012277043")</f>
        <v>3012277043</v>
      </c>
    </row>
    <row r="4556" spans="1:12" x14ac:dyDescent="0.35">
      <c r="A4556" t="str">
        <f t="shared" si="1801"/>
        <v>NSWC CARDEROCK</v>
      </c>
      <c r="B4556" t="str">
        <f>T("9500 MACARTHUR BLVD CODE 3")</f>
        <v>9500 MACARTHUR BLVD CODE 3</v>
      </c>
      <c r="C4556" t="str">
        <f t="shared" ref="C4556:C4562" si="1803">T("")</f>
        <v/>
      </c>
      <c r="D4556" t="str">
        <f>T("BETHESDA")</f>
        <v>BETHESDA</v>
      </c>
      <c r="E4556" t="str">
        <f t="shared" si="1798"/>
        <v>MD</v>
      </c>
      <c r="F4556" t="str">
        <f t="shared" si="1799"/>
        <v>208175700</v>
      </c>
      <c r="G4556" t="str">
        <f t="shared" si="1793"/>
        <v>9500 MACARTHUR BLVD</v>
      </c>
      <c r="H4556" t="str">
        <f>T("BLDG 18 RM 129")</f>
        <v>BLDG 18 RM 129</v>
      </c>
      <c r="I4556" t="str">
        <f>T("W BETHESDA")</f>
        <v>W BETHESDA</v>
      </c>
      <c r="J4556" t="str">
        <f t="shared" si="1794"/>
        <v>MD</v>
      </c>
      <c r="K4556" t="str">
        <f t="shared" si="1802"/>
        <v>000000000000000000</v>
      </c>
      <c r="L4556" t="str">
        <f>T("3012275892")</f>
        <v>3012275892</v>
      </c>
    </row>
    <row r="4557" spans="1:12" x14ac:dyDescent="0.35">
      <c r="A4557" t="str">
        <f t="shared" si="1801"/>
        <v>NSWC CARDEROCK</v>
      </c>
      <c r="B4557" t="str">
        <f>T("9500 MACARTHUR BLVD CODE 3")</f>
        <v>9500 MACARTHUR BLVD CODE 3</v>
      </c>
      <c r="C4557" t="str">
        <f t="shared" si="1803"/>
        <v/>
      </c>
      <c r="D4557" t="str">
        <f>T("BETHESDA")</f>
        <v>BETHESDA</v>
      </c>
      <c r="E4557" t="str">
        <f t="shared" si="1798"/>
        <v>MD</v>
      </c>
      <c r="F4557" t="str">
        <f t="shared" si="1799"/>
        <v>208175700</v>
      </c>
      <c r="G4557" t="str">
        <f t="shared" si="1793"/>
        <v>9500 MACARTHUR BLVD</v>
      </c>
      <c r="H4557" t="str">
        <f>T("BLDG 18 ROOM 127")</f>
        <v>BLDG 18 ROOM 127</v>
      </c>
      <c r="I4557" t="str">
        <f>T("WEST BETHESDA")</f>
        <v>WEST BETHESDA</v>
      </c>
      <c r="J4557" t="str">
        <f t="shared" si="1794"/>
        <v>MD</v>
      </c>
      <c r="K4557" t="str">
        <f t="shared" si="1802"/>
        <v>000000000000000000</v>
      </c>
      <c r="L4557" t="str">
        <f>T("3012271243")</f>
        <v>3012271243</v>
      </c>
    </row>
    <row r="4558" spans="1:12" x14ac:dyDescent="0.35">
      <c r="A4558" t="str">
        <f t="shared" si="1801"/>
        <v>NSWC CARDEROCK</v>
      </c>
      <c r="B4558" t="str">
        <f>T("9500 MACARTHUR BLVD CODE 3")</f>
        <v>9500 MACARTHUR BLVD CODE 3</v>
      </c>
      <c r="C4558" t="str">
        <f t="shared" si="1803"/>
        <v/>
      </c>
      <c r="D4558" t="str">
        <f>T("BETHESDA")</f>
        <v>BETHESDA</v>
      </c>
      <c r="E4558" t="str">
        <f t="shared" si="1798"/>
        <v>MD</v>
      </c>
      <c r="F4558" t="str">
        <f t="shared" si="1799"/>
        <v>208175700</v>
      </c>
      <c r="G4558" t="str">
        <f t="shared" si="1793"/>
        <v>9500 MACARTHUR BLVD</v>
      </c>
      <c r="H4558" t="str">
        <f>T("CODE 809")</f>
        <v>CODE 809</v>
      </c>
      <c r="I4558" t="str">
        <f>T("W BETHESDA")</f>
        <v>W BETHESDA</v>
      </c>
      <c r="J4558" t="str">
        <f t="shared" si="1794"/>
        <v>MD</v>
      </c>
      <c r="K4558" t="str">
        <f t="shared" si="1802"/>
        <v>000000000000000000</v>
      </c>
      <c r="L4558" t="str">
        <f>T("3012271419")</f>
        <v>3012271419</v>
      </c>
    </row>
    <row r="4559" spans="1:12" x14ac:dyDescent="0.35">
      <c r="A4559" t="str">
        <f t="shared" si="1801"/>
        <v>NSWC CARDEROCK</v>
      </c>
      <c r="B4559" t="str">
        <f>T("9500 MACARTHUR BLVD CODE 3")</f>
        <v>9500 MACARTHUR BLVD CODE 3</v>
      </c>
      <c r="C4559" t="str">
        <f t="shared" si="1803"/>
        <v/>
      </c>
      <c r="D4559" t="str">
        <f>T("BETHESDA")</f>
        <v>BETHESDA</v>
      </c>
      <c r="E4559" t="str">
        <f t="shared" si="1798"/>
        <v>MD</v>
      </c>
      <c r="F4559" t="str">
        <f t="shared" si="1799"/>
        <v>208175700</v>
      </c>
      <c r="G4559" t="str">
        <f>T("9500 MACARTHUR BLVD CODE 3")</f>
        <v>9500 MACARTHUR BLVD CODE 3</v>
      </c>
      <c r="H4559" t="str">
        <f>T("")</f>
        <v/>
      </c>
      <c r="I4559" t="str">
        <f>T("BETHESDA")</f>
        <v>BETHESDA</v>
      </c>
      <c r="J4559" t="str">
        <f t="shared" si="1794"/>
        <v>MD</v>
      </c>
      <c r="K4559" t="str">
        <f>T("")</f>
        <v/>
      </c>
      <c r="L4559" t="str">
        <f>T("3012271599")</f>
        <v>3012271599</v>
      </c>
    </row>
    <row r="4560" spans="1:12" x14ac:dyDescent="0.35">
      <c r="A4560" t="str">
        <f t="shared" si="1801"/>
        <v>NSWC CARDEROCK</v>
      </c>
      <c r="B4560" t="str">
        <f>T("9500 MACARTHUR BLVD CODE 85")</f>
        <v>9500 MACARTHUR BLVD CODE 85</v>
      </c>
      <c r="C4560" t="str">
        <f t="shared" si="1803"/>
        <v/>
      </c>
      <c r="D4560" t="str">
        <f>T("W BETHESDA")</f>
        <v>W BETHESDA</v>
      </c>
      <c r="E4560" t="str">
        <f t="shared" si="1798"/>
        <v>MD</v>
      </c>
      <c r="F4560" t="str">
        <f t="shared" si="1799"/>
        <v>208175700</v>
      </c>
      <c r="G4560" t="str">
        <f>T("9500 MACARTHUR BLVD")</f>
        <v>9500 MACARTHUR BLVD</v>
      </c>
      <c r="H4560" t="str">
        <f>T("CODE 852")</f>
        <v>CODE 852</v>
      </c>
      <c r="I4560" t="str">
        <f>T("W BETHESDA")</f>
        <v>W BETHESDA</v>
      </c>
      <c r="J4560" t="str">
        <f t="shared" si="1794"/>
        <v>MD</v>
      </c>
      <c r="K4560" t="str">
        <f>T("000000000000000000")</f>
        <v>000000000000000000</v>
      </c>
      <c r="L4560" t="str">
        <f>T("3012275920")</f>
        <v>3012275920</v>
      </c>
    </row>
    <row r="4561" spans="1:12" x14ac:dyDescent="0.35">
      <c r="A4561" t="str">
        <f t="shared" si="1801"/>
        <v>NSWC CARDEROCK</v>
      </c>
      <c r="B4561" t="str">
        <f>T("9500 MACARTHUR BLVD CODE 85")</f>
        <v>9500 MACARTHUR BLVD CODE 85</v>
      </c>
      <c r="C4561" t="str">
        <f t="shared" si="1803"/>
        <v/>
      </c>
      <c r="D4561" t="str">
        <f>T("W BETHESDA")</f>
        <v>W BETHESDA</v>
      </c>
      <c r="E4561" t="str">
        <f t="shared" si="1798"/>
        <v>MD</v>
      </c>
      <c r="F4561" t="str">
        <f t="shared" si="1799"/>
        <v>208175700</v>
      </c>
      <c r="G4561" t="str">
        <f>T("9500 MACARTHUR BLVD")</f>
        <v>9500 MACARTHUR BLVD</v>
      </c>
      <c r="H4561" t="str">
        <f>T("CODE 854")</f>
        <v>CODE 854</v>
      </c>
      <c r="I4561" t="str">
        <f>T("W BETHESDA")</f>
        <v>W BETHESDA</v>
      </c>
      <c r="J4561" t="str">
        <f t="shared" si="1794"/>
        <v>MD</v>
      </c>
      <c r="K4561" t="str">
        <f>T("000000000000000000")</f>
        <v>000000000000000000</v>
      </c>
      <c r="L4561" t="str">
        <f>T("3012277007")</f>
        <v>3012277007</v>
      </c>
    </row>
    <row r="4562" spans="1:12" x14ac:dyDescent="0.35">
      <c r="A4562" t="str">
        <f t="shared" si="1801"/>
        <v>NSWC CARDEROCK</v>
      </c>
      <c r="B4562" t="str">
        <f>T("9500 MACARTHUR BLVD CODE 85")</f>
        <v>9500 MACARTHUR BLVD CODE 85</v>
      </c>
      <c r="C4562" t="str">
        <f t="shared" si="1803"/>
        <v/>
      </c>
      <c r="D4562" t="str">
        <f>T("W BETHESDA")</f>
        <v>W BETHESDA</v>
      </c>
      <c r="E4562" t="str">
        <f t="shared" si="1798"/>
        <v>MD</v>
      </c>
      <c r="F4562" t="str">
        <f t="shared" si="1799"/>
        <v>208175700</v>
      </c>
      <c r="G4562" t="str">
        <f>T("9500 MACARTHUR BLVD CODE 85")</f>
        <v>9500 MACARTHUR BLVD CODE 85</v>
      </c>
      <c r="H4562" t="str">
        <f>T("")</f>
        <v/>
      </c>
      <c r="I4562" t="str">
        <f>T("W BETHESDA")</f>
        <v>W BETHESDA</v>
      </c>
      <c r="J4562" t="str">
        <f t="shared" si="1794"/>
        <v>MD</v>
      </c>
      <c r="K4562" t="str">
        <f>T("000000000000000000")</f>
        <v>000000000000000000</v>
      </c>
      <c r="L4562" t="str">
        <f>T("3012275829")</f>
        <v>3012275829</v>
      </c>
    </row>
    <row r="4563" spans="1:12" x14ac:dyDescent="0.35">
      <c r="A4563" t="str">
        <f t="shared" si="1801"/>
        <v>NSWC CARDEROCK</v>
      </c>
      <c r="B4563" t="str">
        <f>T("BLDG 4")</f>
        <v>BLDG 4</v>
      </c>
      <c r="C4563" t="str">
        <f>T("5001 S BROAD STREET")</f>
        <v>5001 S BROAD STREET</v>
      </c>
      <c r="D4563" t="str">
        <f>T("PHILADELPHIA")</f>
        <v>PHILADELPHIA</v>
      </c>
      <c r="E4563" t="str">
        <f>T("PA")</f>
        <v>PA</v>
      </c>
      <c r="F4563" t="str">
        <f>T("191121403")</f>
        <v>191121403</v>
      </c>
      <c r="G4563" t="str">
        <f>T("BLDG 4")</f>
        <v>BLDG 4</v>
      </c>
      <c r="H4563" t="str">
        <f>T("5001 S BROAD STREET")</f>
        <v>5001 S BROAD STREET</v>
      </c>
      <c r="I4563" t="str">
        <f>T("PHILADELPHIA")</f>
        <v>PHILADELPHIA</v>
      </c>
      <c r="J4563" t="str">
        <f>T("PA")</f>
        <v>PA</v>
      </c>
      <c r="K4563" t="str">
        <f>T("2158978452")</f>
        <v>2158978452</v>
      </c>
      <c r="L4563" t="str">
        <f>T("2158971735")</f>
        <v>2158971735</v>
      </c>
    </row>
    <row r="4564" spans="1:12" x14ac:dyDescent="0.35">
      <c r="A4564" t="str">
        <f t="shared" si="1801"/>
        <v>NSWC CARDEROCK</v>
      </c>
      <c r="B4564" t="str">
        <f>T("CARDEROCK DIVISION, NSWC")</f>
        <v>CARDEROCK DIVISION, NSWC</v>
      </c>
      <c r="C4564" t="str">
        <f>T("33964 N MAIN AVE BLDG200 RM203")</f>
        <v>33964 N MAIN AVE BLDG200 RM203</v>
      </c>
      <c r="D4564" t="str">
        <f>T("BAYVIEW")</f>
        <v>BAYVIEW</v>
      </c>
      <c r="E4564" t="str">
        <f>T("ID")</f>
        <v>ID</v>
      </c>
      <c r="F4564" t="str">
        <f>T("838039750")</f>
        <v>838039750</v>
      </c>
      <c r="G4564" t="str">
        <f>T("33964 N MAIN ST")</f>
        <v>33964 N MAIN ST</v>
      </c>
      <c r="H4564" t="str">
        <f>T("CODE 7260 BLDG 200 RM108B")</f>
        <v>CODE 7260 BLDG 200 RM108B</v>
      </c>
      <c r="I4564" t="str">
        <f>T("BAYVIEW")</f>
        <v>BAYVIEW</v>
      </c>
      <c r="J4564" t="str">
        <f>T("ID")</f>
        <v>ID</v>
      </c>
      <c r="K4564" t="str">
        <f>T("000000000000000000")</f>
        <v>000000000000000000</v>
      </c>
      <c r="L4564" t="str">
        <f>T("2086832321")</f>
        <v>2086832321</v>
      </c>
    </row>
    <row r="4565" spans="1:12" x14ac:dyDescent="0.35">
      <c r="A4565" t="str">
        <f t="shared" si="1801"/>
        <v>NSWC CARDEROCK</v>
      </c>
      <c r="B4565" t="str">
        <f>T("CARDEROCK DIVISION, NSWC")</f>
        <v>CARDEROCK DIVISION, NSWC</v>
      </c>
      <c r="C4565" t="str">
        <f>T("33964 N MAIN AVE BLDG200 RM203")</f>
        <v>33964 N MAIN AVE BLDG200 RM203</v>
      </c>
      <c r="D4565" t="str">
        <f>T("BAYVIEW")</f>
        <v>BAYVIEW</v>
      </c>
      <c r="E4565" t="str">
        <f>T("ID")</f>
        <v>ID</v>
      </c>
      <c r="F4565" t="str">
        <f>T("838039750")</f>
        <v>838039750</v>
      </c>
      <c r="G4565" t="str">
        <f>T("CARDEROCK DIVISION, NSWC")</f>
        <v>CARDEROCK DIVISION, NSWC</v>
      </c>
      <c r="H4565" t="str">
        <f>T("33964 N MAIN AVE BLDG200 RM203")</f>
        <v>33964 N MAIN AVE BLDG200 RM203</v>
      </c>
      <c r="I4565" t="str">
        <f>T("BAYVIEW")</f>
        <v>BAYVIEW</v>
      </c>
      <c r="J4565" t="str">
        <f>T("ID")</f>
        <v>ID</v>
      </c>
      <c r="K4565" t="str">
        <f>T("000000000000000000")</f>
        <v>000000000000000000</v>
      </c>
      <c r="L4565" t="str">
        <f>T("3012271214")</f>
        <v>3012271214</v>
      </c>
    </row>
    <row r="4566" spans="1:12" x14ac:dyDescent="0.35">
      <c r="A4566" t="str">
        <f t="shared" si="1801"/>
        <v>NSWC CARDEROCK</v>
      </c>
      <c r="B4566" t="str">
        <f>T("CODE 60")</f>
        <v>CODE 60</v>
      </c>
      <c r="C4566" t="str">
        <f>T("5001 S BROAD ST")</f>
        <v>5001 S BROAD ST</v>
      </c>
      <c r="D4566" t="str">
        <f>T("PHILADELPHIA")</f>
        <v>PHILADELPHIA</v>
      </c>
      <c r="E4566" t="str">
        <f>T("PA")</f>
        <v>PA</v>
      </c>
      <c r="F4566" t="str">
        <f>T("191121403")</f>
        <v>191121403</v>
      </c>
      <c r="G4566" t="str">
        <f>T("CODE 60")</f>
        <v>CODE 60</v>
      </c>
      <c r="H4566" t="str">
        <f>T("5001 S BROAD ST")</f>
        <v>5001 S BROAD ST</v>
      </c>
      <c r="I4566" t="str">
        <f>T("PHILADELPHIA")</f>
        <v>PHILADELPHIA</v>
      </c>
      <c r="J4566" t="str">
        <f>T("PA")</f>
        <v>PA</v>
      </c>
      <c r="K4566" t="str">
        <f>T("2158978450")</f>
        <v>2158978450</v>
      </c>
      <c r="L4566" t="str">
        <f>T("3012271385")</f>
        <v>3012271385</v>
      </c>
    </row>
    <row r="4567" spans="1:12" x14ac:dyDescent="0.35">
      <c r="A4567" t="str">
        <f t="shared" si="1801"/>
        <v>NSWC CARDEROCK</v>
      </c>
      <c r="B4567" t="str">
        <f>T("NSWC CARDEROCK DIVISION")</f>
        <v>NSWC CARDEROCK DIVISION</v>
      </c>
      <c r="C4567" t="str">
        <f>T("5001 S BROAD ST")</f>
        <v>5001 S BROAD ST</v>
      </c>
      <c r="D4567" t="str">
        <f>T("PHILADELPHIA")</f>
        <v>PHILADELPHIA</v>
      </c>
      <c r="E4567" t="str">
        <f>T("PA")</f>
        <v>PA</v>
      </c>
      <c r="F4567" t="str">
        <f>T("191121403")</f>
        <v>191121403</v>
      </c>
      <c r="G4567" t="str">
        <f>T("NSWC CARDEROCK DIVISION")</f>
        <v>NSWC CARDEROCK DIVISION</v>
      </c>
      <c r="H4567" t="str">
        <f>T("5001 S BROAD ST")</f>
        <v>5001 S BROAD ST</v>
      </c>
      <c r="I4567" t="str">
        <f>T("PHILADELPHIA")</f>
        <v>PHILADELPHIA</v>
      </c>
      <c r="J4567" t="str">
        <f>T("PA")</f>
        <v>PA</v>
      </c>
      <c r="K4567" t="str">
        <f>T("")</f>
        <v/>
      </c>
      <c r="L4567" t="str">
        <f>T("2158977291")</f>
        <v>2158977291</v>
      </c>
    </row>
    <row r="4568" spans="1:12" x14ac:dyDescent="0.35">
      <c r="A4568" t="str">
        <f t="shared" ref="A4568:A4599" si="1804">T("NUWC NEWPORT")</f>
        <v>NUWC NEWPORT</v>
      </c>
      <c r="B4568" t="str">
        <f>T("1176 HOWELL ST")</f>
        <v>1176 HOWELL ST</v>
      </c>
      <c r="C4568" t="str">
        <f>T("")</f>
        <v/>
      </c>
      <c r="D4568" t="str">
        <f t="shared" ref="D4568:D4581" si="1805">T("NEWPORT")</f>
        <v>NEWPORT</v>
      </c>
      <c r="E4568" t="str">
        <f t="shared" ref="E4568:E4581" si="1806">T("RI")</f>
        <v>RI</v>
      </c>
      <c r="F4568" t="str">
        <f>T("028411703")</f>
        <v>028411703</v>
      </c>
      <c r="G4568" t="str">
        <f>T("1176 HOWELL ST")</f>
        <v>1176 HOWELL ST</v>
      </c>
      <c r="H4568" t="str">
        <f>T("")</f>
        <v/>
      </c>
      <c r="I4568" t="str">
        <f t="shared" ref="I4568:I4581" si="1807">T("NEWPORT")</f>
        <v>NEWPORT</v>
      </c>
      <c r="J4568" t="str">
        <f t="shared" ref="J4568:J4581" si="1808">T("RI")</f>
        <v>RI</v>
      </c>
      <c r="K4568" t="str">
        <f t="shared" ref="K4568:K4576" si="1809">T("000000000000000000")</f>
        <v>000000000000000000</v>
      </c>
      <c r="L4568" t="str">
        <f>T("4018321332")</f>
        <v>4018321332</v>
      </c>
    </row>
    <row r="4569" spans="1:12" x14ac:dyDescent="0.35">
      <c r="A4569" t="str">
        <f t="shared" si="1804"/>
        <v>NUWC NEWPORT</v>
      </c>
      <c r="B4569" t="str">
        <f>T("1176 HOWELL ST")</f>
        <v>1176 HOWELL ST</v>
      </c>
      <c r="C4569" t="str">
        <f>T("")</f>
        <v/>
      </c>
      <c r="D4569" t="str">
        <f t="shared" si="1805"/>
        <v>NEWPORT</v>
      </c>
      <c r="E4569" t="str">
        <f t="shared" si="1806"/>
        <v>RI</v>
      </c>
      <c r="F4569" t="str">
        <f>T("028411703")</f>
        <v>028411703</v>
      </c>
      <c r="G4569" t="str">
        <f>T("NAVAL UNDERSEA WARFARE CENTER")</f>
        <v>NAVAL UNDERSEA WARFARE CENTER</v>
      </c>
      <c r="H4569" t="str">
        <f>T("BLDG 1171 CODE 25B")</f>
        <v>BLDG 1171 CODE 25B</v>
      </c>
      <c r="I4569" t="str">
        <f t="shared" si="1807"/>
        <v>NEWPORT</v>
      </c>
      <c r="J4569" t="str">
        <f t="shared" si="1808"/>
        <v>RI</v>
      </c>
      <c r="K4569" t="str">
        <f t="shared" si="1809"/>
        <v>000000000000000000</v>
      </c>
      <c r="L4569" t="str">
        <f>T("4018321447")</f>
        <v>4018321447</v>
      </c>
    </row>
    <row r="4570" spans="1:12" x14ac:dyDescent="0.35">
      <c r="A4570" t="str">
        <f t="shared" si="1804"/>
        <v>NUWC NEWPORT</v>
      </c>
      <c r="B4570" t="str">
        <f>T("1176 HOWELL ST")</f>
        <v>1176 HOWELL ST</v>
      </c>
      <c r="C4570" t="str">
        <f>T("")</f>
        <v/>
      </c>
      <c r="D4570" t="str">
        <f t="shared" si="1805"/>
        <v>NEWPORT</v>
      </c>
      <c r="E4570" t="str">
        <f t="shared" si="1806"/>
        <v>RI</v>
      </c>
      <c r="F4570" t="str">
        <f>T("028411703")</f>
        <v>028411703</v>
      </c>
      <c r="G4570" t="str">
        <f>T("NAVAL UNDERSEA WARFARE CENTER")</f>
        <v>NAVAL UNDERSEA WARFARE CENTER</v>
      </c>
      <c r="H4570" t="str">
        <f>T("CODE 1072 BLDG 11")</f>
        <v>CODE 1072 BLDG 11</v>
      </c>
      <c r="I4570" t="str">
        <f t="shared" si="1807"/>
        <v>NEWPORT</v>
      </c>
      <c r="J4570" t="str">
        <f t="shared" si="1808"/>
        <v>RI</v>
      </c>
      <c r="K4570" t="str">
        <f t="shared" si="1809"/>
        <v>000000000000000000</v>
      </c>
      <c r="L4570" t="str">
        <f>T("4018328290")</f>
        <v>4018328290</v>
      </c>
    </row>
    <row r="4571" spans="1:12" x14ac:dyDescent="0.35">
      <c r="A4571" t="str">
        <f t="shared" si="1804"/>
        <v>NUWC NEWPORT</v>
      </c>
      <c r="B4571" t="str">
        <f>T("CODE 1016 BLDG 109")</f>
        <v>CODE 1016 BLDG 109</v>
      </c>
      <c r="C4571" t="str">
        <f>T("NAVAL UNDERSEA WARFARE CTR")</f>
        <v>NAVAL UNDERSEA WARFARE CTR</v>
      </c>
      <c r="D4571" t="str">
        <f t="shared" si="1805"/>
        <v>NEWPORT</v>
      </c>
      <c r="E4571" t="str">
        <f t="shared" si="1806"/>
        <v>RI</v>
      </c>
      <c r="F4571" t="str">
        <f t="shared" ref="F4571:F4576" si="1810">T("028410000")</f>
        <v>028410000</v>
      </c>
      <c r="G4571" t="str">
        <f>T("CODE 1016 BLDG 109")</f>
        <v>CODE 1016 BLDG 109</v>
      </c>
      <c r="H4571" t="str">
        <f>T("NAVAL UNDERSEA WARFARE CTR")</f>
        <v>NAVAL UNDERSEA WARFARE CTR</v>
      </c>
      <c r="I4571" t="str">
        <f t="shared" si="1807"/>
        <v>NEWPORT</v>
      </c>
      <c r="J4571" t="str">
        <f t="shared" si="1808"/>
        <v>RI</v>
      </c>
      <c r="K4571" t="str">
        <f t="shared" si="1809"/>
        <v>000000000000000000</v>
      </c>
      <c r="L4571" t="str">
        <f>T("4018323904")</f>
        <v>4018323904</v>
      </c>
    </row>
    <row r="4572" spans="1:12" x14ac:dyDescent="0.35">
      <c r="A4572" t="str">
        <f t="shared" si="1804"/>
        <v>NUWC NEWPORT</v>
      </c>
      <c r="B4572" t="str">
        <f>T("CODE 1041 BLDG 105")</f>
        <v>CODE 1041 BLDG 105</v>
      </c>
      <c r="C4572" t="str">
        <f>T("NAVAL UNDERSEA WARFARE CNTR")</f>
        <v>NAVAL UNDERSEA WARFARE CNTR</v>
      </c>
      <c r="D4572" t="str">
        <f t="shared" si="1805"/>
        <v>NEWPORT</v>
      </c>
      <c r="E4572" t="str">
        <f t="shared" si="1806"/>
        <v>RI</v>
      </c>
      <c r="F4572" t="str">
        <f t="shared" si="1810"/>
        <v>028410000</v>
      </c>
      <c r="G4572" t="str">
        <f>T("CODE 1041 BLDG 105")</f>
        <v>CODE 1041 BLDG 105</v>
      </c>
      <c r="H4572" t="str">
        <f>T("NAVAL UNDERSEA WARFARE CNTR")</f>
        <v>NAVAL UNDERSEA WARFARE CNTR</v>
      </c>
      <c r="I4572" t="str">
        <f t="shared" si="1807"/>
        <v>NEWPORT</v>
      </c>
      <c r="J4572" t="str">
        <f t="shared" si="1808"/>
        <v>RI</v>
      </c>
      <c r="K4572" t="str">
        <f t="shared" si="1809"/>
        <v>000000000000000000</v>
      </c>
      <c r="L4572" t="str">
        <f>T("4018322336")</f>
        <v>4018322336</v>
      </c>
    </row>
    <row r="4573" spans="1:12" x14ac:dyDescent="0.35">
      <c r="A4573" t="str">
        <f t="shared" si="1804"/>
        <v>NUWC NEWPORT</v>
      </c>
      <c r="B4573" t="str">
        <f>T("CODE 1041 BLDG 105")</f>
        <v>CODE 1041 BLDG 105</v>
      </c>
      <c r="C4573" t="str">
        <f>T("NAVAL UNDERSEA WARFARE CNTR")</f>
        <v>NAVAL UNDERSEA WARFARE CNTR</v>
      </c>
      <c r="D4573" t="str">
        <f t="shared" si="1805"/>
        <v>NEWPORT</v>
      </c>
      <c r="E4573" t="str">
        <f t="shared" si="1806"/>
        <v>RI</v>
      </c>
      <c r="F4573" t="str">
        <f t="shared" si="1810"/>
        <v>028410000</v>
      </c>
      <c r="G4573" t="str">
        <f>T("NAVAL UNDERSEA WARFARE CENTER")</f>
        <v>NAVAL UNDERSEA WARFARE CENTER</v>
      </c>
      <c r="H4573" t="str">
        <f>T("CODE 1041 BLDG 103")</f>
        <v>CODE 1041 BLDG 103</v>
      </c>
      <c r="I4573" t="str">
        <f t="shared" si="1807"/>
        <v>NEWPORT</v>
      </c>
      <c r="J4573" t="str">
        <f t="shared" si="1808"/>
        <v>RI</v>
      </c>
      <c r="K4573" t="str">
        <f t="shared" si="1809"/>
        <v>000000000000000000</v>
      </c>
      <c r="L4573" t="str">
        <f>T("4018326581")</f>
        <v>4018326581</v>
      </c>
    </row>
    <row r="4574" spans="1:12" x14ac:dyDescent="0.35">
      <c r="A4574" t="str">
        <f t="shared" si="1804"/>
        <v>NUWC NEWPORT</v>
      </c>
      <c r="B4574" t="str">
        <f>T("CODE 1532 BLDG 1176")</f>
        <v>CODE 1532 BLDG 1176</v>
      </c>
      <c r="C4574" t="str">
        <f>T("NAVAL UNDERSEA WARFARE CTR")</f>
        <v>NAVAL UNDERSEA WARFARE CTR</v>
      </c>
      <c r="D4574" t="str">
        <f t="shared" si="1805"/>
        <v>NEWPORT</v>
      </c>
      <c r="E4574" t="str">
        <f t="shared" si="1806"/>
        <v>RI</v>
      </c>
      <c r="F4574" t="str">
        <f t="shared" si="1810"/>
        <v>028410000</v>
      </c>
      <c r="G4574" t="str">
        <f>T("CODE 1532 BLDG 1176")</f>
        <v>CODE 1532 BLDG 1176</v>
      </c>
      <c r="H4574" t="str">
        <f>T("NAVAL UNDERSEA WARFARE CTR")</f>
        <v>NAVAL UNDERSEA WARFARE CTR</v>
      </c>
      <c r="I4574" t="str">
        <f t="shared" si="1807"/>
        <v>NEWPORT</v>
      </c>
      <c r="J4574" t="str">
        <f t="shared" si="1808"/>
        <v>RI</v>
      </c>
      <c r="K4574" t="str">
        <f t="shared" si="1809"/>
        <v>000000000000000000</v>
      </c>
      <c r="L4574" t="str">
        <f>T("4018327647")</f>
        <v>4018327647</v>
      </c>
    </row>
    <row r="4575" spans="1:12" x14ac:dyDescent="0.35">
      <c r="A4575" t="str">
        <f t="shared" si="1804"/>
        <v>NUWC NEWPORT</v>
      </c>
      <c r="B4575" t="str">
        <f>T("CODE 1532 BLDG 1176")</f>
        <v>CODE 1532 BLDG 1176</v>
      </c>
      <c r="C4575" t="str">
        <f>T("NAVAL UNDERSEA WARFARE CTR")</f>
        <v>NAVAL UNDERSEA WARFARE CTR</v>
      </c>
      <c r="D4575" t="str">
        <f t="shared" si="1805"/>
        <v>NEWPORT</v>
      </c>
      <c r="E4575" t="str">
        <f t="shared" si="1806"/>
        <v>RI</v>
      </c>
      <c r="F4575" t="str">
        <f t="shared" si="1810"/>
        <v>028410000</v>
      </c>
      <c r="G4575" t="str">
        <f>T("NAVAL UNDERSEA WARFARE CENTER")</f>
        <v>NAVAL UNDERSEA WARFARE CENTER</v>
      </c>
      <c r="H4575" t="str">
        <f>T("CODE 1532 BLDG 1176")</f>
        <v>CODE 1532 BLDG 1176</v>
      </c>
      <c r="I4575" t="str">
        <f t="shared" si="1807"/>
        <v>NEWPORT</v>
      </c>
      <c r="J4575" t="str">
        <f t="shared" si="1808"/>
        <v>RI</v>
      </c>
      <c r="K4575" t="str">
        <f t="shared" si="1809"/>
        <v>000000000000000000</v>
      </c>
      <c r="L4575" t="str">
        <f>T("4018325225")</f>
        <v>4018325225</v>
      </c>
    </row>
    <row r="4576" spans="1:12" x14ac:dyDescent="0.35">
      <c r="A4576" t="str">
        <f t="shared" si="1804"/>
        <v>NUWC NEWPORT</v>
      </c>
      <c r="B4576" t="str">
        <f>T("CODE 1532 BLDG 1176")</f>
        <v>CODE 1532 BLDG 1176</v>
      </c>
      <c r="C4576" t="str">
        <f>T("NAVAL UNDERSEA WARFARE CTR")</f>
        <v>NAVAL UNDERSEA WARFARE CTR</v>
      </c>
      <c r="D4576" t="str">
        <f t="shared" si="1805"/>
        <v>NEWPORT</v>
      </c>
      <c r="E4576" t="str">
        <f t="shared" si="1806"/>
        <v>RI</v>
      </c>
      <c r="F4576" t="str">
        <f t="shared" si="1810"/>
        <v>028410000</v>
      </c>
      <c r="G4576" t="str">
        <f>T("NAVAL UNDERSEA WARFARE CENTER")</f>
        <v>NAVAL UNDERSEA WARFARE CENTER</v>
      </c>
      <c r="H4576" t="str">
        <f>T("CODE 1532 BLDG 1320")</f>
        <v>CODE 1532 BLDG 1320</v>
      </c>
      <c r="I4576" t="str">
        <f t="shared" si="1807"/>
        <v>NEWPORT</v>
      </c>
      <c r="J4576" t="str">
        <f t="shared" si="1808"/>
        <v>RI</v>
      </c>
      <c r="K4576" t="str">
        <f t="shared" si="1809"/>
        <v>000000000000000000</v>
      </c>
      <c r="L4576" t="str">
        <f>T("4018328213")</f>
        <v>4018328213</v>
      </c>
    </row>
    <row r="4577" spans="1:12" x14ac:dyDescent="0.35">
      <c r="A4577" t="str">
        <f t="shared" si="1804"/>
        <v>NUWC NEWPORT</v>
      </c>
      <c r="B4577" t="str">
        <f>T("CODE 1535")</f>
        <v>CODE 1535</v>
      </c>
      <c r="C4577" t="str">
        <f>T("BLDG 113")</f>
        <v>BLDG 113</v>
      </c>
      <c r="D4577" t="str">
        <f t="shared" si="1805"/>
        <v>NEWPORT</v>
      </c>
      <c r="E4577" t="str">
        <f t="shared" si="1806"/>
        <v>RI</v>
      </c>
      <c r="F4577" t="str">
        <f>T("028411708")</f>
        <v>028411708</v>
      </c>
      <c r="G4577" t="str">
        <f>T("CODE 1535")</f>
        <v>CODE 1535</v>
      </c>
      <c r="H4577" t="str">
        <f>T("BLDG 113")</f>
        <v>BLDG 113</v>
      </c>
      <c r="I4577" t="str">
        <f t="shared" si="1807"/>
        <v>NEWPORT</v>
      </c>
      <c r="J4577" t="str">
        <f t="shared" si="1808"/>
        <v>RI</v>
      </c>
      <c r="K4577" t="str">
        <f>T("")</f>
        <v/>
      </c>
      <c r="L4577" t="str">
        <f>T("4018325094")</f>
        <v>4018325094</v>
      </c>
    </row>
    <row r="4578" spans="1:12" x14ac:dyDescent="0.35">
      <c r="A4578" t="str">
        <f t="shared" si="1804"/>
        <v>NUWC NEWPORT</v>
      </c>
      <c r="B4578" t="str">
        <f>T("CODE 1535")</f>
        <v>CODE 1535</v>
      </c>
      <c r="C4578" t="str">
        <f>T("BLDG 113")</f>
        <v>BLDG 113</v>
      </c>
      <c r="D4578" t="str">
        <f t="shared" si="1805"/>
        <v>NEWPORT</v>
      </c>
      <c r="E4578" t="str">
        <f t="shared" si="1806"/>
        <v>RI</v>
      </c>
      <c r="F4578" t="str">
        <f>T("028411708")</f>
        <v>028411708</v>
      </c>
      <c r="G4578" t="str">
        <f>T("NAVAL UNDERSEA WARFARE CENTER")</f>
        <v>NAVAL UNDERSEA WARFARE CENTER</v>
      </c>
      <c r="H4578" t="str">
        <f>T("CODE 1535 BLDG 113")</f>
        <v>CODE 1535 BLDG 113</v>
      </c>
      <c r="I4578" t="str">
        <f t="shared" si="1807"/>
        <v>NEWPORT</v>
      </c>
      <c r="J4578" t="str">
        <f t="shared" si="1808"/>
        <v>RI</v>
      </c>
      <c r="K4578" t="str">
        <f t="shared" ref="K4578:K4589" si="1811">T("000000000000000000")</f>
        <v>000000000000000000</v>
      </c>
      <c r="L4578" t="str">
        <f>T("4018322510")</f>
        <v>4018322510</v>
      </c>
    </row>
    <row r="4579" spans="1:12" x14ac:dyDescent="0.35">
      <c r="A4579" t="str">
        <f t="shared" si="1804"/>
        <v>NUWC NEWPORT</v>
      </c>
      <c r="B4579" t="str">
        <f>T("CODE 1535")</f>
        <v>CODE 1535</v>
      </c>
      <c r="C4579" t="str">
        <f>T("BLDG 113")</f>
        <v>BLDG 113</v>
      </c>
      <c r="D4579" t="str">
        <f t="shared" si="1805"/>
        <v>NEWPORT</v>
      </c>
      <c r="E4579" t="str">
        <f t="shared" si="1806"/>
        <v>RI</v>
      </c>
      <c r="F4579" t="str">
        <f>T("028411708")</f>
        <v>028411708</v>
      </c>
      <c r="G4579" t="str">
        <f>T("NAVAL UNDERSEA WARFARE CENTER")</f>
        <v>NAVAL UNDERSEA WARFARE CENTER</v>
      </c>
      <c r="H4579" t="str">
        <f>T("CODE 1535 BLDG 1170")</f>
        <v>CODE 1535 BLDG 1170</v>
      </c>
      <c r="I4579" t="str">
        <f t="shared" si="1807"/>
        <v>NEWPORT</v>
      </c>
      <c r="J4579" t="str">
        <f t="shared" si="1808"/>
        <v>RI</v>
      </c>
      <c r="K4579" t="str">
        <f t="shared" si="1811"/>
        <v>000000000000000000</v>
      </c>
      <c r="L4579" t="str">
        <f>T("4018325115")</f>
        <v>4018325115</v>
      </c>
    </row>
    <row r="4580" spans="1:12" x14ac:dyDescent="0.35">
      <c r="A4580" t="str">
        <f t="shared" si="1804"/>
        <v>NUWC NEWPORT</v>
      </c>
      <c r="B4580" t="str">
        <f>T("CODE 1535")</f>
        <v>CODE 1535</v>
      </c>
      <c r="C4580" t="str">
        <f>T("BLDG 113")</f>
        <v>BLDG 113</v>
      </c>
      <c r="D4580" t="str">
        <f t="shared" si="1805"/>
        <v>NEWPORT</v>
      </c>
      <c r="E4580" t="str">
        <f t="shared" si="1806"/>
        <v>RI</v>
      </c>
      <c r="F4580" t="str">
        <f>T("028411708")</f>
        <v>028411708</v>
      </c>
      <c r="G4580" t="str">
        <f>T("NAVAL UNDERSEA WARFARE CENTER")</f>
        <v>NAVAL UNDERSEA WARFARE CENTER</v>
      </c>
      <c r="H4580" t="str">
        <f>T("CODE 1542 BLDG 1320")</f>
        <v>CODE 1542 BLDG 1320</v>
      </c>
      <c r="I4580" t="str">
        <f t="shared" si="1807"/>
        <v>NEWPORT</v>
      </c>
      <c r="J4580" t="str">
        <f t="shared" si="1808"/>
        <v>RI</v>
      </c>
      <c r="K4580" t="str">
        <f t="shared" si="1811"/>
        <v>000000000000000000</v>
      </c>
      <c r="L4580" t="str">
        <f>T("4018328261")</f>
        <v>4018328261</v>
      </c>
    </row>
    <row r="4581" spans="1:12" x14ac:dyDescent="0.35">
      <c r="A4581" t="str">
        <f t="shared" si="1804"/>
        <v>NUWC NEWPORT</v>
      </c>
      <c r="B4581" t="str">
        <f>T("CODE 1535")</f>
        <v>CODE 1535</v>
      </c>
      <c r="C4581" t="str">
        <f>T("BLDG 113")</f>
        <v>BLDG 113</v>
      </c>
      <c r="D4581" t="str">
        <f t="shared" si="1805"/>
        <v>NEWPORT</v>
      </c>
      <c r="E4581" t="str">
        <f t="shared" si="1806"/>
        <v>RI</v>
      </c>
      <c r="F4581" t="str">
        <f>T("028411708")</f>
        <v>028411708</v>
      </c>
      <c r="G4581" t="str">
        <f>T("NAVAL UNDERSEA WARFARE CTR")</f>
        <v>NAVAL UNDERSEA WARFARE CTR</v>
      </c>
      <c r="H4581" t="str">
        <f>T("CODE 1535 BLDG 113")</f>
        <v>CODE 1535 BLDG 113</v>
      </c>
      <c r="I4581" t="str">
        <f t="shared" si="1807"/>
        <v>NEWPORT</v>
      </c>
      <c r="J4581" t="str">
        <f t="shared" si="1808"/>
        <v>RI</v>
      </c>
      <c r="K4581" t="str">
        <f t="shared" si="1811"/>
        <v>000000000000000000</v>
      </c>
      <c r="L4581" t="str">
        <f>T("4018321072")</f>
        <v>4018321072</v>
      </c>
    </row>
    <row r="4582" spans="1:12" x14ac:dyDescent="0.35">
      <c r="A4582" t="str">
        <f t="shared" si="1804"/>
        <v>NUWC NEWPORT</v>
      </c>
      <c r="B4582" t="str">
        <f>T("CODE 2504 BLDG 169")</f>
        <v>CODE 2504 BLDG 169</v>
      </c>
      <c r="C4582" t="str">
        <f>T("NUWC NORFOLK DETACHMENT-MAG RD")</f>
        <v>NUWC NORFOLK DETACHMENT-MAG RD</v>
      </c>
      <c r="D4582" t="str">
        <f>T("PORTSMOUTH")</f>
        <v>PORTSMOUTH</v>
      </c>
      <c r="E4582" t="str">
        <f>T("VA")</f>
        <v>VA</v>
      </c>
      <c r="F4582" t="str">
        <f>T("237020000")</f>
        <v>237020000</v>
      </c>
      <c r="G4582" t="str">
        <f>T("CODE 2504 BLDG 169")</f>
        <v>CODE 2504 BLDG 169</v>
      </c>
      <c r="H4582" t="str">
        <f>T("NUWC NORFOLK DETACHMENT-MAG RD")</f>
        <v>NUWC NORFOLK DETACHMENT-MAG RD</v>
      </c>
      <c r="I4582" t="str">
        <f>T("PORTSMOUTH")</f>
        <v>PORTSMOUTH</v>
      </c>
      <c r="J4582" t="str">
        <f>T("VA")</f>
        <v>VA</v>
      </c>
      <c r="K4582" t="str">
        <f t="shared" si="1811"/>
        <v>000000000000000000</v>
      </c>
      <c r="L4582" t="str">
        <f>T("7573960800")</f>
        <v>7573960800</v>
      </c>
    </row>
    <row r="4583" spans="1:12" x14ac:dyDescent="0.35">
      <c r="A4583" t="str">
        <f t="shared" si="1804"/>
        <v>NUWC NEWPORT</v>
      </c>
      <c r="B4583" t="str">
        <f>T("CODE 2504 BLDG 169")</f>
        <v>CODE 2504 BLDG 169</v>
      </c>
      <c r="C4583" t="str">
        <f>T("NUWC NORFOLK DETACHMENT-MAG RD")</f>
        <v>NUWC NORFOLK DETACHMENT-MAG RD</v>
      </c>
      <c r="D4583" t="str">
        <f>T("PORTSMOUTH")</f>
        <v>PORTSMOUTH</v>
      </c>
      <c r="E4583" t="str">
        <f>T("VA")</f>
        <v>VA</v>
      </c>
      <c r="F4583" t="str">
        <f>T("237020000")</f>
        <v>237020000</v>
      </c>
      <c r="G4583" t="str">
        <f>T("NUWC NORFOLK DETACHMENT")</f>
        <v>NUWC NORFOLK DETACHMENT</v>
      </c>
      <c r="H4583" t="str">
        <f>T("BLDG 169 MAGAZINE RD CODE 2504")</f>
        <v>BLDG 169 MAGAZINE RD CODE 2504</v>
      </c>
      <c r="I4583" t="str">
        <f>T("PORTSMOUTH")</f>
        <v>PORTSMOUTH</v>
      </c>
      <c r="J4583" t="str">
        <f>T("VA")</f>
        <v>VA</v>
      </c>
      <c r="K4583" t="str">
        <f t="shared" si="1811"/>
        <v>000000000000000000</v>
      </c>
      <c r="L4583" t="str">
        <f>T("7573960800")</f>
        <v>7573960800</v>
      </c>
    </row>
    <row r="4584" spans="1:12" x14ac:dyDescent="0.35">
      <c r="A4584" t="str">
        <f t="shared" si="1804"/>
        <v>NUWC NEWPORT</v>
      </c>
      <c r="B4584" t="str">
        <f>T("CODE 3422 BLDG 1319")</f>
        <v>CODE 3422 BLDG 1319</v>
      </c>
      <c r="C4584" t="str">
        <f>T("")</f>
        <v/>
      </c>
      <c r="D4584" t="str">
        <f t="shared" ref="D4584:D4615" si="1812">T("NEWPORT")</f>
        <v>NEWPORT</v>
      </c>
      <c r="E4584" t="str">
        <f t="shared" ref="E4584:E4615" si="1813">T("RI")</f>
        <v>RI</v>
      </c>
      <c r="F4584" t="str">
        <f t="shared" ref="F4584:F4613" si="1814">T("028410000")</f>
        <v>028410000</v>
      </c>
      <c r="G4584" t="str">
        <f>T("CODE 3422 BLDG 1319")</f>
        <v>CODE 3422 BLDG 1319</v>
      </c>
      <c r="H4584" t="str">
        <f>T("")</f>
        <v/>
      </c>
      <c r="I4584" t="str">
        <f t="shared" ref="I4584:I4615" si="1815">T("NEWPORT")</f>
        <v>NEWPORT</v>
      </c>
      <c r="J4584" t="str">
        <f t="shared" ref="J4584:J4615" si="1816">T("RI")</f>
        <v>RI</v>
      </c>
      <c r="K4584" t="str">
        <f t="shared" si="1811"/>
        <v>000000000000000000</v>
      </c>
      <c r="L4584" t="str">
        <f>T("4018325790")</f>
        <v>4018325790</v>
      </c>
    </row>
    <row r="4585" spans="1:12" x14ac:dyDescent="0.35">
      <c r="A4585" t="str">
        <f t="shared" si="1804"/>
        <v>NUWC NEWPORT</v>
      </c>
      <c r="B4585" t="str">
        <f>T("CODE 3422 BLDG 1319")</f>
        <v>CODE 3422 BLDG 1319</v>
      </c>
      <c r="C4585" t="str">
        <f>T("")</f>
        <v/>
      </c>
      <c r="D4585" t="str">
        <f t="shared" si="1812"/>
        <v>NEWPORT</v>
      </c>
      <c r="E4585" t="str">
        <f t="shared" si="1813"/>
        <v>RI</v>
      </c>
      <c r="F4585" t="str">
        <f t="shared" si="1814"/>
        <v>028410000</v>
      </c>
      <c r="G4585" t="str">
        <f>T("NAVAL UNDERSEA WARFARE CENTER")</f>
        <v>NAVAL UNDERSEA WARFARE CENTER</v>
      </c>
      <c r="H4585" t="str">
        <f>T("CODE 3423 BLDG 1319")</f>
        <v>CODE 3423 BLDG 1319</v>
      </c>
      <c r="I4585" t="str">
        <f t="shared" si="1815"/>
        <v>NEWPORT</v>
      </c>
      <c r="J4585" t="str">
        <f t="shared" si="1816"/>
        <v>RI</v>
      </c>
      <c r="K4585" t="str">
        <f t="shared" si="1811"/>
        <v>000000000000000000</v>
      </c>
      <c r="L4585" t="str">
        <f>T("4018325302")</f>
        <v>4018325302</v>
      </c>
    </row>
    <row r="4586" spans="1:12" x14ac:dyDescent="0.35">
      <c r="A4586" t="str">
        <f t="shared" si="1804"/>
        <v>NUWC NEWPORT</v>
      </c>
      <c r="B4586" t="str">
        <f>T("CODE 3431 BLDG 1319")</f>
        <v>CODE 3431 BLDG 1319</v>
      </c>
      <c r="C4586" t="str">
        <f>T("")</f>
        <v/>
      </c>
      <c r="D4586" t="str">
        <f t="shared" si="1812"/>
        <v>NEWPORT</v>
      </c>
      <c r="E4586" t="str">
        <f t="shared" si="1813"/>
        <v>RI</v>
      </c>
      <c r="F4586" t="str">
        <f t="shared" si="1814"/>
        <v>028410000</v>
      </c>
      <c r="G4586" t="str">
        <f>T("CODE 3431 BLDG 1319")</f>
        <v>CODE 3431 BLDG 1319</v>
      </c>
      <c r="H4586" t="str">
        <f>T("")</f>
        <v/>
      </c>
      <c r="I4586" t="str">
        <f t="shared" si="1815"/>
        <v>NEWPORT</v>
      </c>
      <c r="J4586" t="str">
        <f t="shared" si="1816"/>
        <v>RI</v>
      </c>
      <c r="K4586" t="str">
        <f t="shared" si="1811"/>
        <v>000000000000000000</v>
      </c>
      <c r="L4586" t="str">
        <f>T("4018325542")</f>
        <v>4018325542</v>
      </c>
    </row>
    <row r="4587" spans="1:12" x14ac:dyDescent="0.35">
      <c r="A4587" t="str">
        <f t="shared" si="1804"/>
        <v>NUWC NEWPORT</v>
      </c>
      <c r="B4587" t="str">
        <f>T("CODE 3431 BLDG 1319")</f>
        <v>CODE 3431 BLDG 1319</v>
      </c>
      <c r="C4587" t="str">
        <f>T("")</f>
        <v/>
      </c>
      <c r="D4587" t="str">
        <f t="shared" si="1812"/>
        <v>NEWPORT</v>
      </c>
      <c r="E4587" t="str">
        <f t="shared" si="1813"/>
        <v>RI</v>
      </c>
      <c r="F4587" t="str">
        <f t="shared" si="1814"/>
        <v>028410000</v>
      </c>
      <c r="G4587" t="str">
        <f>T("NUWC NEWPORT BLDG 1319")</f>
        <v>NUWC NEWPORT BLDG 1319</v>
      </c>
      <c r="H4587" t="str">
        <f>T("CODE 3431")</f>
        <v>CODE 3431</v>
      </c>
      <c r="I4587" t="str">
        <f t="shared" si="1815"/>
        <v>NEWPORT</v>
      </c>
      <c r="J4587" t="str">
        <f t="shared" si="1816"/>
        <v>RI</v>
      </c>
      <c r="K4587" t="str">
        <f t="shared" si="1811"/>
        <v>000000000000000000</v>
      </c>
      <c r="L4587" t="str">
        <f>T("4018324122")</f>
        <v>4018324122</v>
      </c>
    </row>
    <row r="4588" spans="1:12" x14ac:dyDescent="0.35">
      <c r="A4588" t="str">
        <f t="shared" si="1804"/>
        <v>NUWC NEWPORT</v>
      </c>
      <c r="B4588" t="str">
        <f>T("CODE 4114")</f>
        <v>CODE 4114</v>
      </c>
      <c r="C4588" t="str">
        <f>T("BUILDING 1371/ 1ST FL")</f>
        <v>BUILDING 1371/ 1ST FL</v>
      </c>
      <c r="D4588" t="str">
        <f t="shared" si="1812"/>
        <v>NEWPORT</v>
      </c>
      <c r="E4588" t="str">
        <f t="shared" si="1813"/>
        <v>RI</v>
      </c>
      <c r="F4588" t="str">
        <f t="shared" si="1814"/>
        <v>028410000</v>
      </c>
      <c r="G4588" t="str">
        <f>T("CODE 4114")</f>
        <v>CODE 4114</v>
      </c>
      <c r="H4588" t="str">
        <f>T("BUILDING 1371/ 1ST FL")</f>
        <v>BUILDING 1371/ 1ST FL</v>
      </c>
      <c r="I4588" t="str">
        <f t="shared" si="1815"/>
        <v>NEWPORT</v>
      </c>
      <c r="J4588" t="str">
        <f t="shared" si="1816"/>
        <v>RI</v>
      </c>
      <c r="K4588" t="str">
        <f t="shared" si="1811"/>
        <v>000000000000000000</v>
      </c>
      <c r="L4588" t="str">
        <f>T("4018329015")</f>
        <v>4018329015</v>
      </c>
    </row>
    <row r="4589" spans="1:12" x14ac:dyDescent="0.35">
      <c r="A4589" t="str">
        <f t="shared" si="1804"/>
        <v>NUWC NEWPORT</v>
      </c>
      <c r="B4589" t="str">
        <f>T("CODE 4114")</f>
        <v>CODE 4114</v>
      </c>
      <c r="C4589" t="str">
        <f>T("BUILDING 1371/ 1ST FL")</f>
        <v>BUILDING 1371/ 1ST FL</v>
      </c>
      <c r="D4589" t="str">
        <f t="shared" si="1812"/>
        <v>NEWPORT</v>
      </c>
      <c r="E4589" t="str">
        <f t="shared" si="1813"/>
        <v>RI</v>
      </c>
      <c r="F4589" t="str">
        <f t="shared" si="1814"/>
        <v>028410000</v>
      </c>
      <c r="G4589" t="str">
        <f>T("NAVAL UNDERSEA WARFARE CENTER")</f>
        <v>NAVAL UNDERSEA WARFARE CENTER</v>
      </c>
      <c r="H4589" t="str">
        <f>T("CODE 4111 BLDG 1371")</f>
        <v>CODE 4111 BLDG 1371</v>
      </c>
      <c r="I4589" t="str">
        <f t="shared" si="1815"/>
        <v>NEWPORT</v>
      </c>
      <c r="J4589" t="str">
        <f t="shared" si="1816"/>
        <v>RI</v>
      </c>
      <c r="K4589" t="str">
        <f t="shared" si="1811"/>
        <v>000000000000000000</v>
      </c>
      <c r="L4589" t="str">
        <f>T("4018324149")</f>
        <v>4018324149</v>
      </c>
    </row>
    <row r="4590" spans="1:12" x14ac:dyDescent="0.35">
      <c r="A4590" t="str">
        <f t="shared" si="1804"/>
        <v>NUWC NEWPORT</v>
      </c>
      <c r="B4590" t="str">
        <f>T("CODE 8531 BLDG 1371")</f>
        <v>CODE 8531 BLDG 1371</v>
      </c>
      <c r="C4590" t="str">
        <f>T("NAVAL UNDERSEA WARFARE CTR")</f>
        <v>NAVAL UNDERSEA WARFARE CTR</v>
      </c>
      <c r="D4590" t="str">
        <f t="shared" si="1812"/>
        <v>NEWPORT</v>
      </c>
      <c r="E4590" t="str">
        <f t="shared" si="1813"/>
        <v>RI</v>
      </c>
      <c r="F4590" t="str">
        <f t="shared" si="1814"/>
        <v>028410000</v>
      </c>
      <c r="G4590" t="str">
        <f>T("CODE 8531 BLDG 1371")</f>
        <v>CODE 8531 BLDG 1371</v>
      </c>
      <c r="H4590" t="str">
        <f>T("NAVAL UNDERSEA WARFARE CTR")</f>
        <v>NAVAL UNDERSEA WARFARE CTR</v>
      </c>
      <c r="I4590" t="str">
        <f t="shared" si="1815"/>
        <v>NEWPORT</v>
      </c>
      <c r="J4590" t="str">
        <f t="shared" si="1816"/>
        <v>RI</v>
      </c>
      <c r="K4590" t="str">
        <f>T("")</f>
        <v/>
      </c>
      <c r="L4590" t="str">
        <f>T("4018321369")</f>
        <v>4018321369</v>
      </c>
    </row>
    <row r="4591" spans="1:12" x14ac:dyDescent="0.35">
      <c r="A4591" t="str">
        <f t="shared" si="1804"/>
        <v>NUWC NEWPORT</v>
      </c>
      <c r="B4591" t="str">
        <f>T("CODE 8531 BLDG 1371")</f>
        <v>CODE 8531 BLDG 1371</v>
      </c>
      <c r="C4591" t="str">
        <f>T("NAVAL UNDERSEA WARFARE CTR")</f>
        <v>NAVAL UNDERSEA WARFARE CTR</v>
      </c>
      <c r="D4591" t="str">
        <f t="shared" si="1812"/>
        <v>NEWPORT</v>
      </c>
      <c r="E4591" t="str">
        <f t="shared" si="1813"/>
        <v>RI</v>
      </c>
      <c r="F4591" t="str">
        <f t="shared" si="1814"/>
        <v>028410000</v>
      </c>
      <c r="G4591" t="str">
        <f>T("NAVAL UNDERSEA WARFARE CENTER")</f>
        <v>NAVAL UNDERSEA WARFARE CENTER</v>
      </c>
      <c r="H4591" t="str">
        <f>T("CODE 8531 BLDG 1371")</f>
        <v>CODE 8531 BLDG 1371</v>
      </c>
      <c r="I4591" t="str">
        <f t="shared" si="1815"/>
        <v>NEWPORT</v>
      </c>
      <c r="J4591" t="str">
        <f t="shared" si="1816"/>
        <v>RI</v>
      </c>
      <c r="K4591" t="str">
        <f t="shared" ref="K4591:K4615" si="1817">T("000000000000000000")</f>
        <v>000000000000000000</v>
      </c>
      <c r="L4591" t="str">
        <f>T("4018321812")</f>
        <v>4018321812</v>
      </c>
    </row>
    <row r="4592" spans="1:12" x14ac:dyDescent="0.35">
      <c r="A4592" t="str">
        <f t="shared" si="1804"/>
        <v>NUWC NEWPORT</v>
      </c>
      <c r="B4592" t="str">
        <f>T("NAVAL UNDERSEA WAREFAR CENTER")</f>
        <v>NAVAL UNDERSEA WAREFAR CENTER</v>
      </c>
      <c r="C4592" t="str">
        <f>T("CODE 8511 BLDG 1371")</f>
        <v>CODE 8511 BLDG 1371</v>
      </c>
      <c r="D4592" t="str">
        <f t="shared" si="1812"/>
        <v>NEWPORT</v>
      </c>
      <c r="E4592" t="str">
        <f t="shared" si="1813"/>
        <v>RI</v>
      </c>
      <c r="F4592" t="str">
        <f t="shared" si="1814"/>
        <v>028410000</v>
      </c>
      <c r="G4592" t="str">
        <f>T("NAVAL UNDERSEA WAREFAR CENTER")</f>
        <v>NAVAL UNDERSEA WAREFAR CENTER</v>
      </c>
      <c r="H4592" t="str">
        <f>T("CODE 8511 BLDG 1371")</f>
        <v>CODE 8511 BLDG 1371</v>
      </c>
      <c r="I4592" t="str">
        <f t="shared" si="1815"/>
        <v>NEWPORT</v>
      </c>
      <c r="J4592" t="str">
        <f t="shared" si="1816"/>
        <v>RI</v>
      </c>
      <c r="K4592" t="str">
        <f t="shared" si="1817"/>
        <v>000000000000000000</v>
      </c>
      <c r="L4592" t="str">
        <f>T("4018324471")</f>
        <v>4018324471</v>
      </c>
    </row>
    <row r="4593" spans="1:12" x14ac:dyDescent="0.35">
      <c r="A4593" t="str">
        <f t="shared" si="1804"/>
        <v>NUWC NEWPORT</v>
      </c>
      <c r="B4593" t="str">
        <f>T("NAVAL UNDERSEA WAREFAR CENTER")</f>
        <v>NAVAL UNDERSEA WAREFAR CENTER</v>
      </c>
      <c r="C4593" t="str">
        <f>T("CODE 8511 BLDG 1371")</f>
        <v>CODE 8511 BLDG 1371</v>
      </c>
      <c r="D4593" t="str">
        <f t="shared" si="1812"/>
        <v>NEWPORT</v>
      </c>
      <c r="E4593" t="str">
        <f t="shared" si="1813"/>
        <v>RI</v>
      </c>
      <c r="F4593" t="str">
        <f t="shared" si="1814"/>
        <v>028410000</v>
      </c>
      <c r="G4593" t="str">
        <f>T("NAVAL UNDERSEA WARFARE CENTER")</f>
        <v>NAVAL UNDERSEA WARFARE CENTER</v>
      </c>
      <c r="H4593" t="str">
        <f>T("CODE 851 BLDG 1371")</f>
        <v>CODE 851 BLDG 1371</v>
      </c>
      <c r="I4593" t="str">
        <f t="shared" si="1815"/>
        <v>NEWPORT</v>
      </c>
      <c r="J4593" t="str">
        <f t="shared" si="1816"/>
        <v>RI</v>
      </c>
      <c r="K4593" t="str">
        <f t="shared" si="1817"/>
        <v>000000000000000000</v>
      </c>
      <c r="L4593" t="str">
        <f>T("4018321400")</f>
        <v>4018321400</v>
      </c>
    </row>
    <row r="4594" spans="1:12" x14ac:dyDescent="0.35">
      <c r="A4594" t="str">
        <f t="shared" si="1804"/>
        <v>NUWC NEWPORT</v>
      </c>
      <c r="B4594" t="str">
        <f>T("NAVAL UNDERSEA WAREFARE CTR")</f>
        <v>NAVAL UNDERSEA WAREFARE CTR</v>
      </c>
      <c r="C4594" t="str">
        <f>T("CODE 8514 BLDG 1302")</f>
        <v>CODE 8514 BLDG 1302</v>
      </c>
      <c r="D4594" t="str">
        <f t="shared" si="1812"/>
        <v>NEWPORT</v>
      </c>
      <c r="E4594" t="str">
        <f t="shared" si="1813"/>
        <v>RI</v>
      </c>
      <c r="F4594" t="str">
        <f t="shared" si="1814"/>
        <v>028410000</v>
      </c>
      <c r="G4594" t="str">
        <f>T("NAVAL UNDERSEA WAREFARE CTR")</f>
        <v>NAVAL UNDERSEA WAREFARE CTR</v>
      </c>
      <c r="H4594" t="str">
        <f>T("CODE 8514 BLDG 1302")</f>
        <v>CODE 8514 BLDG 1302</v>
      </c>
      <c r="I4594" t="str">
        <f t="shared" si="1815"/>
        <v>NEWPORT</v>
      </c>
      <c r="J4594" t="str">
        <f t="shared" si="1816"/>
        <v>RI</v>
      </c>
      <c r="K4594" t="str">
        <f t="shared" si="1817"/>
        <v>000000000000000000</v>
      </c>
      <c r="L4594" t="str">
        <f>T("4018321794")</f>
        <v>4018321794</v>
      </c>
    </row>
    <row r="4595" spans="1:12" x14ac:dyDescent="0.35">
      <c r="A4595" t="str">
        <f t="shared" si="1804"/>
        <v>NUWC NEWPORT</v>
      </c>
      <c r="B4595" t="str">
        <f>T("NAVAL UNDERSEA WAREFARE CTR")</f>
        <v>NAVAL UNDERSEA WAREFARE CTR</v>
      </c>
      <c r="C4595" t="str">
        <f>T("CODE 8514 BLDG 1302")</f>
        <v>CODE 8514 BLDG 1302</v>
      </c>
      <c r="D4595" t="str">
        <f t="shared" si="1812"/>
        <v>NEWPORT</v>
      </c>
      <c r="E4595" t="str">
        <f t="shared" si="1813"/>
        <v>RI</v>
      </c>
      <c r="F4595" t="str">
        <f t="shared" si="1814"/>
        <v>028410000</v>
      </c>
      <c r="G4595" t="str">
        <f>T("NAVAL UNDERSEA WARFARE CENTER")</f>
        <v>NAVAL UNDERSEA WARFARE CENTER</v>
      </c>
      <c r="H4595" t="str">
        <f>T("CODE 8513 BLDG 1302")</f>
        <v>CODE 8513 BLDG 1302</v>
      </c>
      <c r="I4595" t="str">
        <f t="shared" si="1815"/>
        <v>NEWPORT</v>
      </c>
      <c r="J4595" t="str">
        <f t="shared" si="1816"/>
        <v>RI</v>
      </c>
      <c r="K4595" t="str">
        <f t="shared" si="1817"/>
        <v>000000000000000000</v>
      </c>
      <c r="L4595" t="str">
        <f>T("4018322702")</f>
        <v>4018322702</v>
      </c>
    </row>
    <row r="4596" spans="1:12" x14ac:dyDescent="0.35">
      <c r="A4596" t="str">
        <f t="shared" si="1804"/>
        <v>NUWC NEWPORT</v>
      </c>
      <c r="B4596" t="str">
        <f>T("NAVAL UNDERSEA WAREFARE CTR")</f>
        <v>NAVAL UNDERSEA WAREFARE CTR</v>
      </c>
      <c r="C4596" t="str">
        <f>T("CODE 8514 BLDG 1302")</f>
        <v>CODE 8514 BLDG 1302</v>
      </c>
      <c r="D4596" t="str">
        <f t="shared" si="1812"/>
        <v>NEWPORT</v>
      </c>
      <c r="E4596" t="str">
        <f t="shared" si="1813"/>
        <v>RI</v>
      </c>
      <c r="F4596" t="str">
        <f t="shared" si="1814"/>
        <v>028410000</v>
      </c>
      <c r="G4596" t="str">
        <f>T("NAVAL UNDERSEA WARFARE CENTER")</f>
        <v>NAVAL UNDERSEA WARFARE CENTER</v>
      </c>
      <c r="H4596" t="str">
        <f>T("CODE 8514 BLDG 1302")</f>
        <v>CODE 8514 BLDG 1302</v>
      </c>
      <c r="I4596" t="str">
        <f t="shared" si="1815"/>
        <v>NEWPORT</v>
      </c>
      <c r="J4596" t="str">
        <f t="shared" si="1816"/>
        <v>RI</v>
      </c>
      <c r="K4596" t="str">
        <f t="shared" si="1817"/>
        <v>000000000000000000</v>
      </c>
      <c r="L4596" t="str">
        <f>T("4018322808")</f>
        <v>4018322808</v>
      </c>
    </row>
    <row r="4597" spans="1:12" x14ac:dyDescent="0.35">
      <c r="A4597" t="str">
        <f t="shared" si="1804"/>
        <v>NUWC NEWPORT</v>
      </c>
      <c r="B4597" t="str">
        <f>T("NAVAL UNDERSEA WARFARE")</f>
        <v>NAVAL UNDERSEA WARFARE</v>
      </c>
      <c r="C4597" t="str">
        <f>T("BLDG 148 CODE 8554")</f>
        <v>BLDG 148 CODE 8554</v>
      </c>
      <c r="D4597" t="str">
        <f t="shared" si="1812"/>
        <v>NEWPORT</v>
      </c>
      <c r="E4597" t="str">
        <f t="shared" si="1813"/>
        <v>RI</v>
      </c>
      <c r="F4597" t="str">
        <f t="shared" si="1814"/>
        <v>028410000</v>
      </c>
      <c r="G4597" t="str">
        <f>T("NAVAL UNDERSEA WARFARE")</f>
        <v>NAVAL UNDERSEA WARFARE</v>
      </c>
      <c r="H4597" t="str">
        <f>T("BLDG 148 CODE 8554")</f>
        <v>BLDG 148 CODE 8554</v>
      </c>
      <c r="I4597" t="str">
        <f t="shared" si="1815"/>
        <v>NEWPORT</v>
      </c>
      <c r="J4597" t="str">
        <f t="shared" si="1816"/>
        <v>RI</v>
      </c>
      <c r="K4597" t="str">
        <f t="shared" si="1817"/>
        <v>000000000000000000</v>
      </c>
      <c r="L4597" t="str">
        <f>T("4018327132")</f>
        <v>4018327132</v>
      </c>
    </row>
    <row r="4598" spans="1:12" x14ac:dyDescent="0.35">
      <c r="A4598" t="str">
        <f t="shared" si="1804"/>
        <v>NUWC NEWPORT</v>
      </c>
      <c r="B4598" t="str">
        <f>T("NAVAL UNDERSEA WARFARE")</f>
        <v>NAVAL UNDERSEA WARFARE</v>
      </c>
      <c r="C4598" t="str">
        <f>T("BLDG 148 CODE 8554")</f>
        <v>BLDG 148 CODE 8554</v>
      </c>
      <c r="D4598" t="str">
        <f t="shared" si="1812"/>
        <v>NEWPORT</v>
      </c>
      <c r="E4598" t="str">
        <f t="shared" si="1813"/>
        <v>RI</v>
      </c>
      <c r="F4598" t="str">
        <f t="shared" si="1814"/>
        <v>028410000</v>
      </c>
      <c r="G4598" t="str">
        <f>T("NAVAL UNDERSEA WARFARE CENTER")</f>
        <v>NAVAL UNDERSEA WARFARE CENTER</v>
      </c>
      <c r="H4598" t="str">
        <f>T("CODE 8554 BLDG 11")</f>
        <v>CODE 8554 BLDG 11</v>
      </c>
      <c r="I4598" t="str">
        <f t="shared" si="1815"/>
        <v>NEWPORT</v>
      </c>
      <c r="J4598" t="str">
        <f t="shared" si="1816"/>
        <v>RI</v>
      </c>
      <c r="K4598" t="str">
        <f t="shared" si="1817"/>
        <v>000000000000000000</v>
      </c>
      <c r="L4598" t="str">
        <f>T("4018326850")</f>
        <v>4018326850</v>
      </c>
    </row>
    <row r="4599" spans="1:12" x14ac:dyDescent="0.35">
      <c r="A4599" t="str">
        <f t="shared" si="1804"/>
        <v>NUWC NEWPORT</v>
      </c>
      <c r="B4599" t="str">
        <f>T("NAVAL UNDERSEA WARFARE")</f>
        <v>NAVAL UNDERSEA WARFARE</v>
      </c>
      <c r="C4599" t="str">
        <f>T("BLDG 148 CODE 8554")</f>
        <v>BLDG 148 CODE 8554</v>
      </c>
      <c r="D4599" t="str">
        <f t="shared" si="1812"/>
        <v>NEWPORT</v>
      </c>
      <c r="E4599" t="str">
        <f t="shared" si="1813"/>
        <v>RI</v>
      </c>
      <c r="F4599" t="str">
        <f t="shared" si="1814"/>
        <v>028410000</v>
      </c>
      <c r="G4599" t="str">
        <f>T("NAVAL UNDERSEA WARFARE CENTER")</f>
        <v>NAVAL UNDERSEA WARFARE CENTER</v>
      </c>
      <c r="H4599" t="str">
        <f>T("CODE 8554 BLDG 148")</f>
        <v>CODE 8554 BLDG 148</v>
      </c>
      <c r="I4599" t="str">
        <f t="shared" si="1815"/>
        <v>NEWPORT</v>
      </c>
      <c r="J4599" t="str">
        <f t="shared" si="1816"/>
        <v>RI</v>
      </c>
      <c r="K4599" t="str">
        <f t="shared" si="1817"/>
        <v>000000000000000000</v>
      </c>
      <c r="L4599" t="str">
        <f>T("4018326797")</f>
        <v>4018326797</v>
      </c>
    </row>
    <row r="4600" spans="1:12" x14ac:dyDescent="0.35">
      <c r="A4600" t="str">
        <f t="shared" ref="A4600:A4631" si="1818">T("NUWC NEWPORT")</f>
        <v>NUWC NEWPORT</v>
      </c>
      <c r="B4600" t="str">
        <f>T("NAVAL UNDERSEA WARFARE")</f>
        <v>NAVAL UNDERSEA WARFARE</v>
      </c>
      <c r="C4600" t="str">
        <f>T("BLDG 148 CODE 8554")</f>
        <v>BLDG 148 CODE 8554</v>
      </c>
      <c r="D4600" t="str">
        <f t="shared" si="1812"/>
        <v>NEWPORT</v>
      </c>
      <c r="E4600" t="str">
        <f t="shared" si="1813"/>
        <v>RI</v>
      </c>
      <c r="F4600" t="str">
        <f t="shared" si="1814"/>
        <v>028410000</v>
      </c>
      <c r="G4600" t="str">
        <f>T("NUWC NEWPORT BLDG 110")</f>
        <v>NUWC NEWPORT BLDG 110</v>
      </c>
      <c r="H4600" t="str">
        <f>T("CODE 8553")</f>
        <v>CODE 8553</v>
      </c>
      <c r="I4600" t="str">
        <f t="shared" si="1815"/>
        <v>NEWPORT</v>
      </c>
      <c r="J4600" t="str">
        <f t="shared" si="1816"/>
        <v>RI</v>
      </c>
      <c r="K4600" t="str">
        <f t="shared" si="1817"/>
        <v>000000000000000000</v>
      </c>
      <c r="L4600" t="str">
        <f>T("4018328509")</f>
        <v>4018328509</v>
      </c>
    </row>
    <row r="4601" spans="1:12" x14ac:dyDescent="0.35">
      <c r="A4601" t="str">
        <f t="shared" si="1818"/>
        <v>NUWC NEWPORT</v>
      </c>
      <c r="B4601" t="str">
        <f t="shared" ref="B4601:B4647" si="1819">T("NAVAL UNDERSEA WARFARE CENTER")</f>
        <v>NAVAL UNDERSEA WARFARE CENTER</v>
      </c>
      <c r="C4601" t="str">
        <f>T("CODE 012 BLDG 1176")</f>
        <v>CODE 012 BLDG 1176</v>
      </c>
      <c r="D4601" t="str">
        <f t="shared" si="1812"/>
        <v>NEWPORT</v>
      </c>
      <c r="E4601" t="str">
        <f t="shared" si="1813"/>
        <v>RI</v>
      </c>
      <c r="F4601" t="str">
        <f t="shared" si="1814"/>
        <v>028410000</v>
      </c>
      <c r="G4601" t="str">
        <f>T("NAVAL UNDERSEA WARFARE CENTER")</f>
        <v>NAVAL UNDERSEA WARFARE CENTER</v>
      </c>
      <c r="H4601" t="str">
        <f>T("CODE 012 BLDG 1176")</f>
        <v>CODE 012 BLDG 1176</v>
      </c>
      <c r="I4601" t="str">
        <f t="shared" si="1815"/>
        <v>NEWPORT</v>
      </c>
      <c r="J4601" t="str">
        <f t="shared" si="1816"/>
        <v>RI</v>
      </c>
      <c r="K4601" t="str">
        <f t="shared" si="1817"/>
        <v>000000000000000000</v>
      </c>
      <c r="L4601" t="str">
        <f>T("4018326234")</f>
        <v>4018326234</v>
      </c>
    </row>
    <row r="4602" spans="1:12" x14ac:dyDescent="0.35">
      <c r="A4602" t="str">
        <f t="shared" si="1818"/>
        <v>NUWC NEWPORT</v>
      </c>
      <c r="B4602" t="str">
        <f t="shared" si="1819"/>
        <v>NAVAL UNDERSEA WARFARE CENTER</v>
      </c>
      <c r="C4602" t="str">
        <f>T("CODE 012 BLDG 1176")</f>
        <v>CODE 012 BLDG 1176</v>
      </c>
      <c r="D4602" t="str">
        <f t="shared" si="1812"/>
        <v>NEWPORT</v>
      </c>
      <c r="E4602" t="str">
        <f t="shared" si="1813"/>
        <v>RI</v>
      </c>
      <c r="F4602" t="str">
        <f t="shared" si="1814"/>
        <v>028410000</v>
      </c>
      <c r="G4602" t="str">
        <f>T("NAVAL UNDERSEA WARFARE CTR")</f>
        <v>NAVAL UNDERSEA WARFARE CTR</v>
      </c>
      <c r="H4602" t="str">
        <f>T("CODE 0121 BLDG 1176")</f>
        <v>CODE 0121 BLDG 1176</v>
      </c>
      <c r="I4602" t="str">
        <f t="shared" si="1815"/>
        <v>NEWPORT</v>
      </c>
      <c r="J4602" t="str">
        <f t="shared" si="1816"/>
        <v>RI</v>
      </c>
      <c r="K4602" t="str">
        <f t="shared" si="1817"/>
        <v>000000000000000000</v>
      </c>
      <c r="L4602" t="str">
        <f>T("4018325406")</f>
        <v>4018325406</v>
      </c>
    </row>
    <row r="4603" spans="1:12" x14ac:dyDescent="0.35">
      <c r="A4603" t="str">
        <f t="shared" si="1818"/>
        <v>NUWC NEWPORT</v>
      </c>
      <c r="B4603" t="str">
        <f t="shared" si="1819"/>
        <v>NAVAL UNDERSEA WARFARE CENTER</v>
      </c>
      <c r="C4603" t="str">
        <f>T("CODE 012 BLDG 1176")</f>
        <v>CODE 012 BLDG 1176</v>
      </c>
      <c r="D4603" t="str">
        <f t="shared" si="1812"/>
        <v>NEWPORT</v>
      </c>
      <c r="E4603" t="str">
        <f t="shared" si="1813"/>
        <v>RI</v>
      </c>
      <c r="F4603" t="str">
        <f t="shared" si="1814"/>
        <v>028410000</v>
      </c>
      <c r="G4603" t="str">
        <f>T("NAVAL UNDERSEA WARFARE CTR")</f>
        <v>NAVAL UNDERSEA WARFARE CTR</v>
      </c>
      <c r="H4603" t="str">
        <f>T("CODE 0121 BLDG 1176")</f>
        <v>CODE 0121 BLDG 1176</v>
      </c>
      <c r="I4603" t="str">
        <f t="shared" si="1815"/>
        <v>NEWPORT</v>
      </c>
      <c r="J4603" t="str">
        <f t="shared" si="1816"/>
        <v>RI</v>
      </c>
      <c r="K4603" t="str">
        <f t="shared" si="1817"/>
        <v>000000000000000000</v>
      </c>
      <c r="L4603" t="str">
        <f>T("4018325955")</f>
        <v>4018325955</v>
      </c>
    </row>
    <row r="4604" spans="1:12" x14ac:dyDescent="0.35">
      <c r="A4604" t="str">
        <f t="shared" si="1818"/>
        <v>NUWC NEWPORT</v>
      </c>
      <c r="B4604" t="str">
        <f t="shared" si="1819"/>
        <v>NAVAL UNDERSEA WARFARE CENTER</v>
      </c>
      <c r="C4604" t="str">
        <f>T("CODE 0213 BLDG 1258")</f>
        <v>CODE 0213 BLDG 1258</v>
      </c>
      <c r="D4604" t="str">
        <f t="shared" si="1812"/>
        <v>NEWPORT</v>
      </c>
      <c r="E4604" t="str">
        <f t="shared" si="1813"/>
        <v>RI</v>
      </c>
      <c r="F4604" t="str">
        <f t="shared" si="1814"/>
        <v>028410000</v>
      </c>
      <c r="G4604" t="str">
        <f>T("NAVAL UNDERSEA WARFARE CENTER")</f>
        <v>NAVAL UNDERSEA WARFARE CENTER</v>
      </c>
      <c r="H4604" t="str">
        <f>T("CODE 0213 BLDG 1258")</f>
        <v>CODE 0213 BLDG 1258</v>
      </c>
      <c r="I4604" t="str">
        <f t="shared" si="1815"/>
        <v>NEWPORT</v>
      </c>
      <c r="J4604" t="str">
        <f t="shared" si="1816"/>
        <v>RI</v>
      </c>
      <c r="K4604" t="str">
        <f t="shared" si="1817"/>
        <v>000000000000000000</v>
      </c>
      <c r="L4604" t="str">
        <f>T("4018329217")</f>
        <v>4018329217</v>
      </c>
    </row>
    <row r="4605" spans="1:12" x14ac:dyDescent="0.35">
      <c r="A4605" t="str">
        <f t="shared" si="1818"/>
        <v>NUWC NEWPORT</v>
      </c>
      <c r="B4605" t="str">
        <f t="shared" si="1819"/>
        <v>NAVAL UNDERSEA WARFARE CENTER</v>
      </c>
      <c r="C4605" t="str">
        <f>T("CODE 0213 BLDG 1258")</f>
        <v>CODE 0213 BLDG 1258</v>
      </c>
      <c r="D4605" t="str">
        <f t="shared" si="1812"/>
        <v>NEWPORT</v>
      </c>
      <c r="E4605" t="str">
        <f t="shared" si="1813"/>
        <v>RI</v>
      </c>
      <c r="F4605" t="str">
        <f t="shared" si="1814"/>
        <v>028410000</v>
      </c>
      <c r="G4605" t="str">
        <f>T("NAVAL UNDERSEA WARFARE CENTER")</f>
        <v>NAVAL UNDERSEA WARFARE CENTER</v>
      </c>
      <c r="H4605" t="str">
        <f>T("CODE 0222 BLDG 1258")</f>
        <v>CODE 0222 BLDG 1258</v>
      </c>
      <c r="I4605" t="str">
        <f t="shared" si="1815"/>
        <v>NEWPORT</v>
      </c>
      <c r="J4605" t="str">
        <f t="shared" si="1816"/>
        <v>RI</v>
      </c>
      <c r="K4605" t="str">
        <f t="shared" si="1817"/>
        <v>000000000000000000</v>
      </c>
      <c r="L4605" t="str">
        <f>T("4018326612")</f>
        <v>4018326612</v>
      </c>
    </row>
    <row r="4606" spans="1:12" x14ac:dyDescent="0.35">
      <c r="A4606" t="str">
        <f t="shared" si="1818"/>
        <v>NUWC NEWPORT</v>
      </c>
      <c r="B4606" t="str">
        <f t="shared" si="1819"/>
        <v>NAVAL UNDERSEA WARFARE CENTER</v>
      </c>
      <c r="C4606" t="str">
        <f>T("CODE 0213 BLDG 1258")</f>
        <v>CODE 0213 BLDG 1258</v>
      </c>
      <c r="D4606" t="str">
        <f t="shared" si="1812"/>
        <v>NEWPORT</v>
      </c>
      <c r="E4606" t="str">
        <f t="shared" si="1813"/>
        <v>RI</v>
      </c>
      <c r="F4606" t="str">
        <f t="shared" si="1814"/>
        <v>028410000</v>
      </c>
      <c r="G4606" t="str">
        <f>T("NAVAL UNDERSEA WARFARE CENTER")</f>
        <v>NAVAL UNDERSEA WARFARE CENTER</v>
      </c>
      <c r="H4606" t="str">
        <f>T("CODE 0223 BLDG 1258")</f>
        <v>CODE 0223 BLDG 1258</v>
      </c>
      <c r="I4606" t="str">
        <f t="shared" si="1815"/>
        <v>NEWPORT</v>
      </c>
      <c r="J4606" t="str">
        <f t="shared" si="1816"/>
        <v>RI</v>
      </c>
      <c r="K4606" t="str">
        <f t="shared" si="1817"/>
        <v>000000000000000000</v>
      </c>
      <c r="L4606" t="str">
        <f>T("4018322874")</f>
        <v>4018322874</v>
      </c>
    </row>
    <row r="4607" spans="1:12" x14ac:dyDescent="0.35">
      <c r="A4607" t="str">
        <f t="shared" si="1818"/>
        <v>NUWC NEWPORT</v>
      </c>
      <c r="B4607" t="str">
        <f t="shared" si="1819"/>
        <v>NAVAL UNDERSEA WARFARE CENTER</v>
      </c>
      <c r="C4607" t="str">
        <f>T("CODE 1016 BLDG 109")</f>
        <v>CODE 1016 BLDG 109</v>
      </c>
      <c r="D4607" t="str">
        <f t="shared" si="1812"/>
        <v>NEWPORT</v>
      </c>
      <c r="E4607" t="str">
        <f t="shared" si="1813"/>
        <v>RI</v>
      </c>
      <c r="F4607" t="str">
        <f t="shared" si="1814"/>
        <v>028410000</v>
      </c>
      <c r="G4607" t="str">
        <f>T("1176 HOWELL ST")</f>
        <v>1176 HOWELL ST</v>
      </c>
      <c r="H4607" t="str">
        <f>T("")</f>
        <v/>
      </c>
      <c r="I4607" t="str">
        <f t="shared" si="1815"/>
        <v>NEWPORT</v>
      </c>
      <c r="J4607" t="str">
        <f t="shared" si="1816"/>
        <v>RI</v>
      </c>
      <c r="K4607" t="str">
        <f t="shared" si="1817"/>
        <v>000000000000000000</v>
      </c>
      <c r="L4607" t="str">
        <f>T("4018321955")</f>
        <v>4018321955</v>
      </c>
    </row>
    <row r="4608" spans="1:12" x14ac:dyDescent="0.35">
      <c r="A4608" t="str">
        <f t="shared" si="1818"/>
        <v>NUWC NEWPORT</v>
      </c>
      <c r="B4608" t="str">
        <f t="shared" si="1819"/>
        <v>NAVAL UNDERSEA WARFARE CENTER</v>
      </c>
      <c r="C4608" t="str">
        <f>T("CODE 1016 BLDG 109")</f>
        <v>CODE 1016 BLDG 109</v>
      </c>
      <c r="D4608" t="str">
        <f t="shared" si="1812"/>
        <v>NEWPORT</v>
      </c>
      <c r="E4608" t="str">
        <f t="shared" si="1813"/>
        <v>RI</v>
      </c>
      <c r="F4608" t="str">
        <f t="shared" si="1814"/>
        <v>028410000</v>
      </c>
      <c r="G4608" t="str">
        <f t="shared" ref="G4608:G4625" si="1820">T("NAVAL UNDERSEA WARFARE CENTER")</f>
        <v>NAVAL UNDERSEA WARFARE CENTER</v>
      </c>
      <c r="H4608" t="str">
        <f>T("CODE 101 BLDG 109")</f>
        <v>CODE 101 BLDG 109</v>
      </c>
      <c r="I4608" t="str">
        <f t="shared" si="1815"/>
        <v>NEWPORT</v>
      </c>
      <c r="J4608" t="str">
        <f t="shared" si="1816"/>
        <v>RI</v>
      </c>
      <c r="K4608" t="str">
        <f t="shared" si="1817"/>
        <v>000000000000000000</v>
      </c>
      <c r="L4608" t="str">
        <f>T("4018323899")</f>
        <v>4018323899</v>
      </c>
    </row>
    <row r="4609" spans="1:12" x14ac:dyDescent="0.35">
      <c r="A4609" t="str">
        <f t="shared" si="1818"/>
        <v>NUWC NEWPORT</v>
      </c>
      <c r="B4609" t="str">
        <f t="shared" si="1819"/>
        <v>NAVAL UNDERSEA WARFARE CENTER</v>
      </c>
      <c r="C4609" t="str">
        <f>T("CODE 1016 BLDG 109")</f>
        <v>CODE 1016 BLDG 109</v>
      </c>
      <c r="D4609" t="str">
        <f t="shared" si="1812"/>
        <v>NEWPORT</v>
      </c>
      <c r="E4609" t="str">
        <f t="shared" si="1813"/>
        <v>RI</v>
      </c>
      <c r="F4609" t="str">
        <f t="shared" si="1814"/>
        <v>028410000</v>
      </c>
      <c r="G4609" t="str">
        <f t="shared" si="1820"/>
        <v>NAVAL UNDERSEA WARFARE CENTER</v>
      </c>
      <c r="H4609" t="str">
        <f>T("CODE 1016 BLDG 109")</f>
        <v>CODE 1016 BLDG 109</v>
      </c>
      <c r="I4609" t="str">
        <f t="shared" si="1815"/>
        <v>NEWPORT</v>
      </c>
      <c r="J4609" t="str">
        <f t="shared" si="1816"/>
        <v>RI</v>
      </c>
      <c r="K4609" t="str">
        <f t="shared" si="1817"/>
        <v>000000000000000000</v>
      </c>
      <c r="L4609" t="str">
        <f>T("4018321955")</f>
        <v>4018321955</v>
      </c>
    </row>
    <row r="4610" spans="1:12" x14ac:dyDescent="0.35">
      <c r="A4610" t="str">
        <f t="shared" si="1818"/>
        <v>NUWC NEWPORT</v>
      </c>
      <c r="B4610" t="str">
        <f t="shared" si="1819"/>
        <v>NAVAL UNDERSEA WARFARE CENTER</v>
      </c>
      <c r="C4610" t="str">
        <f>T("CODE 1016 BLDG 109")</f>
        <v>CODE 1016 BLDG 109</v>
      </c>
      <c r="D4610" t="str">
        <f t="shared" si="1812"/>
        <v>NEWPORT</v>
      </c>
      <c r="E4610" t="str">
        <f t="shared" si="1813"/>
        <v>RI</v>
      </c>
      <c r="F4610" t="str">
        <f t="shared" si="1814"/>
        <v>028410000</v>
      </c>
      <c r="G4610" t="str">
        <f t="shared" si="1820"/>
        <v>NAVAL UNDERSEA WARFARE CENTER</v>
      </c>
      <c r="H4610" t="str">
        <f>T("CODE 1016 BLDG 109")</f>
        <v>CODE 1016 BLDG 109</v>
      </c>
      <c r="I4610" t="str">
        <f t="shared" si="1815"/>
        <v>NEWPORT</v>
      </c>
      <c r="J4610" t="str">
        <f t="shared" si="1816"/>
        <v>RI</v>
      </c>
      <c r="K4610" t="str">
        <f t="shared" si="1817"/>
        <v>000000000000000000</v>
      </c>
      <c r="L4610" t="str">
        <f>T("4018329235")</f>
        <v>4018329235</v>
      </c>
    </row>
    <row r="4611" spans="1:12" x14ac:dyDescent="0.35">
      <c r="A4611" t="str">
        <f t="shared" si="1818"/>
        <v>NUWC NEWPORT</v>
      </c>
      <c r="B4611" t="str">
        <f t="shared" si="1819"/>
        <v>NAVAL UNDERSEA WARFARE CENTER</v>
      </c>
      <c r="C4611" t="str">
        <f>T("CODE 1016 BLDG 109")</f>
        <v>CODE 1016 BLDG 109</v>
      </c>
      <c r="D4611" t="str">
        <f t="shared" si="1812"/>
        <v>NEWPORT</v>
      </c>
      <c r="E4611" t="str">
        <f t="shared" si="1813"/>
        <v>RI</v>
      </c>
      <c r="F4611" t="str">
        <f t="shared" si="1814"/>
        <v>028410000</v>
      </c>
      <c r="G4611" t="str">
        <f t="shared" si="1820"/>
        <v>NAVAL UNDERSEA WARFARE CENTER</v>
      </c>
      <c r="H4611" t="str">
        <f>T("CODE 1061 BLDG 990")</f>
        <v>CODE 1061 BLDG 990</v>
      </c>
      <c r="I4611" t="str">
        <f t="shared" si="1815"/>
        <v>NEWPORT</v>
      </c>
      <c r="J4611" t="str">
        <f t="shared" si="1816"/>
        <v>RI</v>
      </c>
      <c r="K4611" t="str">
        <f t="shared" si="1817"/>
        <v>000000000000000000</v>
      </c>
      <c r="L4611" t="str">
        <f>T("4018326339")</f>
        <v>4018326339</v>
      </c>
    </row>
    <row r="4612" spans="1:12" x14ac:dyDescent="0.35">
      <c r="A4612" t="str">
        <f t="shared" si="1818"/>
        <v>NUWC NEWPORT</v>
      </c>
      <c r="B4612" t="str">
        <f t="shared" si="1819"/>
        <v>NAVAL UNDERSEA WARFARE CENTER</v>
      </c>
      <c r="C4612" t="str">
        <f>T("CODE 1021 BLDG 679")</f>
        <v>CODE 1021 BLDG 679</v>
      </c>
      <c r="D4612" t="str">
        <f t="shared" si="1812"/>
        <v>NEWPORT</v>
      </c>
      <c r="E4612" t="str">
        <f t="shared" si="1813"/>
        <v>RI</v>
      </c>
      <c r="F4612" t="str">
        <f t="shared" si="1814"/>
        <v>028410000</v>
      </c>
      <c r="G4612" t="str">
        <f t="shared" si="1820"/>
        <v>NAVAL UNDERSEA WARFARE CENTER</v>
      </c>
      <c r="H4612" t="str">
        <f>T("CODE 1021 BLDG 679")</f>
        <v>CODE 1021 BLDG 679</v>
      </c>
      <c r="I4612" t="str">
        <f t="shared" si="1815"/>
        <v>NEWPORT</v>
      </c>
      <c r="J4612" t="str">
        <f t="shared" si="1816"/>
        <v>RI</v>
      </c>
      <c r="K4612" t="str">
        <f t="shared" si="1817"/>
        <v>000000000000000000</v>
      </c>
      <c r="L4612" t="str">
        <f>T("4018323079")</f>
        <v>4018323079</v>
      </c>
    </row>
    <row r="4613" spans="1:12" x14ac:dyDescent="0.35">
      <c r="A4613" t="str">
        <f t="shared" si="1818"/>
        <v>NUWC NEWPORT</v>
      </c>
      <c r="B4613" t="str">
        <f t="shared" si="1819"/>
        <v>NAVAL UNDERSEA WARFARE CENTER</v>
      </c>
      <c r="C4613" t="str">
        <f>T("CODE 1021 BLDG 679")</f>
        <v>CODE 1021 BLDG 679</v>
      </c>
      <c r="D4613" t="str">
        <f t="shared" si="1812"/>
        <v>NEWPORT</v>
      </c>
      <c r="E4613" t="str">
        <f t="shared" si="1813"/>
        <v>RI</v>
      </c>
      <c r="F4613" t="str">
        <f t="shared" si="1814"/>
        <v>028410000</v>
      </c>
      <c r="G4613" t="str">
        <f t="shared" si="1820"/>
        <v>NAVAL UNDERSEA WARFARE CENTER</v>
      </c>
      <c r="H4613" t="str">
        <f>T("CODE 1021 BLDG 679")</f>
        <v>CODE 1021 BLDG 679</v>
      </c>
      <c r="I4613" t="str">
        <f t="shared" si="1815"/>
        <v>NEWPORT</v>
      </c>
      <c r="J4613" t="str">
        <f t="shared" si="1816"/>
        <v>RI</v>
      </c>
      <c r="K4613" t="str">
        <f t="shared" si="1817"/>
        <v>000000000000000000</v>
      </c>
      <c r="L4613" t="str">
        <f>T("4018323417")</f>
        <v>4018323417</v>
      </c>
    </row>
    <row r="4614" spans="1:12" x14ac:dyDescent="0.35">
      <c r="A4614" t="str">
        <f t="shared" si="1818"/>
        <v>NUWC NEWPORT</v>
      </c>
      <c r="B4614" t="str">
        <f t="shared" si="1819"/>
        <v>NAVAL UNDERSEA WARFARE CENTER</v>
      </c>
      <c r="C4614" t="str">
        <f>T("CODE 1023 BLDG 679")</f>
        <v>CODE 1023 BLDG 679</v>
      </c>
      <c r="D4614" t="str">
        <f t="shared" si="1812"/>
        <v>NEWPORT</v>
      </c>
      <c r="E4614" t="str">
        <f t="shared" si="1813"/>
        <v>RI</v>
      </c>
      <c r="F4614" t="str">
        <f>T("028411708")</f>
        <v>028411708</v>
      </c>
      <c r="G4614" t="str">
        <f t="shared" si="1820"/>
        <v>NAVAL UNDERSEA WARFARE CENTER</v>
      </c>
      <c r="H4614" t="str">
        <f>T("CODE 1023 BLDG 679")</f>
        <v>CODE 1023 BLDG 679</v>
      </c>
      <c r="I4614" t="str">
        <f t="shared" si="1815"/>
        <v>NEWPORT</v>
      </c>
      <c r="J4614" t="str">
        <f t="shared" si="1816"/>
        <v>RI</v>
      </c>
      <c r="K4614" t="str">
        <f t="shared" si="1817"/>
        <v>000000000000000000</v>
      </c>
      <c r="L4614" t="str">
        <f>T("4018324606")</f>
        <v>4018324606</v>
      </c>
    </row>
    <row r="4615" spans="1:12" x14ac:dyDescent="0.35">
      <c r="A4615" t="str">
        <f t="shared" si="1818"/>
        <v>NUWC NEWPORT</v>
      </c>
      <c r="B4615" t="str">
        <f t="shared" si="1819"/>
        <v>NAVAL UNDERSEA WARFARE CENTER</v>
      </c>
      <c r="C4615" t="str">
        <f>T("CODE 1023 BLDG 679")</f>
        <v>CODE 1023 BLDG 679</v>
      </c>
      <c r="D4615" t="str">
        <f t="shared" si="1812"/>
        <v>NEWPORT</v>
      </c>
      <c r="E4615" t="str">
        <f t="shared" si="1813"/>
        <v>RI</v>
      </c>
      <c r="F4615" t="str">
        <f>T("028411708")</f>
        <v>028411708</v>
      </c>
      <c r="G4615" t="str">
        <f t="shared" si="1820"/>
        <v>NAVAL UNDERSEA WARFARE CENTER</v>
      </c>
      <c r="H4615" t="str">
        <f>T("CODE 1023 BLDG 679")</f>
        <v>CODE 1023 BLDG 679</v>
      </c>
      <c r="I4615" t="str">
        <f t="shared" si="1815"/>
        <v>NEWPORT</v>
      </c>
      <c r="J4615" t="str">
        <f t="shared" si="1816"/>
        <v>RI</v>
      </c>
      <c r="K4615" t="str">
        <f t="shared" si="1817"/>
        <v>000000000000000000</v>
      </c>
      <c r="L4615" t="str">
        <f>T("4018325844")</f>
        <v>4018325844</v>
      </c>
    </row>
    <row r="4616" spans="1:12" x14ac:dyDescent="0.35">
      <c r="A4616" t="str">
        <f t="shared" si="1818"/>
        <v>NUWC NEWPORT</v>
      </c>
      <c r="B4616" t="str">
        <f t="shared" si="1819"/>
        <v>NAVAL UNDERSEA WARFARE CENTER</v>
      </c>
      <c r="C4616" t="str">
        <f>T("CODE 1031 BLDG 990")</f>
        <v>CODE 1031 BLDG 990</v>
      </c>
      <c r="D4616" t="str">
        <f t="shared" ref="D4616:D4647" si="1821">T("NEWPORT")</f>
        <v>NEWPORT</v>
      </c>
      <c r="E4616" t="str">
        <f t="shared" ref="E4616:E4647" si="1822">T("RI")</f>
        <v>RI</v>
      </c>
      <c r="F4616" t="str">
        <f>T("028411708")</f>
        <v>028411708</v>
      </c>
      <c r="G4616" t="str">
        <f t="shared" si="1820"/>
        <v>NAVAL UNDERSEA WARFARE CENTER</v>
      </c>
      <c r="H4616" t="str">
        <f>T("CODE 1031 BLDG 990")</f>
        <v>CODE 1031 BLDG 990</v>
      </c>
      <c r="I4616" t="str">
        <f t="shared" ref="I4616:I4647" si="1823">T("NEWPORT")</f>
        <v>NEWPORT</v>
      </c>
      <c r="J4616" t="str">
        <f t="shared" ref="J4616:J4647" si="1824">T("RI")</f>
        <v>RI</v>
      </c>
      <c r="K4616" t="str">
        <f>T("")</f>
        <v/>
      </c>
      <c r="L4616" t="str">
        <f>T("4018327267")</f>
        <v>4018327267</v>
      </c>
    </row>
    <row r="4617" spans="1:12" x14ac:dyDescent="0.35">
      <c r="A4617" t="str">
        <f t="shared" si="1818"/>
        <v>NUWC NEWPORT</v>
      </c>
      <c r="B4617" t="str">
        <f t="shared" si="1819"/>
        <v>NAVAL UNDERSEA WARFARE CENTER</v>
      </c>
      <c r="C4617" t="str">
        <f>T("CODE 106 BLDG 990")</f>
        <v>CODE 106 BLDG 990</v>
      </c>
      <c r="D4617" t="str">
        <f t="shared" si="1821"/>
        <v>NEWPORT</v>
      </c>
      <c r="E4617" t="str">
        <f t="shared" si="1822"/>
        <v>RI</v>
      </c>
      <c r="F4617" t="str">
        <f t="shared" ref="F4617:F4647" si="1825">T("028410000")</f>
        <v>028410000</v>
      </c>
      <c r="G4617" t="str">
        <f t="shared" si="1820"/>
        <v>NAVAL UNDERSEA WARFARE CENTER</v>
      </c>
      <c r="H4617" t="str">
        <f>T("CODE 1022 BLDG 47")</f>
        <v>CODE 1022 BLDG 47</v>
      </c>
      <c r="I4617" t="str">
        <f t="shared" si="1823"/>
        <v>NEWPORT</v>
      </c>
      <c r="J4617" t="str">
        <f t="shared" si="1824"/>
        <v>RI</v>
      </c>
      <c r="K4617" t="str">
        <f t="shared" ref="K4617:K4640" si="1826">T("000000000000000000")</f>
        <v>000000000000000000</v>
      </c>
      <c r="L4617" t="str">
        <f>T("4018328290")</f>
        <v>4018328290</v>
      </c>
    </row>
    <row r="4618" spans="1:12" x14ac:dyDescent="0.35">
      <c r="A4618" t="str">
        <f t="shared" si="1818"/>
        <v>NUWC NEWPORT</v>
      </c>
      <c r="B4618" t="str">
        <f t="shared" si="1819"/>
        <v>NAVAL UNDERSEA WARFARE CENTER</v>
      </c>
      <c r="C4618" t="str">
        <f>T("CODE 106 BLDG 990")</f>
        <v>CODE 106 BLDG 990</v>
      </c>
      <c r="D4618" t="str">
        <f t="shared" si="1821"/>
        <v>NEWPORT</v>
      </c>
      <c r="E4618" t="str">
        <f t="shared" si="1822"/>
        <v>RI</v>
      </c>
      <c r="F4618" t="str">
        <f t="shared" si="1825"/>
        <v>028410000</v>
      </c>
      <c r="G4618" t="str">
        <f t="shared" si="1820"/>
        <v>NAVAL UNDERSEA WARFARE CENTER</v>
      </c>
      <c r="H4618" t="str">
        <f>T("CODE 106 BLDG 990")</f>
        <v>CODE 106 BLDG 990</v>
      </c>
      <c r="I4618" t="str">
        <f t="shared" si="1823"/>
        <v>NEWPORT</v>
      </c>
      <c r="J4618" t="str">
        <f t="shared" si="1824"/>
        <v>RI</v>
      </c>
      <c r="K4618" t="str">
        <f t="shared" si="1826"/>
        <v>000000000000000000</v>
      </c>
      <c r="L4618" t="str">
        <f>T("4018324933")</f>
        <v>4018324933</v>
      </c>
    </row>
    <row r="4619" spans="1:12" x14ac:dyDescent="0.35">
      <c r="A4619" t="str">
        <f t="shared" si="1818"/>
        <v>NUWC NEWPORT</v>
      </c>
      <c r="B4619" t="str">
        <f t="shared" si="1819"/>
        <v>NAVAL UNDERSEA WARFARE CENTER</v>
      </c>
      <c r="C4619" t="str">
        <f>T("CODE 106 BLDG 990")</f>
        <v>CODE 106 BLDG 990</v>
      </c>
      <c r="D4619" t="str">
        <f t="shared" si="1821"/>
        <v>NEWPORT</v>
      </c>
      <c r="E4619" t="str">
        <f t="shared" si="1822"/>
        <v>RI</v>
      </c>
      <c r="F4619" t="str">
        <f t="shared" si="1825"/>
        <v>028410000</v>
      </c>
      <c r="G4619" t="str">
        <f t="shared" si="1820"/>
        <v>NAVAL UNDERSEA WARFARE CENTER</v>
      </c>
      <c r="H4619" t="str">
        <f>T("CODE 1063 BLDG 990")</f>
        <v>CODE 1063 BLDG 990</v>
      </c>
      <c r="I4619" t="str">
        <f t="shared" si="1823"/>
        <v>NEWPORT</v>
      </c>
      <c r="J4619" t="str">
        <f t="shared" si="1824"/>
        <v>RI</v>
      </c>
      <c r="K4619" t="str">
        <f t="shared" si="1826"/>
        <v>000000000000000000</v>
      </c>
      <c r="L4619" t="str">
        <f>T("4018328708")</f>
        <v>4018328708</v>
      </c>
    </row>
    <row r="4620" spans="1:12" x14ac:dyDescent="0.35">
      <c r="A4620" t="str">
        <f t="shared" si="1818"/>
        <v>NUWC NEWPORT</v>
      </c>
      <c r="B4620" t="str">
        <f t="shared" si="1819"/>
        <v>NAVAL UNDERSEA WARFARE CENTER</v>
      </c>
      <c r="C4620" t="str">
        <f>T("CODE 106 BLDG 990")</f>
        <v>CODE 106 BLDG 990</v>
      </c>
      <c r="D4620" t="str">
        <f t="shared" si="1821"/>
        <v>NEWPORT</v>
      </c>
      <c r="E4620" t="str">
        <f t="shared" si="1822"/>
        <v>RI</v>
      </c>
      <c r="F4620" t="str">
        <f t="shared" si="1825"/>
        <v>028410000</v>
      </c>
      <c r="G4620" t="str">
        <f t="shared" si="1820"/>
        <v>NAVAL UNDERSEA WARFARE CENTER</v>
      </c>
      <c r="H4620" t="str">
        <f>T("CODE 1064 BLDG 103")</f>
        <v>CODE 1064 BLDG 103</v>
      </c>
      <c r="I4620" t="str">
        <f t="shared" si="1823"/>
        <v>NEWPORT</v>
      </c>
      <c r="J4620" t="str">
        <f t="shared" si="1824"/>
        <v>RI</v>
      </c>
      <c r="K4620" t="str">
        <f t="shared" si="1826"/>
        <v>000000000000000000</v>
      </c>
      <c r="L4620" t="str">
        <f>T("4018323678")</f>
        <v>4018323678</v>
      </c>
    </row>
    <row r="4621" spans="1:12" x14ac:dyDescent="0.35">
      <c r="A4621" t="str">
        <f t="shared" si="1818"/>
        <v>NUWC NEWPORT</v>
      </c>
      <c r="B4621" t="str">
        <f t="shared" si="1819"/>
        <v>NAVAL UNDERSEA WARFARE CENTER</v>
      </c>
      <c r="C4621" t="str">
        <f>T("CODE 1064 BLDG 111")</f>
        <v>CODE 1064 BLDG 111</v>
      </c>
      <c r="D4621" t="str">
        <f t="shared" si="1821"/>
        <v>NEWPORT</v>
      </c>
      <c r="E4621" t="str">
        <f t="shared" si="1822"/>
        <v>RI</v>
      </c>
      <c r="F4621" t="str">
        <f t="shared" si="1825"/>
        <v>028410000</v>
      </c>
      <c r="G4621" t="str">
        <f t="shared" si="1820"/>
        <v>NAVAL UNDERSEA WARFARE CENTER</v>
      </c>
      <c r="H4621" t="str">
        <f>T("CODE 1064 BLDG 111")</f>
        <v>CODE 1064 BLDG 111</v>
      </c>
      <c r="I4621" t="str">
        <f t="shared" si="1823"/>
        <v>NEWPORT</v>
      </c>
      <c r="J4621" t="str">
        <f t="shared" si="1824"/>
        <v>RI</v>
      </c>
      <c r="K4621" t="str">
        <f t="shared" si="1826"/>
        <v>000000000000000000</v>
      </c>
      <c r="L4621" t="str">
        <f>T("4018326781")</f>
        <v>4018326781</v>
      </c>
    </row>
    <row r="4622" spans="1:12" x14ac:dyDescent="0.35">
      <c r="A4622" t="str">
        <f t="shared" si="1818"/>
        <v>NUWC NEWPORT</v>
      </c>
      <c r="B4622" t="str">
        <f t="shared" si="1819"/>
        <v>NAVAL UNDERSEA WARFARE CENTER</v>
      </c>
      <c r="C4622" t="str">
        <f>T("CODE 1512 BLDG 1170")</f>
        <v>CODE 1512 BLDG 1170</v>
      </c>
      <c r="D4622" t="str">
        <f t="shared" si="1821"/>
        <v>NEWPORT</v>
      </c>
      <c r="E4622" t="str">
        <f t="shared" si="1822"/>
        <v>RI</v>
      </c>
      <c r="F4622" t="str">
        <f t="shared" si="1825"/>
        <v>028410000</v>
      </c>
      <c r="G4622" t="str">
        <f t="shared" si="1820"/>
        <v>NAVAL UNDERSEA WARFARE CENTER</v>
      </c>
      <c r="H4622" t="str">
        <f>T("CODE 1512 BLDG 1170")</f>
        <v>CODE 1512 BLDG 1170</v>
      </c>
      <c r="I4622" t="str">
        <f t="shared" si="1823"/>
        <v>NEWPORT</v>
      </c>
      <c r="J4622" t="str">
        <f t="shared" si="1824"/>
        <v>RI</v>
      </c>
      <c r="K4622" t="str">
        <f t="shared" si="1826"/>
        <v>000000000000000000</v>
      </c>
      <c r="L4622" t="str">
        <f>T("4018325111")</f>
        <v>4018325111</v>
      </c>
    </row>
    <row r="4623" spans="1:12" x14ac:dyDescent="0.35">
      <c r="A4623" t="str">
        <f t="shared" si="1818"/>
        <v>NUWC NEWPORT</v>
      </c>
      <c r="B4623" t="str">
        <f t="shared" si="1819"/>
        <v>NAVAL UNDERSEA WARFARE CENTER</v>
      </c>
      <c r="C4623" t="str">
        <f>T("CODE 1512 BLDG 1170")</f>
        <v>CODE 1512 BLDG 1170</v>
      </c>
      <c r="D4623" t="str">
        <f t="shared" si="1821"/>
        <v>NEWPORT</v>
      </c>
      <c r="E4623" t="str">
        <f t="shared" si="1822"/>
        <v>RI</v>
      </c>
      <c r="F4623" t="str">
        <f t="shared" si="1825"/>
        <v>028410000</v>
      </c>
      <c r="G4623" t="str">
        <f t="shared" si="1820"/>
        <v>NAVAL UNDERSEA WARFARE CENTER</v>
      </c>
      <c r="H4623" t="str">
        <f>T("CODE 1512 BLDG 1170")</f>
        <v>CODE 1512 BLDG 1170</v>
      </c>
      <c r="I4623" t="str">
        <f t="shared" si="1823"/>
        <v>NEWPORT</v>
      </c>
      <c r="J4623" t="str">
        <f t="shared" si="1824"/>
        <v>RI</v>
      </c>
      <c r="K4623" t="str">
        <f t="shared" si="1826"/>
        <v>000000000000000000</v>
      </c>
      <c r="L4623" t="str">
        <f>T("4018325326")</f>
        <v>4018325326</v>
      </c>
    </row>
    <row r="4624" spans="1:12" x14ac:dyDescent="0.35">
      <c r="A4624" t="str">
        <f t="shared" si="1818"/>
        <v>NUWC NEWPORT</v>
      </c>
      <c r="B4624" t="str">
        <f t="shared" si="1819"/>
        <v>NAVAL UNDERSEA WARFARE CENTER</v>
      </c>
      <c r="C4624" t="str">
        <f>T("CODE 1534, BLDG 1176")</f>
        <v>CODE 1534, BLDG 1176</v>
      </c>
      <c r="D4624" t="str">
        <f t="shared" si="1821"/>
        <v>NEWPORT</v>
      </c>
      <c r="E4624" t="str">
        <f t="shared" si="1822"/>
        <v>RI</v>
      </c>
      <c r="F4624" t="str">
        <f t="shared" si="1825"/>
        <v>028410000</v>
      </c>
      <c r="G4624" t="str">
        <f t="shared" si="1820"/>
        <v>NAVAL UNDERSEA WARFARE CENTER</v>
      </c>
      <c r="H4624" t="str">
        <f>T("CODE 1534 BLDG 1176")</f>
        <v>CODE 1534 BLDG 1176</v>
      </c>
      <c r="I4624" t="str">
        <f t="shared" si="1823"/>
        <v>NEWPORT</v>
      </c>
      <c r="J4624" t="str">
        <f t="shared" si="1824"/>
        <v>RI</v>
      </c>
      <c r="K4624" t="str">
        <f t="shared" si="1826"/>
        <v>000000000000000000</v>
      </c>
      <c r="L4624" t="str">
        <f>T("4018328788")</f>
        <v>4018328788</v>
      </c>
    </row>
    <row r="4625" spans="1:12" x14ac:dyDescent="0.35">
      <c r="A4625" t="str">
        <f t="shared" si="1818"/>
        <v>NUWC NEWPORT</v>
      </c>
      <c r="B4625" t="str">
        <f t="shared" si="1819"/>
        <v>NAVAL UNDERSEA WARFARE CENTER</v>
      </c>
      <c r="C4625" t="str">
        <f>T("CODE 1534, BLDG 1176")</f>
        <v>CODE 1534, BLDG 1176</v>
      </c>
      <c r="D4625" t="str">
        <f t="shared" si="1821"/>
        <v>NEWPORT</v>
      </c>
      <c r="E4625" t="str">
        <f t="shared" si="1822"/>
        <v>RI</v>
      </c>
      <c r="F4625" t="str">
        <f t="shared" si="1825"/>
        <v>028410000</v>
      </c>
      <c r="G4625" t="str">
        <f t="shared" si="1820"/>
        <v>NAVAL UNDERSEA WARFARE CENTER</v>
      </c>
      <c r="H4625" t="str">
        <f>T("CODE 1534, BLDG 1176")</f>
        <v>CODE 1534, BLDG 1176</v>
      </c>
      <c r="I4625" t="str">
        <f t="shared" si="1823"/>
        <v>NEWPORT</v>
      </c>
      <c r="J4625" t="str">
        <f t="shared" si="1824"/>
        <v>RI</v>
      </c>
      <c r="K4625" t="str">
        <f t="shared" si="1826"/>
        <v>000000000000000000</v>
      </c>
      <c r="L4625" t="str">
        <f>T("4018325078")</f>
        <v>4018325078</v>
      </c>
    </row>
    <row r="4626" spans="1:12" x14ac:dyDescent="0.35">
      <c r="A4626" t="str">
        <f t="shared" si="1818"/>
        <v>NUWC NEWPORT</v>
      </c>
      <c r="B4626" t="str">
        <f t="shared" si="1819"/>
        <v>NAVAL UNDERSEA WARFARE CENTER</v>
      </c>
      <c r="C4626" t="str">
        <f>T("CODE 1534, BLDG 1176")</f>
        <v>CODE 1534, BLDG 1176</v>
      </c>
      <c r="D4626" t="str">
        <f t="shared" si="1821"/>
        <v>NEWPORT</v>
      </c>
      <c r="E4626" t="str">
        <f t="shared" si="1822"/>
        <v>RI</v>
      </c>
      <c r="F4626" t="str">
        <f t="shared" si="1825"/>
        <v>028410000</v>
      </c>
      <c r="G4626" t="str">
        <f>T("NAVAL UNDERSEA WARFARE CTR")</f>
        <v>NAVAL UNDERSEA WARFARE CTR</v>
      </c>
      <c r="H4626" t="str">
        <f>T("CODE 1532 BLDG 1176")</f>
        <v>CODE 1532 BLDG 1176</v>
      </c>
      <c r="I4626" t="str">
        <f t="shared" si="1823"/>
        <v>NEWPORT</v>
      </c>
      <c r="J4626" t="str">
        <f t="shared" si="1824"/>
        <v>RI</v>
      </c>
      <c r="K4626" t="str">
        <f t="shared" si="1826"/>
        <v>000000000000000000</v>
      </c>
      <c r="L4626" t="str">
        <f>T("4018328887")</f>
        <v>4018328887</v>
      </c>
    </row>
    <row r="4627" spans="1:12" x14ac:dyDescent="0.35">
      <c r="A4627" t="str">
        <f t="shared" si="1818"/>
        <v>NUWC NEWPORT</v>
      </c>
      <c r="B4627" t="str">
        <f t="shared" si="1819"/>
        <v>NAVAL UNDERSEA WARFARE CENTER</v>
      </c>
      <c r="C4627" t="str">
        <f>T("CODE 1542 BLDG 1320")</f>
        <v>CODE 1542 BLDG 1320</v>
      </c>
      <c r="D4627" t="str">
        <f t="shared" si="1821"/>
        <v>NEWPORT</v>
      </c>
      <c r="E4627" t="str">
        <f t="shared" si="1822"/>
        <v>RI</v>
      </c>
      <c r="F4627" t="str">
        <f t="shared" si="1825"/>
        <v>028410000</v>
      </c>
      <c r="G4627" t="str">
        <f t="shared" ref="G4627:G4647" si="1827">T("NAVAL UNDERSEA WARFARE CENTER")</f>
        <v>NAVAL UNDERSEA WARFARE CENTER</v>
      </c>
      <c r="H4627" t="str">
        <f>T("CODE 1542 BLDG 1320")</f>
        <v>CODE 1542 BLDG 1320</v>
      </c>
      <c r="I4627" t="str">
        <f t="shared" si="1823"/>
        <v>NEWPORT</v>
      </c>
      <c r="J4627" t="str">
        <f t="shared" si="1824"/>
        <v>RI</v>
      </c>
      <c r="K4627" t="str">
        <f t="shared" si="1826"/>
        <v>000000000000000000</v>
      </c>
      <c r="L4627" t="str">
        <f>T("4018328710")</f>
        <v>4018328710</v>
      </c>
    </row>
    <row r="4628" spans="1:12" x14ac:dyDescent="0.35">
      <c r="A4628" t="str">
        <f t="shared" si="1818"/>
        <v>NUWC NEWPORT</v>
      </c>
      <c r="B4628" t="str">
        <f t="shared" si="1819"/>
        <v>NAVAL UNDERSEA WARFARE CENTER</v>
      </c>
      <c r="C4628" t="str">
        <f>T("CODE 3432 BLDG 101")</f>
        <v>CODE 3432 BLDG 101</v>
      </c>
      <c r="D4628" t="str">
        <f t="shared" si="1821"/>
        <v>NEWPORT</v>
      </c>
      <c r="E4628" t="str">
        <f t="shared" si="1822"/>
        <v>RI</v>
      </c>
      <c r="F4628" t="str">
        <f t="shared" si="1825"/>
        <v>028410000</v>
      </c>
      <c r="G4628" t="str">
        <f t="shared" si="1827"/>
        <v>NAVAL UNDERSEA WARFARE CENTER</v>
      </c>
      <c r="H4628" t="str">
        <f>T("CODE 3432 BLDG 101")</f>
        <v>CODE 3432 BLDG 101</v>
      </c>
      <c r="I4628" t="str">
        <f t="shared" si="1823"/>
        <v>NEWPORT</v>
      </c>
      <c r="J4628" t="str">
        <f t="shared" si="1824"/>
        <v>RI</v>
      </c>
      <c r="K4628" t="str">
        <f t="shared" si="1826"/>
        <v>000000000000000000</v>
      </c>
      <c r="L4628" t="str">
        <f>T("4018321185")</f>
        <v>4018321185</v>
      </c>
    </row>
    <row r="4629" spans="1:12" x14ac:dyDescent="0.35">
      <c r="A4629" t="str">
        <f t="shared" si="1818"/>
        <v>NUWC NEWPORT</v>
      </c>
      <c r="B4629" t="str">
        <f t="shared" si="1819"/>
        <v>NAVAL UNDERSEA WARFARE CENTER</v>
      </c>
      <c r="C4629" t="str">
        <f>T("CODE 3432 BLDG 101")</f>
        <v>CODE 3432 BLDG 101</v>
      </c>
      <c r="D4629" t="str">
        <f t="shared" si="1821"/>
        <v>NEWPORT</v>
      </c>
      <c r="E4629" t="str">
        <f t="shared" si="1822"/>
        <v>RI</v>
      </c>
      <c r="F4629" t="str">
        <f t="shared" si="1825"/>
        <v>028410000</v>
      </c>
      <c r="G4629" t="str">
        <f t="shared" si="1827"/>
        <v>NAVAL UNDERSEA WARFARE CENTER</v>
      </c>
      <c r="H4629" t="str">
        <f>T("CODE 3432 BLDG 101")</f>
        <v>CODE 3432 BLDG 101</v>
      </c>
      <c r="I4629" t="str">
        <f t="shared" si="1823"/>
        <v>NEWPORT</v>
      </c>
      <c r="J4629" t="str">
        <f t="shared" si="1824"/>
        <v>RI</v>
      </c>
      <c r="K4629" t="str">
        <f t="shared" si="1826"/>
        <v>000000000000000000</v>
      </c>
      <c r="L4629" t="str">
        <f>T("4018326335")</f>
        <v>4018326335</v>
      </c>
    </row>
    <row r="4630" spans="1:12" x14ac:dyDescent="0.35">
      <c r="A4630" t="str">
        <f t="shared" si="1818"/>
        <v>NUWC NEWPORT</v>
      </c>
      <c r="B4630" t="str">
        <f t="shared" si="1819"/>
        <v>NAVAL UNDERSEA WARFARE CENTER</v>
      </c>
      <c r="C4630" t="str">
        <f>T("CODE 4123 BLDG 1246")</f>
        <v>CODE 4123 BLDG 1246</v>
      </c>
      <c r="D4630" t="str">
        <f t="shared" si="1821"/>
        <v>NEWPORT</v>
      </c>
      <c r="E4630" t="str">
        <f t="shared" si="1822"/>
        <v>RI</v>
      </c>
      <c r="F4630" t="str">
        <f t="shared" si="1825"/>
        <v>028410000</v>
      </c>
      <c r="G4630" t="str">
        <f t="shared" si="1827"/>
        <v>NAVAL UNDERSEA WARFARE CENTER</v>
      </c>
      <c r="H4630" t="str">
        <f>T("CODE 4001 BLDG 1371")</f>
        <v>CODE 4001 BLDG 1371</v>
      </c>
      <c r="I4630" t="str">
        <f t="shared" si="1823"/>
        <v>NEWPORT</v>
      </c>
      <c r="J4630" t="str">
        <f t="shared" si="1824"/>
        <v>RI</v>
      </c>
      <c r="K4630" t="str">
        <f t="shared" si="1826"/>
        <v>000000000000000000</v>
      </c>
      <c r="L4630" t="str">
        <f>T("4018327622")</f>
        <v>4018327622</v>
      </c>
    </row>
    <row r="4631" spans="1:12" x14ac:dyDescent="0.35">
      <c r="A4631" t="str">
        <f t="shared" si="1818"/>
        <v>NUWC NEWPORT</v>
      </c>
      <c r="B4631" t="str">
        <f t="shared" si="1819"/>
        <v>NAVAL UNDERSEA WARFARE CENTER</v>
      </c>
      <c r="C4631" t="str">
        <f>T("CODE 4123 BLDG 1246")</f>
        <v>CODE 4123 BLDG 1246</v>
      </c>
      <c r="D4631" t="str">
        <f t="shared" si="1821"/>
        <v>NEWPORT</v>
      </c>
      <c r="E4631" t="str">
        <f t="shared" si="1822"/>
        <v>RI</v>
      </c>
      <c r="F4631" t="str">
        <f t="shared" si="1825"/>
        <v>028410000</v>
      </c>
      <c r="G4631" t="str">
        <f t="shared" si="1827"/>
        <v>NAVAL UNDERSEA WARFARE CENTER</v>
      </c>
      <c r="H4631" t="str">
        <f>T("CODE 4123 BLDG 1246")</f>
        <v>CODE 4123 BLDG 1246</v>
      </c>
      <c r="I4631" t="str">
        <f t="shared" si="1823"/>
        <v>NEWPORT</v>
      </c>
      <c r="J4631" t="str">
        <f t="shared" si="1824"/>
        <v>RI</v>
      </c>
      <c r="K4631" t="str">
        <f t="shared" si="1826"/>
        <v>000000000000000000</v>
      </c>
      <c r="L4631" t="str">
        <f>T("4018321391")</f>
        <v>4018321391</v>
      </c>
    </row>
    <row r="4632" spans="1:12" x14ac:dyDescent="0.35">
      <c r="A4632" t="str">
        <f t="shared" ref="A4632:A4663" si="1828">T("NUWC NEWPORT")</f>
        <v>NUWC NEWPORT</v>
      </c>
      <c r="B4632" t="str">
        <f t="shared" si="1819"/>
        <v>NAVAL UNDERSEA WARFARE CENTER</v>
      </c>
      <c r="C4632" t="str">
        <f>T("CODE 4123 BLDG 1246")</f>
        <v>CODE 4123 BLDG 1246</v>
      </c>
      <c r="D4632" t="str">
        <f t="shared" si="1821"/>
        <v>NEWPORT</v>
      </c>
      <c r="E4632" t="str">
        <f t="shared" si="1822"/>
        <v>RI</v>
      </c>
      <c r="F4632" t="str">
        <f t="shared" si="1825"/>
        <v>028410000</v>
      </c>
      <c r="G4632" t="str">
        <f t="shared" si="1827"/>
        <v>NAVAL UNDERSEA WARFARE CENTER</v>
      </c>
      <c r="H4632" t="str">
        <f>T("CODE 4123 BLDG 1246")</f>
        <v>CODE 4123 BLDG 1246</v>
      </c>
      <c r="I4632" t="str">
        <f t="shared" si="1823"/>
        <v>NEWPORT</v>
      </c>
      <c r="J4632" t="str">
        <f t="shared" si="1824"/>
        <v>RI</v>
      </c>
      <c r="K4632" t="str">
        <f t="shared" si="1826"/>
        <v>000000000000000000</v>
      </c>
      <c r="L4632" t="str">
        <f>T("4018325033")</f>
        <v>4018325033</v>
      </c>
    </row>
    <row r="4633" spans="1:12" x14ac:dyDescent="0.35">
      <c r="A4633" t="str">
        <f t="shared" si="1828"/>
        <v>NUWC NEWPORT</v>
      </c>
      <c r="B4633" t="str">
        <f t="shared" si="1819"/>
        <v>NAVAL UNDERSEA WARFARE CENTER</v>
      </c>
      <c r="C4633" t="str">
        <f>T("CODE 7001 BLDG 1351")</f>
        <v>CODE 7001 BLDG 1351</v>
      </c>
      <c r="D4633" t="str">
        <f t="shared" si="1821"/>
        <v>NEWPORT</v>
      </c>
      <c r="E4633" t="str">
        <f t="shared" si="1822"/>
        <v>RI</v>
      </c>
      <c r="F4633" t="str">
        <f t="shared" si="1825"/>
        <v>028410000</v>
      </c>
      <c r="G4633" t="str">
        <f t="shared" si="1827"/>
        <v>NAVAL UNDERSEA WARFARE CENTER</v>
      </c>
      <c r="H4633" t="str">
        <f>T("CODE 7001 BLDG 1351")</f>
        <v>CODE 7001 BLDG 1351</v>
      </c>
      <c r="I4633" t="str">
        <f t="shared" si="1823"/>
        <v>NEWPORT</v>
      </c>
      <c r="J4633" t="str">
        <f t="shared" si="1824"/>
        <v>RI</v>
      </c>
      <c r="K4633" t="str">
        <f t="shared" si="1826"/>
        <v>000000000000000000</v>
      </c>
      <c r="L4633" t="str">
        <f>T("4018321680")</f>
        <v>4018321680</v>
      </c>
    </row>
    <row r="4634" spans="1:12" x14ac:dyDescent="0.35">
      <c r="A4634" t="str">
        <f t="shared" si="1828"/>
        <v>NUWC NEWPORT</v>
      </c>
      <c r="B4634" t="str">
        <f t="shared" si="1819"/>
        <v>NAVAL UNDERSEA WARFARE CENTER</v>
      </c>
      <c r="C4634" t="str">
        <f>T("CODE 7001 BLDG 1351")</f>
        <v>CODE 7001 BLDG 1351</v>
      </c>
      <c r="D4634" t="str">
        <f t="shared" si="1821"/>
        <v>NEWPORT</v>
      </c>
      <c r="E4634" t="str">
        <f t="shared" si="1822"/>
        <v>RI</v>
      </c>
      <c r="F4634" t="str">
        <f t="shared" si="1825"/>
        <v>028410000</v>
      </c>
      <c r="G4634" t="str">
        <f t="shared" si="1827"/>
        <v>NAVAL UNDERSEA WARFARE CENTER</v>
      </c>
      <c r="H4634" t="str">
        <f>T("CODE 7001 BLDG 1351")</f>
        <v>CODE 7001 BLDG 1351</v>
      </c>
      <c r="I4634" t="str">
        <f t="shared" si="1823"/>
        <v>NEWPORT</v>
      </c>
      <c r="J4634" t="str">
        <f t="shared" si="1824"/>
        <v>RI</v>
      </c>
      <c r="K4634" t="str">
        <f t="shared" si="1826"/>
        <v>000000000000000000</v>
      </c>
      <c r="L4634" t="str">
        <f>T("4018324984")</f>
        <v>4018324984</v>
      </c>
    </row>
    <row r="4635" spans="1:12" x14ac:dyDescent="0.35">
      <c r="A4635" t="str">
        <f t="shared" si="1828"/>
        <v>NUWC NEWPORT</v>
      </c>
      <c r="B4635" t="str">
        <f t="shared" si="1819"/>
        <v>NAVAL UNDERSEA WARFARE CENTER</v>
      </c>
      <c r="C4635" t="str">
        <f>T("CODE 7012 BLDG 1170")</f>
        <v>CODE 7012 BLDG 1170</v>
      </c>
      <c r="D4635" t="str">
        <f t="shared" si="1821"/>
        <v>NEWPORT</v>
      </c>
      <c r="E4635" t="str">
        <f t="shared" si="1822"/>
        <v>RI</v>
      </c>
      <c r="F4635" t="str">
        <f t="shared" si="1825"/>
        <v>028410000</v>
      </c>
      <c r="G4635" t="str">
        <f t="shared" si="1827"/>
        <v>NAVAL UNDERSEA WARFARE CENTER</v>
      </c>
      <c r="H4635" t="str">
        <f>T("CODE 7012 BLDG 1170")</f>
        <v>CODE 7012 BLDG 1170</v>
      </c>
      <c r="I4635" t="str">
        <f t="shared" si="1823"/>
        <v>NEWPORT</v>
      </c>
      <c r="J4635" t="str">
        <f t="shared" si="1824"/>
        <v>RI</v>
      </c>
      <c r="K4635" t="str">
        <f t="shared" si="1826"/>
        <v>000000000000000000</v>
      </c>
      <c r="L4635" t="str">
        <f>T("4018322040")</f>
        <v>4018322040</v>
      </c>
    </row>
    <row r="4636" spans="1:12" x14ac:dyDescent="0.35">
      <c r="A4636" t="str">
        <f t="shared" si="1828"/>
        <v>NUWC NEWPORT</v>
      </c>
      <c r="B4636" t="str">
        <f t="shared" si="1819"/>
        <v>NAVAL UNDERSEA WARFARE CENTER</v>
      </c>
      <c r="C4636" t="str">
        <f>T("CODE 7012 BLDG 1170")</f>
        <v>CODE 7012 BLDG 1170</v>
      </c>
      <c r="D4636" t="str">
        <f t="shared" si="1821"/>
        <v>NEWPORT</v>
      </c>
      <c r="E4636" t="str">
        <f t="shared" si="1822"/>
        <v>RI</v>
      </c>
      <c r="F4636" t="str">
        <f t="shared" si="1825"/>
        <v>028410000</v>
      </c>
      <c r="G4636" t="str">
        <f t="shared" si="1827"/>
        <v>NAVAL UNDERSEA WARFARE CENTER</v>
      </c>
      <c r="H4636" t="str">
        <f>T("CODE 7012 BLDG 1170")</f>
        <v>CODE 7012 BLDG 1170</v>
      </c>
      <c r="I4636" t="str">
        <f t="shared" si="1823"/>
        <v>NEWPORT</v>
      </c>
      <c r="J4636" t="str">
        <f t="shared" si="1824"/>
        <v>RI</v>
      </c>
      <c r="K4636" t="str">
        <f t="shared" si="1826"/>
        <v>000000000000000000</v>
      </c>
      <c r="L4636" t="str">
        <f>T("4018322255")</f>
        <v>4018322255</v>
      </c>
    </row>
    <row r="4637" spans="1:12" x14ac:dyDescent="0.35">
      <c r="A4637" t="str">
        <f t="shared" si="1828"/>
        <v>NUWC NEWPORT</v>
      </c>
      <c r="B4637" t="str">
        <f t="shared" si="1819"/>
        <v>NAVAL UNDERSEA WARFARE CENTER</v>
      </c>
      <c r="C4637" t="str">
        <f>T("CODE 7012 BLDG 1170")</f>
        <v>CODE 7012 BLDG 1170</v>
      </c>
      <c r="D4637" t="str">
        <f t="shared" si="1821"/>
        <v>NEWPORT</v>
      </c>
      <c r="E4637" t="str">
        <f t="shared" si="1822"/>
        <v>RI</v>
      </c>
      <c r="F4637" t="str">
        <f t="shared" si="1825"/>
        <v>028410000</v>
      </c>
      <c r="G4637" t="str">
        <f t="shared" si="1827"/>
        <v>NAVAL UNDERSEA WARFARE CENTER</v>
      </c>
      <c r="H4637" t="str">
        <f>T("CODE 7012 BLDG 1170")</f>
        <v>CODE 7012 BLDG 1170</v>
      </c>
      <c r="I4637" t="str">
        <f t="shared" si="1823"/>
        <v>NEWPORT</v>
      </c>
      <c r="J4637" t="str">
        <f t="shared" si="1824"/>
        <v>RI</v>
      </c>
      <c r="K4637" t="str">
        <f t="shared" si="1826"/>
        <v>000000000000000000</v>
      </c>
      <c r="L4637" t="str">
        <f>T("4018325012")</f>
        <v>4018325012</v>
      </c>
    </row>
    <row r="4638" spans="1:12" x14ac:dyDescent="0.35">
      <c r="A4638" t="str">
        <f t="shared" si="1828"/>
        <v>NUWC NEWPORT</v>
      </c>
      <c r="B4638" t="str">
        <f t="shared" si="1819"/>
        <v>NAVAL UNDERSEA WARFARE CENTER</v>
      </c>
      <c r="C4638" t="str">
        <f>T("CODE 7012 BLDG 1170")</f>
        <v>CODE 7012 BLDG 1170</v>
      </c>
      <c r="D4638" t="str">
        <f t="shared" si="1821"/>
        <v>NEWPORT</v>
      </c>
      <c r="E4638" t="str">
        <f t="shared" si="1822"/>
        <v>RI</v>
      </c>
      <c r="F4638" t="str">
        <f t="shared" si="1825"/>
        <v>028410000</v>
      </c>
      <c r="G4638" t="str">
        <f t="shared" si="1827"/>
        <v>NAVAL UNDERSEA WARFARE CENTER</v>
      </c>
      <c r="H4638" t="str">
        <f>T("CODE 7012 BLDG 1170")</f>
        <v>CODE 7012 BLDG 1170</v>
      </c>
      <c r="I4638" t="str">
        <f t="shared" si="1823"/>
        <v>NEWPORT</v>
      </c>
      <c r="J4638" t="str">
        <f t="shared" si="1824"/>
        <v>RI</v>
      </c>
      <c r="K4638" t="str">
        <f t="shared" si="1826"/>
        <v>000000000000000000</v>
      </c>
      <c r="L4638" t="str">
        <f>T("4018325673")</f>
        <v>4018325673</v>
      </c>
    </row>
    <row r="4639" spans="1:12" x14ac:dyDescent="0.35">
      <c r="A4639" t="str">
        <f t="shared" si="1828"/>
        <v>NUWC NEWPORT</v>
      </c>
      <c r="B4639" t="str">
        <f t="shared" si="1819"/>
        <v>NAVAL UNDERSEA WARFARE CENTER</v>
      </c>
      <c r="C4639" t="str">
        <f>T("CODE 7012 BLDG 1170")</f>
        <v>CODE 7012 BLDG 1170</v>
      </c>
      <c r="D4639" t="str">
        <f t="shared" si="1821"/>
        <v>NEWPORT</v>
      </c>
      <c r="E4639" t="str">
        <f t="shared" si="1822"/>
        <v>RI</v>
      </c>
      <c r="F4639" t="str">
        <f t="shared" si="1825"/>
        <v>028410000</v>
      </c>
      <c r="G4639" t="str">
        <f t="shared" si="1827"/>
        <v>NAVAL UNDERSEA WARFARE CENTER</v>
      </c>
      <c r="H4639" t="str">
        <f>T("CODE 7012 BLDG 1170")</f>
        <v>CODE 7012 BLDG 1170</v>
      </c>
      <c r="I4639" t="str">
        <f t="shared" si="1823"/>
        <v>NEWPORT</v>
      </c>
      <c r="J4639" t="str">
        <f t="shared" si="1824"/>
        <v>RI</v>
      </c>
      <c r="K4639" t="str">
        <f t="shared" si="1826"/>
        <v>000000000000000000</v>
      </c>
      <c r="L4639" t="str">
        <f>T("4018327429")</f>
        <v>4018327429</v>
      </c>
    </row>
    <row r="4640" spans="1:12" x14ac:dyDescent="0.35">
      <c r="A4640" t="str">
        <f t="shared" si="1828"/>
        <v>NUWC NEWPORT</v>
      </c>
      <c r="B4640" t="str">
        <f t="shared" si="1819"/>
        <v>NAVAL UNDERSEA WARFARE CENTER</v>
      </c>
      <c r="C4640" t="str">
        <f>T("CODE 7113 BLDG 1351")</f>
        <v>CODE 7113 BLDG 1351</v>
      </c>
      <c r="D4640" t="str">
        <f t="shared" si="1821"/>
        <v>NEWPORT</v>
      </c>
      <c r="E4640" t="str">
        <f t="shared" si="1822"/>
        <v>RI</v>
      </c>
      <c r="F4640" t="str">
        <f t="shared" si="1825"/>
        <v>028410000</v>
      </c>
      <c r="G4640" t="str">
        <f t="shared" si="1827"/>
        <v>NAVAL UNDERSEA WARFARE CENTER</v>
      </c>
      <c r="H4640" t="str">
        <f>T("CODE 7113 BLDG 1351")</f>
        <v>CODE 7113 BLDG 1351</v>
      </c>
      <c r="I4640" t="str">
        <f t="shared" si="1823"/>
        <v>NEWPORT</v>
      </c>
      <c r="J4640" t="str">
        <f t="shared" si="1824"/>
        <v>RI</v>
      </c>
      <c r="K4640" t="str">
        <f t="shared" si="1826"/>
        <v>000000000000000000</v>
      </c>
      <c r="L4640" t="str">
        <f>T("4018325620")</f>
        <v>4018325620</v>
      </c>
    </row>
    <row r="4641" spans="1:12" x14ac:dyDescent="0.35">
      <c r="A4641" t="str">
        <f t="shared" si="1828"/>
        <v>NUWC NEWPORT</v>
      </c>
      <c r="B4641" t="str">
        <f t="shared" si="1819"/>
        <v>NAVAL UNDERSEA WARFARE CENTER</v>
      </c>
      <c r="C4641" t="str">
        <f>T("CODE 7211 BLDG 1170")</f>
        <v>CODE 7211 BLDG 1170</v>
      </c>
      <c r="D4641" t="str">
        <f t="shared" si="1821"/>
        <v>NEWPORT</v>
      </c>
      <c r="E4641" t="str">
        <f t="shared" si="1822"/>
        <v>RI</v>
      </c>
      <c r="F4641" t="str">
        <f t="shared" si="1825"/>
        <v>028410000</v>
      </c>
      <c r="G4641" t="str">
        <f t="shared" si="1827"/>
        <v>NAVAL UNDERSEA WARFARE CENTER</v>
      </c>
      <c r="H4641" t="str">
        <f>T("CODE 7211 BLDG 1170")</f>
        <v>CODE 7211 BLDG 1170</v>
      </c>
      <c r="I4641" t="str">
        <f t="shared" si="1823"/>
        <v>NEWPORT</v>
      </c>
      <c r="J4641" t="str">
        <f t="shared" si="1824"/>
        <v>RI</v>
      </c>
      <c r="K4641" t="str">
        <f>T("")</f>
        <v/>
      </c>
      <c r="L4641" t="str">
        <f>T("4018321793")</f>
        <v>4018321793</v>
      </c>
    </row>
    <row r="4642" spans="1:12" x14ac:dyDescent="0.35">
      <c r="A4642" t="str">
        <f t="shared" si="1828"/>
        <v>NUWC NEWPORT</v>
      </c>
      <c r="B4642" t="str">
        <f t="shared" si="1819"/>
        <v>NAVAL UNDERSEA WARFARE CENTER</v>
      </c>
      <c r="C4642" t="str">
        <f>T("CODE 7412 BLDG 1351")</f>
        <v>CODE 7412 BLDG 1351</v>
      </c>
      <c r="D4642" t="str">
        <f t="shared" si="1821"/>
        <v>NEWPORT</v>
      </c>
      <c r="E4642" t="str">
        <f t="shared" si="1822"/>
        <v>RI</v>
      </c>
      <c r="F4642" t="str">
        <f t="shared" si="1825"/>
        <v>028410000</v>
      </c>
      <c r="G4642" t="str">
        <f t="shared" si="1827"/>
        <v>NAVAL UNDERSEA WARFARE CENTER</v>
      </c>
      <c r="H4642" t="str">
        <f>T("CODE 7113 BLDG 1351")</f>
        <v>CODE 7113 BLDG 1351</v>
      </c>
      <c r="I4642" t="str">
        <f t="shared" si="1823"/>
        <v>NEWPORT</v>
      </c>
      <c r="J4642" t="str">
        <f t="shared" si="1824"/>
        <v>RI</v>
      </c>
      <c r="K4642" t="str">
        <f>T("000000000000000000")</f>
        <v>000000000000000000</v>
      </c>
      <c r="L4642" t="str">
        <f>T("4018323321")</f>
        <v>4018323321</v>
      </c>
    </row>
    <row r="4643" spans="1:12" x14ac:dyDescent="0.35">
      <c r="A4643" t="str">
        <f t="shared" si="1828"/>
        <v>NUWC NEWPORT</v>
      </c>
      <c r="B4643" t="str">
        <f t="shared" si="1819"/>
        <v>NAVAL UNDERSEA WARFARE CENTER</v>
      </c>
      <c r="C4643" t="str">
        <f>T("CODE 7412 BLDG 1351")</f>
        <v>CODE 7412 BLDG 1351</v>
      </c>
      <c r="D4643" t="str">
        <f t="shared" si="1821"/>
        <v>NEWPORT</v>
      </c>
      <c r="E4643" t="str">
        <f t="shared" si="1822"/>
        <v>RI</v>
      </c>
      <c r="F4643" t="str">
        <f t="shared" si="1825"/>
        <v>028410000</v>
      </c>
      <c r="G4643" t="str">
        <f t="shared" si="1827"/>
        <v>NAVAL UNDERSEA WARFARE CENTER</v>
      </c>
      <c r="H4643" t="str">
        <f>T("CODE 7412 BLDG 1351")</f>
        <v>CODE 7412 BLDG 1351</v>
      </c>
      <c r="I4643" t="str">
        <f t="shared" si="1823"/>
        <v>NEWPORT</v>
      </c>
      <c r="J4643" t="str">
        <f t="shared" si="1824"/>
        <v>RI</v>
      </c>
      <c r="K4643" t="str">
        <f>T("")</f>
        <v/>
      </c>
      <c r="L4643" t="str">
        <f>T("4018322909")</f>
        <v>4018322909</v>
      </c>
    </row>
    <row r="4644" spans="1:12" x14ac:dyDescent="0.35">
      <c r="A4644" t="str">
        <f t="shared" si="1828"/>
        <v>NUWC NEWPORT</v>
      </c>
      <c r="B4644" t="str">
        <f t="shared" si="1819"/>
        <v>NAVAL UNDERSEA WARFARE CENTER</v>
      </c>
      <c r="C4644" t="str">
        <f>T("CODE 8514 BLDG 1302")</f>
        <v>CODE 8514 BLDG 1302</v>
      </c>
      <c r="D4644" t="str">
        <f t="shared" si="1821"/>
        <v>NEWPORT</v>
      </c>
      <c r="E4644" t="str">
        <f t="shared" si="1822"/>
        <v>RI</v>
      </c>
      <c r="F4644" t="str">
        <f t="shared" si="1825"/>
        <v>028410000</v>
      </c>
      <c r="G4644" t="str">
        <f t="shared" si="1827"/>
        <v>NAVAL UNDERSEA WARFARE CENTER</v>
      </c>
      <c r="H4644" t="str">
        <f>T("CODE 851 BLDG 1371")</f>
        <v>CODE 851 BLDG 1371</v>
      </c>
      <c r="I4644" t="str">
        <f t="shared" si="1823"/>
        <v>NEWPORT</v>
      </c>
      <c r="J4644" t="str">
        <f t="shared" si="1824"/>
        <v>RI</v>
      </c>
      <c r="K4644" t="str">
        <f t="shared" ref="K4644:K4667" si="1829">T("000000000000000000")</f>
        <v>000000000000000000</v>
      </c>
      <c r="L4644" t="str">
        <f>T("4018321400")</f>
        <v>4018321400</v>
      </c>
    </row>
    <row r="4645" spans="1:12" x14ac:dyDescent="0.35">
      <c r="A4645" t="str">
        <f t="shared" si="1828"/>
        <v>NUWC NEWPORT</v>
      </c>
      <c r="B4645" t="str">
        <f t="shared" si="1819"/>
        <v>NAVAL UNDERSEA WARFARE CENTER</v>
      </c>
      <c r="C4645" t="str">
        <f>T("CODE 8514 BLDG 1302")</f>
        <v>CODE 8514 BLDG 1302</v>
      </c>
      <c r="D4645" t="str">
        <f t="shared" si="1821"/>
        <v>NEWPORT</v>
      </c>
      <c r="E4645" t="str">
        <f t="shared" si="1822"/>
        <v>RI</v>
      </c>
      <c r="F4645" t="str">
        <f t="shared" si="1825"/>
        <v>028410000</v>
      </c>
      <c r="G4645" t="str">
        <f t="shared" si="1827"/>
        <v>NAVAL UNDERSEA WARFARE CENTER</v>
      </c>
      <c r="H4645" t="str">
        <f>T("CODE 8514 BLDG 1302")</f>
        <v>CODE 8514 BLDG 1302</v>
      </c>
      <c r="I4645" t="str">
        <f t="shared" si="1823"/>
        <v>NEWPORT</v>
      </c>
      <c r="J4645" t="str">
        <f t="shared" si="1824"/>
        <v>RI</v>
      </c>
      <c r="K4645" t="str">
        <f t="shared" si="1829"/>
        <v>000000000000000000</v>
      </c>
      <c r="L4645" t="str">
        <f>T("4018323361")</f>
        <v>4018323361</v>
      </c>
    </row>
    <row r="4646" spans="1:12" x14ac:dyDescent="0.35">
      <c r="A4646" t="str">
        <f t="shared" si="1828"/>
        <v>NUWC NEWPORT</v>
      </c>
      <c r="B4646" t="str">
        <f t="shared" si="1819"/>
        <v>NAVAL UNDERSEA WARFARE CENTER</v>
      </c>
      <c r="C4646" t="str">
        <f>T("CODE HQ04 BLDG 1320")</f>
        <v>CODE HQ04 BLDG 1320</v>
      </c>
      <c r="D4646" t="str">
        <f t="shared" si="1821"/>
        <v>NEWPORT</v>
      </c>
      <c r="E4646" t="str">
        <f t="shared" si="1822"/>
        <v>RI</v>
      </c>
      <c r="F4646" t="str">
        <f t="shared" si="1825"/>
        <v>028410000</v>
      </c>
      <c r="G4646" t="str">
        <f t="shared" si="1827"/>
        <v>NAVAL UNDERSEA WARFARE CENTER</v>
      </c>
      <c r="H4646" t="str">
        <f>T("CODE HQ04 BLDG 1320")</f>
        <v>CODE HQ04 BLDG 1320</v>
      </c>
      <c r="I4646" t="str">
        <f t="shared" si="1823"/>
        <v>NEWPORT</v>
      </c>
      <c r="J4646" t="str">
        <f t="shared" si="1824"/>
        <v>RI</v>
      </c>
      <c r="K4646" t="str">
        <f t="shared" si="1829"/>
        <v>000000000000000000</v>
      </c>
      <c r="L4646" t="str">
        <f>T("4018323343")</f>
        <v>4018323343</v>
      </c>
    </row>
    <row r="4647" spans="1:12" x14ac:dyDescent="0.35">
      <c r="A4647" t="str">
        <f t="shared" si="1828"/>
        <v>NUWC NEWPORT</v>
      </c>
      <c r="B4647" t="str">
        <f t="shared" si="1819"/>
        <v>NAVAL UNDERSEA WARFARE CENTER</v>
      </c>
      <c r="C4647" t="str">
        <f>T("CODE HQ04 BLDG 1320")</f>
        <v>CODE HQ04 BLDG 1320</v>
      </c>
      <c r="D4647" t="str">
        <f t="shared" si="1821"/>
        <v>NEWPORT</v>
      </c>
      <c r="E4647" t="str">
        <f t="shared" si="1822"/>
        <v>RI</v>
      </c>
      <c r="F4647" t="str">
        <f t="shared" si="1825"/>
        <v>028410000</v>
      </c>
      <c r="G4647" t="str">
        <f t="shared" si="1827"/>
        <v>NAVAL UNDERSEA WARFARE CENTER</v>
      </c>
      <c r="H4647" t="str">
        <f>T("CODE HQ10A BLDG 1320")</f>
        <v>CODE HQ10A BLDG 1320</v>
      </c>
      <c r="I4647" t="str">
        <f t="shared" si="1823"/>
        <v>NEWPORT</v>
      </c>
      <c r="J4647" t="str">
        <f t="shared" si="1824"/>
        <v>RI</v>
      </c>
      <c r="K4647" t="str">
        <f t="shared" si="1829"/>
        <v>000000000000000000</v>
      </c>
      <c r="L4647" t="str">
        <f>T("4018328448")</f>
        <v>4018328448</v>
      </c>
    </row>
    <row r="4648" spans="1:12" x14ac:dyDescent="0.35">
      <c r="A4648" t="str">
        <f t="shared" si="1828"/>
        <v>NUWC NEWPORT</v>
      </c>
      <c r="B4648" t="str">
        <f>T("NAVAL UNDERSEA WARFARE CNTR")</f>
        <v>NAVAL UNDERSEA WARFARE CNTR</v>
      </c>
      <c r="C4648" t="str">
        <f>T("CODE 1555 BLDG 1320")</f>
        <v>CODE 1555 BLDG 1320</v>
      </c>
      <c r="D4648" t="str">
        <f t="shared" ref="D4648:D4676" si="1830">T("NEWPORT")</f>
        <v>NEWPORT</v>
      </c>
      <c r="E4648" t="str">
        <f t="shared" ref="E4648:E4676" si="1831">T("RI")</f>
        <v>RI</v>
      </c>
      <c r="F4648" t="str">
        <f>T("028411703")</f>
        <v>028411703</v>
      </c>
      <c r="G4648" t="str">
        <f>T("NAVAL UNDERSEA WARFARE CNTR")</f>
        <v>NAVAL UNDERSEA WARFARE CNTR</v>
      </c>
      <c r="H4648" t="str">
        <f>T("CODE 1555 BLDG 1320")</f>
        <v>CODE 1555 BLDG 1320</v>
      </c>
      <c r="I4648" t="str">
        <f t="shared" ref="I4648:I4676" si="1832">T("NEWPORT")</f>
        <v>NEWPORT</v>
      </c>
      <c r="J4648" t="str">
        <f t="shared" ref="J4648:J4676" si="1833">T("RI")</f>
        <v>RI</v>
      </c>
      <c r="K4648" t="str">
        <f t="shared" si="1829"/>
        <v>000000000000000000</v>
      </c>
      <c r="L4648" t="str">
        <f>T("4018328579")</f>
        <v>4018328579</v>
      </c>
    </row>
    <row r="4649" spans="1:12" x14ac:dyDescent="0.35">
      <c r="A4649" t="str">
        <f t="shared" si="1828"/>
        <v>NUWC NEWPORT</v>
      </c>
      <c r="B4649" t="str">
        <f>T("NAVAL UNDERSEA WARFARE CNTR")</f>
        <v>NAVAL UNDERSEA WARFARE CNTR</v>
      </c>
      <c r="C4649" t="str">
        <f>T("CODE 253 BLDG 1259")</f>
        <v>CODE 253 BLDG 1259</v>
      </c>
      <c r="D4649" t="str">
        <f t="shared" si="1830"/>
        <v>NEWPORT</v>
      </c>
      <c r="E4649" t="str">
        <f t="shared" si="1831"/>
        <v>RI</v>
      </c>
      <c r="F4649" t="str">
        <f>T("028411708")</f>
        <v>028411708</v>
      </c>
      <c r="G4649" t="str">
        <f>T("NAVAL UNDERSEA WARFARE CENTER")</f>
        <v>NAVAL UNDERSEA WARFARE CENTER</v>
      </c>
      <c r="H4649" t="str">
        <f>T("BLDG 1171 CODE 25B")</f>
        <v>BLDG 1171 CODE 25B</v>
      </c>
      <c r="I4649" t="str">
        <f t="shared" si="1832"/>
        <v>NEWPORT</v>
      </c>
      <c r="J4649" t="str">
        <f t="shared" si="1833"/>
        <v>RI</v>
      </c>
      <c r="K4649" t="str">
        <f t="shared" si="1829"/>
        <v>000000000000000000</v>
      </c>
      <c r="L4649" t="str">
        <f>T("4018321447")</f>
        <v>4018321447</v>
      </c>
    </row>
    <row r="4650" spans="1:12" x14ac:dyDescent="0.35">
      <c r="A4650" t="str">
        <f t="shared" si="1828"/>
        <v>NUWC NEWPORT</v>
      </c>
      <c r="B4650" t="str">
        <f>T("NAVAL UNDERSEA WARFARE CNTR")</f>
        <v>NAVAL UNDERSEA WARFARE CNTR</v>
      </c>
      <c r="C4650" t="str">
        <f>T("CODE 253 BLDG 1259")</f>
        <v>CODE 253 BLDG 1259</v>
      </c>
      <c r="D4650" t="str">
        <f t="shared" si="1830"/>
        <v>NEWPORT</v>
      </c>
      <c r="E4650" t="str">
        <f t="shared" si="1831"/>
        <v>RI</v>
      </c>
      <c r="F4650" t="str">
        <f>T("028411708")</f>
        <v>028411708</v>
      </c>
      <c r="G4650" t="str">
        <f>T("NAVAL UNDERSEA WARFARE CNTR")</f>
        <v>NAVAL UNDERSEA WARFARE CNTR</v>
      </c>
      <c r="H4650" t="str">
        <f>T("CODE 253 BLDG 1259")</f>
        <v>CODE 253 BLDG 1259</v>
      </c>
      <c r="I4650" t="str">
        <f t="shared" si="1832"/>
        <v>NEWPORT</v>
      </c>
      <c r="J4650" t="str">
        <f t="shared" si="1833"/>
        <v>RI</v>
      </c>
      <c r="K4650" t="str">
        <f t="shared" si="1829"/>
        <v>000000000000000000</v>
      </c>
      <c r="L4650" t="str">
        <f>T("4018321697")</f>
        <v>4018321697</v>
      </c>
    </row>
    <row r="4651" spans="1:12" x14ac:dyDescent="0.35">
      <c r="A4651" t="str">
        <f t="shared" si="1828"/>
        <v>NUWC NEWPORT</v>
      </c>
      <c r="B4651" t="str">
        <f>T("NAVAL UNDERSEA WARFARE CNTR")</f>
        <v>NAVAL UNDERSEA WARFARE CNTR</v>
      </c>
      <c r="C4651" t="str">
        <f>T("CODE 3413 BLDG 1319")</f>
        <v>CODE 3413 BLDG 1319</v>
      </c>
      <c r="D4651" t="str">
        <f t="shared" si="1830"/>
        <v>NEWPORT</v>
      </c>
      <c r="E4651" t="str">
        <f t="shared" si="1831"/>
        <v>RI</v>
      </c>
      <c r="F4651" t="str">
        <f>T("028410000")</f>
        <v>028410000</v>
      </c>
      <c r="G4651" t="str">
        <f>T("NAVAL UNDERSEA WARFARE CENTER")</f>
        <v>NAVAL UNDERSEA WARFARE CENTER</v>
      </c>
      <c r="H4651" t="str">
        <f>T("CODE 3402 BLDG 1319")</f>
        <v>CODE 3402 BLDG 1319</v>
      </c>
      <c r="I4651" t="str">
        <f t="shared" si="1832"/>
        <v>NEWPORT</v>
      </c>
      <c r="J4651" t="str">
        <f t="shared" si="1833"/>
        <v>RI</v>
      </c>
      <c r="K4651" t="str">
        <f t="shared" si="1829"/>
        <v>000000000000000000</v>
      </c>
      <c r="L4651" t="str">
        <f>T("4018324273")</f>
        <v>4018324273</v>
      </c>
    </row>
    <row r="4652" spans="1:12" x14ac:dyDescent="0.35">
      <c r="A4652" t="str">
        <f t="shared" si="1828"/>
        <v>NUWC NEWPORT</v>
      </c>
      <c r="B4652" t="str">
        <f>T("NAVAL UNDERSEA WARFARE CNTR")</f>
        <v>NAVAL UNDERSEA WARFARE CNTR</v>
      </c>
      <c r="C4652" t="str">
        <f>T("CODE 3413 BLDG 1319")</f>
        <v>CODE 3413 BLDG 1319</v>
      </c>
      <c r="D4652" t="str">
        <f t="shared" si="1830"/>
        <v>NEWPORT</v>
      </c>
      <c r="E4652" t="str">
        <f t="shared" si="1831"/>
        <v>RI</v>
      </c>
      <c r="F4652" t="str">
        <f>T("028410000")</f>
        <v>028410000</v>
      </c>
      <c r="G4652" t="str">
        <f>T("NAVAL UNDERSEA WARFARE CNTR")</f>
        <v>NAVAL UNDERSEA WARFARE CNTR</v>
      </c>
      <c r="H4652" t="str">
        <f>T("CODE 3413 BLDG 1319")</f>
        <v>CODE 3413 BLDG 1319</v>
      </c>
      <c r="I4652" t="str">
        <f t="shared" si="1832"/>
        <v>NEWPORT</v>
      </c>
      <c r="J4652" t="str">
        <f t="shared" si="1833"/>
        <v>RI</v>
      </c>
      <c r="K4652" t="str">
        <f t="shared" si="1829"/>
        <v>000000000000000000</v>
      </c>
      <c r="L4652" t="str">
        <f>T("4018325699")</f>
        <v>4018325699</v>
      </c>
    </row>
    <row r="4653" spans="1:12" x14ac:dyDescent="0.35">
      <c r="A4653" t="str">
        <f t="shared" si="1828"/>
        <v>NUWC NEWPORT</v>
      </c>
      <c r="B4653" t="str">
        <f>T("NAVAL UNDERSEA WARFARE CTR")</f>
        <v>NAVAL UNDERSEA WARFARE CTR</v>
      </c>
      <c r="C4653" t="str">
        <f>T("CODE 2516 BLDG 1171 2ND FLR")</f>
        <v>CODE 2516 BLDG 1171 2ND FLR</v>
      </c>
      <c r="D4653" t="str">
        <f t="shared" si="1830"/>
        <v>NEWPORT</v>
      </c>
      <c r="E4653" t="str">
        <f t="shared" si="1831"/>
        <v>RI</v>
      </c>
      <c r="F4653" t="str">
        <f>T("028411708")</f>
        <v>028411708</v>
      </c>
      <c r="G4653" t="str">
        <f>T("NAVAL UNDERSEA WARFARE CTR")</f>
        <v>NAVAL UNDERSEA WARFARE CTR</v>
      </c>
      <c r="H4653" t="str">
        <f>T("CODE 2516 BLDG 1171 2ND FLR")</f>
        <v>CODE 2516 BLDG 1171 2ND FLR</v>
      </c>
      <c r="I4653" t="str">
        <f t="shared" si="1832"/>
        <v>NEWPORT</v>
      </c>
      <c r="J4653" t="str">
        <f t="shared" si="1833"/>
        <v>RI</v>
      </c>
      <c r="K4653" t="str">
        <f t="shared" si="1829"/>
        <v>000000000000000000</v>
      </c>
      <c r="L4653" t="str">
        <f>T("4018322913")</f>
        <v>4018322913</v>
      </c>
    </row>
    <row r="4654" spans="1:12" x14ac:dyDescent="0.35">
      <c r="A4654" t="str">
        <f t="shared" si="1828"/>
        <v>NUWC NEWPORT</v>
      </c>
      <c r="B4654" t="str">
        <f>T("NAVAL UNDERSEA WARFARE CTR")</f>
        <v>NAVAL UNDERSEA WARFARE CTR</v>
      </c>
      <c r="C4654" t="str">
        <f>T("CODE 2516 BLDG 1171 2ND FLR")</f>
        <v>CODE 2516 BLDG 1171 2ND FLR</v>
      </c>
      <c r="D4654" t="str">
        <f t="shared" si="1830"/>
        <v>NEWPORT</v>
      </c>
      <c r="E4654" t="str">
        <f t="shared" si="1831"/>
        <v>RI</v>
      </c>
      <c r="F4654" t="str">
        <f>T("028411708")</f>
        <v>028411708</v>
      </c>
      <c r="G4654" t="str">
        <f>T("NAVAL UNDERSEA WARFARE CTR")</f>
        <v>NAVAL UNDERSEA WARFARE CTR</v>
      </c>
      <c r="H4654" t="str">
        <f>T("CODE 2523 BLDG 1258")</f>
        <v>CODE 2523 BLDG 1258</v>
      </c>
      <c r="I4654" t="str">
        <f t="shared" si="1832"/>
        <v>NEWPORT</v>
      </c>
      <c r="J4654" t="str">
        <f t="shared" si="1833"/>
        <v>RI</v>
      </c>
      <c r="K4654" t="str">
        <f t="shared" si="1829"/>
        <v>000000000000000000</v>
      </c>
      <c r="L4654" t="str">
        <f>T("4018323153")</f>
        <v>4018323153</v>
      </c>
    </row>
    <row r="4655" spans="1:12" x14ac:dyDescent="0.35">
      <c r="A4655" t="str">
        <f t="shared" si="1828"/>
        <v>NUWC NEWPORT</v>
      </c>
      <c r="B4655" t="str">
        <f>T("NAVAL UNDERSEA WARFARE CTR")</f>
        <v>NAVAL UNDERSEA WARFARE CTR</v>
      </c>
      <c r="C4655" t="str">
        <f>T("CODE 2521 BLDG 1259 FLOOR 2")</f>
        <v>CODE 2521 BLDG 1259 FLOOR 2</v>
      </c>
      <c r="D4655" t="str">
        <f t="shared" si="1830"/>
        <v>NEWPORT</v>
      </c>
      <c r="E4655" t="str">
        <f t="shared" si="1831"/>
        <v>RI</v>
      </c>
      <c r="F4655" t="str">
        <f>T("028411708")</f>
        <v>028411708</v>
      </c>
      <c r="G4655" t="str">
        <f>T("NAVAL UNDERSEA WARFARE CTR")</f>
        <v>NAVAL UNDERSEA WARFARE CTR</v>
      </c>
      <c r="H4655" t="str">
        <f>T("CODE 2521 BLDG 1258")</f>
        <v>CODE 2521 BLDG 1258</v>
      </c>
      <c r="I4655" t="str">
        <f t="shared" si="1832"/>
        <v>NEWPORT</v>
      </c>
      <c r="J4655" t="str">
        <f t="shared" si="1833"/>
        <v>RI</v>
      </c>
      <c r="K4655" t="str">
        <f t="shared" si="1829"/>
        <v>000000000000000000</v>
      </c>
      <c r="L4655" t="str">
        <f>T("4018322041")</f>
        <v>4018322041</v>
      </c>
    </row>
    <row r="4656" spans="1:12" x14ac:dyDescent="0.35">
      <c r="A4656" t="str">
        <f t="shared" si="1828"/>
        <v>NUWC NEWPORT</v>
      </c>
      <c r="B4656" t="str">
        <f>T("NAVAL UNDERSEA WARFARE CTR")</f>
        <v>NAVAL UNDERSEA WARFARE CTR</v>
      </c>
      <c r="C4656" t="str">
        <f>T("CODE 2521 BLDG 1259 FLOOR 2")</f>
        <v>CODE 2521 BLDG 1259 FLOOR 2</v>
      </c>
      <c r="D4656" t="str">
        <f t="shared" si="1830"/>
        <v>NEWPORT</v>
      </c>
      <c r="E4656" t="str">
        <f t="shared" si="1831"/>
        <v>RI</v>
      </c>
      <c r="F4656" t="str">
        <f>T("028411708")</f>
        <v>028411708</v>
      </c>
      <c r="G4656" t="str">
        <f>T("NAVAL UNDERSEA WARFARE CTR")</f>
        <v>NAVAL UNDERSEA WARFARE CTR</v>
      </c>
      <c r="H4656" t="str">
        <f>T("CODE 2521 BLDG 1259 FLOOR 2")</f>
        <v>CODE 2521 BLDG 1259 FLOOR 2</v>
      </c>
      <c r="I4656" t="str">
        <f t="shared" si="1832"/>
        <v>NEWPORT</v>
      </c>
      <c r="J4656" t="str">
        <f t="shared" si="1833"/>
        <v>RI</v>
      </c>
      <c r="K4656" t="str">
        <f t="shared" si="1829"/>
        <v>000000000000000000</v>
      </c>
      <c r="L4656" t="str">
        <f>T("4018322917")</f>
        <v>4018322917</v>
      </c>
    </row>
    <row r="4657" spans="1:12" x14ac:dyDescent="0.35">
      <c r="A4657" t="str">
        <f t="shared" si="1828"/>
        <v>NUWC NEWPORT</v>
      </c>
      <c r="B4657" t="str">
        <f>T("NAVAL UNDERSEA WARFARE CTR")</f>
        <v>NAVAL UNDERSEA WARFARE CTR</v>
      </c>
      <c r="C4657" t="str">
        <f>T("CODE 601 BLDG 1320")</f>
        <v>CODE 601 BLDG 1320</v>
      </c>
      <c r="D4657" t="str">
        <f t="shared" si="1830"/>
        <v>NEWPORT</v>
      </c>
      <c r="E4657" t="str">
        <f t="shared" si="1831"/>
        <v>RI</v>
      </c>
      <c r="F4657" t="str">
        <f>T("028411708")</f>
        <v>028411708</v>
      </c>
      <c r="G4657" t="str">
        <f>T("NAVAL UNDERSEA WARFARE CTR")</f>
        <v>NAVAL UNDERSEA WARFARE CTR</v>
      </c>
      <c r="H4657" t="str">
        <f>T("CODE 601 BLDG 1320")</f>
        <v>CODE 601 BLDG 1320</v>
      </c>
      <c r="I4657" t="str">
        <f t="shared" si="1832"/>
        <v>NEWPORT</v>
      </c>
      <c r="J4657" t="str">
        <f t="shared" si="1833"/>
        <v>RI</v>
      </c>
      <c r="K4657" t="str">
        <f t="shared" si="1829"/>
        <v>000000000000000000</v>
      </c>
      <c r="L4657" t="str">
        <f>T("4018325724")</f>
        <v>4018325724</v>
      </c>
    </row>
    <row r="4658" spans="1:12" x14ac:dyDescent="0.35">
      <c r="A4658" t="str">
        <f t="shared" si="1828"/>
        <v>NUWC NEWPORT</v>
      </c>
      <c r="B4658" t="str">
        <f>T("NAVAL UNDERSRA WAREFARE CENTER")</f>
        <v>NAVAL UNDERSRA WAREFARE CENTER</v>
      </c>
      <c r="C4658" t="str">
        <f>T("CODE 2544 BLDG 1171")</f>
        <v>CODE 2544 BLDG 1171</v>
      </c>
      <c r="D4658" t="str">
        <f t="shared" si="1830"/>
        <v>NEWPORT</v>
      </c>
      <c r="E4658" t="str">
        <f t="shared" si="1831"/>
        <v>RI</v>
      </c>
      <c r="F4658" t="str">
        <f>T("028410000")</f>
        <v>028410000</v>
      </c>
      <c r="G4658" t="str">
        <f>T("NAVAL UNDERSEA WARFARE CENTER")</f>
        <v>NAVAL UNDERSEA WARFARE CENTER</v>
      </c>
      <c r="H4658" t="str">
        <f>T("CODE 2544 BLDG 1171")</f>
        <v>CODE 2544 BLDG 1171</v>
      </c>
      <c r="I4658" t="str">
        <f t="shared" si="1832"/>
        <v>NEWPORT</v>
      </c>
      <c r="J4658" t="str">
        <f t="shared" si="1833"/>
        <v>RI</v>
      </c>
      <c r="K4658" t="str">
        <f t="shared" si="1829"/>
        <v>000000000000000000</v>
      </c>
      <c r="L4658" t="str">
        <f>T("4018322688")</f>
        <v>4018322688</v>
      </c>
    </row>
    <row r="4659" spans="1:12" x14ac:dyDescent="0.35">
      <c r="A4659" t="str">
        <f t="shared" si="1828"/>
        <v>NUWC NEWPORT</v>
      </c>
      <c r="B4659" t="str">
        <f>T("NAVAL UNDERSRA WAREFARE CENTER")</f>
        <v>NAVAL UNDERSRA WAREFARE CENTER</v>
      </c>
      <c r="C4659" t="str">
        <f>T("CODE 2544 BLDG 1171")</f>
        <v>CODE 2544 BLDG 1171</v>
      </c>
      <c r="D4659" t="str">
        <f t="shared" si="1830"/>
        <v>NEWPORT</v>
      </c>
      <c r="E4659" t="str">
        <f t="shared" si="1831"/>
        <v>RI</v>
      </c>
      <c r="F4659" t="str">
        <f>T("028410000")</f>
        <v>028410000</v>
      </c>
      <c r="G4659" t="str">
        <f>T("NAVAL UNDERSRA WAREFARE CENTER")</f>
        <v>NAVAL UNDERSRA WAREFARE CENTER</v>
      </c>
      <c r="H4659" t="str">
        <f>T("CODE 2544 BLDG 1171")</f>
        <v>CODE 2544 BLDG 1171</v>
      </c>
      <c r="I4659" t="str">
        <f t="shared" si="1832"/>
        <v>NEWPORT</v>
      </c>
      <c r="J4659" t="str">
        <f t="shared" si="1833"/>
        <v>RI</v>
      </c>
      <c r="K4659" t="str">
        <f t="shared" si="1829"/>
        <v>000000000000000000</v>
      </c>
      <c r="L4659" t="str">
        <f>T("4018326044")</f>
        <v>4018326044</v>
      </c>
    </row>
    <row r="4660" spans="1:12" x14ac:dyDescent="0.35">
      <c r="A4660" t="str">
        <f t="shared" si="1828"/>
        <v>NUWC NEWPORT</v>
      </c>
      <c r="B4660" t="str">
        <f>T("NAVAL UNDERSRA WAREFARE CENTER")</f>
        <v>NAVAL UNDERSRA WAREFARE CENTER</v>
      </c>
      <c r="C4660" t="str">
        <f>T("CODE 60D BLDG 1320")</f>
        <v>CODE 60D BLDG 1320</v>
      </c>
      <c r="D4660" t="str">
        <f t="shared" si="1830"/>
        <v>NEWPORT</v>
      </c>
      <c r="E4660" t="str">
        <f t="shared" si="1831"/>
        <v>RI</v>
      </c>
      <c r="F4660" t="str">
        <f>T("028410000")</f>
        <v>028410000</v>
      </c>
      <c r="G4660" t="str">
        <f>T("NAVAL UNDERSEA WARFARE CENTER")</f>
        <v>NAVAL UNDERSEA WARFARE CENTER</v>
      </c>
      <c r="H4660" t="str">
        <f>T("CODE 60D BLDG 1320")</f>
        <v>CODE 60D BLDG 1320</v>
      </c>
      <c r="I4660" t="str">
        <f t="shared" si="1832"/>
        <v>NEWPORT</v>
      </c>
      <c r="J4660" t="str">
        <f t="shared" si="1833"/>
        <v>RI</v>
      </c>
      <c r="K4660" t="str">
        <f t="shared" si="1829"/>
        <v>000000000000000000</v>
      </c>
      <c r="L4660" t="str">
        <f>T("4018324309")</f>
        <v>4018324309</v>
      </c>
    </row>
    <row r="4661" spans="1:12" x14ac:dyDescent="0.35">
      <c r="A4661" t="str">
        <f t="shared" si="1828"/>
        <v>NUWC NEWPORT</v>
      </c>
      <c r="B4661" t="str">
        <f>T("NAVAL UNDERSRA WAREFARE CENTER")</f>
        <v>NAVAL UNDERSRA WAREFARE CENTER</v>
      </c>
      <c r="C4661" t="str">
        <f>T("CODE 60D BLDG 1320")</f>
        <v>CODE 60D BLDG 1320</v>
      </c>
      <c r="D4661" t="str">
        <f t="shared" si="1830"/>
        <v>NEWPORT</v>
      </c>
      <c r="E4661" t="str">
        <f t="shared" si="1831"/>
        <v>RI</v>
      </c>
      <c r="F4661" t="str">
        <f>T("028410000")</f>
        <v>028410000</v>
      </c>
      <c r="G4661" t="str">
        <f>T("NAVAL UNDERSRA WAREFARE CENTER")</f>
        <v>NAVAL UNDERSRA WAREFARE CENTER</v>
      </c>
      <c r="H4661" t="str">
        <f>T("CODE 60D BLDG 1320")</f>
        <v>CODE 60D BLDG 1320</v>
      </c>
      <c r="I4661" t="str">
        <f t="shared" si="1832"/>
        <v>NEWPORT</v>
      </c>
      <c r="J4661" t="str">
        <f t="shared" si="1833"/>
        <v>RI</v>
      </c>
      <c r="K4661" t="str">
        <f t="shared" si="1829"/>
        <v>000000000000000000</v>
      </c>
      <c r="L4661" t="str">
        <f>T("4018323092")</f>
        <v>4018323092</v>
      </c>
    </row>
    <row r="4662" spans="1:12" x14ac:dyDescent="0.35">
      <c r="A4662" t="str">
        <f t="shared" si="1828"/>
        <v>NUWC NEWPORT</v>
      </c>
      <c r="B4662" t="str">
        <f>T("NUWC AVERILL")</f>
        <v>NUWC AVERILL</v>
      </c>
      <c r="C4662" t="str">
        <f>T("CODE 106 BLDG 990")</f>
        <v>CODE 106 BLDG 990</v>
      </c>
      <c r="D4662" t="str">
        <f t="shared" si="1830"/>
        <v>NEWPORT</v>
      </c>
      <c r="E4662" t="str">
        <f t="shared" si="1831"/>
        <v>RI</v>
      </c>
      <c r="F4662" t="str">
        <f>T("028411708")</f>
        <v>028411708</v>
      </c>
      <c r="G4662" t="str">
        <f>T("NAVAL UNDERSEA WARFARE CENTER")</f>
        <v>NAVAL UNDERSEA WARFARE CENTER</v>
      </c>
      <c r="H4662" t="str">
        <f>T("CODE 1022 BLDG 47")</f>
        <v>CODE 1022 BLDG 47</v>
      </c>
      <c r="I4662" t="str">
        <f t="shared" si="1832"/>
        <v>NEWPORT</v>
      </c>
      <c r="J4662" t="str">
        <f t="shared" si="1833"/>
        <v>RI</v>
      </c>
      <c r="K4662" t="str">
        <f t="shared" si="1829"/>
        <v>000000000000000000</v>
      </c>
      <c r="L4662" t="str">
        <f>T("4018328290")</f>
        <v>4018328290</v>
      </c>
    </row>
    <row r="4663" spans="1:12" x14ac:dyDescent="0.35">
      <c r="A4663" t="str">
        <f t="shared" si="1828"/>
        <v>NUWC NEWPORT</v>
      </c>
      <c r="B4663" t="str">
        <f>T("NUWC AVERILL")</f>
        <v>NUWC AVERILL</v>
      </c>
      <c r="C4663" t="str">
        <f>T("CODE 106 BLDG 990")</f>
        <v>CODE 106 BLDG 990</v>
      </c>
      <c r="D4663" t="str">
        <f t="shared" si="1830"/>
        <v>NEWPORT</v>
      </c>
      <c r="E4663" t="str">
        <f t="shared" si="1831"/>
        <v>RI</v>
      </c>
      <c r="F4663" t="str">
        <f>T("028411708")</f>
        <v>028411708</v>
      </c>
      <c r="G4663" t="str">
        <f>T("NUWC AVERILL")</f>
        <v>NUWC AVERILL</v>
      </c>
      <c r="H4663" t="str">
        <f>T("CODE 106 BLDG 990")</f>
        <v>CODE 106 BLDG 990</v>
      </c>
      <c r="I4663" t="str">
        <f t="shared" si="1832"/>
        <v>NEWPORT</v>
      </c>
      <c r="J4663" t="str">
        <f t="shared" si="1833"/>
        <v>RI</v>
      </c>
      <c r="K4663" t="str">
        <f t="shared" si="1829"/>
        <v>000000000000000000</v>
      </c>
      <c r="L4663" t="str">
        <f>T("4018324933")</f>
        <v>4018324933</v>
      </c>
    </row>
    <row r="4664" spans="1:12" x14ac:dyDescent="0.35">
      <c r="A4664" t="str">
        <f t="shared" ref="A4664:A4676" si="1834">T("NUWC NEWPORT")</f>
        <v>NUWC NEWPORT</v>
      </c>
      <c r="B4664" t="str">
        <f t="shared" ref="B4664:B4670" si="1835">T("NUWC NEWPORT")</f>
        <v>NUWC NEWPORT</v>
      </c>
      <c r="C4664" t="str">
        <f>T("CODE 3433 BLDG 103")</f>
        <v>CODE 3433 BLDG 103</v>
      </c>
      <c r="D4664" t="str">
        <f t="shared" si="1830"/>
        <v>NEWPORT</v>
      </c>
      <c r="E4664" t="str">
        <f t="shared" si="1831"/>
        <v>RI</v>
      </c>
      <c r="F4664" t="str">
        <f>T("028411708")</f>
        <v>028411708</v>
      </c>
      <c r="G4664" t="str">
        <f>T("NAVAL UNDERSEA WARFARE CENTER")</f>
        <v>NAVAL UNDERSEA WARFARE CENTER</v>
      </c>
      <c r="H4664" t="str">
        <f>T("CODE 3433 BLDG 68")</f>
        <v>CODE 3433 BLDG 68</v>
      </c>
      <c r="I4664" t="str">
        <f t="shared" si="1832"/>
        <v>NEWPORT</v>
      </c>
      <c r="J4664" t="str">
        <f t="shared" si="1833"/>
        <v>RI</v>
      </c>
      <c r="K4664" t="str">
        <f t="shared" si="1829"/>
        <v>000000000000000000</v>
      </c>
      <c r="L4664" t="str">
        <f>T("4018323204")</f>
        <v>4018323204</v>
      </c>
    </row>
    <row r="4665" spans="1:12" x14ac:dyDescent="0.35">
      <c r="A4665" t="str">
        <f t="shared" si="1834"/>
        <v>NUWC NEWPORT</v>
      </c>
      <c r="B4665" t="str">
        <f t="shared" si="1835"/>
        <v>NUWC NEWPORT</v>
      </c>
      <c r="C4665" t="str">
        <f>T("CODE 3433 BLDG 103")</f>
        <v>CODE 3433 BLDG 103</v>
      </c>
      <c r="D4665" t="str">
        <f t="shared" si="1830"/>
        <v>NEWPORT</v>
      </c>
      <c r="E4665" t="str">
        <f t="shared" si="1831"/>
        <v>RI</v>
      </c>
      <c r="F4665" t="str">
        <f>T("028411708")</f>
        <v>028411708</v>
      </c>
      <c r="G4665" t="str">
        <f>T("NUWC NEWPORT")</f>
        <v>NUWC NEWPORT</v>
      </c>
      <c r="H4665" t="str">
        <f>T("CODE 3433 BLDG 103")</f>
        <v>CODE 3433 BLDG 103</v>
      </c>
      <c r="I4665" t="str">
        <f t="shared" si="1832"/>
        <v>NEWPORT</v>
      </c>
      <c r="J4665" t="str">
        <f t="shared" si="1833"/>
        <v>RI</v>
      </c>
      <c r="K4665" t="str">
        <f t="shared" si="1829"/>
        <v>000000000000000000</v>
      </c>
      <c r="L4665" t="str">
        <f>T("4018325791")</f>
        <v>4018325791</v>
      </c>
    </row>
    <row r="4666" spans="1:12" x14ac:dyDescent="0.35">
      <c r="A4666" t="str">
        <f t="shared" si="1834"/>
        <v>NUWC NEWPORT</v>
      </c>
      <c r="B4666" t="str">
        <f t="shared" si="1835"/>
        <v>NUWC NEWPORT</v>
      </c>
      <c r="C4666" t="str">
        <f>T("CODE 8241 BLDG 1171 HB")</f>
        <v>CODE 8241 BLDG 1171 HB</v>
      </c>
      <c r="D4666" t="str">
        <f t="shared" si="1830"/>
        <v>NEWPORT</v>
      </c>
      <c r="E4666" t="str">
        <f t="shared" si="1831"/>
        <v>RI</v>
      </c>
      <c r="F4666" t="str">
        <f>T("028410000")</f>
        <v>028410000</v>
      </c>
      <c r="G4666" t="str">
        <f>T("NAVAL UNDERSEA WARFARE CENTER")</f>
        <v>NAVAL UNDERSEA WARFARE CENTER</v>
      </c>
      <c r="H4666" t="str">
        <f>T("CODE 8541 BLDG 1171")</f>
        <v>CODE 8541 BLDG 1171</v>
      </c>
      <c r="I4666" t="str">
        <f t="shared" si="1832"/>
        <v>NEWPORT</v>
      </c>
      <c r="J4666" t="str">
        <f t="shared" si="1833"/>
        <v>RI</v>
      </c>
      <c r="K4666" t="str">
        <f t="shared" si="1829"/>
        <v>000000000000000000</v>
      </c>
      <c r="L4666" t="str">
        <f>T("4018321747")</f>
        <v>4018321747</v>
      </c>
    </row>
    <row r="4667" spans="1:12" x14ac:dyDescent="0.35">
      <c r="A4667" t="str">
        <f t="shared" si="1834"/>
        <v>NUWC NEWPORT</v>
      </c>
      <c r="B4667" t="str">
        <f t="shared" si="1835"/>
        <v>NUWC NEWPORT</v>
      </c>
      <c r="C4667" t="str">
        <f>T("CODE 8241 BLDG 1171 HB")</f>
        <v>CODE 8241 BLDG 1171 HB</v>
      </c>
      <c r="D4667" t="str">
        <f t="shared" si="1830"/>
        <v>NEWPORT</v>
      </c>
      <c r="E4667" t="str">
        <f t="shared" si="1831"/>
        <v>RI</v>
      </c>
      <c r="F4667" t="str">
        <f>T("028410000")</f>
        <v>028410000</v>
      </c>
      <c r="G4667" t="str">
        <f>T("NAVAL UNDERSEA WARFARE CTR")</f>
        <v>NAVAL UNDERSEA WARFARE CTR</v>
      </c>
      <c r="H4667" t="str">
        <f>T("CODE 8543 BLDG 116")</f>
        <v>CODE 8543 BLDG 116</v>
      </c>
      <c r="I4667" t="str">
        <f t="shared" si="1832"/>
        <v>NEWPORT</v>
      </c>
      <c r="J4667" t="str">
        <f t="shared" si="1833"/>
        <v>RI</v>
      </c>
      <c r="K4667" t="str">
        <f t="shared" si="1829"/>
        <v>000000000000000000</v>
      </c>
      <c r="L4667" t="str">
        <f>T("4018323111")</f>
        <v>4018323111</v>
      </c>
    </row>
    <row r="4668" spans="1:12" x14ac:dyDescent="0.35">
      <c r="A4668" t="str">
        <f t="shared" si="1834"/>
        <v>NUWC NEWPORT</v>
      </c>
      <c r="B4668" t="str">
        <f t="shared" si="1835"/>
        <v>NUWC NEWPORT</v>
      </c>
      <c r="C4668" t="str">
        <f>T("CODE 8241 BLDG 1171 HB")</f>
        <v>CODE 8241 BLDG 1171 HB</v>
      </c>
      <c r="D4668" t="str">
        <f t="shared" si="1830"/>
        <v>NEWPORT</v>
      </c>
      <c r="E4668" t="str">
        <f t="shared" si="1831"/>
        <v>RI</v>
      </c>
      <c r="F4668" t="str">
        <f>T("028410000")</f>
        <v>028410000</v>
      </c>
      <c r="G4668" t="str">
        <f>T("NUWC NEWPORT")</f>
        <v>NUWC NEWPORT</v>
      </c>
      <c r="H4668" t="str">
        <f>T("CODE 8241 BLDG 1171 HB")</f>
        <v>CODE 8241 BLDG 1171 HB</v>
      </c>
      <c r="I4668" t="str">
        <f t="shared" si="1832"/>
        <v>NEWPORT</v>
      </c>
      <c r="J4668" t="str">
        <f t="shared" si="1833"/>
        <v>RI</v>
      </c>
      <c r="K4668" t="str">
        <f>T("")</f>
        <v/>
      </c>
      <c r="L4668" t="str">
        <f>T("4018328069")</f>
        <v>4018328069</v>
      </c>
    </row>
    <row r="4669" spans="1:12" x14ac:dyDescent="0.35">
      <c r="A4669" t="str">
        <f t="shared" si="1834"/>
        <v>NUWC NEWPORT</v>
      </c>
      <c r="B4669" t="str">
        <f t="shared" si="1835"/>
        <v>NUWC NEWPORT</v>
      </c>
      <c r="C4669" t="str">
        <f>T("CODE 852 BLDG 990")</f>
        <v>CODE 852 BLDG 990</v>
      </c>
      <c r="D4669" t="str">
        <f t="shared" si="1830"/>
        <v>NEWPORT</v>
      </c>
      <c r="E4669" t="str">
        <f t="shared" si="1831"/>
        <v>RI</v>
      </c>
      <c r="F4669" t="str">
        <f>T("028410000")</f>
        <v>028410000</v>
      </c>
      <c r="G4669" t="str">
        <f>T("NUWC NEWPORT")</f>
        <v>NUWC NEWPORT</v>
      </c>
      <c r="H4669" t="str">
        <f>T("CODE 852 BLDG 990")</f>
        <v>CODE 852 BLDG 990</v>
      </c>
      <c r="I4669" t="str">
        <f t="shared" si="1832"/>
        <v>NEWPORT</v>
      </c>
      <c r="J4669" t="str">
        <f t="shared" si="1833"/>
        <v>RI</v>
      </c>
      <c r="K4669" t="str">
        <f t="shared" ref="K4669:K4676" si="1836">T("000000000000000000")</f>
        <v>000000000000000000</v>
      </c>
      <c r="L4669" t="str">
        <f>T("4016326399")</f>
        <v>4016326399</v>
      </c>
    </row>
    <row r="4670" spans="1:12" x14ac:dyDescent="0.35">
      <c r="A4670" t="str">
        <f t="shared" si="1834"/>
        <v>NUWC NEWPORT</v>
      </c>
      <c r="B4670" t="str">
        <f t="shared" si="1835"/>
        <v>NUWC NEWPORT</v>
      </c>
      <c r="C4670" t="str">
        <f>T("CODE 852 BLDG 990")</f>
        <v>CODE 852 BLDG 990</v>
      </c>
      <c r="D4670" t="str">
        <f t="shared" si="1830"/>
        <v>NEWPORT</v>
      </c>
      <c r="E4670" t="str">
        <f t="shared" si="1831"/>
        <v>RI</v>
      </c>
      <c r="F4670" t="str">
        <f>T("028410000")</f>
        <v>028410000</v>
      </c>
      <c r="G4670" t="str">
        <f>T("NUWC NEWPORT BLDG 106")</f>
        <v>NUWC NEWPORT BLDG 106</v>
      </c>
      <c r="H4670" t="str">
        <f>T("CODE 8524")</f>
        <v>CODE 8524</v>
      </c>
      <c r="I4670" t="str">
        <f t="shared" si="1832"/>
        <v>NEWPORT</v>
      </c>
      <c r="J4670" t="str">
        <f t="shared" si="1833"/>
        <v>RI</v>
      </c>
      <c r="K4670" t="str">
        <f t="shared" si="1836"/>
        <v>000000000000000000</v>
      </c>
      <c r="L4670" t="str">
        <f>T("4018321600")</f>
        <v>4018321600</v>
      </c>
    </row>
    <row r="4671" spans="1:12" x14ac:dyDescent="0.35">
      <c r="A4671" t="str">
        <f t="shared" si="1834"/>
        <v>NUWC NEWPORT</v>
      </c>
      <c r="B4671" t="str">
        <f>T("NUWC NEWPORT BLDG 148")</f>
        <v>NUWC NEWPORT BLDG 148</v>
      </c>
      <c r="C4671" t="str">
        <f>T("CODE 8501")</f>
        <v>CODE 8501</v>
      </c>
      <c r="D4671" t="str">
        <f t="shared" si="1830"/>
        <v>NEWPORT</v>
      </c>
      <c r="E4671" t="str">
        <f t="shared" si="1831"/>
        <v>RI</v>
      </c>
      <c r="F4671" t="str">
        <f t="shared" ref="F4671:F4676" si="1837">T("028411708")</f>
        <v>028411708</v>
      </c>
      <c r="G4671" t="str">
        <f>T("NAVAL UNDERSEA WARFARE CENTER")</f>
        <v>NAVAL UNDERSEA WARFARE CENTER</v>
      </c>
      <c r="H4671" t="str">
        <f>T("CODE 8551 BLDG 110")</f>
        <v>CODE 8551 BLDG 110</v>
      </c>
      <c r="I4671" t="str">
        <f t="shared" si="1832"/>
        <v>NEWPORT</v>
      </c>
      <c r="J4671" t="str">
        <f t="shared" si="1833"/>
        <v>RI</v>
      </c>
      <c r="K4671" t="str">
        <f t="shared" si="1836"/>
        <v>000000000000000000</v>
      </c>
      <c r="L4671" t="str">
        <f>T("4018327397")</f>
        <v>4018327397</v>
      </c>
    </row>
    <row r="4672" spans="1:12" x14ac:dyDescent="0.35">
      <c r="A4672" t="str">
        <f t="shared" si="1834"/>
        <v>NUWC NEWPORT</v>
      </c>
      <c r="B4672" t="str">
        <f>T("NUWC NEWPORT BLDG 148")</f>
        <v>NUWC NEWPORT BLDG 148</v>
      </c>
      <c r="C4672" t="str">
        <f>T("CODE 8501")</f>
        <v>CODE 8501</v>
      </c>
      <c r="D4672" t="str">
        <f t="shared" si="1830"/>
        <v>NEWPORT</v>
      </c>
      <c r="E4672" t="str">
        <f t="shared" si="1831"/>
        <v>RI</v>
      </c>
      <c r="F4672" t="str">
        <f t="shared" si="1837"/>
        <v>028411708</v>
      </c>
      <c r="G4672" t="str">
        <f>T("NAVAL UNDERSEA WARFARE CTR")</f>
        <v>NAVAL UNDERSEA WARFARE CTR</v>
      </c>
      <c r="H4672" t="str">
        <f>T("CODE 8551 BLDG 148")</f>
        <v>CODE 8551 BLDG 148</v>
      </c>
      <c r="I4672" t="str">
        <f t="shared" si="1832"/>
        <v>NEWPORT</v>
      </c>
      <c r="J4672" t="str">
        <f t="shared" si="1833"/>
        <v>RI</v>
      </c>
      <c r="K4672" t="str">
        <f t="shared" si="1836"/>
        <v>000000000000000000</v>
      </c>
      <c r="L4672" t="str">
        <f>T("4018323421")</f>
        <v>4018323421</v>
      </c>
    </row>
    <row r="4673" spans="1:12" x14ac:dyDescent="0.35">
      <c r="A4673" t="str">
        <f t="shared" si="1834"/>
        <v>NUWC NEWPORT</v>
      </c>
      <c r="B4673" t="str">
        <f>T("NUWC NEWPORT BLDG 148")</f>
        <v>NUWC NEWPORT BLDG 148</v>
      </c>
      <c r="C4673" t="str">
        <f>T("CODE 8501")</f>
        <v>CODE 8501</v>
      </c>
      <c r="D4673" t="str">
        <f t="shared" si="1830"/>
        <v>NEWPORT</v>
      </c>
      <c r="E4673" t="str">
        <f t="shared" si="1831"/>
        <v>RI</v>
      </c>
      <c r="F4673" t="str">
        <f t="shared" si="1837"/>
        <v>028411708</v>
      </c>
      <c r="G4673" t="str">
        <f>T("NUWC NEWPORT BLDG 148")</f>
        <v>NUWC NEWPORT BLDG 148</v>
      </c>
      <c r="H4673" t="str">
        <f>T("CODE 8501")</f>
        <v>CODE 8501</v>
      </c>
      <c r="I4673" t="str">
        <f t="shared" si="1832"/>
        <v>NEWPORT</v>
      </c>
      <c r="J4673" t="str">
        <f t="shared" si="1833"/>
        <v>RI</v>
      </c>
      <c r="K4673" t="str">
        <f t="shared" si="1836"/>
        <v>000000000000000000</v>
      </c>
      <c r="L4673" t="str">
        <f>T("4018321921")</f>
        <v>4018321921</v>
      </c>
    </row>
    <row r="4674" spans="1:12" x14ac:dyDescent="0.35">
      <c r="A4674" t="str">
        <f t="shared" si="1834"/>
        <v>NUWC NEWPORT</v>
      </c>
      <c r="B4674" t="str">
        <f>T("NUWCDIVNPT CODE 00L")</f>
        <v>NUWCDIVNPT CODE 00L</v>
      </c>
      <c r="C4674" t="str">
        <f>T("BLDG 102")</f>
        <v>BLDG 102</v>
      </c>
      <c r="D4674" t="str">
        <f t="shared" si="1830"/>
        <v>NEWPORT</v>
      </c>
      <c r="E4674" t="str">
        <f t="shared" si="1831"/>
        <v>RI</v>
      </c>
      <c r="F4674" t="str">
        <f t="shared" si="1837"/>
        <v>028411708</v>
      </c>
      <c r="G4674" t="str">
        <f>T("BUILDING 102T")</f>
        <v>BUILDING 102T</v>
      </c>
      <c r="H4674" t="str">
        <f>T("CODE 00L")</f>
        <v>CODE 00L</v>
      </c>
      <c r="I4674" t="str">
        <f t="shared" si="1832"/>
        <v>NEWPORT</v>
      </c>
      <c r="J4674" t="str">
        <f t="shared" si="1833"/>
        <v>RI</v>
      </c>
      <c r="K4674" t="str">
        <f t="shared" si="1836"/>
        <v>000000000000000000</v>
      </c>
      <c r="L4674" t="str">
        <f>T("4018324238")</f>
        <v>4018324238</v>
      </c>
    </row>
    <row r="4675" spans="1:12" x14ac:dyDescent="0.35">
      <c r="A4675" t="str">
        <f t="shared" si="1834"/>
        <v>NUWC NEWPORT</v>
      </c>
      <c r="B4675" t="str">
        <f>T("NUWCDIVNPT CODE 00L")</f>
        <v>NUWCDIVNPT CODE 00L</v>
      </c>
      <c r="C4675" t="str">
        <f>T("BLDG 102")</f>
        <v>BLDG 102</v>
      </c>
      <c r="D4675" t="str">
        <f t="shared" si="1830"/>
        <v>NEWPORT</v>
      </c>
      <c r="E4675" t="str">
        <f t="shared" si="1831"/>
        <v>RI</v>
      </c>
      <c r="F4675" t="str">
        <f t="shared" si="1837"/>
        <v>028411708</v>
      </c>
      <c r="G4675" t="str">
        <f>T("BUILDING 102T")</f>
        <v>BUILDING 102T</v>
      </c>
      <c r="H4675" t="str">
        <f>T("CODE 00OC")</f>
        <v>CODE 00OC</v>
      </c>
      <c r="I4675" t="str">
        <f t="shared" si="1832"/>
        <v>NEWPORT</v>
      </c>
      <c r="J4675" t="str">
        <f t="shared" si="1833"/>
        <v>RI</v>
      </c>
      <c r="K4675" t="str">
        <f t="shared" si="1836"/>
        <v>000000000000000000</v>
      </c>
      <c r="L4675" t="str">
        <f>T("4018324250")</f>
        <v>4018324250</v>
      </c>
    </row>
    <row r="4676" spans="1:12" x14ac:dyDescent="0.35">
      <c r="A4676" t="str">
        <f t="shared" si="1834"/>
        <v>NUWC NEWPORT</v>
      </c>
      <c r="B4676" t="str">
        <f>T("NUWCDIVNPT CODE 00L")</f>
        <v>NUWCDIVNPT CODE 00L</v>
      </c>
      <c r="C4676" t="str">
        <f>T("BLDG 102")</f>
        <v>BLDG 102</v>
      </c>
      <c r="D4676" t="str">
        <f t="shared" si="1830"/>
        <v>NEWPORT</v>
      </c>
      <c r="E4676" t="str">
        <f t="shared" si="1831"/>
        <v>RI</v>
      </c>
      <c r="F4676" t="str">
        <f t="shared" si="1837"/>
        <v>028411708</v>
      </c>
      <c r="G4676" t="str">
        <f>T("NUWCDIVNPT CODE 00L")</f>
        <v>NUWCDIVNPT CODE 00L</v>
      </c>
      <c r="H4676" t="str">
        <f>T("BLDG 102")</f>
        <v>BLDG 102</v>
      </c>
      <c r="I4676" t="str">
        <f t="shared" si="1832"/>
        <v>NEWPORT</v>
      </c>
      <c r="J4676" t="str">
        <f t="shared" si="1833"/>
        <v>RI</v>
      </c>
      <c r="K4676" t="str">
        <f t="shared" si="1836"/>
        <v>000000000000000000</v>
      </c>
      <c r="L4676" t="str">
        <f>T("4018324230")</f>
        <v>4018324230</v>
      </c>
    </row>
    <row r="4677" spans="1:12" x14ac:dyDescent="0.35">
      <c r="A4677" t="str">
        <f>T("NOSSA")</f>
        <v>NOSSA</v>
      </c>
      <c r="B4677" t="str">
        <f>T("3817 STRAUSS AVE")</f>
        <v>3817 STRAUSS AVE</v>
      </c>
      <c r="C4677" t="str">
        <f>T("")</f>
        <v/>
      </c>
      <c r="D4677" t="str">
        <f>T("INDIAN HEAD")</f>
        <v>INDIAN HEAD</v>
      </c>
      <c r="E4677" t="str">
        <f>T("MD")</f>
        <v>MD</v>
      </c>
      <c r="F4677" t="str">
        <f>T("206405151")</f>
        <v>206405151</v>
      </c>
      <c r="G4677" t="str">
        <f>T("3817 STRAUSS AVE")</f>
        <v>3817 STRAUSS AVE</v>
      </c>
      <c r="H4677" t="str">
        <f>T("")</f>
        <v/>
      </c>
      <c r="I4677" t="str">
        <f>T("INDIAN HEAD")</f>
        <v>INDIAN HEAD</v>
      </c>
      <c r="J4677" t="str">
        <f>T("MD")</f>
        <v>MD</v>
      </c>
      <c r="K4677" t="str">
        <f>T("3017446005")</f>
        <v>3017446005</v>
      </c>
      <c r="L4677" t="str">
        <f>T("3017446015")</f>
        <v>3017446015</v>
      </c>
    </row>
    <row r="4678" spans="1:12" x14ac:dyDescent="0.35">
      <c r="A4678" t="str">
        <f>T("NOSSA")</f>
        <v>NOSSA</v>
      </c>
      <c r="B4678" t="str">
        <f>T("3817 STRAUSS AVE")</f>
        <v>3817 STRAUSS AVE</v>
      </c>
      <c r="C4678" t="str">
        <f>T("SUITE 108")</f>
        <v>SUITE 108</v>
      </c>
      <c r="D4678" t="str">
        <f>T("INDIAN HEAD")</f>
        <v>INDIAN HEAD</v>
      </c>
      <c r="E4678" t="str">
        <f>T("MD")</f>
        <v>MD</v>
      </c>
      <c r="F4678" t="str">
        <f>T("206405151")</f>
        <v>206405151</v>
      </c>
      <c r="G4678" t="str">
        <f>T("3817 STRAUSS AVE")</f>
        <v>3817 STRAUSS AVE</v>
      </c>
      <c r="H4678" t="str">
        <f>T("SUITE 108")</f>
        <v>SUITE 108</v>
      </c>
      <c r="I4678" t="str">
        <f>T("INDIAN HEAD")</f>
        <v>INDIAN HEAD</v>
      </c>
      <c r="J4678" t="str">
        <f>T("MD")</f>
        <v>MD</v>
      </c>
      <c r="K4678" t="str">
        <f>T("000000000000000000")</f>
        <v>000000000000000000</v>
      </c>
      <c r="L4678" t="str">
        <f>T("3017445631")</f>
        <v>3017445631</v>
      </c>
    </row>
    <row r="4679" spans="1:12" x14ac:dyDescent="0.35">
      <c r="A4679" t="str">
        <f>T("NOSSA")</f>
        <v>NOSSA</v>
      </c>
      <c r="B4679" t="str">
        <f>T("3817 STRAUSS AVE")</f>
        <v>3817 STRAUSS AVE</v>
      </c>
      <c r="C4679" t="str">
        <f>T("SUITE 108")</f>
        <v>SUITE 108</v>
      </c>
      <c r="D4679" t="str">
        <f>T("INDIAN HEAD")</f>
        <v>INDIAN HEAD</v>
      </c>
      <c r="E4679" t="str">
        <f>T("MD")</f>
        <v>MD</v>
      </c>
      <c r="F4679" t="str">
        <f>T("206405151")</f>
        <v>206405151</v>
      </c>
      <c r="G4679" t="str">
        <f>T("NOSSA 3817 STRAUSS AVE")</f>
        <v>NOSSA 3817 STRAUSS AVE</v>
      </c>
      <c r="H4679" t="str">
        <f>T("BLDG D-323 STE 108")</f>
        <v>BLDG D-323 STE 108</v>
      </c>
      <c r="I4679" t="str">
        <f>T("INDIAN HEAD")</f>
        <v>INDIAN HEAD</v>
      </c>
      <c r="J4679" t="str">
        <f>T("MD")</f>
        <v>MD</v>
      </c>
      <c r="K4679" t="str">
        <f>T("000000000000000000")</f>
        <v>000000000000000000</v>
      </c>
      <c r="L4679" t="str">
        <f>T("3017446067")</f>
        <v>3017446067</v>
      </c>
    </row>
    <row r="4680" spans="1:12" x14ac:dyDescent="0.35">
      <c r="A4680" t="str">
        <f>T("AEGIS TECH REP")</f>
        <v>AEGIS TECH REP</v>
      </c>
      <c r="B4680" t="str">
        <f>T("199 BORTON LANDING RD")</f>
        <v>199 BORTON LANDING RD</v>
      </c>
      <c r="C4680" t="str">
        <f>T("PO BOX 1015")</f>
        <v>PO BOX 1015</v>
      </c>
      <c r="D4680" t="str">
        <f>T("MOORESTOWN")</f>
        <v>MOORESTOWN</v>
      </c>
      <c r="E4680" t="str">
        <f>T("NJ")</f>
        <v>NJ</v>
      </c>
      <c r="F4680" t="str">
        <f>T("080570900")</f>
        <v>080570900</v>
      </c>
      <c r="G4680" t="str">
        <f>T("199 BORTON LANDING RD")</f>
        <v>199 BORTON LANDING RD</v>
      </c>
      <c r="H4680" t="str">
        <f>T("PO BOX 1015")</f>
        <v>PO BOX 1015</v>
      </c>
      <c r="I4680" t="str">
        <f>T("MOORESTOWN")</f>
        <v>MOORESTOWN</v>
      </c>
      <c r="J4680" t="str">
        <f>T("NJ")</f>
        <v>NJ</v>
      </c>
      <c r="K4680" t="str">
        <f>T("8568343467")</f>
        <v>8568343467</v>
      </c>
      <c r="L4680" t="str">
        <f>T("8567225848")</f>
        <v>8567225848</v>
      </c>
    </row>
    <row r="4681" spans="1:12" x14ac:dyDescent="0.35">
      <c r="A4681" t="str">
        <f>T("AEGIS TECH REP")</f>
        <v>AEGIS TECH REP</v>
      </c>
      <c r="B4681" t="str">
        <f>T("199 BORTON LANDING RD")</f>
        <v>199 BORTON LANDING RD</v>
      </c>
      <c r="C4681" t="str">
        <f>T("PO BOX 1015")</f>
        <v>PO BOX 1015</v>
      </c>
      <c r="D4681" t="str">
        <f>T("MOORESTOWN")</f>
        <v>MOORESTOWN</v>
      </c>
      <c r="E4681" t="str">
        <f>T("NJ")</f>
        <v>NJ</v>
      </c>
      <c r="F4681" t="str">
        <f>T("080570900")</f>
        <v>080570900</v>
      </c>
      <c r="G4681" t="str">
        <f>T("AEGIS TECHREP")</f>
        <v>AEGIS TECHREP</v>
      </c>
      <c r="H4681" t="str">
        <f>T("199 BORTON LANDING RD")</f>
        <v>199 BORTON LANDING RD</v>
      </c>
      <c r="I4681" t="str">
        <f>T("MOORESTOWN")</f>
        <v>MOORESTOWN</v>
      </c>
      <c r="J4681" t="str">
        <f>T("NJ")</f>
        <v>NJ</v>
      </c>
      <c r="K4681" t="str">
        <f>T("8562343467")</f>
        <v>8562343467</v>
      </c>
      <c r="L4681" t="str">
        <f>T("8567222020")</f>
        <v>8567222020</v>
      </c>
    </row>
    <row r="4682" spans="1:12" x14ac:dyDescent="0.35">
      <c r="A4682" t="str">
        <f>T("AEGIS TECH REP")</f>
        <v>AEGIS TECH REP</v>
      </c>
      <c r="B4682" t="str">
        <f>T("199 BORTON LANDING RD")</f>
        <v>199 BORTON LANDING RD</v>
      </c>
      <c r="C4682" t="str">
        <f>T("PO BOX 1015")</f>
        <v>PO BOX 1015</v>
      </c>
      <c r="D4682" t="str">
        <f>T("MOORESTOWN")</f>
        <v>MOORESTOWN</v>
      </c>
      <c r="E4682" t="str">
        <f>T("NJ")</f>
        <v>NJ</v>
      </c>
      <c r="F4682" t="str">
        <f>T("080570900")</f>
        <v>080570900</v>
      </c>
      <c r="G4682" t="str">
        <f>T("AEGIS TECHREP")</f>
        <v>AEGIS TECHREP</v>
      </c>
      <c r="H4682" t="str">
        <f>T("199 BORTON LANDING RD P O BOX 1015")</f>
        <v>199 BORTON LANDING RD P O BOX 1015</v>
      </c>
      <c r="I4682" t="str">
        <f>T("MOORESTOWN")</f>
        <v>MOORESTOWN</v>
      </c>
      <c r="J4682" t="str">
        <f>T("NJ")</f>
        <v>NJ</v>
      </c>
      <c r="K4682" t="str">
        <f>T("000000000000000000")</f>
        <v>000000000000000000</v>
      </c>
      <c r="L4682" t="str">
        <f>T("8567222717")</f>
        <v>8567222717</v>
      </c>
    </row>
    <row r="4683" spans="1:12" x14ac:dyDescent="0.35">
      <c r="A4683" t="str">
        <f>T("SUBMEPP ACTIVITY")</f>
        <v>SUBMEPP ACTIVITY</v>
      </c>
      <c r="B4683" t="str">
        <f>T("MACDONOUGH AVE BLDG 86 2ND FL")</f>
        <v>MACDONOUGH AVE BLDG 86 2ND FL</v>
      </c>
      <c r="C4683" t="str">
        <f>T("PORTSMOUTH NAVAL SHIPYARD")</f>
        <v>PORTSMOUTH NAVAL SHIPYARD</v>
      </c>
      <c r="D4683" t="str">
        <f>T("PORTSMOUTH")</f>
        <v>PORTSMOUTH</v>
      </c>
      <c r="E4683" t="str">
        <f>T("NH")</f>
        <v>NH</v>
      </c>
      <c r="F4683" t="str">
        <f>T("038013932")</f>
        <v>038013932</v>
      </c>
      <c r="G4683" t="str">
        <f>T("MACDONOUGH AVE BLDG 86 2ND FL")</f>
        <v>MACDONOUGH AVE BLDG 86 2ND FL</v>
      </c>
      <c r="H4683" t="str">
        <f>T("PORTSMOUTH NAVAL SHIPYARD")</f>
        <v>PORTSMOUTH NAVAL SHIPYARD</v>
      </c>
      <c r="I4683" t="str">
        <f>T("PORTSMOUTH")</f>
        <v>PORTSMOUTH</v>
      </c>
      <c r="J4683" t="str">
        <f>T("NH")</f>
        <v>NH</v>
      </c>
      <c r="K4683" t="str">
        <f>T("000000000000000000")</f>
        <v>000000000000000000</v>
      </c>
      <c r="L4683" t="str">
        <f>T("2074386021")</f>
        <v>2074386021</v>
      </c>
    </row>
    <row r="4684" spans="1:12" x14ac:dyDescent="0.35">
      <c r="A4684" t="str">
        <f>T("SUBMEPP ACTIVITY")</f>
        <v>SUBMEPP ACTIVITY</v>
      </c>
      <c r="B4684" t="str">
        <f>T("MACDONOUGH AVE BLDG 86 2ND FL")</f>
        <v>MACDONOUGH AVE BLDG 86 2ND FL</v>
      </c>
      <c r="C4684" t="str">
        <f>T("PORTSMOUTH NAVAL SHIPYARD")</f>
        <v>PORTSMOUTH NAVAL SHIPYARD</v>
      </c>
      <c r="D4684" t="str">
        <f>T("PORTSMOUTH")</f>
        <v>PORTSMOUTH</v>
      </c>
      <c r="E4684" t="str">
        <f>T("NH")</f>
        <v>NH</v>
      </c>
      <c r="F4684" t="str">
        <f>T("038013932")</f>
        <v>038013932</v>
      </c>
      <c r="G4684" t="str">
        <f>T("MACDONOUGH AVE BLDG 86 2ND FL")</f>
        <v>MACDONOUGH AVE BLDG 86 2ND FL</v>
      </c>
      <c r="H4684" t="str">
        <f>T("PORTSMOUTH NAVAL SHIPYARD")</f>
        <v>PORTSMOUTH NAVAL SHIPYARD</v>
      </c>
      <c r="I4684" t="str">
        <f>T("PORTSMOUTH")</f>
        <v>PORTSMOUTH</v>
      </c>
      <c r="J4684" t="str">
        <f>T("NH")</f>
        <v>NH</v>
      </c>
      <c r="K4684" t="str">
        <f>T("207-438-6205")</f>
        <v>207-438-6205</v>
      </c>
      <c r="L4684" t="str">
        <f>T("2074386272")</f>
        <v>2074386272</v>
      </c>
    </row>
    <row r="4685" spans="1:12" x14ac:dyDescent="0.35">
      <c r="A4685" t="str">
        <f>T("SUBMEPP ACTIVITY")</f>
        <v>SUBMEPP ACTIVITY</v>
      </c>
      <c r="B4685" t="str">
        <f>T("MACDONOUGH AVE BLDG 86 2ND FL")</f>
        <v>MACDONOUGH AVE BLDG 86 2ND FL</v>
      </c>
      <c r="C4685" t="str">
        <f>T("PORTSMOUTH NAVAL SHIPYARD")</f>
        <v>PORTSMOUTH NAVAL SHIPYARD</v>
      </c>
      <c r="D4685" t="str">
        <f>T("PORTSMOUTH")</f>
        <v>PORTSMOUTH</v>
      </c>
      <c r="E4685" t="str">
        <f>T("NH")</f>
        <v>NH</v>
      </c>
      <c r="F4685" t="str">
        <f>T("038013932")</f>
        <v>038013932</v>
      </c>
      <c r="G4685" t="str">
        <f>T("MACDONOUGH AVE BLDG 86 2ND FL")</f>
        <v>MACDONOUGH AVE BLDG 86 2ND FL</v>
      </c>
      <c r="H4685" t="str">
        <f>T("PORTSMOUTH NAVAL SHIPYARD")</f>
        <v>PORTSMOUTH NAVAL SHIPYARD</v>
      </c>
      <c r="I4685" t="str">
        <f>T("PORTSMOUTH")</f>
        <v>PORTSMOUTH</v>
      </c>
      <c r="J4685" t="str">
        <f>T("NH")</f>
        <v>NH</v>
      </c>
      <c r="K4685" t="str">
        <f>T("2074386175")</f>
        <v>2074386175</v>
      </c>
      <c r="L4685" t="str">
        <f>T("2074386151")</f>
        <v>2074386151</v>
      </c>
    </row>
    <row r="4686" spans="1:12" x14ac:dyDescent="0.35">
      <c r="A4686" t="str">
        <f>T("SUBMEPP ACTIVITY")</f>
        <v>SUBMEPP ACTIVITY</v>
      </c>
      <c r="B4686" t="str">
        <f>T("MACDONOUGH AVE BLDG 86 2ND FL")</f>
        <v>MACDONOUGH AVE BLDG 86 2ND FL</v>
      </c>
      <c r="C4686" t="str">
        <f>T("PORTSMOUTH NAVAL SHIPYARD")</f>
        <v>PORTSMOUTH NAVAL SHIPYARD</v>
      </c>
      <c r="D4686" t="str">
        <f>T("PORTSMOUTH")</f>
        <v>PORTSMOUTH</v>
      </c>
      <c r="E4686" t="str">
        <f>T("NH")</f>
        <v>NH</v>
      </c>
      <c r="F4686" t="str">
        <f>T("038013932")</f>
        <v>038013932</v>
      </c>
      <c r="G4686" t="str">
        <f>T("MACDONOUGH AVE BLDG 86 2ND FL")</f>
        <v>MACDONOUGH AVE BLDG 86 2ND FL</v>
      </c>
      <c r="H4686" t="str">
        <f>T("PORTSMOUTH NAVAL SHIPYARD")</f>
        <v>PORTSMOUTH NAVAL SHIPYARD</v>
      </c>
      <c r="I4686" t="str">
        <f>T("PORTSMOUTH")</f>
        <v>PORTSMOUTH</v>
      </c>
      <c r="J4686" t="str">
        <f>T("NH")</f>
        <v>NH</v>
      </c>
      <c r="K4686" t="str">
        <f>T("2074386205")</f>
        <v>2074386205</v>
      </c>
      <c r="L4686" t="str">
        <f>T("2074386025")</f>
        <v>2074386025</v>
      </c>
    </row>
    <row r="4687" spans="1:12" x14ac:dyDescent="0.35">
      <c r="A4687" t="str">
        <f>T("SUBMEPP ACTIVITY")</f>
        <v>SUBMEPP ACTIVITY</v>
      </c>
      <c r="B4687" t="str">
        <f>T("MACDONOUGH AVE BLDG 86 2ND FL")</f>
        <v>MACDONOUGH AVE BLDG 86 2ND FL</v>
      </c>
      <c r="C4687" t="str">
        <f>T("PORTSMOUTH NAVAL SHIPYARD")</f>
        <v>PORTSMOUTH NAVAL SHIPYARD</v>
      </c>
      <c r="D4687" t="str">
        <f>T("PORTSMOUTH")</f>
        <v>PORTSMOUTH</v>
      </c>
      <c r="E4687" t="str">
        <f>T("NH")</f>
        <v>NH</v>
      </c>
      <c r="F4687" t="str">
        <f>T("038013932")</f>
        <v>038013932</v>
      </c>
      <c r="G4687" t="str">
        <f>T("MACDONOUGH AVE BLDG 86 2ND FL")</f>
        <v>MACDONOUGH AVE BLDG 86 2ND FL</v>
      </c>
      <c r="H4687" t="str">
        <f>T("PORTSMOUTH NAVAL SHIPYARD")</f>
        <v>PORTSMOUTH NAVAL SHIPYARD</v>
      </c>
      <c r="I4687" t="str">
        <f>T("PORTSMOUTH")</f>
        <v>PORTSMOUTH</v>
      </c>
      <c r="J4687" t="str">
        <f>T("NH")</f>
        <v>NH</v>
      </c>
      <c r="K4687" t="str">
        <f>T("2074386262")</f>
        <v>2074386262</v>
      </c>
      <c r="L4687" t="str">
        <f>T("2074386193")</f>
        <v>2074386193</v>
      </c>
    </row>
    <row r="4688" spans="1:12" x14ac:dyDescent="0.35">
      <c r="A4688" t="str">
        <f t="shared" ref="A4688:A4729" si="1838">T("NSWC PHILADELPHIA")</f>
        <v>NSWC PHILADELPHIA</v>
      </c>
      <c r="B4688" t="str">
        <f t="shared" ref="B4688:B4697" si="1839">T("1000 KITTY HAWK AVE")</f>
        <v>1000 KITTY HAWK AVE</v>
      </c>
      <c r="C4688" t="str">
        <f t="shared" ref="C4688:C4697" si="1840">T("BUILDING 77L")</f>
        <v>BUILDING 77L</v>
      </c>
      <c r="D4688" t="str">
        <f t="shared" ref="D4688:D4729" si="1841">T("PHILADELPHIA")</f>
        <v>PHILADELPHIA</v>
      </c>
      <c r="E4688" t="str">
        <f t="shared" ref="E4688:E4729" si="1842">T("PA")</f>
        <v>PA</v>
      </c>
      <c r="F4688" t="str">
        <f t="shared" ref="F4688:F4697" si="1843">T("191121408")</f>
        <v>191121408</v>
      </c>
      <c r="G4688" t="str">
        <f t="shared" ref="G4688:G4693" si="1844">T("1000 KITTY HAWK AVE")</f>
        <v>1000 KITTY HAWK AVE</v>
      </c>
      <c r="H4688" t="str">
        <f>T("")</f>
        <v/>
      </c>
      <c r="I4688" t="str">
        <f t="shared" ref="I4688:I4729" si="1845">T("PHILADELPHIA")</f>
        <v>PHILADELPHIA</v>
      </c>
      <c r="J4688" t="str">
        <f t="shared" ref="J4688:J4729" si="1846">T("PA")</f>
        <v>PA</v>
      </c>
      <c r="K4688" t="str">
        <f t="shared" ref="K4688:K4729" si="1847">T("000000000000000000")</f>
        <v>000000000000000000</v>
      </c>
      <c r="L4688" t="str">
        <f>T("2158977284")</f>
        <v>2158977284</v>
      </c>
    </row>
    <row r="4689" spans="1:12" x14ac:dyDescent="0.35">
      <c r="A4689" t="str">
        <f t="shared" si="1838"/>
        <v>NSWC PHILADELPHIA</v>
      </c>
      <c r="B4689" t="str">
        <f t="shared" si="1839"/>
        <v>1000 KITTY HAWK AVE</v>
      </c>
      <c r="C4689" t="str">
        <f t="shared" si="1840"/>
        <v>BUILDING 77L</v>
      </c>
      <c r="D4689" t="str">
        <f t="shared" si="1841"/>
        <v>PHILADELPHIA</v>
      </c>
      <c r="E4689" t="str">
        <f t="shared" si="1842"/>
        <v>PA</v>
      </c>
      <c r="F4689" t="str">
        <f t="shared" si="1843"/>
        <v>191121408</v>
      </c>
      <c r="G4689" t="str">
        <f t="shared" si="1844"/>
        <v>1000 KITTY HAWK AVE</v>
      </c>
      <c r="H4689" t="str">
        <f>T("BUILDING 77L")</f>
        <v>BUILDING 77L</v>
      </c>
      <c r="I4689" t="str">
        <f t="shared" si="1845"/>
        <v>PHILADELPHIA</v>
      </c>
      <c r="J4689" t="str">
        <f t="shared" si="1846"/>
        <v>PA</v>
      </c>
      <c r="K4689" t="str">
        <f t="shared" si="1847"/>
        <v>000000000000000000</v>
      </c>
      <c r="L4689" t="str">
        <f>T("2158977034")</f>
        <v>2158977034</v>
      </c>
    </row>
    <row r="4690" spans="1:12" x14ac:dyDescent="0.35">
      <c r="A4690" t="str">
        <f t="shared" si="1838"/>
        <v>NSWC PHILADELPHIA</v>
      </c>
      <c r="B4690" t="str">
        <f t="shared" si="1839"/>
        <v>1000 KITTY HAWK AVE</v>
      </c>
      <c r="C4690" t="str">
        <f t="shared" si="1840"/>
        <v>BUILDING 77L</v>
      </c>
      <c r="D4690" t="str">
        <f t="shared" si="1841"/>
        <v>PHILADELPHIA</v>
      </c>
      <c r="E4690" t="str">
        <f t="shared" si="1842"/>
        <v>PA</v>
      </c>
      <c r="F4690" t="str">
        <f t="shared" si="1843"/>
        <v>191121408</v>
      </c>
      <c r="G4690" t="str">
        <f t="shared" si="1844"/>
        <v>1000 KITTY HAWK AVE</v>
      </c>
      <c r="H4690" t="str">
        <f>T("BUILDING 77L")</f>
        <v>BUILDING 77L</v>
      </c>
      <c r="I4690" t="str">
        <f t="shared" si="1845"/>
        <v>PHILADELPHIA</v>
      </c>
      <c r="J4690" t="str">
        <f t="shared" si="1846"/>
        <v>PA</v>
      </c>
      <c r="K4690" t="str">
        <f t="shared" si="1847"/>
        <v>000000000000000000</v>
      </c>
      <c r="L4690" t="str">
        <f>T("2158977285")</f>
        <v>2158977285</v>
      </c>
    </row>
    <row r="4691" spans="1:12" x14ac:dyDescent="0.35">
      <c r="A4691" t="str">
        <f t="shared" si="1838"/>
        <v>NSWC PHILADELPHIA</v>
      </c>
      <c r="B4691" t="str">
        <f t="shared" si="1839"/>
        <v>1000 KITTY HAWK AVE</v>
      </c>
      <c r="C4691" t="str">
        <f t="shared" si="1840"/>
        <v>BUILDING 77L</v>
      </c>
      <c r="D4691" t="str">
        <f t="shared" si="1841"/>
        <v>PHILADELPHIA</v>
      </c>
      <c r="E4691" t="str">
        <f t="shared" si="1842"/>
        <v>PA</v>
      </c>
      <c r="F4691" t="str">
        <f t="shared" si="1843"/>
        <v>191121408</v>
      </c>
      <c r="G4691" t="str">
        <f t="shared" si="1844"/>
        <v>1000 KITTY HAWK AVE</v>
      </c>
      <c r="H4691" t="str">
        <f>T("BUILDING 77L")</f>
        <v>BUILDING 77L</v>
      </c>
      <c r="I4691" t="str">
        <f t="shared" si="1845"/>
        <v>PHILADELPHIA</v>
      </c>
      <c r="J4691" t="str">
        <f t="shared" si="1846"/>
        <v>PA</v>
      </c>
      <c r="K4691" t="str">
        <f t="shared" si="1847"/>
        <v>000000000000000000</v>
      </c>
      <c r="L4691" t="str">
        <f>T("2158977335")</f>
        <v>2158977335</v>
      </c>
    </row>
    <row r="4692" spans="1:12" x14ac:dyDescent="0.35">
      <c r="A4692" t="str">
        <f t="shared" si="1838"/>
        <v>NSWC PHILADELPHIA</v>
      </c>
      <c r="B4692" t="str">
        <f t="shared" si="1839"/>
        <v>1000 KITTY HAWK AVE</v>
      </c>
      <c r="C4692" t="str">
        <f t="shared" si="1840"/>
        <v>BUILDING 77L</v>
      </c>
      <c r="D4692" t="str">
        <f t="shared" si="1841"/>
        <v>PHILADELPHIA</v>
      </c>
      <c r="E4692" t="str">
        <f t="shared" si="1842"/>
        <v>PA</v>
      </c>
      <c r="F4692" t="str">
        <f t="shared" si="1843"/>
        <v>191121408</v>
      </c>
      <c r="G4692" t="str">
        <f t="shared" si="1844"/>
        <v>1000 KITTY HAWK AVE</v>
      </c>
      <c r="H4692" t="str">
        <f>T("BUILDING 77L")</f>
        <v>BUILDING 77L</v>
      </c>
      <c r="I4692" t="str">
        <f t="shared" si="1845"/>
        <v>PHILADELPHIA</v>
      </c>
      <c r="J4692" t="str">
        <f t="shared" si="1846"/>
        <v>PA</v>
      </c>
      <c r="K4692" t="str">
        <f t="shared" si="1847"/>
        <v>000000000000000000</v>
      </c>
      <c r="L4692" t="str">
        <f>T("2158978440")</f>
        <v>2158978440</v>
      </c>
    </row>
    <row r="4693" spans="1:12" x14ac:dyDescent="0.35">
      <c r="A4693" t="str">
        <f t="shared" si="1838"/>
        <v>NSWC PHILADELPHIA</v>
      </c>
      <c r="B4693" t="str">
        <f t="shared" si="1839"/>
        <v>1000 KITTY HAWK AVE</v>
      </c>
      <c r="C4693" t="str">
        <f t="shared" si="1840"/>
        <v>BUILDING 77L</v>
      </c>
      <c r="D4693" t="str">
        <f t="shared" si="1841"/>
        <v>PHILADELPHIA</v>
      </c>
      <c r="E4693" t="str">
        <f t="shared" si="1842"/>
        <v>PA</v>
      </c>
      <c r="F4693" t="str">
        <f t="shared" si="1843"/>
        <v>191121408</v>
      </c>
      <c r="G4693" t="str">
        <f t="shared" si="1844"/>
        <v>1000 KITTY HAWK AVE</v>
      </c>
      <c r="H4693" t="str">
        <f>T("BUILDING 77L")</f>
        <v>BUILDING 77L</v>
      </c>
      <c r="I4693" t="str">
        <f t="shared" si="1845"/>
        <v>PHILADELPHIA</v>
      </c>
      <c r="J4693" t="str">
        <f t="shared" si="1846"/>
        <v>PA</v>
      </c>
      <c r="K4693" t="str">
        <f t="shared" si="1847"/>
        <v>000000000000000000</v>
      </c>
      <c r="L4693" t="str">
        <f>T("2158978913")</f>
        <v>2158978913</v>
      </c>
    </row>
    <row r="4694" spans="1:12" x14ac:dyDescent="0.35">
      <c r="A4694" t="str">
        <f t="shared" si="1838"/>
        <v>NSWC PHILADELPHIA</v>
      </c>
      <c r="B4694" t="str">
        <f t="shared" si="1839"/>
        <v>1000 KITTY HAWK AVE</v>
      </c>
      <c r="C4694" t="str">
        <f t="shared" si="1840"/>
        <v>BUILDING 77L</v>
      </c>
      <c r="D4694" t="str">
        <f t="shared" si="1841"/>
        <v>PHILADELPHIA</v>
      </c>
      <c r="E4694" t="str">
        <f t="shared" si="1842"/>
        <v>PA</v>
      </c>
      <c r="F4694" t="str">
        <f t="shared" si="1843"/>
        <v>191121408</v>
      </c>
      <c r="G4694" t="str">
        <f>T("5001 S BROAD ST")</f>
        <v>5001 S BROAD ST</v>
      </c>
      <c r="H4694" t="str">
        <f>T("")</f>
        <v/>
      </c>
      <c r="I4694" t="str">
        <f t="shared" si="1845"/>
        <v>PHILADELPHIA</v>
      </c>
      <c r="J4694" t="str">
        <f t="shared" si="1846"/>
        <v>PA</v>
      </c>
      <c r="K4694" t="str">
        <f t="shared" si="1847"/>
        <v>000000000000000000</v>
      </c>
      <c r="L4694" t="str">
        <f>T("2158971606")</f>
        <v>2158971606</v>
      </c>
    </row>
    <row r="4695" spans="1:12" x14ac:dyDescent="0.35">
      <c r="A4695" t="str">
        <f t="shared" si="1838"/>
        <v>NSWC PHILADELPHIA</v>
      </c>
      <c r="B4695" t="str">
        <f t="shared" si="1839"/>
        <v>1000 KITTY HAWK AVE</v>
      </c>
      <c r="C4695" t="str">
        <f t="shared" si="1840"/>
        <v>BUILDING 77L</v>
      </c>
      <c r="D4695" t="str">
        <f t="shared" si="1841"/>
        <v>PHILADELPHIA</v>
      </c>
      <c r="E4695" t="str">
        <f t="shared" si="1842"/>
        <v>PA</v>
      </c>
      <c r="F4695" t="str">
        <f t="shared" si="1843"/>
        <v>191121408</v>
      </c>
      <c r="G4695" t="str">
        <f>T("5001 S BROAD ST")</f>
        <v>5001 S BROAD ST</v>
      </c>
      <c r="H4695" t="str">
        <f>T("")</f>
        <v/>
      </c>
      <c r="I4695" t="str">
        <f t="shared" si="1845"/>
        <v>PHILADELPHIA</v>
      </c>
      <c r="J4695" t="str">
        <f t="shared" si="1846"/>
        <v>PA</v>
      </c>
      <c r="K4695" t="str">
        <f t="shared" si="1847"/>
        <v>000000000000000000</v>
      </c>
      <c r="L4695" t="str">
        <f>T("2158977284")</f>
        <v>2158977284</v>
      </c>
    </row>
    <row r="4696" spans="1:12" x14ac:dyDescent="0.35">
      <c r="A4696" t="str">
        <f t="shared" si="1838"/>
        <v>NSWC PHILADELPHIA</v>
      </c>
      <c r="B4696" t="str">
        <f t="shared" si="1839"/>
        <v>1000 KITTY HAWK AVE</v>
      </c>
      <c r="C4696" t="str">
        <f t="shared" si="1840"/>
        <v>BUILDING 77L</v>
      </c>
      <c r="D4696" t="str">
        <f t="shared" si="1841"/>
        <v>PHILADELPHIA</v>
      </c>
      <c r="E4696" t="str">
        <f t="shared" si="1842"/>
        <v>PA</v>
      </c>
      <c r="F4696" t="str">
        <f t="shared" si="1843"/>
        <v>191121408</v>
      </c>
      <c r="G4696" t="str">
        <f>T("5001 S BROAD ST")</f>
        <v>5001 S BROAD ST</v>
      </c>
      <c r="H4696" t="str">
        <f>T("")</f>
        <v/>
      </c>
      <c r="I4696" t="str">
        <f t="shared" si="1845"/>
        <v>PHILADELPHIA</v>
      </c>
      <c r="J4696" t="str">
        <f t="shared" si="1846"/>
        <v>PA</v>
      </c>
      <c r="K4696" t="str">
        <f t="shared" si="1847"/>
        <v>000000000000000000</v>
      </c>
      <c r="L4696" t="str">
        <f>T("2158977690")</f>
        <v>2158977690</v>
      </c>
    </row>
    <row r="4697" spans="1:12" x14ac:dyDescent="0.35">
      <c r="A4697" t="str">
        <f t="shared" si="1838"/>
        <v>NSWC PHILADELPHIA</v>
      </c>
      <c r="B4697" t="str">
        <f t="shared" si="1839"/>
        <v>1000 KITTY HAWK AVE</v>
      </c>
      <c r="C4697" t="str">
        <f t="shared" si="1840"/>
        <v>BUILDING 77L</v>
      </c>
      <c r="D4697" t="str">
        <f t="shared" si="1841"/>
        <v>PHILADELPHIA</v>
      </c>
      <c r="E4697" t="str">
        <f t="shared" si="1842"/>
        <v>PA</v>
      </c>
      <c r="F4697" t="str">
        <f t="shared" si="1843"/>
        <v>191121408</v>
      </c>
      <c r="G4697" t="str">
        <f>T("5001 S BROAD ST")</f>
        <v>5001 S BROAD ST</v>
      </c>
      <c r="H4697" t="str">
        <f>T("")</f>
        <v/>
      </c>
      <c r="I4697" t="str">
        <f t="shared" si="1845"/>
        <v>PHILADELPHIA</v>
      </c>
      <c r="J4697" t="str">
        <f t="shared" si="1846"/>
        <v>PA</v>
      </c>
      <c r="K4697" t="str">
        <f t="shared" si="1847"/>
        <v>000000000000000000</v>
      </c>
      <c r="L4697" t="str">
        <f>T("2158978832")</f>
        <v>2158978832</v>
      </c>
    </row>
    <row r="4698" spans="1:12" x14ac:dyDescent="0.35">
      <c r="A4698" t="str">
        <f t="shared" si="1838"/>
        <v>NSWC PHILADELPHIA</v>
      </c>
      <c r="B4698" t="str">
        <f>T("4700 SOUTH BROAD ST")</f>
        <v>4700 SOUTH BROAD ST</v>
      </c>
      <c r="C4698" t="str">
        <f>T("BUILDING 29 3RD FLOOR")</f>
        <v>BUILDING 29 3RD FLOOR</v>
      </c>
      <c r="D4698" t="str">
        <f t="shared" si="1841"/>
        <v>PHILADELPHIA</v>
      </c>
      <c r="E4698" t="str">
        <f t="shared" si="1842"/>
        <v>PA</v>
      </c>
      <c r="F4698" t="str">
        <f>T("191121300")</f>
        <v>191121300</v>
      </c>
      <c r="G4698" t="str">
        <f>T("4700 SOUTH BROAD ST")</f>
        <v>4700 SOUTH BROAD ST</v>
      </c>
      <c r="H4698" t="str">
        <f>T("BUILDING 29 3RD FLOOR")</f>
        <v>BUILDING 29 3RD FLOOR</v>
      </c>
      <c r="I4698" t="str">
        <f t="shared" si="1845"/>
        <v>PHILADELPHIA</v>
      </c>
      <c r="J4698" t="str">
        <f t="shared" si="1846"/>
        <v>PA</v>
      </c>
      <c r="K4698" t="str">
        <f t="shared" si="1847"/>
        <v>000000000000000000</v>
      </c>
      <c r="L4698" t="str">
        <f>T("2158978765")</f>
        <v>2158978765</v>
      </c>
    </row>
    <row r="4699" spans="1:12" x14ac:dyDescent="0.35">
      <c r="A4699" t="str">
        <f t="shared" si="1838"/>
        <v>NSWC PHILADELPHIA</v>
      </c>
      <c r="B4699" t="str">
        <f>T("4700 SOUTH BROAD ST")</f>
        <v>4700 SOUTH BROAD ST</v>
      </c>
      <c r="C4699" t="str">
        <f>T("BUILDING 29 3RD FLOOR")</f>
        <v>BUILDING 29 3RD FLOOR</v>
      </c>
      <c r="D4699" t="str">
        <f t="shared" si="1841"/>
        <v>PHILADELPHIA</v>
      </c>
      <c r="E4699" t="str">
        <f t="shared" si="1842"/>
        <v>PA</v>
      </c>
      <c r="F4699" t="str">
        <f>T("191121300")</f>
        <v>191121300</v>
      </c>
      <c r="G4699" t="str">
        <f>T("5001 S BROAD ST")</f>
        <v>5001 S BROAD ST</v>
      </c>
      <c r="H4699" t="str">
        <f t="shared" ref="H4699:H4704" si="1848">T("")</f>
        <v/>
      </c>
      <c r="I4699" t="str">
        <f t="shared" si="1845"/>
        <v>PHILADELPHIA</v>
      </c>
      <c r="J4699" t="str">
        <f t="shared" si="1846"/>
        <v>PA</v>
      </c>
      <c r="K4699" t="str">
        <f t="shared" si="1847"/>
        <v>000000000000000000</v>
      </c>
      <c r="L4699" t="str">
        <f>T("2158977186")</f>
        <v>2158977186</v>
      </c>
    </row>
    <row r="4700" spans="1:12" x14ac:dyDescent="0.35">
      <c r="A4700" t="str">
        <f t="shared" si="1838"/>
        <v>NSWC PHILADELPHIA</v>
      </c>
      <c r="B4700" t="str">
        <f t="shared" ref="B4700:B4710" si="1849">T("5001 SOUTH BROAD ST")</f>
        <v>5001 SOUTH BROAD ST</v>
      </c>
      <c r="C4700" t="str">
        <f>T("")</f>
        <v/>
      </c>
      <c r="D4700" t="str">
        <f t="shared" si="1841"/>
        <v>PHILADELPHIA</v>
      </c>
      <c r="E4700" t="str">
        <f t="shared" si="1842"/>
        <v>PA</v>
      </c>
      <c r="F4700" t="str">
        <f t="shared" ref="F4700:F4729" si="1850">T("191121403")</f>
        <v>191121403</v>
      </c>
      <c r="G4700" t="str">
        <f>T("5001 S BROAD ST")</f>
        <v>5001 S BROAD ST</v>
      </c>
      <c r="H4700" t="str">
        <f t="shared" si="1848"/>
        <v/>
      </c>
      <c r="I4700" t="str">
        <f t="shared" si="1845"/>
        <v>PHILADELPHIA</v>
      </c>
      <c r="J4700" t="str">
        <f t="shared" si="1846"/>
        <v>PA</v>
      </c>
      <c r="K4700" t="str">
        <f t="shared" si="1847"/>
        <v>000000000000000000</v>
      </c>
      <c r="L4700" t="str">
        <f>T("2158971156")</f>
        <v>2158971156</v>
      </c>
    </row>
    <row r="4701" spans="1:12" x14ac:dyDescent="0.35">
      <c r="A4701" t="str">
        <f t="shared" si="1838"/>
        <v>NSWC PHILADELPHIA</v>
      </c>
      <c r="B4701" t="str">
        <f t="shared" si="1849"/>
        <v>5001 SOUTH BROAD ST</v>
      </c>
      <c r="C4701" t="str">
        <f>T("")</f>
        <v/>
      </c>
      <c r="D4701" t="str">
        <f t="shared" si="1841"/>
        <v>PHILADELPHIA</v>
      </c>
      <c r="E4701" t="str">
        <f t="shared" si="1842"/>
        <v>PA</v>
      </c>
      <c r="F4701" t="str">
        <f t="shared" si="1850"/>
        <v>191121403</v>
      </c>
      <c r="G4701" t="str">
        <f>T("5001 S BROAD ST")</f>
        <v>5001 S BROAD ST</v>
      </c>
      <c r="H4701" t="str">
        <f t="shared" si="1848"/>
        <v/>
      </c>
      <c r="I4701" t="str">
        <f t="shared" si="1845"/>
        <v>PHILADELPHIA</v>
      </c>
      <c r="J4701" t="str">
        <f t="shared" si="1846"/>
        <v>PA</v>
      </c>
      <c r="K4701" t="str">
        <f t="shared" si="1847"/>
        <v>000000000000000000</v>
      </c>
      <c r="L4701" t="str">
        <f>T("2158977642")</f>
        <v>2158977642</v>
      </c>
    </row>
    <row r="4702" spans="1:12" x14ac:dyDescent="0.35">
      <c r="A4702" t="str">
        <f t="shared" si="1838"/>
        <v>NSWC PHILADELPHIA</v>
      </c>
      <c r="B4702" t="str">
        <f t="shared" si="1849"/>
        <v>5001 SOUTH BROAD ST</v>
      </c>
      <c r="C4702" t="str">
        <f>T("")</f>
        <v/>
      </c>
      <c r="D4702" t="str">
        <f t="shared" si="1841"/>
        <v>PHILADELPHIA</v>
      </c>
      <c r="E4702" t="str">
        <f t="shared" si="1842"/>
        <v>PA</v>
      </c>
      <c r="F4702" t="str">
        <f t="shared" si="1850"/>
        <v>191121403</v>
      </c>
      <c r="G4702" t="str">
        <f>T("5001 S BROAD ST")</f>
        <v>5001 S BROAD ST</v>
      </c>
      <c r="H4702" t="str">
        <f t="shared" si="1848"/>
        <v/>
      </c>
      <c r="I4702" t="str">
        <f t="shared" si="1845"/>
        <v>PHILADELPHIA</v>
      </c>
      <c r="J4702" t="str">
        <f t="shared" si="1846"/>
        <v>PA</v>
      </c>
      <c r="K4702" t="str">
        <f t="shared" si="1847"/>
        <v>000000000000000000</v>
      </c>
      <c r="L4702" t="str">
        <f>T("2158977730")</f>
        <v>2158977730</v>
      </c>
    </row>
    <row r="4703" spans="1:12" x14ac:dyDescent="0.35">
      <c r="A4703" t="str">
        <f t="shared" si="1838"/>
        <v>NSWC PHILADELPHIA</v>
      </c>
      <c r="B4703" t="str">
        <f t="shared" si="1849"/>
        <v>5001 SOUTH BROAD ST</v>
      </c>
      <c r="C4703" t="str">
        <f>T("")</f>
        <v/>
      </c>
      <c r="D4703" t="str">
        <f t="shared" si="1841"/>
        <v>PHILADELPHIA</v>
      </c>
      <c r="E4703" t="str">
        <f t="shared" si="1842"/>
        <v>PA</v>
      </c>
      <c r="F4703" t="str">
        <f t="shared" si="1850"/>
        <v>191121403</v>
      </c>
      <c r="G4703" t="str">
        <f>T("5001 SOUTH BROAD ST")</f>
        <v>5001 SOUTH BROAD ST</v>
      </c>
      <c r="H4703" t="str">
        <f t="shared" si="1848"/>
        <v/>
      </c>
      <c r="I4703" t="str">
        <f t="shared" si="1845"/>
        <v>PHILADELPHIA</v>
      </c>
      <c r="J4703" t="str">
        <f t="shared" si="1846"/>
        <v>PA</v>
      </c>
      <c r="K4703" t="str">
        <f t="shared" si="1847"/>
        <v>000000000000000000</v>
      </c>
      <c r="L4703" t="str">
        <f>T("2158977149")</f>
        <v>2158977149</v>
      </c>
    </row>
    <row r="4704" spans="1:12" x14ac:dyDescent="0.35">
      <c r="A4704" t="str">
        <f t="shared" si="1838"/>
        <v>NSWC PHILADELPHIA</v>
      </c>
      <c r="B4704" t="str">
        <f t="shared" si="1849"/>
        <v>5001 SOUTH BROAD ST</v>
      </c>
      <c r="C4704" t="str">
        <f>T("")</f>
        <v/>
      </c>
      <c r="D4704" t="str">
        <f t="shared" si="1841"/>
        <v>PHILADELPHIA</v>
      </c>
      <c r="E4704" t="str">
        <f t="shared" si="1842"/>
        <v>PA</v>
      </c>
      <c r="F4704" t="str">
        <f t="shared" si="1850"/>
        <v>191121403</v>
      </c>
      <c r="G4704" t="str">
        <f>T("5001 SOUTH BROAD ST")</f>
        <v>5001 SOUTH BROAD ST</v>
      </c>
      <c r="H4704" t="str">
        <f t="shared" si="1848"/>
        <v/>
      </c>
      <c r="I4704" t="str">
        <f t="shared" si="1845"/>
        <v>PHILADELPHIA</v>
      </c>
      <c r="J4704" t="str">
        <f t="shared" si="1846"/>
        <v>PA</v>
      </c>
      <c r="K4704" t="str">
        <f t="shared" si="1847"/>
        <v>000000000000000000</v>
      </c>
      <c r="L4704" t="str">
        <f>T("2158977592")</f>
        <v>2158977592</v>
      </c>
    </row>
    <row r="4705" spans="1:12" x14ac:dyDescent="0.35">
      <c r="A4705" t="str">
        <f t="shared" si="1838"/>
        <v>NSWC PHILADELPHIA</v>
      </c>
      <c r="B4705" t="str">
        <f t="shared" si="1849"/>
        <v>5001 SOUTH BROAD ST</v>
      </c>
      <c r="C4705" t="str">
        <f>T("BUILDING 4")</f>
        <v>BUILDING 4</v>
      </c>
      <c r="D4705" t="str">
        <f t="shared" si="1841"/>
        <v>PHILADELPHIA</v>
      </c>
      <c r="E4705" t="str">
        <f t="shared" si="1842"/>
        <v>PA</v>
      </c>
      <c r="F4705" t="str">
        <f t="shared" si="1850"/>
        <v>191121403</v>
      </c>
      <c r="G4705" t="str">
        <f>T("5001 SOUTH BROAD ST")</f>
        <v>5001 SOUTH BROAD ST</v>
      </c>
      <c r="H4705" t="str">
        <f>T("BUILDING 4")</f>
        <v>BUILDING 4</v>
      </c>
      <c r="I4705" t="str">
        <f t="shared" si="1845"/>
        <v>PHILADELPHIA</v>
      </c>
      <c r="J4705" t="str">
        <f t="shared" si="1846"/>
        <v>PA</v>
      </c>
      <c r="K4705" t="str">
        <f t="shared" si="1847"/>
        <v>000000000000000000</v>
      </c>
      <c r="L4705" t="str">
        <f>T("2158977710")</f>
        <v>2158977710</v>
      </c>
    </row>
    <row r="4706" spans="1:12" x14ac:dyDescent="0.35">
      <c r="A4706" t="str">
        <f t="shared" si="1838"/>
        <v>NSWC PHILADELPHIA</v>
      </c>
      <c r="B4706" t="str">
        <f t="shared" si="1849"/>
        <v>5001 SOUTH BROAD ST</v>
      </c>
      <c r="C4706" t="str">
        <f>T("BUILDING 4 1ST FLOOR")</f>
        <v>BUILDING 4 1ST FLOOR</v>
      </c>
      <c r="D4706" t="str">
        <f t="shared" si="1841"/>
        <v>PHILADELPHIA</v>
      </c>
      <c r="E4706" t="str">
        <f t="shared" si="1842"/>
        <v>PA</v>
      </c>
      <c r="F4706" t="str">
        <f t="shared" si="1850"/>
        <v>191121403</v>
      </c>
      <c r="G4706" t="str">
        <f>T("5001 S BROAD ST")</f>
        <v>5001 S BROAD ST</v>
      </c>
      <c r="H4706" t="str">
        <f>T("")</f>
        <v/>
      </c>
      <c r="I4706" t="str">
        <f t="shared" si="1845"/>
        <v>PHILADELPHIA</v>
      </c>
      <c r="J4706" t="str">
        <f t="shared" si="1846"/>
        <v>PA</v>
      </c>
      <c r="K4706" t="str">
        <f t="shared" si="1847"/>
        <v>000000000000000000</v>
      </c>
      <c r="L4706" t="str">
        <f>T("2158971523")</f>
        <v>2158971523</v>
      </c>
    </row>
    <row r="4707" spans="1:12" x14ac:dyDescent="0.35">
      <c r="A4707" t="str">
        <f t="shared" si="1838"/>
        <v>NSWC PHILADELPHIA</v>
      </c>
      <c r="B4707" t="str">
        <f t="shared" si="1849"/>
        <v>5001 SOUTH BROAD ST</v>
      </c>
      <c r="C4707" t="str">
        <f>T("BUILDING 4 1ST FLOOR")</f>
        <v>BUILDING 4 1ST FLOOR</v>
      </c>
      <c r="D4707" t="str">
        <f t="shared" si="1841"/>
        <v>PHILADELPHIA</v>
      </c>
      <c r="E4707" t="str">
        <f t="shared" si="1842"/>
        <v>PA</v>
      </c>
      <c r="F4707" t="str">
        <f t="shared" si="1850"/>
        <v>191121403</v>
      </c>
      <c r="G4707" t="str">
        <f>T("5001 SOUTH BROAD ST")</f>
        <v>5001 SOUTH BROAD ST</v>
      </c>
      <c r="H4707" t="str">
        <f>T("BUILDING 4 1ST FLOOR")</f>
        <v>BUILDING 4 1ST FLOOR</v>
      </c>
      <c r="I4707" t="str">
        <f t="shared" si="1845"/>
        <v>PHILADELPHIA</v>
      </c>
      <c r="J4707" t="str">
        <f t="shared" si="1846"/>
        <v>PA</v>
      </c>
      <c r="K4707" t="str">
        <f t="shared" si="1847"/>
        <v>000000000000000000</v>
      </c>
      <c r="L4707" t="str">
        <f>T("2158978507")</f>
        <v>2158978507</v>
      </c>
    </row>
    <row r="4708" spans="1:12" x14ac:dyDescent="0.35">
      <c r="A4708" t="str">
        <f t="shared" si="1838"/>
        <v>NSWC PHILADELPHIA</v>
      </c>
      <c r="B4708" t="str">
        <f t="shared" si="1849"/>
        <v>5001 SOUTH BROAD ST</v>
      </c>
      <c r="C4708" t="str">
        <f>T("BUILDING 4 1ST FLOOR")</f>
        <v>BUILDING 4 1ST FLOOR</v>
      </c>
      <c r="D4708" t="str">
        <f t="shared" si="1841"/>
        <v>PHILADELPHIA</v>
      </c>
      <c r="E4708" t="str">
        <f t="shared" si="1842"/>
        <v>PA</v>
      </c>
      <c r="F4708" t="str">
        <f t="shared" si="1850"/>
        <v>191121403</v>
      </c>
      <c r="G4708" t="str">
        <f>T("NSWC PHILADELPHIA")</f>
        <v>NSWC PHILADELPHIA</v>
      </c>
      <c r="H4708" t="str">
        <f>T("5001 S BROAD STREET")</f>
        <v>5001 S BROAD STREET</v>
      </c>
      <c r="I4708" t="str">
        <f t="shared" si="1845"/>
        <v>PHILADELPHIA</v>
      </c>
      <c r="J4708" t="str">
        <f t="shared" si="1846"/>
        <v>PA</v>
      </c>
      <c r="K4708" t="str">
        <f t="shared" si="1847"/>
        <v>000000000000000000</v>
      </c>
      <c r="L4708" t="str">
        <f>T("2158977159")</f>
        <v>2158977159</v>
      </c>
    </row>
    <row r="4709" spans="1:12" x14ac:dyDescent="0.35">
      <c r="A4709" t="str">
        <f t="shared" si="1838"/>
        <v>NSWC PHILADELPHIA</v>
      </c>
      <c r="B4709" t="str">
        <f t="shared" si="1849"/>
        <v>5001 SOUTH BROAD ST</v>
      </c>
      <c r="C4709" t="str">
        <f>T("BUILDING 4 3RD FLOOR")</f>
        <v>BUILDING 4 3RD FLOOR</v>
      </c>
      <c r="D4709" t="str">
        <f t="shared" si="1841"/>
        <v>PHILADELPHIA</v>
      </c>
      <c r="E4709" t="str">
        <f t="shared" si="1842"/>
        <v>PA</v>
      </c>
      <c r="F4709" t="str">
        <f t="shared" si="1850"/>
        <v>191121403</v>
      </c>
      <c r="G4709" t="str">
        <f>T("5001 SOUTH BROAD ST")</f>
        <v>5001 SOUTH BROAD ST</v>
      </c>
      <c r="H4709" t="str">
        <f>T("BUILDING 4 3RD FLOOR")</f>
        <v>BUILDING 4 3RD FLOOR</v>
      </c>
      <c r="I4709" t="str">
        <f t="shared" si="1845"/>
        <v>PHILADELPHIA</v>
      </c>
      <c r="J4709" t="str">
        <f t="shared" si="1846"/>
        <v>PA</v>
      </c>
      <c r="K4709" t="str">
        <f t="shared" si="1847"/>
        <v>000000000000000000</v>
      </c>
      <c r="L4709" t="str">
        <f>T("2158971442")</f>
        <v>2158971442</v>
      </c>
    </row>
    <row r="4710" spans="1:12" x14ac:dyDescent="0.35">
      <c r="A4710" t="str">
        <f t="shared" si="1838"/>
        <v>NSWC PHILADELPHIA</v>
      </c>
      <c r="B4710" t="str">
        <f t="shared" si="1849"/>
        <v>5001 SOUTH BROAD ST</v>
      </c>
      <c r="C4710" t="str">
        <f>T("BUILDING 4 3RD FLOOR")</f>
        <v>BUILDING 4 3RD FLOOR</v>
      </c>
      <c r="D4710" t="str">
        <f t="shared" si="1841"/>
        <v>PHILADELPHIA</v>
      </c>
      <c r="E4710" t="str">
        <f t="shared" si="1842"/>
        <v>PA</v>
      </c>
      <c r="F4710" t="str">
        <f t="shared" si="1850"/>
        <v>191121403</v>
      </c>
      <c r="G4710" t="str">
        <f>T("5001 SOUTH BROAD STREET")</f>
        <v>5001 SOUTH BROAD STREET</v>
      </c>
      <c r="H4710" t="str">
        <f t="shared" ref="H4710:H4720" si="1851">T("")</f>
        <v/>
      </c>
      <c r="I4710" t="str">
        <f t="shared" si="1845"/>
        <v>PHILADELPHIA</v>
      </c>
      <c r="J4710" t="str">
        <f t="shared" si="1846"/>
        <v>PA</v>
      </c>
      <c r="K4710" t="str">
        <f t="shared" si="1847"/>
        <v>000000000000000000</v>
      </c>
      <c r="L4710" t="str">
        <f>T("2158977525")</f>
        <v>2158977525</v>
      </c>
    </row>
    <row r="4711" spans="1:12" x14ac:dyDescent="0.35">
      <c r="A4711" t="str">
        <f t="shared" si="1838"/>
        <v>NSWC PHILADELPHIA</v>
      </c>
      <c r="B4711" t="str">
        <f>T("5001 SOUTH BROAD ST BLG 4 1ST FLR")</f>
        <v>5001 SOUTH BROAD ST BLG 4 1ST FLR</v>
      </c>
      <c r="C4711" t="str">
        <f t="shared" ref="C4711:C4719" si="1852">T("")</f>
        <v/>
      </c>
      <c r="D4711" t="str">
        <f t="shared" si="1841"/>
        <v>PHILADELPHIA</v>
      </c>
      <c r="E4711" t="str">
        <f t="shared" si="1842"/>
        <v>PA</v>
      </c>
      <c r="F4711" t="str">
        <f t="shared" si="1850"/>
        <v>191121403</v>
      </c>
      <c r="G4711" t="str">
        <f>T("5001 S BROAD ST")</f>
        <v>5001 S BROAD ST</v>
      </c>
      <c r="H4711" t="str">
        <f t="shared" si="1851"/>
        <v/>
      </c>
      <c r="I4711" t="str">
        <f t="shared" si="1845"/>
        <v>PHILADELPHIA</v>
      </c>
      <c r="J4711" t="str">
        <f t="shared" si="1846"/>
        <v>PA</v>
      </c>
      <c r="K4711" t="str">
        <f t="shared" si="1847"/>
        <v>000000000000000000</v>
      </c>
      <c r="L4711" t="str">
        <f>T("2158971362")</f>
        <v>2158971362</v>
      </c>
    </row>
    <row r="4712" spans="1:12" x14ac:dyDescent="0.35">
      <c r="A4712" t="str">
        <f t="shared" si="1838"/>
        <v>NSWC PHILADELPHIA</v>
      </c>
      <c r="B4712" t="str">
        <f>T("5001 SOUTH BROAD ST BLG 4 1ST FLR")</f>
        <v>5001 SOUTH BROAD ST BLG 4 1ST FLR</v>
      </c>
      <c r="C4712" t="str">
        <f t="shared" si="1852"/>
        <v/>
      </c>
      <c r="D4712" t="str">
        <f t="shared" si="1841"/>
        <v>PHILADELPHIA</v>
      </c>
      <c r="E4712" t="str">
        <f t="shared" si="1842"/>
        <v>PA</v>
      </c>
      <c r="F4712" t="str">
        <f t="shared" si="1850"/>
        <v>191121403</v>
      </c>
      <c r="G4712" t="str">
        <f>T("5001 SOUTH BROAD ST BLG 4 1ST FLR")</f>
        <v>5001 SOUTH BROAD ST BLG 4 1ST FLR</v>
      </c>
      <c r="H4712" t="str">
        <f t="shared" si="1851"/>
        <v/>
      </c>
      <c r="I4712" t="str">
        <f t="shared" si="1845"/>
        <v>PHILADELPHIA</v>
      </c>
      <c r="J4712" t="str">
        <f t="shared" si="1846"/>
        <v>PA</v>
      </c>
      <c r="K4712" t="str">
        <f t="shared" si="1847"/>
        <v>000000000000000000</v>
      </c>
      <c r="L4712" t="str">
        <f>T("2158977233")</f>
        <v>2158977233</v>
      </c>
    </row>
    <row r="4713" spans="1:12" x14ac:dyDescent="0.35">
      <c r="A4713" t="str">
        <f t="shared" si="1838"/>
        <v>NSWC PHILADELPHIA</v>
      </c>
      <c r="B4713" t="str">
        <f>T("5001 SOUTH BROAD ST BLG 4 2ND FLR")</f>
        <v>5001 SOUTH BROAD ST BLG 4 2ND FLR</v>
      </c>
      <c r="C4713" t="str">
        <f t="shared" si="1852"/>
        <v/>
      </c>
      <c r="D4713" t="str">
        <f t="shared" si="1841"/>
        <v>PHILADELPHIA</v>
      </c>
      <c r="E4713" t="str">
        <f t="shared" si="1842"/>
        <v>PA</v>
      </c>
      <c r="F4713" t="str">
        <f t="shared" si="1850"/>
        <v>191121403</v>
      </c>
      <c r="G4713" t="str">
        <f>T("5001 S BROAD ST")</f>
        <v>5001 S BROAD ST</v>
      </c>
      <c r="H4713" t="str">
        <f t="shared" si="1851"/>
        <v/>
      </c>
      <c r="I4713" t="str">
        <f t="shared" si="1845"/>
        <v>PHILADELPHIA</v>
      </c>
      <c r="J4713" t="str">
        <f t="shared" si="1846"/>
        <v>PA</v>
      </c>
      <c r="K4713" t="str">
        <f t="shared" si="1847"/>
        <v>000000000000000000</v>
      </c>
      <c r="L4713" t="str">
        <f>T("2158971494")</f>
        <v>2158971494</v>
      </c>
    </row>
    <row r="4714" spans="1:12" x14ac:dyDescent="0.35">
      <c r="A4714" t="str">
        <f t="shared" si="1838"/>
        <v>NSWC PHILADELPHIA</v>
      </c>
      <c r="B4714" t="str">
        <f>T("5001 SOUTH BROAD ST BLG 4 2ND FLR")</f>
        <v>5001 SOUTH BROAD ST BLG 4 2ND FLR</v>
      </c>
      <c r="C4714" t="str">
        <f t="shared" si="1852"/>
        <v/>
      </c>
      <c r="D4714" t="str">
        <f t="shared" si="1841"/>
        <v>PHILADELPHIA</v>
      </c>
      <c r="E4714" t="str">
        <f t="shared" si="1842"/>
        <v>PA</v>
      </c>
      <c r="F4714" t="str">
        <f t="shared" si="1850"/>
        <v>191121403</v>
      </c>
      <c r="G4714" t="str">
        <f>T("5001 S BROAD ST")</f>
        <v>5001 S BROAD ST</v>
      </c>
      <c r="H4714" t="str">
        <f t="shared" si="1851"/>
        <v/>
      </c>
      <c r="I4714" t="str">
        <f t="shared" si="1845"/>
        <v>PHILADELPHIA</v>
      </c>
      <c r="J4714" t="str">
        <f t="shared" si="1846"/>
        <v>PA</v>
      </c>
      <c r="K4714" t="str">
        <f t="shared" si="1847"/>
        <v>000000000000000000</v>
      </c>
      <c r="L4714" t="str">
        <f>T("2158977045")</f>
        <v>2158977045</v>
      </c>
    </row>
    <row r="4715" spans="1:12" x14ac:dyDescent="0.35">
      <c r="A4715" t="str">
        <f t="shared" si="1838"/>
        <v>NSWC PHILADELPHIA</v>
      </c>
      <c r="B4715" t="str">
        <f>T("5001 SOUTH BROAD ST BLG 4 2ND FLR")</f>
        <v>5001 SOUTH BROAD ST BLG 4 2ND FLR</v>
      </c>
      <c r="C4715" t="str">
        <f t="shared" si="1852"/>
        <v/>
      </c>
      <c r="D4715" t="str">
        <f t="shared" si="1841"/>
        <v>PHILADELPHIA</v>
      </c>
      <c r="E4715" t="str">
        <f t="shared" si="1842"/>
        <v>PA</v>
      </c>
      <c r="F4715" t="str">
        <f t="shared" si="1850"/>
        <v>191121403</v>
      </c>
      <c r="G4715" t="str">
        <f>T("5001 S BROAD ST")</f>
        <v>5001 S BROAD ST</v>
      </c>
      <c r="H4715" t="str">
        <f t="shared" si="1851"/>
        <v/>
      </c>
      <c r="I4715" t="str">
        <f t="shared" si="1845"/>
        <v>PHILADELPHIA</v>
      </c>
      <c r="J4715" t="str">
        <f t="shared" si="1846"/>
        <v>PA</v>
      </c>
      <c r="K4715" t="str">
        <f t="shared" si="1847"/>
        <v>000000000000000000</v>
      </c>
      <c r="L4715" t="str">
        <f>T("2158978417")</f>
        <v>2158978417</v>
      </c>
    </row>
    <row r="4716" spans="1:12" x14ac:dyDescent="0.35">
      <c r="A4716" t="str">
        <f t="shared" si="1838"/>
        <v>NSWC PHILADELPHIA</v>
      </c>
      <c r="B4716" t="str">
        <f>T("5001 SOUTH BROAD ST BLG 4 2ND FLR")</f>
        <v>5001 SOUTH BROAD ST BLG 4 2ND FLR</v>
      </c>
      <c r="C4716" t="str">
        <f t="shared" si="1852"/>
        <v/>
      </c>
      <c r="D4716" t="str">
        <f t="shared" si="1841"/>
        <v>PHILADELPHIA</v>
      </c>
      <c r="E4716" t="str">
        <f t="shared" si="1842"/>
        <v>PA</v>
      </c>
      <c r="F4716" t="str">
        <f t="shared" si="1850"/>
        <v>191121403</v>
      </c>
      <c r="G4716" t="str">
        <f>T("5001 SOUTH BROAD ST BLG 4 2ND FLR")</f>
        <v>5001 SOUTH BROAD ST BLG 4 2ND FLR</v>
      </c>
      <c r="H4716" t="str">
        <f t="shared" si="1851"/>
        <v/>
      </c>
      <c r="I4716" t="str">
        <f t="shared" si="1845"/>
        <v>PHILADELPHIA</v>
      </c>
      <c r="J4716" t="str">
        <f t="shared" si="1846"/>
        <v>PA</v>
      </c>
      <c r="K4716" t="str">
        <f t="shared" si="1847"/>
        <v>000000000000000000</v>
      </c>
      <c r="L4716" t="str">
        <f>T("2158971693")</f>
        <v>2158971693</v>
      </c>
    </row>
    <row r="4717" spans="1:12" x14ac:dyDescent="0.35">
      <c r="A4717" t="str">
        <f t="shared" si="1838"/>
        <v>NSWC PHILADELPHIA</v>
      </c>
      <c r="B4717" t="str">
        <f>T("5001 SOUTH BROAD ST BLG 4 2ND FLR")</f>
        <v>5001 SOUTH BROAD ST BLG 4 2ND FLR</v>
      </c>
      <c r="C4717" t="str">
        <f t="shared" si="1852"/>
        <v/>
      </c>
      <c r="D4717" t="str">
        <f t="shared" si="1841"/>
        <v>PHILADELPHIA</v>
      </c>
      <c r="E4717" t="str">
        <f t="shared" si="1842"/>
        <v>PA</v>
      </c>
      <c r="F4717" t="str">
        <f t="shared" si="1850"/>
        <v>191121403</v>
      </c>
      <c r="G4717" t="str">
        <f>T("5001 SOUTH BROAD ST BLG 4 2ND FLR")</f>
        <v>5001 SOUTH BROAD ST BLG 4 2ND FLR</v>
      </c>
      <c r="H4717" t="str">
        <f t="shared" si="1851"/>
        <v/>
      </c>
      <c r="I4717" t="str">
        <f t="shared" si="1845"/>
        <v>PHILADELPHIA</v>
      </c>
      <c r="J4717" t="str">
        <f t="shared" si="1846"/>
        <v>PA</v>
      </c>
      <c r="K4717" t="str">
        <f t="shared" si="1847"/>
        <v>000000000000000000</v>
      </c>
      <c r="L4717" t="str">
        <f>T("2158977310")</f>
        <v>2158977310</v>
      </c>
    </row>
    <row r="4718" spans="1:12" x14ac:dyDescent="0.35">
      <c r="A4718" t="str">
        <f t="shared" si="1838"/>
        <v>NSWC PHILADELPHIA</v>
      </c>
      <c r="B4718" t="str">
        <f t="shared" ref="B4718:B4729" si="1853">T("5001 SOUTH BROAD STREET")</f>
        <v>5001 SOUTH BROAD STREET</v>
      </c>
      <c r="C4718" t="str">
        <f t="shared" si="1852"/>
        <v/>
      </c>
      <c r="D4718" t="str">
        <f t="shared" si="1841"/>
        <v>PHILADELPHIA</v>
      </c>
      <c r="E4718" t="str">
        <f t="shared" si="1842"/>
        <v>PA</v>
      </c>
      <c r="F4718" t="str">
        <f t="shared" si="1850"/>
        <v>191121403</v>
      </c>
      <c r="G4718" t="str">
        <f>T("5001 S BROAD ST")</f>
        <v>5001 S BROAD ST</v>
      </c>
      <c r="H4718" t="str">
        <f t="shared" si="1851"/>
        <v/>
      </c>
      <c r="I4718" t="str">
        <f t="shared" si="1845"/>
        <v>PHILADELPHIA</v>
      </c>
      <c r="J4718" t="str">
        <f t="shared" si="1846"/>
        <v>PA</v>
      </c>
      <c r="K4718" t="str">
        <f t="shared" si="1847"/>
        <v>000000000000000000</v>
      </c>
      <c r="L4718" t="str">
        <f>T("2158971444")</f>
        <v>2158971444</v>
      </c>
    </row>
    <row r="4719" spans="1:12" x14ac:dyDescent="0.35">
      <c r="A4719" t="str">
        <f t="shared" si="1838"/>
        <v>NSWC PHILADELPHIA</v>
      </c>
      <c r="B4719" t="str">
        <f t="shared" si="1853"/>
        <v>5001 SOUTH BROAD STREET</v>
      </c>
      <c r="C4719" t="str">
        <f t="shared" si="1852"/>
        <v/>
      </c>
      <c r="D4719" t="str">
        <f t="shared" si="1841"/>
        <v>PHILADELPHIA</v>
      </c>
      <c r="E4719" t="str">
        <f t="shared" si="1842"/>
        <v>PA</v>
      </c>
      <c r="F4719" t="str">
        <f t="shared" si="1850"/>
        <v>191121403</v>
      </c>
      <c r="G4719" t="str">
        <f>T("5001 SOUTH BROAD STREET")</f>
        <v>5001 SOUTH BROAD STREET</v>
      </c>
      <c r="H4719" t="str">
        <f t="shared" si="1851"/>
        <v/>
      </c>
      <c r="I4719" t="str">
        <f t="shared" si="1845"/>
        <v>PHILADELPHIA</v>
      </c>
      <c r="J4719" t="str">
        <f t="shared" si="1846"/>
        <v>PA</v>
      </c>
      <c r="K4719" t="str">
        <f t="shared" si="1847"/>
        <v>000000000000000000</v>
      </c>
      <c r="L4719" t="str">
        <f>T("2158977181")</f>
        <v>2158977181</v>
      </c>
    </row>
    <row r="4720" spans="1:12" x14ac:dyDescent="0.35">
      <c r="A4720" t="str">
        <f t="shared" si="1838"/>
        <v>NSWC PHILADELPHIA</v>
      </c>
      <c r="B4720" t="str">
        <f t="shared" si="1853"/>
        <v>5001 SOUTH BROAD STREET</v>
      </c>
      <c r="C4720" t="str">
        <f>T("BUILDING 4 1ST FLOOR")</f>
        <v>BUILDING 4 1ST FLOOR</v>
      </c>
      <c r="D4720" t="str">
        <f t="shared" si="1841"/>
        <v>PHILADELPHIA</v>
      </c>
      <c r="E4720" t="str">
        <f t="shared" si="1842"/>
        <v>PA</v>
      </c>
      <c r="F4720" t="str">
        <f t="shared" si="1850"/>
        <v>191121403</v>
      </c>
      <c r="G4720" t="str">
        <f>T("5001 S BROAD ST")</f>
        <v>5001 S BROAD ST</v>
      </c>
      <c r="H4720" t="str">
        <f t="shared" si="1851"/>
        <v/>
      </c>
      <c r="I4720" t="str">
        <f t="shared" si="1845"/>
        <v>PHILADELPHIA</v>
      </c>
      <c r="J4720" t="str">
        <f t="shared" si="1846"/>
        <v>PA</v>
      </c>
      <c r="K4720" t="str">
        <f t="shared" si="1847"/>
        <v>000000000000000000</v>
      </c>
      <c r="L4720" t="str">
        <f>T("2158971455")</f>
        <v>2158971455</v>
      </c>
    </row>
    <row r="4721" spans="1:12" x14ac:dyDescent="0.35">
      <c r="A4721" t="str">
        <f t="shared" si="1838"/>
        <v>NSWC PHILADELPHIA</v>
      </c>
      <c r="B4721" t="str">
        <f t="shared" si="1853"/>
        <v>5001 SOUTH BROAD STREET</v>
      </c>
      <c r="C4721" t="str">
        <f>T("BUILDING 4 1ST FLOOR")</f>
        <v>BUILDING 4 1ST FLOOR</v>
      </c>
      <c r="D4721" t="str">
        <f t="shared" si="1841"/>
        <v>PHILADELPHIA</v>
      </c>
      <c r="E4721" t="str">
        <f t="shared" si="1842"/>
        <v>PA</v>
      </c>
      <c r="F4721" t="str">
        <f t="shared" si="1850"/>
        <v>191121403</v>
      </c>
      <c r="G4721" t="str">
        <f>T("5001 SOUTH BROAD STREET")</f>
        <v>5001 SOUTH BROAD STREET</v>
      </c>
      <c r="H4721" t="str">
        <f>T("BUILDING 4 1ST FLOOR")</f>
        <v>BUILDING 4 1ST FLOOR</v>
      </c>
      <c r="I4721" t="str">
        <f t="shared" si="1845"/>
        <v>PHILADELPHIA</v>
      </c>
      <c r="J4721" t="str">
        <f t="shared" si="1846"/>
        <v>PA</v>
      </c>
      <c r="K4721" t="str">
        <f t="shared" si="1847"/>
        <v>000000000000000000</v>
      </c>
      <c r="L4721" t="str">
        <f>T("2158977376")</f>
        <v>2158977376</v>
      </c>
    </row>
    <row r="4722" spans="1:12" x14ac:dyDescent="0.35">
      <c r="A4722" t="str">
        <f t="shared" si="1838"/>
        <v>NSWC PHILADELPHIA</v>
      </c>
      <c r="B4722" t="str">
        <f t="shared" si="1853"/>
        <v>5001 SOUTH BROAD STREET</v>
      </c>
      <c r="C4722" t="str">
        <f>T("BUILDING 4 2ND FLOOR")</f>
        <v>BUILDING 4 2ND FLOOR</v>
      </c>
      <c r="D4722" t="str">
        <f t="shared" si="1841"/>
        <v>PHILADELPHIA</v>
      </c>
      <c r="E4722" t="str">
        <f t="shared" si="1842"/>
        <v>PA</v>
      </c>
      <c r="F4722" t="str">
        <f t="shared" si="1850"/>
        <v>191121403</v>
      </c>
      <c r="G4722" t="str">
        <f>T("5001 S BROAD ST")</f>
        <v>5001 S BROAD ST</v>
      </c>
      <c r="H4722" t="str">
        <f>T("")</f>
        <v/>
      </c>
      <c r="I4722" t="str">
        <f t="shared" si="1845"/>
        <v>PHILADELPHIA</v>
      </c>
      <c r="J4722" t="str">
        <f t="shared" si="1846"/>
        <v>PA</v>
      </c>
      <c r="K4722" t="str">
        <f t="shared" si="1847"/>
        <v>000000000000000000</v>
      </c>
      <c r="L4722" t="str">
        <f>T("2158971090")</f>
        <v>2158971090</v>
      </c>
    </row>
    <row r="4723" spans="1:12" x14ac:dyDescent="0.35">
      <c r="A4723" t="str">
        <f t="shared" si="1838"/>
        <v>NSWC PHILADELPHIA</v>
      </c>
      <c r="B4723" t="str">
        <f t="shared" si="1853"/>
        <v>5001 SOUTH BROAD STREET</v>
      </c>
      <c r="C4723" t="str">
        <f>T("BUILDING 4 2ND FLOOR")</f>
        <v>BUILDING 4 2ND FLOOR</v>
      </c>
      <c r="D4723" t="str">
        <f t="shared" si="1841"/>
        <v>PHILADELPHIA</v>
      </c>
      <c r="E4723" t="str">
        <f t="shared" si="1842"/>
        <v>PA</v>
      </c>
      <c r="F4723" t="str">
        <f t="shared" si="1850"/>
        <v>191121403</v>
      </c>
      <c r="G4723" t="str">
        <f>T("5001 S BROAD ST")</f>
        <v>5001 S BROAD ST</v>
      </c>
      <c r="H4723" t="str">
        <f>T("")</f>
        <v/>
      </c>
      <c r="I4723" t="str">
        <f t="shared" si="1845"/>
        <v>PHILADELPHIA</v>
      </c>
      <c r="J4723" t="str">
        <f t="shared" si="1846"/>
        <v>PA</v>
      </c>
      <c r="K4723" t="str">
        <f t="shared" si="1847"/>
        <v>000000000000000000</v>
      </c>
      <c r="L4723" t="str">
        <f>T("2158978326")</f>
        <v>2158978326</v>
      </c>
    </row>
    <row r="4724" spans="1:12" x14ac:dyDescent="0.35">
      <c r="A4724" t="str">
        <f t="shared" si="1838"/>
        <v>NSWC PHILADELPHIA</v>
      </c>
      <c r="B4724" t="str">
        <f t="shared" si="1853"/>
        <v>5001 SOUTH BROAD STREET</v>
      </c>
      <c r="C4724" t="str">
        <f>T("BUILDING 4 2ND FLOOR")</f>
        <v>BUILDING 4 2ND FLOOR</v>
      </c>
      <c r="D4724" t="str">
        <f t="shared" si="1841"/>
        <v>PHILADELPHIA</v>
      </c>
      <c r="E4724" t="str">
        <f t="shared" si="1842"/>
        <v>PA</v>
      </c>
      <c r="F4724" t="str">
        <f t="shared" si="1850"/>
        <v>191121403</v>
      </c>
      <c r="G4724" t="str">
        <f>T("5001 SOUTH BROAD STREET")</f>
        <v>5001 SOUTH BROAD STREET</v>
      </c>
      <c r="H4724" t="str">
        <f>T("BUILDING 4 2ND FLOOR")</f>
        <v>BUILDING 4 2ND FLOOR</v>
      </c>
      <c r="I4724" t="str">
        <f t="shared" si="1845"/>
        <v>PHILADELPHIA</v>
      </c>
      <c r="J4724" t="str">
        <f t="shared" si="1846"/>
        <v>PA</v>
      </c>
      <c r="K4724" t="str">
        <f t="shared" si="1847"/>
        <v>000000000000000000</v>
      </c>
      <c r="L4724" t="str">
        <f>T("2158971178")</f>
        <v>2158971178</v>
      </c>
    </row>
    <row r="4725" spans="1:12" x14ac:dyDescent="0.35">
      <c r="A4725" t="str">
        <f t="shared" si="1838"/>
        <v>NSWC PHILADELPHIA</v>
      </c>
      <c r="B4725" t="str">
        <f t="shared" si="1853"/>
        <v>5001 SOUTH BROAD STREET</v>
      </c>
      <c r="C4725" t="str">
        <f>T("BUILDING 4 2ND FLOOR")</f>
        <v>BUILDING 4 2ND FLOOR</v>
      </c>
      <c r="D4725" t="str">
        <f t="shared" si="1841"/>
        <v>PHILADELPHIA</v>
      </c>
      <c r="E4725" t="str">
        <f t="shared" si="1842"/>
        <v>PA</v>
      </c>
      <c r="F4725" t="str">
        <f t="shared" si="1850"/>
        <v>191121403</v>
      </c>
      <c r="G4725" t="str">
        <f>T("5001 SOUTH BROAD STREET")</f>
        <v>5001 SOUTH BROAD STREET</v>
      </c>
      <c r="H4725" t="str">
        <f>T("BUILDING 4 2ND FLOOR")</f>
        <v>BUILDING 4 2ND FLOOR</v>
      </c>
      <c r="I4725" t="str">
        <f t="shared" si="1845"/>
        <v>PHILADELPHIA</v>
      </c>
      <c r="J4725" t="str">
        <f t="shared" si="1846"/>
        <v>PA</v>
      </c>
      <c r="K4725" t="str">
        <f t="shared" si="1847"/>
        <v>000000000000000000</v>
      </c>
      <c r="L4725" t="str">
        <f>T("2158977631")</f>
        <v>2158977631</v>
      </c>
    </row>
    <row r="4726" spans="1:12" x14ac:dyDescent="0.35">
      <c r="A4726" t="str">
        <f t="shared" si="1838"/>
        <v>NSWC PHILADELPHIA</v>
      </c>
      <c r="B4726" t="str">
        <f t="shared" si="1853"/>
        <v>5001 SOUTH BROAD STREET</v>
      </c>
      <c r="C4726" t="str">
        <f>T("BUILDING 4 3RD FLOOR")</f>
        <v>BUILDING 4 3RD FLOOR</v>
      </c>
      <c r="D4726" t="str">
        <f t="shared" si="1841"/>
        <v>PHILADELPHIA</v>
      </c>
      <c r="E4726" t="str">
        <f t="shared" si="1842"/>
        <v>PA</v>
      </c>
      <c r="F4726" t="str">
        <f t="shared" si="1850"/>
        <v>191121403</v>
      </c>
      <c r="G4726" t="str">
        <f>T("5001 S BROAD ST")</f>
        <v>5001 S BROAD ST</v>
      </c>
      <c r="H4726" t="str">
        <f>T("")</f>
        <v/>
      </c>
      <c r="I4726" t="str">
        <f t="shared" si="1845"/>
        <v>PHILADELPHIA</v>
      </c>
      <c r="J4726" t="str">
        <f t="shared" si="1846"/>
        <v>PA</v>
      </c>
      <c r="K4726" t="str">
        <f t="shared" si="1847"/>
        <v>000000000000000000</v>
      </c>
      <c r="L4726" t="str">
        <f>T("2158972032")</f>
        <v>2158972032</v>
      </c>
    </row>
    <row r="4727" spans="1:12" x14ac:dyDescent="0.35">
      <c r="A4727" t="str">
        <f t="shared" si="1838"/>
        <v>NSWC PHILADELPHIA</v>
      </c>
      <c r="B4727" t="str">
        <f t="shared" si="1853"/>
        <v>5001 SOUTH BROAD STREET</v>
      </c>
      <c r="C4727" t="str">
        <f>T("BUILDING 4 3RD FLOOR")</f>
        <v>BUILDING 4 3RD FLOOR</v>
      </c>
      <c r="D4727" t="str">
        <f t="shared" si="1841"/>
        <v>PHILADELPHIA</v>
      </c>
      <c r="E4727" t="str">
        <f t="shared" si="1842"/>
        <v>PA</v>
      </c>
      <c r="F4727" t="str">
        <f t="shared" si="1850"/>
        <v>191121403</v>
      </c>
      <c r="G4727" t="str">
        <f>T("5001 S BROAD ST")</f>
        <v>5001 S BROAD ST</v>
      </c>
      <c r="H4727" t="str">
        <f>T("")</f>
        <v/>
      </c>
      <c r="I4727" t="str">
        <f t="shared" si="1845"/>
        <v>PHILADELPHIA</v>
      </c>
      <c r="J4727" t="str">
        <f t="shared" si="1846"/>
        <v>PA</v>
      </c>
      <c r="K4727" t="str">
        <f t="shared" si="1847"/>
        <v>000000000000000000</v>
      </c>
      <c r="L4727" t="str">
        <f>T("2158977067")</f>
        <v>2158977067</v>
      </c>
    </row>
    <row r="4728" spans="1:12" x14ac:dyDescent="0.35">
      <c r="A4728" t="str">
        <f t="shared" si="1838"/>
        <v>NSWC PHILADELPHIA</v>
      </c>
      <c r="B4728" t="str">
        <f t="shared" si="1853"/>
        <v>5001 SOUTH BROAD STREET</v>
      </c>
      <c r="C4728" t="str">
        <f>T("BUILDING 4 3RD FLOOR")</f>
        <v>BUILDING 4 3RD FLOOR</v>
      </c>
      <c r="D4728" t="str">
        <f t="shared" si="1841"/>
        <v>PHILADELPHIA</v>
      </c>
      <c r="E4728" t="str">
        <f t="shared" si="1842"/>
        <v>PA</v>
      </c>
      <c r="F4728" t="str">
        <f t="shared" si="1850"/>
        <v>191121403</v>
      </c>
      <c r="G4728" t="str">
        <f>T("5001 S BROAD ST")</f>
        <v>5001 S BROAD ST</v>
      </c>
      <c r="H4728" t="str">
        <f>T("")</f>
        <v/>
      </c>
      <c r="I4728" t="str">
        <f t="shared" si="1845"/>
        <v>PHILADELPHIA</v>
      </c>
      <c r="J4728" t="str">
        <f t="shared" si="1846"/>
        <v>PA</v>
      </c>
      <c r="K4728" t="str">
        <f t="shared" si="1847"/>
        <v>000000000000000000</v>
      </c>
      <c r="L4728" t="str">
        <f>T("2158977945")</f>
        <v>2158977945</v>
      </c>
    </row>
    <row r="4729" spans="1:12" x14ac:dyDescent="0.35">
      <c r="A4729" t="str">
        <f t="shared" si="1838"/>
        <v>NSWC PHILADELPHIA</v>
      </c>
      <c r="B4729" t="str">
        <f t="shared" si="1853"/>
        <v>5001 SOUTH BROAD STREET</v>
      </c>
      <c r="C4729" t="str">
        <f>T("BUILDING 4 3RD FLOOR")</f>
        <v>BUILDING 4 3RD FLOOR</v>
      </c>
      <c r="D4729" t="str">
        <f t="shared" si="1841"/>
        <v>PHILADELPHIA</v>
      </c>
      <c r="E4729" t="str">
        <f t="shared" si="1842"/>
        <v>PA</v>
      </c>
      <c r="F4729" t="str">
        <f t="shared" si="1850"/>
        <v>191121403</v>
      </c>
      <c r="G4729" t="str">
        <f>T("5001 SOUTH BROAD STREET")</f>
        <v>5001 SOUTH BROAD STREET</v>
      </c>
      <c r="H4729" t="str">
        <f>T("BUILDING 4 3RD FLOOR")</f>
        <v>BUILDING 4 3RD FLOOR</v>
      </c>
      <c r="I4729" t="str">
        <f t="shared" si="1845"/>
        <v>PHILADELPHIA</v>
      </c>
      <c r="J4729" t="str">
        <f t="shared" si="1846"/>
        <v>PA</v>
      </c>
      <c r="K4729" t="str">
        <f t="shared" si="1847"/>
        <v>000000000000000000</v>
      </c>
      <c r="L4729" t="str">
        <f>T("2158978321")</f>
        <v>2158978321</v>
      </c>
    </row>
    <row r="4730" spans="1:12" x14ac:dyDescent="0.35">
      <c r="A4730" t="str">
        <f t="shared" ref="A4730:A4736" si="1854">T("NAVFAC HQ HL5")</f>
        <v>NAVFAC HQ HL5</v>
      </c>
      <c r="B4730" t="str">
        <f t="shared" ref="B4730:B4736" si="1855">T("1322 PATTERSON AVE SE STE 1000")</f>
        <v>1322 PATTERSON AVE SE STE 1000</v>
      </c>
      <c r="C4730" t="str">
        <f t="shared" ref="C4730:C4736" si="1856">T("WASHINGTON NAVY YARD")</f>
        <v>WASHINGTON NAVY YARD</v>
      </c>
      <c r="D4730" t="str">
        <f t="shared" ref="D4730:D4736" si="1857">T("WASHINGTON")</f>
        <v>WASHINGTON</v>
      </c>
      <c r="E4730" t="str">
        <f t="shared" ref="E4730:E4736" si="1858">T("DC")</f>
        <v>DC</v>
      </c>
      <c r="F4730" t="str">
        <f t="shared" ref="F4730:F4736" si="1859">T("203745065")</f>
        <v>203745065</v>
      </c>
      <c r="G4730" t="str">
        <f>T("1322 PATTERSON AVE SE")</f>
        <v>1322 PATTERSON AVE SE</v>
      </c>
      <c r="H4730" t="str">
        <f>T("STE 1000")</f>
        <v>STE 1000</v>
      </c>
      <c r="I4730" t="str">
        <f>T("WASHINGTON NAVY YARD")</f>
        <v>WASHINGTON NAVY YARD</v>
      </c>
      <c r="J4730" t="str">
        <f t="shared" ref="J4730:J4736" si="1860">T("DC")</f>
        <v>DC</v>
      </c>
      <c r="K4730" t="str">
        <f>T("2026851466")</f>
        <v>2026851466</v>
      </c>
      <c r="L4730" t="str">
        <f>T("2026859036")</f>
        <v>2026859036</v>
      </c>
    </row>
    <row r="4731" spans="1:12" x14ac:dyDescent="0.35">
      <c r="A4731" t="str">
        <f t="shared" si="1854"/>
        <v>NAVFAC HQ HL5</v>
      </c>
      <c r="B4731" t="str">
        <f t="shared" si="1855"/>
        <v>1322 PATTERSON AVE SE STE 1000</v>
      </c>
      <c r="C4731" t="str">
        <f t="shared" si="1856"/>
        <v>WASHINGTON NAVY YARD</v>
      </c>
      <c r="D4731" t="str">
        <f t="shared" si="1857"/>
        <v>WASHINGTON</v>
      </c>
      <c r="E4731" t="str">
        <f t="shared" si="1858"/>
        <v>DC</v>
      </c>
      <c r="F4731" t="str">
        <f t="shared" si="1859"/>
        <v>203745065</v>
      </c>
      <c r="G4731" t="str">
        <f>T("1322 PATTERSON AVE SE")</f>
        <v>1322 PATTERSON AVE SE</v>
      </c>
      <c r="H4731" t="str">
        <f>T("STE 1000")</f>
        <v>STE 1000</v>
      </c>
      <c r="I4731" t="str">
        <f>T("WASHINGTON NAVY YARD")</f>
        <v>WASHINGTON NAVY YARD</v>
      </c>
      <c r="J4731" t="str">
        <f t="shared" si="1860"/>
        <v>DC</v>
      </c>
      <c r="K4731" t="str">
        <f>T("2026851473")</f>
        <v>2026851473</v>
      </c>
      <c r="L4731" t="str">
        <f>T("2026859004")</f>
        <v>2026859004</v>
      </c>
    </row>
    <row r="4732" spans="1:12" x14ac:dyDescent="0.35">
      <c r="A4732" t="str">
        <f t="shared" si="1854"/>
        <v>NAVFAC HQ HL5</v>
      </c>
      <c r="B4732" t="str">
        <f t="shared" si="1855"/>
        <v>1322 PATTERSON AVE SE STE 1000</v>
      </c>
      <c r="C4732" t="str">
        <f t="shared" si="1856"/>
        <v>WASHINGTON NAVY YARD</v>
      </c>
      <c r="D4732" t="str">
        <f t="shared" si="1857"/>
        <v>WASHINGTON</v>
      </c>
      <c r="E4732" t="str">
        <f t="shared" si="1858"/>
        <v>DC</v>
      </c>
      <c r="F4732" t="str">
        <f t="shared" si="1859"/>
        <v>203745065</v>
      </c>
      <c r="G4732" t="str">
        <f>T("1322 PATTERSON AVE SE")</f>
        <v>1322 PATTERSON AVE SE</v>
      </c>
      <c r="H4732" t="str">
        <f>T("STE 1000")</f>
        <v>STE 1000</v>
      </c>
      <c r="I4732" t="str">
        <f>T("WASHINGTON NAVY YARD")</f>
        <v>WASHINGTON NAVY YARD</v>
      </c>
      <c r="J4732" t="str">
        <f t="shared" si="1860"/>
        <v>DC</v>
      </c>
      <c r="K4732" t="str">
        <f>T("2026851473")</f>
        <v>2026851473</v>
      </c>
      <c r="L4732" t="str">
        <f>T("2026859024")</f>
        <v>2026859024</v>
      </c>
    </row>
    <row r="4733" spans="1:12" x14ac:dyDescent="0.35">
      <c r="A4733" t="str">
        <f t="shared" si="1854"/>
        <v>NAVFAC HQ HL5</v>
      </c>
      <c r="B4733" t="str">
        <f t="shared" si="1855"/>
        <v>1322 PATTERSON AVE SE STE 1000</v>
      </c>
      <c r="C4733" t="str">
        <f t="shared" si="1856"/>
        <v>WASHINGTON NAVY YARD</v>
      </c>
      <c r="D4733" t="str">
        <f t="shared" si="1857"/>
        <v>WASHINGTON</v>
      </c>
      <c r="E4733" t="str">
        <f t="shared" si="1858"/>
        <v>DC</v>
      </c>
      <c r="F4733" t="str">
        <f t="shared" si="1859"/>
        <v>203745065</v>
      </c>
      <c r="G4733" t="str">
        <f>T("1322 PATTERSON AVE SE")</f>
        <v>1322 PATTERSON AVE SE</v>
      </c>
      <c r="H4733" t="str">
        <f>T("STE 1000")</f>
        <v>STE 1000</v>
      </c>
      <c r="I4733" t="str">
        <f>T("WASHINGTON NAVY YARD")</f>
        <v>WASHINGTON NAVY YARD</v>
      </c>
      <c r="J4733" t="str">
        <f t="shared" si="1860"/>
        <v>DC</v>
      </c>
      <c r="K4733" t="str">
        <f>T("2026851473")</f>
        <v>2026851473</v>
      </c>
      <c r="L4733" t="str">
        <f>T("2026859270")</f>
        <v>2026859270</v>
      </c>
    </row>
    <row r="4734" spans="1:12" x14ac:dyDescent="0.35">
      <c r="A4734" t="str">
        <f t="shared" si="1854"/>
        <v>NAVFAC HQ HL5</v>
      </c>
      <c r="B4734" t="str">
        <f t="shared" si="1855"/>
        <v>1322 PATTERSON AVE SE STE 1000</v>
      </c>
      <c r="C4734" t="str">
        <f t="shared" si="1856"/>
        <v>WASHINGTON NAVY YARD</v>
      </c>
      <c r="D4734" t="str">
        <f t="shared" si="1857"/>
        <v>WASHINGTON</v>
      </c>
      <c r="E4734" t="str">
        <f t="shared" si="1858"/>
        <v>DC</v>
      </c>
      <c r="F4734" t="str">
        <f t="shared" si="1859"/>
        <v>203745065</v>
      </c>
      <c r="G4734" t="str">
        <f>T("1322 PATTERSON AVE SE STE 1000")</f>
        <v>1322 PATTERSON AVE SE STE 1000</v>
      </c>
      <c r="H4734" t="str">
        <f>T("WASHINGTON NAVY YARD")</f>
        <v>WASHINGTON NAVY YARD</v>
      </c>
      <c r="I4734" t="str">
        <f>T("WASHINGTON")</f>
        <v>WASHINGTON</v>
      </c>
      <c r="J4734" t="str">
        <f t="shared" si="1860"/>
        <v>DC</v>
      </c>
      <c r="K4734" t="str">
        <f>T("2026851473")</f>
        <v>2026851473</v>
      </c>
      <c r="L4734" t="str">
        <f>T("2026859017")</f>
        <v>2026859017</v>
      </c>
    </row>
    <row r="4735" spans="1:12" x14ac:dyDescent="0.35">
      <c r="A4735" t="str">
        <f t="shared" si="1854"/>
        <v>NAVFAC HQ HL5</v>
      </c>
      <c r="B4735" t="str">
        <f t="shared" si="1855"/>
        <v>1322 PATTERSON AVE SE STE 1000</v>
      </c>
      <c r="C4735" t="str">
        <f t="shared" si="1856"/>
        <v>WASHINGTON NAVY YARD</v>
      </c>
      <c r="D4735" t="str">
        <f t="shared" si="1857"/>
        <v>WASHINGTON</v>
      </c>
      <c r="E4735" t="str">
        <f t="shared" si="1858"/>
        <v>DC</v>
      </c>
      <c r="F4735" t="str">
        <f t="shared" si="1859"/>
        <v>203745065</v>
      </c>
      <c r="G4735" t="str">
        <f>T("1322 PATTERSON AVE SE SUITE 1000")</f>
        <v>1322 PATTERSON AVE SE SUITE 1000</v>
      </c>
      <c r="H4735" t="str">
        <f>T("WASHINGTON NAVY YARD BLDG 33")</f>
        <v>WASHINGTON NAVY YARD BLDG 33</v>
      </c>
      <c r="I4735" t="str">
        <f>T("WASHINGTON")</f>
        <v>WASHINGTON</v>
      </c>
      <c r="J4735" t="str">
        <f t="shared" si="1860"/>
        <v>DC</v>
      </c>
      <c r="K4735" t="str">
        <f>T("000000000000000000")</f>
        <v>000000000000000000</v>
      </c>
      <c r="L4735" t="str">
        <f>T("2026859086")</f>
        <v>2026859086</v>
      </c>
    </row>
    <row r="4736" spans="1:12" x14ac:dyDescent="0.35">
      <c r="A4736" t="str">
        <f t="shared" si="1854"/>
        <v>NAVFAC HQ HL5</v>
      </c>
      <c r="B4736" t="str">
        <f t="shared" si="1855"/>
        <v>1322 PATTERSON AVE SE STE 1000</v>
      </c>
      <c r="C4736" t="str">
        <f t="shared" si="1856"/>
        <v>WASHINGTON NAVY YARD</v>
      </c>
      <c r="D4736" t="str">
        <f t="shared" si="1857"/>
        <v>WASHINGTON</v>
      </c>
      <c r="E4736" t="str">
        <f t="shared" si="1858"/>
        <v>DC</v>
      </c>
      <c r="F4736" t="str">
        <f t="shared" si="1859"/>
        <v>203745065</v>
      </c>
      <c r="G4736" t="str">
        <f>T("1322 PATTERSON AVE SE SUITE 1000")</f>
        <v>1322 PATTERSON AVE SE SUITE 1000</v>
      </c>
      <c r="H4736" t="str">
        <f>T("WASHINGTON NAVY YARD BLDG 33")</f>
        <v>WASHINGTON NAVY YARD BLDG 33</v>
      </c>
      <c r="I4736" t="str">
        <f>T("WASHINGTON")</f>
        <v>WASHINGTON</v>
      </c>
      <c r="J4736" t="str">
        <f t="shared" si="1860"/>
        <v>DC</v>
      </c>
      <c r="K4736" t="str">
        <f>T("000000000000000000")</f>
        <v>000000000000000000</v>
      </c>
      <c r="L4736" t="str">
        <f>T("2026859088")</f>
        <v>2026859088</v>
      </c>
    </row>
    <row r="4737" spans="1:12" x14ac:dyDescent="0.35">
      <c r="A4737" t="str">
        <f t="shared" ref="A4737:A4768" si="1861">T("NAVFAC EXWC HL5")</f>
        <v>NAVFAC EXWC HL5</v>
      </c>
      <c r="B4737" t="str">
        <f t="shared" ref="B4737:B4768" si="1862">T("1000 23RD AVENUE")</f>
        <v>1000 23RD AVENUE</v>
      </c>
      <c r="C4737" t="str">
        <f>T("BD3")</f>
        <v>BD3</v>
      </c>
      <c r="D4737" t="str">
        <f t="shared" ref="D4737:D4768" si="1863">T("PORT HUENEME")</f>
        <v>PORT HUENEME</v>
      </c>
      <c r="E4737" t="str">
        <f t="shared" ref="E4737:E4768" si="1864">T("CA")</f>
        <v>CA</v>
      </c>
      <c r="F4737" t="str">
        <f>T("930434300")</f>
        <v>930434300</v>
      </c>
      <c r="G4737" t="str">
        <f>T("1000 23RD AVE")</f>
        <v>1000 23RD AVE</v>
      </c>
      <c r="H4737" t="str">
        <f>T("BLDG 1000 BD3")</f>
        <v>BLDG 1000 BD3</v>
      </c>
      <c r="I4737" t="str">
        <f t="shared" ref="I4737:I4768" si="1865">T("PORT HUENEME")</f>
        <v>PORT HUENEME</v>
      </c>
      <c r="J4737" t="str">
        <f t="shared" ref="J4737:J4768" si="1866">T("CA")</f>
        <v>CA</v>
      </c>
      <c r="K4737" t="str">
        <f>T("000000000000000000")</f>
        <v>000000000000000000</v>
      </c>
      <c r="L4737" t="str">
        <f>T("8059821435")</f>
        <v>8059821435</v>
      </c>
    </row>
    <row r="4738" spans="1:12" x14ac:dyDescent="0.35">
      <c r="A4738" t="str">
        <f t="shared" si="1861"/>
        <v>NAVFAC EXWC HL5</v>
      </c>
      <c r="B4738" t="str">
        <f t="shared" si="1862"/>
        <v>1000 23RD AVENUE</v>
      </c>
      <c r="C4738" t="str">
        <f>T("BD3")</f>
        <v>BD3</v>
      </c>
      <c r="D4738" t="str">
        <f t="shared" si="1863"/>
        <v>PORT HUENEME</v>
      </c>
      <c r="E4738" t="str">
        <f t="shared" si="1864"/>
        <v>CA</v>
      </c>
      <c r="F4738" t="str">
        <f>T("930434300")</f>
        <v>930434300</v>
      </c>
      <c r="G4738" t="str">
        <f>T("1000 23RD AVENUE")</f>
        <v>1000 23RD AVENUE</v>
      </c>
      <c r="H4738" t="str">
        <f>T("BD3")</f>
        <v>BD3</v>
      </c>
      <c r="I4738" t="str">
        <f t="shared" si="1865"/>
        <v>PORT HUENEME</v>
      </c>
      <c r="J4738" t="str">
        <f t="shared" si="1866"/>
        <v>CA</v>
      </c>
      <c r="K4738" t="str">
        <f>T("")</f>
        <v/>
      </c>
      <c r="L4738" t="str">
        <f>T("8059821117")</f>
        <v>8059821117</v>
      </c>
    </row>
    <row r="4739" spans="1:12" x14ac:dyDescent="0.35">
      <c r="A4739" t="str">
        <f t="shared" si="1861"/>
        <v>NAVFAC EXWC HL5</v>
      </c>
      <c r="B4739" t="str">
        <f t="shared" si="1862"/>
        <v>1000 23RD AVENUE</v>
      </c>
      <c r="C4739" t="str">
        <f>T("BD3")</f>
        <v>BD3</v>
      </c>
      <c r="D4739" t="str">
        <f t="shared" si="1863"/>
        <v>PORT HUENEME</v>
      </c>
      <c r="E4739" t="str">
        <f t="shared" si="1864"/>
        <v>CA</v>
      </c>
      <c r="F4739" t="str">
        <f>T("930434300")</f>
        <v>930434300</v>
      </c>
      <c r="G4739" t="str">
        <f>T("1100 23RD AVE")</f>
        <v>1100 23RD AVE</v>
      </c>
      <c r="H4739" t="str">
        <f>T("BLDG 1100")</f>
        <v>BLDG 1100</v>
      </c>
      <c r="I4739" t="str">
        <f t="shared" si="1865"/>
        <v>PORT HUENEME</v>
      </c>
      <c r="J4739" t="str">
        <f t="shared" si="1866"/>
        <v>CA</v>
      </c>
      <c r="K4739" t="str">
        <f>T("000000000000000000")</f>
        <v>000000000000000000</v>
      </c>
      <c r="L4739" t="str">
        <f>T("8059823226")</f>
        <v>8059823226</v>
      </c>
    </row>
    <row r="4740" spans="1:12" x14ac:dyDescent="0.35">
      <c r="A4740" t="str">
        <f t="shared" si="1861"/>
        <v>NAVFAC EXWC HL5</v>
      </c>
      <c r="B4740" t="str">
        <f t="shared" si="1862"/>
        <v>1000 23RD AVENUE</v>
      </c>
      <c r="C4740" t="str">
        <f>T("BD42")</f>
        <v>BD42</v>
      </c>
      <c r="D4740" t="str">
        <f t="shared" si="1863"/>
        <v>PORT HUENEME</v>
      </c>
      <c r="E4740" t="str">
        <f t="shared" si="1864"/>
        <v>CA</v>
      </c>
      <c r="F4740" t="str">
        <f>T("930434300")</f>
        <v>930434300</v>
      </c>
      <c r="G4740" t="str">
        <f>T("1000 23RD AVENUE")</f>
        <v>1000 23RD AVENUE</v>
      </c>
      <c r="H4740" t="str">
        <f>T("BD42")</f>
        <v>BD42</v>
      </c>
      <c r="I4740" t="str">
        <f t="shared" si="1865"/>
        <v>PORT HUENEME</v>
      </c>
      <c r="J4740" t="str">
        <f t="shared" si="1866"/>
        <v>CA</v>
      </c>
      <c r="K4740" t="str">
        <f>T("")</f>
        <v/>
      </c>
      <c r="L4740" t="str">
        <f>T("8059821692")</f>
        <v>8059821692</v>
      </c>
    </row>
    <row r="4741" spans="1:12" x14ac:dyDescent="0.35">
      <c r="A4741" t="str">
        <f t="shared" si="1861"/>
        <v>NAVFAC EXWC HL5</v>
      </c>
      <c r="B4741" t="str">
        <f t="shared" si="1862"/>
        <v>1000 23RD AVENUE</v>
      </c>
      <c r="C4741" t="str">
        <f>T("BLDG 1000 EV12")</f>
        <v>BLDG 1000 EV12</v>
      </c>
      <c r="D4741" t="str">
        <f t="shared" si="1863"/>
        <v>PORT HUENEME</v>
      </c>
      <c r="E4741" t="str">
        <f t="shared" si="1864"/>
        <v>CA</v>
      </c>
      <c r="F4741" t="str">
        <f>T("930434301")</f>
        <v>930434301</v>
      </c>
      <c r="G4741" t="str">
        <f>T("1000 23RD AVENUE")</f>
        <v>1000 23RD AVENUE</v>
      </c>
      <c r="H4741" t="str">
        <f>T("BLDG 1000 EV11")</f>
        <v>BLDG 1000 EV11</v>
      </c>
      <c r="I4741" t="str">
        <f t="shared" si="1865"/>
        <v>PORT HUENEME</v>
      </c>
      <c r="J4741" t="str">
        <f t="shared" si="1866"/>
        <v>CA</v>
      </c>
      <c r="K4741" t="str">
        <f>T("000000000000000000")</f>
        <v>000000000000000000</v>
      </c>
      <c r="L4741" t="str">
        <f>T("8059824976")</f>
        <v>8059824976</v>
      </c>
    </row>
    <row r="4742" spans="1:12" x14ac:dyDescent="0.35">
      <c r="A4742" t="str">
        <f t="shared" si="1861"/>
        <v>NAVFAC EXWC HL5</v>
      </c>
      <c r="B4742" t="str">
        <f t="shared" si="1862"/>
        <v>1000 23RD AVENUE</v>
      </c>
      <c r="C4742" t="str">
        <f>T("BLDG 1000 EV12")</f>
        <v>BLDG 1000 EV12</v>
      </c>
      <c r="D4742" t="str">
        <f t="shared" si="1863"/>
        <v>PORT HUENEME</v>
      </c>
      <c r="E4742" t="str">
        <f t="shared" si="1864"/>
        <v>CA</v>
      </c>
      <c r="F4742" t="str">
        <f>T("930434301")</f>
        <v>930434301</v>
      </c>
      <c r="G4742" t="str">
        <f>T("1000 23RD AVENUE")</f>
        <v>1000 23RD AVENUE</v>
      </c>
      <c r="H4742" t="str">
        <f>T("BLDG 1000 EV12")</f>
        <v>BLDG 1000 EV12</v>
      </c>
      <c r="I4742" t="str">
        <f t="shared" si="1865"/>
        <v>PORT HUENEME</v>
      </c>
      <c r="J4742" t="str">
        <f t="shared" si="1866"/>
        <v>CA</v>
      </c>
      <c r="K4742" t="str">
        <f>T("")</f>
        <v/>
      </c>
      <c r="L4742" t="str">
        <f>T("8059822126")</f>
        <v>8059822126</v>
      </c>
    </row>
    <row r="4743" spans="1:12" x14ac:dyDescent="0.35">
      <c r="A4743" t="str">
        <f t="shared" si="1861"/>
        <v>NAVFAC EXWC HL5</v>
      </c>
      <c r="B4743" t="str">
        <f t="shared" si="1862"/>
        <v>1000 23RD AVENUE</v>
      </c>
      <c r="C4743" t="str">
        <f>T("BLDG 1000 EV12")</f>
        <v>BLDG 1000 EV12</v>
      </c>
      <c r="D4743" t="str">
        <f t="shared" si="1863"/>
        <v>PORT HUENEME</v>
      </c>
      <c r="E4743" t="str">
        <f t="shared" si="1864"/>
        <v>CA</v>
      </c>
      <c r="F4743" t="str">
        <f>T("930434301")</f>
        <v>930434301</v>
      </c>
      <c r="G4743" t="str">
        <f>T("1000 23RD AVENUE")</f>
        <v>1000 23RD AVENUE</v>
      </c>
      <c r="H4743" t="str">
        <f>T("BLDG 1000 EV12")</f>
        <v>BLDG 1000 EV12</v>
      </c>
      <c r="I4743" t="str">
        <f t="shared" si="1865"/>
        <v>PORT HUENEME</v>
      </c>
      <c r="J4743" t="str">
        <f t="shared" si="1866"/>
        <v>CA</v>
      </c>
      <c r="K4743" t="str">
        <f>T("000000000000000000")</f>
        <v>000000000000000000</v>
      </c>
      <c r="L4743" t="str">
        <f>T("8059825311")</f>
        <v>8059825311</v>
      </c>
    </row>
    <row r="4744" spans="1:12" x14ac:dyDescent="0.35">
      <c r="A4744" t="str">
        <f t="shared" si="1861"/>
        <v>NAVFAC EXWC HL5</v>
      </c>
      <c r="B4744" t="str">
        <f t="shared" si="1862"/>
        <v>1000 23RD AVENUE</v>
      </c>
      <c r="C4744" t="str">
        <f>T("BLDG 1000 EV3")</f>
        <v>BLDG 1000 EV3</v>
      </c>
      <c r="D4744" t="str">
        <f t="shared" si="1863"/>
        <v>PORT HUENEME</v>
      </c>
      <c r="E4744" t="str">
        <f t="shared" si="1864"/>
        <v>CA</v>
      </c>
      <c r="F4744" t="str">
        <f t="shared" ref="F4744:F4751" si="1867">T("930434300")</f>
        <v>930434300</v>
      </c>
      <c r="G4744" t="str">
        <f>T("1000 23RD AVENUE")</f>
        <v>1000 23RD AVENUE</v>
      </c>
      <c r="H4744" t="str">
        <f>T("BLDG 1000 EV3")</f>
        <v>BLDG 1000 EV3</v>
      </c>
      <c r="I4744" t="str">
        <f t="shared" si="1865"/>
        <v>PORT HUENEME</v>
      </c>
      <c r="J4744" t="str">
        <f t="shared" si="1866"/>
        <v>CA</v>
      </c>
      <c r="K4744" t="str">
        <f>T("")</f>
        <v/>
      </c>
      <c r="L4744" t="str">
        <f>T("8059822626")</f>
        <v>8059822626</v>
      </c>
    </row>
    <row r="4745" spans="1:12" x14ac:dyDescent="0.35">
      <c r="A4745" t="str">
        <f t="shared" si="1861"/>
        <v>NAVFAC EXWC HL5</v>
      </c>
      <c r="B4745" t="str">
        <f t="shared" si="1862"/>
        <v>1000 23RD AVENUE</v>
      </c>
      <c r="C4745" t="str">
        <f>T("BLDG 1000 EV3")</f>
        <v>BLDG 1000 EV3</v>
      </c>
      <c r="D4745" t="str">
        <f t="shared" si="1863"/>
        <v>PORT HUENEME</v>
      </c>
      <c r="E4745" t="str">
        <f t="shared" si="1864"/>
        <v>CA</v>
      </c>
      <c r="F4745" t="str">
        <f t="shared" si="1867"/>
        <v>930434300</v>
      </c>
      <c r="G4745" t="str">
        <f>T("1100 23RD AVE")</f>
        <v>1100 23RD AVE</v>
      </c>
      <c r="H4745" t="str">
        <f>T("EV31")</f>
        <v>EV31</v>
      </c>
      <c r="I4745" t="str">
        <f t="shared" si="1865"/>
        <v>PORT HUENEME</v>
      </c>
      <c r="J4745" t="str">
        <f t="shared" si="1866"/>
        <v>CA</v>
      </c>
      <c r="K4745" t="str">
        <f>T("000000000000000000")</f>
        <v>000000000000000000</v>
      </c>
      <c r="L4745" t="str">
        <f>T("8059821764")</f>
        <v>8059821764</v>
      </c>
    </row>
    <row r="4746" spans="1:12" x14ac:dyDescent="0.35">
      <c r="A4746" t="str">
        <f t="shared" si="1861"/>
        <v>NAVFAC EXWC HL5</v>
      </c>
      <c r="B4746" t="str">
        <f t="shared" si="1862"/>
        <v>1000 23RD AVENUE</v>
      </c>
      <c r="C4746" t="str">
        <f>T("BLDG 1000 PW7 M FREOW")</f>
        <v>BLDG 1000 PW7 M FREOW</v>
      </c>
      <c r="D4746" t="str">
        <f t="shared" si="1863"/>
        <v>PORT HUENEME</v>
      </c>
      <c r="E4746" t="str">
        <f t="shared" si="1864"/>
        <v>CA</v>
      </c>
      <c r="F4746" t="str">
        <f t="shared" si="1867"/>
        <v>930434300</v>
      </c>
      <c r="G4746" t="str">
        <f>T("1000 23RD AVE")</f>
        <v>1000 23RD AVE</v>
      </c>
      <c r="H4746" t="str">
        <f>T("BLDG 1000 PW7")</f>
        <v>BLDG 1000 PW7</v>
      </c>
      <c r="I4746" t="str">
        <f t="shared" si="1865"/>
        <v>PORT HUENEME</v>
      </c>
      <c r="J4746" t="str">
        <f t="shared" si="1866"/>
        <v>CA</v>
      </c>
      <c r="K4746" t="str">
        <f>T("000000000000000000")</f>
        <v>000000000000000000</v>
      </c>
      <c r="L4746" t="str">
        <f>T("8059822322")</f>
        <v>8059822322</v>
      </c>
    </row>
    <row r="4747" spans="1:12" x14ac:dyDescent="0.35">
      <c r="A4747" t="str">
        <f t="shared" si="1861"/>
        <v>NAVFAC EXWC HL5</v>
      </c>
      <c r="B4747" t="str">
        <f t="shared" si="1862"/>
        <v>1000 23RD AVENUE</v>
      </c>
      <c r="C4747" t="str">
        <f>T("BLDG 1000 PW7 M FREOW")</f>
        <v>BLDG 1000 PW7 M FREOW</v>
      </c>
      <c r="D4747" t="str">
        <f t="shared" si="1863"/>
        <v>PORT HUENEME</v>
      </c>
      <c r="E4747" t="str">
        <f t="shared" si="1864"/>
        <v>CA</v>
      </c>
      <c r="F4747" t="str">
        <f t="shared" si="1867"/>
        <v>930434300</v>
      </c>
      <c r="G4747" t="str">
        <f>T("1000 23RD AVENUE")</f>
        <v>1000 23RD AVENUE</v>
      </c>
      <c r="H4747" t="str">
        <f>T("BLDG 1000 PW7 M FREOW")</f>
        <v>BLDG 1000 PW7 M FREOW</v>
      </c>
      <c r="I4747" t="str">
        <f t="shared" si="1865"/>
        <v>PORT HUENEME</v>
      </c>
      <c r="J4747" t="str">
        <f t="shared" si="1866"/>
        <v>CA</v>
      </c>
      <c r="K4747" t="str">
        <f>T("")</f>
        <v/>
      </c>
      <c r="L4747" t="str">
        <f>T("8059824544")</f>
        <v>8059824544</v>
      </c>
    </row>
    <row r="4748" spans="1:12" x14ac:dyDescent="0.35">
      <c r="A4748" t="str">
        <f t="shared" si="1861"/>
        <v>NAVFAC EXWC HL5</v>
      </c>
      <c r="B4748" t="str">
        <f t="shared" si="1862"/>
        <v>1000 23RD AVENUE</v>
      </c>
      <c r="C4748" t="str">
        <f>T("BLDG 1100 EXWC EX30 C REESE")</f>
        <v>BLDG 1100 EXWC EX30 C REESE</v>
      </c>
      <c r="D4748" t="str">
        <f t="shared" si="1863"/>
        <v>PORT HUENEME</v>
      </c>
      <c r="E4748" t="str">
        <f t="shared" si="1864"/>
        <v>CA</v>
      </c>
      <c r="F4748" t="str">
        <f t="shared" si="1867"/>
        <v>930434300</v>
      </c>
      <c r="G4748" t="str">
        <f>T("1000 23RD AVENUE")</f>
        <v>1000 23RD AVENUE</v>
      </c>
      <c r="H4748" t="str">
        <f>T("BLDG 1100 EXWC EX30 C REESE")</f>
        <v>BLDG 1100 EXWC EX30 C REESE</v>
      </c>
      <c r="I4748" t="str">
        <f t="shared" si="1865"/>
        <v>PORT HUENEME</v>
      </c>
      <c r="J4748" t="str">
        <f t="shared" si="1866"/>
        <v>CA</v>
      </c>
      <c r="K4748" t="str">
        <f>T("")</f>
        <v/>
      </c>
      <c r="L4748" t="str">
        <f>T("8059826769")</f>
        <v>8059826769</v>
      </c>
    </row>
    <row r="4749" spans="1:12" x14ac:dyDescent="0.35">
      <c r="A4749" t="str">
        <f t="shared" si="1861"/>
        <v>NAVFAC EXWC HL5</v>
      </c>
      <c r="B4749" t="str">
        <f t="shared" si="1862"/>
        <v>1000 23RD AVENUE</v>
      </c>
      <c r="C4749" t="str">
        <f>T("BLDG 1100 EXWC EX30 C REESE")</f>
        <v>BLDG 1100 EXWC EX30 C REESE</v>
      </c>
      <c r="D4749" t="str">
        <f t="shared" si="1863"/>
        <v>PORT HUENEME</v>
      </c>
      <c r="E4749" t="str">
        <f t="shared" si="1864"/>
        <v>CA</v>
      </c>
      <c r="F4749" t="str">
        <f t="shared" si="1867"/>
        <v>930434300</v>
      </c>
      <c r="G4749" t="str">
        <f>T("1100 23RD AVE")</f>
        <v>1100 23RD AVE</v>
      </c>
      <c r="H4749" t="str">
        <f>T("EX 320")</f>
        <v>EX 320</v>
      </c>
      <c r="I4749" t="str">
        <f t="shared" si="1865"/>
        <v>PORT HUENEME</v>
      </c>
      <c r="J4749" t="str">
        <f t="shared" si="1866"/>
        <v>CA</v>
      </c>
      <c r="K4749" t="str">
        <f>T("000000000000000000")</f>
        <v>000000000000000000</v>
      </c>
      <c r="L4749" t="str">
        <f>T("8059822065")</f>
        <v>8059822065</v>
      </c>
    </row>
    <row r="4750" spans="1:12" x14ac:dyDescent="0.35">
      <c r="A4750" t="str">
        <f t="shared" si="1861"/>
        <v>NAVFAC EXWC HL5</v>
      </c>
      <c r="B4750" t="str">
        <f t="shared" si="1862"/>
        <v>1000 23RD AVENUE</v>
      </c>
      <c r="C4750" t="str">
        <f>T("BLDG 1100 EXWC EX30 C REESE")</f>
        <v>BLDG 1100 EXWC EX30 C REESE</v>
      </c>
      <c r="D4750" t="str">
        <f t="shared" si="1863"/>
        <v>PORT HUENEME</v>
      </c>
      <c r="E4750" t="str">
        <f t="shared" si="1864"/>
        <v>CA</v>
      </c>
      <c r="F4750" t="str">
        <f t="shared" si="1867"/>
        <v>930434300</v>
      </c>
      <c r="G4750" t="str">
        <f>T("1100 23RD AVE")</f>
        <v>1100 23RD AVE</v>
      </c>
      <c r="H4750" t="str">
        <f>T("EX320")</f>
        <v>EX320</v>
      </c>
      <c r="I4750" t="str">
        <f t="shared" si="1865"/>
        <v>PORT HUENEME</v>
      </c>
      <c r="J4750" t="str">
        <f t="shared" si="1866"/>
        <v>CA</v>
      </c>
      <c r="K4750" t="str">
        <f>T("000000000000000000")</f>
        <v>000000000000000000</v>
      </c>
      <c r="L4750" t="str">
        <f>T("8059821357")</f>
        <v>8059821357</v>
      </c>
    </row>
    <row r="4751" spans="1:12" x14ac:dyDescent="0.35">
      <c r="A4751" t="str">
        <f t="shared" si="1861"/>
        <v>NAVFAC EXWC HL5</v>
      </c>
      <c r="B4751" t="str">
        <f t="shared" si="1862"/>
        <v>1000 23RD AVENUE</v>
      </c>
      <c r="C4751" t="str">
        <f>T("BLDG 1100 EXWC EX30 C REESE")</f>
        <v>BLDG 1100 EXWC EX30 C REESE</v>
      </c>
      <c r="D4751" t="str">
        <f t="shared" si="1863"/>
        <v>PORT HUENEME</v>
      </c>
      <c r="E4751" t="str">
        <f t="shared" si="1864"/>
        <v>CA</v>
      </c>
      <c r="F4751" t="str">
        <f t="shared" si="1867"/>
        <v>930434300</v>
      </c>
      <c r="G4751" t="str">
        <f>T("1100 23RD AVE")</f>
        <v>1100 23RD AVE</v>
      </c>
      <c r="H4751" t="str">
        <f>T("EX320")</f>
        <v>EX320</v>
      </c>
      <c r="I4751" t="str">
        <f t="shared" si="1865"/>
        <v>PORT HUENEME</v>
      </c>
      <c r="J4751" t="str">
        <f t="shared" si="1866"/>
        <v>CA</v>
      </c>
      <c r="K4751" t="str">
        <f>T("000000000000000000")</f>
        <v>000000000000000000</v>
      </c>
      <c r="L4751" t="str">
        <f>T("8059826640")</f>
        <v>8059826640</v>
      </c>
    </row>
    <row r="4752" spans="1:12" x14ac:dyDescent="0.35">
      <c r="A4752" t="str">
        <f t="shared" si="1861"/>
        <v>NAVFAC EXWC HL5</v>
      </c>
      <c r="B4752" t="str">
        <f t="shared" si="1862"/>
        <v>1000 23RD AVENUE</v>
      </c>
      <c r="C4752" t="str">
        <f>T("BLDG 1360 PW63 MUSE")</f>
        <v>BLDG 1360 PW63 MUSE</v>
      </c>
      <c r="D4752" t="str">
        <f t="shared" si="1863"/>
        <v>PORT HUENEME</v>
      </c>
      <c r="E4752" t="str">
        <f t="shared" si="1864"/>
        <v>CA</v>
      </c>
      <c r="F4752" t="str">
        <f>T("930434301")</f>
        <v>930434301</v>
      </c>
      <c r="G4752" t="str">
        <f>T("1000 23RD AVENUE")</f>
        <v>1000 23RD AVENUE</v>
      </c>
      <c r="H4752" t="str">
        <f>T("BLDG 1360 PW63 MUSE")</f>
        <v>BLDG 1360 PW63 MUSE</v>
      </c>
      <c r="I4752" t="str">
        <f t="shared" si="1865"/>
        <v>PORT HUENEME</v>
      </c>
      <c r="J4752" t="str">
        <f t="shared" si="1866"/>
        <v>CA</v>
      </c>
      <c r="K4752" t="str">
        <f>T("")</f>
        <v/>
      </c>
      <c r="L4752" t="str">
        <f>T("8059821593")</f>
        <v>8059821593</v>
      </c>
    </row>
    <row r="4753" spans="1:12" x14ac:dyDescent="0.35">
      <c r="A4753" t="str">
        <f t="shared" si="1861"/>
        <v>NAVFAC EXWC HL5</v>
      </c>
      <c r="B4753" t="str">
        <f t="shared" si="1862"/>
        <v>1000 23RD AVENUE</v>
      </c>
      <c r="C4753" t="str">
        <f>T("BLDG 1360 PW63 MUSE")</f>
        <v>BLDG 1360 PW63 MUSE</v>
      </c>
      <c r="D4753" t="str">
        <f t="shared" si="1863"/>
        <v>PORT HUENEME</v>
      </c>
      <c r="E4753" t="str">
        <f t="shared" si="1864"/>
        <v>CA</v>
      </c>
      <c r="F4753" t="str">
        <f>T("930434301")</f>
        <v>930434301</v>
      </c>
      <c r="G4753" t="str">
        <f>T("1000 23RD AVENUE")</f>
        <v>1000 23RD AVENUE</v>
      </c>
      <c r="H4753" t="str">
        <f>T("BLDG 1360 PW63 MUSE")</f>
        <v>BLDG 1360 PW63 MUSE</v>
      </c>
      <c r="I4753" t="str">
        <f t="shared" si="1865"/>
        <v>PORT HUENEME</v>
      </c>
      <c r="J4753" t="str">
        <f t="shared" si="1866"/>
        <v>CA</v>
      </c>
      <c r="K4753" t="str">
        <f>T("000000000000000000")</f>
        <v>000000000000000000</v>
      </c>
      <c r="L4753" t="str">
        <f>T("8059019503")</f>
        <v>8059019503</v>
      </c>
    </row>
    <row r="4754" spans="1:12" x14ac:dyDescent="0.35">
      <c r="A4754" t="str">
        <f t="shared" si="1861"/>
        <v>NAVFAC EXWC HL5</v>
      </c>
      <c r="B4754" t="str">
        <f t="shared" si="1862"/>
        <v>1000 23RD AVENUE</v>
      </c>
      <c r="C4754" t="str">
        <f>T("BLDG 2 CIOTR")</f>
        <v>BLDG 2 CIOTR</v>
      </c>
      <c r="D4754" t="str">
        <f t="shared" si="1863"/>
        <v>PORT HUENEME</v>
      </c>
      <c r="E4754" t="str">
        <f t="shared" si="1864"/>
        <v>CA</v>
      </c>
      <c r="F4754" t="str">
        <f t="shared" ref="F4754:F4784" si="1868">T("930434300")</f>
        <v>930434300</v>
      </c>
      <c r="G4754" t="str">
        <f>T("1000 23RD AVENUE")</f>
        <v>1000 23RD AVENUE</v>
      </c>
      <c r="H4754" t="str">
        <f>T("BLDG 2 CIOTR")</f>
        <v>BLDG 2 CIOTR</v>
      </c>
      <c r="I4754" t="str">
        <f t="shared" si="1865"/>
        <v>PORT HUENEME</v>
      </c>
      <c r="J4754" t="str">
        <f t="shared" si="1866"/>
        <v>CA</v>
      </c>
      <c r="K4754" t="str">
        <f>T("8059824800")</f>
        <v>8059824800</v>
      </c>
      <c r="L4754" t="str">
        <f>T("8059823951")</f>
        <v>8059823951</v>
      </c>
    </row>
    <row r="4755" spans="1:12" x14ac:dyDescent="0.35">
      <c r="A4755" t="str">
        <f t="shared" si="1861"/>
        <v>NAVFAC EXWC HL5</v>
      </c>
      <c r="B4755" t="str">
        <f t="shared" si="1862"/>
        <v>1000 23RD AVENUE</v>
      </c>
      <c r="C4755" t="str">
        <f>T("BLDG 2 CIOTR")</f>
        <v>BLDG 2 CIOTR</v>
      </c>
      <c r="D4755" t="str">
        <f t="shared" si="1863"/>
        <v>PORT HUENEME</v>
      </c>
      <c r="E4755" t="str">
        <f t="shared" si="1864"/>
        <v>CA</v>
      </c>
      <c r="F4755" t="str">
        <f t="shared" si="1868"/>
        <v>930434300</v>
      </c>
      <c r="G4755" t="str">
        <f>T("NAVFAC EXWC 1000 23RD AVENUE BLDG 2")</f>
        <v>NAVFAC EXWC 1000 23RD AVENUE BLDG 2</v>
      </c>
      <c r="H4755" t="str">
        <f>T("CIOTR")</f>
        <v>CIOTR</v>
      </c>
      <c r="I4755" t="str">
        <f t="shared" si="1865"/>
        <v>PORT HUENEME</v>
      </c>
      <c r="J4755" t="str">
        <f t="shared" si="1866"/>
        <v>CA</v>
      </c>
      <c r="K4755" t="str">
        <f>T("000000000000000000")</f>
        <v>000000000000000000</v>
      </c>
      <c r="L4755" t="str">
        <f>T("8059822079")</f>
        <v>8059822079</v>
      </c>
    </row>
    <row r="4756" spans="1:12" x14ac:dyDescent="0.35">
      <c r="A4756" t="str">
        <f t="shared" si="1861"/>
        <v>NAVFAC EXWC HL5</v>
      </c>
      <c r="B4756" t="str">
        <f t="shared" si="1862"/>
        <v>1000 23RD AVENUE</v>
      </c>
      <c r="C4756" t="str">
        <f>T("BLDG 2 CIOTR")</f>
        <v>BLDG 2 CIOTR</v>
      </c>
      <c r="D4756" t="str">
        <f t="shared" si="1863"/>
        <v>PORT HUENEME</v>
      </c>
      <c r="E4756" t="str">
        <f t="shared" si="1864"/>
        <v>CA</v>
      </c>
      <c r="F4756" t="str">
        <f t="shared" si="1868"/>
        <v>930434300</v>
      </c>
      <c r="G4756" t="str">
        <f>T("NAVFAC EXWC 1000 23RD AVENUE BLDG 2")</f>
        <v>NAVFAC EXWC 1000 23RD AVENUE BLDG 2</v>
      </c>
      <c r="H4756" t="str">
        <f>T("CIOTR")</f>
        <v>CIOTR</v>
      </c>
      <c r="I4756" t="str">
        <f t="shared" si="1865"/>
        <v>PORT HUENEME</v>
      </c>
      <c r="J4756" t="str">
        <f t="shared" si="1866"/>
        <v>CA</v>
      </c>
      <c r="K4756" t="str">
        <f>T("000000000000000000")</f>
        <v>000000000000000000</v>
      </c>
      <c r="L4756" t="str">
        <f>T("8059824391")</f>
        <v>8059824391</v>
      </c>
    </row>
    <row r="4757" spans="1:12" x14ac:dyDescent="0.35">
      <c r="A4757" t="str">
        <f t="shared" si="1861"/>
        <v>NAVFAC EXWC HL5</v>
      </c>
      <c r="B4757" t="str">
        <f t="shared" si="1862"/>
        <v>1000 23RD AVENUE</v>
      </c>
      <c r="C4757" t="str">
        <f>T("BUILDING 1000 BD42 NWCF")</f>
        <v>BUILDING 1000 BD42 NWCF</v>
      </c>
      <c r="D4757" t="str">
        <f t="shared" si="1863"/>
        <v>PORT HUENEME</v>
      </c>
      <c r="E4757" t="str">
        <f t="shared" si="1864"/>
        <v>CA</v>
      </c>
      <c r="F4757" t="str">
        <f t="shared" si="1868"/>
        <v>930434300</v>
      </c>
      <c r="G4757" t="str">
        <f>T("1000 23RD AVENUE")</f>
        <v>1000 23RD AVENUE</v>
      </c>
      <c r="H4757" t="str">
        <f>T("BUILDING 1000 BD42 NWCF")</f>
        <v>BUILDING 1000 BD42 NWCF</v>
      </c>
      <c r="I4757" t="str">
        <f t="shared" si="1865"/>
        <v>PORT HUENEME</v>
      </c>
      <c r="J4757" t="str">
        <f t="shared" si="1866"/>
        <v>CA</v>
      </c>
      <c r="K4757" t="str">
        <f>T("")</f>
        <v/>
      </c>
      <c r="L4757" t="str">
        <f>T("8059821692")</f>
        <v>8059821692</v>
      </c>
    </row>
    <row r="4758" spans="1:12" x14ac:dyDescent="0.35">
      <c r="A4758" t="str">
        <f t="shared" si="1861"/>
        <v>NAVFAC EXWC HL5</v>
      </c>
      <c r="B4758" t="str">
        <f t="shared" si="1862"/>
        <v>1000 23RD AVENUE</v>
      </c>
      <c r="C4758" t="str">
        <f>T("CED 11")</f>
        <v>CED 11</v>
      </c>
      <c r="D4758" t="str">
        <f t="shared" si="1863"/>
        <v>PORT HUENEME</v>
      </c>
      <c r="E4758" t="str">
        <f t="shared" si="1864"/>
        <v>CA</v>
      </c>
      <c r="F4758" t="str">
        <f t="shared" si="1868"/>
        <v>930434300</v>
      </c>
      <c r="G4758" t="str">
        <f>T("1000 23RD AVE")</f>
        <v>1000 23RD AVE</v>
      </c>
      <c r="H4758" t="str">
        <f>T("CODE N32")</f>
        <v>CODE N32</v>
      </c>
      <c r="I4758" t="str">
        <f t="shared" si="1865"/>
        <v>PORT HUENEME</v>
      </c>
      <c r="J4758" t="str">
        <f t="shared" si="1866"/>
        <v>CA</v>
      </c>
      <c r="K4758" t="str">
        <f>T("000000000000000000")</f>
        <v>000000000000000000</v>
      </c>
      <c r="L4758" t="str">
        <f>T("8059823875")</f>
        <v>8059823875</v>
      </c>
    </row>
    <row r="4759" spans="1:12" x14ac:dyDescent="0.35">
      <c r="A4759" t="str">
        <f t="shared" si="1861"/>
        <v>NAVFAC EXWC HL5</v>
      </c>
      <c r="B4759" t="str">
        <f t="shared" si="1862"/>
        <v>1000 23RD AVENUE</v>
      </c>
      <c r="C4759" t="str">
        <f>T("CED 11")</f>
        <v>CED 11</v>
      </c>
      <c r="D4759" t="str">
        <f t="shared" si="1863"/>
        <v>PORT HUENEME</v>
      </c>
      <c r="E4759" t="str">
        <f t="shared" si="1864"/>
        <v>CA</v>
      </c>
      <c r="F4759" t="str">
        <f t="shared" si="1868"/>
        <v>930434300</v>
      </c>
      <c r="G4759" t="str">
        <f>T("1000 23RD AVE")</f>
        <v>1000 23RD AVE</v>
      </c>
      <c r="H4759" t="str">
        <f>T("CODE N32 BLDG 813")</f>
        <v>CODE N32 BLDG 813</v>
      </c>
      <c r="I4759" t="str">
        <f t="shared" si="1865"/>
        <v>PORT HUENEME</v>
      </c>
      <c r="J4759" t="str">
        <f t="shared" si="1866"/>
        <v>CA</v>
      </c>
      <c r="K4759" t="str">
        <f>T("000000000000000000")</f>
        <v>000000000000000000</v>
      </c>
      <c r="L4759" t="str">
        <f>T("8059823609")</f>
        <v>8059823609</v>
      </c>
    </row>
    <row r="4760" spans="1:12" x14ac:dyDescent="0.35">
      <c r="A4760" t="str">
        <f t="shared" si="1861"/>
        <v>NAVFAC EXWC HL5</v>
      </c>
      <c r="B4760" t="str">
        <f t="shared" si="1862"/>
        <v>1000 23RD AVENUE</v>
      </c>
      <c r="C4760" t="str">
        <f>T("CED 11")</f>
        <v>CED 11</v>
      </c>
      <c r="D4760" t="str">
        <f t="shared" si="1863"/>
        <v>PORT HUENEME</v>
      </c>
      <c r="E4760" t="str">
        <f t="shared" si="1864"/>
        <v>CA</v>
      </c>
      <c r="F4760" t="str">
        <f t="shared" si="1868"/>
        <v>930434300</v>
      </c>
      <c r="G4760" t="str">
        <f>T("1000 23RD AVENUE")</f>
        <v>1000 23RD AVENUE</v>
      </c>
      <c r="H4760" t="str">
        <f>T("CED 11")</f>
        <v>CED 11</v>
      </c>
      <c r="I4760" t="str">
        <f t="shared" si="1865"/>
        <v>PORT HUENEME</v>
      </c>
      <c r="J4760" t="str">
        <f t="shared" si="1866"/>
        <v>CA</v>
      </c>
      <c r="K4760" t="str">
        <f>T("000000000000000000")</f>
        <v>000000000000000000</v>
      </c>
      <c r="L4760" t="str">
        <f>T("8059825773")</f>
        <v>8059825773</v>
      </c>
    </row>
    <row r="4761" spans="1:12" x14ac:dyDescent="0.35">
      <c r="A4761" t="str">
        <f t="shared" si="1861"/>
        <v>NAVFAC EXWC HL5</v>
      </c>
      <c r="B4761" t="str">
        <f t="shared" si="1862"/>
        <v>1000 23RD AVENUE</v>
      </c>
      <c r="C4761" t="str">
        <f>T("CED 11")</f>
        <v>CED 11</v>
      </c>
      <c r="D4761" t="str">
        <f t="shared" si="1863"/>
        <v>PORT HUENEME</v>
      </c>
      <c r="E4761" t="str">
        <f t="shared" si="1864"/>
        <v>CA</v>
      </c>
      <c r="F4761" t="str">
        <f t="shared" si="1868"/>
        <v>930434300</v>
      </c>
      <c r="G4761" t="str">
        <f>T("1100 23RD AVENUE BLDG 1100")</f>
        <v>1100 23RD AVENUE BLDG 1100</v>
      </c>
      <c r="H4761" t="str">
        <f>T("")</f>
        <v/>
      </c>
      <c r="I4761" t="str">
        <f t="shared" si="1865"/>
        <v>PORT HUENEME</v>
      </c>
      <c r="J4761" t="str">
        <f t="shared" si="1866"/>
        <v>CA</v>
      </c>
      <c r="K4761" t="str">
        <f>T("000000000000000000")</f>
        <v>000000000000000000</v>
      </c>
      <c r="L4761" t="str">
        <f>T("8059821206")</f>
        <v>8059821206</v>
      </c>
    </row>
    <row r="4762" spans="1:12" x14ac:dyDescent="0.35">
      <c r="A4762" t="str">
        <f t="shared" si="1861"/>
        <v>NAVFAC EXWC HL5</v>
      </c>
      <c r="B4762" t="str">
        <f t="shared" si="1862"/>
        <v>1000 23RD AVENUE</v>
      </c>
      <c r="C4762" t="str">
        <f>T("CI8")</f>
        <v>CI8</v>
      </c>
      <c r="D4762" t="str">
        <f t="shared" si="1863"/>
        <v>PORT HUENEME</v>
      </c>
      <c r="E4762" t="str">
        <f t="shared" si="1864"/>
        <v>CA</v>
      </c>
      <c r="F4762" t="str">
        <f t="shared" si="1868"/>
        <v>930434300</v>
      </c>
      <c r="G4762" t="str">
        <f>T("1000 23RD AVE")</f>
        <v>1000 23RD AVE</v>
      </c>
      <c r="H4762" t="str">
        <f>T("")</f>
        <v/>
      </c>
      <c r="I4762" t="str">
        <f t="shared" si="1865"/>
        <v>PORT HUENEME</v>
      </c>
      <c r="J4762" t="str">
        <f t="shared" si="1866"/>
        <v>CA</v>
      </c>
      <c r="K4762" t="str">
        <f>T("000000000000000000")</f>
        <v>000000000000000000</v>
      </c>
      <c r="L4762" t="str">
        <f>T("8059826072")</f>
        <v>8059826072</v>
      </c>
    </row>
    <row r="4763" spans="1:12" x14ac:dyDescent="0.35">
      <c r="A4763" t="str">
        <f t="shared" si="1861"/>
        <v>NAVFAC EXWC HL5</v>
      </c>
      <c r="B4763" t="str">
        <f t="shared" si="1862"/>
        <v>1000 23RD AVENUE</v>
      </c>
      <c r="C4763" t="str">
        <f>T("CI8")</f>
        <v>CI8</v>
      </c>
      <c r="D4763" t="str">
        <f t="shared" si="1863"/>
        <v>PORT HUENEME</v>
      </c>
      <c r="E4763" t="str">
        <f t="shared" si="1864"/>
        <v>CA</v>
      </c>
      <c r="F4763" t="str">
        <f t="shared" si="1868"/>
        <v>930434300</v>
      </c>
      <c r="G4763" t="str">
        <f>T("1000 23RD AVENUE")</f>
        <v>1000 23RD AVENUE</v>
      </c>
      <c r="H4763" t="str">
        <f>T("CI8")</f>
        <v>CI8</v>
      </c>
      <c r="I4763" t="str">
        <f t="shared" si="1865"/>
        <v>PORT HUENEME</v>
      </c>
      <c r="J4763" t="str">
        <f t="shared" si="1866"/>
        <v>CA</v>
      </c>
      <c r="K4763" t="str">
        <f>T("")</f>
        <v/>
      </c>
      <c r="L4763" t="str">
        <f>T("8059821678")</f>
        <v>8059821678</v>
      </c>
    </row>
    <row r="4764" spans="1:12" x14ac:dyDescent="0.35">
      <c r="A4764" t="str">
        <f t="shared" si="1861"/>
        <v>NAVFAC EXWC HL5</v>
      </c>
      <c r="B4764" t="str">
        <f t="shared" si="1862"/>
        <v>1000 23RD AVENUE</v>
      </c>
      <c r="C4764" t="str">
        <f>T("CI8")</f>
        <v>CI8</v>
      </c>
      <c r="D4764" t="str">
        <f t="shared" si="1863"/>
        <v>PORT HUENEME</v>
      </c>
      <c r="E4764" t="str">
        <f t="shared" si="1864"/>
        <v>CA</v>
      </c>
      <c r="F4764" t="str">
        <f t="shared" si="1868"/>
        <v>930434300</v>
      </c>
      <c r="G4764" t="str">
        <f>T("NAVFAC EXWC BLDG 1100 CI9")</f>
        <v>NAVFAC EXWC BLDG 1100 CI9</v>
      </c>
      <c r="H4764" t="str">
        <f>T("1000 23RD AVENUE")</f>
        <v>1000 23RD AVENUE</v>
      </c>
      <c r="I4764" t="str">
        <f t="shared" si="1865"/>
        <v>PORT HUENEME</v>
      </c>
      <c r="J4764" t="str">
        <f t="shared" si="1866"/>
        <v>CA</v>
      </c>
      <c r="K4764" t="str">
        <f>T("000000000000000000")</f>
        <v>000000000000000000</v>
      </c>
      <c r="L4764" t="str">
        <f>T("8055094500")</f>
        <v>8055094500</v>
      </c>
    </row>
    <row r="4765" spans="1:12" x14ac:dyDescent="0.35">
      <c r="A4765" t="str">
        <f t="shared" si="1861"/>
        <v>NAVFAC EXWC HL5</v>
      </c>
      <c r="B4765" t="str">
        <f t="shared" si="1862"/>
        <v>1000 23RD AVENUE</v>
      </c>
      <c r="C4765" t="str">
        <f>T("CI8")</f>
        <v>CI8</v>
      </c>
      <c r="D4765" t="str">
        <f t="shared" si="1863"/>
        <v>PORT HUENEME</v>
      </c>
      <c r="E4765" t="str">
        <f t="shared" si="1864"/>
        <v>CA</v>
      </c>
      <c r="F4765" t="str">
        <f t="shared" si="1868"/>
        <v>930434300</v>
      </c>
      <c r="G4765" t="str">
        <f>T("NAVFAC EXWC BLDG 1100 CI9")</f>
        <v>NAVFAC EXWC BLDG 1100 CI9</v>
      </c>
      <c r="H4765" t="str">
        <f>T("1000 23RD AVENUE")</f>
        <v>1000 23RD AVENUE</v>
      </c>
      <c r="I4765" t="str">
        <f t="shared" si="1865"/>
        <v>PORT HUENEME</v>
      </c>
      <c r="J4765" t="str">
        <f t="shared" si="1866"/>
        <v>CA</v>
      </c>
      <c r="K4765" t="str">
        <f>T("000000000000000000")</f>
        <v>000000000000000000</v>
      </c>
      <c r="L4765" t="str">
        <f>T("8059821153")</f>
        <v>8059821153</v>
      </c>
    </row>
    <row r="4766" spans="1:12" x14ac:dyDescent="0.35">
      <c r="A4766" t="str">
        <f t="shared" si="1861"/>
        <v>NAVFAC EXWC HL5</v>
      </c>
      <c r="B4766" t="str">
        <f t="shared" si="1862"/>
        <v>1000 23RD AVENUE</v>
      </c>
      <c r="C4766" t="str">
        <f>T("CODE CIOFP2")</f>
        <v>CODE CIOFP2</v>
      </c>
      <c r="D4766" t="str">
        <f t="shared" si="1863"/>
        <v>PORT HUENEME</v>
      </c>
      <c r="E4766" t="str">
        <f t="shared" si="1864"/>
        <v>CA</v>
      </c>
      <c r="F4766" t="str">
        <f t="shared" si="1868"/>
        <v>930434300</v>
      </c>
      <c r="G4766" t="str">
        <f>T("1000 23RD AVENUE")</f>
        <v>1000 23RD AVENUE</v>
      </c>
      <c r="H4766" t="str">
        <f>T("CODE CIOFP2")</f>
        <v>CODE CIOFP2</v>
      </c>
      <c r="I4766" t="str">
        <f t="shared" si="1865"/>
        <v>PORT HUENEME</v>
      </c>
      <c r="J4766" t="str">
        <f t="shared" si="1866"/>
        <v>CA</v>
      </c>
      <c r="K4766" t="str">
        <f>T("")</f>
        <v/>
      </c>
      <c r="L4766" t="str">
        <f>T("8059821007")</f>
        <v>8059821007</v>
      </c>
    </row>
    <row r="4767" spans="1:12" x14ac:dyDescent="0.35">
      <c r="A4767" t="str">
        <f t="shared" si="1861"/>
        <v>NAVFAC EXWC HL5</v>
      </c>
      <c r="B4767" t="str">
        <f t="shared" si="1862"/>
        <v>1000 23RD AVENUE</v>
      </c>
      <c r="C4767" t="str">
        <f>T("CODE CIOFP2")</f>
        <v>CODE CIOFP2</v>
      </c>
      <c r="D4767" t="str">
        <f t="shared" si="1863"/>
        <v>PORT HUENEME</v>
      </c>
      <c r="E4767" t="str">
        <f t="shared" si="1864"/>
        <v>CA</v>
      </c>
      <c r="F4767" t="str">
        <f t="shared" si="1868"/>
        <v>930434300</v>
      </c>
      <c r="G4767" t="str">
        <f>T("1100 23RD AVE BLDG 1100")</f>
        <v>1100 23RD AVE BLDG 1100</v>
      </c>
      <c r="H4767" t="str">
        <f>T("BLDG 1100")</f>
        <v>BLDG 1100</v>
      </c>
      <c r="I4767" t="str">
        <f t="shared" si="1865"/>
        <v>PORT HUENEME</v>
      </c>
      <c r="J4767" t="str">
        <f t="shared" si="1866"/>
        <v>CA</v>
      </c>
      <c r="K4767" t="str">
        <f>T("000000000000000000")</f>
        <v>000000000000000000</v>
      </c>
      <c r="L4767" t="str">
        <f>T("8059824736")</f>
        <v>8059824736</v>
      </c>
    </row>
    <row r="4768" spans="1:12" x14ac:dyDescent="0.35">
      <c r="A4768" t="str">
        <f t="shared" si="1861"/>
        <v>NAVFAC EXWC HL5</v>
      </c>
      <c r="B4768" t="str">
        <f t="shared" si="1862"/>
        <v>1000 23RD AVENUE</v>
      </c>
      <c r="C4768" t="str">
        <f>T("CODE CIOFP2")</f>
        <v>CODE CIOFP2</v>
      </c>
      <c r="D4768" t="str">
        <f t="shared" si="1863"/>
        <v>PORT HUENEME</v>
      </c>
      <c r="E4768" t="str">
        <f t="shared" si="1864"/>
        <v>CA</v>
      </c>
      <c r="F4768" t="str">
        <f t="shared" si="1868"/>
        <v>930434300</v>
      </c>
      <c r="G4768" t="str">
        <f>T("NAVFAC EXWC")</f>
        <v>NAVFAC EXWC</v>
      </c>
      <c r="H4768" t="str">
        <f>T("1100 23RD AVE CIOFP2")</f>
        <v>1100 23RD AVE CIOFP2</v>
      </c>
      <c r="I4768" t="str">
        <f t="shared" si="1865"/>
        <v>PORT HUENEME</v>
      </c>
      <c r="J4768" t="str">
        <f t="shared" si="1866"/>
        <v>CA</v>
      </c>
      <c r="K4768" t="str">
        <f>T("000000000000000000")</f>
        <v>000000000000000000</v>
      </c>
      <c r="L4768" t="str">
        <f>T("8059821159")</f>
        <v>8059821159</v>
      </c>
    </row>
    <row r="4769" spans="1:12" x14ac:dyDescent="0.35">
      <c r="A4769" t="str">
        <f t="shared" ref="A4769:A4800" si="1869">T("NAVFAC EXWC HL5")</f>
        <v>NAVFAC EXWC HL5</v>
      </c>
      <c r="B4769" t="str">
        <f t="shared" ref="B4769:B4793" si="1870">T("1000 23RD AVENUE")</f>
        <v>1000 23RD AVENUE</v>
      </c>
      <c r="C4769" t="str">
        <f>T("CODE CIOFP3")</f>
        <v>CODE CIOFP3</v>
      </c>
      <c r="D4769" t="str">
        <f t="shared" ref="D4769:D4796" si="1871">T("PORT HUENEME")</f>
        <v>PORT HUENEME</v>
      </c>
      <c r="E4769" t="str">
        <f t="shared" ref="E4769:E4798" si="1872">T("CA")</f>
        <v>CA</v>
      </c>
      <c r="F4769" t="str">
        <f t="shared" si="1868"/>
        <v>930434300</v>
      </c>
      <c r="G4769" t="str">
        <f>T("1000 23RD AVENUE")</f>
        <v>1000 23RD AVENUE</v>
      </c>
      <c r="H4769" t="str">
        <f>T("CODE CIOFP3")</f>
        <v>CODE CIOFP3</v>
      </c>
      <c r="I4769" t="str">
        <f t="shared" ref="I4769:I4796" si="1873">T("PORT HUENEME")</f>
        <v>PORT HUENEME</v>
      </c>
      <c r="J4769" t="str">
        <f t="shared" ref="J4769:J4799" si="1874">T("CA")</f>
        <v>CA</v>
      </c>
      <c r="K4769" t="str">
        <f>T("")</f>
        <v/>
      </c>
      <c r="L4769" t="str">
        <f>T("8059821376")</f>
        <v>8059821376</v>
      </c>
    </row>
    <row r="4770" spans="1:12" x14ac:dyDescent="0.35">
      <c r="A4770" t="str">
        <f t="shared" si="1869"/>
        <v>NAVFAC EXWC HL5</v>
      </c>
      <c r="B4770" t="str">
        <f t="shared" si="1870"/>
        <v>1000 23RD AVENUE</v>
      </c>
      <c r="C4770" t="str">
        <f>T("CODE CIOFP3")</f>
        <v>CODE CIOFP3</v>
      </c>
      <c r="D4770" t="str">
        <f t="shared" si="1871"/>
        <v>PORT HUENEME</v>
      </c>
      <c r="E4770" t="str">
        <f t="shared" si="1872"/>
        <v>CA</v>
      </c>
      <c r="F4770" t="str">
        <f t="shared" si="1868"/>
        <v>930434300</v>
      </c>
      <c r="G4770" t="str">
        <f>T("1100 23RD AVE")</f>
        <v>1100 23RD AVE</v>
      </c>
      <c r="H4770" t="str">
        <f>T("CIOFP3")</f>
        <v>CIOFP3</v>
      </c>
      <c r="I4770" t="str">
        <f t="shared" si="1873"/>
        <v>PORT HUENEME</v>
      </c>
      <c r="J4770" t="str">
        <f t="shared" si="1874"/>
        <v>CA</v>
      </c>
      <c r="K4770" t="str">
        <f>T("000000000000000000")</f>
        <v>000000000000000000</v>
      </c>
      <c r="L4770" t="str">
        <f>T("8059822054")</f>
        <v>8059822054</v>
      </c>
    </row>
    <row r="4771" spans="1:12" x14ac:dyDescent="0.35">
      <c r="A4771" t="str">
        <f t="shared" si="1869"/>
        <v>NAVFAC EXWC HL5</v>
      </c>
      <c r="B4771" t="str">
        <f t="shared" si="1870"/>
        <v>1000 23RD AVENUE</v>
      </c>
      <c r="C4771" t="str">
        <f>T("CODE EX 300")</f>
        <v>CODE EX 300</v>
      </c>
      <c r="D4771" t="str">
        <f t="shared" si="1871"/>
        <v>PORT HUENEME</v>
      </c>
      <c r="E4771" t="str">
        <f t="shared" si="1872"/>
        <v>CA</v>
      </c>
      <c r="F4771" t="str">
        <f t="shared" si="1868"/>
        <v>930434300</v>
      </c>
      <c r="G4771" t="str">
        <f>T("1000 23RD AVENUE")</f>
        <v>1000 23RD AVENUE</v>
      </c>
      <c r="H4771" t="str">
        <f>T("CODE EX 300")</f>
        <v>CODE EX 300</v>
      </c>
      <c r="I4771" t="str">
        <f t="shared" si="1873"/>
        <v>PORT HUENEME</v>
      </c>
      <c r="J4771" t="str">
        <f t="shared" si="1874"/>
        <v>CA</v>
      </c>
      <c r="K4771" t="str">
        <f>T("")</f>
        <v/>
      </c>
      <c r="L4771" t="str">
        <f>T("8059821296")</f>
        <v>8059821296</v>
      </c>
    </row>
    <row r="4772" spans="1:12" x14ac:dyDescent="0.35">
      <c r="A4772" t="str">
        <f t="shared" si="1869"/>
        <v>NAVFAC EXWC HL5</v>
      </c>
      <c r="B4772" t="str">
        <f t="shared" si="1870"/>
        <v>1000 23RD AVENUE</v>
      </c>
      <c r="C4772" t="str">
        <f>T("CODE EX 300")</f>
        <v>CODE EX 300</v>
      </c>
      <c r="D4772" t="str">
        <f t="shared" si="1871"/>
        <v>PORT HUENEME</v>
      </c>
      <c r="E4772" t="str">
        <f t="shared" si="1872"/>
        <v>CA</v>
      </c>
      <c r="F4772" t="str">
        <f t="shared" si="1868"/>
        <v>930434300</v>
      </c>
      <c r="G4772" t="str">
        <f>T("1100 23RD AVE")</f>
        <v>1100 23RD AVE</v>
      </c>
      <c r="H4772" t="str">
        <f>T("BLDG 1000")</f>
        <v>BLDG 1000</v>
      </c>
      <c r="I4772" t="str">
        <f t="shared" si="1873"/>
        <v>PORT HUENEME</v>
      </c>
      <c r="J4772" t="str">
        <f t="shared" si="1874"/>
        <v>CA</v>
      </c>
      <c r="K4772" t="str">
        <f>T("000000000000000000")</f>
        <v>000000000000000000</v>
      </c>
      <c r="L4772" t="str">
        <f>T("8059822902")</f>
        <v>8059822902</v>
      </c>
    </row>
    <row r="4773" spans="1:12" x14ac:dyDescent="0.35">
      <c r="A4773" t="str">
        <f t="shared" si="1869"/>
        <v>NAVFAC EXWC HL5</v>
      </c>
      <c r="B4773" t="str">
        <f t="shared" si="1870"/>
        <v>1000 23RD AVENUE</v>
      </c>
      <c r="C4773" t="str">
        <f>T("CODE EX 300")</f>
        <v>CODE EX 300</v>
      </c>
      <c r="D4773" t="str">
        <f t="shared" si="1871"/>
        <v>PORT HUENEME</v>
      </c>
      <c r="E4773" t="str">
        <f t="shared" si="1872"/>
        <v>CA</v>
      </c>
      <c r="F4773" t="str">
        <f t="shared" si="1868"/>
        <v>930434300</v>
      </c>
      <c r="G4773" t="str">
        <f>T("1100 23RD AVE BLDG 1100")</f>
        <v>1100 23RD AVE BLDG 1100</v>
      </c>
      <c r="H4773" t="str">
        <f>T("")</f>
        <v/>
      </c>
      <c r="I4773" t="str">
        <f t="shared" si="1873"/>
        <v>PORT HUENEME</v>
      </c>
      <c r="J4773" t="str">
        <f t="shared" si="1874"/>
        <v>CA</v>
      </c>
      <c r="K4773" t="str">
        <f>T("000000000000000000")</f>
        <v>000000000000000000</v>
      </c>
      <c r="L4773" t="str">
        <f>T("8059821388")</f>
        <v>8059821388</v>
      </c>
    </row>
    <row r="4774" spans="1:12" x14ac:dyDescent="0.35">
      <c r="A4774" t="str">
        <f t="shared" si="1869"/>
        <v>NAVFAC EXWC HL5</v>
      </c>
      <c r="B4774" t="str">
        <f t="shared" si="1870"/>
        <v>1000 23RD AVENUE</v>
      </c>
      <c r="C4774" t="str">
        <f>T("CODE EX 300")</f>
        <v>CODE EX 300</v>
      </c>
      <c r="D4774" t="str">
        <f t="shared" si="1871"/>
        <v>PORT HUENEME</v>
      </c>
      <c r="E4774" t="str">
        <f t="shared" si="1872"/>
        <v>CA</v>
      </c>
      <c r="F4774" t="str">
        <f t="shared" si="1868"/>
        <v>930434300</v>
      </c>
      <c r="G4774" t="str">
        <f>T("1100 23RD AVENUE")</f>
        <v>1100 23RD AVENUE</v>
      </c>
      <c r="H4774" t="str">
        <f>T("BLDG 1100")</f>
        <v>BLDG 1100</v>
      </c>
      <c r="I4774" t="str">
        <f t="shared" si="1873"/>
        <v>PORT HUENEME</v>
      </c>
      <c r="J4774" t="str">
        <f t="shared" si="1874"/>
        <v>CA</v>
      </c>
      <c r="K4774" t="str">
        <f>T("000000000000000000")</f>
        <v>000000000000000000</v>
      </c>
      <c r="L4774" t="str">
        <f>T("8059826574")</f>
        <v>8059826574</v>
      </c>
    </row>
    <row r="4775" spans="1:12" x14ac:dyDescent="0.35">
      <c r="A4775" t="str">
        <f t="shared" si="1869"/>
        <v>NAVFAC EXWC HL5</v>
      </c>
      <c r="B4775" t="str">
        <f t="shared" si="1870"/>
        <v>1000 23RD AVENUE</v>
      </c>
      <c r="C4775" t="str">
        <f>T("EV11")</f>
        <v>EV11</v>
      </c>
      <c r="D4775" t="str">
        <f t="shared" si="1871"/>
        <v>PORT HUENEME</v>
      </c>
      <c r="E4775" t="str">
        <f t="shared" si="1872"/>
        <v>CA</v>
      </c>
      <c r="F4775" t="str">
        <f t="shared" si="1868"/>
        <v>930434300</v>
      </c>
      <c r="G4775" t="str">
        <f>T("1000 23RD AVENUE")</f>
        <v>1000 23RD AVENUE</v>
      </c>
      <c r="H4775" t="str">
        <f>T("EV11")</f>
        <v>EV11</v>
      </c>
      <c r="I4775" t="str">
        <f t="shared" si="1873"/>
        <v>PORT HUENEME</v>
      </c>
      <c r="J4775" t="str">
        <f t="shared" si="1874"/>
        <v>CA</v>
      </c>
      <c r="K4775" t="str">
        <f>T("")</f>
        <v/>
      </c>
      <c r="L4775" t="str">
        <f>T("8059821276")</f>
        <v>8059821276</v>
      </c>
    </row>
    <row r="4776" spans="1:12" x14ac:dyDescent="0.35">
      <c r="A4776" t="str">
        <f t="shared" si="1869"/>
        <v>NAVFAC EXWC HL5</v>
      </c>
      <c r="B4776" t="str">
        <f t="shared" si="1870"/>
        <v>1000 23RD AVENUE</v>
      </c>
      <c r="C4776" t="str">
        <f>T("EV11")</f>
        <v>EV11</v>
      </c>
      <c r="D4776" t="str">
        <f t="shared" si="1871"/>
        <v>PORT HUENEME</v>
      </c>
      <c r="E4776" t="str">
        <f t="shared" si="1872"/>
        <v>CA</v>
      </c>
      <c r="F4776" t="str">
        <f t="shared" si="1868"/>
        <v>930434300</v>
      </c>
      <c r="G4776" t="str">
        <f>T("1100 23RD AVE")</f>
        <v>1100 23RD AVE</v>
      </c>
      <c r="H4776" t="str">
        <f>T("")</f>
        <v/>
      </c>
      <c r="I4776" t="str">
        <f t="shared" si="1873"/>
        <v>PORT HUENEME</v>
      </c>
      <c r="J4776" t="str">
        <f t="shared" si="1874"/>
        <v>CA</v>
      </c>
      <c r="K4776" t="str">
        <f>T("000000000000000000")</f>
        <v>000000000000000000</v>
      </c>
      <c r="L4776" t="str">
        <f>T("8059822267")</f>
        <v>8059822267</v>
      </c>
    </row>
    <row r="4777" spans="1:12" x14ac:dyDescent="0.35">
      <c r="A4777" t="str">
        <f t="shared" si="1869"/>
        <v>NAVFAC EXWC HL5</v>
      </c>
      <c r="B4777" t="str">
        <f t="shared" si="1870"/>
        <v>1000 23RD AVENUE</v>
      </c>
      <c r="C4777" t="str">
        <f>T("EV11")</f>
        <v>EV11</v>
      </c>
      <c r="D4777" t="str">
        <f t="shared" si="1871"/>
        <v>PORT HUENEME</v>
      </c>
      <c r="E4777" t="str">
        <f t="shared" si="1872"/>
        <v>CA</v>
      </c>
      <c r="F4777" t="str">
        <f t="shared" si="1868"/>
        <v>930434300</v>
      </c>
      <c r="G4777" t="str">
        <f>T("1100 23RD AVE")</f>
        <v>1100 23RD AVE</v>
      </c>
      <c r="H4777" t="str">
        <f>T("")</f>
        <v/>
      </c>
      <c r="I4777" t="str">
        <f t="shared" si="1873"/>
        <v>PORT HUENEME</v>
      </c>
      <c r="J4777" t="str">
        <f t="shared" si="1874"/>
        <v>CA</v>
      </c>
      <c r="K4777" t="str">
        <f>T("000000000000000000")</f>
        <v>000000000000000000</v>
      </c>
      <c r="L4777" t="str">
        <f>T("8059824976")</f>
        <v>8059824976</v>
      </c>
    </row>
    <row r="4778" spans="1:12" x14ac:dyDescent="0.35">
      <c r="A4778" t="str">
        <f t="shared" si="1869"/>
        <v>NAVFAC EXWC HL5</v>
      </c>
      <c r="B4778" t="str">
        <f t="shared" si="1870"/>
        <v>1000 23RD AVENUE</v>
      </c>
      <c r="C4778" t="str">
        <f>T("EV11")</f>
        <v>EV11</v>
      </c>
      <c r="D4778" t="str">
        <f t="shared" si="1871"/>
        <v>PORT HUENEME</v>
      </c>
      <c r="E4778" t="str">
        <f t="shared" si="1872"/>
        <v>CA</v>
      </c>
      <c r="F4778" t="str">
        <f t="shared" si="1868"/>
        <v>930434300</v>
      </c>
      <c r="G4778" t="str">
        <f>T("1100 23RD AVE")</f>
        <v>1100 23RD AVE</v>
      </c>
      <c r="H4778" t="str">
        <f>T("EV12")</f>
        <v>EV12</v>
      </c>
      <c r="I4778" t="str">
        <f t="shared" si="1873"/>
        <v>PORT HUENEME</v>
      </c>
      <c r="J4778" t="str">
        <f t="shared" si="1874"/>
        <v>CA</v>
      </c>
      <c r="K4778" t="str">
        <f>T("000000000000000000")</f>
        <v>000000000000000000</v>
      </c>
      <c r="L4778" t="str">
        <f>T("8059825311")</f>
        <v>8059825311</v>
      </c>
    </row>
    <row r="4779" spans="1:12" x14ac:dyDescent="0.35">
      <c r="A4779" t="str">
        <f t="shared" si="1869"/>
        <v>NAVFAC EXWC HL5</v>
      </c>
      <c r="B4779" t="str">
        <f t="shared" si="1870"/>
        <v>1000 23RD AVENUE</v>
      </c>
      <c r="C4779" t="str">
        <f t="shared" ref="C4779:C4784" si="1875">T("EX205")</f>
        <v>EX205</v>
      </c>
      <c r="D4779" t="str">
        <f t="shared" si="1871"/>
        <v>PORT HUENEME</v>
      </c>
      <c r="E4779" t="str">
        <f t="shared" si="1872"/>
        <v>CA</v>
      </c>
      <c r="F4779" t="str">
        <f t="shared" si="1868"/>
        <v>930434300</v>
      </c>
      <c r="G4779" t="str">
        <f>T("1000 23RD AVE")</f>
        <v>1000 23RD AVE</v>
      </c>
      <c r="H4779" t="str">
        <f>T("CODE EX205")</f>
        <v>CODE EX205</v>
      </c>
      <c r="I4779" t="str">
        <f t="shared" si="1873"/>
        <v>PORT HUENEME</v>
      </c>
      <c r="J4779" t="str">
        <f t="shared" si="1874"/>
        <v>CA</v>
      </c>
      <c r="K4779" t="str">
        <f>T("000000000000000000")</f>
        <v>000000000000000000</v>
      </c>
      <c r="L4779" t="str">
        <f>T("8059823253")</f>
        <v>8059823253</v>
      </c>
    </row>
    <row r="4780" spans="1:12" x14ac:dyDescent="0.35">
      <c r="A4780" t="str">
        <f t="shared" si="1869"/>
        <v>NAVFAC EXWC HL5</v>
      </c>
      <c r="B4780" t="str">
        <f t="shared" si="1870"/>
        <v>1000 23RD AVENUE</v>
      </c>
      <c r="C4780" t="str">
        <f t="shared" si="1875"/>
        <v>EX205</v>
      </c>
      <c r="D4780" t="str">
        <f t="shared" si="1871"/>
        <v>PORT HUENEME</v>
      </c>
      <c r="E4780" t="str">
        <f t="shared" si="1872"/>
        <v>CA</v>
      </c>
      <c r="F4780" t="str">
        <f t="shared" si="1868"/>
        <v>930434300</v>
      </c>
      <c r="G4780" t="str">
        <f>T("1000 23RD AVE")</f>
        <v>1000 23RD AVE</v>
      </c>
      <c r="H4780" t="str">
        <f>T("EX412")</f>
        <v>EX412</v>
      </c>
      <c r="I4780" t="str">
        <f t="shared" si="1873"/>
        <v>PORT HUENEME</v>
      </c>
      <c r="J4780" t="str">
        <f t="shared" si="1874"/>
        <v>CA</v>
      </c>
      <c r="K4780" t="str">
        <f>T("000000000000000000")</f>
        <v>000000000000000000</v>
      </c>
      <c r="L4780" t="str">
        <f>T("8059826015")</f>
        <v>8059826015</v>
      </c>
    </row>
    <row r="4781" spans="1:12" x14ac:dyDescent="0.35">
      <c r="A4781" t="str">
        <f t="shared" si="1869"/>
        <v>NAVFAC EXWC HL5</v>
      </c>
      <c r="B4781" t="str">
        <f t="shared" si="1870"/>
        <v>1000 23RD AVENUE</v>
      </c>
      <c r="C4781" t="str">
        <f t="shared" si="1875"/>
        <v>EX205</v>
      </c>
      <c r="D4781" t="str">
        <f t="shared" si="1871"/>
        <v>PORT HUENEME</v>
      </c>
      <c r="E4781" t="str">
        <f t="shared" si="1872"/>
        <v>CA</v>
      </c>
      <c r="F4781" t="str">
        <f t="shared" si="1868"/>
        <v>930434300</v>
      </c>
      <c r="G4781" t="str">
        <f>T("1000 23RD AVENUE")</f>
        <v>1000 23RD AVENUE</v>
      </c>
      <c r="H4781" t="str">
        <f>T("EX205")</f>
        <v>EX205</v>
      </c>
      <c r="I4781" t="str">
        <f t="shared" si="1873"/>
        <v>PORT HUENEME</v>
      </c>
      <c r="J4781" t="str">
        <f t="shared" si="1874"/>
        <v>CA</v>
      </c>
      <c r="K4781" t="str">
        <f>T("")</f>
        <v/>
      </c>
      <c r="L4781" t="str">
        <f>T("8059821445")</f>
        <v>8059821445</v>
      </c>
    </row>
    <row r="4782" spans="1:12" x14ac:dyDescent="0.35">
      <c r="A4782" t="str">
        <f t="shared" si="1869"/>
        <v>NAVFAC EXWC HL5</v>
      </c>
      <c r="B4782" t="str">
        <f t="shared" si="1870"/>
        <v>1000 23RD AVENUE</v>
      </c>
      <c r="C4782" t="str">
        <f t="shared" si="1875"/>
        <v>EX205</v>
      </c>
      <c r="D4782" t="str">
        <f t="shared" si="1871"/>
        <v>PORT HUENEME</v>
      </c>
      <c r="E4782" t="str">
        <f t="shared" si="1872"/>
        <v>CA</v>
      </c>
      <c r="F4782" t="str">
        <f t="shared" si="1868"/>
        <v>930434300</v>
      </c>
      <c r="G4782" t="str">
        <f>T("1100 S 23RD AVE")</f>
        <v>1100 S 23RD AVE</v>
      </c>
      <c r="H4782" t="str">
        <f>T("BLDG 1100")</f>
        <v>BLDG 1100</v>
      </c>
      <c r="I4782" t="str">
        <f t="shared" si="1873"/>
        <v>PORT HUENEME</v>
      </c>
      <c r="J4782" t="str">
        <f t="shared" si="1874"/>
        <v>CA</v>
      </c>
      <c r="K4782" t="str">
        <f t="shared" ref="K4782:K4787" si="1876">T("000000000000000000")</f>
        <v>000000000000000000</v>
      </c>
      <c r="L4782" t="str">
        <f>T("8059826015")</f>
        <v>8059826015</v>
      </c>
    </row>
    <row r="4783" spans="1:12" x14ac:dyDescent="0.35">
      <c r="A4783" t="str">
        <f t="shared" si="1869"/>
        <v>NAVFAC EXWC HL5</v>
      </c>
      <c r="B4783" t="str">
        <f t="shared" si="1870"/>
        <v>1000 23RD AVENUE</v>
      </c>
      <c r="C4783" t="str">
        <f t="shared" si="1875"/>
        <v>EX205</v>
      </c>
      <c r="D4783" t="str">
        <f t="shared" si="1871"/>
        <v>PORT HUENEME</v>
      </c>
      <c r="E4783" t="str">
        <f t="shared" si="1872"/>
        <v>CA</v>
      </c>
      <c r="F4783" t="str">
        <f t="shared" si="1868"/>
        <v>930434300</v>
      </c>
      <c r="G4783" t="str">
        <f>T("NAVFAC EXWC")</f>
        <v>NAVFAC EXWC</v>
      </c>
      <c r="H4783" t="str">
        <f>T("1000 23RD AVE BLDG 1360 MUSE PW63")</f>
        <v>1000 23RD AVE BLDG 1360 MUSE PW63</v>
      </c>
      <c r="I4783" t="str">
        <f t="shared" si="1873"/>
        <v>PORT HUENEME</v>
      </c>
      <c r="J4783" t="str">
        <f t="shared" si="1874"/>
        <v>CA</v>
      </c>
      <c r="K4783" t="str">
        <f t="shared" si="1876"/>
        <v>000000000000000000</v>
      </c>
      <c r="L4783" t="str">
        <f>T("8059821820")</f>
        <v>8059821820</v>
      </c>
    </row>
    <row r="4784" spans="1:12" x14ac:dyDescent="0.35">
      <c r="A4784" t="str">
        <f t="shared" si="1869"/>
        <v>NAVFAC EXWC HL5</v>
      </c>
      <c r="B4784" t="str">
        <f t="shared" si="1870"/>
        <v>1000 23RD AVENUE</v>
      </c>
      <c r="C4784" t="str">
        <f t="shared" si="1875"/>
        <v>EX205</v>
      </c>
      <c r="D4784" t="str">
        <f t="shared" si="1871"/>
        <v>PORT HUENEME</v>
      </c>
      <c r="E4784" t="str">
        <f t="shared" si="1872"/>
        <v>CA</v>
      </c>
      <c r="F4784" t="str">
        <f t="shared" si="1868"/>
        <v>930434300</v>
      </c>
      <c r="G4784" t="str">
        <f>T("NAVFAC EXWC")</f>
        <v>NAVFAC EXWC</v>
      </c>
      <c r="H4784" t="str">
        <f>T("1000 23RD AVE BLDG 1360 MUSE PW63")</f>
        <v>1000 23RD AVE BLDG 1360 MUSE PW63</v>
      </c>
      <c r="I4784" t="str">
        <f t="shared" si="1873"/>
        <v>PORT HUENEME</v>
      </c>
      <c r="J4784" t="str">
        <f t="shared" si="1874"/>
        <v>CA</v>
      </c>
      <c r="K4784" t="str">
        <f t="shared" si="1876"/>
        <v>000000000000000000</v>
      </c>
      <c r="L4784" t="str">
        <f>T("8059823451")</f>
        <v>8059823451</v>
      </c>
    </row>
    <row r="4785" spans="1:12" x14ac:dyDescent="0.35">
      <c r="A4785" t="str">
        <f t="shared" si="1869"/>
        <v>NAVFAC EXWC HL5</v>
      </c>
      <c r="B4785" t="str">
        <f t="shared" si="1870"/>
        <v>1000 23RD AVENUE</v>
      </c>
      <c r="C4785" t="str">
        <f>T("NITC CODE IT09 BLDG. 2")</f>
        <v>NITC CODE IT09 BLDG. 2</v>
      </c>
      <c r="D4785" t="str">
        <f t="shared" si="1871"/>
        <v>PORT HUENEME</v>
      </c>
      <c r="E4785" t="str">
        <f t="shared" si="1872"/>
        <v>CA</v>
      </c>
      <c r="F4785" t="str">
        <f>T("930430001")</f>
        <v>930430001</v>
      </c>
      <c r="G4785" t="str">
        <f>T("1000 23RD AVENUE")</f>
        <v>1000 23RD AVENUE</v>
      </c>
      <c r="H4785" t="str">
        <f>T("NITC CODE IT09 BLDG. 2")</f>
        <v>NITC CODE IT09 BLDG. 2</v>
      </c>
      <c r="I4785" t="str">
        <f t="shared" si="1873"/>
        <v>PORT HUENEME</v>
      </c>
      <c r="J4785" t="str">
        <f t="shared" si="1874"/>
        <v>CA</v>
      </c>
      <c r="K4785" t="str">
        <f t="shared" si="1876"/>
        <v>000000000000000000</v>
      </c>
      <c r="L4785" t="str">
        <f>T("8059823951")</f>
        <v>8059823951</v>
      </c>
    </row>
    <row r="4786" spans="1:12" x14ac:dyDescent="0.35">
      <c r="A4786" t="str">
        <f t="shared" si="1869"/>
        <v>NAVFAC EXWC HL5</v>
      </c>
      <c r="B4786" t="str">
        <f t="shared" si="1870"/>
        <v>1000 23RD AVENUE</v>
      </c>
      <c r="C4786" t="str">
        <f>T("NITC CODE IT09 BLDG. 2")</f>
        <v>NITC CODE IT09 BLDG. 2</v>
      </c>
      <c r="D4786" t="str">
        <f t="shared" si="1871"/>
        <v>PORT HUENEME</v>
      </c>
      <c r="E4786" t="str">
        <f t="shared" si="1872"/>
        <v>CA</v>
      </c>
      <c r="F4786" t="str">
        <f>T("930430001")</f>
        <v>930430001</v>
      </c>
      <c r="G4786" t="str">
        <f>T("NAVFAC EXWC 1000 23RD AVE")</f>
        <v>NAVFAC EXWC 1000 23RD AVE</v>
      </c>
      <c r="H4786" t="str">
        <f>T("BLDG 2 CIOTR")</f>
        <v>BLDG 2 CIOTR</v>
      </c>
      <c r="I4786" t="str">
        <f t="shared" si="1873"/>
        <v>PORT HUENEME</v>
      </c>
      <c r="J4786" t="str">
        <f t="shared" si="1874"/>
        <v>CA</v>
      </c>
      <c r="K4786" t="str">
        <f t="shared" si="1876"/>
        <v>000000000000000000</v>
      </c>
      <c r="L4786" t="str">
        <f>T("8059822079")</f>
        <v>8059822079</v>
      </c>
    </row>
    <row r="4787" spans="1:12" x14ac:dyDescent="0.35">
      <c r="A4787" t="str">
        <f t="shared" si="1869"/>
        <v>NAVFAC EXWC HL5</v>
      </c>
      <c r="B4787" t="str">
        <f t="shared" si="1870"/>
        <v>1000 23RD AVENUE</v>
      </c>
      <c r="C4787" t="str">
        <f>T("NITC CODE IT09 BLDG. 2")</f>
        <v>NITC CODE IT09 BLDG. 2</v>
      </c>
      <c r="D4787" t="str">
        <f t="shared" si="1871"/>
        <v>PORT HUENEME</v>
      </c>
      <c r="E4787" t="str">
        <f t="shared" si="1872"/>
        <v>CA</v>
      </c>
      <c r="F4787" t="str">
        <f>T("930430001")</f>
        <v>930430001</v>
      </c>
      <c r="G4787" t="str">
        <f>T("NAVFAC EXWC 1000 23RD AVENUE")</f>
        <v>NAVFAC EXWC 1000 23RD AVENUE</v>
      </c>
      <c r="H4787" t="str">
        <f>T("BLDG 2 CIOTR ELLEN CRONKRITE")</f>
        <v>BLDG 2 CIOTR ELLEN CRONKRITE</v>
      </c>
      <c r="I4787" t="str">
        <f t="shared" si="1873"/>
        <v>PORT HUENEME</v>
      </c>
      <c r="J4787" t="str">
        <f t="shared" si="1874"/>
        <v>CA</v>
      </c>
      <c r="K4787" t="str">
        <f t="shared" si="1876"/>
        <v>000000000000000000</v>
      </c>
      <c r="L4787" t="str">
        <f>T("8059824391")</f>
        <v>8059824391</v>
      </c>
    </row>
    <row r="4788" spans="1:12" x14ac:dyDescent="0.35">
      <c r="A4788" t="str">
        <f t="shared" si="1869"/>
        <v>NAVFAC EXWC HL5</v>
      </c>
      <c r="B4788" t="str">
        <f t="shared" si="1870"/>
        <v>1000 23RD AVENUE</v>
      </c>
      <c r="C4788" t="str">
        <f t="shared" ref="C4788:C4793" si="1877">T("PW61")</f>
        <v>PW61</v>
      </c>
      <c r="D4788" t="str">
        <f t="shared" si="1871"/>
        <v>PORT HUENEME</v>
      </c>
      <c r="E4788" t="str">
        <f t="shared" si="1872"/>
        <v>CA</v>
      </c>
      <c r="F4788" t="str">
        <f t="shared" ref="F4788:F4793" si="1878">T("930434300")</f>
        <v>930434300</v>
      </c>
      <c r="G4788" t="str">
        <f>T("1000 23RD AVENUE")</f>
        <v>1000 23RD AVENUE</v>
      </c>
      <c r="H4788" t="str">
        <f>T("PW61")</f>
        <v>PW61</v>
      </c>
      <c r="I4788" t="str">
        <f t="shared" si="1873"/>
        <v>PORT HUENEME</v>
      </c>
      <c r="J4788" t="str">
        <f t="shared" si="1874"/>
        <v>CA</v>
      </c>
      <c r="K4788" t="str">
        <f>T("")</f>
        <v/>
      </c>
      <c r="L4788" t="str">
        <f>T("8059823540")</f>
        <v>8059823540</v>
      </c>
    </row>
    <row r="4789" spans="1:12" x14ac:dyDescent="0.35">
      <c r="A4789" t="str">
        <f t="shared" si="1869"/>
        <v>NAVFAC EXWC HL5</v>
      </c>
      <c r="B4789" t="str">
        <f t="shared" si="1870"/>
        <v>1000 23RD AVENUE</v>
      </c>
      <c r="C4789" t="str">
        <f t="shared" si="1877"/>
        <v>PW61</v>
      </c>
      <c r="D4789" t="str">
        <f t="shared" si="1871"/>
        <v>PORT HUENEME</v>
      </c>
      <c r="E4789" t="str">
        <f t="shared" si="1872"/>
        <v>CA</v>
      </c>
      <c r="F4789" t="str">
        <f t="shared" si="1878"/>
        <v>930434300</v>
      </c>
      <c r="G4789" t="str">
        <f>T("1000 23RD AVENUE")</f>
        <v>1000 23RD AVENUE</v>
      </c>
      <c r="H4789" t="str">
        <f>T("PW61")</f>
        <v>PW61</v>
      </c>
      <c r="I4789" t="str">
        <f t="shared" si="1873"/>
        <v>PORT HUENEME</v>
      </c>
      <c r="J4789" t="str">
        <f t="shared" si="1874"/>
        <v>CA</v>
      </c>
      <c r="K4789" t="str">
        <f>T("")</f>
        <v/>
      </c>
      <c r="L4789" t="str">
        <f>T("8059823549")</f>
        <v>8059823549</v>
      </c>
    </row>
    <row r="4790" spans="1:12" x14ac:dyDescent="0.35">
      <c r="A4790" t="str">
        <f t="shared" si="1869"/>
        <v>NAVFAC EXWC HL5</v>
      </c>
      <c r="B4790" t="str">
        <f t="shared" si="1870"/>
        <v>1000 23RD AVENUE</v>
      </c>
      <c r="C4790" t="str">
        <f t="shared" si="1877"/>
        <v>PW61</v>
      </c>
      <c r="D4790" t="str">
        <f t="shared" si="1871"/>
        <v>PORT HUENEME</v>
      </c>
      <c r="E4790" t="str">
        <f t="shared" si="1872"/>
        <v>CA</v>
      </c>
      <c r="F4790" t="str">
        <f t="shared" si="1878"/>
        <v>930434300</v>
      </c>
      <c r="G4790" t="str">
        <f>T("1100 23RD AVE")</f>
        <v>1100 23RD AVE</v>
      </c>
      <c r="H4790" t="str">
        <f>T("PW51")</f>
        <v>PW51</v>
      </c>
      <c r="I4790" t="str">
        <f t="shared" si="1873"/>
        <v>PORT HUENEME</v>
      </c>
      <c r="J4790" t="str">
        <f t="shared" si="1874"/>
        <v>CA</v>
      </c>
      <c r="K4790" t="str">
        <f t="shared" ref="K4790:K4795" si="1879">T("000000000000000000")</f>
        <v>000000000000000000</v>
      </c>
      <c r="L4790" t="str">
        <f>T("8059823725")</f>
        <v>8059823725</v>
      </c>
    </row>
    <row r="4791" spans="1:12" x14ac:dyDescent="0.35">
      <c r="A4791" t="str">
        <f t="shared" si="1869"/>
        <v>NAVFAC EXWC HL5</v>
      </c>
      <c r="B4791" t="str">
        <f t="shared" si="1870"/>
        <v>1000 23RD AVENUE</v>
      </c>
      <c r="C4791" t="str">
        <f t="shared" si="1877"/>
        <v>PW61</v>
      </c>
      <c r="D4791" t="str">
        <f t="shared" si="1871"/>
        <v>PORT HUENEME</v>
      </c>
      <c r="E4791" t="str">
        <f t="shared" si="1872"/>
        <v>CA</v>
      </c>
      <c r="F4791" t="str">
        <f t="shared" si="1878"/>
        <v>930434300</v>
      </c>
      <c r="G4791" t="str">
        <f>T("1100 23RD AVE BLDG 1100")</f>
        <v>1100 23RD AVE BLDG 1100</v>
      </c>
      <c r="H4791" t="str">
        <f>T("")</f>
        <v/>
      </c>
      <c r="I4791" t="str">
        <f t="shared" si="1873"/>
        <v>PORT HUENEME</v>
      </c>
      <c r="J4791" t="str">
        <f t="shared" si="1874"/>
        <v>CA</v>
      </c>
      <c r="K4791" t="str">
        <f t="shared" si="1879"/>
        <v>000000000000000000</v>
      </c>
      <c r="L4791" t="str">
        <f>T("8059823684")</f>
        <v>8059823684</v>
      </c>
    </row>
    <row r="4792" spans="1:12" x14ac:dyDescent="0.35">
      <c r="A4792" t="str">
        <f t="shared" si="1869"/>
        <v>NAVFAC EXWC HL5</v>
      </c>
      <c r="B4792" t="str">
        <f t="shared" si="1870"/>
        <v>1000 23RD AVENUE</v>
      </c>
      <c r="C4792" t="str">
        <f t="shared" si="1877"/>
        <v>PW61</v>
      </c>
      <c r="D4792" t="str">
        <f t="shared" si="1871"/>
        <v>PORT HUENEME</v>
      </c>
      <c r="E4792" t="str">
        <f t="shared" si="1872"/>
        <v>CA</v>
      </c>
      <c r="F4792" t="str">
        <f t="shared" si="1878"/>
        <v>930434300</v>
      </c>
      <c r="G4792" t="str">
        <f>T("1100 23RD AVE BLDG 1100")</f>
        <v>1100 23RD AVE BLDG 1100</v>
      </c>
      <c r="H4792" t="str">
        <f>T("")</f>
        <v/>
      </c>
      <c r="I4792" t="str">
        <f t="shared" si="1873"/>
        <v>PORT HUENEME</v>
      </c>
      <c r="J4792" t="str">
        <f t="shared" si="1874"/>
        <v>CA</v>
      </c>
      <c r="K4792" t="str">
        <f t="shared" si="1879"/>
        <v>000000000000000000</v>
      </c>
      <c r="L4792" t="str">
        <f>T("8059824889")</f>
        <v>8059824889</v>
      </c>
    </row>
    <row r="4793" spans="1:12" x14ac:dyDescent="0.35">
      <c r="A4793" t="str">
        <f t="shared" si="1869"/>
        <v>NAVFAC EXWC HL5</v>
      </c>
      <c r="B4793" t="str">
        <f t="shared" si="1870"/>
        <v>1000 23RD AVENUE</v>
      </c>
      <c r="C4793" t="str">
        <f t="shared" si="1877"/>
        <v>PW61</v>
      </c>
      <c r="D4793" t="str">
        <f t="shared" si="1871"/>
        <v>PORT HUENEME</v>
      </c>
      <c r="E4793" t="str">
        <f t="shared" si="1872"/>
        <v>CA</v>
      </c>
      <c r="F4793" t="str">
        <f t="shared" si="1878"/>
        <v>930434300</v>
      </c>
      <c r="G4793" t="str">
        <f>T("NAVFAC EXWC")</f>
        <v>NAVFAC EXWC</v>
      </c>
      <c r="H4793" t="str">
        <f>T("1000 23RD AVENUE BLDG 1100 PW61")</f>
        <v>1000 23RD AVENUE BLDG 1100 PW61</v>
      </c>
      <c r="I4793" t="str">
        <f t="shared" si="1873"/>
        <v>PORT HUENEME</v>
      </c>
      <c r="J4793" t="str">
        <f t="shared" si="1874"/>
        <v>CA</v>
      </c>
      <c r="K4793" t="str">
        <f t="shared" si="1879"/>
        <v>000000000000000000</v>
      </c>
      <c r="L4793" t="str">
        <f>T("8059821526")</f>
        <v>8059821526</v>
      </c>
    </row>
    <row r="4794" spans="1:12" x14ac:dyDescent="0.35">
      <c r="A4794" t="str">
        <f t="shared" si="1869"/>
        <v>NAVFAC EXWC HL5</v>
      </c>
      <c r="B4794" t="str">
        <f>T("1100 23RD AVENUE BLDG 1100")</f>
        <v>1100 23RD AVENUE BLDG 1100</v>
      </c>
      <c r="C4794" t="str">
        <f>T("EX412")</f>
        <v>EX412</v>
      </c>
      <c r="D4794" t="str">
        <f t="shared" si="1871"/>
        <v>PORT HUENEME</v>
      </c>
      <c r="E4794" t="str">
        <f t="shared" si="1872"/>
        <v>CA</v>
      </c>
      <c r="F4794" t="str">
        <f>T("930434333")</f>
        <v>930434333</v>
      </c>
      <c r="G4794" t="str">
        <f>T("1100 23RD AVE")</f>
        <v>1100 23RD AVE</v>
      </c>
      <c r="H4794" t="str">
        <f>T("BLDG 1100")</f>
        <v>BLDG 1100</v>
      </c>
      <c r="I4794" t="str">
        <f t="shared" si="1873"/>
        <v>PORT HUENEME</v>
      </c>
      <c r="J4794" t="str">
        <f t="shared" si="1874"/>
        <v>CA</v>
      </c>
      <c r="K4794" t="str">
        <f t="shared" si="1879"/>
        <v>000000000000000000</v>
      </c>
      <c r="L4794" t="str">
        <f>T("8059826015")</f>
        <v>8059826015</v>
      </c>
    </row>
    <row r="4795" spans="1:12" x14ac:dyDescent="0.35">
      <c r="A4795" t="str">
        <f t="shared" si="1869"/>
        <v>NAVFAC EXWC HL5</v>
      </c>
      <c r="B4795" t="str">
        <f>T("1100 23RD AVENUE BLDG 1100")</f>
        <v>1100 23RD AVENUE BLDG 1100</v>
      </c>
      <c r="C4795" t="str">
        <f>T("EX412")</f>
        <v>EX412</v>
      </c>
      <c r="D4795" t="str">
        <f t="shared" si="1871"/>
        <v>PORT HUENEME</v>
      </c>
      <c r="E4795" t="str">
        <f t="shared" si="1872"/>
        <v>CA</v>
      </c>
      <c r="F4795" t="str">
        <f>T("930434333")</f>
        <v>930434333</v>
      </c>
      <c r="G4795" t="str">
        <f>T("1100 23RD AVENUE BLDG 1100")</f>
        <v>1100 23RD AVENUE BLDG 1100</v>
      </c>
      <c r="H4795" t="str">
        <f>T("")</f>
        <v/>
      </c>
      <c r="I4795" t="str">
        <f t="shared" si="1873"/>
        <v>PORT HUENEME</v>
      </c>
      <c r="J4795" t="str">
        <f t="shared" si="1874"/>
        <v>CA</v>
      </c>
      <c r="K4795" t="str">
        <f t="shared" si="1879"/>
        <v>000000000000000000</v>
      </c>
      <c r="L4795" t="str">
        <f>T("8059824804")</f>
        <v>8059824804</v>
      </c>
    </row>
    <row r="4796" spans="1:12" x14ac:dyDescent="0.35">
      <c r="A4796" t="str">
        <f t="shared" si="1869"/>
        <v>NAVFAC EXWC HL5</v>
      </c>
      <c r="B4796" t="str">
        <f>T("1100 23RD AVENUE BLDG 1100")</f>
        <v>1100 23RD AVENUE BLDG 1100</v>
      </c>
      <c r="C4796" t="str">
        <f>T("EX412")</f>
        <v>EX412</v>
      </c>
      <c r="D4796" t="str">
        <f t="shared" si="1871"/>
        <v>PORT HUENEME</v>
      </c>
      <c r="E4796" t="str">
        <f t="shared" si="1872"/>
        <v>CA</v>
      </c>
      <c r="F4796" t="str">
        <f>T("930434333")</f>
        <v>930434333</v>
      </c>
      <c r="G4796" t="str">
        <f>T("1100 23RD AVENUE BLDG 1100")</f>
        <v>1100 23RD AVENUE BLDG 1100</v>
      </c>
      <c r="H4796" t="str">
        <f>T("EX412")</f>
        <v>EX412</v>
      </c>
      <c r="I4796" t="str">
        <f t="shared" si="1873"/>
        <v>PORT HUENEME</v>
      </c>
      <c r="J4796" t="str">
        <f t="shared" si="1874"/>
        <v>CA</v>
      </c>
      <c r="K4796" t="str">
        <f>T("")</f>
        <v/>
      </c>
      <c r="L4796" t="str">
        <f>T("8059821445")</f>
        <v>8059821445</v>
      </c>
    </row>
    <row r="4797" spans="1:12" x14ac:dyDescent="0.35">
      <c r="A4797" t="str">
        <f t="shared" si="1869"/>
        <v>NAVFAC EXWC HL5</v>
      </c>
      <c r="B4797" t="str">
        <f>T("429 EAST BOWEN ROAD")</f>
        <v>429 EAST BOWEN ROAD</v>
      </c>
      <c r="C4797" t="str">
        <f>T("STOP 4011 CODE PW68")</f>
        <v>STOP 4011 CODE PW68</v>
      </c>
      <c r="D4797" t="str">
        <f>T("RIDGECREST")</f>
        <v>RIDGECREST</v>
      </c>
      <c r="E4797" t="str">
        <f t="shared" si="1872"/>
        <v>CA</v>
      </c>
      <c r="F4797" t="str">
        <f>T("935556108")</f>
        <v>935556108</v>
      </c>
      <c r="G4797" t="str">
        <f>T("429 E BOWN RD STOP 4011")</f>
        <v>429 E BOWN RD STOP 4011</v>
      </c>
      <c r="H4797" t="str">
        <f>T("")</f>
        <v/>
      </c>
      <c r="I4797" t="str">
        <f>T("CHINA LAKE")</f>
        <v>CHINA LAKE</v>
      </c>
      <c r="J4797" t="str">
        <f t="shared" si="1874"/>
        <v>CA</v>
      </c>
      <c r="K4797" t="str">
        <f>T("000000000000000000")</f>
        <v>000000000000000000</v>
      </c>
      <c r="L4797" t="str">
        <f>T("7603931633")</f>
        <v>7603931633</v>
      </c>
    </row>
    <row r="4798" spans="1:12" x14ac:dyDescent="0.35">
      <c r="A4798" t="str">
        <f t="shared" si="1869"/>
        <v>NAVFAC EXWC HL5</v>
      </c>
      <c r="B4798" t="str">
        <f>T("429 EAST BOWEN ROAD")</f>
        <v>429 EAST BOWEN ROAD</v>
      </c>
      <c r="C4798" t="str">
        <f>T("STOP 4011 CODE PW68")</f>
        <v>STOP 4011 CODE PW68</v>
      </c>
      <c r="D4798" t="str">
        <f>T("RIDGECREST")</f>
        <v>RIDGECREST</v>
      </c>
      <c r="E4798" t="str">
        <f t="shared" si="1872"/>
        <v>CA</v>
      </c>
      <c r="F4798" t="str">
        <f>T("935556108")</f>
        <v>935556108</v>
      </c>
      <c r="G4798" t="str">
        <f>T("429 EAST BOWEN ROAD")</f>
        <v>429 EAST BOWEN ROAD</v>
      </c>
      <c r="H4798" t="str">
        <f>T("STOP 4011 CODE PW68")</f>
        <v>STOP 4011 CODE PW68</v>
      </c>
      <c r="I4798" t="str">
        <f>T("RIDGECREST")</f>
        <v>RIDGECREST</v>
      </c>
      <c r="J4798" t="str">
        <f t="shared" si="1874"/>
        <v>CA</v>
      </c>
      <c r="K4798" t="str">
        <f>T("")</f>
        <v/>
      </c>
      <c r="L4798" t="str">
        <f>T("7606087031")</f>
        <v>7606087031</v>
      </c>
    </row>
    <row r="4799" spans="1:12" x14ac:dyDescent="0.35">
      <c r="A4799" t="str">
        <f t="shared" si="1869"/>
        <v>NAVFAC EXWC HL5</v>
      </c>
      <c r="B4799" t="str">
        <f>T("720 KENNON STREET")</f>
        <v>720 KENNON STREET</v>
      </c>
      <c r="C4799" t="str">
        <f>T("SUITE 333")</f>
        <v>SUITE 333</v>
      </c>
      <c r="D4799" t="str">
        <f>T("WASHINGTON")</f>
        <v>WASHINGTON</v>
      </c>
      <c r="E4799" t="str">
        <f>T("DC")</f>
        <v>DC</v>
      </c>
      <c r="F4799" t="str">
        <f>T("203745106")</f>
        <v>203745106</v>
      </c>
      <c r="G4799" t="str">
        <f>T("1100 23RD AVE")</f>
        <v>1100 23RD AVE</v>
      </c>
      <c r="H4799" t="str">
        <f>T("")</f>
        <v/>
      </c>
      <c r="I4799" t="str">
        <f>T("PORT HUENEME")</f>
        <v>PORT HUENEME</v>
      </c>
      <c r="J4799" t="str">
        <f t="shared" si="1874"/>
        <v>CA</v>
      </c>
      <c r="K4799" t="str">
        <f t="shared" ref="K4799:K4806" si="1880">T("000000000000000000")</f>
        <v>000000000000000000</v>
      </c>
      <c r="L4799" t="str">
        <f>T("7574856404")</f>
        <v>7574856404</v>
      </c>
    </row>
    <row r="4800" spans="1:12" x14ac:dyDescent="0.35">
      <c r="A4800" t="str">
        <f t="shared" si="1869"/>
        <v>NAVFAC EXWC HL5</v>
      </c>
      <c r="B4800" t="str">
        <f>T("720 KENNON STREET")</f>
        <v>720 KENNON STREET</v>
      </c>
      <c r="C4800" t="str">
        <f>T("SUITE 333")</f>
        <v>SUITE 333</v>
      </c>
      <c r="D4800" t="str">
        <f>T("WASHINGTON")</f>
        <v>WASHINGTON</v>
      </c>
      <c r="E4800" t="str">
        <f>T("DC")</f>
        <v>DC</v>
      </c>
      <c r="F4800" t="str">
        <f>T("203745106")</f>
        <v>203745106</v>
      </c>
      <c r="G4800" t="str">
        <f>T("720 KENNON ST SE")</f>
        <v>720 KENNON ST SE</v>
      </c>
      <c r="H4800" t="str">
        <f>T("STE 333")</f>
        <v>STE 333</v>
      </c>
      <c r="I4800" t="str">
        <f>T("WASHINGTON NAVY YARD")</f>
        <v>WASHINGTON NAVY YARD</v>
      </c>
      <c r="J4800" t="str">
        <f>T("DC")</f>
        <v>DC</v>
      </c>
      <c r="K4800" t="str">
        <f t="shared" si="1880"/>
        <v>000000000000000000</v>
      </c>
      <c r="L4800" t="str">
        <f>T("2024335085")</f>
        <v>2024335085</v>
      </c>
    </row>
    <row r="4801" spans="1:12" x14ac:dyDescent="0.35">
      <c r="A4801" t="str">
        <f t="shared" ref="A4801:A4807" si="1881">T("NAVFAC EXWC HL5")</f>
        <v>NAVFAC EXWC HL5</v>
      </c>
      <c r="B4801" t="str">
        <f>T("720 KENNON STREET")</f>
        <v>720 KENNON STREET</v>
      </c>
      <c r="C4801" t="str">
        <f>T("SUITE 333")</f>
        <v>SUITE 333</v>
      </c>
      <c r="D4801" t="str">
        <f>T("WASHINGTON")</f>
        <v>WASHINGTON</v>
      </c>
      <c r="E4801" t="str">
        <f>T("DC")</f>
        <v>DC</v>
      </c>
      <c r="F4801" t="str">
        <f>T("203745106")</f>
        <v>203745106</v>
      </c>
      <c r="G4801" t="str">
        <f>T("720 KENNON ST SE")</f>
        <v>720 KENNON ST SE</v>
      </c>
      <c r="H4801" t="str">
        <f>T("STE 333")</f>
        <v>STE 333</v>
      </c>
      <c r="I4801" t="str">
        <f>T("WASHINGTON NAVY YARD")</f>
        <v>WASHINGTON NAVY YARD</v>
      </c>
      <c r="J4801" t="str">
        <f>T("DC")</f>
        <v>DC</v>
      </c>
      <c r="K4801" t="str">
        <f t="shared" si="1880"/>
        <v>000000000000000000</v>
      </c>
      <c r="L4801" t="str">
        <f>T("2024335181")</f>
        <v>2024335181</v>
      </c>
    </row>
    <row r="4802" spans="1:12" x14ac:dyDescent="0.35">
      <c r="A4802" t="str">
        <f t="shared" si="1881"/>
        <v>NAVFAC EXWC HL5</v>
      </c>
      <c r="B4802" t="str">
        <f>T("720 KENNON STREET")</f>
        <v>720 KENNON STREET</v>
      </c>
      <c r="C4802" t="str">
        <f>T("SUITE 333")</f>
        <v>SUITE 333</v>
      </c>
      <c r="D4802" t="str">
        <f>T("WASHINGTON")</f>
        <v>WASHINGTON</v>
      </c>
      <c r="E4802" t="str">
        <f>T("DC")</f>
        <v>DC</v>
      </c>
      <c r="F4802" t="str">
        <f>T("203745106")</f>
        <v>203745106</v>
      </c>
      <c r="G4802" t="str">
        <f>T("720 KENNON STREET")</f>
        <v>720 KENNON STREET</v>
      </c>
      <c r="H4802" t="str">
        <f>T("SUITE 333")</f>
        <v>SUITE 333</v>
      </c>
      <c r="I4802" t="str">
        <f>T("WASHINGTON")</f>
        <v>WASHINGTON</v>
      </c>
      <c r="J4802" t="str">
        <f>T("DC")</f>
        <v>DC</v>
      </c>
      <c r="K4802" t="str">
        <f t="shared" si="1880"/>
        <v>000000000000000000</v>
      </c>
      <c r="L4802" t="str">
        <f>T("2024334748")</f>
        <v>2024334748</v>
      </c>
    </row>
    <row r="4803" spans="1:12" x14ac:dyDescent="0.35">
      <c r="A4803" t="str">
        <f t="shared" si="1881"/>
        <v>NAVFAC EXWC HL5</v>
      </c>
      <c r="B4803" t="str">
        <f>T("NAVFAC EXWC CED23 BLDG 400")</f>
        <v>NAVFAC EXWC CED23 BLDG 400</v>
      </c>
      <c r="C4803" t="str">
        <f>T("2404 BUSSELL AVENUE")</f>
        <v>2404 BUSSELL AVENUE</v>
      </c>
      <c r="D4803" t="str">
        <f>T("GULFPORT")</f>
        <v>GULFPORT</v>
      </c>
      <c r="E4803" t="str">
        <f>T("MS")</f>
        <v>MS</v>
      </c>
      <c r="F4803" t="str">
        <f>T("395015016")</f>
        <v>395015016</v>
      </c>
      <c r="G4803" t="str">
        <f>T("2404 BUSSELL AVE")</f>
        <v>2404 BUSSELL AVE</v>
      </c>
      <c r="H4803" t="str">
        <f>T("")</f>
        <v/>
      </c>
      <c r="I4803" t="str">
        <f>T("GULFPORT")</f>
        <v>GULFPORT</v>
      </c>
      <c r="J4803" t="str">
        <f>T("MS")</f>
        <v>MS</v>
      </c>
      <c r="K4803" t="str">
        <f t="shared" si="1880"/>
        <v>000000000000000000</v>
      </c>
      <c r="L4803" t="str">
        <f>T("2288712207")</f>
        <v>2288712207</v>
      </c>
    </row>
    <row r="4804" spans="1:12" x14ac:dyDescent="0.35">
      <c r="A4804" t="str">
        <f t="shared" si="1881"/>
        <v>NAVFAC EXWC HL5</v>
      </c>
      <c r="B4804" t="str">
        <f>T("NAVFAC EXWC CED23 BLDG 400")</f>
        <v>NAVFAC EXWC CED23 BLDG 400</v>
      </c>
      <c r="C4804" t="str">
        <f>T("2404 BUSSELL AVENUE")</f>
        <v>2404 BUSSELL AVENUE</v>
      </c>
      <c r="D4804" t="str">
        <f>T("GULFPORT")</f>
        <v>GULFPORT</v>
      </c>
      <c r="E4804" t="str">
        <f>T("MS")</f>
        <v>MS</v>
      </c>
      <c r="F4804" t="str">
        <f>T("395015016")</f>
        <v>395015016</v>
      </c>
      <c r="G4804" t="str">
        <f>T("2404 BUSSELL AVE")</f>
        <v>2404 BUSSELL AVE</v>
      </c>
      <c r="H4804" t="str">
        <f>T("")</f>
        <v/>
      </c>
      <c r="I4804" t="str">
        <f>T("GULFPORT")</f>
        <v>GULFPORT</v>
      </c>
      <c r="J4804" t="str">
        <f>T("MS")</f>
        <v>MS</v>
      </c>
      <c r="K4804" t="str">
        <f t="shared" si="1880"/>
        <v>000000000000000000</v>
      </c>
      <c r="L4804" t="str">
        <f>T("2288712416")</f>
        <v>2288712416</v>
      </c>
    </row>
    <row r="4805" spans="1:12" x14ac:dyDescent="0.35">
      <c r="A4805" t="str">
        <f t="shared" si="1881"/>
        <v>NAVFAC EXWC HL5</v>
      </c>
      <c r="B4805" t="str">
        <f>T("NAVFAC EXWC CED23 BLDG 400")</f>
        <v>NAVFAC EXWC CED23 BLDG 400</v>
      </c>
      <c r="C4805" t="str">
        <f>T("2404 BUSSELL AVENUE")</f>
        <v>2404 BUSSELL AVENUE</v>
      </c>
      <c r="D4805" t="str">
        <f>T("GULFPORT")</f>
        <v>GULFPORT</v>
      </c>
      <c r="E4805" t="str">
        <f>T("MS")</f>
        <v>MS</v>
      </c>
      <c r="F4805" t="str">
        <f>T("395015016")</f>
        <v>395015016</v>
      </c>
      <c r="G4805" t="str">
        <f>T("2404 BUSSELL AVE")</f>
        <v>2404 BUSSELL AVE</v>
      </c>
      <c r="H4805" t="str">
        <f>T("BLDG 400 CED 21")</f>
        <v>BLDG 400 CED 21</v>
      </c>
      <c r="I4805" t="str">
        <f>T("GULFPORT")</f>
        <v>GULFPORT</v>
      </c>
      <c r="J4805" t="str">
        <f>T("MS")</f>
        <v>MS</v>
      </c>
      <c r="K4805" t="str">
        <f t="shared" si="1880"/>
        <v>000000000000000000</v>
      </c>
      <c r="L4805" t="str">
        <f>T("2288713821")</f>
        <v>2288713821</v>
      </c>
    </row>
    <row r="4806" spans="1:12" x14ac:dyDescent="0.35">
      <c r="A4806" t="str">
        <f t="shared" si="1881"/>
        <v>NAVFAC EXWC HL5</v>
      </c>
      <c r="B4806" t="str">
        <f>T("NAVFAC EXWC CED23 BLDG 400")</f>
        <v>NAVFAC EXWC CED23 BLDG 400</v>
      </c>
      <c r="C4806" t="str">
        <f>T("2404 BUSSELL AVENUE")</f>
        <v>2404 BUSSELL AVENUE</v>
      </c>
      <c r="D4806" t="str">
        <f>T("GULFPORT")</f>
        <v>GULFPORT</v>
      </c>
      <c r="E4806" t="str">
        <f>T("MS")</f>
        <v>MS</v>
      </c>
      <c r="F4806" t="str">
        <f>T("395015016")</f>
        <v>395015016</v>
      </c>
      <c r="G4806" t="str">
        <f>T("2404 BUSSELL AVE")</f>
        <v>2404 BUSSELL AVE</v>
      </c>
      <c r="H4806" t="str">
        <f>T("BLDG 400 CED21")</f>
        <v>BLDG 400 CED21</v>
      </c>
      <c r="I4806" t="str">
        <f>T("GULFPORT")</f>
        <v>GULFPORT</v>
      </c>
      <c r="J4806" t="str">
        <f>T("MS")</f>
        <v>MS</v>
      </c>
      <c r="K4806" t="str">
        <f t="shared" si="1880"/>
        <v>000000000000000000</v>
      </c>
      <c r="L4806" t="str">
        <f>T("2288713524")</f>
        <v>2288713524</v>
      </c>
    </row>
    <row r="4807" spans="1:12" x14ac:dyDescent="0.35">
      <c r="A4807" t="str">
        <f t="shared" si="1881"/>
        <v>NAVFAC EXWC HL5</v>
      </c>
      <c r="B4807" t="str">
        <f>T("NAVFAC EXWC CED23 BLDG 400")</f>
        <v>NAVFAC EXWC CED23 BLDG 400</v>
      </c>
      <c r="C4807" t="str">
        <f>T("2404 BUSSELL AVENUE")</f>
        <v>2404 BUSSELL AVENUE</v>
      </c>
      <c r="D4807" t="str">
        <f>T("GULFPORT")</f>
        <v>GULFPORT</v>
      </c>
      <c r="E4807" t="str">
        <f>T("MS")</f>
        <v>MS</v>
      </c>
      <c r="F4807" t="str">
        <f>T("395015016")</f>
        <v>395015016</v>
      </c>
      <c r="G4807" t="str">
        <f>T("NAVFAC EXWC CED23 BLDG 400")</f>
        <v>NAVFAC EXWC CED23 BLDG 400</v>
      </c>
      <c r="H4807" t="str">
        <f>T("2404 BUSSELL AVENUE")</f>
        <v>2404 BUSSELL AVENUE</v>
      </c>
      <c r="I4807" t="str">
        <f>T("GULFPORT")</f>
        <v>GULFPORT</v>
      </c>
      <c r="J4807" t="str">
        <f>T("MS")</f>
        <v>MS</v>
      </c>
      <c r="K4807" t="str">
        <f>T("")</f>
        <v/>
      </c>
      <c r="L4807" t="str">
        <f>T("2288713813")</f>
        <v>2288713813</v>
      </c>
    </row>
    <row r="4808" spans="1:12" x14ac:dyDescent="0.35">
      <c r="A4808" t="str">
        <f>T("NFI HL5")</f>
        <v>NFI HL5</v>
      </c>
      <c r="B4808" t="str">
        <f>T("3502 GOODSPEED ST")</f>
        <v>3502 GOODSPEED ST</v>
      </c>
      <c r="C4808" t="str">
        <f>T("SUITE 2")</f>
        <v>SUITE 2</v>
      </c>
      <c r="D4808" t="str">
        <f>T("PORT HUENEME")</f>
        <v>PORT HUENEME</v>
      </c>
      <c r="E4808" t="str">
        <f t="shared" ref="E4808:E4817" si="1882">T("CA")</f>
        <v>CA</v>
      </c>
      <c r="F4808" t="str">
        <f>T("930434335")</f>
        <v>930434335</v>
      </c>
      <c r="G4808" t="str">
        <f>T("3502 GOODSPEED ST")</f>
        <v>3502 GOODSPEED ST</v>
      </c>
      <c r="H4808" t="str">
        <f>T("BLDG 1444 SUITE 2")</f>
        <v>BLDG 1444 SUITE 2</v>
      </c>
      <c r="I4808" t="str">
        <f>T("PORT HUENEME")</f>
        <v>PORT HUENEME</v>
      </c>
      <c r="J4808" t="str">
        <f>T("CA")</f>
        <v>CA</v>
      </c>
      <c r="K4808" t="str">
        <f>T("8059821414")</f>
        <v>8059821414</v>
      </c>
      <c r="L4808" t="str">
        <f>T("8059824546")</f>
        <v>8059824546</v>
      </c>
    </row>
    <row r="4809" spans="1:12" x14ac:dyDescent="0.35">
      <c r="A4809" t="str">
        <f>T("NFI HL5")</f>
        <v>NFI HL5</v>
      </c>
      <c r="B4809" t="str">
        <f>T("3502 GOODSPEED ST")</f>
        <v>3502 GOODSPEED ST</v>
      </c>
      <c r="C4809" t="str">
        <f>T("SUITE 2")</f>
        <v>SUITE 2</v>
      </c>
      <c r="D4809" t="str">
        <f>T("PORT HUENEME")</f>
        <v>PORT HUENEME</v>
      </c>
      <c r="E4809" t="str">
        <f t="shared" si="1882"/>
        <v>CA</v>
      </c>
      <c r="F4809" t="str">
        <f>T("930434335")</f>
        <v>930434335</v>
      </c>
      <c r="G4809" t="str">
        <f>T("3502 GOODSPEED ST")</f>
        <v>3502 GOODSPEED ST</v>
      </c>
      <c r="H4809" t="str">
        <f>T("STE 2")</f>
        <v>STE 2</v>
      </c>
      <c r="I4809" t="str">
        <f>T("PORT HUENEME")</f>
        <v>PORT HUENEME</v>
      </c>
      <c r="J4809" t="str">
        <f>T("CA")</f>
        <v>CA</v>
      </c>
      <c r="K4809" t="str">
        <f>T("000000000000000000")</f>
        <v>000000000000000000</v>
      </c>
      <c r="L4809" t="str">
        <f>T("8059822903")</f>
        <v>8059822903</v>
      </c>
    </row>
    <row r="4810" spans="1:12" x14ac:dyDescent="0.35">
      <c r="A4810" t="str">
        <f>T("NFI HL5")</f>
        <v>NFI HL5</v>
      </c>
      <c r="B4810" t="str">
        <f>T("3502 GOODSPEED ST")</f>
        <v>3502 GOODSPEED ST</v>
      </c>
      <c r="C4810" t="str">
        <f>T("SUITE 2")</f>
        <v>SUITE 2</v>
      </c>
      <c r="D4810" t="str">
        <f>T("PORT HUENEME")</f>
        <v>PORT HUENEME</v>
      </c>
      <c r="E4810" t="str">
        <f t="shared" si="1882"/>
        <v>CA</v>
      </c>
      <c r="F4810" t="str">
        <f>T("930434335")</f>
        <v>930434335</v>
      </c>
      <c r="G4810" t="str">
        <f>T("3502 GOODSPEED ST")</f>
        <v>3502 GOODSPEED ST</v>
      </c>
      <c r="H4810" t="str">
        <f>T("SUITE 2")</f>
        <v>SUITE 2</v>
      </c>
      <c r="I4810" t="str">
        <f>T("PORT HUENEME")</f>
        <v>PORT HUENEME</v>
      </c>
      <c r="J4810" t="str">
        <f>T("CA")</f>
        <v>CA</v>
      </c>
      <c r="K4810" t="str">
        <f>T("8059821414")</f>
        <v>8059821414</v>
      </c>
      <c r="L4810" t="str">
        <f>T("8059822777")</f>
        <v>8059822777</v>
      </c>
    </row>
    <row r="4811" spans="1:12" x14ac:dyDescent="0.35">
      <c r="A4811" t="str">
        <f t="shared" ref="A4811:A4820" si="1883">T("NAVFAC BRAC HL5")</f>
        <v>NAVFAC BRAC HL5</v>
      </c>
      <c r="B4811" t="str">
        <f>T("1 AVENUE OF THE PALMS")</f>
        <v>1 AVENUE OF THE PALMS</v>
      </c>
      <c r="C4811" t="str">
        <f>T("SUITE 161")</f>
        <v>SUITE 161</v>
      </c>
      <c r="D4811" t="str">
        <f>T("SAN FRANCISCO")</f>
        <v>SAN FRANCISCO</v>
      </c>
      <c r="E4811" t="str">
        <f t="shared" si="1882"/>
        <v>CA</v>
      </c>
      <c r="F4811" t="str">
        <f>T("941301817")</f>
        <v>941301817</v>
      </c>
      <c r="G4811" t="str">
        <f>T("1 AVENUE OF THE PALMS")</f>
        <v>1 AVENUE OF THE PALMS</v>
      </c>
      <c r="H4811" t="str">
        <f>T("SUITE 161")</f>
        <v>SUITE 161</v>
      </c>
      <c r="I4811" t="str">
        <f>T("SAN FRANCISCO")</f>
        <v>SAN FRANCISCO</v>
      </c>
      <c r="J4811" t="str">
        <f>T("CA")</f>
        <v>CA</v>
      </c>
      <c r="K4811" t="str">
        <f>T("4157434700")</f>
        <v>4157434700</v>
      </c>
      <c r="L4811" t="str">
        <f>T("4157434720")</f>
        <v>4157434720</v>
      </c>
    </row>
    <row r="4812" spans="1:12" x14ac:dyDescent="0.35">
      <c r="A4812" t="str">
        <f t="shared" si="1883"/>
        <v>NAVFAC BRAC HL5</v>
      </c>
      <c r="B4812" t="str">
        <f>T("1 AVENUE OF THE PALMS")</f>
        <v>1 AVENUE OF THE PALMS</v>
      </c>
      <c r="C4812" t="str">
        <f>T("SUITE 161")</f>
        <v>SUITE 161</v>
      </c>
      <c r="D4812" t="str">
        <f>T("SAN FRANCISCO")</f>
        <v>SAN FRANCISCO</v>
      </c>
      <c r="E4812" t="str">
        <f t="shared" si="1882"/>
        <v>CA</v>
      </c>
      <c r="F4812" t="str">
        <f>T("941301817")</f>
        <v>941301817</v>
      </c>
      <c r="G4812" t="str">
        <f>T("1 AVENUE OF THE PALMS")</f>
        <v>1 AVENUE OF THE PALMS</v>
      </c>
      <c r="H4812" t="str">
        <f>T("SUITE 161")</f>
        <v>SUITE 161</v>
      </c>
      <c r="I4812" t="str">
        <f>T("SAN FRANCISCO")</f>
        <v>SAN FRANCISCO</v>
      </c>
      <c r="J4812" t="str">
        <f>T("CA")</f>
        <v>CA</v>
      </c>
      <c r="K4812" t="str">
        <f>T("4157434700")</f>
        <v>4157434700</v>
      </c>
      <c r="L4812" t="str">
        <f>T("4157434721")</f>
        <v>4157434721</v>
      </c>
    </row>
    <row r="4813" spans="1:12" x14ac:dyDescent="0.35">
      <c r="A4813" t="str">
        <f t="shared" si="1883"/>
        <v>NAVFAC BRAC HL5</v>
      </c>
      <c r="B4813" t="str">
        <f>T("1 AVENUE OF THE PALMS")</f>
        <v>1 AVENUE OF THE PALMS</v>
      </c>
      <c r="C4813" t="str">
        <f>T("SUITE 161")</f>
        <v>SUITE 161</v>
      </c>
      <c r="D4813" t="str">
        <f>T("SAN FRANCISCO")</f>
        <v>SAN FRANCISCO</v>
      </c>
      <c r="E4813" t="str">
        <f t="shared" si="1882"/>
        <v>CA</v>
      </c>
      <c r="F4813" t="str">
        <f>T("941301817")</f>
        <v>941301817</v>
      </c>
      <c r="G4813" t="str">
        <f>T("203 S. DAVIS DRIVE")</f>
        <v>203 S. DAVIS DRIVE</v>
      </c>
      <c r="H4813" t="str">
        <f>T("BLDG 247, JOINT BASE")</f>
        <v>BLDG 247, JOINT BASE</v>
      </c>
      <c r="I4813" t="str">
        <f>T("NORTH CHARLESTON")</f>
        <v>NORTH CHARLESTON</v>
      </c>
      <c r="J4813" t="str">
        <f>T("SC")</f>
        <v>SC</v>
      </c>
      <c r="K4813" t="str">
        <f>T("8427432142")</f>
        <v>8427432142</v>
      </c>
      <c r="L4813" t="str">
        <f>T("8427422127")</f>
        <v>8427422127</v>
      </c>
    </row>
    <row r="4814" spans="1:12" x14ac:dyDescent="0.35">
      <c r="A4814" t="str">
        <f t="shared" si="1883"/>
        <v>NAVFAC BRAC HL5</v>
      </c>
      <c r="B4814" t="str">
        <f>T("1 AVENUE OF THE PALMS")</f>
        <v>1 AVENUE OF THE PALMS</v>
      </c>
      <c r="C4814" t="str">
        <f>T("SUITE 161")</f>
        <v>SUITE 161</v>
      </c>
      <c r="D4814" t="str">
        <f>T("SAN FRANCISCO")</f>
        <v>SAN FRANCISCO</v>
      </c>
      <c r="E4814" t="str">
        <f t="shared" si="1882"/>
        <v>CA</v>
      </c>
      <c r="F4814" t="str">
        <f>T("941301817")</f>
        <v>941301817</v>
      </c>
      <c r="G4814" t="str">
        <f>T("4911 SOUTH BROAD STREET")</f>
        <v>4911 SOUTH BROAD STREET</v>
      </c>
      <c r="H4814" t="str">
        <f>T("BLDG 679 PNBC")</f>
        <v>BLDG 679 PNBC</v>
      </c>
      <c r="I4814" t="str">
        <f>T("PHILADELPHIA")</f>
        <v>PHILADELPHIA</v>
      </c>
      <c r="J4814" t="str">
        <f>T("PA")</f>
        <v>PA</v>
      </c>
      <c r="K4814" t="str">
        <f>T("2158974902")</f>
        <v>2158974902</v>
      </c>
      <c r="L4814" t="str">
        <f>T("2158974907")</f>
        <v>2158974907</v>
      </c>
    </row>
    <row r="4815" spans="1:12" x14ac:dyDescent="0.35">
      <c r="A4815" t="str">
        <f t="shared" si="1883"/>
        <v>NAVFAC BRAC HL5</v>
      </c>
      <c r="B4815" t="str">
        <f>T("33000 NIXIE WAY")</f>
        <v>33000 NIXIE WAY</v>
      </c>
      <c r="C4815" t="str">
        <f>T("BLDG 50 SUITE 207")</f>
        <v>BLDG 50 SUITE 207</v>
      </c>
      <c r="D4815" t="str">
        <f>T("SAN DIEGO")</f>
        <v>SAN DIEGO</v>
      </c>
      <c r="E4815" t="str">
        <f t="shared" si="1882"/>
        <v>CA</v>
      </c>
      <c r="F4815" t="str">
        <f>T("921475101")</f>
        <v>921475101</v>
      </c>
      <c r="G4815" t="str">
        <f>T("33000 NIXIE WAY")</f>
        <v>33000 NIXIE WAY</v>
      </c>
      <c r="H4815" t="str">
        <f>T("BLDG 50 SUITE 207")</f>
        <v>BLDG 50 SUITE 207</v>
      </c>
      <c r="I4815" t="str">
        <f>T("SAN DIEGO")</f>
        <v>SAN DIEGO</v>
      </c>
      <c r="J4815" t="str">
        <f>T("CA")</f>
        <v>CA</v>
      </c>
      <c r="K4815" t="str">
        <f>T("6195240575")</f>
        <v>6195240575</v>
      </c>
      <c r="L4815" t="str">
        <f>T("6195244048")</f>
        <v>6195244048</v>
      </c>
    </row>
    <row r="4816" spans="1:12" x14ac:dyDescent="0.35">
      <c r="A4816" t="str">
        <f t="shared" si="1883"/>
        <v>NAVFAC BRAC HL5</v>
      </c>
      <c r="B4816" t="str">
        <f>T("33000 NIXIE WAY")</f>
        <v>33000 NIXIE WAY</v>
      </c>
      <c r="C4816" t="str">
        <f>T("BLDG 50 SUITE 207")</f>
        <v>BLDG 50 SUITE 207</v>
      </c>
      <c r="D4816" t="str">
        <f>T("SAN DIEGO")</f>
        <v>SAN DIEGO</v>
      </c>
      <c r="E4816" t="str">
        <f t="shared" si="1882"/>
        <v>CA</v>
      </c>
      <c r="F4816" t="str">
        <f>T("921475101")</f>
        <v>921475101</v>
      </c>
      <c r="G4816" t="str">
        <f>T("33000 NIXIE WAY")</f>
        <v>33000 NIXIE WAY</v>
      </c>
      <c r="H4816" t="str">
        <f>T("BLDG 50, SUITE 207")</f>
        <v>BLDG 50, SUITE 207</v>
      </c>
      <c r="I4816" t="str">
        <f>T("SAN DIEGO")</f>
        <v>SAN DIEGO</v>
      </c>
      <c r="J4816" t="str">
        <f>T("CA")</f>
        <v>CA</v>
      </c>
      <c r="K4816" t="str">
        <f>T("6195240575")</f>
        <v>6195240575</v>
      </c>
      <c r="L4816" t="str">
        <f>T("6195245873")</f>
        <v>6195245873</v>
      </c>
    </row>
    <row r="4817" spans="1:12" x14ac:dyDescent="0.35">
      <c r="A4817" t="str">
        <f t="shared" si="1883"/>
        <v>NAVFAC BRAC HL5</v>
      </c>
      <c r="B4817" t="str">
        <f>T("33000 NIXIE WAY")</f>
        <v>33000 NIXIE WAY</v>
      </c>
      <c r="C4817" t="str">
        <f>T("BLDG 50 SUITE 207")</f>
        <v>BLDG 50 SUITE 207</v>
      </c>
      <c r="D4817" t="str">
        <f>T("SAN DIEGO")</f>
        <v>SAN DIEGO</v>
      </c>
      <c r="E4817" t="str">
        <f t="shared" si="1882"/>
        <v>CA</v>
      </c>
      <c r="F4817" t="str">
        <f>T("921475101")</f>
        <v>921475101</v>
      </c>
      <c r="G4817" t="str">
        <f>T("720 KENNON STREET SE")</f>
        <v>720 KENNON STREET SE</v>
      </c>
      <c r="H4817" t="str">
        <f>T("BLDG 36, SUITE 320")</f>
        <v>BLDG 36, SUITE 320</v>
      </c>
      <c r="I4817" t="str">
        <f>T("WASHINGTON NAVY YARD")</f>
        <v>WASHINGTON NAVY YARD</v>
      </c>
      <c r="J4817" t="str">
        <f>T("DC")</f>
        <v>DC</v>
      </c>
      <c r="K4817" t="str">
        <f>T("2026855589")</f>
        <v>2026855589</v>
      </c>
      <c r="L4817" t="str">
        <f>T("2026855269")</f>
        <v>2026855269</v>
      </c>
    </row>
    <row r="4818" spans="1:12" x14ac:dyDescent="0.35">
      <c r="A4818" t="str">
        <f t="shared" si="1883"/>
        <v>NAVFAC BRAC HL5</v>
      </c>
      <c r="B4818" t="str">
        <f>T("4911 SOUTH BROAD ST")</f>
        <v>4911 SOUTH BROAD ST</v>
      </c>
      <c r="C4818" t="str">
        <f>T("BLDG 679 PNBC")</f>
        <v>BLDG 679 PNBC</v>
      </c>
      <c r="D4818" t="str">
        <f>T("PHILADELPHIA")</f>
        <v>PHILADELPHIA</v>
      </c>
      <c r="E4818" t="str">
        <f>T("PA")</f>
        <v>PA</v>
      </c>
      <c r="F4818" t="str">
        <f>T("191121303")</f>
        <v>191121303</v>
      </c>
      <c r="G4818" t="str">
        <f>T("119 PURINTON ROAD")</f>
        <v>119 PURINTON ROAD</v>
      </c>
      <c r="H4818" t="str">
        <f>T("BUILDING 53")</f>
        <v>BUILDING 53</v>
      </c>
      <c r="I4818" t="str">
        <f>T("BRUNSWICK")</f>
        <v>BRUNSWICK</v>
      </c>
      <c r="J4818" t="str">
        <f>T("ME")</f>
        <v>ME</v>
      </c>
      <c r="K4818" t="str">
        <f>T("2074062284")</f>
        <v>2074062284</v>
      </c>
      <c r="L4818" t="str">
        <f>T("2074062290")</f>
        <v>2074062290</v>
      </c>
    </row>
    <row r="4819" spans="1:12" x14ac:dyDescent="0.35">
      <c r="A4819" t="str">
        <f t="shared" si="1883"/>
        <v>NAVFAC BRAC HL5</v>
      </c>
      <c r="B4819" t="str">
        <f>T("4911 SOUTH BROAD ST")</f>
        <v>4911 SOUTH BROAD ST</v>
      </c>
      <c r="C4819" t="str">
        <f>T("BLDG 679 PNBC")</f>
        <v>BLDG 679 PNBC</v>
      </c>
      <c r="D4819" t="str">
        <f>T("PHILADELPHIA")</f>
        <v>PHILADELPHIA</v>
      </c>
      <c r="E4819" t="str">
        <f>T("PA")</f>
        <v>PA</v>
      </c>
      <c r="F4819" t="str">
        <f>T("191121303")</f>
        <v>191121303</v>
      </c>
      <c r="G4819" t="str">
        <f>T("4911 SOUTH BROAD ST")</f>
        <v>4911 SOUTH BROAD ST</v>
      </c>
      <c r="H4819" t="str">
        <f>T("BLDG 679 PNBC")</f>
        <v>BLDG 679 PNBC</v>
      </c>
      <c r="I4819" t="str">
        <f>T("PHILADELPHIA")</f>
        <v>PHILADELPHIA</v>
      </c>
      <c r="J4819" t="str">
        <f>T("PA")</f>
        <v>PA</v>
      </c>
      <c r="K4819" t="str">
        <f>T("2158974902")</f>
        <v>2158974902</v>
      </c>
      <c r="L4819" t="str">
        <f>T("2158974904")</f>
        <v>2158974904</v>
      </c>
    </row>
    <row r="4820" spans="1:12" x14ac:dyDescent="0.35">
      <c r="A4820" t="str">
        <f t="shared" si="1883"/>
        <v>NAVFAC BRAC HL5</v>
      </c>
      <c r="B4820" t="str">
        <f>T("4911 SOUTH BROAD ST")</f>
        <v>4911 SOUTH BROAD ST</v>
      </c>
      <c r="C4820" t="str">
        <f>T("BLDG 679 PNBC")</f>
        <v>BLDG 679 PNBC</v>
      </c>
      <c r="D4820" t="str">
        <f>T("PHILADELPHIA")</f>
        <v>PHILADELPHIA</v>
      </c>
      <c r="E4820" t="str">
        <f>T("PA")</f>
        <v>PA</v>
      </c>
      <c r="F4820" t="str">
        <f>T("191121303")</f>
        <v>191121303</v>
      </c>
      <c r="G4820" t="str">
        <f>T("NAVY CSO")</f>
        <v>NAVY CSO</v>
      </c>
      <c r="H4820" t="str">
        <f>T("1064 FAIRCHILD STREET")</f>
        <v>1064 FAIRCHILD STREET</v>
      </c>
      <c r="I4820" t="str">
        <f>T("HORSHAM")</f>
        <v>HORSHAM</v>
      </c>
      <c r="J4820" t="str">
        <f>T("PA")</f>
        <v>PA</v>
      </c>
      <c r="K4820" t="str">
        <f>T("2152934889")</f>
        <v>2152934889</v>
      </c>
      <c r="L4820" t="str">
        <f>T("2152934888")</f>
        <v>2152934888</v>
      </c>
    </row>
    <row r="4821" spans="1:12" x14ac:dyDescent="0.35">
      <c r="A4821" t="str">
        <f t="shared" ref="A4821:A4828" si="1884">T("NAVFAC ATLANTIC HL5")</f>
        <v>NAVFAC ATLANTIC HL5</v>
      </c>
      <c r="B4821" t="str">
        <f>T("6506 HAMPTON BLVD")</f>
        <v>6506 HAMPTON BLVD</v>
      </c>
      <c r="C4821" t="str">
        <f>T("")</f>
        <v/>
      </c>
      <c r="D4821" t="str">
        <f>T("NORFOLK")</f>
        <v>NORFOLK</v>
      </c>
      <c r="E4821" t="str">
        <f t="shared" ref="E4821:E4828" si="1885">T("VA")</f>
        <v>VA</v>
      </c>
      <c r="F4821" t="str">
        <f>T("235081212")</f>
        <v>235081212</v>
      </c>
      <c r="G4821" t="str">
        <f>T("6506 HAMPTON BLVD")</f>
        <v>6506 HAMPTON BLVD</v>
      </c>
      <c r="H4821" t="str">
        <f>T("")</f>
        <v/>
      </c>
      <c r="I4821" t="str">
        <f t="shared" ref="I4821:I4826" si="1886">T("NORFOLK")</f>
        <v>NORFOLK</v>
      </c>
      <c r="J4821" t="str">
        <f t="shared" ref="J4821:J4828" si="1887">T("VA")</f>
        <v>VA</v>
      </c>
      <c r="K4821" t="str">
        <f>T("000000000000000000")</f>
        <v>000000000000000000</v>
      </c>
      <c r="L4821" t="str">
        <f>T("7573228120")</f>
        <v>7573228120</v>
      </c>
    </row>
    <row r="4822" spans="1:12" x14ac:dyDescent="0.35">
      <c r="A4822" t="str">
        <f t="shared" si="1884"/>
        <v>NAVFAC ATLANTIC HL5</v>
      </c>
      <c r="B4822" t="str">
        <f>T("6506 HAMPTON BLVD")</f>
        <v>6506 HAMPTON BLVD</v>
      </c>
      <c r="C4822" t="str">
        <f>T("")</f>
        <v/>
      </c>
      <c r="D4822" t="str">
        <f>T("NORFOLK")</f>
        <v>NORFOLK</v>
      </c>
      <c r="E4822" t="str">
        <f t="shared" si="1885"/>
        <v>VA</v>
      </c>
      <c r="F4822" t="str">
        <f>T("235081212")</f>
        <v>235081212</v>
      </c>
      <c r="G4822" t="str">
        <f>T("6506 HAMPTON BLVD")</f>
        <v>6506 HAMPTON BLVD</v>
      </c>
      <c r="H4822" t="str">
        <f>T("")</f>
        <v/>
      </c>
      <c r="I4822" t="str">
        <f t="shared" si="1886"/>
        <v>NORFOLK</v>
      </c>
      <c r="J4822" t="str">
        <f t="shared" si="1887"/>
        <v>VA</v>
      </c>
      <c r="K4822" t="str">
        <f>T("757-322-4068")</f>
        <v>757-322-4068</v>
      </c>
      <c r="L4822" t="str">
        <f>T("7573412423")</f>
        <v>7573412423</v>
      </c>
    </row>
    <row r="4823" spans="1:12" x14ac:dyDescent="0.35">
      <c r="A4823" t="str">
        <f t="shared" si="1884"/>
        <v>NAVFAC ATLANTIC HL5</v>
      </c>
      <c r="B4823" t="str">
        <f>T("NAVFAC ATLANTIC")</f>
        <v>NAVFAC ATLANTIC</v>
      </c>
      <c r="C4823" t="str">
        <f>T("6506 HAMPTON BLVD")</f>
        <v>6506 HAMPTON BLVD</v>
      </c>
      <c r="D4823" t="str">
        <f>T("NORFOLK")</f>
        <v>NORFOLK</v>
      </c>
      <c r="E4823" t="str">
        <f t="shared" si="1885"/>
        <v>VA</v>
      </c>
      <c r="F4823" t="str">
        <f>T("235081212")</f>
        <v>235081212</v>
      </c>
      <c r="G4823" t="str">
        <f>T("6506 HAMPTON BLVD")</f>
        <v>6506 HAMPTON BLVD</v>
      </c>
      <c r="H4823" t="str">
        <f>T("")</f>
        <v/>
      </c>
      <c r="I4823" t="str">
        <f t="shared" si="1886"/>
        <v>NORFOLK</v>
      </c>
      <c r="J4823" t="str">
        <f t="shared" si="1887"/>
        <v>VA</v>
      </c>
      <c r="K4823" t="str">
        <f>T("000000000000000000")</f>
        <v>000000000000000000</v>
      </c>
      <c r="L4823" t="str">
        <f>T("7573224050")</f>
        <v>7573224050</v>
      </c>
    </row>
    <row r="4824" spans="1:12" x14ac:dyDescent="0.35">
      <c r="A4824" t="str">
        <f t="shared" si="1884"/>
        <v>NAVFAC ATLANTIC HL5</v>
      </c>
      <c r="B4824" t="str">
        <f>T("NAVFAC ATLANTIC")</f>
        <v>NAVFAC ATLANTIC</v>
      </c>
      <c r="C4824" t="str">
        <f>T("6506 HAMPTON BLVD")</f>
        <v>6506 HAMPTON BLVD</v>
      </c>
      <c r="D4824" t="str">
        <f>T("NORFOLK")</f>
        <v>NORFOLK</v>
      </c>
      <c r="E4824" t="str">
        <f t="shared" si="1885"/>
        <v>VA</v>
      </c>
      <c r="F4824" t="str">
        <f>T("235081212")</f>
        <v>235081212</v>
      </c>
      <c r="G4824" t="str">
        <f>T("6506 HAMPTON BLVD")</f>
        <v>6506 HAMPTON BLVD</v>
      </c>
      <c r="H4824" t="str">
        <f>T("")</f>
        <v/>
      </c>
      <c r="I4824" t="str">
        <f t="shared" si="1886"/>
        <v>NORFOLK</v>
      </c>
      <c r="J4824" t="str">
        <f t="shared" si="1887"/>
        <v>VA</v>
      </c>
      <c r="K4824" t="str">
        <f>T("000000000000000000")</f>
        <v>000000000000000000</v>
      </c>
      <c r="L4824" t="str">
        <f>T("7573228136")</f>
        <v>7573228136</v>
      </c>
    </row>
    <row r="4825" spans="1:12" x14ac:dyDescent="0.35">
      <c r="A4825" t="str">
        <f t="shared" si="1884"/>
        <v>NAVFAC ATLANTIC HL5</v>
      </c>
      <c r="B4825" t="str">
        <f>T("NAVFAC ATLANTIC")</f>
        <v>NAVFAC ATLANTIC</v>
      </c>
      <c r="C4825" t="str">
        <f>T("6506 HAMPTON BLVD")</f>
        <v>6506 HAMPTON BLVD</v>
      </c>
      <c r="D4825" t="str">
        <f>T("NORFOLK")</f>
        <v>NORFOLK</v>
      </c>
      <c r="E4825" t="str">
        <f t="shared" si="1885"/>
        <v>VA</v>
      </c>
      <c r="F4825" t="str">
        <f>T("235081212")</f>
        <v>235081212</v>
      </c>
      <c r="G4825" t="str">
        <f>T("NAVFAC ATLANTIC")</f>
        <v>NAVFAC ATLANTIC</v>
      </c>
      <c r="H4825" t="str">
        <f>T("6506 HAMPTON BLVD")</f>
        <v>6506 HAMPTON BLVD</v>
      </c>
      <c r="I4825" t="str">
        <f t="shared" si="1886"/>
        <v>NORFOLK</v>
      </c>
      <c r="J4825" t="str">
        <f t="shared" si="1887"/>
        <v>VA</v>
      </c>
      <c r="K4825" t="str">
        <f>T("7573224068")</f>
        <v>7573224068</v>
      </c>
      <c r="L4825" t="str">
        <f>T("7573224190")</f>
        <v>7573224190</v>
      </c>
    </row>
    <row r="4826" spans="1:12" x14ac:dyDescent="0.35">
      <c r="A4826" t="str">
        <f t="shared" si="1884"/>
        <v>NAVFAC ATLANTIC HL5</v>
      </c>
      <c r="B4826" t="str">
        <f>T("NAVY CRANE CNTR")</f>
        <v>NAVY CRANE CNTR</v>
      </c>
      <c r="C4826" t="str">
        <f>T("BLDG 491-NNSY")</f>
        <v>BLDG 491-NNSY</v>
      </c>
      <c r="D4826" t="str">
        <f>T("PORTSMOUTH")</f>
        <v>PORTSMOUTH</v>
      </c>
      <c r="E4826" t="str">
        <f t="shared" si="1885"/>
        <v>VA</v>
      </c>
      <c r="F4826" t="str">
        <f>T("237090000")</f>
        <v>237090000</v>
      </c>
      <c r="G4826" t="str">
        <f>T("6506 HAMPTON BLVD")</f>
        <v>6506 HAMPTON BLVD</v>
      </c>
      <c r="H4826" t="str">
        <f>T("")</f>
        <v/>
      </c>
      <c r="I4826" t="str">
        <f t="shared" si="1886"/>
        <v>NORFOLK</v>
      </c>
      <c r="J4826" t="str">
        <f t="shared" si="1887"/>
        <v>VA</v>
      </c>
      <c r="K4826" t="str">
        <f>T("7579673808")</f>
        <v>7579673808</v>
      </c>
      <c r="L4826" t="str">
        <f>T("7579673803")</f>
        <v>7579673803</v>
      </c>
    </row>
    <row r="4827" spans="1:12" x14ac:dyDescent="0.35">
      <c r="A4827" t="str">
        <f t="shared" si="1884"/>
        <v>NAVFAC ATLANTIC HL5</v>
      </c>
      <c r="B4827" t="str">
        <f>T("NAVY CRANE CNTR")</f>
        <v>NAVY CRANE CNTR</v>
      </c>
      <c r="C4827" t="str">
        <f>T("BLDG 491-NNSY")</f>
        <v>BLDG 491-NNSY</v>
      </c>
      <c r="D4827" t="str">
        <f>T("PORTSMOUTH")</f>
        <v>PORTSMOUTH</v>
      </c>
      <c r="E4827" t="str">
        <f t="shared" si="1885"/>
        <v>VA</v>
      </c>
      <c r="F4827" t="str">
        <f>T("237090000")</f>
        <v>237090000</v>
      </c>
      <c r="G4827" t="str">
        <f>T("BLDG 491 NNSY")</f>
        <v>BLDG 491 NNSY</v>
      </c>
      <c r="H4827" t="str">
        <f>T("")</f>
        <v/>
      </c>
      <c r="I4827" t="str">
        <f>T("PORTSMOUTH")</f>
        <v>PORTSMOUTH</v>
      </c>
      <c r="J4827" t="str">
        <f t="shared" si="1887"/>
        <v>VA</v>
      </c>
      <c r="K4827" t="str">
        <f>T("000000000000000000")</f>
        <v>000000000000000000</v>
      </c>
      <c r="L4827" t="str">
        <f>T("7579673804")</f>
        <v>7579673804</v>
      </c>
    </row>
    <row r="4828" spans="1:12" x14ac:dyDescent="0.35">
      <c r="A4828" t="str">
        <f t="shared" si="1884"/>
        <v>NAVFAC ATLANTIC HL5</v>
      </c>
      <c r="B4828" t="str">
        <f>T("NAVY CRANE CNTR")</f>
        <v>NAVY CRANE CNTR</v>
      </c>
      <c r="C4828" t="str">
        <f>T("BLDG 491-NNSY")</f>
        <v>BLDG 491-NNSY</v>
      </c>
      <c r="D4828" t="str">
        <f>T("PORTSMOUTH")</f>
        <v>PORTSMOUTH</v>
      </c>
      <c r="E4828" t="str">
        <f t="shared" si="1885"/>
        <v>VA</v>
      </c>
      <c r="F4828" t="str">
        <f>T("237090000")</f>
        <v>237090000</v>
      </c>
      <c r="G4828" t="str">
        <f>T("NAVY CRANE CNTR")</f>
        <v>NAVY CRANE CNTR</v>
      </c>
      <c r="H4828" t="str">
        <f>T("BLDG 491-NNSY")</f>
        <v>BLDG 491-NNSY</v>
      </c>
      <c r="I4828" t="str">
        <f>T("PORTSMOUTH")</f>
        <v>PORTSMOUTH</v>
      </c>
      <c r="J4828" t="str">
        <f t="shared" si="1887"/>
        <v>VA</v>
      </c>
      <c r="K4828" t="str">
        <f>T("7573224064")</f>
        <v>7573224064</v>
      </c>
      <c r="L4828" t="str">
        <f>T("7573224152")</f>
        <v>7573224152</v>
      </c>
    </row>
    <row r="4829" spans="1:12" x14ac:dyDescent="0.35">
      <c r="A4829" t="str">
        <f t="shared" ref="A4829:A4860" si="1888">T("NAVFAC EURAFSWA HL5")</f>
        <v>NAVFAC EURAFSWA HL5</v>
      </c>
      <c r="B4829" t="str">
        <f>T("ENVIRONMENTAL DEPT")</f>
        <v>ENVIRONMENTAL DEPT</v>
      </c>
      <c r="C4829" t="str">
        <f>T("PSC 451 BOX 850")</f>
        <v>PSC 451 BOX 850</v>
      </c>
      <c r="D4829" t="str">
        <f t="shared" ref="D4829:D4876" si="1889">T("FPO")</f>
        <v>FPO</v>
      </c>
      <c r="E4829" t="str">
        <f t="shared" ref="E4829:E4860" si="1890">T("AE")</f>
        <v>AE</v>
      </c>
      <c r="F4829" t="str">
        <f>T("098340009")</f>
        <v>098340009</v>
      </c>
      <c r="G4829" t="str">
        <f>T("ENVIRONMENTAL DEPT")</f>
        <v>ENVIRONMENTAL DEPT</v>
      </c>
      <c r="H4829" t="str">
        <f>T("PSC 451 BOX 850")</f>
        <v>PSC 451 BOX 850</v>
      </c>
      <c r="I4829" t="str">
        <f t="shared" ref="I4829:I4876" si="1891">T("FPO")</f>
        <v>FPO</v>
      </c>
      <c r="J4829" t="str">
        <f t="shared" ref="J4829:J4860" si="1892">T("AE")</f>
        <v>AE</v>
      </c>
      <c r="K4829" t="str">
        <f>T("")</f>
        <v/>
      </c>
      <c r="L4829" t="str">
        <f>T("1111111111")</f>
        <v>1111111111</v>
      </c>
    </row>
    <row r="4830" spans="1:12" x14ac:dyDescent="0.35">
      <c r="A4830" t="str">
        <f t="shared" si="1888"/>
        <v>NAVFAC EURAFSWA HL5</v>
      </c>
      <c r="B4830" t="str">
        <f>T("ENVIRONMENTAL DEPT")</f>
        <v>ENVIRONMENTAL DEPT</v>
      </c>
      <c r="C4830" t="str">
        <f>T("PSC 451 BOX 850")</f>
        <v>PSC 451 BOX 850</v>
      </c>
      <c r="D4830" t="str">
        <f t="shared" si="1889"/>
        <v>FPO</v>
      </c>
      <c r="E4830" t="str">
        <f t="shared" si="1890"/>
        <v>AE</v>
      </c>
      <c r="F4830" t="str">
        <f>T("098340009")</f>
        <v>098340009</v>
      </c>
      <c r="G4830" t="str">
        <f>T("PSC 451 BOX 850")</f>
        <v>PSC 451 BOX 850</v>
      </c>
      <c r="H4830" t="str">
        <f>T("")</f>
        <v/>
      </c>
      <c r="I4830" t="str">
        <f t="shared" si="1891"/>
        <v>FPO</v>
      </c>
      <c r="J4830" t="str">
        <f t="shared" si="1892"/>
        <v>AE</v>
      </c>
      <c r="K4830" t="str">
        <f>T("000000000000000000")</f>
        <v>000000000000000000</v>
      </c>
      <c r="L4830" t="str">
        <f>T("1111111111")</f>
        <v>1111111111</v>
      </c>
    </row>
    <row r="4831" spans="1:12" x14ac:dyDescent="0.35">
      <c r="A4831" t="str">
        <f t="shared" si="1888"/>
        <v>NAVFAC EURAFSWA HL5</v>
      </c>
      <c r="B4831" t="str">
        <f>T("FEAD NAPLES")</f>
        <v>FEAD NAPLES</v>
      </c>
      <c r="C4831" t="str">
        <f>T("PSC 817 BOX 22")</f>
        <v>PSC 817 BOX 22</v>
      </c>
      <c r="D4831" t="str">
        <f t="shared" si="1889"/>
        <v>FPO</v>
      </c>
      <c r="E4831" t="str">
        <f t="shared" si="1890"/>
        <v>AE</v>
      </c>
      <c r="F4831" t="str">
        <f>T("096220001")</f>
        <v>096220001</v>
      </c>
      <c r="G4831" t="str">
        <f>T("FEAD NAPLES")</f>
        <v>FEAD NAPLES</v>
      </c>
      <c r="H4831" t="str">
        <f>T("PSC 817 BOX 22")</f>
        <v>PSC 817 BOX 22</v>
      </c>
      <c r="I4831" t="str">
        <f t="shared" si="1891"/>
        <v>FPO</v>
      </c>
      <c r="J4831" t="str">
        <f t="shared" si="1892"/>
        <v>AE</v>
      </c>
      <c r="K4831" t="str">
        <f>T("0815685260")</f>
        <v>0815685260</v>
      </c>
      <c r="L4831" t="str">
        <f>T("0815685407")</f>
        <v>0815685407</v>
      </c>
    </row>
    <row r="4832" spans="1:12" x14ac:dyDescent="0.35">
      <c r="A4832" t="str">
        <f t="shared" si="1888"/>
        <v>NAVFAC EURAFSWA HL5</v>
      </c>
      <c r="B4832" t="str">
        <f>T("FEAD NAPLES")</f>
        <v>FEAD NAPLES</v>
      </c>
      <c r="C4832" t="str">
        <f>T("PSC 817 BOX 22")</f>
        <v>PSC 817 BOX 22</v>
      </c>
      <c r="D4832" t="str">
        <f t="shared" si="1889"/>
        <v>FPO</v>
      </c>
      <c r="E4832" t="str">
        <f t="shared" si="1890"/>
        <v>AE</v>
      </c>
      <c r="F4832" t="str">
        <f>T("096220001")</f>
        <v>096220001</v>
      </c>
      <c r="G4832" t="str">
        <f>T("PSC 817 BOX 22")</f>
        <v>PSC 817 BOX 22</v>
      </c>
      <c r="H4832" t="str">
        <f>T("")</f>
        <v/>
      </c>
      <c r="I4832" t="str">
        <f t="shared" si="1891"/>
        <v>FPO</v>
      </c>
      <c r="J4832" t="str">
        <f t="shared" si="1892"/>
        <v>AE</v>
      </c>
      <c r="K4832" t="str">
        <f>T("000000000000000000")</f>
        <v>000000000000000000</v>
      </c>
      <c r="L4832" t="str">
        <f t="shared" ref="L4832:L4839" si="1893">T("1111111111")</f>
        <v>1111111111</v>
      </c>
    </row>
    <row r="4833" spans="1:12" x14ac:dyDescent="0.35">
      <c r="A4833" t="str">
        <f t="shared" si="1888"/>
        <v>NAVFAC EURAFSWA HL5</v>
      </c>
      <c r="B4833" t="str">
        <f>T("FEAD SOUDA BAY")</f>
        <v>FEAD SOUDA BAY</v>
      </c>
      <c r="C4833" t="str">
        <f>T("PSC 814 BOX 11")</f>
        <v>PSC 814 BOX 11</v>
      </c>
      <c r="D4833" t="str">
        <f t="shared" si="1889"/>
        <v>FPO</v>
      </c>
      <c r="E4833" t="str">
        <f t="shared" si="1890"/>
        <v>AE</v>
      </c>
      <c r="F4833" t="str">
        <f>T("098650001")</f>
        <v>098650001</v>
      </c>
      <c r="G4833" t="str">
        <f>T("FEAD SOUDA BAY")</f>
        <v>FEAD SOUDA BAY</v>
      </c>
      <c r="H4833" t="str">
        <f>T("PSC 814 BOX 11")</f>
        <v>PSC 814 BOX 11</v>
      </c>
      <c r="I4833" t="str">
        <f t="shared" si="1891"/>
        <v>FPO</v>
      </c>
      <c r="J4833" t="str">
        <f t="shared" si="1892"/>
        <v>AE</v>
      </c>
      <c r="K4833" t="str">
        <f>T("")</f>
        <v/>
      </c>
      <c r="L4833" t="str">
        <f t="shared" si="1893"/>
        <v>1111111111</v>
      </c>
    </row>
    <row r="4834" spans="1:12" x14ac:dyDescent="0.35">
      <c r="A4834" t="str">
        <f t="shared" si="1888"/>
        <v>NAVFAC EURAFSWA HL5</v>
      </c>
      <c r="B4834" t="str">
        <f>T("FEAD SOUDA BAY")</f>
        <v>FEAD SOUDA BAY</v>
      </c>
      <c r="C4834" t="str">
        <f>T("PSC 814 BOX 11")</f>
        <v>PSC 814 BOX 11</v>
      </c>
      <c r="D4834" t="str">
        <f t="shared" si="1889"/>
        <v>FPO</v>
      </c>
      <c r="E4834" t="str">
        <f t="shared" si="1890"/>
        <v>AE</v>
      </c>
      <c r="F4834" t="str">
        <f>T("098650001")</f>
        <v>098650001</v>
      </c>
      <c r="G4834" t="str">
        <f>T("PSC 814 BOX 11")</f>
        <v>PSC 814 BOX 11</v>
      </c>
      <c r="H4834" t="str">
        <f>T("")</f>
        <v/>
      </c>
      <c r="I4834" t="str">
        <f t="shared" si="1891"/>
        <v>FPO</v>
      </c>
      <c r="J4834" t="str">
        <f t="shared" si="1892"/>
        <v>AE</v>
      </c>
      <c r="K4834" t="str">
        <f>T("011302821021830")</f>
        <v>011302821021830</v>
      </c>
      <c r="L4834" t="str">
        <f t="shared" si="1893"/>
        <v>1111111111</v>
      </c>
    </row>
    <row r="4835" spans="1:12" x14ac:dyDescent="0.35">
      <c r="A4835" t="str">
        <f t="shared" si="1888"/>
        <v>NAVFAC EURAFSWA HL5</v>
      </c>
      <c r="B4835" t="str">
        <f>T("FISC DET NAPLES")</f>
        <v>FISC DET NAPLES</v>
      </c>
      <c r="C4835" t="str">
        <f>T("PSC 817 BOX 5")</f>
        <v>PSC 817 BOX 5</v>
      </c>
      <c r="D4835" t="str">
        <f t="shared" si="1889"/>
        <v>FPO</v>
      </c>
      <c r="E4835" t="str">
        <f t="shared" si="1890"/>
        <v>AE</v>
      </c>
      <c r="F4835" t="str">
        <f>T("096220001")</f>
        <v>096220001</v>
      </c>
      <c r="G4835" t="str">
        <f>T("FISC DET NAPLES")</f>
        <v>FISC DET NAPLES</v>
      </c>
      <c r="H4835" t="str">
        <f>T("PSC 817 BOX 5")</f>
        <v>PSC 817 BOX 5</v>
      </c>
      <c r="I4835" t="str">
        <f t="shared" si="1891"/>
        <v>FPO</v>
      </c>
      <c r="J4835" t="str">
        <f t="shared" si="1892"/>
        <v>AE</v>
      </c>
      <c r="K4835" t="str">
        <f>T("011390815685312")</f>
        <v>011390815685312</v>
      </c>
      <c r="L4835" t="str">
        <f t="shared" si="1893"/>
        <v>1111111111</v>
      </c>
    </row>
    <row r="4836" spans="1:12" x14ac:dyDescent="0.35">
      <c r="A4836" t="str">
        <f t="shared" si="1888"/>
        <v>NAVFAC EURAFSWA HL5</v>
      </c>
      <c r="B4836" t="str">
        <f>T("FISC DET NAPLES")</f>
        <v>FISC DET NAPLES</v>
      </c>
      <c r="C4836" t="str">
        <f>T("PSC 817 BOX 5")</f>
        <v>PSC 817 BOX 5</v>
      </c>
      <c r="D4836" t="str">
        <f t="shared" si="1889"/>
        <v>FPO</v>
      </c>
      <c r="E4836" t="str">
        <f t="shared" si="1890"/>
        <v>AE</v>
      </c>
      <c r="F4836" t="str">
        <f>T("096220001")</f>
        <v>096220001</v>
      </c>
      <c r="G4836" t="str">
        <f>T("PSC 817 BOX 5")</f>
        <v>PSC 817 BOX 5</v>
      </c>
      <c r="H4836" t="str">
        <f>T("")</f>
        <v/>
      </c>
      <c r="I4836" t="str">
        <f t="shared" si="1891"/>
        <v>FPO</v>
      </c>
      <c r="J4836" t="str">
        <f t="shared" si="1892"/>
        <v>AE</v>
      </c>
      <c r="K4836" t="str">
        <f>T("011390815682945")</f>
        <v>011390815682945</v>
      </c>
      <c r="L4836" t="str">
        <f t="shared" si="1893"/>
        <v>1111111111</v>
      </c>
    </row>
    <row r="4837" spans="1:12" x14ac:dyDescent="0.35">
      <c r="A4837" t="str">
        <f t="shared" si="1888"/>
        <v>NAVFAC EURAFSWA HL5</v>
      </c>
      <c r="B4837" t="str">
        <f>T("FISC DET NAPLES")</f>
        <v>FISC DET NAPLES</v>
      </c>
      <c r="C4837" t="str">
        <f>T("PSC 817 BOX 5")</f>
        <v>PSC 817 BOX 5</v>
      </c>
      <c r="D4837" t="str">
        <f t="shared" si="1889"/>
        <v>FPO</v>
      </c>
      <c r="E4837" t="str">
        <f t="shared" si="1890"/>
        <v>AE</v>
      </c>
      <c r="F4837" t="str">
        <f>T("096220001")</f>
        <v>096220001</v>
      </c>
      <c r="G4837" t="str">
        <f>T("PSC 817 BOX 5")</f>
        <v>PSC 817 BOX 5</v>
      </c>
      <c r="H4837" t="str">
        <f>T("")</f>
        <v/>
      </c>
      <c r="I4837" t="str">
        <f t="shared" si="1891"/>
        <v>FPO</v>
      </c>
      <c r="J4837" t="str">
        <f t="shared" si="1892"/>
        <v>AE</v>
      </c>
      <c r="K4837" t="str">
        <f>T("011390815682946")</f>
        <v>011390815682946</v>
      </c>
      <c r="L4837" t="str">
        <f t="shared" si="1893"/>
        <v>1111111111</v>
      </c>
    </row>
    <row r="4838" spans="1:12" x14ac:dyDescent="0.35">
      <c r="A4838" t="str">
        <f t="shared" si="1888"/>
        <v>NAVFAC EURAFSWA HL5</v>
      </c>
      <c r="B4838" t="str">
        <f>T("FISC DET NAPLES")</f>
        <v>FISC DET NAPLES</v>
      </c>
      <c r="C4838" t="str">
        <f>T("PSC 817 BOX 5")</f>
        <v>PSC 817 BOX 5</v>
      </c>
      <c r="D4838" t="str">
        <f t="shared" si="1889"/>
        <v>FPO</v>
      </c>
      <c r="E4838" t="str">
        <f t="shared" si="1890"/>
        <v>AE</v>
      </c>
      <c r="F4838" t="str">
        <f>T("096220001")</f>
        <v>096220001</v>
      </c>
      <c r="G4838" t="str">
        <f>T("PSC 817 BOX 5")</f>
        <v>PSC 817 BOX 5</v>
      </c>
      <c r="H4838" t="str">
        <f>T("")</f>
        <v/>
      </c>
      <c r="I4838" t="str">
        <f t="shared" si="1891"/>
        <v>FPO</v>
      </c>
      <c r="J4838" t="str">
        <f t="shared" si="1892"/>
        <v>AE</v>
      </c>
      <c r="K4838" t="str">
        <f>T("011390815686660")</f>
        <v>011390815686660</v>
      </c>
      <c r="L4838" t="str">
        <f t="shared" si="1893"/>
        <v>1111111111</v>
      </c>
    </row>
    <row r="4839" spans="1:12" x14ac:dyDescent="0.35">
      <c r="A4839" t="str">
        <f t="shared" si="1888"/>
        <v>NAVFAC EURAFSWA HL5</v>
      </c>
      <c r="B4839" t="str">
        <f>T("FISC DET NAPLES")</f>
        <v>FISC DET NAPLES</v>
      </c>
      <c r="C4839" t="str">
        <f>T("PSC 817 BOX 5")</f>
        <v>PSC 817 BOX 5</v>
      </c>
      <c r="D4839" t="str">
        <f t="shared" si="1889"/>
        <v>FPO</v>
      </c>
      <c r="E4839" t="str">
        <f t="shared" si="1890"/>
        <v>AE</v>
      </c>
      <c r="F4839" t="str">
        <f>T("096220001")</f>
        <v>096220001</v>
      </c>
      <c r="G4839" t="str">
        <f>T("PSC 817 BOX 5")</f>
        <v>PSC 817 BOX 5</v>
      </c>
      <c r="H4839" t="str">
        <f>T("")</f>
        <v/>
      </c>
      <c r="I4839" t="str">
        <f t="shared" si="1891"/>
        <v>FPO</v>
      </c>
      <c r="J4839" t="str">
        <f t="shared" si="1892"/>
        <v>AE</v>
      </c>
      <c r="K4839" t="str">
        <f>T("011390815686844")</f>
        <v>011390815686844</v>
      </c>
      <c r="L4839" t="str">
        <f t="shared" si="1893"/>
        <v>1111111111</v>
      </c>
    </row>
    <row r="4840" spans="1:12" x14ac:dyDescent="0.35">
      <c r="A4840" t="str">
        <f t="shared" si="1888"/>
        <v>NAVFAC EURAFSWA HL5</v>
      </c>
      <c r="B4840" t="str">
        <f>T("FISCSI SITE BAHRAIN")</f>
        <v>FISCSI SITE BAHRAIN</v>
      </c>
      <c r="C4840" t="str">
        <f>T("PSC 451 BOX 50")</f>
        <v>PSC 451 BOX 50</v>
      </c>
      <c r="D4840" t="str">
        <f t="shared" si="1889"/>
        <v>FPO</v>
      </c>
      <c r="E4840" t="str">
        <f t="shared" si="1890"/>
        <v>AE</v>
      </c>
      <c r="F4840" t="str">
        <f>T("098340001")</f>
        <v>098340001</v>
      </c>
      <c r="G4840" t="str">
        <f>T("FISCSI SITE BAHRAIN")</f>
        <v>FISCSI SITE BAHRAIN</v>
      </c>
      <c r="H4840" t="str">
        <f>T("PSC 451 BOX 50")</f>
        <v>PSC 451 BOX 50</v>
      </c>
      <c r="I4840" t="str">
        <f t="shared" si="1891"/>
        <v>FPO</v>
      </c>
      <c r="J4840" t="str">
        <f t="shared" si="1892"/>
        <v>AE</v>
      </c>
      <c r="K4840" t="str">
        <f>T("")</f>
        <v/>
      </c>
      <c r="L4840" t="str">
        <f>T("3184393062")</f>
        <v>3184393062</v>
      </c>
    </row>
    <row r="4841" spans="1:12" x14ac:dyDescent="0.35">
      <c r="A4841" t="str">
        <f t="shared" si="1888"/>
        <v>NAVFAC EURAFSWA HL5</v>
      </c>
      <c r="B4841" t="str">
        <f>T("FISCSI SITE BAHRAIN")</f>
        <v>FISCSI SITE BAHRAIN</v>
      </c>
      <c r="C4841" t="str">
        <f>T("PSC 451 BOX 50")</f>
        <v>PSC 451 BOX 50</v>
      </c>
      <c r="D4841" t="str">
        <f t="shared" si="1889"/>
        <v>FPO</v>
      </c>
      <c r="E4841" t="str">
        <f t="shared" si="1890"/>
        <v>AE</v>
      </c>
      <c r="F4841" t="str">
        <f>T("098340001")</f>
        <v>098340001</v>
      </c>
      <c r="G4841" t="str">
        <f>T("PSC 451 BOX 50")</f>
        <v>PSC 451 BOX 50</v>
      </c>
      <c r="H4841" t="str">
        <f>T("")</f>
        <v/>
      </c>
      <c r="I4841" t="str">
        <f t="shared" si="1891"/>
        <v>FPO</v>
      </c>
      <c r="J4841" t="str">
        <f t="shared" si="1892"/>
        <v>AE</v>
      </c>
      <c r="K4841" t="str">
        <f>T("0097317854338")</f>
        <v>0097317854338</v>
      </c>
      <c r="L4841" t="str">
        <f>T("1111111111")</f>
        <v>1111111111</v>
      </c>
    </row>
    <row r="4842" spans="1:12" x14ac:dyDescent="0.35">
      <c r="A4842" t="str">
        <f t="shared" si="1888"/>
        <v>NAVFAC EURAFSWA HL5</v>
      </c>
      <c r="B4842" t="str">
        <f>T("FISCSI SITE BAHRAIN")</f>
        <v>FISCSI SITE BAHRAIN</v>
      </c>
      <c r="C4842" t="str">
        <f>T("PSC 451 BOX 50")</f>
        <v>PSC 451 BOX 50</v>
      </c>
      <c r="D4842" t="str">
        <f t="shared" si="1889"/>
        <v>FPO</v>
      </c>
      <c r="E4842" t="str">
        <f t="shared" si="1890"/>
        <v>AE</v>
      </c>
      <c r="F4842" t="str">
        <f>T("098340001")</f>
        <v>098340001</v>
      </c>
      <c r="G4842" t="str">
        <f>T("PSC 451 BOX 50")</f>
        <v>PSC 451 BOX 50</v>
      </c>
      <c r="H4842" t="str">
        <f>T("")</f>
        <v/>
      </c>
      <c r="I4842" t="str">
        <f t="shared" si="1891"/>
        <v>FPO</v>
      </c>
      <c r="J4842" t="str">
        <f t="shared" si="1892"/>
        <v>AE</v>
      </c>
      <c r="K4842" t="str">
        <f>T("0097317854431")</f>
        <v>0097317854431</v>
      </c>
      <c r="L4842" t="str">
        <f>T("1111111111")</f>
        <v>1111111111</v>
      </c>
    </row>
    <row r="4843" spans="1:12" x14ac:dyDescent="0.35">
      <c r="A4843" t="str">
        <f t="shared" si="1888"/>
        <v>NAVFAC EURAFSWA HL5</v>
      </c>
      <c r="B4843" t="str">
        <f>T("FISCSI SITE BAHRAIN")</f>
        <v>FISCSI SITE BAHRAIN</v>
      </c>
      <c r="C4843" t="str">
        <f>T("PSC 451 BOX 50")</f>
        <v>PSC 451 BOX 50</v>
      </c>
      <c r="D4843" t="str">
        <f t="shared" si="1889"/>
        <v>FPO</v>
      </c>
      <c r="E4843" t="str">
        <f t="shared" si="1890"/>
        <v>AE</v>
      </c>
      <c r="F4843" t="str">
        <f>T("098340001")</f>
        <v>098340001</v>
      </c>
      <c r="G4843" t="str">
        <f>T("PSC 851 BOX 515")</f>
        <v>PSC 851 BOX 515</v>
      </c>
      <c r="H4843" t="str">
        <f>T("")</f>
        <v/>
      </c>
      <c r="I4843" t="str">
        <f t="shared" si="1891"/>
        <v>FPO</v>
      </c>
      <c r="J4843" t="str">
        <f t="shared" si="1892"/>
        <v>AE</v>
      </c>
      <c r="K4843" t="str">
        <f>T("011390815683759")</f>
        <v>011390815683759</v>
      </c>
      <c r="L4843" t="str">
        <f>T("1111111111")</f>
        <v>1111111111</v>
      </c>
    </row>
    <row r="4844" spans="1:12" x14ac:dyDescent="0.35">
      <c r="A4844" t="str">
        <f t="shared" si="1888"/>
        <v>NAVFAC EURAFSWA HL5</v>
      </c>
      <c r="B4844" t="str">
        <f>T("NAVFAC EURSWA PWD BAH")</f>
        <v>NAVFAC EURSWA PWD BAH</v>
      </c>
      <c r="C4844" t="str">
        <f>T("PSC 451 BOX 510")</f>
        <v>PSC 451 BOX 510</v>
      </c>
      <c r="D4844" t="str">
        <f t="shared" si="1889"/>
        <v>FPO</v>
      </c>
      <c r="E4844" t="str">
        <f t="shared" si="1890"/>
        <v>AE</v>
      </c>
      <c r="F4844" t="str">
        <f>T("098340006")</f>
        <v>098340006</v>
      </c>
      <c r="G4844" t="str">
        <f>T("NAVFAC EURSWA PWD BAH")</f>
        <v>NAVFAC EURSWA PWD BAH</v>
      </c>
      <c r="H4844" t="str">
        <f>T("PSC 451 BOX 510")</f>
        <v>PSC 451 BOX 510</v>
      </c>
      <c r="I4844" t="str">
        <f t="shared" si="1891"/>
        <v>FPO</v>
      </c>
      <c r="J4844" t="str">
        <f t="shared" si="1892"/>
        <v>AE</v>
      </c>
      <c r="K4844" t="str">
        <f>T("")</f>
        <v/>
      </c>
      <c r="L4844" t="str">
        <f>T("1111111111")</f>
        <v>1111111111</v>
      </c>
    </row>
    <row r="4845" spans="1:12" x14ac:dyDescent="0.35">
      <c r="A4845" t="str">
        <f t="shared" si="1888"/>
        <v>NAVFAC EURAFSWA HL5</v>
      </c>
      <c r="B4845" t="str">
        <f>T("NAVFAC EURSWA PWD BAH")</f>
        <v>NAVFAC EURSWA PWD BAH</v>
      </c>
      <c r="C4845" t="str">
        <f>T("PSC 451 BOX 510")</f>
        <v>PSC 451 BOX 510</v>
      </c>
      <c r="D4845" t="str">
        <f t="shared" si="1889"/>
        <v>FPO</v>
      </c>
      <c r="E4845" t="str">
        <f t="shared" si="1890"/>
        <v>AE</v>
      </c>
      <c r="F4845" t="str">
        <f>T("098340006")</f>
        <v>098340006</v>
      </c>
      <c r="G4845" t="str">
        <f>T("PSC 451 BOX 510")</f>
        <v>PSC 451 BOX 510</v>
      </c>
      <c r="H4845" t="str">
        <f>T("")</f>
        <v/>
      </c>
      <c r="I4845" t="str">
        <f t="shared" si="1891"/>
        <v>FPO</v>
      </c>
      <c r="J4845" t="str">
        <f t="shared" si="1892"/>
        <v>AE</v>
      </c>
      <c r="K4845" t="str">
        <f>T("000000000000000000")</f>
        <v>000000000000000000</v>
      </c>
      <c r="L4845" t="str">
        <f>T("1111111111")</f>
        <v>1111111111</v>
      </c>
    </row>
    <row r="4846" spans="1:12" x14ac:dyDescent="0.35">
      <c r="A4846" t="str">
        <f t="shared" si="1888"/>
        <v>NAVFAC EURAFSWA HL5</v>
      </c>
      <c r="B4846" t="str">
        <f>T("NAVFAC PWD SIGONELLA")</f>
        <v>NAVFAC PWD SIGONELLA</v>
      </c>
      <c r="C4846" t="str">
        <f>T("PSC 812 BOX 3200")</f>
        <v>PSC 812 BOX 3200</v>
      </c>
      <c r="D4846" t="str">
        <f t="shared" si="1889"/>
        <v>FPO</v>
      </c>
      <c r="E4846" t="str">
        <f t="shared" si="1890"/>
        <v>AE</v>
      </c>
      <c r="F4846" t="str">
        <f>T("096273200")</f>
        <v>096273200</v>
      </c>
      <c r="G4846" t="str">
        <f>T("NAVFAC PWD SIGONELLA")</f>
        <v>NAVFAC PWD SIGONELLA</v>
      </c>
      <c r="H4846" t="str">
        <f>T("PSC 812 BOX 3200")</f>
        <v>PSC 812 BOX 3200</v>
      </c>
      <c r="I4846" t="str">
        <f t="shared" si="1891"/>
        <v>FPO</v>
      </c>
      <c r="J4846" t="str">
        <f t="shared" si="1892"/>
        <v>AE</v>
      </c>
      <c r="K4846" t="str">
        <f>T("")</f>
        <v/>
      </c>
      <c r="L4846" t="str">
        <f>T("3146246898")</f>
        <v>3146246898</v>
      </c>
    </row>
    <row r="4847" spans="1:12" x14ac:dyDescent="0.35">
      <c r="A4847" t="str">
        <f t="shared" si="1888"/>
        <v>NAVFAC EURAFSWA HL5</v>
      </c>
      <c r="B4847" t="str">
        <f>T("NAVFAC PWD SIGONELLA")</f>
        <v>NAVFAC PWD SIGONELLA</v>
      </c>
      <c r="C4847" t="str">
        <f>T("PSC 812 BOX 3200")</f>
        <v>PSC 812 BOX 3200</v>
      </c>
      <c r="D4847" t="str">
        <f t="shared" si="1889"/>
        <v>FPO</v>
      </c>
      <c r="E4847" t="str">
        <f t="shared" si="1890"/>
        <v>AE</v>
      </c>
      <c r="F4847" t="str">
        <f>T("096273200")</f>
        <v>096273200</v>
      </c>
      <c r="G4847" t="str">
        <f>T("PSC 812 BOX 3000")</f>
        <v>PSC 812 BOX 3000</v>
      </c>
      <c r="H4847" t="str">
        <f>T("")</f>
        <v/>
      </c>
      <c r="I4847" t="str">
        <f t="shared" si="1891"/>
        <v>FPO</v>
      </c>
      <c r="J4847" t="str">
        <f t="shared" si="1892"/>
        <v>AE</v>
      </c>
      <c r="K4847" t="str">
        <f>T("01139095862980")</f>
        <v>01139095862980</v>
      </c>
      <c r="L4847" t="str">
        <f t="shared" ref="L4847:L4868" si="1894">T("1111111111")</f>
        <v>1111111111</v>
      </c>
    </row>
    <row r="4848" spans="1:12" x14ac:dyDescent="0.35">
      <c r="A4848" t="str">
        <f t="shared" si="1888"/>
        <v>NAVFAC EURAFSWA HL5</v>
      </c>
      <c r="B4848" t="str">
        <f>T("NAVFAC PWD SIGONELLA")</f>
        <v>NAVFAC PWD SIGONELLA</v>
      </c>
      <c r="C4848" t="str">
        <f>T("PSC 812 BOX 3200")</f>
        <v>PSC 812 BOX 3200</v>
      </c>
      <c r="D4848" t="str">
        <f t="shared" si="1889"/>
        <v>FPO</v>
      </c>
      <c r="E4848" t="str">
        <f t="shared" si="1890"/>
        <v>AE</v>
      </c>
      <c r="F4848" t="str">
        <f>T("096273200")</f>
        <v>096273200</v>
      </c>
      <c r="G4848" t="str">
        <f>T("PSC 812 BOX 3200")</f>
        <v>PSC 812 BOX 3200</v>
      </c>
      <c r="H4848" t="str">
        <f>T("")</f>
        <v/>
      </c>
      <c r="I4848" t="str">
        <f t="shared" si="1891"/>
        <v>FPO</v>
      </c>
      <c r="J4848" t="str">
        <f t="shared" si="1892"/>
        <v>AE</v>
      </c>
      <c r="K4848" t="str">
        <f>T("000000000000000000")</f>
        <v>000000000000000000</v>
      </c>
      <c r="L4848" t="str">
        <f t="shared" si="1894"/>
        <v>1111111111</v>
      </c>
    </row>
    <row r="4849" spans="1:12" x14ac:dyDescent="0.35">
      <c r="A4849" t="str">
        <f t="shared" si="1888"/>
        <v>NAVFAC EURAFSWA HL5</v>
      </c>
      <c r="B4849" t="str">
        <f>T("NAVFAC PWD SIGONELLA")</f>
        <v>NAVFAC PWD SIGONELLA</v>
      </c>
      <c r="C4849" t="str">
        <f>T("PSC 812 BOX 3200")</f>
        <v>PSC 812 BOX 3200</v>
      </c>
      <c r="D4849" t="str">
        <f t="shared" si="1889"/>
        <v>FPO</v>
      </c>
      <c r="E4849" t="str">
        <f t="shared" si="1890"/>
        <v>AE</v>
      </c>
      <c r="F4849" t="str">
        <f>T("096273200")</f>
        <v>096273200</v>
      </c>
      <c r="G4849" t="str">
        <f>T("PSC 812 BOX 3200")</f>
        <v>PSC 812 BOX 3200</v>
      </c>
      <c r="H4849" t="str">
        <f>T("")</f>
        <v/>
      </c>
      <c r="I4849" t="str">
        <f t="shared" si="1891"/>
        <v>FPO</v>
      </c>
      <c r="J4849" t="str">
        <f t="shared" si="1892"/>
        <v>AE</v>
      </c>
      <c r="K4849" t="str">
        <f>T("0039095866243")</f>
        <v>0039095866243</v>
      </c>
      <c r="L4849" t="str">
        <f t="shared" si="1894"/>
        <v>1111111111</v>
      </c>
    </row>
    <row r="4850" spans="1:12" x14ac:dyDescent="0.35">
      <c r="A4850" t="str">
        <f t="shared" si="1888"/>
        <v>NAVFAC EURAFSWA HL5</v>
      </c>
      <c r="B4850" t="str">
        <f>T("NAVSTA ROTA")</f>
        <v>NAVSTA ROTA</v>
      </c>
      <c r="C4850" t="str">
        <f>T("PSC 819 BOX 9")</f>
        <v>PSC 819 BOX 9</v>
      </c>
      <c r="D4850" t="str">
        <f t="shared" si="1889"/>
        <v>FPO</v>
      </c>
      <c r="E4850" t="str">
        <f t="shared" si="1890"/>
        <v>AE</v>
      </c>
      <c r="F4850" t="str">
        <f t="shared" ref="F4850:F4856" si="1895">T("096450001")</f>
        <v>096450001</v>
      </c>
      <c r="G4850" t="str">
        <f>T("NAVSTA ROTA")</f>
        <v>NAVSTA ROTA</v>
      </c>
      <c r="H4850" t="str">
        <f>T("PSC 819 BOX 9")</f>
        <v>PSC 819 BOX 9</v>
      </c>
      <c r="I4850" t="str">
        <f t="shared" si="1891"/>
        <v>FPO</v>
      </c>
      <c r="J4850" t="str">
        <f t="shared" si="1892"/>
        <v>AE</v>
      </c>
      <c r="K4850" t="str">
        <f>T("0034956822556")</f>
        <v>0034956822556</v>
      </c>
      <c r="L4850" t="str">
        <f t="shared" si="1894"/>
        <v>1111111111</v>
      </c>
    </row>
    <row r="4851" spans="1:12" x14ac:dyDescent="0.35">
      <c r="A4851" t="str">
        <f t="shared" si="1888"/>
        <v>NAVFAC EURAFSWA HL5</v>
      </c>
      <c r="B4851" t="str">
        <f>T("NAVSTA ROTA")</f>
        <v>NAVSTA ROTA</v>
      </c>
      <c r="C4851" t="str">
        <f>T("PSC 819 BOX 9")</f>
        <v>PSC 819 BOX 9</v>
      </c>
      <c r="D4851" t="str">
        <f t="shared" si="1889"/>
        <v>FPO</v>
      </c>
      <c r="E4851" t="str">
        <f t="shared" si="1890"/>
        <v>AE</v>
      </c>
      <c r="F4851" t="str">
        <f t="shared" si="1895"/>
        <v>096450001</v>
      </c>
      <c r="G4851" t="str">
        <f>T("PSC 819 BOX 26")</f>
        <v>PSC 819 BOX 26</v>
      </c>
      <c r="H4851" t="str">
        <f>T("")</f>
        <v/>
      </c>
      <c r="I4851" t="str">
        <f t="shared" si="1891"/>
        <v>FPO</v>
      </c>
      <c r="J4851" t="str">
        <f t="shared" si="1892"/>
        <v>AE</v>
      </c>
      <c r="K4851" t="str">
        <f>T("00349562566")</f>
        <v>00349562566</v>
      </c>
      <c r="L4851" t="str">
        <f t="shared" si="1894"/>
        <v>1111111111</v>
      </c>
    </row>
    <row r="4852" spans="1:12" x14ac:dyDescent="0.35">
      <c r="A4852" t="str">
        <f t="shared" si="1888"/>
        <v>NAVFAC EURAFSWA HL5</v>
      </c>
      <c r="B4852" t="str">
        <f>T("NAVSTA ROTA")</f>
        <v>NAVSTA ROTA</v>
      </c>
      <c r="C4852" t="str">
        <f>T("PSC 819 BOX 9")</f>
        <v>PSC 819 BOX 9</v>
      </c>
      <c r="D4852" t="str">
        <f t="shared" si="1889"/>
        <v>FPO</v>
      </c>
      <c r="E4852" t="str">
        <f t="shared" si="1890"/>
        <v>AE</v>
      </c>
      <c r="F4852" t="str">
        <f t="shared" si="1895"/>
        <v>096450001</v>
      </c>
      <c r="G4852" t="str">
        <f>T("PSC 819 BOX 9")</f>
        <v>PSC 819 BOX 9</v>
      </c>
      <c r="H4852" t="str">
        <f>T("PUBLIC WORKS DEPT")</f>
        <v>PUBLIC WORKS DEPT</v>
      </c>
      <c r="I4852" t="str">
        <f t="shared" si="1891"/>
        <v>FPO</v>
      </c>
      <c r="J4852" t="str">
        <f t="shared" si="1892"/>
        <v>AE</v>
      </c>
      <c r="K4852" t="str">
        <f>T("34956826437")</f>
        <v>34956826437</v>
      </c>
      <c r="L4852" t="str">
        <f t="shared" si="1894"/>
        <v>1111111111</v>
      </c>
    </row>
    <row r="4853" spans="1:12" x14ac:dyDescent="0.35">
      <c r="A4853" t="str">
        <f t="shared" si="1888"/>
        <v>NAVFAC EURAFSWA HL5</v>
      </c>
      <c r="B4853" t="str">
        <f>T("NAVSTA ROTA SPAIN")</f>
        <v>NAVSTA ROTA SPAIN</v>
      </c>
      <c r="C4853" t="str">
        <f>T("PSC 819 BOX 8")</f>
        <v>PSC 819 BOX 8</v>
      </c>
      <c r="D4853" t="str">
        <f t="shared" si="1889"/>
        <v>FPO</v>
      </c>
      <c r="E4853" t="str">
        <f t="shared" si="1890"/>
        <v>AE</v>
      </c>
      <c r="F4853" t="str">
        <f t="shared" si="1895"/>
        <v>096450001</v>
      </c>
      <c r="G4853" t="str">
        <f>T("NAVSTA ROTA SPAIN")</f>
        <v>NAVSTA ROTA SPAIN</v>
      </c>
      <c r="H4853" t="str">
        <f>T("PSC 819 BOX 8")</f>
        <v>PSC 819 BOX 8</v>
      </c>
      <c r="I4853" t="str">
        <f t="shared" si="1891"/>
        <v>FPO</v>
      </c>
      <c r="J4853" t="str">
        <f t="shared" si="1892"/>
        <v>AE</v>
      </c>
      <c r="K4853" t="str">
        <f>T("")</f>
        <v/>
      </c>
      <c r="L4853" t="str">
        <f t="shared" si="1894"/>
        <v>1111111111</v>
      </c>
    </row>
    <row r="4854" spans="1:12" x14ac:dyDescent="0.35">
      <c r="A4854" t="str">
        <f t="shared" si="1888"/>
        <v>NAVFAC EURAFSWA HL5</v>
      </c>
      <c r="B4854" t="str">
        <f>T("NAVSTA ROTA SPAIN")</f>
        <v>NAVSTA ROTA SPAIN</v>
      </c>
      <c r="C4854" t="str">
        <f>T("PSC 819 BOX 8")</f>
        <v>PSC 819 BOX 8</v>
      </c>
      <c r="D4854" t="str">
        <f t="shared" si="1889"/>
        <v>FPO</v>
      </c>
      <c r="E4854" t="str">
        <f t="shared" si="1890"/>
        <v>AE</v>
      </c>
      <c r="F4854" t="str">
        <f t="shared" si="1895"/>
        <v>096450001</v>
      </c>
      <c r="G4854" t="str">
        <f>T("PSC 819 BOX 65")</f>
        <v>PSC 819 BOX 65</v>
      </c>
      <c r="H4854" t="str">
        <f>T("")</f>
        <v/>
      </c>
      <c r="I4854" t="str">
        <f t="shared" si="1891"/>
        <v>FPO</v>
      </c>
      <c r="J4854" t="str">
        <f t="shared" si="1892"/>
        <v>AE</v>
      </c>
      <c r="K4854" t="str">
        <f>T("000000000000000000")</f>
        <v>000000000000000000</v>
      </c>
      <c r="L4854" t="str">
        <f t="shared" si="1894"/>
        <v>1111111111</v>
      </c>
    </row>
    <row r="4855" spans="1:12" x14ac:dyDescent="0.35">
      <c r="A4855" t="str">
        <f t="shared" si="1888"/>
        <v>NAVFAC EURAFSWA HL5</v>
      </c>
      <c r="B4855" t="str">
        <f>T("NAVSTA ROTA SPAIN")</f>
        <v>NAVSTA ROTA SPAIN</v>
      </c>
      <c r="C4855" t="str">
        <f>T("PSC 819 BOX 8")</f>
        <v>PSC 819 BOX 8</v>
      </c>
      <c r="D4855" t="str">
        <f t="shared" si="1889"/>
        <v>FPO</v>
      </c>
      <c r="E4855" t="str">
        <f t="shared" si="1890"/>
        <v>AE</v>
      </c>
      <c r="F4855" t="str">
        <f t="shared" si="1895"/>
        <v>096450001</v>
      </c>
      <c r="G4855" t="str">
        <f>T("PSC 819 BOX 65")</f>
        <v>PSC 819 BOX 65</v>
      </c>
      <c r="H4855" t="str">
        <f>T("")</f>
        <v/>
      </c>
      <c r="I4855" t="str">
        <f t="shared" si="1891"/>
        <v>FPO</v>
      </c>
      <c r="J4855" t="str">
        <f t="shared" si="1892"/>
        <v>AE</v>
      </c>
      <c r="K4855" t="str">
        <f>T("0034956822990")</f>
        <v>0034956822990</v>
      </c>
      <c r="L4855" t="str">
        <f t="shared" si="1894"/>
        <v>1111111111</v>
      </c>
    </row>
    <row r="4856" spans="1:12" x14ac:dyDescent="0.35">
      <c r="A4856" t="str">
        <f t="shared" si="1888"/>
        <v>NAVFAC EURAFSWA HL5</v>
      </c>
      <c r="B4856" t="str">
        <f>T("NAVSTA ROTA SPAIN")</f>
        <v>NAVSTA ROTA SPAIN</v>
      </c>
      <c r="C4856" t="str">
        <f>T("PSC 819 BOX 8")</f>
        <v>PSC 819 BOX 8</v>
      </c>
      <c r="D4856" t="str">
        <f t="shared" si="1889"/>
        <v>FPO</v>
      </c>
      <c r="E4856" t="str">
        <f t="shared" si="1890"/>
        <v>AE</v>
      </c>
      <c r="F4856" t="str">
        <f t="shared" si="1895"/>
        <v>096450001</v>
      </c>
      <c r="G4856" t="str">
        <f>T("PSC 819 BOX 8")</f>
        <v>PSC 819 BOX 8</v>
      </c>
      <c r="H4856" t="str">
        <f>T("")</f>
        <v/>
      </c>
      <c r="I4856" t="str">
        <f t="shared" si="1891"/>
        <v>FPO</v>
      </c>
      <c r="J4856" t="str">
        <f t="shared" si="1892"/>
        <v>AE</v>
      </c>
      <c r="K4856" t="str">
        <f>T("0034956821235")</f>
        <v>0034956821235</v>
      </c>
      <c r="L4856" t="str">
        <f t="shared" si="1894"/>
        <v>1111111111</v>
      </c>
    </row>
    <row r="4857" spans="1:12" x14ac:dyDescent="0.35">
      <c r="A4857" t="str">
        <f t="shared" si="1888"/>
        <v>NAVFAC EURAFSWA HL5</v>
      </c>
      <c r="B4857" t="str">
        <f>T("PRODUCTS AND SERVICES DIV")</f>
        <v>PRODUCTS AND SERVICES DIV</v>
      </c>
      <c r="C4857" t="str">
        <f>T("PSC 812 BOX 3230")</f>
        <v>PSC 812 BOX 3230</v>
      </c>
      <c r="D4857" t="str">
        <f t="shared" si="1889"/>
        <v>FPO</v>
      </c>
      <c r="E4857" t="str">
        <f t="shared" si="1890"/>
        <v>AE</v>
      </c>
      <c r="F4857" t="str">
        <f>T("096270033")</f>
        <v>096270033</v>
      </c>
      <c r="G4857" t="str">
        <f>T("PRODUCTS AND SERVICES DIV")</f>
        <v>PRODUCTS AND SERVICES DIV</v>
      </c>
      <c r="H4857" t="str">
        <f>T("PSC 812 BOX 3230")</f>
        <v>PSC 812 BOX 3230</v>
      </c>
      <c r="I4857" t="str">
        <f t="shared" si="1891"/>
        <v>FPO</v>
      </c>
      <c r="J4857" t="str">
        <f t="shared" si="1892"/>
        <v>AE</v>
      </c>
      <c r="K4857" t="str">
        <f>T("01139095865006")</f>
        <v>01139095865006</v>
      </c>
      <c r="L4857" t="str">
        <f t="shared" si="1894"/>
        <v>1111111111</v>
      </c>
    </row>
    <row r="4858" spans="1:12" x14ac:dyDescent="0.35">
      <c r="A4858" t="str">
        <f t="shared" si="1888"/>
        <v>NAVFAC EURAFSWA HL5</v>
      </c>
      <c r="B4858" t="str">
        <f>T("PRODUCTS AND SERVICES DIV")</f>
        <v>PRODUCTS AND SERVICES DIV</v>
      </c>
      <c r="C4858" t="str">
        <f>T("PSC 812 BOX 3230")</f>
        <v>PSC 812 BOX 3230</v>
      </c>
      <c r="D4858" t="str">
        <f t="shared" si="1889"/>
        <v>FPO</v>
      </c>
      <c r="E4858" t="str">
        <f t="shared" si="1890"/>
        <v>AE</v>
      </c>
      <c r="F4858" t="str">
        <f>T("096270033")</f>
        <v>096270033</v>
      </c>
      <c r="G4858" t="str">
        <f>T("PSC 812 BOX 19")</f>
        <v>PSC 812 BOX 19</v>
      </c>
      <c r="H4858" t="str">
        <f>T("")</f>
        <v/>
      </c>
      <c r="I4858" t="str">
        <f t="shared" si="1891"/>
        <v>FPO</v>
      </c>
      <c r="J4858" t="str">
        <f t="shared" si="1892"/>
        <v>AE</v>
      </c>
      <c r="K4858" t="str">
        <f>T("01139095865007")</f>
        <v>01139095865007</v>
      </c>
      <c r="L4858" t="str">
        <f t="shared" si="1894"/>
        <v>1111111111</v>
      </c>
    </row>
    <row r="4859" spans="1:12" x14ac:dyDescent="0.35">
      <c r="A4859" t="str">
        <f t="shared" si="1888"/>
        <v>NAVFAC EURAFSWA HL5</v>
      </c>
      <c r="B4859" t="str">
        <f>T("PRODUCTS AND SERVICES DIV")</f>
        <v>PRODUCTS AND SERVICES DIV</v>
      </c>
      <c r="C4859" t="str">
        <f>T("PSC 812 BOX 3230")</f>
        <v>PSC 812 BOX 3230</v>
      </c>
      <c r="D4859" t="str">
        <f t="shared" si="1889"/>
        <v>FPO</v>
      </c>
      <c r="E4859" t="str">
        <f t="shared" si="1890"/>
        <v>AE</v>
      </c>
      <c r="F4859" t="str">
        <f>T("096270033")</f>
        <v>096270033</v>
      </c>
      <c r="G4859" t="str">
        <f>T("PSC 812 BOX 3200")</f>
        <v>PSC 812 BOX 3200</v>
      </c>
      <c r="H4859" t="str">
        <f>T("")</f>
        <v/>
      </c>
      <c r="I4859" t="str">
        <f t="shared" si="1891"/>
        <v>FPO</v>
      </c>
      <c r="J4859" t="str">
        <f t="shared" si="1892"/>
        <v>AE</v>
      </c>
      <c r="K4859" t="str">
        <f>T("01139095862094")</f>
        <v>01139095862094</v>
      </c>
      <c r="L4859" t="str">
        <f t="shared" si="1894"/>
        <v>1111111111</v>
      </c>
    </row>
    <row r="4860" spans="1:12" x14ac:dyDescent="0.35">
      <c r="A4860" t="str">
        <f t="shared" si="1888"/>
        <v>NAVFAC EURAFSWA HL5</v>
      </c>
      <c r="B4860" t="str">
        <f>T("PRODUCTS AND SERVICES DIV")</f>
        <v>PRODUCTS AND SERVICES DIV</v>
      </c>
      <c r="C4860" t="str">
        <f>T("PSC 812 BOX 3230")</f>
        <v>PSC 812 BOX 3230</v>
      </c>
      <c r="D4860" t="str">
        <f t="shared" si="1889"/>
        <v>FPO</v>
      </c>
      <c r="E4860" t="str">
        <f t="shared" si="1890"/>
        <v>AE</v>
      </c>
      <c r="F4860" t="str">
        <f>T("096270033")</f>
        <v>096270033</v>
      </c>
      <c r="G4860" t="str">
        <f>T("PWD WC69")</f>
        <v>PWD WC69</v>
      </c>
      <c r="H4860" t="str">
        <f>T("PSC 812 BOX 2142")</f>
        <v>PSC 812 BOX 2142</v>
      </c>
      <c r="I4860" t="str">
        <f t="shared" si="1891"/>
        <v>FPO</v>
      </c>
      <c r="J4860" t="str">
        <f t="shared" si="1892"/>
        <v>AE</v>
      </c>
      <c r="K4860" t="str">
        <f>T("01139095865358")</f>
        <v>01139095865358</v>
      </c>
      <c r="L4860" t="str">
        <f t="shared" si="1894"/>
        <v>1111111111</v>
      </c>
    </row>
    <row r="4861" spans="1:12" x14ac:dyDescent="0.35">
      <c r="A4861" t="str">
        <f t="shared" ref="A4861:A4881" si="1896">T("NAVFAC EURAFSWA HL5")</f>
        <v>NAVFAC EURAFSWA HL5</v>
      </c>
      <c r="B4861" t="str">
        <f>T("PSC 451 BOX 510")</f>
        <v>PSC 451 BOX 510</v>
      </c>
      <c r="C4861" t="str">
        <f t="shared" ref="C4861:C4869" si="1897">T("")</f>
        <v/>
      </c>
      <c r="D4861" t="str">
        <f t="shared" si="1889"/>
        <v>FPO</v>
      </c>
      <c r="E4861" t="str">
        <f t="shared" ref="E4861:E4881" si="1898">T("AE")</f>
        <v>AE</v>
      </c>
      <c r="F4861" t="str">
        <f>T("098340006")</f>
        <v>098340006</v>
      </c>
      <c r="G4861" t="str">
        <f>T("PSC 451 BOX 510")</f>
        <v>PSC 451 BOX 510</v>
      </c>
      <c r="H4861" t="str">
        <f t="shared" ref="H4861:H4871" si="1899">T("")</f>
        <v/>
      </c>
      <c r="I4861" t="str">
        <f t="shared" si="1891"/>
        <v>FPO</v>
      </c>
      <c r="J4861" t="str">
        <f t="shared" ref="J4861:J4881" si="1900">T("AE")</f>
        <v>AE</v>
      </c>
      <c r="K4861" t="str">
        <f>T("0097317853312")</f>
        <v>0097317853312</v>
      </c>
      <c r="L4861" t="str">
        <f t="shared" si="1894"/>
        <v>1111111111</v>
      </c>
    </row>
    <row r="4862" spans="1:12" x14ac:dyDescent="0.35">
      <c r="A4862" t="str">
        <f t="shared" si="1896"/>
        <v>NAVFAC EURAFSWA HL5</v>
      </c>
      <c r="B4862" t="str">
        <f>T("PSC 451 BOX 510")</f>
        <v>PSC 451 BOX 510</v>
      </c>
      <c r="C4862" t="str">
        <f t="shared" si="1897"/>
        <v/>
      </c>
      <c r="D4862" t="str">
        <f t="shared" si="1889"/>
        <v>FPO</v>
      </c>
      <c r="E4862" t="str">
        <f t="shared" si="1898"/>
        <v>AE</v>
      </c>
      <c r="F4862" t="str">
        <f>T("098340006")</f>
        <v>098340006</v>
      </c>
      <c r="G4862" t="str">
        <f>T("PSC 451 BOX 510")</f>
        <v>PSC 451 BOX 510</v>
      </c>
      <c r="H4862" t="str">
        <f t="shared" si="1899"/>
        <v/>
      </c>
      <c r="I4862" t="str">
        <f t="shared" si="1891"/>
        <v>FPO</v>
      </c>
      <c r="J4862" t="str">
        <f t="shared" si="1900"/>
        <v>AE</v>
      </c>
      <c r="K4862" t="str">
        <f>T("0097317854034")</f>
        <v>0097317854034</v>
      </c>
      <c r="L4862" t="str">
        <f t="shared" si="1894"/>
        <v>1111111111</v>
      </c>
    </row>
    <row r="4863" spans="1:12" x14ac:dyDescent="0.35">
      <c r="A4863" t="str">
        <f t="shared" si="1896"/>
        <v>NAVFAC EURAFSWA HL5</v>
      </c>
      <c r="B4863" t="str">
        <f>T("PSC 451 BOX 510")</f>
        <v>PSC 451 BOX 510</v>
      </c>
      <c r="C4863" t="str">
        <f t="shared" si="1897"/>
        <v/>
      </c>
      <c r="D4863" t="str">
        <f t="shared" si="1889"/>
        <v>FPO</v>
      </c>
      <c r="E4863" t="str">
        <f t="shared" si="1898"/>
        <v>AE</v>
      </c>
      <c r="F4863" t="str">
        <f>T("098340006")</f>
        <v>098340006</v>
      </c>
      <c r="G4863" t="str">
        <f>T("PSC 451 BOX 510")</f>
        <v>PSC 451 BOX 510</v>
      </c>
      <c r="H4863" t="str">
        <f t="shared" si="1899"/>
        <v/>
      </c>
      <c r="I4863" t="str">
        <f t="shared" si="1891"/>
        <v>FPO</v>
      </c>
      <c r="J4863" t="str">
        <f t="shared" si="1900"/>
        <v>AE</v>
      </c>
      <c r="K4863" t="str">
        <f>T("0097317854254")</f>
        <v>0097317854254</v>
      </c>
      <c r="L4863" t="str">
        <f t="shared" si="1894"/>
        <v>1111111111</v>
      </c>
    </row>
    <row r="4864" spans="1:12" x14ac:dyDescent="0.35">
      <c r="A4864" t="str">
        <f t="shared" si="1896"/>
        <v>NAVFAC EURAFSWA HL5</v>
      </c>
      <c r="B4864" t="str">
        <f>T("PSC 451 BOX 510")</f>
        <v>PSC 451 BOX 510</v>
      </c>
      <c r="C4864" t="str">
        <f t="shared" si="1897"/>
        <v/>
      </c>
      <c r="D4864" t="str">
        <f t="shared" si="1889"/>
        <v>FPO</v>
      </c>
      <c r="E4864" t="str">
        <f t="shared" si="1898"/>
        <v>AE</v>
      </c>
      <c r="F4864" t="str">
        <f>T("098340006")</f>
        <v>098340006</v>
      </c>
      <c r="G4864" t="str">
        <f>T("PSC 451 BOX 510")</f>
        <v>PSC 451 BOX 510</v>
      </c>
      <c r="H4864" t="str">
        <f t="shared" si="1899"/>
        <v/>
      </c>
      <c r="I4864" t="str">
        <f t="shared" si="1891"/>
        <v>FPO</v>
      </c>
      <c r="J4864" t="str">
        <f t="shared" si="1900"/>
        <v>AE</v>
      </c>
      <c r="K4864" t="str">
        <f>T("97317854338")</f>
        <v>97317854338</v>
      </c>
      <c r="L4864" t="str">
        <f t="shared" si="1894"/>
        <v>1111111111</v>
      </c>
    </row>
    <row r="4865" spans="1:12" x14ac:dyDescent="0.35">
      <c r="A4865" t="str">
        <f t="shared" si="1896"/>
        <v>NAVFAC EURAFSWA HL5</v>
      </c>
      <c r="B4865" t="str">
        <f>T("PSC 817 BOX 51")</f>
        <v>PSC 817 BOX 51</v>
      </c>
      <c r="C4865" t="str">
        <f t="shared" si="1897"/>
        <v/>
      </c>
      <c r="D4865" t="str">
        <f t="shared" si="1889"/>
        <v>FPO</v>
      </c>
      <c r="E4865" t="str">
        <f t="shared" si="1898"/>
        <v>AE</v>
      </c>
      <c r="F4865" t="str">
        <f>T("096220001")</f>
        <v>096220001</v>
      </c>
      <c r="G4865" t="str">
        <f>T("PSC 817 BOX 51")</f>
        <v>PSC 817 BOX 51</v>
      </c>
      <c r="H4865" t="str">
        <f t="shared" si="1899"/>
        <v/>
      </c>
      <c r="I4865" t="str">
        <f t="shared" si="1891"/>
        <v>FPO</v>
      </c>
      <c r="J4865" t="str">
        <f t="shared" si="1900"/>
        <v>AE</v>
      </c>
      <c r="K4865" t="str">
        <f>T("000000000000000000")</f>
        <v>000000000000000000</v>
      </c>
      <c r="L4865" t="str">
        <f t="shared" si="1894"/>
        <v>1111111111</v>
      </c>
    </row>
    <row r="4866" spans="1:12" x14ac:dyDescent="0.35">
      <c r="A4866" t="str">
        <f t="shared" si="1896"/>
        <v>NAVFAC EURAFSWA HL5</v>
      </c>
      <c r="B4866" t="str">
        <f>T("PSC 817 BOX 51")</f>
        <v>PSC 817 BOX 51</v>
      </c>
      <c r="C4866" t="str">
        <f t="shared" si="1897"/>
        <v/>
      </c>
      <c r="D4866" t="str">
        <f t="shared" si="1889"/>
        <v>FPO</v>
      </c>
      <c r="E4866" t="str">
        <f t="shared" si="1898"/>
        <v>AE</v>
      </c>
      <c r="F4866" t="str">
        <f>T("096220001")</f>
        <v>096220001</v>
      </c>
      <c r="G4866" t="str">
        <f>T("PSC 817 BOX 51")</f>
        <v>PSC 817 BOX 51</v>
      </c>
      <c r="H4866" t="str">
        <f t="shared" si="1899"/>
        <v/>
      </c>
      <c r="I4866" t="str">
        <f t="shared" si="1891"/>
        <v>FPO</v>
      </c>
      <c r="J4866" t="str">
        <f t="shared" si="1900"/>
        <v>AE</v>
      </c>
      <c r="K4866" t="str">
        <f>T("00390815684346")</f>
        <v>00390815684346</v>
      </c>
      <c r="L4866" t="str">
        <f t="shared" si="1894"/>
        <v>1111111111</v>
      </c>
    </row>
    <row r="4867" spans="1:12" x14ac:dyDescent="0.35">
      <c r="A4867" t="str">
        <f t="shared" si="1896"/>
        <v>NAVFAC EURAFSWA HL5</v>
      </c>
      <c r="B4867" t="str">
        <f>T("PSC 817 BOX 51")</f>
        <v>PSC 817 BOX 51</v>
      </c>
      <c r="C4867" t="str">
        <f t="shared" si="1897"/>
        <v/>
      </c>
      <c r="D4867" t="str">
        <f t="shared" si="1889"/>
        <v>FPO</v>
      </c>
      <c r="E4867" t="str">
        <f t="shared" si="1898"/>
        <v>AE</v>
      </c>
      <c r="F4867" t="str">
        <f>T("096220001")</f>
        <v>096220001</v>
      </c>
      <c r="G4867" t="str">
        <f>T("PSC 817 BOX 51")</f>
        <v>PSC 817 BOX 51</v>
      </c>
      <c r="H4867" t="str">
        <f t="shared" si="1899"/>
        <v/>
      </c>
      <c r="I4867" t="str">
        <f t="shared" si="1891"/>
        <v>FPO</v>
      </c>
      <c r="J4867" t="str">
        <f t="shared" si="1900"/>
        <v>AE</v>
      </c>
      <c r="K4867" t="str">
        <f>T("011390815684351")</f>
        <v>011390815684351</v>
      </c>
      <c r="L4867" t="str">
        <f t="shared" si="1894"/>
        <v>1111111111</v>
      </c>
    </row>
    <row r="4868" spans="1:12" x14ac:dyDescent="0.35">
      <c r="A4868" t="str">
        <f t="shared" si="1896"/>
        <v>NAVFAC EURAFSWA HL5</v>
      </c>
      <c r="B4868" t="str">
        <f>T("PSC 817 BOX 51")</f>
        <v>PSC 817 BOX 51</v>
      </c>
      <c r="C4868" t="str">
        <f t="shared" si="1897"/>
        <v/>
      </c>
      <c r="D4868" t="str">
        <f t="shared" si="1889"/>
        <v>FPO</v>
      </c>
      <c r="E4868" t="str">
        <f t="shared" si="1898"/>
        <v>AE</v>
      </c>
      <c r="F4868" t="str">
        <f>T("096220001")</f>
        <v>096220001</v>
      </c>
      <c r="G4868" t="str">
        <f>T("PSC 817 BOX 51")</f>
        <v>PSC 817 BOX 51</v>
      </c>
      <c r="H4868" t="str">
        <f t="shared" si="1899"/>
        <v/>
      </c>
      <c r="I4868" t="str">
        <f t="shared" si="1891"/>
        <v>FPO</v>
      </c>
      <c r="J4868" t="str">
        <f t="shared" si="1900"/>
        <v>AE</v>
      </c>
      <c r="K4868" t="str">
        <f>T("011390815684931")</f>
        <v>011390815684931</v>
      </c>
      <c r="L4868" t="str">
        <f t="shared" si="1894"/>
        <v>1111111111</v>
      </c>
    </row>
    <row r="4869" spans="1:12" x14ac:dyDescent="0.35">
      <c r="A4869" t="str">
        <f t="shared" si="1896"/>
        <v>NAVFAC EURAFSWA HL5</v>
      </c>
      <c r="B4869" t="str">
        <f>T("PSC 817 BOX 51")</f>
        <v>PSC 817 BOX 51</v>
      </c>
      <c r="C4869" t="str">
        <f t="shared" si="1897"/>
        <v/>
      </c>
      <c r="D4869" t="str">
        <f t="shared" si="1889"/>
        <v>FPO</v>
      </c>
      <c r="E4869" t="str">
        <f t="shared" si="1898"/>
        <v>AE</v>
      </c>
      <c r="F4869" t="str">
        <f>T("096220001")</f>
        <v>096220001</v>
      </c>
      <c r="G4869" t="str">
        <f>T("PSC 817 BOX 51")</f>
        <v>PSC 817 BOX 51</v>
      </c>
      <c r="H4869" t="str">
        <f t="shared" si="1899"/>
        <v/>
      </c>
      <c r="I4869" t="str">
        <f t="shared" si="1891"/>
        <v>FPO</v>
      </c>
      <c r="J4869" t="str">
        <f t="shared" si="1900"/>
        <v>AE</v>
      </c>
      <c r="K4869" t="str">
        <f>T("011390815687747")</f>
        <v>011390815687747</v>
      </c>
      <c r="L4869" t="str">
        <f>T("3146267747")</f>
        <v>3146267747</v>
      </c>
    </row>
    <row r="4870" spans="1:12" x14ac:dyDescent="0.35">
      <c r="A4870" t="str">
        <f t="shared" si="1896"/>
        <v>NAVFAC EURAFSWA HL5</v>
      </c>
      <c r="B4870" t="str">
        <f>T("PUBLIC WORKS DEPT")</f>
        <v>PUBLIC WORKS DEPT</v>
      </c>
      <c r="C4870" t="str">
        <f>T("PSC 814 BOX 3")</f>
        <v>PSC 814 BOX 3</v>
      </c>
      <c r="D4870" t="str">
        <f t="shared" si="1889"/>
        <v>FPO</v>
      </c>
      <c r="E4870" t="str">
        <f t="shared" si="1898"/>
        <v>AE</v>
      </c>
      <c r="F4870" t="str">
        <f>T("098650001")</f>
        <v>098650001</v>
      </c>
      <c r="G4870" t="str">
        <f>T("PSC 814 BOX 11")</f>
        <v>PSC 814 BOX 11</v>
      </c>
      <c r="H4870" t="str">
        <f t="shared" si="1899"/>
        <v/>
      </c>
      <c r="I4870" t="str">
        <f t="shared" si="1891"/>
        <v>FPO</v>
      </c>
      <c r="J4870" t="str">
        <f t="shared" si="1900"/>
        <v>AE</v>
      </c>
      <c r="K4870" t="str">
        <f>T("3142661250")</f>
        <v>3142661250</v>
      </c>
      <c r="L4870" t="str">
        <f>T("3142661249")</f>
        <v>3142661249</v>
      </c>
    </row>
    <row r="4871" spans="1:12" x14ac:dyDescent="0.35">
      <c r="A4871" t="str">
        <f t="shared" si="1896"/>
        <v>NAVFAC EURAFSWA HL5</v>
      </c>
      <c r="B4871" t="str">
        <f>T("PUBLIC WORKS DEPT")</f>
        <v>PUBLIC WORKS DEPT</v>
      </c>
      <c r="C4871" t="str">
        <f>T("PSC 814 BOX 3")</f>
        <v>PSC 814 BOX 3</v>
      </c>
      <c r="D4871" t="str">
        <f t="shared" si="1889"/>
        <v>FPO</v>
      </c>
      <c r="E4871" t="str">
        <f t="shared" si="1898"/>
        <v>AE</v>
      </c>
      <c r="F4871" t="str">
        <f>T("098650001")</f>
        <v>098650001</v>
      </c>
      <c r="G4871" t="str">
        <f>T("PSC 814 BOX 3")</f>
        <v>PSC 814 BOX 3</v>
      </c>
      <c r="H4871" t="str">
        <f t="shared" si="1899"/>
        <v/>
      </c>
      <c r="I4871" t="str">
        <f t="shared" si="1891"/>
        <v>FPO</v>
      </c>
      <c r="J4871" t="str">
        <f t="shared" si="1900"/>
        <v>AE</v>
      </c>
      <c r="K4871" t="str">
        <f>T("3142661408")</f>
        <v>3142661408</v>
      </c>
      <c r="L4871" t="str">
        <f t="shared" ref="L4871:L4877" si="1901">T("1111111111")</f>
        <v>1111111111</v>
      </c>
    </row>
    <row r="4872" spans="1:12" x14ac:dyDescent="0.35">
      <c r="A4872" t="str">
        <f t="shared" si="1896"/>
        <v>NAVFAC EURAFSWA HL5</v>
      </c>
      <c r="B4872" t="str">
        <f>T("PUBLIC WORKS DEPT")</f>
        <v>PUBLIC WORKS DEPT</v>
      </c>
      <c r="C4872" t="str">
        <f>T("PSC 814 BOX 3")</f>
        <v>PSC 814 BOX 3</v>
      </c>
      <c r="D4872" t="str">
        <f t="shared" si="1889"/>
        <v>FPO</v>
      </c>
      <c r="E4872" t="str">
        <f t="shared" si="1898"/>
        <v>AE</v>
      </c>
      <c r="F4872" t="str">
        <f>T("098650001")</f>
        <v>098650001</v>
      </c>
      <c r="G4872" t="str">
        <f>T("PUBLIC WORKS DEPT")</f>
        <v>PUBLIC WORKS DEPT</v>
      </c>
      <c r="H4872" t="str">
        <f>T("PSC 814 BOX 3")</f>
        <v>PSC 814 BOX 3</v>
      </c>
      <c r="I4872" t="str">
        <f t="shared" si="1891"/>
        <v>FPO</v>
      </c>
      <c r="J4872" t="str">
        <f t="shared" si="1900"/>
        <v>AE</v>
      </c>
      <c r="K4872" t="str">
        <f>T("0030821021408")</f>
        <v>0030821021408</v>
      </c>
      <c r="L4872" t="str">
        <f t="shared" si="1901"/>
        <v>1111111111</v>
      </c>
    </row>
    <row r="4873" spans="1:12" x14ac:dyDescent="0.35">
      <c r="A4873" t="str">
        <f t="shared" si="1896"/>
        <v>NAVFAC EURAFSWA HL5</v>
      </c>
      <c r="B4873" t="str">
        <f>T("PW MAINT #1")</f>
        <v>PW MAINT #1</v>
      </c>
      <c r="C4873" t="str">
        <f>T("PSC 817 BOX 22")</f>
        <v>PSC 817 BOX 22</v>
      </c>
      <c r="D4873" t="str">
        <f t="shared" si="1889"/>
        <v>FPO</v>
      </c>
      <c r="E4873" t="str">
        <f t="shared" si="1898"/>
        <v>AE</v>
      </c>
      <c r="F4873" t="str">
        <f>T("096220001")</f>
        <v>096220001</v>
      </c>
      <c r="G4873" t="str">
        <f>T("PSC 817 BOX 22")</f>
        <v>PSC 817 BOX 22</v>
      </c>
      <c r="H4873" t="str">
        <f>T("")</f>
        <v/>
      </c>
      <c r="I4873" t="str">
        <f t="shared" si="1891"/>
        <v>FPO</v>
      </c>
      <c r="J4873" t="str">
        <f t="shared" si="1900"/>
        <v>AE</v>
      </c>
      <c r="K4873" t="str">
        <f>T("011390815686071")</f>
        <v>011390815686071</v>
      </c>
      <c r="L4873" t="str">
        <f t="shared" si="1901"/>
        <v>1111111111</v>
      </c>
    </row>
    <row r="4874" spans="1:12" x14ac:dyDescent="0.35">
      <c r="A4874" t="str">
        <f t="shared" si="1896"/>
        <v>NAVFAC EURAFSWA HL5</v>
      </c>
      <c r="B4874" t="str">
        <f>T("PW MAINT #1")</f>
        <v>PW MAINT #1</v>
      </c>
      <c r="C4874" t="str">
        <f>T("PSC 817 BOX 22")</f>
        <v>PSC 817 BOX 22</v>
      </c>
      <c r="D4874" t="str">
        <f t="shared" si="1889"/>
        <v>FPO</v>
      </c>
      <c r="E4874" t="str">
        <f t="shared" si="1898"/>
        <v>AE</v>
      </c>
      <c r="F4874" t="str">
        <f>T("096220001")</f>
        <v>096220001</v>
      </c>
      <c r="G4874" t="str">
        <f>T("PW MAINT #1")</f>
        <v>PW MAINT #1</v>
      </c>
      <c r="H4874" t="str">
        <f>T("PSC 817 BOX 22")</f>
        <v>PSC 817 BOX 22</v>
      </c>
      <c r="I4874" t="str">
        <f t="shared" si="1891"/>
        <v>FPO</v>
      </c>
      <c r="J4874" t="str">
        <f t="shared" si="1900"/>
        <v>AE</v>
      </c>
      <c r="K4874" t="str">
        <f>T("")</f>
        <v/>
      </c>
      <c r="L4874" t="str">
        <f t="shared" si="1901"/>
        <v>1111111111</v>
      </c>
    </row>
    <row r="4875" spans="1:12" x14ac:dyDescent="0.35">
      <c r="A4875" t="str">
        <f t="shared" si="1896"/>
        <v>NAVFAC EURAFSWA HL5</v>
      </c>
      <c r="B4875" t="str">
        <f>T("PWD ENVIRONMENTAL")</f>
        <v>PWD ENVIRONMENTAL</v>
      </c>
      <c r="C4875" t="str">
        <f>T("PSC 817 BOX 22")</f>
        <v>PSC 817 BOX 22</v>
      </c>
      <c r="D4875" t="str">
        <f t="shared" si="1889"/>
        <v>FPO</v>
      </c>
      <c r="E4875" t="str">
        <f t="shared" si="1898"/>
        <v>AE</v>
      </c>
      <c r="F4875" t="str">
        <f>T("096220001")</f>
        <v>096220001</v>
      </c>
      <c r="G4875" t="str">
        <f>T("PSC 817 BOX 22")</f>
        <v>PSC 817 BOX 22</v>
      </c>
      <c r="H4875" t="str">
        <f>T("")</f>
        <v/>
      </c>
      <c r="I4875" t="str">
        <f t="shared" si="1891"/>
        <v>FPO</v>
      </c>
      <c r="J4875" t="str">
        <f t="shared" si="1900"/>
        <v>AE</v>
      </c>
      <c r="K4875" t="str">
        <f>T("011390815686639")</f>
        <v>011390815686639</v>
      </c>
      <c r="L4875" t="str">
        <f t="shared" si="1901"/>
        <v>1111111111</v>
      </c>
    </row>
    <row r="4876" spans="1:12" x14ac:dyDescent="0.35">
      <c r="A4876" t="str">
        <f t="shared" si="1896"/>
        <v>NAVFAC EURAFSWA HL5</v>
      </c>
      <c r="B4876" t="str">
        <f>T("PWD ENVIRONMENTAL")</f>
        <v>PWD ENVIRONMENTAL</v>
      </c>
      <c r="C4876" t="str">
        <f>T("PSC 817 BOX 22")</f>
        <v>PSC 817 BOX 22</v>
      </c>
      <c r="D4876" t="str">
        <f t="shared" si="1889"/>
        <v>FPO</v>
      </c>
      <c r="E4876" t="str">
        <f t="shared" si="1898"/>
        <v>AE</v>
      </c>
      <c r="F4876" t="str">
        <f>T("096220001")</f>
        <v>096220001</v>
      </c>
      <c r="G4876" t="str">
        <f>T("PWD ENVIRONMENTAL")</f>
        <v>PWD ENVIRONMENTAL</v>
      </c>
      <c r="H4876" t="str">
        <f>T("PSC 817 BOX 22")</f>
        <v>PSC 817 BOX 22</v>
      </c>
      <c r="I4876" t="str">
        <f t="shared" si="1891"/>
        <v>FPO</v>
      </c>
      <c r="J4876" t="str">
        <f t="shared" si="1900"/>
        <v>AE</v>
      </c>
      <c r="K4876" t="str">
        <f>T("011390815686639")</f>
        <v>011390815686639</v>
      </c>
      <c r="L4876" t="str">
        <f t="shared" si="1901"/>
        <v>1111111111</v>
      </c>
    </row>
    <row r="4877" spans="1:12" x14ac:dyDescent="0.35">
      <c r="A4877" t="str">
        <f t="shared" si="1896"/>
        <v>NAVFAC EURAFSWA HL5</v>
      </c>
      <c r="B4877" t="str">
        <f>T("ROICC VICENZA")</f>
        <v>ROICC VICENZA</v>
      </c>
      <c r="C4877" t="str">
        <f>T("UNIT 31401 BOX 55")</f>
        <v>UNIT 31401 BOX 55</v>
      </c>
      <c r="D4877" t="str">
        <f>T("APO")</f>
        <v>APO</v>
      </c>
      <c r="E4877" t="str">
        <f t="shared" si="1898"/>
        <v>AE</v>
      </c>
      <c r="F4877" t="str">
        <f>T("096301401")</f>
        <v>096301401</v>
      </c>
      <c r="G4877" t="str">
        <f>T("ROICC VICENZA")</f>
        <v>ROICC VICENZA</v>
      </c>
      <c r="H4877" t="str">
        <f>T("UNIT 31401 BOX 55")</f>
        <v>UNIT 31401 BOX 55</v>
      </c>
      <c r="I4877" t="str">
        <f>T("APO")</f>
        <v>APO</v>
      </c>
      <c r="J4877" t="str">
        <f t="shared" si="1900"/>
        <v>AE</v>
      </c>
      <c r="K4877" t="str">
        <f>T("00390444712318")</f>
        <v>00390444712318</v>
      </c>
      <c r="L4877" t="str">
        <f t="shared" si="1901"/>
        <v>1111111111</v>
      </c>
    </row>
    <row r="4878" spans="1:12" x14ac:dyDescent="0.35">
      <c r="A4878" t="str">
        <f t="shared" si="1896"/>
        <v>NAVFAC EURAFSWA HL5</v>
      </c>
      <c r="B4878" t="str">
        <f>T("ROICC VICENZA")</f>
        <v>ROICC VICENZA</v>
      </c>
      <c r="C4878" t="str">
        <f>T("UNIT 31401 BOX 55")</f>
        <v>UNIT 31401 BOX 55</v>
      </c>
      <c r="D4878" t="str">
        <f>T("APO")</f>
        <v>APO</v>
      </c>
      <c r="E4878" t="str">
        <f t="shared" si="1898"/>
        <v>AE</v>
      </c>
      <c r="F4878" t="str">
        <f>T("096301401")</f>
        <v>096301401</v>
      </c>
      <c r="G4878" t="str">
        <f>T("UNIT 31421 BOX 55")</f>
        <v>UNIT 31421 BOX 55</v>
      </c>
      <c r="H4878" t="str">
        <f>T("")</f>
        <v/>
      </c>
      <c r="I4878" t="str">
        <f>T("APO")</f>
        <v>APO</v>
      </c>
      <c r="J4878" t="str">
        <f t="shared" si="1900"/>
        <v>AE</v>
      </c>
      <c r="K4878" t="str">
        <f>T("000000000000000000")</f>
        <v>000000000000000000</v>
      </c>
      <c r="L4878" t="str">
        <f>T("3146378243")</f>
        <v>3146378243</v>
      </c>
    </row>
    <row r="4879" spans="1:12" x14ac:dyDescent="0.35">
      <c r="A4879" t="str">
        <f t="shared" si="1896"/>
        <v>NAVFAC EURAFSWA HL5</v>
      </c>
      <c r="B4879" t="str">
        <f>T("ROICC VICENZA")</f>
        <v>ROICC VICENZA</v>
      </c>
      <c r="C4879" t="str">
        <f>T("UNIT 31401 BOX 55")</f>
        <v>UNIT 31401 BOX 55</v>
      </c>
      <c r="D4879" t="str">
        <f>T("APO")</f>
        <v>APO</v>
      </c>
      <c r="E4879" t="str">
        <f t="shared" si="1898"/>
        <v>AE</v>
      </c>
      <c r="F4879" t="str">
        <f>T("096301401")</f>
        <v>096301401</v>
      </c>
      <c r="G4879" t="str">
        <f>T("UNIT 31421 BOX 56")</f>
        <v>UNIT 31421 BOX 56</v>
      </c>
      <c r="H4879" t="str">
        <f>T("")</f>
        <v/>
      </c>
      <c r="I4879" t="str">
        <f>T("FPO")</f>
        <v>FPO</v>
      </c>
      <c r="J4879" t="str">
        <f t="shared" si="1900"/>
        <v>AE</v>
      </c>
      <c r="K4879" t="str">
        <f>T("00390444712321")</f>
        <v>00390444712321</v>
      </c>
      <c r="L4879" t="str">
        <f>T("1111111111")</f>
        <v>1111111111</v>
      </c>
    </row>
    <row r="4880" spans="1:12" x14ac:dyDescent="0.35">
      <c r="A4880" t="str">
        <f t="shared" si="1896"/>
        <v>NAVFAC EURAFSWA HL5</v>
      </c>
      <c r="B4880" t="str">
        <f>T("SIGONALLA RQMTS")</f>
        <v>SIGONALLA RQMTS</v>
      </c>
      <c r="C4880" t="str">
        <f>T("PSC 812 BOX 3000")</f>
        <v>PSC 812 BOX 3000</v>
      </c>
      <c r="D4880" t="str">
        <f>T("FPO")</f>
        <v>FPO</v>
      </c>
      <c r="E4880" t="str">
        <f t="shared" si="1898"/>
        <v>AE</v>
      </c>
      <c r="F4880" t="str">
        <f>T("096270000")</f>
        <v>096270000</v>
      </c>
      <c r="G4880" t="str">
        <f>T("PSC 812 BOX 3000")</f>
        <v>PSC 812 BOX 3000</v>
      </c>
      <c r="H4880" t="str">
        <f>T("")</f>
        <v/>
      </c>
      <c r="I4880" t="str">
        <f>T("FPO")</f>
        <v>FPO</v>
      </c>
      <c r="J4880" t="str">
        <f t="shared" si="1900"/>
        <v>AE</v>
      </c>
      <c r="K4880" t="str">
        <f>T("01139095862055")</f>
        <v>01139095862055</v>
      </c>
      <c r="L4880" t="str">
        <f>T("1111111111")</f>
        <v>1111111111</v>
      </c>
    </row>
    <row r="4881" spans="1:12" x14ac:dyDescent="0.35">
      <c r="A4881" t="str">
        <f t="shared" si="1896"/>
        <v>NAVFAC EURAFSWA HL5</v>
      </c>
      <c r="B4881" t="str">
        <f>T("SIGONALLA RQMTS")</f>
        <v>SIGONALLA RQMTS</v>
      </c>
      <c r="C4881" t="str">
        <f>T("PSC 812 BOX 3000")</f>
        <v>PSC 812 BOX 3000</v>
      </c>
      <c r="D4881" t="str">
        <f>T("FPO")</f>
        <v>FPO</v>
      </c>
      <c r="E4881" t="str">
        <f t="shared" si="1898"/>
        <v>AE</v>
      </c>
      <c r="F4881" t="str">
        <f>T("096270000")</f>
        <v>096270000</v>
      </c>
      <c r="G4881" t="str">
        <f>T("SIGONALLA RQMTS")</f>
        <v>SIGONALLA RQMTS</v>
      </c>
      <c r="H4881" t="str">
        <f>T("PSC 812 BOX 3000")</f>
        <v>PSC 812 BOX 3000</v>
      </c>
      <c r="I4881" t="str">
        <f>T("FPO")</f>
        <v>FPO</v>
      </c>
      <c r="J4881" t="str">
        <f t="shared" si="1900"/>
        <v>AE</v>
      </c>
      <c r="K4881" t="str">
        <f>T("")</f>
        <v/>
      </c>
      <c r="L4881" t="str">
        <f>T("1111111111")</f>
        <v>1111111111</v>
      </c>
    </row>
    <row r="4882" spans="1:12" x14ac:dyDescent="0.35">
      <c r="A4882" t="str">
        <f t="shared" ref="A4882:A4927" si="1902">T("NAVFAC WASHINGTON HL5")</f>
        <v>NAVFAC WASHINGTON HL5</v>
      </c>
      <c r="B4882" t="str">
        <f>T("1311 10TH ST SE BLDG 166")</f>
        <v>1311 10TH ST SE BLDG 166</v>
      </c>
      <c r="C4882" t="str">
        <f>T("STE 102 WASHINGTON NAVY YRD")</f>
        <v>STE 102 WASHINGTON NAVY YRD</v>
      </c>
      <c r="D4882" t="str">
        <f t="shared" ref="D4882:D4906" si="1903">T("WASHINGTON")</f>
        <v>WASHINGTON</v>
      </c>
      <c r="E4882" t="str">
        <f t="shared" ref="E4882:E4906" si="1904">T("DC")</f>
        <v>DC</v>
      </c>
      <c r="F4882" t="str">
        <f>T("203745147")</f>
        <v>203745147</v>
      </c>
      <c r="G4882" t="str">
        <f>T("1311 10TH ST SE BLDG 166")</f>
        <v>1311 10TH ST SE BLDG 166</v>
      </c>
      <c r="H4882" t="str">
        <f>T("STE 102 WASHINGTON NAVY YRD")</f>
        <v>STE 102 WASHINGTON NAVY YRD</v>
      </c>
      <c r="I4882" t="str">
        <f>T("WASHINGTON")</f>
        <v>WASHINGTON</v>
      </c>
      <c r="J4882" t="str">
        <f>T("DC")</f>
        <v>DC</v>
      </c>
      <c r="K4882" t="str">
        <f>T("202-404-1176")</f>
        <v>202-404-1176</v>
      </c>
      <c r="L4882" t="str">
        <f>T("2027678629")</f>
        <v>2027678629</v>
      </c>
    </row>
    <row r="4883" spans="1:12" x14ac:dyDescent="0.35">
      <c r="A4883" t="str">
        <f t="shared" si="1902"/>
        <v>NAVFAC WASHINGTON HL5</v>
      </c>
      <c r="B4883" t="str">
        <f>T("1311 10TH ST SE BLDG 166")</f>
        <v>1311 10TH ST SE BLDG 166</v>
      </c>
      <c r="C4883" t="str">
        <f>T("STE 102 WASHINGTON NAVY YRD")</f>
        <v>STE 102 WASHINGTON NAVY YRD</v>
      </c>
      <c r="D4883" t="str">
        <f t="shared" si="1903"/>
        <v>WASHINGTON</v>
      </c>
      <c r="E4883" t="str">
        <f t="shared" si="1904"/>
        <v>DC</v>
      </c>
      <c r="F4883" t="str">
        <f>T("203745147")</f>
        <v>203745147</v>
      </c>
      <c r="G4883" t="str">
        <f>T("370 BROOKLEY AVE")</f>
        <v>370 BROOKLEY AVE</v>
      </c>
      <c r="H4883" t="str">
        <f>T("")</f>
        <v/>
      </c>
      <c r="I4883" t="str">
        <f>T("BOLLING AFB")</f>
        <v>BOLLING AFB</v>
      </c>
      <c r="J4883" t="str">
        <f>T("DC")</f>
        <v>DC</v>
      </c>
      <c r="K4883" t="str">
        <f>T("2027670237")</f>
        <v>2027670237</v>
      </c>
      <c r="L4883" t="str">
        <f>T("2024046515")</f>
        <v>2024046515</v>
      </c>
    </row>
    <row r="4884" spans="1:12" x14ac:dyDescent="0.35">
      <c r="A4884" t="str">
        <f t="shared" si="1902"/>
        <v>NAVFAC WASHINGTON HL5</v>
      </c>
      <c r="B4884" t="str">
        <f t="shared" ref="B4884:B4897" si="1905">T("1314 HARWOOD ST SE")</f>
        <v>1314 HARWOOD ST SE</v>
      </c>
      <c r="C4884" t="str">
        <f>T("BLDG 212")</f>
        <v>BLDG 212</v>
      </c>
      <c r="D4884" t="str">
        <f t="shared" si="1903"/>
        <v>WASHINGTON</v>
      </c>
      <c r="E4884" t="str">
        <f t="shared" si="1904"/>
        <v>DC</v>
      </c>
      <c r="F4884" t="str">
        <f t="shared" ref="F4884:F4906" si="1906">T("203745150")</f>
        <v>203745150</v>
      </c>
      <c r="G4884" t="str">
        <f>T("1314 HARWOOD ST SE")</f>
        <v>1314 HARWOOD ST SE</v>
      </c>
      <c r="H4884" t="str">
        <f>T("BLDG 212")</f>
        <v>BLDG 212</v>
      </c>
      <c r="I4884" t="str">
        <f>T("WASHINGTON")</f>
        <v>WASHINGTON</v>
      </c>
      <c r="J4884" t="str">
        <f>T("DC")</f>
        <v>DC</v>
      </c>
      <c r="K4884" t="str">
        <f>T("202-685-8158")</f>
        <v>202-685-8158</v>
      </c>
      <c r="L4884" t="str">
        <f>T("2026853042")</f>
        <v>2026853042</v>
      </c>
    </row>
    <row r="4885" spans="1:12" x14ac:dyDescent="0.35">
      <c r="A4885" t="str">
        <f t="shared" si="1902"/>
        <v>NAVFAC WASHINGTON HL5</v>
      </c>
      <c r="B4885" t="str">
        <f t="shared" si="1905"/>
        <v>1314 HARWOOD ST SE</v>
      </c>
      <c r="C4885" t="str">
        <f>T("BLDG 212")</f>
        <v>BLDG 212</v>
      </c>
      <c r="D4885" t="str">
        <f t="shared" si="1903"/>
        <v>WASHINGTON</v>
      </c>
      <c r="E4885" t="str">
        <f t="shared" si="1904"/>
        <v>DC</v>
      </c>
      <c r="F4885" t="str">
        <f t="shared" si="1906"/>
        <v>203745150</v>
      </c>
      <c r="G4885" t="str">
        <f>T("1314 HARWOOD ST SE")</f>
        <v>1314 HARWOOD ST SE</v>
      </c>
      <c r="H4885" t="str">
        <f>T("WNY BLDG 212")</f>
        <v>WNY BLDG 212</v>
      </c>
      <c r="I4885" t="str">
        <f>T("WASHINGTON")</f>
        <v>WASHINGTON</v>
      </c>
      <c r="J4885" t="str">
        <f>T("DC")</f>
        <v>DC</v>
      </c>
      <c r="K4885" t="str">
        <f>T("000000000000000000")</f>
        <v>000000000000000000</v>
      </c>
      <c r="L4885" t="str">
        <f>T("2026853023")</f>
        <v>2026853023</v>
      </c>
    </row>
    <row r="4886" spans="1:12" x14ac:dyDescent="0.35">
      <c r="A4886" t="str">
        <f t="shared" si="1902"/>
        <v>NAVFAC WASHINGTON HL5</v>
      </c>
      <c r="B4886" t="str">
        <f t="shared" si="1905"/>
        <v>1314 HARWOOD ST SE</v>
      </c>
      <c r="C4886" t="str">
        <f>T("WASHINGTON NAVY YARD BLDG 212")</f>
        <v>WASHINGTON NAVY YARD BLDG 212</v>
      </c>
      <c r="D4886" t="str">
        <f t="shared" si="1903"/>
        <v>WASHINGTON</v>
      </c>
      <c r="E4886" t="str">
        <f t="shared" si="1904"/>
        <v>DC</v>
      </c>
      <c r="F4886" t="str">
        <f t="shared" si="1906"/>
        <v>203745150</v>
      </c>
      <c r="G4886" t="str">
        <f>T("1314 HARWOOD ST SE")</f>
        <v>1314 HARWOOD ST SE</v>
      </c>
      <c r="H4886" t="str">
        <f>T("WASHINGTON NAVY YARD BLDG 212")</f>
        <v>WASHINGTON NAVY YARD BLDG 212</v>
      </c>
      <c r="I4886" t="str">
        <f>T("WASHINGTON")</f>
        <v>WASHINGTON</v>
      </c>
      <c r="J4886" t="str">
        <f>T("DC")</f>
        <v>DC</v>
      </c>
      <c r="K4886" t="str">
        <f>T("")</f>
        <v/>
      </c>
      <c r="L4886" t="str">
        <f>T("2021111111")</f>
        <v>2021111111</v>
      </c>
    </row>
    <row r="4887" spans="1:12" x14ac:dyDescent="0.35">
      <c r="A4887" t="str">
        <f t="shared" si="1902"/>
        <v>NAVFAC WASHINGTON HL5</v>
      </c>
      <c r="B4887" t="str">
        <f t="shared" si="1905"/>
        <v>1314 HARWOOD ST SE</v>
      </c>
      <c r="C4887" t="str">
        <f>T("WASHINGTON NAVY YARD BLDG 212")</f>
        <v>WASHINGTON NAVY YARD BLDG 212</v>
      </c>
      <c r="D4887" t="str">
        <f t="shared" si="1903"/>
        <v>WASHINGTON</v>
      </c>
      <c r="E4887" t="str">
        <f t="shared" si="1904"/>
        <v>DC</v>
      </c>
      <c r="F4887" t="str">
        <f t="shared" si="1906"/>
        <v>203745150</v>
      </c>
      <c r="G4887" t="str">
        <f>T("22445 PEARY RD BLDG 504")</f>
        <v>22445 PEARY RD BLDG 504</v>
      </c>
      <c r="H4887" t="str">
        <f>T("")</f>
        <v/>
      </c>
      <c r="I4887" t="str">
        <f>T("PATUXENT RIVER")</f>
        <v>PATUXENT RIVER</v>
      </c>
      <c r="J4887" t="str">
        <f>T("MD")</f>
        <v>MD</v>
      </c>
      <c r="K4887" t="str">
        <f>T("3013423546")</f>
        <v>3013423546</v>
      </c>
      <c r="L4887" t="str">
        <f>T("3017574861")</f>
        <v>3017574861</v>
      </c>
    </row>
    <row r="4888" spans="1:12" x14ac:dyDescent="0.35">
      <c r="A4888" t="str">
        <f t="shared" si="1902"/>
        <v>NAVFAC WASHINGTON HL5</v>
      </c>
      <c r="B4888" t="str">
        <f t="shared" si="1905"/>
        <v>1314 HARWOOD ST SE</v>
      </c>
      <c r="C4888" t="str">
        <f>T("WASHINGTON NAVY YARD BLDG 212")</f>
        <v>WASHINGTON NAVY YARD BLDG 212</v>
      </c>
      <c r="D4888" t="str">
        <f t="shared" si="1903"/>
        <v>WASHINGTON</v>
      </c>
      <c r="E4888" t="str">
        <f t="shared" si="1904"/>
        <v>DC</v>
      </c>
      <c r="F4888" t="str">
        <f t="shared" si="1906"/>
        <v>203745150</v>
      </c>
      <c r="G4888" t="str">
        <f>T("22445 PERRY RD")</f>
        <v>22445 PERRY RD</v>
      </c>
      <c r="H4888" t="str">
        <f>T("BLDG 504")</f>
        <v>BLDG 504</v>
      </c>
      <c r="I4888" t="str">
        <f>T("PATUXENT RIVER")</f>
        <v>PATUXENT RIVER</v>
      </c>
      <c r="J4888" t="str">
        <f>T("MD")</f>
        <v>MD</v>
      </c>
      <c r="K4888" t="str">
        <f>T("3013423546")</f>
        <v>3013423546</v>
      </c>
      <c r="L4888" t="str">
        <f>T("3017574840")</f>
        <v>3017574840</v>
      </c>
    </row>
    <row r="4889" spans="1:12" x14ac:dyDescent="0.35">
      <c r="A4889" t="str">
        <f t="shared" si="1902"/>
        <v>NAVFAC WASHINGTON HL5</v>
      </c>
      <c r="B4889" t="str">
        <f t="shared" si="1905"/>
        <v>1314 HARWOOD ST SE</v>
      </c>
      <c r="C4889" t="str">
        <f>T("WNY BLDG 212")</f>
        <v>WNY BLDG 212</v>
      </c>
      <c r="D4889" t="str">
        <f t="shared" si="1903"/>
        <v>WASHINGTON</v>
      </c>
      <c r="E4889" t="str">
        <f t="shared" si="1904"/>
        <v>DC</v>
      </c>
      <c r="F4889" t="str">
        <f t="shared" si="1906"/>
        <v>203745150</v>
      </c>
      <c r="G4889" t="str">
        <f>T("1314 HARWOOD ST SE")</f>
        <v>1314 HARWOOD ST SE</v>
      </c>
      <c r="H4889" t="str">
        <f>T("BLDG 212")</f>
        <v>BLDG 212</v>
      </c>
      <c r="I4889" t="str">
        <f t="shared" ref="I4889:I4894" si="1907">T("WASHINGTON")</f>
        <v>WASHINGTON</v>
      </c>
      <c r="J4889" t="str">
        <f t="shared" ref="J4889:J4894" si="1908">T("DC")</f>
        <v>DC</v>
      </c>
      <c r="K4889" t="str">
        <f>T("2024330585")</f>
        <v>2024330585</v>
      </c>
      <c r="L4889" t="str">
        <f>T("2026858121")</f>
        <v>2026858121</v>
      </c>
    </row>
    <row r="4890" spans="1:12" x14ac:dyDescent="0.35">
      <c r="A4890" t="str">
        <f t="shared" si="1902"/>
        <v>NAVFAC WASHINGTON HL5</v>
      </c>
      <c r="B4890" t="str">
        <f t="shared" si="1905"/>
        <v>1314 HARWOOD ST SE</v>
      </c>
      <c r="C4890" t="str">
        <f>T("WNY BLDG 212")</f>
        <v>WNY BLDG 212</v>
      </c>
      <c r="D4890" t="str">
        <f t="shared" si="1903"/>
        <v>WASHINGTON</v>
      </c>
      <c r="E4890" t="str">
        <f t="shared" si="1904"/>
        <v>DC</v>
      </c>
      <c r="F4890" t="str">
        <f t="shared" si="1906"/>
        <v>203745150</v>
      </c>
      <c r="G4890" t="str">
        <f>T("1314 HARWOOD ST SE")</f>
        <v>1314 HARWOOD ST SE</v>
      </c>
      <c r="H4890" t="str">
        <f>T("WNY BLDG 212")</f>
        <v>WNY BLDG 212</v>
      </c>
      <c r="I4890" t="str">
        <f t="shared" si="1907"/>
        <v>WASHINGTON</v>
      </c>
      <c r="J4890" t="str">
        <f t="shared" si="1908"/>
        <v>DC</v>
      </c>
      <c r="K4890" t="str">
        <f>T("")</f>
        <v/>
      </c>
      <c r="L4890" t="str">
        <f>T("2026853170")</f>
        <v>2026853170</v>
      </c>
    </row>
    <row r="4891" spans="1:12" x14ac:dyDescent="0.35">
      <c r="A4891" t="str">
        <f t="shared" si="1902"/>
        <v>NAVFAC WASHINGTON HL5</v>
      </c>
      <c r="B4891" t="str">
        <f t="shared" si="1905"/>
        <v>1314 HARWOOD ST SE</v>
      </c>
      <c r="C4891" t="str">
        <f>T("WNY BLDG 212")</f>
        <v>WNY BLDG 212</v>
      </c>
      <c r="D4891" t="str">
        <f t="shared" si="1903"/>
        <v>WASHINGTON</v>
      </c>
      <c r="E4891" t="str">
        <f t="shared" si="1904"/>
        <v>DC</v>
      </c>
      <c r="F4891" t="str">
        <f t="shared" si="1906"/>
        <v>203745150</v>
      </c>
      <c r="G4891" t="str">
        <f>T("PUBLIC WORKS DEPT")</f>
        <v>PUBLIC WORKS DEPT</v>
      </c>
      <c r="H4891" t="str">
        <f>T("1013 O ST SE STE 300")</f>
        <v>1013 O ST SE STE 300</v>
      </c>
      <c r="I4891" t="str">
        <f t="shared" si="1907"/>
        <v>WASHINGTON</v>
      </c>
      <c r="J4891" t="str">
        <f t="shared" si="1908"/>
        <v>DC</v>
      </c>
      <c r="K4891" t="str">
        <f>T("000000000000000000")</f>
        <v>000000000000000000</v>
      </c>
      <c r="L4891" t="str">
        <f>T("2026858207")</f>
        <v>2026858207</v>
      </c>
    </row>
    <row r="4892" spans="1:12" x14ac:dyDescent="0.35">
      <c r="A4892" t="str">
        <f t="shared" si="1902"/>
        <v>NAVFAC WASHINGTON HL5</v>
      </c>
      <c r="B4892" t="str">
        <f t="shared" si="1905"/>
        <v>1314 HARWOOD ST SE</v>
      </c>
      <c r="C4892" t="str">
        <f>T("WNY BLDG 212 CIO OFFICE")</f>
        <v>WNY BLDG 212 CIO OFFICE</v>
      </c>
      <c r="D4892" t="str">
        <f t="shared" si="1903"/>
        <v>WASHINGTON</v>
      </c>
      <c r="E4892" t="str">
        <f t="shared" si="1904"/>
        <v>DC</v>
      </c>
      <c r="F4892" t="str">
        <f t="shared" si="1906"/>
        <v>203745150</v>
      </c>
      <c r="G4892" t="str">
        <f>T("1314 HARWOOD ST SE")</f>
        <v>1314 HARWOOD ST SE</v>
      </c>
      <c r="H4892" t="str">
        <f>T("WNY BLDG 212 CIO")</f>
        <v>WNY BLDG 212 CIO</v>
      </c>
      <c r="I4892" t="str">
        <f t="shared" si="1907"/>
        <v>WASHINGTON</v>
      </c>
      <c r="J4892" t="str">
        <f t="shared" si="1908"/>
        <v>DC</v>
      </c>
      <c r="K4892" t="str">
        <f>T("2024330585")</f>
        <v>2024330585</v>
      </c>
      <c r="L4892" t="str">
        <f>T("2024330405")</f>
        <v>2024330405</v>
      </c>
    </row>
    <row r="4893" spans="1:12" x14ac:dyDescent="0.35">
      <c r="A4893" t="str">
        <f t="shared" si="1902"/>
        <v>NAVFAC WASHINGTON HL5</v>
      </c>
      <c r="B4893" t="str">
        <f t="shared" si="1905"/>
        <v>1314 HARWOOD ST SE</v>
      </c>
      <c r="C4893" t="str">
        <f>T("WNY BLDG 212 CIO OFFICE")</f>
        <v>WNY BLDG 212 CIO OFFICE</v>
      </c>
      <c r="D4893" t="str">
        <f t="shared" si="1903"/>
        <v>WASHINGTON</v>
      </c>
      <c r="E4893" t="str">
        <f t="shared" si="1904"/>
        <v>DC</v>
      </c>
      <c r="F4893" t="str">
        <f t="shared" si="1906"/>
        <v>203745150</v>
      </c>
      <c r="G4893" t="str">
        <f>T("1314 HARWOOD ST SE")</f>
        <v>1314 HARWOOD ST SE</v>
      </c>
      <c r="H4893" t="str">
        <f>T("WNY BLDG 212 CIO OFFICE")</f>
        <v>WNY BLDG 212 CIO OFFICE</v>
      </c>
      <c r="I4893" t="str">
        <f t="shared" si="1907"/>
        <v>WASHINGTON</v>
      </c>
      <c r="J4893" t="str">
        <f t="shared" si="1908"/>
        <v>DC</v>
      </c>
      <c r="K4893" t="str">
        <f>T("2024336193")</f>
        <v>2024336193</v>
      </c>
      <c r="L4893" t="str">
        <f>T("2026858477")</f>
        <v>2026858477</v>
      </c>
    </row>
    <row r="4894" spans="1:12" x14ac:dyDescent="0.35">
      <c r="A4894" t="str">
        <f t="shared" si="1902"/>
        <v>NAVFAC WASHINGTON HL5</v>
      </c>
      <c r="B4894" t="str">
        <f t="shared" si="1905"/>
        <v>1314 HARWOOD ST SE</v>
      </c>
      <c r="C4894" t="str">
        <f>T("WNY, BLDG 212")</f>
        <v>WNY, BLDG 212</v>
      </c>
      <c r="D4894" t="str">
        <f t="shared" si="1903"/>
        <v>WASHINGTON</v>
      </c>
      <c r="E4894" t="str">
        <f t="shared" si="1904"/>
        <v>DC</v>
      </c>
      <c r="F4894" t="str">
        <f t="shared" si="1906"/>
        <v>203745150</v>
      </c>
      <c r="G4894" t="str">
        <f>T("1314 HARWOOD ST SE")</f>
        <v>1314 HARWOOD ST SE</v>
      </c>
      <c r="H4894" t="str">
        <f>T("WNY, BLDG 212")</f>
        <v>WNY, BLDG 212</v>
      </c>
      <c r="I4894" t="str">
        <f t="shared" si="1907"/>
        <v>WASHINGTON</v>
      </c>
      <c r="J4894" t="str">
        <f t="shared" si="1908"/>
        <v>DC</v>
      </c>
      <c r="K4894" t="str">
        <f>T("")</f>
        <v/>
      </c>
      <c r="L4894" t="str">
        <f>T("2026853187")</f>
        <v>2026853187</v>
      </c>
    </row>
    <row r="4895" spans="1:12" x14ac:dyDescent="0.35">
      <c r="A4895" t="str">
        <f t="shared" si="1902"/>
        <v>NAVFAC WASHINGTON HL5</v>
      </c>
      <c r="B4895" t="str">
        <f t="shared" si="1905"/>
        <v>1314 HARWOOD ST SE</v>
      </c>
      <c r="C4895" t="str">
        <f>T("WNY, BLDG 212")</f>
        <v>WNY, BLDG 212</v>
      </c>
      <c r="D4895" t="str">
        <f t="shared" si="1903"/>
        <v>WASHINGTON</v>
      </c>
      <c r="E4895" t="str">
        <f t="shared" si="1904"/>
        <v>DC</v>
      </c>
      <c r="F4895" t="str">
        <f t="shared" si="1906"/>
        <v>203745150</v>
      </c>
      <c r="G4895" t="str">
        <f>T("18329 THOMPSON RD STE 225")</f>
        <v>18329 THOMPSON RD STE 225</v>
      </c>
      <c r="H4895" t="str">
        <f>T("BLDG 182")</f>
        <v>BLDG 182</v>
      </c>
      <c r="I4895" t="str">
        <f>T("DAHLGREN")</f>
        <v>DAHLGREN</v>
      </c>
      <c r="J4895" t="str">
        <f>T("VA")</f>
        <v>VA</v>
      </c>
      <c r="K4895" t="str">
        <f>T("5406532954")</f>
        <v>5406532954</v>
      </c>
      <c r="L4895" t="str">
        <f>T("5406538521")</f>
        <v>5406538521</v>
      </c>
    </row>
    <row r="4896" spans="1:12" x14ac:dyDescent="0.35">
      <c r="A4896" t="str">
        <f t="shared" si="1902"/>
        <v>NAVFAC WASHINGTON HL5</v>
      </c>
      <c r="B4896" t="str">
        <f t="shared" si="1905"/>
        <v>1314 HARWOOD ST SE</v>
      </c>
      <c r="C4896" t="str">
        <f>T("WNY, BLDG 212")</f>
        <v>WNY, BLDG 212</v>
      </c>
      <c r="D4896" t="str">
        <f t="shared" si="1903"/>
        <v>WASHINGTON</v>
      </c>
      <c r="E4896" t="str">
        <f t="shared" si="1904"/>
        <v>DC</v>
      </c>
      <c r="F4896" t="str">
        <f t="shared" si="1906"/>
        <v>203745150</v>
      </c>
      <c r="G4896" t="str">
        <f>T("2004 BARNETT AVE")</f>
        <v>2004 BARNETT AVE</v>
      </c>
      <c r="H4896" t="str">
        <f>T("MCB QUANTICO")</f>
        <v>MCB QUANTICO</v>
      </c>
      <c r="I4896" t="str">
        <f>T("QUANTICO")</f>
        <v>QUANTICO</v>
      </c>
      <c r="J4896" t="str">
        <f>T("VA")</f>
        <v>VA</v>
      </c>
      <c r="K4896" t="str">
        <f>T("7037842124")</f>
        <v>7037842124</v>
      </c>
      <c r="L4896" t="str">
        <f>T("7037845444")</f>
        <v>7037845444</v>
      </c>
    </row>
    <row r="4897" spans="1:12" x14ac:dyDescent="0.35">
      <c r="A4897" t="str">
        <f t="shared" si="1902"/>
        <v>NAVFAC WASHINGTON HL5</v>
      </c>
      <c r="B4897" t="str">
        <f t="shared" si="1905"/>
        <v>1314 HARWOOD ST SE</v>
      </c>
      <c r="C4897" t="str">
        <f>T("WNY, BLDG 212")</f>
        <v>WNY, BLDG 212</v>
      </c>
      <c r="D4897" t="str">
        <f t="shared" si="1903"/>
        <v>WASHINGTON</v>
      </c>
      <c r="E4897" t="str">
        <f t="shared" si="1904"/>
        <v>DC</v>
      </c>
      <c r="F4897" t="str">
        <f t="shared" si="1906"/>
        <v>203745150</v>
      </c>
      <c r="G4897" t="str">
        <f>T("22445 PEARY RD")</f>
        <v>22445 PEARY RD</v>
      </c>
      <c r="H4897" t="str">
        <f>T("BLDG 504")</f>
        <v>BLDG 504</v>
      </c>
      <c r="I4897" t="str">
        <f>T("PATUXENT RIVER")</f>
        <v>PATUXENT RIVER</v>
      </c>
      <c r="J4897" t="str">
        <f>T("MD")</f>
        <v>MD</v>
      </c>
      <c r="K4897" t="str">
        <f>T("3013423833")</f>
        <v>3013423833</v>
      </c>
      <c r="L4897" t="str">
        <f>T("3017574948")</f>
        <v>3017574948</v>
      </c>
    </row>
    <row r="4898" spans="1:12" x14ac:dyDescent="0.35">
      <c r="A4898" t="str">
        <f t="shared" si="1902"/>
        <v>NAVFAC WASHINGTON HL5</v>
      </c>
      <c r="B4898" t="str">
        <f>T("1314 HARWOOD ST SE BLDG 212")</f>
        <v>1314 HARWOOD ST SE BLDG 212</v>
      </c>
      <c r="C4898" t="str">
        <f>T("WASHINGTON NAVY YARD")</f>
        <v>WASHINGTON NAVY YARD</v>
      </c>
      <c r="D4898" t="str">
        <f t="shared" si="1903"/>
        <v>WASHINGTON</v>
      </c>
      <c r="E4898" t="str">
        <f t="shared" si="1904"/>
        <v>DC</v>
      </c>
      <c r="F4898" t="str">
        <f t="shared" si="1906"/>
        <v>203745150</v>
      </c>
      <c r="G4898" t="str">
        <f>T("1311 10TH ST SE BLDG 166 STE 102")</f>
        <v>1311 10TH ST SE BLDG 166 STE 102</v>
      </c>
      <c r="H4898" t="str">
        <f>T("WASHINGTON NAVY YARD")</f>
        <v>WASHINGTON NAVY YARD</v>
      </c>
      <c r="I4898" t="str">
        <f>T("WASHINGTON")</f>
        <v>WASHINGTON</v>
      </c>
      <c r="J4898" t="str">
        <f>T("DC")</f>
        <v>DC</v>
      </c>
      <c r="K4898" t="str">
        <f>T("000000000000000000")</f>
        <v>000000000000000000</v>
      </c>
      <c r="L4898" t="str">
        <f>T("2024333477")</f>
        <v>2024333477</v>
      </c>
    </row>
    <row r="4899" spans="1:12" x14ac:dyDescent="0.35">
      <c r="A4899" t="str">
        <f t="shared" si="1902"/>
        <v>NAVFAC WASHINGTON HL5</v>
      </c>
      <c r="B4899" t="str">
        <f>T("1314 HARWOOD ST SE BLDG 212")</f>
        <v>1314 HARWOOD ST SE BLDG 212</v>
      </c>
      <c r="C4899" t="str">
        <f>T("WASHINGTON NAVY YARD")</f>
        <v>WASHINGTON NAVY YARD</v>
      </c>
      <c r="D4899" t="str">
        <f t="shared" si="1903"/>
        <v>WASHINGTON</v>
      </c>
      <c r="E4899" t="str">
        <f t="shared" si="1904"/>
        <v>DC</v>
      </c>
      <c r="F4899" t="str">
        <f t="shared" si="1906"/>
        <v>203745150</v>
      </c>
      <c r="G4899" t="str">
        <f>T("1314 HARWOOD ST SE BLDG 212")</f>
        <v>1314 HARWOOD ST SE BLDG 212</v>
      </c>
      <c r="H4899" t="str">
        <f>T("WASHINGTON NAVY YARD")</f>
        <v>WASHINGTON NAVY YARD</v>
      </c>
      <c r="I4899" t="str">
        <f>T("WASHINGTON")</f>
        <v>WASHINGTON</v>
      </c>
      <c r="J4899" t="str">
        <f>T("DC")</f>
        <v>DC</v>
      </c>
      <c r="K4899" t="str">
        <f>T("")</f>
        <v/>
      </c>
      <c r="L4899" t="str">
        <f>T("2024330452")</f>
        <v>2024330452</v>
      </c>
    </row>
    <row r="4900" spans="1:12" x14ac:dyDescent="0.35">
      <c r="A4900" t="str">
        <f t="shared" si="1902"/>
        <v>NAVFAC WASHINGTON HL5</v>
      </c>
      <c r="B4900" t="str">
        <f t="shared" ref="B4900:B4906" si="1909">T("1314 HARWOOD STREET SE")</f>
        <v>1314 HARWOOD STREET SE</v>
      </c>
      <c r="C4900" t="str">
        <f t="shared" ref="C4900:C4906" si="1910">T("WNY, BUILDING 212")</f>
        <v>WNY, BUILDING 212</v>
      </c>
      <c r="D4900" t="str">
        <f t="shared" si="1903"/>
        <v>WASHINGTON</v>
      </c>
      <c r="E4900" t="str">
        <f t="shared" si="1904"/>
        <v>DC</v>
      </c>
      <c r="F4900" t="str">
        <f t="shared" si="1906"/>
        <v>203745150</v>
      </c>
      <c r="G4900" t="str">
        <f>T("1314 HARWOOD ST SE")</f>
        <v>1314 HARWOOD ST SE</v>
      </c>
      <c r="H4900" t="str">
        <f>T("BLDG 212 WNY")</f>
        <v>BLDG 212 WNY</v>
      </c>
      <c r="I4900" t="str">
        <f>T("WASHINGTON")</f>
        <v>WASHINGTON</v>
      </c>
      <c r="J4900" t="str">
        <f>T("DC")</f>
        <v>DC</v>
      </c>
      <c r="K4900" t="str">
        <f>T("2026851788")</f>
        <v>2026851788</v>
      </c>
      <c r="L4900" t="str">
        <f>T("2026858280")</f>
        <v>2026858280</v>
      </c>
    </row>
    <row r="4901" spans="1:12" x14ac:dyDescent="0.35">
      <c r="A4901" t="str">
        <f t="shared" si="1902"/>
        <v>NAVFAC WASHINGTON HL5</v>
      </c>
      <c r="B4901" t="str">
        <f t="shared" si="1909"/>
        <v>1314 HARWOOD STREET SE</v>
      </c>
      <c r="C4901" t="str">
        <f t="shared" si="1910"/>
        <v>WNY, BUILDING 212</v>
      </c>
      <c r="D4901" t="str">
        <f t="shared" si="1903"/>
        <v>WASHINGTON</v>
      </c>
      <c r="E4901" t="str">
        <f t="shared" si="1904"/>
        <v>DC</v>
      </c>
      <c r="F4901" t="str">
        <f t="shared" si="1906"/>
        <v>203745150</v>
      </c>
      <c r="G4901" t="str">
        <f>T("1314 HARWOOD ST SE BLDG 212")</f>
        <v>1314 HARWOOD ST SE BLDG 212</v>
      </c>
      <c r="H4901" t="str">
        <f>T("WNY")</f>
        <v>WNY</v>
      </c>
      <c r="I4901" t="str">
        <f>T("WASHINGTON")</f>
        <v>WASHINGTON</v>
      </c>
      <c r="J4901" t="str">
        <f>T("DC")</f>
        <v>DC</v>
      </c>
      <c r="K4901" t="str">
        <f>T("000000000000000000")</f>
        <v>000000000000000000</v>
      </c>
      <c r="L4901" t="str">
        <f>T("2026858280")</f>
        <v>2026858280</v>
      </c>
    </row>
    <row r="4902" spans="1:12" x14ac:dyDescent="0.35">
      <c r="A4902" t="str">
        <f t="shared" si="1902"/>
        <v>NAVFAC WASHINGTON HL5</v>
      </c>
      <c r="B4902" t="str">
        <f t="shared" si="1909"/>
        <v>1314 HARWOOD STREET SE</v>
      </c>
      <c r="C4902" t="str">
        <f t="shared" si="1910"/>
        <v>WNY, BUILDING 212</v>
      </c>
      <c r="D4902" t="str">
        <f t="shared" si="1903"/>
        <v>WASHINGTON</v>
      </c>
      <c r="E4902" t="str">
        <f t="shared" si="1904"/>
        <v>DC</v>
      </c>
      <c r="F4902" t="str">
        <f t="shared" si="1906"/>
        <v>203745150</v>
      </c>
      <c r="G4902" t="str">
        <f>T("1314 HARWOOD STREET SE")</f>
        <v>1314 HARWOOD STREET SE</v>
      </c>
      <c r="H4902" t="str">
        <f>T("WNY, BUILDING 212")</f>
        <v>WNY, BUILDING 212</v>
      </c>
      <c r="I4902" t="str">
        <f>T("WASHINGTON")</f>
        <v>WASHINGTON</v>
      </c>
      <c r="J4902" t="str">
        <f>T("DC")</f>
        <v>DC</v>
      </c>
      <c r="K4902" t="str">
        <f>T("2026851788")</f>
        <v>2026851788</v>
      </c>
      <c r="L4902" t="str">
        <f>T("2026853190")</f>
        <v>2026853190</v>
      </c>
    </row>
    <row r="4903" spans="1:12" x14ac:dyDescent="0.35">
      <c r="A4903" t="str">
        <f t="shared" si="1902"/>
        <v>NAVFAC WASHINGTON HL5</v>
      </c>
      <c r="B4903" t="str">
        <f t="shared" si="1909"/>
        <v>1314 HARWOOD STREET SE</v>
      </c>
      <c r="C4903" t="str">
        <f t="shared" si="1910"/>
        <v>WNY, BUILDING 212</v>
      </c>
      <c r="D4903" t="str">
        <f t="shared" si="1903"/>
        <v>WASHINGTON</v>
      </c>
      <c r="E4903" t="str">
        <f t="shared" si="1904"/>
        <v>DC</v>
      </c>
      <c r="F4903" t="str">
        <f t="shared" si="1906"/>
        <v>203745150</v>
      </c>
      <c r="G4903" t="str">
        <f>T("18329 THOMPSON RD")</f>
        <v>18329 THOMPSON RD</v>
      </c>
      <c r="H4903" t="str">
        <f>T("BLDG 182")</f>
        <v>BLDG 182</v>
      </c>
      <c r="I4903" t="str">
        <f>T("DAHLGREN")</f>
        <v>DAHLGREN</v>
      </c>
      <c r="J4903" t="str">
        <f>T("VA")</f>
        <v>VA</v>
      </c>
      <c r="K4903" t="str">
        <f>T("5406531909")</f>
        <v>5406531909</v>
      </c>
      <c r="L4903" t="str">
        <f>T("5406538534")</f>
        <v>5406538534</v>
      </c>
    </row>
    <row r="4904" spans="1:12" x14ac:dyDescent="0.35">
      <c r="A4904" t="str">
        <f t="shared" si="1902"/>
        <v>NAVFAC WASHINGTON HL5</v>
      </c>
      <c r="B4904" t="str">
        <f t="shared" si="1909"/>
        <v>1314 HARWOOD STREET SE</v>
      </c>
      <c r="C4904" t="str">
        <f t="shared" si="1910"/>
        <v>WNY, BUILDING 212</v>
      </c>
      <c r="D4904" t="str">
        <f t="shared" si="1903"/>
        <v>WASHINGTON</v>
      </c>
      <c r="E4904" t="str">
        <f t="shared" si="1904"/>
        <v>DC</v>
      </c>
      <c r="F4904" t="str">
        <f t="shared" si="1906"/>
        <v>203745150</v>
      </c>
      <c r="G4904" t="str">
        <f>T("4474 MC MAHON RD")</f>
        <v>4474 MC MAHON RD</v>
      </c>
      <c r="H4904" t="str">
        <f>T("BLDG 503")</f>
        <v>BLDG 503</v>
      </c>
      <c r="I4904" t="str">
        <f>T("INDIAN HEAD")</f>
        <v>INDIAN HEAD</v>
      </c>
      <c r="J4904" t="str">
        <f>T("MD")</f>
        <v>MD</v>
      </c>
      <c r="K4904" t="str">
        <f>T("3017444465")</f>
        <v>3017444465</v>
      </c>
      <c r="L4904" t="str">
        <f>T("3017444269")</f>
        <v>3017444269</v>
      </c>
    </row>
    <row r="4905" spans="1:12" x14ac:dyDescent="0.35">
      <c r="A4905" t="str">
        <f t="shared" si="1902"/>
        <v>NAVFAC WASHINGTON HL5</v>
      </c>
      <c r="B4905" t="str">
        <f t="shared" si="1909"/>
        <v>1314 HARWOOD STREET SE</v>
      </c>
      <c r="C4905" t="str">
        <f t="shared" si="1910"/>
        <v>WNY, BUILDING 212</v>
      </c>
      <c r="D4905" t="str">
        <f t="shared" si="1903"/>
        <v>WASHINGTON</v>
      </c>
      <c r="E4905" t="str">
        <f t="shared" si="1904"/>
        <v>DC</v>
      </c>
      <c r="F4905" t="str">
        <f t="shared" si="1906"/>
        <v>203745150</v>
      </c>
      <c r="G4905" t="str">
        <f>T("4515 MOON RD")</f>
        <v>4515 MOON RD</v>
      </c>
      <c r="H4905" t="str">
        <f>T("BLDG 111")</f>
        <v>BLDG 111</v>
      </c>
      <c r="I4905" t="str">
        <f>T("INDIAN HEAD")</f>
        <v>INDIAN HEAD</v>
      </c>
      <c r="J4905" t="str">
        <f>T("MD")</f>
        <v>MD</v>
      </c>
      <c r="K4905" t="str">
        <f>T("000000000000000000")</f>
        <v>000000000000000000</v>
      </c>
      <c r="L4905" t="str">
        <f>T("3017444239")</f>
        <v>3017444239</v>
      </c>
    </row>
    <row r="4906" spans="1:12" x14ac:dyDescent="0.35">
      <c r="A4906" t="str">
        <f t="shared" si="1902"/>
        <v>NAVFAC WASHINGTON HL5</v>
      </c>
      <c r="B4906" t="str">
        <f t="shared" si="1909"/>
        <v>1314 HARWOOD STREET SE</v>
      </c>
      <c r="C4906" t="str">
        <f t="shared" si="1910"/>
        <v>WNY, BUILDING 212</v>
      </c>
      <c r="D4906" t="str">
        <f t="shared" si="1903"/>
        <v>WASHINGTON</v>
      </c>
      <c r="E4906" t="str">
        <f t="shared" si="1904"/>
        <v>DC</v>
      </c>
      <c r="F4906" t="str">
        <f t="shared" si="1906"/>
        <v>203745150</v>
      </c>
      <c r="G4906" t="str">
        <f>T("9500 MACARTHUR BLVD")</f>
        <v>9500 MACARTHUR BLVD</v>
      </c>
      <c r="H4906" t="str">
        <f>T("BLDG 6")</f>
        <v>BLDG 6</v>
      </c>
      <c r="I4906" t="str">
        <f>T("BETHESDA")</f>
        <v>BETHESDA</v>
      </c>
      <c r="J4906" t="str">
        <f>T("MD")</f>
        <v>MD</v>
      </c>
      <c r="K4906" t="str">
        <f>T("3012273736")</f>
        <v>3012273736</v>
      </c>
      <c r="L4906" t="str">
        <f>T("3012272780")</f>
        <v>3012272780</v>
      </c>
    </row>
    <row r="4907" spans="1:12" x14ac:dyDescent="0.35">
      <c r="A4907" t="str">
        <f t="shared" si="1902"/>
        <v>NAVFAC WASHINGTON HL5</v>
      </c>
      <c r="B4907" t="str">
        <f>T("18329 THOMPSON ROAD")</f>
        <v>18329 THOMPSON ROAD</v>
      </c>
      <c r="C4907" t="str">
        <f>T("BLDG 182")</f>
        <v>BLDG 182</v>
      </c>
      <c r="D4907" t="str">
        <f>T("DAHLGREN")</f>
        <v>DAHLGREN</v>
      </c>
      <c r="E4907" t="str">
        <f>T("VA")</f>
        <v>VA</v>
      </c>
      <c r="F4907" t="str">
        <f>T("224485179")</f>
        <v>224485179</v>
      </c>
      <c r="G4907" t="str">
        <f>T("18329 THOMPSON ROAD")</f>
        <v>18329 THOMPSON ROAD</v>
      </c>
      <c r="H4907" t="str">
        <f>T("BLDG 182")</f>
        <v>BLDG 182</v>
      </c>
      <c r="I4907" t="str">
        <f>T("DAHLGREN")</f>
        <v>DAHLGREN</v>
      </c>
      <c r="J4907" t="str">
        <f>T("VA")</f>
        <v>VA</v>
      </c>
      <c r="K4907" t="str">
        <f>T("")</f>
        <v/>
      </c>
      <c r="L4907" t="str">
        <f>T("5406535071")</f>
        <v>5406535071</v>
      </c>
    </row>
    <row r="4908" spans="1:12" x14ac:dyDescent="0.35">
      <c r="A4908" t="str">
        <f t="shared" si="1902"/>
        <v>NAVFAC WASHINGTON HL5</v>
      </c>
      <c r="B4908" t="str">
        <f>T("18329 THOMPSON ROAD")</f>
        <v>18329 THOMPSON ROAD</v>
      </c>
      <c r="C4908" t="str">
        <f>T("BLDG 182")</f>
        <v>BLDG 182</v>
      </c>
      <c r="D4908" t="str">
        <f>T("DAHLGREN")</f>
        <v>DAHLGREN</v>
      </c>
      <c r="E4908" t="str">
        <f>T("VA")</f>
        <v>VA</v>
      </c>
      <c r="F4908" t="str">
        <f>T("224485179")</f>
        <v>224485179</v>
      </c>
      <c r="G4908" t="str">
        <f>T("18329 THOMPSON ROAD")</f>
        <v>18329 THOMPSON ROAD</v>
      </c>
      <c r="H4908" t="str">
        <f>T("BLDG 182")</f>
        <v>BLDG 182</v>
      </c>
      <c r="I4908" t="str">
        <f>T("DAHLGREN")</f>
        <v>DAHLGREN</v>
      </c>
      <c r="J4908" t="str">
        <f>T("VA")</f>
        <v>VA</v>
      </c>
      <c r="K4908" t="str">
        <f>T("5406536624")</f>
        <v>5406536624</v>
      </c>
      <c r="L4908" t="str">
        <f>T("5406532336")</f>
        <v>5406532336</v>
      </c>
    </row>
    <row r="4909" spans="1:12" x14ac:dyDescent="0.35">
      <c r="A4909" t="str">
        <f t="shared" si="1902"/>
        <v>NAVFAC WASHINGTON HL5</v>
      </c>
      <c r="B4909" t="str">
        <f t="shared" ref="B4909:B4915" si="1911">T("229 BROOKLEY AVE")</f>
        <v>229 BROOKLEY AVE</v>
      </c>
      <c r="C4909" t="str">
        <f t="shared" ref="C4909:C4915" si="1912">T("BLDG 520 JBAB ANACOSTIA")</f>
        <v>BLDG 520 JBAB ANACOSTIA</v>
      </c>
      <c r="D4909" t="str">
        <f t="shared" ref="D4909:D4915" si="1913">T("WASHINGTON")</f>
        <v>WASHINGTON</v>
      </c>
      <c r="E4909" t="str">
        <f t="shared" ref="E4909:E4918" si="1914">T("DC")</f>
        <v>DC</v>
      </c>
      <c r="F4909" t="str">
        <f t="shared" ref="F4909:F4915" si="1915">T("200327702")</f>
        <v>200327702</v>
      </c>
      <c r="G4909" t="str">
        <f>T("1013 O ST SE STE 212")</f>
        <v>1013 O ST SE STE 212</v>
      </c>
      <c r="H4909" t="str">
        <f>T("WASHINGTON NAVY YARD")</f>
        <v>WASHINGTON NAVY YARD</v>
      </c>
      <c r="I4909" t="str">
        <f>T("WASHINGTON")</f>
        <v>WASHINGTON</v>
      </c>
      <c r="J4909" t="str">
        <f>T("DC")</f>
        <v>DC</v>
      </c>
      <c r="K4909" t="str">
        <f>T("2024337167")</f>
        <v>2024337167</v>
      </c>
      <c r="L4909" t="str">
        <f>T("2024332839")</f>
        <v>2024332839</v>
      </c>
    </row>
    <row r="4910" spans="1:12" x14ac:dyDescent="0.35">
      <c r="A4910" t="str">
        <f t="shared" si="1902"/>
        <v>NAVFAC WASHINGTON HL5</v>
      </c>
      <c r="B4910" t="str">
        <f t="shared" si="1911"/>
        <v>229 BROOKLEY AVE</v>
      </c>
      <c r="C4910" t="str">
        <f t="shared" si="1912"/>
        <v>BLDG 520 JBAB ANACOSTIA</v>
      </c>
      <c r="D4910" t="str">
        <f t="shared" si="1913"/>
        <v>WASHINGTON</v>
      </c>
      <c r="E4910" t="str">
        <f t="shared" si="1914"/>
        <v>DC</v>
      </c>
      <c r="F4910" t="str">
        <f t="shared" si="1915"/>
        <v>200327702</v>
      </c>
      <c r="G4910" t="str">
        <f>T("1314 HARWOOD ST SE")</f>
        <v>1314 HARWOOD ST SE</v>
      </c>
      <c r="H4910" t="str">
        <f>T("BLDG 212")</f>
        <v>BLDG 212</v>
      </c>
      <c r="I4910" t="str">
        <f>T("WASHINGTON")</f>
        <v>WASHINGTON</v>
      </c>
      <c r="J4910" t="str">
        <f>T("DC")</f>
        <v>DC</v>
      </c>
      <c r="K4910" t="str">
        <f>T("000000000000000000")</f>
        <v>000000000000000000</v>
      </c>
      <c r="L4910" t="str">
        <f>T("2026850285")</f>
        <v>2026850285</v>
      </c>
    </row>
    <row r="4911" spans="1:12" x14ac:dyDescent="0.35">
      <c r="A4911" t="str">
        <f t="shared" si="1902"/>
        <v>NAVFAC WASHINGTON HL5</v>
      </c>
      <c r="B4911" t="str">
        <f t="shared" si="1911"/>
        <v>229 BROOKLEY AVE</v>
      </c>
      <c r="C4911" t="str">
        <f t="shared" si="1912"/>
        <v>BLDG 520 JBAB ANACOSTIA</v>
      </c>
      <c r="D4911" t="str">
        <f t="shared" si="1913"/>
        <v>WASHINGTON</v>
      </c>
      <c r="E4911" t="str">
        <f t="shared" si="1914"/>
        <v>DC</v>
      </c>
      <c r="F4911" t="str">
        <f t="shared" si="1915"/>
        <v>200327702</v>
      </c>
      <c r="G4911" t="str">
        <f>T("18329 THOMPSON RD")</f>
        <v>18329 THOMPSON RD</v>
      </c>
      <c r="H4911" t="str">
        <f>T("BLDG 182")</f>
        <v>BLDG 182</v>
      </c>
      <c r="I4911" t="str">
        <f>T("DAHLGREN")</f>
        <v>DAHLGREN</v>
      </c>
      <c r="J4911" t="str">
        <f>T("VA")</f>
        <v>VA</v>
      </c>
      <c r="K4911" t="str">
        <f>T("000000000000000000")</f>
        <v>000000000000000000</v>
      </c>
      <c r="L4911" t="str">
        <f>T("5406537992")</f>
        <v>5406537992</v>
      </c>
    </row>
    <row r="4912" spans="1:12" x14ac:dyDescent="0.35">
      <c r="A4912" t="str">
        <f t="shared" si="1902"/>
        <v>NAVFAC WASHINGTON HL5</v>
      </c>
      <c r="B4912" t="str">
        <f t="shared" si="1911"/>
        <v>229 BROOKLEY AVE</v>
      </c>
      <c r="C4912" t="str">
        <f t="shared" si="1912"/>
        <v>BLDG 520 JBAB ANACOSTIA</v>
      </c>
      <c r="D4912" t="str">
        <f t="shared" si="1913"/>
        <v>WASHINGTON</v>
      </c>
      <c r="E4912" t="str">
        <f t="shared" si="1914"/>
        <v>DC</v>
      </c>
      <c r="F4912" t="str">
        <f t="shared" si="1915"/>
        <v>200327702</v>
      </c>
      <c r="G4912" t="str">
        <f>T("18329 THOMPSON RD")</f>
        <v>18329 THOMPSON RD</v>
      </c>
      <c r="H4912" t="str">
        <f>T("BLDG 182")</f>
        <v>BLDG 182</v>
      </c>
      <c r="I4912" t="str">
        <f>T("DAHLGREN")</f>
        <v>DAHLGREN</v>
      </c>
      <c r="J4912" t="str">
        <f>T("VA")</f>
        <v>VA</v>
      </c>
      <c r="K4912" t="str">
        <f>T("000000000000000000")</f>
        <v>000000000000000000</v>
      </c>
      <c r="L4912" t="str">
        <f>T("5406538768")</f>
        <v>5406538768</v>
      </c>
    </row>
    <row r="4913" spans="1:12" x14ac:dyDescent="0.35">
      <c r="A4913" t="str">
        <f t="shared" si="1902"/>
        <v>NAVFAC WASHINGTON HL5</v>
      </c>
      <c r="B4913" t="str">
        <f t="shared" si="1911"/>
        <v>229 BROOKLEY AVE</v>
      </c>
      <c r="C4913" t="str">
        <f t="shared" si="1912"/>
        <v>BLDG 520 JBAB ANACOSTIA</v>
      </c>
      <c r="D4913" t="str">
        <f t="shared" si="1913"/>
        <v>WASHINGTON</v>
      </c>
      <c r="E4913" t="str">
        <f t="shared" si="1914"/>
        <v>DC</v>
      </c>
      <c r="F4913" t="str">
        <f t="shared" si="1915"/>
        <v>200327702</v>
      </c>
      <c r="G4913" t="str">
        <f>T("229 BROOKLEY AVE")</f>
        <v>229 BROOKLEY AVE</v>
      </c>
      <c r="H4913" t="str">
        <f>T("BLDG 520 JBAB ANACOSTIA")</f>
        <v>BLDG 520 JBAB ANACOSTIA</v>
      </c>
      <c r="I4913" t="str">
        <f>T("WASHINGTON")</f>
        <v>WASHINGTON</v>
      </c>
      <c r="J4913" t="str">
        <f>T("DC")</f>
        <v>DC</v>
      </c>
      <c r="K4913" t="str">
        <f>T("")</f>
        <v/>
      </c>
      <c r="L4913" t="str">
        <f>T("2027678187")</f>
        <v>2027678187</v>
      </c>
    </row>
    <row r="4914" spans="1:12" x14ac:dyDescent="0.35">
      <c r="A4914" t="str">
        <f t="shared" si="1902"/>
        <v>NAVFAC WASHINGTON HL5</v>
      </c>
      <c r="B4914" t="str">
        <f t="shared" si="1911"/>
        <v>229 BROOKLEY AVE</v>
      </c>
      <c r="C4914" t="str">
        <f t="shared" si="1912"/>
        <v>BLDG 520 JBAB ANACOSTIA</v>
      </c>
      <c r="D4914" t="str">
        <f t="shared" si="1913"/>
        <v>WASHINGTON</v>
      </c>
      <c r="E4914" t="str">
        <f t="shared" si="1914"/>
        <v>DC</v>
      </c>
      <c r="F4914" t="str">
        <f t="shared" si="1915"/>
        <v>200327702</v>
      </c>
      <c r="G4914" t="str">
        <f>T("4515 MOON RD")</f>
        <v>4515 MOON RD</v>
      </c>
      <c r="H4914" t="str">
        <f>T("BLDG 111")</f>
        <v>BLDG 111</v>
      </c>
      <c r="I4914" t="str">
        <f>T("INDIAN HEAD")</f>
        <v>INDIAN HEAD</v>
      </c>
      <c r="J4914" t="str">
        <f>T("MD")</f>
        <v>MD</v>
      </c>
      <c r="K4914" t="str">
        <f>T("000000000000000000")</f>
        <v>000000000000000000</v>
      </c>
      <c r="L4914" t="str">
        <f>T("3017445773")</f>
        <v>3017445773</v>
      </c>
    </row>
    <row r="4915" spans="1:12" x14ac:dyDescent="0.35">
      <c r="A4915" t="str">
        <f t="shared" si="1902"/>
        <v>NAVFAC WASHINGTON HL5</v>
      </c>
      <c r="B4915" t="str">
        <f t="shared" si="1911"/>
        <v>229 BROOKLEY AVE</v>
      </c>
      <c r="C4915" t="str">
        <f t="shared" si="1912"/>
        <v>BLDG 520 JBAB ANACOSTIA</v>
      </c>
      <c r="D4915" t="str">
        <f t="shared" si="1913"/>
        <v>WASHINGTON</v>
      </c>
      <c r="E4915" t="str">
        <f t="shared" si="1914"/>
        <v>DC</v>
      </c>
      <c r="F4915" t="str">
        <f t="shared" si="1915"/>
        <v>200327702</v>
      </c>
      <c r="G4915" t="str">
        <f>T("4522 MCMAHON RD")</f>
        <v>4522 MCMAHON RD</v>
      </c>
      <c r="H4915" t="str">
        <f>T("BLDG 116 STE 200")</f>
        <v>BLDG 116 STE 200</v>
      </c>
      <c r="I4915" t="str">
        <f>T("INDIAN HEAD")</f>
        <v>INDIAN HEAD</v>
      </c>
      <c r="J4915" t="str">
        <f>T("MD")</f>
        <v>MD</v>
      </c>
      <c r="K4915" t="str">
        <f>T("3017444118")</f>
        <v>3017444118</v>
      </c>
      <c r="L4915" t="str">
        <f>T("3017445770")</f>
        <v>3017445770</v>
      </c>
    </row>
    <row r="4916" spans="1:12" x14ac:dyDescent="0.35">
      <c r="A4916" t="str">
        <f t="shared" si="1902"/>
        <v>NAVFAC WASHINGTON HL5</v>
      </c>
      <c r="B4916" t="str">
        <f>T("370 BROOKLEY AVE")</f>
        <v>370 BROOKLEY AVE</v>
      </c>
      <c r="C4916" t="str">
        <f>T("JOINT BASE ANACOSTIA - BOLLING")</f>
        <v>JOINT BASE ANACOSTIA - BOLLING</v>
      </c>
      <c r="D4916" t="str">
        <f>T("BOLLING AFB")</f>
        <v>BOLLING AFB</v>
      </c>
      <c r="E4916" t="str">
        <f t="shared" si="1914"/>
        <v>DC</v>
      </c>
      <c r="F4916" t="str">
        <f>T("200327718")</f>
        <v>200327718</v>
      </c>
      <c r="G4916" t="str">
        <f>T("370 BROOKLEY AVE")</f>
        <v>370 BROOKLEY AVE</v>
      </c>
      <c r="H4916" t="str">
        <f>T("JOINT BASE ANACOSTIA - BOLLING")</f>
        <v>JOINT BASE ANACOSTIA - BOLLING</v>
      </c>
      <c r="I4916" t="str">
        <f>T("BOLLING AFB")</f>
        <v>BOLLING AFB</v>
      </c>
      <c r="J4916" t="str">
        <f>T("DC")</f>
        <v>DC</v>
      </c>
      <c r="K4916" t="str">
        <f>T("202-404-7282")</f>
        <v>202-404-7282</v>
      </c>
      <c r="L4916" t="str">
        <f>T("2027675546")</f>
        <v>2027675546</v>
      </c>
    </row>
    <row r="4917" spans="1:12" x14ac:dyDescent="0.35">
      <c r="A4917" t="str">
        <f t="shared" si="1902"/>
        <v>NAVFAC WASHINGTON HL5</v>
      </c>
      <c r="B4917" t="str">
        <f>T("370 BROOKLEY AVE")</f>
        <v>370 BROOKLEY AVE</v>
      </c>
      <c r="C4917" t="str">
        <f>T("JOINT BASE ANACOSTIA - BOLLING")</f>
        <v>JOINT BASE ANACOSTIA - BOLLING</v>
      </c>
      <c r="D4917" t="str">
        <f>T("BOLLING AFB")</f>
        <v>BOLLING AFB</v>
      </c>
      <c r="E4917" t="str">
        <f t="shared" si="1914"/>
        <v>DC</v>
      </c>
      <c r="F4917" t="str">
        <f>T("200327718")</f>
        <v>200327718</v>
      </c>
      <c r="G4917" t="str">
        <f>T("HEAT PLANT-BLDG 18")</f>
        <v>HEAT PLANT-BLDG 18</v>
      </c>
      <c r="H4917" t="str">
        <f>T("")</f>
        <v/>
      </c>
      <c r="I4917" t="str">
        <f>T("WASHINGTON")</f>
        <v>WASHINGTON</v>
      </c>
      <c r="J4917" t="str">
        <f>T("DC")</f>
        <v>DC</v>
      </c>
      <c r="K4917" t="str">
        <f>T("2024047282")</f>
        <v>2024047282</v>
      </c>
      <c r="L4917" t="str">
        <f>T("2027674015")</f>
        <v>2027674015</v>
      </c>
    </row>
    <row r="4918" spans="1:12" x14ac:dyDescent="0.35">
      <c r="A4918" t="str">
        <f t="shared" si="1902"/>
        <v>NAVFAC WASHINGTON HL5</v>
      </c>
      <c r="B4918" t="str">
        <f>T("370 BROOKLEY AVENUE")</f>
        <v>370 BROOKLEY AVENUE</v>
      </c>
      <c r="C4918" t="str">
        <f>T("ANNACOSTIA ANNEX 11CES CEO")</f>
        <v>ANNACOSTIA ANNEX 11CES CEO</v>
      </c>
      <c r="D4918" t="str">
        <f>T("BOLLING AFB")</f>
        <v>BOLLING AFB</v>
      </c>
      <c r="E4918" t="str">
        <f t="shared" si="1914"/>
        <v>DC</v>
      </c>
      <c r="F4918" t="str">
        <f>T("200327718")</f>
        <v>200327718</v>
      </c>
      <c r="G4918" t="str">
        <f>T("370 BROOKLEY AVENUE")</f>
        <v>370 BROOKLEY AVENUE</v>
      </c>
      <c r="H4918" t="str">
        <f>T("ANNACOSTIA ANNEX 11CES CEO")</f>
        <v>ANNACOSTIA ANNEX 11CES CEO</v>
      </c>
      <c r="I4918" t="str">
        <f>T("BOLLING AFB")</f>
        <v>BOLLING AFB</v>
      </c>
      <c r="J4918" t="str">
        <f>T("DC")</f>
        <v>DC</v>
      </c>
      <c r="K4918" t="str">
        <f>T("")</f>
        <v/>
      </c>
      <c r="L4918" t="str">
        <f>T("2027671159")</f>
        <v>2027671159</v>
      </c>
    </row>
    <row r="4919" spans="1:12" x14ac:dyDescent="0.35">
      <c r="A4919" t="str">
        <f t="shared" si="1902"/>
        <v>NAVFAC WASHINGTON HL5</v>
      </c>
      <c r="B4919" t="str">
        <f>T("8901 WISCONSIN AVE")</f>
        <v>8901 WISCONSIN AVE</v>
      </c>
      <c r="C4919" t="str">
        <f>T("BLDG 14")</f>
        <v>BLDG 14</v>
      </c>
      <c r="D4919" t="str">
        <f>T("BETHESDA")</f>
        <v>BETHESDA</v>
      </c>
      <c r="E4919" t="str">
        <f t="shared" ref="E4919:E4924" si="1916">T("MD")</f>
        <v>MD</v>
      </c>
      <c r="F4919" t="str">
        <f>T("208890004")</f>
        <v>208890004</v>
      </c>
      <c r="G4919" t="str">
        <f>T("8901 WISCONSIN AVE")</f>
        <v>8901 WISCONSIN AVE</v>
      </c>
      <c r="H4919" t="str">
        <f>T("BLDG 14")</f>
        <v>BLDG 14</v>
      </c>
      <c r="I4919" t="str">
        <f>T("BETHESDA")</f>
        <v>BETHESDA</v>
      </c>
      <c r="J4919" t="str">
        <f t="shared" ref="J4919:J4924" si="1917">T("MD")</f>
        <v>MD</v>
      </c>
      <c r="K4919" t="str">
        <f>T("")</f>
        <v/>
      </c>
      <c r="L4919" t="str">
        <f>T("2021111111")</f>
        <v>2021111111</v>
      </c>
    </row>
    <row r="4920" spans="1:12" x14ac:dyDescent="0.35">
      <c r="A4920" t="str">
        <f t="shared" si="1902"/>
        <v>NAVFAC WASHINGTON HL5</v>
      </c>
      <c r="B4920" t="str">
        <f>T("8901 WISCONSIN AVE")</f>
        <v>8901 WISCONSIN AVE</v>
      </c>
      <c r="C4920" t="str">
        <f>T("BLDG 14")</f>
        <v>BLDG 14</v>
      </c>
      <c r="D4920" t="str">
        <f>T("BETHESDA")</f>
        <v>BETHESDA</v>
      </c>
      <c r="E4920" t="str">
        <f t="shared" si="1916"/>
        <v>MD</v>
      </c>
      <c r="F4920" t="str">
        <f>T("208890004")</f>
        <v>208890004</v>
      </c>
      <c r="G4920" t="str">
        <f>T("8901 WISCONSIN AVE")</f>
        <v>8901 WISCONSIN AVE</v>
      </c>
      <c r="H4920" t="str">
        <f>T("BLDG 14")</f>
        <v>BLDG 14</v>
      </c>
      <c r="I4920" t="str">
        <f>T("BETHESDA")</f>
        <v>BETHESDA</v>
      </c>
      <c r="J4920" t="str">
        <f t="shared" si="1917"/>
        <v>MD</v>
      </c>
      <c r="K4920" t="str">
        <f>T("000000000000000000")</f>
        <v>000000000000000000</v>
      </c>
      <c r="L4920" t="str">
        <f>T("3012952222")</f>
        <v>3012952222</v>
      </c>
    </row>
    <row r="4921" spans="1:12" x14ac:dyDescent="0.35">
      <c r="A4921" t="str">
        <f t="shared" si="1902"/>
        <v>NAVFAC WASHINGTON HL5</v>
      </c>
      <c r="B4921" t="str">
        <f>T("8901 WISCONSIN AVE")</f>
        <v>8901 WISCONSIN AVE</v>
      </c>
      <c r="C4921" t="str">
        <f>T("BLDG 14")</f>
        <v>BLDG 14</v>
      </c>
      <c r="D4921" t="str">
        <f>T("BETHESDA")</f>
        <v>BETHESDA</v>
      </c>
      <c r="E4921" t="str">
        <f t="shared" si="1916"/>
        <v>MD</v>
      </c>
      <c r="F4921" t="str">
        <f>T("208890004")</f>
        <v>208890004</v>
      </c>
      <c r="G4921" t="str">
        <f>T("8901 WISCONSIN AVE")</f>
        <v>8901 WISCONSIN AVE</v>
      </c>
      <c r="H4921" t="str">
        <f>T("BLDG 14")</f>
        <v>BLDG 14</v>
      </c>
      <c r="I4921" t="str">
        <f>T("BETHESDA")</f>
        <v>BETHESDA</v>
      </c>
      <c r="J4921" t="str">
        <f t="shared" si="1917"/>
        <v>MD</v>
      </c>
      <c r="K4921" t="str">
        <f>T("3012954351")</f>
        <v>3012954351</v>
      </c>
      <c r="L4921" t="str">
        <f>T("3012952708")</f>
        <v>3012952708</v>
      </c>
    </row>
    <row r="4922" spans="1:12" x14ac:dyDescent="0.35">
      <c r="A4922" t="str">
        <f t="shared" si="1902"/>
        <v>NAVFAC WASHINGTON HL5</v>
      </c>
      <c r="B4922" t="str">
        <f>T("8901 WISCONSIN AVE")</f>
        <v>8901 WISCONSIN AVE</v>
      </c>
      <c r="C4922" t="str">
        <f>T("BLDG 14")</f>
        <v>BLDG 14</v>
      </c>
      <c r="D4922" t="str">
        <f>T("BETHESDA")</f>
        <v>BETHESDA</v>
      </c>
      <c r="E4922" t="str">
        <f t="shared" si="1916"/>
        <v>MD</v>
      </c>
      <c r="F4922" t="str">
        <f>T("208890004")</f>
        <v>208890004</v>
      </c>
      <c r="G4922" t="str">
        <f>T("NAVFAC WASHINGTON- PWD BETHESDA")</f>
        <v>NAVFAC WASHINGTON- PWD BETHESDA</v>
      </c>
      <c r="H4922" t="str">
        <f>T("4655 TAYLOR ROAD B-27")</f>
        <v>4655 TAYLOR ROAD B-27</v>
      </c>
      <c r="I4922" t="str">
        <f>T("BETHESDA")</f>
        <v>BETHESDA</v>
      </c>
      <c r="J4922" t="str">
        <f t="shared" si="1917"/>
        <v>MD</v>
      </c>
      <c r="K4922" t="str">
        <f>T("3012954391")</f>
        <v>3012954391</v>
      </c>
      <c r="L4922" t="str">
        <f>T("3012953694")</f>
        <v>3012953694</v>
      </c>
    </row>
    <row r="4923" spans="1:12" x14ac:dyDescent="0.35">
      <c r="A4923" t="str">
        <f t="shared" si="1902"/>
        <v>NAVFAC WASHINGTON HL5</v>
      </c>
      <c r="B4923" t="str">
        <f>T("PWD ANNAP HALLIGAN HALL")</f>
        <v>PWD ANNAP HALLIGAN HALL</v>
      </c>
      <c r="C4923" t="str">
        <f>T("181 WAINWRIGHT RD MS 21A")</f>
        <v>181 WAINWRIGHT RD MS 21A</v>
      </c>
      <c r="D4923" t="str">
        <f>T("ANNAPOLIS")</f>
        <v>ANNAPOLIS</v>
      </c>
      <c r="E4923" t="str">
        <f t="shared" si="1916"/>
        <v>MD</v>
      </c>
      <c r="F4923" t="str">
        <f>T("214021236")</f>
        <v>214021236</v>
      </c>
      <c r="G4923" t="str">
        <f>T("181 WAINWRIGHT RD")</f>
        <v>181 WAINWRIGHT RD</v>
      </c>
      <c r="H4923" t="str">
        <f>T("STOP 21A")</f>
        <v>STOP 21A</v>
      </c>
      <c r="I4923" t="str">
        <f>T("ANNAPOLIS")</f>
        <v>ANNAPOLIS</v>
      </c>
      <c r="J4923" t="str">
        <f t="shared" si="1917"/>
        <v>MD</v>
      </c>
      <c r="K4923" t="str">
        <f>T("4102934881")</f>
        <v>4102934881</v>
      </c>
      <c r="L4923" t="str">
        <f>T("4102931013")</f>
        <v>4102931013</v>
      </c>
    </row>
    <row r="4924" spans="1:12" x14ac:dyDescent="0.35">
      <c r="A4924" t="str">
        <f t="shared" si="1902"/>
        <v>NAVFAC WASHINGTON HL5</v>
      </c>
      <c r="B4924" t="str">
        <f>T("PWD ANNAP HALLIGAN HALL")</f>
        <v>PWD ANNAP HALLIGAN HALL</v>
      </c>
      <c r="C4924" t="str">
        <f>T("181 WAINWRIGHT RD MS 21A")</f>
        <v>181 WAINWRIGHT RD MS 21A</v>
      </c>
      <c r="D4924" t="str">
        <f>T("ANNAPOLIS")</f>
        <v>ANNAPOLIS</v>
      </c>
      <c r="E4924" t="str">
        <f t="shared" si="1916"/>
        <v>MD</v>
      </c>
      <c r="F4924" t="str">
        <f>T("214021236")</f>
        <v>214021236</v>
      </c>
      <c r="G4924" t="str">
        <f>T("PWD ANNAP HALLIGAN HALL")</f>
        <v>PWD ANNAP HALLIGAN HALL</v>
      </c>
      <c r="H4924" t="str">
        <f>T("181 WAINWRIGHT RD MS 21A")</f>
        <v>181 WAINWRIGHT RD MS 21A</v>
      </c>
      <c r="I4924" t="str">
        <f>T("ANNAPOLIS")</f>
        <v>ANNAPOLIS</v>
      </c>
      <c r="J4924" t="str">
        <f t="shared" si="1917"/>
        <v>MD</v>
      </c>
      <c r="K4924" t="str">
        <f>T("")</f>
        <v/>
      </c>
      <c r="L4924" t="str">
        <f>T("4102931015")</f>
        <v>4102931015</v>
      </c>
    </row>
    <row r="4925" spans="1:12" x14ac:dyDescent="0.35">
      <c r="A4925" t="str">
        <f t="shared" si="1902"/>
        <v>NAVFAC WASHINGTON HL5</v>
      </c>
      <c r="B4925" t="str">
        <f>T("US NAVAL OBSERVATORY-VPFO")</f>
        <v>US NAVAL OBSERVATORY-VPFO</v>
      </c>
      <c r="C4925" t="str">
        <f>T("3450 MASSACHUSETTS AVE NW B-91")</f>
        <v>3450 MASSACHUSETTS AVE NW B-91</v>
      </c>
      <c r="D4925" t="str">
        <f>T("WASHINGTON")</f>
        <v>WASHINGTON</v>
      </c>
      <c r="E4925" t="str">
        <f>T("DC")</f>
        <v>DC</v>
      </c>
      <c r="F4925" t="str">
        <f>T("203920001")</f>
        <v>203920001</v>
      </c>
      <c r="G4925" t="str">
        <f>T("3450 MASSACHUSETTS AVE NW")</f>
        <v>3450 MASSACHUSETTS AVE NW</v>
      </c>
      <c r="H4925" t="str">
        <f>T("BLDG 91")</f>
        <v>BLDG 91</v>
      </c>
      <c r="I4925" t="str">
        <f>T("WASHINGTON")</f>
        <v>WASHINGTON</v>
      </c>
      <c r="J4925" t="str">
        <f>T("DC")</f>
        <v>DC</v>
      </c>
      <c r="K4925" t="str">
        <f>T("2027620729")</f>
        <v>2027620729</v>
      </c>
      <c r="L4925" t="str">
        <f>T("2027620728")</f>
        <v>2027620728</v>
      </c>
    </row>
    <row r="4926" spans="1:12" x14ac:dyDescent="0.35">
      <c r="A4926" t="str">
        <f t="shared" si="1902"/>
        <v>NAVFAC WASHINGTON HL5</v>
      </c>
      <c r="B4926" t="str">
        <f>T("US NAVAL OBSERVATORY-VPFO")</f>
        <v>US NAVAL OBSERVATORY-VPFO</v>
      </c>
      <c r="C4926" t="str">
        <f>T("3450 MASSACHUSETTS AVE NW B-91")</f>
        <v>3450 MASSACHUSETTS AVE NW B-91</v>
      </c>
      <c r="D4926" t="str">
        <f>T("WASHINGTON")</f>
        <v>WASHINGTON</v>
      </c>
      <c r="E4926" t="str">
        <f>T("DC")</f>
        <v>DC</v>
      </c>
      <c r="F4926" t="str">
        <f>T("203920001")</f>
        <v>203920001</v>
      </c>
      <c r="G4926" t="str">
        <f>T("US NAVAL OBSERVATORY-VPFO")</f>
        <v>US NAVAL OBSERVATORY-VPFO</v>
      </c>
      <c r="H4926" t="str">
        <f>T("3450 MASSACHUSETTS AVE NW B-91")</f>
        <v>3450 MASSACHUSETTS AVE NW B-91</v>
      </c>
      <c r="I4926" t="str">
        <f>T("WASHINGTON")</f>
        <v>WASHINGTON</v>
      </c>
      <c r="J4926" t="str">
        <f>T("DC")</f>
        <v>DC</v>
      </c>
      <c r="K4926" t="str">
        <f>T("")</f>
        <v/>
      </c>
      <c r="L4926" t="str">
        <f>T("2021111111")</f>
        <v>2021111111</v>
      </c>
    </row>
    <row r="4927" spans="1:12" x14ac:dyDescent="0.35">
      <c r="A4927" t="str">
        <f t="shared" si="1902"/>
        <v>NAVFAC WASHINGTON HL5</v>
      </c>
      <c r="B4927" t="str">
        <f>T("US NAVAL OBSERVATORY-VPFO")</f>
        <v>US NAVAL OBSERVATORY-VPFO</v>
      </c>
      <c r="C4927" t="str">
        <f>T("3450 MASSACHUSETTS AVE NW B-91")</f>
        <v>3450 MASSACHUSETTS AVE NW B-91</v>
      </c>
      <c r="D4927" t="str">
        <f>T("WASHINGTON")</f>
        <v>WASHINGTON</v>
      </c>
      <c r="E4927" t="str">
        <f>T("DC")</f>
        <v>DC</v>
      </c>
      <c r="F4927" t="str">
        <f>T("203920001")</f>
        <v>203920001</v>
      </c>
      <c r="G4927" t="str">
        <f>T("VPFO B-91")</f>
        <v>VPFO B-91</v>
      </c>
      <c r="H4927" t="str">
        <f>T("3450 MASSACHUSETTS AVE NW")</f>
        <v>3450 MASSACHUSETTS AVE NW</v>
      </c>
      <c r="I4927" t="str">
        <f>T("WASHINGTON")</f>
        <v>WASHINGTON</v>
      </c>
      <c r="J4927" t="str">
        <f>T("DC")</f>
        <v>DC</v>
      </c>
      <c r="K4927" t="str">
        <f>T("2027620729")</f>
        <v>2027620729</v>
      </c>
      <c r="L4927" t="str">
        <f>T("2027620691")</f>
        <v>2027620691</v>
      </c>
    </row>
    <row r="4928" spans="1:12" x14ac:dyDescent="0.35">
      <c r="A4928" t="str">
        <f t="shared" ref="A4928:A4936" si="1918">T("NAVFAC MIDWEST HL5")</f>
        <v>NAVFAC MIDWEST HL5</v>
      </c>
      <c r="B4928" t="str">
        <f>T("201 DECATUR AVE")</f>
        <v>201 DECATUR AVE</v>
      </c>
      <c r="C4928" t="str">
        <f>T("CODE 500")</f>
        <v>CODE 500</v>
      </c>
      <c r="D4928" t="str">
        <f>T("GREAT LAKES")</f>
        <v>GREAT LAKES</v>
      </c>
      <c r="E4928" t="str">
        <f>T("IL")</f>
        <v>IL</v>
      </c>
      <c r="F4928" t="str">
        <f>T("600882801")</f>
        <v>600882801</v>
      </c>
      <c r="G4928" t="str">
        <f>T("201 DECATUR AVE")</f>
        <v>201 DECATUR AVE</v>
      </c>
      <c r="H4928" t="str">
        <f>T("CODE 500")</f>
        <v>CODE 500</v>
      </c>
      <c r="I4928" t="str">
        <f>T("GREAT LAKES")</f>
        <v>GREAT LAKES</v>
      </c>
      <c r="J4928" t="str">
        <f>T("IL")</f>
        <v>IL</v>
      </c>
      <c r="K4928" t="str">
        <f>T("000000000000000000")</f>
        <v>000000000000000000</v>
      </c>
      <c r="L4928" t="str">
        <f>T("8476885395")</f>
        <v>8476885395</v>
      </c>
    </row>
    <row r="4929" spans="1:12" x14ac:dyDescent="0.35">
      <c r="A4929" t="str">
        <f t="shared" si="1918"/>
        <v>NAVFAC MIDWEST HL5</v>
      </c>
      <c r="B4929" t="str">
        <f>T("300 HIGHWAY 361")</f>
        <v>300 HIGHWAY 361</v>
      </c>
      <c r="C4929" t="str">
        <f>T("")</f>
        <v/>
      </c>
      <c r="D4929" t="str">
        <f>T("CRANE")</f>
        <v>CRANE</v>
      </c>
      <c r="E4929" t="str">
        <f>T("IN")</f>
        <v>IN</v>
      </c>
      <c r="F4929" t="str">
        <f>T("475224000")</f>
        <v>475224000</v>
      </c>
      <c r="G4929" t="str">
        <f>T("300 HIGHWAY 361")</f>
        <v>300 HIGHWAY 361</v>
      </c>
      <c r="H4929" t="str">
        <f>T("")</f>
        <v/>
      </c>
      <c r="I4929" t="str">
        <f>T("CRANE")</f>
        <v>CRANE</v>
      </c>
      <c r="J4929" t="str">
        <f>T("IN")</f>
        <v>IN</v>
      </c>
      <c r="K4929" t="str">
        <f>T("8128542653")</f>
        <v>8128542653</v>
      </c>
      <c r="L4929" t="str">
        <f>T("8128543477")</f>
        <v>8128543477</v>
      </c>
    </row>
    <row r="4930" spans="1:12" x14ac:dyDescent="0.35">
      <c r="A4930" t="str">
        <f t="shared" si="1918"/>
        <v>NAVFAC MIDWEST HL5</v>
      </c>
      <c r="B4930" t="str">
        <f>T("3220 MISSISSIPPI STREET")</f>
        <v>3220 MISSISSIPPI STREET</v>
      </c>
      <c r="C4930" t="str">
        <f>T("BLDG 3223")</f>
        <v>BLDG 3223</v>
      </c>
      <c r="D4930" t="str">
        <f>T("GREAT LAKES")</f>
        <v>GREAT LAKES</v>
      </c>
      <c r="E4930" t="str">
        <f>T("IL")</f>
        <v>IL</v>
      </c>
      <c r="F4930" t="str">
        <f>T("600883418")</f>
        <v>600883418</v>
      </c>
      <c r="G4930" t="str">
        <f>T("3220 MISSISSIPPI STREET")</f>
        <v>3220 MISSISSIPPI STREET</v>
      </c>
      <c r="H4930" t="str">
        <f>T("BLDG 3223")</f>
        <v>BLDG 3223</v>
      </c>
      <c r="I4930" t="str">
        <f>T("GREAT LAKES")</f>
        <v>GREAT LAKES</v>
      </c>
      <c r="J4930" t="str">
        <f>T("IL")</f>
        <v>IL</v>
      </c>
      <c r="K4930" t="str">
        <f>T("")</f>
        <v/>
      </c>
      <c r="L4930" t="str">
        <f>T("1111111111")</f>
        <v>1111111111</v>
      </c>
    </row>
    <row r="4931" spans="1:12" x14ac:dyDescent="0.35">
      <c r="A4931" t="str">
        <f t="shared" si="1918"/>
        <v>NAVFAC MIDWEST HL5</v>
      </c>
      <c r="B4931" t="str">
        <f>T("520 DEWEY AVENUE")</f>
        <v>520 DEWEY AVENUE</v>
      </c>
      <c r="C4931" t="str">
        <f>T("BLDG 5")</f>
        <v>BLDG 5</v>
      </c>
      <c r="D4931" t="str">
        <f>T("GREAT LAKES")</f>
        <v>GREAT LAKES</v>
      </c>
      <c r="E4931" t="str">
        <f>T("IL")</f>
        <v>IL</v>
      </c>
      <c r="F4931" t="str">
        <f>T("600882913")</f>
        <v>600882913</v>
      </c>
      <c r="G4931" t="str">
        <f>T("520 DEWEY AVENUE")</f>
        <v>520 DEWEY AVENUE</v>
      </c>
      <c r="H4931" t="str">
        <f>T("BLDG 5")</f>
        <v>BLDG 5</v>
      </c>
      <c r="I4931" t="str">
        <f>T("GREAT LAKES")</f>
        <v>GREAT LAKES</v>
      </c>
      <c r="J4931" t="str">
        <f>T("IL")</f>
        <v>IL</v>
      </c>
      <c r="K4931" t="str">
        <f>T("")</f>
        <v/>
      </c>
      <c r="L4931" t="str">
        <f>T("1111111111")</f>
        <v>1111111111</v>
      </c>
    </row>
    <row r="4932" spans="1:12" x14ac:dyDescent="0.35">
      <c r="A4932" t="str">
        <f t="shared" si="1918"/>
        <v>NAVFAC MIDWEST HL5</v>
      </c>
      <c r="B4932" t="str">
        <f>T("NAVFAC MW PWD CRANE, BLDG 516")</f>
        <v>NAVFAC MW PWD CRANE, BLDG 516</v>
      </c>
      <c r="C4932" t="str">
        <f>T("CODE PRC, 300 HIGHWAY 361")</f>
        <v>CODE PRC, 300 HIGHWAY 361</v>
      </c>
      <c r="D4932" t="str">
        <f>T("CRANE")</f>
        <v>CRANE</v>
      </c>
      <c r="E4932" t="str">
        <f>T("IN")</f>
        <v>IN</v>
      </c>
      <c r="F4932" t="str">
        <f>T("475224000")</f>
        <v>475224000</v>
      </c>
      <c r="G4932" t="str">
        <f>T("NAVFAC MW PWD CRANE, BLDG 516")</f>
        <v>NAVFAC MW PWD CRANE, BLDG 516</v>
      </c>
      <c r="H4932" t="str">
        <f>T("CODE PRC, 300 HIGHWAY 361")</f>
        <v>CODE PRC, 300 HIGHWAY 361</v>
      </c>
      <c r="I4932" t="str">
        <f>T("CRANE")</f>
        <v>CRANE</v>
      </c>
      <c r="J4932" t="str">
        <f>T("IN")</f>
        <v>IN</v>
      </c>
      <c r="K4932" t="str">
        <f>T("8128541614")</f>
        <v>8128541614</v>
      </c>
      <c r="L4932" t="str">
        <f>T("8128543312")</f>
        <v>8128543312</v>
      </c>
    </row>
    <row r="4933" spans="1:12" x14ac:dyDescent="0.35">
      <c r="A4933" t="str">
        <f t="shared" si="1918"/>
        <v>NAVFAC MIDWEST HL5</v>
      </c>
      <c r="B4933" t="str">
        <f>T("NAVFAC MW SUPPLY MGT")</f>
        <v>NAVFAC MW SUPPLY MGT</v>
      </c>
      <c r="C4933" t="str">
        <f>T("201 DECATUR AVE")</f>
        <v>201 DECATUR AVE</v>
      </c>
      <c r="D4933" t="str">
        <f>T("GREAT LAKES")</f>
        <v>GREAT LAKES</v>
      </c>
      <c r="E4933" t="str">
        <f>T("IL")</f>
        <v>IL</v>
      </c>
      <c r="F4933" t="str">
        <f>T("600882801")</f>
        <v>600882801</v>
      </c>
      <c r="G4933" t="str">
        <f>T("NAVFAC MW SUPPLY MGT")</f>
        <v>NAVFAC MW SUPPLY MGT</v>
      </c>
      <c r="H4933" t="str">
        <f>T("201 DECATUR AVE")</f>
        <v>201 DECATUR AVE</v>
      </c>
      <c r="I4933" t="str">
        <f>T("GREAT LAKES")</f>
        <v>GREAT LAKES</v>
      </c>
      <c r="J4933" t="str">
        <f>T("IL")</f>
        <v>IL</v>
      </c>
      <c r="K4933" t="str">
        <f>T("8476882979")</f>
        <v>8476882979</v>
      </c>
      <c r="L4933" t="str">
        <f>T("1111111111")</f>
        <v>1111111111</v>
      </c>
    </row>
    <row r="4934" spans="1:12" x14ac:dyDescent="0.35">
      <c r="A4934" t="str">
        <f t="shared" si="1918"/>
        <v>NAVFAC MIDWEST HL5</v>
      </c>
      <c r="B4934" t="str">
        <f>T("NSA CRANE")</f>
        <v>NSA CRANE</v>
      </c>
      <c r="C4934" t="str">
        <f>T("300 HIGHWAY 361 B2516")</f>
        <v>300 HIGHWAY 361 B2516</v>
      </c>
      <c r="D4934" t="str">
        <f>T("CRANE")</f>
        <v>CRANE</v>
      </c>
      <c r="E4934" t="str">
        <f>T("IN")</f>
        <v>IN</v>
      </c>
      <c r="F4934" t="str">
        <f>T("475224000")</f>
        <v>475224000</v>
      </c>
      <c r="G4934" t="str">
        <f>T("NSA CRANE")</f>
        <v>NSA CRANE</v>
      </c>
      <c r="H4934" t="str">
        <f>T("300 HIGHWAY 361 B2516")</f>
        <v>300 HIGHWAY 361 B2516</v>
      </c>
      <c r="I4934" t="str">
        <f>T("CRANE")</f>
        <v>CRANE</v>
      </c>
      <c r="J4934" t="str">
        <f>T("IN")</f>
        <v>IN</v>
      </c>
      <c r="K4934" t="str">
        <f>T("")</f>
        <v/>
      </c>
      <c r="L4934" t="str">
        <f>T("8128548216")</f>
        <v>8128548216</v>
      </c>
    </row>
    <row r="4935" spans="1:12" x14ac:dyDescent="0.35">
      <c r="A4935" t="str">
        <f t="shared" si="1918"/>
        <v>NAVFAC MIDWEST HL5</v>
      </c>
      <c r="B4935" t="str">
        <f>T("NSA CRANE")</f>
        <v>NSA CRANE</v>
      </c>
      <c r="C4935" t="str">
        <f>T("300 HIGHWAY 361 B2713")</f>
        <v>300 HIGHWAY 361 B2713</v>
      </c>
      <c r="D4935" t="str">
        <f>T("CRANE")</f>
        <v>CRANE</v>
      </c>
      <c r="E4935" t="str">
        <f>T("IN")</f>
        <v>IN</v>
      </c>
      <c r="F4935" t="str">
        <f>T("475224000")</f>
        <v>475224000</v>
      </c>
      <c r="G4935" t="str">
        <f>T("NSA CRANE")</f>
        <v>NSA CRANE</v>
      </c>
      <c r="H4935" t="str">
        <f>T("300 HIGHWAY 361 B2713")</f>
        <v>300 HIGHWAY 361 B2713</v>
      </c>
      <c r="I4935" t="str">
        <f>T("CRANE")</f>
        <v>CRANE</v>
      </c>
      <c r="J4935" t="str">
        <f>T("IN")</f>
        <v>IN</v>
      </c>
      <c r="K4935" t="str">
        <f>T("8128541441")</f>
        <v>8128541441</v>
      </c>
      <c r="L4935" t="str">
        <f>T("8128545557")</f>
        <v>8128545557</v>
      </c>
    </row>
    <row r="4936" spans="1:12" x14ac:dyDescent="0.35">
      <c r="A4936" t="str">
        <f t="shared" si="1918"/>
        <v>NAVFAC MIDWEST HL5</v>
      </c>
      <c r="B4936" t="str">
        <f>T("PWD GREAT LAKES BLDG 12")</f>
        <v>PWD GREAT LAKES BLDG 12</v>
      </c>
      <c r="C4936" t="str">
        <f>T("2530 ZIEGEMEIER ST PRGL32")</f>
        <v>2530 ZIEGEMEIER ST PRGL32</v>
      </c>
      <c r="D4936" t="str">
        <f>T("GREAT LAKES")</f>
        <v>GREAT LAKES</v>
      </c>
      <c r="E4936" t="str">
        <f>T("IL")</f>
        <v>IL</v>
      </c>
      <c r="F4936" t="str">
        <f>T("600882945")</f>
        <v>600882945</v>
      </c>
      <c r="G4936" t="str">
        <f>T("PWD GREAT LAKES BLDG 12")</f>
        <v>PWD GREAT LAKES BLDG 12</v>
      </c>
      <c r="H4936" t="str">
        <f>T("2530 ZIEGEMEIER ST PRGL32")</f>
        <v>2530 ZIEGEMEIER ST PRGL32</v>
      </c>
      <c r="I4936" t="str">
        <f>T("GREAT LAKES")</f>
        <v>GREAT LAKES</v>
      </c>
      <c r="J4936" t="str">
        <f>T("IL")</f>
        <v>IL</v>
      </c>
      <c r="K4936" t="str">
        <f>T("")</f>
        <v/>
      </c>
      <c r="L4936" t="str">
        <f>T("1111111111")</f>
        <v>1111111111</v>
      </c>
    </row>
    <row r="4937" spans="1:12" x14ac:dyDescent="0.35">
      <c r="A4937" t="str">
        <f t="shared" ref="A4937:A4968" si="1919">T("NAVFAC MID-ATLANTIC HL5")</f>
        <v>NAVFAC MID-ATLANTIC HL5</v>
      </c>
      <c r="B4937" t="str">
        <f>T("1 CRYSTAL LAKE RD")</f>
        <v>1 CRYSTAL LAKE RD</v>
      </c>
      <c r="C4937" t="str">
        <f>T("")</f>
        <v/>
      </c>
      <c r="D4937" t="str">
        <f>T("GROTON")</f>
        <v>GROTON</v>
      </c>
      <c r="E4937" t="str">
        <f>T("CT")</f>
        <v>CT</v>
      </c>
      <c r="F4937" t="str">
        <f>T("063492300")</f>
        <v>063492300</v>
      </c>
      <c r="G4937" t="str">
        <f>T("1 CRYSTAL LAKE RD")</f>
        <v>1 CRYSTAL LAKE RD</v>
      </c>
      <c r="H4937" t="str">
        <f>T("")</f>
        <v/>
      </c>
      <c r="I4937" t="str">
        <f>T("GROTON")</f>
        <v>GROTON</v>
      </c>
      <c r="J4937" t="str">
        <f>T("CT")</f>
        <v>CT</v>
      </c>
      <c r="K4937" t="str">
        <f>T("8606944510")</f>
        <v>8606944510</v>
      </c>
      <c r="L4937" t="str">
        <f>T("8609644484")</f>
        <v>8609644484</v>
      </c>
    </row>
    <row r="4938" spans="1:12" x14ac:dyDescent="0.35">
      <c r="A4938" t="str">
        <f t="shared" si="1919"/>
        <v>NAVFAC MID-ATLANTIC HL5</v>
      </c>
      <c r="B4938" t="str">
        <f>T("1 CRYSTAL LAKE RD")</f>
        <v>1 CRYSTAL LAKE RD</v>
      </c>
      <c r="C4938" t="str">
        <f>T("")</f>
        <v/>
      </c>
      <c r="D4938" t="str">
        <f>T("GROTON")</f>
        <v>GROTON</v>
      </c>
      <c r="E4938" t="str">
        <f>T("CT")</f>
        <v>CT</v>
      </c>
      <c r="F4938" t="str">
        <f>T("063492300")</f>
        <v>063492300</v>
      </c>
      <c r="G4938" t="str">
        <f>T("USN SUBASE NEW LONDON")</f>
        <v>USN SUBASE NEW LONDON</v>
      </c>
      <c r="H4938" t="str">
        <f>T("PUBLIC WORKS BLDG B-135")</f>
        <v>PUBLIC WORKS BLDG B-135</v>
      </c>
      <c r="I4938" t="str">
        <f>T("GROTON")</f>
        <v>GROTON</v>
      </c>
      <c r="J4938" t="str">
        <f>T("CT")</f>
        <v>CT</v>
      </c>
      <c r="K4938" t="str">
        <f>T("000000000000000000")</f>
        <v>000000000000000000</v>
      </c>
      <c r="L4938" t="str">
        <f>T("8606945904")</f>
        <v>8606945904</v>
      </c>
    </row>
    <row r="4939" spans="1:12" x14ac:dyDescent="0.35">
      <c r="A4939" t="str">
        <f t="shared" si="1919"/>
        <v>NAVFAC MID-ATLANTIC HL5</v>
      </c>
      <c r="B4939" t="str">
        <f>T("1 SIMONPETRI DR")</f>
        <v>1 SIMONPETRI DR</v>
      </c>
      <c r="C4939" t="str">
        <f>T("BLDG 1 CC")</f>
        <v>BLDG 1 CC</v>
      </c>
      <c r="D4939" t="str">
        <f>T("NEWPORT")</f>
        <v>NEWPORT</v>
      </c>
      <c r="E4939" t="str">
        <f>T("RI")</f>
        <v>RI</v>
      </c>
      <c r="F4939" t="str">
        <f>T("028411714")</f>
        <v>028411714</v>
      </c>
      <c r="G4939" t="str">
        <f>T("1 SIMONPETRI DR")</f>
        <v>1 SIMONPETRI DR</v>
      </c>
      <c r="H4939" t="str">
        <f>T("BLDG 1 CC")</f>
        <v>BLDG 1 CC</v>
      </c>
      <c r="I4939" t="str">
        <f>T("NEWPORT")</f>
        <v>NEWPORT</v>
      </c>
      <c r="J4939" t="str">
        <f>T("RI")</f>
        <v>RI</v>
      </c>
      <c r="K4939" t="str">
        <f>T("")</f>
        <v/>
      </c>
      <c r="L4939" t="str">
        <f>T("4018417756")</f>
        <v>4018417756</v>
      </c>
    </row>
    <row r="4940" spans="1:12" x14ac:dyDescent="0.35">
      <c r="A4940" t="str">
        <f t="shared" si="1919"/>
        <v>NAVFAC MID-ATLANTIC HL5</v>
      </c>
      <c r="B4940" t="str">
        <f>T("1 SIMONPETRI DR")</f>
        <v>1 SIMONPETRI DR</v>
      </c>
      <c r="C4940" t="str">
        <f>T("BLDG 1 CC")</f>
        <v>BLDG 1 CC</v>
      </c>
      <c r="D4940" t="str">
        <f>T("NEWPORT")</f>
        <v>NEWPORT</v>
      </c>
      <c r="E4940" t="str">
        <f>T("RI")</f>
        <v>RI</v>
      </c>
      <c r="F4940" t="str">
        <f>T("028411714")</f>
        <v>028411714</v>
      </c>
      <c r="G4940" t="str">
        <f>T("1 SIMONPETRI DR")</f>
        <v>1 SIMONPETRI DR</v>
      </c>
      <c r="H4940" t="str">
        <f>T("BLDG A-63")</f>
        <v>BLDG A-63</v>
      </c>
      <c r="I4940" t="str">
        <f>T("NEWPORT")</f>
        <v>NEWPORT</v>
      </c>
      <c r="J4940" t="str">
        <f>T("RI")</f>
        <v>RI</v>
      </c>
      <c r="K4940" t="str">
        <f>T("000000000000000000")</f>
        <v>000000000000000000</v>
      </c>
      <c r="L4940" t="str">
        <f>T("4018417622")</f>
        <v>4018417622</v>
      </c>
    </row>
    <row r="4941" spans="1:12" x14ac:dyDescent="0.35">
      <c r="A4941" t="str">
        <f t="shared" si="1919"/>
        <v>NAVFAC MID-ATLANTIC HL5</v>
      </c>
      <c r="B4941" t="str">
        <f>T("1 SIMONPETRI DR")</f>
        <v>1 SIMONPETRI DR</v>
      </c>
      <c r="C4941" t="str">
        <f>T("BLDG 1 CC")</f>
        <v>BLDG 1 CC</v>
      </c>
      <c r="D4941" t="str">
        <f>T("NEWPORT")</f>
        <v>NEWPORT</v>
      </c>
      <c r="E4941" t="str">
        <f>T("RI")</f>
        <v>RI</v>
      </c>
      <c r="F4941" t="str">
        <f>T("028411714")</f>
        <v>028411714</v>
      </c>
      <c r="G4941" t="str">
        <f>T("NAVAL STATION NEWPORT PWD")</f>
        <v>NAVAL STATION NEWPORT PWD</v>
      </c>
      <c r="H4941" t="str">
        <f>T("1 SIMONPIETRI DR B1 F1")</f>
        <v>1 SIMONPIETRI DR B1 F1</v>
      </c>
      <c r="I4941" t="str">
        <f>T("NEWPORT")</f>
        <v>NEWPORT</v>
      </c>
      <c r="J4941" t="str">
        <f>T("RI")</f>
        <v>RI</v>
      </c>
      <c r="K4941" t="str">
        <f>T("000000000000000000")</f>
        <v>000000000000000000</v>
      </c>
      <c r="L4941" t="str">
        <f>T("4018417627")</f>
        <v>4018417627</v>
      </c>
    </row>
    <row r="4942" spans="1:12" x14ac:dyDescent="0.35">
      <c r="A4942" t="str">
        <f t="shared" si="1919"/>
        <v>NAVFAC MID-ATLANTIC HL5</v>
      </c>
      <c r="B4942" t="str">
        <f>T("1 SIMONPIETRI DR NEWPORT")</f>
        <v>1 SIMONPIETRI DR NEWPORT</v>
      </c>
      <c r="C4942" t="str">
        <f>T("")</f>
        <v/>
      </c>
      <c r="D4942" t="str">
        <f>T("NEWPORT")</f>
        <v>NEWPORT</v>
      </c>
      <c r="E4942" t="str">
        <f>T("RI")</f>
        <v>RI</v>
      </c>
      <c r="F4942" t="str">
        <f>T("028411714")</f>
        <v>028411714</v>
      </c>
      <c r="G4942" t="str">
        <f>T("1 SIMONPIETRI DR")</f>
        <v>1 SIMONPIETRI DR</v>
      </c>
      <c r="H4942" t="str">
        <f>T("")</f>
        <v/>
      </c>
      <c r="I4942" t="str">
        <f>T("NEWPORT")</f>
        <v>NEWPORT</v>
      </c>
      <c r="J4942" t="str">
        <f>T("RI")</f>
        <v>RI</v>
      </c>
      <c r="K4942" t="str">
        <f>T("000000000000000000")</f>
        <v>000000000000000000</v>
      </c>
      <c r="L4942" t="str">
        <f>T("4018417660")</f>
        <v>4018417660</v>
      </c>
    </row>
    <row r="4943" spans="1:12" x14ac:dyDescent="0.35">
      <c r="A4943" t="str">
        <f t="shared" si="1919"/>
        <v>NAVFAC MID-ATLANTIC HL5</v>
      </c>
      <c r="B4943" t="str">
        <f>T("1 SIMONPIETRI DR NEWPORT")</f>
        <v>1 SIMONPIETRI DR NEWPORT</v>
      </c>
      <c r="C4943" t="str">
        <f>T("")</f>
        <v/>
      </c>
      <c r="D4943" t="str">
        <f>T("NEWPORT")</f>
        <v>NEWPORT</v>
      </c>
      <c r="E4943" t="str">
        <f>T("RI")</f>
        <v>RI</v>
      </c>
      <c r="F4943" t="str">
        <f>T("028411714")</f>
        <v>028411714</v>
      </c>
      <c r="G4943" t="str">
        <f>T("1 SIMONPIETRI DR NEWPORT")</f>
        <v>1 SIMONPIETRI DR NEWPORT</v>
      </c>
      <c r="H4943" t="str">
        <f>T("")</f>
        <v/>
      </c>
      <c r="I4943" t="str">
        <f>T("NEWPORT")</f>
        <v>NEWPORT</v>
      </c>
      <c r="J4943" t="str">
        <f>T("RI")</f>
        <v>RI</v>
      </c>
      <c r="K4943" t="str">
        <f>T("")</f>
        <v/>
      </c>
      <c r="L4943" t="str">
        <f>T("4018417626")</f>
        <v>4018417626</v>
      </c>
    </row>
    <row r="4944" spans="1:12" x14ac:dyDescent="0.35">
      <c r="A4944" t="str">
        <f t="shared" si="1919"/>
        <v>NAVFAC MID-ATLANTIC HL5</v>
      </c>
      <c r="B4944" t="str">
        <f>T("1450 GATOR BLVD")</f>
        <v>1450 GATOR BLVD</v>
      </c>
      <c r="C4944" t="str">
        <f>T("STE 100")</f>
        <v>STE 100</v>
      </c>
      <c r="D4944" t="str">
        <f>T("VIRGINIA BCH")</f>
        <v>VIRGINIA BCH</v>
      </c>
      <c r="E4944" t="str">
        <f t="shared" ref="E4944:E4952" si="1920">T("VA")</f>
        <v>VA</v>
      </c>
      <c r="F4944" t="str">
        <f>T("234598616")</f>
        <v>234598616</v>
      </c>
      <c r="G4944" t="str">
        <f>T("1450 GATOR BLVD")</f>
        <v>1450 GATOR BLVD</v>
      </c>
      <c r="H4944" t="str">
        <f>T("")</f>
        <v/>
      </c>
      <c r="I4944" t="str">
        <f>T("VIRGINIA BEACH")</f>
        <v>VIRGINIA BEACH</v>
      </c>
      <c r="J4944" t="str">
        <f t="shared" ref="J4944:J4952" si="1921">T("VA")</f>
        <v>VA</v>
      </c>
      <c r="K4944" t="str">
        <f>T("000000000000000000")</f>
        <v>000000000000000000</v>
      </c>
      <c r="L4944" t="str">
        <f>T("7574625400")</f>
        <v>7574625400</v>
      </c>
    </row>
    <row r="4945" spans="1:12" x14ac:dyDescent="0.35">
      <c r="A4945" t="str">
        <f t="shared" si="1919"/>
        <v>NAVFAC MID-ATLANTIC HL5</v>
      </c>
      <c r="B4945" t="str">
        <f>T("1450 GATOR BLVD")</f>
        <v>1450 GATOR BLVD</v>
      </c>
      <c r="C4945" t="str">
        <f>T("STE 100")</f>
        <v>STE 100</v>
      </c>
      <c r="D4945" t="str">
        <f>T("VIRGINIA BCH")</f>
        <v>VIRGINIA BCH</v>
      </c>
      <c r="E4945" t="str">
        <f t="shared" si="1920"/>
        <v>VA</v>
      </c>
      <c r="F4945" t="str">
        <f>T("234598616")</f>
        <v>234598616</v>
      </c>
      <c r="G4945" t="str">
        <f>T("1450 GATOR BLVD")</f>
        <v>1450 GATOR BLVD</v>
      </c>
      <c r="H4945" t="str">
        <f>T("BLDG 3165")</f>
        <v>BLDG 3165</v>
      </c>
      <c r="I4945" t="str">
        <f>T("VIRGINIA BEACH")</f>
        <v>VIRGINIA BEACH</v>
      </c>
      <c r="J4945" t="str">
        <f t="shared" si="1921"/>
        <v>VA</v>
      </c>
      <c r="K4945" t="str">
        <f>T("000000000000000000")</f>
        <v>000000000000000000</v>
      </c>
      <c r="L4945" t="str">
        <f>T("7574625370")</f>
        <v>7574625370</v>
      </c>
    </row>
    <row r="4946" spans="1:12" x14ac:dyDescent="0.35">
      <c r="A4946" t="str">
        <f t="shared" si="1919"/>
        <v>NAVFAC MID-ATLANTIC HL5</v>
      </c>
      <c r="B4946" t="str">
        <f>T("1450 GATOR BLVD")</f>
        <v>1450 GATOR BLVD</v>
      </c>
      <c r="C4946" t="str">
        <f>T("STE 100")</f>
        <v>STE 100</v>
      </c>
      <c r="D4946" t="str">
        <f>T("VIRGINIA BCH")</f>
        <v>VIRGINIA BCH</v>
      </c>
      <c r="E4946" t="str">
        <f t="shared" si="1920"/>
        <v>VA</v>
      </c>
      <c r="F4946" t="str">
        <f>T("234598616")</f>
        <v>234598616</v>
      </c>
      <c r="G4946" t="str">
        <f>T("1450 GATOR BLVD")</f>
        <v>1450 GATOR BLVD</v>
      </c>
      <c r="H4946" t="str">
        <f>T("STE 100")</f>
        <v>STE 100</v>
      </c>
      <c r="I4946" t="str">
        <f>T("VIRGINIA BCH")</f>
        <v>VIRGINIA BCH</v>
      </c>
      <c r="J4946" t="str">
        <f t="shared" si="1921"/>
        <v>VA</v>
      </c>
      <c r="K4946" t="str">
        <f>T("")</f>
        <v/>
      </c>
      <c r="L4946" t="str">
        <f>T("7574625369")</f>
        <v>7574625369</v>
      </c>
    </row>
    <row r="4947" spans="1:12" x14ac:dyDescent="0.35">
      <c r="A4947" t="str">
        <f t="shared" si="1919"/>
        <v>NAVFAC MID-ATLANTIC HL5</v>
      </c>
      <c r="B4947" t="str">
        <f>T("1450 GATOR BLVD")</f>
        <v>1450 GATOR BLVD</v>
      </c>
      <c r="C4947" t="str">
        <f>T("STE 100")</f>
        <v>STE 100</v>
      </c>
      <c r="D4947" t="str">
        <f>T("VIRGINIA BCH")</f>
        <v>VIRGINIA BCH</v>
      </c>
      <c r="E4947" t="str">
        <f t="shared" si="1920"/>
        <v>VA</v>
      </c>
      <c r="F4947" t="str">
        <f>T("234598616")</f>
        <v>234598616</v>
      </c>
      <c r="G4947" t="str">
        <f>T("1450 GATOR BLVD.")</f>
        <v>1450 GATOR BLVD.</v>
      </c>
      <c r="H4947" t="str">
        <f>T("BLDG: 3165 STE:100")</f>
        <v>BLDG: 3165 STE:100</v>
      </c>
      <c r="I4947" t="str">
        <f>T("VIRGINIA BEACH")</f>
        <v>VIRGINIA BEACH</v>
      </c>
      <c r="J4947" t="str">
        <f t="shared" si="1921"/>
        <v>VA</v>
      </c>
      <c r="K4947" t="str">
        <f>T("7574624724")</f>
        <v>7574624724</v>
      </c>
      <c r="L4947" t="str">
        <f>T("7574625400")</f>
        <v>7574625400</v>
      </c>
    </row>
    <row r="4948" spans="1:12" x14ac:dyDescent="0.35">
      <c r="A4948" t="str">
        <f t="shared" si="1919"/>
        <v>NAVFAC MID-ATLANTIC HL5</v>
      </c>
      <c r="B4948" t="str">
        <f>T("1510 GILBERT ST")</f>
        <v>1510 GILBERT ST</v>
      </c>
      <c r="C4948" t="str">
        <f>T("BLDG N26")</f>
        <v>BLDG N26</v>
      </c>
      <c r="D4948" t="str">
        <f>T("NORFOLK")</f>
        <v>NORFOLK</v>
      </c>
      <c r="E4948" t="str">
        <f t="shared" si="1920"/>
        <v>VA</v>
      </c>
      <c r="F4948" t="str">
        <f>T("235112738")</f>
        <v>235112738</v>
      </c>
      <c r="G4948" t="str">
        <f>T("1510 GILBERT ST")</f>
        <v>1510 GILBERT ST</v>
      </c>
      <c r="H4948" t="str">
        <f>T("BLDG N26")</f>
        <v>BLDG N26</v>
      </c>
      <c r="I4948" t="str">
        <f>T("NORFOLK")</f>
        <v>NORFOLK</v>
      </c>
      <c r="J4948" t="str">
        <f t="shared" si="1921"/>
        <v>VA</v>
      </c>
      <c r="K4948" t="str">
        <f>T("7573410399")</f>
        <v>7573410399</v>
      </c>
      <c r="L4948" t="str">
        <f>T("7573410441")</f>
        <v>7573410441</v>
      </c>
    </row>
    <row r="4949" spans="1:12" x14ac:dyDescent="0.35">
      <c r="A4949" t="str">
        <f t="shared" si="1919"/>
        <v>NAVFAC MID-ATLANTIC HL5</v>
      </c>
      <c r="B4949" t="str">
        <f>T("1510 GILBERT ST")</f>
        <v>1510 GILBERT ST</v>
      </c>
      <c r="C4949" t="str">
        <f>T("BLDG N26")</f>
        <v>BLDG N26</v>
      </c>
      <c r="D4949" t="str">
        <f>T("NORFOLK")</f>
        <v>NORFOLK</v>
      </c>
      <c r="E4949" t="str">
        <f t="shared" si="1920"/>
        <v>VA</v>
      </c>
      <c r="F4949" t="str">
        <f>T("235112738")</f>
        <v>235112738</v>
      </c>
      <c r="G4949" t="str">
        <f>T("1510 GILBERT STREET")</f>
        <v>1510 GILBERT STREET</v>
      </c>
      <c r="H4949" t="str">
        <f>T("")</f>
        <v/>
      </c>
      <c r="I4949" t="str">
        <f>T("NORFOLK")</f>
        <v>NORFOLK</v>
      </c>
      <c r="J4949" t="str">
        <f t="shared" si="1921"/>
        <v>VA</v>
      </c>
      <c r="K4949" t="str">
        <f>T("000000000000000000")</f>
        <v>000000000000000000</v>
      </c>
      <c r="L4949" t="str">
        <f>T("7573410371")</f>
        <v>7573410371</v>
      </c>
    </row>
    <row r="4950" spans="1:12" x14ac:dyDescent="0.35">
      <c r="A4950" t="str">
        <f t="shared" si="1919"/>
        <v>NAVFAC MID-ATLANTIC HL5</v>
      </c>
      <c r="B4950" t="str">
        <f>T("1510 GILBERT ST")</f>
        <v>1510 GILBERT ST</v>
      </c>
      <c r="C4950" t="str">
        <f>T("BLDG N26")</f>
        <v>BLDG N26</v>
      </c>
      <c r="D4950" t="str">
        <f>T("NORFOLK")</f>
        <v>NORFOLK</v>
      </c>
      <c r="E4950" t="str">
        <f t="shared" si="1920"/>
        <v>VA</v>
      </c>
      <c r="F4950" t="str">
        <f>T("235112738")</f>
        <v>235112738</v>
      </c>
      <c r="G4950" t="str">
        <f>T("1530 GILBERT ST")</f>
        <v>1530 GILBERT ST</v>
      </c>
      <c r="H4950" t="str">
        <f>T("BLDG N26 RM 3300")</f>
        <v>BLDG N26 RM 3300</v>
      </c>
      <c r="I4950" t="str">
        <f>T("NORFOLK")</f>
        <v>NORFOLK</v>
      </c>
      <c r="J4950" t="str">
        <f t="shared" si="1921"/>
        <v>VA</v>
      </c>
      <c r="K4950" t="str">
        <f>T("7574443000")</f>
        <v>7574443000</v>
      </c>
      <c r="L4950" t="str">
        <f>T("7573410487")</f>
        <v>7573410487</v>
      </c>
    </row>
    <row r="4951" spans="1:12" x14ac:dyDescent="0.35">
      <c r="A4951" t="str">
        <f t="shared" si="1919"/>
        <v>NAVFAC MID-ATLANTIC HL5</v>
      </c>
      <c r="B4951" t="str">
        <f>T("16 BARRACKS RD")</f>
        <v>16 BARRACKS RD</v>
      </c>
      <c r="C4951" t="str">
        <f>T("BLDG 16")</f>
        <v>BLDG 16</v>
      </c>
      <c r="D4951" t="str">
        <f>T("YORKTOWN")</f>
        <v>YORKTOWN</v>
      </c>
      <c r="E4951" t="str">
        <f t="shared" si="1920"/>
        <v>VA</v>
      </c>
      <c r="F4951" t="str">
        <f>T("236910000")</f>
        <v>236910000</v>
      </c>
      <c r="G4951" t="str">
        <f>T("16 BARRACKS RD")</f>
        <v>16 BARRACKS RD</v>
      </c>
      <c r="H4951" t="str">
        <f>T("BLDG 16")</f>
        <v>BLDG 16</v>
      </c>
      <c r="I4951" t="str">
        <f>T("YORKTOWN")</f>
        <v>YORKTOWN</v>
      </c>
      <c r="J4951" t="str">
        <f t="shared" si="1921"/>
        <v>VA</v>
      </c>
      <c r="K4951" t="str">
        <f>T("000000000000000000")</f>
        <v>000000000000000000</v>
      </c>
      <c r="L4951" t="str">
        <f>T("7578874637")</f>
        <v>7578874637</v>
      </c>
    </row>
    <row r="4952" spans="1:12" x14ac:dyDescent="0.35">
      <c r="A4952" t="str">
        <f t="shared" si="1919"/>
        <v>NAVFAC MID-ATLANTIC HL5</v>
      </c>
      <c r="B4952" t="str">
        <f>T("16 BARRACKS RD")</f>
        <v>16 BARRACKS RD</v>
      </c>
      <c r="C4952" t="str">
        <f>T("BLDG 16")</f>
        <v>BLDG 16</v>
      </c>
      <c r="D4952" t="str">
        <f>T("YORKTOWN")</f>
        <v>YORKTOWN</v>
      </c>
      <c r="E4952" t="str">
        <f t="shared" si="1920"/>
        <v>VA</v>
      </c>
      <c r="F4952" t="str">
        <f>T("236910000")</f>
        <v>236910000</v>
      </c>
      <c r="G4952" t="str">
        <f>T("16 BARRACKS ROW")</f>
        <v>16 BARRACKS ROW</v>
      </c>
      <c r="H4952" t="str">
        <f>T("BLDG 16")</f>
        <v>BLDG 16</v>
      </c>
      <c r="I4952" t="str">
        <f>T("YORKTOWN")</f>
        <v>YORKTOWN</v>
      </c>
      <c r="J4952" t="str">
        <f t="shared" si="1921"/>
        <v>VA</v>
      </c>
      <c r="K4952" t="str">
        <f>T("000000000000000000")</f>
        <v>000000000000000000</v>
      </c>
      <c r="L4952" t="str">
        <f>T("7578874161")</f>
        <v>7578874161</v>
      </c>
    </row>
    <row r="4953" spans="1:12" x14ac:dyDescent="0.35">
      <c r="A4953" t="str">
        <f t="shared" si="1919"/>
        <v>NAVFAC MID-ATLANTIC HL5</v>
      </c>
      <c r="B4953" t="str">
        <f t="shared" ref="B4953:B4959" si="1922">T("1610 CONSTITUTION AVE")</f>
        <v>1610 CONSTITUTION AVE</v>
      </c>
      <c r="C4953" t="str">
        <f t="shared" ref="C4953:C4959" si="1923">T("BLDG 643")</f>
        <v>BLDG 643</v>
      </c>
      <c r="D4953" t="str">
        <f t="shared" ref="D4953:D4959" si="1924">T("PHILADELPHIA")</f>
        <v>PHILADELPHIA</v>
      </c>
      <c r="E4953" t="str">
        <f t="shared" ref="E4953:E4959" si="1925">T("PA")</f>
        <v>PA</v>
      </c>
      <c r="F4953" t="str">
        <f t="shared" ref="F4953:F4959" si="1926">T("191121700")</f>
        <v>191121700</v>
      </c>
      <c r="G4953" t="str">
        <f>T("1600 CONSTITUTION AVE # B-643")</f>
        <v>1600 CONSTITUTION AVE # B-643</v>
      </c>
      <c r="H4953" t="str">
        <f>T("")</f>
        <v/>
      </c>
      <c r="I4953" t="str">
        <f>T("PHILADELPHIA")</f>
        <v>PHILADELPHIA</v>
      </c>
      <c r="J4953" t="str">
        <f t="shared" ref="J4953:J4959" si="1927">T("PA")</f>
        <v>PA</v>
      </c>
      <c r="K4953" t="str">
        <f>T("000000000000000000")</f>
        <v>000000000000000000</v>
      </c>
      <c r="L4953" t="str">
        <f>T("2158976075")</f>
        <v>2158976075</v>
      </c>
    </row>
    <row r="4954" spans="1:12" x14ac:dyDescent="0.35">
      <c r="A4954" t="str">
        <f t="shared" si="1919"/>
        <v>NAVFAC MID-ATLANTIC HL5</v>
      </c>
      <c r="B4954" t="str">
        <f t="shared" si="1922"/>
        <v>1610 CONSTITUTION AVE</v>
      </c>
      <c r="C4954" t="str">
        <f t="shared" si="1923"/>
        <v>BLDG 643</v>
      </c>
      <c r="D4954" t="str">
        <f t="shared" si="1924"/>
        <v>PHILADELPHIA</v>
      </c>
      <c r="E4954" t="str">
        <f t="shared" si="1925"/>
        <v>PA</v>
      </c>
      <c r="F4954" t="str">
        <f t="shared" si="1926"/>
        <v>191121700</v>
      </c>
      <c r="G4954" t="str">
        <f>T("1610 CONSTITUTION AVE")</f>
        <v>1610 CONSTITUTION AVE</v>
      </c>
      <c r="H4954" t="str">
        <f>T("BLDG 643")</f>
        <v>BLDG 643</v>
      </c>
      <c r="I4954" t="str">
        <f>T("PHILADELPHIA")</f>
        <v>PHILADELPHIA</v>
      </c>
      <c r="J4954" t="str">
        <f t="shared" si="1927"/>
        <v>PA</v>
      </c>
      <c r="K4954" t="str">
        <f>T("")</f>
        <v/>
      </c>
      <c r="L4954" t="str">
        <f>T("2158976075")</f>
        <v>2158976075</v>
      </c>
    </row>
    <row r="4955" spans="1:12" x14ac:dyDescent="0.35">
      <c r="A4955" t="str">
        <f t="shared" si="1919"/>
        <v>NAVFAC MID-ATLANTIC HL5</v>
      </c>
      <c r="B4955" t="str">
        <f t="shared" si="1922"/>
        <v>1610 CONSTITUTION AVE</v>
      </c>
      <c r="C4955" t="str">
        <f t="shared" si="1923"/>
        <v>BLDG 643</v>
      </c>
      <c r="D4955" t="str">
        <f t="shared" si="1924"/>
        <v>PHILADELPHIA</v>
      </c>
      <c r="E4955" t="str">
        <f t="shared" si="1925"/>
        <v>PA</v>
      </c>
      <c r="F4955" t="str">
        <f t="shared" si="1926"/>
        <v>191121700</v>
      </c>
      <c r="G4955" t="str">
        <f>T("4921 SOUTH BROAD ST")</f>
        <v>4921 SOUTH BROAD ST</v>
      </c>
      <c r="H4955" t="str">
        <f>T("")</f>
        <v/>
      </c>
      <c r="I4955" t="str">
        <f>T("PHILADELPHIA")</f>
        <v>PHILADELPHIA</v>
      </c>
      <c r="J4955" t="str">
        <f t="shared" si="1927"/>
        <v>PA</v>
      </c>
      <c r="K4955" t="str">
        <f>T("000000000000000000")</f>
        <v>000000000000000000</v>
      </c>
      <c r="L4955" t="str">
        <f>T("2158973016")</f>
        <v>2158973016</v>
      </c>
    </row>
    <row r="4956" spans="1:12" x14ac:dyDescent="0.35">
      <c r="A4956" t="str">
        <f t="shared" si="1919"/>
        <v>NAVFAC MID-ATLANTIC HL5</v>
      </c>
      <c r="B4956" t="str">
        <f t="shared" si="1922"/>
        <v>1610 CONSTITUTION AVE</v>
      </c>
      <c r="C4956" t="str">
        <f t="shared" si="1923"/>
        <v>BLDG 643</v>
      </c>
      <c r="D4956" t="str">
        <f t="shared" si="1924"/>
        <v>PHILADELPHIA</v>
      </c>
      <c r="E4956" t="str">
        <f t="shared" si="1925"/>
        <v>PA</v>
      </c>
      <c r="F4956" t="str">
        <f t="shared" si="1926"/>
        <v>191121700</v>
      </c>
      <c r="G4956" t="str">
        <f>T("5455 CARLISLE PIKE")</f>
        <v>5455 CARLISLE PIKE</v>
      </c>
      <c r="H4956" t="str">
        <f>T("BLDG 305 RM 21")</f>
        <v>BLDG 305 RM 21</v>
      </c>
      <c r="I4956" t="str">
        <f>T("MECHANICSBURG")</f>
        <v>MECHANICSBURG</v>
      </c>
      <c r="J4956" t="str">
        <f t="shared" si="1927"/>
        <v>PA</v>
      </c>
      <c r="K4956" t="str">
        <f>T("000000000000000000")</f>
        <v>000000000000000000</v>
      </c>
      <c r="L4956" t="str">
        <f>T("7176052644")</f>
        <v>7176052644</v>
      </c>
    </row>
    <row r="4957" spans="1:12" x14ac:dyDescent="0.35">
      <c r="A4957" t="str">
        <f t="shared" si="1919"/>
        <v>NAVFAC MID-ATLANTIC HL5</v>
      </c>
      <c r="B4957" t="str">
        <f t="shared" si="1922"/>
        <v>1610 CONSTITUTION AVE</v>
      </c>
      <c r="C4957" t="str">
        <f t="shared" si="1923"/>
        <v>BLDG 643</v>
      </c>
      <c r="D4957" t="str">
        <f t="shared" si="1924"/>
        <v>PHILADELPHIA</v>
      </c>
      <c r="E4957" t="str">
        <f t="shared" si="1925"/>
        <v>PA</v>
      </c>
      <c r="F4957" t="str">
        <f t="shared" si="1926"/>
        <v>191121700</v>
      </c>
      <c r="G4957" t="str">
        <f>T("5455 CARLISLE PIKE")</f>
        <v>5455 CARLISLE PIKE</v>
      </c>
      <c r="H4957" t="str">
        <f>T("BLDG 305 RM 21")</f>
        <v>BLDG 305 RM 21</v>
      </c>
      <c r="I4957" t="str">
        <f>T("MECHANICSBURG")</f>
        <v>MECHANICSBURG</v>
      </c>
      <c r="J4957" t="str">
        <f t="shared" si="1927"/>
        <v>PA</v>
      </c>
      <c r="K4957" t="str">
        <f>T("000000000000000000")</f>
        <v>000000000000000000</v>
      </c>
      <c r="L4957" t="str">
        <f>T("7176052661")</f>
        <v>7176052661</v>
      </c>
    </row>
    <row r="4958" spans="1:12" x14ac:dyDescent="0.35">
      <c r="A4958" t="str">
        <f t="shared" si="1919"/>
        <v>NAVFAC MID-ATLANTIC HL5</v>
      </c>
      <c r="B4958" t="str">
        <f t="shared" si="1922"/>
        <v>1610 CONSTITUTION AVE</v>
      </c>
      <c r="C4958" t="str">
        <f t="shared" si="1923"/>
        <v>BLDG 643</v>
      </c>
      <c r="D4958" t="str">
        <f t="shared" si="1924"/>
        <v>PHILADELPHIA</v>
      </c>
      <c r="E4958" t="str">
        <f t="shared" si="1925"/>
        <v>PA</v>
      </c>
      <c r="F4958" t="str">
        <f t="shared" si="1926"/>
        <v>191121700</v>
      </c>
      <c r="G4958" t="str">
        <f>T("5455 CARLISLE PIKE BLDG 305")</f>
        <v>5455 CARLISLE PIKE BLDG 305</v>
      </c>
      <c r="H4958" t="str">
        <f>T("")</f>
        <v/>
      </c>
      <c r="I4958" t="str">
        <f>T("MECHANICSBURG")</f>
        <v>MECHANICSBURG</v>
      </c>
      <c r="J4958" t="str">
        <f t="shared" si="1927"/>
        <v>PA</v>
      </c>
      <c r="K4958" t="str">
        <f>T("000000000000000000")</f>
        <v>000000000000000000</v>
      </c>
      <c r="L4958" t="str">
        <f>T("7176052644")</f>
        <v>7176052644</v>
      </c>
    </row>
    <row r="4959" spans="1:12" x14ac:dyDescent="0.35">
      <c r="A4959" t="str">
        <f t="shared" si="1919"/>
        <v>NAVFAC MID-ATLANTIC HL5</v>
      </c>
      <c r="B4959" t="str">
        <f t="shared" si="1922"/>
        <v>1610 CONSTITUTION AVE</v>
      </c>
      <c r="C4959" t="str">
        <f t="shared" si="1923"/>
        <v>BLDG 643</v>
      </c>
      <c r="D4959" t="str">
        <f t="shared" si="1924"/>
        <v>PHILADELPHIA</v>
      </c>
      <c r="E4959" t="str">
        <f t="shared" si="1925"/>
        <v>PA</v>
      </c>
      <c r="F4959" t="str">
        <f t="shared" si="1926"/>
        <v>191121700</v>
      </c>
      <c r="G4959" t="str">
        <f>T("700 ROBBINS AVE")</f>
        <v>700 ROBBINS AVE</v>
      </c>
      <c r="H4959" t="str">
        <f>T("BLDG 7A")</f>
        <v>BLDG 7A</v>
      </c>
      <c r="I4959" t="str">
        <f>T("PHILADELPHIA")</f>
        <v>PHILADELPHIA</v>
      </c>
      <c r="J4959" t="str">
        <f t="shared" si="1927"/>
        <v>PA</v>
      </c>
      <c r="K4959" t="str">
        <f>T("000000000000000000")</f>
        <v>000000000000000000</v>
      </c>
      <c r="L4959" t="str">
        <f>T("2156973224")</f>
        <v>2156973224</v>
      </c>
    </row>
    <row r="4960" spans="1:12" x14ac:dyDescent="0.35">
      <c r="A4960" t="str">
        <f t="shared" si="1919"/>
        <v>NAVFAC MID-ATLANTIC HL5</v>
      </c>
      <c r="B4960" t="str">
        <f>T("1625 PIERSEY ST")</f>
        <v>1625 PIERSEY ST</v>
      </c>
      <c r="C4960" t="str">
        <f>T("BLDG P1 RM 208")</f>
        <v>BLDG P1 RM 208</v>
      </c>
      <c r="D4960" t="str">
        <f>T("NORFOLK")</f>
        <v>NORFOLK</v>
      </c>
      <c r="E4960" t="str">
        <f>T("VA")</f>
        <v>VA</v>
      </c>
      <c r="F4960" t="str">
        <f>T("235112804")</f>
        <v>235112804</v>
      </c>
      <c r="G4960" t="str">
        <f>T("1625 PIERSEY ST")</f>
        <v>1625 PIERSEY ST</v>
      </c>
      <c r="H4960" t="str">
        <f>T("BLDG P1 RM 208")</f>
        <v>BLDG P1 RM 208</v>
      </c>
      <c r="I4960" t="str">
        <f>T("NORFOLK")</f>
        <v>NORFOLK</v>
      </c>
      <c r="J4960" t="str">
        <f>T("VA")</f>
        <v>VA</v>
      </c>
      <c r="K4960" t="str">
        <f>T("")</f>
        <v/>
      </c>
      <c r="L4960" t="str">
        <f>T("7573411161")</f>
        <v>7573411161</v>
      </c>
    </row>
    <row r="4961" spans="1:12" x14ac:dyDescent="0.35">
      <c r="A4961" t="str">
        <f t="shared" si="1919"/>
        <v>NAVFAC MID-ATLANTIC HL5</v>
      </c>
      <c r="B4961" t="str">
        <f>T("1625 PIERSEY ST")</f>
        <v>1625 PIERSEY ST</v>
      </c>
      <c r="C4961" t="str">
        <f>T("BLDG P1 RM 208")</f>
        <v>BLDG P1 RM 208</v>
      </c>
      <c r="D4961" t="str">
        <f>T("NORFOLK")</f>
        <v>NORFOLK</v>
      </c>
      <c r="E4961" t="str">
        <f>T("VA")</f>
        <v>VA</v>
      </c>
      <c r="F4961" t="str">
        <f>T("235112804")</f>
        <v>235112804</v>
      </c>
      <c r="G4961" t="str">
        <f>T("1652 PIERSEY ST")</f>
        <v>1652 PIERSEY ST</v>
      </c>
      <c r="H4961" t="str">
        <f>T("BLDG P-65")</f>
        <v>BLDG P-65</v>
      </c>
      <c r="I4961" t="str">
        <f>T("NORFOLK")</f>
        <v>NORFOLK</v>
      </c>
      <c r="J4961" t="str">
        <f>T("VA")</f>
        <v>VA</v>
      </c>
      <c r="K4961" t="str">
        <f>T("7574454945")</f>
        <v>7574454945</v>
      </c>
      <c r="L4961" t="str">
        <f>T("7574458558")</f>
        <v>7574458558</v>
      </c>
    </row>
    <row r="4962" spans="1:12" x14ac:dyDescent="0.35">
      <c r="A4962" t="str">
        <f t="shared" si="1919"/>
        <v>NAVFAC MID-ATLANTIC HL5</v>
      </c>
      <c r="B4962" t="str">
        <f>T("1625 PIERSEY ST")</f>
        <v>1625 PIERSEY ST</v>
      </c>
      <c r="C4962" t="str">
        <f>T("BLDG P1 RM 208")</f>
        <v>BLDG P1 RM 208</v>
      </c>
      <c r="D4962" t="str">
        <f>T("NORFOLK")</f>
        <v>NORFOLK</v>
      </c>
      <c r="E4962" t="str">
        <f>T("VA")</f>
        <v>VA</v>
      </c>
      <c r="F4962" t="str">
        <f>T("235112804")</f>
        <v>235112804</v>
      </c>
      <c r="G4962" t="str">
        <f>T("9742 MARYLAND AVE")</f>
        <v>9742 MARYLAND AVE</v>
      </c>
      <c r="H4962" t="str">
        <f>T("BLDG P-1")</f>
        <v>BLDG P-1</v>
      </c>
      <c r="I4962" t="str">
        <f>T("NORFOLK")</f>
        <v>NORFOLK</v>
      </c>
      <c r="J4962" t="str">
        <f>T("VA")</f>
        <v>VA</v>
      </c>
      <c r="K4962" t="str">
        <f>T("000000000000000000")</f>
        <v>000000000000000000</v>
      </c>
      <c r="L4962" t="str">
        <f>T("7573412165")</f>
        <v>7573412165</v>
      </c>
    </row>
    <row r="4963" spans="1:12" x14ac:dyDescent="0.35">
      <c r="A4963" t="str">
        <f t="shared" si="1919"/>
        <v>NAVFAC MID-ATLANTIC HL5</v>
      </c>
      <c r="B4963" t="str">
        <f>T("1625 PIERSEY ST")</f>
        <v>1625 PIERSEY ST</v>
      </c>
      <c r="C4963" t="str">
        <f>T("BLDG P1 RM 208")</f>
        <v>BLDG P1 RM 208</v>
      </c>
      <c r="D4963" t="str">
        <f>T("NORFOLK")</f>
        <v>NORFOLK</v>
      </c>
      <c r="E4963" t="str">
        <f>T("VA")</f>
        <v>VA</v>
      </c>
      <c r="F4963" t="str">
        <f>T("235112804")</f>
        <v>235112804</v>
      </c>
      <c r="G4963" t="str">
        <f>T("9742 MARYLAND AVE")</f>
        <v>9742 MARYLAND AVE</v>
      </c>
      <c r="H4963" t="str">
        <f>T("BLDG Z-140 RM 320")</f>
        <v>BLDG Z-140 RM 320</v>
      </c>
      <c r="I4963" t="str">
        <f>T("NORFOLK")</f>
        <v>NORFOLK</v>
      </c>
      <c r="J4963" t="str">
        <f>T("VA")</f>
        <v>VA</v>
      </c>
      <c r="K4963" t="str">
        <f>T("7573410079")</f>
        <v>7573410079</v>
      </c>
      <c r="L4963" t="str">
        <f>T("7573411147")</f>
        <v>7573411147</v>
      </c>
    </row>
    <row r="4964" spans="1:12" x14ac:dyDescent="0.35">
      <c r="A4964" t="str">
        <f t="shared" si="1919"/>
        <v>NAVFAC MID-ATLANTIC HL5</v>
      </c>
      <c r="B4964" t="str">
        <f>T("201 HWY ROUTE 34 SOUTH")</f>
        <v>201 HWY ROUTE 34 SOUTH</v>
      </c>
      <c r="C4964" t="str">
        <f>T("BLDG C-15")</f>
        <v>BLDG C-15</v>
      </c>
      <c r="D4964" t="str">
        <f>T("COLTS NECK")</f>
        <v>COLTS NECK</v>
      </c>
      <c r="E4964" t="str">
        <f>T("NJ")</f>
        <v>NJ</v>
      </c>
      <c r="F4964" t="str">
        <f>T("077221902")</f>
        <v>077221902</v>
      </c>
      <c r="G4964" t="str">
        <f>T("201 HWY 34")</f>
        <v>201 HWY 34</v>
      </c>
      <c r="H4964" t="str">
        <f>T("BLDG C15")</f>
        <v>BLDG C15</v>
      </c>
      <c r="I4964" t="str">
        <f>T("COLTS NECK")</f>
        <v>COLTS NECK</v>
      </c>
      <c r="J4964" t="str">
        <f>T("NJ")</f>
        <v>NJ</v>
      </c>
      <c r="K4964" t="str">
        <f>T("000000000000000000")</f>
        <v>000000000000000000</v>
      </c>
      <c r="L4964" t="str">
        <f>T("7328662184")</f>
        <v>7328662184</v>
      </c>
    </row>
    <row r="4965" spans="1:12" x14ac:dyDescent="0.35">
      <c r="A4965" t="str">
        <f t="shared" si="1919"/>
        <v>NAVFAC MID-ATLANTIC HL5</v>
      </c>
      <c r="B4965" t="str">
        <f>T("201 HWY ROUTE 34 SOUTH")</f>
        <v>201 HWY ROUTE 34 SOUTH</v>
      </c>
      <c r="C4965" t="str">
        <f>T("BLDG C-15")</f>
        <v>BLDG C-15</v>
      </c>
      <c r="D4965" t="str">
        <f>T("COLTS NECK")</f>
        <v>COLTS NECK</v>
      </c>
      <c r="E4965" t="str">
        <f>T("NJ")</f>
        <v>NJ</v>
      </c>
      <c r="F4965" t="str">
        <f>T("077221902")</f>
        <v>077221902</v>
      </c>
      <c r="G4965" t="str">
        <f>T("201 HWY ROUTE 34 SOUTH")</f>
        <v>201 HWY ROUTE 34 SOUTH</v>
      </c>
      <c r="H4965" t="str">
        <f>T("BLDG C-15")</f>
        <v>BLDG C-15</v>
      </c>
      <c r="I4965" t="str">
        <f>T("COLTS NECK")</f>
        <v>COLTS NECK</v>
      </c>
      <c r="J4965" t="str">
        <f>T("NJ")</f>
        <v>NJ</v>
      </c>
      <c r="K4965" t="str">
        <f>T("")</f>
        <v/>
      </c>
      <c r="L4965" t="str">
        <f>T("7328662368")</f>
        <v>7328662368</v>
      </c>
    </row>
    <row r="4966" spans="1:12" x14ac:dyDescent="0.35">
      <c r="A4966" t="str">
        <f t="shared" si="1919"/>
        <v>NAVFAC MID-ATLANTIC HL5</v>
      </c>
      <c r="B4966" t="str">
        <f>T("201 HWY ROUTE 34 SOUTH")</f>
        <v>201 HWY ROUTE 34 SOUTH</v>
      </c>
      <c r="C4966" t="str">
        <f>T("BLDG C-15")</f>
        <v>BLDG C-15</v>
      </c>
      <c r="D4966" t="str">
        <f>T("COLTS NECK")</f>
        <v>COLTS NECK</v>
      </c>
      <c r="E4966" t="str">
        <f>T("NJ")</f>
        <v>NJ</v>
      </c>
      <c r="F4966" t="str">
        <f>T("077221902")</f>
        <v>077221902</v>
      </c>
      <c r="G4966" t="str">
        <f>T("NAVAL WEAPONS STATION EARLE")</f>
        <v>NAVAL WEAPONS STATION EARLE</v>
      </c>
      <c r="H4966" t="str">
        <f>T("201 HWY34 BLDG C-50")</f>
        <v>201 HWY34 BLDG C-50</v>
      </c>
      <c r="I4966" t="str">
        <f>T("COLTS NECK")</f>
        <v>COLTS NECK</v>
      </c>
      <c r="J4966" t="str">
        <f>T("NJ")</f>
        <v>NJ</v>
      </c>
      <c r="K4966" t="str">
        <f>T("000000000000000000")</f>
        <v>000000000000000000</v>
      </c>
      <c r="L4966" t="str">
        <f>T("7328662030")</f>
        <v>7328662030</v>
      </c>
    </row>
    <row r="4967" spans="1:12" x14ac:dyDescent="0.35">
      <c r="A4967" t="str">
        <f t="shared" si="1919"/>
        <v>NAVFAC MID-ATLANTIC HL5</v>
      </c>
      <c r="B4967" t="str">
        <f>T("2415 SPAULDING ST")</f>
        <v>2415 SPAULDING ST</v>
      </c>
      <c r="C4967" t="str">
        <f>T("BLDG 1506")</f>
        <v>BLDG 1506</v>
      </c>
      <c r="D4967" t="str">
        <f t="shared" ref="D4967:D4974" si="1928">T("GREAT LAKES")</f>
        <v>GREAT LAKES</v>
      </c>
      <c r="E4967" t="str">
        <f t="shared" ref="E4967:E4974" si="1929">T("IL")</f>
        <v>IL</v>
      </c>
      <c r="F4967" t="str">
        <f>T("600883145")</f>
        <v>600883145</v>
      </c>
      <c r="G4967" t="str">
        <f>T("2415 SPAULDING ST")</f>
        <v>2415 SPAULDING ST</v>
      </c>
      <c r="H4967" t="str">
        <f>T("")</f>
        <v/>
      </c>
      <c r="I4967" t="str">
        <f t="shared" ref="I4967:I4974" si="1930">T("GREAT LAKES")</f>
        <v>GREAT LAKES</v>
      </c>
      <c r="J4967" t="str">
        <f t="shared" ref="J4967:J4974" si="1931">T("IL")</f>
        <v>IL</v>
      </c>
      <c r="K4967" t="str">
        <f>T("847688232910")</f>
        <v>847688232910</v>
      </c>
      <c r="L4967" t="str">
        <f>T("1111111111")</f>
        <v>1111111111</v>
      </c>
    </row>
    <row r="4968" spans="1:12" x14ac:dyDescent="0.35">
      <c r="A4968" t="str">
        <f t="shared" si="1919"/>
        <v>NAVFAC MID-ATLANTIC HL5</v>
      </c>
      <c r="B4968" t="str">
        <f>T("2415 SPAULDING ST")</f>
        <v>2415 SPAULDING ST</v>
      </c>
      <c r="C4968" t="str">
        <f>T("BLDG 1506")</f>
        <v>BLDG 1506</v>
      </c>
      <c r="D4968" t="str">
        <f t="shared" si="1928"/>
        <v>GREAT LAKES</v>
      </c>
      <c r="E4968" t="str">
        <f t="shared" si="1929"/>
        <v>IL</v>
      </c>
      <c r="F4968" t="str">
        <f>T("600883145")</f>
        <v>600883145</v>
      </c>
      <c r="G4968" t="str">
        <f>T("2415 SPAULDING ST")</f>
        <v>2415 SPAULDING ST</v>
      </c>
      <c r="H4968" t="str">
        <f>T("BLDG 1506")</f>
        <v>BLDG 1506</v>
      </c>
      <c r="I4968" t="str">
        <f t="shared" si="1930"/>
        <v>GREAT LAKES</v>
      </c>
      <c r="J4968" t="str">
        <f t="shared" si="1931"/>
        <v>IL</v>
      </c>
      <c r="K4968" t="str">
        <f>T("7574455053")</f>
        <v>7574455053</v>
      </c>
      <c r="L4968" t="str">
        <f>T("8476882329")</f>
        <v>8476882329</v>
      </c>
    </row>
    <row r="4969" spans="1:12" x14ac:dyDescent="0.35">
      <c r="A4969" t="str">
        <f t="shared" ref="A4969:A5000" si="1932">T("NAVFAC MID-ATLANTIC HL5")</f>
        <v>NAVFAC MID-ATLANTIC HL5</v>
      </c>
      <c r="B4969" t="str">
        <f>T("2427 SPAULDING ST")</f>
        <v>2427 SPAULDING ST</v>
      </c>
      <c r="C4969" t="str">
        <f>T("BLDG 1517")</f>
        <v>BLDG 1517</v>
      </c>
      <c r="D4969" t="str">
        <f t="shared" si="1928"/>
        <v>GREAT LAKES</v>
      </c>
      <c r="E4969" t="str">
        <f t="shared" si="1929"/>
        <v>IL</v>
      </c>
      <c r="F4969" t="str">
        <f>T("600880000")</f>
        <v>600880000</v>
      </c>
      <c r="G4969" t="str">
        <f>T("2427 SPAULDING AVE")</f>
        <v>2427 SPAULDING AVE</v>
      </c>
      <c r="H4969" t="str">
        <f>T("BLDG 1517")</f>
        <v>BLDG 1517</v>
      </c>
      <c r="I4969" t="str">
        <f t="shared" si="1930"/>
        <v>GREAT LAKES</v>
      </c>
      <c r="J4969" t="str">
        <f t="shared" si="1931"/>
        <v>IL</v>
      </c>
      <c r="K4969" t="str">
        <f>T("000000000000000000")</f>
        <v>000000000000000000</v>
      </c>
      <c r="L4969" t="str">
        <f>T("8476883498")</f>
        <v>8476883498</v>
      </c>
    </row>
    <row r="4970" spans="1:12" x14ac:dyDescent="0.35">
      <c r="A4970" t="str">
        <f t="shared" si="1932"/>
        <v>NAVFAC MID-ATLANTIC HL5</v>
      </c>
      <c r="B4970" t="str">
        <f>T("2427 SPAULDING ST")</f>
        <v>2427 SPAULDING ST</v>
      </c>
      <c r="C4970" t="str">
        <f>T("BLDG 1517")</f>
        <v>BLDG 1517</v>
      </c>
      <c r="D4970" t="str">
        <f t="shared" si="1928"/>
        <v>GREAT LAKES</v>
      </c>
      <c r="E4970" t="str">
        <f t="shared" si="1929"/>
        <v>IL</v>
      </c>
      <c r="F4970" t="str">
        <f>T("600880000")</f>
        <v>600880000</v>
      </c>
      <c r="G4970" t="str">
        <f>T("2427 SPAULDING ST")</f>
        <v>2427 SPAULDING ST</v>
      </c>
      <c r="H4970" t="str">
        <f>T("BLDG 1517")</f>
        <v>BLDG 1517</v>
      </c>
      <c r="I4970" t="str">
        <f t="shared" si="1930"/>
        <v>GREAT LAKES</v>
      </c>
      <c r="J4970" t="str">
        <f t="shared" si="1931"/>
        <v>IL</v>
      </c>
      <c r="K4970" t="str">
        <f>T("")</f>
        <v/>
      </c>
      <c r="L4970" t="str">
        <f>T("8476886746")</f>
        <v>8476886746</v>
      </c>
    </row>
    <row r="4971" spans="1:12" x14ac:dyDescent="0.35">
      <c r="A4971" t="str">
        <f t="shared" si="1932"/>
        <v>NAVFAC MID-ATLANTIC HL5</v>
      </c>
      <c r="B4971" t="str">
        <f>T("2530 ZIEGEMEIER ST")</f>
        <v>2530 ZIEGEMEIER ST</v>
      </c>
      <c r="C4971" t="str">
        <f>T("BLG 12")</f>
        <v>BLG 12</v>
      </c>
      <c r="D4971" t="str">
        <f t="shared" si="1928"/>
        <v>GREAT LAKES</v>
      </c>
      <c r="E4971" t="str">
        <f t="shared" si="1929"/>
        <v>IL</v>
      </c>
      <c r="F4971" t="str">
        <f>T("600882945")</f>
        <v>600882945</v>
      </c>
      <c r="G4971" t="str">
        <f>T("2530 ZIEGEMEIER ST")</f>
        <v>2530 ZIEGEMEIER ST</v>
      </c>
      <c r="H4971" t="str">
        <f>T("BLG 12")</f>
        <v>BLG 12</v>
      </c>
      <c r="I4971" t="str">
        <f t="shared" si="1930"/>
        <v>GREAT LAKES</v>
      </c>
      <c r="J4971" t="str">
        <f t="shared" si="1931"/>
        <v>IL</v>
      </c>
      <c r="K4971" t="str">
        <f>T("000000000000000000")</f>
        <v>000000000000000000</v>
      </c>
      <c r="L4971" t="str">
        <f>T("8476882121")</f>
        <v>8476882121</v>
      </c>
    </row>
    <row r="4972" spans="1:12" x14ac:dyDescent="0.35">
      <c r="A4972" t="str">
        <f t="shared" si="1932"/>
        <v>NAVFAC MID-ATLANTIC HL5</v>
      </c>
      <c r="B4972" t="str">
        <f>T("2530 ZIEGEMEIER ST")</f>
        <v>2530 ZIEGEMEIER ST</v>
      </c>
      <c r="C4972" t="str">
        <f>T("BLG 12")</f>
        <v>BLG 12</v>
      </c>
      <c r="D4972" t="str">
        <f t="shared" si="1928"/>
        <v>GREAT LAKES</v>
      </c>
      <c r="E4972" t="str">
        <f t="shared" si="1929"/>
        <v>IL</v>
      </c>
      <c r="F4972" t="str">
        <f>T("600882945")</f>
        <v>600882945</v>
      </c>
      <c r="G4972" t="str">
        <f>T("2530 ZIEGEMEIER ST")</f>
        <v>2530 ZIEGEMEIER ST</v>
      </c>
      <c r="H4972" t="str">
        <f>T("PRGL 32 BLDG 12")</f>
        <v>PRGL 32 BLDG 12</v>
      </c>
      <c r="I4972" t="str">
        <f t="shared" si="1930"/>
        <v>GREAT LAKES</v>
      </c>
      <c r="J4972" t="str">
        <f t="shared" si="1931"/>
        <v>IL</v>
      </c>
      <c r="K4972" t="str">
        <f>T("8476882121141")</f>
        <v>8476882121141</v>
      </c>
      <c r="L4972" t="str">
        <f>T("1111111111")</f>
        <v>1111111111</v>
      </c>
    </row>
    <row r="4973" spans="1:12" x14ac:dyDescent="0.35">
      <c r="A4973" t="str">
        <f t="shared" si="1932"/>
        <v>NAVFAC MID-ATLANTIC HL5</v>
      </c>
      <c r="B4973" t="str">
        <f>T("2625 RAY ST")</f>
        <v>2625 RAY ST</v>
      </c>
      <c r="C4973" t="str">
        <f>T("BLG 2016")</f>
        <v>BLG 2016</v>
      </c>
      <c r="D4973" t="str">
        <f t="shared" si="1928"/>
        <v>GREAT LAKES</v>
      </c>
      <c r="E4973" t="str">
        <f t="shared" si="1929"/>
        <v>IL</v>
      </c>
      <c r="F4973" t="str">
        <f>T("600883147")</f>
        <v>600883147</v>
      </c>
      <c r="G4973" t="str">
        <f>T("2625 RAY ST")</f>
        <v>2625 RAY ST</v>
      </c>
      <c r="H4973" t="str">
        <f>T("BLG 2016")</f>
        <v>BLG 2016</v>
      </c>
      <c r="I4973" t="str">
        <f t="shared" si="1930"/>
        <v>GREAT LAKES</v>
      </c>
      <c r="J4973" t="str">
        <f t="shared" si="1931"/>
        <v>IL</v>
      </c>
      <c r="K4973" t="str">
        <f>T("000000000000000000")</f>
        <v>000000000000000000</v>
      </c>
      <c r="L4973" t="str">
        <f>T("8476885395")</f>
        <v>8476885395</v>
      </c>
    </row>
    <row r="4974" spans="1:12" x14ac:dyDescent="0.35">
      <c r="A4974" t="str">
        <f t="shared" si="1932"/>
        <v>NAVFAC MID-ATLANTIC HL5</v>
      </c>
      <c r="B4974" t="str">
        <f>T("2625 RAY ST")</f>
        <v>2625 RAY ST</v>
      </c>
      <c r="C4974" t="str">
        <f>T("BLG 2016")</f>
        <v>BLG 2016</v>
      </c>
      <c r="D4974" t="str">
        <f t="shared" si="1928"/>
        <v>GREAT LAKES</v>
      </c>
      <c r="E4974" t="str">
        <f t="shared" si="1929"/>
        <v>IL</v>
      </c>
      <c r="F4974" t="str">
        <f>T("600883147")</f>
        <v>600883147</v>
      </c>
      <c r="G4974" t="str">
        <f>T("310 SEABEE WAY")</f>
        <v>310 SEABEE WAY</v>
      </c>
      <c r="H4974" t="str">
        <f>T("BLDG 1H")</f>
        <v>BLDG 1H</v>
      </c>
      <c r="I4974" t="str">
        <f t="shared" si="1930"/>
        <v>GREAT LAKES</v>
      </c>
      <c r="J4974" t="str">
        <f t="shared" si="1931"/>
        <v>IL</v>
      </c>
      <c r="K4974" t="str">
        <f>T("8476885365165")</f>
        <v>8476885365165</v>
      </c>
      <c r="L4974" t="str">
        <f>T("8476885395")</f>
        <v>8476885395</v>
      </c>
    </row>
    <row r="4975" spans="1:12" x14ac:dyDescent="0.35">
      <c r="A4975" t="str">
        <f t="shared" si="1932"/>
        <v>NAVFAC MID-ATLANTIC HL5</v>
      </c>
      <c r="B4975" t="str">
        <f t="shared" ref="B4975:B4988" si="1933">T("300 HIGHWAY 361")</f>
        <v>300 HIGHWAY 361</v>
      </c>
      <c r="C4975" t="str">
        <f t="shared" ref="C4975:C4980" si="1934">T("BLG 2616")</f>
        <v>BLG 2616</v>
      </c>
      <c r="D4975" t="str">
        <f t="shared" ref="D4975:D4990" si="1935">T("CRANE")</f>
        <v>CRANE</v>
      </c>
      <c r="E4975" t="str">
        <f t="shared" ref="E4975:E4990" si="1936">T("IN")</f>
        <v>IN</v>
      </c>
      <c r="F4975" t="str">
        <f t="shared" ref="F4975:F4990" si="1937">T("475224000")</f>
        <v>475224000</v>
      </c>
      <c r="G4975" t="str">
        <f>T("201 DECATUR AVE")</f>
        <v>201 DECATUR AVE</v>
      </c>
      <c r="H4975" t="str">
        <f>T("BLDG 1A")</f>
        <v>BLDG 1A</v>
      </c>
      <c r="I4975" t="str">
        <f t="shared" ref="I4975:I4990" si="1938">T("CRANE")</f>
        <v>CRANE</v>
      </c>
      <c r="J4975" t="str">
        <f t="shared" ref="J4975:J4990" si="1939">T("IN")</f>
        <v>IN</v>
      </c>
      <c r="K4975" t="str">
        <f t="shared" ref="K4975:K5000" si="1940">T("000000000000000000")</f>
        <v>000000000000000000</v>
      </c>
      <c r="L4975" t="str">
        <f>T("8122961713")</f>
        <v>8122961713</v>
      </c>
    </row>
    <row r="4976" spans="1:12" x14ac:dyDescent="0.35">
      <c r="A4976" t="str">
        <f t="shared" si="1932"/>
        <v>NAVFAC MID-ATLANTIC HL5</v>
      </c>
      <c r="B4976" t="str">
        <f t="shared" si="1933"/>
        <v>300 HIGHWAY 361</v>
      </c>
      <c r="C4976" t="str">
        <f t="shared" si="1934"/>
        <v>BLG 2616</v>
      </c>
      <c r="D4976" t="str">
        <f t="shared" si="1935"/>
        <v>CRANE</v>
      </c>
      <c r="E4976" t="str">
        <f t="shared" si="1936"/>
        <v>IN</v>
      </c>
      <c r="F4976" t="str">
        <f t="shared" si="1937"/>
        <v>475224000</v>
      </c>
      <c r="G4976" t="str">
        <f>T("300 HIGHWAY 361")</f>
        <v>300 HIGHWAY 361</v>
      </c>
      <c r="H4976" t="str">
        <f>T("BLG 2616")</f>
        <v>BLG 2616</v>
      </c>
      <c r="I4976" t="str">
        <f t="shared" si="1938"/>
        <v>CRANE</v>
      </c>
      <c r="J4976" t="str">
        <f t="shared" si="1939"/>
        <v>IN</v>
      </c>
      <c r="K4976" t="str">
        <f t="shared" si="1940"/>
        <v>000000000000000000</v>
      </c>
      <c r="L4976" t="str">
        <f>T("8128541437")</f>
        <v>8128541437</v>
      </c>
    </row>
    <row r="4977" spans="1:12" x14ac:dyDescent="0.35">
      <c r="A4977" t="str">
        <f t="shared" si="1932"/>
        <v>NAVFAC MID-ATLANTIC HL5</v>
      </c>
      <c r="B4977" t="str">
        <f t="shared" si="1933"/>
        <v>300 HIGHWAY 361</v>
      </c>
      <c r="C4977" t="str">
        <f t="shared" si="1934"/>
        <v>BLG 2616</v>
      </c>
      <c r="D4977" t="str">
        <f t="shared" si="1935"/>
        <v>CRANE</v>
      </c>
      <c r="E4977" t="str">
        <f t="shared" si="1936"/>
        <v>IN</v>
      </c>
      <c r="F4977" t="str">
        <f t="shared" si="1937"/>
        <v>475224000</v>
      </c>
      <c r="G4977" t="str">
        <f>T("300 HWY 361")</f>
        <v>300 HWY 361</v>
      </c>
      <c r="H4977" t="str">
        <f>T("")</f>
        <v/>
      </c>
      <c r="I4977" t="str">
        <f t="shared" si="1938"/>
        <v>CRANE</v>
      </c>
      <c r="J4977" t="str">
        <f t="shared" si="1939"/>
        <v>IN</v>
      </c>
      <c r="K4977" t="str">
        <f t="shared" si="1940"/>
        <v>000000000000000000</v>
      </c>
      <c r="L4977" t="str">
        <f>T("8128548167")</f>
        <v>8128548167</v>
      </c>
    </row>
    <row r="4978" spans="1:12" x14ac:dyDescent="0.35">
      <c r="A4978" t="str">
        <f t="shared" si="1932"/>
        <v>NAVFAC MID-ATLANTIC HL5</v>
      </c>
      <c r="B4978" t="str">
        <f t="shared" si="1933"/>
        <v>300 HIGHWAY 361</v>
      </c>
      <c r="C4978" t="str">
        <f t="shared" si="1934"/>
        <v>BLG 2616</v>
      </c>
      <c r="D4978" t="str">
        <f t="shared" si="1935"/>
        <v>CRANE</v>
      </c>
      <c r="E4978" t="str">
        <f t="shared" si="1936"/>
        <v>IN</v>
      </c>
      <c r="F4978" t="str">
        <f t="shared" si="1937"/>
        <v>475224000</v>
      </c>
      <c r="G4978" t="str">
        <f>T("300 HWY 361")</f>
        <v>300 HWY 361</v>
      </c>
      <c r="H4978" t="str">
        <f>T("")</f>
        <v/>
      </c>
      <c r="I4978" t="str">
        <f t="shared" si="1938"/>
        <v>CRANE</v>
      </c>
      <c r="J4978" t="str">
        <f t="shared" si="1939"/>
        <v>IN</v>
      </c>
      <c r="K4978" t="str">
        <f t="shared" si="1940"/>
        <v>000000000000000000</v>
      </c>
      <c r="L4978" t="str">
        <f>T("8128548955")</f>
        <v>8128548955</v>
      </c>
    </row>
    <row r="4979" spans="1:12" x14ac:dyDescent="0.35">
      <c r="A4979" t="str">
        <f t="shared" si="1932"/>
        <v>NAVFAC MID-ATLANTIC HL5</v>
      </c>
      <c r="B4979" t="str">
        <f t="shared" si="1933"/>
        <v>300 HIGHWAY 361</v>
      </c>
      <c r="C4979" t="str">
        <f t="shared" si="1934"/>
        <v>BLG 2616</v>
      </c>
      <c r="D4979" t="str">
        <f t="shared" si="1935"/>
        <v>CRANE</v>
      </c>
      <c r="E4979" t="str">
        <f t="shared" si="1936"/>
        <v>IN</v>
      </c>
      <c r="F4979" t="str">
        <f t="shared" si="1937"/>
        <v>475224000</v>
      </c>
      <c r="G4979" t="str">
        <f>T("300 HWY 361")</f>
        <v>300 HWY 361</v>
      </c>
      <c r="H4979" t="str">
        <f>T("BLDG 122")</f>
        <v>BLDG 122</v>
      </c>
      <c r="I4979" t="str">
        <f t="shared" si="1938"/>
        <v>CRANE</v>
      </c>
      <c r="J4979" t="str">
        <f t="shared" si="1939"/>
        <v>IN</v>
      </c>
      <c r="K4979" t="str">
        <f t="shared" si="1940"/>
        <v>000000000000000000</v>
      </c>
      <c r="L4979" t="str">
        <f>T("8128541884")</f>
        <v>8128541884</v>
      </c>
    </row>
    <row r="4980" spans="1:12" x14ac:dyDescent="0.35">
      <c r="A4980" t="str">
        <f t="shared" si="1932"/>
        <v>NAVFAC MID-ATLANTIC HL5</v>
      </c>
      <c r="B4980" t="str">
        <f t="shared" si="1933"/>
        <v>300 HIGHWAY 361</v>
      </c>
      <c r="C4980" t="str">
        <f t="shared" si="1934"/>
        <v>BLG 2616</v>
      </c>
      <c r="D4980" t="str">
        <f t="shared" si="1935"/>
        <v>CRANE</v>
      </c>
      <c r="E4980" t="str">
        <f t="shared" si="1936"/>
        <v>IN</v>
      </c>
      <c r="F4980" t="str">
        <f t="shared" si="1937"/>
        <v>475224000</v>
      </c>
      <c r="G4980" t="str">
        <f>T("300 HWY 361")</f>
        <v>300 HWY 361</v>
      </c>
      <c r="H4980" t="str">
        <f>T("BLDG 2516")</f>
        <v>BLDG 2516</v>
      </c>
      <c r="I4980" t="str">
        <f t="shared" si="1938"/>
        <v>CRANE</v>
      </c>
      <c r="J4980" t="str">
        <f t="shared" si="1939"/>
        <v>IN</v>
      </c>
      <c r="K4980" t="str">
        <f t="shared" si="1940"/>
        <v>000000000000000000</v>
      </c>
      <c r="L4980" t="str">
        <f>T("8128544373")</f>
        <v>8128544373</v>
      </c>
    </row>
    <row r="4981" spans="1:12" x14ac:dyDescent="0.35">
      <c r="A4981" t="str">
        <f t="shared" si="1932"/>
        <v>NAVFAC MID-ATLANTIC HL5</v>
      </c>
      <c r="B4981" t="str">
        <f t="shared" si="1933"/>
        <v>300 HIGHWAY 361</v>
      </c>
      <c r="C4981" t="str">
        <f>T("BLG 2713")</f>
        <v>BLG 2713</v>
      </c>
      <c r="D4981" t="str">
        <f t="shared" si="1935"/>
        <v>CRANE</v>
      </c>
      <c r="E4981" t="str">
        <f t="shared" si="1936"/>
        <v>IN</v>
      </c>
      <c r="F4981" t="str">
        <f t="shared" si="1937"/>
        <v>475224000</v>
      </c>
      <c r="G4981" t="str">
        <f>T("300 HIGHWAY 361")</f>
        <v>300 HIGHWAY 361</v>
      </c>
      <c r="H4981" t="str">
        <f>T("BLG 2713")</f>
        <v>BLG 2713</v>
      </c>
      <c r="I4981" t="str">
        <f t="shared" si="1938"/>
        <v>CRANE</v>
      </c>
      <c r="J4981" t="str">
        <f t="shared" si="1939"/>
        <v>IN</v>
      </c>
      <c r="K4981" t="str">
        <f t="shared" si="1940"/>
        <v>000000000000000000</v>
      </c>
      <c r="L4981" t="str">
        <f>T("8128543136")</f>
        <v>8128543136</v>
      </c>
    </row>
    <row r="4982" spans="1:12" x14ac:dyDescent="0.35">
      <c r="A4982" t="str">
        <f t="shared" si="1932"/>
        <v>NAVFAC MID-ATLANTIC HL5</v>
      </c>
      <c r="B4982" t="str">
        <f t="shared" si="1933"/>
        <v>300 HIGHWAY 361</v>
      </c>
      <c r="C4982" t="str">
        <f>T("BLG 2713")</f>
        <v>BLG 2713</v>
      </c>
      <c r="D4982" t="str">
        <f t="shared" si="1935"/>
        <v>CRANE</v>
      </c>
      <c r="E4982" t="str">
        <f t="shared" si="1936"/>
        <v>IN</v>
      </c>
      <c r="F4982" t="str">
        <f t="shared" si="1937"/>
        <v>475224000</v>
      </c>
      <c r="G4982" t="str">
        <f>T("300 HWY 361")</f>
        <v>300 HWY 361</v>
      </c>
      <c r="H4982" t="str">
        <f>T("BLDG 2713")</f>
        <v>BLDG 2713</v>
      </c>
      <c r="I4982" t="str">
        <f t="shared" si="1938"/>
        <v>CRANE</v>
      </c>
      <c r="J4982" t="str">
        <f t="shared" si="1939"/>
        <v>IN</v>
      </c>
      <c r="K4982" t="str">
        <f t="shared" si="1940"/>
        <v>000000000000000000</v>
      </c>
      <c r="L4982" t="str">
        <f>T("8128541703")</f>
        <v>8128541703</v>
      </c>
    </row>
    <row r="4983" spans="1:12" x14ac:dyDescent="0.35">
      <c r="A4983" t="str">
        <f t="shared" si="1932"/>
        <v>NAVFAC MID-ATLANTIC HL5</v>
      </c>
      <c r="B4983" t="str">
        <f t="shared" si="1933"/>
        <v>300 HIGHWAY 361</v>
      </c>
      <c r="C4983" t="str">
        <f>T("BLG 2713")</f>
        <v>BLG 2713</v>
      </c>
      <c r="D4983" t="str">
        <f t="shared" si="1935"/>
        <v>CRANE</v>
      </c>
      <c r="E4983" t="str">
        <f t="shared" si="1936"/>
        <v>IN</v>
      </c>
      <c r="F4983" t="str">
        <f t="shared" si="1937"/>
        <v>475224000</v>
      </c>
      <c r="G4983" t="str">
        <f>T("300 HWY 361")</f>
        <v>300 HWY 361</v>
      </c>
      <c r="H4983" t="str">
        <f>T("BLDG 2713")</f>
        <v>BLDG 2713</v>
      </c>
      <c r="I4983" t="str">
        <f t="shared" si="1938"/>
        <v>CRANE</v>
      </c>
      <c r="J4983" t="str">
        <f t="shared" si="1939"/>
        <v>IN</v>
      </c>
      <c r="K4983" t="str">
        <f t="shared" si="1940"/>
        <v>000000000000000000</v>
      </c>
      <c r="L4983" t="str">
        <f>T("8128545687")</f>
        <v>8128545687</v>
      </c>
    </row>
    <row r="4984" spans="1:12" x14ac:dyDescent="0.35">
      <c r="A4984" t="str">
        <f t="shared" si="1932"/>
        <v>NAVFAC MID-ATLANTIC HL5</v>
      </c>
      <c r="B4984" t="str">
        <f t="shared" si="1933"/>
        <v>300 HIGHWAY 361</v>
      </c>
      <c r="C4984" t="str">
        <f>T("BLG 2713")</f>
        <v>BLG 2713</v>
      </c>
      <c r="D4984" t="str">
        <f t="shared" si="1935"/>
        <v>CRANE</v>
      </c>
      <c r="E4984" t="str">
        <f t="shared" si="1936"/>
        <v>IN</v>
      </c>
      <c r="F4984" t="str">
        <f t="shared" si="1937"/>
        <v>475224000</v>
      </c>
      <c r="G4984" t="str">
        <f>T("PWD CRANE BUILDING 2713")</f>
        <v>PWD CRANE BUILDING 2713</v>
      </c>
      <c r="H4984" t="str">
        <f>T("300 HYW 361")</f>
        <v>300 HYW 361</v>
      </c>
      <c r="I4984" t="str">
        <f t="shared" si="1938"/>
        <v>CRANE</v>
      </c>
      <c r="J4984" t="str">
        <f t="shared" si="1939"/>
        <v>IN</v>
      </c>
      <c r="K4984" t="str">
        <f t="shared" si="1940"/>
        <v>000000000000000000</v>
      </c>
      <c r="L4984" t="str">
        <f>T("8128543115")</f>
        <v>8128543115</v>
      </c>
    </row>
    <row r="4985" spans="1:12" x14ac:dyDescent="0.35">
      <c r="A4985" t="str">
        <f t="shared" si="1932"/>
        <v>NAVFAC MID-ATLANTIC HL5</v>
      </c>
      <c r="B4985" t="str">
        <f t="shared" si="1933"/>
        <v>300 HIGHWAY 361</v>
      </c>
      <c r="C4985" t="str">
        <f>T("BLG 41")</f>
        <v>BLG 41</v>
      </c>
      <c r="D4985" t="str">
        <f t="shared" si="1935"/>
        <v>CRANE</v>
      </c>
      <c r="E4985" t="str">
        <f t="shared" si="1936"/>
        <v>IN</v>
      </c>
      <c r="F4985" t="str">
        <f t="shared" si="1937"/>
        <v>475224000</v>
      </c>
      <c r="G4985" t="str">
        <f>T("300 HIGHWAY 361")</f>
        <v>300 HIGHWAY 361</v>
      </c>
      <c r="H4985" t="str">
        <f>T("BLDG 2713")</f>
        <v>BLDG 2713</v>
      </c>
      <c r="I4985" t="str">
        <f t="shared" si="1938"/>
        <v>CRANE</v>
      </c>
      <c r="J4985" t="str">
        <f t="shared" si="1939"/>
        <v>IN</v>
      </c>
      <c r="K4985" t="str">
        <f t="shared" si="1940"/>
        <v>000000000000000000</v>
      </c>
      <c r="L4985" t="str">
        <f>T("8128541854")</f>
        <v>8128541854</v>
      </c>
    </row>
    <row r="4986" spans="1:12" x14ac:dyDescent="0.35">
      <c r="A4986" t="str">
        <f t="shared" si="1932"/>
        <v>NAVFAC MID-ATLANTIC HL5</v>
      </c>
      <c r="B4986" t="str">
        <f t="shared" si="1933"/>
        <v>300 HIGHWAY 361</v>
      </c>
      <c r="C4986" t="str">
        <f>T("BLG 41")</f>
        <v>BLG 41</v>
      </c>
      <c r="D4986" t="str">
        <f t="shared" si="1935"/>
        <v>CRANE</v>
      </c>
      <c r="E4986" t="str">
        <f t="shared" si="1936"/>
        <v>IN</v>
      </c>
      <c r="F4986" t="str">
        <f t="shared" si="1937"/>
        <v>475224000</v>
      </c>
      <c r="G4986" t="str">
        <f>T("300 HIGHWAY 361")</f>
        <v>300 HIGHWAY 361</v>
      </c>
      <c r="H4986" t="str">
        <f>T("BLG 41")</f>
        <v>BLG 41</v>
      </c>
      <c r="I4986" t="str">
        <f t="shared" si="1938"/>
        <v>CRANE</v>
      </c>
      <c r="J4986" t="str">
        <f t="shared" si="1939"/>
        <v>IN</v>
      </c>
      <c r="K4986" t="str">
        <f t="shared" si="1940"/>
        <v>000000000000000000</v>
      </c>
      <c r="L4986" t="str">
        <f>T("8128548822")</f>
        <v>8128548822</v>
      </c>
    </row>
    <row r="4987" spans="1:12" x14ac:dyDescent="0.35">
      <c r="A4987" t="str">
        <f t="shared" si="1932"/>
        <v>NAVFAC MID-ATLANTIC HL5</v>
      </c>
      <c r="B4987" t="str">
        <f t="shared" si="1933"/>
        <v>300 HIGHWAY 361</v>
      </c>
      <c r="C4987" t="str">
        <f>T("BLG 41")</f>
        <v>BLG 41</v>
      </c>
      <c r="D4987" t="str">
        <f t="shared" si="1935"/>
        <v>CRANE</v>
      </c>
      <c r="E4987" t="str">
        <f t="shared" si="1936"/>
        <v>IN</v>
      </c>
      <c r="F4987" t="str">
        <f t="shared" si="1937"/>
        <v>475224000</v>
      </c>
      <c r="G4987" t="str">
        <f>T("300 HWY 361 BLDG 56")</f>
        <v>300 HWY 361 BLDG 56</v>
      </c>
      <c r="H4987" t="str">
        <f>T("")</f>
        <v/>
      </c>
      <c r="I4987" t="str">
        <f t="shared" si="1938"/>
        <v>CRANE</v>
      </c>
      <c r="J4987" t="str">
        <f t="shared" si="1939"/>
        <v>IN</v>
      </c>
      <c r="K4987" t="str">
        <f t="shared" si="1940"/>
        <v>000000000000000000</v>
      </c>
      <c r="L4987" t="str">
        <f>T("8128542137")</f>
        <v>8128542137</v>
      </c>
    </row>
    <row r="4988" spans="1:12" x14ac:dyDescent="0.35">
      <c r="A4988" t="str">
        <f t="shared" si="1932"/>
        <v>NAVFAC MID-ATLANTIC HL5</v>
      </c>
      <c r="B4988" t="str">
        <f t="shared" si="1933"/>
        <v>300 HIGHWAY 361</v>
      </c>
      <c r="C4988" t="str">
        <f>T("BLG 41")</f>
        <v>BLG 41</v>
      </c>
      <c r="D4988" t="str">
        <f t="shared" si="1935"/>
        <v>CRANE</v>
      </c>
      <c r="E4988" t="str">
        <f t="shared" si="1936"/>
        <v>IN</v>
      </c>
      <c r="F4988" t="str">
        <f t="shared" si="1937"/>
        <v>475224000</v>
      </c>
      <c r="G4988" t="str">
        <f>T("300 HWY 361 BLDG 56")</f>
        <v>300 HWY 361 BLDG 56</v>
      </c>
      <c r="H4988" t="str">
        <f>T("")</f>
        <v/>
      </c>
      <c r="I4988" t="str">
        <f t="shared" si="1938"/>
        <v>CRANE</v>
      </c>
      <c r="J4988" t="str">
        <f t="shared" si="1939"/>
        <v>IN</v>
      </c>
      <c r="K4988" t="str">
        <f t="shared" si="1940"/>
        <v>000000000000000000</v>
      </c>
      <c r="L4988" t="str">
        <f>T("8128546524")</f>
        <v>8128546524</v>
      </c>
    </row>
    <row r="4989" spans="1:12" x14ac:dyDescent="0.35">
      <c r="A4989" t="str">
        <f t="shared" si="1932"/>
        <v>NAVFAC MID-ATLANTIC HL5</v>
      </c>
      <c r="B4989" t="str">
        <f>T("300 HWY 361")</f>
        <v>300 HWY 361</v>
      </c>
      <c r="C4989" t="str">
        <f>T("BLDG 2516")</f>
        <v>BLDG 2516</v>
      </c>
      <c r="D4989" t="str">
        <f t="shared" si="1935"/>
        <v>CRANE</v>
      </c>
      <c r="E4989" t="str">
        <f t="shared" si="1936"/>
        <v>IN</v>
      </c>
      <c r="F4989" t="str">
        <f t="shared" si="1937"/>
        <v>475224000</v>
      </c>
      <c r="G4989" t="str">
        <f>T("300 HWY 361")</f>
        <v>300 HWY 361</v>
      </c>
      <c r="H4989" t="str">
        <f>T("BLDG 2516")</f>
        <v>BLDG 2516</v>
      </c>
      <c r="I4989" t="str">
        <f t="shared" si="1938"/>
        <v>CRANE</v>
      </c>
      <c r="J4989" t="str">
        <f t="shared" si="1939"/>
        <v>IN</v>
      </c>
      <c r="K4989" t="str">
        <f t="shared" si="1940"/>
        <v>000000000000000000</v>
      </c>
      <c r="L4989" t="str">
        <f>T("8128543312")</f>
        <v>8128543312</v>
      </c>
    </row>
    <row r="4990" spans="1:12" x14ac:dyDescent="0.35">
      <c r="A4990" t="str">
        <f t="shared" si="1932"/>
        <v>NAVFAC MID-ATLANTIC HL5</v>
      </c>
      <c r="B4990" t="str">
        <f>T("300 HWY 361")</f>
        <v>300 HWY 361</v>
      </c>
      <c r="C4990" t="str">
        <f>T("BLDG 2516")</f>
        <v>BLDG 2516</v>
      </c>
      <c r="D4990" t="str">
        <f t="shared" si="1935"/>
        <v>CRANE</v>
      </c>
      <c r="E4990" t="str">
        <f t="shared" si="1936"/>
        <v>IN</v>
      </c>
      <c r="F4990" t="str">
        <f t="shared" si="1937"/>
        <v>475224000</v>
      </c>
      <c r="G4990" t="str">
        <f>T("300 HWY 361")</f>
        <v>300 HWY 361</v>
      </c>
      <c r="H4990" t="str">
        <f>T("BLDG 2516")</f>
        <v>BLDG 2516</v>
      </c>
      <c r="I4990" t="str">
        <f t="shared" si="1938"/>
        <v>CRANE</v>
      </c>
      <c r="J4990" t="str">
        <f t="shared" si="1939"/>
        <v>IN</v>
      </c>
      <c r="K4990" t="str">
        <f t="shared" si="1940"/>
        <v>000000000000000000</v>
      </c>
      <c r="L4990" t="str">
        <f>T("8128544108")</f>
        <v>8128544108</v>
      </c>
    </row>
    <row r="4991" spans="1:12" x14ac:dyDescent="0.35">
      <c r="A4991" t="str">
        <f t="shared" si="1932"/>
        <v>NAVFAC MID-ATLANTIC HL5</v>
      </c>
      <c r="B4991" t="str">
        <f>T("3320 MISSISSIPPI ST")</f>
        <v>3320 MISSISSIPPI ST</v>
      </c>
      <c r="C4991" t="str">
        <f>T("BLG 3223")</f>
        <v>BLG 3223</v>
      </c>
      <c r="D4991" t="str">
        <f t="shared" ref="D4991:D4997" si="1941">T("GREAT LAKES")</f>
        <v>GREAT LAKES</v>
      </c>
      <c r="E4991" t="str">
        <f t="shared" ref="E4991:E4997" si="1942">T("IL")</f>
        <v>IL</v>
      </c>
      <c r="F4991" t="str">
        <f>T("600883420")</f>
        <v>600883420</v>
      </c>
      <c r="G4991" t="str">
        <f>T("201 DECATUR AVE")</f>
        <v>201 DECATUR AVE</v>
      </c>
      <c r="H4991" t="str">
        <f>T("BLDG 1A")</f>
        <v>BLDG 1A</v>
      </c>
      <c r="I4991" t="str">
        <f t="shared" ref="I4991:I4997" si="1943">T("GREAT LAKES")</f>
        <v>GREAT LAKES</v>
      </c>
      <c r="J4991" t="str">
        <f t="shared" ref="J4991:J4997" si="1944">T("IL")</f>
        <v>IL</v>
      </c>
      <c r="K4991" t="str">
        <f t="shared" si="1940"/>
        <v>000000000000000000</v>
      </c>
      <c r="L4991" t="str">
        <f>T("8476886975")</f>
        <v>8476886975</v>
      </c>
    </row>
    <row r="4992" spans="1:12" x14ac:dyDescent="0.35">
      <c r="A4992" t="str">
        <f t="shared" si="1932"/>
        <v>NAVFAC MID-ATLANTIC HL5</v>
      </c>
      <c r="B4992" t="str">
        <f>T("3320 MISSISSIPPI ST")</f>
        <v>3320 MISSISSIPPI ST</v>
      </c>
      <c r="C4992" t="str">
        <f>T("BLG 3223")</f>
        <v>BLG 3223</v>
      </c>
      <c r="D4992" t="str">
        <f t="shared" si="1941"/>
        <v>GREAT LAKES</v>
      </c>
      <c r="E4992" t="str">
        <f t="shared" si="1942"/>
        <v>IL</v>
      </c>
      <c r="F4992" t="str">
        <f>T("600883420")</f>
        <v>600883420</v>
      </c>
      <c r="G4992" t="str">
        <f>T("201 DECATUR ST CODE 600")</f>
        <v>201 DECATUR ST CODE 600</v>
      </c>
      <c r="H4992" t="str">
        <f>T("")</f>
        <v/>
      </c>
      <c r="I4992" t="str">
        <f t="shared" si="1943"/>
        <v>GREAT LAKES</v>
      </c>
      <c r="J4992" t="str">
        <f t="shared" si="1944"/>
        <v>IL</v>
      </c>
      <c r="K4992" t="str">
        <f t="shared" si="1940"/>
        <v>000000000000000000</v>
      </c>
      <c r="L4992" t="str">
        <f>T("8476882096")</f>
        <v>8476882096</v>
      </c>
    </row>
    <row r="4993" spans="1:12" x14ac:dyDescent="0.35">
      <c r="A4993" t="str">
        <f t="shared" si="1932"/>
        <v>NAVFAC MID-ATLANTIC HL5</v>
      </c>
      <c r="B4993" t="str">
        <f>T("3320 MISSISSIPPI ST")</f>
        <v>3320 MISSISSIPPI ST</v>
      </c>
      <c r="C4993" t="str">
        <f>T("BLG 3223")</f>
        <v>BLG 3223</v>
      </c>
      <c r="D4993" t="str">
        <f t="shared" si="1941"/>
        <v>GREAT LAKES</v>
      </c>
      <c r="E4993" t="str">
        <f t="shared" si="1942"/>
        <v>IL</v>
      </c>
      <c r="F4993" t="str">
        <f>T("600883420")</f>
        <v>600883420</v>
      </c>
      <c r="G4993" t="str">
        <f>T("3320 MISSISSIPPI ST")</f>
        <v>3320 MISSISSIPPI ST</v>
      </c>
      <c r="H4993" t="str">
        <f>T("BLDG 3223")</f>
        <v>BLDG 3223</v>
      </c>
      <c r="I4993" t="str">
        <f t="shared" si="1943"/>
        <v>GREAT LAKES</v>
      </c>
      <c r="J4993" t="str">
        <f t="shared" si="1944"/>
        <v>IL</v>
      </c>
      <c r="K4993" t="str">
        <f t="shared" si="1940"/>
        <v>000000000000000000</v>
      </c>
      <c r="L4993" t="str">
        <f>T("8476886975")</f>
        <v>8476886975</v>
      </c>
    </row>
    <row r="4994" spans="1:12" x14ac:dyDescent="0.35">
      <c r="A4994" t="str">
        <f t="shared" si="1932"/>
        <v>NAVFAC MID-ATLANTIC HL5</v>
      </c>
      <c r="B4994" t="str">
        <f>T("3320 MISSISSIPPI ST")</f>
        <v>3320 MISSISSIPPI ST</v>
      </c>
      <c r="C4994" t="str">
        <f>T("BLG 3223")</f>
        <v>BLG 3223</v>
      </c>
      <c r="D4994" t="str">
        <f t="shared" si="1941"/>
        <v>GREAT LAKES</v>
      </c>
      <c r="E4994" t="str">
        <f t="shared" si="1942"/>
        <v>IL</v>
      </c>
      <c r="F4994" t="str">
        <f>T("600883420")</f>
        <v>600883420</v>
      </c>
      <c r="G4994" t="str">
        <f>T("3320 MISSISSIPPI ST")</f>
        <v>3320 MISSISSIPPI ST</v>
      </c>
      <c r="H4994" t="str">
        <f>T("BLDG 3504")</f>
        <v>BLDG 3504</v>
      </c>
      <c r="I4994" t="str">
        <f t="shared" si="1943"/>
        <v>GREAT LAKES</v>
      </c>
      <c r="J4994" t="str">
        <f t="shared" si="1944"/>
        <v>IL</v>
      </c>
      <c r="K4994" t="str">
        <f t="shared" si="1940"/>
        <v>000000000000000000</v>
      </c>
      <c r="L4994" t="str">
        <f>T("8476886975")</f>
        <v>8476886975</v>
      </c>
    </row>
    <row r="4995" spans="1:12" x14ac:dyDescent="0.35">
      <c r="A4995" t="str">
        <f t="shared" si="1932"/>
        <v>NAVFAC MID-ATLANTIC HL5</v>
      </c>
      <c r="B4995" t="str">
        <f>T("3320 MISSISSIPPI ST")</f>
        <v>3320 MISSISSIPPI ST</v>
      </c>
      <c r="C4995" t="str">
        <f>T("BLG 3223")</f>
        <v>BLG 3223</v>
      </c>
      <c r="D4995" t="str">
        <f t="shared" si="1941"/>
        <v>GREAT LAKES</v>
      </c>
      <c r="E4995" t="str">
        <f t="shared" si="1942"/>
        <v>IL</v>
      </c>
      <c r="F4995" t="str">
        <f>T("600883420")</f>
        <v>600883420</v>
      </c>
      <c r="G4995" t="str">
        <f>T("3320 MISSISSIPPI ST")</f>
        <v>3320 MISSISSIPPI ST</v>
      </c>
      <c r="H4995" t="str">
        <f>T("BLG 3223")</f>
        <v>BLG 3223</v>
      </c>
      <c r="I4995" t="str">
        <f t="shared" si="1943"/>
        <v>GREAT LAKES</v>
      </c>
      <c r="J4995" t="str">
        <f t="shared" si="1944"/>
        <v>IL</v>
      </c>
      <c r="K4995" t="str">
        <f t="shared" si="1940"/>
        <v>000000000000000000</v>
      </c>
      <c r="L4995" t="str">
        <f>T("8478886975")</f>
        <v>8478886975</v>
      </c>
    </row>
    <row r="4996" spans="1:12" x14ac:dyDescent="0.35">
      <c r="A4996" t="str">
        <f t="shared" si="1932"/>
        <v>NAVFAC MID-ATLANTIC HL5</v>
      </c>
      <c r="B4996" t="str">
        <f>T("520 DEWEY AVE")</f>
        <v>520 DEWEY AVE</v>
      </c>
      <c r="C4996" t="str">
        <f>T("BLG 5")</f>
        <v>BLG 5</v>
      </c>
      <c r="D4996" t="str">
        <f t="shared" si="1941"/>
        <v>GREAT LAKES</v>
      </c>
      <c r="E4996" t="str">
        <f t="shared" si="1942"/>
        <v>IL</v>
      </c>
      <c r="F4996" t="str">
        <f>T("600882913")</f>
        <v>600882913</v>
      </c>
      <c r="G4996" t="str">
        <f>T("520 DEWEY AVE")</f>
        <v>520 DEWEY AVE</v>
      </c>
      <c r="H4996" t="str">
        <f>T("BLDG 5")</f>
        <v>BLDG 5</v>
      </c>
      <c r="I4996" t="str">
        <f t="shared" si="1943"/>
        <v>GREAT LAKES</v>
      </c>
      <c r="J4996" t="str">
        <f t="shared" si="1944"/>
        <v>IL</v>
      </c>
      <c r="K4996" t="str">
        <f t="shared" si="1940"/>
        <v>000000000000000000</v>
      </c>
      <c r="L4996" t="str">
        <f>T("8476883368")</f>
        <v>8476883368</v>
      </c>
    </row>
    <row r="4997" spans="1:12" x14ac:dyDescent="0.35">
      <c r="A4997" t="str">
        <f t="shared" si="1932"/>
        <v>NAVFAC MID-ATLANTIC HL5</v>
      </c>
      <c r="B4997" t="str">
        <f>T("520 DEWEY AVE")</f>
        <v>520 DEWEY AVE</v>
      </c>
      <c r="C4997" t="str">
        <f>T("BLG 5")</f>
        <v>BLG 5</v>
      </c>
      <c r="D4997" t="str">
        <f t="shared" si="1941"/>
        <v>GREAT LAKES</v>
      </c>
      <c r="E4997" t="str">
        <f t="shared" si="1942"/>
        <v>IL</v>
      </c>
      <c r="F4997" t="str">
        <f>T("600882913")</f>
        <v>600882913</v>
      </c>
      <c r="G4997" t="str">
        <f>T("520 DEWEY AVE")</f>
        <v>520 DEWEY AVE</v>
      </c>
      <c r="H4997" t="str">
        <f>T("BLG 5")</f>
        <v>BLG 5</v>
      </c>
      <c r="I4997" t="str">
        <f t="shared" si="1943"/>
        <v>GREAT LAKES</v>
      </c>
      <c r="J4997" t="str">
        <f t="shared" si="1944"/>
        <v>IL</v>
      </c>
      <c r="K4997" t="str">
        <f t="shared" si="1940"/>
        <v>000000000000000000</v>
      </c>
      <c r="L4997" t="str">
        <f>T("8476883366")</f>
        <v>8476883366</v>
      </c>
    </row>
    <row r="4998" spans="1:12" x14ac:dyDescent="0.35">
      <c r="A4998" t="str">
        <f t="shared" si="1932"/>
        <v>NAVFAC MID-ATLANTIC HL5</v>
      </c>
      <c r="B4998" t="str">
        <f>T("616 MOORE ST")</f>
        <v>616 MOORE ST</v>
      </c>
      <c r="C4998" t="str">
        <f>T("P O BOX 1913")</f>
        <v>P O BOX 1913</v>
      </c>
      <c r="D4998" t="str">
        <f>T("BEAUFORT")</f>
        <v>BEAUFORT</v>
      </c>
      <c r="E4998" t="str">
        <f>T("SC")</f>
        <v>SC</v>
      </c>
      <c r="F4998" t="str">
        <f>T("299011913")</f>
        <v>299011913</v>
      </c>
      <c r="G4998" t="str">
        <f>T("616 MOORE ST")</f>
        <v>616 MOORE ST</v>
      </c>
      <c r="H4998" t="str">
        <f>T("P O BOX 1913")</f>
        <v>P O BOX 1913</v>
      </c>
      <c r="I4998" t="str">
        <f>T("BEAUFORT")</f>
        <v>BEAUFORT</v>
      </c>
      <c r="J4998" t="str">
        <f>T("SC")</f>
        <v>SC</v>
      </c>
      <c r="K4998" t="str">
        <f t="shared" si="1940"/>
        <v>000000000000000000</v>
      </c>
      <c r="L4998" t="str">
        <f>T("8432288574")</f>
        <v>8432288574</v>
      </c>
    </row>
    <row r="4999" spans="1:12" x14ac:dyDescent="0.35">
      <c r="A4999" t="str">
        <f t="shared" si="1932"/>
        <v>NAVFAC MID-ATLANTIC HL5</v>
      </c>
      <c r="B4999" t="str">
        <f>T("616 MOORE ST")</f>
        <v>616 MOORE ST</v>
      </c>
      <c r="C4999" t="str">
        <f>T("P O BOX 1913")</f>
        <v>P O BOX 1913</v>
      </c>
      <c r="D4999" t="str">
        <f>T("BEAUFORT")</f>
        <v>BEAUFORT</v>
      </c>
      <c r="E4999" t="str">
        <f>T("SC")</f>
        <v>SC</v>
      </c>
      <c r="F4999" t="str">
        <f>T("299011913")</f>
        <v>299011913</v>
      </c>
      <c r="G4999" t="str">
        <f>T("MCAS BEAUFORT")</f>
        <v>MCAS BEAUFORT</v>
      </c>
      <c r="H4999" t="str">
        <f>T("BLDG 616 MOORE ST")</f>
        <v>BLDG 616 MOORE ST</v>
      </c>
      <c r="I4999" t="str">
        <f>T("BEAUFORT")</f>
        <v>BEAUFORT</v>
      </c>
      <c r="J4999" t="str">
        <f>T("SC")</f>
        <v>SC</v>
      </c>
      <c r="K4999" t="str">
        <f t="shared" si="1940"/>
        <v>000000000000000000</v>
      </c>
      <c r="L4999" t="str">
        <f>T("8432288551")</f>
        <v>8432288551</v>
      </c>
    </row>
    <row r="5000" spans="1:12" x14ac:dyDescent="0.35">
      <c r="A5000" t="str">
        <f t="shared" si="1932"/>
        <v>NAVFAC MID-ATLANTIC HL5</v>
      </c>
      <c r="B5000" t="str">
        <f t="shared" ref="B5000:B5007" si="1945">T("63 CHANDLER ST")</f>
        <v>63 CHANDLER ST</v>
      </c>
      <c r="C5000" t="str">
        <f t="shared" ref="C5000:C5007" si="1946">T("")</f>
        <v/>
      </c>
      <c r="D5000" t="str">
        <f t="shared" ref="D5000:D5007" si="1947">T("NEWPORT")</f>
        <v>NEWPORT</v>
      </c>
      <c r="E5000" t="str">
        <f t="shared" ref="E5000:E5007" si="1948">T("RI")</f>
        <v>RI</v>
      </c>
      <c r="F5000" t="str">
        <f t="shared" ref="F5000:F5007" si="1949">T("028411719")</f>
        <v>028411719</v>
      </c>
      <c r="G5000" t="str">
        <f>T("43 WYMAN AVENUE")</f>
        <v>43 WYMAN AVENUE</v>
      </c>
      <c r="H5000" t="str">
        <f>T("PORTSMOUTH NAVAL SHIPYARD")</f>
        <v>PORTSMOUTH NAVAL SHIPYARD</v>
      </c>
      <c r="I5000" t="str">
        <f>T("PORTSMOUTH")</f>
        <v>PORTSMOUTH</v>
      </c>
      <c r="J5000" t="str">
        <f>T("NH")</f>
        <v>NH</v>
      </c>
      <c r="K5000" t="str">
        <f t="shared" si="1940"/>
        <v>000000000000000000</v>
      </c>
      <c r="L5000" t="str">
        <f>T("2074382037")</f>
        <v>2074382037</v>
      </c>
    </row>
    <row r="5001" spans="1:12" x14ac:dyDescent="0.35">
      <c r="A5001" t="str">
        <f t="shared" ref="A5001:A5032" si="1950">T("NAVFAC MID-ATLANTIC HL5")</f>
        <v>NAVFAC MID-ATLANTIC HL5</v>
      </c>
      <c r="B5001" t="str">
        <f t="shared" si="1945"/>
        <v>63 CHANDLER ST</v>
      </c>
      <c r="C5001" t="str">
        <f t="shared" si="1946"/>
        <v/>
      </c>
      <c r="D5001" t="str">
        <f t="shared" si="1947"/>
        <v>NEWPORT</v>
      </c>
      <c r="E5001" t="str">
        <f t="shared" si="1948"/>
        <v>RI</v>
      </c>
      <c r="F5001" t="str">
        <f t="shared" si="1949"/>
        <v>028411719</v>
      </c>
      <c r="G5001" t="str">
        <f>T("63 CHANDLER ST")</f>
        <v>63 CHANDLER ST</v>
      </c>
      <c r="H5001" t="str">
        <f>T("")</f>
        <v/>
      </c>
      <c r="I5001" t="str">
        <f>T("NEWPORT")</f>
        <v>NEWPORT</v>
      </c>
      <c r="J5001" t="str">
        <f>T("RI")</f>
        <v>RI</v>
      </c>
      <c r="K5001" t="str">
        <f>T("")</f>
        <v/>
      </c>
      <c r="L5001" t="str">
        <f>T("4018413037")</f>
        <v>4018413037</v>
      </c>
    </row>
    <row r="5002" spans="1:12" x14ac:dyDescent="0.35">
      <c r="A5002" t="str">
        <f t="shared" si="1950"/>
        <v>NAVFAC MID-ATLANTIC HL5</v>
      </c>
      <c r="B5002" t="str">
        <f t="shared" si="1945"/>
        <v>63 CHANDLER ST</v>
      </c>
      <c r="C5002" t="str">
        <f t="shared" si="1946"/>
        <v/>
      </c>
      <c r="D5002" t="str">
        <f t="shared" si="1947"/>
        <v>NEWPORT</v>
      </c>
      <c r="E5002" t="str">
        <f t="shared" si="1948"/>
        <v>RI</v>
      </c>
      <c r="F5002" t="str">
        <f t="shared" si="1949"/>
        <v>028411719</v>
      </c>
      <c r="G5002" t="str">
        <f>T("63 CHANDLER ST")</f>
        <v>63 CHANDLER ST</v>
      </c>
      <c r="H5002" t="str">
        <f>T("")</f>
        <v/>
      </c>
      <c r="I5002" t="str">
        <f>T("NEWPORT")</f>
        <v>NEWPORT</v>
      </c>
      <c r="J5002" t="str">
        <f>T("RI")</f>
        <v>RI</v>
      </c>
      <c r="K5002" t="str">
        <f>T("000000000000000000")</f>
        <v>000000000000000000</v>
      </c>
      <c r="L5002" t="str">
        <f>T("4018414334")</f>
        <v>4018414334</v>
      </c>
    </row>
    <row r="5003" spans="1:12" x14ac:dyDescent="0.35">
      <c r="A5003" t="str">
        <f t="shared" si="1950"/>
        <v>NAVFAC MID-ATLANTIC HL5</v>
      </c>
      <c r="B5003" t="str">
        <f t="shared" si="1945"/>
        <v>63 CHANDLER ST</v>
      </c>
      <c r="C5003" t="str">
        <f t="shared" si="1946"/>
        <v/>
      </c>
      <c r="D5003" t="str">
        <f t="shared" si="1947"/>
        <v>NEWPORT</v>
      </c>
      <c r="E5003" t="str">
        <f t="shared" si="1948"/>
        <v>RI</v>
      </c>
      <c r="F5003" t="str">
        <f t="shared" si="1949"/>
        <v>028411719</v>
      </c>
      <c r="G5003" t="str">
        <f>T("63 CHANDLER ST")</f>
        <v>63 CHANDLER ST</v>
      </c>
      <c r="H5003" t="str">
        <f>T("")</f>
        <v/>
      </c>
      <c r="I5003" t="str">
        <f>T("NEWPORT")</f>
        <v>NEWPORT</v>
      </c>
      <c r="J5003" t="str">
        <f>T("RI")</f>
        <v>RI</v>
      </c>
      <c r="K5003" t="str">
        <f>T("000000000000000000")</f>
        <v>000000000000000000</v>
      </c>
      <c r="L5003" t="str">
        <f>T("4018414497")</f>
        <v>4018414497</v>
      </c>
    </row>
    <row r="5004" spans="1:12" x14ac:dyDescent="0.35">
      <c r="A5004" t="str">
        <f t="shared" si="1950"/>
        <v>NAVFAC MID-ATLANTIC HL5</v>
      </c>
      <c r="B5004" t="str">
        <f t="shared" si="1945"/>
        <v>63 CHANDLER ST</v>
      </c>
      <c r="C5004" t="str">
        <f t="shared" si="1946"/>
        <v/>
      </c>
      <c r="D5004" t="str">
        <f t="shared" si="1947"/>
        <v>NEWPORT</v>
      </c>
      <c r="E5004" t="str">
        <f t="shared" si="1948"/>
        <v>RI</v>
      </c>
      <c r="F5004" t="str">
        <f t="shared" si="1949"/>
        <v>028411719</v>
      </c>
      <c r="G5004" t="str">
        <f>T("63 CHANDLER ST")</f>
        <v>63 CHANDLER ST</v>
      </c>
      <c r="H5004" t="str">
        <f>T("")</f>
        <v/>
      </c>
      <c r="I5004" t="str">
        <f>T("NEWPORT")</f>
        <v>NEWPORT</v>
      </c>
      <c r="J5004" t="str">
        <f>T("RI")</f>
        <v>RI</v>
      </c>
      <c r="K5004" t="str">
        <f>T("000000000000000000")</f>
        <v>000000000000000000</v>
      </c>
      <c r="L5004" t="str">
        <f>T("4018417630")</f>
        <v>4018417630</v>
      </c>
    </row>
    <row r="5005" spans="1:12" x14ac:dyDescent="0.35">
      <c r="A5005" t="str">
        <f t="shared" si="1950"/>
        <v>NAVFAC MID-ATLANTIC HL5</v>
      </c>
      <c r="B5005" t="str">
        <f t="shared" si="1945"/>
        <v>63 CHANDLER ST</v>
      </c>
      <c r="C5005" t="str">
        <f t="shared" si="1946"/>
        <v/>
      </c>
      <c r="D5005" t="str">
        <f t="shared" si="1947"/>
        <v>NEWPORT</v>
      </c>
      <c r="E5005" t="str">
        <f t="shared" si="1948"/>
        <v>RI</v>
      </c>
      <c r="F5005" t="str">
        <f t="shared" si="1949"/>
        <v>028411719</v>
      </c>
      <c r="G5005" t="str">
        <f>T("GROTON SUBASE CRYSTAL LAKE RD")</f>
        <v>GROTON SUBASE CRYSTAL LAKE RD</v>
      </c>
      <c r="H5005" t="str">
        <f>T("BLDG 451 PO BOX 400")</f>
        <v>BLDG 451 PO BOX 400</v>
      </c>
      <c r="I5005" t="str">
        <f>T("GROTON")</f>
        <v>GROTON</v>
      </c>
      <c r="J5005" t="str">
        <f>T("CT")</f>
        <v>CT</v>
      </c>
      <c r="K5005" t="str">
        <f>T("000000000000000000")</f>
        <v>000000000000000000</v>
      </c>
      <c r="L5005" t="str">
        <f>T("8606943212")</f>
        <v>8606943212</v>
      </c>
    </row>
    <row r="5006" spans="1:12" x14ac:dyDescent="0.35">
      <c r="A5006" t="str">
        <f t="shared" si="1950"/>
        <v>NAVFAC MID-ATLANTIC HL5</v>
      </c>
      <c r="B5006" t="str">
        <f t="shared" si="1945"/>
        <v>63 CHANDLER ST</v>
      </c>
      <c r="C5006" t="str">
        <f t="shared" si="1946"/>
        <v/>
      </c>
      <c r="D5006" t="str">
        <f t="shared" si="1947"/>
        <v>NEWPORT</v>
      </c>
      <c r="E5006" t="str">
        <f t="shared" si="1948"/>
        <v>RI</v>
      </c>
      <c r="F5006" t="str">
        <f t="shared" si="1949"/>
        <v>028411719</v>
      </c>
      <c r="G5006" t="str">
        <f>T("NWSE 201 HWY 34")</f>
        <v>NWSE 201 HWY 34</v>
      </c>
      <c r="H5006" t="str">
        <f>T("BLDG C-33 FL 1")</f>
        <v>BLDG C-33 FL 1</v>
      </c>
      <c r="I5006" t="str">
        <f>T("COLTS NECK")</f>
        <v>COLTS NECK</v>
      </c>
      <c r="J5006" t="str">
        <f>T("NJ")</f>
        <v>NJ</v>
      </c>
      <c r="K5006" t="str">
        <f>T("000000000000000000")</f>
        <v>000000000000000000</v>
      </c>
      <c r="L5006" t="str">
        <f>T("7328662391")</f>
        <v>7328662391</v>
      </c>
    </row>
    <row r="5007" spans="1:12" x14ac:dyDescent="0.35">
      <c r="A5007" t="str">
        <f t="shared" si="1950"/>
        <v>NAVFAC MID-ATLANTIC HL5</v>
      </c>
      <c r="B5007" t="str">
        <f t="shared" si="1945"/>
        <v>63 CHANDLER ST</v>
      </c>
      <c r="C5007" t="str">
        <f t="shared" si="1946"/>
        <v/>
      </c>
      <c r="D5007" t="str">
        <f t="shared" si="1947"/>
        <v>NEWPORT</v>
      </c>
      <c r="E5007" t="str">
        <f t="shared" si="1948"/>
        <v>RI</v>
      </c>
      <c r="F5007" t="str">
        <f t="shared" si="1949"/>
        <v>028411719</v>
      </c>
      <c r="G5007" t="str">
        <f>T("NWSE 201 HWY 34 SOUTH")</f>
        <v>NWSE 201 HWY 34 SOUTH</v>
      </c>
      <c r="H5007" t="str">
        <f>T("BLDG C-33")</f>
        <v>BLDG C-33</v>
      </c>
      <c r="I5007" t="str">
        <f>T("COLTS NECK")</f>
        <v>COLTS NECK</v>
      </c>
      <c r="J5007" t="str">
        <f>T("NJ")</f>
        <v>NJ</v>
      </c>
      <c r="K5007" t="str">
        <f>T("")</f>
        <v/>
      </c>
      <c r="L5007" t="str">
        <f>T("7328662017")</f>
        <v>7328662017</v>
      </c>
    </row>
    <row r="5008" spans="1:12" x14ac:dyDescent="0.35">
      <c r="A5008" t="str">
        <f t="shared" si="1950"/>
        <v>NAVFAC MID-ATLANTIC HL5</v>
      </c>
      <c r="B5008" t="str">
        <f>T("7918 BLANDY RD")</f>
        <v>7918 BLANDY RD</v>
      </c>
      <c r="C5008" t="str">
        <f>T("PWD")</f>
        <v>PWD</v>
      </c>
      <c r="D5008" t="str">
        <f t="shared" ref="D5008:D5030" si="1951">T("NORFOLK")</f>
        <v>NORFOLK</v>
      </c>
      <c r="E5008" t="str">
        <f t="shared" ref="E5008:E5039" si="1952">T("VA")</f>
        <v>VA</v>
      </c>
      <c r="F5008" t="str">
        <f>T("235512405")</f>
        <v>235512405</v>
      </c>
      <c r="G5008" t="str">
        <f>T("7918 BLANDY RD")</f>
        <v>7918 BLANDY RD</v>
      </c>
      <c r="H5008" t="str">
        <f>T("BLDG NH-140")</f>
        <v>BLDG NH-140</v>
      </c>
      <c r="I5008" t="str">
        <f>T("NORFOLK")</f>
        <v>NORFOLK</v>
      </c>
      <c r="J5008" t="str">
        <f t="shared" ref="J5008:J5039" si="1953">T("VA")</f>
        <v>VA</v>
      </c>
      <c r="K5008" t="str">
        <f>T("000000000000000000")</f>
        <v>000000000000000000</v>
      </c>
      <c r="L5008" t="str">
        <f>T("7578361478")</f>
        <v>7578361478</v>
      </c>
    </row>
    <row r="5009" spans="1:12" x14ac:dyDescent="0.35">
      <c r="A5009" t="str">
        <f t="shared" si="1950"/>
        <v>NAVFAC MID-ATLANTIC HL5</v>
      </c>
      <c r="B5009" t="str">
        <f>T("7918 BLANDY RD")</f>
        <v>7918 BLANDY RD</v>
      </c>
      <c r="C5009" t="str">
        <f>T("PWD")</f>
        <v>PWD</v>
      </c>
      <c r="D5009" t="str">
        <f t="shared" si="1951"/>
        <v>NORFOLK</v>
      </c>
      <c r="E5009" t="str">
        <f t="shared" si="1952"/>
        <v>VA</v>
      </c>
      <c r="F5009" t="str">
        <f>T("235512405")</f>
        <v>235512405</v>
      </c>
      <c r="G5009" t="str">
        <f>T("7918 BLANDY RD")</f>
        <v>7918 BLANDY RD</v>
      </c>
      <c r="H5009" t="str">
        <f>T("PWD")</f>
        <v>PWD</v>
      </c>
      <c r="I5009" t="str">
        <f>T("NORFOLK")</f>
        <v>NORFOLK</v>
      </c>
      <c r="J5009" t="str">
        <f t="shared" si="1953"/>
        <v>VA</v>
      </c>
      <c r="K5009" t="str">
        <f>T("7574455053")</f>
        <v>7574455053</v>
      </c>
      <c r="L5009" t="str">
        <f>T("7578361996")</f>
        <v>7578361996</v>
      </c>
    </row>
    <row r="5010" spans="1:12" x14ac:dyDescent="0.35">
      <c r="A5010" t="str">
        <f t="shared" si="1950"/>
        <v>NAVFAC MID-ATLANTIC HL5</v>
      </c>
      <c r="B5010" t="str">
        <f>T("7918 BLANDY RD")</f>
        <v>7918 BLANDY RD</v>
      </c>
      <c r="C5010" t="str">
        <f>T("PWD")</f>
        <v>PWD</v>
      </c>
      <c r="D5010" t="str">
        <f t="shared" si="1951"/>
        <v>NORFOLK</v>
      </c>
      <c r="E5010" t="str">
        <f t="shared" si="1952"/>
        <v>VA</v>
      </c>
      <c r="F5010" t="str">
        <f>T("235512405")</f>
        <v>235512405</v>
      </c>
      <c r="G5010" t="str">
        <f>T("854 STERLING COOK STREET")</f>
        <v>854 STERLING COOK STREET</v>
      </c>
      <c r="H5010" t="str">
        <f>T("BLDG 273")</f>
        <v>BLDG 273</v>
      </c>
      <c r="I5010" t="str">
        <f>T("PORTSMOUTH")</f>
        <v>PORTSMOUTH</v>
      </c>
      <c r="J5010" t="str">
        <f t="shared" si="1953"/>
        <v>VA</v>
      </c>
      <c r="K5010" t="str">
        <f>T("000000000000000000")</f>
        <v>000000000000000000</v>
      </c>
      <c r="L5010" t="str">
        <f>T("7579535677")</f>
        <v>7579535677</v>
      </c>
    </row>
    <row r="5011" spans="1:12" x14ac:dyDescent="0.35">
      <c r="A5011" t="str">
        <f t="shared" si="1950"/>
        <v>NAVFAC MID-ATLANTIC HL5</v>
      </c>
      <c r="B5011" t="str">
        <f t="shared" ref="B5011:B5028" si="1954">T("9324 VIRGINIA AVE")</f>
        <v>9324 VIRGINIA AVE</v>
      </c>
      <c r="C5011" t="str">
        <f>T("BLDG A-81")</f>
        <v>BLDG A-81</v>
      </c>
      <c r="D5011" t="str">
        <f t="shared" si="1951"/>
        <v>NORFOLK</v>
      </c>
      <c r="E5011" t="str">
        <f t="shared" si="1952"/>
        <v>VA</v>
      </c>
      <c r="F5011" t="str">
        <f t="shared" ref="F5011:F5030" si="1955">T("235113624")</f>
        <v>235113624</v>
      </c>
      <c r="G5011" t="str">
        <f>T("9324 VIRGINIA AVE")</f>
        <v>9324 VIRGINIA AVE</v>
      </c>
      <c r="H5011" t="str">
        <f>T("BLDG A-81")</f>
        <v>BLDG A-81</v>
      </c>
      <c r="I5011" t="str">
        <f t="shared" ref="I5011:I5030" si="1956">T("NORFOLK")</f>
        <v>NORFOLK</v>
      </c>
      <c r="J5011" t="str">
        <f t="shared" si="1953"/>
        <v>VA</v>
      </c>
      <c r="K5011" t="str">
        <f>T("7573411281")</f>
        <v>7573411281</v>
      </c>
      <c r="L5011" t="str">
        <f>T("7573411285")</f>
        <v>7573411285</v>
      </c>
    </row>
    <row r="5012" spans="1:12" x14ac:dyDescent="0.35">
      <c r="A5012" t="str">
        <f t="shared" si="1950"/>
        <v>NAVFAC MID-ATLANTIC HL5</v>
      </c>
      <c r="B5012" t="str">
        <f t="shared" si="1954"/>
        <v>9324 VIRGINIA AVE</v>
      </c>
      <c r="C5012" t="str">
        <f>T("BLDG A-81")</f>
        <v>BLDG A-81</v>
      </c>
      <c r="D5012" t="str">
        <f t="shared" si="1951"/>
        <v>NORFOLK</v>
      </c>
      <c r="E5012" t="str">
        <f t="shared" si="1952"/>
        <v>VA</v>
      </c>
      <c r="F5012" t="str">
        <f t="shared" si="1955"/>
        <v>235113624</v>
      </c>
      <c r="G5012" t="str">
        <f>T("9324 VIRGINIA AVE BLDG Z140")</f>
        <v>9324 VIRGINIA AVE BLDG Z140</v>
      </c>
      <c r="H5012" t="str">
        <f>T("")</f>
        <v/>
      </c>
      <c r="I5012" t="str">
        <f t="shared" si="1956"/>
        <v>NORFOLK</v>
      </c>
      <c r="J5012" t="str">
        <f t="shared" si="1953"/>
        <v>VA</v>
      </c>
      <c r="K5012" t="str">
        <f t="shared" ref="K5012:K5018" si="1957">T("000000000000000000")</f>
        <v>000000000000000000</v>
      </c>
      <c r="L5012" t="str">
        <f>T("7573411331")</f>
        <v>7573411331</v>
      </c>
    </row>
    <row r="5013" spans="1:12" x14ac:dyDescent="0.35">
      <c r="A5013" t="str">
        <f t="shared" si="1950"/>
        <v>NAVFAC MID-ATLANTIC HL5</v>
      </c>
      <c r="B5013" t="str">
        <f t="shared" si="1954"/>
        <v>9324 VIRGINIA AVE</v>
      </c>
      <c r="C5013" t="str">
        <f>T("BLDG A-81")</f>
        <v>BLDG A-81</v>
      </c>
      <c r="D5013" t="str">
        <f t="shared" si="1951"/>
        <v>NORFOLK</v>
      </c>
      <c r="E5013" t="str">
        <f t="shared" si="1952"/>
        <v>VA</v>
      </c>
      <c r="F5013" t="str">
        <f t="shared" si="1955"/>
        <v>235113624</v>
      </c>
      <c r="G5013" t="str">
        <f>T("9472 MARYLAND AVENUE")</f>
        <v>9472 MARYLAND AVENUE</v>
      </c>
      <c r="H5013" t="str">
        <f>T("BLDG A81")</f>
        <v>BLDG A81</v>
      </c>
      <c r="I5013" t="str">
        <f t="shared" si="1956"/>
        <v>NORFOLK</v>
      </c>
      <c r="J5013" t="str">
        <f t="shared" si="1953"/>
        <v>VA</v>
      </c>
      <c r="K5013" t="str">
        <f t="shared" si="1957"/>
        <v>000000000000000000</v>
      </c>
      <c r="L5013" t="str">
        <f>T("7573411346")</f>
        <v>7573411346</v>
      </c>
    </row>
    <row r="5014" spans="1:12" x14ac:dyDescent="0.35">
      <c r="A5014" t="str">
        <f t="shared" si="1950"/>
        <v>NAVFAC MID-ATLANTIC HL5</v>
      </c>
      <c r="B5014" t="str">
        <f t="shared" si="1954"/>
        <v>9324 VIRGINIA AVE</v>
      </c>
      <c r="C5014" t="str">
        <f>T("BLDG A-81")</f>
        <v>BLDG A-81</v>
      </c>
      <c r="D5014" t="str">
        <f t="shared" si="1951"/>
        <v>NORFOLK</v>
      </c>
      <c r="E5014" t="str">
        <f t="shared" si="1952"/>
        <v>VA</v>
      </c>
      <c r="F5014" t="str">
        <f t="shared" si="1955"/>
        <v>235113624</v>
      </c>
      <c r="G5014" t="str">
        <f>T("9742 MARYLAND AVE")</f>
        <v>9742 MARYLAND AVE</v>
      </c>
      <c r="H5014" t="str">
        <f>T("")</f>
        <v/>
      </c>
      <c r="I5014" t="str">
        <f t="shared" si="1956"/>
        <v>NORFOLK</v>
      </c>
      <c r="J5014" t="str">
        <f t="shared" si="1953"/>
        <v>VA</v>
      </c>
      <c r="K5014" t="str">
        <f t="shared" si="1957"/>
        <v>000000000000000000</v>
      </c>
      <c r="L5014" t="str">
        <f>T("7573411370")</f>
        <v>7573411370</v>
      </c>
    </row>
    <row r="5015" spans="1:12" x14ac:dyDescent="0.35">
      <c r="A5015" t="str">
        <f t="shared" si="1950"/>
        <v>NAVFAC MID-ATLANTIC HL5</v>
      </c>
      <c r="B5015" t="str">
        <f t="shared" si="1954"/>
        <v>9324 VIRGINIA AVE</v>
      </c>
      <c r="C5015" t="str">
        <f>T("BLDG LP-20")</f>
        <v>BLDG LP-20</v>
      </c>
      <c r="D5015" t="str">
        <f t="shared" si="1951"/>
        <v>NORFOLK</v>
      </c>
      <c r="E5015" t="str">
        <f t="shared" si="1952"/>
        <v>VA</v>
      </c>
      <c r="F5015" t="str">
        <f t="shared" si="1955"/>
        <v>235113624</v>
      </c>
      <c r="G5015" t="str">
        <f>T("9228 3RD AVE")</f>
        <v>9228 3RD AVE</v>
      </c>
      <c r="H5015" t="str">
        <f>T("LP-20")</f>
        <v>LP-20</v>
      </c>
      <c r="I5015" t="str">
        <f t="shared" si="1956"/>
        <v>NORFOLK</v>
      </c>
      <c r="J5015" t="str">
        <f t="shared" si="1953"/>
        <v>VA</v>
      </c>
      <c r="K5015" t="str">
        <f t="shared" si="1957"/>
        <v>000000000000000000</v>
      </c>
      <c r="L5015" t="str">
        <f>T("7573411059")</f>
        <v>7573411059</v>
      </c>
    </row>
    <row r="5016" spans="1:12" x14ac:dyDescent="0.35">
      <c r="A5016" t="str">
        <f t="shared" si="1950"/>
        <v>NAVFAC MID-ATLANTIC HL5</v>
      </c>
      <c r="B5016" t="str">
        <f t="shared" si="1954"/>
        <v>9324 VIRGINIA AVE</v>
      </c>
      <c r="C5016" t="str">
        <f>T("BLDG LP-20")</f>
        <v>BLDG LP-20</v>
      </c>
      <c r="D5016" t="str">
        <f t="shared" si="1951"/>
        <v>NORFOLK</v>
      </c>
      <c r="E5016" t="str">
        <f t="shared" si="1952"/>
        <v>VA</v>
      </c>
      <c r="F5016" t="str">
        <f t="shared" si="1955"/>
        <v>235113624</v>
      </c>
      <c r="G5016" t="str">
        <f>T("9324 VIRGINIA AVE")</f>
        <v>9324 VIRGINIA AVE</v>
      </c>
      <c r="H5016" t="str">
        <f>T("BLDG LP-20")</f>
        <v>BLDG LP-20</v>
      </c>
      <c r="I5016" t="str">
        <f t="shared" si="1956"/>
        <v>NORFOLK</v>
      </c>
      <c r="J5016" t="str">
        <f t="shared" si="1953"/>
        <v>VA</v>
      </c>
      <c r="K5016" t="str">
        <f t="shared" si="1957"/>
        <v>000000000000000000</v>
      </c>
      <c r="L5016" t="str">
        <f>T("7573411034")</f>
        <v>7573411034</v>
      </c>
    </row>
    <row r="5017" spans="1:12" x14ac:dyDescent="0.35">
      <c r="A5017" t="str">
        <f t="shared" si="1950"/>
        <v>NAVFAC MID-ATLANTIC HL5</v>
      </c>
      <c r="B5017" t="str">
        <f t="shared" si="1954"/>
        <v>9324 VIRGINIA AVE</v>
      </c>
      <c r="C5017" t="str">
        <f>T("BLDG LP20")</f>
        <v>BLDG LP20</v>
      </c>
      <c r="D5017" t="str">
        <f t="shared" si="1951"/>
        <v>NORFOLK</v>
      </c>
      <c r="E5017" t="str">
        <f t="shared" si="1952"/>
        <v>VA</v>
      </c>
      <c r="F5017" t="str">
        <f t="shared" si="1955"/>
        <v>235113624</v>
      </c>
      <c r="G5017" t="str">
        <f>T("9228 3RD AVE")</f>
        <v>9228 3RD AVE</v>
      </c>
      <c r="H5017" t="str">
        <f>T("BLDG LP20")</f>
        <v>BLDG LP20</v>
      </c>
      <c r="I5017" t="str">
        <f t="shared" si="1956"/>
        <v>NORFOLK</v>
      </c>
      <c r="J5017" t="str">
        <f t="shared" si="1953"/>
        <v>VA</v>
      </c>
      <c r="K5017" t="str">
        <f t="shared" si="1957"/>
        <v>000000000000000000</v>
      </c>
      <c r="L5017" t="str">
        <f>T("7573411139")</f>
        <v>7573411139</v>
      </c>
    </row>
    <row r="5018" spans="1:12" x14ac:dyDescent="0.35">
      <c r="A5018" t="str">
        <f t="shared" si="1950"/>
        <v>NAVFAC MID-ATLANTIC HL5</v>
      </c>
      <c r="B5018" t="str">
        <f t="shared" si="1954"/>
        <v>9324 VIRGINIA AVE</v>
      </c>
      <c r="C5018" t="str">
        <f>T("BLDG LP20")</f>
        <v>BLDG LP20</v>
      </c>
      <c r="D5018" t="str">
        <f t="shared" si="1951"/>
        <v>NORFOLK</v>
      </c>
      <c r="E5018" t="str">
        <f t="shared" si="1952"/>
        <v>VA</v>
      </c>
      <c r="F5018" t="str">
        <f t="shared" si="1955"/>
        <v>235113624</v>
      </c>
      <c r="G5018" t="str">
        <f>T("9228 3RD AVENUE")</f>
        <v>9228 3RD AVENUE</v>
      </c>
      <c r="H5018" t="str">
        <f>T("BLDG LP20")</f>
        <v>BLDG LP20</v>
      </c>
      <c r="I5018" t="str">
        <f t="shared" si="1956"/>
        <v>NORFOLK</v>
      </c>
      <c r="J5018" t="str">
        <f t="shared" si="1953"/>
        <v>VA</v>
      </c>
      <c r="K5018" t="str">
        <f t="shared" si="1957"/>
        <v>000000000000000000</v>
      </c>
      <c r="L5018" t="str">
        <f>T("7573411138")</f>
        <v>7573411138</v>
      </c>
    </row>
    <row r="5019" spans="1:12" x14ac:dyDescent="0.35">
      <c r="A5019" t="str">
        <f t="shared" si="1950"/>
        <v>NAVFAC MID-ATLANTIC HL5</v>
      </c>
      <c r="B5019" t="str">
        <f t="shared" si="1954"/>
        <v>9324 VIRGINIA AVE</v>
      </c>
      <c r="C5019" t="str">
        <f>T("BLDG LP20")</f>
        <v>BLDG LP20</v>
      </c>
      <c r="D5019" t="str">
        <f t="shared" si="1951"/>
        <v>NORFOLK</v>
      </c>
      <c r="E5019" t="str">
        <f t="shared" si="1952"/>
        <v>VA</v>
      </c>
      <c r="F5019" t="str">
        <f t="shared" si="1955"/>
        <v>235113624</v>
      </c>
      <c r="G5019" t="str">
        <f>T("9324 VIRGINIA AVE")</f>
        <v>9324 VIRGINIA AVE</v>
      </c>
      <c r="H5019" t="str">
        <f>T("BLDG LP20")</f>
        <v>BLDG LP20</v>
      </c>
      <c r="I5019" t="str">
        <f t="shared" si="1956"/>
        <v>NORFOLK</v>
      </c>
      <c r="J5019" t="str">
        <f t="shared" si="1953"/>
        <v>VA</v>
      </c>
      <c r="K5019" t="str">
        <f>T("")</f>
        <v/>
      </c>
      <c r="L5019" t="str">
        <f>T("7573411383")</f>
        <v>7573411383</v>
      </c>
    </row>
    <row r="5020" spans="1:12" x14ac:dyDescent="0.35">
      <c r="A5020" t="str">
        <f t="shared" si="1950"/>
        <v>NAVFAC MID-ATLANTIC HL5</v>
      </c>
      <c r="B5020" t="str">
        <f t="shared" si="1954"/>
        <v>9324 VIRGINIA AVE</v>
      </c>
      <c r="C5020" t="str">
        <f>T("BLDG Z-140")</f>
        <v>BLDG Z-140</v>
      </c>
      <c r="D5020" t="str">
        <f t="shared" si="1951"/>
        <v>NORFOLK</v>
      </c>
      <c r="E5020" t="str">
        <f t="shared" si="1952"/>
        <v>VA</v>
      </c>
      <c r="F5020" t="str">
        <f t="shared" si="1955"/>
        <v>235113624</v>
      </c>
      <c r="G5020" t="str">
        <f>T("9324 VIRGINIA AVE")</f>
        <v>9324 VIRGINIA AVE</v>
      </c>
      <c r="H5020" t="str">
        <f>T("BLDG Z-140")</f>
        <v>BLDG Z-140</v>
      </c>
      <c r="I5020" t="str">
        <f t="shared" si="1956"/>
        <v>NORFOLK</v>
      </c>
      <c r="J5020" t="str">
        <f t="shared" si="1953"/>
        <v>VA</v>
      </c>
      <c r="K5020" t="str">
        <f>T("")</f>
        <v/>
      </c>
      <c r="L5020" t="str">
        <f>T("7573410108")</f>
        <v>7573410108</v>
      </c>
    </row>
    <row r="5021" spans="1:12" x14ac:dyDescent="0.35">
      <c r="A5021" t="str">
        <f t="shared" si="1950"/>
        <v>NAVFAC MID-ATLANTIC HL5</v>
      </c>
      <c r="B5021" t="str">
        <f t="shared" si="1954"/>
        <v>9324 VIRGINIA AVE</v>
      </c>
      <c r="C5021" t="str">
        <f>T("BLDG Z-140")</f>
        <v>BLDG Z-140</v>
      </c>
      <c r="D5021" t="str">
        <f t="shared" si="1951"/>
        <v>NORFOLK</v>
      </c>
      <c r="E5021" t="str">
        <f t="shared" si="1952"/>
        <v>VA</v>
      </c>
      <c r="F5021" t="str">
        <f t="shared" si="1955"/>
        <v>235113624</v>
      </c>
      <c r="G5021" t="str">
        <f>T("9324 VIRGINIA AVE")</f>
        <v>9324 VIRGINIA AVE</v>
      </c>
      <c r="H5021" t="str">
        <f>T("BLDG Z140")</f>
        <v>BLDG Z140</v>
      </c>
      <c r="I5021" t="str">
        <f t="shared" si="1956"/>
        <v>NORFOLK</v>
      </c>
      <c r="J5021" t="str">
        <f t="shared" si="1953"/>
        <v>VA</v>
      </c>
      <c r="K5021" t="str">
        <f>T("000000000000000000")</f>
        <v>000000000000000000</v>
      </c>
      <c r="L5021" t="str">
        <f>T("7573410111")</f>
        <v>7573410111</v>
      </c>
    </row>
    <row r="5022" spans="1:12" x14ac:dyDescent="0.35">
      <c r="A5022" t="str">
        <f t="shared" si="1950"/>
        <v>NAVFAC MID-ATLANTIC HL5</v>
      </c>
      <c r="B5022" t="str">
        <f t="shared" si="1954"/>
        <v>9324 VIRGINIA AVE</v>
      </c>
      <c r="C5022" t="str">
        <f>T("BLDG Z-140")</f>
        <v>BLDG Z-140</v>
      </c>
      <c r="D5022" t="str">
        <f t="shared" si="1951"/>
        <v>NORFOLK</v>
      </c>
      <c r="E5022" t="str">
        <f t="shared" si="1952"/>
        <v>VA</v>
      </c>
      <c r="F5022" t="str">
        <f t="shared" si="1955"/>
        <v>235113624</v>
      </c>
      <c r="G5022" t="str">
        <f>T("9324 VIRGINIA AVENUE")</f>
        <v>9324 VIRGINIA AVENUE</v>
      </c>
      <c r="H5022" t="str">
        <f>T("BLDG Z140")</f>
        <v>BLDG Z140</v>
      </c>
      <c r="I5022" t="str">
        <f t="shared" si="1956"/>
        <v>NORFOLK</v>
      </c>
      <c r="J5022" t="str">
        <f t="shared" si="1953"/>
        <v>VA</v>
      </c>
      <c r="K5022" t="str">
        <f>T("000000000000000000")</f>
        <v>000000000000000000</v>
      </c>
      <c r="L5022" t="str">
        <f>T("7573410112")</f>
        <v>7573410112</v>
      </c>
    </row>
    <row r="5023" spans="1:12" x14ac:dyDescent="0.35">
      <c r="A5023" t="str">
        <f t="shared" si="1950"/>
        <v>NAVFAC MID-ATLANTIC HL5</v>
      </c>
      <c r="B5023" t="str">
        <f t="shared" si="1954"/>
        <v>9324 VIRGINIA AVE</v>
      </c>
      <c r="C5023" t="str">
        <f>T("BLDG Z-140")</f>
        <v>BLDG Z-140</v>
      </c>
      <c r="D5023" t="str">
        <f t="shared" si="1951"/>
        <v>NORFOLK</v>
      </c>
      <c r="E5023" t="str">
        <f t="shared" si="1952"/>
        <v>VA</v>
      </c>
      <c r="F5023" t="str">
        <f t="shared" si="1955"/>
        <v>235113624</v>
      </c>
      <c r="G5023" t="str">
        <f>T("9742 MARYLAND AVENUE")</f>
        <v>9742 MARYLAND AVENUE</v>
      </c>
      <c r="H5023" t="str">
        <f>T("BLDG Z140")</f>
        <v>BLDG Z140</v>
      </c>
      <c r="I5023" t="str">
        <f t="shared" si="1956"/>
        <v>NORFOLK</v>
      </c>
      <c r="J5023" t="str">
        <f t="shared" si="1953"/>
        <v>VA</v>
      </c>
      <c r="K5023" t="str">
        <f>T("000000000000000000")</f>
        <v>000000000000000000</v>
      </c>
      <c r="L5023" t="str">
        <f>T("7573410195")</f>
        <v>7573410195</v>
      </c>
    </row>
    <row r="5024" spans="1:12" x14ac:dyDescent="0.35">
      <c r="A5024" t="str">
        <f t="shared" si="1950"/>
        <v>NAVFAC MID-ATLANTIC HL5</v>
      </c>
      <c r="B5024" t="str">
        <f t="shared" si="1954"/>
        <v>9324 VIRGINIA AVE</v>
      </c>
      <c r="C5024" t="str">
        <f>T("BLDG Z-140 RM 117")</f>
        <v>BLDG Z-140 RM 117</v>
      </c>
      <c r="D5024" t="str">
        <f t="shared" si="1951"/>
        <v>NORFOLK</v>
      </c>
      <c r="E5024" t="str">
        <f t="shared" si="1952"/>
        <v>VA</v>
      </c>
      <c r="F5024" t="str">
        <f t="shared" si="1955"/>
        <v>235113624</v>
      </c>
      <c r="G5024" t="str">
        <f>T("9324 VIRGINIA AVE")</f>
        <v>9324 VIRGINIA AVE</v>
      </c>
      <c r="H5024" t="str">
        <f>T("BLDG Z-140 RM 117")</f>
        <v>BLDG Z-140 RM 117</v>
      </c>
      <c r="I5024" t="str">
        <f t="shared" si="1956"/>
        <v>NORFOLK</v>
      </c>
      <c r="J5024" t="str">
        <f t="shared" si="1953"/>
        <v>VA</v>
      </c>
      <c r="K5024" t="str">
        <f>T("7573411481")</f>
        <v>7573411481</v>
      </c>
      <c r="L5024" t="str">
        <f>T("7573411469")</f>
        <v>7573411469</v>
      </c>
    </row>
    <row r="5025" spans="1:12" x14ac:dyDescent="0.35">
      <c r="A5025" t="str">
        <f t="shared" si="1950"/>
        <v>NAVFAC MID-ATLANTIC HL5</v>
      </c>
      <c r="B5025" t="str">
        <f t="shared" si="1954"/>
        <v>9324 VIRGINIA AVE</v>
      </c>
      <c r="C5025" t="str">
        <f>T("BLDG Z-140 RM 117")</f>
        <v>BLDG Z-140 RM 117</v>
      </c>
      <c r="D5025" t="str">
        <f t="shared" si="1951"/>
        <v>NORFOLK</v>
      </c>
      <c r="E5025" t="str">
        <f t="shared" si="1952"/>
        <v>VA</v>
      </c>
      <c r="F5025" t="str">
        <f t="shared" si="1955"/>
        <v>235113624</v>
      </c>
      <c r="G5025" t="str">
        <f>T("9742 MARYLAND AVE")</f>
        <v>9742 MARYLAND AVE</v>
      </c>
      <c r="H5025" t="str">
        <f>T("BLDG A81")</f>
        <v>BLDG A81</v>
      </c>
      <c r="I5025" t="str">
        <f t="shared" si="1956"/>
        <v>NORFOLK</v>
      </c>
      <c r="J5025" t="str">
        <f t="shared" si="1953"/>
        <v>VA</v>
      </c>
      <c r="K5025" t="str">
        <f>T("000000000000000000")</f>
        <v>000000000000000000</v>
      </c>
      <c r="L5025" t="str">
        <f>T("7573411473")</f>
        <v>7573411473</v>
      </c>
    </row>
    <row r="5026" spans="1:12" x14ac:dyDescent="0.35">
      <c r="A5026" t="str">
        <f t="shared" si="1950"/>
        <v>NAVFAC MID-ATLANTIC HL5</v>
      </c>
      <c r="B5026" t="str">
        <f t="shared" si="1954"/>
        <v>9324 VIRGINIA AVE</v>
      </c>
      <c r="C5026" t="str">
        <f>T("BLDG Z-140 RM 117")</f>
        <v>BLDG Z-140 RM 117</v>
      </c>
      <c r="D5026" t="str">
        <f t="shared" si="1951"/>
        <v>NORFOLK</v>
      </c>
      <c r="E5026" t="str">
        <f t="shared" si="1952"/>
        <v>VA</v>
      </c>
      <c r="F5026" t="str">
        <f t="shared" si="1955"/>
        <v>235113624</v>
      </c>
      <c r="G5026" t="str">
        <f>T("NAVFAC MIDLANT")</f>
        <v>NAVFAC MIDLANT</v>
      </c>
      <c r="H5026" t="str">
        <f>T("9324 VIRGINIA AVE")</f>
        <v>9324 VIRGINIA AVE</v>
      </c>
      <c r="I5026" t="str">
        <f t="shared" si="1956"/>
        <v>NORFOLK</v>
      </c>
      <c r="J5026" t="str">
        <f t="shared" si="1953"/>
        <v>VA</v>
      </c>
      <c r="K5026" t="str">
        <f>T("000000000000000000")</f>
        <v>000000000000000000</v>
      </c>
      <c r="L5026" t="str">
        <f>T("7573411478")</f>
        <v>7573411478</v>
      </c>
    </row>
    <row r="5027" spans="1:12" x14ac:dyDescent="0.35">
      <c r="A5027" t="str">
        <f t="shared" si="1950"/>
        <v>NAVFAC MID-ATLANTIC HL5</v>
      </c>
      <c r="B5027" t="str">
        <f t="shared" si="1954"/>
        <v>9324 VIRGINIA AVE</v>
      </c>
      <c r="C5027" t="str">
        <f>T("BLDG Z-140 STE 207")</f>
        <v>BLDG Z-140 STE 207</v>
      </c>
      <c r="D5027" t="str">
        <f t="shared" si="1951"/>
        <v>NORFOLK</v>
      </c>
      <c r="E5027" t="str">
        <f t="shared" si="1952"/>
        <v>VA</v>
      </c>
      <c r="F5027" t="str">
        <f t="shared" si="1955"/>
        <v>235113624</v>
      </c>
      <c r="G5027" t="str">
        <f>T("9324 VIRGINIA AVE")</f>
        <v>9324 VIRGINIA AVE</v>
      </c>
      <c r="H5027" t="str">
        <f>T("BLDG Z-140 STE 207")</f>
        <v>BLDG Z-140 STE 207</v>
      </c>
      <c r="I5027" t="str">
        <f t="shared" si="1956"/>
        <v>NORFOLK</v>
      </c>
      <c r="J5027" t="str">
        <f t="shared" si="1953"/>
        <v>VA</v>
      </c>
      <c r="K5027" t="str">
        <f>T("")</f>
        <v/>
      </c>
      <c r="L5027" t="str">
        <f>T("7573410305")</f>
        <v>7573410305</v>
      </c>
    </row>
    <row r="5028" spans="1:12" x14ac:dyDescent="0.35">
      <c r="A5028" t="str">
        <f t="shared" si="1950"/>
        <v>NAVFAC MID-ATLANTIC HL5</v>
      </c>
      <c r="B5028" t="str">
        <f t="shared" si="1954"/>
        <v>9324 VIRGINIA AVE</v>
      </c>
      <c r="C5028" t="str">
        <f>T("BLDG Z-140 STE 207")</f>
        <v>BLDG Z-140 STE 207</v>
      </c>
      <c r="D5028" t="str">
        <f t="shared" si="1951"/>
        <v>NORFOLK</v>
      </c>
      <c r="E5028" t="str">
        <f t="shared" si="1952"/>
        <v>VA</v>
      </c>
      <c r="F5028" t="str">
        <f t="shared" si="1955"/>
        <v>235113624</v>
      </c>
      <c r="G5028" t="str">
        <f>T("9742 MARYLAND AVENUE")</f>
        <v>9742 MARYLAND AVENUE</v>
      </c>
      <c r="H5028" t="str">
        <f>T("")</f>
        <v/>
      </c>
      <c r="I5028" t="str">
        <f t="shared" si="1956"/>
        <v>NORFOLK</v>
      </c>
      <c r="J5028" t="str">
        <f t="shared" si="1953"/>
        <v>VA</v>
      </c>
      <c r="K5028" t="str">
        <f>T("000000000000000000")</f>
        <v>000000000000000000</v>
      </c>
      <c r="L5028" t="str">
        <f>T("7573410300")</f>
        <v>7573410300</v>
      </c>
    </row>
    <row r="5029" spans="1:12" x14ac:dyDescent="0.35">
      <c r="A5029" t="str">
        <f t="shared" si="1950"/>
        <v>NAVFAC MID-ATLANTIC HL5</v>
      </c>
      <c r="B5029" t="str">
        <f>T("9324 VIRGINIA AVENUE")</f>
        <v>9324 VIRGINIA AVENUE</v>
      </c>
      <c r="C5029" t="str">
        <f>T("BLDG LP20")</f>
        <v>BLDG LP20</v>
      </c>
      <c r="D5029" t="str">
        <f t="shared" si="1951"/>
        <v>NORFOLK</v>
      </c>
      <c r="E5029" t="str">
        <f t="shared" si="1952"/>
        <v>VA</v>
      </c>
      <c r="F5029" t="str">
        <f t="shared" si="1955"/>
        <v>235113624</v>
      </c>
      <c r="G5029" t="str">
        <f>T("9324 VIRGINIA AVE")</f>
        <v>9324 VIRGINIA AVE</v>
      </c>
      <c r="H5029" t="str">
        <f>T("BLDG LP-20")</f>
        <v>BLDG LP-20</v>
      </c>
      <c r="I5029" t="str">
        <f t="shared" si="1956"/>
        <v>NORFOLK</v>
      </c>
      <c r="J5029" t="str">
        <f t="shared" si="1953"/>
        <v>VA</v>
      </c>
      <c r="K5029" t="str">
        <f>T("000000000000000000")</f>
        <v>000000000000000000</v>
      </c>
      <c r="L5029" t="str">
        <f>T("7573411118")</f>
        <v>7573411118</v>
      </c>
    </row>
    <row r="5030" spans="1:12" x14ac:dyDescent="0.35">
      <c r="A5030" t="str">
        <f t="shared" si="1950"/>
        <v>NAVFAC MID-ATLANTIC HL5</v>
      </c>
      <c r="B5030" t="str">
        <f>T("9324 VIRGINIA AVENUE")</f>
        <v>9324 VIRGINIA AVENUE</v>
      </c>
      <c r="C5030" t="str">
        <f>T("BLDG LP20")</f>
        <v>BLDG LP20</v>
      </c>
      <c r="D5030" t="str">
        <f t="shared" si="1951"/>
        <v>NORFOLK</v>
      </c>
      <c r="E5030" t="str">
        <f t="shared" si="1952"/>
        <v>VA</v>
      </c>
      <c r="F5030" t="str">
        <f t="shared" si="1955"/>
        <v>235113624</v>
      </c>
      <c r="G5030" t="str">
        <f>T("9324 VIRGINIA AVENUE")</f>
        <v>9324 VIRGINIA AVENUE</v>
      </c>
      <c r="H5030" t="str">
        <f>T("BLDG LP20")</f>
        <v>BLDG LP20</v>
      </c>
      <c r="I5030" t="str">
        <f t="shared" si="1956"/>
        <v>NORFOLK</v>
      </c>
      <c r="J5030" t="str">
        <f t="shared" si="1953"/>
        <v>VA</v>
      </c>
      <c r="K5030" t="str">
        <f>T("000000000000000000")</f>
        <v>000000000000000000</v>
      </c>
      <c r="L5030" t="str">
        <f>T("7573411117")</f>
        <v>7573411117</v>
      </c>
    </row>
    <row r="5031" spans="1:12" x14ac:dyDescent="0.35">
      <c r="A5031" t="str">
        <f t="shared" si="1950"/>
        <v>NAVFAC MID-ATLANTIC HL5</v>
      </c>
      <c r="B5031" t="str">
        <f>T("953 HORNET DR")</f>
        <v>953 HORNET DR</v>
      </c>
      <c r="C5031" t="str">
        <f>T("BLDG 820")</f>
        <v>BLDG 820</v>
      </c>
      <c r="D5031" t="str">
        <f>T("VIRGINIA BCH")</f>
        <v>VIRGINIA BCH</v>
      </c>
      <c r="E5031" t="str">
        <f t="shared" si="1952"/>
        <v>VA</v>
      </c>
      <c r="F5031" t="str">
        <f>T("234602184")</f>
        <v>234602184</v>
      </c>
      <c r="G5031" t="str">
        <f>T("953 HORNET DR")</f>
        <v>953 HORNET DR</v>
      </c>
      <c r="H5031" t="str">
        <f>T("BLDG 820")</f>
        <v>BLDG 820</v>
      </c>
      <c r="I5031" t="str">
        <f>T("VIRGINIA BCH")</f>
        <v>VIRGINIA BCH</v>
      </c>
      <c r="J5031" t="str">
        <f t="shared" si="1953"/>
        <v>VA</v>
      </c>
      <c r="K5031" t="str">
        <f>T("")</f>
        <v/>
      </c>
      <c r="L5031" t="str">
        <f>T("7574332226")</f>
        <v>7574332226</v>
      </c>
    </row>
    <row r="5032" spans="1:12" x14ac:dyDescent="0.35">
      <c r="A5032" t="str">
        <f t="shared" si="1950"/>
        <v>NAVFAC MID-ATLANTIC HL5</v>
      </c>
      <c r="B5032" t="str">
        <f>T("953 HORNET DR")</f>
        <v>953 HORNET DR</v>
      </c>
      <c r="C5032" t="str">
        <f>T("BLDG 820")</f>
        <v>BLDG 820</v>
      </c>
      <c r="D5032" t="str">
        <f>T("VIRGINIA BCH")</f>
        <v>VIRGINIA BCH</v>
      </c>
      <c r="E5032" t="str">
        <f t="shared" si="1952"/>
        <v>VA</v>
      </c>
      <c r="F5032" t="str">
        <f>T("234602184")</f>
        <v>234602184</v>
      </c>
      <c r="G5032" t="str">
        <f>T("953 HORNET DRIVE")</f>
        <v>953 HORNET DRIVE</v>
      </c>
      <c r="H5032" t="str">
        <f>T("BLDG 820 STE 204")</f>
        <v>BLDG 820 STE 204</v>
      </c>
      <c r="I5032" t="str">
        <f>T("VIRGINIA BEACH")</f>
        <v>VIRGINIA BEACH</v>
      </c>
      <c r="J5032" t="str">
        <f t="shared" si="1953"/>
        <v>VA</v>
      </c>
      <c r="K5032" t="str">
        <f>T("000000000000000000")</f>
        <v>000000000000000000</v>
      </c>
      <c r="L5032" t="str">
        <f>T("7574332856")</f>
        <v>7574332856</v>
      </c>
    </row>
    <row r="5033" spans="1:12" x14ac:dyDescent="0.35">
      <c r="A5033" t="str">
        <f t="shared" ref="A5033:A5064" si="1958">T("NAVFAC MID-ATLANTIC HL5")</f>
        <v>NAVFAC MID-ATLANTIC HL5</v>
      </c>
      <c r="B5033" t="str">
        <f>T("953 HORNET DR")</f>
        <v>953 HORNET DR</v>
      </c>
      <c r="C5033" t="str">
        <f>T("BLDG 820")</f>
        <v>BLDG 820</v>
      </c>
      <c r="D5033" t="str">
        <f>T("VIRGINIA BCH")</f>
        <v>VIRGINIA BCH</v>
      </c>
      <c r="E5033" t="str">
        <f t="shared" si="1952"/>
        <v>VA</v>
      </c>
      <c r="F5033" t="str">
        <f>T("234602184")</f>
        <v>234602184</v>
      </c>
      <c r="G5033" t="str">
        <f>T("953 HORNET DRIVE")</f>
        <v>953 HORNET DRIVE</v>
      </c>
      <c r="H5033" t="str">
        <f>T("BLDG 820 SUITE 213")</f>
        <v>BLDG 820 SUITE 213</v>
      </c>
      <c r="I5033" t="str">
        <f>T("VIRGINIA BEACH")</f>
        <v>VIRGINIA BEACH</v>
      </c>
      <c r="J5033" t="str">
        <f t="shared" si="1953"/>
        <v>VA</v>
      </c>
      <c r="K5033" t="str">
        <f>T("000000000000000000")</f>
        <v>000000000000000000</v>
      </c>
      <c r="L5033" t="str">
        <f>T("7574332621")</f>
        <v>7574332621</v>
      </c>
    </row>
    <row r="5034" spans="1:12" x14ac:dyDescent="0.35">
      <c r="A5034" t="str">
        <f t="shared" si="1958"/>
        <v>NAVFAC MID-ATLANTIC HL5</v>
      </c>
      <c r="B5034" t="str">
        <f t="shared" ref="B5034:B5074" si="1959">T("9742 MARYLAND AVE")</f>
        <v>9742 MARYLAND AVE</v>
      </c>
      <c r="C5034" t="str">
        <f>T("BLDG A-81")</f>
        <v>BLDG A-81</v>
      </c>
      <c r="D5034" t="str">
        <f t="shared" ref="D5034:D5080" si="1960">T("NORFOLK")</f>
        <v>NORFOLK</v>
      </c>
      <c r="E5034" t="str">
        <f t="shared" si="1952"/>
        <v>VA</v>
      </c>
      <c r="F5034" t="str">
        <f t="shared" ref="F5034:F5080" si="1961">T("235113015")</f>
        <v>235113015</v>
      </c>
      <c r="G5034" t="str">
        <f>T("1721 PIERSEY ST")</f>
        <v>1721 PIERSEY ST</v>
      </c>
      <c r="H5034" t="str">
        <f>T("BLDG E26")</f>
        <v>BLDG E26</v>
      </c>
      <c r="I5034" t="str">
        <f>T("NORFOLK")</f>
        <v>NORFOLK</v>
      </c>
      <c r="J5034" t="str">
        <f t="shared" si="1953"/>
        <v>VA</v>
      </c>
      <c r="K5034" t="str">
        <f>T("000000000000000000")</f>
        <v>000000000000000000</v>
      </c>
      <c r="L5034" t="str">
        <f>T("7573410501")</f>
        <v>7573410501</v>
      </c>
    </row>
    <row r="5035" spans="1:12" x14ac:dyDescent="0.35">
      <c r="A5035" t="str">
        <f t="shared" si="1958"/>
        <v>NAVFAC MID-ATLANTIC HL5</v>
      </c>
      <c r="B5035" t="str">
        <f t="shared" si="1959"/>
        <v>9742 MARYLAND AVE</v>
      </c>
      <c r="C5035" t="str">
        <f>T("BLDG A-81")</f>
        <v>BLDG A-81</v>
      </c>
      <c r="D5035" t="str">
        <f t="shared" si="1960"/>
        <v>NORFOLK</v>
      </c>
      <c r="E5035" t="str">
        <f t="shared" si="1952"/>
        <v>VA</v>
      </c>
      <c r="F5035" t="str">
        <f t="shared" si="1961"/>
        <v>235113015</v>
      </c>
      <c r="G5035" t="str">
        <f>T("9742 MARYLAND AVE")</f>
        <v>9742 MARYLAND AVE</v>
      </c>
      <c r="H5035" t="str">
        <f>T("BLDG A-81")</f>
        <v>BLDG A-81</v>
      </c>
      <c r="I5035" t="str">
        <f>T("NORFOLK")</f>
        <v>NORFOLK</v>
      </c>
      <c r="J5035" t="str">
        <f t="shared" si="1953"/>
        <v>VA</v>
      </c>
      <c r="K5035" t="str">
        <f>T("7574455053")</f>
        <v>7574455053</v>
      </c>
      <c r="L5035" t="str">
        <f>T("7574444272")</f>
        <v>7574444272</v>
      </c>
    </row>
    <row r="5036" spans="1:12" x14ac:dyDescent="0.35">
      <c r="A5036" t="str">
        <f t="shared" si="1958"/>
        <v>NAVFAC MID-ATLANTIC HL5</v>
      </c>
      <c r="B5036" t="str">
        <f t="shared" si="1959"/>
        <v>9742 MARYLAND AVE</v>
      </c>
      <c r="C5036" t="str">
        <f>T("BLDG A-81")</f>
        <v>BLDG A-81</v>
      </c>
      <c r="D5036" t="str">
        <f t="shared" si="1960"/>
        <v>NORFOLK</v>
      </c>
      <c r="E5036" t="str">
        <f t="shared" si="1952"/>
        <v>VA</v>
      </c>
      <c r="F5036" t="str">
        <f t="shared" si="1961"/>
        <v>235113015</v>
      </c>
      <c r="G5036" t="str">
        <f>T("9742 MARYLAND AVE")</f>
        <v>9742 MARYLAND AVE</v>
      </c>
      <c r="H5036" t="str">
        <f>T("BLDG Z-140 FL 1")</f>
        <v>BLDG Z-140 FL 1</v>
      </c>
      <c r="I5036" t="str">
        <f>T("NORFOLK")</f>
        <v>NORFOLK</v>
      </c>
      <c r="J5036" t="str">
        <f t="shared" si="1953"/>
        <v>VA</v>
      </c>
      <c r="K5036" t="str">
        <f>T("000000000000000000")</f>
        <v>000000000000000000</v>
      </c>
      <c r="L5036" t="str">
        <f>T("7574453136")</f>
        <v>7574453136</v>
      </c>
    </row>
    <row r="5037" spans="1:12" x14ac:dyDescent="0.35">
      <c r="A5037" t="str">
        <f t="shared" si="1958"/>
        <v>NAVFAC MID-ATLANTIC HL5</v>
      </c>
      <c r="B5037" t="str">
        <f t="shared" si="1959"/>
        <v>9742 MARYLAND AVE</v>
      </c>
      <c r="C5037" t="str">
        <f>T("BLDG A-81")</f>
        <v>BLDG A-81</v>
      </c>
      <c r="D5037" t="str">
        <f t="shared" si="1960"/>
        <v>NORFOLK</v>
      </c>
      <c r="E5037" t="str">
        <f t="shared" si="1952"/>
        <v>VA</v>
      </c>
      <c r="F5037" t="str">
        <f t="shared" si="1961"/>
        <v>235113015</v>
      </c>
      <c r="G5037" t="str">
        <f>T("NAVFAC MIDLANT")</f>
        <v>NAVFAC MIDLANT</v>
      </c>
      <c r="H5037" t="str">
        <f>T("9342 VIRGINIA AVE")</f>
        <v>9342 VIRGINIA AVE</v>
      </c>
      <c r="I5037" t="str">
        <f>T("NORFOLK")</f>
        <v>NORFOLK</v>
      </c>
      <c r="J5037" t="str">
        <f t="shared" si="1953"/>
        <v>VA</v>
      </c>
      <c r="K5037" t="str">
        <f>T("000000000000000000")</f>
        <v>000000000000000000</v>
      </c>
      <c r="L5037" t="str">
        <f>T("7573410501")</f>
        <v>7573410501</v>
      </c>
    </row>
    <row r="5038" spans="1:12" x14ac:dyDescent="0.35">
      <c r="A5038" t="str">
        <f t="shared" si="1958"/>
        <v>NAVFAC MID-ATLANTIC HL5</v>
      </c>
      <c r="B5038" t="str">
        <f t="shared" si="1959"/>
        <v>9742 MARYLAND AVE</v>
      </c>
      <c r="C5038" t="str">
        <f t="shared" ref="C5038:C5044" si="1962">T("BLDG NM-92")</f>
        <v>BLDG NM-92</v>
      </c>
      <c r="D5038" t="str">
        <f t="shared" si="1960"/>
        <v>NORFOLK</v>
      </c>
      <c r="E5038" t="str">
        <f t="shared" si="1952"/>
        <v>VA</v>
      </c>
      <c r="F5038" t="str">
        <f t="shared" si="1961"/>
        <v>235113015</v>
      </c>
      <c r="G5038" t="str">
        <f>T("845 STERLING COOK ST")</f>
        <v>845 STERLING COOK ST</v>
      </c>
      <c r="H5038" t="str">
        <f>T("BLDG 273")</f>
        <v>BLDG 273</v>
      </c>
      <c r="I5038" t="str">
        <f>T("PORTSMITH")</f>
        <v>PORTSMITH</v>
      </c>
      <c r="J5038" t="str">
        <f t="shared" si="1953"/>
        <v>VA</v>
      </c>
      <c r="K5038" t="str">
        <f>T("000000000000000000")</f>
        <v>000000000000000000</v>
      </c>
      <c r="L5038" t="str">
        <f>T("7579537740")</f>
        <v>7579537740</v>
      </c>
    </row>
    <row r="5039" spans="1:12" x14ac:dyDescent="0.35">
      <c r="A5039" t="str">
        <f t="shared" si="1958"/>
        <v>NAVFAC MID-ATLANTIC HL5</v>
      </c>
      <c r="B5039" t="str">
        <f t="shared" si="1959"/>
        <v>9742 MARYLAND AVE</v>
      </c>
      <c r="C5039" t="str">
        <f t="shared" si="1962"/>
        <v>BLDG NM-92</v>
      </c>
      <c r="D5039" t="str">
        <f t="shared" si="1960"/>
        <v>NORFOLK</v>
      </c>
      <c r="E5039" t="str">
        <f t="shared" si="1952"/>
        <v>VA</v>
      </c>
      <c r="F5039" t="str">
        <f t="shared" si="1961"/>
        <v>235113015</v>
      </c>
      <c r="G5039" t="str">
        <f>T("845 STERLING COOK ST")</f>
        <v>845 STERLING COOK ST</v>
      </c>
      <c r="H5039" t="str">
        <f>T("BLDG 273 -NAVEL HOSPITAL")</f>
        <v>BLDG 273 -NAVEL HOSPITAL</v>
      </c>
      <c r="I5039" t="str">
        <f>T("PORTSMOUTH")</f>
        <v>PORTSMOUTH</v>
      </c>
      <c r="J5039" t="str">
        <f t="shared" si="1953"/>
        <v>VA</v>
      </c>
      <c r="K5039" t="str">
        <f>T("000000000000000000")</f>
        <v>000000000000000000</v>
      </c>
      <c r="L5039" t="str">
        <f>T("7579537045")</f>
        <v>7579537045</v>
      </c>
    </row>
    <row r="5040" spans="1:12" x14ac:dyDescent="0.35">
      <c r="A5040" t="str">
        <f t="shared" si="1958"/>
        <v>NAVFAC MID-ATLANTIC HL5</v>
      </c>
      <c r="B5040" t="str">
        <f t="shared" si="1959"/>
        <v>9742 MARYLAND AVE</v>
      </c>
      <c r="C5040" t="str">
        <f t="shared" si="1962"/>
        <v>BLDG NM-92</v>
      </c>
      <c r="D5040" t="str">
        <f t="shared" si="1960"/>
        <v>NORFOLK</v>
      </c>
      <c r="E5040" t="str">
        <f t="shared" ref="E5040:E5071" si="1963">T("VA")</f>
        <v>VA</v>
      </c>
      <c r="F5040" t="str">
        <f t="shared" si="1961"/>
        <v>235113015</v>
      </c>
      <c r="G5040" t="str">
        <f>T("9324 VIRGINIA AVENUE")</f>
        <v>9324 VIRGINIA AVENUE</v>
      </c>
      <c r="H5040" t="str">
        <f>T("")</f>
        <v/>
      </c>
      <c r="I5040" t="str">
        <f>T("NORFOLK")</f>
        <v>NORFOLK</v>
      </c>
      <c r="J5040" t="str">
        <f t="shared" ref="J5040:J5071" si="1964">T("VA")</f>
        <v>VA</v>
      </c>
      <c r="K5040" t="str">
        <f>T("000000000000000000")</f>
        <v>000000000000000000</v>
      </c>
      <c r="L5040" t="str">
        <f>T("7573412182")</f>
        <v>7573412182</v>
      </c>
    </row>
    <row r="5041" spans="1:12" x14ac:dyDescent="0.35">
      <c r="A5041" t="str">
        <f t="shared" si="1958"/>
        <v>NAVFAC MID-ATLANTIC HL5</v>
      </c>
      <c r="B5041" t="str">
        <f t="shared" si="1959"/>
        <v>9742 MARYLAND AVE</v>
      </c>
      <c r="C5041" t="str">
        <f t="shared" si="1962"/>
        <v>BLDG NM-92</v>
      </c>
      <c r="D5041" t="str">
        <f t="shared" si="1960"/>
        <v>NORFOLK</v>
      </c>
      <c r="E5041" t="str">
        <f t="shared" si="1963"/>
        <v>VA</v>
      </c>
      <c r="F5041" t="str">
        <f t="shared" si="1961"/>
        <v>235113015</v>
      </c>
      <c r="G5041" t="str">
        <f>T("9742 MARYLAND AVE")</f>
        <v>9742 MARYLAND AVE</v>
      </c>
      <c r="H5041" t="str">
        <f>T("BLDG NM-92")</f>
        <v>BLDG NM-92</v>
      </c>
      <c r="I5041" t="str">
        <f>T("NORFOLK")</f>
        <v>NORFOLK</v>
      </c>
      <c r="J5041" t="str">
        <f t="shared" si="1964"/>
        <v>VA</v>
      </c>
      <c r="K5041" t="str">
        <f>T("7574454945")</f>
        <v>7574454945</v>
      </c>
      <c r="L5041" t="str">
        <f>T("7573412184")</f>
        <v>7573412184</v>
      </c>
    </row>
    <row r="5042" spans="1:12" x14ac:dyDescent="0.35">
      <c r="A5042" t="str">
        <f t="shared" si="1958"/>
        <v>NAVFAC MID-ATLANTIC HL5</v>
      </c>
      <c r="B5042" t="str">
        <f t="shared" si="1959"/>
        <v>9742 MARYLAND AVE</v>
      </c>
      <c r="C5042" t="str">
        <f t="shared" si="1962"/>
        <v>BLDG NM-92</v>
      </c>
      <c r="D5042" t="str">
        <f t="shared" si="1960"/>
        <v>NORFOLK</v>
      </c>
      <c r="E5042" t="str">
        <f t="shared" si="1963"/>
        <v>VA</v>
      </c>
      <c r="F5042" t="str">
        <f t="shared" si="1961"/>
        <v>235113015</v>
      </c>
      <c r="G5042" t="str">
        <f>T("9742 MARYLAND AVE")</f>
        <v>9742 MARYLAND AVE</v>
      </c>
      <c r="H5042" t="str">
        <f>T("BLDG X275")</f>
        <v>BLDG X275</v>
      </c>
      <c r="I5042" t="str">
        <f>T("NORFOLK")</f>
        <v>NORFOLK</v>
      </c>
      <c r="J5042" t="str">
        <f t="shared" si="1964"/>
        <v>VA</v>
      </c>
      <c r="K5042" t="str">
        <f t="shared" ref="K5042:K5047" si="1965">T("000000000000000000")</f>
        <v>000000000000000000</v>
      </c>
      <c r="L5042" t="str">
        <f>T("7573412153")</f>
        <v>7573412153</v>
      </c>
    </row>
    <row r="5043" spans="1:12" x14ac:dyDescent="0.35">
      <c r="A5043" t="str">
        <f t="shared" si="1958"/>
        <v>NAVFAC MID-ATLANTIC HL5</v>
      </c>
      <c r="B5043" t="str">
        <f t="shared" si="1959"/>
        <v>9742 MARYLAND AVE</v>
      </c>
      <c r="C5043" t="str">
        <f t="shared" si="1962"/>
        <v>BLDG NM-92</v>
      </c>
      <c r="D5043" t="str">
        <f t="shared" si="1960"/>
        <v>NORFOLK</v>
      </c>
      <c r="E5043" t="str">
        <f t="shared" si="1963"/>
        <v>VA</v>
      </c>
      <c r="F5043" t="str">
        <f t="shared" si="1961"/>
        <v>235113015</v>
      </c>
      <c r="G5043" t="str">
        <f>T("9742 MARYLAND AVE")</f>
        <v>9742 MARYLAND AVE</v>
      </c>
      <c r="H5043" t="str">
        <f>T("BLDG X275")</f>
        <v>BLDG X275</v>
      </c>
      <c r="I5043" t="str">
        <f>T("NORFOLK")</f>
        <v>NORFOLK</v>
      </c>
      <c r="J5043" t="str">
        <f t="shared" si="1964"/>
        <v>VA</v>
      </c>
      <c r="K5043" t="str">
        <f t="shared" si="1965"/>
        <v>000000000000000000</v>
      </c>
      <c r="L5043" t="str">
        <f>T("7573967038")</f>
        <v>7573967038</v>
      </c>
    </row>
    <row r="5044" spans="1:12" x14ac:dyDescent="0.35">
      <c r="A5044" t="str">
        <f t="shared" si="1958"/>
        <v>NAVFAC MID-ATLANTIC HL5</v>
      </c>
      <c r="B5044" t="str">
        <f t="shared" si="1959"/>
        <v>9742 MARYLAND AVE</v>
      </c>
      <c r="C5044" t="str">
        <f t="shared" si="1962"/>
        <v>BLDG NM-92</v>
      </c>
      <c r="D5044" t="str">
        <f t="shared" si="1960"/>
        <v>NORFOLK</v>
      </c>
      <c r="E5044" t="str">
        <f t="shared" si="1963"/>
        <v>VA</v>
      </c>
      <c r="F5044" t="str">
        <f t="shared" si="1961"/>
        <v>235113015</v>
      </c>
      <c r="G5044" t="str">
        <f>T("NWS YORKTOWN")</f>
        <v>NWS YORKTOWN</v>
      </c>
      <c r="H5044" t="str">
        <f>T("SHOPS ROAD BLDG 2086")</f>
        <v>SHOPS ROAD BLDG 2086</v>
      </c>
      <c r="I5044" t="str">
        <f>T("YORKTOWN")</f>
        <v>YORKTOWN</v>
      </c>
      <c r="J5044" t="str">
        <f t="shared" si="1964"/>
        <v>VA</v>
      </c>
      <c r="K5044" t="str">
        <f t="shared" si="1965"/>
        <v>000000000000000000</v>
      </c>
      <c r="L5044" t="str">
        <f>T("7573412135")</f>
        <v>7573412135</v>
      </c>
    </row>
    <row r="5045" spans="1:12" x14ac:dyDescent="0.35">
      <c r="A5045" t="str">
        <f t="shared" si="1958"/>
        <v>NAVFAC MID-ATLANTIC HL5</v>
      </c>
      <c r="B5045" t="str">
        <f t="shared" si="1959"/>
        <v>9742 MARYLAND AVE</v>
      </c>
      <c r="C5045" t="str">
        <f t="shared" ref="C5045:C5050" si="1966">T("BLDG X-275")</f>
        <v>BLDG X-275</v>
      </c>
      <c r="D5045" t="str">
        <f t="shared" si="1960"/>
        <v>NORFOLK</v>
      </c>
      <c r="E5045" t="str">
        <f t="shared" si="1963"/>
        <v>VA</v>
      </c>
      <c r="F5045" t="str">
        <f t="shared" si="1961"/>
        <v>235113015</v>
      </c>
      <c r="G5045" t="str">
        <f>T("1625 PIERSEY ST")</f>
        <v>1625 PIERSEY ST</v>
      </c>
      <c r="H5045" t="str">
        <f>T("BLDG P72 FL 1")</f>
        <v>BLDG P72 FL 1</v>
      </c>
      <c r="I5045" t="str">
        <f t="shared" ref="I5045:I5080" si="1967">T("NORFOLK")</f>
        <v>NORFOLK</v>
      </c>
      <c r="J5045" t="str">
        <f t="shared" si="1964"/>
        <v>VA</v>
      </c>
      <c r="K5045" t="str">
        <f t="shared" si="1965"/>
        <v>000000000000000000</v>
      </c>
      <c r="L5045" t="str">
        <f>T("7573412157")</f>
        <v>7573412157</v>
      </c>
    </row>
    <row r="5046" spans="1:12" x14ac:dyDescent="0.35">
      <c r="A5046" t="str">
        <f t="shared" si="1958"/>
        <v>NAVFAC MID-ATLANTIC HL5</v>
      </c>
      <c r="B5046" t="str">
        <f t="shared" si="1959"/>
        <v>9742 MARYLAND AVE</v>
      </c>
      <c r="C5046" t="str">
        <f t="shared" si="1966"/>
        <v>BLDG X-275</v>
      </c>
      <c r="D5046" t="str">
        <f t="shared" si="1960"/>
        <v>NORFOLK</v>
      </c>
      <c r="E5046" t="str">
        <f t="shared" si="1963"/>
        <v>VA</v>
      </c>
      <c r="F5046" t="str">
        <f t="shared" si="1961"/>
        <v>235113015</v>
      </c>
      <c r="G5046" t="str">
        <f>T("9742 MARYLAND AVE")</f>
        <v>9742 MARYLAND AVE</v>
      </c>
      <c r="H5046" t="str">
        <f>T("BLDG X-275")</f>
        <v>BLDG X-275</v>
      </c>
      <c r="I5046" t="str">
        <f t="shared" si="1967"/>
        <v>NORFOLK</v>
      </c>
      <c r="J5046" t="str">
        <f t="shared" si="1964"/>
        <v>VA</v>
      </c>
      <c r="K5046" t="str">
        <f t="shared" si="1965"/>
        <v>000000000000000000</v>
      </c>
      <c r="L5046" t="str">
        <f>T("7573412119")</f>
        <v>7573412119</v>
      </c>
    </row>
    <row r="5047" spans="1:12" x14ac:dyDescent="0.35">
      <c r="A5047" t="str">
        <f t="shared" si="1958"/>
        <v>NAVFAC MID-ATLANTIC HL5</v>
      </c>
      <c r="B5047" t="str">
        <f t="shared" si="1959"/>
        <v>9742 MARYLAND AVE</v>
      </c>
      <c r="C5047" t="str">
        <f t="shared" si="1966"/>
        <v>BLDG X-275</v>
      </c>
      <c r="D5047" t="str">
        <f t="shared" si="1960"/>
        <v>NORFOLK</v>
      </c>
      <c r="E5047" t="str">
        <f t="shared" si="1963"/>
        <v>VA</v>
      </c>
      <c r="F5047" t="str">
        <f t="shared" si="1961"/>
        <v>235113015</v>
      </c>
      <c r="G5047" t="str">
        <f>T("9742 MARYLAND AVE")</f>
        <v>9742 MARYLAND AVE</v>
      </c>
      <c r="H5047" t="str">
        <f>T("BLDG X-275")</f>
        <v>BLDG X-275</v>
      </c>
      <c r="I5047" t="str">
        <f t="shared" si="1967"/>
        <v>NORFOLK</v>
      </c>
      <c r="J5047" t="str">
        <f t="shared" si="1964"/>
        <v>VA</v>
      </c>
      <c r="K5047" t="str">
        <f t="shared" si="1965"/>
        <v>000000000000000000</v>
      </c>
      <c r="L5047" t="str">
        <f>T("7573412133")</f>
        <v>7573412133</v>
      </c>
    </row>
    <row r="5048" spans="1:12" x14ac:dyDescent="0.35">
      <c r="A5048" t="str">
        <f t="shared" si="1958"/>
        <v>NAVFAC MID-ATLANTIC HL5</v>
      </c>
      <c r="B5048" t="str">
        <f t="shared" si="1959"/>
        <v>9742 MARYLAND AVE</v>
      </c>
      <c r="C5048" t="str">
        <f t="shared" si="1966"/>
        <v>BLDG X-275</v>
      </c>
      <c r="D5048" t="str">
        <f t="shared" si="1960"/>
        <v>NORFOLK</v>
      </c>
      <c r="E5048" t="str">
        <f t="shared" si="1963"/>
        <v>VA</v>
      </c>
      <c r="F5048" t="str">
        <f t="shared" si="1961"/>
        <v>235113015</v>
      </c>
      <c r="G5048" t="str">
        <f>T("9742 MARYLAND AVE")</f>
        <v>9742 MARYLAND AVE</v>
      </c>
      <c r="H5048" t="str">
        <f>T("BLDG X-275")</f>
        <v>BLDG X-275</v>
      </c>
      <c r="I5048" t="str">
        <f t="shared" si="1967"/>
        <v>NORFOLK</v>
      </c>
      <c r="J5048" t="str">
        <f t="shared" si="1964"/>
        <v>VA</v>
      </c>
      <c r="K5048" t="str">
        <f>T("7573410079")</f>
        <v>7573410079</v>
      </c>
      <c r="L5048" t="str">
        <f>T("7573412166")</f>
        <v>7573412166</v>
      </c>
    </row>
    <row r="5049" spans="1:12" x14ac:dyDescent="0.35">
      <c r="A5049" t="str">
        <f t="shared" si="1958"/>
        <v>NAVFAC MID-ATLANTIC HL5</v>
      </c>
      <c r="B5049" t="str">
        <f t="shared" si="1959"/>
        <v>9742 MARYLAND AVE</v>
      </c>
      <c r="C5049" t="str">
        <f t="shared" si="1966"/>
        <v>BLDG X-275</v>
      </c>
      <c r="D5049" t="str">
        <f t="shared" si="1960"/>
        <v>NORFOLK</v>
      </c>
      <c r="E5049" t="str">
        <f t="shared" si="1963"/>
        <v>VA</v>
      </c>
      <c r="F5049" t="str">
        <f t="shared" si="1961"/>
        <v>235113015</v>
      </c>
      <c r="G5049" t="str">
        <f>T("9742 MARYLAND AVE")</f>
        <v>9742 MARYLAND AVE</v>
      </c>
      <c r="H5049" t="str">
        <f>T("BLDG X275")</f>
        <v>BLDG X275</v>
      </c>
      <c r="I5049" t="str">
        <f t="shared" si="1967"/>
        <v>NORFOLK</v>
      </c>
      <c r="J5049" t="str">
        <f t="shared" si="1964"/>
        <v>VA</v>
      </c>
      <c r="K5049" t="str">
        <f>T("7573410079")</f>
        <v>7573410079</v>
      </c>
      <c r="L5049" t="str">
        <f>T("7573412167")</f>
        <v>7573412167</v>
      </c>
    </row>
    <row r="5050" spans="1:12" x14ac:dyDescent="0.35">
      <c r="A5050" t="str">
        <f t="shared" si="1958"/>
        <v>NAVFAC MID-ATLANTIC HL5</v>
      </c>
      <c r="B5050" t="str">
        <f t="shared" si="1959"/>
        <v>9742 MARYLAND AVE</v>
      </c>
      <c r="C5050" t="str">
        <f t="shared" si="1966"/>
        <v>BLDG X-275</v>
      </c>
      <c r="D5050" t="str">
        <f t="shared" si="1960"/>
        <v>NORFOLK</v>
      </c>
      <c r="E5050" t="str">
        <f t="shared" si="1963"/>
        <v>VA</v>
      </c>
      <c r="F5050" t="str">
        <f t="shared" si="1961"/>
        <v>235113015</v>
      </c>
      <c r="G5050" t="str">
        <f>T("9742 MARYLAND AVE")</f>
        <v>9742 MARYLAND AVE</v>
      </c>
      <c r="H5050" t="str">
        <f>T("BLDG X275 FL 1")</f>
        <v>BLDG X275 FL 1</v>
      </c>
      <c r="I5050" t="str">
        <f t="shared" si="1967"/>
        <v>NORFOLK</v>
      </c>
      <c r="J5050" t="str">
        <f t="shared" si="1964"/>
        <v>VA</v>
      </c>
      <c r="K5050" t="str">
        <f>T("7574454945")</f>
        <v>7574454945</v>
      </c>
      <c r="L5050" t="str">
        <f>T("7573412150")</f>
        <v>7573412150</v>
      </c>
    </row>
    <row r="5051" spans="1:12" x14ac:dyDescent="0.35">
      <c r="A5051" t="str">
        <f t="shared" si="1958"/>
        <v>NAVFAC MID-ATLANTIC HL5</v>
      </c>
      <c r="B5051" t="str">
        <f t="shared" si="1959"/>
        <v>9742 MARYLAND AVE</v>
      </c>
      <c r="C5051" t="str">
        <f t="shared" ref="C5051:C5068" si="1968">T("BLDG X275")</f>
        <v>BLDG X275</v>
      </c>
      <c r="D5051" t="str">
        <f t="shared" si="1960"/>
        <v>NORFOLK</v>
      </c>
      <c r="E5051" t="str">
        <f t="shared" si="1963"/>
        <v>VA</v>
      </c>
      <c r="F5051" t="str">
        <f t="shared" si="1961"/>
        <v>235113015</v>
      </c>
      <c r="G5051" t="str">
        <f>T("1450 GATOR BLVD")</f>
        <v>1450 GATOR BLVD</v>
      </c>
      <c r="H5051" t="str">
        <f>T("BLDG 3165 NAB LITTLE CREEK")</f>
        <v>BLDG 3165 NAB LITTLE CREEK</v>
      </c>
      <c r="I5051" t="str">
        <f t="shared" si="1967"/>
        <v>NORFOLK</v>
      </c>
      <c r="J5051" t="str">
        <f t="shared" si="1964"/>
        <v>VA</v>
      </c>
      <c r="K5051" t="str">
        <f>T("000000000000000000")</f>
        <v>000000000000000000</v>
      </c>
      <c r="L5051" t="str">
        <f>T("7574625438")</f>
        <v>7574625438</v>
      </c>
    </row>
    <row r="5052" spans="1:12" x14ac:dyDescent="0.35">
      <c r="A5052" t="str">
        <f t="shared" si="1958"/>
        <v>NAVFAC MID-ATLANTIC HL5</v>
      </c>
      <c r="B5052" t="str">
        <f t="shared" si="1959"/>
        <v>9742 MARYLAND AVE</v>
      </c>
      <c r="C5052" t="str">
        <f t="shared" si="1968"/>
        <v>BLDG X275</v>
      </c>
      <c r="D5052" t="str">
        <f t="shared" si="1960"/>
        <v>NORFOLK</v>
      </c>
      <c r="E5052" t="str">
        <f t="shared" si="1963"/>
        <v>VA</v>
      </c>
      <c r="F5052" t="str">
        <f t="shared" si="1961"/>
        <v>235113015</v>
      </c>
      <c r="G5052" t="str">
        <f t="shared" ref="G5052:G5066" si="1969">T("9742 MARYLAND AVE")</f>
        <v>9742 MARYLAND AVE</v>
      </c>
      <c r="H5052" t="str">
        <f>T("BLDG X-275")</f>
        <v>BLDG X-275</v>
      </c>
      <c r="I5052" t="str">
        <f t="shared" si="1967"/>
        <v>NORFOLK</v>
      </c>
      <c r="J5052" t="str">
        <f t="shared" si="1964"/>
        <v>VA</v>
      </c>
      <c r="K5052" t="str">
        <f>T("000000000000000000")</f>
        <v>000000000000000000</v>
      </c>
      <c r="L5052" t="str">
        <f>T("7573412121")</f>
        <v>7573412121</v>
      </c>
    </row>
    <row r="5053" spans="1:12" x14ac:dyDescent="0.35">
      <c r="A5053" t="str">
        <f t="shared" si="1958"/>
        <v>NAVFAC MID-ATLANTIC HL5</v>
      </c>
      <c r="B5053" t="str">
        <f t="shared" si="1959"/>
        <v>9742 MARYLAND AVE</v>
      </c>
      <c r="C5053" t="str">
        <f t="shared" si="1968"/>
        <v>BLDG X275</v>
      </c>
      <c r="D5053" t="str">
        <f t="shared" si="1960"/>
        <v>NORFOLK</v>
      </c>
      <c r="E5053" t="str">
        <f t="shared" si="1963"/>
        <v>VA</v>
      </c>
      <c r="F5053" t="str">
        <f t="shared" si="1961"/>
        <v>235113015</v>
      </c>
      <c r="G5053" t="str">
        <f t="shared" si="1969"/>
        <v>9742 MARYLAND AVE</v>
      </c>
      <c r="H5053" t="str">
        <f>T("BLDG X-275")</f>
        <v>BLDG X-275</v>
      </c>
      <c r="I5053" t="str">
        <f t="shared" si="1967"/>
        <v>NORFOLK</v>
      </c>
      <c r="J5053" t="str">
        <f t="shared" si="1964"/>
        <v>VA</v>
      </c>
      <c r="K5053" t="str">
        <f>T("000000000000000000")</f>
        <v>000000000000000000</v>
      </c>
      <c r="L5053" t="str">
        <f>T("7573412126")</f>
        <v>7573412126</v>
      </c>
    </row>
    <row r="5054" spans="1:12" x14ac:dyDescent="0.35">
      <c r="A5054" t="str">
        <f t="shared" si="1958"/>
        <v>NAVFAC MID-ATLANTIC HL5</v>
      </c>
      <c r="B5054" t="str">
        <f t="shared" si="1959"/>
        <v>9742 MARYLAND AVE</v>
      </c>
      <c r="C5054" t="str">
        <f t="shared" si="1968"/>
        <v>BLDG X275</v>
      </c>
      <c r="D5054" t="str">
        <f t="shared" si="1960"/>
        <v>NORFOLK</v>
      </c>
      <c r="E5054" t="str">
        <f t="shared" si="1963"/>
        <v>VA</v>
      </c>
      <c r="F5054" t="str">
        <f t="shared" si="1961"/>
        <v>235113015</v>
      </c>
      <c r="G5054" t="str">
        <f t="shared" si="1969"/>
        <v>9742 MARYLAND AVE</v>
      </c>
      <c r="H5054" t="str">
        <f>T("BLDG X-275")</f>
        <v>BLDG X-275</v>
      </c>
      <c r="I5054" t="str">
        <f t="shared" si="1967"/>
        <v>NORFOLK</v>
      </c>
      <c r="J5054" t="str">
        <f t="shared" si="1964"/>
        <v>VA</v>
      </c>
      <c r="K5054" t="str">
        <f>T("000000000000000000")</f>
        <v>000000000000000000</v>
      </c>
      <c r="L5054" t="str">
        <f>T("7573412164")</f>
        <v>7573412164</v>
      </c>
    </row>
    <row r="5055" spans="1:12" x14ac:dyDescent="0.35">
      <c r="A5055" t="str">
        <f t="shared" si="1958"/>
        <v>NAVFAC MID-ATLANTIC HL5</v>
      </c>
      <c r="B5055" t="str">
        <f t="shared" si="1959"/>
        <v>9742 MARYLAND AVE</v>
      </c>
      <c r="C5055" t="str">
        <f t="shared" si="1968"/>
        <v>BLDG X275</v>
      </c>
      <c r="D5055" t="str">
        <f t="shared" si="1960"/>
        <v>NORFOLK</v>
      </c>
      <c r="E5055" t="str">
        <f t="shared" si="1963"/>
        <v>VA</v>
      </c>
      <c r="F5055" t="str">
        <f t="shared" si="1961"/>
        <v>235113015</v>
      </c>
      <c r="G5055" t="str">
        <f t="shared" si="1969"/>
        <v>9742 MARYLAND AVE</v>
      </c>
      <c r="H5055" t="str">
        <f>T("BLDG X-275 FL 1 ATTN F GARGANTOS")</f>
        <v>BLDG X-275 FL 1 ATTN F GARGANTOS</v>
      </c>
      <c r="I5055" t="str">
        <f t="shared" si="1967"/>
        <v>NORFOLK</v>
      </c>
      <c r="J5055" t="str">
        <f t="shared" si="1964"/>
        <v>VA</v>
      </c>
      <c r="K5055" t="str">
        <f>T("7573412141")</f>
        <v>7573412141</v>
      </c>
      <c r="L5055" t="str">
        <f>T("7573412156")</f>
        <v>7573412156</v>
      </c>
    </row>
    <row r="5056" spans="1:12" x14ac:dyDescent="0.35">
      <c r="A5056" t="str">
        <f t="shared" si="1958"/>
        <v>NAVFAC MID-ATLANTIC HL5</v>
      </c>
      <c r="B5056" t="str">
        <f t="shared" si="1959"/>
        <v>9742 MARYLAND AVE</v>
      </c>
      <c r="C5056" t="str">
        <f t="shared" si="1968"/>
        <v>BLDG X275</v>
      </c>
      <c r="D5056" t="str">
        <f t="shared" si="1960"/>
        <v>NORFOLK</v>
      </c>
      <c r="E5056" t="str">
        <f t="shared" si="1963"/>
        <v>VA</v>
      </c>
      <c r="F5056" t="str">
        <f t="shared" si="1961"/>
        <v>235113015</v>
      </c>
      <c r="G5056" t="str">
        <f t="shared" si="1969"/>
        <v>9742 MARYLAND AVE</v>
      </c>
      <c r="H5056" t="str">
        <f t="shared" ref="H5056:H5065" si="1970">T("BLDG X275")</f>
        <v>BLDG X275</v>
      </c>
      <c r="I5056" t="str">
        <f t="shared" si="1967"/>
        <v>NORFOLK</v>
      </c>
      <c r="J5056" t="str">
        <f t="shared" si="1964"/>
        <v>VA</v>
      </c>
      <c r="K5056" t="str">
        <f>T("")</f>
        <v/>
      </c>
      <c r="L5056" t="str">
        <f>T("7573411072")</f>
        <v>7573411072</v>
      </c>
    </row>
    <row r="5057" spans="1:12" x14ac:dyDescent="0.35">
      <c r="A5057" t="str">
        <f t="shared" si="1958"/>
        <v>NAVFAC MID-ATLANTIC HL5</v>
      </c>
      <c r="B5057" t="str">
        <f t="shared" si="1959"/>
        <v>9742 MARYLAND AVE</v>
      </c>
      <c r="C5057" t="str">
        <f t="shared" si="1968"/>
        <v>BLDG X275</v>
      </c>
      <c r="D5057" t="str">
        <f t="shared" si="1960"/>
        <v>NORFOLK</v>
      </c>
      <c r="E5057" t="str">
        <f t="shared" si="1963"/>
        <v>VA</v>
      </c>
      <c r="F5057" t="str">
        <f t="shared" si="1961"/>
        <v>235113015</v>
      </c>
      <c r="G5057" t="str">
        <f t="shared" si="1969"/>
        <v>9742 MARYLAND AVE</v>
      </c>
      <c r="H5057" t="str">
        <f t="shared" si="1970"/>
        <v>BLDG X275</v>
      </c>
      <c r="I5057" t="str">
        <f t="shared" si="1967"/>
        <v>NORFOLK</v>
      </c>
      <c r="J5057" t="str">
        <f t="shared" si="1964"/>
        <v>VA</v>
      </c>
      <c r="K5057" t="str">
        <f>T("000000000000000000")</f>
        <v>000000000000000000</v>
      </c>
      <c r="L5057" t="str">
        <f>T("1111111111")</f>
        <v>1111111111</v>
      </c>
    </row>
    <row r="5058" spans="1:12" x14ac:dyDescent="0.35">
      <c r="A5058" t="str">
        <f t="shared" si="1958"/>
        <v>NAVFAC MID-ATLANTIC HL5</v>
      </c>
      <c r="B5058" t="str">
        <f t="shared" si="1959"/>
        <v>9742 MARYLAND AVE</v>
      </c>
      <c r="C5058" t="str">
        <f t="shared" si="1968"/>
        <v>BLDG X275</v>
      </c>
      <c r="D5058" t="str">
        <f t="shared" si="1960"/>
        <v>NORFOLK</v>
      </c>
      <c r="E5058" t="str">
        <f t="shared" si="1963"/>
        <v>VA</v>
      </c>
      <c r="F5058" t="str">
        <f t="shared" si="1961"/>
        <v>235113015</v>
      </c>
      <c r="G5058" t="str">
        <f t="shared" si="1969"/>
        <v>9742 MARYLAND AVE</v>
      </c>
      <c r="H5058" t="str">
        <f t="shared" si="1970"/>
        <v>BLDG X275</v>
      </c>
      <c r="I5058" t="str">
        <f t="shared" si="1967"/>
        <v>NORFOLK</v>
      </c>
      <c r="J5058" t="str">
        <f t="shared" si="1964"/>
        <v>VA</v>
      </c>
      <c r="K5058" t="str">
        <f>T("000000000000000000")</f>
        <v>000000000000000000</v>
      </c>
      <c r="L5058" t="str">
        <f>T("7573412160")</f>
        <v>7573412160</v>
      </c>
    </row>
    <row r="5059" spans="1:12" x14ac:dyDescent="0.35">
      <c r="A5059" t="str">
        <f t="shared" si="1958"/>
        <v>NAVFAC MID-ATLANTIC HL5</v>
      </c>
      <c r="B5059" t="str">
        <f t="shared" si="1959"/>
        <v>9742 MARYLAND AVE</v>
      </c>
      <c r="C5059" t="str">
        <f t="shared" si="1968"/>
        <v>BLDG X275</v>
      </c>
      <c r="D5059" t="str">
        <f t="shared" si="1960"/>
        <v>NORFOLK</v>
      </c>
      <c r="E5059" t="str">
        <f t="shared" si="1963"/>
        <v>VA</v>
      </c>
      <c r="F5059" t="str">
        <f t="shared" si="1961"/>
        <v>235113015</v>
      </c>
      <c r="G5059" t="str">
        <f t="shared" si="1969"/>
        <v>9742 MARYLAND AVE</v>
      </c>
      <c r="H5059" t="str">
        <f t="shared" si="1970"/>
        <v>BLDG X275</v>
      </c>
      <c r="I5059" t="str">
        <f t="shared" si="1967"/>
        <v>NORFOLK</v>
      </c>
      <c r="J5059" t="str">
        <f t="shared" si="1964"/>
        <v>VA</v>
      </c>
      <c r="K5059" t="str">
        <f>T("000000000000000000")</f>
        <v>000000000000000000</v>
      </c>
      <c r="L5059" t="str">
        <f>T("7573412162")</f>
        <v>7573412162</v>
      </c>
    </row>
    <row r="5060" spans="1:12" x14ac:dyDescent="0.35">
      <c r="A5060" t="str">
        <f t="shared" si="1958"/>
        <v>NAVFAC MID-ATLANTIC HL5</v>
      </c>
      <c r="B5060" t="str">
        <f t="shared" si="1959"/>
        <v>9742 MARYLAND AVE</v>
      </c>
      <c r="C5060" t="str">
        <f t="shared" si="1968"/>
        <v>BLDG X275</v>
      </c>
      <c r="D5060" t="str">
        <f t="shared" si="1960"/>
        <v>NORFOLK</v>
      </c>
      <c r="E5060" t="str">
        <f t="shared" si="1963"/>
        <v>VA</v>
      </c>
      <c r="F5060" t="str">
        <f t="shared" si="1961"/>
        <v>235113015</v>
      </c>
      <c r="G5060" t="str">
        <f t="shared" si="1969"/>
        <v>9742 MARYLAND AVE</v>
      </c>
      <c r="H5060" t="str">
        <f t="shared" si="1970"/>
        <v>BLDG X275</v>
      </c>
      <c r="I5060" t="str">
        <f t="shared" si="1967"/>
        <v>NORFOLK</v>
      </c>
      <c r="J5060" t="str">
        <f t="shared" si="1964"/>
        <v>VA</v>
      </c>
      <c r="K5060" t="str">
        <f>T("000000000000000000")</f>
        <v>000000000000000000</v>
      </c>
      <c r="L5060" t="str">
        <f>T("7573412170")</f>
        <v>7573412170</v>
      </c>
    </row>
    <row r="5061" spans="1:12" x14ac:dyDescent="0.35">
      <c r="A5061" t="str">
        <f t="shared" si="1958"/>
        <v>NAVFAC MID-ATLANTIC HL5</v>
      </c>
      <c r="B5061" t="str">
        <f t="shared" si="1959"/>
        <v>9742 MARYLAND AVE</v>
      </c>
      <c r="C5061" t="str">
        <f t="shared" si="1968"/>
        <v>BLDG X275</v>
      </c>
      <c r="D5061" t="str">
        <f t="shared" si="1960"/>
        <v>NORFOLK</v>
      </c>
      <c r="E5061" t="str">
        <f t="shared" si="1963"/>
        <v>VA</v>
      </c>
      <c r="F5061" t="str">
        <f t="shared" si="1961"/>
        <v>235113015</v>
      </c>
      <c r="G5061" t="str">
        <f t="shared" si="1969"/>
        <v>9742 MARYLAND AVE</v>
      </c>
      <c r="H5061" t="str">
        <f t="shared" si="1970"/>
        <v>BLDG X275</v>
      </c>
      <c r="I5061" t="str">
        <f t="shared" si="1967"/>
        <v>NORFOLK</v>
      </c>
      <c r="J5061" t="str">
        <f t="shared" si="1964"/>
        <v>VA</v>
      </c>
      <c r="K5061" t="str">
        <f>T("000000000000000000")</f>
        <v>000000000000000000</v>
      </c>
      <c r="L5061" t="str">
        <f>T("7573412174")</f>
        <v>7573412174</v>
      </c>
    </row>
    <row r="5062" spans="1:12" x14ac:dyDescent="0.35">
      <c r="A5062" t="str">
        <f t="shared" si="1958"/>
        <v>NAVFAC MID-ATLANTIC HL5</v>
      </c>
      <c r="B5062" t="str">
        <f t="shared" si="1959"/>
        <v>9742 MARYLAND AVE</v>
      </c>
      <c r="C5062" t="str">
        <f t="shared" si="1968"/>
        <v>BLDG X275</v>
      </c>
      <c r="D5062" t="str">
        <f t="shared" si="1960"/>
        <v>NORFOLK</v>
      </c>
      <c r="E5062" t="str">
        <f t="shared" si="1963"/>
        <v>VA</v>
      </c>
      <c r="F5062" t="str">
        <f t="shared" si="1961"/>
        <v>235113015</v>
      </c>
      <c r="G5062" t="str">
        <f t="shared" si="1969"/>
        <v>9742 MARYLAND AVE</v>
      </c>
      <c r="H5062" t="str">
        <f t="shared" si="1970"/>
        <v>BLDG X275</v>
      </c>
      <c r="I5062" t="str">
        <f t="shared" si="1967"/>
        <v>NORFOLK</v>
      </c>
      <c r="J5062" t="str">
        <f t="shared" si="1964"/>
        <v>VA</v>
      </c>
      <c r="K5062" t="str">
        <f>T("7574454218")</f>
        <v>7574454218</v>
      </c>
      <c r="L5062" t="str">
        <f>T("7573412133")</f>
        <v>7573412133</v>
      </c>
    </row>
    <row r="5063" spans="1:12" x14ac:dyDescent="0.35">
      <c r="A5063" t="str">
        <f t="shared" si="1958"/>
        <v>NAVFAC MID-ATLANTIC HL5</v>
      </c>
      <c r="B5063" t="str">
        <f t="shared" si="1959"/>
        <v>9742 MARYLAND AVE</v>
      </c>
      <c r="C5063" t="str">
        <f t="shared" si="1968"/>
        <v>BLDG X275</v>
      </c>
      <c r="D5063" t="str">
        <f t="shared" si="1960"/>
        <v>NORFOLK</v>
      </c>
      <c r="E5063" t="str">
        <f t="shared" si="1963"/>
        <v>VA</v>
      </c>
      <c r="F5063" t="str">
        <f t="shared" si="1961"/>
        <v>235113015</v>
      </c>
      <c r="G5063" t="str">
        <f t="shared" si="1969"/>
        <v>9742 MARYLAND AVE</v>
      </c>
      <c r="H5063" t="str">
        <f t="shared" si="1970"/>
        <v>BLDG X275</v>
      </c>
      <c r="I5063" t="str">
        <f t="shared" si="1967"/>
        <v>NORFOLK</v>
      </c>
      <c r="J5063" t="str">
        <f t="shared" si="1964"/>
        <v>VA</v>
      </c>
      <c r="K5063" t="str">
        <f>T("7574454945")</f>
        <v>7574454945</v>
      </c>
      <c r="L5063" t="str">
        <f>T("7573412153")</f>
        <v>7573412153</v>
      </c>
    </row>
    <row r="5064" spans="1:12" x14ac:dyDescent="0.35">
      <c r="A5064" t="str">
        <f t="shared" si="1958"/>
        <v>NAVFAC MID-ATLANTIC HL5</v>
      </c>
      <c r="B5064" t="str">
        <f t="shared" si="1959"/>
        <v>9742 MARYLAND AVE</v>
      </c>
      <c r="C5064" t="str">
        <f t="shared" si="1968"/>
        <v>BLDG X275</v>
      </c>
      <c r="D5064" t="str">
        <f t="shared" si="1960"/>
        <v>NORFOLK</v>
      </c>
      <c r="E5064" t="str">
        <f t="shared" si="1963"/>
        <v>VA</v>
      </c>
      <c r="F5064" t="str">
        <f t="shared" si="1961"/>
        <v>235113015</v>
      </c>
      <c r="G5064" t="str">
        <f t="shared" si="1969"/>
        <v>9742 MARYLAND AVE</v>
      </c>
      <c r="H5064" t="str">
        <f t="shared" si="1970"/>
        <v>BLDG X275</v>
      </c>
      <c r="I5064" t="str">
        <f t="shared" si="1967"/>
        <v>NORFOLK</v>
      </c>
      <c r="J5064" t="str">
        <f t="shared" si="1964"/>
        <v>VA</v>
      </c>
      <c r="K5064" t="str">
        <f>T("7574454945")</f>
        <v>7574454945</v>
      </c>
      <c r="L5064" t="str">
        <f>T("7573412169")</f>
        <v>7573412169</v>
      </c>
    </row>
    <row r="5065" spans="1:12" x14ac:dyDescent="0.35">
      <c r="A5065" t="str">
        <f t="shared" ref="A5065:A5096" si="1971">T("NAVFAC MID-ATLANTIC HL5")</f>
        <v>NAVFAC MID-ATLANTIC HL5</v>
      </c>
      <c r="B5065" t="str">
        <f t="shared" si="1959"/>
        <v>9742 MARYLAND AVE</v>
      </c>
      <c r="C5065" t="str">
        <f t="shared" si="1968"/>
        <v>BLDG X275</v>
      </c>
      <c r="D5065" t="str">
        <f t="shared" si="1960"/>
        <v>NORFOLK</v>
      </c>
      <c r="E5065" t="str">
        <f t="shared" si="1963"/>
        <v>VA</v>
      </c>
      <c r="F5065" t="str">
        <f t="shared" si="1961"/>
        <v>235113015</v>
      </c>
      <c r="G5065" t="str">
        <f t="shared" si="1969"/>
        <v>9742 MARYLAND AVE</v>
      </c>
      <c r="H5065" t="str">
        <f t="shared" si="1970"/>
        <v>BLDG X275</v>
      </c>
      <c r="I5065" t="str">
        <f t="shared" si="1967"/>
        <v>NORFOLK</v>
      </c>
      <c r="J5065" t="str">
        <f t="shared" si="1964"/>
        <v>VA</v>
      </c>
      <c r="K5065" t="str">
        <f>T("7574455053")</f>
        <v>7574455053</v>
      </c>
      <c r="L5065" t="str">
        <f>T("7573412135")</f>
        <v>7573412135</v>
      </c>
    </row>
    <row r="5066" spans="1:12" x14ac:dyDescent="0.35">
      <c r="A5066" t="str">
        <f t="shared" si="1971"/>
        <v>NAVFAC MID-ATLANTIC HL5</v>
      </c>
      <c r="B5066" t="str">
        <f t="shared" si="1959"/>
        <v>9742 MARYLAND AVE</v>
      </c>
      <c r="C5066" t="str">
        <f t="shared" si="1968"/>
        <v>BLDG X275</v>
      </c>
      <c r="D5066" t="str">
        <f t="shared" si="1960"/>
        <v>NORFOLK</v>
      </c>
      <c r="E5066" t="str">
        <f t="shared" si="1963"/>
        <v>VA</v>
      </c>
      <c r="F5066" t="str">
        <f t="shared" si="1961"/>
        <v>235113015</v>
      </c>
      <c r="G5066" t="str">
        <f t="shared" si="1969"/>
        <v>9742 MARYLAND AVE</v>
      </c>
      <c r="H5066" t="str">
        <f>T("BLDG X275 FL 1")</f>
        <v>BLDG X275 FL 1</v>
      </c>
      <c r="I5066" t="str">
        <f t="shared" si="1967"/>
        <v>NORFOLK</v>
      </c>
      <c r="J5066" t="str">
        <f t="shared" si="1964"/>
        <v>VA</v>
      </c>
      <c r="K5066" t="str">
        <f>T("7574454945")</f>
        <v>7574454945</v>
      </c>
      <c r="L5066" t="str">
        <f>T("7573412158")</f>
        <v>7573412158</v>
      </c>
    </row>
    <row r="5067" spans="1:12" x14ac:dyDescent="0.35">
      <c r="A5067" t="str">
        <f t="shared" si="1971"/>
        <v>NAVFAC MID-ATLANTIC HL5</v>
      </c>
      <c r="B5067" t="str">
        <f t="shared" si="1959"/>
        <v>9742 MARYLAND AVE</v>
      </c>
      <c r="C5067" t="str">
        <f t="shared" si="1968"/>
        <v>BLDG X275</v>
      </c>
      <c r="D5067" t="str">
        <f t="shared" si="1960"/>
        <v>NORFOLK</v>
      </c>
      <c r="E5067" t="str">
        <f t="shared" si="1963"/>
        <v>VA</v>
      </c>
      <c r="F5067" t="str">
        <f t="shared" si="1961"/>
        <v>235113015</v>
      </c>
      <c r="G5067" t="str">
        <f>T("9742 MARYLAND AVENUE")</f>
        <v>9742 MARYLAND AVENUE</v>
      </c>
      <c r="H5067" t="str">
        <f>T("BLDG X275 FL 1")</f>
        <v>BLDG X275 FL 1</v>
      </c>
      <c r="I5067" t="str">
        <f t="shared" si="1967"/>
        <v>NORFOLK</v>
      </c>
      <c r="J5067" t="str">
        <f t="shared" si="1964"/>
        <v>VA</v>
      </c>
      <c r="K5067" t="str">
        <f>T("000000000000000000")</f>
        <v>000000000000000000</v>
      </c>
      <c r="L5067" t="str">
        <f>T("7573412163")</f>
        <v>7573412163</v>
      </c>
    </row>
    <row r="5068" spans="1:12" x14ac:dyDescent="0.35">
      <c r="A5068" t="str">
        <f t="shared" si="1971"/>
        <v>NAVFAC MID-ATLANTIC HL5</v>
      </c>
      <c r="B5068" t="str">
        <f t="shared" si="1959"/>
        <v>9742 MARYLAND AVE</v>
      </c>
      <c r="C5068" t="str">
        <f t="shared" si="1968"/>
        <v>BLDG X275</v>
      </c>
      <c r="D5068" t="str">
        <f t="shared" si="1960"/>
        <v>NORFOLK</v>
      </c>
      <c r="E5068" t="str">
        <f t="shared" si="1963"/>
        <v>VA</v>
      </c>
      <c r="F5068" t="str">
        <f t="shared" si="1961"/>
        <v>235113015</v>
      </c>
      <c r="G5068" t="str">
        <f>T("NAVFAC MIDLANT")</f>
        <v>NAVFAC MIDLANT</v>
      </c>
      <c r="H5068" t="str">
        <f>T("9742 MARYLAND AVE")</f>
        <v>9742 MARYLAND AVE</v>
      </c>
      <c r="I5068" t="str">
        <f t="shared" si="1967"/>
        <v>NORFOLK</v>
      </c>
      <c r="J5068" t="str">
        <f t="shared" si="1964"/>
        <v>VA</v>
      </c>
      <c r="K5068" t="str">
        <f>T("000000000000000000")</f>
        <v>000000000000000000</v>
      </c>
      <c r="L5068" t="str">
        <f>T("7573412121")</f>
        <v>7573412121</v>
      </c>
    </row>
    <row r="5069" spans="1:12" x14ac:dyDescent="0.35">
      <c r="A5069" t="str">
        <f t="shared" si="1971"/>
        <v>NAVFAC MID-ATLANTIC HL5</v>
      </c>
      <c r="B5069" t="str">
        <f t="shared" si="1959"/>
        <v>9742 MARYLAND AVE</v>
      </c>
      <c r="C5069" t="str">
        <f>T("BLDG Z-140")</f>
        <v>BLDG Z-140</v>
      </c>
      <c r="D5069" t="str">
        <f t="shared" si="1960"/>
        <v>NORFOLK</v>
      </c>
      <c r="E5069" t="str">
        <f t="shared" si="1963"/>
        <v>VA</v>
      </c>
      <c r="F5069" t="str">
        <f t="shared" si="1961"/>
        <v>235113015</v>
      </c>
      <c r="G5069" t="str">
        <f>T("9324 VIRGINIA AVE")</f>
        <v>9324 VIRGINIA AVE</v>
      </c>
      <c r="H5069" t="str">
        <f>T("BLDG Z-140")</f>
        <v>BLDG Z-140</v>
      </c>
      <c r="I5069" t="str">
        <f t="shared" si="1967"/>
        <v>NORFOLK</v>
      </c>
      <c r="J5069" t="str">
        <f t="shared" si="1964"/>
        <v>VA</v>
      </c>
      <c r="K5069" t="str">
        <f>T("7573410079")</f>
        <v>7573410079</v>
      </c>
      <c r="L5069" t="str">
        <f>T("7573410098")</f>
        <v>7573410098</v>
      </c>
    </row>
    <row r="5070" spans="1:12" x14ac:dyDescent="0.35">
      <c r="A5070" t="str">
        <f t="shared" si="1971"/>
        <v>NAVFAC MID-ATLANTIC HL5</v>
      </c>
      <c r="B5070" t="str">
        <f t="shared" si="1959"/>
        <v>9742 MARYLAND AVE</v>
      </c>
      <c r="C5070" t="str">
        <f>T("BLDG Z-140")</f>
        <v>BLDG Z-140</v>
      </c>
      <c r="D5070" t="str">
        <f t="shared" si="1960"/>
        <v>NORFOLK</v>
      </c>
      <c r="E5070" t="str">
        <f t="shared" si="1963"/>
        <v>VA</v>
      </c>
      <c r="F5070" t="str">
        <f t="shared" si="1961"/>
        <v>235113015</v>
      </c>
      <c r="G5070" t="str">
        <f>T("9742 MARYLAND AVE")</f>
        <v>9742 MARYLAND AVE</v>
      </c>
      <c r="H5070" t="str">
        <f>T("BLDG Z-140")</f>
        <v>BLDG Z-140</v>
      </c>
      <c r="I5070" t="str">
        <f t="shared" si="1967"/>
        <v>NORFOLK</v>
      </c>
      <c r="J5070" t="str">
        <f t="shared" si="1964"/>
        <v>VA</v>
      </c>
      <c r="K5070" t="str">
        <f>T("7573410079")</f>
        <v>7573410079</v>
      </c>
      <c r="L5070" t="str">
        <f>T("7573411547")</f>
        <v>7573411547</v>
      </c>
    </row>
    <row r="5071" spans="1:12" x14ac:dyDescent="0.35">
      <c r="A5071" t="str">
        <f t="shared" si="1971"/>
        <v>NAVFAC MID-ATLANTIC HL5</v>
      </c>
      <c r="B5071" t="str">
        <f t="shared" si="1959"/>
        <v>9742 MARYLAND AVE</v>
      </c>
      <c r="C5071" t="str">
        <f>T("BLDG Z-144")</f>
        <v>BLDG Z-144</v>
      </c>
      <c r="D5071" t="str">
        <f t="shared" si="1960"/>
        <v>NORFOLK</v>
      </c>
      <c r="E5071" t="str">
        <f t="shared" si="1963"/>
        <v>VA</v>
      </c>
      <c r="F5071" t="str">
        <f t="shared" si="1961"/>
        <v>235113015</v>
      </c>
      <c r="G5071" t="str">
        <f>T("9742 MARYLAND AVE")</f>
        <v>9742 MARYLAND AVE</v>
      </c>
      <c r="H5071" t="str">
        <f>T("BLDG Z-144")</f>
        <v>BLDG Z-144</v>
      </c>
      <c r="I5071" t="str">
        <f t="shared" si="1967"/>
        <v>NORFOLK</v>
      </c>
      <c r="J5071" t="str">
        <f t="shared" si="1964"/>
        <v>VA</v>
      </c>
      <c r="K5071" t="str">
        <f>T("")</f>
        <v/>
      </c>
      <c r="L5071" t="str">
        <f>T("7573412054")</f>
        <v>7573412054</v>
      </c>
    </row>
    <row r="5072" spans="1:12" x14ac:dyDescent="0.35">
      <c r="A5072" t="str">
        <f t="shared" si="1971"/>
        <v>NAVFAC MID-ATLANTIC HL5</v>
      </c>
      <c r="B5072" t="str">
        <f t="shared" si="1959"/>
        <v>9742 MARYLAND AVE</v>
      </c>
      <c r="C5072" t="str">
        <f>T("BLDG Z-144")</f>
        <v>BLDG Z-144</v>
      </c>
      <c r="D5072" t="str">
        <f t="shared" si="1960"/>
        <v>NORFOLK</v>
      </c>
      <c r="E5072" t="str">
        <f t="shared" ref="E5072:E5080" si="1972">T("VA")</f>
        <v>VA</v>
      </c>
      <c r="F5072" t="str">
        <f t="shared" si="1961"/>
        <v>235113015</v>
      </c>
      <c r="G5072" t="str">
        <f>T("9742 MARYLAND AVE")</f>
        <v>9742 MARYLAND AVE</v>
      </c>
      <c r="H5072" t="str">
        <f>T("BLDG Z-144 FL 2")</f>
        <v>BLDG Z-144 FL 2</v>
      </c>
      <c r="I5072" t="str">
        <f t="shared" si="1967"/>
        <v>NORFOLK</v>
      </c>
      <c r="J5072" t="str">
        <f t="shared" ref="J5072:J5080" si="1973">T("VA")</f>
        <v>VA</v>
      </c>
      <c r="K5072" t="str">
        <f>T("7574448281")</f>
        <v>7574448281</v>
      </c>
      <c r="L5072" t="str">
        <f>T("7573412079")</f>
        <v>7573412079</v>
      </c>
    </row>
    <row r="5073" spans="1:12" x14ac:dyDescent="0.35">
      <c r="A5073" t="str">
        <f t="shared" si="1971"/>
        <v>NAVFAC MID-ATLANTIC HL5</v>
      </c>
      <c r="B5073" t="str">
        <f t="shared" si="1959"/>
        <v>9742 MARYLAND AVE</v>
      </c>
      <c r="C5073" t="str">
        <f>T("BLDG Z140")</f>
        <v>BLDG Z140</v>
      </c>
      <c r="D5073" t="str">
        <f t="shared" si="1960"/>
        <v>NORFOLK</v>
      </c>
      <c r="E5073" t="str">
        <f t="shared" si="1972"/>
        <v>VA</v>
      </c>
      <c r="F5073" t="str">
        <f t="shared" si="1961"/>
        <v>235113015</v>
      </c>
      <c r="G5073" t="str">
        <f>T("9742 MARYLAND AVE")</f>
        <v>9742 MARYLAND AVE</v>
      </c>
      <c r="H5073" t="str">
        <f>T("BLDG Z-140")</f>
        <v>BLDG Z-140</v>
      </c>
      <c r="I5073" t="str">
        <f t="shared" si="1967"/>
        <v>NORFOLK</v>
      </c>
      <c r="J5073" t="str">
        <f t="shared" si="1973"/>
        <v>VA</v>
      </c>
      <c r="K5073" t="str">
        <f>T("000000000000000000")</f>
        <v>000000000000000000</v>
      </c>
      <c r="L5073" t="str">
        <f>T("7573411639")</f>
        <v>7573411639</v>
      </c>
    </row>
    <row r="5074" spans="1:12" x14ac:dyDescent="0.35">
      <c r="A5074" t="str">
        <f t="shared" si="1971"/>
        <v>NAVFAC MID-ATLANTIC HL5</v>
      </c>
      <c r="B5074" t="str">
        <f t="shared" si="1959"/>
        <v>9742 MARYLAND AVE</v>
      </c>
      <c r="C5074" t="str">
        <f>T("BLDG Z140")</f>
        <v>BLDG Z140</v>
      </c>
      <c r="D5074" t="str">
        <f t="shared" si="1960"/>
        <v>NORFOLK</v>
      </c>
      <c r="E5074" t="str">
        <f t="shared" si="1972"/>
        <v>VA</v>
      </c>
      <c r="F5074" t="str">
        <f t="shared" si="1961"/>
        <v>235113015</v>
      </c>
      <c r="G5074" t="str">
        <f>T("9742 MARYLAND AVE")</f>
        <v>9742 MARYLAND AVE</v>
      </c>
      <c r="H5074" t="str">
        <f>T("BLDG Z140")</f>
        <v>BLDG Z140</v>
      </c>
      <c r="I5074" t="str">
        <f t="shared" si="1967"/>
        <v>NORFOLK</v>
      </c>
      <c r="J5074" t="str">
        <f t="shared" si="1973"/>
        <v>VA</v>
      </c>
      <c r="K5074" t="str">
        <f>T("")</f>
        <v/>
      </c>
      <c r="L5074" t="str">
        <f>T("7573411636")</f>
        <v>7573411636</v>
      </c>
    </row>
    <row r="5075" spans="1:12" x14ac:dyDescent="0.35">
      <c r="A5075" t="str">
        <f t="shared" si="1971"/>
        <v>NAVFAC MID-ATLANTIC HL5</v>
      </c>
      <c r="B5075" t="str">
        <f>T("9742 MARYLAND AVE BLDG Z-140")</f>
        <v>9742 MARYLAND AVE BLDG Z-140</v>
      </c>
      <c r="C5075" t="str">
        <f t="shared" ref="C5075:C5083" si="1974">T("")</f>
        <v/>
      </c>
      <c r="D5075" t="str">
        <f t="shared" si="1960"/>
        <v>NORFOLK</v>
      </c>
      <c r="E5075" t="str">
        <f t="shared" si="1972"/>
        <v>VA</v>
      </c>
      <c r="F5075" t="str">
        <f t="shared" si="1961"/>
        <v>235113015</v>
      </c>
      <c r="G5075" t="str">
        <f>T("9324 VIRGINIA AVE")</f>
        <v>9324 VIRGINIA AVE</v>
      </c>
      <c r="H5075" t="str">
        <f>T("")</f>
        <v/>
      </c>
      <c r="I5075" t="str">
        <f t="shared" si="1967"/>
        <v>NORFOLK</v>
      </c>
      <c r="J5075" t="str">
        <f t="shared" si="1973"/>
        <v>VA</v>
      </c>
      <c r="K5075" t="str">
        <f>T("000000000000000000")</f>
        <v>000000000000000000</v>
      </c>
      <c r="L5075" t="str">
        <f>T("7573410016")</f>
        <v>7573410016</v>
      </c>
    </row>
    <row r="5076" spans="1:12" x14ac:dyDescent="0.35">
      <c r="A5076" t="str">
        <f t="shared" si="1971"/>
        <v>NAVFAC MID-ATLANTIC HL5</v>
      </c>
      <c r="B5076" t="str">
        <f>T("9742 MARYLAND AVE BLDG Z-140")</f>
        <v>9742 MARYLAND AVE BLDG Z-140</v>
      </c>
      <c r="C5076" t="str">
        <f t="shared" si="1974"/>
        <v/>
      </c>
      <c r="D5076" t="str">
        <f t="shared" si="1960"/>
        <v>NORFOLK</v>
      </c>
      <c r="E5076" t="str">
        <f t="shared" si="1972"/>
        <v>VA</v>
      </c>
      <c r="F5076" t="str">
        <f t="shared" si="1961"/>
        <v>235113015</v>
      </c>
      <c r="G5076" t="str">
        <f>T("9742 MARYLAND AVE BLDG Z-140")</f>
        <v>9742 MARYLAND AVE BLDG Z-140</v>
      </c>
      <c r="H5076" t="str">
        <f>T("")</f>
        <v/>
      </c>
      <c r="I5076" t="str">
        <f t="shared" si="1967"/>
        <v>NORFOLK</v>
      </c>
      <c r="J5076" t="str">
        <f t="shared" si="1973"/>
        <v>VA</v>
      </c>
      <c r="K5076" t="str">
        <f>T("")</f>
        <v/>
      </c>
      <c r="L5076" t="str">
        <f>T("7573410010")</f>
        <v>7573410010</v>
      </c>
    </row>
    <row r="5077" spans="1:12" x14ac:dyDescent="0.35">
      <c r="A5077" t="str">
        <f t="shared" si="1971"/>
        <v>NAVFAC MID-ATLANTIC HL5</v>
      </c>
      <c r="B5077" t="str">
        <f>T("9742 MARYLAND AVE BLDG Z-140")</f>
        <v>9742 MARYLAND AVE BLDG Z-140</v>
      </c>
      <c r="C5077" t="str">
        <f t="shared" si="1974"/>
        <v/>
      </c>
      <c r="D5077" t="str">
        <f t="shared" si="1960"/>
        <v>NORFOLK</v>
      </c>
      <c r="E5077" t="str">
        <f t="shared" si="1972"/>
        <v>VA</v>
      </c>
      <c r="F5077" t="str">
        <f t="shared" si="1961"/>
        <v>235113015</v>
      </c>
      <c r="G5077" t="str">
        <f>T("9742 MARYLAND AVENUE")</f>
        <v>9742 MARYLAND AVENUE</v>
      </c>
      <c r="H5077" t="str">
        <f>T("")</f>
        <v/>
      </c>
      <c r="I5077" t="str">
        <f t="shared" si="1967"/>
        <v>NORFOLK</v>
      </c>
      <c r="J5077" t="str">
        <f t="shared" si="1973"/>
        <v>VA</v>
      </c>
      <c r="K5077" t="str">
        <f>T("000000000000000000")</f>
        <v>000000000000000000</v>
      </c>
      <c r="L5077" t="str">
        <f>T("7573410062")</f>
        <v>7573410062</v>
      </c>
    </row>
    <row r="5078" spans="1:12" x14ac:dyDescent="0.35">
      <c r="A5078" t="str">
        <f t="shared" si="1971"/>
        <v>NAVFAC MID-ATLANTIC HL5</v>
      </c>
      <c r="B5078" t="str">
        <f>T("9742 MARYLAND AVE BLDG Z-140")</f>
        <v>9742 MARYLAND AVE BLDG Z-140</v>
      </c>
      <c r="C5078" t="str">
        <f t="shared" si="1974"/>
        <v/>
      </c>
      <c r="D5078" t="str">
        <f t="shared" si="1960"/>
        <v>NORFOLK</v>
      </c>
      <c r="E5078" t="str">
        <f t="shared" si="1972"/>
        <v>VA</v>
      </c>
      <c r="F5078" t="str">
        <f t="shared" si="1961"/>
        <v>235113015</v>
      </c>
      <c r="G5078" t="str">
        <f>T("9742 MARYLAND AVENUE")</f>
        <v>9742 MARYLAND AVENUE</v>
      </c>
      <c r="H5078" t="str">
        <f>T("BUILDING A81 ROOM 116")</f>
        <v>BUILDING A81 ROOM 116</v>
      </c>
      <c r="I5078" t="str">
        <f t="shared" si="1967"/>
        <v>NORFOLK</v>
      </c>
      <c r="J5078" t="str">
        <f t="shared" si="1973"/>
        <v>VA</v>
      </c>
      <c r="K5078" t="str">
        <f>T("000000000000000000")</f>
        <v>000000000000000000</v>
      </c>
      <c r="L5078" t="str">
        <f>T("7573410016")</f>
        <v>7573410016</v>
      </c>
    </row>
    <row r="5079" spans="1:12" x14ac:dyDescent="0.35">
      <c r="A5079" t="str">
        <f t="shared" si="1971"/>
        <v>NAVFAC MID-ATLANTIC HL5</v>
      </c>
      <c r="B5079" t="str">
        <f>T("9742 MARYLAND AVE N-26")</f>
        <v>9742 MARYLAND AVE N-26</v>
      </c>
      <c r="C5079" t="str">
        <f t="shared" si="1974"/>
        <v/>
      </c>
      <c r="D5079" t="str">
        <f t="shared" si="1960"/>
        <v>NORFOLK</v>
      </c>
      <c r="E5079" t="str">
        <f t="shared" si="1972"/>
        <v>VA</v>
      </c>
      <c r="F5079" t="str">
        <f t="shared" si="1961"/>
        <v>235113015</v>
      </c>
      <c r="G5079" t="str">
        <f>T("9742 MARYLAND AVE")</f>
        <v>9742 MARYLAND AVE</v>
      </c>
      <c r="H5079" t="str">
        <f>T("BLDG N-26 RM 3208")</f>
        <v>BLDG N-26 RM 3208</v>
      </c>
      <c r="I5079" t="str">
        <f t="shared" si="1967"/>
        <v>NORFOLK</v>
      </c>
      <c r="J5079" t="str">
        <f t="shared" si="1973"/>
        <v>VA</v>
      </c>
      <c r="K5079" t="str">
        <f>T("000000000000000000")</f>
        <v>000000000000000000</v>
      </c>
      <c r="L5079" t="str">
        <f>T("7574444186")</f>
        <v>7574444186</v>
      </c>
    </row>
    <row r="5080" spans="1:12" x14ac:dyDescent="0.35">
      <c r="A5080" t="str">
        <f t="shared" si="1971"/>
        <v>NAVFAC MID-ATLANTIC HL5</v>
      </c>
      <c r="B5080" t="str">
        <f>T("9742 MARYLAND AVE N-26")</f>
        <v>9742 MARYLAND AVE N-26</v>
      </c>
      <c r="C5080" t="str">
        <f t="shared" si="1974"/>
        <v/>
      </c>
      <c r="D5080" t="str">
        <f t="shared" si="1960"/>
        <v>NORFOLK</v>
      </c>
      <c r="E5080" t="str">
        <f t="shared" si="1972"/>
        <v>VA</v>
      </c>
      <c r="F5080" t="str">
        <f t="shared" si="1961"/>
        <v>235113015</v>
      </c>
      <c r="G5080" t="str">
        <f>T("9742 MARYLAND AVE N-26")</f>
        <v>9742 MARYLAND AVE N-26</v>
      </c>
      <c r="H5080" t="str">
        <f>T("")</f>
        <v/>
      </c>
      <c r="I5080" t="str">
        <f t="shared" si="1967"/>
        <v>NORFOLK</v>
      </c>
      <c r="J5080" t="str">
        <f t="shared" si="1973"/>
        <v>VA</v>
      </c>
      <c r="K5080" t="str">
        <f>T("7573224415")</f>
        <v>7573224415</v>
      </c>
      <c r="L5080" t="str">
        <f>T("7574445822")</f>
        <v>7574445822</v>
      </c>
    </row>
    <row r="5081" spans="1:12" x14ac:dyDescent="0.35">
      <c r="A5081" t="str">
        <f t="shared" si="1971"/>
        <v>NAVFAC MID-ATLANTIC HL5</v>
      </c>
      <c r="B5081" t="str">
        <f>T("A63 SIMONPIETRI DR")</f>
        <v>A63 SIMONPIETRI DR</v>
      </c>
      <c r="C5081" t="str">
        <f t="shared" si="1974"/>
        <v/>
      </c>
      <c r="D5081" t="str">
        <f>T("NEWPORT")</f>
        <v>NEWPORT</v>
      </c>
      <c r="E5081" t="str">
        <f>T("RI")</f>
        <v>RI</v>
      </c>
      <c r="F5081" t="str">
        <f>T("028410000")</f>
        <v>028410000</v>
      </c>
      <c r="G5081" t="str">
        <f>T("1 SIMONPIETRI DR")</f>
        <v>1 SIMONPIETRI DR</v>
      </c>
      <c r="H5081" t="str">
        <f>T("BLDG 63A")</f>
        <v>BLDG 63A</v>
      </c>
      <c r="I5081" t="str">
        <f>T("NEWPORT")</f>
        <v>NEWPORT</v>
      </c>
      <c r="J5081" t="str">
        <f>T("RI")</f>
        <v>RI</v>
      </c>
      <c r="K5081" t="str">
        <f>T("000000000000000000")</f>
        <v>000000000000000000</v>
      </c>
      <c r="L5081" t="str">
        <f>T("4018412812")</f>
        <v>4018412812</v>
      </c>
    </row>
    <row r="5082" spans="1:12" x14ac:dyDescent="0.35">
      <c r="A5082" t="str">
        <f t="shared" si="1971"/>
        <v>NAVFAC MID-ATLANTIC HL5</v>
      </c>
      <c r="B5082" t="str">
        <f>T("A63 SIMONPIETRI DR")</f>
        <v>A63 SIMONPIETRI DR</v>
      </c>
      <c r="C5082" t="str">
        <f t="shared" si="1974"/>
        <v/>
      </c>
      <c r="D5082" t="str">
        <f>T("NEWPORT")</f>
        <v>NEWPORT</v>
      </c>
      <c r="E5082" t="str">
        <f>T("RI")</f>
        <v>RI</v>
      </c>
      <c r="F5082" t="str">
        <f>T("028410000")</f>
        <v>028410000</v>
      </c>
      <c r="G5082" t="str">
        <f>T("A63 SIMONPIETRI DR")</f>
        <v>A63 SIMONPIETRI DR</v>
      </c>
      <c r="H5082" t="str">
        <f>T("")</f>
        <v/>
      </c>
      <c r="I5082" t="str">
        <f>T("NEWPORT")</f>
        <v>NEWPORT</v>
      </c>
      <c r="J5082" t="str">
        <f>T("RI")</f>
        <v>RI</v>
      </c>
      <c r="K5082" t="str">
        <f>T("")</f>
        <v/>
      </c>
      <c r="L5082" t="str">
        <f>T("4018412465")</f>
        <v>4018412465</v>
      </c>
    </row>
    <row r="5083" spans="1:12" x14ac:dyDescent="0.35">
      <c r="A5083" t="str">
        <f t="shared" si="1971"/>
        <v>NAVFAC MID-ATLANTIC HL5</v>
      </c>
      <c r="B5083" t="str">
        <f>T("A63 SIMONPIETRI DR")</f>
        <v>A63 SIMONPIETRI DR</v>
      </c>
      <c r="C5083" t="str">
        <f t="shared" si="1974"/>
        <v/>
      </c>
      <c r="D5083" t="str">
        <f>T("NEWPORT")</f>
        <v>NEWPORT</v>
      </c>
      <c r="E5083" t="str">
        <f>T("RI")</f>
        <v>RI</v>
      </c>
      <c r="F5083" t="str">
        <f>T("028410000")</f>
        <v>028410000</v>
      </c>
      <c r="G5083" t="str">
        <f>T("CHANDLER ST.")</f>
        <v>CHANDLER ST.</v>
      </c>
      <c r="H5083" t="str">
        <f>T("BLDG A-63")</f>
        <v>BLDG A-63</v>
      </c>
      <c r="I5083" t="str">
        <f>T("NEWPORT")</f>
        <v>NEWPORT</v>
      </c>
      <c r="J5083" t="str">
        <f>T("RI")</f>
        <v>RI</v>
      </c>
      <c r="K5083" t="str">
        <f>T("000000000000000000")</f>
        <v>000000000000000000</v>
      </c>
      <c r="L5083" t="str">
        <f>T("4018413042")</f>
        <v>4018413042</v>
      </c>
    </row>
    <row r="5084" spans="1:12" x14ac:dyDescent="0.35">
      <c r="A5084" t="str">
        <f t="shared" si="1971"/>
        <v>NAVFAC MID-ATLANTIC HL5</v>
      </c>
      <c r="B5084" t="str">
        <f>T("BLDG 59")</f>
        <v>BLDG 59</v>
      </c>
      <c r="C5084" t="str">
        <f>T("PWD MAINE")</f>
        <v>PWD MAINE</v>
      </c>
      <c r="D5084" t="str">
        <f>T("PNSY KITTERY")</f>
        <v>PNSY KITTERY</v>
      </c>
      <c r="E5084" t="str">
        <f>T("ME")</f>
        <v>ME</v>
      </c>
      <c r="F5084" t="str">
        <f>T("039040000")</f>
        <v>039040000</v>
      </c>
      <c r="G5084" t="str">
        <f>T("BLDG 59")</f>
        <v>BLDG 59</v>
      </c>
      <c r="H5084" t="str">
        <f>T("PWD MAINE")</f>
        <v>PWD MAINE</v>
      </c>
      <c r="I5084" t="str">
        <f>T("PNSY KITTERY")</f>
        <v>PNSY KITTERY</v>
      </c>
      <c r="J5084" t="str">
        <f>T("ME")</f>
        <v>ME</v>
      </c>
      <c r="K5084" t="str">
        <f>T("000000000000000000")</f>
        <v>000000000000000000</v>
      </c>
      <c r="L5084" t="str">
        <f>T("2074384606")</f>
        <v>2074384606</v>
      </c>
    </row>
    <row r="5085" spans="1:12" x14ac:dyDescent="0.35">
      <c r="A5085" t="str">
        <f t="shared" si="1971"/>
        <v>NAVFAC MID-ATLANTIC HL5</v>
      </c>
      <c r="B5085" t="str">
        <f>T("BLDG 59")</f>
        <v>BLDG 59</v>
      </c>
      <c r="C5085" t="str">
        <f>T("PWD MAINE")</f>
        <v>PWD MAINE</v>
      </c>
      <c r="D5085" t="str">
        <f>T("PNSY KITTERY")</f>
        <v>PNSY KITTERY</v>
      </c>
      <c r="E5085" t="str">
        <f>T("ME")</f>
        <v>ME</v>
      </c>
      <c r="F5085" t="str">
        <f>T("039040000")</f>
        <v>039040000</v>
      </c>
      <c r="G5085" t="str">
        <f>T("PORTSMOUTH NAVAL SHIPYARD")</f>
        <v>PORTSMOUTH NAVAL SHIPYARD</v>
      </c>
      <c r="H5085" t="str">
        <f>T("BLDG 59")</f>
        <v>BLDG 59</v>
      </c>
      <c r="I5085" t="str">
        <f>T("PORTSMOUTH")</f>
        <v>PORTSMOUTH</v>
      </c>
      <c r="J5085" t="str">
        <f>T("NH")</f>
        <v>NH</v>
      </c>
      <c r="K5085" t="str">
        <f>T("000000000000000000")</f>
        <v>000000000000000000</v>
      </c>
      <c r="L5085" t="str">
        <f>T("2074385541")</f>
        <v>2074385541</v>
      </c>
    </row>
    <row r="5086" spans="1:12" x14ac:dyDescent="0.35">
      <c r="A5086" t="str">
        <f t="shared" si="1971"/>
        <v>NAVFAC MID-ATLANTIC HL5</v>
      </c>
      <c r="B5086" t="str">
        <f>T("BLDG A-63 SIMONPIETRI DR")</f>
        <v>BLDG A-63 SIMONPIETRI DR</v>
      </c>
      <c r="C5086" t="str">
        <f>T("")</f>
        <v/>
      </c>
      <c r="D5086" t="str">
        <f>T("NEWPORT")</f>
        <v>NEWPORT</v>
      </c>
      <c r="E5086" t="str">
        <f>T("RI")</f>
        <v>RI</v>
      </c>
      <c r="F5086" t="str">
        <f>T("028410000")</f>
        <v>028410000</v>
      </c>
      <c r="G5086" t="str">
        <f>T("BLDG A-63 SIMONPIETRI DR")</f>
        <v>BLDG A-63 SIMONPIETRI DR</v>
      </c>
      <c r="H5086" t="str">
        <f>T("")</f>
        <v/>
      </c>
      <c r="I5086" t="str">
        <f>T("NEWPORT")</f>
        <v>NEWPORT</v>
      </c>
      <c r="J5086" t="str">
        <f>T("RI")</f>
        <v>RI</v>
      </c>
      <c r="K5086" t="str">
        <f>T("")</f>
        <v/>
      </c>
      <c r="L5086" t="str">
        <f>T("4018412465")</f>
        <v>4018412465</v>
      </c>
    </row>
    <row r="5087" spans="1:12" x14ac:dyDescent="0.35">
      <c r="A5087" t="str">
        <f t="shared" si="1971"/>
        <v>NAVFAC MID-ATLANTIC HL5</v>
      </c>
      <c r="B5087" t="str">
        <f>T("FLC PHIL")</f>
        <v>FLC PHIL</v>
      </c>
      <c r="C5087" t="str">
        <f>T("1610 CONSTITUTION AVE BLDG 643")</f>
        <v>1610 CONSTITUTION AVE BLDG 643</v>
      </c>
      <c r="D5087" t="str">
        <f>T("PHILADELPHIA")</f>
        <v>PHILADELPHIA</v>
      </c>
      <c r="E5087" t="str">
        <f>T("PA")</f>
        <v>PA</v>
      </c>
      <c r="F5087" t="str">
        <f>T("191121700")</f>
        <v>191121700</v>
      </c>
      <c r="G5087" t="str">
        <f>T("FLC PHIL")</f>
        <v>FLC PHIL</v>
      </c>
      <c r="H5087" t="str">
        <f>T("1610 CONSTITUTION AVE BLDG 643")</f>
        <v>1610 CONSTITUTION AVE BLDG 643</v>
      </c>
      <c r="I5087" t="str">
        <f>T("PHILADELPHIA")</f>
        <v>PHILADELPHIA</v>
      </c>
      <c r="J5087" t="str">
        <f>T("PA")</f>
        <v>PA</v>
      </c>
      <c r="K5087" t="str">
        <f>T("2158972149")</f>
        <v>2158972149</v>
      </c>
      <c r="L5087" t="str">
        <f>T("2158973297")</f>
        <v>2158973297</v>
      </c>
    </row>
    <row r="5088" spans="1:12" x14ac:dyDescent="0.35">
      <c r="A5088" t="str">
        <f t="shared" si="1971"/>
        <v>NAVFAC MID-ATLANTIC HL5</v>
      </c>
      <c r="B5088" t="str">
        <f>T("NAVAL SUBMARINE BASE NLON")</f>
        <v>NAVAL SUBMARINE BASE NLON</v>
      </c>
      <c r="C5088" t="str">
        <f>T("BLDG 460")</f>
        <v>BLDG 460</v>
      </c>
      <c r="D5088" t="str">
        <f>T("GROTON")</f>
        <v>GROTON</v>
      </c>
      <c r="E5088" t="str">
        <f>T("CT")</f>
        <v>CT</v>
      </c>
      <c r="F5088" t="str">
        <f>T("063490000")</f>
        <v>063490000</v>
      </c>
      <c r="G5088" t="str">
        <f>T("NAVAL SUBMARINE BASE NLON")</f>
        <v>NAVAL SUBMARINE BASE NLON</v>
      </c>
      <c r="H5088" t="str">
        <f>T("BLDG 460")</f>
        <v>BLDG 460</v>
      </c>
      <c r="I5088" t="str">
        <f>T("GROTON")</f>
        <v>GROTON</v>
      </c>
      <c r="J5088" t="str">
        <f>T("CT")</f>
        <v>CT</v>
      </c>
      <c r="K5088" t="str">
        <f>T("8606945048")</f>
        <v>8606945048</v>
      </c>
      <c r="L5088" t="str">
        <f>T("8606944484")</f>
        <v>8606944484</v>
      </c>
    </row>
    <row r="5089" spans="1:12" x14ac:dyDescent="0.35">
      <c r="A5089" t="str">
        <f t="shared" si="1971"/>
        <v>NAVFAC MID-ATLANTIC HL5</v>
      </c>
      <c r="B5089" t="str">
        <f>T("NAVAL SUBMARINE BASE NLON")</f>
        <v>NAVAL SUBMARINE BASE NLON</v>
      </c>
      <c r="C5089" t="str">
        <f>T("BLDG 460")</f>
        <v>BLDG 460</v>
      </c>
      <c r="D5089" t="str">
        <f>T("GROTON")</f>
        <v>GROTON</v>
      </c>
      <c r="E5089" t="str">
        <f>T("CT")</f>
        <v>CT</v>
      </c>
      <c r="F5089" t="str">
        <f>T("063490000")</f>
        <v>063490000</v>
      </c>
      <c r="G5089" t="str">
        <f>T("PUBLIC WORKS DEPT BOX 400")</f>
        <v>PUBLIC WORKS DEPT BOX 400</v>
      </c>
      <c r="H5089" t="str">
        <f>T("1 CRYSTAL LAKE ROAD")</f>
        <v>1 CRYSTAL LAKE ROAD</v>
      </c>
      <c r="I5089" t="str">
        <f>T("GROTON")</f>
        <v>GROTON</v>
      </c>
      <c r="J5089" t="str">
        <f>T("CT")</f>
        <v>CT</v>
      </c>
      <c r="K5089" t="str">
        <f>T("000000000000000000")</f>
        <v>000000000000000000</v>
      </c>
      <c r="L5089" t="str">
        <f>T("8606945964")</f>
        <v>8606945964</v>
      </c>
    </row>
    <row r="5090" spans="1:12" x14ac:dyDescent="0.35">
      <c r="A5090" t="str">
        <f t="shared" si="1971"/>
        <v>NAVFAC MID-ATLANTIC HL5</v>
      </c>
      <c r="B5090" t="str">
        <f>T("NAVFAC MID ATLANTIC")</f>
        <v>NAVFAC MID ATLANTIC</v>
      </c>
      <c r="C5090" t="str">
        <f>T("9742 MARYLAND AVE BLDG X275")</f>
        <v>9742 MARYLAND AVE BLDG X275</v>
      </c>
      <c r="D5090" t="str">
        <f t="shared" ref="D5090:D5098" si="1975">T("NORFOLK")</f>
        <v>NORFOLK</v>
      </c>
      <c r="E5090" t="str">
        <f t="shared" ref="E5090:E5098" si="1976">T("VA")</f>
        <v>VA</v>
      </c>
      <c r="F5090" t="str">
        <f>T("235113015")</f>
        <v>235113015</v>
      </c>
      <c r="G5090" t="str">
        <f>T("NAVFAC MID ATLANTIC")</f>
        <v>NAVFAC MID ATLANTIC</v>
      </c>
      <c r="H5090" t="str">
        <f>T("9742 MARYLAND AVE BLDG X275")</f>
        <v>9742 MARYLAND AVE BLDG X275</v>
      </c>
      <c r="I5090" t="str">
        <f t="shared" ref="I5090:I5098" si="1977">T("NORFOLK")</f>
        <v>NORFOLK</v>
      </c>
      <c r="J5090" t="str">
        <f t="shared" ref="J5090:J5098" si="1978">T("VA")</f>
        <v>VA</v>
      </c>
      <c r="K5090" t="str">
        <f>T("7574454945")</f>
        <v>7574454945</v>
      </c>
      <c r="L5090" t="str">
        <f>T("7573412134")</f>
        <v>7573412134</v>
      </c>
    </row>
    <row r="5091" spans="1:12" x14ac:dyDescent="0.35">
      <c r="A5091" t="str">
        <f t="shared" si="1971"/>
        <v>NAVFAC MID-ATLANTIC HL5</v>
      </c>
      <c r="B5091" t="str">
        <f t="shared" ref="B5091:B5098" si="1979">T("NAVFAC MIDLANT")</f>
        <v>NAVFAC MIDLANT</v>
      </c>
      <c r="C5091" t="str">
        <f>T("9324 VIRGINIA AVE BLDG Z-140")</f>
        <v>9324 VIRGINIA AVE BLDG Z-140</v>
      </c>
      <c r="D5091" t="str">
        <f t="shared" si="1975"/>
        <v>NORFOLK</v>
      </c>
      <c r="E5091" t="str">
        <f t="shared" si="1976"/>
        <v>VA</v>
      </c>
      <c r="F5091" t="str">
        <f>T("235113624")</f>
        <v>235113624</v>
      </c>
      <c r="G5091" t="str">
        <f>T("9324 VIRGINIA AVENUE")</f>
        <v>9324 VIRGINIA AVENUE</v>
      </c>
      <c r="H5091" t="str">
        <f>T("BLDG N-26")</f>
        <v>BLDG N-26</v>
      </c>
      <c r="I5091" t="str">
        <f t="shared" si="1977"/>
        <v>NORFOLK</v>
      </c>
      <c r="J5091" t="str">
        <f t="shared" si="1978"/>
        <v>VA</v>
      </c>
      <c r="K5091" t="str">
        <f>T("000000000000000000")</f>
        <v>000000000000000000</v>
      </c>
      <c r="L5091" t="str">
        <f>T("7573410220")</f>
        <v>7573410220</v>
      </c>
    </row>
    <row r="5092" spans="1:12" x14ac:dyDescent="0.35">
      <c r="A5092" t="str">
        <f t="shared" si="1971"/>
        <v>NAVFAC MID-ATLANTIC HL5</v>
      </c>
      <c r="B5092" t="str">
        <f t="shared" si="1979"/>
        <v>NAVFAC MIDLANT</v>
      </c>
      <c r="C5092" t="str">
        <f>T("9324 VIRGINIA AVE BLDG Z-140")</f>
        <v>9324 VIRGINIA AVE BLDG Z-140</v>
      </c>
      <c r="D5092" t="str">
        <f t="shared" si="1975"/>
        <v>NORFOLK</v>
      </c>
      <c r="E5092" t="str">
        <f t="shared" si="1976"/>
        <v>VA</v>
      </c>
      <c r="F5092" t="str">
        <f>T("235113624")</f>
        <v>235113624</v>
      </c>
      <c r="G5092" t="str">
        <f>T("NAVFAC MIDLANT")</f>
        <v>NAVFAC MIDLANT</v>
      </c>
      <c r="H5092" t="str">
        <f>T("9324 VIRGINIA AVE BLDG Z-140")</f>
        <v>9324 VIRGINIA AVE BLDG Z-140</v>
      </c>
      <c r="I5092" t="str">
        <f t="shared" si="1977"/>
        <v>NORFOLK</v>
      </c>
      <c r="J5092" t="str">
        <f t="shared" si="1978"/>
        <v>VA</v>
      </c>
      <c r="K5092" t="str">
        <f>T("")</f>
        <v/>
      </c>
      <c r="L5092" t="str">
        <f>T("7573410255")</f>
        <v>7573410255</v>
      </c>
    </row>
    <row r="5093" spans="1:12" x14ac:dyDescent="0.35">
      <c r="A5093" t="str">
        <f t="shared" si="1971"/>
        <v>NAVFAC MID-ATLANTIC HL5</v>
      </c>
      <c r="B5093" t="str">
        <f t="shared" si="1979"/>
        <v>NAVFAC MIDLANT</v>
      </c>
      <c r="C5093" t="str">
        <f>T("9742 MARYLAND AVE BLDG A-81")</f>
        <v>9742 MARYLAND AVE BLDG A-81</v>
      </c>
      <c r="D5093" t="str">
        <f t="shared" si="1975"/>
        <v>NORFOLK</v>
      </c>
      <c r="E5093" t="str">
        <f t="shared" si="1976"/>
        <v>VA</v>
      </c>
      <c r="F5093" t="str">
        <f t="shared" ref="F5093:F5098" si="1980">T("235113015")</f>
        <v>235113015</v>
      </c>
      <c r="G5093" t="str">
        <f>T("9742 MARYLAND AVE")</f>
        <v>9742 MARYLAND AVE</v>
      </c>
      <c r="H5093" t="str">
        <f>T("")</f>
        <v/>
      </c>
      <c r="I5093" t="str">
        <f t="shared" si="1977"/>
        <v>NORFOLK</v>
      </c>
      <c r="J5093" t="str">
        <f t="shared" si="1978"/>
        <v>VA</v>
      </c>
      <c r="K5093" t="str">
        <f>T("000000000000000000")</f>
        <v>000000000000000000</v>
      </c>
      <c r="L5093" t="str">
        <f>T("7573410721")</f>
        <v>7573410721</v>
      </c>
    </row>
    <row r="5094" spans="1:12" x14ac:dyDescent="0.35">
      <c r="A5094" t="str">
        <f t="shared" si="1971"/>
        <v>NAVFAC MID-ATLANTIC HL5</v>
      </c>
      <c r="B5094" t="str">
        <f t="shared" si="1979"/>
        <v>NAVFAC MIDLANT</v>
      </c>
      <c r="C5094" t="str">
        <f>T("9742 MARYLAND AVE BLDG A-81")</f>
        <v>9742 MARYLAND AVE BLDG A-81</v>
      </c>
      <c r="D5094" t="str">
        <f t="shared" si="1975"/>
        <v>NORFOLK</v>
      </c>
      <c r="E5094" t="str">
        <f t="shared" si="1976"/>
        <v>VA</v>
      </c>
      <c r="F5094" t="str">
        <f t="shared" si="1980"/>
        <v>235113015</v>
      </c>
      <c r="G5094" t="str">
        <f>T("9742 MARYLAND AVE BLDG A-81")</f>
        <v>9742 MARYLAND AVE BLDG A-81</v>
      </c>
      <c r="H5094" t="str">
        <f>T("")</f>
        <v/>
      </c>
      <c r="I5094" t="str">
        <f t="shared" si="1977"/>
        <v>NORFOLK</v>
      </c>
      <c r="J5094" t="str">
        <f t="shared" si="1978"/>
        <v>VA</v>
      </c>
      <c r="K5094" t="str">
        <f>T("000000000000000000")</f>
        <v>000000000000000000</v>
      </c>
      <c r="L5094" t="str">
        <f>T("7574442131")</f>
        <v>7574442131</v>
      </c>
    </row>
    <row r="5095" spans="1:12" x14ac:dyDescent="0.35">
      <c r="A5095" t="str">
        <f t="shared" si="1971"/>
        <v>NAVFAC MID-ATLANTIC HL5</v>
      </c>
      <c r="B5095" t="str">
        <f t="shared" si="1979"/>
        <v>NAVFAC MIDLANT</v>
      </c>
      <c r="C5095" t="str">
        <f>T("9742 MARYLAND AVE BLDG A-81")</f>
        <v>9742 MARYLAND AVE BLDG A-81</v>
      </c>
      <c r="D5095" t="str">
        <f t="shared" si="1975"/>
        <v>NORFOLK</v>
      </c>
      <c r="E5095" t="str">
        <f t="shared" si="1976"/>
        <v>VA</v>
      </c>
      <c r="F5095" t="str">
        <f t="shared" si="1980"/>
        <v>235113015</v>
      </c>
      <c r="G5095" t="str">
        <f>T("9742 MARYLAND AVENUE")</f>
        <v>9742 MARYLAND AVENUE</v>
      </c>
      <c r="H5095" t="str">
        <f>T("")</f>
        <v/>
      </c>
      <c r="I5095" t="str">
        <f t="shared" si="1977"/>
        <v>NORFOLK</v>
      </c>
      <c r="J5095" t="str">
        <f t="shared" si="1978"/>
        <v>VA</v>
      </c>
      <c r="K5095" t="str">
        <f>T("000000000000000000")</f>
        <v>000000000000000000</v>
      </c>
      <c r="L5095" t="str">
        <f>T("7573410708")</f>
        <v>7573410708</v>
      </c>
    </row>
    <row r="5096" spans="1:12" x14ac:dyDescent="0.35">
      <c r="A5096" t="str">
        <f t="shared" si="1971"/>
        <v>NAVFAC MID-ATLANTIC HL5</v>
      </c>
      <c r="B5096" t="str">
        <f t="shared" si="1979"/>
        <v>NAVFAC MIDLANT</v>
      </c>
      <c r="C5096" t="str">
        <f>T("9742 MARYLAND AVE BLDG A-81")</f>
        <v>9742 MARYLAND AVE BLDG A-81</v>
      </c>
      <c r="D5096" t="str">
        <f t="shared" si="1975"/>
        <v>NORFOLK</v>
      </c>
      <c r="E5096" t="str">
        <f t="shared" si="1976"/>
        <v>VA</v>
      </c>
      <c r="F5096" t="str">
        <f t="shared" si="1980"/>
        <v>235113015</v>
      </c>
      <c r="G5096" t="str">
        <f>T("NAVFAC MIDLANT")</f>
        <v>NAVFAC MIDLANT</v>
      </c>
      <c r="H5096" t="str">
        <f>T("9742 MARYLAND AVE BLDG A-81")</f>
        <v>9742 MARYLAND AVE BLDG A-81</v>
      </c>
      <c r="I5096" t="str">
        <f t="shared" si="1977"/>
        <v>NORFOLK</v>
      </c>
      <c r="J5096" t="str">
        <f t="shared" si="1978"/>
        <v>VA</v>
      </c>
      <c r="K5096" t="str">
        <f>T("")</f>
        <v/>
      </c>
      <c r="L5096" t="str">
        <f>T("7573410701")</f>
        <v>7573410701</v>
      </c>
    </row>
    <row r="5097" spans="1:12" x14ac:dyDescent="0.35">
      <c r="A5097" t="str">
        <f t="shared" ref="A5097:A5122" si="1981">T("NAVFAC MID-ATLANTIC HL5")</f>
        <v>NAVFAC MID-ATLANTIC HL5</v>
      </c>
      <c r="B5097" t="str">
        <f t="shared" si="1979"/>
        <v>NAVFAC MIDLANT</v>
      </c>
      <c r="C5097" t="str">
        <f>T("9742 MARYLAND AVE BLDG LP20")</f>
        <v>9742 MARYLAND AVE BLDG LP20</v>
      </c>
      <c r="D5097" t="str">
        <f t="shared" si="1975"/>
        <v>NORFOLK</v>
      </c>
      <c r="E5097" t="str">
        <f t="shared" si="1976"/>
        <v>VA</v>
      </c>
      <c r="F5097" t="str">
        <f t="shared" si="1980"/>
        <v>235113015</v>
      </c>
      <c r="G5097" t="str">
        <f>T("9742 MARYLAND AVE")</f>
        <v>9742 MARYLAND AVE</v>
      </c>
      <c r="H5097" t="str">
        <f>T("BLDG LP-20 FL 2")</f>
        <v>BLDG LP-20 FL 2</v>
      </c>
      <c r="I5097" t="str">
        <f t="shared" si="1977"/>
        <v>NORFOLK</v>
      </c>
      <c r="J5097" t="str">
        <f t="shared" si="1978"/>
        <v>VA</v>
      </c>
      <c r="K5097" t="str">
        <f>T("000000000000000000")</f>
        <v>000000000000000000</v>
      </c>
      <c r="L5097" t="str">
        <f>T("7574444160")</f>
        <v>7574444160</v>
      </c>
    </row>
    <row r="5098" spans="1:12" x14ac:dyDescent="0.35">
      <c r="A5098" t="str">
        <f t="shared" si="1981"/>
        <v>NAVFAC MID-ATLANTIC HL5</v>
      </c>
      <c r="B5098" t="str">
        <f t="shared" si="1979"/>
        <v>NAVFAC MIDLANT</v>
      </c>
      <c r="C5098" t="str">
        <f>T("9742 MARYLAND AVE BLDG LP20")</f>
        <v>9742 MARYLAND AVE BLDG LP20</v>
      </c>
      <c r="D5098" t="str">
        <f t="shared" si="1975"/>
        <v>NORFOLK</v>
      </c>
      <c r="E5098" t="str">
        <f t="shared" si="1976"/>
        <v>VA</v>
      </c>
      <c r="F5098" t="str">
        <f t="shared" si="1980"/>
        <v>235113015</v>
      </c>
      <c r="G5098" t="str">
        <f>T("NAVFAC MIDLANT")</f>
        <v>NAVFAC MIDLANT</v>
      </c>
      <c r="H5098" t="str">
        <f>T("9742 MARYLAND AVE BLDG LP20")</f>
        <v>9742 MARYLAND AVE BLDG LP20</v>
      </c>
      <c r="I5098" t="str">
        <f t="shared" si="1977"/>
        <v>NORFOLK</v>
      </c>
      <c r="J5098" t="str">
        <f t="shared" si="1978"/>
        <v>VA</v>
      </c>
      <c r="K5098" t="str">
        <f>T("")</f>
        <v/>
      </c>
      <c r="L5098" t="str">
        <f>T("7573411111")</f>
        <v>7573411111</v>
      </c>
    </row>
    <row r="5099" spans="1:12" x14ac:dyDescent="0.35">
      <c r="A5099" t="str">
        <f t="shared" si="1981"/>
        <v>NAVFAC MID-ATLANTIC HL5</v>
      </c>
      <c r="B5099" t="str">
        <f>T("NAVFAC MIDLANT NWS EARLE")</f>
        <v>NAVFAC MIDLANT NWS EARLE</v>
      </c>
      <c r="C5099" t="str">
        <f>T("201 HWY 34 BLDG C-9 FLR 1")</f>
        <v>201 HWY 34 BLDG C-9 FLR 1</v>
      </c>
      <c r="D5099" t="str">
        <f>T("COLTS NECK")</f>
        <v>COLTS NECK</v>
      </c>
      <c r="E5099" t="str">
        <f>T("NJ")</f>
        <v>NJ</v>
      </c>
      <c r="F5099" t="str">
        <f>T("077221902")</f>
        <v>077221902</v>
      </c>
      <c r="G5099" t="str">
        <f>T("NAVFAC MIDLANT NWS EARLE")</f>
        <v>NAVFAC MIDLANT NWS EARLE</v>
      </c>
      <c r="H5099" t="str">
        <f>T("201 HWY 34 BLDG C-9 FLR 1")</f>
        <v>201 HWY 34 BLDG C-9 FLR 1</v>
      </c>
      <c r="I5099" t="str">
        <f>T("COLTS NECK")</f>
        <v>COLTS NECK</v>
      </c>
      <c r="J5099" t="str">
        <f>T("NJ")</f>
        <v>NJ</v>
      </c>
      <c r="K5099" t="str">
        <f>T("")</f>
        <v/>
      </c>
      <c r="L5099" t="str">
        <f>T("7328662135")</f>
        <v>7328662135</v>
      </c>
    </row>
    <row r="5100" spans="1:12" x14ac:dyDescent="0.35">
      <c r="A5100" t="str">
        <f t="shared" si="1981"/>
        <v>NAVFAC MID-ATLANTIC HL5</v>
      </c>
      <c r="B5100" t="str">
        <f>T("NAVFAC MIDLANT NWS EARLE")</f>
        <v>NAVFAC MIDLANT NWS EARLE</v>
      </c>
      <c r="C5100" t="str">
        <f>T("201 HWY 34 BLDG C-9 FLR 1")</f>
        <v>201 HWY 34 BLDG C-9 FLR 1</v>
      </c>
      <c r="D5100" t="str">
        <f>T("COLTS NECK")</f>
        <v>COLTS NECK</v>
      </c>
      <c r="E5100" t="str">
        <f>T("NJ")</f>
        <v>NJ</v>
      </c>
      <c r="F5100" t="str">
        <f>T("077221902")</f>
        <v>077221902</v>
      </c>
      <c r="G5100" t="str">
        <f>T("PWD EARLE")</f>
        <v>PWD EARLE</v>
      </c>
      <c r="H5100" t="str">
        <f>T("201 HWY 34 BLDG C-9")</f>
        <v>201 HWY 34 BLDG C-9</v>
      </c>
      <c r="I5100" t="str">
        <f>T("COLTS NECK")</f>
        <v>COLTS NECK</v>
      </c>
      <c r="J5100" t="str">
        <f>T("NJ")</f>
        <v>NJ</v>
      </c>
      <c r="K5100" t="str">
        <f>T("73286602049")</f>
        <v>73286602049</v>
      </c>
      <c r="L5100" t="str">
        <f>T("7328662049")</f>
        <v>7328662049</v>
      </c>
    </row>
    <row r="5101" spans="1:12" x14ac:dyDescent="0.35">
      <c r="A5101" t="str">
        <f t="shared" si="1981"/>
        <v>NAVFAC MID-ATLANTIC HL5</v>
      </c>
      <c r="B5101" t="str">
        <f>T("NAVFAC MIDLANT WILLIAMS")</f>
        <v>NAVFAC MIDLANT WILLIAMS</v>
      </c>
      <c r="C5101" t="str">
        <f>T("1005 MICHAEL RD")</f>
        <v>1005 MICHAEL RD</v>
      </c>
      <c r="D5101" t="str">
        <f>T("CAMP LEJEUNE")</f>
        <v>CAMP LEJEUNE</v>
      </c>
      <c r="E5101" t="str">
        <f>T("NC")</f>
        <v>NC</v>
      </c>
      <c r="F5101" t="str">
        <f>T("285472521")</f>
        <v>285472521</v>
      </c>
      <c r="G5101" t="str">
        <f>T("1005 MICHAEL ST")</f>
        <v>1005 MICHAEL ST</v>
      </c>
      <c r="H5101" t="str">
        <f>T("FL 1 BLDG 1005")</f>
        <v>FL 1 BLDG 1005</v>
      </c>
      <c r="I5101" t="str">
        <f>T("CAMP LEJEUNE")</f>
        <v>CAMP LEJEUNE</v>
      </c>
      <c r="J5101" t="str">
        <f>T("NC")</f>
        <v>NC</v>
      </c>
      <c r="K5101" t="str">
        <f>T("000000000000000000")</f>
        <v>000000000000000000</v>
      </c>
      <c r="L5101" t="str">
        <f>T("9104512582")</f>
        <v>9104512582</v>
      </c>
    </row>
    <row r="5102" spans="1:12" x14ac:dyDescent="0.35">
      <c r="A5102" t="str">
        <f t="shared" si="1981"/>
        <v>NAVFAC MID-ATLANTIC HL5</v>
      </c>
      <c r="B5102" t="str">
        <f>T("NAVFAC MIDLANT WILLIAMS")</f>
        <v>NAVFAC MIDLANT WILLIAMS</v>
      </c>
      <c r="C5102" t="str">
        <f>T("1005 MICHAEL RD")</f>
        <v>1005 MICHAEL RD</v>
      </c>
      <c r="D5102" t="str">
        <f>T("CAMP LEJEUNE")</f>
        <v>CAMP LEJEUNE</v>
      </c>
      <c r="E5102" t="str">
        <f>T("NC")</f>
        <v>NC</v>
      </c>
      <c r="F5102" t="str">
        <f>T("285472521")</f>
        <v>285472521</v>
      </c>
      <c r="G5102" t="str">
        <f>T("NAVFAC MIDLANT WILLIAMS")</f>
        <v>NAVFAC MIDLANT WILLIAMS</v>
      </c>
      <c r="H5102" t="str">
        <f>T("1005 MICHAEL RD")</f>
        <v>1005 MICHAEL RD</v>
      </c>
      <c r="I5102" t="str">
        <f>T("CAMP LEJEUNE")</f>
        <v>CAMP LEJEUNE</v>
      </c>
      <c r="J5102" t="str">
        <f>T("NC")</f>
        <v>NC</v>
      </c>
      <c r="K5102" t="str">
        <f>T("7574455053")</f>
        <v>7574455053</v>
      </c>
      <c r="L5102" t="str">
        <f>T("1111111111")</f>
        <v>1111111111</v>
      </c>
    </row>
    <row r="5103" spans="1:12" x14ac:dyDescent="0.35">
      <c r="A5103" t="str">
        <f t="shared" si="1981"/>
        <v>NAVFAC MID-ATLANTIC HL5</v>
      </c>
      <c r="B5103" t="str">
        <f>T("NBS NEW LONDON")</f>
        <v>NBS NEW LONDON</v>
      </c>
      <c r="C5103" t="str">
        <f>T("BLDG 439 FLOOR 1")</f>
        <v>BLDG 439 FLOOR 1</v>
      </c>
      <c r="D5103" t="str">
        <f t="shared" ref="D5103:D5116" si="1982">T("GROTON")</f>
        <v>GROTON</v>
      </c>
      <c r="E5103" t="str">
        <f t="shared" ref="E5103:E5116" si="1983">T("CT")</f>
        <v>CT</v>
      </c>
      <c r="F5103" t="str">
        <f>T("063490000")</f>
        <v>063490000</v>
      </c>
      <c r="G5103" t="str">
        <f>T("BOX 400")</f>
        <v>BOX 400</v>
      </c>
      <c r="H5103" t="str">
        <f>T("NSB NEW LONDON")</f>
        <v>NSB NEW LONDON</v>
      </c>
      <c r="I5103" t="str">
        <f t="shared" ref="I5103:I5115" si="1984">T("GROTON")</f>
        <v>GROTON</v>
      </c>
      <c r="J5103" t="str">
        <f t="shared" ref="J5103:J5116" si="1985">T("CT")</f>
        <v>CT</v>
      </c>
      <c r="K5103" t="str">
        <f t="shared" ref="K5103:K5111" si="1986">T("000000000000000000")</f>
        <v>000000000000000000</v>
      </c>
      <c r="L5103" t="str">
        <f>T("8606943541")</f>
        <v>8606943541</v>
      </c>
    </row>
    <row r="5104" spans="1:12" x14ac:dyDescent="0.35">
      <c r="A5104" t="str">
        <f t="shared" si="1981"/>
        <v>NAVFAC MID-ATLANTIC HL5</v>
      </c>
      <c r="B5104" t="str">
        <f>T("NBS NEW LONDON")</f>
        <v>NBS NEW LONDON</v>
      </c>
      <c r="C5104" t="str">
        <f>T("BLDG 439 FLOOR 1")</f>
        <v>BLDG 439 FLOOR 1</v>
      </c>
      <c r="D5104" t="str">
        <f t="shared" si="1982"/>
        <v>GROTON</v>
      </c>
      <c r="E5104" t="str">
        <f t="shared" si="1983"/>
        <v>CT</v>
      </c>
      <c r="F5104" t="str">
        <f>T("063490000")</f>
        <v>063490000</v>
      </c>
      <c r="G5104" t="str">
        <f>T("NBS NEW LONDON")</f>
        <v>NBS NEW LONDON</v>
      </c>
      <c r="H5104" t="str">
        <f>T("BLDG 439 FLOOR 1")</f>
        <v>BLDG 439 FLOOR 1</v>
      </c>
      <c r="I5104" t="str">
        <f t="shared" si="1984"/>
        <v>GROTON</v>
      </c>
      <c r="J5104" t="str">
        <f t="shared" si="1985"/>
        <v>CT</v>
      </c>
      <c r="K5104" t="str">
        <f t="shared" si="1986"/>
        <v>000000000000000000</v>
      </c>
      <c r="L5104" t="str">
        <f>T("8606943976")</f>
        <v>8606943976</v>
      </c>
    </row>
    <row r="5105" spans="1:12" x14ac:dyDescent="0.35">
      <c r="A5105" t="str">
        <f t="shared" si="1981"/>
        <v>NAVFAC MID-ATLANTIC HL5</v>
      </c>
      <c r="B5105" t="str">
        <f>T("NBS NEW LONDON")</f>
        <v>NBS NEW LONDON</v>
      </c>
      <c r="C5105" t="str">
        <f>T("BLDG 439 FLOOR 1")</f>
        <v>BLDG 439 FLOOR 1</v>
      </c>
      <c r="D5105" t="str">
        <f t="shared" si="1982"/>
        <v>GROTON</v>
      </c>
      <c r="E5105" t="str">
        <f t="shared" si="1983"/>
        <v>CT</v>
      </c>
      <c r="F5105" t="str">
        <f>T("063490000")</f>
        <v>063490000</v>
      </c>
      <c r="G5105" t="str">
        <f>T("PUBLIC WORKS DEPARTMENT")</f>
        <v>PUBLIC WORKS DEPARTMENT</v>
      </c>
      <c r="H5105" t="str">
        <f>T("BOX 400 NAVAL SUB BASE GROTON")</f>
        <v>BOX 400 NAVAL SUB BASE GROTON</v>
      </c>
      <c r="I5105" t="str">
        <f t="shared" si="1984"/>
        <v>GROTON</v>
      </c>
      <c r="J5105" t="str">
        <f t="shared" si="1985"/>
        <v>CT</v>
      </c>
      <c r="K5105" t="str">
        <f t="shared" si="1986"/>
        <v>000000000000000000</v>
      </c>
      <c r="L5105" t="str">
        <f>T("8606943541")</f>
        <v>8606943541</v>
      </c>
    </row>
    <row r="5106" spans="1:12" x14ac:dyDescent="0.35">
      <c r="A5106" t="str">
        <f t="shared" si="1981"/>
        <v>NAVFAC MID-ATLANTIC HL5</v>
      </c>
      <c r="B5106" t="str">
        <f t="shared" ref="B5106:B5113" si="1987">T("NSB NEW LONDON")</f>
        <v>NSB NEW LONDON</v>
      </c>
      <c r="C5106" t="str">
        <f>T("BLDG 439 FLOOR 1")</f>
        <v>BLDG 439 FLOOR 1</v>
      </c>
      <c r="D5106" t="str">
        <f t="shared" si="1982"/>
        <v>GROTON</v>
      </c>
      <c r="E5106" t="str">
        <f t="shared" si="1983"/>
        <v>CT</v>
      </c>
      <c r="F5106" t="str">
        <f>T("063490000")</f>
        <v>063490000</v>
      </c>
      <c r="G5106" t="str">
        <f>T("NSB NEW LONDON")</f>
        <v>NSB NEW LONDON</v>
      </c>
      <c r="H5106" t="str">
        <f>T("BLDG 439 FLOOR 1")</f>
        <v>BLDG 439 FLOOR 1</v>
      </c>
      <c r="I5106" t="str">
        <f t="shared" si="1984"/>
        <v>GROTON</v>
      </c>
      <c r="J5106" t="str">
        <f t="shared" si="1985"/>
        <v>CT</v>
      </c>
      <c r="K5106" t="str">
        <f t="shared" si="1986"/>
        <v>000000000000000000</v>
      </c>
      <c r="L5106" t="str">
        <f>T("8606944587")</f>
        <v>8606944587</v>
      </c>
    </row>
    <row r="5107" spans="1:12" x14ac:dyDescent="0.35">
      <c r="A5107" t="str">
        <f t="shared" si="1981"/>
        <v>NAVFAC MID-ATLANTIC HL5</v>
      </c>
      <c r="B5107" t="str">
        <f t="shared" si="1987"/>
        <v>NSB NEW LONDON</v>
      </c>
      <c r="C5107" t="str">
        <f>T("BLDG 439 FLOOR 1")</f>
        <v>BLDG 439 FLOOR 1</v>
      </c>
      <c r="D5107" t="str">
        <f t="shared" si="1982"/>
        <v>GROTON</v>
      </c>
      <c r="E5107" t="str">
        <f t="shared" si="1983"/>
        <v>CT</v>
      </c>
      <c r="F5107" t="str">
        <f>T("063490000")</f>
        <v>063490000</v>
      </c>
      <c r="G5107" t="str">
        <f>T("PO BOX 400")</f>
        <v>PO BOX 400</v>
      </c>
      <c r="H5107" t="str">
        <f>T("BLDG 135 FLOOR 1")</f>
        <v>BLDG 135 FLOOR 1</v>
      </c>
      <c r="I5107" t="str">
        <f t="shared" si="1984"/>
        <v>GROTON</v>
      </c>
      <c r="J5107" t="str">
        <f t="shared" si="1985"/>
        <v>CT</v>
      </c>
      <c r="K5107" t="str">
        <f t="shared" si="1986"/>
        <v>000000000000000000</v>
      </c>
      <c r="L5107" t="str">
        <f>T("8606943399")</f>
        <v>8606943399</v>
      </c>
    </row>
    <row r="5108" spans="1:12" x14ac:dyDescent="0.35">
      <c r="A5108" t="str">
        <f t="shared" si="1981"/>
        <v>NAVFAC MID-ATLANTIC HL5</v>
      </c>
      <c r="B5108" t="str">
        <f t="shared" si="1987"/>
        <v>NSB NEW LONDON</v>
      </c>
      <c r="C5108" t="str">
        <f t="shared" ref="C5108:C5113" si="1988">T("P O BOX 400")</f>
        <v>P O BOX 400</v>
      </c>
      <c r="D5108" t="str">
        <f t="shared" si="1982"/>
        <v>GROTON</v>
      </c>
      <c r="E5108" t="str">
        <f t="shared" si="1983"/>
        <v>CT</v>
      </c>
      <c r="F5108" t="str">
        <f t="shared" ref="F5108:F5113" si="1989">T("063495400")</f>
        <v>063495400</v>
      </c>
      <c r="G5108" t="str">
        <f>T("BLDG 135")</f>
        <v>BLDG 135</v>
      </c>
      <c r="H5108" t="str">
        <f>T("NAVAL SUBMARINE BASE NEW LONDON")</f>
        <v>NAVAL SUBMARINE BASE NEW LONDON</v>
      </c>
      <c r="I5108" t="str">
        <f t="shared" si="1984"/>
        <v>GROTON</v>
      </c>
      <c r="J5108" t="str">
        <f t="shared" si="1985"/>
        <v>CT</v>
      </c>
      <c r="K5108" t="str">
        <f t="shared" si="1986"/>
        <v>000000000000000000</v>
      </c>
      <c r="L5108" t="str">
        <f>T("8606945187")</f>
        <v>8606945187</v>
      </c>
    </row>
    <row r="5109" spans="1:12" x14ac:dyDescent="0.35">
      <c r="A5109" t="str">
        <f t="shared" si="1981"/>
        <v>NAVFAC MID-ATLANTIC HL5</v>
      </c>
      <c r="B5109" t="str">
        <f t="shared" si="1987"/>
        <v>NSB NEW LONDON</v>
      </c>
      <c r="C5109" t="str">
        <f t="shared" si="1988"/>
        <v>P O BOX 400</v>
      </c>
      <c r="D5109" t="str">
        <f t="shared" si="1982"/>
        <v>GROTON</v>
      </c>
      <c r="E5109" t="str">
        <f t="shared" si="1983"/>
        <v>CT</v>
      </c>
      <c r="F5109" t="str">
        <f t="shared" si="1989"/>
        <v>063495400</v>
      </c>
      <c r="G5109" t="str">
        <f>T("BUILDING 460 THRESHER AVE")</f>
        <v>BUILDING 460 THRESHER AVE</v>
      </c>
      <c r="H5109" t="str">
        <f>T("")</f>
        <v/>
      </c>
      <c r="I5109" t="str">
        <f t="shared" si="1984"/>
        <v>GROTON</v>
      </c>
      <c r="J5109" t="str">
        <f t="shared" si="1985"/>
        <v>CT</v>
      </c>
      <c r="K5109" t="str">
        <f t="shared" si="1986"/>
        <v>000000000000000000</v>
      </c>
      <c r="L5109" t="str">
        <f>T("8606944578")</f>
        <v>8606944578</v>
      </c>
    </row>
    <row r="5110" spans="1:12" x14ac:dyDescent="0.35">
      <c r="A5110" t="str">
        <f t="shared" si="1981"/>
        <v>NAVFAC MID-ATLANTIC HL5</v>
      </c>
      <c r="B5110" t="str">
        <f t="shared" si="1987"/>
        <v>NSB NEW LONDON</v>
      </c>
      <c r="C5110" t="str">
        <f t="shared" si="1988"/>
        <v>P O BOX 400</v>
      </c>
      <c r="D5110" t="str">
        <f t="shared" si="1982"/>
        <v>GROTON</v>
      </c>
      <c r="E5110" t="str">
        <f t="shared" si="1983"/>
        <v>CT</v>
      </c>
      <c r="F5110" t="str">
        <f t="shared" si="1989"/>
        <v>063495400</v>
      </c>
      <c r="G5110" t="str">
        <f>T("NAVAL SUB BASE NEW LONDON")</f>
        <v>NAVAL SUB BASE NEW LONDON</v>
      </c>
      <c r="H5110" t="str">
        <f>T("BLDG 460 THRESHER AVE")</f>
        <v>BLDG 460 THRESHER AVE</v>
      </c>
      <c r="I5110" t="str">
        <f t="shared" si="1984"/>
        <v>GROTON</v>
      </c>
      <c r="J5110" t="str">
        <f t="shared" si="1985"/>
        <v>CT</v>
      </c>
      <c r="K5110" t="str">
        <f t="shared" si="1986"/>
        <v>000000000000000000</v>
      </c>
      <c r="L5110" t="str">
        <f>T("8606945985")</f>
        <v>8606945985</v>
      </c>
    </row>
    <row r="5111" spans="1:12" x14ac:dyDescent="0.35">
      <c r="A5111" t="str">
        <f t="shared" si="1981"/>
        <v>NAVFAC MID-ATLANTIC HL5</v>
      </c>
      <c r="B5111" t="str">
        <f t="shared" si="1987"/>
        <v>NSB NEW LONDON</v>
      </c>
      <c r="C5111" t="str">
        <f t="shared" si="1988"/>
        <v>P O BOX 400</v>
      </c>
      <c r="D5111" t="str">
        <f t="shared" si="1982"/>
        <v>GROTON</v>
      </c>
      <c r="E5111" t="str">
        <f t="shared" si="1983"/>
        <v>CT</v>
      </c>
      <c r="F5111" t="str">
        <f t="shared" si="1989"/>
        <v>063495400</v>
      </c>
      <c r="G5111" t="str">
        <f>T("NAVAL SUBMARINE BASE NLON")</f>
        <v>NAVAL SUBMARINE BASE NLON</v>
      </c>
      <c r="H5111" t="str">
        <f>T("BLDG 460")</f>
        <v>BLDG 460</v>
      </c>
      <c r="I5111" t="str">
        <f t="shared" si="1984"/>
        <v>GROTON</v>
      </c>
      <c r="J5111" t="str">
        <f t="shared" si="1985"/>
        <v>CT</v>
      </c>
      <c r="K5111" t="str">
        <f t="shared" si="1986"/>
        <v>000000000000000000</v>
      </c>
      <c r="L5111" t="str">
        <f>T("8606943959")</f>
        <v>8606943959</v>
      </c>
    </row>
    <row r="5112" spans="1:12" x14ac:dyDescent="0.35">
      <c r="A5112" t="str">
        <f t="shared" si="1981"/>
        <v>NAVFAC MID-ATLANTIC HL5</v>
      </c>
      <c r="B5112" t="str">
        <f t="shared" si="1987"/>
        <v>NSB NEW LONDON</v>
      </c>
      <c r="C5112" t="str">
        <f t="shared" si="1988"/>
        <v>P O BOX 400</v>
      </c>
      <c r="D5112" t="str">
        <f t="shared" si="1982"/>
        <v>GROTON</v>
      </c>
      <c r="E5112" t="str">
        <f t="shared" si="1983"/>
        <v>CT</v>
      </c>
      <c r="F5112" t="str">
        <f t="shared" si="1989"/>
        <v>063495400</v>
      </c>
      <c r="G5112" t="str">
        <f>T("NSB NEW LONDON")</f>
        <v>NSB NEW LONDON</v>
      </c>
      <c r="H5112" t="str">
        <f>T("P O BOX 400")</f>
        <v>P O BOX 400</v>
      </c>
      <c r="I5112" t="str">
        <f t="shared" si="1984"/>
        <v>GROTON</v>
      </c>
      <c r="J5112" t="str">
        <f t="shared" si="1985"/>
        <v>CT</v>
      </c>
      <c r="K5112" t="str">
        <f>T("")</f>
        <v/>
      </c>
      <c r="L5112" t="str">
        <f>T("8606943976")</f>
        <v>8606943976</v>
      </c>
    </row>
    <row r="5113" spans="1:12" x14ac:dyDescent="0.35">
      <c r="A5113" t="str">
        <f t="shared" si="1981"/>
        <v>NAVFAC MID-ATLANTIC HL5</v>
      </c>
      <c r="B5113" t="str">
        <f t="shared" si="1987"/>
        <v>NSB NEW LONDON</v>
      </c>
      <c r="C5113" t="str">
        <f t="shared" si="1988"/>
        <v>P O BOX 400</v>
      </c>
      <c r="D5113" t="str">
        <f t="shared" si="1982"/>
        <v>GROTON</v>
      </c>
      <c r="E5113" t="str">
        <f t="shared" si="1983"/>
        <v>CT</v>
      </c>
      <c r="F5113" t="str">
        <f t="shared" si="1989"/>
        <v>063495400</v>
      </c>
      <c r="G5113" t="str">
        <f>T("NSB NEW LONDON")</f>
        <v>NSB NEW LONDON</v>
      </c>
      <c r="H5113" t="str">
        <f>T("P O BOX 400")</f>
        <v>P O BOX 400</v>
      </c>
      <c r="I5113" t="str">
        <f t="shared" si="1984"/>
        <v>GROTON</v>
      </c>
      <c r="J5113" t="str">
        <f t="shared" si="1985"/>
        <v>CT</v>
      </c>
      <c r="K5113" t="str">
        <f>T("")</f>
        <v/>
      </c>
      <c r="L5113" t="str">
        <f>T("8606944459")</f>
        <v>8606944459</v>
      </c>
    </row>
    <row r="5114" spans="1:12" x14ac:dyDescent="0.35">
      <c r="A5114" t="str">
        <f t="shared" si="1981"/>
        <v>NAVFAC MID-ATLANTIC HL5</v>
      </c>
      <c r="B5114" t="str">
        <f>T("NSB NEW LONDON NAVFAC PW ENV")</f>
        <v>NSB NEW LONDON NAVFAC PW ENV</v>
      </c>
      <c r="C5114" t="str">
        <f>T("BLDG 439 FLOOR 1")</f>
        <v>BLDG 439 FLOOR 1</v>
      </c>
      <c r="D5114" t="str">
        <f t="shared" si="1982"/>
        <v>GROTON</v>
      </c>
      <c r="E5114" t="str">
        <f t="shared" si="1983"/>
        <v>CT</v>
      </c>
      <c r="F5114" t="str">
        <f>T("063490000")</f>
        <v>063490000</v>
      </c>
      <c r="G5114" t="str">
        <f>T("NSB NEW LONDON NAVFAC PW ENV")</f>
        <v>NSB NEW LONDON NAVFAC PW ENV</v>
      </c>
      <c r="H5114" t="str">
        <f>T("BLDG 439 FLOOR 1")</f>
        <v>BLDG 439 FLOOR 1</v>
      </c>
      <c r="I5114" t="str">
        <f t="shared" si="1984"/>
        <v>GROTON</v>
      </c>
      <c r="J5114" t="str">
        <f t="shared" si="1985"/>
        <v>CT</v>
      </c>
      <c r="K5114" t="str">
        <f>T("")</f>
        <v/>
      </c>
      <c r="L5114" t="str">
        <f>T("8606945159")</f>
        <v>8606945159</v>
      </c>
    </row>
    <row r="5115" spans="1:12" x14ac:dyDescent="0.35">
      <c r="A5115" t="str">
        <f t="shared" si="1981"/>
        <v>NAVFAC MID-ATLANTIC HL5</v>
      </c>
      <c r="B5115" t="str">
        <f>T("NSB NEW LONDON NAVFAC PW ENV")</f>
        <v>NSB NEW LONDON NAVFAC PW ENV</v>
      </c>
      <c r="C5115" t="str">
        <f>T("BLDG 439 FLOOR 1")</f>
        <v>BLDG 439 FLOOR 1</v>
      </c>
      <c r="D5115" t="str">
        <f t="shared" si="1982"/>
        <v>GROTON</v>
      </c>
      <c r="E5115" t="str">
        <f t="shared" si="1983"/>
        <v>CT</v>
      </c>
      <c r="F5115" t="str">
        <f>T("063490000")</f>
        <v>063490000</v>
      </c>
      <c r="G5115" t="str">
        <f>T("NSB NEW LONDON NAVFAC PW ENV")</f>
        <v>NSB NEW LONDON NAVFAC PW ENV</v>
      </c>
      <c r="H5115" t="str">
        <f>T("BLDG 439 RM104")</f>
        <v>BLDG 439 RM104</v>
      </c>
      <c r="I5115" t="str">
        <f t="shared" si="1984"/>
        <v>GROTON</v>
      </c>
      <c r="J5115" t="str">
        <f t="shared" si="1985"/>
        <v>CT</v>
      </c>
      <c r="K5115" t="str">
        <f>T("000000000000000000")</f>
        <v>000000000000000000</v>
      </c>
      <c r="L5115" t="str">
        <f>T("8606945192")</f>
        <v>8606945192</v>
      </c>
    </row>
    <row r="5116" spans="1:12" x14ac:dyDescent="0.35">
      <c r="A5116" t="str">
        <f t="shared" si="1981"/>
        <v>NAVFAC MID-ATLANTIC HL5</v>
      </c>
      <c r="B5116" t="str">
        <f>T("NSB NEW LONDON NAVFAC PW ENV")</f>
        <v>NSB NEW LONDON NAVFAC PW ENV</v>
      </c>
      <c r="C5116" t="str">
        <f>T("BLDG 439 FLOOR 1")</f>
        <v>BLDG 439 FLOOR 1</v>
      </c>
      <c r="D5116" t="str">
        <f t="shared" si="1982"/>
        <v>GROTON</v>
      </c>
      <c r="E5116" t="str">
        <f t="shared" si="1983"/>
        <v>CT</v>
      </c>
      <c r="F5116" t="str">
        <f>T("063490000")</f>
        <v>063490000</v>
      </c>
      <c r="G5116" t="str">
        <f>T("PWD NEW LONDON")</f>
        <v>PWD NEW LONDON</v>
      </c>
      <c r="H5116" t="str">
        <f>T("BLDG 562 WAHOO AVE")</f>
        <v>BLDG 562 WAHOO AVE</v>
      </c>
      <c r="I5116" t="str">
        <f>T("NEW LONDON")</f>
        <v>NEW LONDON</v>
      </c>
      <c r="J5116" t="str">
        <f t="shared" si="1985"/>
        <v>CT</v>
      </c>
      <c r="K5116" t="str">
        <f>T("000000000000000000")</f>
        <v>000000000000000000</v>
      </c>
      <c r="L5116" t="str">
        <f>T("8606944673")</f>
        <v>8606944673</v>
      </c>
    </row>
    <row r="5117" spans="1:12" x14ac:dyDescent="0.35">
      <c r="A5117" t="str">
        <f t="shared" si="1981"/>
        <v>NAVFAC MID-ATLANTIC HL5</v>
      </c>
      <c r="B5117" t="str">
        <f>T("NWS 201 HWY 34")</f>
        <v>NWS 201 HWY 34</v>
      </c>
      <c r="C5117" t="str">
        <f>T("BLDG C-23")</f>
        <v>BLDG C-23</v>
      </c>
      <c r="D5117" t="str">
        <f>T("COLTS NECK")</f>
        <v>COLTS NECK</v>
      </c>
      <c r="E5117" t="str">
        <f>T("NJ")</f>
        <v>NJ</v>
      </c>
      <c r="F5117" t="str">
        <f>T("077220000")</f>
        <v>077220000</v>
      </c>
      <c r="G5117" t="str">
        <f>T("NWS 201 HWY 34")</f>
        <v>NWS 201 HWY 34</v>
      </c>
      <c r="H5117" t="str">
        <f>T("BLDG C-23")</f>
        <v>BLDG C-23</v>
      </c>
      <c r="I5117" t="str">
        <f>T("COLTS NECK")</f>
        <v>COLTS NECK</v>
      </c>
      <c r="J5117" t="str">
        <f>T("NJ")</f>
        <v>NJ</v>
      </c>
      <c r="K5117" t="str">
        <f>T("7574455053")</f>
        <v>7574455053</v>
      </c>
      <c r="L5117" t="str">
        <f>T("7573221008")</f>
        <v>7573221008</v>
      </c>
    </row>
    <row r="5118" spans="1:12" x14ac:dyDescent="0.35">
      <c r="A5118" t="str">
        <f t="shared" si="1981"/>
        <v>NAVFAC MID-ATLANTIC HL5</v>
      </c>
      <c r="B5118" t="str">
        <f>T("NWS 201 HWY 34")</f>
        <v>NWS 201 HWY 34</v>
      </c>
      <c r="C5118" t="str">
        <f>T("BLDG C-23")</f>
        <v>BLDG C-23</v>
      </c>
      <c r="D5118" t="str">
        <f>T("COLTS NECK")</f>
        <v>COLTS NECK</v>
      </c>
      <c r="E5118" t="str">
        <f>T("NJ")</f>
        <v>NJ</v>
      </c>
      <c r="F5118" t="str">
        <f>T("077220000")</f>
        <v>077220000</v>
      </c>
      <c r="G5118" t="str">
        <f>T("NWS EARLE")</f>
        <v>NWS EARLE</v>
      </c>
      <c r="H5118" t="str">
        <f>T("201 HWY 34 BLDG C-23")</f>
        <v>201 HWY 34 BLDG C-23</v>
      </c>
      <c r="I5118" t="str">
        <f>T("COLTS NECK")</f>
        <v>COLTS NECK</v>
      </c>
      <c r="J5118" t="str">
        <f>T("NJ")</f>
        <v>NJ</v>
      </c>
      <c r="K5118" t="str">
        <f>T("000000000000000000")</f>
        <v>000000000000000000</v>
      </c>
      <c r="L5118" t="str">
        <f>T("7328662337")</f>
        <v>7328662337</v>
      </c>
    </row>
    <row r="5119" spans="1:12" x14ac:dyDescent="0.35">
      <c r="A5119" t="str">
        <f t="shared" si="1981"/>
        <v>NAVFAC MID-ATLANTIC HL5</v>
      </c>
      <c r="B5119" t="str">
        <f>T("PWD MAINE BLDG PNNSY PRM3")</f>
        <v>PWD MAINE BLDG PNNSY PRM3</v>
      </c>
      <c r="C5119" t="str">
        <f t="shared" ref="C5119:C5131" si="1990">T("")</f>
        <v/>
      </c>
      <c r="D5119" t="str">
        <f>T("PORTSMOUTH")</f>
        <v>PORTSMOUTH</v>
      </c>
      <c r="E5119" t="str">
        <f>T("NH")</f>
        <v>NH</v>
      </c>
      <c r="F5119" t="str">
        <f>T("038040000")</f>
        <v>038040000</v>
      </c>
      <c r="G5119" t="str">
        <f>T("PORTSMOUTH NAVAL SHIPYARD")</f>
        <v>PORTSMOUTH NAVAL SHIPYARD</v>
      </c>
      <c r="H5119" t="str">
        <f>T("BLDG 59")</f>
        <v>BLDG 59</v>
      </c>
      <c r="I5119" t="str">
        <f>T("PORTSMOUTH")</f>
        <v>PORTSMOUTH</v>
      </c>
      <c r="J5119" t="str">
        <f>T("NH")</f>
        <v>NH</v>
      </c>
      <c r="K5119" t="str">
        <f>T("000000000000000000")</f>
        <v>000000000000000000</v>
      </c>
      <c r="L5119" t="str">
        <f>T("2074385569")</f>
        <v>2074385569</v>
      </c>
    </row>
    <row r="5120" spans="1:12" x14ac:dyDescent="0.35">
      <c r="A5120" t="str">
        <f t="shared" si="1981"/>
        <v>NAVFAC MID-ATLANTIC HL5</v>
      </c>
      <c r="B5120" t="str">
        <f>T("PWD MAINE BLDG PNNSY PRM3")</f>
        <v>PWD MAINE BLDG PNNSY PRM3</v>
      </c>
      <c r="C5120" t="str">
        <f t="shared" si="1990"/>
        <v/>
      </c>
      <c r="D5120" t="str">
        <f>T("PORTSMOUTH")</f>
        <v>PORTSMOUTH</v>
      </c>
      <c r="E5120" t="str">
        <f>T("NH")</f>
        <v>NH</v>
      </c>
      <c r="F5120" t="str">
        <f>T("038040000")</f>
        <v>038040000</v>
      </c>
      <c r="G5120" t="str">
        <f>T("PWD MAINE BLDG PNNSY PRM3")</f>
        <v>PWD MAINE BLDG PNNSY PRM3</v>
      </c>
      <c r="H5120" t="str">
        <f>T("")</f>
        <v/>
      </c>
      <c r="I5120" t="str">
        <f>T("PORTSMOUTH")</f>
        <v>PORTSMOUTH</v>
      </c>
      <c r="J5120" t="str">
        <f>T("NH")</f>
        <v>NH</v>
      </c>
      <c r="K5120" t="str">
        <f>T("")</f>
        <v/>
      </c>
      <c r="L5120" t="str">
        <f>T("2074381788")</f>
        <v>2074381788</v>
      </c>
    </row>
    <row r="5121" spans="1:12" x14ac:dyDescent="0.35">
      <c r="A5121" t="str">
        <f t="shared" si="1981"/>
        <v>NAVFAC MID-ATLANTIC HL5</v>
      </c>
      <c r="B5121" t="str">
        <f>T("PWD MAINE PNSY BLDG 154")</f>
        <v>PWD MAINE PNSY BLDG 154</v>
      </c>
      <c r="C5121" t="str">
        <f t="shared" si="1990"/>
        <v/>
      </c>
      <c r="D5121" t="str">
        <f>T("PORTSMOUTH")</f>
        <v>PORTSMOUTH</v>
      </c>
      <c r="E5121" t="str">
        <f>T("NH")</f>
        <v>NH</v>
      </c>
      <c r="F5121" t="str">
        <f>T("038045000")</f>
        <v>038045000</v>
      </c>
      <c r="G5121" t="str">
        <f>T("PORTSMOUTH NAVAL SHIPYARD")</f>
        <v>PORTSMOUTH NAVAL SHIPYARD</v>
      </c>
      <c r="H5121" t="str">
        <f>T("BLDG 154")</f>
        <v>BLDG 154</v>
      </c>
      <c r="I5121" t="str">
        <f>T("KITTERY")</f>
        <v>KITTERY</v>
      </c>
      <c r="J5121" t="str">
        <f>T("NH")</f>
        <v>NH</v>
      </c>
      <c r="K5121" t="str">
        <f>T("000000000000000000")</f>
        <v>000000000000000000</v>
      </c>
      <c r="L5121" t="str">
        <f>T("2074385563")</f>
        <v>2074385563</v>
      </c>
    </row>
    <row r="5122" spans="1:12" x14ac:dyDescent="0.35">
      <c r="A5122" t="str">
        <f t="shared" si="1981"/>
        <v>NAVFAC MID-ATLANTIC HL5</v>
      </c>
      <c r="B5122" t="str">
        <f>T("PWD MAINE PNSY BLDG 154")</f>
        <v>PWD MAINE PNSY BLDG 154</v>
      </c>
      <c r="C5122" t="str">
        <f t="shared" si="1990"/>
        <v/>
      </c>
      <c r="D5122" t="str">
        <f>T("PORTSMOUTH")</f>
        <v>PORTSMOUTH</v>
      </c>
      <c r="E5122" t="str">
        <f>T("NH")</f>
        <v>NH</v>
      </c>
      <c r="F5122" t="str">
        <f>T("038045000")</f>
        <v>038045000</v>
      </c>
      <c r="G5122" t="str">
        <f>T("PWD MAINE PNSY BLDG 154")</f>
        <v>PWD MAINE PNSY BLDG 154</v>
      </c>
      <c r="H5122" t="str">
        <f>T("")</f>
        <v/>
      </c>
      <c r="I5122" t="str">
        <f>T("PORTSMOUTH")</f>
        <v>PORTSMOUTH</v>
      </c>
      <c r="J5122" t="str">
        <f>T("NH")</f>
        <v>NH</v>
      </c>
      <c r="K5122" t="str">
        <f>T("")</f>
        <v/>
      </c>
      <c r="L5122" t="str">
        <f>T("2074385564")</f>
        <v>2074385564</v>
      </c>
    </row>
    <row r="5123" spans="1:12" x14ac:dyDescent="0.35">
      <c r="A5123" t="str">
        <f t="shared" ref="A5123:A5160" si="1991">T("NAVFAC NORTHWEST HL5")</f>
        <v>NAVFAC NORTHWEST HL5</v>
      </c>
      <c r="B5123" t="str">
        <f>T("1034 SCULPIN CIRCLE")</f>
        <v>1034 SCULPIN CIRCLE</v>
      </c>
      <c r="C5123" t="str">
        <f t="shared" si="1990"/>
        <v/>
      </c>
      <c r="D5123" t="str">
        <f t="shared" ref="D5123:D5140" si="1992">T("SILVERDALE")</f>
        <v>SILVERDALE</v>
      </c>
      <c r="E5123" t="str">
        <f t="shared" ref="E5123:E5160" si="1993">T("WA")</f>
        <v>WA</v>
      </c>
      <c r="F5123" t="str">
        <f>T("983150000")</f>
        <v>983150000</v>
      </c>
      <c r="G5123" t="str">
        <f>T("1034 SCULPIN")</f>
        <v>1034 SCULPIN</v>
      </c>
      <c r="H5123" t="str">
        <f>T("")</f>
        <v/>
      </c>
      <c r="I5123" t="str">
        <f t="shared" ref="I5123:I5140" si="1994">T("SILVERDALE")</f>
        <v>SILVERDALE</v>
      </c>
      <c r="J5123" t="str">
        <f t="shared" ref="J5123:J5160" si="1995">T("WA")</f>
        <v>WA</v>
      </c>
      <c r="K5123" t="str">
        <f>T("3603965674")</f>
        <v>3603965674</v>
      </c>
      <c r="L5123" t="str">
        <f>T("3603964116")</f>
        <v>3603964116</v>
      </c>
    </row>
    <row r="5124" spans="1:12" x14ac:dyDescent="0.35">
      <c r="A5124" t="str">
        <f t="shared" si="1991"/>
        <v>NAVFAC NORTHWEST HL5</v>
      </c>
      <c r="B5124" t="str">
        <f>T("1034 SCULPIN CIRCLE")</f>
        <v>1034 SCULPIN CIRCLE</v>
      </c>
      <c r="C5124" t="str">
        <f t="shared" si="1990"/>
        <v/>
      </c>
      <c r="D5124" t="str">
        <f t="shared" si="1992"/>
        <v>SILVERDALE</v>
      </c>
      <c r="E5124" t="str">
        <f t="shared" si="1993"/>
        <v>WA</v>
      </c>
      <c r="F5124" t="str">
        <f>T("983150000")</f>
        <v>983150000</v>
      </c>
      <c r="G5124" t="str">
        <f>T("1034 SCULPIN CIRCLE")</f>
        <v>1034 SCULPIN CIRCLE</v>
      </c>
      <c r="H5124" t="str">
        <f>T("")</f>
        <v/>
      </c>
      <c r="I5124" t="str">
        <f t="shared" si="1994"/>
        <v>SILVERDALE</v>
      </c>
      <c r="J5124" t="str">
        <f t="shared" si="1995"/>
        <v>WA</v>
      </c>
      <c r="K5124" t="str">
        <f>T("3603965674")</f>
        <v>3603965674</v>
      </c>
      <c r="L5124" t="str">
        <f>T("3603964897")</f>
        <v>3603964897</v>
      </c>
    </row>
    <row r="5125" spans="1:12" x14ac:dyDescent="0.35">
      <c r="A5125" t="str">
        <f t="shared" si="1991"/>
        <v>NAVFAC NORTHWEST HL5</v>
      </c>
      <c r="B5125" t="str">
        <f t="shared" ref="B5125:B5140" si="1996">T("1101 TAUTOG CIRCLE")</f>
        <v>1101 TAUTOG CIRCLE</v>
      </c>
      <c r="C5125" t="str">
        <f t="shared" si="1990"/>
        <v/>
      </c>
      <c r="D5125" t="str">
        <f t="shared" si="1992"/>
        <v>SILVERDALE</v>
      </c>
      <c r="E5125" t="str">
        <f t="shared" si="1993"/>
        <v>WA</v>
      </c>
      <c r="F5125" t="str">
        <f t="shared" ref="F5125:F5133" si="1997">T("983151101")</f>
        <v>983151101</v>
      </c>
      <c r="G5125" t="str">
        <f>T("1101 TAUTOG CIR")</f>
        <v>1101 TAUTOG CIR</v>
      </c>
      <c r="H5125" t="str">
        <f>T("RM 203")</f>
        <v>RM 203</v>
      </c>
      <c r="I5125" t="str">
        <f t="shared" si="1994"/>
        <v>SILVERDALE</v>
      </c>
      <c r="J5125" t="str">
        <f t="shared" si="1995"/>
        <v>WA</v>
      </c>
      <c r="K5125" t="str">
        <f>T("3603960972")</f>
        <v>3603960972</v>
      </c>
      <c r="L5125" t="str">
        <f>T("3603960088")</f>
        <v>3603960088</v>
      </c>
    </row>
    <row r="5126" spans="1:12" x14ac:dyDescent="0.35">
      <c r="A5126" t="str">
        <f t="shared" si="1991"/>
        <v>NAVFAC NORTHWEST HL5</v>
      </c>
      <c r="B5126" t="str">
        <f t="shared" si="1996"/>
        <v>1101 TAUTOG CIRCLE</v>
      </c>
      <c r="C5126" t="str">
        <f t="shared" si="1990"/>
        <v/>
      </c>
      <c r="D5126" t="str">
        <f t="shared" si="1992"/>
        <v>SILVERDALE</v>
      </c>
      <c r="E5126" t="str">
        <f t="shared" si="1993"/>
        <v>WA</v>
      </c>
      <c r="F5126" t="str">
        <f t="shared" si="1997"/>
        <v>983151101</v>
      </c>
      <c r="G5126" t="str">
        <f>T("1101 TAUTOG CIRCLE")</f>
        <v>1101 TAUTOG CIRCLE</v>
      </c>
      <c r="H5126" t="str">
        <f>T("")</f>
        <v/>
      </c>
      <c r="I5126" t="str">
        <f t="shared" si="1994"/>
        <v>SILVERDALE</v>
      </c>
      <c r="J5126" t="str">
        <f t="shared" si="1995"/>
        <v>WA</v>
      </c>
      <c r="K5126" t="str">
        <f>T("3603150088")</f>
        <v>3603150088</v>
      </c>
      <c r="L5126" t="str">
        <f>T("3603152514")</f>
        <v>3603152514</v>
      </c>
    </row>
    <row r="5127" spans="1:12" x14ac:dyDescent="0.35">
      <c r="A5127" t="str">
        <f t="shared" si="1991"/>
        <v>NAVFAC NORTHWEST HL5</v>
      </c>
      <c r="B5127" t="str">
        <f t="shared" si="1996"/>
        <v>1101 TAUTOG CIRCLE</v>
      </c>
      <c r="C5127" t="str">
        <f t="shared" si="1990"/>
        <v/>
      </c>
      <c r="D5127" t="str">
        <f t="shared" si="1992"/>
        <v>SILVERDALE</v>
      </c>
      <c r="E5127" t="str">
        <f t="shared" si="1993"/>
        <v>WA</v>
      </c>
      <c r="F5127" t="str">
        <f t="shared" si="1997"/>
        <v>983151101</v>
      </c>
      <c r="G5127" t="str">
        <f>T("1101 TAUTOG CIRCLE")</f>
        <v>1101 TAUTOG CIRCLE</v>
      </c>
      <c r="H5127" t="str">
        <f>T("")</f>
        <v/>
      </c>
      <c r="I5127" t="str">
        <f t="shared" si="1994"/>
        <v>SILVERDALE</v>
      </c>
      <c r="J5127" t="str">
        <f t="shared" si="1995"/>
        <v>WA</v>
      </c>
      <c r="K5127" t="str">
        <f>T("3603150088")</f>
        <v>3603150088</v>
      </c>
      <c r="L5127" t="str">
        <f>T("3603960063")</f>
        <v>3603960063</v>
      </c>
    </row>
    <row r="5128" spans="1:12" x14ac:dyDescent="0.35">
      <c r="A5128" t="str">
        <f t="shared" si="1991"/>
        <v>NAVFAC NORTHWEST HL5</v>
      </c>
      <c r="B5128" t="str">
        <f t="shared" si="1996"/>
        <v>1101 TAUTOG CIRCLE</v>
      </c>
      <c r="C5128" t="str">
        <f t="shared" si="1990"/>
        <v/>
      </c>
      <c r="D5128" t="str">
        <f t="shared" si="1992"/>
        <v>SILVERDALE</v>
      </c>
      <c r="E5128" t="str">
        <f t="shared" si="1993"/>
        <v>WA</v>
      </c>
      <c r="F5128" t="str">
        <f t="shared" si="1997"/>
        <v>983151101</v>
      </c>
      <c r="G5128" t="str">
        <f>T("1101 TAUTOG CIRCLE")</f>
        <v>1101 TAUTOG CIRCLE</v>
      </c>
      <c r="H5128" t="str">
        <f>T("")</f>
        <v/>
      </c>
      <c r="I5128" t="str">
        <f t="shared" si="1994"/>
        <v>SILVERDALE</v>
      </c>
      <c r="J5128" t="str">
        <f t="shared" si="1995"/>
        <v>WA</v>
      </c>
      <c r="K5128" t="str">
        <f>T("3603960852")</f>
        <v>3603960852</v>
      </c>
      <c r="L5128" t="str">
        <f>T("3609796235")</f>
        <v>3609796235</v>
      </c>
    </row>
    <row r="5129" spans="1:12" x14ac:dyDescent="0.35">
      <c r="A5129" t="str">
        <f t="shared" si="1991"/>
        <v>NAVFAC NORTHWEST HL5</v>
      </c>
      <c r="B5129" t="str">
        <f t="shared" si="1996"/>
        <v>1101 TAUTOG CIRCLE</v>
      </c>
      <c r="C5129" t="str">
        <f t="shared" si="1990"/>
        <v/>
      </c>
      <c r="D5129" t="str">
        <f t="shared" si="1992"/>
        <v>SILVERDALE</v>
      </c>
      <c r="E5129" t="str">
        <f t="shared" si="1993"/>
        <v>WA</v>
      </c>
      <c r="F5129" t="str">
        <f t="shared" si="1997"/>
        <v>983151101</v>
      </c>
      <c r="G5129" t="str">
        <f>T("1101 TAUTOG CIRCLE")</f>
        <v>1101 TAUTOG CIRCLE</v>
      </c>
      <c r="H5129" t="str">
        <f>T("BUILDING 1101")</f>
        <v>BUILDING 1101</v>
      </c>
      <c r="I5129" t="str">
        <f t="shared" si="1994"/>
        <v>SILVERDALE</v>
      </c>
      <c r="J5129" t="str">
        <f t="shared" si="1995"/>
        <v>WA</v>
      </c>
      <c r="K5129" t="str">
        <f>T("3603960972")</f>
        <v>3603960972</v>
      </c>
      <c r="L5129" t="str">
        <f>T("3603960932")</f>
        <v>3603960932</v>
      </c>
    </row>
    <row r="5130" spans="1:12" x14ac:dyDescent="0.35">
      <c r="A5130" t="str">
        <f t="shared" si="1991"/>
        <v>NAVFAC NORTHWEST HL5</v>
      </c>
      <c r="B5130" t="str">
        <f t="shared" si="1996"/>
        <v>1101 TAUTOG CIRCLE</v>
      </c>
      <c r="C5130" t="str">
        <f t="shared" si="1990"/>
        <v/>
      </c>
      <c r="D5130" t="str">
        <f t="shared" si="1992"/>
        <v>SILVERDALE</v>
      </c>
      <c r="E5130" t="str">
        <f t="shared" si="1993"/>
        <v>WA</v>
      </c>
      <c r="F5130" t="str">
        <f t="shared" si="1997"/>
        <v>983151101</v>
      </c>
      <c r="G5130" t="str">
        <f>T("1101 TAUTOG CIRCLE")</f>
        <v>1101 TAUTOG CIRCLE</v>
      </c>
      <c r="H5130" t="str">
        <f>T("ROOM 203")</f>
        <v>ROOM 203</v>
      </c>
      <c r="I5130" t="str">
        <f t="shared" si="1994"/>
        <v>SILVERDALE</v>
      </c>
      <c r="J5130" t="str">
        <f t="shared" si="1995"/>
        <v>WA</v>
      </c>
      <c r="K5130" t="str">
        <f>T("3603960852")</f>
        <v>3603960852</v>
      </c>
      <c r="L5130" t="str">
        <f>T("3603960294")</f>
        <v>3603960294</v>
      </c>
    </row>
    <row r="5131" spans="1:12" x14ac:dyDescent="0.35">
      <c r="A5131" t="str">
        <f t="shared" si="1991"/>
        <v>NAVFAC NORTHWEST HL5</v>
      </c>
      <c r="B5131" t="str">
        <f t="shared" si="1996"/>
        <v>1101 TAUTOG CIRCLE</v>
      </c>
      <c r="C5131" t="str">
        <f t="shared" si="1990"/>
        <v/>
      </c>
      <c r="D5131" t="str">
        <f t="shared" si="1992"/>
        <v>SILVERDALE</v>
      </c>
      <c r="E5131" t="str">
        <f t="shared" si="1993"/>
        <v>WA</v>
      </c>
      <c r="F5131" t="str">
        <f t="shared" si="1997"/>
        <v>983151101</v>
      </c>
      <c r="G5131" t="str">
        <f>T("T-076 SKATE STREET")</f>
        <v>T-076 SKATE STREET</v>
      </c>
      <c r="H5131" t="str">
        <f>T("")</f>
        <v/>
      </c>
      <c r="I5131" t="str">
        <f t="shared" si="1994"/>
        <v>SILVERDALE</v>
      </c>
      <c r="J5131" t="str">
        <f t="shared" si="1995"/>
        <v>WA</v>
      </c>
      <c r="K5131" t="str">
        <f>T("3603960852")</f>
        <v>3603960852</v>
      </c>
      <c r="L5131" t="str">
        <f>T("3603965488")</f>
        <v>3603965488</v>
      </c>
    </row>
    <row r="5132" spans="1:12" x14ac:dyDescent="0.35">
      <c r="A5132" t="str">
        <f t="shared" si="1991"/>
        <v>NAVFAC NORTHWEST HL5</v>
      </c>
      <c r="B5132" t="str">
        <f t="shared" si="1996"/>
        <v>1101 TAUTOG CIRCLE</v>
      </c>
      <c r="C5132" t="str">
        <f>T("3RD FL RM 314")</f>
        <v>3RD FL RM 314</v>
      </c>
      <c r="D5132" t="str">
        <f t="shared" si="1992"/>
        <v>SILVERDALE</v>
      </c>
      <c r="E5132" t="str">
        <f t="shared" si="1993"/>
        <v>WA</v>
      </c>
      <c r="F5132" t="str">
        <f t="shared" si="1997"/>
        <v>983151101</v>
      </c>
      <c r="G5132" t="str">
        <f t="shared" ref="G5132:G5140" si="1998">T("1101 TAUTOG CIRCLE")</f>
        <v>1101 TAUTOG CIRCLE</v>
      </c>
      <c r="H5132" t="str">
        <f>T("3RD FL RM 314")</f>
        <v>3RD FL RM 314</v>
      </c>
      <c r="I5132" t="str">
        <f t="shared" si="1994"/>
        <v>SILVERDALE</v>
      </c>
      <c r="J5132" t="str">
        <f t="shared" si="1995"/>
        <v>WA</v>
      </c>
      <c r="K5132" t="str">
        <f>T("000000000000000000")</f>
        <v>000000000000000000</v>
      </c>
      <c r="L5132" t="str">
        <f>T("3603960054")</f>
        <v>3603960054</v>
      </c>
    </row>
    <row r="5133" spans="1:12" x14ac:dyDescent="0.35">
      <c r="A5133" t="str">
        <f t="shared" si="1991"/>
        <v>NAVFAC NORTHWEST HL5</v>
      </c>
      <c r="B5133" t="str">
        <f t="shared" si="1996"/>
        <v>1101 TAUTOG CIRCLE</v>
      </c>
      <c r="C5133" t="str">
        <f>T("3RD FL RM 314")</f>
        <v>3RD FL RM 314</v>
      </c>
      <c r="D5133" t="str">
        <f t="shared" si="1992"/>
        <v>SILVERDALE</v>
      </c>
      <c r="E5133" t="str">
        <f t="shared" si="1993"/>
        <v>WA</v>
      </c>
      <c r="F5133" t="str">
        <f t="shared" si="1997"/>
        <v>983151101</v>
      </c>
      <c r="G5133" t="str">
        <f t="shared" si="1998"/>
        <v>1101 TAUTOG CIRCLE</v>
      </c>
      <c r="H5133" t="str">
        <f>T("SUITE 314")</f>
        <v>SUITE 314</v>
      </c>
      <c r="I5133" t="str">
        <f t="shared" si="1994"/>
        <v>SILVERDALE</v>
      </c>
      <c r="J5133" t="str">
        <f t="shared" si="1995"/>
        <v>WA</v>
      </c>
      <c r="K5133" t="str">
        <f>T("3603960954")</f>
        <v>3603960954</v>
      </c>
      <c r="L5133" t="str">
        <f>T("3603960076")</f>
        <v>3603960076</v>
      </c>
    </row>
    <row r="5134" spans="1:12" x14ac:dyDescent="0.35">
      <c r="A5134" t="str">
        <f t="shared" si="1991"/>
        <v>NAVFAC NORTHWEST HL5</v>
      </c>
      <c r="B5134" t="str">
        <f t="shared" si="1996"/>
        <v>1101 TAUTOG CIRCLE</v>
      </c>
      <c r="C5134" t="str">
        <f>T("ROOM #203")</f>
        <v>ROOM #203</v>
      </c>
      <c r="D5134" t="str">
        <f t="shared" si="1992"/>
        <v>SILVERDALE</v>
      </c>
      <c r="E5134" t="str">
        <f t="shared" si="1993"/>
        <v>WA</v>
      </c>
      <c r="F5134" t="str">
        <f t="shared" ref="F5134:F5140" si="1999">T("983151104")</f>
        <v>983151104</v>
      </c>
      <c r="G5134" t="str">
        <f t="shared" si="1998"/>
        <v>1101 TAUTOG CIRCLE</v>
      </c>
      <c r="H5134" t="str">
        <f>T("BUILDING 1101")</f>
        <v>BUILDING 1101</v>
      </c>
      <c r="I5134" t="str">
        <f t="shared" si="1994"/>
        <v>SILVERDALE</v>
      </c>
      <c r="J5134" t="str">
        <f t="shared" si="1995"/>
        <v>WA</v>
      </c>
      <c r="K5134" t="str">
        <f>T("3603960856")</f>
        <v>3603960856</v>
      </c>
      <c r="L5134" t="str">
        <f>T("3603964508")</f>
        <v>3603964508</v>
      </c>
    </row>
    <row r="5135" spans="1:12" x14ac:dyDescent="0.35">
      <c r="A5135" t="str">
        <f t="shared" si="1991"/>
        <v>NAVFAC NORTHWEST HL5</v>
      </c>
      <c r="B5135" t="str">
        <f t="shared" si="1996"/>
        <v>1101 TAUTOG CIRCLE</v>
      </c>
      <c r="C5135" t="str">
        <f>T("ROOM #203")</f>
        <v>ROOM #203</v>
      </c>
      <c r="D5135" t="str">
        <f t="shared" si="1992"/>
        <v>SILVERDALE</v>
      </c>
      <c r="E5135" t="str">
        <f t="shared" si="1993"/>
        <v>WA</v>
      </c>
      <c r="F5135" t="str">
        <f t="shared" si="1999"/>
        <v>983151104</v>
      </c>
      <c r="G5135" t="str">
        <f t="shared" si="1998"/>
        <v>1101 TAUTOG CIRCLE</v>
      </c>
      <c r="H5135" t="str">
        <f>T("ROOM #203")</f>
        <v>ROOM #203</v>
      </c>
      <c r="I5135" t="str">
        <f t="shared" si="1994"/>
        <v>SILVERDALE</v>
      </c>
      <c r="J5135" t="str">
        <f t="shared" si="1995"/>
        <v>WA</v>
      </c>
      <c r="K5135" t="str">
        <f>T("")</f>
        <v/>
      </c>
      <c r="L5135" t="str">
        <f>T("3603960016")</f>
        <v>3603960016</v>
      </c>
    </row>
    <row r="5136" spans="1:12" x14ac:dyDescent="0.35">
      <c r="A5136" t="str">
        <f t="shared" si="1991"/>
        <v>NAVFAC NORTHWEST HL5</v>
      </c>
      <c r="B5136" t="str">
        <f t="shared" si="1996"/>
        <v>1101 TAUTOG CIRCLE</v>
      </c>
      <c r="C5136" t="str">
        <f>T("ROOM #203")</f>
        <v>ROOM #203</v>
      </c>
      <c r="D5136" t="str">
        <f t="shared" si="1992"/>
        <v>SILVERDALE</v>
      </c>
      <c r="E5136" t="str">
        <f t="shared" si="1993"/>
        <v>WA</v>
      </c>
      <c r="F5136" t="str">
        <f t="shared" si="1999"/>
        <v>983151104</v>
      </c>
      <c r="G5136" t="str">
        <f t="shared" si="1998"/>
        <v>1101 TAUTOG CIRCLE</v>
      </c>
      <c r="H5136" t="str">
        <f>T("SUITE 102")</f>
        <v>SUITE 102</v>
      </c>
      <c r="I5136" t="str">
        <f t="shared" si="1994"/>
        <v>SILVERDALE</v>
      </c>
      <c r="J5136" t="str">
        <f t="shared" si="1995"/>
        <v>WA</v>
      </c>
      <c r="K5136" t="str">
        <f>T("3603960857")</f>
        <v>3603960857</v>
      </c>
      <c r="L5136" t="str">
        <f>T("3603960034")</f>
        <v>3603960034</v>
      </c>
    </row>
    <row r="5137" spans="1:12" x14ac:dyDescent="0.35">
      <c r="A5137" t="str">
        <f t="shared" si="1991"/>
        <v>NAVFAC NORTHWEST HL5</v>
      </c>
      <c r="B5137" t="str">
        <f t="shared" si="1996"/>
        <v>1101 TAUTOG CIRCLE</v>
      </c>
      <c r="C5137" t="str">
        <f>T("ROOM 203")</f>
        <v>ROOM 203</v>
      </c>
      <c r="D5137" t="str">
        <f t="shared" si="1992"/>
        <v>SILVERDALE</v>
      </c>
      <c r="E5137" t="str">
        <f t="shared" si="1993"/>
        <v>WA</v>
      </c>
      <c r="F5137" t="str">
        <f t="shared" si="1999"/>
        <v>983151104</v>
      </c>
      <c r="G5137" t="str">
        <f t="shared" si="1998"/>
        <v>1101 TAUTOG CIRCLE</v>
      </c>
      <c r="H5137" t="str">
        <f>T("")</f>
        <v/>
      </c>
      <c r="I5137" t="str">
        <f t="shared" si="1994"/>
        <v>SILVERDALE</v>
      </c>
      <c r="J5137" t="str">
        <f t="shared" si="1995"/>
        <v>WA</v>
      </c>
      <c r="K5137" t="str">
        <f>T("3603150088")</f>
        <v>3603150088</v>
      </c>
      <c r="L5137" t="str">
        <f>T("3603960063")</f>
        <v>3603960063</v>
      </c>
    </row>
    <row r="5138" spans="1:12" x14ac:dyDescent="0.35">
      <c r="A5138" t="str">
        <f t="shared" si="1991"/>
        <v>NAVFAC NORTHWEST HL5</v>
      </c>
      <c r="B5138" t="str">
        <f t="shared" si="1996"/>
        <v>1101 TAUTOG CIRCLE</v>
      </c>
      <c r="C5138" t="str">
        <f>T("ROOM 203")</f>
        <v>ROOM 203</v>
      </c>
      <c r="D5138" t="str">
        <f t="shared" si="1992"/>
        <v>SILVERDALE</v>
      </c>
      <c r="E5138" t="str">
        <f t="shared" si="1993"/>
        <v>WA</v>
      </c>
      <c r="F5138" t="str">
        <f t="shared" si="1999"/>
        <v>983151104</v>
      </c>
      <c r="G5138" t="str">
        <f t="shared" si="1998"/>
        <v>1101 TAUTOG CIRCLE</v>
      </c>
      <c r="H5138" t="str">
        <f>T("BUILDING 1101")</f>
        <v>BUILDING 1101</v>
      </c>
      <c r="I5138" t="str">
        <f t="shared" si="1994"/>
        <v>SILVERDALE</v>
      </c>
      <c r="J5138" t="str">
        <f t="shared" si="1995"/>
        <v>WA</v>
      </c>
      <c r="K5138" t="str">
        <f>T("3603960972")</f>
        <v>3603960972</v>
      </c>
      <c r="L5138" t="str">
        <f>T("3603960932")</f>
        <v>3603960932</v>
      </c>
    </row>
    <row r="5139" spans="1:12" x14ac:dyDescent="0.35">
      <c r="A5139" t="str">
        <f t="shared" si="1991"/>
        <v>NAVFAC NORTHWEST HL5</v>
      </c>
      <c r="B5139" t="str">
        <f t="shared" si="1996"/>
        <v>1101 TAUTOG CIRCLE</v>
      </c>
      <c r="C5139" t="str">
        <f>T("ROOM 203")</f>
        <v>ROOM 203</v>
      </c>
      <c r="D5139" t="str">
        <f t="shared" si="1992"/>
        <v>SILVERDALE</v>
      </c>
      <c r="E5139" t="str">
        <f t="shared" si="1993"/>
        <v>WA</v>
      </c>
      <c r="F5139" t="str">
        <f t="shared" si="1999"/>
        <v>983151104</v>
      </c>
      <c r="G5139" t="str">
        <f t="shared" si="1998"/>
        <v>1101 TAUTOG CIRCLE</v>
      </c>
      <c r="H5139" t="str">
        <f>T("ROOM 203")</f>
        <v>ROOM 203</v>
      </c>
      <c r="I5139" t="str">
        <f t="shared" si="1994"/>
        <v>SILVERDALE</v>
      </c>
      <c r="J5139" t="str">
        <f t="shared" si="1995"/>
        <v>WA</v>
      </c>
      <c r="K5139" t="str">
        <f>T("3603150088")</f>
        <v>3603150088</v>
      </c>
      <c r="L5139" t="str">
        <f>T("3603960294")</f>
        <v>3603960294</v>
      </c>
    </row>
    <row r="5140" spans="1:12" x14ac:dyDescent="0.35">
      <c r="A5140" t="str">
        <f t="shared" si="1991"/>
        <v>NAVFAC NORTHWEST HL5</v>
      </c>
      <c r="B5140" t="str">
        <f t="shared" si="1996"/>
        <v>1101 TAUTOG CIRCLE</v>
      </c>
      <c r="C5140" t="str">
        <f>T("ROOM 203")</f>
        <v>ROOM 203</v>
      </c>
      <c r="D5140" t="str">
        <f t="shared" si="1992"/>
        <v>SILVERDALE</v>
      </c>
      <c r="E5140" t="str">
        <f t="shared" si="1993"/>
        <v>WA</v>
      </c>
      <c r="F5140" t="str">
        <f t="shared" si="1999"/>
        <v>983151104</v>
      </c>
      <c r="G5140" t="str">
        <f t="shared" si="1998"/>
        <v>1101 TAUTOG CIRCLE</v>
      </c>
      <c r="H5140" t="str">
        <f>T("ROOM 203")</f>
        <v>ROOM 203</v>
      </c>
      <c r="I5140" t="str">
        <f t="shared" si="1994"/>
        <v>SILVERDALE</v>
      </c>
      <c r="J5140" t="str">
        <f t="shared" si="1995"/>
        <v>WA</v>
      </c>
      <c r="K5140" t="str">
        <f>T("3603960972")</f>
        <v>3603960972</v>
      </c>
      <c r="L5140" t="str">
        <f>T("3603966541")</f>
        <v>3603966541</v>
      </c>
    </row>
    <row r="5141" spans="1:12" x14ac:dyDescent="0.35">
      <c r="A5141" t="str">
        <f t="shared" si="1991"/>
        <v>NAVFAC NORTHWEST HL5</v>
      </c>
      <c r="B5141" t="str">
        <f>T("1115 W LEXINGTON ST")</f>
        <v>1115 W LEXINGTON ST</v>
      </c>
      <c r="C5141" t="str">
        <f>T("BUILDING 103")</f>
        <v>BUILDING 103</v>
      </c>
      <c r="D5141" t="str">
        <f>T("OAK HARBOR")</f>
        <v>OAK HARBOR</v>
      </c>
      <c r="E5141" t="str">
        <f t="shared" si="1993"/>
        <v>WA</v>
      </c>
      <c r="F5141" t="str">
        <f>T("982784920")</f>
        <v>982784920</v>
      </c>
      <c r="G5141" t="str">
        <f>T("1115 W LEXINGTON ST")</f>
        <v>1115 W LEXINGTON ST</v>
      </c>
      <c r="H5141" t="str">
        <f>T("BUILDING 103")</f>
        <v>BUILDING 103</v>
      </c>
      <c r="I5141" t="str">
        <f>T("OAK HARBOR")</f>
        <v>OAK HARBOR</v>
      </c>
      <c r="J5141" t="str">
        <f t="shared" si="1995"/>
        <v>WA</v>
      </c>
      <c r="K5141" t="str">
        <f>T("")</f>
        <v/>
      </c>
      <c r="L5141" t="str">
        <f>T("3602572596")</f>
        <v>3602572596</v>
      </c>
    </row>
    <row r="5142" spans="1:12" x14ac:dyDescent="0.35">
      <c r="A5142" t="str">
        <f t="shared" si="1991"/>
        <v>NAVFAC NORTHWEST HL5</v>
      </c>
      <c r="B5142" t="str">
        <f>T("1115 W LEXINGTON ST")</f>
        <v>1115 W LEXINGTON ST</v>
      </c>
      <c r="C5142" t="str">
        <f>T("BUILDING 103")</f>
        <v>BUILDING 103</v>
      </c>
      <c r="D5142" t="str">
        <f>T("OAK HARBOR")</f>
        <v>OAK HARBOR</v>
      </c>
      <c r="E5142" t="str">
        <f t="shared" si="1993"/>
        <v>WA</v>
      </c>
      <c r="F5142" t="str">
        <f>T("982784920")</f>
        <v>982784920</v>
      </c>
      <c r="G5142" t="str">
        <f>T("1115 W LEXINGTON STREET")</f>
        <v>1115 W LEXINGTON STREET</v>
      </c>
      <c r="H5142" t="str">
        <f>T("BUILDING 103")</f>
        <v>BUILDING 103</v>
      </c>
      <c r="I5142" t="str">
        <f>T("OAK HARBOR")</f>
        <v>OAK HARBOR</v>
      </c>
      <c r="J5142" t="str">
        <f t="shared" si="1995"/>
        <v>WA</v>
      </c>
      <c r="K5142" t="str">
        <f>T("3602575175")</f>
        <v>3602575175</v>
      </c>
      <c r="L5142" t="str">
        <f>T("3602573348")</f>
        <v>3602573348</v>
      </c>
    </row>
    <row r="5143" spans="1:12" x14ac:dyDescent="0.35">
      <c r="A5143" t="str">
        <f t="shared" si="1991"/>
        <v>NAVFAC NORTHWEST HL5</v>
      </c>
      <c r="B5143" t="str">
        <f>T("1115 W LEXINGTON ST")</f>
        <v>1115 W LEXINGTON ST</v>
      </c>
      <c r="C5143" t="str">
        <f>T("BUILDING 103")</f>
        <v>BUILDING 103</v>
      </c>
      <c r="D5143" t="str">
        <f>T("OAK HARBOR")</f>
        <v>OAK HARBOR</v>
      </c>
      <c r="E5143" t="str">
        <f t="shared" si="1993"/>
        <v>WA</v>
      </c>
      <c r="F5143" t="str">
        <f>T("982784920")</f>
        <v>982784920</v>
      </c>
      <c r="G5143" t="str">
        <f>T("1115 W LEXINGTON STREET")</f>
        <v>1115 W LEXINGTON STREET</v>
      </c>
      <c r="H5143" t="str">
        <f>T("BUILDING 103")</f>
        <v>BUILDING 103</v>
      </c>
      <c r="I5143" t="str">
        <f>T("OAK HARBOR")</f>
        <v>OAK HARBOR</v>
      </c>
      <c r="J5143" t="str">
        <f t="shared" si="1995"/>
        <v>WA</v>
      </c>
      <c r="K5143" t="str">
        <f>T("3602575175")</f>
        <v>3602575175</v>
      </c>
      <c r="L5143" t="str">
        <f>T("3602579014")</f>
        <v>3602579014</v>
      </c>
    </row>
    <row r="5144" spans="1:12" x14ac:dyDescent="0.35">
      <c r="A5144" t="str">
        <f t="shared" si="1991"/>
        <v>NAVFAC NORTHWEST HL5</v>
      </c>
      <c r="B5144" t="str">
        <f>T("1155 LEXINGTON ST")</f>
        <v>1155 LEXINGTON ST</v>
      </c>
      <c r="C5144" t="str">
        <f>T("BLDG 113")</f>
        <v>BLDG 113</v>
      </c>
      <c r="D5144" t="str">
        <f>T("OAK HARBOR")</f>
        <v>OAK HARBOR</v>
      </c>
      <c r="E5144" t="str">
        <f t="shared" si="1993"/>
        <v>WA</v>
      </c>
      <c r="F5144" t="str">
        <f>T("982784920")</f>
        <v>982784920</v>
      </c>
      <c r="G5144" t="str">
        <f>T("1115 W LEXINGTON STREET")</f>
        <v>1115 W LEXINGTON STREET</v>
      </c>
      <c r="H5144" t="str">
        <f>T("BUILDING 103")</f>
        <v>BUILDING 103</v>
      </c>
      <c r="I5144" t="str">
        <f>T("OAK HARBOR")</f>
        <v>OAK HARBOR</v>
      </c>
      <c r="J5144" t="str">
        <f t="shared" si="1995"/>
        <v>WA</v>
      </c>
      <c r="K5144" t="str">
        <f>T("3602575175")</f>
        <v>3602575175</v>
      </c>
      <c r="L5144" t="str">
        <f>T("3602579014")</f>
        <v>3602579014</v>
      </c>
    </row>
    <row r="5145" spans="1:12" x14ac:dyDescent="0.35">
      <c r="A5145" t="str">
        <f t="shared" si="1991"/>
        <v>NAVFAC NORTHWEST HL5</v>
      </c>
      <c r="B5145" t="str">
        <f>T("1155 LEXINGTON ST")</f>
        <v>1155 LEXINGTON ST</v>
      </c>
      <c r="C5145" t="str">
        <f>T("BLDG 113")</f>
        <v>BLDG 113</v>
      </c>
      <c r="D5145" t="str">
        <f>T("OAK HARBOR")</f>
        <v>OAK HARBOR</v>
      </c>
      <c r="E5145" t="str">
        <f t="shared" si="1993"/>
        <v>WA</v>
      </c>
      <c r="F5145" t="str">
        <f>T("982784920")</f>
        <v>982784920</v>
      </c>
      <c r="G5145" t="str">
        <f>T("1155 LEXINGTON ST")</f>
        <v>1155 LEXINGTON ST</v>
      </c>
      <c r="H5145" t="str">
        <f>T("BLDG 113")</f>
        <v>BLDG 113</v>
      </c>
      <c r="I5145" t="str">
        <f>T("OAK HARBOR")</f>
        <v>OAK HARBOR</v>
      </c>
      <c r="J5145" t="str">
        <f t="shared" si="1995"/>
        <v>WA</v>
      </c>
      <c r="K5145" t="str">
        <f>T("3602576506")</f>
        <v>3602576506</v>
      </c>
      <c r="L5145" t="str">
        <f>T("3602572596")</f>
        <v>3602572596</v>
      </c>
    </row>
    <row r="5146" spans="1:12" x14ac:dyDescent="0.35">
      <c r="A5146" t="str">
        <f t="shared" si="1991"/>
        <v>NAVFAC NORTHWEST HL5</v>
      </c>
      <c r="B5146" t="str">
        <f t="shared" ref="B5146:B5151" si="2000">T("467 W STREET")</f>
        <v>467 W STREET</v>
      </c>
      <c r="C5146" t="str">
        <f t="shared" ref="C5146:C5151" si="2001">T("FLC CODE 320")</f>
        <v>FLC CODE 320</v>
      </c>
      <c r="D5146" t="str">
        <f t="shared" ref="D5146:D5151" si="2002">T("BREMERTON")</f>
        <v>BREMERTON</v>
      </c>
      <c r="E5146" t="str">
        <f t="shared" si="1993"/>
        <v>WA</v>
      </c>
      <c r="F5146" t="str">
        <f t="shared" ref="F5146:F5151" si="2003">T("983146008")</f>
        <v>983146008</v>
      </c>
      <c r="G5146" t="str">
        <f t="shared" ref="G5146:G5151" si="2004">T("467 W STREET")</f>
        <v>467 W STREET</v>
      </c>
      <c r="H5146" t="str">
        <f>T("")</f>
        <v/>
      </c>
      <c r="I5146" t="str">
        <f t="shared" ref="I5146:I5151" si="2005">T("BREMERTON")</f>
        <v>BREMERTON</v>
      </c>
      <c r="J5146" t="str">
        <f t="shared" si="1995"/>
        <v>WA</v>
      </c>
      <c r="K5146" t="str">
        <f>T("3604760808")</f>
        <v>3604760808</v>
      </c>
      <c r="L5146" t="str">
        <f>T("3604768508")</f>
        <v>3604768508</v>
      </c>
    </row>
    <row r="5147" spans="1:12" x14ac:dyDescent="0.35">
      <c r="A5147" t="str">
        <f t="shared" si="1991"/>
        <v>NAVFAC NORTHWEST HL5</v>
      </c>
      <c r="B5147" t="str">
        <f t="shared" si="2000"/>
        <v>467 W STREET</v>
      </c>
      <c r="C5147" t="str">
        <f t="shared" si="2001"/>
        <v>FLC CODE 320</v>
      </c>
      <c r="D5147" t="str">
        <f t="shared" si="2002"/>
        <v>BREMERTON</v>
      </c>
      <c r="E5147" t="str">
        <f t="shared" si="1993"/>
        <v>WA</v>
      </c>
      <c r="F5147" t="str">
        <f t="shared" si="2003"/>
        <v>983146008</v>
      </c>
      <c r="G5147" t="str">
        <f t="shared" si="2004"/>
        <v>467 W STREET</v>
      </c>
      <c r="H5147" t="str">
        <f>T("CODE 320")</f>
        <v>CODE 320</v>
      </c>
      <c r="I5147" t="str">
        <f t="shared" si="2005"/>
        <v>BREMERTON</v>
      </c>
      <c r="J5147" t="str">
        <f t="shared" si="1995"/>
        <v>WA</v>
      </c>
      <c r="K5147" t="str">
        <f>T("3604760808")</f>
        <v>3604760808</v>
      </c>
      <c r="L5147" t="str">
        <f>T("3604766930")</f>
        <v>3604766930</v>
      </c>
    </row>
    <row r="5148" spans="1:12" x14ac:dyDescent="0.35">
      <c r="A5148" t="str">
        <f t="shared" si="1991"/>
        <v>NAVFAC NORTHWEST HL5</v>
      </c>
      <c r="B5148" t="str">
        <f t="shared" si="2000"/>
        <v>467 W STREET</v>
      </c>
      <c r="C5148" t="str">
        <f t="shared" si="2001"/>
        <v>FLC CODE 320</v>
      </c>
      <c r="D5148" t="str">
        <f t="shared" si="2002"/>
        <v>BREMERTON</v>
      </c>
      <c r="E5148" t="str">
        <f t="shared" si="1993"/>
        <v>WA</v>
      </c>
      <c r="F5148" t="str">
        <f t="shared" si="2003"/>
        <v>983146008</v>
      </c>
      <c r="G5148" t="str">
        <f t="shared" si="2004"/>
        <v>467 W STREET</v>
      </c>
      <c r="H5148" t="str">
        <f>T("CODE 320")</f>
        <v>CODE 320</v>
      </c>
      <c r="I5148" t="str">
        <f t="shared" si="2005"/>
        <v>BREMERTON</v>
      </c>
      <c r="J5148" t="str">
        <f t="shared" si="1995"/>
        <v>WA</v>
      </c>
      <c r="K5148" t="str">
        <f>T("3604760808")</f>
        <v>3604760808</v>
      </c>
      <c r="L5148" t="str">
        <f>T("3604768509")</f>
        <v>3604768509</v>
      </c>
    </row>
    <row r="5149" spans="1:12" x14ac:dyDescent="0.35">
      <c r="A5149" t="str">
        <f t="shared" si="1991"/>
        <v>NAVFAC NORTHWEST HL5</v>
      </c>
      <c r="B5149" t="str">
        <f t="shared" si="2000"/>
        <v>467 W STREET</v>
      </c>
      <c r="C5149" t="str">
        <f t="shared" si="2001"/>
        <v>FLC CODE 320</v>
      </c>
      <c r="D5149" t="str">
        <f t="shared" si="2002"/>
        <v>BREMERTON</v>
      </c>
      <c r="E5149" t="str">
        <f t="shared" si="1993"/>
        <v>WA</v>
      </c>
      <c r="F5149" t="str">
        <f t="shared" si="2003"/>
        <v>983146008</v>
      </c>
      <c r="G5149" t="str">
        <f t="shared" si="2004"/>
        <v>467 W STREET</v>
      </c>
      <c r="H5149" t="str">
        <f>T("CODE 320")</f>
        <v>CODE 320</v>
      </c>
      <c r="I5149" t="str">
        <f t="shared" si="2005"/>
        <v>BREMERTON</v>
      </c>
      <c r="J5149" t="str">
        <f t="shared" si="1995"/>
        <v>WA</v>
      </c>
      <c r="K5149" t="str">
        <f>T("3604760808")</f>
        <v>3604760808</v>
      </c>
      <c r="L5149" t="str">
        <f>T("3604769369")</f>
        <v>3604769369</v>
      </c>
    </row>
    <row r="5150" spans="1:12" x14ac:dyDescent="0.35">
      <c r="A5150" t="str">
        <f t="shared" si="1991"/>
        <v>NAVFAC NORTHWEST HL5</v>
      </c>
      <c r="B5150" t="str">
        <f t="shared" si="2000"/>
        <v>467 W STREET</v>
      </c>
      <c r="C5150" t="str">
        <f t="shared" si="2001"/>
        <v>FLC CODE 320</v>
      </c>
      <c r="D5150" t="str">
        <f t="shared" si="2002"/>
        <v>BREMERTON</v>
      </c>
      <c r="E5150" t="str">
        <f t="shared" si="1993"/>
        <v>WA</v>
      </c>
      <c r="F5150" t="str">
        <f t="shared" si="2003"/>
        <v>983146008</v>
      </c>
      <c r="G5150" t="str">
        <f t="shared" si="2004"/>
        <v>467 W STREET</v>
      </c>
      <c r="H5150" t="str">
        <f>T("CODE 320")</f>
        <v>CODE 320</v>
      </c>
      <c r="I5150" t="str">
        <f t="shared" si="2005"/>
        <v>BREMERTON</v>
      </c>
      <c r="J5150" t="str">
        <f t="shared" si="1995"/>
        <v>WA</v>
      </c>
      <c r="K5150" t="str">
        <f>T("3604767959")</f>
        <v>3604767959</v>
      </c>
      <c r="L5150" t="str">
        <f>T("3604767504")</f>
        <v>3604767504</v>
      </c>
    </row>
    <row r="5151" spans="1:12" x14ac:dyDescent="0.35">
      <c r="A5151" t="str">
        <f t="shared" si="1991"/>
        <v>NAVFAC NORTHWEST HL5</v>
      </c>
      <c r="B5151" t="str">
        <f t="shared" si="2000"/>
        <v>467 W STREET</v>
      </c>
      <c r="C5151" t="str">
        <f t="shared" si="2001"/>
        <v>FLC CODE 320</v>
      </c>
      <c r="D5151" t="str">
        <f t="shared" si="2002"/>
        <v>BREMERTON</v>
      </c>
      <c r="E5151" t="str">
        <f t="shared" si="1993"/>
        <v>WA</v>
      </c>
      <c r="F5151" t="str">
        <f t="shared" si="2003"/>
        <v>983146008</v>
      </c>
      <c r="G5151" t="str">
        <f t="shared" si="2004"/>
        <v>467 W STREET</v>
      </c>
      <c r="H5151" t="str">
        <f>T("FLC CODE 320")</f>
        <v>FLC CODE 320</v>
      </c>
      <c r="I5151" t="str">
        <f t="shared" si="2005"/>
        <v>BREMERTON</v>
      </c>
      <c r="J5151" t="str">
        <f t="shared" si="1995"/>
        <v>WA</v>
      </c>
      <c r="K5151" t="str">
        <f>T("3604761365")</f>
        <v>3604761365</v>
      </c>
      <c r="L5151" t="str">
        <f>T("3604767764")</f>
        <v>3604767764</v>
      </c>
    </row>
    <row r="5152" spans="1:12" x14ac:dyDescent="0.35">
      <c r="A5152" t="str">
        <f t="shared" si="1991"/>
        <v>NAVFAC NORTHWEST HL5</v>
      </c>
      <c r="B5152" t="str">
        <f>T("NAVAL STATION EVERETT")</f>
        <v>NAVAL STATION EVERETT</v>
      </c>
      <c r="C5152" t="str">
        <f>T("BLDG 2000")</f>
        <v>BLDG 2000</v>
      </c>
      <c r="D5152" t="str">
        <f>T("EVERETT")</f>
        <v>EVERETT</v>
      </c>
      <c r="E5152" t="str">
        <f t="shared" si="1993"/>
        <v>WA</v>
      </c>
      <c r="F5152" t="str">
        <f>T("982070001")</f>
        <v>982070001</v>
      </c>
      <c r="G5152" t="str">
        <f>T("2000 MARINE VIEW DRIVE")</f>
        <v>2000 MARINE VIEW DRIVE</v>
      </c>
      <c r="H5152" t="str">
        <f>T("BUILDING 2000")</f>
        <v>BUILDING 2000</v>
      </c>
      <c r="I5152" t="str">
        <f>T("EVERETT")</f>
        <v>EVERETT</v>
      </c>
      <c r="J5152" t="str">
        <f t="shared" si="1995"/>
        <v>WA</v>
      </c>
      <c r="K5152" t="str">
        <f>T("4253043401")</f>
        <v>4253043401</v>
      </c>
      <c r="L5152" t="str">
        <f>T("4253043470")</f>
        <v>4253043470</v>
      </c>
    </row>
    <row r="5153" spans="1:12" x14ac:dyDescent="0.35">
      <c r="A5153" t="str">
        <f t="shared" si="1991"/>
        <v>NAVFAC NORTHWEST HL5</v>
      </c>
      <c r="B5153" t="str">
        <f>T("NAVAL STATION EVERETT")</f>
        <v>NAVAL STATION EVERETT</v>
      </c>
      <c r="C5153" t="str">
        <f>T("BLDG 2000")</f>
        <v>BLDG 2000</v>
      </c>
      <c r="D5153" t="str">
        <f>T("EVERETT")</f>
        <v>EVERETT</v>
      </c>
      <c r="E5153" t="str">
        <f t="shared" si="1993"/>
        <v>WA</v>
      </c>
      <c r="F5153" t="str">
        <f>T("982070001")</f>
        <v>982070001</v>
      </c>
      <c r="G5153" t="str">
        <f>T("NAVAL STATION EVERETT")</f>
        <v>NAVAL STATION EVERETT</v>
      </c>
      <c r="H5153" t="str">
        <f>T("2000 W MARINE DRIVE")</f>
        <v>2000 W MARINE DRIVE</v>
      </c>
      <c r="I5153" t="str">
        <f>T("EVERETT")</f>
        <v>EVERETT</v>
      </c>
      <c r="J5153" t="str">
        <f t="shared" si="1995"/>
        <v>WA</v>
      </c>
      <c r="K5153" t="str">
        <f>T("4253043401")</f>
        <v>4253043401</v>
      </c>
      <c r="L5153" t="str">
        <f>T("4253043612")</f>
        <v>4253043612</v>
      </c>
    </row>
    <row r="5154" spans="1:12" x14ac:dyDescent="0.35">
      <c r="A5154" t="str">
        <f t="shared" si="1991"/>
        <v>NAVFAC NORTHWEST HL5</v>
      </c>
      <c r="B5154" t="str">
        <f>T("NAVAL STATION EVERETT")</f>
        <v>NAVAL STATION EVERETT</v>
      </c>
      <c r="C5154" t="str">
        <f>T("BLDG 2000")</f>
        <v>BLDG 2000</v>
      </c>
      <c r="D5154" t="str">
        <f>T("EVERETT")</f>
        <v>EVERETT</v>
      </c>
      <c r="E5154" t="str">
        <f t="shared" si="1993"/>
        <v>WA</v>
      </c>
      <c r="F5154" t="str">
        <f>T("982070001")</f>
        <v>982070001</v>
      </c>
      <c r="G5154" t="str">
        <f>T("NAVAL STATION EVERETT")</f>
        <v>NAVAL STATION EVERETT</v>
      </c>
      <c r="H5154" t="str">
        <f>T("BLDG 2000")</f>
        <v>BLDG 2000</v>
      </c>
      <c r="I5154" t="str">
        <f>T("EVERETT")</f>
        <v>EVERETT</v>
      </c>
      <c r="J5154" t="str">
        <f t="shared" si="1995"/>
        <v>WA</v>
      </c>
      <c r="K5154" t="str">
        <f>T("4253043469")</f>
        <v>4253043469</v>
      </c>
      <c r="L5154" t="str">
        <f>T("4253043278")</f>
        <v>4253043278</v>
      </c>
    </row>
    <row r="5155" spans="1:12" x14ac:dyDescent="0.35">
      <c r="A5155" t="str">
        <f t="shared" si="1991"/>
        <v>NAVFAC NORTHWEST HL5</v>
      </c>
      <c r="B5155" t="str">
        <f>T("NAVAL STATION EVERETT")</f>
        <v>NAVAL STATION EVERETT</v>
      </c>
      <c r="C5155" t="str">
        <f>T("BLDG 2000 RM 225 ENVIRONMENTAL")</f>
        <v>BLDG 2000 RM 225 ENVIRONMENTAL</v>
      </c>
      <c r="D5155" t="str">
        <f>T("EVERETT")</f>
        <v>EVERETT</v>
      </c>
      <c r="E5155" t="str">
        <f t="shared" si="1993"/>
        <v>WA</v>
      </c>
      <c r="F5155" t="str">
        <f>T("982070001")</f>
        <v>982070001</v>
      </c>
      <c r="G5155" t="str">
        <f>T("NAVAL STATION EVERETT")</f>
        <v>NAVAL STATION EVERETT</v>
      </c>
      <c r="H5155" t="str">
        <f>T("BLDG 2000 RM 225 ENVIRONMENTAL")</f>
        <v>BLDG 2000 RM 225 ENVIRONMENTAL</v>
      </c>
      <c r="I5155" t="str">
        <f>T("EVERETT")</f>
        <v>EVERETT</v>
      </c>
      <c r="J5155" t="str">
        <f t="shared" si="1995"/>
        <v>WA</v>
      </c>
      <c r="K5155" t="str">
        <f>T("4253043469")</f>
        <v>4253043469</v>
      </c>
      <c r="L5155" t="str">
        <f>T("4253043278")</f>
        <v>4253043278</v>
      </c>
    </row>
    <row r="5156" spans="1:12" x14ac:dyDescent="0.35">
      <c r="A5156" t="str">
        <f t="shared" si="1991"/>
        <v>NAVFAC NORTHWEST HL5</v>
      </c>
      <c r="B5156" t="str">
        <f>T("NAVAL STATION EVERETT")</f>
        <v>NAVAL STATION EVERETT</v>
      </c>
      <c r="C5156" t="str">
        <f>T("BLDG 2000 RM 225 ENVIRONMENTAL")</f>
        <v>BLDG 2000 RM 225 ENVIRONMENTAL</v>
      </c>
      <c r="D5156" t="str">
        <f>T("EVERETT")</f>
        <v>EVERETT</v>
      </c>
      <c r="E5156" t="str">
        <f t="shared" si="1993"/>
        <v>WA</v>
      </c>
      <c r="F5156" t="str">
        <f>T("982070001")</f>
        <v>982070001</v>
      </c>
      <c r="G5156" t="str">
        <f>T("NAVAL STATION EVERETT")</f>
        <v>NAVAL STATION EVERETT</v>
      </c>
      <c r="H5156" t="str">
        <f>T("BLDG 2000 RM 225 ENVIRONMENTAL")</f>
        <v>BLDG 2000 RM 225 ENVIRONMENTAL</v>
      </c>
      <c r="I5156" t="str">
        <f>T("EVERETT")</f>
        <v>EVERETT</v>
      </c>
      <c r="J5156" t="str">
        <f t="shared" si="1995"/>
        <v>WA</v>
      </c>
      <c r="K5156" t="str">
        <f>T("4253043469")</f>
        <v>4253043469</v>
      </c>
      <c r="L5156" t="str">
        <f>T("4253043469")</f>
        <v>4253043469</v>
      </c>
    </row>
    <row r="5157" spans="1:12" x14ac:dyDescent="0.35">
      <c r="A5157" t="str">
        <f t="shared" si="1991"/>
        <v>NAVFAC NORTHWEST HL5</v>
      </c>
      <c r="B5157" t="str">
        <f>T("T-075 SKATE STREET")</f>
        <v>T-075 SKATE STREET</v>
      </c>
      <c r="C5157" t="str">
        <f>T("")</f>
        <v/>
      </c>
      <c r="D5157" t="str">
        <f>T("SILVERDALE")</f>
        <v>SILVERDALE</v>
      </c>
      <c r="E5157" t="str">
        <f t="shared" si="1993"/>
        <v>WA</v>
      </c>
      <c r="F5157" t="str">
        <f>T("983150000")</f>
        <v>983150000</v>
      </c>
      <c r="G5157" t="str">
        <f>T("PRBD BLDG 467 ROOM 448")</f>
        <v>PRBD BLDG 467 ROOM 448</v>
      </c>
      <c r="H5157" t="str">
        <f>T("")</f>
        <v/>
      </c>
      <c r="I5157" t="str">
        <f>T("BREMERTON")</f>
        <v>BREMERTON</v>
      </c>
      <c r="J5157" t="str">
        <f t="shared" si="1995"/>
        <v>WA</v>
      </c>
      <c r="K5157" t="str">
        <f>T("3604766202")</f>
        <v>3604766202</v>
      </c>
      <c r="L5157" t="str">
        <f>T("3604763587")</f>
        <v>3604763587</v>
      </c>
    </row>
    <row r="5158" spans="1:12" x14ac:dyDescent="0.35">
      <c r="A5158" t="str">
        <f t="shared" si="1991"/>
        <v>NAVFAC NORTHWEST HL5</v>
      </c>
      <c r="B5158" t="str">
        <f>T("T-075 SKATE STREET")</f>
        <v>T-075 SKATE STREET</v>
      </c>
      <c r="C5158" t="str">
        <f>T("")</f>
        <v/>
      </c>
      <c r="D5158" t="str">
        <f>T("SILVERDALE")</f>
        <v>SILVERDALE</v>
      </c>
      <c r="E5158" t="str">
        <f t="shared" si="1993"/>
        <v>WA</v>
      </c>
      <c r="F5158" t="str">
        <f>T("983150000")</f>
        <v>983150000</v>
      </c>
      <c r="G5158" t="str">
        <f>T("T-075 SKATE STREET")</f>
        <v>T-075 SKATE STREET</v>
      </c>
      <c r="H5158" t="str">
        <f>T("")</f>
        <v/>
      </c>
      <c r="I5158" t="str">
        <f>T("SILVERDALE")</f>
        <v>SILVERDALE</v>
      </c>
      <c r="J5158" t="str">
        <f t="shared" si="1995"/>
        <v>WA</v>
      </c>
      <c r="K5158" t="str">
        <f>T("3603964146")</f>
        <v>3603964146</v>
      </c>
      <c r="L5158" t="str">
        <f>T("3603962991")</f>
        <v>3603962991</v>
      </c>
    </row>
    <row r="5159" spans="1:12" x14ac:dyDescent="0.35">
      <c r="A5159" t="str">
        <f t="shared" si="1991"/>
        <v>NAVFAC NORTHWEST HL5</v>
      </c>
      <c r="B5159" t="str">
        <f>T("T-075 SKATE STREET")</f>
        <v>T-075 SKATE STREET</v>
      </c>
      <c r="C5159" t="str">
        <f>T("")</f>
        <v/>
      </c>
      <c r="D5159" t="str">
        <f>T("SILVERDALE")</f>
        <v>SILVERDALE</v>
      </c>
      <c r="E5159" t="str">
        <f t="shared" si="1993"/>
        <v>WA</v>
      </c>
      <c r="F5159" t="str">
        <f>T("983150000")</f>
        <v>983150000</v>
      </c>
      <c r="G5159" t="str">
        <f>T("T075 SKATE STREET")</f>
        <v>T075 SKATE STREET</v>
      </c>
      <c r="H5159" t="str">
        <f>T("")</f>
        <v/>
      </c>
      <c r="I5159" t="str">
        <f>T("SILVERDALE")</f>
        <v>SILVERDALE</v>
      </c>
      <c r="J5159" t="str">
        <f t="shared" si="1995"/>
        <v>WA</v>
      </c>
      <c r="K5159" t="str">
        <f>T("3603965082")</f>
        <v>3603965082</v>
      </c>
      <c r="L5159" t="str">
        <f>T("3603965661")</f>
        <v>3603965661</v>
      </c>
    </row>
    <row r="5160" spans="1:12" x14ac:dyDescent="0.35">
      <c r="A5160" t="str">
        <f t="shared" si="1991"/>
        <v>NAVFAC NORTHWEST HL5</v>
      </c>
      <c r="B5160" t="str">
        <f>T("T-075 SKATE STREET")</f>
        <v>T-075 SKATE STREET</v>
      </c>
      <c r="C5160" t="str">
        <f>T("")</f>
        <v/>
      </c>
      <c r="D5160" t="str">
        <f>T("SILVERDALE")</f>
        <v>SILVERDALE</v>
      </c>
      <c r="E5160" t="str">
        <f t="shared" si="1993"/>
        <v>WA</v>
      </c>
      <c r="F5160" t="str">
        <f>T("983150000")</f>
        <v>983150000</v>
      </c>
      <c r="G5160" t="str">
        <f>T("T075 SKATE STREET")</f>
        <v>T075 SKATE STREET</v>
      </c>
      <c r="H5160" t="str">
        <f>T("")</f>
        <v/>
      </c>
      <c r="I5160" t="str">
        <f>T("SILVERDALE")</f>
        <v>SILVERDALE</v>
      </c>
      <c r="J5160" t="str">
        <f t="shared" si="1995"/>
        <v>WA</v>
      </c>
      <c r="K5160" t="str">
        <f>T("3603965082")</f>
        <v>3603965082</v>
      </c>
      <c r="L5160" t="str">
        <f>T("3603966592")</f>
        <v>3603966592</v>
      </c>
    </row>
    <row r="5161" spans="1:12" x14ac:dyDescent="0.35">
      <c r="A5161" t="str">
        <f t="shared" ref="A5161:A5224" si="2006">T("NAVFAC SOUTHWEST HL5")</f>
        <v>NAVFAC SOUTHWEST HL5</v>
      </c>
      <c r="B5161" t="str">
        <f>T("1220 PACIFIC COAST HW")</f>
        <v>1220 PACIFIC COAST HW</v>
      </c>
      <c r="C5161" t="str">
        <f>T("CODE  09C")</f>
        <v>CODE  09C</v>
      </c>
      <c r="D5161" t="str">
        <f t="shared" ref="D5161:D5194" si="2007">T("SAN DIEGO")</f>
        <v>SAN DIEGO</v>
      </c>
      <c r="E5161" t="str">
        <f t="shared" ref="E5161:E5192" si="2008">T("CA")</f>
        <v>CA</v>
      </c>
      <c r="F5161" t="str">
        <f>T("921320001")</f>
        <v>921320001</v>
      </c>
      <c r="G5161" t="str">
        <f>T("1220 PACIFIC COAST HW")</f>
        <v>1220 PACIFIC COAST HW</v>
      </c>
      <c r="H5161" t="str">
        <f>T("CODE  09C")</f>
        <v>CODE  09C</v>
      </c>
      <c r="I5161" t="str">
        <f t="shared" ref="I5161:I5194" si="2009">T("SAN DIEGO")</f>
        <v>SAN DIEGO</v>
      </c>
      <c r="J5161" t="str">
        <f t="shared" ref="J5161:J5192" si="2010">T("CA")</f>
        <v>CA</v>
      </c>
      <c r="K5161" t="str">
        <f>T("")</f>
        <v/>
      </c>
      <c r="L5161" t="str">
        <f>T("6195321663")</f>
        <v>6195321663</v>
      </c>
    </row>
    <row r="5162" spans="1:12" x14ac:dyDescent="0.35">
      <c r="A5162" t="str">
        <f t="shared" si="2006"/>
        <v>NAVFAC SOUTHWEST HL5</v>
      </c>
      <c r="B5162" t="str">
        <f>T("1220 PACIFIC COAST HW")</f>
        <v>1220 PACIFIC COAST HW</v>
      </c>
      <c r="C5162" t="str">
        <f>T("CODE  09C")</f>
        <v>CODE  09C</v>
      </c>
      <c r="D5162" t="str">
        <f t="shared" si="2007"/>
        <v>SAN DIEGO</v>
      </c>
      <c r="E5162" t="str">
        <f t="shared" si="2008"/>
        <v>CA</v>
      </c>
      <c r="F5162" t="str">
        <f>T("921320001")</f>
        <v>921320001</v>
      </c>
      <c r="G5162" t="str">
        <f>T("1220 PACIFIC HWY")</f>
        <v>1220 PACIFIC HWY</v>
      </c>
      <c r="H5162" t="str">
        <f>T("")</f>
        <v/>
      </c>
      <c r="I5162" t="str">
        <f t="shared" si="2009"/>
        <v>SAN DIEGO</v>
      </c>
      <c r="J5162" t="str">
        <f t="shared" si="2010"/>
        <v>CA</v>
      </c>
      <c r="K5162" t="str">
        <f>T("6195323134")</f>
        <v>6195323134</v>
      </c>
      <c r="L5162" t="str">
        <f>T("6195323960")</f>
        <v>6195323960</v>
      </c>
    </row>
    <row r="5163" spans="1:12" x14ac:dyDescent="0.35">
      <c r="A5163" t="str">
        <f t="shared" si="2006"/>
        <v>NAVFAC SOUTHWEST HL5</v>
      </c>
      <c r="B5163" t="str">
        <f t="shared" ref="B5163:B5175" si="2011">T("1220 PACIFIC HIGHWAY")</f>
        <v>1220 PACIFIC HIGHWAY</v>
      </c>
      <c r="C5163" t="str">
        <f>T("BLDG 3509 NAVAL BASE")</f>
        <v>BLDG 3509 NAVAL BASE</v>
      </c>
      <c r="D5163" t="str">
        <f t="shared" si="2007"/>
        <v>SAN DIEGO</v>
      </c>
      <c r="E5163" t="str">
        <f t="shared" si="2008"/>
        <v>CA</v>
      </c>
      <c r="F5163" t="str">
        <f>T("921325190")</f>
        <v>921325190</v>
      </c>
      <c r="G5163" t="str">
        <f>T("1220 PACIFIC HIGHWAY")</f>
        <v>1220 PACIFIC HIGHWAY</v>
      </c>
      <c r="H5163" t="str">
        <f>T("BLDG 3509 NAVAL BASE")</f>
        <v>BLDG 3509 NAVAL BASE</v>
      </c>
      <c r="I5163" t="str">
        <f t="shared" si="2009"/>
        <v>SAN DIEGO</v>
      </c>
      <c r="J5163" t="str">
        <f t="shared" si="2010"/>
        <v>CA</v>
      </c>
      <c r="K5163" t="str">
        <f>T("000000000000000000")</f>
        <v>000000000000000000</v>
      </c>
      <c r="L5163" t="str">
        <f>T("6195458427")</f>
        <v>6195458427</v>
      </c>
    </row>
    <row r="5164" spans="1:12" x14ac:dyDescent="0.35">
      <c r="A5164" t="str">
        <f t="shared" si="2006"/>
        <v>NAVFAC SOUTHWEST HL5</v>
      </c>
      <c r="B5164" t="str">
        <f t="shared" si="2011"/>
        <v>1220 PACIFIC HIGHWAY</v>
      </c>
      <c r="C5164" t="str">
        <f>T("BLDG 3509 NAVAL BASE")</f>
        <v>BLDG 3509 NAVAL BASE</v>
      </c>
      <c r="D5164" t="str">
        <f t="shared" si="2007"/>
        <v>SAN DIEGO</v>
      </c>
      <c r="E5164" t="str">
        <f t="shared" si="2008"/>
        <v>CA</v>
      </c>
      <c r="F5164" t="str">
        <f>T("921325190")</f>
        <v>921325190</v>
      </c>
      <c r="G5164" t="str">
        <f>T("BLDG 3509 NAVAL BASE")</f>
        <v>BLDG 3509 NAVAL BASE</v>
      </c>
      <c r="H5164" t="str">
        <f>T("1220 PACIFIC HIGHWAY")</f>
        <v>1220 PACIFIC HIGHWAY</v>
      </c>
      <c r="I5164" t="str">
        <f t="shared" si="2009"/>
        <v>SAN DIEGO</v>
      </c>
      <c r="J5164" t="str">
        <f t="shared" si="2010"/>
        <v>CA</v>
      </c>
      <c r="K5164" t="str">
        <f>T("6195450772")</f>
        <v>6195450772</v>
      </c>
      <c r="L5164" t="str">
        <f>T("6196661456")</f>
        <v>6196661456</v>
      </c>
    </row>
    <row r="5165" spans="1:12" x14ac:dyDescent="0.35">
      <c r="A5165" t="str">
        <f t="shared" si="2006"/>
        <v>NAVFAC SOUTHWEST HL5</v>
      </c>
      <c r="B5165" t="str">
        <f t="shared" si="2011"/>
        <v>1220 PACIFIC HIGHWAY</v>
      </c>
      <c r="C5165" t="str">
        <f>T("CI CORE B110 2ND FLOOR")</f>
        <v>CI CORE B110 2ND FLOOR</v>
      </c>
      <c r="D5165" t="str">
        <f t="shared" si="2007"/>
        <v>SAN DIEGO</v>
      </c>
      <c r="E5165" t="str">
        <f t="shared" si="2008"/>
        <v>CA</v>
      </c>
      <c r="F5165" t="str">
        <f t="shared" ref="F5165:F5174" si="2012">T("921320001")</f>
        <v>921320001</v>
      </c>
      <c r="G5165" t="str">
        <f>T("1220 PACIFIC HIGHWAY")</f>
        <v>1220 PACIFIC HIGHWAY</v>
      </c>
      <c r="H5165" t="str">
        <f>T("CI CORE B110 2ND FLOOR")</f>
        <v>CI CORE B110 2ND FLOOR</v>
      </c>
      <c r="I5165" t="str">
        <f t="shared" si="2009"/>
        <v>SAN DIEGO</v>
      </c>
      <c r="J5165" t="str">
        <f t="shared" si="2010"/>
        <v>CA</v>
      </c>
      <c r="K5165" t="str">
        <f>T("")</f>
        <v/>
      </c>
      <c r="L5165" t="str">
        <f>T("6195321641")</f>
        <v>6195321641</v>
      </c>
    </row>
    <row r="5166" spans="1:12" x14ac:dyDescent="0.35">
      <c r="A5166" t="str">
        <f t="shared" si="2006"/>
        <v>NAVFAC SOUTHWEST HL5</v>
      </c>
      <c r="B5166" t="str">
        <f t="shared" si="2011"/>
        <v>1220 PACIFIC HIGHWAY</v>
      </c>
      <c r="C5166" t="str">
        <f>T("CI CORE B110 2ND FLOOR")</f>
        <v>CI CORE B110 2ND FLOOR</v>
      </c>
      <c r="D5166" t="str">
        <f t="shared" si="2007"/>
        <v>SAN DIEGO</v>
      </c>
      <c r="E5166" t="str">
        <f t="shared" si="2008"/>
        <v>CA</v>
      </c>
      <c r="F5166" t="str">
        <f t="shared" si="2012"/>
        <v>921320001</v>
      </c>
      <c r="G5166" t="str">
        <f>T("NAVFAC SW")</f>
        <v>NAVFAC SW</v>
      </c>
      <c r="H5166" t="str">
        <f>T("1220 PACIFIC HWY")</f>
        <v>1220 PACIFIC HWY</v>
      </c>
      <c r="I5166" t="str">
        <f t="shared" si="2009"/>
        <v>SAN DIEGO</v>
      </c>
      <c r="J5166" t="str">
        <f t="shared" si="2010"/>
        <v>CA</v>
      </c>
      <c r="K5166" t="str">
        <f>T("000000000000000000")</f>
        <v>000000000000000000</v>
      </c>
      <c r="L5166" t="str">
        <f>T("6195323793")</f>
        <v>6195323793</v>
      </c>
    </row>
    <row r="5167" spans="1:12" x14ac:dyDescent="0.35">
      <c r="A5167" t="str">
        <f t="shared" si="2006"/>
        <v>NAVFAC SOUTHWEST HL5</v>
      </c>
      <c r="B5167" t="str">
        <f t="shared" si="2011"/>
        <v>1220 PACIFIC HIGHWAY</v>
      </c>
      <c r="C5167" t="str">
        <f>T("CODE 5CBU")</f>
        <v>CODE 5CBU</v>
      </c>
      <c r="D5167" t="str">
        <f t="shared" si="2007"/>
        <v>SAN DIEGO</v>
      </c>
      <c r="E5167" t="str">
        <f t="shared" si="2008"/>
        <v>CA</v>
      </c>
      <c r="F5167" t="str">
        <f t="shared" si="2012"/>
        <v>921320001</v>
      </c>
      <c r="G5167" t="str">
        <f>T("1220 PACIFIC HIGHWAY")</f>
        <v>1220 PACIFIC HIGHWAY</v>
      </c>
      <c r="H5167" t="str">
        <f>T("CODE 5CBU")</f>
        <v>CODE 5CBU</v>
      </c>
      <c r="I5167" t="str">
        <f t="shared" si="2009"/>
        <v>SAN DIEGO</v>
      </c>
      <c r="J5167" t="str">
        <f t="shared" si="2010"/>
        <v>CA</v>
      </c>
      <c r="K5167" t="str">
        <f>T("")</f>
        <v/>
      </c>
      <c r="L5167" t="str">
        <f>T("6195321987")</f>
        <v>6195321987</v>
      </c>
    </row>
    <row r="5168" spans="1:12" x14ac:dyDescent="0.35">
      <c r="A5168" t="str">
        <f t="shared" si="2006"/>
        <v>NAVFAC SOUTHWEST HL5</v>
      </c>
      <c r="B5168" t="str">
        <f t="shared" si="2011"/>
        <v>1220 PACIFIC HIGHWAY</v>
      </c>
      <c r="C5168" t="str">
        <f>T("CODE 5CBU")</f>
        <v>CODE 5CBU</v>
      </c>
      <c r="D5168" t="str">
        <f t="shared" si="2007"/>
        <v>SAN DIEGO</v>
      </c>
      <c r="E5168" t="str">
        <f t="shared" si="2008"/>
        <v>CA</v>
      </c>
      <c r="F5168" t="str">
        <f t="shared" si="2012"/>
        <v>921320001</v>
      </c>
      <c r="G5168" t="str">
        <f>T("1220 PACIFIC HIGHWAY")</f>
        <v>1220 PACIFIC HIGHWAY</v>
      </c>
      <c r="H5168" t="str">
        <f>T("CODE 5CBU")</f>
        <v>CODE 5CBU</v>
      </c>
      <c r="I5168" t="str">
        <f t="shared" si="2009"/>
        <v>SAN DIEGO</v>
      </c>
      <c r="J5168" t="str">
        <f t="shared" si="2010"/>
        <v>CA</v>
      </c>
      <c r="K5168" t="str">
        <f>T("6195324060")</f>
        <v>6195324060</v>
      </c>
      <c r="L5168" t="str">
        <f>T("6195322931")</f>
        <v>6195322931</v>
      </c>
    </row>
    <row r="5169" spans="1:12" x14ac:dyDescent="0.35">
      <c r="A5169" t="str">
        <f t="shared" si="2006"/>
        <v>NAVFAC SOUTHWEST HL5</v>
      </c>
      <c r="B5169" t="str">
        <f t="shared" si="2011"/>
        <v>1220 PACIFIC HIGHWAY</v>
      </c>
      <c r="C5169" t="str">
        <f>T("CODE 5CBU")</f>
        <v>CODE 5CBU</v>
      </c>
      <c r="D5169" t="str">
        <f t="shared" si="2007"/>
        <v>SAN DIEGO</v>
      </c>
      <c r="E5169" t="str">
        <f t="shared" si="2008"/>
        <v>CA</v>
      </c>
      <c r="F5169" t="str">
        <f t="shared" si="2012"/>
        <v>921320001</v>
      </c>
      <c r="G5169" t="str">
        <f>T("1220 PACIFIC HWY")</f>
        <v>1220 PACIFIC HWY</v>
      </c>
      <c r="H5169" t="str">
        <f>T("BLDG 110")</f>
        <v>BLDG 110</v>
      </c>
      <c r="I5169" t="str">
        <f t="shared" si="2009"/>
        <v>SAN DIEGO</v>
      </c>
      <c r="J5169" t="str">
        <f t="shared" si="2010"/>
        <v>CA</v>
      </c>
      <c r="K5169" t="str">
        <f>T("6195323979")</f>
        <v>6195323979</v>
      </c>
      <c r="L5169" t="str">
        <f>T("6195321177")</f>
        <v>6195321177</v>
      </c>
    </row>
    <row r="5170" spans="1:12" x14ac:dyDescent="0.35">
      <c r="A5170" t="str">
        <f t="shared" si="2006"/>
        <v>NAVFAC SOUTHWEST HL5</v>
      </c>
      <c r="B5170" t="str">
        <f t="shared" si="2011"/>
        <v>1220 PACIFIC HIGHWAY</v>
      </c>
      <c r="C5170" t="str">
        <f>T("NAVAL STATION CODE WRUP65")</f>
        <v>NAVAL STATION CODE WRUP65</v>
      </c>
      <c r="D5170" t="str">
        <f t="shared" si="2007"/>
        <v>SAN DIEGO</v>
      </c>
      <c r="E5170" t="str">
        <f t="shared" si="2008"/>
        <v>CA</v>
      </c>
      <c r="F5170" t="str">
        <f t="shared" si="2012"/>
        <v>921320001</v>
      </c>
      <c r="G5170" t="str">
        <f>T("1220 PACIFIC HIGHWAY")</f>
        <v>1220 PACIFIC HIGHWAY</v>
      </c>
      <c r="H5170" t="str">
        <f>T("NAVAL STATION CODE WRUP65")</f>
        <v>NAVAL STATION CODE WRUP65</v>
      </c>
      <c r="I5170" t="str">
        <f t="shared" si="2009"/>
        <v>SAN DIEGO</v>
      </c>
      <c r="J5170" t="str">
        <f t="shared" si="2010"/>
        <v>CA</v>
      </c>
      <c r="K5170" t="str">
        <f>T("")</f>
        <v/>
      </c>
      <c r="L5170" t="str">
        <f>T("6195712249")</f>
        <v>6195712249</v>
      </c>
    </row>
    <row r="5171" spans="1:12" x14ac:dyDescent="0.35">
      <c r="A5171" t="str">
        <f t="shared" si="2006"/>
        <v>NAVFAC SOUTHWEST HL5</v>
      </c>
      <c r="B5171" t="str">
        <f t="shared" si="2011"/>
        <v>1220 PACIFIC HIGHWAY</v>
      </c>
      <c r="C5171" t="str">
        <f>T("NAVAL STATION CODE WRUP65")</f>
        <v>NAVAL STATION CODE WRUP65</v>
      </c>
      <c r="D5171" t="str">
        <f t="shared" si="2007"/>
        <v>SAN DIEGO</v>
      </c>
      <c r="E5171" t="str">
        <f t="shared" si="2008"/>
        <v>CA</v>
      </c>
      <c r="F5171" t="str">
        <f t="shared" si="2012"/>
        <v>921320001</v>
      </c>
      <c r="G5171" t="str">
        <f>T("1220 PACIFIC HWY")</f>
        <v>1220 PACIFIC HWY</v>
      </c>
      <c r="H5171" t="str">
        <f>T("BLDG 128 CODE 650")</f>
        <v>BLDG 128 CODE 650</v>
      </c>
      <c r="I5171" t="str">
        <f t="shared" si="2009"/>
        <v>SAN DIEGO</v>
      </c>
      <c r="J5171" t="str">
        <f t="shared" si="2010"/>
        <v>CA</v>
      </c>
      <c r="K5171" t="str">
        <f>T("000000000000000000")</f>
        <v>000000000000000000</v>
      </c>
      <c r="L5171" t="str">
        <f>T("6195249218")</f>
        <v>6195249218</v>
      </c>
    </row>
    <row r="5172" spans="1:12" x14ac:dyDescent="0.35">
      <c r="A5172" t="str">
        <f t="shared" si="2006"/>
        <v>NAVFAC SOUTHWEST HL5</v>
      </c>
      <c r="B5172" t="str">
        <f t="shared" si="2011"/>
        <v>1220 PACIFIC HIGHWAY</v>
      </c>
      <c r="C5172" t="str">
        <f>T("NAVAL STATION CODE WRUP65")</f>
        <v>NAVAL STATION CODE WRUP65</v>
      </c>
      <c r="D5172" t="str">
        <f t="shared" si="2007"/>
        <v>SAN DIEGO</v>
      </c>
      <c r="E5172" t="str">
        <f t="shared" si="2008"/>
        <v>CA</v>
      </c>
      <c r="F5172" t="str">
        <f t="shared" si="2012"/>
        <v>921320001</v>
      </c>
      <c r="G5172" t="str">
        <f>T("1220 PACIFIC HWY")</f>
        <v>1220 PACIFIC HWY</v>
      </c>
      <c r="H5172" t="str">
        <f>T("BLDG 128 CODE 650")</f>
        <v>BLDG 128 CODE 650</v>
      </c>
      <c r="I5172" t="str">
        <f t="shared" si="2009"/>
        <v>SAN DIEGO</v>
      </c>
      <c r="J5172" t="str">
        <f t="shared" si="2010"/>
        <v>CA</v>
      </c>
      <c r="K5172" t="str">
        <f>T("000000000000000000")</f>
        <v>000000000000000000</v>
      </c>
      <c r="L5172" t="str">
        <f>T("6195567005")</f>
        <v>6195567005</v>
      </c>
    </row>
    <row r="5173" spans="1:12" x14ac:dyDescent="0.35">
      <c r="A5173" t="str">
        <f t="shared" si="2006"/>
        <v>NAVFAC SOUTHWEST HL5</v>
      </c>
      <c r="B5173" t="str">
        <f t="shared" si="2011"/>
        <v>1220 PACIFIC HIGHWAY</v>
      </c>
      <c r="C5173" t="str">
        <f>T("NAVAL STATION CODE WRUP65")</f>
        <v>NAVAL STATION CODE WRUP65</v>
      </c>
      <c r="D5173" t="str">
        <f t="shared" si="2007"/>
        <v>SAN DIEGO</v>
      </c>
      <c r="E5173" t="str">
        <f t="shared" si="2008"/>
        <v>CA</v>
      </c>
      <c r="F5173" t="str">
        <f t="shared" si="2012"/>
        <v>921320001</v>
      </c>
      <c r="G5173" t="str">
        <f>T("1220 PACIFIC HWY")</f>
        <v>1220 PACIFIC HWY</v>
      </c>
      <c r="H5173" t="str">
        <f>T("BLDG 128 CODE 650")</f>
        <v>BLDG 128 CODE 650</v>
      </c>
      <c r="I5173" t="str">
        <f t="shared" si="2009"/>
        <v>SAN DIEGO</v>
      </c>
      <c r="J5173" t="str">
        <f t="shared" si="2010"/>
        <v>CA</v>
      </c>
      <c r="K5173" t="str">
        <f>T("6195456067")</f>
        <v>6195456067</v>
      </c>
      <c r="L5173" t="str">
        <f>T("6195714152")</f>
        <v>6195714152</v>
      </c>
    </row>
    <row r="5174" spans="1:12" x14ac:dyDescent="0.35">
      <c r="A5174" t="str">
        <f t="shared" si="2006"/>
        <v>NAVFAC SOUTHWEST HL5</v>
      </c>
      <c r="B5174" t="str">
        <f t="shared" si="2011"/>
        <v>1220 PACIFIC HIGHWAY</v>
      </c>
      <c r="C5174" t="str">
        <f>T("NAVAL STATION CODE WRUP65")</f>
        <v>NAVAL STATION CODE WRUP65</v>
      </c>
      <c r="D5174" t="str">
        <f t="shared" si="2007"/>
        <v>SAN DIEGO</v>
      </c>
      <c r="E5174" t="str">
        <f t="shared" si="2008"/>
        <v>CA</v>
      </c>
      <c r="F5174" t="str">
        <f t="shared" si="2012"/>
        <v>921320001</v>
      </c>
      <c r="G5174" t="str">
        <f>T("BLDG 3212 NAVAL BASE")</f>
        <v>BLDG 3212 NAVAL BASE</v>
      </c>
      <c r="H5174" t="str">
        <f>T("")</f>
        <v/>
      </c>
      <c r="I5174" t="str">
        <f t="shared" si="2009"/>
        <v>SAN DIEGO</v>
      </c>
      <c r="J5174" t="str">
        <f t="shared" si="2010"/>
        <v>CA</v>
      </c>
      <c r="K5174" t="str">
        <f>T("000000000000000000")</f>
        <v>000000000000000000</v>
      </c>
      <c r="L5174" t="str">
        <f>T("6195534144")</f>
        <v>6195534144</v>
      </c>
    </row>
    <row r="5175" spans="1:12" x14ac:dyDescent="0.35">
      <c r="A5175" t="str">
        <f t="shared" si="2006"/>
        <v>NAVFAC SOUTHWEST HL5</v>
      </c>
      <c r="B5175" t="str">
        <f t="shared" si="2011"/>
        <v>1220 PACIFIC HIGHWAY</v>
      </c>
      <c r="C5175" t="str">
        <f>T("NAVSTA BLDG 3213 CODE 500F")</f>
        <v>NAVSTA BLDG 3213 CODE 500F</v>
      </c>
      <c r="D5175" t="str">
        <f t="shared" si="2007"/>
        <v>SAN DIEGO</v>
      </c>
      <c r="E5175" t="str">
        <f t="shared" si="2008"/>
        <v>CA</v>
      </c>
      <c r="F5175" t="str">
        <f t="shared" ref="F5175:F5185" si="2013">T("921325190")</f>
        <v>921325190</v>
      </c>
      <c r="G5175" t="str">
        <f>T("1220 PACIFIC HIGHWAY")</f>
        <v>1220 PACIFIC HIGHWAY</v>
      </c>
      <c r="H5175" t="str">
        <f>T("NAVSTA BLDG 3213 CODE 500F")</f>
        <v>NAVSTA BLDG 3213 CODE 500F</v>
      </c>
      <c r="I5175" t="str">
        <f t="shared" si="2009"/>
        <v>SAN DIEGO</v>
      </c>
      <c r="J5175" t="str">
        <f t="shared" si="2010"/>
        <v>CA</v>
      </c>
      <c r="K5175" t="str">
        <f>T("")</f>
        <v/>
      </c>
      <c r="L5175" t="str">
        <f>T("6195242934")</f>
        <v>6195242934</v>
      </c>
    </row>
    <row r="5176" spans="1:12" x14ac:dyDescent="0.35">
      <c r="A5176" t="str">
        <f t="shared" si="2006"/>
        <v>NAVFAC SOUTHWEST HL5</v>
      </c>
      <c r="B5176" t="str">
        <f t="shared" ref="B5176:B5194" si="2014">T("1220 PACIFIC HWY")</f>
        <v>1220 PACIFIC HWY</v>
      </c>
      <c r="C5176" t="str">
        <f>T("")</f>
        <v/>
      </c>
      <c r="D5176" t="str">
        <f t="shared" si="2007"/>
        <v>SAN DIEGO</v>
      </c>
      <c r="E5176" t="str">
        <f t="shared" si="2008"/>
        <v>CA</v>
      </c>
      <c r="F5176" t="str">
        <f t="shared" si="2013"/>
        <v>921325190</v>
      </c>
      <c r="G5176" t="str">
        <f t="shared" ref="G5176:G5182" si="2015">T("1220 PACIFIC HWY")</f>
        <v>1220 PACIFIC HWY</v>
      </c>
      <c r="H5176" t="str">
        <f>T("")</f>
        <v/>
      </c>
      <c r="I5176" t="str">
        <f t="shared" si="2009"/>
        <v>SAN DIEGO</v>
      </c>
      <c r="J5176" t="str">
        <f t="shared" si="2010"/>
        <v>CA</v>
      </c>
      <c r="K5176" t="str">
        <f>T("6195321657")</f>
        <v>6195321657</v>
      </c>
      <c r="L5176" t="str">
        <f>T("6195323695")</f>
        <v>6195323695</v>
      </c>
    </row>
    <row r="5177" spans="1:12" x14ac:dyDescent="0.35">
      <c r="A5177" t="str">
        <f t="shared" si="2006"/>
        <v>NAVFAC SOUTHWEST HL5</v>
      </c>
      <c r="B5177" t="str">
        <f t="shared" si="2014"/>
        <v>1220 PACIFIC HWY</v>
      </c>
      <c r="C5177" t="str">
        <f>T("")</f>
        <v/>
      </c>
      <c r="D5177" t="str">
        <f t="shared" si="2007"/>
        <v>SAN DIEGO</v>
      </c>
      <c r="E5177" t="str">
        <f t="shared" si="2008"/>
        <v>CA</v>
      </c>
      <c r="F5177" t="str">
        <f t="shared" si="2013"/>
        <v>921325190</v>
      </c>
      <c r="G5177" t="str">
        <f t="shared" si="2015"/>
        <v>1220 PACIFIC HWY</v>
      </c>
      <c r="H5177" t="str">
        <f>T("")</f>
        <v/>
      </c>
      <c r="I5177" t="str">
        <f t="shared" si="2009"/>
        <v>SAN DIEGO</v>
      </c>
      <c r="J5177" t="str">
        <f t="shared" si="2010"/>
        <v>CA</v>
      </c>
      <c r="K5177" t="str">
        <f>T("6195321657")</f>
        <v>6195321657</v>
      </c>
      <c r="L5177" t="str">
        <f>T("6195324502")</f>
        <v>6195324502</v>
      </c>
    </row>
    <row r="5178" spans="1:12" x14ac:dyDescent="0.35">
      <c r="A5178" t="str">
        <f t="shared" si="2006"/>
        <v>NAVFAC SOUTHWEST HL5</v>
      </c>
      <c r="B5178" t="str">
        <f t="shared" si="2014"/>
        <v>1220 PACIFIC HWY</v>
      </c>
      <c r="C5178" t="str">
        <f>T("")</f>
        <v/>
      </c>
      <c r="D5178" t="str">
        <f t="shared" si="2007"/>
        <v>SAN DIEGO</v>
      </c>
      <c r="E5178" t="str">
        <f t="shared" si="2008"/>
        <v>CA</v>
      </c>
      <c r="F5178" t="str">
        <f t="shared" si="2013"/>
        <v>921325190</v>
      </c>
      <c r="G5178" t="str">
        <f t="shared" si="2015"/>
        <v>1220 PACIFIC HWY</v>
      </c>
      <c r="H5178" t="str">
        <f>T("")</f>
        <v/>
      </c>
      <c r="I5178" t="str">
        <f t="shared" si="2009"/>
        <v>SAN DIEGO</v>
      </c>
      <c r="J5178" t="str">
        <f t="shared" si="2010"/>
        <v>CA</v>
      </c>
      <c r="K5178" t="str">
        <f>T("6195324060")</f>
        <v>6195324060</v>
      </c>
      <c r="L5178" t="str">
        <f>T("6195322377")</f>
        <v>6195322377</v>
      </c>
    </row>
    <row r="5179" spans="1:12" x14ac:dyDescent="0.35">
      <c r="A5179" t="str">
        <f t="shared" si="2006"/>
        <v>NAVFAC SOUTHWEST HL5</v>
      </c>
      <c r="B5179" t="str">
        <f t="shared" si="2014"/>
        <v>1220 PACIFIC HWY</v>
      </c>
      <c r="C5179" t="str">
        <f>T("")</f>
        <v/>
      </c>
      <c r="D5179" t="str">
        <f t="shared" si="2007"/>
        <v>SAN DIEGO</v>
      </c>
      <c r="E5179" t="str">
        <f t="shared" si="2008"/>
        <v>CA</v>
      </c>
      <c r="F5179" t="str">
        <f t="shared" si="2013"/>
        <v>921325190</v>
      </c>
      <c r="G5179" t="str">
        <f t="shared" si="2015"/>
        <v>1220 PACIFIC HWY</v>
      </c>
      <c r="H5179" t="str">
        <f>T("BLDG 127")</f>
        <v>BLDG 127</v>
      </c>
      <c r="I5179" t="str">
        <f t="shared" si="2009"/>
        <v>SAN DIEGO</v>
      </c>
      <c r="J5179" t="str">
        <f t="shared" si="2010"/>
        <v>CA</v>
      </c>
      <c r="K5179" t="str">
        <f>T("6195324060")</f>
        <v>6195324060</v>
      </c>
      <c r="L5179" t="str">
        <f>T("6195322392")</f>
        <v>6195322392</v>
      </c>
    </row>
    <row r="5180" spans="1:12" x14ac:dyDescent="0.35">
      <c r="A5180" t="str">
        <f t="shared" si="2006"/>
        <v>NAVFAC SOUTHWEST HL5</v>
      </c>
      <c r="B5180" t="str">
        <f t="shared" si="2014"/>
        <v>1220 PACIFIC HWY</v>
      </c>
      <c r="C5180" t="str">
        <f t="shared" ref="C5180:C5185" si="2016">T("BLDG 128")</f>
        <v>BLDG 128</v>
      </c>
      <c r="D5180" t="str">
        <f t="shared" si="2007"/>
        <v>SAN DIEGO</v>
      </c>
      <c r="E5180" t="str">
        <f t="shared" si="2008"/>
        <v>CA</v>
      </c>
      <c r="F5180" t="str">
        <f t="shared" si="2013"/>
        <v>921325190</v>
      </c>
      <c r="G5180" t="str">
        <f t="shared" si="2015"/>
        <v>1220 PACIFIC HWY</v>
      </c>
      <c r="H5180" t="str">
        <f>T("BLDG 128")</f>
        <v>BLDG 128</v>
      </c>
      <c r="I5180" t="str">
        <f t="shared" si="2009"/>
        <v>SAN DIEGO</v>
      </c>
      <c r="J5180" t="str">
        <f t="shared" si="2010"/>
        <v>CA</v>
      </c>
      <c r="K5180" t="str">
        <f>T("")</f>
        <v/>
      </c>
      <c r="L5180" t="str">
        <f>T("6195567344")</f>
        <v>6195567344</v>
      </c>
    </row>
    <row r="5181" spans="1:12" x14ac:dyDescent="0.35">
      <c r="A5181" t="str">
        <f t="shared" si="2006"/>
        <v>NAVFAC SOUTHWEST HL5</v>
      </c>
      <c r="B5181" t="str">
        <f t="shared" si="2014"/>
        <v>1220 PACIFIC HWY</v>
      </c>
      <c r="C5181" t="str">
        <f t="shared" si="2016"/>
        <v>BLDG 128</v>
      </c>
      <c r="D5181" t="str">
        <f t="shared" si="2007"/>
        <v>SAN DIEGO</v>
      </c>
      <c r="E5181" t="str">
        <f t="shared" si="2008"/>
        <v>CA</v>
      </c>
      <c r="F5181" t="str">
        <f t="shared" si="2013"/>
        <v>921325190</v>
      </c>
      <c r="G5181" t="str">
        <f t="shared" si="2015"/>
        <v>1220 PACIFIC HWY</v>
      </c>
      <c r="H5181" t="str">
        <f>T("CODE 630")</f>
        <v>CODE 630</v>
      </c>
      <c r="I5181" t="str">
        <f t="shared" si="2009"/>
        <v>SAN DIEGO</v>
      </c>
      <c r="J5181" t="str">
        <f t="shared" si="2010"/>
        <v>CA</v>
      </c>
      <c r="K5181" t="str">
        <f>T("6195568305")</f>
        <v>6195568305</v>
      </c>
      <c r="L5181" t="str">
        <f>T("6195565871")</f>
        <v>6195565871</v>
      </c>
    </row>
    <row r="5182" spans="1:12" x14ac:dyDescent="0.35">
      <c r="A5182" t="str">
        <f t="shared" si="2006"/>
        <v>NAVFAC SOUTHWEST HL5</v>
      </c>
      <c r="B5182" t="str">
        <f t="shared" si="2014"/>
        <v>1220 PACIFIC HWY</v>
      </c>
      <c r="C5182" t="str">
        <f t="shared" si="2016"/>
        <v>BLDG 128</v>
      </c>
      <c r="D5182" t="str">
        <f t="shared" si="2007"/>
        <v>SAN DIEGO</v>
      </c>
      <c r="E5182" t="str">
        <f t="shared" si="2008"/>
        <v>CA</v>
      </c>
      <c r="F5182" t="str">
        <f t="shared" si="2013"/>
        <v>921325190</v>
      </c>
      <c r="G5182" t="str">
        <f t="shared" si="2015"/>
        <v>1220 PACIFIC HWY</v>
      </c>
      <c r="H5182" t="str">
        <f>T("CODE 630")</f>
        <v>CODE 630</v>
      </c>
      <c r="I5182" t="str">
        <f t="shared" si="2009"/>
        <v>SAN DIEGO</v>
      </c>
      <c r="J5182" t="str">
        <f t="shared" si="2010"/>
        <v>CA</v>
      </c>
      <c r="K5182" t="str">
        <f>T("6195568305")</f>
        <v>6195568305</v>
      </c>
      <c r="L5182" t="str">
        <f>T("6199214448")</f>
        <v>6199214448</v>
      </c>
    </row>
    <row r="5183" spans="1:12" x14ac:dyDescent="0.35">
      <c r="A5183" t="str">
        <f t="shared" si="2006"/>
        <v>NAVFAC SOUTHWEST HL5</v>
      </c>
      <c r="B5183" t="str">
        <f t="shared" si="2014"/>
        <v>1220 PACIFIC HWY</v>
      </c>
      <c r="C5183" t="str">
        <f t="shared" si="2016"/>
        <v>BLDG 128</v>
      </c>
      <c r="D5183" t="str">
        <f t="shared" si="2007"/>
        <v>SAN DIEGO</v>
      </c>
      <c r="E5183" t="str">
        <f t="shared" si="2008"/>
        <v>CA</v>
      </c>
      <c r="F5183" t="str">
        <f t="shared" si="2013"/>
        <v>921325190</v>
      </c>
      <c r="G5183" t="str">
        <f>T("1220 PACIFIC HWY CODE 630")</f>
        <v>1220 PACIFIC HWY CODE 630</v>
      </c>
      <c r="H5183" t="str">
        <f>T("")</f>
        <v/>
      </c>
      <c r="I5183" t="str">
        <f t="shared" si="2009"/>
        <v>SAN DIEGO</v>
      </c>
      <c r="J5183" t="str">
        <f t="shared" si="2010"/>
        <v>CA</v>
      </c>
      <c r="K5183" t="str">
        <f>T("6195569471")</f>
        <v>6195569471</v>
      </c>
      <c r="L5183" t="str">
        <f>T("6195567256")</f>
        <v>6195567256</v>
      </c>
    </row>
    <row r="5184" spans="1:12" x14ac:dyDescent="0.35">
      <c r="A5184" t="str">
        <f t="shared" si="2006"/>
        <v>NAVFAC SOUTHWEST HL5</v>
      </c>
      <c r="B5184" t="str">
        <f t="shared" si="2014"/>
        <v>1220 PACIFIC HWY</v>
      </c>
      <c r="C5184" t="str">
        <f t="shared" si="2016"/>
        <v>BLDG 128</v>
      </c>
      <c r="D5184" t="str">
        <f t="shared" si="2007"/>
        <v>SAN DIEGO</v>
      </c>
      <c r="E5184" t="str">
        <f t="shared" si="2008"/>
        <v>CA</v>
      </c>
      <c r="F5184" t="str">
        <f t="shared" si="2013"/>
        <v>921325190</v>
      </c>
      <c r="G5184" t="str">
        <f>T("1220 PACIFIC HWY NBSD BLDG 3579")</f>
        <v>1220 PACIFIC HWY NBSD BLDG 3579</v>
      </c>
      <c r="H5184" t="str">
        <f>T("")</f>
        <v/>
      </c>
      <c r="I5184" t="str">
        <f t="shared" si="2009"/>
        <v>SAN DIEGO</v>
      </c>
      <c r="J5184" t="str">
        <f t="shared" si="2010"/>
        <v>CA</v>
      </c>
      <c r="K5184" t="str">
        <f>T("6195535332")</f>
        <v>6195535332</v>
      </c>
      <c r="L5184" t="str">
        <f>T("6194558635")</f>
        <v>6194558635</v>
      </c>
    </row>
    <row r="5185" spans="1:12" x14ac:dyDescent="0.35">
      <c r="A5185" t="str">
        <f t="shared" si="2006"/>
        <v>NAVFAC SOUTHWEST HL5</v>
      </c>
      <c r="B5185" t="str">
        <f t="shared" si="2014"/>
        <v>1220 PACIFIC HWY</v>
      </c>
      <c r="C5185" t="str">
        <f t="shared" si="2016"/>
        <v>BLDG 128</v>
      </c>
      <c r="D5185" t="str">
        <f t="shared" si="2007"/>
        <v>SAN DIEGO</v>
      </c>
      <c r="E5185" t="str">
        <f t="shared" si="2008"/>
        <v>CA</v>
      </c>
      <c r="F5185" t="str">
        <f t="shared" si="2013"/>
        <v>921325190</v>
      </c>
      <c r="G5185" t="str">
        <f>T("1220 PACIFIC HWY-CODE OPMD")</f>
        <v>1220 PACIFIC HWY-CODE OPMD</v>
      </c>
      <c r="H5185" t="str">
        <f>T("COASTAL IPT-PWD SAN DIEGO")</f>
        <v>COASTAL IPT-PWD SAN DIEGO</v>
      </c>
      <c r="I5185" t="str">
        <f t="shared" si="2009"/>
        <v>SAN DIEGO</v>
      </c>
      <c r="J5185" t="str">
        <f t="shared" si="2010"/>
        <v>CA</v>
      </c>
      <c r="K5185" t="str">
        <f>T("000000000000000000")</f>
        <v>000000000000000000</v>
      </c>
      <c r="L5185" t="str">
        <f>T("6195561881")</f>
        <v>6195561881</v>
      </c>
    </row>
    <row r="5186" spans="1:12" x14ac:dyDescent="0.35">
      <c r="A5186" t="str">
        <f t="shared" si="2006"/>
        <v>NAVFAC SOUTHWEST HL5</v>
      </c>
      <c r="B5186" t="str">
        <f t="shared" si="2014"/>
        <v>1220 PACIFIC HWY</v>
      </c>
      <c r="C5186" t="str">
        <f>T("CODE OPDS.ED")</f>
        <v>CODE OPDS.ED</v>
      </c>
      <c r="D5186" t="str">
        <f t="shared" si="2007"/>
        <v>SAN DIEGO</v>
      </c>
      <c r="E5186" t="str">
        <f t="shared" si="2008"/>
        <v>CA</v>
      </c>
      <c r="F5186" t="str">
        <f t="shared" ref="F5186:F5194" si="2017">T("921320001")</f>
        <v>921320001</v>
      </c>
      <c r="G5186" t="str">
        <f>T("1220 PACIFIC HWY")</f>
        <v>1220 PACIFIC HWY</v>
      </c>
      <c r="H5186" t="str">
        <f>T("CODE OPDS.ED")</f>
        <v>CODE OPDS.ED</v>
      </c>
      <c r="I5186" t="str">
        <f t="shared" si="2009"/>
        <v>SAN DIEGO</v>
      </c>
      <c r="J5186" t="str">
        <f t="shared" si="2010"/>
        <v>CA</v>
      </c>
      <c r="K5186" t="str">
        <f>T("")</f>
        <v/>
      </c>
      <c r="L5186" t="str">
        <f>T("6195321174")</f>
        <v>6195321174</v>
      </c>
    </row>
    <row r="5187" spans="1:12" x14ac:dyDescent="0.35">
      <c r="A5187" t="str">
        <f t="shared" si="2006"/>
        <v>NAVFAC SOUTHWEST HL5</v>
      </c>
      <c r="B5187" t="str">
        <f t="shared" si="2014"/>
        <v>1220 PACIFIC HWY</v>
      </c>
      <c r="C5187" t="str">
        <f>T("CODE OPDS.ED")</f>
        <v>CODE OPDS.ED</v>
      </c>
      <c r="D5187" t="str">
        <f t="shared" si="2007"/>
        <v>SAN DIEGO</v>
      </c>
      <c r="E5187" t="str">
        <f t="shared" si="2008"/>
        <v>CA</v>
      </c>
      <c r="F5187" t="str">
        <f t="shared" si="2017"/>
        <v>921320001</v>
      </c>
      <c r="G5187" t="str">
        <f>T("NAVFAC SOUTHWEST")</f>
        <v>NAVFAC SOUTHWEST</v>
      </c>
      <c r="H5187" t="str">
        <f>T("1220 PACIFIC HWY BLDG 130")</f>
        <v>1220 PACIFIC HWY BLDG 130</v>
      </c>
      <c r="I5187" t="str">
        <f t="shared" si="2009"/>
        <v>SAN DIEGO</v>
      </c>
      <c r="J5187" t="str">
        <f t="shared" si="2010"/>
        <v>CA</v>
      </c>
      <c r="K5187" t="str">
        <f>T("6195321242")</f>
        <v>6195321242</v>
      </c>
      <c r="L5187" t="str">
        <f>T("6195323398")</f>
        <v>6195323398</v>
      </c>
    </row>
    <row r="5188" spans="1:12" x14ac:dyDescent="0.35">
      <c r="A5188" t="str">
        <f t="shared" si="2006"/>
        <v>NAVFAC SOUTHWEST HL5</v>
      </c>
      <c r="B5188" t="str">
        <f t="shared" si="2014"/>
        <v>1220 PACIFIC HWY</v>
      </c>
      <c r="C5188" t="str">
        <f>T("CODE OPDS.ED")</f>
        <v>CODE OPDS.ED</v>
      </c>
      <c r="D5188" t="str">
        <f t="shared" si="2007"/>
        <v>SAN DIEGO</v>
      </c>
      <c r="E5188" t="str">
        <f t="shared" si="2008"/>
        <v>CA</v>
      </c>
      <c r="F5188" t="str">
        <f t="shared" si="2017"/>
        <v>921320001</v>
      </c>
      <c r="G5188" t="str">
        <f>T("NAVFAC SOUTHWEST")</f>
        <v>NAVFAC SOUTHWEST</v>
      </c>
      <c r="H5188" t="str">
        <f>T("1220 PACIFIC HWY CODE 5DBU SJ")</f>
        <v>1220 PACIFIC HWY CODE 5DBU SJ</v>
      </c>
      <c r="I5188" t="str">
        <f t="shared" si="2009"/>
        <v>SAN DIEGO</v>
      </c>
      <c r="J5188" t="str">
        <f t="shared" si="2010"/>
        <v>CA</v>
      </c>
      <c r="K5188" t="str">
        <f>T("6195321242")</f>
        <v>6195321242</v>
      </c>
      <c r="L5188" t="str">
        <f>T("6195323686")</f>
        <v>6195323686</v>
      </c>
    </row>
    <row r="5189" spans="1:12" x14ac:dyDescent="0.35">
      <c r="A5189" t="str">
        <f t="shared" si="2006"/>
        <v>NAVFAC SOUTHWEST HL5</v>
      </c>
      <c r="B5189" t="str">
        <f t="shared" si="2014"/>
        <v>1220 PACIFIC HWY</v>
      </c>
      <c r="C5189" t="str">
        <f>T("NAVFAC SOUTH WEST")</f>
        <v>NAVFAC SOUTH WEST</v>
      </c>
      <c r="D5189" t="str">
        <f t="shared" si="2007"/>
        <v>SAN DIEGO</v>
      </c>
      <c r="E5189" t="str">
        <f t="shared" si="2008"/>
        <v>CA</v>
      </c>
      <c r="F5189" t="str">
        <f t="shared" si="2017"/>
        <v>921320001</v>
      </c>
      <c r="G5189" t="str">
        <f>T("1220 PACIFIC HWY")</f>
        <v>1220 PACIFIC HWY</v>
      </c>
      <c r="H5189" t="str">
        <f>T("NAVFAC SOUTH WEST")</f>
        <v>NAVFAC SOUTH WEST</v>
      </c>
      <c r="I5189" t="str">
        <f t="shared" si="2009"/>
        <v>SAN DIEGO</v>
      </c>
      <c r="J5189" t="str">
        <f t="shared" si="2010"/>
        <v>CA</v>
      </c>
      <c r="K5189" t="str">
        <f>T("")</f>
        <v/>
      </c>
      <c r="L5189" t="str">
        <f>T("6195324524")</f>
        <v>6195324524</v>
      </c>
    </row>
    <row r="5190" spans="1:12" x14ac:dyDescent="0.35">
      <c r="A5190" t="str">
        <f t="shared" si="2006"/>
        <v>NAVFAC SOUTHWEST HL5</v>
      </c>
      <c r="B5190" t="str">
        <f t="shared" si="2014"/>
        <v>1220 PACIFIC HWY</v>
      </c>
      <c r="C5190" t="str">
        <f>T("NAVFAC SOUTH WEST")</f>
        <v>NAVFAC SOUTH WEST</v>
      </c>
      <c r="D5190" t="str">
        <f t="shared" si="2007"/>
        <v>SAN DIEGO</v>
      </c>
      <c r="E5190" t="str">
        <f t="shared" si="2008"/>
        <v>CA</v>
      </c>
      <c r="F5190" t="str">
        <f t="shared" si="2017"/>
        <v>921320001</v>
      </c>
      <c r="G5190" t="str">
        <f>T("NAVFAC SOUTHWEST")</f>
        <v>NAVFAC SOUTHWEST</v>
      </c>
      <c r="H5190" t="str">
        <f>T("1220 PACIFIC HWY")</f>
        <v>1220 PACIFIC HWY</v>
      </c>
      <c r="I5190" t="str">
        <f t="shared" si="2009"/>
        <v>SAN DIEGO</v>
      </c>
      <c r="J5190" t="str">
        <f t="shared" si="2010"/>
        <v>CA</v>
      </c>
      <c r="K5190" t="str">
        <f>T("000000000000000000")</f>
        <v>000000000000000000</v>
      </c>
      <c r="L5190" t="str">
        <f>T("6195321171")</f>
        <v>6195321171</v>
      </c>
    </row>
    <row r="5191" spans="1:12" x14ac:dyDescent="0.35">
      <c r="A5191" t="str">
        <f t="shared" si="2006"/>
        <v>NAVFAC SOUTHWEST HL5</v>
      </c>
      <c r="B5191" t="str">
        <f t="shared" si="2014"/>
        <v>1220 PACIFIC HWY</v>
      </c>
      <c r="C5191" t="str">
        <f>T("NAVFAC SW CODE 5CBU")</f>
        <v>NAVFAC SW CODE 5CBU</v>
      </c>
      <c r="D5191" t="str">
        <f t="shared" si="2007"/>
        <v>SAN DIEGO</v>
      </c>
      <c r="E5191" t="str">
        <f t="shared" si="2008"/>
        <v>CA</v>
      </c>
      <c r="F5191" t="str">
        <f t="shared" si="2017"/>
        <v>921320001</v>
      </c>
      <c r="G5191" t="str">
        <f>T("1220 PACIFIC HWY")</f>
        <v>1220 PACIFIC HWY</v>
      </c>
      <c r="H5191" t="str">
        <f>T("NAVFAC SW CODE 5CBU")</f>
        <v>NAVFAC SW CODE 5CBU</v>
      </c>
      <c r="I5191" t="str">
        <f t="shared" si="2009"/>
        <v>SAN DIEGO</v>
      </c>
      <c r="J5191" t="str">
        <f t="shared" si="2010"/>
        <v>CA</v>
      </c>
      <c r="K5191" t="str">
        <f>T("")</f>
        <v/>
      </c>
      <c r="L5191" t="str">
        <f>T("6195321987")</f>
        <v>6195321987</v>
      </c>
    </row>
    <row r="5192" spans="1:12" x14ac:dyDescent="0.35">
      <c r="A5192" t="str">
        <f t="shared" si="2006"/>
        <v>NAVFAC SOUTHWEST HL5</v>
      </c>
      <c r="B5192" t="str">
        <f t="shared" si="2014"/>
        <v>1220 PACIFIC HWY</v>
      </c>
      <c r="C5192" t="str">
        <f>T("NAVFAC SW CODE 5CBU")</f>
        <v>NAVFAC SW CODE 5CBU</v>
      </c>
      <c r="D5192" t="str">
        <f t="shared" si="2007"/>
        <v>SAN DIEGO</v>
      </c>
      <c r="E5192" t="str">
        <f t="shared" si="2008"/>
        <v>CA</v>
      </c>
      <c r="F5192" t="str">
        <f t="shared" si="2017"/>
        <v>921320001</v>
      </c>
      <c r="G5192" t="str">
        <f>T("1220 PACIFIC HWY")</f>
        <v>1220 PACIFIC HWY</v>
      </c>
      <c r="H5192" t="str">
        <f>T("NAVFAC SW CODE 5CBU")</f>
        <v>NAVFAC SW CODE 5CBU</v>
      </c>
      <c r="I5192" t="str">
        <f t="shared" si="2009"/>
        <v>SAN DIEGO</v>
      </c>
      <c r="J5192" t="str">
        <f t="shared" si="2010"/>
        <v>CA</v>
      </c>
      <c r="K5192" t="str">
        <f>T("6195323979")</f>
        <v>6195323979</v>
      </c>
      <c r="L5192" t="str">
        <f>T("6195321177")</f>
        <v>6195321177</v>
      </c>
    </row>
    <row r="5193" spans="1:12" x14ac:dyDescent="0.35">
      <c r="A5193" t="str">
        <f t="shared" si="2006"/>
        <v>NAVFAC SOUTHWEST HL5</v>
      </c>
      <c r="B5193" t="str">
        <f t="shared" si="2014"/>
        <v>1220 PACIFIC HWY</v>
      </c>
      <c r="C5193" t="str">
        <f>T("NAVFAC SW CODE 5CBU")</f>
        <v>NAVFAC SW CODE 5CBU</v>
      </c>
      <c r="D5193" t="str">
        <f t="shared" si="2007"/>
        <v>SAN DIEGO</v>
      </c>
      <c r="E5193" t="str">
        <f t="shared" ref="E5193:E5224" si="2018">T("CA")</f>
        <v>CA</v>
      </c>
      <c r="F5193" t="str">
        <f t="shared" si="2017"/>
        <v>921320001</v>
      </c>
      <c r="G5193" t="str">
        <f>T("1220 PACIFIC HWY")</f>
        <v>1220 PACIFIC HWY</v>
      </c>
      <c r="H5193" t="str">
        <f>T("NAVFAC SW CODE 5CBU")</f>
        <v>NAVFAC SW CODE 5CBU</v>
      </c>
      <c r="I5193" t="str">
        <f t="shared" si="2009"/>
        <v>SAN DIEGO</v>
      </c>
      <c r="J5193" t="str">
        <f t="shared" ref="J5193:J5224" si="2019">T("CA")</f>
        <v>CA</v>
      </c>
      <c r="K5193" t="str">
        <f>T("6195323979")</f>
        <v>6195323979</v>
      </c>
      <c r="L5193" t="str">
        <f>T("6195323422")</f>
        <v>6195323422</v>
      </c>
    </row>
    <row r="5194" spans="1:12" x14ac:dyDescent="0.35">
      <c r="A5194" t="str">
        <f t="shared" si="2006"/>
        <v>NAVFAC SOUTHWEST HL5</v>
      </c>
      <c r="B5194" t="str">
        <f t="shared" si="2014"/>
        <v>1220 PACIFIC HWY</v>
      </c>
      <c r="C5194" t="str">
        <f>T("NAVFAC SW CODE 5CBU")</f>
        <v>NAVFAC SW CODE 5CBU</v>
      </c>
      <c r="D5194" t="str">
        <f t="shared" si="2007"/>
        <v>SAN DIEGO</v>
      </c>
      <c r="E5194" t="str">
        <f t="shared" si="2018"/>
        <v>CA</v>
      </c>
      <c r="F5194" t="str">
        <f t="shared" si="2017"/>
        <v>921320001</v>
      </c>
      <c r="G5194" t="str">
        <f>T("1220 PACIFIC HWY")</f>
        <v>1220 PACIFIC HWY</v>
      </c>
      <c r="H5194" t="str">
        <f>T("NAVFAC SW CODE 8CBU")</f>
        <v>NAVFAC SW CODE 8CBU</v>
      </c>
      <c r="I5194" t="str">
        <f t="shared" si="2009"/>
        <v>SAN DIEGO</v>
      </c>
      <c r="J5194" t="str">
        <f t="shared" si="2019"/>
        <v>CA</v>
      </c>
      <c r="K5194" t="str">
        <f>T("6196323979")</f>
        <v>6196323979</v>
      </c>
      <c r="L5194" t="str">
        <f>T("6196321177")</f>
        <v>6196321177</v>
      </c>
    </row>
    <row r="5195" spans="1:12" x14ac:dyDescent="0.35">
      <c r="A5195" t="str">
        <f t="shared" si="2006"/>
        <v>NAVFAC SOUTHWEST HL5</v>
      </c>
      <c r="B5195" t="str">
        <f>T("1605 3RD ST BLDG 504")</f>
        <v>1605 3RD ST BLDG 504</v>
      </c>
      <c r="C5195" t="str">
        <f>T("")</f>
        <v/>
      </c>
      <c r="D5195" t="str">
        <f>T("EL CENTRO")</f>
        <v>EL CENTRO</v>
      </c>
      <c r="E5195" t="str">
        <f t="shared" si="2018"/>
        <v>CA</v>
      </c>
      <c r="F5195" t="str">
        <f>T("922435041")</f>
        <v>922435041</v>
      </c>
      <c r="G5195" t="str">
        <f>T("1605 3RD ST BLDG 504")</f>
        <v>1605 3RD ST BLDG 504</v>
      </c>
      <c r="H5195" t="str">
        <f>T("")</f>
        <v/>
      </c>
      <c r="I5195" t="str">
        <f>T("EL CENTRO")</f>
        <v>EL CENTRO</v>
      </c>
      <c r="J5195" t="str">
        <f t="shared" si="2019"/>
        <v>CA</v>
      </c>
      <c r="K5195" t="str">
        <f>T("000000000000000000")</f>
        <v>000000000000000000</v>
      </c>
      <c r="L5195" t="str">
        <f>T("7603392456")</f>
        <v>7603392456</v>
      </c>
    </row>
    <row r="5196" spans="1:12" x14ac:dyDescent="0.35">
      <c r="A5196" t="str">
        <f t="shared" si="2006"/>
        <v>NAVFAC SOUTHWEST HL5</v>
      </c>
      <c r="B5196" t="str">
        <f>T("1605 3RD ST BLDG 504")</f>
        <v>1605 3RD ST BLDG 504</v>
      </c>
      <c r="C5196" t="str">
        <f>T("")</f>
        <v/>
      </c>
      <c r="D5196" t="str">
        <f>T("EL CENTRO")</f>
        <v>EL CENTRO</v>
      </c>
      <c r="E5196" t="str">
        <f t="shared" si="2018"/>
        <v>CA</v>
      </c>
      <c r="F5196" t="str">
        <f>T("922435041")</f>
        <v>922435041</v>
      </c>
      <c r="G5196" t="str">
        <f>T("NAVFAC SW DESERT IPT-PWD")</f>
        <v>NAVFAC SW DESERT IPT-PWD</v>
      </c>
      <c r="H5196" t="str">
        <f>T("1605 3RD STREET BLDG 504 NAF")</f>
        <v>1605 3RD STREET BLDG 504 NAF</v>
      </c>
      <c r="I5196" t="str">
        <f>T("EL CENTRO")</f>
        <v>EL CENTRO</v>
      </c>
      <c r="J5196" t="str">
        <f t="shared" si="2019"/>
        <v>CA</v>
      </c>
      <c r="K5196" t="str">
        <f>T("7603392970")</f>
        <v>7603392970</v>
      </c>
      <c r="L5196" t="str">
        <f>T("7603392201")</f>
        <v>7603392201</v>
      </c>
    </row>
    <row r="5197" spans="1:12" x14ac:dyDescent="0.35">
      <c r="A5197" t="str">
        <f t="shared" si="2006"/>
        <v>NAVFAC SOUTHWEST HL5</v>
      </c>
      <c r="B5197" t="str">
        <f>T("1605 3RD ST, BLDG 504")</f>
        <v>1605 3RD ST, BLDG 504</v>
      </c>
      <c r="C5197" t="str">
        <f>T("NAF EL CENTRO")</f>
        <v>NAF EL CENTRO</v>
      </c>
      <c r="D5197" t="str">
        <f>T("EL CENTRO")</f>
        <v>EL CENTRO</v>
      </c>
      <c r="E5197" t="str">
        <f t="shared" si="2018"/>
        <v>CA</v>
      </c>
      <c r="F5197" t="str">
        <f>T("922435041")</f>
        <v>922435041</v>
      </c>
      <c r="G5197" t="str">
        <f>T("1605 3RD ST, BLDG 504")</f>
        <v>1605 3RD ST, BLDG 504</v>
      </c>
      <c r="H5197" t="str">
        <f>T("NAF EL CENTRO")</f>
        <v>NAF EL CENTRO</v>
      </c>
      <c r="I5197" t="str">
        <f>T("EL CENTRO")</f>
        <v>EL CENTRO</v>
      </c>
      <c r="J5197" t="str">
        <f t="shared" si="2019"/>
        <v>CA</v>
      </c>
      <c r="K5197" t="str">
        <f>T("7603392970")</f>
        <v>7603392970</v>
      </c>
      <c r="L5197" t="str">
        <f>T("7603392456")</f>
        <v>7603392456</v>
      </c>
    </row>
    <row r="5198" spans="1:12" x14ac:dyDescent="0.35">
      <c r="A5198" t="str">
        <f t="shared" si="2006"/>
        <v>NAVFAC SOUTHWEST HL5</v>
      </c>
      <c r="B5198" t="str">
        <f>T("1605 3RD ST, BLDG 504")</f>
        <v>1605 3RD ST, BLDG 504</v>
      </c>
      <c r="C5198" t="str">
        <f>T("NAF EL CENTRO")</f>
        <v>NAF EL CENTRO</v>
      </c>
      <c r="D5198" t="str">
        <f>T("EL CENTRO")</f>
        <v>EL CENTRO</v>
      </c>
      <c r="E5198" t="str">
        <f t="shared" si="2018"/>
        <v>CA</v>
      </c>
      <c r="F5198" t="str">
        <f>T("922435041")</f>
        <v>922435041</v>
      </c>
      <c r="G5198" t="str">
        <f>T("NAVFAC SW DESERT IPT-PWD EL CENTRO")</f>
        <v>NAVFAC SW DESERT IPT-PWD EL CENTRO</v>
      </c>
      <c r="H5198" t="str">
        <f>T("1605 3RD STREET BLDG 504 NAF")</f>
        <v>1605 3RD STREET BLDG 504 NAF</v>
      </c>
      <c r="I5198" t="str">
        <f>T("EL CENTRO")</f>
        <v>EL CENTRO</v>
      </c>
      <c r="J5198" t="str">
        <f t="shared" si="2019"/>
        <v>CA</v>
      </c>
      <c r="K5198" t="str">
        <f>T("7603392970")</f>
        <v>7603392970</v>
      </c>
      <c r="L5198" t="str">
        <f>T("7603392201")</f>
        <v>7603392201</v>
      </c>
    </row>
    <row r="5199" spans="1:12" x14ac:dyDescent="0.35">
      <c r="A5199" t="str">
        <f t="shared" si="2006"/>
        <v>NAVFAC SOUTHWEST HL5</v>
      </c>
      <c r="B5199" t="str">
        <f>T("2450 SARATOGA STREET")</f>
        <v>2450 SARATOGA STREET</v>
      </c>
      <c r="C5199" t="str">
        <f t="shared" ref="C5199:C5204" si="2020">T("")</f>
        <v/>
      </c>
      <c r="D5199" t="str">
        <f>T("ALAMEDA")</f>
        <v>ALAMEDA</v>
      </c>
      <c r="E5199" t="str">
        <f t="shared" si="2018"/>
        <v>CA</v>
      </c>
      <c r="F5199" t="str">
        <f>T("945017545")</f>
        <v>945017545</v>
      </c>
      <c r="G5199" t="str">
        <f>T("2450 SARATOGA STREET")</f>
        <v>2450 SARATOGA STREET</v>
      </c>
      <c r="H5199" t="str">
        <f>T("")</f>
        <v/>
      </c>
      <c r="I5199" t="str">
        <f>T("ALAMEDA")</f>
        <v>ALAMEDA</v>
      </c>
      <c r="J5199" t="str">
        <f t="shared" si="2019"/>
        <v>CA</v>
      </c>
      <c r="K5199" t="str">
        <f>T("")</f>
        <v/>
      </c>
      <c r="L5199" t="str">
        <f>T("5105218672")</f>
        <v>5105218672</v>
      </c>
    </row>
    <row r="5200" spans="1:12" x14ac:dyDescent="0.35">
      <c r="A5200" t="str">
        <f t="shared" si="2006"/>
        <v>NAVFAC SOUTHWEST HL5</v>
      </c>
      <c r="B5200" t="str">
        <f>T("2450 SARATOGA STREET")</f>
        <v>2450 SARATOGA STREET</v>
      </c>
      <c r="C5200" t="str">
        <f t="shared" si="2020"/>
        <v/>
      </c>
      <c r="D5200" t="str">
        <f>T("ALAMEDA")</f>
        <v>ALAMEDA</v>
      </c>
      <c r="E5200" t="str">
        <f t="shared" si="2018"/>
        <v>CA</v>
      </c>
      <c r="F5200" t="str">
        <f>T("945017545")</f>
        <v>945017545</v>
      </c>
      <c r="G5200" t="str">
        <f>T("ROICC SAN FRANCISCO BAY AREA")</f>
        <v>ROICC SAN FRANCISCO BAY AREA</v>
      </c>
      <c r="H5200" t="str">
        <f>T("950 WEST MALL SQ BLG1 STE 162")</f>
        <v>950 WEST MALL SQ BLG1 STE 162</v>
      </c>
      <c r="I5200" t="str">
        <f>T("ALAMEDA")</f>
        <v>ALAMEDA</v>
      </c>
      <c r="J5200" t="str">
        <f t="shared" si="2019"/>
        <v>CA</v>
      </c>
      <c r="K5200" t="str">
        <f>T("5105218622")</f>
        <v>5105218622</v>
      </c>
      <c r="L5200" t="str">
        <f>T("5105218721")</f>
        <v>5105218721</v>
      </c>
    </row>
    <row r="5201" spans="1:12" x14ac:dyDescent="0.35">
      <c r="A5201" t="str">
        <f t="shared" si="2006"/>
        <v>NAVFAC SOUTHWEST HL5</v>
      </c>
      <c r="B5201" t="str">
        <f>T("271 CATALINA BLVD BLDG 245")</f>
        <v>271 CATALINA BLVD BLDG 245</v>
      </c>
      <c r="C5201" t="str">
        <f t="shared" si="2020"/>
        <v/>
      </c>
      <c r="D5201" t="str">
        <f t="shared" ref="D5201:D5206" si="2021">T("SAN DIEGO")</f>
        <v>SAN DIEGO</v>
      </c>
      <c r="E5201" t="str">
        <f t="shared" si="2018"/>
        <v>CA</v>
      </c>
      <c r="F5201" t="str">
        <f>T("921525000")</f>
        <v>921525000</v>
      </c>
      <c r="G5201" t="str">
        <f>T("271 CATALINA BLVD")</f>
        <v>271 CATALINA BLVD</v>
      </c>
      <c r="H5201" t="str">
        <f>T("BLDG 245")</f>
        <v>BLDG 245</v>
      </c>
      <c r="I5201" t="str">
        <f t="shared" ref="I5201:I5206" si="2022">T("SAN DIEGO")</f>
        <v>SAN DIEGO</v>
      </c>
      <c r="J5201" t="str">
        <f t="shared" si="2019"/>
        <v>CA</v>
      </c>
      <c r="K5201" t="str">
        <f>T("6195530442")</f>
        <v>6195530442</v>
      </c>
      <c r="L5201" t="str">
        <f>T("6195249726")</f>
        <v>6195249726</v>
      </c>
    </row>
    <row r="5202" spans="1:12" x14ac:dyDescent="0.35">
      <c r="A5202" t="str">
        <f t="shared" si="2006"/>
        <v>NAVFAC SOUTHWEST HL5</v>
      </c>
      <c r="B5202" t="str">
        <f>T("271 CATALINA BLVD BLDG 245")</f>
        <v>271 CATALINA BLVD BLDG 245</v>
      </c>
      <c r="C5202" t="str">
        <f t="shared" si="2020"/>
        <v/>
      </c>
      <c r="D5202" t="str">
        <f t="shared" si="2021"/>
        <v>SAN DIEGO</v>
      </c>
      <c r="E5202" t="str">
        <f t="shared" si="2018"/>
        <v>CA</v>
      </c>
      <c r="F5202" t="str">
        <f>T("921525000")</f>
        <v>921525000</v>
      </c>
      <c r="G5202" t="str">
        <f>T("271 CATALINA BLVD BLDG 245")</f>
        <v>271 CATALINA BLVD BLDG 245</v>
      </c>
      <c r="H5202" t="str">
        <f>T("")</f>
        <v/>
      </c>
      <c r="I5202" t="str">
        <f t="shared" si="2022"/>
        <v>SAN DIEGO</v>
      </c>
      <c r="J5202" t="str">
        <f t="shared" si="2019"/>
        <v>CA</v>
      </c>
      <c r="K5202" t="str">
        <f>T("000000000000000000")</f>
        <v>000000000000000000</v>
      </c>
      <c r="L5202" t="str">
        <f>T("6195248583")</f>
        <v>6195248583</v>
      </c>
    </row>
    <row r="5203" spans="1:12" x14ac:dyDescent="0.35">
      <c r="A5203" t="str">
        <f t="shared" si="2006"/>
        <v>NAVFAC SOUTHWEST HL5</v>
      </c>
      <c r="B5203" t="str">
        <f>T("271 CATALINA BLVD BLDG 245")</f>
        <v>271 CATALINA BLVD BLDG 245</v>
      </c>
      <c r="C5203" t="str">
        <f t="shared" si="2020"/>
        <v/>
      </c>
      <c r="D5203" t="str">
        <f t="shared" si="2021"/>
        <v>SAN DIEGO</v>
      </c>
      <c r="E5203" t="str">
        <f t="shared" si="2018"/>
        <v>CA</v>
      </c>
      <c r="F5203" t="str">
        <f>T("921525000")</f>
        <v>921525000</v>
      </c>
      <c r="G5203" t="str">
        <f>T("271 CATALINA BLVD BLDG 245")</f>
        <v>271 CATALINA BLVD BLDG 245</v>
      </c>
      <c r="H5203" t="str">
        <f>T("")</f>
        <v/>
      </c>
      <c r="I5203" t="str">
        <f t="shared" si="2022"/>
        <v>SAN DIEGO</v>
      </c>
      <c r="J5203" t="str">
        <f t="shared" si="2019"/>
        <v>CA</v>
      </c>
      <c r="K5203" t="str">
        <f>T("6195530442")</f>
        <v>6195530442</v>
      </c>
      <c r="L5203" t="str">
        <f>T("6195248583")</f>
        <v>6195248583</v>
      </c>
    </row>
    <row r="5204" spans="1:12" x14ac:dyDescent="0.35">
      <c r="A5204" t="str">
        <f t="shared" si="2006"/>
        <v>NAVFAC SOUTHWEST HL5</v>
      </c>
      <c r="B5204" t="str">
        <f>T("271 CATALINA BLVD BLDG 245")</f>
        <v>271 CATALINA BLVD BLDG 245</v>
      </c>
      <c r="C5204" t="str">
        <f t="shared" si="2020"/>
        <v/>
      </c>
      <c r="D5204" t="str">
        <f t="shared" si="2021"/>
        <v>SAN DIEGO</v>
      </c>
      <c r="E5204" t="str">
        <f t="shared" si="2018"/>
        <v>CA</v>
      </c>
      <c r="F5204" t="str">
        <f>T("921525000")</f>
        <v>921525000</v>
      </c>
      <c r="G5204" t="str">
        <f>T("271 CATALINA BLVD BLDG 245")</f>
        <v>271 CATALINA BLVD BLDG 245</v>
      </c>
      <c r="H5204" t="str">
        <f>T("")</f>
        <v/>
      </c>
      <c r="I5204" t="str">
        <f t="shared" si="2022"/>
        <v>SAN DIEGO</v>
      </c>
      <c r="J5204" t="str">
        <f t="shared" si="2019"/>
        <v>CA</v>
      </c>
      <c r="K5204" t="str">
        <f>T("6195530442")</f>
        <v>6195530442</v>
      </c>
      <c r="L5204" t="str">
        <f>T("6195249690")</f>
        <v>6195249690</v>
      </c>
    </row>
    <row r="5205" spans="1:12" x14ac:dyDescent="0.35">
      <c r="A5205" t="str">
        <f t="shared" si="2006"/>
        <v>NAVFAC SOUTHWEST HL5</v>
      </c>
      <c r="B5205" t="str">
        <f>T("2730 MCKEAN ST")</f>
        <v>2730 MCKEAN ST</v>
      </c>
      <c r="C5205" t="str">
        <f>T("BLDG 121")</f>
        <v>BLDG 121</v>
      </c>
      <c r="D5205" t="str">
        <f t="shared" si="2021"/>
        <v>SAN DIEGO</v>
      </c>
      <c r="E5205" t="str">
        <f t="shared" si="2018"/>
        <v>CA</v>
      </c>
      <c r="F5205" t="str">
        <f>T("921365220")</f>
        <v>921365220</v>
      </c>
      <c r="G5205" t="str">
        <f>T("2730 MCKEAN ST")</f>
        <v>2730 MCKEAN ST</v>
      </c>
      <c r="H5205" t="str">
        <f>T("BLDG 121")</f>
        <v>BLDG 121</v>
      </c>
      <c r="I5205" t="str">
        <f t="shared" si="2022"/>
        <v>SAN DIEGO</v>
      </c>
      <c r="J5205" t="str">
        <f t="shared" si="2019"/>
        <v>CA</v>
      </c>
      <c r="K5205" t="str">
        <f>T("")</f>
        <v/>
      </c>
      <c r="L5205" t="str">
        <f>T("6195323065")</f>
        <v>6195323065</v>
      </c>
    </row>
    <row r="5206" spans="1:12" x14ac:dyDescent="0.35">
      <c r="A5206" t="str">
        <f t="shared" si="2006"/>
        <v>NAVFAC SOUTHWEST HL5</v>
      </c>
      <c r="B5206" t="str">
        <f>T("2730 MCKEAN ST")</f>
        <v>2730 MCKEAN ST</v>
      </c>
      <c r="C5206" t="str">
        <f>T("BLDG 121")</f>
        <v>BLDG 121</v>
      </c>
      <c r="D5206" t="str">
        <f t="shared" si="2021"/>
        <v>SAN DIEGO</v>
      </c>
      <c r="E5206" t="str">
        <f t="shared" si="2018"/>
        <v>CA</v>
      </c>
      <c r="F5206" t="str">
        <f>T("921365220")</f>
        <v>921365220</v>
      </c>
      <c r="G5206" t="str">
        <f>T("2730 MCKEAN ST")</f>
        <v>2730 MCKEAN ST</v>
      </c>
      <c r="H5206" t="str">
        <f>T("BLDG 121")</f>
        <v>BLDG 121</v>
      </c>
      <c r="I5206" t="str">
        <f t="shared" si="2022"/>
        <v>SAN DIEGO</v>
      </c>
      <c r="J5206" t="str">
        <f t="shared" si="2019"/>
        <v>CA</v>
      </c>
      <c r="K5206" t="str">
        <f>T("6195560631")</f>
        <v>6195560631</v>
      </c>
      <c r="L5206" t="str">
        <f>T("6195566952")</f>
        <v>6195566952</v>
      </c>
    </row>
    <row r="5207" spans="1:12" x14ac:dyDescent="0.35">
      <c r="A5207" t="str">
        <f t="shared" si="2006"/>
        <v>NAVFAC SOUTHWEST HL5</v>
      </c>
      <c r="B5207" t="str">
        <f>T("311 MAIN RD BLDG 632 SUITE 1")</f>
        <v>311 MAIN RD BLDG 632 SUITE 1</v>
      </c>
      <c r="C5207" t="str">
        <f t="shared" ref="C5207:C5218" si="2023">T("")</f>
        <v/>
      </c>
      <c r="D5207" t="str">
        <f t="shared" ref="D5207:D5212" si="2024">T("POINT MUGU NAWC")</f>
        <v>POINT MUGU NAWC</v>
      </c>
      <c r="E5207" t="str">
        <f t="shared" si="2018"/>
        <v>CA</v>
      </c>
      <c r="F5207" t="str">
        <f t="shared" ref="F5207:F5218" si="2025">T("930425004")</f>
        <v>930425004</v>
      </c>
      <c r="G5207" t="str">
        <f>T("311 MAIN RD BLDG 632 SUITE 1")</f>
        <v>311 MAIN RD BLDG 632 SUITE 1</v>
      </c>
      <c r="H5207" t="str">
        <f>T("")</f>
        <v/>
      </c>
      <c r="I5207" t="str">
        <f t="shared" ref="I5207:I5213" si="2026">T("POINT MUGU NAWC")</f>
        <v>POINT MUGU NAWC</v>
      </c>
      <c r="J5207" t="str">
        <f t="shared" si="2019"/>
        <v>CA</v>
      </c>
      <c r="K5207" t="str">
        <f>T("000000000000000000")</f>
        <v>000000000000000000</v>
      </c>
      <c r="L5207" t="str">
        <f>T("8059823771")</f>
        <v>8059823771</v>
      </c>
    </row>
    <row r="5208" spans="1:12" x14ac:dyDescent="0.35">
      <c r="A5208" t="str">
        <f t="shared" si="2006"/>
        <v>NAVFAC SOUTHWEST HL5</v>
      </c>
      <c r="B5208" t="str">
        <f>T("311 MAIN RD BLDG 632 SUITE 1")</f>
        <v>311 MAIN RD BLDG 632 SUITE 1</v>
      </c>
      <c r="C5208" t="str">
        <f t="shared" si="2023"/>
        <v/>
      </c>
      <c r="D5208" t="str">
        <f t="shared" si="2024"/>
        <v>POINT MUGU NAWC</v>
      </c>
      <c r="E5208" t="str">
        <f t="shared" si="2018"/>
        <v>CA</v>
      </c>
      <c r="F5208" t="str">
        <f t="shared" si="2025"/>
        <v>930425004</v>
      </c>
      <c r="G5208" t="str">
        <f>T("NAVAL BASE/PWD")</f>
        <v>NAVAL BASE/PWD</v>
      </c>
      <c r="H5208" t="str">
        <f>T("311 MAIN RD BLDG 632 STE 1")</f>
        <v>311 MAIN RD BLDG 632 STE 1</v>
      </c>
      <c r="I5208" t="str">
        <f t="shared" si="2026"/>
        <v>POINT MUGU NAWC</v>
      </c>
      <c r="J5208" t="str">
        <f t="shared" si="2019"/>
        <v>CA</v>
      </c>
      <c r="K5208" t="str">
        <f>T("8059899259")</f>
        <v>8059899259</v>
      </c>
      <c r="L5208" t="str">
        <f>T("8059893037")</f>
        <v>8059893037</v>
      </c>
    </row>
    <row r="5209" spans="1:12" x14ac:dyDescent="0.35">
      <c r="A5209" t="str">
        <f t="shared" si="2006"/>
        <v>NAVFAC SOUTHWEST HL5</v>
      </c>
      <c r="B5209" t="str">
        <f>T("311 MAIN ROAD (PM 66)")</f>
        <v>311 MAIN ROAD (PM 66)</v>
      </c>
      <c r="C5209" t="str">
        <f t="shared" si="2023"/>
        <v/>
      </c>
      <c r="D5209" t="str">
        <f t="shared" si="2024"/>
        <v>POINT MUGU NAWC</v>
      </c>
      <c r="E5209" t="str">
        <f t="shared" si="2018"/>
        <v>CA</v>
      </c>
      <c r="F5209" t="str">
        <f t="shared" si="2025"/>
        <v>930425004</v>
      </c>
      <c r="G5209" t="str">
        <f>T("311 MAIN ROAD (PM 66)")</f>
        <v>311 MAIN ROAD (PM 66)</v>
      </c>
      <c r="H5209" t="str">
        <f>T("")</f>
        <v/>
      </c>
      <c r="I5209" t="str">
        <f t="shared" si="2026"/>
        <v>POINT MUGU NAWC</v>
      </c>
      <c r="J5209" t="str">
        <f t="shared" si="2019"/>
        <v>CA</v>
      </c>
      <c r="K5209" t="str">
        <f>T("000000000000000000")</f>
        <v>000000000000000000</v>
      </c>
      <c r="L5209" t="str">
        <f>T("8059897566")</f>
        <v>8059897566</v>
      </c>
    </row>
    <row r="5210" spans="1:12" x14ac:dyDescent="0.35">
      <c r="A5210" t="str">
        <f t="shared" si="2006"/>
        <v>NAVFAC SOUTHWEST HL5</v>
      </c>
      <c r="B5210" t="str">
        <f>T("311 MAIN ROAD (PM 66)")</f>
        <v>311 MAIN ROAD (PM 66)</v>
      </c>
      <c r="C5210" t="str">
        <f t="shared" si="2023"/>
        <v/>
      </c>
      <c r="D5210" t="str">
        <f t="shared" si="2024"/>
        <v>POINT MUGU NAWC</v>
      </c>
      <c r="E5210" t="str">
        <f t="shared" si="2018"/>
        <v>CA</v>
      </c>
      <c r="F5210" t="str">
        <f t="shared" si="2025"/>
        <v>930425004</v>
      </c>
      <c r="G5210" t="str">
        <f>T("311 MAIN ROAD BLDG 67 PW610")</f>
        <v>311 MAIN ROAD BLDG 67 PW610</v>
      </c>
      <c r="H5210" t="str">
        <f>T("")</f>
        <v/>
      </c>
      <c r="I5210" t="str">
        <f t="shared" si="2026"/>
        <v>POINT MUGU NAWC</v>
      </c>
      <c r="J5210" t="str">
        <f t="shared" si="2019"/>
        <v>CA</v>
      </c>
      <c r="K5210" t="str">
        <f>T("000000000000000000")</f>
        <v>000000000000000000</v>
      </c>
      <c r="L5210" t="str">
        <f>T("8059899764")</f>
        <v>8059899764</v>
      </c>
    </row>
    <row r="5211" spans="1:12" x14ac:dyDescent="0.35">
      <c r="A5211" t="str">
        <f t="shared" si="2006"/>
        <v>NAVFAC SOUTHWEST HL5</v>
      </c>
      <c r="B5211" t="str">
        <f>T("311 MAIN ROAD (PM 66)")</f>
        <v>311 MAIN ROAD (PM 66)</v>
      </c>
      <c r="C5211" t="str">
        <f t="shared" si="2023"/>
        <v/>
      </c>
      <c r="D5211" t="str">
        <f t="shared" si="2024"/>
        <v>POINT MUGU NAWC</v>
      </c>
      <c r="E5211" t="str">
        <f t="shared" si="2018"/>
        <v>CA</v>
      </c>
      <c r="F5211" t="str">
        <f t="shared" si="2025"/>
        <v>930425004</v>
      </c>
      <c r="G5211" t="str">
        <f>T("NAVAL BASE/PWD")</f>
        <v>NAVAL BASE/PWD</v>
      </c>
      <c r="H5211" t="str">
        <f>T("311 MAIN RD")</f>
        <v>311 MAIN RD</v>
      </c>
      <c r="I5211" t="str">
        <f t="shared" si="2026"/>
        <v>POINT MUGU NAWC</v>
      </c>
      <c r="J5211" t="str">
        <f t="shared" si="2019"/>
        <v>CA</v>
      </c>
      <c r="K5211" t="str">
        <f>T("5709920297")</f>
        <v>5709920297</v>
      </c>
      <c r="L5211" t="str">
        <f>T("8059897566")</f>
        <v>8059897566</v>
      </c>
    </row>
    <row r="5212" spans="1:12" x14ac:dyDescent="0.35">
      <c r="A5212" t="str">
        <f t="shared" si="2006"/>
        <v>NAVFAC SOUTHWEST HL5</v>
      </c>
      <c r="B5212" t="str">
        <f>T("311 MAIN ROAD (PM 66)")</f>
        <v>311 MAIN ROAD (PM 66)</v>
      </c>
      <c r="C5212" t="str">
        <f t="shared" si="2023"/>
        <v/>
      </c>
      <c r="D5212" t="str">
        <f t="shared" si="2024"/>
        <v>POINT MUGU NAWC</v>
      </c>
      <c r="E5212" t="str">
        <f t="shared" si="2018"/>
        <v>CA</v>
      </c>
      <c r="F5212" t="str">
        <f t="shared" si="2025"/>
        <v>930425004</v>
      </c>
      <c r="G5212" t="str">
        <f>T("NAVAL BASE/PWD")</f>
        <v>NAVAL BASE/PWD</v>
      </c>
      <c r="H5212" t="str">
        <f>T("311 MAIN RD PW66")</f>
        <v>311 MAIN RD PW66</v>
      </c>
      <c r="I5212" t="str">
        <f t="shared" si="2026"/>
        <v>POINT MUGU NAWC</v>
      </c>
      <c r="J5212" t="str">
        <f t="shared" si="2019"/>
        <v>CA</v>
      </c>
      <c r="K5212" t="str">
        <f>T("8059894729")</f>
        <v>8059894729</v>
      </c>
      <c r="L5212" t="str">
        <f>T("8059899730")</f>
        <v>8059899730</v>
      </c>
    </row>
    <row r="5213" spans="1:12" x14ac:dyDescent="0.35">
      <c r="A5213" t="str">
        <f t="shared" si="2006"/>
        <v>NAVFAC SOUTHWEST HL5</v>
      </c>
      <c r="B5213" t="str">
        <f t="shared" ref="B5213:B5218" si="2027">T("311 MAIN ROAD BLDG 67 PW610")</f>
        <v>311 MAIN ROAD BLDG 67 PW610</v>
      </c>
      <c r="C5213" t="str">
        <f t="shared" si="2023"/>
        <v/>
      </c>
      <c r="D5213" t="str">
        <f t="shared" ref="D5213:D5218" si="2028">T("PT MUGU NAWC")</f>
        <v>PT MUGU NAWC</v>
      </c>
      <c r="E5213" t="str">
        <f t="shared" si="2018"/>
        <v>CA</v>
      </c>
      <c r="F5213" t="str">
        <f t="shared" si="2025"/>
        <v>930425004</v>
      </c>
      <c r="G5213" t="str">
        <f>T("311 MAIN RD BLDG 67")</f>
        <v>311 MAIN RD BLDG 67</v>
      </c>
      <c r="H5213" t="str">
        <f>T("PWD VENTURA COUNTY")</f>
        <v>PWD VENTURA COUNTY</v>
      </c>
      <c r="I5213" t="str">
        <f t="shared" si="2026"/>
        <v>POINT MUGU NAWC</v>
      </c>
      <c r="J5213" t="str">
        <f t="shared" si="2019"/>
        <v>CA</v>
      </c>
      <c r="K5213" t="str">
        <f>T("8059899259")</f>
        <v>8059899259</v>
      </c>
      <c r="L5213" t="str">
        <f>T("8059893037")</f>
        <v>8059893037</v>
      </c>
    </row>
    <row r="5214" spans="1:12" x14ac:dyDescent="0.35">
      <c r="A5214" t="str">
        <f t="shared" si="2006"/>
        <v>NAVFAC SOUTHWEST HL5</v>
      </c>
      <c r="B5214" t="str">
        <f t="shared" si="2027"/>
        <v>311 MAIN ROAD BLDG 67 PW610</v>
      </c>
      <c r="C5214" t="str">
        <f t="shared" si="2023"/>
        <v/>
      </c>
      <c r="D5214" t="str">
        <f t="shared" si="2028"/>
        <v>PT MUGU NAWC</v>
      </c>
      <c r="E5214" t="str">
        <f t="shared" si="2018"/>
        <v>CA</v>
      </c>
      <c r="F5214" t="str">
        <f t="shared" si="2025"/>
        <v>930425004</v>
      </c>
      <c r="G5214" t="str">
        <f>T("311 MAIN ROAD BLDG 67 PW610")</f>
        <v>311 MAIN ROAD BLDG 67 PW610</v>
      </c>
      <c r="H5214" t="str">
        <f>T("")</f>
        <v/>
      </c>
      <c r="I5214" t="str">
        <f>T("PT MUGU NAWC")</f>
        <v>PT MUGU NAWC</v>
      </c>
      <c r="J5214" t="str">
        <f t="shared" si="2019"/>
        <v>CA</v>
      </c>
      <c r="K5214" t="str">
        <f>T("619-556-5575")</f>
        <v>619-556-5575</v>
      </c>
      <c r="L5214" t="str">
        <f>T("8059897742")</f>
        <v>8059897742</v>
      </c>
    </row>
    <row r="5215" spans="1:12" x14ac:dyDescent="0.35">
      <c r="A5215" t="str">
        <f t="shared" si="2006"/>
        <v>NAVFAC SOUTHWEST HL5</v>
      </c>
      <c r="B5215" t="str">
        <f t="shared" si="2027"/>
        <v>311 MAIN ROAD BLDG 67 PW610</v>
      </c>
      <c r="C5215" t="str">
        <f t="shared" si="2023"/>
        <v/>
      </c>
      <c r="D5215" t="str">
        <f t="shared" si="2028"/>
        <v>PT MUGU NAWC</v>
      </c>
      <c r="E5215" t="str">
        <f t="shared" si="2018"/>
        <v>CA</v>
      </c>
      <c r="F5215" t="str">
        <f t="shared" si="2025"/>
        <v>930425004</v>
      </c>
      <c r="G5215" t="str">
        <f>T("NAVAL BASE/PWD")</f>
        <v>NAVAL BASE/PWD</v>
      </c>
      <c r="H5215" t="str">
        <f>T("311 MAIN RD BLDG 67")</f>
        <v>311 MAIN RD BLDG 67</v>
      </c>
      <c r="I5215" t="str">
        <f>T("POINT MUGU NAWC")</f>
        <v>POINT MUGU NAWC</v>
      </c>
      <c r="J5215" t="str">
        <f t="shared" si="2019"/>
        <v>CA</v>
      </c>
      <c r="K5215" t="str">
        <f>T("8059898463")</f>
        <v>8059898463</v>
      </c>
      <c r="L5215" t="str">
        <f>T("8059891860")</f>
        <v>8059891860</v>
      </c>
    </row>
    <row r="5216" spans="1:12" x14ac:dyDescent="0.35">
      <c r="A5216" t="str">
        <f t="shared" si="2006"/>
        <v>NAVFAC SOUTHWEST HL5</v>
      </c>
      <c r="B5216" t="str">
        <f t="shared" si="2027"/>
        <v>311 MAIN ROAD BLDG 67 PW610</v>
      </c>
      <c r="C5216" t="str">
        <f t="shared" si="2023"/>
        <v/>
      </c>
      <c r="D5216" t="str">
        <f t="shared" si="2028"/>
        <v>PT MUGU NAWC</v>
      </c>
      <c r="E5216" t="str">
        <f t="shared" si="2018"/>
        <v>CA</v>
      </c>
      <c r="F5216" t="str">
        <f t="shared" si="2025"/>
        <v>930425004</v>
      </c>
      <c r="G5216" t="str">
        <f>T("NAVAL BASE/PWD")</f>
        <v>NAVAL BASE/PWD</v>
      </c>
      <c r="H5216" t="str">
        <f>T("311 MAIN RD BLDG 67 PW610")</f>
        <v>311 MAIN RD BLDG 67 PW610</v>
      </c>
      <c r="I5216" t="str">
        <f>T("POINT MUGU NAWC")</f>
        <v>POINT MUGU NAWC</v>
      </c>
      <c r="J5216" t="str">
        <f t="shared" si="2019"/>
        <v>CA</v>
      </c>
      <c r="K5216" t="str">
        <f>T("5709920297")</f>
        <v>5709920297</v>
      </c>
      <c r="L5216" t="str">
        <f>T("8059891544")</f>
        <v>8059891544</v>
      </c>
    </row>
    <row r="5217" spans="1:12" x14ac:dyDescent="0.35">
      <c r="A5217" t="str">
        <f t="shared" si="2006"/>
        <v>NAVFAC SOUTHWEST HL5</v>
      </c>
      <c r="B5217" t="str">
        <f t="shared" si="2027"/>
        <v>311 MAIN ROAD BLDG 67 PW610</v>
      </c>
      <c r="C5217" t="str">
        <f t="shared" si="2023"/>
        <v/>
      </c>
      <c r="D5217" t="str">
        <f t="shared" si="2028"/>
        <v>PT MUGU NAWC</v>
      </c>
      <c r="E5217" t="str">
        <f t="shared" si="2018"/>
        <v>CA</v>
      </c>
      <c r="F5217" t="str">
        <f t="shared" si="2025"/>
        <v>930425004</v>
      </c>
      <c r="G5217" t="str">
        <f>T("NAVAL BASE/PWD")</f>
        <v>NAVAL BASE/PWD</v>
      </c>
      <c r="H5217" t="str">
        <f>T("311 MAIN RD BLDG 67 PW610")</f>
        <v>311 MAIN RD BLDG 67 PW610</v>
      </c>
      <c r="I5217" t="str">
        <f>T("POINT MUGU NAWC")</f>
        <v>POINT MUGU NAWC</v>
      </c>
      <c r="J5217" t="str">
        <f t="shared" si="2019"/>
        <v>CA</v>
      </c>
      <c r="K5217" t="str">
        <f>T("8059891789")</f>
        <v>8059891789</v>
      </c>
      <c r="L5217" t="str">
        <f>T("8059890738")</f>
        <v>8059890738</v>
      </c>
    </row>
    <row r="5218" spans="1:12" x14ac:dyDescent="0.35">
      <c r="A5218" t="str">
        <f t="shared" si="2006"/>
        <v>NAVFAC SOUTHWEST HL5</v>
      </c>
      <c r="B5218" t="str">
        <f t="shared" si="2027"/>
        <v>311 MAIN ROAD BLDG 67 PW610</v>
      </c>
      <c r="C5218" t="str">
        <f t="shared" si="2023"/>
        <v/>
      </c>
      <c r="D5218" t="str">
        <f t="shared" si="2028"/>
        <v>PT MUGU NAWC</v>
      </c>
      <c r="E5218" t="str">
        <f t="shared" si="2018"/>
        <v>CA</v>
      </c>
      <c r="F5218" t="str">
        <f t="shared" si="2025"/>
        <v>930425004</v>
      </c>
      <c r="G5218" t="str">
        <f>T("NAVAL BASE/PWD")</f>
        <v>NAVAL BASE/PWD</v>
      </c>
      <c r="H5218" t="str">
        <f>T("311 MAIN RD BLDG 67 PW610")</f>
        <v>311 MAIN RD BLDG 67 PW610</v>
      </c>
      <c r="I5218" t="str">
        <f>T("POINT MUGU NAWC")</f>
        <v>POINT MUGU NAWC</v>
      </c>
      <c r="J5218" t="str">
        <f t="shared" si="2019"/>
        <v>CA</v>
      </c>
      <c r="K5218" t="str">
        <f>T("8059891789")</f>
        <v>8059891789</v>
      </c>
      <c r="L5218" t="str">
        <f>T("8059898805")</f>
        <v>8059898805</v>
      </c>
    </row>
    <row r="5219" spans="1:12" x14ac:dyDescent="0.35">
      <c r="A5219" t="str">
        <f t="shared" si="2006"/>
        <v>NAVFAC SOUTHWEST HL5</v>
      </c>
      <c r="B5219" t="str">
        <f>T("429 E BOWDEN RD")</f>
        <v>429 E BOWDEN RD</v>
      </c>
      <c r="C5219" t="str">
        <f>T("STOP 4007")</f>
        <v>STOP 4007</v>
      </c>
      <c r="D5219" t="str">
        <f t="shared" ref="D5219:D5225" si="2029">T("CHINA LAKE")</f>
        <v>CHINA LAKE</v>
      </c>
      <c r="E5219" t="str">
        <f t="shared" si="2018"/>
        <v>CA</v>
      </c>
      <c r="F5219" t="str">
        <f t="shared" ref="F5219:F5225" si="2030">T("935556108")</f>
        <v>935556108</v>
      </c>
      <c r="G5219" t="str">
        <f>T("429 E BOWDEN RD")</f>
        <v>429 E BOWDEN RD</v>
      </c>
      <c r="H5219" t="str">
        <f>T("STOP 4007")</f>
        <v>STOP 4007</v>
      </c>
      <c r="I5219" t="str">
        <f>T("CHINA LAKE")</f>
        <v>CHINA LAKE</v>
      </c>
      <c r="J5219" t="str">
        <f t="shared" si="2019"/>
        <v>CA</v>
      </c>
      <c r="K5219" t="str">
        <f>T("7609398567")</f>
        <v>7609398567</v>
      </c>
      <c r="L5219" t="str">
        <f>T("7609394076")</f>
        <v>7609394076</v>
      </c>
    </row>
    <row r="5220" spans="1:12" x14ac:dyDescent="0.35">
      <c r="A5220" t="str">
        <f t="shared" si="2006"/>
        <v>NAVFAC SOUTHWEST HL5</v>
      </c>
      <c r="B5220" t="str">
        <f>T("429 E BOWDEN RD")</f>
        <v>429 E BOWDEN RD</v>
      </c>
      <c r="C5220" t="str">
        <f>T("STOP 4007")</f>
        <v>STOP 4007</v>
      </c>
      <c r="D5220" t="str">
        <f t="shared" si="2029"/>
        <v>CHINA LAKE</v>
      </c>
      <c r="E5220" t="str">
        <f t="shared" si="2018"/>
        <v>CA</v>
      </c>
      <c r="F5220" t="str">
        <f t="shared" si="2030"/>
        <v>935556108</v>
      </c>
      <c r="G5220" t="str">
        <f>T("PWD 429 E BOWEN RD")</f>
        <v>PWD 429 E BOWEN RD</v>
      </c>
      <c r="H5220" t="str">
        <f>T("STOP 4007")</f>
        <v>STOP 4007</v>
      </c>
      <c r="I5220" t="str">
        <f>T("CHINA LAKE")</f>
        <v>CHINA LAKE</v>
      </c>
      <c r="J5220" t="str">
        <f t="shared" si="2019"/>
        <v>CA</v>
      </c>
      <c r="K5220" t="str">
        <f>T("7609390257")</f>
        <v>7609390257</v>
      </c>
      <c r="L5220" t="str">
        <f>T("7609394347")</f>
        <v>7609394347</v>
      </c>
    </row>
    <row r="5221" spans="1:12" x14ac:dyDescent="0.35">
      <c r="A5221" t="str">
        <f t="shared" si="2006"/>
        <v>NAVFAC SOUTHWEST HL5</v>
      </c>
      <c r="B5221" t="str">
        <f>T("429 E BOWDEN RD")</f>
        <v>429 E BOWDEN RD</v>
      </c>
      <c r="C5221" t="str">
        <f>T("STOP 4007")</f>
        <v>STOP 4007</v>
      </c>
      <c r="D5221" t="str">
        <f t="shared" si="2029"/>
        <v>CHINA LAKE</v>
      </c>
      <c r="E5221" t="str">
        <f t="shared" si="2018"/>
        <v>CA</v>
      </c>
      <c r="F5221" t="str">
        <f t="shared" si="2030"/>
        <v>935556108</v>
      </c>
      <c r="G5221" t="str">
        <f>T("PWD 429 E BOWEN RD")</f>
        <v>PWD 429 E BOWEN RD</v>
      </c>
      <c r="H5221" t="str">
        <f>T("STOP 4007")</f>
        <v>STOP 4007</v>
      </c>
      <c r="I5221" t="str">
        <f>T("CHINA LAKE")</f>
        <v>CHINA LAKE</v>
      </c>
      <c r="J5221" t="str">
        <f t="shared" si="2019"/>
        <v>CA</v>
      </c>
      <c r="K5221" t="str">
        <f>T("7609398567")</f>
        <v>7609398567</v>
      </c>
      <c r="L5221" t="str">
        <f>T("7609394022")</f>
        <v>7609394022</v>
      </c>
    </row>
    <row r="5222" spans="1:12" x14ac:dyDescent="0.35">
      <c r="A5222" t="str">
        <f t="shared" si="2006"/>
        <v>NAVFAC SOUTHWEST HL5</v>
      </c>
      <c r="B5222" t="str">
        <f>T("429 E BOWDEN RD")</f>
        <v>429 E BOWDEN RD</v>
      </c>
      <c r="C5222" t="str">
        <f>T("STOP 4007")</f>
        <v>STOP 4007</v>
      </c>
      <c r="D5222" t="str">
        <f t="shared" si="2029"/>
        <v>CHINA LAKE</v>
      </c>
      <c r="E5222" t="str">
        <f t="shared" si="2018"/>
        <v>CA</v>
      </c>
      <c r="F5222" t="str">
        <f t="shared" si="2030"/>
        <v>935556108</v>
      </c>
      <c r="G5222" t="str">
        <f>T("PWD 429 E BOWEN RD")</f>
        <v>PWD 429 E BOWEN RD</v>
      </c>
      <c r="H5222" t="str">
        <f>T("STOP 4007")</f>
        <v>STOP 4007</v>
      </c>
      <c r="I5222" t="str">
        <f>T("CHINA LAKE")</f>
        <v>CHINA LAKE</v>
      </c>
      <c r="J5222" t="str">
        <f t="shared" si="2019"/>
        <v>CA</v>
      </c>
      <c r="K5222" t="str">
        <f>T("7609398567")</f>
        <v>7609398567</v>
      </c>
      <c r="L5222" t="str">
        <f>T("7609394074")</f>
        <v>7609394074</v>
      </c>
    </row>
    <row r="5223" spans="1:12" x14ac:dyDescent="0.35">
      <c r="A5223" t="str">
        <f t="shared" si="2006"/>
        <v>NAVFAC SOUTHWEST HL5</v>
      </c>
      <c r="B5223" t="str">
        <f>T("429 E BOWEN RD STOP 4007")</f>
        <v>429 E BOWEN RD STOP 4007</v>
      </c>
      <c r="C5223" t="str">
        <f>T("BLDG 00978")</f>
        <v>BLDG 00978</v>
      </c>
      <c r="D5223" t="str">
        <f t="shared" si="2029"/>
        <v>CHINA LAKE</v>
      </c>
      <c r="E5223" t="str">
        <f t="shared" si="2018"/>
        <v>CA</v>
      </c>
      <c r="F5223" t="str">
        <f t="shared" si="2030"/>
        <v>935556108</v>
      </c>
      <c r="G5223" t="str">
        <f>T("429 E BOWEN RD")</f>
        <v>429 E BOWEN RD</v>
      </c>
      <c r="H5223" t="str">
        <f>T("STOP 4006 BLDG 00978")</f>
        <v>STOP 4006 BLDG 00978</v>
      </c>
      <c r="I5223" t="str">
        <f>T("RIDGECREST")</f>
        <v>RIDGECREST</v>
      </c>
      <c r="J5223" t="str">
        <f t="shared" si="2019"/>
        <v>CA</v>
      </c>
      <c r="K5223" t="str">
        <f>T("7609396535")</f>
        <v>7609396535</v>
      </c>
      <c r="L5223" t="str">
        <f>T("7609390088")</f>
        <v>7609390088</v>
      </c>
    </row>
    <row r="5224" spans="1:12" x14ac:dyDescent="0.35">
      <c r="A5224" t="str">
        <f t="shared" si="2006"/>
        <v>NAVFAC SOUTHWEST HL5</v>
      </c>
      <c r="B5224" t="str">
        <f>T("429 E BOWEN RD STOP 4007")</f>
        <v>429 E BOWEN RD STOP 4007</v>
      </c>
      <c r="C5224" t="str">
        <f>T("BLDG 00978")</f>
        <v>BLDG 00978</v>
      </c>
      <c r="D5224" t="str">
        <f t="shared" si="2029"/>
        <v>CHINA LAKE</v>
      </c>
      <c r="E5224" t="str">
        <f t="shared" si="2018"/>
        <v>CA</v>
      </c>
      <c r="F5224" t="str">
        <f t="shared" si="2030"/>
        <v>935556108</v>
      </c>
      <c r="G5224" t="str">
        <f>T("429 E BOWEN RD STOP 4007")</f>
        <v>429 E BOWEN RD STOP 4007</v>
      </c>
      <c r="H5224" t="str">
        <f>T("BLDG 00978")</f>
        <v>BLDG 00978</v>
      </c>
      <c r="I5224" t="str">
        <f>T("CHINA LAKE")</f>
        <v>CHINA LAKE</v>
      </c>
      <c r="J5224" t="str">
        <f t="shared" si="2019"/>
        <v>CA</v>
      </c>
      <c r="K5224" t="str">
        <f>T("7609396535")</f>
        <v>7609396535</v>
      </c>
      <c r="L5224" t="str">
        <f>T("7609393143")</f>
        <v>7609393143</v>
      </c>
    </row>
    <row r="5225" spans="1:12" x14ac:dyDescent="0.35">
      <c r="A5225" t="str">
        <f t="shared" ref="A5225:A5288" si="2031">T("NAVFAC SOUTHWEST HL5")</f>
        <v>NAVFAC SOUTHWEST HL5</v>
      </c>
      <c r="B5225" t="str">
        <f>T("429 E BOWEN RD STOP 4007")</f>
        <v>429 E BOWEN RD STOP 4007</v>
      </c>
      <c r="C5225" t="str">
        <f>T("BLDG 00978")</f>
        <v>BLDG 00978</v>
      </c>
      <c r="D5225" t="str">
        <f t="shared" si="2029"/>
        <v>CHINA LAKE</v>
      </c>
      <c r="E5225" t="str">
        <f t="shared" ref="E5225:E5249" si="2032">T("CA")</f>
        <v>CA</v>
      </c>
      <c r="F5225" t="str">
        <f t="shared" si="2030"/>
        <v>935556108</v>
      </c>
      <c r="G5225" t="str">
        <f>T("NAVAL AIR WEAPON STATION")</f>
        <v>NAVAL AIR WEAPON STATION</v>
      </c>
      <c r="H5225" t="str">
        <f>T("429 E BOWEN RD STOP 4006 BLDG 00978")</f>
        <v>429 E BOWEN RD STOP 4006 BLDG 00978</v>
      </c>
      <c r="I5225" t="str">
        <f>T("RIDGECREST")</f>
        <v>RIDGECREST</v>
      </c>
      <c r="J5225" t="str">
        <f t="shared" ref="J5225:J5249" si="2033">T("CA")</f>
        <v>CA</v>
      </c>
      <c r="K5225" t="str">
        <f>T("7609396535")</f>
        <v>7609396535</v>
      </c>
      <c r="L5225" t="str">
        <f>T("7609392765")</f>
        <v>7609392765</v>
      </c>
    </row>
    <row r="5226" spans="1:12" x14ac:dyDescent="0.35">
      <c r="A5226" t="str">
        <f t="shared" si="2031"/>
        <v>NAVFAC SOUTHWEST HL5</v>
      </c>
      <c r="B5226" t="str">
        <f t="shared" ref="B5226:B5235" si="2034">T("4635 PACIFIC HIGHWAY")</f>
        <v>4635 PACIFIC HIGHWAY</v>
      </c>
      <c r="C5226" t="str">
        <f t="shared" ref="C5226:C5242" si="2035">T("BLDG 2-S")</f>
        <v>BLDG 2-S</v>
      </c>
      <c r="D5226" t="str">
        <f t="shared" ref="D5226:D5249" si="2036">T("SAN DIEGO")</f>
        <v>SAN DIEGO</v>
      </c>
      <c r="E5226" t="str">
        <f t="shared" si="2032"/>
        <v>CA</v>
      </c>
      <c r="F5226" t="str">
        <f t="shared" ref="F5226:F5249" si="2037">T("921102756")</f>
        <v>921102756</v>
      </c>
      <c r="G5226" t="str">
        <f t="shared" ref="G5226:G5233" si="2038">T("1220 PACIFIC HWY")</f>
        <v>1220 PACIFIC HWY</v>
      </c>
      <c r="H5226" t="str">
        <f>T("BLDG 127")</f>
        <v>BLDG 127</v>
      </c>
      <c r="I5226" t="str">
        <f t="shared" ref="I5226:I5248" si="2039">T("SAN DIEGO")</f>
        <v>SAN DIEGO</v>
      </c>
      <c r="J5226" t="str">
        <f t="shared" si="2033"/>
        <v>CA</v>
      </c>
      <c r="K5226" t="str">
        <f>T("6195451404")</f>
        <v>6195451404</v>
      </c>
      <c r="L5226" t="str">
        <f>T("6195451475")</f>
        <v>6195451475</v>
      </c>
    </row>
    <row r="5227" spans="1:12" x14ac:dyDescent="0.35">
      <c r="A5227" t="str">
        <f t="shared" si="2031"/>
        <v>NAVFAC SOUTHWEST HL5</v>
      </c>
      <c r="B5227" t="str">
        <f t="shared" si="2034"/>
        <v>4635 PACIFIC HIGHWAY</v>
      </c>
      <c r="C5227" t="str">
        <f t="shared" si="2035"/>
        <v>BLDG 2-S</v>
      </c>
      <c r="D5227" t="str">
        <f t="shared" si="2036"/>
        <v>SAN DIEGO</v>
      </c>
      <c r="E5227" t="str">
        <f t="shared" si="2032"/>
        <v>CA</v>
      </c>
      <c r="F5227" t="str">
        <f t="shared" si="2037"/>
        <v>921102756</v>
      </c>
      <c r="G5227" t="str">
        <f t="shared" si="2038"/>
        <v>1220 PACIFIC HWY</v>
      </c>
      <c r="H5227" t="str">
        <f>T("CODE 500")</f>
        <v>CODE 500</v>
      </c>
      <c r="I5227" t="str">
        <f t="shared" si="2039"/>
        <v>SAN DIEGO</v>
      </c>
      <c r="J5227" t="str">
        <f t="shared" si="2033"/>
        <v>CA</v>
      </c>
      <c r="K5227" t="str">
        <f>T("6195450712")</f>
        <v>6195450712</v>
      </c>
      <c r="L5227" t="str">
        <f>T("6195451295")</f>
        <v>6195451295</v>
      </c>
    </row>
    <row r="5228" spans="1:12" x14ac:dyDescent="0.35">
      <c r="A5228" t="str">
        <f t="shared" si="2031"/>
        <v>NAVFAC SOUTHWEST HL5</v>
      </c>
      <c r="B5228" t="str">
        <f t="shared" si="2034"/>
        <v>4635 PACIFIC HIGHWAY</v>
      </c>
      <c r="C5228" t="str">
        <f t="shared" si="2035"/>
        <v>BLDG 2-S</v>
      </c>
      <c r="D5228" t="str">
        <f t="shared" si="2036"/>
        <v>SAN DIEGO</v>
      </c>
      <c r="E5228" t="str">
        <f t="shared" si="2032"/>
        <v>CA</v>
      </c>
      <c r="F5228" t="str">
        <f t="shared" si="2037"/>
        <v>921102756</v>
      </c>
      <c r="G5228" t="str">
        <f t="shared" si="2038"/>
        <v>1220 PACIFIC HWY</v>
      </c>
      <c r="H5228" t="str">
        <f>T("CODE 500 FLC")</f>
        <v>CODE 500 FLC</v>
      </c>
      <c r="I5228" t="str">
        <f t="shared" si="2039"/>
        <v>SAN DIEGO</v>
      </c>
      <c r="J5228" t="str">
        <f t="shared" si="2033"/>
        <v>CA</v>
      </c>
      <c r="K5228" t="str">
        <f>T("6195324060")</f>
        <v>6195324060</v>
      </c>
      <c r="L5228" t="str">
        <f>T("6195451433")</f>
        <v>6195451433</v>
      </c>
    </row>
    <row r="5229" spans="1:12" x14ac:dyDescent="0.35">
      <c r="A5229" t="str">
        <f t="shared" si="2031"/>
        <v>NAVFAC SOUTHWEST HL5</v>
      </c>
      <c r="B5229" t="str">
        <f t="shared" si="2034"/>
        <v>4635 PACIFIC HIGHWAY</v>
      </c>
      <c r="C5229" t="str">
        <f t="shared" si="2035"/>
        <v>BLDG 2-S</v>
      </c>
      <c r="D5229" t="str">
        <f t="shared" si="2036"/>
        <v>SAN DIEGO</v>
      </c>
      <c r="E5229" t="str">
        <f t="shared" si="2032"/>
        <v>CA</v>
      </c>
      <c r="F5229" t="str">
        <f t="shared" si="2037"/>
        <v>921102756</v>
      </c>
      <c r="G5229" t="str">
        <f t="shared" si="2038"/>
        <v>1220 PACIFIC HWY</v>
      </c>
      <c r="H5229" t="str">
        <f>T("FLC CODE 500")</f>
        <v>FLC CODE 500</v>
      </c>
      <c r="I5229" t="str">
        <f t="shared" si="2039"/>
        <v>SAN DIEGO</v>
      </c>
      <c r="J5229" t="str">
        <f t="shared" si="2033"/>
        <v>CA</v>
      </c>
      <c r="K5229" t="str">
        <f>T("000000000000000000")</f>
        <v>000000000000000000</v>
      </c>
      <c r="L5229" t="str">
        <f>T("6195249599")</f>
        <v>6195249599</v>
      </c>
    </row>
    <row r="5230" spans="1:12" x14ac:dyDescent="0.35">
      <c r="A5230" t="str">
        <f t="shared" si="2031"/>
        <v>NAVFAC SOUTHWEST HL5</v>
      </c>
      <c r="B5230" t="str">
        <f t="shared" si="2034"/>
        <v>4635 PACIFIC HIGHWAY</v>
      </c>
      <c r="C5230" t="str">
        <f t="shared" si="2035"/>
        <v>BLDG 2-S</v>
      </c>
      <c r="D5230" t="str">
        <f t="shared" si="2036"/>
        <v>SAN DIEGO</v>
      </c>
      <c r="E5230" t="str">
        <f t="shared" si="2032"/>
        <v>CA</v>
      </c>
      <c r="F5230" t="str">
        <f t="shared" si="2037"/>
        <v>921102756</v>
      </c>
      <c r="G5230" t="str">
        <f t="shared" si="2038"/>
        <v>1220 PACIFIC HWY</v>
      </c>
      <c r="H5230" t="str">
        <f>T("FLC CODE 500")</f>
        <v>FLC CODE 500</v>
      </c>
      <c r="I5230" t="str">
        <f t="shared" si="2039"/>
        <v>SAN DIEGO</v>
      </c>
      <c r="J5230" t="str">
        <f t="shared" si="2033"/>
        <v>CA</v>
      </c>
      <c r="K5230" t="str">
        <f>T("6195451404")</f>
        <v>6195451404</v>
      </c>
      <c r="L5230" t="str">
        <f>T("6195242941")</f>
        <v>6195242941</v>
      </c>
    </row>
    <row r="5231" spans="1:12" x14ac:dyDescent="0.35">
      <c r="A5231" t="str">
        <f t="shared" si="2031"/>
        <v>NAVFAC SOUTHWEST HL5</v>
      </c>
      <c r="B5231" t="str">
        <f t="shared" si="2034"/>
        <v>4635 PACIFIC HIGHWAY</v>
      </c>
      <c r="C5231" t="str">
        <f t="shared" si="2035"/>
        <v>BLDG 2-S</v>
      </c>
      <c r="D5231" t="str">
        <f t="shared" si="2036"/>
        <v>SAN DIEGO</v>
      </c>
      <c r="E5231" t="str">
        <f t="shared" si="2032"/>
        <v>CA</v>
      </c>
      <c r="F5231" t="str">
        <f t="shared" si="2037"/>
        <v>921102756</v>
      </c>
      <c r="G5231" t="str">
        <f t="shared" si="2038"/>
        <v>1220 PACIFIC HWY</v>
      </c>
      <c r="H5231" t="str">
        <f>T("FLC CODE 500")</f>
        <v>FLC CODE 500</v>
      </c>
      <c r="I5231" t="str">
        <f t="shared" si="2039"/>
        <v>SAN DIEGO</v>
      </c>
      <c r="J5231" t="str">
        <f t="shared" si="2033"/>
        <v>CA</v>
      </c>
      <c r="K5231" t="str">
        <f>T("6195451404")</f>
        <v>6195451404</v>
      </c>
      <c r="L5231" t="str">
        <f>T("6195451433")</f>
        <v>6195451433</v>
      </c>
    </row>
    <row r="5232" spans="1:12" x14ac:dyDescent="0.35">
      <c r="A5232" t="str">
        <f t="shared" si="2031"/>
        <v>NAVFAC SOUTHWEST HL5</v>
      </c>
      <c r="B5232" t="str">
        <f t="shared" si="2034"/>
        <v>4635 PACIFIC HIGHWAY</v>
      </c>
      <c r="C5232" t="str">
        <f t="shared" si="2035"/>
        <v>BLDG 2-S</v>
      </c>
      <c r="D5232" t="str">
        <f t="shared" si="2036"/>
        <v>SAN DIEGO</v>
      </c>
      <c r="E5232" t="str">
        <f t="shared" si="2032"/>
        <v>CA</v>
      </c>
      <c r="F5232" t="str">
        <f t="shared" si="2037"/>
        <v>921102756</v>
      </c>
      <c r="G5232" t="str">
        <f t="shared" si="2038"/>
        <v>1220 PACIFIC HWY</v>
      </c>
      <c r="H5232" t="str">
        <f>T("FLC CODE 500")</f>
        <v>FLC CODE 500</v>
      </c>
      <c r="I5232" t="str">
        <f t="shared" si="2039"/>
        <v>SAN DIEGO</v>
      </c>
      <c r="J5232" t="str">
        <f t="shared" si="2033"/>
        <v>CA</v>
      </c>
      <c r="K5232" t="str">
        <f>T("6195451404")</f>
        <v>6195451404</v>
      </c>
      <c r="L5232" t="str">
        <f>T("6195451466")</f>
        <v>6195451466</v>
      </c>
    </row>
    <row r="5233" spans="1:12" x14ac:dyDescent="0.35">
      <c r="A5233" t="str">
        <f t="shared" si="2031"/>
        <v>NAVFAC SOUTHWEST HL5</v>
      </c>
      <c r="B5233" t="str">
        <f t="shared" si="2034"/>
        <v>4635 PACIFIC HIGHWAY</v>
      </c>
      <c r="C5233" t="str">
        <f t="shared" si="2035"/>
        <v>BLDG 2-S</v>
      </c>
      <c r="D5233" t="str">
        <f t="shared" si="2036"/>
        <v>SAN DIEGO</v>
      </c>
      <c r="E5233" t="str">
        <f t="shared" si="2032"/>
        <v>CA</v>
      </c>
      <c r="F5233" t="str">
        <f t="shared" si="2037"/>
        <v>921102756</v>
      </c>
      <c r="G5233" t="str">
        <f t="shared" si="2038"/>
        <v>1220 PACIFIC HWY</v>
      </c>
      <c r="H5233" t="str">
        <f>T("FLC CODE 500")</f>
        <v>FLC CODE 500</v>
      </c>
      <c r="I5233" t="str">
        <f t="shared" si="2039"/>
        <v>SAN DIEGO</v>
      </c>
      <c r="J5233" t="str">
        <f t="shared" si="2033"/>
        <v>CA</v>
      </c>
      <c r="K5233" t="str">
        <f>T("6195456798")</f>
        <v>6195456798</v>
      </c>
      <c r="L5233" t="str">
        <f>T("6195450826")</f>
        <v>6195450826</v>
      </c>
    </row>
    <row r="5234" spans="1:12" x14ac:dyDescent="0.35">
      <c r="A5234" t="str">
        <f t="shared" si="2031"/>
        <v>NAVFAC SOUTHWEST HL5</v>
      </c>
      <c r="B5234" t="str">
        <f t="shared" si="2034"/>
        <v>4635 PACIFIC HIGHWAY</v>
      </c>
      <c r="C5234" t="str">
        <f t="shared" si="2035"/>
        <v>BLDG 2-S</v>
      </c>
      <c r="D5234" t="str">
        <f t="shared" si="2036"/>
        <v>SAN DIEGO</v>
      </c>
      <c r="E5234" t="str">
        <f t="shared" si="2032"/>
        <v>CA</v>
      </c>
      <c r="F5234" t="str">
        <f t="shared" si="2037"/>
        <v>921102756</v>
      </c>
      <c r="G5234" t="str">
        <f>T("4635 PACIFIC HIGHWAY")</f>
        <v>4635 PACIFIC HIGHWAY</v>
      </c>
      <c r="H5234" t="str">
        <f>T("BLDG 2-S")</f>
        <v>BLDG 2-S</v>
      </c>
      <c r="I5234" t="str">
        <f t="shared" si="2039"/>
        <v>SAN DIEGO</v>
      </c>
      <c r="J5234" t="str">
        <f t="shared" si="2033"/>
        <v>CA</v>
      </c>
      <c r="K5234" t="str">
        <f>T("000000000000000000")</f>
        <v>000000000000000000</v>
      </c>
      <c r="L5234" t="str">
        <f>T("6195450826")</f>
        <v>6195450826</v>
      </c>
    </row>
    <row r="5235" spans="1:12" x14ac:dyDescent="0.35">
      <c r="A5235" t="str">
        <f t="shared" si="2031"/>
        <v>NAVFAC SOUTHWEST HL5</v>
      </c>
      <c r="B5235" t="str">
        <f t="shared" si="2034"/>
        <v>4635 PACIFIC HIGHWAY</v>
      </c>
      <c r="C5235" t="str">
        <f t="shared" si="2035"/>
        <v>BLDG 2-S</v>
      </c>
      <c r="D5235" t="str">
        <f t="shared" si="2036"/>
        <v>SAN DIEGO</v>
      </c>
      <c r="E5235" t="str">
        <f t="shared" si="2032"/>
        <v>CA</v>
      </c>
      <c r="F5235" t="str">
        <f t="shared" si="2037"/>
        <v>921102756</v>
      </c>
      <c r="G5235" t="str">
        <f>T("4635 PACIFIC HWY")</f>
        <v>4635 PACIFIC HWY</v>
      </c>
      <c r="H5235" t="str">
        <f>T("BLDG 2-S")</f>
        <v>BLDG 2-S</v>
      </c>
      <c r="I5235" t="str">
        <f t="shared" si="2039"/>
        <v>SAN DIEGO</v>
      </c>
      <c r="J5235" t="str">
        <f t="shared" si="2033"/>
        <v>CA</v>
      </c>
      <c r="K5235" t="str">
        <f>T("6195248590")</f>
        <v>6195248590</v>
      </c>
      <c r="L5235" t="str">
        <f>T("6197677819")</f>
        <v>6197677819</v>
      </c>
    </row>
    <row r="5236" spans="1:12" x14ac:dyDescent="0.35">
      <c r="A5236" t="str">
        <f t="shared" si="2031"/>
        <v>NAVFAC SOUTHWEST HL5</v>
      </c>
      <c r="B5236" t="str">
        <f t="shared" ref="B5236:B5242" si="2040">T("4635 PACIFIC HWY")</f>
        <v>4635 PACIFIC HWY</v>
      </c>
      <c r="C5236" t="str">
        <f t="shared" si="2035"/>
        <v>BLDG 2-S</v>
      </c>
      <c r="D5236" t="str">
        <f t="shared" si="2036"/>
        <v>SAN DIEGO</v>
      </c>
      <c r="E5236" t="str">
        <f t="shared" si="2032"/>
        <v>CA</v>
      </c>
      <c r="F5236" t="str">
        <f t="shared" si="2037"/>
        <v>921102756</v>
      </c>
      <c r="G5236" t="str">
        <f>T("1220 PACIFIC HIGHWAY")</f>
        <v>1220 PACIFIC HIGHWAY</v>
      </c>
      <c r="H5236" t="str">
        <f>T("NAVSTA BLDG. 3213, CODE 500F")</f>
        <v>NAVSTA BLDG. 3213, CODE 500F</v>
      </c>
      <c r="I5236" t="str">
        <f t="shared" si="2039"/>
        <v>SAN DIEGO</v>
      </c>
      <c r="J5236" t="str">
        <f t="shared" si="2033"/>
        <v>CA</v>
      </c>
      <c r="K5236" t="str">
        <f>T("000000000000000000")</f>
        <v>000000000000000000</v>
      </c>
      <c r="L5236" t="str">
        <f>T("6195248584")</f>
        <v>6195248584</v>
      </c>
    </row>
    <row r="5237" spans="1:12" x14ac:dyDescent="0.35">
      <c r="A5237" t="str">
        <f t="shared" si="2031"/>
        <v>NAVFAC SOUTHWEST HL5</v>
      </c>
      <c r="B5237" t="str">
        <f t="shared" si="2040"/>
        <v>4635 PACIFIC HWY</v>
      </c>
      <c r="C5237" t="str">
        <f t="shared" si="2035"/>
        <v>BLDG 2-S</v>
      </c>
      <c r="D5237" t="str">
        <f t="shared" si="2036"/>
        <v>SAN DIEGO</v>
      </c>
      <c r="E5237" t="str">
        <f t="shared" si="2032"/>
        <v>CA</v>
      </c>
      <c r="F5237" t="str">
        <f t="shared" si="2037"/>
        <v>921102756</v>
      </c>
      <c r="G5237" t="str">
        <f>T("1220 PACIFIC HWY")</f>
        <v>1220 PACIFIC HWY</v>
      </c>
      <c r="H5237" t="str">
        <f>T("FLC CODE 500")</f>
        <v>FLC CODE 500</v>
      </c>
      <c r="I5237" t="str">
        <f t="shared" si="2039"/>
        <v>SAN DIEGO</v>
      </c>
      <c r="J5237" t="str">
        <f t="shared" si="2033"/>
        <v>CA</v>
      </c>
      <c r="K5237" t="str">
        <f>T("000000000000000000")</f>
        <v>000000000000000000</v>
      </c>
      <c r="L5237" t="str">
        <f>T("6195567253")</f>
        <v>6195567253</v>
      </c>
    </row>
    <row r="5238" spans="1:12" x14ac:dyDescent="0.35">
      <c r="A5238" t="str">
        <f t="shared" si="2031"/>
        <v>NAVFAC SOUTHWEST HL5</v>
      </c>
      <c r="B5238" t="str">
        <f t="shared" si="2040"/>
        <v>4635 PACIFIC HWY</v>
      </c>
      <c r="C5238" t="str">
        <f t="shared" si="2035"/>
        <v>BLDG 2-S</v>
      </c>
      <c r="D5238" t="str">
        <f t="shared" si="2036"/>
        <v>SAN DIEGO</v>
      </c>
      <c r="E5238" t="str">
        <f t="shared" si="2032"/>
        <v>CA</v>
      </c>
      <c r="F5238" t="str">
        <f t="shared" si="2037"/>
        <v>921102756</v>
      </c>
      <c r="G5238" t="str">
        <f>T("4635 PACIFIC HWY")</f>
        <v>4635 PACIFIC HWY</v>
      </c>
      <c r="H5238" t="str">
        <f>T("BLDG 2-S")</f>
        <v>BLDG 2-S</v>
      </c>
      <c r="I5238" t="str">
        <f t="shared" si="2039"/>
        <v>SAN DIEGO</v>
      </c>
      <c r="J5238" t="str">
        <f t="shared" si="2033"/>
        <v>CA</v>
      </c>
      <c r="K5238" t="str">
        <f>T("6195248590")</f>
        <v>6195248590</v>
      </c>
      <c r="L5238" t="str">
        <f>T("6195242881")</f>
        <v>6195242881</v>
      </c>
    </row>
    <row r="5239" spans="1:12" x14ac:dyDescent="0.35">
      <c r="A5239" t="str">
        <f t="shared" si="2031"/>
        <v>NAVFAC SOUTHWEST HL5</v>
      </c>
      <c r="B5239" t="str">
        <f t="shared" si="2040"/>
        <v>4635 PACIFIC HWY</v>
      </c>
      <c r="C5239" t="str">
        <f t="shared" si="2035"/>
        <v>BLDG 2-S</v>
      </c>
      <c r="D5239" t="str">
        <f t="shared" si="2036"/>
        <v>SAN DIEGO</v>
      </c>
      <c r="E5239" t="str">
        <f t="shared" si="2032"/>
        <v>CA</v>
      </c>
      <c r="F5239" t="str">
        <f t="shared" si="2037"/>
        <v>921102756</v>
      </c>
      <c r="G5239" t="str">
        <f>T("4635 PACIFIC HWY")</f>
        <v>4635 PACIFIC HWY</v>
      </c>
      <c r="H5239" t="str">
        <f>T("BLDG 2-S")</f>
        <v>BLDG 2-S</v>
      </c>
      <c r="I5239" t="str">
        <f t="shared" si="2039"/>
        <v>SAN DIEGO</v>
      </c>
      <c r="J5239" t="str">
        <f t="shared" si="2033"/>
        <v>CA</v>
      </c>
      <c r="K5239" t="str">
        <f>T("6195324060")</f>
        <v>6195324060</v>
      </c>
      <c r="L5239" t="str">
        <f>T("6195562149")</f>
        <v>6195562149</v>
      </c>
    </row>
    <row r="5240" spans="1:12" x14ac:dyDescent="0.35">
      <c r="A5240" t="str">
        <f t="shared" si="2031"/>
        <v>NAVFAC SOUTHWEST HL5</v>
      </c>
      <c r="B5240" t="str">
        <f t="shared" si="2040"/>
        <v>4635 PACIFIC HWY</v>
      </c>
      <c r="C5240" t="str">
        <f t="shared" si="2035"/>
        <v>BLDG 2-S</v>
      </c>
      <c r="D5240" t="str">
        <f t="shared" si="2036"/>
        <v>SAN DIEGO</v>
      </c>
      <c r="E5240" t="str">
        <f t="shared" si="2032"/>
        <v>CA</v>
      </c>
      <c r="F5240" t="str">
        <f t="shared" si="2037"/>
        <v>921102756</v>
      </c>
      <c r="G5240" t="str">
        <f>T("4635 PACIFIC HWY")</f>
        <v>4635 PACIFIC HWY</v>
      </c>
      <c r="H5240" t="str">
        <f>T("BLDG 2-S")</f>
        <v>BLDG 2-S</v>
      </c>
      <c r="I5240" t="str">
        <f t="shared" si="2039"/>
        <v>SAN DIEGO</v>
      </c>
      <c r="J5240" t="str">
        <f t="shared" si="2033"/>
        <v>CA</v>
      </c>
      <c r="K5240" t="str">
        <f>T("6195562156")</f>
        <v>6195562156</v>
      </c>
      <c r="L5240" t="str">
        <f>T("6195564514")</f>
        <v>6195564514</v>
      </c>
    </row>
    <row r="5241" spans="1:12" x14ac:dyDescent="0.35">
      <c r="A5241" t="str">
        <f t="shared" si="2031"/>
        <v>NAVFAC SOUTHWEST HL5</v>
      </c>
      <c r="B5241" t="str">
        <f t="shared" si="2040"/>
        <v>4635 PACIFIC HWY</v>
      </c>
      <c r="C5241" t="str">
        <f t="shared" si="2035"/>
        <v>BLDG 2-S</v>
      </c>
      <c r="D5241" t="str">
        <f t="shared" si="2036"/>
        <v>SAN DIEGO</v>
      </c>
      <c r="E5241" t="str">
        <f t="shared" si="2032"/>
        <v>CA</v>
      </c>
      <c r="F5241" t="str">
        <f t="shared" si="2037"/>
        <v>921102756</v>
      </c>
      <c r="G5241" t="str">
        <f>T("4635 PACIFIC HWY")</f>
        <v>4635 PACIFIC HWY</v>
      </c>
      <c r="H5241" t="str">
        <f>T("BLDG 2-S")</f>
        <v>BLDG 2-S</v>
      </c>
      <c r="I5241" t="str">
        <f t="shared" si="2039"/>
        <v>SAN DIEGO</v>
      </c>
      <c r="J5241" t="str">
        <f t="shared" si="2033"/>
        <v>CA</v>
      </c>
      <c r="K5241" t="str">
        <f>T("6195567241")</f>
        <v>6195567241</v>
      </c>
      <c r="L5241" t="str">
        <f>T("6195562149")</f>
        <v>6195562149</v>
      </c>
    </row>
    <row r="5242" spans="1:12" x14ac:dyDescent="0.35">
      <c r="A5242" t="str">
        <f t="shared" si="2031"/>
        <v>NAVFAC SOUTHWEST HL5</v>
      </c>
      <c r="B5242" t="str">
        <f t="shared" si="2040"/>
        <v>4635 PACIFIC HWY</v>
      </c>
      <c r="C5242" t="str">
        <f t="shared" si="2035"/>
        <v>BLDG 2-S</v>
      </c>
      <c r="D5242" t="str">
        <f t="shared" si="2036"/>
        <v>SAN DIEGO</v>
      </c>
      <c r="E5242" t="str">
        <f t="shared" si="2032"/>
        <v>CA</v>
      </c>
      <c r="F5242" t="str">
        <f t="shared" si="2037"/>
        <v>921102756</v>
      </c>
      <c r="G5242" t="str">
        <f>T("4635 PACIFIC HWY BLDG 2-S")</f>
        <v>4635 PACIFIC HWY BLDG 2-S</v>
      </c>
      <c r="H5242" t="str">
        <f>T("")</f>
        <v/>
      </c>
      <c r="I5242" t="str">
        <f t="shared" si="2039"/>
        <v>SAN DIEGO</v>
      </c>
      <c r="J5242" t="str">
        <f t="shared" si="2033"/>
        <v>CA</v>
      </c>
      <c r="K5242" t="str">
        <f>T("6195451404")</f>
        <v>6195451404</v>
      </c>
      <c r="L5242" t="str">
        <f>T("6195562148")</f>
        <v>6195562148</v>
      </c>
    </row>
    <row r="5243" spans="1:12" x14ac:dyDescent="0.35">
      <c r="A5243" t="str">
        <f t="shared" si="2031"/>
        <v>NAVFAC SOUTHWEST HL5</v>
      </c>
      <c r="B5243" t="str">
        <f t="shared" ref="B5243:B5249" si="2041">T("4635 PACIFIC HWY BLDG 1")</f>
        <v>4635 PACIFIC HWY BLDG 1</v>
      </c>
      <c r="C5243" t="str">
        <f t="shared" ref="C5243:C5249" si="2042">T("")</f>
        <v/>
      </c>
      <c r="D5243" t="str">
        <f t="shared" si="2036"/>
        <v>SAN DIEGO</v>
      </c>
      <c r="E5243" t="str">
        <f t="shared" si="2032"/>
        <v>CA</v>
      </c>
      <c r="F5243" t="str">
        <f t="shared" si="2037"/>
        <v>921102756</v>
      </c>
      <c r="G5243" t="str">
        <f>T("1220 PACIFIC HWY")</f>
        <v>1220 PACIFIC HWY</v>
      </c>
      <c r="H5243" t="str">
        <f>T("BLDG 127")</f>
        <v>BLDG 127</v>
      </c>
      <c r="I5243" t="str">
        <f t="shared" si="2039"/>
        <v>SAN DIEGO</v>
      </c>
      <c r="J5243" t="str">
        <f t="shared" si="2033"/>
        <v>CA</v>
      </c>
      <c r="K5243" t="str">
        <f>T("6195248521")</f>
        <v>6195248521</v>
      </c>
      <c r="L5243" t="str">
        <f>T("6195538823")</f>
        <v>6195538823</v>
      </c>
    </row>
    <row r="5244" spans="1:12" x14ac:dyDescent="0.35">
      <c r="A5244" t="str">
        <f t="shared" si="2031"/>
        <v>NAVFAC SOUTHWEST HL5</v>
      </c>
      <c r="B5244" t="str">
        <f t="shared" si="2041"/>
        <v>4635 PACIFIC HWY BLDG 1</v>
      </c>
      <c r="C5244" t="str">
        <f t="shared" si="2042"/>
        <v/>
      </c>
      <c r="D5244" t="str">
        <f t="shared" si="2036"/>
        <v>SAN DIEGO</v>
      </c>
      <c r="E5244" t="str">
        <f t="shared" si="2032"/>
        <v>CA</v>
      </c>
      <c r="F5244" t="str">
        <f t="shared" si="2037"/>
        <v>921102756</v>
      </c>
      <c r="G5244" t="str">
        <f>T("4635 PACIFIC HWY")</f>
        <v>4635 PACIFIC HWY</v>
      </c>
      <c r="H5244" t="str">
        <f>T("")</f>
        <v/>
      </c>
      <c r="I5244" t="str">
        <f t="shared" si="2039"/>
        <v>SAN DIEGO</v>
      </c>
      <c r="J5244" t="str">
        <f t="shared" si="2033"/>
        <v>CA</v>
      </c>
      <c r="K5244" t="str">
        <f>T("6195248521")</f>
        <v>6195248521</v>
      </c>
      <c r="L5244" t="str">
        <f>T("8585248500")</f>
        <v>8585248500</v>
      </c>
    </row>
    <row r="5245" spans="1:12" x14ac:dyDescent="0.35">
      <c r="A5245" t="str">
        <f t="shared" si="2031"/>
        <v>NAVFAC SOUTHWEST HL5</v>
      </c>
      <c r="B5245" t="str">
        <f t="shared" si="2041"/>
        <v>4635 PACIFIC HWY BLDG 1</v>
      </c>
      <c r="C5245" t="str">
        <f t="shared" si="2042"/>
        <v/>
      </c>
      <c r="D5245" t="str">
        <f t="shared" si="2036"/>
        <v>SAN DIEGO</v>
      </c>
      <c r="E5245" t="str">
        <f t="shared" si="2032"/>
        <v>CA</v>
      </c>
      <c r="F5245" t="str">
        <f t="shared" si="2037"/>
        <v>921102756</v>
      </c>
      <c r="G5245" t="str">
        <f>T("4635 PACIFIC HWY")</f>
        <v>4635 PACIFIC HWY</v>
      </c>
      <c r="H5245" t="str">
        <f>T("")</f>
        <v/>
      </c>
      <c r="I5245" t="str">
        <f t="shared" si="2039"/>
        <v>SAN DIEGO</v>
      </c>
      <c r="J5245" t="str">
        <f t="shared" si="2033"/>
        <v>CA</v>
      </c>
      <c r="K5245" t="str">
        <f>T("6195530442")</f>
        <v>6195530442</v>
      </c>
      <c r="L5245" t="str">
        <f>T("6192215450")</f>
        <v>6192215450</v>
      </c>
    </row>
    <row r="5246" spans="1:12" x14ac:dyDescent="0.35">
      <c r="A5246" t="str">
        <f t="shared" si="2031"/>
        <v>NAVFAC SOUTHWEST HL5</v>
      </c>
      <c r="B5246" t="str">
        <f t="shared" si="2041"/>
        <v>4635 PACIFIC HWY BLDG 1</v>
      </c>
      <c r="C5246" t="str">
        <f t="shared" si="2042"/>
        <v/>
      </c>
      <c r="D5246" t="str">
        <f t="shared" si="2036"/>
        <v>SAN DIEGO</v>
      </c>
      <c r="E5246" t="str">
        <f t="shared" si="2032"/>
        <v>CA</v>
      </c>
      <c r="F5246" t="str">
        <f t="shared" si="2037"/>
        <v>921102756</v>
      </c>
      <c r="G5246" t="str">
        <f>T("4635 PACIFIC HWY")</f>
        <v>4635 PACIFIC HWY</v>
      </c>
      <c r="H5246" t="str">
        <f>T("BLDG 2-S")</f>
        <v>BLDG 2-S</v>
      </c>
      <c r="I5246" t="str">
        <f t="shared" si="2039"/>
        <v>SAN DIEGO</v>
      </c>
      <c r="J5246" t="str">
        <f t="shared" si="2033"/>
        <v>CA</v>
      </c>
      <c r="K5246" t="str">
        <f>T("000000000000000000")</f>
        <v>000000000000000000</v>
      </c>
      <c r="L5246" t="str">
        <f>T("6195531835")</f>
        <v>6195531835</v>
      </c>
    </row>
    <row r="5247" spans="1:12" x14ac:dyDescent="0.35">
      <c r="A5247" t="str">
        <f t="shared" si="2031"/>
        <v>NAVFAC SOUTHWEST HL5</v>
      </c>
      <c r="B5247" t="str">
        <f t="shared" si="2041"/>
        <v>4635 PACIFIC HWY BLDG 1</v>
      </c>
      <c r="C5247" t="str">
        <f t="shared" si="2042"/>
        <v/>
      </c>
      <c r="D5247" t="str">
        <f t="shared" si="2036"/>
        <v>SAN DIEGO</v>
      </c>
      <c r="E5247" t="str">
        <f t="shared" si="2032"/>
        <v>CA</v>
      </c>
      <c r="F5247" t="str">
        <f t="shared" si="2037"/>
        <v>921102756</v>
      </c>
      <c r="G5247" t="str">
        <f>T("4635 PACIFIC HWY")</f>
        <v>4635 PACIFIC HWY</v>
      </c>
      <c r="H5247" t="str">
        <f>T("BLDG 2-S")</f>
        <v>BLDG 2-S</v>
      </c>
      <c r="I5247" t="str">
        <f t="shared" si="2039"/>
        <v>SAN DIEGO</v>
      </c>
      <c r="J5247" t="str">
        <f t="shared" si="2033"/>
        <v>CA</v>
      </c>
      <c r="K5247" t="str">
        <f>T("6195536428")</f>
        <v>6195536428</v>
      </c>
      <c r="L5247" t="str">
        <f>T("6195458955")</f>
        <v>6195458955</v>
      </c>
    </row>
    <row r="5248" spans="1:12" x14ac:dyDescent="0.35">
      <c r="A5248" t="str">
        <f t="shared" si="2031"/>
        <v>NAVFAC SOUTHWEST HL5</v>
      </c>
      <c r="B5248" t="str">
        <f t="shared" si="2041"/>
        <v>4635 PACIFIC HWY BLDG 1</v>
      </c>
      <c r="C5248" t="str">
        <f t="shared" si="2042"/>
        <v/>
      </c>
      <c r="D5248" t="str">
        <f t="shared" si="2036"/>
        <v>SAN DIEGO</v>
      </c>
      <c r="E5248" t="str">
        <f t="shared" si="2032"/>
        <v>CA</v>
      </c>
      <c r="F5248" t="str">
        <f t="shared" si="2037"/>
        <v>921102756</v>
      </c>
      <c r="G5248" t="str">
        <f>T("4635 PACIFIC HWY BLDG 1")</f>
        <v>4635 PACIFIC HWY BLDG 1</v>
      </c>
      <c r="H5248" t="str">
        <f>T("")</f>
        <v/>
      </c>
      <c r="I5248" t="str">
        <f t="shared" si="2039"/>
        <v>SAN DIEGO</v>
      </c>
      <c r="J5248" t="str">
        <f t="shared" si="2033"/>
        <v>CA</v>
      </c>
      <c r="K5248" t="str">
        <f>T("")</f>
        <v/>
      </c>
      <c r="L5248" t="str">
        <f>T("6195248502")</f>
        <v>6195248502</v>
      </c>
    </row>
    <row r="5249" spans="1:12" x14ac:dyDescent="0.35">
      <c r="A5249" t="str">
        <f t="shared" si="2031"/>
        <v>NAVFAC SOUTHWEST HL5</v>
      </c>
      <c r="B5249" t="str">
        <f t="shared" si="2041"/>
        <v>4635 PACIFIC HWY BLDG 1</v>
      </c>
      <c r="C5249" t="str">
        <f t="shared" si="2042"/>
        <v/>
      </c>
      <c r="D5249" t="str">
        <f t="shared" si="2036"/>
        <v>SAN DIEGO</v>
      </c>
      <c r="E5249" t="str">
        <f t="shared" si="2032"/>
        <v>CA</v>
      </c>
      <c r="F5249" t="str">
        <f t="shared" si="2037"/>
        <v>921102756</v>
      </c>
      <c r="G5249" t="str">
        <f>T("627 H ST")</f>
        <v>627 H ST</v>
      </c>
      <c r="H5249" t="str">
        <f>T("PMB A83")</f>
        <v>PMB A83</v>
      </c>
      <c r="I5249" t="str">
        <f>T("CHULA VISTA")</f>
        <v>CHULA VISTA</v>
      </c>
      <c r="J5249" t="str">
        <f t="shared" si="2033"/>
        <v>CA</v>
      </c>
      <c r="K5249" t="str">
        <f>T("000000000000000000")</f>
        <v>000000000000000000</v>
      </c>
      <c r="L5249" t="str">
        <f>T("6195249224")</f>
        <v>6195249224</v>
      </c>
    </row>
    <row r="5250" spans="1:12" x14ac:dyDescent="0.35">
      <c r="A5250" t="str">
        <f t="shared" si="2031"/>
        <v>NAVFAC SOUTHWEST HL5</v>
      </c>
      <c r="B5250" t="str">
        <f>T("4755 PASTURE ROAD")</f>
        <v>4755 PASTURE ROAD</v>
      </c>
      <c r="C5250" t="str">
        <f>T("BLDG 307")</f>
        <v>BLDG 307</v>
      </c>
      <c r="D5250" t="str">
        <f>T("FALLON")</f>
        <v>FALLON</v>
      </c>
      <c r="E5250" t="str">
        <f>T("NV")</f>
        <v>NV</v>
      </c>
      <c r="F5250" t="str">
        <f>T("894960001")</f>
        <v>894960001</v>
      </c>
      <c r="G5250" t="str">
        <f>T("4755 PASTURE RD")</f>
        <v>4755 PASTURE RD</v>
      </c>
      <c r="H5250" t="str">
        <f>T("BLDG 307 2ND FL")</f>
        <v>BLDG 307 2ND FL</v>
      </c>
      <c r="I5250" t="str">
        <f>T("FALLON")</f>
        <v>FALLON</v>
      </c>
      <c r="J5250" t="str">
        <f>T("NV")</f>
        <v>NV</v>
      </c>
      <c r="K5250" t="str">
        <f>T("7754263205")</f>
        <v>7754263205</v>
      </c>
      <c r="L5250" t="str">
        <f>T("7754262777")</f>
        <v>7754262777</v>
      </c>
    </row>
    <row r="5251" spans="1:12" x14ac:dyDescent="0.35">
      <c r="A5251" t="str">
        <f t="shared" si="2031"/>
        <v>NAVFAC SOUTHWEST HL5</v>
      </c>
      <c r="B5251" t="str">
        <f>T("4755 PASTURE ROAD")</f>
        <v>4755 PASTURE ROAD</v>
      </c>
      <c r="C5251" t="str">
        <f>T("BLDG 307")</f>
        <v>BLDG 307</v>
      </c>
      <c r="D5251" t="str">
        <f>T("FALLON")</f>
        <v>FALLON</v>
      </c>
      <c r="E5251" t="str">
        <f>T("NV")</f>
        <v>NV</v>
      </c>
      <c r="F5251" t="str">
        <f>T("894960001")</f>
        <v>894960001</v>
      </c>
      <c r="G5251" t="str">
        <f>T("4755 PASTURE ROAD")</f>
        <v>4755 PASTURE ROAD</v>
      </c>
      <c r="H5251" t="str">
        <f>T("BLDG 307")</f>
        <v>BLDG 307</v>
      </c>
      <c r="I5251" t="str">
        <f>T("FALLON")</f>
        <v>FALLON</v>
      </c>
      <c r="J5251" t="str">
        <f>T("NV")</f>
        <v>NV</v>
      </c>
      <c r="K5251" t="str">
        <f>T("7754263205")</f>
        <v>7754263205</v>
      </c>
      <c r="L5251" t="str">
        <f>T("7754262658")</f>
        <v>7754262658</v>
      </c>
    </row>
    <row r="5252" spans="1:12" x14ac:dyDescent="0.35">
      <c r="A5252" t="str">
        <f t="shared" si="2031"/>
        <v>NAVFAC SOUTHWEST HL5</v>
      </c>
      <c r="B5252" t="str">
        <f>T("4755 PASTURE ROAD")</f>
        <v>4755 PASTURE ROAD</v>
      </c>
      <c r="C5252" t="str">
        <f>T("BUILDING 307")</f>
        <v>BUILDING 307</v>
      </c>
      <c r="D5252" t="str">
        <f>T("FALLON")</f>
        <v>FALLON</v>
      </c>
      <c r="E5252" t="str">
        <f>T("NV")</f>
        <v>NV</v>
      </c>
      <c r="F5252" t="str">
        <f>T("894960001")</f>
        <v>894960001</v>
      </c>
      <c r="G5252" t="str">
        <f>T("4755 PASTURE RD")</f>
        <v>4755 PASTURE RD</v>
      </c>
      <c r="H5252" t="str">
        <f>T("BLDG 307 2ND DECK")</f>
        <v>BLDG 307 2ND DECK</v>
      </c>
      <c r="I5252" t="str">
        <f>T("FALLON")</f>
        <v>FALLON</v>
      </c>
      <c r="J5252" t="str">
        <f>T("NV")</f>
        <v>NV</v>
      </c>
      <c r="K5252" t="str">
        <f>T("7754262612")</f>
        <v>7754262612</v>
      </c>
      <c r="L5252" t="str">
        <f>T("7754262806")</f>
        <v>7754262806</v>
      </c>
    </row>
    <row r="5253" spans="1:12" x14ac:dyDescent="0.35">
      <c r="A5253" t="str">
        <f t="shared" si="2031"/>
        <v>NAVFAC SOUTHWEST HL5</v>
      </c>
      <c r="B5253" t="str">
        <f>T("4755 PASTURE ROAD")</f>
        <v>4755 PASTURE ROAD</v>
      </c>
      <c r="C5253" t="str">
        <f>T("BUILDING 307")</f>
        <v>BUILDING 307</v>
      </c>
      <c r="D5253" t="str">
        <f>T("FALLON")</f>
        <v>FALLON</v>
      </c>
      <c r="E5253" t="str">
        <f>T("NV")</f>
        <v>NV</v>
      </c>
      <c r="F5253" t="str">
        <f>T("894960001")</f>
        <v>894960001</v>
      </c>
      <c r="G5253" t="str">
        <f>T("4755 PASTURE ROAD")</f>
        <v>4755 PASTURE ROAD</v>
      </c>
      <c r="H5253" t="str">
        <f>T("BUILDING 307")</f>
        <v>BUILDING 307</v>
      </c>
      <c r="I5253" t="str">
        <f>T("FALLON")</f>
        <v>FALLON</v>
      </c>
      <c r="J5253" t="str">
        <f>T("NV")</f>
        <v>NV</v>
      </c>
      <c r="K5253" t="str">
        <f>T("7754263205")</f>
        <v>7754263205</v>
      </c>
      <c r="L5253" t="str">
        <f>T("7754263231")</f>
        <v>7754263231</v>
      </c>
    </row>
    <row r="5254" spans="1:12" x14ac:dyDescent="0.35">
      <c r="A5254" t="str">
        <f t="shared" si="2031"/>
        <v>NAVFAC SOUTHWEST HL5</v>
      </c>
      <c r="B5254" t="str">
        <f>T("511 GARDNERS RD")</f>
        <v>511 GARDNERS RD</v>
      </c>
      <c r="C5254" t="str">
        <f>T("")</f>
        <v/>
      </c>
      <c r="D5254" t="str">
        <f>T("MONTEREY")</f>
        <v>MONTEREY</v>
      </c>
      <c r="E5254" t="str">
        <f t="shared" ref="E5254:E5285" si="2043">T("CA")</f>
        <v>CA</v>
      </c>
      <c r="F5254" t="str">
        <f>T("939435394")</f>
        <v>939435394</v>
      </c>
      <c r="G5254" t="str">
        <f>T("511 GARDNERS RD")</f>
        <v>511 GARDNERS RD</v>
      </c>
      <c r="H5254" t="str">
        <f>T("")</f>
        <v/>
      </c>
      <c r="I5254" t="str">
        <f>T("MONTEREY")</f>
        <v>MONTEREY</v>
      </c>
      <c r="J5254" t="str">
        <f t="shared" ref="J5254:J5285" si="2044">T("CA")</f>
        <v>CA</v>
      </c>
      <c r="K5254" t="str">
        <f>T("")</f>
        <v/>
      </c>
      <c r="L5254" t="str">
        <f>T("8316563702")</f>
        <v>8316563702</v>
      </c>
    </row>
    <row r="5255" spans="1:12" x14ac:dyDescent="0.35">
      <c r="A5255" t="str">
        <f t="shared" si="2031"/>
        <v>NAVFAC SOUTHWEST HL5</v>
      </c>
      <c r="B5255" t="str">
        <f>T("511 GARDNERS RD")</f>
        <v>511 GARDNERS RD</v>
      </c>
      <c r="C5255" t="str">
        <f>T("")</f>
        <v/>
      </c>
      <c r="D5255" t="str">
        <f>T("MONTEREY")</f>
        <v>MONTEREY</v>
      </c>
      <c r="E5255" t="str">
        <f t="shared" si="2043"/>
        <v>CA</v>
      </c>
      <c r="F5255" t="str">
        <f>T("939435394")</f>
        <v>939435394</v>
      </c>
      <c r="G5255" t="str">
        <f>T("511 GARDNERS ROAD")</f>
        <v>511 GARDNERS ROAD</v>
      </c>
      <c r="H5255" t="str">
        <f>T("")</f>
        <v/>
      </c>
      <c r="I5255" t="str">
        <f>T("MONTEREY")</f>
        <v>MONTEREY</v>
      </c>
      <c r="J5255" t="str">
        <f t="shared" si="2044"/>
        <v>CA</v>
      </c>
      <c r="K5255" t="str">
        <f>T("8315657750")</f>
        <v>8315657750</v>
      </c>
      <c r="L5255" t="str">
        <f>T("8316562901")</f>
        <v>8316562901</v>
      </c>
    </row>
    <row r="5256" spans="1:12" x14ac:dyDescent="0.35">
      <c r="A5256" t="str">
        <f t="shared" si="2031"/>
        <v>NAVFAC SOUTHWEST HL5</v>
      </c>
      <c r="B5256" t="str">
        <f>T("511 GARDNERS RD")</f>
        <v>511 GARDNERS RD</v>
      </c>
      <c r="C5256" t="str">
        <f>T("")</f>
        <v/>
      </c>
      <c r="D5256" t="str">
        <f>T("MONTEREY")</f>
        <v>MONTEREY</v>
      </c>
      <c r="E5256" t="str">
        <f t="shared" si="2043"/>
        <v>CA</v>
      </c>
      <c r="F5256" t="str">
        <f>T("939435394")</f>
        <v>939435394</v>
      </c>
      <c r="G5256" t="str">
        <f>T("NAVAL POST GRADUATE PWC BLDG 426")</f>
        <v>NAVAL POST GRADUATE PWC BLDG 426</v>
      </c>
      <c r="H5256" t="str">
        <f>T("511 GARDNERS RD")</f>
        <v>511 GARDNERS RD</v>
      </c>
      <c r="I5256" t="str">
        <f>T("MONTEREY")</f>
        <v>MONTEREY</v>
      </c>
      <c r="J5256" t="str">
        <f t="shared" si="2044"/>
        <v>CA</v>
      </c>
      <c r="K5256" t="str">
        <f>T("8316567750")</f>
        <v>8316567750</v>
      </c>
      <c r="L5256" t="str">
        <f>T("8316563642")</f>
        <v>8316563642</v>
      </c>
    </row>
    <row r="5257" spans="1:12" x14ac:dyDescent="0.35">
      <c r="A5257" t="str">
        <f t="shared" si="2031"/>
        <v>NAVFAC SOUTHWEST HL5</v>
      </c>
      <c r="B5257" t="str">
        <f>T("750 ENTERPRISE AVE")</f>
        <v>750 ENTERPRISE AVE</v>
      </c>
      <c r="C5257" t="str">
        <f>T("NAS")</f>
        <v>NAS</v>
      </c>
      <c r="D5257" t="str">
        <f>T("LEMOORE")</f>
        <v>LEMOORE</v>
      </c>
      <c r="E5257" t="str">
        <f t="shared" si="2043"/>
        <v>CA</v>
      </c>
      <c r="F5257" t="str">
        <f>T("932466303")</f>
        <v>932466303</v>
      </c>
      <c r="G5257" t="str">
        <f>T("750 ENTERPRISE AVE")</f>
        <v>750 ENTERPRISE AVE</v>
      </c>
      <c r="H5257" t="str">
        <f>T("NAS")</f>
        <v>NAS</v>
      </c>
      <c r="I5257" t="str">
        <f>T("LEMOORE")</f>
        <v>LEMOORE</v>
      </c>
      <c r="J5257" t="str">
        <f t="shared" si="2044"/>
        <v>CA</v>
      </c>
      <c r="K5257" t="str">
        <f>T("")</f>
        <v/>
      </c>
      <c r="L5257" t="str">
        <f>T("5599983907")</f>
        <v>5599983907</v>
      </c>
    </row>
    <row r="5258" spans="1:12" x14ac:dyDescent="0.35">
      <c r="A5258" t="str">
        <f t="shared" si="2031"/>
        <v>NAVFAC SOUTHWEST HL5</v>
      </c>
      <c r="B5258" t="str">
        <f>T("750 ENTERPRISE AVE")</f>
        <v>750 ENTERPRISE AVE</v>
      </c>
      <c r="C5258" t="str">
        <f>T("NAS")</f>
        <v>NAS</v>
      </c>
      <c r="D5258" t="str">
        <f>T("LEMOORE")</f>
        <v>LEMOORE</v>
      </c>
      <c r="E5258" t="str">
        <f t="shared" si="2043"/>
        <v>CA</v>
      </c>
      <c r="F5258" t="str">
        <f>T("932466303")</f>
        <v>932466303</v>
      </c>
      <c r="G5258" t="str">
        <f>T("PW FEAD")</f>
        <v>PW FEAD</v>
      </c>
      <c r="H5258" t="str">
        <f>T("750 ENTERPRISE AVE")</f>
        <v>750 ENTERPRISE AVE</v>
      </c>
      <c r="I5258" t="str">
        <f>T("LEMOORE")</f>
        <v>LEMOORE</v>
      </c>
      <c r="J5258" t="str">
        <f t="shared" si="2044"/>
        <v>CA</v>
      </c>
      <c r="K5258" t="str">
        <f>T("000000000000000000")</f>
        <v>000000000000000000</v>
      </c>
      <c r="L5258" t="str">
        <f>T("5599983895")</f>
        <v>5599983895</v>
      </c>
    </row>
    <row r="5259" spans="1:12" x14ac:dyDescent="0.35">
      <c r="A5259" t="str">
        <f t="shared" si="2031"/>
        <v>NAVFAC SOUTHWEST HL5</v>
      </c>
      <c r="B5259" t="str">
        <f>T("765 FRANKLIN AVE")</f>
        <v>765 FRANKLIN AVE</v>
      </c>
      <c r="C5259" t="str">
        <f>T("PWD BLDG 765 NAS")</f>
        <v>PWD BLDG 765 NAS</v>
      </c>
      <c r="D5259" t="str">
        <f>T("LEMOORE")</f>
        <v>LEMOORE</v>
      </c>
      <c r="E5259" t="str">
        <f t="shared" si="2043"/>
        <v>CA</v>
      </c>
      <c r="F5259" t="str">
        <f>T("932464000")</f>
        <v>932464000</v>
      </c>
      <c r="G5259" t="str">
        <f>T("765 FRANKLIN AVE")</f>
        <v>765 FRANKLIN AVE</v>
      </c>
      <c r="H5259" t="str">
        <f>T("PWD BLDG 765 NAS")</f>
        <v>PWD BLDG 765 NAS</v>
      </c>
      <c r="I5259" t="str">
        <f>T("LEMOORE")</f>
        <v>LEMOORE</v>
      </c>
      <c r="J5259" t="str">
        <f t="shared" si="2044"/>
        <v>CA</v>
      </c>
      <c r="K5259" t="str">
        <f>T("")</f>
        <v/>
      </c>
      <c r="L5259" t="str">
        <f>T("5599984185")</f>
        <v>5599984185</v>
      </c>
    </row>
    <row r="5260" spans="1:12" x14ac:dyDescent="0.35">
      <c r="A5260" t="str">
        <f t="shared" si="2031"/>
        <v>NAVFAC SOUTHWEST HL5</v>
      </c>
      <c r="B5260" t="str">
        <f>T("765 FRANKLIN AVE")</f>
        <v>765 FRANKLIN AVE</v>
      </c>
      <c r="C5260" t="str">
        <f>T("PWD BLDG 765 NAS")</f>
        <v>PWD BLDG 765 NAS</v>
      </c>
      <c r="D5260" t="str">
        <f>T("LEMOORE")</f>
        <v>LEMOORE</v>
      </c>
      <c r="E5260" t="str">
        <f t="shared" si="2043"/>
        <v>CA</v>
      </c>
      <c r="F5260" t="str">
        <f>T("932464000")</f>
        <v>932464000</v>
      </c>
      <c r="G5260" t="str">
        <f>T("NAS LEMOORE")</f>
        <v>NAS LEMOORE</v>
      </c>
      <c r="H5260" t="str">
        <f>T("BLDG 765 FRANKLIN AVE.")</f>
        <v>BLDG 765 FRANKLIN AVE.</v>
      </c>
      <c r="I5260" t="str">
        <f>T("NAS LEMOORE")</f>
        <v>NAS LEMOORE</v>
      </c>
      <c r="J5260" t="str">
        <f t="shared" si="2044"/>
        <v>CA</v>
      </c>
      <c r="K5260" t="str">
        <f>T("000000000000000000")</f>
        <v>000000000000000000</v>
      </c>
      <c r="L5260" t="str">
        <f>T("5599984184")</f>
        <v>5599984184</v>
      </c>
    </row>
    <row r="5261" spans="1:12" x14ac:dyDescent="0.35">
      <c r="A5261" t="str">
        <f t="shared" si="2031"/>
        <v>NAVFAC SOUTHWEST HL5</v>
      </c>
      <c r="B5261" t="str">
        <f>T("765 FRANKLIN AVE")</f>
        <v>765 FRANKLIN AVE</v>
      </c>
      <c r="C5261" t="str">
        <f>T("PWD BLDG 765 NAS")</f>
        <v>PWD BLDG 765 NAS</v>
      </c>
      <c r="D5261" t="str">
        <f>T("LEMOORE")</f>
        <v>LEMOORE</v>
      </c>
      <c r="E5261" t="str">
        <f t="shared" si="2043"/>
        <v>CA</v>
      </c>
      <c r="F5261" t="str">
        <f>T("932464000")</f>
        <v>932464000</v>
      </c>
      <c r="G5261" t="str">
        <f>T("PUBLIC WORKS TRANSPORTATION")</f>
        <v>PUBLIC WORKS TRANSPORTATION</v>
      </c>
      <c r="H5261" t="str">
        <f>T("BLDG 765 FRANKLIN AVE")</f>
        <v>BLDG 765 FRANKLIN AVE</v>
      </c>
      <c r="I5261" t="str">
        <f>T("NAS LEMORE")</f>
        <v>NAS LEMORE</v>
      </c>
      <c r="J5261" t="str">
        <f t="shared" si="2044"/>
        <v>CA</v>
      </c>
      <c r="K5261" t="str">
        <f>T("5599981432")</f>
        <v>5599981432</v>
      </c>
      <c r="L5261" t="str">
        <f>T("5599984183")</f>
        <v>5599984183</v>
      </c>
    </row>
    <row r="5262" spans="1:12" x14ac:dyDescent="0.35">
      <c r="A5262" t="str">
        <f t="shared" si="2031"/>
        <v>NAVFAC SOUTHWEST HL5</v>
      </c>
      <c r="B5262" t="str">
        <f>T("800 SEAL BEACH BLVD")</f>
        <v>800 SEAL BEACH BLVD</v>
      </c>
      <c r="C5262" t="str">
        <f>T("BLDG 235")</f>
        <v>BLDG 235</v>
      </c>
      <c r="D5262" t="str">
        <f>T("SEAL BEACH")</f>
        <v>SEAL BEACH</v>
      </c>
      <c r="E5262" t="str">
        <f t="shared" si="2043"/>
        <v>CA</v>
      </c>
      <c r="F5262" t="str">
        <f>T("907405607")</f>
        <v>907405607</v>
      </c>
      <c r="G5262" t="str">
        <f>T("800 SEAL BEACH BLVD")</f>
        <v>800 SEAL BEACH BLVD</v>
      </c>
      <c r="H5262" t="str">
        <f>T("BLDG 235")</f>
        <v>BLDG 235</v>
      </c>
      <c r="I5262" t="str">
        <f>T("SEAL BEACH")</f>
        <v>SEAL BEACH</v>
      </c>
      <c r="J5262" t="str">
        <f t="shared" si="2044"/>
        <v>CA</v>
      </c>
      <c r="K5262" t="str">
        <f>T("")</f>
        <v/>
      </c>
      <c r="L5262" t="str">
        <f>T("7607313409")</f>
        <v>7607313409</v>
      </c>
    </row>
    <row r="5263" spans="1:12" x14ac:dyDescent="0.35">
      <c r="A5263" t="str">
        <f t="shared" si="2031"/>
        <v>NAVFAC SOUTHWEST HL5</v>
      </c>
      <c r="B5263" t="str">
        <f>T("800 SEAL BEACH BLVD")</f>
        <v>800 SEAL BEACH BLVD</v>
      </c>
      <c r="C5263" t="str">
        <f>T("BLDG 235")</f>
        <v>BLDG 235</v>
      </c>
      <c r="D5263" t="str">
        <f>T("SEAL BEACH")</f>
        <v>SEAL BEACH</v>
      </c>
      <c r="E5263" t="str">
        <f t="shared" si="2043"/>
        <v>CA</v>
      </c>
      <c r="F5263" t="str">
        <f>T("907405607")</f>
        <v>907405607</v>
      </c>
      <c r="G5263" t="str">
        <f>T("800 SEAL BEACH BLVD")</f>
        <v>800 SEAL BEACH BLVD</v>
      </c>
      <c r="H5263" t="str">
        <f>T("BLDG 235")</f>
        <v>BLDG 235</v>
      </c>
      <c r="I5263" t="str">
        <f>T("SEAL BEACH")</f>
        <v>SEAL BEACH</v>
      </c>
      <c r="J5263" t="str">
        <f t="shared" si="2044"/>
        <v>CA</v>
      </c>
      <c r="K5263" t="str">
        <f>T("000000000000000000")</f>
        <v>000000000000000000</v>
      </c>
      <c r="L5263" t="str">
        <f>T("5626267291")</f>
        <v>5626267291</v>
      </c>
    </row>
    <row r="5264" spans="1:12" x14ac:dyDescent="0.35">
      <c r="A5264" t="str">
        <f t="shared" si="2031"/>
        <v>NAVFAC SOUTHWEST HL5</v>
      </c>
      <c r="B5264" t="str">
        <f>T("800 SEAL BEACH BLVD")</f>
        <v>800 SEAL BEACH BLVD</v>
      </c>
      <c r="C5264" t="str">
        <f>T("BLDG 235")</f>
        <v>BLDG 235</v>
      </c>
      <c r="D5264" t="str">
        <f>T("SEAL BEACH")</f>
        <v>SEAL BEACH</v>
      </c>
      <c r="E5264" t="str">
        <f t="shared" si="2043"/>
        <v>CA</v>
      </c>
      <c r="F5264" t="str">
        <f>T("907405607")</f>
        <v>907405607</v>
      </c>
      <c r="G5264" t="str">
        <f>T("BLDG 315")</f>
        <v>BLDG 315</v>
      </c>
      <c r="H5264" t="str">
        <f>T("700 AMMUNITION RD")</f>
        <v>700 AMMUNITION RD</v>
      </c>
      <c r="I5264" t="str">
        <f>T("FALLBROOK")</f>
        <v>FALLBROOK</v>
      </c>
      <c r="J5264" t="str">
        <f t="shared" si="2044"/>
        <v>CA</v>
      </c>
      <c r="K5264" t="str">
        <f>T("9512734499")</f>
        <v>9512734499</v>
      </c>
      <c r="L5264" t="str">
        <f>T("9512734629")</f>
        <v>9512734629</v>
      </c>
    </row>
    <row r="5265" spans="1:12" x14ac:dyDescent="0.35">
      <c r="A5265" t="str">
        <f t="shared" si="2031"/>
        <v>NAVFAC SOUTHWEST HL5</v>
      </c>
      <c r="B5265" t="str">
        <f>T("800 SEAL BEACH BLVD")</f>
        <v>800 SEAL BEACH BLVD</v>
      </c>
      <c r="C5265" t="str">
        <f>T("BLDG 235")</f>
        <v>BLDG 235</v>
      </c>
      <c r="D5265" t="str">
        <f>T("SEAL BEACH")</f>
        <v>SEAL BEACH</v>
      </c>
      <c r="E5265" t="str">
        <f t="shared" si="2043"/>
        <v>CA</v>
      </c>
      <c r="F5265" t="str">
        <f>T("907405607")</f>
        <v>907405607</v>
      </c>
      <c r="G5265" t="str">
        <f>T("NAVAL WEAPON STATION")</f>
        <v>NAVAL WEAPON STATION</v>
      </c>
      <c r="H5265" t="str">
        <f>T("800 SEAL BEACH BLVD, BLDG. 230")</f>
        <v>800 SEAL BEACH BLVD, BLDG. 230</v>
      </c>
      <c r="I5265" t="str">
        <f>T("SEAL BEACH")</f>
        <v>SEAL BEACH</v>
      </c>
      <c r="J5265" t="str">
        <f t="shared" si="2044"/>
        <v>CA</v>
      </c>
      <c r="K5265" t="str">
        <f>T("000000000000000000")</f>
        <v>000000000000000000</v>
      </c>
      <c r="L5265" t="str">
        <f>T("5626267605")</f>
        <v>5626267605</v>
      </c>
    </row>
    <row r="5266" spans="1:12" x14ac:dyDescent="0.35">
      <c r="A5266" t="str">
        <f t="shared" si="2031"/>
        <v>NAVFAC SOUTHWEST HL5</v>
      </c>
      <c r="B5266" t="str">
        <f>T("800 SEAL BEACH BLVD")</f>
        <v>800 SEAL BEACH BLVD</v>
      </c>
      <c r="C5266" t="str">
        <f>T("BLDG 235")</f>
        <v>BLDG 235</v>
      </c>
      <c r="D5266" t="str">
        <f>T("SEAL BEACH")</f>
        <v>SEAL BEACH</v>
      </c>
      <c r="E5266" t="str">
        <f t="shared" si="2043"/>
        <v>CA</v>
      </c>
      <c r="F5266" t="str">
        <f>T("907405607")</f>
        <v>907405607</v>
      </c>
      <c r="G5266" t="str">
        <f>T("NAVAL WEAPON STATION")</f>
        <v>NAVAL WEAPON STATION</v>
      </c>
      <c r="H5266" t="str">
        <f>T("800 SEAL BEACH BLVD, BLDG. 235")</f>
        <v>800 SEAL BEACH BLVD, BLDG. 235</v>
      </c>
      <c r="I5266" t="str">
        <f>T("SEAL BEACH")</f>
        <v>SEAL BEACH</v>
      </c>
      <c r="J5266" t="str">
        <f t="shared" si="2044"/>
        <v>CA</v>
      </c>
      <c r="K5266" t="str">
        <f>T("000000000000000000")</f>
        <v>000000000000000000</v>
      </c>
      <c r="L5266" t="str">
        <f>T("5626267398")</f>
        <v>5626267398</v>
      </c>
    </row>
    <row r="5267" spans="1:12" x14ac:dyDescent="0.35">
      <c r="A5267" t="str">
        <f t="shared" si="2031"/>
        <v>NAVFAC SOUTHWEST HL5</v>
      </c>
      <c r="B5267" t="str">
        <f>T("BLDG 128 CODE REVRO JS")</f>
        <v>BLDG 128 CODE REVRO JS</v>
      </c>
      <c r="C5267" t="str">
        <f>T("1220 PACIFIC HWY")</f>
        <v>1220 PACIFIC HWY</v>
      </c>
      <c r="D5267" t="str">
        <f t="shared" ref="D5267:D5276" si="2045">T("SAN DIEGO")</f>
        <v>SAN DIEGO</v>
      </c>
      <c r="E5267" t="str">
        <f t="shared" si="2043"/>
        <v>CA</v>
      </c>
      <c r="F5267" t="str">
        <f>T("921325190")</f>
        <v>921325190</v>
      </c>
      <c r="G5267" t="str">
        <f>T("BLDG 128 CODE REVRO JS")</f>
        <v>BLDG 128 CODE REVRO JS</v>
      </c>
      <c r="H5267" t="str">
        <f>T("1220 PACIFIC HWY")</f>
        <v>1220 PACIFIC HWY</v>
      </c>
      <c r="I5267" t="str">
        <f t="shared" ref="I5267:I5276" si="2046">T("SAN DIEGO")</f>
        <v>SAN DIEGO</v>
      </c>
      <c r="J5267" t="str">
        <f t="shared" si="2044"/>
        <v>CA</v>
      </c>
      <c r="K5267" t="str">
        <f>T("")</f>
        <v/>
      </c>
      <c r="L5267" t="str">
        <f>T("6195323839")</f>
        <v>6195323839</v>
      </c>
    </row>
    <row r="5268" spans="1:12" x14ac:dyDescent="0.35">
      <c r="A5268" t="str">
        <f t="shared" si="2031"/>
        <v>NAVFAC SOUTHWEST HL5</v>
      </c>
      <c r="B5268" t="str">
        <f>T("CENTRAL IPT")</f>
        <v>CENTRAL IPT</v>
      </c>
      <c r="C5268" t="str">
        <f>T("1220 PACIFIC HWY BLDG 128")</f>
        <v>1220 PACIFIC HWY BLDG 128</v>
      </c>
      <c r="D5268" t="str">
        <f t="shared" si="2045"/>
        <v>SAN DIEGO</v>
      </c>
      <c r="E5268" t="str">
        <f t="shared" si="2043"/>
        <v>CA</v>
      </c>
      <c r="F5268" t="str">
        <f>T("921325190")</f>
        <v>921325190</v>
      </c>
      <c r="G5268" t="str">
        <f>T("1220 PACIFIC HWY")</f>
        <v>1220 PACIFIC HWY</v>
      </c>
      <c r="H5268" t="str">
        <f>T("")</f>
        <v/>
      </c>
      <c r="I5268" t="str">
        <f t="shared" si="2046"/>
        <v>SAN DIEGO</v>
      </c>
      <c r="J5268" t="str">
        <f t="shared" si="2044"/>
        <v>CA</v>
      </c>
      <c r="K5268" t="str">
        <f>T("000000000000000000")</f>
        <v>000000000000000000</v>
      </c>
      <c r="L5268" t="str">
        <f>T("6195324716")</f>
        <v>6195324716</v>
      </c>
    </row>
    <row r="5269" spans="1:12" x14ac:dyDescent="0.35">
      <c r="A5269" t="str">
        <f t="shared" si="2031"/>
        <v>NAVFAC SOUTHWEST HL5</v>
      </c>
      <c r="B5269" t="str">
        <f>T("CENTRAL IPT")</f>
        <v>CENTRAL IPT</v>
      </c>
      <c r="C5269" t="str">
        <f>T("1220 PACIFIC HWY BLDG 128")</f>
        <v>1220 PACIFIC HWY BLDG 128</v>
      </c>
      <c r="D5269" t="str">
        <f t="shared" si="2045"/>
        <v>SAN DIEGO</v>
      </c>
      <c r="E5269" t="str">
        <f t="shared" si="2043"/>
        <v>CA</v>
      </c>
      <c r="F5269" t="str">
        <f>T("921325190")</f>
        <v>921325190</v>
      </c>
      <c r="G5269" t="str">
        <f>T("CENTRAL IPT")</f>
        <v>CENTRAL IPT</v>
      </c>
      <c r="H5269" t="str">
        <f>T("1220 PACIFIC HWY BLDG 128")</f>
        <v>1220 PACIFIC HWY BLDG 128</v>
      </c>
      <c r="I5269" t="str">
        <f t="shared" si="2046"/>
        <v>SAN DIEGO</v>
      </c>
      <c r="J5269" t="str">
        <f t="shared" si="2044"/>
        <v>CA</v>
      </c>
      <c r="K5269" t="str">
        <f>T("")</f>
        <v/>
      </c>
      <c r="L5269" t="str">
        <f>T("6195324515")</f>
        <v>6195324515</v>
      </c>
    </row>
    <row r="5270" spans="1:12" x14ac:dyDescent="0.35">
      <c r="A5270" t="str">
        <f t="shared" si="2031"/>
        <v>NAVFAC SOUTHWEST HL5</v>
      </c>
      <c r="B5270" t="str">
        <f>T("CENTRAL IPT")</f>
        <v>CENTRAL IPT</v>
      </c>
      <c r="C5270" t="str">
        <f>T("1220 PACIFIC HWY BLDG 128")</f>
        <v>1220 PACIFIC HWY BLDG 128</v>
      </c>
      <c r="D5270" t="str">
        <f t="shared" si="2045"/>
        <v>SAN DIEGO</v>
      </c>
      <c r="E5270" t="str">
        <f t="shared" si="2043"/>
        <v>CA</v>
      </c>
      <c r="F5270" t="str">
        <f>T("921325190")</f>
        <v>921325190</v>
      </c>
      <c r="G5270" t="str">
        <f>T("CENTRAL IPT CODE OPCS")</f>
        <v>CENTRAL IPT CODE OPCS</v>
      </c>
      <c r="H5270" t="str">
        <f>T("1220 PACIFIC HWY BLDG 1")</f>
        <v>1220 PACIFIC HWY BLDG 1</v>
      </c>
      <c r="I5270" t="str">
        <f t="shared" si="2046"/>
        <v>SAN DIEGO</v>
      </c>
      <c r="J5270" t="str">
        <f t="shared" si="2044"/>
        <v>CA</v>
      </c>
      <c r="K5270" t="str">
        <f>T("6195324160")</f>
        <v>6195324160</v>
      </c>
      <c r="L5270" t="str">
        <f>T("6195324818")</f>
        <v>6195324818</v>
      </c>
    </row>
    <row r="5271" spans="1:12" x14ac:dyDescent="0.35">
      <c r="A5271" t="str">
        <f t="shared" si="2031"/>
        <v>NAVFAC SOUTHWEST HL5</v>
      </c>
      <c r="B5271" t="str">
        <f>T("COASTAL IPT ROPMS 2730")</f>
        <v>COASTAL IPT ROPMS 2730</v>
      </c>
      <c r="C5271" t="str">
        <f>T("MCKEAN ST BLDG 291")</f>
        <v>MCKEAN ST BLDG 291</v>
      </c>
      <c r="D5271" t="str">
        <f t="shared" si="2045"/>
        <v>SAN DIEGO</v>
      </c>
      <c r="E5271" t="str">
        <f t="shared" si="2043"/>
        <v>CA</v>
      </c>
      <c r="F5271" t="str">
        <f>T("921360001")</f>
        <v>921360001</v>
      </c>
      <c r="G5271" t="str">
        <f>T("2730 MCKEAN ST")</f>
        <v>2730 MCKEAN ST</v>
      </c>
      <c r="H5271" t="str">
        <f>T("BLDG 291")</f>
        <v>BLDG 291</v>
      </c>
      <c r="I5271" t="str">
        <f t="shared" si="2046"/>
        <v>SAN DIEGO</v>
      </c>
      <c r="J5271" t="str">
        <f t="shared" si="2044"/>
        <v>CA</v>
      </c>
      <c r="K5271" t="str">
        <f>T("6195568929")</f>
        <v>6195568929</v>
      </c>
      <c r="L5271" t="str">
        <f>T("6195562725")</f>
        <v>6195562725</v>
      </c>
    </row>
    <row r="5272" spans="1:12" x14ac:dyDescent="0.35">
      <c r="A5272" t="str">
        <f t="shared" si="2031"/>
        <v>NAVFAC SOUTHWEST HL5</v>
      </c>
      <c r="B5272" t="str">
        <f>T("COASTAL IPT ROPMS 2730")</f>
        <v>COASTAL IPT ROPMS 2730</v>
      </c>
      <c r="C5272" t="str">
        <f>T("MCKEAN ST BLDG 291")</f>
        <v>MCKEAN ST BLDG 291</v>
      </c>
      <c r="D5272" t="str">
        <f t="shared" si="2045"/>
        <v>SAN DIEGO</v>
      </c>
      <c r="E5272" t="str">
        <f t="shared" si="2043"/>
        <v>CA</v>
      </c>
      <c r="F5272" t="str">
        <f>T("921360001")</f>
        <v>921360001</v>
      </c>
      <c r="G5272" t="str">
        <f>T("2730 MCKEAN ST")</f>
        <v>2730 MCKEAN ST</v>
      </c>
      <c r="H5272" t="str">
        <f>T("BLDG 291")</f>
        <v>BLDG 291</v>
      </c>
      <c r="I5272" t="str">
        <f t="shared" si="2046"/>
        <v>SAN DIEGO</v>
      </c>
      <c r="J5272" t="str">
        <f t="shared" si="2044"/>
        <v>CA</v>
      </c>
      <c r="K5272" t="str">
        <f>T("6195568929")</f>
        <v>6195568929</v>
      </c>
      <c r="L5272" t="str">
        <f>T("6195568936")</f>
        <v>6195568936</v>
      </c>
    </row>
    <row r="5273" spans="1:12" x14ac:dyDescent="0.35">
      <c r="A5273" t="str">
        <f t="shared" si="2031"/>
        <v>NAVFAC SOUTHWEST HL5</v>
      </c>
      <c r="B5273" t="str">
        <f>T("COASTAL IPT ROPMS 2730")</f>
        <v>COASTAL IPT ROPMS 2730</v>
      </c>
      <c r="C5273" t="str">
        <f>T("MCKEAN ST BLDG 291")</f>
        <v>MCKEAN ST BLDG 291</v>
      </c>
      <c r="D5273" t="str">
        <f t="shared" si="2045"/>
        <v>SAN DIEGO</v>
      </c>
      <c r="E5273" t="str">
        <f t="shared" si="2043"/>
        <v>CA</v>
      </c>
      <c r="F5273" t="str">
        <f>T("921360001")</f>
        <v>921360001</v>
      </c>
      <c r="G5273" t="str">
        <f>T("COASTAL IPT ROPMS 2730")</f>
        <v>COASTAL IPT ROPMS 2730</v>
      </c>
      <c r="H5273" t="str">
        <f>T("MCKEAN ST BLDG 291")</f>
        <v>MCKEAN ST BLDG 291</v>
      </c>
      <c r="I5273" t="str">
        <f t="shared" si="2046"/>
        <v>SAN DIEGO</v>
      </c>
      <c r="J5273" t="str">
        <f t="shared" si="2044"/>
        <v>CA</v>
      </c>
      <c r="K5273" t="str">
        <f>T("")</f>
        <v/>
      </c>
      <c r="L5273" t="str">
        <f>T("6195568936")</f>
        <v>6195568936</v>
      </c>
    </row>
    <row r="5274" spans="1:12" x14ac:dyDescent="0.35">
      <c r="A5274" t="str">
        <f t="shared" si="2031"/>
        <v>NAVFAC SOUTHWEST HL5</v>
      </c>
      <c r="B5274" t="str">
        <f>T("COASTAL IPT ROPMS 2730")</f>
        <v>COASTAL IPT ROPMS 2730</v>
      </c>
      <c r="C5274" t="str">
        <f>T("MCKEAN ST BLDG 291")</f>
        <v>MCKEAN ST BLDG 291</v>
      </c>
      <c r="D5274" t="str">
        <f t="shared" si="2045"/>
        <v>SAN DIEGO</v>
      </c>
      <c r="E5274" t="str">
        <f t="shared" si="2043"/>
        <v>CA</v>
      </c>
      <c r="F5274" t="str">
        <f>T("921360001")</f>
        <v>921360001</v>
      </c>
      <c r="G5274" t="str">
        <f>T("COASTAL IPT ROPMS 2730")</f>
        <v>COASTAL IPT ROPMS 2730</v>
      </c>
      <c r="H5274" t="str">
        <f>T("MCKEAN ST BLDG 291")</f>
        <v>MCKEAN ST BLDG 291</v>
      </c>
      <c r="I5274" t="str">
        <f t="shared" si="2046"/>
        <v>SAN DIEGO</v>
      </c>
      <c r="J5274" t="str">
        <f t="shared" si="2044"/>
        <v>CA</v>
      </c>
      <c r="K5274" t="str">
        <f>T("6195568929")</f>
        <v>6195568929</v>
      </c>
      <c r="L5274" t="str">
        <f>T("6195566099")</f>
        <v>6195566099</v>
      </c>
    </row>
    <row r="5275" spans="1:12" x14ac:dyDescent="0.35">
      <c r="A5275" t="str">
        <f t="shared" si="2031"/>
        <v>NAVFAC SOUTHWEST HL5</v>
      </c>
      <c r="B5275" t="str">
        <f>T("COMMAND SAFETY")</f>
        <v>COMMAND SAFETY</v>
      </c>
      <c r="C5275" t="str">
        <f>T("1220 PACIFIC HIGHWAY BLDG 132")</f>
        <v>1220 PACIFIC HIGHWAY BLDG 132</v>
      </c>
      <c r="D5275" t="str">
        <f t="shared" si="2045"/>
        <v>SAN DIEGO</v>
      </c>
      <c r="E5275" t="str">
        <f t="shared" si="2043"/>
        <v>CA</v>
      </c>
      <c r="F5275" t="str">
        <f>T("921325190")</f>
        <v>921325190</v>
      </c>
      <c r="G5275" t="str">
        <f>T("1220 PACIFIC HWY")</f>
        <v>1220 PACIFIC HWY</v>
      </c>
      <c r="H5275" t="str">
        <f>T("BLDG 132")</f>
        <v>BLDG 132</v>
      </c>
      <c r="I5275" t="str">
        <f t="shared" si="2046"/>
        <v>SAN DIEGO</v>
      </c>
      <c r="J5275" t="str">
        <f t="shared" si="2044"/>
        <v>CA</v>
      </c>
      <c r="K5275" t="str">
        <f>T("6195324060")</f>
        <v>6195324060</v>
      </c>
      <c r="L5275" t="str">
        <f>T("6195323419")</f>
        <v>6195323419</v>
      </c>
    </row>
    <row r="5276" spans="1:12" x14ac:dyDescent="0.35">
      <c r="A5276" t="str">
        <f t="shared" si="2031"/>
        <v>NAVFAC SOUTHWEST HL5</v>
      </c>
      <c r="B5276" t="str">
        <f>T("COMMAND SAFETY")</f>
        <v>COMMAND SAFETY</v>
      </c>
      <c r="C5276" t="str">
        <f>T("1220 PACIFIC HIGHWAY BLDG 132")</f>
        <v>1220 PACIFIC HIGHWAY BLDG 132</v>
      </c>
      <c r="D5276" t="str">
        <f t="shared" si="2045"/>
        <v>SAN DIEGO</v>
      </c>
      <c r="E5276" t="str">
        <f t="shared" si="2043"/>
        <v>CA</v>
      </c>
      <c r="F5276" t="str">
        <f>T("921325190")</f>
        <v>921325190</v>
      </c>
      <c r="G5276" t="str">
        <f>T("COMMAND SAFETY")</f>
        <v>COMMAND SAFETY</v>
      </c>
      <c r="H5276" t="str">
        <f>T("1220 PACIFIC HIGHWAY BLDG 132")</f>
        <v>1220 PACIFIC HIGHWAY BLDG 132</v>
      </c>
      <c r="I5276" t="str">
        <f t="shared" si="2046"/>
        <v>SAN DIEGO</v>
      </c>
      <c r="J5276" t="str">
        <f t="shared" si="2044"/>
        <v>CA</v>
      </c>
      <c r="K5276" t="str">
        <f>T("000000000000000000")</f>
        <v>000000000000000000</v>
      </c>
      <c r="L5276" t="str">
        <f>T("6195322844")</f>
        <v>6195322844</v>
      </c>
    </row>
    <row r="5277" spans="1:12" x14ac:dyDescent="0.35">
      <c r="A5277" t="str">
        <f t="shared" si="2031"/>
        <v>NAVFAC SOUTHWEST HL5</v>
      </c>
      <c r="B5277" t="str">
        <f t="shared" ref="B5277:B5283" si="2047">T("FACILITIES MAINTENANCE SUSTAINMENT")</f>
        <v>FACILITIES MAINTENANCE SUSTAINMENT</v>
      </c>
      <c r="C5277" t="str">
        <f t="shared" ref="C5277:C5283" si="2048">T("429 E BOWEN RD MS 4007 BDG 981")</f>
        <v>429 E BOWEN RD MS 4007 BDG 981</v>
      </c>
      <c r="D5277" t="str">
        <f t="shared" ref="D5277:D5283" si="2049">T("RIDGECREST")</f>
        <v>RIDGECREST</v>
      </c>
      <c r="E5277" t="str">
        <f t="shared" si="2043"/>
        <v>CA</v>
      </c>
      <c r="F5277" t="str">
        <f t="shared" ref="F5277:F5283" si="2050">T("935556108")</f>
        <v>935556108</v>
      </c>
      <c r="G5277" t="str">
        <f t="shared" ref="G5277:G5282" si="2051">T("FACILITIES MAINTENANCE  SUSTAINMENT")</f>
        <v>FACILITIES MAINTENANCE  SUSTAINMENT</v>
      </c>
      <c r="H5277" t="str">
        <f>T("429 E BOWEN RD MS 4007 BLDG 981")</f>
        <v>429 E BOWEN RD MS 4007 BLDG 981</v>
      </c>
      <c r="I5277" t="str">
        <f t="shared" ref="I5277:I5283" si="2052">T("RIDGECREST")</f>
        <v>RIDGECREST</v>
      </c>
      <c r="J5277" t="str">
        <f t="shared" si="2044"/>
        <v>CA</v>
      </c>
      <c r="K5277" t="str">
        <f>T("7609394677")</f>
        <v>7609394677</v>
      </c>
      <c r="L5277" t="str">
        <f>T("7609394022")</f>
        <v>7609394022</v>
      </c>
    </row>
    <row r="5278" spans="1:12" x14ac:dyDescent="0.35">
      <c r="A5278" t="str">
        <f t="shared" si="2031"/>
        <v>NAVFAC SOUTHWEST HL5</v>
      </c>
      <c r="B5278" t="str">
        <f t="shared" si="2047"/>
        <v>FACILITIES MAINTENANCE SUSTAINMENT</v>
      </c>
      <c r="C5278" t="str">
        <f t="shared" si="2048"/>
        <v>429 E BOWEN RD MS 4007 BDG 981</v>
      </c>
      <c r="D5278" t="str">
        <f t="shared" si="2049"/>
        <v>RIDGECREST</v>
      </c>
      <c r="E5278" t="str">
        <f t="shared" si="2043"/>
        <v>CA</v>
      </c>
      <c r="F5278" t="str">
        <f t="shared" si="2050"/>
        <v>935556108</v>
      </c>
      <c r="G5278" t="str">
        <f t="shared" si="2051"/>
        <v>FACILITIES MAINTENANCE  SUSTAINMENT</v>
      </c>
      <c r="H5278" t="str">
        <f>T("429 E BOWEN RD MS 4007 BLDG 981")</f>
        <v>429 E BOWEN RD MS 4007 BLDG 981</v>
      </c>
      <c r="I5278" t="str">
        <f t="shared" si="2052"/>
        <v>RIDGECREST</v>
      </c>
      <c r="J5278" t="str">
        <f t="shared" si="2044"/>
        <v>CA</v>
      </c>
      <c r="K5278" t="str">
        <f>T("7609398567")</f>
        <v>7609398567</v>
      </c>
      <c r="L5278" t="str">
        <f>T("7609393828")</f>
        <v>7609393828</v>
      </c>
    </row>
    <row r="5279" spans="1:12" x14ac:dyDescent="0.35">
      <c r="A5279" t="str">
        <f t="shared" si="2031"/>
        <v>NAVFAC SOUTHWEST HL5</v>
      </c>
      <c r="B5279" t="str">
        <f t="shared" si="2047"/>
        <v>FACILITIES MAINTENANCE SUSTAINMENT</v>
      </c>
      <c r="C5279" t="str">
        <f t="shared" si="2048"/>
        <v>429 E BOWEN RD MS 4007 BDG 981</v>
      </c>
      <c r="D5279" t="str">
        <f t="shared" si="2049"/>
        <v>RIDGECREST</v>
      </c>
      <c r="E5279" t="str">
        <f t="shared" si="2043"/>
        <v>CA</v>
      </c>
      <c r="F5279" t="str">
        <f t="shared" si="2050"/>
        <v>935556108</v>
      </c>
      <c r="G5279" t="str">
        <f t="shared" si="2051"/>
        <v>FACILITIES MAINTENANCE  SUSTAINMENT</v>
      </c>
      <c r="H5279" t="str">
        <f>T("429 E BOWEN RD MS 4007 BLDG 981")</f>
        <v>429 E BOWEN RD MS 4007 BLDG 981</v>
      </c>
      <c r="I5279" t="str">
        <f t="shared" si="2052"/>
        <v>RIDGECREST</v>
      </c>
      <c r="J5279" t="str">
        <f t="shared" si="2044"/>
        <v>CA</v>
      </c>
      <c r="K5279" t="str">
        <f>T("7609398567")</f>
        <v>7609398567</v>
      </c>
      <c r="L5279" t="str">
        <f>T("7609394074")</f>
        <v>7609394074</v>
      </c>
    </row>
    <row r="5280" spans="1:12" x14ac:dyDescent="0.35">
      <c r="A5280" t="str">
        <f t="shared" si="2031"/>
        <v>NAVFAC SOUTHWEST HL5</v>
      </c>
      <c r="B5280" t="str">
        <f t="shared" si="2047"/>
        <v>FACILITIES MAINTENANCE SUSTAINMENT</v>
      </c>
      <c r="C5280" t="str">
        <f t="shared" si="2048"/>
        <v>429 E BOWEN RD MS 4007 BDG 981</v>
      </c>
      <c r="D5280" t="str">
        <f t="shared" si="2049"/>
        <v>RIDGECREST</v>
      </c>
      <c r="E5280" t="str">
        <f t="shared" si="2043"/>
        <v>CA</v>
      </c>
      <c r="F5280" t="str">
        <f t="shared" si="2050"/>
        <v>935556108</v>
      </c>
      <c r="G5280" t="str">
        <f t="shared" si="2051"/>
        <v>FACILITIES MAINTENANCE  SUSTAINMENT</v>
      </c>
      <c r="H5280" t="str">
        <f>T("429 E BOWEN RD MS 4007 BLDG 981")</f>
        <v>429 E BOWEN RD MS 4007 BLDG 981</v>
      </c>
      <c r="I5280" t="str">
        <f t="shared" si="2052"/>
        <v>RIDGECREST</v>
      </c>
      <c r="J5280" t="str">
        <f t="shared" si="2044"/>
        <v>CA</v>
      </c>
      <c r="K5280" t="str">
        <f>T("7609398567")</f>
        <v>7609398567</v>
      </c>
      <c r="L5280" t="str">
        <f>T("7609394079")</f>
        <v>7609394079</v>
      </c>
    </row>
    <row r="5281" spans="1:12" x14ac:dyDescent="0.35">
      <c r="A5281" t="str">
        <f t="shared" si="2031"/>
        <v>NAVFAC SOUTHWEST HL5</v>
      </c>
      <c r="B5281" t="str">
        <f t="shared" si="2047"/>
        <v>FACILITIES MAINTENANCE SUSTAINMENT</v>
      </c>
      <c r="C5281" t="str">
        <f t="shared" si="2048"/>
        <v>429 E BOWEN RD MS 4007 BDG 981</v>
      </c>
      <c r="D5281" t="str">
        <f t="shared" si="2049"/>
        <v>RIDGECREST</v>
      </c>
      <c r="E5281" t="str">
        <f t="shared" si="2043"/>
        <v>CA</v>
      </c>
      <c r="F5281" t="str">
        <f t="shared" si="2050"/>
        <v>935556108</v>
      </c>
      <c r="G5281" t="str">
        <f t="shared" si="2051"/>
        <v>FACILITIES MAINTENANCE  SUSTAINMENT</v>
      </c>
      <c r="H5281" t="str">
        <f>T("429 E BOWEN ROAD MS 4007 BLDG 981")</f>
        <v>429 E BOWEN ROAD MS 4007 BLDG 981</v>
      </c>
      <c r="I5281" t="str">
        <f t="shared" si="2052"/>
        <v>RIDGECREST</v>
      </c>
      <c r="J5281" t="str">
        <f t="shared" si="2044"/>
        <v>CA</v>
      </c>
      <c r="K5281" t="str">
        <f>T("7609390257")</f>
        <v>7609390257</v>
      </c>
      <c r="L5281" t="str">
        <f>T("7609394347")</f>
        <v>7609394347</v>
      </c>
    </row>
    <row r="5282" spans="1:12" x14ac:dyDescent="0.35">
      <c r="A5282" t="str">
        <f t="shared" si="2031"/>
        <v>NAVFAC SOUTHWEST HL5</v>
      </c>
      <c r="B5282" t="str">
        <f t="shared" si="2047"/>
        <v>FACILITIES MAINTENANCE SUSTAINMENT</v>
      </c>
      <c r="C5282" t="str">
        <f t="shared" si="2048"/>
        <v>429 E BOWEN RD MS 4007 BDG 981</v>
      </c>
      <c r="D5282" t="str">
        <f t="shared" si="2049"/>
        <v>RIDGECREST</v>
      </c>
      <c r="E5282" t="str">
        <f t="shared" si="2043"/>
        <v>CA</v>
      </c>
      <c r="F5282" t="str">
        <f t="shared" si="2050"/>
        <v>935556108</v>
      </c>
      <c r="G5282" t="str">
        <f t="shared" si="2051"/>
        <v>FACILITIES MAINTENANCE  SUSTAINMENT</v>
      </c>
      <c r="H5282" t="str">
        <f>T("429 E BOWEN ROAD MS 4007 BLDG 981")</f>
        <v>429 E BOWEN ROAD MS 4007 BLDG 981</v>
      </c>
      <c r="I5282" t="str">
        <f t="shared" si="2052"/>
        <v>RIDGECREST</v>
      </c>
      <c r="J5282" t="str">
        <f t="shared" si="2044"/>
        <v>CA</v>
      </c>
      <c r="K5282" t="str">
        <f>T("7609399489")</f>
        <v>7609399489</v>
      </c>
      <c r="L5282" t="str">
        <f>T("7609399485")</f>
        <v>7609399485</v>
      </c>
    </row>
    <row r="5283" spans="1:12" x14ac:dyDescent="0.35">
      <c r="A5283" t="str">
        <f t="shared" si="2031"/>
        <v>NAVFAC SOUTHWEST HL5</v>
      </c>
      <c r="B5283" t="str">
        <f t="shared" si="2047"/>
        <v>FACILITIES MAINTENANCE SUSTAINMENT</v>
      </c>
      <c r="C5283" t="str">
        <f t="shared" si="2048"/>
        <v>429 E BOWEN RD MS 4007 BDG 981</v>
      </c>
      <c r="D5283" t="str">
        <f t="shared" si="2049"/>
        <v>RIDGECREST</v>
      </c>
      <c r="E5283" t="str">
        <f t="shared" si="2043"/>
        <v>CA</v>
      </c>
      <c r="F5283" t="str">
        <f t="shared" si="2050"/>
        <v>935556108</v>
      </c>
      <c r="G5283" t="str">
        <f>T("FACILITIES MAINTENANCE SUSTAINMENT")</f>
        <v>FACILITIES MAINTENANCE SUSTAINMENT</v>
      </c>
      <c r="H5283" t="str">
        <f>T("429 E BOWEN RD MS 4007 BDG 981")</f>
        <v>429 E BOWEN RD MS 4007 BDG 981</v>
      </c>
      <c r="I5283" t="str">
        <f t="shared" si="2052"/>
        <v>RIDGECREST</v>
      </c>
      <c r="J5283" t="str">
        <f t="shared" si="2044"/>
        <v>CA</v>
      </c>
      <c r="K5283" t="str">
        <f>T("000000000000000000")</f>
        <v>000000000000000000</v>
      </c>
      <c r="L5283" t="str">
        <f>T("7609399196")</f>
        <v>7609399196</v>
      </c>
    </row>
    <row r="5284" spans="1:12" x14ac:dyDescent="0.35">
      <c r="A5284" t="str">
        <f t="shared" si="2031"/>
        <v>NAVFAC SOUTHWEST HL5</v>
      </c>
      <c r="B5284" t="str">
        <f>T("FEAD PUBLIC WORKS")</f>
        <v>FEAD PUBLIC WORKS</v>
      </c>
      <c r="C5284" t="str">
        <f>T("1205 MILL ROAD BLDG 850")</f>
        <v>1205 MILL ROAD BLDG 850</v>
      </c>
      <c r="D5284" t="str">
        <f>T("PORT HUENEME")</f>
        <v>PORT HUENEME</v>
      </c>
      <c r="E5284" t="str">
        <f t="shared" si="2043"/>
        <v>CA</v>
      </c>
      <c r="F5284" t="str">
        <f>T("930434440")</f>
        <v>930434440</v>
      </c>
      <c r="G5284" t="str">
        <f>T("FEAD PUBLIC WORKS")</f>
        <v>FEAD PUBLIC WORKS</v>
      </c>
      <c r="H5284" t="str">
        <f>T("1205 MILL ROAD BLDG 850")</f>
        <v>1205 MILL ROAD BLDG 850</v>
      </c>
      <c r="I5284" t="str">
        <f>T("PORT HUENEME")</f>
        <v>PORT HUENEME</v>
      </c>
      <c r="J5284" t="str">
        <f t="shared" si="2044"/>
        <v>CA</v>
      </c>
      <c r="K5284" t="str">
        <f>T("000000000000000000")</f>
        <v>000000000000000000</v>
      </c>
      <c r="L5284" t="str">
        <f>T("8059824313")</f>
        <v>8059824313</v>
      </c>
    </row>
    <row r="5285" spans="1:12" x14ac:dyDescent="0.35">
      <c r="A5285" t="str">
        <f t="shared" si="2031"/>
        <v>NAVFAC SOUTHWEST HL5</v>
      </c>
      <c r="B5285" t="str">
        <f>T("FEAD PUBLIC WORKS")</f>
        <v>FEAD PUBLIC WORKS</v>
      </c>
      <c r="C5285" t="str">
        <f>T("1205 MILL ROAD BLDG 850")</f>
        <v>1205 MILL ROAD BLDG 850</v>
      </c>
      <c r="D5285" t="str">
        <f>T("PORT HUENEME")</f>
        <v>PORT HUENEME</v>
      </c>
      <c r="E5285" t="str">
        <f t="shared" si="2043"/>
        <v>CA</v>
      </c>
      <c r="F5285" t="str">
        <f>T("930434440")</f>
        <v>930434440</v>
      </c>
      <c r="G5285" t="str">
        <f>T("FEAD PUBLIC WORKS")</f>
        <v>FEAD PUBLIC WORKS</v>
      </c>
      <c r="H5285" t="str">
        <f>T("1205 MILL ROAD BLDG 850")</f>
        <v>1205 MILL ROAD BLDG 850</v>
      </c>
      <c r="I5285" t="str">
        <f>T("PORT HUENEME")</f>
        <v>PORT HUENEME</v>
      </c>
      <c r="J5285" t="str">
        <f t="shared" si="2044"/>
        <v>CA</v>
      </c>
      <c r="K5285" t="str">
        <f>T("8059825026")</f>
        <v>8059825026</v>
      </c>
      <c r="L5285" t="str">
        <f>T("8059822901")</f>
        <v>8059822901</v>
      </c>
    </row>
    <row r="5286" spans="1:12" x14ac:dyDescent="0.35">
      <c r="A5286" t="str">
        <f t="shared" si="2031"/>
        <v>NAVFAC SOUTHWEST HL5</v>
      </c>
      <c r="B5286" t="str">
        <f>T("MCLB BLDG 198")</f>
        <v>MCLB BLDG 198</v>
      </c>
      <c r="C5286" t="str">
        <f>T("")</f>
        <v/>
      </c>
      <c r="D5286" t="str">
        <f>T("BARSTOW")</f>
        <v>BARSTOW</v>
      </c>
      <c r="E5286" t="str">
        <f t="shared" ref="E5286:E5317" si="2053">T("CA")</f>
        <v>CA</v>
      </c>
      <c r="F5286" t="str">
        <f>T("923110000")</f>
        <v>923110000</v>
      </c>
      <c r="G5286" t="str">
        <f>T("MCLB BLDG 198")</f>
        <v>MCLB BLDG 198</v>
      </c>
      <c r="H5286" t="str">
        <f>T("")</f>
        <v/>
      </c>
      <c r="I5286" t="str">
        <f>T("BARSTOW")</f>
        <v>BARSTOW</v>
      </c>
      <c r="J5286" t="str">
        <f t="shared" ref="J5286:J5317" si="2054">T("CA")</f>
        <v>CA</v>
      </c>
      <c r="K5286" t="str">
        <f>T("")</f>
        <v/>
      </c>
      <c r="L5286" t="str">
        <f>T("7605776496")</f>
        <v>7605776496</v>
      </c>
    </row>
    <row r="5287" spans="1:12" x14ac:dyDescent="0.35">
      <c r="A5287" t="str">
        <f t="shared" si="2031"/>
        <v>NAVFAC SOUTHWEST HL5</v>
      </c>
      <c r="B5287" t="str">
        <f>T("MCLB BLDG 198")</f>
        <v>MCLB BLDG 198</v>
      </c>
      <c r="C5287" t="str">
        <f>T("")</f>
        <v/>
      </c>
      <c r="D5287" t="str">
        <f>T("BARSTOW")</f>
        <v>BARSTOW</v>
      </c>
      <c r="E5287" t="str">
        <f t="shared" si="2053"/>
        <v>CA</v>
      </c>
      <c r="F5287" t="str">
        <f>T("923110000")</f>
        <v>923110000</v>
      </c>
      <c r="G5287" t="str">
        <f>T("MCLB ROICC BARSTOW BLDG 198")</f>
        <v>MCLB ROICC BARSTOW BLDG 198</v>
      </c>
      <c r="H5287" t="str">
        <f>T("")</f>
        <v/>
      </c>
      <c r="I5287" t="str">
        <f>T("BARSTOW")</f>
        <v>BARSTOW</v>
      </c>
      <c r="J5287" t="str">
        <f t="shared" si="2054"/>
        <v>CA</v>
      </c>
      <c r="K5287" t="str">
        <f>T("7605776633")</f>
        <v>7605776633</v>
      </c>
      <c r="L5287" t="str">
        <f>T("7605776214")</f>
        <v>7605776214</v>
      </c>
    </row>
    <row r="5288" spans="1:12" x14ac:dyDescent="0.35">
      <c r="A5288" t="str">
        <f t="shared" si="2031"/>
        <v>NAVFAC SOUTHWEST HL5</v>
      </c>
      <c r="B5288" t="str">
        <f>T("NAS LEMOORE")</f>
        <v>NAS LEMOORE</v>
      </c>
      <c r="C5288" t="str">
        <f>T("750 ENTERPRISE AVE")</f>
        <v>750 ENTERPRISE AVE</v>
      </c>
      <c r="D5288" t="str">
        <f>T("LEMOORE")</f>
        <v>LEMOORE</v>
      </c>
      <c r="E5288" t="str">
        <f t="shared" si="2053"/>
        <v>CA</v>
      </c>
      <c r="F5288" t="str">
        <f>T("932466303")</f>
        <v>932466303</v>
      </c>
      <c r="G5288" t="str">
        <f>T("750 ENTERPRISE AVE.")</f>
        <v>750 ENTERPRISE AVE.</v>
      </c>
      <c r="H5288" t="str">
        <f>T("BLDG 750")</f>
        <v>BLDG 750</v>
      </c>
      <c r="I5288" t="str">
        <f>T("LEMOORE")</f>
        <v>LEMOORE</v>
      </c>
      <c r="J5288" t="str">
        <f t="shared" si="2054"/>
        <v>CA</v>
      </c>
      <c r="K5288" t="str">
        <f>T("000000000000000000")</f>
        <v>000000000000000000</v>
      </c>
      <c r="L5288" t="str">
        <f>T("5599983846")</f>
        <v>5599983846</v>
      </c>
    </row>
    <row r="5289" spans="1:12" x14ac:dyDescent="0.35">
      <c r="A5289" t="str">
        <f t="shared" ref="A5289:A5352" si="2055">T("NAVFAC SOUTHWEST HL5")</f>
        <v>NAVFAC SOUTHWEST HL5</v>
      </c>
      <c r="B5289" t="str">
        <f>T("NAS LEMOORE")</f>
        <v>NAS LEMOORE</v>
      </c>
      <c r="C5289" t="str">
        <f>T("750 ENTERPRISE AVE")</f>
        <v>750 ENTERPRISE AVE</v>
      </c>
      <c r="D5289" t="str">
        <f>T("LEMOORE")</f>
        <v>LEMOORE</v>
      </c>
      <c r="E5289" t="str">
        <f t="shared" si="2053"/>
        <v>CA</v>
      </c>
      <c r="F5289" t="str">
        <f>T("932466303")</f>
        <v>932466303</v>
      </c>
      <c r="G5289" t="str">
        <f>T("NAS LEMOORE")</f>
        <v>NAS LEMOORE</v>
      </c>
      <c r="H5289" t="str">
        <f>T("750 ENTERPRISE AVE")</f>
        <v>750 ENTERPRISE AVE</v>
      </c>
      <c r="I5289" t="str">
        <f>T("LEMOORE")</f>
        <v>LEMOORE</v>
      </c>
      <c r="J5289" t="str">
        <f t="shared" si="2054"/>
        <v>CA</v>
      </c>
      <c r="K5289" t="str">
        <f>T("5599981835")</f>
        <v>5599981835</v>
      </c>
      <c r="L5289" t="str">
        <f>T("5599984132")</f>
        <v>5599984132</v>
      </c>
    </row>
    <row r="5290" spans="1:12" x14ac:dyDescent="0.35">
      <c r="A5290" t="str">
        <f t="shared" si="2055"/>
        <v>NAVFAC SOUTHWEST HL5</v>
      </c>
      <c r="B5290" t="str">
        <f>T("NAS LEMOORE")</f>
        <v>NAS LEMOORE</v>
      </c>
      <c r="C5290" t="str">
        <f>T("750 ENTERPRISE AVE")</f>
        <v>750 ENTERPRISE AVE</v>
      </c>
      <c r="D5290" t="str">
        <f>T("LEMOORE")</f>
        <v>LEMOORE</v>
      </c>
      <c r="E5290" t="str">
        <f t="shared" si="2053"/>
        <v>CA</v>
      </c>
      <c r="F5290" t="str">
        <f>T("932466303")</f>
        <v>932466303</v>
      </c>
      <c r="G5290" t="str">
        <f>T("NAS LEMOORE")</f>
        <v>NAS LEMOORE</v>
      </c>
      <c r="H5290" t="str">
        <f>T("750 ENTERPRISE AVE")</f>
        <v>750 ENTERPRISE AVE</v>
      </c>
      <c r="I5290" t="str">
        <f>T("LEMOORE")</f>
        <v>LEMOORE</v>
      </c>
      <c r="J5290" t="str">
        <f t="shared" si="2054"/>
        <v>CA</v>
      </c>
      <c r="K5290" t="str">
        <f>T("5599984132")</f>
        <v>5599984132</v>
      </c>
      <c r="L5290" t="str">
        <f>T("5593818778")</f>
        <v>5593818778</v>
      </c>
    </row>
    <row r="5291" spans="1:12" x14ac:dyDescent="0.35">
      <c r="A5291" t="str">
        <f t="shared" si="2055"/>
        <v>NAVFAC SOUTHWEST HL5</v>
      </c>
      <c r="B5291" t="str">
        <f>T("NAS LEMOORE")</f>
        <v>NAS LEMOORE</v>
      </c>
      <c r="C5291" t="str">
        <f>T("750 ENTERPRISE AVE")</f>
        <v>750 ENTERPRISE AVE</v>
      </c>
      <c r="D5291" t="str">
        <f>T("LEMOORE")</f>
        <v>LEMOORE</v>
      </c>
      <c r="E5291" t="str">
        <f t="shared" si="2053"/>
        <v>CA</v>
      </c>
      <c r="F5291" t="str">
        <f>T("932466303")</f>
        <v>932466303</v>
      </c>
      <c r="G5291" t="str">
        <f>T("PW/NAS LEMOORE")</f>
        <v>PW/NAS LEMOORE</v>
      </c>
      <c r="H5291" t="str">
        <f>T("BLDG 750 PUBLIC WORKS")</f>
        <v>BLDG 750 PUBLIC WORKS</v>
      </c>
      <c r="I5291" t="str">
        <f>T("LEMOORE")</f>
        <v>LEMOORE</v>
      </c>
      <c r="J5291" t="str">
        <f t="shared" si="2054"/>
        <v>CA</v>
      </c>
      <c r="K5291" t="str">
        <f>T("000000000000000000")</f>
        <v>000000000000000000</v>
      </c>
      <c r="L5291" t="str">
        <f>T("5599984105")</f>
        <v>5599984105</v>
      </c>
    </row>
    <row r="5292" spans="1:12" x14ac:dyDescent="0.35">
      <c r="A5292" t="str">
        <f t="shared" si="2055"/>
        <v>NAVFAC SOUTHWEST HL5</v>
      </c>
      <c r="B5292" t="str">
        <f>T("NAVAL BASE CORONADO")</f>
        <v>NAVAL BASE CORONADO</v>
      </c>
      <c r="C5292" t="str">
        <f>T("PO BOX 357007")</f>
        <v>PO BOX 357007</v>
      </c>
      <c r="D5292" t="str">
        <f>T("SAN DIEGO")</f>
        <v>SAN DIEGO</v>
      </c>
      <c r="E5292" t="str">
        <f t="shared" si="2053"/>
        <v>CA</v>
      </c>
      <c r="F5292" t="str">
        <f>T("921357007")</f>
        <v>921357007</v>
      </c>
      <c r="G5292" t="str">
        <f>T("CORONADO FEAD/CODE ROPMN BLDG 343")</f>
        <v>CORONADO FEAD/CODE ROPMN BLDG 343</v>
      </c>
      <c r="H5292" t="str">
        <f>T("NAS NORTH ISLAND PO BOX 357007")</f>
        <v>NAS NORTH ISLAND PO BOX 357007</v>
      </c>
      <c r="I5292" t="str">
        <f>T("SAN DIEGO")</f>
        <v>SAN DIEGO</v>
      </c>
      <c r="J5292" t="str">
        <f t="shared" si="2054"/>
        <v>CA</v>
      </c>
      <c r="K5292" t="str">
        <f>T("6195458557")</f>
        <v>6195458557</v>
      </c>
      <c r="L5292" t="str">
        <f>T("6195459416")</f>
        <v>6195459416</v>
      </c>
    </row>
    <row r="5293" spans="1:12" x14ac:dyDescent="0.35">
      <c r="A5293" t="str">
        <f t="shared" si="2055"/>
        <v>NAVFAC SOUTHWEST HL5</v>
      </c>
      <c r="B5293" t="str">
        <f>T("NAVAL BASE CORONADO")</f>
        <v>NAVAL BASE CORONADO</v>
      </c>
      <c r="C5293" t="str">
        <f>T("PO BOX 357007")</f>
        <v>PO BOX 357007</v>
      </c>
      <c r="D5293" t="str">
        <f>T("SAN DIEGO")</f>
        <v>SAN DIEGO</v>
      </c>
      <c r="E5293" t="str">
        <f t="shared" si="2053"/>
        <v>CA</v>
      </c>
      <c r="F5293" t="str">
        <f>T("921357007")</f>
        <v>921357007</v>
      </c>
      <c r="G5293" t="str">
        <f>T("FEAD CORONADO BLDG 343")</f>
        <v>FEAD CORONADO BLDG 343</v>
      </c>
      <c r="H5293" t="str">
        <f>T("NASNI BOX 357007")</f>
        <v>NASNI BOX 357007</v>
      </c>
      <c r="I5293" t="str">
        <f>T("SAN DIEGO")</f>
        <v>SAN DIEGO</v>
      </c>
      <c r="J5293" t="str">
        <f t="shared" si="2054"/>
        <v>CA</v>
      </c>
      <c r="K5293" t="str">
        <f>T("000000000000000000")</f>
        <v>000000000000000000</v>
      </c>
      <c r="L5293" t="str">
        <f>T("6195455740")</f>
        <v>6195455740</v>
      </c>
    </row>
    <row r="5294" spans="1:12" x14ac:dyDescent="0.35">
      <c r="A5294" t="str">
        <f t="shared" si="2055"/>
        <v>NAVFAC SOUTHWEST HL5</v>
      </c>
      <c r="B5294" t="str">
        <f>T("NAVAL BASE CORONADO")</f>
        <v>NAVAL BASE CORONADO</v>
      </c>
      <c r="C5294" t="str">
        <f>T("PO BOX 357007")</f>
        <v>PO BOX 357007</v>
      </c>
      <c r="D5294" t="str">
        <f>T("SAN DIEGO")</f>
        <v>SAN DIEGO</v>
      </c>
      <c r="E5294" t="str">
        <f t="shared" si="2053"/>
        <v>CA</v>
      </c>
      <c r="F5294" t="str">
        <f>T("921357007")</f>
        <v>921357007</v>
      </c>
      <c r="G5294" t="str">
        <f>T("NAVAL BASE CORONADO")</f>
        <v>NAVAL BASE CORONADO</v>
      </c>
      <c r="H5294" t="str">
        <f>T("PO BOX 357007")</f>
        <v>PO BOX 357007</v>
      </c>
      <c r="I5294" t="str">
        <f>T("SAN DIEGO")</f>
        <v>SAN DIEGO</v>
      </c>
      <c r="J5294" t="str">
        <f t="shared" si="2054"/>
        <v>CA</v>
      </c>
      <c r="K5294" t="str">
        <f>T("")</f>
        <v/>
      </c>
      <c r="L5294" t="str">
        <f>T("6195454902")</f>
        <v>6195454902</v>
      </c>
    </row>
    <row r="5295" spans="1:12" x14ac:dyDescent="0.35">
      <c r="A5295" t="str">
        <f t="shared" si="2055"/>
        <v>NAVFAC SOUTHWEST HL5</v>
      </c>
      <c r="B5295" t="str">
        <f>T("NAVAL BASE SAN DIEGO BLD 3212")</f>
        <v>NAVAL BASE SAN DIEGO BLD 3212</v>
      </c>
      <c r="C5295" t="str">
        <f>T("1220 PACIFIC HWY")</f>
        <v>1220 PACIFIC HWY</v>
      </c>
      <c r="D5295" t="str">
        <f>T("SAN DIEGO")</f>
        <v>SAN DIEGO</v>
      </c>
      <c r="E5295" t="str">
        <f t="shared" si="2053"/>
        <v>CA</v>
      </c>
      <c r="F5295" t="str">
        <f>T("921325190")</f>
        <v>921325190</v>
      </c>
      <c r="G5295" t="str">
        <f>T("NAVAL BASE SAN DIEGO BLD 3212")</f>
        <v>NAVAL BASE SAN DIEGO BLD 3212</v>
      </c>
      <c r="H5295" t="str">
        <f>T("1220 PACIFIC HWY")</f>
        <v>1220 PACIFIC HWY</v>
      </c>
      <c r="I5295" t="str">
        <f>T("SAN DIEGO")</f>
        <v>SAN DIEGO</v>
      </c>
      <c r="J5295" t="str">
        <f t="shared" si="2054"/>
        <v>CA</v>
      </c>
      <c r="K5295" t="str">
        <f>T("6195567352")</f>
        <v>6195567352</v>
      </c>
      <c r="L5295" t="str">
        <f>T("6195568994")</f>
        <v>6195568994</v>
      </c>
    </row>
    <row r="5296" spans="1:12" x14ac:dyDescent="0.35">
      <c r="A5296" t="str">
        <f t="shared" si="2055"/>
        <v>NAVFAC SOUTHWEST HL5</v>
      </c>
      <c r="B5296" t="str">
        <f>T("NAVAL BASE SAN DIEGO BLD 3212")</f>
        <v>NAVAL BASE SAN DIEGO BLD 3212</v>
      </c>
      <c r="C5296" t="str">
        <f>T("1220 PACIFIC HWY")</f>
        <v>1220 PACIFIC HWY</v>
      </c>
      <c r="D5296" t="str">
        <f>T("SAN DIEGO")</f>
        <v>SAN DIEGO</v>
      </c>
      <c r="E5296" t="str">
        <f t="shared" si="2053"/>
        <v>CA</v>
      </c>
      <c r="F5296" t="str">
        <f>T("921325190")</f>
        <v>921325190</v>
      </c>
      <c r="G5296" t="str">
        <f>T("NAVAL BASE SAN DIEGO BLDG 3212")</f>
        <v>NAVAL BASE SAN DIEGO BLDG 3212</v>
      </c>
      <c r="H5296" t="str">
        <f>T("1220 PACIFIC HWY")</f>
        <v>1220 PACIFIC HWY</v>
      </c>
      <c r="I5296" t="str">
        <f>T("SAN DIEGO")</f>
        <v>SAN DIEGO</v>
      </c>
      <c r="J5296" t="str">
        <f t="shared" si="2054"/>
        <v>CA</v>
      </c>
      <c r="K5296" t="str">
        <f>T("6195567352")</f>
        <v>6195567352</v>
      </c>
      <c r="L5296" t="str">
        <f>T("6195569664")</f>
        <v>6195569664</v>
      </c>
    </row>
    <row r="5297" spans="1:12" x14ac:dyDescent="0.35">
      <c r="A5297" t="str">
        <f t="shared" si="2055"/>
        <v>NAVFAC SOUTHWEST HL5</v>
      </c>
      <c r="B5297" t="str">
        <f>T("NAVFAC ROICC CAMP PENDLETON")</f>
        <v>NAVFAC ROICC CAMP PENDLETON</v>
      </c>
      <c r="C5297" t="str">
        <f>T("BLDG 22101 BOX 55229")</f>
        <v>BLDG 22101 BOX 55229</v>
      </c>
      <c r="D5297" t="str">
        <f>T("CMP PENDLETON")</f>
        <v>CMP PENDLETON</v>
      </c>
      <c r="E5297" t="str">
        <f t="shared" si="2053"/>
        <v>CA</v>
      </c>
      <c r="F5297" t="str">
        <f>T("920555200")</f>
        <v>920555200</v>
      </c>
      <c r="G5297" t="str">
        <f>T("BLDG 22101 9TH STREET")</f>
        <v>BLDG 22101 9TH STREET</v>
      </c>
      <c r="H5297" t="str">
        <f>T("")</f>
        <v/>
      </c>
      <c r="I5297" t="str">
        <f>T("CAMP PENDLETON")</f>
        <v>CAMP PENDLETON</v>
      </c>
      <c r="J5297" t="str">
        <f t="shared" si="2054"/>
        <v>CA</v>
      </c>
      <c r="K5297" t="str">
        <f>T("7607258210")</f>
        <v>7607258210</v>
      </c>
      <c r="L5297" t="str">
        <f>T("7607637759")</f>
        <v>7607637759</v>
      </c>
    </row>
    <row r="5298" spans="1:12" x14ac:dyDescent="0.35">
      <c r="A5298" t="str">
        <f t="shared" si="2055"/>
        <v>NAVFAC SOUTHWEST HL5</v>
      </c>
      <c r="B5298" t="str">
        <f>T("NAVFAC ROICC CAMP PENDLETON")</f>
        <v>NAVFAC ROICC CAMP PENDLETON</v>
      </c>
      <c r="C5298" t="str">
        <f>T("BLDG 22101 BOX 55229")</f>
        <v>BLDG 22101 BOX 55229</v>
      </c>
      <c r="D5298" t="str">
        <f>T("CMP PENDLETON")</f>
        <v>CMP PENDLETON</v>
      </c>
      <c r="E5298" t="str">
        <f t="shared" si="2053"/>
        <v>CA</v>
      </c>
      <c r="F5298" t="str">
        <f>T("920555200")</f>
        <v>920555200</v>
      </c>
      <c r="G5298" t="str">
        <f>T("NAVFAC ROICC CAMP PENDLETON")</f>
        <v>NAVFAC ROICC CAMP PENDLETON</v>
      </c>
      <c r="H5298" t="str">
        <f>T("BLDG 22101 BOX 55229")</f>
        <v>BLDG 22101 BOX 55229</v>
      </c>
      <c r="I5298" t="str">
        <f>T("CMP PENDLETON")</f>
        <v>CMP PENDLETON</v>
      </c>
      <c r="J5298" t="str">
        <f t="shared" si="2054"/>
        <v>CA</v>
      </c>
      <c r="K5298" t="str">
        <f>T("760-725-8210")</f>
        <v>760-725-8210</v>
      </c>
      <c r="L5298" t="str">
        <f>T("7607258216")</f>
        <v>7607258216</v>
      </c>
    </row>
    <row r="5299" spans="1:12" x14ac:dyDescent="0.35">
      <c r="A5299" t="str">
        <f t="shared" si="2055"/>
        <v>NAVFAC SOUTHWEST HL5</v>
      </c>
      <c r="B5299" t="str">
        <f>T("NAVFAC ROICC CAMP PENDLETON")</f>
        <v>NAVFAC ROICC CAMP PENDLETON</v>
      </c>
      <c r="C5299" t="str">
        <f>T("BLDG 22101 BOX 55229")</f>
        <v>BLDG 22101 BOX 55229</v>
      </c>
      <c r="D5299" t="str">
        <f>T("CMP PENDLETON")</f>
        <v>CMP PENDLETON</v>
      </c>
      <c r="E5299" t="str">
        <f t="shared" si="2053"/>
        <v>CA</v>
      </c>
      <c r="F5299" t="str">
        <f>T("920555200")</f>
        <v>920555200</v>
      </c>
      <c r="G5299" t="str">
        <f>T("NAVFAC ROICC CAMP PENDLETON")</f>
        <v>NAVFAC ROICC CAMP PENDLETON</v>
      </c>
      <c r="H5299" t="str">
        <f>T("BLDG 22101 PO BOX 55229")</f>
        <v>BLDG 22101 PO BOX 55229</v>
      </c>
      <c r="I5299" t="str">
        <f>T("CAMP PENDLETON")</f>
        <v>CAMP PENDLETON</v>
      </c>
      <c r="J5299" t="str">
        <f t="shared" si="2054"/>
        <v>CA</v>
      </c>
      <c r="K5299" t="str">
        <f>T("7607258210")</f>
        <v>7607258210</v>
      </c>
      <c r="L5299" t="str">
        <f>T("7607258202")</f>
        <v>7607258202</v>
      </c>
    </row>
    <row r="5300" spans="1:12" x14ac:dyDescent="0.35">
      <c r="A5300" t="str">
        <f t="shared" si="2055"/>
        <v>NAVFAC SOUTHWEST HL5</v>
      </c>
      <c r="B5300" t="str">
        <f t="shared" ref="B5300:B5305" si="2056">T("NAVFAC SW")</f>
        <v>NAVFAC SW</v>
      </c>
      <c r="C5300" t="str">
        <f>T("1220 PACIFIC HIGHWAY")</f>
        <v>1220 PACIFIC HIGHWAY</v>
      </c>
      <c r="D5300" t="str">
        <f t="shared" ref="D5300:D5310" si="2057">T("SAN DIEGO")</f>
        <v>SAN DIEGO</v>
      </c>
      <c r="E5300" t="str">
        <f t="shared" si="2053"/>
        <v>CA</v>
      </c>
      <c r="F5300" t="str">
        <f>T("921325190")</f>
        <v>921325190</v>
      </c>
      <c r="G5300" t="str">
        <f>T("1220 PACIFIC HWY")</f>
        <v>1220 PACIFIC HWY</v>
      </c>
      <c r="H5300" t="str">
        <f>T("WRUP76")</f>
        <v>WRUP76</v>
      </c>
      <c r="I5300" t="str">
        <f t="shared" ref="I5300:I5310" si="2058">T("SAN DIEGO")</f>
        <v>SAN DIEGO</v>
      </c>
      <c r="J5300" t="str">
        <f t="shared" si="2054"/>
        <v>CA</v>
      </c>
      <c r="K5300" t="str">
        <f>T("000000000000000000")</f>
        <v>000000000000000000</v>
      </c>
      <c r="L5300" t="str">
        <f>T("6195568682")</f>
        <v>6195568682</v>
      </c>
    </row>
    <row r="5301" spans="1:12" x14ac:dyDescent="0.35">
      <c r="A5301" t="str">
        <f t="shared" si="2055"/>
        <v>NAVFAC SOUTHWEST HL5</v>
      </c>
      <c r="B5301" t="str">
        <f t="shared" si="2056"/>
        <v>NAVFAC SW</v>
      </c>
      <c r="C5301" t="str">
        <f>T("1220 PACIFIC HIGHWAY")</f>
        <v>1220 PACIFIC HIGHWAY</v>
      </c>
      <c r="D5301" t="str">
        <f t="shared" si="2057"/>
        <v>SAN DIEGO</v>
      </c>
      <c r="E5301" t="str">
        <f t="shared" si="2053"/>
        <v>CA</v>
      </c>
      <c r="F5301" t="str">
        <f>T("921325190")</f>
        <v>921325190</v>
      </c>
      <c r="G5301" t="str">
        <f>T("NAVFAC SW")</f>
        <v>NAVFAC SW</v>
      </c>
      <c r="H5301" t="str">
        <f>T("1220 PACIFIC HIGHWAY")</f>
        <v>1220 PACIFIC HIGHWAY</v>
      </c>
      <c r="I5301" t="str">
        <f t="shared" si="2058"/>
        <v>SAN DIEGO</v>
      </c>
      <c r="J5301" t="str">
        <f t="shared" si="2054"/>
        <v>CA</v>
      </c>
      <c r="K5301" t="str">
        <f>T("")</f>
        <v/>
      </c>
      <c r="L5301" t="str">
        <f>T("6195567608")</f>
        <v>6195567608</v>
      </c>
    </row>
    <row r="5302" spans="1:12" x14ac:dyDescent="0.35">
      <c r="A5302" t="str">
        <f t="shared" si="2055"/>
        <v>NAVFAC SOUTHWEST HL5</v>
      </c>
      <c r="B5302" t="str">
        <f t="shared" si="2056"/>
        <v>NAVFAC SW</v>
      </c>
      <c r="C5302" t="str">
        <f>T("4635 PACIFIC HIGHWAY")</f>
        <v>4635 PACIFIC HIGHWAY</v>
      </c>
      <c r="D5302" t="str">
        <f t="shared" si="2057"/>
        <v>SAN DIEGO</v>
      </c>
      <c r="E5302" t="str">
        <f t="shared" si="2053"/>
        <v>CA</v>
      </c>
      <c r="F5302" t="str">
        <f>T("921102756")</f>
        <v>921102756</v>
      </c>
      <c r="G5302" t="str">
        <f>T("1220 PACIFIC HWY")</f>
        <v>1220 PACIFIC HWY</v>
      </c>
      <c r="H5302" t="str">
        <f>T("BUILDING 2")</f>
        <v>BUILDING 2</v>
      </c>
      <c r="I5302" t="str">
        <f t="shared" si="2058"/>
        <v>SAN DIEGO</v>
      </c>
      <c r="J5302" t="str">
        <f t="shared" si="2054"/>
        <v>CA</v>
      </c>
      <c r="K5302" t="str">
        <f>T("000000000000000000")</f>
        <v>000000000000000000</v>
      </c>
      <c r="L5302" t="str">
        <f>T("6195248573")</f>
        <v>6195248573</v>
      </c>
    </row>
    <row r="5303" spans="1:12" x14ac:dyDescent="0.35">
      <c r="A5303" t="str">
        <f t="shared" si="2055"/>
        <v>NAVFAC SOUTHWEST HL5</v>
      </c>
      <c r="B5303" t="str">
        <f t="shared" si="2056"/>
        <v>NAVFAC SW</v>
      </c>
      <c r="C5303" t="str">
        <f>T("4635 PACIFIC HIGHWAY")</f>
        <v>4635 PACIFIC HIGHWAY</v>
      </c>
      <c r="D5303" t="str">
        <f t="shared" si="2057"/>
        <v>SAN DIEGO</v>
      </c>
      <c r="E5303" t="str">
        <f t="shared" si="2053"/>
        <v>CA</v>
      </c>
      <c r="F5303" t="str">
        <f>T("921102756")</f>
        <v>921102756</v>
      </c>
      <c r="G5303" t="str">
        <f>T("1220 PACIFIC HWY")</f>
        <v>1220 PACIFIC HWY</v>
      </c>
      <c r="H5303" t="str">
        <f>T("BUILDING 2")</f>
        <v>BUILDING 2</v>
      </c>
      <c r="I5303" t="str">
        <f t="shared" si="2058"/>
        <v>SAN DIEGO</v>
      </c>
      <c r="J5303" t="str">
        <f t="shared" si="2054"/>
        <v>CA</v>
      </c>
      <c r="K5303" t="str">
        <f>T("000000000000000000")</f>
        <v>000000000000000000</v>
      </c>
      <c r="L5303" t="str">
        <f>T("6195568595")</f>
        <v>6195568595</v>
      </c>
    </row>
    <row r="5304" spans="1:12" x14ac:dyDescent="0.35">
      <c r="A5304" t="str">
        <f t="shared" si="2055"/>
        <v>NAVFAC SOUTHWEST HL5</v>
      </c>
      <c r="B5304" t="str">
        <f t="shared" si="2056"/>
        <v>NAVFAC SW</v>
      </c>
      <c r="C5304" t="str">
        <f>T("4635 PACIFIC HIGHWAY")</f>
        <v>4635 PACIFIC HIGHWAY</v>
      </c>
      <c r="D5304" t="str">
        <f t="shared" si="2057"/>
        <v>SAN DIEGO</v>
      </c>
      <c r="E5304" t="str">
        <f t="shared" si="2053"/>
        <v>CA</v>
      </c>
      <c r="F5304" t="str">
        <f>T("921102756")</f>
        <v>921102756</v>
      </c>
      <c r="G5304" t="str">
        <f>T("1220 PACIFIC HWY BLDG 127")</f>
        <v>1220 PACIFIC HWY BLDG 127</v>
      </c>
      <c r="H5304" t="str">
        <f>T("ATTN RAMON PENA")</f>
        <v>ATTN RAMON PENA</v>
      </c>
      <c r="I5304" t="str">
        <f t="shared" si="2058"/>
        <v>SAN DIEGO</v>
      </c>
      <c r="J5304" t="str">
        <f t="shared" si="2054"/>
        <v>CA</v>
      </c>
      <c r="K5304" t="str">
        <f>T("6195568587")</f>
        <v>6195568587</v>
      </c>
      <c r="L5304" t="str">
        <f>T("6195567223")</f>
        <v>6195567223</v>
      </c>
    </row>
    <row r="5305" spans="1:12" x14ac:dyDescent="0.35">
      <c r="A5305" t="str">
        <f t="shared" si="2055"/>
        <v>NAVFAC SOUTHWEST HL5</v>
      </c>
      <c r="B5305" t="str">
        <f t="shared" si="2056"/>
        <v>NAVFAC SW</v>
      </c>
      <c r="C5305" t="str">
        <f>T("4635 PACIFIC HIGHWAY")</f>
        <v>4635 PACIFIC HIGHWAY</v>
      </c>
      <c r="D5305" t="str">
        <f t="shared" si="2057"/>
        <v>SAN DIEGO</v>
      </c>
      <c r="E5305" t="str">
        <f t="shared" si="2053"/>
        <v>CA</v>
      </c>
      <c r="F5305" t="str">
        <f>T("921102756")</f>
        <v>921102756</v>
      </c>
      <c r="G5305" t="str">
        <f>T("NAVFAC SW")</f>
        <v>NAVFAC SW</v>
      </c>
      <c r="H5305" t="str">
        <f>T("4635 PACIFIC HIGHWAY")</f>
        <v>4635 PACIFIC HIGHWAY</v>
      </c>
      <c r="I5305" t="str">
        <f t="shared" si="2058"/>
        <v>SAN DIEGO</v>
      </c>
      <c r="J5305" t="str">
        <f t="shared" si="2054"/>
        <v>CA</v>
      </c>
      <c r="K5305" t="str">
        <f>T("6195248518")</f>
        <v>6195248518</v>
      </c>
      <c r="L5305" t="str">
        <f>T("6195248502")</f>
        <v>6195248502</v>
      </c>
    </row>
    <row r="5306" spans="1:12" x14ac:dyDescent="0.35">
      <c r="A5306" t="str">
        <f t="shared" si="2055"/>
        <v>NAVFAC SOUTHWEST HL5</v>
      </c>
      <c r="B5306" t="str">
        <f>T("NAVFAC SW 1220 PACIFIC HWY")</f>
        <v>NAVFAC SW 1220 PACIFIC HWY</v>
      </c>
      <c r="C5306" t="str">
        <f>T("BLDG 110 2ND FLOOR ENVIRONMENTAL")</f>
        <v>BLDG 110 2ND FLOOR ENVIRONMENTAL</v>
      </c>
      <c r="D5306" t="str">
        <f t="shared" si="2057"/>
        <v>SAN DIEGO</v>
      </c>
      <c r="E5306" t="str">
        <f t="shared" si="2053"/>
        <v>CA</v>
      </c>
      <c r="F5306" t="str">
        <f>T("921320001")</f>
        <v>921320001</v>
      </c>
      <c r="G5306" t="str">
        <f>T("1220 PACIFIC HWY BLDG 110")</f>
        <v>1220 PACIFIC HWY BLDG 110</v>
      </c>
      <c r="H5306" t="str">
        <f>T("2ND FLOOR ENVIRONMENTAL")</f>
        <v>2ND FLOOR ENVIRONMENTAL</v>
      </c>
      <c r="I5306" t="str">
        <f t="shared" si="2058"/>
        <v>SAN DIEGO</v>
      </c>
      <c r="J5306" t="str">
        <f t="shared" si="2054"/>
        <v>CA</v>
      </c>
      <c r="K5306" t="str">
        <f>T("6195323042")</f>
        <v>6195323042</v>
      </c>
      <c r="L5306" t="str">
        <f>T("6195321364")</f>
        <v>6195321364</v>
      </c>
    </row>
    <row r="5307" spans="1:12" x14ac:dyDescent="0.35">
      <c r="A5307" t="str">
        <f t="shared" si="2055"/>
        <v>NAVFAC SOUTHWEST HL5</v>
      </c>
      <c r="B5307" t="str">
        <f>T("NAVFAC SW 1220 PACIFIC HWY")</f>
        <v>NAVFAC SW 1220 PACIFIC HWY</v>
      </c>
      <c r="C5307" t="str">
        <f>T("BLDG 110 2ND FLOOR ENVIRONMENTAL")</f>
        <v>BLDG 110 2ND FLOOR ENVIRONMENTAL</v>
      </c>
      <c r="D5307" t="str">
        <f t="shared" si="2057"/>
        <v>SAN DIEGO</v>
      </c>
      <c r="E5307" t="str">
        <f t="shared" si="2053"/>
        <v>CA</v>
      </c>
      <c r="F5307" t="str">
        <f>T("921320001")</f>
        <v>921320001</v>
      </c>
      <c r="G5307" t="str">
        <f>T("NAVFAC SW 1220 PACIFIC HWY")</f>
        <v>NAVFAC SW 1220 PACIFIC HWY</v>
      </c>
      <c r="H5307" t="str">
        <f>T("BLDG 110 2ND FLOOR ENVIRONMENTAL")</f>
        <v>BLDG 110 2ND FLOOR ENVIRONMENTAL</v>
      </c>
      <c r="I5307" t="str">
        <f t="shared" si="2058"/>
        <v>SAN DIEGO</v>
      </c>
      <c r="J5307" t="str">
        <f t="shared" si="2054"/>
        <v>CA</v>
      </c>
      <c r="K5307" t="str">
        <f>T("619-532-3042")</f>
        <v>619-532-3042</v>
      </c>
      <c r="L5307" t="str">
        <f>T("6195321364")</f>
        <v>6195321364</v>
      </c>
    </row>
    <row r="5308" spans="1:12" x14ac:dyDescent="0.35">
      <c r="A5308" t="str">
        <f t="shared" si="2055"/>
        <v>NAVFAC SOUTHWEST HL5</v>
      </c>
      <c r="B5308" t="str">
        <f>T("NAVFAC SW 1220 PACIFIC HWY")</f>
        <v>NAVFAC SW 1220 PACIFIC HWY</v>
      </c>
      <c r="C5308" t="str">
        <f>T("BLDG 272 CODE OPUP6")</f>
        <v>BLDG 272 CODE OPUP6</v>
      </c>
      <c r="D5308" t="str">
        <f t="shared" si="2057"/>
        <v>SAN DIEGO</v>
      </c>
      <c r="E5308" t="str">
        <f t="shared" si="2053"/>
        <v>CA</v>
      </c>
      <c r="F5308" t="str">
        <f>T("921320001")</f>
        <v>921320001</v>
      </c>
      <c r="G5308" t="str">
        <f>T("1220 PACIFIC HWY")</f>
        <v>1220 PACIFIC HWY</v>
      </c>
      <c r="H5308" t="str">
        <f>T("BLDG 128")</f>
        <v>BLDG 128</v>
      </c>
      <c r="I5308" t="str">
        <f t="shared" si="2058"/>
        <v>SAN DIEGO</v>
      </c>
      <c r="J5308" t="str">
        <f t="shared" si="2054"/>
        <v>CA</v>
      </c>
      <c r="K5308" t="str">
        <f>T("6195569779")</f>
        <v>6195569779</v>
      </c>
      <c r="L5308" t="str">
        <f>T("6195561379")</f>
        <v>6195561379</v>
      </c>
    </row>
    <row r="5309" spans="1:12" x14ac:dyDescent="0.35">
      <c r="A5309" t="str">
        <f t="shared" si="2055"/>
        <v>NAVFAC SOUTHWEST HL5</v>
      </c>
      <c r="B5309" t="str">
        <f>T("NAVFAC SW 1220 PACIFIC HWY")</f>
        <v>NAVFAC SW 1220 PACIFIC HWY</v>
      </c>
      <c r="C5309" t="str">
        <f>T("BLDG 272 CODE OPUP6")</f>
        <v>BLDG 272 CODE OPUP6</v>
      </c>
      <c r="D5309" t="str">
        <f t="shared" si="2057"/>
        <v>SAN DIEGO</v>
      </c>
      <c r="E5309" t="str">
        <f t="shared" si="2053"/>
        <v>CA</v>
      </c>
      <c r="F5309" t="str">
        <f>T("921320001")</f>
        <v>921320001</v>
      </c>
      <c r="G5309" t="str">
        <f>T("NAVFAC SW 1220 PACIFIC HWY")</f>
        <v>NAVFAC SW 1220 PACIFIC HWY</v>
      </c>
      <c r="H5309" t="str">
        <f>T("BLDG 272 CODE OPUP6")</f>
        <v>BLDG 272 CODE OPUP6</v>
      </c>
      <c r="I5309" t="str">
        <f t="shared" si="2058"/>
        <v>SAN DIEGO</v>
      </c>
      <c r="J5309" t="str">
        <f t="shared" si="2054"/>
        <v>CA</v>
      </c>
      <c r="K5309" t="str">
        <f>T("")</f>
        <v/>
      </c>
      <c r="L5309" t="str">
        <f>T("6195567989")</f>
        <v>6195567989</v>
      </c>
    </row>
    <row r="5310" spans="1:12" x14ac:dyDescent="0.35">
      <c r="A5310" t="str">
        <f t="shared" si="2055"/>
        <v>NAVFAC SOUTHWEST HL5</v>
      </c>
      <c r="B5310" t="str">
        <f>T("NAVFAC SW 1220 PACIFIC HWY")</f>
        <v>NAVFAC SW 1220 PACIFIC HWY</v>
      </c>
      <c r="C5310" t="str">
        <f>T("BLDG 272 CODE OPUP6")</f>
        <v>BLDG 272 CODE OPUP6</v>
      </c>
      <c r="D5310" t="str">
        <f t="shared" si="2057"/>
        <v>SAN DIEGO</v>
      </c>
      <c r="E5310" t="str">
        <f t="shared" si="2053"/>
        <v>CA</v>
      </c>
      <c r="F5310" t="str">
        <f>T("921320001")</f>
        <v>921320001</v>
      </c>
      <c r="G5310" t="str">
        <f>T("NAVFAC SW, 1220 PACIFIC HWY")</f>
        <v>NAVFAC SW, 1220 PACIFIC HWY</v>
      </c>
      <c r="H5310" t="str">
        <f>T("CODE OPUP6, BLDG. 272")</f>
        <v>CODE OPUP6, BLDG. 272</v>
      </c>
      <c r="I5310" t="str">
        <f t="shared" si="2058"/>
        <v>SAN DIEGO</v>
      </c>
      <c r="J5310" t="str">
        <f t="shared" si="2054"/>
        <v>CA</v>
      </c>
      <c r="K5310" t="str">
        <f>T("000000000000000000")</f>
        <v>000000000000000000</v>
      </c>
      <c r="L5310" t="str">
        <f>T("6195567972")</f>
        <v>6195567972</v>
      </c>
    </row>
    <row r="5311" spans="1:12" x14ac:dyDescent="0.35">
      <c r="A5311" t="str">
        <f t="shared" si="2055"/>
        <v>NAVFAC SOUTHWEST HL5</v>
      </c>
      <c r="B5311" t="str">
        <f t="shared" ref="B5311:B5317" si="2059">T("NAVFAC SW BLDG 230 PWD")</f>
        <v>NAVFAC SW BLDG 230 PWD</v>
      </c>
      <c r="C5311" t="str">
        <f t="shared" ref="C5311:C5317" si="2060">T("800 SEAL BEACH BLVD")</f>
        <v>800 SEAL BEACH BLVD</v>
      </c>
      <c r="D5311" t="str">
        <f t="shared" ref="D5311:D5317" si="2061">T("SEAL BEACH")</f>
        <v>SEAL BEACH</v>
      </c>
      <c r="E5311" t="str">
        <f t="shared" si="2053"/>
        <v>CA</v>
      </c>
      <c r="F5311" t="str">
        <f t="shared" ref="F5311:F5317" si="2062">T("907405607")</f>
        <v>907405607</v>
      </c>
      <c r="G5311" t="str">
        <f>T("800 SEAL BEACH BLVD")</f>
        <v>800 SEAL BEACH BLVD</v>
      </c>
      <c r="H5311" t="str">
        <f>T("BLDG 230")</f>
        <v>BLDG 230</v>
      </c>
      <c r="I5311" t="str">
        <f t="shared" ref="I5311:I5317" si="2063">T("SEAL BEACH")</f>
        <v>SEAL BEACH</v>
      </c>
      <c r="J5311" t="str">
        <f t="shared" si="2054"/>
        <v>CA</v>
      </c>
      <c r="K5311" t="str">
        <f>T("5626267982")</f>
        <v>5626267982</v>
      </c>
      <c r="L5311" t="str">
        <f>T("5626266115")</f>
        <v>5626266115</v>
      </c>
    </row>
    <row r="5312" spans="1:12" x14ac:dyDescent="0.35">
      <c r="A5312" t="str">
        <f t="shared" si="2055"/>
        <v>NAVFAC SOUTHWEST HL5</v>
      </c>
      <c r="B5312" t="str">
        <f t="shared" si="2059"/>
        <v>NAVFAC SW BLDG 230 PWD</v>
      </c>
      <c r="C5312" t="str">
        <f t="shared" si="2060"/>
        <v>800 SEAL BEACH BLVD</v>
      </c>
      <c r="D5312" t="str">
        <f t="shared" si="2061"/>
        <v>SEAL BEACH</v>
      </c>
      <c r="E5312" t="str">
        <f t="shared" si="2053"/>
        <v>CA</v>
      </c>
      <c r="F5312" t="str">
        <f t="shared" si="2062"/>
        <v>907405607</v>
      </c>
      <c r="G5312" t="str">
        <f>T("NAVAL WEAPON STATION SEAL BEACH")</f>
        <v>NAVAL WEAPON STATION SEAL BEACH</v>
      </c>
      <c r="H5312" t="str">
        <f>T("800 SEAL BEACH BLVD BLDG 230")</f>
        <v>800 SEAL BEACH BLVD BLDG 230</v>
      </c>
      <c r="I5312" t="str">
        <f t="shared" si="2063"/>
        <v>SEAL BEACH</v>
      </c>
      <c r="J5312" t="str">
        <f t="shared" si="2054"/>
        <v>CA</v>
      </c>
      <c r="K5312" t="str">
        <f>T("000000000000000000")</f>
        <v>000000000000000000</v>
      </c>
      <c r="L5312" t="str">
        <f>T("5626267291")</f>
        <v>5626267291</v>
      </c>
    </row>
    <row r="5313" spans="1:12" x14ac:dyDescent="0.35">
      <c r="A5313" t="str">
        <f t="shared" si="2055"/>
        <v>NAVFAC SOUTHWEST HL5</v>
      </c>
      <c r="B5313" t="str">
        <f t="shared" si="2059"/>
        <v>NAVFAC SW BLDG 230 PWD</v>
      </c>
      <c r="C5313" t="str">
        <f t="shared" si="2060"/>
        <v>800 SEAL BEACH BLVD</v>
      </c>
      <c r="D5313" t="str">
        <f t="shared" si="2061"/>
        <v>SEAL BEACH</v>
      </c>
      <c r="E5313" t="str">
        <f t="shared" si="2053"/>
        <v>CA</v>
      </c>
      <c r="F5313" t="str">
        <f t="shared" si="2062"/>
        <v>907405607</v>
      </c>
      <c r="G5313" t="str">
        <f>T("NAVAL WEAPON STATION SEAL BEACH")</f>
        <v>NAVAL WEAPON STATION SEAL BEACH</v>
      </c>
      <c r="H5313" t="str">
        <f>T("800 SEAL BEACH BLVD BLDG 230")</f>
        <v>800 SEAL BEACH BLVD BLDG 230</v>
      </c>
      <c r="I5313" t="str">
        <f t="shared" si="2063"/>
        <v>SEAL BEACH</v>
      </c>
      <c r="J5313" t="str">
        <f t="shared" si="2054"/>
        <v>CA</v>
      </c>
      <c r="K5313" t="str">
        <f>T("5626267521")</f>
        <v>5626267521</v>
      </c>
      <c r="L5313" t="str">
        <f>T("5626267170")</f>
        <v>5626267170</v>
      </c>
    </row>
    <row r="5314" spans="1:12" x14ac:dyDescent="0.35">
      <c r="A5314" t="str">
        <f t="shared" si="2055"/>
        <v>NAVFAC SOUTHWEST HL5</v>
      </c>
      <c r="B5314" t="str">
        <f t="shared" si="2059"/>
        <v>NAVFAC SW BLDG 230 PWD</v>
      </c>
      <c r="C5314" t="str">
        <f t="shared" si="2060"/>
        <v>800 SEAL BEACH BLVD</v>
      </c>
      <c r="D5314" t="str">
        <f t="shared" si="2061"/>
        <v>SEAL BEACH</v>
      </c>
      <c r="E5314" t="str">
        <f t="shared" si="2053"/>
        <v>CA</v>
      </c>
      <c r="F5314" t="str">
        <f t="shared" si="2062"/>
        <v>907405607</v>
      </c>
      <c r="G5314" t="str">
        <f>T("NAVAL WEAPON STATION SEAL BEACH")</f>
        <v>NAVAL WEAPON STATION SEAL BEACH</v>
      </c>
      <c r="H5314" t="str">
        <f>T("800 SEAL BEACH BLVD BLDG 230")</f>
        <v>800 SEAL BEACH BLVD BLDG 230</v>
      </c>
      <c r="I5314" t="str">
        <f t="shared" si="2063"/>
        <v>SEAL BEACH</v>
      </c>
      <c r="J5314" t="str">
        <f t="shared" si="2054"/>
        <v>CA</v>
      </c>
      <c r="K5314" t="str">
        <f>T("5626267521")</f>
        <v>5626267521</v>
      </c>
      <c r="L5314" t="str">
        <f>T("5626267606")</f>
        <v>5626267606</v>
      </c>
    </row>
    <row r="5315" spans="1:12" x14ac:dyDescent="0.35">
      <c r="A5315" t="str">
        <f t="shared" si="2055"/>
        <v>NAVFAC SOUTHWEST HL5</v>
      </c>
      <c r="B5315" t="str">
        <f t="shared" si="2059"/>
        <v>NAVFAC SW BLDG 230 PWD</v>
      </c>
      <c r="C5315" t="str">
        <f t="shared" si="2060"/>
        <v>800 SEAL BEACH BLVD</v>
      </c>
      <c r="D5315" t="str">
        <f t="shared" si="2061"/>
        <v>SEAL BEACH</v>
      </c>
      <c r="E5315" t="str">
        <f t="shared" si="2053"/>
        <v>CA</v>
      </c>
      <c r="F5315" t="str">
        <f t="shared" si="2062"/>
        <v>907405607</v>
      </c>
      <c r="G5315" t="str">
        <f>T("NAVAL WEAPON STATION SEAL BEACH")</f>
        <v>NAVAL WEAPON STATION SEAL BEACH</v>
      </c>
      <c r="H5315" t="str">
        <f>T("800 SEAL BEACH BLVD BLDG 230")</f>
        <v>800 SEAL BEACH BLVD BLDG 230</v>
      </c>
      <c r="I5315" t="str">
        <f t="shared" si="2063"/>
        <v>SEAL BEACH</v>
      </c>
      <c r="J5315" t="str">
        <f t="shared" si="2054"/>
        <v>CA</v>
      </c>
      <c r="K5315" t="str">
        <f>T("5626267521")</f>
        <v>5626267521</v>
      </c>
      <c r="L5315" t="str">
        <f>T("5626267977")</f>
        <v>5626267977</v>
      </c>
    </row>
    <row r="5316" spans="1:12" x14ac:dyDescent="0.35">
      <c r="A5316" t="str">
        <f t="shared" si="2055"/>
        <v>NAVFAC SOUTHWEST HL5</v>
      </c>
      <c r="B5316" t="str">
        <f t="shared" si="2059"/>
        <v>NAVFAC SW BLDG 230 PWD</v>
      </c>
      <c r="C5316" t="str">
        <f t="shared" si="2060"/>
        <v>800 SEAL BEACH BLVD</v>
      </c>
      <c r="D5316" t="str">
        <f t="shared" si="2061"/>
        <v>SEAL BEACH</v>
      </c>
      <c r="E5316" t="str">
        <f t="shared" si="2053"/>
        <v>CA</v>
      </c>
      <c r="F5316" t="str">
        <f t="shared" si="2062"/>
        <v>907405607</v>
      </c>
      <c r="G5316" t="str">
        <f>T("NAVAL WEAPON STATION SEAL BEACH")</f>
        <v>NAVAL WEAPON STATION SEAL BEACH</v>
      </c>
      <c r="H5316" t="str">
        <f>T("800 SEAL BEACH BLVD BLDG 230")</f>
        <v>800 SEAL BEACH BLVD BLDG 230</v>
      </c>
      <c r="I5316" t="str">
        <f t="shared" si="2063"/>
        <v>SEAL BEACH</v>
      </c>
      <c r="J5316" t="str">
        <f t="shared" si="2054"/>
        <v>CA</v>
      </c>
      <c r="K5316" t="str">
        <f>T("5626267977")</f>
        <v>5626267977</v>
      </c>
      <c r="L5316" t="str">
        <f>T("5626267232")</f>
        <v>5626267232</v>
      </c>
    </row>
    <row r="5317" spans="1:12" x14ac:dyDescent="0.35">
      <c r="A5317" t="str">
        <f t="shared" si="2055"/>
        <v>NAVFAC SOUTHWEST HL5</v>
      </c>
      <c r="B5317" t="str">
        <f t="shared" si="2059"/>
        <v>NAVFAC SW BLDG 230 PWD</v>
      </c>
      <c r="C5317" t="str">
        <f t="shared" si="2060"/>
        <v>800 SEAL BEACH BLVD</v>
      </c>
      <c r="D5317" t="str">
        <f t="shared" si="2061"/>
        <v>SEAL BEACH</v>
      </c>
      <c r="E5317" t="str">
        <f t="shared" si="2053"/>
        <v>CA</v>
      </c>
      <c r="F5317" t="str">
        <f t="shared" si="2062"/>
        <v>907405607</v>
      </c>
      <c r="G5317" t="str">
        <f>T("NAVFAC SW BLDG 230 PWD")</f>
        <v>NAVFAC SW BLDG 230 PWD</v>
      </c>
      <c r="H5317" t="str">
        <f>T("800 SEAL BEACH BLVD")</f>
        <v>800 SEAL BEACH BLVD</v>
      </c>
      <c r="I5317" t="str">
        <f t="shared" si="2063"/>
        <v>SEAL BEACH</v>
      </c>
      <c r="J5317" t="str">
        <f t="shared" si="2054"/>
        <v>CA</v>
      </c>
      <c r="K5317" t="str">
        <f>T("5626267521")</f>
        <v>5626267521</v>
      </c>
      <c r="L5317" t="str">
        <f>T("5626267755")</f>
        <v>5626267755</v>
      </c>
    </row>
    <row r="5318" spans="1:12" x14ac:dyDescent="0.35">
      <c r="A5318" t="str">
        <f t="shared" si="2055"/>
        <v>NAVFAC SOUTHWEST HL5</v>
      </c>
      <c r="B5318" t="str">
        <f t="shared" ref="B5318:B5324" si="2064">T("NAVFAC SW CIO")</f>
        <v>NAVFAC SW CIO</v>
      </c>
      <c r="C5318" t="str">
        <f>T("1220 PACIFIC HIGHWAY")</f>
        <v>1220 PACIFIC HIGHWAY</v>
      </c>
      <c r="D5318" t="str">
        <f t="shared" ref="D5318:D5324" si="2065">T("SAN DIEGO")</f>
        <v>SAN DIEGO</v>
      </c>
      <c r="E5318" t="str">
        <f t="shared" ref="E5318:E5349" si="2066">T("CA")</f>
        <v>CA</v>
      </c>
      <c r="F5318" t="str">
        <f t="shared" ref="F5318:F5324" si="2067">T("921325190")</f>
        <v>921325190</v>
      </c>
      <c r="G5318" t="str">
        <f>T("1220 PACIFIC HWY")</f>
        <v>1220 PACIFIC HWY</v>
      </c>
      <c r="H5318" t="str">
        <f>T("CIO BLDG 1")</f>
        <v>CIO BLDG 1</v>
      </c>
      <c r="I5318" t="str">
        <f t="shared" ref="I5318:I5324" si="2068">T("SAN DIEGO")</f>
        <v>SAN DIEGO</v>
      </c>
      <c r="J5318" t="str">
        <f t="shared" ref="J5318:J5349" si="2069">T("CA")</f>
        <v>CA</v>
      </c>
      <c r="K5318" t="str">
        <f>T("6195322207")</f>
        <v>6195322207</v>
      </c>
      <c r="L5318" t="str">
        <f>T("6195322218")</f>
        <v>6195322218</v>
      </c>
    </row>
    <row r="5319" spans="1:12" x14ac:dyDescent="0.35">
      <c r="A5319" t="str">
        <f t="shared" si="2055"/>
        <v>NAVFAC SOUTHWEST HL5</v>
      </c>
      <c r="B5319" t="str">
        <f t="shared" si="2064"/>
        <v>NAVFAC SW CIO</v>
      </c>
      <c r="C5319" t="str">
        <f>T("1220 PACIFIC HIGHWAY")</f>
        <v>1220 PACIFIC HIGHWAY</v>
      </c>
      <c r="D5319" t="str">
        <f t="shared" si="2065"/>
        <v>SAN DIEGO</v>
      </c>
      <c r="E5319" t="str">
        <f t="shared" si="2066"/>
        <v>CA</v>
      </c>
      <c r="F5319" t="str">
        <f t="shared" si="2067"/>
        <v>921325190</v>
      </c>
      <c r="G5319" t="str">
        <f>T("NAVFAC SW CIO")</f>
        <v>NAVFAC SW CIO</v>
      </c>
      <c r="H5319" t="str">
        <f>T("1220 PACIFIC HIGHWAY")</f>
        <v>1220 PACIFIC HIGHWAY</v>
      </c>
      <c r="I5319" t="str">
        <f t="shared" si="2068"/>
        <v>SAN DIEGO</v>
      </c>
      <c r="J5319" t="str">
        <f t="shared" si="2069"/>
        <v>CA</v>
      </c>
      <c r="K5319" t="str">
        <f>T("619-532-2207")</f>
        <v>619-532-2207</v>
      </c>
      <c r="L5319" t="str">
        <f>T("6195322218")</f>
        <v>6195322218</v>
      </c>
    </row>
    <row r="5320" spans="1:12" x14ac:dyDescent="0.35">
      <c r="A5320" t="str">
        <f t="shared" si="2055"/>
        <v>NAVFAC SOUTHWEST HL5</v>
      </c>
      <c r="B5320" t="str">
        <f t="shared" si="2064"/>
        <v>NAVFAC SW CIO</v>
      </c>
      <c r="C5320" t="str">
        <f>T("1220 PACIFIC HIGHWAY")</f>
        <v>1220 PACIFIC HIGHWAY</v>
      </c>
      <c r="D5320" t="str">
        <f t="shared" si="2065"/>
        <v>SAN DIEGO</v>
      </c>
      <c r="E5320" t="str">
        <f t="shared" si="2066"/>
        <v>CA</v>
      </c>
      <c r="F5320" t="str">
        <f t="shared" si="2067"/>
        <v>921325190</v>
      </c>
      <c r="G5320" t="str">
        <f>T("NAVFAC SW CIO")</f>
        <v>NAVFAC SW CIO</v>
      </c>
      <c r="H5320" t="str">
        <f>T("1220 PACIFIC HWY")</f>
        <v>1220 PACIFIC HWY</v>
      </c>
      <c r="I5320" t="str">
        <f t="shared" si="2068"/>
        <v>SAN DIEGO</v>
      </c>
      <c r="J5320" t="str">
        <f t="shared" si="2069"/>
        <v>CA</v>
      </c>
      <c r="K5320" t="str">
        <f>T("6195321718")</f>
        <v>6195321718</v>
      </c>
      <c r="L5320" t="str">
        <f>T("6195321793")</f>
        <v>6195321793</v>
      </c>
    </row>
    <row r="5321" spans="1:12" x14ac:dyDescent="0.35">
      <c r="A5321" t="str">
        <f t="shared" si="2055"/>
        <v>NAVFAC SOUTHWEST HL5</v>
      </c>
      <c r="B5321" t="str">
        <f t="shared" si="2064"/>
        <v>NAVFAC SW CIO</v>
      </c>
      <c r="C5321" t="str">
        <f>T("1220 PACIFIC HIGWWAY")</f>
        <v>1220 PACIFIC HIGWWAY</v>
      </c>
      <c r="D5321" t="str">
        <f t="shared" si="2065"/>
        <v>SAN DIEGO</v>
      </c>
      <c r="E5321" t="str">
        <f t="shared" si="2066"/>
        <v>CA</v>
      </c>
      <c r="F5321" t="str">
        <f t="shared" si="2067"/>
        <v>921325190</v>
      </c>
      <c r="G5321" t="str">
        <f>T("1220 PACIFIC HWY")</f>
        <v>1220 PACIFIC HWY</v>
      </c>
      <c r="H5321" t="str">
        <f>T("")</f>
        <v/>
      </c>
      <c r="I5321" t="str">
        <f t="shared" si="2068"/>
        <v>SAN DIEGO</v>
      </c>
      <c r="J5321" t="str">
        <f t="shared" si="2069"/>
        <v>CA</v>
      </c>
      <c r="K5321" t="str">
        <f>T("6195322207")</f>
        <v>6195322207</v>
      </c>
      <c r="L5321" t="str">
        <f>T("6195322218")</f>
        <v>6195322218</v>
      </c>
    </row>
    <row r="5322" spans="1:12" x14ac:dyDescent="0.35">
      <c r="A5322" t="str">
        <f t="shared" si="2055"/>
        <v>NAVFAC SOUTHWEST HL5</v>
      </c>
      <c r="B5322" t="str">
        <f t="shared" si="2064"/>
        <v>NAVFAC SW CIO</v>
      </c>
      <c r="C5322" t="str">
        <f>T("1220 PACIFIC HIGWWAY")</f>
        <v>1220 PACIFIC HIGWWAY</v>
      </c>
      <c r="D5322" t="str">
        <f t="shared" si="2065"/>
        <v>SAN DIEGO</v>
      </c>
      <c r="E5322" t="str">
        <f t="shared" si="2066"/>
        <v>CA</v>
      </c>
      <c r="F5322" t="str">
        <f t="shared" si="2067"/>
        <v>921325190</v>
      </c>
      <c r="G5322" t="str">
        <f>T("1220 PACIFIC HWY")</f>
        <v>1220 PACIFIC HWY</v>
      </c>
      <c r="H5322" t="str">
        <f>T("CIO DEPT BLDG 1")</f>
        <v>CIO DEPT BLDG 1</v>
      </c>
      <c r="I5322" t="str">
        <f t="shared" si="2068"/>
        <v>SAN DIEGO</v>
      </c>
      <c r="J5322" t="str">
        <f t="shared" si="2069"/>
        <v>CA</v>
      </c>
      <c r="K5322" t="str">
        <f>T("000000000000000000")</f>
        <v>000000000000000000</v>
      </c>
      <c r="L5322" t="str">
        <f>T("6195568447")</f>
        <v>6195568447</v>
      </c>
    </row>
    <row r="5323" spans="1:12" x14ac:dyDescent="0.35">
      <c r="A5323" t="str">
        <f t="shared" si="2055"/>
        <v>NAVFAC SOUTHWEST HL5</v>
      </c>
      <c r="B5323" t="str">
        <f t="shared" si="2064"/>
        <v>NAVFAC SW CIO</v>
      </c>
      <c r="C5323" t="str">
        <f>T("1220 PACIFIC HIGWWAY")</f>
        <v>1220 PACIFIC HIGWWAY</v>
      </c>
      <c r="D5323" t="str">
        <f t="shared" si="2065"/>
        <v>SAN DIEGO</v>
      </c>
      <c r="E5323" t="str">
        <f t="shared" si="2066"/>
        <v>CA</v>
      </c>
      <c r="F5323" t="str">
        <f t="shared" si="2067"/>
        <v>921325190</v>
      </c>
      <c r="G5323" t="str">
        <f>T("NAVFAC SW CIO")</f>
        <v>NAVFAC SW CIO</v>
      </c>
      <c r="H5323" t="str">
        <f>T("1220 PACIFIC HIGWWAY")</f>
        <v>1220 PACIFIC HIGWWAY</v>
      </c>
      <c r="I5323" t="str">
        <f t="shared" si="2068"/>
        <v>SAN DIEGO</v>
      </c>
      <c r="J5323" t="str">
        <f t="shared" si="2069"/>
        <v>CA</v>
      </c>
      <c r="K5323" t="str">
        <f>T("619-532-2207")</f>
        <v>619-532-2207</v>
      </c>
      <c r="L5323" t="str">
        <f>T("6195323708")</f>
        <v>6195323708</v>
      </c>
    </row>
    <row r="5324" spans="1:12" x14ac:dyDescent="0.35">
      <c r="A5324" t="str">
        <f t="shared" si="2055"/>
        <v>NAVFAC SOUTHWEST HL5</v>
      </c>
      <c r="B5324" t="str">
        <f t="shared" si="2064"/>
        <v>NAVFAC SW CIO</v>
      </c>
      <c r="C5324" t="str">
        <f>T("1220 PACIFIC HIGWWAY")</f>
        <v>1220 PACIFIC HIGWWAY</v>
      </c>
      <c r="D5324" t="str">
        <f t="shared" si="2065"/>
        <v>SAN DIEGO</v>
      </c>
      <c r="E5324" t="str">
        <f t="shared" si="2066"/>
        <v>CA</v>
      </c>
      <c r="F5324" t="str">
        <f t="shared" si="2067"/>
        <v>921325190</v>
      </c>
      <c r="G5324" t="str">
        <f>T("NAVFAC SW CIO")</f>
        <v>NAVFAC SW CIO</v>
      </c>
      <c r="H5324" t="str">
        <f>T("1220 PACIFIC HWY")</f>
        <v>1220 PACIFIC HWY</v>
      </c>
      <c r="I5324" t="str">
        <f t="shared" si="2068"/>
        <v>SAN DIEGO</v>
      </c>
      <c r="J5324" t="str">
        <f t="shared" si="2069"/>
        <v>CA</v>
      </c>
      <c r="K5324" t="str">
        <f>T("6195321718")</f>
        <v>6195321718</v>
      </c>
      <c r="L5324" t="str">
        <f>T("6195321793")</f>
        <v>6195321793</v>
      </c>
    </row>
    <row r="5325" spans="1:12" x14ac:dyDescent="0.35">
      <c r="A5325" t="str">
        <f t="shared" si="2055"/>
        <v>NAVFAC SOUTHWEST HL5</v>
      </c>
      <c r="B5325" t="str">
        <f>T("NAVFAC SW FEAD VENTURA CODE ROPMV")</f>
        <v>NAVFAC SW FEAD VENTURA CODE ROPMV</v>
      </c>
      <c r="C5325" t="str">
        <f>T("1205 MILL ROAD SUITE 2")</f>
        <v>1205 MILL ROAD SUITE 2</v>
      </c>
      <c r="D5325" t="str">
        <f>T("PORT HUENEME")</f>
        <v>PORT HUENEME</v>
      </c>
      <c r="E5325" t="str">
        <f t="shared" si="2066"/>
        <v>CA</v>
      </c>
      <c r="F5325" t="str">
        <f>T("930434442")</f>
        <v>930434442</v>
      </c>
      <c r="G5325" t="str">
        <f>T("NAVAL BASE/PWD VENTURA")</f>
        <v>NAVAL BASE/PWD VENTURA</v>
      </c>
      <c r="H5325" t="str">
        <f>T("1205 MILL RD STE 2")</f>
        <v>1205 MILL RD STE 2</v>
      </c>
      <c r="I5325" t="str">
        <f>T("PORT HUENEME")</f>
        <v>PORT HUENEME</v>
      </c>
      <c r="J5325" t="str">
        <f t="shared" si="2069"/>
        <v>CA</v>
      </c>
      <c r="K5325" t="str">
        <f>T("000000000000000000")</f>
        <v>000000000000000000</v>
      </c>
      <c r="L5325" t="str">
        <f>T("8059822960")</f>
        <v>8059822960</v>
      </c>
    </row>
    <row r="5326" spans="1:12" x14ac:dyDescent="0.35">
      <c r="A5326" t="str">
        <f t="shared" si="2055"/>
        <v>NAVFAC SOUTHWEST HL5</v>
      </c>
      <c r="B5326" t="str">
        <f>T("NAVFAC SW FEAD VENTURA CODE ROPMV")</f>
        <v>NAVFAC SW FEAD VENTURA CODE ROPMV</v>
      </c>
      <c r="C5326" t="str">
        <f>T("1205 MILL ROAD SUITE 2")</f>
        <v>1205 MILL ROAD SUITE 2</v>
      </c>
      <c r="D5326" t="str">
        <f>T("PORT HUENEME")</f>
        <v>PORT HUENEME</v>
      </c>
      <c r="E5326" t="str">
        <f t="shared" si="2066"/>
        <v>CA</v>
      </c>
      <c r="F5326" t="str">
        <f>T("930434442")</f>
        <v>930434442</v>
      </c>
      <c r="G5326" t="str">
        <f>T("NAVFAC SW FEAD VENTURA CODE ROPMV")</f>
        <v>NAVFAC SW FEAD VENTURA CODE ROPMV</v>
      </c>
      <c r="H5326" t="str">
        <f>T("1205 MILL ROAD SUITE 2")</f>
        <v>1205 MILL ROAD SUITE 2</v>
      </c>
      <c r="I5326" t="str">
        <f>T("PORT HUENEME")</f>
        <v>PORT HUENEME</v>
      </c>
      <c r="J5326" t="str">
        <f t="shared" si="2069"/>
        <v>CA</v>
      </c>
      <c r="K5326" t="str">
        <f>T("")</f>
        <v/>
      </c>
      <c r="L5326" t="str">
        <f>T("8059822932")</f>
        <v>8059822932</v>
      </c>
    </row>
    <row r="5327" spans="1:12" x14ac:dyDescent="0.35">
      <c r="A5327" t="str">
        <f t="shared" si="2055"/>
        <v>NAVFAC SOUTHWEST HL5</v>
      </c>
      <c r="B5327" t="str">
        <f t="shared" ref="B5327:B5333" si="2070">T("NAVFAC SW HRO")</f>
        <v>NAVFAC SW HRO</v>
      </c>
      <c r="C5327" t="str">
        <f t="shared" ref="C5327:C5338" si="2071">T("1220 PACIFIC HIGHWAY")</f>
        <v>1220 PACIFIC HIGHWAY</v>
      </c>
      <c r="D5327" t="str">
        <f t="shared" ref="D5327:D5338" si="2072">T("SAN DIEGO")</f>
        <v>SAN DIEGO</v>
      </c>
      <c r="E5327" t="str">
        <f t="shared" si="2066"/>
        <v>CA</v>
      </c>
      <c r="F5327" t="str">
        <f t="shared" ref="F5327:F5338" si="2073">T("921325190")</f>
        <v>921325190</v>
      </c>
      <c r="G5327" t="str">
        <f>T("1220 PACIFIC HWY")</f>
        <v>1220 PACIFIC HWY</v>
      </c>
      <c r="H5327" t="str">
        <f>T("BLDG 127")</f>
        <v>BLDG 127</v>
      </c>
      <c r="I5327" t="str">
        <f t="shared" ref="I5327:I5338" si="2074">T("SAN DIEGO")</f>
        <v>SAN DIEGO</v>
      </c>
      <c r="J5327" t="str">
        <f t="shared" si="2069"/>
        <v>CA</v>
      </c>
      <c r="K5327" t="str">
        <f>T("000000000000000000")</f>
        <v>000000000000000000</v>
      </c>
      <c r="L5327" t="str">
        <f>T("6195323419")</f>
        <v>6195323419</v>
      </c>
    </row>
    <row r="5328" spans="1:12" x14ac:dyDescent="0.35">
      <c r="A5328" t="str">
        <f t="shared" si="2055"/>
        <v>NAVFAC SOUTHWEST HL5</v>
      </c>
      <c r="B5328" t="str">
        <f t="shared" si="2070"/>
        <v>NAVFAC SW HRO</v>
      </c>
      <c r="C5328" t="str">
        <f t="shared" si="2071"/>
        <v>1220 PACIFIC HIGHWAY</v>
      </c>
      <c r="D5328" t="str">
        <f t="shared" si="2072"/>
        <v>SAN DIEGO</v>
      </c>
      <c r="E5328" t="str">
        <f t="shared" si="2066"/>
        <v>CA</v>
      </c>
      <c r="F5328" t="str">
        <f t="shared" si="2073"/>
        <v>921325190</v>
      </c>
      <c r="G5328" t="str">
        <f>T("1220 PACIFIC HWY")</f>
        <v>1220 PACIFIC HWY</v>
      </c>
      <c r="H5328" t="str">
        <f>T("BLDG 127")</f>
        <v>BLDG 127</v>
      </c>
      <c r="I5328" t="str">
        <f t="shared" si="2074"/>
        <v>SAN DIEGO</v>
      </c>
      <c r="J5328" t="str">
        <f t="shared" si="2069"/>
        <v>CA</v>
      </c>
      <c r="K5328" t="str">
        <f>T("6165324060")</f>
        <v>6165324060</v>
      </c>
      <c r="L5328" t="str">
        <f>T("6195322392")</f>
        <v>6195322392</v>
      </c>
    </row>
    <row r="5329" spans="1:12" x14ac:dyDescent="0.35">
      <c r="A5329" t="str">
        <f t="shared" si="2055"/>
        <v>NAVFAC SOUTHWEST HL5</v>
      </c>
      <c r="B5329" t="str">
        <f t="shared" si="2070"/>
        <v>NAVFAC SW HRO</v>
      </c>
      <c r="C5329" t="str">
        <f t="shared" si="2071"/>
        <v>1220 PACIFIC HIGHWAY</v>
      </c>
      <c r="D5329" t="str">
        <f t="shared" si="2072"/>
        <v>SAN DIEGO</v>
      </c>
      <c r="E5329" t="str">
        <f t="shared" si="2066"/>
        <v>CA</v>
      </c>
      <c r="F5329" t="str">
        <f t="shared" si="2073"/>
        <v>921325190</v>
      </c>
      <c r="G5329" t="str">
        <f>T("1220 PACIFIC HWY")</f>
        <v>1220 PACIFIC HWY</v>
      </c>
      <c r="H5329" t="str">
        <f>T("BLDG 127")</f>
        <v>BLDG 127</v>
      </c>
      <c r="I5329" t="str">
        <f t="shared" si="2074"/>
        <v>SAN DIEGO</v>
      </c>
      <c r="J5329" t="str">
        <f t="shared" si="2069"/>
        <v>CA</v>
      </c>
      <c r="K5329" t="str">
        <f>T("6195324060")</f>
        <v>6195324060</v>
      </c>
      <c r="L5329" t="str">
        <f>T("6195322377")</f>
        <v>6195322377</v>
      </c>
    </row>
    <row r="5330" spans="1:12" x14ac:dyDescent="0.35">
      <c r="A5330" t="str">
        <f t="shared" si="2055"/>
        <v>NAVFAC SOUTHWEST HL5</v>
      </c>
      <c r="B5330" t="str">
        <f t="shared" si="2070"/>
        <v>NAVFAC SW HRO</v>
      </c>
      <c r="C5330" t="str">
        <f t="shared" si="2071"/>
        <v>1220 PACIFIC HIGHWAY</v>
      </c>
      <c r="D5330" t="str">
        <f t="shared" si="2072"/>
        <v>SAN DIEGO</v>
      </c>
      <c r="E5330" t="str">
        <f t="shared" si="2066"/>
        <v>CA</v>
      </c>
      <c r="F5330" t="str">
        <f t="shared" si="2073"/>
        <v>921325190</v>
      </c>
      <c r="G5330" t="str">
        <f>T("1220 PACIFIC HWY")</f>
        <v>1220 PACIFIC HWY</v>
      </c>
      <c r="H5330" t="str">
        <f>T("BLDG 127")</f>
        <v>BLDG 127</v>
      </c>
      <c r="I5330" t="str">
        <f t="shared" si="2074"/>
        <v>SAN DIEGO</v>
      </c>
      <c r="J5330" t="str">
        <f t="shared" si="2069"/>
        <v>CA</v>
      </c>
      <c r="K5330" t="str">
        <f>T("6195324060")</f>
        <v>6195324060</v>
      </c>
      <c r="L5330" t="str">
        <f>T("6195324502")</f>
        <v>6195324502</v>
      </c>
    </row>
    <row r="5331" spans="1:12" x14ac:dyDescent="0.35">
      <c r="A5331" t="str">
        <f t="shared" si="2055"/>
        <v>NAVFAC SOUTHWEST HL5</v>
      </c>
      <c r="B5331" t="str">
        <f t="shared" si="2070"/>
        <v>NAVFAC SW HRO</v>
      </c>
      <c r="C5331" t="str">
        <f t="shared" si="2071"/>
        <v>1220 PACIFIC HIGHWAY</v>
      </c>
      <c r="D5331" t="str">
        <f t="shared" si="2072"/>
        <v>SAN DIEGO</v>
      </c>
      <c r="E5331" t="str">
        <f t="shared" si="2066"/>
        <v>CA</v>
      </c>
      <c r="F5331" t="str">
        <f t="shared" si="2073"/>
        <v>921325190</v>
      </c>
      <c r="G5331" t="str">
        <f>T("1220 PACIFIC HWY")</f>
        <v>1220 PACIFIC HWY</v>
      </c>
      <c r="H5331" t="str">
        <f>T("BLDG 128")</f>
        <v>BLDG 128</v>
      </c>
      <c r="I5331" t="str">
        <f t="shared" si="2074"/>
        <v>SAN DIEGO</v>
      </c>
      <c r="J5331" t="str">
        <f t="shared" si="2069"/>
        <v>CA</v>
      </c>
      <c r="K5331" t="str">
        <f>T("6195324334")</f>
        <v>6195324334</v>
      </c>
      <c r="L5331" t="str">
        <f>T("6195322392")</f>
        <v>6195322392</v>
      </c>
    </row>
    <row r="5332" spans="1:12" x14ac:dyDescent="0.35">
      <c r="A5332" t="str">
        <f t="shared" si="2055"/>
        <v>NAVFAC SOUTHWEST HL5</v>
      </c>
      <c r="B5332" t="str">
        <f t="shared" si="2070"/>
        <v>NAVFAC SW HRO</v>
      </c>
      <c r="C5332" t="str">
        <f t="shared" si="2071"/>
        <v>1220 PACIFIC HIGHWAY</v>
      </c>
      <c r="D5332" t="str">
        <f t="shared" si="2072"/>
        <v>SAN DIEGO</v>
      </c>
      <c r="E5332" t="str">
        <f t="shared" si="2066"/>
        <v>CA</v>
      </c>
      <c r="F5332" t="str">
        <f t="shared" si="2073"/>
        <v>921325190</v>
      </c>
      <c r="G5332" t="str">
        <f>T("NAVFAC SW HRO")</f>
        <v>NAVFAC SW HRO</v>
      </c>
      <c r="H5332" t="str">
        <f>T("1220 PACIFIC HIGHWAY")</f>
        <v>1220 PACIFIC HIGHWAY</v>
      </c>
      <c r="I5332" t="str">
        <f t="shared" si="2074"/>
        <v>SAN DIEGO</v>
      </c>
      <c r="J5332" t="str">
        <f t="shared" si="2069"/>
        <v>CA</v>
      </c>
      <c r="K5332" t="str">
        <f>T("")</f>
        <v/>
      </c>
      <c r="L5332" t="str">
        <f>T("6195324872")</f>
        <v>6195324872</v>
      </c>
    </row>
    <row r="5333" spans="1:12" x14ac:dyDescent="0.35">
      <c r="A5333" t="str">
        <f t="shared" si="2055"/>
        <v>NAVFAC SOUTHWEST HL5</v>
      </c>
      <c r="B5333" t="str">
        <f t="shared" si="2070"/>
        <v>NAVFAC SW HRO</v>
      </c>
      <c r="C5333" t="str">
        <f t="shared" si="2071"/>
        <v>1220 PACIFIC HIGHWAY</v>
      </c>
      <c r="D5333" t="str">
        <f t="shared" si="2072"/>
        <v>SAN DIEGO</v>
      </c>
      <c r="E5333" t="str">
        <f t="shared" si="2066"/>
        <v>CA</v>
      </c>
      <c r="F5333" t="str">
        <f t="shared" si="2073"/>
        <v>921325190</v>
      </c>
      <c r="G5333" t="str">
        <f>T("NAVFAC SW HRO")</f>
        <v>NAVFAC SW HRO</v>
      </c>
      <c r="H5333" t="str">
        <f>T("1220 PACIFIC HIGHWAY")</f>
        <v>1220 PACIFIC HIGHWAY</v>
      </c>
      <c r="I5333" t="str">
        <f t="shared" si="2074"/>
        <v>SAN DIEGO</v>
      </c>
      <c r="J5333" t="str">
        <f t="shared" si="2069"/>
        <v>CA</v>
      </c>
      <c r="K5333" t="str">
        <f>T("000000000000000000")</f>
        <v>000000000000000000</v>
      </c>
      <c r="L5333" t="str">
        <f>T("6195321094")</f>
        <v>6195321094</v>
      </c>
    </row>
    <row r="5334" spans="1:12" x14ac:dyDescent="0.35">
      <c r="A5334" t="str">
        <f t="shared" si="2055"/>
        <v>NAVFAC SOUTHWEST HL5</v>
      </c>
      <c r="B5334" t="str">
        <f>T("NAVFAC SW HRP")</f>
        <v>NAVFAC SW HRP</v>
      </c>
      <c r="C5334" t="str">
        <f t="shared" si="2071"/>
        <v>1220 PACIFIC HIGHWAY</v>
      </c>
      <c r="D5334" t="str">
        <f t="shared" si="2072"/>
        <v>SAN DIEGO</v>
      </c>
      <c r="E5334" t="str">
        <f t="shared" si="2066"/>
        <v>CA</v>
      </c>
      <c r="F5334" t="str">
        <f t="shared" si="2073"/>
        <v>921325190</v>
      </c>
      <c r="G5334" t="str">
        <f>T("1220 PACIFIC HWY")</f>
        <v>1220 PACIFIC HWY</v>
      </c>
      <c r="H5334" t="str">
        <f>T("BLDG 127")</f>
        <v>BLDG 127</v>
      </c>
      <c r="I5334" t="str">
        <f t="shared" si="2074"/>
        <v>SAN DIEGO</v>
      </c>
      <c r="J5334" t="str">
        <f t="shared" si="2069"/>
        <v>CA</v>
      </c>
      <c r="K5334" t="str">
        <f>T("6195324334")</f>
        <v>6195324334</v>
      </c>
      <c r="L5334" t="str">
        <f>T("6195322392")</f>
        <v>6195322392</v>
      </c>
    </row>
    <row r="5335" spans="1:12" x14ac:dyDescent="0.35">
      <c r="A5335" t="str">
        <f t="shared" si="2055"/>
        <v>NAVFAC SOUTHWEST HL5</v>
      </c>
      <c r="B5335" t="str">
        <f>T("NAVFAC SW HRP")</f>
        <v>NAVFAC SW HRP</v>
      </c>
      <c r="C5335" t="str">
        <f t="shared" si="2071"/>
        <v>1220 PACIFIC HIGHWAY</v>
      </c>
      <c r="D5335" t="str">
        <f t="shared" si="2072"/>
        <v>SAN DIEGO</v>
      </c>
      <c r="E5335" t="str">
        <f t="shared" si="2066"/>
        <v>CA</v>
      </c>
      <c r="F5335" t="str">
        <f t="shared" si="2073"/>
        <v>921325190</v>
      </c>
      <c r="G5335" t="str">
        <f>T("1220 PACIFIC HWY")</f>
        <v>1220 PACIFIC HWY</v>
      </c>
      <c r="H5335" t="str">
        <f>T("BLDG 128")</f>
        <v>BLDG 128</v>
      </c>
      <c r="I5335" t="str">
        <f t="shared" si="2074"/>
        <v>SAN DIEGO</v>
      </c>
      <c r="J5335" t="str">
        <f t="shared" si="2069"/>
        <v>CA</v>
      </c>
      <c r="K5335" t="str">
        <f>T("6195324334")</f>
        <v>6195324334</v>
      </c>
      <c r="L5335" t="str">
        <f>T("6195323375")</f>
        <v>6195323375</v>
      </c>
    </row>
    <row r="5336" spans="1:12" x14ac:dyDescent="0.35">
      <c r="A5336" t="str">
        <f t="shared" si="2055"/>
        <v>NAVFAC SOUTHWEST HL5</v>
      </c>
      <c r="B5336" t="str">
        <f>T("NAVFAC SW HRP")</f>
        <v>NAVFAC SW HRP</v>
      </c>
      <c r="C5336" t="str">
        <f t="shared" si="2071"/>
        <v>1220 PACIFIC HIGHWAY</v>
      </c>
      <c r="D5336" t="str">
        <f t="shared" si="2072"/>
        <v>SAN DIEGO</v>
      </c>
      <c r="E5336" t="str">
        <f t="shared" si="2066"/>
        <v>CA</v>
      </c>
      <c r="F5336" t="str">
        <f t="shared" si="2073"/>
        <v>921325190</v>
      </c>
      <c r="G5336" t="str">
        <f>T("NAVFAC SW HRP")</f>
        <v>NAVFAC SW HRP</v>
      </c>
      <c r="H5336" t="str">
        <f>T("1220 PACIFIC HIGHWAY")</f>
        <v>1220 PACIFIC HIGHWAY</v>
      </c>
      <c r="I5336" t="str">
        <f t="shared" si="2074"/>
        <v>SAN DIEGO</v>
      </c>
      <c r="J5336" t="str">
        <f t="shared" si="2069"/>
        <v>CA</v>
      </c>
      <c r="K5336" t="str">
        <f>T("")</f>
        <v/>
      </c>
      <c r="L5336" t="str">
        <f>T("6195324872")</f>
        <v>6195324872</v>
      </c>
    </row>
    <row r="5337" spans="1:12" x14ac:dyDescent="0.35">
      <c r="A5337" t="str">
        <f t="shared" si="2055"/>
        <v>NAVFAC SOUTHWEST HL5</v>
      </c>
      <c r="B5337" t="str">
        <f>T("NAVFAC SW RIGGER")</f>
        <v>NAVFAC SW RIGGER</v>
      </c>
      <c r="C5337" t="str">
        <f t="shared" si="2071"/>
        <v>1220 PACIFIC HIGHWAY</v>
      </c>
      <c r="D5337" t="str">
        <f t="shared" si="2072"/>
        <v>SAN DIEGO</v>
      </c>
      <c r="E5337" t="str">
        <f t="shared" si="2066"/>
        <v>CA</v>
      </c>
      <c r="F5337" t="str">
        <f t="shared" si="2073"/>
        <v>921325190</v>
      </c>
      <c r="G5337" t="str">
        <f>T("1220 PACIFIC HWY")</f>
        <v>1220 PACIFIC HWY</v>
      </c>
      <c r="H5337" t="str">
        <f>T("BLDG 128")</f>
        <v>BLDG 128</v>
      </c>
      <c r="I5337" t="str">
        <f t="shared" si="2074"/>
        <v>SAN DIEGO</v>
      </c>
      <c r="J5337" t="str">
        <f t="shared" si="2069"/>
        <v>CA</v>
      </c>
      <c r="K5337" t="str">
        <f>T("6195567451")</f>
        <v>6195567451</v>
      </c>
      <c r="L5337" t="str">
        <f>T("6195567621")</f>
        <v>6195567621</v>
      </c>
    </row>
    <row r="5338" spans="1:12" x14ac:dyDescent="0.35">
      <c r="A5338" t="str">
        <f t="shared" si="2055"/>
        <v>NAVFAC SOUTHWEST HL5</v>
      </c>
      <c r="B5338" t="str">
        <f>T("NAVFAC SW RIGGER")</f>
        <v>NAVFAC SW RIGGER</v>
      </c>
      <c r="C5338" t="str">
        <f t="shared" si="2071"/>
        <v>1220 PACIFIC HIGHWAY</v>
      </c>
      <c r="D5338" t="str">
        <f t="shared" si="2072"/>
        <v>SAN DIEGO</v>
      </c>
      <c r="E5338" t="str">
        <f t="shared" si="2066"/>
        <v>CA</v>
      </c>
      <c r="F5338" t="str">
        <f t="shared" si="2073"/>
        <v>921325190</v>
      </c>
      <c r="G5338" t="str">
        <f>T("NAVFAC SW RIGGER")</f>
        <v>NAVFAC SW RIGGER</v>
      </c>
      <c r="H5338" t="str">
        <f>T("1220 PACIFIC HIGHWAY")</f>
        <v>1220 PACIFIC HIGHWAY</v>
      </c>
      <c r="I5338" t="str">
        <f t="shared" si="2074"/>
        <v>SAN DIEGO</v>
      </c>
      <c r="J5338" t="str">
        <f t="shared" si="2069"/>
        <v>CA</v>
      </c>
      <c r="K5338" t="str">
        <f>T("000000000000000000")</f>
        <v>000000000000000000</v>
      </c>
      <c r="L5338" t="str">
        <f>T("6195567621")</f>
        <v>6195567621</v>
      </c>
    </row>
    <row r="5339" spans="1:12" x14ac:dyDescent="0.35">
      <c r="A5339" t="str">
        <f t="shared" si="2055"/>
        <v>NAVFAC SOUTHWEST HL5</v>
      </c>
      <c r="B5339" t="str">
        <f>T("NAVFAC SW SAN DIEGO")</f>
        <v>NAVFAC SW SAN DIEGO</v>
      </c>
      <c r="C5339" t="str">
        <f>T("800 SEAL BEACH BLVD")</f>
        <v>800 SEAL BEACH BLVD</v>
      </c>
      <c r="D5339" t="str">
        <f>T("SEAL BEACH")</f>
        <v>SEAL BEACH</v>
      </c>
      <c r="E5339" t="str">
        <f t="shared" si="2066"/>
        <v>CA</v>
      </c>
      <c r="F5339" t="str">
        <f>T("907405607")</f>
        <v>907405607</v>
      </c>
      <c r="G5339" t="str">
        <f>T("800 SEAL BEACH BLVD")</f>
        <v>800 SEAL BEACH BLVD</v>
      </c>
      <c r="H5339" t="str">
        <f>T("CODE N45W B230")</f>
        <v>CODE N45W B230</v>
      </c>
      <c r="I5339" t="str">
        <f>T("SEAL BEACH")</f>
        <v>SEAL BEACH</v>
      </c>
      <c r="J5339" t="str">
        <f t="shared" si="2069"/>
        <v>CA</v>
      </c>
      <c r="K5339" t="str">
        <f>T("5626267131")</f>
        <v>5626267131</v>
      </c>
      <c r="L5339" t="str">
        <f>T("5626267650")</f>
        <v>5626267650</v>
      </c>
    </row>
    <row r="5340" spans="1:12" x14ac:dyDescent="0.35">
      <c r="A5340" t="str">
        <f t="shared" si="2055"/>
        <v>NAVFAC SOUTHWEST HL5</v>
      </c>
      <c r="B5340" t="str">
        <f>T("NAVFAC SW SAN DIEGO")</f>
        <v>NAVFAC SW SAN DIEGO</v>
      </c>
      <c r="C5340" t="str">
        <f>T("800 SEAL BEACH BLVD")</f>
        <v>800 SEAL BEACH BLVD</v>
      </c>
      <c r="D5340" t="str">
        <f>T("SEAL BEACH")</f>
        <v>SEAL BEACH</v>
      </c>
      <c r="E5340" t="str">
        <f t="shared" si="2066"/>
        <v>CA</v>
      </c>
      <c r="F5340" t="str">
        <f>T("907405607")</f>
        <v>907405607</v>
      </c>
      <c r="G5340" t="str">
        <f>T("NAVAL WEAPON STATION SEAL BEACH")</f>
        <v>NAVAL WEAPON STATION SEAL BEACH</v>
      </c>
      <c r="H5340" t="str">
        <f>T("800 SEAL BEACH BLVD")</f>
        <v>800 SEAL BEACH BLVD</v>
      </c>
      <c r="I5340" t="str">
        <f>T("SEAL BEACH")</f>
        <v>SEAL BEACH</v>
      </c>
      <c r="J5340" t="str">
        <f t="shared" si="2069"/>
        <v>CA</v>
      </c>
      <c r="K5340" t="str">
        <f>T("5626267521")</f>
        <v>5626267521</v>
      </c>
      <c r="L5340" t="str">
        <f>T("5626266070")</f>
        <v>5626266070</v>
      </c>
    </row>
    <row r="5341" spans="1:12" x14ac:dyDescent="0.35">
      <c r="A5341" t="str">
        <f t="shared" si="2055"/>
        <v>NAVFAC SOUTHWEST HL5</v>
      </c>
      <c r="B5341" t="str">
        <f>T("NAVFAC SW SAN DIEGO")</f>
        <v>NAVFAC SW SAN DIEGO</v>
      </c>
      <c r="C5341" t="str">
        <f>T("800 SEAL BEACH BLVD")</f>
        <v>800 SEAL BEACH BLVD</v>
      </c>
      <c r="D5341" t="str">
        <f>T("SEAL BEACH")</f>
        <v>SEAL BEACH</v>
      </c>
      <c r="E5341" t="str">
        <f t="shared" si="2066"/>
        <v>CA</v>
      </c>
      <c r="F5341" t="str">
        <f>T("907405607")</f>
        <v>907405607</v>
      </c>
      <c r="G5341" t="str">
        <f>T("NAVFAC SW SAN DIEGO")</f>
        <v>NAVFAC SW SAN DIEGO</v>
      </c>
      <c r="H5341" t="str">
        <f>T("800 SEAL BEACH BLVD")</f>
        <v>800 SEAL BEACH BLVD</v>
      </c>
      <c r="I5341" t="str">
        <f>T("SEAL BEACH")</f>
        <v>SEAL BEACH</v>
      </c>
      <c r="J5341" t="str">
        <f t="shared" si="2069"/>
        <v>CA</v>
      </c>
      <c r="K5341" t="str">
        <f>T("000000000000000000")</f>
        <v>000000000000000000</v>
      </c>
      <c r="L5341" t="str">
        <f>T("5626266067")</f>
        <v>5626266067</v>
      </c>
    </row>
    <row r="5342" spans="1:12" x14ac:dyDescent="0.35">
      <c r="A5342" t="str">
        <f t="shared" si="2055"/>
        <v>NAVFAC SOUTHWEST HL5</v>
      </c>
      <c r="B5342" t="str">
        <f>T("NAVFAC SW VIADO")</f>
        <v>NAVFAC SW VIADO</v>
      </c>
      <c r="C5342" t="str">
        <f>T("BLDG 343 WRIGHT AVE NAVAL BASE")</f>
        <v>BLDG 343 WRIGHT AVE NAVAL BASE</v>
      </c>
      <c r="D5342" t="str">
        <f>T("CORONADO")</f>
        <v>CORONADO</v>
      </c>
      <c r="E5342" t="str">
        <f t="shared" si="2066"/>
        <v>CA</v>
      </c>
      <c r="F5342" t="str">
        <f>T("921350000")</f>
        <v>921350000</v>
      </c>
      <c r="G5342" t="str">
        <f>T("BLDG 343 WRIGHT AVE")</f>
        <v>BLDG 343 WRIGHT AVE</v>
      </c>
      <c r="H5342" t="str">
        <f>T("NAVAL AIR STATION NORTH ISLAND")</f>
        <v>NAVAL AIR STATION NORTH ISLAND</v>
      </c>
      <c r="I5342" t="str">
        <f>T("CORONADO")</f>
        <v>CORONADO</v>
      </c>
      <c r="J5342" t="str">
        <f t="shared" si="2069"/>
        <v>CA</v>
      </c>
      <c r="K5342" t="str">
        <f>T("6195451280")</f>
        <v>6195451280</v>
      </c>
      <c r="L5342" t="str">
        <f>T("6195456790")</f>
        <v>6195456790</v>
      </c>
    </row>
    <row r="5343" spans="1:12" x14ac:dyDescent="0.35">
      <c r="A5343" t="str">
        <f t="shared" si="2055"/>
        <v>NAVFAC SOUTHWEST HL5</v>
      </c>
      <c r="B5343" t="str">
        <f>T("NAVFAC SW VIADO")</f>
        <v>NAVFAC SW VIADO</v>
      </c>
      <c r="C5343" t="str">
        <f>T("BLDG 343 WRIGHT AVE NAVAL BASE")</f>
        <v>BLDG 343 WRIGHT AVE NAVAL BASE</v>
      </c>
      <c r="D5343" t="str">
        <f>T("CORONADO")</f>
        <v>CORONADO</v>
      </c>
      <c r="E5343" t="str">
        <f t="shared" si="2066"/>
        <v>CA</v>
      </c>
      <c r="F5343" t="str">
        <f>T("921350000")</f>
        <v>921350000</v>
      </c>
      <c r="G5343" t="str">
        <f>T("NAVFAC SW VIADO")</f>
        <v>NAVFAC SW VIADO</v>
      </c>
      <c r="H5343" t="str">
        <f>T("BLDG 343 WRIGHT AVE NAVAL BASE")</f>
        <v>BLDG 343 WRIGHT AVE NAVAL BASE</v>
      </c>
      <c r="I5343" t="str">
        <f>T("CORONADO")</f>
        <v>CORONADO</v>
      </c>
      <c r="J5343" t="str">
        <f t="shared" si="2069"/>
        <v>CA</v>
      </c>
      <c r="K5343" t="str">
        <f>T("000000000000000000")</f>
        <v>000000000000000000</v>
      </c>
      <c r="L5343" t="str">
        <f>T("6195458922")</f>
        <v>6195458922</v>
      </c>
    </row>
    <row r="5344" spans="1:12" x14ac:dyDescent="0.35">
      <c r="A5344" t="str">
        <f t="shared" si="2055"/>
        <v>NAVFAC SOUTHWEST HL5</v>
      </c>
      <c r="B5344" t="str">
        <f>T("NFEC SW")</f>
        <v>NFEC SW</v>
      </c>
      <c r="C5344" t="str">
        <f>T("1220 PACIFIC HIGHWAY")</f>
        <v>1220 PACIFIC HIGHWAY</v>
      </c>
      <c r="D5344" t="str">
        <f>T("SAN DIEGO")</f>
        <v>SAN DIEGO</v>
      </c>
      <c r="E5344" t="str">
        <f t="shared" si="2066"/>
        <v>CA</v>
      </c>
      <c r="F5344" t="str">
        <f>T("921325190")</f>
        <v>921325190</v>
      </c>
      <c r="G5344" t="str">
        <f>T("1220 PACIFIC HWY BLDG 128")</f>
        <v>1220 PACIFIC HWY BLDG 128</v>
      </c>
      <c r="H5344" t="str">
        <f>T("")</f>
        <v/>
      </c>
      <c r="I5344" t="str">
        <f>T("SAN DIEGO")</f>
        <v>SAN DIEGO</v>
      </c>
      <c r="J5344" t="str">
        <f t="shared" si="2069"/>
        <v>CA</v>
      </c>
      <c r="K5344" t="str">
        <f>T("6195565621")</f>
        <v>6195565621</v>
      </c>
      <c r="L5344" t="str">
        <f>T("6195566012")</f>
        <v>6195566012</v>
      </c>
    </row>
    <row r="5345" spans="1:12" x14ac:dyDescent="0.35">
      <c r="A5345" t="str">
        <f t="shared" si="2055"/>
        <v>NAVFAC SOUTHWEST HL5</v>
      </c>
      <c r="B5345" t="str">
        <f>T("NFEC SW")</f>
        <v>NFEC SW</v>
      </c>
      <c r="C5345" t="str">
        <f>T("1220 PACIFIC HIGHWAY")</f>
        <v>1220 PACIFIC HIGHWAY</v>
      </c>
      <c r="D5345" t="str">
        <f>T("SAN DIEGO")</f>
        <v>SAN DIEGO</v>
      </c>
      <c r="E5345" t="str">
        <f t="shared" si="2066"/>
        <v>CA</v>
      </c>
      <c r="F5345" t="str">
        <f>T("921325190")</f>
        <v>921325190</v>
      </c>
      <c r="G5345" t="str">
        <f>T("NAVFAC SOUTHWEST")</f>
        <v>NAVFAC SOUTHWEST</v>
      </c>
      <c r="H5345" t="str">
        <f>T("1220 PACIFIC HIGHWAY")</f>
        <v>1220 PACIFIC HIGHWAY</v>
      </c>
      <c r="I5345" t="str">
        <f>T("SAN DIEGO")</f>
        <v>SAN DIEGO</v>
      </c>
      <c r="J5345" t="str">
        <f t="shared" si="2069"/>
        <v>CA</v>
      </c>
      <c r="K5345" t="str">
        <f>T("6195322609")</f>
        <v>6195322609</v>
      </c>
      <c r="L5345" t="str">
        <f>T("6195322228")</f>
        <v>6195322228</v>
      </c>
    </row>
    <row r="5346" spans="1:12" x14ac:dyDescent="0.35">
      <c r="A5346" t="str">
        <f t="shared" si="2055"/>
        <v>NAVFAC SOUTHWEST HL5</v>
      </c>
      <c r="B5346" t="str">
        <f>T("NFEC SW")</f>
        <v>NFEC SW</v>
      </c>
      <c r="C5346" t="str">
        <f>T("1220 PACIFIC HIGHWAY")</f>
        <v>1220 PACIFIC HIGHWAY</v>
      </c>
      <c r="D5346" t="str">
        <f>T("SAN DIEGO")</f>
        <v>SAN DIEGO</v>
      </c>
      <c r="E5346" t="str">
        <f t="shared" si="2066"/>
        <v>CA</v>
      </c>
      <c r="F5346" t="str">
        <f>T("921325190")</f>
        <v>921325190</v>
      </c>
      <c r="G5346" t="str">
        <f>T("NAVFAC SOUTHWEST")</f>
        <v>NAVFAC SOUTHWEST</v>
      </c>
      <c r="H5346" t="str">
        <f>T("1220 PACIFIC HWY")</f>
        <v>1220 PACIFIC HWY</v>
      </c>
      <c r="I5346" t="str">
        <f>T("SAN DIEGO")</f>
        <v>SAN DIEGO</v>
      </c>
      <c r="J5346" t="str">
        <f t="shared" si="2069"/>
        <v>CA</v>
      </c>
      <c r="K5346" t="str">
        <f>T("000000000000000000")</f>
        <v>000000000000000000</v>
      </c>
      <c r="L5346" t="str">
        <f>T("6195324748")</f>
        <v>6195324748</v>
      </c>
    </row>
    <row r="5347" spans="1:12" x14ac:dyDescent="0.35">
      <c r="A5347" t="str">
        <f t="shared" si="2055"/>
        <v>NAVFAC SOUTHWEST HL5</v>
      </c>
      <c r="B5347" t="str">
        <f>T("NFEC SW")</f>
        <v>NFEC SW</v>
      </c>
      <c r="C5347" t="str">
        <f>T("1220 PACIFIC HIGHWAY")</f>
        <v>1220 PACIFIC HIGHWAY</v>
      </c>
      <c r="D5347" t="str">
        <f>T("SAN DIEGO")</f>
        <v>SAN DIEGO</v>
      </c>
      <c r="E5347" t="str">
        <f t="shared" si="2066"/>
        <v>CA</v>
      </c>
      <c r="F5347" t="str">
        <f>T("921325190")</f>
        <v>921325190</v>
      </c>
      <c r="G5347" t="str">
        <f>T("NFEC SW")</f>
        <v>NFEC SW</v>
      </c>
      <c r="H5347" t="str">
        <f>T("1220 PACIFIC HIGHWAY")</f>
        <v>1220 PACIFIC HIGHWAY</v>
      </c>
      <c r="I5347" t="str">
        <f>T("SAN DIEGO")</f>
        <v>SAN DIEGO</v>
      </c>
      <c r="J5347" t="str">
        <f t="shared" si="2069"/>
        <v>CA</v>
      </c>
      <c r="K5347" t="str">
        <f>T("")</f>
        <v/>
      </c>
      <c r="L5347" t="str">
        <f>T("6195321512")</f>
        <v>6195321512</v>
      </c>
    </row>
    <row r="5348" spans="1:12" x14ac:dyDescent="0.35">
      <c r="A5348" t="str">
        <f t="shared" si="2055"/>
        <v>NAVFAC SOUTHWEST HL5</v>
      </c>
      <c r="B5348" t="str">
        <f t="shared" ref="B5348:B5355" si="2075">T("PW BLDG 66")</f>
        <v>PW BLDG 66</v>
      </c>
      <c r="C5348" t="str">
        <f t="shared" ref="C5348:C5355" si="2076">T("311 MAIN ROAD SUITE 1")</f>
        <v>311 MAIN ROAD SUITE 1</v>
      </c>
      <c r="D5348" t="str">
        <f t="shared" ref="D5348:D5355" si="2077">T("PT MUGU NAWC")</f>
        <v>PT MUGU NAWC</v>
      </c>
      <c r="E5348" t="str">
        <f t="shared" si="2066"/>
        <v>CA</v>
      </c>
      <c r="F5348" t="str">
        <f t="shared" ref="F5348:F5355" si="2078">T("930425004")</f>
        <v>930425004</v>
      </c>
      <c r="G5348" t="str">
        <f>T("311 MAIN RD")</f>
        <v>311 MAIN RD</v>
      </c>
      <c r="H5348" t="str">
        <f>T("STE 1 PW BLDG 66")</f>
        <v>STE 1 PW BLDG 66</v>
      </c>
      <c r="I5348" t="str">
        <f t="shared" ref="I5348:I5354" si="2079">T("POINT MUGU NAWC")</f>
        <v>POINT MUGU NAWC</v>
      </c>
      <c r="J5348" t="str">
        <f t="shared" si="2069"/>
        <v>CA</v>
      </c>
      <c r="K5348" t="str">
        <f>T("8059821995")</f>
        <v>8059821995</v>
      </c>
      <c r="L5348" t="str">
        <f>T("8059824531")</f>
        <v>8059824531</v>
      </c>
    </row>
    <row r="5349" spans="1:12" x14ac:dyDescent="0.35">
      <c r="A5349" t="str">
        <f t="shared" si="2055"/>
        <v>NAVFAC SOUTHWEST HL5</v>
      </c>
      <c r="B5349" t="str">
        <f t="shared" si="2075"/>
        <v>PW BLDG 66</v>
      </c>
      <c r="C5349" t="str">
        <f t="shared" si="2076"/>
        <v>311 MAIN ROAD SUITE 1</v>
      </c>
      <c r="D5349" t="str">
        <f t="shared" si="2077"/>
        <v>PT MUGU NAWC</v>
      </c>
      <c r="E5349" t="str">
        <f t="shared" si="2066"/>
        <v>CA</v>
      </c>
      <c r="F5349" t="str">
        <f t="shared" si="2078"/>
        <v>930425004</v>
      </c>
      <c r="G5349" t="str">
        <f>T("311 MAIN RD STE 1")</f>
        <v>311 MAIN RD STE 1</v>
      </c>
      <c r="H5349" t="str">
        <f>T("PW BLDG 66")</f>
        <v>PW BLDG 66</v>
      </c>
      <c r="I5349" t="str">
        <f t="shared" si="2079"/>
        <v>POINT MUGU NAWC</v>
      </c>
      <c r="J5349" t="str">
        <f t="shared" si="2069"/>
        <v>CA</v>
      </c>
      <c r="K5349" t="str">
        <f>T("8059891798")</f>
        <v>8059891798</v>
      </c>
      <c r="L5349" t="str">
        <f>T("8059822353")</f>
        <v>8059822353</v>
      </c>
    </row>
    <row r="5350" spans="1:12" x14ac:dyDescent="0.35">
      <c r="A5350" t="str">
        <f t="shared" si="2055"/>
        <v>NAVFAC SOUTHWEST HL5</v>
      </c>
      <c r="B5350" t="str">
        <f t="shared" si="2075"/>
        <v>PW BLDG 66</v>
      </c>
      <c r="C5350" t="str">
        <f t="shared" si="2076"/>
        <v>311 MAIN ROAD SUITE 1</v>
      </c>
      <c r="D5350" t="str">
        <f t="shared" si="2077"/>
        <v>PT MUGU NAWC</v>
      </c>
      <c r="E5350" t="str">
        <f t="shared" ref="E5350:E5360" si="2080">T("CA")</f>
        <v>CA</v>
      </c>
      <c r="F5350" t="str">
        <f t="shared" si="2078"/>
        <v>930425004</v>
      </c>
      <c r="G5350" t="str">
        <f>T("311 MAIN RD STE 1")</f>
        <v>311 MAIN RD STE 1</v>
      </c>
      <c r="H5350" t="str">
        <f>T("PW BLDG 66")</f>
        <v>PW BLDG 66</v>
      </c>
      <c r="I5350" t="str">
        <f t="shared" si="2079"/>
        <v>POINT MUGU NAWC</v>
      </c>
      <c r="J5350" t="str">
        <f t="shared" ref="J5350:J5360" si="2081">T("CA")</f>
        <v>CA</v>
      </c>
      <c r="K5350" t="str">
        <f>T("8059891798")</f>
        <v>8059891798</v>
      </c>
      <c r="L5350" t="str">
        <f>T("8059897995")</f>
        <v>8059897995</v>
      </c>
    </row>
    <row r="5351" spans="1:12" x14ac:dyDescent="0.35">
      <c r="A5351" t="str">
        <f t="shared" si="2055"/>
        <v>NAVFAC SOUTHWEST HL5</v>
      </c>
      <c r="B5351" t="str">
        <f t="shared" si="2075"/>
        <v>PW BLDG 66</v>
      </c>
      <c r="C5351" t="str">
        <f t="shared" si="2076"/>
        <v>311 MAIN ROAD SUITE 1</v>
      </c>
      <c r="D5351" t="str">
        <f t="shared" si="2077"/>
        <v>PT MUGU NAWC</v>
      </c>
      <c r="E5351" t="str">
        <f t="shared" si="2080"/>
        <v>CA</v>
      </c>
      <c r="F5351" t="str">
        <f t="shared" si="2078"/>
        <v>930425004</v>
      </c>
      <c r="G5351" t="str">
        <f>T("311 MAIN RD STE 1")</f>
        <v>311 MAIN RD STE 1</v>
      </c>
      <c r="H5351" t="str">
        <f>T("PW BLDG 66")</f>
        <v>PW BLDG 66</v>
      </c>
      <c r="I5351" t="str">
        <f t="shared" si="2079"/>
        <v>POINT MUGU NAWC</v>
      </c>
      <c r="J5351" t="str">
        <f t="shared" si="2081"/>
        <v>CA</v>
      </c>
      <c r="K5351" t="str">
        <f>T("8059891798")</f>
        <v>8059891798</v>
      </c>
      <c r="L5351" t="str">
        <f>T("8059899732")</f>
        <v>8059899732</v>
      </c>
    </row>
    <row r="5352" spans="1:12" x14ac:dyDescent="0.35">
      <c r="A5352" t="str">
        <f t="shared" si="2055"/>
        <v>NAVFAC SOUTHWEST HL5</v>
      </c>
      <c r="B5352" t="str">
        <f t="shared" si="2075"/>
        <v>PW BLDG 66</v>
      </c>
      <c r="C5352" t="str">
        <f t="shared" si="2076"/>
        <v>311 MAIN ROAD SUITE 1</v>
      </c>
      <c r="D5352" t="str">
        <f t="shared" si="2077"/>
        <v>PT MUGU NAWC</v>
      </c>
      <c r="E5352" t="str">
        <f t="shared" si="2080"/>
        <v>CA</v>
      </c>
      <c r="F5352" t="str">
        <f t="shared" si="2078"/>
        <v>930425004</v>
      </c>
      <c r="G5352" t="str">
        <f>T("311 MAIN RD STE 1 PW BLDG 66")</f>
        <v>311 MAIN RD STE 1 PW BLDG 66</v>
      </c>
      <c r="H5352" t="str">
        <f>T("")</f>
        <v/>
      </c>
      <c r="I5352" t="str">
        <f t="shared" si="2079"/>
        <v>POINT MUGU NAWC</v>
      </c>
      <c r="J5352" t="str">
        <f t="shared" si="2081"/>
        <v>CA</v>
      </c>
      <c r="K5352" t="str">
        <f>T("8059891798")</f>
        <v>8059891798</v>
      </c>
      <c r="L5352" t="str">
        <f>T("8059899711")</f>
        <v>8059899711</v>
      </c>
    </row>
    <row r="5353" spans="1:12" x14ac:dyDescent="0.35">
      <c r="A5353" t="str">
        <f t="shared" ref="A5353:A5362" si="2082">T("NAVFAC SOUTHWEST HL5")</f>
        <v>NAVFAC SOUTHWEST HL5</v>
      </c>
      <c r="B5353" t="str">
        <f t="shared" si="2075"/>
        <v>PW BLDG 66</v>
      </c>
      <c r="C5353" t="str">
        <f t="shared" si="2076"/>
        <v>311 MAIN ROAD SUITE 1</v>
      </c>
      <c r="D5353" t="str">
        <f t="shared" si="2077"/>
        <v>PT MUGU NAWC</v>
      </c>
      <c r="E5353" t="str">
        <f t="shared" si="2080"/>
        <v>CA</v>
      </c>
      <c r="F5353" t="str">
        <f t="shared" si="2078"/>
        <v>930425004</v>
      </c>
      <c r="G5353" t="str">
        <f>T("311 MAIN RD STE 1 PW BLDG 66")</f>
        <v>311 MAIN RD STE 1 PW BLDG 66</v>
      </c>
      <c r="H5353" t="str">
        <f>T("")</f>
        <v/>
      </c>
      <c r="I5353" t="str">
        <f t="shared" si="2079"/>
        <v>POINT MUGU NAWC</v>
      </c>
      <c r="J5353" t="str">
        <f t="shared" si="2081"/>
        <v>CA</v>
      </c>
      <c r="K5353" t="str">
        <f>T("8059891798")</f>
        <v>8059891798</v>
      </c>
      <c r="L5353" t="str">
        <f>T("8059899732")</f>
        <v>8059899732</v>
      </c>
    </row>
    <row r="5354" spans="1:12" x14ac:dyDescent="0.35">
      <c r="A5354" t="str">
        <f t="shared" si="2082"/>
        <v>NAVFAC SOUTHWEST HL5</v>
      </c>
      <c r="B5354" t="str">
        <f t="shared" si="2075"/>
        <v>PW BLDG 66</v>
      </c>
      <c r="C5354" t="str">
        <f t="shared" si="2076"/>
        <v>311 MAIN ROAD SUITE 1</v>
      </c>
      <c r="D5354" t="str">
        <f t="shared" si="2077"/>
        <v>PT MUGU NAWC</v>
      </c>
      <c r="E5354" t="str">
        <f t="shared" si="2080"/>
        <v>CA</v>
      </c>
      <c r="F5354" t="str">
        <f t="shared" si="2078"/>
        <v>930425004</v>
      </c>
      <c r="G5354" t="str">
        <f>T("311 MAIN ROAD SUITE 1 PW BLDG 66")</f>
        <v>311 MAIN ROAD SUITE 1 PW BLDG 66</v>
      </c>
      <c r="H5354" t="str">
        <f>T("")</f>
        <v/>
      </c>
      <c r="I5354" t="str">
        <f t="shared" si="2079"/>
        <v>POINT MUGU NAWC</v>
      </c>
      <c r="J5354" t="str">
        <f t="shared" si="2081"/>
        <v>CA</v>
      </c>
      <c r="K5354" t="str">
        <f>T("8089891798")</f>
        <v>8089891798</v>
      </c>
      <c r="L5354" t="str">
        <f>T("8059899739")</f>
        <v>8059899739</v>
      </c>
    </row>
    <row r="5355" spans="1:12" x14ac:dyDescent="0.35">
      <c r="A5355" t="str">
        <f t="shared" si="2082"/>
        <v>NAVFAC SOUTHWEST HL5</v>
      </c>
      <c r="B5355" t="str">
        <f t="shared" si="2075"/>
        <v>PW BLDG 66</v>
      </c>
      <c r="C5355" t="str">
        <f t="shared" si="2076"/>
        <v>311 MAIN ROAD SUITE 1</v>
      </c>
      <c r="D5355" t="str">
        <f t="shared" si="2077"/>
        <v>PT MUGU NAWC</v>
      </c>
      <c r="E5355" t="str">
        <f t="shared" si="2080"/>
        <v>CA</v>
      </c>
      <c r="F5355" t="str">
        <f t="shared" si="2078"/>
        <v>930425004</v>
      </c>
      <c r="G5355" t="str">
        <f>T("PW BLDG 66")</f>
        <v>PW BLDG 66</v>
      </c>
      <c r="H5355" t="str">
        <f>T("311 MAIN ROAD SUITE 1")</f>
        <v>311 MAIN ROAD SUITE 1</v>
      </c>
      <c r="I5355" t="str">
        <f>T("PT MUGU NAWC")</f>
        <v>PT MUGU NAWC</v>
      </c>
      <c r="J5355" t="str">
        <f t="shared" si="2081"/>
        <v>CA</v>
      </c>
      <c r="K5355" t="str">
        <f>T("")</f>
        <v/>
      </c>
      <c r="L5355" t="str">
        <f>T("8059897838")</f>
        <v>8059897838</v>
      </c>
    </row>
    <row r="5356" spans="1:12" x14ac:dyDescent="0.35">
      <c r="A5356" t="str">
        <f t="shared" si="2082"/>
        <v>NAVFAC SOUTHWEST HL5</v>
      </c>
      <c r="B5356" t="str">
        <f>T("PWD, 311 MAIN ROAD (PM 66)")</f>
        <v>PWD, 311 MAIN ROAD (PM 66)</v>
      </c>
      <c r="C5356" t="str">
        <f>T("")</f>
        <v/>
      </c>
      <c r="D5356" t="str">
        <f>T("POINT MUGU NAWC")</f>
        <v>POINT MUGU NAWC</v>
      </c>
      <c r="E5356" t="str">
        <f t="shared" si="2080"/>
        <v>CA</v>
      </c>
      <c r="F5356" t="str">
        <f>T("930420001")</f>
        <v>930420001</v>
      </c>
      <c r="G5356" t="str">
        <f>T("NAVAL BASE/PWD")</f>
        <v>NAVAL BASE/PWD</v>
      </c>
      <c r="H5356" t="str">
        <f>T("311 MAIN RD BLDG  PW66")</f>
        <v>311 MAIN RD BLDG  PW66</v>
      </c>
      <c r="I5356" t="str">
        <f>T("POINT MUGU NAWC")</f>
        <v>POINT MUGU NAWC</v>
      </c>
      <c r="J5356" t="str">
        <f t="shared" si="2081"/>
        <v>CA</v>
      </c>
      <c r="K5356" t="str">
        <f>T("000000000000000000")</f>
        <v>000000000000000000</v>
      </c>
      <c r="L5356" t="str">
        <f>T("8059899732")</f>
        <v>8059899732</v>
      </c>
    </row>
    <row r="5357" spans="1:12" x14ac:dyDescent="0.35">
      <c r="A5357" t="str">
        <f t="shared" si="2082"/>
        <v>NAVFAC SOUTHWEST HL5</v>
      </c>
      <c r="B5357" t="str">
        <f>T("PWD, 311 MAIN ROAD (PM 66)")</f>
        <v>PWD, 311 MAIN ROAD (PM 66)</v>
      </c>
      <c r="C5357" t="str">
        <f>T("")</f>
        <v/>
      </c>
      <c r="D5357" t="str">
        <f>T("POINT MUGU NAWC")</f>
        <v>POINT MUGU NAWC</v>
      </c>
      <c r="E5357" t="str">
        <f t="shared" si="2080"/>
        <v>CA</v>
      </c>
      <c r="F5357" t="str">
        <f>T("930420001")</f>
        <v>930420001</v>
      </c>
      <c r="G5357" t="str">
        <f>T("NAVAL BASE/PWD")</f>
        <v>NAVAL BASE/PWD</v>
      </c>
      <c r="H5357" t="str">
        <f>T("311 MAIN RD BLDG PW66")</f>
        <v>311 MAIN RD BLDG PW66</v>
      </c>
      <c r="I5357" t="str">
        <f>T("POINT MUGU NAWC")</f>
        <v>POINT MUGU NAWC</v>
      </c>
      <c r="J5357" t="str">
        <f t="shared" si="2081"/>
        <v>CA</v>
      </c>
      <c r="K5357" t="str">
        <f>T("000000000000000000")</f>
        <v>000000000000000000</v>
      </c>
      <c r="L5357" t="str">
        <f>T("8059899732")</f>
        <v>8059899732</v>
      </c>
    </row>
    <row r="5358" spans="1:12" x14ac:dyDescent="0.35">
      <c r="A5358" t="str">
        <f t="shared" si="2082"/>
        <v>NAVFAC SOUTHWEST HL5</v>
      </c>
      <c r="B5358" t="str">
        <f>T("PWD, 311 MAIN ROAD (PM 66)")</f>
        <v>PWD, 311 MAIN ROAD (PM 66)</v>
      </c>
      <c r="C5358" t="str">
        <f>T("")</f>
        <v/>
      </c>
      <c r="D5358" t="str">
        <f>T("POINT MUGU NAWC")</f>
        <v>POINT MUGU NAWC</v>
      </c>
      <c r="E5358" t="str">
        <f t="shared" si="2080"/>
        <v>CA</v>
      </c>
      <c r="F5358" t="str">
        <f>T("930420001")</f>
        <v>930420001</v>
      </c>
      <c r="G5358" t="str">
        <f>T("PWD, 311 MAIN ROAD (PM 66)")</f>
        <v>PWD, 311 MAIN ROAD (PM 66)</v>
      </c>
      <c r="H5358" t="str">
        <f>T("")</f>
        <v/>
      </c>
      <c r="I5358" t="str">
        <f>T("POINT MUGU NAWC")</f>
        <v>POINT MUGU NAWC</v>
      </c>
      <c r="J5358" t="str">
        <f t="shared" si="2081"/>
        <v>CA</v>
      </c>
      <c r="K5358" t="str">
        <f>T("000000000000000000")</f>
        <v>000000000000000000</v>
      </c>
      <c r="L5358" t="str">
        <f>T("8059897314")</f>
        <v>8059897314</v>
      </c>
    </row>
    <row r="5359" spans="1:12" x14ac:dyDescent="0.35">
      <c r="A5359" t="str">
        <f t="shared" si="2082"/>
        <v>NAVFAC SOUTHWEST HL5</v>
      </c>
      <c r="B5359" t="str">
        <f>T("ROICC 29 PALMS")</f>
        <v>ROICC 29 PALMS</v>
      </c>
      <c r="C5359" t="str">
        <f>T("BOX 6013 BLDG MAGCC")</f>
        <v>BOX 6013 BLDG MAGCC</v>
      </c>
      <c r="D5359" t="str">
        <f>T("TWENTYNIN PLM")</f>
        <v>TWENTYNIN PLM</v>
      </c>
      <c r="E5359" t="str">
        <f t="shared" si="2080"/>
        <v>CA</v>
      </c>
      <c r="F5359" t="str">
        <f>T("922786013")</f>
        <v>922786013</v>
      </c>
      <c r="G5359" t="str">
        <f>T("ROICC 29 PALM BLDG 1138T3")</f>
        <v>ROICC 29 PALM BLDG 1138T3</v>
      </c>
      <c r="H5359" t="str">
        <f>T("PO BOX 6013 MAGCC")</f>
        <v>PO BOX 6013 MAGCC</v>
      </c>
      <c r="I5359" t="str">
        <f>T("TWENTYNINE PALMS")</f>
        <v>TWENTYNINE PALMS</v>
      </c>
      <c r="J5359" t="str">
        <f t="shared" si="2081"/>
        <v>CA</v>
      </c>
      <c r="K5359" t="str">
        <f>T("7608307436")</f>
        <v>7608307436</v>
      </c>
      <c r="L5359" t="str">
        <f>T("7608307430")</f>
        <v>7608307430</v>
      </c>
    </row>
    <row r="5360" spans="1:12" x14ac:dyDescent="0.35">
      <c r="A5360" t="str">
        <f t="shared" si="2082"/>
        <v>NAVFAC SOUTHWEST HL5</v>
      </c>
      <c r="B5360" t="str">
        <f>T("ROICC 29 PALMS")</f>
        <v>ROICC 29 PALMS</v>
      </c>
      <c r="C5360" t="str">
        <f>T("BOX 6013 BLDG MAGCC")</f>
        <v>BOX 6013 BLDG MAGCC</v>
      </c>
      <c r="D5360" t="str">
        <f>T("TWENTYNIN PLM")</f>
        <v>TWENTYNIN PLM</v>
      </c>
      <c r="E5360" t="str">
        <f t="shared" si="2080"/>
        <v>CA</v>
      </c>
      <c r="F5360" t="str">
        <f>T("922786013")</f>
        <v>922786013</v>
      </c>
      <c r="G5360" t="str">
        <f>T("ROICC 29 PALMS")</f>
        <v>ROICC 29 PALMS</v>
      </c>
      <c r="H5360" t="str">
        <f>T("BOX 6013 BLDG MAGCC")</f>
        <v>BOX 6013 BLDG MAGCC</v>
      </c>
      <c r="I5360" t="str">
        <f>T("TWENTYNIN PLM")</f>
        <v>TWENTYNIN PLM</v>
      </c>
      <c r="J5360" t="str">
        <f t="shared" si="2081"/>
        <v>CA</v>
      </c>
      <c r="K5360" t="str">
        <f>T("")</f>
        <v/>
      </c>
      <c r="L5360" t="str">
        <f>T("7608307414")</f>
        <v>7608307414</v>
      </c>
    </row>
    <row r="5361" spans="1:12" x14ac:dyDescent="0.35">
      <c r="A5361" t="str">
        <f t="shared" si="2082"/>
        <v>NAVFAC SOUTHWEST HL5</v>
      </c>
      <c r="B5361" t="str">
        <f>T("ROICC BLDG 731")</f>
        <v>ROICC BLDG 731</v>
      </c>
      <c r="C5361" t="str">
        <f>T("MCAS BOX 99129")</f>
        <v>MCAS BOX 99129</v>
      </c>
      <c r="D5361" t="str">
        <f>T("YUMA")</f>
        <v>YUMA</v>
      </c>
      <c r="E5361" t="str">
        <f>T("AZ")</f>
        <v>AZ</v>
      </c>
      <c r="F5361" t="str">
        <f>T("853699129")</f>
        <v>853699129</v>
      </c>
      <c r="G5361" t="str">
        <f>T("ROICC BLDG 731")</f>
        <v>ROICC BLDG 731</v>
      </c>
      <c r="H5361" t="str">
        <f>T("MCAS BOX 99129")</f>
        <v>MCAS BOX 99129</v>
      </c>
      <c r="I5361" t="str">
        <f>T("YUMA")</f>
        <v>YUMA</v>
      </c>
      <c r="J5361" t="str">
        <f>T("AZ")</f>
        <v>AZ</v>
      </c>
      <c r="K5361" t="str">
        <f>T("")</f>
        <v/>
      </c>
      <c r="L5361" t="str">
        <f>T("9282692048")</f>
        <v>9282692048</v>
      </c>
    </row>
    <row r="5362" spans="1:12" x14ac:dyDescent="0.35">
      <c r="A5362" t="str">
        <f t="shared" si="2082"/>
        <v>NAVFAC SOUTHWEST HL5</v>
      </c>
      <c r="B5362" t="str">
        <f>T("ROICC BLDG 731")</f>
        <v>ROICC BLDG 731</v>
      </c>
      <c r="C5362" t="str">
        <f>T("MCAS BOX 99129")</f>
        <v>MCAS BOX 99129</v>
      </c>
      <c r="D5362" t="str">
        <f>T("YUMA")</f>
        <v>YUMA</v>
      </c>
      <c r="E5362" t="str">
        <f>T("AZ")</f>
        <v>AZ</v>
      </c>
      <c r="F5362" t="str">
        <f>T("853699129")</f>
        <v>853699129</v>
      </c>
      <c r="G5362" t="str">
        <f>T("ROICC-MC AIR STATION")</f>
        <v>ROICC-MC AIR STATION</v>
      </c>
      <c r="H5362" t="str">
        <f>T("PO BOX 99129 BLDG 731")</f>
        <v>PO BOX 99129 BLDG 731</v>
      </c>
      <c r="I5362" t="str">
        <f>T("YUMA")</f>
        <v>YUMA</v>
      </c>
      <c r="J5362" t="str">
        <f>T("AZ")</f>
        <v>AZ</v>
      </c>
      <c r="K5362" t="str">
        <f>T("000000000000000000")</f>
        <v>000000000000000000</v>
      </c>
      <c r="L5362" t="str">
        <f>T("9282693542")</f>
        <v>9282693542</v>
      </c>
    </row>
    <row r="5363" spans="1:12" x14ac:dyDescent="0.35">
      <c r="A5363" t="str">
        <f t="shared" ref="A5363:A5394" si="2083">T("NAVFAC SOUTHEAST HL5")</f>
        <v>NAVFAC SOUTHEAST HL5</v>
      </c>
      <c r="B5363" t="str">
        <f>T("101 VERNON AVENUE")</f>
        <v>101 VERNON AVENUE</v>
      </c>
      <c r="C5363" t="str">
        <f>T("BUILDING 399")</f>
        <v>BUILDING 399</v>
      </c>
      <c r="D5363" t="str">
        <f>T("PANAMA CITY")</f>
        <v>PANAMA CITY</v>
      </c>
      <c r="E5363" t="str">
        <f>T("FL")</f>
        <v>FL</v>
      </c>
      <c r="F5363" t="str">
        <f>T("324077018")</f>
        <v>324077018</v>
      </c>
      <c r="G5363" t="str">
        <f>T("101 VERNON AVENUE")</f>
        <v>101 VERNON AVENUE</v>
      </c>
      <c r="H5363" t="str">
        <f>T("BUILDING 399")</f>
        <v>BUILDING 399</v>
      </c>
      <c r="I5363" t="str">
        <f>T("PANAMA CITY")</f>
        <v>PANAMA CITY</v>
      </c>
      <c r="J5363" t="str">
        <f>T("FL")</f>
        <v>FL</v>
      </c>
      <c r="K5363" t="str">
        <f>T("8502344543")</f>
        <v>8502344543</v>
      </c>
      <c r="L5363" t="str">
        <f>T("8502344140")</f>
        <v>8502344140</v>
      </c>
    </row>
    <row r="5364" spans="1:12" x14ac:dyDescent="0.35">
      <c r="A5364" t="str">
        <f t="shared" si="2083"/>
        <v>NAVFAC SOUTHEAST HL5</v>
      </c>
      <c r="B5364" t="str">
        <f>T("101 VERNON AVENUE")</f>
        <v>101 VERNON AVENUE</v>
      </c>
      <c r="C5364" t="str">
        <f>T("BUILDING 399")</f>
        <v>BUILDING 399</v>
      </c>
      <c r="D5364" t="str">
        <f>T("PANAMA CITY")</f>
        <v>PANAMA CITY</v>
      </c>
      <c r="E5364" t="str">
        <f>T("FL")</f>
        <v>FL</v>
      </c>
      <c r="F5364" t="str">
        <f>T("324077018")</f>
        <v>324077018</v>
      </c>
      <c r="G5364" t="str">
        <f>T("101 VERNON AVENUE")</f>
        <v>101 VERNON AVENUE</v>
      </c>
      <c r="H5364" t="str">
        <f>T("BUILDING 399")</f>
        <v>BUILDING 399</v>
      </c>
      <c r="I5364" t="str">
        <f>T("PANAMA CITY")</f>
        <v>PANAMA CITY</v>
      </c>
      <c r="J5364" t="str">
        <f>T("FL")</f>
        <v>FL</v>
      </c>
      <c r="K5364" t="str">
        <f>T("8502344543")</f>
        <v>8502344543</v>
      </c>
      <c r="L5364" t="str">
        <f>T("8502344920")</f>
        <v>8502344920</v>
      </c>
    </row>
    <row r="5365" spans="1:12" x14ac:dyDescent="0.35">
      <c r="A5365" t="str">
        <f t="shared" si="2083"/>
        <v>NAVFAC SOUTHEAST HL5</v>
      </c>
      <c r="B5365" t="str">
        <f>T("101 VERNON AVENUE")</f>
        <v>101 VERNON AVENUE</v>
      </c>
      <c r="C5365" t="str">
        <f>T("BUILDING 399")</f>
        <v>BUILDING 399</v>
      </c>
      <c r="D5365" t="str">
        <f>T("PANAMA CITY")</f>
        <v>PANAMA CITY</v>
      </c>
      <c r="E5365" t="str">
        <f>T("FL")</f>
        <v>FL</v>
      </c>
      <c r="F5365" t="str">
        <f>T("324077018")</f>
        <v>324077018</v>
      </c>
      <c r="G5365" t="str">
        <f>T("NAVFACSE PANAMA CITY HAZMAT")</f>
        <v>NAVFACSE PANAMA CITY HAZMAT</v>
      </c>
      <c r="H5365" t="str">
        <f>T("101 VERNON AVENUE BLDG 399")</f>
        <v>101 VERNON AVENUE BLDG 399</v>
      </c>
      <c r="I5365" t="str">
        <f>T("PANAMA CITY")</f>
        <v>PANAMA CITY</v>
      </c>
      <c r="J5365" t="str">
        <f>T("FL")</f>
        <v>FL</v>
      </c>
      <c r="K5365" t="str">
        <f>T("000000000000000000")</f>
        <v>000000000000000000</v>
      </c>
      <c r="L5365" t="str">
        <f>T("8502344707")</f>
        <v>8502344707</v>
      </c>
    </row>
    <row r="5366" spans="1:12" x14ac:dyDescent="0.35">
      <c r="A5366" t="str">
        <f t="shared" si="2083"/>
        <v>NAVFAC SOUTHEAST HL5</v>
      </c>
      <c r="B5366" t="str">
        <f>T("103 YORKTOWN AVE")</f>
        <v>103 YORKTOWN AVE</v>
      </c>
      <c r="C5366" t="str">
        <f>T("BLDG 103")</f>
        <v>BLDG 103</v>
      </c>
      <c r="D5366" t="str">
        <f>T("JACKSONVILLE")</f>
        <v>JACKSONVILLE</v>
      </c>
      <c r="E5366" t="str">
        <f>T("FL")</f>
        <v>FL</v>
      </c>
      <c r="F5366" t="str">
        <f>T("322120000")</f>
        <v>322120000</v>
      </c>
      <c r="G5366" t="str">
        <f>T("103 YORKTOWN AVE")</f>
        <v>103 YORKTOWN AVE</v>
      </c>
      <c r="H5366" t="str">
        <f>T("BLDG 103")</f>
        <v>BLDG 103</v>
      </c>
      <c r="I5366" t="str">
        <f>T("JACKSONVILLE")</f>
        <v>JACKSONVILLE</v>
      </c>
      <c r="J5366" t="str">
        <f>T("FL")</f>
        <v>FL</v>
      </c>
      <c r="K5366" t="str">
        <f>T("000000000000000000")</f>
        <v>000000000000000000</v>
      </c>
      <c r="L5366" t="str">
        <f>T("9045739744")</f>
        <v>9045739744</v>
      </c>
    </row>
    <row r="5367" spans="1:12" x14ac:dyDescent="0.35">
      <c r="A5367" t="str">
        <f t="shared" si="2083"/>
        <v>NAVFAC SOUTHEAST HL5</v>
      </c>
      <c r="B5367" t="str">
        <f>T("1251 MILITARY PARKWAY")</f>
        <v>1251 MILITARY PARKWAY</v>
      </c>
      <c r="C5367" t="str">
        <f>T("")</f>
        <v/>
      </c>
      <c r="D5367" t="str">
        <f>T("FORT WORTH")</f>
        <v>FORT WORTH</v>
      </c>
      <c r="E5367" t="str">
        <f t="shared" ref="E5367:E5372" si="2084">T("TX")</f>
        <v>TX</v>
      </c>
      <c r="F5367" t="str">
        <f>T("761271063")</f>
        <v>761271063</v>
      </c>
      <c r="G5367" t="str">
        <f>T("1251 MILITARY PARKWAY")</f>
        <v>1251 MILITARY PARKWAY</v>
      </c>
      <c r="H5367" t="str">
        <f>T("")</f>
        <v/>
      </c>
      <c r="I5367" t="str">
        <f>T("FORT WORTH")</f>
        <v>FORT WORTH</v>
      </c>
      <c r="J5367" t="str">
        <f t="shared" ref="J5367:J5372" si="2085">T("TX")</f>
        <v>TX</v>
      </c>
      <c r="K5367" t="str">
        <f>T("")</f>
        <v/>
      </c>
      <c r="L5367" t="str">
        <f>T("8177825587")</f>
        <v>8177825587</v>
      </c>
    </row>
    <row r="5368" spans="1:12" x14ac:dyDescent="0.35">
      <c r="A5368" t="str">
        <f t="shared" si="2083"/>
        <v>NAVFAC SOUTHEAST HL5</v>
      </c>
      <c r="B5368" t="str">
        <f>T("1251 MILITARY PARKWAY")</f>
        <v>1251 MILITARY PARKWAY</v>
      </c>
      <c r="C5368" t="str">
        <f>T("")</f>
        <v/>
      </c>
      <c r="D5368" t="str">
        <f>T("FORT WORTH")</f>
        <v>FORT WORTH</v>
      </c>
      <c r="E5368" t="str">
        <f t="shared" si="2084"/>
        <v>TX</v>
      </c>
      <c r="F5368" t="str">
        <f>T("761271063")</f>
        <v>761271063</v>
      </c>
      <c r="G5368" t="str">
        <f>T("1251 MILITARY PARKWAY")</f>
        <v>1251 MILITARY PARKWAY</v>
      </c>
      <c r="H5368" t="str">
        <f>T("")</f>
        <v/>
      </c>
      <c r="I5368" t="str">
        <f>T("FT WORTH")</f>
        <v>FT WORTH</v>
      </c>
      <c r="J5368" t="str">
        <f t="shared" si="2085"/>
        <v>TX</v>
      </c>
      <c r="K5368" t="str">
        <f>T("817-782-6526")</f>
        <v>817-782-6526</v>
      </c>
      <c r="L5368" t="str">
        <f>T("8177826802")</f>
        <v>8177826802</v>
      </c>
    </row>
    <row r="5369" spans="1:12" x14ac:dyDescent="0.35">
      <c r="A5369" t="str">
        <f t="shared" si="2083"/>
        <v>NAVFAC SOUTHEAST HL5</v>
      </c>
      <c r="B5369" t="str">
        <f>T("1251 MILITARY PARKWAY")</f>
        <v>1251 MILITARY PARKWAY</v>
      </c>
      <c r="C5369" t="str">
        <f>T("")</f>
        <v/>
      </c>
      <c r="D5369" t="str">
        <f>T("FORT WORTH")</f>
        <v>FORT WORTH</v>
      </c>
      <c r="E5369" t="str">
        <f t="shared" si="2084"/>
        <v>TX</v>
      </c>
      <c r="F5369" t="str">
        <f>T("761271063")</f>
        <v>761271063</v>
      </c>
      <c r="G5369" t="str">
        <f>T("1251 MILITARY PKWY")</f>
        <v>1251 MILITARY PKWY</v>
      </c>
      <c r="H5369" t="str">
        <f>T("")</f>
        <v/>
      </c>
      <c r="I5369" t="str">
        <f>T("FORT WORTH")</f>
        <v>FORT WORTH</v>
      </c>
      <c r="J5369" t="str">
        <f t="shared" si="2085"/>
        <v>TX</v>
      </c>
      <c r="K5369" t="str">
        <f>T("8177825578")</f>
        <v>8177825578</v>
      </c>
      <c r="L5369" t="str">
        <f>T("8177825546")</f>
        <v>8177825546</v>
      </c>
    </row>
    <row r="5370" spans="1:12" x14ac:dyDescent="0.35">
      <c r="A5370" t="str">
        <f t="shared" si="2083"/>
        <v>NAVFAC SOUTHEAST HL5</v>
      </c>
      <c r="B5370" t="str">
        <f>T("1251 MILITARY PARKWAY")</f>
        <v>1251 MILITARY PARKWAY</v>
      </c>
      <c r="C5370" t="str">
        <f>T("")</f>
        <v/>
      </c>
      <c r="D5370" t="str">
        <f>T("FORT WORTH")</f>
        <v>FORT WORTH</v>
      </c>
      <c r="E5370" t="str">
        <f t="shared" si="2084"/>
        <v>TX</v>
      </c>
      <c r="F5370" t="str">
        <f>T("761271063")</f>
        <v>761271063</v>
      </c>
      <c r="G5370" t="str">
        <f>T("NAVFAC SE PWD FT WORTH")</f>
        <v>NAVFAC SE PWD FT WORTH</v>
      </c>
      <c r="H5370" t="str">
        <f>T("1215 DEPOT AVE")</f>
        <v>1215 DEPOT AVE</v>
      </c>
      <c r="I5370" t="str">
        <f>T("NAVAL AIR STATION/ JRB")</f>
        <v>NAVAL AIR STATION/ JRB</v>
      </c>
      <c r="J5370" t="str">
        <f t="shared" si="2085"/>
        <v>TX</v>
      </c>
      <c r="K5370" t="str">
        <f>T("000000000000000000")</f>
        <v>000000000000000000</v>
      </c>
      <c r="L5370" t="str">
        <f>T("8177826801")</f>
        <v>8177826801</v>
      </c>
    </row>
    <row r="5371" spans="1:12" x14ac:dyDescent="0.35">
      <c r="A5371" t="str">
        <f t="shared" si="2083"/>
        <v>NAVFAC SOUTHEAST HL5</v>
      </c>
      <c r="B5371" t="str">
        <f>T("201 NIMITZ AVE")</f>
        <v>201 NIMITZ AVE</v>
      </c>
      <c r="C5371" t="str">
        <f>T("SUITE 21A")</f>
        <v>SUITE 21A</v>
      </c>
      <c r="D5371" t="str">
        <f>T("KINGSVILLE")</f>
        <v>KINGSVILLE</v>
      </c>
      <c r="E5371" t="str">
        <f t="shared" si="2084"/>
        <v>TX</v>
      </c>
      <c r="F5371" t="str">
        <f>T("783635101")</f>
        <v>783635101</v>
      </c>
      <c r="G5371" t="str">
        <f>T("201 NIMITZ AVE")</f>
        <v>201 NIMITZ AVE</v>
      </c>
      <c r="H5371" t="str">
        <f>T("BLDG 4711 RM 5")</f>
        <v>BLDG 4711 RM 5</v>
      </c>
      <c r="I5371" t="str">
        <f>T("NAS KINGSVILLE")</f>
        <v>NAS KINGSVILLE</v>
      </c>
      <c r="J5371" t="str">
        <f t="shared" si="2085"/>
        <v>TX</v>
      </c>
      <c r="K5371" t="str">
        <f>T("000000000000000000")</f>
        <v>000000000000000000</v>
      </c>
      <c r="L5371" t="str">
        <f>T("3615166470")</f>
        <v>3615166470</v>
      </c>
    </row>
    <row r="5372" spans="1:12" x14ac:dyDescent="0.35">
      <c r="A5372" t="str">
        <f t="shared" si="2083"/>
        <v>NAVFAC SOUTHEAST HL5</v>
      </c>
      <c r="B5372" t="str">
        <f>T("201 NIMITZ AVE")</f>
        <v>201 NIMITZ AVE</v>
      </c>
      <c r="C5372" t="str">
        <f>T("SUITE 21A")</f>
        <v>SUITE 21A</v>
      </c>
      <c r="D5372" t="str">
        <f>T("KINGSVILLE")</f>
        <v>KINGSVILLE</v>
      </c>
      <c r="E5372" t="str">
        <f t="shared" si="2084"/>
        <v>TX</v>
      </c>
      <c r="F5372" t="str">
        <f>T("783635101")</f>
        <v>783635101</v>
      </c>
      <c r="G5372" t="str">
        <f>T("201 NIMITZ AVE")</f>
        <v>201 NIMITZ AVE</v>
      </c>
      <c r="H5372" t="str">
        <f>T("SUITE 21A")</f>
        <v>SUITE 21A</v>
      </c>
      <c r="I5372" t="str">
        <f>T("KINGSVILLE")</f>
        <v>KINGSVILLE</v>
      </c>
      <c r="J5372" t="str">
        <f t="shared" si="2085"/>
        <v>TX</v>
      </c>
      <c r="K5372" t="str">
        <f>T("")</f>
        <v/>
      </c>
      <c r="L5372" t="str">
        <f>T("3615166060")</f>
        <v>3615166060</v>
      </c>
    </row>
    <row r="5373" spans="1:12" x14ac:dyDescent="0.35">
      <c r="A5373" t="str">
        <f t="shared" si="2083"/>
        <v>NAVFAC SOUTHEAST HL5</v>
      </c>
      <c r="B5373" t="str">
        <f>T("4201 MCKINNEY AVE")</f>
        <v>4201 MCKINNEY AVE</v>
      </c>
      <c r="C5373" t="str">
        <f>T("")</f>
        <v/>
      </c>
      <c r="D5373" t="str">
        <f>T("GULFPORT")</f>
        <v>GULFPORT</v>
      </c>
      <c r="E5373" t="str">
        <f>T("MS")</f>
        <v>MS</v>
      </c>
      <c r="F5373" t="str">
        <f>T("395019003")</f>
        <v>395019003</v>
      </c>
      <c r="G5373" t="str">
        <f>T("4201 MCKINNEY AVE")</f>
        <v>4201 MCKINNEY AVE</v>
      </c>
      <c r="H5373" t="str">
        <f>T("")</f>
        <v/>
      </c>
      <c r="I5373" t="str">
        <f>T("GULFPORT")</f>
        <v>GULFPORT</v>
      </c>
      <c r="J5373" t="str">
        <f>T("MS")</f>
        <v>MS</v>
      </c>
      <c r="K5373" t="str">
        <f>T("2288713384")</f>
        <v>2288713384</v>
      </c>
      <c r="L5373" t="str">
        <f>T("2288225486")</f>
        <v>2288225486</v>
      </c>
    </row>
    <row r="5374" spans="1:12" x14ac:dyDescent="0.35">
      <c r="A5374" t="str">
        <f t="shared" si="2083"/>
        <v>NAVFAC SOUTHEAST HL5</v>
      </c>
      <c r="B5374" t="str">
        <f>T("4201 MCKINNEY AVE")</f>
        <v>4201 MCKINNEY AVE</v>
      </c>
      <c r="C5374" t="str">
        <f>T("")</f>
        <v/>
      </c>
      <c r="D5374" t="str">
        <f>T("GULFPORT")</f>
        <v>GULFPORT</v>
      </c>
      <c r="E5374" t="str">
        <f>T("MS")</f>
        <v>MS</v>
      </c>
      <c r="F5374" t="str">
        <f>T("395019003")</f>
        <v>395019003</v>
      </c>
      <c r="G5374" t="str">
        <f>T("4201 MCKINNEY AVE")</f>
        <v>4201 MCKINNEY AVE</v>
      </c>
      <c r="H5374" t="str">
        <f>T("")</f>
        <v/>
      </c>
      <c r="I5374" t="str">
        <f>T("GULFPORT")</f>
        <v>GULFPORT</v>
      </c>
      <c r="J5374" t="str">
        <f>T("MS")</f>
        <v>MS</v>
      </c>
      <c r="K5374" t="str">
        <f>T("2288713384")</f>
        <v>2288713384</v>
      </c>
      <c r="L5374" t="str">
        <f>T("2288712197")</f>
        <v>2288712197</v>
      </c>
    </row>
    <row r="5375" spans="1:12" x14ac:dyDescent="0.35">
      <c r="A5375" t="str">
        <f t="shared" si="2083"/>
        <v>NAVFAC SOUTHEAST HL5</v>
      </c>
      <c r="B5375" t="str">
        <f>T("4201 MCKINNEY AVE")</f>
        <v>4201 MCKINNEY AVE</v>
      </c>
      <c r="C5375" t="str">
        <f>T("")</f>
        <v/>
      </c>
      <c r="D5375" t="str">
        <f>T("GULFPORT")</f>
        <v>GULFPORT</v>
      </c>
      <c r="E5375" t="str">
        <f>T("MS")</f>
        <v>MS</v>
      </c>
      <c r="F5375" t="str">
        <f>T("395019003")</f>
        <v>395019003</v>
      </c>
      <c r="G5375" t="str">
        <f>T("PWC NAVAL CONST BATT CENTER")</f>
        <v>PWC NAVAL CONST BATT CENTER</v>
      </c>
      <c r="H5375" t="str">
        <f>T("4201 MCKINNEY AVEBLDG9CODE440P")</f>
        <v>4201 MCKINNEY AVEBLDG9CODE440P</v>
      </c>
      <c r="I5375" t="str">
        <f>T("GULFPORT")</f>
        <v>GULFPORT</v>
      </c>
      <c r="J5375" t="str">
        <f>T("MS")</f>
        <v>MS</v>
      </c>
      <c r="K5375" t="str">
        <f>T("000000000000000000")</f>
        <v>000000000000000000</v>
      </c>
      <c r="L5375" t="str">
        <f>T("2288712861")</f>
        <v>2288712861</v>
      </c>
    </row>
    <row r="5376" spans="1:12" x14ac:dyDescent="0.35">
      <c r="A5376" t="str">
        <f t="shared" si="2083"/>
        <v>NAVFAC SOUTHEAST HL5</v>
      </c>
      <c r="B5376" t="str">
        <f>T("5722 INTEGRITY DR")</f>
        <v>5722 INTEGRITY DR</v>
      </c>
      <c r="C5376" t="str">
        <f>T("BLDG 455")</f>
        <v>BLDG 455</v>
      </c>
      <c r="D5376" t="str">
        <f>T("MILLINGTON")</f>
        <v>MILLINGTON</v>
      </c>
      <c r="E5376" t="str">
        <f>T("TN")</f>
        <v>TN</v>
      </c>
      <c r="F5376" t="str">
        <f>T("380545028")</f>
        <v>380545028</v>
      </c>
      <c r="G5376" t="str">
        <f>T("5722 INTEGRITY DR")</f>
        <v>5722 INTEGRITY DR</v>
      </c>
      <c r="H5376" t="str">
        <f>T("BLDG 455")</f>
        <v>BLDG 455</v>
      </c>
      <c r="I5376" t="str">
        <f>T("MILLINGTON")</f>
        <v>MILLINGTON</v>
      </c>
      <c r="J5376" t="str">
        <f>T("TN")</f>
        <v>TN</v>
      </c>
      <c r="K5376" t="str">
        <f>T("901-874-5300")</f>
        <v>901-874-5300</v>
      </c>
      <c r="L5376" t="str">
        <f>T("9018745844")</f>
        <v>9018745844</v>
      </c>
    </row>
    <row r="5377" spans="1:12" x14ac:dyDescent="0.35">
      <c r="A5377" t="str">
        <f t="shared" si="2083"/>
        <v>NAVFAC SOUTHEAST HL5</v>
      </c>
      <c r="B5377" t="str">
        <f>T("5722 INTEGRITY DR")</f>
        <v>5722 INTEGRITY DR</v>
      </c>
      <c r="C5377" t="str">
        <f>T("BLDG 455")</f>
        <v>BLDG 455</v>
      </c>
      <c r="D5377" t="str">
        <f>T("MILLINGTON")</f>
        <v>MILLINGTON</v>
      </c>
      <c r="E5377" t="str">
        <f>T("TN")</f>
        <v>TN</v>
      </c>
      <c r="F5377" t="str">
        <f>T("380545028")</f>
        <v>380545028</v>
      </c>
      <c r="G5377" t="str">
        <f>T("PUBLIC WORKS DEPARTMENT")</f>
        <v>PUBLIC WORKS DEPARTMENT</v>
      </c>
      <c r="H5377" t="str">
        <f>T("5722 INTEGRITY DR D MORGAN")</f>
        <v>5722 INTEGRITY DR D MORGAN</v>
      </c>
      <c r="I5377" t="str">
        <f>T("MILLINGTON")</f>
        <v>MILLINGTON</v>
      </c>
      <c r="J5377" t="str">
        <f>T("TN")</f>
        <v>TN</v>
      </c>
      <c r="K5377" t="str">
        <f>T("9018745300")</f>
        <v>9018745300</v>
      </c>
      <c r="L5377" t="str">
        <f>T("9018745438")</f>
        <v>9018745438</v>
      </c>
    </row>
    <row r="5378" spans="1:12" x14ac:dyDescent="0.35">
      <c r="A5378" t="str">
        <f t="shared" si="2083"/>
        <v>NAVFAC SOUTHEAST HL5</v>
      </c>
      <c r="B5378" t="str">
        <f>T("8851 OCEAN DRIVE")</f>
        <v>8851 OCEAN DRIVE</v>
      </c>
      <c r="C5378" t="str">
        <f>T("BLDG 19")</f>
        <v>BLDG 19</v>
      </c>
      <c r="D5378" t="str">
        <f>T("CORP CHRISTI")</f>
        <v>CORP CHRISTI</v>
      </c>
      <c r="E5378" t="str">
        <f>T("TX")</f>
        <v>TX</v>
      </c>
      <c r="F5378" t="str">
        <f>T("784195202")</f>
        <v>784195202</v>
      </c>
      <c r="G5378" t="str">
        <f>T("8851 OCEAN DR")</f>
        <v>8851 OCEAN DR</v>
      </c>
      <c r="H5378" t="str">
        <f>T("BLDG 19")</f>
        <v>BLDG 19</v>
      </c>
      <c r="I5378" t="str">
        <f>T("CORPUS CHRISTI")</f>
        <v>CORPUS CHRISTI</v>
      </c>
      <c r="J5378" t="str">
        <f>T("TX")</f>
        <v>TX</v>
      </c>
      <c r="K5378" t="str">
        <f>T("3619612081")</f>
        <v>3619612081</v>
      </c>
      <c r="L5378" t="str">
        <f>T("3619612211")</f>
        <v>3619612211</v>
      </c>
    </row>
    <row r="5379" spans="1:12" x14ac:dyDescent="0.35">
      <c r="A5379" t="str">
        <f t="shared" si="2083"/>
        <v>NAVFAC SOUTHEAST HL5</v>
      </c>
      <c r="B5379" t="str">
        <f>T("8851 OCEAN DRIVE")</f>
        <v>8851 OCEAN DRIVE</v>
      </c>
      <c r="C5379" t="str">
        <f>T("BLDG 19")</f>
        <v>BLDG 19</v>
      </c>
      <c r="D5379" t="str">
        <f>T("CORP CHRISTI")</f>
        <v>CORP CHRISTI</v>
      </c>
      <c r="E5379" t="str">
        <f>T("TX")</f>
        <v>TX</v>
      </c>
      <c r="F5379" t="str">
        <f>T("784195202")</f>
        <v>784195202</v>
      </c>
      <c r="G5379" t="str">
        <f>T("8851 OCEAN DR")</f>
        <v>8851 OCEAN DR</v>
      </c>
      <c r="H5379" t="str">
        <f>T("BLDG 19")</f>
        <v>BLDG 19</v>
      </c>
      <c r="I5379" t="str">
        <f>T("CORPUS CHRISTI")</f>
        <v>CORPUS CHRISTI</v>
      </c>
      <c r="J5379" t="str">
        <f>T("TX")</f>
        <v>TX</v>
      </c>
      <c r="K5379" t="str">
        <f>T("3619612081")</f>
        <v>3619612081</v>
      </c>
      <c r="L5379" t="str">
        <f>T("3619612212")</f>
        <v>3619612212</v>
      </c>
    </row>
    <row r="5380" spans="1:12" x14ac:dyDescent="0.35">
      <c r="A5380" t="str">
        <f t="shared" si="2083"/>
        <v>NAVFAC SOUTHEAST HL5</v>
      </c>
      <c r="B5380" t="str">
        <f>T("8851 OCEAN DRIVE")</f>
        <v>8851 OCEAN DRIVE</v>
      </c>
      <c r="C5380" t="str">
        <f>T("BLDG 19")</f>
        <v>BLDG 19</v>
      </c>
      <c r="D5380" t="str">
        <f>T("CORP CHRISTI")</f>
        <v>CORP CHRISTI</v>
      </c>
      <c r="E5380" t="str">
        <f>T("TX")</f>
        <v>TX</v>
      </c>
      <c r="F5380" t="str">
        <f>T("784195202")</f>
        <v>784195202</v>
      </c>
      <c r="G5380" t="str">
        <f>T("8851 OCEAN DRIVE")</f>
        <v>8851 OCEAN DRIVE</v>
      </c>
      <c r="H5380" t="str">
        <f>T("BLDG 19")</f>
        <v>BLDG 19</v>
      </c>
      <c r="I5380" t="str">
        <f>T("CORP CHRISTI")</f>
        <v>CORP CHRISTI</v>
      </c>
      <c r="J5380" t="str">
        <f>T("TX")</f>
        <v>TX</v>
      </c>
      <c r="K5380" t="str">
        <f>T("")</f>
        <v/>
      </c>
      <c r="L5380" t="str">
        <f>T("3619614959")</f>
        <v>3619614959</v>
      </c>
    </row>
    <row r="5381" spans="1:12" x14ac:dyDescent="0.35">
      <c r="A5381" t="str">
        <f t="shared" si="2083"/>
        <v>NAVFAC SOUTHEAST HL5</v>
      </c>
      <c r="B5381" t="str">
        <f>T("902 YORKTOWN AVE BX 30 BLDG 902")</f>
        <v>902 YORKTOWN AVE BX 30 BLDG 902</v>
      </c>
      <c r="C5381" t="str">
        <f>T("NAVAL AIR STATION JACKSONVILLE")</f>
        <v>NAVAL AIR STATION JACKSONVILLE</v>
      </c>
      <c r="D5381" t="str">
        <f>T("JACKSONVILLE")</f>
        <v>JACKSONVILLE</v>
      </c>
      <c r="E5381" t="str">
        <f>T("FL")</f>
        <v>FL</v>
      </c>
      <c r="F5381" t="str">
        <f>T("322120030")</f>
        <v>322120030</v>
      </c>
      <c r="G5381" t="str">
        <f>T("902 YORKTOWN AVE BX 30 BLDG 902")</f>
        <v>902 YORKTOWN AVE BX 30 BLDG 902</v>
      </c>
      <c r="H5381" t="str">
        <f>T("NAVAL AIR STATION JACKSONVILLE")</f>
        <v>NAVAL AIR STATION JACKSONVILLE</v>
      </c>
      <c r="I5381" t="str">
        <f>T("JACKSONVILLE")</f>
        <v>JACKSONVILLE</v>
      </c>
      <c r="J5381" t="str">
        <f>T("FL")</f>
        <v>FL</v>
      </c>
      <c r="K5381" t="str">
        <f>T("9045428710")</f>
        <v>9045428710</v>
      </c>
      <c r="L5381" t="str">
        <f>T("9045426235")</f>
        <v>9045426235</v>
      </c>
    </row>
    <row r="5382" spans="1:12" x14ac:dyDescent="0.35">
      <c r="A5382" t="str">
        <f t="shared" si="2083"/>
        <v>NAVFAC SOUTHEAST HL5</v>
      </c>
      <c r="B5382" t="str">
        <f>T("902 YORKTOWN AVE BX 30 BLDG 902")</f>
        <v>902 YORKTOWN AVE BX 30 BLDG 902</v>
      </c>
      <c r="C5382" t="str">
        <f>T("NAVAL AIR STATION JACKSONVILLE")</f>
        <v>NAVAL AIR STATION JACKSONVILLE</v>
      </c>
      <c r="D5382" t="str">
        <f>T("JACKSONVILLE")</f>
        <v>JACKSONVILLE</v>
      </c>
      <c r="E5382" t="str">
        <f>T("FL")</f>
        <v>FL</v>
      </c>
      <c r="F5382" t="str">
        <f>T("322120030")</f>
        <v>322120030</v>
      </c>
      <c r="G5382" t="str">
        <f>T("NAVAL AIR STATION JACKSONVILLE")</f>
        <v>NAVAL AIR STATION JACKSONVILLE</v>
      </c>
      <c r="H5382" t="str">
        <f>T("BUILDING 902")</f>
        <v>BUILDING 902</v>
      </c>
      <c r="I5382" t="str">
        <f>T("JACKSONVILLE")</f>
        <v>JACKSONVILLE</v>
      </c>
      <c r="J5382" t="str">
        <f>T("FL")</f>
        <v>FL</v>
      </c>
      <c r="K5382" t="str">
        <f>T("9045428710")</f>
        <v>9045428710</v>
      </c>
      <c r="L5382" t="str">
        <f>T("9045426052")</f>
        <v>9045426052</v>
      </c>
    </row>
    <row r="5383" spans="1:12" x14ac:dyDescent="0.35">
      <c r="A5383" t="str">
        <f t="shared" si="2083"/>
        <v>NAVFAC SOUTHEAST HL5</v>
      </c>
      <c r="B5383" t="str">
        <f>T("902 YORKTOWN AVE BX 30 BLDG 902")</f>
        <v>902 YORKTOWN AVE BX 30 BLDG 902</v>
      </c>
      <c r="C5383" t="str">
        <f>T("NAVAL AIR STATION JACKSONVILLE")</f>
        <v>NAVAL AIR STATION JACKSONVILLE</v>
      </c>
      <c r="D5383" t="str">
        <f>T("JACKSONVILLE")</f>
        <v>JACKSONVILLE</v>
      </c>
      <c r="E5383" t="str">
        <f>T("FL")</f>
        <v>FL</v>
      </c>
      <c r="F5383" t="str">
        <f>T("322120030")</f>
        <v>322120030</v>
      </c>
      <c r="G5383" t="str">
        <f>T("NAVAL AIR STATION JACKSONVILLE")</f>
        <v>NAVAL AIR STATION JACKSONVILLE</v>
      </c>
      <c r="H5383" t="str">
        <f>T("P O BOX 30 BLDG 902")</f>
        <v>P O BOX 30 BLDG 902</v>
      </c>
      <c r="I5383" t="str">
        <f>T("JACKSONVILLE")</f>
        <v>JACKSONVILLE</v>
      </c>
      <c r="J5383" t="str">
        <f>T("FL")</f>
        <v>FL</v>
      </c>
      <c r="K5383" t="str">
        <f>T("9045428710")</f>
        <v>9045428710</v>
      </c>
      <c r="L5383" t="str">
        <f>T("9045426052")</f>
        <v>9045426052</v>
      </c>
    </row>
    <row r="5384" spans="1:12" x14ac:dyDescent="0.35">
      <c r="A5384" t="str">
        <f t="shared" si="2083"/>
        <v>NAVFAC SOUTHEAST HL5</v>
      </c>
      <c r="B5384" t="str">
        <f>T("9035 OCEAN DRIVE")</f>
        <v>9035 OCEAN DRIVE</v>
      </c>
      <c r="C5384" t="str">
        <f>T("BUILDING 10")</f>
        <v>BUILDING 10</v>
      </c>
      <c r="D5384" t="str">
        <f>T("CORPUS CHRISTI")</f>
        <v>CORPUS CHRISTI</v>
      </c>
      <c r="E5384" t="str">
        <f>T("TX")</f>
        <v>TX</v>
      </c>
      <c r="F5384" t="str">
        <f>T("784195204")</f>
        <v>784195204</v>
      </c>
      <c r="G5384" t="str">
        <f>T("9035 OCEAN DRIVE")</f>
        <v>9035 OCEAN DRIVE</v>
      </c>
      <c r="H5384" t="str">
        <f>T("BUILDING 10")</f>
        <v>BUILDING 10</v>
      </c>
      <c r="I5384" t="str">
        <f>T("CORPUS CHRISTI")</f>
        <v>CORPUS CHRISTI</v>
      </c>
      <c r="J5384" t="str">
        <f>T("TX")</f>
        <v>TX</v>
      </c>
      <c r="K5384" t="str">
        <f>T("")</f>
        <v/>
      </c>
      <c r="L5384" t="str">
        <f>T("3619612400")</f>
        <v>3619612400</v>
      </c>
    </row>
    <row r="5385" spans="1:12" x14ac:dyDescent="0.35">
      <c r="A5385" t="str">
        <f t="shared" si="2083"/>
        <v>NAVFAC SOUTHEAST HL5</v>
      </c>
      <c r="B5385" t="str">
        <f>T("9035 OCEAN DRIVE")</f>
        <v>9035 OCEAN DRIVE</v>
      </c>
      <c r="C5385" t="str">
        <f>T("BUILDING 10")</f>
        <v>BUILDING 10</v>
      </c>
      <c r="D5385" t="str">
        <f>T("CORPUS CHRISTI")</f>
        <v>CORPUS CHRISTI</v>
      </c>
      <c r="E5385" t="str">
        <f>T("TX")</f>
        <v>TX</v>
      </c>
      <c r="F5385" t="str">
        <f>T("784195204")</f>
        <v>784195204</v>
      </c>
      <c r="G5385" t="str">
        <f>T("FLCJ NAS CORPUS CHRISTI TX")</f>
        <v>FLCJ NAS CORPUS CHRISTI TX</v>
      </c>
      <c r="H5385" t="str">
        <f>T("9035 OCEAN DR")</f>
        <v>9035 OCEAN DR</v>
      </c>
      <c r="I5385" t="str">
        <f>T("CORPUS CHRISTI")</f>
        <v>CORPUS CHRISTI</v>
      </c>
      <c r="J5385" t="str">
        <f>T("TX")</f>
        <v>TX</v>
      </c>
      <c r="K5385" t="str">
        <f>T("3619612227")</f>
        <v>3619612227</v>
      </c>
      <c r="L5385" t="str">
        <f>T("3619613727")</f>
        <v>3619613727</v>
      </c>
    </row>
    <row r="5386" spans="1:12" x14ac:dyDescent="0.35">
      <c r="A5386" t="str">
        <f t="shared" si="2083"/>
        <v>NAVFAC SOUTHEAST HL5</v>
      </c>
      <c r="B5386" t="str">
        <f>T("9035 OCEAN DRIVE")</f>
        <v>9035 OCEAN DRIVE</v>
      </c>
      <c r="C5386" t="str">
        <f>T("BUILDING 10")</f>
        <v>BUILDING 10</v>
      </c>
      <c r="D5386" t="str">
        <f>T("CORPUS CHRISTI")</f>
        <v>CORPUS CHRISTI</v>
      </c>
      <c r="E5386" t="str">
        <f>T("TX")</f>
        <v>TX</v>
      </c>
      <c r="F5386" t="str">
        <f>T("784195204")</f>
        <v>784195204</v>
      </c>
      <c r="G5386" t="str">
        <f>T("NAVFAC SE KINGSVILLE")</f>
        <v>NAVFAC SE KINGSVILLE</v>
      </c>
      <c r="H5386" t="str">
        <f>T("330 MOFFETT AVE SUITE 101")</f>
        <v>330 MOFFETT AVE SUITE 101</v>
      </c>
      <c r="I5386" t="str">
        <f>T("KINGSVILLE")</f>
        <v>KINGSVILLE</v>
      </c>
      <c r="J5386" t="str">
        <f>T("TX")</f>
        <v>TX</v>
      </c>
      <c r="K5386" t="str">
        <f>T("3615164950")</f>
        <v>3615164950</v>
      </c>
      <c r="L5386" t="str">
        <f>T("3615166607")</f>
        <v>3615166607</v>
      </c>
    </row>
    <row r="5387" spans="1:12" x14ac:dyDescent="0.35">
      <c r="A5387" t="str">
        <f t="shared" si="2083"/>
        <v>NAVFAC SOUTHEAST HL5</v>
      </c>
      <c r="B5387" t="str">
        <f>T("9035 OCEAN DRIVE")</f>
        <v>9035 OCEAN DRIVE</v>
      </c>
      <c r="C5387" t="str">
        <f>T("BUILDING 10")</f>
        <v>BUILDING 10</v>
      </c>
      <c r="D5387" t="str">
        <f>T("CORPUS CHRISTI")</f>
        <v>CORPUS CHRISTI</v>
      </c>
      <c r="E5387" t="str">
        <f>T("TX")</f>
        <v>TX</v>
      </c>
      <c r="F5387" t="str">
        <f>T("784195204")</f>
        <v>784195204</v>
      </c>
      <c r="G5387" t="str">
        <f>T("NAVFAC SE PWD CORPUS CHRISTI")</f>
        <v>NAVFAC SE PWD CORPUS CHRISTI</v>
      </c>
      <c r="H5387" t="str">
        <f>T("8851 OCEAN DRIVE BLDG 19")</f>
        <v>8851 OCEAN DRIVE BLDG 19</v>
      </c>
      <c r="I5387" t="str">
        <f>T("CORPUS CHRISTI")</f>
        <v>CORPUS CHRISTI</v>
      </c>
      <c r="J5387" t="str">
        <f>T("TX")</f>
        <v>TX</v>
      </c>
      <c r="K5387" t="str">
        <f>T("3619613858")</f>
        <v>3619613858</v>
      </c>
      <c r="L5387" t="str">
        <f>T("3619613726")</f>
        <v>3619613726</v>
      </c>
    </row>
    <row r="5388" spans="1:12" x14ac:dyDescent="0.35">
      <c r="A5388" t="str">
        <f t="shared" si="2083"/>
        <v>NAVFAC SOUTHEAST HL5</v>
      </c>
      <c r="B5388" t="str">
        <f t="shared" ref="B5388:B5393" si="2086">T("FLC DET KEY WEST PO BX 9030")</f>
        <v>FLC DET KEY WEST PO BX 9030</v>
      </c>
      <c r="C5388" t="str">
        <f t="shared" ref="C5388:C5393" si="2087">T("BLDG A626 RANDOLPH AVE")</f>
        <v>BLDG A626 RANDOLPH AVE</v>
      </c>
      <c r="D5388" t="str">
        <f t="shared" ref="D5388:D5393" si="2088">T("KEY WEST")</f>
        <v>KEY WEST</v>
      </c>
      <c r="E5388" t="str">
        <f t="shared" ref="E5388:E5395" si="2089">T("FL")</f>
        <v>FL</v>
      </c>
      <c r="F5388" t="str">
        <f t="shared" ref="F5388:F5393" si="2090">T("330409030")</f>
        <v>330409030</v>
      </c>
      <c r="G5388" t="str">
        <f>T("626 RANDOLPH AVE")</f>
        <v>626 RANDOLPH AVE</v>
      </c>
      <c r="H5388" t="str">
        <f>T("BLDG A-626 NAVAL AIR STATION KEY W")</f>
        <v>BLDG A-626 NAVAL AIR STATION KEY W</v>
      </c>
      <c r="I5388" t="str">
        <f t="shared" ref="I5388:I5393" si="2091">T("KEY WEST")</f>
        <v>KEY WEST</v>
      </c>
      <c r="J5388" t="str">
        <f t="shared" ref="J5388:J5395" si="2092">T("FL")</f>
        <v>FL</v>
      </c>
      <c r="K5388" t="str">
        <f>T("000000000000000000")</f>
        <v>000000000000000000</v>
      </c>
      <c r="L5388" t="str">
        <f>T("3052932201")</f>
        <v>3052932201</v>
      </c>
    </row>
    <row r="5389" spans="1:12" x14ac:dyDescent="0.35">
      <c r="A5389" t="str">
        <f t="shared" si="2083"/>
        <v>NAVFAC SOUTHEAST HL5</v>
      </c>
      <c r="B5389" t="str">
        <f t="shared" si="2086"/>
        <v>FLC DET KEY WEST PO BX 9030</v>
      </c>
      <c r="C5389" t="str">
        <f t="shared" si="2087"/>
        <v>BLDG A626 RANDOLPH AVE</v>
      </c>
      <c r="D5389" t="str">
        <f t="shared" si="2088"/>
        <v>KEY WEST</v>
      </c>
      <c r="E5389" t="str">
        <f t="shared" si="2089"/>
        <v>FL</v>
      </c>
      <c r="F5389" t="str">
        <f t="shared" si="2090"/>
        <v>330409030</v>
      </c>
      <c r="G5389" t="str">
        <f>T("BLDG A626-1 RM 114")</f>
        <v>BLDG A626-1 RM 114</v>
      </c>
      <c r="H5389" t="str">
        <f>T("")</f>
        <v/>
      </c>
      <c r="I5389" t="str">
        <f t="shared" si="2091"/>
        <v>KEY WEST</v>
      </c>
      <c r="J5389" t="str">
        <f t="shared" si="2092"/>
        <v>FL</v>
      </c>
      <c r="K5389" t="str">
        <f>T("3052932247")</f>
        <v>3052932247</v>
      </c>
      <c r="L5389" t="str">
        <f>T("3052932717")</f>
        <v>3052932717</v>
      </c>
    </row>
    <row r="5390" spans="1:12" x14ac:dyDescent="0.35">
      <c r="A5390" t="str">
        <f t="shared" si="2083"/>
        <v>NAVFAC SOUTHEAST HL5</v>
      </c>
      <c r="B5390" t="str">
        <f t="shared" si="2086"/>
        <v>FLC DET KEY WEST PO BX 9030</v>
      </c>
      <c r="C5390" t="str">
        <f t="shared" si="2087"/>
        <v>BLDG A626 RANDOLPH AVE</v>
      </c>
      <c r="D5390" t="str">
        <f t="shared" si="2088"/>
        <v>KEY WEST</v>
      </c>
      <c r="E5390" t="str">
        <f t="shared" si="2089"/>
        <v>FL</v>
      </c>
      <c r="F5390" t="str">
        <f t="shared" si="2090"/>
        <v>330409030</v>
      </c>
      <c r="G5390" t="str">
        <f>T("FLC DET KEY WEST PO BX 9030")</f>
        <v>FLC DET KEY WEST PO BX 9030</v>
      </c>
      <c r="H5390" t="str">
        <f>T("BLDG A626 RANDOLPH AVE")</f>
        <v>BLDG A626 RANDOLPH AVE</v>
      </c>
      <c r="I5390" t="str">
        <f t="shared" si="2091"/>
        <v>KEY WEST</v>
      </c>
      <c r="J5390" t="str">
        <f t="shared" si="2092"/>
        <v>FL</v>
      </c>
      <c r="K5390" t="str">
        <f>T("")</f>
        <v/>
      </c>
      <c r="L5390" t="str">
        <f>T("3052932338")</f>
        <v>3052932338</v>
      </c>
    </row>
    <row r="5391" spans="1:12" x14ac:dyDescent="0.35">
      <c r="A5391" t="str">
        <f t="shared" si="2083"/>
        <v>NAVFAC SOUTHEAST HL5</v>
      </c>
      <c r="B5391" t="str">
        <f t="shared" si="2086"/>
        <v>FLC DET KEY WEST PO BX 9030</v>
      </c>
      <c r="C5391" t="str">
        <f t="shared" si="2087"/>
        <v>BLDG A626 RANDOLPH AVE</v>
      </c>
      <c r="D5391" t="str">
        <f t="shared" si="2088"/>
        <v>KEY WEST</v>
      </c>
      <c r="E5391" t="str">
        <f t="shared" si="2089"/>
        <v>FL</v>
      </c>
      <c r="F5391" t="str">
        <f t="shared" si="2090"/>
        <v>330409030</v>
      </c>
      <c r="G5391" t="str">
        <f>T("NAVFAC SE FLC KEY WEST")</f>
        <v>NAVFAC SE FLC KEY WEST</v>
      </c>
      <c r="H5391" t="str">
        <f>T("112 RANDOLPH BLDG A-626 STE 112")</f>
        <v>112 RANDOLPH BLDG A-626 STE 112</v>
      </c>
      <c r="I5391" t="str">
        <f t="shared" si="2091"/>
        <v>KEY WEST</v>
      </c>
      <c r="J5391" t="str">
        <f t="shared" si="2092"/>
        <v>FL</v>
      </c>
      <c r="K5391" t="str">
        <f>T("3052932247")</f>
        <v>3052932247</v>
      </c>
      <c r="L5391" t="str">
        <f>T("3052932229")</f>
        <v>3052932229</v>
      </c>
    </row>
    <row r="5392" spans="1:12" x14ac:dyDescent="0.35">
      <c r="A5392" t="str">
        <f t="shared" si="2083"/>
        <v>NAVFAC SOUTHEAST HL5</v>
      </c>
      <c r="B5392" t="str">
        <f t="shared" si="2086"/>
        <v>FLC DET KEY WEST PO BX 9030</v>
      </c>
      <c r="C5392" t="str">
        <f t="shared" si="2087"/>
        <v>BLDG A626 RANDOLPH AVE</v>
      </c>
      <c r="D5392" t="str">
        <f t="shared" si="2088"/>
        <v>KEY WEST</v>
      </c>
      <c r="E5392" t="str">
        <f t="shared" si="2089"/>
        <v>FL</v>
      </c>
      <c r="F5392" t="str">
        <f t="shared" si="2090"/>
        <v>330409030</v>
      </c>
      <c r="G5392" t="str">
        <f>T("NAVFAC SE FLC KEY WEST")</f>
        <v>NAVFAC SE FLC KEY WEST</v>
      </c>
      <c r="H5392" t="str">
        <f>T("626 RANDOLPH AVE BLDG A-626")</f>
        <v>626 RANDOLPH AVE BLDG A-626</v>
      </c>
      <c r="I5392" t="str">
        <f t="shared" si="2091"/>
        <v>KEY WEST</v>
      </c>
      <c r="J5392" t="str">
        <f t="shared" si="2092"/>
        <v>FL</v>
      </c>
      <c r="K5392" t="str">
        <f>T("000000000000000000")</f>
        <v>000000000000000000</v>
      </c>
      <c r="L5392" t="str">
        <f>T("3052932229")</f>
        <v>3052932229</v>
      </c>
    </row>
    <row r="5393" spans="1:12" x14ac:dyDescent="0.35">
      <c r="A5393" t="str">
        <f t="shared" si="2083"/>
        <v>NAVFAC SOUTHEAST HL5</v>
      </c>
      <c r="B5393" t="str">
        <f t="shared" si="2086"/>
        <v>FLC DET KEY WEST PO BX 9030</v>
      </c>
      <c r="C5393" t="str">
        <f t="shared" si="2087"/>
        <v>BLDG A626 RANDOLPH AVE</v>
      </c>
      <c r="D5393" t="str">
        <f t="shared" si="2088"/>
        <v>KEY WEST</v>
      </c>
      <c r="E5393" t="str">
        <f t="shared" si="2089"/>
        <v>FL</v>
      </c>
      <c r="F5393" t="str">
        <f t="shared" si="2090"/>
        <v>330409030</v>
      </c>
      <c r="G5393" t="str">
        <f>T("PO BOX 9030")</f>
        <v>PO BOX 9030</v>
      </c>
      <c r="H5393" t="str">
        <f>T("")</f>
        <v/>
      </c>
      <c r="I5393" t="str">
        <f t="shared" si="2091"/>
        <v>KEY WEST</v>
      </c>
      <c r="J5393" t="str">
        <f t="shared" si="2092"/>
        <v>FL</v>
      </c>
      <c r="K5393" t="str">
        <f>T("3052932247")</f>
        <v>3052932247</v>
      </c>
      <c r="L5393" t="str">
        <f>T("3052932374")</f>
        <v>3052932374</v>
      </c>
    </row>
    <row r="5394" spans="1:12" x14ac:dyDescent="0.35">
      <c r="A5394" t="str">
        <f t="shared" si="2083"/>
        <v>NAVFAC SOUTHEAST HL5</v>
      </c>
      <c r="B5394" t="str">
        <f>T("NAS PWD FEAD")</f>
        <v>NAS PWD FEAD</v>
      </c>
      <c r="C5394" t="str">
        <f>T("310 JOHN TOWER RD BLDG 3560")</f>
        <v>310 JOHN TOWER RD BLDG 3560</v>
      </c>
      <c r="D5394" t="str">
        <f>T("PENSACOLA")</f>
        <v>PENSACOLA</v>
      </c>
      <c r="E5394" t="str">
        <f t="shared" si="2089"/>
        <v>FL</v>
      </c>
      <c r="F5394" t="str">
        <f>T("325085300")</f>
        <v>325085300</v>
      </c>
      <c r="G5394" t="str">
        <f>T("NAS PWD FEAD")</f>
        <v>NAS PWD FEAD</v>
      </c>
      <c r="H5394" t="str">
        <f>T("310 JOHN TOWER RD BLDG 3560")</f>
        <v>310 JOHN TOWER RD BLDG 3560</v>
      </c>
      <c r="I5394" t="str">
        <f>T("PENSACOLA")</f>
        <v>PENSACOLA</v>
      </c>
      <c r="J5394" t="str">
        <f t="shared" si="2092"/>
        <v>FL</v>
      </c>
      <c r="K5394" t="str">
        <f>T("")</f>
        <v/>
      </c>
      <c r="L5394" t="str">
        <f>T("1111111111")</f>
        <v>1111111111</v>
      </c>
    </row>
    <row r="5395" spans="1:12" x14ac:dyDescent="0.35">
      <c r="A5395" t="str">
        <f t="shared" ref="A5395:A5426" si="2093">T("NAVFAC SOUTHEAST HL5")</f>
        <v>NAVFAC SOUTHEAST HL5</v>
      </c>
      <c r="B5395" t="str">
        <f>T("NAS PWD FEAD")</f>
        <v>NAS PWD FEAD</v>
      </c>
      <c r="C5395" t="str">
        <f>T("310 JOHN TOWER RD BLDG 3560")</f>
        <v>310 JOHN TOWER RD BLDG 3560</v>
      </c>
      <c r="D5395" t="str">
        <f>T("PENSACOLA")</f>
        <v>PENSACOLA</v>
      </c>
      <c r="E5395" t="str">
        <f t="shared" si="2089"/>
        <v>FL</v>
      </c>
      <c r="F5395" t="str">
        <f>T("325085300")</f>
        <v>325085300</v>
      </c>
      <c r="G5395" t="str">
        <f>T("NAVFACSE PENSACOLA FEAD")</f>
        <v>NAVFACSE PENSACOLA FEAD</v>
      </c>
      <c r="H5395" t="str">
        <f>T("310 JOHN TOWER ROAD BLDG 3560")</f>
        <v>310 JOHN TOWER ROAD BLDG 3560</v>
      </c>
      <c r="I5395" t="str">
        <f>T("PENSACOLA")</f>
        <v>PENSACOLA</v>
      </c>
      <c r="J5395" t="str">
        <f t="shared" si="2092"/>
        <v>FL</v>
      </c>
      <c r="K5395" t="str">
        <f>T("000000000000000000")</f>
        <v>000000000000000000</v>
      </c>
      <c r="L5395" t="str">
        <f>T("8504523131")</f>
        <v>8504523131</v>
      </c>
    </row>
    <row r="5396" spans="1:12" x14ac:dyDescent="0.35">
      <c r="A5396" t="str">
        <f t="shared" si="2093"/>
        <v>NAVFAC SOUTHEAST HL5</v>
      </c>
      <c r="B5396" t="str">
        <f>T("NAS PWD MERIDIAN")</f>
        <v>NAS PWD MERIDIAN</v>
      </c>
      <c r="C5396" t="str">
        <f>T("229 ALLEN RD")</f>
        <v>229 ALLEN RD</v>
      </c>
      <c r="D5396" t="str">
        <f>T("MERIDIAN")</f>
        <v>MERIDIAN</v>
      </c>
      <c r="E5396" t="str">
        <f>T("MS")</f>
        <v>MS</v>
      </c>
      <c r="F5396" t="str">
        <f>T("393090001")</f>
        <v>393090001</v>
      </c>
      <c r="G5396" t="str">
        <f>T("229 ALLEN RD")</f>
        <v>229 ALLEN RD</v>
      </c>
      <c r="H5396" t="str">
        <f>T("")</f>
        <v/>
      </c>
      <c r="I5396" t="str">
        <f>T("MERIDIAN")</f>
        <v>MERIDIAN</v>
      </c>
      <c r="J5396" t="str">
        <f>T("MS")</f>
        <v>MS</v>
      </c>
      <c r="K5396" t="str">
        <f>T("6016792157")</f>
        <v>6016792157</v>
      </c>
      <c r="L5396" t="str">
        <f>T("6016793642")</f>
        <v>6016793642</v>
      </c>
    </row>
    <row r="5397" spans="1:12" x14ac:dyDescent="0.35">
      <c r="A5397" t="str">
        <f t="shared" si="2093"/>
        <v>NAVFAC SOUTHEAST HL5</v>
      </c>
      <c r="B5397" t="str">
        <f>T("NAS PWD MERIDIAN")</f>
        <v>NAS PWD MERIDIAN</v>
      </c>
      <c r="C5397" t="str">
        <f>T("229 ALLEN RD")</f>
        <v>229 ALLEN RD</v>
      </c>
      <c r="D5397" t="str">
        <f>T("MERIDIAN")</f>
        <v>MERIDIAN</v>
      </c>
      <c r="E5397" t="str">
        <f>T("MS")</f>
        <v>MS</v>
      </c>
      <c r="F5397" t="str">
        <f>T("393090001")</f>
        <v>393090001</v>
      </c>
      <c r="G5397" t="str">
        <f>T("NAS PWD MERIDIAN")</f>
        <v>NAS PWD MERIDIAN</v>
      </c>
      <c r="H5397" t="str">
        <f>T("229 ALLEN RD")</f>
        <v>229 ALLEN RD</v>
      </c>
      <c r="I5397" t="str">
        <f>T("MERIDIAN")</f>
        <v>MERIDIAN</v>
      </c>
      <c r="J5397" t="str">
        <f>T("MS")</f>
        <v>MS</v>
      </c>
      <c r="K5397" t="str">
        <f>T("")</f>
        <v/>
      </c>
      <c r="L5397" t="str">
        <f>T("6016792919")</f>
        <v>6016792919</v>
      </c>
    </row>
    <row r="5398" spans="1:12" x14ac:dyDescent="0.35">
      <c r="A5398" t="str">
        <f t="shared" si="2093"/>
        <v>NAVFAC SOUTHEAST HL5</v>
      </c>
      <c r="B5398" t="str">
        <f>T("NAS PWD MERIDIAN")</f>
        <v>NAS PWD MERIDIAN</v>
      </c>
      <c r="C5398" t="str">
        <f>T("229 ALLEN RD")</f>
        <v>229 ALLEN RD</v>
      </c>
      <c r="D5398" t="str">
        <f>T("MERIDIAN")</f>
        <v>MERIDIAN</v>
      </c>
      <c r="E5398" t="str">
        <f>T("MS")</f>
        <v>MS</v>
      </c>
      <c r="F5398" t="str">
        <f>T("393090001")</f>
        <v>393090001</v>
      </c>
      <c r="G5398" t="str">
        <f>T("NAVFAC SE PWD")</f>
        <v>NAVFAC SE PWD</v>
      </c>
      <c r="H5398" t="str">
        <f>T("229 ALLEN RD")</f>
        <v>229 ALLEN RD</v>
      </c>
      <c r="I5398" t="str">
        <f>T("MERIDIAN")</f>
        <v>MERIDIAN</v>
      </c>
      <c r="J5398" t="str">
        <f>T("MS")</f>
        <v>MS</v>
      </c>
      <c r="K5398" t="str">
        <f>T("6016792147")</f>
        <v>6016792147</v>
      </c>
      <c r="L5398" t="str">
        <f>T("6016792506")</f>
        <v>6016792506</v>
      </c>
    </row>
    <row r="5399" spans="1:12" x14ac:dyDescent="0.35">
      <c r="A5399" t="str">
        <f t="shared" si="2093"/>
        <v>NAVFAC SOUTHEAST HL5</v>
      </c>
      <c r="B5399" t="str">
        <f>T("NAVAL AIR STATION JACKSONVILLE")</f>
        <v>NAVAL AIR STATION JACKSONVILLE</v>
      </c>
      <c r="C5399" t="str">
        <f>T("PO BOX 5 BLDG 27")</f>
        <v>PO BOX 5 BLDG 27</v>
      </c>
      <c r="D5399" t="str">
        <f t="shared" ref="D5399:D5406" si="2094">T("JACKSONVILLE")</f>
        <v>JACKSONVILLE</v>
      </c>
      <c r="E5399" t="str">
        <f t="shared" ref="E5399:E5406" si="2095">T("FL")</f>
        <v>FL</v>
      </c>
      <c r="F5399" t="str">
        <f>T("322120005")</f>
        <v>322120005</v>
      </c>
      <c r="G5399" t="str">
        <f>T("NAVAL AIR STATION JACKSONVILLE")</f>
        <v>NAVAL AIR STATION JACKSONVILLE</v>
      </c>
      <c r="H5399" t="str">
        <f>T("PO BOX 5 BLDG 27")</f>
        <v>PO BOX 5 BLDG 27</v>
      </c>
      <c r="I5399" t="str">
        <f t="shared" ref="I5399:I5406" si="2096">T("JACKSONVILLE")</f>
        <v>JACKSONVILLE</v>
      </c>
      <c r="J5399" t="str">
        <f t="shared" ref="J5399:J5406" si="2097">T("FL")</f>
        <v>FL</v>
      </c>
      <c r="K5399" t="str">
        <f>T("9045423858")</f>
        <v>9045423858</v>
      </c>
      <c r="L5399" t="str">
        <f>T("9045422119")</f>
        <v>9045422119</v>
      </c>
    </row>
    <row r="5400" spans="1:12" x14ac:dyDescent="0.35">
      <c r="A5400" t="str">
        <f t="shared" si="2093"/>
        <v>NAVFAC SOUTHEAST HL5</v>
      </c>
      <c r="B5400" t="str">
        <f>T("NAVAL AIR STATION JACKSONVILLE")</f>
        <v>NAVAL AIR STATION JACKSONVILLE</v>
      </c>
      <c r="C5400" t="str">
        <f>T("PO BOX 5 BLDG 27")</f>
        <v>PO BOX 5 BLDG 27</v>
      </c>
      <c r="D5400" t="str">
        <f t="shared" si="2094"/>
        <v>JACKSONVILLE</v>
      </c>
      <c r="E5400" t="str">
        <f t="shared" si="2095"/>
        <v>FL</v>
      </c>
      <c r="F5400" t="str">
        <f>T("322120005")</f>
        <v>322120005</v>
      </c>
      <c r="G5400" t="str">
        <f>T("NAVFAC SE PWD")</f>
        <v>NAVFAC SE PWD</v>
      </c>
      <c r="H5400" t="str">
        <f>T("BOX 5")</f>
        <v>BOX 5</v>
      </c>
      <c r="I5400" t="str">
        <f t="shared" si="2096"/>
        <v>JACKSONVILLE</v>
      </c>
      <c r="J5400" t="str">
        <f t="shared" si="2097"/>
        <v>FL</v>
      </c>
      <c r="K5400" t="str">
        <f>T("9045423858")</f>
        <v>9045423858</v>
      </c>
      <c r="L5400" t="str">
        <f>T("9045422119")</f>
        <v>9045422119</v>
      </c>
    </row>
    <row r="5401" spans="1:12" x14ac:dyDescent="0.35">
      <c r="A5401" t="str">
        <f t="shared" si="2093"/>
        <v>NAVFAC SOUTHEAST HL5</v>
      </c>
      <c r="B5401" t="str">
        <f>T("NAVAL STATION MAYPORT ENVI")</f>
        <v>NAVAL STATION MAYPORT ENVI</v>
      </c>
      <c r="C5401" t="str">
        <f>T("PO BOX 280067")</f>
        <v>PO BOX 280067</v>
      </c>
      <c r="D5401" t="str">
        <f t="shared" si="2094"/>
        <v>JACKSONVILLE</v>
      </c>
      <c r="E5401" t="str">
        <f t="shared" si="2095"/>
        <v>FL</v>
      </c>
      <c r="F5401" t="str">
        <f>T("322280067")</f>
        <v>322280067</v>
      </c>
      <c r="G5401" t="str">
        <f>T("NAVAL STATION MAYPORT ENVI")</f>
        <v>NAVAL STATION MAYPORT ENVI</v>
      </c>
      <c r="H5401" t="str">
        <f>T("PO BOX 280067")</f>
        <v>PO BOX 280067</v>
      </c>
      <c r="I5401" t="str">
        <f t="shared" si="2096"/>
        <v>JACKSONVILLE</v>
      </c>
      <c r="J5401" t="str">
        <f t="shared" si="2097"/>
        <v>FL</v>
      </c>
      <c r="K5401" t="str">
        <f>T("")</f>
        <v/>
      </c>
      <c r="L5401" t="str">
        <f>T("9042706070")</f>
        <v>9042706070</v>
      </c>
    </row>
    <row r="5402" spans="1:12" x14ac:dyDescent="0.35">
      <c r="A5402" t="str">
        <f t="shared" si="2093"/>
        <v>NAVFAC SOUTHEAST HL5</v>
      </c>
      <c r="B5402" t="str">
        <f>T("NAVAL STATION MAYPORT ENVI")</f>
        <v>NAVAL STATION MAYPORT ENVI</v>
      </c>
      <c r="C5402" t="str">
        <f>T("PO BOX 280067")</f>
        <v>PO BOX 280067</v>
      </c>
      <c r="D5402" t="str">
        <f t="shared" si="2094"/>
        <v>JACKSONVILLE</v>
      </c>
      <c r="E5402" t="str">
        <f t="shared" si="2095"/>
        <v>FL</v>
      </c>
      <c r="F5402" t="str">
        <f>T("322280067")</f>
        <v>322280067</v>
      </c>
      <c r="G5402" t="str">
        <f>T("P O BOX 280067 BLDG 1966")</f>
        <v>P O BOX 280067 BLDG 1966</v>
      </c>
      <c r="H5402" t="str">
        <f>T("BON HOMME RICHARD ST")</f>
        <v>BON HOMME RICHARD ST</v>
      </c>
      <c r="I5402" t="str">
        <f t="shared" si="2096"/>
        <v>JACKSONVILLE</v>
      </c>
      <c r="J5402" t="str">
        <f t="shared" si="2097"/>
        <v>FL</v>
      </c>
      <c r="K5402" t="str">
        <f>T("000000000000000000")</f>
        <v>000000000000000000</v>
      </c>
      <c r="L5402" t="str">
        <f>T("9042703197")</f>
        <v>9042703197</v>
      </c>
    </row>
    <row r="5403" spans="1:12" x14ac:dyDescent="0.35">
      <c r="A5403" t="str">
        <f t="shared" si="2093"/>
        <v>NAVFAC SOUTHEAST HL5</v>
      </c>
      <c r="B5403" t="str">
        <f>T("NAVFAC SE")</f>
        <v>NAVFAC SE</v>
      </c>
      <c r="C5403" t="str">
        <f>T("BOX 30 BLDG 902 CODE MS")</f>
        <v>BOX 30 BLDG 902 CODE MS</v>
      </c>
      <c r="D5403" t="str">
        <f t="shared" si="2094"/>
        <v>JACKSONVILLE</v>
      </c>
      <c r="E5403" t="str">
        <f t="shared" si="2095"/>
        <v>FL</v>
      </c>
      <c r="F5403" t="str">
        <f>T("322120030")</f>
        <v>322120030</v>
      </c>
      <c r="G5403" t="str">
        <f>T("902 YORKTOWN AVE")</f>
        <v>902 YORKTOWN AVE</v>
      </c>
      <c r="H5403" t="str">
        <f>T("BLDG 902 BD DEPT")</f>
        <v>BLDG 902 BD DEPT</v>
      </c>
      <c r="I5403" t="str">
        <f t="shared" si="2096"/>
        <v>JACKSONVILLE</v>
      </c>
      <c r="J5403" t="str">
        <f t="shared" si="2097"/>
        <v>FL</v>
      </c>
      <c r="K5403" t="str">
        <f>T("000000000000000000")</f>
        <v>000000000000000000</v>
      </c>
      <c r="L5403" t="str">
        <f>T("9045426904")</f>
        <v>9045426904</v>
      </c>
    </row>
    <row r="5404" spans="1:12" x14ac:dyDescent="0.35">
      <c r="A5404" t="str">
        <f t="shared" si="2093"/>
        <v>NAVFAC SOUTHEAST HL5</v>
      </c>
      <c r="B5404" t="str">
        <f>T("NAVFAC SE")</f>
        <v>NAVFAC SE</v>
      </c>
      <c r="C5404" t="str">
        <f>T("BOX 30 BLDG 902 CODE MS")</f>
        <v>BOX 30 BLDG 902 CODE MS</v>
      </c>
      <c r="D5404" t="str">
        <f t="shared" si="2094"/>
        <v>JACKSONVILLE</v>
      </c>
      <c r="E5404" t="str">
        <f t="shared" si="2095"/>
        <v>FL</v>
      </c>
      <c r="F5404" t="str">
        <f>T("322120030")</f>
        <v>322120030</v>
      </c>
      <c r="G5404" t="str">
        <f>T("902 YORKTOWN AVE")</f>
        <v>902 YORKTOWN AVE</v>
      </c>
      <c r="H5404" t="str">
        <f>T("BLDG 902 BD DEPT")</f>
        <v>BLDG 902 BD DEPT</v>
      </c>
      <c r="I5404" t="str">
        <f t="shared" si="2096"/>
        <v>JACKSONVILLE</v>
      </c>
      <c r="J5404" t="str">
        <f t="shared" si="2097"/>
        <v>FL</v>
      </c>
      <c r="K5404" t="str">
        <f>T("9045422220")</f>
        <v>9045422220</v>
      </c>
      <c r="L5404" t="str">
        <f>T("9045425842")</f>
        <v>9045425842</v>
      </c>
    </row>
    <row r="5405" spans="1:12" x14ac:dyDescent="0.35">
      <c r="A5405" t="str">
        <f t="shared" si="2093"/>
        <v>NAVFAC SOUTHEAST HL5</v>
      </c>
      <c r="B5405" t="str">
        <f>T("NAVFAC SE")</f>
        <v>NAVFAC SE</v>
      </c>
      <c r="C5405" t="str">
        <f>T("BOX 30 BLDG 902 CODE MS")</f>
        <v>BOX 30 BLDG 902 CODE MS</v>
      </c>
      <c r="D5405" t="str">
        <f t="shared" si="2094"/>
        <v>JACKSONVILLE</v>
      </c>
      <c r="E5405" t="str">
        <f t="shared" si="2095"/>
        <v>FL</v>
      </c>
      <c r="F5405" t="str">
        <f>T("322120030")</f>
        <v>322120030</v>
      </c>
      <c r="G5405" t="str">
        <f>T("NAVFAC SE")</f>
        <v>NAVFAC SE</v>
      </c>
      <c r="H5405" t="str">
        <f>T("BOX 30 BLDG 902 CODE MS")</f>
        <v>BOX 30 BLDG 902 CODE MS</v>
      </c>
      <c r="I5405" t="str">
        <f t="shared" si="2096"/>
        <v>JACKSONVILLE</v>
      </c>
      <c r="J5405" t="str">
        <f t="shared" si="2097"/>
        <v>FL</v>
      </c>
      <c r="K5405" t="str">
        <f>T("")</f>
        <v/>
      </c>
      <c r="L5405" t="str">
        <f>T("9045425849")</f>
        <v>9045425849</v>
      </c>
    </row>
    <row r="5406" spans="1:12" x14ac:dyDescent="0.35">
      <c r="A5406" t="str">
        <f t="shared" si="2093"/>
        <v>NAVFAC SOUTHEAST HL5</v>
      </c>
      <c r="B5406" t="str">
        <f>T("NAVFAC SE")</f>
        <v>NAVFAC SE</v>
      </c>
      <c r="C5406" t="str">
        <f>T("BOX 30 BLDG 902 CODE MS")</f>
        <v>BOX 30 BLDG 902 CODE MS</v>
      </c>
      <c r="D5406" t="str">
        <f t="shared" si="2094"/>
        <v>JACKSONVILLE</v>
      </c>
      <c r="E5406" t="str">
        <f t="shared" si="2095"/>
        <v>FL</v>
      </c>
      <c r="F5406" t="str">
        <f>T("322120030")</f>
        <v>322120030</v>
      </c>
      <c r="G5406" t="str">
        <f>T("NAVFAC SOUTHEAST")</f>
        <v>NAVFAC SOUTHEAST</v>
      </c>
      <c r="H5406" t="str">
        <f>T("YORKTOWN AVE BLDG 903 NAS JAX")</f>
        <v>YORKTOWN AVE BLDG 903 NAS JAX</v>
      </c>
      <c r="I5406" t="str">
        <f t="shared" si="2096"/>
        <v>JACKSONVILLE</v>
      </c>
      <c r="J5406" t="str">
        <f t="shared" si="2097"/>
        <v>FL</v>
      </c>
      <c r="K5406" t="str">
        <f>T("9045428710")</f>
        <v>9045428710</v>
      </c>
      <c r="L5406" t="str">
        <f>T("9045426904")</f>
        <v>9045426904</v>
      </c>
    </row>
    <row r="5407" spans="1:12" x14ac:dyDescent="0.35">
      <c r="A5407" t="str">
        <f t="shared" si="2093"/>
        <v>NAVFAC SOUTHEAST HL5</v>
      </c>
      <c r="B5407" t="str">
        <f>T("NAVFAC SE FISC DET GP")</f>
        <v>NAVFAC SE FISC DET GP</v>
      </c>
      <c r="C5407" t="str">
        <f>T("5201 11TH STREET BLDG 437/OELF")</f>
        <v>5201 11TH STREET BLDG 437/OELF</v>
      </c>
      <c r="D5407" t="str">
        <f>T("GULFPORT")</f>
        <v>GULFPORT</v>
      </c>
      <c r="E5407" t="str">
        <f>T("MS")</f>
        <v>MS</v>
      </c>
      <c r="F5407" t="str">
        <f>T("395030000")</f>
        <v>395030000</v>
      </c>
      <c r="G5407" t="str">
        <f>T("5201 11TH ST")</f>
        <v>5201 11TH ST</v>
      </c>
      <c r="H5407" t="str">
        <f>T("OELF BLDG 437")</f>
        <v>OELF BLDG 437</v>
      </c>
      <c r="I5407" t="str">
        <f>T("GULFPORT")</f>
        <v>GULFPORT</v>
      </c>
      <c r="J5407" t="str">
        <f>T("MS")</f>
        <v>MS</v>
      </c>
      <c r="K5407" t="str">
        <f>T("2288713212")</f>
        <v>2288713212</v>
      </c>
      <c r="L5407" t="str">
        <f>T("2288712282")</f>
        <v>2288712282</v>
      </c>
    </row>
    <row r="5408" spans="1:12" x14ac:dyDescent="0.35">
      <c r="A5408" t="str">
        <f t="shared" si="2093"/>
        <v>NAVFAC SOUTHEAST HL5</v>
      </c>
      <c r="B5408" t="str">
        <f>T("NAVFAC SE FISC DET GP")</f>
        <v>NAVFAC SE FISC DET GP</v>
      </c>
      <c r="C5408" t="str">
        <f>T("5201 11TH STREET BLDG 437/OELF")</f>
        <v>5201 11TH STREET BLDG 437/OELF</v>
      </c>
      <c r="D5408" t="str">
        <f>T("GULFPORT")</f>
        <v>GULFPORT</v>
      </c>
      <c r="E5408" t="str">
        <f>T("MS")</f>
        <v>MS</v>
      </c>
      <c r="F5408" t="str">
        <f>T("395030000")</f>
        <v>395030000</v>
      </c>
      <c r="G5408" t="str">
        <f>T("5201 11TH ST OELF BLDG 437")</f>
        <v>5201 11TH ST OELF BLDG 437</v>
      </c>
      <c r="H5408" t="str">
        <f>T("")</f>
        <v/>
      </c>
      <c r="I5408" t="str">
        <f>T("GULFPORT")</f>
        <v>GULFPORT</v>
      </c>
      <c r="J5408" t="str">
        <f>T("MS")</f>
        <v>MS</v>
      </c>
      <c r="K5408" t="str">
        <f>T("2288173112")</f>
        <v>2288173112</v>
      </c>
      <c r="L5408" t="str">
        <f>T("2288712178")</f>
        <v>2288712178</v>
      </c>
    </row>
    <row r="5409" spans="1:12" x14ac:dyDescent="0.35">
      <c r="A5409" t="str">
        <f t="shared" si="2093"/>
        <v>NAVFAC SOUTHEAST HL5</v>
      </c>
      <c r="B5409" t="str">
        <f>T("NAVFAC SE FISC DET GP")</f>
        <v>NAVFAC SE FISC DET GP</v>
      </c>
      <c r="C5409" t="str">
        <f>T("5201 11TH STREET BLDG 437/OELF")</f>
        <v>5201 11TH STREET BLDG 437/OELF</v>
      </c>
      <c r="D5409" t="str">
        <f>T("GULFPORT")</f>
        <v>GULFPORT</v>
      </c>
      <c r="E5409" t="str">
        <f>T("MS")</f>
        <v>MS</v>
      </c>
      <c r="F5409" t="str">
        <f>T("395030000")</f>
        <v>395030000</v>
      </c>
      <c r="G5409" t="str">
        <f>T("5201 11TH STREET OELF BLDG 437")</f>
        <v>5201 11TH STREET OELF BLDG 437</v>
      </c>
      <c r="H5409" t="str">
        <f>T("")</f>
        <v/>
      </c>
      <c r="I5409" t="str">
        <f>T("GULFPORT")</f>
        <v>GULFPORT</v>
      </c>
      <c r="J5409" t="str">
        <f>T("MS")</f>
        <v>MS</v>
      </c>
      <c r="K5409" t="str">
        <f>T("2288712151")</f>
        <v>2288712151</v>
      </c>
      <c r="L5409" t="str">
        <f>T("2288712292")</f>
        <v>2288712292</v>
      </c>
    </row>
    <row r="5410" spans="1:12" x14ac:dyDescent="0.35">
      <c r="A5410" t="str">
        <f t="shared" si="2093"/>
        <v>NAVFAC SOUTHEAST HL5</v>
      </c>
      <c r="B5410" t="str">
        <f>T("NAVFAC SE FISC DET GP")</f>
        <v>NAVFAC SE FISC DET GP</v>
      </c>
      <c r="C5410" t="str">
        <f>T("5201 11TH STREET BLDG 437/OELF")</f>
        <v>5201 11TH STREET BLDG 437/OELF</v>
      </c>
      <c r="D5410" t="str">
        <f>T("GULFPORT")</f>
        <v>GULFPORT</v>
      </c>
      <c r="E5410" t="str">
        <f>T("MS")</f>
        <v>MS</v>
      </c>
      <c r="F5410" t="str">
        <f>T("395030000")</f>
        <v>395030000</v>
      </c>
      <c r="G5410" t="str">
        <f>T("NAVFAC SE FISC DET GP")</f>
        <v>NAVFAC SE FISC DET GP</v>
      </c>
      <c r="H5410" t="str">
        <f>T("5201 11TH STREET BLDG 437/OELF")</f>
        <v>5201 11TH STREET BLDG 437/OELF</v>
      </c>
      <c r="I5410" t="str">
        <f>T("GULFPORT")</f>
        <v>GULFPORT</v>
      </c>
      <c r="J5410" t="str">
        <f>T("MS")</f>
        <v>MS</v>
      </c>
      <c r="K5410" t="str">
        <f>T("2288713225")</f>
        <v>2288713225</v>
      </c>
      <c r="L5410" t="str">
        <f>T("2288712175")</f>
        <v>2288712175</v>
      </c>
    </row>
    <row r="5411" spans="1:12" x14ac:dyDescent="0.35">
      <c r="A5411" t="str">
        <f t="shared" si="2093"/>
        <v>NAVFAC SOUTHEAST HL5</v>
      </c>
      <c r="B5411" t="str">
        <f>T("NAVFAC SE FISC DET NO")</f>
        <v>NAVFAC SE FISC DET NO</v>
      </c>
      <c r="C5411" t="str">
        <f>T("400 RUSSELL AVE BLDG 480")</f>
        <v>400 RUSSELL AVE BLDG 480</v>
      </c>
      <c r="D5411" t="str">
        <f>T("NEW ORLEANS")</f>
        <v>NEW ORLEANS</v>
      </c>
      <c r="E5411" t="str">
        <f>T("LA")</f>
        <v>LA</v>
      </c>
      <c r="F5411" t="str">
        <f>T("701435077")</f>
        <v>701435077</v>
      </c>
      <c r="G5411" t="str">
        <f>T("400 RUSSELL AVE BLDG 552")</f>
        <v>400 RUSSELL AVE BLDG 552</v>
      </c>
      <c r="H5411" t="str">
        <f>T("")</f>
        <v/>
      </c>
      <c r="I5411" t="str">
        <f>T("NEW ORLEANS")</f>
        <v>NEW ORLEANS</v>
      </c>
      <c r="J5411" t="str">
        <f>T("LA")</f>
        <v>LA</v>
      </c>
      <c r="K5411" t="str">
        <f>T("5046783069")</f>
        <v>5046783069</v>
      </c>
      <c r="L5411" t="str">
        <f>T("5046789980")</f>
        <v>5046789980</v>
      </c>
    </row>
    <row r="5412" spans="1:12" x14ac:dyDescent="0.35">
      <c r="A5412" t="str">
        <f t="shared" si="2093"/>
        <v>NAVFAC SOUTHEAST HL5</v>
      </c>
      <c r="B5412" t="str">
        <f>T("NAVFAC SE FISC DET NO")</f>
        <v>NAVFAC SE FISC DET NO</v>
      </c>
      <c r="C5412" t="str">
        <f>T("400 RUSSELL AVE BLDG 480")</f>
        <v>400 RUSSELL AVE BLDG 480</v>
      </c>
      <c r="D5412" t="str">
        <f>T("NEW ORLEANS")</f>
        <v>NEW ORLEANS</v>
      </c>
      <c r="E5412" t="str">
        <f>T("LA")</f>
        <v>LA</v>
      </c>
      <c r="F5412" t="str">
        <f>T("701435077")</f>
        <v>701435077</v>
      </c>
      <c r="G5412" t="str">
        <f>T("400 RUSSELL AVE BLDG 552")</f>
        <v>400 RUSSELL AVE BLDG 552</v>
      </c>
      <c r="H5412" t="str">
        <f>T("")</f>
        <v/>
      </c>
      <c r="I5412" t="str">
        <f>T("NEW ORLEANS")</f>
        <v>NEW ORLEANS</v>
      </c>
      <c r="J5412" t="str">
        <f>T("LA")</f>
        <v>LA</v>
      </c>
      <c r="K5412" t="str">
        <f>T("5046785077")</f>
        <v>5046785077</v>
      </c>
      <c r="L5412" t="str">
        <f>T("5046783460")</f>
        <v>5046783460</v>
      </c>
    </row>
    <row r="5413" spans="1:12" x14ac:dyDescent="0.35">
      <c r="A5413" t="str">
        <f t="shared" si="2093"/>
        <v>NAVFAC SOUTHEAST HL5</v>
      </c>
      <c r="B5413" t="str">
        <f>T("NAVFAC SE FISC DET NO")</f>
        <v>NAVFAC SE FISC DET NO</v>
      </c>
      <c r="C5413" t="str">
        <f>T("400 RUSSELL AVE BLDG 480")</f>
        <v>400 RUSSELL AVE BLDG 480</v>
      </c>
      <c r="D5413" t="str">
        <f>T("NEW ORLEANS")</f>
        <v>NEW ORLEANS</v>
      </c>
      <c r="E5413" t="str">
        <f>T("LA")</f>
        <v>LA</v>
      </c>
      <c r="F5413" t="str">
        <f>T("701435077")</f>
        <v>701435077</v>
      </c>
      <c r="G5413" t="str">
        <f>T("NAVFAC SE FISC DET NO")</f>
        <v>NAVFAC SE FISC DET NO</v>
      </c>
      <c r="H5413" t="str">
        <f>T("400 RUSSELL AVE BLDG 480")</f>
        <v>400 RUSSELL AVE BLDG 480</v>
      </c>
      <c r="I5413" t="str">
        <f>T("NEW ORLEANS")</f>
        <v>NEW ORLEANS</v>
      </c>
      <c r="J5413" t="str">
        <f>T("LA")</f>
        <v>LA</v>
      </c>
      <c r="K5413" t="str">
        <f>T("5046783102")</f>
        <v>5046783102</v>
      </c>
      <c r="L5413" t="str">
        <f>T("5046783719")</f>
        <v>5046783719</v>
      </c>
    </row>
    <row r="5414" spans="1:12" x14ac:dyDescent="0.35">
      <c r="A5414" t="str">
        <f t="shared" si="2093"/>
        <v>NAVFAC SOUTHEAST HL5</v>
      </c>
      <c r="B5414" t="str">
        <f>T("NAVFAC SE MAYPORT")</f>
        <v>NAVFAC SE MAYPORT</v>
      </c>
      <c r="C5414" t="str">
        <f>T("PWD MAYPORT P O BOX 280067")</f>
        <v>PWD MAYPORT P O BOX 280067</v>
      </c>
      <c r="D5414" t="str">
        <f>T("JACKSONVILLE")</f>
        <v>JACKSONVILLE</v>
      </c>
      <c r="E5414" t="str">
        <f>T("FL")</f>
        <v>FL</v>
      </c>
      <c r="F5414" t="str">
        <f>T("322280067")</f>
        <v>322280067</v>
      </c>
      <c r="G5414" t="str">
        <f>T("NAVFAC SE MAYPORT")</f>
        <v>NAVFAC SE MAYPORT</v>
      </c>
      <c r="H5414" t="str">
        <f>T("PWD MAYPORT P O BOX 280067")</f>
        <v>PWD MAYPORT P O BOX 280067</v>
      </c>
      <c r="I5414" t="str">
        <f>T("JACKSONVILLE")</f>
        <v>JACKSONVILLE</v>
      </c>
      <c r="J5414" t="str">
        <f>T("FL")</f>
        <v>FL</v>
      </c>
      <c r="K5414" t="str">
        <f>T("9042706884")</f>
        <v>9042706884</v>
      </c>
      <c r="L5414" t="str">
        <f>T("1111111111")</f>
        <v>1111111111</v>
      </c>
    </row>
    <row r="5415" spans="1:12" x14ac:dyDescent="0.35">
      <c r="A5415" t="str">
        <f t="shared" si="2093"/>
        <v>NAVFAC SOUTHEAST HL5</v>
      </c>
      <c r="B5415" t="str">
        <f>T("NAVFAC SE MAYPORT")</f>
        <v>NAVFAC SE MAYPORT</v>
      </c>
      <c r="C5415" t="str">
        <f>T("PWD MAYPORT P O BOX 280067")</f>
        <v>PWD MAYPORT P O BOX 280067</v>
      </c>
      <c r="D5415" t="str">
        <f>T("JACKSONVILLE")</f>
        <v>JACKSONVILLE</v>
      </c>
      <c r="E5415" t="str">
        <f>T("FL")</f>
        <v>FL</v>
      </c>
      <c r="F5415" t="str">
        <f>T("322280067")</f>
        <v>322280067</v>
      </c>
      <c r="G5415" t="str">
        <f>T("PWD MAYPORT")</f>
        <v>PWD MAYPORT</v>
      </c>
      <c r="H5415" t="str">
        <f>T("PO BOX 280067")</f>
        <v>PO BOX 280067</v>
      </c>
      <c r="I5415" t="str">
        <f>T("NAVAL STATION MAYPORT")</f>
        <v>NAVAL STATION MAYPORT</v>
      </c>
      <c r="J5415" t="str">
        <f>T("FL")</f>
        <v>FL</v>
      </c>
      <c r="K5415" t="str">
        <f>T("9042706884")</f>
        <v>9042706884</v>
      </c>
      <c r="L5415" t="str">
        <f>T("9042705252")</f>
        <v>9042705252</v>
      </c>
    </row>
    <row r="5416" spans="1:12" x14ac:dyDescent="0.35">
      <c r="A5416" t="str">
        <f t="shared" si="2093"/>
        <v>NAVFAC SOUTHEAST HL5</v>
      </c>
      <c r="B5416" t="str">
        <f>T("NAVFAC SE MAYPORT")</f>
        <v>NAVFAC SE MAYPORT</v>
      </c>
      <c r="C5416" t="str">
        <f>T("PWD MAYPORT P O BOX 280067")</f>
        <v>PWD MAYPORT P O BOX 280067</v>
      </c>
      <c r="D5416" t="str">
        <f>T("JACKSONVILLE")</f>
        <v>JACKSONVILLE</v>
      </c>
      <c r="E5416" t="str">
        <f>T("FL")</f>
        <v>FL</v>
      </c>
      <c r="F5416" t="str">
        <f>T("322280067")</f>
        <v>322280067</v>
      </c>
      <c r="G5416" t="str">
        <f>T("PWD MAYPORT")</f>
        <v>PWD MAYPORT</v>
      </c>
      <c r="H5416" t="str">
        <f>T("PO BOX 280067")</f>
        <v>PO BOX 280067</v>
      </c>
      <c r="I5416" t="str">
        <f>T("NAVAL STATION MAYPORT")</f>
        <v>NAVAL STATION MAYPORT</v>
      </c>
      <c r="J5416" t="str">
        <f>T("FL")</f>
        <v>FL</v>
      </c>
      <c r="K5416" t="str">
        <f>T("9042706884")</f>
        <v>9042706884</v>
      </c>
      <c r="L5416" t="str">
        <f>T("9042706317")</f>
        <v>9042706317</v>
      </c>
    </row>
    <row r="5417" spans="1:12" x14ac:dyDescent="0.35">
      <c r="A5417" t="str">
        <f t="shared" si="2093"/>
        <v>NAVFAC SOUTHEAST HL5</v>
      </c>
      <c r="B5417" t="str">
        <f>T("NAVFAC SE PWD FT WORTH")</f>
        <v>NAVFAC SE PWD FT WORTH</v>
      </c>
      <c r="C5417" t="str">
        <f>T("1215 DEPOT AVE")</f>
        <v>1215 DEPOT AVE</v>
      </c>
      <c r="D5417" t="str">
        <f>T("FT WORTH")</f>
        <v>FT WORTH</v>
      </c>
      <c r="E5417" t="str">
        <f>T("TX")</f>
        <v>TX</v>
      </c>
      <c r="F5417" t="str">
        <f>T("761271054")</f>
        <v>761271054</v>
      </c>
      <c r="G5417" t="str">
        <f>T("NAVFAC SE FT WORTH")</f>
        <v>NAVFAC SE FT WORTH</v>
      </c>
      <c r="H5417" t="str">
        <f>T("1215 DEPOT AVE")</f>
        <v>1215 DEPOT AVE</v>
      </c>
      <c r="I5417" t="str">
        <f>T("NAVAL AIR STATION/ JRB")</f>
        <v>NAVAL AIR STATION/ JRB</v>
      </c>
      <c r="J5417" t="str">
        <f>T("TX")</f>
        <v>TX</v>
      </c>
      <c r="K5417" t="str">
        <f>T("000000000000000000")</f>
        <v>000000000000000000</v>
      </c>
      <c r="L5417" t="str">
        <f>T("8177827452")</f>
        <v>8177827452</v>
      </c>
    </row>
    <row r="5418" spans="1:12" x14ac:dyDescent="0.35">
      <c r="A5418" t="str">
        <f t="shared" si="2093"/>
        <v>NAVFAC SOUTHEAST HL5</v>
      </c>
      <c r="B5418" t="str">
        <f>T("NAVFAC SE PWD FT WORTH")</f>
        <v>NAVFAC SE PWD FT WORTH</v>
      </c>
      <c r="C5418" t="str">
        <f>T("1215 DEPOT AVE")</f>
        <v>1215 DEPOT AVE</v>
      </c>
      <c r="D5418" t="str">
        <f>T("FT WORTH")</f>
        <v>FT WORTH</v>
      </c>
      <c r="E5418" t="str">
        <f>T("TX")</f>
        <v>TX</v>
      </c>
      <c r="F5418" t="str">
        <f>T("761271054")</f>
        <v>761271054</v>
      </c>
      <c r="G5418" t="str">
        <f>T("NAVFAC SE PWD FT WORTH")</f>
        <v>NAVFAC SE PWD FT WORTH</v>
      </c>
      <c r="H5418" t="str">
        <f>T("1215 DEPOT AVE")</f>
        <v>1215 DEPOT AVE</v>
      </c>
      <c r="I5418" t="str">
        <f>T("FT WORTH")</f>
        <v>FT WORTH</v>
      </c>
      <c r="J5418" t="str">
        <f>T("TX")</f>
        <v>TX</v>
      </c>
      <c r="K5418" t="str">
        <f>T("")</f>
        <v/>
      </c>
      <c r="L5418" t="str">
        <f>T("8177825298")</f>
        <v>8177825298</v>
      </c>
    </row>
    <row r="5419" spans="1:12" x14ac:dyDescent="0.35">
      <c r="A5419" t="str">
        <f t="shared" si="2093"/>
        <v>NAVFAC SOUTHEAST HL5</v>
      </c>
      <c r="B5419" t="str">
        <f>T("NAVFAC SE PWD NEW ORLEANS")</f>
        <v>NAVFAC SE PWD NEW ORLEANS</v>
      </c>
      <c r="C5419" t="str">
        <f>T("400 RUSSELL AVE BLDG 552")</f>
        <v>400 RUSSELL AVE BLDG 552</v>
      </c>
      <c r="D5419" t="str">
        <f>T("NEW ORLEANS")</f>
        <v>NEW ORLEANS</v>
      </c>
      <c r="E5419" t="str">
        <f>T("LA")</f>
        <v>LA</v>
      </c>
      <c r="F5419" t="str">
        <f>T("701435077")</f>
        <v>701435077</v>
      </c>
      <c r="G5419" t="str">
        <f>T("400 RUSSELL AVE")</f>
        <v>400 RUSSELL AVE</v>
      </c>
      <c r="H5419" t="str">
        <f>T("BLDG 552")</f>
        <v>BLDG 552</v>
      </c>
      <c r="I5419" t="str">
        <f>T("NEW ORLEANS")</f>
        <v>NEW ORLEANS</v>
      </c>
      <c r="J5419" t="str">
        <f>T("LA")</f>
        <v>LA</v>
      </c>
      <c r="K5419" t="str">
        <f>T("5046782631")</f>
        <v>5046782631</v>
      </c>
      <c r="L5419" t="str">
        <f>T("5046789989")</f>
        <v>5046789989</v>
      </c>
    </row>
    <row r="5420" spans="1:12" x14ac:dyDescent="0.35">
      <c r="A5420" t="str">
        <f t="shared" si="2093"/>
        <v>NAVFAC SOUTHEAST HL5</v>
      </c>
      <c r="B5420" t="str">
        <f>T("NAVFAC SE PWD NEW ORLEANS")</f>
        <v>NAVFAC SE PWD NEW ORLEANS</v>
      </c>
      <c r="C5420" t="str">
        <f>T("400 RUSSELL AVE BLDG 552")</f>
        <v>400 RUSSELL AVE BLDG 552</v>
      </c>
      <c r="D5420" t="str">
        <f>T("NEW ORLEANS")</f>
        <v>NEW ORLEANS</v>
      </c>
      <c r="E5420" t="str">
        <f>T("LA")</f>
        <v>LA</v>
      </c>
      <c r="F5420" t="str">
        <f>T("701435077")</f>
        <v>701435077</v>
      </c>
      <c r="G5420" t="str">
        <f>T("NAVFAC SE PWD NEW ORLEANS")</f>
        <v>NAVFAC SE PWD NEW ORLEANS</v>
      </c>
      <c r="H5420" t="str">
        <f>T("400 RUSSELL AVE BLDG 552")</f>
        <v>400 RUSSELL AVE BLDG 552</v>
      </c>
      <c r="I5420" t="str">
        <f>T("NEW ORLEANS")</f>
        <v>NEW ORLEANS</v>
      </c>
      <c r="J5420" t="str">
        <f>T("LA")</f>
        <v>LA</v>
      </c>
      <c r="K5420" t="str">
        <f>T("5046789704")</f>
        <v>5046789704</v>
      </c>
      <c r="L5420" t="str">
        <f>T("5046789889")</f>
        <v>5046789889</v>
      </c>
    </row>
    <row r="5421" spans="1:12" x14ac:dyDescent="0.35">
      <c r="A5421" t="str">
        <f t="shared" si="2093"/>
        <v>NAVFAC SOUTHEAST HL5</v>
      </c>
      <c r="B5421" t="str">
        <f>T("NAVSUP FLCJ MERIDIAN")</f>
        <v>NAVSUP FLCJ MERIDIAN</v>
      </c>
      <c r="C5421" t="str">
        <f>T("224 ALLEN RD")</f>
        <v>224 ALLEN RD</v>
      </c>
      <c r="D5421" t="str">
        <f>T("MERIDIAN")</f>
        <v>MERIDIAN</v>
      </c>
      <c r="E5421" t="str">
        <f>T("MS")</f>
        <v>MS</v>
      </c>
      <c r="F5421" t="str">
        <f>T("393070000")</f>
        <v>393070000</v>
      </c>
      <c r="G5421" t="str">
        <f>T("229 ALLEN ROAD")</f>
        <v>229 ALLEN ROAD</v>
      </c>
      <c r="H5421" t="str">
        <f>T("BLDG 425")</f>
        <v>BLDG 425</v>
      </c>
      <c r="I5421" t="str">
        <f>T("MERIDIAN")</f>
        <v>MERIDIAN</v>
      </c>
      <c r="J5421" t="str">
        <f>T("MS")</f>
        <v>MS</v>
      </c>
      <c r="K5421" t="str">
        <f>T("6016792956")</f>
        <v>6016792956</v>
      </c>
      <c r="L5421" t="str">
        <f>T("6016793474")</f>
        <v>6016793474</v>
      </c>
    </row>
    <row r="5422" spans="1:12" x14ac:dyDescent="0.35">
      <c r="A5422" t="str">
        <f t="shared" si="2093"/>
        <v>NAVFAC SOUTHEAST HL5</v>
      </c>
      <c r="B5422" t="str">
        <f>T("NAVSUP FLCJ MERIDIAN")</f>
        <v>NAVSUP FLCJ MERIDIAN</v>
      </c>
      <c r="C5422" t="str">
        <f>T("224 ALLEN RD")</f>
        <v>224 ALLEN RD</v>
      </c>
      <c r="D5422" t="str">
        <f>T("MERIDIAN")</f>
        <v>MERIDIAN</v>
      </c>
      <c r="E5422" t="str">
        <f>T("MS")</f>
        <v>MS</v>
      </c>
      <c r="F5422" t="str">
        <f>T("393070000")</f>
        <v>393070000</v>
      </c>
      <c r="G5422" t="str">
        <f>T("NAVSUP FLCJ MERIDIAN")</f>
        <v>NAVSUP FLCJ MERIDIAN</v>
      </c>
      <c r="H5422" t="str">
        <f>T("224 ALLEN RD")</f>
        <v>224 ALLEN RD</v>
      </c>
      <c r="I5422" t="str">
        <f>T("MERIDIAN")</f>
        <v>MERIDIAN</v>
      </c>
      <c r="J5422" t="str">
        <f>T("MS")</f>
        <v>MS</v>
      </c>
      <c r="K5422" t="str">
        <f>T("6016793216")</f>
        <v>6016793216</v>
      </c>
      <c r="L5422" t="str">
        <f>T("6016792904")</f>
        <v>6016792904</v>
      </c>
    </row>
    <row r="5423" spans="1:12" x14ac:dyDescent="0.35">
      <c r="A5423" t="str">
        <f t="shared" si="2093"/>
        <v>NAVFAC SOUTHEAST HL5</v>
      </c>
      <c r="B5423" t="str">
        <f>T("P O BOX 30")</f>
        <v>P O BOX 30</v>
      </c>
      <c r="C5423" t="str">
        <f>T("147 LANGLEY STREET BLDG 147")</f>
        <v>147 LANGLEY STREET BLDG 147</v>
      </c>
      <c r="D5423" t="str">
        <f t="shared" ref="D5423:D5429" si="2098">T("JACKSONVILLE")</f>
        <v>JACKSONVILLE</v>
      </c>
      <c r="E5423" t="str">
        <f t="shared" ref="E5423:E5429" si="2099">T("FL")</f>
        <v>FL</v>
      </c>
      <c r="F5423" t="str">
        <f t="shared" ref="F5423:F5429" si="2100">T("322120030")</f>
        <v>322120030</v>
      </c>
      <c r="G5423" t="str">
        <f>T("BLDG 147")</f>
        <v>BLDG 147</v>
      </c>
      <c r="H5423" t="str">
        <f>T("NAVAL AIR STATION")</f>
        <v>NAVAL AIR STATION</v>
      </c>
      <c r="I5423" t="str">
        <f t="shared" ref="I5423:I5429" si="2101">T("JACKSONVILLE")</f>
        <v>JACKSONVILLE</v>
      </c>
      <c r="J5423" t="str">
        <f t="shared" ref="J5423:J5429" si="2102">T("FL")</f>
        <v>FL</v>
      </c>
      <c r="K5423" t="str">
        <f>T("904-542-4315")</f>
        <v>904-542-4315</v>
      </c>
      <c r="L5423" t="str">
        <f>T("1111111111")</f>
        <v>1111111111</v>
      </c>
    </row>
    <row r="5424" spans="1:12" x14ac:dyDescent="0.35">
      <c r="A5424" t="str">
        <f t="shared" si="2093"/>
        <v>NAVFAC SOUTHEAST HL5</v>
      </c>
      <c r="B5424" t="str">
        <f>T("P O BOX 30")</f>
        <v>P O BOX 30</v>
      </c>
      <c r="C5424" t="str">
        <f>T("147 LANGLEY STREET BLDG 147")</f>
        <v>147 LANGLEY STREET BLDG 147</v>
      </c>
      <c r="D5424" t="str">
        <f t="shared" si="2098"/>
        <v>JACKSONVILLE</v>
      </c>
      <c r="E5424" t="str">
        <f t="shared" si="2099"/>
        <v>FL</v>
      </c>
      <c r="F5424" t="str">
        <f t="shared" si="2100"/>
        <v>322120030</v>
      </c>
      <c r="G5424" t="str">
        <f>T("P O BOX 30")</f>
        <v>P O BOX 30</v>
      </c>
      <c r="H5424" t="str">
        <f>T("147 LANGLEY STREET BLDG 147")</f>
        <v>147 LANGLEY STREET BLDG 147</v>
      </c>
      <c r="I5424" t="str">
        <f t="shared" si="2101"/>
        <v>JACKSONVILLE</v>
      </c>
      <c r="J5424" t="str">
        <f t="shared" si="2102"/>
        <v>FL</v>
      </c>
      <c r="K5424" t="str">
        <f>T("9045424368")</f>
        <v>9045424368</v>
      </c>
      <c r="L5424" t="str">
        <f>T("9045422726")</f>
        <v>9045422726</v>
      </c>
    </row>
    <row r="5425" spans="1:12" x14ac:dyDescent="0.35">
      <c r="A5425" t="str">
        <f t="shared" si="2093"/>
        <v>NAVFAC SOUTHEAST HL5</v>
      </c>
      <c r="B5425" t="str">
        <f>T("PO BOX 30 BLDG 103")</f>
        <v>PO BOX 30 BLDG 103</v>
      </c>
      <c r="C5425" t="str">
        <f>T("")</f>
        <v/>
      </c>
      <c r="D5425" t="str">
        <f t="shared" si="2098"/>
        <v>JACKSONVILLE</v>
      </c>
      <c r="E5425" t="str">
        <f t="shared" si="2099"/>
        <v>FL</v>
      </c>
      <c r="F5425" t="str">
        <f t="shared" si="2100"/>
        <v>322120030</v>
      </c>
      <c r="G5425" t="str">
        <f>T("NAVFAC SE JACKSONVILLE")</f>
        <v>NAVFAC SE JACKSONVILLE</v>
      </c>
      <c r="H5425" t="str">
        <f>T("BLDG 103 CODE 190")</f>
        <v>BLDG 103 CODE 190</v>
      </c>
      <c r="I5425" t="str">
        <f t="shared" si="2101"/>
        <v>JACKSONVILLE</v>
      </c>
      <c r="J5425" t="str">
        <f t="shared" si="2102"/>
        <v>FL</v>
      </c>
      <c r="K5425" t="str">
        <f>T("000000000000000000")</f>
        <v>000000000000000000</v>
      </c>
      <c r="L5425" t="str">
        <f>T("9045428439")</f>
        <v>9045428439</v>
      </c>
    </row>
    <row r="5426" spans="1:12" x14ac:dyDescent="0.35">
      <c r="A5426" t="str">
        <f t="shared" si="2093"/>
        <v>NAVFAC SOUTHEAST HL5</v>
      </c>
      <c r="B5426" t="str">
        <f>T("PO BOX 30 BLDG 103")</f>
        <v>PO BOX 30 BLDG 103</v>
      </c>
      <c r="C5426" t="str">
        <f>T("")</f>
        <v/>
      </c>
      <c r="D5426" t="str">
        <f t="shared" si="2098"/>
        <v>JACKSONVILLE</v>
      </c>
      <c r="E5426" t="str">
        <f t="shared" si="2099"/>
        <v>FL</v>
      </c>
      <c r="F5426" t="str">
        <f t="shared" si="2100"/>
        <v>322120030</v>
      </c>
      <c r="G5426" t="str">
        <f>T("PO BOX 30 BLDG 103")</f>
        <v>PO BOX 30 BLDG 103</v>
      </c>
      <c r="H5426" t="str">
        <f>T("")</f>
        <v/>
      </c>
      <c r="I5426" t="str">
        <f t="shared" si="2101"/>
        <v>JACKSONVILLE</v>
      </c>
      <c r="J5426" t="str">
        <f t="shared" si="2102"/>
        <v>FL</v>
      </c>
      <c r="K5426" t="str">
        <f>T("904-542-8153")</f>
        <v>904-542-8153</v>
      </c>
      <c r="L5426" t="str">
        <f>T("9045428438")</f>
        <v>9045428438</v>
      </c>
    </row>
    <row r="5427" spans="1:12" x14ac:dyDescent="0.35">
      <c r="A5427" t="str">
        <f t="shared" ref="A5427:A5441" si="2103">T("NAVFAC SOUTHEAST HL5")</f>
        <v>NAVFAC SOUTHEAST HL5</v>
      </c>
      <c r="B5427" t="str">
        <f>T("PO BOX 30 BLDG 902 HRO DEPT")</f>
        <v>PO BOX 30 BLDG 902 HRO DEPT</v>
      </c>
      <c r="C5427" t="str">
        <f>T("NAS JACKSONVILLE")</f>
        <v>NAS JACKSONVILLE</v>
      </c>
      <c r="D5427" t="str">
        <f t="shared" si="2098"/>
        <v>JACKSONVILLE</v>
      </c>
      <c r="E5427" t="str">
        <f t="shared" si="2099"/>
        <v>FL</v>
      </c>
      <c r="F5427" t="str">
        <f t="shared" si="2100"/>
        <v>322120030</v>
      </c>
      <c r="G5427" t="str">
        <f>T("P O BOX 30")</f>
        <v>P O BOX 30</v>
      </c>
      <c r="H5427" t="str">
        <f>T("NAVAL AIR STATION")</f>
        <v>NAVAL AIR STATION</v>
      </c>
      <c r="I5427" t="str">
        <f t="shared" si="2101"/>
        <v>JACKSONVILLE</v>
      </c>
      <c r="J5427" t="str">
        <f t="shared" si="2102"/>
        <v>FL</v>
      </c>
      <c r="K5427" t="str">
        <f>T("9045423269")</f>
        <v>9045423269</v>
      </c>
      <c r="L5427" t="str">
        <f>T("9045428749")</f>
        <v>9045428749</v>
      </c>
    </row>
    <row r="5428" spans="1:12" x14ac:dyDescent="0.35">
      <c r="A5428" t="str">
        <f t="shared" si="2103"/>
        <v>NAVFAC SOUTHEAST HL5</v>
      </c>
      <c r="B5428" t="str">
        <f>T("PO BOX 30 BLDG 902 HRO DEPT")</f>
        <v>PO BOX 30 BLDG 902 HRO DEPT</v>
      </c>
      <c r="C5428" t="str">
        <f>T("NAS JACKSONVILLE")</f>
        <v>NAS JACKSONVILLE</v>
      </c>
      <c r="D5428" t="str">
        <f t="shared" si="2098"/>
        <v>JACKSONVILLE</v>
      </c>
      <c r="E5428" t="str">
        <f t="shared" si="2099"/>
        <v>FL</v>
      </c>
      <c r="F5428" t="str">
        <f t="shared" si="2100"/>
        <v>322120030</v>
      </c>
      <c r="G5428" t="str">
        <f>T("PO BOX 30 BLDG 902")</f>
        <v>PO BOX 30 BLDG 902</v>
      </c>
      <c r="H5428" t="str">
        <f>T("902 YORKTOWN AVE")</f>
        <v>902 YORKTOWN AVE</v>
      </c>
      <c r="I5428" t="str">
        <f t="shared" si="2101"/>
        <v>JACKSONVILLE</v>
      </c>
      <c r="J5428" t="str">
        <f t="shared" si="2102"/>
        <v>FL</v>
      </c>
      <c r="K5428" t="str">
        <f>T("9045428710")</f>
        <v>9045428710</v>
      </c>
      <c r="L5428" t="str">
        <f>T("9045426119")</f>
        <v>9045426119</v>
      </c>
    </row>
    <row r="5429" spans="1:12" x14ac:dyDescent="0.35">
      <c r="A5429" t="str">
        <f t="shared" si="2103"/>
        <v>NAVFAC SOUTHEAST HL5</v>
      </c>
      <c r="B5429" t="str">
        <f>T("PO BOX 30 BLDG 902 HRO DEPT")</f>
        <v>PO BOX 30 BLDG 902 HRO DEPT</v>
      </c>
      <c r="C5429" t="str">
        <f>T("NAS JACKSONVILLE")</f>
        <v>NAS JACKSONVILLE</v>
      </c>
      <c r="D5429" t="str">
        <f t="shared" si="2098"/>
        <v>JACKSONVILLE</v>
      </c>
      <c r="E5429" t="str">
        <f t="shared" si="2099"/>
        <v>FL</v>
      </c>
      <c r="F5429" t="str">
        <f t="shared" si="2100"/>
        <v>322120030</v>
      </c>
      <c r="G5429" t="str">
        <f>T("PO BOX 30 BLDG 902 HRO DEPT")</f>
        <v>PO BOX 30 BLDG 902 HRO DEPT</v>
      </c>
      <c r="H5429" t="str">
        <f>T("NAS JACKSONVILLE")</f>
        <v>NAS JACKSONVILLE</v>
      </c>
      <c r="I5429" t="str">
        <f t="shared" si="2101"/>
        <v>JACKSONVILLE</v>
      </c>
      <c r="J5429" t="str">
        <f t="shared" si="2102"/>
        <v>FL</v>
      </c>
      <c r="K5429" t="str">
        <f>T("9045428710")</f>
        <v>9045428710</v>
      </c>
      <c r="L5429" t="str">
        <f>T("9045426045")</f>
        <v>9045426045</v>
      </c>
    </row>
    <row r="5430" spans="1:12" x14ac:dyDescent="0.35">
      <c r="A5430" t="str">
        <f t="shared" si="2103"/>
        <v>NAVFAC SOUTHEAST HL5</v>
      </c>
      <c r="B5430" t="str">
        <f>T("PO BOX 655")</f>
        <v>PO BOX 655</v>
      </c>
      <c r="C5430" t="str">
        <f>T("3701 RANGE RD")</f>
        <v>3701 RANGE RD</v>
      </c>
      <c r="D5430" t="str">
        <f>T("BARKSDALE AFB")</f>
        <v>BARKSDALE AFB</v>
      </c>
      <c r="E5430" t="str">
        <f>T("LA")</f>
        <v>LA</v>
      </c>
      <c r="F5430" t="str">
        <f>T("711100655")</f>
        <v>711100655</v>
      </c>
      <c r="G5430" t="str">
        <f>T("NAVFACSE BARKSDALE ROICC")</f>
        <v>NAVFACSE BARKSDALE ROICC</v>
      </c>
      <c r="H5430" t="str">
        <f>T("3701 RANGE ROAD P O BOX 655")</f>
        <v>3701 RANGE ROAD P O BOX 655</v>
      </c>
      <c r="I5430" t="str">
        <f>T("BARKSDALE AFB")</f>
        <v>BARKSDALE AFB</v>
      </c>
      <c r="J5430" t="str">
        <f>T("LA")</f>
        <v>LA</v>
      </c>
      <c r="K5430" t="str">
        <f>T("000000000000000000")</f>
        <v>000000000000000000</v>
      </c>
      <c r="L5430" t="str">
        <f>T("3184562326")</f>
        <v>3184562326</v>
      </c>
    </row>
    <row r="5431" spans="1:12" x14ac:dyDescent="0.35">
      <c r="A5431" t="str">
        <f t="shared" si="2103"/>
        <v>NAVFAC SOUTHEAST HL5</v>
      </c>
      <c r="B5431" t="str">
        <f>T("PO BOX 655")</f>
        <v>PO BOX 655</v>
      </c>
      <c r="C5431" t="str">
        <f>T("3701 RANGE RD")</f>
        <v>3701 RANGE RD</v>
      </c>
      <c r="D5431" t="str">
        <f>T("BARKSDALE AFB")</f>
        <v>BARKSDALE AFB</v>
      </c>
      <c r="E5431" t="str">
        <f>T("LA")</f>
        <v>LA</v>
      </c>
      <c r="F5431" t="str">
        <f>T("711100655")</f>
        <v>711100655</v>
      </c>
      <c r="G5431" t="str">
        <f>T("PO BOX 655")</f>
        <v>PO BOX 655</v>
      </c>
      <c r="H5431" t="str">
        <f>T("3701 RANGE RD")</f>
        <v>3701 RANGE RD</v>
      </c>
      <c r="I5431" t="str">
        <f>T("BARKSDALE AFB")</f>
        <v>BARKSDALE AFB</v>
      </c>
      <c r="J5431" t="str">
        <f>T("LA")</f>
        <v>LA</v>
      </c>
      <c r="K5431" t="str">
        <f>T("3184562517")</f>
        <v>3184562517</v>
      </c>
      <c r="L5431" t="str">
        <f>T("3184562649")</f>
        <v>3184562649</v>
      </c>
    </row>
    <row r="5432" spans="1:12" x14ac:dyDescent="0.35">
      <c r="A5432" t="str">
        <f t="shared" si="2103"/>
        <v>NAVFAC SOUTHEAST HL5</v>
      </c>
      <c r="B5432" t="str">
        <f>T("PSC 1005 BOX 37")</f>
        <v>PSC 1005 BOX 37</v>
      </c>
      <c r="C5432" t="str">
        <f>T("")</f>
        <v/>
      </c>
      <c r="D5432" t="str">
        <f>T("FPO")</f>
        <v>FPO</v>
      </c>
      <c r="E5432" t="str">
        <f>T("AE")</f>
        <v>AE</v>
      </c>
      <c r="F5432" t="str">
        <f>T("095930001")</f>
        <v>095930001</v>
      </c>
      <c r="G5432" t="str">
        <f>T("PSC 1005 BOX 37")</f>
        <v>PSC 1005 BOX 37</v>
      </c>
      <c r="H5432" t="str">
        <f>T("")</f>
        <v/>
      </c>
      <c r="I5432" t="str">
        <f>T("FPO")</f>
        <v>FPO</v>
      </c>
      <c r="J5432" t="str">
        <f>T("AE")</f>
        <v>AE</v>
      </c>
      <c r="K5432" t="str">
        <f>T("01153995687")</f>
        <v>01153995687</v>
      </c>
      <c r="L5432" t="str">
        <f>T("1111111111")</f>
        <v>1111111111</v>
      </c>
    </row>
    <row r="5433" spans="1:12" x14ac:dyDescent="0.35">
      <c r="A5433" t="str">
        <f t="shared" si="2103"/>
        <v>NAVFAC SOUTHEAST HL5</v>
      </c>
      <c r="B5433" t="str">
        <f>T("PSC 1005 BOX 37")</f>
        <v>PSC 1005 BOX 37</v>
      </c>
      <c r="C5433" t="str">
        <f>T("")</f>
        <v/>
      </c>
      <c r="D5433" t="str">
        <f>T("FPO")</f>
        <v>FPO</v>
      </c>
      <c r="E5433" t="str">
        <f>T("AE")</f>
        <v>AE</v>
      </c>
      <c r="F5433" t="str">
        <f>T("095930001")</f>
        <v>095930001</v>
      </c>
      <c r="G5433" t="str">
        <f>T("PWD GUANTANAMO BAY CUBA")</f>
        <v>PWD GUANTANAMO BAY CUBA</v>
      </c>
      <c r="H5433" t="str">
        <f>T("PSC 1005 BOX 57")</f>
        <v>PSC 1005 BOX 57</v>
      </c>
      <c r="I5433" t="str">
        <f>T("FPO")</f>
        <v>FPO</v>
      </c>
      <c r="J5433" t="str">
        <f>T("AE")</f>
        <v>AE</v>
      </c>
      <c r="K5433" t="str">
        <f>T("01153995687")</f>
        <v>01153995687</v>
      </c>
      <c r="L5433" t="str">
        <f>T("7574585603")</f>
        <v>7574585603</v>
      </c>
    </row>
    <row r="5434" spans="1:12" x14ac:dyDescent="0.35">
      <c r="A5434" t="str">
        <f t="shared" si="2103"/>
        <v>NAVFAC SOUTHEAST HL5</v>
      </c>
      <c r="B5434" t="str">
        <f>T("PUBLIC WORKS DEPT PENSACOLA")</f>
        <v>PUBLIC WORKS DEPT PENSACOLA</v>
      </c>
      <c r="C5434" t="str">
        <f>T("690 SAN CARLOS RD BLDG 3581")</f>
        <v>690 SAN CARLOS RD BLDG 3581</v>
      </c>
      <c r="D5434" t="str">
        <f>T("PENSACOLA")</f>
        <v>PENSACOLA</v>
      </c>
      <c r="E5434" t="str">
        <f>T("FL")</f>
        <v>FL</v>
      </c>
      <c r="F5434" t="str">
        <f>T("325085515")</f>
        <v>325085515</v>
      </c>
      <c r="G5434" t="str">
        <f>T("NAVFACSE PENSACOLA")</f>
        <v>NAVFACSE PENSACOLA</v>
      </c>
      <c r="H5434" t="str">
        <f>T("690 SAN CARLOS ROAD #3581")</f>
        <v>690 SAN CARLOS ROAD #3581</v>
      </c>
      <c r="I5434" t="str">
        <f>T("PENSACOLA")</f>
        <v>PENSACOLA</v>
      </c>
      <c r="J5434" t="str">
        <f>T("FL")</f>
        <v>FL</v>
      </c>
      <c r="K5434" t="str">
        <f>T("8504522068")</f>
        <v>8504522068</v>
      </c>
      <c r="L5434" t="str">
        <f>T("8504523197")</f>
        <v>8504523197</v>
      </c>
    </row>
    <row r="5435" spans="1:12" x14ac:dyDescent="0.35">
      <c r="A5435" t="str">
        <f t="shared" si="2103"/>
        <v>NAVFAC SOUTHEAST HL5</v>
      </c>
      <c r="B5435" t="str">
        <f>T("PUBLIC WORKS DEPT PENSACOLA")</f>
        <v>PUBLIC WORKS DEPT PENSACOLA</v>
      </c>
      <c r="C5435" t="str">
        <f>T("690 SAN CARLOS RD BLDG 3581")</f>
        <v>690 SAN CARLOS RD BLDG 3581</v>
      </c>
      <c r="D5435" t="str">
        <f>T("PENSACOLA")</f>
        <v>PENSACOLA</v>
      </c>
      <c r="E5435" t="str">
        <f>T("FL")</f>
        <v>FL</v>
      </c>
      <c r="F5435" t="str">
        <f>T("325085515")</f>
        <v>325085515</v>
      </c>
      <c r="G5435" t="str">
        <f>T("PUBLIC WORKS DEPT PENSACOLA")</f>
        <v>PUBLIC WORKS DEPT PENSACOLA</v>
      </c>
      <c r="H5435" t="str">
        <f>T("690 SAN CARLOS RD BLDG 3581")</f>
        <v>690 SAN CARLOS RD BLDG 3581</v>
      </c>
      <c r="I5435" t="str">
        <f>T("PENSACOLA")</f>
        <v>PENSACOLA</v>
      </c>
      <c r="J5435" t="str">
        <f>T("FL")</f>
        <v>FL</v>
      </c>
      <c r="K5435" t="str">
        <f>T("8504522068")</f>
        <v>8504522068</v>
      </c>
      <c r="L5435" t="str">
        <f>T("8504523914")</f>
        <v>8504523914</v>
      </c>
    </row>
    <row r="5436" spans="1:12" x14ac:dyDescent="0.35">
      <c r="A5436" t="str">
        <f t="shared" si="2103"/>
        <v>NAVFAC SOUTHEAST HL5</v>
      </c>
      <c r="B5436" t="str">
        <f>T("PWD")</f>
        <v>PWD</v>
      </c>
      <c r="C5436" t="str">
        <f>T("USS WASP ST BLDG 1418")</f>
        <v>USS WASP ST BLDG 1418</v>
      </c>
      <c r="D5436" t="str">
        <f>T("MILTON")</f>
        <v>MILTON</v>
      </c>
      <c r="E5436" t="str">
        <f>T("FL")</f>
        <v>FL</v>
      </c>
      <c r="F5436" t="str">
        <f>T("325700000")</f>
        <v>325700000</v>
      </c>
      <c r="G5436" t="str">
        <f>T("7183 LANGLEY ST BLDG 1416")</f>
        <v>7183 LANGLEY ST BLDG 1416</v>
      </c>
      <c r="H5436" t="str">
        <f>T("NAS WHITING FIELD")</f>
        <v>NAS WHITING FIELD</v>
      </c>
      <c r="I5436" t="str">
        <f>T("MILTON")</f>
        <v>MILTON</v>
      </c>
      <c r="J5436" t="str">
        <f>T("FL")</f>
        <v>FL</v>
      </c>
      <c r="K5436" t="str">
        <f>T("8506237490")</f>
        <v>8506237490</v>
      </c>
      <c r="L5436" t="str">
        <f>T("8506237019")</f>
        <v>8506237019</v>
      </c>
    </row>
    <row r="5437" spans="1:12" x14ac:dyDescent="0.35">
      <c r="A5437" t="str">
        <f t="shared" si="2103"/>
        <v>NAVFAC SOUTHEAST HL5</v>
      </c>
      <c r="B5437" t="str">
        <f>T("PWD")</f>
        <v>PWD</v>
      </c>
      <c r="C5437" t="str">
        <f>T("USS WASP ST BLDG 1418")</f>
        <v>USS WASP ST BLDG 1418</v>
      </c>
      <c r="D5437" t="str">
        <f>T("MILTON")</f>
        <v>MILTON</v>
      </c>
      <c r="E5437" t="str">
        <f>T("FL")</f>
        <v>FL</v>
      </c>
      <c r="F5437" t="str">
        <f>T("325700000")</f>
        <v>325700000</v>
      </c>
      <c r="G5437" t="str">
        <f>T("PWD")</f>
        <v>PWD</v>
      </c>
      <c r="H5437" t="str">
        <f>T("USS WASP ST BLDG 1418")</f>
        <v>USS WASP ST BLDG 1418</v>
      </c>
      <c r="I5437" t="str">
        <f>T("MILTON")</f>
        <v>MILTON</v>
      </c>
      <c r="J5437" t="str">
        <f>T("FL")</f>
        <v>FL</v>
      </c>
      <c r="K5437" t="str">
        <f>T("")</f>
        <v/>
      </c>
      <c r="L5437" t="str">
        <f>T("8506237673")</f>
        <v>8506237673</v>
      </c>
    </row>
    <row r="5438" spans="1:12" x14ac:dyDescent="0.35">
      <c r="A5438" t="str">
        <f t="shared" si="2103"/>
        <v>NAVFAC SOUTHEAST HL5</v>
      </c>
      <c r="B5438" t="str">
        <f>T("ROICC CHARLESTON BLDG 71")</f>
        <v>ROICC CHARLESTON BLDG 71</v>
      </c>
      <c r="C5438" t="str">
        <f>T("2120 QUALITY CIRCLE")</f>
        <v>2120 QUALITY CIRCLE</v>
      </c>
      <c r="D5438" t="str">
        <f>T("GOOSE CREEK")</f>
        <v>GOOSE CREEK</v>
      </c>
      <c r="E5438" t="str">
        <f>T("SC")</f>
        <v>SC</v>
      </c>
      <c r="F5438" t="str">
        <f>T("294458609")</f>
        <v>294458609</v>
      </c>
      <c r="G5438" t="str">
        <f>T("ROICC CHARLESTON BLDG 71")</f>
        <v>ROICC CHARLESTON BLDG 71</v>
      </c>
      <c r="H5438" t="str">
        <f>T("2120 QUALITY CIR")</f>
        <v>2120 QUALITY CIR</v>
      </c>
      <c r="I5438" t="str">
        <f>T("GOOSE CREEK")</f>
        <v>GOOSE CREEK</v>
      </c>
      <c r="J5438" t="str">
        <f>T("SC")</f>
        <v>SC</v>
      </c>
      <c r="K5438" t="str">
        <f>T("8437644156")</f>
        <v>8437644156</v>
      </c>
      <c r="L5438" t="str">
        <f>T("8437644339")</f>
        <v>8437644339</v>
      </c>
    </row>
    <row r="5439" spans="1:12" x14ac:dyDescent="0.35">
      <c r="A5439" t="str">
        <f t="shared" si="2103"/>
        <v>NAVFAC SOUTHEAST HL5</v>
      </c>
      <c r="B5439" t="str">
        <f>T("ROICC CHARLESTON BLDG 71")</f>
        <v>ROICC CHARLESTON BLDG 71</v>
      </c>
      <c r="C5439" t="str">
        <f>T("2120 QUALITY CIRCLE")</f>
        <v>2120 QUALITY CIRCLE</v>
      </c>
      <c r="D5439" t="str">
        <f>T("GOOSE CREEK")</f>
        <v>GOOSE CREEK</v>
      </c>
      <c r="E5439" t="str">
        <f>T("SC")</f>
        <v>SC</v>
      </c>
      <c r="F5439" t="str">
        <f>T("294458609")</f>
        <v>294458609</v>
      </c>
      <c r="G5439" t="str">
        <f>T("ROICC CHARLESTON BLDG 71")</f>
        <v>ROICC CHARLESTON BLDG 71</v>
      </c>
      <c r="H5439" t="str">
        <f>T("2120 QUALITY CIRCLE")</f>
        <v>2120 QUALITY CIRCLE</v>
      </c>
      <c r="I5439" t="str">
        <f>T("GOOSE CREEK")</f>
        <v>GOOSE CREEK</v>
      </c>
      <c r="J5439" t="str">
        <f>T("SC")</f>
        <v>SC</v>
      </c>
      <c r="K5439" t="str">
        <f>T("8437644157")</f>
        <v>8437644157</v>
      </c>
      <c r="L5439" t="str">
        <f>T("8437644434")</f>
        <v>8437644434</v>
      </c>
    </row>
    <row r="5440" spans="1:12" x14ac:dyDescent="0.35">
      <c r="A5440" t="str">
        <f t="shared" si="2103"/>
        <v>NAVFAC SOUTHEAST HL5</v>
      </c>
      <c r="B5440" t="str">
        <f>T("SUBASE PWD KINGS BAY")</f>
        <v>SUBASE PWD KINGS BAY</v>
      </c>
      <c r="C5440" t="str">
        <f>T("910 USS HUNLEY AVE BLDG 2015")</f>
        <v>910 USS HUNLEY AVE BLDG 2015</v>
      </c>
      <c r="D5440" t="str">
        <f>T("KINGS BAY")</f>
        <v>KINGS BAY</v>
      </c>
      <c r="E5440" t="str">
        <f>T("GA")</f>
        <v>GA</v>
      </c>
      <c r="F5440" t="str">
        <f>T("315472613")</f>
        <v>315472613</v>
      </c>
      <c r="G5440" t="str">
        <f>T("NAVFAC SE KINGS BAY")</f>
        <v>NAVFAC SE KINGS BAY</v>
      </c>
      <c r="H5440" t="str">
        <f>T("910 HUNLEY AVE BLDG 2015")</f>
        <v>910 HUNLEY AVE BLDG 2015</v>
      </c>
      <c r="I5440" t="str">
        <f>T("KINGS BAY")</f>
        <v>KINGS BAY</v>
      </c>
      <c r="J5440" t="str">
        <f>T("GA")</f>
        <v>GA</v>
      </c>
      <c r="K5440" t="str">
        <f>T("9125732661")</f>
        <v>9125732661</v>
      </c>
      <c r="L5440" t="str">
        <f>T("9125734611")</f>
        <v>9125734611</v>
      </c>
    </row>
    <row r="5441" spans="1:12" x14ac:dyDescent="0.35">
      <c r="A5441" t="str">
        <f t="shared" si="2103"/>
        <v>NAVFAC SOUTHEAST HL5</v>
      </c>
      <c r="B5441" t="str">
        <f>T("SUBASE PWD KINGS BAY")</f>
        <v>SUBASE PWD KINGS BAY</v>
      </c>
      <c r="C5441" t="str">
        <f>T("910 USS HUNLEY AVE BLDG 2015")</f>
        <v>910 USS HUNLEY AVE BLDG 2015</v>
      </c>
      <c r="D5441" t="str">
        <f>T("KINGS BAY")</f>
        <v>KINGS BAY</v>
      </c>
      <c r="E5441" t="str">
        <f>T("GA")</f>
        <v>GA</v>
      </c>
      <c r="F5441" t="str">
        <f>T("315472613")</f>
        <v>315472613</v>
      </c>
      <c r="G5441" t="str">
        <f>T("SUBASE PWD KINGS BAY")</f>
        <v>SUBASE PWD KINGS BAY</v>
      </c>
      <c r="H5441" t="str">
        <f>T("910 USS HUNLEY AVE BLDG 2015")</f>
        <v>910 USS HUNLEY AVE BLDG 2015</v>
      </c>
      <c r="I5441" t="str">
        <f>T("KINGS BAY")</f>
        <v>KINGS BAY</v>
      </c>
      <c r="J5441" t="str">
        <f>T("GA")</f>
        <v>GA</v>
      </c>
      <c r="K5441" t="str">
        <f>T("9125732661")</f>
        <v>9125732661</v>
      </c>
      <c r="L5441" t="str">
        <f>T("9125734604")</f>
        <v>9125734604</v>
      </c>
    </row>
    <row r="5442" spans="1:12" x14ac:dyDescent="0.35">
      <c r="A5442" t="str">
        <f t="shared" ref="A5442:A5450" si="2104">T("NAVFAC PACIFIC HL5")</f>
        <v>NAVFAC PACIFIC HL5</v>
      </c>
      <c r="B5442" t="str">
        <f t="shared" ref="B5442:B5447" si="2105">T("258 MAKALAPA DR")</f>
        <v>258 MAKALAPA DR</v>
      </c>
      <c r="C5442" t="str">
        <f t="shared" ref="C5442:C5447" si="2106">T("STE 100")</f>
        <v>STE 100</v>
      </c>
      <c r="D5442" t="str">
        <f t="shared" ref="D5442:D5450" si="2107">T("PEARL HARBOR")</f>
        <v>PEARL HARBOR</v>
      </c>
      <c r="E5442" t="str">
        <f t="shared" ref="E5442:E5450" si="2108">T("HI")</f>
        <v>HI</v>
      </c>
      <c r="F5442" t="str">
        <f t="shared" ref="F5442:F5450" si="2109">T("968603134")</f>
        <v>968603134</v>
      </c>
      <c r="G5442" t="str">
        <f>T("258 MAKALAPA DR")</f>
        <v>258 MAKALAPA DR</v>
      </c>
      <c r="H5442" t="str">
        <f>T("STE 100")</f>
        <v>STE 100</v>
      </c>
      <c r="I5442" t="str">
        <f t="shared" ref="I5442:I5450" si="2110">T("PEARL HARBOR")</f>
        <v>PEARL HARBOR</v>
      </c>
      <c r="J5442" t="str">
        <f t="shared" ref="J5442:J5450" si="2111">T("HI")</f>
        <v>HI</v>
      </c>
      <c r="K5442" t="str">
        <f>T("000000000000000000")</f>
        <v>000000000000000000</v>
      </c>
      <c r="L5442" t="str">
        <f>T("8084721061")</f>
        <v>8084721061</v>
      </c>
    </row>
    <row r="5443" spans="1:12" x14ac:dyDescent="0.35">
      <c r="A5443" t="str">
        <f t="shared" si="2104"/>
        <v>NAVFAC PACIFIC HL5</v>
      </c>
      <c r="B5443" t="str">
        <f t="shared" si="2105"/>
        <v>258 MAKALAPA DR</v>
      </c>
      <c r="C5443" t="str">
        <f t="shared" si="2106"/>
        <v>STE 100</v>
      </c>
      <c r="D5443" t="str">
        <f t="shared" si="2107"/>
        <v>PEARL HARBOR</v>
      </c>
      <c r="E5443" t="str">
        <f t="shared" si="2108"/>
        <v>HI</v>
      </c>
      <c r="F5443" t="str">
        <f t="shared" si="2109"/>
        <v>968603134</v>
      </c>
      <c r="G5443" t="str">
        <f>T("258 MAKALAPA DR")</f>
        <v>258 MAKALAPA DR</v>
      </c>
      <c r="H5443" t="str">
        <f>T("STE 100")</f>
        <v>STE 100</v>
      </c>
      <c r="I5443" t="str">
        <f t="shared" si="2110"/>
        <v>PEARL HARBOR</v>
      </c>
      <c r="J5443" t="str">
        <f t="shared" si="2111"/>
        <v>HI</v>
      </c>
      <c r="K5443" t="str">
        <f>T("000000000000000000")</f>
        <v>000000000000000000</v>
      </c>
      <c r="L5443" t="str">
        <f>T("8084721601")</f>
        <v>8084721601</v>
      </c>
    </row>
    <row r="5444" spans="1:12" x14ac:dyDescent="0.35">
      <c r="A5444" t="str">
        <f t="shared" si="2104"/>
        <v>NAVFAC PACIFIC HL5</v>
      </c>
      <c r="B5444" t="str">
        <f t="shared" si="2105"/>
        <v>258 MAKALAPA DR</v>
      </c>
      <c r="C5444" t="str">
        <f t="shared" si="2106"/>
        <v>STE 100</v>
      </c>
      <c r="D5444" t="str">
        <f t="shared" si="2107"/>
        <v>PEARL HARBOR</v>
      </c>
      <c r="E5444" t="str">
        <f t="shared" si="2108"/>
        <v>HI</v>
      </c>
      <c r="F5444" t="str">
        <f t="shared" si="2109"/>
        <v>968603134</v>
      </c>
      <c r="G5444" t="str">
        <f>T("258 MAKALAPA DR")</f>
        <v>258 MAKALAPA DR</v>
      </c>
      <c r="H5444" t="str">
        <f>T("STE 100")</f>
        <v>STE 100</v>
      </c>
      <c r="I5444" t="str">
        <f t="shared" si="2110"/>
        <v>PEARL HARBOR</v>
      </c>
      <c r="J5444" t="str">
        <f t="shared" si="2111"/>
        <v>HI</v>
      </c>
      <c r="K5444" t="str">
        <f>T("000000000000000000")</f>
        <v>000000000000000000</v>
      </c>
      <c r="L5444" t="str">
        <f>T("8084744530")</f>
        <v>8084744530</v>
      </c>
    </row>
    <row r="5445" spans="1:12" x14ac:dyDescent="0.35">
      <c r="A5445" t="str">
        <f t="shared" si="2104"/>
        <v>NAVFAC PACIFIC HL5</v>
      </c>
      <c r="B5445" t="str">
        <f t="shared" si="2105"/>
        <v>258 MAKALAPA DR</v>
      </c>
      <c r="C5445" t="str">
        <f t="shared" si="2106"/>
        <v>STE 100</v>
      </c>
      <c r="D5445" t="str">
        <f t="shared" si="2107"/>
        <v>PEARL HARBOR</v>
      </c>
      <c r="E5445" t="str">
        <f t="shared" si="2108"/>
        <v>HI</v>
      </c>
      <c r="F5445" t="str">
        <f t="shared" si="2109"/>
        <v>968603134</v>
      </c>
      <c r="G5445" t="str">
        <f>T("258 MAKALAPA DR")</f>
        <v>258 MAKALAPA DR</v>
      </c>
      <c r="H5445" t="str">
        <f>T("STE 100")</f>
        <v>STE 100</v>
      </c>
      <c r="I5445" t="str">
        <f t="shared" si="2110"/>
        <v>PEARL HARBOR</v>
      </c>
      <c r="J5445" t="str">
        <f t="shared" si="2111"/>
        <v>HI</v>
      </c>
      <c r="K5445" t="str">
        <f>T("8084744551")</f>
        <v>8084744551</v>
      </c>
      <c r="L5445" t="str">
        <f>T("8084745923")</f>
        <v>8084745923</v>
      </c>
    </row>
    <row r="5446" spans="1:12" x14ac:dyDescent="0.35">
      <c r="A5446" t="str">
        <f t="shared" si="2104"/>
        <v>NAVFAC PACIFIC HL5</v>
      </c>
      <c r="B5446" t="str">
        <f t="shared" si="2105"/>
        <v>258 MAKALAPA DR</v>
      </c>
      <c r="C5446" t="str">
        <f t="shared" si="2106"/>
        <v>STE 100</v>
      </c>
      <c r="D5446" t="str">
        <f t="shared" si="2107"/>
        <v>PEARL HARBOR</v>
      </c>
      <c r="E5446" t="str">
        <f t="shared" si="2108"/>
        <v>HI</v>
      </c>
      <c r="F5446" t="str">
        <f t="shared" si="2109"/>
        <v>968603134</v>
      </c>
      <c r="G5446" t="str">
        <f>T("258 MAKALAPA DR STE 100")</f>
        <v>258 MAKALAPA DR STE 100</v>
      </c>
      <c r="H5446" t="str">
        <f>T("")</f>
        <v/>
      </c>
      <c r="I5446" t="str">
        <f t="shared" si="2110"/>
        <v>PEARL HARBOR</v>
      </c>
      <c r="J5446" t="str">
        <f t="shared" si="2111"/>
        <v>HI</v>
      </c>
      <c r="K5446" t="str">
        <f>T("000000000000000000")</f>
        <v>000000000000000000</v>
      </c>
      <c r="L5446" t="str">
        <f>T("8084744530")</f>
        <v>8084744530</v>
      </c>
    </row>
    <row r="5447" spans="1:12" x14ac:dyDescent="0.35">
      <c r="A5447" t="str">
        <f t="shared" si="2104"/>
        <v>NAVFAC PACIFIC HL5</v>
      </c>
      <c r="B5447" t="str">
        <f t="shared" si="2105"/>
        <v>258 MAKALAPA DR</v>
      </c>
      <c r="C5447" t="str">
        <f t="shared" si="2106"/>
        <v>STE 100</v>
      </c>
      <c r="D5447" t="str">
        <f t="shared" si="2107"/>
        <v>PEARL HARBOR</v>
      </c>
      <c r="E5447" t="str">
        <f t="shared" si="2108"/>
        <v>HI</v>
      </c>
      <c r="F5447" t="str">
        <f t="shared" si="2109"/>
        <v>968603134</v>
      </c>
      <c r="G5447" t="str">
        <f>T("258 MAKALAPA DRIVE STE 100")</f>
        <v>258 MAKALAPA DRIVE STE 100</v>
      </c>
      <c r="H5447" t="str">
        <f>T("")</f>
        <v/>
      </c>
      <c r="I5447" t="str">
        <f t="shared" si="2110"/>
        <v>PEARL HARBOR</v>
      </c>
      <c r="J5447" t="str">
        <f t="shared" si="2111"/>
        <v>HI</v>
      </c>
      <c r="K5447" t="str">
        <f>T("000000000000000000")</f>
        <v>000000000000000000</v>
      </c>
      <c r="L5447" t="str">
        <f>T("8084744526")</f>
        <v>8084744526</v>
      </c>
    </row>
    <row r="5448" spans="1:12" x14ac:dyDescent="0.35">
      <c r="A5448" t="str">
        <f t="shared" si="2104"/>
        <v>NAVFAC PACIFIC HL5</v>
      </c>
      <c r="B5448" t="str">
        <f>T("258 MAKALAPA DR SUITE 100")</f>
        <v>258 MAKALAPA DR SUITE 100</v>
      </c>
      <c r="C5448" t="str">
        <f t="shared" ref="C5448:C5453" si="2112">T("")</f>
        <v/>
      </c>
      <c r="D5448" t="str">
        <f t="shared" si="2107"/>
        <v>PEARL HARBOR</v>
      </c>
      <c r="E5448" t="str">
        <f t="shared" si="2108"/>
        <v>HI</v>
      </c>
      <c r="F5448" t="str">
        <f t="shared" si="2109"/>
        <v>968603134</v>
      </c>
      <c r="G5448" t="str">
        <f>T("258 MAKALAPA DR SUITE 100")</f>
        <v>258 MAKALAPA DR SUITE 100</v>
      </c>
      <c r="H5448" t="str">
        <f>T("")</f>
        <v/>
      </c>
      <c r="I5448" t="str">
        <f t="shared" si="2110"/>
        <v>PEARL HARBOR</v>
      </c>
      <c r="J5448" t="str">
        <f t="shared" si="2111"/>
        <v>HI</v>
      </c>
      <c r="K5448" t="str">
        <f>T("808-474-5299")</f>
        <v>808-474-5299</v>
      </c>
      <c r="L5448" t="str">
        <f>T("8084721018")</f>
        <v>8084721018</v>
      </c>
    </row>
    <row r="5449" spans="1:12" x14ac:dyDescent="0.35">
      <c r="A5449" t="str">
        <f t="shared" si="2104"/>
        <v>NAVFAC PACIFIC HL5</v>
      </c>
      <c r="B5449" t="str">
        <f>T("258 MAKALAPA DR SUITE 100")</f>
        <v>258 MAKALAPA DR SUITE 100</v>
      </c>
      <c r="C5449" t="str">
        <f t="shared" si="2112"/>
        <v/>
      </c>
      <c r="D5449" t="str">
        <f t="shared" si="2107"/>
        <v>PEARL HARBOR</v>
      </c>
      <c r="E5449" t="str">
        <f t="shared" si="2108"/>
        <v>HI</v>
      </c>
      <c r="F5449" t="str">
        <f t="shared" si="2109"/>
        <v>968603134</v>
      </c>
      <c r="G5449" t="str">
        <f>T("258 MAKALAPA DRIVE")</f>
        <v>258 MAKALAPA DRIVE</v>
      </c>
      <c r="H5449" t="str">
        <f>T("SUITE 100 BLDG 258 FL 2")</f>
        <v>SUITE 100 BLDG 258 FL 2</v>
      </c>
      <c r="I5449" t="str">
        <f t="shared" si="2110"/>
        <v>PEARL HARBOR</v>
      </c>
      <c r="J5449" t="str">
        <f t="shared" si="2111"/>
        <v>HI</v>
      </c>
      <c r="K5449" t="str">
        <f>T("000000000000000000")</f>
        <v>000000000000000000</v>
      </c>
      <c r="L5449" t="str">
        <f>T("8084721031")</f>
        <v>8084721031</v>
      </c>
    </row>
    <row r="5450" spans="1:12" x14ac:dyDescent="0.35">
      <c r="A5450" t="str">
        <f t="shared" si="2104"/>
        <v>NAVFAC PACIFIC HL5</v>
      </c>
      <c r="B5450" t="str">
        <f>T("258 MAKALAPA DR SUITE 100")</f>
        <v>258 MAKALAPA DR SUITE 100</v>
      </c>
      <c r="C5450" t="str">
        <f t="shared" si="2112"/>
        <v/>
      </c>
      <c r="D5450" t="str">
        <f t="shared" si="2107"/>
        <v>PEARL HARBOR</v>
      </c>
      <c r="E5450" t="str">
        <f t="shared" si="2108"/>
        <v>HI</v>
      </c>
      <c r="F5450" t="str">
        <f t="shared" si="2109"/>
        <v>968603134</v>
      </c>
      <c r="G5450" t="str">
        <f>T("258 MAKALAPA DRIVE SUITE 100")</f>
        <v>258 MAKALAPA DRIVE SUITE 100</v>
      </c>
      <c r="H5450" t="str">
        <f>T("")</f>
        <v/>
      </c>
      <c r="I5450" t="str">
        <f t="shared" si="2110"/>
        <v>PEARL HARBOR</v>
      </c>
      <c r="J5450" t="str">
        <f t="shared" si="2111"/>
        <v>HI</v>
      </c>
      <c r="K5450" t="str">
        <f>T("000000000000000000")</f>
        <v>000000000000000000</v>
      </c>
      <c r="L5450" t="str">
        <f>T("8084721030")</f>
        <v>8084721030</v>
      </c>
    </row>
    <row r="5451" spans="1:12" x14ac:dyDescent="0.35">
      <c r="A5451" t="str">
        <f t="shared" ref="A5451:A5482" si="2113">T("NAVFAC FAR EAST HL5")</f>
        <v>NAVFAC FAR EAST HL5</v>
      </c>
      <c r="B5451" t="str">
        <f>T("FLCY 473 BOX 11")</f>
        <v>FLCY 473 BOX 11</v>
      </c>
      <c r="C5451" t="str">
        <f t="shared" si="2112"/>
        <v/>
      </c>
      <c r="D5451" t="str">
        <f t="shared" ref="D5451:D5482" si="2114">T("FPO")</f>
        <v>FPO</v>
      </c>
      <c r="E5451" t="str">
        <f t="shared" ref="E5451:E5482" si="2115">T("AP")</f>
        <v>AP</v>
      </c>
      <c r="F5451" t="str">
        <f t="shared" ref="F5451:F5482" si="2116">T("963490001")</f>
        <v>963490001</v>
      </c>
      <c r="G5451" t="str">
        <f>T("FLCY 473 BOX 11")</f>
        <v>FLCY 473 BOX 11</v>
      </c>
      <c r="H5451" t="str">
        <f>T("")</f>
        <v/>
      </c>
      <c r="I5451" t="str">
        <f t="shared" ref="I5451:I5482" si="2117">T("FPO")</f>
        <v>FPO</v>
      </c>
      <c r="J5451" t="str">
        <f t="shared" ref="J5451:J5482" si="2118">T("AP")</f>
        <v>AP</v>
      </c>
      <c r="K5451" t="str">
        <f>T("")</f>
        <v/>
      </c>
      <c r="L5451" t="str">
        <f>T("3152438006")</f>
        <v>3152438006</v>
      </c>
    </row>
    <row r="5452" spans="1:12" x14ac:dyDescent="0.35">
      <c r="A5452" t="str">
        <f t="shared" si="2113"/>
        <v>NAVFAC FAR EAST HL5</v>
      </c>
      <c r="B5452" t="str">
        <f>T("FLCY 473 BOX 11")</f>
        <v>FLCY 473 BOX 11</v>
      </c>
      <c r="C5452" t="str">
        <f t="shared" si="2112"/>
        <v/>
      </c>
      <c r="D5452" t="str">
        <f t="shared" si="2114"/>
        <v>FPO</v>
      </c>
      <c r="E5452" t="str">
        <f t="shared" si="2115"/>
        <v>AP</v>
      </c>
      <c r="F5452" t="str">
        <f t="shared" si="2116"/>
        <v>963490001</v>
      </c>
      <c r="G5452" t="str">
        <f>T("FLSCY 473 BOX 11")</f>
        <v>FLSCY 473 BOX 11</v>
      </c>
      <c r="H5452" t="str">
        <f>T("FLSCY CODE 420")</f>
        <v>FLSCY CODE 420</v>
      </c>
      <c r="I5452" t="str">
        <f t="shared" si="2117"/>
        <v>FPO</v>
      </c>
      <c r="J5452" t="str">
        <f t="shared" si="2118"/>
        <v>AP</v>
      </c>
      <c r="K5452" t="str">
        <f>T("")</f>
        <v/>
      </c>
      <c r="L5452" t="str">
        <f>T("1111111111")</f>
        <v>1111111111</v>
      </c>
    </row>
    <row r="5453" spans="1:12" x14ac:dyDescent="0.35">
      <c r="A5453" t="str">
        <f t="shared" si="2113"/>
        <v>NAVFAC FAR EAST HL5</v>
      </c>
      <c r="B5453" t="str">
        <f>T("FLCY 473 BOX 11")</f>
        <v>FLCY 473 BOX 11</v>
      </c>
      <c r="C5453" t="str">
        <f t="shared" si="2112"/>
        <v/>
      </c>
      <c r="D5453" t="str">
        <f t="shared" si="2114"/>
        <v>FPO</v>
      </c>
      <c r="E5453" t="str">
        <f t="shared" si="2115"/>
        <v>AP</v>
      </c>
      <c r="F5453" t="str">
        <f t="shared" si="2116"/>
        <v>963490001</v>
      </c>
      <c r="G5453" t="str">
        <f>T("PSC 473 BOX 11")</f>
        <v>PSC 473 BOX 11</v>
      </c>
      <c r="H5453" t="str">
        <f>T("FLSCY CODE 421")</f>
        <v>FLSCY CODE 421</v>
      </c>
      <c r="I5453" t="str">
        <f t="shared" si="2117"/>
        <v>FPO</v>
      </c>
      <c r="J5453" t="str">
        <f t="shared" si="2118"/>
        <v>AP</v>
      </c>
      <c r="K5453" t="str">
        <f>T("000000000000000000")</f>
        <v>000000000000000000</v>
      </c>
      <c r="L5453" t="str">
        <f>T("1111111111")</f>
        <v>1111111111</v>
      </c>
    </row>
    <row r="5454" spans="1:12" x14ac:dyDescent="0.35">
      <c r="A5454" t="str">
        <f t="shared" si="2113"/>
        <v>NAVFAC FAR EAST HL5</v>
      </c>
      <c r="B5454" t="str">
        <f>T("FLSCY 473 BOX 6")</f>
        <v>FLSCY 473 BOX 6</v>
      </c>
      <c r="C5454" t="str">
        <f>T("HAZMINCEN CODE 424")</f>
        <v>HAZMINCEN CODE 424</v>
      </c>
      <c r="D5454" t="str">
        <f t="shared" si="2114"/>
        <v>FPO</v>
      </c>
      <c r="E5454" t="str">
        <f t="shared" si="2115"/>
        <v>AP</v>
      </c>
      <c r="F5454" t="str">
        <f t="shared" si="2116"/>
        <v>963490001</v>
      </c>
      <c r="G5454" t="str">
        <f>T("FLSCY 473 BOX 6")</f>
        <v>FLSCY 473 BOX 6</v>
      </c>
      <c r="H5454" t="str">
        <f>T("HAZMINCEN CODE 424")</f>
        <v>HAZMINCEN CODE 424</v>
      </c>
      <c r="I5454" t="str">
        <f t="shared" si="2117"/>
        <v>FPO</v>
      </c>
      <c r="J5454" t="str">
        <f t="shared" si="2118"/>
        <v>AP</v>
      </c>
      <c r="K5454" t="str">
        <f>T("")</f>
        <v/>
      </c>
      <c r="L5454" t="str">
        <f>T("1111111111")</f>
        <v>1111111111</v>
      </c>
    </row>
    <row r="5455" spans="1:12" x14ac:dyDescent="0.35">
      <c r="A5455" t="str">
        <f t="shared" si="2113"/>
        <v>NAVFAC FAR EAST HL5</v>
      </c>
      <c r="B5455" t="str">
        <f>T("FLSCY 473 BOX 6")</f>
        <v>FLSCY 473 BOX 6</v>
      </c>
      <c r="C5455" t="str">
        <f>T("HAZMINCEN CODE 424")</f>
        <v>HAZMINCEN CODE 424</v>
      </c>
      <c r="D5455" t="str">
        <f t="shared" si="2114"/>
        <v>FPO</v>
      </c>
      <c r="E5455" t="str">
        <f t="shared" si="2115"/>
        <v>AP</v>
      </c>
      <c r="F5455" t="str">
        <f t="shared" si="2116"/>
        <v>963490001</v>
      </c>
      <c r="G5455" t="str">
        <f>T("PSC 476 BOX 6")</f>
        <v>PSC 476 BOX 6</v>
      </c>
      <c r="H5455" t="str">
        <f>T("FLCY SASEBO C424")</f>
        <v>FLCY SASEBO C424</v>
      </c>
      <c r="I5455" t="str">
        <f t="shared" si="2117"/>
        <v>FPO</v>
      </c>
      <c r="J5455" t="str">
        <f t="shared" si="2118"/>
        <v>AP</v>
      </c>
      <c r="K5455" t="str">
        <f>T("000000000000000000")</f>
        <v>000000000000000000</v>
      </c>
      <c r="L5455" t="str">
        <f>T("3152523177")</f>
        <v>3152523177</v>
      </c>
    </row>
    <row r="5456" spans="1:12" x14ac:dyDescent="0.35">
      <c r="A5456" t="str">
        <f t="shared" si="2113"/>
        <v>NAVFAC FAR EAST HL5</v>
      </c>
      <c r="B5456" t="str">
        <f t="shared" ref="B5456:B5461" si="2119">T("PSC 473 BOX 11")</f>
        <v>PSC 473 BOX 11</v>
      </c>
      <c r="C5456" t="str">
        <f t="shared" ref="C5456:C5461" si="2120">T("NAVSUP FLCY CODE 452")</f>
        <v>NAVSUP FLCY CODE 452</v>
      </c>
      <c r="D5456" t="str">
        <f t="shared" si="2114"/>
        <v>FPO</v>
      </c>
      <c r="E5456" t="str">
        <f t="shared" si="2115"/>
        <v>AP</v>
      </c>
      <c r="F5456" t="str">
        <f t="shared" si="2116"/>
        <v>963490001</v>
      </c>
      <c r="G5456" t="str">
        <f t="shared" ref="G5456:G5461" si="2121">T("PSC 473 BOX 11")</f>
        <v>PSC 473 BOX 11</v>
      </c>
      <c r="H5456" t="str">
        <f>T("FLCY CODE 452")</f>
        <v>FLCY CODE 452</v>
      </c>
      <c r="I5456" t="str">
        <f t="shared" si="2117"/>
        <v>FPO</v>
      </c>
      <c r="J5456" t="str">
        <f t="shared" si="2118"/>
        <v>AP</v>
      </c>
      <c r="K5456" t="str">
        <f>T("")</f>
        <v/>
      </c>
      <c r="L5456" t="str">
        <f>T("1111111111")</f>
        <v>1111111111</v>
      </c>
    </row>
    <row r="5457" spans="1:12" x14ac:dyDescent="0.35">
      <c r="A5457" t="str">
        <f t="shared" si="2113"/>
        <v>NAVFAC FAR EAST HL5</v>
      </c>
      <c r="B5457" t="str">
        <f t="shared" si="2119"/>
        <v>PSC 473 BOX 11</v>
      </c>
      <c r="C5457" t="str">
        <f t="shared" si="2120"/>
        <v>NAVSUP FLCY CODE 452</v>
      </c>
      <c r="D5457" t="str">
        <f t="shared" si="2114"/>
        <v>FPO</v>
      </c>
      <c r="E5457" t="str">
        <f t="shared" si="2115"/>
        <v>AP</v>
      </c>
      <c r="F5457" t="str">
        <f t="shared" si="2116"/>
        <v>963490001</v>
      </c>
      <c r="G5457" t="str">
        <f t="shared" si="2121"/>
        <v>PSC 473 BOX 11</v>
      </c>
      <c r="H5457" t="str">
        <f>T("FLCY CODE 452")</f>
        <v>FLCY CODE 452</v>
      </c>
      <c r="I5457" t="str">
        <f t="shared" si="2117"/>
        <v>FPO</v>
      </c>
      <c r="J5457" t="str">
        <f t="shared" si="2118"/>
        <v>AP</v>
      </c>
      <c r="K5457" t="str">
        <f>T("")</f>
        <v/>
      </c>
      <c r="L5457" t="str">
        <f>T("3152434844")</f>
        <v>3152434844</v>
      </c>
    </row>
    <row r="5458" spans="1:12" x14ac:dyDescent="0.35">
      <c r="A5458" t="str">
        <f t="shared" si="2113"/>
        <v>NAVFAC FAR EAST HL5</v>
      </c>
      <c r="B5458" t="str">
        <f t="shared" si="2119"/>
        <v>PSC 473 BOX 11</v>
      </c>
      <c r="C5458" t="str">
        <f t="shared" si="2120"/>
        <v>NAVSUP FLCY CODE 452</v>
      </c>
      <c r="D5458" t="str">
        <f t="shared" si="2114"/>
        <v>FPO</v>
      </c>
      <c r="E5458" t="str">
        <f t="shared" si="2115"/>
        <v>AP</v>
      </c>
      <c r="F5458" t="str">
        <f t="shared" si="2116"/>
        <v>963490001</v>
      </c>
      <c r="G5458" t="str">
        <f t="shared" si="2121"/>
        <v>PSC 473 BOX 11</v>
      </c>
      <c r="H5458" t="str">
        <f>T("FLCY CODE 452")</f>
        <v>FLCY CODE 452</v>
      </c>
      <c r="I5458" t="str">
        <f t="shared" si="2117"/>
        <v>FPO</v>
      </c>
      <c r="J5458" t="str">
        <f t="shared" si="2118"/>
        <v>AP</v>
      </c>
      <c r="K5458" t="str">
        <f>T("011810468166643")</f>
        <v>011810468166643</v>
      </c>
      <c r="L5458" t="str">
        <f>T("3152436634")</f>
        <v>3152436634</v>
      </c>
    </row>
    <row r="5459" spans="1:12" x14ac:dyDescent="0.35">
      <c r="A5459" t="str">
        <f t="shared" si="2113"/>
        <v>NAVFAC FAR EAST HL5</v>
      </c>
      <c r="B5459" t="str">
        <f t="shared" si="2119"/>
        <v>PSC 473 BOX 11</v>
      </c>
      <c r="C5459" t="str">
        <f t="shared" si="2120"/>
        <v>NAVSUP FLCY CODE 452</v>
      </c>
      <c r="D5459" t="str">
        <f t="shared" si="2114"/>
        <v>FPO</v>
      </c>
      <c r="E5459" t="str">
        <f t="shared" si="2115"/>
        <v>AP</v>
      </c>
      <c r="F5459" t="str">
        <f t="shared" si="2116"/>
        <v>963490001</v>
      </c>
      <c r="G5459" t="str">
        <f t="shared" si="2121"/>
        <v>PSC 473 BOX 11</v>
      </c>
      <c r="H5459" t="str">
        <f>T("FLSCY CODE 452")</f>
        <v>FLSCY CODE 452</v>
      </c>
      <c r="I5459" t="str">
        <f t="shared" si="2117"/>
        <v>FPO</v>
      </c>
      <c r="J5459" t="str">
        <f t="shared" si="2118"/>
        <v>AP</v>
      </c>
      <c r="K5459" t="str">
        <f>T("")</f>
        <v/>
      </c>
      <c r="L5459" t="str">
        <f>T("1111111111")</f>
        <v>1111111111</v>
      </c>
    </row>
    <row r="5460" spans="1:12" x14ac:dyDescent="0.35">
      <c r="A5460" t="str">
        <f t="shared" si="2113"/>
        <v>NAVFAC FAR EAST HL5</v>
      </c>
      <c r="B5460" t="str">
        <f t="shared" si="2119"/>
        <v>PSC 473 BOX 11</v>
      </c>
      <c r="C5460" t="str">
        <f t="shared" si="2120"/>
        <v>NAVSUP FLCY CODE 452</v>
      </c>
      <c r="D5460" t="str">
        <f t="shared" si="2114"/>
        <v>FPO</v>
      </c>
      <c r="E5460" t="str">
        <f t="shared" si="2115"/>
        <v>AP</v>
      </c>
      <c r="F5460" t="str">
        <f t="shared" si="2116"/>
        <v>963490001</v>
      </c>
      <c r="G5460" t="str">
        <f t="shared" si="2121"/>
        <v>PSC 473 BOX 11</v>
      </c>
      <c r="H5460" t="str">
        <f>T("FLSCY CODE 452")</f>
        <v>FLSCY CODE 452</v>
      </c>
      <c r="I5460" t="str">
        <f t="shared" si="2117"/>
        <v>FPO</v>
      </c>
      <c r="J5460" t="str">
        <f t="shared" si="2118"/>
        <v>AP</v>
      </c>
      <c r="K5460" t="str">
        <f>T("000000000000000000")</f>
        <v>000000000000000000</v>
      </c>
      <c r="L5460" t="str">
        <f>T("1111111111")</f>
        <v>1111111111</v>
      </c>
    </row>
    <row r="5461" spans="1:12" x14ac:dyDescent="0.35">
      <c r="A5461" t="str">
        <f t="shared" si="2113"/>
        <v>NAVFAC FAR EAST HL5</v>
      </c>
      <c r="B5461" t="str">
        <f t="shared" si="2119"/>
        <v>PSC 473 BOX 11</v>
      </c>
      <c r="C5461" t="str">
        <f t="shared" si="2120"/>
        <v>NAVSUP FLCY CODE 452</v>
      </c>
      <c r="D5461" t="str">
        <f t="shared" si="2114"/>
        <v>FPO</v>
      </c>
      <c r="E5461" t="str">
        <f t="shared" si="2115"/>
        <v>AP</v>
      </c>
      <c r="F5461" t="str">
        <f t="shared" si="2116"/>
        <v>963490001</v>
      </c>
      <c r="G5461" t="str">
        <f t="shared" si="2121"/>
        <v>PSC 473 BOX 11</v>
      </c>
      <c r="H5461" t="str">
        <f>T("NAVSUP FLCY CODE 452")</f>
        <v>NAVSUP FLCY CODE 452</v>
      </c>
      <c r="I5461" t="str">
        <f t="shared" si="2117"/>
        <v>FPO</v>
      </c>
      <c r="J5461" t="str">
        <f t="shared" si="2118"/>
        <v>AP</v>
      </c>
      <c r="K5461" t="str">
        <f>T("")</f>
        <v/>
      </c>
      <c r="L5461" t="str">
        <f>T("3152435790")</f>
        <v>3152435790</v>
      </c>
    </row>
    <row r="5462" spans="1:12" x14ac:dyDescent="0.35">
      <c r="A5462" t="str">
        <f t="shared" si="2113"/>
        <v>NAVFAC FAR EAST HL5</v>
      </c>
      <c r="B5462" t="str">
        <f t="shared" ref="B5462:B5502" si="2122">T("PSC 473 BOX 13")</f>
        <v>PSC 473 BOX 13</v>
      </c>
      <c r="C5462" t="str">
        <f t="shared" ref="C5462:C5467" si="2123">T("")</f>
        <v/>
      </c>
      <c r="D5462" t="str">
        <f t="shared" si="2114"/>
        <v>FPO</v>
      </c>
      <c r="E5462" t="str">
        <f t="shared" si="2115"/>
        <v>AP</v>
      </c>
      <c r="F5462" t="str">
        <f t="shared" si="2116"/>
        <v>963490001</v>
      </c>
      <c r="G5462" t="str">
        <f t="shared" ref="G5462:G5472" si="2124">T("PSC 473 BOX 13")</f>
        <v>PSC 473 BOX 13</v>
      </c>
      <c r="H5462" t="str">
        <f>T("")</f>
        <v/>
      </c>
      <c r="I5462" t="str">
        <f t="shared" si="2117"/>
        <v>FPO</v>
      </c>
      <c r="J5462" t="str">
        <f t="shared" si="2118"/>
        <v>AP</v>
      </c>
      <c r="K5462" t="str">
        <f>T("")</f>
        <v/>
      </c>
      <c r="L5462" t="str">
        <f>T("1111111111")</f>
        <v>1111111111</v>
      </c>
    </row>
    <row r="5463" spans="1:12" x14ac:dyDescent="0.35">
      <c r="A5463" t="str">
        <f t="shared" si="2113"/>
        <v>NAVFAC FAR EAST HL5</v>
      </c>
      <c r="B5463" t="str">
        <f t="shared" si="2122"/>
        <v>PSC 473 BOX 13</v>
      </c>
      <c r="C5463" t="str">
        <f t="shared" si="2123"/>
        <v/>
      </c>
      <c r="D5463" t="str">
        <f t="shared" si="2114"/>
        <v>FPO</v>
      </c>
      <c r="E5463" t="str">
        <f t="shared" si="2115"/>
        <v>AP</v>
      </c>
      <c r="F5463" t="str">
        <f t="shared" si="2116"/>
        <v>963490001</v>
      </c>
      <c r="G5463" t="str">
        <f t="shared" si="2124"/>
        <v>PSC 473 BOX 13</v>
      </c>
      <c r="H5463" t="str">
        <f>T("")</f>
        <v/>
      </c>
      <c r="I5463" t="str">
        <f t="shared" si="2117"/>
        <v>FPO</v>
      </c>
      <c r="J5463" t="str">
        <f t="shared" si="2118"/>
        <v>AP</v>
      </c>
      <c r="K5463" t="str">
        <f>T("000000000000000000")</f>
        <v>000000000000000000</v>
      </c>
      <c r="L5463" t="str">
        <f>T("3152436720")</f>
        <v>3152436720</v>
      </c>
    </row>
    <row r="5464" spans="1:12" x14ac:dyDescent="0.35">
      <c r="A5464" t="str">
        <f t="shared" si="2113"/>
        <v>NAVFAC FAR EAST HL5</v>
      </c>
      <c r="B5464" t="str">
        <f t="shared" si="2122"/>
        <v>PSC 473 BOX 13</v>
      </c>
      <c r="C5464" t="str">
        <f t="shared" si="2123"/>
        <v/>
      </c>
      <c r="D5464" t="str">
        <f t="shared" si="2114"/>
        <v>FPO</v>
      </c>
      <c r="E5464" t="str">
        <f t="shared" si="2115"/>
        <v>AP</v>
      </c>
      <c r="F5464" t="str">
        <f t="shared" si="2116"/>
        <v>963490001</v>
      </c>
      <c r="G5464" t="str">
        <f t="shared" si="2124"/>
        <v>PSC 473 BOX 13</v>
      </c>
      <c r="H5464" t="str">
        <f>T("")</f>
        <v/>
      </c>
      <c r="I5464" t="str">
        <f t="shared" si="2117"/>
        <v>FPO</v>
      </c>
      <c r="J5464" t="str">
        <f t="shared" si="2118"/>
        <v>AP</v>
      </c>
      <c r="K5464" t="str">
        <f>T("000000000000000000")</f>
        <v>000000000000000000</v>
      </c>
      <c r="L5464" t="str">
        <f>T("3152439891")</f>
        <v>3152439891</v>
      </c>
    </row>
    <row r="5465" spans="1:12" x14ac:dyDescent="0.35">
      <c r="A5465" t="str">
        <f t="shared" si="2113"/>
        <v>NAVFAC FAR EAST HL5</v>
      </c>
      <c r="B5465" t="str">
        <f t="shared" si="2122"/>
        <v>PSC 473 BOX 13</v>
      </c>
      <c r="C5465" t="str">
        <f t="shared" si="2123"/>
        <v/>
      </c>
      <c r="D5465" t="str">
        <f t="shared" si="2114"/>
        <v>FPO</v>
      </c>
      <c r="E5465" t="str">
        <f t="shared" si="2115"/>
        <v>AP</v>
      </c>
      <c r="F5465" t="str">
        <f t="shared" si="2116"/>
        <v>963490001</v>
      </c>
      <c r="G5465" t="str">
        <f t="shared" si="2124"/>
        <v>PSC 473 BOX 13</v>
      </c>
      <c r="H5465" t="str">
        <f>T("NAVFAC FE PRY4")</f>
        <v>NAVFAC FE PRY4</v>
      </c>
      <c r="I5465" t="str">
        <f t="shared" si="2117"/>
        <v>FPO</v>
      </c>
      <c r="J5465" t="str">
        <f t="shared" si="2118"/>
        <v>AP</v>
      </c>
      <c r="K5465" t="str">
        <f>T("000000000000000000")</f>
        <v>000000000000000000</v>
      </c>
      <c r="L5465" t="str">
        <f>T("3152435783")</f>
        <v>3152435783</v>
      </c>
    </row>
    <row r="5466" spans="1:12" x14ac:dyDescent="0.35">
      <c r="A5466" t="str">
        <f t="shared" si="2113"/>
        <v>NAVFAC FAR EAST HL5</v>
      </c>
      <c r="B5466" t="str">
        <f t="shared" si="2122"/>
        <v>PSC 473 BOX 13</v>
      </c>
      <c r="C5466" t="str">
        <f t="shared" si="2123"/>
        <v/>
      </c>
      <c r="D5466" t="str">
        <f t="shared" si="2114"/>
        <v>FPO</v>
      </c>
      <c r="E5466" t="str">
        <f t="shared" si="2115"/>
        <v>AP</v>
      </c>
      <c r="F5466" t="str">
        <f t="shared" si="2116"/>
        <v>963490001</v>
      </c>
      <c r="G5466" t="str">
        <f t="shared" si="2124"/>
        <v>PSC 473 BOX 13</v>
      </c>
      <c r="H5466" t="str">
        <f>T("NAVFAC FE PWD")</f>
        <v>NAVFAC FE PWD</v>
      </c>
      <c r="I5466" t="str">
        <f t="shared" si="2117"/>
        <v>FPO</v>
      </c>
      <c r="J5466" t="str">
        <f t="shared" si="2118"/>
        <v>AP</v>
      </c>
      <c r="K5466" t="str">
        <f>T("000000000000000000")</f>
        <v>000000000000000000</v>
      </c>
      <c r="L5466" t="str">
        <f>T("3152437977")</f>
        <v>3152437977</v>
      </c>
    </row>
    <row r="5467" spans="1:12" x14ac:dyDescent="0.35">
      <c r="A5467" t="str">
        <f t="shared" si="2113"/>
        <v>NAVFAC FAR EAST HL5</v>
      </c>
      <c r="B5467" t="str">
        <f t="shared" si="2122"/>
        <v>PSC 473 BOX 13</v>
      </c>
      <c r="C5467" t="str">
        <f t="shared" si="2123"/>
        <v/>
      </c>
      <c r="D5467" t="str">
        <f t="shared" si="2114"/>
        <v>FPO</v>
      </c>
      <c r="E5467" t="str">
        <f t="shared" si="2115"/>
        <v>AP</v>
      </c>
      <c r="F5467" t="str">
        <f t="shared" si="2116"/>
        <v>963490001</v>
      </c>
      <c r="G5467" t="str">
        <f t="shared" si="2124"/>
        <v>PSC 473 BOX 13</v>
      </c>
      <c r="H5467" t="str">
        <f>T("NAVFACFE PRY31")</f>
        <v>NAVFACFE PRY31</v>
      </c>
      <c r="I5467" t="str">
        <f t="shared" si="2117"/>
        <v>FPO</v>
      </c>
      <c r="J5467" t="str">
        <f t="shared" si="2118"/>
        <v>AP</v>
      </c>
      <c r="K5467" t="str">
        <f>T("")</f>
        <v/>
      </c>
      <c r="L5467" t="str">
        <f>T("3117436701")</f>
        <v>3117436701</v>
      </c>
    </row>
    <row r="5468" spans="1:12" x14ac:dyDescent="0.35">
      <c r="A5468" t="str">
        <f t="shared" si="2113"/>
        <v>NAVFAC FAR EAST HL5</v>
      </c>
      <c r="B5468" t="str">
        <f t="shared" si="2122"/>
        <v>PSC 473 BOX 13</v>
      </c>
      <c r="C5468" t="str">
        <f>T("NAVFAC FE AM")</f>
        <v>NAVFAC FE AM</v>
      </c>
      <c r="D5468" t="str">
        <f t="shared" si="2114"/>
        <v>FPO</v>
      </c>
      <c r="E5468" t="str">
        <f t="shared" si="2115"/>
        <v>AP</v>
      </c>
      <c r="F5468" t="str">
        <f t="shared" si="2116"/>
        <v>963490001</v>
      </c>
      <c r="G5468" t="str">
        <f t="shared" si="2124"/>
        <v>PSC 473 BOX 13</v>
      </c>
      <c r="H5468" t="str">
        <f>T("NAVFAC FE AM")</f>
        <v>NAVFAC FE AM</v>
      </c>
      <c r="I5468" t="str">
        <f t="shared" si="2117"/>
        <v>FPO</v>
      </c>
      <c r="J5468" t="str">
        <f t="shared" si="2118"/>
        <v>AP</v>
      </c>
      <c r="K5468" t="str">
        <f>T("000000000000000000")</f>
        <v>000000000000000000</v>
      </c>
      <c r="L5468" t="str">
        <f>T("3152432341")</f>
        <v>3152432341</v>
      </c>
    </row>
    <row r="5469" spans="1:12" x14ac:dyDescent="0.35">
      <c r="A5469" t="str">
        <f t="shared" si="2113"/>
        <v>NAVFAC FAR EAST HL5</v>
      </c>
      <c r="B5469" t="str">
        <f t="shared" si="2122"/>
        <v>PSC 473 BOX 13</v>
      </c>
      <c r="C5469" t="str">
        <f>T("NAVFAC FE AM")</f>
        <v>NAVFAC FE AM</v>
      </c>
      <c r="D5469" t="str">
        <f t="shared" si="2114"/>
        <v>FPO</v>
      </c>
      <c r="E5469" t="str">
        <f t="shared" si="2115"/>
        <v>AP</v>
      </c>
      <c r="F5469" t="str">
        <f t="shared" si="2116"/>
        <v>963490001</v>
      </c>
      <c r="G5469" t="str">
        <f t="shared" si="2124"/>
        <v>PSC 473 BOX 13</v>
      </c>
      <c r="H5469" t="str">
        <f>T("NAVFAC FE AM")</f>
        <v>NAVFAC FE AM</v>
      </c>
      <c r="I5469" t="str">
        <f t="shared" si="2117"/>
        <v>FPO</v>
      </c>
      <c r="J5469" t="str">
        <f t="shared" si="2118"/>
        <v>AP</v>
      </c>
      <c r="K5469" t="str">
        <f>T("000000000000000000")</f>
        <v>000000000000000000</v>
      </c>
      <c r="L5469" t="str">
        <f>T("3152435199")</f>
        <v>3152435199</v>
      </c>
    </row>
    <row r="5470" spans="1:12" x14ac:dyDescent="0.35">
      <c r="A5470" t="str">
        <f t="shared" si="2113"/>
        <v>NAVFAC FAR EAST HL5</v>
      </c>
      <c r="B5470" t="str">
        <f t="shared" si="2122"/>
        <v>PSC 473 BOX 13</v>
      </c>
      <c r="C5470" t="str">
        <f>T("NAVFACFE ACQ")</f>
        <v>NAVFACFE ACQ</v>
      </c>
      <c r="D5470" t="str">
        <f t="shared" si="2114"/>
        <v>FPO</v>
      </c>
      <c r="E5470" t="str">
        <f t="shared" si="2115"/>
        <v>AP</v>
      </c>
      <c r="F5470" t="str">
        <f t="shared" si="2116"/>
        <v>963490001</v>
      </c>
      <c r="G5470" t="str">
        <f t="shared" si="2124"/>
        <v>PSC 473 BOX 13</v>
      </c>
      <c r="H5470" t="str">
        <f>T("NAVFAC FE BD4")</f>
        <v>NAVFAC FE BD4</v>
      </c>
      <c r="I5470" t="str">
        <f t="shared" si="2117"/>
        <v>FPO</v>
      </c>
      <c r="J5470" t="str">
        <f t="shared" si="2118"/>
        <v>AP</v>
      </c>
      <c r="K5470" t="str">
        <f>T("")</f>
        <v/>
      </c>
      <c r="L5470" t="str">
        <f>T("1111111111")</f>
        <v>1111111111</v>
      </c>
    </row>
    <row r="5471" spans="1:12" x14ac:dyDescent="0.35">
      <c r="A5471" t="str">
        <f t="shared" si="2113"/>
        <v>NAVFAC FAR EAST HL5</v>
      </c>
      <c r="B5471" t="str">
        <f t="shared" si="2122"/>
        <v>PSC 473 BOX 13</v>
      </c>
      <c r="C5471" t="str">
        <f>T("NAVFACFE ACQ")</f>
        <v>NAVFACFE ACQ</v>
      </c>
      <c r="D5471" t="str">
        <f t="shared" si="2114"/>
        <v>FPO</v>
      </c>
      <c r="E5471" t="str">
        <f t="shared" si="2115"/>
        <v>AP</v>
      </c>
      <c r="F5471" t="str">
        <f t="shared" si="2116"/>
        <v>963490001</v>
      </c>
      <c r="G5471" t="str">
        <f t="shared" si="2124"/>
        <v>PSC 473 BOX 13</v>
      </c>
      <c r="H5471" t="str">
        <f>T("NAVFACFE ACQ")</f>
        <v>NAVFACFE ACQ</v>
      </c>
      <c r="I5471" t="str">
        <f t="shared" si="2117"/>
        <v>FPO</v>
      </c>
      <c r="J5471" t="str">
        <f t="shared" si="2118"/>
        <v>AP</v>
      </c>
      <c r="K5471" t="str">
        <f>T("")</f>
        <v/>
      </c>
      <c r="L5471" t="str">
        <f>T("1111111111")</f>
        <v>1111111111</v>
      </c>
    </row>
    <row r="5472" spans="1:12" x14ac:dyDescent="0.35">
      <c r="A5472" t="str">
        <f t="shared" si="2113"/>
        <v>NAVFAC FAR EAST HL5</v>
      </c>
      <c r="B5472" t="str">
        <f t="shared" si="2122"/>
        <v>PSC 473 BOX 13</v>
      </c>
      <c r="C5472" t="str">
        <f>T("NAVFACFE ACQ")</f>
        <v>NAVFACFE ACQ</v>
      </c>
      <c r="D5472" t="str">
        <f t="shared" si="2114"/>
        <v>FPO</v>
      </c>
      <c r="E5472" t="str">
        <f t="shared" si="2115"/>
        <v>AP</v>
      </c>
      <c r="F5472" t="str">
        <f t="shared" si="2116"/>
        <v>963490001</v>
      </c>
      <c r="G5472" t="str">
        <f t="shared" si="2124"/>
        <v>PSC 473 BOX 13</v>
      </c>
      <c r="H5472" t="str">
        <f>T("NAVFACFE AM")</f>
        <v>NAVFACFE AM</v>
      </c>
      <c r="I5472" t="str">
        <f t="shared" si="2117"/>
        <v>FPO</v>
      </c>
      <c r="J5472" t="str">
        <f t="shared" si="2118"/>
        <v>AP</v>
      </c>
      <c r="K5472" t="str">
        <f>T("01181468165199")</f>
        <v>01181468165199</v>
      </c>
      <c r="L5472" t="str">
        <f>T("1111111111")</f>
        <v>1111111111</v>
      </c>
    </row>
    <row r="5473" spans="1:12" x14ac:dyDescent="0.35">
      <c r="A5473" t="str">
        <f t="shared" si="2113"/>
        <v>NAVFAC FAR EAST HL5</v>
      </c>
      <c r="B5473" t="str">
        <f t="shared" si="2122"/>
        <v>PSC 473 BOX 13</v>
      </c>
      <c r="C5473" t="str">
        <f>T("NAVFACFE ACQ")</f>
        <v>NAVFACFE ACQ</v>
      </c>
      <c r="D5473" t="str">
        <f t="shared" si="2114"/>
        <v>FPO</v>
      </c>
      <c r="E5473" t="str">
        <f t="shared" si="2115"/>
        <v>AP</v>
      </c>
      <c r="F5473" t="str">
        <f t="shared" si="2116"/>
        <v>963490001</v>
      </c>
      <c r="G5473" t="str">
        <f>T("PSC 477 BOX 15")</f>
        <v>PSC 477 BOX 15</v>
      </c>
      <c r="H5473" t="str">
        <f>T("")</f>
        <v/>
      </c>
      <c r="I5473" t="str">
        <f t="shared" si="2117"/>
        <v>FPO</v>
      </c>
      <c r="J5473" t="str">
        <f t="shared" si="2118"/>
        <v>AP</v>
      </c>
      <c r="K5473" t="str">
        <f>T("000000000000000000")</f>
        <v>000000000000000000</v>
      </c>
      <c r="L5473" t="str">
        <f>T("3152643939")</f>
        <v>3152643939</v>
      </c>
    </row>
    <row r="5474" spans="1:12" x14ac:dyDescent="0.35">
      <c r="A5474" t="str">
        <f t="shared" si="2113"/>
        <v>NAVFAC FAR EAST HL5</v>
      </c>
      <c r="B5474" t="str">
        <f t="shared" si="2122"/>
        <v>PSC 473 BOX 13</v>
      </c>
      <c r="C5474" t="str">
        <f>T("NAVFACFE ACQ")</f>
        <v>NAVFACFE ACQ</v>
      </c>
      <c r="D5474" t="str">
        <f t="shared" si="2114"/>
        <v>FPO</v>
      </c>
      <c r="E5474" t="str">
        <f t="shared" si="2115"/>
        <v>AP</v>
      </c>
      <c r="F5474" t="str">
        <f t="shared" si="2116"/>
        <v>963490001</v>
      </c>
      <c r="G5474" t="str">
        <f>T("UNIT 35006")</f>
        <v>UNIT 35006</v>
      </c>
      <c r="H5474" t="str">
        <f>T("NAVFACFE CAMP BUTLER")</f>
        <v>NAVFACFE CAMP BUTLER</v>
      </c>
      <c r="I5474" t="str">
        <f t="shared" si="2117"/>
        <v>FPO</v>
      </c>
      <c r="J5474" t="str">
        <f t="shared" si="2118"/>
        <v>AP</v>
      </c>
      <c r="K5474" t="str">
        <f>T("")</f>
        <v/>
      </c>
      <c r="L5474" t="str">
        <f>T("3156453795")</f>
        <v>3156453795</v>
      </c>
    </row>
    <row r="5475" spans="1:12" x14ac:dyDescent="0.35">
      <c r="A5475" t="str">
        <f t="shared" si="2113"/>
        <v>NAVFAC FAR EAST HL5</v>
      </c>
      <c r="B5475" t="str">
        <f t="shared" si="2122"/>
        <v>PSC 473 BOX 13</v>
      </c>
      <c r="C5475" t="str">
        <f>T("NAVFACFE BD1")</f>
        <v>NAVFACFE BD1</v>
      </c>
      <c r="D5475" t="str">
        <f t="shared" si="2114"/>
        <v>FPO</v>
      </c>
      <c r="E5475" t="str">
        <f t="shared" si="2115"/>
        <v>AP</v>
      </c>
      <c r="F5475" t="str">
        <f t="shared" si="2116"/>
        <v>963490001</v>
      </c>
      <c r="G5475" t="str">
        <f t="shared" ref="G5475:G5502" si="2125">T("PSC 473 BOX 13")</f>
        <v>PSC 473 BOX 13</v>
      </c>
      <c r="H5475" t="str">
        <f>T("NAVFACFE BD1")</f>
        <v>NAVFACFE BD1</v>
      </c>
      <c r="I5475" t="str">
        <f t="shared" si="2117"/>
        <v>FPO</v>
      </c>
      <c r="J5475" t="str">
        <f t="shared" si="2118"/>
        <v>AP</v>
      </c>
      <c r="K5475" t="str">
        <f>T("")</f>
        <v/>
      </c>
      <c r="L5475" t="str">
        <f>T("1111111111")</f>
        <v>1111111111</v>
      </c>
    </row>
    <row r="5476" spans="1:12" x14ac:dyDescent="0.35">
      <c r="A5476" t="str">
        <f t="shared" si="2113"/>
        <v>NAVFAC FAR EAST HL5</v>
      </c>
      <c r="B5476" t="str">
        <f t="shared" si="2122"/>
        <v>PSC 473 BOX 13</v>
      </c>
      <c r="C5476" t="str">
        <f>T("NAVFACFE BD1")</f>
        <v>NAVFACFE BD1</v>
      </c>
      <c r="D5476" t="str">
        <f t="shared" si="2114"/>
        <v>FPO</v>
      </c>
      <c r="E5476" t="str">
        <f t="shared" si="2115"/>
        <v>AP</v>
      </c>
      <c r="F5476" t="str">
        <f t="shared" si="2116"/>
        <v>963490001</v>
      </c>
      <c r="G5476" t="str">
        <f t="shared" si="2125"/>
        <v>PSC 473 BOX 13</v>
      </c>
      <c r="H5476" t="str">
        <f>T("NAVFACFE BM4")</f>
        <v>NAVFACFE BM4</v>
      </c>
      <c r="I5476" t="str">
        <f t="shared" si="2117"/>
        <v>FPO</v>
      </c>
      <c r="J5476" t="str">
        <f t="shared" si="2118"/>
        <v>AP</v>
      </c>
      <c r="K5476" t="str">
        <f>T("")</f>
        <v/>
      </c>
      <c r="L5476" t="str">
        <f>T("3152436470")</f>
        <v>3152436470</v>
      </c>
    </row>
    <row r="5477" spans="1:12" x14ac:dyDescent="0.35">
      <c r="A5477" t="str">
        <f t="shared" si="2113"/>
        <v>NAVFAC FAR EAST HL5</v>
      </c>
      <c r="B5477" t="str">
        <f t="shared" si="2122"/>
        <v>PSC 473 BOX 13</v>
      </c>
      <c r="C5477" t="str">
        <f>T("NAVFACFE BD1")</f>
        <v>NAVFACFE BD1</v>
      </c>
      <c r="D5477" t="str">
        <f t="shared" si="2114"/>
        <v>FPO</v>
      </c>
      <c r="E5477" t="str">
        <f t="shared" si="2115"/>
        <v>AP</v>
      </c>
      <c r="F5477" t="str">
        <f t="shared" si="2116"/>
        <v>963490001</v>
      </c>
      <c r="G5477" t="str">
        <f t="shared" si="2125"/>
        <v>PSC 473 BOX 13</v>
      </c>
      <c r="H5477" t="str">
        <f>T("NAVFACFE BM4")</f>
        <v>NAVFACFE BM4</v>
      </c>
      <c r="I5477" t="str">
        <f t="shared" si="2117"/>
        <v>FPO</v>
      </c>
      <c r="J5477" t="str">
        <f t="shared" si="2118"/>
        <v>AP</v>
      </c>
      <c r="K5477" t="str">
        <f>T("000000000000000000")</f>
        <v>000000000000000000</v>
      </c>
      <c r="L5477" t="str">
        <f>T("3152435550")</f>
        <v>3152435550</v>
      </c>
    </row>
    <row r="5478" spans="1:12" x14ac:dyDescent="0.35">
      <c r="A5478" t="str">
        <f t="shared" si="2113"/>
        <v>NAVFAC FAR EAST HL5</v>
      </c>
      <c r="B5478" t="str">
        <f t="shared" si="2122"/>
        <v>PSC 473 BOX 13</v>
      </c>
      <c r="C5478" t="str">
        <f>T("NAVFACFE BD1")</f>
        <v>NAVFACFE BD1</v>
      </c>
      <c r="D5478" t="str">
        <f t="shared" si="2114"/>
        <v>FPO</v>
      </c>
      <c r="E5478" t="str">
        <f t="shared" si="2115"/>
        <v>AP</v>
      </c>
      <c r="F5478" t="str">
        <f t="shared" si="2116"/>
        <v>963490001</v>
      </c>
      <c r="G5478" t="str">
        <f t="shared" si="2125"/>
        <v>PSC 473 BOX 13</v>
      </c>
      <c r="H5478" t="str">
        <f>T("NAVFACFE CI")</f>
        <v>NAVFACFE CI</v>
      </c>
      <c r="I5478" t="str">
        <f t="shared" si="2117"/>
        <v>FPO</v>
      </c>
      <c r="J5478" t="str">
        <f t="shared" si="2118"/>
        <v>AP</v>
      </c>
      <c r="K5478" t="str">
        <f>T("111111111111111111")</f>
        <v>111111111111111111</v>
      </c>
      <c r="L5478" t="str">
        <f>T("3152436614")</f>
        <v>3152436614</v>
      </c>
    </row>
    <row r="5479" spans="1:12" x14ac:dyDescent="0.35">
      <c r="A5479" t="str">
        <f t="shared" si="2113"/>
        <v>NAVFAC FAR EAST HL5</v>
      </c>
      <c r="B5479" t="str">
        <f t="shared" si="2122"/>
        <v>PSC 473 BOX 13</v>
      </c>
      <c r="C5479" t="str">
        <f>T("NAVFACFE BD1")</f>
        <v>NAVFACFE BD1</v>
      </c>
      <c r="D5479" t="str">
        <f t="shared" si="2114"/>
        <v>FPO</v>
      </c>
      <c r="E5479" t="str">
        <f t="shared" si="2115"/>
        <v>AP</v>
      </c>
      <c r="F5479" t="str">
        <f t="shared" si="2116"/>
        <v>963490001</v>
      </c>
      <c r="G5479" t="str">
        <f t="shared" si="2125"/>
        <v>PSC 473 BOX 13</v>
      </c>
      <c r="H5479" t="str">
        <f>T("NAVFACFE CIO")</f>
        <v>NAVFACFE CIO</v>
      </c>
      <c r="I5479" t="str">
        <f t="shared" si="2117"/>
        <v>FPO</v>
      </c>
      <c r="J5479" t="str">
        <f t="shared" si="2118"/>
        <v>AP</v>
      </c>
      <c r="K5479" t="str">
        <f>T("")</f>
        <v/>
      </c>
      <c r="L5479" t="str">
        <f>T("3152436584")</f>
        <v>3152436584</v>
      </c>
    </row>
    <row r="5480" spans="1:12" x14ac:dyDescent="0.35">
      <c r="A5480" t="str">
        <f t="shared" si="2113"/>
        <v>NAVFAC FAR EAST HL5</v>
      </c>
      <c r="B5480" t="str">
        <f t="shared" si="2122"/>
        <v>PSC 473 BOX 13</v>
      </c>
      <c r="C5480" t="str">
        <f>T("NAVFACFE EV")</f>
        <v>NAVFACFE EV</v>
      </c>
      <c r="D5480" t="str">
        <f t="shared" si="2114"/>
        <v>FPO</v>
      </c>
      <c r="E5480" t="str">
        <f t="shared" si="2115"/>
        <v>AP</v>
      </c>
      <c r="F5480" t="str">
        <f t="shared" si="2116"/>
        <v>963490001</v>
      </c>
      <c r="G5480" t="str">
        <f t="shared" si="2125"/>
        <v>PSC 473 BOX 13</v>
      </c>
      <c r="H5480" t="str">
        <f>T("NAVFACFE EV")</f>
        <v>NAVFACFE EV</v>
      </c>
      <c r="I5480" t="str">
        <f t="shared" si="2117"/>
        <v>FPO</v>
      </c>
      <c r="J5480" t="str">
        <f t="shared" si="2118"/>
        <v>AP</v>
      </c>
      <c r="K5480" t="str">
        <f>T("")</f>
        <v/>
      </c>
      <c r="L5480" t="str">
        <f>T("3152435581")</f>
        <v>3152435581</v>
      </c>
    </row>
    <row r="5481" spans="1:12" x14ac:dyDescent="0.35">
      <c r="A5481" t="str">
        <f t="shared" si="2113"/>
        <v>NAVFAC FAR EAST HL5</v>
      </c>
      <c r="B5481" t="str">
        <f t="shared" si="2122"/>
        <v>PSC 473 BOX 13</v>
      </c>
      <c r="C5481" t="str">
        <f>T("NAVFACFE EV")</f>
        <v>NAVFACFE EV</v>
      </c>
      <c r="D5481" t="str">
        <f t="shared" si="2114"/>
        <v>FPO</v>
      </c>
      <c r="E5481" t="str">
        <f t="shared" si="2115"/>
        <v>AP</v>
      </c>
      <c r="F5481" t="str">
        <f t="shared" si="2116"/>
        <v>963490001</v>
      </c>
      <c r="G5481" t="str">
        <f t="shared" si="2125"/>
        <v>PSC 473 BOX 13</v>
      </c>
      <c r="H5481" t="str">
        <f>T("PWD YOKOSUKA BSV AND E PRY331")</f>
        <v>PWD YOKOSUKA BSV AND E PRY331</v>
      </c>
      <c r="I5481" t="str">
        <f t="shared" si="2117"/>
        <v>FPO</v>
      </c>
      <c r="J5481" t="str">
        <f t="shared" si="2118"/>
        <v>AP</v>
      </c>
      <c r="K5481" t="str">
        <f>T("000000000000000000")</f>
        <v>000000000000000000</v>
      </c>
      <c r="L5481" t="str">
        <f>T("3152437557")</f>
        <v>3152437557</v>
      </c>
    </row>
    <row r="5482" spans="1:12" x14ac:dyDescent="0.35">
      <c r="A5482" t="str">
        <f t="shared" si="2113"/>
        <v>NAVFAC FAR EAST HL5</v>
      </c>
      <c r="B5482" t="str">
        <f t="shared" si="2122"/>
        <v>PSC 473 BOX 13</v>
      </c>
      <c r="C5482" t="str">
        <f>T("NAVFACFE EVBL")</f>
        <v>NAVFACFE EVBL</v>
      </c>
      <c r="D5482" t="str">
        <f t="shared" si="2114"/>
        <v>FPO</v>
      </c>
      <c r="E5482" t="str">
        <f t="shared" si="2115"/>
        <v>AP</v>
      </c>
      <c r="F5482" t="str">
        <f t="shared" si="2116"/>
        <v>963490001</v>
      </c>
      <c r="G5482" t="str">
        <f t="shared" si="2125"/>
        <v>PSC 473 BOX 13</v>
      </c>
      <c r="H5482" t="str">
        <f>T("NAVFAC FE EV")</f>
        <v>NAVFAC FE EV</v>
      </c>
      <c r="I5482" t="str">
        <f t="shared" si="2117"/>
        <v>FPO</v>
      </c>
      <c r="J5482" t="str">
        <f t="shared" si="2118"/>
        <v>AP</v>
      </c>
      <c r="K5482" t="str">
        <f>T("000000000000000000")</f>
        <v>000000000000000000</v>
      </c>
      <c r="L5482" t="str">
        <f>T("3152435803")</f>
        <v>3152435803</v>
      </c>
    </row>
    <row r="5483" spans="1:12" x14ac:dyDescent="0.35">
      <c r="A5483" t="str">
        <f t="shared" ref="A5483:A5514" si="2126">T("NAVFAC FAR EAST HL5")</f>
        <v>NAVFAC FAR EAST HL5</v>
      </c>
      <c r="B5483" t="str">
        <f t="shared" si="2122"/>
        <v>PSC 473 BOX 13</v>
      </c>
      <c r="C5483" t="str">
        <f>T("NAVFACFE EVBL")</f>
        <v>NAVFACFE EVBL</v>
      </c>
      <c r="D5483" t="str">
        <f t="shared" ref="D5483:D5514" si="2127">T("FPO")</f>
        <v>FPO</v>
      </c>
      <c r="E5483" t="str">
        <f t="shared" ref="E5483:E5514" si="2128">T("AP")</f>
        <v>AP</v>
      </c>
      <c r="F5483" t="str">
        <f t="shared" ref="F5483:F5502" si="2129">T("963490001")</f>
        <v>963490001</v>
      </c>
      <c r="G5483" t="str">
        <f t="shared" si="2125"/>
        <v>PSC 473 BOX 13</v>
      </c>
      <c r="H5483" t="str">
        <f>T("NAVFACFE EVBL")</f>
        <v>NAVFACFE EVBL</v>
      </c>
      <c r="I5483" t="str">
        <f t="shared" ref="I5483:I5514" si="2130">T("FPO")</f>
        <v>FPO</v>
      </c>
      <c r="J5483" t="str">
        <f t="shared" ref="J5483:J5514" si="2131">T("AP")</f>
        <v>AP</v>
      </c>
      <c r="K5483" t="str">
        <f>T("")</f>
        <v/>
      </c>
      <c r="L5483" t="str">
        <f>T("1111111111")</f>
        <v>1111111111</v>
      </c>
    </row>
    <row r="5484" spans="1:12" x14ac:dyDescent="0.35">
      <c r="A5484" t="str">
        <f t="shared" si="2126"/>
        <v>NAVFAC FAR EAST HL5</v>
      </c>
      <c r="B5484" t="str">
        <f t="shared" si="2122"/>
        <v>PSC 473 BOX 13</v>
      </c>
      <c r="C5484" t="str">
        <f>T("NAVFACFE PRY 33")</f>
        <v>NAVFACFE PRY 33</v>
      </c>
      <c r="D5484" t="str">
        <f t="shared" si="2127"/>
        <v>FPO</v>
      </c>
      <c r="E5484" t="str">
        <f t="shared" si="2128"/>
        <v>AP</v>
      </c>
      <c r="F5484" t="str">
        <f t="shared" si="2129"/>
        <v>963490001</v>
      </c>
      <c r="G5484" t="str">
        <f t="shared" si="2125"/>
        <v>PSC 473 BOX 13</v>
      </c>
      <c r="H5484" t="str">
        <f>T("NAVFACFE PRY 33")</f>
        <v>NAVFACFE PRY 33</v>
      </c>
      <c r="I5484" t="str">
        <f t="shared" si="2130"/>
        <v>FPO</v>
      </c>
      <c r="J5484" t="str">
        <f t="shared" si="2131"/>
        <v>AP</v>
      </c>
      <c r="K5484" t="str">
        <f>T("")</f>
        <v/>
      </c>
      <c r="L5484" t="str">
        <f>T("3152439119")</f>
        <v>3152439119</v>
      </c>
    </row>
    <row r="5485" spans="1:12" x14ac:dyDescent="0.35">
      <c r="A5485" t="str">
        <f t="shared" si="2126"/>
        <v>NAVFAC FAR EAST HL5</v>
      </c>
      <c r="B5485" t="str">
        <f t="shared" si="2122"/>
        <v>PSC 473 BOX 13</v>
      </c>
      <c r="C5485" t="str">
        <f>T("NAVFACFE PRY 33")</f>
        <v>NAVFACFE PRY 33</v>
      </c>
      <c r="D5485" t="str">
        <f t="shared" si="2127"/>
        <v>FPO</v>
      </c>
      <c r="E5485" t="str">
        <f t="shared" si="2128"/>
        <v>AP</v>
      </c>
      <c r="F5485" t="str">
        <f t="shared" si="2129"/>
        <v>963490001</v>
      </c>
      <c r="G5485" t="str">
        <f t="shared" si="2125"/>
        <v>PSC 473 BOX 13</v>
      </c>
      <c r="H5485" t="str">
        <f>T("NAVFACFE PRY33")</f>
        <v>NAVFACFE PRY33</v>
      </c>
      <c r="I5485" t="str">
        <f t="shared" si="2130"/>
        <v>FPO</v>
      </c>
      <c r="J5485" t="str">
        <f t="shared" si="2131"/>
        <v>AP</v>
      </c>
      <c r="K5485" t="str">
        <f>T("")</f>
        <v/>
      </c>
      <c r="L5485" t="str">
        <f>T("3152434871")</f>
        <v>3152434871</v>
      </c>
    </row>
    <row r="5486" spans="1:12" x14ac:dyDescent="0.35">
      <c r="A5486" t="str">
        <f t="shared" si="2126"/>
        <v>NAVFAC FAR EAST HL5</v>
      </c>
      <c r="B5486" t="str">
        <f t="shared" si="2122"/>
        <v>PSC 473 BOX 13</v>
      </c>
      <c r="C5486" t="str">
        <f>T("NAVFACFE PRY 33")</f>
        <v>NAVFACFE PRY 33</v>
      </c>
      <c r="D5486" t="str">
        <f t="shared" si="2127"/>
        <v>FPO</v>
      </c>
      <c r="E5486" t="str">
        <f t="shared" si="2128"/>
        <v>AP</v>
      </c>
      <c r="F5486" t="str">
        <f t="shared" si="2129"/>
        <v>963490001</v>
      </c>
      <c r="G5486" t="str">
        <f t="shared" si="2125"/>
        <v>PSC 473 BOX 13</v>
      </c>
      <c r="H5486" t="str">
        <f>T("PWD YOKOSUKA BSV AND E PRY 331")</f>
        <v>PWD YOKOSUKA BSV AND E PRY 331</v>
      </c>
      <c r="I5486" t="str">
        <f t="shared" si="2130"/>
        <v>FPO</v>
      </c>
      <c r="J5486" t="str">
        <f t="shared" si="2131"/>
        <v>AP</v>
      </c>
      <c r="K5486" t="str">
        <f>T("01181468167205")</f>
        <v>01181468167205</v>
      </c>
      <c r="L5486" t="str">
        <f>T("3152437205")</f>
        <v>3152437205</v>
      </c>
    </row>
    <row r="5487" spans="1:12" x14ac:dyDescent="0.35">
      <c r="A5487" t="str">
        <f t="shared" si="2126"/>
        <v>NAVFAC FAR EAST HL5</v>
      </c>
      <c r="B5487" t="str">
        <f t="shared" si="2122"/>
        <v>PSC 473 BOX 13</v>
      </c>
      <c r="C5487" t="str">
        <f>T("NAVFACFE PRY3")</f>
        <v>NAVFACFE PRY3</v>
      </c>
      <c r="D5487" t="str">
        <f t="shared" si="2127"/>
        <v>FPO</v>
      </c>
      <c r="E5487" t="str">
        <f t="shared" si="2128"/>
        <v>AP</v>
      </c>
      <c r="F5487" t="str">
        <f t="shared" si="2129"/>
        <v>963490001</v>
      </c>
      <c r="G5487" t="str">
        <f t="shared" si="2125"/>
        <v>PSC 473 BOX 13</v>
      </c>
      <c r="H5487" t="str">
        <f>T("NAVFACFE PRY 321F 7")</f>
        <v>NAVFACFE PRY 321F 7</v>
      </c>
      <c r="I5487" t="str">
        <f t="shared" si="2130"/>
        <v>FPO</v>
      </c>
      <c r="J5487" t="str">
        <f t="shared" si="2131"/>
        <v>AP</v>
      </c>
      <c r="K5487" t="str">
        <f>T("111111111111111111")</f>
        <v>111111111111111111</v>
      </c>
      <c r="L5487" t="str">
        <f>T("3152434921")</f>
        <v>3152434921</v>
      </c>
    </row>
    <row r="5488" spans="1:12" x14ac:dyDescent="0.35">
      <c r="A5488" t="str">
        <f t="shared" si="2126"/>
        <v>NAVFAC FAR EAST HL5</v>
      </c>
      <c r="B5488" t="str">
        <f t="shared" si="2122"/>
        <v>PSC 473 BOX 13</v>
      </c>
      <c r="C5488" t="str">
        <f>T("NAVFACFE PRY3")</f>
        <v>NAVFACFE PRY3</v>
      </c>
      <c r="D5488" t="str">
        <f t="shared" si="2127"/>
        <v>FPO</v>
      </c>
      <c r="E5488" t="str">
        <f t="shared" si="2128"/>
        <v>AP</v>
      </c>
      <c r="F5488" t="str">
        <f t="shared" si="2129"/>
        <v>963490001</v>
      </c>
      <c r="G5488" t="str">
        <f t="shared" si="2125"/>
        <v>PSC 473 BOX 13</v>
      </c>
      <c r="H5488" t="str">
        <f>T("NAVFACFE PRY3")</f>
        <v>NAVFACFE PRY3</v>
      </c>
      <c r="I5488" t="str">
        <f t="shared" si="2130"/>
        <v>FPO</v>
      </c>
      <c r="J5488" t="str">
        <f t="shared" si="2131"/>
        <v>AP</v>
      </c>
      <c r="K5488" t="str">
        <f>T("")</f>
        <v/>
      </c>
      <c r="L5488" t="str">
        <f>T("1111111111")</f>
        <v>1111111111</v>
      </c>
    </row>
    <row r="5489" spans="1:12" x14ac:dyDescent="0.35">
      <c r="A5489" t="str">
        <f t="shared" si="2126"/>
        <v>NAVFAC FAR EAST HL5</v>
      </c>
      <c r="B5489" t="str">
        <f t="shared" si="2122"/>
        <v>PSC 473 BOX 13</v>
      </c>
      <c r="C5489" t="str">
        <f>T("NAVFACFE PRY3")</f>
        <v>NAVFACFE PRY3</v>
      </c>
      <c r="D5489" t="str">
        <f t="shared" si="2127"/>
        <v>FPO</v>
      </c>
      <c r="E5489" t="str">
        <f t="shared" si="2128"/>
        <v>AP</v>
      </c>
      <c r="F5489" t="str">
        <f t="shared" si="2129"/>
        <v>963490001</v>
      </c>
      <c r="G5489" t="str">
        <f t="shared" si="2125"/>
        <v>PSC 473 BOX 13</v>
      </c>
      <c r="H5489" t="str">
        <f>T("NAVFACFE PRY32")</f>
        <v>NAVFACFE PRY32</v>
      </c>
      <c r="I5489" t="str">
        <f t="shared" si="2130"/>
        <v>FPO</v>
      </c>
      <c r="J5489" t="str">
        <f t="shared" si="2131"/>
        <v>AP</v>
      </c>
      <c r="K5489" t="str">
        <f>T("000000000000000000")</f>
        <v>000000000000000000</v>
      </c>
      <c r="L5489" t="str">
        <f>T("3152439062")</f>
        <v>3152439062</v>
      </c>
    </row>
    <row r="5490" spans="1:12" x14ac:dyDescent="0.35">
      <c r="A5490" t="str">
        <f t="shared" si="2126"/>
        <v>NAVFAC FAR EAST HL5</v>
      </c>
      <c r="B5490" t="str">
        <f t="shared" si="2122"/>
        <v>PSC 473 BOX 13</v>
      </c>
      <c r="C5490" t="str">
        <f>T("NAVFACFE PRY31")</f>
        <v>NAVFACFE PRY31</v>
      </c>
      <c r="D5490" t="str">
        <f t="shared" si="2127"/>
        <v>FPO</v>
      </c>
      <c r="E5490" t="str">
        <f t="shared" si="2128"/>
        <v>AP</v>
      </c>
      <c r="F5490" t="str">
        <f t="shared" si="2129"/>
        <v>963490001</v>
      </c>
      <c r="G5490" t="str">
        <f t="shared" si="2125"/>
        <v>PSC 473 BOX 13</v>
      </c>
      <c r="H5490" t="str">
        <f>T("NAVFACFE PR31")</f>
        <v>NAVFACFE PR31</v>
      </c>
      <c r="I5490" t="str">
        <f t="shared" si="2130"/>
        <v>FPO</v>
      </c>
      <c r="J5490" t="str">
        <f t="shared" si="2131"/>
        <v>AP</v>
      </c>
      <c r="K5490" t="str">
        <f>T("")</f>
        <v/>
      </c>
      <c r="L5490" t="str">
        <f>T("3152436966")</f>
        <v>3152436966</v>
      </c>
    </row>
    <row r="5491" spans="1:12" x14ac:dyDescent="0.35">
      <c r="A5491" t="str">
        <f t="shared" si="2126"/>
        <v>NAVFAC FAR EAST HL5</v>
      </c>
      <c r="B5491" t="str">
        <f t="shared" si="2122"/>
        <v>PSC 473 BOX 13</v>
      </c>
      <c r="C5491" t="str">
        <f>T("NAVFACFE PRY31")</f>
        <v>NAVFACFE PRY31</v>
      </c>
      <c r="D5491" t="str">
        <f t="shared" si="2127"/>
        <v>FPO</v>
      </c>
      <c r="E5491" t="str">
        <f t="shared" si="2128"/>
        <v>AP</v>
      </c>
      <c r="F5491" t="str">
        <f t="shared" si="2129"/>
        <v>963490001</v>
      </c>
      <c r="G5491" t="str">
        <f t="shared" si="2125"/>
        <v>PSC 473 BOX 13</v>
      </c>
      <c r="H5491" t="str">
        <f>T("NAVFACFE PRY 31")</f>
        <v>NAVFACFE PRY 31</v>
      </c>
      <c r="I5491" t="str">
        <f t="shared" si="2130"/>
        <v>FPO</v>
      </c>
      <c r="J5491" t="str">
        <f t="shared" si="2131"/>
        <v>AP</v>
      </c>
      <c r="K5491" t="str">
        <f>T("")</f>
        <v/>
      </c>
      <c r="L5491" t="str">
        <f>T("3152434831")</f>
        <v>3152434831</v>
      </c>
    </row>
    <row r="5492" spans="1:12" x14ac:dyDescent="0.35">
      <c r="A5492" t="str">
        <f t="shared" si="2126"/>
        <v>NAVFAC FAR EAST HL5</v>
      </c>
      <c r="B5492" t="str">
        <f t="shared" si="2122"/>
        <v>PSC 473 BOX 13</v>
      </c>
      <c r="C5492" t="str">
        <f>T("NAVFACFE PRY31")</f>
        <v>NAVFACFE PRY31</v>
      </c>
      <c r="D5492" t="str">
        <f t="shared" si="2127"/>
        <v>FPO</v>
      </c>
      <c r="E5492" t="str">
        <f t="shared" si="2128"/>
        <v>AP</v>
      </c>
      <c r="F5492" t="str">
        <f t="shared" si="2129"/>
        <v>963490001</v>
      </c>
      <c r="G5492" t="str">
        <f t="shared" si="2125"/>
        <v>PSC 473 BOX 13</v>
      </c>
      <c r="H5492" t="str">
        <f>T("NAVFACFE PRY31")</f>
        <v>NAVFACFE PRY31</v>
      </c>
      <c r="I5492" t="str">
        <f t="shared" si="2130"/>
        <v>FPO</v>
      </c>
      <c r="J5492" t="str">
        <f t="shared" si="2131"/>
        <v>AP</v>
      </c>
      <c r="K5492" t="str">
        <f>T("")</f>
        <v/>
      </c>
      <c r="L5492" t="str">
        <f>T("3152469782")</f>
        <v>3152469782</v>
      </c>
    </row>
    <row r="5493" spans="1:12" x14ac:dyDescent="0.35">
      <c r="A5493" t="str">
        <f t="shared" si="2126"/>
        <v>NAVFAC FAR EAST HL5</v>
      </c>
      <c r="B5493" t="str">
        <f t="shared" si="2122"/>
        <v>PSC 473 BOX 13</v>
      </c>
      <c r="C5493" t="str">
        <f>T("NAVFACFE PRY4")</f>
        <v>NAVFACFE PRY4</v>
      </c>
      <c r="D5493" t="str">
        <f t="shared" si="2127"/>
        <v>FPO</v>
      </c>
      <c r="E5493" t="str">
        <f t="shared" si="2128"/>
        <v>AP</v>
      </c>
      <c r="F5493" t="str">
        <f t="shared" si="2129"/>
        <v>963490001</v>
      </c>
      <c r="G5493" t="str">
        <f t="shared" si="2125"/>
        <v>PSC 473 BOX 13</v>
      </c>
      <c r="H5493" t="str">
        <f>T("")</f>
        <v/>
      </c>
      <c r="I5493" t="str">
        <f t="shared" si="2130"/>
        <v>FPO</v>
      </c>
      <c r="J5493" t="str">
        <f t="shared" si="2131"/>
        <v>AP</v>
      </c>
      <c r="K5493" t="str">
        <f>T("01181468162587")</f>
        <v>01181468162587</v>
      </c>
      <c r="L5493" t="str">
        <f>T("1111111111")</f>
        <v>1111111111</v>
      </c>
    </row>
    <row r="5494" spans="1:12" x14ac:dyDescent="0.35">
      <c r="A5494" t="str">
        <f t="shared" si="2126"/>
        <v>NAVFAC FAR EAST HL5</v>
      </c>
      <c r="B5494" t="str">
        <f t="shared" si="2122"/>
        <v>PSC 473 BOX 13</v>
      </c>
      <c r="C5494" t="str">
        <f>T("NAVFACFE PRY4")</f>
        <v>NAVFACFE PRY4</v>
      </c>
      <c r="D5494" t="str">
        <f t="shared" si="2127"/>
        <v>FPO</v>
      </c>
      <c r="E5494" t="str">
        <f t="shared" si="2128"/>
        <v>AP</v>
      </c>
      <c r="F5494" t="str">
        <f t="shared" si="2129"/>
        <v>963490001</v>
      </c>
      <c r="G5494" t="str">
        <f t="shared" si="2125"/>
        <v>PSC 473 BOX 13</v>
      </c>
      <c r="H5494" t="str">
        <f>T("NAVFACFE PRY4")</f>
        <v>NAVFACFE PRY4</v>
      </c>
      <c r="I5494" t="str">
        <f t="shared" si="2130"/>
        <v>FPO</v>
      </c>
      <c r="J5494" t="str">
        <f t="shared" si="2131"/>
        <v>AP</v>
      </c>
      <c r="K5494" t="str">
        <f>T("")</f>
        <v/>
      </c>
      <c r="L5494" t="str">
        <f>T("3152436720")</f>
        <v>3152436720</v>
      </c>
    </row>
    <row r="5495" spans="1:12" x14ac:dyDescent="0.35">
      <c r="A5495" t="str">
        <f t="shared" si="2126"/>
        <v>NAVFAC FAR EAST HL5</v>
      </c>
      <c r="B5495" t="str">
        <f t="shared" si="2122"/>
        <v>PSC 473 BOX 13</v>
      </c>
      <c r="C5495" t="str">
        <f>T("NAVFACFE PRY4")</f>
        <v>NAVFACFE PRY4</v>
      </c>
      <c r="D5495" t="str">
        <f t="shared" si="2127"/>
        <v>FPO</v>
      </c>
      <c r="E5495" t="str">
        <f t="shared" si="2128"/>
        <v>AP</v>
      </c>
      <c r="F5495" t="str">
        <f t="shared" si="2129"/>
        <v>963490001</v>
      </c>
      <c r="G5495" t="str">
        <f t="shared" si="2125"/>
        <v>PSC 473 BOX 13</v>
      </c>
      <c r="H5495" t="str">
        <f>T("PWD YOKOSUKA")</f>
        <v>PWD YOKOSUKA</v>
      </c>
      <c r="I5495" t="str">
        <f t="shared" si="2130"/>
        <v>FPO</v>
      </c>
      <c r="J5495" t="str">
        <f t="shared" si="2131"/>
        <v>AP</v>
      </c>
      <c r="K5495" t="str">
        <f>T("000000000000000000")</f>
        <v>000000000000000000</v>
      </c>
      <c r="L5495" t="str">
        <f>T("3152433814")</f>
        <v>3152433814</v>
      </c>
    </row>
    <row r="5496" spans="1:12" x14ac:dyDescent="0.35">
      <c r="A5496" t="str">
        <f t="shared" si="2126"/>
        <v>NAVFAC FAR EAST HL5</v>
      </c>
      <c r="B5496" t="str">
        <f t="shared" si="2122"/>
        <v>PSC 473 BOX 13</v>
      </c>
      <c r="C5496" t="str">
        <f t="shared" ref="C5496:C5502" si="2132">T("NAVFACFE PWD YOKOSUKA PPY 1")</f>
        <v>NAVFACFE PWD YOKOSUKA PPY 1</v>
      </c>
      <c r="D5496" t="str">
        <f t="shared" si="2127"/>
        <v>FPO</v>
      </c>
      <c r="E5496" t="str">
        <f t="shared" si="2128"/>
        <v>AP</v>
      </c>
      <c r="F5496" t="str">
        <f t="shared" si="2129"/>
        <v>963490001</v>
      </c>
      <c r="G5496" t="str">
        <f t="shared" si="2125"/>
        <v>PSC 473 BOX 13</v>
      </c>
      <c r="H5496" t="str">
        <f t="shared" ref="H5496:H5501" si="2133">T("NAVFACFE PRY 31")</f>
        <v>NAVFACFE PRY 31</v>
      </c>
      <c r="I5496" t="str">
        <f t="shared" si="2130"/>
        <v>FPO</v>
      </c>
      <c r="J5496" t="str">
        <f t="shared" si="2131"/>
        <v>AP</v>
      </c>
      <c r="K5496" t="str">
        <f t="shared" ref="K5496:K5503" si="2134">T("")</f>
        <v/>
      </c>
      <c r="L5496" t="str">
        <f>T("3152436922")</f>
        <v>3152436922</v>
      </c>
    </row>
    <row r="5497" spans="1:12" x14ac:dyDescent="0.35">
      <c r="A5497" t="str">
        <f t="shared" si="2126"/>
        <v>NAVFAC FAR EAST HL5</v>
      </c>
      <c r="B5497" t="str">
        <f t="shared" si="2122"/>
        <v>PSC 473 BOX 13</v>
      </c>
      <c r="C5497" t="str">
        <f t="shared" si="2132"/>
        <v>NAVFACFE PWD YOKOSUKA PPY 1</v>
      </c>
      <c r="D5497" t="str">
        <f t="shared" si="2127"/>
        <v>FPO</v>
      </c>
      <c r="E5497" t="str">
        <f t="shared" si="2128"/>
        <v>AP</v>
      </c>
      <c r="F5497" t="str">
        <f t="shared" si="2129"/>
        <v>963490001</v>
      </c>
      <c r="G5497" t="str">
        <f t="shared" si="2125"/>
        <v>PSC 473 BOX 13</v>
      </c>
      <c r="H5497" t="str">
        <f t="shared" si="2133"/>
        <v>NAVFACFE PRY 31</v>
      </c>
      <c r="I5497" t="str">
        <f t="shared" si="2130"/>
        <v>FPO</v>
      </c>
      <c r="J5497" t="str">
        <f t="shared" si="2131"/>
        <v>AP</v>
      </c>
      <c r="K5497" t="str">
        <f t="shared" si="2134"/>
        <v/>
      </c>
      <c r="L5497" t="str">
        <f>T("3152439038")</f>
        <v>3152439038</v>
      </c>
    </row>
    <row r="5498" spans="1:12" x14ac:dyDescent="0.35">
      <c r="A5498" t="str">
        <f t="shared" si="2126"/>
        <v>NAVFAC FAR EAST HL5</v>
      </c>
      <c r="B5498" t="str">
        <f t="shared" si="2122"/>
        <v>PSC 473 BOX 13</v>
      </c>
      <c r="C5498" t="str">
        <f t="shared" si="2132"/>
        <v>NAVFACFE PWD YOKOSUKA PPY 1</v>
      </c>
      <c r="D5498" t="str">
        <f t="shared" si="2127"/>
        <v>FPO</v>
      </c>
      <c r="E5498" t="str">
        <f t="shared" si="2128"/>
        <v>AP</v>
      </c>
      <c r="F5498" t="str">
        <f t="shared" si="2129"/>
        <v>963490001</v>
      </c>
      <c r="G5498" t="str">
        <f t="shared" si="2125"/>
        <v>PSC 473 BOX 13</v>
      </c>
      <c r="H5498" t="str">
        <f t="shared" si="2133"/>
        <v>NAVFACFE PRY 31</v>
      </c>
      <c r="I5498" t="str">
        <f t="shared" si="2130"/>
        <v>FPO</v>
      </c>
      <c r="J5498" t="str">
        <f t="shared" si="2131"/>
        <v>AP</v>
      </c>
      <c r="K5498" t="str">
        <f t="shared" si="2134"/>
        <v/>
      </c>
      <c r="L5498" t="str">
        <f>T("3152439086")</f>
        <v>3152439086</v>
      </c>
    </row>
    <row r="5499" spans="1:12" x14ac:dyDescent="0.35">
      <c r="A5499" t="str">
        <f t="shared" si="2126"/>
        <v>NAVFAC FAR EAST HL5</v>
      </c>
      <c r="B5499" t="str">
        <f t="shared" si="2122"/>
        <v>PSC 473 BOX 13</v>
      </c>
      <c r="C5499" t="str">
        <f t="shared" si="2132"/>
        <v>NAVFACFE PWD YOKOSUKA PPY 1</v>
      </c>
      <c r="D5499" t="str">
        <f t="shared" si="2127"/>
        <v>FPO</v>
      </c>
      <c r="E5499" t="str">
        <f t="shared" si="2128"/>
        <v>AP</v>
      </c>
      <c r="F5499" t="str">
        <f t="shared" si="2129"/>
        <v>963490001</v>
      </c>
      <c r="G5499" t="str">
        <f t="shared" si="2125"/>
        <v>PSC 473 BOX 13</v>
      </c>
      <c r="H5499" t="str">
        <f t="shared" si="2133"/>
        <v>NAVFACFE PRY 31</v>
      </c>
      <c r="I5499" t="str">
        <f t="shared" si="2130"/>
        <v>FPO</v>
      </c>
      <c r="J5499" t="str">
        <f t="shared" si="2131"/>
        <v>AP</v>
      </c>
      <c r="K5499" t="str">
        <f t="shared" si="2134"/>
        <v/>
      </c>
      <c r="L5499" t="str">
        <f>T("3152439139")</f>
        <v>3152439139</v>
      </c>
    </row>
    <row r="5500" spans="1:12" x14ac:dyDescent="0.35">
      <c r="A5500" t="str">
        <f t="shared" si="2126"/>
        <v>NAVFAC FAR EAST HL5</v>
      </c>
      <c r="B5500" t="str">
        <f t="shared" si="2122"/>
        <v>PSC 473 BOX 13</v>
      </c>
      <c r="C5500" t="str">
        <f t="shared" si="2132"/>
        <v>NAVFACFE PWD YOKOSUKA PPY 1</v>
      </c>
      <c r="D5500" t="str">
        <f t="shared" si="2127"/>
        <v>FPO</v>
      </c>
      <c r="E5500" t="str">
        <f t="shared" si="2128"/>
        <v>AP</v>
      </c>
      <c r="F5500" t="str">
        <f t="shared" si="2129"/>
        <v>963490001</v>
      </c>
      <c r="G5500" t="str">
        <f t="shared" si="2125"/>
        <v>PSC 473 BOX 13</v>
      </c>
      <c r="H5500" t="str">
        <f t="shared" si="2133"/>
        <v>NAVFACFE PRY 31</v>
      </c>
      <c r="I5500" t="str">
        <f t="shared" si="2130"/>
        <v>FPO</v>
      </c>
      <c r="J5500" t="str">
        <f t="shared" si="2131"/>
        <v>AP</v>
      </c>
      <c r="K5500" t="str">
        <f t="shared" si="2134"/>
        <v/>
      </c>
      <c r="L5500" t="str">
        <f>T("3152439159")</f>
        <v>3152439159</v>
      </c>
    </row>
    <row r="5501" spans="1:12" x14ac:dyDescent="0.35">
      <c r="A5501" t="str">
        <f t="shared" si="2126"/>
        <v>NAVFAC FAR EAST HL5</v>
      </c>
      <c r="B5501" t="str">
        <f t="shared" si="2122"/>
        <v>PSC 473 BOX 13</v>
      </c>
      <c r="C5501" t="str">
        <f t="shared" si="2132"/>
        <v>NAVFACFE PWD YOKOSUKA PPY 1</v>
      </c>
      <c r="D5501" t="str">
        <f t="shared" si="2127"/>
        <v>FPO</v>
      </c>
      <c r="E5501" t="str">
        <f t="shared" si="2128"/>
        <v>AP</v>
      </c>
      <c r="F5501" t="str">
        <f t="shared" si="2129"/>
        <v>963490001</v>
      </c>
      <c r="G5501" t="str">
        <f t="shared" si="2125"/>
        <v>PSC 473 BOX 13</v>
      </c>
      <c r="H5501" t="str">
        <f t="shared" si="2133"/>
        <v>NAVFACFE PRY 31</v>
      </c>
      <c r="I5501" t="str">
        <f t="shared" si="2130"/>
        <v>FPO</v>
      </c>
      <c r="J5501" t="str">
        <f t="shared" si="2131"/>
        <v>AP</v>
      </c>
      <c r="K5501" t="str">
        <f t="shared" si="2134"/>
        <v/>
      </c>
      <c r="L5501" t="str">
        <f>T("3152439193")</f>
        <v>3152439193</v>
      </c>
    </row>
    <row r="5502" spans="1:12" x14ac:dyDescent="0.35">
      <c r="A5502" t="str">
        <f t="shared" si="2126"/>
        <v>NAVFAC FAR EAST HL5</v>
      </c>
      <c r="B5502" t="str">
        <f t="shared" si="2122"/>
        <v>PSC 473 BOX 13</v>
      </c>
      <c r="C5502" t="str">
        <f t="shared" si="2132"/>
        <v>NAVFACFE PWD YOKOSUKA PPY 1</v>
      </c>
      <c r="D5502" t="str">
        <f t="shared" si="2127"/>
        <v>FPO</v>
      </c>
      <c r="E5502" t="str">
        <f t="shared" si="2128"/>
        <v>AP</v>
      </c>
      <c r="F5502" t="str">
        <f t="shared" si="2129"/>
        <v>963490001</v>
      </c>
      <c r="G5502" t="str">
        <f t="shared" si="2125"/>
        <v>PSC 473 BOX 13</v>
      </c>
      <c r="H5502" t="str">
        <f>T("NAVFACFE PWD YOKOSUKA PPY 1")</f>
        <v>NAVFACFE PWD YOKOSUKA PPY 1</v>
      </c>
      <c r="I5502" t="str">
        <f t="shared" si="2130"/>
        <v>FPO</v>
      </c>
      <c r="J5502" t="str">
        <f t="shared" si="2131"/>
        <v>AP</v>
      </c>
      <c r="K5502" t="str">
        <f t="shared" si="2134"/>
        <v/>
      </c>
      <c r="L5502" t="str">
        <f>T("1111111111")</f>
        <v>1111111111</v>
      </c>
    </row>
    <row r="5503" spans="1:12" x14ac:dyDescent="0.35">
      <c r="A5503" t="str">
        <f t="shared" si="2126"/>
        <v>NAVFAC FAR EAST HL5</v>
      </c>
      <c r="B5503" t="str">
        <f>T("PSC 474 BOX 4")</f>
        <v>PSC 474 BOX 4</v>
      </c>
      <c r="C5503" t="str">
        <f>T("NAVSUP FLC YOKOSUKA C421")</f>
        <v>NAVSUP FLC YOKOSUKA C421</v>
      </c>
      <c r="D5503" t="str">
        <f t="shared" si="2127"/>
        <v>FPO</v>
      </c>
      <c r="E5503" t="str">
        <f t="shared" si="2128"/>
        <v>AP</v>
      </c>
      <c r="F5503" t="str">
        <f>T("963510001")</f>
        <v>963510001</v>
      </c>
      <c r="G5503" t="str">
        <f>T("PSC 474 BOX 4")</f>
        <v>PSC 474 BOX 4</v>
      </c>
      <c r="H5503" t="str">
        <f>T("NAVSUP FLC YOKOSUKA C421")</f>
        <v>NAVSUP FLC YOKOSUKA C421</v>
      </c>
      <c r="I5503" t="str">
        <f t="shared" si="2130"/>
        <v>FPO</v>
      </c>
      <c r="J5503" t="str">
        <f t="shared" si="2131"/>
        <v>AP</v>
      </c>
      <c r="K5503" t="str">
        <f t="shared" si="2134"/>
        <v/>
      </c>
      <c r="L5503" t="str">
        <f>T("3152642360")</f>
        <v>3152642360</v>
      </c>
    </row>
    <row r="5504" spans="1:12" x14ac:dyDescent="0.35">
      <c r="A5504" t="str">
        <f t="shared" si="2126"/>
        <v>NAVFAC FAR EAST HL5</v>
      </c>
      <c r="B5504" t="str">
        <f>T("PSC 474 BOX 4")</f>
        <v>PSC 474 BOX 4</v>
      </c>
      <c r="C5504" t="str">
        <f>T("NAVSUP FLC YOKOSUKA C421")</f>
        <v>NAVSUP FLC YOKOSUKA C421</v>
      </c>
      <c r="D5504" t="str">
        <f t="shared" si="2127"/>
        <v>FPO</v>
      </c>
      <c r="E5504" t="str">
        <f t="shared" si="2128"/>
        <v>AP</v>
      </c>
      <c r="F5504" t="str">
        <f>T("963510001")</f>
        <v>963510001</v>
      </c>
      <c r="G5504" t="str">
        <f>T("PSC 477 BOX 4")</f>
        <v>PSC 477 BOX 4</v>
      </c>
      <c r="H5504" t="str">
        <f>T("")</f>
        <v/>
      </c>
      <c r="I5504" t="str">
        <f t="shared" si="2130"/>
        <v>FPO</v>
      </c>
      <c r="J5504" t="str">
        <f t="shared" si="2131"/>
        <v>AP</v>
      </c>
      <c r="K5504" t="str">
        <f>T("000000000000000000")</f>
        <v>000000000000000000</v>
      </c>
      <c r="L5504" t="str">
        <f>T("1111111111")</f>
        <v>1111111111</v>
      </c>
    </row>
    <row r="5505" spans="1:12" x14ac:dyDescent="0.35">
      <c r="A5505" t="str">
        <f t="shared" si="2126"/>
        <v>NAVFAC FAR EAST HL5</v>
      </c>
      <c r="B5505" t="str">
        <f>T("PSC 474 BOX 4")</f>
        <v>PSC 474 BOX 4</v>
      </c>
      <c r="C5505" t="str">
        <f>T("NAVSUP FLC YOKOSUKA C421")</f>
        <v>NAVSUP FLC YOKOSUKA C421</v>
      </c>
      <c r="D5505" t="str">
        <f t="shared" si="2127"/>
        <v>FPO</v>
      </c>
      <c r="E5505" t="str">
        <f t="shared" si="2128"/>
        <v>AP</v>
      </c>
      <c r="F5505" t="str">
        <f>T("963510001")</f>
        <v>963510001</v>
      </c>
      <c r="G5505" t="str">
        <f>T("PSC 477 BOX 4")</f>
        <v>PSC 477 BOX 4</v>
      </c>
      <c r="H5505" t="str">
        <f>T("")</f>
        <v/>
      </c>
      <c r="I5505" t="str">
        <f t="shared" si="2130"/>
        <v>FPO</v>
      </c>
      <c r="J5505" t="str">
        <f t="shared" si="2131"/>
        <v>AP</v>
      </c>
      <c r="K5505" t="str">
        <f>T("000000000000000000")</f>
        <v>000000000000000000</v>
      </c>
      <c r="L5505" t="str">
        <f>T("3152642360")</f>
        <v>3152642360</v>
      </c>
    </row>
    <row r="5506" spans="1:12" x14ac:dyDescent="0.35">
      <c r="A5506" t="str">
        <f t="shared" si="2126"/>
        <v>NAVFAC FAR EAST HL5</v>
      </c>
      <c r="B5506" t="str">
        <f>T("PSC 474 BOX 4")</f>
        <v>PSC 474 BOX 4</v>
      </c>
      <c r="C5506" t="str">
        <f>T("NAVSUP FLC YOKOSUKA C421")</f>
        <v>NAVSUP FLC YOKOSUKA C421</v>
      </c>
      <c r="D5506" t="str">
        <f t="shared" si="2127"/>
        <v>FPO</v>
      </c>
      <c r="E5506" t="str">
        <f t="shared" si="2128"/>
        <v>AP</v>
      </c>
      <c r="F5506" t="str">
        <f>T("963510001")</f>
        <v>963510001</v>
      </c>
      <c r="G5506" t="str">
        <f>T("PSC 477 BOX 4")</f>
        <v>PSC 477 BOX 4</v>
      </c>
      <c r="H5506" t="str">
        <f>T("NAVSUP FLT LOG CTR ATSUGI")</f>
        <v>NAVSUP FLT LOG CTR ATSUGI</v>
      </c>
      <c r="I5506" t="str">
        <f t="shared" si="2130"/>
        <v>FPO</v>
      </c>
      <c r="J5506" t="str">
        <f t="shared" si="2131"/>
        <v>AP</v>
      </c>
      <c r="K5506" t="str">
        <f>T("000000000000000000")</f>
        <v>000000000000000000</v>
      </c>
      <c r="L5506" t="str">
        <f>T("3152521101")</f>
        <v>3152521101</v>
      </c>
    </row>
    <row r="5507" spans="1:12" x14ac:dyDescent="0.35">
      <c r="A5507" t="str">
        <f t="shared" si="2126"/>
        <v>NAVFAC FAR EAST HL5</v>
      </c>
      <c r="B5507" t="str">
        <f t="shared" ref="B5507:B5513" si="2135">T("PSC 476 BOX 6")</f>
        <v>PSC 476 BOX 6</v>
      </c>
      <c r="C5507" t="str">
        <f t="shared" ref="C5507:C5513" si="2136">T("FLCY SITE SASEBO C452")</f>
        <v>FLCY SITE SASEBO C452</v>
      </c>
      <c r="D5507" t="str">
        <f t="shared" si="2127"/>
        <v>FPO</v>
      </c>
      <c r="E5507" t="str">
        <f t="shared" si="2128"/>
        <v>AP</v>
      </c>
      <c r="F5507" t="str">
        <f t="shared" ref="F5507:F5522" si="2137">T("963220001")</f>
        <v>963220001</v>
      </c>
      <c r="G5507" t="str">
        <f>T("PSC 476 BOX 27")</f>
        <v>PSC 476 BOX 27</v>
      </c>
      <c r="H5507" t="str">
        <f>T("FLSCY SASEBO CODE 452.6")</f>
        <v>FLSCY SASEBO CODE 452.6</v>
      </c>
      <c r="I5507" t="str">
        <f t="shared" si="2130"/>
        <v>FPO</v>
      </c>
      <c r="J5507" t="str">
        <f t="shared" si="2131"/>
        <v>AP</v>
      </c>
      <c r="K5507" t="str">
        <f>T("111111111111111111")</f>
        <v>111111111111111111</v>
      </c>
      <c r="L5507" t="str">
        <f>T("1111111111")</f>
        <v>1111111111</v>
      </c>
    </row>
    <row r="5508" spans="1:12" x14ac:dyDescent="0.35">
      <c r="A5508" t="str">
        <f t="shared" si="2126"/>
        <v>NAVFAC FAR EAST HL5</v>
      </c>
      <c r="B5508" t="str">
        <f t="shared" si="2135"/>
        <v>PSC 476 BOX 6</v>
      </c>
      <c r="C5508" t="str">
        <f t="shared" si="2136"/>
        <v>FLCY SITE SASEBO C452</v>
      </c>
      <c r="D5508" t="str">
        <f t="shared" si="2127"/>
        <v>FPO</v>
      </c>
      <c r="E5508" t="str">
        <f t="shared" si="2128"/>
        <v>AP</v>
      </c>
      <c r="F5508" t="str">
        <f t="shared" si="2137"/>
        <v>963220001</v>
      </c>
      <c r="G5508" t="str">
        <f>T("PSC 476 BOX 6")</f>
        <v>PSC 476 BOX 6</v>
      </c>
      <c r="H5508" t="str">
        <f>T("FLCY SITE SASEBO C452")</f>
        <v>FLCY SITE SASEBO C452</v>
      </c>
      <c r="I5508" t="str">
        <f t="shared" si="2130"/>
        <v>FPO</v>
      </c>
      <c r="J5508" t="str">
        <f t="shared" si="2131"/>
        <v>AP</v>
      </c>
      <c r="K5508" t="str">
        <f>T("")</f>
        <v/>
      </c>
      <c r="L5508" t="str">
        <f>T("1111111111")</f>
        <v>1111111111</v>
      </c>
    </row>
    <row r="5509" spans="1:12" x14ac:dyDescent="0.35">
      <c r="A5509" t="str">
        <f t="shared" si="2126"/>
        <v>NAVFAC FAR EAST HL5</v>
      </c>
      <c r="B5509" t="str">
        <f t="shared" si="2135"/>
        <v>PSC 476 BOX 6</v>
      </c>
      <c r="C5509" t="str">
        <f t="shared" si="2136"/>
        <v>FLCY SITE SASEBO C452</v>
      </c>
      <c r="D5509" t="str">
        <f t="shared" si="2127"/>
        <v>FPO</v>
      </c>
      <c r="E5509" t="str">
        <f t="shared" si="2128"/>
        <v>AP</v>
      </c>
      <c r="F5509" t="str">
        <f t="shared" si="2137"/>
        <v>963220001</v>
      </c>
      <c r="G5509" t="str">
        <f t="shared" ref="G5509:G5522" si="2138">T("PSC 476 BOX 66")</f>
        <v>PSC 476 BOX 66</v>
      </c>
      <c r="H5509" t="str">
        <f>T("")</f>
        <v/>
      </c>
      <c r="I5509" t="str">
        <f t="shared" si="2130"/>
        <v>FPO</v>
      </c>
      <c r="J5509" t="str">
        <f t="shared" si="2131"/>
        <v>AP</v>
      </c>
      <c r="K5509" t="str">
        <f>T("000000000000000000")</f>
        <v>000000000000000000</v>
      </c>
      <c r="L5509" t="str">
        <f>T("3152522738")</f>
        <v>3152522738</v>
      </c>
    </row>
    <row r="5510" spans="1:12" x14ac:dyDescent="0.35">
      <c r="A5510" t="str">
        <f t="shared" si="2126"/>
        <v>NAVFAC FAR EAST HL5</v>
      </c>
      <c r="B5510" t="str">
        <f t="shared" si="2135"/>
        <v>PSC 476 BOX 6</v>
      </c>
      <c r="C5510" t="str">
        <f t="shared" si="2136"/>
        <v>FLCY SITE SASEBO C452</v>
      </c>
      <c r="D5510" t="str">
        <f t="shared" si="2127"/>
        <v>FPO</v>
      </c>
      <c r="E5510" t="str">
        <f t="shared" si="2128"/>
        <v>AP</v>
      </c>
      <c r="F5510" t="str">
        <f t="shared" si="2137"/>
        <v>963220001</v>
      </c>
      <c r="G5510" t="str">
        <f t="shared" si="2138"/>
        <v>PSC 476 BOX 66</v>
      </c>
      <c r="H5510" t="str">
        <f>T("FLSCY NAVFACFE PWD SASEBO")</f>
        <v>FLSCY NAVFACFE PWD SASEBO</v>
      </c>
      <c r="I5510" t="str">
        <f t="shared" si="2130"/>
        <v>FPO</v>
      </c>
      <c r="J5510" t="str">
        <f t="shared" si="2131"/>
        <v>AP</v>
      </c>
      <c r="K5510" t="str">
        <f>T("000000000000000000")</f>
        <v>000000000000000000</v>
      </c>
      <c r="L5510" t="str">
        <f>T("3152522739")</f>
        <v>3152522739</v>
      </c>
    </row>
    <row r="5511" spans="1:12" x14ac:dyDescent="0.35">
      <c r="A5511" t="str">
        <f t="shared" si="2126"/>
        <v>NAVFAC FAR EAST HL5</v>
      </c>
      <c r="B5511" t="str">
        <f t="shared" si="2135"/>
        <v>PSC 476 BOX 6</v>
      </c>
      <c r="C5511" t="str">
        <f t="shared" si="2136"/>
        <v>FLCY SITE SASEBO C452</v>
      </c>
      <c r="D5511" t="str">
        <f t="shared" si="2127"/>
        <v>FPO</v>
      </c>
      <c r="E5511" t="str">
        <f t="shared" si="2128"/>
        <v>AP</v>
      </c>
      <c r="F5511" t="str">
        <f t="shared" si="2137"/>
        <v>963220001</v>
      </c>
      <c r="G5511" t="str">
        <f t="shared" si="2138"/>
        <v>PSC 476 BOX 66</v>
      </c>
      <c r="H5511" t="str">
        <f>T("FLSCY NAVFACFE PWD SASEBO")</f>
        <v>FLSCY NAVFACFE PWD SASEBO</v>
      </c>
      <c r="I5511" t="str">
        <f t="shared" si="2130"/>
        <v>FPO</v>
      </c>
      <c r="J5511" t="str">
        <f t="shared" si="2131"/>
        <v>AP</v>
      </c>
      <c r="K5511" t="str">
        <f>T("000000000000000000")</f>
        <v>000000000000000000</v>
      </c>
      <c r="L5511" t="str">
        <f>T("3152522742")</f>
        <v>3152522742</v>
      </c>
    </row>
    <row r="5512" spans="1:12" x14ac:dyDescent="0.35">
      <c r="A5512" t="str">
        <f t="shared" si="2126"/>
        <v>NAVFAC FAR EAST HL5</v>
      </c>
      <c r="B5512" t="str">
        <f t="shared" si="2135"/>
        <v>PSC 476 BOX 6</v>
      </c>
      <c r="C5512" t="str">
        <f t="shared" si="2136"/>
        <v>FLCY SITE SASEBO C452</v>
      </c>
      <c r="D5512" t="str">
        <f t="shared" si="2127"/>
        <v>FPO</v>
      </c>
      <c r="E5512" t="str">
        <f t="shared" si="2128"/>
        <v>AP</v>
      </c>
      <c r="F5512" t="str">
        <f t="shared" si="2137"/>
        <v>963220001</v>
      </c>
      <c r="G5512" t="str">
        <f t="shared" si="2138"/>
        <v>PSC 476 BOX 66</v>
      </c>
      <c r="H5512" t="str">
        <f>T("NAVFAC FE SASEBO")</f>
        <v>NAVFAC FE SASEBO</v>
      </c>
      <c r="I5512" t="str">
        <f t="shared" si="2130"/>
        <v>FPO</v>
      </c>
      <c r="J5512" t="str">
        <f t="shared" si="2131"/>
        <v>AP</v>
      </c>
      <c r="K5512" t="str">
        <f>T("0011818162737")</f>
        <v>0011818162737</v>
      </c>
      <c r="L5512" t="str">
        <f>T("3152522737")</f>
        <v>3152522737</v>
      </c>
    </row>
    <row r="5513" spans="1:12" x14ac:dyDescent="0.35">
      <c r="A5513" t="str">
        <f t="shared" si="2126"/>
        <v>NAVFAC FAR EAST HL5</v>
      </c>
      <c r="B5513" t="str">
        <f t="shared" si="2135"/>
        <v>PSC 476 BOX 6</v>
      </c>
      <c r="C5513" t="str">
        <f t="shared" si="2136"/>
        <v>FLCY SITE SASEBO C452</v>
      </c>
      <c r="D5513" t="str">
        <f t="shared" si="2127"/>
        <v>FPO</v>
      </c>
      <c r="E5513" t="str">
        <f t="shared" si="2128"/>
        <v>AP</v>
      </c>
      <c r="F5513" t="str">
        <f t="shared" si="2137"/>
        <v>963220001</v>
      </c>
      <c r="G5513" t="str">
        <f t="shared" si="2138"/>
        <v>PSC 476 BOX 66</v>
      </c>
      <c r="H5513" t="str">
        <f>T("NAVFACFE PWD")</f>
        <v>NAVFACFE PWD</v>
      </c>
      <c r="I5513" t="str">
        <f t="shared" si="2130"/>
        <v>FPO</v>
      </c>
      <c r="J5513" t="str">
        <f t="shared" si="2131"/>
        <v>AP</v>
      </c>
      <c r="K5513" t="str">
        <f>T("000000000000000000")</f>
        <v>000000000000000000</v>
      </c>
      <c r="L5513" t="str">
        <f>T("1111111111")</f>
        <v>1111111111</v>
      </c>
    </row>
    <row r="5514" spans="1:12" x14ac:dyDescent="0.35">
      <c r="A5514" t="str">
        <f t="shared" si="2126"/>
        <v>NAVFAC FAR EAST HL5</v>
      </c>
      <c r="B5514" t="str">
        <f t="shared" ref="B5514:B5522" si="2139">T("PSC 476 BOX 66")</f>
        <v>PSC 476 BOX 66</v>
      </c>
      <c r="C5514" t="str">
        <f>T("NAVFACFE PWD SASEBO PRS22")</f>
        <v>NAVFACFE PWD SASEBO PRS22</v>
      </c>
      <c r="D5514" t="str">
        <f t="shared" si="2127"/>
        <v>FPO</v>
      </c>
      <c r="E5514" t="str">
        <f t="shared" si="2128"/>
        <v>AP</v>
      </c>
      <c r="F5514" t="str">
        <f t="shared" si="2137"/>
        <v>963220001</v>
      </c>
      <c r="G5514" t="str">
        <f t="shared" si="2138"/>
        <v>PSC 476 BOX 66</v>
      </c>
      <c r="H5514" t="str">
        <f>T("")</f>
        <v/>
      </c>
      <c r="I5514" t="str">
        <f t="shared" si="2130"/>
        <v>FPO</v>
      </c>
      <c r="J5514" t="str">
        <f t="shared" si="2131"/>
        <v>AP</v>
      </c>
      <c r="K5514" t="str">
        <f>T("01181956502115")</f>
        <v>01181956502115</v>
      </c>
      <c r="L5514" t="str">
        <f>T("1111111111")</f>
        <v>1111111111</v>
      </c>
    </row>
    <row r="5515" spans="1:12" x14ac:dyDescent="0.35">
      <c r="A5515" t="str">
        <f t="shared" ref="A5515:A5547" si="2140">T("NAVFAC FAR EAST HL5")</f>
        <v>NAVFAC FAR EAST HL5</v>
      </c>
      <c r="B5515" t="str">
        <f t="shared" si="2139"/>
        <v>PSC 476 BOX 66</v>
      </c>
      <c r="C5515" t="str">
        <f>T("NAVFACFE PWD SASEBO PRS22")</f>
        <v>NAVFACFE PWD SASEBO PRS22</v>
      </c>
      <c r="D5515" t="str">
        <f t="shared" ref="D5515:D5541" si="2141">T("FPO")</f>
        <v>FPO</v>
      </c>
      <c r="E5515" t="str">
        <f t="shared" ref="E5515:E5546" si="2142">T("AP")</f>
        <v>AP</v>
      </c>
      <c r="F5515" t="str">
        <f t="shared" si="2137"/>
        <v>963220001</v>
      </c>
      <c r="G5515" t="str">
        <f t="shared" si="2138"/>
        <v>PSC 476 BOX 66</v>
      </c>
      <c r="H5515" t="str">
        <f>T("NAVFACFE PWD SASEBO PRS22")</f>
        <v>NAVFACFE PWD SASEBO PRS22</v>
      </c>
      <c r="I5515" t="str">
        <f t="shared" ref="I5515:I5541" si="2143">T("FPO")</f>
        <v>FPO</v>
      </c>
      <c r="J5515" t="str">
        <f t="shared" ref="J5515:J5546" si="2144">T("AP")</f>
        <v>AP</v>
      </c>
      <c r="K5515" t="str">
        <f>T("")</f>
        <v/>
      </c>
      <c r="L5515" t="str">
        <f>T("3152523469")</f>
        <v>3152523469</v>
      </c>
    </row>
    <row r="5516" spans="1:12" x14ac:dyDescent="0.35">
      <c r="A5516" t="str">
        <f t="shared" si="2140"/>
        <v>NAVFAC FAR EAST HL5</v>
      </c>
      <c r="B5516" t="str">
        <f t="shared" si="2139"/>
        <v>PSC 476 BOX 66</v>
      </c>
      <c r="C5516" t="str">
        <f t="shared" ref="C5516:C5522" si="2145">T("NAVFACFE PWD SASEBO PRSDF")</f>
        <v>NAVFACFE PWD SASEBO PRSDF</v>
      </c>
      <c r="D5516" t="str">
        <f t="shared" si="2141"/>
        <v>FPO</v>
      </c>
      <c r="E5516" t="str">
        <f t="shared" si="2142"/>
        <v>AP</v>
      </c>
      <c r="F5516" t="str">
        <f t="shared" si="2137"/>
        <v>963220001</v>
      </c>
      <c r="G5516" t="str">
        <f t="shared" si="2138"/>
        <v>PSC 476 BOX 66</v>
      </c>
      <c r="H5516" t="str">
        <f>T("")</f>
        <v/>
      </c>
      <c r="I5516" t="str">
        <f t="shared" si="2143"/>
        <v>FPO</v>
      </c>
      <c r="J5516" t="str">
        <f t="shared" si="2144"/>
        <v>AP</v>
      </c>
      <c r="K5516" t="str">
        <f>T("01181956503728")</f>
        <v>01181956503728</v>
      </c>
      <c r="L5516" t="str">
        <f>T("1111111111")</f>
        <v>1111111111</v>
      </c>
    </row>
    <row r="5517" spans="1:12" x14ac:dyDescent="0.35">
      <c r="A5517" t="str">
        <f t="shared" si="2140"/>
        <v>NAVFAC FAR EAST HL5</v>
      </c>
      <c r="B5517" t="str">
        <f t="shared" si="2139"/>
        <v>PSC 476 BOX 66</v>
      </c>
      <c r="C5517" t="str">
        <f t="shared" si="2145"/>
        <v>NAVFACFE PWD SASEBO PRSDF</v>
      </c>
      <c r="D5517" t="str">
        <f t="shared" si="2141"/>
        <v>FPO</v>
      </c>
      <c r="E5517" t="str">
        <f t="shared" si="2142"/>
        <v>AP</v>
      </c>
      <c r="F5517" t="str">
        <f t="shared" si="2137"/>
        <v>963220001</v>
      </c>
      <c r="G5517" t="str">
        <f t="shared" si="2138"/>
        <v>PSC 476 BOX 66</v>
      </c>
      <c r="H5517" t="str">
        <f>T("NAVFACFE PWD SASEBO")</f>
        <v>NAVFACFE PWD SASEBO</v>
      </c>
      <c r="I5517" t="str">
        <f t="shared" si="2143"/>
        <v>FPO</v>
      </c>
      <c r="J5517" t="str">
        <f t="shared" si="2144"/>
        <v>AP</v>
      </c>
      <c r="K5517" t="str">
        <f>T("000000000000000000")</f>
        <v>000000000000000000</v>
      </c>
      <c r="L5517" t="str">
        <f>T("1111111111")</f>
        <v>1111111111</v>
      </c>
    </row>
    <row r="5518" spans="1:12" x14ac:dyDescent="0.35">
      <c r="A5518" t="str">
        <f t="shared" si="2140"/>
        <v>NAVFAC FAR EAST HL5</v>
      </c>
      <c r="B5518" t="str">
        <f t="shared" si="2139"/>
        <v>PSC 476 BOX 66</v>
      </c>
      <c r="C5518" t="str">
        <f t="shared" si="2145"/>
        <v>NAVFACFE PWD SASEBO PRSDF</v>
      </c>
      <c r="D5518" t="str">
        <f t="shared" si="2141"/>
        <v>FPO</v>
      </c>
      <c r="E5518" t="str">
        <f t="shared" si="2142"/>
        <v>AP</v>
      </c>
      <c r="F5518" t="str">
        <f t="shared" si="2137"/>
        <v>963220001</v>
      </c>
      <c r="G5518" t="str">
        <f t="shared" si="2138"/>
        <v>PSC 476 BOX 66</v>
      </c>
      <c r="H5518" t="str">
        <f>T("NAVFACFE PWD SASEBO PRS2")</f>
        <v>NAVFACFE PWD SASEBO PRS2</v>
      </c>
      <c r="I5518" t="str">
        <f t="shared" si="2143"/>
        <v>FPO</v>
      </c>
      <c r="J5518" t="str">
        <f t="shared" si="2144"/>
        <v>AP</v>
      </c>
      <c r="K5518" t="str">
        <f>T("")</f>
        <v/>
      </c>
      <c r="L5518" t="str">
        <f>T("1111111111")</f>
        <v>1111111111</v>
      </c>
    </row>
    <row r="5519" spans="1:12" x14ac:dyDescent="0.35">
      <c r="A5519" t="str">
        <f t="shared" si="2140"/>
        <v>NAVFAC FAR EAST HL5</v>
      </c>
      <c r="B5519" t="str">
        <f t="shared" si="2139"/>
        <v>PSC 476 BOX 66</v>
      </c>
      <c r="C5519" t="str">
        <f t="shared" si="2145"/>
        <v>NAVFACFE PWD SASEBO PRSDF</v>
      </c>
      <c r="D5519" t="str">
        <f t="shared" si="2141"/>
        <v>FPO</v>
      </c>
      <c r="E5519" t="str">
        <f t="shared" si="2142"/>
        <v>AP</v>
      </c>
      <c r="F5519" t="str">
        <f t="shared" si="2137"/>
        <v>963220001</v>
      </c>
      <c r="G5519" t="str">
        <f t="shared" si="2138"/>
        <v>PSC 476 BOX 66</v>
      </c>
      <c r="H5519" t="str">
        <f>T("NAVFACFE PWD SASEBO PRS32")</f>
        <v>NAVFACFE PWD SASEBO PRS32</v>
      </c>
      <c r="I5519" t="str">
        <f t="shared" si="2143"/>
        <v>FPO</v>
      </c>
      <c r="J5519" t="str">
        <f t="shared" si="2144"/>
        <v>AP</v>
      </c>
      <c r="K5519" t="str">
        <f>T("")</f>
        <v/>
      </c>
      <c r="L5519" t="str">
        <f>T("1111111111")</f>
        <v>1111111111</v>
      </c>
    </row>
    <row r="5520" spans="1:12" x14ac:dyDescent="0.35">
      <c r="A5520" t="str">
        <f t="shared" si="2140"/>
        <v>NAVFAC FAR EAST HL5</v>
      </c>
      <c r="B5520" t="str">
        <f t="shared" si="2139"/>
        <v>PSC 476 BOX 66</v>
      </c>
      <c r="C5520" t="str">
        <f t="shared" si="2145"/>
        <v>NAVFACFE PWD SASEBO PRSDF</v>
      </c>
      <c r="D5520" t="str">
        <f t="shared" si="2141"/>
        <v>FPO</v>
      </c>
      <c r="E5520" t="str">
        <f t="shared" si="2142"/>
        <v>AP</v>
      </c>
      <c r="F5520" t="str">
        <f t="shared" si="2137"/>
        <v>963220001</v>
      </c>
      <c r="G5520" t="str">
        <f t="shared" si="2138"/>
        <v>PSC 476 BOX 66</v>
      </c>
      <c r="H5520" t="str">
        <f>T("NAVFACFE PWD SASEBO PRS4 ENV")</f>
        <v>NAVFACFE PWD SASEBO PRS4 ENV</v>
      </c>
      <c r="I5520" t="str">
        <f t="shared" si="2143"/>
        <v>FPO</v>
      </c>
      <c r="J5520" t="str">
        <f t="shared" si="2144"/>
        <v>AP</v>
      </c>
      <c r="K5520" t="str">
        <f>T("000000000000000000")</f>
        <v>000000000000000000</v>
      </c>
      <c r="L5520" t="str">
        <f>T("1111111111")</f>
        <v>1111111111</v>
      </c>
    </row>
    <row r="5521" spans="1:12" x14ac:dyDescent="0.35">
      <c r="A5521" t="str">
        <f t="shared" si="2140"/>
        <v>NAVFAC FAR EAST HL5</v>
      </c>
      <c r="B5521" t="str">
        <f t="shared" si="2139"/>
        <v>PSC 476 BOX 66</v>
      </c>
      <c r="C5521" t="str">
        <f t="shared" si="2145"/>
        <v>NAVFACFE PWD SASEBO PRSDF</v>
      </c>
      <c r="D5521" t="str">
        <f t="shared" si="2141"/>
        <v>FPO</v>
      </c>
      <c r="E5521" t="str">
        <f t="shared" si="2142"/>
        <v>AP</v>
      </c>
      <c r="F5521" t="str">
        <f t="shared" si="2137"/>
        <v>963220001</v>
      </c>
      <c r="G5521" t="str">
        <f t="shared" si="2138"/>
        <v>PSC 476 BOX 66</v>
      </c>
      <c r="H5521" t="str">
        <f>T("NAVFACFE PWD SASEBO PRSDF")</f>
        <v>NAVFACFE PWD SASEBO PRSDF</v>
      </c>
      <c r="I5521" t="str">
        <f t="shared" si="2143"/>
        <v>FPO</v>
      </c>
      <c r="J5521" t="str">
        <f t="shared" si="2144"/>
        <v>AP</v>
      </c>
      <c r="K5521" t="str">
        <f>T("")</f>
        <v/>
      </c>
      <c r="L5521" t="str">
        <f>T("3152522657")</f>
        <v>3152522657</v>
      </c>
    </row>
    <row r="5522" spans="1:12" x14ac:dyDescent="0.35">
      <c r="A5522" t="str">
        <f t="shared" si="2140"/>
        <v>NAVFAC FAR EAST HL5</v>
      </c>
      <c r="B5522" t="str">
        <f t="shared" si="2139"/>
        <v>PSC 476 BOX 66</v>
      </c>
      <c r="C5522" t="str">
        <f t="shared" si="2145"/>
        <v>NAVFACFE PWD SASEBO PRSDF</v>
      </c>
      <c r="D5522" t="str">
        <f t="shared" si="2141"/>
        <v>FPO</v>
      </c>
      <c r="E5522" t="str">
        <f t="shared" si="2142"/>
        <v>AP</v>
      </c>
      <c r="F5522" t="str">
        <f t="shared" si="2137"/>
        <v>963220001</v>
      </c>
      <c r="G5522" t="str">
        <f t="shared" si="2138"/>
        <v>PSC 476 BOX 66</v>
      </c>
      <c r="H5522" t="str">
        <f>T("NO 4")</f>
        <v>NO 4</v>
      </c>
      <c r="I5522" t="str">
        <f t="shared" si="2143"/>
        <v>FPO</v>
      </c>
      <c r="J5522" t="str">
        <f t="shared" si="2144"/>
        <v>AP</v>
      </c>
      <c r="K5522" t="str">
        <f>T("01181956503728")</f>
        <v>01181956503728</v>
      </c>
      <c r="L5522" t="str">
        <f>T("1111111111")</f>
        <v>1111111111</v>
      </c>
    </row>
    <row r="5523" spans="1:12" x14ac:dyDescent="0.35">
      <c r="A5523" t="str">
        <f t="shared" si="2140"/>
        <v>NAVFAC FAR EAST HL5</v>
      </c>
      <c r="B5523" t="str">
        <f t="shared" ref="B5523:B5530" si="2146">T("PSC 477 BOX 15")</f>
        <v>PSC 477 BOX 15</v>
      </c>
      <c r="C5523" t="str">
        <f>T("NAVFACFE PWD ATSUGI PRA.A")</f>
        <v>NAVFACFE PWD ATSUGI PRA.A</v>
      </c>
      <c r="D5523" t="str">
        <f t="shared" si="2141"/>
        <v>FPO</v>
      </c>
      <c r="E5523" t="str">
        <f t="shared" si="2142"/>
        <v>AP</v>
      </c>
      <c r="F5523" t="str">
        <f t="shared" ref="F5523:F5530" si="2147">T("963060001")</f>
        <v>963060001</v>
      </c>
      <c r="G5523" t="str">
        <f t="shared" ref="G5523:G5530" si="2148">T("PSC 477 BOX 15")</f>
        <v>PSC 477 BOX 15</v>
      </c>
      <c r="H5523" t="str">
        <f>T("NAVFACFE PWD ATSUGI PRA.A")</f>
        <v>NAVFACFE PWD ATSUGI PRA.A</v>
      </c>
      <c r="I5523" t="str">
        <f t="shared" si="2143"/>
        <v>FPO</v>
      </c>
      <c r="J5523" t="str">
        <f t="shared" si="2144"/>
        <v>AP</v>
      </c>
      <c r="K5523" t="str">
        <f>T("01181467633146")</f>
        <v>01181467633146</v>
      </c>
      <c r="L5523" t="str">
        <f>T("1111111111")</f>
        <v>1111111111</v>
      </c>
    </row>
    <row r="5524" spans="1:12" x14ac:dyDescent="0.35">
      <c r="A5524" t="str">
        <f t="shared" si="2140"/>
        <v>NAVFAC FAR EAST HL5</v>
      </c>
      <c r="B5524" t="str">
        <f t="shared" si="2146"/>
        <v>PSC 477 BOX 15</v>
      </c>
      <c r="C5524" t="str">
        <f>T("NAVFACFE PWD ATSUGI PRA.A")</f>
        <v>NAVFACFE PWD ATSUGI PRA.A</v>
      </c>
      <c r="D5524" t="str">
        <f t="shared" si="2141"/>
        <v>FPO</v>
      </c>
      <c r="E5524" t="str">
        <f t="shared" si="2142"/>
        <v>AP</v>
      </c>
      <c r="F5524" t="str">
        <f t="shared" si="2147"/>
        <v>963060001</v>
      </c>
      <c r="G5524" t="str">
        <f t="shared" si="2148"/>
        <v>PSC 477 BOX 15</v>
      </c>
      <c r="H5524" t="str">
        <f>T("NAVFACFE PWD ATSUGI PRA21")</f>
        <v>NAVFACFE PWD ATSUGI PRA21</v>
      </c>
      <c r="I5524" t="str">
        <f t="shared" si="2143"/>
        <v>FPO</v>
      </c>
      <c r="J5524" t="str">
        <f t="shared" si="2144"/>
        <v>AP</v>
      </c>
      <c r="K5524" t="str">
        <f>T("000000000000000000")</f>
        <v>000000000000000000</v>
      </c>
      <c r="L5524" t="str">
        <f>T("3152643143")</f>
        <v>3152643143</v>
      </c>
    </row>
    <row r="5525" spans="1:12" x14ac:dyDescent="0.35">
      <c r="A5525" t="str">
        <f t="shared" si="2140"/>
        <v>NAVFAC FAR EAST HL5</v>
      </c>
      <c r="B5525" t="str">
        <f t="shared" si="2146"/>
        <v>PSC 477 BOX 15</v>
      </c>
      <c r="C5525" t="str">
        <f>T("NAVFACFE PWD ATSUGI PRA11")</f>
        <v>NAVFACFE PWD ATSUGI PRA11</v>
      </c>
      <c r="D5525" t="str">
        <f t="shared" si="2141"/>
        <v>FPO</v>
      </c>
      <c r="E5525" t="str">
        <f t="shared" si="2142"/>
        <v>AP</v>
      </c>
      <c r="F5525" t="str">
        <f t="shared" si="2147"/>
        <v>963060001</v>
      </c>
      <c r="G5525" t="str">
        <f t="shared" si="2148"/>
        <v>PSC 477 BOX 15</v>
      </c>
      <c r="H5525" t="str">
        <f>T("NAVFACFE PWD ATSUGI PRA11")</f>
        <v>NAVFACFE PWD ATSUGI PRA11</v>
      </c>
      <c r="I5525" t="str">
        <f t="shared" si="2143"/>
        <v>FPO</v>
      </c>
      <c r="J5525" t="str">
        <f t="shared" si="2144"/>
        <v>AP</v>
      </c>
      <c r="K5525" t="str">
        <f>T("")</f>
        <v/>
      </c>
      <c r="L5525" t="str">
        <f>T("1111111111")</f>
        <v>1111111111</v>
      </c>
    </row>
    <row r="5526" spans="1:12" x14ac:dyDescent="0.35">
      <c r="A5526" t="str">
        <f t="shared" si="2140"/>
        <v>NAVFAC FAR EAST HL5</v>
      </c>
      <c r="B5526" t="str">
        <f t="shared" si="2146"/>
        <v>PSC 477 BOX 15</v>
      </c>
      <c r="C5526" t="str">
        <f>T("NAVFACFE PWD ATSUGI PRA11")</f>
        <v>NAVFACFE PWD ATSUGI PRA11</v>
      </c>
      <c r="D5526" t="str">
        <f t="shared" si="2141"/>
        <v>FPO</v>
      </c>
      <c r="E5526" t="str">
        <f t="shared" si="2142"/>
        <v>AP</v>
      </c>
      <c r="F5526" t="str">
        <f t="shared" si="2147"/>
        <v>963060001</v>
      </c>
      <c r="G5526" t="str">
        <f t="shared" si="2148"/>
        <v>PSC 477 BOX 15</v>
      </c>
      <c r="H5526" t="str">
        <f>T("NAVFACFE PWD ATSUGI PRA113")</f>
        <v>NAVFACFE PWD ATSUGI PRA113</v>
      </c>
      <c r="I5526" t="str">
        <f t="shared" si="2143"/>
        <v>FPO</v>
      </c>
      <c r="J5526" t="str">
        <f t="shared" si="2144"/>
        <v>AP</v>
      </c>
      <c r="K5526" t="str">
        <f>T("")</f>
        <v/>
      </c>
      <c r="L5526" t="str">
        <f>T("3152642541")</f>
        <v>3152642541</v>
      </c>
    </row>
    <row r="5527" spans="1:12" x14ac:dyDescent="0.35">
      <c r="A5527" t="str">
        <f t="shared" si="2140"/>
        <v>NAVFAC FAR EAST HL5</v>
      </c>
      <c r="B5527" t="str">
        <f t="shared" si="2146"/>
        <v>PSC 477 BOX 15</v>
      </c>
      <c r="C5527" t="str">
        <f>T("NAVFACFE PWD ATSUGI PRA33")</f>
        <v>NAVFACFE PWD ATSUGI PRA33</v>
      </c>
      <c r="D5527" t="str">
        <f t="shared" si="2141"/>
        <v>FPO</v>
      </c>
      <c r="E5527" t="str">
        <f t="shared" si="2142"/>
        <v>AP</v>
      </c>
      <c r="F5527" t="str">
        <f t="shared" si="2147"/>
        <v>963060001</v>
      </c>
      <c r="G5527" t="str">
        <f t="shared" si="2148"/>
        <v>PSC 477 BOX 15</v>
      </c>
      <c r="H5527" t="str">
        <f>T("NAVFACFE PWD ATSUGI PRA33")</f>
        <v>NAVFACFE PWD ATSUGI PRA33</v>
      </c>
      <c r="I5527" t="str">
        <f t="shared" si="2143"/>
        <v>FPO</v>
      </c>
      <c r="J5527" t="str">
        <f t="shared" si="2144"/>
        <v>AP</v>
      </c>
      <c r="K5527" t="str">
        <f>T("")</f>
        <v/>
      </c>
      <c r="L5527" t="str">
        <f>T("1111111111")</f>
        <v>1111111111</v>
      </c>
    </row>
    <row r="5528" spans="1:12" x14ac:dyDescent="0.35">
      <c r="A5528" t="str">
        <f t="shared" si="2140"/>
        <v>NAVFAC FAR EAST HL5</v>
      </c>
      <c r="B5528" t="str">
        <f t="shared" si="2146"/>
        <v>PSC 477 BOX 15</v>
      </c>
      <c r="C5528" t="str">
        <f>T("NAVFACFE PWD ATSUGI PRA33")</f>
        <v>NAVFACFE PWD ATSUGI PRA33</v>
      </c>
      <c r="D5528" t="str">
        <f t="shared" si="2141"/>
        <v>FPO</v>
      </c>
      <c r="E5528" t="str">
        <f t="shared" si="2142"/>
        <v>AP</v>
      </c>
      <c r="F5528" t="str">
        <f t="shared" si="2147"/>
        <v>963060001</v>
      </c>
      <c r="G5528" t="str">
        <f t="shared" si="2148"/>
        <v>PSC 477 BOX 15</v>
      </c>
      <c r="H5528" t="str">
        <f>T("NAVFACFE PWD ATSUGI PRA33")</f>
        <v>NAVFACFE PWD ATSUGI PRA33</v>
      </c>
      <c r="I5528" t="str">
        <f t="shared" si="2143"/>
        <v>FPO</v>
      </c>
      <c r="J5528" t="str">
        <f t="shared" si="2144"/>
        <v>AP</v>
      </c>
      <c r="K5528" t="str">
        <f>T("01181467633142")</f>
        <v>01181467633142</v>
      </c>
      <c r="L5528" t="str">
        <f>T("1111111111")</f>
        <v>1111111111</v>
      </c>
    </row>
    <row r="5529" spans="1:12" x14ac:dyDescent="0.35">
      <c r="A5529" t="str">
        <f t="shared" si="2140"/>
        <v>NAVFAC FAR EAST HL5</v>
      </c>
      <c r="B5529" t="str">
        <f t="shared" si="2146"/>
        <v>PSC 477 BOX 15</v>
      </c>
      <c r="C5529" t="str">
        <f>T("NAVFACFE PWD ATSUGI PRY32")</f>
        <v>NAVFACFE PWD ATSUGI PRY32</v>
      </c>
      <c r="D5529" t="str">
        <f t="shared" si="2141"/>
        <v>FPO</v>
      </c>
      <c r="E5529" t="str">
        <f t="shared" si="2142"/>
        <v>AP</v>
      </c>
      <c r="F5529" t="str">
        <f t="shared" si="2147"/>
        <v>963060001</v>
      </c>
      <c r="G5529" t="str">
        <f t="shared" si="2148"/>
        <v>PSC 477 BOX 15</v>
      </c>
      <c r="H5529" t="str">
        <f>T("NAVFACFE PWD ATSUGI PRA32")</f>
        <v>NAVFACFE PWD ATSUGI PRA32</v>
      </c>
      <c r="I5529" t="str">
        <f t="shared" si="2143"/>
        <v>FPO</v>
      </c>
      <c r="J5529" t="str">
        <f t="shared" si="2144"/>
        <v>AP</v>
      </c>
      <c r="K5529" t="str">
        <f>T("000000000000000000")</f>
        <v>000000000000000000</v>
      </c>
      <c r="L5529" t="str">
        <f>T("1111111111")</f>
        <v>1111111111</v>
      </c>
    </row>
    <row r="5530" spans="1:12" x14ac:dyDescent="0.35">
      <c r="A5530" t="str">
        <f t="shared" si="2140"/>
        <v>NAVFAC FAR EAST HL5</v>
      </c>
      <c r="B5530" t="str">
        <f t="shared" si="2146"/>
        <v>PSC 477 BOX 15</v>
      </c>
      <c r="C5530" t="str">
        <f>T("NAVFACFE PWD ATSUGI PRY32")</f>
        <v>NAVFACFE PWD ATSUGI PRY32</v>
      </c>
      <c r="D5530" t="str">
        <f t="shared" si="2141"/>
        <v>FPO</v>
      </c>
      <c r="E5530" t="str">
        <f t="shared" si="2142"/>
        <v>AP</v>
      </c>
      <c r="F5530" t="str">
        <f t="shared" si="2147"/>
        <v>963060001</v>
      </c>
      <c r="G5530" t="str">
        <f t="shared" si="2148"/>
        <v>PSC 477 BOX 15</v>
      </c>
      <c r="H5530" t="str">
        <f>T("NAVFACFE PWD ATSUGI PRY32")</f>
        <v>NAVFACFE PWD ATSUGI PRY32</v>
      </c>
      <c r="I5530" t="str">
        <f t="shared" si="2143"/>
        <v>FPO</v>
      </c>
      <c r="J5530" t="str">
        <f t="shared" si="2144"/>
        <v>AP</v>
      </c>
      <c r="K5530" t="str">
        <f>T("")</f>
        <v/>
      </c>
      <c r="L5530" t="str">
        <f>T("1111111111")</f>
        <v>1111111111</v>
      </c>
    </row>
    <row r="5531" spans="1:12" x14ac:dyDescent="0.35">
      <c r="A5531" t="str">
        <f t="shared" si="2140"/>
        <v>NAVFAC FAR EAST HL5</v>
      </c>
      <c r="B5531" t="str">
        <f>T("PSC 479 BOX 259")</f>
        <v>PSC 479 BOX 259</v>
      </c>
      <c r="C5531" t="str">
        <f>T("")</f>
        <v/>
      </c>
      <c r="D5531" t="str">
        <f t="shared" si="2141"/>
        <v>FPO</v>
      </c>
      <c r="E5531" t="str">
        <f t="shared" si="2142"/>
        <v>AP</v>
      </c>
      <c r="F5531" t="str">
        <f>T("962690003")</f>
        <v>962690003</v>
      </c>
      <c r="G5531" t="str">
        <f>T("PSC 479")</f>
        <v>PSC 479</v>
      </c>
      <c r="H5531" t="str">
        <f>T("PUBLIC WORKS CHINHAE")</f>
        <v>PUBLIC WORKS CHINHAE</v>
      </c>
      <c r="I5531" t="str">
        <f t="shared" si="2143"/>
        <v>FPO</v>
      </c>
      <c r="J5531" t="str">
        <f t="shared" si="2144"/>
        <v>AP</v>
      </c>
      <c r="K5531" t="str">
        <f>T("000000000000000000")</f>
        <v>000000000000000000</v>
      </c>
      <c r="L5531" t="str">
        <f>T("1111111111")</f>
        <v>1111111111</v>
      </c>
    </row>
    <row r="5532" spans="1:12" x14ac:dyDescent="0.35">
      <c r="A5532" t="str">
        <f t="shared" si="2140"/>
        <v>NAVFAC FAR EAST HL5</v>
      </c>
      <c r="B5532" t="str">
        <f>T("PSC 479 BOX 259")</f>
        <v>PSC 479 BOX 259</v>
      </c>
      <c r="C5532" t="str">
        <f>T("")</f>
        <v/>
      </c>
      <c r="D5532" t="str">
        <f t="shared" si="2141"/>
        <v>FPO</v>
      </c>
      <c r="E5532" t="str">
        <f t="shared" si="2142"/>
        <v>AP</v>
      </c>
      <c r="F5532" t="str">
        <f>T("962690003")</f>
        <v>962690003</v>
      </c>
      <c r="G5532" t="str">
        <f>T("PSC 479 BOX 259")</f>
        <v>PSC 479 BOX 259</v>
      </c>
      <c r="H5532" t="str">
        <f>T("")</f>
        <v/>
      </c>
      <c r="I5532" t="str">
        <f t="shared" si="2143"/>
        <v>FPO</v>
      </c>
      <c r="J5532" t="str">
        <f t="shared" si="2144"/>
        <v>AP</v>
      </c>
      <c r="K5532" t="str">
        <f>T("")</f>
        <v/>
      </c>
      <c r="L5532" t="str">
        <f>T("3157625292")</f>
        <v>3157625292</v>
      </c>
    </row>
    <row r="5533" spans="1:12" x14ac:dyDescent="0.35">
      <c r="A5533" t="str">
        <f t="shared" si="2140"/>
        <v>NAVFAC FAR EAST HL5</v>
      </c>
      <c r="B5533" t="str">
        <f t="shared" ref="B5533:B5539" si="2149">T("PSC 480 BOX PWD")</f>
        <v>PSC 480 BOX PWD</v>
      </c>
      <c r="C5533" t="str">
        <f>T("NAVFACFE PWD ENV OKINAWA")</f>
        <v>NAVFACFE PWD ENV OKINAWA</v>
      </c>
      <c r="D5533" t="str">
        <f t="shared" si="2141"/>
        <v>FPO</v>
      </c>
      <c r="E5533" t="str">
        <f t="shared" si="2142"/>
        <v>AP</v>
      </c>
      <c r="F5533" t="str">
        <f t="shared" ref="F5533:F5539" si="2150">T("963700000")</f>
        <v>963700000</v>
      </c>
      <c r="G5533" t="str">
        <f>T("PSC 480 BOX PWD")</f>
        <v>PSC 480 BOX PWD</v>
      </c>
      <c r="H5533" t="str">
        <f>T("NAVFACFE PWD ENV OKINAWA")</f>
        <v>NAVFACFE PWD ENV OKINAWA</v>
      </c>
      <c r="I5533" t="str">
        <f t="shared" si="2143"/>
        <v>FPO</v>
      </c>
      <c r="J5533" t="str">
        <f t="shared" si="2144"/>
        <v>AP</v>
      </c>
      <c r="K5533" t="str">
        <f>T("")</f>
        <v/>
      </c>
      <c r="L5533" t="str">
        <f>T("1111111111")</f>
        <v>1111111111</v>
      </c>
    </row>
    <row r="5534" spans="1:12" x14ac:dyDescent="0.35">
      <c r="A5534" t="str">
        <f t="shared" si="2140"/>
        <v>NAVFAC FAR EAST HL5</v>
      </c>
      <c r="B5534" t="str">
        <f t="shared" si="2149"/>
        <v>PSC 480 BOX PWD</v>
      </c>
      <c r="C5534" t="str">
        <f>T("NAVFACFE PWD ENV OKINAWA")</f>
        <v>NAVFACFE PWD ENV OKINAWA</v>
      </c>
      <c r="D5534" t="str">
        <f t="shared" si="2141"/>
        <v>FPO</v>
      </c>
      <c r="E5534" t="str">
        <f t="shared" si="2142"/>
        <v>AP</v>
      </c>
      <c r="F5534" t="str">
        <f t="shared" si="2150"/>
        <v>963700000</v>
      </c>
      <c r="G5534" t="str">
        <f>T("PSC 480 BOX PWD")</f>
        <v>PSC 480 BOX PWD</v>
      </c>
      <c r="H5534" t="str">
        <f>T("PWD OKINAWA ENV DIV")</f>
        <v>PWD OKINAWA ENV DIV</v>
      </c>
      <c r="I5534" t="str">
        <f t="shared" si="2143"/>
        <v>FPO</v>
      </c>
      <c r="J5534" t="str">
        <f t="shared" si="2144"/>
        <v>AP</v>
      </c>
      <c r="K5534" t="str">
        <f>T("000000000000000000")</f>
        <v>000000000000000000</v>
      </c>
      <c r="L5534" t="str">
        <f>T("3156221391")</f>
        <v>3156221391</v>
      </c>
    </row>
    <row r="5535" spans="1:12" x14ac:dyDescent="0.35">
      <c r="A5535" t="str">
        <f t="shared" si="2140"/>
        <v>NAVFAC FAR EAST HL5</v>
      </c>
      <c r="B5535" t="str">
        <f t="shared" si="2149"/>
        <v>PSC 480 BOX PWD</v>
      </c>
      <c r="C5535" t="str">
        <f>T("NAVFACFE PWD OKINAWA PRR21")</f>
        <v>NAVFACFE PWD OKINAWA PRR21</v>
      </c>
      <c r="D5535" t="str">
        <f t="shared" si="2141"/>
        <v>FPO</v>
      </c>
      <c r="E5535" t="str">
        <f t="shared" si="2142"/>
        <v>AP</v>
      </c>
      <c r="F5535" t="str">
        <f t="shared" si="2150"/>
        <v>963700000</v>
      </c>
      <c r="G5535" t="str">
        <f>T("PSC 480 BOX 338")</f>
        <v>PSC 480 BOX 338</v>
      </c>
      <c r="H5535" t="str">
        <f>T("NAVFACFE PWD")</f>
        <v>NAVFACFE PWD</v>
      </c>
      <c r="I5535" t="str">
        <f t="shared" si="2143"/>
        <v>FPO</v>
      </c>
      <c r="J5535" t="str">
        <f t="shared" si="2144"/>
        <v>AP</v>
      </c>
      <c r="K5535" t="str">
        <f>T("000000000000000000")</f>
        <v>000000000000000000</v>
      </c>
      <c r="L5535" t="str">
        <f>T("3156348213")</f>
        <v>3156348213</v>
      </c>
    </row>
    <row r="5536" spans="1:12" x14ac:dyDescent="0.35">
      <c r="A5536" t="str">
        <f t="shared" si="2140"/>
        <v>NAVFAC FAR EAST HL5</v>
      </c>
      <c r="B5536" t="str">
        <f t="shared" si="2149"/>
        <v>PSC 480 BOX PWD</v>
      </c>
      <c r="C5536" t="str">
        <f>T("NAVFACFE PWD OKINAWA PRR21")</f>
        <v>NAVFACFE PWD OKINAWA PRR21</v>
      </c>
      <c r="D5536" t="str">
        <f t="shared" si="2141"/>
        <v>FPO</v>
      </c>
      <c r="E5536" t="str">
        <f t="shared" si="2142"/>
        <v>AP</v>
      </c>
      <c r="F5536" t="str">
        <f t="shared" si="2150"/>
        <v>963700000</v>
      </c>
      <c r="G5536" t="str">
        <f>T("PSC 480 BOX 778")</f>
        <v>PSC 480 BOX 778</v>
      </c>
      <c r="H5536" t="str">
        <f>T("NAVFAC FE")</f>
        <v>NAVFAC FE</v>
      </c>
      <c r="I5536" t="str">
        <f t="shared" si="2143"/>
        <v>FPO</v>
      </c>
      <c r="J5536" t="str">
        <f t="shared" si="2144"/>
        <v>AP</v>
      </c>
      <c r="K5536" t="str">
        <f>T("000000000000000000")</f>
        <v>000000000000000000</v>
      </c>
      <c r="L5536" t="str">
        <f>T("3156349628")</f>
        <v>3156349628</v>
      </c>
    </row>
    <row r="5537" spans="1:12" x14ac:dyDescent="0.35">
      <c r="A5537" t="str">
        <f t="shared" si="2140"/>
        <v>NAVFAC FAR EAST HL5</v>
      </c>
      <c r="B5537" t="str">
        <f t="shared" si="2149"/>
        <v>PSC 480 BOX PWD</v>
      </c>
      <c r="C5537" t="str">
        <f>T("NAVFACFE PWD OKINAWA PRR21")</f>
        <v>NAVFACFE PWD OKINAWA PRR21</v>
      </c>
      <c r="D5537" t="str">
        <f t="shared" si="2141"/>
        <v>FPO</v>
      </c>
      <c r="E5537" t="str">
        <f t="shared" si="2142"/>
        <v>AP</v>
      </c>
      <c r="F5537" t="str">
        <f t="shared" si="2150"/>
        <v>963700000</v>
      </c>
      <c r="G5537" t="str">
        <f>T("PSC 480 BOX 778")</f>
        <v>PSC 480 BOX 778</v>
      </c>
      <c r="H5537" t="str">
        <f>T("NAVFAC FE PWD")</f>
        <v>NAVFAC FE PWD</v>
      </c>
      <c r="I5537" t="str">
        <f t="shared" si="2143"/>
        <v>FPO</v>
      </c>
      <c r="J5537" t="str">
        <f t="shared" si="2144"/>
        <v>AP</v>
      </c>
      <c r="K5537" t="str">
        <f>T("000000000000000000")</f>
        <v>000000000000000000</v>
      </c>
      <c r="L5537" t="str">
        <f>T("3156349636")</f>
        <v>3156349636</v>
      </c>
    </row>
    <row r="5538" spans="1:12" x14ac:dyDescent="0.35">
      <c r="A5538" t="str">
        <f t="shared" si="2140"/>
        <v>NAVFAC FAR EAST HL5</v>
      </c>
      <c r="B5538" t="str">
        <f t="shared" si="2149"/>
        <v>PSC 480 BOX PWD</v>
      </c>
      <c r="C5538" t="str">
        <f>T("NAVFACFE PWD OKINAWA PRR21")</f>
        <v>NAVFACFE PWD OKINAWA PRR21</v>
      </c>
      <c r="D5538" t="str">
        <f t="shared" si="2141"/>
        <v>FPO</v>
      </c>
      <c r="E5538" t="str">
        <f t="shared" si="2142"/>
        <v>AP</v>
      </c>
      <c r="F5538" t="str">
        <f t="shared" si="2150"/>
        <v>963700000</v>
      </c>
      <c r="G5538" t="str">
        <f>T("PSC 480 BOX PWD")</f>
        <v>PSC 480 BOX PWD</v>
      </c>
      <c r="H5538" t="str">
        <f>T("NAVFACFE PWD OKINAWA PRR21")</f>
        <v>NAVFACFE PWD OKINAWA PRR21</v>
      </c>
      <c r="I5538" t="str">
        <f t="shared" si="2143"/>
        <v>FPO</v>
      </c>
      <c r="J5538" t="str">
        <f t="shared" si="2144"/>
        <v>AP</v>
      </c>
      <c r="K5538" t="str">
        <f>T("")</f>
        <v/>
      </c>
      <c r="L5538" t="str">
        <f>T("1111111111")</f>
        <v>1111111111</v>
      </c>
    </row>
    <row r="5539" spans="1:12" x14ac:dyDescent="0.35">
      <c r="A5539" t="str">
        <f t="shared" si="2140"/>
        <v>NAVFAC FAR EAST HL5</v>
      </c>
      <c r="B5539" t="str">
        <f t="shared" si="2149"/>
        <v>PSC 480 BOX PWD</v>
      </c>
      <c r="C5539" t="str">
        <f>T("NAVFACFE PWD OKINAWA PRR21")</f>
        <v>NAVFACFE PWD OKINAWA PRR21</v>
      </c>
      <c r="D5539" t="str">
        <f t="shared" si="2141"/>
        <v>FPO</v>
      </c>
      <c r="E5539" t="str">
        <f t="shared" si="2142"/>
        <v>AP</v>
      </c>
      <c r="F5539" t="str">
        <f t="shared" si="2150"/>
        <v>963700000</v>
      </c>
      <c r="G5539" t="str">
        <f>T("PSC 480 BOX PWD")</f>
        <v>PSC 480 BOX PWD</v>
      </c>
      <c r="H5539" t="str">
        <f>T("PWD OKINAWA")</f>
        <v>PWD OKINAWA</v>
      </c>
      <c r="I5539" t="str">
        <f t="shared" si="2143"/>
        <v>FPO</v>
      </c>
      <c r="J5539" t="str">
        <f t="shared" si="2144"/>
        <v>AP</v>
      </c>
      <c r="K5539" t="str">
        <f>T("3156348224")</f>
        <v>3156348224</v>
      </c>
      <c r="L5539" t="str">
        <f>T("3156340690")</f>
        <v>3156340690</v>
      </c>
    </row>
    <row r="5540" spans="1:12" x14ac:dyDescent="0.35">
      <c r="A5540" t="str">
        <f t="shared" si="2140"/>
        <v>NAVFAC FAR EAST HL5</v>
      </c>
      <c r="B5540" t="str">
        <f>T("PSC 561 BOX 1871")</f>
        <v>PSC 561 BOX 1871</v>
      </c>
      <c r="C5540" t="str">
        <f>T("")</f>
        <v/>
      </c>
      <c r="D5540" t="str">
        <f t="shared" si="2141"/>
        <v>FPO</v>
      </c>
      <c r="E5540" t="str">
        <f t="shared" si="2142"/>
        <v>AP</v>
      </c>
      <c r="F5540" t="str">
        <f>T("963100019")</f>
        <v>963100019</v>
      </c>
      <c r="G5540" t="str">
        <f>T("PSC 561 BOX 1871")</f>
        <v>PSC 561 BOX 1871</v>
      </c>
      <c r="H5540" t="str">
        <f>T("")</f>
        <v/>
      </c>
      <c r="I5540" t="str">
        <f t="shared" si="2143"/>
        <v>FPO</v>
      </c>
      <c r="J5540" t="str">
        <f t="shared" si="2144"/>
        <v>AP</v>
      </c>
      <c r="K5540" t="str">
        <f>T("000000000000000000")</f>
        <v>000000000000000000</v>
      </c>
      <c r="L5540" t="str">
        <f>T("3152535084")</f>
        <v>3152535084</v>
      </c>
    </row>
    <row r="5541" spans="1:12" x14ac:dyDescent="0.35">
      <c r="A5541" t="str">
        <f t="shared" si="2140"/>
        <v>NAVFAC FAR EAST HL5</v>
      </c>
      <c r="B5541" t="str">
        <f>T("PSC 561 BOX 1871")</f>
        <v>PSC 561 BOX 1871</v>
      </c>
      <c r="C5541" t="str">
        <f>T("")</f>
        <v/>
      </c>
      <c r="D5541" t="str">
        <f t="shared" si="2141"/>
        <v>FPO</v>
      </c>
      <c r="E5541" t="str">
        <f t="shared" si="2142"/>
        <v>AP</v>
      </c>
      <c r="F5541" t="str">
        <f>T("963100019")</f>
        <v>963100019</v>
      </c>
      <c r="G5541" t="str">
        <f>T("PSC 561 BOX 1871")</f>
        <v>PSC 561 BOX 1871</v>
      </c>
      <c r="H5541" t="str">
        <f>T("")</f>
        <v/>
      </c>
      <c r="I5541" t="str">
        <f t="shared" si="2143"/>
        <v>FPO</v>
      </c>
      <c r="J5541" t="str">
        <f t="shared" si="2144"/>
        <v>AP</v>
      </c>
      <c r="K5541" t="str">
        <f>T("000000000000000000")</f>
        <v>000000000000000000</v>
      </c>
      <c r="L5541" t="str">
        <f>T("3152536243")</f>
        <v>3152536243</v>
      </c>
    </row>
    <row r="5542" spans="1:12" x14ac:dyDescent="0.35">
      <c r="A5542" t="str">
        <f t="shared" si="2140"/>
        <v>NAVFAC FAR EAST HL5</v>
      </c>
      <c r="B5542" t="str">
        <f>T("PSC 76 UNIT 5048")</f>
        <v>PSC 76 UNIT 5048</v>
      </c>
      <c r="C5542" t="str">
        <f>T("NAF MISAWA")</f>
        <v>NAF MISAWA</v>
      </c>
      <c r="D5542" t="str">
        <f>T("APO")</f>
        <v>APO</v>
      </c>
      <c r="E5542" t="str">
        <f t="shared" si="2142"/>
        <v>AP</v>
      </c>
      <c r="F5542" t="str">
        <f>T("963199998")</f>
        <v>963199998</v>
      </c>
      <c r="G5542" t="str">
        <f>T("BLDG 980 UNIT 5050")</f>
        <v>BLDG 980 UNIT 5050</v>
      </c>
      <c r="H5542" t="str">
        <f>T("NAVSUP FLCY MISAWA")</f>
        <v>NAVSUP FLCY MISAWA</v>
      </c>
      <c r="I5542" t="str">
        <f>T("APO")</f>
        <v>APO</v>
      </c>
      <c r="J5542" t="str">
        <f t="shared" si="2144"/>
        <v>AP</v>
      </c>
      <c r="K5542" t="str">
        <f>T("011813117662493")</f>
        <v>011813117662493</v>
      </c>
      <c r="L5542" t="str">
        <f>T("1111111111")</f>
        <v>1111111111</v>
      </c>
    </row>
    <row r="5543" spans="1:12" x14ac:dyDescent="0.35">
      <c r="A5543" t="str">
        <f t="shared" si="2140"/>
        <v>NAVFAC FAR EAST HL5</v>
      </c>
      <c r="B5543" t="str">
        <f>T("PSC 76 UNIT 5048")</f>
        <v>PSC 76 UNIT 5048</v>
      </c>
      <c r="C5543" t="str">
        <f>T("NAF MISAWA")</f>
        <v>NAF MISAWA</v>
      </c>
      <c r="D5543" t="str">
        <f>T("APO")</f>
        <v>APO</v>
      </c>
      <c r="E5543" t="str">
        <f t="shared" si="2142"/>
        <v>AP</v>
      </c>
      <c r="F5543" t="str">
        <f>T("963199998")</f>
        <v>963199998</v>
      </c>
      <c r="G5543" t="str">
        <f>T("PSC 76 UNIT 5048")</f>
        <v>PSC 76 UNIT 5048</v>
      </c>
      <c r="H5543" t="str">
        <f>T("NAF MISAWA")</f>
        <v>NAF MISAWA</v>
      </c>
      <c r="I5543" t="str">
        <f>T("APO")</f>
        <v>APO</v>
      </c>
      <c r="J5543" t="str">
        <f t="shared" si="2144"/>
        <v>AP</v>
      </c>
      <c r="K5543" t="str">
        <f>T("")</f>
        <v/>
      </c>
      <c r="L5543" t="str">
        <f>T("3152263208")</f>
        <v>3152263208</v>
      </c>
    </row>
    <row r="5544" spans="1:12" x14ac:dyDescent="0.35">
      <c r="A5544" t="str">
        <f t="shared" si="2140"/>
        <v>NAVFAC FAR EAST HL5</v>
      </c>
      <c r="B5544" t="str">
        <f>T("UNIT 35006")</f>
        <v>UNIT 35006</v>
      </c>
      <c r="C5544" t="str">
        <f>T("NAVFAC FE FEAD CAMP BUTLER")</f>
        <v>NAVFAC FE FEAD CAMP BUTLER</v>
      </c>
      <c r="D5544" t="str">
        <f>T("FPO")</f>
        <v>FPO</v>
      </c>
      <c r="E5544" t="str">
        <f t="shared" si="2142"/>
        <v>AP</v>
      </c>
      <c r="F5544" t="str">
        <f>T("963735006")</f>
        <v>963735006</v>
      </c>
      <c r="G5544" t="str">
        <f>T("UNIT 35006")</f>
        <v>UNIT 35006</v>
      </c>
      <c r="H5544" t="str">
        <f>T("NAVFAC FE FEAD CAMP BUTLER")</f>
        <v>NAVFAC FE FEAD CAMP BUTLER</v>
      </c>
      <c r="I5544" t="str">
        <f>T("FPO")</f>
        <v>FPO</v>
      </c>
      <c r="J5544" t="str">
        <f t="shared" si="2144"/>
        <v>AP</v>
      </c>
      <c r="K5544" t="str">
        <f>T("000000000000000000")</f>
        <v>000000000000000000</v>
      </c>
      <c r="L5544" t="str">
        <f>T("3156453795")</f>
        <v>3156453795</v>
      </c>
    </row>
    <row r="5545" spans="1:12" x14ac:dyDescent="0.35">
      <c r="A5545" t="str">
        <f t="shared" si="2140"/>
        <v>NAVFAC FAR EAST HL5</v>
      </c>
      <c r="B5545" t="str">
        <f>T("UNIT 35006")</f>
        <v>UNIT 35006</v>
      </c>
      <c r="C5545" t="str">
        <f>T("NAVFAC FE FEAD CAMP BUTLER")</f>
        <v>NAVFAC FE FEAD CAMP BUTLER</v>
      </c>
      <c r="D5545" t="str">
        <f>T("FPO")</f>
        <v>FPO</v>
      </c>
      <c r="E5545" t="str">
        <f t="shared" si="2142"/>
        <v>AP</v>
      </c>
      <c r="F5545" t="str">
        <f>T("963735006")</f>
        <v>963735006</v>
      </c>
      <c r="G5545" t="str">
        <f>T("UNIT 35006")</f>
        <v>UNIT 35006</v>
      </c>
      <c r="H5545" t="str">
        <f>T("NAVFAC FE FEAD CAMP BUTLER")</f>
        <v>NAVFAC FE FEAD CAMP BUTLER</v>
      </c>
      <c r="I5545" t="str">
        <f>T("FPO")</f>
        <v>FPO</v>
      </c>
      <c r="J5545" t="str">
        <f t="shared" si="2144"/>
        <v>AP</v>
      </c>
      <c r="K5545" t="str">
        <f>T("000000000000000000")</f>
        <v>000000000000000000</v>
      </c>
      <c r="L5545" t="str">
        <f>T("3156454181")</f>
        <v>3156454181</v>
      </c>
    </row>
    <row r="5546" spans="1:12" x14ac:dyDescent="0.35">
      <c r="A5546" t="str">
        <f t="shared" si="2140"/>
        <v>NAVFAC FAR EAST HL5</v>
      </c>
      <c r="B5546" t="str">
        <f>T("UNIT 5050")</f>
        <v>UNIT 5050</v>
      </c>
      <c r="C5546" t="str">
        <f>T("NAVFAC FE PRM4")</f>
        <v>NAVFAC FE PRM4</v>
      </c>
      <c r="D5546" t="str">
        <f t="shared" ref="D5546:D5552" si="2151">T("APO")</f>
        <v>APO</v>
      </c>
      <c r="E5546" t="str">
        <f t="shared" si="2142"/>
        <v>AP</v>
      </c>
      <c r="F5546" t="str">
        <f>T("963195050")</f>
        <v>963195050</v>
      </c>
      <c r="G5546" t="str">
        <f>T("UNIT 5050")</f>
        <v>UNIT 5050</v>
      </c>
      <c r="H5546" t="str">
        <f>T("NAVFAC FE PRM4")</f>
        <v>NAVFAC FE PRM4</v>
      </c>
      <c r="I5546" t="str">
        <f t="shared" ref="I5546:I5552" si="2152">T("APO")</f>
        <v>APO</v>
      </c>
      <c r="J5546" t="str">
        <f t="shared" si="2144"/>
        <v>AP</v>
      </c>
      <c r="K5546" t="str">
        <f>T("")</f>
        <v/>
      </c>
      <c r="L5546" t="str">
        <f>T("3152262497")</f>
        <v>3152262497</v>
      </c>
    </row>
    <row r="5547" spans="1:12" x14ac:dyDescent="0.35">
      <c r="A5547" t="str">
        <f t="shared" si="2140"/>
        <v>NAVFAC FAR EAST HL5</v>
      </c>
      <c r="B5547" t="str">
        <f>T("UNIT 5050")</f>
        <v>UNIT 5050</v>
      </c>
      <c r="C5547" t="str">
        <f>T("NAVFAC FE PRM4")</f>
        <v>NAVFAC FE PRM4</v>
      </c>
      <c r="D5547" t="str">
        <f t="shared" si="2151"/>
        <v>APO</v>
      </c>
      <c r="E5547" t="str">
        <f t="shared" ref="E5547:E5577" si="2153">T("AP")</f>
        <v>AP</v>
      </c>
      <c r="F5547" t="str">
        <f>T("963195050")</f>
        <v>963195050</v>
      </c>
      <c r="G5547" t="str">
        <f>T("UNIT 5050")</f>
        <v>UNIT 5050</v>
      </c>
      <c r="H5547" t="str">
        <f>T("NAVFACFE PWD MISAWA PRM4A")</f>
        <v>NAVFACFE PWD MISAWA PRM4A</v>
      </c>
      <c r="I5547" t="str">
        <f t="shared" si="2152"/>
        <v>APO</v>
      </c>
      <c r="J5547" t="str">
        <f t="shared" ref="J5547:J5577" si="2154">T("AP")</f>
        <v>AP</v>
      </c>
      <c r="K5547" t="str">
        <f>T("3152262493")</f>
        <v>3152262493</v>
      </c>
      <c r="L5547" t="str">
        <f>T("3152262249")</f>
        <v>3152262249</v>
      </c>
    </row>
    <row r="5548" spans="1:12" x14ac:dyDescent="0.35">
      <c r="A5548" t="str">
        <f t="shared" ref="A5548:A5577" si="2155">T("NAVFAC MARIANAS HL5")</f>
        <v>NAVFAC MARIANAS HL5</v>
      </c>
      <c r="B5548" t="str">
        <f>T("36 CES CEC")</f>
        <v>36 CES CEC</v>
      </c>
      <c r="C5548" t="str">
        <f>T("UNIT 14007")</f>
        <v>UNIT 14007</v>
      </c>
      <c r="D5548" t="str">
        <f t="shared" si="2151"/>
        <v>APO</v>
      </c>
      <c r="E5548" t="str">
        <f t="shared" si="2153"/>
        <v>AP</v>
      </c>
      <c r="F5548" t="str">
        <f>T("965434007")</f>
        <v>965434007</v>
      </c>
      <c r="G5548" t="str">
        <f>T("36 CES CEC")</f>
        <v>36 CES CEC</v>
      </c>
      <c r="H5548" t="str">
        <f>T("UNIT 14007")</f>
        <v>UNIT 14007</v>
      </c>
      <c r="I5548" t="str">
        <f t="shared" si="2152"/>
        <v>APO</v>
      </c>
      <c r="J5548" t="str">
        <f t="shared" si="2154"/>
        <v>AP</v>
      </c>
      <c r="K5548" t="str">
        <f>T("000000000000000000")</f>
        <v>000000000000000000</v>
      </c>
      <c r="L5548" t="str">
        <f>T("6713662530")</f>
        <v>6713662530</v>
      </c>
    </row>
    <row r="5549" spans="1:12" x14ac:dyDescent="0.35">
      <c r="A5549" t="str">
        <f t="shared" si="2155"/>
        <v>NAVFAC MARIANAS HL5</v>
      </c>
      <c r="B5549" t="str">
        <f>T("36 CES CEC")</f>
        <v>36 CES CEC</v>
      </c>
      <c r="C5549" t="str">
        <f>T("UNIT 14007")</f>
        <v>UNIT 14007</v>
      </c>
      <c r="D5549" t="str">
        <f t="shared" si="2151"/>
        <v>APO</v>
      </c>
      <c r="E5549" t="str">
        <f t="shared" si="2153"/>
        <v>AP</v>
      </c>
      <c r="F5549" t="str">
        <f>T("965434007")</f>
        <v>965434007</v>
      </c>
      <c r="G5549" t="str">
        <f>T("UNIT 14007")</f>
        <v>UNIT 14007</v>
      </c>
      <c r="H5549" t="str">
        <f>T("")</f>
        <v/>
      </c>
      <c r="I5549" t="str">
        <f t="shared" si="2152"/>
        <v>APO</v>
      </c>
      <c r="J5549" t="str">
        <f t="shared" si="2154"/>
        <v>AP</v>
      </c>
      <c r="K5549" t="str">
        <f>T("6713661179")</f>
        <v>6713661179</v>
      </c>
      <c r="L5549" t="str">
        <f>T("6713662543")</f>
        <v>6713662543</v>
      </c>
    </row>
    <row r="5550" spans="1:12" x14ac:dyDescent="0.35">
      <c r="A5550" t="str">
        <f t="shared" si="2155"/>
        <v>NAVFAC MARIANAS HL5</v>
      </c>
      <c r="B5550" t="str">
        <f>T("36 CES CEC")</f>
        <v>36 CES CEC</v>
      </c>
      <c r="C5550" t="str">
        <f>T("UNIT 14007")</f>
        <v>UNIT 14007</v>
      </c>
      <c r="D5550" t="str">
        <f t="shared" si="2151"/>
        <v>APO</v>
      </c>
      <c r="E5550" t="str">
        <f t="shared" si="2153"/>
        <v>AP</v>
      </c>
      <c r="F5550" t="str">
        <f>T("965434007")</f>
        <v>965434007</v>
      </c>
      <c r="G5550" t="str">
        <f>T("UNIT 14007")</f>
        <v>UNIT 14007</v>
      </c>
      <c r="H5550" t="str">
        <f>T("")</f>
        <v/>
      </c>
      <c r="I5550" t="str">
        <f t="shared" si="2152"/>
        <v>APO</v>
      </c>
      <c r="J5550" t="str">
        <f t="shared" si="2154"/>
        <v>AP</v>
      </c>
      <c r="K5550" t="str">
        <f>T("6713661179")</f>
        <v>6713661179</v>
      </c>
      <c r="L5550" t="str">
        <f>T("6713667104")</f>
        <v>6713667104</v>
      </c>
    </row>
    <row r="5551" spans="1:12" x14ac:dyDescent="0.35">
      <c r="A5551" t="str">
        <f t="shared" si="2155"/>
        <v>NAVFAC MARIANAS HL5</v>
      </c>
      <c r="B5551" t="str">
        <f>T("NAVFACMAR/36 CES-CERU")</f>
        <v>NAVFACMAR/36 CES-CERU</v>
      </c>
      <c r="C5551" t="str">
        <f>T("UNIT 14007")</f>
        <v>UNIT 14007</v>
      </c>
      <c r="D5551" t="str">
        <f t="shared" si="2151"/>
        <v>APO</v>
      </c>
      <c r="E5551" t="str">
        <f t="shared" si="2153"/>
        <v>AP</v>
      </c>
      <c r="F5551" t="str">
        <f>T("965434007")</f>
        <v>965434007</v>
      </c>
      <c r="G5551" t="str">
        <f>T("36 CES")</f>
        <v>36 CES</v>
      </c>
      <c r="H5551" t="str">
        <f>T("UNIT 14007 B-18001")</f>
        <v>UNIT 14007 B-18001</v>
      </c>
      <c r="I5551" t="str">
        <f t="shared" si="2152"/>
        <v>APO</v>
      </c>
      <c r="J5551" t="str">
        <f t="shared" si="2154"/>
        <v>AP</v>
      </c>
      <c r="K5551" t="str">
        <f>T("000000000000000000")</f>
        <v>000000000000000000</v>
      </c>
      <c r="L5551" t="str">
        <f>T("6713662908")</f>
        <v>6713662908</v>
      </c>
    </row>
    <row r="5552" spans="1:12" x14ac:dyDescent="0.35">
      <c r="A5552" t="str">
        <f t="shared" si="2155"/>
        <v>NAVFAC MARIANAS HL5</v>
      </c>
      <c r="B5552" t="str">
        <f>T("NAVFACMAR/36 CES-CERU")</f>
        <v>NAVFACMAR/36 CES-CERU</v>
      </c>
      <c r="C5552" t="str">
        <f>T("UNIT 14007")</f>
        <v>UNIT 14007</v>
      </c>
      <c r="D5552" t="str">
        <f t="shared" si="2151"/>
        <v>APO</v>
      </c>
      <c r="E5552" t="str">
        <f t="shared" si="2153"/>
        <v>AP</v>
      </c>
      <c r="F5552" t="str">
        <f>T("965434007")</f>
        <v>965434007</v>
      </c>
      <c r="G5552" t="str">
        <f>T("NAVFACMAR/36 CES-CERU")</f>
        <v>NAVFACMAR/36 CES-CERU</v>
      </c>
      <c r="H5552" t="str">
        <f>T("UNIT 14007")</f>
        <v>UNIT 14007</v>
      </c>
      <c r="I5552" t="str">
        <f t="shared" si="2152"/>
        <v>APO</v>
      </c>
      <c r="J5552" t="str">
        <f t="shared" si="2154"/>
        <v>AP</v>
      </c>
      <c r="K5552" t="str">
        <f>T("")</f>
        <v/>
      </c>
      <c r="L5552" t="str">
        <f>T("6713661980")</f>
        <v>6713661980</v>
      </c>
    </row>
    <row r="5553" spans="1:12" x14ac:dyDescent="0.35">
      <c r="A5553" t="str">
        <f t="shared" si="2155"/>
        <v>NAVFAC MARIANAS HL5</v>
      </c>
      <c r="B5553" t="str">
        <f t="shared" ref="B5553:B5559" si="2156">T("PSC 455 BOX 152")</f>
        <v>PSC 455 BOX 152</v>
      </c>
      <c r="C5553" t="str">
        <f t="shared" ref="C5553:C5577" si="2157">T("")</f>
        <v/>
      </c>
      <c r="D5553" t="str">
        <f t="shared" ref="D5553:D5577" si="2158">T("FPO")</f>
        <v>FPO</v>
      </c>
      <c r="E5553" t="str">
        <f t="shared" si="2153"/>
        <v>AP</v>
      </c>
      <c r="F5553" t="str">
        <f t="shared" ref="F5553:F5570" si="2159">T("965400002")</f>
        <v>965400002</v>
      </c>
      <c r="G5553" t="str">
        <f>T("PSC 455")</f>
        <v>PSC 455</v>
      </c>
      <c r="H5553" t="str">
        <f>T("BOX 195")</f>
        <v>BOX 195</v>
      </c>
      <c r="I5553" t="str">
        <f t="shared" ref="I5553:I5558" si="2160">T("FPO")</f>
        <v>FPO</v>
      </c>
      <c r="J5553" t="str">
        <f t="shared" si="2154"/>
        <v>AP</v>
      </c>
      <c r="K5553" t="str">
        <f t="shared" ref="K5553:K5559" si="2161">T("000000000000000000")</f>
        <v>000000000000000000</v>
      </c>
      <c r="L5553" t="str">
        <f>T("6713398188")</f>
        <v>6713398188</v>
      </c>
    </row>
    <row r="5554" spans="1:12" x14ac:dyDescent="0.35">
      <c r="A5554" t="str">
        <f t="shared" si="2155"/>
        <v>NAVFAC MARIANAS HL5</v>
      </c>
      <c r="B5554" t="str">
        <f t="shared" si="2156"/>
        <v>PSC 455 BOX 152</v>
      </c>
      <c r="C5554" t="str">
        <f t="shared" si="2157"/>
        <v/>
      </c>
      <c r="D5554" t="str">
        <f t="shared" si="2158"/>
        <v>FPO</v>
      </c>
      <c r="E5554" t="str">
        <f t="shared" si="2153"/>
        <v>AP</v>
      </c>
      <c r="F5554" t="str">
        <f t="shared" si="2159"/>
        <v>965400002</v>
      </c>
      <c r="G5554" t="str">
        <f>T("PSC 455")</f>
        <v>PSC 455</v>
      </c>
      <c r="H5554" t="str">
        <f>T("BOX 195")</f>
        <v>BOX 195</v>
      </c>
      <c r="I5554" t="str">
        <f t="shared" si="2160"/>
        <v>FPO</v>
      </c>
      <c r="J5554" t="str">
        <f t="shared" si="2154"/>
        <v>AP</v>
      </c>
      <c r="K5554" t="str">
        <f t="shared" si="2161"/>
        <v>000000000000000000</v>
      </c>
      <c r="L5554" t="str">
        <f>T("6713663273")</f>
        <v>6713663273</v>
      </c>
    </row>
    <row r="5555" spans="1:12" x14ac:dyDescent="0.35">
      <c r="A5555" t="str">
        <f t="shared" si="2155"/>
        <v>NAVFAC MARIANAS HL5</v>
      </c>
      <c r="B5555" t="str">
        <f t="shared" si="2156"/>
        <v>PSC 455 BOX 152</v>
      </c>
      <c r="C5555" t="str">
        <f t="shared" si="2157"/>
        <v/>
      </c>
      <c r="D5555" t="str">
        <f t="shared" si="2158"/>
        <v>FPO</v>
      </c>
      <c r="E5555" t="str">
        <f t="shared" si="2153"/>
        <v>AP</v>
      </c>
      <c r="F5555" t="str">
        <f t="shared" si="2159"/>
        <v>965400002</v>
      </c>
      <c r="G5555" t="str">
        <f>T("PSC 455 BOX 152")</f>
        <v>PSC 455 BOX 152</v>
      </c>
      <c r="H5555" t="str">
        <f t="shared" ref="H5555:H5570" si="2162">T("")</f>
        <v/>
      </c>
      <c r="I5555" t="str">
        <f t="shared" si="2160"/>
        <v>FPO</v>
      </c>
      <c r="J5555" t="str">
        <f t="shared" si="2154"/>
        <v>AP</v>
      </c>
      <c r="K5555" t="str">
        <f t="shared" si="2161"/>
        <v>000000000000000000</v>
      </c>
      <c r="L5555" t="str">
        <f>T("6713393803")</f>
        <v>6713393803</v>
      </c>
    </row>
    <row r="5556" spans="1:12" x14ac:dyDescent="0.35">
      <c r="A5556" t="str">
        <f t="shared" si="2155"/>
        <v>NAVFAC MARIANAS HL5</v>
      </c>
      <c r="B5556" t="str">
        <f t="shared" si="2156"/>
        <v>PSC 455 BOX 152</v>
      </c>
      <c r="C5556" t="str">
        <f t="shared" si="2157"/>
        <v/>
      </c>
      <c r="D5556" t="str">
        <f t="shared" si="2158"/>
        <v>FPO</v>
      </c>
      <c r="E5556" t="str">
        <f t="shared" si="2153"/>
        <v>AP</v>
      </c>
      <c r="F5556" t="str">
        <f t="shared" si="2159"/>
        <v>965400002</v>
      </c>
      <c r="G5556" t="str">
        <f>T("PSC 455 BOX 152")</f>
        <v>PSC 455 BOX 152</v>
      </c>
      <c r="H5556" t="str">
        <f t="shared" si="2162"/>
        <v/>
      </c>
      <c r="I5556" t="str">
        <f t="shared" si="2160"/>
        <v>FPO</v>
      </c>
      <c r="J5556" t="str">
        <f t="shared" si="2154"/>
        <v>AP</v>
      </c>
      <c r="K5556" t="str">
        <f t="shared" si="2161"/>
        <v>000000000000000000</v>
      </c>
      <c r="L5556" t="str">
        <f>T("6713624743")</f>
        <v>6713624743</v>
      </c>
    </row>
    <row r="5557" spans="1:12" x14ac:dyDescent="0.35">
      <c r="A5557" t="str">
        <f t="shared" si="2155"/>
        <v>NAVFAC MARIANAS HL5</v>
      </c>
      <c r="B5557" t="str">
        <f t="shared" si="2156"/>
        <v>PSC 455 BOX 152</v>
      </c>
      <c r="C5557" t="str">
        <f t="shared" si="2157"/>
        <v/>
      </c>
      <c r="D5557" t="str">
        <f t="shared" si="2158"/>
        <v>FPO</v>
      </c>
      <c r="E5557" t="str">
        <f t="shared" si="2153"/>
        <v>AP</v>
      </c>
      <c r="F5557" t="str">
        <f t="shared" si="2159"/>
        <v>965400002</v>
      </c>
      <c r="G5557" t="str">
        <f>T("PSC 455 BOX 195")</f>
        <v>PSC 455 BOX 195</v>
      </c>
      <c r="H5557" t="str">
        <f t="shared" si="2162"/>
        <v/>
      </c>
      <c r="I5557" t="str">
        <f t="shared" si="2160"/>
        <v>FPO</v>
      </c>
      <c r="J5557" t="str">
        <f t="shared" si="2154"/>
        <v>AP</v>
      </c>
      <c r="K5557" t="str">
        <f t="shared" si="2161"/>
        <v>000000000000000000</v>
      </c>
      <c r="L5557" t="str">
        <f>T("6713663244")</f>
        <v>6713663244</v>
      </c>
    </row>
    <row r="5558" spans="1:12" x14ac:dyDescent="0.35">
      <c r="A5558" t="str">
        <f t="shared" si="2155"/>
        <v>NAVFAC MARIANAS HL5</v>
      </c>
      <c r="B5558" t="str">
        <f t="shared" si="2156"/>
        <v>PSC 455 BOX 152</v>
      </c>
      <c r="C5558" t="str">
        <f t="shared" si="2157"/>
        <v/>
      </c>
      <c r="D5558" t="str">
        <f t="shared" si="2158"/>
        <v>FPO</v>
      </c>
      <c r="E5558" t="str">
        <f t="shared" si="2153"/>
        <v>AP</v>
      </c>
      <c r="F5558" t="str">
        <f t="shared" si="2159"/>
        <v>965400002</v>
      </c>
      <c r="G5558" t="str">
        <f>T("PSC 455 BOX 195")</f>
        <v>PSC 455 BOX 195</v>
      </c>
      <c r="H5558" t="str">
        <f t="shared" si="2162"/>
        <v/>
      </c>
      <c r="I5558" t="str">
        <f t="shared" si="2160"/>
        <v>FPO</v>
      </c>
      <c r="J5558" t="str">
        <f t="shared" si="2154"/>
        <v>AP</v>
      </c>
      <c r="K5558" t="str">
        <f t="shared" si="2161"/>
        <v>000000000000000000</v>
      </c>
      <c r="L5558" t="str">
        <f>T("6713664149")</f>
        <v>6713664149</v>
      </c>
    </row>
    <row r="5559" spans="1:12" x14ac:dyDescent="0.35">
      <c r="A5559" t="str">
        <f t="shared" si="2155"/>
        <v>NAVFAC MARIANAS HL5</v>
      </c>
      <c r="B5559" t="str">
        <f t="shared" si="2156"/>
        <v>PSC 455 BOX 152</v>
      </c>
      <c r="C5559" t="str">
        <f t="shared" si="2157"/>
        <v/>
      </c>
      <c r="D5559" t="str">
        <f t="shared" si="2158"/>
        <v>FPO</v>
      </c>
      <c r="E5559" t="str">
        <f t="shared" si="2153"/>
        <v>AP</v>
      </c>
      <c r="F5559" t="str">
        <f t="shared" si="2159"/>
        <v>965400002</v>
      </c>
      <c r="G5559" t="str">
        <f>T("UNIT 14007")</f>
        <v>UNIT 14007</v>
      </c>
      <c r="H5559" t="str">
        <f t="shared" si="2162"/>
        <v/>
      </c>
      <c r="I5559" t="str">
        <f>T("APO")</f>
        <v>APO</v>
      </c>
      <c r="J5559" t="str">
        <f t="shared" si="2154"/>
        <v>AP</v>
      </c>
      <c r="K5559" t="str">
        <f t="shared" si="2161"/>
        <v>000000000000000000</v>
      </c>
      <c r="L5559" t="str">
        <f>T("6713663387")</f>
        <v>6713663387</v>
      </c>
    </row>
    <row r="5560" spans="1:12" x14ac:dyDescent="0.35">
      <c r="A5560" t="str">
        <f t="shared" si="2155"/>
        <v>NAVFAC MARIANAS HL5</v>
      </c>
      <c r="B5560" t="str">
        <f t="shared" ref="B5560:B5574" si="2163">T("PSC 455 BOX 195")</f>
        <v>PSC 455 BOX 195</v>
      </c>
      <c r="C5560" t="str">
        <f t="shared" si="2157"/>
        <v/>
      </c>
      <c r="D5560" t="str">
        <f t="shared" si="2158"/>
        <v>FPO</v>
      </c>
      <c r="E5560" t="str">
        <f t="shared" si="2153"/>
        <v>AP</v>
      </c>
      <c r="F5560" t="str">
        <f t="shared" si="2159"/>
        <v>965400002</v>
      </c>
      <c r="G5560" t="str">
        <f t="shared" ref="G5560:G5570" si="2164">T("PSC 455 BOX 195")</f>
        <v>PSC 455 BOX 195</v>
      </c>
      <c r="H5560" t="str">
        <f t="shared" si="2162"/>
        <v/>
      </c>
      <c r="I5560" t="str">
        <f t="shared" ref="I5560:I5570" si="2165">T("FPO")</f>
        <v>FPO</v>
      </c>
      <c r="J5560" t="str">
        <f t="shared" si="2154"/>
        <v>AP</v>
      </c>
      <c r="K5560" t="str">
        <f>T("")</f>
        <v/>
      </c>
      <c r="L5560" t="str">
        <f>T("6713493358")</f>
        <v>6713493358</v>
      </c>
    </row>
    <row r="5561" spans="1:12" x14ac:dyDescent="0.35">
      <c r="A5561" t="str">
        <f t="shared" si="2155"/>
        <v>NAVFAC MARIANAS HL5</v>
      </c>
      <c r="B5561" t="str">
        <f t="shared" si="2163"/>
        <v>PSC 455 BOX 195</v>
      </c>
      <c r="C5561" t="str">
        <f t="shared" si="2157"/>
        <v/>
      </c>
      <c r="D5561" t="str">
        <f t="shared" si="2158"/>
        <v>FPO</v>
      </c>
      <c r="E5561" t="str">
        <f t="shared" si="2153"/>
        <v>AP</v>
      </c>
      <c r="F5561" t="str">
        <f t="shared" si="2159"/>
        <v>965400002</v>
      </c>
      <c r="G5561" t="str">
        <f t="shared" si="2164"/>
        <v>PSC 455 BOX 195</v>
      </c>
      <c r="H5561" t="str">
        <f t="shared" si="2162"/>
        <v/>
      </c>
      <c r="I5561" t="str">
        <f t="shared" si="2165"/>
        <v>FPO</v>
      </c>
      <c r="J5561" t="str">
        <f t="shared" si="2154"/>
        <v>AP</v>
      </c>
      <c r="K5561" t="str">
        <f t="shared" ref="K5561:K5568" si="2166">T("000000000000000000")</f>
        <v>000000000000000000</v>
      </c>
      <c r="L5561" t="str">
        <f>T("6713392343")</f>
        <v>6713392343</v>
      </c>
    </row>
    <row r="5562" spans="1:12" x14ac:dyDescent="0.35">
      <c r="A5562" t="str">
        <f t="shared" si="2155"/>
        <v>NAVFAC MARIANAS HL5</v>
      </c>
      <c r="B5562" t="str">
        <f t="shared" si="2163"/>
        <v>PSC 455 BOX 195</v>
      </c>
      <c r="C5562" t="str">
        <f t="shared" si="2157"/>
        <v/>
      </c>
      <c r="D5562" t="str">
        <f t="shared" si="2158"/>
        <v>FPO</v>
      </c>
      <c r="E5562" t="str">
        <f t="shared" si="2153"/>
        <v>AP</v>
      </c>
      <c r="F5562" t="str">
        <f t="shared" si="2159"/>
        <v>965400002</v>
      </c>
      <c r="G5562" t="str">
        <f t="shared" si="2164"/>
        <v>PSC 455 BOX 195</v>
      </c>
      <c r="H5562" t="str">
        <f t="shared" si="2162"/>
        <v/>
      </c>
      <c r="I5562" t="str">
        <f t="shared" si="2165"/>
        <v>FPO</v>
      </c>
      <c r="J5562" t="str">
        <f t="shared" si="2154"/>
        <v>AP</v>
      </c>
      <c r="K5562" t="str">
        <f t="shared" si="2166"/>
        <v>000000000000000000</v>
      </c>
      <c r="L5562" t="str">
        <f>T("6713398457")</f>
        <v>6713398457</v>
      </c>
    </row>
    <row r="5563" spans="1:12" x14ac:dyDescent="0.35">
      <c r="A5563" t="str">
        <f t="shared" si="2155"/>
        <v>NAVFAC MARIANAS HL5</v>
      </c>
      <c r="B5563" t="str">
        <f t="shared" si="2163"/>
        <v>PSC 455 BOX 195</v>
      </c>
      <c r="C5563" t="str">
        <f t="shared" si="2157"/>
        <v/>
      </c>
      <c r="D5563" t="str">
        <f t="shared" si="2158"/>
        <v>FPO</v>
      </c>
      <c r="E5563" t="str">
        <f t="shared" si="2153"/>
        <v>AP</v>
      </c>
      <c r="F5563" t="str">
        <f t="shared" si="2159"/>
        <v>965400002</v>
      </c>
      <c r="G5563" t="str">
        <f t="shared" si="2164"/>
        <v>PSC 455 BOX 195</v>
      </c>
      <c r="H5563" t="str">
        <f t="shared" si="2162"/>
        <v/>
      </c>
      <c r="I5563" t="str">
        <f t="shared" si="2165"/>
        <v>FPO</v>
      </c>
      <c r="J5563" t="str">
        <f t="shared" si="2154"/>
        <v>AP</v>
      </c>
      <c r="K5563" t="str">
        <f t="shared" si="2166"/>
        <v>000000000000000000</v>
      </c>
      <c r="L5563" t="str">
        <f>T("6713398531")</f>
        <v>6713398531</v>
      </c>
    </row>
    <row r="5564" spans="1:12" x14ac:dyDescent="0.35">
      <c r="A5564" t="str">
        <f t="shared" si="2155"/>
        <v>NAVFAC MARIANAS HL5</v>
      </c>
      <c r="B5564" t="str">
        <f t="shared" si="2163"/>
        <v>PSC 455 BOX 195</v>
      </c>
      <c r="C5564" t="str">
        <f t="shared" si="2157"/>
        <v/>
      </c>
      <c r="D5564" t="str">
        <f t="shared" si="2158"/>
        <v>FPO</v>
      </c>
      <c r="E5564" t="str">
        <f t="shared" si="2153"/>
        <v>AP</v>
      </c>
      <c r="F5564" t="str">
        <f t="shared" si="2159"/>
        <v>965400002</v>
      </c>
      <c r="G5564" t="str">
        <f t="shared" si="2164"/>
        <v>PSC 455 BOX 195</v>
      </c>
      <c r="H5564" t="str">
        <f t="shared" si="2162"/>
        <v/>
      </c>
      <c r="I5564" t="str">
        <f t="shared" si="2165"/>
        <v>FPO</v>
      </c>
      <c r="J5564" t="str">
        <f t="shared" si="2154"/>
        <v>AP</v>
      </c>
      <c r="K5564" t="str">
        <f t="shared" si="2166"/>
        <v>000000000000000000</v>
      </c>
      <c r="L5564" t="str">
        <f>T("6713492079")</f>
        <v>6713492079</v>
      </c>
    </row>
    <row r="5565" spans="1:12" x14ac:dyDescent="0.35">
      <c r="A5565" t="str">
        <f t="shared" si="2155"/>
        <v>NAVFAC MARIANAS HL5</v>
      </c>
      <c r="B5565" t="str">
        <f t="shared" si="2163"/>
        <v>PSC 455 BOX 195</v>
      </c>
      <c r="C5565" t="str">
        <f t="shared" si="2157"/>
        <v/>
      </c>
      <c r="D5565" t="str">
        <f t="shared" si="2158"/>
        <v>FPO</v>
      </c>
      <c r="E5565" t="str">
        <f t="shared" si="2153"/>
        <v>AP</v>
      </c>
      <c r="F5565" t="str">
        <f t="shared" si="2159"/>
        <v>965400002</v>
      </c>
      <c r="G5565" t="str">
        <f t="shared" si="2164"/>
        <v>PSC 455 BOX 195</v>
      </c>
      <c r="H5565" t="str">
        <f t="shared" si="2162"/>
        <v/>
      </c>
      <c r="I5565" t="str">
        <f t="shared" si="2165"/>
        <v>FPO</v>
      </c>
      <c r="J5565" t="str">
        <f t="shared" si="2154"/>
        <v>AP</v>
      </c>
      <c r="K5565" t="str">
        <f t="shared" si="2166"/>
        <v>000000000000000000</v>
      </c>
      <c r="L5565" t="str">
        <f>T("6713492140")</f>
        <v>6713492140</v>
      </c>
    </row>
    <row r="5566" spans="1:12" x14ac:dyDescent="0.35">
      <c r="A5566" t="str">
        <f t="shared" si="2155"/>
        <v>NAVFAC MARIANAS HL5</v>
      </c>
      <c r="B5566" t="str">
        <f t="shared" si="2163"/>
        <v>PSC 455 BOX 195</v>
      </c>
      <c r="C5566" t="str">
        <f t="shared" si="2157"/>
        <v/>
      </c>
      <c r="D5566" t="str">
        <f t="shared" si="2158"/>
        <v>FPO</v>
      </c>
      <c r="E5566" t="str">
        <f t="shared" si="2153"/>
        <v>AP</v>
      </c>
      <c r="F5566" t="str">
        <f t="shared" si="2159"/>
        <v>965400002</v>
      </c>
      <c r="G5566" t="str">
        <f t="shared" si="2164"/>
        <v>PSC 455 BOX 195</v>
      </c>
      <c r="H5566" t="str">
        <f t="shared" si="2162"/>
        <v/>
      </c>
      <c r="I5566" t="str">
        <f t="shared" si="2165"/>
        <v>FPO</v>
      </c>
      <c r="J5566" t="str">
        <f t="shared" si="2154"/>
        <v>AP</v>
      </c>
      <c r="K5566" t="str">
        <f t="shared" si="2166"/>
        <v>000000000000000000</v>
      </c>
      <c r="L5566" t="str">
        <f>T("6713492923")</f>
        <v>6713492923</v>
      </c>
    </row>
    <row r="5567" spans="1:12" x14ac:dyDescent="0.35">
      <c r="A5567" t="str">
        <f t="shared" si="2155"/>
        <v>NAVFAC MARIANAS HL5</v>
      </c>
      <c r="B5567" t="str">
        <f t="shared" si="2163"/>
        <v>PSC 455 BOX 195</v>
      </c>
      <c r="C5567" t="str">
        <f t="shared" si="2157"/>
        <v/>
      </c>
      <c r="D5567" t="str">
        <f t="shared" si="2158"/>
        <v>FPO</v>
      </c>
      <c r="E5567" t="str">
        <f t="shared" si="2153"/>
        <v>AP</v>
      </c>
      <c r="F5567" t="str">
        <f t="shared" si="2159"/>
        <v>965400002</v>
      </c>
      <c r="G5567" t="str">
        <f t="shared" si="2164"/>
        <v>PSC 455 BOX 195</v>
      </c>
      <c r="H5567" t="str">
        <f t="shared" si="2162"/>
        <v/>
      </c>
      <c r="I5567" t="str">
        <f t="shared" si="2165"/>
        <v>FPO</v>
      </c>
      <c r="J5567" t="str">
        <f t="shared" si="2154"/>
        <v>AP</v>
      </c>
      <c r="K5567" t="str">
        <f t="shared" si="2166"/>
        <v>000000000000000000</v>
      </c>
      <c r="L5567" t="str">
        <f>T("6713555371")</f>
        <v>6713555371</v>
      </c>
    </row>
    <row r="5568" spans="1:12" x14ac:dyDescent="0.35">
      <c r="A5568" t="str">
        <f t="shared" si="2155"/>
        <v>NAVFAC MARIANAS HL5</v>
      </c>
      <c r="B5568" t="str">
        <f t="shared" si="2163"/>
        <v>PSC 455 BOX 195</v>
      </c>
      <c r="C5568" t="str">
        <f t="shared" si="2157"/>
        <v/>
      </c>
      <c r="D5568" t="str">
        <f t="shared" si="2158"/>
        <v>FPO</v>
      </c>
      <c r="E5568" t="str">
        <f t="shared" si="2153"/>
        <v>AP</v>
      </c>
      <c r="F5568" t="str">
        <f t="shared" si="2159"/>
        <v>965400002</v>
      </c>
      <c r="G5568" t="str">
        <f t="shared" si="2164"/>
        <v>PSC 455 BOX 195</v>
      </c>
      <c r="H5568" t="str">
        <f t="shared" si="2162"/>
        <v/>
      </c>
      <c r="I5568" t="str">
        <f t="shared" si="2165"/>
        <v>FPO</v>
      </c>
      <c r="J5568" t="str">
        <f t="shared" si="2154"/>
        <v>AP</v>
      </c>
      <c r="K5568" t="str">
        <f t="shared" si="2166"/>
        <v>000000000000000000</v>
      </c>
      <c r="L5568" t="str">
        <f>T("6713555374")</f>
        <v>6713555374</v>
      </c>
    </row>
    <row r="5569" spans="1:12" x14ac:dyDescent="0.35">
      <c r="A5569" t="str">
        <f t="shared" si="2155"/>
        <v>NAVFAC MARIANAS HL5</v>
      </c>
      <c r="B5569" t="str">
        <f t="shared" si="2163"/>
        <v>PSC 455 BOX 195</v>
      </c>
      <c r="C5569" t="str">
        <f t="shared" si="2157"/>
        <v/>
      </c>
      <c r="D5569" t="str">
        <f t="shared" si="2158"/>
        <v>FPO</v>
      </c>
      <c r="E5569" t="str">
        <f t="shared" si="2153"/>
        <v>AP</v>
      </c>
      <c r="F5569" t="str">
        <f t="shared" si="2159"/>
        <v>965400002</v>
      </c>
      <c r="G5569" t="str">
        <f t="shared" si="2164"/>
        <v>PSC 455 BOX 195</v>
      </c>
      <c r="H5569" t="str">
        <f t="shared" si="2162"/>
        <v/>
      </c>
      <c r="I5569" t="str">
        <f t="shared" si="2165"/>
        <v>FPO</v>
      </c>
      <c r="J5569" t="str">
        <f t="shared" si="2154"/>
        <v>AP</v>
      </c>
      <c r="K5569" t="str">
        <f>T("671-349-3219")</f>
        <v>671-349-3219</v>
      </c>
      <c r="L5569" t="str">
        <f>T("6713492982")</f>
        <v>6713492982</v>
      </c>
    </row>
    <row r="5570" spans="1:12" x14ac:dyDescent="0.35">
      <c r="A5570" t="str">
        <f t="shared" si="2155"/>
        <v>NAVFAC MARIANAS HL5</v>
      </c>
      <c r="B5570" t="str">
        <f t="shared" si="2163"/>
        <v>PSC 455 BOX 195</v>
      </c>
      <c r="C5570" t="str">
        <f t="shared" si="2157"/>
        <v/>
      </c>
      <c r="D5570" t="str">
        <f t="shared" si="2158"/>
        <v>FPO</v>
      </c>
      <c r="E5570" t="str">
        <f t="shared" si="2153"/>
        <v>AP</v>
      </c>
      <c r="F5570" t="str">
        <f t="shared" si="2159"/>
        <v>965400002</v>
      </c>
      <c r="G5570" t="str">
        <f t="shared" si="2164"/>
        <v>PSC 455 BOX 195</v>
      </c>
      <c r="H5570" t="str">
        <f t="shared" si="2162"/>
        <v/>
      </c>
      <c r="I5570" t="str">
        <f t="shared" si="2165"/>
        <v>FPO</v>
      </c>
      <c r="J5570" t="str">
        <f t="shared" si="2154"/>
        <v>AP</v>
      </c>
      <c r="K5570" t="str">
        <f>T("6713394040")</f>
        <v>6713394040</v>
      </c>
      <c r="L5570" t="str">
        <f>T("6713392029")</f>
        <v>6713392029</v>
      </c>
    </row>
    <row r="5571" spans="1:12" x14ac:dyDescent="0.35">
      <c r="A5571" t="str">
        <f t="shared" si="2155"/>
        <v>NAVFAC MARIANAS HL5</v>
      </c>
      <c r="B5571" t="str">
        <f t="shared" si="2163"/>
        <v>PSC 455 BOX 195</v>
      </c>
      <c r="C5571" t="str">
        <f t="shared" si="2157"/>
        <v/>
      </c>
      <c r="D5571" t="str">
        <f t="shared" si="2158"/>
        <v>FPO</v>
      </c>
      <c r="E5571" t="str">
        <f t="shared" si="2153"/>
        <v>AP</v>
      </c>
      <c r="F5571" t="str">
        <f>T("965402937")</f>
        <v>965402937</v>
      </c>
      <c r="G5571" t="str">
        <f>T("BLDG. 18001, UNIT 14007")</f>
        <v>BLDG. 18001, UNIT 14007</v>
      </c>
      <c r="H5571" t="str">
        <f>T("ANDERSEN AFB GUAM")</f>
        <v>ANDERSEN AFB GUAM</v>
      </c>
      <c r="I5571" t="str">
        <f>T("APO")</f>
        <v>APO</v>
      </c>
      <c r="J5571" t="str">
        <f t="shared" si="2154"/>
        <v>AP</v>
      </c>
      <c r="K5571" t="str">
        <f>T("6713665091")</f>
        <v>6713665091</v>
      </c>
      <c r="L5571" t="str">
        <f>T("6713665034")</f>
        <v>6713665034</v>
      </c>
    </row>
    <row r="5572" spans="1:12" x14ac:dyDescent="0.35">
      <c r="A5572" t="str">
        <f t="shared" si="2155"/>
        <v>NAVFAC MARIANAS HL5</v>
      </c>
      <c r="B5572" t="str">
        <f t="shared" si="2163"/>
        <v>PSC 455 BOX 195</v>
      </c>
      <c r="C5572" t="str">
        <f t="shared" si="2157"/>
        <v/>
      </c>
      <c r="D5572" t="str">
        <f t="shared" si="2158"/>
        <v>FPO</v>
      </c>
      <c r="E5572" t="str">
        <f t="shared" si="2153"/>
        <v>AP</v>
      </c>
      <c r="F5572" t="str">
        <f>T("965402937")</f>
        <v>965402937</v>
      </c>
      <c r="G5572" t="str">
        <f>T("PSC 455 BOX 195")</f>
        <v>PSC 455 BOX 195</v>
      </c>
      <c r="H5572" t="str">
        <f t="shared" ref="H5572:H5577" si="2167">T("")</f>
        <v/>
      </c>
      <c r="I5572" t="str">
        <f t="shared" ref="I5572:I5577" si="2168">T("FPO")</f>
        <v>FPO</v>
      </c>
      <c r="J5572" t="str">
        <f t="shared" si="2154"/>
        <v>AP</v>
      </c>
      <c r="K5572" t="str">
        <f>T("")</f>
        <v/>
      </c>
      <c r="L5572" t="str">
        <f>T("6713665026")</f>
        <v>6713665026</v>
      </c>
    </row>
    <row r="5573" spans="1:12" x14ac:dyDescent="0.35">
      <c r="A5573" t="str">
        <f t="shared" si="2155"/>
        <v>NAVFAC MARIANAS HL5</v>
      </c>
      <c r="B5573" t="str">
        <f t="shared" si="2163"/>
        <v>PSC 455 BOX 195</v>
      </c>
      <c r="C5573" t="str">
        <f t="shared" si="2157"/>
        <v/>
      </c>
      <c r="D5573" t="str">
        <f t="shared" si="2158"/>
        <v>FPO</v>
      </c>
      <c r="E5573" t="str">
        <f t="shared" si="2153"/>
        <v>AP</v>
      </c>
      <c r="F5573" t="str">
        <f>T("965402937")</f>
        <v>965402937</v>
      </c>
      <c r="G5573" t="str">
        <f>T("PSC 455 BOX 195")</f>
        <v>PSC 455 BOX 195</v>
      </c>
      <c r="H5573" t="str">
        <f t="shared" si="2167"/>
        <v/>
      </c>
      <c r="I5573" t="str">
        <f t="shared" si="2168"/>
        <v>FPO</v>
      </c>
      <c r="J5573" t="str">
        <f t="shared" si="2154"/>
        <v>AP</v>
      </c>
      <c r="K5573" t="str">
        <f>T("000000000000000000")</f>
        <v>000000000000000000</v>
      </c>
      <c r="L5573" t="str">
        <f>T("6713624740")</f>
        <v>6713624740</v>
      </c>
    </row>
    <row r="5574" spans="1:12" x14ac:dyDescent="0.35">
      <c r="A5574" t="str">
        <f t="shared" si="2155"/>
        <v>NAVFAC MARIANAS HL5</v>
      </c>
      <c r="B5574" t="str">
        <f t="shared" si="2163"/>
        <v>PSC 455 BOX 195</v>
      </c>
      <c r="C5574" t="str">
        <f t="shared" si="2157"/>
        <v/>
      </c>
      <c r="D5574" t="str">
        <f t="shared" si="2158"/>
        <v>FPO</v>
      </c>
      <c r="E5574" t="str">
        <f t="shared" si="2153"/>
        <v>AP</v>
      </c>
      <c r="F5574" t="str">
        <f>T("965402937")</f>
        <v>965402937</v>
      </c>
      <c r="G5574" t="str">
        <f>T("PSC 455 BOX 195")</f>
        <v>PSC 455 BOX 195</v>
      </c>
      <c r="H5574" t="str">
        <f t="shared" si="2167"/>
        <v/>
      </c>
      <c r="I5574" t="str">
        <f t="shared" si="2168"/>
        <v>FPO</v>
      </c>
      <c r="J5574" t="str">
        <f t="shared" si="2154"/>
        <v>AP</v>
      </c>
      <c r="K5574" t="str">
        <f>T("000000000000000000")</f>
        <v>000000000000000000</v>
      </c>
      <c r="L5574" t="str">
        <f>T("6713664280")</f>
        <v>6713664280</v>
      </c>
    </row>
    <row r="5575" spans="1:12" x14ac:dyDescent="0.35">
      <c r="A5575" t="str">
        <f t="shared" si="2155"/>
        <v>NAVFAC MARIANAS HL5</v>
      </c>
      <c r="B5575" t="str">
        <f>T("PSC 455, BOX 195")</f>
        <v>PSC 455, BOX 195</v>
      </c>
      <c r="C5575" t="str">
        <f t="shared" si="2157"/>
        <v/>
      </c>
      <c r="D5575" t="str">
        <f t="shared" si="2158"/>
        <v>FPO</v>
      </c>
      <c r="E5575" t="str">
        <f t="shared" si="2153"/>
        <v>AP</v>
      </c>
      <c r="F5575" t="str">
        <f>T("965400002")</f>
        <v>965400002</v>
      </c>
      <c r="G5575" t="str">
        <f>T("PSC 455 BOX 195")</f>
        <v>PSC 455 BOX 195</v>
      </c>
      <c r="H5575" t="str">
        <f t="shared" si="2167"/>
        <v/>
      </c>
      <c r="I5575" t="str">
        <f t="shared" si="2168"/>
        <v>FPO</v>
      </c>
      <c r="J5575" t="str">
        <f t="shared" si="2154"/>
        <v>AP</v>
      </c>
      <c r="K5575" t="str">
        <f>T("000000000000000000")</f>
        <v>000000000000000000</v>
      </c>
      <c r="L5575" t="str">
        <f>T("6713491042")</f>
        <v>6713491042</v>
      </c>
    </row>
    <row r="5576" spans="1:12" x14ac:dyDescent="0.35">
      <c r="A5576" t="str">
        <f t="shared" si="2155"/>
        <v>NAVFAC MARIANAS HL5</v>
      </c>
      <c r="B5576" t="str">
        <f>T("PSC 455, BOX 195")</f>
        <v>PSC 455, BOX 195</v>
      </c>
      <c r="C5576" t="str">
        <f t="shared" si="2157"/>
        <v/>
      </c>
      <c r="D5576" t="str">
        <f t="shared" si="2158"/>
        <v>FPO</v>
      </c>
      <c r="E5576" t="str">
        <f t="shared" si="2153"/>
        <v>AP</v>
      </c>
      <c r="F5576" t="str">
        <f>T("965400002")</f>
        <v>965400002</v>
      </c>
      <c r="G5576" t="str">
        <f>T("PSC 455 BOX 195")</f>
        <v>PSC 455 BOX 195</v>
      </c>
      <c r="H5576" t="str">
        <f t="shared" si="2167"/>
        <v/>
      </c>
      <c r="I5576" t="str">
        <f t="shared" si="2168"/>
        <v>FPO</v>
      </c>
      <c r="J5576" t="str">
        <f t="shared" si="2154"/>
        <v>AP</v>
      </c>
      <c r="K5576" t="str">
        <f>T("000000000000000000")</f>
        <v>000000000000000000</v>
      </c>
      <c r="L5576" t="str">
        <f>T("6713492465")</f>
        <v>6713492465</v>
      </c>
    </row>
    <row r="5577" spans="1:12" x14ac:dyDescent="0.35">
      <c r="A5577" t="str">
        <f t="shared" si="2155"/>
        <v>NAVFAC MARIANAS HL5</v>
      </c>
      <c r="B5577" t="str">
        <f>T("PSC 455, BOX 195")</f>
        <v>PSC 455, BOX 195</v>
      </c>
      <c r="C5577" t="str">
        <f t="shared" si="2157"/>
        <v/>
      </c>
      <c r="D5577" t="str">
        <f t="shared" si="2158"/>
        <v>FPO</v>
      </c>
      <c r="E5577" t="str">
        <f t="shared" si="2153"/>
        <v>AP</v>
      </c>
      <c r="F5577" t="str">
        <f>T("965400002")</f>
        <v>965400002</v>
      </c>
      <c r="G5577" t="str">
        <f>T("PSC 455, BOX 195")</f>
        <v>PSC 455, BOX 195</v>
      </c>
      <c r="H5577" t="str">
        <f t="shared" si="2167"/>
        <v/>
      </c>
      <c r="I5577" t="str">
        <f t="shared" si="2168"/>
        <v>FPO</v>
      </c>
      <c r="J5577" t="str">
        <f t="shared" si="2154"/>
        <v>AP</v>
      </c>
      <c r="K5577" t="str">
        <f>T("000000000000000000")</f>
        <v>000000000000000000</v>
      </c>
      <c r="L5577" t="str">
        <f>T("6713494243")</f>
        <v>6713494243</v>
      </c>
    </row>
    <row r="5578" spans="1:12" x14ac:dyDescent="0.35">
      <c r="A5578" t="str">
        <f t="shared" ref="A5578:A5609" si="2169">T("NAVFAC HAWAII HL5")</f>
        <v>NAVFAC HAWAII HL5</v>
      </c>
      <c r="B5578" t="str">
        <f t="shared" ref="B5578:B5609" si="2170">T("400 MARSHALL RD")</f>
        <v>400 MARSHALL RD</v>
      </c>
      <c r="C5578" t="str">
        <f>T("BLDG A-4")</f>
        <v>BLDG A-4</v>
      </c>
      <c r="D5578" t="str">
        <f t="shared" ref="D5578:D5609" si="2171">T("JBPHH")</f>
        <v>JBPHH</v>
      </c>
      <c r="E5578" t="str">
        <f t="shared" ref="E5578:E5609" si="2172">T("HI")</f>
        <v>HI</v>
      </c>
      <c r="F5578" t="str">
        <f t="shared" ref="F5578:F5609" si="2173">T("968603139")</f>
        <v>968603139</v>
      </c>
      <c r="G5578" t="str">
        <f>T("400 MARSHALL RD")</f>
        <v>400 MARSHALL RD</v>
      </c>
      <c r="H5578" t="str">
        <f>T("BLDG A-4")</f>
        <v>BLDG A-4</v>
      </c>
      <c r="I5578" t="str">
        <f t="shared" ref="I5578:I5590" si="2174">T("JBPHH")</f>
        <v>JBPHH</v>
      </c>
      <c r="J5578" t="str">
        <f t="shared" ref="J5578:J5609" si="2175">T("HI")</f>
        <v>HI</v>
      </c>
      <c r="K5578" t="str">
        <f>T("8084748147")</f>
        <v>8084748147</v>
      </c>
      <c r="L5578" t="str">
        <f>T("8084710218")</f>
        <v>8084710218</v>
      </c>
    </row>
    <row r="5579" spans="1:12" x14ac:dyDescent="0.35">
      <c r="A5579" t="str">
        <f t="shared" si="2169"/>
        <v>NAVFAC HAWAII HL5</v>
      </c>
      <c r="B5579" t="str">
        <f t="shared" si="2170"/>
        <v>400 MARSHALL RD</v>
      </c>
      <c r="C5579" t="str">
        <f>T("BLDG A-4")</f>
        <v>BLDG A-4</v>
      </c>
      <c r="D5579" t="str">
        <f t="shared" si="2171"/>
        <v>JBPHH</v>
      </c>
      <c r="E5579" t="str">
        <f t="shared" si="2172"/>
        <v>HI</v>
      </c>
      <c r="F5579" t="str">
        <f t="shared" si="2173"/>
        <v>968603139</v>
      </c>
      <c r="G5579" t="str">
        <f>T("NAVFAC HI OPC62")</f>
        <v>NAVFAC HI OPC62</v>
      </c>
      <c r="H5579" t="str">
        <f>T("400 MARSHALL RD BLDG A4")</f>
        <v>400 MARSHALL RD BLDG A4</v>
      </c>
      <c r="I5579" t="str">
        <f t="shared" si="2174"/>
        <v>JBPHH</v>
      </c>
      <c r="J5579" t="str">
        <f t="shared" si="2175"/>
        <v>HI</v>
      </c>
      <c r="K5579" t="str">
        <f>T("8084740674")</f>
        <v>8084740674</v>
      </c>
      <c r="L5579" t="str">
        <f>T("8084714107")</f>
        <v>8084714107</v>
      </c>
    </row>
    <row r="5580" spans="1:12" x14ac:dyDescent="0.35">
      <c r="A5580" t="str">
        <f t="shared" si="2169"/>
        <v>NAVFAC HAWAII HL5</v>
      </c>
      <c r="B5580" t="str">
        <f t="shared" si="2170"/>
        <v>400 MARSHALL RD</v>
      </c>
      <c r="C5580" t="str">
        <f>T("BLDG A-4 ACQ1")</f>
        <v>BLDG A-4 ACQ1</v>
      </c>
      <c r="D5580" t="str">
        <f t="shared" si="2171"/>
        <v>JBPHH</v>
      </c>
      <c r="E5580" t="str">
        <f t="shared" si="2172"/>
        <v>HI</v>
      </c>
      <c r="F5580" t="str">
        <f t="shared" si="2173"/>
        <v>968603139</v>
      </c>
      <c r="G5580" t="str">
        <f>T("400 MARSHALL RD")</f>
        <v>400 MARSHALL RD</v>
      </c>
      <c r="H5580" t="str">
        <f>T("BLDG A-4")</f>
        <v>BLDG A-4</v>
      </c>
      <c r="I5580" t="str">
        <f t="shared" si="2174"/>
        <v>JBPHH</v>
      </c>
      <c r="J5580" t="str">
        <f t="shared" si="2175"/>
        <v>HI</v>
      </c>
      <c r="K5580" t="str">
        <f>T("8084714534")</f>
        <v>8084714534</v>
      </c>
      <c r="L5580" t="str">
        <f>T("8084715733")</f>
        <v>8084715733</v>
      </c>
    </row>
    <row r="5581" spans="1:12" x14ac:dyDescent="0.35">
      <c r="A5581" t="str">
        <f t="shared" si="2169"/>
        <v>NAVFAC HAWAII HL5</v>
      </c>
      <c r="B5581" t="str">
        <f t="shared" si="2170"/>
        <v>400 MARSHALL RD</v>
      </c>
      <c r="C5581" t="str">
        <f>T("BLDG A-4 ACQ1")</f>
        <v>BLDG A-4 ACQ1</v>
      </c>
      <c r="D5581" t="str">
        <f t="shared" si="2171"/>
        <v>JBPHH</v>
      </c>
      <c r="E5581" t="str">
        <f t="shared" si="2172"/>
        <v>HI</v>
      </c>
      <c r="F5581" t="str">
        <f t="shared" si="2173"/>
        <v>968603139</v>
      </c>
      <c r="G5581" t="str">
        <f>T("400 MARSHALL RD")</f>
        <v>400 MARSHALL RD</v>
      </c>
      <c r="H5581" t="str">
        <f>T("BLDG A-4 ACQ1")</f>
        <v>BLDG A-4 ACQ1</v>
      </c>
      <c r="I5581" t="str">
        <f t="shared" si="2174"/>
        <v>JBPHH</v>
      </c>
      <c r="J5581" t="str">
        <f t="shared" si="2175"/>
        <v>HI</v>
      </c>
      <c r="K5581" t="str">
        <f>T("")</f>
        <v/>
      </c>
      <c r="L5581" t="str">
        <f>T("8084711591")</f>
        <v>8084711591</v>
      </c>
    </row>
    <row r="5582" spans="1:12" x14ac:dyDescent="0.35">
      <c r="A5582" t="str">
        <f t="shared" si="2169"/>
        <v>NAVFAC HAWAII HL5</v>
      </c>
      <c r="B5582" t="str">
        <f t="shared" si="2170"/>
        <v>400 MARSHALL RD</v>
      </c>
      <c r="C5582" t="str">
        <f>T("BLDG A-4 ACQ1")</f>
        <v>BLDG A-4 ACQ1</v>
      </c>
      <c r="D5582" t="str">
        <f t="shared" si="2171"/>
        <v>JBPHH</v>
      </c>
      <c r="E5582" t="str">
        <f t="shared" si="2172"/>
        <v>HI</v>
      </c>
      <c r="F5582" t="str">
        <f t="shared" si="2173"/>
        <v>968603139</v>
      </c>
      <c r="G5582" t="str">
        <f>T("400 MARSHALL RD")</f>
        <v>400 MARSHALL RD</v>
      </c>
      <c r="H5582" t="str">
        <f>T("BLDG A-4 ACQ1")</f>
        <v>BLDG A-4 ACQ1</v>
      </c>
      <c r="I5582" t="str">
        <f t="shared" si="2174"/>
        <v>JBPHH</v>
      </c>
      <c r="J5582" t="str">
        <f t="shared" si="2175"/>
        <v>HI</v>
      </c>
      <c r="K5582" t="str">
        <f>T("000000000000000000")</f>
        <v>000000000000000000</v>
      </c>
      <c r="L5582" t="str">
        <f>T("8084712544")</f>
        <v>8084712544</v>
      </c>
    </row>
    <row r="5583" spans="1:12" x14ac:dyDescent="0.35">
      <c r="A5583" t="str">
        <f t="shared" si="2169"/>
        <v>NAVFAC HAWAII HL5</v>
      </c>
      <c r="B5583" t="str">
        <f t="shared" si="2170"/>
        <v>400 MARSHALL RD</v>
      </c>
      <c r="C5583" t="str">
        <f>T("BLDG A-4 ACQ1")</f>
        <v>BLDG A-4 ACQ1</v>
      </c>
      <c r="D5583" t="str">
        <f t="shared" si="2171"/>
        <v>JBPHH</v>
      </c>
      <c r="E5583" t="str">
        <f t="shared" si="2172"/>
        <v>HI</v>
      </c>
      <c r="F5583" t="str">
        <f t="shared" si="2173"/>
        <v>968603139</v>
      </c>
      <c r="G5583" t="str">
        <f>T("400 MARSHALL RD")</f>
        <v>400 MARSHALL RD</v>
      </c>
      <c r="H5583" t="str">
        <f>T("BLDG A-4 ACQ1")</f>
        <v>BLDG A-4 ACQ1</v>
      </c>
      <c r="I5583" t="str">
        <f t="shared" si="2174"/>
        <v>JBPHH</v>
      </c>
      <c r="J5583" t="str">
        <f t="shared" si="2175"/>
        <v>HI</v>
      </c>
      <c r="K5583" t="str">
        <f>T("000000000000000000")</f>
        <v>000000000000000000</v>
      </c>
      <c r="L5583" t="str">
        <f>T("8084740392")</f>
        <v>8084740392</v>
      </c>
    </row>
    <row r="5584" spans="1:12" x14ac:dyDescent="0.35">
      <c r="A5584" t="str">
        <f t="shared" si="2169"/>
        <v>NAVFAC HAWAII HL5</v>
      </c>
      <c r="B5584" t="str">
        <f t="shared" si="2170"/>
        <v>400 MARSHALL RD</v>
      </c>
      <c r="C5584" t="str">
        <f>T("BLDG A-4 ACQ1")</f>
        <v>BLDG A-4 ACQ1</v>
      </c>
      <c r="D5584" t="str">
        <f t="shared" si="2171"/>
        <v>JBPHH</v>
      </c>
      <c r="E5584" t="str">
        <f t="shared" si="2172"/>
        <v>HI</v>
      </c>
      <c r="F5584" t="str">
        <f t="shared" si="2173"/>
        <v>968603139</v>
      </c>
      <c r="G5584" t="str">
        <f>T("NAVFAC HAWAII OPCE")</f>
        <v>NAVFAC HAWAII OPCE</v>
      </c>
      <c r="H5584" t="str">
        <f>T("400 MARSHALL RD BLDG A4 ACQ1")</f>
        <v>400 MARSHALL RD BLDG A4 ACQ1</v>
      </c>
      <c r="I5584" t="str">
        <f t="shared" si="2174"/>
        <v>JBPHH</v>
      </c>
      <c r="J5584" t="str">
        <f t="shared" si="2175"/>
        <v>HI</v>
      </c>
      <c r="K5584" t="str">
        <f>T("8084713216")</f>
        <v>8084713216</v>
      </c>
      <c r="L5584" t="str">
        <f>T("8084713208")</f>
        <v>8084713208</v>
      </c>
    </row>
    <row r="5585" spans="1:12" x14ac:dyDescent="0.35">
      <c r="A5585" t="str">
        <f t="shared" si="2169"/>
        <v>NAVFAC HAWAII HL5</v>
      </c>
      <c r="B5585" t="str">
        <f t="shared" si="2170"/>
        <v>400 MARSHALL RD</v>
      </c>
      <c r="C5585" t="str">
        <f t="shared" ref="C5585:C5621" si="2176">T("BLDG A4")</f>
        <v>BLDG A4</v>
      </c>
      <c r="D5585" t="str">
        <f t="shared" si="2171"/>
        <v>JBPHH</v>
      </c>
      <c r="E5585" t="str">
        <f t="shared" si="2172"/>
        <v>HI</v>
      </c>
      <c r="F5585" t="str">
        <f t="shared" si="2173"/>
        <v>968603139</v>
      </c>
      <c r="G5585" t="str">
        <f t="shared" ref="G5585:G5603" si="2177">T("400 MARSHALL RD")</f>
        <v>400 MARSHALL RD</v>
      </c>
      <c r="H5585" t="str">
        <f t="shared" ref="H5585:H5591" si="2178">T("BLDG A-4")</f>
        <v>BLDG A-4</v>
      </c>
      <c r="I5585" t="str">
        <f t="shared" si="2174"/>
        <v>JBPHH</v>
      </c>
      <c r="J5585" t="str">
        <f t="shared" si="2175"/>
        <v>HI</v>
      </c>
      <c r="K5585" t="str">
        <f>T("000000000000000000")</f>
        <v>000000000000000000</v>
      </c>
      <c r="L5585" t="str">
        <f>T("8084715665")</f>
        <v>8084715665</v>
      </c>
    </row>
    <row r="5586" spans="1:12" x14ac:dyDescent="0.35">
      <c r="A5586" t="str">
        <f t="shared" si="2169"/>
        <v>NAVFAC HAWAII HL5</v>
      </c>
      <c r="B5586" t="str">
        <f t="shared" si="2170"/>
        <v>400 MARSHALL RD</v>
      </c>
      <c r="C5586" t="str">
        <f t="shared" si="2176"/>
        <v>BLDG A4</v>
      </c>
      <c r="D5586" t="str">
        <f t="shared" si="2171"/>
        <v>JBPHH</v>
      </c>
      <c r="E5586" t="str">
        <f t="shared" si="2172"/>
        <v>HI</v>
      </c>
      <c r="F5586" t="str">
        <f t="shared" si="2173"/>
        <v>968603139</v>
      </c>
      <c r="G5586" t="str">
        <f t="shared" si="2177"/>
        <v>400 MARSHALL RD</v>
      </c>
      <c r="H5586" t="str">
        <f t="shared" si="2178"/>
        <v>BLDG A-4</v>
      </c>
      <c r="I5586" t="str">
        <f t="shared" si="2174"/>
        <v>JBPHH</v>
      </c>
      <c r="J5586" t="str">
        <f t="shared" si="2175"/>
        <v>HI</v>
      </c>
      <c r="K5586" t="str">
        <f>T("000000000000000000")</f>
        <v>000000000000000000</v>
      </c>
      <c r="L5586" t="str">
        <f>T("8084718563")</f>
        <v>8084718563</v>
      </c>
    </row>
    <row r="5587" spans="1:12" x14ac:dyDescent="0.35">
      <c r="A5587" t="str">
        <f t="shared" si="2169"/>
        <v>NAVFAC HAWAII HL5</v>
      </c>
      <c r="B5587" t="str">
        <f t="shared" si="2170"/>
        <v>400 MARSHALL RD</v>
      </c>
      <c r="C5587" t="str">
        <f t="shared" si="2176"/>
        <v>BLDG A4</v>
      </c>
      <c r="D5587" t="str">
        <f t="shared" si="2171"/>
        <v>JBPHH</v>
      </c>
      <c r="E5587" t="str">
        <f t="shared" si="2172"/>
        <v>HI</v>
      </c>
      <c r="F5587" t="str">
        <f t="shared" si="2173"/>
        <v>968603139</v>
      </c>
      <c r="G5587" t="str">
        <f t="shared" si="2177"/>
        <v>400 MARSHALL RD</v>
      </c>
      <c r="H5587" t="str">
        <f t="shared" si="2178"/>
        <v>BLDG A-4</v>
      </c>
      <c r="I5587" t="str">
        <f t="shared" si="2174"/>
        <v>JBPHH</v>
      </c>
      <c r="J5587" t="str">
        <f t="shared" si="2175"/>
        <v>HI</v>
      </c>
      <c r="K5587" t="str">
        <f>T("000000000000000000")</f>
        <v>000000000000000000</v>
      </c>
      <c r="L5587" t="str">
        <f>T("8084734093")</f>
        <v>8084734093</v>
      </c>
    </row>
    <row r="5588" spans="1:12" x14ac:dyDescent="0.35">
      <c r="A5588" t="str">
        <f t="shared" si="2169"/>
        <v>NAVFAC HAWAII HL5</v>
      </c>
      <c r="B5588" t="str">
        <f t="shared" si="2170"/>
        <v>400 MARSHALL RD</v>
      </c>
      <c r="C5588" t="str">
        <f t="shared" si="2176"/>
        <v>BLDG A4</v>
      </c>
      <c r="D5588" t="str">
        <f t="shared" si="2171"/>
        <v>JBPHH</v>
      </c>
      <c r="E5588" t="str">
        <f t="shared" si="2172"/>
        <v>HI</v>
      </c>
      <c r="F5588" t="str">
        <f t="shared" si="2173"/>
        <v>968603139</v>
      </c>
      <c r="G5588" t="str">
        <f t="shared" si="2177"/>
        <v>400 MARSHALL RD</v>
      </c>
      <c r="H5588" t="str">
        <f t="shared" si="2178"/>
        <v>BLDG A-4</v>
      </c>
      <c r="I5588" t="str">
        <f t="shared" si="2174"/>
        <v>JBPHH</v>
      </c>
      <c r="J5588" t="str">
        <f t="shared" si="2175"/>
        <v>HI</v>
      </c>
      <c r="K5588" t="str">
        <f>T("000000000000000000")</f>
        <v>000000000000000000</v>
      </c>
      <c r="L5588" t="str">
        <f>T("8084743846")</f>
        <v>8084743846</v>
      </c>
    </row>
    <row r="5589" spans="1:12" x14ac:dyDescent="0.35">
      <c r="A5589" t="str">
        <f t="shared" si="2169"/>
        <v>NAVFAC HAWAII HL5</v>
      </c>
      <c r="B5589" t="str">
        <f t="shared" si="2170"/>
        <v>400 MARSHALL RD</v>
      </c>
      <c r="C5589" t="str">
        <f t="shared" si="2176"/>
        <v>BLDG A4</v>
      </c>
      <c r="D5589" t="str">
        <f t="shared" si="2171"/>
        <v>JBPHH</v>
      </c>
      <c r="E5589" t="str">
        <f t="shared" si="2172"/>
        <v>HI</v>
      </c>
      <c r="F5589" t="str">
        <f t="shared" si="2173"/>
        <v>968603139</v>
      </c>
      <c r="G5589" t="str">
        <f t="shared" si="2177"/>
        <v>400 MARSHALL RD</v>
      </c>
      <c r="H5589" t="str">
        <f t="shared" si="2178"/>
        <v>BLDG A-4</v>
      </c>
      <c r="I5589" t="str">
        <f t="shared" si="2174"/>
        <v>JBPHH</v>
      </c>
      <c r="J5589" t="str">
        <f t="shared" si="2175"/>
        <v>HI</v>
      </c>
      <c r="K5589" t="str">
        <f>T("000000000000000000")</f>
        <v>000000000000000000</v>
      </c>
      <c r="L5589" t="str">
        <f>T("8084743953")</f>
        <v>8084743953</v>
      </c>
    </row>
    <row r="5590" spans="1:12" x14ac:dyDescent="0.35">
      <c r="A5590" t="str">
        <f t="shared" si="2169"/>
        <v>NAVFAC HAWAII HL5</v>
      </c>
      <c r="B5590" t="str">
        <f t="shared" si="2170"/>
        <v>400 MARSHALL RD</v>
      </c>
      <c r="C5590" t="str">
        <f t="shared" si="2176"/>
        <v>BLDG A4</v>
      </c>
      <c r="D5590" t="str">
        <f t="shared" si="2171"/>
        <v>JBPHH</v>
      </c>
      <c r="E5590" t="str">
        <f t="shared" si="2172"/>
        <v>HI</v>
      </c>
      <c r="F5590" t="str">
        <f t="shared" si="2173"/>
        <v>968603139</v>
      </c>
      <c r="G5590" t="str">
        <f t="shared" si="2177"/>
        <v>400 MARSHALL RD</v>
      </c>
      <c r="H5590" t="str">
        <f t="shared" si="2178"/>
        <v>BLDG A-4</v>
      </c>
      <c r="I5590" t="str">
        <f t="shared" si="2174"/>
        <v>JBPHH</v>
      </c>
      <c r="J5590" t="str">
        <f t="shared" si="2175"/>
        <v>HI</v>
      </c>
      <c r="K5590" t="str">
        <f>T("8084731545")</f>
        <v>8084731545</v>
      </c>
      <c r="L5590" t="str">
        <f>T("8084730542")</f>
        <v>8084730542</v>
      </c>
    </row>
    <row r="5591" spans="1:12" x14ac:dyDescent="0.35">
      <c r="A5591" t="str">
        <f t="shared" si="2169"/>
        <v>NAVFAC HAWAII HL5</v>
      </c>
      <c r="B5591" t="str">
        <f t="shared" si="2170"/>
        <v>400 MARSHALL RD</v>
      </c>
      <c r="C5591" t="str">
        <f t="shared" si="2176"/>
        <v>BLDG A4</v>
      </c>
      <c r="D5591" t="str">
        <f t="shared" si="2171"/>
        <v>JBPHH</v>
      </c>
      <c r="E5591" t="str">
        <f t="shared" si="2172"/>
        <v>HI</v>
      </c>
      <c r="F5591" t="str">
        <f t="shared" si="2173"/>
        <v>968603139</v>
      </c>
      <c r="G5591" t="str">
        <f t="shared" si="2177"/>
        <v>400 MARSHALL RD</v>
      </c>
      <c r="H5591" t="str">
        <f t="shared" si="2178"/>
        <v>BLDG A-4</v>
      </c>
      <c r="I5591" t="str">
        <f>T("PEARL HARBOR")</f>
        <v>PEARL HARBOR</v>
      </c>
      <c r="J5591" t="str">
        <f t="shared" si="2175"/>
        <v>HI</v>
      </c>
      <c r="K5591" t="str">
        <f>T("000000000000000000")</f>
        <v>000000000000000000</v>
      </c>
      <c r="L5591" t="str">
        <f>T("8084731681")</f>
        <v>8084731681</v>
      </c>
    </row>
    <row r="5592" spans="1:12" x14ac:dyDescent="0.35">
      <c r="A5592" t="str">
        <f t="shared" si="2169"/>
        <v>NAVFAC HAWAII HL5</v>
      </c>
      <c r="B5592" t="str">
        <f t="shared" si="2170"/>
        <v>400 MARSHALL RD</v>
      </c>
      <c r="C5592" t="str">
        <f t="shared" si="2176"/>
        <v>BLDG A4</v>
      </c>
      <c r="D5592" t="str">
        <f t="shared" si="2171"/>
        <v>JBPHH</v>
      </c>
      <c r="E5592" t="str">
        <f t="shared" si="2172"/>
        <v>HI</v>
      </c>
      <c r="F5592" t="str">
        <f t="shared" si="2173"/>
        <v>968603139</v>
      </c>
      <c r="G5592" t="str">
        <f t="shared" si="2177"/>
        <v>400 MARSHALL RD</v>
      </c>
      <c r="H5592" t="str">
        <f t="shared" ref="H5592:H5603" si="2179">T("BLDG A4")</f>
        <v>BLDG A4</v>
      </c>
      <c r="I5592" t="str">
        <f t="shared" ref="I5592:I5633" si="2180">T("JBPHH")</f>
        <v>JBPHH</v>
      </c>
      <c r="J5592" t="str">
        <f t="shared" si="2175"/>
        <v>HI</v>
      </c>
      <c r="K5592" t="str">
        <f t="shared" ref="K5592:K5597" si="2181">T("")</f>
        <v/>
      </c>
      <c r="L5592" t="str">
        <f>T("8084710768")</f>
        <v>8084710768</v>
      </c>
    </row>
    <row r="5593" spans="1:12" x14ac:dyDescent="0.35">
      <c r="A5593" t="str">
        <f t="shared" si="2169"/>
        <v>NAVFAC HAWAII HL5</v>
      </c>
      <c r="B5593" t="str">
        <f t="shared" si="2170"/>
        <v>400 MARSHALL RD</v>
      </c>
      <c r="C5593" t="str">
        <f t="shared" si="2176"/>
        <v>BLDG A4</v>
      </c>
      <c r="D5593" t="str">
        <f t="shared" si="2171"/>
        <v>JBPHH</v>
      </c>
      <c r="E5593" t="str">
        <f t="shared" si="2172"/>
        <v>HI</v>
      </c>
      <c r="F5593" t="str">
        <f t="shared" si="2173"/>
        <v>968603139</v>
      </c>
      <c r="G5593" t="str">
        <f t="shared" si="2177"/>
        <v>400 MARSHALL RD</v>
      </c>
      <c r="H5593" t="str">
        <f t="shared" si="2179"/>
        <v>BLDG A4</v>
      </c>
      <c r="I5593" t="str">
        <f t="shared" si="2180"/>
        <v>JBPHH</v>
      </c>
      <c r="J5593" t="str">
        <f t="shared" si="2175"/>
        <v>HI</v>
      </c>
      <c r="K5593" t="str">
        <f t="shared" si="2181"/>
        <v/>
      </c>
      <c r="L5593" t="str">
        <f>T("8084717748")</f>
        <v>8084717748</v>
      </c>
    </row>
    <row r="5594" spans="1:12" x14ac:dyDescent="0.35">
      <c r="A5594" t="str">
        <f t="shared" si="2169"/>
        <v>NAVFAC HAWAII HL5</v>
      </c>
      <c r="B5594" t="str">
        <f t="shared" si="2170"/>
        <v>400 MARSHALL RD</v>
      </c>
      <c r="C5594" t="str">
        <f t="shared" si="2176"/>
        <v>BLDG A4</v>
      </c>
      <c r="D5594" t="str">
        <f t="shared" si="2171"/>
        <v>JBPHH</v>
      </c>
      <c r="E5594" t="str">
        <f t="shared" si="2172"/>
        <v>HI</v>
      </c>
      <c r="F5594" t="str">
        <f t="shared" si="2173"/>
        <v>968603139</v>
      </c>
      <c r="G5594" t="str">
        <f t="shared" si="2177"/>
        <v>400 MARSHALL RD</v>
      </c>
      <c r="H5594" t="str">
        <f t="shared" si="2179"/>
        <v>BLDG A4</v>
      </c>
      <c r="I5594" t="str">
        <f t="shared" si="2180"/>
        <v>JBPHH</v>
      </c>
      <c r="J5594" t="str">
        <f t="shared" si="2175"/>
        <v>HI</v>
      </c>
      <c r="K5594" t="str">
        <f t="shared" si="2181"/>
        <v/>
      </c>
      <c r="L5594" t="str">
        <f>T("8084718647")</f>
        <v>8084718647</v>
      </c>
    </row>
    <row r="5595" spans="1:12" x14ac:dyDescent="0.35">
      <c r="A5595" t="str">
        <f t="shared" si="2169"/>
        <v>NAVFAC HAWAII HL5</v>
      </c>
      <c r="B5595" t="str">
        <f t="shared" si="2170"/>
        <v>400 MARSHALL RD</v>
      </c>
      <c r="C5595" t="str">
        <f t="shared" si="2176"/>
        <v>BLDG A4</v>
      </c>
      <c r="D5595" t="str">
        <f t="shared" si="2171"/>
        <v>JBPHH</v>
      </c>
      <c r="E5595" t="str">
        <f t="shared" si="2172"/>
        <v>HI</v>
      </c>
      <c r="F5595" t="str">
        <f t="shared" si="2173"/>
        <v>968603139</v>
      </c>
      <c r="G5595" t="str">
        <f t="shared" si="2177"/>
        <v>400 MARSHALL RD</v>
      </c>
      <c r="H5595" t="str">
        <f t="shared" si="2179"/>
        <v>BLDG A4</v>
      </c>
      <c r="I5595" t="str">
        <f t="shared" si="2180"/>
        <v>JBPHH</v>
      </c>
      <c r="J5595" t="str">
        <f t="shared" si="2175"/>
        <v>HI</v>
      </c>
      <c r="K5595" t="str">
        <f t="shared" si="2181"/>
        <v/>
      </c>
      <c r="L5595" t="str">
        <f>T("8084740390")</f>
        <v>8084740390</v>
      </c>
    </row>
    <row r="5596" spans="1:12" x14ac:dyDescent="0.35">
      <c r="A5596" t="str">
        <f t="shared" si="2169"/>
        <v>NAVFAC HAWAII HL5</v>
      </c>
      <c r="B5596" t="str">
        <f t="shared" si="2170"/>
        <v>400 MARSHALL RD</v>
      </c>
      <c r="C5596" t="str">
        <f t="shared" si="2176"/>
        <v>BLDG A4</v>
      </c>
      <c r="D5596" t="str">
        <f t="shared" si="2171"/>
        <v>JBPHH</v>
      </c>
      <c r="E5596" t="str">
        <f t="shared" si="2172"/>
        <v>HI</v>
      </c>
      <c r="F5596" t="str">
        <f t="shared" si="2173"/>
        <v>968603139</v>
      </c>
      <c r="G5596" t="str">
        <f t="shared" si="2177"/>
        <v>400 MARSHALL RD</v>
      </c>
      <c r="H5596" t="str">
        <f t="shared" si="2179"/>
        <v>BLDG A4</v>
      </c>
      <c r="I5596" t="str">
        <f t="shared" si="2180"/>
        <v>JBPHH</v>
      </c>
      <c r="J5596" t="str">
        <f t="shared" si="2175"/>
        <v>HI</v>
      </c>
      <c r="K5596" t="str">
        <f t="shared" si="2181"/>
        <v/>
      </c>
      <c r="L5596" t="str">
        <f>T("8084745256")</f>
        <v>8084745256</v>
      </c>
    </row>
    <row r="5597" spans="1:12" x14ac:dyDescent="0.35">
      <c r="A5597" t="str">
        <f t="shared" si="2169"/>
        <v>NAVFAC HAWAII HL5</v>
      </c>
      <c r="B5597" t="str">
        <f t="shared" si="2170"/>
        <v>400 MARSHALL RD</v>
      </c>
      <c r="C5597" t="str">
        <f t="shared" si="2176"/>
        <v>BLDG A4</v>
      </c>
      <c r="D5597" t="str">
        <f t="shared" si="2171"/>
        <v>JBPHH</v>
      </c>
      <c r="E5597" t="str">
        <f t="shared" si="2172"/>
        <v>HI</v>
      </c>
      <c r="F5597" t="str">
        <f t="shared" si="2173"/>
        <v>968603139</v>
      </c>
      <c r="G5597" t="str">
        <f t="shared" si="2177"/>
        <v>400 MARSHALL RD</v>
      </c>
      <c r="H5597" t="str">
        <f t="shared" si="2179"/>
        <v>BLDG A4</v>
      </c>
      <c r="I5597" t="str">
        <f t="shared" si="2180"/>
        <v>JBPHH</v>
      </c>
      <c r="J5597" t="str">
        <f t="shared" si="2175"/>
        <v>HI</v>
      </c>
      <c r="K5597" t="str">
        <f t="shared" si="2181"/>
        <v/>
      </c>
      <c r="L5597" t="str">
        <f>T("8084745426")</f>
        <v>8084745426</v>
      </c>
    </row>
    <row r="5598" spans="1:12" x14ac:dyDescent="0.35">
      <c r="A5598" t="str">
        <f t="shared" si="2169"/>
        <v>NAVFAC HAWAII HL5</v>
      </c>
      <c r="B5598" t="str">
        <f t="shared" si="2170"/>
        <v>400 MARSHALL RD</v>
      </c>
      <c r="C5598" t="str">
        <f t="shared" si="2176"/>
        <v>BLDG A4</v>
      </c>
      <c r="D5598" t="str">
        <f t="shared" si="2171"/>
        <v>JBPHH</v>
      </c>
      <c r="E5598" t="str">
        <f t="shared" si="2172"/>
        <v>HI</v>
      </c>
      <c r="F5598" t="str">
        <f t="shared" si="2173"/>
        <v>968603139</v>
      </c>
      <c r="G5598" t="str">
        <f t="shared" si="2177"/>
        <v>400 MARSHALL RD</v>
      </c>
      <c r="H5598" t="str">
        <f t="shared" si="2179"/>
        <v>BLDG A4</v>
      </c>
      <c r="I5598" t="str">
        <f t="shared" si="2180"/>
        <v>JBPHH</v>
      </c>
      <c r="J5598" t="str">
        <f t="shared" si="2175"/>
        <v>HI</v>
      </c>
      <c r="K5598" t="str">
        <f>T("4746808")</f>
        <v>4746808</v>
      </c>
      <c r="L5598" t="str">
        <f>T("8084710042")</f>
        <v>8084710042</v>
      </c>
    </row>
    <row r="5599" spans="1:12" x14ac:dyDescent="0.35">
      <c r="A5599" t="str">
        <f t="shared" si="2169"/>
        <v>NAVFAC HAWAII HL5</v>
      </c>
      <c r="B5599" t="str">
        <f t="shared" si="2170"/>
        <v>400 MARSHALL RD</v>
      </c>
      <c r="C5599" t="str">
        <f t="shared" si="2176"/>
        <v>BLDG A4</v>
      </c>
      <c r="D5599" t="str">
        <f t="shared" si="2171"/>
        <v>JBPHH</v>
      </c>
      <c r="E5599" t="str">
        <f t="shared" si="2172"/>
        <v>HI</v>
      </c>
      <c r="F5599" t="str">
        <f t="shared" si="2173"/>
        <v>968603139</v>
      </c>
      <c r="G5599" t="str">
        <f t="shared" si="2177"/>
        <v>400 MARSHALL RD</v>
      </c>
      <c r="H5599" t="str">
        <f t="shared" si="2179"/>
        <v>BLDG A4</v>
      </c>
      <c r="I5599" t="str">
        <f t="shared" si="2180"/>
        <v>JBPHH</v>
      </c>
      <c r="J5599" t="str">
        <f t="shared" si="2175"/>
        <v>HI</v>
      </c>
      <c r="K5599" t="str">
        <f>T("808 473 1545")</f>
        <v>808 473 1545</v>
      </c>
      <c r="L5599" t="str">
        <f>T("8084730388")</f>
        <v>8084730388</v>
      </c>
    </row>
    <row r="5600" spans="1:12" x14ac:dyDescent="0.35">
      <c r="A5600" t="str">
        <f t="shared" si="2169"/>
        <v>NAVFAC HAWAII HL5</v>
      </c>
      <c r="B5600" t="str">
        <f t="shared" si="2170"/>
        <v>400 MARSHALL RD</v>
      </c>
      <c r="C5600" t="str">
        <f t="shared" si="2176"/>
        <v>BLDG A4</v>
      </c>
      <c r="D5600" t="str">
        <f t="shared" si="2171"/>
        <v>JBPHH</v>
      </c>
      <c r="E5600" t="str">
        <f t="shared" si="2172"/>
        <v>HI</v>
      </c>
      <c r="F5600" t="str">
        <f t="shared" si="2173"/>
        <v>968603139</v>
      </c>
      <c r="G5600" t="str">
        <f t="shared" si="2177"/>
        <v>400 MARSHALL RD</v>
      </c>
      <c r="H5600" t="str">
        <f t="shared" si="2179"/>
        <v>BLDG A4</v>
      </c>
      <c r="I5600" t="str">
        <f t="shared" si="2180"/>
        <v>JBPHH</v>
      </c>
      <c r="J5600" t="str">
        <f t="shared" si="2175"/>
        <v>HI</v>
      </c>
      <c r="K5600" t="str">
        <f>T("8084714807")</f>
        <v>8084714807</v>
      </c>
      <c r="L5600" t="str">
        <f>T("8084710607")</f>
        <v>8084710607</v>
      </c>
    </row>
    <row r="5601" spans="1:12" x14ac:dyDescent="0.35">
      <c r="A5601" t="str">
        <f t="shared" si="2169"/>
        <v>NAVFAC HAWAII HL5</v>
      </c>
      <c r="B5601" t="str">
        <f t="shared" si="2170"/>
        <v>400 MARSHALL RD</v>
      </c>
      <c r="C5601" t="str">
        <f t="shared" si="2176"/>
        <v>BLDG A4</v>
      </c>
      <c r="D5601" t="str">
        <f t="shared" si="2171"/>
        <v>JBPHH</v>
      </c>
      <c r="E5601" t="str">
        <f t="shared" si="2172"/>
        <v>HI</v>
      </c>
      <c r="F5601" t="str">
        <f t="shared" si="2173"/>
        <v>968603139</v>
      </c>
      <c r="G5601" t="str">
        <f t="shared" si="2177"/>
        <v>400 MARSHALL RD</v>
      </c>
      <c r="H5601" t="str">
        <f t="shared" si="2179"/>
        <v>BLDG A4</v>
      </c>
      <c r="I5601" t="str">
        <f t="shared" si="2180"/>
        <v>JBPHH</v>
      </c>
      <c r="J5601" t="str">
        <f t="shared" si="2175"/>
        <v>HI</v>
      </c>
      <c r="K5601" t="str">
        <f>T("8084733707")</f>
        <v>8084733707</v>
      </c>
      <c r="L5601" t="str">
        <f>T("8084733337")</f>
        <v>8084733337</v>
      </c>
    </row>
    <row r="5602" spans="1:12" x14ac:dyDescent="0.35">
      <c r="A5602" t="str">
        <f t="shared" si="2169"/>
        <v>NAVFAC HAWAII HL5</v>
      </c>
      <c r="B5602" t="str">
        <f t="shared" si="2170"/>
        <v>400 MARSHALL RD</v>
      </c>
      <c r="C5602" t="str">
        <f t="shared" si="2176"/>
        <v>BLDG A4</v>
      </c>
      <c r="D5602" t="str">
        <f t="shared" si="2171"/>
        <v>JBPHH</v>
      </c>
      <c r="E5602" t="str">
        <f t="shared" si="2172"/>
        <v>HI</v>
      </c>
      <c r="F5602" t="str">
        <f t="shared" si="2173"/>
        <v>968603139</v>
      </c>
      <c r="G5602" t="str">
        <f t="shared" si="2177"/>
        <v>400 MARSHALL RD</v>
      </c>
      <c r="H5602" t="str">
        <f t="shared" si="2179"/>
        <v>BLDG A4</v>
      </c>
      <c r="I5602" t="str">
        <f t="shared" si="2180"/>
        <v>JBPHH</v>
      </c>
      <c r="J5602" t="str">
        <f t="shared" si="2175"/>
        <v>HI</v>
      </c>
      <c r="K5602" t="str">
        <f>T("8084746742")</f>
        <v>8084746742</v>
      </c>
      <c r="L5602" t="str">
        <f>T("8084717273")</f>
        <v>8084717273</v>
      </c>
    </row>
    <row r="5603" spans="1:12" x14ac:dyDescent="0.35">
      <c r="A5603" t="str">
        <f t="shared" si="2169"/>
        <v>NAVFAC HAWAII HL5</v>
      </c>
      <c r="B5603" t="str">
        <f t="shared" si="2170"/>
        <v>400 MARSHALL RD</v>
      </c>
      <c r="C5603" t="str">
        <f t="shared" si="2176"/>
        <v>BLDG A4</v>
      </c>
      <c r="D5603" t="str">
        <f t="shared" si="2171"/>
        <v>JBPHH</v>
      </c>
      <c r="E5603" t="str">
        <f t="shared" si="2172"/>
        <v>HI</v>
      </c>
      <c r="F5603" t="str">
        <f t="shared" si="2173"/>
        <v>968603139</v>
      </c>
      <c r="G5603" t="str">
        <f t="shared" si="2177"/>
        <v>400 MARSHALL RD</v>
      </c>
      <c r="H5603" t="str">
        <f t="shared" si="2179"/>
        <v>BLDG A4</v>
      </c>
      <c r="I5603" t="str">
        <f t="shared" si="2180"/>
        <v>JBPHH</v>
      </c>
      <c r="J5603" t="str">
        <f t="shared" si="2175"/>
        <v>HI</v>
      </c>
      <c r="K5603" t="str">
        <f>T("8084746808")</f>
        <v>8084746808</v>
      </c>
      <c r="L5603" t="str">
        <f>T("8084740399")</f>
        <v>8084740399</v>
      </c>
    </row>
    <row r="5604" spans="1:12" x14ac:dyDescent="0.35">
      <c r="A5604" t="str">
        <f t="shared" si="2169"/>
        <v>NAVFAC HAWAII HL5</v>
      </c>
      <c r="B5604" t="str">
        <f t="shared" si="2170"/>
        <v>400 MARSHALL RD</v>
      </c>
      <c r="C5604" t="str">
        <f t="shared" si="2176"/>
        <v>BLDG A4</v>
      </c>
      <c r="D5604" t="str">
        <f t="shared" si="2171"/>
        <v>JBPHH</v>
      </c>
      <c r="E5604" t="str">
        <f t="shared" si="2172"/>
        <v>HI</v>
      </c>
      <c r="F5604" t="str">
        <f t="shared" si="2173"/>
        <v>968603139</v>
      </c>
      <c r="G5604" t="str">
        <f>T("400 MARSHALL ROAD")</f>
        <v>400 MARSHALL ROAD</v>
      </c>
      <c r="H5604" t="str">
        <f>T("BLDG A-4")</f>
        <v>BLDG A-4</v>
      </c>
      <c r="I5604" t="str">
        <f t="shared" si="2180"/>
        <v>JBPHH</v>
      </c>
      <c r="J5604" t="str">
        <f t="shared" si="2175"/>
        <v>HI</v>
      </c>
      <c r="K5604" t="str">
        <f>T("000000000000000000")</f>
        <v>000000000000000000</v>
      </c>
      <c r="L5604" t="str">
        <f>T("8084743704")</f>
        <v>8084743704</v>
      </c>
    </row>
    <row r="5605" spans="1:12" x14ac:dyDescent="0.35">
      <c r="A5605" t="str">
        <f t="shared" si="2169"/>
        <v>NAVFAC HAWAII HL5</v>
      </c>
      <c r="B5605" t="str">
        <f t="shared" si="2170"/>
        <v>400 MARSHALL RD</v>
      </c>
      <c r="C5605" t="str">
        <f t="shared" si="2176"/>
        <v>BLDG A4</v>
      </c>
      <c r="D5605" t="str">
        <f t="shared" si="2171"/>
        <v>JBPHH</v>
      </c>
      <c r="E5605" t="str">
        <f t="shared" si="2172"/>
        <v>HI</v>
      </c>
      <c r="F5605" t="str">
        <f t="shared" si="2173"/>
        <v>968603139</v>
      </c>
      <c r="G5605" t="str">
        <f>T("NAVFAC HAWAII")</f>
        <v>NAVFAC HAWAII</v>
      </c>
      <c r="H5605" t="str">
        <f>T("400 MARSHALL RD BLDG A4 CODE ACQ1")</f>
        <v>400 MARSHALL RD BLDG A4 CODE ACQ1</v>
      </c>
      <c r="I5605" t="str">
        <f t="shared" si="2180"/>
        <v>JBPHH</v>
      </c>
      <c r="J5605" t="str">
        <f t="shared" si="2175"/>
        <v>HI</v>
      </c>
      <c r="K5605" t="str">
        <f>T("8084717715")</f>
        <v>8084717715</v>
      </c>
      <c r="L5605" t="str">
        <f>T("8084710196")</f>
        <v>8084710196</v>
      </c>
    </row>
    <row r="5606" spans="1:12" x14ac:dyDescent="0.35">
      <c r="A5606" t="str">
        <f t="shared" si="2169"/>
        <v>NAVFAC HAWAII HL5</v>
      </c>
      <c r="B5606" t="str">
        <f t="shared" si="2170"/>
        <v>400 MARSHALL RD</v>
      </c>
      <c r="C5606" t="str">
        <f t="shared" si="2176"/>
        <v>BLDG A4</v>
      </c>
      <c r="D5606" t="str">
        <f t="shared" si="2171"/>
        <v>JBPHH</v>
      </c>
      <c r="E5606" t="str">
        <f t="shared" si="2172"/>
        <v>HI</v>
      </c>
      <c r="F5606" t="str">
        <f t="shared" si="2173"/>
        <v>968603139</v>
      </c>
      <c r="G5606" t="str">
        <f>T("NAVFAC HAWAII FISC")</f>
        <v>NAVFAC HAWAII FISC</v>
      </c>
      <c r="H5606" t="str">
        <f>T("400 MARSHALL RD BLDG 44")</f>
        <v>400 MARSHALL RD BLDG 44</v>
      </c>
      <c r="I5606" t="str">
        <f t="shared" si="2180"/>
        <v>JBPHH</v>
      </c>
      <c r="J5606" t="str">
        <f t="shared" si="2175"/>
        <v>HI</v>
      </c>
      <c r="K5606" t="str">
        <f>T("8084746808")</f>
        <v>8084746808</v>
      </c>
      <c r="L5606" t="str">
        <f>T("8084711098")</f>
        <v>8084711098</v>
      </c>
    </row>
    <row r="5607" spans="1:12" x14ac:dyDescent="0.35">
      <c r="A5607" t="str">
        <f t="shared" si="2169"/>
        <v>NAVFAC HAWAII HL5</v>
      </c>
      <c r="B5607" t="str">
        <f t="shared" si="2170"/>
        <v>400 MARSHALL RD</v>
      </c>
      <c r="C5607" t="str">
        <f t="shared" si="2176"/>
        <v>BLDG A4</v>
      </c>
      <c r="D5607" t="str">
        <f t="shared" si="2171"/>
        <v>JBPHH</v>
      </c>
      <c r="E5607" t="str">
        <f t="shared" si="2172"/>
        <v>HI</v>
      </c>
      <c r="F5607" t="str">
        <f t="shared" si="2173"/>
        <v>968603139</v>
      </c>
      <c r="G5607" t="str">
        <f>T("NAVFAC HI CODE BD42")</f>
        <v>NAVFAC HI CODE BD42</v>
      </c>
      <c r="H5607" t="str">
        <f>T("400 MARSHALL RD BLDG 55")</f>
        <v>400 MARSHALL RD BLDG 55</v>
      </c>
      <c r="I5607" t="str">
        <f t="shared" si="2180"/>
        <v>JBPHH</v>
      </c>
      <c r="J5607" t="str">
        <f t="shared" si="2175"/>
        <v>HI</v>
      </c>
      <c r="K5607" t="str">
        <f>T("8084719869")</f>
        <v>8084719869</v>
      </c>
      <c r="L5607" t="str">
        <f>T("8084740265")</f>
        <v>8084740265</v>
      </c>
    </row>
    <row r="5608" spans="1:12" x14ac:dyDescent="0.35">
      <c r="A5608" t="str">
        <f t="shared" si="2169"/>
        <v>NAVFAC HAWAII HL5</v>
      </c>
      <c r="B5608" t="str">
        <f t="shared" si="2170"/>
        <v>400 MARSHALL RD</v>
      </c>
      <c r="C5608" t="str">
        <f t="shared" si="2176"/>
        <v>BLDG A4</v>
      </c>
      <c r="D5608" t="str">
        <f t="shared" si="2171"/>
        <v>JBPHH</v>
      </c>
      <c r="E5608" t="str">
        <f t="shared" si="2172"/>
        <v>HI</v>
      </c>
      <c r="F5608" t="str">
        <f t="shared" si="2173"/>
        <v>968603139</v>
      </c>
      <c r="G5608" t="str">
        <f>T("NAVFAC HI NAVSUP FLC")</f>
        <v>NAVFAC HI NAVSUP FLC</v>
      </c>
      <c r="H5608" t="str">
        <f>T("400 MARSHALL RD BLDG A4")</f>
        <v>400 MARSHALL RD BLDG A4</v>
      </c>
      <c r="I5608" t="str">
        <f t="shared" si="2180"/>
        <v>JBPHH</v>
      </c>
      <c r="J5608" t="str">
        <f t="shared" si="2175"/>
        <v>HI</v>
      </c>
      <c r="K5608" t="str">
        <f>T("8084746808")</f>
        <v>8084746808</v>
      </c>
      <c r="L5608" t="str">
        <f>T("8084711179")</f>
        <v>8084711179</v>
      </c>
    </row>
    <row r="5609" spans="1:12" x14ac:dyDescent="0.35">
      <c r="A5609" t="str">
        <f t="shared" si="2169"/>
        <v>NAVFAC HAWAII HL5</v>
      </c>
      <c r="B5609" t="str">
        <f t="shared" si="2170"/>
        <v>400 MARSHALL RD</v>
      </c>
      <c r="C5609" t="str">
        <f t="shared" si="2176"/>
        <v>BLDG A4</v>
      </c>
      <c r="D5609" t="str">
        <f t="shared" si="2171"/>
        <v>JBPHH</v>
      </c>
      <c r="E5609" t="str">
        <f t="shared" si="2172"/>
        <v>HI</v>
      </c>
      <c r="F5609" t="str">
        <f t="shared" si="2173"/>
        <v>968603139</v>
      </c>
      <c r="G5609" t="str">
        <f>T("NAVFAC HI NAVSUP FLC")</f>
        <v>NAVFAC HI NAVSUP FLC</v>
      </c>
      <c r="H5609" t="str">
        <f>T("400 MARSHALL RD BLDG A4")</f>
        <v>400 MARSHALL RD BLDG A4</v>
      </c>
      <c r="I5609" t="str">
        <f t="shared" si="2180"/>
        <v>JBPHH</v>
      </c>
      <c r="J5609" t="str">
        <f t="shared" si="2175"/>
        <v>HI</v>
      </c>
      <c r="K5609" t="str">
        <f>T("8084746808")</f>
        <v>8084746808</v>
      </c>
      <c r="L5609" t="str">
        <f>T("8084746487")</f>
        <v>8084746487</v>
      </c>
    </row>
    <row r="5610" spans="1:12" x14ac:dyDescent="0.35">
      <c r="A5610" t="str">
        <f t="shared" ref="A5610:A5641" si="2182">T("NAVFAC HAWAII HL5")</f>
        <v>NAVFAC HAWAII HL5</v>
      </c>
      <c r="B5610" t="str">
        <f t="shared" ref="B5610:B5629" si="2183">T("400 MARSHALL RD")</f>
        <v>400 MARSHALL RD</v>
      </c>
      <c r="C5610" t="str">
        <f t="shared" si="2176"/>
        <v>BLDG A4</v>
      </c>
      <c r="D5610" t="str">
        <f t="shared" ref="D5610:D5641" si="2184">T("JBPHH")</f>
        <v>JBPHH</v>
      </c>
      <c r="E5610" t="str">
        <f t="shared" ref="E5610:E5641" si="2185">T("HI")</f>
        <v>HI</v>
      </c>
      <c r="F5610" t="str">
        <f t="shared" ref="F5610:F5641" si="2186">T("968603139")</f>
        <v>968603139</v>
      </c>
      <c r="G5610" t="str">
        <f>T("NAVFAC HI OPHP")</f>
        <v>NAVFAC HI OPHP</v>
      </c>
      <c r="H5610" t="str">
        <f>T("400 MARSHALL RD BLDG A4")</f>
        <v>400 MARSHALL RD BLDG A4</v>
      </c>
      <c r="I5610" t="str">
        <f t="shared" si="2180"/>
        <v>JBPHH</v>
      </c>
      <c r="J5610" t="str">
        <f t="shared" ref="J5610:J5641" si="2187">T("HI")</f>
        <v>HI</v>
      </c>
      <c r="K5610" t="str">
        <f>T("8084731545")</f>
        <v>8084731545</v>
      </c>
      <c r="L5610" t="str">
        <f>T("8084733274")</f>
        <v>8084733274</v>
      </c>
    </row>
    <row r="5611" spans="1:12" x14ac:dyDescent="0.35">
      <c r="A5611" t="str">
        <f t="shared" si="2182"/>
        <v>NAVFAC HAWAII HL5</v>
      </c>
      <c r="B5611" t="str">
        <f t="shared" si="2183"/>
        <v>400 MARSHALL RD</v>
      </c>
      <c r="C5611" t="str">
        <f t="shared" si="2176"/>
        <v>BLDG A4</v>
      </c>
      <c r="D5611" t="str">
        <f t="shared" si="2184"/>
        <v>JBPHH</v>
      </c>
      <c r="E5611" t="str">
        <f t="shared" si="2185"/>
        <v>HI</v>
      </c>
      <c r="F5611" t="str">
        <f t="shared" si="2186"/>
        <v>968603139</v>
      </c>
      <c r="G5611" t="str">
        <f>T("NAVFACHI CI")</f>
        <v>NAVFACHI CI</v>
      </c>
      <c r="H5611" t="str">
        <f>T("400 MARSHALL RD BLDG A4 CODE ACQ1")</f>
        <v>400 MARSHALL RD BLDG A4 CODE ACQ1</v>
      </c>
      <c r="I5611" t="str">
        <f t="shared" si="2180"/>
        <v>JBPHH</v>
      </c>
      <c r="J5611" t="str">
        <f t="shared" si="2187"/>
        <v>HI</v>
      </c>
      <c r="K5611" t="str">
        <f>T("8084743813")</f>
        <v>8084743813</v>
      </c>
      <c r="L5611" t="str">
        <f>T("8084710325")</f>
        <v>8084710325</v>
      </c>
    </row>
    <row r="5612" spans="1:12" x14ac:dyDescent="0.35">
      <c r="A5612" t="str">
        <f t="shared" si="2182"/>
        <v>NAVFAC HAWAII HL5</v>
      </c>
      <c r="B5612" t="str">
        <f t="shared" si="2183"/>
        <v>400 MARSHALL RD</v>
      </c>
      <c r="C5612" t="str">
        <f t="shared" si="2176"/>
        <v>BLDG A4</v>
      </c>
      <c r="D5612" t="str">
        <f t="shared" si="2184"/>
        <v>JBPHH</v>
      </c>
      <c r="E5612" t="str">
        <f t="shared" si="2185"/>
        <v>HI</v>
      </c>
      <c r="F5612" t="str">
        <f t="shared" si="2186"/>
        <v>968603139</v>
      </c>
      <c r="G5612" t="str">
        <f>T("NAVFACHI CI3")</f>
        <v>NAVFACHI CI3</v>
      </c>
      <c r="H5612" t="str">
        <f>T("400 MARSHALL RD BLDG A13 ACQ")</f>
        <v>400 MARSHALL RD BLDG A13 ACQ</v>
      </c>
      <c r="I5612" t="str">
        <f t="shared" si="2180"/>
        <v>JBPHH</v>
      </c>
      <c r="J5612" t="str">
        <f t="shared" si="2187"/>
        <v>HI</v>
      </c>
      <c r="K5612" t="str">
        <f>T("8084743813")</f>
        <v>8084743813</v>
      </c>
      <c r="L5612" t="str">
        <f>T("8084743491")</f>
        <v>8084743491</v>
      </c>
    </row>
    <row r="5613" spans="1:12" x14ac:dyDescent="0.35">
      <c r="A5613" t="str">
        <f t="shared" si="2182"/>
        <v>NAVFAC HAWAII HL5</v>
      </c>
      <c r="B5613" t="str">
        <f t="shared" si="2183"/>
        <v>400 MARSHALL RD</v>
      </c>
      <c r="C5613" t="str">
        <f t="shared" si="2176"/>
        <v>BLDG A4</v>
      </c>
      <c r="D5613" t="str">
        <f t="shared" si="2184"/>
        <v>JBPHH</v>
      </c>
      <c r="E5613" t="str">
        <f t="shared" si="2185"/>
        <v>HI</v>
      </c>
      <c r="F5613" t="str">
        <f t="shared" si="2186"/>
        <v>968603139</v>
      </c>
      <c r="G5613" t="str">
        <f>T("NAVFACHI CIO")</f>
        <v>NAVFACHI CIO</v>
      </c>
      <c r="H5613" t="str">
        <f>T("400 MARSHALL RD BLDG A4")</f>
        <v>400 MARSHALL RD BLDG A4</v>
      </c>
      <c r="I5613" t="str">
        <f t="shared" si="2180"/>
        <v>JBPHH</v>
      </c>
      <c r="J5613" t="str">
        <f t="shared" si="2187"/>
        <v>HI</v>
      </c>
      <c r="K5613" t="str">
        <f>T("8084743847")</f>
        <v>8084743847</v>
      </c>
      <c r="L5613" t="str">
        <f>T("8084743954")</f>
        <v>8084743954</v>
      </c>
    </row>
    <row r="5614" spans="1:12" x14ac:dyDescent="0.35">
      <c r="A5614" t="str">
        <f t="shared" si="2182"/>
        <v>NAVFAC HAWAII HL5</v>
      </c>
      <c r="B5614" t="str">
        <f t="shared" si="2183"/>
        <v>400 MARSHALL RD</v>
      </c>
      <c r="C5614" t="str">
        <f t="shared" si="2176"/>
        <v>BLDG A4</v>
      </c>
      <c r="D5614" t="str">
        <f t="shared" si="2184"/>
        <v>JBPHH</v>
      </c>
      <c r="E5614" t="str">
        <f t="shared" si="2185"/>
        <v>HI</v>
      </c>
      <c r="F5614" t="str">
        <f t="shared" si="2186"/>
        <v>968603139</v>
      </c>
      <c r="G5614" t="str">
        <f>T("NAVFACHI FISC")</f>
        <v>NAVFACHI FISC</v>
      </c>
      <c r="H5614" t="str">
        <f>T("400 MARSHALL RD BLDG A4")</f>
        <v>400 MARSHALL RD BLDG A4</v>
      </c>
      <c r="I5614" t="str">
        <f t="shared" si="2180"/>
        <v>JBPHH</v>
      </c>
      <c r="J5614" t="str">
        <f t="shared" si="2187"/>
        <v>HI</v>
      </c>
      <c r="K5614" t="str">
        <f t="shared" ref="K5614:K5619" si="2188">T("8084746808")</f>
        <v>8084746808</v>
      </c>
      <c r="L5614" t="str">
        <f>T("8084711174")</f>
        <v>8084711174</v>
      </c>
    </row>
    <row r="5615" spans="1:12" x14ac:dyDescent="0.35">
      <c r="A5615" t="str">
        <f t="shared" si="2182"/>
        <v>NAVFAC HAWAII HL5</v>
      </c>
      <c r="B5615" t="str">
        <f t="shared" si="2183"/>
        <v>400 MARSHALL RD</v>
      </c>
      <c r="C5615" t="str">
        <f t="shared" si="2176"/>
        <v>BLDG A4</v>
      </c>
      <c r="D5615" t="str">
        <f t="shared" si="2184"/>
        <v>JBPHH</v>
      </c>
      <c r="E5615" t="str">
        <f t="shared" si="2185"/>
        <v>HI</v>
      </c>
      <c r="F5615" t="str">
        <f t="shared" si="2186"/>
        <v>968603139</v>
      </c>
      <c r="G5615" t="str">
        <f>T("NAVFACHI FLC")</f>
        <v>NAVFACHI FLC</v>
      </c>
      <c r="H5615" t="str">
        <f>T("400 MARSHALL RD BLDG A4")</f>
        <v>400 MARSHALL RD BLDG A4</v>
      </c>
      <c r="I5615" t="str">
        <f t="shared" si="2180"/>
        <v>JBPHH</v>
      </c>
      <c r="J5615" t="str">
        <f t="shared" si="2187"/>
        <v>HI</v>
      </c>
      <c r="K5615" t="str">
        <f t="shared" si="2188"/>
        <v>8084746808</v>
      </c>
      <c r="L5615" t="str">
        <f>T("8084740127")</f>
        <v>8084740127</v>
      </c>
    </row>
    <row r="5616" spans="1:12" x14ac:dyDescent="0.35">
      <c r="A5616" t="str">
        <f t="shared" si="2182"/>
        <v>NAVFAC HAWAII HL5</v>
      </c>
      <c r="B5616" t="str">
        <f t="shared" si="2183"/>
        <v>400 MARSHALL RD</v>
      </c>
      <c r="C5616" t="str">
        <f t="shared" si="2176"/>
        <v>BLDG A4</v>
      </c>
      <c r="D5616" t="str">
        <f t="shared" si="2184"/>
        <v>JBPHH</v>
      </c>
      <c r="E5616" t="str">
        <f t="shared" si="2185"/>
        <v>HI</v>
      </c>
      <c r="F5616" t="str">
        <f t="shared" si="2186"/>
        <v>968603139</v>
      </c>
      <c r="G5616" t="str">
        <f>T("NAVFACHI FLC")</f>
        <v>NAVFACHI FLC</v>
      </c>
      <c r="H5616" t="str">
        <f>T("400 MARSHALL RD BLDLG A4 CODE ACQ")</f>
        <v>400 MARSHALL RD BLDLG A4 CODE ACQ</v>
      </c>
      <c r="I5616" t="str">
        <f t="shared" si="2180"/>
        <v>JBPHH</v>
      </c>
      <c r="J5616" t="str">
        <f t="shared" si="2187"/>
        <v>HI</v>
      </c>
      <c r="K5616" t="str">
        <f t="shared" si="2188"/>
        <v>8084746808</v>
      </c>
      <c r="L5616" t="str">
        <f>T("8084741200")</f>
        <v>8084741200</v>
      </c>
    </row>
    <row r="5617" spans="1:12" x14ac:dyDescent="0.35">
      <c r="A5617" t="str">
        <f t="shared" si="2182"/>
        <v>NAVFAC HAWAII HL5</v>
      </c>
      <c r="B5617" t="str">
        <f t="shared" si="2183"/>
        <v>400 MARSHALL RD</v>
      </c>
      <c r="C5617" t="str">
        <f t="shared" si="2176"/>
        <v>BLDG A4</v>
      </c>
      <c r="D5617" t="str">
        <f t="shared" si="2184"/>
        <v>JBPHH</v>
      </c>
      <c r="E5617" t="str">
        <f t="shared" si="2185"/>
        <v>HI</v>
      </c>
      <c r="F5617" t="str">
        <f t="shared" si="2186"/>
        <v>968603139</v>
      </c>
      <c r="G5617" t="str">
        <f>T("NAVFACHI NAVSUP FLC")</f>
        <v>NAVFACHI NAVSUP FLC</v>
      </c>
      <c r="H5617" t="str">
        <f>T("400 MARSHALL RD BLDG A13")</f>
        <v>400 MARSHALL RD BLDG A13</v>
      </c>
      <c r="I5617" t="str">
        <f t="shared" si="2180"/>
        <v>JBPHH</v>
      </c>
      <c r="J5617" t="str">
        <f t="shared" si="2187"/>
        <v>HI</v>
      </c>
      <c r="K5617" t="str">
        <f t="shared" si="2188"/>
        <v>8084746808</v>
      </c>
      <c r="L5617" t="str">
        <f>T("8084746802")</f>
        <v>8084746802</v>
      </c>
    </row>
    <row r="5618" spans="1:12" x14ac:dyDescent="0.35">
      <c r="A5618" t="str">
        <f t="shared" si="2182"/>
        <v>NAVFAC HAWAII HL5</v>
      </c>
      <c r="B5618" t="str">
        <f t="shared" si="2183"/>
        <v>400 MARSHALL RD</v>
      </c>
      <c r="C5618" t="str">
        <f t="shared" si="2176"/>
        <v>BLDG A4</v>
      </c>
      <c r="D5618" t="str">
        <f t="shared" si="2184"/>
        <v>JBPHH</v>
      </c>
      <c r="E5618" t="str">
        <f t="shared" si="2185"/>
        <v>HI</v>
      </c>
      <c r="F5618" t="str">
        <f t="shared" si="2186"/>
        <v>968603139</v>
      </c>
      <c r="G5618" t="str">
        <f>T("NAVFACHI NAVSUP FLC")</f>
        <v>NAVFACHI NAVSUP FLC</v>
      </c>
      <c r="H5618" t="str">
        <f>T("400 MARSHALL RD BLDG A4")</f>
        <v>400 MARSHALL RD BLDG A4</v>
      </c>
      <c r="I5618" t="str">
        <f t="shared" si="2180"/>
        <v>JBPHH</v>
      </c>
      <c r="J5618" t="str">
        <f t="shared" si="2187"/>
        <v>HI</v>
      </c>
      <c r="K5618" t="str">
        <f t="shared" si="2188"/>
        <v>8084746808</v>
      </c>
      <c r="L5618" t="str">
        <f>T("8084711884")</f>
        <v>8084711884</v>
      </c>
    </row>
    <row r="5619" spans="1:12" x14ac:dyDescent="0.35">
      <c r="A5619" t="str">
        <f t="shared" si="2182"/>
        <v>NAVFAC HAWAII HL5</v>
      </c>
      <c r="B5619" t="str">
        <f t="shared" si="2183"/>
        <v>400 MARSHALL RD</v>
      </c>
      <c r="C5619" t="str">
        <f t="shared" si="2176"/>
        <v>BLDG A4</v>
      </c>
      <c r="D5619" t="str">
        <f t="shared" si="2184"/>
        <v>JBPHH</v>
      </c>
      <c r="E5619" t="str">
        <f t="shared" si="2185"/>
        <v>HI</v>
      </c>
      <c r="F5619" t="str">
        <f t="shared" si="2186"/>
        <v>968603139</v>
      </c>
      <c r="G5619" t="str">
        <f>T("NAVFACHI NAVSUP FLC")</f>
        <v>NAVFACHI NAVSUP FLC</v>
      </c>
      <c r="H5619" t="str">
        <f>T("400 MARSHALL RD BLDG A4")</f>
        <v>400 MARSHALL RD BLDG A4</v>
      </c>
      <c r="I5619" t="str">
        <f t="shared" si="2180"/>
        <v>JBPHH</v>
      </c>
      <c r="J5619" t="str">
        <f t="shared" si="2187"/>
        <v>HI</v>
      </c>
      <c r="K5619" t="str">
        <f t="shared" si="2188"/>
        <v>8084746808</v>
      </c>
      <c r="L5619" t="str">
        <f>T("8084714719")</f>
        <v>8084714719</v>
      </c>
    </row>
    <row r="5620" spans="1:12" x14ac:dyDescent="0.35">
      <c r="A5620" t="str">
        <f t="shared" si="2182"/>
        <v>NAVFAC HAWAII HL5</v>
      </c>
      <c r="B5620" t="str">
        <f t="shared" si="2183"/>
        <v>400 MARSHALL RD</v>
      </c>
      <c r="C5620" t="str">
        <f t="shared" si="2176"/>
        <v>BLDG A4</v>
      </c>
      <c r="D5620" t="str">
        <f t="shared" si="2184"/>
        <v>JBPHH</v>
      </c>
      <c r="E5620" t="str">
        <f t="shared" si="2185"/>
        <v>HI</v>
      </c>
      <c r="F5620" t="str">
        <f t="shared" si="2186"/>
        <v>968603139</v>
      </c>
      <c r="G5620" t="str">
        <f>T("NAVFACHI OPHP611")</f>
        <v>NAVFACHI OPHP611</v>
      </c>
      <c r="H5620" t="str">
        <f>T("400 MARSHALL RD BLDG A4")</f>
        <v>400 MARSHALL RD BLDG A4</v>
      </c>
      <c r="I5620" t="str">
        <f t="shared" si="2180"/>
        <v>JBPHH</v>
      </c>
      <c r="J5620" t="str">
        <f t="shared" si="2187"/>
        <v>HI</v>
      </c>
      <c r="K5620" t="str">
        <f>T("000000000000000000")</f>
        <v>000000000000000000</v>
      </c>
      <c r="L5620" t="str">
        <f>T("8084730037")</f>
        <v>8084730037</v>
      </c>
    </row>
    <row r="5621" spans="1:12" x14ac:dyDescent="0.35">
      <c r="A5621" t="str">
        <f t="shared" si="2182"/>
        <v>NAVFAC HAWAII HL5</v>
      </c>
      <c r="B5621" t="str">
        <f t="shared" si="2183"/>
        <v>400 MARSHALL RD</v>
      </c>
      <c r="C5621" t="str">
        <f t="shared" si="2176"/>
        <v>BLDG A4</v>
      </c>
      <c r="D5621" t="str">
        <f t="shared" si="2184"/>
        <v>JBPHH</v>
      </c>
      <c r="E5621" t="str">
        <f t="shared" si="2185"/>
        <v>HI</v>
      </c>
      <c r="F5621" t="str">
        <f t="shared" si="2186"/>
        <v>968603139</v>
      </c>
      <c r="G5621" t="str">
        <f>T("NAVFACHI UEM")</f>
        <v>NAVFACHI UEM</v>
      </c>
      <c r="H5621" t="str">
        <f>T("400 MARSHALL RD BLDG A4")</f>
        <v>400 MARSHALL RD BLDG A4</v>
      </c>
      <c r="I5621" t="str">
        <f t="shared" si="2180"/>
        <v>JBPHH</v>
      </c>
      <c r="J5621" t="str">
        <f t="shared" si="2187"/>
        <v>HI</v>
      </c>
      <c r="K5621" t="str">
        <f>T("8082569777")</f>
        <v>8082569777</v>
      </c>
      <c r="L5621" t="str">
        <f>T("8084731681")</f>
        <v>8084731681</v>
      </c>
    </row>
    <row r="5622" spans="1:12" x14ac:dyDescent="0.35">
      <c r="A5622" t="str">
        <f t="shared" si="2182"/>
        <v>NAVFAC HAWAII HL5</v>
      </c>
      <c r="B5622" t="str">
        <f t="shared" si="2183"/>
        <v>400 MARSHALL RD</v>
      </c>
      <c r="C5622" t="str">
        <f>T("BLDG A4 ACQ1")</f>
        <v>BLDG A4 ACQ1</v>
      </c>
      <c r="D5622" t="str">
        <f t="shared" si="2184"/>
        <v>JBPHH</v>
      </c>
      <c r="E5622" t="str">
        <f t="shared" si="2185"/>
        <v>HI</v>
      </c>
      <c r="F5622" t="str">
        <f t="shared" si="2186"/>
        <v>968603139</v>
      </c>
      <c r="G5622" t="str">
        <f>T("400 MARSHALL RD")</f>
        <v>400 MARSHALL RD</v>
      </c>
      <c r="H5622" t="str">
        <f>T("BLDG A4 ACQ1")</f>
        <v>BLDG A4 ACQ1</v>
      </c>
      <c r="I5622" t="str">
        <f t="shared" si="2180"/>
        <v>JBPHH</v>
      </c>
      <c r="J5622" t="str">
        <f t="shared" si="2187"/>
        <v>HI</v>
      </c>
      <c r="K5622" t="str">
        <f>T("")</f>
        <v/>
      </c>
      <c r="L5622" t="str">
        <f>T("8084710218")</f>
        <v>8084710218</v>
      </c>
    </row>
    <row r="5623" spans="1:12" x14ac:dyDescent="0.35">
      <c r="A5623" t="str">
        <f t="shared" si="2182"/>
        <v>NAVFAC HAWAII HL5</v>
      </c>
      <c r="B5623" t="str">
        <f t="shared" si="2183"/>
        <v>400 MARSHALL RD</v>
      </c>
      <c r="C5623" t="str">
        <f>T("BLDG A4 ACQ1")</f>
        <v>BLDG A4 ACQ1</v>
      </c>
      <c r="D5623" t="str">
        <f t="shared" si="2184"/>
        <v>JBPHH</v>
      </c>
      <c r="E5623" t="str">
        <f t="shared" si="2185"/>
        <v>HI</v>
      </c>
      <c r="F5623" t="str">
        <f t="shared" si="2186"/>
        <v>968603139</v>
      </c>
      <c r="G5623" t="str">
        <f>T("NAVFAC HI UTILITIES")</f>
        <v>NAVFAC HI UTILITIES</v>
      </c>
      <c r="H5623" t="str">
        <f>T("400 MARSHALL RD BLDG A4")</f>
        <v>400 MARSHALL RD BLDG A4</v>
      </c>
      <c r="I5623" t="str">
        <f t="shared" si="2180"/>
        <v>JBPHH</v>
      </c>
      <c r="J5623" t="str">
        <f t="shared" si="2187"/>
        <v>HI</v>
      </c>
      <c r="K5623" t="str">
        <f>T("8084714147")</f>
        <v>8084714147</v>
      </c>
      <c r="L5623" t="str">
        <f>T("8084266885")</f>
        <v>8084266885</v>
      </c>
    </row>
    <row r="5624" spans="1:12" x14ac:dyDescent="0.35">
      <c r="A5624" t="str">
        <f t="shared" si="2182"/>
        <v>NAVFAC HAWAII HL5</v>
      </c>
      <c r="B5624" t="str">
        <f t="shared" si="2183"/>
        <v>400 MARSHALL RD</v>
      </c>
      <c r="C5624" t="str">
        <f>T("BLDG A4 ACQ1")</f>
        <v>BLDG A4 ACQ1</v>
      </c>
      <c r="D5624" t="str">
        <f t="shared" si="2184"/>
        <v>JBPHH</v>
      </c>
      <c r="E5624" t="str">
        <f t="shared" si="2185"/>
        <v>HI</v>
      </c>
      <c r="F5624" t="str">
        <f t="shared" si="2186"/>
        <v>968603139</v>
      </c>
      <c r="G5624" t="str">
        <f>T("NAVFAC HI UTILITIES")</f>
        <v>NAVFAC HI UTILITIES</v>
      </c>
      <c r="H5624" t="str">
        <f>T("400 MARSHALL RD BLDG A4 ACQ1")</f>
        <v>400 MARSHALL RD BLDG A4 ACQ1</v>
      </c>
      <c r="I5624" t="str">
        <f t="shared" si="2180"/>
        <v>JBPHH</v>
      </c>
      <c r="J5624" t="str">
        <f t="shared" si="2187"/>
        <v>HI</v>
      </c>
      <c r="K5624" t="str">
        <f>T("8084714147")</f>
        <v>8084714147</v>
      </c>
      <c r="L5624" t="str">
        <f>T("8083306140")</f>
        <v>8083306140</v>
      </c>
    </row>
    <row r="5625" spans="1:12" x14ac:dyDescent="0.35">
      <c r="A5625" t="str">
        <f t="shared" si="2182"/>
        <v>NAVFAC HAWAII HL5</v>
      </c>
      <c r="B5625" t="str">
        <f t="shared" si="2183"/>
        <v>400 MARSHALL RD</v>
      </c>
      <c r="C5625" t="str">
        <f>T("BLDG A4 ACQ1")</f>
        <v>BLDG A4 ACQ1</v>
      </c>
      <c r="D5625" t="str">
        <f t="shared" si="2184"/>
        <v>JBPHH</v>
      </c>
      <c r="E5625" t="str">
        <f t="shared" si="2185"/>
        <v>HI</v>
      </c>
      <c r="F5625" t="str">
        <f t="shared" si="2186"/>
        <v>968603139</v>
      </c>
      <c r="G5625" t="str">
        <f>T("NAVFACHI WWTP")</f>
        <v>NAVFACHI WWTP</v>
      </c>
      <c r="H5625" t="str">
        <f>T("400 MARSHALL RD BLDG A4")</f>
        <v>400 MARSHALL RD BLDG A4</v>
      </c>
      <c r="I5625" t="str">
        <f t="shared" si="2180"/>
        <v>JBPHH</v>
      </c>
      <c r="J5625" t="str">
        <f t="shared" si="2187"/>
        <v>HI</v>
      </c>
      <c r="K5625" t="str">
        <f>T("8084746182")</f>
        <v>8084746182</v>
      </c>
      <c r="L5625" t="str">
        <f>T("8084711842")</f>
        <v>8084711842</v>
      </c>
    </row>
    <row r="5626" spans="1:12" x14ac:dyDescent="0.35">
      <c r="A5626" t="str">
        <f t="shared" si="2182"/>
        <v>NAVFAC HAWAII HL5</v>
      </c>
      <c r="B5626" t="str">
        <f t="shared" si="2183"/>
        <v>400 MARSHALL RD</v>
      </c>
      <c r="C5626" t="str">
        <f>T("BLDLG A4")</f>
        <v>BLDLG A4</v>
      </c>
      <c r="D5626" t="str">
        <f t="shared" si="2184"/>
        <v>JBPHH</v>
      </c>
      <c r="E5626" t="str">
        <f t="shared" si="2185"/>
        <v>HI</v>
      </c>
      <c r="F5626" t="str">
        <f t="shared" si="2186"/>
        <v>968603139</v>
      </c>
      <c r="G5626" t="str">
        <f>T("400 MARSHALL RD")</f>
        <v>400 MARSHALL RD</v>
      </c>
      <c r="H5626" t="str">
        <f>T("BLDLG A4")</f>
        <v>BLDLG A4</v>
      </c>
      <c r="I5626" t="str">
        <f t="shared" si="2180"/>
        <v>JBPHH</v>
      </c>
      <c r="J5626" t="str">
        <f t="shared" si="2187"/>
        <v>HI</v>
      </c>
      <c r="K5626" t="str">
        <f>T("80847433813")</f>
        <v>80847433813</v>
      </c>
      <c r="L5626" t="str">
        <f>T("8084711946")</f>
        <v>8084711946</v>
      </c>
    </row>
    <row r="5627" spans="1:12" x14ac:dyDescent="0.35">
      <c r="A5627" t="str">
        <f t="shared" si="2182"/>
        <v>NAVFAC HAWAII HL5</v>
      </c>
      <c r="B5627" t="str">
        <f t="shared" si="2183"/>
        <v>400 MARSHALL RD</v>
      </c>
      <c r="C5627" t="str">
        <f>T("BLDLG A4")</f>
        <v>BLDLG A4</v>
      </c>
      <c r="D5627" t="str">
        <f t="shared" si="2184"/>
        <v>JBPHH</v>
      </c>
      <c r="E5627" t="str">
        <f t="shared" si="2185"/>
        <v>HI</v>
      </c>
      <c r="F5627" t="str">
        <f t="shared" si="2186"/>
        <v>968603139</v>
      </c>
      <c r="G5627" t="str">
        <f>T("NAVFAC HI")</f>
        <v>NAVFAC HI</v>
      </c>
      <c r="H5627" t="str">
        <f>T("400 MARSHALL RD BLDG A4")</f>
        <v>400 MARSHALL RD BLDG A4</v>
      </c>
      <c r="I5627" t="str">
        <f t="shared" si="2180"/>
        <v>JBPHH</v>
      </c>
      <c r="J5627" t="str">
        <f t="shared" si="2187"/>
        <v>HI</v>
      </c>
      <c r="K5627" t="str">
        <f>T("8082571505")</f>
        <v>8082571505</v>
      </c>
      <c r="L5627" t="str">
        <f>T("8082571503")</f>
        <v>8082571503</v>
      </c>
    </row>
    <row r="5628" spans="1:12" x14ac:dyDescent="0.35">
      <c r="A5628" t="str">
        <f t="shared" si="2182"/>
        <v>NAVFAC HAWAII HL5</v>
      </c>
      <c r="B5628" t="str">
        <f t="shared" si="2183"/>
        <v>400 MARSHALL RD</v>
      </c>
      <c r="C5628" t="str">
        <f>T("BLDLG A4")</f>
        <v>BLDLG A4</v>
      </c>
      <c r="D5628" t="str">
        <f t="shared" si="2184"/>
        <v>JBPHH</v>
      </c>
      <c r="E5628" t="str">
        <f t="shared" si="2185"/>
        <v>HI</v>
      </c>
      <c r="F5628" t="str">
        <f t="shared" si="2186"/>
        <v>968603139</v>
      </c>
      <c r="G5628" t="str">
        <f>T("NAVFAC HI FEAD")</f>
        <v>NAVFAC HI FEAD</v>
      </c>
      <c r="H5628" t="str">
        <f>T("400 MARSHALL RD BLDG A4")</f>
        <v>400 MARSHALL RD BLDG A4</v>
      </c>
      <c r="I5628" t="str">
        <f t="shared" si="2180"/>
        <v>JBPHH</v>
      </c>
      <c r="J5628" t="str">
        <f t="shared" si="2187"/>
        <v>HI</v>
      </c>
      <c r="K5628" t="str">
        <f>T("8084482844")</f>
        <v>8084482844</v>
      </c>
      <c r="L5628" t="str">
        <f>T("8084745309")</f>
        <v>8084745309</v>
      </c>
    </row>
    <row r="5629" spans="1:12" x14ac:dyDescent="0.35">
      <c r="A5629" t="str">
        <f t="shared" si="2182"/>
        <v>NAVFAC HAWAII HL5</v>
      </c>
      <c r="B5629" t="str">
        <f t="shared" si="2183"/>
        <v>400 MARSHALL RD</v>
      </c>
      <c r="C5629" t="str">
        <f>T("BLDLG A4")</f>
        <v>BLDLG A4</v>
      </c>
      <c r="D5629" t="str">
        <f t="shared" si="2184"/>
        <v>JBPHH</v>
      </c>
      <c r="E5629" t="str">
        <f t="shared" si="2185"/>
        <v>HI</v>
      </c>
      <c r="F5629" t="str">
        <f t="shared" si="2186"/>
        <v>968603139</v>
      </c>
      <c r="G5629" t="str">
        <f>T("NAVFACHI FEAD")</f>
        <v>NAVFACHI FEAD</v>
      </c>
      <c r="H5629" t="str">
        <f>T("400 MARSHALL RD BLDG A4")</f>
        <v>400 MARSHALL RD BLDG A4</v>
      </c>
      <c r="I5629" t="str">
        <f t="shared" si="2180"/>
        <v>JBPHH</v>
      </c>
      <c r="J5629" t="str">
        <f t="shared" si="2187"/>
        <v>HI</v>
      </c>
      <c r="K5629" t="str">
        <f>T("808474322023")</f>
        <v>808474322023</v>
      </c>
      <c r="L5629" t="str">
        <f>T("1111111111")</f>
        <v>1111111111</v>
      </c>
    </row>
    <row r="5630" spans="1:12" x14ac:dyDescent="0.35">
      <c r="A5630" t="str">
        <f t="shared" si="2182"/>
        <v>NAVFAC HAWAII HL5</v>
      </c>
      <c r="B5630" t="str">
        <f>T("400 MARSHALL RD BLDG A-4")</f>
        <v>400 MARSHALL RD BLDG A-4</v>
      </c>
      <c r="C5630" t="str">
        <f>T("CODE BSVE PRP33")</f>
        <v>CODE BSVE PRP33</v>
      </c>
      <c r="D5630" t="str">
        <f t="shared" si="2184"/>
        <v>JBPHH</v>
      </c>
      <c r="E5630" t="str">
        <f t="shared" si="2185"/>
        <v>HI</v>
      </c>
      <c r="F5630" t="str">
        <f t="shared" si="2186"/>
        <v>968603139</v>
      </c>
      <c r="G5630" t="str">
        <f>T("400 MARSHALL RD BLDG A-4")</f>
        <v>400 MARSHALL RD BLDG A-4</v>
      </c>
      <c r="H5630" t="str">
        <f>T("CODE BSVE PRP33")</f>
        <v>CODE BSVE PRP33</v>
      </c>
      <c r="I5630" t="str">
        <f t="shared" si="2180"/>
        <v>JBPHH</v>
      </c>
      <c r="J5630" t="str">
        <f t="shared" si="2187"/>
        <v>HI</v>
      </c>
      <c r="K5630" t="str">
        <f>T("")</f>
        <v/>
      </c>
      <c r="L5630" t="str">
        <f>T("8084713366")</f>
        <v>8084713366</v>
      </c>
    </row>
    <row r="5631" spans="1:12" x14ac:dyDescent="0.35">
      <c r="A5631" t="str">
        <f t="shared" si="2182"/>
        <v>NAVFAC HAWAII HL5</v>
      </c>
      <c r="B5631" t="str">
        <f>T("400 MARSHALL RD BLDG A-4")</f>
        <v>400 MARSHALL RD BLDG A-4</v>
      </c>
      <c r="C5631" t="str">
        <f>T("CODE BSVE PRP33")</f>
        <v>CODE BSVE PRP33</v>
      </c>
      <c r="D5631" t="str">
        <f t="shared" si="2184"/>
        <v>JBPHH</v>
      </c>
      <c r="E5631" t="str">
        <f t="shared" si="2185"/>
        <v>HI</v>
      </c>
      <c r="F5631" t="str">
        <f t="shared" si="2186"/>
        <v>968603139</v>
      </c>
      <c r="G5631" t="str">
        <f>T("400 MARSHALL ROAD")</f>
        <v>400 MARSHALL ROAD</v>
      </c>
      <c r="H5631" t="str">
        <f>T("BLDG A4")</f>
        <v>BLDG A4</v>
      </c>
      <c r="I5631" t="str">
        <f t="shared" si="2180"/>
        <v>JBPHH</v>
      </c>
      <c r="J5631" t="str">
        <f t="shared" si="2187"/>
        <v>HI</v>
      </c>
      <c r="K5631" t="str">
        <f>T("8084740153")</f>
        <v>8084740153</v>
      </c>
      <c r="L5631" t="str">
        <f>T("8084711296")</f>
        <v>8084711296</v>
      </c>
    </row>
    <row r="5632" spans="1:12" x14ac:dyDescent="0.35">
      <c r="A5632" t="str">
        <f t="shared" si="2182"/>
        <v>NAVFAC HAWAII HL5</v>
      </c>
      <c r="B5632" t="str">
        <f>T("400 MARSHALL RD BLDG A-4")</f>
        <v>400 MARSHALL RD BLDG A-4</v>
      </c>
      <c r="C5632" t="str">
        <f>T("CODE BSVE PRP33")</f>
        <v>CODE BSVE PRP33</v>
      </c>
      <c r="D5632" t="str">
        <f t="shared" si="2184"/>
        <v>JBPHH</v>
      </c>
      <c r="E5632" t="str">
        <f t="shared" si="2185"/>
        <v>HI</v>
      </c>
      <c r="F5632" t="str">
        <f t="shared" si="2186"/>
        <v>968603139</v>
      </c>
      <c r="G5632" t="str">
        <f>T("NAVFAC HAWAII BSVE")</f>
        <v>NAVFAC HAWAII BSVE</v>
      </c>
      <c r="H5632" t="str">
        <f>T("400 MARSHALL RD BLDG A4 ACQ1")</f>
        <v>400 MARSHALL RD BLDG A4 ACQ1</v>
      </c>
      <c r="I5632" t="str">
        <f t="shared" si="2180"/>
        <v>JBPHH</v>
      </c>
      <c r="J5632" t="str">
        <f t="shared" si="2187"/>
        <v>HI</v>
      </c>
      <c r="K5632" t="str">
        <f>T("8084740153")</f>
        <v>8084740153</v>
      </c>
      <c r="L5632" t="str">
        <f>T("8084742407")</f>
        <v>8084742407</v>
      </c>
    </row>
    <row r="5633" spans="1:12" x14ac:dyDescent="0.35">
      <c r="A5633" t="str">
        <f t="shared" si="2182"/>
        <v>NAVFAC HAWAII HL5</v>
      </c>
      <c r="B5633" t="str">
        <f>T("400 MARSHALL RD BLDG A-4")</f>
        <v>400 MARSHALL RD BLDG A-4</v>
      </c>
      <c r="C5633" t="str">
        <f>T("CODE BSVE PRP33")</f>
        <v>CODE BSVE PRP33</v>
      </c>
      <c r="D5633" t="str">
        <f t="shared" si="2184"/>
        <v>JBPHH</v>
      </c>
      <c r="E5633" t="str">
        <f t="shared" si="2185"/>
        <v>HI</v>
      </c>
      <c r="F5633" t="str">
        <f t="shared" si="2186"/>
        <v>968603139</v>
      </c>
      <c r="G5633" t="str">
        <f>T("NAVFAC HAWAII BSVE")</f>
        <v>NAVFAC HAWAII BSVE</v>
      </c>
      <c r="H5633" t="str">
        <f>T("400 MARSHALL RD BLDG A4 CODE ACQ1")</f>
        <v>400 MARSHALL RD BLDG A4 CODE ACQ1</v>
      </c>
      <c r="I5633" t="str">
        <f t="shared" si="2180"/>
        <v>JBPHH</v>
      </c>
      <c r="J5633" t="str">
        <f t="shared" si="2187"/>
        <v>HI</v>
      </c>
      <c r="K5633" t="str">
        <f>T("8084740153")</f>
        <v>8084740153</v>
      </c>
      <c r="L5633" t="str">
        <f>T("8084740663")</f>
        <v>8084740663</v>
      </c>
    </row>
    <row r="5634" spans="1:12" x14ac:dyDescent="0.35">
      <c r="A5634" t="str">
        <f t="shared" si="2182"/>
        <v>NAVFAC HAWAII HL5</v>
      </c>
      <c r="B5634" t="str">
        <f>T("400 MARSHALL RD BLDG A-4")</f>
        <v>400 MARSHALL RD BLDG A-4</v>
      </c>
      <c r="C5634" t="str">
        <f>T("CODE BSVE PRP33")</f>
        <v>CODE BSVE PRP33</v>
      </c>
      <c r="D5634" t="str">
        <f t="shared" si="2184"/>
        <v>JBPHH</v>
      </c>
      <c r="E5634" t="str">
        <f t="shared" si="2185"/>
        <v>HI</v>
      </c>
      <c r="F5634" t="str">
        <f t="shared" si="2186"/>
        <v>968603139</v>
      </c>
      <c r="G5634" t="str">
        <f>T("NAVFAC HI OPC742")</f>
        <v>NAVFAC HI OPC742</v>
      </c>
      <c r="H5634" t="str">
        <f>T("400 MARSHALL RD BLDG A4")</f>
        <v>400 MARSHALL RD BLDG A4</v>
      </c>
      <c r="I5634" t="str">
        <f>T("JBPP")</f>
        <v>JBPP</v>
      </c>
      <c r="J5634" t="str">
        <f t="shared" si="2187"/>
        <v>HI</v>
      </c>
      <c r="K5634" t="str">
        <f>T("8084740153")</f>
        <v>8084740153</v>
      </c>
      <c r="L5634" t="str">
        <f>T("8084711296")</f>
        <v>8084711296</v>
      </c>
    </row>
    <row r="5635" spans="1:12" x14ac:dyDescent="0.35">
      <c r="A5635" t="str">
        <f t="shared" si="2182"/>
        <v>NAVFAC HAWAII HL5</v>
      </c>
      <c r="B5635" t="str">
        <f t="shared" ref="B5635:B5646" si="2189">T("400 MARSHALL RD BLDG A4")</f>
        <v>400 MARSHALL RD BLDG A4</v>
      </c>
      <c r="C5635" t="str">
        <f t="shared" ref="C5635:C5646" si="2190">T("")</f>
        <v/>
      </c>
      <c r="D5635" t="str">
        <f t="shared" si="2184"/>
        <v>JBPHH</v>
      </c>
      <c r="E5635" t="str">
        <f t="shared" si="2185"/>
        <v>HI</v>
      </c>
      <c r="F5635" t="str">
        <f t="shared" si="2186"/>
        <v>968603139</v>
      </c>
      <c r="G5635" t="str">
        <f>T("400 MARSHALL RD")</f>
        <v>400 MARSHALL RD</v>
      </c>
      <c r="H5635" t="str">
        <f>T("BLDG A-4")</f>
        <v>BLDG A-4</v>
      </c>
      <c r="I5635" t="str">
        <f t="shared" ref="I5635:I5640" si="2191">T("JBPHH")</f>
        <v>JBPHH</v>
      </c>
      <c r="J5635" t="str">
        <f t="shared" si="2187"/>
        <v>HI</v>
      </c>
      <c r="K5635" t="str">
        <f>T("8084712903")</f>
        <v>8084712903</v>
      </c>
      <c r="L5635" t="str">
        <f>T("8084715746")</f>
        <v>8084715746</v>
      </c>
    </row>
    <row r="5636" spans="1:12" x14ac:dyDescent="0.35">
      <c r="A5636" t="str">
        <f t="shared" si="2182"/>
        <v>NAVFAC HAWAII HL5</v>
      </c>
      <c r="B5636" t="str">
        <f t="shared" si="2189"/>
        <v>400 MARSHALL RD BLDG A4</v>
      </c>
      <c r="C5636" t="str">
        <f t="shared" si="2190"/>
        <v/>
      </c>
      <c r="D5636" t="str">
        <f t="shared" si="2184"/>
        <v>JBPHH</v>
      </c>
      <c r="E5636" t="str">
        <f t="shared" si="2185"/>
        <v>HI</v>
      </c>
      <c r="F5636" t="str">
        <f t="shared" si="2186"/>
        <v>968603139</v>
      </c>
      <c r="G5636" t="str">
        <f>T("400 MARSHALL RD")</f>
        <v>400 MARSHALL RD</v>
      </c>
      <c r="H5636" t="str">
        <f>T("BLDG A4")</f>
        <v>BLDG A4</v>
      </c>
      <c r="I5636" t="str">
        <f t="shared" si="2191"/>
        <v>JBPHH</v>
      </c>
      <c r="J5636" t="str">
        <f t="shared" si="2187"/>
        <v>HI</v>
      </c>
      <c r="K5636" t="str">
        <f>T("8084746808")</f>
        <v>8084746808</v>
      </c>
      <c r="L5636" t="str">
        <f>T("8084740399")</f>
        <v>8084740399</v>
      </c>
    </row>
    <row r="5637" spans="1:12" x14ac:dyDescent="0.35">
      <c r="A5637" t="str">
        <f t="shared" si="2182"/>
        <v>NAVFAC HAWAII HL5</v>
      </c>
      <c r="B5637" t="str">
        <f t="shared" si="2189"/>
        <v>400 MARSHALL RD BLDG A4</v>
      </c>
      <c r="C5637" t="str">
        <f t="shared" si="2190"/>
        <v/>
      </c>
      <c r="D5637" t="str">
        <f t="shared" si="2184"/>
        <v>JBPHH</v>
      </c>
      <c r="E5637" t="str">
        <f t="shared" si="2185"/>
        <v>HI</v>
      </c>
      <c r="F5637" t="str">
        <f t="shared" si="2186"/>
        <v>968603139</v>
      </c>
      <c r="G5637" t="str">
        <f>T("400 MARSHALL RD BLDG A4")</f>
        <v>400 MARSHALL RD BLDG A4</v>
      </c>
      <c r="H5637" t="str">
        <f>T("")</f>
        <v/>
      </c>
      <c r="I5637" t="str">
        <f t="shared" si="2191"/>
        <v>JBPHH</v>
      </c>
      <c r="J5637" t="str">
        <f t="shared" si="2187"/>
        <v>HI</v>
      </c>
      <c r="K5637" t="str">
        <f>T("8084712903")</f>
        <v>8084712903</v>
      </c>
      <c r="L5637" t="str">
        <f>T("8084745086")</f>
        <v>8084745086</v>
      </c>
    </row>
    <row r="5638" spans="1:12" x14ac:dyDescent="0.35">
      <c r="A5638" t="str">
        <f t="shared" si="2182"/>
        <v>NAVFAC HAWAII HL5</v>
      </c>
      <c r="B5638" t="str">
        <f t="shared" si="2189"/>
        <v>400 MARSHALL RD BLDG A4</v>
      </c>
      <c r="C5638" t="str">
        <f t="shared" si="2190"/>
        <v/>
      </c>
      <c r="D5638" t="str">
        <f t="shared" si="2184"/>
        <v>JBPHH</v>
      </c>
      <c r="E5638" t="str">
        <f t="shared" si="2185"/>
        <v>HI</v>
      </c>
      <c r="F5638" t="str">
        <f t="shared" si="2186"/>
        <v>968603139</v>
      </c>
      <c r="G5638" t="str">
        <f>T("400 MARSHALL RD BLDG A4")</f>
        <v>400 MARSHALL RD BLDG A4</v>
      </c>
      <c r="H5638" t="str">
        <f>T("")</f>
        <v/>
      </c>
      <c r="I5638" t="str">
        <f t="shared" si="2191"/>
        <v>JBPHH</v>
      </c>
      <c r="J5638" t="str">
        <f t="shared" si="2187"/>
        <v>HI</v>
      </c>
      <c r="K5638" t="str">
        <f>T("8084746808")</f>
        <v>8084746808</v>
      </c>
      <c r="L5638" t="str">
        <f>T("8084710042")</f>
        <v>8084710042</v>
      </c>
    </row>
    <row r="5639" spans="1:12" x14ac:dyDescent="0.35">
      <c r="A5639" t="str">
        <f t="shared" si="2182"/>
        <v>NAVFAC HAWAII HL5</v>
      </c>
      <c r="B5639" t="str">
        <f t="shared" si="2189"/>
        <v>400 MARSHALL RD BLDG A4</v>
      </c>
      <c r="C5639" t="str">
        <f t="shared" si="2190"/>
        <v/>
      </c>
      <c r="D5639" t="str">
        <f t="shared" si="2184"/>
        <v>JBPHH</v>
      </c>
      <c r="E5639" t="str">
        <f t="shared" si="2185"/>
        <v>HI</v>
      </c>
      <c r="F5639" t="str">
        <f t="shared" si="2186"/>
        <v>968603139</v>
      </c>
      <c r="G5639" t="str">
        <f>T("400 MARSHALL RD BLDG A4")</f>
        <v>400 MARSHALL RD BLDG A4</v>
      </c>
      <c r="H5639" t="str">
        <f>T("")</f>
        <v/>
      </c>
      <c r="I5639" t="str">
        <f t="shared" si="2191"/>
        <v>JBPHH</v>
      </c>
      <c r="J5639" t="str">
        <f t="shared" si="2187"/>
        <v>HI</v>
      </c>
      <c r="K5639" t="str">
        <f>T("8084746808")</f>
        <v>8084746808</v>
      </c>
      <c r="L5639" t="str">
        <f>T("8084745146")</f>
        <v>8084745146</v>
      </c>
    </row>
    <row r="5640" spans="1:12" x14ac:dyDescent="0.35">
      <c r="A5640" t="str">
        <f t="shared" si="2182"/>
        <v>NAVFAC HAWAII HL5</v>
      </c>
      <c r="B5640" t="str">
        <f t="shared" si="2189"/>
        <v>400 MARSHALL RD BLDG A4</v>
      </c>
      <c r="C5640" t="str">
        <f t="shared" si="2190"/>
        <v/>
      </c>
      <c r="D5640" t="str">
        <f t="shared" si="2184"/>
        <v>JBPHH</v>
      </c>
      <c r="E5640" t="str">
        <f t="shared" si="2185"/>
        <v>HI</v>
      </c>
      <c r="F5640" t="str">
        <f t="shared" si="2186"/>
        <v>968603139</v>
      </c>
      <c r="G5640" t="str">
        <f>T("NAVFAC HI NAVSUP FLC")</f>
        <v>NAVFAC HI NAVSUP FLC</v>
      </c>
      <c r="H5640" t="str">
        <f>T("400 MARSHALL RD BLDG A4")</f>
        <v>400 MARSHALL RD BLDG A4</v>
      </c>
      <c r="I5640" t="str">
        <f t="shared" si="2191"/>
        <v>JBPHH</v>
      </c>
      <c r="J5640" t="str">
        <f t="shared" si="2187"/>
        <v>HI</v>
      </c>
      <c r="K5640" t="str">
        <f>T("8084746808")</f>
        <v>8084746808</v>
      </c>
      <c r="L5640" t="str">
        <f>T("8084711179")</f>
        <v>8084711179</v>
      </c>
    </row>
    <row r="5641" spans="1:12" x14ac:dyDescent="0.35">
      <c r="A5641" t="str">
        <f t="shared" si="2182"/>
        <v>NAVFAC HAWAII HL5</v>
      </c>
      <c r="B5641" t="str">
        <f t="shared" si="2189"/>
        <v>400 MARSHALL RD BLDG A4</v>
      </c>
      <c r="C5641" t="str">
        <f t="shared" si="2190"/>
        <v/>
      </c>
      <c r="D5641" t="str">
        <f t="shared" si="2184"/>
        <v>JBPHH</v>
      </c>
      <c r="E5641" t="str">
        <f t="shared" si="2185"/>
        <v>HI</v>
      </c>
      <c r="F5641" t="str">
        <f t="shared" si="2186"/>
        <v>968603139</v>
      </c>
      <c r="G5641" t="str">
        <f>T("NAVFAC HI NAVSUP FLC")</f>
        <v>NAVFAC HI NAVSUP FLC</v>
      </c>
      <c r="H5641" t="str">
        <f>T("400 MARSHALL RD BLDG A4")</f>
        <v>400 MARSHALL RD BLDG A4</v>
      </c>
      <c r="I5641" t="str">
        <f>T("JBPP")</f>
        <v>JBPP</v>
      </c>
      <c r="J5641" t="str">
        <f t="shared" si="2187"/>
        <v>HI</v>
      </c>
      <c r="K5641" t="str">
        <f>T("000000000000000000")</f>
        <v>000000000000000000</v>
      </c>
      <c r="L5641" t="str">
        <f>T("8084746484")</f>
        <v>8084746484</v>
      </c>
    </row>
    <row r="5642" spans="1:12" x14ac:dyDescent="0.35">
      <c r="A5642" t="str">
        <f t="shared" ref="A5642:A5651" si="2192">T("NAVFAC HAWAII HL5")</f>
        <v>NAVFAC HAWAII HL5</v>
      </c>
      <c r="B5642" t="str">
        <f t="shared" si="2189"/>
        <v>400 MARSHALL RD BLDG A4</v>
      </c>
      <c r="C5642" t="str">
        <f t="shared" si="2190"/>
        <v/>
      </c>
      <c r="D5642" t="str">
        <f t="shared" ref="D5642:D5651" si="2193">T("JBPHH")</f>
        <v>JBPHH</v>
      </c>
      <c r="E5642" t="str">
        <f t="shared" ref="E5642:E5651" si="2194">T("HI")</f>
        <v>HI</v>
      </c>
      <c r="F5642" t="str">
        <f t="shared" ref="F5642:F5651" si="2195">T("968603139")</f>
        <v>968603139</v>
      </c>
      <c r="G5642" t="str">
        <f>T("NAVFAC HI NAVSUP FLC")</f>
        <v>NAVFAC HI NAVSUP FLC</v>
      </c>
      <c r="H5642" t="str">
        <f>T("400 MARSHALL RD BLDG A4 CODE ACQ")</f>
        <v>400 MARSHALL RD BLDG A4 CODE ACQ</v>
      </c>
      <c r="I5642" t="str">
        <f t="shared" ref="I5642:I5651" si="2196">T("JBPHH")</f>
        <v>JBPHH</v>
      </c>
      <c r="J5642" t="str">
        <f t="shared" ref="J5642:J5651" si="2197">T("HI")</f>
        <v>HI</v>
      </c>
      <c r="K5642" t="str">
        <f>T("8084746808")</f>
        <v>8084746808</v>
      </c>
      <c r="L5642" t="str">
        <f>T("8084746484")</f>
        <v>8084746484</v>
      </c>
    </row>
    <row r="5643" spans="1:12" x14ac:dyDescent="0.35">
      <c r="A5643" t="str">
        <f t="shared" si="2192"/>
        <v>NAVFAC HAWAII HL5</v>
      </c>
      <c r="B5643" t="str">
        <f t="shared" si="2189"/>
        <v>400 MARSHALL RD BLDG A4</v>
      </c>
      <c r="C5643" t="str">
        <f t="shared" si="2190"/>
        <v/>
      </c>
      <c r="D5643" t="str">
        <f t="shared" si="2193"/>
        <v>JBPHH</v>
      </c>
      <c r="E5643" t="str">
        <f t="shared" si="2194"/>
        <v>HI</v>
      </c>
      <c r="F5643" t="str">
        <f t="shared" si="2195"/>
        <v>968603139</v>
      </c>
      <c r="G5643" t="str">
        <f>T("NAVFACHI NAVSUP FLC")</f>
        <v>NAVFACHI NAVSUP FLC</v>
      </c>
      <c r="H5643" t="str">
        <f>T("400 MARSHALL RD BLDG A4")</f>
        <v>400 MARSHALL RD BLDG A4</v>
      </c>
      <c r="I5643" t="str">
        <f t="shared" si="2196"/>
        <v>JBPHH</v>
      </c>
      <c r="J5643" t="str">
        <f t="shared" si="2197"/>
        <v>HI</v>
      </c>
      <c r="K5643" t="str">
        <f>T("8084746808")</f>
        <v>8084746808</v>
      </c>
      <c r="L5643" t="str">
        <f>T("8084710336")</f>
        <v>8084710336</v>
      </c>
    </row>
    <row r="5644" spans="1:12" x14ac:dyDescent="0.35">
      <c r="A5644" t="str">
        <f t="shared" si="2192"/>
        <v>NAVFAC HAWAII HL5</v>
      </c>
      <c r="B5644" t="str">
        <f t="shared" si="2189"/>
        <v>400 MARSHALL RD BLDG A4</v>
      </c>
      <c r="C5644" t="str">
        <f t="shared" si="2190"/>
        <v/>
      </c>
      <c r="D5644" t="str">
        <f t="shared" si="2193"/>
        <v>JBPHH</v>
      </c>
      <c r="E5644" t="str">
        <f t="shared" si="2194"/>
        <v>HI</v>
      </c>
      <c r="F5644" t="str">
        <f t="shared" si="2195"/>
        <v>968603139</v>
      </c>
      <c r="G5644" t="str">
        <f>T("NAVFACHI NAVSUP FLC")</f>
        <v>NAVFACHI NAVSUP FLC</v>
      </c>
      <c r="H5644" t="str">
        <f>T("400 MARSHALL RD BLDG A4 ACQ")</f>
        <v>400 MARSHALL RD BLDG A4 ACQ</v>
      </c>
      <c r="I5644" t="str">
        <f t="shared" si="2196"/>
        <v>JBPHH</v>
      </c>
      <c r="J5644" t="str">
        <f t="shared" si="2197"/>
        <v>HI</v>
      </c>
      <c r="K5644" t="str">
        <f>T("8084746808")</f>
        <v>8084746808</v>
      </c>
      <c r="L5644" t="str">
        <f>T("8084711278")</f>
        <v>8084711278</v>
      </c>
    </row>
    <row r="5645" spans="1:12" x14ac:dyDescent="0.35">
      <c r="A5645" t="str">
        <f t="shared" si="2192"/>
        <v>NAVFAC HAWAII HL5</v>
      </c>
      <c r="B5645" t="str">
        <f t="shared" si="2189"/>
        <v>400 MARSHALL RD BLDG A4</v>
      </c>
      <c r="C5645" t="str">
        <f t="shared" si="2190"/>
        <v/>
      </c>
      <c r="D5645" t="str">
        <f t="shared" si="2193"/>
        <v>JBPHH</v>
      </c>
      <c r="E5645" t="str">
        <f t="shared" si="2194"/>
        <v>HI</v>
      </c>
      <c r="F5645" t="str">
        <f t="shared" si="2195"/>
        <v>968603139</v>
      </c>
      <c r="G5645" t="str">
        <f>T("NAVFACHI NAVSUP FLC")</f>
        <v>NAVFACHI NAVSUP FLC</v>
      </c>
      <c r="H5645" t="str">
        <f>T("400 MARSHALL RD BLDG A4 ACQ")</f>
        <v>400 MARSHALL RD BLDG A4 ACQ</v>
      </c>
      <c r="I5645" t="str">
        <f t="shared" si="2196"/>
        <v>JBPHH</v>
      </c>
      <c r="J5645" t="str">
        <f t="shared" si="2197"/>
        <v>HI</v>
      </c>
      <c r="K5645" t="str">
        <f>T("8084746808")</f>
        <v>8084746808</v>
      </c>
      <c r="L5645" t="str">
        <f>T("8084746487")</f>
        <v>8084746487</v>
      </c>
    </row>
    <row r="5646" spans="1:12" x14ac:dyDescent="0.35">
      <c r="A5646" t="str">
        <f t="shared" si="2192"/>
        <v>NAVFAC HAWAII HL5</v>
      </c>
      <c r="B5646" t="str">
        <f t="shared" si="2189"/>
        <v>400 MARSHALL RD BLDG A4</v>
      </c>
      <c r="C5646" t="str">
        <f t="shared" si="2190"/>
        <v/>
      </c>
      <c r="D5646" t="str">
        <f t="shared" si="2193"/>
        <v>JBPHH</v>
      </c>
      <c r="E5646" t="str">
        <f t="shared" si="2194"/>
        <v>HI</v>
      </c>
      <c r="F5646" t="str">
        <f t="shared" si="2195"/>
        <v>968603139</v>
      </c>
      <c r="G5646" t="str">
        <f>T("NAVFACHI NAVSUP FLC")</f>
        <v>NAVFACHI NAVSUP FLC</v>
      </c>
      <c r="H5646" t="str">
        <f>T("400 MARSHALL ROAD BLDG A4")</f>
        <v>400 MARSHALL ROAD BLDG A4</v>
      </c>
      <c r="I5646" t="str">
        <f t="shared" si="2196"/>
        <v>JBPHH</v>
      </c>
      <c r="J5646" t="str">
        <f t="shared" si="2197"/>
        <v>HI</v>
      </c>
      <c r="K5646" t="str">
        <f>T("8084746808")</f>
        <v>8084746808</v>
      </c>
      <c r="L5646" t="str">
        <f>T("8084711883")</f>
        <v>8084711883</v>
      </c>
    </row>
    <row r="5647" spans="1:12" x14ac:dyDescent="0.35">
      <c r="A5647" t="str">
        <f t="shared" si="2192"/>
        <v>NAVFAC HAWAII HL5</v>
      </c>
      <c r="B5647" t="str">
        <f>T("400 MARSHALL ROAD")</f>
        <v>400 MARSHALL ROAD</v>
      </c>
      <c r="C5647" t="str">
        <f>T("BLDG A4")</f>
        <v>BLDG A4</v>
      </c>
      <c r="D5647" t="str">
        <f t="shared" si="2193"/>
        <v>JBPHH</v>
      </c>
      <c r="E5647" t="str">
        <f t="shared" si="2194"/>
        <v>HI</v>
      </c>
      <c r="F5647" t="str">
        <f t="shared" si="2195"/>
        <v>968603139</v>
      </c>
      <c r="G5647" t="str">
        <f>T("400 MARSHALL RD BLDG A-4")</f>
        <v>400 MARSHALL RD BLDG A-4</v>
      </c>
      <c r="H5647" t="str">
        <f>T("")</f>
        <v/>
      </c>
      <c r="I5647" t="str">
        <f t="shared" si="2196"/>
        <v>JBPHH</v>
      </c>
      <c r="J5647" t="str">
        <f t="shared" si="2197"/>
        <v>HI</v>
      </c>
      <c r="K5647" t="str">
        <f>T("000000000000000000")</f>
        <v>000000000000000000</v>
      </c>
      <c r="L5647" t="str">
        <f>T("8084711571")</f>
        <v>8084711571</v>
      </c>
    </row>
    <row r="5648" spans="1:12" x14ac:dyDescent="0.35">
      <c r="A5648" t="str">
        <f t="shared" si="2192"/>
        <v>NAVFAC HAWAII HL5</v>
      </c>
      <c r="B5648" t="str">
        <f>T("400 MARSHALL ROAD")</f>
        <v>400 MARSHALL ROAD</v>
      </c>
      <c r="C5648" t="str">
        <f>T("BLDG A4")</f>
        <v>BLDG A4</v>
      </c>
      <c r="D5648" t="str">
        <f t="shared" si="2193"/>
        <v>JBPHH</v>
      </c>
      <c r="E5648" t="str">
        <f t="shared" si="2194"/>
        <v>HI</v>
      </c>
      <c r="F5648" t="str">
        <f t="shared" si="2195"/>
        <v>968603139</v>
      </c>
      <c r="G5648" t="str">
        <f>T("400 MARSHALL ROAD")</f>
        <v>400 MARSHALL ROAD</v>
      </c>
      <c r="H5648" t="str">
        <f>T("BLDG A4")</f>
        <v>BLDG A4</v>
      </c>
      <c r="I5648" t="str">
        <f t="shared" si="2196"/>
        <v>JBPHH</v>
      </c>
      <c r="J5648" t="str">
        <f t="shared" si="2197"/>
        <v>HI</v>
      </c>
      <c r="K5648" t="str">
        <f>T("808 471 0155")</f>
        <v>808 471 0155</v>
      </c>
      <c r="L5648" t="str">
        <f>T("8084711583")</f>
        <v>8084711583</v>
      </c>
    </row>
    <row r="5649" spans="1:12" x14ac:dyDescent="0.35">
      <c r="A5649" t="str">
        <f t="shared" si="2192"/>
        <v>NAVFAC HAWAII HL5</v>
      </c>
      <c r="B5649" t="str">
        <f>T("400 MARSHALL ROAD")</f>
        <v>400 MARSHALL ROAD</v>
      </c>
      <c r="C5649" t="str">
        <f>T("BLDG A4")</f>
        <v>BLDG A4</v>
      </c>
      <c r="D5649" t="str">
        <f t="shared" si="2193"/>
        <v>JBPHH</v>
      </c>
      <c r="E5649" t="str">
        <f t="shared" si="2194"/>
        <v>HI</v>
      </c>
      <c r="F5649" t="str">
        <f t="shared" si="2195"/>
        <v>968603139</v>
      </c>
      <c r="G5649" t="str">
        <f>T("400 MARSHALL ROAD")</f>
        <v>400 MARSHALL ROAD</v>
      </c>
      <c r="H5649" t="str">
        <f>T("BLDG A4")</f>
        <v>BLDG A4</v>
      </c>
      <c r="I5649" t="str">
        <f t="shared" si="2196"/>
        <v>JBPHH</v>
      </c>
      <c r="J5649" t="str">
        <f t="shared" si="2197"/>
        <v>HI</v>
      </c>
      <c r="K5649" t="str">
        <f>T("8084711160")</f>
        <v>8084711160</v>
      </c>
      <c r="L5649" t="str">
        <f>T("1111111111")</f>
        <v>1111111111</v>
      </c>
    </row>
    <row r="5650" spans="1:12" x14ac:dyDescent="0.35">
      <c r="A5650" t="str">
        <f t="shared" si="2192"/>
        <v>NAVFAC HAWAII HL5</v>
      </c>
      <c r="B5650" t="str">
        <f>T("400 MARSHALL ROAD")</f>
        <v>400 MARSHALL ROAD</v>
      </c>
      <c r="C5650" t="str">
        <f>T("BLDG A4")</f>
        <v>BLDG A4</v>
      </c>
      <c r="D5650" t="str">
        <f t="shared" si="2193"/>
        <v>JBPHH</v>
      </c>
      <c r="E5650" t="str">
        <f t="shared" si="2194"/>
        <v>HI</v>
      </c>
      <c r="F5650" t="str">
        <f t="shared" si="2195"/>
        <v>968603139</v>
      </c>
      <c r="G5650" t="str">
        <f>T("NAVFACHI AM")</f>
        <v>NAVFACHI AM</v>
      </c>
      <c r="H5650" t="str">
        <f>T("400 MARSHALL RD BLDG A4")</f>
        <v>400 MARSHALL RD BLDG A4</v>
      </c>
      <c r="I5650" t="str">
        <f t="shared" si="2196"/>
        <v>JBPHH</v>
      </c>
      <c r="J5650" t="str">
        <f t="shared" si="2197"/>
        <v>HI</v>
      </c>
      <c r="K5650" t="str">
        <f>T("8084711170227")</f>
        <v>8084711170227</v>
      </c>
      <c r="L5650" t="str">
        <f>T("1111111111")</f>
        <v>1111111111</v>
      </c>
    </row>
    <row r="5651" spans="1:12" x14ac:dyDescent="0.35">
      <c r="A5651" t="str">
        <f t="shared" si="2192"/>
        <v>NAVFAC HAWAII HL5</v>
      </c>
      <c r="B5651" t="str">
        <f>T("400 MARSHALL ROAD")</f>
        <v>400 MARSHALL ROAD</v>
      </c>
      <c r="C5651" t="str">
        <f>T("BLDG A4")</f>
        <v>BLDG A4</v>
      </c>
      <c r="D5651" t="str">
        <f t="shared" si="2193"/>
        <v>JBPHH</v>
      </c>
      <c r="E5651" t="str">
        <f t="shared" si="2194"/>
        <v>HI</v>
      </c>
      <c r="F5651" t="str">
        <f t="shared" si="2195"/>
        <v>968603139</v>
      </c>
      <c r="G5651" t="str">
        <f>T("NAVFACHI FM")</f>
        <v>NAVFACHI FM</v>
      </c>
      <c r="H5651" t="str">
        <f>T("400 MARSHALL RD BLDG A4")</f>
        <v>400 MARSHALL RD BLDG A4</v>
      </c>
      <c r="I5651" t="str">
        <f t="shared" si="2196"/>
        <v>JBPHH</v>
      </c>
      <c r="J5651" t="str">
        <f t="shared" si="2197"/>
        <v>HI</v>
      </c>
      <c r="K5651" t="str">
        <f>T("8084710155")</f>
        <v>8084710155</v>
      </c>
      <c r="L5651" t="str">
        <f>T("8084710121")</f>
        <v>8084710121</v>
      </c>
    </row>
    <row r="5652" spans="1:12" x14ac:dyDescent="0.35">
      <c r="A5652" t="str">
        <f t="shared" ref="A5652:A5683" si="2198">T("MCB CAMP LEJEUNE")</f>
        <v>MCB CAMP LEJEUNE</v>
      </c>
      <c r="B5652" t="str">
        <f t="shared" ref="B5652:B5715" si="2199">T("PO BOX 8478")</f>
        <v>PO BOX 8478</v>
      </c>
      <c r="C5652" t="str">
        <f t="shared" ref="C5652:C5683" si="2200">T("")</f>
        <v/>
      </c>
      <c r="D5652" t="str">
        <f t="shared" ref="D5652:D5715" si="2201">T("CAMP LEJEUNE")</f>
        <v>CAMP LEJEUNE</v>
      </c>
      <c r="E5652" t="str">
        <f t="shared" ref="E5652:E5715" si="2202">T("NC")</f>
        <v>NC</v>
      </c>
      <c r="F5652" t="str">
        <f t="shared" ref="F5652:F5715" si="2203">T("285478478")</f>
        <v>285478478</v>
      </c>
      <c r="G5652" t="str">
        <f>T("BLDG 1116 ATTN LU PADGETT")</f>
        <v>BLDG 1116 ATTN LU PADGETT</v>
      </c>
      <c r="H5652" t="str">
        <f>T("CORNER OF LOUIS &amp; BIRCH")</f>
        <v>CORNER OF LOUIS &amp; BIRCH</v>
      </c>
      <c r="I5652" t="str">
        <f t="shared" ref="I5652:I5715" si="2204">T("CAMP LEJEUNE")</f>
        <v>CAMP LEJEUNE</v>
      </c>
      <c r="J5652" t="str">
        <f t="shared" ref="J5652:J5715" si="2205">T("NC")</f>
        <v>NC</v>
      </c>
      <c r="K5652" t="str">
        <f>T("910451167")</f>
        <v>910451167</v>
      </c>
      <c r="L5652" t="str">
        <f>T("9104519429")</f>
        <v>9104519429</v>
      </c>
    </row>
    <row r="5653" spans="1:12" x14ac:dyDescent="0.35">
      <c r="A5653" t="str">
        <f t="shared" si="2198"/>
        <v>MCB CAMP LEJEUNE</v>
      </c>
      <c r="B5653" t="str">
        <f t="shared" si="2199"/>
        <v>PO BOX 8478</v>
      </c>
      <c r="C5653" t="str">
        <f t="shared" si="2200"/>
        <v/>
      </c>
      <c r="D5653" t="str">
        <f t="shared" si="2201"/>
        <v>CAMP LEJEUNE</v>
      </c>
      <c r="E5653" t="str">
        <f t="shared" si="2202"/>
        <v>NC</v>
      </c>
      <c r="F5653" t="str">
        <f t="shared" si="2203"/>
        <v>285478478</v>
      </c>
      <c r="G5653" t="str">
        <f t="shared" ref="G5653:G5716" si="2206">T("PO BOX 8478")</f>
        <v>PO BOX 8478</v>
      </c>
      <c r="H5653" t="str">
        <f t="shared" ref="H5653:H5684" si="2207">T("")</f>
        <v/>
      </c>
      <c r="I5653" t="str">
        <f t="shared" si="2204"/>
        <v>CAMP LEJEUNE</v>
      </c>
      <c r="J5653" t="str">
        <f t="shared" si="2205"/>
        <v>NC</v>
      </c>
      <c r="K5653" t="str">
        <f t="shared" ref="K5653:K5683" si="2208">T("")</f>
        <v/>
      </c>
      <c r="L5653" t="str">
        <f>T("2296396272")</f>
        <v>2296396272</v>
      </c>
    </row>
    <row r="5654" spans="1:12" x14ac:dyDescent="0.35">
      <c r="A5654" t="str">
        <f t="shared" si="2198"/>
        <v>MCB CAMP LEJEUNE</v>
      </c>
      <c r="B5654" t="str">
        <f t="shared" si="2199"/>
        <v>PO BOX 8478</v>
      </c>
      <c r="C5654" t="str">
        <f t="shared" si="2200"/>
        <v/>
      </c>
      <c r="D5654" t="str">
        <f t="shared" si="2201"/>
        <v>CAMP LEJEUNE</v>
      </c>
      <c r="E5654" t="str">
        <f t="shared" si="2202"/>
        <v>NC</v>
      </c>
      <c r="F5654" t="str">
        <f t="shared" si="2203"/>
        <v>285478478</v>
      </c>
      <c r="G5654" t="str">
        <f t="shared" si="2206"/>
        <v>PO BOX 8478</v>
      </c>
      <c r="H5654" t="str">
        <f t="shared" si="2207"/>
        <v/>
      </c>
      <c r="I5654" t="str">
        <f t="shared" si="2204"/>
        <v>CAMP LEJEUNE</v>
      </c>
      <c r="J5654" t="str">
        <f t="shared" si="2205"/>
        <v>NC</v>
      </c>
      <c r="K5654" t="str">
        <f t="shared" si="2208"/>
        <v/>
      </c>
      <c r="L5654" t="str">
        <f>T("2524661990")</f>
        <v>2524661990</v>
      </c>
    </row>
    <row r="5655" spans="1:12" x14ac:dyDescent="0.35">
      <c r="A5655" t="str">
        <f t="shared" si="2198"/>
        <v>MCB CAMP LEJEUNE</v>
      </c>
      <c r="B5655" t="str">
        <f t="shared" si="2199"/>
        <v>PO BOX 8478</v>
      </c>
      <c r="C5655" t="str">
        <f t="shared" si="2200"/>
        <v/>
      </c>
      <c r="D5655" t="str">
        <f t="shared" si="2201"/>
        <v>CAMP LEJEUNE</v>
      </c>
      <c r="E5655" t="str">
        <f t="shared" si="2202"/>
        <v>NC</v>
      </c>
      <c r="F5655" t="str">
        <f t="shared" si="2203"/>
        <v>285478478</v>
      </c>
      <c r="G5655" t="str">
        <f t="shared" si="2206"/>
        <v>PO BOX 8478</v>
      </c>
      <c r="H5655" t="str">
        <f t="shared" si="2207"/>
        <v/>
      </c>
      <c r="I5655" t="str">
        <f t="shared" si="2204"/>
        <v>CAMP LEJEUNE</v>
      </c>
      <c r="J5655" t="str">
        <f t="shared" si="2205"/>
        <v>NC</v>
      </c>
      <c r="K5655" t="str">
        <f t="shared" si="2208"/>
        <v/>
      </c>
      <c r="L5655" t="str">
        <f>T("2524666567")</f>
        <v>2524666567</v>
      </c>
    </row>
    <row r="5656" spans="1:12" x14ac:dyDescent="0.35">
      <c r="A5656" t="str">
        <f t="shared" si="2198"/>
        <v>MCB CAMP LEJEUNE</v>
      </c>
      <c r="B5656" t="str">
        <f t="shared" si="2199"/>
        <v>PO BOX 8478</v>
      </c>
      <c r="C5656" t="str">
        <f t="shared" si="2200"/>
        <v/>
      </c>
      <c r="D5656" t="str">
        <f t="shared" si="2201"/>
        <v>CAMP LEJEUNE</v>
      </c>
      <c r="E5656" t="str">
        <f t="shared" si="2202"/>
        <v>NC</v>
      </c>
      <c r="F5656" t="str">
        <f t="shared" si="2203"/>
        <v>285478478</v>
      </c>
      <c r="G5656" t="str">
        <f t="shared" si="2206"/>
        <v>PO BOX 8478</v>
      </c>
      <c r="H5656" t="str">
        <f t="shared" si="2207"/>
        <v/>
      </c>
      <c r="I5656" t="str">
        <f t="shared" si="2204"/>
        <v>CAMP LEJEUNE</v>
      </c>
      <c r="J5656" t="str">
        <f t="shared" si="2205"/>
        <v>NC</v>
      </c>
      <c r="K5656" t="str">
        <f t="shared" si="2208"/>
        <v/>
      </c>
      <c r="L5656" t="str">
        <f>T("9104402836")</f>
        <v>9104402836</v>
      </c>
    </row>
    <row r="5657" spans="1:12" x14ac:dyDescent="0.35">
      <c r="A5657" t="str">
        <f t="shared" si="2198"/>
        <v>MCB CAMP LEJEUNE</v>
      </c>
      <c r="B5657" t="str">
        <f t="shared" si="2199"/>
        <v>PO BOX 8478</v>
      </c>
      <c r="C5657" t="str">
        <f t="shared" si="2200"/>
        <v/>
      </c>
      <c r="D5657" t="str">
        <f t="shared" si="2201"/>
        <v>CAMP LEJEUNE</v>
      </c>
      <c r="E5657" t="str">
        <f t="shared" si="2202"/>
        <v>NC</v>
      </c>
      <c r="F5657" t="str">
        <f t="shared" si="2203"/>
        <v>285478478</v>
      </c>
      <c r="G5657" t="str">
        <f t="shared" si="2206"/>
        <v>PO BOX 8478</v>
      </c>
      <c r="H5657" t="str">
        <f t="shared" si="2207"/>
        <v/>
      </c>
      <c r="I5657" t="str">
        <f t="shared" si="2204"/>
        <v>CAMP LEJEUNE</v>
      </c>
      <c r="J5657" t="str">
        <f t="shared" si="2205"/>
        <v>NC</v>
      </c>
      <c r="K5657" t="str">
        <f t="shared" si="2208"/>
        <v/>
      </c>
      <c r="L5657" t="str">
        <f>T("9104500062")</f>
        <v>9104500062</v>
      </c>
    </row>
    <row r="5658" spans="1:12" x14ac:dyDescent="0.35">
      <c r="A5658" t="str">
        <f t="shared" si="2198"/>
        <v>MCB CAMP LEJEUNE</v>
      </c>
      <c r="B5658" t="str">
        <f t="shared" si="2199"/>
        <v>PO BOX 8478</v>
      </c>
      <c r="C5658" t="str">
        <f t="shared" si="2200"/>
        <v/>
      </c>
      <c r="D5658" t="str">
        <f t="shared" si="2201"/>
        <v>CAMP LEJEUNE</v>
      </c>
      <c r="E5658" t="str">
        <f t="shared" si="2202"/>
        <v>NC</v>
      </c>
      <c r="F5658" t="str">
        <f t="shared" si="2203"/>
        <v>285478478</v>
      </c>
      <c r="G5658" t="str">
        <f t="shared" si="2206"/>
        <v>PO BOX 8478</v>
      </c>
      <c r="H5658" t="str">
        <f t="shared" si="2207"/>
        <v/>
      </c>
      <c r="I5658" t="str">
        <f t="shared" si="2204"/>
        <v>CAMP LEJEUNE</v>
      </c>
      <c r="J5658" t="str">
        <f t="shared" si="2205"/>
        <v>NC</v>
      </c>
      <c r="K5658" t="str">
        <f t="shared" si="2208"/>
        <v/>
      </c>
      <c r="L5658" t="str">
        <f>T("9104500783")</f>
        <v>9104500783</v>
      </c>
    </row>
    <row r="5659" spans="1:12" x14ac:dyDescent="0.35">
      <c r="A5659" t="str">
        <f t="shared" si="2198"/>
        <v>MCB CAMP LEJEUNE</v>
      </c>
      <c r="B5659" t="str">
        <f t="shared" si="2199"/>
        <v>PO BOX 8478</v>
      </c>
      <c r="C5659" t="str">
        <f t="shared" si="2200"/>
        <v/>
      </c>
      <c r="D5659" t="str">
        <f t="shared" si="2201"/>
        <v>CAMP LEJEUNE</v>
      </c>
      <c r="E5659" t="str">
        <f t="shared" si="2202"/>
        <v>NC</v>
      </c>
      <c r="F5659" t="str">
        <f t="shared" si="2203"/>
        <v>285478478</v>
      </c>
      <c r="G5659" t="str">
        <f t="shared" si="2206"/>
        <v>PO BOX 8478</v>
      </c>
      <c r="H5659" t="str">
        <f t="shared" si="2207"/>
        <v/>
      </c>
      <c r="I5659" t="str">
        <f t="shared" si="2204"/>
        <v>CAMP LEJEUNE</v>
      </c>
      <c r="J5659" t="str">
        <f t="shared" si="2205"/>
        <v>NC</v>
      </c>
      <c r="K5659" t="str">
        <f t="shared" si="2208"/>
        <v/>
      </c>
      <c r="L5659" t="str">
        <f>T("9104500852")</f>
        <v>9104500852</v>
      </c>
    </row>
    <row r="5660" spans="1:12" x14ac:dyDescent="0.35">
      <c r="A5660" t="str">
        <f t="shared" si="2198"/>
        <v>MCB CAMP LEJEUNE</v>
      </c>
      <c r="B5660" t="str">
        <f t="shared" si="2199"/>
        <v>PO BOX 8478</v>
      </c>
      <c r="C5660" t="str">
        <f t="shared" si="2200"/>
        <v/>
      </c>
      <c r="D5660" t="str">
        <f t="shared" si="2201"/>
        <v>CAMP LEJEUNE</v>
      </c>
      <c r="E5660" t="str">
        <f t="shared" si="2202"/>
        <v>NC</v>
      </c>
      <c r="F5660" t="str">
        <f t="shared" si="2203"/>
        <v>285478478</v>
      </c>
      <c r="G5660" t="str">
        <f t="shared" si="2206"/>
        <v>PO BOX 8478</v>
      </c>
      <c r="H5660" t="str">
        <f t="shared" si="2207"/>
        <v/>
      </c>
      <c r="I5660" t="str">
        <f t="shared" si="2204"/>
        <v>CAMP LEJEUNE</v>
      </c>
      <c r="J5660" t="str">
        <f t="shared" si="2205"/>
        <v>NC</v>
      </c>
      <c r="K5660" t="str">
        <f t="shared" si="2208"/>
        <v/>
      </c>
      <c r="L5660" t="str">
        <f>T("9104501628")</f>
        <v>9104501628</v>
      </c>
    </row>
    <row r="5661" spans="1:12" x14ac:dyDescent="0.35">
      <c r="A5661" t="str">
        <f t="shared" si="2198"/>
        <v>MCB CAMP LEJEUNE</v>
      </c>
      <c r="B5661" t="str">
        <f t="shared" si="2199"/>
        <v>PO BOX 8478</v>
      </c>
      <c r="C5661" t="str">
        <f t="shared" si="2200"/>
        <v/>
      </c>
      <c r="D5661" t="str">
        <f t="shared" si="2201"/>
        <v>CAMP LEJEUNE</v>
      </c>
      <c r="E5661" t="str">
        <f t="shared" si="2202"/>
        <v>NC</v>
      </c>
      <c r="F5661" t="str">
        <f t="shared" si="2203"/>
        <v>285478478</v>
      </c>
      <c r="G5661" t="str">
        <f t="shared" si="2206"/>
        <v>PO BOX 8478</v>
      </c>
      <c r="H5661" t="str">
        <f t="shared" si="2207"/>
        <v/>
      </c>
      <c r="I5661" t="str">
        <f t="shared" si="2204"/>
        <v>CAMP LEJEUNE</v>
      </c>
      <c r="J5661" t="str">
        <f t="shared" si="2205"/>
        <v>NC</v>
      </c>
      <c r="K5661" t="str">
        <f t="shared" si="2208"/>
        <v/>
      </c>
      <c r="L5661" t="str">
        <f>T("9104510479")</f>
        <v>9104510479</v>
      </c>
    </row>
    <row r="5662" spans="1:12" x14ac:dyDescent="0.35">
      <c r="A5662" t="str">
        <f t="shared" si="2198"/>
        <v>MCB CAMP LEJEUNE</v>
      </c>
      <c r="B5662" t="str">
        <f t="shared" si="2199"/>
        <v>PO BOX 8478</v>
      </c>
      <c r="C5662" t="str">
        <f t="shared" si="2200"/>
        <v/>
      </c>
      <c r="D5662" t="str">
        <f t="shared" si="2201"/>
        <v>CAMP LEJEUNE</v>
      </c>
      <c r="E5662" t="str">
        <f t="shared" si="2202"/>
        <v>NC</v>
      </c>
      <c r="F5662" t="str">
        <f t="shared" si="2203"/>
        <v>285478478</v>
      </c>
      <c r="G5662" t="str">
        <f t="shared" si="2206"/>
        <v>PO BOX 8478</v>
      </c>
      <c r="H5662" t="str">
        <f t="shared" si="2207"/>
        <v/>
      </c>
      <c r="I5662" t="str">
        <f t="shared" si="2204"/>
        <v>CAMP LEJEUNE</v>
      </c>
      <c r="J5662" t="str">
        <f t="shared" si="2205"/>
        <v>NC</v>
      </c>
      <c r="K5662" t="str">
        <f t="shared" si="2208"/>
        <v/>
      </c>
      <c r="L5662" t="str">
        <f>T("9104511535")</f>
        <v>9104511535</v>
      </c>
    </row>
    <row r="5663" spans="1:12" x14ac:dyDescent="0.35">
      <c r="A5663" t="str">
        <f t="shared" si="2198"/>
        <v>MCB CAMP LEJEUNE</v>
      </c>
      <c r="B5663" t="str">
        <f t="shared" si="2199"/>
        <v>PO BOX 8478</v>
      </c>
      <c r="C5663" t="str">
        <f t="shared" si="2200"/>
        <v/>
      </c>
      <c r="D5663" t="str">
        <f t="shared" si="2201"/>
        <v>CAMP LEJEUNE</v>
      </c>
      <c r="E5663" t="str">
        <f t="shared" si="2202"/>
        <v>NC</v>
      </c>
      <c r="F5663" t="str">
        <f t="shared" si="2203"/>
        <v>285478478</v>
      </c>
      <c r="G5663" t="str">
        <f t="shared" si="2206"/>
        <v>PO BOX 8478</v>
      </c>
      <c r="H5663" t="str">
        <f t="shared" si="2207"/>
        <v/>
      </c>
      <c r="I5663" t="str">
        <f t="shared" si="2204"/>
        <v>CAMP LEJEUNE</v>
      </c>
      <c r="J5663" t="str">
        <f t="shared" si="2205"/>
        <v>NC</v>
      </c>
      <c r="K5663" t="str">
        <f t="shared" si="2208"/>
        <v/>
      </c>
      <c r="L5663" t="str">
        <f>T("9104512006")</f>
        <v>9104512006</v>
      </c>
    </row>
    <row r="5664" spans="1:12" x14ac:dyDescent="0.35">
      <c r="A5664" t="str">
        <f t="shared" si="2198"/>
        <v>MCB CAMP LEJEUNE</v>
      </c>
      <c r="B5664" t="str">
        <f t="shared" si="2199"/>
        <v>PO BOX 8478</v>
      </c>
      <c r="C5664" t="str">
        <f t="shared" si="2200"/>
        <v/>
      </c>
      <c r="D5664" t="str">
        <f t="shared" si="2201"/>
        <v>CAMP LEJEUNE</v>
      </c>
      <c r="E5664" t="str">
        <f t="shared" si="2202"/>
        <v>NC</v>
      </c>
      <c r="F5664" t="str">
        <f t="shared" si="2203"/>
        <v>285478478</v>
      </c>
      <c r="G5664" t="str">
        <f t="shared" si="2206"/>
        <v>PO BOX 8478</v>
      </c>
      <c r="H5664" t="str">
        <f t="shared" si="2207"/>
        <v/>
      </c>
      <c r="I5664" t="str">
        <f t="shared" si="2204"/>
        <v>CAMP LEJEUNE</v>
      </c>
      <c r="J5664" t="str">
        <f t="shared" si="2205"/>
        <v>NC</v>
      </c>
      <c r="K5664" t="str">
        <f t="shared" si="2208"/>
        <v/>
      </c>
      <c r="L5664" t="str">
        <f>T("9104512508")</f>
        <v>9104512508</v>
      </c>
    </row>
    <row r="5665" spans="1:12" x14ac:dyDescent="0.35">
      <c r="A5665" t="str">
        <f t="shared" si="2198"/>
        <v>MCB CAMP LEJEUNE</v>
      </c>
      <c r="B5665" t="str">
        <f t="shared" si="2199"/>
        <v>PO BOX 8478</v>
      </c>
      <c r="C5665" t="str">
        <f t="shared" si="2200"/>
        <v/>
      </c>
      <c r="D5665" t="str">
        <f t="shared" si="2201"/>
        <v>CAMP LEJEUNE</v>
      </c>
      <c r="E5665" t="str">
        <f t="shared" si="2202"/>
        <v>NC</v>
      </c>
      <c r="F5665" t="str">
        <f t="shared" si="2203"/>
        <v>285478478</v>
      </c>
      <c r="G5665" t="str">
        <f t="shared" si="2206"/>
        <v>PO BOX 8478</v>
      </c>
      <c r="H5665" t="str">
        <f t="shared" si="2207"/>
        <v/>
      </c>
      <c r="I5665" t="str">
        <f t="shared" si="2204"/>
        <v>CAMP LEJEUNE</v>
      </c>
      <c r="J5665" t="str">
        <f t="shared" si="2205"/>
        <v>NC</v>
      </c>
      <c r="K5665" t="str">
        <f t="shared" si="2208"/>
        <v/>
      </c>
      <c r="L5665" t="str">
        <f>T("9104512523")</f>
        <v>9104512523</v>
      </c>
    </row>
    <row r="5666" spans="1:12" x14ac:dyDescent="0.35">
      <c r="A5666" t="str">
        <f t="shared" si="2198"/>
        <v>MCB CAMP LEJEUNE</v>
      </c>
      <c r="B5666" t="str">
        <f t="shared" si="2199"/>
        <v>PO BOX 8478</v>
      </c>
      <c r="C5666" t="str">
        <f t="shared" si="2200"/>
        <v/>
      </c>
      <c r="D5666" t="str">
        <f t="shared" si="2201"/>
        <v>CAMP LEJEUNE</v>
      </c>
      <c r="E5666" t="str">
        <f t="shared" si="2202"/>
        <v>NC</v>
      </c>
      <c r="F5666" t="str">
        <f t="shared" si="2203"/>
        <v>285478478</v>
      </c>
      <c r="G5666" t="str">
        <f t="shared" si="2206"/>
        <v>PO BOX 8478</v>
      </c>
      <c r="H5666" t="str">
        <f t="shared" si="2207"/>
        <v/>
      </c>
      <c r="I5666" t="str">
        <f t="shared" si="2204"/>
        <v>CAMP LEJEUNE</v>
      </c>
      <c r="J5666" t="str">
        <f t="shared" si="2205"/>
        <v>NC</v>
      </c>
      <c r="K5666" t="str">
        <f t="shared" si="2208"/>
        <v/>
      </c>
      <c r="L5666" t="str">
        <f>T("9104512753")</f>
        <v>9104512753</v>
      </c>
    </row>
    <row r="5667" spans="1:12" x14ac:dyDescent="0.35">
      <c r="A5667" t="str">
        <f t="shared" si="2198"/>
        <v>MCB CAMP LEJEUNE</v>
      </c>
      <c r="B5667" t="str">
        <f t="shared" si="2199"/>
        <v>PO BOX 8478</v>
      </c>
      <c r="C5667" t="str">
        <f t="shared" si="2200"/>
        <v/>
      </c>
      <c r="D5667" t="str">
        <f t="shared" si="2201"/>
        <v>CAMP LEJEUNE</v>
      </c>
      <c r="E5667" t="str">
        <f t="shared" si="2202"/>
        <v>NC</v>
      </c>
      <c r="F5667" t="str">
        <f t="shared" si="2203"/>
        <v>285478478</v>
      </c>
      <c r="G5667" t="str">
        <f t="shared" si="2206"/>
        <v>PO BOX 8478</v>
      </c>
      <c r="H5667" t="str">
        <f t="shared" si="2207"/>
        <v/>
      </c>
      <c r="I5667" t="str">
        <f t="shared" si="2204"/>
        <v>CAMP LEJEUNE</v>
      </c>
      <c r="J5667" t="str">
        <f t="shared" si="2205"/>
        <v>NC</v>
      </c>
      <c r="K5667" t="str">
        <f t="shared" si="2208"/>
        <v/>
      </c>
      <c r="L5667" t="str">
        <f>T("9104512769")</f>
        <v>9104512769</v>
      </c>
    </row>
    <row r="5668" spans="1:12" x14ac:dyDescent="0.35">
      <c r="A5668" t="str">
        <f t="shared" si="2198"/>
        <v>MCB CAMP LEJEUNE</v>
      </c>
      <c r="B5668" t="str">
        <f t="shared" si="2199"/>
        <v>PO BOX 8478</v>
      </c>
      <c r="C5668" t="str">
        <f t="shared" si="2200"/>
        <v/>
      </c>
      <c r="D5668" t="str">
        <f t="shared" si="2201"/>
        <v>CAMP LEJEUNE</v>
      </c>
      <c r="E5668" t="str">
        <f t="shared" si="2202"/>
        <v>NC</v>
      </c>
      <c r="F5668" t="str">
        <f t="shared" si="2203"/>
        <v>285478478</v>
      </c>
      <c r="G5668" t="str">
        <f t="shared" si="2206"/>
        <v>PO BOX 8478</v>
      </c>
      <c r="H5668" t="str">
        <f t="shared" si="2207"/>
        <v/>
      </c>
      <c r="I5668" t="str">
        <f t="shared" si="2204"/>
        <v>CAMP LEJEUNE</v>
      </c>
      <c r="J5668" t="str">
        <f t="shared" si="2205"/>
        <v>NC</v>
      </c>
      <c r="K5668" t="str">
        <f t="shared" si="2208"/>
        <v/>
      </c>
      <c r="L5668" t="str">
        <f>T("9104512789")</f>
        <v>9104512789</v>
      </c>
    </row>
    <row r="5669" spans="1:12" x14ac:dyDescent="0.35">
      <c r="A5669" t="str">
        <f t="shared" si="2198"/>
        <v>MCB CAMP LEJEUNE</v>
      </c>
      <c r="B5669" t="str">
        <f t="shared" si="2199"/>
        <v>PO BOX 8478</v>
      </c>
      <c r="C5669" t="str">
        <f t="shared" si="2200"/>
        <v/>
      </c>
      <c r="D5669" t="str">
        <f t="shared" si="2201"/>
        <v>CAMP LEJEUNE</v>
      </c>
      <c r="E5669" t="str">
        <f t="shared" si="2202"/>
        <v>NC</v>
      </c>
      <c r="F5669" t="str">
        <f t="shared" si="2203"/>
        <v>285478478</v>
      </c>
      <c r="G5669" t="str">
        <f t="shared" si="2206"/>
        <v>PO BOX 8478</v>
      </c>
      <c r="H5669" t="str">
        <f t="shared" si="2207"/>
        <v/>
      </c>
      <c r="I5669" t="str">
        <f t="shared" si="2204"/>
        <v>CAMP LEJEUNE</v>
      </c>
      <c r="J5669" t="str">
        <f t="shared" si="2205"/>
        <v>NC</v>
      </c>
      <c r="K5669" t="str">
        <f t="shared" si="2208"/>
        <v/>
      </c>
      <c r="L5669" t="str">
        <f>T("9104513017")</f>
        <v>9104513017</v>
      </c>
    </row>
    <row r="5670" spans="1:12" x14ac:dyDescent="0.35">
      <c r="A5670" t="str">
        <f t="shared" si="2198"/>
        <v>MCB CAMP LEJEUNE</v>
      </c>
      <c r="B5670" t="str">
        <f t="shared" si="2199"/>
        <v>PO BOX 8478</v>
      </c>
      <c r="C5670" t="str">
        <f t="shared" si="2200"/>
        <v/>
      </c>
      <c r="D5670" t="str">
        <f t="shared" si="2201"/>
        <v>CAMP LEJEUNE</v>
      </c>
      <c r="E5670" t="str">
        <f t="shared" si="2202"/>
        <v>NC</v>
      </c>
      <c r="F5670" t="str">
        <f t="shared" si="2203"/>
        <v>285478478</v>
      </c>
      <c r="G5670" t="str">
        <f t="shared" si="2206"/>
        <v>PO BOX 8478</v>
      </c>
      <c r="H5670" t="str">
        <f t="shared" si="2207"/>
        <v/>
      </c>
      <c r="I5670" t="str">
        <f t="shared" si="2204"/>
        <v>CAMP LEJEUNE</v>
      </c>
      <c r="J5670" t="str">
        <f t="shared" si="2205"/>
        <v>NC</v>
      </c>
      <c r="K5670" t="str">
        <f t="shared" si="2208"/>
        <v/>
      </c>
      <c r="L5670" t="str">
        <f>T("9104515342")</f>
        <v>9104515342</v>
      </c>
    </row>
    <row r="5671" spans="1:12" x14ac:dyDescent="0.35">
      <c r="A5671" t="str">
        <f t="shared" si="2198"/>
        <v>MCB CAMP LEJEUNE</v>
      </c>
      <c r="B5671" t="str">
        <f t="shared" si="2199"/>
        <v>PO BOX 8478</v>
      </c>
      <c r="C5671" t="str">
        <f t="shared" si="2200"/>
        <v/>
      </c>
      <c r="D5671" t="str">
        <f t="shared" si="2201"/>
        <v>CAMP LEJEUNE</v>
      </c>
      <c r="E5671" t="str">
        <f t="shared" si="2202"/>
        <v>NC</v>
      </c>
      <c r="F5671" t="str">
        <f t="shared" si="2203"/>
        <v>285478478</v>
      </c>
      <c r="G5671" t="str">
        <f t="shared" si="2206"/>
        <v>PO BOX 8478</v>
      </c>
      <c r="H5671" t="str">
        <f t="shared" si="2207"/>
        <v/>
      </c>
      <c r="I5671" t="str">
        <f t="shared" si="2204"/>
        <v>CAMP LEJEUNE</v>
      </c>
      <c r="J5671" t="str">
        <f t="shared" si="2205"/>
        <v>NC</v>
      </c>
      <c r="K5671" t="str">
        <f t="shared" si="2208"/>
        <v/>
      </c>
      <c r="L5671" t="str">
        <f>T("9104515747")</f>
        <v>9104515747</v>
      </c>
    </row>
    <row r="5672" spans="1:12" x14ac:dyDescent="0.35">
      <c r="A5672" t="str">
        <f t="shared" si="2198"/>
        <v>MCB CAMP LEJEUNE</v>
      </c>
      <c r="B5672" t="str">
        <f t="shared" si="2199"/>
        <v>PO BOX 8478</v>
      </c>
      <c r="C5672" t="str">
        <f t="shared" si="2200"/>
        <v/>
      </c>
      <c r="D5672" t="str">
        <f t="shared" si="2201"/>
        <v>CAMP LEJEUNE</v>
      </c>
      <c r="E5672" t="str">
        <f t="shared" si="2202"/>
        <v>NC</v>
      </c>
      <c r="F5672" t="str">
        <f t="shared" si="2203"/>
        <v>285478478</v>
      </c>
      <c r="G5672" t="str">
        <f t="shared" si="2206"/>
        <v>PO BOX 8478</v>
      </c>
      <c r="H5672" t="str">
        <f t="shared" si="2207"/>
        <v/>
      </c>
      <c r="I5672" t="str">
        <f t="shared" si="2204"/>
        <v>CAMP LEJEUNE</v>
      </c>
      <c r="J5672" t="str">
        <f t="shared" si="2205"/>
        <v>NC</v>
      </c>
      <c r="K5672" t="str">
        <f t="shared" si="2208"/>
        <v/>
      </c>
      <c r="L5672" t="str">
        <f>T("9104515818")</f>
        <v>9104515818</v>
      </c>
    </row>
    <row r="5673" spans="1:12" x14ac:dyDescent="0.35">
      <c r="A5673" t="str">
        <f t="shared" si="2198"/>
        <v>MCB CAMP LEJEUNE</v>
      </c>
      <c r="B5673" t="str">
        <f t="shared" si="2199"/>
        <v>PO BOX 8478</v>
      </c>
      <c r="C5673" t="str">
        <f t="shared" si="2200"/>
        <v/>
      </c>
      <c r="D5673" t="str">
        <f t="shared" si="2201"/>
        <v>CAMP LEJEUNE</v>
      </c>
      <c r="E5673" t="str">
        <f t="shared" si="2202"/>
        <v>NC</v>
      </c>
      <c r="F5673" t="str">
        <f t="shared" si="2203"/>
        <v>285478478</v>
      </c>
      <c r="G5673" t="str">
        <f t="shared" si="2206"/>
        <v>PO BOX 8478</v>
      </c>
      <c r="H5673" t="str">
        <f t="shared" si="2207"/>
        <v/>
      </c>
      <c r="I5673" t="str">
        <f t="shared" si="2204"/>
        <v>CAMP LEJEUNE</v>
      </c>
      <c r="J5673" t="str">
        <f t="shared" si="2205"/>
        <v>NC</v>
      </c>
      <c r="K5673" t="str">
        <f t="shared" si="2208"/>
        <v/>
      </c>
      <c r="L5673" t="str">
        <f>T("9104516163")</f>
        <v>9104516163</v>
      </c>
    </row>
    <row r="5674" spans="1:12" x14ac:dyDescent="0.35">
      <c r="A5674" t="str">
        <f t="shared" si="2198"/>
        <v>MCB CAMP LEJEUNE</v>
      </c>
      <c r="B5674" t="str">
        <f t="shared" si="2199"/>
        <v>PO BOX 8478</v>
      </c>
      <c r="C5674" t="str">
        <f t="shared" si="2200"/>
        <v/>
      </c>
      <c r="D5674" t="str">
        <f t="shared" si="2201"/>
        <v>CAMP LEJEUNE</v>
      </c>
      <c r="E5674" t="str">
        <f t="shared" si="2202"/>
        <v>NC</v>
      </c>
      <c r="F5674" t="str">
        <f t="shared" si="2203"/>
        <v>285478478</v>
      </c>
      <c r="G5674" t="str">
        <f t="shared" si="2206"/>
        <v>PO BOX 8478</v>
      </c>
      <c r="H5674" t="str">
        <f t="shared" si="2207"/>
        <v/>
      </c>
      <c r="I5674" t="str">
        <f t="shared" si="2204"/>
        <v>CAMP LEJEUNE</v>
      </c>
      <c r="J5674" t="str">
        <f t="shared" si="2205"/>
        <v>NC</v>
      </c>
      <c r="K5674" t="str">
        <f t="shared" si="2208"/>
        <v/>
      </c>
      <c r="L5674" t="str">
        <f>T("9104516222")</f>
        <v>9104516222</v>
      </c>
    </row>
    <row r="5675" spans="1:12" x14ac:dyDescent="0.35">
      <c r="A5675" t="str">
        <f t="shared" si="2198"/>
        <v>MCB CAMP LEJEUNE</v>
      </c>
      <c r="B5675" t="str">
        <f t="shared" si="2199"/>
        <v>PO BOX 8478</v>
      </c>
      <c r="C5675" t="str">
        <f t="shared" si="2200"/>
        <v/>
      </c>
      <c r="D5675" t="str">
        <f t="shared" si="2201"/>
        <v>CAMP LEJEUNE</v>
      </c>
      <c r="E5675" t="str">
        <f t="shared" si="2202"/>
        <v>NC</v>
      </c>
      <c r="F5675" t="str">
        <f t="shared" si="2203"/>
        <v>285478478</v>
      </c>
      <c r="G5675" t="str">
        <f t="shared" si="2206"/>
        <v>PO BOX 8478</v>
      </c>
      <c r="H5675" t="str">
        <f t="shared" si="2207"/>
        <v/>
      </c>
      <c r="I5675" t="str">
        <f t="shared" si="2204"/>
        <v>CAMP LEJEUNE</v>
      </c>
      <c r="J5675" t="str">
        <f t="shared" si="2205"/>
        <v>NC</v>
      </c>
      <c r="K5675" t="str">
        <f t="shared" si="2208"/>
        <v/>
      </c>
      <c r="L5675" t="str">
        <f>T("9104516833")</f>
        <v>9104516833</v>
      </c>
    </row>
    <row r="5676" spans="1:12" x14ac:dyDescent="0.35">
      <c r="A5676" t="str">
        <f t="shared" si="2198"/>
        <v>MCB CAMP LEJEUNE</v>
      </c>
      <c r="B5676" t="str">
        <f t="shared" si="2199"/>
        <v>PO BOX 8478</v>
      </c>
      <c r="C5676" t="str">
        <f t="shared" si="2200"/>
        <v/>
      </c>
      <c r="D5676" t="str">
        <f t="shared" si="2201"/>
        <v>CAMP LEJEUNE</v>
      </c>
      <c r="E5676" t="str">
        <f t="shared" si="2202"/>
        <v>NC</v>
      </c>
      <c r="F5676" t="str">
        <f t="shared" si="2203"/>
        <v>285478478</v>
      </c>
      <c r="G5676" t="str">
        <f t="shared" si="2206"/>
        <v>PO BOX 8478</v>
      </c>
      <c r="H5676" t="str">
        <f t="shared" si="2207"/>
        <v/>
      </c>
      <c r="I5676" t="str">
        <f t="shared" si="2204"/>
        <v>CAMP LEJEUNE</v>
      </c>
      <c r="J5676" t="str">
        <f t="shared" si="2205"/>
        <v>NC</v>
      </c>
      <c r="K5676" t="str">
        <f t="shared" si="2208"/>
        <v/>
      </c>
      <c r="L5676" t="str">
        <f>T("9104517006")</f>
        <v>9104517006</v>
      </c>
    </row>
    <row r="5677" spans="1:12" x14ac:dyDescent="0.35">
      <c r="A5677" t="str">
        <f t="shared" si="2198"/>
        <v>MCB CAMP LEJEUNE</v>
      </c>
      <c r="B5677" t="str">
        <f t="shared" si="2199"/>
        <v>PO BOX 8478</v>
      </c>
      <c r="C5677" t="str">
        <f t="shared" si="2200"/>
        <v/>
      </c>
      <c r="D5677" t="str">
        <f t="shared" si="2201"/>
        <v>CAMP LEJEUNE</v>
      </c>
      <c r="E5677" t="str">
        <f t="shared" si="2202"/>
        <v>NC</v>
      </c>
      <c r="F5677" t="str">
        <f t="shared" si="2203"/>
        <v>285478478</v>
      </c>
      <c r="G5677" t="str">
        <f t="shared" si="2206"/>
        <v>PO BOX 8478</v>
      </c>
      <c r="H5677" t="str">
        <f t="shared" si="2207"/>
        <v/>
      </c>
      <c r="I5677" t="str">
        <f t="shared" si="2204"/>
        <v>CAMP LEJEUNE</v>
      </c>
      <c r="J5677" t="str">
        <f t="shared" si="2205"/>
        <v>NC</v>
      </c>
      <c r="K5677" t="str">
        <f t="shared" si="2208"/>
        <v/>
      </c>
      <c r="L5677" t="str">
        <f>T("9104517425")</f>
        <v>9104517425</v>
      </c>
    </row>
    <row r="5678" spans="1:12" x14ac:dyDescent="0.35">
      <c r="A5678" t="str">
        <f t="shared" si="2198"/>
        <v>MCB CAMP LEJEUNE</v>
      </c>
      <c r="B5678" t="str">
        <f t="shared" si="2199"/>
        <v>PO BOX 8478</v>
      </c>
      <c r="C5678" t="str">
        <f t="shared" si="2200"/>
        <v/>
      </c>
      <c r="D5678" t="str">
        <f t="shared" si="2201"/>
        <v>CAMP LEJEUNE</v>
      </c>
      <c r="E5678" t="str">
        <f t="shared" si="2202"/>
        <v>NC</v>
      </c>
      <c r="F5678" t="str">
        <f t="shared" si="2203"/>
        <v>285478478</v>
      </c>
      <c r="G5678" t="str">
        <f t="shared" si="2206"/>
        <v>PO BOX 8478</v>
      </c>
      <c r="H5678" t="str">
        <f t="shared" si="2207"/>
        <v/>
      </c>
      <c r="I5678" t="str">
        <f t="shared" si="2204"/>
        <v>CAMP LEJEUNE</v>
      </c>
      <c r="J5678" t="str">
        <f t="shared" si="2205"/>
        <v>NC</v>
      </c>
      <c r="K5678" t="str">
        <f t="shared" si="2208"/>
        <v/>
      </c>
      <c r="L5678" t="str">
        <f>T("9104517555")</f>
        <v>9104517555</v>
      </c>
    </row>
    <row r="5679" spans="1:12" x14ac:dyDescent="0.35">
      <c r="A5679" t="str">
        <f t="shared" si="2198"/>
        <v>MCB CAMP LEJEUNE</v>
      </c>
      <c r="B5679" t="str">
        <f t="shared" si="2199"/>
        <v>PO BOX 8478</v>
      </c>
      <c r="C5679" t="str">
        <f t="shared" si="2200"/>
        <v/>
      </c>
      <c r="D5679" t="str">
        <f t="shared" si="2201"/>
        <v>CAMP LEJEUNE</v>
      </c>
      <c r="E5679" t="str">
        <f t="shared" si="2202"/>
        <v>NC</v>
      </c>
      <c r="F5679" t="str">
        <f t="shared" si="2203"/>
        <v>285478478</v>
      </c>
      <c r="G5679" t="str">
        <f t="shared" si="2206"/>
        <v>PO BOX 8478</v>
      </c>
      <c r="H5679" t="str">
        <f t="shared" si="2207"/>
        <v/>
      </c>
      <c r="I5679" t="str">
        <f t="shared" si="2204"/>
        <v>CAMP LEJEUNE</v>
      </c>
      <c r="J5679" t="str">
        <f t="shared" si="2205"/>
        <v>NC</v>
      </c>
      <c r="K5679" t="str">
        <f t="shared" si="2208"/>
        <v/>
      </c>
      <c r="L5679" t="str">
        <f>T("9104518689")</f>
        <v>9104518689</v>
      </c>
    </row>
    <row r="5680" spans="1:12" x14ac:dyDescent="0.35">
      <c r="A5680" t="str">
        <f t="shared" si="2198"/>
        <v>MCB CAMP LEJEUNE</v>
      </c>
      <c r="B5680" t="str">
        <f t="shared" si="2199"/>
        <v>PO BOX 8478</v>
      </c>
      <c r="C5680" t="str">
        <f t="shared" si="2200"/>
        <v/>
      </c>
      <c r="D5680" t="str">
        <f t="shared" si="2201"/>
        <v>CAMP LEJEUNE</v>
      </c>
      <c r="E5680" t="str">
        <f t="shared" si="2202"/>
        <v>NC</v>
      </c>
      <c r="F5680" t="str">
        <f t="shared" si="2203"/>
        <v>285478478</v>
      </c>
      <c r="G5680" t="str">
        <f t="shared" si="2206"/>
        <v>PO BOX 8478</v>
      </c>
      <c r="H5680" t="str">
        <f t="shared" si="2207"/>
        <v/>
      </c>
      <c r="I5680" t="str">
        <f t="shared" si="2204"/>
        <v>CAMP LEJEUNE</v>
      </c>
      <c r="J5680" t="str">
        <f t="shared" si="2205"/>
        <v>NC</v>
      </c>
      <c r="K5680" t="str">
        <f t="shared" si="2208"/>
        <v/>
      </c>
      <c r="L5680" t="str">
        <f>T("9104519006")</f>
        <v>9104519006</v>
      </c>
    </row>
    <row r="5681" spans="1:12" x14ac:dyDescent="0.35">
      <c r="A5681" t="str">
        <f t="shared" si="2198"/>
        <v>MCB CAMP LEJEUNE</v>
      </c>
      <c r="B5681" t="str">
        <f t="shared" si="2199"/>
        <v>PO BOX 8478</v>
      </c>
      <c r="C5681" t="str">
        <f t="shared" si="2200"/>
        <v/>
      </c>
      <c r="D5681" t="str">
        <f t="shared" si="2201"/>
        <v>CAMP LEJEUNE</v>
      </c>
      <c r="E5681" t="str">
        <f t="shared" si="2202"/>
        <v>NC</v>
      </c>
      <c r="F5681" t="str">
        <f t="shared" si="2203"/>
        <v>285478478</v>
      </c>
      <c r="G5681" t="str">
        <f t="shared" si="2206"/>
        <v>PO BOX 8478</v>
      </c>
      <c r="H5681" t="str">
        <f t="shared" si="2207"/>
        <v/>
      </c>
      <c r="I5681" t="str">
        <f t="shared" si="2204"/>
        <v>CAMP LEJEUNE</v>
      </c>
      <c r="J5681" t="str">
        <f t="shared" si="2205"/>
        <v>NC</v>
      </c>
      <c r="K5681" t="str">
        <f t="shared" si="2208"/>
        <v/>
      </c>
      <c r="L5681" t="str">
        <f>T("9104519384")</f>
        <v>9104519384</v>
      </c>
    </row>
    <row r="5682" spans="1:12" x14ac:dyDescent="0.35">
      <c r="A5682" t="str">
        <f t="shared" si="2198"/>
        <v>MCB CAMP LEJEUNE</v>
      </c>
      <c r="B5682" t="str">
        <f t="shared" si="2199"/>
        <v>PO BOX 8478</v>
      </c>
      <c r="C5682" t="str">
        <f t="shared" si="2200"/>
        <v/>
      </c>
      <c r="D5682" t="str">
        <f t="shared" si="2201"/>
        <v>CAMP LEJEUNE</v>
      </c>
      <c r="E5682" t="str">
        <f t="shared" si="2202"/>
        <v>NC</v>
      </c>
      <c r="F5682" t="str">
        <f t="shared" si="2203"/>
        <v>285478478</v>
      </c>
      <c r="G5682" t="str">
        <f t="shared" si="2206"/>
        <v>PO BOX 8478</v>
      </c>
      <c r="H5682" t="str">
        <f t="shared" si="2207"/>
        <v/>
      </c>
      <c r="I5682" t="str">
        <f t="shared" si="2204"/>
        <v>CAMP LEJEUNE</v>
      </c>
      <c r="J5682" t="str">
        <f t="shared" si="2205"/>
        <v>NC</v>
      </c>
      <c r="K5682" t="str">
        <f t="shared" si="2208"/>
        <v/>
      </c>
      <c r="L5682" t="str">
        <f>T("9104519459")</f>
        <v>9104519459</v>
      </c>
    </row>
    <row r="5683" spans="1:12" x14ac:dyDescent="0.35">
      <c r="A5683" t="str">
        <f t="shared" si="2198"/>
        <v>MCB CAMP LEJEUNE</v>
      </c>
      <c r="B5683" t="str">
        <f t="shared" si="2199"/>
        <v>PO BOX 8478</v>
      </c>
      <c r="C5683" t="str">
        <f t="shared" si="2200"/>
        <v/>
      </c>
      <c r="D5683" t="str">
        <f t="shared" si="2201"/>
        <v>CAMP LEJEUNE</v>
      </c>
      <c r="E5683" t="str">
        <f t="shared" si="2202"/>
        <v>NC</v>
      </c>
      <c r="F5683" t="str">
        <f t="shared" si="2203"/>
        <v>285478478</v>
      </c>
      <c r="G5683" t="str">
        <f t="shared" si="2206"/>
        <v>PO BOX 8478</v>
      </c>
      <c r="H5683" t="str">
        <f t="shared" si="2207"/>
        <v/>
      </c>
      <c r="I5683" t="str">
        <f t="shared" si="2204"/>
        <v>CAMP LEJEUNE</v>
      </c>
      <c r="J5683" t="str">
        <f t="shared" si="2205"/>
        <v>NC</v>
      </c>
      <c r="K5683" t="str">
        <f t="shared" si="2208"/>
        <v/>
      </c>
      <c r="L5683" t="str">
        <f>T("9104519511")</f>
        <v>9104519511</v>
      </c>
    </row>
    <row r="5684" spans="1:12" x14ac:dyDescent="0.35">
      <c r="A5684" t="str">
        <f t="shared" ref="A5684:A5715" si="2209">T("MCB CAMP LEJEUNE")</f>
        <v>MCB CAMP LEJEUNE</v>
      </c>
      <c r="B5684" t="str">
        <f t="shared" si="2199"/>
        <v>PO BOX 8478</v>
      </c>
      <c r="C5684" t="str">
        <f t="shared" ref="C5684:C5715" si="2210">T("")</f>
        <v/>
      </c>
      <c r="D5684" t="str">
        <f t="shared" si="2201"/>
        <v>CAMP LEJEUNE</v>
      </c>
      <c r="E5684" t="str">
        <f t="shared" si="2202"/>
        <v>NC</v>
      </c>
      <c r="F5684" t="str">
        <f t="shared" si="2203"/>
        <v>285478478</v>
      </c>
      <c r="G5684" t="str">
        <f t="shared" si="2206"/>
        <v>PO BOX 8478</v>
      </c>
      <c r="H5684" t="str">
        <f t="shared" si="2207"/>
        <v/>
      </c>
      <c r="I5684" t="str">
        <f t="shared" si="2204"/>
        <v>CAMP LEJEUNE</v>
      </c>
      <c r="J5684" t="str">
        <f t="shared" si="2205"/>
        <v>NC</v>
      </c>
      <c r="K5684" t="str">
        <f t="shared" ref="K5684:K5724" si="2211">T("000000000000000000")</f>
        <v>000000000000000000</v>
      </c>
      <c r="L5684" t="str">
        <f>T("1111111111")</f>
        <v>1111111111</v>
      </c>
    </row>
    <row r="5685" spans="1:12" x14ac:dyDescent="0.35">
      <c r="A5685" t="str">
        <f t="shared" si="2209"/>
        <v>MCB CAMP LEJEUNE</v>
      </c>
      <c r="B5685" t="str">
        <f t="shared" si="2199"/>
        <v>PO BOX 8478</v>
      </c>
      <c r="C5685" t="str">
        <f t="shared" si="2210"/>
        <v/>
      </c>
      <c r="D5685" t="str">
        <f t="shared" si="2201"/>
        <v>CAMP LEJEUNE</v>
      </c>
      <c r="E5685" t="str">
        <f t="shared" si="2202"/>
        <v>NC</v>
      </c>
      <c r="F5685" t="str">
        <f t="shared" si="2203"/>
        <v>285478478</v>
      </c>
      <c r="G5685" t="str">
        <f t="shared" si="2206"/>
        <v>PO BOX 8478</v>
      </c>
      <c r="H5685" t="str">
        <f t="shared" ref="H5685:H5716" si="2212">T("")</f>
        <v/>
      </c>
      <c r="I5685" t="str">
        <f t="shared" si="2204"/>
        <v>CAMP LEJEUNE</v>
      </c>
      <c r="J5685" t="str">
        <f t="shared" si="2205"/>
        <v>NC</v>
      </c>
      <c r="K5685" t="str">
        <f t="shared" si="2211"/>
        <v>000000000000000000</v>
      </c>
      <c r="L5685" t="str">
        <f>T("2296395295")</f>
        <v>2296395295</v>
      </c>
    </row>
    <row r="5686" spans="1:12" x14ac:dyDescent="0.35">
      <c r="A5686" t="str">
        <f t="shared" si="2209"/>
        <v>MCB CAMP LEJEUNE</v>
      </c>
      <c r="B5686" t="str">
        <f t="shared" si="2199"/>
        <v>PO BOX 8478</v>
      </c>
      <c r="C5686" t="str">
        <f t="shared" si="2210"/>
        <v/>
      </c>
      <c r="D5686" t="str">
        <f t="shared" si="2201"/>
        <v>CAMP LEJEUNE</v>
      </c>
      <c r="E5686" t="str">
        <f t="shared" si="2202"/>
        <v>NC</v>
      </c>
      <c r="F5686" t="str">
        <f t="shared" si="2203"/>
        <v>285478478</v>
      </c>
      <c r="G5686" t="str">
        <f t="shared" si="2206"/>
        <v>PO BOX 8478</v>
      </c>
      <c r="H5686" t="str">
        <f t="shared" si="2212"/>
        <v/>
      </c>
      <c r="I5686" t="str">
        <f t="shared" si="2204"/>
        <v>CAMP LEJEUNE</v>
      </c>
      <c r="J5686" t="str">
        <f t="shared" si="2205"/>
        <v>NC</v>
      </c>
      <c r="K5686" t="str">
        <f t="shared" si="2211"/>
        <v>000000000000000000</v>
      </c>
      <c r="L5686" t="str">
        <f>T("2296395297")</f>
        <v>2296395297</v>
      </c>
    </row>
    <row r="5687" spans="1:12" x14ac:dyDescent="0.35">
      <c r="A5687" t="str">
        <f t="shared" si="2209"/>
        <v>MCB CAMP LEJEUNE</v>
      </c>
      <c r="B5687" t="str">
        <f t="shared" si="2199"/>
        <v>PO BOX 8478</v>
      </c>
      <c r="C5687" t="str">
        <f t="shared" si="2210"/>
        <v/>
      </c>
      <c r="D5687" t="str">
        <f t="shared" si="2201"/>
        <v>CAMP LEJEUNE</v>
      </c>
      <c r="E5687" t="str">
        <f t="shared" si="2202"/>
        <v>NC</v>
      </c>
      <c r="F5687" t="str">
        <f t="shared" si="2203"/>
        <v>285478478</v>
      </c>
      <c r="G5687" t="str">
        <f t="shared" si="2206"/>
        <v>PO BOX 8478</v>
      </c>
      <c r="H5687" t="str">
        <f t="shared" si="2212"/>
        <v/>
      </c>
      <c r="I5687" t="str">
        <f t="shared" si="2204"/>
        <v>CAMP LEJEUNE</v>
      </c>
      <c r="J5687" t="str">
        <f t="shared" si="2205"/>
        <v>NC</v>
      </c>
      <c r="K5687" t="str">
        <f t="shared" si="2211"/>
        <v>000000000000000000</v>
      </c>
      <c r="L5687" t="str">
        <f>T("2296397268")</f>
        <v>2296397268</v>
      </c>
    </row>
    <row r="5688" spans="1:12" x14ac:dyDescent="0.35">
      <c r="A5688" t="str">
        <f t="shared" si="2209"/>
        <v>MCB CAMP LEJEUNE</v>
      </c>
      <c r="B5688" t="str">
        <f t="shared" si="2199"/>
        <v>PO BOX 8478</v>
      </c>
      <c r="C5688" t="str">
        <f t="shared" si="2210"/>
        <v/>
      </c>
      <c r="D5688" t="str">
        <f t="shared" si="2201"/>
        <v>CAMP LEJEUNE</v>
      </c>
      <c r="E5688" t="str">
        <f t="shared" si="2202"/>
        <v>NC</v>
      </c>
      <c r="F5688" t="str">
        <f t="shared" si="2203"/>
        <v>285478478</v>
      </c>
      <c r="G5688" t="str">
        <f t="shared" si="2206"/>
        <v>PO BOX 8478</v>
      </c>
      <c r="H5688" t="str">
        <f t="shared" si="2212"/>
        <v/>
      </c>
      <c r="I5688" t="str">
        <f t="shared" si="2204"/>
        <v>CAMP LEJEUNE</v>
      </c>
      <c r="J5688" t="str">
        <f t="shared" si="2205"/>
        <v>NC</v>
      </c>
      <c r="K5688" t="str">
        <f t="shared" si="2211"/>
        <v>000000000000000000</v>
      </c>
      <c r="L5688" t="str">
        <f>T("2524661041")</f>
        <v>2524661041</v>
      </c>
    </row>
    <row r="5689" spans="1:12" x14ac:dyDescent="0.35">
      <c r="A5689" t="str">
        <f t="shared" si="2209"/>
        <v>MCB CAMP LEJEUNE</v>
      </c>
      <c r="B5689" t="str">
        <f t="shared" si="2199"/>
        <v>PO BOX 8478</v>
      </c>
      <c r="C5689" t="str">
        <f t="shared" si="2210"/>
        <v/>
      </c>
      <c r="D5689" t="str">
        <f t="shared" si="2201"/>
        <v>CAMP LEJEUNE</v>
      </c>
      <c r="E5689" t="str">
        <f t="shared" si="2202"/>
        <v>NC</v>
      </c>
      <c r="F5689" t="str">
        <f t="shared" si="2203"/>
        <v>285478478</v>
      </c>
      <c r="G5689" t="str">
        <f t="shared" si="2206"/>
        <v>PO BOX 8478</v>
      </c>
      <c r="H5689" t="str">
        <f t="shared" si="2212"/>
        <v/>
      </c>
      <c r="I5689" t="str">
        <f t="shared" si="2204"/>
        <v>CAMP LEJEUNE</v>
      </c>
      <c r="J5689" t="str">
        <f t="shared" si="2205"/>
        <v>NC</v>
      </c>
      <c r="K5689" t="str">
        <f t="shared" si="2211"/>
        <v>000000000000000000</v>
      </c>
      <c r="L5689" t="str">
        <f>T("2524666779")</f>
        <v>2524666779</v>
      </c>
    </row>
    <row r="5690" spans="1:12" x14ac:dyDescent="0.35">
      <c r="A5690" t="str">
        <f t="shared" si="2209"/>
        <v>MCB CAMP LEJEUNE</v>
      </c>
      <c r="B5690" t="str">
        <f t="shared" si="2199"/>
        <v>PO BOX 8478</v>
      </c>
      <c r="C5690" t="str">
        <f t="shared" si="2210"/>
        <v/>
      </c>
      <c r="D5690" t="str">
        <f t="shared" si="2201"/>
        <v>CAMP LEJEUNE</v>
      </c>
      <c r="E5690" t="str">
        <f t="shared" si="2202"/>
        <v>NC</v>
      </c>
      <c r="F5690" t="str">
        <f t="shared" si="2203"/>
        <v>285478478</v>
      </c>
      <c r="G5690" t="str">
        <f t="shared" si="2206"/>
        <v>PO BOX 8478</v>
      </c>
      <c r="H5690" t="str">
        <f t="shared" si="2212"/>
        <v/>
      </c>
      <c r="I5690" t="str">
        <f t="shared" si="2204"/>
        <v>CAMP LEJEUNE</v>
      </c>
      <c r="J5690" t="str">
        <f t="shared" si="2205"/>
        <v>NC</v>
      </c>
      <c r="K5690" t="str">
        <f t="shared" si="2211"/>
        <v>000000000000000000</v>
      </c>
      <c r="L5690" t="str">
        <f>T("8432284919")</f>
        <v>8432284919</v>
      </c>
    </row>
    <row r="5691" spans="1:12" x14ac:dyDescent="0.35">
      <c r="A5691" t="str">
        <f t="shared" si="2209"/>
        <v>MCB CAMP LEJEUNE</v>
      </c>
      <c r="B5691" t="str">
        <f t="shared" si="2199"/>
        <v>PO BOX 8478</v>
      </c>
      <c r="C5691" t="str">
        <f t="shared" si="2210"/>
        <v/>
      </c>
      <c r="D5691" t="str">
        <f t="shared" si="2201"/>
        <v>CAMP LEJEUNE</v>
      </c>
      <c r="E5691" t="str">
        <f t="shared" si="2202"/>
        <v>NC</v>
      </c>
      <c r="F5691" t="str">
        <f t="shared" si="2203"/>
        <v>285478478</v>
      </c>
      <c r="G5691" t="str">
        <f t="shared" si="2206"/>
        <v>PO BOX 8478</v>
      </c>
      <c r="H5691" t="str">
        <f t="shared" si="2212"/>
        <v/>
      </c>
      <c r="I5691" t="str">
        <f t="shared" si="2204"/>
        <v>CAMP LEJEUNE</v>
      </c>
      <c r="J5691" t="str">
        <f t="shared" si="2205"/>
        <v>NC</v>
      </c>
      <c r="K5691" t="str">
        <f t="shared" si="2211"/>
        <v>000000000000000000</v>
      </c>
      <c r="L5691" t="str">
        <f>T("9104499279")</f>
        <v>9104499279</v>
      </c>
    </row>
    <row r="5692" spans="1:12" x14ac:dyDescent="0.35">
      <c r="A5692" t="str">
        <f t="shared" si="2209"/>
        <v>MCB CAMP LEJEUNE</v>
      </c>
      <c r="B5692" t="str">
        <f t="shared" si="2199"/>
        <v>PO BOX 8478</v>
      </c>
      <c r="C5692" t="str">
        <f t="shared" si="2210"/>
        <v/>
      </c>
      <c r="D5692" t="str">
        <f t="shared" si="2201"/>
        <v>CAMP LEJEUNE</v>
      </c>
      <c r="E5692" t="str">
        <f t="shared" si="2202"/>
        <v>NC</v>
      </c>
      <c r="F5692" t="str">
        <f t="shared" si="2203"/>
        <v>285478478</v>
      </c>
      <c r="G5692" t="str">
        <f t="shared" si="2206"/>
        <v>PO BOX 8478</v>
      </c>
      <c r="H5692" t="str">
        <f t="shared" si="2212"/>
        <v/>
      </c>
      <c r="I5692" t="str">
        <f t="shared" si="2204"/>
        <v>CAMP LEJEUNE</v>
      </c>
      <c r="J5692" t="str">
        <f t="shared" si="2205"/>
        <v>NC</v>
      </c>
      <c r="K5692" t="str">
        <f t="shared" si="2211"/>
        <v>000000000000000000</v>
      </c>
      <c r="L5692" t="str">
        <f>T("9104500313")</f>
        <v>9104500313</v>
      </c>
    </row>
    <row r="5693" spans="1:12" x14ac:dyDescent="0.35">
      <c r="A5693" t="str">
        <f t="shared" si="2209"/>
        <v>MCB CAMP LEJEUNE</v>
      </c>
      <c r="B5693" t="str">
        <f t="shared" si="2199"/>
        <v>PO BOX 8478</v>
      </c>
      <c r="C5693" t="str">
        <f t="shared" si="2210"/>
        <v/>
      </c>
      <c r="D5693" t="str">
        <f t="shared" si="2201"/>
        <v>CAMP LEJEUNE</v>
      </c>
      <c r="E5693" t="str">
        <f t="shared" si="2202"/>
        <v>NC</v>
      </c>
      <c r="F5693" t="str">
        <f t="shared" si="2203"/>
        <v>285478478</v>
      </c>
      <c r="G5693" t="str">
        <f t="shared" si="2206"/>
        <v>PO BOX 8478</v>
      </c>
      <c r="H5693" t="str">
        <f t="shared" si="2212"/>
        <v/>
      </c>
      <c r="I5693" t="str">
        <f t="shared" si="2204"/>
        <v>CAMP LEJEUNE</v>
      </c>
      <c r="J5693" t="str">
        <f t="shared" si="2205"/>
        <v>NC</v>
      </c>
      <c r="K5693" t="str">
        <f t="shared" si="2211"/>
        <v>000000000000000000</v>
      </c>
      <c r="L5693" t="str">
        <f>T("9104500883")</f>
        <v>9104500883</v>
      </c>
    </row>
    <row r="5694" spans="1:12" x14ac:dyDescent="0.35">
      <c r="A5694" t="str">
        <f t="shared" si="2209"/>
        <v>MCB CAMP LEJEUNE</v>
      </c>
      <c r="B5694" t="str">
        <f t="shared" si="2199"/>
        <v>PO BOX 8478</v>
      </c>
      <c r="C5694" t="str">
        <f t="shared" si="2210"/>
        <v/>
      </c>
      <c r="D5694" t="str">
        <f t="shared" si="2201"/>
        <v>CAMP LEJEUNE</v>
      </c>
      <c r="E5694" t="str">
        <f t="shared" si="2202"/>
        <v>NC</v>
      </c>
      <c r="F5694" t="str">
        <f t="shared" si="2203"/>
        <v>285478478</v>
      </c>
      <c r="G5694" t="str">
        <f t="shared" si="2206"/>
        <v>PO BOX 8478</v>
      </c>
      <c r="H5694" t="str">
        <f t="shared" si="2212"/>
        <v/>
      </c>
      <c r="I5694" t="str">
        <f t="shared" si="2204"/>
        <v>CAMP LEJEUNE</v>
      </c>
      <c r="J5694" t="str">
        <f t="shared" si="2205"/>
        <v>NC</v>
      </c>
      <c r="K5694" t="str">
        <f t="shared" si="2211"/>
        <v>000000000000000000</v>
      </c>
      <c r="L5694" t="str">
        <f>T("9104501183")</f>
        <v>9104501183</v>
      </c>
    </row>
    <row r="5695" spans="1:12" x14ac:dyDescent="0.35">
      <c r="A5695" t="str">
        <f t="shared" si="2209"/>
        <v>MCB CAMP LEJEUNE</v>
      </c>
      <c r="B5695" t="str">
        <f t="shared" si="2199"/>
        <v>PO BOX 8478</v>
      </c>
      <c r="C5695" t="str">
        <f t="shared" si="2210"/>
        <v/>
      </c>
      <c r="D5695" t="str">
        <f t="shared" si="2201"/>
        <v>CAMP LEJEUNE</v>
      </c>
      <c r="E5695" t="str">
        <f t="shared" si="2202"/>
        <v>NC</v>
      </c>
      <c r="F5695" t="str">
        <f t="shared" si="2203"/>
        <v>285478478</v>
      </c>
      <c r="G5695" t="str">
        <f t="shared" si="2206"/>
        <v>PO BOX 8478</v>
      </c>
      <c r="H5695" t="str">
        <f t="shared" si="2212"/>
        <v/>
      </c>
      <c r="I5695" t="str">
        <f t="shared" si="2204"/>
        <v>CAMP LEJEUNE</v>
      </c>
      <c r="J5695" t="str">
        <f t="shared" si="2205"/>
        <v>NC</v>
      </c>
      <c r="K5695" t="str">
        <f t="shared" si="2211"/>
        <v>000000000000000000</v>
      </c>
      <c r="L5695" t="str">
        <f>T("9104501628")</f>
        <v>9104501628</v>
      </c>
    </row>
    <row r="5696" spans="1:12" x14ac:dyDescent="0.35">
      <c r="A5696" t="str">
        <f t="shared" si="2209"/>
        <v>MCB CAMP LEJEUNE</v>
      </c>
      <c r="B5696" t="str">
        <f t="shared" si="2199"/>
        <v>PO BOX 8478</v>
      </c>
      <c r="C5696" t="str">
        <f t="shared" si="2210"/>
        <v/>
      </c>
      <c r="D5696" t="str">
        <f t="shared" si="2201"/>
        <v>CAMP LEJEUNE</v>
      </c>
      <c r="E5696" t="str">
        <f t="shared" si="2202"/>
        <v>NC</v>
      </c>
      <c r="F5696" t="str">
        <f t="shared" si="2203"/>
        <v>285478478</v>
      </c>
      <c r="G5696" t="str">
        <f t="shared" si="2206"/>
        <v>PO BOX 8478</v>
      </c>
      <c r="H5696" t="str">
        <f t="shared" si="2212"/>
        <v/>
      </c>
      <c r="I5696" t="str">
        <f t="shared" si="2204"/>
        <v>CAMP LEJEUNE</v>
      </c>
      <c r="J5696" t="str">
        <f t="shared" si="2205"/>
        <v>NC</v>
      </c>
      <c r="K5696" t="str">
        <f t="shared" si="2211"/>
        <v>000000000000000000</v>
      </c>
      <c r="L5696" t="str">
        <f>T("9104505772")</f>
        <v>9104505772</v>
      </c>
    </row>
    <row r="5697" spans="1:12" x14ac:dyDescent="0.35">
      <c r="A5697" t="str">
        <f t="shared" si="2209"/>
        <v>MCB CAMP LEJEUNE</v>
      </c>
      <c r="B5697" t="str">
        <f t="shared" si="2199"/>
        <v>PO BOX 8478</v>
      </c>
      <c r="C5697" t="str">
        <f t="shared" si="2210"/>
        <v/>
      </c>
      <c r="D5697" t="str">
        <f t="shared" si="2201"/>
        <v>CAMP LEJEUNE</v>
      </c>
      <c r="E5697" t="str">
        <f t="shared" si="2202"/>
        <v>NC</v>
      </c>
      <c r="F5697" t="str">
        <f t="shared" si="2203"/>
        <v>285478478</v>
      </c>
      <c r="G5697" t="str">
        <f t="shared" si="2206"/>
        <v>PO BOX 8478</v>
      </c>
      <c r="H5697" t="str">
        <f t="shared" si="2212"/>
        <v/>
      </c>
      <c r="I5697" t="str">
        <f t="shared" si="2204"/>
        <v>CAMP LEJEUNE</v>
      </c>
      <c r="J5697" t="str">
        <f t="shared" si="2205"/>
        <v>NC</v>
      </c>
      <c r="K5697" t="str">
        <f t="shared" si="2211"/>
        <v>000000000000000000</v>
      </c>
      <c r="L5697" t="str">
        <f>T("9104507394")</f>
        <v>9104507394</v>
      </c>
    </row>
    <row r="5698" spans="1:12" x14ac:dyDescent="0.35">
      <c r="A5698" t="str">
        <f t="shared" si="2209"/>
        <v>MCB CAMP LEJEUNE</v>
      </c>
      <c r="B5698" t="str">
        <f t="shared" si="2199"/>
        <v>PO BOX 8478</v>
      </c>
      <c r="C5698" t="str">
        <f t="shared" si="2210"/>
        <v/>
      </c>
      <c r="D5698" t="str">
        <f t="shared" si="2201"/>
        <v>CAMP LEJEUNE</v>
      </c>
      <c r="E5698" t="str">
        <f t="shared" si="2202"/>
        <v>NC</v>
      </c>
      <c r="F5698" t="str">
        <f t="shared" si="2203"/>
        <v>285478478</v>
      </c>
      <c r="G5698" t="str">
        <f t="shared" si="2206"/>
        <v>PO BOX 8478</v>
      </c>
      <c r="H5698" t="str">
        <f t="shared" si="2212"/>
        <v/>
      </c>
      <c r="I5698" t="str">
        <f t="shared" si="2204"/>
        <v>CAMP LEJEUNE</v>
      </c>
      <c r="J5698" t="str">
        <f t="shared" si="2205"/>
        <v>NC</v>
      </c>
      <c r="K5698" t="str">
        <f t="shared" si="2211"/>
        <v>000000000000000000</v>
      </c>
      <c r="L5698" t="str">
        <f>T("9104510386")</f>
        <v>9104510386</v>
      </c>
    </row>
    <row r="5699" spans="1:12" x14ac:dyDescent="0.35">
      <c r="A5699" t="str">
        <f t="shared" si="2209"/>
        <v>MCB CAMP LEJEUNE</v>
      </c>
      <c r="B5699" t="str">
        <f t="shared" si="2199"/>
        <v>PO BOX 8478</v>
      </c>
      <c r="C5699" t="str">
        <f t="shared" si="2210"/>
        <v/>
      </c>
      <c r="D5699" t="str">
        <f t="shared" si="2201"/>
        <v>CAMP LEJEUNE</v>
      </c>
      <c r="E5699" t="str">
        <f t="shared" si="2202"/>
        <v>NC</v>
      </c>
      <c r="F5699" t="str">
        <f t="shared" si="2203"/>
        <v>285478478</v>
      </c>
      <c r="G5699" t="str">
        <f t="shared" si="2206"/>
        <v>PO BOX 8478</v>
      </c>
      <c r="H5699" t="str">
        <f t="shared" si="2212"/>
        <v/>
      </c>
      <c r="I5699" t="str">
        <f t="shared" si="2204"/>
        <v>CAMP LEJEUNE</v>
      </c>
      <c r="J5699" t="str">
        <f t="shared" si="2205"/>
        <v>NC</v>
      </c>
      <c r="K5699" t="str">
        <f t="shared" si="2211"/>
        <v>000000000000000000</v>
      </c>
      <c r="L5699" t="str">
        <f>T("9104511604")</f>
        <v>9104511604</v>
      </c>
    </row>
    <row r="5700" spans="1:12" x14ac:dyDescent="0.35">
      <c r="A5700" t="str">
        <f t="shared" si="2209"/>
        <v>MCB CAMP LEJEUNE</v>
      </c>
      <c r="B5700" t="str">
        <f t="shared" si="2199"/>
        <v>PO BOX 8478</v>
      </c>
      <c r="C5700" t="str">
        <f t="shared" si="2210"/>
        <v/>
      </c>
      <c r="D5700" t="str">
        <f t="shared" si="2201"/>
        <v>CAMP LEJEUNE</v>
      </c>
      <c r="E5700" t="str">
        <f t="shared" si="2202"/>
        <v>NC</v>
      </c>
      <c r="F5700" t="str">
        <f t="shared" si="2203"/>
        <v>285478478</v>
      </c>
      <c r="G5700" t="str">
        <f t="shared" si="2206"/>
        <v>PO BOX 8478</v>
      </c>
      <c r="H5700" t="str">
        <f t="shared" si="2212"/>
        <v/>
      </c>
      <c r="I5700" t="str">
        <f t="shared" si="2204"/>
        <v>CAMP LEJEUNE</v>
      </c>
      <c r="J5700" t="str">
        <f t="shared" si="2205"/>
        <v>NC</v>
      </c>
      <c r="K5700" t="str">
        <f t="shared" si="2211"/>
        <v>000000000000000000</v>
      </c>
      <c r="L5700" t="str">
        <f>T("9104511710")</f>
        <v>9104511710</v>
      </c>
    </row>
    <row r="5701" spans="1:12" x14ac:dyDescent="0.35">
      <c r="A5701" t="str">
        <f t="shared" si="2209"/>
        <v>MCB CAMP LEJEUNE</v>
      </c>
      <c r="B5701" t="str">
        <f t="shared" si="2199"/>
        <v>PO BOX 8478</v>
      </c>
      <c r="C5701" t="str">
        <f t="shared" si="2210"/>
        <v/>
      </c>
      <c r="D5701" t="str">
        <f t="shared" si="2201"/>
        <v>CAMP LEJEUNE</v>
      </c>
      <c r="E5701" t="str">
        <f t="shared" si="2202"/>
        <v>NC</v>
      </c>
      <c r="F5701" t="str">
        <f t="shared" si="2203"/>
        <v>285478478</v>
      </c>
      <c r="G5701" t="str">
        <f t="shared" si="2206"/>
        <v>PO BOX 8478</v>
      </c>
      <c r="H5701" t="str">
        <f t="shared" si="2212"/>
        <v/>
      </c>
      <c r="I5701" t="str">
        <f t="shared" si="2204"/>
        <v>CAMP LEJEUNE</v>
      </c>
      <c r="J5701" t="str">
        <f t="shared" si="2205"/>
        <v>NC</v>
      </c>
      <c r="K5701" t="str">
        <f t="shared" si="2211"/>
        <v>000000000000000000</v>
      </c>
      <c r="L5701" t="str">
        <f>T("9104511755")</f>
        <v>9104511755</v>
      </c>
    </row>
    <row r="5702" spans="1:12" x14ac:dyDescent="0.35">
      <c r="A5702" t="str">
        <f t="shared" si="2209"/>
        <v>MCB CAMP LEJEUNE</v>
      </c>
      <c r="B5702" t="str">
        <f t="shared" si="2199"/>
        <v>PO BOX 8478</v>
      </c>
      <c r="C5702" t="str">
        <f t="shared" si="2210"/>
        <v/>
      </c>
      <c r="D5702" t="str">
        <f t="shared" si="2201"/>
        <v>CAMP LEJEUNE</v>
      </c>
      <c r="E5702" t="str">
        <f t="shared" si="2202"/>
        <v>NC</v>
      </c>
      <c r="F5702" t="str">
        <f t="shared" si="2203"/>
        <v>285478478</v>
      </c>
      <c r="G5702" t="str">
        <f t="shared" si="2206"/>
        <v>PO BOX 8478</v>
      </c>
      <c r="H5702" t="str">
        <f t="shared" si="2212"/>
        <v/>
      </c>
      <c r="I5702" t="str">
        <f t="shared" si="2204"/>
        <v>CAMP LEJEUNE</v>
      </c>
      <c r="J5702" t="str">
        <f t="shared" si="2205"/>
        <v>NC</v>
      </c>
      <c r="K5702" t="str">
        <f t="shared" si="2211"/>
        <v>000000000000000000</v>
      </c>
      <c r="L5702" t="str">
        <f>T("9104512006")</f>
        <v>9104512006</v>
      </c>
    </row>
    <row r="5703" spans="1:12" x14ac:dyDescent="0.35">
      <c r="A5703" t="str">
        <f t="shared" si="2209"/>
        <v>MCB CAMP LEJEUNE</v>
      </c>
      <c r="B5703" t="str">
        <f t="shared" si="2199"/>
        <v>PO BOX 8478</v>
      </c>
      <c r="C5703" t="str">
        <f t="shared" si="2210"/>
        <v/>
      </c>
      <c r="D5703" t="str">
        <f t="shared" si="2201"/>
        <v>CAMP LEJEUNE</v>
      </c>
      <c r="E5703" t="str">
        <f t="shared" si="2202"/>
        <v>NC</v>
      </c>
      <c r="F5703" t="str">
        <f t="shared" si="2203"/>
        <v>285478478</v>
      </c>
      <c r="G5703" t="str">
        <f t="shared" si="2206"/>
        <v>PO BOX 8478</v>
      </c>
      <c r="H5703" t="str">
        <f t="shared" si="2212"/>
        <v/>
      </c>
      <c r="I5703" t="str">
        <f t="shared" si="2204"/>
        <v>CAMP LEJEUNE</v>
      </c>
      <c r="J5703" t="str">
        <f t="shared" si="2205"/>
        <v>NC</v>
      </c>
      <c r="K5703" t="str">
        <f t="shared" si="2211"/>
        <v>000000000000000000</v>
      </c>
      <c r="L5703" t="str">
        <f>T("9104512134")</f>
        <v>9104512134</v>
      </c>
    </row>
    <row r="5704" spans="1:12" x14ac:dyDescent="0.35">
      <c r="A5704" t="str">
        <f t="shared" si="2209"/>
        <v>MCB CAMP LEJEUNE</v>
      </c>
      <c r="B5704" t="str">
        <f t="shared" si="2199"/>
        <v>PO BOX 8478</v>
      </c>
      <c r="C5704" t="str">
        <f t="shared" si="2210"/>
        <v/>
      </c>
      <c r="D5704" t="str">
        <f t="shared" si="2201"/>
        <v>CAMP LEJEUNE</v>
      </c>
      <c r="E5704" t="str">
        <f t="shared" si="2202"/>
        <v>NC</v>
      </c>
      <c r="F5704" t="str">
        <f t="shared" si="2203"/>
        <v>285478478</v>
      </c>
      <c r="G5704" t="str">
        <f t="shared" si="2206"/>
        <v>PO BOX 8478</v>
      </c>
      <c r="H5704" t="str">
        <f t="shared" si="2212"/>
        <v/>
      </c>
      <c r="I5704" t="str">
        <f t="shared" si="2204"/>
        <v>CAMP LEJEUNE</v>
      </c>
      <c r="J5704" t="str">
        <f t="shared" si="2205"/>
        <v>NC</v>
      </c>
      <c r="K5704" t="str">
        <f t="shared" si="2211"/>
        <v>000000000000000000</v>
      </c>
      <c r="L5704" t="str">
        <f>T("9104512372")</f>
        <v>9104512372</v>
      </c>
    </row>
    <row r="5705" spans="1:12" x14ac:dyDescent="0.35">
      <c r="A5705" t="str">
        <f t="shared" si="2209"/>
        <v>MCB CAMP LEJEUNE</v>
      </c>
      <c r="B5705" t="str">
        <f t="shared" si="2199"/>
        <v>PO BOX 8478</v>
      </c>
      <c r="C5705" t="str">
        <f t="shared" si="2210"/>
        <v/>
      </c>
      <c r="D5705" t="str">
        <f t="shared" si="2201"/>
        <v>CAMP LEJEUNE</v>
      </c>
      <c r="E5705" t="str">
        <f t="shared" si="2202"/>
        <v>NC</v>
      </c>
      <c r="F5705" t="str">
        <f t="shared" si="2203"/>
        <v>285478478</v>
      </c>
      <c r="G5705" t="str">
        <f t="shared" si="2206"/>
        <v>PO BOX 8478</v>
      </c>
      <c r="H5705" t="str">
        <f t="shared" si="2212"/>
        <v/>
      </c>
      <c r="I5705" t="str">
        <f t="shared" si="2204"/>
        <v>CAMP LEJEUNE</v>
      </c>
      <c r="J5705" t="str">
        <f t="shared" si="2205"/>
        <v>NC</v>
      </c>
      <c r="K5705" t="str">
        <f t="shared" si="2211"/>
        <v>000000000000000000</v>
      </c>
      <c r="L5705" t="str">
        <f>T("9104512481")</f>
        <v>9104512481</v>
      </c>
    </row>
    <row r="5706" spans="1:12" x14ac:dyDescent="0.35">
      <c r="A5706" t="str">
        <f t="shared" si="2209"/>
        <v>MCB CAMP LEJEUNE</v>
      </c>
      <c r="B5706" t="str">
        <f t="shared" si="2199"/>
        <v>PO BOX 8478</v>
      </c>
      <c r="C5706" t="str">
        <f t="shared" si="2210"/>
        <v/>
      </c>
      <c r="D5706" t="str">
        <f t="shared" si="2201"/>
        <v>CAMP LEJEUNE</v>
      </c>
      <c r="E5706" t="str">
        <f t="shared" si="2202"/>
        <v>NC</v>
      </c>
      <c r="F5706" t="str">
        <f t="shared" si="2203"/>
        <v>285478478</v>
      </c>
      <c r="G5706" t="str">
        <f t="shared" si="2206"/>
        <v>PO BOX 8478</v>
      </c>
      <c r="H5706" t="str">
        <f t="shared" si="2212"/>
        <v/>
      </c>
      <c r="I5706" t="str">
        <f t="shared" si="2204"/>
        <v>CAMP LEJEUNE</v>
      </c>
      <c r="J5706" t="str">
        <f t="shared" si="2205"/>
        <v>NC</v>
      </c>
      <c r="K5706" t="str">
        <f t="shared" si="2211"/>
        <v>000000000000000000</v>
      </c>
      <c r="L5706" t="str">
        <f>T("9104512628")</f>
        <v>9104512628</v>
      </c>
    </row>
    <row r="5707" spans="1:12" x14ac:dyDescent="0.35">
      <c r="A5707" t="str">
        <f t="shared" si="2209"/>
        <v>MCB CAMP LEJEUNE</v>
      </c>
      <c r="B5707" t="str">
        <f t="shared" si="2199"/>
        <v>PO BOX 8478</v>
      </c>
      <c r="C5707" t="str">
        <f t="shared" si="2210"/>
        <v/>
      </c>
      <c r="D5707" t="str">
        <f t="shared" si="2201"/>
        <v>CAMP LEJEUNE</v>
      </c>
      <c r="E5707" t="str">
        <f t="shared" si="2202"/>
        <v>NC</v>
      </c>
      <c r="F5707" t="str">
        <f t="shared" si="2203"/>
        <v>285478478</v>
      </c>
      <c r="G5707" t="str">
        <f t="shared" si="2206"/>
        <v>PO BOX 8478</v>
      </c>
      <c r="H5707" t="str">
        <f t="shared" si="2212"/>
        <v/>
      </c>
      <c r="I5707" t="str">
        <f t="shared" si="2204"/>
        <v>CAMP LEJEUNE</v>
      </c>
      <c r="J5707" t="str">
        <f t="shared" si="2205"/>
        <v>NC</v>
      </c>
      <c r="K5707" t="str">
        <f t="shared" si="2211"/>
        <v>000000000000000000</v>
      </c>
      <c r="L5707" t="str">
        <f>T("9104513018")</f>
        <v>9104513018</v>
      </c>
    </row>
    <row r="5708" spans="1:12" x14ac:dyDescent="0.35">
      <c r="A5708" t="str">
        <f t="shared" si="2209"/>
        <v>MCB CAMP LEJEUNE</v>
      </c>
      <c r="B5708" t="str">
        <f t="shared" si="2199"/>
        <v>PO BOX 8478</v>
      </c>
      <c r="C5708" t="str">
        <f t="shared" si="2210"/>
        <v/>
      </c>
      <c r="D5708" t="str">
        <f t="shared" si="2201"/>
        <v>CAMP LEJEUNE</v>
      </c>
      <c r="E5708" t="str">
        <f t="shared" si="2202"/>
        <v>NC</v>
      </c>
      <c r="F5708" t="str">
        <f t="shared" si="2203"/>
        <v>285478478</v>
      </c>
      <c r="G5708" t="str">
        <f t="shared" si="2206"/>
        <v>PO BOX 8478</v>
      </c>
      <c r="H5708" t="str">
        <f t="shared" si="2212"/>
        <v/>
      </c>
      <c r="I5708" t="str">
        <f t="shared" si="2204"/>
        <v>CAMP LEJEUNE</v>
      </c>
      <c r="J5708" t="str">
        <f t="shared" si="2205"/>
        <v>NC</v>
      </c>
      <c r="K5708" t="str">
        <f t="shared" si="2211"/>
        <v>000000000000000000</v>
      </c>
      <c r="L5708" t="str">
        <f>T("9104513182")</f>
        <v>9104513182</v>
      </c>
    </row>
    <row r="5709" spans="1:12" x14ac:dyDescent="0.35">
      <c r="A5709" t="str">
        <f t="shared" si="2209"/>
        <v>MCB CAMP LEJEUNE</v>
      </c>
      <c r="B5709" t="str">
        <f t="shared" si="2199"/>
        <v>PO BOX 8478</v>
      </c>
      <c r="C5709" t="str">
        <f t="shared" si="2210"/>
        <v/>
      </c>
      <c r="D5709" t="str">
        <f t="shared" si="2201"/>
        <v>CAMP LEJEUNE</v>
      </c>
      <c r="E5709" t="str">
        <f t="shared" si="2202"/>
        <v>NC</v>
      </c>
      <c r="F5709" t="str">
        <f t="shared" si="2203"/>
        <v>285478478</v>
      </c>
      <c r="G5709" t="str">
        <f t="shared" si="2206"/>
        <v>PO BOX 8478</v>
      </c>
      <c r="H5709" t="str">
        <f t="shared" si="2212"/>
        <v/>
      </c>
      <c r="I5709" t="str">
        <f t="shared" si="2204"/>
        <v>CAMP LEJEUNE</v>
      </c>
      <c r="J5709" t="str">
        <f t="shared" si="2205"/>
        <v>NC</v>
      </c>
      <c r="K5709" t="str">
        <f t="shared" si="2211"/>
        <v>000000000000000000</v>
      </c>
      <c r="L5709" t="str">
        <f>T("9104513561")</f>
        <v>9104513561</v>
      </c>
    </row>
    <row r="5710" spans="1:12" x14ac:dyDescent="0.35">
      <c r="A5710" t="str">
        <f t="shared" si="2209"/>
        <v>MCB CAMP LEJEUNE</v>
      </c>
      <c r="B5710" t="str">
        <f t="shared" si="2199"/>
        <v>PO BOX 8478</v>
      </c>
      <c r="C5710" t="str">
        <f t="shared" si="2210"/>
        <v/>
      </c>
      <c r="D5710" t="str">
        <f t="shared" si="2201"/>
        <v>CAMP LEJEUNE</v>
      </c>
      <c r="E5710" t="str">
        <f t="shared" si="2202"/>
        <v>NC</v>
      </c>
      <c r="F5710" t="str">
        <f t="shared" si="2203"/>
        <v>285478478</v>
      </c>
      <c r="G5710" t="str">
        <f t="shared" si="2206"/>
        <v>PO BOX 8478</v>
      </c>
      <c r="H5710" t="str">
        <f t="shared" si="2212"/>
        <v/>
      </c>
      <c r="I5710" t="str">
        <f t="shared" si="2204"/>
        <v>CAMP LEJEUNE</v>
      </c>
      <c r="J5710" t="str">
        <f t="shared" si="2205"/>
        <v>NC</v>
      </c>
      <c r="K5710" t="str">
        <f t="shared" si="2211"/>
        <v>000000000000000000</v>
      </c>
      <c r="L5710" t="str">
        <f>T("9104513994")</f>
        <v>9104513994</v>
      </c>
    </row>
    <row r="5711" spans="1:12" x14ac:dyDescent="0.35">
      <c r="A5711" t="str">
        <f t="shared" si="2209"/>
        <v>MCB CAMP LEJEUNE</v>
      </c>
      <c r="B5711" t="str">
        <f t="shared" si="2199"/>
        <v>PO BOX 8478</v>
      </c>
      <c r="C5711" t="str">
        <f t="shared" si="2210"/>
        <v/>
      </c>
      <c r="D5711" t="str">
        <f t="shared" si="2201"/>
        <v>CAMP LEJEUNE</v>
      </c>
      <c r="E5711" t="str">
        <f t="shared" si="2202"/>
        <v>NC</v>
      </c>
      <c r="F5711" t="str">
        <f t="shared" si="2203"/>
        <v>285478478</v>
      </c>
      <c r="G5711" t="str">
        <f t="shared" si="2206"/>
        <v>PO BOX 8478</v>
      </c>
      <c r="H5711" t="str">
        <f t="shared" si="2212"/>
        <v/>
      </c>
      <c r="I5711" t="str">
        <f t="shared" si="2204"/>
        <v>CAMP LEJEUNE</v>
      </c>
      <c r="J5711" t="str">
        <f t="shared" si="2205"/>
        <v>NC</v>
      </c>
      <c r="K5711" t="str">
        <f t="shared" si="2211"/>
        <v>000000000000000000</v>
      </c>
      <c r="L5711" t="str">
        <f>T("9104514903")</f>
        <v>9104514903</v>
      </c>
    </row>
    <row r="5712" spans="1:12" x14ac:dyDescent="0.35">
      <c r="A5712" t="str">
        <f t="shared" si="2209"/>
        <v>MCB CAMP LEJEUNE</v>
      </c>
      <c r="B5712" t="str">
        <f t="shared" si="2199"/>
        <v>PO BOX 8478</v>
      </c>
      <c r="C5712" t="str">
        <f t="shared" si="2210"/>
        <v/>
      </c>
      <c r="D5712" t="str">
        <f t="shared" si="2201"/>
        <v>CAMP LEJEUNE</v>
      </c>
      <c r="E5712" t="str">
        <f t="shared" si="2202"/>
        <v>NC</v>
      </c>
      <c r="F5712" t="str">
        <f t="shared" si="2203"/>
        <v>285478478</v>
      </c>
      <c r="G5712" t="str">
        <f t="shared" si="2206"/>
        <v>PO BOX 8478</v>
      </c>
      <c r="H5712" t="str">
        <f t="shared" si="2212"/>
        <v/>
      </c>
      <c r="I5712" t="str">
        <f t="shared" si="2204"/>
        <v>CAMP LEJEUNE</v>
      </c>
      <c r="J5712" t="str">
        <f t="shared" si="2205"/>
        <v>NC</v>
      </c>
      <c r="K5712" t="str">
        <f t="shared" si="2211"/>
        <v>000000000000000000</v>
      </c>
      <c r="L5712" t="str">
        <f>T("9104515223")</f>
        <v>9104515223</v>
      </c>
    </row>
    <row r="5713" spans="1:12" x14ac:dyDescent="0.35">
      <c r="A5713" t="str">
        <f t="shared" si="2209"/>
        <v>MCB CAMP LEJEUNE</v>
      </c>
      <c r="B5713" t="str">
        <f t="shared" si="2199"/>
        <v>PO BOX 8478</v>
      </c>
      <c r="C5713" t="str">
        <f t="shared" si="2210"/>
        <v/>
      </c>
      <c r="D5713" t="str">
        <f t="shared" si="2201"/>
        <v>CAMP LEJEUNE</v>
      </c>
      <c r="E5713" t="str">
        <f t="shared" si="2202"/>
        <v>NC</v>
      </c>
      <c r="F5713" t="str">
        <f t="shared" si="2203"/>
        <v>285478478</v>
      </c>
      <c r="G5713" t="str">
        <f t="shared" si="2206"/>
        <v>PO BOX 8478</v>
      </c>
      <c r="H5713" t="str">
        <f t="shared" si="2212"/>
        <v/>
      </c>
      <c r="I5713" t="str">
        <f t="shared" si="2204"/>
        <v>CAMP LEJEUNE</v>
      </c>
      <c r="J5713" t="str">
        <f t="shared" si="2205"/>
        <v>NC</v>
      </c>
      <c r="K5713" t="str">
        <f t="shared" si="2211"/>
        <v>000000000000000000</v>
      </c>
      <c r="L5713" t="str">
        <f>T("9104515256")</f>
        <v>9104515256</v>
      </c>
    </row>
    <row r="5714" spans="1:12" x14ac:dyDescent="0.35">
      <c r="A5714" t="str">
        <f t="shared" si="2209"/>
        <v>MCB CAMP LEJEUNE</v>
      </c>
      <c r="B5714" t="str">
        <f t="shared" si="2199"/>
        <v>PO BOX 8478</v>
      </c>
      <c r="C5714" t="str">
        <f t="shared" si="2210"/>
        <v/>
      </c>
      <c r="D5714" t="str">
        <f t="shared" si="2201"/>
        <v>CAMP LEJEUNE</v>
      </c>
      <c r="E5714" t="str">
        <f t="shared" si="2202"/>
        <v>NC</v>
      </c>
      <c r="F5714" t="str">
        <f t="shared" si="2203"/>
        <v>285478478</v>
      </c>
      <c r="G5714" t="str">
        <f t="shared" si="2206"/>
        <v>PO BOX 8478</v>
      </c>
      <c r="H5714" t="str">
        <f t="shared" si="2212"/>
        <v/>
      </c>
      <c r="I5714" t="str">
        <f t="shared" si="2204"/>
        <v>CAMP LEJEUNE</v>
      </c>
      <c r="J5714" t="str">
        <f t="shared" si="2205"/>
        <v>NC</v>
      </c>
      <c r="K5714" t="str">
        <f t="shared" si="2211"/>
        <v>000000000000000000</v>
      </c>
      <c r="L5714" t="str">
        <f>T("9104515655")</f>
        <v>9104515655</v>
      </c>
    </row>
    <row r="5715" spans="1:12" x14ac:dyDescent="0.35">
      <c r="A5715" t="str">
        <f t="shared" si="2209"/>
        <v>MCB CAMP LEJEUNE</v>
      </c>
      <c r="B5715" t="str">
        <f t="shared" si="2199"/>
        <v>PO BOX 8478</v>
      </c>
      <c r="C5715" t="str">
        <f t="shared" si="2210"/>
        <v/>
      </c>
      <c r="D5715" t="str">
        <f t="shared" si="2201"/>
        <v>CAMP LEJEUNE</v>
      </c>
      <c r="E5715" t="str">
        <f t="shared" si="2202"/>
        <v>NC</v>
      </c>
      <c r="F5715" t="str">
        <f t="shared" si="2203"/>
        <v>285478478</v>
      </c>
      <c r="G5715" t="str">
        <f t="shared" si="2206"/>
        <v>PO BOX 8478</v>
      </c>
      <c r="H5715" t="str">
        <f t="shared" si="2212"/>
        <v/>
      </c>
      <c r="I5715" t="str">
        <f t="shared" si="2204"/>
        <v>CAMP LEJEUNE</v>
      </c>
      <c r="J5715" t="str">
        <f t="shared" si="2205"/>
        <v>NC</v>
      </c>
      <c r="K5715" t="str">
        <f t="shared" si="2211"/>
        <v>000000000000000000</v>
      </c>
      <c r="L5715" t="str">
        <f>T("9104515904")</f>
        <v>9104515904</v>
      </c>
    </row>
    <row r="5716" spans="1:12" x14ac:dyDescent="0.35">
      <c r="A5716" t="str">
        <f t="shared" ref="A5716:A5747" si="2213">T("MCB CAMP LEJEUNE")</f>
        <v>MCB CAMP LEJEUNE</v>
      </c>
      <c r="B5716" t="str">
        <f t="shared" ref="B5716:B5779" si="2214">T("PO BOX 8478")</f>
        <v>PO BOX 8478</v>
      </c>
      <c r="C5716" t="str">
        <f t="shared" ref="C5716:C5743" si="2215">T("")</f>
        <v/>
      </c>
      <c r="D5716" t="str">
        <f t="shared" ref="D5716:D5779" si="2216">T("CAMP LEJEUNE")</f>
        <v>CAMP LEJEUNE</v>
      </c>
      <c r="E5716" t="str">
        <f t="shared" ref="E5716:E5779" si="2217">T("NC")</f>
        <v>NC</v>
      </c>
      <c r="F5716" t="str">
        <f t="shared" ref="F5716:F5779" si="2218">T("285478478")</f>
        <v>285478478</v>
      </c>
      <c r="G5716" t="str">
        <f t="shared" si="2206"/>
        <v>PO BOX 8478</v>
      </c>
      <c r="H5716" t="str">
        <f t="shared" si="2212"/>
        <v/>
      </c>
      <c r="I5716" t="str">
        <f t="shared" ref="I5716:I5779" si="2219">T("CAMP LEJEUNE")</f>
        <v>CAMP LEJEUNE</v>
      </c>
      <c r="J5716" t="str">
        <f t="shared" ref="J5716:J5779" si="2220">T("NC")</f>
        <v>NC</v>
      </c>
      <c r="K5716" t="str">
        <f t="shared" si="2211"/>
        <v>000000000000000000</v>
      </c>
      <c r="L5716" t="str">
        <f>T("9104516641")</f>
        <v>9104516641</v>
      </c>
    </row>
    <row r="5717" spans="1:12" x14ac:dyDescent="0.35">
      <c r="A5717" t="str">
        <f t="shared" si="2213"/>
        <v>MCB CAMP LEJEUNE</v>
      </c>
      <c r="B5717" t="str">
        <f t="shared" si="2214"/>
        <v>PO BOX 8478</v>
      </c>
      <c r="C5717" t="str">
        <f t="shared" si="2215"/>
        <v/>
      </c>
      <c r="D5717" t="str">
        <f t="shared" si="2216"/>
        <v>CAMP LEJEUNE</v>
      </c>
      <c r="E5717" t="str">
        <f t="shared" si="2217"/>
        <v>NC</v>
      </c>
      <c r="F5717" t="str">
        <f t="shared" si="2218"/>
        <v>285478478</v>
      </c>
      <c r="G5717" t="str">
        <f t="shared" ref="G5717:G5780" si="2221">T("PO BOX 8478")</f>
        <v>PO BOX 8478</v>
      </c>
      <c r="H5717" t="str">
        <f t="shared" ref="H5717:H5729" si="2222">T("")</f>
        <v/>
      </c>
      <c r="I5717" t="str">
        <f t="shared" si="2219"/>
        <v>CAMP LEJEUNE</v>
      </c>
      <c r="J5717" t="str">
        <f t="shared" si="2220"/>
        <v>NC</v>
      </c>
      <c r="K5717" t="str">
        <f t="shared" si="2211"/>
        <v>000000000000000000</v>
      </c>
      <c r="L5717" t="str">
        <f>T("9104516870")</f>
        <v>9104516870</v>
      </c>
    </row>
    <row r="5718" spans="1:12" x14ac:dyDescent="0.35">
      <c r="A5718" t="str">
        <f t="shared" si="2213"/>
        <v>MCB CAMP LEJEUNE</v>
      </c>
      <c r="B5718" t="str">
        <f t="shared" si="2214"/>
        <v>PO BOX 8478</v>
      </c>
      <c r="C5718" t="str">
        <f t="shared" si="2215"/>
        <v/>
      </c>
      <c r="D5718" t="str">
        <f t="shared" si="2216"/>
        <v>CAMP LEJEUNE</v>
      </c>
      <c r="E5718" t="str">
        <f t="shared" si="2217"/>
        <v>NC</v>
      </c>
      <c r="F5718" t="str">
        <f t="shared" si="2218"/>
        <v>285478478</v>
      </c>
      <c r="G5718" t="str">
        <f t="shared" si="2221"/>
        <v>PO BOX 8478</v>
      </c>
      <c r="H5718" t="str">
        <f t="shared" si="2222"/>
        <v/>
      </c>
      <c r="I5718" t="str">
        <f t="shared" si="2219"/>
        <v>CAMP LEJEUNE</v>
      </c>
      <c r="J5718" t="str">
        <f t="shared" si="2220"/>
        <v>NC</v>
      </c>
      <c r="K5718" t="str">
        <f t="shared" si="2211"/>
        <v>000000000000000000</v>
      </c>
      <c r="L5718" t="str">
        <f>T("9104517059")</f>
        <v>9104517059</v>
      </c>
    </row>
    <row r="5719" spans="1:12" x14ac:dyDescent="0.35">
      <c r="A5719" t="str">
        <f t="shared" si="2213"/>
        <v>MCB CAMP LEJEUNE</v>
      </c>
      <c r="B5719" t="str">
        <f t="shared" si="2214"/>
        <v>PO BOX 8478</v>
      </c>
      <c r="C5719" t="str">
        <f t="shared" si="2215"/>
        <v/>
      </c>
      <c r="D5719" t="str">
        <f t="shared" si="2216"/>
        <v>CAMP LEJEUNE</v>
      </c>
      <c r="E5719" t="str">
        <f t="shared" si="2217"/>
        <v>NC</v>
      </c>
      <c r="F5719" t="str">
        <f t="shared" si="2218"/>
        <v>285478478</v>
      </c>
      <c r="G5719" t="str">
        <f t="shared" si="2221"/>
        <v>PO BOX 8478</v>
      </c>
      <c r="H5719" t="str">
        <f t="shared" si="2222"/>
        <v/>
      </c>
      <c r="I5719" t="str">
        <f t="shared" si="2219"/>
        <v>CAMP LEJEUNE</v>
      </c>
      <c r="J5719" t="str">
        <f t="shared" si="2220"/>
        <v>NC</v>
      </c>
      <c r="K5719" t="str">
        <f t="shared" si="2211"/>
        <v>000000000000000000</v>
      </c>
      <c r="L5719" t="str">
        <f>T("9104517105")</f>
        <v>9104517105</v>
      </c>
    </row>
    <row r="5720" spans="1:12" x14ac:dyDescent="0.35">
      <c r="A5720" t="str">
        <f t="shared" si="2213"/>
        <v>MCB CAMP LEJEUNE</v>
      </c>
      <c r="B5720" t="str">
        <f t="shared" si="2214"/>
        <v>PO BOX 8478</v>
      </c>
      <c r="C5720" t="str">
        <f t="shared" si="2215"/>
        <v/>
      </c>
      <c r="D5720" t="str">
        <f t="shared" si="2216"/>
        <v>CAMP LEJEUNE</v>
      </c>
      <c r="E5720" t="str">
        <f t="shared" si="2217"/>
        <v>NC</v>
      </c>
      <c r="F5720" t="str">
        <f t="shared" si="2218"/>
        <v>285478478</v>
      </c>
      <c r="G5720" t="str">
        <f t="shared" si="2221"/>
        <v>PO BOX 8478</v>
      </c>
      <c r="H5720" t="str">
        <f t="shared" si="2222"/>
        <v/>
      </c>
      <c r="I5720" t="str">
        <f t="shared" si="2219"/>
        <v>CAMP LEJEUNE</v>
      </c>
      <c r="J5720" t="str">
        <f t="shared" si="2220"/>
        <v>NC</v>
      </c>
      <c r="K5720" t="str">
        <f t="shared" si="2211"/>
        <v>000000000000000000</v>
      </c>
      <c r="L5720" t="str">
        <f>T("9104517417")</f>
        <v>9104517417</v>
      </c>
    </row>
    <row r="5721" spans="1:12" x14ac:dyDescent="0.35">
      <c r="A5721" t="str">
        <f t="shared" si="2213"/>
        <v>MCB CAMP LEJEUNE</v>
      </c>
      <c r="B5721" t="str">
        <f t="shared" si="2214"/>
        <v>PO BOX 8478</v>
      </c>
      <c r="C5721" t="str">
        <f t="shared" si="2215"/>
        <v/>
      </c>
      <c r="D5721" t="str">
        <f t="shared" si="2216"/>
        <v>CAMP LEJEUNE</v>
      </c>
      <c r="E5721" t="str">
        <f t="shared" si="2217"/>
        <v>NC</v>
      </c>
      <c r="F5721" t="str">
        <f t="shared" si="2218"/>
        <v>285478478</v>
      </c>
      <c r="G5721" t="str">
        <f t="shared" si="2221"/>
        <v>PO BOX 8478</v>
      </c>
      <c r="H5721" t="str">
        <f t="shared" si="2222"/>
        <v/>
      </c>
      <c r="I5721" t="str">
        <f t="shared" si="2219"/>
        <v>CAMP LEJEUNE</v>
      </c>
      <c r="J5721" t="str">
        <f t="shared" si="2220"/>
        <v>NC</v>
      </c>
      <c r="K5721" t="str">
        <f t="shared" si="2211"/>
        <v>000000000000000000</v>
      </c>
      <c r="L5721" t="str">
        <f>T("9104517901")</f>
        <v>9104517901</v>
      </c>
    </row>
    <row r="5722" spans="1:12" x14ac:dyDescent="0.35">
      <c r="A5722" t="str">
        <f t="shared" si="2213"/>
        <v>MCB CAMP LEJEUNE</v>
      </c>
      <c r="B5722" t="str">
        <f t="shared" si="2214"/>
        <v>PO BOX 8478</v>
      </c>
      <c r="C5722" t="str">
        <f t="shared" si="2215"/>
        <v/>
      </c>
      <c r="D5722" t="str">
        <f t="shared" si="2216"/>
        <v>CAMP LEJEUNE</v>
      </c>
      <c r="E5722" t="str">
        <f t="shared" si="2217"/>
        <v>NC</v>
      </c>
      <c r="F5722" t="str">
        <f t="shared" si="2218"/>
        <v>285478478</v>
      </c>
      <c r="G5722" t="str">
        <f t="shared" si="2221"/>
        <v>PO BOX 8478</v>
      </c>
      <c r="H5722" t="str">
        <f t="shared" si="2222"/>
        <v/>
      </c>
      <c r="I5722" t="str">
        <f t="shared" si="2219"/>
        <v>CAMP LEJEUNE</v>
      </c>
      <c r="J5722" t="str">
        <f t="shared" si="2220"/>
        <v>NC</v>
      </c>
      <c r="K5722" t="str">
        <f t="shared" si="2211"/>
        <v>000000000000000000</v>
      </c>
      <c r="L5722" t="str">
        <f>T("9104518699")</f>
        <v>9104518699</v>
      </c>
    </row>
    <row r="5723" spans="1:12" x14ac:dyDescent="0.35">
      <c r="A5723" t="str">
        <f t="shared" si="2213"/>
        <v>MCB CAMP LEJEUNE</v>
      </c>
      <c r="B5723" t="str">
        <f t="shared" si="2214"/>
        <v>PO BOX 8478</v>
      </c>
      <c r="C5723" t="str">
        <f t="shared" si="2215"/>
        <v/>
      </c>
      <c r="D5723" t="str">
        <f t="shared" si="2216"/>
        <v>CAMP LEJEUNE</v>
      </c>
      <c r="E5723" t="str">
        <f t="shared" si="2217"/>
        <v>NC</v>
      </c>
      <c r="F5723" t="str">
        <f t="shared" si="2218"/>
        <v>285478478</v>
      </c>
      <c r="G5723" t="str">
        <f t="shared" si="2221"/>
        <v>PO BOX 8478</v>
      </c>
      <c r="H5723" t="str">
        <f t="shared" si="2222"/>
        <v/>
      </c>
      <c r="I5723" t="str">
        <f t="shared" si="2219"/>
        <v>CAMP LEJEUNE</v>
      </c>
      <c r="J5723" t="str">
        <f t="shared" si="2220"/>
        <v>NC</v>
      </c>
      <c r="K5723" t="str">
        <f t="shared" si="2211"/>
        <v>000000000000000000</v>
      </c>
      <c r="L5723" t="str">
        <f>T("9104519357")</f>
        <v>9104519357</v>
      </c>
    </row>
    <row r="5724" spans="1:12" x14ac:dyDescent="0.35">
      <c r="A5724" t="str">
        <f t="shared" si="2213"/>
        <v>MCB CAMP LEJEUNE</v>
      </c>
      <c r="B5724" t="str">
        <f t="shared" si="2214"/>
        <v>PO BOX 8478</v>
      </c>
      <c r="C5724" t="str">
        <f t="shared" si="2215"/>
        <v/>
      </c>
      <c r="D5724" t="str">
        <f t="shared" si="2216"/>
        <v>CAMP LEJEUNE</v>
      </c>
      <c r="E5724" t="str">
        <f t="shared" si="2217"/>
        <v>NC</v>
      </c>
      <c r="F5724" t="str">
        <f t="shared" si="2218"/>
        <v>285478478</v>
      </c>
      <c r="G5724" t="str">
        <f t="shared" si="2221"/>
        <v>PO BOX 8478</v>
      </c>
      <c r="H5724" t="str">
        <f t="shared" si="2222"/>
        <v/>
      </c>
      <c r="I5724" t="str">
        <f t="shared" si="2219"/>
        <v>CAMP LEJEUNE</v>
      </c>
      <c r="J5724" t="str">
        <f t="shared" si="2220"/>
        <v>NC</v>
      </c>
      <c r="K5724" t="str">
        <f t="shared" si="2211"/>
        <v>000000000000000000</v>
      </c>
      <c r="L5724" t="str">
        <f>T("9104572507")</f>
        <v>9104572507</v>
      </c>
    </row>
    <row r="5725" spans="1:12" x14ac:dyDescent="0.35">
      <c r="A5725" t="str">
        <f t="shared" si="2213"/>
        <v>MCB CAMP LEJEUNE</v>
      </c>
      <c r="B5725" t="str">
        <f t="shared" si="2214"/>
        <v>PO BOX 8478</v>
      </c>
      <c r="C5725" t="str">
        <f t="shared" si="2215"/>
        <v/>
      </c>
      <c r="D5725" t="str">
        <f t="shared" si="2216"/>
        <v>CAMP LEJEUNE</v>
      </c>
      <c r="E5725" t="str">
        <f t="shared" si="2217"/>
        <v>NC</v>
      </c>
      <c r="F5725" t="str">
        <f t="shared" si="2218"/>
        <v>285478478</v>
      </c>
      <c r="G5725" t="str">
        <f t="shared" si="2221"/>
        <v>PO BOX 8478</v>
      </c>
      <c r="H5725" t="str">
        <f t="shared" si="2222"/>
        <v/>
      </c>
      <c r="I5725" t="str">
        <f t="shared" si="2219"/>
        <v>CAMP LEJEUNE</v>
      </c>
      <c r="J5725" t="str">
        <f t="shared" si="2220"/>
        <v>NC</v>
      </c>
      <c r="K5725" t="str">
        <f>T("8432283569")</f>
        <v>8432283569</v>
      </c>
      <c r="L5725" t="str">
        <f>T("8432282647")</f>
        <v>8432282647</v>
      </c>
    </row>
    <row r="5726" spans="1:12" x14ac:dyDescent="0.35">
      <c r="A5726" t="str">
        <f t="shared" si="2213"/>
        <v>MCB CAMP LEJEUNE</v>
      </c>
      <c r="B5726" t="str">
        <f t="shared" si="2214"/>
        <v>PO BOX 8478</v>
      </c>
      <c r="C5726" t="str">
        <f t="shared" si="2215"/>
        <v/>
      </c>
      <c r="D5726" t="str">
        <f t="shared" si="2216"/>
        <v>CAMP LEJEUNE</v>
      </c>
      <c r="E5726" t="str">
        <f t="shared" si="2217"/>
        <v>NC</v>
      </c>
      <c r="F5726" t="str">
        <f t="shared" si="2218"/>
        <v>285478478</v>
      </c>
      <c r="G5726" t="str">
        <f t="shared" si="2221"/>
        <v>PO BOX 8478</v>
      </c>
      <c r="H5726" t="str">
        <f t="shared" si="2222"/>
        <v/>
      </c>
      <c r="I5726" t="str">
        <f t="shared" si="2219"/>
        <v>CAMP LEJEUNE</v>
      </c>
      <c r="J5726" t="str">
        <f t="shared" si="2220"/>
        <v>NC</v>
      </c>
      <c r="K5726" t="str">
        <f>T("910-450-0429")</f>
        <v>910-450-0429</v>
      </c>
      <c r="L5726" t="str">
        <f>T("9104510851")</f>
        <v>9104510851</v>
      </c>
    </row>
    <row r="5727" spans="1:12" x14ac:dyDescent="0.35">
      <c r="A5727" t="str">
        <f t="shared" si="2213"/>
        <v>MCB CAMP LEJEUNE</v>
      </c>
      <c r="B5727" t="str">
        <f t="shared" si="2214"/>
        <v>PO BOX 8478</v>
      </c>
      <c r="C5727" t="str">
        <f t="shared" si="2215"/>
        <v/>
      </c>
      <c r="D5727" t="str">
        <f t="shared" si="2216"/>
        <v>CAMP LEJEUNE</v>
      </c>
      <c r="E5727" t="str">
        <f t="shared" si="2217"/>
        <v>NC</v>
      </c>
      <c r="F5727" t="str">
        <f t="shared" si="2218"/>
        <v>285478478</v>
      </c>
      <c r="G5727" t="str">
        <f t="shared" si="2221"/>
        <v>PO BOX 8478</v>
      </c>
      <c r="H5727" t="str">
        <f t="shared" si="2222"/>
        <v/>
      </c>
      <c r="I5727" t="str">
        <f t="shared" si="2219"/>
        <v>CAMP LEJEUNE</v>
      </c>
      <c r="J5727" t="str">
        <f t="shared" si="2220"/>
        <v>NC</v>
      </c>
      <c r="K5727" t="str">
        <f>T("9104511647")</f>
        <v>9104511647</v>
      </c>
      <c r="L5727" t="str">
        <f>T("9104513017")</f>
        <v>9104513017</v>
      </c>
    </row>
    <row r="5728" spans="1:12" x14ac:dyDescent="0.35">
      <c r="A5728" t="str">
        <f t="shared" si="2213"/>
        <v>MCB CAMP LEJEUNE</v>
      </c>
      <c r="B5728" t="str">
        <f t="shared" si="2214"/>
        <v>PO BOX 8478</v>
      </c>
      <c r="C5728" t="str">
        <f t="shared" si="2215"/>
        <v/>
      </c>
      <c r="D5728" t="str">
        <f t="shared" si="2216"/>
        <v>CAMP LEJEUNE</v>
      </c>
      <c r="E5728" t="str">
        <f t="shared" si="2217"/>
        <v>NC</v>
      </c>
      <c r="F5728" t="str">
        <f t="shared" si="2218"/>
        <v>285478478</v>
      </c>
      <c r="G5728" t="str">
        <f t="shared" si="2221"/>
        <v>PO BOX 8478</v>
      </c>
      <c r="H5728" t="str">
        <f t="shared" si="2222"/>
        <v/>
      </c>
      <c r="I5728" t="str">
        <f t="shared" si="2219"/>
        <v>CAMP LEJEUNE</v>
      </c>
      <c r="J5728" t="str">
        <f t="shared" si="2220"/>
        <v>NC</v>
      </c>
      <c r="K5728" t="str">
        <f>T("9104512798")</f>
        <v>9104512798</v>
      </c>
      <c r="L5728" t="str">
        <f>T("9104512076")</f>
        <v>9104512076</v>
      </c>
    </row>
    <row r="5729" spans="1:12" x14ac:dyDescent="0.35">
      <c r="A5729" t="str">
        <f t="shared" si="2213"/>
        <v>MCB CAMP LEJEUNE</v>
      </c>
      <c r="B5729" t="str">
        <f t="shared" si="2214"/>
        <v>PO BOX 8478</v>
      </c>
      <c r="C5729" t="str">
        <f t="shared" si="2215"/>
        <v/>
      </c>
      <c r="D5729" t="str">
        <f t="shared" si="2216"/>
        <v>CAMP LEJEUNE</v>
      </c>
      <c r="E5729" t="str">
        <f t="shared" si="2217"/>
        <v>NC</v>
      </c>
      <c r="F5729" t="str">
        <f t="shared" si="2218"/>
        <v>285478478</v>
      </c>
      <c r="G5729" t="str">
        <f t="shared" si="2221"/>
        <v>PO BOX 8478</v>
      </c>
      <c r="H5729" t="str">
        <f t="shared" si="2222"/>
        <v/>
      </c>
      <c r="I5729" t="str">
        <f t="shared" si="2219"/>
        <v>CAMP LEJEUNE</v>
      </c>
      <c r="J5729" t="str">
        <f t="shared" si="2220"/>
        <v>NC</v>
      </c>
      <c r="K5729" t="str">
        <f>T("9104515743")</f>
        <v>9104515743</v>
      </c>
      <c r="L5729" t="str">
        <f>T("9104512006")</f>
        <v>9104512006</v>
      </c>
    </row>
    <row r="5730" spans="1:12" x14ac:dyDescent="0.35">
      <c r="A5730" t="str">
        <f t="shared" si="2213"/>
        <v>MCB CAMP LEJEUNE</v>
      </c>
      <c r="B5730" t="str">
        <f t="shared" si="2214"/>
        <v>PO BOX 8478</v>
      </c>
      <c r="C5730" t="str">
        <f t="shared" si="2215"/>
        <v/>
      </c>
      <c r="D5730" t="str">
        <f t="shared" si="2216"/>
        <v>CAMP LEJEUNE</v>
      </c>
      <c r="E5730" t="str">
        <f t="shared" si="2217"/>
        <v>NC</v>
      </c>
      <c r="F5730" t="str">
        <f t="shared" si="2218"/>
        <v>285478478</v>
      </c>
      <c r="G5730" t="str">
        <f t="shared" si="2221"/>
        <v>PO BOX 8478</v>
      </c>
      <c r="H5730" t="str">
        <f t="shared" ref="H5730:H5743" si="2223">T("BLDG 1116")</f>
        <v>BLDG 1116</v>
      </c>
      <c r="I5730" t="str">
        <f t="shared" si="2219"/>
        <v>CAMP LEJEUNE</v>
      </c>
      <c r="J5730" t="str">
        <f t="shared" si="2220"/>
        <v>NC</v>
      </c>
      <c r="K5730" t="str">
        <f t="shared" ref="K5730:K5741" si="2224">T("000000000000000000")</f>
        <v>000000000000000000</v>
      </c>
      <c r="L5730" t="str">
        <f>T("9104501627")</f>
        <v>9104501627</v>
      </c>
    </row>
    <row r="5731" spans="1:12" x14ac:dyDescent="0.35">
      <c r="A5731" t="str">
        <f t="shared" si="2213"/>
        <v>MCB CAMP LEJEUNE</v>
      </c>
      <c r="B5731" t="str">
        <f t="shared" si="2214"/>
        <v>PO BOX 8478</v>
      </c>
      <c r="C5731" t="str">
        <f t="shared" si="2215"/>
        <v/>
      </c>
      <c r="D5731" t="str">
        <f t="shared" si="2216"/>
        <v>CAMP LEJEUNE</v>
      </c>
      <c r="E5731" t="str">
        <f t="shared" si="2217"/>
        <v>NC</v>
      </c>
      <c r="F5731" t="str">
        <f t="shared" si="2218"/>
        <v>285478478</v>
      </c>
      <c r="G5731" t="str">
        <f t="shared" si="2221"/>
        <v>PO BOX 8478</v>
      </c>
      <c r="H5731" t="str">
        <f t="shared" si="2223"/>
        <v>BLDG 1116</v>
      </c>
      <c r="I5731" t="str">
        <f t="shared" si="2219"/>
        <v>CAMP LEJEUNE</v>
      </c>
      <c r="J5731" t="str">
        <f t="shared" si="2220"/>
        <v>NC</v>
      </c>
      <c r="K5731" t="str">
        <f t="shared" si="2224"/>
        <v>000000000000000000</v>
      </c>
      <c r="L5731" t="str">
        <f>T("9104502591")</f>
        <v>9104502591</v>
      </c>
    </row>
    <row r="5732" spans="1:12" x14ac:dyDescent="0.35">
      <c r="A5732" t="str">
        <f t="shared" si="2213"/>
        <v>MCB CAMP LEJEUNE</v>
      </c>
      <c r="B5732" t="str">
        <f t="shared" si="2214"/>
        <v>PO BOX 8478</v>
      </c>
      <c r="C5732" t="str">
        <f t="shared" si="2215"/>
        <v/>
      </c>
      <c r="D5732" t="str">
        <f t="shared" si="2216"/>
        <v>CAMP LEJEUNE</v>
      </c>
      <c r="E5732" t="str">
        <f t="shared" si="2217"/>
        <v>NC</v>
      </c>
      <c r="F5732" t="str">
        <f t="shared" si="2218"/>
        <v>285478478</v>
      </c>
      <c r="G5732" t="str">
        <f t="shared" si="2221"/>
        <v>PO BOX 8478</v>
      </c>
      <c r="H5732" t="str">
        <f t="shared" si="2223"/>
        <v>BLDG 1116</v>
      </c>
      <c r="I5732" t="str">
        <f t="shared" si="2219"/>
        <v>CAMP LEJEUNE</v>
      </c>
      <c r="J5732" t="str">
        <f t="shared" si="2220"/>
        <v>NC</v>
      </c>
      <c r="K5732" t="str">
        <f t="shared" si="2224"/>
        <v>000000000000000000</v>
      </c>
      <c r="L5732" t="str">
        <f>T("9104512460")</f>
        <v>9104512460</v>
      </c>
    </row>
    <row r="5733" spans="1:12" x14ac:dyDescent="0.35">
      <c r="A5733" t="str">
        <f t="shared" si="2213"/>
        <v>MCB CAMP LEJEUNE</v>
      </c>
      <c r="B5733" t="str">
        <f t="shared" si="2214"/>
        <v>PO BOX 8478</v>
      </c>
      <c r="C5733" t="str">
        <f t="shared" si="2215"/>
        <v/>
      </c>
      <c r="D5733" t="str">
        <f t="shared" si="2216"/>
        <v>CAMP LEJEUNE</v>
      </c>
      <c r="E5733" t="str">
        <f t="shared" si="2217"/>
        <v>NC</v>
      </c>
      <c r="F5733" t="str">
        <f t="shared" si="2218"/>
        <v>285478478</v>
      </c>
      <c r="G5733" t="str">
        <f t="shared" si="2221"/>
        <v>PO BOX 8478</v>
      </c>
      <c r="H5733" t="str">
        <f t="shared" si="2223"/>
        <v>BLDG 1116</v>
      </c>
      <c r="I5733" t="str">
        <f t="shared" si="2219"/>
        <v>CAMP LEJEUNE</v>
      </c>
      <c r="J5733" t="str">
        <f t="shared" si="2220"/>
        <v>NC</v>
      </c>
      <c r="K5733" t="str">
        <f t="shared" si="2224"/>
        <v>000000000000000000</v>
      </c>
      <c r="L5733" t="str">
        <f>T("9104512523")</f>
        <v>9104512523</v>
      </c>
    </row>
    <row r="5734" spans="1:12" x14ac:dyDescent="0.35">
      <c r="A5734" t="str">
        <f t="shared" si="2213"/>
        <v>MCB CAMP LEJEUNE</v>
      </c>
      <c r="B5734" t="str">
        <f t="shared" si="2214"/>
        <v>PO BOX 8478</v>
      </c>
      <c r="C5734" t="str">
        <f t="shared" si="2215"/>
        <v/>
      </c>
      <c r="D5734" t="str">
        <f t="shared" si="2216"/>
        <v>CAMP LEJEUNE</v>
      </c>
      <c r="E5734" t="str">
        <f t="shared" si="2217"/>
        <v>NC</v>
      </c>
      <c r="F5734" t="str">
        <f t="shared" si="2218"/>
        <v>285478478</v>
      </c>
      <c r="G5734" t="str">
        <f t="shared" si="2221"/>
        <v>PO BOX 8478</v>
      </c>
      <c r="H5734" t="str">
        <f t="shared" si="2223"/>
        <v>BLDG 1116</v>
      </c>
      <c r="I5734" t="str">
        <f t="shared" si="2219"/>
        <v>CAMP LEJEUNE</v>
      </c>
      <c r="J5734" t="str">
        <f t="shared" si="2220"/>
        <v>NC</v>
      </c>
      <c r="K5734" t="str">
        <f t="shared" si="2224"/>
        <v>000000000000000000</v>
      </c>
      <c r="L5734" t="str">
        <f>T("9104512638")</f>
        <v>9104512638</v>
      </c>
    </row>
    <row r="5735" spans="1:12" x14ac:dyDescent="0.35">
      <c r="A5735" t="str">
        <f t="shared" si="2213"/>
        <v>MCB CAMP LEJEUNE</v>
      </c>
      <c r="B5735" t="str">
        <f t="shared" si="2214"/>
        <v>PO BOX 8478</v>
      </c>
      <c r="C5735" t="str">
        <f t="shared" si="2215"/>
        <v/>
      </c>
      <c r="D5735" t="str">
        <f t="shared" si="2216"/>
        <v>CAMP LEJEUNE</v>
      </c>
      <c r="E5735" t="str">
        <f t="shared" si="2217"/>
        <v>NC</v>
      </c>
      <c r="F5735" t="str">
        <f t="shared" si="2218"/>
        <v>285478478</v>
      </c>
      <c r="G5735" t="str">
        <f t="shared" si="2221"/>
        <v>PO BOX 8478</v>
      </c>
      <c r="H5735" t="str">
        <f t="shared" si="2223"/>
        <v>BLDG 1116</v>
      </c>
      <c r="I5735" t="str">
        <f t="shared" si="2219"/>
        <v>CAMP LEJEUNE</v>
      </c>
      <c r="J5735" t="str">
        <f t="shared" si="2220"/>
        <v>NC</v>
      </c>
      <c r="K5735" t="str">
        <f t="shared" si="2224"/>
        <v>000000000000000000</v>
      </c>
      <c r="L5735" t="str">
        <f>T("9104515053")</f>
        <v>9104515053</v>
      </c>
    </row>
    <row r="5736" spans="1:12" x14ac:dyDescent="0.35">
      <c r="A5736" t="str">
        <f t="shared" si="2213"/>
        <v>MCB CAMP LEJEUNE</v>
      </c>
      <c r="B5736" t="str">
        <f t="shared" si="2214"/>
        <v>PO BOX 8478</v>
      </c>
      <c r="C5736" t="str">
        <f t="shared" si="2215"/>
        <v/>
      </c>
      <c r="D5736" t="str">
        <f t="shared" si="2216"/>
        <v>CAMP LEJEUNE</v>
      </c>
      <c r="E5736" t="str">
        <f t="shared" si="2217"/>
        <v>NC</v>
      </c>
      <c r="F5736" t="str">
        <f t="shared" si="2218"/>
        <v>285478478</v>
      </c>
      <c r="G5736" t="str">
        <f t="shared" si="2221"/>
        <v>PO BOX 8478</v>
      </c>
      <c r="H5736" t="str">
        <f t="shared" si="2223"/>
        <v>BLDG 1116</v>
      </c>
      <c r="I5736" t="str">
        <f t="shared" si="2219"/>
        <v>CAMP LEJEUNE</v>
      </c>
      <c r="J5736" t="str">
        <f t="shared" si="2220"/>
        <v>NC</v>
      </c>
      <c r="K5736" t="str">
        <f t="shared" si="2224"/>
        <v>000000000000000000</v>
      </c>
      <c r="L5736" t="str">
        <f>T("9104515063")</f>
        <v>9104515063</v>
      </c>
    </row>
    <row r="5737" spans="1:12" x14ac:dyDescent="0.35">
      <c r="A5737" t="str">
        <f t="shared" si="2213"/>
        <v>MCB CAMP LEJEUNE</v>
      </c>
      <c r="B5737" t="str">
        <f t="shared" si="2214"/>
        <v>PO BOX 8478</v>
      </c>
      <c r="C5737" t="str">
        <f t="shared" si="2215"/>
        <v/>
      </c>
      <c r="D5737" t="str">
        <f t="shared" si="2216"/>
        <v>CAMP LEJEUNE</v>
      </c>
      <c r="E5737" t="str">
        <f t="shared" si="2217"/>
        <v>NC</v>
      </c>
      <c r="F5737" t="str">
        <f t="shared" si="2218"/>
        <v>285478478</v>
      </c>
      <c r="G5737" t="str">
        <f t="shared" si="2221"/>
        <v>PO BOX 8478</v>
      </c>
      <c r="H5737" t="str">
        <f t="shared" si="2223"/>
        <v>BLDG 1116</v>
      </c>
      <c r="I5737" t="str">
        <f t="shared" si="2219"/>
        <v>CAMP LEJEUNE</v>
      </c>
      <c r="J5737" t="str">
        <f t="shared" si="2220"/>
        <v>NC</v>
      </c>
      <c r="K5737" t="str">
        <f t="shared" si="2224"/>
        <v>000000000000000000</v>
      </c>
      <c r="L5737" t="str">
        <f>T("9104515698")</f>
        <v>9104515698</v>
      </c>
    </row>
    <row r="5738" spans="1:12" x14ac:dyDescent="0.35">
      <c r="A5738" t="str">
        <f t="shared" si="2213"/>
        <v>MCB CAMP LEJEUNE</v>
      </c>
      <c r="B5738" t="str">
        <f t="shared" si="2214"/>
        <v>PO BOX 8478</v>
      </c>
      <c r="C5738" t="str">
        <f t="shared" si="2215"/>
        <v/>
      </c>
      <c r="D5738" t="str">
        <f t="shared" si="2216"/>
        <v>CAMP LEJEUNE</v>
      </c>
      <c r="E5738" t="str">
        <f t="shared" si="2217"/>
        <v>NC</v>
      </c>
      <c r="F5738" t="str">
        <f t="shared" si="2218"/>
        <v>285478478</v>
      </c>
      <c r="G5738" t="str">
        <f t="shared" si="2221"/>
        <v>PO BOX 8478</v>
      </c>
      <c r="H5738" t="str">
        <f t="shared" si="2223"/>
        <v>BLDG 1116</v>
      </c>
      <c r="I5738" t="str">
        <f t="shared" si="2219"/>
        <v>CAMP LEJEUNE</v>
      </c>
      <c r="J5738" t="str">
        <f t="shared" si="2220"/>
        <v>NC</v>
      </c>
      <c r="K5738" t="str">
        <f t="shared" si="2224"/>
        <v>000000000000000000</v>
      </c>
      <c r="L5738" t="str">
        <f>T("9104516816")</f>
        <v>9104516816</v>
      </c>
    </row>
    <row r="5739" spans="1:12" x14ac:dyDescent="0.35">
      <c r="A5739" t="str">
        <f t="shared" si="2213"/>
        <v>MCB CAMP LEJEUNE</v>
      </c>
      <c r="B5739" t="str">
        <f t="shared" si="2214"/>
        <v>PO BOX 8478</v>
      </c>
      <c r="C5739" t="str">
        <f t="shared" si="2215"/>
        <v/>
      </c>
      <c r="D5739" t="str">
        <f t="shared" si="2216"/>
        <v>CAMP LEJEUNE</v>
      </c>
      <c r="E5739" t="str">
        <f t="shared" si="2217"/>
        <v>NC</v>
      </c>
      <c r="F5739" t="str">
        <f t="shared" si="2218"/>
        <v>285478478</v>
      </c>
      <c r="G5739" t="str">
        <f t="shared" si="2221"/>
        <v>PO BOX 8478</v>
      </c>
      <c r="H5739" t="str">
        <f t="shared" si="2223"/>
        <v>BLDG 1116</v>
      </c>
      <c r="I5739" t="str">
        <f t="shared" si="2219"/>
        <v>CAMP LEJEUNE</v>
      </c>
      <c r="J5739" t="str">
        <f t="shared" si="2220"/>
        <v>NC</v>
      </c>
      <c r="K5739" t="str">
        <f t="shared" si="2224"/>
        <v>000000000000000000</v>
      </c>
      <c r="L5739" t="str">
        <f>T("9104517572")</f>
        <v>9104517572</v>
      </c>
    </row>
    <row r="5740" spans="1:12" x14ac:dyDescent="0.35">
      <c r="A5740" t="str">
        <f t="shared" si="2213"/>
        <v>MCB CAMP LEJEUNE</v>
      </c>
      <c r="B5740" t="str">
        <f t="shared" si="2214"/>
        <v>PO BOX 8478</v>
      </c>
      <c r="C5740" t="str">
        <f t="shared" si="2215"/>
        <v/>
      </c>
      <c r="D5740" t="str">
        <f t="shared" si="2216"/>
        <v>CAMP LEJEUNE</v>
      </c>
      <c r="E5740" t="str">
        <f t="shared" si="2217"/>
        <v>NC</v>
      </c>
      <c r="F5740" t="str">
        <f t="shared" si="2218"/>
        <v>285478478</v>
      </c>
      <c r="G5740" t="str">
        <f t="shared" si="2221"/>
        <v>PO BOX 8478</v>
      </c>
      <c r="H5740" t="str">
        <f t="shared" si="2223"/>
        <v>BLDG 1116</v>
      </c>
      <c r="I5740" t="str">
        <f t="shared" si="2219"/>
        <v>CAMP LEJEUNE</v>
      </c>
      <c r="J5740" t="str">
        <f t="shared" si="2220"/>
        <v>NC</v>
      </c>
      <c r="K5740" t="str">
        <f t="shared" si="2224"/>
        <v>000000000000000000</v>
      </c>
      <c r="L5740" t="str">
        <f>T("9104518373")</f>
        <v>9104518373</v>
      </c>
    </row>
    <row r="5741" spans="1:12" x14ac:dyDescent="0.35">
      <c r="A5741" t="str">
        <f t="shared" si="2213"/>
        <v>MCB CAMP LEJEUNE</v>
      </c>
      <c r="B5741" t="str">
        <f t="shared" si="2214"/>
        <v>PO BOX 8478</v>
      </c>
      <c r="C5741" t="str">
        <f t="shared" si="2215"/>
        <v/>
      </c>
      <c r="D5741" t="str">
        <f t="shared" si="2216"/>
        <v>CAMP LEJEUNE</v>
      </c>
      <c r="E5741" t="str">
        <f t="shared" si="2217"/>
        <v>NC</v>
      </c>
      <c r="F5741" t="str">
        <f t="shared" si="2218"/>
        <v>285478478</v>
      </c>
      <c r="G5741" t="str">
        <f t="shared" si="2221"/>
        <v>PO BOX 8478</v>
      </c>
      <c r="H5741" t="str">
        <f t="shared" si="2223"/>
        <v>BLDG 1116</v>
      </c>
      <c r="I5741" t="str">
        <f t="shared" si="2219"/>
        <v>CAMP LEJEUNE</v>
      </c>
      <c r="J5741" t="str">
        <f t="shared" si="2220"/>
        <v>NC</v>
      </c>
      <c r="K5741" t="str">
        <f t="shared" si="2224"/>
        <v>000000000000000000</v>
      </c>
      <c r="L5741" t="str">
        <f>T("9104519497")</f>
        <v>9104519497</v>
      </c>
    </row>
    <row r="5742" spans="1:12" x14ac:dyDescent="0.35">
      <c r="A5742" t="str">
        <f t="shared" si="2213"/>
        <v>MCB CAMP LEJEUNE</v>
      </c>
      <c r="B5742" t="str">
        <f t="shared" si="2214"/>
        <v>PO BOX 8478</v>
      </c>
      <c r="C5742" t="str">
        <f t="shared" si="2215"/>
        <v/>
      </c>
      <c r="D5742" t="str">
        <f t="shared" si="2216"/>
        <v>CAMP LEJEUNE</v>
      </c>
      <c r="E5742" t="str">
        <f t="shared" si="2217"/>
        <v>NC</v>
      </c>
      <c r="F5742" t="str">
        <f t="shared" si="2218"/>
        <v>285478478</v>
      </c>
      <c r="G5742" t="str">
        <f t="shared" si="2221"/>
        <v>PO BOX 8478</v>
      </c>
      <c r="H5742" t="str">
        <f t="shared" si="2223"/>
        <v>BLDG 1116</v>
      </c>
      <c r="I5742" t="str">
        <f t="shared" si="2219"/>
        <v>CAMP LEJEUNE</v>
      </c>
      <c r="J5742" t="str">
        <f t="shared" si="2220"/>
        <v>NC</v>
      </c>
      <c r="K5742" t="str">
        <f>T("9104515743")</f>
        <v>9104515743</v>
      </c>
      <c r="L5742" t="str">
        <f>T("9104515699")</f>
        <v>9104515699</v>
      </c>
    </row>
    <row r="5743" spans="1:12" x14ac:dyDescent="0.35">
      <c r="A5743" t="str">
        <f t="shared" si="2213"/>
        <v>MCB CAMP LEJEUNE</v>
      </c>
      <c r="B5743" t="str">
        <f t="shared" si="2214"/>
        <v>PO BOX 8478</v>
      </c>
      <c r="C5743" t="str">
        <f t="shared" si="2215"/>
        <v/>
      </c>
      <c r="D5743" t="str">
        <f t="shared" si="2216"/>
        <v>CAMP LEJEUNE</v>
      </c>
      <c r="E5743" t="str">
        <f t="shared" si="2217"/>
        <v>NC</v>
      </c>
      <c r="F5743" t="str">
        <f t="shared" si="2218"/>
        <v>285478478</v>
      </c>
      <c r="G5743" t="str">
        <f t="shared" si="2221"/>
        <v>PO BOX 8478</v>
      </c>
      <c r="H5743" t="str">
        <f t="shared" si="2223"/>
        <v>BLDG 1116</v>
      </c>
      <c r="I5743" t="str">
        <f t="shared" si="2219"/>
        <v>CAMP LEJEUNE</v>
      </c>
      <c r="J5743" t="str">
        <f t="shared" si="2220"/>
        <v>NC</v>
      </c>
      <c r="K5743" t="str">
        <f>T("9104517851")</f>
        <v>9104517851</v>
      </c>
      <c r="L5743" t="str">
        <f>T("9104512247")</f>
        <v>9104512247</v>
      </c>
    </row>
    <row r="5744" spans="1:12" x14ac:dyDescent="0.35">
      <c r="A5744" t="str">
        <f t="shared" si="2213"/>
        <v>MCB CAMP LEJEUNE</v>
      </c>
      <c r="B5744" t="str">
        <f t="shared" si="2214"/>
        <v>PO BOX 8478</v>
      </c>
      <c r="C5744" t="str">
        <f t="shared" ref="C5744:C5767" si="2225">T("BLDG 1116")</f>
        <v>BLDG 1116</v>
      </c>
      <c r="D5744" t="str">
        <f t="shared" si="2216"/>
        <v>CAMP LEJEUNE</v>
      </c>
      <c r="E5744" t="str">
        <f t="shared" si="2217"/>
        <v>NC</v>
      </c>
      <c r="F5744" t="str">
        <f t="shared" si="2218"/>
        <v>285478478</v>
      </c>
      <c r="G5744" t="str">
        <f t="shared" si="2221"/>
        <v>PO BOX 8478</v>
      </c>
      <c r="H5744" t="str">
        <f t="shared" ref="H5744:H5754" si="2226">T("")</f>
        <v/>
      </c>
      <c r="I5744" t="str">
        <f t="shared" si="2219"/>
        <v>CAMP LEJEUNE</v>
      </c>
      <c r="J5744" t="str">
        <f t="shared" si="2220"/>
        <v>NC</v>
      </c>
      <c r="K5744" t="str">
        <f t="shared" ref="K5744:K5754" si="2227">T("000000000000000000")</f>
        <v>000000000000000000</v>
      </c>
      <c r="L5744" t="str">
        <f>T("8432284205")</f>
        <v>8432284205</v>
      </c>
    </row>
    <row r="5745" spans="1:12" x14ac:dyDescent="0.35">
      <c r="A5745" t="str">
        <f t="shared" si="2213"/>
        <v>MCB CAMP LEJEUNE</v>
      </c>
      <c r="B5745" t="str">
        <f t="shared" si="2214"/>
        <v>PO BOX 8478</v>
      </c>
      <c r="C5745" t="str">
        <f t="shared" si="2225"/>
        <v>BLDG 1116</v>
      </c>
      <c r="D5745" t="str">
        <f t="shared" si="2216"/>
        <v>CAMP LEJEUNE</v>
      </c>
      <c r="E5745" t="str">
        <f t="shared" si="2217"/>
        <v>NC</v>
      </c>
      <c r="F5745" t="str">
        <f t="shared" si="2218"/>
        <v>285478478</v>
      </c>
      <c r="G5745" t="str">
        <f t="shared" si="2221"/>
        <v>PO BOX 8478</v>
      </c>
      <c r="H5745" t="str">
        <f t="shared" si="2226"/>
        <v/>
      </c>
      <c r="I5745" t="str">
        <f t="shared" si="2219"/>
        <v>CAMP LEJEUNE</v>
      </c>
      <c r="J5745" t="str">
        <f t="shared" si="2220"/>
        <v>NC</v>
      </c>
      <c r="K5745" t="str">
        <f t="shared" si="2227"/>
        <v>000000000000000000</v>
      </c>
      <c r="L5745" t="str">
        <f>T("8432284211")</f>
        <v>8432284211</v>
      </c>
    </row>
    <row r="5746" spans="1:12" x14ac:dyDescent="0.35">
      <c r="A5746" t="str">
        <f t="shared" si="2213"/>
        <v>MCB CAMP LEJEUNE</v>
      </c>
      <c r="B5746" t="str">
        <f t="shared" si="2214"/>
        <v>PO BOX 8478</v>
      </c>
      <c r="C5746" t="str">
        <f t="shared" si="2225"/>
        <v>BLDG 1116</v>
      </c>
      <c r="D5746" t="str">
        <f t="shared" si="2216"/>
        <v>CAMP LEJEUNE</v>
      </c>
      <c r="E5746" t="str">
        <f t="shared" si="2217"/>
        <v>NC</v>
      </c>
      <c r="F5746" t="str">
        <f t="shared" si="2218"/>
        <v>285478478</v>
      </c>
      <c r="G5746" t="str">
        <f t="shared" si="2221"/>
        <v>PO BOX 8478</v>
      </c>
      <c r="H5746" t="str">
        <f t="shared" si="2226"/>
        <v/>
      </c>
      <c r="I5746" t="str">
        <f t="shared" si="2219"/>
        <v>CAMP LEJEUNE</v>
      </c>
      <c r="J5746" t="str">
        <f t="shared" si="2220"/>
        <v>NC</v>
      </c>
      <c r="K5746" t="str">
        <f t="shared" si="2227"/>
        <v>000000000000000000</v>
      </c>
      <c r="L5746" t="str">
        <f>T("9104512218")</f>
        <v>9104512218</v>
      </c>
    </row>
    <row r="5747" spans="1:12" x14ac:dyDescent="0.35">
      <c r="A5747" t="str">
        <f t="shared" si="2213"/>
        <v>MCB CAMP LEJEUNE</v>
      </c>
      <c r="B5747" t="str">
        <f t="shared" si="2214"/>
        <v>PO BOX 8478</v>
      </c>
      <c r="C5747" t="str">
        <f t="shared" si="2225"/>
        <v>BLDG 1116</v>
      </c>
      <c r="D5747" t="str">
        <f t="shared" si="2216"/>
        <v>CAMP LEJEUNE</v>
      </c>
      <c r="E5747" t="str">
        <f t="shared" si="2217"/>
        <v>NC</v>
      </c>
      <c r="F5747" t="str">
        <f t="shared" si="2218"/>
        <v>285478478</v>
      </c>
      <c r="G5747" t="str">
        <f t="shared" si="2221"/>
        <v>PO BOX 8478</v>
      </c>
      <c r="H5747" t="str">
        <f t="shared" si="2226"/>
        <v/>
      </c>
      <c r="I5747" t="str">
        <f t="shared" si="2219"/>
        <v>CAMP LEJEUNE</v>
      </c>
      <c r="J5747" t="str">
        <f t="shared" si="2220"/>
        <v>NC</v>
      </c>
      <c r="K5747" t="str">
        <f t="shared" si="2227"/>
        <v>000000000000000000</v>
      </c>
      <c r="L5747" t="str">
        <f>T("9104512427")</f>
        <v>9104512427</v>
      </c>
    </row>
    <row r="5748" spans="1:12" x14ac:dyDescent="0.35">
      <c r="A5748" t="str">
        <f t="shared" ref="A5748:A5767" si="2228">T("MCB CAMP LEJEUNE")</f>
        <v>MCB CAMP LEJEUNE</v>
      </c>
      <c r="B5748" t="str">
        <f t="shared" si="2214"/>
        <v>PO BOX 8478</v>
      </c>
      <c r="C5748" t="str">
        <f t="shared" si="2225"/>
        <v>BLDG 1116</v>
      </c>
      <c r="D5748" t="str">
        <f t="shared" si="2216"/>
        <v>CAMP LEJEUNE</v>
      </c>
      <c r="E5748" t="str">
        <f t="shared" si="2217"/>
        <v>NC</v>
      </c>
      <c r="F5748" t="str">
        <f t="shared" si="2218"/>
        <v>285478478</v>
      </c>
      <c r="G5748" t="str">
        <f t="shared" si="2221"/>
        <v>PO BOX 8478</v>
      </c>
      <c r="H5748" t="str">
        <f t="shared" si="2226"/>
        <v/>
      </c>
      <c r="I5748" t="str">
        <f t="shared" si="2219"/>
        <v>CAMP LEJEUNE</v>
      </c>
      <c r="J5748" t="str">
        <f t="shared" si="2220"/>
        <v>NC</v>
      </c>
      <c r="K5748" t="str">
        <f t="shared" si="2227"/>
        <v>000000000000000000</v>
      </c>
      <c r="L5748" t="str">
        <f>T("9104512716")</f>
        <v>9104512716</v>
      </c>
    </row>
    <row r="5749" spans="1:12" x14ac:dyDescent="0.35">
      <c r="A5749" t="str">
        <f t="shared" si="2228"/>
        <v>MCB CAMP LEJEUNE</v>
      </c>
      <c r="B5749" t="str">
        <f t="shared" si="2214"/>
        <v>PO BOX 8478</v>
      </c>
      <c r="C5749" t="str">
        <f t="shared" si="2225"/>
        <v>BLDG 1116</v>
      </c>
      <c r="D5749" t="str">
        <f t="shared" si="2216"/>
        <v>CAMP LEJEUNE</v>
      </c>
      <c r="E5749" t="str">
        <f t="shared" si="2217"/>
        <v>NC</v>
      </c>
      <c r="F5749" t="str">
        <f t="shared" si="2218"/>
        <v>285478478</v>
      </c>
      <c r="G5749" t="str">
        <f t="shared" si="2221"/>
        <v>PO BOX 8478</v>
      </c>
      <c r="H5749" t="str">
        <f t="shared" si="2226"/>
        <v/>
      </c>
      <c r="I5749" t="str">
        <f t="shared" si="2219"/>
        <v>CAMP LEJEUNE</v>
      </c>
      <c r="J5749" t="str">
        <f t="shared" si="2220"/>
        <v>NC</v>
      </c>
      <c r="K5749" t="str">
        <f t="shared" si="2227"/>
        <v>000000000000000000</v>
      </c>
      <c r="L5749" t="str">
        <f>T("9104513022")</f>
        <v>9104513022</v>
      </c>
    </row>
    <row r="5750" spans="1:12" x14ac:dyDescent="0.35">
      <c r="A5750" t="str">
        <f t="shared" si="2228"/>
        <v>MCB CAMP LEJEUNE</v>
      </c>
      <c r="B5750" t="str">
        <f t="shared" si="2214"/>
        <v>PO BOX 8478</v>
      </c>
      <c r="C5750" t="str">
        <f t="shared" si="2225"/>
        <v>BLDG 1116</v>
      </c>
      <c r="D5750" t="str">
        <f t="shared" si="2216"/>
        <v>CAMP LEJEUNE</v>
      </c>
      <c r="E5750" t="str">
        <f t="shared" si="2217"/>
        <v>NC</v>
      </c>
      <c r="F5750" t="str">
        <f t="shared" si="2218"/>
        <v>285478478</v>
      </c>
      <c r="G5750" t="str">
        <f t="shared" si="2221"/>
        <v>PO BOX 8478</v>
      </c>
      <c r="H5750" t="str">
        <f t="shared" si="2226"/>
        <v/>
      </c>
      <c r="I5750" t="str">
        <f t="shared" si="2219"/>
        <v>CAMP LEJEUNE</v>
      </c>
      <c r="J5750" t="str">
        <f t="shared" si="2220"/>
        <v>NC</v>
      </c>
      <c r="K5750" t="str">
        <f t="shared" si="2227"/>
        <v>000000000000000000</v>
      </c>
      <c r="L5750" t="str">
        <f>T("9104514214")</f>
        <v>9104514214</v>
      </c>
    </row>
    <row r="5751" spans="1:12" x14ac:dyDescent="0.35">
      <c r="A5751" t="str">
        <f t="shared" si="2228"/>
        <v>MCB CAMP LEJEUNE</v>
      </c>
      <c r="B5751" t="str">
        <f t="shared" si="2214"/>
        <v>PO BOX 8478</v>
      </c>
      <c r="C5751" t="str">
        <f t="shared" si="2225"/>
        <v>BLDG 1116</v>
      </c>
      <c r="D5751" t="str">
        <f t="shared" si="2216"/>
        <v>CAMP LEJEUNE</v>
      </c>
      <c r="E5751" t="str">
        <f t="shared" si="2217"/>
        <v>NC</v>
      </c>
      <c r="F5751" t="str">
        <f t="shared" si="2218"/>
        <v>285478478</v>
      </c>
      <c r="G5751" t="str">
        <f t="shared" si="2221"/>
        <v>PO BOX 8478</v>
      </c>
      <c r="H5751" t="str">
        <f t="shared" si="2226"/>
        <v/>
      </c>
      <c r="I5751" t="str">
        <f t="shared" si="2219"/>
        <v>CAMP LEJEUNE</v>
      </c>
      <c r="J5751" t="str">
        <f t="shared" si="2220"/>
        <v>NC</v>
      </c>
      <c r="K5751" t="str">
        <f t="shared" si="2227"/>
        <v>000000000000000000</v>
      </c>
      <c r="L5751" t="str">
        <f>T("9104515068")</f>
        <v>9104515068</v>
      </c>
    </row>
    <row r="5752" spans="1:12" x14ac:dyDescent="0.35">
      <c r="A5752" t="str">
        <f t="shared" si="2228"/>
        <v>MCB CAMP LEJEUNE</v>
      </c>
      <c r="B5752" t="str">
        <f t="shared" si="2214"/>
        <v>PO BOX 8478</v>
      </c>
      <c r="C5752" t="str">
        <f t="shared" si="2225"/>
        <v>BLDG 1116</v>
      </c>
      <c r="D5752" t="str">
        <f t="shared" si="2216"/>
        <v>CAMP LEJEUNE</v>
      </c>
      <c r="E5752" t="str">
        <f t="shared" si="2217"/>
        <v>NC</v>
      </c>
      <c r="F5752" t="str">
        <f t="shared" si="2218"/>
        <v>285478478</v>
      </c>
      <c r="G5752" t="str">
        <f t="shared" si="2221"/>
        <v>PO BOX 8478</v>
      </c>
      <c r="H5752" t="str">
        <f t="shared" si="2226"/>
        <v/>
      </c>
      <c r="I5752" t="str">
        <f t="shared" si="2219"/>
        <v>CAMP LEJEUNE</v>
      </c>
      <c r="J5752" t="str">
        <f t="shared" si="2220"/>
        <v>NC</v>
      </c>
      <c r="K5752" t="str">
        <f t="shared" si="2227"/>
        <v>000000000000000000</v>
      </c>
      <c r="L5752" t="str">
        <f>T("9104516273")</f>
        <v>9104516273</v>
      </c>
    </row>
    <row r="5753" spans="1:12" x14ac:dyDescent="0.35">
      <c r="A5753" t="str">
        <f t="shared" si="2228"/>
        <v>MCB CAMP LEJEUNE</v>
      </c>
      <c r="B5753" t="str">
        <f t="shared" si="2214"/>
        <v>PO BOX 8478</v>
      </c>
      <c r="C5753" t="str">
        <f t="shared" si="2225"/>
        <v>BLDG 1116</v>
      </c>
      <c r="D5753" t="str">
        <f t="shared" si="2216"/>
        <v>CAMP LEJEUNE</v>
      </c>
      <c r="E5753" t="str">
        <f t="shared" si="2217"/>
        <v>NC</v>
      </c>
      <c r="F5753" t="str">
        <f t="shared" si="2218"/>
        <v>285478478</v>
      </c>
      <c r="G5753" t="str">
        <f t="shared" si="2221"/>
        <v>PO BOX 8478</v>
      </c>
      <c r="H5753" t="str">
        <f t="shared" si="2226"/>
        <v/>
      </c>
      <c r="I5753" t="str">
        <f t="shared" si="2219"/>
        <v>CAMP LEJEUNE</v>
      </c>
      <c r="J5753" t="str">
        <f t="shared" si="2220"/>
        <v>NC</v>
      </c>
      <c r="K5753" t="str">
        <f t="shared" si="2227"/>
        <v>000000000000000000</v>
      </c>
      <c r="L5753" t="str">
        <f>T("9104517563")</f>
        <v>9104517563</v>
      </c>
    </row>
    <row r="5754" spans="1:12" x14ac:dyDescent="0.35">
      <c r="A5754" t="str">
        <f t="shared" si="2228"/>
        <v>MCB CAMP LEJEUNE</v>
      </c>
      <c r="B5754" t="str">
        <f t="shared" si="2214"/>
        <v>PO BOX 8478</v>
      </c>
      <c r="C5754" t="str">
        <f t="shared" si="2225"/>
        <v>BLDG 1116</v>
      </c>
      <c r="D5754" t="str">
        <f t="shared" si="2216"/>
        <v>CAMP LEJEUNE</v>
      </c>
      <c r="E5754" t="str">
        <f t="shared" si="2217"/>
        <v>NC</v>
      </c>
      <c r="F5754" t="str">
        <f t="shared" si="2218"/>
        <v>285478478</v>
      </c>
      <c r="G5754" t="str">
        <f t="shared" si="2221"/>
        <v>PO BOX 8478</v>
      </c>
      <c r="H5754" t="str">
        <f t="shared" si="2226"/>
        <v/>
      </c>
      <c r="I5754" t="str">
        <f t="shared" si="2219"/>
        <v>CAMP LEJEUNE</v>
      </c>
      <c r="J5754" t="str">
        <f t="shared" si="2220"/>
        <v>NC</v>
      </c>
      <c r="K5754" t="str">
        <f t="shared" si="2227"/>
        <v>000000000000000000</v>
      </c>
      <c r="L5754" t="str">
        <f>T("9104519175")</f>
        <v>9104519175</v>
      </c>
    </row>
    <row r="5755" spans="1:12" x14ac:dyDescent="0.35">
      <c r="A5755" t="str">
        <f t="shared" si="2228"/>
        <v>MCB CAMP LEJEUNE</v>
      </c>
      <c r="B5755" t="str">
        <f t="shared" si="2214"/>
        <v>PO BOX 8478</v>
      </c>
      <c r="C5755" t="str">
        <f t="shared" si="2225"/>
        <v>BLDG 1116</v>
      </c>
      <c r="D5755" t="str">
        <f t="shared" si="2216"/>
        <v>CAMP LEJEUNE</v>
      </c>
      <c r="E5755" t="str">
        <f t="shared" si="2217"/>
        <v>NC</v>
      </c>
      <c r="F5755" t="str">
        <f t="shared" si="2218"/>
        <v>285478478</v>
      </c>
      <c r="G5755" t="str">
        <f t="shared" si="2221"/>
        <v>PO BOX 8478</v>
      </c>
      <c r="H5755" t="str">
        <f t="shared" ref="H5755:H5767" si="2229">T("BLDG 1116")</f>
        <v>BLDG 1116</v>
      </c>
      <c r="I5755" t="str">
        <f t="shared" si="2219"/>
        <v>CAMP LEJEUNE</v>
      </c>
      <c r="J5755" t="str">
        <f t="shared" si="2220"/>
        <v>NC</v>
      </c>
      <c r="K5755" t="str">
        <f t="shared" ref="K5755:K5760" si="2230">T("")</f>
        <v/>
      </c>
      <c r="L5755" t="str">
        <f>T("8432282558")</f>
        <v>8432282558</v>
      </c>
    </row>
    <row r="5756" spans="1:12" x14ac:dyDescent="0.35">
      <c r="A5756" t="str">
        <f t="shared" si="2228"/>
        <v>MCB CAMP LEJEUNE</v>
      </c>
      <c r="B5756" t="str">
        <f t="shared" si="2214"/>
        <v>PO BOX 8478</v>
      </c>
      <c r="C5756" t="str">
        <f t="shared" si="2225"/>
        <v>BLDG 1116</v>
      </c>
      <c r="D5756" t="str">
        <f t="shared" si="2216"/>
        <v>CAMP LEJEUNE</v>
      </c>
      <c r="E5756" t="str">
        <f t="shared" si="2217"/>
        <v>NC</v>
      </c>
      <c r="F5756" t="str">
        <f t="shared" si="2218"/>
        <v>285478478</v>
      </c>
      <c r="G5756" t="str">
        <f t="shared" si="2221"/>
        <v>PO BOX 8478</v>
      </c>
      <c r="H5756" t="str">
        <f t="shared" si="2229"/>
        <v>BLDG 1116</v>
      </c>
      <c r="I5756" t="str">
        <f t="shared" si="2219"/>
        <v>CAMP LEJEUNE</v>
      </c>
      <c r="J5756" t="str">
        <f t="shared" si="2220"/>
        <v>NC</v>
      </c>
      <c r="K5756" t="str">
        <f t="shared" si="2230"/>
        <v/>
      </c>
      <c r="L5756" t="str">
        <f>T("9104510930")</f>
        <v>9104510930</v>
      </c>
    </row>
    <row r="5757" spans="1:12" x14ac:dyDescent="0.35">
      <c r="A5757" t="str">
        <f t="shared" si="2228"/>
        <v>MCB CAMP LEJEUNE</v>
      </c>
      <c r="B5757" t="str">
        <f t="shared" si="2214"/>
        <v>PO BOX 8478</v>
      </c>
      <c r="C5757" t="str">
        <f t="shared" si="2225"/>
        <v>BLDG 1116</v>
      </c>
      <c r="D5757" t="str">
        <f t="shared" si="2216"/>
        <v>CAMP LEJEUNE</v>
      </c>
      <c r="E5757" t="str">
        <f t="shared" si="2217"/>
        <v>NC</v>
      </c>
      <c r="F5757" t="str">
        <f t="shared" si="2218"/>
        <v>285478478</v>
      </c>
      <c r="G5757" t="str">
        <f t="shared" si="2221"/>
        <v>PO BOX 8478</v>
      </c>
      <c r="H5757" t="str">
        <f t="shared" si="2229"/>
        <v>BLDG 1116</v>
      </c>
      <c r="I5757" t="str">
        <f t="shared" si="2219"/>
        <v>CAMP LEJEUNE</v>
      </c>
      <c r="J5757" t="str">
        <f t="shared" si="2220"/>
        <v>NC</v>
      </c>
      <c r="K5757" t="str">
        <f t="shared" si="2230"/>
        <v/>
      </c>
      <c r="L5757" t="str">
        <f>T("9104512076")</f>
        <v>9104512076</v>
      </c>
    </row>
    <row r="5758" spans="1:12" x14ac:dyDescent="0.35">
      <c r="A5758" t="str">
        <f t="shared" si="2228"/>
        <v>MCB CAMP LEJEUNE</v>
      </c>
      <c r="B5758" t="str">
        <f t="shared" si="2214"/>
        <v>PO BOX 8478</v>
      </c>
      <c r="C5758" t="str">
        <f t="shared" si="2225"/>
        <v>BLDG 1116</v>
      </c>
      <c r="D5758" t="str">
        <f t="shared" si="2216"/>
        <v>CAMP LEJEUNE</v>
      </c>
      <c r="E5758" t="str">
        <f t="shared" si="2217"/>
        <v>NC</v>
      </c>
      <c r="F5758" t="str">
        <f t="shared" si="2218"/>
        <v>285478478</v>
      </c>
      <c r="G5758" t="str">
        <f t="shared" si="2221"/>
        <v>PO BOX 8478</v>
      </c>
      <c r="H5758" t="str">
        <f t="shared" si="2229"/>
        <v>BLDG 1116</v>
      </c>
      <c r="I5758" t="str">
        <f t="shared" si="2219"/>
        <v>CAMP LEJEUNE</v>
      </c>
      <c r="J5758" t="str">
        <f t="shared" si="2220"/>
        <v>NC</v>
      </c>
      <c r="K5758" t="str">
        <f t="shared" si="2230"/>
        <v/>
      </c>
      <c r="L5758" t="str">
        <f>T("9104513806")</f>
        <v>9104513806</v>
      </c>
    </row>
    <row r="5759" spans="1:12" x14ac:dyDescent="0.35">
      <c r="A5759" t="str">
        <f t="shared" si="2228"/>
        <v>MCB CAMP LEJEUNE</v>
      </c>
      <c r="B5759" t="str">
        <f t="shared" si="2214"/>
        <v>PO BOX 8478</v>
      </c>
      <c r="C5759" t="str">
        <f t="shared" si="2225"/>
        <v>BLDG 1116</v>
      </c>
      <c r="D5759" t="str">
        <f t="shared" si="2216"/>
        <v>CAMP LEJEUNE</v>
      </c>
      <c r="E5759" t="str">
        <f t="shared" si="2217"/>
        <v>NC</v>
      </c>
      <c r="F5759" t="str">
        <f t="shared" si="2218"/>
        <v>285478478</v>
      </c>
      <c r="G5759" t="str">
        <f t="shared" si="2221"/>
        <v>PO BOX 8478</v>
      </c>
      <c r="H5759" t="str">
        <f t="shared" si="2229"/>
        <v>BLDG 1116</v>
      </c>
      <c r="I5759" t="str">
        <f t="shared" si="2219"/>
        <v>CAMP LEJEUNE</v>
      </c>
      <c r="J5759" t="str">
        <f t="shared" si="2220"/>
        <v>NC</v>
      </c>
      <c r="K5759" t="str">
        <f t="shared" si="2230"/>
        <v/>
      </c>
      <c r="L5759" t="str">
        <f>T("9104515415")</f>
        <v>9104515415</v>
      </c>
    </row>
    <row r="5760" spans="1:12" x14ac:dyDescent="0.35">
      <c r="A5760" t="str">
        <f t="shared" si="2228"/>
        <v>MCB CAMP LEJEUNE</v>
      </c>
      <c r="B5760" t="str">
        <f t="shared" si="2214"/>
        <v>PO BOX 8478</v>
      </c>
      <c r="C5760" t="str">
        <f t="shared" si="2225"/>
        <v>BLDG 1116</v>
      </c>
      <c r="D5760" t="str">
        <f t="shared" si="2216"/>
        <v>CAMP LEJEUNE</v>
      </c>
      <c r="E5760" t="str">
        <f t="shared" si="2217"/>
        <v>NC</v>
      </c>
      <c r="F5760" t="str">
        <f t="shared" si="2218"/>
        <v>285478478</v>
      </c>
      <c r="G5760" t="str">
        <f t="shared" si="2221"/>
        <v>PO BOX 8478</v>
      </c>
      <c r="H5760" t="str">
        <f t="shared" si="2229"/>
        <v>BLDG 1116</v>
      </c>
      <c r="I5760" t="str">
        <f t="shared" si="2219"/>
        <v>CAMP LEJEUNE</v>
      </c>
      <c r="J5760" t="str">
        <f t="shared" si="2220"/>
        <v>NC</v>
      </c>
      <c r="K5760" t="str">
        <f t="shared" si="2230"/>
        <v/>
      </c>
      <c r="L5760" t="str">
        <f>T("9104517732")</f>
        <v>9104517732</v>
      </c>
    </row>
    <row r="5761" spans="1:12" x14ac:dyDescent="0.35">
      <c r="A5761" t="str">
        <f t="shared" si="2228"/>
        <v>MCB CAMP LEJEUNE</v>
      </c>
      <c r="B5761" t="str">
        <f t="shared" si="2214"/>
        <v>PO BOX 8478</v>
      </c>
      <c r="C5761" t="str">
        <f t="shared" si="2225"/>
        <v>BLDG 1116</v>
      </c>
      <c r="D5761" t="str">
        <f t="shared" si="2216"/>
        <v>CAMP LEJEUNE</v>
      </c>
      <c r="E5761" t="str">
        <f t="shared" si="2217"/>
        <v>NC</v>
      </c>
      <c r="F5761" t="str">
        <f t="shared" si="2218"/>
        <v>285478478</v>
      </c>
      <c r="G5761" t="str">
        <f t="shared" si="2221"/>
        <v>PO BOX 8478</v>
      </c>
      <c r="H5761" t="str">
        <f t="shared" si="2229"/>
        <v>BLDG 1116</v>
      </c>
      <c r="I5761" t="str">
        <f t="shared" si="2219"/>
        <v>CAMP LEJEUNE</v>
      </c>
      <c r="J5761" t="str">
        <f t="shared" si="2220"/>
        <v>NC</v>
      </c>
      <c r="K5761" t="str">
        <f>T("000000000000000000")</f>
        <v>000000000000000000</v>
      </c>
      <c r="L5761" t="str">
        <f>T("9104510810")</f>
        <v>9104510810</v>
      </c>
    </row>
    <row r="5762" spans="1:12" x14ac:dyDescent="0.35">
      <c r="A5762" t="str">
        <f t="shared" si="2228"/>
        <v>MCB CAMP LEJEUNE</v>
      </c>
      <c r="B5762" t="str">
        <f t="shared" si="2214"/>
        <v>PO BOX 8478</v>
      </c>
      <c r="C5762" t="str">
        <f t="shared" si="2225"/>
        <v>BLDG 1116</v>
      </c>
      <c r="D5762" t="str">
        <f t="shared" si="2216"/>
        <v>CAMP LEJEUNE</v>
      </c>
      <c r="E5762" t="str">
        <f t="shared" si="2217"/>
        <v>NC</v>
      </c>
      <c r="F5762" t="str">
        <f t="shared" si="2218"/>
        <v>285478478</v>
      </c>
      <c r="G5762" t="str">
        <f t="shared" si="2221"/>
        <v>PO BOX 8478</v>
      </c>
      <c r="H5762" t="str">
        <f t="shared" si="2229"/>
        <v>BLDG 1116</v>
      </c>
      <c r="I5762" t="str">
        <f t="shared" si="2219"/>
        <v>CAMP LEJEUNE</v>
      </c>
      <c r="J5762" t="str">
        <f t="shared" si="2220"/>
        <v>NC</v>
      </c>
      <c r="K5762" t="str">
        <f>T("000000000000000000")</f>
        <v>000000000000000000</v>
      </c>
      <c r="L5762" t="str">
        <f>T("9104513860")</f>
        <v>9104513860</v>
      </c>
    </row>
    <row r="5763" spans="1:12" x14ac:dyDescent="0.35">
      <c r="A5763" t="str">
        <f t="shared" si="2228"/>
        <v>MCB CAMP LEJEUNE</v>
      </c>
      <c r="B5763" t="str">
        <f t="shared" si="2214"/>
        <v>PO BOX 8478</v>
      </c>
      <c r="C5763" t="str">
        <f t="shared" si="2225"/>
        <v>BLDG 1116</v>
      </c>
      <c r="D5763" t="str">
        <f t="shared" si="2216"/>
        <v>CAMP LEJEUNE</v>
      </c>
      <c r="E5763" t="str">
        <f t="shared" si="2217"/>
        <v>NC</v>
      </c>
      <c r="F5763" t="str">
        <f t="shared" si="2218"/>
        <v>285478478</v>
      </c>
      <c r="G5763" t="str">
        <f t="shared" si="2221"/>
        <v>PO BOX 8478</v>
      </c>
      <c r="H5763" t="str">
        <f t="shared" si="2229"/>
        <v>BLDG 1116</v>
      </c>
      <c r="I5763" t="str">
        <f t="shared" si="2219"/>
        <v>CAMP LEJEUNE</v>
      </c>
      <c r="J5763" t="str">
        <f t="shared" si="2220"/>
        <v>NC</v>
      </c>
      <c r="K5763" t="str">
        <f>T("000000000000000000")</f>
        <v>000000000000000000</v>
      </c>
      <c r="L5763" t="str">
        <f>T("9104514793")</f>
        <v>9104514793</v>
      </c>
    </row>
    <row r="5764" spans="1:12" x14ac:dyDescent="0.35">
      <c r="A5764" t="str">
        <f t="shared" si="2228"/>
        <v>MCB CAMP LEJEUNE</v>
      </c>
      <c r="B5764" t="str">
        <f t="shared" si="2214"/>
        <v>PO BOX 8478</v>
      </c>
      <c r="C5764" t="str">
        <f t="shared" si="2225"/>
        <v>BLDG 1116</v>
      </c>
      <c r="D5764" t="str">
        <f t="shared" si="2216"/>
        <v>CAMP LEJEUNE</v>
      </c>
      <c r="E5764" t="str">
        <f t="shared" si="2217"/>
        <v>NC</v>
      </c>
      <c r="F5764" t="str">
        <f t="shared" si="2218"/>
        <v>285478478</v>
      </c>
      <c r="G5764" t="str">
        <f t="shared" si="2221"/>
        <v>PO BOX 8478</v>
      </c>
      <c r="H5764" t="str">
        <f t="shared" si="2229"/>
        <v>BLDG 1116</v>
      </c>
      <c r="I5764" t="str">
        <f t="shared" si="2219"/>
        <v>CAMP LEJEUNE</v>
      </c>
      <c r="J5764" t="str">
        <f t="shared" si="2220"/>
        <v>NC</v>
      </c>
      <c r="K5764" t="str">
        <f>T("000000000000000000")</f>
        <v>000000000000000000</v>
      </c>
      <c r="L5764" t="str">
        <f>T("9104515725")</f>
        <v>9104515725</v>
      </c>
    </row>
    <row r="5765" spans="1:12" x14ac:dyDescent="0.35">
      <c r="A5765" t="str">
        <f t="shared" si="2228"/>
        <v>MCB CAMP LEJEUNE</v>
      </c>
      <c r="B5765" t="str">
        <f t="shared" si="2214"/>
        <v>PO BOX 8478</v>
      </c>
      <c r="C5765" t="str">
        <f t="shared" si="2225"/>
        <v>BLDG 1116</v>
      </c>
      <c r="D5765" t="str">
        <f t="shared" si="2216"/>
        <v>CAMP LEJEUNE</v>
      </c>
      <c r="E5765" t="str">
        <f t="shared" si="2217"/>
        <v>NC</v>
      </c>
      <c r="F5765" t="str">
        <f t="shared" si="2218"/>
        <v>285478478</v>
      </c>
      <c r="G5765" t="str">
        <f t="shared" si="2221"/>
        <v>PO BOX 8478</v>
      </c>
      <c r="H5765" t="str">
        <f t="shared" si="2229"/>
        <v>BLDG 1116</v>
      </c>
      <c r="I5765" t="str">
        <f t="shared" si="2219"/>
        <v>CAMP LEJEUNE</v>
      </c>
      <c r="J5765" t="str">
        <f t="shared" si="2220"/>
        <v>NC</v>
      </c>
      <c r="K5765" t="str">
        <f>T("000000000000000000")</f>
        <v>000000000000000000</v>
      </c>
      <c r="L5765" t="str">
        <f>T("9104518526")</f>
        <v>9104518526</v>
      </c>
    </row>
    <row r="5766" spans="1:12" x14ac:dyDescent="0.35">
      <c r="A5766" t="str">
        <f t="shared" si="2228"/>
        <v>MCB CAMP LEJEUNE</v>
      </c>
      <c r="B5766" t="str">
        <f t="shared" si="2214"/>
        <v>PO BOX 8478</v>
      </c>
      <c r="C5766" t="str">
        <f t="shared" si="2225"/>
        <v>BLDG 1116</v>
      </c>
      <c r="D5766" t="str">
        <f t="shared" si="2216"/>
        <v>CAMP LEJEUNE</v>
      </c>
      <c r="E5766" t="str">
        <f t="shared" si="2217"/>
        <v>NC</v>
      </c>
      <c r="F5766" t="str">
        <f t="shared" si="2218"/>
        <v>285478478</v>
      </c>
      <c r="G5766" t="str">
        <f t="shared" si="2221"/>
        <v>PO BOX 8478</v>
      </c>
      <c r="H5766" t="str">
        <f t="shared" si="2229"/>
        <v>BLDG 1116</v>
      </c>
      <c r="I5766" t="str">
        <f t="shared" si="2219"/>
        <v>CAMP LEJEUNE</v>
      </c>
      <c r="J5766" t="str">
        <f t="shared" si="2220"/>
        <v>NC</v>
      </c>
      <c r="K5766" t="str">
        <f>T("9104511647")</f>
        <v>9104511647</v>
      </c>
      <c r="L5766" t="str">
        <f>T("9104519607")</f>
        <v>9104519607</v>
      </c>
    </row>
    <row r="5767" spans="1:12" x14ac:dyDescent="0.35">
      <c r="A5767" t="str">
        <f t="shared" si="2228"/>
        <v>MCB CAMP LEJEUNE</v>
      </c>
      <c r="B5767" t="str">
        <f t="shared" si="2214"/>
        <v>PO BOX 8478</v>
      </c>
      <c r="C5767" t="str">
        <f t="shared" si="2225"/>
        <v>BLDG 1116</v>
      </c>
      <c r="D5767" t="str">
        <f t="shared" si="2216"/>
        <v>CAMP LEJEUNE</v>
      </c>
      <c r="E5767" t="str">
        <f t="shared" si="2217"/>
        <v>NC</v>
      </c>
      <c r="F5767" t="str">
        <f t="shared" si="2218"/>
        <v>285478478</v>
      </c>
      <c r="G5767" t="str">
        <f t="shared" si="2221"/>
        <v>PO BOX 8478</v>
      </c>
      <c r="H5767" t="str">
        <f t="shared" si="2229"/>
        <v>BLDG 1116</v>
      </c>
      <c r="I5767" t="str">
        <f t="shared" si="2219"/>
        <v>CAMP LEJEUNE</v>
      </c>
      <c r="J5767" t="str">
        <f t="shared" si="2220"/>
        <v>NC</v>
      </c>
      <c r="K5767" t="str">
        <f>T("9104517369")</f>
        <v>9104517369</v>
      </c>
      <c r="L5767" t="str">
        <f>T("9104515908")</f>
        <v>9104515908</v>
      </c>
    </row>
    <row r="5768" spans="1:12" x14ac:dyDescent="0.35">
      <c r="A5768" t="str">
        <f t="shared" ref="A5768:A5815" si="2231">T("2D MLG CAMP LEJEUNE")</f>
        <v>2D MLG CAMP LEJEUNE</v>
      </c>
      <c r="B5768" t="str">
        <f t="shared" si="2214"/>
        <v>PO BOX 8478</v>
      </c>
      <c r="C5768" t="str">
        <f t="shared" ref="C5768:C5799" si="2232">T("")</f>
        <v/>
      </c>
      <c r="D5768" t="str">
        <f t="shared" si="2216"/>
        <v>CAMP LEJEUNE</v>
      </c>
      <c r="E5768" t="str">
        <f t="shared" si="2217"/>
        <v>NC</v>
      </c>
      <c r="F5768" t="str">
        <f t="shared" si="2218"/>
        <v>285478478</v>
      </c>
      <c r="G5768" t="str">
        <f t="shared" si="2221"/>
        <v>PO BOX 8478</v>
      </c>
      <c r="H5768" t="str">
        <f t="shared" ref="H5768:H5799" si="2233">T("")</f>
        <v/>
      </c>
      <c r="I5768" t="str">
        <f t="shared" si="2219"/>
        <v>CAMP LEJEUNE</v>
      </c>
      <c r="J5768" t="str">
        <f t="shared" si="2220"/>
        <v>NC</v>
      </c>
      <c r="K5768" t="str">
        <f t="shared" ref="K5768:K5784" si="2234">T("")</f>
        <v/>
      </c>
      <c r="L5768" t="str">
        <f>T("2524662136")</f>
        <v>2524662136</v>
      </c>
    </row>
    <row r="5769" spans="1:12" x14ac:dyDescent="0.35">
      <c r="A5769" t="str">
        <f t="shared" si="2231"/>
        <v>2D MLG CAMP LEJEUNE</v>
      </c>
      <c r="B5769" t="str">
        <f t="shared" si="2214"/>
        <v>PO BOX 8478</v>
      </c>
      <c r="C5769" t="str">
        <f t="shared" si="2232"/>
        <v/>
      </c>
      <c r="D5769" t="str">
        <f t="shared" si="2216"/>
        <v>CAMP LEJEUNE</v>
      </c>
      <c r="E5769" t="str">
        <f t="shared" si="2217"/>
        <v>NC</v>
      </c>
      <c r="F5769" t="str">
        <f t="shared" si="2218"/>
        <v>285478478</v>
      </c>
      <c r="G5769" t="str">
        <f t="shared" si="2221"/>
        <v>PO BOX 8478</v>
      </c>
      <c r="H5769" t="str">
        <f t="shared" si="2233"/>
        <v/>
      </c>
      <c r="I5769" t="str">
        <f t="shared" si="2219"/>
        <v>CAMP LEJEUNE</v>
      </c>
      <c r="J5769" t="str">
        <f t="shared" si="2220"/>
        <v>NC</v>
      </c>
      <c r="K5769" t="str">
        <f t="shared" si="2234"/>
        <v/>
      </c>
      <c r="L5769" t="str">
        <f>T("8432288521")</f>
        <v>8432288521</v>
      </c>
    </row>
    <row r="5770" spans="1:12" x14ac:dyDescent="0.35">
      <c r="A5770" t="str">
        <f t="shared" si="2231"/>
        <v>2D MLG CAMP LEJEUNE</v>
      </c>
      <c r="B5770" t="str">
        <f t="shared" si="2214"/>
        <v>PO BOX 8478</v>
      </c>
      <c r="C5770" t="str">
        <f t="shared" si="2232"/>
        <v/>
      </c>
      <c r="D5770" t="str">
        <f t="shared" si="2216"/>
        <v>CAMP LEJEUNE</v>
      </c>
      <c r="E5770" t="str">
        <f t="shared" si="2217"/>
        <v>NC</v>
      </c>
      <c r="F5770" t="str">
        <f t="shared" si="2218"/>
        <v>285478478</v>
      </c>
      <c r="G5770" t="str">
        <f t="shared" si="2221"/>
        <v>PO BOX 8478</v>
      </c>
      <c r="H5770" t="str">
        <f t="shared" si="2233"/>
        <v/>
      </c>
      <c r="I5770" t="str">
        <f t="shared" si="2219"/>
        <v>CAMP LEJEUNE</v>
      </c>
      <c r="J5770" t="str">
        <f t="shared" si="2220"/>
        <v>NC</v>
      </c>
      <c r="K5770" t="str">
        <f t="shared" si="2234"/>
        <v/>
      </c>
      <c r="L5770" t="str">
        <f>T("9104499590")</f>
        <v>9104499590</v>
      </c>
    </row>
    <row r="5771" spans="1:12" x14ac:dyDescent="0.35">
      <c r="A5771" t="str">
        <f t="shared" si="2231"/>
        <v>2D MLG CAMP LEJEUNE</v>
      </c>
      <c r="B5771" t="str">
        <f t="shared" si="2214"/>
        <v>PO BOX 8478</v>
      </c>
      <c r="C5771" t="str">
        <f t="shared" si="2232"/>
        <v/>
      </c>
      <c r="D5771" t="str">
        <f t="shared" si="2216"/>
        <v>CAMP LEJEUNE</v>
      </c>
      <c r="E5771" t="str">
        <f t="shared" si="2217"/>
        <v>NC</v>
      </c>
      <c r="F5771" t="str">
        <f t="shared" si="2218"/>
        <v>285478478</v>
      </c>
      <c r="G5771" t="str">
        <f t="shared" si="2221"/>
        <v>PO BOX 8478</v>
      </c>
      <c r="H5771" t="str">
        <f t="shared" si="2233"/>
        <v/>
      </c>
      <c r="I5771" t="str">
        <f t="shared" si="2219"/>
        <v>CAMP LEJEUNE</v>
      </c>
      <c r="J5771" t="str">
        <f t="shared" si="2220"/>
        <v>NC</v>
      </c>
      <c r="K5771" t="str">
        <f t="shared" si="2234"/>
        <v/>
      </c>
      <c r="L5771" t="str">
        <f>T("9104499692")</f>
        <v>9104499692</v>
      </c>
    </row>
    <row r="5772" spans="1:12" x14ac:dyDescent="0.35">
      <c r="A5772" t="str">
        <f t="shared" si="2231"/>
        <v>2D MLG CAMP LEJEUNE</v>
      </c>
      <c r="B5772" t="str">
        <f t="shared" si="2214"/>
        <v>PO BOX 8478</v>
      </c>
      <c r="C5772" t="str">
        <f t="shared" si="2232"/>
        <v/>
      </c>
      <c r="D5772" t="str">
        <f t="shared" si="2216"/>
        <v>CAMP LEJEUNE</v>
      </c>
      <c r="E5772" t="str">
        <f t="shared" si="2217"/>
        <v>NC</v>
      </c>
      <c r="F5772" t="str">
        <f t="shared" si="2218"/>
        <v>285478478</v>
      </c>
      <c r="G5772" t="str">
        <f t="shared" si="2221"/>
        <v>PO BOX 8478</v>
      </c>
      <c r="H5772" t="str">
        <f t="shared" si="2233"/>
        <v/>
      </c>
      <c r="I5772" t="str">
        <f t="shared" si="2219"/>
        <v>CAMP LEJEUNE</v>
      </c>
      <c r="J5772" t="str">
        <f t="shared" si="2220"/>
        <v>NC</v>
      </c>
      <c r="K5772" t="str">
        <f t="shared" si="2234"/>
        <v/>
      </c>
      <c r="L5772" t="str">
        <f>T("9104505770")</f>
        <v>9104505770</v>
      </c>
    </row>
    <row r="5773" spans="1:12" x14ac:dyDescent="0.35">
      <c r="A5773" t="str">
        <f t="shared" si="2231"/>
        <v>2D MLG CAMP LEJEUNE</v>
      </c>
      <c r="B5773" t="str">
        <f t="shared" si="2214"/>
        <v>PO BOX 8478</v>
      </c>
      <c r="C5773" t="str">
        <f t="shared" si="2232"/>
        <v/>
      </c>
      <c r="D5773" t="str">
        <f t="shared" si="2216"/>
        <v>CAMP LEJEUNE</v>
      </c>
      <c r="E5773" t="str">
        <f t="shared" si="2217"/>
        <v>NC</v>
      </c>
      <c r="F5773" t="str">
        <f t="shared" si="2218"/>
        <v>285478478</v>
      </c>
      <c r="G5773" t="str">
        <f t="shared" si="2221"/>
        <v>PO BOX 8478</v>
      </c>
      <c r="H5773" t="str">
        <f t="shared" si="2233"/>
        <v/>
      </c>
      <c r="I5773" t="str">
        <f t="shared" si="2219"/>
        <v>CAMP LEJEUNE</v>
      </c>
      <c r="J5773" t="str">
        <f t="shared" si="2220"/>
        <v>NC</v>
      </c>
      <c r="K5773" t="str">
        <f t="shared" si="2234"/>
        <v/>
      </c>
      <c r="L5773" t="str">
        <f>T("9104511080")</f>
        <v>9104511080</v>
      </c>
    </row>
    <row r="5774" spans="1:12" x14ac:dyDescent="0.35">
      <c r="A5774" t="str">
        <f t="shared" si="2231"/>
        <v>2D MLG CAMP LEJEUNE</v>
      </c>
      <c r="B5774" t="str">
        <f t="shared" si="2214"/>
        <v>PO BOX 8478</v>
      </c>
      <c r="C5774" t="str">
        <f t="shared" si="2232"/>
        <v/>
      </c>
      <c r="D5774" t="str">
        <f t="shared" si="2216"/>
        <v>CAMP LEJEUNE</v>
      </c>
      <c r="E5774" t="str">
        <f t="shared" si="2217"/>
        <v>NC</v>
      </c>
      <c r="F5774" t="str">
        <f t="shared" si="2218"/>
        <v>285478478</v>
      </c>
      <c r="G5774" t="str">
        <f t="shared" si="2221"/>
        <v>PO BOX 8478</v>
      </c>
      <c r="H5774" t="str">
        <f t="shared" si="2233"/>
        <v/>
      </c>
      <c r="I5774" t="str">
        <f t="shared" si="2219"/>
        <v>CAMP LEJEUNE</v>
      </c>
      <c r="J5774" t="str">
        <f t="shared" si="2220"/>
        <v>NC</v>
      </c>
      <c r="K5774" t="str">
        <f t="shared" si="2234"/>
        <v/>
      </c>
      <c r="L5774" t="str">
        <f>T("9104511931")</f>
        <v>9104511931</v>
      </c>
    </row>
    <row r="5775" spans="1:12" x14ac:dyDescent="0.35">
      <c r="A5775" t="str">
        <f t="shared" si="2231"/>
        <v>2D MLG CAMP LEJEUNE</v>
      </c>
      <c r="B5775" t="str">
        <f t="shared" si="2214"/>
        <v>PO BOX 8478</v>
      </c>
      <c r="C5775" t="str">
        <f t="shared" si="2232"/>
        <v/>
      </c>
      <c r="D5775" t="str">
        <f t="shared" si="2216"/>
        <v>CAMP LEJEUNE</v>
      </c>
      <c r="E5775" t="str">
        <f t="shared" si="2217"/>
        <v>NC</v>
      </c>
      <c r="F5775" t="str">
        <f t="shared" si="2218"/>
        <v>285478478</v>
      </c>
      <c r="G5775" t="str">
        <f t="shared" si="2221"/>
        <v>PO BOX 8478</v>
      </c>
      <c r="H5775" t="str">
        <f t="shared" si="2233"/>
        <v/>
      </c>
      <c r="I5775" t="str">
        <f t="shared" si="2219"/>
        <v>CAMP LEJEUNE</v>
      </c>
      <c r="J5775" t="str">
        <f t="shared" si="2220"/>
        <v>NC</v>
      </c>
      <c r="K5775" t="str">
        <f t="shared" si="2234"/>
        <v/>
      </c>
      <c r="L5775" t="str">
        <f>T("9104512099")</f>
        <v>9104512099</v>
      </c>
    </row>
    <row r="5776" spans="1:12" x14ac:dyDescent="0.35">
      <c r="A5776" t="str">
        <f t="shared" si="2231"/>
        <v>2D MLG CAMP LEJEUNE</v>
      </c>
      <c r="B5776" t="str">
        <f t="shared" si="2214"/>
        <v>PO BOX 8478</v>
      </c>
      <c r="C5776" t="str">
        <f t="shared" si="2232"/>
        <v/>
      </c>
      <c r="D5776" t="str">
        <f t="shared" si="2216"/>
        <v>CAMP LEJEUNE</v>
      </c>
      <c r="E5776" t="str">
        <f t="shared" si="2217"/>
        <v>NC</v>
      </c>
      <c r="F5776" t="str">
        <f t="shared" si="2218"/>
        <v>285478478</v>
      </c>
      <c r="G5776" t="str">
        <f t="shared" si="2221"/>
        <v>PO BOX 8478</v>
      </c>
      <c r="H5776" t="str">
        <f t="shared" si="2233"/>
        <v/>
      </c>
      <c r="I5776" t="str">
        <f t="shared" si="2219"/>
        <v>CAMP LEJEUNE</v>
      </c>
      <c r="J5776" t="str">
        <f t="shared" si="2220"/>
        <v>NC</v>
      </c>
      <c r="K5776" t="str">
        <f t="shared" si="2234"/>
        <v/>
      </c>
      <c r="L5776" t="str">
        <f>T("9104513051")</f>
        <v>9104513051</v>
      </c>
    </row>
    <row r="5777" spans="1:12" x14ac:dyDescent="0.35">
      <c r="A5777" t="str">
        <f t="shared" si="2231"/>
        <v>2D MLG CAMP LEJEUNE</v>
      </c>
      <c r="B5777" t="str">
        <f t="shared" si="2214"/>
        <v>PO BOX 8478</v>
      </c>
      <c r="C5777" t="str">
        <f t="shared" si="2232"/>
        <v/>
      </c>
      <c r="D5777" t="str">
        <f t="shared" si="2216"/>
        <v>CAMP LEJEUNE</v>
      </c>
      <c r="E5777" t="str">
        <f t="shared" si="2217"/>
        <v>NC</v>
      </c>
      <c r="F5777" t="str">
        <f t="shared" si="2218"/>
        <v>285478478</v>
      </c>
      <c r="G5777" t="str">
        <f t="shared" si="2221"/>
        <v>PO BOX 8478</v>
      </c>
      <c r="H5777" t="str">
        <f t="shared" si="2233"/>
        <v/>
      </c>
      <c r="I5777" t="str">
        <f t="shared" si="2219"/>
        <v>CAMP LEJEUNE</v>
      </c>
      <c r="J5777" t="str">
        <f t="shared" si="2220"/>
        <v>NC</v>
      </c>
      <c r="K5777" t="str">
        <f t="shared" si="2234"/>
        <v/>
      </c>
      <c r="L5777" t="str">
        <f>T("9104513157")</f>
        <v>9104513157</v>
      </c>
    </row>
    <row r="5778" spans="1:12" x14ac:dyDescent="0.35">
      <c r="A5778" t="str">
        <f t="shared" si="2231"/>
        <v>2D MLG CAMP LEJEUNE</v>
      </c>
      <c r="B5778" t="str">
        <f t="shared" si="2214"/>
        <v>PO BOX 8478</v>
      </c>
      <c r="C5778" t="str">
        <f t="shared" si="2232"/>
        <v/>
      </c>
      <c r="D5778" t="str">
        <f t="shared" si="2216"/>
        <v>CAMP LEJEUNE</v>
      </c>
      <c r="E5778" t="str">
        <f t="shared" si="2217"/>
        <v>NC</v>
      </c>
      <c r="F5778" t="str">
        <f t="shared" si="2218"/>
        <v>285478478</v>
      </c>
      <c r="G5778" t="str">
        <f t="shared" si="2221"/>
        <v>PO BOX 8478</v>
      </c>
      <c r="H5778" t="str">
        <f t="shared" si="2233"/>
        <v/>
      </c>
      <c r="I5778" t="str">
        <f t="shared" si="2219"/>
        <v>CAMP LEJEUNE</v>
      </c>
      <c r="J5778" t="str">
        <f t="shared" si="2220"/>
        <v>NC</v>
      </c>
      <c r="K5778" t="str">
        <f t="shared" si="2234"/>
        <v/>
      </c>
      <c r="L5778" t="str">
        <f>T("9104514242")</f>
        <v>9104514242</v>
      </c>
    </row>
    <row r="5779" spans="1:12" x14ac:dyDescent="0.35">
      <c r="A5779" t="str">
        <f t="shared" si="2231"/>
        <v>2D MLG CAMP LEJEUNE</v>
      </c>
      <c r="B5779" t="str">
        <f t="shared" si="2214"/>
        <v>PO BOX 8478</v>
      </c>
      <c r="C5779" t="str">
        <f t="shared" si="2232"/>
        <v/>
      </c>
      <c r="D5779" t="str">
        <f t="shared" si="2216"/>
        <v>CAMP LEJEUNE</v>
      </c>
      <c r="E5779" t="str">
        <f t="shared" si="2217"/>
        <v>NC</v>
      </c>
      <c r="F5779" t="str">
        <f t="shared" si="2218"/>
        <v>285478478</v>
      </c>
      <c r="G5779" t="str">
        <f t="shared" si="2221"/>
        <v>PO BOX 8478</v>
      </c>
      <c r="H5779" t="str">
        <f t="shared" si="2233"/>
        <v/>
      </c>
      <c r="I5779" t="str">
        <f t="shared" si="2219"/>
        <v>CAMP LEJEUNE</v>
      </c>
      <c r="J5779" t="str">
        <f t="shared" si="2220"/>
        <v>NC</v>
      </c>
      <c r="K5779" t="str">
        <f t="shared" si="2234"/>
        <v/>
      </c>
      <c r="L5779" t="str">
        <f>T("9104514585")</f>
        <v>9104514585</v>
      </c>
    </row>
    <row r="5780" spans="1:12" x14ac:dyDescent="0.35">
      <c r="A5780" t="str">
        <f t="shared" si="2231"/>
        <v>2D MLG CAMP LEJEUNE</v>
      </c>
      <c r="B5780" t="str">
        <f t="shared" ref="B5780:B5843" si="2235">T("PO BOX 8478")</f>
        <v>PO BOX 8478</v>
      </c>
      <c r="C5780" t="str">
        <f t="shared" si="2232"/>
        <v/>
      </c>
      <c r="D5780" t="str">
        <f t="shared" ref="D5780:D5843" si="2236">T("CAMP LEJEUNE")</f>
        <v>CAMP LEJEUNE</v>
      </c>
      <c r="E5780" t="str">
        <f t="shared" ref="E5780:E5843" si="2237">T("NC")</f>
        <v>NC</v>
      </c>
      <c r="F5780" t="str">
        <f t="shared" ref="F5780:F5843" si="2238">T("285478478")</f>
        <v>285478478</v>
      </c>
      <c r="G5780" t="str">
        <f t="shared" si="2221"/>
        <v>PO BOX 8478</v>
      </c>
      <c r="H5780" t="str">
        <f t="shared" si="2233"/>
        <v/>
      </c>
      <c r="I5780" t="str">
        <f t="shared" ref="I5780:I5843" si="2239">T("CAMP LEJEUNE")</f>
        <v>CAMP LEJEUNE</v>
      </c>
      <c r="J5780" t="str">
        <f t="shared" ref="J5780:J5843" si="2240">T("NC")</f>
        <v>NC</v>
      </c>
      <c r="K5780" t="str">
        <f t="shared" si="2234"/>
        <v/>
      </c>
      <c r="L5780" t="str">
        <f>T("9104515284")</f>
        <v>9104515284</v>
      </c>
    </row>
    <row r="5781" spans="1:12" x14ac:dyDescent="0.35">
      <c r="A5781" t="str">
        <f t="shared" si="2231"/>
        <v>2D MLG CAMP LEJEUNE</v>
      </c>
      <c r="B5781" t="str">
        <f t="shared" si="2235"/>
        <v>PO BOX 8478</v>
      </c>
      <c r="C5781" t="str">
        <f t="shared" si="2232"/>
        <v/>
      </c>
      <c r="D5781" t="str">
        <f t="shared" si="2236"/>
        <v>CAMP LEJEUNE</v>
      </c>
      <c r="E5781" t="str">
        <f t="shared" si="2237"/>
        <v>NC</v>
      </c>
      <c r="F5781" t="str">
        <f t="shared" si="2238"/>
        <v>285478478</v>
      </c>
      <c r="G5781" t="str">
        <f t="shared" ref="G5781:G5844" si="2241">T("PO BOX 8478")</f>
        <v>PO BOX 8478</v>
      </c>
      <c r="H5781" t="str">
        <f t="shared" si="2233"/>
        <v/>
      </c>
      <c r="I5781" t="str">
        <f t="shared" si="2239"/>
        <v>CAMP LEJEUNE</v>
      </c>
      <c r="J5781" t="str">
        <f t="shared" si="2240"/>
        <v>NC</v>
      </c>
      <c r="K5781" t="str">
        <f t="shared" si="2234"/>
        <v/>
      </c>
      <c r="L5781" t="str">
        <f>T("9104515756")</f>
        <v>9104515756</v>
      </c>
    </row>
    <row r="5782" spans="1:12" x14ac:dyDescent="0.35">
      <c r="A5782" t="str">
        <f t="shared" si="2231"/>
        <v>2D MLG CAMP LEJEUNE</v>
      </c>
      <c r="B5782" t="str">
        <f t="shared" si="2235"/>
        <v>PO BOX 8478</v>
      </c>
      <c r="C5782" t="str">
        <f t="shared" si="2232"/>
        <v/>
      </c>
      <c r="D5782" t="str">
        <f t="shared" si="2236"/>
        <v>CAMP LEJEUNE</v>
      </c>
      <c r="E5782" t="str">
        <f t="shared" si="2237"/>
        <v>NC</v>
      </c>
      <c r="F5782" t="str">
        <f t="shared" si="2238"/>
        <v>285478478</v>
      </c>
      <c r="G5782" t="str">
        <f t="shared" si="2241"/>
        <v>PO BOX 8478</v>
      </c>
      <c r="H5782" t="str">
        <f t="shared" si="2233"/>
        <v/>
      </c>
      <c r="I5782" t="str">
        <f t="shared" si="2239"/>
        <v>CAMP LEJEUNE</v>
      </c>
      <c r="J5782" t="str">
        <f t="shared" si="2240"/>
        <v>NC</v>
      </c>
      <c r="K5782" t="str">
        <f t="shared" si="2234"/>
        <v/>
      </c>
      <c r="L5782" t="str">
        <f>T("9104516100")</f>
        <v>9104516100</v>
      </c>
    </row>
    <row r="5783" spans="1:12" x14ac:dyDescent="0.35">
      <c r="A5783" t="str">
        <f t="shared" si="2231"/>
        <v>2D MLG CAMP LEJEUNE</v>
      </c>
      <c r="B5783" t="str">
        <f t="shared" si="2235"/>
        <v>PO BOX 8478</v>
      </c>
      <c r="C5783" t="str">
        <f t="shared" si="2232"/>
        <v/>
      </c>
      <c r="D5783" t="str">
        <f t="shared" si="2236"/>
        <v>CAMP LEJEUNE</v>
      </c>
      <c r="E5783" t="str">
        <f t="shared" si="2237"/>
        <v>NC</v>
      </c>
      <c r="F5783" t="str">
        <f t="shared" si="2238"/>
        <v>285478478</v>
      </c>
      <c r="G5783" t="str">
        <f t="shared" si="2241"/>
        <v>PO BOX 8478</v>
      </c>
      <c r="H5783" t="str">
        <f t="shared" si="2233"/>
        <v/>
      </c>
      <c r="I5783" t="str">
        <f t="shared" si="2239"/>
        <v>CAMP LEJEUNE</v>
      </c>
      <c r="J5783" t="str">
        <f t="shared" si="2240"/>
        <v>NC</v>
      </c>
      <c r="K5783" t="str">
        <f t="shared" si="2234"/>
        <v/>
      </c>
      <c r="L5783" t="str">
        <f>T("9104516440")</f>
        <v>9104516440</v>
      </c>
    </row>
    <row r="5784" spans="1:12" x14ac:dyDescent="0.35">
      <c r="A5784" t="str">
        <f t="shared" si="2231"/>
        <v>2D MLG CAMP LEJEUNE</v>
      </c>
      <c r="B5784" t="str">
        <f t="shared" si="2235"/>
        <v>PO BOX 8478</v>
      </c>
      <c r="C5784" t="str">
        <f t="shared" si="2232"/>
        <v/>
      </c>
      <c r="D5784" t="str">
        <f t="shared" si="2236"/>
        <v>CAMP LEJEUNE</v>
      </c>
      <c r="E5784" t="str">
        <f t="shared" si="2237"/>
        <v>NC</v>
      </c>
      <c r="F5784" t="str">
        <f t="shared" si="2238"/>
        <v>285478478</v>
      </c>
      <c r="G5784" t="str">
        <f t="shared" si="2241"/>
        <v>PO BOX 8478</v>
      </c>
      <c r="H5784" t="str">
        <f t="shared" si="2233"/>
        <v/>
      </c>
      <c r="I5784" t="str">
        <f t="shared" si="2239"/>
        <v>CAMP LEJEUNE</v>
      </c>
      <c r="J5784" t="str">
        <f t="shared" si="2240"/>
        <v>NC</v>
      </c>
      <c r="K5784" t="str">
        <f t="shared" si="2234"/>
        <v/>
      </c>
      <c r="L5784" t="str">
        <f>T("9104517439")</f>
        <v>9104517439</v>
      </c>
    </row>
    <row r="5785" spans="1:12" x14ac:dyDescent="0.35">
      <c r="A5785" t="str">
        <f t="shared" si="2231"/>
        <v>2D MLG CAMP LEJEUNE</v>
      </c>
      <c r="B5785" t="str">
        <f t="shared" si="2235"/>
        <v>PO BOX 8478</v>
      </c>
      <c r="C5785" t="str">
        <f t="shared" si="2232"/>
        <v/>
      </c>
      <c r="D5785" t="str">
        <f t="shared" si="2236"/>
        <v>CAMP LEJEUNE</v>
      </c>
      <c r="E5785" t="str">
        <f t="shared" si="2237"/>
        <v>NC</v>
      </c>
      <c r="F5785" t="str">
        <f t="shared" si="2238"/>
        <v>285478478</v>
      </c>
      <c r="G5785" t="str">
        <f t="shared" si="2241"/>
        <v>PO BOX 8478</v>
      </c>
      <c r="H5785" t="str">
        <f t="shared" si="2233"/>
        <v/>
      </c>
      <c r="I5785" t="str">
        <f t="shared" si="2239"/>
        <v>CAMP LEJEUNE</v>
      </c>
      <c r="J5785" t="str">
        <f t="shared" si="2240"/>
        <v>NC</v>
      </c>
      <c r="K5785" t="str">
        <f t="shared" ref="K5785:K5815" si="2242">T("000000000000000000")</f>
        <v>000000000000000000</v>
      </c>
      <c r="L5785" t="str">
        <f>T("2524662666")</f>
        <v>2524662666</v>
      </c>
    </row>
    <row r="5786" spans="1:12" x14ac:dyDescent="0.35">
      <c r="A5786" t="str">
        <f t="shared" si="2231"/>
        <v>2D MLG CAMP LEJEUNE</v>
      </c>
      <c r="B5786" t="str">
        <f t="shared" si="2235"/>
        <v>PO BOX 8478</v>
      </c>
      <c r="C5786" t="str">
        <f t="shared" si="2232"/>
        <v/>
      </c>
      <c r="D5786" t="str">
        <f t="shared" si="2236"/>
        <v>CAMP LEJEUNE</v>
      </c>
      <c r="E5786" t="str">
        <f t="shared" si="2237"/>
        <v>NC</v>
      </c>
      <c r="F5786" t="str">
        <f t="shared" si="2238"/>
        <v>285478478</v>
      </c>
      <c r="G5786" t="str">
        <f t="shared" si="2241"/>
        <v>PO BOX 8478</v>
      </c>
      <c r="H5786" t="str">
        <f t="shared" si="2233"/>
        <v/>
      </c>
      <c r="I5786" t="str">
        <f t="shared" si="2239"/>
        <v>CAMP LEJEUNE</v>
      </c>
      <c r="J5786" t="str">
        <f t="shared" si="2240"/>
        <v>NC</v>
      </c>
      <c r="K5786" t="str">
        <f t="shared" si="2242"/>
        <v>000000000000000000</v>
      </c>
      <c r="L5786" t="str">
        <f>T("8432288521")</f>
        <v>8432288521</v>
      </c>
    </row>
    <row r="5787" spans="1:12" x14ac:dyDescent="0.35">
      <c r="A5787" t="str">
        <f t="shared" si="2231"/>
        <v>2D MLG CAMP LEJEUNE</v>
      </c>
      <c r="B5787" t="str">
        <f t="shared" si="2235"/>
        <v>PO BOX 8478</v>
      </c>
      <c r="C5787" t="str">
        <f t="shared" si="2232"/>
        <v/>
      </c>
      <c r="D5787" t="str">
        <f t="shared" si="2236"/>
        <v>CAMP LEJEUNE</v>
      </c>
      <c r="E5787" t="str">
        <f t="shared" si="2237"/>
        <v>NC</v>
      </c>
      <c r="F5787" t="str">
        <f t="shared" si="2238"/>
        <v>285478478</v>
      </c>
      <c r="G5787" t="str">
        <f t="shared" si="2241"/>
        <v>PO BOX 8478</v>
      </c>
      <c r="H5787" t="str">
        <f t="shared" si="2233"/>
        <v/>
      </c>
      <c r="I5787" t="str">
        <f t="shared" si="2239"/>
        <v>CAMP LEJEUNE</v>
      </c>
      <c r="J5787" t="str">
        <f t="shared" si="2240"/>
        <v>NC</v>
      </c>
      <c r="K5787" t="str">
        <f t="shared" si="2242"/>
        <v>000000000000000000</v>
      </c>
      <c r="L5787" t="str">
        <f>T("8432288528")</f>
        <v>8432288528</v>
      </c>
    </row>
    <row r="5788" spans="1:12" x14ac:dyDescent="0.35">
      <c r="A5788" t="str">
        <f t="shared" si="2231"/>
        <v>2D MLG CAMP LEJEUNE</v>
      </c>
      <c r="B5788" t="str">
        <f t="shared" si="2235"/>
        <v>PO BOX 8478</v>
      </c>
      <c r="C5788" t="str">
        <f t="shared" si="2232"/>
        <v/>
      </c>
      <c r="D5788" t="str">
        <f t="shared" si="2236"/>
        <v>CAMP LEJEUNE</v>
      </c>
      <c r="E5788" t="str">
        <f t="shared" si="2237"/>
        <v>NC</v>
      </c>
      <c r="F5788" t="str">
        <f t="shared" si="2238"/>
        <v>285478478</v>
      </c>
      <c r="G5788" t="str">
        <f t="shared" si="2241"/>
        <v>PO BOX 8478</v>
      </c>
      <c r="H5788" t="str">
        <f t="shared" si="2233"/>
        <v/>
      </c>
      <c r="I5788" t="str">
        <f t="shared" si="2239"/>
        <v>CAMP LEJEUNE</v>
      </c>
      <c r="J5788" t="str">
        <f t="shared" si="2240"/>
        <v>NC</v>
      </c>
      <c r="K5788" t="str">
        <f t="shared" si="2242"/>
        <v>000000000000000000</v>
      </c>
      <c r="L5788" t="str">
        <f>T("9104499557")</f>
        <v>9104499557</v>
      </c>
    </row>
    <row r="5789" spans="1:12" x14ac:dyDescent="0.35">
      <c r="A5789" t="str">
        <f t="shared" si="2231"/>
        <v>2D MLG CAMP LEJEUNE</v>
      </c>
      <c r="B5789" t="str">
        <f t="shared" si="2235"/>
        <v>PO BOX 8478</v>
      </c>
      <c r="C5789" t="str">
        <f t="shared" si="2232"/>
        <v/>
      </c>
      <c r="D5789" t="str">
        <f t="shared" si="2236"/>
        <v>CAMP LEJEUNE</v>
      </c>
      <c r="E5789" t="str">
        <f t="shared" si="2237"/>
        <v>NC</v>
      </c>
      <c r="F5789" t="str">
        <f t="shared" si="2238"/>
        <v>285478478</v>
      </c>
      <c r="G5789" t="str">
        <f t="shared" si="2241"/>
        <v>PO BOX 8478</v>
      </c>
      <c r="H5789" t="str">
        <f t="shared" si="2233"/>
        <v/>
      </c>
      <c r="I5789" t="str">
        <f t="shared" si="2239"/>
        <v>CAMP LEJEUNE</v>
      </c>
      <c r="J5789" t="str">
        <f t="shared" si="2240"/>
        <v>NC</v>
      </c>
      <c r="K5789" t="str">
        <f t="shared" si="2242"/>
        <v>000000000000000000</v>
      </c>
      <c r="L5789" t="str">
        <f>T("9104499591")</f>
        <v>9104499591</v>
      </c>
    </row>
    <row r="5790" spans="1:12" x14ac:dyDescent="0.35">
      <c r="A5790" t="str">
        <f t="shared" si="2231"/>
        <v>2D MLG CAMP LEJEUNE</v>
      </c>
      <c r="B5790" t="str">
        <f t="shared" si="2235"/>
        <v>PO BOX 8478</v>
      </c>
      <c r="C5790" t="str">
        <f t="shared" si="2232"/>
        <v/>
      </c>
      <c r="D5790" t="str">
        <f t="shared" si="2236"/>
        <v>CAMP LEJEUNE</v>
      </c>
      <c r="E5790" t="str">
        <f t="shared" si="2237"/>
        <v>NC</v>
      </c>
      <c r="F5790" t="str">
        <f t="shared" si="2238"/>
        <v>285478478</v>
      </c>
      <c r="G5790" t="str">
        <f t="shared" si="2241"/>
        <v>PO BOX 8478</v>
      </c>
      <c r="H5790" t="str">
        <f t="shared" si="2233"/>
        <v/>
      </c>
      <c r="I5790" t="str">
        <f t="shared" si="2239"/>
        <v>CAMP LEJEUNE</v>
      </c>
      <c r="J5790" t="str">
        <f t="shared" si="2240"/>
        <v>NC</v>
      </c>
      <c r="K5790" t="str">
        <f t="shared" si="2242"/>
        <v>000000000000000000</v>
      </c>
      <c r="L5790" t="str">
        <f>T("9104499775")</f>
        <v>9104499775</v>
      </c>
    </row>
    <row r="5791" spans="1:12" x14ac:dyDescent="0.35">
      <c r="A5791" t="str">
        <f t="shared" si="2231"/>
        <v>2D MLG CAMP LEJEUNE</v>
      </c>
      <c r="B5791" t="str">
        <f t="shared" si="2235"/>
        <v>PO BOX 8478</v>
      </c>
      <c r="C5791" t="str">
        <f t="shared" si="2232"/>
        <v/>
      </c>
      <c r="D5791" t="str">
        <f t="shared" si="2236"/>
        <v>CAMP LEJEUNE</v>
      </c>
      <c r="E5791" t="str">
        <f t="shared" si="2237"/>
        <v>NC</v>
      </c>
      <c r="F5791" t="str">
        <f t="shared" si="2238"/>
        <v>285478478</v>
      </c>
      <c r="G5791" t="str">
        <f t="shared" si="2241"/>
        <v>PO BOX 8478</v>
      </c>
      <c r="H5791" t="str">
        <f t="shared" si="2233"/>
        <v/>
      </c>
      <c r="I5791" t="str">
        <f t="shared" si="2239"/>
        <v>CAMP LEJEUNE</v>
      </c>
      <c r="J5791" t="str">
        <f t="shared" si="2240"/>
        <v>NC</v>
      </c>
      <c r="K5791" t="str">
        <f t="shared" si="2242"/>
        <v>000000000000000000</v>
      </c>
      <c r="L5791" t="str">
        <f>T("9104505770")</f>
        <v>9104505770</v>
      </c>
    </row>
    <row r="5792" spans="1:12" x14ac:dyDescent="0.35">
      <c r="A5792" t="str">
        <f t="shared" si="2231"/>
        <v>2D MLG CAMP LEJEUNE</v>
      </c>
      <c r="B5792" t="str">
        <f t="shared" si="2235"/>
        <v>PO BOX 8478</v>
      </c>
      <c r="C5792" t="str">
        <f t="shared" si="2232"/>
        <v/>
      </c>
      <c r="D5792" t="str">
        <f t="shared" si="2236"/>
        <v>CAMP LEJEUNE</v>
      </c>
      <c r="E5792" t="str">
        <f t="shared" si="2237"/>
        <v>NC</v>
      </c>
      <c r="F5792" t="str">
        <f t="shared" si="2238"/>
        <v>285478478</v>
      </c>
      <c r="G5792" t="str">
        <f t="shared" si="2241"/>
        <v>PO BOX 8478</v>
      </c>
      <c r="H5792" t="str">
        <f t="shared" si="2233"/>
        <v/>
      </c>
      <c r="I5792" t="str">
        <f t="shared" si="2239"/>
        <v>CAMP LEJEUNE</v>
      </c>
      <c r="J5792" t="str">
        <f t="shared" si="2240"/>
        <v>NC</v>
      </c>
      <c r="K5792" t="str">
        <f t="shared" si="2242"/>
        <v>000000000000000000</v>
      </c>
      <c r="L5792" t="str">
        <f>T("9104508900")</f>
        <v>9104508900</v>
      </c>
    </row>
    <row r="5793" spans="1:12" x14ac:dyDescent="0.35">
      <c r="A5793" t="str">
        <f t="shared" si="2231"/>
        <v>2D MLG CAMP LEJEUNE</v>
      </c>
      <c r="B5793" t="str">
        <f t="shared" si="2235"/>
        <v>PO BOX 8478</v>
      </c>
      <c r="C5793" t="str">
        <f t="shared" si="2232"/>
        <v/>
      </c>
      <c r="D5793" t="str">
        <f t="shared" si="2236"/>
        <v>CAMP LEJEUNE</v>
      </c>
      <c r="E5793" t="str">
        <f t="shared" si="2237"/>
        <v>NC</v>
      </c>
      <c r="F5793" t="str">
        <f t="shared" si="2238"/>
        <v>285478478</v>
      </c>
      <c r="G5793" t="str">
        <f t="shared" si="2241"/>
        <v>PO BOX 8478</v>
      </c>
      <c r="H5793" t="str">
        <f t="shared" si="2233"/>
        <v/>
      </c>
      <c r="I5793" t="str">
        <f t="shared" si="2239"/>
        <v>CAMP LEJEUNE</v>
      </c>
      <c r="J5793" t="str">
        <f t="shared" si="2240"/>
        <v>NC</v>
      </c>
      <c r="K5793" t="str">
        <f t="shared" si="2242"/>
        <v>000000000000000000</v>
      </c>
      <c r="L5793" t="str">
        <f>T("9104509218")</f>
        <v>9104509218</v>
      </c>
    </row>
    <row r="5794" spans="1:12" x14ac:dyDescent="0.35">
      <c r="A5794" t="str">
        <f t="shared" si="2231"/>
        <v>2D MLG CAMP LEJEUNE</v>
      </c>
      <c r="B5794" t="str">
        <f t="shared" si="2235"/>
        <v>PO BOX 8478</v>
      </c>
      <c r="C5794" t="str">
        <f t="shared" si="2232"/>
        <v/>
      </c>
      <c r="D5794" t="str">
        <f t="shared" si="2236"/>
        <v>CAMP LEJEUNE</v>
      </c>
      <c r="E5794" t="str">
        <f t="shared" si="2237"/>
        <v>NC</v>
      </c>
      <c r="F5794" t="str">
        <f t="shared" si="2238"/>
        <v>285478478</v>
      </c>
      <c r="G5794" t="str">
        <f t="shared" si="2241"/>
        <v>PO BOX 8478</v>
      </c>
      <c r="H5794" t="str">
        <f t="shared" si="2233"/>
        <v/>
      </c>
      <c r="I5794" t="str">
        <f t="shared" si="2239"/>
        <v>CAMP LEJEUNE</v>
      </c>
      <c r="J5794" t="str">
        <f t="shared" si="2240"/>
        <v>NC</v>
      </c>
      <c r="K5794" t="str">
        <f t="shared" si="2242"/>
        <v>000000000000000000</v>
      </c>
      <c r="L5794" t="str">
        <f>T("9104509220")</f>
        <v>9104509220</v>
      </c>
    </row>
    <row r="5795" spans="1:12" x14ac:dyDescent="0.35">
      <c r="A5795" t="str">
        <f t="shared" si="2231"/>
        <v>2D MLG CAMP LEJEUNE</v>
      </c>
      <c r="B5795" t="str">
        <f t="shared" si="2235"/>
        <v>PO BOX 8478</v>
      </c>
      <c r="C5795" t="str">
        <f t="shared" si="2232"/>
        <v/>
      </c>
      <c r="D5795" t="str">
        <f t="shared" si="2236"/>
        <v>CAMP LEJEUNE</v>
      </c>
      <c r="E5795" t="str">
        <f t="shared" si="2237"/>
        <v>NC</v>
      </c>
      <c r="F5795" t="str">
        <f t="shared" si="2238"/>
        <v>285478478</v>
      </c>
      <c r="G5795" t="str">
        <f t="shared" si="2241"/>
        <v>PO BOX 8478</v>
      </c>
      <c r="H5795" t="str">
        <f t="shared" si="2233"/>
        <v/>
      </c>
      <c r="I5795" t="str">
        <f t="shared" si="2239"/>
        <v>CAMP LEJEUNE</v>
      </c>
      <c r="J5795" t="str">
        <f t="shared" si="2240"/>
        <v>NC</v>
      </c>
      <c r="K5795" t="str">
        <f t="shared" si="2242"/>
        <v>000000000000000000</v>
      </c>
      <c r="L5795" t="str">
        <f>T("9104510135")</f>
        <v>9104510135</v>
      </c>
    </row>
    <row r="5796" spans="1:12" x14ac:dyDescent="0.35">
      <c r="A5796" t="str">
        <f t="shared" si="2231"/>
        <v>2D MLG CAMP LEJEUNE</v>
      </c>
      <c r="B5796" t="str">
        <f t="shared" si="2235"/>
        <v>PO BOX 8478</v>
      </c>
      <c r="C5796" t="str">
        <f t="shared" si="2232"/>
        <v/>
      </c>
      <c r="D5796" t="str">
        <f t="shared" si="2236"/>
        <v>CAMP LEJEUNE</v>
      </c>
      <c r="E5796" t="str">
        <f t="shared" si="2237"/>
        <v>NC</v>
      </c>
      <c r="F5796" t="str">
        <f t="shared" si="2238"/>
        <v>285478478</v>
      </c>
      <c r="G5796" t="str">
        <f t="shared" si="2241"/>
        <v>PO BOX 8478</v>
      </c>
      <c r="H5796" t="str">
        <f t="shared" si="2233"/>
        <v/>
      </c>
      <c r="I5796" t="str">
        <f t="shared" si="2239"/>
        <v>CAMP LEJEUNE</v>
      </c>
      <c r="J5796" t="str">
        <f t="shared" si="2240"/>
        <v>NC</v>
      </c>
      <c r="K5796" t="str">
        <f t="shared" si="2242"/>
        <v>000000000000000000</v>
      </c>
      <c r="L5796" t="str">
        <f>T("9104510636")</f>
        <v>9104510636</v>
      </c>
    </row>
    <row r="5797" spans="1:12" x14ac:dyDescent="0.35">
      <c r="A5797" t="str">
        <f t="shared" si="2231"/>
        <v>2D MLG CAMP LEJEUNE</v>
      </c>
      <c r="B5797" t="str">
        <f t="shared" si="2235"/>
        <v>PO BOX 8478</v>
      </c>
      <c r="C5797" t="str">
        <f t="shared" si="2232"/>
        <v/>
      </c>
      <c r="D5797" t="str">
        <f t="shared" si="2236"/>
        <v>CAMP LEJEUNE</v>
      </c>
      <c r="E5797" t="str">
        <f t="shared" si="2237"/>
        <v>NC</v>
      </c>
      <c r="F5797" t="str">
        <f t="shared" si="2238"/>
        <v>285478478</v>
      </c>
      <c r="G5797" t="str">
        <f t="shared" si="2241"/>
        <v>PO BOX 8478</v>
      </c>
      <c r="H5797" t="str">
        <f t="shared" si="2233"/>
        <v/>
      </c>
      <c r="I5797" t="str">
        <f t="shared" si="2239"/>
        <v>CAMP LEJEUNE</v>
      </c>
      <c r="J5797" t="str">
        <f t="shared" si="2240"/>
        <v>NC</v>
      </c>
      <c r="K5797" t="str">
        <f t="shared" si="2242"/>
        <v>000000000000000000</v>
      </c>
      <c r="L5797" t="str">
        <f>T("9104511085")</f>
        <v>9104511085</v>
      </c>
    </row>
    <row r="5798" spans="1:12" x14ac:dyDescent="0.35">
      <c r="A5798" t="str">
        <f t="shared" si="2231"/>
        <v>2D MLG CAMP LEJEUNE</v>
      </c>
      <c r="B5798" t="str">
        <f t="shared" si="2235"/>
        <v>PO BOX 8478</v>
      </c>
      <c r="C5798" t="str">
        <f t="shared" si="2232"/>
        <v/>
      </c>
      <c r="D5798" t="str">
        <f t="shared" si="2236"/>
        <v>CAMP LEJEUNE</v>
      </c>
      <c r="E5798" t="str">
        <f t="shared" si="2237"/>
        <v>NC</v>
      </c>
      <c r="F5798" t="str">
        <f t="shared" si="2238"/>
        <v>285478478</v>
      </c>
      <c r="G5798" t="str">
        <f t="shared" si="2241"/>
        <v>PO BOX 8478</v>
      </c>
      <c r="H5798" t="str">
        <f t="shared" si="2233"/>
        <v/>
      </c>
      <c r="I5798" t="str">
        <f t="shared" si="2239"/>
        <v>CAMP LEJEUNE</v>
      </c>
      <c r="J5798" t="str">
        <f t="shared" si="2240"/>
        <v>NC</v>
      </c>
      <c r="K5798" t="str">
        <f t="shared" si="2242"/>
        <v>000000000000000000</v>
      </c>
      <c r="L5798" t="str">
        <f>T("9104511583")</f>
        <v>9104511583</v>
      </c>
    </row>
    <row r="5799" spans="1:12" x14ac:dyDescent="0.35">
      <c r="A5799" t="str">
        <f t="shared" si="2231"/>
        <v>2D MLG CAMP LEJEUNE</v>
      </c>
      <c r="B5799" t="str">
        <f t="shared" si="2235"/>
        <v>PO BOX 8478</v>
      </c>
      <c r="C5799" t="str">
        <f t="shared" si="2232"/>
        <v/>
      </c>
      <c r="D5799" t="str">
        <f t="shared" si="2236"/>
        <v>CAMP LEJEUNE</v>
      </c>
      <c r="E5799" t="str">
        <f t="shared" si="2237"/>
        <v>NC</v>
      </c>
      <c r="F5799" t="str">
        <f t="shared" si="2238"/>
        <v>285478478</v>
      </c>
      <c r="G5799" t="str">
        <f t="shared" si="2241"/>
        <v>PO BOX 8478</v>
      </c>
      <c r="H5799" t="str">
        <f t="shared" si="2233"/>
        <v/>
      </c>
      <c r="I5799" t="str">
        <f t="shared" si="2239"/>
        <v>CAMP LEJEUNE</v>
      </c>
      <c r="J5799" t="str">
        <f t="shared" si="2240"/>
        <v>NC</v>
      </c>
      <c r="K5799" t="str">
        <f t="shared" si="2242"/>
        <v>000000000000000000</v>
      </c>
      <c r="L5799" t="str">
        <f>T("9104512041")</f>
        <v>9104512041</v>
      </c>
    </row>
    <row r="5800" spans="1:12" x14ac:dyDescent="0.35">
      <c r="A5800" t="str">
        <f t="shared" si="2231"/>
        <v>2D MLG CAMP LEJEUNE</v>
      </c>
      <c r="B5800" t="str">
        <f t="shared" si="2235"/>
        <v>PO BOX 8478</v>
      </c>
      <c r="C5800" t="str">
        <f t="shared" ref="C5800:C5831" si="2243">T("")</f>
        <v/>
      </c>
      <c r="D5800" t="str">
        <f t="shared" si="2236"/>
        <v>CAMP LEJEUNE</v>
      </c>
      <c r="E5800" t="str">
        <f t="shared" si="2237"/>
        <v>NC</v>
      </c>
      <c r="F5800" t="str">
        <f t="shared" si="2238"/>
        <v>285478478</v>
      </c>
      <c r="G5800" t="str">
        <f t="shared" si="2241"/>
        <v>PO BOX 8478</v>
      </c>
      <c r="H5800" t="str">
        <f t="shared" ref="H5800:H5831" si="2244">T("")</f>
        <v/>
      </c>
      <c r="I5800" t="str">
        <f t="shared" si="2239"/>
        <v>CAMP LEJEUNE</v>
      </c>
      <c r="J5800" t="str">
        <f t="shared" si="2240"/>
        <v>NC</v>
      </c>
      <c r="K5800" t="str">
        <f t="shared" si="2242"/>
        <v>000000000000000000</v>
      </c>
      <c r="L5800" t="str">
        <f>T("9104512109")</f>
        <v>9104512109</v>
      </c>
    </row>
    <row r="5801" spans="1:12" x14ac:dyDescent="0.35">
      <c r="A5801" t="str">
        <f t="shared" si="2231"/>
        <v>2D MLG CAMP LEJEUNE</v>
      </c>
      <c r="B5801" t="str">
        <f t="shared" si="2235"/>
        <v>PO BOX 8478</v>
      </c>
      <c r="C5801" t="str">
        <f t="shared" si="2243"/>
        <v/>
      </c>
      <c r="D5801" t="str">
        <f t="shared" si="2236"/>
        <v>CAMP LEJEUNE</v>
      </c>
      <c r="E5801" t="str">
        <f t="shared" si="2237"/>
        <v>NC</v>
      </c>
      <c r="F5801" t="str">
        <f t="shared" si="2238"/>
        <v>285478478</v>
      </c>
      <c r="G5801" t="str">
        <f t="shared" si="2241"/>
        <v>PO BOX 8478</v>
      </c>
      <c r="H5801" t="str">
        <f t="shared" si="2244"/>
        <v/>
      </c>
      <c r="I5801" t="str">
        <f t="shared" si="2239"/>
        <v>CAMP LEJEUNE</v>
      </c>
      <c r="J5801" t="str">
        <f t="shared" si="2240"/>
        <v>NC</v>
      </c>
      <c r="K5801" t="str">
        <f t="shared" si="2242"/>
        <v>000000000000000000</v>
      </c>
      <c r="L5801" t="str">
        <f>T("9104512141")</f>
        <v>9104512141</v>
      </c>
    </row>
    <row r="5802" spans="1:12" x14ac:dyDescent="0.35">
      <c r="A5802" t="str">
        <f t="shared" si="2231"/>
        <v>2D MLG CAMP LEJEUNE</v>
      </c>
      <c r="B5802" t="str">
        <f t="shared" si="2235"/>
        <v>PO BOX 8478</v>
      </c>
      <c r="C5802" t="str">
        <f t="shared" si="2243"/>
        <v/>
      </c>
      <c r="D5802" t="str">
        <f t="shared" si="2236"/>
        <v>CAMP LEJEUNE</v>
      </c>
      <c r="E5802" t="str">
        <f t="shared" si="2237"/>
        <v>NC</v>
      </c>
      <c r="F5802" t="str">
        <f t="shared" si="2238"/>
        <v>285478478</v>
      </c>
      <c r="G5802" t="str">
        <f t="shared" si="2241"/>
        <v>PO BOX 8478</v>
      </c>
      <c r="H5802" t="str">
        <f t="shared" si="2244"/>
        <v/>
      </c>
      <c r="I5802" t="str">
        <f t="shared" si="2239"/>
        <v>CAMP LEJEUNE</v>
      </c>
      <c r="J5802" t="str">
        <f t="shared" si="2240"/>
        <v>NC</v>
      </c>
      <c r="K5802" t="str">
        <f t="shared" si="2242"/>
        <v>000000000000000000</v>
      </c>
      <c r="L5802" t="str">
        <f>T("9104512229")</f>
        <v>9104512229</v>
      </c>
    </row>
    <row r="5803" spans="1:12" x14ac:dyDescent="0.35">
      <c r="A5803" t="str">
        <f t="shared" si="2231"/>
        <v>2D MLG CAMP LEJEUNE</v>
      </c>
      <c r="B5803" t="str">
        <f t="shared" si="2235"/>
        <v>PO BOX 8478</v>
      </c>
      <c r="C5803" t="str">
        <f t="shared" si="2243"/>
        <v/>
      </c>
      <c r="D5803" t="str">
        <f t="shared" si="2236"/>
        <v>CAMP LEJEUNE</v>
      </c>
      <c r="E5803" t="str">
        <f t="shared" si="2237"/>
        <v>NC</v>
      </c>
      <c r="F5803" t="str">
        <f t="shared" si="2238"/>
        <v>285478478</v>
      </c>
      <c r="G5803" t="str">
        <f t="shared" si="2241"/>
        <v>PO BOX 8478</v>
      </c>
      <c r="H5803" t="str">
        <f t="shared" si="2244"/>
        <v/>
      </c>
      <c r="I5803" t="str">
        <f t="shared" si="2239"/>
        <v>CAMP LEJEUNE</v>
      </c>
      <c r="J5803" t="str">
        <f t="shared" si="2240"/>
        <v>NC</v>
      </c>
      <c r="K5803" t="str">
        <f t="shared" si="2242"/>
        <v>000000000000000000</v>
      </c>
      <c r="L5803" t="str">
        <f>T("9104512260")</f>
        <v>9104512260</v>
      </c>
    </row>
    <row r="5804" spans="1:12" x14ac:dyDescent="0.35">
      <c r="A5804" t="str">
        <f t="shared" si="2231"/>
        <v>2D MLG CAMP LEJEUNE</v>
      </c>
      <c r="B5804" t="str">
        <f t="shared" si="2235"/>
        <v>PO BOX 8478</v>
      </c>
      <c r="C5804" t="str">
        <f t="shared" si="2243"/>
        <v/>
      </c>
      <c r="D5804" t="str">
        <f t="shared" si="2236"/>
        <v>CAMP LEJEUNE</v>
      </c>
      <c r="E5804" t="str">
        <f t="shared" si="2237"/>
        <v>NC</v>
      </c>
      <c r="F5804" t="str">
        <f t="shared" si="2238"/>
        <v>285478478</v>
      </c>
      <c r="G5804" t="str">
        <f t="shared" si="2241"/>
        <v>PO BOX 8478</v>
      </c>
      <c r="H5804" t="str">
        <f t="shared" si="2244"/>
        <v/>
      </c>
      <c r="I5804" t="str">
        <f t="shared" si="2239"/>
        <v>CAMP LEJEUNE</v>
      </c>
      <c r="J5804" t="str">
        <f t="shared" si="2240"/>
        <v>NC</v>
      </c>
      <c r="K5804" t="str">
        <f t="shared" si="2242"/>
        <v>000000000000000000</v>
      </c>
      <c r="L5804" t="str">
        <f>T("9104512937")</f>
        <v>9104512937</v>
      </c>
    </row>
    <row r="5805" spans="1:12" x14ac:dyDescent="0.35">
      <c r="A5805" t="str">
        <f t="shared" si="2231"/>
        <v>2D MLG CAMP LEJEUNE</v>
      </c>
      <c r="B5805" t="str">
        <f t="shared" si="2235"/>
        <v>PO BOX 8478</v>
      </c>
      <c r="C5805" t="str">
        <f t="shared" si="2243"/>
        <v/>
      </c>
      <c r="D5805" t="str">
        <f t="shared" si="2236"/>
        <v>CAMP LEJEUNE</v>
      </c>
      <c r="E5805" t="str">
        <f t="shared" si="2237"/>
        <v>NC</v>
      </c>
      <c r="F5805" t="str">
        <f t="shared" si="2238"/>
        <v>285478478</v>
      </c>
      <c r="G5805" t="str">
        <f t="shared" si="2241"/>
        <v>PO BOX 8478</v>
      </c>
      <c r="H5805" t="str">
        <f t="shared" si="2244"/>
        <v/>
      </c>
      <c r="I5805" t="str">
        <f t="shared" si="2239"/>
        <v>CAMP LEJEUNE</v>
      </c>
      <c r="J5805" t="str">
        <f t="shared" si="2240"/>
        <v>NC</v>
      </c>
      <c r="K5805" t="str">
        <f t="shared" si="2242"/>
        <v>000000000000000000</v>
      </c>
      <c r="L5805" t="str">
        <f>T("9104512973")</f>
        <v>9104512973</v>
      </c>
    </row>
    <row r="5806" spans="1:12" x14ac:dyDescent="0.35">
      <c r="A5806" t="str">
        <f t="shared" si="2231"/>
        <v>2D MLG CAMP LEJEUNE</v>
      </c>
      <c r="B5806" t="str">
        <f t="shared" si="2235"/>
        <v>PO BOX 8478</v>
      </c>
      <c r="C5806" t="str">
        <f t="shared" si="2243"/>
        <v/>
      </c>
      <c r="D5806" t="str">
        <f t="shared" si="2236"/>
        <v>CAMP LEJEUNE</v>
      </c>
      <c r="E5806" t="str">
        <f t="shared" si="2237"/>
        <v>NC</v>
      </c>
      <c r="F5806" t="str">
        <f t="shared" si="2238"/>
        <v>285478478</v>
      </c>
      <c r="G5806" t="str">
        <f t="shared" si="2241"/>
        <v>PO BOX 8478</v>
      </c>
      <c r="H5806" t="str">
        <f t="shared" si="2244"/>
        <v/>
      </c>
      <c r="I5806" t="str">
        <f t="shared" si="2239"/>
        <v>CAMP LEJEUNE</v>
      </c>
      <c r="J5806" t="str">
        <f t="shared" si="2240"/>
        <v>NC</v>
      </c>
      <c r="K5806" t="str">
        <f t="shared" si="2242"/>
        <v>000000000000000000</v>
      </c>
      <c r="L5806" t="str">
        <f>T("9104513051")</f>
        <v>9104513051</v>
      </c>
    </row>
    <row r="5807" spans="1:12" x14ac:dyDescent="0.35">
      <c r="A5807" t="str">
        <f t="shared" si="2231"/>
        <v>2D MLG CAMP LEJEUNE</v>
      </c>
      <c r="B5807" t="str">
        <f t="shared" si="2235"/>
        <v>PO BOX 8478</v>
      </c>
      <c r="C5807" t="str">
        <f t="shared" si="2243"/>
        <v/>
      </c>
      <c r="D5807" t="str">
        <f t="shared" si="2236"/>
        <v>CAMP LEJEUNE</v>
      </c>
      <c r="E5807" t="str">
        <f t="shared" si="2237"/>
        <v>NC</v>
      </c>
      <c r="F5807" t="str">
        <f t="shared" si="2238"/>
        <v>285478478</v>
      </c>
      <c r="G5807" t="str">
        <f t="shared" si="2241"/>
        <v>PO BOX 8478</v>
      </c>
      <c r="H5807" t="str">
        <f t="shared" si="2244"/>
        <v/>
      </c>
      <c r="I5807" t="str">
        <f t="shared" si="2239"/>
        <v>CAMP LEJEUNE</v>
      </c>
      <c r="J5807" t="str">
        <f t="shared" si="2240"/>
        <v>NC</v>
      </c>
      <c r="K5807" t="str">
        <f t="shared" si="2242"/>
        <v>000000000000000000</v>
      </c>
      <c r="L5807" t="str">
        <f>T("9104513056")</f>
        <v>9104513056</v>
      </c>
    </row>
    <row r="5808" spans="1:12" x14ac:dyDescent="0.35">
      <c r="A5808" t="str">
        <f t="shared" si="2231"/>
        <v>2D MLG CAMP LEJEUNE</v>
      </c>
      <c r="B5808" t="str">
        <f t="shared" si="2235"/>
        <v>PO BOX 8478</v>
      </c>
      <c r="C5808" t="str">
        <f t="shared" si="2243"/>
        <v/>
      </c>
      <c r="D5808" t="str">
        <f t="shared" si="2236"/>
        <v>CAMP LEJEUNE</v>
      </c>
      <c r="E5808" t="str">
        <f t="shared" si="2237"/>
        <v>NC</v>
      </c>
      <c r="F5808" t="str">
        <f t="shared" si="2238"/>
        <v>285478478</v>
      </c>
      <c r="G5808" t="str">
        <f t="shared" si="2241"/>
        <v>PO BOX 8478</v>
      </c>
      <c r="H5808" t="str">
        <f t="shared" si="2244"/>
        <v/>
      </c>
      <c r="I5808" t="str">
        <f t="shared" si="2239"/>
        <v>CAMP LEJEUNE</v>
      </c>
      <c r="J5808" t="str">
        <f t="shared" si="2240"/>
        <v>NC</v>
      </c>
      <c r="K5808" t="str">
        <f t="shared" si="2242"/>
        <v>000000000000000000</v>
      </c>
      <c r="L5808" t="str">
        <f>T("9104514045")</f>
        <v>9104514045</v>
      </c>
    </row>
    <row r="5809" spans="1:12" x14ac:dyDescent="0.35">
      <c r="A5809" t="str">
        <f t="shared" si="2231"/>
        <v>2D MLG CAMP LEJEUNE</v>
      </c>
      <c r="B5809" t="str">
        <f t="shared" si="2235"/>
        <v>PO BOX 8478</v>
      </c>
      <c r="C5809" t="str">
        <f t="shared" si="2243"/>
        <v/>
      </c>
      <c r="D5809" t="str">
        <f t="shared" si="2236"/>
        <v>CAMP LEJEUNE</v>
      </c>
      <c r="E5809" t="str">
        <f t="shared" si="2237"/>
        <v>NC</v>
      </c>
      <c r="F5809" t="str">
        <f t="shared" si="2238"/>
        <v>285478478</v>
      </c>
      <c r="G5809" t="str">
        <f t="shared" si="2241"/>
        <v>PO BOX 8478</v>
      </c>
      <c r="H5809" t="str">
        <f t="shared" si="2244"/>
        <v/>
      </c>
      <c r="I5809" t="str">
        <f t="shared" si="2239"/>
        <v>CAMP LEJEUNE</v>
      </c>
      <c r="J5809" t="str">
        <f t="shared" si="2240"/>
        <v>NC</v>
      </c>
      <c r="K5809" t="str">
        <f t="shared" si="2242"/>
        <v>000000000000000000</v>
      </c>
      <c r="L5809" t="str">
        <f>T("9104515368")</f>
        <v>9104515368</v>
      </c>
    </row>
    <row r="5810" spans="1:12" x14ac:dyDescent="0.35">
      <c r="A5810" t="str">
        <f t="shared" si="2231"/>
        <v>2D MLG CAMP LEJEUNE</v>
      </c>
      <c r="B5810" t="str">
        <f t="shared" si="2235"/>
        <v>PO BOX 8478</v>
      </c>
      <c r="C5810" t="str">
        <f t="shared" si="2243"/>
        <v/>
      </c>
      <c r="D5810" t="str">
        <f t="shared" si="2236"/>
        <v>CAMP LEJEUNE</v>
      </c>
      <c r="E5810" t="str">
        <f t="shared" si="2237"/>
        <v>NC</v>
      </c>
      <c r="F5810" t="str">
        <f t="shared" si="2238"/>
        <v>285478478</v>
      </c>
      <c r="G5810" t="str">
        <f t="shared" si="2241"/>
        <v>PO BOX 8478</v>
      </c>
      <c r="H5810" t="str">
        <f t="shared" si="2244"/>
        <v/>
      </c>
      <c r="I5810" t="str">
        <f t="shared" si="2239"/>
        <v>CAMP LEJEUNE</v>
      </c>
      <c r="J5810" t="str">
        <f t="shared" si="2240"/>
        <v>NC</v>
      </c>
      <c r="K5810" t="str">
        <f t="shared" si="2242"/>
        <v>000000000000000000</v>
      </c>
      <c r="L5810" t="str">
        <f>T("9104516082")</f>
        <v>9104516082</v>
      </c>
    </row>
    <row r="5811" spans="1:12" x14ac:dyDescent="0.35">
      <c r="A5811" t="str">
        <f t="shared" si="2231"/>
        <v>2D MLG CAMP LEJEUNE</v>
      </c>
      <c r="B5811" t="str">
        <f t="shared" si="2235"/>
        <v>PO BOX 8478</v>
      </c>
      <c r="C5811" t="str">
        <f t="shared" si="2243"/>
        <v/>
      </c>
      <c r="D5811" t="str">
        <f t="shared" si="2236"/>
        <v>CAMP LEJEUNE</v>
      </c>
      <c r="E5811" t="str">
        <f t="shared" si="2237"/>
        <v>NC</v>
      </c>
      <c r="F5811" t="str">
        <f t="shared" si="2238"/>
        <v>285478478</v>
      </c>
      <c r="G5811" t="str">
        <f t="shared" si="2241"/>
        <v>PO BOX 8478</v>
      </c>
      <c r="H5811" t="str">
        <f t="shared" si="2244"/>
        <v/>
      </c>
      <c r="I5811" t="str">
        <f t="shared" si="2239"/>
        <v>CAMP LEJEUNE</v>
      </c>
      <c r="J5811" t="str">
        <f t="shared" si="2240"/>
        <v>NC</v>
      </c>
      <c r="K5811" t="str">
        <f t="shared" si="2242"/>
        <v>000000000000000000</v>
      </c>
      <c r="L5811" t="str">
        <f>T("9104516440")</f>
        <v>9104516440</v>
      </c>
    </row>
    <row r="5812" spans="1:12" x14ac:dyDescent="0.35">
      <c r="A5812" t="str">
        <f t="shared" si="2231"/>
        <v>2D MLG CAMP LEJEUNE</v>
      </c>
      <c r="B5812" t="str">
        <f t="shared" si="2235"/>
        <v>PO BOX 8478</v>
      </c>
      <c r="C5812" t="str">
        <f t="shared" si="2243"/>
        <v/>
      </c>
      <c r="D5812" t="str">
        <f t="shared" si="2236"/>
        <v>CAMP LEJEUNE</v>
      </c>
      <c r="E5812" t="str">
        <f t="shared" si="2237"/>
        <v>NC</v>
      </c>
      <c r="F5812" t="str">
        <f t="shared" si="2238"/>
        <v>285478478</v>
      </c>
      <c r="G5812" t="str">
        <f t="shared" si="2241"/>
        <v>PO BOX 8478</v>
      </c>
      <c r="H5812" t="str">
        <f t="shared" si="2244"/>
        <v/>
      </c>
      <c r="I5812" t="str">
        <f t="shared" si="2239"/>
        <v>CAMP LEJEUNE</v>
      </c>
      <c r="J5812" t="str">
        <f t="shared" si="2240"/>
        <v>NC</v>
      </c>
      <c r="K5812" t="str">
        <f t="shared" si="2242"/>
        <v>000000000000000000</v>
      </c>
      <c r="L5812" t="str">
        <f>T("9104516664")</f>
        <v>9104516664</v>
      </c>
    </row>
    <row r="5813" spans="1:12" x14ac:dyDescent="0.35">
      <c r="A5813" t="str">
        <f t="shared" si="2231"/>
        <v>2D MLG CAMP LEJEUNE</v>
      </c>
      <c r="B5813" t="str">
        <f t="shared" si="2235"/>
        <v>PO BOX 8478</v>
      </c>
      <c r="C5813" t="str">
        <f t="shared" si="2243"/>
        <v/>
      </c>
      <c r="D5813" t="str">
        <f t="shared" si="2236"/>
        <v>CAMP LEJEUNE</v>
      </c>
      <c r="E5813" t="str">
        <f t="shared" si="2237"/>
        <v>NC</v>
      </c>
      <c r="F5813" t="str">
        <f t="shared" si="2238"/>
        <v>285478478</v>
      </c>
      <c r="G5813" t="str">
        <f t="shared" si="2241"/>
        <v>PO BOX 8478</v>
      </c>
      <c r="H5813" t="str">
        <f t="shared" si="2244"/>
        <v/>
      </c>
      <c r="I5813" t="str">
        <f t="shared" si="2239"/>
        <v>CAMP LEJEUNE</v>
      </c>
      <c r="J5813" t="str">
        <f t="shared" si="2240"/>
        <v>NC</v>
      </c>
      <c r="K5813" t="str">
        <f t="shared" si="2242"/>
        <v>000000000000000000</v>
      </c>
      <c r="L5813" t="str">
        <f>T("9104517184")</f>
        <v>9104517184</v>
      </c>
    </row>
    <row r="5814" spans="1:12" x14ac:dyDescent="0.35">
      <c r="A5814" t="str">
        <f t="shared" si="2231"/>
        <v>2D MLG CAMP LEJEUNE</v>
      </c>
      <c r="B5814" t="str">
        <f t="shared" si="2235"/>
        <v>PO BOX 8478</v>
      </c>
      <c r="C5814" t="str">
        <f t="shared" si="2243"/>
        <v/>
      </c>
      <c r="D5814" t="str">
        <f t="shared" si="2236"/>
        <v>CAMP LEJEUNE</v>
      </c>
      <c r="E5814" t="str">
        <f t="shared" si="2237"/>
        <v>NC</v>
      </c>
      <c r="F5814" t="str">
        <f t="shared" si="2238"/>
        <v>285478478</v>
      </c>
      <c r="G5814" t="str">
        <f t="shared" si="2241"/>
        <v>PO BOX 8478</v>
      </c>
      <c r="H5814" t="str">
        <f t="shared" si="2244"/>
        <v/>
      </c>
      <c r="I5814" t="str">
        <f t="shared" si="2239"/>
        <v>CAMP LEJEUNE</v>
      </c>
      <c r="J5814" t="str">
        <f t="shared" si="2240"/>
        <v>NC</v>
      </c>
      <c r="K5814" t="str">
        <f t="shared" si="2242"/>
        <v>000000000000000000</v>
      </c>
      <c r="L5814" t="str">
        <f>T("9104517343")</f>
        <v>9104517343</v>
      </c>
    </row>
    <row r="5815" spans="1:12" x14ac:dyDescent="0.35">
      <c r="A5815" t="str">
        <f t="shared" si="2231"/>
        <v>2D MLG CAMP LEJEUNE</v>
      </c>
      <c r="B5815" t="str">
        <f t="shared" si="2235"/>
        <v>PO BOX 8478</v>
      </c>
      <c r="C5815" t="str">
        <f t="shared" si="2243"/>
        <v/>
      </c>
      <c r="D5815" t="str">
        <f t="shared" si="2236"/>
        <v>CAMP LEJEUNE</v>
      </c>
      <c r="E5815" t="str">
        <f t="shared" si="2237"/>
        <v>NC</v>
      </c>
      <c r="F5815" t="str">
        <f t="shared" si="2238"/>
        <v>285478478</v>
      </c>
      <c r="G5815" t="str">
        <f t="shared" si="2241"/>
        <v>PO BOX 8478</v>
      </c>
      <c r="H5815" t="str">
        <f t="shared" si="2244"/>
        <v/>
      </c>
      <c r="I5815" t="str">
        <f t="shared" si="2239"/>
        <v>CAMP LEJEUNE</v>
      </c>
      <c r="J5815" t="str">
        <f t="shared" si="2240"/>
        <v>NC</v>
      </c>
      <c r="K5815" t="str">
        <f t="shared" si="2242"/>
        <v>000000000000000000</v>
      </c>
      <c r="L5815" t="str">
        <f>T("9104517935")</f>
        <v>9104517935</v>
      </c>
    </row>
    <row r="5816" spans="1:12" x14ac:dyDescent="0.35">
      <c r="A5816" t="str">
        <f t="shared" ref="A5816:A5847" si="2245">T("2D MARDIV CAMP LEJEUNE")</f>
        <v>2D MARDIV CAMP LEJEUNE</v>
      </c>
      <c r="B5816" t="str">
        <f t="shared" si="2235"/>
        <v>PO BOX 8478</v>
      </c>
      <c r="C5816" t="str">
        <f t="shared" si="2243"/>
        <v/>
      </c>
      <c r="D5816" t="str">
        <f t="shared" si="2236"/>
        <v>CAMP LEJEUNE</v>
      </c>
      <c r="E5816" t="str">
        <f t="shared" si="2237"/>
        <v>NC</v>
      </c>
      <c r="F5816" t="str">
        <f t="shared" si="2238"/>
        <v>285478478</v>
      </c>
      <c r="G5816" t="str">
        <f t="shared" si="2241"/>
        <v>PO BOX 8478</v>
      </c>
      <c r="H5816" t="str">
        <f t="shared" si="2244"/>
        <v/>
      </c>
      <c r="I5816" t="str">
        <f t="shared" si="2239"/>
        <v>CAMP LEJEUNE</v>
      </c>
      <c r="J5816" t="str">
        <f t="shared" si="2240"/>
        <v>NC</v>
      </c>
      <c r="K5816" t="str">
        <f t="shared" ref="K5816:K5836" si="2246">T("")</f>
        <v/>
      </c>
      <c r="L5816" t="str">
        <f>T("9104406392")</f>
        <v>9104406392</v>
      </c>
    </row>
    <row r="5817" spans="1:12" x14ac:dyDescent="0.35">
      <c r="A5817" t="str">
        <f t="shared" si="2245"/>
        <v>2D MARDIV CAMP LEJEUNE</v>
      </c>
      <c r="B5817" t="str">
        <f t="shared" si="2235"/>
        <v>PO BOX 8478</v>
      </c>
      <c r="C5817" t="str">
        <f t="shared" si="2243"/>
        <v/>
      </c>
      <c r="D5817" t="str">
        <f t="shared" si="2236"/>
        <v>CAMP LEJEUNE</v>
      </c>
      <c r="E5817" t="str">
        <f t="shared" si="2237"/>
        <v>NC</v>
      </c>
      <c r="F5817" t="str">
        <f t="shared" si="2238"/>
        <v>285478478</v>
      </c>
      <c r="G5817" t="str">
        <f t="shared" si="2241"/>
        <v>PO BOX 8478</v>
      </c>
      <c r="H5817" t="str">
        <f t="shared" si="2244"/>
        <v/>
      </c>
      <c r="I5817" t="str">
        <f t="shared" si="2239"/>
        <v>CAMP LEJEUNE</v>
      </c>
      <c r="J5817" t="str">
        <f t="shared" si="2240"/>
        <v>NC</v>
      </c>
      <c r="K5817" t="str">
        <f t="shared" si="2246"/>
        <v/>
      </c>
      <c r="L5817" t="str">
        <f>T("9104407152")</f>
        <v>9104407152</v>
      </c>
    </row>
    <row r="5818" spans="1:12" x14ac:dyDescent="0.35">
      <c r="A5818" t="str">
        <f t="shared" si="2245"/>
        <v>2D MARDIV CAMP LEJEUNE</v>
      </c>
      <c r="B5818" t="str">
        <f t="shared" si="2235"/>
        <v>PO BOX 8478</v>
      </c>
      <c r="C5818" t="str">
        <f t="shared" si="2243"/>
        <v/>
      </c>
      <c r="D5818" t="str">
        <f t="shared" si="2236"/>
        <v>CAMP LEJEUNE</v>
      </c>
      <c r="E5818" t="str">
        <f t="shared" si="2237"/>
        <v>NC</v>
      </c>
      <c r="F5818" t="str">
        <f t="shared" si="2238"/>
        <v>285478478</v>
      </c>
      <c r="G5818" t="str">
        <f t="shared" si="2241"/>
        <v>PO BOX 8478</v>
      </c>
      <c r="H5818" t="str">
        <f t="shared" si="2244"/>
        <v/>
      </c>
      <c r="I5818" t="str">
        <f t="shared" si="2239"/>
        <v>CAMP LEJEUNE</v>
      </c>
      <c r="J5818" t="str">
        <f t="shared" si="2240"/>
        <v>NC</v>
      </c>
      <c r="K5818" t="str">
        <f t="shared" si="2246"/>
        <v/>
      </c>
      <c r="L5818" t="str">
        <f>T("9104407740")</f>
        <v>9104407740</v>
      </c>
    </row>
    <row r="5819" spans="1:12" x14ac:dyDescent="0.35">
      <c r="A5819" t="str">
        <f t="shared" si="2245"/>
        <v>2D MARDIV CAMP LEJEUNE</v>
      </c>
      <c r="B5819" t="str">
        <f t="shared" si="2235"/>
        <v>PO BOX 8478</v>
      </c>
      <c r="C5819" t="str">
        <f t="shared" si="2243"/>
        <v/>
      </c>
      <c r="D5819" t="str">
        <f t="shared" si="2236"/>
        <v>CAMP LEJEUNE</v>
      </c>
      <c r="E5819" t="str">
        <f t="shared" si="2237"/>
        <v>NC</v>
      </c>
      <c r="F5819" t="str">
        <f t="shared" si="2238"/>
        <v>285478478</v>
      </c>
      <c r="G5819" t="str">
        <f t="shared" si="2241"/>
        <v>PO BOX 8478</v>
      </c>
      <c r="H5819" t="str">
        <f t="shared" si="2244"/>
        <v/>
      </c>
      <c r="I5819" t="str">
        <f t="shared" si="2239"/>
        <v>CAMP LEJEUNE</v>
      </c>
      <c r="J5819" t="str">
        <f t="shared" si="2240"/>
        <v>NC</v>
      </c>
      <c r="K5819" t="str">
        <f t="shared" si="2246"/>
        <v/>
      </c>
      <c r="L5819" t="str">
        <f>T("9104499895")</f>
        <v>9104499895</v>
      </c>
    </row>
    <row r="5820" spans="1:12" x14ac:dyDescent="0.35">
      <c r="A5820" t="str">
        <f t="shared" si="2245"/>
        <v>2D MARDIV CAMP LEJEUNE</v>
      </c>
      <c r="B5820" t="str">
        <f t="shared" si="2235"/>
        <v>PO BOX 8478</v>
      </c>
      <c r="C5820" t="str">
        <f t="shared" si="2243"/>
        <v/>
      </c>
      <c r="D5820" t="str">
        <f t="shared" si="2236"/>
        <v>CAMP LEJEUNE</v>
      </c>
      <c r="E5820" t="str">
        <f t="shared" si="2237"/>
        <v>NC</v>
      </c>
      <c r="F5820" t="str">
        <f t="shared" si="2238"/>
        <v>285478478</v>
      </c>
      <c r="G5820" t="str">
        <f t="shared" si="2241"/>
        <v>PO BOX 8478</v>
      </c>
      <c r="H5820" t="str">
        <f t="shared" si="2244"/>
        <v/>
      </c>
      <c r="I5820" t="str">
        <f t="shared" si="2239"/>
        <v>CAMP LEJEUNE</v>
      </c>
      <c r="J5820" t="str">
        <f t="shared" si="2240"/>
        <v>NC</v>
      </c>
      <c r="K5820" t="str">
        <f t="shared" si="2246"/>
        <v/>
      </c>
      <c r="L5820" t="str">
        <f>T("9104505360")</f>
        <v>9104505360</v>
      </c>
    </row>
    <row r="5821" spans="1:12" x14ac:dyDescent="0.35">
      <c r="A5821" t="str">
        <f t="shared" si="2245"/>
        <v>2D MARDIV CAMP LEJEUNE</v>
      </c>
      <c r="B5821" t="str">
        <f t="shared" si="2235"/>
        <v>PO BOX 8478</v>
      </c>
      <c r="C5821" t="str">
        <f t="shared" si="2243"/>
        <v/>
      </c>
      <c r="D5821" t="str">
        <f t="shared" si="2236"/>
        <v>CAMP LEJEUNE</v>
      </c>
      <c r="E5821" t="str">
        <f t="shared" si="2237"/>
        <v>NC</v>
      </c>
      <c r="F5821" t="str">
        <f t="shared" si="2238"/>
        <v>285478478</v>
      </c>
      <c r="G5821" t="str">
        <f t="shared" si="2241"/>
        <v>PO BOX 8478</v>
      </c>
      <c r="H5821" t="str">
        <f t="shared" si="2244"/>
        <v/>
      </c>
      <c r="I5821" t="str">
        <f t="shared" si="2239"/>
        <v>CAMP LEJEUNE</v>
      </c>
      <c r="J5821" t="str">
        <f t="shared" si="2240"/>
        <v>NC</v>
      </c>
      <c r="K5821" t="str">
        <f t="shared" si="2246"/>
        <v/>
      </c>
      <c r="L5821" t="str">
        <f>T("9104506465")</f>
        <v>9104506465</v>
      </c>
    </row>
    <row r="5822" spans="1:12" x14ac:dyDescent="0.35">
      <c r="A5822" t="str">
        <f t="shared" si="2245"/>
        <v>2D MARDIV CAMP LEJEUNE</v>
      </c>
      <c r="B5822" t="str">
        <f t="shared" si="2235"/>
        <v>PO BOX 8478</v>
      </c>
      <c r="C5822" t="str">
        <f t="shared" si="2243"/>
        <v/>
      </c>
      <c r="D5822" t="str">
        <f t="shared" si="2236"/>
        <v>CAMP LEJEUNE</v>
      </c>
      <c r="E5822" t="str">
        <f t="shared" si="2237"/>
        <v>NC</v>
      </c>
      <c r="F5822" t="str">
        <f t="shared" si="2238"/>
        <v>285478478</v>
      </c>
      <c r="G5822" t="str">
        <f t="shared" si="2241"/>
        <v>PO BOX 8478</v>
      </c>
      <c r="H5822" t="str">
        <f t="shared" si="2244"/>
        <v/>
      </c>
      <c r="I5822" t="str">
        <f t="shared" si="2239"/>
        <v>CAMP LEJEUNE</v>
      </c>
      <c r="J5822" t="str">
        <f t="shared" si="2240"/>
        <v>NC</v>
      </c>
      <c r="K5822" t="str">
        <f t="shared" si="2246"/>
        <v/>
      </c>
      <c r="L5822" t="str">
        <f>T("9104508661")</f>
        <v>9104508661</v>
      </c>
    </row>
    <row r="5823" spans="1:12" x14ac:dyDescent="0.35">
      <c r="A5823" t="str">
        <f t="shared" si="2245"/>
        <v>2D MARDIV CAMP LEJEUNE</v>
      </c>
      <c r="B5823" t="str">
        <f t="shared" si="2235"/>
        <v>PO BOX 8478</v>
      </c>
      <c r="C5823" t="str">
        <f t="shared" si="2243"/>
        <v/>
      </c>
      <c r="D5823" t="str">
        <f t="shared" si="2236"/>
        <v>CAMP LEJEUNE</v>
      </c>
      <c r="E5823" t="str">
        <f t="shared" si="2237"/>
        <v>NC</v>
      </c>
      <c r="F5823" t="str">
        <f t="shared" si="2238"/>
        <v>285478478</v>
      </c>
      <c r="G5823" t="str">
        <f t="shared" si="2241"/>
        <v>PO BOX 8478</v>
      </c>
      <c r="H5823" t="str">
        <f t="shared" si="2244"/>
        <v/>
      </c>
      <c r="I5823" t="str">
        <f t="shared" si="2239"/>
        <v>CAMP LEJEUNE</v>
      </c>
      <c r="J5823" t="str">
        <f t="shared" si="2240"/>
        <v>NC</v>
      </c>
      <c r="K5823" t="str">
        <f t="shared" si="2246"/>
        <v/>
      </c>
      <c r="L5823" t="str">
        <f>T("9104509209")</f>
        <v>9104509209</v>
      </c>
    </row>
    <row r="5824" spans="1:12" x14ac:dyDescent="0.35">
      <c r="A5824" t="str">
        <f t="shared" si="2245"/>
        <v>2D MARDIV CAMP LEJEUNE</v>
      </c>
      <c r="B5824" t="str">
        <f t="shared" si="2235"/>
        <v>PO BOX 8478</v>
      </c>
      <c r="C5824" t="str">
        <f t="shared" si="2243"/>
        <v/>
      </c>
      <c r="D5824" t="str">
        <f t="shared" si="2236"/>
        <v>CAMP LEJEUNE</v>
      </c>
      <c r="E5824" t="str">
        <f t="shared" si="2237"/>
        <v>NC</v>
      </c>
      <c r="F5824" t="str">
        <f t="shared" si="2238"/>
        <v>285478478</v>
      </c>
      <c r="G5824" t="str">
        <f t="shared" si="2241"/>
        <v>PO BOX 8478</v>
      </c>
      <c r="H5824" t="str">
        <f t="shared" si="2244"/>
        <v/>
      </c>
      <c r="I5824" t="str">
        <f t="shared" si="2239"/>
        <v>CAMP LEJEUNE</v>
      </c>
      <c r="J5824" t="str">
        <f t="shared" si="2240"/>
        <v>NC</v>
      </c>
      <c r="K5824" t="str">
        <f t="shared" si="2246"/>
        <v/>
      </c>
      <c r="L5824" t="str">
        <f>T("9104509919")</f>
        <v>9104509919</v>
      </c>
    </row>
    <row r="5825" spans="1:12" x14ac:dyDescent="0.35">
      <c r="A5825" t="str">
        <f t="shared" si="2245"/>
        <v>2D MARDIV CAMP LEJEUNE</v>
      </c>
      <c r="B5825" t="str">
        <f t="shared" si="2235"/>
        <v>PO BOX 8478</v>
      </c>
      <c r="C5825" t="str">
        <f t="shared" si="2243"/>
        <v/>
      </c>
      <c r="D5825" t="str">
        <f t="shared" si="2236"/>
        <v>CAMP LEJEUNE</v>
      </c>
      <c r="E5825" t="str">
        <f t="shared" si="2237"/>
        <v>NC</v>
      </c>
      <c r="F5825" t="str">
        <f t="shared" si="2238"/>
        <v>285478478</v>
      </c>
      <c r="G5825" t="str">
        <f t="shared" si="2241"/>
        <v>PO BOX 8478</v>
      </c>
      <c r="H5825" t="str">
        <f t="shared" si="2244"/>
        <v/>
      </c>
      <c r="I5825" t="str">
        <f t="shared" si="2239"/>
        <v>CAMP LEJEUNE</v>
      </c>
      <c r="J5825" t="str">
        <f t="shared" si="2240"/>
        <v>NC</v>
      </c>
      <c r="K5825" t="str">
        <f t="shared" si="2246"/>
        <v/>
      </c>
      <c r="L5825" t="str">
        <f>T("9104509921")</f>
        <v>9104509921</v>
      </c>
    </row>
    <row r="5826" spans="1:12" x14ac:dyDescent="0.35">
      <c r="A5826" t="str">
        <f t="shared" si="2245"/>
        <v>2D MARDIV CAMP LEJEUNE</v>
      </c>
      <c r="B5826" t="str">
        <f t="shared" si="2235"/>
        <v>PO BOX 8478</v>
      </c>
      <c r="C5826" t="str">
        <f t="shared" si="2243"/>
        <v/>
      </c>
      <c r="D5826" t="str">
        <f t="shared" si="2236"/>
        <v>CAMP LEJEUNE</v>
      </c>
      <c r="E5826" t="str">
        <f t="shared" si="2237"/>
        <v>NC</v>
      </c>
      <c r="F5826" t="str">
        <f t="shared" si="2238"/>
        <v>285478478</v>
      </c>
      <c r="G5826" t="str">
        <f t="shared" si="2241"/>
        <v>PO BOX 8478</v>
      </c>
      <c r="H5826" t="str">
        <f t="shared" si="2244"/>
        <v/>
      </c>
      <c r="I5826" t="str">
        <f t="shared" si="2239"/>
        <v>CAMP LEJEUNE</v>
      </c>
      <c r="J5826" t="str">
        <f t="shared" si="2240"/>
        <v>NC</v>
      </c>
      <c r="K5826" t="str">
        <f t="shared" si="2246"/>
        <v/>
      </c>
      <c r="L5826" t="str">
        <f>T("9104510380")</f>
        <v>9104510380</v>
      </c>
    </row>
    <row r="5827" spans="1:12" x14ac:dyDescent="0.35">
      <c r="A5827" t="str">
        <f t="shared" si="2245"/>
        <v>2D MARDIV CAMP LEJEUNE</v>
      </c>
      <c r="B5827" t="str">
        <f t="shared" si="2235"/>
        <v>PO BOX 8478</v>
      </c>
      <c r="C5827" t="str">
        <f t="shared" si="2243"/>
        <v/>
      </c>
      <c r="D5827" t="str">
        <f t="shared" si="2236"/>
        <v>CAMP LEJEUNE</v>
      </c>
      <c r="E5827" t="str">
        <f t="shared" si="2237"/>
        <v>NC</v>
      </c>
      <c r="F5827" t="str">
        <f t="shared" si="2238"/>
        <v>285478478</v>
      </c>
      <c r="G5827" t="str">
        <f t="shared" si="2241"/>
        <v>PO BOX 8478</v>
      </c>
      <c r="H5827" t="str">
        <f t="shared" si="2244"/>
        <v/>
      </c>
      <c r="I5827" t="str">
        <f t="shared" si="2239"/>
        <v>CAMP LEJEUNE</v>
      </c>
      <c r="J5827" t="str">
        <f t="shared" si="2240"/>
        <v>NC</v>
      </c>
      <c r="K5827" t="str">
        <f t="shared" si="2246"/>
        <v/>
      </c>
      <c r="L5827" t="str">
        <f>T("9104510649")</f>
        <v>9104510649</v>
      </c>
    </row>
    <row r="5828" spans="1:12" x14ac:dyDescent="0.35">
      <c r="A5828" t="str">
        <f t="shared" si="2245"/>
        <v>2D MARDIV CAMP LEJEUNE</v>
      </c>
      <c r="B5828" t="str">
        <f t="shared" si="2235"/>
        <v>PO BOX 8478</v>
      </c>
      <c r="C5828" t="str">
        <f t="shared" si="2243"/>
        <v/>
      </c>
      <c r="D5828" t="str">
        <f t="shared" si="2236"/>
        <v>CAMP LEJEUNE</v>
      </c>
      <c r="E5828" t="str">
        <f t="shared" si="2237"/>
        <v>NC</v>
      </c>
      <c r="F5828" t="str">
        <f t="shared" si="2238"/>
        <v>285478478</v>
      </c>
      <c r="G5828" t="str">
        <f t="shared" si="2241"/>
        <v>PO BOX 8478</v>
      </c>
      <c r="H5828" t="str">
        <f t="shared" si="2244"/>
        <v/>
      </c>
      <c r="I5828" t="str">
        <f t="shared" si="2239"/>
        <v>CAMP LEJEUNE</v>
      </c>
      <c r="J5828" t="str">
        <f t="shared" si="2240"/>
        <v>NC</v>
      </c>
      <c r="K5828" t="str">
        <f t="shared" si="2246"/>
        <v/>
      </c>
      <c r="L5828" t="str">
        <f>T("9104513615")</f>
        <v>9104513615</v>
      </c>
    </row>
    <row r="5829" spans="1:12" x14ac:dyDescent="0.35">
      <c r="A5829" t="str">
        <f t="shared" si="2245"/>
        <v>2D MARDIV CAMP LEJEUNE</v>
      </c>
      <c r="B5829" t="str">
        <f t="shared" si="2235"/>
        <v>PO BOX 8478</v>
      </c>
      <c r="C5829" t="str">
        <f t="shared" si="2243"/>
        <v/>
      </c>
      <c r="D5829" t="str">
        <f t="shared" si="2236"/>
        <v>CAMP LEJEUNE</v>
      </c>
      <c r="E5829" t="str">
        <f t="shared" si="2237"/>
        <v>NC</v>
      </c>
      <c r="F5829" t="str">
        <f t="shared" si="2238"/>
        <v>285478478</v>
      </c>
      <c r="G5829" t="str">
        <f t="shared" si="2241"/>
        <v>PO BOX 8478</v>
      </c>
      <c r="H5829" t="str">
        <f t="shared" si="2244"/>
        <v/>
      </c>
      <c r="I5829" t="str">
        <f t="shared" si="2239"/>
        <v>CAMP LEJEUNE</v>
      </c>
      <c r="J5829" t="str">
        <f t="shared" si="2240"/>
        <v>NC</v>
      </c>
      <c r="K5829" t="str">
        <f t="shared" si="2246"/>
        <v/>
      </c>
      <c r="L5829" t="str">
        <f>T("9104514470")</f>
        <v>9104514470</v>
      </c>
    </row>
    <row r="5830" spans="1:12" x14ac:dyDescent="0.35">
      <c r="A5830" t="str">
        <f t="shared" si="2245"/>
        <v>2D MARDIV CAMP LEJEUNE</v>
      </c>
      <c r="B5830" t="str">
        <f t="shared" si="2235"/>
        <v>PO BOX 8478</v>
      </c>
      <c r="C5830" t="str">
        <f t="shared" si="2243"/>
        <v/>
      </c>
      <c r="D5830" t="str">
        <f t="shared" si="2236"/>
        <v>CAMP LEJEUNE</v>
      </c>
      <c r="E5830" t="str">
        <f t="shared" si="2237"/>
        <v>NC</v>
      </c>
      <c r="F5830" t="str">
        <f t="shared" si="2238"/>
        <v>285478478</v>
      </c>
      <c r="G5830" t="str">
        <f t="shared" si="2241"/>
        <v>PO BOX 8478</v>
      </c>
      <c r="H5830" t="str">
        <f t="shared" si="2244"/>
        <v/>
      </c>
      <c r="I5830" t="str">
        <f t="shared" si="2239"/>
        <v>CAMP LEJEUNE</v>
      </c>
      <c r="J5830" t="str">
        <f t="shared" si="2240"/>
        <v>NC</v>
      </c>
      <c r="K5830" t="str">
        <f t="shared" si="2246"/>
        <v/>
      </c>
      <c r="L5830" t="str">
        <f>T("9104515565")</f>
        <v>9104515565</v>
      </c>
    </row>
    <row r="5831" spans="1:12" x14ac:dyDescent="0.35">
      <c r="A5831" t="str">
        <f t="shared" si="2245"/>
        <v>2D MARDIV CAMP LEJEUNE</v>
      </c>
      <c r="B5831" t="str">
        <f t="shared" si="2235"/>
        <v>PO BOX 8478</v>
      </c>
      <c r="C5831" t="str">
        <f t="shared" si="2243"/>
        <v/>
      </c>
      <c r="D5831" t="str">
        <f t="shared" si="2236"/>
        <v>CAMP LEJEUNE</v>
      </c>
      <c r="E5831" t="str">
        <f t="shared" si="2237"/>
        <v>NC</v>
      </c>
      <c r="F5831" t="str">
        <f t="shared" si="2238"/>
        <v>285478478</v>
      </c>
      <c r="G5831" t="str">
        <f t="shared" si="2241"/>
        <v>PO BOX 8478</v>
      </c>
      <c r="H5831" t="str">
        <f t="shared" si="2244"/>
        <v/>
      </c>
      <c r="I5831" t="str">
        <f t="shared" si="2239"/>
        <v>CAMP LEJEUNE</v>
      </c>
      <c r="J5831" t="str">
        <f t="shared" si="2240"/>
        <v>NC</v>
      </c>
      <c r="K5831" t="str">
        <f t="shared" si="2246"/>
        <v/>
      </c>
      <c r="L5831" t="str">
        <f>T("9104515792")</f>
        <v>9104515792</v>
      </c>
    </row>
    <row r="5832" spans="1:12" x14ac:dyDescent="0.35">
      <c r="A5832" t="str">
        <f t="shared" si="2245"/>
        <v>2D MARDIV CAMP LEJEUNE</v>
      </c>
      <c r="B5832" t="str">
        <f t="shared" si="2235"/>
        <v>PO BOX 8478</v>
      </c>
      <c r="C5832" t="str">
        <f t="shared" ref="C5832:C5863" si="2247">T("")</f>
        <v/>
      </c>
      <c r="D5832" t="str">
        <f t="shared" si="2236"/>
        <v>CAMP LEJEUNE</v>
      </c>
      <c r="E5832" t="str">
        <f t="shared" si="2237"/>
        <v>NC</v>
      </c>
      <c r="F5832" t="str">
        <f t="shared" si="2238"/>
        <v>285478478</v>
      </c>
      <c r="G5832" t="str">
        <f t="shared" si="2241"/>
        <v>PO BOX 8478</v>
      </c>
      <c r="H5832" t="str">
        <f t="shared" ref="H5832:H5863" si="2248">T("")</f>
        <v/>
      </c>
      <c r="I5832" t="str">
        <f t="shared" si="2239"/>
        <v>CAMP LEJEUNE</v>
      </c>
      <c r="J5832" t="str">
        <f t="shared" si="2240"/>
        <v>NC</v>
      </c>
      <c r="K5832" t="str">
        <f t="shared" si="2246"/>
        <v/>
      </c>
      <c r="L5832" t="str">
        <f>T("9104517284")</f>
        <v>9104517284</v>
      </c>
    </row>
    <row r="5833" spans="1:12" x14ac:dyDescent="0.35">
      <c r="A5833" t="str">
        <f t="shared" si="2245"/>
        <v>2D MARDIV CAMP LEJEUNE</v>
      </c>
      <c r="B5833" t="str">
        <f t="shared" si="2235"/>
        <v>PO BOX 8478</v>
      </c>
      <c r="C5833" t="str">
        <f t="shared" si="2247"/>
        <v/>
      </c>
      <c r="D5833" t="str">
        <f t="shared" si="2236"/>
        <v>CAMP LEJEUNE</v>
      </c>
      <c r="E5833" t="str">
        <f t="shared" si="2237"/>
        <v>NC</v>
      </c>
      <c r="F5833" t="str">
        <f t="shared" si="2238"/>
        <v>285478478</v>
      </c>
      <c r="G5833" t="str">
        <f t="shared" si="2241"/>
        <v>PO BOX 8478</v>
      </c>
      <c r="H5833" t="str">
        <f t="shared" si="2248"/>
        <v/>
      </c>
      <c r="I5833" t="str">
        <f t="shared" si="2239"/>
        <v>CAMP LEJEUNE</v>
      </c>
      <c r="J5833" t="str">
        <f t="shared" si="2240"/>
        <v>NC</v>
      </c>
      <c r="K5833" t="str">
        <f t="shared" si="2246"/>
        <v/>
      </c>
      <c r="L5833" t="str">
        <f>T("9104517673")</f>
        <v>9104517673</v>
      </c>
    </row>
    <row r="5834" spans="1:12" x14ac:dyDescent="0.35">
      <c r="A5834" t="str">
        <f t="shared" si="2245"/>
        <v>2D MARDIV CAMP LEJEUNE</v>
      </c>
      <c r="B5834" t="str">
        <f t="shared" si="2235"/>
        <v>PO BOX 8478</v>
      </c>
      <c r="C5834" t="str">
        <f t="shared" si="2247"/>
        <v/>
      </c>
      <c r="D5834" t="str">
        <f t="shared" si="2236"/>
        <v>CAMP LEJEUNE</v>
      </c>
      <c r="E5834" t="str">
        <f t="shared" si="2237"/>
        <v>NC</v>
      </c>
      <c r="F5834" t="str">
        <f t="shared" si="2238"/>
        <v>285478478</v>
      </c>
      <c r="G5834" t="str">
        <f t="shared" si="2241"/>
        <v>PO BOX 8478</v>
      </c>
      <c r="H5834" t="str">
        <f t="shared" si="2248"/>
        <v/>
      </c>
      <c r="I5834" t="str">
        <f t="shared" si="2239"/>
        <v>CAMP LEJEUNE</v>
      </c>
      <c r="J5834" t="str">
        <f t="shared" si="2240"/>
        <v>NC</v>
      </c>
      <c r="K5834" t="str">
        <f t="shared" si="2246"/>
        <v/>
      </c>
      <c r="L5834" t="str">
        <f>T("9104518764")</f>
        <v>9104518764</v>
      </c>
    </row>
    <row r="5835" spans="1:12" x14ac:dyDescent="0.35">
      <c r="A5835" t="str">
        <f t="shared" si="2245"/>
        <v>2D MARDIV CAMP LEJEUNE</v>
      </c>
      <c r="B5835" t="str">
        <f t="shared" si="2235"/>
        <v>PO BOX 8478</v>
      </c>
      <c r="C5835" t="str">
        <f t="shared" si="2247"/>
        <v/>
      </c>
      <c r="D5835" t="str">
        <f t="shared" si="2236"/>
        <v>CAMP LEJEUNE</v>
      </c>
      <c r="E5835" t="str">
        <f t="shared" si="2237"/>
        <v>NC</v>
      </c>
      <c r="F5835" t="str">
        <f t="shared" si="2238"/>
        <v>285478478</v>
      </c>
      <c r="G5835" t="str">
        <f t="shared" si="2241"/>
        <v>PO BOX 8478</v>
      </c>
      <c r="H5835" t="str">
        <f t="shared" si="2248"/>
        <v/>
      </c>
      <c r="I5835" t="str">
        <f t="shared" si="2239"/>
        <v>CAMP LEJEUNE</v>
      </c>
      <c r="J5835" t="str">
        <f t="shared" si="2240"/>
        <v>NC</v>
      </c>
      <c r="K5835" t="str">
        <f t="shared" si="2246"/>
        <v/>
      </c>
      <c r="L5835" t="str">
        <f>T("9104518809")</f>
        <v>9104518809</v>
      </c>
    </row>
    <row r="5836" spans="1:12" x14ac:dyDescent="0.35">
      <c r="A5836" t="str">
        <f t="shared" si="2245"/>
        <v>2D MARDIV CAMP LEJEUNE</v>
      </c>
      <c r="B5836" t="str">
        <f t="shared" si="2235"/>
        <v>PO BOX 8478</v>
      </c>
      <c r="C5836" t="str">
        <f t="shared" si="2247"/>
        <v/>
      </c>
      <c r="D5836" t="str">
        <f t="shared" si="2236"/>
        <v>CAMP LEJEUNE</v>
      </c>
      <c r="E5836" t="str">
        <f t="shared" si="2237"/>
        <v>NC</v>
      </c>
      <c r="F5836" t="str">
        <f t="shared" si="2238"/>
        <v>285478478</v>
      </c>
      <c r="G5836" t="str">
        <f t="shared" si="2241"/>
        <v>PO BOX 8478</v>
      </c>
      <c r="H5836" t="str">
        <f t="shared" si="2248"/>
        <v/>
      </c>
      <c r="I5836" t="str">
        <f t="shared" si="2239"/>
        <v>CAMP LEJEUNE</v>
      </c>
      <c r="J5836" t="str">
        <f t="shared" si="2240"/>
        <v>NC</v>
      </c>
      <c r="K5836" t="str">
        <f t="shared" si="2246"/>
        <v/>
      </c>
      <c r="L5836" t="str">
        <f>T("9104519669")</f>
        <v>9104519669</v>
      </c>
    </row>
    <row r="5837" spans="1:12" x14ac:dyDescent="0.35">
      <c r="A5837" t="str">
        <f t="shared" si="2245"/>
        <v>2D MARDIV CAMP LEJEUNE</v>
      </c>
      <c r="B5837" t="str">
        <f t="shared" si="2235"/>
        <v>PO BOX 8478</v>
      </c>
      <c r="C5837" t="str">
        <f t="shared" si="2247"/>
        <v/>
      </c>
      <c r="D5837" t="str">
        <f t="shared" si="2236"/>
        <v>CAMP LEJEUNE</v>
      </c>
      <c r="E5837" t="str">
        <f t="shared" si="2237"/>
        <v>NC</v>
      </c>
      <c r="F5837" t="str">
        <f t="shared" si="2238"/>
        <v>285478478</v>
      </c>
      <c r="G5837" t="str">
        <f t="shared" si="2241"/>
        <v>PO BOX 8478</v>
      </c>
      <c r="H5837" t="str">
        <f t="shared" si="2248"/>
        <v/>
      </c>
      <c r="I5837" t="str">
        <f t="shared" si="2239"/>
        <v>CAMP LEJEUNE</v>
      </c>
      <c r="J5837" t="str">
        <f t="shared" si="2240"/>
        <v>NC</v>
      </c>
      <c r="K5837" t="str">
        <f t="shared" ref="K5837:K5873" si="2249">T("000000000000000000")</f>
        <v>000000000000000000</v>
      </c>
      <c r="L5837" t="str">
        <f>T("9104406406")</f>
        <v>9104406406</v>
      </c>
    </row>
    <row r="5838" spans="1:12" x14ac:dyDescent="0.35">
      <c r="A5838" t="str">
        <f t="shared" si="2245"/>
        <v>2D MARDIV CAMP LEJEUNE</v>
      </c>
      <c r="B5838" t="str">
        <f t="shared" si="2235"/>
        <v>PO BOX 8478</v>
      </c>
      <c r="C5838" t="str">
        <f t="shared" si="2247"/>
        <v/>
      </c>
      <c r="D5838" t="str">
        <f t="shared" si="2236"/>
        <v>CAMP LEJEUNE</v>
      </c>
      <c r="E5838" t="str">
        <f t="shared" si="2237"/>
        <v>NC</v>
      </c>
      <c r="F5838" t="str">
        <f t="shared" si="2238"/>
        <v>285478478</v>
      </c>
      <c r="G5838" t="str">
        <f t="shared" si="2241"/>
        <v>PO BOX 8478</v>
      </c>
      <c r="H5838" t="str">
        <f t="shared" si="2248"/>
        <v/>
      </c>
      <c r="I5838" t="str">
        <f t="shared" si="2239"/>
        <v>CAMP LEJEUNE</v>
      </c>
      <c r="J5838" t="str">
        <f t="shared" si="2240"/>
        <v>NC</v>
      </c>
      <c r="K5838" t="str">
        <f t="shared" si="2249"/>
        <v>000000000000000000</v>
      </c>
      <c r="L5838" t="str">
        <f>T("9104407152")</f>
        <v>9104407152</v>
      </c>
    </row>
    <row r="5839" spans="1:12" x14ac:dyDescent="0.35">
      <c r="A5839" t="str">
        <f t="shared" si="2245"/>
        <v>2D MARDIV CAMP LEJEUNE</v>
      </c>
      <c r="B5839" t="str">
        <f t="shared" si="2235"/>
        <v>PO BOX 8478</v>
      </c>
      <c r="C5839" t="str">
        <f t="shared" si="2247"/>
        <v/>
      </c>
      <c r="D5839" t="str">
        <f t="shared" si="2236"/>
        <v>CAMP LEJEUNE</v>
      </c>
      <c r="E5839" t="str">
        <f t="shared" si="2237"/>
        <v>NC</v>
      </c>
      <c r="F5839" t="str">
        <f t="shared" si="2238"/>
        <v>285478478</v>
      </c>
      <c r="G5839" t="str">
        <f t="shared" si="2241"/>
        <v>PO BOX 8478</v>
      </c>
      <c r="H5839" t="str">
        <f t="shared" si="2248"/>
        <v/>
      </c>
      <c r="I5839" t="str">
        <f t="shared" si="2239"/>
        <v>CAMP LEJEUNE</v>
      </c>
      <c r="J5839" t="str">
        <f t="shared" si="2240"/>
        <v>NC</v>
      </c>
      <c r="K5839" t="str">
        <f t="shared" si="2249"/>
        <v>000000000000000000</v>
      </c>
      <c r="L5839" t="str">
        <f>T("9104407431")</f>
        <v>9104407431</v>
      </c>
    </row>
    <row r="5840" spans="1:12" x14ac:dyDescent="0.35">
      <c r="A5840" t="str">
        <f t="shared" si="2245"/>
        <v>2D MARDIV CAMP LEJEUNE</v>
      </c>
      <c r="B5840" t="str">
        <f t="shared" si="2235"/>
        <v>PO BOX 8478</v>
      </c>
      <c r="C5840" t="str">
        <f t="shared" si="2247"/>
        <v/>
      </c>
      <c r="D5840" t="str">
        <f t="shared" si="2236"/>
        <v>CAMP LEJEUNE</v>
      </c>
      <c r="E5840" t="str">
        <f t="shared" si="2237"/>
        <v>NC</v>
      </c>
      <c r="F5840" t="str">
        <f t="shared" si="2238"/>
        <v>285478478</v>
      </c>
      <c r="G5840" t="str">
        <f t="shared" si="2241"/>
        <v>PO BOX 8478</v>
      </c>
      <c r="H5840" t="str">
        <f t="shared" si="2248"/>
        <v/>
      </c>
      <c r="I5840" t="str">
        <f t="shared" si="2239"/>
        <v>CAMP LEJEUNE</v>
      </c>
      <c r="J5840" t="str">
        <f t="shared" si="2240"/>
        <v>NC</v>
      </c>
      <c r="K5840" t="str">
        <f t="shared" si="2249"/>
        <v>000000000000000000</v>
      </c>
      <c r="L5840" t="str">
        <f>T("9104407516")</f>
        <v>9104407516</v>
      </c>
    </row>
    <row r="5841" spans="1:12" x14ac:dyDescent="0.35">
      <c r="A5841" t="str">
        <f t="shared" si="2245"/>
        <v>2D MARDIV CAMP LEJEUNE</v>
      </c>
      <c r="B5841" t="str">
        <f t="shared" si="2235"/>
        <v>PO BOX 8478</v>
      </c>
      <c r="C5841" t="str">
        <f t="shared" si="2247"/>
        <v/>
      </c>
      <c r="D5841" t="str">
        <f t="shared" si="2236"/>
        <v>CAMP LEJEUNE</v>
      </c>
      <c r="E5841" t="str">
        <f t="shared" si="2237"/>
        <v>NC</v>
      </c>
      <c r="F5841" t="str">
        <f t="shared" si="2238"/>
        <v>285478478</v>
      </c>
      <c r="G5841" t="str">
        <f t="shared" si="2241"/>
        <v>PO BOX 8478</v>
      </c>
      <c r="H5841" t="str">
        <f t="shared" si="2248"/>
        <v/>
      </c>
      <c r="I5841" t="str">
        <f t="shared" si="2239"/>
        <v>CAMP LEJEUNE</v>
      </c>
      <c r="J5841" t="str">
        <f t="shared" si="2240"/>
        <v>NC</v>
      </c>
      <c r="K5841" t="str">
        <f t="shared" si="2249"/>
        <v>000000000000000000</v>
      </c>
      <c r="L5841" t="str">
        <f>T("9104407732")</f>
        <v>9104407732</v>
      </c>
    </row>
    <row r="5842" spans="1:12" x14ac:dyDescent="0.35">
      <c r="A5842" t="str">
        <f t="shared" si="2245"/>
        <v>2D MARDIV CAMP LEJEUNE</v>
      </c>
      <c r="B5842" t="str">
        <f t="shared" si="2235"/>
        <v>PO BOX 8478</v>
      </c>
      <c r="C5842" t="str">
        <f t="shared" si="2247"/>
        <v/>
      </c>
      <c r="D5842" t="str">
        <f t="shared" si="2236"/>
        <v>CAMP LEJEUNE</v>
      </c>
      <c r="E5842" t="str">
        <f t="shared" si="2237"/>
        <v>NC</v>
      </c>
      <c r="F5842" t="str">
        <f t="shared" si="2238"/>
        <v>285478478</v>
      </c>
      <c r="G5842" t="str">
        <f t="shared" si="2241"/>
        <v>PO BOX 8478</v>
      </c>
      <c r="H5842" t="str">
        <f t="shared" si="2248"/>
        <v/>
      </c>
      <c r="I5842" t="str">
        <f t="shared" si="2239"/>
        <v>CAMP LEJEUNE</v>
      </c>
      <c r="J5842" t="str">
        <f t="shared" si="2240"/>
        <v>NC</v>
      </c>
      <c r="K5842" t="str">
        <f t="shared" si="2249"/>
        <v>000000000000000000</v>
      </c>
      <c r="L5842" t="str">
        <f>T("9104407750")</f>
        <v>9104407750</v>
      </c>
    </row>
    <row r="5843" spans="1:12" x14ac:dyDescent="0.35">
      <c r="A5843" t="str">
        <f t="shared" si="2245"/>
        <v>2D MARDIV CAMP LEJEUNE</v>
      </c>
      <c r="B5843" t="str">
        <f t="shared" si="2235"/>
        <v>PO BOX 8478</v>
      </c>
      <c r="C5843" t="str">
        <f t="shared" si="2247"/>
        <v/>
      </c>
      <c r="D5843" t="str">
        <f t="shared" si="2236"/>
        <v>CAMP LEJEUNE</v>
      </c>
      <c r="E5843" t="str">
        <f t="shared" si="2237"/>
        <v>NC</v>
      </c>
      <c r="F5843" t="str">
        <f t="shared" si="2238"/>
        <v>285478478</v>
      </c>
      <c r="G5843" t="str">
        <f t="shared" si="2241"/>
        <v>PO BOX 8478</v>
      </c>
      <c r="H5843" t="str">
        <f t="shared" si="2248"/>
        <v/>
      </c>
      <c r="I5843" t="str">
        <f t="shared" si="2239"/>
        <v>CAMP LEJEUNE</v>
      </c>
      <c r="J5843" t="str">
        <f t="shared" si="2240"/>
        <v>NC</v>
      </c>
      <c r="K5843" t="str">
        <f t="shared" si="2249"/>
        <v>000000000000000000</v>
      </c>
      <c r="L5843" t="str">
        <f>T("9104498426")</f>
        <v>9104498426</v>
      </c>
    </row>
    <row r="5844" spans="1:12" x14ac:dyDescent="0.35">
      <c r="A5844" t="str">
        <f t="shared" si="2245"/>
        <v>2D MARDIV CAMP LEJEUNE</v>
      </c>
      <c r="B5844" t="str">
        <f t="shared" ref="B5844:B5907" si="2250">T("PO BOX 8478")</f>
        <v>PO BOX 8478</v>
      </c>
      <c r="C5844" t="str">
        <f t="shared" si="2247"/>
        <v/>
      </c>
      <c r="D5844" t="str">
        <f t="shared" ref="D5844:D5907" si="2251">T("CAMP LEJEUNE")</f>
        <v>CAMP LEJEUNE</v>
      </c>
      <c r="E5844" t="str">
        <f t="shared" ref="E5844:E5907" si="2252">T("NC")</f>
        <v>NC</v>
      </c>
      <c r="F5844" t="str">
        <f t="shared" ref="F5844:F5907" si="2253">T("285478478")</f>
        <v>285478478</v>
      </c>
      <c r="G5844" t="str">
        <f t="shared" si="2241"/>
        <v>PO BOX 8478</v>
      </c>
      <c r="H5844" t="str">
        <f t="shared" si="2248"/>
        <v/>
      </c>
      <c r="I5844" t="str">
        <f t="shared" ref="I5844:I5907" si="2254">T("CAMP LEJEUNE")</f>
        <v>CAMP LEJEUNE</v>
      </c>
      <c r="J5844" t="str">
        <f t="shared" ref="J5844:J5907" si="2255">T("NC")</f>
        <v>NC</v>
      </c>
      <c r="K5844" t="str">
        <f t="shared" si="2249"/>
        <v>000000000000000000</v>
      </c>
      <c r="L5844" t="str">
        <f>T("9104499895")</f>
        <v>9104499895</v>
      </c>
    </row>
    <row r="5845" spans="1:12" x14ac:dyDescent="0.35">
      <c r="A5845" t="str">
        <f t="shared" si="2245"/>
        <v>2D MARDIV CAMP LEJEUNE</v>
      </c>
      <c r="B5845" t="str">
        <f t="shared" si="2250"/>
        <v>PO BOX 8478</v>
      </c>
      <c r="C5845" t="str">
        <f t="shared" si="2247"/>
        <v/>
      </c>
      <c r="D5845" t="str">
        <f t="shared" si="2251"/>
        <v>CAMP LEJEUNE</v>
      </c>
      <c r="E5845" t="str">
        <f t="shared" si="2252"/>
        <v>NC</v>
      </c>
      <c r="F5845" t="str">
        <f t="shared" si="2253"/>
        <v>285478478</v>
      </c>
      <c r="G5845" t="str">
        <f t="shared" ref="G5845:G5908" si="2256">T("PO BOX 8478")</f>
        <v>PO BOX 8478</v>
      </c>
      <c r="H5845" t="str">
        <f t="shared" si="2248"/>
        <v/>
      </c>
      <c r="I5845" t="str">
        <f t="shared" si="2254"/>
        <v>CAMP LEJEUNE</v>
      </c>
      <c r="J5845" t="str">
        <f t="shared" si="2255"/>
        <v>NC</v>
      </c>
      <c r="K5845" t="str">
        <f t="shared" si="2249"/>
        <v>000000000000000000</v>
      </c>
      <c r="L5845" t="str">
        <f>T("9104505225")</f>
        <v>9104505225</v>
      </c>
    </row>
    <row r="5846" spans="1:12" x14ac:dyDescent="0.35">
      <c r="A5846" t="str">
        <f t="shared" si="2245"/>
        <v>2D MARDIV CAMP LEJEUNE</v>
      </c>
      <c r="B5846" t="str">
        <f t="shared" si="2250"/>
        <v>PO BOX 8478</v>
      </c>
      <c r="C5846" t="str">
        <f t="shared" si="2247"/>
        <v/>
      </c>
      <c r="D5846" t="str">
        <f t="shared" si="2251"/>
        <v>CAMP LEJEUNE</v>
      </c>
      <c r="E5846" t="str">
        <f t="shared" si="2252"/>
        <v>NC</v>
      </c>
      <c r="F5846" t="str">
        <f t="shared" si="2253"/>
        <v>285478478</v>
      </c>
      <c r="G5846" t="str">
        <f t="shared" si="2256"/>
        <v>PO BOX 8478</v>
      </c>
      <c r="H5846" t="str">
        <f t="shared" si="2248"/>
        <v/>
      </c>
      <c r="I5846" t="str">
        <f t="shared" si="2254"/>
        <v>CAMP LEJEUNE</v>
      </c>
      <c r="J5846" t="str">
        <f t="shared" si="2255"/>
        <v>NC</v>
      </c>
      <c r="K5846" t="str">
        <f t="shared" si="2249"/>
        <v>000000000000000000</v>
      </c>
      <c r="L5846" t="str">
        <f>T("9104506467")</f>
        <v>9104506467</v>
      </c>
    </row>
    <row r="5847" spans="1:12" x14ac:dyDescent="0.35">
      <c r="A5847" t="str">
        <f t="shared" si="2245"/>
        <v>2D MARDIV CAMP LEJEUNE</v>
      </c>
      <c r="B5847" t="str">
        <f t="shared" si="2250"/>
        <v>PO BOX 8478</v>
      </c>
      <c r="C5847" t="str">
        <f t="shared" si="2247"/>
        <v/>
      </c>
      <c r="D5847" t="str">
        <f t="shared" si="2251"/>
        <v>CAMP LEJEUNE</v>
      </c>
      <c r="E5847" t="str">
        <f t="shared" si="2252"/>
        <v>NC</v>
      </c>
      <c r="F5847" t="str">
        <f t="shared" si="2253"/>
        <v>285478478</v>
      </c>
      <c r="G5847" t="str">
        <f t="shared" si="2256"/>
        <v>PO BOX 8478</v>
      </c>
      <c r="H5847" t="str">
        <f t="shared" si="2248"/>
        <v/>
      </c>
      <c r="I5847" t="str">
        <f t="shared" si="2254"/>
        <v>CAMP LEJEUNE</v>
      </c>
      <c r="J5847" t="str">
        <f t="shared" si="2255"/>
        <v>NC</v>
      </c>
      <c r="K5847" t="str">
        <f t="shared" si="2249"/>
        <v>000000000000000000</v>
      </c>
      <c r="L5847" t="str">
        <f>T("9104506566")</f>
        <v>9104506566</v>
      </c>
    </row>
    <row r="5848" spans="1:12" x14ac:dyDescent="0.35">
      <c r="A5848" t="str">
        <f t="shared" ref="A5848:A5873" si="2257">T("2D MARDIV CAMP LEJEUNE")</f>
        <v>2D MARDIV CAMP LEJEUNE</v>
      </c>
      <c r="B5848" t="str">
        <f t="shared" si="2250"/>
        <v>PO BOX 8478</v>
      </c>
      <c r="C5848" t="str">
        <f t="shared" si="2247"/>
        <v/>
      </c>
      <c r="D5848" t="str">
        <f t="shared" si="2251"/>
        <v>CAMP LEJEUNE</v>
      </c>
      <c r="E5848" t="str">
        <f t="shared" si="2252"/>
        <v>NC</v>
      </c>
      <c r="F5848" t="str">
        <f t="shared" si="2253"/>
        <v>285478478</v>
      </c>
      <c r="G5848" t="str">
        <f t="shared" si="2256"/>
        <v>PO BOX 8478</v>
      </c>
      <c r="H5848" t="str">
        <f t="shared" si="2248"/>
        <v/>
      </c>
      <c r="I5848" t="str">
        <f t="shared" si="2254"/>
        <v>CAMP LEJEUNE</v>
      </c>
      <c r="J5848" t="str">
        <f t="shared" si="2255"/>
        <v>NC</v>
      </c>
      <c r="K5848" t="str">
        <f t="shared" si="2249"/>
        <v>000000000000000000</v>
      </c>
      <c r="L5848" t="str">
        <f>T("9104508961")</f>
        <v>9104508961</v>
      </c>
    </row>
    <row r="5849" spans="1:12" x14ac:dyDescent="0.35">
      <c r="A5849" t="str">
        <f t="shared" si="2257"/>
        <v>2D MARDIV CAMP LEJEUNE</v>
      </c>
      <c r="B5849" t="str">
        <f t="shared" si="2250"/>
        <v>PO BOX 8478</v>
      </c>
      <c r="C5849" t="str">
        <f t="shared" si="2247"/>
        <v/>
      </c>
      <c r="D5849" t="str">
        <f t="shared" si="2251"/>
        <v>CAMP LEJEUNE</v>
      </c>
      <c r="E5849" t="str">
        <f t="shared" si="2252"/>
        <v>NC</v>
      </c>
      <c r="F5849" t="str">
        <f t="shared" si="2253"/>
        <v>285478478</v>
      </c>
      <c r="G5849" t="str">
        <f t="shared" si="2256"/>
        <v>PO BOX 8478</v>
      </c>
      <c r="H5849" t="str">
        <f t="shared" si="2248"/>
        <v/>
      </c>
      <c r="I5849" t="str">
        <f t="shared" si="2254"/>
        <v>CAMP LEJEUNE</v>
      </c>
      <c r="J5849" t="str">
        <f t="shared" si="2255"/>
        <v>NC</v>
      </c>
      <c r="K5849" t="str">
        <f t="shared" si="2249"/>
        <v>000000000000000000</v>
      </c>
      <c r="L5849" t="str">
        <f>T("9104509191")</f>
        <v>9104509191</v>
      </c>
    </row>
    <row r="5850" spans="1:12" x14ac:dyDescent="0.35">
      <c r="A5850" t="str">
        <f t="shared" si="2257"/>
        <v>2D MARDIV CAMP LEJEUNE</v>
      </c>
      <c r="B5850" t="str">
        <f t="shared" si="2250"/>
        <v>PO BOX 8478</v>
      </c>
      <c r="C5850" t="str">
        <f t="shared" si="2247"/>
        <v/>
      </c>
      <c r="D5850" t="str">
        <f t="shared" si="2251"/>
        <v>CAMP LEJEUNE</v>
      </c>
      <c r="E5850" t="str">
        <f t="shared" si="2252"/>
        <v>NC</v>
      </c>
      <c r="F5850" t="str">
        <f t="shared" si="2253"/>
        <v>285478478</v>
      </c>
      <c r="G5850" t="str">
        <f t="shared" si="2256"/>
        <v>PO BOX 8478</v>
      </c>
      <c r="H5850" t="str">
        <f t="shared" si="2248"/>
        <v/>
      </c>
      <c r="I5850" t="str">
        <f t="shared" si="2254"/>
        <v>CAMP LEJEUNE</v>
      </c>
      <c r="J5850" t="str">
        <f t="shared" si="2255"/>
        <v>NC</v>
      </c>
      <c r="K5850" t="str">
        <f t="shared" si="2249"/>
        <v>000000000000000000</v>
      </c>
      <c r="L5850" t="str">
        <f>T("9104509300")</f>
        <v>9104509300</v>
      </c>
    </row>
    <row r="5851" spans="1:12" x14ac:dyDescent="0.35">
      <c r="A5851" t="str">
        <f t="shared" si="2257"/>
        <v>2D MARDIV CAMP LEJEUNE</v>
      </c>
      <c r="B5851" t="str">
        <f t="shared" si="2250"/>
        <v>PO BOX 8478</v>
      </c>
      <c r="C5851" t="str">
        <f t="shared" si="2247"/>
        <v/>
      </c>
      <c r="D5851" t="str">
        <f t="shared" si="2251"/>
        <v>CAMP LEJEUNE</v>
      </c>
      <c r="E5851" t="str">
        <f t="shared" si="2252"/>
        <v>NC</v>
      </c>
      <c r="F5851" t="str">
        <f t="shared" si="2253"/>
        <v>285478478</v>
      </c>
      <c r="G5851" t="str">
        <f t="shared" si="2256"/>
        <v>PO BOX 8478</v>
      </c>
      <c r="H5851" t="str">
        <f t="shared" si="2248"/>
        <v/>
      </c>
      <c r="I5851" t="str">
        <f t="shared" si="2254"/>
        <v>CAMP LEJEUNE</v>
      </c>
      <c r="J5851" t="str">
        <f t="shared" si="2255"/>
        <v>NC</v>
      </c>
      <c r="K5851" t="str">
        <f t="shared" si="2249"/>
        <v>000000000000000000</v>
      </c>
      <c r="L5851" t="str">
        <f>T("9104509511")</f>
        <v>9104509511</v>
      </c>
    </row>
    <row r="5852" spans="1:12" x14ac:dyDescent="0.35">
      <c r="A5852" t="str">
        <f t="shared" si="2257"/>
        <v>2D MARDIV CAMP LEJEUNE</v>
      </c>
      <c r="B5852" t="str">
        <f t="shared" si="2250"/>
        <v>PO BOX 8478</v>
      </c>
      <c r="C5852" t="str">
        <f t="shared" si="2247"/>
        <v/>
      </c>
      <c r="D5852" t="str">
        <f t="shared" si="2251"/>
        <v>CAMP LEJEUNE</v>
      </c>
      <c r="E5852" t="str">
        <f t="shared" si="2252"/>
        <v>NC</v>
      </c>
      <c r="F5852" t="str">
        <f t="shared" si="2253"/>
        <v>285478478</v>
      </c>
      <c r="G5852" t="str">
        <f t="shared" si="2256"/>
        <v>PO BOX 8478</v>
      </c>
      <c r="H5852" t="str">
        <f t="shared" si="2248"/>
        <v/>
      </c>
      <c r="I5852" t="str">
        <f t="shared" si="2254"/>
        <v>CAMP LEJEUNE</v>
      </c>
      <c r="J5852" t="str">
        <f t="shared" si="2255"/>
        <v>NC</v>
      </c>
      <c r="K5852" t="str">
        <f t="shared" si="2249"/>
        <v>000000000000000000</v>
      </c>
      <c r="L5852" t="str">
        <f>T("9104509916")</f>
        <v>9104509916</v>
      </c>
    </row>
    <row r="5853" spans="1:12" x14ac:dyDescent="0.35">
      <c r="A5853" t="str">
        <f t="shared" si="2257"/>
        <v>2D MARDIV CAMP LEJEUNE</v>
      </c>
      <c r="B5853" t="str">
        <f t="shared" si="2250"/>
        <v>PO BOX 8478</v>
      </c>
      <c r="C5853" t="str">
        <f t="shared" si="2247"/>
        <v/>
      </c>
      <c r="D5853" t="str">
        <f t="shared" si="2251"/>
        <v>CAMP LEJEUNE</v>
      </c>
      <c r="E5853" t="str">
        <f t="shared" si="2252"/>
        <v>NC</v>
      </c>
      <c r="F5853" t="str">
        <f t="shared" si="2253"/>
        <v>285478478</v>
      </c>
      <c r="G5853" t="str">
        <f t="shared" si="2256"/>
        <v>PO BOX 8478</v>
      </c>
      <c r="H5853" t="str">
        <f t="shared" si="2248"/>
        <v/>
      </c>
      <c r="I5853" t="str">
        <f t="shared" si="2254"/>
        <v>CAMP LEJEUNE</v>
      </c>
      <c r="J5853" t="str">
        <f t="shared" si="2255"/>
        <v>NC</v>
      </c>
      <c r="K5853" t="str">
        <f t="shared" si="2249"/>
        <v>000000000000000000</v>
      </c>
      <c r="L5853" t="str">
        <f>T("9104511792")</f>
        <v>9104511792</v>
      </c>
    </row>
    <row r="5854" spans="1:12" x14ac:dyDescent="0.35">
      <c r="A5854" t="str">
        <f t="shared" si="2257"/>
        <v>2D MARDIV CAMP LEJEUNE</v>
      </c>
      <c r="B5854" t="str">
        <f t="shared" si="2250"/>
        <v>PO BOX 8478</v>
      </c>
      <c r="C5854" t="str">
        <f t="shared" si="2247"/>
        <v/>
      </c>
      <c r="D5854" t="str">
        <f t="shared" si="2251"/>
        <v>CAMP LEJEUNE</v>
      </c>
      <c r="E5854" t="str">
        <f t="shared" si="2252"/>
        <v>NC</v>
      </c>
      <c r="F5854" t="str">
        <f t="shared" si="2253"/>
        <v>285478478</v>
      </c>
      <c r="G5854" t="str">
        <f t="shared" si="2256"/>
        <v>PO BOX 8478</v>
      </c>
      <c r="H5854" t="str">
        <f t="shared" si="2248"/>
        <v/>
      </c>
      <c r="I5854" t="str">
        <f t="shared" si="2254"/>
        <v>CAMP LEJEUNE</v>
      </c>
      <c r="J5854" t="str">
        <f t="shared" si="2255"/>
        <v>NC</v>
      </c>
      <c r="K5854" t="str">
        <f t="shared" si="2249"/>
        <v>000000000000000000</v>
      </c>
      <c r="L5854" t="str">
        <f>T("9104512078")</f>
        <v>9104512078</v>
      </c>
    </row>
    <row r="5855" spans="1:12" x14ac:dyDescent="0.35">
      <c r="A5855" t="str">
        <f t="shared" si="2257"/>
        <v>2D MARDIV CAMP LEJEUNE</v>
      </c>
      <c r="B5855" t="str">
        <f t="shared" si="2250"/>
        <v>PO BOX 8478</v>
      </c>
      <c r="C5855" t="str">
        <f t="shared" si="2247"/>
        <v/>
      </c>
      <c r="D5855" t="str">
        <f t="shared" si="2251"/>
        <v>CAMP LEJEUNE</v>
      </c>
      <c r="E5855" t="str">
        <f t="shared" si="2252"/>
        <v>NC</v>
      </c>
      <c r="F5855" t="str">
        <f t="shared" si="2253"/>
        <v>285478478</v>
      </c>
      <c r="G5855" t="str">
        <f t="shared" si="2256"/>
        <v>PO BOX 8478</v>
      </c>
      <c r="H5855" t="str">
        <f t="shared" si="2248"/>
        <v/>
      </c>
      <c r="I5855" t="str">
        <f t="shared" si="2254"/>
        <v>CAMP LEJEUNE</v>
      </c>
      <c r="J5855" t="str">
        <f t="shared" si="2255"/>
        <v>NC</v>
      </c>
      <c r="K5855" t="str">
        <f t="shared" si="2249"/>
        <v>000000000000000000</v>
      </c>
      <c r="L5855" t="str">
        <f>T("9104512143")</f>
        <v>9104512143</v>
      </c>
    </row>
    <row r="5856" spans="1:12" x14ac:dyDescent="0.35">
      <c r="A5856" t="str">
        <f t="shared" si="2257"/>
        <v>2D MARDIV CAMP LEJEUNE</v>
      </c>
      <c r="B5856" t="str">
        <f t="shared" si="2250"/>
        <v>PO BOX 8478</v>
      </c>
      <c r="C5856" t="str">
        <f t="shared" si="2247"/>
        <v/>
      </c>
      <c r="D5856" t="str">
        <f t="shared" si="2251"/>
        <v>CAMP LEJEUNE</v>
      </c>
      <c r="E5856" t="str">
        <f t="shared" si="2252"/>
        <v>NC</v>
      </c>
      <c r="F5856" t="str">
        <f t="shared" si="2253"/>
        <v>285478478</v>
      </c>
      <c r="G5856" t="str">
        <f t="shared" si="2256"/>
        <v>PO BOX 8478</v>
      </c>
      <c r="H5856" t="str">
        <f t="shared" si="2248"/>
        <v/>
      </c>
      <c r="I5856" t="str">
        <f t="shared" si="2254"/>
        <v>CAMP LEJEUNE</v>
      </c>
      <c r="J5856" t="str">
        <f t="shared" si="2255"/>
        <v>NC</v>
      </c>
      <c r="K5856" t="str">
        <f t="shared" si="2249"/>
        <v>000000000000000000</v>
      </c>
      <c r="L5856" t="str">
        <f>T("9104512926")</f>
        <v>9104512926</v>
      </c>
    </row>
    <row r="5857" spans="1:12" x14ac:dyDescent="0.35">
      <c r="A5857" t="str">
        <f t="shared" si="2257"/>
        <v>2D MARDIV CAMP LEJEUNE</v>
      </c>
      <c r="B5857" t="str">
        <f t="shared" si="2250"/>
        <v>PO BOX 8478</v>
      </c>
      <c r="C5857" t="str">
        <f t="shared" si="2247"/>
        <v/>
      </c>
      <c r="D5857" t="str">
        <f t="shared" si="2251"/>
        <v>CAMP LEJEUNE</v>
      </c>
      <c r="E5857" t="str">
        <f t="shared" si="2252"/>
        <v>NC</v>
      </c>
      <c r="F5857" t="str">
        <f t="shared" si="2253"/>
        <v>285478478</v>
      </c>
      <c r="G5857" t="str">
        <f t="shared" si="2256"/>
        <v>PO BOX 8478</v>
      </c>
      <c r="H5857" t="str">
        <f t="shared" si="2248"/>
        <v/>
      </c>
      <c r="I5857" t="str">
        <f t="shared" si="2254"/>
        <v>CAMP LEJEUNE</v>
      </c>
      <c r="J5857" t="str">
        <f t="shared" si="2255"/>
        <v>NC</v>
      </c>
      <c r="K5857" t="str">
        <f t="shared" si="2249"/>
        <v>000000000000000000</v>
      </c>
      <c r="L5857" t="str">
        <f>T("9104513131")</f>
        <v>9104513131</v>
      </c>
    </row>
    <row r="5858" spans="1:12" x14ac:dyDescent="0.35">
      <c r="A5858" t="str">
        <f t="shared" si="2257"/>
        <v>2D MARDIV CAMP LEJEUNE</v>
      </c>
      <c r="B5858" t="str">
        <f t="shared" si="2250"/>
        <v>PO BOX 8478</v>
      </c>
      <c r="C5858" t="str">
        <f t="shared" si="2247"/>
        <v/>
      </c>
      <c r="D5858" t="str">
        <f t="shared" si="2251"/>
        <v>CAMP LEJEUNE</v>
      </c>
      <c r="E5858" t="str">
        <f t="shared" si="2252"/>
        <v>NC</v>
      </c>
      <c r="F5858" t="str">
        <f t="shared" si="2253"/>
        <v>285478478</v>
      </c>
      <c r="G5858" t="str">
        <f t="shared" si="2256"/>
        <v>PO BOX 8478</v>
      </c>
      <c r="H5858" t="str">
        <f t="shared" si="2248"/>
        <v/>
      </c>
      <c r="I5858" t="str">
        <f t="shared" si="2254"/>
        <v>CAMP LEJEUNE</v>
      </c>
      <c r="J5858" t="str">
        <f t="shared" si="2255"/>
        <v>NC</v>
      </c>
      <c r="K5858" t="str">
        <f t="shared" si="2249"/>
        <v>000000000000000000</v>
      </c>
      <c r="L5858" t="str">
        <f>T("9104513730")</f>
        <v>9104513730</v>
      </c>
    </row>
    <row r="5859" spans="1:12" x14ac:dyDescent="0.35">
      <c r="A5859" t="str">
        <f t="shared" si="2257"/>
        <v>2D MARDIV CAMP LEJEUNE</v>
      </c>
      <c r="B5859" t="str">
        <f t="shared" si="2250"/>
        <v>PO BOX 8478</v>
      </c>
      <c r="C5859" t="str">
        <f t="shared" si="2247"/>
        <v/>
      </c>
      <c r="D5859" t="str">
        <f t="shared" si="2251"/>
        <v>CAMP LEJEUNE</v>
      </c>
      <c r="E5859" t="str">
        <f t="shared" si="2252"/>
        <v>NC</v>
      </c>
      <c r="F5859" t="str">
        <f t="shared" si="2253"/>
        <v>285478478</v>
      </c>
      <c r="G5859" t="str">
        <f t="shared" si="2256"/>
        <v>PO BOX 8478</v>
      </c>
      <c r="H5859" t="str">
        <f t="shared" si="2248"/>
        <v/>
      </c>
      <c r="I5859" t="str">
        <f t="shared" si="2254"/>
        <v>CAMP LEJEUNE</v>
      </c>
      <c r="J5859" t="str">
        <f t="shared" si="2255"/>
        <v>NC</v>
      </c>
      <c r="K5859" t="str">
        <f t="shared" si="2249"/>
        <v>000000000000000000</v>
      </c>
      <c r="L5859" t="str">
        <f>T("9104514185")</f>
        <v>9104514185</v>
      </c>
    </row>
    <row r="5860" spans="1:12" x14ac:dyDescent="0.35">
      <c r="A5860" t="str">
        <f t="shared" si="2257"/>
        <v>2D MARDIV CAMP LEJEUNE</v>
      </c>
      <c r="B5860" t="str">
        <f t="shared" si="2250"/>
        <v>PO BOX 8478</v>
      </c>
      <c r="C5860" t="str">
        <f t="shared" si="2247"/>
        <v/>
      </c>
      <c r="D5860" t="str">
        <f t="shared" si="2251"/>
        <v>CAMP LEJEUNE</v>
      </c>
      <c r="E5860" t="str">
        <f t="shared" si="2252"/>
        <v>NC</v>
      </c>
      <c r="F5860" t="str">
        <f t="shared" si="2253"/>
        <v>285478478</v>
      </c>
      <c r="G5860" t="str">
        <f t="shared" si="2256"/>
        <v>PO BOX 8478</v>
      </c>
      <c r="H5860" t="str">
        <f t="shared" si="2248"/>
        <v/>
      </c>
      <c r="I5860" t="str">
        <f t="shared" si="2254"/>
        <v>CAMP LEJEUNE</v>
      </c>
      <c r="J5860" t="str">
        <f t="shared" si="2255"/>
        <v>NC</v>
      </c>
      <c r="K5860" t="str">
        <f t="shared" si="2249"/>
        <v>000000000000000000</v>
      </c>
      <c r="L5860" t="str">
        <f>T("9104514186")</f>
        <v>9104514186</v>
      </c>
    </row>
    <row r="5861" spans="1:12" x14ac:dyDescent="0.35">
      <c r="A5861" t="str">
        <f t="shared" si="2257"/>
        <v>2D MARDIV CAMP LEJEUNE</v>
      </c>
      <c r="B5861" t="str">
        <f t="shared" si="2250"/>
        <v>PO BOX 8478</v>
      </c>
      <c r="C5861" t="str">
        <f t="shared" si="2247"/>
        <v/>
      </c>
      <c r="D5861" t="str">
        <f t="shared" si="2251"/>
        <v>CAMP LEJEUNE</v>
      </c>
      <c r="E5861" t="str">
        <f t="shared" si="2252"/>
        <v>NC</v>
      </c>
      <c r="F5861" t="str">
        <f t="shared" si="2253"/>
        <v>285478478</v>
      </c>
      <c r="G5861" t="str">
        <f t="shared" si="2256"/>
        <v>PO BOX 8478</v>
      </c>
      <c r="H5861" t="str">
        <f t="shared" si="2248"/>
        <v/>
      </c>
      <c r="I5861" t="str">
        <f t="shared" si="2254"/>
        <v>CAMP LEJEUNE</v>
      </c>
      <c r="J5861" t="str">
        <f t="shared" si="2255"/>
        <v>NC</v>
      </c>
      <c r="K5861" t="str">
        <f t="shared" si="2249"/>
        <v>000000000000000000</v>
      </c>
      <c r="L5861" t="str">
        <f>T("9104514187")</f>
        <v>9104514187</v>
      </c>
    </row>
    <row r="5862" spans="1:12" x14ac:dyDescent="0.35">
      <c r="A5862" t="str">
        <f t="shared" si="2257"/>
        <v>2D MARDIV CAMP LEJEUNE</v>
      </c>
      <c r="B5862" t="str">
        <f t="shared" si="2250"/>
        <v>PO BOX 8478</v>
      </c>
      <c r="C5862" t="str">
        <f t="shared" si="2247"/>
        <v/>
      </c>
      <c r="D5862" t="str">
        <f t="shared" si="2251"/>
        <v>CAMP LEJEUNE</v>
      </c>
      <c r="E5862" t="str">
        <f t="shared" si="2252"/>
        <v>NC</v>
      </c>
      <c r="F5862" t="str">
        <f t="shared" si="2253"/>
        <v>285478478</v>
      </c>
      <c r="G5862" t="str">
        <f t="shared" si="2256"/>
        <v>PO BOX 8478</v>
      </c>
      <c r="H5862" t="str">
        <f t="shared" si="2248"/>
        <v/>
      </c>
      <c r="I5862" t="str">
        <f t="shared" si="2254"/>
        <v>CAMP LEJEUNE</v>
      </c>
      <c r="J5862" t="str">
        <f t="shared" si="2255"/>
        <v>NC</v>
      </c>
      <c r="K5862" t="str">
        <f t="shared" si="2249"/>
        <v>000000000000000000</v>
      </c>
      <c r="L5862" t="str">
        <f>T("9104514366")</f>
        <v>9104514366</v>
      </c>
    </row>
    <row r="5863" spans="1:12" x14ac:dyDescent="0.35">
      <c r="A5863" t="str">
        <f t="shared" si="2257"/>
        <v>2D MARDIV CAMP LEJEUNE</v>
      </c>
      <c r="B5863" t="str">
        <f t="shared" si="2250"/>
        <v>PO BOX 8478</v>
      </c>
      <c r="C5863" t="str">
        <f t="shared" si="2247"/>
        <v/>
      </c>
      <c r="D5863" t="str">
        <f t="shared" si="2251"/>
        <v>CAMP LEJEUNE</v>
      </c>
      <c r="E5863" t="str">
        <f t="shared" si="2252"/>
        <v>NC</v>
      </c>
      <c r="F5863" t="str">
        <f t="shared" si="2253"/>
        <v>285478478</v>
      </c>
      <c r="G5863" t="str">
        <f t="shared" si="2256"/>
        <v>PO BOX 8478</v>
      </c>
      <c r="H5863" t="str">
        <f t="shared" si="2248"/>
        <v/>
      </c>
      <c r="I5863" t="str">
        <f t="shared" si="2254"/>
        <v>CAMP LEJEUNE</v>
      </c>
      <c r="J5863" t="str">
        <f t="shared" si="2255"/>
        <v>NC</v>
      </c>
      <c r="K5863" t="str">
        <f t="shared" si="2249"/>
        <v>000000000000000000</v>
      </c>
      <c r="L5863" t="str">
        <f>T("9104514368")</f>
        <v>9104514368</v>
      </c>
    </row>
    <row r="5864" spans="1:12" x14ac:dyDescent="0.35">
      <c r="A5864" t="str">
        <f t="shared" si="2257"/>
        <v>2D MARDIV CAMP LEJEUNE</v>
      </c>
      <c r="B5864" t="str">
        <f t="shared" si="2250"/>
        <v>PO BOX 8478</v>
      </c>
      <c r="C5864" t="str">
        <f t="shared" ref="C5864:C5895" si="2258">T("")</f>
        <v/>
      </c>
      <c r="D5864" t="str">
        <f t="shared" si="2251"/>
        <v>CAMP LEJEUNE</v>
      </c>
      <c r="E5864" t="str">
        <f t="shared" si="2252"/>
        <v>NC</v>
      </c>
      <c r="F5864" t="str">
        <f t="shared" si="2253"/>
        <v>285478478</v>
      </c>
      <c r="G5864" t="str">
        <f t="shared" si="2256"/>
        <v>PO BOX 8478</v>
      </c>
      <c r="H5864" t="str">
        <f t="shared" ref="H5864:H5872" si="2259">T("")</f>
        <v/>
      </c>
      <c r="I5864" t="str">
        <f t="shared" si="2254"/>
        <v>CAMP LEJEUNE</v>
      </c>
      <c r="J5864" t="str">
        <f t="shared" si="2255"/>
        <v>NC</v>
      </c>
      <c r="K5864" t="str">
        <f t="shared" si="2249"/>
        <v>000000000000000000</v>
      </c>
      <c r="L5864" t="str">
        <f>T("9104515092")</f>
        <v>9104515092</v>
      </c>
    </row>
    <row r="5865" spans="1:12" x14ac:dyDescent="0.35">
      <c r="A5865" t="str">
        <f t="shared" si="2257"/>
        <v>2D MARDIV CAMP LEJEUNE</v>
      </c>
      <c r="B5865" t="str">
        <f t="shared" si="2250"/>
        <v>PO BOX 8478</v>
      </c>
      <c r="C5865" t="str">
        <f t="shared" si="2258"/>
        <v/>
      </c>
      <c r="D5865" t="str">
        <f t="shared" si="2251"/>
        <v>CAMP LEJEUNE</v>
      </c>
      <c r="E5865" t="str">
        <f t="shared" si="2252"/>
        <v>NC</v>
      </c>
      <c r="F5865" t="str">
        <f t="shared" si="2253"/>
        <v>285478478</v>
      </c>
      <c r="G5865" t="str">
        <f t="shared" si="2256"/>
        <v>PO BOX 8478</v>
      </c>
      <c r="H5865" t="str">
        <f t="shared" si="2259"/>
        <v/>
      </c>
      <c r="I5865" t="str">
        <f t="shared" si="2254"/>
        <v>CAMP LEJEUNE</v>
      </c>
      <c r="J5865" t="str">
        <f t="shared" si="2255"/>
        <v>NC</v>
      </c>
      <c r="K5865" t="str">
        <f t="shared" si="2249"/>
        <v>000000000000000000</v>
      </c>
      <c r="L5865" t="str">
        <f>T("9104515500")</f>
        <v>9104515500</v>
      </c>
    </row>
    <row r="5866" spans="1:12" x14ac:dyDescent="0.35">
      <c r="A5866" t="str">
        <f t="shared" si="2257"/>
        <v>2D MARDIV CAMP LEJEUNE</v>
      </c>
      <c r="B5866" t="str">
        <f t="shared" si="2250"/>
        <v>PO BOX 8478</v>
      </c>
      <c r="C5866" t="str">
        <f t="shared" si="2258"/>
        <v/>
      </c>
      <c r="D5866" t="str">
        <f t="shared" si="2251"/>
        <v>CAMP LEJEUNE</v>
      </c>
      <c r="E5866" t="str">
        <f t="shared" si="2252"/>
        <v>NC</v>
      </c>
      <c r="F5866" t="str">
        <f t="shared" si="2253"/>
        <v>285478478</v>
      </c>
      <c r="G5866" t="str">
        <f t="shared" si="2256"/>
        <v>PO BOX 8478</v>
      </c>
      <c r="H5866" t="str">
        <f t="shared" si="2259"/>
        <v/>
      </c>
      <c r="I5866" t="str">
        <f t="shared" si="2254"/>
        <v>CAMP LEJEUNE</v>
      </c>
      <c r="J5866" t="str">
        <f t="shared" si="2255"/>
        <v>NC</v>
      </c>
      <c r="K5866" t="str">
        <f t="shared" si="2249"/>
        <v>000000000000000000</v>
      </c>
      <c r="L5866" t="str">
        <f>T("9104515525")</f>
        <v>9104515525</v>
      </c>
    </row>
    <row r="5867" spans="1:12" x14ac:dyDescent="0.35">
      <c r="A5867" t="str">
        <f t="shared" si="2257"/>
        <v>2D MARDIV CAMP LEJEUNE</v>
      </c>
      <c r="B5867" t="str">
        <f t="shared" si="2250"/>
        <v>PO BOX 8478</v>
      </c>
      <c r="C5867" t="str">
        <f t="shared" si="2258"/>
        <v/>
      </c>
      <c r="D5867" t="str">
        <f t="shared" si="2251"/>
        <v>CAMP LEJEUNE</v>
      </c>
      <c r="E5867" t="str">
        <f t="shared" si="2252"/>
        <v>NC</v>
      </c>
      <c r="F5867" t="str">
        <f t="shared" si="2253"/>
        <v>285478478</v>
      </c>
      <c r="G5867" t="str">
        <f t="shared" si="2256"/>
        <v>PO BOX 8478</v>
      </c>
      <c r="H5867" t="str">
        <f t="shared" si="2259"/>
        <v/>
      </c>
      <c r="I5867" t="str">
        <f t="shared" si="2254"/>
        <v>CAMP LEJEUNE</v>
      </c>
      <c r="J5867" t="str">
        <f t="shared" si="2255"/>
        <v>NC</v>
      </c>
      <c r="K5867" t="str">
        <f t="shared" si="2249"/>
        <v>000000000000000000</v>
      </c>
      <c r="L5867" t="str">
        <f>T("9104515564")</f>
        <v>9104515564</v>
      </c>
    </row>
    <row r="5868" spans="1:12" x14ac:dyDescent="0.35">
      <c r="A5868" t="str">
        <f t="shared" si="2257"/>
        <v>2D MARDIV CAMP LEJEUNE</v>
      </c>
      <c r="B5868" t="str">
        <f t="shared" si="2250"/>
        <v>PO BOX 8478</v>
      </c>
      <c r="C5868" t="str">
        <f t="shared" si="2258"/>
        <v/>
      </c>
      <c r="D5868" t="str">
        <f t="shared" si="2251"/>
        <v>CAMP LEJEUNE</v>
      </c>
      <c r="E5868" t="str">
        <f t="shared" si="2252"/>
        <v>NC</v>
      </c>
      <c r="F5868" t="str">
        <f t="shared" si="2253"/>
        <v>285478478</v>
      </c>
      <c r="G5868" t="str">
        <f t="shared" si="2256"/>
        <v>PO BOX 8478</v>
      </c>
      <c r="H5868" t="str">
        <f t="shared" si="2259"/>
        <v/>
      </c>
      <c r="I5868" t="str">
        <f t="shared" si="2254"/>
        <v>CAMP LEJEUNE</v>
      </c>
      <c r="J5868" t="str">
        <f t="shared" si="2255"/>
        <v>NC</v>
      </c>
      <c r="K5868" t="str">
        <f t="shared" si="2249"/>
        <v>000000000000000000</v>
      </c>
      <c r="L5868" t="str">
        <f>T("9104518761")</f>
        <v>9104518761</v>
      </c>
    </row>
    <row r="5869" spans="1:12" x14ac:dyDescent="0.35">
      <c r="A5869" t="str">
        <f t="shared" si="2257"/>
        <v>2D MARDIV CAMP LEJEUNE</v>
      </c>
      <c r="B5869" t="str">
        <f t="shared" si="2250"/>
        <v>PO BOX 8478</v>
      </c>
      <c r="C5869" t="str">
        <f t="shared" si="2258"/>
        <v/>
      </c>
      <c r="D5869" t="str">
        <f t="shared" si="2251"/>
        <v>CAMP LEJEUNE</v>
      </c>
      <c r="E5869" t="str">
        <f t="shared" si="2252"/>
        <v>NC</v>
      </c>
      <c r="F5869" t="str">
        <f t="shared" si="2253"/>
        <v>285478478</v>
      </c>
      <c r="G5869" t="str">
        <f t="shared" si="2256"/>
        <v>PO BOX 8478</v>
      </c>
      <c r="H5869" t="str">
        <f t="shared" si="2259"/>
        <v/>
      </c>
      <c r="I5869" t="str">
        <f t="shared" si="2254"/>
        <v>CAMP LEJEUNE</v>
      </c>
      <c r="J5869" t="str">
        <f t="shared" si="2255"/>
        <v>NC</v>
      </c>
      <c r="K5869" t="str">
        <f t="shared" si="2249"/>
        <v>000000000000000000</v>
      </c>
      <c r="L5869" t="str">
        <f>T("9104518764")</f>
        <v>9104518764</v>
      </c>
    </row>
    <row r="5870" spans="1:12" x14ac:dyDescent="0.35">
      <c r="A5870" t="str">
        <f t="shared" si="2257"/>
        <v>2D MARDIV CAMP LEJEUNE</v>
      </c>
      <c r="B5870" t="str">
        <f t="shared" si="2250"/>
        <v>PO BOX 8478</v>
      </c>
      <c r="C5870" t="str">
        <f t="shared" si="2258"/>
        <v/>
      </c>
      <c r="D5870" t="str">
        <f t="shared" si="2251"/>
        <v>CAMP LEJEUNE</v>
      </c>
      <c r="E5870" t="str">
        <f t="shared" si="2252"/>
        <v>NC</v>
      </c>
      <c r="F5870" t="str">
        <f t="shared" si="2253"/>
        <v>285478478</v>
      </c>
      <c r="G5870" t="str">
        <f t="shared" si="2256"/>
        <v>PO BOX 8478</v>
      </c>
      <c r="H5870" t="str">
        <f t="shared" si="2259"/>
        <v/>
      </c>
      <c r="I5870" t="str">
        <f t="shared" si="2254"/>
        <v>CAMP LEJEUNE</v>
      </c>
      <c r="J5870" t="str">
        <f t="shared" si="2255"/>
        <v>NC</v>
      </c>
      <c r="K5870" t="str">
        <f t="shared" si="2249"/>
        <v>000000000000000000</v>
      </c>
      <c r="L5870" t="str">
        <f>T("9104518765")</f>
        <v>9104518765</v>
      </c>
    </row>
    <row r="5871" spans="1:12" x14ac:dyDescent="0.35">
      <c r="A5871" t="str">
        <f t="shared" si="2257"/>
        <v>2D MARDIV CAMP LEJEUNE</v>
      </c>
      <c r="B5871" t="str">
        <f t="shared" si="2250"/>
        <v>PO BOX 8478</v>
      </c>
      <c r="C5871" t="str">
        <f t="shared" si="2258"/>
        <v/>
      </c>
      <c r="D5871" t="str">
        <f t="shared" si="2251"/>
        <v>CAMP LEJEUNE</v>
      </c>
      <c r="E5871" t="str">
        <f t="shared" si="2252"/>
        <v>NC</v>
      </c>
      <c r="F5871" t="str">
        <f t="shared" si="2253"/>
        <v>285478478</v>
      </c>
      <c r="G5871" t="str">
        <f t="shared" si="2256"/>
        <v>PO BOX 8478</v>
      </c>
      <c r="H5871" t="str">
        <f t="shared" si="2259"/>
        <v/>
      </c>
      <c r="I5871" t="str">
        <f t="shared" si="2254"/>
        <v>CAMP LEJEUNE</v>
      </c>
      <c r="J5871" t="str">
        <f t="shared" si="2255"/>
        <v>NC</v>
      </c>
      <c r="K5871" t="str">
        <f t="shared" si="2249"/>
        <v>000000000000000000</v>
      </c>
      <c r="L5871" t="str">
        <f>T("9104518810")</f>
        <v>9104518810</v>
      </c>
    </row>
    <row r="5872" spans="1:12" x14ac:dyDescent="0.35">
      <c r="A5872" t="str">
        <f t="shared" si="2257"/>
        <v>2D MARDIV CAMP LEJEUNE</v>
      </c>
      <c r="B5872" t="str">
        <f t="shared" si="2250"/>
        <v>PO BOX 8478</v>
      </c>
      <c r="C5872" t="str">
        <f t="shared" si="2258"/>
        <v/>
      </c>
      <c r="D5872" t="str">
        <f t="shared" si="2251"/>
        <v>CAMP LEJEUNE</v>
      </c>
      <c r="E5872" t="str">
        <f t="shared" si="2252"/>
        <v>NC</v>
      </c>
      <c r="F5872" t="str">
        <f t="shared" si="2253"/>
        <v>285478478</v>
      </c>
      <c r="G5872" t="str">
        <f t="shared" si="2256"/>
        <v>PO BOX 8478</v>
      </c>
      <c r="H5872" t="str">
        <f t="shared" si="2259"/>
        <v/>
      </c>
      <c r="I5872" t="str">
        <f t="shared" si="2254"/>
        <v>CAMP LEJEUNE</v>
      </c>
      <c r="J5872" t="str">
        <f t="shared" si="2255"/>
        <v>NC</v>
      </c>
      <c r="K5872" t="str">
        <f t="shared" si="2249"/>
        <v>000000000000000000</v>
      </c>
      <c r="L5872" t="str">
        <f>T("9104574368")</f>
        <v>9104574368</v>
      </c>
    </row>
    <row r="5873" spans="1:12" x14ac:dyDescent="0.35">
      <c r="A5873" t="str">
        <f t="shared" si="2257"/>
        <v>2D MARDIV CAMP LEJEUNE</v>
      </c>
      <c r="B5873" t="str">
        <f t="shared" si="2250"/>
        <v>PO BOX 8478</v>
      </c>
      <c r="C5873" t="str">
        <f t="shared" si="2258"/>
        <v/>
      </c>
      <c r="D5873" t="str">
        <f t="shared" si="2251"/>
        <v>CAMP LEJEUNE</v>
      </c>
      <c r="E5873" t="str">
        <f t="shared" si="2252"/>
        <v>NC</v>
      </c>
      <c r="F5873" t="str">
        <f t="shared" si="2253"/>
        <v>285478478</v>
      </c>
      <c r="G5873" t="str">
        <f t="shared" si="2256"/>
        <v>PO BOX 8478</v>
      </c>
      <c r="H5873" t="str">
        <f>T("BLDG 1116")</f>
        <v>BLDG 1116</v>
      </c>
      <c r="I5873" t="str">
        <f t="shared" si="2254"/>
        <v>CAMP LEJEUNE</v>
      </c>
      <c r="J5873" t="str">
        <f t="shared" si="2255"/>
        <v>NC</v>
      </c>
      <c r="K5873" t="str">
        <f t="shared" si="2249"/>
        <v>000000000000000000</v>
      </c>
      <c r="L5873" t="str">
        <f>T("9104407516")</f>
        <v>9104407516</v>
      </c>
    </row>
    <row r="5874" spans="1:12" x14ac:dyDescent="0.35">
      <c r="A5874" t="str">
        <f t="shared" ref="A5874:A5921" si="2260">T("II MEF &amp; MEU CAMP LEJEUNE")</f>
        <v>II MEF &amp; MEU CAMP LEJEUNE</v>
      </c>
      <c r="B5874" t="str">
        <f t="shared" si="2250"/>
        <v>PO BOX 8478</v>
      </c>
      <c r="C5874" t="str">
        <f t="shared" si="2258"/>
        <v/>
      </c>
      <c r="D5874" t="str">
        <f t="shared" si="2251"/>
        <v>CAMP LEJEUNE</v>
      </c>
      <c r="E5874" t="str">
        <f t="shared" si="2252"/>
        <v>NC</v>
      </c>
      <c r="F5874" t="str">
        <f t="shared" si="2253"/>
        <v>285478478</v>
      </c>
      <c r="G5874" t="str">
        <f t="shared" si="2256"/>
        <v>PO BOX 8478</v>
      </c>
      <c r="H5874" t="str">
        <f t="shared" ref="H5874:H5918" si="2261">T("")</f>
        <v/>
      </c>
      <c r="I5874" t="str">
        <f t="shared" si="2254"/>
        <v>CAMP LEJEUNE</v>
      </c>
      <c r="J5874" t="str">
        <f t="shared" si="2255"/>
        <v>NC</v>
      </c>
      <c r="K5874" t="str">
        <f t="shared" ref="K5874:K5884" si="2262">T("")</f>
        <v/>
      </c>
      <c r="L5874" t="str">
        <f>T("9104498234")</f>
        <v>9104498234</v>
      </c>
    </row>
    <row r="5875" spans="1:12" x14ac:dyDescent="0.35">
      <c r="A5875" t="str">
        <f t="shared" si="2260"/>
        <v>II MEF &amp; MEU CAMP LEJEUNE</v>
      </c>
      <c r="B5875" t="str">
        <f t="shared" si="2250"/>
        <v>PO BOX 8478</v>
      </c>
      <c r="C5875" t="str">
        <f t="shared" si="2258"/>
        <v/>
      </c>
      <c r="D5875" t="str">
        <f t="shared" si="2251"/>
        <v>CAMP LEJEUNE</v>
      </c>
      <c r="E5875" t="str">
        <f t="shared" si="2252"/>
        <v>NC</v>
      </c>
      <c r="F5875" t="str">
        <f t="shared" si="2253"/>
        <v>285478478</v>
      </c>
      <c r="G5875" t="str">
        <f t="shared" si="2256"/>
        <v>PO BOX 8478</v>
      </c>
      <c r="H5875" t="str">
        <f t="shared" si="2261"/>
        <v/>
      </c>
      <c r="I5875" t="str">
        <f t="shared" si="2254"/>
        <v>CAMP LEJEUNE</v>
      </c>
      <c r="J5875" t="str">
        <f t="shared" si="2255"/>
        <v>NC</v>
      </c>
      <c r="K5875" t="str">
        <f t="shared" si="2262"/>
        <v/>
      </c>
      <c r="L5875" t="str">
        <f>T("9104498564")</f>
        <v>9104498564</v>
      </c>
    </row>
    <row r="5876" spans="1:12" x14ac:dyDescent="0.35">
      <c r="A5876" t="str">
        <f t="shared" si="2260"/>
        <v>II MEF &amp; MEU CAMP LEJEUNE</v>
      </c>
      <c r="B5876" t="str">
        <f t="shared" si="2250"/>
        <v>PO BOX 8478</v>
      </c>
      <c r="C5876" t="str">
        <f t="shared" si="2258"/>
        <v/>
      </c>
      <c r="D5876" t="str">
        <f t="shared" si="2251"/>
        <v>CAMP LEJEUNE</v>
      </c>
      <c r="E5876" t="str">
        <f t="shared" si="2252"/>
        <v>NC</v>
      </c>
      <c r="F5876" t="str">
        <f t="shared" si="2253"/>
        <v>285478478</v>
      </c>
      <c r="G5876" t="str">
        <f t="shared" si="2256"/>
        <v>PO BOX 8478</v>
      </c>
      <c r="H5876" t="str">
        <f t="shared" si="2261"/>
        <v/>
      </c>
      <c r="I5876" t="str">
        <f t="shared" si="2254"/>
        <v>CAMP LEJEUNE</v>
      </c>
      <c r="J5876" t="str">
        <f t="shared" si="2255"/>
        <v>NC</v>
      </c>
      <c r="K5876" t="str">
        <f t="shared" si="2262"/>
        <v/>
      </c>
      <c r="L5876" t="str">
        <f>T("9104505771")</f>
        <v>9104505771</v>
      </c>
    </row>
    <row r="5877" spans="1:12" x14ac:dyDescent="0.35">
      <c r="A5877" t="str">
        <f t="shared" si="2260"/>
        <v>II MEF &amp; MEU CAMP LEJEUNE</v>
      </c>
      <c r="B5877" t="str">
        <f t="shared" si="2250"/>
        <v>PO BOX 8478</v>
      </c>
      <c r="C5877" t="str">
        <f t="shared" si="2258"/>
        <v/>
      </c>
      <c r="D5877" t="str">
        <f t="shared" si="2251"/>
        <v>CAMP LEJEUNE</v>
      </c>
      <c r="E5877" t="str">
        <f t="shared" si="2252"/>
        <v>NC</v>
      </c>
      <c r="F5877" t="str">
        <f t="shared" si="2253"/>
        <v>285478478</v>
      </c>
      <c r="G5877" t="str">
        <f t="shared" si="2256"/>
        <v>PO BOX 8478</v>
      </c>
      <c r="H5877" t="str">
        <f t="shared" si="2261"/>
        <v/>
      </c>
      <c r="I5877" t="str">
        <f t="shared" si="2254"/>
        <v>CAMP LEJEUNE</v>
      </c>
      <c r="J5877" t="str">
        <f t="shared" si="2255"/>
        <v>NC</v>
      </c>
      <c r="K5877" t="str">
        <f t="shared" si="2262"/>
        <v/>
      </c>
      <c r="L5877" t="str">
        <f>T("9104505888")</f>
        <v>9104505888</v>
      </c>
    </row>
    <row r="5878" spans="1:12" x14ac:dyDescent="0.35">
      <c r="A5878" t="str">
        <f t="shared" si="2260"/>
        <v>II MEF &amp; MEU CAMP LEJEUNE</v>
      </c>
      <c r="B5878" t="str">
        <f t="shared" si="2250"/>
        <v>PO BOX 8478</v>
      </c>
      <c r="C5878" t="str">
        <f t="shared" si="2258"/>
        <v/>
      </c>
      <c r="D5878" t="str">
        <f t="shared" si="2251"/>
        <v>CAMP LEJEUNE</v>
      </c>
      <c r="E5878" t="str">
        <f t="shared" si="2252"/>
        <v>NC</v>
      </c>
      <c r="F5878" t="str">
        <f t="shared" si="2253"/>
        <v>285478478</v>
      </c>
      <c r="G5878" t="str">
        <f t="shared" si="2256"/>
        <v>PO BOX 8478</v>
      </c>
      <c r="H5878" t="str">
        <f t="shared" si="2261"/>
        <v/>
      </c>
      <c r="I5878" t="str">
        <f t="shared" si="2254"/>
        <v>CAMP LEJEUNE</v>
      </c>
      <c r="J5878" t="str">
        <f t="shared" si="2255"/>
        <v>NC</v>
      </c>
      <c r="K5878" t="str">
        <f t="shared" si="2262"/>
        <v/>
      </c>
      <c r="L5878" t="str">
        <f>T("9104507145")</f>
        <v>9104507145</v>
      </c>
    </row>
    <row r="5879" spans="1:12" x14ac:dyDescent="0.35">
      <c r="A5879" t="str">
        <f t="shared" si="2260"/>
        <v>II MEF &amp; MEU CAMP LEJEUNE</v>
      </c>
      <c r="B5879" t="str">
        <f t="shared" si="2250"/>
        <v>PO BOX 8478</v>
      </c>
      <c r="C5879" t="str">
        <f t="shared" si="2258"/>
        <v/>
      </c>
      <c r="D5879" t="str">
        <f t="shared" si="2251"/>
        <v>CAMP LEJEUNE</v>
      </c>
      <c r="E5879" t="str">
        <f t="shared" si="2252"/>
        <v>NC</v>
      </c>
      <c r="F5879" t="str">
        <f t="shared" si="2253"/>
        <v>285478478</v>
      </c>
      <c r="G5879" t="str">
        <f t="shared" si="2256"/>
        <v>PO BOX 8478</v>
      </c>
      <c r="H5879" t="str">
        <f t="shared" si="2261"/>
        <v/>
      </c>
      <c r="I5879" t="str">
        <f t="shared" si="2254"/>
        <v>CAMP LEJEUNE</v>
      </c>
      <c r="J5879" t="str">
        <f t="shared" si="2255"/>
        <v>NC</v>
      </c>
      <c r="K5879" t="str">
        <f t="shared" si="2262"/>
        <v/>
      </c>
      <c r="L5879" t="str">
        <f>T("9104509226")</f>
        <v>9104509226</v>
      </c>
    </row>
    <row r="5880" spans="1:12" x14ac:dyDescent="0.35">
      <c r="A5880" t="str">
        <f t="shared" si="2260"/>
        <v>II MEF &amp; MEU CAMP LEJEUNE</v>
      </c>
      <c r="B5880" t="str">
        <f t="shared" si="2250"/>
        <v>PO BOX 8478</v>
      </c>
      <c r="C5880" t="str">
        <f t="shared" si="2258"/>
        <v/>
      </c>
      <c r="D5880" t="str">
        <f t="shared" si="2251"/>
        <v>CAMP LEJEUNE</v>
      </c>
      <c r="E5880" t="str">
        <f t="shared" si="2252"/>
        <v>NC</v>
      </c>
      <c r="F5880" t="str">
        <f t="shared" si="2253"/>
        <v>285478478</v>
      </c>
      <c r="G5880" t="str">
        <f t="shared" si="2256"/>
        <v>PO BOX 8478</v>
      </c>
      <c r="H5880" t="str">
        <f t="shared" si="2261"/>
        <v/>
      </c>
      <c r="I5880" t="str">
        <f t="shared" si="2254"/>
        <v>CAMP LEJEUNE</v>
      </c>
      <c r="J5880" t="str">
        <f t="shared" si="2255"/>
        <v>NC</v>
      </c>
      <c r="K5880" t="str">
        <f t="shared" si="2262"/>
        <v/>
      </c>
      <c r="L5880" t="str">
        <f>T("9104510618")</f>
        <v>9104510618</v>
      </c>
    </row>
    <row r="5881" spans="1:12" x14ac:dyDescent="0.35">
      <c r="A5881" t="str">
        <f t="shared" si="2260"/>
        <v>II MEF &amp; MEU CAMP LEJEUNE</v>
      </c>
      <c r="B5881" t="str">
        <f t="shared" si="2250"/>
        <v>PO BOX 8478</v>
      </c>
      <c r="C5881" t="str">
        <f t="shared" si="2258"/>
        <v/>
      </c>
      <c r="D5881" t="str">
        <f t="shared" si="2251"/>
        <v>CAMP LEJEUNE</v>
      </c>
      <c r="E5881" t="str">
        <f t="shared" si="2252"/>
        <v>NC</v>
      </c>
      <c r="F5881" t="str">
        <f t="shared" si="2253"/>
        <v>285478478</v>
      </c>
      <c r="G5881" t="str">
        <f t="shared" si="2256"/>
        <v>PO BOX 8478</v>
      </c>
      <c r="H5881" t="str">
        <f t="shared" si="2261"/>
        <v/>
      </c>
      <c r="I5881" t="str">
        <f t="shared" si="2254"/>
        <v>CAMP LEJEUNE</v>
      </c>
      <c r="J5881" t="str">
        <f t="shared" si="2255"/>
        <v>NC</v>
      </c>
      <c r="K5881" t="str">
        <f t="shared" si="2262"/>
        <v/>
      </c>
      <c r="L5881" t="str">
        <f>T("9104513906")</f>
        <v>9104513906</v>
      </c>
    </row>
    <row r="5882" spans="1:12" x14ac:dyDescent="0.35">
      <c r="A5882" t="str">
        <f t="shared" si="2260"/>
        <v>II MEF &amp; MEU CAMP LEJEUNE</v>
      </c>
      <c r="B5882" t="str">
        <f t="shared" si="2250"/>
        <v>PO BOX 8478</v>
      </c>
      <c r="C5882" t="str">
        <f t="shared" si="2258"/>
        <v/>
      </c>
      <c r="D5882" t="str">
        <f t="shared" si="2251"/>
        <v>CAMP LEJEUNE</v>
      </c>
      <c r="E5882" t="str">
        <f t="shared" si="2252"/>
        <v>NC</v>
      </c>
      <c r="F5882" t="str">
        <f t="shared" si="2253"/>
        <v>285478478</v>
      </c>
      <c r="G5882" t="str">
        <f t="shared" si="2256"/>
        <v>PO BOX 8478</v>
      </c>
      <c r="H5882" t="str">
        <f t="shared" si="2261"/>
        <v/>
      </c>
      <c r="I5882" t="str">
        <f t="shared" si="2254"/>
        <v>CAMP LEJEUNE</v>
      </c>
      <c r="J5882" t="str">
        <f t="shared" si="2255"/>
        <v>NC</v>
      </c>
      <c r="K5882" t="str">
        <f t="shared" si="2262"/>
        <v/>
      </c>
      <c r="L5882" t="str">
        <f>T("9104515440")</f>
        <v>9104515440</v>
      </c>
    </row>
    <row r="5883" spans="1:12" x14ac:dyDescent="0.35">
      <c r="A5883" t="str">
        <f t="shared" si="2260"/>
        <v>II MEF &amp; MEU CAMP LEJEUNE</v>
      </c>
      <c r="B5883" t="str">
        <f t="shared" si="2250"/>
        <v>PO BOX 8478</v>
      </c>
      <c r="C5883" t="str">
        <f t="shared" si="2258"/>
        <v/>
      </c>
      <c r="D5883" t="str">
        <f t="shared" si="2251"/>
        <v>CAMP LEJEUNE</v>
      </c>
      <c r="E5883" t="str">
        <f t="shared" si="2252"/>
        <v>NC</v>
      </c>
      <c r="F5883" t="str">
        <f t="shared" si="2253"/>
        <v>285478478</v>
      </c>
      <c r="G5883" t="str">
        <f t="shared" si="2256"/>
        <v>PO BOX 8478</v>
      </c>
      <c r="H5883" t="str">
        <f t="shared" si="2261"/>
        <v/>
      </c>
      <c r="I5883" t="str">
        <f t="shared" si="2254"/>
        <v>CAMP LEJEUNE</v>
      </c>
      <c r="J5883" t="str">
        <f t="shared" si="2255"/>
        <v>NC</v>
      </c>
      <c r="K5883" t="str">
        <f t="shared" si="2262"/>
        <v/>
      </c>
      <c r="L5883" t="str">
        <f>T("9104518016")</f>
        <v>9104518016</v>
      </c>
    </row>
    <row r="5884" spans="1:12" x14ac:dyDescent="0.35">
      <c r="A5884" t="str">
        <f t="shared" si="2260"/>
        <v>II MEF &amp; MEU CAMP LEJEUNE</v>
      </c>
      <c r="B5884" t="str">
        <f t="shared" si="2250"/>
        <v>PO BOX 8478</v>
      </c>
      <c r="C5884" t="str">
        <f t="shared" si="2258"/>
        <v/>
      </c>
      <c r="D5884" t="str">
        <f t="shared" si="2251"/>
        <v>CAMP LEJEUNE</v>
      </c>
      <c r="E5884" t="str">
        <f t="shared" si="2252"/>
        <v>NC</v>
      </c>
      <c r="F5884" t="str">
        <f t="shared" si="2253"/>
        <v>285478478</v>
      </c>
      <c r="G5884" t="str">
        <f t="shared" si="2256"/>
        <v>PO BOX 8478</v>
      </c>
      <c r="H5884" t="str">
        <f t="shared" si="2261"/>
        <v/>
      </c>
      <c r="I5884" t="str">
        <f t="shared" si="2254"/>
        <v>CAMP LEJEUNE</v>
      </c>
      <c r="J5884" t="str">
        <f t="shared" si="2255"/>
        <v>NC</v>
      </c>
      <c r="K5884" t="str">
        <f t="shared" si="2262"/>
        <v/>
      </c>
      <c r="L5884" t="str">
        <f>T("9104519286")</f>
        <v>9104519286</v>
      </c>
    </row>
    <row r="5885" spans="1:12" x14ac:dyDescent="0.35">
      <c r="A5885" t="str">
        <f t="shared" si="2260"/>
        <v>II MEF &amp; MEU CAMP LEJEUNE</v>
      </c>
      <c r="B5885" t="str">
        <f t="shared" si="2250"/>
        <v>PO BOX 8478</v>
      </c>
      <c r="C5885" t="str">
        <f t="shared" si="2258"/>
        <v/>
      </c>
      <c r="D5885" t="str">
        <f t="shared" si="2251"/>
        <v>CAMP LEJEUNE</v>
      </c>
      <c r="E5885" t="str">
        <f t="shared" si="2252"/>
        <v>NC</v>
      </c>
      <c r="F5885" t="str">
        <f t="shared" si="2253"/>
        <v>285478478</v>
      </c>
      <c r="G5885" t="str">
        <f t="shared" si="2256"/>
        <v>PO BOX 8478</v>
      </c>
      <c r="H5885" t="str">
        <f t="shared" si="2261"/>
        <v/>
      </c>
      <c r="I5885" t="str">
        <f t="shared" si="2254"/>
        <v>CAMP LEJEUNE</v>
      </c>
      <c r="J5885" t="str">
        <f t="shared" si="2255"/>
        <v>NC</v>
      </c>
      <c r="K5885" t="str">
        <f t="shared" ref="K5885:K5915" si="2263">T("000000000000000000")</f>
        <v>000000000000000000</v>
      </c>
      <c r="L5885" t="str">
        <f>T("3123788428")</f>
        <v>3123788428</v>
      </c>
    </row>
    <row r="5886" spans="1:12" x14ac:dyDescent="0.35">
      <c r="A5886" t="str">
        <f t="shared" si="2260"/>
        <v>II MEF &amp; MEU CAMP LEJEUNE</v>
      </c>
      <c r="B5886" t="str">
        <f t="shared" si="2250"/>
        <v>PO BOX 8478</v>
      </c>
      <c r="C5886" t="str">
        <f t="shared" si="2258"/>
        <v/>
      </c>
      <c r="D5886" t="str">
        <f t="shared" si="2251"/>
        <v>CAMP LEJEUNE</v>
      </c>
      <c r="E5886" t="str">
        <f t="shared" si="2252"/>
        <v>NC</v>
      </c>
      <c r="F5886" t="str">
        <f t="shared" si="2253"/>
        <v>285478478</v>
      </c>
      <c r="G5886" t="str">
        <f t="shared" si="2256"/>
        <v>PO BOX 8478</v>
      </c>
      <c r="H5886" t="str">
        <f t="shared" si="2261"/>
        <v/>
      </c>
      <c r="I5886" t="str">
        <f t="shared" si="2254"/>
        <v>CAMP LEJEUNE</v>
      </c>
      <c r="J5886" t="str">
        <f t="shared" si="2255"/>
        <v>NC</v>
      </c>
      <c r="K5886" t="str">
        <f t="shared" si="2263"/>
        <v>000000000000000000</v>
      </c>
      <c r="L5886" t="str">
        <f>T("9103581475")</f>
        <v>9103581475</v>
      </c>
    </row>
    <row r="5887" spans="1:12" x14ac:dyDescent="0.35">
      <c r="A5887" t="str">
        <f t="shared" si="2260"/>
        <v>II MEF &amp; MEU CAMP LEJEUNE</v>
      </c>
      <c r="B5887" t="str">
        <f t="shared" si="2250"/>
        <v>PO BOX 8478</v>
      </c>
      <c r="C5887" t="str">
        <f t="shared" si="2258"/>
        <v/>
      </c>
      <c r="D5887" t="str">
        <f t="shared" si="2251"/>
        <v>CAMP LEJEUNE</v>
      </c>
      <c r="E5887" t="str">
        <f t="shared" si="2252"/>
        <v>NC</v>
      </c>
      <c r="F5887" t="str">
        <f t="shared" si="2253"/>
        <v>285478478</v>
      </c>
      <c r="G5887" t="str">
        <f t="shared" si="2256"/>
        <v>PO BOX 8478</v>
      </c>
      <c r="H5887" t="str">
        <f t="shared" si="2261"/>
        <v/>
      </c>
      <c r="I5887" t="str">
        <f t="shared" si="2254"/>
        <v>CAMP LEJEUNE</v>
      </c>
      <c r="J5887" t="str">
        <f t="shared" si="2255"/>
        <v>NC</v>
      </c>
      <c r="K5887" t="str">
        <f t="shared" si="2263"/>
        <v>000000000000000000</v>
      </c>
      <c r="L5887" t="str">
        <f>T("9104402548")</f>
        <v>9104402548</v>
      </c>
    </row>
    <row r="5888" spans="1:12" x14ac:dyDescent="0.35">
      <c r="A5888" t="str">
        <f t="shared" si="2260"/>
        <v>II MEF &amp; MEU CAMP LEJEUNE</v>
      </c>
      <c r="B5888" t="str">
        <f t="shared" si="2250"/>
        <v>PO BOX 8478</v>
      </c>
      <c r="C5888" t="str">
        <f t="shared" si="2258"/>
        <v/>
      </c>
      <c r="D5888" t="str">
        <f t="shared" si="2251"/>
        <v>CAMP LEJEUNE</v>
      </c>
      <c r="E5888" t="str">
        <f t="shared" si="2252"/>
        <v>NC</v>
      </c>
      <c r="F5888" t="str">
        <f t="shared" si="2253"/>
        <v>285478478</v>
      </c>
      <c r="G5888" t="str">
        <f t="shared" si="2256"/>
        <v>PO BOX 8478</v>
      </c>
      <c r="H5888" t="str">
        <f t="shared" si="2261"/>
        <v/>
      </c>
      <c r="I5888" t="str">
        <f t="shared" si="2254"/>
        <v>CAMP LEJEUNE</v>
      </c>
      <c r="J5888" t="str">
        <f t="shared" si="2255"/>
        <v>NC</v>
      </c>
      <c r="K5888" t="str">
        <f t="shared" si="2263"/>
        <v>000000000000000000</v>
      </c>
      <c r="L5888" t="str">
        <f>T("9104498567")</f>
        <v>9104498567</v>
      </c>
    </row>
    <row r="5889" spans="1:12" x14ac:dyDescent="0.35">
      <c r="A5889" t="str">
        <f t="shared" si="2260"/>
        <v>II MEF &amp; MEU CAMP LEJEUNE</v>
      </c>
      <c r="B5889" t="str">
        <f t="shared" si="2250"/>
        <v>PO BOX 8478</v>
      </c>
      <c r="C5889" t="str">
        <f t="shared" si="2258"/>
        <v/>
      </c>
      <c r="D5889" t="str">
        <f t="shared" si="2251"/>
        <v>CAMP LEJEUNE</v>
      </c>
      <c r="E5889" t="str">
        <f t="shared" si="2252"/>
        <v>NC</v>
      </c>
      <c r="F5889" t="str">
        <f t="shared" si="2253"/>
        <v>285478478</v>
      </c>
      <c r="G5889" t="str">
        <f t="shared" si="2256"/>
        <v>PO BOX 8478</v>
      </c>
      <c r="H5889" t="str">
        <f t="shared" si="2261"/>
        <v/>
      </c>
      <c r="I5889" t="str">
        <f t="shared" si="2254"/>
        <v>CAMP LEJEUNE</v>
      </c>
      <c r="J5889" t="str">
        <f t="shared" si="2255"/>
        <v>NC</v>
      </c>
      <c r="K5889" t="str">
        <f t="shared" si="2263"/>
        <v>000000000000000000</v>
      </c>
      <c r="L5889" t="str">
        <f>T("9104505776")</f>
        <v>9104505776</v>
      </c>
    </row>
    <row r="5890" spans="1:12" x14ac:dyDescent="0.35">
      <c r="A5890" t="str">
        <f t="shared" si="2260"/>
        <v>II MEF &amp; MEU CAMP LEJEUNE</v>
      </c>
      <c r="B5890" t="str">
        <f t="shared" si="2250"/>
        <v>PO BOX 8478</v>
      </c>
      <c r="C5890" t="str">
        <f t="shared" si="2258"/>
        <v/>
      </c>
      <c r="D5890" t="str">
        <f t="shared" si="2251"/>
        <v>CAMP LEJEUNE</v>
      </c>
      <c r="E5890" t="str">
        <f t="shared" si="2252"/>
        <v>NC</v>
      </c>
      <c r="F5890" t="str">
        <f t="shared" si="2253"/>
        <v>285478478</v>
      </c>
      <c r="G5890" t="str">
        <f t="shared" si="2256"/>
        <v>PO BOX 8478</v>
      </c>
      <c r="H5890" t="str">
        <f t="shared" si="2261"/>
        <v/>
      </c>
      <c r="I5890" t="str">
        <f t="shared" si="2254"/>
        <v>CAMP LEJEUNE</v>
      </c>
      <c r="J5890" t="str">
        <f t="shared" si="2255"/>
        <v>NC</v>
      </c>
      <c r="K5890" t="str">
        <f t="shared" si="2263"/>
        <v>000000000000000000</v>
      </c>
      <c r="L5890" t="str">
        <f>T("9104505911")</f>
        <v>9104505911</v>
      </c>
    </row>
    <row r="5891" spans="1:12" x14ac:dyDescent="0.35">
      <c r="A5891" t="str">
        <f t="shared" si="2260"/>
        <v>II MEF &amp; MEU CAMP LEJEUNE</v>
      </c>
      <c r="B5891" t="str">
        <f t="shared" si="2250"/>
        <v>PO BOX 8478</v>
      </c>
      <c r="C5891" t="str">
        <f t="shared" si="2258"/>
        <v/>
      </c>
      <c r="D5891" t="str">
        <f t="shared" si="2251"/>
        <v>CAMP LEJEUNE</v>
      </c>
      <c r="E5891" t="str">
        <f t="shared" si="2252"/>
        <v>NC</v>
      </c>
      <c r="F5891" t="str">
        <f t="shared" si="2253"/>
        <v>285478478</v>
      </c>
      <c r="G5891" t="str">
        <f t="shared" si="2256"/>
        <v>PO BOX 8478</v>
      </c>
      <c r="H5891" t="str">
        <f t="shared" si="2261"/>
        <v/>
      </c>
      <c r="I5891" t="str">
        <f t="shared" si="2254"/>
        <v>CAMP LEJEUNE</v>
      </c>
      <c r="J5891" t="str">
        <f t="shared" si="2255"/>
        <v>NC</v>
      </c>
      <c r="K5891" t="str">
        <f t="shared" si="2263"/>
        <v>000000000000000000</v>
      </c>
      <c r="L5891" t="str">
        <f>T("9104505912")</f>
        <v>9104505912</v>
      </c>
    </row>
    <row r="5892" spans="1:12" x14ac:dyDescent="0.35">
      <c r="A5892" t="str">
        <f t="shared" si="2260"/>
        <v>II MEF &amp; MEU CAMP LEJEUNE</v>
      </c>
      <c r="B5892" t="str">
        <f t="shared" si="2250"/>
        <v>PO BOX 8478</v>
      </c>
      <c r="C5892" t="str">
        <f t="shared" si="2258"/>
        <v/>
      </c>
      <c r="D5892" t="str">
        <f t="shared" si="2251"/>
        <v>CAMP LEJEUNE</v>
      </c>
      <c r="E5892" t="str">
        <f t="shared" si="2252"/>
        <v>NC</v>
      </c>
      <c r="F5892" t="str">
        <f t="shared" si="2253"/>
        <v>285478478</v>
      </c>
      <c r="G5892" t="str">
        <f t="shared" si="2256"/>
        <v>PO BOX 8478</v>
      </c>
      <c r="H5892" t="str">
        <f t="shared" si="2261"/>
        <v/>
      </c>
      <c r="I5892" t="str">
        <f t="shared" si="2254"/>
        <v>CAMP LEJEUNE</v>
      </c>
      <c r="J5892" t="str">
        <f t="shared" si="2255"/>
        <v>NC</v>
      </c>
      <c r="K5892" t="str">
        <f t="shared" si="2263"/>
        <v>000000000000000000</v>
      </c>
      <c r="L5892" t="str">
        <f>T("9104506096")</f>
        <v>9104506096</v>
      </c>
    </row>
    <row r="5893" spans="1:12" x14ac:dyDescent="0.35">
      <c r="A5893" t="str">
        <f t="shared" si="2260"/>
        <v>II MEF &amp; MEU CAMP LEJEUNE</v>
      </c>
      <c r="B5893" t="str">
        <f t="shared" si="2250"/>
        <v>PO BOX 8478</v>
      </c>
      <c r="C5893" t="str">
        <f t="shared" si="2258"/>
        <v/>
      </c>
      <c r="D5893" t="str">
        <f t="shared" si="2251"/>
        <v>CAMP LEJEUNE</v>
      </c>
      <c r="E5893" t="str">
        <f t="shared" si="2252"/>
        <v>NC</v>
      </c>
      <c r="F5893" t="str">
        <f t="shared" si="2253"/>
        <v>285478478</v>
      </c>
      <c r="G5893" t="str">
        <f t="shared" si="2256"/>
        <v>PO BOX 8478</v>
      </c>
      <c r="H5893" t="str">
        <f t="shared" si="2261"/>
        <v/>
      </c>
      <c r="I5893" t="str">
        <f t="shared" si="2254"/>
        <v>CAMP LEJEUNE</v>
      </c>
      <c r="J5893" t="str">
        <f t="shared" si="2255"/>
        <v>NC</v>
      </c>
      <c r="K5893" t="str">
        <f t="shared" si="2263"/>
        <v>000000000000000000</v>
      </c>
      <c r="L5893" t="str">
        <f>T("9104506506")</f>
        <v>9104506506</v>
      </c>
    </row>
    <row r="5894" spans="1:12" x14ac:dyDescent="0.35">
      <c r="A5894" t="str">
        <f t="shared" si="2260"/>
        <v>II MEF &amp; MEU CAMP LEJEUNE</v>
      </c>
      <c r="B5894" t="str">
        <f t="shared" si="2250"/>
        <v>PO BOX 8478</v>
      </c>
      <c r="C5894" t="str">
        <f t="shared" si="2258"/>
        <v/>
      </c>
      <c r="D5894" t="str">
        <f t="shared" si="2251"/>
        <v>CAMP LEJEUNE</v>
      </c>
      <c r="E5894" t="str">
        <f t="shared" si="2252"/>
        <v>NC</v>
      </c>
      <c r="F5894" t="str">
        <f t="shared" si="2253"/>
        <v>285478478</v>
      </c>
      <c r="G5894" t="str">
        <f t="shared" si="2256"/>
        <v>PO BOX 8478</v>
      </c>
      <c r="H5894" t="str">
        <f t="shared" si="2261"/>
        <v/>
      </c>
      <c r="I5894" t="str">
        <f t="shared" si="2254"/>
        <v>CAMP LEJEUNE</v>
      </c>
      <c r="J5894" t="str">
        <f t="shared" si="2255"/>
        <v>NC</v>
      </c>
      <c r="K5894" t="str">
        <f t="shared" si="2263"/>
        <v>000000000000000000</v>
      </c>
      <c r="L5894" t="str">
        <f>T("9104507145")</f>
        <v>9104507145</v>
      </c>
    </row>
    <row r="5895" spans="1:12" x14ac:dyDescent="0.35">
      <c r="A5895" t="str">
        <f t="shared" si="2260"/>
        <v>II MEF &amp; MEU CAMP LEJEUNE</v>
      </c>
      <c r="B5895" t="str">
        <f t="shared" si="2250"/>
        <v>PO BOX 8478</v>
      </c>
      <c r="C5895" t="str">
        <f t="shared" si="2258"/>
        <v/>
      </c>
      <c r="D5895" t="str">
        <f t="shared" si="2251"/>
        <v>CAMP LEJEUNE</v>
      </c>
      <c r="E5895" t="str">
        <f t="shared" si="2252"/>
        <v>NC</v>
      </c>
      <c r="F5895" t="str">
        <f t="shared" si="2253"/>
        <v>285478478</v>
      </c>
      <c r="G5895" t="str">
        <f t="shared" si="2256"/>
        <v>PO BOX 8478</v>
      </c>
      <c r="H5895" t="str">
        <f t="shared" si="2261"/>
        <v/>
      </c>
      <c r="I5895" t="str">
        <f t="shared" si="2254"/>
        <v>CAMP LEJEUNE</v>
      </c>
      <c r="J5895" t="str">
        <f t="shared" si="2255"/>
        <v>NC</v>
      </c>
      <c r="K5895" t="str">
        <f t="shared" si="2263"/>
        <v>000000000000000000</v>
      </c>
      <c r="L5895" t="str">
        <f>T("9104507752")</f>
        <v>9104507752</v>
      </c>
    </row>
    <row r="5896" spans="1:12" x14ac:dyDescent="0.35">
      <c r="A5896" t="str">
        <f t="shared" si="2260"/>
        <v>II MEF &amp; MEU CAMP LEJEUNE</v>
      </c>
      <c r="B5896" t="str">
        <f t="shared" si="2250"/>
        <v>PO BOX 8478</v>
      </c>
      <c r="C5896" t="str">
        <f t="shared" ref="C5896:C5916" si="2264">T("")</f>
        <v/>
      </c>
      <c r="D5896" t="str">
        <f t="shared" si="2251"/>
        <v>CAMP LEJEUNE</v>
      </c>
      <c r="E5896" t="str">
        <f t="shared" si="2252"/>
        <v>NC</v>
      </c>
      <c r="F5896" t="str">
        <f t="shared" si="2253"/>
        <v>285478478</v>
      </c>
      <c r="G5896" t="str">
        <f t="shared" si="2256"/>
        <v>PO BOX 8478</v>
      </c>
      <c r="H5896" t="str">
        <f t="shared" si="2261"/>
        <v/>
      </c>
      <c r="I5896" t="str">
        <f t="shared" si="2254"/>
        <v>CAMP LEJEUNE</v>
      </c>
      <c r="J5896" t="str">
        <f t="shared" si="2255"/>
        <v>NC</v>
      </c>
      <c r="K5896" t="str">
        <f t="shared" si="2263"/>
        <v>000000000000000000</v>
      </c>
      <c r="L5896" t="str">
        <f>T("9104507842")</f>
        <v>9104507842</v>
      </c>
    </row>
    <row r="5897" spans="1:12" x14ac:dyDescent="0.35">
      <c r="A5897" t="str">
        <f t="shared" si="2260"/>
        <v>II MEF &amp; MEU CAMP LEJEUNE</v>
      </c>
      <c r="B5897" t="str">
        <f t="shared" si="2250"/>
        <v>PO BOX 8478</v>
      </c>
      <c r="C5897" t="str">
        <f t="shared" si="2264"/>
        <v/>
      </c>
      <c r="D5897" t="str">
        <f t="shared" si="2251"/>
        <v>CAMP LEJEUNE</v>
      </c>
      <c r="E5897" t="str">
        <f t="shared" si="2252"/>
        <v>NC</v>
      </c>
      <c r="F5897" t="str">
        <f t="shared" si="2253"/>
        <v>285478478</v>
      </c>
      <c r="G5897" t="str">
        <f t="shared" si="2256"/>
        <v>PO BOX 8478</v>
      </c>
      <c r="H5897" t="str">
        <f t="shared" si="2261"/>
        <v/>
      </c>
      <c r="I5897" t="str">
        <f t="shared" si="2254"/>
        <v>CAMP LEJEUNE</v>
      </c>
      <c r="J5897" t="str">
        <f t="shared" si="2255"/>
        <v>NC</v>
      </c>
      <c r="K5897" t="str">
        <f t="shared" si="2263"/>
        <v>000000000000000000</v>
      </c>
      <c r="L5897" t="str">
        <f>T("9104510415")</f>
        <v>9104510415</v>
      </c>
    </row>
    <row r="5898" spans="1:12" x14ac:dyDescent="0.35">
      <c r="A5898" t="str">
        <f t="shared" si="2260"/>
        <v>II MEF &amp; MEU CAMP LEJEUNE</v>
      </c>
      <c r="B5898" t="str">
        <f t="shared" si="2250"/>
        <v>PO BOX 8478</v>
      </c>
      <c r="C5898" t="str">
        <f t="shared" si="2264"/>
        <v/>
      </c>
      <c r="D5898" t="str">
        <f t="shared" si="2251"/>
        <v>CAMP LEJEUNE</v>
      </c>
      <c r="E5898" t="str">
        <f t="shared" si="2252"/>
        <v>NC</v>
      </c>
      <c r="F5898" t="str">
        <f t="shared" si="2253"/>
        <v>285478478</v>
      </c>
      <c r="G5898" t="str">
        <f t="shared" si="2256"/>
        <v>PO BOX 8478</v>
      </c>
      <c r="H5898" t="str">
        <f t="shared" si="2261"/>
        <v/>
      </c>
      <c r="I5898" t="str">
        <f t="shared" si="2254"/>
        <v>CAMP LEJEUNE</v>
      </c>
      <c r="J5898" t="str">
        <f t="shared" si="2255"/>
        <v>NC</v>
      </c>
      <c r="K5898" t="str">
        <f t="shared" si="2263"/>
        <v>000000000000000000</v>
      </c>
      <c r="L5898" t="str">
        <f>T("9104510618")</f>
        <v>9104510618</v>
      </c>
    </row>
    <row r="5899" spans="1:12" x14ac:dyDescent="0.35">
      <c r="A5899" t="str">
        <f t="shared" si="2260"/>
        <v>II MEF &amp; MEU CAMP LEJEUNE</v>
      </c>
      <c r="B5899" t="str">
        <f t="shared" si="2250"/>
        <v>PO BOX 8478</v>
      </c>
      <c r="C5899" t="str">
        <f t="shared" si="2264"/>
        <v/>
      </c>
      <c r="D5899" t="str">
        <f t="shared" si="2251"/>
        <v>CAMP LEJEUNE</v>
      </c>
      <c r="E5899" t="str">
        <f t="shared" si="2252"/>
        <v>NC</v>
      </c>
      <c r="F5899" t="str">
        <f t="shared" si="2253"/>
        <v>285478478</v>
      </c>
      <c r="G5899" t="str">
        <f t="shared" si="2256"/>
        <v>PO BOX 8478</v>
      </c>
      <c r="H5899" t="str">
        <f t="shared" si="2261"/>
        <v/>
      </c>
      <c r="I5899" t="str">
        <f t="shared" si="2254"/>
        <v>CAMP LEJEUNE</v>
      </c>
      <c r="J5899" t="str">
        <f t="shared" si="2255"/>
        <v>NC</v>
      </c>
      <c r="K5899" t="str">
        <f t="shared" si="2263"/>
        <v>000000000000000000</v>
      </c>
      <c r="L5899" t="str">
        <f>T("9104511931")</f>
        <v>9104511931</v>
      </c>
    </row>
    <row r="5900" spans="1:12" x14ac:dyDescent="0.35">
      <c r="A5900" t="str">
        <f t="shared" si="2260"/>
        <v>II MEF &amp; MEU CAMP LEJEUNE</v>
      </c>
      <c r="B5900" t="str">
        <f t="shared" si="2250"/>
        <v>PO BOX 8478</v>
      </c>
      <c r="C5900" t="str">
        <f t="shared" si="2264"/>
        <v/>
      </c>
      <c r="D5900" t="str">
        <f t="shared" si="2251"/>
        <v>CAMP LEJEUNE</v>
      </c>
      <c r="E5900" t="str">
        <f t="shared" si="2252"/>
        <v>NC</v>
      </c>
      <c r="F5900" t="str">
        <f t="shared" si="2253"/>
        <v>285478478</v>
      </c>
      <c r="G5900" t="str">
        <f t="shared" si="2256"/>
        <v>PO BOX 8478</v>
      </c>
      <c r="H5900" t="str">
        <f t="shared" si="2261"/>
        <v/>
      </c>
      <c r="I5900" t="str">
        <f t="shared" si="2254"/>
        <v>CAMP LEJEUNE</v>
      </c>
      <c r="J5900" t="str">
        <f t="shared" si="2255"/>
        <v>NC</v>
      </c>
      <c r="K5900" t="str">
        <f t="shared" si="2263"/>
        <v>000000000000000000</v>
      </c>
      <c r="L5900" t="str">
        <f>T("9104512919")</f>
        <v>9104512919</v>
      </c>
    </row>
    <row r="5901" spans="1:12" x14ac:dyDescent="0.35">
      <c r="A5901" t="str">
        <f t="shared" si="2260"/>
        <v>II MEF &amp; MEU CAMP LEJEUNE</v>
      </c>
      <c r="B5901" t="str">
        <f t="shared" si="2250"/>
        <v>PO BOX 8478</v>
      </c>
      <c r="C5901" t="str">
        <f t="shared" si="2264"/>
        <v/>
      </c>
      <c r="D5901" t="str">
        <f t="shared" si="2251"/>
        <v>CAMP LEJEUNE</v>
      </c>
      <c r="E5901" t="str">
        <f t="shared" si="2252"/>
        <v>NC</v>
      </c>
      <c r="F5901" t="str">
        <f t="shared" si="2253"/>
        <v>285478478</v>
      </c>
      <c r="G5901" t="str">
        <f t="shared" si="2256"/>
        <v>PO BOX 8478</v>
      </c>
      <c r="H5901" t="str">
        <f t="shared" si="2261"/>
        <v/>
      </c>
      <c r="I5901" t="str">
        <f t="shared" si="2254"/>
        <v>CAMP LEJEUNE</v>
      </c>
      <c r="J5901" t="str">
        <f t="shared" si="2255"/>
        <v>NC</v>
      </c>
      <c r="K5901" t="str">
        <f t="shared" si="2263"/>
        <v>000000000000000000</v>
      </c>
      <c r="L5901" t="str">
        <f>T("9104513887")</f>
        <v>9104513887</v>
      </c>
    </row>
    <row r="5902" spans="1:12" x14ac:dyDescent="0.35">
      <c r="A5902" t="str">
        <f t="shared" si="2260"/>
        <v>II MEF &amp; MEU CAMP LEJEUNE</v>
      </c>
      <c r="B5902" t="str">
        <f t="shared" si="2250"/>
        <v>PO BOX 8478</v>
      </c>
      <c r="C5902" t="str">
        <f t="shared" si="2264"/>
        <v/>
      </c>
      <c r="D5902" t="str">
        <f t="shared" si="2251"/>
        <v>CAMP LEJEUNE</v>
      </c>
      <c r="E5902" t="str">
        <f t="shared" si="2252"/>
        <v>NC</v>
      </c>
      <c r="F5902" t="str">
        <f t="shared" si="2253"/>
        <v>285478478</v>
      </c>
      <c r="G5902" t="str">
        <f t="shared" si="2256"/>
        <v>PO BOX 8478</v>
      </c>
      <c r="H5902" t="str">
        <f t="shared" si="2261"/>
        <v/>
      </c>
      <c r="I5902" t="str">
        <f t="shared" si="2254"/>
        <v>CAMP LEJEUNE</v>
      </c>
      <c r="J5902" t="str">
        <f t="shared" si="2255"/>
        <v>NC</v>
      </c>
      <c r="K5902" t="str">
        <f t="shared" si="2263"/>
        <v>000000000000000000</v>
      </c>
      <c r="L5902" t="str">
        <f>T("9104513904")</f>
        <v>9104513904</v>
      </c>
    </row>
    <row r="5903" spans="1:12" x14ac:dyDescent="0.35">
      <c r="A5903" t="str">
        <f t="shared" si="2260"/>
        <v>II MEF &amp; MEU CAMP LEJEUNE</v>
      </c>
      <c r="B5903" t="str">
        <f t="shared" si="2250"/>
        <v>PO BOX 8478</v>
      </c>
      <c r="C5903" t="str">
        <f t="shared" si="2264"/>
        <v/>
      </c>
      <c r="D5903" t="str">
        <f t="shared" si="2251"/>
        <v>CAMP LEJEUNE</v>
      </c>
      <c r="E5903" t="str">
        <f t="shared" si="2252"/>
        <v>NC</v>
      </c>
      <c r="F5903" t="str">
        <f t="shared" si="2253"/>
        <v>285478478</v>
      </c>
      <c r="G5903" t="str">
        <f t="shared" si="2256"/>
        <v>PO BOX 8478</v>
      </c>
      <c r="H5903" t="str">
        <f t="shared" si="2261"/>
        <v/>
      </c>
      <c r="I5903" t="str">
        <f t="shared" si="2254"/>
        <v>CAMP LEJEUNE</v>
      </c>
      <c r="J5903" t="str">
        <f t="shared" si="2255"/>
        <v>NC</v>
      </c>
      <c r="K5903" t="str">
        <f t="shared" si="2263"/>
        <v>000000000000000000</v>
      </c>
      <c r="L5903" t="str">
        <f>T("9104514863")</f>
        <v>9104514863</v>
      </c>
    </row>
    <row r="5904" spans="1:12" x14ac:dyDescent="0.35">
      <c r="A5904" t="str">
        <f t="shared" si="2260"/>
        <v>II MEF &amp; MEU CAMP LEJEUNE</v>
      </c>
      <c r="B5904" t="str">
        <f t="shared" si="2250"/>
        <v>PO BOX 8478</v>
      </c>
      <c r="C5904" t="str">
        <f t="shared" si="2264"/>
        <v/>
      </c>
      <c r="D5904" t="str">
        <f t="shared" si="2251"/>
        <v>CAMP LEJEUNE</v>
      </c>
      <c r="E5904" t="str">
        <f t="shared" si="2252"/>
        <v>NC</v>
      </c>
      <c r="F5904" t="str">
        <f t="shared" si="2253"/>
        <v>285478478</v>
      </c>
      <c r="G5904" t="str">
        <f t="shared" si="2256"/>
        <v>PO BOX 8478</v>
      </c>
      <c r="H5904" t="str">
        <f t="shared" si="2261"/>
        <v/>
      </c>
      <c r="I5904" t="str">
        <f t="shared" si="2254"/>
        <v>CAMP LEJEUNE</v>
      </c>
      <c r="J5904" t="str">
        <f t="shared" si="2255"/>
        <v>NC</v>
      </c>
      <c r="K5904" t="str">
        <f t="shared" si="2263"/>
        <v>000000000000000000</v>
      </c>
      <c r="L5904" t="str">
        <f>T("9104514974")</f>
        <v>9104514974</v>
      </c>
    </row>
    <row r="5905" spans="1:12" x14ac:dyDescent="0.35">
      <c r="A5905" t="str">
        <f t="shared" si="2260"/>
        <v>II MEF &amp; MEU CAMP LEJEUNE</v>
      </c>
      <c r="B5905" t="str">
        <f t="shared" si="2250"/>
        <v>PO BOX 8478</v>
      </c>
      <c r="C5905" t="str">
        <f t="shared" si="2264"/>
        <v/>
      </c>
      <c r="D5905" t="str">
        <f t="shared" si="2251"/>
        <v>CAMP LEJEUNE</v>
      </c>
      <c r="E5905" t="str">
        <f t="shared" si="2252"/>
        <v>NC</v>
      </c>
      <c r="F5905" t="str">
        <f t="shared" si="2253"/>
        <v>285478478</v>
      </c>
      <c r="G5905" t="str">
        <f t="shared" si="2256"/>
        <v>PO BOX 8478</v>
      </c>
      <c r="H5905" t="str">
        <f t="shared" si="2261"/>
        <v/>
      </c>
      <c r="I5905" t="str">
        <f t="shared" si="2254"/>
        <v>CAMP LEJEUNE</v>
      </c>
      <c r="J5905" t="str">
        <f t="shared" si="2255"/>
        <v>NC</v>
      </c>
      <c r="K5905" t="str">
        <f t="shared" si="2263"/>
        <v>000000000000000000</v>
      </c>
      <c r="L5905" t="str">
        <f>T("9104515496")</f>
        <v>9104515496</v>
      </c>
    </row>
    <row r="5906" spans="1:12" x14ac:dyDescent="0.35">
      <c r="A5906" t="str">
        <f t="shared" si="2260"/>
        <v>II MEF &amp; MEU CAMP LEJEUNE</v>
      </c>
      <c r="B5906" t="str">
        <f t="shared" si="2250"/>
        <v>PO BOX 8478</v>
      </c>
      <c r="C5906" t="str">
        <f t="shared" si="2264"/>
        <v/>
      </c>
      <c r="D5906" t="str">
        <f t="shared" si="2251"/>
        <v>CAMP LEJEUNE</v>
      </c>
      <c r="E5906" t="str">
        <f t="shared" si="2252"/>
        <v>NC</v>
      </c>
      <c r="F5906" t="str">
        <f t="shared" si="2253"/>
        <v>285478478</v>
      </c>
      <c r="G5906" t="str">
        <f t="shared" si="2256"/>
        <v>PO BOX 8478</v>
      </c>
      <c r="H5906" t="str">
        <f t="shared" si="2261"/>
        <v/>
      </c>
      <c r="I5906" t="str">
        <f t="shared" si="2254"/>
        <v>CAMP LEJEUNE</v>
      </c>
      <c r="J5906" t="str">
        <f t="shared" si="2255"/>
        <v>NC</v>
      </c>
      <c r="K5906" t="str">
        <f t="shared" si="2263"/>
        <v>000000000000000000</v>
      </c>
      <c r="L5906" t="str">
        <f>T("9104515623")</f>
        <v>9104515623</v>
      </c>
    </row>
    <row r="5907" spans="1:12" x14ac:dyDescent="0.35">
      <c r="A5907" t="str">
        <f t="shared" si="2260"/>
        <v>II MEF &amp; MEU CAMP LEJEUNE</v>
      </c>
      <c r="B5907" t="str">
        <f t="shared" si="2250"/>
        <v>PO BOX 8478</v>
      </c>
      <c r="C5907" t="str">
        <f t="shared" si="2264"/>
        <v/>
      </c>
      <c r="D5907" t="str">
        <f t="shared" si="2251"/>
        <v>CAMP LEJEUNE</v>
      </c>
      <c r="E5907" t="str">
        <f t="shared" si="2252"/>
        <v>NC</v>
      </c>
      <c r="F5907" t="str">
        <f t="shared" si="2253"/>
        <v>285478478</v>
      </c>
      <c r="G5907" t="str">
        <f t="shared" si="2256"/>
        <v>PO BOX 8478</v>
      </c>
      <c r="H5907" t="str">
        <f t="shared" si="2261"/>
        <v/>
      </c>
      <c r="I5907" t="str">
        <f t="shared" si="2254"/>
        <v>CAMP LEJEUNE</v>
      </c>
      <c r="J5907" t="str">
        <f t="shared" si="2255"/>
        <v>NC</v>
      </c>
      <c r="K5907" t="str">
        <f t="shared" si="2263"/>
        <v>000000000000000000</v>
      </c>
      <c r="L5907" t="str">
        <f>T("9104516178")</f>
        <v>9104516178</v>
      </c>
    </row>
    <row r="5908" spans="1:12" x14ac:dyDescent="0.35">
      <c r="A5908" t="str">
        <f t="shared" si="2260"/>
        <v>II MEF &amp; MEU CAMP LEJEUNE</v>
      </c>
      <c r="B5908" t="str">
        <f t="shared" ref="B5908:B5971" si="2265">T("PO BOX 8478")</f>
        <v>PO BOX 8478</v>
      </c>
      <c r="C5908" t="str">
        <f t="shared" si="2264"/>
        <v/>
      </c>
      <c r="D5908" t="str">
        <f t="shared" ref="D5908:D5971" si="2266">T("CAMP LEJEUNE")</f>
        <v>CAMP LEJEUNE</v>
      </c>
      <c r="E5908" t="str">
        <f t="shared" ref="E5908:E5971" si="2267">T("NC")</f>
        <v>NC</v>
      </c>
      <c r="F5908" t="str">
        <f t="shared" ref="F5908:F5971" si="2268">T("285478478")</f>
        <v>285478478</v>
      </c>
      <c r="G5908" t="str">
        <f t="shared" si="2256"/>
        <v>PO BOX 8478</v>
      </c>
      <c r="H5908" t="str">
        <f t="shared" si="2261"/>
        <v/>
      </c>
      <c r="I5908" t="str">
        <f t="shared" ref="I5908:I5971" si="2269">T("CAMP LEJEUNE")</f>
        <v>CAMP LEJEUNE</v>
      </c>
      <c r="J5908" t="str">
        <f t="shared" ref="J5908:J5971" si="2270">T("NC")</f>
        <v>NC</v>
      </c>
      <c r="K5908" t="str">
        <f t="shared" si="2263"/>
        <v>000000000000000000</v>
      </c>
      <c r="L5908" t="str">
        <f>T("9104518495")</f>
        <v>9104518495</v>
      </c>
    </row>
    <row r="5909" spans="1:12" x14ac:dyDescent="0.35">
      <c r="A5909" t="str">
        <f t="shared" si="2260"/>
        <v>II MEF &amp; MEU CAMP LEJEUNE</v>
      </c>
      <c r="B5909" t="str">
        <f t="shared" si="2265"/>
        <v>PO BOX 8478</v>
      </c>
      <c r="C5909" t="str">
        <f t="shared" si="2264"/>
        <v/>
      </c>
      <c r="D5909" t="str">
        <f t="shared" si="2266"/>
        <v>CAMP LEJEUNE</v>
      </c>
      <c r="E5909" t="str">
        <f t="shared" si="2267"/>
        <v>NC</v>
      </c>
      <c r="F5909" t="str">
        <f t="shared" si="2268"/>
        <v>285478478</v>
      </c>
      <c r="G5909" t="str">
        <f t="shared" ref="G5909:G5972" si="2271">T("PO BOX 8478")</f>
        <v>PO BOX 8478</v>
      </c>
      <c r="H5909" t="str">
        <f t="shared" si="2261"/>
        <v/>
      </c>
      <c r="I5909" t="str">
        <f t="shared" si="2269"/>
        <v>CAMP LEJEUNE</v>
      </c>
      <c r="J5909" t="str">
        <f t="shared" si="2270"/>
        <v>NC</v>
      </c>
      <c r="K5909" t="str">
        <f t="shared" si="2263"/>
        <v>000000000000000000</v>
      </c>
      <c r="L5909" t="str">
        <f>T("9104518960")</f>
        <v>9104518960</v>
      </c>
    </row>
    <row r="5910" spans="1:12" x14ac:dyDescent="0.35">
      <c r="A5910" t="str">
        <f t="shared" si="2260"/>
        <v>II MEF &amp; MEU CAMP LEJEUNE</v>
      </c>
      <c r="B5910" t="str">
        <f t="shared" si="2265"/>
        <v>PO BOX 8478</v>
      </c>
      <c r="C5910" t="str">
        <f t="shared" si="2264"/>
        <v/>
      </c>
      <c r="D5910" t="str">
        <f t="shared" si="2266"/>
        <v>CAMP LEJEUNE</v>
      </c>
      <c r="E5910" t="str">
        <f t="shared" si="2267"/>
        <v>NC</v>
      </c>
      <c r="F5910" t="str">
        <f t="shared" si="2268"/>
        <v>285478478</v>
      </c>
      <c r="G5910" t="str">
        <f t="shared" si="2271"/>
        <v>PO BOX 8478</v>
      </c>
      <c r="H5910" t="str">
        <f t="shared" si="2261"/>
        <v/>
      </c>
      <c r="I5910" t="str">
        <f t="shared" si="2269"/>
        <v>CAMP LEJEUNE</v>
      </c>
      <c r="J5910" t="str">
        <f t="shared" si="2270"/>
        <v>NC</v>
      </c>
      <c r="K5910" t="str">
        <f t="shared" si="2263"/>
        <v>000000000000000000</v>
      </c>
      <c r="L5910" t="str">
        <f>T("9104519031")</f>
        <v>9104519031</v>
      </c>
    </row>
    <row r="5911" spans="1:12" x14ac:dyDescent="0.35">
      <c r="A5911" t="str">
        <f t="shared" si="2260"/>
        <v>II MEF &amp; MEU CAMP LEJEUNE</v>
      </c>
      <c r="B5911" t="str">
        <f t="shared" si="2265"/>
        <v>PO BOX 8478</v>
      </c>
      <c r="C5911" t="str">
        <f t="shared" si="2264"/>
        <v/>
      </c>
      <c r="D5911" t="str">
        <f t="shared" si="2266"/>
        <v>CAMP LEJEUNE</v>
      </c>
      <c r="E5911" t="str">
        <f t="shared" si="2267"/>
        <v>NC</v>
      </c>
      <c r="F5911" t="str">
        <f t="shared" si="2268"/>
        <v>285478478</v>
      </c>
      <c r="G5911" t="str">
        <f t="shared" si="2271"/>
        <v>PO BOX 8478</v>
      </c>
      <c r="H5911" t="str">
        <f t="shared" si="2261"/>
        <v/>
      </c>
      <c r="I5911" t="str">
        <f t="shared" si="2269"/>
        <v>CAMP LEJEUNE</v>
      </c>
      <c r="J5911" t="str">
        <f t="shared" si="2270"/>
        <v>NC</v>
      </c>
      <c r="K5911" t="str">
        <f t="shared" si="2263"/>
        <v>000000000000000000</v>
      </c>
      <c r="L5911" t="str">
        <f>T("9104519320")</f>
        <v>9104519320</v>
      </c>
    </row>
    <row r="5912" spans="1:12" x14ac:dyDescent="0.35">
      <c r="A5912" t="str">
        <f t="shared" si="2260"/>
        <v>II MEF &amp; MEU CAMP LEJEUNE</v>
      </c>
      <c r="B5912" t="str">
        <f t="shared" si="2265"/>
        <v>PO BOX 8478</v>
      </c>
      <c r="C5912" t="str">
        <f t="shared" si="2264"/>
        <v/>
      </c>
      <c r="D5912" t="str">
        <f t="shared" si="2266"/>
        <v>CAMP LEJEUNE</v>
      </c>
      <c r="E5912" t="str">
        <f t="shared" si="2267"/>
        <v>NC</v>
      </c>
      <c r="F5912" t="str">
        <f t="shared" si="2268"/>
        <v>285478478</v>
      </c>
      <c r="G5912" t="str">
        <f t="shared" si="2271"/>
        <v>PO BOX 8478</v>
      </c>
      <c r="H5912" t="str">
        <f t="shared" si="2261"/>
        <v/>
      </c>
      <c r="I5912" t="str">
        <f t="shared" si="2269"/>
        <v>CAMP LEJEUNE</v>
      </c>
      <c r="J5912" t="str">
        <f t="shared" si="2270"/>
        <v>NC</v>
      </c>
      <c r="K5912" t="str">
        <f t="shared" si="2263"/>
        <v>000000000000000000</v>
      </c>
      <c r="L5912" t="str">
        <f>T("9104519368")</f>
        <v>9104519368</v>
      </c>
    </row>
    <row r="5913" spans="1:12" x14ac:dyDescent="0.35">
      <c r="A5913" t="str">
        <f t="shared" si="2260"/>
        <v>II MEF &amp; MEU CAMP LEJEUNE</v>
      </c>
      <c r="B5913" t="str">
        <f t="shared" si="2265"/>
        <v>PO BOX 8478</v>
      </c>
      <c r="C5913" t="str">
        <f t="shared" si="2264"/>
        <v/>
      </c>
      <c r="D5913" t="str">
        <f t="shared" si="2266"/>
        <v>CAMP LEJEUNE</v>
      </c>
      <c r="E5913" t="str">
        <f t="shared" si="2267"/>
        <v>NC</v>
      </c>
      <c r="F5913" t="str">
        <f t="shared" si="2268"/>
        <v>285478478</v>
      </c>
      <c r="G5913" t="str">
        <f t="shared" si="2271"/>
        <v>PO BOX 8478</v>
      </c>
      <c r="H5913" t="str">
        <f t="shared" si="2261"/>
        <v/>
      </c>
      <c r="I5913" t="str">
        <f t="shared" si="2269"/>
        <v>CAMP LEJEUNE</v>
      </c>
      <c r="J5913" t="str">
        <f t="shared" si="2270"/>
        <v>NC</v>
      </c>
      <c r="K5913" t="str">
        <f t="shared" si="2263"/>
        <v>000000000000000000</v>
      </c>
      <c r="L5913" t="str">
        <f>T("9104519741")</f>
        <v>9104519741</v>
      </c>
    </row>
    <row r="5914" spans="1:12" x14ac:dyDescent="0.35">
      <c r="A5914" t="str">
        <f t="shared" si="2260"/>
        <v>II MEF &amp; MEU CAMP LEJEUNE</v>
      </c>
      <c r="B5914" t="str">
        <f t="shared" si="2265"/>
        <v>PO BOX 8478</v>
      </c>
      <c r="C5914" t="str">
        <f t="shared" si="2264"/>
        <v/>
      </c>
      <c r="D5914" t="str">
        <f t="shared" si="2266"/>
        <v>CAMP LEJEUNE</v>
      </c>
      <c r="E5914" t="str">
        <f t="shared" si="2267"/>
        <v>NC</v>
      </c>
      <c r="F5914" t="str">
        <f t="shared" si="2268"/>
        <v>285478478</v>
      </c>
      <c r="G5914" t="str">
        <f t="shared" si="2271"/>
        <v>PO BOX 8478</v>
      </c>
      <c r="H5914" t="str">
        <f t="shared" si="2261"/>
        <v/>
      </c>
      <c r="I5914" t="str">
        <f t="shared" si="2269"/>
        <v>CAMP LEJEUNE</v>
      </c>
      <c r="J5914" t="str">
        <f t="shared" si="2270"/>
        <v>NC</v>
      </c>
      <c r="K5914" t="str">
        <f t="shared" si="2263"/>
        <v>000000000000000000</v>
      </c>
      <c r="L5914" t="str">
        <f>T("9104519754")</f>
        <v>9104519754</v>
      </c>
    </row>
    <row r="5915" spans="1:12" x14ac:dyDescent="0.35">
      <c r="A5915" t="str">
        <f t="shared" si="2260"/>
        <v>II MEF &amp; MEU CAMP LEJEUNE</v>
      </c>
      <c r="B5915" t="str">
        <f t="shared" si="2265"/>
        <v>PO BOX 8478</v>
      </c>
      <c r="C5915" t="str">
        <f t="shared" si="2264"/>
        <v/>
      </c>
      <c r="D5915" t="str">
        <f t="shared" si="2266"/>
        <v>CAMP LEJEUNE</v>
      </c>
      <c r="E5915" t="str">
        <f t="shared" si="2267"/>
        <v>NC</v>
      </c>
      <c r="F5915" t="str">
        <f t="shared" si="2268"/>
        <v>285478478</v>
      </c>
      <c r="G5915" t="str">
        <f t="shared" si="2271"/>
        <v>PO BOX 8478</v>
      </c>
      <c r="H5915" t="str">
        <f t="shared" si="2261"/>
        <v/>
      </c>
      <c r="I5915" t="str">
        <f t="shared" si="2269"/>
        <v>CAMP LEJEUNE</v>
      </c>
      <c r="J5915" t="str">
        <f t="shared" si="2270"/>
        <v>NC</v>
      </c>
      <c r="K5915" t="str">
        <f t="shared" si="2263"/>
        <v>000000000000000000</v>
      </c>
      <c r="L5915" t="str">
        <f>T("9105811643")</f>
        <v>9105811643</v>
      </c>
    </row>
    <row r="5916" spans="1:12" x14ac:dyDescent="0.35">
      <c r="A5916" t="str">
        <f t="shared" si="2260"/>
        <v>II MEF &amp; MEU CAMP LEJEUNE</v>
      </c>
      <c r="B5916" t="str">
        <f t="shared" si="2265"/>
        <v>PO BOX 8478</v>
      </c>
      <c r="C5916" t="str">
        <f t="shared" si="2264"/>
        <v/>
      </c>
      <c r="D5916" t="str">
        <f t="shared" si="2266"/>
        <v>CAMP LEJEUNE</v>
      </c>
      <c r="E5916" t="str">
        <f t="shared" si="2267"/>
        <v>NC</v>
      </c>
      <c r="F5916" t="str">
        <f t="shared" si="2268"/>
        <v>285478478</v>
      </c>
      <c r="G5916" t="str">
        <f t="shared" si="2271"/>
        <v>PO BOX 8478</v>
      </c>
      <c r="H5916" t="str">
        <f t="shared" si="2261"/>
        <v/>
      </c>
      <c r="I5916" t="str">
        <f t="shared" si="2269"/>
        <v>CAMP LEJEUNE</v>
      </c>
      <c r="J5916" t="str">
        <f t="shared" si="2270"/>
        <v>NC</v>
      </c>
      <c r="K5916" t="str">
        <f>T("9104517850")</f>
        <v>9104517850</v>
      </c>
      <c r="L5916" t="str">
        <f>T("3147228250")</f>
        <v>3147228250</v>
      </c>
    </row>
    <row r="5917" spans="1:12" x14ac:dyDescent="0.35">
      <c r="A5917" t="str">
        <f t="shared" si="2260"/>
        <v>II MEF &amp; MEU CAMP LEJEUNE</v>
      </c>
      <c r="B5917" t="str">
        <f t="shared" si="2265"/>
        <v>PO BOX 8478</v>
      </c>
      <c r="C5917" t="str">
        <f>T("BLDG 1116")</f>
        <v>BLDG 1116</v>
      </c>
      <c r="D5917" t="str">
        <f t="shared" si="2266"/>
        <v>CAMP LEJEUNE</v>
      </c>
      <c r="E5917" t="str">
        <f t="shared" si="2267"/>
        <v>NC</v>
      </c>
      <c r="F5917" t="str">
        <f t="shared" si="2268"/>
        <v>285478478</v>
      </c>
      <c r="G5917" t="str">
        <f t="shared" si="2271"/>
        <v>PO BOX 8478</v>
      </c>
      <c r="H5917" t="str">
        <f t="shared" si="2261"/>
        <v/>
      </c>
      <c r="I5917" t="str">
        <f t="shared" si="2269"/>
        <v>CAMP LEJEUNE</v>
      </c>
      <c r="J5917" t="str">
        <f t="shared" si="2270"/>
        <v>NC</v>
      </c>
      <c r="K5917" t="str">
        <f>T("000000000000000000")</f>
        <v>000000000000000000</v>
      </c>
      <c r="L5917" t="str">
        <f>T("9104505776")</f>
        <v>9104505776</v>
      </c>
    </row>
    <row r="5918" spans="1:12" x14ac:dyDescent="0.35">
      <c r="A5918" t="str">
        <f t="shared" si="2260"/>
        <v>II MEF &amp; MEU CAMP LEJEUNE</v>
      </c>
      <c r="B5918" t="str">
        <f t="shared" si="2265"/>
        <v>PO BOX 8478</v>
      </c>
      <c r="C5918" t="str">
        <f>T("BLDG 1116")</f>
        <v>BLDG 1116</v>
      </c>
      <c r="D5918" t="str">
        <f t="shared" si="2266"/>
        <v>CAMP LEJEUNE</v>
      </c>
      <c r="E5918" t="str">
        <f t="shared" si="2267"/>
        <v>NC</v>
      </c>
      <c r="F5918" t="str">
        <f t="shared" si="2268"/>
        <v>285478478</v>
      </c>
      <c r="G5918" t="str">
        <f t="shared" si="2271"/>
        <v>PO BOX 8478</v>
      </c>
      <c r="H5918" t="str">
        <f t="shared" si="2261"/>
        <v/>
      </c>
      <c r="I5918" t="str">
        <f t="shared" si="2269"/>
        <v>CAMP LEJEUNE</v>
      </c>
      <c r="J5918" t="str">
        <f t="shared" si="2270"/>
        <v>NC</v>
      </c>
      <c r="K5918" t="str">
        <f>T("000000000000000000")</f>
        <v>000000000000000000</v>
      </c>
      <c r="L5918" t="str">
        <f>T("9104519320")</f>
        <v>9104519320</v>
      </c>
    </row>
    <row r="5919" spans="1:12" x14ac:dyDescent="0.35">
      <c r="A5919" t="str">
        <f t="shared" si="2260"/>
        <v>II MEF &amp; MEU CAMP LEJEUNE</v>
      </c>
      <c r="B5919" t="str">
        <f t="shared" si="2265"/>
        <v>PO BOX 8478</v>
      </c>
      <c r="C5919" t="str">
        <f>T("BLDG 1116")</f>
        <v>BLDG 1116</v>
      </c>
      <c r="D5919" t="str">
        <f t="shared" si="2266"/>
        <v>CAMP LEJEUNE</v>
      </c>
      <c r="E5919" t="str">
        <f t="shared" si="2267"/>
        <v>NC</v>
      </c>
      <c r="F5919" t="str">
        <f t="shared" si="2268"/>
        <v>285478478</v>
      </c>
      <c r="G5919" t="str">
        <f t="shared" si="2271"/>
        <v>PO BOX 8478</v>
      </c>
      <c r="H5919" t="str">
        <f>T("BLDG 1116")</f>
        <v>BLDG 1116</v>
      </c>
      <c r="I5919" t="str">
        <f t="shared" si="2269"/>
        <v>CAMP LEJEUNE</v>
      </c>
      <c r="J5919" t="str">
        <f t="shared" si="2270"/>
        <v>NC</v>
      </c>
      <c r="K5919" t="str">
        <f>T("")</f>
        <v/>
      </c>
      <c r="L5919" t="str">
        <f>T("9104511457")</f>
        <v>9104511457</v>
      </c>
    </row>
    <row r="5920" spans="1:12" x14ac:dyDescent="0.35">
      <c r="A5920" t="str">
        <f t="shared" si="2260"/>
        <v>II MEF &amp; MEU CAMP LEJEUNE</v>
      </c>
      <c r="B5920" t="str">
        <f t="shared" si="2265"/>
        <v>PO BOX 8478</v>
      </c>
      <c r="C5920" t="str">
        <f>T("BLDG 1116")</f>
        <v>BLDG 1116</v>
      </c>
      <c r="D5920" t="str">
        <f t="shared" si="2266"/>
        <v>CAMP LEJEUNE</v>
      </c>
      <c r="E5920" t="str">
        <f t="shared" si="2267"/>
        <v>NC</v>
      </c>
      <c r="F5920" t="str">
        <f t="shared" si="2268"/>
        <v>285478478</v>
      </c>
      <c r="G5920" t="str">
        <f t="shared" si="2271"/>
        <v>PO BOX 8478</v>
      </c>
      <c r="H5920" t="str">
        <f>T("BLDG 1116")</f>
        <v>BLDG 1116</v>
      </c>
      <c r="I5920" t="str">
        <f t="shared" si="2269"/>
        <v>CAMP LEJEUNE</v>
      </c>
      <c r="J5920" t="str">
        <f t="shared" si="2270"/>
        <v>NC</v>
      </c>
      <c r="K5920" t="str">
        <f>T("000000000000000000")</f>
        <v>000000000000000000</v>
      </c>
      <c r="L5920" t="str">
        <f>T("3146245851")</f>
        <v>3146245851</v>
      </c>
    </row>
    <row r="5921" spans="1:12" x14ac:dyDescent="0.35">
      <c r="A5921" t="str">
        <f t="shared" si="2260"/>
        <v>II MEF &amp; MEU CAMP LEJEUNE</v>
      </c>
      <c r="B5921" t="str">
        <f t="shared" si="2265"/>
        <v>PO BOX 8478</v>
      </c>
      <c r="C5921" t="str">
        <f>T("BLDG 1116")</f>
        <v>BLDG 1116</v>
      </c>
      <c r="D5921" t="str">
        <f t="shared" si="2266"/>
        <v>CAMP LEJEUNE</v>
      </c>
      <c r="E5921" t="str">
        <f t="shared" si="2267"/>
        <v>NC</v>
      </c>
      <c r="F5921" t="str">
        <f t="shared" si="2268"/>
        <v>285478478</v>
      </c>
      <c r="G5921" t="str">
        <f t="shared" si="2271"/>
        <v>PO BOX 8478</v>
      </c>
      <c r="H5921" t="str">
        <f>T("BLDG 1116")</f>
        <v>BLDG 1116</v>
      </c>
      <c r="I5921" t="str">
        <f t="shared" si="2269"/>
        <v>CAMP LEJEUNE</v>
      </c>
      <c r="J5921" t="str">
        <f t="shared" si="2270"/>
        <v>NC</v>
      </c>
      <c r="K5921" t="str">
        <f>T("000000000000000000")</f>
        <v>000000000000000000</v>
      </c>
      <c r="L5921" t="str">
        <f>T("9104519286")</f>
        <v>9104519286</v>
      </c>
    </row>
    <row r="5922" spans="1:12" x14ac:dyDescent="0.35">
      <c r="A5922" t="str">
        <f t="shared" ref="A5922:A5944" si="2272">T("MARFORCOM")</f>
        <v>MARFORCOM</v>
      </c>
      <c r="B5922" t="str">
        <f t="shared" si="2265"/>
        <v>PO BOX 8478</v>
      </c>
      <c r="C5922" t="str">
        <f t="shared" ref="C5922:C5953" si="2273">T("")</f>
        <v/>
      </c>
      <c r="D5922" t="str">
        <f t="shared" si="2266"/>
        <v>CAMP LEJEUNE</v>
      </c>
      <c r="E5922" t="str">
        <f t="shared" si="2267"/>
        <v>NC</v>
      </c>
      <c r="F5922" t="str">
        <f t="shared" si="2268"/>
        <v>285478478</v>
      </c>
      <c r="G5922" t="str">
        <f t="shared" si="2271"/>
        <v>PO BOX 8478</v>
      </c>
      <c r="H5922" t="str">
        <f t="shared" ref="H5922:H5953" si="2274">T("")</f>
        <v/>
      </c>
      <c r="I5922" t="str">
        <f t="shared" si="2269"/>
        <v>CAMP LEJEUNE</v>
      </c>
      <c r="J5922" t="str">
        <f t="shared" si="2270"/>
        <v>NC</v>
      </c>
      <c r="K5922" t="str">
        <f>T("")</f>
        <v/>
      </c>
      <c r="L5922" t="str">
        <f>T("7574454287")</f>
        <v>7574454287</v>
      </c>
    </row>
    <row r="5923" spans="1:12" x14ac:dyDescent="0.35">
      <c r="A5923" t="str">
        <f t="shared" si="2272"/>
        <v>MARFORCOM</v>
      </c>
      <c r="B5923" t="str">
        <f t="shared" si="2265"/>
        <v>PO BOX 8478</v>
      </c>
      <c r="C5923" t="str">
        <f t="shared" si="2273"/>
        <v/>
      </c>
      <c r="D5923" t="str">
        <f t="shared" si="2266"/>
        <v>CAMP LEJEUNE</v>
      </c>
      <c r="E5923" t="str">
        <f t="shared" si="2267"/>
        <v>NC</v>
      </c>
      <c r="F5923" t="str">
        <f t="shared" si="2268"/>
        <v>285478478</v>
      </c>
      <c r="G5923" t="str">
        <f t="shared" si="2271"/>
        <v>PO BOX 8478</v>
      </c>
      <c r="H5923" t="str">
        <f t="shared" si="2274"/>
        <v/>
      </c>
      <c r="I5923" t="str">
        <f t="shared" si="2269"/>
        <v>CAMP LEJEUNE</v>
      </c>
      <c r="J5923" t="str">
        <f t="shared" si="2270"/>
        <v>NC</v>
      </c>
      <c r="K5923" t="str">
        <f t="shared" ref="K5923:K5945" si="2275">T("000000000000000000")</f>
        <v>000000000000000000</v>
      </c>
      <c r="L5923" t="str">
        <f>T("1111111111")</f>
        <v>1111111111</v>
      </c>
    </row>
    <row r="5924" spans="1:12" x14ac:dyDescent="0.35">
      <c r="A5924" t="str">
        <f t="shared" si="2272"/>
        <v>MARFORCOM</v>
      </c>
      <c r="B5924" t="str">
        <f t="shared" si="2265"/>
        <v>PO BOX 8478</v>
      </c>
      <c r="C5924" t="str">
        <f t="shared" si="2273"/>
        <v/>
      </c>
      <c r="D5924" t="str">
        <f t="shared" si="2266"/>
        <v>CAMP LEJEUNE</v>
      </c>
      <c r="E5924" t="str">
        <f t="shared" si="2267"/>
        <v>NC</v>
      </c>
      <c r="F5924" t="str">
        <f t="shared" si="2268"/>
        <v>285478478</v>
      </c>
      <c r="G5924" t="str">
        <f t="shared" si="2271"/>
        <v>PO BOX 8478</v>
      </c>
      <c r="H5924" t="str">
        <f t="shared" si="2274"/>
        <v/>
      </c>
      <c r="I5924" t="str">
        <f t="shared" si="2269"/>
        <v>CAMP LEJEUNE</v>
      </c>
      <c r="J5924" t="str">
        <f t="shared" si="2270"/>
        <v>NC</v>
      </c>
      <c r="K5924" t="str">
        <f t="shared" si="2275"/>
        <v>000000000000000000</v>
      </c>
      <c r="L5924" t="str">
        <f>T("3185739922")</f>
        <v>3185739922</v>
      </c>
    </row>
    <row r="5925" spans="1:12" x14ac:dyDescent="0.35">
      <c r="A5925" t="str">
        <f t="shared" si="2272"/>
        <v>MARFORCOM</v>
      </c>
      <c r="B5925" t="str">
        <f t="shared" si="2265"/>
        <v>PO BOX 8478</v>
      </c>
      <c r="C5925" t="str">
        <f t="shared" si="2273"/>
        <v/>
      </c>
      <c r="D5925" t="str">
        <f t="shared" si="2266"/>
        <v>CAMP LEJEUNE</v>
      </c>
      <c r="E5925" t="str">
        <f t="shared" si="2267"/>
        <v>NC</v>
      </c>
      <c r="F5925" t="str">
        <f t="shared" si="2268"/>
        <v>285478478</v>
      </c>
      <c r="G5925" t="str">
        <f t="shared" si="2271"/>
        <v>PO BOX 8478</v>
      </c>
      <c r="H5925" t="str">
        <f t="shared" si="2274"/>
        <v/>
      </c>
      <c r="I5925" t="str">
        <f t="shared" si="2269"/>
        <v>CAMP LEJEUNE</v>
      </c>
      <c r="J5925" t="str">
        <f t="shared" si="2270"/>
        <v>NC</v>
      </c>
      <c r="K5925" t="str">
        <f t="shared" si="2275"/>
        <v>000000000000000000</v>
      </c>
      <c r="L5925" t="str">
        <f>T("7574218557")</f>
        <v>7574218557</v>
      </c>
    </row>
    <row r="5926" spans="1:12" x14ac:dyDescent="0.35">
      <c r="A5926" t="str">
        <f t="shared" si="2272"/>
        <v>MARFORCOM</v>
      </c>
      <c r="B5926" t="str">
        <f t="shared" si="2265"/>
        <v>PO BOX 8478</v>
      </c>
      <c r="C5926" t="str">
        <f t="shared" si="2273"/>
        <v/>
      </c>
      <c r="D5926" t="str">
        <f t="shared" si="2266"/>
        <v>CAMP LEJEUNE</v>
      </c>
      <c r="E5926" t="str">
        <f t="shared" si="2267"/>
        <v>NC</v>
      </c>
      <c r="F5926" t="str">
        <f t="shared" si="2268"/>
        <v>285478478</v>
      </c>
      <c r="G5926" t="str">
        <f t="shared" si="2271"/>
        <v>PO BOX 8478</v>
      </c>
      <c r="H5926" t="str">
        <f t="shared" si="2274"/>
        <v/>
      </c>
      <c r="I5926" t="str">
        <f t="shared" si="2269"/>
        <v>CAMP LEJEUNE</v>
      </c>
      <c r="J5926" t="str">
        <f t="shared" si="2270"/>
        <v>NC</v>
      </c>
      <c r="K5926" t="str">
        <f t="shared" si="2275"/>
        <v>000000000000000000</v>
      </c>
      <c r="L5926" t="str">
        <f>T("7574218562")</f>
        <v>7574218562</v>
      </c>
    </row>
    <row r="5927" spans="1:12" x14ac:dyDescent="0.35">
      <c r="A5927" t="str">
        <f t="shared" si="2272"/>
        <v>MARFORCOM</v>
      </c>
      <c r="B5927" t="str">
        <f t="shared" si="2265"/>
        <v>PO BOX 8478</v>
      </c>
      <c r="C5927" t="str">
        <f t="shared" si="2273"/>
        <v/>
      </c>
      <c r="D5927" t="str">
        <f t="shared" si="2266"/>
        <v>CAMP LEJEUNE</v>
      </c>
      <c r="E5927" t="str">
        <f t="shared" si="2267"/>
        <v>NC</v>
      </c>
      <c r="F5927" t="str">
        <f t="shared" si="2268"/>
        <v>285478478</v>
      </c>
      <c r="G5927" t="str">
        <f t="shared" si="2271"/>
        <v>PO BOX 8478</v>
      </c>
      <c r="H5927" t="str">
        <f t="shared" si="2274"/>
        <v/>
      </c>
      <c r="I5927" t="str">
        <f t="shared" si="2269"/>
        <v>CAMP LEJEUNE</v>
      </c>
      <c r="J5927" t="str">
        <f t="shared" si="2270"/>
        <v>NC</v>
      </c>
      <c r="K5927" t="str">
        <f t="shared" si="2275"/>
        <v>000000000000000000</v>
      </c>
      <c r="L5927" t="str">
        <f>T("7574218570")</f>
        <v>7574218570</v>
      </c>
    </row>
    <row r="5928" spans="1:12" x14ac:dyDescent="0.35">
      <c r="A5928" t="str">
        <f t="shared" si="2272"/>
        <v>MARFORCOM</v>
      </c>
      <c r="B5928" t="str">
        <f t="shared" si="2265"/>
        <v>PO BOX 8478</v>
      </c>
      <c r="C5928" t="str">
        <f t="shared" si="2273"/>
        <v/>
      </c>
      <c r="D5928" t="str">
        <f t="shared" si="2266"/>
        <v>CAMP LEJEUNE</v>
      </c>
      <c r="E5928" t="str">
        <f t="shared" si="2267"/>
        <v>NC</v>
      </c>
      <c r="F5928" t="str">
        <f t="shared" si="2268"/>
        <v>285478478</v>
      </c>
      <c r="G5928" t="str">
        <f t="shared" si="2271"/>
        <v>PO BOX 8478</v>
      </c>
      <c r="H5928" t="str">
        <f t="shared" si="2274"/>
        <v/>
      </c>
      <c r="I5928" t="str">
        <f t="shared" si="2269"/>
        <v>CAMP LEJEUNE</v>
      </c>
      <c r="J5928" t="str">
        <f t="shared" si="2270"/>
        <v>NC</v>
      </c>
      <c r="K5928" t="str">
        <f t="shared" si="2275"/>
        <v>000000000000000000</v>
      </c>
      <c r="L5928" t="str">
        <f>T("7574218571")</f>
        <v>7574218571</v>
      </c>
    </row>
    <row r="5929" spans="1:12" x14ac:dyDescent="0.35">
      <c r="A5929" t="str">
        <f t="shared" si="2272"/>
        <v>MARFORCOM</v>
      </c>
      <c r="B5929" t="str">
        <f t="shared" si="2265"/>
        <v>PO BOX 8478</v>
      </c>
      <c r="C5929" t="str">
        <f t="shared" si="2273"/>
        <v/>
      </c>
      <c r="D5929" t="str">
        <f t="shared" si="2266"/>
        <v>CAMP LEJEUNE</v>
      </c>
      <c r="E5929" t="str">
        <f t="shared" si="2267"/>
        <v>NC</v>
      </c>
      <c r="F5929" t="str">
        <f t="shared" si="2268"/>
        <v>285478478</v>
      </c>
      <c r="G5929" t="str">
        <f t="shared" si="2271"/>
        <v>PO BOX 8478</v>
      </c>
      <c r="H5929" t="str">
        <f t="shared" si="2274"/>
        <v/>
      </c>
      <c r="I5929" t="str">
        <f t="shared" si="2269"/>
        <v>CAMP LEJEUNE</v>
      </c>
      <c r="J5929" t="str">
        <f t="shared" si="2270"/>
        <v>NC</v>
      </c>
      <c r="K5929" t="str">
        <f t="shared" si="2275"/>
        <v>000000000000000000</v>
      </c>
      <c r="L5929" t="str">
        <f>T("7574227302")</f>
        <v>7574227302</v>
      </c>
    </row>
    <row r="5930" spans="1:12" x14ac:dyDescent="0.35">
      <c r="A5930" t="str">
        <f t="shared" si="2272"/>
        <v>MARFORCOM</v>
      </c>
      <c r="B5930" t="str">
        <f t="shared" si="2265"/>
        <v>PO BOX 8478</v>
      </c>
      <c r="C5930" t="str">
        <f t="shared" si="2273"/>
        <v/>
      </c>
      <c r="D5930" t="str">
        <f t="shared" si="2266"/>
        <v>CAMP LEJEUNE</v>
      </c>
      <c r="E5930" t="str">
        <f t="shared" si="2267"/>
        <v>NC</v>
      </c>
      <c r="F5930" t="str">
        <f t="shared" si="2268"/>
        <v>285478478</v>
      </c>
      <c r="G5930" t="str">
        <f t="shared" si="2271"/>
        <v>PO BOX 8478</v>
      </c>
      <c r="H5930" t="str">
        <f t="shared" si="2274"/>
        <v/>
      </c>
      <c r="I5930" t="str">
        <f t="shared" si="2269"/>
        <v>CAMP LEJEUNE</v>
      </c>
      <c r="J5930" t="str">
        <f t="shared" si="2270"/>
        <v>NC</v>
      </c>
      <c r="K5930" t="str">
        <f t="shared" si="2275"/>
        <v>000000000000000000</v>
      </c>
      <c r="L5930" t="str">
        <f>T("7574227303")</f>
        <v>7574227303</v>
      </c>
    </row>
    <row r="5931" spans="1:12" x14ac:dyDescent="0.35">
      <c r="A5931" t="str">
        <f t="shared" si="2272"/>
        <v>MARFORCOM</v>
      </c>
      <c r="B5931" t="str">
        <f t="shared" si="2265"/>
        <v>PO BOX 8478</v>
      </c>
      <c r="C5931" t="str">
        <f t="shared" si="2273"/>
        <v/>
      </c>
      <c r="D5931" t="str">
        <f t="shared" si="2266"/>
        <v>CAMP LEJEUNE</v>
      </c>
      <c r="E5931" t="str">
        <f t="shared" si="2267"/>
        <v>NC</v>
      </c>
      <c r="F5931" t="str">
        <f t="shared" si="2268"/>
        <v>285478478</v>
      </c>
      <c r="G5931" t="str">
        <f t="shared" si="2271"/>
        <v>PO BOX 8478</v>
      </c>
      <c r="H5931" t="str">
        <f t="shared" si="2274"/>
        <v/>
      </c>
      <c r="I5931" t="str">
        <f t="shared" si="2269"/>
        <v>CAMP LEJEUNE</v>
      </c>
      <c r="J5931" t="str">
        <f t="shared" si="2270"/>
        <v>NC</v>
      </c>
      <c r="K5931" t="str">
        <f t="shared" si="2275"/>
        <v>000000000000000000</v>
      </c>
      <c r="L5931" t="str">
        <f>T("7574440553")</f>
        <v>7574440553</v>
      </c>
    </row>
    <row r="5932" spans="1:12" x14ac:dyDescent="0.35">
      <c r="A5932" t="str">
        <f t="shared" si="2272"/>
        <v>MARFORCOM</v>
      </c>
      <c r="B5932" t="str">
        <f t="shared" si="2265"/>
        <v>PO BOX 8478</v>
      </c>
      <c r="C5932" t="str">
        <f t="shared" si="2273"/>
        <v/>
      </c>
      <c r="D5932" t="str">
        <f t="shared" si="2266"/>
        <v>CAMP LEJEUNE</v>
      </c>
      <c r="E5932" t="str">
        <f t="shared" si="2267"/>
        <v>NC</v>
      </c>
      <c r="F5932" t="str">
        <f t="shared" si="2268"/>
        <v>285478478</v>
      </c>
      <c r="G5932" t="str">
        <f t="shared" si="2271"/>
        <v>PO BOX 8478</v>
      </c>
      <c r="H5932" t="str">
        <f t="shared" si="2274"/>
        <v/>
      </c>
      <c r="I5932" t="str">
        <f t="shared" si="2269"/>
        <v>CAMP LEJEUNE</v>
      </c>
      <c r="J5932" t="str">
        <f t="shared" si="2270"/>
        <v>NC</v>
      </c>
      <c r="K5932" t="str">
        <f t="shared" si="2275"/>
        <v>000000000000000000</v>
      </c>
      <c r="L5932" t="str">
        <f>T("7574444048")</f>
        <v>7574444048</v>
      </c>
    </row>
    <row r="5933" spans="1:12" x14ac:dyDescent="0.35">
      <c r="A5933" t="str">
        <f t="shared" si="2272"/>
        <v>MARFORCOM</v>
      </c>
      <c r="B5933" t="str">
        <f t="shared" si="2265"/>
        <v>PO BOX 8478</v>
      </c>
      <c r="C5933" t="str">
        <f t="shared" si="2273"/>
        <v/>
      </c>
      <c r="D5933" t="str">
        <f t="shared" si="2266"/>
        <v>CAMP LEJEUNE</v>
      </c>
      <c r="E5933" t="str">
        <f t="shared" si="2267"/>
        <v>NC</v>
      </c>
      <c r="F5933" t="str">
        <f t="shared" si="2268"/>
        <v>285478478</v>
      </c>
      <c r="G5933" t="str">
        <f t="shared" si="2271"/>
        <v>PO BOX 8478</v>
      </c>
      <c r="H5933" t="str">
        <f t="shared" si="2274"/>
        <v/>
      </c>
      <c r="I5933" t="str">
        <f t="shared" si="2269"/>
        <v>CAMP LEJEUNE</v>
      </c>
      <c r="J5933" t="str">
        <f t="shared" si="2270"/>
        <v>NC</v>
      </c>
      <c r="K5933" t="str">
        <f t="shared" si="2275"/>
        <v>000000000000000000</v>
      </c>
      <c r="L5933" t="str">
        <f>T("7574446188")</f>
        <v>7574446188</v>
      </c>
    </row>
    <row r="5934" spans="1:12" x14ac:dyDescent="0.35">
      <c r="A5934" t="str">
        <f t="shared" si="2272"/>
        <v>MARFORCOM</v>
      </c>
      <c r="B5934" t="str">
        <f t="shared" si="2265"/>
        <v>PO BOX 8478</v>
      </c>
      <c r="C5934" t="str">
        <f t="shared" si="2273"/>
        <v/>
      </c>
      <c r="D5934" t="str">
        <f t="shared" si="2266"/>
        <v>CAMP LEJEUNE</v>
      </c>
      <c r="E5934" t="str">
        <f t="shared" si="2267"/>
        <v>NC</v>
      </c>
      <c r="F5934" t="str">
        <f t="shared" si="2268"/>
        <v>285478478</v>
      </c>
      <c r="G5934" t="str">
        <f t="shared" si="2271"/>
        <v>PO BOX 8478</v>
      </c>
      <c r="H5934" t="str">
        <f t="shared" si="2274"/>
        <v/>
      </c>
      <c r="I5934" t="str">
        <f t="shared" si="2269"/>
        <v>CAMP LEJEUNE</v>
      </c>
      <c r="J5934" t="str">
        <f t="shared" si="2270"/>
        <v>NC</v>
      </c>
      <c r="K5934" t="str">
        <f t="shared" si="2275"/>
        <v>000000000000000000</v>
      </c>
      <c r="L5934" t="str">
        <f>T("7574446776")</f>
        <v>7574446776</v>
      </c>
    </row>
    <row r="5935" spans="1:12" x14ac:dyDescent="0.35">
      <c r="A5935" t="str">
        <f t="shared" si="2272"/>
        <v>MARFORCOM</v>
      </c>
      <c r="B5935" t="str">
        <f t="shared" si="2265"/>
        <v>PO BOX 8478</v>
      </c>
      <c r="C5935" t="str">
        <f t="shared" si="2273"/>
        <v/>
      </c>
      <c r="D5935" t="str">
        <f t="shared" si="2266"/>
        <v>CAMP LEJEUNE</v>
      </c>
      <c r="E5935" t="str">
        <f t="shared" si="2267"/>
        <v>NC</v>
      </c>
      <c r="F5935" t="str">
        <f t="shared" si="2268"/>
        <v>285478478</v>
      </c>
      <c r="G5935" t="str">
        <f t="shared" si="2271"/>
        <v>PO BOX 8478</v>
      </c>
      <c r="H5935" t="str">
        <f t="shared" si="2274"/>
        <v/>
      </c>
      <c r="I5935" t="str">
        <f t="shared" si="2269"/>
        <v>CAMP LEJEUNE</v>
      </c>
      <c r="J5935" t="str">
        <f t="shared" si="2270"/>
        <v>NC</v>
      </c>
      <c r="K5935" t="str">
        <f t="shared" si="2275"/>
        <v>000000000000000000</v>
      </c>
      <c r="L5935" t="str">
        <f>T("7574448218")</f>
        <v>7574448218</v>
      </c>
    </row>
    <row r="5936" spans="1:12" x14ac:dyDescent="0.35">
      <c r="A5936" t="str">
        <f t="shared" si="2272"/>
        <v>MARFORCOM</v>
      </c>
      <c r="B5936" t="str">
        <f t="shared" si="2265"/>
        <v>PO BOX 8478</v>
      </c>
      <c r="C5936" t="str">
        <f t="shared" si="2273"/>
        <v/>
      </c>
      <c r="D5936" t="str">
        <f t="shared" si="2266"/>
        <v>CAMP LEJEUNE</v>
      </c>
      <c r="E5936" t="str">
        <f t="shared" si="2267"/>
        <v>NC</v>
      </c>
      <c r="F5936" t="str">
        <f t="shared" si="2268"/>
        <v>285478478</v>
      </c>
      <c r="G5936" t="str">
        <f t="shared" si="2271"/>
        <v>PO BOX 8478</v>
      </c>
      <c r="H5936" t="str">
        <f t="shared" si="2274"/>
        <v/>
      </c>
      <c r="I5936" t="str">
        <f t="shared" si="2269"/>
        <v>CAMP LEJEUNE</v>
      </c>
      <c r="J5936" t="str">
        <f t="shared" si="2270"/>
        <v>NC</v>
      </c>
      <c r="K5936" t="str">
        <f t="shared" si="2275"/>
        <v>000000000000000000</v>
      </c>
      <c r="L5936" t="str">
        <f>T("7574450441")</f>
        <v>7574450441</v>
      </c>
    </row>
    <row r="5937" spans="1:12" x14ac:dyDescent="0.35">
      <c r="A5937" t="str">
        <f t="shared" si="2272"/>
        <v>MARFORCOM</v>
      </c>
      <c r="B5937" t="str">
        <f t="shared" si="2265"/>
        <v>PO BOX 8478</v>
      </c>
      <c r="C5937" t="str">
        <f t="shared" si="2273"/>
        <v/>
      </c>
      <c r="D5937" t="str">
        <f t="shared" si="2266"/>
        <v>CAMP LEJEUNE</v>
      </c>
      <c r="E5937" t="str">
        <f t="shared" si="2267"/>
        <v>NC</v>
      </c>
      <c r="F5937" t="str">
        <f t="shared" si="2268"/>
        <v>285478478</v>
      </c>
      <c r="G5937" t="str">
        <f t="shared" si="2271"/>
        <v>PO BOX 8478</v>
      </c>
      <c r="H5937" t="str">
        <f t="shared" si="2274"/>
        <v/>
      </c>
      <c r="I5937" t="str">
        <f t="shared" si="2269"/>
        <v>CAMP LEJEUNE</v>
      </c>
      <c r="J5937" t="str">
        <f t="shared" si="2270"/>
        <v>NC</v>
      </c>
      <c r="K5937" t="str">
        <f t="shared" si="2275"/>
        <v>000000000000000000</v>
      </c>
      <c r="L5937" t="str">
        <f>T("7574451524")</f>
        <v>7574451524</v>
      </c>
    </row>
    <row r="5938" spans="1:12" x14ac:dyDescent="0.35">
      <c r="A5938" t="str">
        <f t="shared" si="2272"/>
        <v>MARFORCOM</v>
      </c>
      <c r="B5938" t="str">
        <f t="shared" si="2265"/>
        <v>PO BOX 8478</v>
      </c>
      <c r="C5938" t="str">
        <f t="shared" si="2273"/>
        <v/>
      </c>
      <c r="D5938" t="str">
        <f t="shared" si="2266"/>
        <v>CAMP LEJEUNE</v>
      </c>
      <c r="E5938" t="str">
        <f t="shared" si="2267"/>
        <v>NC</v>
      </c>
      <c r="F5938" t="str">
        <f t="shared" si="2268"/>
        <v>285478478</v>
      </c>
      <c r="G5938" t="str">
        <f t="shared" si="2271"/>
        <v>PO BOX 8478</v>
      </c>
      <c r="H5938" t="str">
        <f t="shared" si="2274"/>
        <v/>
      </c>
      <c r="I5938" t="str">
        <f t="shared" si="2269"/>
        <v>CAMP LEJEUNE</v>
      </c>
      <c r="J5938" t="str">
        <f t="shared" si="2270"/>
        <v>NC</v>
      </c>
      <c r="K5938" t="str">
        <f t="shared" si="2275"/>
        <v>000000000000000000</v>
      </c>
      <c r="L5938" t="str">
        <f>T("7574454287")</f>
        <v>7574454287</v>
      </c>
    </row>
    <row r="5939" spans="1:12" x14ac:dyDescent="0.35">
      <c r="A5939" t="str">
        <f t="shared" si="2272"/>
        <v>MARFORCOM</v>
      </c>
      <c r="B5939" t="str">
        <f t="shared" si="2265"/>
        <v>PO BOX 8478</v>
      </c>
      <c r="C5939" t="str">
        <f t="shared" si="2273"/>
        <v/>
      </c>
      <c r="D5939" t="str">
        <f t="shared" si="2266"/>
        <v>CAMP LEJEUNE</v>
      </c>
      <c r="E5939" t="str">
        <f t="shared" si="2267"/>
        <v>NC</v>
      </c>
      <c r="F5939" t="str">
        <f t="shared" si="2268"/>
        <v>285478478</v>
      </c>
      <c r="G5939" t="str">
        <f t="shared" si="2271"/>
        <v>PO BOX 8478</v>
      </c>
      <c r="H5939" t="str">
        <f t="shared" si="2274"/>
        <v/>
      </c>
      <c r="I5939" t="str">
        <f t="shared" si="2269"/>
        <v>CAMP LEJEUNE</v>
      </c>
      <c r="J5939" t="str">
        <f t="shared" si="2270"/>
        <v>NC</v>
      </c>
      <c r="K5939" t="str">
        <f t="shared" si="2275"/>
        <v>000000000000000000</v>
      </c>
      <c r="L5939" t="str">
        <f>T("7578361500")</f>
        <v>7578361500</v>
      </c>
    </row>
    <row r="5940" spans="1:12" x14ac:dyDescent="0.35">
      <c r="A5940" t="str">
        <f t="shared" si="2272"/>
        <v>MARFORCOM</v>
      </c>
      <c r="B5940" t="str">
        <f t="shared" si="2265"/>
        <v>PO BOX 8478</v>
      </c>
      <c r="C5940" t="str">
        <f t="shared" si="2273"/>
        <v/>
      </c>
      <c r="D5940" t="str">
        <f t="shared" si="2266"/>
        <v>CAMP LEJEUNE</v>
      </c>
      <c r="E5940" t="str">
        <f t="shared" si="2267"/>
        <v>NC</v>
      </c>
      <c r="F5940" t="str">
        <f t="shared" si="2268"/>
        <v>285478478</v>
      </c>
      <c r="G5940" t="str">
        <f t="shared" si="2271"/>
        <v>PO BOX 8478</v>
      </c>
      <c r="H5940" t="str">
        <f t="shared" si="2274"/>
        <v/>
      </c>
      <c r="I5940" t="str">
        <f t="shared" si="2269"/>
        <v>CAMP LEJEUNE</v>
      </c>
      <c r="J5940" t="str">
        <f t="shared" si="2270"/>
        <v>NC</v>
      </c>
      <c r="K5940" t="str">
        <f t="shared" si="2275"/>
        <v>000000000000000000</v>
      </c>
      <c r="L5940" t="str">
        <f>T("7578361524")</f>
        <v>7578361524</v>
      </c>
    </row>
    <row r="5941" spans="1:12" x14ac:dyDescent="0.35">
      <c r="A5941" t="str">
        <f t="shared" si="2272"/>
        <v>MARFORCOM</v>
      </c>
      <c r="B5941" t="str">
        <f t="shared" si="2265"/>
        <v>PO BOX 8478</v>
      </c>
      <c r="C5941" t="str">
        <f t="shared" si="2273"/>
        <v/>
      </c>
      <c r="D5941" t="str">
        <f t="shared" si="2266"/>
        <v>CAMP LEJEUNE</v>
      </c>
      <c r="E5941" t="str">
        <f t="shared" si="2267"/>
        <v>NC</v>
      </c>
      <c r="F5941" t="str">
        <f t="shared" si="2268"/>
        <v>285478478</v>
      </c>
      <c r="G5941" t="str">
        <f t="shared" si="2271"/>
        <v>PO BOX 8478</v>
      </c>
      <c r="H5941" t="str">
        <f t="shared" si="2274"/>
        <v/>
      </c>
      <c r="I5941" t="str">
        <f t="shared" si="2269"/>
        <v>CAMP LEJEUNE</v>
      </c>
      <c r="J5941" t="str">
        <f t="shared" si="2270"/>
        <v>NC</v>
      </c>
      <c r="K5941" t="str">
        <f t="shared" si="2275"/>
        <v>000000000000000000</v>
      </c>
      <c r="L5941" t="str">
        <f>T("7578362068")</f>
        <v>7578362068</v>
      </c>
    </row>
    <row r="5942" spans="1:12" x14ac:dyDescent="0.35">
      <c r="A5942" t="str">
        <f t="shared" si="2272"/>
        <v>MARFORCOM</v>
      </c>
      <c r="B5942" t="str">
        <f t="shared" si="2265"/>
        <v>PO BOX 8478</v>
      </c>
      <c r="C5942" t="str">
        <f t="shared" si="2273"/>
        <v/>
      </c>
      <c r="D5942" t="str">
        <f t="shared" si="2266"/>
        <v>CAMP LEJEUNE</v>
      </c>
      <c r="E5942" t="str">
        <f t="shared" si="2267"/>
        <v>NC</v>
      </c>
      <c r="F5942" t="str">
        <f t="shared" si="2268"/>
        <v>285478478</v>
      </c>
      <c r="G5942" t="str">
        <f t="shared" si="2271"/>
        <v>PO BOX 8478</v>
      </c>
      <c r="H5942" t="str">
        <f t="shared" si="2274"/>
        <v/>
      </c>
      <c r="I5942" t="str">
        <f t="shared" si="2269"/>
        <v>CAMP LEJEUNE</v>
      </c>
      <c r="J5942" t="str">
        <f t="shared" si="2270"/>
        <v>NC</v>
      </c>
      <c r="K5942" t="str">
        <f t="shared" si="2275"/>
        <v>000000000000000000</v>
      </c>
      <c r="L5942" t="str">
        <f>T("7578368609")</f>
        <v>7578368609</v>
      </c>
    </row>
    <row r="5943" spans="1:12" x14ac:dyDescent="0.35">
      <c r="A5943" t="str">
        <f t="shared" si="2272"/>
        <v>MARFORCOM</v>
      </c>
      <c r="B5943" t="str">
        <f t="shared" si="2265"/>
        <v>PO BOX 8478</v>
      </c>
      <c r="C5943" t="str">
        <f t="shared" si="2273"/>
        <v/>
      </c>
      <c r="D5943" t="str">
        <f t="shared" si="2266"/>
        <v>CAMP LEJEUNE</v>
      </c>
      <c r="E5943" t="str">
        <f t="shared" si="2267"/>
        <v>NC</v>
      </c>
      <c r="F5943" t="str">
        <f t="shared" si="2268"/>
        <v>285478478</v>
      </c>
      <c r="G5943" t="str">
        <f t="shared" si="2271"/>
        <v>PO BOX 8478</v>
      </c>
      <c r="H5943" t="str">
        <f t="shared" si="2274"/>
        <v/>
      </c>
      <c r="I5943" t="str">
        <f t="shared" si="2269"/>
        <v>CAMP LEJEUNE</v>
      </c>
      <c r="J5943" t="str">
        <f t="shared" si="2270"/>
        <v>NC</v>
      </c>
      <c r="K5943" t="str">
        <f t="shared" si="2275"/>
        <v>000000000000000000</v>
      </c>
      <c r="L5943" t="str">
        <f>T("7578478087")</f>
        <v>7578478087</v>
      </c>
    </row>
    <row r="5944" spans="1:12" x14ac:dyDescent="0.35">
      <c r="A5944" t="str">
        <f t="shared" si="2272"/>
        <v>MARFORCOM</v>
      </c>
      <c r="B5944" t="str">
        <f t="shared" si="2265"/>
        <v>PO BOX 8478</v>
      </c>
      <c r="C5944" t="str">
        <f t="shared" si="2273"/>
        <v/>
      </c>
      <c r="D5944" t="str">
        <f t="shared" si="2266"/>
        <v>CAMP LEJEUNE</v>
      </c>
      <c r="E5944" t="str">
        <f t="shared" si="2267"/>
        <v>NC</v>
      </c>
      <c r="F5944" t="str">
        <f t="shared" si="2268"/>
        <v>285478478</v>
      </c>
      <c r="G5944" t="str">
        <f t="shared" si="2271"/>
        <v>PO BOX 8478</v>
      </c>
      <c r="H5944" t="str">
        <f t="shared" si="2274"/>
        <v/>
      </c>
      <c r="I5944" t="str">
        <f t="shared" si="2269"/>
        <v>CAMP LEJEUNE</v>
      </c>
      <c r="J5944" t="str">
        <f t="shared" si="2270"/>
        <v>NC</v>
      </c>
      <c r="K5944" t="str">
        <f t="shared" si="2275"/>
        <v>000000000000000000</v>
      </c>
      <c r="L5944" t="str">
        <f>T("7578478200")</f>
        <v>7578478200</v>
      </c>
    </row>
    <row r="5945" spans="1:12" x14ac:dyDescent="0.35">
      <c r="A5945" t="str">
        <f>T("MCSCG")</f>
        <v>MCSCG</v>
      </c>
      <c r="B5945" t="str">
        <f t="shared" si="2265"/>
        <v>PO BOX 8478</v>
      </c>
      <c r="C5945" t="str">
        <f t="shared" si="2273"/>
        <v/>
      </c>
      <c r="D5945" t="str">
        <f t="shared" si="2266"/>
        <v>CAMP LEJEUNE</v>
      </c>
      <c r="E5945" t="str">
        <f t="shared" si="2267"/>
        <v>NC</v>
      </c>
      <c r="F5945" t="str">
        <f t="shared" si="2268"/>
        <v>285478478</v>
      </c>
      <c r="G5945" t="str">
        <f t="shared" si="2271"/>
        <v>PO BOX 8478</v>
      </c>
      <c r="H5945" t="str">
        <f t="shared" si="2274"/>
        <v/>
      </c>
      <c r="I5945" t="str">
        <f t="shared" si="2269"/>
        <v>CAMP LEJEUNE</v>
      </c>
      <c r="J5945" t="str">
        <f t="shared" si="2270"/>
        <v>NC</v>
      </c>
      <c r="K5945" t="str">
        <f t="shared" si="2275"/>
        <v>000000000000000000</v>
      </c>
      <c r="L5945" t="str">
        <f>T("7574227302")</f>
        <v>7574227302</v>
      </c>
    </row>
    <row r="5946" spans="1:12" x14ac:dyDescent="0.35">
      <c r="A5946" t="str">
        <f t="shared" ref="A5946:A5978" si="2276">T("MCLB ALBANY")</f>
        <v>MCLB ALBANY</v>
      </c>
      <c r="B5946" t="str">
        <f t="shared" si="2265"/>
        <v>PO BOX 8478</v>
      </c>
      <c r="C5946" t="str">
        <f t="shared" si="2273"/>
        <v/>
      </c>
      <c r="D5946" t="str">
        <f t="shared" si="2266"/>
        <v>CAMP LEJEUNE</v>
      </c>
      <c r="E5946" t="str">
        <f t="shared" si="2267"/>
        <v>NC</v>
      </c>
      <c r="F5946" t="str">
        <f t="shared" si="2268"/>
        <v>285478478</v>
      </c>
      <c r="G5946" t="str">
        <f t="shared" si="2271"/>
        <v>PO BOX 8478</v>
      </c>
      <c r="H5946" t="str">
        <f t="shared" si="2274"/>
        <v/>
      </c>
      <c r="I5946" t="str">
        <f t="shared" si="2269"/>
        <v>CAMP LEJEUNE</v>
      </c>
      <c r="J5946" t="str">
        <f t="shared" si="2270"/>
        <v>NC</v>
      </c>
      <c r="K5946" t="str">
        <f>T("")</f>
        <v/>
      </c>
      <c r="L5946" t="str">
        <f>T("2296395879")</f>
        <v>2296395879</v>
      </c>
    </row>
    <row r="5947" spans="1:12" x14ac:dyDescent="0.35">
      <c r="A5947" t="str">
        <f t="shared" si="2276"/>
        <v>MCLB ALBANY</v>
      </c>
      <c r="B5947" t="str">
        <f t="shared" si="2265"/>
        <v>PO BOX 8478</v>
      </c>
      <c r="C5947" t="str">
        <f t="shared" si="2273"/>
        <v/>
      </c>
      <c r="D5947" t="str">
        <f t="shared" si="2266"/>
        <v>CAMP LEJEUNE</v>
      </c>
      <c r="E5947" t="str">
        <f t="shared" si="2267"/>
        <v>NC</v>
      </c>
      <c r="F5947" t="str">
        <f t="shared" si="2268"/>
        <v>285478478</v>
      </c>
      <c r="G5947" t="str">
        <f t="shared" si="2271"/>
        <v>PO BOX 8478</v>
      </c>
      <c r="H5947" t="str">
        <f t="shared" si="2274"/>
        <v/>
      </c>
      <c r="I5947" t="str">
        <f t="shared" si="2269"/>
        <v>CAMP LEJEUNE</v>
      </c>
      <c r="J5947" t="str">
        <f t="shared" si="2270"/>
        <v>NC</v>
      </c>
      <c r="K5947" t="str">
        <f>T("")</f>
        <v/>
      </c>
      <c r="L5947" t="str">
        <f>T("2296396994")</f>
        <v>2296396994</v>
      </c>
    </row>
    <row r="5948" spans="1:12" x14ac:dyDescent="0.35">
      <c r="A5948" t="str">
        <f t="shared" si="2276"/>
        <v>MCLB ALBANY</v>
      </c>
      <c r="B5948" t="str">
        <f t="shared" si="2265"/>
        <v>PO BOX 8478</v>
      </c>
      <c r="C5948" t="str">
        <f t="shared" si="2273"/>
        <v/>
      </c>
      <c r="D5948" t="str">
        <f t="shared" si="2266"/>
        <v>CAMP LEJEUNE</v>
      </c>
      <c r="E5948" t="str">
        <f t="shared" si="2267"/>
        <v>NC</v>
      </c>
      <c r="F5948" t="str">
        <f t="shared" si="2268"/>
        <v>285478478</v>
      </c>
      <c r="G5948" t="str">
        <f t="shared" si="2271"/>
        <v>PO BOX 8478</v>
      </c>
      <c r="H5948" t="str">
        <f t="shared" si="2274"/>
        <v/>
      </c>
      <c r="I5948" t="str">
        <f t="shared" si="2269"/>
        <v>CAMP LEJEUNE</v>
      </c>
      <c r="J5948" t="str">
        <f t="shared" si="2270"/>
        <v>NC</v>
      </c>
      <c r="K5948" t="str">
        <f t="shared" ref="K5948:K5961" si="2277">T("000000000000000000")</f>
        <v>000000000000000000</v>
      </c>
      <c r="L5948" t="str">
        <f>T("2296395219")</f>
        <v>2296395219</v>
      </c>
    </row>
    <row r="5949" spans="1:12" x14ac:dyDescent="0.35">
      <c r="A5949" t="str">
        <f t="shared" si="2276"/>
        <v>MCLB ALBANY</v>
      </c>
      <c r="B5949" t="str">
        <f t="shared" si="2265"/>
        <v>PO BOX 8478</v>
      </c>
      <c r="C5949" t="str">
        <f t="shared" si="2273"/>
        <v/>
      </c>
      <c r="D5949" t="str">
        <f t="shared" si="2266"/>
        <v>CAMP LEJEUNE</v>
      </c>
      <c r="E5949" t="str">
        <f t="shared" si="2267"/>
        <v>NC</v>
      </c>
      <c r="F5949" t="str">
        <f t="shared" si="2268"/>
        <v>285478478</v>
      </c>
      <c r="G5949" t="str">
        <f t="shared" si="2271"/>
        <v>PO BOX 8478</v>
      </c>
      <c r="H5949" t="str">
        <f t="shared" si="2274"/>
        <v/>
      </c>
      <c r="I5949" t="str">
        <f t="shared" si="2269"/>
        <v>CAMP LEJEUNE</v>
      </c>
      <c r="J5949" t="str">
        <f t="shared" si="2270"/>
        <v>NC</v>
      </c>
      <c r="K5949" t="str">
        <f t="shared" si="2277"/>
        <v>000000000000000000</v>
      </c>
      <c r="L5949" t="str">
        <f>T("2296395309")</f>
        <v>2296395309</v>
      </c>
    </row>
    <row r="5950" spans="1:12" x14ac:dyDescent="0.35">
      <c r="A5950" t="str">
        <f t="shared" si="2276"/>
        <v>MCLB ALBANY</v>
      </c>
      <c r="B5950" t="str">
        <f t="shared" si="2265"/>
        <v>PO BOX 8478</v>
      </c>
      <c r="C5950" t="str">
        <f t="shared" si="2273"/>
        <v/>
      </c>
      <c r="D5950" t="str">
        <f t="shared" si="2266"/>
        <v>CAMP LEJEUNE</v>
      </c>
      <c r="E5950" t="str">
        <f t="shared" si="2267"/>
        <v>NC</v>
      </c>
      <c r="F5950" t="str">
        <f t="shared" si="2268"/>
        <v>285478478</v>
      </c>
      <c r="G5950" t="str">
        <f t="shared" si="2271"/>
        <v>PO BOX 8478</v>
      </c>
      <c r="H5950" t="str">
        <f t="shared" si="2274"/>
        <v/>
      </c>
      <c r="I5950" t="str">
        <f t="shared" si="2269"/>
        <v>CAMP LEJEUNE</v>
      </c>
      <c r="J5950" t="str">
        <f t="shared" si="2270"/>
        <v>NC</v>
      </c>
      <c r="K5950" t="str">
        <f t="shared" si="2277"/>
        <v>000000000000000000</v>
      </c>
      <c r="L5950" t="str">
        <f>T("2296395605")</f>
        <v>2296395605</v>
      </c>
    </row>
    <row r="5951" spans="1:12" x14ac:dyDescent="0.35">
      <c r="A5951" t="str">
        <f t="shared" si="2276"/>
        <v>MCLB ALBANY</v>
      </c>
      <c r="B5951" t="str">
        <f t="shared" si="2265"/>
        <v>PO BOX 8478</v>
      </c>
      <c r="C5951" t="str">
        <f t="shared" si="2273"/>
        <v/>
      </c>
      <c r="D5951" t="str">
        <f t="shared" si="2266"/>
        <v>CAMP LEJEUNE</v>
      </c>
      <c r="E5951" t="str">
        <f t="shared" si="2267"/>
        <v>NC</v>
      </c>
      <c r="F5951" t="str">
        <f t="shared" si="2268"/>
        <v>285478478</v>
      </c>
      <c r="G5951" t="str">
        <f t="shared" si="2271"/>
        <v>PO BOX 8478</v>
      </c>
      <c r="H5951" t="str">
        <f t="shared" si="2274"/>
        <v/>
      </c>
      <c r="I5951" t="str">
        <f t="shared" si="2269"/>
        <v>CAMP LEJEUNE</v>
      </c>
      <c r="J5951" t="str">
        <f t="shared" si="2270"/>
        <v>NC</v>
      </c>
      <c r="K5951" t="str">
        <f t="shared" si="2277"/>
        <v>000000000000000000</v>
      </c>
      <c r="L5951" t="str">
        <f>T("2296395610")</f>
        <v>2296395610</v>
      </c>
    </row>
    <row r="5952" spans="1:12" x14ac:dyDescent="0.35">
      <c r="A5952" t="str">
        <f t="shared" si="2276"/>
        <v>MCLB ALBANY</v>
      </c>
      <c r="B5952" t="str">
        <f t="shared" si="2265"/>
        <v>PO BOX 8478</v>
      </c>
      <c r="C5952" t="str">
        <f t="shared" si="2273"/>
        <v/>
      </c>
      <c r="D5952" t="str">
        <f t="shared" si="2266"/>
        <v>CAMP LEJEUNE</v>
      </c>
      <c r="E5952" t="str">
        <f t="shared" si="2267"/>
        <v>NC</v>
      </c>
      <c r="F5952" t="str">
        <f t="shared" si="2268"/>
        <v>285478478</v>
      </c>
      <c r="G5952" t="str">
        <f t="shared" si="2271"/>
        <v>PO BOX 8478</v>
      </c>
      <c r="H5952" t="str">
        <f t="shared" si="2274"/>
        <v/>
      </c>
      <c r="I5952" t="str">
        <f t="shared" si="2269"/>
        <v>CAMP LEJEUNE</v>
      </c>
      <c r="J5952" t="str">
        <f t="shared" si="2270"/>
        <v>NC</v>
      </c>
      <c r="K5952" t="str">
        <f t="shared" si="2277"/>
        <v>000000000000000000</v>
      </c>
      <c r="L5952" t="str">
        <f>T("2296395625")</f>
        <v>2296395625</v>
      </c>
    </row>
    <row r="5953" spans="1:12" x14ac:dyDescent="0.35">
      <c r="A5953" t="str">
        <f t="shared" si="2276"/>
        <v>MCLB ALBANY</v>
      </c>
      <c r="B5953" t="str">
        <f t="shared" si="2265"/>
        <v>PO BOX 8478</v>
      </c>
      <c r="C5953" t="str">
        <f t="shared" si="2273"/>
        <v/>
      </c>
      <c r="D5953" t="str">
        <f t="shared" si="2266"/>
        <v>CAMP LEJEUNE</v>
      </c>
      <c r="E5953" t="str">
        <f t="shared" si="2267"/>
        <v>NC</v>
      </c>
      <c r="F5953" t="str">
        <f t="shared" si="2268"/>
        <v>285478478</v>
      </c>
      <c r="G5953" t="str">
        <f t="shared" si="2271"/>
        <v>PO BOX 8478</v>
      </c>
      <c r="H5953" t="str">
        <f t="shared" si="2274"/>
        <v/>
      </c>
      <c r="I5953" t="str">
        <f t="shared" si="2269"/>
        <v>CAMP LEJEUNE</v>
      </c>
      <c r="J5953" t="str">
        <f t="shared" si="2270"/>
        <v>NC</v>
      </c>
      <c r="K5953" t="str">
        <f t="shared" si="2277"/>
        <v>000000000000000000</v>
      </c>
      <c r="L5953" t="str">
        <f>T("2296396215")</f>
        <v>2296396215</v>
      </c>
    </row>
    <row r="5954" spans="1:12" x14ac:dyDescent="0.35">
      <c r="A5954" t="str">
        <f t="shared" si="2276"/>
        <v>MCLB ALBANY</v>
      </c>
      <c r="B5954" t="str">
        <f t="shared" si="2265"/>
        <v>PO BOX 8478</v>
      </c>
      <c r="C5954" t="str">
        <f t="shared" ref="C5954:C5976" si="2278">T("")</f>
        <v/>
      </c>
      <c r="D5954" t="str">
        <f t="shared" si="2266"/>
        <v>CAMP LEJEUNE</v>
      </c>
      <c r="E5954" t="str">
        <f t="shared" si="2267"/>
        <v>NC</v>
      </c>
      <c r="F5954" t="str">
        <f t="shared" si="2268"/>
        <v>285478478</v>
      </c>
      <c r="G5954" t="str">
        <f t="shared" si="2271"/>
        <v>PO BOX 8478</v>
      </c>
      <c r="H5954" t="str">
        <f t="shared" ref="H5954:H5976" si="2279">T("")</f>
        <v/>
      </c>
      <c r="I5954" t="str">
        <f t="shared" si="2269"/>
        <v>CAMP LEJEUNE</v>
      </c>
      <c r="J5954" t="str">
        <f t="shared" si="2270"/>
        <v>NC</v>
      </c>
      <c r="K5954" t="str">
        <f t="shared" si="2277"/>
        <v>000000000000000000</v>
      </c>
      <c r="L5954" t="str">
        <f>T("2296396563")</f>
        <v>2296396563</v>
      </c>
    </row>
    <row r="5955" spans="1:12" x14ac:dyDescent="0.35">
      <c r="A5955" t="str">
        <f t="shared" si="2276"/>
        <v>MCLB ALBANY</v>
      </c>
      <c r="B5955" t="str">
        <f t="shared" si="2265"/>
        <v>PO BOX 8478</v>
      </c>
      <c r="C5955" t="str">
        <f t="shared" si="2278"/>
        <v/>
      </c>
      <c r="D5955" t="str">
        <f t="shared" si="2266"/>
        <v>CAMP LEJEUNE</v>
      </c>
      <c r="E5955" t="str">
        <f t="shared" si="2267"/>
        <v>NC</v>
      </c>
      <c r="F5955" t="str">
        <f t="shared" si="2268"/>
        <v>285478478</v>
      </c>
      <c r="G5955" t="str">
        <f t="shared" si="2271"/>
        <v>PO BOX 8478</v>
      </c>
      <c r="H5955" t="str">
        <f t="shared" si="2279"/>
        <v/>
      </c>
      <c r="I5955" t="str">
        <f t="shared" si="2269"/>
        <v>CAMP LEJEUNE</v>
      </c>
      <c r="J5955" t="str">
        <f t="shared" si="2270"/>
        <v>NC</v>
      </c>
      <c r="K5955" t="str">
        <f t="shared" si="2277"/>
        <v>000000000000000000</v>
      </c>
      <c r="L5955" t="str">
        <f>T("2296396728")</f>
        <v>2296396728</v>
      </c>
    </row>
    <row r="5956" spans="1:12" x14ac:dyDescent="0.35">
      <c r="A5956" t="str">
        <f t="shared" si="2276"/>
        <v>MCLB ALBANY</v>
      </c>
      <c r="B5956" t="str">
        <f t="shared" si="2265"/>
        <v>PO BOX 8478</v>
      </c>
      <c r="C5956" t="str">
        <f t="shared" si="2278"/>
        <v/>
      </c>
      <c r="D5956" t="str">
        <f t="shared" si="2266"/>
        <v>CAMP LEJEUNE</v>
      </c>
      <c r="E5956" t="str">
        <f t="shared" si="2267"/>
        <v>NC</v>
      </c>
      <c r="F5956" t="str">
        <f t="shared" si="2268"/>
        <v>285478478</v>
      </c>
      <c r="G5956" t="str">
        <f t="shared" si="2271"/>
        <v>PO BOX 8478</v>
      </c>
      <c r="H5956" t="str">
        <f t="shared" si="2279"/>
        <v/>
      </c>
      <c r="I5956" t="str">
        <f t="shared" si="2269"/>
        <v>CAMP LEJEUNE</v>
      </c>
      <c r="J5956" t="str">
        <f t="shared" si="2270"/>
        <v>NC</v>
      </c>
      <c r="K5956" t="str">
        <f t="shared" si="2277"/>
        <v>000000000000000000</v>
      </c>
      <c r="L5956" t="str">
        <f>T("2296397322")</f>
        <v>2296397322</v>
      </c>
    </row>
    <row r="5957" spans="1:12" x14ac:dyDescent="0.35">
      <c r="A5957" t="str">
        <f t="shared" si="2276"/>
        <v>MCLB ALBANY</v>
      </c>
      <c r="B5957" t="str">
        <f t="shared" si="2265"/>
        <v>PO BOX 8478</v>
      </c>
      <c r="C5957" t="str">
        <f t="shared" si="2278"/>
        <v/>
      </c>
      <c r="D5957" t="str">
        <f t="shared" si="2266"/>
        <v>CAMP LEJEUNE</v>
      </c>
      <c r="E5957" t="str">
        <f t="shared" si="2267"/>
        <v>NC</v>
      </c>
      <c r="F5957" t="str">
        <f t="shared" si="2268"/>
        <v>285478478</v>
      </c>
      <c r="G5957" t="str">
        <f t="shared" si="2271"/>
        <v>PO BOX 8478</v>
      </c>
      <c r="H5957" t="str">
        <f t="shared" si="2279"/>
        <v/>
      </c>
      <c r="I5957" t="str">
        <f t="shared" si="2269"/>
        <v>CAMP LEJEUNE</v>
      </c>
      <c r="J5957" t="str">
        <f t="shared" si="2270"/>
        <v>NC</v>
      </c>
      <c r="K5957" t="str">
        <f t="shared" si="2277"/>
        <v>000000000000000000</v>
      </c>
      <c r="L5957" t="str">
        <f>T("2296397937")</f>
        <v>2296397937</v>
      </c>
    </row>
    <row r="5958" spans="1:12" x14ac:dyDescent="0.35">
      <c r="A5958" t="str">
        <f t="shared" si="2276"/>
        <v>MCLB ALBANY</v>
      </c>
      <c r="B5958" t="str">
        <f t="shared" si="2265"/>
        <v>PO BOX 8478</v>
      </c>
      <c r="C5958" t="str">
        <f t="shared" si="2278"/>
        <v/>
      </c>
      <c r="D5958" t="str">
        <f t="shared" si="2266"/>
        <v>CAMP LEJEUNE</v>
      </c>
      <c r="E5958" t="str">
        <f t="shared" si="2267"/>
        <v>NC</v>
      </c>
      <c r="F5958" t="str">
        <f t="shared" si="2268"/>
        <v>285478478</v>
      </c>
      <c r="G5958" t="str">
        <f t="shared" si="2271"/>
        <v>PO BOX 8478</v>
      </c>
      <c r="H5958" t="str">
        <f t="shared" si="2279"/>
        <v/>
      </c>
      <c r="I5958" t="str">
        <f t="shared" si="2269"/>
        <v>CAMP LEJEUNE</v>
      </c>
      <c r="J5958" t="str">
        <f t="shared" si="2270"/>
        <v>NC</v>
      </c>
      <c r="K5958" t="str">
        <f t="shared" si="2277"/>
        <v>000000000000000000</v>
      </c>
      <c r="L5958" t="str">
        <f>T("2296398105")</f>
        <v>2296398105</v>
      </c>
    </row>
    <row r="5959" spans="1:12" x14ac:dyDescent="0.35">
      <c r="A5959" t="str">
        <f t="shared" si="2276"/>
        <v>MCLB ALBANY</v>
      </c>
      <c r="B5959" t="str">
        <f t="shared" si="2265"/>
        <v>PO BOX 8478</v>
      </c>
      <c r="C5959" t="str">
        <f t="shared" si="2278"/>
        <v/>
      </c>
      <c r="D5959" t="str">
        <f t="shared" si="2266"/>
        <v>CAMP LEJEUNE</v>
      </c>
      <c r="E5959" t="str">
        <f t="shared" si="2267"/>
        <v>NC</v>
      </c>
      <c r="F5959" t="str">
        <f t="shared" si="2268"/>
        <v>285478478</v>
      </c>
      <c r="G5959" t="str">
        <f t="shared" si="2271"/>
        <v>PO BOX 8478</v>
      </c>
      <c r="H5959" t="str">
        <f t="shared" si="2279"/>
        <v/>
      </c>
      <c r="I5959" t="str">
        <f t="shared" si="2269"/>
        <v>CAMP LEJEUNE</v>
      </c>
      <c r="J5959" t="str">
        <f t="shared" si="2270"/>
        <v>NC</v>
      </c>
      <c r="K5959" t="str">
        <f t="shared" si="2277"/>
        <v>000000000000000000</v>
      </c>
      <c r="L5959" t="str">
        <f>T("2296398191")</f>
        <v>2296398191</v>
      </c>
    </row>
    <row r="5960" spans="1:12" x14ac:dyDescent="0.35">
      <c r="A5960" t="str">
        <f t="shared" si="2276"/>
        <v>MCLB ALBANY</v>
      </c>
      <c r="B5960" t="str">
        <f t="shared" si="2265"/>
        <v>PO BOX 8478</v>
      </c>
      <c r="C5960" t="str">
        <f t="shared" si="2278"/>
        <v/>
      </c>
      <c r="D5960" t="str">
        <f t="shared" si="2266"/>
        <v>CAMP LEJEUNE</v>
      </c>
      <c r="E5960" t="str">
        <f t="shared" si="2267"/>
        <v>NC</v>
      </c>
      <c r="F5960" t="str">
        <f t="shared" si="2268"/>
        <v>285478478</v>
      </c>
      <c r="G5960" t="str">
        <f t="shared" si="2271"/>
        <v>PO BOX 8478</v>
      </c>
      <c r="H5960" t="str">
        <f t="shared" si="2279"/>
        <v/>
      </c>
      <c r="I5960" t="str">
        <f t="shared" si="2269"/>
        <v>CAMP LEJEUNE</v>
      </c>
      <c r="J5960" t="str">
        <f t="shared" si="2270"/>
        <v>NC</v>
      </c>
      <c r="K5960" t="str">
        <f t="shared" si="2277"/>
        <v>000000000000000000</v>
      </c>
      <c r="L5960" t="str">
        <f>T("2296398737")</f>
        <v>2296398737</v>
      </c>
    </row>
    <row r="5961" spans="1:12" x14ac:dyDescent="0.35">
      <c r="A5961" t="str">
        <f t="shared" si="2276"/>
        <v>MCLB ALBANY</v>
      </c>
      <c r="B5961" t="str">
        <f t="shared" si="2265"/>
        <v>PO BOX 8478</v>
      </c>
      <c r="C5961" t="str">
        <f t="shared" si="2278"/>
        <v/>
      </c>
      <c r="D5961" t="str">
        <f t="shared" si="2266"/>
        <v>CAMP LEJEUNE</v>
      </c>
      <c r="E5961" t="str">
        <f t="shared" si="2267"/>
        <v>NC</v>
      </c>
      <c r="F5961" t="str">
        <f t="shared" si="2268"/>
        <v>285478478</v>
      </c>
      <c r="G5961" t="str">
        <f t="shared" si="2271"/>
        <v>PO BOX 8478</v>
      </c>
      <c r="H5961" t="str">
        <f t="shared" si="2279"/>
        <v/>
      </c>
      <c r="I5961" t="str">
        <f t="shared" si="2269"/>
        <v>CAMP LEJEUNE</v>
      </c>
      <c r="J5961" t="str">
        <f t="shared" si="2270"/>
        <v>NC</v>
      </c>
      <c r="K5961" t="str">
        <f t="shared" si="2277"/>
        <v>000000000000000000</v>
      </c>
      <c r="L5961" t="str">
        <f>T("2296399640")</f>
        <v>2296399640</v>
      </c>
    </row>
    <row r="5962" spans="1:12" x14ac:dyDescent="0.35">
      <c r="A5962" t="str">
        <f t="shared" si="2276"/>
        <v>MCLB ALBANY</v>
      </c>
      <c r="B5962" t="str">
        <f t="shared" si="2265"/>
        <v>PO BOX 8478</v>
      </c>
      <c r="C5962" t="str">
        <f t="shared" si="2278"/>
        <v/>
      </c>
      <c r="D5962" t="str">
        <f t="shared" si="2266"/>
        <v>CAMP LEJEUNE</v>
      </c>
      <c r="E5962" t="str">
        <f t="shared" si="2267"/>
        <v>NC</v>
      </c>
      <c r="F5962" t="str">
        <f t="shared" si="2268"/>
        <v>285478478</v>
      </c>
      <c r="G5962" t="str">
        <f t="shared" si="2271"/>
        <v>PO BOX 8478</v>
      </c>
      <c r="H5962" t="str">
        <f t="shared" si="2279"/>
        <v/>
      </c>
      <c r="I5962" t="str">
        <f t="shared" si="2269"/>
        <v>CAMP LEJEUNE</v>
      </c>
      <c r="J5962" t="str">
        <f t="shared" si="2270"/>
        <v>NC</v>
      </c>
      <c r="K5962" t="str">
        <f>T("2296395154")</f>
        <v>2296395154</v>
      </c>
      <c r="L5962" t="str">
        <f>T("2296397003")</f>
        <v>2296397003</v>
      </c>
    </row>
    <row r="5963" spans="1:12" x14ac:dyDescent="0.35">
      <c r="A5963" t="str">
        <f t="shared" si="2276"/>
        <v>MCLB ALBANY</v>
      </c>
      <c r="B5963" t="str">
        <f t="shared" si="2265"/>
        <v>PO BOX 8478</v>
      </c>
      <c r="C5963" t="str">
        <f t="shared" si="2278"/>
        <v/>
      </c>
      <c r="D5963" t="str">
        <f t="shared" si="2266"/>
        <v>CAMP LEJEUNE</v>
      </c>
      <c r="E5963" t="str">
        <f t="shared" si="2267"/>
        <v>NC</v>
      </c>
      <c r="F5963" t="str">
        <f t="shared" si="2268"/>
        <v>285478478</v>
      </c>
      <c r="G5963" t="str">
        <f t="shared" si="2271"/>
        <v>PO BOX 8478</v>
      </c>
      <c r="H5963" t="str">
        <f t="shared" si="2279"/>
        <v/>
      </c>
      <c r="I5963" t="str">
        <f t="shared" si="2269"/>
        <v>CAMP LEJEUNE</v>
      </c>
      <c r="J5963" t="str">
        <f t="shared" si="2270"/>
        <v>NC</v>
      </c>
      <c r="K5963" t="str">
        <f>T("2296395442")</f>
        <v>2296395442</v>
      </c>
      <c r="L5963" t="str">
        <f>T("2296395642")</f>
        <v>2296395642</v>
      </c>
    </row>
    <row r="5964" spans="1:12" x14ac:dyDescent="0.35">
      <c r="A5964" t="str">
        <f t="shared" si="2276"/>
        <v>MCLB ALBANY</v>
      </c>
      <c r="B5964" t="str">
        <f t="shared" si="2265"/>
        <v>PO BOX 8478</v>
      </c>
      <c r="C5964" t="str">
        <f t="shared" si="2278"/>
        <v/>
      </c>
      <c r="D5964" t="str">
        <f t="shared" si="2266"/>
        <v>CAMP LEJEUNE</v>
      </c>
      <c r="E5964" t="str">
        <f t="shared" si="2267"/>
        <v>NC</v>
      </c>
      <c r="F5964" t="str">
        <f t="shared" si="2268"/>
        <v>285478478</v>
      </c>
      <c r="G5964" t="str">
        <f t="shared" si="2271"/>
        <v>PO BOX 8478</v>
      </c>
      <c r="H5964" t="str">
        <f t="shared" si="2279"/>
        <v/>
      </c>
      <c r="I5964" t="str">
        <f t="shared" si="2269"/>
        <v>CAMP LEJEUNE</v>
      </c>
      <c r="J5964" t="str">
        <f t="shared" si="2270"/>
        <v>NC</v>
      </c>
      <c r="K5964" t="str">
        <f>T("2296395480")</f>
        <v>2296395480</v>
      </c>
      <c r="L5964" t="str">
        <f>T("2296396269")</f>
        <v>2296396269</v>
      </c>
    </row>
    <row r="5965" spans="1:12" x14ac:dyDescent="0.35">
      <c r="A5965" t="str">
        <f t="shared" si="2276"/>
        <v>MCLB ALBANY</v>
      </c>
      <c r="B5965" t="str">
        <f t="shared" si="2265"/>
        <v>PO BOX 8478</v>
      </c>
      <c r="C5965" t="str">
        <f t="shared" si="2278"/>
        <v/>
      </c>
      <c r="D5965" t="str">
        <f t="shared" si="2266"/>
        <v>CAMP LEJEUNE</v>
      </c>
      <c r="E5965" t="str">
        <f t="shared" si="2267"/>
        <v>NC</v>
      </c>
      <c r="F5965" t="str">
        <f t="shared" si="2268"/>
        <v>285478478</v>
      </c>
      <c r="G5965" t="str">
        <f t="shared" si="2271"/>
        <v>PO BOX 8478</v>
      </c>
      <c r="H5965" t="str">
        <f t="shared" si="2279"/>
        <v/>
      </c>
      <c r="I5965" t="str">
        <f t="shared" si="2269"/>
        <v>CAMP LEJEUNE</v>
      </c>
      <c r="J5965" t="str">
        <f t="shared" si="2270"/>
        <v>NC</v>
      </c>
      <c r="K5965" t="str">
        <f>T("2296395618")</f>
        <v>2296395618</v>
      </c>
      <c r="L5965" t="str">
        <f>T("2996395699")</f>
        <v>2996395699</v>
      </c>
    </row>
    <row r="5966" spans="1:12" x14ac:dyDescent="0.35">
      <c r="A5966" t="str">
        <f t="shared" si="2276"/>
        <v>MCLB ALBANY</v>
      </c>
      <c r="B5966" t="str">
        <f t="shared" si="2265"/>
        <v>PO BOX 8478</v>
      </c>
      <c r="C5966" t="str">
        <f t="shared" si="2278"/>
        <v/>
      </c>
      <c r="D5966" t="str">
        <f t="shared" si="2266"/>
        <v>CAMP LEJEUNE</v>
      </c>
      <c r="E5966" t="str">
        <f t="shared" si="2267"/>
        <v>NC</v>
      </c>
      <c r="F5966" t="str">
        <f t="shared" si="2268"/>
        <v>285478478</v>
      </c>
      <c r="G5966" t="str">
        <f t="shared" si="2271"/>
        <v>PO BOX 8478</v>
      </c>
      <c r="H5966" t="str">
        <f t="shared" si="2279"/>
        <v/>
      </c>
      <c r="I5966" t="str">
        <f t="shared" si="2269"/>
        <v>CAMP LEJEUNE</v>
      </c>
      <c r="J5966" t="str">
        <f t="shared" si="2270"/>
        <v>NC</v>
      </c>
      <c r="K5966" t="str">
        <f>T("2296395690")</f>
        <v>2296395690</v>
      </c>
      <c r="L5966" t="str">
        <f>T("2296395614")</f>
        <v>2296395614</v>
      </c>
    </row>
    <row r="5967" spans="1:12" x14ac:dyDescent="0.35">
      <c r="A5967" t="str">
        <f t="shared" si="2276"/>
        <v>MCLB ALBANY</v>
      </c>
      <c r="B5967" t="str">
        <f t="shared" si="2265"/>
        <v>PO BOX 8478</v>
      </c>
      <c r="C5967" t="str">
        <f t="shared" si="2278"/>
        <v/>
      </c>
      <c r="D5967" t="str">
        <f t="shared" si="2266"/>
        <v>CAMP LEJEUNE</v>
      </c>
      <c r="E5967" t="str">
        <f t="shared" si="2267"/>
        <v>NC</v>
      </c>
      <c r="F5967" t="str">
        <f t="shared" si="2268"/>
        <v>285478478</v>
      </c>
      <c r="G5967" t="str">
        <f t="shared" si="2271"/>
        <v>PO BOX 8478</v>
      </c>
      <c r="H5967" t="str">
        <f t="shared" si="2279"/>
        <v/>
      </c>
      <c r="I5967" t="str">
        <f t="shared" si="2269"/>
        <v>CAMP LEJEUNE</v>
      </c>
      <c r="J5967" t="str">
        <f t="shared" si="2270"/>
        <v>NC</v>
      </c>
      <c r="K5967" t="str">
        <f t="shared" ref="K5967:K5975" si="2280">T("2296396294")</f>
        <v>2296396294</v>
      </c>
      <c r="L5967" t="str">
        <f>T("2229635963")</f>
        <v>2229635963</v>
      </c>
    </row>
    <row r="5968" spans="1:12" x14ac:dyDescent="0.35">
      <c r="A5968" t="str">
        <f t="shared" si="2276"/>
        <v>MCLB ALBANY</v>
      </c>
      <c r="B5968" t="str">
        <f t="shared" si="2265"/>
        <v>PO BOX 8478</v>
      </c>
      <c r="C5968" t="str">
        <f t="shared" si="2278"/>
        <v/>
      </c>
      <c r="D5968" t="str">
        <f t="shared" si="2266"/>
        <v>CAMP LEJEUNE</v>
      </c>
      <c r="E5968" t="str">
        <f t="shared" si="2267"/>
        <v>NC</v>
      </c>
      <c r="F5968" t="str">
        <f t="shared" si="2268"/>
        <v>285478478</v>
      </c>
      <c r="G5968" t="str">
        <f t="shared" si="2271"/>
        <v>PO BOX 8478</v>
      </c>
      <c r="H5968" t="str">
        <f t="shared" si="2279"/>
        <v/>
      </c>
      <c r="I5968" t="str">
        <f t="shared" si="2269"/>
        <v>CAMP LEJEUNE</v>
      </c>
      <c r="J5968" t="str">
        <f t="shared" si="2270"/>
        <v>NC</v>
      </c>
      <c r="K5968" t="str">
        <f t="shared" si="2280"/>
        <v>2296396294</v>
      </c>
      <c r="L5968" t="str">
        <f>T("2296395181")</f>
        <v>2296395181</v>
      </c>
    </row>
    <row r="5969" spans="1:12" x14ac:dyDescent="0.35">
      <c r="A5969" t="str">
        <f t="shared" si="2276"/>
        <v>MCLB ALBANY</v>
      </c>
      <c r="B5969" t="str">
        <f t="shared" si="2265"/>
        <v>PO BOX 8478</v>
      </c>
      <c r="C5969" t="str">
        <f t="shared" si="2278"/>
        <v/>
      </c>
      <c r="D5969" t="str">
        <f t="shared" si="2266"/>
        <v>CAMP LEJEUNE</v>
      </c>
      <c r="E5969" t="str">
        <f t="shared" si="2267"/>
        <v>NC</v>
      </c>
      <c r="F5969" t="str">
        <f t="shared" si="2268"/>
        <v>285478478</v>
      </c>
      <c r="G5969" t="str">
        <f t="shared" si="2271"/>
        <v>PO BOX 8478</v>
      </c>
      <c r="H5969" t="str">
        <f t="shared" si="2279"/>
        <v/>
      </c>
      <c r="I5969" t="str">
        <f t="shared" si="2269"/>
        <v>CAMP LEJEUNE</v>
      </c>
      <c r="J5969" t="str">
        <f t="shared" si="2270"/>
        <v>NC</v>
      </c>
      <c r="K5969" t="str">
        <f t="shared" si="2280"/>
        <v>2296396294</v>
      </c>
      <c r="L5969" t="str">
        <f>T("2296395803")</f>
        <v>2296395803</v>
      </c>
    </row>
    <row r="5970" spans="1:12" x14ac:dyDescent="0.35">
      <c r="A5970" t="str">
        <f t="shared" si="2276"/>
        <v>MCLB ALBANY</v>
      </c>
      <c r="B5970" t="str">
        <f t="shared" si="2265"/>
        <v>PO BOX 8478</v>
      </c>
      <c r="C5970" t="str">
        <f t="shared" si="2278"/>
        <v/>
      </c>
      <c r="D5970" t="str">
        <f t="shared" si="2266"/>
        <v>CAMP LEJEUNE</v>
      </c>
      <c r="E5970" t="str">
        <f t="shared" si="2267"/>
        <v>NC</v>
      </c>
      <c r="F5970" t="str">
        <f t="shared" si="2268"/>
        <v>285478478</v>
      </c>
      <c r="G5970" t="str">
        <f t="shared" si="2271"/>
        <v>PO BOX 8478</v>
      </c>
      <c r="H5970" t="str">
        <f t="shared" si="2279"/>
        <v/>
      </c>
      <c r="I5970" t="str">
        <f t="shared" si="2269"/>
        <v>CAMP LEJEUNE</v>
      </c>
      <c r="J5970" t="str">
        <f t="shared" si="2270"/>
        <v>NC</v>
      </c>
      <c r="K5970" t="str">
        <f t="shared" si="2280"/>
        <v>2296396294</v>
      </c>
      <c r="L5970" t="str">
        <f>T("2296397008")</f>
        <v>2296397008</v>
      </c>
    </row>
    <row r="5971" spans="1:12" x14ac:dyDescent="0.35">
      <c r="A5971" t="str">
        <f t="shared" si="2276"/>
        <v>MCLB ALBANY</v>
      </c>
      <c r="B5971" t="str">
        <f t="shared" si="2265"/>
        <v>PO BOX 8478</v>
      </c>
      <c r="C5971" t="str">
        <f t="shared" si="2278"/>
        <v/>
      </c>
      <c r="D5971" t="str">
        <f t="shared" si="2266"/>
        <v>CAMP LEJEUNE</v>
      </c>
      <c r="E5971" t="str">
        <f t="shared" si="2267"/>
        <v>NC</v>
      </c>
      <c r="F5971" t="str">
        <f t="shared" si="2268"/>
        <v>285478478</v>
      </c>
      <c r="G5971" t="str">
        <f t="shared" si="2271"/>
        <v>PO BOX 8478</v>
      </c>
      <c r="H5971" t="str">
        <f t="shared" si="2279"/>
        <v/>
      </c>
      <c r="I5971" t="str">
        <f t="shared" si="2269"/>
        <v>CAMP LEJEUNE</v>
      </c>
      <c r="J5971" t="str">
        <f t="shared" si="2270"/>
        <v>NC</v>
      </c>
      <c r="K5971" t="str">
        <f t="shared" si="2280"/>
        <v>2296396294</v>
      </c>
      <c r="L5971" t="str">
        <f>T("2296397055")</f>
        <v>2296397055</v>
      </c>
    </row>
    <row r="5972" spans="1:12" x14ac:dyDescent="0.35">
      <c r="A5972" t="str">
        <f t="shared" si="2276"/>
        <v>MCLB ALBANY</v>
      </c>
      <c r="B5972" t="str">
        <f t="shared" ref="B5972:B5984" si="2281">T("PO BOX 8478")</f>
        <v>PO BOX 8478</v>
      </c>
      <c r="C5972" t="str">
        <f t="shared" si="2278"/>
        <v/>
      </c>
      <c r="D5972" t="str">
        <f t="shared" ref="D5972:D5984" si="2282">T("CAMP LEJEUNE")</f>
        <v>CAMP LEJEUNE</v>
      </c>
      <c r="E5972" t="str">
        <f t="shared" ref="E5972:E5984" si="2283">T("NC")</f>
        <v>NC</v>
      </c>
      <c r="F5972" t="str">
        <f t="shared" ref="F5972:F5984" si="2284">T("285478478")</f>
        <v>285478478</v>
      </c>
      <c r="G5972" t="str">
        <f t="shared" si="2271"/>
        <v>PO BOX 8478</v>
      </c>
      <c r="H5972" t="str">
        <f t="shared" si="2279"/>
        <v/>
      </c>
      <c r="I5972" t="str">
        <f t="shared" ref="I5972:I5984" si="2285">T("CAMP LEJEUNE")</f>
        <v>CAMP LEJEUNE</v>
      </c>
      <c r="J5972" t="str">
        <f t="shared" ref="J5972:J5984" si="2286">T("NC")</f>
        <v>NC</v>
      </c>
      <c r="K5972" t="str">
        <f t="shared" si="2280"/>
        <v>2296396294</v>
      </c>
      <c r="L5972" t="str">
        <f>T("2296398858")</f>
        <v>2296398858</v>
      </c>
    </row>
    <row r="5973" spans="1:12" x14ac:dyDescent="0.35">
      <c r="A5973" t="str">
        <f t="shared" si="2276"/>
        <v>MCLB ALBANY</v>
      </c>
      <c r="B5973" t="str">
        <f t="shared" si="2281"/>
        <v>PO BOX 8478</v>
      </c>
      <c r="C5973" t="str">
        <f t="shared" si="2278"/>
        <v/>
      </c>
      <c r="D5973" t="str">
        <f t="shared" si="2282"/>
        <v>CAMP LEJEUNE</v>
      </c>
      <c r="E5973" t="str">
        <f t="shared" si="2283"/>
        <v>NC</v>
      </c>
      <c r="F5973" t="str">
        <f t="shared" si="2284"/>
        <v>285478478</v>
      </c>
      <c r="G5973" t="str">
        <f t="shared" ref="G5973:G5984" si="2287">T("PO BOX 8478")</f>
        <v>PO BOX 8478</v>
      </c>
      <c r="H5973" t="str">
        <f t="shared" si="2279"/>
        <v/>
      </c>
      <c r="I5973" t="str">
        <f t="shared" si="2285"/>
        <v>CAMP LEJEUNE</v>
      </c>
      <c r="J5973" t="str">
        <f t="shared" si="2286"/>
        <v>NC</v>
      </c>
      <c r="K5973" t="str">
        <f t="shared" si="2280"/>
        <v>2296396294</v>
      </c>
      <c r="L5973" t="str">
        <f>T("2296398914")</f>
        <v>2296398914</v>
      </c>
    </row>
    <row r="5974" spans="1:12" x14ac:dyDescent="0.35">
      <c r="A5974" t="str">
        <f t="shared" si="2276"/>
        <v>MCLB ALBANY</v>
      </c>
      <c r="B5974" t="str">
        <f t="shared" si="2281"/>
        <v>PO BOX 8478</v>
      </c>
      <c r="C5974" t="str">
        <f t="shared" si="2278"/>
        <v/>
      </c>
      <c r="D5974" t="str">
        <f t="shared" si="2282"/>
        <v>CAMP LEJEUNE</v>
      </c>
      <c r="E5974" t="str">
        <f t="shared" si="2283"/>
        <v>NC</v>
      </c>
      <c r="F5974" t="str">
        <f t="shared" si="2284"/>
        <v>285478478</v>
      </c>
      <c r="G5974" t="str">
        <f t="shared" si="2287"/>
        <v>PO BOX 8478</v>
      </c>
      <c r="H5974" t="str">
        <f t="shared" si="2279"/>
        <v/>
      </c>
      <c r="I5974" t="str">
        <f t="shared" si="2285"/>
        <v>CAMP LEJEUNE</v>
      </c>
      <c r="J5974" t="str">
        <f t="shared" si="2286"/>
        <v>NC</v>
      </c>
      <c r="K5974" t="str">
        <f t="shared" si="2280"/>
        <v>2296396294</v>
      </c>
      <c r="L5974" t="str">
        <f>T("2296398934")</f>
        <v>2296398934</v>
      </c>
    </row>
    <row r="5975" spans="1:12" x14ac:dyDescent="0.35">
      <c r="A5975" t="str">
        <f t="shared" si="2276"/>
        <v>MCLB ALBANY</v>
      </c>
      <c r="B5975" t="str">
        <f t="shared" si="2281"/>
        <v>PO BOX 8478</v>
      </c>
      <c r="C5975" t="str">
        <f t="shared" si="2278"/>
        <v/>
      </c>
      <c r="D5975" t="str">
        <f t="shared" si="2282"/>
        <v>CAMP LEJEUNE</v>
      </c>
      <c r="E5975" t="str">
        <f t="shared" si="2283"/>
        <v>NC</v>
      </c>
      <c r="F5975" t="str">
        <f t="shared" si="2284"/>
        <v>285478478</v>
      </c>
      <c r="G5975" t="str">
        <f t="shared" si="2287"/>
        <v>PO BOX 8478</v>
      </c>
      <c r="H5975" t="str">
        <f t="shared" si="2279"/>
        <v/>
      </c>
      <c r="I5975" t="str">
        <f t="shared" si="2285"/>
        <v>CAMP LEJEUNE</v>
      </c>
      <c r="J5975" t="str">
        <f t="shared" si="2286"/>
        <v>NC</v>
      </c>
      <c r="K5975" t="str">
        <f t="shared" si="2280"/>
        <v>2296396294</v>
      </c>
      <c r="L5975" t="str">
        <f>T("2296398952")</f>
        <v>2296398952</v>
      </c>
    </row>
    <row r="5976" spans="1:12" x14ac:dyDescent="0.35">
      <c r="A5976" t="str">
        <f t="shared" si="2276"/>
        <v>MCLB ALBANY</v>
      </c>
      <c r="B5976" t="str">
        <f t="shared" si="2281"/>
        <v>PO BOX 8478</v>
      </c>
      <c r="C5976" t="str">
        <f t="shared" si="2278"/>
        <v/>
      </c>
      <c r="D5976" t="str">
        <f t="shared" si="2282"/>
        <v>CAMP LEJEUNE</v>
      </c>
      <c r="E5976" t="str">
        <f t="shared" si="2283"/>
        <v>NC</v>
      </c>
      <c r="F5976" t="str">
        <f t="shared" si="2284"/>
        <v>285478478</v>
      </c>
      <c r="G5976" t="str">
        <f t="shared" si="2287"/>
        <v>PO BOX 8478</v>
      </c>
      <c r="H5976" t="str">
        <f t="shared" si="2279"/>
        <v/>
      </c>
      <c r="I5976" t="str">
        <f t="shared" si="2285"/>
        <v>CAMP LEJEUNE</v>
      </c>
      <c r="J5976" t="str">
        <f t="shared" si="2286"/>
        <v>NC</v>
      </c>
      <c r="K5976" t="str">
        <f>T("2296397226")</f>
        <v>2296397226</v>
      </c>
      <c r="L5976" t="str">
        <f>T("2296397050")</f>
        <v>2296397050</v>
      </c>
    </row>
    <row r="5977" spans="1:12" x14ac:dyDescent="0.35">
      <c r="A5977" t="str">
        <f t="shared" si="2276"/>
        <v>MCLB ALBANY</v>
      </c>
      <c r="B5977" t="str">
        <f t="shared" si="2281"/>
        <v>PO BOX 8478</v>
      </c>
      <c r="C5977" t="str">
        <f>T("SUITE 20352")</f>
        <v>SUITE 20352</v>
      </c>
      <c r="D5977" t="str">
        <f t="shared" si="2282"/>
        <v>CAMP LEJEUNE</v>
      </c>
      <c r="E5977" t="str">
        <f t="shared" si="2283"/>
        <v>NC</v>
      </c>
      <c r="F5977" t="str">
        <f t="shared" si="2284"/>
        <v>285478478</v>
      </c>
      <c r="G5977" t="str">
        <f t="shared" si="2287"/>
        <v>PO BOX 8478</v>
      </c>
      <c r="H5977" t="str">
        <f>T("SUITE 20352")</f>
        <v>SUITE 20352</v>
      </c>
      <c r="I5977" t="str">
        <f t="shared" si="2285"/>
        <v>CAMP LEJEUNE</v>
      </c>
      <c r="J5977" t="str">
        <f t="shared" si="2286"/>
        <v>NC</v>
      </c>
      <c r="K5977" t="str">
        <f>T("2296395442")</f>
        <v>2296395442</v>
      </c>
      <c r="L5977" t="str">
        <f>T("2296395642")</f>
        <v>2296395642</v>
      </c>
    </row>
    <row r="5978" spans="1:12" x14ac:dyDescent="0.35">
      <c r="A5978" t="str">
        <f t="shared" si="2276"/>
        <v>MCLB ALBANY</v>
      </c>
      <c r="B5978" t="str">
        <f t="shared" si="2281"/>
        <v>PO BOX 8478</v>
      </c>
      <c r="C5978" t="str">
        <f>T("SUITE 20352")</f>
        <v>SUITE 20352</v>
      </c>
      <c r="D5978" t="str">
        <f t="shared" si="2282"/>
        <v>CAMP LEJEUNE</v>
      </c>
      <c r="E5978" t="str">
        <f t="shared" si="2283"/>
        <v>NC</v>
      </c>
      <c r="F5978" t="str">
        <f t="shared" si="2284"/>
        <v>285478478</v>
      </c>
      <c r="G5978" t="str">
        <f t="shared" si="2287"/>
        <v>PO BOX 8478</v>
      </c>
      <c r="H5978" t="str">
        <f>T("SUITE 20352")</f>
        <v>SUITE 20352</v>
      </c>
      <c r="I5978" t="str">
        <f t="shared" si="2285"/>
        <v>CAMP LEJEUNE</v>
      </c>
      <c r="J5978" t="str">
        <f t="shared" si="2286"/>
        <v>NC</v>
      </c>
      <c r="K5978" t="str">
        <f>T("2296396711")</f>
        <v>2296396711</v>
      </c>
      <c r="L5978" t="str">
        <f>T("2296397937")</f>
        <v>2296397937</v>
      </c>
    </row>
    <row r="5979" spans="1:12" x14ac:dyDescent="0.35">
      <c r="A5979" t="str">
        <f t="shared" ref="A5979:A5984" si="2288">T("MC AIR STATIONS")</f>
        <v>MC AIR STATIONS</v>
      </c>
      <c r="B5979" t="str">
        <f t="shared" si="2281"/>
        <v>PO BOX 8478</v>
      </c>
      <c r="C5979" t="str">
        <f t="shared" ref="C5979:C5984" si="2289">T("")</f>
        <v/>
      </c>
      <c r="D5979" t="str">
        <f t="shared" si="2282"/>
        <v>CAMP LEJEUNE</v>
      </c>
      <c r="E5979" t="str">
        <f t="shared" si="2283"/>
        <v>NC</v>
      </c>
      <c r="F5979" t="str">
        <f t="shared" si="2284"/>
        <v>285478478</v>
      </c>
      <c r="G5979" t="str">
        <f t="shared" si="2287"/>
        <v>PO BOX 8478</v>
      </c>
      <c r="H5979" t="str">
        <f>T("")</f>
        <v/>
      </c>
      <c r="I5979" t="str">
        <f t="shared" si="2285"/>
        <v>CAMP LEJEUNE</v>
      </c>
      <c r="J5979" t="str">
        <f t="shared" si="2286"/>
        <v>NC</v>
      </c>
      <c r="K5979" t="str">
        <f>T("")</f>
        <v/>
      </c>
      <c r="L5979" t="str">
        <f>T("9104495403")</f>
        <v>9104495403</v>
      </c>
    </row>
    <row r="5980" spans="1:12" x14ac:dyDescent="0.35">
      <c r="A5980" t="str">
        <f t="shared" si="2288"/>
        <v>MC AIR STATIONS</v>
      </c>
      <c r="B5980" t="str">
        <f t="shared" si="2281"/>
        <v>PO BOX 8478</v>
      </c>
      <c r="C5980" t="str">
        <f t="shared" si="2289"/>
        <v/>
      </c>
      <c r="D5980" t="str">
        <f t="shared" si="2282"/>
        <v>CAMP LEJEUNE</v>
      </c>
      <c r="E5980" t="str">
        <f t="shared" si="2283"/>
        <v>NC</v>
      </c>
      <c r="F5980" t="str">
        <f t="shared" si="2284"/>
        <v>285478478</v>
      </c>
      <c r="G5980" t="str">
        <f t="shared" si="2287"/>
        <v>PO BOX 8478</v>
      </c>
      <c r="H5980" t="str">
        <f>T("")</f>
        <v/>
      </c>
      <c r="I5980" t="str">
        <f t="shared" si="2285"/>
        <v>CAMP LEJEUNE</v>
      </c>
      <c r="J5980" t="str">
        <f t="shared" si="2286"/>
        <v>NC</v>
      </c>
      <c r="K5980" t="str">
        <f>T("")</f>
        <v/>
      </c>
      <c r="L5980" t="str">
        <f>T("9104496980")</f>
        <v>9104496980</v>
      </c>
    </row>
    <row r="5981" spans="1:12" x14ac:dyDescent="0.35">
      <c r="A5981" t="str">
        <f t="shared" si="2288"/>
        <v>MC AIR STATIONS</v>
      </c>
      <c r="B5981" t="str">
        <f t="shared" si="2281"/>
        <v>PO BOX 8478</v>
      </c>
      <c r="C5981" t="str">
        <f t="shared" si="2289"/>
        <v/>
      </c>
      <c r="D5981" t="str">
        <f t="shared" si="2282"/>
        <v>CAMP LEJEUNE</v>
      </c>
      <c r="E5981" t="str">
        <f t="shared" si="2283"/>
        <v>NC</v>
      </c>
      <c r="F5981" t="str">
        <f t="shared" si="2284"/>
        <v>285478478</v>
      </c>
      <c r="G5981" t="str">
        <f t="shared" si="2287"/>
        <v>PO BOX 8478</v>
      </c>
      <c r="H5981" t="str">
        <f>T("")</f>
        <v/>
      </c>
      <c r="I5981" t="str">
        <f t="shared" si="2285"/>
        <v>CAMP LEJEUNE</v>
      </c>
      <c r="J5981" t="str">
        <f t="shared" si="2286"/>
        <v>NC</v>
      </c>
      <c r="K5981" t="str">
        <f>T("000000000000000000")</f>
        <v>000000000000000000</v>
      </c>
      <c r="L5981" t="str">
        <f>T("9104496247")</f>
        <v>9104496247</v>
      </c>
    </row>
    <row r="5982" spans="1:12" x14ac:dyDescent="0.35">
      <c r="A5982" t="str">
        <f t="shared" si="2288"/>
        <v>MC AIR STATIONS</v>
      </c>
      <c r="B5982" t="str">
        <f t="shared" si="2281"/>
        <v>PO BOX 8478</v>
      </c>
      <c r="C5982" t="str">
        <f t="shared" si="2289"/>
        <v/>
      </c>
      <c r="D5982" t="str">
        <f t="shared" si="2282"/>
        <v>CAMP LEJEUNE</v>
      </c>
      <c r="E5982" t="str">
        <f t="shared" si="2283"/>
        <v>NC</v>
      </c>
      <c r="F5982" t="str">
        <f t="shared" si="2284"/>
        <v>285478478</v>
      </c>
      <c r="G5982" t="str">
        <f t="shared" si="2287"/>
        <v>PO BOX 8478</v>
      </c>
      <c r="H5982" t="str">
        <f>T("")</f>
        <v/>
      </c>
      <c r="I5982" t="str">
        <f t="shared" si="2285"/>
        <v>CAMP LEJEUNE</v>
      </c>
      <c r="J5982" t="str">
        <f t="shared" si="2286"/>
        <v>NC</v>
      </c>
      <c r="K5982" t="str">
        <f>T("000000000000000000")</f>
        <v>000000000000000000</v>
      </c>
      <c r="L5982" t="str">
        <f>T("9104496356")</f>
        <v>9104496356</v>
      </c>
    </row>
    <row r="5983" spans="1:12" x14ac:dyDescent="0.35">
      <c r="A5983" t="str">
        <f t="shared" si="2288"/>
        <v>MC AIR STATIONS</v>
      </c>
      <c r="B5983" t="str">
        <f t="shared" si="2281"/>
        <v>PO BOX 8478</v>
      </c>
      <c r="C5983" t="str">
        <f t="shared" si="2289"/>
        <v/>
      </c>
      <c r="D5983" t="str">
        <f t="shared" si="2282"/>
        <v>CAMP LEJEUNE</v>
      </c>
      <c r="E5983" t="str">
        <f t="shared" si="2283"/>
        <v>NC</v>
      </c>
      <c r="F5983" t="str">
        <f t="shared" si="2284"/>
        <v>285478478</v>
      </c>
      <c r="G5983" t="str">
        <f t="shared" si="2287"/>
        <v>PO BOX 8478</v>
      </c>
      <c r="H5983" t="str">
        <f>T("")</f>
        <v/>
      </c>
      <c r="I5983" t="str">
        <f t="shared" si="2285"/>
        <v>CAMP LEJEUNE</v>
      </c>
      <c r="J5983" t="str">
        <f t="shared" si="2286"/>
        <v>NC</v>
      </c>
      <c r="K5983" t="str">
        <f>T("000000000000000000")</f>
        <v>000000000000000000</v>
      </c>
      <c r="L5983" t="str">
        <f>T("9104496550")</f>
        <v>9104496550</v>
      </c>
    </row>
    <row r="5984" spans="1:12" x14ac:dyDescent="0.35">
      <c r="A5984" t="str">
        <f t="shared" si="2288"/>
        <v>MC AIR STATIONS</v>
      </c>
      <c r="B5984" t="str">
        <f t="shared" si="2281"/>
        <v>PO BOX 8478</v>
      </c>
      <c r="C5984" t="str">
        <f t="shared" si="2289"/>
        <v/>
      </c>
      <c r="D5984" t="str">
        <f t="shared" si="2282"/>
        <v>CAMP LEJEUNE</v>
      </c>
      <c r="E5984" t="str">
        <f t="shared" si="2283"/>
        <v>NC</v>
      </c>
      <c r="F5984" t="str">
        <f t="shared" si="2284"/>
        <v>285478478</v>
      </c>
      <c r="G5984" t="str">
        <f t="shared" si="2287"/>
        <v>PO BOX 8478</v>
      </c>
      <c r="H5984" t="str">
        <f>T("BLDG 1116")</f>
        <v>BLDG 1116</v>
      </c>
      <c r="I5984" t="str">
        <f t="shared" si="2285"/>
        <v>CAMP LEJEUNE</v>
      </c>
      <c r="J5984" t="str">
        <f t="shared" si="2286"/>
        <v>NC</v>
      </c>
      <c r="K5984" t="str">
        <f>T("000000000000000000")</f>
        <v>000000000000000000</v>
      </c>
      <c r="L5984" t="str">
        <f>T("9104496356")</f>
        <v>9104496356</v>
      </c>
    </row>
    <row r="5985" spans="1:12" x14ac:dyDescent="0.35">
      <c r="A5985" t="str">
        <f t="shared" ref="A5985:A6016" si="2290">T("MCAS BEAUFORT")</f>
        <v>MCAS BEAUFORT</v>
      </c>
      <c r="B5985" t="str">
        <f>T("P O BOX 55024 BLDG 612")</f>
        <v>P O BOX 55024 BLDG 612</v>
      </c>
      <c r="C5985" t="str">
        <f>T("H&amp;HS SUPPLY")</f>
        <v>H&amp;HS SUPPLY</v>
      </c>
      <c r="D5985" t="str">
        <f t="shared" ref="D5985:D6018" si="2291">T("BEAUFORT")</f>
        <v>BEAUFORT</v>
      </c>
      <c r="E5985" t="str">
        <f t="shared" ref="E5985:E6016" si="2292">T("SC")</f>
        <v>SC</v>
      </c>
      <c r="F5985" t="str">
        <f t="shared" ref="F5985:F6016" si="2293">T("299045024")</f>
        <v>299045024</v>
      </c>
      <c r="G5985" t="str">
        <f>T("P O BOX 55024 BLDG 612")</f>
        <v>P O BOX 55024 BLDG 612</v>
      </c>
      <c r="H5985" t="str">
        <f>T("H&amp;HS SUPPLY")</f>
        <v>H&amp;HS SUPPLY</v>
      </c>
      <c r="I5985" t="str">
        <f t="shared" ref="I5985:I5991" si="2294">T("BEAUFORT")</f>
        <v>BEAUFORT</v>
      </c>
      <c r="J5985" t="str">
        <f t="shared" ref="J5985:J6016" si="2295">T("SC")</f>
        <v>SC</v>
      </c>
      <c r="K5985" t="str">
        <f>T("000000000000000000")</f>
        <v>000000000000000000</v>
      </c>
      <c r="L5985" t="str">
        <f>T("8432286290")</f>
        <v>8432286290</v>
      </c>
    </row>
    <row r="5986" spans="1:12" x14ac:dyDescent="0.35">
      <c r="A5986" t="str">
        <f t="shared" si="2290"/>
        <v>MCAS BEAUFORT</v>
      </c>
      <c r="B5986" t="str">
        <f>T("P O BOX 55024 BLDG 612")</f>
        <v>P O BOX 55024 BLDG 612</v>
      </c>
      <c r="C5986" t="str">
        <f>T("VACANT")</f>
        <v>VACANT</v>
      </c>
      <c r="D5986" t="str">
        <f t="shared" si="2291"/>
        <v>BEAUFORT</v>
      </c>
      <c r="E5986" t="str">
        <f t="shared" si="2292"/>
        <v>SC</v>
      </c>
      <c r="F5986" t="str">
        <f t="shared" si="2293"/>
        <v>299045024</v>
      </c>
      <c r="G5986" t="str">
        <f>T("P O BOX 55024 BLDG 612")</f>
        <v>P O BOX 55024 BLDG 612</v>
      </c>
      <c r="H5986" t="str">
        <f>T("VACANT")</f>
        <v>VACANT</v>
      </c>
      <c r="I5986" t="str">
        <f t="shared" si="2294"/>
        <v>BEAUFORT</v>
      </c>
      <c r="J5986" t="str">
        <f t="shared" si="2295"/>
        <v>SC</v>
      </c>
      <c r="K5986" t="str">
        <f>T("")</f>
        <v/>
      </c>
      <c r="L5986" t="str">
        <f>T("8432286317")</f>
        <v>8432286317</v>
      </c>
    </row>
    <row r="5987" spans="1:12" x14ac:dyDescent="0.35">
      <c r="A5987" t="str">
        <f t="shared" si="2290"/>
        <v>MCAS BEAUFORT</v>
      </c>
      <c r="B5987" t="str">
        <f>T("P O BOX 55024 BLDG 612")</f>
        <v>P O BOX 55024 BLDG 612</v>
      </c>
      <c r="C5987" t="str">
        <f>T("VACANT")</f>
        <v>VACANT</v>
      </c>
      <c r="D5987" t="str">
        <f t="shared" si="2291"/>
        <v>BEAUFORT</v>
      </c>
      <c r="E5987" t="str">
        <f t="shared" si="2292"/>
        <v>SC</v>
      </c>
      <c r="F5987" t="str">
        <f t="shared" si="2293"/>
        <v>299045024</v>
      </c>
      <c r="G5987" t="str">
        <f>T("PO BOX 55024")</f>
        <v>PO BOX 55024</v>
      </c>
      <c r="H5987" t="str">
        <f>T("HHS SUPPLY")</f>
        <v>HHS SUPPLY</v>
      </c>
      <c r="I5987" t="str">
        <f t="shared" si="2294"/>
        <v>BEAUFORT</v>
      </c>
      <c r="J5987" t="str">
        <f t="shared" si="2295"/>
        <v>SC</v>
      </c>
      <c r="K5987" t="str">
        <f>T("8432287268")</f>
        <v>8432287268</v>
      </c>
      <c r="L5987" t="str">
        <f>T("8432287087")</f>
        <v>8432287087</v>
      </c>
    </row>
    <row r="5988" spans="1:12" x14ac:dyDescent="0.35">
      <c r="A5988" t="str">
        <f t="shared" si="2290"/>
        <v>MCAS BEAUFORT</v>
      </c>
      <c r="B5988" t="str">
        <f>T("P O BOX 55024 BLDG 612")</f>
        <v>P O BOX 55024 BLDG 612</v>
      </c>
      <c r="C5988" t="str">
        <f>T("VACANT")</f>
        <v>VACANT</v>
      </c>
      <c r="D5988" t="str">
        <f t="shared" si="2291"/>
        <v>BEAUFORT</v>
      </c>
      <c r="E5988" t="str">
        <f t="shared" si="2292"/>
        <v>SC</v>
      </c>
      <c r="F5988" t="str">
        <f t="shared" si="2293"/>
        <v>299045024</v>
      </c>
      <c r="G5988" t="str">
        <f>T("PO BOX 55024 BLDG 612")</f>
        <v>PO BOX 55024 BLDG 612</v>
      </c>
      <c r="H5988" t="str">
        <f>T("H &amp; HS SUPPLY")</f>
        <v>H &amp; HS SUPPLY</v>
      </c>
      <c r="I5988" t="str">
        <f t="shared" si="2294"/>
        <v>BEAUFORT</v>
      </c>
      <c r="J5988" t="str">
        <f t="shared" si="2295"/>
        <v>SC</v>
      </c>
      <c r="K5988" t="str">
        <f t="shared" ref="K5988:K5996" si="2296">T("000000000000000000")</f>
        <v>000000000000000000</v>
      </c>
      <c r="L5988" t="str">
        <f>T("8432287643")</f>
        <v>8432287643</v>
      </c>
    </row>
    <row r="5989" spans="1:12" x14ac:dyDescent="0.35">
      <c r="A5989" t="str">
        <f t="shared" si="2290"/>
        <v>MCAS BEAUFORT</v>
      </c>
      <c r="B5989" t="str">
        <f t="shared" ref="B5989:B6033" si="2297">T("PO BOX 55024 BLDG 612")</f>
        <v>PO BOX 55024 BLDG 612</v>
      </c>
      <c r="C5989" t="str">
        <f t="shared" ref="C5989:C6020" si="2298">T("H &amp; HS SUPPLY")</f>
        <v>H &amp; HS SUPPLY</v>
      </c>
      <c r="D5989" t="str">
        <f t="shared" si="2291"/>
        <v>BEAUFORT</v>
      </c>
      <c r="E5989" t="str">
        <f t="shared" si="2292"/>
        <v>SC</v>
      </c>
      <c r="F5989" t="str">
        <f t="shared" si="2293"/>
        <v>299045024</v>
      </c>
      <c r="G5989" t="str">
        <f>T("H  HS SUPPLY")</f>
        <v>H  HS SUPPLY</v>
      </c>
      <c r="H5989" t="str">
        <f>T("MCAS BLDG 612")</f>
        <v>MCAS BLDG 612</v>
      </c>
      <c r="I5989" t="str">
        <f t="shared" si="2294"/>
        <v>BEAUFORT</v>
      </c>
      <c r="J5989" t="str">
        <f t="shared" si="2295"/>
        <v>SC</v>
      </c>
      <c r="K5989" t="str">
        <f t="shared" si="2296"/>
        <v>000000000000000000</v>
      </c>
      <c r="L5989" t="str">
        <f>T("8432287257")</f>
        <v>8432287257</v>
      </c>
    </row>
    <row r="5990" spans="1:12" x14ac:dyDescent="0.35">
      <c r="A5990" t="str">
        <f t="shared" si="2290"/>
        <v>MCAS BEAUFORT</v>
      </c>
      <c r="B5990" t="str">
        <f t="shared" si="2297"/>
        <v>PO BOX 55024 BLDG 612</v>
      </c>
      <c r="C5990" t="str">
        <f t="shared" si="2298"/>
        <v>H &amp; HS SUPPLY</v>
      </c>
      <c r="D5990" t="str">
        <f t="shared" si="2291"/>
        <v>BEAUFORT</v>
      </c>
      <c r="E5990" t="str">
        <f t="shared" si="2292"/>
        <v>SC</v>
      </c>
      <c r="F5990" t="str">
        <f t="shared" si="2293"/>
        <v>299045024</v>
      </c>
      <c r="G5990" t="str">
        <f>T("MCAS BEAUFORT")</f>
        <v>MCAS BEAUFORT</v>
      </c>
      <c r="H5990" t="str">
        <f>T("")</f>
        <v/>
      </c>
      <c r="I5990" t="str">
        <f t="shared" si="2294"/>
        <v>BEAUFORT</v>
      </c>
      <c r="J5990" t="str">
        <f t="shared" si="2295"/>
        <v>SC</v>
      </c>
      <c r="K5990" t="str">
        <f t="shared" si="2296"/>
        <v>000000000000000000</v>
      </c>
      <c r="L5990" t="str">
        <f>T("8432287246")</f>
        <v>8432287246</v>
      </c>
    </row>
    <row r="5991" spans="1:12" x14ac:dyDescent="0.35">
      <c r="A5991" t="str">
        <f t="shared" si="2290"/>
        <v>MCAS BEAUFORT</v>
      </c>
      <c r="B5991" t="str">
        <f t="shared" si="2297"/>
        <v>PO BOX 55024 BLDG 612</v>
      </c>
      <c r="C5991" t="str">
        <f t="shared" si="2298"/>
        <v>H &amp; HS SUPPLY</v>
      </c>
      <c r="D5991" t="str">
        <f t="shared" si="2291"/>
        <v>BEAUFORT</v>
      </c>
      <c r="E5991" t="str">
        <f t="shared" si="2292"/>
        <v>SC</v>
      </c>
      <c r="F5991" t="str">
        <f t="shared" si="2293"/>
        <v>299045024</v>
      </c>
      <c r="G5991" t="str">
        <f>T("P O BOX 55024 BLDG 612")</f>
        <v>P O BOX 55024 BLDG 612</v>
      </c>
      <c r="H5991" t="str">
        <f>T("H &amp; HS SUPPLY")</f>
        <v>H &amp; HS SUPPLY</v>
      </c>
      <c r="I5991" t="str">
        <f t="shared" si="2294"/>
        <v>BEAUFORT</v>
      </c>
      <c r="J5991" t="str">
        <f t="shared" si="2295"/>
        <v>SC</v>
      </c>
      <c r="K5991" t="str">
        <f t="shared" si="2296"/>
        <v>000000000000000000</v>
      </c>
      <c r="L5991" t="str">
        <f>T("8432287339")</f>
        <v>8432287339</v>
      </c>
    </row>
    <row r="5992" spans="1:12" x14ac:dyDescent="0.35">
      <c r="A5992" t="str">
        <f t="shared" si="2290"/>
        <v>MCAS BEAUFORT</v>
      </c>
      <c r="B5992" t="str">
        <f t="shared" si="2297"/>
        <v>PO BOX 55024 BLDG 612</v>
      </c>
      <c r="C5992" t="str">
        <f t="shared" si="2298"/>
        <v>H &amp; HS SUPPLY</v>
      </c>
      <c r="D5992" t="str">
        <f t="shared" si="2291"/>
        <v>BEAUFORT</v>
      </c>
      <c r="E5992" t="str">
        <f t="shared" si="2292"/>
        <v>SC</v>
      </c>
      <c r="F5992" t="str">
        <f t="shared" si="2293"/>
        <v>299045024</v>
      </c>
      <c r="G5992" t="str">
        <f>T("P O BOX 55024 BLDG 612")</f>
        <v>P O BOX 55024 BLDG 612</v>
      </c>
      <c r="H5992" t="str">
        <f>T("H &amp; HS SUPPLY")</f>
        <v>H &amp; HS SUPPLY</v>
      </c>
      <c r="I5992" t="str">
        <f>T("MCAS BEAUFORT")</f>
        <v>MCAS BEAUFORT</v>
      </c>
      <c r="J5992" t="str">
        <f t="shared" si="2295"/>
        <v>SC</v>
      </c>
      <c r="K5992" t="str">
        <f t="shared" si="2296"/>
        <v>000000000000000000</v>
      </c>
      <c r="L5992" t="str">
        <f>T("8432286006")</f>
        <v>8432286006</v>
      </c>
    </row>
    <row r="5993" spans="1:12" x14ac:dyDescent="0.35">
      <c r="A5993" t="str">
        <f t="shared" si="2290"/>
        <v>MCAS BEAUFORT</v>
      </c>
      <c r="B5993" t="str">
        <f t="shared" si="2297"/>
        <v>PO BOX 55024 BLDG 612</v>
      </c>
      <c r="C5993" t="str">
        <f t="shared" si="2298"/>
        <v>H &amp; HS SUPPLY</v>
      </c>
      <c r="D5993" t="str">
        <f t="shared" si="2291"/>
        <v>BEAUFORT</v>
      </c>
      <c r="E5993" t="str">
        <f t="shared" si="2292"/>
        <v>SC</v>
      </c>
      <c r="F5993" t="str">
        <f t="shared" si="2293"/>
        <v>299045024</v>
      </c>
      <c r="G5993" t="str">
        <f>T("P O BOX 55024 BLDG 612")</f>
        <v>P O BOX 55024 BLDG 612</v>
      </c>
      <c r="H5993" t="str">
        <f>T("H&amp;HS SUPPLY")</f>
        <v>H&amp;HS SUPPLY</v>
      </c>
      <c r="I5993" t="str">
        <f t="shared" ref="I5993:I6019" si="2299">T("BEAUFORT")</f>
        <v>BEAUFORT</v>
      </c>
      <c r="J5993" t="str">
        <f t="shared" si="2295"/>
        <v>SC</v>
      </c>
      <c r="K5993" t="str">
        <f t="shared" si="2296"/>
        <v>000000000000000000</v>
      </c>
      <c r="L5993" t="str">
        <f>T("8432287339")</f>
        <v>8432287339</v>
      </c>
    </row>
    <row r="5994" spans="1:12" x14ac:dyDescent="0.35">
      <c r="A5994" t="str">
        <f t="shared" si="2290"/>
        <v>MCAS BEAUFORT</v>
      </c>
      <c r="B5994" t="str">
        <f t="shared" si="2297"/>
        <v>PO BOX 55024 BLDG 612</v>
      </c>
      <c r="C5994" t="str">
        <f t="shared" si="2298"/>
        <v>H &amp; HS SUPPLY</v>
      </c>
      <c r="D5994" t="str">
        <f t="shared" si="2291"/>
        <v>BEAUFORT</v>
      </c>
      <c r="E5994" t="str">
        <f t="shared" si="2292"/>
        <v>SC</v>
      </c>
      <c r="F5994" t="str">
        <f t="shared" si="2293"/>
        <v>299045024</v>
      </c>
      <c r="G5994" t="str">
        <f>T("P O BOX 55024 BLDG 612")</f>
        <v>P O BOX 55024 BLDG 612</v>
      </c>
      <c r="H5994" t="str">
        <f>T("H&amp;HS SUPPLY")</f>
        <v>H&amp;HS SUPPLY</v>
      </c>
      <c r="I5994" t="str">
        <f t="shared" si="2299"/>
        <v>BEAUFORT</v>
      </c>
      <c r="J5994" t="str">
        <f t="shared" si="2295"/>
        <v>SC</v>
      </c>
      <c r="K5994" t="str">
        <f t="shared" si="2296"/>
        <v>000000000000000000</v>
      </c>
      <c r="L5994" t="str">
        <f>T("8432287704")</f>
        <v>8432287704</v>
      </c>
    </row>
    <row r="5995" spans="1:12" x14ac:dyDescent="0.35">
      <c r="A5995" t="str">
        <f t="shared" si="2290"/>
        <v>MCAS BEAUFORT</v>
      </c>
      <c r="B5995" t="str">
        <f t="shared" si="2297"/>
        <v>PO BOX 55024 BLDG 612</v>
      </c>
      <c r="C5995" t="str">
        <f t="shared" si="2298"/>
        <v>H &amp; HS SUPPLY</v>
      </c>
      <c r="D5995" t="str">
        <f t="shared" si="2291"/>
        <v>BEAUFORT</v>
      </c>
      <c r="E5995" t="str">
        <f t="shared" si="2292"/>
        <v>SC</v>
      </c>
      <c r="F5995" t="str">
        <f t="shared" si="2293"/>
        <v>299045024</v>
      </c>
      <c r="G5995" t="str">
        <f>T("PO BOX 55024")</f>
        <v>PO BOX 55024</v>
      </c>
      <c r="H5995" t="str">
        <f>T("HHS SUPPLY")</f>
        <v>HHS SUPPLY</v>
      </c>
      <c r="I5995" t="str">
        <f t="shared" si="2299"/>
        <v>BEAUFORT</v>
      </c>
      <c r="J5995" t="str">
        <f t="shared" si="2295"/>
        <v>SC</v>
      </c>
      <c r="K5995" t="str">
        <f t="shared" si="2296"/>
        <v>000000000000000000</v>
      </c>
      <c r="L5995" t="str">
        <f>T("8432288422")</f>
        <v>8432288422</v>
      </c>
    </row>
    <row r="5996" spans="1:12" x14ac:dyDescent="0.35">
      <c r="A5996" t="str">
        <f t="shared" si="2290"/>
        <v>MCAS BEAUFORT</v>
      </c>
      <c r="B5996" t="str">
        <f t="shared" si="2297"/>
        <v>PO BOX 55024 BLDG 612</v>
      </c>
      <c r="C5996" t="str">
        <f t="shared" si="2298"/>
        <v>H &amp; HS SUPPLY</v>
      </c>
      <c r="D5996" t="str">
        <f t="shared" si="2291"/>
        <v>BEAUFORT</v>
      </c>
      <c r="E5996" t="str">
        <f t="shared" si="2292"/>
        <v>SC</v>
      </c>
      <c r="F5996" t="str">
        <f t="shared" si="2293"/>
        <v>299045024</v>
      </c>
      <c r="G5996" t="str">
        <f>T("PO BOX 55024")</f>
        <v>PO BOX 55024</v>
      </c>
      <c r="H5996" t="str">
        <f>T("HHS SUPPLY")</f>
        <v>HHS SUPPLY</v>
      </c>
      <c r="I5996" t="str">
        <f t="shared" si="2299"/>
        <v>BEAUFORT</v>
      </c>
      <c r="J5996" t="str">
        <f t="shared" si="2295"/>
        <v>SC</v>
      </c>
      <c r="K5996" t="str">
        <f t="shared" si="2296"/>
        <v>000000000000000000</v>
      </c>
      <c r="L5996" t="str">
        <f>T("8437813383")</f>
        <v>8437813383</v>
      </c>
    </row>
    <row r="5997" spans="1:12" x14ac:dyDescent="0.35">
      <c r="A5997" t="str">
        <f t="shared" si="2290"/>
        <v>MCAS BEAUFORT</v>
      </c>
      <c r="B5997" t="str">
        <f t="shared" si="2297"/>
        <v>PO BOX 55024 BLDG 612</v>
      </c>
      <c r="C5997" t="str">
        <f t="shared" si="2298"/>
        <v>H &amp; HS SUPPLY</v>
      </c>
      <c r="D5997" t="str">
        <f t="shared" si="2291"/>
        <v>BEAUFORT</v>
      </c>
      <c r="E5997" t="str">
        <f t="shared" si="2292"/>
        <v>SC</v>
      </c>
      <c r="F5997" t="str">
        <f t="shared" si="2293"/>
        <v>299045024</v>
      </c>
      <c r="G5997" t="str">
        <f t="shared" ref="G5997:G6015" si="2300">T("PO BOX 55024 BLDG 612")</f>
        <v>PO BOX 55024 BLDG 612</v>
      </c>
      <c r="H5997" t="str">
        <f t="shared" ref="H5997:H6007" si="2301">T("H &amp; HS SUPPLY")</f>
        <v>H &amp; HS SUPPLY</v>
      </c>
      <c r="I5997" t="str">
        <f t="shared" si="2299"/>
        <v>BEAUFORT</v>
      </c>
      <c r="J5997" t="str">
        <f t="shared" si="2295"/>
        <v>SC</v>
      </c>
      <c r="K5997" t="str">
        <f t="shared" ref="K5997:K6002" si="2302">T("")</f>
        <v/>
      </c>
      <c r="L5997" t="str">
        <f>T("8432286006")</f>
        <v>8432286006</v>
      </c>
    </row>
    <row r="5998" spans="1:12" x14ac:dyDescent="0.35">
      <c r="A5998" t="str">
        <f t="shared" si="2290"/>
        <v>MCAS BEAUFORT</v>
      </c>
      <c r="B5998" t="str">
        <f t="shared" si="2297"/>
        <v>PO BOX 55024 BLDG 612</v>
      </c>
      <c r="C5998" t="str">
        <f t="shared" si="2298"/>
        <v>H &amp; HS SUPPLY</v>
      </c>
      <c r="D5998" t="str">
        <f t="shared" si="2291"/>
        <v>BEAUFORT</v>
      </c>
      <c r="E5998" t="str">
        <f t="shared" si="2292"/>
        <v>SC</v>
      </c>
      <c r="F5998" t="str">
        <f t="shared" si="2293"/>
        <v>299045024</v>
      </c>
      <c r="G5998" t="str">
        <f t="shared" si="2300"/>
        <v>PO BOX 55024 BLDG 612</v>
      </c>
      <c r="H5998" t="str">
        <f t="shared" si="2301"/>
        <v>H &amp; HS SUPPLY</v>
      </c>
      <c r="I5998" t="str">
        <f t="shared" si="2299"/>
        <v>BEAUFORT</v>
      </c>
      <c r="J5998" t="str">
        <f t="shared" si="2295"/>
        <v>SC</v>
      </c>
      <c r="K5998" t="str">
        <f t="shared" si="2302"/>
        <v/>
      </c>
      <c r="L5998" t="str">
        <f>T("8432286048")</f>
        <v>8432286048</v>
      </c>
    </row>
    <row r="5999" spans="1:12" x14ac:dyDescent="0.35">
      <c r="A5999" t="str">
        <f t="shared" si="2290"/>
        <v>MCAS BEAUFORT</v>
      </c>
      <c r="B5999" t="str">
        <f t="shared" si="2297"/>
        <v>PO BOX 55024 BLDG 612</v>
      </c>
      <c r="C5999" t="str">
        <f t="shared" si="2298"/>
        <v>H &amp; HS SUPPLY</v>
      </c>
      <c r="D5999" t="str">
        <f t="shared" si="2291"/>
        <v>BEAUFORT</v>
      </c>
      <c r="E5999" t="str">
        <f t="shared" si="2292"/>
        <v>SC</v>
      </c>
      <c r="F5999" t="str">
        <f t="shared" si="2293"/>
        <v>299045024</v>
      </c>
      <c r="G5999" t="str">
        <f t="shared" si="2300"/>
        <v>PO BOX 55024 BLDG 612</v>
      </c>
      <c r="H5999" t="str">
        <f t="shared" si="2301"/>
        <v>H &amp; HS SUPPLY</v>
      </c>
      <c r="I5999" t="str">
        <f t="shared" si="2299"/>
        <v>BEAUFORT</v>
      </c>
      <c r="J5999" t="str">
        <f t="shared" si="2295"/>
        <v>SC</v>
      </c>
      <c r="K5999" t="str">
        <f t="shared" si="2302"/>
        <v/>
      </c>
      <c r="L5999" t="str">
        <f>T("8432287704")</f>
        <v>8432287704</v>
      </c>
    </row>
    <row r="6000" spans="1:12" x14ac:dyDescent="0.35">
      <c r="A6000" t="str">
        <f t="shared" si="2290"/>
        <v>MCAS BEAUFORT</v>
      </c>
      <c r="B6000" t="str">
        <f t="shared" si="2297"/>
        <v>PO BOX 55024 BLDG 612</v>
      </c>
      <c r="C6000" t="str">
        <f t="shared" si="2298"/>
        <v>H &amp; HS SUPPLY</v>
      </c>
      <c r="D6000" t="str">
        <f t="shared" si="2291"/>
        <v>BEAUFORT</v>
      </c>
      <c r="E6000" t="str">
        <f t="shared" si="2292"/>
        <v>SC</v>
      </c>
      <c r="F6000" t="str">
        <f t="shared" si="2293"/>
        <v>299045024</v>
      </c>
      <c r="G6000" t="str">
        <f t="shared" si="2300"/>
        <v>PO BOX 55024 BLDG 612</v>
      </c>
      <c r="H6000" t="str">
        <f t="shared" si="2301"/>
        <v>H &amp; HS SUPPLY</v>
      </c>
      <c r="I6000" t="str">
        <f t="shared" si="2299"/>
        <v>BEAUFORT</v>
      </c>
      <c r="J6000" t="str">
        <f t="shared" si="2295"/>
        <v>SC</v>
      </c>
      <c r="K6000" t="str">
        <f t="shared" si="2302"/>
        <v/>
      </c>
      <c r="L6000" t="str">
        <f>T("8432287854")</f>
        <v>8432287854</v>
      </c>
    </row>
    <row r="6001" spans="1:12" x14ac:dyDescent="0.35">
      <c r="A6001" t="str">
        <f t="shared" si="2290"/>
        <v>MCAS BEAUFORT</v>
      </c>
      <c r="B6001" t="str">
        <f t="shared" si="2297"/>
        <v>PO BOX 55024 BLDG 612</v>
      </c>
      <c r="C6001" t="str">
        <f t="shared" si="2298"/>
        <v>H &amp; HS SUPPLY</v>
      </c>
      <c r="D6001" t="str">
        <f t="shared" si="2291"/>
        <v>BEAUFORT</v>
      </c>
      <c r="E6001" t="str">
        <f t="shared" si="2292"/>
        <v>SC</v>
      </c>
      <c r="F6001" t="str">
        <f t="shared" si="2293"/>
        <v>299045024</v>
      </c>
      <c r="G6001" t="str">
        <f t="shared" si="2300"/>
        <v>PO BOX 55024 BLDG 612</v>
      </c>
      <c r="H6001" t="str">
        <f t="shared" si="2301"/>
        <v>H &amp; HS SUPPLY</v>
      </c>
      <c r="I6001" t="str">
        <f t="shared" si="2299"/>
        <v>BEAUFORT</v>
      </c>
      <c r="J6001" t="str">
        <f t="shared" si="2295"/>
        <v>SC</v>
      </c>
      <c r="K6001" t="str">
        <f t="shared" si="2302"/>
        <v/>
      </c>
      <c r="L6001" t="str">
        <f>T("8432287922")</f>
        <v>8432287922</v>
      </c>
    </row>
    <row r="6002" spans="1:12" x14ac:dyDescent="0.35">
      <c r="A6002" t="str">
        <f t="shared" si="2290"/>
        <v>MCAS BEAUFORT</v>
      </c>
      <c r="B6002" t="str">
        <f t="shared" si="2297"/>
        <v>PO BOX 55024 BLDG 612</v>
      </c>
      <c r="C6002" t="str">
        <f t="shared" si="2298"/>
        <v>H &amp; HS SUPPLY</v>
      </c>
      <c r="D6002" t="str">
        <f t="shared" si="2291"/>
        <v>BEAUFORT</v>
      </c>
      <c r="E6002" t="str">
        <f t="shared" si="2292"/>
        <v>SC</v>
      </c>
      <c r="F6002" t="str">
        <f t="shared" si="2293"/>
        <v>299045024</v>
      </c>
      <c r="G6002" t="str">
        <f t="shared" si="2300"/>
        <v>PO BOX 55024 BLDG 612</v>
      </c>
      <c r="H6002" t="str">
        <f t="shared" si="2301"/>
        <v>H &amp; HS SUPPLY</v>
      </c>
      <c r="I6002" t="str">
        <f t="shared" si="2299"/>
        <v>BEAUFORT</v>
      </c>
      <c r="J6002" t="str">
        <f t="shared" si="2295"/>
        <v>SC</v>
      </c>
      <c r="K6002" t="str">
        <f t="shared" si="2302"/>
        <v/>
      </c>
      <c r="L6002" t="str">
        <f>T("8432288402")</f>
        <v>8432288402</v>
      </c>
    </row>
    <row r="6003" spans="1:12" x14ac:dyDescent="0.35">
      <c r="A6003" t="str">
        <f t="shared" si="2290"/>
        <v>MCAS BEAUFORT</v>
      </c>
      <c r="B6003" t="str">
        <f t="shared" si="2297"/>
        <v>PO BOX 55024 BLDG 612</v>
      </c>
      <c r="C6003" t="str">
        <f t="shared" si="2298"/>
        <v>H &amp; HS SUPPLY</v>
      </c>
      <c r="D6003" t="str">
        <f t="shared" si="2291"/>
        <v>BEAUFORT</v>
      </c>
      <c r="E6003" t="str">
        <f t="shared" si="2292"/>
        <v>SC</v>
      </c>
      <c r="F6003" t="str">
        <f t="shared" si="2293"/>
        <v>299045024</v>
      </c>
      <c r="G6003" t="str">
        <f t="shared" si="2300"/>
        <v>PO BOX 55024 BLDG 612</v>
      </c>
      <c r="H6003" t="str">
        <f t="shared" si="2301"/>
        <v>H &amp; HS SUPPLY</v>
      </c>
      <c r="I6003" t="str">
        <f t="shared" si="2299"/>
        <v>BEAUFORT</v>
      </c>
      <c r="J6003" t="str">
        <f t="shared" si="2295"/>
        <v>SC</v>
      </c>
      <c r="K6003" t="str">
        <f>T("000000000000000000")</f>
        <v>000000000000000000</v>
      </c>
      <c r="L6003" t="str">
        <f>T("8432287808")</f>
        <v>8432287808</v>
      </c>
    </row>
    <row r="6004" spans="1:12" x14ac:dyDescent="0.35">
      <c r="A6004" t="str">
        <f t="shared" si="2290"/>
        <v>MCAS BEAUFORT</v>
      </c>
      <c r="B6004" t="str">
        <f t="shared" si="2297"/>
        <v>PO BOX 55024 BLDG 612</v>
      </c>
      <c r="C6004" t="str">
        <f t="shared" si="2298"/>
        <v>H &amp; HS SUPPLY</v>
      </c>
      <c r="D6004" t="str">
        <f t="shared" si="2291"/>
        <v>BEAUFORT</v>
      </c>
      <c r="E6004" t="str">
        <f t="shared" si="2292"/>
        <v>SC</v>
      </c>
      <c r="F6004" t="str">
        <f t="shared" si="2293"/>
        <v>299045024</v>
      </c>
      <c r="G6004" t="str">
        <f t="shared" si="2300"/>
        <v>PO BOX 55024 BLDG 612</v>
      </c>
      <c r="H6004" t="str">
        <f t="shared" si="2301"/>
        <v>H &amp; HS SUPPLY</v>
      </c>
      <c r="I6004" t="str">
        <f t="shared" si="2299"/>
        <v>BEAUFORT</v>
      </c>
      <c r="J6004" t="str">
        <f t="shared" si="2295"/>
        <v>SC</v>
      </c>
      <c r="K6004" t="str">
        <f>T("843 228 7268")</f>
        <v>843 228 7268</v>
      </c>
      <c r="L6004" t="str">
        <f>T("8432287277")</f>
        <v>8432287277</v>
      </c>
    </row>
    <row r="6005" spans="1:12" x14ac:dyDescent="0.35">
      <c r="A6005" t="str">
        <f t="shared" si="2290"/>
        <v>MCAS BEAUFORT</v>
      </c>
      <c r="B6005" t="str">
        <f t="shared" si="2297"/>
        <v>PO BOX 55024 BLDG 612</v>
      </c>
      <c r="C6005" t="str">
        <f t="shared" si="2298"/>
        <v>H &amp; HS SUPPLY</v>
      </c>
      <c r="D6005" t="str">
        <f t="shared" si="2291"/>
        <v>BEAUFORT</v>
      </c>
      <c r="E6005" t="str">
        <f t="shared" si="2292"/>
        <v>SC</v>
      </c>
      <c r="F6005" t="str">
        <f t="shared" si="2293"/>
        <v>299045024</v>
      </c>
      <c r="G6005" t="str">
        <f t="shared" si="2300"/>
        <v>PO BOX 55024 BLDG 612</v>
      </c>
      <c r="H6005" t="str">
        <f t="shared" si="2301"/>
        <v>H &amp; HS SUPPLY</v>
      </c>
      <c r="I6005" t="str">
        <f t="shared" si="2299"/>
        <v>BEAUFORT</v>
      </c>
      <c r="J6005" t="str">
        <f t="shared" si="2295"/>
        <v>SC</v>
      </c>
      <c r="K6005" t="str">
        <f>T("843 228 7268")</f>
        <v>843 228 7268</v>
      </c>
      <c r="L6005" t="str">
        <f>T("8432287370")</f>
        <v>8432287370</v>
      </c>
    </row>
    <row r="6006" spans="1:12" x14ac:dyDescent="0.35">
      <c r="A6006" t="str">
        <f t="shared" si="2290"/>
        <v>MCAS BEAUFORT</v>
      </c>
      <c r="B6006" t="str">
        <f t="shared" si="2297"/>
        <v>PO BOX 55024 BLDG 612</v>
      </c>
      <c r="C6006" t="str">
        <f t="shared" si="2298"/>
        <v>H &amp; HS SUPPLY</v>
      </c>
      <c r="D6006" t="str">
        <f t="shared" si="2291"/>
        <v>BEAUFORT</v>
      </c>
      <c r="E6006" t="str">
        <f t="shared" si="2292"/>
        <v>SC</v>
      </c>
      <c r="F6006" t="str">
        <f t="shared" si="2293"/>
        <v>299045024</v>
      </c>
      <c r="G6006" t="str">
        <f t="shared" si="2300"/>
        <v>PO BOX 55024 BLDG 612</v>
      </c>
      <c r="H6006" t="str">
        <f t="shared" si="2301"/>
        <v>H &amp; HS SUPPLY</v>
      </c>
      <c r="I6006" t="str">
        <f t="shared" si="2299"/>
        <v>BEAUFORT</v>
      </c>
      <c r="J6006" t="str">
        <f t="shared" si="2295"/>
        <v>SC</v>
      </c>
      <c r="K6006" t="str">
        <f>T("843 228 7268")</f>
        <v>843 228 7268</v>
      </c>
      <c r="L6006" t="str">
        <f>T("8432287858")</f>
        <v>8432287858</v>
      </c>
    </row>
    <row r="6007" spans="1:12" x14ac:dyDescent="0.35">
      <c r="A6007" t="str">
        <f t="shared" si="2290"/>
        <v>MCAS BEAUFORT</v>
      </c>
      <c r="B6007" t="str">
        <f t="shared" si="2297"/>
        <v>PO BOX 55024 BLDG 612</v>
      </c>
      <c r="C6007" t="str">
        <f t="shared" si="2298"/>
        <v>H &amp; HS SUPPLY</v>
      </c>
      <c r="D6007" t="str">
        <f t="shared" si="2291"/>
        <v>BEAUFORT</v>
      </c>
      <c r="E6007" t="str">
        <f t="shared" si="2292"/>
        <v>SC</v>
      </c>
      <c r="F6007" t="str">
        <f t="shared" si="2293"/>
        <v>299045024</v>
      </c>
      <c r="G6007" t="str">
        <f t="shared" si="2300"/>
        <v>PO BOX 55024 BLDG 612</v>
      </c>
      <c r="H6007" t="str">
        <f t="shared" si="2301"/>
        <v>H &amp; HS SUPPLY</v>
      </c>
      <c r="I6007" t="str">
        <f t="shared" si="2299"/>
        <v>BEAUFORT</v>
      </c>
      <c r="J6007" t="str">
        <f t="shared" si="2295"/>
        <v>SC</v>
      </c>
      <c r="K6007" t="str">
        <f>T("8432287268")</f>
        <v>8432287268</v>
      </c>
      <c r="L6007" t="str">
        <f>T("8432287922")</f>
        <v>8432287922</v>
      </c>
    </row>
    <row r="6008" spans="1:12" x14ac:dyDescent="0.35">
      <c r="A6008" t="str">
        <f t="shared" si="2290"/>
        <v>MCAS BEAUFORT</v>
      </c>
      <c r="B6008" t="str">
        <f t="shared" si="2297"/>
        <v>PO BOX 55024 BLDG 612</v>
      </c>
      <c r="C6008" t="str">
        <f t="shared" si="2298"/>
        <v>H &amp; HS SUPPLY</v>
      </c>
      <c r="D6008" t="str">
        <f t="shared" si="2291"/>
        <v>BEAUFORT</v>
      </c>
      <c r="E6008" t="str">
        <f t="shared" si="2292"/>
        <v>SC</v>
      </c>
      <c r="F6008" t="str">
        <f t="shared" si="2293"/>
        <v>299045024</v>
      </c>
      <c r="G6008" t="str">
        <f t="shared" si="2300"/>
        <v>PO BOX 55024 BLDG 612</v>
      </c>
      <c r="H6008" t="str">
        <f>T("H&amp;HS SUPPLY")</f>
        <v>H&amp;HS SUPPLY</v>
      </c>
      <c r="I6008" t="str">
        <f t="shared" si="2299"/>
        <v>BEAUFORT</v>
      </c>
      <c r="J6008" t="str">
        <f t="shared" si="2295"/>
        <v>SC</v>
      </c>
      <c r="K6008" t="str">
        <f t="shared" ref="K6008:K6014" si="2303">T("000000000000000000")</f>
        <v>000000000000000000</v>
      </c>
      <c r="L6008" t="str">
        <f>T("8432286458")</f>
        <v>8432286458</v>
      </c>
    </row>
    <row r="6009" spans="1:12" x14ac:dyDescent="0.35">
      <c r="A6009" t="str">
        <f t="shared" si="2290"/>
        <v>MCAS BEAUFORT</v>
      </c>
      <c r="B6009" t="str">
        <f t="shared" si="2297"/>
        <v>PO BOX 55024 BLDG 612</v>
      </c>
      <c r="C6009" t="str">
        <f t="shared" si="2298"/>
        <v>H &amp; HS SUPPLY</v>
      </c>
      <c r="D6009" t="str">
        <f t="shared" si="2291"/>
        <v>BEAUFORT</v>
      </c>
      <c r="E6009" t="str">
        <f t="shared" si="2292"/>
        <v>SC</v>
      </c>
      <c r="F6009" t="str">
        <f t="shared" si="2293"/>
        <v>299045024</v>
      </c>
      <c r="G6009" t="str">
        <f t="shared" si="2300"/>
        <v>PO BOX 55024 BLDG 612</v>
      </c>
      <c r="H6009" t="str">
        <f>T("H&amp;HS SUPPLY")</f>
        <v>H&amp;HS SUPPLY</v>
      </c>
      <c r="I6009" t="str">
        <f t="shared" si="2299"/>
        <v>BEAUFORT</v>
      </c>
      <c r="J6009" t="str">
        <f t="shared" si="2295"/>
        <v>SC</v>
      </c>
      <c r="K6009" t="str">
        <f t="shared" si="2303"/>
        <v>000000000000000000</v>
      </c>
      <c r="L6009" t="str">
        <f>T("8432286563")</f>
        <v>8432286563</v>
      </c>
    </row>
    <row r="6010" spans="1:12" x14ac:dyDescent="0.35">
      <c r="A6010" t="str">
        <f t="shared" si="2290"/>
        <v>MCAS BEAUFORT</v>
      </c>
      <c r="B6010" t="str">
        <f t="shared" si="2297"/>
        <v>PO BOX 55024 BLDG 612</v>
      </c>
      <c r="C6010" t="str">
        <f t="shared" si="2298"/>
        <v>H &amp; HS SUPPLY</v>
      </c>
      <c r="D6010" t="str">
        <f t="shared" si="2291"/>
        <v>BEAUFORT</v>
      </c>
      <c r="E6010" t="str">
        <f t="shared" si="2292"/>
        <v>SC</v>
      </c>
      <c r="F6010" t="str">
        <f t="shared" si="2293"/>
        <v>299045024</v>
      </c>
      <c r="G6010" t="str">
        <f t="shared" si="2300"/>
        <v>PO BOX 55024 BLDG 612</v>
      </c>
      <c r="H6010" t="str">
        <f t="shared" ref="H6010:H6015" si="2304">T("HHS SUPPLY")</f>
        <v>HHS SUPPLY</v>
      </c>
      <c r="I6010" t="str">
        <f t="shared" si="2299"/>
        <v>BEAUFORT</v>
      </c>
      <c r="J6010" t="str">
        <f t="shared" si="2295"/>
        <v>SC</v>
      </c>
      <c r="K6010" t="str">
        <f t="shared" si="2303"/>
        <v>000000000000000000</v>
      </c>
      <c r="L6010" t="str">
        <f>T("8432286048")</f>
        <v>8432286048</v>
      </c>
    </row>
    <row r="6011" spans="1:12" x14ac:dyDescent="0.35">
      <c r="A6011" t="str">
        <f t="shared" si="2290"/>
        <v>MCAS BEAUFORT</v>
      </c>
      <c r="B6011" t="str">
        <f t="shared" si="2297"/>
        <v>PO BOX 55024 BLDG 612</v>
      </c>
      <c r="C6011" t="str">
        <f t="shared" si="2298"/>
        <v>H &amp; HS SUPPLY</v>
      </c>
      <c r="D6011" t="str">
        <f t="shared" si="2291"/>
        <v>BEAUFORT</v>
      </c>
      <c r="E6011" t="str">
        <f t="shared" si="2292"/>
        <v>SC</v>
      </c>
      <c r="F6011" t="str">
        <f t="shared" si="2293"/>
        <v>299045024</v>
      </c>
      <c r="G6011" t="str">
        <f t="shared" si="2300"/>
        <v>PO BOX 55024 BLDG 612</v>
      </c>
      <c r="H6011" t="str">
        <f t="shared" si="2304"/>
        <v>HHS SUPPLY</v>
      </c>
      <c r="I6011" t="str">
        <f t="shared" si="2299"/>
        <v>BEAUFORT</v>
      </c>
      <c r="J6011" t="str">
        <f t="shared" si="2295"/>
        <v>SC</v>
      </c>
      <c r="K6011" t="str">
        <f t="shared" si="2303"/>
        <v>000000000000000000</v>
      </c>
      <c r="L6011" t="str">
        <f>T("8432286280")</f>
        <v>8432286280</v>
      </c>
    </row>
    <row r="6012" spans="1:12" x14ac:dyDescent="0.35">
      <c r="A6012" t="str">
        <f t="shared" si="2290"/>
        <v>MCAS BEAUFORT</v>
      </c>
      <c r="B6012" t="str">
        <f t="shared" si="2297"/>
        <v>PO BOX 55024 BLDG 612</v>
      </c>
      <c r="C6012" t="str">
        <f t="shared" si="2298"/>
        <v>H &amp; HS SUPPLY</v>
      </c>
      <c r="D6012" t="str">
        <f t="shared" si="2291"/>
        <v>BEAUFORT</v>
      </c>
      <c r="E6012" t="str">
        <f t="shared" si="2292"/>
        <v>SC</v>
      </c>
      <c r="F6012" t="str">
        <f t="shared" si="2293"/>
        <v>299045024</v>
      </c>
      <c r="G6012" t="str">
        <f t="shared" si="2300"/>
        <v>PO BOX 55024 BLDG 612</v>
      </c>
      <c r="H6012" t="str">
        <f t="shared" si="2304"/>
        <v>HHS SUPPLY</v>
      </c>
      <c r="I6012" t="str">
        <f t="shared" si="2299"/>
        <v>BEAUFORT</v>
      </c>
      <c r="J6012" t="str">
        <f t="shared" si="2295"/>
        <v>SC</v>
      </c>
      <c r="K6012" t="str">
        <f t="shared" si="2303"/>
        <v>000000000000000000</v>
      </c>
      <c r="L6012" t="str">
        <f>T("8432287246")</f>
        <v>8432287246</v>
      </c>
    </row>
    <row r="6013" spans="1:12" x14ac:dyDescent="0.35">
      <c r="A6013" t="str">
        <f t="shared" si="2290"/>
        <v>MCAS BEAUFORT</v>
      </c>
      <c r="B6013" t="str">
        <f t="shared" si="2297"/>
        <v>PO BOX 55024 BLDG 612</v>
      </c>
      <c r="C6013" t="str">
        <f t="shared" si="2298"/>
        <v>H &amp; HS SUPPLY</v>
      </c>
      <c r="D6013" t="str">
        <f t="shared" si="2291"/>
        <v>BEAUFORT</v>
      </c>
      <c r="E6013" t="str">
        <f t="shared" si="2292"/>
        <v>SC</v>
      </c>
      <c r="F6013" t="str">
        <f t="shared" si="2293"/>
        <v>299045024</v>
      </c>
      <c r="G6013" t="str">
        <f t="shared" si="2300"/>
        <v>PO BOX 55024 BLDG 612</v>
      </c>
      <c r="H6013" t="str">
        <f t="shared" si="2304"/>
        <v>HHS SUPPLY</v>
      </c>
      <c r="I6013" t="str">
        <f t="shared" si="2299"/>
        <v>BEAUFORT</v>
      </c>
      <c r="J6013" t="str">
        <f t="shared" si="2295"/>
        <v>SC</v>
      </c>
      <c r="K6013" t="str">
        <f t="shared" si="2303"/>
        <v>000000000000000000</v>
      </c>
      <c r="L6013" t="str">
        <f>T("8432287255")</f>
        <v>8432287255</v>
      </c>
    </row>
    <row r="6014" spans="1:12" x14ac:dyDescent="0.35">
      <c r="A6014" t="str">
        <f t="shared" si="2290"/>
        <v>MCAS BEAUFORT</v>
      </c>
      <c r="B6014" t="str">
        <f t="shared" si="2297"/>
        <v>PO BOX 55024 BLDG 612</v>
      </c>
      <c r="C6014" t="str">
        <f t="shared" si="2298"/>
        <v>H &amp; HS SUPPLY</v>
      </c>
      <c r="D6014" t="str">
        <f t="shared" si="2291"/>
        <v>BEAUFORT</v>
      </c>
      <c r="E6014" t="str">
        <f t="shared" si="2292"/>
        <v>SC</v>
      </c>
      <c r="F6014" t="str">
        <f t="shared" si="2293"/>
        <v>299045024</v>
      </c>
      <c r="G6014" t="str">
        <f t="shared" si="2300"/>
        <v>PO BOX 55024 BLDG 612</v>
      </c>
      <c r="H6014" t="str">
        <f t="shared" si="2304"/>
        <v>HHS SUPPLY</v>
      </c>
      <c r="I6014" t="str">
        <f t="shared" si="2299"/>
        <v>BEAUFORT</v>
      </c>
      <c r="J6014" t="str">
        <f t="shared" si="2295"/>
        <v>SC</v>
      </c>
      <c r="K6014" t="str">
        <f t="shared" si="2303"/>
        <v>000000000000000000</v>
      </c>
      <c r="L6014" t="str">
        <f>T("8432287922")</f>
        <v>8432287922</v>
      </c>
    </row>
    <row r="6015" spans="1:12" x14ac:dyDescent="0.35">
      <c r="A6015" t="str">
        <f t="shared" si="2290"/>
        <v>MCAS BEAUFORT</v>
      </c>
      <c r="B6015" t="str">
        <f t="shared" si="2297"/>
        <v>PO BOX 55024 BLDG 612</v>
      </c>
      <c r="C6015" t="str">
        <f t="shared" si="2298"/>
        <v>H &amp; HS SUPPLY</v>
      </c>
      <c r="D6015" t="str">
        <f t="shared" si="2291"/>
        <v>BEAUFORT</v>
      </c>
      <c r="E6015" t="str">
        <f t="shared" si="2292"/>
        <v>SC</v>
      </c>
      <c r="F6015" t="str">
        <f t="shared" si="2293"/>
        <v>299045024</v>
      </c>
      <c r="G6015" t="str">
        <f t="shared" si="2300"/>
        <v>PO BOX 55024 BLDG 612</v>
      </c>
      <c r="H6015" t="str">
        <f t="shared" si="2304"/>
        <v>HHS SUPPLY</v>
      </c>
      <c r="I6015" t="str">
        <f t="shared" si="2299"/>
        <v>BEAUFORT</v>
      </c>
      <c r="J6015" t="str">
        <f t="shared" si="2295"/>
        <v>SC</v>
      </c>
      <c r="K6015" t="str">
        <f>T("8432287268")</f>
        <v>8432287268</v>
      </c>
      <c r="L6015" t="str">
        <f>T("8432287246")</f>
        <v>8432287246</v>
      </c>
    </row>
    <row r="6016" spans="1:12" x14ac:dyDescent="0.35">
      <c r="A6016" t="str">
        <f t="shared" si="2290"/>
        <v>MCAS BEAUFORT</v>
      </c>
      <c r="B6016" t="str">
        <f t="shared" si="2297"/>
        <v>PO BOX 55024 BLDG 612</v>
      </c>
      <c r="C6016" t="str">
        <f t="shared" si="2298"/>
        <v>H &amp; HS SUPPLY</v>
      </c>
      <c r="D6016" t="str">
        <f t="shared" si="2291"/>
        <v>BEAUFORT</v>
      </c>
      <c r="E6016" t="str">
        <f t="shared" si="2292"/>
        <v>SC</v>
      </c>
      <c r="F6016" t="str">
        <f t="shared" si="2293"/>
        <v>299045024</v>
      </c>
      <c r="G6016" t="str">
        <f>T("PO BOX 55024 BLDG612")</f>
        <v>PO BOX 55024 BLDG612</v>
      </c>
      <c r="H6016" t="str">
        <f>T("H&amp;HS SUPPLY")</f>
        <v>H&amp;HS SUPPLY</v>
      </c>
      <c r="I6016" t="str">
        <f t="shared" si="2299"/>
        <v>BEAUFORT</v>
      </c>
      <c r="J6016" t="str">
        <f t="shared" si="2295"/>
        <v>SC</v>
      </c>
      <c r="K6016" t="str">
        <f>T("000000000000000000")</f>
        <v>000000000000000000</v>
      </c>
      <c r="L6016" t="str">
        <f>T("8432287966")</f>
        <v>8432287966</v>
      </c>
    </row>
    <row r="6017" spans="1:12" x14ac:dyDescent="0.35">
      <c r="A6017" t="str">
        <f t="shared" ref="A6017:A6033" si="2305">T("MCAS BEAUFORT")</f>
        <v>MCAS BEAUFORT</v>
      </c>
      <c r="B6017" t="str">
        <f t="shared" si="2297"/>
        <v>PO BOX 55024 BLDG 612</v>
      </c>
      <c r="C6017" t="str">
        <f t="shared" si="2298"/>
        <v>H &amp; HS SUPPLY</v>
      </c>
      <c r="D6017" t="str">
        <f t="shared" si="2291"/>
        <v>BEAUFORT</v>
      </c>
      <c r="E6017" t="str">
        <f t="shared" ref="E6017:E6033" si="2306">T("SC")</f>
        <v>SC</v>
      </c>
      <c r="F6017" t="str">
        <f t="shared" ref="F6017:F6033" si="2307">T("299045024")</f>
        <v>299045024</v>
      </c>
      <c r="G6017" t="str">
        <f>T("PO BOX 5504 BLDG 612")</f>
        <v>PO BOX 5504 BLDG 612</v>
      </c>
      <c r="H6017" t="str">
        <f>T("H&amp;HS")</f>
        <v>H&amp;HS</v>
      </c>
      <c r="I6017" t="str">
        <f t="shared" si="2299"/>
        <v>BEAUFORT</v>
      </c>
      <c r="J6017" t="str">
        <f t="shared" ref="J6017:J6033" si="2308">T("SC")</f>
        <v>SC</v>
      </c>
      <c r="K6017" t="str">
        <f>T("000000000000000000")</f>
        <v>000000000000000000</v>
      </c>
      <c r="L6017" t="str">
        <f>T("8432287907")</f>
        <v>8432287907</v>
      </c>
    </row>
    <row r="6018" spans="1:12" x14ac:dyDescent="0.35">
      <c r="A6018" t="str">
        <f t="shared" si="2305"/>
        <v>MCAS BEAUFORT</v>
      </c>
      <c r="B6018" t="str">
        <f t="shared" si="2297"/>
        <v>PO BOX 55024 BLDG 612</v>
      </c>
      <c r="C6018" t="str">
        <f t="shared" si="2298"/>
        <v>H &amp; HS SUPPLY</v>
      </c>
      <c r="D6018" t="str">
        <f t="shared" si="2291"/>
        <v>BEAUFORT</v>
      </c>
      <c r="E6018" t="str">
        <f t="shared" si="2306"/>
        <v>SC</v>
      </c>
      <c r="F6018" t="str">
        <f t="shared" si="2307"/>
        <v>299045024</v>
      </c>
      <c r="G6018" t="str">
        <f>T("PO BOX 5504 BLDG 612")</f>
        <v>PO BOX 5504 BLDG 612</v>
      </c>
      <c r="H6018" t="str">
        <f>T("HHS")</f>
        <v>HHS</v>
      </c>
      <c r="I6018" t="str">
        <f t="shared" si="2299"/>
        <v>BEAUFORT</v>
      </c>
      <c r="J6018" t="str">
        <f t="shared" si="2308"/>
        <v>SC</v>
      </c>
      <c r="K6018" t="str">
        <f>T("000000000000000000")</f>
        <v>000000000000000000</v>
      </c>
      <c r="L6018" t="str">
        <f>T("8432287907")</f>
        <v>8432287907</v>
      </c>
    </row>
    <row r="6019" spans="1:12" x14ac:dyDescent="0.35">
      <c r="A6019" t="str">
        <f t="shared" si="2305"/>
        <v>MCAS BEAUFORT</v>
      </c>
      <c r="B6019" t="str">
        <f t="shared" si="2297"/>
        <v>PO BOX 55024 BLDG 612</v>
      </c>
      <c r="C6019" t="str">
        <f t="shared" si="2298"/>
        <v>H &amp; HS SUPPLY</v>
      </c>
      <c r="D6019" t="str">
        <f>T("MCAS BEAUFORT")</f>
        <v>MCAS BEAUFORT</v>
      </c>
      <c r="E6019" t="str">
        <f t="shared" si="2306"/>
        <v>SC</v>
      </c>
      <c r="F6019" t="str">
        <f t="shared" si="2307"/>
        <v>299045024</v>
      </c>
      <c r="G6019" t="str">
        <f>T("P O BOX 55024 BLDG 612")</f>
        <v>P O BOX 55024 BLDG 612</v>
      </c>
      <c r="H6019" t="str">
        <f>T("H&amp;HS SUPPLY")</f>
        <v>H&amp;HS SUPPLY</v>
      </c>
      <c r="I6019" t="str">
        <f t="shared" si="2299"/>
        <v>BEAUFORT</v>
      </c>
      <c r="J6019" t="str">
        <f t="shared" si="2308"/>
        <v>SC</v>
      </c>
      <c r="K6019" t="str">
        <f>T("000000000000000000")</f>
        <v>000000000000000000</v>
      </c>
      <c r="L6019" t="str">
        <f>T("8432287921")</f>
        <v>8432287921</v>
      </c>
    </row>
    <row r="6020" spans="1:12" x14ac:dyDescent="0.35">
      <c r="A6020" t="str">
        <f t="shared" si="2305"/>
        <v>MCAS BEAUFORT</v>
      </c>
      <c r="B6020" t="str">
        <f t="shared" si="2297"/>
        <v>PO BOX 55024 BLDG 612</v>
      </c>
      <c r="C6020" t="str">
        <f t="shared" si="2298"/>
        <v>H &amp; HS SUPPLY</v>
      </c>
      <c r="D6020" t="str">
        <f>T("MCAS BEAUFORT")</f>
        <v>MCAS BEAUFORT</v>
      </c>
      <c r="E6020" t="str">
        <f t="shared" si="2306"/>
        <v>SC</v>
      </c>
      <c r="F6020" t="str">
        <f t="shared" si="2307"/>
        <v>299045024</v>
      </c>
      <c r="G6020" t="str">
        <f>T("PO BOX 55024 BLDG 612")</f>
        <v>PO BOX 55024 BLDG 612</v>
      </c>
      <c r="H6020" t="str">
        <f>T("H &amp; HS SUPPLY")</f>
        <v>H &amp; HS SUPPLY</v>
      </c>
      <c r="I6020" t="str">
        <f>T("MCAS BEAUFORT")</f>
        <v>MCAS BEAUFORT</v>
      </c>
      <c r="J6020" t="str">
        <f t="shared" si="2308"/>
        <v>SC</v>
      </c>
      <c r="K6020" t="str">
        <f>T("8432287032")</f>
        <v>8432287032</v>
      </c>
      <c r="L6020" t="str">
        <f>T("8432287277")</f>
        <v>8432287277</v>
      </c>
    </row>
    <row r="6021" spans="1:12" x14ac:dyDescent="0.35">
      <c r="A6021" t="str">
        <f t="shared" si="2305"/>
        <v>MCAS BEAUFORT</v>
      </c>
      <c r="B6021" t="str">
        <f t="shared" si="2297"/>
        <v>PO BOX 55024 BLDG 612</v>
      </c>
      <c r="C6021" t="str">
        <f t="shared" ref="C6021:C6033" si="2309">T("H&amp;HS SUPPLY")</f>
        <v>H&amp;HS SUPPLY</v>
      </c>
      <c r="D6021" t="str">
        <f t="shared" ref="D6021:D6033" si="2310">T("BEAUFORT")</f>
        <v>BEAUFORT</v>
      </c>
      <c r="E6021" t="str">
        <f t="shared" si="2306"/>
        <v>SC</v>
      </c>
      <c r="F6021" t="str">
        <f t="shared" si="2307"/>
        <v>299045024</v>
      </c>
      <c r="G6021" t="str">
        <f>T("P O BOX 55024 BLDG 612")</f>
        <v>P O BOX 55024 BLDG 612</v>
      </c>
      <c r="H6021" t="str">
        <f>T("H&amp;HS SUPPLY")</f>
        <v>H&amp;HS SUPPLY</v>
      </c>
      <c r="I6021" t="str">
        <f t="shared" ref="I6021:I6033" si="2311">T("BEAUFORT")</f>
        <v>BEAUFORT</v>
      </c>
      <c r="J6021" t="str">
        <f t="shared" si="2308"/>
        <v>SC</v>
      </c>
      <c r="K6021" t="str">
        <f>T("000000000000000000")</f>
        <v>000000000000000000</v>
      </c>
      <c r="L6021" t="str">
        <f>T("8432287286")</f>
        <v>8432287286</v>
      </c>
    </row>
    <row r="6022" spans="1:12" x14ac:dyDescent="0.35">
      <c r="A6022" t="str">
        <f t="shared" si="2305"/>
        <v>MCAS BEAUFORT</v>
      </c>
      <c r="B6022" t="str">
        <f t="shared" si="2297"/>
        <v>PO BOX 55024 BLDG 612</v>
      </c>
      <c r="C6022" t="str">
        <f t="shared" si="2309"/>
        <v>H&amp;HS SUPPLY</v>
      </c>
      <c r="D6022" t="str">
        <f t="shared" si="2310"/>
        <v>BEAUFORT</v>
      </c>
      <c r="E6022" t="str">
        <f t="shared" si="2306"/>
        <v>SC</v>
      </c>
      <c r="F6022" t="str">
        <f t="shared" si="2307"/>
        <v>299045024</v>
      </c>
      <c r="G6022" t="str">
        <f>T("P O BOX 55024 BLDG 612")</f>
        <v>P O BOX 55024 BLDG 612</v>
      </c>
      <c r="H6022" t="str">
        <f>T("H&amp;HS SUPPLY")</f>
        <v>H&amp;HS SUPPLY</v>
      </c>
      <c r="I6022" t="str">
        <f t="shared" si="2311"/>
        <v>BEAUFORT</v>
      </c>
      <c r="J6022" t="str">
        <f t="shared" si="2308"/>
        <v>SC</v>
      </c>
      <c r="K6022" t="str">
        <f>T("000000000000000000")</f>
        <v>000000000000000000</v>
      </c>
      <c r="L6022" t="str">
        <f>T("8432287947")</f>
        <v>8432287947</v>
      </c>
    </row>
    <row r="6023" spans="1:12" x14ac:dyDescent="0.35">
      <c r="A6023" t="str">
        <f t="shared" si="2305"/>
        <v>MCAS BEAUFORT</v>
      </c>
      <c r="B6023" t="str">
        <f t="shared" si="2297"/>
        <v>PO BOX 55024 BLDG 612</v>
      </c>
      <c r="C6023" t="str">
        <f t="shared" si="2309"/>
        <v>H&amp;HS SUPPLY</v>
      </c>
      <c r="D6023" t="str">
        <f t="shared" si="2310"/>
        <v>BEAUFORT</v>
      </c>
      <c r="E6023" t="str">
        <f t="shared" si="2306"/>
        <v>SC</v>
      </c>
      <c r="F6023" t="str">
        <f t="shared" si="2307"/>
        <v>299045024</v>
      </c>
      <c r="G6023" t="str">
        <f>T("P O BOX 55024 BLDG 612")</f>
        <v>P O BOX 55024 BLDG 612</v>
      </c>
      <c r="H6023" t="str">
        <f>T("HHS SUPPLY")</f>
        <v>HHS SUPPLY</v>
      </c>
      <c r="I6023" t="str">
        <f t="shared" si="2311"/>
        <v>BEAUFORT</v>
      </c>
      <c r="J6023" t="str">
        <f t="shared" si="2308"/>
        <v>SC</v>
      </c>
      <c r="K6023" t="str">
        <f>T("000000000000000000")</f>
        <v>000000000000000000</v>
      </c>
      <c r="L6023" t="str">
        <f>T("8432286905")</f>
        <v>8432286905</v>
      </c>
    </row>
    <row r="6024" spans="1:12" x14ac:dyDescent="0.35">
      <c r="A6024" t="str">
        <f t="shared" si="2305"/>
        <v>MCAS BEAUFORT</v>
      </c>
      <c r="B6024" t="str">
        <f t="shared" si="2297"/>
        <v>PO BOX 55024 BLDG 612</v>
      </c>
      <c r="C6024" t="str">
        <f t="shared" si="2309"/>
        <v>H&amp;HS SUPPLY</v>
      </c>
      <c r="D6024" t="str">
        <f t="shared" si="2310"/>
        <v>BEAUFORT</v>
      </c>
      <c r="E6024" t="str">
        <f t="shared" si="2306"/>
        <v>SC</v>
      </c>
      <c r="F6024" t="str">
        <f t="shared" si="2307"/>
        <v>299045024</v>
      </c>
      <c r="G6024" t="str">
        <f t="shared" ref="G6024:G6033" si="2312">T("PO BOX 55024 BLDG 612")</f>
        <v>PO BOX 55024 BLDG 612</v>
      </c>
      <c r="H6024" t="str">
        <f t="shared" ref="H6024:H6030" si="2313">T("H&amp;HS SUPPLY")</f>
        <v>H&amp;HS SUPPLY</v>
      </c>
      <c r="I6024" t="str">
        <f t="shared" si="2311"/>
        <v>BEAUFORT</v>
      </c>
      <c r="J6024" t="str">
        <f t="shared" si="2308"/>
        <v>SC</v>
      </c>
      <c r="K6024" t="str">
        <f>T("")</f>
        <v/>
      </c>
      <c r="L6024" t="str">
        <f>T("8432286081")</f>
        <v>8432286081</v>
      </c>
    </row>
    <row r="6025" spans="1:12" x14ac:dyDescent="0.35">
      <c r="A6025" t="str">
        <f t="shared" si="2305"/>
        <v>MCAS BEAUFORT</v>
      </c>
      <c r="B6025" t="str">
        <f t="shared" si="2297"/>
        <v>PO BOX 55024 BLDG 612</v>
      </c>
      <c r="C6025" t="str">
        <f t="shared" si="2309"/>
        <v>H&amp;HS SUPPLY</v>
      </c>
      <c r="D6025" t="str">
        <f t="shared" si="2310"/>
        <v>BEAUFORT</v>
      </c>
      <c r="E6025" t="str">
        <f t="shared" si="2306"/>
        <v>SC</v>
      </c>
      <c r="F6025" t="str">
        <f t="shared" si="2307"/>
        <v>299045024</v>
      </c>
      <c r="G6025" t="str">
        <f t="shared" si="2312"/>
        <v>PO BOX 55024 BLDG 612</v>
      </c>
      <c r="H6025" t="str">
        <f t="shared" si="2313"/>
        <v>H&amp;HS SUPPLY</v>
      </c>
      <c r="I6025" t="str">
        <f t="shared" si="2311"/>
        <v>BEAUFORT</v>
      </c>
      <c r="J6025" t="str">
        <f t="shared" si="2308"/>
        <v>SC</v>
      </c>
      <c r="K6025" t="str">
        <f>T("")</f>
        <v/>
      </c>
      <c r="L6025" t="str">
        <f>T("8432286205")</f>
        <v>8432286205</v>
      </c>
    </row>
    <row r="6026" spans="1:12" x14ac:dyDescent="0.35">
      <c r="A6026" t="str">
        <f t="shared" si="2305"/>
        <v>MCAS BEAUFORT</v>
      </c>
      <c r="B6026" t="str">
        <f t="shared" si="2297"/>
        <v>PO BOX 55024 BLDG 612</v>
      </c>
      <c r="C6026" t="str">
        <f t="shared" si="2309"/>
        <v>H&amp;HS SUPPLY</v>
      </c>
      <c r="D6026" t="str">
        <f t="shared" si="2310"/>
        <v>BEAUFORT</v>
      </c>
      <c r="E6026" t="str">
        <f t="shared" si="2306"/>
        <v>SC</v>
      </c>
      <c r="F6026" t="str">
        <f t="shared" si="2307"/>
        <v>299045024</v>
      </c>
      <c r="G6026" t="str">
        <f t="shared" si="2312"/>
        <v>PO BOX 55024 BLDG 612</v>
      </c>
      <c r="H6026" t="str">
        <f t="shared" si="2313"/>
        <v>H&amp;HS SUPPLY</v>
      </c>
      <c r="I6026" t="str">
        <f t="shared" si="2311"/>
        <v>BEAUFORT</v>
      </c>
      <c r="J6026" t="str">
        <f t="shared" si="2308"/>
        <v>SC</v>
      </c>
      <c r="K6026" t="str">
        <f>T("")</f>
        <v/>
      </c>
      <c r="L6026" t="str">
        <f>T("8432287107")</f>
        <v>8432287107</v>
      </c>
    </row>
    <row r="6027" spans="1:12" x14ac:dyDescent="0.35">
      <c r="A6027" t="str">
        <f t="shared" si="2305"/>
        <v>MCAS BEAUFORT</v>
      </c>
      <c r="B6027" t="str">
        <f t="shared" si="2297"/>
        <v>PO BOX 55024 BLDG 612</v>
      </c>
      <c r="C6027" t="str">
        <f t="shared" si="2309"/>
        <v>H&amp;HS SUPPLY</v>
      </c>
      <c r="D6027" t="str">
        <f t="shared" si="2310"/>
        <v>BEAUFORT</v>
      </c>
      <c r="E6027" t="str">
        <f t="shared" si="2306"/>
        <v>SC</v>
      </c>
      <c r="F6027" t="str">
        <f t="shared" si="2307"/>
        <v>299045024</v>
      </c>
      <c r="G6027" t="str">
        <f t="shared" si="2312"/>
        <v>PO BOX 55024 BLDG 612</v>
      </c>
      <c r="H6027" t="str">
        <f t="shared" si="2313"/>
        <v>H&amp;HS SUPPLY</v>
      </c>
      <c r="I6027" t="str">
        <f t="shared" si="2311"/>
        <v>BEAUFORT</v>
      </c>
      <c r="J6027" t="str">
        <f t="shared" si="2308"/>
        <v>SC</v>
      </c>
      <c r="K6027" t="str">
        <f>T("")</f>
        <v/>
      </c>
      <c r="L6027" t="str">
        <f>T("8432287295")</f>
        <v>8432287295</v>
      </c>
    </row>
    <row r="6028" spans="1:12" x14ac:dyDescent="0.35">
      <c r="A6028" t="str">
        <f t="shared" si="2305"/>
        <v>MCAS BEAUFORT</v>
      </c>
      <c r="B6028" t="str">
        <f t="shared" si="2297"/>
        <v>PO BOX 55024 BLDG 612</v>
      </c>
      <c r="C6028" t="str">
        <f t="shared" si="2309"/>
        <v>H&amp;HS SUPPLY</v>
      </c>
      <c r="D6028" t="str">
        <f t="shared" si="2310"/>
        <v>BEAUFORT</v>
      </c>
      <c r="E6028" t="str">
        <f t="shared" si="2306"/>
        <v>SC</v>
      </c>
      <c r="F6028" t="str">
        <f t="shared" si="2307"/>
        <v>299045024</v>
      </c>
      <c r="G6028" t="str">
        <f t="shared" si="2312"/>
        <v>PO BOX 55024 BLDG 612</v>
      </c>
      <c r="H6028" t="str">
        <f t="shared" si="2313"/>
        <v>H&amp;HS SUPPLY</v>
      </c>
      <c r="I6028" t="str">
        <f t="shared" si="2311"/>
        <v>BEAUFORT</v>
      </c>
      <c r="J6028" t="str">
        <f t="shared" si="2308"/>
        <v>SC</v>
      </c>
      <c r="K6028" t="str">
        <f>T("")</f>
        <v/>
      </c>
      <c r="L6028" t="str">
        <f>T("8432287971")</f>
        <v>8432287971</v>
      </c>
    </row>
    <row r="6029" spans="1:12" x14ac:dyDescent="0.35">
      <c r="A6029" t="str">
        <f t="shared" si="2305"/>
        <v>MCAS BEAUFORT</v>
      </c>
      <c r="B6029" t="str">
        <f t="shared" si="2297"/>
        <v>PO BOX 55024 BLDG 612</v>
      </c>
      <c r="C6029" t="str">
        <f t="shared" si="2309"/>
        <v>H&amp;HS SUPPLY</v>
      </c>
      <c r="D6029" t="str">
        <f t="shared" si="2310"/>
        <v>BEAUFORT</v>
      </c>
      <c r="E6029" t="str">
        <f t="shared" si="2306"/>
        <v>SC</v>
      </c>
      <c r="F6029" t="str">
        <f t="shared" si="2307"/>
        <v>299045024</v>
      </c>
      <c r="G6029" t="str">
        <f t="shared" si="2312"/>
        <v>PO BOX 55024 BLDG 612</v>
      </c>
      <c r="H6029" t="str">
        <f t="shared" si="2313"/>
        <v>H&amp;HS SUPPLY</v>
      </c>
      <c r="I6029" t="str">
        <f t="shared" si="2311"/>
        <v>BEAUFORT</v>
      </c>
      <c r="J6029" t="str">
        <f t="shared" si="2308"/>
        <v>SC</v>
      </c>
      <c r="K6029" t="str">
        <f>T("000000000000000000")</f>
        <v>000000000000000000</v>
      </c>
      <c r="L6029" t="str">
        <f>T("8432287217")</f>
        <v>8432287217</v>
      </c>
    </row>
    <row r="6030" spans="1:12" x14ac:dyDescent="0.35">
      <c r="A6030" t="str">
        <f t="shared" si="2305"/>
        <v>MCAS BEAUFORT</v>
      </c>
      <c r="B6030" t="str">
        <f t="shared" si="2297"/>
        <v>PO BOX 55024 BLDG 612</v>
      </c>
      <c r="C6030" t="str">
        <f t="shared" si="2309"/>
        <v>H&amp;HS SUPPLY</v>
      </c>
      <c r="D6030" t="str">
        <f t="shared" si="2310"/>
        <v>BEAUFORT</v>
      </c>
      <c r="E6030" t="str">
        <f t="shared" si="2306"/>
        <v>SC</v>
      </c>
      <c r="F6030" t="str">
        <f t="shared" si="2307"/>
        <v>299045024</v>
      </c>
      <c r="G6030" t="str">
        <f t="shared" si="2312"/>
        <v>PO BOX 55024 BLDG 612</v>
      </c>
      <c r="H6030" t="str">
        <f t="shared" si="2313"/>
        <v>H&amp;HS SUPPLY</v>
      </c>
      <c r="I6030" t="str">
        <f t="shared" si="2311"/>
        <v>BEAUFORT</v>
      </c>
      <c r="J6030" t="str">
        <f t="shared" si="2308"/>
        <v>SC</v>
      </c>
      <c r="K6030" t="str">
        <f>T("8432287268")</f>
        <v>8432287268</v>
      </c>
      <c r="L6030" t="str">
        <f>T("8432287391")</f>
        <v>8432287391</v>
      </c>
    </row>
    <row r="6031" spans="1:12" x14ac:dyDescent="0.35">
      <c r="A6031" t="str">
        <f t="shared" si="2305"/>
        <v>MCAS BEAUFORT</v>
      </c>
      <c r="B6031" t="str">
        <f t="shared" si="2297"/>
        <v>PO BOX 55024 BLDG 612</v>
      </c>
      <c r="C6031" t="str">
        <f t="shared" si="2309"/>
        <v>H&amp;HS SUPPLY</v>
      </c>
      <c r="D6031" t="str">
        <f t="shared" si="2310"/>
        <v>BEAUFORT</v>
      </c>
      <c r="E6031" t="str">
        <f t="shared" si="2306"/>
        <v>SC</v>
      </c>
      <c r="F6031" t="str">
        <f t="shared" si="2307"/>
        <v>299045024</v>
      </c>
      <c r="G6031" t="str">
        <f t="shared" si="2312"/>
        <v>PO BOX 55024 BLDG 612</v>
      </c>
      <c r="H6031" t="str">
        <f>T("HHS SUPPLY")</f>
        <v>HHS SUPPLY</v>
      </c>
      <c r="I6031" t="str">
        <f t="shared" si="2311"/>
        <v>BEAUFORT</v>
      </c>
      <c r="J6031" t="str">
        <f t="shared" si="2308"/>
        <v>SC</v>
      </c>
      <c r="K6031" t="str">
        <f>T("000000000000000000")</f>
        <v>000000000000000000</v>
      </c>
      <c r="L6031" t="str">
        <f>T("8432286414")</f>
        <v>8432286414</v>
      </c>
    </row>
    <row r="6032" spans="1:12" x14ac:dyDescent="0.35">
      <c r="A6032" t="str">
        <f t="shared" si="2305"/>
        <v>MCAS BEAUFORT</v>
      </c>
      <c r="B6032" t="str">
        <f t="shared" si="2297"/>
        <v>PO BOX 55024 BLDG 612</v>
      </c>
      <c r="C6032" t="str">
        <f t="shared" si="2309"/>
        <v>H&amp;HS SUPPLY</v>
      </c>
      <c r="D6032" t="str">
        <f t="shared" si="2310"/>
        <v>BEAUFORT</v>
      </c>
      <c r="E6032" t="str">
        <f t="shared" si="2306"/>
        <v>SC</v>
      </c>
      <c r="F6032" t="str">
        <f t="shared" si="2307"/>
        <v>299045024</v>
      </c>
      <c r="G6032" t="str">
        <f t="shared" si="2312"/>
        <v>PO BOX 55024 BLDG 612</v>
      </c>
      <c r="H6032" t="str">
        <f>T("HHS SUPPLY")</f>
        <v>HHS SUPPLY</v>
      </c>
      <c r="I6032" t="str">
        <f t="shared" si="2311"/>
        <v>BEAUFORT</v>
      </c>
      <c r="J6032" t="str">
        <f t="shared" si="2308"/>
        <v>SC</v>
      </c>
      <c r="K6032" t="str">
        <f>T("000000000000000000")</f>
        <v>000000000000000000</v>
      </c>
      <c r="L6032" t="str">
        <f>T("8432287301")</f>
        <v>8432287301</v>
      </c>
    </row>
    <row r="6033" spans="1:12" x14ac:dyDescent="0.35">
      <c r="A6033" t="str">
        <f t="shared" si="2305"/>
        <v>MCAS BEAUFORT</v>
      </c>
      <c r="B6033" t="str">
        <f t="shared" si="2297"/>
        <v>PO BOX 55024 BLDG 612</v>
      </c>
      <c r="C6033" t="str">
        <f t="shared" si="2309"/>
        <v>H&amp;HS SUPPLY</v>
      </c>
      <c r="D6033" t="str">
        <f t="shared" si="2310"/>
        <v>BEAUFORT</v>
      </c>
      <c r="E6033" t="str">
        <f t="shared" si="2306"/>
        <v>SC</v>
      </c>
      <c r="F6033" t="str">
        <f t="shared" si="2307"/>
        <v>299045024</v>
      </c>
      <c r="G6033" t="str">
        <f t="shared" si="2312"/>
        <v>PO BOX 55024 BLDG 612</v>
      </c>
      <c r="H6033" t="str">
        <f>T("HHS SUPPLY")</f>
        <v>HHS SUPPLY</v>
      </c>
      <c r="I6033" t="str">
        <f t="shared" si="2311"/>
        <v>BEAUFORT</v>
      </c>
      <c r="J6033" t="str">
        <f t="shared" si="2308"/>
        <v>SC</v>
      </c>
      <c r="K6033" t="str">
        <f>T("000000000000000000")</f>
        <v>000000000000000000</v>
      </c>
      <c r="L6033" t="str">
        <f>T("8432287945")</f>
        <v>8432287945</v>
      </c>
    </row>
    <row r="6034" spans="1:12" x14ac:dyDescent="0.35">
      <c r="A6034" t="str">
        <f t="shared" ref="A6034:A6044" si="2314">T("MARFORCENTCOM")</f>
        <v>MARFORCENTCOM</v>
      </c>
      <c r="B6034" t="str">
        <f t="shared" ref="B6034:B6065" si="2315">T("PO BOX 8478")</f>
        <v>PO BOX 8478</v>
      </c>
      <c r="C6034" t="str">
        <f t="shared" ref="C6034:C6065" si="2316">T("")</f>
        <v/>
      </c>
      <c r="D6034" t="str">
        <f t="shared" ref="D6034:D6065" si="2317">T("CAMP LEJEUNE")</f>
        <v>CAMP LEJEUNE</v>
      </c>
      <c r="E6034" t="str">
        <f t="shared" ref="E6034:E6065" si="2318">T("NC")</f>
        <v>NC</v>
      </c>
      <c r="F6034" t="str">
        <f t="shared" ref="F6034:F6065" si="2319">T("285478478")</f>
        <v>285478478</v>
      </c>
      <c r="G6034" t="str">
        <f t="shared" ref="G6034:G6065" si="2320">T("PO BOX 8478")</f>
        <v>PO BOX 8478</v>
      </c>
      <c r="H6034" t="str">
        <f t="shared" ref="H6034:H6050" si="2321">T("")</f>
        <v/>
      </c>
      <c r="I6034" t="str">
        <f t="shared" ref="I6034:I6065" si="2322">T("CAMP LEJEUNE")</f>
        <v>CAMP LEJEUNE</v>
      </c>
      <c r="J6034" t="str">
        <f t="shared" ref="J6034:J6065" si="2323">T("NC")</f>
        <v>NC</v>
      </c>
      <c r="K6034" t="str">
        <f>T("")</f>
        <v/>
      </c>
      <c r="L6034" t="str">
        <f>T("8138277143")</f>
        <v>8138277143</v>
      </c>
    </row>
    <row r="6035" spans="1:12" x14ac:dyDescent="0.35">
      <c r="A6035" t="str">
        <f t="shared" si="2314"/>
        <v>MARFORCENTCOM</v>
      </c>
      <c r="B6035" t="str">
        <f t="shared" si="2315"/>
        <v>PO BOX 8478</v>
      </c>
      <c r="C6035" t="str">
        <f t="shared" si="2316"/>
        <v/>
      </c>
      <c r="D6035" t="str">
        <f t="shared" si="2317"/>
        <v>CAMP LEJEUNE</v>
      </c>
      <c r="E6035" t="str">
        <f t="shared" si="2318"/>
        <v>NC</v>
      </c>
      <c r="F6035" t="str">
        <f t="shared" si="2319"/>
        <v>285478478</v>
      </c>
      <c r="G6035" t="str">
        <f t="shared" si="2320"/>
        <v>PO BOX 8478</v>
      </c>
      <c r="H6035" t="str">
        <f t="shared" si="2321"/>
        <v/>
      </c>
      <c r="I6035" t="str">
        <f t="shared" si="2322"/>
        <v>CAMP LEJEUNE</v>
      </c>
      <c r="J6035" t="str">
        <f t="shared" si="2323"/>
        <v>NC</v>
      </c>
      <c r="K6035" t="str">
        <f>T("")</f>
        <v/>
      </c>
      <c r="L6035" t="str">
        <f>T("9734396758")</f>
        <v>9734396758</v>
      </c>
    </row>
    <row r="6036" spans="1:12" x14ac:dyDescent="0.35">
      <c r="A6036" t="str">
        <f t="shared" si="2314"/>
        <v>MARFORCENTCOM</v>
      </c>
      <c r="B6036" t="str">
        <f t="shared" si="2315"/>
        <v>PO BOX 8478</v>
      </c>
      <c r="C6036" t="str">
        <f t="shared" si="2316"/>
        <v/>
      </c>
      <c r="D6036" t="str">
        <f t="shared" si="2317"/>
        <v>CAMP LEJEUNE</v>
      </c>
      <c r="E6036" t="str">
        <f t="shared" si="2318"/>
        <v>NC</v>
      </c>
      <c r="F6036" t="str">
        <f t="shared" si="2319"/>
        <v>285478478</v>
      </c>
      <c r="G6036" t="str">
        <f t="shared" si="2320"/>
        <v>PO BOX 8478</v>
      </c>
      <c r="H6036" t="str">
        <f t="shared" si="2321"/>
        <v/>
      </c>
      <c r="I6036" t="str">
        <f t="shared" si="2322"/>
        <v>CAMP LEJEUNE</v>
      </c>
      <c r="J6036" t="str">
        <f t="shared" si="2323"/>
        <v>NC</v>
      </c>
      <c r="K6036" t="str">
        <f t="shared" ref="K6036:K6043" si="2324">T("000000000000000000")</f>
        <v>000000000000000000</v>
      </c>
      <c r="L6036" t="str">
        <f>T("1111111111")</f>
        <v>1111111111</v>
      </c>
    </row>
    <row r="6037" spans="1:12" x14ac:dyDescent="0.35">
      <c r="A6037" t="str">
        <f t="shared" si="2314"/>
        <v>MARFORCENTCOM</v>
      </c>
      <c r="B6037" t="str">
        <f t="shared" si="2315"/>
        <v>PO BOX 8478</v>
      </c>
      <c r="C6037" t="str">
        <f t="shared" si="2316"/>
        <v/>
      </c>
      <c r="D6037" t="str">
        <f t="shared" si="2317"/>
        <v>CAMP LEJEUNE</v>
      </c>
      <c r="E6037" t="str">
        <f t="shared" si="2318"/>
        <v>NC</v>
      </c>
      <c r="F6037" t="str">
        <f t="shared" si="2319"/>
        <v>285478478</v>
      </c>
      <c r="G6037" t="str">
        <f t="shared" si="2320"/>
        <v>PO BOX 8478</v>
      </c>
      <c r="H6037" t="str">
        <f t="shared" si="2321"/>
        <v/>
      </c>
      <c r="I6037" t="str">
        <f t="shared" si="2322"/>
        <v>CAMP LEJEUNE</v>
      </c>
      <c r="J6037" t="str">
        <f t="shared" si="2323"/>
        <v>NC</v>
      </c>
      <c r="K6037" t="str">
        <f t="shared" si="2324"/>
        <v>000000000000000000</v>
      </c>
      <c r="L6037" t="str">
        <f>T("3184393976")</f>
        <v>3184393976</v>
      </c>
    </row>
    <row r="6038" spans="1:12" x14ac:dyDescent="0.35">
      <c r="A6038" t="str">
        <f t="shared" si="2314"/>
        <v>MARFORCENTCOM</v>
      </c>
      <c r="B6038" t="str">
        <f t="shared" si="2315"/>
        <v>PO BOX 8478</v>
      </c>
      <c r="C6038" t="str">
        <f t="shared" si="2316"/>
        <v/>
      </c>
      <c r="D6038" t="str">
        <f t="shared" si="2317"/>
        <v>CAMP LEJEUNE</v>
      </c>
      <c r="E6038" t="str">
        <f t="shared" si="2318"/>
        <v>NC</v>
      </c>
      <c r="F6038" t="str">
        <f t="shared" si="2319"/>
        <v>285478478</v>
      </c>
      <c r="G6038" t="str">
        <f t="shared" si="2320"/>
        <v>PO BOX 8478</v>
      </c>
      <c r="H6038" t="str">
        <f t="shared" si="2321"/>
        <v/>
      </c>
      <c r="I6038" t="str">
        <f t="shared" si="2322"/>
        <v>CAMP LEJEUNE</v>
      </c>
      <c r="J6038" t="str">
        <f t="shared" si="2323"/>
        <v>NC</v>
      </c>
      <c r="K6038" t="str">
        <f t="shared" si="2324"/>
        <v>000000000000000000</v>
      </c>
      <c r="L6038" t="str">
        <f>T("8138274014")</f>
        <v>8138274014</v>
      </c>
    </row>
    <row r="6039" spans="1:12" x14ac:dyDescent="0.35">
      <c r="A6039" t="str">
        <f t="shared" si="2314"/>
        <v>MARFORCENTCOM</v>
      </c>
      <c r="B6039" t="str">
        <f t="shared" si="2315"/>
        <v>PO BOX 8478</v>
      </c>
      <c r="C6039" t="str">
        <f t="shared" si="2316"/>
        <v/>
      </c>
      <c r="D6039" t="str">
        <f t="shared" si="2317"/>
        <v>CAMP LEJEUNE</v>
      </c>
      <c r="E6039" t="str">
        <f t="shared" si="2318"/>
        <v>NC</v>
      </c>
      <c r="F6039" t="str">
        <f t="shared" si="2319"/>
        <v>285478478</v>
      </c>
      <c r="G6039" t="str">
        <f t="shared" si="2320"/>
        <v>PO BOX 8478</v>
      </c>
      <c r="H6039" t="str">
        <f t="shared" si="2321"/>
        <v/>
      </c>
      <c r="I6039" t="str">
        <f t="shared" si="2322"/>
        <v>CAMP LEJEUNE</v>
      </c>
      <c r="J6039" t="str">
        <f t="shared" si="2323"/>
        <v>NC</v>
      </c>
      <c r="K6039" t="str">
        <f t="shared" si="2324"/>
        <v>000000000000000000</v>
      </c>
      <c r="L6039" t="str">
        <f>T("8138274161")</f>
        <v>8138274161</v>
      </c>
    </row>
    <row r="6040" spans="1:12" x14ac:dyDescent="0.35">
      <c r="A6040" t="str">
        <f t="shared" si="2314"/>
        <v>MARFORCENTCOM</v>
      </c>
      <c r="B6040" t="str">
        <f t="shared" si="2315"/>
        <v>PO BOX 8478</v>
      </c>
      <c r="C6040" t="str">
        <f t="shared" si="2316"/>
        <v/>
      </c>
      <c r="D6040" t="str">
        <f t="shared" si="2317"/>
        <v>CAMP LEJEUNE</v>
      </c>
      <c r="E6040" t="str">
        <f t="shared" si="2318"/>
        <v>NC</v>
      </c>
      <c r="F6040" t="str">
        <f t="shared" si="2319"/>
        <v>285478478</v>
      </c>
      <c r="G6040" t="str">
        <f t="shared" si="2320"/>
        <v>PO BOX 8478</v>
      </c>
      <c r="H6040" t="str">
        <f t="shared" si="2321"/>
        <v/>
      </c>
      <c r="I6040" t="str">
        <f t="shared" si="2322"/>
        <v>CAMP LEJEUNE</v>
      </c>
      <c r="J6040" t="str">
        <f t="shared" si="2323"/>
        <v>NC</v>
      </c>
      <c r="K6040" t="str">
        <f t="shared" si="2324"/>
        <v>000000000000000000</v>
      </c>
      <c r="L6040" t="str">
        <f>T("8138274372")</f>
        <v>8138274372</v>
      </c>
    </row>
    <row r="6041" spans="1:12" x14ac:dyDescent="0.35">
      <c r="A6041" t="str">
        <f t="shared" si="2314"/>
        <v>MARFORCENTCOM</v>
      </c>
      <c r="B6041" t="str">
        <f t="shared" si="2315"/>
        <v>PO BOX 8478</v>
      </c>
      <c r="C6041" t="str">
        <f t="shared" si="2316"/>
        <v/>
      </c>
      <c r="D6041" t="str">
        <f t="shared" si="2317"/>
        <v>CAMP LEJEUNE</v>
      </c>
      <c r="E6041" t="str">
        <f t="shared" si="2318"/>
        <v>NC</v>
      </c>
      <c r="F6041" t="str">
        <f t="shared" si="2319"/>
        <v>285478478</v>
      </c>
      <c r="G6041" t="str">
        <f t="shared" si="2320"/>
        <v>PO BOX 8478</v>
      </c>
      <c r="H6041" t="str">
        <f t="shared" si="2321"/>
        <v/>
      </c>
      <c r="I6041" t="str">
        <f t="shared" si="2322"/>
        <v>CAMP LEJEUNE</v>
      </c>
      <c r="J6041" t="str">
        <f t="shared" si="2323"/>
        <v>NC</v>
      </c>
      <c r="K6041" t="str">
        <f t="shared" si="2324"/>
        <v>000000000000000000</v>
      </c>
      <c r="L6041" t="str">
        <f>T("8138277143")</f>
        <v>8138277143</v>
      </c>
    </row>
    <row r="6042" spans="1:12" x14ac:dyDescent="0.35">
      <c r="A6042" t="str">
        <f t="shared" si="2314"/>
        <v>MARFORCENTCOM</v>
      </c>
      <c r="B6042" t="str">
        <f t="shared" si="2315"/>
        <v>PO BOX 8478</v>
      </c>
      <c r="C6042" t="str">
        <f t="shared" si="2316"/>
        <v/>
      </c>
      <c r="D6042" t="str">
        <f t="shared" si="2317"/>
        <v>CAMP LEJEUNE</v>
      </c>
      <c r="E6042" t="str">
        <f t="shared" si="2318"/>
        <v>NC</v>
      </c>
      <c r="F6042" t="str">
        <f t="shared" si="2319"/>
        <v>285478478</v>
      </c>
      <c r="G6042" t="str">
        <f t="shared" si="2320"/>
        <v>PO BOX 8478</v>
      </c>
      <c r="H6042" t="str">
        <f t="shared" si="2321"/>
        <v/>
      </c>
      <c r="I6042" t="str">
        <f t="shared" si="2322"/>
        <v>CAMP LEJEUNE</v>
      </c>
      <c r="J6042" t="str">
        <f t="shared" si="2323"/>
        <v>NC</v>
      </c>
      <c r="K6042" t="str">
        <f t="shared" si="2324"/>
        <v>000000000000000000</v>
      </c>
      <c r="L6042" t="str">
        <f>T("8138277147")</f>
        <v>8138277147</v>
      </c>
    </row>
    <row r="6043" spans="1:12" x14ac:dyDescent="0.35">
      <c r="A6043" t="str">
        <f t="shared" si="2314"/>
        <v>MARFORCENTCOM</v>
      </c>
      <c r="B6043" t="str">
        <f t="shared" si="2315"/>
        <v>PO BOX 8478</v>
      </c>
      <c r="C6043" t="str">
        <f t="shared" si="2316"/>
        <v/>
      </c>
      <c r="D6043" t="str">
        <f t="shared" si="2317"/>
        <v>CAMP LEJEUNE</v>
      </c>
      <c r="E6043" t="str">
        <f t="shared" si="2318"/>
        <v>NC</v>
      </c>
      <c r="F6043" t="str">
        <f t="shared" si="2319"/>
        <v>285478478</v>
      </c>
      <c r="G6043" t="str">
        <f t="shared" si="2320"/>
        <v>PO BOX 8478</v>
      </c>
      <c r="H6043" t="str">
        <f t="shared" si="2321"/>
        <v/>
      </c>
      <c r="I6043" t="str">
        <f t="shared" si="2322"/>
        <v>CAMP LEJEUNE</v>
      </c>
      <c r="J6043" t="str">
        <f t="shared" si="2323"/>
        <v>NC</v>
      </c>
      <c r="K6043" t="str">
        <f t="shared" si="2324"/>
        <v>000000000000000000</v>
      </c>
      <c r="L6043" t="str">
        <f>T("9734394470")</f>
        <v>9734394470</v>
      </c>
    </row>
    <row r="6044" spans="1:12" x14ac:dyDescent="0.35">
      <c r="A6044" t="str">
        <f t="shared" si="2314"/>
        <v>MARFORCENTCOM</v>
      </c>
      <c r="B6044" t="str">
        <f t="shared" si="2315"/>
        <v>PO BOX 8478</v>
      </c>
      <c r="C6044" t="str">
        <f t="shared" si="2316"/>
        <v/>
      </c>
      <c r="D6044" t="str">
        <f t="shared" si="2317"/>
        <v>CAMP LEJEUNE</v>
      </c>
      <c r="E6044" t="str">
        <f t="shared" si="2318"/>
        <v>NC</v>
      </c>
      <c r="F6044" t="str">
        <f t="shared" si="2319"/>
        <v>285478478</v>
      </c>
      <c r="G6044" t="str">
        <f t="shared" si="2320"/>
        <v>PO BOX 8478</v>
      </c>
      <c r="H6044" t="str">
        <f t="shared" si="2321"/>
        <v/>
      </c>
      <c r="I6044" t="str">
        <f t="shared" si="2322"/>
        <v>CAMP LEJEUNE</v>
      </c>
      <c r="J6044" t="str">
        <f t="shared" si="2323"/>
        <v>NC</v>
      </c>
      <c r="K6044" t="str">
        <f>T("97317856758")</f>
        <v>97317856758</v>
      </c>
      <c r="L6044" t="str">
        <f>T("1111111111")</f>
        <v>1111111111</v>
      </c>
    </row>
    <row r="6045" spans="1:12" x14ac:dyDescent="0.35">
      <c r="A6045" t="str">
        <f t="shared" ref="A6045:A6051" si="2325">T("BLOUNT ISLAND")</f>
        <v>BLOUNT ISLAND</v>
      </c>
      <c r="B6045" t="str">
        <f t="shared" si="2315"/>
        <v>PO BOX 8478</v>
      </c>
      <c r="C6045" t="str">
        <f t="shared" si="2316"/>
        <v/>
      </c>
      <c r="D6045" t="str">
        <f t="shared" si="2317"/>
        <v>CAMP LEJEUNE</v>
      </c>
      <c r="E6045" t="str">
        <f t="shared" si="2318"/>
        <v>NC</v>
      </c>
      <c r="F6045" t="str">
        <f t="shared" si="2319"/>
        <v>285478478</v>
      </c>
      <c r="G6045" t="str">
        <f t="shared" si="2320"/>
        <v>PO BOX 8478</v>
      </c>
      <c r="H6045" t="str">
        <f t="shared" si="2321"/>
        <v/>
      </c>
      <c r="I6045" t="str">
        <f t="shared" si="2322"/>
        <v>CAMP LEJEUNE</v>
      </c>
      <c r="J6045" t="str">
        <f t="shared" si="2323"/>
        <v>NC</v>
      </c>
      <c r="K6045" t="str">
        <f>T("")</f>
        <v/>
      </c>
      <c r="L6045" t="str">
        <f>T("9046965671")</f>
        <v>9046965671</v>
      </c>
    </row>
    <row r="6046" spans="1:12" x14ac:dyDescent="0.35">
      <c r="A6046" t="str">
        <f t="shared" si="2325"/>
        <v>BLOUNT ISLAND</v>
      </c>
      <c r="B6046" t="str">
        <f t="shared" si="2315"/>
        <v>PO BOX 8478</v>
      </c>
      <c r="C6046" t="str">
        <f t="shared" si="2316"/>
        <v/>
      </c>
      <c r="D6046" t="str">
        <f t="shared" si="2317"/>
        <v>CAMP LEJEUNE</v>
      </c>
      <c r="E6046" t="str">
        <f t="shared" si="2318"/>
        <v>NC</v>
      </c>
      <c r="F6046" t="str">
        <f t="shared" si="2319"/>
        <v>285478478</v>
      </c>
      <c r="G6046" t="str">
        <f t="shared" si="2320"/>
        <v>PO BOX 8478</v>
      </c>
      <c r="H6046" t="str">
        <f t="shared" si="2321"/>
        <v/>
      </c>
      <c r="I6046" t="str">
        <f t="shared" si="2322"/>
        <v>CAMP LEJEUNE</v>
      </c>
      <c r="J6046" t="str">
        <f t="shared" si="2323"/>
        <v>NC</v>
      </c>
      <c r="K6046" t="str">
        <f t="shared" ref="K6046:K6051" si="2326">T("000000000000000000")</f>
        <v>000000000000000000</v>
      </c>
      <c r="L6046" t="str">
        <f>T("9046965247")</f>
        <v>9046965247</v>
      </c>
    </row>
    <row r="6047" spans="1:12" x14ac:dyDescent="0.35">
      <c r="A6047" t="str">
        <f t="shared" si="2325"/>
        <v>BLOUNT ISLAND</v>
      </c>
      <c r="B6047" t="str">
        <f t="shared" si="2315"/>
        <v>PO BOX 8478</v>
      </c>
      <c r="C6047" t="str">
        <f t="shared" si="2316"/>
        <v/>
      </c>
      <c r="D6047" t="str">
        <f t="shared" si="2317"/>
        <v>CAMP LEJEUNE</v>
      </c>
      <c r="E6047" t="str">
        <f t="shared" si="2318"/>
        <v>NC</v>
      </c>
      <c r="F6047" t="str">
        <f t="shared" si="2319"/>
        <v>285478478</v>
      </c>
      <c r="G6047" t="str">
        <f t="shared" si="2320"/>
        <v>PO BOX 8478</v>
      </c>
      <c r="H6047" t="str">
        <f t="shared" si="2321"/>
        <v/>
      </c>
      <c r="I6047" t="str">
        <f t="shared" si="2322"/>
        <v>CAMP LEJEUNE</v>
      </c>
      <c r="J6047" t="str">
        <f t="shared" si="2323"/>
        <v>NC</v>
      </c>
      <c r="K6047" t="str">
        <f t="shared" si="2326"/>
        <v>000000000000000000</v>
      </c>
      <c r="L6047" t="str">
        <f>T("9046965314")</f>
        <v>9046965314</v>
      </c>
    </row>
    <row r="6048" spans="1:12" x14ac:dyDescent="0.35">
      <c r="A6048" t="str">
        <f t="shared" si="2325"/>
        <v>BLOUNT ISLAND</v>
      </c>
      <c r="B6048" t="str">
        <f t="shared" si="2315"/>
        <v>PO BOX 8478</v>
      </c>
      <c r="C6048" t="str">
        <f t="shared" si="2316"/>
        <v/>
      </c>
      <c r="D6048" t="str">
        <f t="shared" si="2317"/>
        <v>CAMP LEJEUNE</v>
      </c>
      <c r="E6048" t="str">
        <f t="shared" si="2318"/>
        <v>NC</v>
      </c>
      <c r="F6048" t="str">
        <f t="shared" si="2319"/>
        <v>285478478</v>
      </c>
      <c r="G6048" t="str">
        <f t="shared" si="2320"/>
        <v>PO BOX 8478</v>
      </c>
      <c r="H6048" t="str">
        <f t="shared" si="2321"/>
        <v/>
      </c>
      <c r="I6048" t="str">
        <f t="shared" si="2322"/>
        <v>CAMP LEJEUNE</v>
      </c>
      <c r="J6048" t="str">
        <f t="shared" si="2323"/>
        <v>NC</v>
      </c>
      <c r="K6048" t="str">
        <f t="shared" si="2326"/>
        <v>000000000000000000</v>
      </c>
      <c r="L6048" t="str">
        <f>T("9046965624")</f>
        <v>9046965624</v>
      </c>
    </row>
    <row r="6049" spans="1:12" x14ac:dyDescent="0.35">
      <c r="A6049" t="str">
        <f t="shared" si="2325"/>
        <v>BLOUNT ISLAND</v>
      </c>
      <c r="B6049" t="str">
        <f t="shared" si="2315"/>
        <v>PO BOX 8478</v>
      </c>
      <c r="C6049" t="str">
        <f t="shared" si="2316"/>
        <v/>
      </c>
      <c r="D6049" t="str">
        <f t="shared" si="2317"/>
        <v>CAMP LEJEUNE</v>
      </c>
      <c r="E6049" t="str">
        <f t="shared" si="2318"/>
        <v>NC</v>
      </c>
      <c r="F6049" t="str">
        <f t="shared" si="2319"/>
        <v>285478478</v>
      </c>
      <c r="G6049" t="str">
        <f t="shared" si="2320"/>
        <v>PO BOX 8478</v>
      </c>
      <c r="H6049" t="str">
        <f t="shared" si="2321"/>
        <v/>
      </c>
      <c r="I6049" t="str">
        <f t="shared" si="2322"/>
        <v>CAMP LEJEUNE</v>
      </c>
      <c r="J6049" t="str">
        <f t="shared" si="2323"/>
        <v>NC</v>
      </c>
      <c r="K6049" t="str">
        <f t="shared" si="2326"/>
        <v>000000000000000000</v>
      </c>
      <c r="L6049" t="str">
        <f>T("9047146115")</f>
        <v>9047146115</v>
      </c>
    </row>
    <row r="6050" spans="1:12" x14ac:dyDescent="0.35">
      <c r="A6050" t="str">
        <f t="shared" si="2325"/>
        <v>BLOUNT ISLAND</v>
      </c>
      <c r="B6050" t="str">
        <f t="shared" si="2315"/>
        <v>PO BOX 8478</v>
      </c>
      <c r="C6050" t="str">
        <f t="shared" si="2316"/>
        <v/>
      </c>
      <c r="D6050" t="str">
        <f t="shared" si="2317"/>
        <v>CAMP LEJEUNE</v>
      </c>
      <c r="E6050" t="str">
        <f t="shared" si="2318"/>
        <v>NC</v>
      </c>
      <c r="F6050" t="str">
        <f t="shared" si="2319"/>
        <v>285478478</v>
      </c>
      <c r="G6050" t="str">
        <f t="shared" si="2320"/>
        <v>PO BOX 8478</v>
      </c>
      <c r="H6050" t="str">
        <f t="shared" si="2321"/>
        <v/>
      </c>
      <c r="I6050" t="str">
        <f t="shared" si="2322"/>
        <v>CAMP LEJEUNE</v>
      </c>
      <c r="J6050" t="str">
        <f t="shared" si="2323"/>
        <v>NC</v>
      </c>
      <c r="K6050" t="str">
        <f t="shared" si="2326"/>
        <v>000000000000000000</v>
      </c>
      <c r="L6050" t="str">
        <f>T("9047146223")</f>
        <v>9047146223</v>
      </c>
    </row>
    <row r="6051" spans="1:12" x14ac:dyDescent="0.35">
      <c r="A6051" t="str">
        <f t="shared" si="2325"/>
        <v>BLOUNT ISLAND</v>
      </c>
      <c r="B6051" t="str">
        <f t="shared" si="2315"/>
        <v>PO BOX 8478</v>
      </c>
      <c r="C6051" t="str">
        <f t="shared" si="2316"/>
        <v/>
      </c>
      <c r="D6051" t="str">
        <f t="shared" si="2317"/>
        <v>CAMP LEJEUNE</v>
      </c>
      <c r="E6051" t="str">
        <f t="shared" si="2318"/>
        <v>NC</v>
      </c>
      <c r="F6051" t="str">
        <f t="shared" si="2319"/>
        <v>285478478</v>
      </c>
      <c r="G6051" t="str">
        <f t="shared" si="2320"/>
        <v>PO BOX 8478</v>
      </c>
      <c r="H6051" t="str">
        <f>T("BLDG 1116")</f>
        <v>BLDG 1116</v>
      </c>
      <c r="I6051" t="str">
        <f t="shared" si="2322"/>
        <v>CAMP LEJEUNE</v>
      </c>
      <c r="J6051" t="str">
        <f t="shared" si="2323"/>
        <v>NC</v>
      </c>
      <c r="K6051" t="str">
        <f t="shared" si="2326"/>
        <v>000000000000000000</v>
      </c>
      <c r="L6051" t="str">
        <f>T("9046965140")</f>
        <v>9046965140</v>
      </c>
    </row>
    <row r="6052" spans="1:12" x14ac:dyDescent="0.35">
      <c r="A6052" t="str">
        <f t="shared" ref="A6052:A6078" si="2327">T("MARSOC CAMP LEJEUNE")</f>
        <v>MARSOC CAMP LEJEUNE</v>
      </c>
      <c r="B6052" t="str">
        <f t="shared" si="2315"/>
        <v>PO BOX 8478</v>
      </c>
      <c r="C6052" t="str">
        <f t="shared" si="2316"/>
        <v/>
      </c>
      <c r="D6052" t="str">
        <f t="shared" si="2317"/>
        <v>CAMP LEJEUNE</v>
      </c>
      <c r="E6052" t="str">
        <f t="shared" si="2318"/>
        <v>NC</v>
      </c>
      <c r="F6052" t="str">
        <f t="shared" si="2319"/>
        <v>285478478</v>
      </c>
      <c r="G6052" t="str">
        <f t="shared" si="2320"/>
        <v>PO BOX 8478</v>
      </c>
      <c r="H6052" t="str">
        <f t="shared" ref="H6052:H6082" si="2328">T("")</f>
        <v/>
      </c>
      <c r="I6052" t="str">
        <f t="shared" si="2322"/>
        <v>CAMP LEJEUNE</v>
      </c>
      <c r="J6052" t="str">
        <f t="shared" si="2323"/>
        <v>NC</v>
      </c>
      <c r="K6052" t="str">
        <f t="shared" ref="K6052:K6059" si="2329">T("")</f>
        <v/>
      </c>
      <c r="L6052" t="str">
        <f>T("7034328393")</f>
        <v>7034328393</v>
      </c>
    </row>
    <row r="6053" spans="1:12" x14ac:dyDescent="0.35">
      <c r="A6053" t="str">
        <f t="shared" si="2327"/>
        <v>MARSOC CAMP LEJEUNE</v>
      </c>
      <c r="B6053" t="str">
        <f t="shared" si="2315"/>
        <v>PO BOX 8478</v>
      </c>
      <c r="C6053" t="str">
        <f t="shared" si="2316"/>
        <v/>
      </c>
      <c r="D6053" t="str">
        <f t="shared" si="2317"/>
        <v>CAMP LEJEUNE</v>
      </c>
      <c r="E6053" t="str">
        <f t="shared" si="2318"/>
        <v>NC</v>
      </c>
      <c r="F6053" t="str">
        <f t="shared" si="2319"/>
        <v>285478478</v>
      </c>
      <c r="G6053" t="str">
        <f t="shared" si="2320"/>
        <v>PO BOX 8478</v>
      </c>
      <c r="H6053" t="str">
        <f t="shared" si="2328"/>
        <v/>
      </c>
      <c r="I6053" t="str">
        <f t="shared" si="2322"/>
        <v>CAMP LEJEUNE</v>
      </c>
      <c r="J6053" t="str">
        <f t="shared" si="2323"/>
        <v>NC</v>
      </c>
      <c r="K6053" t="str">
        <f t="shared" si="2329"/>
        <v/>
      </c>
      <c r="L6053" t="str">
        <f>T("9104400076")</f>
        <v>9104400076</v>
      </c>
    </row>
    <row r="6054" spans="1:12" x14ac:dyDescent="0.35">
      <c r="A6054" t="str">
        <f t="shared" si="2327"/>
        <v>MARSOC CAMP LEJEUNE</v>
      </c>
      <c r="B6054" t="str">
        <f t="shared" si="2315"/>
        <v>PO BOX 8478</v>
      </c>
      <c r="C6054" t="str">
        <f t="shared" si="2316"/>
        <v/>
      </c>
      <c r="D6054" t="str">
        <f t="shared" si="2317"/>
        <v>CAMP LEJEUNE</v>
      </c>
      <c r="E6054" t="str">
        <f t="shared" si="2318"/>
        <v>NC</v>
      </c>
      <c r="F6054" t="str">
        <f t="shared" si="2319"/>
        <v>285478478</v>
      </c>
      <c r="G6054" t="str">
        <f t="shared" si="2320"/>
        <v>PO BOX 8478</v>
      </c>
      <c r="H6054" t="str">
        <f t="shared" si="2328"/>
        <v/>
      </c>
      <c r="I6054" t="str">
        <f t="shared" si="2322"/>
        <v>CAMP LEJEUNE</v>
      </c>
      <c r="J6054" t="str">
        <f t="shared" si="2323"/>
        <v>NC</v>
      </c>
      <c r="K6054" t="str">
        <f t="shared" si="2329"/>
        <v/>
      </c>
      <c r="L6054" t="str">
        <f>T("9104400374")</f>
        <v>9104400374</v>
      </c>
    </row>
    <row r="6055" spans="1:12" x14ac:dyDescent="0.35">
      <c r="A6055" t="str">
        <f t="shared" si="2327"/>
        <v>MARSOC CAMP LEJEUNE</v>
      </c>
      <c r="B6055" t="str">
        <f t="shared" si="2315"/>
        <v>PO BOX 8478</v>
      </c>
      <c r="C6055" t="str">
        <f t="shared" si="2316"/>
        <v/>
      </c>
      <c r="D6055" t="str">
        <f t="shared" si="2317"/>
        <v>CAMP LEJEUNE</v>
      </c>
      <c r="E6055" t="str">
        <f t="shared" si="2318"/>
        <v>NC</v>
      </c>
      <c r="F6055" t="str">
        <f t="shared" si="2319"/>
        <v>285478478</v>
      </c>
      <c r="G6055" t="str">
        <f t="shared" si="2320"/>
        <v>PO BOX 8478</v>
      </c>
      <c r="H6055" t="str">
        <f t="shared" si="2328"/>
        <v/>
      </c>
      <c r="I6055" t="str">
        <f t="shared" si="2322"/>
        <v>CAMP LEJEUNE</v>
      </c>
      <c r="J6055" t="str">
        <f t="shared" si="2323"/>
        <v>NC</v>
      </c>
      <c r="K6055" t="str">
        <f t="shared" si="2329"/>
        <v/>
      </c>
      <c r="L6055" t="str">
        <f>T("9104400413")</f>
        <v>9104400413</v>
      </c>
    </row>
    <row r="6056" spans="1:12" x14ac:dyDescent="0.35">
      <c r="A6056" t="str">
        <f t="shared" si="2327"/>
        <v>MARSOC CAMP LEJEUNE</v>
      </c>
      <c r="B6056" t="str">
        <f t="shared" si="2315"/>
        <v>PO BOX 8478</v>
      </c>
      <c r="C6056" t="str">
        <f t="shared" si="2316"/>
        <v/>
      </c>
      <c r="D6056" t="str">
        <f t="shared" si="2317"/>
        <v>CAMP LEJEUNE</v>
      </c>
      <c r="E6056" t="str">
        <f t="shared" si="2318"/>
        <v>NC</v>
      </c>
      <c r="F6056" t="str">
        <f t="shared" si="2319"/>
        <v>285478478</v>
      </c>
      <c r="G6056" t="str">
        <f t="shared" si="2320"/>
        <v>PO BOX 8478</v>
      </c>
      <c r="H6056" t="str">
        <f t="shared" si="2328"/>
        <v/>
      </c>
      <c r="I6056" t="str">
        <f t="shared" si="2322"/>
        <v>CAMP LEJEUNE</v>
      </c>
      <c r="J6056" t="str">
        <f t="shared" si="2323"/>
        <v>NC</v>
      </c>
      <c r="K6056" t="str">
        <f t="shared" si="2329"/>
        <v/>
      </c>
      <c r="L6056" t="str">
        <f>T("9104400414")</f>
        <v>9104400414</v>
      </c>
    </row>
    <row r="6057" spans="1:12" x14ac:dyDescent="0.35">
      <c r="A6057" t="str">
        <f t="shared" si="2327"/>
        <v>MARSOC CAMP LEJEUNE</v>
      </c>
      <c r="B6057" t="str">
        <f t="shared" si="2315"/>
        <v>PO BOX 8478</v>
      </c>
      <c r="C6057" t="str">
        <f t="shared" si="2316"/>
        <v/>
      </c>
      <c r="D6057" t="str">
        <f t="shared" si="2317"/>
        <v>CAMP LEJEUNE</v>
      </c>
      <c r="E6057" t="str">
        <f t="shared" si="2318"/>
        <v>NC</v>
      </c>
      <c r="F6057" t="str">
        <f t="shared" si="2319"/>
        <v>285478478</v>
      </c>
      <c r="G6057" t="str">
        <f t="shared" si="2320"/>
        <v>PO BOX 8478</v>
      </c>
      <c r="H6057" t="str">
        <f t="shared" si="2328"/>
        <v/>
      </c>
      <c r="I6057" t="str">
        <f t="shared" si="2322"/>
        <v>CAMP LEJEUNE</v>
      </c>
      <c r="J6057" t="str">
        <f t="shared" si="2323"/>
        <v>NC</v>
      </c>
      <c r="K6057" t="str">
        <f t="shared" si="2329"/>
        <v/>
      </c>
      <c r="L6057" t="str">
        <f>T("9104401540")</f>
        <v>9104401540</v>
      </c>
    </row>
    <row r="6058" spans="1:12" x14ac:dyDescent="0.35">
      <c r="A6058" t="str">
        <f t="shared" si="2327"/>
        <v>MARSOC CAMP LEJEUNE</v>
      </c>
      <c r="B6058" t="str">
        <f t="shared" si="2315"/>
        <v>PO BOX 8478</v>
      </c>
      <c r="C6058" t="str">
        <f t="shared" si="2316"/>
        <v/>
      </c>
      <c r="D6058" t="str">
        <f t="shared" si="2317"/>
        <v>CAMP LEJEUNE</v>
      </c>
      <c r="E6058" t="str">
        <f t="shared" si="2318"/>
        <v>NC</v>
      </c>
      <c r="F6058" t="str">
        <f t="shared" si="2319"/>
        <v>285478478</v>
      </c>
      <c r="G6058" t="str">
        <f t="shared" si="2320"/>
        <v>PO BOX 8478</v>
      </c>
      <c r="H6058" t="str">
        <f t="shared" si="2328"/>
        <v/>
      </c>
      <c r="I6058" t="str">
        <f t="shared" si="2322"/>
        <v>CAMP LEJEUNE</v>
      </c>
      <c r="J6058" t="str">
        <f t="shared" si="2323"/>
        <v>NC</v>
      </c>
      <c r="K6058" t="str">
        <f t="shared" si="2329"/>
        <v/>
      </c>
      <c r="L6058" t="str">
        <f>T("9104407855")</f>
        <v>9104407855</v>
      </c>
    </row>
    <row r="6059" spans="1:12" x14ac:dyDescent="0.35">
      <c r="A6059" t="str">
        <f t="shared" si="2327"/>
        <v>MARSOC CAMP LEJEUNE</v>
      </c>
      <c r="B6059" t="str">
        <f t="shared" si="2315"/>
        <v>PO BOX 8478</v>
      </c>
      <c r="C6059" t="str">
        <f t="shared" si="2316"/>
        <v/>
      </c>
      <c r="D6059" t="str">
        <f t="shared" si="2317"/>
        <v>CAMP LEJEUNE</v>
      </c>
      <c r="E6059" t="str">
        <f t="shared" si="2318"/>
        <v>NC</v>
      </c>
      <c r="F6059" t="str">
        <f t="shared" si="2319"/>
        <v>285478478</v>
      </c>
      <c r="G6059" t="str">
        <f t="shared" si="2320"/>
        <v>PO BOX 8478</v>
      </c>
      <c r="H6059" t="str">
        <f t="shared" si="2328"/>
        <v/>
      </c>
      <c r="I6059" t="str">
        <f t="shared" si="2322"/>
        <v>CAMP LEJEUNE</v>
      </c>
      <c r="J6059" t="str">
        <f t="shared" si="2323"/>
        <v>NC</v>
      </c>
      <c r="K6059" t="str">
        <f t="shared" si="2329"/>
        <v/>
      </c>
      <c r="L6059" t="str">
        <f>T("9104516828")</f>
        <v>9104516828</v>
      </c>
    </row>
    <row r="6060" spans="1:12" x14ac:dyDescent="0.35">
      <c r="A6060" t="str">
        <f t="shared" si="2327"/>
        <v>MARSOC CAMP LEJEUNE</v>
      </c>
      <c r="B6060" t="str">
        <f t="shared" si="2315"/>
        <v>PO BOX 8478</v>
      </c>
      <c r="C6060" t="str">
        <f t="shared" si="2316"/>
        <v/>
      </c>
      <c r="D6060" t="str">
        <f t="shared" si="2317"/>
        <v>CAMP LEJEUNE</v>
      </c>
      <c r="E6060" t="str">
        <f t="shared" si="2318"/>
        <v>NC</v>
      </c>
      <c r="F6060" t="str">
        <f t="shared" si="2319"/>
        <v>285478478</v>
      </c>
      <c r="G6060" t="str">
        <f t="shared" si="2320"/>
        <v>PO BOX 8478</v>
      </c>
      <c r="H6060" t="str">
        <f t="shared" si="2328"/>
        <v/>
      </c>
      <c r="I6060" t="str">
        <f t="shared" si="2322"/>
        <v>CAMP LEJEUNE</v>
      </c>
      <c r="J6060" t="str">
        <f t="shared" si="2323"/>
        <v>NC</v>
      </c>
      <c r="K6060" t="str">
        <f t="shared" ref="K6060:K6078" si="2330">T("000000000000000000")</f>
        <v>000000000000000000</v>
      </c>
      <c r="L6060" t="str">
        <f>T("9104400077")</f>
        <v>9104400077</v>
      </c>
    </row>
    <row r="6061" spans="1:12" x14ac:dyDescent="0.35">
      <c r="A6061" t="str">
        <f t="shared" si="2327"/>
        <v>MARSOC CAMP LEJEUNE</v>
      </c>
      <c r="B6061" t="str">
        <f t="shared" si="2315"/>
        <v>PO BOX 8478</v>
      </c>
      <c r="C6061" t="str">
        <f t="shared" si="2316"/>
        <v/>
      </c>
      <c r="D6061" t="str">
        <f t="shared" si="2317"/>
        <v>CAMP LEJEUNE</v>
      </c>
      <c r="E6061" t="str">
        <f t="shared" si="2318"/>
        <v>NC</v>
      </c>
      <c r="F6061" t="str">
        <f t="shared" si="2319"/>
        <v>285478478</v>
      </c>
      <c r="G6061" t="str">
        <f t="shared" si="2320"/>
        <v>PO BOX 8478</v>
      </c>
      <c r="H6061" t="str">
        <f t="shared" si="2328"/>
        <v/>
      </c>
      <c r="I6061" t="str">
        <f t="shared" si="2322"/>
        <v>CAMP LEJEUNE</v>
      </c>
      <c r="J6061" t="str">
        <f t="shared" si="2323"/>
        <v>NC</v>
      </c>
      <c r="K6061" t="str">
        <f t="shared" si="2330"/>
        <v>000000000000000000</v>
      </c>
      <c r="L6061" t="str">
        <f>T("9104400374")</f>
        <v>9104400374</v>
      </c>
    </row>
    <row r="6062" spans="1:12" x14ac:dyDescent="0.35">
      <c r="A6062" t="str">
        <f t="shared" si="2327"/>
        <v>MARSOC CAMP LEJEUNE</v>
      </c>
      <c r="B6062" t="str">
        <f t="shared" si="2315"/>
        <v>PO BOX 8478</v>
      </c>
      <c r="C6062" t="str">
        <f t="shared" si="2316"/>
        <v/>
      </c>
      <c r="D6062" t="str">
        <f t="shared" si="2317"/>
        <v>CAMP LEJEUNE</v>
      </c>
      <c r="E6062" t="str">
        <f t="shared" si="2318"/>
        <v>NC</v>
      </c>
      <c r="F6062" t="str">
        <f t="shared" si="2319"/>
        <v>285478478</v>
      </c>
      <c r="G6062" t="str">
        <f t="shared" si="2320"/>
        <v>PO BOX 8478</v>
      </c>
      <c r="H6062" t="str">
        <f t="shared" si="2328"/>
        <v/>
      </c>
      <c r="I6062" t="str">
        <f t="shared" si="2322"/>
        <v>CAMP LEJEUNE</v>
      </c>
      <c r="J6062" t="str">
        <f t="shared" si="2323"/>
        <v>NC</v>
      </c>
      <c r="K6062" t="str">
        <f t="shared" si="2330"/>
        <v>000000000000000000</v>
      </c>
      <c r="L6062" t="str">
        <f>T("9104400416")</f>
        <v>9104400416</v>
      </c>
    </row>
    <row r="6063" spans="1:12" x14ac:dyDescent="0.35">
      <c r="A6063" t="str">
        <f t="shared" si="2327"/>
        <v>MARSOC CAMP LEJEUNE</v>
      </c>
      <c r="B6063" t="str">
        <f t="shared" si="2315"/>
        <v>PO BOX 8478</v>
      </c>
      <c r="C6063" t="str">
        <f t="shared" si="2316"/>
        <v/>
      </c>
      <c r="D6063" t="str">
        <f t="shared" si="2317"/>
        <v>CAMP LEJEUNE</v>
      </c>
      <c r="E6063" t="str">
        <f t="shared" si="2318"/>
        <v>NC</v>
      </c>
      <c r="F6063" t="str">
        <f t="shared" si="2319"/>
        <v>285478478</v>
      </c>
      <c r="G6063" t="str">
        <f t="shared" si="2320"/>
        <v>PO BOX 8478</v>
      </c>
      <c r="H6063" t="str">
        <f t="shared" si="2328"/>
        <v/>
      </c>
      <c r="I6063" t="str">
        <f t="shared" si="2322"/>
        <v>CAMP LEJEUNE</v>
      </c>
      <c r="J6063" t="str">
        <f t="shared" si="2323"/>
        <v>NC</v>
      </c>
      <c r="K6063" t="str">
        <f t="shared" si="2330"/>
        <v>000000000000000000</v>
      </c>
      <c r="L6063" t="str">
        <f>T("9104400418")</f>
        <v>9104400418</v>
      </c>
    </row>
    <row r="6064" spans="1:12" x14ac:dyDescent="0.35">
      <c r="A6064" t="str">
        <f t="shared" si="2327"/>
        <v>MARSOC CAMP LEJEUNE</v>
      </c>
      <c r="B6064" t="str">
        <f t="shared" si="2315"/>
        <v>PO BOX 8478</v>
      </c>
      <c r="C6064" t="str">
        <f t="shared" si="2316"/>
        <v/>
      </c>
      <c r="D6064" t="str">
        <f t="shared" si="2317"/>
        <v>CAMP LEJEUNE</v>
      </c>
      <c r="E6064" t="str">
        <f t="shared" si="2318"/>
        <v>NC</v>
      </c>
      <c r="F6064" t="str">
        <f t="shared" si="2319"/>
        <v>285478478</v>
      </c>
      <c r="G6064" t="str">
        <f t="shared" si="2320"/>
        <v>PO BOX 8478</v>
      </c>
      <c r="H6064" t="str">
        <f t="shared" si="2328"/>
        <v/>
      </c>
      <c r="I6064" t="str">
        <f t="shared" si="2322"/>
        <v>CAMP LEJEUNE</v>
      </c>
      <c r="J6064" t="str">
        <f t="shared" si="2323"/>
        <v>NC</v>
      </c>
      <c r="K6064" t="str">
        <f t="shared" si="2330"/>
        <v>000000000000000000</v>
      </c>
      <c r="L6064" t="str">
        <f>T("9104400439")</f>
        <v>9104400439</v>
      </c>
    </row>
    <row r="6065" spans="1:12" x14ac:dyDescent="0.35">
      <c r="A6065" t="str">
        <f t="shared" si="2327"/>
        <v>MARSOC CAMP LEJEUNE</v>
      </c>
      <c r="B6065" t="str">
        <f t="shared" si="2315"/>
        <v>PO BOX 8478</v>
      </c>
      <c r="C6065" t="str">
        <f t="shared" si="2316"/>
        <v/>
      </c>
      <c r="D6065" t="str">
        <f t="shared" si="2317"/>
        <v>CAMP LEJEUNE</v>
      </c>
      <c r="E6065" t="str">
        <f t="shared" si="2318"/>
        <v>NC</v>
      </c>
      <c r="F6065" t="str">
        <f t="shared" si="2319"/>
        <v>285478478</v>
      </c>
      <c r="G6065" t="str">
        <f t="shared" si="2320"/>
        <v>PO BOX 8478</v>
      </c>
      <c r="H6065" t="str">
        <f t="shared" si="2328"/>
        <v/>
      </c>
      <c r="I6065" t="str">
        <f t="shared" si="2322"/>
        <v>CAMP LEJEUNE</v>
      </c>
      <c r="J6065" t="str">
        <f t="shared" si="2323"/>
        <v>NC</v>
      </c>
      <c r="K6065" t="str">
        <f t="shared" si="2330"/>
        <v>000000000000000000</v>
      </c>
      <c r="L6065" t="str">
        <f>T("9104400441")</f>
        <v>9104400441</v>
      </c>
    </row>
    <row r="6066" spans="1:12" x14ac:dyDescent="0.35">
      <c r="A6066" t="str">
        <f t="shared" si="2327"/>
        <v>MARSOC CAMP LEJEUNE</v>
      </c>
      <c r="B6066" t="str">
        <f t="shared" ref="B6066:B6082" si="2331">T("PO BOX 8478")</f>
        <v>PO BOX 8478</v>
      </c>
      <c r="C6066" t="str">
        <f t="shared" ref="C6066:C6082" si="2332">T("")</f>
        <v/>
      </c>
      <c r="D6066" t="str">
        <f t="shared" ref="D6066:D6082" si="2333">T("CAMP LEJEUNE")</f>
        <v>CAMP LEJEUNE</v>
      </c>
      <c r="E6066" t="str">
        <f t="shared" ref="E6066:E6084" si="2334">T("NC")</f>
        <v>NC</v>
      </c>
      <c r="F6066" t="str">
        <f t="shared" ref="F6066:F6082" si="2335">T("285478478")</f>
        <v>285478478</v>
      </c>
      <c r="G6066" t="str">
        <f t="shared" ref="G6066:G6082" si="2336">T("PO BOX 8478")</f>
        <v>PO BOX 8478</v>
      </c>
      <c r="H6066" t="str">
        <f t="shared" si="2328"/>
        <v/>
      </c>
      <c r="I6066" t="str">
        <f t="shared" ref="I6066:I6082" si="2337">T("CAMP LEJEUNE")</f>
        <v>CAMP LEJEUNE</v>
      </c>
      <c r="J6066" t="str">
        <f t="shared" ref="J6066:J6084" si="2338">T("NC")</f>
        <v>NC</v>
      </c>
      <c r="K6066" t="str">
        <f t="shared" si="2330"/>
        <v>000000000000000000</v>
      </c>
      <c r="L6066" t="str">
        <f>T("9104400452")</f>
        <v>9104400452</v>
      </c>
    </row>
    <row r="6067" spans="1:12" x14ac:dyDescent="0.35">
      <c r="A6067" t="str">
        <f t="shared" si="2327"/>
        <v>MARSOC CAMP LEJEUNE</v>
      </c>
      <c r="B6067" t="str">
        <f t="shared" si="2331"/>
        <v>PO BOX 8478</v>
      </c>
      <c r="C6067" t="str">
        <f t="shared" si="2332"/>
        <v/>
      </c>
      <c r="D6067" t="str">
        <f t="shared" si="2333"/>
        <v>CAMP LEJEUNE</v>
      </c>
      <c r="E6067" t="str">
        <f t="shared" si="2334"/>
        <v>NC</v>
      </c>
      <c r="F6067" t="str">
        <f t="shared" si="2335"/>
        <v>285478478</v>
      </c>
      <c r="G6067" t="str">
        <f t="shared" si="2336"/>
        <v>PO BOX 8478</v>
      </c>
      <c r="H6067" t="str">
        <f t="shared" si="2328"/>
        <v/>
      </c>
      <c r="I6067" t="str">
        <f t="shared" si="2337"/>
        <v>CAMP LEJEUNE</v>
      </c>
      <c r="J6067" t="str">
        <f t="shared" si="2338"/>
        <v>NC</v>
      </c>
      <c r="K6067" t="str">
        <f t="shared" si="2330"/>
        <v>000000000000000000</v>
      </c>
      <c r="L6067" t="str">
        <f>T("9104400453")</f>
        <v>9104400453</v>
      </c>
    </row>
    <row r="6068" spans="1:12" x14ac:dyDescent="0.35">
      <c r="A6068" t="str">
        <f t="shared" si="2327"/>
        <v>MARSOC CAMP LEJEUNE</v>
      </c>
      <c r="B6068" t="str">
        <f t="shared" si="2331"/>
        <v>PO BOX 8478</v>
      </c>
      <c r="C6068" t="str">
        <f t="shared" si="2332"/>
        <v/>
      </c>
      <c r="D6068" t="str">
        <f t="shared" si="2333"/>
        <v>CAMP LEJEUNE</v>
      </c>
      <c r="E6068" t="str">
        <f t="shared" si="2334"/>
        <v>NC</v>
      </c>
      <c r="F6068" t="str">
        <f t="shared" si="2335"/>
        <v>285478478</v>
      </c>
      <c r="G6068" t="str">
        <f t="shared" si="2336"/>
        <v>PO BOX 8478</v>
      </c>
      <c r="H6068" t="str">
        <f t="shared" si="2328"/>
        <v/>
      </c>
      <c r="I6068" t="str">
        <f t="shared" si="2337"/>
        <v>CAMP LEJEUNE</v>
      </c>
      <c r="J6068" t="str">
        <f t="shared" si="2338"/>
        <v>NC</v>
      </c>
      <c r="K6068" t="str">
        <f t="shared" si="2330"/>
        <v>000000000000000000</v>
      </c>
      <c r="L6068" t="str">
        <f>T("9104400454")</f>
        <v>9104400454</v>
      </c>
    </row>
    <row r="6069" spans="1:12" x14ac:dyDescent="0.35">
      <c r="A6069" t="str">
        <f t="shared" si="2327"/>
        <v>MARSOC CAMP LEJEUNE</v>
      </c>
      <c r="B6069" t="str">
        <f t="shared" si="2331"/>
        <v>PO BOX 8478</v>
      </c>
      <c r="C6069" t="str">
        <f t="shared" si="2332"/>
        <v/>
      </c>
      <c r="D6069" t="str">
        <f t="shared" si="2333"/>
        <v>CAMP LEJEUNE</v>
      </c>
      <c r="E6069" t="str">
        <f t="shared" si="2334"/>
        <v>NC</v>
      </c>
      <c r="F6069" t="str">
        <f t="shared" si="2335"/>
        <v>285478478</v>
      </c>
      <c r="G6069" t="str">
        <f t="shared" si="2336"/>
        <v>PO BOX 8478</v>
      </c>
      <c r="H6069" t="str">
        <f t="shared" si="2328"/>
        <v/>
      </c>
      <c r="I6069" t="str">
        <f t="shared" si="2337"/>
        <v>CAMP LEJEUNE</v>
      </c>
      <c r="J6069" t="str">
        <f t="shared" si="2338"/>
        <v>NC</v>
      </c>
      <c r="K6069" t="str">
        <f t="shared" si="2330"/>
        <v>000000000000000000</v>
      </c>
      <c r="L6069" t="str">
        <f>T("9104400896")</f>
        <v>9104400896</v>
      </c>
    </row>
    <row r="6070" spans="1:12" x14ac:dyDescent="0.35">
      <c r="A6070" t="str">
        <f t="shared" si="2327"/>
        <v>MARSOC CAMP LEJEUNE</v>
      </c>
      <c r="B6070" t="str">
        <f t="shared" si="2331"/>
        <v>PO BOX 8478</v>
      </c>
      <c r="C6070" t="str">
        <f t="shared" si="2332"/>
        <v/>
      </c>
      <c r="D6070" t="str">
        <f t="shared" si="2333"/>
        <v>CAMP LEJEUNE</v>
      </c>
      <c r="E6070" t="str">
        <f t="shared" si="2334"/>
        <v>NC</v>
      </c>
      <c r="F6070" t="str">
        <f t="shared" si="2335"/>
        <v>285478478</v>
      </c>
      <c r="G6070" t="str">
        <f t="shared" si="2336"/>
        <v>PO BOX 8478</v>
      </c>
      <c r="H6070" t="str">
        <f t="shared" si="2328"/>
        <v/>
      </c>
      <c r="I6070" t="str">
        <f t="shared" si="2337"/>
        <v>CAMP LEJEUNE</v>
      </c>
      <c r="J6070" t="str">
        <f t="shared" si="2338"/>
        <v>NC</v>
      </c>
      <c r="K6070" t="str">
        <f t="shared" si="2330"/>
        <v>000000000000000000</v>
      </c>
      <c r="L6070" t="str">
        <f>T("9104401038")</f>
        <v>9104401038</v>
      </c>
    </row>
    <row r="6071" spans="1:12" x14ac:dyDescent="0.35">
      <c r="A6071" t="str">
        <f t="shared" si="2327"/>
        <v>MARSOC CAMP LEJEUNE</v>
      </c>
      <c r="B6071" t="str">
        <f t="shared" si="2331"/>
        <v>PO BOX 8478</v>
      </c>
      <c r="C6071" t="str">
        <f t="shared" si="2332"/>
        <v/>
      </c>
      <c r="D6071" t="str">
        <f t="shared" si="2333"/>
        <v>CAMP LEJEUNE</v>
      </c>
      <c r="E6071" t="str">
        <f t="shared" si="2334"/>
        <v>NC</v>
      </c>
      <c r="F6071" t="str">
        <f t="shared" si="2335"/>
        <v>285478478</v>
      </c>
      <c r="G6071" t="str">
        <f t="shared" si="2336"/>
        <v>PO BOX 8478</v>
      </c>
      <c r="H6071" t="str">
        <f t="shared" si="2328"/>
        <v/>
      </c>
      <c r="I6071" t="str">
        <f t="shared" si="2337"/>
        <v>CAMP LEJEUNE</v>
      </c>
      <c r="J6071" t="str">
        <f t="shared" si="2338"/>
        <v>NC</v>
      </c>
      <c r="K6071" t="str">
        <f t="shared" si="2330"/>
        <v>000000000000000000</v>
      </c>
      <c r="L6071" t="str">
        <f>T("9104401540")</f>
        <v>9104401540</v>
      </c>
    </row>
    <row r="6072" spans="1:12" x14ac:dyDescent="0.35">
      <c r="A6072" t="str">
        <f t="shared" si="2327"/>
        <v>MARSOC CAMP LEJEUNE</v>
      </c>
      <c r="B6072" t="str">
        <f t="shared" si="2331"/>
        <v>PO BOX 8478</v>
      </c>
      <c r="C6072" t="str">
        <f t="shared" si="2332"/>
        <v/>
      </c>
      <c r="D6072" t="str">
        <f t="shared" si="2333"/>
        <v>CAMP LEJEUNE</v>
      </c>
      <c r="E6072" t="str">
        <f t="shared" si="2334"/>
        <v>NC</v>
      </c>
      <c r="F6072" t="str">
        <f t="shared" si="2335"/>
        <v>285478478</v>
      </c>
      <c r="G6072" t="str">
        <f t="shared" si="2336"/>
        <v>PO BOX 8478</v>
      </c>
      <c r="H6072" t="str">
        <f t="shared" si="2328"/>
        <v/>
      </c>
      <c r="I6072" t="str">
        <f t="shared" si="2337"/>
        <v>CAMP LEJEUNE</v>
      </c>
      <c r="J6072" t="str">
        <f t="shared" si="2338"/>
        <v>NC</v>
      </c>
      <c r="K6072" t="str">
        <f t="shared" si="2330"/>
        <v>000000000000000000</v>
      </c>
      <c r="L6072" t="str">
        <f>T("9104401542")</f>
        <v>9104401542</v>
      </c>
    </row>
    <row r="6073" spans="1:12" x14ac:dyDescent="0.35">
      <c r="A6073" t="str">
        <f t="shared" si="2327"/>
        <v>MARSOC CAMP LEJEUNE</v>
      </c>
      <c r="B6073" t="str">
        <f t="shared" si="2331"/>
        <v>PO BOX 8478</v>
      </c>
      <c r="C6073" t="str">
        <f t="shared" si="2332"/>
        <v/>
      </c>
      <c r="D6073" t="str">
        <f t="shared" si="2333"/>
        <v>CAMP LEJEUNE</v>
      </c>
      <c r="E6073" t="str">
        <f t="shared" si="2334"/>
        <v>NC</v>
      </c>
      <c r="F6073" t="str">
        <f t="shared" si="2335"/>
        <v>285478478</v>
      </c>
      <c r="G6073" t="str">
        <f t="shared" si="2336"/>
        <v>PO BOX 8478</v>
      </c>
      <c r="H6073" t="str">
        <f t="shared" si="2328"/>
        <v/>
      </c>
      <c r="I6073" t="str">
        <f t="shared" si="2337"/>
        <v>CAMP LEJEUNE</v>
      </c>
      <c r="J6073" t="str">
        <f t="shared" si="2338"/>
        <v>NC</v>
      </c>
      <c r="K6073" t="str">
        <f t="shared" si="2330"/>
        <v>000000000000000000</v>
      </c>
      <c r="L6073" t="str">
        <f>T("9104401620")</f>
        <v>9104401620</v>
      </c>
    </row>
    <row r="6074" spans="1:12" x14ac:dyDescent="0.35">
      <c r="A6074" t="str">
        <f t="shared" si="2327"/>
        <v>MARSOC CAMP LEJEUNE</v>
      </c>
      <c r="B6074" t="str">
        <f t="shared" si="2331"/>
        <v>PO BOX 8478</v>
      </c>
      <c r="C6074" t="str">
        <f t="shared" si="2332"/>
        <v/>
      </c>
      <c r="D6074" t="str">
        <f t="shared" si="2333"/>
        <v>CAMP LEJEUNE</v>
      </c>
      <c r="E6074" t="str">
        <f t="shared" si="2334"/>
        <v>NC</v>
      </c>
      <c r="F6074" t="str">
        <f t="shared" si="2335"/>
        <v>285478478</v>
      </c>
      <c r="G6074" t="str">
        <f t="shared" si="2336"/>
        <v>PO BOX 8478</v>
      </c>
      <c r="H6074" t="str">
        <f t="shared" si="2328"/>
        <v/>
      </c>
      <c r="I6074" t="str">
        <f t="shared" si="2337"/>
        <v>CAMP LEJEUNE</v>
      </c>
      <c r="J6074" t="str">
        <f t="shared" si="2338"/>
        <v>NC</v>
      </c>
      <c r="K6074" t="str">
        <f t="shared" si="2330"/>
        <v>000000000000000000</v>
      </c>
      <c r="L6074" t="str">
        <f>T("9104401869")</f>
        <v>9104401869</v>
      </c>
    </row>
    <row r="6075" spans="1:12" x14ac:dyDescent="0.35">
      <c r="A6075" t="str">
        <f t="shared" si="2327"/>
        <v>MARSOC CAMP LEJEUNE</v>
      </c>
      <c r="B6075" t="str">
        <f t="shared" si="2331"/>
        <v>PO BOX 8478</v>
      </c>
      <c r="C6075" t="str">
        <f t="shared" si="2332"/>
        <v/>
      </c>
      <c r="D6075" t="str">
        <f t="shared" si="2333"/>
        <v>CAMP LEJEUNE</v>
      </c>
      <c r="E6075" t="str">
        <f t="shared" si="2334"/>
        <v>NC</v>
      </c>
      <c r="F6075" t="str">
        <f t="shared" si="2335"/>
        <v>285478478</v>
      </c>
      <c r="G6075" t="str">
        <f t="shared" si="2336"/>
        <v>PO BOX 8478</v>
      </c>
      <c r="H6075" t="str">
        <f t="shared" si="2328"/>
        <v/>
      </c>
      <c r="I6075" t="str">
        <f t="shared" si="2337"/>
        <v>CAMP LEJEUNE</v>
      </c>
      <c r="J6075" t="str">
        <f t="shared" si="2338"/>
        <v>NC</v>
      </c>
      <c r="K6075" t="str">
        <f t="shared" si="2330"/>
        <v>000000000000000000</v>
      </c>
      <c r="L6075" t="str">
        <f>T("9104407929")</f>
        <v>9104407929</v>
      </c>
    </row>
    <row r="6076" spans="1:12" x14ac:dyDescent="0.35">
      <c r="A6076" t="str">
        <f t="shared" si="2327"/>
        <v>MARSOC CAMP LEJEUNE</v>
      </c>
      <c r="B6076" t="str">
        <f t="shared" si="2331"/>
        <v>PO BOX 8478</v>
      </c>
      <c r="C6076" t="str">
        <f t="shared" si="2332"/>
        <v/>
      </c>
      <c r="D6076" t="str">
        <f t="shared" si="2333"/>
        <v>CAMP LEJEUNE</v>
      </c>
      <c r="E6076" t="str">
        <f t="shared" si="2334"/>
        <v>NC</v>
      </c>
      <c r="F6076" t="str">
        <f t="shared" si="2335"/>
        <v>285478478</v>
      </c>
      <c r="G6076" t="str">
        <f t="shared" si="2336"/>
        <v>PO BOX 8478</v>
      </c>
      <c r="H6076" t="str">
        <f t="shared" si="2328"/>
        <v/>
      </c>
      <c r="I6076" t="str">
        <f t="shared" si="2337"/>
        <v>CAMP LEJEUNE</v>
      </c>
      <c r="J6076" t="str">
        <f t="shared" si="2338"/>
        <v>NC</v>
      </c>
      <c r="K6076" t="str">
        <f t="shared" si="2330"/>
        <v>000000000000000000</v>
      </c>
      <c r="L6076" t="str">
        <f>T("9104498183")</f>
        <v>9104498183</v>
      </c>
    </row>
    <row r="6077" spans="1:12" x14ac:dyDescent="0.35">
      <c r="A6077" t="str">
        <f t="shared" si="2327"/>
        <v>MARSOC CAMP LEJEUNE</v>
      </c>
      <c r="B6077" t="str">
        <f t="shared" si="2331"/>
        <v>PO BOX 8478</v>
      </c>
      <c r="C6077" t="str">
        <f t="shared" si="2332"/>
        <v/>
      </c>
      <c r="D6077" t="str">
        <f t="shared" si="2333"/>
        <v>CAMP LEJEUNE</v>
      </c>
      <c r="E6077" t="str">
        <f t="shared" si="2334"/>
        <v>NC</v>
      </c>
      <c r="F6077" t="str">
        <f t="shared" si="2335"/>
        <v>285478478</v>
      </c>
      <c r="G6077" t="str">
        <f t="shared" si="2336"/>
        <v>PO BOX 8478</v>
      </c>
      <c r="H6077" t="str">
        <f t="shared" si="2328"/>
        <v/>
      </c>
      <c r="I6077" t="str">
        <f t="shared" si="2337"/>
        <v>CAMP LEJEUNE</v>
      </c>
      <c r="J6077" t="str">
        <f t="shared" si="2338"/>
        <v>NC</v>
      </c>
      <c r="K6077" t="str">
        <f t="shared" si="2330"/>
        <v>000000000000000000</v>
      </c>
      <c r="L6077" t="str">
        <f>T("9104511869")</f>
        <v>9104511869</v>
      </c>
    </row>
    <row r="6078" spans="1:12" x14ac:dyDescent="0.35">
      <c r="A6078" t="str">
        <f t="shared" si="2327"/>
        <v>MARSOC CAMP LEJEUNE</v>
      </c>
      <c r="B6078" t="str">
        <f t="shared" si="2331"/>
        <v>PO BOX 8478</v>
      </c>
      <c r="C6078" t="str">
        <f t="shared" si="2332"/>
        <v/>
      </c>
      <c r="D6078" t="str">
        <f t="shared" si="2333"/>
        <v>CAMP LEJEUNE</v>
      </c>
      <c r="E6078" t="str">
        <f t="shared" si="2334"/>
        <v>NC</v>
      </c>
      <c r="F6078" t="str">
        <f t="shared" si="2335"/>
        <v>285478478</v>
      </c>
      <c r="G6078" t="str">
        <f t="shared" si="2336"/>
        <v>PO BOX 8478</v>
      </c>
      <c r="H6078" t="str">
        <f t="shared" si="2328"/>
        <v/>
      </c>
      <c r="I6078" t="str">
        <f t="shared" si="2337"/>
        <v>CAMP LEJEUNE</v>
      </c>
      <c r="J6078" t="str">
        <f t="shared" si="2338"/>
        <v>NC</v>
      </c>
      <c r="K6078" t="str">
        <f t="shared" si="2330"/>
        <v>000000000000000000</v>
      </c>
      <c r="L6078" t="str">
        <f>T("9104518551")</f>
        <v>9104518551</v>
      </c>
    </row>
    <row r="6079" spans="1:12" x14ac:dyDescent="0.35">
      <c r="A6079" t="str">
        <f>T("MARFORSOUTH")</f>
        <v>MARFORSOUTH</v>
      </c>
      <c r="B6079" t="str">
        <f t="shared" si="2331"/>
        <v>PO BOX 8478</v>
      </c>
      <c r="C6079" t="str">
        <f t="shared" si="2332"/>
        <v/>
      </c>
      <c r="D6079" t="str">
        <f t="shared" si="2333"/>
        <v>CAMP LEJEUNE</v>
      </c>
      <c r="E6079" t="str">
        <f t="shared" si="2334"/>
        <v>NC</v>
      </c>
      <c r="F6079" t="str">
        <f t="shared" si="2335"/>
        <v>285478478</v>
      </c>
      <c r="G6079" t="str">
        <f t="shared" si="2336"/>
        <v>PO BOX 8478</v>
      </c>
      <c r="H6079" t="str">
        <f t="shared" si="2328"/>
        <v/>
      </c>
      <c r="I6079" t="str">
        <f t="shared" si="2337"/>
        <v>CAMP LEJEUNE</v>
      </c>
      <c r="J6079" t="str">
        <f t="shared" si="2338"/>
        <v>NC</v>
      </c>
      <c r="K6079" t="str">
        <f>T("")</f>
        <v/>
      </c>
      <c r="L6079" t="str">
        <f>T("3054372985")</f>
        <v>3054372985</v>
      </c>
    </row>
    <row r="6080" spans="1:12" x14ac:dyDescent="0.35">
      <c r="A6080" t="str">
        <f>T("MARFORSOUTH")</f>
        <v>MARFORSOUTH</v>
      </c>
      <c r="B6080" t="str">
        <f t="shared" si="2331"/>
        <v>PO BOX 8478</v>
      </c>
      <c r="C6080" t="str">
        <f t="shared" si="2332"/>
        <v/>
      </c>
      <c r="D6080" t="str">
        <f t="shared" si="2333"/>
        <v>CAMP LEJEUNE</v>
      </c>
      <c r="E6080" t="str">
        <f t="shared" si="2334"/>
        <v>NC</v>
      </c>
      <c r="F6080" t="str">
        <f t="shared" si="2335"/>
        <v>285478478</v>
      </c>
      <c r="G6080" t="str">
        <f t="shared" si="2336"/>
        <v>PO BOX 8478</v>
      </c>
      <c r="H6080" t="str">
        <f t="shared" si="2328"/>
        <v/>
      </c>
      <c r="I6080" t="str">
        <f t="shared" si="2337"/>
        <v>CAMP LEJEUNE</v>
      </c>
      <c r="J6080" t="str">
        <f t="shared" si="2338"/>
        <v>NC</v>
      </c>
      <c r="K6080" t="str">
        <f>T("000000000000000000")</f>
        <v>000000000000000000</v>
      </c>
      <c r="L6080" t="str">
        <f>T("3054372604")</f>
        <v>3054372604</v>
      </c>
    </row>
    <row r="6081" spans="1:12" x14ac:dyDescent="0.35">
      <c r="A6081" t="str">
        <f>T("MARFORSOUTH")</f>
        <v>MARFORSOUTH</v>
      </c>
      <c r="B6081" t="str">
        <f t="shared" si="2331"/>
        <v>PO BOX 8478</v>
      </c>
      <c r="C6081" t="str">
        <f t="shared" si="2332"/>
        <v/>
      </c>
      <c r="D6081" t="str">
        <f t="shared" si="2333"/>
        <v>CAMP LEJEUNE</v>
      </c>
      <c r="E6081" t="str">
        <f t="shared" si="2334"/>
        <v>NC</v>
      </c>
      <c r="F6081" t="str">
        <f t="shared" si="2335"/>
        <v>285478478</v>
      </c>
      <c r="G6081" t="str">
        <f t="shared" si="2336"/>
        <v>PO BOX 8478</v>
      </c>
      <c r="H6081" t="str">
        <f t="shared" si="2328"/>
        <v/>
      </c>
      <c r="I6081" t="str">
        <f t="shared" si="2337"/>
        <v>CAMP LEJEUNE</v>
      </c>
      <c r="J6081" t="str">
        <f t="shared" si="2338"/>
        <v>NC</v>
      </c>
      <c r="K6081" t="str">
        <f>T("000000000000000000")</f>
        <v>000000000000000000</v>
      </c>
      <c r="L6081" t="str">
        <f>T("3054372623")</f>
        <v>3054372623</v>
      </c>
    </row>
    <row r="6082" spans="1:12" x14ac:dyDescent="0.35">
      <c r="A6082" t="str">
        <f>T("MARFORSOUTH")</f>
        <v>MARFORSOUTH</v>
      </c>
      <c r="B6082" t="str">
        <f t="shared" si="2331"/>
        <v>PO BOX 8478</v>
      </c>
      <c r="C6082" t="str">
        <f t="shared" si="2332"/>
        <v/>
      </c>
      <c r="D6082" t="str">
        <f t="shared" si="2333"/>
        <v>CAMP LEJEUNE</v>
      </c>
      <c r="E6082" t="str">
        <f t="shared" si="2334"/>
        <v>NC</v>
      </c>
      <c r="F6082" t="str">
        <f t="shared" si="2335"/>
        <v>285478478</v>
      </c>
      <c r="G6082" t="str">
        <f t="shared" si="2336"/>
        <v>PO BOX 8478</v>
      </c>
      <c r="H6082" t="str">
        <f t="shared" si="2328"/>
        <v/>
      </c>
      <c r="I6082" t="str">
        <f t="shared" si="2337"/>
        <v>CAMP LEJEUNE</v>
      </c>
      <c r="J6082" t="str">
        <f t="shared" si="2338"/>
        <v>NC</v>
      </c>
      <c r="K6082" t="str">
        <f>T("000000000000000000")</f>
        <v>000000000000000000</v>
      </c>
      <c r="L6082" t="str">
        <f>T("9104518551")</f>
        <v>9104518551</v>
      </c>
    </row>
    <row r="6083" spans="1:12" x14ac:dyDescent="0.35">
      <c r="A6083" t="str">
        <f t="shared" ref="A6083:A6114" si="2339">T("2D USMC AIRCRAFT WING")</f>
        <v>2D USMC AIRCRAFT WING</v>
      </c>
      <c r="B6083" t="str">
        <f>T("LOGISTICS SERVICES DIRECTORATE")</f>
        <v>LOGISTICS SERVICES DIRECTORATE</v>
      </c>
      <c r="C6083" t="str">
        <f>T("BLDG 159 PSC BOX 8018 MCAS")</f>
        <v>BLDG 159 PSC BOX 8018 MCAS</v>
      </c>
      <c r="D6083" t="str">
        <f>T("CHERRY POINT")</f>
        <v>CHERRY POINT</v>
      </c>
      <c r="E6083" t="str">
        <f t="shared" si="2334"/>
        <v>NC</v>
      </c>
      <c r="F6083" t="str">
        <f>T("285330000")</f>
        <v>285330000</v>
      </c>
      <c r="G6083" t="str">
        <f>T("LOGISTICS SERVICES DIRECTORATE")</f>
        <v>LOGISTICS SERVICES DIRECTORATE</v>
      </c>
      <c r="H6083" t="str">
        <f>T("BLDG 159 PSC BOX 8018 MCAS")</f>
        <v>BLDG 159 PSC BOX 8018 MCAS</v>
      </c>
      <c r="I6083" t="str">
        <f>T("CHERRY POINT")</f>
        <v>CHERRY POINT</v>
      </c>
      <c r="J6083" t="str">
        <f t="shared" si="2338"/>
        <v>NC</v>
      </c>
      <c r="K6083" t="str">
        <f>T("000000000000000000")</f>
        <v>000000000000000000</v>
      </c>
      <c r="L6083" t="str">
        <f>T("2524662359")</f>
        <v>2524662359</v>
      </c>
    </row>
    <row r="6084" spans="1:12" x14ac:dyDescent="0.35">
      <c r="A6084" t="str">
        <f t="shared" si="2339"/>
        <v>2D USMC AIRCRAFT WING</v>
      </c>
      <c r="B6084" t="str">
        <f>T("LOGISTICS SERVICES DIRECTORATE")</f>
        <v>LOGISTICS SERVICES DIRECTORATE</v>
      </c>
      <c r="C6084" t="str">
        <f>T("BLDG 159 PSC BOX 8018 MCAS")</f>
        <v>BLDG 159 PSC BOX 8018 MCAS</v>
      </c>
      <c r="D6084" t="str">
        <f>T("CHERRY POINT")</f>
        <v>CHERRY POINT</v>
      </c>
      <c r="E6084" t="str">
        <f t="shared" si="2334"/>
        <v>NC</v>
      </c>
      <c r="F6084" t="str">
        <f>T("285330000")</f>
        <v>285330000</v>
      </c>
      <c r="G6084" t="str">
        <f>T("SUPPLY DIRECTORATE")</f>
        <v>SUPPLY DIRECTORATE</v>
      </c>
      <c r="H6084" t="str">
        <f>T("CONTRACTING DEP/PSC BOX 8018")</f>
        <v>CONTRACTING DEP/PSC BOX 8018</v>
      </c>
      <c r="I6084" t="str">
        <f>T("MCAS CHERRY POINT")</f>
        <v>MCAS CHERRY POINT</v>
      </c>
      <c r="J6084" t="str">
        <f t="shared" si="2338"/>
        <v>NC</v>
      </c>
      <c r="K6084" t="str">
        <f>T("000000000000000000")</f>
        <v>000000000000000000</v>
      </c>
      <c r="L6084" t="str">
        <f>T("2524666456")</f>
        <v>2524666456</v>
      </c>
    </row>
    <row r="6085" spans="1:12" x14ac:dyDescent="0.35">
      <c r="A6085" t="str">
        <f t="shared" si="2339"/>
        <v>2D USMC AIRCRAFT WING</v>
      </c>
      <c r="B6085" t="str">
        <f>T("P O BOX 55024 BLDG 612")</f>
        <v>P O BOX 55024 BLDG 612</v>
      </c>
      <c r="C6085" t="str">
        <f t="shared" ref="C6085:C6094" si="2340">T("H&amp;HS SUPPLY")</f>
        <v>H&amp;HS SUPPLY</v>
      </c>
      <c r="D6085" t="str">
        <f t="shared" ref="D6085:D6094" si="2341">T("BEAUFORT")</f>
        <v>BEAUFORT</v>
      </c>
      <c r="E6085" t="str">
        <f t="shared" ref="E6085:E6094" si="2342">T("SC")</f>
        <v>SC</v>
      </c>
      <c r="F6085" t="str">
        <f t="shared" ref="F6085:F6094" si="2343">T("299045024")</f>
        <v>299045024</v>
      </c>
      <c r="G6085" t="str">
        <f>T("P O BOX 55024 BLDG 612")</f>
        <v>P O BOX 55024 BLDG 612</v>
      </c>
      <c r="H6085" t="str">
        <f>T("H&amp;HS SUPPLY")</f>
        <v>H&amp;HS SUPPLY</v>
      </c>
      <c r="I6085" t="str">
        <f t="shared" ref="I6085:I6094" si="2344">T("BEAUFORT")</f>
        <v>BEAUFORT</v>
      </c>
      <c r="J6085" t="str">
        <f t="shared" ref="J6085:J6094" si="2345">T("SC")</f>
        <v>SC</v>
      </c>
      <c r="K6085" t="str">
        <f>T("")</f>
        <v/>
      </c>
      <c r="L6085" t="str">
        <f>T("8432288325")</f>
        <v>8432288325</v>
      </c>
    </row>
    <row r="6086" spans="1:12" x14ac:dyDescent="0.35">
      <c r="A6086" t="str">
        <f t="shared" si="2339"/>
        <v>2D USMC AIRCRAFT WING</v>
      </c>
      <c r="B6086" t="str">
        <f>T("P O BOX 55024 BLDG 612")</f>
        <v>P O BOX 55024 BLDG 612</v>
      </c>
      <c r="C6086" t="str">
        <f t="shared" si="2340"/>
        <v>H&amp;HS SUPPLY</v>
      </c>
      <c r="D6086" t="str">
        <f t="shared" si="2341"/>
        <v>BEAUFORT</v>
      </c>
      <c r="E6086" t="str">
        <f t="shared" si="2342"/>
        <v>SC</v>
      </c>
      <c r="F6086" t="str">
        <f t="shared" si="2343"/>
        <v>299045024</v>
      </c>
      <c r="G6086" t="str">
        <f>T("PO BOX 55024 BLDG 612")</f>
        <v>PO BOX 55024 BLDG 612</v>
      </c>
      <c r="H6086" t="str">
        <f>T("HHS SUPPLY")</f>
        <v>HHS SUPPLY</v>
      </c>
      <c r="I6086" t="str">
        <f t="shared" si="2344"/>
        <v>BEAUFORT</v>
      </c>
      <c r="J6086" t="str">
        <f t="shared" si="2345"/>
        <v>SC</v>
      </c>
      <c r="K6086" t="str">
        <f>T("000000000000000000")</f>
        <v>000000000000000000</v>
      </c>
      <c r="L6086" t="str">
        <f>T("8432288327")</f>
        <v>8432288327</v>
      </c>
    </row>
    <row r="6087" spans="1:12" x14ac:dyDescent="0.35">
      <c r="A6087" t="str">
        <f t="shared" si="2339"/>
        <v>2D USMC AIRCRAFT WING</v>
      </c>
      <c r="B6087" t="str">
        <f>T("P O BOX 55024 BLDG 612")</f>
        <v>P O BOX 55024 BLDG 612</v>
      </c>
      <c r="C6087" t="str">
        <f t="shared" si="2340"/>
        <v>H&amp;HS SUPPLY</v>
      </c>
      <c r="D6087" t="str">
        <f t="shared" si="2341"/>
        <v>BEAUFORT</v>
      </c>
      <c r="E6087" t="str">
        <f t="shared" si="2342"/>
        <v>SC</v>
      </c>
      <c r="F6087" t="str">
        <f t="shared" si="2343"/>
        <v>299045024</v>
      </c>
      <c r="G6087" t="str">
        <f>T("PO BOX 55024 BLDG 612")</f>
        <v>PO BOX 55024 BLDG 612</v>
      </c>
      <c r="H6087" t="str">
        <f>T("HHS SUPPLY")</f>
        <v>HHS SUPPLY</v>
      </c>
      <c r="I6087" t="str">
        <f t="shared" si="2344"/>
        <v>BEAUFORT</v>
      </c>
      <c r="J6087" t="str">
        <f t="shared" si="2345"/>
        <v>SC</v>
      </c>
      <c r="K6087" t="str">
        <f>T("000000000000000000")</f>
        <v>000000000000000000</v>
      </c>
      <c r="L6087" t="str">
        <f>T("8432288328")</f>
        <v>8432288328</v>
      </c>
    </row>
    <row r="6088" spans="1:12" x14ac:dyDescent="0.35">
      <c r="A6088" t="str">
        <f t="shared" si="2339"/>
        <v>2D USMC AIRCRAFT WING</v>
      </c>
      <c r="B6088" t="str">
        <f t="shared" ref="B6088:B6094" si="2346">T("PO BOX 55024 BLDG 612")</f>
        <v>PO BOX 55024 BLDG 612</v>
      </c>
      <c r="C6088" t="str">
        <f t="shared" si="2340"/>
        <v>H&amp;HS SUPPLY</v>
      </c>
      <c r="D6088" t="str">
        <f t="shared" si="2341"/>
        <v>BEAUFORT</v>
      </c>
      <c r="E6088" t="str">
        <f t="shared" si="2342"/>
        <v>SC</v>
      </c>
      <c r="F6088" t="str">
        <f t="shared" si="2343"/>
        <v>299045024</v>
      </c>
      <c r="G6088" t="str">
        <f>T("P O BOX 55024 BLDG 612")</f>
        <v>P O BOX 55024 BLDG 612</v>
      </c>
      <c r="H6088" t="str">
        <f>T("H&amp;HS SUPPLY")</f>
        <v>H&amp;HS SUPPLY</v>
      </c>
      <c r="I6088" t="str">
        <f t="shared" si="2344"/>
        <v>BEAUFORT</v>
      </c>
      <c r="J6088" t="str">
        <f t="shared" si="2345"/>
        <v>SC</v>
      </c>
      <c r="K6088" t="str">
        <f>T("000000000000000000")</f>
        <v>000000000000000000</v>
      </c>
      <c r="L6088" t="str">
        <f>T("8432287801")</f>
        <v>8432287801</v>
      </c>
    </row>
    <row r="6089" spans="1:12" x14ac:dyDescent="0.35">
      <c r="A6089" t="str">
        <f t="shared" si="2339"/>
        <v>2D USMC AIRCRAFT WING</v>
      </c>
      <c r="B6089" t="str">
        <f t="shared" si="2346"/>
        <v>PO BOX 55024 BLDG 612</v>
      </c>
      <c r="C6089" t="str">
        <f t="shared" si="2340"/>
        <v>H&amp;HS SUPPLY</v>
      </c>
      <c r="D6089" t="str">
        <f t="shared" si="2341"/>
        <v>BEAUFORT</v>
      </c>
      <c r="E6089" t="str">
        <f t="shared" si="2342"/>
        <v>SC</v>
      </c>
      <c r="F6089" t="str">
        <f t="shared" si="2343"/>
        <v>299045024</v>
      </c>
      <c r="G6089" t="str">
        <f t="shared" ref="G6089:G6094" si="2347">T("PO BOX 55024 BLDG 612")</f>
        <v>PO BOX 55024 BLDG 612</v>
      </c>
      <c r="H6089" t="str">
        <f>T("H  HS")</f>
        <v>H  HS</v>
      </c>
      <c r="I6089" t="str">
        <f t="shared" si="2344"/>
        <v>BEAUFORT</v>
      </c>
      <c r="J6089" t="str">
        <f t="shared" si="2345"/>
        <v>SC</v>
      </c>
      <c r="K6089" t="str">
        <f>T("000000000000000000")</f>
        <v>000000000000000000</v>
      </c>
      <c r="L6089" t="str">
        <f>T("8432287811")</f>
        <v>8432287811</v>
      </c>
    </row>
    <row r="6090" spans="1:12" x14ac:dyDescent="0.35">
      <c r="A6090" t="str">
        <f t="shared" si="2339"/>
        <v>2D USMC AIRCRAFT WING</v>
      </c>
      <c r="B6090" t="str">
        <f t="shared" si="2346"/>
        <v>PO BOX 55024 BLDG 612</v>
      </c>
      <c r="C6090" t="str">
        <f t="shared" si="2340"/>
        <v>H&amp;HS SUPPLY</v>
      </c>
      <c r="D6090" t="str">
        <f t="shared" si="2341"/>
        <v>BEAUFORT</v>
      </c>
      <c r="E6090" t="str">
        <f t="shared" si="2342"/>
        <v>SC</v>
      </c>
      <c r="F6090" t="str">
        <f t="shared" si="2343"/>
        <v>299045024</v>
      </c>
      <c r="G6090" t="str">
        <f t="shared" si="2347"/>
        <v>PO BOX 55024 BLDG 612</v>
      </c>
      <c r="H6090" t="str">
        <f>T("H&amp;HS SUPPLY")</f>
        <v>H&amp;HS SUPPLY</v>
      </c>
      <c r="I6090" t="str">
        <f t="shared" si="2344"/>
        <v>BEAUFORT</v>
      </c>
      <c r="J6090" t="str">
        <f t="shared" si="2345"/>
        <v>SC</v>
      </c>
      <c r="K6090" t="str">
        <f>T("")</f>
        <v/>
      </c>
      <c r="L6090" t="str">
        <f>T("8432286021")</f>
        <v>8432286021</v>
      </c>
    </row>
    <row r="6091" spans="1:12" x14ac:dyDescent="0.35">
      <c r="A6091" t="str">
        <f t="shared" si="2339"/>
        <v>2D USMC AIRCRAFT WING</v>
      </c>
      <c r="B6091" t="str">
        <f t="shared" si="2346"/>
        <v>PO BOX 55024 BLDG 612</v>
      </c>
      <c r="C6091" t="str">
        <f t="shared" si="2340"/>
        <v>H&amp;HS SUPPLY</v>
      </c>
      <c r="D6091" t="str">
        <f t="shared" si="2341"/>
        <v>BEAUFORT</v>
      </c>
      <c r="E6091" t="str">
        <f t="shared" si="2342"/>
        <v>SC</v>
      </c>
      <c r="F6091" t="str">
        <f t="shared" si="2343"/>
        <v>299045024</v>
      </c>
      <c r="G6091" t="str">
        <f t="shared" si="2347"/>
        <v>PO BOX 55024 BLDG 612</v>
      </c>
      <c r="H6091" t="str">
        <f>T("H&amp;HS SUPPLY")</f>
        <v>H&amp;HS SUPPLY</v>
      </c>
      <c r="I6091" t="str">
        <f t="shared" si="2344"/>
        <v>BEAUFORT</v>
      </c>
      <c r="J6091" t="str">
        <f t="shared" si="2345"/>
        <v>SC</v>
      </c>
      <c r="K6091" t="str">
        <f>T("")</f>
        <v/>
      </c>
      <c r="L6091" t="str">
        <f>T("8432287801")</f>
        <v>8432287801</v>
      </c>
    </row>
    <row r="6092" spans="1:12" x14ac:dyDescent="0.35">
      <c r="A6092" t="str">
        <f t="shared" si="2339"/>
        <v>2D USMC AIRCRAFT WING</v>
      </c>
      <c r="B6092" t="str">
        <f t="shared" si="2346"/>
        <v>PO BOX 55024 BLDG 612</v>
      </c>
      <c r="C6092" t="str">
        <f t="shared" si="2340"/>
        <v>H&amp;HS SUPPLY</v>
      </c>
      <c r="D6092" t="str">
        <f t="shared" si="2341"/>
        <v>BEAUFORT</v>
      </c>
      <c r="E6092" t="str">
        <f t="shared" si="2342"/>
        <v>SC</v>
      </c>
      <c r="F6092" t="str">
        <f t="shared" si="2343"/>
        <v>299045024</v>
      </c>
      <c r="G6092" t="str">
        <f t="shared" si="2347"/>
        <v>PO BOX 55024 BLDG 612</v>
      </c>
      <c r="H6092" t="str">
        <f>T("H&amp;HS SUPPLY")</f>
        <v>H&amp;HS SUPPLY</v>
      </c>
      <c r="I6092" t="str">
        <f t="shared" si="2344"/>
        <v>BEAUFORT</v>
      </c>
      <c r="J6092" t="str">
        <f t="shared" si="2345"/>
        <v>SC</v>
      </c>
      <c r="K6092" t="str">
        <f t="shared" ref="K6092:K6102" si="2348">T("000000000000000000")</f>
        <v>000000000000000000</v>
      </c>
      <c r="L6092" t="str">
        <f>T("8432286992")</f>
        <v>8432286992</v>
      </c>
    </row>
    <row r="6093" spans="1:12" x14ac:dyDescent="0.35">
      <c r="A6093" t="str">
        <f t="shared" si="2339"/>
        <v>2D USMC AIRCRAFT WING</v>
      </c>
      <c r="B6093" t="str">
        <f t="shared" si="2346"/>
        <v>PO BOX 55024 BLDG 612</v>
      </c>
      <c r="C6093" t="str">
        <f t="shared" si="2340"/>
        <v>H&amp;HS SUPPLY</v>
      </c>
      <c r="D6093" t="str">
        <f t="shared" si="2341"/>
        <v>BEAUFORT</v>
      </c>
      <c r="E6093" t="str">
        <f t="shared" si="2342"/>
        <v>SC</v>
      </c>
      <c r="F6093" t="str">
        <f t="shared" si="2343"/>
        <v>299045024</v>
      </c>
      <c r="G6093" t="str">
        <f t="shared" si="2347"/>
        <v>PO BOX 55024 BLDG 612</v>
      </c>
      <c r="H6093" t="str">
        <f>T("HHS SUPPLY")</f>
        <v>HHS SUPPLY</v>
      </c>
      <c r="I6093" t="str">
        <f t="shared" si="2344"/>
        <v>BEAUFORT</v>
      </c>
      <c r="J6093" t="str">
        <f t="shared" si="2345"/>
        <v>SC</v>
      </c>
      <c r="K6093" t="str">
        <f t="shared" si="2348"/>
        <v>000000000000000000</v>
      </c>
      <c r="L6093" t="str">
        <f>T("8432287801")</f>
        <v>8432287801</v>
      </c>
    </row>
    <row r="6094" spans="1:12" x14ac:dyDescent="0.35">
      <c r="A6094" t="str">
        <f t="shared" si="2339"/>
        <v>2D USMC AIRCRAFT WING</v>
      </c>
      <c r="B6094" t="str">
        <f t="shared" si="2346"/>
        <v>PO BOX 55024 BLDG 612</v>
      </c>
      <c r="C6094" t="str">
        <f t="shared" si="2340"/>
        <v>H&amp;HS SUPPLY</v>
      </c>
      <c r="D6094" t="str">
        <f t="shared" si="2341"/>
        <v>BEAUFORT</v>
      </c>
      <c r="E6094" t="str">
        <f t="shared" si="2342"/>
        <v>SC</v>
      </c>
      <c r="F6094" t="str">
        <f t="shared" si="2343"/>
        <v>299045024</v>
      </c>
      <c r="G6094" t="str">
        <f t="shared" si="2347"/>
        <v>PO BOX 55024 BLDG 612</v>
      </c>
      <c r="H6094" t="str">
        <f>T("HHS SUPPLY")</f>
        <v>HHS SUPPLY</v>
      </c>
      <c r="I6094" t="str">
        <f t="shared" si="2344"/>
        <v>BEAUFORT</v>
      </c>
      <c r="J6094" t="str">
        <f t="shared" si="2345"/>
        <v>SC</v>
      </c>
      <c r="K6094" t="str">
        <f t="shared" si="2348"/>
        <v>000000000000000000</v>
      </c>
      <c r="L6094" t="str">
        <f>T("8432287811")</f>
        <v>8432287811</v>
      </c>
    </row>
    <row r="6095" spans="1:12" x14ac:dyDescent="0.35">
      <c r="A6095" t="str">
        <f t="shared" si="2339"/>
        <v>2D USMC AIRCRAFT WING</v>
      </c>
      <c r="B6095" t="str">
        <f t="shared" ref="B6095:B6139" si="2349">T("SUPPLY DIRECTORATE")</f>
        <v>SUPPLY DIRECTORATE</v>
      </c>
      <c r="C6095" t="str">
        <f t="shared" ref="C6095:C6100" si="2350">T("BLDG 159 PSC BOX 8018")</f>
        <v>BLDG 159 PSC BOX 8018</v>
      </c>
      <c r="D6095" t="str">
        <f>T("CHERRY POINT")</f>
        <v>CHERRY POINT</v>
      </c>
      <c r="E6095" t="str">
        <f t="shared" ref="E6095:E6126" si="2351">T("NC")</f>
        <v>NC</v>
      </c>
      <c r="F6095" t="str">
        <f t="shared" ref="F6095:F6125" si="2352">T("285330000")</f>
        <v>285330000</v>
      </c>
      <c r="G6095" t="str">
        <f>T("SUPPLY DIRECTORATE")</f>
        <v>SUPPLY DIRECTORATE</v>
      </c>
      <c r="H6095" t="str">
        <f>T("BLDG 159 PSC BOX 8018")</f>
        <v>BLDG 159 PSC BOX 8018</v>
      </c>
      <c r="I6095" t="str">
        <f>T("CHERRY POINT")</f>
        <v>CHERRY POINT</v>
      </c>
      <c r="J6095" t="str">
        <f t="shared" ref="J6095:J6126" si="2353">T("NC")</f>
        <v>NC</v>
      </c>
      <c r="K6095" t="str">
        <f t="shared" si="2348"/>
        <v>000000000000000000</v>
      </c>
      <c r="L6095" t="str">
        <f>T("2524662222")</f>
        <v>2524662222</v>
      </c>
    </row>
    <row r="6096" spans="1:12" x14ac:dyDescent="0.35">
      <c r="A6096" t="str">
        <f t="shared" si="2339"/>
        <v>2D USMC AIRCRAFT WING</v>
      </c>
      <c r="B6096" t="str">
        <f t="shared" si="2349"/>
        <v>SUPPLY DIRECTORATE</v>
      </c>
      <c r="C6096" t="str">
        <f t="shared" si="2350"/>
        <v>BLDG 159 PSC BOX 8018</v>
      </c>
      <c r="D6096" t="str">
        <f>T("CHERRY POINT")</f>
        <v>CHERRY POINT</v>
      </c>
      <c r="E6096" t="str">
        <f t="shared" si="2351"/>
        <v>NC</v>
      </c>
      <c r="F6096" t="str">
        <f t="shared" si="2352"/>
        <v>285330000</v>
      </c>
      <c r="G6096" t="str">
        <f>T("SUPPLY DIRECTORATE")</f>
        <v>SUPPLY DIRECTORATE</v>
      </c>
      <c r="H6096" t="str">
        <f>T("CONTRACTING DEP/ PSC BOX 8018")</f>
        <v>CONTRACTING DEP/ PSC BOX 8018</v>
      </c>
      <c r="I6096" t="str">
        <f>T("MCAS CHERRY POINT")</f>
        <v>MCAS CHERRY POINT</v>
      </c>
      <c r="J6096" t="str">
        <f t="shared" si="2353"/>
        <v>NC</v>
      </c>
      <c r="K6096" t="str">
        <f t="shared" si="2348"/>
        <v>000000000000000000</v>
      </c>
      <c r="L6096" t="str">
        <f>T("2524662330")</f>
        <v>2524662330</v>
      </c>
    </row>
    <row r="6097" spans="1:12" x14ac:dyDescent="0.35">
      <c r="A6097" t="str">
        <f t="shared" si="2339"/>
        <v>2D USMC AIRCRAFT WING</v>
      </c>
      <c r="B6097" t="str">
        <f t="shared" si="2349"/>
        <v>SUPPLY DIRECTORATE</v>
      </c>
      <c r="C6097" t="str">
        <f t="shared" si="2350"/>
        <v>BLDG 159 PSC BOX 8018</v>
      </c>
      <c r="D6097" t="str">
        <f>T("CHERRY POINT")</f>
        <v>CHERRY POINT</v>
      </c>
      <c r="E6097" t="str">
        <f t="shared" si="2351"/>
        <v>NC</v>
      </c>
      <c r="F6097" t="str">
        <f t="shared" si="2352"/>
        <v>285330000</v>
      </c>
      <c r="G6097" t="str">
        <f>T("SUPPLYDIRECTORATE")</f>
        <v>SUPPLYDIRECTORATE</v>
      </c>
      <c r="H6097" t="str">
        <f>T("CONTRACTING DEP/PSC BOX 8018")</f>
        <v>CONTRACTING DEP/PSC BOX 8018</v>
      </c>
      <c r="I6097" t="str">
        <f>T("MCAS CHERRY POINT")</f>
        <v>MCAS CHERRY POINT</v>
      </c>
      <c r="J6097" t="str">
        <f t="shared" si="2353"/>
        <v>NC</v>
      </c>
      <c r="K6097" t="str">
        <f t="shared" si="2348"/>
        <v>000000000000000000</v>
      </c>
      <c r="L6097" t="str">
        <f>T("2524662222")</f>
        <v>2524662222</v>
      </c>
    </row>
    <row r="6098" spans="1:12" x14ac:dyDescent="0.35">
      <c r="A6098" t="str">
        <f t="shared" si="2339"/>
        <v>2D USMC AIRCRAFT WING</v>
      </c>
      <c r="B6098" t="str">
        <f t="shared" si="2349"/>
        <v>SUPPLY DIRECTORATE</v>
      </c>
      <c r="C6098" t="str">
        <f t="shared" si="2350"/>
        <v>BLDG 159 PSC BOX 8018</v>
      </c>
      <c r="D6098" t="str">
        <f>T("MCAS CHERRY PT")</f>
        <v>MCAS CHERRY PT</v>
      </c>
      <c r="E6098" t="str">
        <f t="shared" si="2351"/>
        <v>NC</v>
      </c>
      <c r="F6098" t="str">
        <f t="shared" si="2352"/>
        <v>285330000</v>
      </c>
      <c r="G6098" t="str">
        <f t="shared" ref="G6098:G6110" si="2354">T("SUPPLY DIRECTORATE")</f>
        <v>SUPPLY DIRECTORATE</v>
      </c>
      <c r="H6098" t="str">
        <f>T("BLDG 159 PSC BOX 8018")</f>
        <v>BLDG 159 PSC BOX 8018</v>
      </c>
      <c r="I6098" t="str">
        <f>T("MCAS CHERRY PT")</f>
        <v>MCAS CHERRY PT</v>
      </c>
      <c r="J6098" t="str">
        <f t="shared" si="2353"/>
        <v>NC</v>
      </c>
      <c r="K6098" t="str">
        <f t="shared" si="2348"/>
        <v>000000000000000000</v>
      </c>
      <c r="L6098" t="str">
        <f>T("2524665991")</f>
        <v>2524665991</v>
      </c>
    </row>
    <row r="6099" spans="1:12" x14ac:dyDescent="0.35">
      <c r="A6099" t="str">
        <f t="shared" si="2339"/>
        <v>2D USMC AIRCRAFT WING</v>
      </c>
      <c r="B6099" t="str">
        <f t="shared" si="2349"/>
        <v>SUPPLY DIRECTORATE</v>
      </c>
      <c r="C6099" t="str">
        <f t="shared" si="2350"/>
        <v>BLDG 159 PSC BOX 8018</v>
      </c>
      <c r="D6099" t="str">
        <f>T("MCAS CHERRY PT")</f>
        <v>MCAS CHERRY PT</v>
      </c>
      <c r="E6099" t="str">
        <f t="shared" si="2351"/>
        <v>NC</v>
      </c>
      <c r="F6099" t="str">
        <f t="shared" si="2352"/>
        <v>285330000</v>
      </c>
      <c r="G6099" t="str">
        <f t="shared" si="2354"/>
        <v>SUPPLY DIRECTORATE</v>
      </c>
      <c r="H6099" t="str">
        <f>T("CONTRACTING DEP/PSC BOX 8018")</f>
        <v>CONTRACTING DEP/PSC BOX 8018</v>
      </c>
      <c r="I6099" t="str">
        <f>T("MCAS CHERRY POINT")</f>
        <v>MCAS CHERRY POINT</v>
      </c>
      <c r="J6099" t="str">
        <f t="shared" si="2353"/>
        <v>NC</v>
      </c>
      <c r="K6099" t="str">
        <f t="shared" si="2348"/>
        <v>000000000000000000</v>
      </c>
      <c r="L6099" t="str">
        <f>T("2524663735")</f>
        <v>2524663735</v>
      </c>
    </row>
    <row r="6100" spans="1:12" x14ac:dyDescent="0.35">
      <c r="A6100" t="str">
        <f t="shared" si="2339"/>
        <v>2D USMC AIRCRAFT WING</v>
      </c>
      <c r="B6100" t="str">
        <f t="shared" si="2349"/>
        <v>SUPPLY DIRECTORATE</v>
      </c>
      <c r="C6100" t="str">
        <f t="shared" si="2350"/>
        <v>BLDG 159 PSC BOX 8018</v>
      </c>
      <c r="D6100" t="str">
        <f>T("MCAS CHERRY PT")</f>
        <v>MCAS CHERRY PT</v>
      </c>
      <c r="E6100" t="str">
        <f t="shared" si="2351"/>
        <v>NC</v>
      </c>
      <c r="F6100" t="str">
        <f t="shared" si="2352"/>
        <v>285330000</v>
      </c>
      <c r="G6100" t="str">
        <f t="shared" si="2354"/>
        <v>SUPPLY DIRECTORATE</v>
      </c>
      <c r="H6100" t="str">
        <f>T("CONTRACTING DEP/PSC BOX 8018")</f>
        <v>CONTRACTING DEP/PSC BOX 8018</v>
      </c>
      <c r="I6100" t="str">
        <f>T("MCAS CHERRY POINT")</f>
        <v>MCAS CHERRY POINT</v>
      </c>
      <c r="J6100" t="str">
        <f t="shared" si="2353"/>
        <v>NC</v>
      </c>
      <c r="K6100" t="str">
        <f t="shared" si="2348"/>
        <v>000000000000000000</v>
      </c>
      <c r="L6100" t="str">
        <f>T("2524664255")</f>
        <v>2524664255</v>
      </c>
    </row>
    <row r="6101" spans="1:12" x14ac:dyDescent="0.35">
      <c r="A6101" t="str">
        <f t="shared" si="2339"/>
        <v>2D USMC AIRCRAFT WING</v>
      </c>
      <c r="B6101" t="str">
        <f t="shared" si="2349"/>
        <v>SUPPLY DIRECTORATE</v>
      </c>
      <c r="C6101" t="str">
        <f t="shared" ref="C6101:C6110" si="2355">T("BLDG 159 PSC BOX 8018 MCAS")</f>
        <v>BLDG 159 PSC BOX 8018 MCAS</v>
      </c>
      <c r="D6101" t="str">
        <f t="shared" ref="D6101:D6110" si="2356">T("CHERRY POINT")</f>
        <v>CHERRY POINT</v>
      </c>
      <c r="E6101" t="str">
        <f t="shared" si="2351"/>
        <v>NC</v>
      </c>
      <c r="F6101" t="str">
        <f t="shared" si="2352"/>
        <v>285330000</v>
      </c>
      <c r="G6101" t="str">
        <f t="shared" si="2354"/>
        <v>SUPPLY DIRECTORATE</v>
      </c>
      <c r="H6101" t="str">
        <f>T("BLDG 159 PSC BOX 8018 MCAS")</f>
        <v>BLDG 159 PSC BOX 8018 MCAS</v>
      </c>
      <c r="I6101" t="str">
        <f>T("CHERRY POINT")</f>
        <v>CHERRY POINT</v>
      </c>
      <c r="J6101" t="str">
        <f t="shared" si="2353"/>
        <v>NC</v>
      </c>
      <c r="K6101" t="str">
        <f t="shared" si="2348"/>
        <v>000000000000000000</v>
      </c>
      <c r="L6101" t="str">
        <f>T("2524663607")</f>
        <v>2524663607</v>
      </c>
    </row>
    <row r="6102" spans="1:12" x14ac:dyDescent="0.35">
      <c r="A6102" t="str">
        <f t="shared" si="2339"/>
        <v>2D USMC AIRCRAFT WING</v>
      </c>
      <c r="B6102" t="str">
        <f t="shared" si="2349"/>
        <v>SUPPLY DIRECTORATE</v>
      </c>
      <c r="C6102" t="str">
        <f t="shared" si="2355"/>
        <v>BLDG 159 PSC BOX 8018 MCAS</v>
      </c>
      <c r="D6102" t="str">
        <f t="shared" si="2356"/>
        <v>CHERRY POINT</v>
      </c>
      <c r="E6102" t="str">
        <f t="shared" si="2351"/>
        <v>NC</v>
      </c>
      <c r="F6102" t="str">
        <f t="shared" si="2352"/>
        <v>285330000</v>
      </c>
      <c r="G6102" t="str">
        <f t="shared" si="2354"/>
        <v>SUPPLY DIRECTORATE</v>
      </c>
      <c r="H6102" t="str">
        <f>T("BLDG 159 PSC BOX 8018 MCAS")</f>
        <v>BLDG 159 PSC BOX 8018 MCAS</v>
      </c>
      <c r="I6102" t="str">
        <f>T("CHERRY POINT")</f>
        <v>CHERRY POINT</v>
      </c>
      <c r="J6102" t="str">
        <f t="shared" si="2353"/>
        <v>NC</v>
      </c>
      <c r="K6102" t="str">
        <f t="shared" si="2348"/>
        <v>000000000000000000</v>
      </c>
      <c r="L6102" t="str">
        <f>T("2524665383")</f>
        <v>2524665383</v>
      </c>
    </row>
    <row r="6103" spans="1:12" x14ac:dyDescent="0.35">
      <c r="A6103" t="str">
        <f t="shared" si="2339"/>
        <v>2D USMC AIRCRAFT WING</v>
      </c>
      <c r="B6103" t="str">
        <f t="shared" si="2349"/>
        <v>SUPPLY DIRECTORATE</v>
      </c>
      <c r="C6103" t="str">
        <f t="shared" si="2355"/>
        <v>BLDG 159 PSC BOX 8018 MCAS</v>
      </c>
      <c r="D6103" t="str">
        <f t="shared" si="2356"/>
        <v>CHERRY POINT</v>
      </c>
      <c r="E6103" t="str">
        <f t="shared" si="2351"/>
        <v>NC</v>
      </c>
      <c r="F6103" t="str">
        <f t="shared" si="2352"/>
        <v>285330000</v>
      </c>
      <c r="G6103" t="str">
        <f t="shared" si="2354"/>
        <v>SUPPLY DIRECTORATE</v>
      </c>
      <c r="H6103" t="str">
        <f>T("BLDG 159 PSC BOX 8018 MCAS")</f>
        <v>BLDG 159 PSC BOX 8018 MCAS</v>
      </c>
      <c r="I6103" t="str">
        <f>T("CHERRY POINT")</f>
        <v>CHERRY POINT</v>
      </c>
      <c r="J6103" t="str">
        <f t="shared" si="2353"/>
        <v>NC</v>
      </c>
      <c r="K6103" t="str">
        <f>T("2524664220")</f>
        <v>2524664220</v>
      </c>
      <c r="L6103" t="str">
        <f>T("2524662862")</f>
        <v>2524662862</v>
      </c>
    </row>
    <row r="6104" spans="1:12" x14ac:dyDescent="0.35">
      <c r="A6104" t="str">
        <f t="shared" si="2339"/>
        <v>2D USMC AIRCRAFT WING</v>
      </c>
      <c r="B6104" t="str">
        <f t="shared" si="2349"/>
        <v>SUPPLY DIRECTORATE</v>
      </c>
      <c r="C6104" t="str">
        <f t="shared" si="2355"/>
        <v>BLDG 159 PSC BOX 8018 MCAS</v>
      </c>
      <c r="D6104" t="str">
        <f t="shared" si="2356"/>
        <v>CHERRY POINT</v>
      </c>
      <c r="E6104" t="str">
        <f t="shared" si="2351"/>
        <v>NC</v>
      </c>
      <c r="F6104" t="str">
        <f t="shared" si="2352"/>
        <v>285330000</v>
      </c>
      <c r="G6104" t="str">
        <f t="shared" si="2354"/>
        <v>SUPPLY DIRECTORATE</v>
      </c>
      <c r="H6104" t="str">
        <f>T("CONTRACTING DEP/ PSC BOX 8018")</f>
        <v>CONTRACTING DEP/ PSC BOX 8018</v>
      </c>
      <c r="I6104" t="str">
        <f>T("MCAS CHERRY POINT")</f>
        <v>MCAS CHERRY POINT</v>
      </c>
      <c r="J6104" t="str">
        <f t="shared" si="2353"/>
        <v>NC</v>
      </c>
      <c r="K6104" t="str">
        <f t="shared" ref="K6104:K6114" si="2357">T("000000000000000000")</f>
        <v>000000000000000000</v>
      </c>
      <c r="L6104" t="str">
        <f>T("2524662858")</f>
        <v>2524662858</v>
      </c>
    </row>
    <row r="6105" spans="1:12" x14ac:dyDescent="0.35">
      <c r="A6105" t="str">
        <f t="shared" si="2339"/>
        <v>2D USMC AIRCRAFT WING</v>
      </c>
      <c r="B6105" t="str">
        <f t="shared" si="2349"/>
        <v>SUPPLY DIRECTORATE</v>
      </c>
      <c r="C6105" t="str">
        <f t="shared" si="2355"/>
        <v>BLDG 159 PSC BOX 8018 MCAS</v>
      </c>
      <c r="D6105" t="str">
        <f t="shared" si="2356"/>
        <v>CHERRY POINT</v>
      </c>
      <c r="E6105" t="str">
        <f t="shared" si="2351"/>
        <v>NC</v>
      </c>
      <c r="F6105" t="str">
        <f t="shared" si="2352"/>
        <v>285330000</v>
      </c>
      <c r="G6105" t="str">
        <f t="shared" si="2354"/>
        <v>SUPPLY DIRECTORATE</v>
      </c>
      <c r="H6105" t="str">
        <f>T("CONTRACTING DEP/ PSC BOX 8018")</f>
        <v>CONTRACTING DEP/ PSC BOX 8018</v>
      </c>
      <c r="I6105" t="str">
        <f>T("MCAS CHERRY POINT")</f>
        <v>MCAS CHERRY POINT</v>
      </c>
      <c r="J6105" t="str">
        <f t="shared" si="2353"/>
        <v>NC</v>
      </c>
      <c r="K6105" t="str">
        <f t="shared" si="2357"/>
        <v>000000000000000000</v>
      </c>
      <c r="L6105" t="str">
        <f>T("2524663605")</f>
        <v>2524663605</v>
      </c>
    </row>
    <row r="6106" spans="1:12" x14ac:dyDescent="0.35">
      <c r="A6106" t="str">
        <f t="shared" si="2339"/>
        <v>2D USMC AIRCRAFT WING</v>
      </c>
      <c r="B6106" t="str">
        <f t="shared" si="2349"/>
        <v>SUPPLY DIRECTORATE</v>
      </c>
      <c r="C6106" t="str">
        <f t="shared" si="2355"/>
        <v>BLDG 159 PSC BOX 8018 MCAS</v>
      </c>
      <c r="D6106" t="str">
        <f t="shared" si="2356"/>
        <v>CHERRY POINT</v>
      </c>
      <c r="E6106" t="str">
        <f t="shared" si="2351"/>
        <v>NC</v>
      </c>
      <c r="F6106" t="str">
        <f t="shared" si="2352"/>
        <v>285330000</v>
      </c>
      <c r="G6106" t="str">
        <f t="shared" si="2354"/>
        <v>SUPPLY DIRECTORATE</v>
      </c>
      <c r="H6106" t="str">
        <f>T("CONTRACTING DEP/PSC BOX 8018")</f>
        <v>CONTRACTING DEP/PSC BOX 8018</v>
      </c>
      <c r="I6106" t="str">
        <f>T("MCAS CHARRY POINT")</f>
        <v>MCAS CHARRY POINT</v>
      </c>
      <c r="J6106" t="str">
        <f t="shared" si="2353"/>
        <v>NC</v>
      </c>
      <c r="K6106" t="str">
        <f t="shared" si="2357"/>
        <v>000000000000000000</v>
      </c>
      <c r="L6106" t="str">
        <f>T("2524662858")</f>
        <v>2524662858</v>
      </c>
    </row>
    <row r="6107" spans="1:12" x14ac:dyDescent="0.35">
      <c r="A6107" t="str">
        <f t="shared" si="2339"/>
        <v>2D USMC AIRCRAFT WING</v>
      </c>
      <c r="B6107" t="str">
        <f t="shared" si="2349"/>
        <v>SUPPLY DIRECTORATE</v>
      </c>
      <c r="C6107" t="str">
        <f t="shared" si="2355"/>
        <v>BLDG 159 PSC BOX 8018 MCAS</v>
      </c>
      <c r="D6107" t="str">
        <f t="shared" si="2356"/>
        <v>CHERRY POINT</v>
      </c>
      <c r="E6107" t="str">
        <f t="shared" si="2351"/>
        <v>NC</v>
      </c>
      <c r="F6107" t="str">
        <f t="shared" si="2352"/>
        <v>285330000</v>
      </c>
      <c r="G6107" t="str">
        <f t="shared" si="2354"/>
        <v>SUPPLY DIRECTORATE</v>
      </c>
      <c r="H6107" t="str">
        <f>T("CONTRACTING DEP/PSC BOX 8018")</f>
        <v>CONTRACTING DEP/PSC BOX 8018</v>
      </c>
      <c r="I6107" t="str">
        <f>T("MCAS CHERRY POINT")</f>
        <v>MCAS CHERRY POINT</v>
      </c>
      <c r="J6107" t="str">
        <f t="shared" si="2353"/>
        <v>NC</v>
      </c>
      <c r="K6107" t="str">
        <f t="shared" si="2357"/>
        <v>000000000000000000</v>
      </c>
      <c r="L6107" t="str">
        <f>T("2524662858")</f>
        <v>2524662858</v>
      </c>
    </row>
    <row r="6108" spans="1:12" x14ac:dyDescent="0.35">
      <c r="A6108" t="str">
        <f t="shared" si="2339"/>
        <v>2D USMC AIRCRAFT WING</v>
      </c>
      <c r="B6108" t="str">
        <f t="shared" si="2349"/>
        <v>SUPPLY DIRECTORATE</v>
      </c>
      <c r="C6108" t="str">
        <f t="shared" si="2355"/>
        <v>BLDG 159 PSC BOX 8018 MCAS</v>
      </c>
      <c r="D6108" t="str">
        <f t="shared" si="2356"/>
        <v>CHERRY POINT</v>
      </c>
      <c r="E6108" t="str">
        <f t="shared" si="2351"/>
        <v>NC</v>
      </c>
      <c r="F6108" t="str">
        <f t="shared" si="2352"/>
        <v>285330000</v>
      </c>
      <c r="G6108" t="str">
        <f t="shared" si="2354"/>
        <v>SUPPLY DIRECTORATE</v>
      </c>
      <c r="H6108" t="str">
        <f>T("CONTRACTING DEP/PSC BOX 8018")</f>
        <v>CONTRACTING DEP/PSC BOX 8018</v>
      </c>
      <c r="I6108" t="str">
        <f>T("MCAS CHERRY POINT")</f>
        <v>MCAS CHERRY POINT</v>
      </c>
      <c r="J6108" t="str">
        <f t="shared" si="2353"/>
        <v>NC</v>
      </c>
      <c r="K6108" t="str">
        <f t="shared" si="2357"/>
        <v>000000000000000000</v>
      </c>
      <c r="L6108" t="str">
        <f>T("2524664014")</f>
        <v>2524664014</v>
      </c>
    </row>
    <row r="6109" spans="1:12" x14ac:dyDescent="0.35">
      <c r="A6109" t="str">
        <f t="shared" si="2339"/>
        <v>2D USMC AIRCRAFT WING</v>
      </c>
      <c r="B6109" t="str">
        <f t="shared" si="2349"/>
        <v>SUPPLY DIRECTORATE</v>
      </c>
      <c r="C6109" t="str">
        <f t="shared" si="2355"/>
        <v>BLDG 159 PSC BOX 8018 MCAS</v>
      </c>
      <c r="D6109" t="str">
        <f t="shared" si="2356"/>
        <v>CHERRY POINT</v>
      </c>
      <c r="E6109" t="str">
        <f t="shared" si="2351"/>
        <v>NC</v>
      </c>
      <c r="F6109" t="str">
        <f t="shared" si="2352"/>
        <v>285330000</v>
      </c>
      <c r="G6109" t="str">
        <f t="shared" si="2354"/>
        <v>SUPPLY DIRECTORATE</v>
      </c>
      <c r="H6109" t="str">
        <f>T("CONTRACTING DEP/PSC BOX 8018")</f>
        <v>CONTRACTING DEP/PSC BOX 8018</v>
      </c>
      <c r="I6109" t="str">
        <f>T("MCAS CHERRY POINT")</f>
        <v>MCAS CHERRY POINT</v>
      </c>
      <c r="J6109" t="str">
        <f t="shared" si="2353"/>
        <v>NC</v>
      </c>
      <c r="K6109" t="str">
        <f t="shared" si="2357"/>
        <v>000000000000000000</v>
      </c>
      <c r="L6109" t="str">
        <f>T("2524667494")</f>
        <v>2524667494</v>
      </c>
    </row>
    <row r="6110" spans="1:12" x14ac:dyDescent="0.35">
      <c r="A6110" t="str">
        <f t="shared" si="2339"/>
        <v>2D USMC AIRCRAFT WING</v>
      </c>
      <c r="B6110" t="str">
        <f t="shared" si="2349"/>
        <v>SUPPLY DIRECTORATE</v>
      </c>
      <c r="C6110" t="str">
        <f t="shared" si="2355"/>
        <v>BLDG 159 PSC BOX 8018 MCAS</v>
      </c>
      <c r="D6110" t="str">
        <f t="shared" si="2356"/>
        <v>CHERRY POINT</v>
      </c>
      <c r="E6110" t="str">
        <f t="shared" si="2351"/>
        <v>NC</v>
      </c>
      <c r="F6110" t="str">
        <f t="shared" si="2352"/>
        <v>285330000</v>
      </c>
      <c r="G6110" t="str">
        <f t="shared" si="2354"/>
        <v>SUPPLY DIRECTORATE</v>
      </c>
      <c r="H6110" t="str">
        <f>T("CONTRACTING DEP/PSCBOX 8018")</f>
        <v>CONTRACTING DEP/PSCBOX 8018</v>
      </c>
      <c r="I6110" t="str">
        <f>T("MCAS CHERRY POINT")</f>
        <v>MCAS CHERRY POINT</v>
      </c>
      <c r="J6110" t="str">
        <f t="shared" si="2353"/>
        <v>NC</v>
      </c>
      <c r="K6110" t="str">
        <f t="shared" si="2357"/>
        <v>000000000000000000</v>
      </c>
      <c r="L6110" t="str">
        <f>T("2524664014")</f>
        <v>2524664014</v>
      </c>
    </row>
    <row r="6111" spans="1:12" x14ac:dyDescent="0.35">
      <c r="A6111" t="str">
        <f t="shared" si="2339"/>
        <v>2D USMC AIRCRAFT WING</v>
      </c>
      <c r="B6111" t="str">
        <f t="shared" si="2349"/>
        <v>SUPPLY DIRECTORATE</v>
      </c>
      <c r="C6111" t="str">
        <f>T("CONTRACTING DEP PSC BOX 8018")</f>
        <v>CONTRACTING DEP PSC BOX 8018</v>
      </c>
      <c r="D6111" t="str">
        <f>T("MCAS CHERRY PT")</f>
        <v>MCAS CHERRY PT</v>
      </c>
      <c r="E6111" t="str">
        <f t="shared" si="2351"/>
        <v>NC</v>
      </c>
      <c r="F6111" t="str">
        <f t="shared" si="2352"/>
        <v>285330000</v>
      </c>
      <c r="G6111" t="str">
        <f>T("SUPPLY DIRECTOR")</f>
        <v>SUPPLY DIRECTOR</v>
      </c>
      <c r="H6111" t="str">
        <f>T("CONTRACTING DEP/PSC BOX 8018")</f>
        <v>CONTRACTING DEP/PSC BOX 8018</v>
      </c>
      <c r="I6111" t="str">
        <f>T("MCAS CHERRY POINT")</f>
        <v>MCAS CHERRY POINT</v>
      </c>
      <c r="J6111" t="str">
        <f t="shared" si="2353"/>
        <v>NC</v>
      </c>
      <c r="K6111" t="str">
        <f t="shared" si="2357"/>
        <v>000000000000000000</v>
      </c>
      <c r="L6111" t="str">
        <f>T("9104494803")</f>
        <v>9104494803</v>
      </c>
    </row>
    <row r="6112" spans="1:12" x14ac:dyDescent="0.35">
      <c r="A6112" t="str">
        <f t="shared" si="2339"/>
        <v>2D USMC AIRCRAFT WING</v>
      </c>
      <c r="B6112" t="str">
        <f t="shared" si="2349"/>
        <v>SUPPLY DIRECTORATE</v>
      </c>
      <c r="C6112" t="str">
        <f>T("CONTRACTING DEP PSC BOX 8018")</f>
        <v>CONTRACTING DEP PSC BOX 8018</v>
      </c>
      <c r="D6112" t="str">
        <f>T("MCAS CHERRY PT")</f>
        <v>MCAS CHERRY PT</v>
      </c>
      <c r="E6112" t="str">
        <f t="shared" si="2351"/>
        <v>NC</v>
      </c>
      <c r="F6112" t="str">
        <f t="shared" si="2352"/>
        <v>285330000</v>
      </c>
      <c r="G6112" t="str">
        <f t="shared" ref="G6112:G6128" si="2358">T("SUPPLY DIRECTORATE")</f>
        <v>SUPPLY DIRECTORATE</v>
      </c>
      <c r="H6112" t="str">
        <f>T("CONTRACTING DEP PSC BOX 8018")</f>
        <v>CONTRACTING DEP PSC BOX 8018</v>
      </c>
      <c r="I6112" t="str">
        <f>T("MCAS CHERRY PT")</f>
        <v>MCAS CHERRY PT</v>
      </c>
      <c r="J6112" t="str">
        <f t="shared" si="2353"/>
        <v>NC</v>
      </c>
      <c r="K6112" t="str">
        <f t="shared" si="2357"/>
        <v>000000000000000000</v>
      </c>
      <c r="L6112" t="str">
        <f>T("9104496325")</f>
        <v>9104496325</v>
      </c>
    </row>
    <row r="6113" spans="1:12" x14ac:dyDescent="0.35">
      <c r="A6113" t="str">
        <f t="shared" si="2339"/>
        <v>2D USMC AIRCRAFT WING</v>
      </c>
      <c r="B6113" t="str">
        <f t="shared" si="2349"/>
        <v>SUPPLY DIRECTORATE</v>
      </c>
      <c r="C6113" t="str">
        <f>T("CONTRACTING DEP PSC BOX 8018")</f>
        <v>CONTRACTING DEP PSC BOX 8018</v>
      </c>
      <c r="D6113" t="str">
        <f>T("MCAS CHERRY PT")</f>
        <v>MCAS CHERRY PT</v>
      </c>
      <c r="E6113" t="str">
        <f t="shared" si="2351"/>
        <v>NC</v>
      </c>
      <c r="F6113" t="str">
        <f t="shared" si="2352"/>
        <v>285330000</v>
      </c>
      <c r="G6113" t="str">
        <f t="shared" si="2358"/>
        <v>SUPPLY DIRECTORATE</v>
      </c>
      <c r="H6113" t="str">
        <f t="shared" ref="H6113:H6121" si="2359">T("CONTRACTING DEP/PSC BOX 8018")</f>
        <v>CONTRACTING DEP/PSC BOX 8018</v>
      </c>
      <c r="I6113" t="str">
        <f>T("MCAS CHERRY POINT")</f>
        <v>MCAS CHERRY POINT</v>
      </c>
      <c r="J6113" t="str">
        <f t="shared" si="2353"/>
        <v>NC</v>
      </c>
      <c r="K6113" t="str">
        <f t="shared" si="2357"/>
        <v>000000000000000000</v>
      </c>
      <c r="L6113" t="str">
        <f>T("9104494803")</f>
        <v>9104494803</v>
      </c>
    </row>
    <row r="6114" spans="1:12" x14ac:dyDescent="0.35">
      <c r="A6114" t="str">
        <f t="shared" si="2339"/>
        <v>2D USMC AIRCRAFT WING</v>
      </c>
      <c r="B6114" t="str">
        <f t="shared" si="2349"/>
        <v>SUPPLY DIRECTORATE</v>
      </c>
      <c r="C6114" t="str">
        <f t="shared" ref="C6114:C6129" si="2360">T("CONTRACTING DEP/PSC BOX 8018")</f>
        <v>CONTRACTING DEP/PSC BOX 8018</v>
      </c>
      <c r="D6114" t="str">
        <f t="shared" ref="D6114:D6121" si="2361">T("MCAS CHERRY POI")</f>
        <v>MCAS CHERRY POI</v>
      </c>
      <c r="E6114" t="str">
        <f t="shared" si="2351"/>
        <v>NC</v>
      </c>
      <c r="F6114" t="str">
        <f t="shared" si="2352"/>
        <v>285330000</v>
      </c>
      <c r="G6114" t="str">
        <f t="shared" si="2358"/>
        <v>SUPPLY DIRECTORATE</v>
      </c>
      <c r="H6114" t="str">
        <f t="shared" si="2359"/>
        <v>CONTRACTING DEP/PSC BOX 8018</v>
      </c>
      <c r="I6114" t="str">
        <f>T("MCAS CHARRY POINT")</f>
        <v>MCAS CHARRY POINT</v>
      </c>
      <c r="J6114" t="str">
        <f t="shared" si="2353"/>
        <v>NC</v>
      </c>
      <c r="K6114" t="str">
        <f t="shared" si="2357"/>
        <v>000000000000000000</v>
      </c>
      <c r="L6114" t="str">
        <f>T("9104496213")</f>
        <v>9104496213</v>
      </c>
    </row>
    <row r="6115" spans="1:12" x14ac:dyDescent="0.35">
      <c r="A6115" t="str">
        <f t="shared" ref="A6115:A6148" si="2362">T("2D USMC AIRCRAFT WING")</f>
        <v>2D USMC AIRCRAFT WING</v>
      </c>
      <c r="B6115" t="str">
        <f t="shared" si="2349"/>
        <v>SUPPLY DIRECTORATE</v>
      </c>
      <c r="C6115" t="str">
        <f t="shared" si="2360"/>
        <v>CONTRACTING DEP/PSC BOX 8018</v>
      </c>
      <c r="D6115" t="str">
        <f t="shared" si="2361"/>
        <v>MCAS CHERRY POI</v>
      </c>
      <c r="E6115" t="str">
        <f t="shared" si="2351"/>
        <v>NC</v>
      </c>
      <c r="F6115" t="str">
        <f t="shared" si="2352"/>
        <v>285330000</v>
      </c>
      <c r="G6115" t="str">
        <f t="shared" si="2358"/>
        <v>SUPPLY DIRECTORATE</v>
      </c>
      <c r="H6115" t="str">
        <f t="shared" si="2359"/>
        <v>CONTRACTING DEP/PSC BOX 8018</v>
      </c>
      <c r="I6115" t="str">
        <f>T("MCAS CHERRY POI")</f>
        <v>MCAS CHERRY POI</v>
      </c>
      <c r="J6115" t="str">
        <f t="shared" si="2353"/>
        <v>NC</v>
      </c>
      <c r="K6115" t="str">
        <f>T("")</f>
        <v/>
      </c>
      <c r="L6115" t="str">
        <f>T("9104494131")</f>
        <v>9104494131</v>
      </c>
    </row>
    <row r="6116" spans="1:12" x14ac:dyDescent="0.35">
      <c r="A6116" t="str">
        <f t="shared" si="2362"/>
        <v>2D USMC AIRCRAFT WING</v>
      </c>
      <c r="B6116" t="str">
        <f t="shared" si="2349"/>
        <v>SUPPLY DIRECTORATE</v>
      </c>
      <c r="C6116" t="str">
        <f t="shared" si="2360"/>
        <v>CONTRACTING DEP/PSC BOX 8018</v>
      </c>
      <c r="D6116" t="str">
        <f t="shared" si="2361"/>
        <v>MCAS CHERRY POI</v>
      </c>
      <c r="E6116" t="str">
        <f t="shared" si="2351"/>
        <v>NC</v>
      </c>
      <c r="F6116" t="str">
        <f t="shared" si="2352"/>
        <v>285330000</v>
      </c>
      <c r="G6116" t="str">
        <f t="shared" si="2358"/>
        <v>SUPPLY DIRECTORATE</v>
      </c>
      <c r="H6116" t="str">
        <f t="shared" si="2359"/>
        <v>CONTRACTING DEP/PSC BOX 8018</v>
      </c>
      <c r="I6116" t="str">
        <f>T("MCAS CHERRY POI")</f>
        <v>MCAS CHERRY POI</v>
      </c>
      <c r="J6116" t="str">
        <f t="shared" si="2353"/>
        <v>NC</v>
      </c>
      <c r="K6116" t="str">
        <f>T("")</f>
        <v/>
      </c>
      <c r="L6116" t="str">
        <f>T("9104494203")</f>
        <v>9104494203</v>
      </c>
    </row>
    <row r="6117" spans="1:12" x14ac:dyDescent="0.35">
      <c r="A6117" t="str">
        <f t="shared" si="2362"/>
        <v>2D USMC AIRCRAFT WING</v>
      </c>
      <c r="B6117" t="str">
        <f t="shared" si="2349"/>
        <v>SUPPLY DIRECTORATE</v>
      </c>
      <c r="C6117" t="str">
        <f t="shared" si="2360"/>
        <v>CONTRACTING DEP/PSC BOX 8018</v>
      </c>
      <c r="D6117" t="str">
        <f t="shared" si="2361"/>
        <v>MCAS CHERRY POI</v>
      </c>
      <c r="E6117" t="str">
        <f t="shared" si="2351"/>
        <v>NC</v>
      </c>
      <c r="F6117" t="str">
        <f t="shared" si="2352"/>
        <v>285330000</v>
      </c>
      <c r="G6117" t="str">
        <f t="shared" si="2358"/>
        <v>SUPPLY DIRECTORATE</v>
      </c>
      <c r="H6117" t="str">
        <f t="shared" si="2359"/>
        <v>CONTRACTING DEP/PSC BOX 8018</v>
      </c>
      <c r="I6117" t="str">
        <f t="shared" ref="I6117:I6124" si="2363">T("MCAS CHERRY POINT")</f>
        <v>MCAS CHERRY POINT</v>
      </c>
      <c r="J6117" t="str">
        <f t="shared" si="2353"/>
        <v>NC</v>
      </c>
      <c r="K6117" t="str">
        <f t="shared" ref="K6117:K6122" si="2364">T("000000000000000000")</f>
        <v>000000000000000000</v>
      </c>
      <c r="L6117" t="str">
        <f>T("9104494184")</f>
        <v>9104494184</v>
      </c>
    </row>
    <row r="6118" spans="1:12" x14ac:dyDescent="0.35">
      <c r="A6118" t="str">
        <f t="shared" si="2362"/>
        <v>2D USMC AIRCRAFT WING</v>
      </c>
      <c r="B6118" t="str">
        <f t="shared" si="2349"/>
        <v>SUPPLY DIRECTORATE</v>
      </c>
      <c r="C6118" t="str">
        <f t="shared" si="2360"/>
        <v>CONTRACTING DEP/PSC BOX 8018</v>
      </c>
      <c r="D6118" t="str">
        <f t="shared" si="2361"/>
        <v>MCAS CHERRY POI</v>
      </c>
      <c r="E6118" t="str">
        <f t="shared" si="2351"/>
        <v>NC</v>
      </c>
      <c r="F6118" t="str">
        <f t="shared" si="2352"/>
        <v>285330000</v>
      </c>
      <c r="G6118" t="str">
        <f t="shared" si="2358"/>
        <v>SUPPLY DIRECTORATE</v>
      </c>
      <c r="H6118" t="str">
        <f t="shared" si="2359"/>
        <v>CONTRACTING DEP/PSC BOX 8018</v>
      </c>
      <c r="I6118" t="str">
        <f t="shared" si="2363"/>
        <v>MCAS CHERRY POINT</v>
      </c>
      <c r="J6118" t="str">
        <f t="shared" si="2353"/>
        <v>NC</v>
      </c>
      <c r="K6118" t="str">
        <f t="shared" si="2364"/>
        <v>000000000000000000</v>
      </c>
      <c r="L6118" t="str">
        <f>T("9104494319")</f>
        <v>9104494319</v>
      </c>
    </row>
    <row r="6119" spans="1:12" x14ac:dyDescent="0.35">
      <c r="A6119" t="str">
        <f t="shared" si="2362"/>
        <v>2D USMC AIRCRAFT WING</v>
      </c>
      <c r="B6119" t="str">
        <f t="shared" si="2349"/>
        <v>SUPPLY DIRECTORATE</v>
      </c>
      <c r="C6119" t="str">
        <f t="shared" si="2360"/>
        <v>CONTRACTING DEP/PSC BOX 8018</v>
      </c>
      <c r="D6119" t="str">
        <f t="shared" si="2361"/>
        <v>MCAS CHERRY POI</v>
      </c>
      <c r="E6119" t="str">
        <f t="shared" si="2351"/>
        <v>NC</v>
      </c>
      <c r="F6119" t="str">
        <f t="shared" si="2352"/>
        <v>285330000</v>
      </c>
      <c r="G6119" t="str">
        <f t="shared" si="2358"/>
        <v>SUPPLY DIRECTORATE</v>
      </c>
      <c r="H6119" t="str">
        <f t="shared" si="2359"/>
        <v>CONTRACTING DEP/PSC BOX 8018</v>
      </c>
      <c r="I6119" t="str">
        <f t="shared" si="2363"/>
        <v>MCAS CHERRY POINT</v>
      </c>
      <c r="J6119" t="str">
        <f t="shared" si="2353"/>
        <v>NC</v>
      </c>
      <c r="K6119" t="str">
        <f t="shared" si="2364"/>
        <v>000000000000000000</v>
      </c>
      <c r="L6119" t="str">
        <f>T("9104496972")</f>
        <v>9104496972</v>
      </c>
    </row>
    <row r="6120" spans="1:12" x14ac:dyDescent="0.35">
      <c r="A6120" t="str">
        <f t="shared" si="2362"/>
        <v>2D USMC AIRCRAFT WING</v>
      </c>
      <c r="B6120" t="str">
        <f t="shared" si="2349"/>
        <v>SUPPLY DIRECTORATE</v>
      </c>
      <c r="C6120" t="str">
        <f t="shared" si="2360"/>
        <v>CONTRACTING DEP/PSC BOX 8018</v>
      </c>
      <c r="D6120" t="str">
        <f t="shared" si="2361"/>
        <v>MCAS CHERRY POI</v>
      </c>
      <c r="E6120" t="str">
        <f t="shared" si="2351"/>
        <v>NC</v>
      </c>
      <c r="F6120" t="str">
        <f t="shared" si="2352"/>
        <v>285330000</v>
      </c>
      <c r="G6120" t="str">
        <f t="shared" si="2358"/>
        <v>SUPPLY DIRECTORATE</v>
      </c>
      <c r="H6120" t="str">
        <f t="shared" si="2359"/>
        <v>CONTRACTING DEP/PSC BOX 8018</v>
      </c>
      <c r="I6120" t="str">
        <f t="shared" si="2363"/>
        <v>MCAS CHERRY POINT</v>
      </c>
      <c r="J6120" t="str">
        <f t="shared" si="2353"/>
        <v>NC</v>
      </c>
      <c r="K6120" t="str">
        <f t="shared" si="2364"/>
        <v>000000000000000000</v>
      </c>
      <c r="L6120" t="str">
        <f>T("9104497612")</f>
        <v>9104497612</v>
      </c>
    </row>
    <row r="6121" spans="1:12" x14ac:dyDescent="0.35">
      <c r="A6121" t="str">
        <f t="shared" si="2362"/>
        <v>2D USMC AIRCRAFT WING</v>
      </c>
      <c r="B6121" t="str">
        <f t="shared" si="2349"/>
        <v>SUPPLY DIRECTORATE</v>
      </c>
      <c r="C6121" t="str">
        <f t="shared" si="2360"/>
        <v>CONTRACTING DEP/PSC BOX 8018</v>
      </c>
      <c r="D6121" t="str">
        <f t="shared" si="2361"/>
        <v>MCAS CHERRY POI</v>
      </c>
      <c r="E6121" t="str">
        <f t="shared" si="2351"/>
        <v>NC</v>
      </c>
      <c r="F6121" t="str">
        <f t="shared" si="2352"/>
        <v>285330000</v>
      </c>
      <c r="G6121" t="str">
        <f t="shared" si="2358"/>
        <v>SUPPLY DIRECTORATE</v>
      </c>
      <c r="H6121" t="str">
        <f t="shared" si="2359"/>
        <v>CONTRACTING DEP/PSC BOX 8018</v>
      </c>
      <c r="I6121" t="str">
        <f t="shared" si="2363"/>
        <v>MCAS CHERRY POINT</v>
      </c>
      <c r="J6121" t="str">
        <f t="shared" si="2353"/>
        <v>NC</v>
      </c>
      <c r="K6121" t="str">
        <f t="shared" si="2364"/>
        <v>000000000000000000</v>
      </c>
      <c r="L6121" t="str">
        <f>T("9104497613")</f>
        <v>9104497613</v>
      </c>
    </row>
    <row r="6122" spans="1:12" x14ac:dyDescent="0.35">
      <c r="A6122" t="str">
        <f t="shared" si="2362"/>
        <v>2D USMC AIRCRAFT WING</v>
      </c>
      <c r="B6122" t="str">
        <f t="shared" si="2349"/>
        <v>SUPPLY DIRECTORATE</v>
      </c>
      <c r="C6122" t="str">
        <f t="shared" si="2360"/>
        <v>CONTRACTING DEP/PSC BOX 8018</v>
      </c>
      <c r="D6122" t="str">
        <f>T("MCAS CHERRY POINT")</f>
        <v>MCAS CHERRY POINT</v>
      </c>
      <c r="E6122" t="str">
        <f t="shared" si="2351"/>
        <v>NC</v>
      </c>
      <c r="F6122" t="str">
        <f t="shared" si="2352"/>
        <v>285330000</v>
      </c>
      <c r="G6122" t="str">
        <f t="shared" si="2358"/>
        <v>SUPPLY DIRECTORATE</v>
      </c>
      <c r="H6122" t="str">
        <f>T("CONTRACTING DEP/ PSC BOX 8018")</f>
        <v>CONTRACTING DEP/ PSC BOX 8018</v>
      </c>
      <c r="I6122" t="str">
        <f t="shared" si="2363"/>
        <v>MCAS CHERRY POINT</v>
      </c>
      <c r="J6122" t="str">
        <f t="shared" si="2353"/>
        <v>NC</v>
      </c>
      <c r="K6122" t="str">
        <f t="shared" si="2364"/>
        <v>000000000000000000</v>
      </c>
      <c r="L6122" t="str">
        <f>T("2524662836")</f>
        <v>2524662836</v>
      </c>
    </row>
    <row r="6123" spans="1:12" x14ac:dyDescent="0.35">
      <c r="A6123" t="str">
        <f t="shared" si="2362"/>
        <v>2D USMC AIRCRAFT WING</v>
      </c>
      <c r="B6123" t="str">
        <f t="shared" si="2349"/>
        <v>SUPPLY DIRECTORATE</v>
      </c>
      <c r="C6123" t="str">
        <f t="shared" si="2360"/>
        <v>CONTRACTING DEP/PSC BOX 8018</v>
      </c>
      <c r="D6123" t="str">
        <f>T("MCAS CHERRY POINT")</f>
        <v>MCAS CHERRY POINT</v>
      </c>
      <c r="E6123" t="str">
        <f t="shared" si="2351"/>
        <v>NC</v>
      </c>
      <c r="F6123" t="str">
        <f t="shared" si="2352"/>
        <v>285330000</v>
      </c>
      <c r="G6123" t="str">
        <f t="shared" si="2358"/>
        <v>SUPPLY DIRECTORATE</v>
      </c>
      <c r="H6123" t="str">
        <f t="shared" ref="H6123:H6133" si="2365">T("CONTRACTING DEP/PSC BOX 8018")</f>
        <v>CONTRACTING DEP/PSC BOX 8018</v>
      </c>
      <c r="I6123" t="str">
        <f t="shared" si="2363"/>
        <v>MCAS CHERRY POINT</v>
      </c>
      <c r="J6123" t="str">
        <f t="shared" si="2353"/>
        <v>NC</v>
      </c>
      <c r="K6123" t="str">
        <f>T("")</f>
        <v/>
      </c>
      <c r="L6123" t="str">
        <f>T("2524664247")</f>
        <v>2524664247</v>
      </c>
    </row>
    <row r="6124" spans="1:12" x14ac:dyDescent="0.35">
      <c r="A6124" t="str">
        <f t="shared" si="2362"/>
        <v>2D USMC AIRCRAFT WING</v>
      </c>
      <c r="B6124" t="str">
        <f t="shared" si="2349"/>
        <v>SUPPLY DIRECTORATE</v>
      </c>
      <c r="C6124" t="str">
        <f t="shared" si="2360"/>
        <v>CONTRACTING DEP/PSC BOX 8018</v>
      </c>
      <c r="D6124" t="str">
        <f t="shared" ref="D6124:D6129" si="2366">T("MCAS CHERRY PT")</f>
        <v>MCAS CHERRY PT</v>
      </c>
      <c r="E6124" t="str">
        <f t="shared" si="2351"/>
        <v>NC</v>
      </c>
      <c r="F6124" t="str">
        <f t="shared" si="2352"/>
        <v>285330000</v>
      </c>
      <c r="G6124" t="str">
        <f t="shared" si="2358"/>
        <v>SUPPLY DIRECTORATE</v>
      </c>
      <c r="H6124" t="str">
        <f t="shared" si="2365"/>
        <v>CONTRACTING DEP/PSC BOX 8018</v>
      </c>
      <c r="I6124" t="str">
        <f t="shared" si="2363"/>
        <v>MCAS CHERRY POINT</v>
      </c>
      <c r="J6124" t="str">
        <f t="shared" si="2353"/>
        <v>NC</v>
      </c>
      <c r="K6124" t="str">
        <f>T("000000000000000000")</f>
        <v>000000000000000000</v>
      </c>
      <c r="L6124" t="str">
        <f>T("9104496021")</f>
        <v>9104496021</v>
      </c>
    </row>
    <row r="6125" spans="1:12" x14ac:dyDescent="0.35">
      <c r="A6125" t="str">
        <f t="shared" si="2362"/>
        <v>2D USMC AIRCRAFT WING</v>
      </c>
      <c r="B6125" t="str">
        <f t="shared" si="2349"/>
        <v>SUPPLY DIRECTORATE</v>
      </c>
      <c r="C6125" t="str">
        <f t="shared" si="2360"/>
        <v>CONTRACTING DEP/PSC BOX 8018</v>
      </c>
      <c r="D6125" t="str">
        <f t="shared" si="2366"/>
        <v>MCAS CHERRY PT</v>
      </c>
      <c r="E6125" t="str">
        <f t="shared" si="2351"/>
        <v>NC</v>
      </c>
      <c r="F6125" t="str">
        <f t="shared" si="2352"/>
        <v>285330000</v>
      </c>
      <c r="G6125" t="str">
        <f t="shared" si="2358"/>
        <v>SUPPLY DIRECTORATE</v>
      </c>
      <c r="H6125" t="str">
        <f t="shared" si="2365"/>
        <v>CONTRACTING DEP/PSC BOX 8018</v>
      </c>
      <c r="I6125" t="str">
        <f>T("MCAS CHERRY PT")</f>
        <v>MCAS CHERRY PT</v>
      </c>
      <c r="J6125" t="str">
        <f t="shared" si="2353"/>
        <v>NC</v>
      </c>
      <c r="K6125" t="str">
        <f>T("000000000000000000")</f>
        <v>000000000000000000</v>
      </c>
      <c r="L6125" t="str">
        <f>T("9104497705")</f>
        <v>9104497705</v>
      </c>
    </row>
    <row r="6126" spans="1:12" x14ac:dyDescent="0.35">
      <c r="A6126" t="str">
        <f t="shared" si="2362"/>
        <v>2D USMC AIRCRAFT WING</v>
      </c>
      <c r="B6126" t="str">
        <f t="shared" si="2349"/>
        <v>SUPPLY DIRECTORATE</v>
      </c>
      <c r="C6126" t="str">
        <f t="shared" si="2360"/>
        <v>CONTRACTING DEP/PSC BOX 8018</v>
      </c>
      <c r="D6126" t="str">
        <f t="shared" si="2366"/>
        <v>MCAS CHERRY PT</v>
      </c>
      <c r="E6126" t="str">
        <f t="shared" si="2351"/>
        <v>NC</v>
      </c>
      <c r="F6126" t="str">
        <f>T("285330018")</f>
        <v>285330018</v>
      </c>
      <c r="G6126" t="str">
        <f t="shared" si="2358"/>
        <v>SUPPLY DIRECTORATE</v>
      </c>
      <c r="H6126" t="str">
        <f t="shared" si="2365"/>
        <v>CONTRACTING DEP/PSC BOX 8018</v>
      </c>
      <c r="I6126" t="str">
        <f>T("MCAS CHERRY POINT")</f>
        <v>MCAS CHERRY POINT</v>
      </c>
      <c r="J6126" t="str">
        <f t="shared" si="2353"/>
        <v>NC</v>
      </c>
      <c r="K6126" t="str">
        <f>T("000000000000000000")</f>
        <v>000000000000000000</v>
      </c>
      <c r="L6126" t="str">
        <f>T("2524662851")</f>
        <v>2524662851</v>
      </c>
    </row>
    <row r="6127" spans="1:12" x14ac:dyDescent="0.35">
      <c r="A6127" t="str">
        <f t="shared" si="2362"/>
        <v>2D USMC AIRCRAFT WING</v>
      </c>
      <c r="B6127" t="str">
        <f t="shared" si="2349"/>
        <v>SUPPLY DIRECTORATE</v>
      </c>
      <c r="C6127" t="str">
        <f t="shared" si="2360"/>
        <v>CONTRACTING DEP/PSC BOX 8018</v>
      </c>
      <c r="D6127" t="str">
        <f t="shared" si="2366"/>
        <v>MCAS CHERRY PT</v>
      </c>
      <c r="E6127" t="str">
        <f t="shared" ref="E6127:E6158" si="2367">T("NC")</f>
        <v>NC</v>
      </c>
      <c r="F6127" t="str">
        <f>T("285330018")</f>
        <v>285330018</v>
      </c>
      <c r="G6127" t="str">
        <f t="shared" si="2358"/>
        <v>SUPPLY DIRECTORATE</v>
      </c>
      <c r="H6127" t="str">
        <f t="shared" si="2365"/>
        <v>CONTRACTING DEP/PSC BOX 8018</v>
      </c>
      <c r="I6127" t="str">
        <f>T("MCAS CHERRY POINT")</f>
        <v>MCAS CHERRY POINT</v>
      </c>
      <c r="J6127" t="str">
        <f t="shared" ref="J6127:J6158" si="2368">T("NC")</f>
        <v>NC</v>
      </c>
      <c r="K6127" t="str">
        <f>T("000000000000000000")</f>
        <v>000000000000000000</v>
      </c>
      <c r="L6127" t="str">
        <f>T("2524667499")</f>
        <v>2524667499</v>
      </c>
    </row>
    <row r="6128" spans="1:12" x14ac:dyDescent="0.35">
      <c r="A6128" t="str">
        <f t="shared" si="2362"/>
        <v>2D USMC AIRCRAFT WING</v>
      </c>
      <c r="B6128" t="str">
        <f t="shared" si="2349"/>
        <v>SUPPLY DIRECTORATE</v>
      </c>
      <c r="C6128" t="str">
        <f t="shared" si="2360"/>
        <v>CONTRACTING DEP/PSC BOX 8018</v>
      </c>
      <c r="D6128" t="str">
        <f t="shared" si="2366"/>
        <v>MCAS CHERRY PT</v>
      </c>
      <c r="E6128" t="str">
        <f t="shared" si="2367"/>
        <v>NC</v>
      </c>
      <c r="F6128" t="str">
        <f>T("285330018")</f>
        <v>285330018</v>
      </c>
      <c r="G6128" t="str">
        <f t="shared" si="2358"/>
        <v>SUPPLY DIRECTORATE</v>
      </c>
      <c r="H6128" t="str">
        <f t="shared" si="2365"/>
        <v>CONTRACTING DEP/PSC BOX 8018</v>
      </c>
      <c r="I6128" t="str">
        <f>T("MCAS CHERRY PT")</f>
        <v>MCAS CHERRY PT</v>
      </c>
      <c r="J6128" t="str">
        <f t="shared" si="2368"/>
        <v>NC</v>
      </c>
      <c r="K6128" t="str">
        <f>T("")</f>
        <v/>
      </c>
      <c r="L6128" t="str">
        <f>T("2524667594")</f>
        <v>2524667594</v>
      </c>
    </row>
    <row r="6129" spans="1:12" x14ac:dyDescent="0.35">
      <c r="A6129" t="str">
        <f t="shared" si="2362"/>
        <v>2D USMC AIRCRAFT WING</v>
      </c>
      <c r="B6129" t="str">
        <f t="shared" si="2349"/>
        <v>SUPPLY DIRECTORATE</v>
      </c>
      <c r="C6129" t="str">
        <f t="shared" si="2360"/>
        <v>CONTRACTING DEP/PSC BOX 8018</v>
      </c>
      <c r="D6129" t="str">
        <f t="shared" si="2366"/>
        <v>MCAS CHERRY PT</v>
      </c>
      <c r="E6129" t="str">
        <f t="shared" si="2367"/>
        <v>NC</v>
      </c>
      <c r="F6129" t="str">
        <f>T("285330018")</f>
        <v>285330018</v>
      </c>
      <c r="G6129" t="str">
        <f>T("SUPPLYDIRECTORATE")</f>
        <v>SUPPLYDIRECTORATE</v>
      </c>
      <c r="H6129" t="str">
        <f t="shared" si="2365"/>
        <v>CONTRACTING DEP/PSC BOX 8018</v>
      </c>
      <c r="I6129" t="str">
        <f>T("MCAS CHERRY POINT")</f>
        <v>MCAS CHERRY POINT</v>
      </c>
      <c r="J6129" t="str">
        <f t="shared" si="2368"/>
        <v>NC</v>
      </c>
      <c r="K6129" t="str">
        <f t="shared" ref="K6129:K6138" si="2369">T("000000000000000000")</f>
        <v>000000000000000000</v>
      </c>
      <c r="L6129" t="str">
        <f>T("2524665731")</f>
        <v>2524665731</v>
      </c>
    </row>
    <row r="6130" spans="1:12" x14ac:dyDescent="0.35">
      <c r="A6130" t="str">
        <f t="shared" si="2362"/>
        <v>2D USMC AIRCRAFT WING</v>
      </c>
      <c r="B6130" t="str">
        <f t="shared" si="2349"/>
        <v>SUPPLY DIRECTORATE</v>
      </c>
      <c r="C6130" t="str">
        <f t="shared" ref="C6130:C6143" si="2370">T("CONTRACTING DEPT/PSC BOX 8018")</f>
        <v>CONTRACTING DEPT/PSC BOX 8018</v>
      </c>
      <c r="D6130" t="str">
        <f t="shared" ref="D6130:D6135" si="2371">T("CHERRY POINT")</f>
        <v>CHERRY POINT</v>
      </c>
      <c r="E6130" t="str">
        <f t="shared" si="2367"/>
        <v>NC</v>
      </c>
      <c r="F6130" t="str">
        <f t="shared" ref="F6130:F6150" si="2372">T("285330000")</f>
        <v>285330000</v>
      </c>
      <c r="G6130" t="str">
        <f t="shared" ref="G6130:G6142" si="2373">T("SUPPLY DIRECTORATE")</f>
        <v>SUPPLY DIRECTORATE</v>
      </c>
      <c r="H6130" t="str">
        <f t="shared" si="2365"/>
        <v>CONTRACTING DEP/PSC BOX 8018</v>
      </c>
      <c r="I6130" t="str">
        <f>T("MCAS CHERRY")</f>
        <v>MCAS CHERRY</v>
      </c>
      <c r="J6130" t="str">
        <f t="shared" si="2368"/>
        <v>NC</v>
      </c>
      <c r="K6130" t="str">
        <f t="shared" si="2369"/>
        <v>000000000000000000</v>
      </c>
      <c r="L6130" t="str">
        <f>T("2524662749")</f>
        <v>2524662749</v>
      </c>
    </row>
    <row r="6131" spans="1:12" x14ac:dyDescent="0.35">
      <c r="A6131" t="str">
        <f t="shared" si="2362"/>
        <v>2D USMC AIRCRAFT WING</v>
      </c>
      <c r="B6131" t="str">
        <f t="shared" si="2349"/>
        <v>SUPPLY DIRECTORATE</v>
      </c>
      <c r="C6131" t="str">
        <f t="shared" si="2370"/>
        <v>CONTRACTING DEPT/PSC BOX 8018</v>
      </c>
      <c r="D6131" t="str">
        <f t="shared" si="2371"/>
        <v>CHERRY POINT</v>
      </c>
      <c r="E6131" t="str">
        <f t="shared" si="2367"/>
        <v>NC</v>
      </c>
      <c r="F6131" t="str">
        <f t="shared" si="2372"/>
        <v>285330000</v>
      </c>
      <c r="G6131" t="str">
        <f t="shared" si="2373"/>
        <v>SUPPLY DIRECTORATE</v>
      </c>
      <c r="H6131" t="str">
        <f t="shared" si="2365"/>
        <v>CONTRACTING DEP/PSC BOX 8018</v>
      </c>
      <c r="I6131" t="str">
        <f>T("MCAS CHERRY POINT")</f>
        <v>MCAS CHERRY POINT</v>
      </c>
      <c r="J6131" t="str">
        <f t="shared" si="2368"/>
        <v>NC</v>
      </c>
      <c r="K6131" t="str">
        <f t="shared" si="2369"/>
        <v>000000000000000000</v>
      </c>
      <c r="L6131" t="str">
        <f>T("2524663024")</f>
        <v>2524663024</v>
      </c>
    </row>
    <row r="6132" spans="1:12" x14ac:dyDescent="0.35">
      <c r="A6132" t="str">
        <f t="shared" si="2362"/>
        <v>2D USMC AIRCRAFT WING</v>
      </c>
      <c r="B6132" t="str">
        <f t="shared" si="2349"/>
        <v>SUPPLY DIRECTORATE</v>
      </c>
      <c r="C6132" t="str">
        <f t="shared" si="2370"/>
        <v>CONTRACTING DEPT/PSC BOX 8018</v>
      </c>
      <c r="D6132" t="str">
        <f t="shared" si="2371"/>
        <v>CHERRY POINT</v>
      </c>
      <c r="E6132" t="str">
        <f t="shared" si="2367"/>
        <v>NC</v>
      </c>
      <c r="F6132" t="str">
        <f t="shared" si="2372"/>
        <v>285330000</v>
      </c>
      <c r="G6132" t="str">
        <f t="shared" si="2373"/>
        <v>SUPPLY DIRECTORATE</v>
      </c>
      <c r="H6132" t="str">
        <f t="shared" si="2365"/>
        <v>CONTRACTING DEP/PSC BOX 8018</v>
      </c>
      <c r="I6132" t="str">
        <f>T("MCAS CHERRY POINT")</f>
        <v>MCAS CHERRY POINT</v>
      </c>
      <c r="J6132" t="str">
        <f t="shared" si="2368"/>
        <v>NC</v>
      </c>
      <c r="K6132" t="str">
        <f t="shared" si="2369"/>
        <v>000000000000000000</v>
      </c>
      <c r="L6132" t="str">
        <f>T("2524665005")</f>
        <v>2524665005</v>
      </c>
    </row>
    <row r="6133" spans="1:12" x14ac:dyDescent="0.35">
      <c r="A6133" t="str">
        <f t="shared" si="2362"/>
        <v>2D USMC AIRCRAFT WING</v>
      </c>
      <c r="B6133" t="str">
        <f t="shared" si="2349"/>
        <v>SUPPLY DIRECTORATE</v>
      </c>
      <c r="C6133" t="str">
        <f t="shared" si="2370"/>
        <v>CONTRACTING DEPT/PSC BOX 8018</v>
      </c>
      <c r="D6133" t="str">
        <f t="shared" si="2371"/>
        <v>CHERRY POINT</v>
      </c>
      <c r="E6133" t="str">
        <f t="shared" si="2367"/>
        <v>NC</v>
      </c>
      <c r="F6133" t="str">
        <f t="shared" si="2372"/>
        <v>285330000</v>
      </c>
      <c r="G6133" t="str">
        <f t="shared" si="2373"/>
        <v>SUPPLY DIRECTORATE</v>
      </c>
      <c r="H6133" t="str">
        <f t="shared" si="2365"/>
        <v>CONTRACTING DEP/PSC BOX 8018</v>
      </c>
      <c r="I6133" t="str">
        <f>T("MCAS CHERRY POINT")</f>
        <v>MCAS CHERRY POINT</v>
      </c>
      <c r="J6133" t="str">
        <f t="shared" si="2368"/>
        <v>NC</v>
      </c>
      <c r="K6133" t="str">
        <f t="shared" si="2369"/>
        <v>000000000000000000</v>
      </c>
      <c r="L6133" t="str">
        <f>T("2524665689")</f>
        <v>2524665689</v>
      </c>
    </row>
    <row r="6134" spans="1:12" x14ac:dyDescent="0.35">
      <c r="A6134" t="str">
        <f t="shared" si="2362"/>
        <v>2D USMC AIRCRAFT WING</v>
      </c>
      <c r="B6134" t="str">
        <f t="shared" si="2349"/>
        <v>SUPPLY DIRECTORATE</v>
      </c>
      <c r="C6134" t="str">
        <f t="shared" si="2370"/>
        <v>CONTRACTING DEPT/PSC BOX 8018</v>
      </c>
      <c r="D6134" t="str">
        <f t="shared" si="2371"/>
        <v>CHERRY POINT</v>
      </c>
      <c r="E6134" t="str">
        <f t="shared" si="2367"/>
        <v>NC</v>
      </c>
      <c r="F6134" t="str">
        <f t="shared" si="2372"/>
        <v>285330000</v>
      </c>
      <c r="G6134" t="str">
        <f t="shared" si="2373"/>
        <v>SUPPLY DIRECTORATE</v>
      </c>
      <c r="H6134" t="str">
        <f>T("CONTRACTING DEPT/PSC BOX 8018")</f>
        <v>CONTRACTING DEPT/PSC BOX 8018</v>
      </c>
      <c r="I6134" t="str">
        <f>T("CHERRY POINT")</f>
        <v>CHERRY POINT</v>
      </c>
      <c r="J6134" t="str">
        <f t="shared" si="2368"/>
        <v>NC</v>
      </c>
      <c r="K6134" t="str">
        <f t="shared" si="2369"/>
        <v>000000000000000000</v>
      </c>
      <c r="L6134" t="str">
        <f>T("2524662041")</f>
        <v>2524662041</v>
      </c>
    </row>
    <row r="6135" spans="1:12" x14ac:dyDescent="0.35">
      <c r="A6135" t="str">
        <f t="shared" si="2362"/>
        <v>2D USMC AIRCRAFT WING</v>
      </c>
      <c r="B6135" t="str">
        <f t="shared" si="2349"/>
        <v>SUPPLY DIRECTORATE</v>
      </c>
      <c r="C6135" t="str">
        <f t="shared" si="2370"/>
        <v>CONTRACTING DEPT/PSC BOX 8018</v>
      </c>
      <c r="D6135" t="str">
        <f t="shared" si="2371"/>
        <v>CHERRY POINT</v>
      </c>
      <c r="E6135" t="str">
        <f t="shared" si="2367"/>
        <v>NC</v>
      </c>
      <c r="F6135" t="str">
        <f t="shared" si="2372"/>
        <v>285330000</v>
      </c>
      <c r="G6135" t="str">
        <f t="shared" si="2373"/>
        <v>SUPPLY DIRECTORATE</v>
      </c>
      <c r="H6135" t="str">
        <f>T("CONTRACTING DEPT/PSC BOX 8018")</f>
        <v>CONTRACTING DEPT/PSC BOX 8018</v>
      </c>
      <c r="I6135" t="str">
        <f>T("CHERRY POINT")</f>
        <v>CHERRY POINT</v>
      </c>
      <c r="J6135" t="str">
        <f t="shared" si="2368"/>
        <v>NC</v>
      </c>
      <c r="K6135" t="str">
        <f t="shared" si="2369"/>
        <v>000000000000000000</v>
      </c>
      <c r="L6135" t="str">
        <f>T("2524662727")</f>
        <v>2524662727</v>
      </c>
    </row>
    <row r="6136" spans="1:12" x14ac:dyDescent="0.35">
      <c r="A6136" t="str">
        <f t="shared" si="2362"/>
        <v>2D USMC AIRCRAFT WING</v>
      </c>
      <c r="B6136" t="str">
        <f t="shared" si="2349"/>
        <v>SUPPLY DIRECTORATE</v>
      </c>
      <c r="C6136" t="str">
        <f t="shared" si="2370"/>
        <v>CONTRACTING DEPT/PSC BOX 8018</v>
      </c>
      <c r="D6136" t="str">
        <f t="shared" ref="D6136:D6143" si="2374">T("MCAS CHERRY PT")</f>
        <v>MCAS CHERRY PT</v>
      </c>
      <c r="E6136" t="str">
        <f t="shared" si="2367"/>
        <v>NC</v>
      </c>
      <c r="F6136" t="str">
        <f t="shared" si="2372"/>
        <v>285330000</v>
      </c>
      <c r="G6136" t="str">
        <f t="shared" si="2373"/>
        <v>SUPPLY DIRECTORATE</v>
      </c>
      <c r="H6136" t="str">
        <f>T("CONTRACTING DEP/PSC BOX 8018")</f>
        <v>CONTRACTING DEP/PSC BOX 8018</v>
      </c>
      <c r="I6136" t="str">
        <f>T("MCAS CHARRY POINT")</f>
        <v>MCAS CHARRY POINT</v>
      </c>
      <c r="J6136" t="str">
        <f t="shared" si="2368"/>
        <v>NC</v>
      </c>
      <c r="K6136" t="str">
        <f t="shared" si="2369"/>
        <v>000000000000000000</v>
      </c>
      <c r="L6136" t="str">
        <f>T("9104497484")</f>
        <v>9104497484</v>
      </c>
    </row>
    <row r="6137" spans="1:12" x14ac:dyDescent="0.35">
      <c r="A6137" t="str">
        <f t="shared" si="2362"/>
        <v>2D USMC AIRCRAFT WING</v>
      </c>
      <c r="B6137" t="str">
        <f t="shared" si="2349"/>
        <v>SUPPLY DIRECTORATE</v>
      </c>
      <c r="C6137" t="str">
        <f t="shared" si="2370"/>
        <v>CONTRACTING DEPT/PSC BOX 8018</v>
      </c>
      <c r="D6137" t="str">
        <f t="shared" si="2374"/>
        <v>MCAS CHERRY PT</v>
      </c>
      <c r="E6137" t="str">
        <f t="shared" si="2367"/>
        <v>NC</v>
      </c>
      <c r="F6137" t="str">
        <f t="shared" si="2372"/>
        <v>285330000</v>
      </c>
      <c r="G6137" t="str">
        <f t="shared" si="2373"/>
        <v>SUPPLY DIRECTORATE</v>
      </c>
      <c r="H6137" t="str">
        <f>T("CONTRACTING DEP/PSC BOX 8018")</f>
        <v>CONTRACTING DEP/PSC BOX 8018</v>
      </c>
      <c r="I6137" t="str">
        <f>T("MCAS CHERRY POINT")</f>
        <v>MCAS CHERRY POINT</v>
      </c>
      <c r="J6137" t="str">
        <f t="shared" si="2368"/>
        <v>NC</v>
      </c>
      <c r="K6137" t="str">
        <f t="shared" si="2369"/>
        <v>000000000000000000</v>
      </c>
      <c r="L6137" t="str">
        <f>T("9104497482")</f>
        <v>9104497482</v>
      </c>
    </row>
    <row r="6138" spans="1:12" x14ac:dyDescent="0.35">
      <c r="A6138" t="str">
        <f t="shared" si="2362"/>
        <v>2D USMC AIRCRAFT WING</v>
      </c>
      <c r="B6138" t="str">
        <f t="shared" si="2349"/>
        <v>SUPPLY DIRECTORATE</v>
      </c>
      <c r="C6138" t="str">
        <f t="shared" si="2370"/>
        <v>CONTRACTING DEPT/PSC BOX 8018</v>
      </c>
      <c r="D6138" t="str">
        <f t="shared" si="2374"/>
        <v>MCAS CHERRY PT</v>
      </c>
      <c r="E6138" t="str">
        <f t="shared" si="2367"/>
        <v>NC</v>
      </c>
      <c r="F6138" t="str">
        <f t="shared" si="2372"/>
        <v>285330000</v>
      </c>
      <c r="G6138" t="str">
        <f t="shared" si="2373"/>
        <v>SUPPLY DIRECTORATE</v>
      </c>
      <c r="H6138" t="str">
        <f>T("CONTRACTING DEP/PSC BOX 8018")</f>
        <v>CONTRACTING DEP/PSC BOX 8018</v>
      </c>
      <c r="I6138" t="str">
        <f>T("MCAS CHERRY POINT")</f>
        <v>MCAS CHERRY POINT</v>
      </c>
      <c r="J6138" t="str">
        <f t="shared" si="2368"/>
        <v>NC</v>
      </c>
      <c r="K6138" t="str">
        <f t="shared" si="2369"/>
        <v>000000000000000000</v>
      </c>
      <c r="L6138" t="str">
        <f>T("9104497484")</f>
        <v>9104497484</v>
      </c>
    </row>
    <row r="6139" spans="1:12" x14ac:dyDescent="0.35">
      <c r="A6139" t="str">
        <f t="shared" si="2362"/>
        <v>2D USMC AIRCRAFT WING</v>
      </c>
      <c r="B6139" t="str">
        <f t="shared" si="2349"/>
        <v>SUPPLY DIRECTORATE</v>
      </c>
      <c r="C6139" t="str">
        <f t="shared" si="2370"/>
        <v>CONTRACTING DEPT/PSC BOX 8018</v>
      </c>
      <c r="D6139" t="str">
        <f t="shared" si="2374"/>
        <v>MCAS CHERRY PT</v>
      </c>
      <c r="E6139" t="str">
        <f t="shared" si="2367"/>
        <v>NC</v>
      </c>
      <c r="F6139" t="str">
        <f t="shared" si="2372"/>
        <v>285330000</v>
      </c>
      <c r="G6139" t="str">
        <f t="shared" si="2373"/>
        <v>SUPPLY DIRECTORATE</v>
      </c>
      <c r="H6139" t="str">
        <f>T("CONTRACTING DEPT/PSC BOX 8018")</f>
        <v>CONTRACTING DEPT/PSC BOX 8018</v>
      </c>
      <c r="I6139" t="str">
        <f>T("MCAS CHERRY PT")</f>
        <v>MCAS CHERRY PT</v>
      </c>
      <c r="J6139" t="str">
        <f t="shared" si="2368"/>
        <v>NC</v>
      </c>
      <c r="K6139" t="str">
        <f>T("9104512193")</f>
        <v>9104512193</v>
      </c>
      <c r="L6139" t="str">
        <f>T("9104496570")</f>
        <v>9104496570</v>
      </c>
    </row>
    <row r="6140" spans="1:12" x14ac:dyDescent="0.35">
      <c r="A6140" t="str">
        <f t="shared" si="2362"/>
        <v>2D USMC AIRCRAFT WING</v>
      </c>
      <c r="B6140" t="str">
        <f>T("SUPPLY DIRECTORATE           G DEPT")</f>
        <v>SUPPLY DIRECTORATE           G DEPT</v>
      </c>
      <c r="C6140" t="str">
        <f t="shared" si="2370"/>
        <v>CONTRACTING DEPT/PSC BOX 8018</v>
      </c>
      <c r="D6140" t="str">
        <f t="shared" si="2374"/>
        <v>MCAS CHERRY PT</v>
      </c>
      <c r="E6140" t="str">
        <f t="shared" si="2367"/>
        <v>NC</v>
      </c>
      <c r="F6140" t="str">
        <f t="shared" si="2372"/>
        <v>285330000</v>
      </c>
      <c r="G6140" t="str">
        <f t="shared" si="2373"/>
        <v>SUPPLY DIRECTORATE</v>
      </c>
      <c r="H6140" t="str">
        <f>T("CONTRACTING DEP/PSC BOX 8018")</f>
        <v>CONTRACTING DEP/PSC BOX 8018</v>
      </c>
      <c r="I6140" t="str">
        <f>T("CHERRY POINT")</f>
        <v>CHERRY POINT</v>
      </c>
      <c r="J6140" t="str">
        <f t="shared" si="2368"/>
        <v>NC</v>
      </c>
      <c r="K6140" t="str">
        <f>T("000000000000000000")</f>
        <v>000000000000000000</v>
      </c>
      <c r="L6140" t="str">
        <f>T("2524665518")</f>
        <v>2524665518</v>
      </c>
    </row>
    <row r="6141" spans="1:12" x14ac:dyDescent="0.35">
      <c r="A6141" t="str">
        <f t="shared" si="2362"/>
        <v>2D USMC AIRCRAFT WING</v>
      </c>
      <c r="B6141" t="str">
        <f>T("SUPPLY DIRECTORATE           G DEPT")</f>
        <v>SUPPLY DIRECTORATE           G DEPT</v>
      </c>
      <c r="C6141" t="str">
        <f t="shared" si="2370"/>
        <v>CONTRACTING DEPT/PSC BOX 8018</v>
      </c>
      <c r="D6141" t="str">
        <f t="shared" si="2374"/>
        <v>MCAS CHERRY PT</v>
      </c>
      <c r="E6141" t="str">
        <f t="shared" si="2367"/>
        <v>NC</v>
      </c>
      <c r="F6141" t="str">
        <f t="shared" si="2372"/>
        <v>285330000</v>
      </c>
      <c r="G6141" t="str">
        <f t="shared" si="2373"/>
        <v>SUPPLY DIRECTORATE</v>
      </c>
      <c r="H6141" t="str">
        <f>T("CONTRACTING DEP/PSC BOX 8018")</f>
        <v>CONTRACTING DEP/PSC BOX 8018</v>
      </c>
      <c r="I6141" t="str">
        <f>T("MCAS CHERRY POINT")</f>
        <v>MCAS CHERRY POINT</v>
      </c>
      <c r="J6141" t="str">
        <f t="shared" si="2368"/>
        <v>NC</v>
      </c>
      <c r="K6141" t="str">
        <f>T("000000000000000000")</f>
        <v>000000000000000000</v>
      </c>
      <c r="L6141" t="str">
        <f>T("2524664325")</f>
        <v>2524664325</v>
      </c>
    </row>
    <row r="6142" spans="1:12" x14ac:dyDescent="0.35">
      <c r="A6142" t="str">
        <f t="shared" si="2362"/>
        <v>2D USMC AIRCRAFT WING</v>
      </c>
      <c r="B6142" t="str">
        <f>T("SUPPLY DIRECTORATE           G DEPT")</f>
        <v>SUPPLY DIRECTORATE           G DEPT</v>
      </c>
      <c r="C6142" t="str">
        <f t="shared" si="2370"/>
        <v>CONTRACTING DEPT/PSC BOX 8018</v>
      </c>
      <c r="D6142" t="str">
        <f t="shared" si="2374"/>
        <v>MCAS CHERRY PT</v>
      </c>
      <c r="E6142" t="str">
        <f t="shared" si="2367"/>
        <v>NC</v>
      </c>
      <c r="F6142" t="str">
        <f t="shared" si="2372"/>
        <v>285330000</v>
      </c>
      <c r="G6142" t="str">
        <f t="shared" si="2373"/>
        <v>SUPPLY DIRECTORATE</v>
      </c>
      <c r="H6142" t="str">
        <f>T("CONTRACTING DEP/PSC BOX 8018")</f>
        <v>CONTRACTING DEP/PSC BOX 8018</v>
      </c>
      <c r="I6142" t="str">
        <f>T("MCAS CHERRY POINT")</f>
        <v>MCAS CHERRY POINT</v>
      </c>
      <c r="J6142" t="str">
        <f t="shared" si="2368"/>
        <v>NC</v>
      </c>
      <c r="K6142" t="str">
        <f>T("000000000000000000")</f>
        <v>000000000000000000</v>
      </c>
      <c r="L6142" t="str">
        <f>T("2524665517")</f>
        <v>2524665517</v>
      </c>
    </row>
    <row r="6143" spans="1:12" x14ac:dyDescent="0.35">
      <c r="A6143" t="str">
        <f t="shared" si="2362"/>
        <v>2D USMC AIRCRAFT WING</v>
      </c>
      <c r="B6143" t="str">
        <f>T("SUPPLY DIRECTORATE           G DEPT")</f>
        <v>SUPPLY DIRECTORATE           G DEPT</v>
      </c>
      <c r="C6143" t="str">
        <f t="shared" si="2370"/>
        <v>CONTRACTING DEPT/PSC BOX 8018</v>
      </c>
      <c r="D6143" t="str">
        <f t="shared" si="2374"/>
        <v>MCAS CHERRY PT</v>
      </c>
      <c r="E6143" t="str">
        <f t="shared" si="2367"/>
        <v>NC</v>
      </c>
      <c r="F6143" t="str">
        <f t="shared" si="2372"/>
        <v>285330000</v>
      </c>
      <c r="G6143" t="str">
        <f>T("SUPPLY DIRECTORATE           G DEPT")</f>
        <v>SUPPLY DIRECTORATE           G DEPT</v>
      </c>
      <c r="H6143" t="str">
        <f>T("CONTRACTING DEPT/PSC BOX 8018")</f>
        <v>CONTRACTING DEPT/PSC BOX 8018</v>
      </c>
      <c r="I6143" t="str">
        <f>T("MCAS CHERRY PT")</f>
        <v>MCAS CHERRY PT</v>
      </c>
      <c r="J6143" t="str">
        <f t="shared" si="2368"/>
        <v>NC</v>
      </c>
      <c r="K6143" t="str">
        <f>T("")</f>
        <v/>
      </c>
      <c r="L6143" t="str">
        <f>T("2524665512")</f>
        <v>2524665512</v>
      </c>
    </row>
    <row r="6144" spans="1:12" x14ac:dyDescent="0.35">
      <c r="A6144" t="str">
        <f t="shared" si="2362"/>
        <v>2D USMC AIRCRAFT WING</v>
      </c>
      <c r="B6144" t="str">
        <f>T("SUPPLY DIRECTORATE CONTRACTING DEP")</f>
        <v>SUPPLY DIRECTORATE CONTRACTING DEP</v>
      </c>
      <c r="C6144" t="str">
        <f>T("BLDG 159 PSC BOX 8018 MCAS")</f>
        <v>BLDG 159 PSC BOX 8018 MCAS</v>
      </c>
      <c r="D6144" t="str">
        <f>T("CHERRY POINT")</f>
        <v>CHERRY POINT</v>
      </c>
      <c r="E6144" t="str">
        <f t="shared" si="2367"/>
        <v>NC</v>
      </c>
      <c r="F6144" t="str">
        <f t="shared" si="2372"/>
        <v>285330000</v>
      </c>
      <c r="G6144" t="str">
        <f>T("SUPPLY DIRECTORATE")</f>
        <v>SUPPLY DIRECTORATE</v>
      </c>
      <c r="H6144" t="str">
        <f>T("CONTRACTING DEP/PSC BOX 8018")</f>
        <v>CONTRACTING DEP/PSC BOX 8018</v>
      </c>
      <c r="I6144" t="str">
        <f>T("MCAS CHERRY POINT")</f>
        <v>MCAS CHERRY POINT</v>
      </c>
      <c r="J6144" t="str">
        <f t="shared" si="2368"/>
        <v>NC</v>
      </c>
      <c r="K6144" t="str">
        <f t="shared" ref="K6144:K6154" si="2375">T("000000000000000000")</f>
        <v>000000000000000000</v>
      </c>
      <c r="L6144" t="str">
        <f>T("2524664643")</f>
        <v>2524664643</v>
      </c>
    </row>
    <row r="6145" spans="1:12" x14ac:dyDescent="0.35">
      <c r="A6145" t="str">
        <f t="shared" si="2362"/>
        <v>2D USMC AIRCRAFT WING</v>
      </c>
      <c r="B6145" t="str">
        <f>T("SUPPLY DIRECTORATE CONTRACTING DEP")</f>
        <v>SUPPLY DIRECTORATE CONTRACTING DEP</v>
      </c>
      <c r="C6145" t="str">
        <f>T("BLDG 159 PSC BOX 8018 MCAS")</f>
        <v>BLDG 159 PSC BOX 8018 MCAS</v>
      </c>
      <c r="D6145" t="str">
        <f>T("CHERRY POINT")</f>
        <v>CHERRY POINT</v>
      </c>
      <c r="E6145" t="str">
        <f t="shared" si="2367"/>
        <v>NC</v>
      </c>
      <c r="F6145" t="str">
        <f t="shared" si="2372"/>
        <v>285330000</v>
      </c>
      <c r="G6145" t="str">
        <f>T("SUPPLY DIRECTORATE CONTRACTING DEP")</f>
        <v>SUPPLY DIRECTORATE CONTRACTING DEP</v>
      </c>
      <c r="H6145" t="str">
        <f>T("BLDG 159 PSC BOX 8018 MCAS")</f>
        <v>BLDG 159 PSC BOX 8018 MCAS</v>
      </c>
      <c r="I6145" t="str">
        <f>T("CHERRY POINT")</f>
        <v>CHERRY POINT</v>
      </c>
      <c r="J6145" t="str">
        <f t="shared" si="2368"/>
        <v>NC</v>
      </c>
      <c r="K6145" t="str">
        <f t="shared" si="2375"/>
        <v>000000000000000000</v>
      </c>
      <c r="L6145" t="str">
        <f>T("2524665446")</f>
        <v>2524665446</v>
      </c>
    </row>
    <row r="6146" spans="1:12" x14ac:dyDescent="0.35">
      <c r="A6146" t="str">
        <f t="shared" si="2362"/>
        <v>2D USMC AIRCRAFT WING</v>
      </c>
      <c r="B6146" t="str">
        <f>T("SUPPLY DIRECTORATE CONTRACTING DEPT")</f>
        <v>SUPPLY DIRECTORATE CONTRACTING DEPT</v>
      </c>
      <c r="C6146" t="str">
        <f>T("BLDG 159 PSC BOX 8018")</f>
        <v>BLDG 159 PSC BOX 8018</v>
      </c>
      <c r="D6146" t="str">
        <f>T("MCAS CHERRY PT")</f>
        <v>MCAS CHERRY PT</v>
      </c>
      <c r="E6146" t="str">
        <f t="shared" si="2367"/>
        <v>NC</v>
      </c>
      <c r="F6146" t="str">
        <f t="shared" si="2372"/>
        <v>285330000</v>
      </c>
      <c r="G6146" t="str">
        <f>T("SUPPLY DIRECTORATE")</f>
        <v>SUPPLY DIRECTORATE</v>
      </c>
      <c r="H6146" t="str">
        <f>T("CONTRACTING DEP/PSC BOX 8018")</f>
        <v>CONTRACTING DEP/PSC BOX 8018</v>
      </c>
      <c r="I6146" t="str">
        <f>T("MCAS CHERRY POINT")</f>
        <v>MCAS CHERRY POINT</v>
      </c>
      <c r="J6146" t="str">
        <f t="shared" si="2368"/>
        <v>NC</v>
      </c>
      <c r="K6146" t="str">
        <f t="shared" si="2375"/>
        <v>000000000000000000</v>
      </c>
      <c r="L6146" t="str">
        <f>T("2524663464")</f>
        <v>2524663464</v>
      </c>
    </row>
    <row r="6147" spans="1:12" x14ac:dyDescent="0.35">
      <c r="A6147" t="str">
        <f t="shared" si="2362"/>
        <v>2D USMC AIRCRAFT WING</v>
      </c>
      <c r="B6147" t="str">
        <f>T("SUPPLY DIRECTORATE CONTRACTING DEPT")</f>
        <v>SUPPLY DIRECTORATE CONTRACTING DEPT</v>
      </c>
      <c r="C6147" t="str">
        <f>T("BLDG 159 PSC BOX 8018")</f>
        <v>BLDG 159 PSC BOX 8018</v>
      </c>
      <c r="D6147" t="str">
        <f>T("MCAS CHERRY PT")</f>
        <v>MCAS CHERRY PT</v>
      </c>
      <c r="E6147" t="str">
        <f t="shared" si="2367"/>
        <v>NC</v>
      </c>
      <c r="F6147" t="str">
        <f t="shared" si="2372"/>
        <v>285330000</v>
      </c>
      <c r="G6147" t="str">
        <f>T("SUPPLY DIRECTORATE")</f>
        <v>SUPPLY DIRECTORATE</v>
      </c>
      <c r="H6147" t="str">
        <f>T("CONTRACTING DEP/PSC BOX 8018")</f>
        <v>CONTRACTING DEP/PSC BOX 8018</v>
      </c>
      <c r="I6147" t="str">
        <f>T("MCAS CHERRY POINT")</f>
        <v>MCAS CHERRY POINT</v>
      </c>
      <c r="J6147" t="str">
        <f t="shared" si="2368"/>
        <v>NC</v>
      </c>
      <c r="K6147" t="str">
        <f t="shared" si="2375"/>
        <v>000000000000000000</v>
      </c>
      <c r="L6147" t="str">
        <f>T("2824664834")</f>
        <v>2824664834</v>
      </c>
    </row>
    <row r="6148" spans="1:12" x14ac:dyDescent="0.35">
      <c r="A6148" t="str">
        <f t="shared" si="2362"/>
        <v>2D USMC AIRCRAFT WING</v>
      </c>
      <c r="B6148" t="str">
        <f>T("SUPPLY DIRECTORATE CONTRACTING DEPT")</f>
        <v>SUPPLY DIRECTORATE CONTRACTING DEPT</v>
      </c>
      <c r="C6148" t="str">
        <f>T("BLDG 159 PSC BOX 8018")</f>
        <v>BLDG 159 PSC BOX 8018</v>
      </c>
      <c r="D6148" t="str">
        <f>T("MCAS CHERRY PT")</f>
        <v>MCAS CHERRY PT</v>
      </c>
      <c r="E6148" t="str">
        <f t="shared" si="2367"/>
        <v>NC</v>
      </c>
      <c r="F6148" t="str">
        <f t="shared" si="2372"/>
        <v>285330000</v>
      </c>
      <c r="G6148" t="str">
        <f>T("SUPPLY DIRECTORATE CONTRACTING DEPT")</f>
        <v>SUPPLY DIRECTORATE CONTRACTING DEPT</v>
      </c>
      <c r="H6148" t="str">
        <f>T("BLDG 159 PSC BOX 8018")</f>
        <v>BLDG 159 PSC BOX 8018</v>
      </c>
      <c r="I6148" t="str">
        <f>T("MCAS CHERRY PT")</f>
        <v>MCAS CHERRY PT</v>
      </c>
      <c r="J6148" t="str">
        <f t="shared" si="2368"/>
        <v>NC</v>
      </c>
      <c r="K6148" t="str">
        <f t="shared" si="2375"/>
        <v>000000000000000000</v>
      </c>
      <c r="L6148" t="str">
        <f>T("2524663464")</f>
        <v>2524663464</v>
      </c>
    </row>
    <row r="6149" spans="1:12" x14ac:dyDescent="0.35">
      <c r="A6149" t="str">
        <f t="shared" ref="A6149:A6180" si="2376">T("MCAS CHERRY PT")</f>
        <v>MCAS CHERRY PT</v>
      </c>
      <c r="B6149" t="str">
        <f>T("CONTRACTING DEPARTMENT")</f>
        <v>CONTRACTING DEPARTMENT</v>
      </c>
      <c r="C6149" t="str">
        <f>T("PSC BOX 8010 MCAS")</f>
        <v>PSC BOX 8010 MCAS</v>
      </c>
      <c r="D6149" t="str">
        <f t="shared" ref="D6149:D6165" si="2377">T("CHERRY POINT")</f>
        <v>CHERRY POINT</v>
      </c>
      <c r="E6149" t="str">
        <f t="shared" si="2367"/>
        <v>NC</v>
      </c>
      <c r="F6149" t="str">
        <f t="shared" si="2372"/>
        <v>285330000</v>
      </c>
      <c r="G6149" t="str">
        <f>T("CONTRACTING DEPARTMENT")</f>
        <v>CONTRACTING DEPARTMENT</v>
      </c>
      <c r="H6149" t="str">
        <f>T("PSC BOX 8010 MCAS")</f>
        <v>PSC BOX 8010 MCAS</v>
      </c>
      <c r="I6149" t="str">
        <f t="shared" ref="I6149:I6156" si="2378">T("CHERRY POINT")</f>
        <v>CHERRY POINT</v>
      </c>
      <c r="J6149" t="str">
        <f t="shared" si="2368"/>
        <v>NC</v>
      </c>
      <c r="K6149" t="str">
        <f t="shared" si="2375"/>
        <v>000000000000000000</v>
      </c>
      <c r="L6149" t="str">
        <f>T("2524662048")</f>
        <v>2524662048</v>
      </c>
    </row>
    <row r="6150" spans="1:12" x14ac:dyDescent="0.35">
      <c r="A6150" t="str">
        <f t="shared" si="2376"/>
        <v>MCAS CHERRY PT</v>
      </c>
      <c r="B6150" t="str">
        <f>T("CONTRACTING DEPARTMENT")</f>
        <v>CONTRACTING DEPARTMENT</v>
      </c>
      <c r="C6150" t="str">
        <f>T("PSC BOX 8010 MCAS")</f>
        <v>PSC BOX 8010 MCAS</v>
      </c>
      <c r="D6150" t="str">
        <f t="shared" si="2377"/>
        <v>CHERRY POINT</v>
      </c>
      <c r="E6150" t="str">
        <f t="shared" si="2367"/>
        <v>NC</v>
      </c>
      <c r="F6150" t="str">
        <f t="shared" si="2372"/>
        <v>285330000</v>
      </c>
      <c r="G6150" t="str">
        <f>T("SUPPLY DIRECTORATE CONTRACTING DEPT")</f>
        <v>SUPPLY DIRECTORATE CONTRACTING DEPT</v>
      </c>
      <c r="H6150" t="str">
        <f>T("BLDG 159 PSC BOX 8018 MCAS")</f>
        <v>BLDG 159 PSC BOX 8018 MCAS</v>
      </c>
      <c r="I6150" t="str">
        <f t="shared" si="2378"/>
        <v>CHERRY POINT</v>
      </c>
      <c r="J6150" t="str">
        <f t="shared" si="2368"/>
        <v>NC</v>
      </c>
      <c r="K6150" t="str">
        <f t="shared" si="2375"/>
        <v>000000000000000000</v>
      </c>
      <c r="L6150" t="str">
        <f>T("2524662671")</f>
        <v>2524662671</v>
      </c>
    </row>
    <row r="6151" spans="1:12" x14ac:dyDescent="0.35">
      <c r="A6151" t="str">
        <f t="shared" si="2376"/>
        <v>MCAS CHERRY PT</v>
      </c>
      <c r="B6151" t="str">
        <f>T("LOGISTICS SERVICES DIRECTORATE")</f>
        <v>LOGISTICS SERVICES DIRECTORATE</v>
      </c>
      <c r="C6151" t="str">
        <f>T("PSC BOX 8018 MCAS")</f>
        <v>PSC BOX 8018 MCAS</v>
      </c>
      <c r="D6151" t="str">
        <f t="shared" si="2377"/>
        <v>CHERRY POINT</v>
      </c>
      <c r="E6151" t="str">
        <f t="shared" si="2367"/>
        <v>NC</v>
      </c>
      <c r="F6151" t="str">
        <f>T("285330018")</f>
        <v>285330018</v>
      </c>
      <c r="G6151" t="str">
        <f>T("LOGISTICS SERVICE DIRECTORATE")</f>
        <v>LOGISTICS SERVICE DIRECTORATE</v>
      </c>
      <c r="H6151" t="str">
        <f>T("BLDG. 159, PSC BOX 8018, MCAS")</f>
        <v>BLDG. 159, PSC BOX 8018, MCAS</v>
      </c>
      <c r="I6151" t="str">
        <f t="shared" si="2378"/>
        <v>CHERRY POINT</v>
      </c>
      <c r="J6151" t="str">
        <f t="shared" si="2368"/>
        <v>NC</v>
      </c>
      <c r="K6151" t="str">
        <f t="shared" si="2375"/>
        <v>000000000000000000</v>
      </c>
      <c r="L6151" t="str">
        <f>T("2524665329")</f>
        <v>2524665329</v>
      </c>
    </row>
    <row r="6152" spans="1:12" x14ac:dyDescent="0.35">
      <c r="A6152" t="str">
        <f t="shared" si="2376"/>
        <v>MCAS CHERRY PT</v>
      </c>
      <c r="B6152" t="str">
        <f>T("LOGISTICS SERVICES DIRECTORATE")</f>
        <v>LOGISTICS SERVICES DIRECTORATE</v>
      </c>
      <c r="C6152" t="str">
        <f>T("PSC BOX 8018 MCAS")</f>
        <v>PSC BOX 8018 MCAS</v>
      </c>
      <c r="D6152" t="str">
        <f t="shared" si="2377"/>
        <v>CHERRY POINT</v>
      </c>
      <c r="E6152" t="str">
        <f t="shared" si="2367"/>
        <v>NC</v>
      </c>
      <c r="F6152" t="str">
        <f>T("285330018")</f>
        <v>285330018</v>
      </c>
      <c r="G6152" t="str">
        <f>T("LOGISTICS SERVICES DIRECTORATE")</f>
        <v>LOGISTICS SERVICES DIRECTORATE</v>
      </c>
      <c r="H6152" t="str">
        <f>T("BLDG 159 PCS BOX 8018 MCAS")</f>
        <v>BLDG 159 PCS BOX 8018 MCAS</v>
      </c>
      <c r="I6152" t="str">
        <f t="shared" si="2378"/>
        <v>CHERRY POINT</v>
      </c>
      <c r="J6152" t="str">
        <f t="shared" si="2368"/>
        <v>NC</v>
      </c>
      <c r="K6152" t="str">
        <f t="shared" si="2375"/>
        <v>000000000000000000</v>
      </c>
      <c r="L6152" t="str">
        <f>T("2524665329")</f>
        <v>2524665329</v>
      </c>
    </row>
    <row r="6153" spans="1:12" x14ac:dyDescent="0.35">
      <c r="A6153" t="str">
        <f t="shared" si="2376"/>
        <v>MCAS CHERRY PT</v>
      </c>
      <c r="B6153" t="str">
        <f>T("LOGISTICS SERVICES DIRECTORATE")</f>
        <v>LOGISTICS SERVICES DIRECTORATE</v>
      </c>
      <c r="C6153" t="str">
        <f>T("PSC BOX 8018 MCAS")</f>
        <v>PSC BOX 8018 MCAS</v>
      </c>
      <c r="D6153" t="str">
        <f t="shared" si="2377"/>
        <v>CHERRY POINT</v>
      </c>
      <c r="E6153" t="str">
        <f t="shared" si="2367"/>
        <v>NC</v>
      </c>
      <c r="F6153" t="str">
        <f>T("285330018")</f>
        <v>285330018</v>
      </c>
      <c r="G6153" t="str">
        <f>T("LOGISTICS SERVICES DIRECTORATE")</f>
        <v>LOGISTICS SERVICES DIRECTORATE</v>
      </c>
      <c r="H6153" t="str">
        <f>T("BLDG 159 PSC BOX 8018 MCAS")</f>
        <v>BLDG 159 PSC BOX 8018 MCAS</v>
      </c>
      <c r="I6153" t="str">
        <f t="shared" si="2378"/>
        <v>CHERRY POINT</v>
      </c>
      <c r="J6153" t="str">
        <f t="shared" si="2368"/>
        <v>NC</v>
      </c>
      <c r="K6153" t="str">
        <f t="shared" si="2375"/>
        <v>000000000000000000</v>
      </c>
      <c r="L6153" t="str">
        <f>T("2524664030")</f>
        <v>2524664030</v>
      </c>
    </row>
    <row r="6154" spans="1:12" x14ac:dyDescent="0.35">
      <c r="A6154" t="str">
        <f t="shared" si="2376"/>
        <v>MCAS CHERRY PT</v>
      </c>
      <c r="B6154" t="str">
        <f>T("LOGISTICS SERVICES DIRECTORATE")</f>
        <v>LOGISTICS SERVICES DIRECTORATE</v>
      </c>
      <c r="C6154" t="str">
        <f>T("PSC BOX 8018 MCAS")</f>
        <v>PSC BOX 8018 MCAS</v>
      </c>
      <c r="D6154" t="str">
        <f t="shared" si="2377"/>
        <v>CHERRY POINT</v>
      </c>
      <c r="E6154" t="str">
        <f t="shared" si="2367"/>
        <v>NC</v>
      </c>
      <c r="F6154" t="str">
        <f>T("285330018")</f>
        <v>285330018</v>
      </c>
      <c r="G6154" t="str">
        <f>T("LOGISTICS SERVICES DIRECTORATE")</f>
        <v>LOGISTICS SERVICES DIRECTORATE</v>
      </c>
      <c r="H6154" t="str">
        <f>T("BLDG 159 PSC BOX 8018 MCAS")</f>
        <v>BLDG 159 PSC BOX 8018 MCAS</v>
      </c>
      <c r="I6154" t="str">
        <f t="shared" si="2378"/>
        <v>CHERRY POINT</v>
      </c>
      <c r="J6154" t="str">
        <f t="shared" si="2368"/>
        <v>NC</v>
      </c>
      <c r="K6154" t="str">
        <f t="shared" si="2375"/>
        <v>000000000000000000</v>
      </c>
      <c r="L6154" t="str">
        <f>T("2524665329")</f>
        <v>2524665329</v>
      </c>
    </row>
    <row r="6155" spans="1:12" x14ac:dyDescent="0.35">
      <c r="A6155" t="str">
        <f t="shared" si="2376"/>
        <v>MCAS CHERRY PT</v>
      </c>
      <c r="B6155" t="str">
        <f>T("LOGISTICS SERVICES DIRECTORATE")</f>
        <v>LOGISTICS SERVICES DIRECTORATE</v>
      </c>
      <c r="C6155" t="str">
        <f>T("PSC BOX 8018 MCAS")</f>
        <v>PSC BOX 8018 MCAS</v>
      </c>
      <c r="D6155" t="str">
        <f t="shared" si="2377"/>
        <v>CHERRY POINT</v>
      </c>
      <c r="E6155" t="str">
        <f t="shared" si="2367"/>
        <v>NC</v>
      </c>
      <c r="F6155" t="str">
        <f>T("285330018")</f>
        <v>285330018</v>
      </c>
      <c r="G6155" t="str">
        <f>T("LOGISTICS SERVICES DIRECTORATE")</f>
        <v>LOGISTICS SERVICES DIRECTORATE</v>
      </c>
      <c r="H6155" t="str">
        <f>T("PSC BOX 8018 MCAS")</f>
        <v>PSC BOX 8018 MCAS</v>
      </c>
      <c r="I6155" t="str">
        <f t="shared" si="2378"/>
        <v>CHERRY POINT</v>
      </c>
      <c r="J6155" t="str">
        <f t="shared" si="2368"/>
        <v>NC</v>
      </c>
      <c r="K6155" t="str">
        <f>T("")</f>
        <v/>
      </c>
      <c r="L6155" t="str">
        <f>T("2524664030")</f>
        <v>2524664030</v>
      </c>
    </row>
    <row r="6156" spans="1:12" x14ac:dyDescent="0.35">
      <c r="A6156" t="str">
        <f t="shared" si="2376"/>
        <v>MCAS CHERRY PT</v>
      </c>
      <c r="B6156" t="str">
        <f t="shared" ref="B6156:B6191" si="2379">T("SUPPLY DIRECTORATE")</f>
        <v>SUPPLY DIRECTORATE</v>
      </c>
      <c r="C6156" t="str">
        <f>T("BLDG 159 PSC BOX 8018")</f>
        <v>BLDG 159 PSC BOX 8018</v>
      </c>
      <c r="D6156" t="str">
        <f t="shared" si="2377"/>
        <v>CHERRY POINT</v>
      </c>
      <c r="E6156" t="str">
        <f t="shared" si="2367"/>
        <v>NC</v>
      </c>
      <c r="F6156" t="str">
        <f t="shared" ref="F6156:F6179" si="2380">T("285330000")</f>
        <v>285330000</v>
      </c>
      <c r="G6156" t="str">
        <f>T("SUPPLY DIRECTORATE")</f>
        <v>SUPPLY DIRECTORATE</v>
      </c>
      <c r="H6156" t="str">
        <f>T("BLDG 159 PSC BOX 8018")</f>
        <v>BLDG 159 PSC BOX 8018</v>
      </c>
      <c r="I6156" t="str">
        <f t="shared" si="2378"/>
        <v>CHERRY POINT</v>
      </c>
      <c r="J6156" t="str">
        <f t="shared" si="2368"/>
        <v>NC</v>
      </c>
      <c r="K6156" t="str">
        <f t="shared" ref="K6156:K6162" si="2381">T("000000000000000000")</f>
        <v>000000000000000000</v>
      </c>
      <c r="L6156" t="str">
        <f>T("2524664875")</f>
        <v>2524664875</v>
      </c>
    </row>
    <row r="6157" spans="1:12" x14ac:dyDescent="0.35">
      <c r="A6157" t="str">
        <f t="shared" si="2376"/>
        <v>MCAS CHERRY PT</v>
      </c>
      <c r="B6157" t="str">
        <f t="shared" si="2379"/>
        <v>SUPPLY DIRECTORATE</v>
      </c>
      <c r="C6157" t="str">
        <f>T("BLDG 159 PSC BOX 8018")</f>
        <v>BLDG 159 PSC BOX 8018</v>
      </c>
      <c r="D6157" t="str">
        <f t="shared" si="2377"/>
        <v>CHERRY POINT</v>
      </c>
      <c r="E6157" t="str">
        <f t="shared" si="2367"/>
        <v>NC</v>
      </c>
      <c r="F6157" t="str">
        <f t="shared" si="2380"/>
        <v>285330000</v>
      </c>
      <c r="G6157" t="str">
        <f>T("SUPPLY DIRECTORATE")</f>
        <v>SUPPLY DIRECTORATE</v>
      </c>
      <c r="H6157" t="str">
        <f>T("CONTRACTING DEP/PSC BOX 8018")</f>
        <v>CONTRACTING DEP/PSC BOX 8018</v>
      </c>
      <c r="I6157" t="str">
        <f>T("MCAS CHERRY POINT")</f>
        <v>MCAS CHERRY POINT</v>
      </c>
      <c r="J6157" t="str">
        <f t="shared" si="2368"/>
        <v>NC</v>
      </c>
      <c r="K6157" t="str">
        <f t="shared" si="2381"/>
        <v>000000000000000000</v>
      </c>
      <c r="L6157" t="str">
        <f>T("2524662273")</f>
        <v>2524662273</v>
      </c>
    </row>
    <row r="6158" spans="1:12" x14ac:dyDescent="0.35">
      <c r="A6158" t="str">
        <f t="shared" si="2376"/>
        <v>MCAS CHERRY PT</v>
      </c>
      <c r="B6158" t="str">
        <f t="shared" si="2379"/>
        <v>SUPPLY DIRECTORATE</v>
      </c>
      <c r="C6158" t="str">
        <f>T("BLDG 159 PSC BOX 8018 MCAS")</f>
        <v>BLDG 159 PSC BOX 8018 MCAS</v>
      </c>
      <c r="D6158" t="str">
        <f t="shared" si="2377"/>
        <v>CHERRY POINT</v>
      </c>
      <c r="E6158" t="str">
        <f t="shared" si="2367"/>
        <v>NC</v>
      </c>
      <c r="F6158" t="str">
        <f t="shared" si="2380"/>
        <v>285330000</v>
      </c>
      <c r="G6158" t="str">
        <f>T("SUPPLY DIRECTORATE")</f>
        <v>SUPPLY DIRECTORATE</v>
      </c>
      <c r="H6158" t="str">
        <f>T("BLDG 159 PSC BOX 8018 MCAS")</f>
        <v>BLDG 159 PSC BOX 8018 MCAS</v>
      </c>
      <c r="I6158" t="str">
        <f>T("CHERRY POINT")</f>
        <v>CHERRY POINT</v>
      </c>
      <c r="J6158" t="str">
        <f t="shared" si="2368"/>
        <v>NC</v>
      </c>
      <c r="K6158" t="str">
        <f t="shared" si="2381"/>
        <v>000000000000000000</v>
      </c>
      <c r="L6158" t="str">
        <f>T("2524662724")</f>
        <v>2524662724</v>
      </c>
    </row>
    <row r="6159" spans="1:12" x14ac:dyDescent="0.35">
      <c r="A6159" t="str">
        <f t="shared" si="2376"/>
        <v>MCAS CHERRY PT</v>
      </c>
      <c r="B6159" t="str">
        <f t="shared" si="2379"/>
        <v>SUPPLY DIRECTORATE</v>
      </c>
      <c r="C6159" t="str">
        <f>T("BLDG 159 PSC BOX 8018 MCAS")</f>
        <v>BLDG 159 PSC BOX 8018 MCAS</v>
      </c>
      <c r="D6159" t="str">
        <f t="shared" si="2377"/>
        <v>CHERRY POINT</v>
      </c>
      <c r="E6159" t="str">
        <f t="shared" ref="E6159:E6165" si="2382">T("NC")</f>
        <v>NC</v>
      </c>
      <c r="F6159" t="str">
        <f t="shared" si="2380"/>
        <v>285330000</v>
      </c>
      <c r="G6159" t="str">
        <f>T("SUPPLY DIRECTORATE")</f>
        <v>SUPPLY DIRECTORATE</v>
      </c>
      <c r="H6159" t="str">
        <f>T("BLDG 159 PSC BOX 8018 MCAS")</f>
        <v>BLDG 159 PSC BOX 8018 MCAS</v>
      </c>
      <c r="I6159" t="str">
        <f>T("CHERRY POINT")</f>
        <v>CHERRY POINT</v>
      </c>
      <c r="J6159" t="str">
        <f t="shared" ref="J6159:J6165" si="2383">T("NC")</f>
        <v>NC</v>
      </c>
      <c r="K6159" t="str">
        <f t="shared" si="2381"/>
        <v>000000000000000000</v>
      </c>
      <c r="L6159" t="str">
        <f>T("2524663561")</f>
        <v>2524663561</v>
      </c>
    </row>
    <row r="6160" spans="1:12" x14ac:dyDescent="0.35">
      <c r="A6160" t="str">
        <f t="shared" si="2376"/>
        <v>MCAS CHERRY PT</v>
      </c>
      <c r="B6160" t="str">
        <f t="shared" si="2379"/>
        <v>SUPPLY DIRECTORATE</v>
      </c>
      <c r="C6160" t="str">
        <f>T("BLDG 159 PSC BOX 8018 MCAS")</f>
        <v>BLDG 159 PSC BOX 8018 MCAS</v>
      </c>
      <c r="D6160" t="str">
        <f t="shared" si="2377"/>
        <v>CHERRY POINT</v>
      </c>
      <c r="E6160" t="str">
        <f t="shared" si="2382"/>
        <v>NC</v>
      </c>
      <c r="F6160" t="str">
        <f t="shared" si="2380"/>
        <v>285330000</v>
      </c>
      <c r="G6160" t="str">
        <f>T("SUPPLY DIRECTORATE")</f>
        <v>SUPPLY DIRECTORATE</v>
      </c>
      <c r="H6160" t="str">
        <f>T("CONTRACTING DEP/PSC BOX 8018")</f>
        <v>CONTRACTING DEP/PSC BOX 8018</v>
      </c>
      <c r="I6160" t="str">
        <f>T("MCAS CHERRY POINT")</f>
        <v>MCAS CHERRY POINT</v>
      </c>
      <c r="J6160" t="str">
        <f t="shared" si="2383"/>
        <v>NC</v>
      </c>
      <c r="K6160" t="str">
        <f t="shared" si="2381"/>
        <v>000000000000000000</v>
      </c>
      <c r="L6160" t="str">
        <f>T("2524664762")</f>
        <v>2524664762</v>
      </c>
    </row>
    <row r="6161" spans="1:12" x14ac:dyDescent="0.35">
      <c r="A6161" t="str">
        <f t="shared" si="2376"/>
        <v>MCAS CHERRY PT</v>
      </c>
      <c r="B6161" t="str">
        <f t="shared" si="2379"/>
        <v>SUPPLY DIRECTORATE</v>
      </c>
      <c r="C6161" t="str">
        <f>T("BLDG 159 PSC BOX 8018 MCAS")</f>
        <v>BLDG 159 PSC BOX 8018 MCAS</v>
      </c>
      <c r="D6161" t="str">
        <f t="shared" si="2377"/>
        <v>CHERRY POINT</v>
      </c>
      <c r="E6161" t="str">
        <f t="shared" si="2382"/>
        <v>NC</v>
      </c>
      <c r="F6161" t="str">
        <f t="shared" si="2380"/>
        <v>285330000</v>
      </c>
      <c r="G6161" t="str">
        <f>T("SUPPLY DIRECTORATE CONTRACTING DEPT")</f>
        <v>SUPPLY DIRECTORATE CONTRACTING DEPT</v>
      </c>
      <c r="H6161" t="str">
        <f>T("PSC BOX 8018 MCAS")</f>
        <v>PSC BOX 8018 MCAS</v>
      </c>
      <c r="I6161" t="str">
        <f>T("CHERRY POINT")</f>
        <v>CHERRY POINT</v>
      </c>
      <c r="J6161" t="str">
        <f t="shared" si="2383"/>
        <v>NC</v>
      </c>
      <c r="K6161" t="str">
        <f t="shared" si="2381"/>
        <v>000000000000000000</v>
      </c>
      <c r="L6161" t="str">
        <f>T("2524663285")</f>
        <v>2524663285</v>
      </c>
    </row>
    <row r="6162" spans="1:12" x14ac:dyDescent="0.35">
      <c r="A6162" t="str">
        <f t="shared" si="2376"/>
        <v>MCAS CHERRY PT</v>
      </c>
      <c r="B6162" t="str">
        <f t="shared" si="2379"/>
        <v>SUPPLY DIRECTORATE</v>
      </c>
      <c r="C6162" t="str">
        <f>T("BLDG 159 PSC BOX 8018 MCAS")</f>
        <v>BLDG 159 PSC BOX 8018 MCAS</v>
      </c>
      <c r="D6162" t="str">
        <f t="shared" si="2377"/>
        <v>CHERRY POINT</v>
      </c>
      <c r="E6162" t="str">
        <f t="shared" si="2382"/>
        <v>NC</v>
      </c>
      <c r="F6162" t="str">
        <f t="shared" si="2380"/>
        <v>285330000</v>
      </c>
      <c r="G6162" t="str">
        <f>T("SUPPLY DIRECTORATE CONTRACTING DEPT")</f>
        <v>SUPPLY DIRECTORATE CONTRACTING DEPT</v>
      </c>
      <c r="H6162" t="str">
        <f>T("PSC BOX 8018 MCAS")</f>
        <v>PSC BOX 8018 MCAS</v>
      </c>
      <c r="I6162" t="str">
        <f>T("CHERRY POINT")</f>
        <v>CHERRY POINT</v>
      </c>
      <c r="J6162" t="str">
        <f t="shared" si="2383"/>
        <v>NC</v>
      </c>
      <c r="K6162" t="str">
        <f t="shared" si="2381"/>
        <v>000000000000000000</v>
      </c>
      <c r="L6162" t="str">
        <f>T("2524667062")</f>
        <v>2524667062</v>
      </c>
    </row>
    <row r="6163" spans="1:12" x14ac:dyDescent="0.35">
      <c r="A6163" t="str">
        <f t="shared" si="2376"/>
        <v>MCAS CHERRY PT</v>
      </c>
      <c r="B6163" t="str">
        <f t="shared" si="2379"/>
        <v>SUPPLY DIRECTORATE</v>
      </c>
      <c r="C6163" t="str">
        <f t="shared" ref="C6163:C6184" si="2384">T("CONTRACTING DEP/PSC BOX 8018")</f>
        <v>CONTRACTING DEP/PSC BOX 8018</v>
      </c>
      <c r="D6163" t="str">
        <f t="shared" si="2377"/>
        <v>CHERRY POINT</v>
      </c>
      <c r="E6163" t="str">
        <f t="shared" si="2382"/>
        <v>NC</v>
      </c>
      <c r="F6163" t="str">
        <f t="shared" si="2380"/>
        <v>285330000</v>
      </c>
      <c r="G6163" t="str">
        <f>T("SUPPLY DIRECTORATE")</f>
        <v>SUPPLY DIRECTORATE</v>
      </c>
      <c r="H6163" t="str">
        <f>T("CONTRACTING DEP/PSC BOX 8018")</f>
        <v>CONTRACTING DEP/PSC BOX 8018</v>
      </c>
      <c r="I6163" t="str">
        <f>T("CHERRY POINT")</f>
        <v>CHERRY POINT</v>
      </c>
      <c r="J6163" t="str">
        <f t="shared" si="2383"/>
        <v>NC</v>
      </c>
      <c r="K6163" t="str">
        <f>T("")</f>
        <v/>
      </c>
      <c r="L6163" t="str">
        <f>T("2524665311")</f>
        <v>2524665311</v>
      </c>
    </row>
    <row r="6164" spans="1:12" x14ac:dyDescent="0.35">
      <c r="A6164" t="str">
        <f t="shared" si="2376"/>
        <v>MCAS CHERRY PT</v>
      </c>
      <c r="B6164" t="str">
        <f t="shared" si="2379"/>
        <v>SUPPLY DIRECTORATE</v>
      </c>
      <c r="C6164" t="str">
        <f t="shared" si="2384"/>
        <v>CONTRACTING DEP/PSC BOX 8018</v>
      </c>
      <c r="D6164" t="str">
        <f t="shared" si="2377"/>
        <v>CHERRY POINT</v>
      </c>
      <c r="E6164" t="str">
        <f t="shared" si="2382"/>
        <v>NC</v>
      </c>
      <c r="F6164" t="str">
        <f t="shared" si="2380"/>
        <v>285330000</v>
      </c>
      <c r="G6164" t="str">
        <f>T("SUPPLY DIRECTORATE")</f>
        <v>SUPPLY DIRECTORATE</v>
      </c>
      <c r="H6164" t="str">
        <f>T("CONTRACTING DEP/PSC BOX 8018")</f>
        <v>CONTRACTING DEP/PSC BOX 8018</v>
      </c>
      <c r="I6164" t="str">
        <f>T("MCAS CHERRY POINT")</f>
        <v>MCAS CHERRY POINT</v>
      </c>
      <c r="J6164" t="str">
        <f t="shared" si="2383"/>
        <v>NC</v>
      </c>
      <c r="K6164" t="str">
        <f>T("000000000000000000")</f>
        <v>000000000000000000</v>
      </c>
      <c r="L6164" t="str">
        <f>T("2524663835")</f>
        <v>2524663835</v>
      </c>
    </row>
    <row r="6165" spans="1:12" x14ac:dyDescent="0.35">
      <c r="A6165" t="str">
        <f t="shared" si="2376"/>
        <v>MCAS CHERRY PT</v>
      </c>
      <c r="B6165" t="str">
        <f t="shared" si="2379"/>
        <v>SUPPLY DIRECTORATE</v>
      </c>
      <c r="C6165" t="str">
        <f t="shared" si="2384"/>
        <v>CONTRACTING DEP/PSC BOX 8018</v>
      </c>
      <c r="D6165" t="str">
        <f t="shared" si="2377"/>
        <v>CHERRY POINT</v>
      </c>
      <c r="E6165" t="str">
        <f t="shared" si="2382"/>
        <v>NC</v>
      </c>
      <c r="F6165" t="str">
        <f t="shared" si="2380"/>
        <v>285330000</v>
      </c>
      <c r="G6165" t="str">
        <f>T("SUPPLY DIRECTORATE CONTRACTING DEPT")</f>
        <v>SUPPLY DIRECTORATE CONTRACTING DEPT</v>
      </c>
      <c r="H6165" t="str">
        <f>T("BLDG 159 PSC BOX 8018 MCAS")</f>
        <v>BLDG 159 PSC BOX 8018 MCAS</v>
      </c>
      <c r="I6165" t="str">
        <f>T("CHERRY POINT")</f>
        <v>CHERRY POINT</v>
      </c>
      <c r="J6165" t="str">
        <f t="shared" si="2383"/>
        <v>NC</v>
      </c>
      <c r="K6165" t="str">
        <f>T("000000000000000000")</f>
        <v>000000000000000000</v>
      </c>
      <c r="L6165" t="str">
        <f>T("2524662963")</f>
        <v>2524662963</v>
      </c>
    </row>
    <row r="6166" spans="1:12" x14ac:dyDescent="0.35">
      <c r="A6166" t="str">
        <f t="shared" si="2376"/>
        <v>MCAS CHERRY PT</v>
      </c>
      <c r="B6166" t="str">
        <f t="shared" si="2379"/>
        <v>SUPPLY DIRECTORATE</v>
      </c>
      <c r="C6166" t="str">
        <f t="shared" si="2384"/>
        <v>CONTRACTING DEP/PSC BOX 8018</v>
      </c>
      <c r="D6166" t="str">
        <f>T("MCAS CHERRY P")</f>
        <v>MCAS CHERRY P</v>
      </c>
      <c r="E6166" t="str">
        <f>T("OI")</f>
        <v>OI</v>
      </c>
      <c r="F6166" t="str">
        <f t="shared" si="2380"/>
        <v>285330000</v>
      </c>
      <c r="G6166" t="str">
        <f>T("SUPPLY DIRECTORATE")</f>
        <v>SUPPLY DIRECTORATE</v>
      </c>
      <c r="H6166" t="str">
        <f>T("CONTRACTING DEP/PSC BOX 8018")</f>
        <v>CONTRACTING DEP/PSC BOX 8018</v>
      </c>
      <c r="I6166" t="str">
        <f>T("MCAS CHERRY P")</f>
        <v>MCAS CHERRY P</v>
      </c>
      <c r="J6166" t="str">
        <f>T("OI")</f>
        <v>OI</v>
      </c>
      <c r="K6166" t="str">
        <f>T("")</f>
        <v/>
      </c>
      <c r="L6166" t="str">
        <f>T("2524664000")</f>
        <v>2524664000</v>
      </c>
    </row>
    <row r="6167" spans="1:12" x14ac:dyDescent="0.35">
      <c r="A6167" t="str">
        <f t="shared" si="2376"/>
        <v>MCAS CHERRY PT</v>
      </c>
      <c r="B6167" t="str">
        <f t="shared" si="2379"/>
        <v>SUPPLY DIRECTORATE</v>
      </c>
      <c r="C6167" t="str">
        <f t="shared" si="2384"/>
        <v>CONTRACTING DEP/PSC BOX 8018</v>
      </c>
      <c r="D6167" t="str">
        <f>T("MCAS CHERRY P")</f>
        <v>MCAS CHERRY P</v>
      </c>
      <c r="E6167" t="str">
        <f>T("OI")</f>
        <v>OI</v>
      </c>
      <c r="F6167" t="str">
        <f t="shared" si="2380"/>
        <v>285330000</v>
      </c>
      <c r="G6167" t="str">
        <f>T("SUPPLY DIRECTORATE")</f>
        <v>SUPPLY DIRECTORATE</v>
      </c>
      <c r="H6167" t="str">
        <f>T("CONTRACTING DEPT/PSC BOX 8018")</f>
        <v>CONTRACTING DEPT/PSC BOX 8018</v>
      </c>
      <c r="I6167" t="str">
        <f>T("CHERRY POINT")</f>
        <v>CHERRY POINT</v>
      </c>
      <c r="J6167" t="str">
        <f t="shared" ref="J6167:J6198" si="2385">T("NC")</f>
        <v>NC</v>
      </c>
      <c r="K6167" t="str">
        <f>T("000000000000000000")</f>
        <v>000000000000000000</v>
      </c>
      <c r="L6167" t="str">
        <f>T("2524664000")</f>
        <v>2524664000</v>
      </c>
    </row>
    <row r="6168" spans="1:12" x14ac:dyDescent="0.35">
      <c r="A6168" t="str">
        <f t="shared" si="2376"/>
        <v>MCAS CHERRY PT</v>
      </c>
      <c r="B6168" t="str">
        <f t="shared" si="2379"/>
        <v>SUPPLY DIRECTORATE</v>
      </c>
      <c r="C6168" t="str">
        <f t="shared" si="2384"/>
        <v>CONTRACTING DEP/PSC BOX 8018</v>
      </c>
      <c r="D6168" t="str">
        <f t="shared" ref="D6168:D6174" si="2386">T("MCAS CHERRY POI")</f>
        <v>MCAS CHERRY POI</v>
      </c>
      <c r="E6168" t="str">
        <f t="shared" ref="E6168:E6199" si="2387">T("NC")</f>
        <v>NC</v>
      </c>
      <c r="F6168" t="str">
        <f t="shared" si="2380"/>
        <v>285330000</v>
      </c>
      <c r="G6168" t="str">
        <f>T("SUPPLY DIRECTORATE")</f>
        <v>SUPPLY DIRECTORATE</v>
      </c>
      <c r="H6168" t="str">
        <f>T("CONTRACTING DEP/PSC BOX 8018")</f>
        <v>CONTRACTING DEP/PSC BOX 8018</v>
      </c>
      <c r="I6168" t="str">
        <f>T("MCAS CHERRY POI")</f>
        <v>MCAS CHERRY POI</v>
      </c>
      <c r="J6168" t="str">
        <f t="shared" si="2385"/>
        <v>NC</v>
      </c>
      <c r="K6168" t="str">
        <f>T("")</f>
        <v/>
      </c>
      <c r="L6168" t="str">
        <f>T("2524666567")</f>
        <v>2524666567</v>
      </c>
    </row>
    <row r="6169" spans="1:12" x14ac:dyDescent="0.35">
      <c r="A6169" t="str">
        <f t="shared" si="2376"/>
        <v>MCAS CHERRY PT</v>
      </c>
      <c r="B6169" t="str">
        <f t="shared" si="2379"/>
        <v>SUPPLY DIRECTORATE</v>
      </c>
      <c r="C6169" t="str">
        <f t="shared" si="2384"/>
        <v>CONTRACTING DEP/PSC BOX 8018</v>
      </c>
      <c r="D6169" t="str">
        <f t="shared" si="2386"/>
        <v>MCAS CHERRY POI</v>
      </c>
      <c r="E6169" t="str">
        <f t="shared" si="2387"/>
        <v>NC</v>
      </c>
      <c r="F6169" t="str">
        <f t="shared" si="2380"/>
        <v>285330000</v>
      </c>
      <c r="G6169" t="str">
        <f>T("SUPPLY DIRECTORATE")</f>
        <v>SUPPLY DIRECTORATE</v>
      </c>
      <c r="H6169" t="str">
        <f>T("CONTRACTING DEP/PSC BOX 8018")</f>
        <v>CONTRACTING DEP/PSC BOX 8018</v>
      </c>
      <c r="I6169" t="str">
        <f>T("MCAS CHERRY POI")</f>
        <v>MCAS CHERRY POI</v>
      </c>
      <c r="J6169" t="str">
        <f t="shared" si="2385"/>
        <v>NC</v>
      </c>
      <c r="K6169" t="str">
        <f>T("")</f>
        <v/>
      </c>
      <c r="L6169" t="str">
        <f>T("2524667031")</f>
        <v>2524667031</v>
      </c>
    </row>
    <row r="6170" spans="1:12" x14ac:dyDescent="0.35">
      <c r="A6170" t="str">
        <f t="shared" si="2376"/>
        <v>MCAS CHERRY PT</v>
      </c>
      <c r="B6170" t="str">
        <f t="shared" si="2379"/>
        <v>SUPPLY DIRECTORATE</v>
      </c>
      <c r="C6170" t="str">
        <f t="shared" si="2384"/>
        <v>CONTRACTING DEP/PSC BOX 8018</v>
      </c>
      <c r="D6170" t="str">
        <f t="shared" si="2386"/>
        <v>MCAS CHERRY POI</v>
      </c>
      <c r="E6170" t="str">
        <f t="shared" si="2387"/>
        <v>NC</v>
      </c>
      <c r="F6170" t="str">
        <f t="shared" si="2380"/>
        <v>285330000</v>
      </c>
      <c r="G6170" t="str">
        <f>T("SUPPLY DIRECTORATE")</f>
        <v>SUPPLY DIRECTORATE</v>
      </c>
      <c r="H6170" t="str">
        <f>T("CONTRACTING DEP/PSC BOX 8018")</f>
        <v>CONTRACTING DEP/PSC BOX 8018</v>
      </c>
      <c r="I6170" t="str">
        <f>T("MCAS CHERRY POI")</f>
        <v>MCAS CHERRY POI</v>
      </c>
      <c r="J6170" t="str">
        <f t="shared" si="2385"/>
        <v>NC</v>
      </c>
      <c r="K6170" t="str">
        <f t="shared" ref="K6170:K6176" si="2388">T("000000000000000000")</f>
        <v>000000000000000000</v>
      </c>
      <c r="L6170" t="str">
        <f>T("2524665969")</f>
        <v>2524665969</v>
      </c>
    </row>
    <row r="6171" spans="1:12" x14ac:dyDescent="0.35">
      <c r="A6171" t="str">
        <f t="shared" si="2376"/>
        <v>MCAS CHERRY PT</v>
      </c>
      <c r="B6171" t="str">
        <f t="shared" si="2379"/>
        <v>SUPPLY DIRECTORATE</v>
      </c>
      <c r="C6171" t="str">
        <f t="shared" si="2384"/>
        <v>CONTRACTING DEP/PSC BOX 8018</v>
      </c>
      <c r="D6171" t="str">
        <f t="shared" si="2386"/>
        <v>MCAS CHERRY POI</v>
      </c>
      <c r="E6171" t="str">
        <f t="shared" si="2387"/>
        <v>NC</v>
      </c>
      <c r="F6171" t="str">
        <f t="shared" si="2380"/>
        <v>285330000</v>
      </c>
      <c r="G6171" t="str">
        <f>T("SUPPLY DIRECTORATE CONTRACTING DEPT")</f>
        <v>SUPPLY DIRECTORATE CONTRACTING DEPT</v>
      </c>
      <c r="H6171" t="str">
        <f>T("BLDG 159 PSC BOX 8018 MCAS")</f>
        <v>BLDG 159 PSC BOX 8018 MCAS</v>
      </c>
      <c r="I6171" t="str">
        <f>T("CHERRY POINT")</f>
        <v>CHERRY POINT</v>
      </c>
      <c r="J6171" t="str">
        <f t="shared" si="2385"/>
        <v>NC</v>
      </c>
      <c r="K6171" t="str">
        <f t="shared" si="2388"/>
        <v>000000000000000000</v>
      </c>
      <c r="L6171" t="str">
        <f>T("2524662830")</f>
        <v>2524662830</v>
      </c>
    </row>
    <row r="6172" spans="1:12" x14ac:dyDescent="0.35">
      <c r="A6172" t="str">
        <f t="shared" si="2376"/>
        <v>MCAS CHERRY PT</v>
      </c>
      <c r="B6172" t="str">
        <f t="shared" si="2379"/>
        <v>SUPPLY DIRECTORATE</v>
      </c>
      <c r="C6172" t="str">
        <f t="shared" si="2384"/>
        <v>CONTRACTING DEP/PSC BOX 8018</v>
      </c>
      <c r="D6172" t="str">
        <f t="shared" si="2386"/>
        <v>MCAS CHERRY POI</v>
      </c>
      <c r="E6172" t="str">
        <f t="shared" si="2387"/>
        <v>NC</v>
      </c>
      <c r="F6172" t="str">
        <f t="shared" si="2380"/>
        <v>285330000</v>
      </c>
      <c r="G6172" t="str">
        <f>T("SUPPLY DIRECTORATE CONTRACTING DEPT")</f>
        <v>SUPPLY DIRECTORATE CONTRACTING DEPT</v>
      </c>
      <c r="H6172" t="str">
        <f>T("BLDG 159 PSC BOX 8018 MCAS")</f>
        <v>BLDG 159 PSC BOX 8018 MCAS</v>
      </c>
      <c r="I6172" t="str">
        <f>T("CHERRY POINT")</f>
        <v>CHERRY POINT</v>
      </c>
      <c r="J6172" t="str">
        <f t="shared" si="2385"/>
        <v>NC</v>
      </c>
      <c r="K6172" t="str">
        <f t="shared" si="2388"/>
        <v>000000000000000000</v>
      </c>
      <c r="L6172" t="str">
        <f>T("2524664539")</f>
        <v>2524664539</v>
      </c>
    </row>
    <row r="6173" spans="1:12" x14ac:dyDescent="0.35">
      <c r="A6173" t="str">
        <f t="shared" si="2376"/>
        <v>MCAS CHERRY PT</v>
      </c>
      <c r="B6173" t="str">
        <f t="shared" si="2379"/>
        <v>SUPPLY DIRECTORATE</v>
      </c>
      <c r="C6173" t="str">
        <f t="shared" si="2384"/>
        <v>CONTRACTING DEP/PSC BOX 8018</v>
      </c>
      <c r="D6173" t="str">
        <f t="shared" si="2386"/>
        <v>MCAS CHERRY POI</v>
      </c>
      <c r="E6173" t="str">
        <f t="shared" si="2387"/>
        <v>NC</v>
      </c>
      <c r="F6173" t="str">
        <f t="shared" si="2380"/>
        <v>285330000</v>
      </c>
      <c r="G6173" t="str">
        <f>T("SUPPLY DIRECTORATE CONTRACTING DEPT")</f>
        <v>SUPPLY DIRECTORATE CONTRACTING DEPT</v>
      </c>
      <c r="H6173" t="str">
        <f>T("BLDG 159 PSC BOX 8018 MCAS")</f>
        <v>BLDG 159 PSC BOX 8018 MCAS</v>
      </c>
      <c r="I6173" t="str">
        <f>T("CHERRY POINT")</f>
        <v>CHERRY POINT</v>
      </c>
      <c r="J6173" t="str">
        <f t="shared" si="2385"/>
        <v>NC</v>
      </c>
      <c r="K6173" t="str">
        <f t="shared" si="2388"/>
        <v>000000000000000000</v>
      </c>
      <c r="L6173" t="str">
        <f>T("2524667831")</f>
        <v>2524667831</v>
      </c>
    </row>
    <row r="6174" spans="1:12" x14ac:dyDescent="0.35">
      <c r="A6174" t="str">
        <f t="shared" si="2376"/>
        <v>MCAS CHERRY PT</v>
      </c>
      <c r="B6174" t="str">
        <f t="shared" si="2379"/>
        <v>SUPPLY DIRECTORATE</v>
      </c>
      <c r="C6174" t="str">
        <f t="shared" si="2384"/>
        <v>CONTRACTING DEP/PSC BOX 8018</v>
      </c>
      <c r="D6174" t="str">
        <f t="shared" si="2386"/>
        <v>MCAS CHERRY POI</v>
      </c>
      <c r="E6174" t="str">
        <f t="shared" si="2387"/>
        <v>NC</v>
      </c>
      <c r="F6174" t="str">
        <f t="shared" si="2380"/>
        <v>285330000</v>
      </c>
      <c r="G6174" t="str">
        <f>T("SUPPLY DIRECTORATE/CONTRACTING DEPT")</f>
        <v>SUPPLY DIRECTORATE/CONTRACTING DEPT</v>
      </c>
      <c r="H6174" t="str">
        <f>T("PSC BOX 8018 MCAS")</f>
        <v>PSC BOX 8018 MCAS</v>
      </c>
      <c r="I6174" t="str">
        <f>T("CHERRY POINT")</f>
        <v>CHERRY POINT</v>
      </c>
      <c r="J6174" t="str">
        <f t="shared" si="2385"/>
        <v>NC</v>
      </c>
      <c r="K6174" t="str">
        <f t="shared" si="2388"/>
        <v>000000000000000000</v>
      </c>
      <c r="L6174" t="str">
        <f>T("2524666595")</f>
        <v>2524666595</v>
      </c>
    </row>
    <row r="6175" spans="1:12" x14ac:dyDescent="0.35">
      <c r="A6175" t="str">
        <f t="shared" si="2376"/>
        <v>MCAS CHERRY PT</v>
      </c>
      <c r="B6175" t="str">
        <f t="shared" si="2379"/>
        <v>SUPPLY DIRECTORATE</v>
      </c>
      <c r="C6175" t="str">
        <f t="shared" si="2384"/>
        <v>CONTRACTING DEP/PSC BOX 8018</v>
      </c>
      <c r="D6175" t="str">
        <f t="shared" ref="D6175:D6182" si="2389">T("MCAS CHERRY PT")</f>
        <v>MCAS CHERRY PT</v>
      </c>
      <c r="E6175" t="str">
        <f t="shared" si="2387"/>
        <v>NC</v>
      </c>
      <c r="F6175" t="str">
        <f t="shared" si="2380"/>
        <v>285330000</v>
      </c>
      <c r="G6175" t="str">
        <f>T("SUPPLY DIRECTORATE")</f>
        <v>SUPPLY DIRECTORATE</v>
      </c>
      <c r="H6175" t="str">
        <f>T("CONTRACTING DEP/PSC BOX 8018")</f>
        <v>CONTRACTING DEP/PSC BOX 8018</v>
      </c>
      <c r="I6175" t="str">
        <f>T("MCAS CHERRY POINT")</f>
        <v>MCAS CHERRY POINT</v>
      </c>
      <c r="J6175" t="str">
        <f t="shared" si="2385"/>
        <v>NC</v>
      </c>
      <c r="K6175" t="str">
        <f t="shared" si="2388"/>
        <v>000000000000000000</v>
      </c>
      <c r="L6175" t="str">
        <f>T("2524663683")</f>
        <v>2524663683</v>
      </c>
    </row>
    <row r="6176" spans="1:12" x14ac:dyDescent="0.35">
      <c r="A6176" t="str">
        <f t="shared" si="2376"/>
        <v>MCAS CHERRY PT</v>
      </c>
      <c r="B6176" t="str">
        <f t="shared" si="2379"/>
        <v>SUPPLY DIRECTORATE</v>
      </c>
      <c r="C6176" t="str">
        <f t="shared" si="2384"/>
        <v>CONTRACTING DEP/PSC BOX 8018</v>
      </c>
      <c r="D6176" t="str">
        <f t="shared" si="2389"/>
        <v>MCAS CHERRY PT</v>
      </c>
      <c r="E6176" t="str">
        <f t="shared" si="2387"/>
        <v>NC</v>
      </c>
      <c r="F6176" t="str">
        <f t="shared" si="2380"/>
        <v>285330000</v>
      </c>
      <c r="G6176" t="str">
        <f>T("SUPPLY DIRECTORATE")</f>
        <v>SUPPLY DIRECTORATE</v>
      </c>
      <c r="H6176" t="str">
        <f>T("CONTRACTING DEP/PSC BOX 8018")</f>
        <v>CONTRACTING DEP/PSC BOX 8018</v>
      </c>
      <c r="I6176" t="str">
        <f>T("MCAS CHERRY POINT")</f>
        <v>MCAS CHERRY POINT</v>
      </c>
      <c r="J6176" t="str">
        <f t="shared" si="2385"/>
        <v>NC</v>
      </c>
      <c r="K6176" t="str">
        <f t="shared" si="2388"/>
        <v>000000000000000000</v>
      </c>
      <c r="L6176" t="str">
        <f>T("2524663838")</f>
        <v>2524663838</v>
      </c>
    </row>
    <row r="6177" spans="1:12" x14ac:dyDescent="0.35">
      <c r="A6177" t="str">
        <f t="shared" si="2376"/>
        <v>MCAS CHERRY PT</v>
      </c>
      <c r="B6177" t="str">
        <f t="shared" si="2379"/>
        <v>SUPPLY DIRECTORATE</v>
      </c>
      <c r="C6177" t="str">
        <f t="shared" si="2384"/>
        <v>CONTRACTING DEP/PSC BOX 8018</v>
      </c>
      <c r="D6177" t="str">
        <f t="shared" si="2389"/>
        <v>MCAS CHERRY PT</v>
      </c>
      <c r="E6177" t="str">
        <f t="shared" si="2387"/>
        <v>NC</v>
      </c>
      <c r="F6177" t="str">
        <f t="shared" si="2380"/>
        <v>285330000</v>
      </c>
      <c r="G6177" t="str">
        <f>T("SUPPLY DIRECTORATE")</f>
        <v>SUPPLY DIRECTORATE</v>
      </c>
      <c r="H6177" t="str">
        <f>T("CONTRACTING DEP/PSC BOX 8018")</f>
        <v>CONTRACTING DEP/PSC BOX 8018</v>
      </c>
      <c r="I6177" t="str">
        <f>T("MCAS CHERRY PT")</f>
        <v>MCAS CHERRY PT</v>
      </c>
      <c r="J6177" t="str">
        <f t="shared" si="2385"/>
        <v>NC</v>
      </c>
      <c r="K6177" t="str">
        <f>T("")</f>
        <v/>
      </c>
      <c r="L6177" t="str">
        <f>T("2524665746")</f>
        <v>2524665746</v>
      </c>
    </row>
    <row r="6178" spans="1:12" x14ac:dyDescent="0.35">
      <c r="A6178" t="str">
        <f t="shared" si="2376"/>
        <v>MCAS CHERRY PT</v>
      </c>
      <c r="B6178" t="str">
        <f t="shared" si="2379"/>
        <v>SUPPLY DIRECTORATE</v>
      </c>
      <c r="C6178" t="str">
        <f t="shared" si="2384"/>
        <v>CONTRACTING DEP/PSC BOX 8018</v>
      </c>
      <c r="D6178" t="str">
        <f t="shared" si="2389"/>
        <v>MCAS CHERRY PT</v>
      </c>
      <c r="E6178" t="str">
        <f t="shared" si="2387"/>
        <v>NC</v>
      </c>
      <c r="F6178" t="str">
        <f t="shared" si="2380"/>
        <v>285330000</v>
      </c>
      <c r="G6178" t="str">
        <f>T("SUPPLY DIRECTORATE")</f>
        <v>SUPPLY DIRECTORATE</v>
      </c>
      <c r="H6178" t="str">
        <f>T("CONTRACTING DEP/PSC BOX 8018")</f>
        <v>CONTRACTING DEP/PSC BOX 8018</v>
      </c>
      <c r="I6178" t="str">
        <f>T("MCAS CHERRY PT")</f>
        <v>MCAS CHERRY PT</v>
      </c>
      <c r="J6178" t="str">
        <f t="shared" si="2385"/>
        <v>NC</v>
      </c>
      <c r="K6178" t="str">
        <f>T("000000000000000000")</f>
        <v>000000000000000000</v>
      </c>
      <c r="L6178" t="str">
        <f>T("2524664672")</f>
        <v>2524664672</v>
      </c>
    </row>
    <row r="6179" spans="1:12" x14ac:dyDescent="0.35">
      <c r="A6179" t="str">
        <f t="shared" si="2376"/>
        <v>MCAS CHERRY PT</v>
      </c>
      <c r="B6179" t="str">
        <f t="shared" si="2379"/>
        <v>SUPPLY DIRECTORATE</v>
      </c>
      <c r="C6179" t="str">
        <f t="shared" si="2384"/>
        <v>CONTRACTING DEP/PSC BOX 8018</v>
      </c>
      <c r="D6179" t="str">
        <f t="shared" si="2389"/>
        <v>MCAS CHERRY PT</v>
      </c>
      <c r="E6179" t="str">
        <f t="shared" si="2387"/>
        <v>NC</v>
      </c>
      <c r="F6179" t="str">
        <f t="shared" si="2380"/>
        <v>285330000</v>
      </c>
      <c r="G6179" t="str">
        <f>T("SUPPLY DIRECTORATE CONTRACTING DEPT")</f>
        <v>SUPPLY DIRECTORATE CONTRACTING DEPT</v>
      </c>
      <c r="H6179" t="str">
        <f>T("BLDG 159 MCAS")</f>
        <v>BLDG 159 MCAS</v>
      </c>
      <c r="I6179" t="str">
        <f>T("CHERRY POINT")</f>
        <v>CHERRY POINT</v>
      </c>
      <c r="J6179" t="str">
        <f t="shared" si="2385"/>
        <v>NC</v>
      </c>
      <c r="K6179" t="str">
        <f>T("000000000000000000")</f>
        <v>000000000000000000</v>
      </c>
      <c r="L6179" t="str">
        <f>T("2524666725")</f>
        <v>2524666725</v>
      </c>
    </row>
    <row r="6180" spans="1:12" x14ac:dyDescent="0.35">
      <c r="A6180" t="str">
        <f t="shared" si="2376"/>
        <v>MCAS CHERRY PT</v>
      </c>
      <c r="B6180" t="str">
        <f t="shared" si="2379"/>
        <v>SUPPLY DIRECTORATE</v>
      </c>
      <c r="C6180" t="str">
        <f t="shared" si="2384"/>
        <v>CONTRACTING DEP/PSC BOX 8018</v>
      </c>
      <c r="D6180" t="str">
        <f t="shared" si="2389"/>
        <v>MCAS CHERRY PT</v>
      </c>
      <c r="E6180" t="str">
        <f t="shared" si="2387"/>
        <v>NC</v>
      </c>
      <c r="F6180" t="str">
        <f>T("285330018")</f>
        <v>285330018</v>
      </c>
      <c r="G6180" t="str">
        <f>T("SUPPLY DIRECTORATE")</f>
        <v>SUPPLY DIRECTORATE</v>
      </c>
      <c r="H6180" t="str">
        <f>T("CONTRACTING DEP/PSC BOX 8018")</f>
        <v>CONTRACTING DEP/PSC BOX 8018</v>
      </c>
      <c r="I6180" t="str">
        <f>T("MCAS CHERRY POINT")</f>
        <v>MCAS CHERRY POINT</v>
      </c>
      <c r="J6180" t="str">
        <f t="shared" si="2385"/>
        <v>NC</v>
      </c>
      <c r="K6180" t="str">
        <f>T("000000000000000000")</f>
        <v>000000000000000000</v>
      </c>
      <c r="L6180" t="str">
        <f>T("2524662963")</f>
        <v>2524662963</v>
      </c>
    </row>
    <row r="6181" spans="1:12" x14ac:dyDescent="0.35">
      <c r="A6181" t="str">
        <f t="shared" ref="A6181:A6212" si="2390">T("MCAS CHERRY PT")</f>
        <v>MCAS CHERRY PT</v>
      </c>
      <c r="B6181" t="str">
        <f t="shared" si="2379"/>
        <v>SUPPLY DIRECTORATE</v>
      </c>
      <c r="C6181" t="str">
        <f t="shared" si="2384"/>
        <v>CONTRACTING DEP/PSC BOX 8018</v>
      </c>
      <c r="D6181" t="str">
        <f t="shared" si="2389"/>
        <v>MCAS CHERRY PT</v>
      </c>
      <c r="E6181" t="str">
        <f t="shared" si="2387"/>
        <v>NC</v>
      </c>
      <c r="F6181" t="str">
        <f>T("285330018")</f>
        <v>285330018</v>
      </c>
      <c r="G6181" t="str">
        <f>T("SUPPLY DIRECTORATE")</f>
        <v>SUPPLY DIRECTORATE</v>
      </c>
      <c r="H6181" t="str">
        <f>T("CONTRACTING DEP/PSC BOX 8018")</f>
        <v>CONTRACTING DEP/PSC BOX 8018</v>
      </c>
      <c r="I6181" t="str">
        <f>T("MCAS CHERRY PT")</f>
        <v>MCAS CHERRY PT</v>
      </c>
      <c r="J6181" t="str">
        <f t="shared" si="2385"/>
        <v>NC</v>
      </c>
      <c r="K6181" t="str">
        <f>T("")</f>
        <v/>
      </c>
      <c r="L6181" t="str">
        <f>T("2524665311")</f>
        <v>2524665311</v>
      </c>
    </row>
    <row r="6182" spans="1:12" x14ac:dyDescent="0.35">
      <c r="A6182" t="str">
        <f t="shared" si="2390"/>
        <v>MCAS CHERRY PT</v>
      </c>
      <c r="B6182" t="str">
        <f t="shared" si="2379"/>
        <v>SUPPLY DIRECTORATE</v>
      </c>
      <c r="C6182" t="str">
        <f t="shared" si="2384"/>
        <v>CONTRACTING DEP/PSC BOX 8018</v>
      </c>
      <c r="D6182" t="str">
        <f t="shared" si="2389"/>
        <v>MCAS CHERRY PT</v>
      </c>
      <c r="E6182" t="str">
        <f t="shared" si="2387"/>
        <v>NC</v>
      </c>
      <c r="F6182" t="str">
        <f>T("285330018")</f>
        <v>285330018</v>
      </c>
      <c r="G6182" t="str">
        <f>T("SUPPLY DIRECTORATE CONTRACTING DEPT")</f>
        <v>SUPPLY DIRECTORATE CONTRACTING DEPT</v>
      </c>
      <c r="H6182" t="str">
        <f>T("PSC BOX 8018 MCAS")</f>
        <v>PSC BOX 8018 MCAS</v>
      </c>
      <c r="I6182" t="str">
        <f>T("CHERRY POINT")</f>
        <v>CHERRY POINT</v>
      </c>
      <c r="J6182" t="str">
        <f t="shared" si="2385"/>
        <v>NC</v>
      </c>
      <c r="K6182" t="str">
        <f t="shared" ref="K6182:K6188" si="2391">T("000000000000000000")</f>
        <v>000000000000000000</v>
      </c>
      <c r="L6182" t="str">
        <f>T("2524662964")</f>
        <v>2524662964</v>
      </c>
    </row>
    <row r="6183" spans="1:12" x14ac:dyDescent="0.35">
      <c r="A6183" t="str">
        <f t="shared" si="2390"/>
        <v>MCAS CHERRY PT</v>
      </c>
      <c r="B6183" t="str">
        <f t="shared" si="2379"/>
        <v>SUPPLY DIRECTORATE</v>
      </c>
      <c r="C6183" t="str">
        <f t="shared" si="2384"/>
        <v>CONTRACTING DEP/PSC BOX 8018</v>
      </c>
      <c r="D6183" t="str">
        <f>T("MCAS, CHERRY PO")</f>
        <v>MCAS, CHERRY PO</v>
      </c>
      <c r="E6183" t="str">
        <f t="shared" si="2387"/>
        <v>NC</v>
      </c>
      <c r="F6183" t="str">
        <f>T("285330018")</f>
        <v>285330018</v>
      </c>
      <c r="G6183" t="str">
        <f>T("LOGISTICS SERVICES DIRECTORATE")</f>
        <v>LOGISTICS SERVICES DIRECTORATE</v>
      </c>
      <c r="H6183" t="str">
        <f>T("BLDG 159 PSC BOX 8018 MCAS")</f>
        <v>BLDG 159 PSC BOX 8018 MCAS</v>
      </c>
      <c r="I6183" t="str">
        <f>T("CHERRY POINT")</f>
        <v>CHERRY POINT</v>
      </c>
      <c r="J6183" t="str">
        <f t="shared" si="2385"/>
        <v>NC</v>
      </c>
      <c r="K6183" t="str">
        <f t="shared" si="2391"/>
        <v>000000000000000000</v>
      </c>
      <c r="L6183" t="str">
        <f>T("2524663993")</f>
        <v>2524663993</v>
      </c>
    </row>
    <row r="6184" spans="1:12" x14ac:dyDescent="0.35">
      <c r="A6184" t="str">
        <f t="shared" si="2390"/>
        <v>MCAS CHERRY PT</v>
      </c>
      <c r="B6184" t="str">
        <f t="shared" si="2379"/>
        <v>SUPPLY DIRECTORATE</v>
      </c>
      <c r="C6184" t="str">
        <f t="shared" si="2384"/>
        <v>CONTRACTING DEP/PSC BOX 8018</v>
      </c>
      <c r="D6184" t="str">
        <f>T("MCAS, CHERRY PO")</f>
        <v>MCAS, CHERRY PO</v>
      </c>
      <c r="E6184" t="str">
        <f t="shared" si="2387"/>
        <v>NC</v>
      </c>
      <c r="F6184" t="str">
        <f>T("285330018")</f>
        <v>285330018</v>
      </c>
      <c r="G6184" t="str">
        <f>T("SUPPLY DIRECTORATE")</f>
        <v>SUPPLY DIRECTORATE</v>
      </c>
      <c r="H6184" t="str">
        <f>T("CONTRACTING DEP/PSC BOX 8018")</f>
        <v>CONTRACTING DEP/PSC BOX 8018</v>
      </c>
      <c r="I6184" t="str">
        <f>T("MCAS, CHERRY PO")</f>
        <v>MCAS, CHERRY PO</v>
      </c>
      <c r="J6184" t="str">
        <f t="shared" si="2385"/>
        <v>NC</v>
      </c>
      <c r="K6184" t="str">
        <f t="shared" si="2391"/>
        <v>000000000000000000</v>
      </c>
      <c r="L6184" t="str">
        <f>T("2524664889")</f>
        <v>2524664889</v>
      </c>
    </row>
    <row r="6185" spans="1:12" x14ac:dyDescent="0.35">
      <c r="A6185" t="str">
        <f t="shared" si="2390"/>
        <v>MCAS CHERRY PT</v>
      </c>
      <c r="B6185" t="str">
        <f t="shared" si="2379"/>
        <v>SUPPLY DIRECTORATE</v>
      </c>
      <c r="C6185" t="str">
        <f>T("CONTRACTING DEPT /PSC BOX 8018")</f>
        <v>CONTRACTING DEPT /PSC BOX 8018</v>
      </c>
      <c r="D6185" t="str">
        <f>T("MCAS CHERRY PT")</f>
        <v>MCAS CHERRY PT</v>
      </c>
      <c r="E6185" t="str">
        <f t="shared" si="2387"/>
        <v>NC</v>
      </c>
      <c r="F6185" t="str">
        <f t="shared" ref="F6185:F6215" si="2392">T("285330000")</f>
        <v>285330000</v>
      </c>
      <c r="G6185" t="str">
        <f>T("SUPPLY DIRECTORATE")</f>
        <v>SUPPLY DIRECTORATE</v>
      </c>
      <c r="H6185" t="str">
        <f>T("CONTRACTING DEPT /PSC BOX 8018")</f>
        <v>CONTRACTING DEPT /PSC BOX 8018</v>
      </c>
      <c r="I6185" t="str">
        <f>T("MCAS CHERRY PT")</f>
        <v>MCAS CHERRY PT</v>
      </c>
      <c r="J6185" t="str">
        <f t="shared" si="2385"/>
        <v>NC</v>
      </c>
      <c r="K6185" t="str">
        <f t="shared" si="2391"/>
        <v>000000000000000000</v>
      </c>
      <c r="L6185" t="str">
        <f>T("2524665714")</f>
        <v>2524665714</v>
      </c>
    </row>
    <row r="6186" spans="1:12" x14ac:dyDescent="0.35">
      <c r="A6186" t="str">
        <f t="shared" si="2390"/>
        <v>MCAS CHERRY PT</v>
      </c>
      <c r="B6186" t="str">
        <f t="shared" si="2379"/>
        <v>SUPPLY DIRECTORATE</v>
      </c>
      <c r="C6186" t="str">
        <f>T("CONTRACTING DEPT /PSC BOX 8018")</f>
        <v>CONTRACTING DEPT /PSC BOX 8018</v>
      </c>
      <c r="D6186" t="str">
        <f>T("MCAS CHERRY PT")</f>
        <v>MCAS CHERRY PT</v>
      </c>
      <c r="E6186" t="str">
        <f t="shared" si="2387"/>
        <v>NC</v>
      </c>
      <c r="F6186" t="str">
        <f t="shared" si="2392"/>
        <v>285330000</v>
      </c>
      <c r="G6186" t="str">
        <f>T("SUPPLY DIRECTORATE")</f>
        <v>SUPPLY DIRECTORATE</v>
      </c>
      <c r="H6186" t="str">
        <f>T("CONTRACTING DEPT/ PSC BOX 8018")</f>
        <v>CONTRACTING DEPT/ PSC BOX 8018</v>
      </c>
      <c r="I6186" t="str">
        <f>T("MCAS CHERRY POINT")</f>
        <v>MCAS CHERRY POINT</v>
      </c>
      <c r="J6186" t="str">
        <f t="shared" si="2385"/>
        <v>NC</v>
      </c>
      <c r="K6186" t="str">
        <f t="shared" si="2391"/>
        <v>000000000000000000</v>
      </c>
      <c r="L6186" t="str">
        <f>T("2524666204")</f>
        <v>2524666204</v>
      </c>
    </row>
    <row r="6187" spans="1:12" x14ac:dyDescent="0.35">
      <c r="A6187" t="str">
        <f t="shared" si="2390"/>
        <v>MCAS CHERRY PT</v>
      </c>
      <c r="B6187" t="str">
        <f t="shared" si="2379"/>
        <v>SUPPLY DIRECTORATE</v>
      </c>
      <c r="C6187" t="str">
        <f>T("CONTRACTING DEPT /PSC BOX 8018")</f>
        <v>CONTRACTING DEPT /PSC BOX 8018</v>
      </c>
      <c r="D6187" t="str">
        <f>T("MCAS CHERRY PT")</f>
        <v>MCAS CHERRY PT</v>
      </c>
      <c r="E6187" t="str">
        <f t="shared" si="2387"/>
        <v>NC</v>
      </c>
      <c r="F6187" t="str">
        <f t="shared" si="2392"/>
        <v>285330000</v>
      </c>
      <c r="G6187" t="str">
        <f>T("SUPPLY DIRECTORATE CONTRACTING DEPT")</f>
        <v>SUPPLY DIRECTORATE CONTRACTING DEPT</v>
      </c>
      <c r="H6187" t="str">
        <f>T("PSC BOX 8018 MCAS")</f>
        <v>PSC BOX 8018 MCAS</v>
      </c>
      <c r="I6187" t="str">
        <f>T("CHERRY POINT")</f>
        <v>CHERRY POINT</v>
      </c>
      <c r="J6187" t="str">
        <f t="shared" si="2385"/>
        <v>NC</v>
      </c>
      <c r="K6187" t="str">
        <f t="shared" si="2391"/>
        <v>000000000000000000</v>
      </c>
      <c r="L6187" t="str">
        <f>T("2524664241")</f>
        <v>2524664241</v>
      </c>
    </row>
    <row r="6188" spans="1:12" x14ac:dyDescent="0.35">
      <c r="A6188" t="str">
        <f t="shared" si="2390"/>
        <v>MCAS CHERRY PT</v>
      </c>
      <c r="B6188" t="str">
        <f t="shared" si="2379"/>
        <v>SUPPLY DIRECTORATE</v>
      </c>
      <c r="C6188" t="str">
        <f>T("CONTRACTING DEPT/PSC BOX 8018")</f>
        <v>CONTRACTING DEPT/PSC BOX 8018</v>
      </c>
      <c r="D6188" t="str">
        <f>T("MCAS CHERRY POI")</f>
        <v>MCAS CHERRY POI</v>
      </c>
      <c r="E6188" t="str">
        <f t="shared" si="2387"/>
        <v>NC</v>
      </c>
      <c r="F6188" t="str">
        <f t="shared" si="2392"/>
        <v>285330000</v>
      </c>
      <c r="G6188" t="str">
        <f>T("CONTRACTING DEPT")</f>
        <v>CONTRACTING DEPT</v>
      </c>
      <c r="H6188" t="str">
        <f>T("PSC BOX 8018 MCAS")</f>
        <v>PSC BOX 8018 MCAS</v>
      </c>
      <c r="I6188" t="str">
        <f>T("CHERRY POINT")</f>
        <v>CHERRY POINT</v>
      </c>
      <c r="J6188" t="str">
        <f t="shared" si="2385"/>
        <v>NC</v>
      </c>
      <c r="K6188" t="str">
        <f t="shared" si="2391"/>
        <v>000000000000000000</v>
      </c>
      <c r="L6188" t="str">
        <f>T("2524665327")</f>
        <v>2524665327</v>
      </c>
    </row>
    <row r="6189" spans="1:12" x14ac:dyDescent="0.35">
      <c r="A6189" t="str">
        <f t="shared" si="2390"/>
        <v>MCAS CHERRY PT</v>
      </c>
      <c r="B6189" t="str">
        <f t="shared" si="2379"/>
        <v>SUPPLY DIRECTORATE</v>
      </c>
      <c r="C6189" t="str">
        <f>T("CONTRACTING DEPT/PSC BOX 8018")</f>
        <v>CONTRACTING DEPT/PSC BOX 8018</v>
      </c>
      <c r="D6189" t="str">
        <f>T("MCAS CHERRY POI")</f>
        <v>MCAS CHERRY POI</v>
      </c>
      <c r="E6189" t="str">
        <f t="shared" si="2387"/>
        <v>NC</v>
      </c>
      <c r="F6189" t="str">
        <f t="shared" si="2392"/>
        <v>285330000</v>
      </c>
      <c r="G6189" t="str">
        <f>T("SUPPLY DIRECTORATE")</f>
        <v>SUPPLY DIRECTORATE</v>
      </c>
      <c r="H6189" t="str">
        <f>T("CONTRACTING DEPT/PSC BOX 8018")</f>
        <v>CONTRACTING DEPT/PSC BOX 8018</v>
      </c>
      <c r="I6189" t="str">
        <f>T("MCAS CHERRY POI")</f>
        <v>MCAS CHERRY POI</v>
      </c>
      <c r="J6189" t="str">
        <f t="shared" si="2385"/>
        <v>NC</v>
      </c>
      <c r="K6189" t="str">
        <f>T("")</f>
        <v/>
      </c>
      <c r="L6189" t="str">
        <f>T("2524665326")</f>
        <v>2524665326</v>
      </c>
    </row>
    <row r="6190" spans="1:12" x14ac:dyDescent="0.35">
      <c r="A6190" t="str">
        <f t="shared" si="2390"/>
        <v>MCAS CHERRY PT</v>
      </c>
      <c r="B6190" t="str">
        <f t="shared" si="2379"/>
        <v>SUPPLY DIRECTORATE</v>
      </c>
      <c r="C6190" t="str">
        <f>T("PSC BOX 8018 MCAS")</f>
        <v>PSC BOX 8018 MCAS</v>
      </c>
      <c r="D6190" t="str">
        <f>T("CHERRY POINT")</f>
        <v>CHERRY POINT</v>
      </c>
      <c r="E6190" t="str">
        <f t="shared" si="2387"/>
        <v>NC</v>
      </c>
      <c r="F6190" t="str">
        <f t="shared" si="2392"/>
        <v>285330000</v>
      </c>
      <c r="G6190" t="str">
        <f>T("SUPPLY DIRECTORATE")</f>
        <v>SUPPLY DIRECTORATE</v>
      </c>
      <c r="H6190" t="str">
        <f>T("CONTRACTING DEP/PSC BOX 8018")</f>
        <v>CONTRACTING DEP/PSC BOX 8018</v>
      </c>
      <c r="I6190" t="str">
        <f>T("MCAS CHERRY POINT")</f>
        <v>MCAS CHERRY POINT</v>
      </c>
      <c r="J6190" t="str">
        <f t="shared" si="2385"/>
        <v>NC</v>
      </c>
      <c r="K6190" t="str">
        <f>T("000000000000000000")</f>
        <v>000000000000000000</v>
      </c>
      <c r="L6190" t="str">
        <f>T("2524665234")</f>
        <v>2524665234</v>
      </c>
    </row>
    <row r="6191" spans="1:12" x14ac:dyDescent="0.35">
      <c r="A6191" t="str">
        <f t="shared" si="2390"/>
        <v>MCAS CHERRY PT</v>
      </c>
      <c r="B6191" t="str">
        <f t="shared" si="2379"/>
        <v>SUPPLY DIRECTORATE</v>
      </c>
      <c r="C6191" t="str">
        <f>T("PSC BOX 8018 MCAS")</f>
        <v>PSC BOX 8018 MCAS</v>
      </c>
      <c r="D6191" t="str">
        <f>T("CHERRY POINT")</f>
        <v>CHERRY POINT</v>
      </c>
      <c r="E6191" t="str">
        <f t="shared" si="2387"/>
        <v>NC</v>
      </c>
      <c r="F6191" t="str">
        <f t="shared" si="2392"/>
        <v>285330000</v>
      </c>
      <c r="G6191" t="str">
        <f>T("SUPPLY DIRECTORATE")</f>
        <v>SUPPLY DIRECTORATE</v>
      </c>
      <c r="H6191" t="str">
        <f>T("PSC BOX 8018 MCAS")</f>
        <v>PSC BOX 8018 MCAS</v>
      </c>
      <c r="I6191" t="str">
        <f>T("CHERRY POINT")</f>
        <v>CHERRY POINT</v>
      </c>
      <c r="J6191" t="str">
        <f t="shared" si="2385"/>
        <v>NC</v>
      </c>
      <c r="K6191" t="str">
        <f>T("000000000000000000")</f>
        <v>000000000000000000</v>
      </c>
      <c r="L6191" t="str">
        <f>T("2524663561")</f>
        <v>2524663561</v>
      </c>
    </row>
    <row r="6192" spans="1:12" x14ac:dyDescent="0.35">
      <c r="A6192" t="str">
        <f t="shared" si="2390"/>
        <v>MCAS CHERRY PT</v>
      </c>
      <c r="B6192" t="str">
        <f>T("SUPPLY DIRECTORATE CNTRCTING DEPT")</f>
        <v>SUPPLY DIRECTORATE CNTRCTING DEPT</v>
      </c>
      <c r="C6192" t="str">
        <f>T("BLDG 159 PSC BOX 8018 MCAS")</f>
        <v>BLDG 159 PSC BOX 8018 MCAS</v>
      </c>
      <c r="D6192" t="str">
        <f>T("CHERRY POINT")</f>
        <v>CHERRY POINT</v>
      </c>
      <c r="E6192" t="str">
        <f t="shared" si="2387"/>
        <v>NC</v>
      </c>
      <c r="F6192" t="str">
        <f t="shared" si="2392"/>
        <v>285330000</v>
      </c>
      <c r="G6192" t="str">
        <f>T("SUPPLY DIRECTORATE")</f>
        <v>SUPPLY DIRECTORATE</v>
      </c>
      <c r="H6192" t="str">
        <f>T("CONTRACTING DEPT/PSC BOX 8018")</f>
        <v>CONTRACTING DEPT/PSC BOX 8018</v>
      </c>
      <c r="I6192" t="str">
        <f>T("MCAS CHERRY POINT")</f>
        <v>MCAS CHERRY POINT</v>
      </c>
      <c r="J6192" t="str">
        <f t="shared" si="2385"/>
        <v>NC</v>
      </c>
      <c r="K6192" t="str">
        <f>T("000000000000000000")</f>
        <v>000000000000000000</v>
      </c>
      <c r="L6192" t="str">
        <f>T("2524667384")</f>
        <v>2524667384</v>
      </c>
    </row>
    <row r="6193" spans="1:12" x14ac:dyDescent="0.35">
      <c r="A6193" t="str">
        <f t="shared" si="2390"/>
        <v>MCAS CHERRY PT</v>
      </c>
      <c r="B6193" t="str">
        <f>T("SUPPLY DIRECTORATE CNTRCTING DEPT")</f>
        <v>SUPPLY DIRECTORATE CNTRCTING DEPT</v>
      </c>
      <c r="C6193" t="str">
        <f>T("BLDG 159 PSC BOX 8018 MCAS")</f>
        <v>BLDG 159 PSC BOX 8018 MCAS</v>
      </c>
      <c r="D6193" t="str">
        <f>T("CHERRY POINT")</f>
        <v>CHERRY POINT</v>
      </c>
      <c r="E6193" t="str">
        <f t="shared" si="2387"/>
        <v>NC</v>
      </c>
      <c r="F6193" t="str">
        <f t="shared" si="2392"/>
        <v>285330000</v>
      </c>
      <c r="G6193" t="str">
        <f>T("SUPPLY DIRECTORATE")</f>
        <v>SUPPLY DIRECTORATE</v>
      </c>
      <c r="H6193" t="str">
        <f>T("CONTRACTING DEPT/PSC BOX 8018")</f>
        <v>CONTRACTING DEPT/PSC BOX 8018</v>
      </c>
      <c r="I6193" t="str">
        <f>T("MCAS CHERRY POINT")</f>
        <v>MCAS CHERRY POINT</v>
      </c>
      <c r="J6193" t="str">
        <f t="shared" si="2385"/>
        <v>NC</v>
      </c>
      <c r="K6193" t="str">
        <f>T("000000000000000000")</f>
        <v>000000000000000000</v>
      </c>
      <c r="L6193" t="str">
        <f>T("2524667467")</f>
        <v>2524667467</v>
      </c>
    </row>
    <row r="6194" spans="1:12" x14ac:dyDescent="0.35">
      <c r="A6194" t="str">
        <f t="shared" si="2390"/>
        <v>MCAS CHERRY PT</v>
      </c>
      <c r="B6194" t="str">
        <f>T("SUPPLY DIRECTORATE CNTRCTING DEPT")</f>
        <v>SUPPLY DIRECTORATE CNTRCTING DEPT</v>
      </c>
      <c r="C6194" t="str">
        <f>T("BLDG 159 PSC BOX 8018 MCAS")</f>
        <v>BLDG 159 PSC BOX 8018 MCAS</v>
      </c>
      <c r="D6194" t="str">
        <f>T("CHERRY POINT")</f>
        <v>CHERRY POINT</v>
      </c>
      <c r="E6194" t="str">
        <f t="shared" si="2387"/>
        <v>NC</v>
      </c>
      <c r="F6194" t="str">
        <f t="shared" si="2392"/>
        <v>285330000</v>
      </c>
      <c r="G6194" t="str">
        <f>T("SUPPLY DIRECTORATE CNTRCTING DEPT")</f>
        <v>SUPPLY DIRECTORATE CNTRCTING DEPT</v>
      </c>
      <c r="H6194" t="str">
        <f>T("BLDG 159 PSC BOX 8018 MCAS")</f>
        <v>BLDG 159 PSC BOX 8018 MCAS</v>
      </c>
      <c r="I6194" t="str">
        <f>T("CHERRY POINT")</f>
        <v>CHERRY POINT</v>
      </c>
      <c r="J6194" t="str">
        <f t="shared" si="2385"/>
        <v>NC</v>
      </c>
      <c r="K6194" t="str">
        <f>T("")</f>
        <v/>
      </c>
      <c r="L6194" t="str">
        <f>T("2524667588")</f>
        <v>2524667588</v>
      </c>
    </row>
    <row r="6195" spans="1:12" x14ac:dyDescent="0.35">
      <c r="A6195" t="str">
        <f t="shared" si="2390"/>
        <v>MCAS CHERRY PT</v>
      </c>
      <c r="B6195" t="str">
        <f t="shared" ref="B6195:B6239" si="2393">T("SUPPLY DIRECTORATE CONTRACTING DEPT")</f>
        <v>SUPPLY DIRECTORATE CONTRACTING DEPT</v>
      </c>
      <c r="C6195" t="str">
        <f t="shared" ref="C6195:C6221" si="2394">T("BLDG 159 PSC BOX 8018")</f>
        <v>BLDG 159 PSC BOX 8018</v>
      </c>
      <c r="D6195" t="str">
        <f t="shared" ref="D6195:D6223" si="2395">T("MCAS CHERRY PT")</f>
        <v>MCAS CHERRY PT</v>
      </c>
      <c r="E6195" t="str">
        <f t="shared" si="2387"/>
        <v>NC</v>
      </c>
      <c r="F6195" t="str">
        <f t="shared" si="2392"/>
        <v>285330000</v>
      </c>
      <c r="G6195" t="str">
        <f>T("PSC BOX 8018 MCAS")</f>
        <v>PSC BOX 8018 MCAS</v>
      </c>
      <c r="H6195" t="str">
        <f>T("")</f>
        <v/>
      </c>
      <c r="I6195" t="str">
        <f>T("CHERRY POINT")</f>
        <v>CHERRY POINT</v>
      </c>
      <c r="J6195" t="str">
        <f t="shared" si="2385"/>
        <v>NC</v>
      </c>
      <c r="K6195" t="str">
        <f t="shared" ref="K6195:K6200" si="2396">T("000000000000000000")</f>
        <v>000000000000000000</v>
      </c>
      <c r="L6195" t="str">
        <f>T("2524664114")</f>
        <v>2524664114</v>
      </c>
    </row>
    <row r="6196" spans="1:12" x14ac:dyDescent="0.35">
      <c r="A6196" t="str">
        <f t="shared" si="2390"/>
        <v>MCAS CHERRY PT</v>
      </c>
      <c r="B6196" t="str">
        <f t="shared" si="2393"/>
        <v>SUPPLY DIRECTORATE CONTRACTING DEPT</v>
      </c>
      <c r="C6196" t="str">
        <f t="shared" si="2394"/>
        <v>BLDG 159 PSC BOX 8018</v>
      </c>
      <c r="D6196" t="str">
        <f t="shared" si="2395"/>
        <v>MCAS CHERRY PT</v>
      </c>
      <c r="E6196" t="str">
        <f t="shared" si="2387"/>
        <v>NC</v>
      </c>
      <c r="F6196" t="str">
        <f t="shared" si="2392"/>
        <v>285330000</v>
      </c>
      <c r="G6196" t="str">
        <f>T("SUPPLU DIRECTORATE")</f>
        <v>SUPPLU DIRECTORATE</v>
      </c>
      <c r="H6196" t="str">
        <f>T("CONTRACTING DEP/PSC BOX 8018")</f>
        <v>CONTRACTING DEP/PSC BOX 8018</v>
      </c>
      <c r="I6196" t="str">
        <f>T("MCAS CHERRY POINT")</f>
        <v>MCAS CHERRY POINT</v>
      </c>
      <c r="J6196" t="str">
        <f t="shared" si="2385"/>
        <v>NC</v>
      </c>
      <c r="K6196" t="str">
        <f t="shared" si="2396"/>
        <v>000000000000000000</v>
      </c>
      <c r="L6196" t="str">
        <f>T("2524664196")</f>
        <v>2524664196</v>
      </c>
    </row>
    <row r="6197" spans="1:12" x14ac:dyDescent="0.35">
      <c r="A6197" t="str">
        <f t="shared" si="2390"/>
        <v>MCAS CHERRY PT</v>
      </c>
      <c r="B6197" t="str">
        <f t="shared" si="2393"/>
        <v>SUPPLY DIRECTORATE CONTRACTING DEPT</v>
      </c>
      <c r="C6197" t="str">
        <f t="shared" si="2394"/>
        <v>BLDG 159 PSC BOX 8018</v>
      </c>
      <c r="D6197" t="str">
        <f t="shared" si="2395"/>
        <v>MCAS CHERRY PT</v>
      </c>
      <c r="E6197" t="str">
        <f t="shared" si="2387"/>
        <v>NC</v>
      </c>
      <c r="F6197" t="str">
        <f t="shared" si="2392"/>
        <v>285330000</v>
      </c>
      <c r="G6197" t="str">
        <f>T("SUPPLY DIRECTORATE")</f>
        <v>SUPPLY DIRECTORATE</v>
      </c>
      <c r="H6197" t="str">
        <f>T("CONTRACTING DEP/PSC BOX 8018")</f>
        <v>CONTRACTING DEP/PSC BOX 8018</v>
      </c>
      <c r="I6197" t="str">
        <f>T("MCAS CHERRY POINT")</f>
        <v>MCAS CHERRY POINT</v>
      </c>
      <c r="J6197" t="str">
        <f t="shared" si="2385"/>
        <v>NC</v>
      </c>
      <c r="K6197" t="str">
        <f t="shared" si="2396"/>
        <v>000000000000000000</v>
      </c>
      <c r="L6197" t="str">
        <f>T("2524662730")</f>
        <v>2524662730</v>
      </c>
    </row>
    <row r="6198" spans="1:12" x14ac:dyDescent="0.35">
      <c r="A6198" t="str">
        <f t="shared" si="2390"/>
        <v>MCAS CHERRY PT</v>
      </c>
      <c r="B6198" t="str">
        <f t="shared" si="2393"/>
        <v>SUPPLY DIRECTORATE CONTRACTING DEPT</v>
      </c>
      <c r="C6198" t="str">
        <f t="shared" si="2394"/>
        <v>BLDG 159 PSC BOX 8018</v>
      </c>
      <c r="D6198" t="str">
        <f t="shared" si="2395"/>
        <v>MCAS CHERRY PT</v>
      </c>
      <c r="E6198" t="str">
        <f t="shared" si="2387"/>
        <v>NC</v>
      </c>
      <c r="F6198" t="str">
        <f t="shared" si="2392"/>
        <v>285330000</v>
      </c>
      <c r="G6198" t="str">
        <f>T("SUPPLY DIRECTORATE")</f>
        <v>SUPPLY DIRECTORATE</v>
      </c>
      <c r="H6198" t="str">
        <f>T("CONTRACTING DEP/PSC BOX 8018")</f>
        <v>CONTRACTING DEP/PSC BOX 8018</v>
      </c>
      <c r="I6198" t="str">
        <f>T("MCAS CHERRY POINT")</f>
        <v>MCAS CHERRY POINT</v>
      </c>
      <c r="J6198" t="str">
        <f t="shared" si="2385"/>
        <v>NC</v>
      </c>
      <c r="K6198" t="str">
        <f t="shared" si="2396"/>
        <v>000000000000000000</v>
      </c>
      <c r="L6198" t="str">
        <f>T("2524664674")</f>
        <v>2524664674</v>
      </c>
    </row>
    <row r="6199" spans="1:12" x14ac:dyDescent="0.35">
      <c r="A6199" t="str">
        <f t="shared" si="2390"/>
        <v>MCAS CHERRY PT</v>
      </c>
      <c r="B6199" t="str">
        <f t="shared" si="2393"/>
        <v>SUPPLY DIRECTORATE CONTRACTING DEPT</v>
      </c>
      <c r="C6199" t="str">
        <f t="shared" si="2394"/>
        <v>BLDG 159 PSC BOX 8018</v>
      </c>
      <c r="D6199" t="str">
        <f t="shared" si="2395"/>
        <v>MCAS CHERRY PT</v>
      </c>
      <c r="E6199" t="str">
        <f t="shared" si="2387"/>
        <v>NC</v>
      </c>
      <c r="F6199" t="str">
        <f t="shared" si="2392"/>
        <v>285330000</v>
      </c>
      <c r="G6199" t="str">
        <f>T("SUPPLY DIRECTORATE")</f>
        <v>SUPPLY DIRECTORATE</v>
      </c>
      <c r="H6199" t="str">
        <f>T("CONTRACTING DEP/PSC BOX 8018")</f>
        <v>CONTRACTING DEP/PSC BOX 8018</v>
      </c>
      <c r="I6199" t="str">
        <f>T("MCAS CHERRY POINT")</f>
        <v>MCAS CHERRY POINT</v>
      </c>
      <c r="J6199" t="str">
        <f t="shared" ref="J6199:J6230" si="2397">T("NC")</f>
        <v>NC</v>
      </c>
      <c r="K6199" t="str">
        <f t="shared" si="2396"/>
        <v>000000000000000000</v>
      </c>
      <c r="L6199" t="str">
        <f>T("2524667246")</f>
        <v>2524667246</v>
      </c>
    </row>
    <row r="6200" spans="1:12" x14ac:dyDescent="0.35">
      <c r="A6200" t="str">
        <f t="shared" si="2390"/>
        <v>MCAS CHERRY PT</v>
      </c>
      <c r="B6200" t="str">
        <f t="shared" si="2393"/>
        <v>SUPPLY DIRECTORATE CONTRACTING DEPT</v>
      </c>
      <c r="C6200" t="str">
        <f t="shared" si="2394"/>
        <v>BLDG 159 PSC BOX 8018</v>
      </c>
      <c r="D6200" t="str">
        <f t="shared" si="2395"/>
        <v>MCAS CHERRY PT</v>
      </c>
      <c r="E6200" t="str">
        <f t="shared" ref="E6200:E6231" si="2398">T("NC")</f>
        <v>NC</v>
      </c>
      <c r="F6200" t="str">
        <f t="shared" si="2392"/>
        <v>285330000</v>
      </c>
      <c r="G6200" t="str">
        <f>T("SUPPLY DIRECTORATE")</f>
        <v>SUPPLY DIRECTORATE</v>
      </c>
      <c r="H6200" t="str">
        <f>T("CONTRACTING DEPT/PSC BOX 8018")</f>
        <v>CONTRACTING DEPT/PSC BOX 8018</v>
      </c>
      <c r="I6200" t="str">
        <f>T("MCAS CHERRY POINT")</f>
        <v>MCAS CHERRY POINT</v>
      </c>
      <c r="J6200" t="str">
        <f t="shared" si="2397"/>
        <v>NC</v>
      </c>
      <c r="K6200" t="str">
        <f t="shared" si="2396"/>
        <v>000000000000000000</v>
      </c>
      <c r="L6200" t="str">
        <f>T("2524667042")</f>
        <v>2524667042</v>
      </c>
    </row>
    <row r="6201" spans="1:12" x14ac:dyDescent="0.35">
      <c r="A6201" t="str">
        <f t="shared" si="2390"/>
        <v>MCAS CHERRY PT</v>
      </c>
      <c r="B6201" t="str">
        <f t="shared" si="2393"/>
        <v>SUPPLY DIRECTORATE CONTRACTING DEPT</v>
      </c>
      <c r="C6201" t="str">
        <f t="shared" si="2394"/>
        <v>BLDG 159 PSC BOX 8018</v>
      </c>
      <c r="D6201" t="str">
        <f t="shared" si="2395"/>
        <v>MCAS CHERRY PT</v>
      </c>
      <c r="E6201" t="str">
        <f t="shared" si="2398"/>
        <v>NC</v>
      </c>
      <c r="F6201" t="str">
        <f t="shared" si="2392"/>
        <v>285330000</v>
      </c>
      <c r="G6201" t="str">
        <f t="shared" ref="G6201:G6214" si="2399">T("SUPPLY DIRECTORATE CONTRACTING DEPT")</f>
        <v>SUPPLY DIRECTORATE CONTRACTING DEPT</v>
      </c>
      <c r="H6201" t="str">
        <f t="shared" ref="H6201:H6208" si="2400">T("BLDG 159 PSC BOX 8018")</f>
        <v>BLDG 159 PSC BOX 8018</v>
      </c>
      <c r="I6201" t="str">
        <f t="shared" ref="I6201:I6208" si="2401">T("MCAS CHERRY PT")</f>
        <v>MCAS CHERRY PT</v>
      </c>
      <c r="J6201" t="str">
        <f t="shared" si="2397"/>
        <v>NC</v>
      </c>
      <c r="K6201" t="str">
        <f>T("")</f>
        <v/>
      </c>
      <c r="L6201" t="str">
        <f>T("2524662241")</f>
        <v>2524662241</v>
      </c>
    </row>
    <row r="6202" spans="1:12" x14ac:dyDescent="0.35">
      <c r="A6202" t="str">
        <f t="shared" si="2390"/>
        <v>MCAS CHERRY PT</v>
      </c>
      <c r="B6202" t="str">
        <f t="shared" si="2393"/>
        <v>SUPPLY DIRECTORATE CONTRACTING DEPT</v>
      </c>
      <c r="C6202" t="str">
        <f t="shared" si="2394"/>
        <v>BLDG 159 PSC BOX 8018</v>
      </c>
      <c r="D6202" t="str">
        <f t="shared" si="2395"/>
        <v>MCAS CHERRY PT</v>
      </c>
      <c r="E6202" t="str">
        <f t="shared" si="2398"/>
        <v>NC</v>
      </c>
      <c r="F6202" t="str">
        <f t="shared" si="2392"/>
        <v>285330000</v>
      </c>
      <c r="G6202" t="str">
        <f t="shared" si="2399"/>
        <v>SUPPLY DIRECTORATE CONTRACTING DEPT</v>
      </c>
      <c r="H6202" t="str">
        <f t="shared" si="2400"/>
        <v>BLDG 159 PSC BOX 8018</v>
      </c>
      <c r="I6202" t="str">
        <f t="shared" si="2401"/>
        <v>MCAS CHERRY PT</v>
      </c>
      <c r="J6202" t="str">
        <f t="shared" si="2397"/>
        <v>NC</v>
      </c>
      <c r="K6202" t="str">
        <f t="shared" ref="K6202:K6207" si="2402">T("000000000000000000")</f>
        <v>000000000000000000</v>
      </c>
      <c r="L6202" t="str">
        <f>T("2524662019")</f>
        <v>2524662019</v>
      </c>
    </row>
    <row r="6203" spans="1:12" x14ac:dyDescent="0.35">
      <c r="A6203" t="str">
        <f t="shared" si="2390"/>
        <v>MCAS CHERRY PT</v>
      </c>
      <c r="B6203" t="str">
        <f t="shared" si="2393"/>
        <v>SUPPLY DIRECTORATE CONTRACTING DEPT</v>
      </c>
      <c r="C6203" t="str">
        <f t="shared" si="2394"/>
        <v>BLDG 159 PSC BOX 8018</v>
      </c>
      <c r="D6203" t="str">
        <f t="shared" si="2395"/>
        <v>MCAS CHERRY PT</v>
      </c>
      <c r="E6203" t="str">
        <f t="shared" si="2398"/>
        <v>NC</v>
      </c>
      <c r="F6203" t="str">
        <f t="shared" si="2392"/>
        <v>285330000</v>
      </c>
      <c r="G6203" t="str">
        <f t="shared" si="2399"/>
        <v>SUPPLY DIRECTORATE CONTRACTING DEPT</v>
      </c>
      <c r="H6203" t="str">
        <f t="shared" si="2400"/>
        <v>BLDG 159 PSC BOX 8018</v>
      </c>
      <c r="I6203" t="str">
        <f t="shared" si="2401"/>
        <v>MCAS CHERRY PT</v>
      </c>
      <c r="J6203" t="str">
        <f t="shared" si="2397"/>
        <v>NC</v>
      </c>
      <c r="K6203" t="str">
        <f t="shared" si="2402"/>
        <v>000000000000000000</v>
      </c>
      <c r="L6203" t="str">
        <f>T("2524662749")</f>
        <v>2524662749</v>
      </c>
    </row>
    <row r="6204" spans="1:12" x14ac:dyDescent="0.35">
      <c r="A6204" t="str">
        <f t="shared" si="2390"/>
        <v>MCAS CHERRY PT</v>
      </c>
      <c r="B6204" t="str">
        <f t="shared" si="2393"/>
        <v>SUPPLY DIRECTORATE CONTRACTING DEPT</v>
      </c>
      <c r="C6204" t="str">
        <f t="shared" si="2394"/>
        <v>BLDG 159 PSC BOX 8018</v>
      </c>
      <c r="D6204" t="str">
        <f t="shared" si="2395"/>
        <v>MCAS CHERRY PT</v>
      </c>
      <c r="E6204" t="str">
        <f t="shared" si="2398"/>
        <v>NC</v>
      </c>
      <c r="F6204" t="str">
        <f t="shared" si="2392"/>
        <v>285330000</v>
      </c>
      <c r="G6204" t="str">
        <f t="shared" si="2399"/>
        <v>SUPPLY DIRECTORATE CONTRACTING DEPT</v>
      </c>
      <c r="H6204" t="str">
        <f t="shared" si="2400"/>
        <v>BLDG 159 PSC BOX 8018</v>
      </c>
      <c r="I6204" t="str">
        <f t="shared" si="2401"/>
        <v>MCAS CHERRY PT</v>
      </c>
      <c r="J6204" t="str">
        <f t="shared" si="2397"/>
        <v>NC</v>
      </c>
      <c r="K6204" t="str">
        <f t="shared" si="2402"/>
        <v>000000000000000000</v>
      </c>
      <c r="L6204" t="str">
        <f>T("2524663578")</f>
        <v>2524663578</v>
      </c>
    </row>
    <row r="6205" spans="1:12" x14ac:dyDescent="0.35">
      <c r="A6205" t="str">
        <f t="shared" si="2390"/>
        <v>MCAS CHERRY PT</v>
      </c>
      <c r="B6205" t="str">
        <f t="shared" si="2393"/>
        <v>SUPPLY DIRECTORATE CONTRACTING DEPT</v>
      </c>
      <c r="C6205" t="str">
        <f t="shared" si="2394"/>
        <v>BLDG 159 PSC BOX 8018</v>
      </c>
      <c r="D6205" t="str">
        <f t="shared" si="2395"/>
        <v>MCAS CHERRY PT</v>
      </c>
      <c r="E6205" t="str">
        <f t="shared" si="2398"/>
        <v>NC</v>
      </c>
      <c r="F6205" t="str">
        <f t="shared" si="2392"/>
        <v>285330000</v>
      </c>
      <c r="G6205" t="str">
        <f t="shared" si="2399"/>
        <v>SUPPLY DIRECTORATE CONTRACTING DEPT</v>
      </c>
      <c r="H6205" t="str">
        <f t="shared" si="2400"/>
        <v>BLDG 159 PSC BOX 8018</v>
      </c>
      <c r="I6205" t="str">
        <f t="shared" si="2401"/>
        <v>MCAS CHERRY PT</v>
      </c>
      <c r="J6205" t="str">
        <f t="shared" si="2397"/>
        <v>NC</v>
      </c>
      <c r="K6205" t="str">
        <f t="shared" si="2402"/>
        <v>000000000000000000</v>
      </c>
      <c r="L6205" t="str">
        <f>T("2524664025")</f>
        <v>2524664025</v>
      </c>
    </row>
    <row r="6206" spans="1:12" x14ac:dyDescent="0.35">
      <c r="A6206" t="str">
        <f t="shared" si="2390"/>
        <v>MCAS CHERRY PT</v>
      </c>
      <c r="B6206" t="str">
        <f t="shared" si="2393"/>
        <v>SUPPLY DIRECTORATE CONTRACTING DEPT</v>
      </c>
      <c r="C6206" t="str">
        <f t="shared" si="2394"/>
        <v>BLDG 159 PSC BOX 8018</v>
      </c>
      <c r="D6206" t="str">
        <f t="shared" si="2395"/>
        <v>MCAS CHERRY PT</v>
      </c>
      <c r="E6206" t="str">
        <f t="shared" si="2398"/>
        <v>NC</v>
      </c>
      <c r="F6206" t="str">
        <f t="shared" si="2392"/>
        <v>285330000</v>
      </c>
      <c r="G6206" t="str">
        <f t="shared" si="2399"/>
        <v>SUPPLY DIRECTORATE CONTRACTING DEPT</v>
      </c>
      <c r="H6206" t="str">
        <f t="shared" si="2400"/>
        <v>BLDG 159 PSC BOX 8018</v>
      </c>
      <c r="I6206" t="str">
        <f t="shared" si="2401"/>
        <v>MCAS CHERRY PT</v>
      </c>
      <c r="J6206" t="str">
        <f t="shared" si="2397"/>
        <v>NC</v>
      </c>
      <c r="K6206" t="str">
        <f t="shared" si="2402"/>
        <v>000000000000000000</v>
      </c>
      <c r="L6206" t="str">
        <f>T("2524664599")</f>
        <v>2524664599</v>
      </c>
    </row>
    <row r="6207" spans="1:12" x14ac:dyDescent="0.35">
      <c r="A6207" t="str">
        <f t="shared" si="2390"/>
        <v>MCAS CHERRY PT</v>
      </c>
      <c r="B6207" t="str">
        <f t="shared" si="2393"/>
        <v>SUPPLY DIRECTORATE CONTRACTING DEPT</v>
      </c>
      <c r="C6207" t="str">
        <f t="shared" si="2394"/>
        <v>BLDG 159 PSC BOX 8018</v>
      </c>
      <c r="D6207" t="str">
        <f t="shared" si="2395"/>
        <v>MCAS CHERRY PT</v>
      </c>
      <c r="E6207" t="str">
        <f t="shared" si="2398"/>
        <v>NC</v>
      </c>
      <c r="F6207" t="str">
        <f t="shared" si="2392"/>
        <v>285330000</v>
      </c>
      <c r="G6207" t="str">
        <f t="shared" si="2399"/>
        <v>SUPPLY DIRECTORATE CONTRACTING DEPT</v>
      </c>
      <c r="H6207" t="str">
        <f t="shared" si="2400"/>
        <v>BLDG 159 PSC BOX 8018</v>
      </c>
      <c r="I6207" t="str">
        <f t="shared" si="2401"/>
        <v>MCAS CHERRY PT</v>
      </c>
      <c r="J6207" t="str">
        <f t="shared" si="2397"/>
        <v>NC</v>
      </c>
      <c r="K6207" t="str">
        <f t="shared" si="2402"/>
        <v>000000000000000000</v>
      </c>
      <c r="L6207" t="str">
        <f>T("2524666661")</f>
        <v>2524666661</v>
      </c>
    </row>
    <row r="6208" spans="1:12" x14ac:dyDescent="0.35">
      <c r="A6208" t="str">
        <f t="shared" si="2390"/>
        <v>MCAS CHERRY PT</v>
      </c>
      <c r="B6208" t="str">
        <f t="shared" si="2393"/>
        <v>SUPPLY DIRECTORATE CONTRACTING DEPT</v>
      </c>
      <c r="C6208" t="str">
        <f t="shared" si="2394"/>
        <v>BLDG 159 PSC BOX 8018</v>
      </c>
      <c r="D6208" t="str">
        <f t="shared" si="2395"/>
        <v>MCAS CHERRY PT</v>
      </c>
      <c r="E6208" t="str">
        <f t="shared" si="2398"/>
        <v>NC</v>
      </c>
      <c r="F6208" t="str">
        <f t="shared" si="2392"/>
        <v>285330000</v>
      </c>
      <c r="G6208" t="str">
        <f t="shared" si="2399"/>
        <v>SUPPLY DIRECTORATE CONTRACTING DEPT</v>
      </c>
      <c r="H6208" t="str">
        <f t="shared" si="2400"/>
        <v>BLDG 159 PSC BOX 8018</v>
      </c>
      <c r="I6208" t="str">
        <f t="shared" si="2401"/>
        <v>MCAS CHERRY PT</v>
      </c>
      <c r="J6208" t="str">
        <f t="shared" si="2397"/>
        <v>NC</v>
      </c>
      <c r="K6208" t="str">
        <f>T("2524662880")</f>
        <v>2524662880</v>
      </c>
      <c r="L6208" t="str">
        <f>T("2524664924")</f>
        <v>2524664924</v>
      </c>
    </row>
    <row r="6209" spans="1:12" x14ac:dyDescent="0.35">
      <c r="A6209" t="str">
        <f t="shared" si="2390"/>
        <v>MCAS CHERRY PT</v>
      </c>
      <c r="B6209" t="str">
        <f t="shared" si="2393"/>
        <v>SUPPLY DIRECTORATE CONTRACTING DEPT</v>
      </c>
      <c r="C6209" t="str">
        <f t="shared" si="2394"/>
        <v>BLDG 159 PSC BOX 8018</v>
      </c>
      <c r="D6209" t="str">
        <f t="shared" si="2395"/>
        <v>MCAS CHERRY PT</v>
      </c>
      <c r="E6209" t="str">
        <f t="shared" si="2398"/>
        <v>NC</v>
      </c>
      <c r="F6209" t="str">
        <f t="shared" si="2392"/>
        <v>285330000</v>
      </c>
      <c r="G6209" t="str">
        <f t="shared" si="2399"/>
        <v>SUPPLY DIRECTORATE CONTRACTING DEPT</v>
      </c>
      <c r="H6209" t="str">
        <f>T("BLDG 159 PSC BOX 8018 MCAS")</f>
        <v>BLDG 159 PSC BOX 8018 MCAS</v>
      </c>
      <c r="I6209" t="str">
        <f t="shared" ref="I6209:I6216" si="2403">T("CHERRY POINT")</f>
        <v>CHERRY POINT</v>
      </c>
      <c r="J6209" t="str">
        <f t="shared" si="2397"/>
        <v>NC</v>
      </c>
      <c r="K6209" t="str">
        <f t="shared" ref="K6209:K6222" si="2404">T("000000000000000000")</f>
        <v>000000000000000000</v>
      </c>
      <c r="L6209" t="str">
        <f>T("2524661093")</f>
        <v>2524661093</v>
      </c>
    </row>
    <row r="6210" spans="1:12" x14ac:dyDescent="0.35">
      <c r="A6210" t="str">
        <f t="shared" si="2390"/>
        <v>MCAS CHERRY PT</v>
      </c>
      <c r="B6210" t="str">
        <f t="shared" si="2393"/>
        <v>SUPPLY DIRECTORATE CONTRACTING DEPT</v>
      </c>
      <c r="C6210" t="str">
        <f t="shared" si="2394"/>
        <v>BLDG 159 PSC BOX 8018</v>
      </c>
      <c r="D6210" t="str">
        <f t="shared" si="2395"/>
        <v>MCAS CHERRY PT</v>
      </c>
      <c r="E6210" t="str">
        <f t="shared" si="2398"/>
        <v>NC</v>
      </c>
      <c r="F6210" t="str">
        <f t="shared" si="2392"/>
        <v>285330000</v>
      </c>
      <c r="G6210" t="str">
        <f t="shared" si="2399"/>
        <v>SUPPLY DIRECTORATE CONTRACTING DEPT</v>
      </c>
      <c r="H6210" t="str">
        <f>T("BLDG 159 PSC BOX 8018 MCAS")</f>
        <v>BLDG 159 PSC BOX 8018 MCAS</v>
      </c>
      <c r="I6210" t="str">
        <f t="shared" si="2403"/>
        <v>CHERRY POINT</v>
      </c>
      <c r="J6210" t="str">
        <f t="shared" si="2397"/>
        <v>NC</v>
      </c>
      <c r="K6210" t="str">
        <f t="shared" si="2404"/>
        <v>000000000000000000</v>
      </c>
      <c r="L6210" t="str">
        <f>T("2524663793")</f>
        <v>2524663793</v>
      </c>
    </row>
    <row r="6211" spans="1:12" x14ac:dyDescent="0.35">
      <c r="A6211" t="str">
        <f t="shared" si="2390"/>
        <v>MCAS CHERRY PT</v>
      </c>
      <c r="B6211" t="str">
        <f t="shared" si="2393"/>
        <v>SUPPLY DIRECTORATE CONTRACTING DEPT</v>
      </c>
      <c r="C6211" t="str">
        <f t="shared" si="2394"/>
        <v>BLDG 159 PSC BOX 8018</v>
      </c>
      <c r="D6211" t="str">
        <f t="shared" si="2395"/>
        <v>MCAS CHERRY PT</v>
      </c>
      <c r="E6211" t="str">
        <f t="shared" si="2398"/>
        <v>NC</v>
      </c>
      <c r="F6211" t="str">
        <f t="shared" si="2392"/>
        <v>285330000</v>
      </c>
      <c r="G6211" t="str">
        <f t="shared" si="2399"/>
        <v>SUPPLY DIRECTORATE CONTRACTING DEPT</v>
      </c>
      <c r="H6211" t="str">
        <f>T("BLDG 159 PSC BOX 8018 MCAS")</f>
        <v>BLDG 159 PSC BOX 8018 MCAS</v>
      </c>
      <c r="I6211" t="str">
        <f t="shared" si="2403"/>
        <v>CHERRY POINT</v>
      </c>
      <c r="J6211" t="str">
        <f t="shared" si="2397"/>
        <v>NC</v>
      </c>
      <c r="K6211" t="str">
        <f t="shared" si="2404"/>
        <v>000000000000000000</v>
      </c>
      <c r="L6211" t="str">
        <f>T("2524663897")</f>
        <v>2524663897</v>
      </c>
    </row>
    <row r="6212" spans="1:12" x14ac:dyDescent="0.35">
      <c r="A6212" t="str">
        <f t="shared" si="2390"/>
        <v>MCAS CHERRY PT</v>
      </c>
      <c r="B6212" t="str">
        <f t="shared" si="2393"/>
        <v>SUPPLY DIRECTORATE CONTRACTING DEPT</v>
      </c>
      <c r="C6212" t="str">
        <f t="shared" si="2394"/>
        <v>BLDG 159 PSC BOX 8018</v>
      </c>
      <c r="D6212" t="str">
        <f t="shared" si="2395"/>
        <v>MCAS CHERRY PT</v>
      </c>
      <c r="E6212" t="str">
        <f t="shared" si="2398"/>
        <v>NC</v>
      </c>
      <c r="F6212" t="str">
        <f t="shared" si="2392"/>
        <v>285330000</v>
      </c>
      <c r="G6212" t="str">
        <f t="shared" si="2399"/>
        <v>SUPPLY DIRECTORATE CONTRACTING DEPT</v>
      </c>
      <c r="H6212" t="str">
        <f>T("PSC BOX 8018 BLDG 159 MCAS")</f>
        <v>PSC BOX 8018 BLDG 159 MCAS</v>
      </c>
      <c r="I6212" t="str">
        <f t="shared" si="2403"/>
        <v>CHERRY POINT</v>
      </c>
      <c r="J6212" t="str">
        <f t="shared" si="2397"/>
        <v>NC</v>
      </c>
      <c r="K6212" t="str">
        <f t="shared" si="2404"/>
        <v>000000000000000000</v>
      </c>
      <c r="L6212" t="str">
        <f>T("2524664400")</f>
        <v>2524664400</v>
      </c>
    </row>
    <row r="6213" spans="1:12" x14ac:dyDescent="0.35">
      <c r="A6213" t="str">
        <f t="shared" ref="A6213:A6245" si="2405">T("MCAS CHERRY PT")</f>
        <v>MCAS CHERRY PT</v>
      </c>
      <c r="B6213" t="str">
        <f t="shared" si="2393"/>
        <v>SUPPLY DIRECTORATE CONTRACTING DEPT</v>
      </c>
      <c r="C6213" t="str">
        <f t="shared" si="2394"/>
        <v>BLDG 159 PSC BOX 8018</v>
      </c>
      <c r="D6213" t="str">
        <f t="shared" si="2395"/>
        <v>MCAS CHERRY PT</v>
      </c>
      <c r="E6213" t="str">
        <f t="shared" si="2398"/>
        <v>NC</v>
      </c>
      <c r="F6213" t="str">
        <f t="shared" si="2392"/>
        <v>285330000</v>
      </c>
      <c r="G6213" t="str">
        <f t="shared" si="2399"/>
        <v>SUPPLY DIRECTORATE CONTRACTING DEPT</v>
      </c>
      <c r="H6213" t="str">
        <f>T("PSC BOX 8018 MCAS")</f>
        <v>PSC BOX 8018 MCAS</v>
      </c>
      <c r="I6213" t="str">
        <f t="shared" si="2403"/>
        <v>CHERRY POINT</v>
      </c>
      <c r="J6213" t="str">
        <f t="shared" si="2397"/>
        <v>NC</v>
      </c>
      <c r="K6213" t="str">
        <f t="shared" si="2404"/>
        <v>000000000000000000</v>
      </c>
      <c r="L6213" t="str">
        <f>T("2524663449")</f>
        <v>2524663449</v>
      </c>
    </row>
    <row r="6214" spans="1:12" x14ac:dyDescent="0.35">
      <c r="A6214" t="str">
        <f t="shared" si="2405"/>
        <v>MCAS CHERRY PT</v>
      </c>
      <c r="B6214" t="str">
        <f t="shared" si="2393"/>
        <v>SUPPLY DIRECTORATE CONTRACTING DEPT</v>
      </c>
      <c r="C6214" t="str">
        <f t="shared" si="2394"/>
        <v>BLDG 159 PSC BOX 8018</v>
      </c>
      <c r="D6214" t="str">
        <f t="shared" si="2395"/>
        <v>MCAS CHERRY PT</v>
      </c>
      <c r="E6214" t="str">
        <f t="shared" si="2398"/>
        <v>NC</v>
      </c>
      <c r="F6214" t="str">
        <f t="shared" si="2392"/>
        <v>285330000</v>
      </c>
      <c r="G6214" t="str">
        <f t="shared" si="2399"/>
        <v>SUPPLY DIRECTORATE CONTRACTING DEPT</v>
      </c>
      <c r="H6214" t="str">
        <f>T("PSC BOX 8018 MCAS")</f>
        <v>PSC BOX 8018 MCAS</v>
      </c>
      <c r="I6214" t="str">
        <f t="shared" si="2403"/>
        <v>CHERRY POINT</v>
      </c>
      <c r="J6214" t="str">
        <f t="shared" si="2397"/>
        <v>NC</v>
      </c>
      <c r="K6214" t="str">
        <f t="shared" si="2404"/>
        <v>000000000000000000</v>
      </c>
      <c r="L6214" t="str">
        <f>T("2524664186")</f>
        <v>2524664186</v>
      </c>
    </row>
    <row r="6215" spans="1:12" x14ac:dyDescent="0.35">
      <c r="A6215" t="str">
        <f t="shared" si="2405"/>
        <v>MCAS CHERRY PT</v>
      </c>
      <c r="B6215" t="str">
        <f t="shared" si="2393"/>
        <v>SUPPLY DIRECTORATE CONTRACTING DEPT</v>
      </c>
      <c r="C6215" t="str">
        <f t="shared" si="2394"/>
        <v>BLDG 159 PSC BOX 8018</v>
      </c>
      <c r="D6215" t="str">
        <f t="shared" si="2395"/>
        <v>MCAS CHERRY PT</v>
      </c>
      <c r="E6215" t="str">
        <f t="shared" si="2398"/>
        <v>NC</v>
      </c>
      <c r="F6215" t="str">
        <f t="shared" si="2392"/>
        <v>285330000</v>
      </c>
      <c r="G6215" t="str">
        <f>T("SUPPLY DIRECTORATE/CONTRACTING DEP")</f>
        <v>SUPPLY DIRECTORATE/CONTRACTING DEP</v>
      </c>
      <c r="H6215" t="str">
        <f>T("PSC BOX 8018 BLDG 159")</f>
        <v>PSC BOX 8018 BLDG 159</v>
      </c>
      <c r="I6215" t="str">
        <f t="shared" si="2403"/>
        <v>CHERRY POINT</v>
      </c>
      <c r="J6215" t="str">
        <f t="shared" si="2397"/>
        <v>NC</v>
      </c>
      <c r="K6215" t="str">
        <f t="shared" si="2404"/>
        <v>000000000000000000</v>
      </c>
      <c r="L6215" t="str">
        <f>T("2524662583")</f>
        <v>2524662583</v>
      </c>
    </row>
    <row r="6216" spans="1:12" x14ac:dyDescent="0.35">
      <c r="A6216" t="str">
        <f t="shared" si="2405"/>
        <v>MCAS CHERRY PT</v>
      </c>
      <c r="B6216" t="str">
        <f t="shared" si="2393"/>
        <v>SUPPLY DIRECTORATE CONTRACTING DEPT</v>
      </c>
      <c r="C6216" t="str">
        <f t="shared" si="2394"/>
        <v>BLDG 159 PSC BOX 8018</v>
      </c>
      <c r="D6216" t="str">
        <f t="shared" si="2395"/>
        <v>MCAS CHERRY PT</v>
      </c>
      <c r="E6216" t="str">
        <f t="shared" si="2398"/>
        <v>NC</v>
      </c>
      <c r="F6216" t="str">
        <f t="shared" ref="F6216:F6221" si="2406">T("285330018")</f>
        <v>285330018</v>
      </c>
      <c r="G6216" t="str">
        <f>T("CONTRACTING DEPARTMENT")</f>
        <v>CONTRACTING DEPARTMENT</v>
      </c>
      <c r="H6216" t="str">
        <f>T("PSC BOX 8018")</f>
        <v>PSC BOX 8018</v>
      </c>
      <c r="I6216" t="str">
        <f t="shared" si="2403"/>
        <v>CHERRY POINT</v>
      </c>
      <c r="J6216" t="str">
        <f t="shared" si="2397"/>
        <v>NC</v>
      </c>
      <c r="K6216" t="str">
        <f t="shared" si="2404"/>
        <v>000000000000000000</v>
      </c>
      <c r="L6216" t="str">
        <f>T("2524665631")</f>
        <v>2524665631</v>
      </c>
    </row>
    <row r="6217" spans="1:12" x14ac:dyDescent="0.35">
      <c r="A6217" t="str">
        <f t="shared" si="2405"/>
        <v>MCAS CHERRY PT</v>
      </c>
      <c r="B6217" t="str">
        <f t="shared" si="2393"/>
        <v>SUPPLY DIRECTORATE CONTRACTING DEPT</v>
      </c>
      <c r="C6217" t="str">
        <f t="shared" si="2394"/>
        <v>BLDG 159 PSC BOX 8018</v>
      </c>
      <c r="D6217" t="str">
        <f t="shared" si="2395"/>
        <v>MCAS CHERRY PT</v>
      </c>
      <c r="E6217" t="str">
        <f t="shared" si="2398"/>
        <v>NC</v>
      </c>
      <c r="F6217" t="str">
        <f t="shared" si="2406"/>
        <v>285330018</v>
      </c>
      <c r="G6217" t="str">
        <f>T("SUPPLY DIRECTORATE")</f>
        <v>SUPPLY DIRECTORATE</v>
      </c>
      <c r="H6217" t="str">
        <f>T("CONTRACTING DEP/DRAWER 8018")</f>
        <v>CONTRACTING DEP/DRAWER 8018</v>
      </c>
      <c r="I6217" t="str">
        <f>T("MCAS CHERRY POINT")</f>
        <v>MCAS CHERRY POINT</v>
      </c>
      <c r="J6217" t="str">
        <f t="shared" si="2397"/>
        <v>NC</v>
      </c>
      <c r="K6217" t="str">
        <f t="shared" si="2404"/>
        <v>000000000000000000</v>
      </c>
      <c r="L6217" t="str">
        <f>T("2524663809")</f>
        <v>2524663809</v>
      </c>
    </row>
    <row r="6218" spans="1:12" x14ac:dyDescent="0.35">
      <c r="A6218" t="str">
        <f t="shared" si="2405"/>
        <v>MCAS CHERRY PT</v>
      </c>
      <c r="B6218" t="str">
        <f t="shared" si="2393"/>
        <v>SUPPLY DIRECTORATE CONTRACTING DEPT</v>
      </c>
      <c r="C6218" t="str">
        <f t="shared" si="2394"/>
        <v>BLDG 159 PSC BOX 8018</v>
      </c>
      <c r="D6218" t="str">
        <f t="shared" si="2395"/>
        <v>MCAS CHERRY PT</v>
      </c>
      <c r="E6218" t="str">
        <f t="shared" si="2398"/>
        <v>NC</v>
      </c>
      <c r="F6218" t="str">
        <f t="shared" si="2406"/>
        <v>285330018</v>
      </c>
      <c r="G6218" t="str">
        <f>T("SUPPLY DIRECTORATE")</f>
        <v>SUPPLY DIRECTORATE</v>
      </c>
      <c r="H6218" t="str">
        <f>T("CONTRACTING DEP/PSC BOX 8018")</f>
        <v>CONTRACTING DEP/PSC BOX 8018</v>
      </c>
      <c r="I6218" t="str">
        <f>T("MCAS CHERRY POINT")</f>
        <v>MCAS CHERRY POINT</v>
      </c>
      <c r="J6218" t="str">
        <f t="shared" si="2397"/>
        <v>NC</v>
      </c>
      <c r="K6218" t="str">
        <f t="shared" si="2404"/>
        <v>000000000000000000</v>
      </c>
      <c r="L6218" t="str">
        <f>T("2524665348")</f>
        <v>2524665348</v>
      </c>
    </row>
    <row r="6219" spans="1:12" x14ac:dyDescent="0.35">
      <c r="A6219" t="str">
        <f t="shared" si="2405"/>
        <v>MCAS CHERRY PT</v>
      </c>
      <c r="B6219" t="str">
        <f t="shared" si="2393"/>
        <v>SUPPLY DIRECTORATE CONTRACTING DEPT</v>
      </c>
      <c r="C6219" t="str">
        <f t="shared" si="2394"/>
        <v>BLDG 159 PSC BOX 8018</v>
      </c>
      <c r="D6219" t="str">
        <f t="shared" si="2395"/>
        <v>MCAS CHERRY PT</v>
      </c>
      <c r="E6219" t="str">
        <f t="shared" si="2398"/>
        <v>NC</v>
      </c>
      <c r="F6219" t="str">
        <f t="shared" si="2406"/>
        <v>285330018</v>
      </c>
      <c r="G6219" t="str">
        <f>T("SUPPLY DIRECTORATE CONTRACTING DEPT")</f>
        <v>SUPPLY DIRECTORATE CONTRACTING DEPT</v>
      </c>
      <c r="H6219" t="str">
        <f>T("BLDG 159 PSC BOX 8018")</f>
        <v>BLDG 159 PSC BOX 8018</v>
      </c>
      <c r="I6219" t="str">
        <f>T("MCAS CHERRY PT")</f>
        <v>MCAS CHERRY PT</v>
      </c>
      <c r="J6219" t="str">
        <f t="shared" si="2397"/>
        <v>NC</v>
      </c>
      <c r="K6219" t="str">
        <f t="shared" si="2404"/>
        <v>000000000000000000</v>
      </c>
      <c r="L6219" t="str">
        <f>T("2524664495")</f>
        <v>2524664495</v>
      </c>
    </row>
    <row r="6220" spans="1:12" x14ac:dyDescent="0.35">
      <c r="A6220" t="str">
        <f t="shared" si="2405"/>
        <v>MCAS CHERRY PT</v>
      </c>
      <c r="B6220" t="str">
        <f t="shared" si="2393"/>
        <v>SUPPLY DIRECTORATE CONTRACTING DEPT</v>
      </c>
      <c r="C6220" t="str">
        <f t="shared" si="2394"/>
        <v>BLDG 159 PSC BOX 8018</v>
      </c>
      <c r="D6220" t="str">
        <f t="shared" si="2395"/>
        <v>MCAS CHERRY PT</v>
      </c>
      <c r="E6220" t="str">
        <f t="shared" si="2398"/>
        <v>NC</v>
      </c>
      <c r="F6220" t="str">
        <f t="shared" si="2406"/>
        <v>285330018</v>
      </c>
      <c r="G6220" t="str">
        <f>T("SUPPLY DIRECTORATE CONTRACTING DEPT")</f>
        <v>SUPPLY DIRECTORATE CONTRACTING DEPT</v>
      </c>
      <c r="H6220" t="str">
        <f>T("BLDG 159 PSC BOX 8018")</f>
        <v>BLDG 159 PSC BOX 8018</v>
      </c>
      <c r="I6220" t="str">
        <f>T("MCAS CHERRY PT")</f>
        <v>MCAS CHERRY PT</v>
      </c>
      <c r="J6220" t="str">
        <f t="shared" si="2397"/>
        <v>NC</v>
      </c>
      <c r="K6220" t="str">
        <f t="shared" si="2404"/>
        <v>000000000000000000</v>
      </c>
      <c r="L6220" t="str">
        <f>T("2524665632")</f>
        <v>2524665632</v>
      </c>
    </row>
    <row r="6221" spans="1:12" x14ac:dyDescent="0.35">
      <c r="A6221" t="str">
        <f t="shared" si="2405"/>
        <v>MCAS CHERRY PT</v>
      </c>
      <c r="B6221" t="str">
        <f t="shared" si="2393"/>
        <v>SUPPLY DIRECTORATE CONTRACTING DEPT</v>
      </c>
      <c r="C6221" t="str">
        <f t="shared" si="2394"/>
        <v>BLDG 159 PSC BOX 8018</v>
      </c>
      <c r="D6221" t="str">
        <f t="shared" si="2395"/>
        <v>MCAS CHERRY PT</v>
      </c>
      <c r="E6221" t="str">
        <f t="shared" si="2398"/>
        <v>NC</v>
      </c>
      <c r="F6221" t="str">
        <f t="shared" si="2406"/>
        <v>285330018</v>
      </c>
      <c r="G6221" t="str">
        <f>T("SUPPLY DIRECTORATE/CONTRACTING")</f>
        <v>SUPPLY DIRECTORATE/CONTRACTING</v>
      </c>
      <c r="H6221" t="str">
        <f>T("PSC BOX 8018")</f>
        <v>PSC BOX 8018</v>
      </c>
      <c r="I6221" t="str">
        <f>T("MCAS CHERRY POINT")</f>
        <v>MCAS CHERRY POINT</v>
      </c>
      <c r="J6221" t="str">
        <f t="shared" si="2397"/>
        <v>NC</v>
      </c>
      <c r="K6221" t="str">
        <f t="shared" si="2404"/>
        <v>000000000000000000</v>
      </c>
      <c r="L6221" t="str">
        <f>T("2524666595")</f>
        <v>2524666595</v>
      </c>
    </row>
    <row r="6222" spans="1:12" x14ac:dyDescent="0.35">
      <c r="A6222" t="str">
        <f t="shared" si="2405"/>
        <v>MCAS CHERRY PT</v>
      </c>
      <c r="B6222" t="str">
        <f t="shared" si="2393"/>
        <v>SUPPLY DIRECTORATE CONTRACTING DEPT</v>
      </c>
      <c r="C6222" t="str">
        <f>T("BLDG 159/PSC BOX 8018")</f>
        <v>BLDG 159/PSC BOX 8018</v>
      </c>
      <c r="D6222" t="str">
        <f t="shared" si="2395"/>
        <v>MCAS CHERRY PT</v>
      </c>
      <c r="E6222" t="str">
        <f t="shared" si="2398"/>
        <v>NC</v>
      </c>
      <c r="F6222" t="str">
        <f>T("285330000")</f>
        <v>285330000</v>
      </c>
      <c r="G6222" t="str">
        <f>T("SUPPLY DIRECTORATE")</f>
        <v>SUPPLY DIRECTORATE</v>
      </c>
      <c r="H6222" t="str">
        <f>T("CONTRACTING DEP/PSC BOX 8018")</f>
        <v>CONTRACTING DEP/PSC BOX 8018</v>
      </c>
      <c r="I6222" t="str">
        <f>T("MCAS CHERRY POINT")</f>
        <v>MCAS CHERRY POINT</v>
      </c>
      <c r="J6222" t="str">
        <f t="shared" si="2397"/>
        <v>NC</v>
      </c>
      <c r="K6222" t="str">
        <f t="shared" si="2404"/>
        <v>000000000000000000</v>
      </c>
      <c r="L6222" t="str">
        <f>T("2524664457")</f>
        <v>2524664457</v>
      </c>
    </row>
    <row r="6223" spans="1:12" x14ac:dyDescent="0.35">
      <c r="A6223" t="str">
        <f t="shared" si="2405"/>
        <v>MCAS CHERRY PT</v>
      </c>
      <c r="B6223" t="str">
        <f t="shared" si="2393"/>
        <v>SUPPLY DIRECTORATE CONTRACTING DEPT</v>
      </c>
      <c r="C6223" t="str">
        <f>T("BLDG 159/PSC BOX 8018")</f>
        <v>BLDG 159/PSC BOX 8018</v>
      </c>
      <c r="D6223" t="str">
        <f t="shared" si="2395"/>
        <v>MCAS CHERRY PT</v>
      </c>
      <c r="E6223" t="str">
        <f t="shared" si="2398"/>
        <v>NC</v>
      </c>
      <c r="F6223" t="str">
        <f>T("285330000")</f>
        <v>285330000</v>
      </c>
      <c r="G6223" t="str">
        <f>T("SUPPLY DIRECTORATE CONTRACTING DEPT")</f>
        <v>SUPPLY DIRECTORATE CONTRACTING DEPT</v>
      </c>
      <c r="H6223" t="str">
        <f>T("BLDG 159/PSC BOX 8018")</f>
        <v>BLDG 159/PSC BOX 8018</v>
      </c>
      <c r="I6223" t="str">
        <f>T("MCAS CHERRY PT")</f>
        <v>MCAS CHERRY PT</v>
      </c>
      <c r="J6223" t="str">
        <f t="shared" si="2397"/>
        <v>NC</v>
      </c>
      <c r="K6223" t="str">
        <f>T("")</f>
        <v/>
      </c>
      <c r="L6223" t="str">
        <f>T("2524664309")</f>
        <v>2524664309</v>
      </c>
    </row>
    <row r="6224" spans="1:12" x14ac:dyDescent="0.35">
      <c r="A6224" t="str">
        <f t="shared" si="2405"/>
        <v>MCAS CHERRY PT</v>
      </c>
      <c r="B6224" t="str">
        <f t="shared" si="2393"/>
        <v>SUPPLY DIRECTORATE CONTRACTING DEPT</v>
      </c>
      <c r="C6224" t="str">
        <f t="shared" ref="C6224:C6239" si="2407">T("PSC BOX 8018 MCAS")</f>
        <v>PSC BOX 8018 MCAS</v>
      </c>
      <c r="D6224" t="str">
        <f t="shared" ref="D6224:D6235" si="2408">T("CHERRY POINT")</f>
        <v>CHERRY POINT</v>
      </c>
      <c r="E6224" t="str">
        <f t="shared" si="2398"/>
        <v>NC</v>
      </c>
      <c r="F6224" t="str">
        <f>T("285330000")</f>
        <v>285330000</v>
      </c>
      <c r="G6224" t="str">
        <f>T("SUPPLY DIRECTORATE CONTRACTING DEPT")</f>
        <v>SUPPLY DIRECTORATE CONTRACTING DEPT</v>
      </c>
      <c r="H6224" t="str">
        <f>T("BLDG 159 PSC BOX 8018 MCAS")</f>
        <v>BLDG 159 PSC BOX 8018 MCAS</v>
      </c>
      <c r="I6224" t="str">
        <f>T("CHERRY POINT")</f>
        <v>CHERRY POINT</v>
      </c>
      <c r="J6224" t="str">
        <f t="shared" si="2397"/>
        <v>NC</v>
      </c>
      <c r="K6224" t="str">
        <f>T("000000000000000000")</f>
        <v>000000000000000000</v>
      </c>
      <c r="L6224" t="str">
        <f>T("2524664955")</f>
        <v>2524664955</v>
      </c>
    </row>
    <row r="6225" spans="1:12" x14ac:dyDescent="0.35">
      <c r="A6225" t="str">
        <f t="shared" si="2405"/>
        <v>MCAS CHERRY PT</v>
      </c>
      <c r="B6225" t="str">
        <f t="shared" si="2393"/>
        <v>SUPPLY DIRECTORATE CONTRACTING DEPT</v>
      </c>
      <c r="C6225" t="str">
        <f t="shared" si="2407"/>
        <v>PSC BOX 8018 MCAS</v>
      </c>
      <c r="D6225" t="str">
        <f t="shared" si="2408"/>
        <v>CHERRY POINT</v>
      </c>
      <c r="E6225" t="str">
        <f t="shared" si="2398"/>
        <v>NC</v>
      </c>
      <c r="F6225" t="str">
        <f>T("285330000")</f>
        <v>285330000</v>
      </c>
      <c r="G6225" t="str">
        <f>T("SUPPLY DIRECTORATE CONTRACTING DEPT")</f>
        <v>SUPPLY DIRECTORATE CONTRACTING DEPT</v>
      </c>
      <c r="H6225" t="str">
        <f>T("PSC BOX 8018 MCAS")</f>
        <v>PSC BOX 8018 MCAS</v>
      </c>
      <c r="I6225" t="str">
        <f>T("CHERRY POINT")</f>
        <v>CHERRY POINT</v>
      </c>
      <c r="J6225" t="str">
        <f t="shared" si="2397"/>
        <v>NC</v>
      </c>
      <c r="K6225" t="str">
        <f>T("")</f>
        <v/>
      </c>
      <c r="L6225" t="str">
        <f>T("2524664835")</f>
        <v>2524664835</v>
      </c>
    </row>
    <row r="6226" spans="1:12" x14ac:dyDescent="0.35">
      <c r="A6226" t="str">
        <f t="shared" si="2405"/>
        <v>MCAS CHERRY PT</v>
      </c>
      <c r="B6226" t="str">
        <f t="shared" si="2393"/>
        <v>SUPPLY DIRECTORATE CONTRACTING DEPT</v>
      </c>
      <c r="C6226" t="str">
        <f t="shared" si="2407"/>
        <v>PSC BOX 8018 MCAS</v>
      </c>
      <c r="D6226" t="str">
        <f t="shared" si="2408"/>
        <v>CHERRY POINT</v>
      </c>
      <c r="E6226" t="str">
        <f t="shared" si="2398"/>
        <v>NC</v>
      </c>
      <c r="F6226" t="str">
        <f t="shared" ref="F6226:F6239" si="2409">T("285330018")</f>
        <v>285330018</v>
      </c>
      <c r="G6226" t="str">
        <f>T("SUPPLY DIRECTORATE")</f>
        <v>SUPPLY DIRECTORATE</v>
      </c>
      <c r="H6226" t="str">
        <f>T("CONTRACTING DEP/PSC BOX 8018")</f>
        <v>CONTRACTING DEP/PSC BOX 8018</v>
      </c>
      <c r="I6226" t="str">
        <f>T("MCAS CHERRY POINT")</f>
        <v>MCAS CHERRY POINT</v>
      </c>
      <c r="J6226" t="str">
        <f t="shared" si="2397"/>
        <v>NC</v>
      </c>
      <c r="K6226" t="str">
        <f>T("000000000000000000")</f>
        <v>000000000000000000</v>
      </c>
      <c r="L6226" t="str">
        <f>T("2524667223")</f>
        <v>2524667223</v>
      </c>
    </row>
    <row r="6227" spans="1:12" x14ac:dyDescent="0.35">
      <c r="A6227" t="str">
        <f t="shared" si="2405"/>
        <v>MCAS CHERRY PT</v>
      </c>
      <c r="B6227" t="str">
        <f t="shared" si="2393"/>
        <v>SUPPLY DIRECTORATE CONTRACTING DEPT</v>
      </c>
      <c r="C6227" t="str">
        <f t="shared" si="2407"/>
        <v>PSC BOX 8018 MCAS</v>
      </c>
      <c r="D6227" t="str">
        <f t="shared" si="2408"/>
        <v>CHERRY POINT</v>
      </c>
      <c r="E6227" t="str">
        <f t="shared" si="2398"/>
        <v>NC</v>
      </c>
      <c r="F6227" t="str">
        <f t="shared" si="2409"/>
        <v>285330018</v>
      </c>
      <c r="G6227" t="str">
        <f>T("SUPPLY DIRECTORATE CONTRACTING DEOT")</f>
        <v>SUPPLY DIRECTORATE CONTRACTING DEOT</v>
      </c>
      <c r="H6227" t="str">
        <f>T("BLDG 159 PSC BOX 8018 MCAS")</f>
        <v>BLDG 159 PSC BOX 8018 MCAS</v>
      </c>
      <c r="I6227" t="str">
        <f t="shared" ref="I6227:I6235" si="2410">T("CHERRY POINT")</f>
        <v>CHERRY POINT</v>
      </c>
      <c r="J6227" t="str">
        <f t="shared" si="2397"/>
        <v>NC</v>
      </c>
      <c r="K6227" t="str">
        <f>T("000000000000000000")</f>
        <v>000000000000000000</v>
      </c>
      <c r="L6227" t="str">
        <f>T("2524665166")</f>
        <v>2524665166</v>
      </c>
    </row>
    <row r="6228" spans="1:12" x14ac:dyDescent="0.35">
      <c r="A6228" t="str">
        <f t="shared" si="2405"/>
        <v>MCAS CHERRY PT</v>
      </c>
      <c r="B6228" t="str">
        <f t="shared" si="2393"/>
        <v>SUPPLY DIRECTORATE CONTRACTING DEPT</v>
      </c>
      <c r="C6228" t="str">
        <f t="shared" si="2407"/>
        <v>PSC BOX 8018 MCAS</v>
      </c>
      <c r="D6228" t="str">
        <f t="shared" si="2408"/>
        <v>CHERRY POINT</v>
      </c>
      <c r="E6228" t="str">
        <f t="shared" si="2398"/>
        <v>NC</v>
      </c>
      <c r="F6228" t="str">
        <f t="shared" si="2409"/>
        <v>285330018</v>
      </c>
      <c r="G6228" t="str">
        <f t="shared" ref="G6228:G6235" si="2411">T("SUPPLY DIRECTORATE CONTRACTING DEPT")</f>
        <v>SUPPLY DIRECTORATE CONTRACTING DEPT</v>
      </c>
      <c r="H6228" t="str">
        <f>T("BLDG 159 MCAS")</f>
        <v>BLDG 159 MCAS</v>
      </c>
      <c r="I6228" t="str">
        <f t="shared" si="2410"/>
        <v>CHERRY POINT</v>
      </c>
      <c r="J6228" t="str">
        <f t="shared" si="2397"/>
        <v>NC</v>
      </c>
      <c r="K6228" t="str">
        <f>T("000000000000000000")</f>
        <v>000000000000000000</v>
      </c>
      <c r="L6228" t="str">
        <f>T("2524668478")</f>
        <v>2524668478</v>
      </c>
    </row>
    <row r="6229" spans="1:12" x14ac:dyDescent="0.35">
      <c r="A6229" t="str">
        <f t="shared" si="2405"/>
        <v>MCAS CHERRY PT</v>
      </c>
      <c r="B6229" t="str">
        <f t="shared" si="2393"/>
        <v>SUPPLY DIRECTORATE CONTRACTING DEPT</v>
      </c>
      <c r="C6229" t="str">
        <f t="shared" si="2407"/>
        <v>PSC BOX 8018 MCAS</v>
      </c>
      <c r="D6229" t="str">
        <f t="shared" si="2408"/>
        <v>CHERRY POINT</v>
      </c>
      <c r="E6229" t="str">
        <f t="shared" si="2398"/>
        <v>NC</v>
      </c>
      <c r="F6229" t="str">
        <f t="shared" si="2409"/>
        <v>285330018</v>
      </c>
      <c r="G6229" t="str">
        <f t="shared" si="2411"/>
        <v>SUPPLY DIRECTORATE CONTRACTING DEPT</v>
      </c>
      <c r="H6229" t="str">
        <f>T("BLDG 159 PSC BOX 8018 MCAS")</f>
        <v>BLDG 159 PSC BOX 8018 MCAS</v>
      </c>
      <c r="I6229" t="str">
        <f t="shared" si="2410"/>
        <v>CHERRY POINT</v>
      </c>
      <c r="J6229" t="str">
        <f t="shared" si="2397"/>
        <v>NC</v>
      </c>
      <c r="K6229" t="str">
        <f>T("000000000000000000")</f>
        <v>000000000000000000</v>
      </c>
      <c r="L6229" t="str">
        <f>T("2524665166")</f>
        <v>2524665166</v>
      </c>
    </row>
    <row r="6230" spans="1:12" x14ac:dyDescent="0.35">
      <c r="A6230" t="str">
        <f t="shared" si="2405"/>
        <v>MCAS CHERRY PT</v>
      </c>
      <c r="B6230" t="str">
        <f t="shared" si="2393"/>
        <v>SUPPLY DIRECTORATE CONTRACTING DEPT</v>
      </c>
      <c r="C6230" t="str">
        <f t="shared" si="2407"/>
        <v>PSC BOX 8018 MCAS</v>
      </c>
      <c r="D6230" t="str">
        <f t="shared" si="2408"/>
        <v>CHERRY POINT</v>
      </c>
      <c r="E6230" t="str">
        <f t="shared" si="2398"/>
        <v>NC</v>
      </c>
      <c r="F6230" t="str">
        <f t="shared" si="2409"/>
        <v>285330018</v>
      </c>
      <c r="G6230" t="str">
        <f t="shared" si="2411"/>
        <v>SUPPLY DIRECTORATE CONTRACTING DEPT</v>
      </c>
      <c r="H6230" t="str">
        <f>T("BLDG 159 PSC BOX 8018 MCAS")</f>
        <v>BLDG 159 PSC BOX 8018 MCAS</v>
      </c>
      <c r="I6230" t="str">
        <f t="shared" si="2410"/>
        <v>CHERRY POINT</v>
      </c>
      <c r="J6230" t="str">
        <f t="shared" si="2397"/>
        <v>NC</v>
      </c>
      <c r="K6230" t="str">
        <f>T("000000000000000000")</f>
        <v>000000000000000000</v>
      </c>
      <c r="L6230" t="str">
        <f>T("2524665424")</f>
        <v>2524665424</v>
      </c>
    </row>
    <row r="6231" spans="1:12" x14ac:dyDescent="0.35">
      <c r="A6231" t="str">
        <f t="shared" si="2405"/>
        <v>MCAS CHERRY PT</v>
      </c>
      <c r="B6231" t="str">
        <f t="shared" si="2393"/>
        <v>SUPPLY DIRECTORATE CONTRACTING DEPT</v>
      </c>
      <c r="C6231" t="str">
        <f t="shared" si="2407"/>
        <v>PSC BOX 8018 MCAS</v>
      </c>
      <c r="D6231" t="str">
        <f t="shared" si="2408"/>
        <v>CHERRY POINT</v>
      </c>
      <c r="E6231" t="str">
        <f t="shared" si="2398"/>
        <v>NC</v>
      </c>
      <c r="F6231" t="str">
        <f t="shared" si="2409"/>
        <v>285330018</v>
      </c>
      <c r="G6231" t="str">
        <f t="shared" si="2411"/>
        <v>SUPPLY DIRECTORATE CONTRACTING DEPT</v>
      </c>
      <c r="H6231" t="str">
        <f>T("PSC BOX 8018 MCAS")</f>
        <v>PSC BOX 8018 MCAS</v>
      </c>
      <c r="I6231" t="str">
        <f t="shared" si="2410"/>
        <v>CHERRY POINT</v>
      </c>
      <c r="J6231" t="str">
        <f t="shared" ref="J6231:J6262" si="2412">T("NC")</f>
        <v>NC</v>
      </c>
      <c r="K6231" t="str">
        <f>T("")</f>
        <v/>
      </c>
      <c r="L6231" t="str">
        <f>T("2524667403")</f>
        <v>2524667403</v>
      </c>
    </row>
    <row r="6232" spans="1:12" x14ac:dyDescent="0.35">
      <c r="A6232" t="str">
        <f t="shared" si="2405"/>
        <v>MCAS CHERRY PT</v>
      </c>
      <c r="B6232" t="str">
        <f t="shared" si="2393"/>
        <v>SUPPLY DIRECTORATE CONTRACTING DEPT</v>
      </c>
      <c r="C6232" t="str">
        <f t="shared" si="2407"/>
        <v>PSC BOX 8018 MCAS</v>
      </c>
      <c r="D6232" t="str">
        <f t="shared" si="2408"/>
        <v>CHERRY POINT</v>
      </c>
      <c r="E6232" t="str">
        <f t="shared" ref="E6232:E6263" si="2413">T("NC")</f>
        <v>NC</v>
      </c>
      <c r="F6232" t="str">
        <f t="shared" si="2409"/>
        <v>285330018</v>
      </c>
      <c r="G6232" t="str">
        <f t="shared" si="2411"/>
        <v>SUPPLY DIRECTORATE CONTRACTING DEPT</v>
      </c>
      <c r="H6232" t="str">
        <f>T("PSC BOX 8018 MCAS")</f>
        <v>PSC BOX 8018 MCAS</v>
      </c>
      <c r="I6232" t="str">
        <f t="shared" si="2410"/>
        <v>CHERRY POINT</v>
      </c>
      <c r="J6232" t="str">
        <f t="shared" si="2412"/>
        <v>NC</v>
      </c>
      <c r="K6232" t="str">
        <f t="shared" ref="K6232:K6240" si="2414">T("000000000000000000")</f>
        <v>000000000000000000</v>
      </c>
      <c r="L6232" t="str">
        <f>T("2524663045")</f>
        <v>2524663045</v>
      </c>
    </row>
    <row r="6233" spans="1:12" x14ac:dyDescent="0.35">
      <c r="A6233" t="str">
        <f t="shared" si="2405"/>
        <v>MCAS CHERRY PT</v>
      </c>
      <c r="B6233" t="str">
        <f t="shared" si="2393"/>
        <v>SUPPLY DIRECTORATE CONTRACTING DEPT</v>
      </c>
      <c r="C6233" t="str">
        <f t="shared" si="2407"/>
        <v>PSC BOX 8018 MCAS</v>
      </c>
      <c r="D6233" t="str">
        <f t="shared" si="2408"/>
        <v>CHERRY POINT</v>
      </c>
      <c r="E6233" t="str">
        <f t="shared" si="2413"/>
        <v>NC</v>
      </c>
      <c r="F6233" t="str">
        <f t="shared" si="2409"/>
        <v>285330018</v>
      </c>
      <c r="G6233" t="str">
        <f t="shared" si="2411"/>
        <v>SUPPLY DIRECTORATE CONTRACTING DEPT</v>
      </c>
      <c r="H6233" t="str">
        <f>T("PSC BOX 8018 MCAS")</f>
        <v>PSC BOX 8018 MCAS</v>
      </c>
      <c r="I6233" t="str">
        <f t="shared" si="2410"/>
        <v>CHERRY POINT</v>
      </c>
      <c r="J6233" t="str">
        <f t="shared" si="2412"/>
        <v>NC</v>
      </c>
      <c r="K6233" t="str">
        <f t="shared" si="2414"/>
        <v>000000000000000000</v>
      </c>
      <c r="L6233" t="str">
        <f>T("2524665166")</f>
        <v>2524665166</v>
      </c>
    </row>
    <row r="6234" spans="1:12" x14ac:dyDescent="0.35">
      <c r="A6234" t="str">
        <f t="shared" si="2405"/>
        <v>MCAS CHERRY PT</v>
      </c>
      <c r="B6234" t="str">
        <f t="shared" si="2393"/>
        <v>SUPPLY DIRECTORATE CONTRACTING DEPT</v>
      </c>
      <c r="C6234" t="str">
        <f t="shared" si="2407"/>
        <v>PSC BOX 8018 MCAS</v>
      </c>
      <c r="D6234" t="str">
        <f t="shared" si="2408"/>
        <v>CHERRY POINT</v>
      </c>
      <c r="E6234" t="str">
        <f t="shared" si="2413"/>
        <v>NC</v>
      </c>
      <c r="F6234" t="str">
        <f t="shared" si="2409"/>
        <v>285330018</v>
      </c>
      <c r="G6234" t="str">
        <f t="shared" si="2411"/>
        <v>SUPPLY DIRECTORATE CONTRACTING DEPT</v>
      </c>
      <c r="H6234" t="str">
        <f>T("PSC BOX 8018 MCAS")</f>
        <v>PSC BOX 8018 MCAS</v>
      </c>
      <c r="I6234" t="str">
        <f t="shared" si="2410"/>
        <v>CHERRY POINT</v>
      </c>
      <c r="J6234" t="str">
        <f t="shared" si="2412"/>
        <v>NC</v>
      </c>
      <c r="K6234" t="str">
        <f t="shared" si="2414"/>
        <v>000000000000000000</v>
      </c>
      <c r="L6234" t="str">
        <f>T("2524665879")</f>
        <v>2524665879</v>
      </c>
    </row>
    <row r="6235" spans="1:12" x14ac:dyDescent="0.35">
      <c r="A6235" t="str">
        <f t="shared" si="2405"/>
        <v>MCAS CHERRY PT</v>
      </c>
      <c r="B6235" t="str">
        <f t="shared" si="2393"/>
        <v>SUPPLY DIRECTORATE CONTRACTING DEPT</v>
      </c>
      <c r="C6235" t="str">
        <f t="shared" si="2407"/>
        <v>PSC BOX 8018 MCAS</v>
      </c>
      <c r="D6235" t="str">
        <f t="shared" si="2408"/>
        <v>CHERRY POINT</v>
      </c>
      <c r="E6235" t="str">
        <f t="shared" si="2413"/>
        <v>NC</v>
      </c>
      <c r="F6235" t="str">
        <f t="shared" si="2409"/>
        <v>285330018</v>
      </c>
      <c r="G6235" t="str">
        <f t="shared" si="2411"/>
        <v>SUPPLY DIRECTORATE CONTRACTING DEPT</v>
      </c>
      <c r="H6235" t="str">
        <f>T("PSC BOX 8018 MCAS")</f>
        <v>PSC BOX 8018 MCAS</v>
      </c>
      <c r="I6235" t="str">
        <f t="shared" si="2410"/>
        <v>CHERRY POINT</v>
      </c>
      <c r="J6235" t="str">
        <f t="shared" si="2412"/>
        <v>NC</v>
      </c>
      <c r="K6235" t="str">
        <f t="shared" si="2414"/>
        <v>000000000000000000</v>
      </c>
      <c r="L6235" t="str">
        <f>T("2524667223")</f>
        <v>2524667223</v>
      </c>
    </row>
    <row r="6236" spans="1:12" x14ac:dyDescent="0.35">
      <c r="A6236" t="str">
        <f t="shared" si="2405"/>
        <v>MCAS CHERRY PT</v>
      </c>
      <c r="B6236" t="str">
        <f t="shared" si="2393"/>
        <v>SUPPLY DIRECTORATE CONTRACTING DEPT</v>
      </c>
      <c r="C6236" t="str">
        <f t="shared" si="2407"/>
        <v>PSC BOX 8018 MCAS</v>
      </c>
      <c r="D6236" t="str">
        <f>T("CHERRY PT")</f>
        <v>CHERRY PT</v>
      </c>
      <c r="E6236" t="str">
        <f t="shared" si="2413"/>
        <v>NC</v>
      </c>
      <c r="F6236" t="str">
        <f t="shared" si="2409"/>
        <v>285330018</v>
      </c>
      <c r="G6236" t="str">
        <f>T("SUPPLY DIRECTORATE")</f>
        <v>SUPPLY DIRECTORATE</v>
      </c>
      <c r="H6236" t="str">
        <f>T("CONTRACTING DEPT/PSC BOX 8018")</f>
        <v>CONTRACTING DEPT/PSC BOX 8018</v>
      </c>
      <c r="I6236" t="str">
        <f>T("MCAS CHERRY POINT")</f>
        <v>MCAS CHERRY POINT</v>
      </c>
      <c r="J6236" t="str">
        <f t="shared" si="2412"/>
        <v>NC</v>
      </c>
      <c r="K6236" t="str">
        <f t="shared" si="2414"/>
        <v>000000000000000000</v>
      </c>
      <c r="L6236" t="str">
        <f>T("2524662071")</f>
        <v>2524662071</v>
      </c>
    </row>
    <row r="6237" spans="1:12" x14ac:dyDescent="0.35">
      <c r="A6237" t="str">
        <f t="shared" si="2405"/>
        <v>MCAS CHERRY PT</v>
      </c>
      <c r="B6237" t="str">
        <f t="shared" si="2393"/>
        <v>SUPPLY DIRECTORATE CONTRACTING DEPT</v>
      </c>
      <c r="C6237" t="str">
        <f t="shared" si="2407"/>
        <v>PSC BOX 8018 MCAS</v>
      </c>
      <c r="D6237" t="str">
        <f>T("CHERRY PT")</f>
        <v>CHERRY PT</v>
      </c>
      <c r="E6237" t="str">
        <f t="shared" si="2413"/>
        <v>NC</v>
      </c>
      <c r="F6237" t="str">
        <f t="shared" si="2409"/>
        <v>285330018</v>
      </c>
      <c r="G6237" t="str">
        <f>T("SUPPLY DIRECTORATE CONTRACTING DEPT")</f>
        <v>SUPPLY DIRECTORATE CONTRACTING DEPT</v>
      </c>
      <c r="H6237" t="str">
        <f>T("BLDG 159 PSC BOX 8018 MCAS")</f>
        <v>BLDG 159 PSC BOX 8018 MCAS</v>
      </c>
      <c r="I6237" t="str">
        <f>T("CHERRY POINT")</f>
        <v>CHERRY POINT</v>
      </c>
      <c r="J6237" t="str">
        <f t="shared" si="2412"/>
        <v>NC</v>
      </c>
      <c r="K6237" t="str">
        <f t="shared" si="2414"/>
        <v>000000000000000000</v>
      </c>
      <c r="L6237" t="str">
        <f>T("2524662107")</f>
        <v>2524662107</v>
      </c>
    </row>
    <row r="6238" spans="1:12" x14ac:dyDescent="0.35">
      <c r="A6238" t="str">
        <f t="shared" si="2405"/>
        <v>MCAS CHERRY PT</v>
      </c>
      <c r="B6238" t="str">
        <f t="shared" si="2393"/>
        <v>SUPPLY DIRECTORATE CONTRACTING DEPT</v>
      </c>
      <c r="C6238" t="str">
        <f t="shared" si="2407"/>
        <v>PSC BOX 8018 MCAS</v>
      </c>
      <c r="D6238" t="str">
        <f>T("CHERRY PT")</f>
        <v>CHERRY PT</v>
      </c>
      <c r="E6238" t="str">
        <f t="shared" si="2413"/>
        <v>NC</v>
      </c>
      <c r="F6238" t="str">
        <f t="shared" si="2409"/>
        <v>285330018</v>
      </c>
      <c r="G6238" t="str">
        <f>T("SUPPLY DIRECTORATE CONTRACTING DEPT")</f>
        <v>SUPPLY DIRECTORATE CONTRACTING DEPT</v>
      </c>
      <c r="H6238" t="str">
        <f>T("PSC BOX 8018 MCAS")</f>
        <v>PSC BOX 8018 MCAS</v>
      </c>
      <c r="I6238" t="str">
        <f>T("CHERRY POINT")</f>
        <v>CHERRY POINT</v>
      </c>
      <c r="J6238" t="str">
        <f t="shared" si="2412"/>
        <v>NC</v>
      </c>
      <c r="K6238" t="str">
        <f t="shared" si="2414"/>
        <v>000000000000000000</v>
      </c>
      <c r="L6238" t="str">
        <f>T("2524662763")</f>
        <v>2524662763</v>
      </c>
    </row>
    <row r="6239" spans="1:12" x14ac:dyDescent="0.35">
      <c r="A6239" t="str">
        <f t="shared" si="2405"/>
        <v>MCAS CHERRY PT</v>
      </c>
      <c r="B6239" t="str">
        <f t="shared" si="2393"/>
        <v>SUPPLY DIRECTORATE CONTRACTING DEPT</v>
      </c>
      <c r="C6239" t="str">
        <f t="shared" si="2407"/>
        <v>PSC BOX 8018 MCAS</v>
      </c>
      <c r="D6239" t="str">
        <f>T("CHERRY PT")</f>
        <v>CHERRY PT</v>
      </c>
      <c r="E6239" t="str">
        <f t="shared" si="2413"/>
        <v>NC</v>
      </c>
      <c r="F6239" t="str">
        <f t="shared" si="2409"/>
        <v>285330018</v>
      </c>
      <c r="G6239" t="str">
        <f>T("SUPPLY DIRECTORATE CONTRACTING DEPT")</f>
        <v>SUPPLY DIRECTORATE CONTRACTING DEPT</v>
      </c>
      <c r="H6239" t="str">
        <f>T("PSC BOX 8018 MCAS")</f>
        <v>PSC BOX 8018 MCAS</v>
      </c>
      <c r="I6239" t="str">
        <f>T("CHERRY PT")</f>
        <v>CHERRY PT</v>
      </c>
      <c r="J6239" t="str">
        <f t="shared" si="2412"/>
        <v>NC</v>
      </c>
      <c r="K6239" t="str">
        <f t="shared" si="2414"/>
        <v>000000000000000000</v>
      </c>
      <c r="L6239" t="str">
        <f>T("2524662107")</f>
        <v>2524662107</v>
      </c>
    </row>
    <row r="6240" spans="1:12" x14ac:dyDescent="0.35">
      <c r="A6240" t="str">
        <f t="shared" si="2405"/>
        <v>MCAS CHERRY PT</v>
      </c>
      <c r="B6240" t="str">
        <f>T("SUPPLY DIRECTORATE/CONTRACTING")</f>
        <v>SUPPLY DIRECTORATE/CONTRACTING</v>
      </c>
      <c r="C6240" t="str">
        <f>T("PSC BOX 8018")</f>
        <v>PSC BOX 8018</v>
      </c>
      <c r="D6240" t="str">
        <f t="shared" ref="D6240:D6247" si="2415">T("MCAS CHERRY POI")</f>
        <v>MCAS CHERRY POI</v>
      </c>
      <c r="E6240" t="str">
        <f t="shared" si="2413"/>
        <v>NC</v>
      </c>
      <c r="F6240" t="str">
        <f t="shared" ref="F6240:F6253" si="2416">T("285330000")</f>
        <v>285330000</v>
      </c>
      <c r="G6240" t="str">
        <f>T("SUPPLY DIRECTORATE CONTRACTING DEPT")</f>
        <v>SUPPLY DIRECTORATE CONTRACTING DEPT</v>
      </c>
      <c r="H6240" t="str">
        <f>T("PSC BOX 8018 MCAS")</f>
        <v>PSC BOX 8018 MCAS</v>
      </c>
      <c r="I6240" t="str">
        <f>T("CHERRY POINT")</f>
        <v>CHERRY POINT</v>
      </c>
      <c r="J6240" t="str">
        <f t="shared" si="2412"/>
        <v>NC</v>
      </c>
      <c r="K6240" t="str">
        <f t="shared" si="2414"/>
        <v>000000000000000000</v>
      </c>
      <c r="L6240" t="str">
        <f>T("2524662963")</f>
        <v>2524662963</v>
      </c>
    </row>
    <row r="6241" spans="1:12" x14ac:dyDescent="0.35">
      <c r="A6241" t="str">
        <f t="shared" si="2405"/>
        <v>MCAS CHERRY PT</v>
      </c>
      <c r="B6241" t="str">
        <f>T("SUPPLY DIRECTORATE/CONTRACTING")</f>
        <v>SUPPLY DIRECTORATE/CONTRACTING</v>
      </c>
      <c r="C6241" t="str">
        <f>T("PSC BOX 8018")</f>
        <v>PSC BOX 8018</v>
      </c>
      <c r="D6241" t="str">
        <f t="shared" si="2415"/>
        <v>MCAS CHERRY POI</v>
      </c>
      <c r="E6241" t="str">
        <f t="shared" si="2413"/>
        <v>NC</v>
      </c>
      <c r="F6241" t="str">
        <f t="shared" si="2416"/>
        <v>285330000</v>
      </c>
      <c r="G6241" t="str">
        <f>T("SUPPLY DIRECTORATE/CONTRACTING")</f>
        <v>SUPPLY DIRECTORATE/CONTRACTING</v>
      </c>
      <c r="H6241" t="str">
        <f>T("PSC BOX 8018")</f>
        <v>PSC BOX 8018</v>
      </c>
      <c r="I6241" t="str">
        <f>T("MCAS CHERRY POI")</f>
        <v>MCAS CHERRY POI</v>
      </c>
      <c r="J6241" t="str">
        <f t="shared" si="2412"/>
        <v>NC</v>
      </c>
      <c r="K6241" t="str">
        <f>T("")</f>
        <v/>
      </c>
      <c r="L6241" t="str">
        <f>T("2524665311")</f>
        <v>2524665311</v>
      </c>
    </row>
    <row r="6242" spans="1:12" x14ac:dyDescent="0.35">
      <c r="A6242" t="str">
        <f t="shared" si="2405"/>
        <v>MCAS CHERRY PT</v>
      </c>
      <c r="B6242" t="str">
        <f>T("SUPPLYDIRECTORATE")</f>
        <v>SUPPLYDIRECTORATE</v>
      </c>
      <c r="C6242" t="str">
        <f t="shared" ref="C6242:C6247" si="2417">T("CONTRACTING DEP/PSC BOX 8018")</f>
        <v>CONTRACTING DEP/PSC BOX 8018</v>
      </c>
      <c r="D6242" t="str">
        <f t="shared" si="2415"/>
        <v>MCAS CHERRY POI</v>
      </c>
      <c r="E6242" t="str">
        <f t="shared" si="2413"/>
        <v>NC</v>
      </c>
      <c r="F6242" t="str">
        <f t="shared" si="2416"/>
        <v>285330000</v>
      </c>
      <c r="G6242" t="str">
        <f>T("PSC BOX 8018 SUPPLY")</f>
        <v>PSC BOX 8018 SUPPLY</v>
      </c>
      <c r="H6242" t="str">
        <f>T("MCAS")</f>
        <v>MCAS</v>
      </c>
      <c r="I6242" t="str">
        <f>T("CHERRY POINT")</f>
        <v>CHERRY POINT</v>
      </c>
      <c r="J6242" t="str">
        <f t="shared" si="2412"/>
        <v>NC</v>
      </c>
      <c r="K6242" t="str">
        <f>T("000000000000000000")</f>
        <v>000000000000000000</v>
      </c>
      <c r="L6242" t="str">
        <f>T("2524663375")</f>
        <v>2524663375</v>
      </c>
    </row>
    <row r="6243" spans="1:12" x14ac:dyDescent="0.35">
      <c r="A6243" t="str">
        <f t="shared" si="2405"/>
        <v>MCAS CHERRY PT</v>
      </c>
      <c r="B6243" t="str">
        <f>T("SUPPLYDIRECTORATE")</f>
        <v>SUPPLYDIRECTORATE</v>
      </c>
      <c r="C6243" t="str">
        <f t="shared" si="2417"/>
        <v>CONTRACTING DEP/PSC BOX 8018</v>
      </c>
      <c r="D6243" t="str">
        <f t="shared" si="2415"/>
        <v>MCAS CHERRY POI</v>
      </c>
      <c r="E6243" t="str">
        <f t="shared" si="2413"/>
        <v>NC</v>
      </c>
      <c r="F6243" t="str">
        <f t="shared" si="2416"/>
        <v>285330000</v>
      </c>
      <c r="G6243" t="str">
        <f>T("SUPPLY DIRECTORATE CONTRACTING DEPT")</f>
        <v>SUPPLY DIRECTORATE CONTRACTING DEPT</v>
      </c>
      <c r="H6243" t="str">
        <f>T("BLDG 159 MCAS")</f>
        <v>BLDG 159 MCAS</v>
      </c>
      <c r="I6243" t="str">
        <f>T("CHERRY POINT")</f>
        <v>CHERRY POINT</v>
      </c>
      <c r="J6243" t="str">
        <f t="shared" si="2412"/>
        <v>NC</v>
      </c>
      <c r="K6243" t="str">
        <f>T("000000000000000000")</f>
        <v>000000000000000000</v>
      </c>
      <c r="L6243" t="str">
        <f>T("2524669021")</f>
        <v>2524669021</v>
      </c>
    </row>
    <row r="6244" spans="1:12" x14ac:dyDescent="0.35">
      <c r="A6244" t="str">
        <f t="shared" si="2405"/>
        <v>MCAS CHERRY PT</v>
      </c>
      <c r="B6244" t="str">
        <f>T("SUPPLYDIRECTORATE")</f>
        <v>SUPPLYDIRECTORATE</v>
      </c>
      <c r="C6244" t="str">
        <f t="shared" si="2417"/>
        <v>CONTRACTING DEP/PSC BOX 8018</v>
      </c>
      <c r="D6244" t="str">
        <f t="shared" si="2415"/>
        <v>MCAS CHERRY POI</v>
      </c>
      <c r="E6244" t="str">
        <f t="shared" si="2413"/>
        <v>NC</v>
      </c>
      <c r="F6244" t="str">
        <f t="shared" si="2416"/>
        <v>285330000</v>
      </c>
      <c r="G6244" t="str">
        <f>T("SUPPLY DIRECTORATE/CONTRACTING")</f>
        <v>SUPPLY DIRECTORATE/CONTRACTING</v>
      </c>
      <c r="H6244" t="str">
        <f>T("BLDG 159/PSC BOX 8018")</f>
        <v>BLDG 159/PSC BOX 8018</v>
      </c>
      <c r="I6244" t="str">
        <f>T("MCAS CHERRY POINT")</f>
        <v>MCAS CHERRY POINT</v>
      </c>
      <c r="J6244" t="str">
        <f t="shared" si="2412"/>
        <v>NC</v>
      </c>
      <c r="K6244" t="str">
        <f>T("000000000000000000")</f>
        <v>000000000000000000</v>
      </c>
      <c r="L6244" t="str">
        <f>T("2524666557")</f>
        <v>2524666557</v>
      </c>
    </row>
    <row r="6245" spans="1:12" x14ac:dyDescent="0.35">
      <c r="A6245" t="str">
        <f t="shared" si="2405"/>
        <v>MCAS CHERRY PT</v>
      </c>
      <c r="B6245" t="str">
        <f>T("SUPPLYDIRECTORATE")</f>
        <v>SUPPLYDIRECTORATE</v>
      </c>
      <c r="C6245" t="str">
        <f t="shared" si="2417"/>
        <v>CONTRACTING DEP/PSC BOX 8018</v>
      </c>
      <c r="D6245" t="str">
        <f t="shared" si="2415"/>
        <v>MCAS CHERRY POI</v>
      </c>
      <c r="E6245" t="str">
        <f t="shared" si="2413"/>
        <v>NC</v>
      </c>
      <c r="F6245" t="str">
        <f t="shared" si="2416"/>
        <v>285330000</v>
      </c>
      <c r="G6245" t="str">
        <f>T("SUPPLYDIRECTORATE")</f>
        <v>SUPPLYDIRECTORATE</v>
      </c>
      <c r="H6245" t="str">
        <f>T("CONTRACTING DEP/PSC BOX 8018")</f>
        <v>CONTRACTING DEP/PSC BOX 8018</v>
      </c>
      <c r="I6245" t="str">
        <f>T("MCAS CHERRY POI")</f>
        <v>MCAS CHERRY POI</v>
      </c>
      <c r="J6245" t="str">
        <f t="shared" si="2412"/>
        <v>NC</v>
      </c>
      <c r="K6245" t="str">
        <f>T("")</f>
        <v/>
      </c>
      <c r="L6245" t="str">
        <f>T("2524663871")</f>
        <v>2524663871</v>
      </c>
    </row>
    <row r="6246" spans="1:12" x14ac:dyDescent="0.35">
      <c r="A6246" t="str">
        <f t="shared" ref="A6246:A6253" si="2418">T("MCAS STOCK SERVMART")</f>
        <v>MCAS STOCK SERVMART</v>
      </c>
      <c r="B6246" t="str">
        <f>T("SUPPLY DIRECTORATE")</f>
        <v>SUPPLY DIRECTORATE</v>
      </c>
      <c r="C6246" t="str">
        <f t="shared" si="2417"/>
        <v>CONTRACTING DEP/PSC BOX 8018</v>
      </c>
      <c r="D6246" t="str">
        <f t="shared" si="2415"/>
        <v>MCAS CHERRY POI</v>
      </c>
      <c r="E6246" t="str">
        <f t="shared" si="2413"/>
        <v>NC</v>
      </c>
      <c r="F6246" t="str">
        <f t="shared" si="2416"/>
        <v>285330000</v>
      </c>
      <c r="G6246" t="str">
        <f>T("SUPPLY DIRECTORATE")</f>
        <v>SUPPLY DIRECTORATE</v>
      </c>
      <c r="H6246" t="str">
        <f>T("CONTRACTING DEP/PSC BOX 8018")</f>
        <v>CONTRACTING DEP/PSC BOX 8018</v>
      </c>
      <c r="I6246" t="str">
        <f>T("MCAS CHERRY POI")</f>
        <v>MCAS CHERRY POI</v>
      </c>
      <c r="J6246" t="str">
        <f t="shared" si="2412"/>
        <v>NC</v>
      </c>
      <c r="K6246" t="str">
        <f>T("")</f>
        <v/>
      </c>
      <c r="L6246" t="str">
        <f>T("2524663417")</f>
        <v>2524663417</v>
      </c>
    </row>
    <row r="6247" spans="1:12" x14ac:dyDescent="0.35">
      <c r="A6247" t="str">
        <f t="shared" si="2418"/>
        <v>MCAS STOCK SERVMART</v>
      </c>
      <c r="B6247" t="str">
        <f>T("SUPPLY DIRECTORATE")</f>
        <v>SUPPLY DIRECTORATE</v>
      </c>
      <c r="C6247" t="str">
        <f t="shared" si="2417"/>
        <v>CONTRACTING DEP/PSC BOX 8018</v>
      </c>
      <c r="D6247" t="str">
        <f t="shared" si="2415"/>
        <v>MCAS CHERRY POI</v>
      </c>
      <c r="E6247" t="str">
        <f t="shared" si="2413"/>
        <v>NC</v>
      </c>
      <c r="F6247" t="str">
        <f t="shared" si="2416"/>
        <v>285330000</v>
      </c>
      <c r="G6247" t="str">
        <f>T("SUPPLY DIRECTORATE")</f>
        <v>SUPPLY DIRECTORATE</v>
      </c>
      <c r="H6247" t="str">
        <f>T("CONTRACTING DEP/PSC BOX 8018")</f>
        <v>CONTRACTING DEP/PSC BOX 8018</v>
      </c>
      <c r="I6247" t="str">
        <f>T("MCAS CHERRY POINT")</f>
        <v>MCAS CHERRY POINT</v>
      </c>
      <c r="J6247" t="str">
        <f t="shared" si="2412"/>
        <v>NC</v>
      </c>
      <c r="K6247" t="str">
        <f>T("000000000000000000")</f>
        <v>000000000000000000</v>
      </c>
      <c r="L6247" t="str">
        <f>T("2524664340")</f>
        <v>2524664340</v>
      </c>
    </row>
    <row r="6248" spans="1:12" x14ac:dyDescent="0.35">
      <c r="A6248" t="str">
        <f t="shared" si="2418"/>
        <v>MCAS STOCK SERVMART</v>
      </c>
      <c r="B6248" t="str">
        <f>T("SUPPLY DIRECTORATE CONTRACTING DEP")</f>
        <v>SUPPLY DIRECTORATE CONTRACTING DEP</v>
      </c>
      <c r="C6248" t="str">
        <f>T("BLDG 159 PSC BOX 8018")</f>
        <v>BLDG 159 PSC BOX 8018</v>
      </c>
      <c r="D6248" t="str">
        <f>T("MCAS CHERRY PT")</f>
        <v>MCAS CHERRY PT</v>
      </c>
      <c r="E6248" t="str">
        <f t="shared" si="2413"/>
        <v>NC</v>
      </c>
      <c r="F6248" t="str">
        <f t="shared" si="2416"/>
        <v>285330000</v>
      </c>
      <c r="G6248" t="str">
        <f>T("SUPPLY DIRECTORATE CONTRACTING DEP")</f>
        <v>SUPPLY DIRECTORATE CONTRACTING DEP</v>
      </c>
      <c r="H6248" t="str">
        <f>T("BLDG 159 PSC BOX 8018")</f>
        <v>BLDG 159 PSC BOX 8018</v>
      </c>
      <c r="I6248" t="str">
        <f>T("MCAS CHERRY PT")</f>
        <v>MCAS CHERRY PT</v>
      </c>
      <c r="J6248" t="str">
        <f t="shared" si="2412"/>
        <v>NC</v>
      </c>
      <c r="K6248" t="str">
        <f>T("")</f>
        <v/>
      </c>
      <c r="L6248" t="str">
        <f>T("2524663068")</f>
        <v>2524663068</v>
      </c>
    </row>
    <row r="6249" spans="1:12" x14ac:dyDescent="0.35">
      <c r="A6249" t="str">
        <f t="shared" si="2418"/>
        <v>MCAS STOCK SERVMART</v>
      </c>
      <c r="B6249" t="str">
        <f>T("SUPPLY DIRECTORATE CONTRACTING DEP")</f>
        <v>SUPPLY DIRECTORATE CONTRACTING DEP</v>
      </c>
      <c r="C6249" t="str">
        <f>T("BLDG 159 PSC BX 8018 MCAS")</f>
        <v>BLDG 159 PSC BX 8018 MCAS</v>
      </c>
      <c r="D6249" t="str">
        <f>T("MCAS CHERRY PT")</f>
        <v>MCAS CHERRY PT</v>
      </c>
      <c r="E6249" t="str">
        <f t="shared" si="2413"/>
        <v>NC</v>
      </c>
      <c r="F6249" t="str">
        <f t="shared" si="2416"/>
        <v>285330000</v>
      </c>
      <c r="G6249" t="str">
        <f>T("SUPPLY DIRECTORATE")</f>
        <v>SUPPLY DIRECTORATE</v>
      </c>
      <c r="H6249" t="str">
        <f>T("CONTRACTING DEP/PSC BOX 8018")</f>
        <v>CONTRACTING DEP/PSC BOX 8018</v>
      </c>
      <c r="I6249" t="str">
        <f>T("MCAS CHERRY POINT")</f>
        <v>MCAS CHERRY POINT</v>
      </c>
      <c r="J6249" t="str">
        <f t="shared" si="2412"/>
        <v>NC</v>
      </c>
      <c r="K6249" t="str">
        <f>T("000000000000000000")</f>
        <v>000000000000000000</v>
      </c>
      <c r="L6249" t="str">
        <f>T("2524662844")</f>
        <v>2524662844</v>
      </c>
    </row>
    <row r="6250" spans="1:12" x14ac:dyDescent="0.35">
      <c r="A6250" t="str">
        <f t="shared" si="2418"/>
        <v>MCAS STOCK SERVMART</v>
      </c>
      <c r="B6250" t="str">
        <f>T("SUPPLY DIRECTORATE CONTRACTING DEP")</f>
        <v>SUPPLY DIRECTORATE CONTRACTING DEP</v>
      </c>
      <c r="C6250" t="str">
        <f>T("BLDG 159 PSC BX 8018 MCAS")</f>
        <v>BLDG 159 PSC BX 8018 MCAS</v>
      </c>
      <c r="D6250" t="str">
        <f>T("MCAS CHERRY PT")</f>
        <v>MCAS CHERRY PT</v>
      </c>
      <c r="E6250" t="str">
        <f t="shared" si="2413"/>
        <v>NC</v>
      </c>
      <c r="F6250" t="str">
        <f t="shared" si="2416"/>
        <v>285330000</v>
      </c>
      <c r="G6250" t="str">
        <f>T("SUPPLY DIRECTORATE CONTRACTING DEP")</f>
        <v>SUPPLY DIRECTORATE CONTRACTING DEP</v>
      </c>
      <c r="H6250" t="str">
        <f>T("BLDG 159 PSC BX 8018 MCAS")</f>
        <v>BLDG 159 PSC BX 8018 MCAS</v>
      </c>
      <c r="I6250" t="str">
        <f>T("MCAS CHERRY PT")</f>
        <v>MCAS CHERRY PT</v>
      </c>
      <c r="J6250" t="str">
        <f t="shared" si="2412"/>
        <v>NC</v>
      </c>
      <c r="K6250" t="str">
        <f>T("")</f>
        <v/>
      </c>
      <c r="L6250" t="str">
        <f>T("2524663417")</f>
        <v>2524663417</v>
      </c>
    </row>
    <row r="6251" spans="1:12" x14ac:dyDescent="0.35">
      <c r="A6251" t="str">
        <f t="shared" si="2418"/>
        <v>MCAS STOCK SERVMART</v>
      </c>
      <c r="B6251" t="str">
        <f>T("SUPPLY DIRECTORATE CONTRACTING DEPT")</f>
        <v>SUPPLY DIRECTORATE CONTRACTING DEPT</v>
      </c>
      <c r="C6251" t="str">
        <f>T("PSC BOX 8018 MCAS")</f>
        <v>PSC BOX 8018 MCAS</v>
      </c>
      <c r="D6251" t="str">
        <f>T("CHERRY POINT")</f>
        <v>CHERRY POINT</v>
      </c>
      <c r="E6251" t="str">
        <f t="shared" si="2413"/>
        <v>NC</v>
      </c>
      <c r="F6251" t="str">
        <f t="shared" si="2416"/>
        <v>285330000</v>
      </c>
      <c r="G6251" t="str">
        <f>T("SUPPLY DIRECTORATE")</f>
        <v>SUPPLY DIRECTORATE</v>
      </c>
      <c r="H6251" t="str">
        <f>T("CONTRACTING DEP/PAC BOX 8018")</f>
        <v>CONTRACTING DEP/PAC BOX 8018</v>
      </c>
      <c r="I6251" t="str">
        <f>T("MCAS CHERRY POINT")</f>
        <v>MCAS CHERRY POINT</v>
      </c>
      <c r="J6251" t="str">
        <f t="shared" si="2412"/>
        <v>NC</v>
      </c>
      <c r="K6251" t="str">
        <f>T("000000000000000000")</f>
        <v>000000000000000000</v>
      </c>
      <c r="L6251" t="str">
        <f>T("2524663328")</f>
        <v>2524663328</v>
      </c>
    </row>
    <row r="6252" spans="1:12" x14ac:dyDescent="0.35">
      <c r="A6252" t="str">
        <f t="shared" si="2418"/>
        <v>MCAS STOCK SERVMART</v>
      </c>
      <c r="B6252" t="str">
        <f>T("SUPPLY DIRECTORATE CONTRACTING DEPT")</f>
        <v>SUPPLY DIRECTORATE CONTRACTING DEPT</v>
      </c>
      <c r="C6252" t="str">
        <f>T("PSC BOX 8018 MCAS")</f>
        <v>PSC BOX 8018 MCAS</v>
      </c>
      <c r="D6252" t="str">
        <f>T("CHERRY POINT")</f>
        <v>CHERRY POINT</v>
      </c>
      <c r="E6252" t="str">
        <f t="shared" si="2413"/>
        <v>NC</v>
      </c>
      <c r="F6252" t="str">
        <f t="shared" si="2416"/>
        <v>285330000</v>
      </c>
      <c r="G6252" t="str">
        <f>T("SUPPLY DIRECTORATE")</f>
        <v>SUPPLY DIRECTORATE</v>
      </c>
      <c r="H6252" t="str">
        <f>T("CONTRACTING DEP/PSC BOX 8018")</f>
        <v>CONTRACTING DEP/PSC BOX 8018</v>
      </c>
      <c r="I6252" t="str">
        <f>T("MCAS CHERRY POINT")</f>
        <v>MCAS CHERRY POINT</v>
      </c>
      <c r="J6252" t="str">
        <f t="shared" si="2412"/>
        <v>NC</v>
      </c>
      <c r="K6252" t="str">
        <f>T("000000000000000000")</f>
        <v>000000000000000000</v>
      </c>
      <c r="L6252" t="str">
        <f>T("2524667372")</f>
        <v>2524667372</v>
      </c>
    </row>
    <row r="6253" spans="1:12" x14ac:dyDescent="0.35">
      <c r="A6253" t="str">
        <f t="shared" si="2418"/>
        <v>MCAS STOCK SERVMART</v>
      </c>
      <c r="B6253" t="str">
        <f>T("SUPPLY DIRECTORATE CONTRACTING DEPT")</f>
        <v>SUPPLY DIRECTORATE CONTRACTING DEPT</v>
      </c>
      <c r="C6253" t="str">
        <f>T("PSC BOX 8018 MCAS")</f>
        <v>PSC BOX 8018 MCAS</v>
      </c>
      <c r="D6253" t="str">
        <f>T("CHERRY POINT")</f>
        <v>CHERRY POINT</v>
      </c>
      <c r="E6253" t="str">
        <f t="shared" si="2413"/>
        <v>NC</v>
      </c>
      <c r="F6253" t="str">
        <f t="shared" si="2416"/>
        <v>285330000</v>
      </c>
      <c r="G6253" t="str">
        <f>T("SUPPLY DIRECTORATE CONTRACTING DEPT")</f>
        <v>SUPPLY DIRECTORATE CONTRACTING DEPT</v>
      </c>
      <c r="H6253" t="str">
        <f>T("PSC BOX 8018 MCAS")</f>
        <v>PSC BOX 8018 MCAS</v>
      </c>
      <c r="I6253" t="str">
        <f>T("CHERRY POINT")</f>
        <v>CHERRY POINT</v>
      </c>
      <c r="J6253" t="str">
        <f t="shared" si="2412"/>
        <v>NC</v>
      </c>
      <c r="K6253" t="str">
        <f t="shared" ref="K6253:K6263" si="2419">T("")</f>
        <v/>
      </c>
      <c r="L6253" t="str">
        <f>T("2524663417")</f>
        <v>2524663417</v>
      </c>
    </row>
    <row r="6254" spans="1:12" x14ac:dyDescent="0.35">
      <c r="A6254" t="str">
        <f t="shared" ref="A6254:A6286" si="2420">T("TCOM")</f>
        <v>TCOM</v>
      </c>
      <c r="B6254" t="str">
        <f t="shared" ref="B6254:B6286" si="2421">T("PO BOX 8478")</f>
        <v>PO BOX 8478</v>
      </c>
      <c r="C6254" t="str">
        <f t="shared" ref="C6254:C6286" si="2422">T("")</f>
        <v/>
      </c>
      <c r="D6254" t="str">
        <f t="shared" ref="D6254:D6286" si="2423">T("CAMP LEJEUNE")</f>
        <v>CAMP LEJEUNE</v>
      </c>
      <c r="E6254" t="str">
        <f t="shared" si="2413"/>
        <v>NC</v>
      </c>
      <c r="F6254" t="str">
        <f t="shared" ref="F6254:F6286" si="2424">T("285478478")</f>
        <v>285478478</v>
      </c>
      <c r="G6254" t="str">
        <f t="shared" ref="G6254:G6286" si="2425">T("PO BOX 8478")</f>
        <v>PO BOX 8478</v>
      </c>
      <c r="H6254" t="str">
        <f t="shared" ref="H6254:H6286" si="2426">T("")</f>
        <v/>
      </c>
      <c r="I6254" t="str">
        <f t="shared" ref="I6254:I6286" si="2427">T("CAMP LEJEUNE")</f>
        <v>CAMP LEJEUNE</v>
      </c>
      <c r="J6254" t="str">
        <f t="shared" si="2412"/>
        <v>NC</v>
      </c>
      <c r="K6254" t="str">
        <f t="shared" si="2419"/>
        <v/>
      </c>
      <c r="L6254" t="str">
        <f>T("2106712574")</f>
        <v>2106712574</v>
      </c>
    </row>
    <row r="6255" spans="1:12" x14ac:dyDescent="0.35">
      <c r="A6255" t="str">
        <f t="shared" si="2420"/>
        <v>TCOM</v>
      </c>
      <c r="B6255" t="str">
        <f t="shared" si="2421"/>
        <v>PO BOX 8478</v>
      </c>
      <c r="C6255" t="str">
        <f t="shared" si="2422"/>
        <v/>
      </c>
      <c r="D6255" t="str">
        <f t="shared" si="2423"/>
        <v>CAMP LEJEUNE</v>
      </c>
      <c r="E6255" t="str">
        <f t="shared" si="2413"/>
        <v>NC</v>
      </c>
      <c r="F6255" t="str">
        <f t="shared" si="2424"/>
        <v>285478478</v>
      </c>
      <c r="G6255" t="str">
        <f t="shared" si="2425"/>
        <v>PO BOX 8478</v>
      </c>
      <c r="H6255" t="str">
        <f t="shared" si="2426"/>
        <v/>
      </c>
      <c r="I6255" t="str">
        <f t="shared" si="2427"/>
        <v>CAMP LEJEUNE</v>
      </c>
      <c r="J6255" t="str">
        <f t="shared" si="2412"/>
        <v>NC</v>
      </c>
      <c r="K6255" t="str">
        <f t="shared" si="2419"/>
        <v/>
      </c>
      <c r="L6255" t="str">
        <f>T("2283778716")</f>
        <v>2283778716</v>
      </c>
    </row>
    <row r="6256" spans="1:12" x14ac:dyDescent="0.35">
      <c r="A6256" t="str">
        <f t="shared" si="2420"/>
        <v>TCOM</v>
      </c>
      <c r="B6256" t="str">
        <f t="shared" si="2421"/>
        <v>PO BOX 8478</v>
      </c>
      <c r="C6256" t="str">
        <f t="shared" si="2422"/>
        <v/>
      </c>
      <c r="D6256" t="str">
        <f t="shared" si="2423"/>
        <v>CAMP LEJEUNE</v>
      </c>
      <c r="E6256" t="str">
        <f t="shared" si="2413"/>
        <v>NC</v>
      </c>
      <c r="F6256" t="str">
        <f t="shared" si="2424"/>
        <v>285478478</v>
      </c>
      <c r="G6256" t="str">
        <f t="shared" si="2425"/>
        <v>PO BOX 8478</v>
      </c>
      <c r="H6256" t="str">
        <f t="shared" si="2426"/>
        <v/>
      </c>
      <c r="I6256" t="str">
        <f t="shared" si="2427"/>
        <v>CAMP LEJEUNE</v>
      </c>
      <c r="J6256" t="str">
        <f t="shared" si="2412"/>
        <v>NC</v>
      </c>
      <c r="K6256" t="str">
        <f t="shared" si="2419"/>
        <v/>
      </c>
      <c r="L6256" t="str">
        <f>T("5735931466")</f>
        <v>5735931466</v>
      </c>
    </row>
    <row r="6257" spans="1:12" x14ac:dyDescent="0.35">
      <c r="A6257" t="str">
        <f t="shared" si="2420"/>
        <v>TCOM</v>
      </c>
      <c r="B6257" t="str">
        <f t="shared" si="2421"/>
        <v>PO BOX 8478</v>
      </c>
      <c r="C6257" t="str">
        <f t="shared" si="2422"/>
        <v/>
      </c>
      <c r="D6257" t="str">
        <f t="shared" si="2423"/>
        <v>CAMP LEJEUNE</v>
      </c>
      <c r="E6257" t="str">
        <f t="shared" si="2413"/>
        <v>NC</v>
      </c>
      <c r="F6257" t="str">
        <f t="shared" si="2424"/>
        <v>285478478</v>
      </c>
      <c r="G6257" t="str">
        <f t="shared" si="2425"/>
        <v>PO BOX 8478</v>
      </c>
      <c r="H6257" t="str">
        <f t="shared" si="2426"/>
        <v/>
      </c>
      <c r="I6257" t="str">
        <f t="shared" si="2427"/>
        <v>CAMP LEJEUNE</v>
      </c>
      <c r="J6257" t="str">
        <f t="shared" si="2412"/>
        <v>NC</v>
      </c>
      <c r="K6257" t="str">
        <f t="shared" si="2419"/>
        <v/>
      </c>
      <c r="L6257" t="str">
        <f>T("6016792718")</f>
        <v>6016792718</v>
      </c>
    </row>
    <row r="6258" spans="1:12" x14ac:dyDescent="0.35">
      <c r="A6258" t="str">
        <f t="shared" si="2420"/>
        <v>TCOM</v>
      </c>
      <c r="B6258" t="str">
        <f t="shared" si="2421"/>
        <v>PO BOX 8478</v>
      </c>
      <c r="C6258" t="str">
        <f t="shared" si="2422"/>
        <v/>
      </c>
      <c r="D6258" t="str">
        <f t="shared" si="2423"/>
        <v>CAMP LEJEUNE</v>
      </c>
      <c r="E6258" t="str">
        <f t="shared" si="2413"/>
        <v>NC</v>
      </c>
      <c r="F6258" t="str">
        <f t="shared" si="2424"/>
        <v>285478478</v>
      </c>
      <c r="G6258" t="str">
        <f t="shared" si="2425"/>
        <v>PO BOX 8478</v>
      </c>
      <c r="H6258" t="str">
        <f t="shared" si="2426"/>
        <v/>
      </c>
      <c r="I6258" t="str">
        <f t="shared" si="2427"/>
        <v>CAMP LEJEUNE</v>
      </c>
      <c r="J6258" t="str">
        <f t="shared" si="2412"/>
        <v>NC</v>
      </c>
      <c r="K6258" t="str">
        <f t="shared" si="2419"/>
        <v/>
      </c>
      <c r="L6258" t="str">
        <f>T("7067916808")</f>
        <v>7067916808</v>
      </c>
    </row>
    <row r="6259" spans="1:12" x14ac:dyDescent="0.35">
      <c r="A6259" t="str">
        <f t="shared" si="2420"/>
        <v>TCOM</v>
      </c>
      <c r="B6259" t="str">
        <f t="shared" si="2421"/>
        <v>PO BOX 8478</v>
      </c>
      <c r="C6259" t="str">
        <f t="shared" si="2422"/>
        <v/>
      </c>
      <c r="D6259" t="str">
        <f t="shared" si="2423"/>
        <v>CAMP LEJEUNE</v>
      </c>
      <c r="E6259" t="str">
        <f t="shared" si="2413"/>
        <v>NC</v>
      </c>
      <c r="F6259" t="str">
        <f t="shared" si="2424"/>
        <v>285478478</v>
      </c>
      <c r="G6259" t="str">
        <f t="shared" si="2425"/>
        <v>PO BOX 8478</v>
      </c>
      <c r="H6259" t="str">
        <f t="shared" si="2426"/>
        <v/>
      </c>
      <c r="I6259" t="str">
        <f t="shared" si="2427"/>
        <v>CAMP LEJEUNE</v>
      </c>
      <c r="J6259" t="str">
        <f t="shared" si="2412"/>
        <v>NC</v>
      </c>
      <c r="K6259" t="str">
        <f t="shared" si="2419"/>
        <v/>
      </c>
      <c r="L6259" t="str">
        <f>T("7574333818")</f>
        <v>7574333818</v>
      </c>
    </row>
    <row r="6260" spans="1:12" x14ac:dyDescent="0.35">
      <c r="A6260" t="str">
        <f t="shared" si="2420"/>
        <v>TCOM</v>
      </c>
      <c r="B6260" t="str">
        <f t="shared" si="2421"/>
        <v>PO BOX 8478</v>
      </c>
      <c r="C6260" t="str">
        <f t="shared" si="2422"/>
        <v/>
      </c>
      <c r="D6260" t="str">
        <f t="shared" si="2423"/>
        <v>CAMP LEJEUNE</v>
      </c>
      <c r="E6260" t="str">
        <f t="shared" si="2413"/>
        <v>NC</v>
      </c>
      <c r="F6260" t="str">
        <f t="shared" si="2424"/>
        <v>285478478</v>
      </c>
      <c r="G6260" t="str">
        <f t="shared" si="2425"/>
        <v>PO BOX 8478</v>
      </c>
      <c r="H6260" t="str">
        <f t="shared" si="2426"/>
        <v/>
      </c>
      <c r="I6260" t="str">
        <f t="shared" si="2427"/>
        <v>CAMP LEJEUNE</v>
      </c>
      <c r="J6260" t="str">
        <f t="shared" si="2412"/>
        <v>NC</v>
      </c>
      <c r="K6260" t="str">
        <f t="shared" si="2419"/>
        <v/>
      </c>
      <c r="L6260" t="str">
        <f>T("9104407511")</f>
        <v>9104407511</v>
      </c>
    </row>
    <row r="6261" spans="1:12" x14ac:dyDescent="0.35">
      <c r="A6261" t="str">
        <f t="shared" si="2420"/>
        <v>TCOM</v>
      </c>
      <c r="B6261" t="str">
        <f t="shared" si="2421"/>
        <v>PO BOX 8478</v>
      </c>
      <c r="C6261" t="str">
        <f t="shared" si="2422"/>
        <v/>
      </c>
      <c r="D6261" t="str">
        <f t="shared" si="2423"/>
        <v>CAMP LEJEUNE</v>
      </c>
      <c r="E6261" t="str">
        <f t="shared" si="2413"/>
        <v>NC</v>
      </c>
      <c r="F6261" t="str">
        <f t="shared" si="2424"/>
        <v>285478478</v>
      </c>
      <c r="G6261" t="str">
        <f t="shared" si="2425"/>
        <v>PO BOX 8478</v>
      </c>
      <c r="H6261" t="str">
        <f t="shared" si="2426"/>
        <v/>
      </c>
      <c r="I6261" t="str">
        <f t="shared" si="2427"/>
        <v>CAMP LEJEUNE</v>
      </c>
      <c r="J6261" t="str">
        <f t="shared" si="2412"/>
        <v>NC</v>
      </c>
      <c r="K6261" t="str">
        <f t="shared" si="2419"/>
        <v/>
      </c>
      <c r="L6261" t="str">
        <f>T("9104492123")</f>
        <v>9104492123</v>
      </c>
    </row>
    <row r="6262" spans="1:12" x14ac:dyDescent="0.35">
      <c r="A6262" t="str">
        <f t="shared" si="2420"/>
        <v>TCOM</v>
      </c>
      <c r="B6262" t="str">
        <f t="shared" si="2421"/>
        <v>PO BOX 8478</v>
      </c>
      <c r="C6262" t="str">
        <f t="shared" si="2422"/>
        <v/>
      </c>
      <c r="D6262" t="str">
        <f t="shared" si="2423"/>
        <v>CAMP LEJEUNE</v>
      </c>
      <c r="E6262" t="str">
        <f t="shared" si="2413"/>
        <v>NC</v>
      </c>
      <c r="F6262" t="str">
        <f t="shared" si="2424"/>
        <v>285478478</v>
      </c>
      <c r="G6262" t="str">
        <f t="shared" si="2425"/>
        <v>PO BOX 8478</v>
      </c>
      <c r="H6262" t="str">
        <f t="shared" si="2426"/>
        <v/>
      </c>
      <c r="I6262" t="str">
        <f t="shared" si="2427"/>
        <v>CAMP LEJEUNE</v>
      </c>
      <c r="J6262" t="str">
        <f t="shared" si="2412"/>
        <v>NC</v>
      </c>
      <c r="K6262" t="str">
        <f t="shared" si="2419"/>
        <v/>
      </c>
      <c r="L6262" t="str">
        <f>T("9104501191")</f>
        <v>9104501191</v>
      </c>
    </row>
    <row r="6263" spans="1:12" x14ac:dyDescent="0.35">
      <c r="A6263" t="str">
        <f t="shared" si="2420"/>
        <v>TCOM</v>
      </c>
      <c r="B6263" t="str">
        <f t="shared" si="2421"/>
        <v>PO BOX 8478</v>
      </c>
      <c r="C6263" t="str">
        <f t="shared" si="2422"/>
        <v/>
      </c>
      <c r="D6263" t="str">
        <f t="shared" si="2423"/>
        <v>CAMP LEJEUNE</v>
      </c>
      <c r="E6263" t="str">
        <f t="shared" si="2413"/>
        <v>NC</v>
      </c>
      <c r="F6263" t="str">
        <f t="shared" si="2424"/>
        <v>285478478</v>
      </c>
      <c r="G6263" t="str">
        <f t="shared" si="2425"/>
        <v>PO BOX 8478</v>
      </c>
      <c r="H6263" t="str">
        <f t="shared" si="2426"/>
        <v/>
      </c>
      <c r="I6263" t="str">
        <f t="shared" si="2427"/>
        <v>CAMP LEJEUNE</v>
      </c>
      <c r="J6263" t="str">
        <f t="shared" ref="J6263:J6286" si="2428">T("NC")</f>
        <v>NC</v>
      </c>
      <c r="K6263" t="str">
        <f t="shared" si="2419"/>
        <v/>
      </c>
      <c r="L6263" t="str">
        <f>T("9104501309")</f>
        <v>9104501309</v>
      </c>
    </row>
    <row r="6264" spans="1:12" x14ac:dyDescent="0.35">
      <c r="A6264" t="str">
        <f t="shared" si="2420"/>
        <v>TCOM</v>
      </c>
      <c r="B6264" t="str">
        <f t="shared" si="2421"/>
        <v>PO BOX 8478</v>
      </c>
      <c r="C6264" t="str">
        <f t="shared" si="2422"/>
        <v/>
      </c>
      <c r="D6264" t="str">
        <f t="shared" si="2423"/>
        <v>CAMP LEJEUNE</v>
      </c>
      <c r="E6264" t="str">
        <f t="shared" ref="E6264:E6286" si="2429">T("NC")</f>
        <v>NC</v>
      </c>
      <c r="F6264" t="str">
        <f t="shared" si="2424"/>
        <v>285478478</v>
      </c>
      <c r="G6264" t="str">
        <f t="shared" si="2425"/>
        <v>PO BOX 8478</v>
      </c>
      <c r="H6264" t="str">
        <f t="shared" si="2426"/>
        <v/>
      </c>
      <c r="I6264" t="str">
        <f t="shared" si="2427"/>
        <v>CAMP LEJEUNE</v>
      </c>
      <c r="J6264" t="str">
        <f t="shared" si="2428"/>
        <v>NC</v>
      </c>
      <c r="K6264" t="str">
        <f t="shared" ref="K6264:K6280" si="2430">T("000000000000000000")</f>
        <v>000000000000000000</v>
      </c>
      <c r="L6264" t="str">
        <f>T("2106717696")</f>
        <v>2106717696</v>
      </c>
    </row>
    <row r="6265" spans="1:12" x14ac:dyDescent="0.35">
      <c r="A6265" t="str">
        <f t="shared" si="2420"/>
        <v>TCOM</v>
      </c>
      <c r="B6265" t="str">
        <f t="shared" si="2421"/>
        <v>PO BOX 8478</v>
      </c>
      <c r="C6265" t="str">
        <f t="shared" si="2422"/>
        <v/>
      </c>
      <c r="D6265" t="str">
        <f t="shared" si="2423"/>
        <v>CAMP LEJEUNE</v>
      </c>
      <c r="E6265" t="str">
        <f t="shared" si="2429"/>
        <v>NC</v>
      </c>
      <c r="F6265" t="str">
        <f t="shared" si="2424"/>
        <v>285478478</v>
      </c>
      <c r="G6265" t="str">
        <f t="shared" si="2425"/>
        <v>PO BOX 8478</v>
      </c>
      <c r="H6265" t="str">
        <f t="shared" si="2426"/>
        <v/>
      </c>
      <c r="I6265" t="str">
        <f t="shared" si="2427"/>
        <v>CAMP LEJEUNE</v>
      </c>
      <c r="J6265" t="str">
        <f t="shared" si="2428"/>
        <v>NC</v>
      </c>
      <c r="K6265" t="str">
        <f t="shared" si="2430"/>
        <v>000000000000000000</v>
      </c>
      <c r="L6265" t="str">
        <f>T("2283778716")</f>
        <v>2283778716</v>
      </c>
    </row>
    <row r="6266" spans="1:12" x14ac:dyDescent="0.35">
      <c r="A6266" t="str">
        <f t="shared" si="2420"/>
        <v>TCOM</v>
      </c>
      <c r="B6266" t="str">
        <f t="shared" si="2421"/>
        <v>PO BOX 8478</v>
      </c>
      <c r="C6266" t="str">
        <f t="shared" si="2422"/>
        <v/>
      </c>
      <c r="D6266" t="str">
        <f t="shared" si="2423"/>
        <v>CAMP LEJEUNE</v>
      </c>
      <c r="E6266" t="str">
        <f t="shared" si="2429"/>
        <v>NC</v>
      </c>
      <c r="F6266" t="str">
        <f t="shared" si="2424"/>
        <v>285478478</v>
      </c>
      <c r="G6266" t="str">
        <f t="shared" si="2425"/>
        <v>PO BOX 8478</v>
      </c>
      <c r="H6266" t="str">
        <f t="shared" si="2426"/>
        <v/>
      </c>
      <c r="I6266" t="str">
        <f t="shared" si="2427"/>
        <v>CAMP LEJEUNE</v>
      </c>
      <c r="J6266" t="str">
        <f t="shared" si="2428"/>
        <v>NC</v>
      </c>
      <c r="K6266" t="str">
        <f t="shared" si="2430"/>
        <v>000000000000000000</v>
      </c>
      <c r="L6266" t="str">
        <f>T("5735968723")</f>
        <v>5735968723</v>
      </c>
    </row>
    <row r="6267" spans="1:12" x14ac:dyDescent="0.35">
      <c r="A6267" t="str">
        <f t="shared" si="2420"/>
        <v>TCOM</v>
      </c>
      <c r="B6267" t="str">
        <f t="shared" si="2421"/>
        <v>PO BOX 8478</v>
      </c>
      <c r="C6267" t="str">
        <f t="shared" si="2422"/>
        <v/>
      </c>
      <c r="D6267" t="str">
        <f t="shared" si="2423"/>
        <v>CAMP LEJEUNE</v>
      </c>
      <c r="E6267" t="str">
        <f t="shared" si="2429"/>
        <v>NC</v>
      </c>
      <c r="F6267" t="str">
        <f t="shared" si="2424"/>
        <v>285478478</v>
      </c>
      <c r="G6267" t="str">
        <f t="shared" si="2425"/>
        <v>PO BOX 8478</v>
      </c>
      <c r="H6267" t="str">
        <f t="shared" si="2426"/>
        <v/>
      </c>
      <c r="I6267" t="str">
        <f t="shared" si="2427"/>
        <v>CAMP LEJEUNE</v>
      </c>
      <c r="J6267" t="str">
        <f t="shared" si="2428"/>
        <v>NC</v>
      </c>
      <c r="K6267" t="str">
        <f t="shared" si="2430"/>
        <v>000000000000000000</v>
      </c>
      <c r="L6267" t="str">
        <f>T("6016792714")</f>
        <v>6016792714</v>
      </c>
    </row>
    <row r="6268" spans="1:12" x14ac:dyDescent="0.35">
      <c r="A6268" t="str">
        <f t="shared" si="2420"/>
        <v>TCOM</v>
      </c>
      <c r="B6268" t="str">
        <f t="shared" si="2421"/>
        <v>PO BOX 8478</v>
      </c>
      <c r="C6268" t="str">
        <f t="shared" si="2422"/>
        <v/>
      </c>
      <c r="D6268" t="str">
        <f t="shared" si="2423"/>
        <v>CAMP LEJEUNE</v>
      </c>
      <c r="E6268" t="str">
        <f t="shared" si="2429"/>
        <v>NC</v>
      </c>
      <c r="F6268" t="str">
        <f t="shared" si="2424"/>
        <v>285478478</v>
      </c>
      <c r="G6268" t="str">
        <f t="shared" si="2425"/>
        <v>PO BOX 8478</v>
      </c>
      <c r="H6268" t="str">
        <f t="shared" si="2426"/>
        <v/>
      </c>
      <c r="I6268" t="str">
        <f t="shared" si="2427"/>
        <v>CAMP LEJEUNE</v>
      </c>
      <c r="J6268" t="str">
        <f t="shared" si="2428"/>
        <v>NC</v>
      </c>
      <c r="K6268" t="str">
        <f t="shared" si="2430"/>
        <v>000000000000000000</v>
      </c>
      <c r="L6268" t="str">
        <f>T("7067918880")</f>
        <v>7067918880</v>
      </c>
    </row>
    <row r="6269" spans="1:12" x14ac:dyDescent="0.35">
      <c r="A6269" t="str">
        <f t="shared" si="2420"/>
        <v>TCOM</v>
      </c>
      <c r="B6269" t="str">
        <f t="shared" si="2421"/>
        <v>PO BOX 8478</v>
      </c>
      <c r="C6269" t="str">
        <f t="shared" si="2422"/>
        <v/>
      </c>
      <c r="D6269" t="str">
        <f t="shared" si="2423"/>
        <v>CAMP LEJEUNE</v>
      </c>
      <c r="E6269" t="str">
        <f t="shared" si="2429"/>
        <v>NC</v>
      </c>
      <c r="F6269" t="str">
        <f t="shared" si="2424"/>
        <v>285478478</v>
      </c>
      <c r="G6269" t="str">
        <f t="shared" si="2425"/>
        <v>PO BOX 8478</v>
      </c>
      <c r="H6269" t="str">
        <f t="shared" si="2426"/>
        <v/>
      </c>
      <c r="I6269" t="str">
        <f t="shared" si="2427"/>
        <v>CAMP LEJEUNE</v>
      </c>
      <c r="J6269" t="str">
        <f t="shared" si="2428"/>
        <v>NC</v>
      </c>
      <c r="K6269" t="str">
        <f t="shared" si="2430"/>
        <v>000000000000000000</v>
      </c>
      <c r="L6269" t="str">
        <f>T("7574333810")</f>
        <v>7574333810</v>
      </c>
    </row>
    <row r="6270" spans="1:12" x14ac:dyDescent="0.35">
      <c r="A6270" t="str">
        <f t="shared" si="2420"/>
        <v>TCOM</v>
      </c>
      <c r="B6270" t="str">
        <f t="shared" si="2421"/>
        <v>PO BOX 8478</v>
      </c>
      <c r="C6270" t="str">
        <f t="shared" si="2422"/>
        <v/>
      </c>
      <c r="D6270" t="str">
        <f t="shared" si="2423"/>
        <v>CAMP LEJEUNE</v>
      </c>
      <c r="E6270" t="str">
        <f t="shared" si="2429"/>
        <v>NC</v>
      </c>
      <c r="F6270" t="str">
        <f t="shared" si="2424"/>
        <v>285478478</v>
      </c>
      <c r="G6270" t="str">
        <f t="shared" si="2425"/>
        <v>PO BOX 8478</v>
      </c>
      <c r="H6270" t="str">
        <f t="shared" si="2426"/>
        <v/>
      </c>
      <c r="I6270" t="str">
        <f t="shared" si="2427"/>
        <v>CAMP LEJEUNE</v>
      </c>
      <c r="J6270" t="str">
        <f t="shared" si="2428"/>
        <v>NC</v>
      </c>
      <c r="K6270" t="str">
        <f t="shared" si="2430"/>
        <v>000000000000000000</v>
      </c>
      <c r="L6270" t="str">
        <f>T("8504529460")</f>
        <v>8504529460</v>
      </c>
    </row>
    <row r="6271" spans="1:12" x14ac:dyDescent="0.35">
      <c r="A6271" t="str">
        <f t="shared" si="2420"/>
        <v>TCOM</v>
      </c>
      <c r="B6271" t="str">
        <f t="shared" si="2421"/>
        <v>PO BOX 8478</v>
      </c>
      <c r="C6271" t="str">
        <f t="shared" si="2422"/>
        <v/>
      </c>
      <c r="D6271" t="str">
        <f t="shared" si="2423"/>
        <v>CAMP LEJEUNE</v>
      </c>
      <c r="E6271" t="str">
        <f t="shared" si="2429"/>
        <v>NC</v>
      </c>
      <c r="F6271" t="str">
        <f t="shared" si="2424"/>
        <v>285478478</v>
      </c>
      <c r="G6271" t="str">
        <f t="shared" si="2425"/>
        <v>PO BOX 8478</v>
      </c>
      <c r="H6271" t="str">
        <f t="shared" si="2426"/>
        <v/>
      </c>
      <c r="I6271" t="str">
        <f t="shared" si="2427"/>
        <v>CAMP LEJEUNE</v>
      </c>
      <c r="J6271" t="str">
        <f t="shared" si="2428"/>
        <v>NC</v>
      </c>
      <c r="K6271" t="str">
        <f t="shared" si="2430"/>
        <v>000000000000000000</v>
      </c>
      <c r="L6271" t="str">
        <f>T("9104407143")</f>
        <v>9104407143</v>
      </c>
    </row>
    <row r="6272" spans="1:12" x14ac:dyDescent="0.35">
      <c r="A6272" t="str">
        <f t="shared" si="2420"/>
        <v>TCOM</v>
      </c>
      <c r="B6272" t="str">
        <f t="shared" si="2421"/>
        <v>PO BOX 8478</v>
      </c>
      <c r="C6272" t="str">
        <f t="shared" si="2422"/>
        <v/>
      </c>
      <c r="D6272" t="str">
        <f t="shared" si="2423"/>
        <v>CAMP LEJEUNE</v>
      </c>
      <c r="E6272" t="str">
        <f t="shared" si="2429"/>
        <v>NC</v>
      </c>
      <c r="F6272" t="str">
        <f t="shared" si="2424"/>
        <v>285478478</v>
      </c>
      <c r="G6272" t="str">
        <f t="shared" si="2425"/>
        <v>PO BOX 8478</v>
      </c>
      <c r="H6272" t="str">
        <f t="shared" si="2426"/>
        <v/>
      </c>
      <c r="I6272" t="str">
        <f t="shared" si="2427"/>
        <v>CAMP LEJEUNE</v>
      </c>
      <c r="J6272" t="str">
        <f t="shared" si="2428"/>
        <v>NC</v>
      </c>
      <c r="K6272" t="str">
        <f t="shared" si="2430"/>
        <v>000000000000000000</v>
      </c>
      <c r="L6272" t="str">
        <f>T("9104407155")</f>
        <v>9104407155</v>
      </c>
    </row>
    <row r="6273" spans="1:12" x14ac:dyDescent="0.35">
      <c r="A6273" t="str">
        <f t="shared" si="2420"/>
        <v>TCOM</v>
      </c>
      <c r="B6273" t="str">
        <f t="shared" si="2421"/>
        <v>PO BOX 8478</v>
      </c>
      <c r="C6273" t="str">
        <f t="shared" si="2422"/>
        <v/>
      </c>
      <c r="D6273" t="str">
        <f t="shared" si="2423"/>
        <v>CAMP LEJEUNE</v>
      </c>
      <c r="E6273" t="str">
        <f t="shared" si="2429"/>
        <v>NC</v>
      </c>
      <c r="F6273" t="str">
        <f t="shared" si="2424"/>
        <v>285478478</v>
      </c>
      <c r="G6273" t="str">
        <f t="shared" si="2425"/>
        <v>PO BOX 8478</v>
      </c>
      <c r="H6273" t="str">
        <f t="shared" si="2426"/>
        <v/>
      </c>
      <c r="I6273" t="str">
        <f t="shared" si="2427"/>
        <v>CAMP LEJEUNE</v>
      </c>
      <c r="J6273" t="str">
        <f t="shared" si="2428"/>
        <v>NC</v>
      </c>
      <c r="K6273" t="str">
        <f t="shared" si="2430"/>
        <v>000000000000000000</v>
      </c>
      <c r="L6273" t="str">
        <f>T("9104407435")</f>
        <v>9104407435</v>
      </c>
    </row>
    <row r="6274" spans="1:12" x14ac:dyDescent="0.35">
      <c r="A6274" t="str">
        <f t="shared" si="2420"/>
        <v>TCOM</v>
      </c>
      <c r="B6274" t="str">
        <f t="shared" si="2421"/>
        <v>PO BOX 8478</v>
      </c>
      <c r="C6274" t="str">
        <f t="shared" si="2422"/>
        <v/>
      </c>
      <c r="D6274" t="str">
        <f t="shared" si="2423"/>
        <v>CAMP LEJEUNE</v>
      </c>
      <c r="E6274" t="str">
        <f t="shared" si="2429"/>
        <v>NC</v>
      </c>
      <c r="F6274" t="str">
        <f t="shared" si="2424"/>
        <v>285478478</v>
      </c>
      <c r="G6274" t="str">
        <f t="shared" si="2425"/>
        <v>PO BOX 8478</v>
      </c>
      <c r="H6274" t="str">
        <f t="shared" si="2426"/>
        <v/>
      </c>
      <c r="I6274" t="str">
        <f t="shared" si="2427"/>
        <v>CAMP LEJEUNE</v>
      </c>
      <c r="J6274" t="str">
        <f t="shared" si="2428"/>
        <v>NC</v>
      </c>
      <c r="K6274" t="str">
        <f t="shared" si="2430"/>
        <v>000000000000000000</v>
      </c>
      <c r="L6274" t="str">
        <f>T("9104490396")</f>
        <v>9104490396</v>
      </c>
    </row>
    <row r="6275" spans="1:12" x14ac:dyDescent="0.35">
      <c r="A6275" t="str">
        <f t="shared" si="2420"/>
        <v>TCOM</v>
      </c>
      <c r="B6275" t="str">
        <f t="shared" si="2421"/>
        <v>PO BOX 8478</v>
      </c>
      <c r="C6275" t="str">
        <f t="shared" si="2422"/>
        <v/>
      </c>
      <c r="D6275" t="str">
        <f t="shared" si="2423"/>
        <v>CAMP LEJEUNE</v>
      </c>
      <c r="E6275" t="str">
        <f t="shared" si="2429"/>
        <v>NC</v>
      </c>
      <c r="F6275" t="str">
        <f t="shared" si="2424"/>
        <v>285478478</v>
      </c>
      <c r="G6275" t="str">
        <f t="shared" si="2425"/>
        <v>PO BOX 8478</v>
      </c>
      <c r="H6275" t="str">
        <f t="shared" si="2426"/>
        <v/>
      </c>
      <c r="I6275" t="str">
        <f t="shared" si="2427"/>
        <v>CAMP LEJEUNE</v>
      </c>
      <c r="J6275" t="str">
        <f t="shared" si="2428"/>
        <v>NC</v>
      </c>
      <c r="K6275" t="str">
        <f t="shared" si="2430"/>
        <v>000000000000000000</v>
      </c>
      <c r="L6275" t="str">
        <f>T("9104492125")</f>
        <v>9104492125</v>
      </c>
    </row>
    <row r="6276" spans="1:12" x14ac:dyDescent="0.35">
      <c r="A6276" t="str">
        <f t="shared" si="2420"/>
        <v>TCOM</v>
      </c>
      <c r="B6276" t="str">
        <f t="shared" si="2421"/>
        <v>PO BOX 8478</v>
      </c>
      <c r="C6276" t="str">
        <f t="shared" si="2422"/>
        <v/>
      </c>
      <c r="D6276" t="str">
        <f t="shared" si="2423"/>
        <v>CAMP LEJEUNE</v>
      </c>
      <c r="E6276" t="str">
        <f t="shared" si="2429"/>
        <v>NC</v>
      </c>
      <c r="F6276" t="str">
        <f t="shared" si="2424"/>
        <v>285478478</v>
      </c>
      <c r="G6276" t="str">
        <f t="shared" si="2425"/>
        <v>PO BOX 8478</v>
      </c>
      <c r="H6276" t="str">
        <f t="shared" si="2426"/>
        <v/>
      </c>
      <c r="I6276" t="str">
        <f t="shared" si="2427"/>
        <v>CAMP LEJEUNE</v>
      </c>
      <c r="J6276" t="str">
        <f t="shared" si="2428"/>
        <v>NC</v>
      </c>
      <c r="K6276" t="str">
        <f t="shared" si="2430"/>
        <v>000000000000000000</v>
      </c>
      <c r="L6276" t="str">
        <f>T("9104500814")</f>
        <v>9104500814</v>
      </c>
    </row>
    <row r="6277" spans="1:12" x14ac:dyDescent="0.35">
      <c r="A6277" t="str">
        <f t="shared" si="2420"/>
        <v>TCOM</v>
      </c>
      <c r="B6277" t="str">
        <f t="shared" si="2421"/>
        <v>PO BOX 8478</v>
      </c>
      <c r="C6277" t="str">
        <f t="shared" si="2422"/>
        <v/>
      </c>
      <c r="D6277" t="str">
        <f t="shared" si="2423"/>
        <v>CAMP LEJEUNE</v>
      </c>
      <c r="E6277" t="str">
        <f t="shared" si="2429"/>
        <v>NC</v>
      </c>
      <c r="F6277" t="str">
        <f t="shared" si="2424"/>
        <v>285478478</v>
      </c>
      <c r="G6277" t="str">
        <f t="shared" si="2425"/>
        <v>PO BOX 8478</v>
      </c>
      <c r="H6277" t="str">
        <f t="shared" si="2426"/>
        <v/>
      </c>
      <c r="I6277" t="str">
        <f t="shared" si="2427"/>
        <v>CAMP LEJEUNE</v>
      </c>
      <c r="J6277" t="str">
        <f t="shared" si="2428"/>
        <v>NC</v>
      </c>
      <c r="K6277" t="str">
        <f t="shared" si="2430"/>
        <v>000000000000000000</v>
      </c>
      <c r="L6277" t="str">
        <f>T("9104500897")</f>
        <v>9104500897</v>
      </c>
    </row>
    <row r="6278" spans="1:12" x14ac:dyDescent="0.35">
      <c r="A6278" t="str">
        <f t="shared" si="2420"/>
        <v>TCOM</v>
      </c>
      <c r="B6278" t="str">
        <f t="shared" si="2421"/>
        <v>PO BOX 8478</v>
      </c>
      <c r="C6278" t="str">
        <f t="shared" si="2422"/>
        <v/>
      </c>
      <c r="D6278" t="str">
        <f t="shared" si="2423"/>
        <v>CAMP LEJEUNE</v>
      </c>
      <c r="E6278" t="str">
        <f t="shared" si="2429"/>
        <v>NC</v>
      </c>
      <c r="F6278" t="str">
        <f t="shared" si="2424"/>
        <v>285478478</v>
      </c>
      <c r="G6278" t="str">
        <f t="shared" si="2425"/>
        <v>PO BOX 8478</v>
      </c>
      <c r="H6278" t="str">
        <f t="shared" si="2426"/>
        <v/>
      </c>
      <c r="I6278" t="str">
        <f t="shared" si="2427"/>
        <v>CAMP LEJEUNE</v>
      </c>
      <c r="J6278" t="str">
        <f t="shared" si="2428"/>
        <v>NC</v>
      </c>
      <c r="K6278" t="str">
        <f t="shared" si="2430"/>
        <v>000000000000000000</v>
      </c>
      <c r="L6278" t="str">
        <f>T("9104501194")</f>
        <v>9104501194</v>
      </c>
    </row>
    <row r="6279" spans="1:12" x14ac:dyDescent="0.35">
      <c r="A6279" t="str">
        <f t="shared" si="2420"/>
        <v>TCOM</v>
      </c>
      <c r="B6279" t="str">
        <f t="shared" si="2421"/>
        <v>PO BOX 8478</v>
      </c>
      <c r="C6279" t="str">
        <f t="shared" si="2422"/>
        <v/>
      </c>
      <c r="D6279" t="str">
        <f t="shared" si="2423"/>
        <v>CAMP LEJEUNE</v>
      </c>
      <c r="E6279" t="str">
        <f t="shared" si="2429"/>
        <v>NC</v>
      </c>
      <c r="F6279" t="str">
        <f t="shared" si="2424"/>
        <v>285478478</v>
      </c>
      <c r="G6279" t="str">
        <f t="shared" si="2425"/>
        <v>PO BOX 8478</v>
      </c>
      <c r="H6279" t="str">
        <f t="shared" si="2426"/>
        <v/>
      </c>
      <c r="I6279" t="str">
        <f t="shared" si="2427"/>
        <v>CAMP LEJEUNE</v>
      </c>
      <c r="J6279" t="str">
        <f t="shared" si="2428"/>
        <v>NC</v>
      </c>
      <c r="K6279" t="str">
        <f t="shared" si="2430"/>
        <v>000000000000000000</v>
      </c>
      <c r="L6279" t="str">
        <f>T("9104501196")</f>
        <v>9104501196</v>
      </c>
    </row>
    <row r="6280" spans="1:12" x14ac:dyDescent="0.35">
      <c r="A6280" t="str">
        <f t="shared" si="2420"/>
        <v>TCOM</v>
      </c>
      <c r="B6280" t="str">
        <f t="shared" si="2421"/>
        <v>PO BOX 8478</v>
      </c>
      <c r="C6280" t="str">
        <f t="shared" si="2422"/>
        <v/>
      </c>
      <c r="D6280" t="str">
        <f t="shared" si="2423"/>
        <v>CAMP LEJEUNE</v>
      </c>
      <c r="E6280" t="str">
        <f t="shared" si="2429"/>
        <v>NC</v>
      </c>
      <c r="F6280" t="str">
        <f t="shared" si="2424"/>
        <v>285478478</v>
      </c>
      <c r="G6280" t="str">
        <f t="shared" si="2425"/>
        <v>PO BOX 8478</v>
      </c>
      <c r="H6280" t="str">
        <f t="shared" si="2426"/>
        <v/>
      </c>
      <c r="I6280" t="str">
        <f t="shared" si="2427"/>
        <v>CAMP LEJEUNE</v>
      </c>
      <c r="J6280" t="str">
        <f t="shared" si="2428"/>
        <v>NC</v>
      </c>
      <c r="K6280" t="str">
        <f t="shared" si="2430"/>
        <v>000000000000000000</v>
      </c>
      <c r="L6280" t="str">
        <f>T("9104501303")</f>
        <v>9104501303</v>
      </c>
    </row>
    <row r="6281" spans="1:12" x14ac:dyDescent="0.35">
      <c r="A6281" t="str">
        <f t="shared" si="2420"/>
        <v>TCOM</v>
      </c>
      <c r="B6281" t="str">
        <f t="shared" si="2421"/>
        <v>PO BOX 8478</v>
      </c>
      <c r="C6281" t="str">
        <f t="shared" si="2422"/>
        <v/>
      </c>
      <c r="D6281" t="str">
        <f t="shared" si="2423"/>
        <v>CAMP LEJEUNE</v>
      </c>
      <c r="E6281" t="str">
        <f t="shared" si="2429"/>
        <v>NC</v>
      </c>
      <c r="F6281" t="str">
        <f t="shared" si="2424"/>
        <v>285478478</v>
      </c>
      <c r="G6281" t="str">
        <f t="shared" si="2425"/>
        <v>PO BOX 8478</v>
      </c>
      <c r="H6281" t="str">
        <f t="shared" si="2426"/>
        <v/>
      </c>
      <c r="I6281" t="str">
        <f t="shared" si="2427"/>
        <v>CAMP LEJEUNE</v>
      </c>
      <c r="J6281" t="str">
        <f t="shared" si="2428"/>
        <v>NC</v>
      </c>
      <c r="K6281" t="str">
        <f>T("573596013161159")</f>
        <v>573596013161159</v>
      </c>
      <c r="L6281" t="str">
        <f>T("1111111111")</f>
        <v>1111111111</v>
      </c>
    </row>
    <row r="6282" spans="1:12" x14ac:dyDescent="0.35">
      <c r="A6282" t="str">
        <f t="shared" si="2420"/>
        <v>TCOM</v>
      </c>
      <c r="B6282" t="str">
        <f t="shared" si="2421"/>
        <v>PO BOX 8478</v>
      </c>
      <c r="C6282" t="str">
        <f t="shared" si="2422"/>
        <v/>
      </c>
      <c r="D6282" t="str">
        <f t="shared" si="2423"/>
        <v>CAMP LEJEUNE</v>
      </c>
      <c r="E6282" t="str">
        <f t="shared" si="2429"/>
        <v>NC</v>
      </c>
      <c r="F6282" t="str">
        <f t="shared" si="2424"/>
        <v>285478478</v>
      </c>
      <c r="G6282" t="str">
        <f t="shared" si="2425"/>
        <v>PO BOX 8478</v>
      </c>
      <c r="H6282" t="str">
        <f t="shared" si="2426"/>
        <v/>
      </c>
      <c r="I6282" t="str">
        <f t="shared" si="2427"/>
        <v>CAMP LEJEUNE</v>
      </c>
      <c r="J6282" t="str">
        <f t="shared" si="2428"/>
        <v>NC</v>
      </c>
      <c r="K6282" t="str">
        <f>T("8504529408")</f>
        <v>8504529408</v>
      </c>
      <c r="L6282" t="str">
        <f>T("8504529460")</f>
        <v>8504529460</v>
      </c>
    </row>
    <row r="6283" spans="1:12" x14ac:dyDescent="0.35">
      <c r="A6283" t="str">
        <f t="shared" si="2420"/>
        <v>TCOM</v>
      </c>
      <c r="B6283" t="str">
        <f t="shared" si="2421"/>
        <v>PO BOX 8478</v>
      </c>
      <c r="C6283" t="str">
        <f t="shared" si="2422"/>
        <v/>
      </c>
      <c r="D6283" t="str">
        <f t="shared" si="2423"/>
        <v>CAMP LEJEUNE</v>
      </c>
      <c r="E6283" t="str">
        <f t="shared" si="2429"/>
        <v>NC</v>
      </c>
      <c r="F6283" t="str">
        <f t="shared" si="2424"/>
        <v>285478478</v>
      </c>
      <c r="G6283" t="str">
        <f t="shared" si="2425"/>
        <v>PO BOX 8478</v>
      </c>
      <c r="H6283" t="str">
        <f t="shared" si="2426"/>
        <v/>
      </c>
      <c r="I6283" t="str">
        <f t="shared" si="2427"/>
        <v>CAMP LEJEUNE</v>
      </c>
      <c r="J6283" t="str">
        <f t="shared" si="2428"/>
        <v>NC</v>
      </c>
      <c r="K6283" t="str">
        <f>T("85045294603015")</f>
        <v>85045294603015</v>
      </c>
      <c r="L6283" t="str">
        <f>T("1111111111")</f>
        <v>1111111111</v>
      </c>
    </row>
    <row r="6284" spans="1:12" x14ac:dyDescent="0.35">
      <c r="A6284" t="str">
        <f t="shared" si="2420"/>
        <v>TCOM</v>
      </c>
      <c r="B6284" t="str">
        <f t="shared" si="2421"/>
        <v>PO BOX 8478</v>
      </c>
      <c r="C6284" t="str">
        <f t="shared" si="2422"/>
        <v/>
      </c>
      <c r="D6284" t="str">
        <f t="shared" si="2423"/>
        <v>CAMP LEJEUNE</v>
      </c>
      <c r="E6284" t="str">
        <f t="shared" si="2429"/>
        <v>NC</v>
      </c>
      <c r="F6284" t="str">
        <f t="shared" si="2424"/>
        <v>285478478</v>
      </c>
      <c r="G6284" t="str">
        <f t="shared" si="2425"/>
        <v>PO BOX 8478</v>
      </c>
      <c r="H6284" t="str">
        <f t="shared" si="2426"/>
        <v/>
      </c>
      <c r="I6284" t="str">
        <f t="shared" si="2427"/>
        <v>CAMP LEJEUNE</v>
      </c>
      <c r="J6284" t="str">
        <f t="shared" si="2428"/>
        <v>NC</v>
      </c>
      <c r="K6284" t="str">
        <f>T("85045294603019")</f>
        <v>85045294603019</v>
      </c>
      <c r="L6284" t="str">
        <f>T("1111111111")</f>
        <v>1111111111</v>
      </c>
    </row>
    <row r="6285" spans="1:12" x14ac:dyDescent="0.35">
      <c r="A6285" t="str">
        <f t="shared" si="2420"/>
        <v>TCOM</v>
      </c>
      <c r="B6285" t="str">
        <f t="shared" si="2421"/>
        <v>PO BOX 8478</v>
      </c>
      <c r="C6285" t="str">
        <f t="shared" si="2422"/>
        <v/>
      </c>
      <c r="D6285" t="str">
        <f t="shared" si="2423"/>
        <v>CAMP LEJEUNE</v>
      </c>
      <c r="E6285" t="str">
        <f t="shared" si="2429"/>
        <v>NC</v>
      </c>
      <c r="F6285" t="str">
        <f t="shared" si="2424"/>
        <v>285478478</v>
      </c>
      <c r="G6285" t="str">
        <f t="shared" si="2425"/>
        <v>PO BOX 8478</v>
      </c>
      <c r="H6285" t="str">
        <f t="shared" si="2426"/>
        <v/>
      </c>
      <c r="I6285" t="str">
        <f t="shared" si="2427"/>
        <v>CAMP LEJEUNE</v>
      </c>
      <c r="J6285" t="str">
        <f t="shared" si="2428"/>
        <v>NC</v>
      </c>
      <c r="K6285" t="str">
        <f>T("85045294603021")</f>
        <v>85045294603021</v>
      </c>
      <c r="L6285" t="str">
        <f>T("1111111111")</f>
        <v>1111111111</v>
      </c>
    </row>
    <row r="6286" spans="1:12" x14ac:dyDescent="0.35">
      <c r="A6286" t="str">
        <f t="shared" si="2420"/>
        <v>TCOM</v>
      </c>
      <c r="B6286" t="str">
        <f t="shared" si="2421"/>
        <v>PO BOX 8478</v>
      </c>
      <c r="C6286" t="str">
        <f t="shared" si="2422"/>
        <v/>
      </c>
      <c r="D6286" t="str">
        <f t="shared" si="2423"/>
        <v>CAMP LEJEUNE</v>
      </c>
      <c r="E6286" t="str">
        <f t="shared" si="2429"/>
        <v>NC</v>
      </c>
      <c r="F6286" t="str">
        <f t="shared" si="2424"/>
        <v>285478478</v>
      </c>
      <c r="G6286" t="str">
        <f t="shared" si="2425"/>
        <v>PO BOX 8478</v>
      </c>
      <c r="H6286" t="str">
        <f t="shared" si="2426"/>
        <v/>
      </c>
      <c r="I6286" t="str">
        <f t="shared" si="2427"/>
        <v>CAMP LEJEUNE</v>
      </c>
      <c r="J6286" t="str">
        <f t="shared" si="2428"/>
        <v>NC</v>
      </c>
      <c r="K6286" t="str">
        <f>T("85045294603109")</f>
        <v>85045294603109</v>
      </c>
      <c r="L6286" t="str">
        <f>T("1111111111")</f>
        <v>1111111111</v>
      </c>
    </row>
    <row r="6287" spans="1:12" x14ac:dyDescent="0.35">
      <c r="A6287" t="str">
        <f t="shared" ref="A6287:A6318" si="2431">T("MARINE CORPS LOGISTICS COMMAND")</f>
        <v>MARINE CORPS LOGISTICS COMMAND</v>
      </c>
      <c r="B6287" t="str">
        <f>T("814 RADFORD BLVD 20201")</f>
        <v>814 RADFORD BLVD 20201</v>
      </c>
      <c r="C6287" t="str">
        <f>T("ATTN S06 BLDG 3700 ROOM 103")</f>
        <v>ATTN S06 BLDG 3700 ROOM 103</v>
      </c>
      <c r="D6287" t="str">
        <f t="shared" ref="D6287:D6330" si="2432">T("ALBANY")</f>
        <v>ALBANY</v>
      </c>
      <c r="E6287" t="str">
        <f t="shared" ref="E6287:E6330" si="2433">T("GA")</f>
        <v>GA</v>
      </c>
      <c r="F6287" t="str">
        <f>T("317040201")</f>
        <v>317040201</v>
      </c>
      <c r="G6287" t="str">
        <f>T("814 RADFORD BLVD 20201")</f>
        <v>814 RADFORD BLVD 20201</v>
      </c>
      <c r="H6287" t="str">
        <f>T("ATTN S06 BLDG 3700 ROOM 103")</f>
        <v>ATTN S06 BLDG 3700 ROOM 103</v>
      </c>
      <c r="I6287" t="str">
        <f t="shared" ref="I6287:I6330" si="2434">T("ALBANY")</f>
        <v>ALBANY</v>
      </c>
      <c r="J6287" t="str">
        <f t="shared" ref="J6287:J6330" si="2435">T("GA")</f>
        <v>GA</v>
      </c>
      <c r="K6287" t="str">
        <f>T("296396050")</f>
        <v>296396050</v>
      </c>
      <c r="L6287" t="str">
        <f>T("2296397374")</f>
        <v>2296397374</v>
      </c>
    </row>
    <row r="6288" spans="1:12" x14ac:dyDescent="0.35">
      <c r="A6288" t="str">
        <f t="shared" si="2431"/>
        <v>MARINE CORPS LOGISTICS COMMAND</v>
      </c>
      <c r="B6288" t="str">
        <f>T("814 RADFORD BLVD 20201")</f>
        <v>814 RADFORD BLVD 20201</v>
      </c>
      <c r="C6288" t="str">
        <f>T("ATTN S06 BLDG 3700 ROOM 103")</f>
        <v>ATTN S06 BLDG 3700 ROOM 103</v>
      </c>
      <c r="D6288" t="str">
        <f t="shared" si="2432"/>
        <v>ALBANY</v>
      </c>
      <c r="E6288" t="str">
        <f t="shared" si="2433"/>
        <v>GA</v>
      </c>
      <c r="F6288" t="str">
        <f>T("317040201")</f>
        <v>317040201</v>
      </c>
      <c r="G6288" t="str">
        <f>T("814 RADFORD BLVD STE 20201")</f>
        <v>814 RADFORD BLVD STE 20201</v>
      </c>
      <c r="H6288" t="str">
        <f>T("ATTN S06 BLDG 3700 ROOM 103")</f>
        <v>ATTN S06 BLDG 3700 ROOM 103</v>
      </c>
      <c r="I6288" t="str">
        <f t="shared" si="2434"/>
        <v>ALBANY</v>
      </c>
      <c r="J6288" t="str">
        <f t="shared" si="2435"/>
        <v>GA</v>
      </c>
      <c r="K6288" t="str">
        <f>T("2296395012")</f>
        <v>2296395012</v>
      </c>
      <c r="L6288" t="str">
        <f>T("2296397173")</f>
        <v>2296397173</v>
      </c>
    </row>
    <row r="6289" spans="1:12" x14ac:dyDescent="0.35">
      <c r="A6289" t="str">
        <f t="shared" si="2431"/>
        <v>MARINE CORPS LOGISTICS COMMAND</v>
      </c>
      <c r="B6289" t="str">
        <f>T("814 RADFORD BLVD 20201")</f>
        <v>814 RADFORD BLVD 20201</v>
      </c>
      <c r="C6289" t="str">
        <f>T("ATTN S11B BLDG 3700")</f>
        <v>ATTN S11B BLDG 3700</v>
      </c>
      <c r="D6289" t="str">
        <f t="shared" si="2432"/>
        <v>ALBANY</v>
      </c>
      <c r="E6289" t="str">
        <f t="shared" si="2433"/>
        <v>GA</v>
      </c>
      <c r="F6289" t="str">
        <f>T("317041130")</f>
        <v>317041130</v>
      </c>
      <c r="G6289" t="str">
        <f>T("814 RADFORD BLVD 20201")</f>
        <v>814 RADFORD BLVD 20201</v>
      </c>
      <c r="H6289" t="str">
        <f>T("ATTN S11B BLDG 3700")</f>
        <v>ATTN S11B BLDG 3700</v>
      </c>
      <c r="I6289" t="str">
        <f t="shared" si="2434"/>
        <v>ALBANY</v>
      </c>
      <c r="J6289" t="str">
        <f t="shared" si="2435"/>
        <v>GA</v>
      </c>
      <c r="K6289" t="str">
        <f>T("2296395561")</f>
        <v>2296395561</v>
      </c>
      <c r="L6289" t="str">
        <f>T("2296396284")</f>
        <v>2296396284</v>
      </c>
    </row>
    <row r="6290" spans="1:12" x14ac:dyDescent="0.35">
      <c r="A6290" t="str">
        <f t="shared" si="2431"/>
        <v>MARINE CORPS LOGISTICS COMMAND</v>
      </c>
      <c r="B6290" t="str">
        <f>T("814 RADFORD BLVD 20201")</f>
        <v>814 RADFORD BLVD 20201</v>
      </c>
      <c r="C6290" t="str">
        <f>T("ATTN S11B BLDG 3700")</f>
        <v>ATTN S11B BLDG 3700</v>
      </c>
      <c r="D6290" t="str">
        <f t="shared" si="2432"/>
        <v>ALBANY</v>
      </c>
      <c r="E6290" t="str">
        <f t="shared" si="2433"/>
        <v>GA</v>
      </c>
      <c r="F6290" t="str">
        <f>T("317041130")</f>
        <v>317041130</v>
      </c>
      <c r="G6290" t="str">
        <f>T("ATTN S11 BLDG 3700")</f>
        <v>ATTN S11 BLDG 3700</v>
      </c>
      <c r="H6290" t="str">
        <f>T("814 RADFORD BLVD STE 20302")</f>
        <v>814 RADFORD BLVD STE 20302</v>
      </c>
      <c r="I6290" t="str">
        <f t="shared" si="2434"/>
        <v>ALBANY</v>
      </c>
      <c r="J6290" t="str">
        <f t="shared" si="2435"/>
        <v>GA</v>
      </c>
      <c r="K6290" t="str">
        <f>T("2296395564")</f>
        <v>2296395564</v>
      </c>
      <c r="L6290" t="str">
        <f>T("2296395402")</f>
        <v>2296395402</v>
      </c>
    </row>
    <row r="6291" spans="1:12" x14ac:dyDescent="0.35">
      <c r="A6291" t="str">
        <f t="shared" si="2431"/>
        <v>MARINE CORPS LOGISTICS COMMAND</v>
      </c>
      <c r="B6291" t="str">
        <f>T("814 RADFORD BLVD 20201")</f>
        <v>814 RADFORD BLVD 20201</v>
      </c>
      <c r="C6291" t="str">
        <f>T("ATTN S11B BLDG 3700")</f>
        <v>ATTN S11B BLDG 3700</v>
      </c>
      <c r="D6291" t="str">
        <f t="shared" si="2432"/>
        <v>ALBANY</v>
      </c>
      <c r="E6291" t="str">
        <f t="shared" si="2433"/>
        <v>GA</v>
      </c>
      <c r="F6291" t="str">
        <f>T("317041130")</f>
        <v>317041130</v>
      </c>
      <c r="G6291" t="str">
        <f>T("ATTN S11A BLDG 3600")</f>
        <v>ATTN S11A BLDG 3600</v>
      </c>
      <c r="H6291" t="str">
        <f>T("814 RADFORD BLVD STE 20301")</f>
        <v>814 RADFORD BLVD STE 20301</v>
      </c>
      <c r="I6291" t="str">
        <f t="shared" si="2434"/>
        <v>ALBANY</v>
      </c>
      <c r="J6291" t="str">
        <f t="shared" si="2435"/>
        <v>GA</v>
      </c>
      <c r="K6291" t="str">
        <f>T("2296395561")</f>
        <v>2296395561</v>
      </c>
      <c r="L6291" t="str">
        <f>T("2296398354")</f>
        <v>2296398354</v>
      </c>
    </row>
    <row r="6292" spans="1:12" x14ac:dyDescent="0.35">
      <c r="A6292" t="str">
        <f t="shared" si="2431"/>
        <v>MARINE CORPS LOGISTICS COMMAND</v>
      </c>
      <c r="B6292" t="str">
        <f>T("814 RADFORD BLVD STE 20201")</f>
        <v>814 RADFORD BLVD STE 20201</v>
      </c>
      <c r="C6292" t="str">
        <f>T("")</f>
        <v/>
      </c>
      <c r="D6292" t="str">
        <f t="shared" si="2432"/>
        <v>ALBANY</v>
      </c>
      <c r="E6292" t="str">
        <f t="shared" si="2433"/>
        <v>GA</v>
      </c>
      <c r="F6292" t="str">
        <f>T("317040301")</f>
        <v>317040301</v>
      </c>
      <c r="G6292" t="str">
        <f>T("814 RADFORD BLVD STE 20201")</f>
        <v>814 RADFORD BLVD STE 20201</v>
      </c>
      <c r="H6292" t="str">
        <f>T("")</f>
        <v/>
      </c>
      <c r="I6292" t="str">
        <f t="shared" si="2434"/>
        <v>ALBANY</v>
      </c>
      <c r="J6292" t="str">
        <f t="shared" si="2435"/>
        <v>GA</v>
      </c>
      <c r="K6292" t="str">
        <f>T("2296395290")</f>
        <v>2296395290</v>
      </c>
      <c r="L6292" t="str">
        <f>T("2296395011")</f>
        <v>2296395011</v>
      </c>
    </row>
    <row r="6293" spans="1:12" x14ac:dyDescent="0.35">
      <c r="A6293" t="str">
        <f t="shared" si="2431"/>
        <v>MARINE CORPS LOGISTICS COMMAND</v>
      </c>
      <c r="B6293" t="str">
        <f>T("814 RADFORD BLVD STE 20201")</f>
        <v>814 RADFORD BLVD STE 20201</v>
      </c>
      <c r="C6293" t="str">
        <f>T("")</f>
        <v/>
      </c>
      <c r="D6293" t="str">
        <f t="shared" si="2432"/>
        <v>ALBANY</v>
      </c>
      <c r="E6293" t="str">
        <f t="shared" si="2433"/>
        <v>GA</v>
      </c>
      <c r="F6293" t="str">
        <f>T("317040301")</f>
        <v>317040301</v>
      </c>
      <c r="G6293" t="str">
        <f>T("814 RADFORD BLVD STE 20201")</f>
        <v>814 RADFORD BLVD STE 20201</v>
      </c>
      <c r="H6293" t="str">
        <f>T("BLDG 3700")</f>
        <v>BLDG 3700</v>
      </c>
      <c r="I6293" t="str">
        <f t="shared" si="2434"/>
        <v>ALBANY</v>
      </c>
      <c r="J6293" t="str">
        <f t="shared" si="2435"/>
        <v>GA</v>
      </c>
      <c r="K6293" t="str">
        <f>T("2296395290")</f>
        <v>2296395290</v>
      </c>
      <c r="L6293" t="str">
        <f>T("2296395010")</f>
        <v>2296395010</v>
      </c>
    </row>
    <row r="6294" spans="1:12" x14ac:dyDescent="0.35">
      <c r="A6294" t="str">
        <f t="shared" si="2431"/>
        <v>MARINE CORPS LOGISTICS COMMAND</v>
      </c>
      <c r="B6294" t="str">
        <f>T("814 RADFORD BLVD STE 20201")</f>
        <v>814 RADFORD BLVD STE 20201</v>
      </c>
      <c r="C6294" t="str">
        <f>T("")</f>
        <v/>
      </c>
      <c r="D6294" t="str">
        <f t="shared" si="2432"/>
        <v>ALBANY</v>
      </c>
      <c r="E6294" t="str">
        <f t="shared" si="2433"/>
        <v>GA</v>
      </c>
      <c r="F6294" t="str">
        <f>T("317040301")</f>
        <v>317040301</v>
      </c>
      <c r="G6294" t="str">
        <f>T("814 RADFORD BLVD STE 20201")</f>
        <v>814 RADFORD BLVD STE 20201</v>
      </c>
      <c r="H6294" t="str">
        <f>T("BLDG 3700")</f>
        <v>BLDG 3700</v>
      </c>
      <c r="I6294" t="str">
        <f t="shared" si="2434"/>
        <v>ALBANY</v>
      </c>
      <c r="J6294" t="str">
        <f t="shared" si="2435"/>
        <v>GA</v>
      </c>
      <c r="K6294" t="str">
        <f>T("2296395290")</f>
        <v>2296395290</v>
      </c>
      <c r="L6294" t="str">
        <f>T("2296395201")</f>
        <v>2296395201</v>
      </c>
    </row>
    <row r="6295" spans="1:12" x14ac:dyDescent="0.35">
      <c r="A6295" t="str">
        <f t="shared" si="2431"/>
        <v>MARINE CORPS LOGISTICS COMMAND</v>
      </c>
      <c r="B6295" t="str">
        <f>T("814 RADFORD BLVD STE 20201")</f>
        <v>814 RADFORD BLVD STE 20201</v>
      </c>
      <c r="C6295" t="str">
        <f>T("BLDG 3700 DOOR 103")</f>
        <v>BLDG 3700 DOOR 103</v>
      </c>
      <c r="D6295" t="str">
        <f t="shared" si="2432"/>
        <v>ALBANY</v>
      </c>
      <c r="E6295" t="str">
        <f t="shared" si="2433"/>
        <v>GA</v>
      </c>
      <c r="F6295" t="str">
        <f>T("317049998")</f>
        <v>317049998</v>
      </c>
      <c r="G6295" t="str">
        <f>T("814 RADFORD BLVD STE 20201")</f>
        <v>814 RADFORD BLVD STE 20201</v>
      </c>
      <c r="H6295" t="str">
        <f>T("BLDG 3700 DOOR 103")</f>
        <v>BLDG 3700 DOOR 103</v>
      </c>
      <c r="I6295" t="str">
        <f t="shared" si="2434"/>
        <v>ALBANY</v>
      </c>
      <c r="J6295" t="str">
        <f t="shared" si="2435"/>
        <v>GA</v>
      </c>
      <c r="K6295" t="str">
        <f>T("2296395012")</f>
        <v>2296395012</v>
      </c>
      <c r="L6295" t="str">
        <f>T("2296397374")</f>
        <v>2296397374</v>
      </c>
    </row>
    <row r="6296" spans="1:12" x14ac:dyDescent="0.35">
      <c r="A6296" t="str">
        <f t="shared" si="2431"/>
        <v>MARINE CORPS LOGISTICS COMMAND</v>
      </c>
      <c r="B6296" t="str">
        <f>T("814 RADFORD BLVD STE 20201")</f>
        <v>814 RADFORD BLVD STE 20201</v>
      </c>
      <c r="C6296" t="str">
        <f>T("BLDG 3700 DOOR 103")</f>
        <v>BLDG 3700 DOOR 103</v>
      </c>
      <c r="D6296" t="str">
        <f t="shared" si="2432"/>
        <v>ALBANY</v>
      </c>
      <c r="E6296" t="str">
        <f t="shared" si="2433"/>
        <v>GA</v>
      </c>
      <c r="F6296" t="str">
        <f>T("317049998")</f>
        <v>317049998</v>
      </c>
      <c r="G6296" t="str">
        <f>T("ATTN S15 BLDG 3700 RM 103")</f>
        <v>ATTN S15 BLDG 3700 RM 103</v>
      </c>
      <c r="H6296" t="str">
        <f>T("814 RADFORD BLVD STE 20201")</f>
        <v>814 RADFORD BLVD STE 20201</v>
      </c>
      <c r="I6296" t="str">
        <f t="shared" si="2434"/>
        <v>ALBANY</v>
      </c>
      <c r="J6296" t="str">
        <f t="shared" si="2435"/>
        <v>GA</v>
      </c>
      <c r="K6296" t="str">
        <f>T("2296395012")</f>
        <v>2296395012</v>
      </c>
      <c r="L6296" t="str">
        <f>T("2296397173")</f>
        <v>2296397173</v>
      </c>
    </row>
    <row r="6297" spans="1:12" x14ac:dyDescent="0.35">
      <c r="A6297" t="str">
        <f t="shared" si="2431"/>
        <v>MARINE CORPS LOGISTICS COMMAND</v>
      </c>
      <c r="B6297" t="str">
        <f>T("814 RADFORD BLVD STE 20210")</f>
        <v>814 RADFORD BLVD STE 20210</v>
      </c>
      <c r="C6297" t="str">
        <f t="shared" ref="C6297:C6303" si="2436">T("")</f>
        <v/>
      </c>
      <c r="D6297" t="str">
        <f t="shared" si="2432"/>
        <v>ALBANY</v>
      </c>
      <c r="E6297" t="str">
        <f t="shared" si="2433"/>
        <v>GA</v>
      </c>
      <c r="F6297" t="str">
        <f>T("317001130")</f>
        <v>317001130</v>
      </c>
      <c r="G6297" t="str">
        <f>T("814 RADFORD BLVD STE 20210")</f>
        <v>814 RADFORD BLVD STE 20210</v>
      </c>
      <c r="H6297" t="str">
        <f>T("")</f>
        <v/>
      </c>
      <c r="I6297" t="str">
        <f t="shared" si="2434"/>
        <v>ALBANY</v>
      </c>
      <c r="J6297" t="str">
        <f t="shared" si="2435"/>
        <v>GA</v>
      </c>
      <c r="K6297" t="str">
        <f>T("2296395005")</f>
        <v>2296395005</v>
      </c>
      <c r="L6297" t="str">
        <f>T("2296397528")</f>
        <v>2296397528</v>
      </c>
    </row>
    <row r="6298" spans="1:12" x14ac:dyDescent="0.35">
      <c r="A6298" t="str">
        <f t="shared" si="2431"/>
        <v>MARINE CORPS LOGISTICS COMMAND</v>
      </c>
      <c r="B6298" t="str">
        <f>T("814 RADFORD BLVD STE 20210")</f>
        <v>814 RADFORD BLVD STE 20210</v>
      </c>
      <c r="C6298" t="str">
        <f t="shared" si="2436"/>
        <v/>
      </c>
      <c r="D6298" t="str">
        <f t="shared" si="2432"/>
        <v>ALBANY</v>
      </c>
      <c r="E6298" t="str">
        <f t="shared" si="2433"/>
        <v>GA</v>
      </c>
      <c r="F6298" t="str">
        <f>T("317001130")</f>
        <v>317001130</v>
      </c>
      <c r="G6298" t="str">
        <f>T("ATTN P301 BLDG 3700 3RD FLOOR")</f>
        <v>ATTN P301 BLDG 3700 3RD FLOOR</v>
      </c>
      <c r="H6298" t="str">
        <f>T("814 RADFORD BLVD STE 20210")</f>
        <v>814 RADFORD BLVD STE 20210</v>
      </c>
      <c r="I6298" t="str">
        <f t="shared" si="2434"/>
        <v>ALBANY</v>
      </c>
      <c r="J6298" t="str">
        <f t="shared" si="2435"/>
        <v>GA</v>
      </c>
      <c r="K6298" t="str">
        <f>T("2296395005")</f>
        <v>2296395005</v>
      </c>
      <c r="L6298" t="str">
        <f>T("2296397900")</f>
        <v>2296397900</v>
      </c>
    </row>
    <row r="6299" spans="1:12" x14ac:dyDescent="0.35">
      <c r="A6299" t="str">
        <f t="shared" si="2431"/>
        <v>MARINE CORPS LOGISTICS COMMAND</v>
      </c>
      <c r="B6299" t="str">
        <f>T("814 RADFORD BLVD STE 20220")</f>
        <v>814 RADFORD BLVD STE 20220</v>
      </c>
      <c r="C6299" t="str">
        <f t="shared" si="2436"/>
        <v/>
      </c>
      <c r="D6299" t="str">
        <f t="shared" si="2432"/>
        <v>ALBANY</v>
      </c>
      <c r="E6299" t="str">
        <f t="shared" si="2433"/>
        <v>GA</v>
      </c>
      <c r="F6299" t="str">
        <f>T("317041130")</f>
        <v>317041130</v>
      </c>
      <c r="G6299" t="str">
        <f>T("814 RADFORD BLVD STE 20220")</f>
        <v>814 RADFORD BLVD STE 20220</v>
      </c>
      <c r="H6299" t="str">
        <f>T("")</f>
        <v/>
      </c>
      <c r="I6299" t="str">
        <f t="shared" si="2434"/>
        <v>ALBANY</v>
      </c>
      <c r="J6299" t="str">
        <f t="shared" si="2435"/>
        <v>GA</v>
      </c>
      <c r="K6299" t="str">
        <f>T("2296395111")</f>
        <v>2296395111</v>
      </c>
      <c r="L6299" t="str">
        <f>T("2296396513")</f>
        <v>2296396513</v>
      </c>
    </row>
    <row r="6300" spans="1:12" x14ac:dyDescent="0.35">
      <c r="A6300" t="str">
        <f t="shared" si="2431"/>
        <v>MARINE CORPS LOGISTICS COMMAND</v>
      </c>
      <c r="B6300" t="str">
        <f>T("814 RADFORD BLVD STE 20220")</f>
        <v>814 RADFORD BLVD STE 20220</v>
      </c>
      <c r="C6300" t="str">
        <f t="shared" si="2436"/>
        <v/>
      </c>
      <c r="D6300" t="str">
        <f t="shared" si="2432"/>
        <v>ALBANY</v>
      </c>
      <c r="E6300" t="str">
        <f t="shared" si="2433"/>
        <v>GA</v>
      </c>
      <c r="F6300" t="str">
        <f>T("317041130")</f>
        <v>317041130</v>
      </c>
      <c r="G6300" t="str">
        <f>T("P401 BLDG 3700 DOOR 330")</f>
        <v>P401 BLDG 3700 DOOR 330</v>
      </c>
      <c r="H6300" t="str">
        <f>T("814 RADFORD BLVD STE 20220")</f>
        <v>814 RADFORD BLVD STE 20220</v>
      </c>
      <c r="I6300" t="str">
        <f t="shared" si="2434"/>
        <v>ALBANY</v>
      </c>
      <c r="J6300" t="str">
        <f t="shared" si="2435"/>
        <v>GA</v>
      </c>
      <c r="K6300" t="str">
        <f>T("2296395111")</f>
        <v>2296395111</v>
      </c>
      <c r="L6300" t="str">
        <f>T("2296397893")</f>
        <v>2296397893</v>
      </c>
    </row>
    <row r="6301" spans="1:12" x14ac:dyDescent="0.35">
      <c r="A6301" t="str">
        <f t="shared" si="2431"/>
        <v>MARINE CORPS LOGISTICS COMMAND</v>
      </c>
      <c r="B6301" t="str">
        <f>T("814 RADFORD BLVD STE 20225")</f>
        <v>814 RADFORD BLVD STE 20225</v>
      </c>
      <c r="C6301" t="str">
        <f t="shared" si="2436"/>
        <v/>
      </c>
      <c r="D6301" t="str">
        <f t="shared" si="2432"/>
        <v>ALBANY</v>
      </c>
      <c r="E6301" t="str">
        <f t="shared" si="2433"/>
        <v>GA</v>
      </c>
      <c r="F6301" t="str">
        <f>T("317040225")</f>
        <v>317040225</v>
      </c>
      <c r="G6301" t="str">
        <f>T("814 RADFORD BLVD STE 20225")</f>
        <v>814 RADFORD BLVD STE 20225</v>
      </c>
      <c r="H6301" t="str">
        <f>T("")</f>
        <v/>
      </c>
      <c r="I6301" t="str">
        <f t="shared" si="2434"/>
        <v>ALBANY</v>
      </c>
      <c r="J6301" t="str">
        <f t="shared" si="2435"/>
        <v>GA</v>
      </c>
      <c r="K6301" t="str">
        <f>T("2296395434")</f>
        <v>2296395434</v>
      </c>
      <c r="L6301" t="str">
        <f>T("2296398252")</f>
        <v>2296398252</v>
      </c>
    </row>
    <row r="6302" spans="1:12" x14ac:dyDescent="0.35">
      <c r="A6302" t="str">
        <f t="shared" si="2431"/>
        <v>MARINE CORPS LOGISTICS COMMAND</v>
      </c>
      <c r="B6302" t="str">
        <f>T("814 RADFORD BLVD STE 20225")</f>
        <v>814 RADFORD BLVD STE 20225</v>
      </c>
      <c r="C6302" t="str">
        <f t="shared" si="2436"/>
        <v/>
      </c>
      <c r="D6302" t="str">
        <f t="shared" si="2432"/>
        <v>ALBANY</v>
      </c>
      <c r="E6302" t="str">
        <f t="shared" si="2433"/>
        <v>GA</v>
      </c>
      <c r="F6302" t="str">
        <f>T("317040225")</f>
        <v>317040225</v>
      </c>
      <c r="G6302" t="str">
        <f>T("BLDG 3700")</f>
        <v>BLDG 3700</v>
      </c>
      <c r="H6302" t="str">
        <f>T("814 RADFORD BLVD STE 20225")</f>
        <v>814 RADFORD BLVD STE 20225</v>
      </c>
      <c r="I6302" t="str">
        <f t="shared" si="2434"/>
        <v>ALBANY</v>
      </c>
      <c r="J6302" t="str">
        <f t="shared" si="2435"/>
        <v>GA</v>
      </c>
      <c r="K6302" t="str">
        <f>T("2296395505")</f>
        <v>2296395505</v>
      </c>
      <c r="L6302" t="str">
        <f>T("2296399559")</f>
        <v>2296399559</v>
      </c>
    </row>
    <row r="6303" spans="1:12" x14ac:dyDescent="0.35">
      <c r="A6303" t="str">
        <f t="shared" si="2431"/>
        <v>MARINE CORPS LOGISTICS COMMAND</v>
      </c>
      <c r="B6303" t="str">
        <f>T("814 RADFORD BLVD STE 20225")</f>
        <v>814 RADFORD BLVD STE 20225</v>
      </c>
      <c r="C6303" t="str">
        <f t="shared" si="2436"/>
        <v/>
      </c>
      <c r="D6303" t="str">
        <f t="shared" si="2432"/>
        <v>ALBANY</v>
      </c>
      <c r="E6303" t="str">
        <f t="shared" si="2433"/>
        <v>GA</v>
      </c>
      <c r="F6303" t="str">
        <f>T("317040225")</f>
        <v>317040225</v>
      </c>
      <c r="G6303" t="str">
        <f>T("BLDG 3700")</f>
        <v>BLDG 3700</v>
      </c>
      <c r="H6303" t="str">
        <f>T("814 RADFORD BLVD STE 20225")</f>
        <v>814 RADFORD BLVD STE 20225</v>
      </c>
      <c r="I6303" t="str">
        <f t="shared" si="2434"/>
        <v>ALBANY</v>
      </c>
      <c r="J6303" t="str">
        <f t="shared" si="2435"/>
        <v>GA</v>
      </c>
      <c r="K6303" t="str">
        <f>T("2296396882")</f>
        <v>2296396882</v>
      </c>
      <c r="L6303" t="str">
        <f>T("2296398285")</f>
        <v>2296398285</v>
      </c>
    </row>
    <row r="6304" spans="1:12" x14ac:dyDescent="0.35">
      <c r="A6304" t="str">
        <f t="shared" si="2431"/>
        <v>MARINE CORPS LOGISTICS COMMAND</v>
      </c>
      <c r="B6304" t="str">
        <f>T("814 RADFORD BLVD STE 20225")</f>
        <v>814 RADFORD BLVD STE 20225</v>
      </c>
      <c r="C6304" t="str">
        <f>T("BLDG 3700 ROOM 128")</f>
        <v>BLDG 3700 ROOM 128</v>
      </c>
      <c r="D6304" t="str">
        <f t="shared" si="2432"/>
        <v>ALBANY</v>
      </c>
      <c r="E6304" t="str">
        <f t="shared" si="2433"/>
        <v>GA</v>
      </c>
      <c r="F6304" t="str">
        <f>T("317040225")</f>
        <v>317040225</v>
      </c>
      <c r="G6304" t="str">
        <f>T("814 RADFORD BLVD STE 20225")</f>
        <v>814 RADFORD BLVD STE 20225</v>
      </c>
      <c r="H6304" t="str">
        <f>T("BLDG 3700 ROOM 128")</f>
        <v>BLDG 3700 ROOM 128</v>
      </c>
      <c r="I6304" t="str">
        <f t="shared" si="2434"/>
        <v>ALBANY</v>
      </c>
      <c r="J6304" t="str">
        <f t="shared" si="2435"/>
        <v>GA</v>
      </c>
      <c r="K6304" t="str">
        <f>T("2296395434")</f>
        <v>2296395434</v>
      </c>
      <c r="L6304" t="str">
        <f>T("2296398252")</f>
        <v>2296398252</v>
      </c>
    </row>
    <row r="6305" spans="1:12" x14ac:dyDescent="0.35">
      <c r="A6305" t="str">
        <f t="shared" si="2431"/>
        <v>MARINE CORPS LOGISTICS COMMAND</v>
      </c>
      <c r="B6305" t="str">
        <f>T("814 RADFORD BLVD STE 20225")</f>
        <v>814 RADFORD BLVD STE 20225</v>
      </c>
      <c r="C6305" t="str">
        <f>T("BLDG 3700 ROOM 128")</f>
        <v>BLDG 3700 ROOM 128</v>
      </c>
      <c r="D6305" t="str">
        <f t="shared" si="2432"/>
        <v>ALBANY</v>
      </c>
      <c r="E6305" t="str">
        <f t="shared" si="2433"/>
        <v>GA</v>
      </c>
      <c r="F6305" t="str">
        <f>T("317040225")</f>
        <v>317040225</v>
      </c>
      <c r="G6305" t="str">
        <f>T("LSMC CODE P502 BLDG 3700 ROOM 201")</f>
        <v>LSMC CODE P502 BLDG 3700 ROOM 201</v>
      </c>
      <c r="H6305" t="str">
        <f>T("814 RADFORD BLVD STE 20225")</f>
        <v>814 RADFORD BLVD STE 20225</v>
      </c>
      <c r="I6305" t="str">
        <f t="shared" si="2434"/>
        <v>ALBANY</v>
      </c>
      <c r="J6305" t="str">
        <f t="shared" si="2435"/>
        <v>GA</v>
      </c>
      <c r="K6305" t="str">
        <f>T("2296395505")</f>
        <v>2296395505</v>
      </c>
      <c r="L6305" t="str">
        <f>T("2296399343")</f>
        <v>2296399343</v>
      </c>
    </row>
    <row r="6306" spans="1:12" x14ac:dyDescent="0.35">
      <c r="A6306" t="str">
        <f t="shared" si="2431"/>
        <v>MARINE CORPS LOGISTICS COMMAND</v>
      </c>
      <c r="B6306" t="str">
        <f>T("814 RADFORD BLVD STE 20230")</f>
        <v>814 RADFORD BLVD STE 20230</v>
      </c>
      <c r="C6306" t="str">
        <f>T("")</f>
        <v/>
      </c>
      <c r="D6306" t="str">
        <f t="shared" si="2432"/>
        <v>ALBANY</v>
      </c>
      <c r="E6306" t="str">
        <f t="shared" si="2433"/>
        <v>GA</v>
      </c>
      <c r="F6306" t="str">
        <f t="shared" ref="F6306:F6317" si="2437">T("317041130")</f>
        <v>317041130</v>
      </c>
      <c r="G6306" t="str">
        <f>T("814 RADFORD BLVD STE 20230")</f>
        <v>814 RADFORD BLVD STE 20230</v>
      </c>
      <c r="H6306" t="str">
        <f>T("")</f>
        <v/>
      </c>
      <c r="I6306" t="str">
        <f t="shared" si="2434"/>
        <v>ALBANY</v>
      </c>
      <c r="J6306" t="str">
        <f t="shared" si="2435"/>
        <v>GA</v>
      </c>
      <c r="K6306" t="str">
        <f>T("2296395726")</f>
        <v>2296395726</v>
      </c>
      <c r="L6306" t="str">
        <f>T("2296396807")</f>
        <v>2296396807</v>
      </c>
    </row>
    <row r="6307" spans="1:12" x14ac:dyDescent="0.35">
      <c r="A6307" t="str">
        <f t="shared" si="2431"/>
        <v>MARINE CORPS LOGISTICS COMMAND</v>
      </c>
      <c r="B6307" t="str">
        <f>T("814 RADFORD BLVD STE 20230")</f>
        <v>814 RADFORD BLVD STE 20230</v>
      </c>
      <c r="C6307" t="str">
        <f>T("")</f>
        <v/>
      </c>
      <c r="D6307" t="str">
        <f t="shared" si="2432"/>
        <v>ALBANY</v>
      </c>
      <c r="E6307" t="str">
        <f t="shared" si="2433"/>
        <v>GA</v>
      </c>
      <c r="F6307" t="str">
        <f t="shared" si="2437"/>
        <v>317041130</v>
      </c>
      <c r="G6307" t="str">
        <f>T("ATTN P603 BLDG 3700")</f>
        <v>ATTN P603 BLDG 3700</v>
      </c>
      <c r="H6307" t="str">
        <f>T("814 RADFORD BLVD STE 20230")</f>
        <v>814 RADFORD BLVD STE 20230</v>
      </c>
      <c r="I6307" t="str">
        <f t="shared" si="2434"/>
        <v>ALBANY</v>
      </c>
      <c r="J6307" t="str">
        <f t="shared" si="2435"/>
        <v>GA</v>
      </c>
      <c r="K6307" t="str">
        <f>T("2296396822")</f>
        <v>2296396822</v>
      </c>
      <c r="L6307" t="str">
        <f>T("2296398092")</f>
        <v>2296398092</v>
      </c>
    </row>
    <row r="6308" spans="1:12" x14ac:dyDescent="0.35">
      <c r="A6308" t="str">
        <f t="shared" si="2431"/>
        <v>MARINE CORPS LOGISTICS COMMAND</v>
      </c>
      <c r="B6308" t="str">
        <f>T("814 RADFORD BLVD STE 20240")</f>
        <v>814 RADFORD BLVD STE 20240</v>
      </c>
      <c r="C6308" t="str">
        <f>T("OPERATIONS DIV BLDG 3700")</f>
        <v>OPERATIONS DIV BLDG 3700</v>
      </c>
      <c r="D6308" t="str">
        <f t="shared" si="2432"/>
        <v>ALBANY</v>
      </c>
      <c r="E6308" t="str">
        <f t="shared" si="2433"/>
        <v>GA</v>
      </c>
      <c r="F6308" t="str">
        <f t="shared" si="2437"/>
        <v>317041130</v>
      </c>
      <c r="G6308" t="str">
        <f>T("814 RADFORD BLVD STE 20240")</f>
        <v>814 RADFORD BLVD STE 20240</v>
      </c>
      <c r="H6308" t="str">
        <f>T("OPERATIONS DIV BLDG 3700")</f>
        <v>OPERATIONS DIV BLDG 3700</v>
      </c>
      <c r="I6308" t="str">
        <f t="shared" si="2434"/>
        <v>ALBANY</v>
      </c>
      <c r="J6308" t="str">
        <f t="shared" si="2435"/>
        <v>GA</v>
      </c>
      <c r="K6308" t="str">
        <f>T("229-639-5425")</f>
        <v>229-639-5425</v>
      </c>
      <c r="L6308" t="str">
        <f>T("2296397477")</f>
        <v>2296397477</v>
      </c>
    </row>
    <row r="6309" spans="1:12" x14ac:dyDescent="0.35">
      <c r="A6309" t="str">
        <f t="shared" si="2431"/>
        <v>MARINE CORPS LOGISTICS COMMAND</v>
      </c>
      <c r="B6309" t="str">
        <f>T("814 RADFORD BLVD STE 20240")</f>
        <v>814 RADFORD BLVD STE 20240</v>
      </c>
      <c r="C6309" t="str">
        <f>T("OPERATIONS DIV BLDG 3700")</f>
        <v>OPERATIONS DIV BLDG 3700</v>
      </c>
      <c r="D6309" t="str">
        <f t="shared" si="2432"/>
        <v>ALBANY</v>
      </c>
      <c r="E6309" t="str">
        <f t="shared" si="2433"/>
        <v>GA</v>
      </c>
      <c r="F6309" t="str">
        <f t="shared" si="2437"/>
        <v>317041130</v>
      </c>
      <c r="G6309" t="str">
        <f>T("814 RADFORD BLVD STE 20240")</f>
        <v>814 RADFORD BLVD STE 20240</v>
      </c>
      <c r="H6309" t="str">
        <f>T("OPERATIONS DIV BLDG 3700")</f>
        <v>OPERATIONS DIV BLDG 3700</v>
      </c>
      <c r="I6309" t="str">
        <f t="shared" si="2434"/>
        <v>ALBANY</v>
      </c>
      <c r="J6309" t="str">
        <f t="shared" si="2435"/>
        <v>GA</v>
      </c>
      <c r="K6309" t="str">
        <f>T("2296395425")</f>
        <v>2296395425</v>
      </c>
      <c r="L6309" t="str">
        <f>T("2296395989")</f>
        <v>2296395989</v>
      </c>
    </row>
    <row r="6310" spans="1:12" x14ac:dyDescent="0.35">
      <c r="A6310" t="str">
        <f t="shared" si="2431"/>
        <v>MARINE CORPS LOGISTICS COMMAND</v>
      </c>
      <c r="B6310" t="str">
        <f>T("814 RADFORD BLVD STE 20250")</f>
        <v>814 RADFORD BLVD STE 20250</v>
      </c>
      <c r="C6310" t="str">
        <f t="shared" ref="C6310:C6315" si="2438">T("")</f>
        <v/>
      </c>
      <c r="D6310" t="str">
        <f t="shared" si="2432"/>
        <v>ALBANY</v>
      </c>
      <c r="E6310" t="str">
        <f t="shared" si="2433"/>
        <v>GA</v>
      </c>
      <c r="F6310" t="str">
        <f t="shared" si="2437"/>
        <v>317041130</v>
      </c>
      <c r="G6310" t="str">
        <f>T("814 RADFORD BLVD STE 20250")</f>
        <v>814 RADFORD BLVD STE 20250</v>
      </c>
      <c r="H6310" t="str">
        <f>T("")</f>
        <v/>
      </c>
      <c r="I6310" t="str">
        <f t="shared" si="2434"/>
        <v>ALBANY</v>
      </c>
      <c r="J6310" t="str">
        <f t="shared" si="2435"/>
        <v>GA</v>
      </c>
      <c r="K6310" t="str">
        <f>T("2296396174")</f>
        <v>2296396174</v>
      </c>
      <c r="L6310" t="str">
        <f>T("2296398878")</f>
        <v>2296398878</v>
      </c>
    </row>
    <row r="6311" spans="1:12" x14ac:dyDescent="0.35">
      <c r="A6311" t="str">
        <f t="shared" si="2431"/>
        <v>MARINE CORPS LOGISTICS COMMAND</v>
      </c>
      <c r="B6311" t="str">
        <f>T("814 RADFORD BLVD STE 20250")</f>
        <v>814 RADFORD BLVD STE 20250</v>
      </c>
      <c r="C6311" t="str">
        <f t="shared" si="2438"/>
        <v/>
      </c>
      <c r="D6311" t="str">
        <f t="shared" si="2432"/>
        <v>ALBANY</v>
      </c>
      <c r="E6311" t="str">
        <f t="shared" si="2433"/>
        <v>GA</v>
      </c>
      <c r="F6311" t="str">
        <f t="shared" si="2437"/>
        <v>317041130</v>
      </c>
      <c r="G6311" t="str">
        <f>T("ATTN P801 BLDG 1121 DOOR 10")</f>
        <v>ATTN P801 BLDG 1121 DOOR 10</v>
      </c>
      <c r="H6311" t="str">
        <f>T("814 RADFORD BLVD STE 20302")</f>
        <v>814 RADFORD BLVD STE 20302</v>
      </c>
      <c r="I6311" t="str">
        <f t="shared" si="2434"/>
        <v>ALBANY</v>
      </c>
      <c r="J6311" t="str">
        <f t="shared" si="2435"/>
        <v>GA</v>
      </c>
      <c r="K6311" t="str">
        <f>T("2296396174")</f>
        <v>2296396174</v>
      </c>
      <c r="L6311" t="str">
        <f>T("2296395905")</f>
        <v>2296395905</v>
      </c>
    </row>
    <row r="6312" spans="1:12" x14ac:dyDescent="0.35">
      <c r="A6312" t="str">
        <f t="shared" si="2431"/>
        <v>MARINE CORPS LOGISTICS COMMAND</v>
      </c>
      <c r="B6312" t="str">
        <f>T("814 RADFORD BLVD STE 20250")</f>
        <v>814 RADFORD BLVD STE 20250</v>
      </c>
      <c r="C6312" t="str">
        <f t="shared" si="2438"/>
        <v/>
      </c>
      <c r="D6312" t="str">
        <f t="shared" si="2432"/>
        <v>ALBANY</v>
      </c>
      <c r="E6312" t="str">
        <f t="shared" si="2433"/>
        <v>GA</v>
      </c>
      <c r="F6312" t="str">
        <f t="shared" si="2437"/>
        <v>317041130</v>
      </c>
      <c r="G6312" t="str">
        <f>T("ATTN P801 BLDG 1121 DOOR 10")</f>
        <v>ATTN P801 BLDG 1121 DOOR 10</v>
      </c>
      <c r="H6312" t="str">
        <f>T("814 RADFORD BLVD STE 20302")</f>
        <v>814 RADFORD BLVD STE 20302</v>
      </c>
      <c r="I6312" t="str">
        <f t="shared" si="2434"/>
        <v>ALBANY</v>
      </c>
      <c r="J6312" t="str">
        <f t="shared" si="2435"/>
        <v>GA</v>
      </c>
      <c r="K6312" t="str">
        <f>T("2296396174")</f>
        <v>2296396174</v>
      </c>
      <c r="L6312" t="str">
        <f>T("2296399654")</f>
        <v>2296399654</v>
      </c>
    </row>
    <row r="6313" spans="1:12" x14ac:dyDescent="0.35">
      <c r="A6313" t="str">
        <f t="shared" si="2431"/>
        <v>MARINE CORPS LOGISTICS COMMAND</v>
      </c>
      <c r="B6313" t="str">
        <f>T("814 RADFORD BLVD STE 20250")</f>
        <v>814 RADFORD BLVD STE 20250</v>
      </c>
      <c r="C6313" t="str">
        <f t="shared" si="2438"/>
        <v/>
      </c>
      <c r="D6313" t="str">
        <f t="shared" si="2432"/>
        <v>ALBANY</v>
      </c>
      <c r="E6313" t="str">
        <f t="shared" si="2433"/>
        <v>GA</v>
      </c>
      <c r="F6313" t="str">
        <f t="shared" si="2437"/>
        <v>317041130</v>
      </c>
      <c r="G6313" t="str">
        <f>T("ATTN P821A BLDG 1121 DR 10")</f>
        <v>ATTN P821A BLDG 1121 DR 10</v>
      </c>
      <c r="H6313" t="str">
        <f>T("814 RADFORD BLVD STE 20250")</f>
        <v>814 RADFORD BLVD STE 20250</v>
      </c>
      <c r="I6313" t="str">
        <f t="shared" si="2434"/>
        <v>ALBANY</v>
      </c>
      <c r="J6313" t="str">
        <f t="shared" si="2435"/>
        <v>GA</v>
      </c>
      <c r="K6313" t="str">
        <f>T("2296395209")</f>
        <v>2296395209</v>
      </c>
      <c r="L6313" t="str">
        <f>T("2296395412")</f>
        <v>2296395412</v>
      </c>
    </row>
    <row r="6314" spans="1:12" x14ac:dyDescent="0.35">
      <c r="A6314" t="str">
        <f t="shared" si="2431"/>
        <v>MARINE CORPS LOGISTICS COMMAND</v>
      </c>
      <c r="B6314" t="str">
        <f>T("814 RADFORD BLVD STE 20260")</f>
        <v>814 RADFORD BLVD STE 20260</v>
      </c>
      <c r="C6314" t="str">
        <f t="shared" si="2438"/>
        <v/>
      </c>
      <c r="D6314" t="str">
        <f t="shared" si="2432"/>
        <v>ALBANY</v>
      </c>
      <c r="E6314" t="str">
        <f t="shared" si="2433"/>
        <v>GA</v>
      </c>
      <c r="F6314" t="str">
        <f t="shared" si="2437"/>
        <v>317041130</v>
      </c>
      <c r="G6314" t="str">
        <f>T("814 RADFORD BLVD STE 20260")</f>
        <v>814 RADFORD BLVD STE 20260</v>
      </c>
      <c r="H6314" t="str">
        <f>T("")</f>
        <v/>
      </c>
      <c r="I6314" t="str">
        <f t="shared" si="2434"/>
        <v>ALBANY</v>
      </c>
      <c r="J6314" t="str">
        <f t="shared" si="2435"/>
        <v>GA</v>
      </c>
      <c r="K6314" t="str">
        <f>T("2296395711")</f>
        <v>2296395711</v>
      </c>
      <c r="L6314" t="str">
        <f>T("2296396509")</f>
        <v>2296396509</v>
      </c>
    </row>
    <row r="6315" spans="1:12" x14ac:dyDescent="0.35">
      <c r="A6315" t="str">
        <f t="shared" si="2431"/>
        <v>MARINE CORPS LOGISTICS COMMAND</v>
      </c>
      <c r="B6315" t="str">
        <f>T("814 RADFORD BLVD STE 20260")</f>
        <v>814 RADFORD BLVD STE 20260</v>
      </c>
      <c r="C6315" t="str">
        <f t="shared" si="2438"/>
        <v/>
      </c>
      <c r="D6315" t="str">
        <f t="shared" si="2432"/>
        <v>ALBANY</v>
      </c>
      <c r="E6315" t="str">
        <f t="shared" si="2433"/>
        <v>GA</v>
      </c>
      <c r="F6315" t="str">
        <f t="shared" si="2437"/>
        <v>317041130</v>
      </c>
      <c r="G6315" t="str">
        <f>T("BLDG 3700 3RD FLOOR")</f>
        <v>BLDG 3700 3RD FLOOR</v>
      </c>
      <c r="H6315" t="str">
        <f>T("814 RADFORD BLVD STE 20260")</f>
        <v>814 RADFORD BLVD STE 20260</v>
      </c>
      <c r="I6315" t="str">
        <f t="shared" si="2434"/>
        <v>ALBANY</v>
      </c>
      <c r="J6315" t="str">
        <f t="shared" si="2435"/>
        <v>GA</v>
      </c>
      <c r="K6315" t="str">
        <f>T("2296395704")</f>
        <v>2296395704</v>
      </c>
      <c r="L6315" t="str">
        <f>T("2296395702")</f>
        <v>2296395702</v>
      </c>
    </row>
    <row r="6316" spans="1:12" x14ac:dyDescent="0.35">
      <c r="A6316" t="str">
        <f t="shared" si="2431"/>
        <v>MARINE CORPS LOGISTICS COMMAND</v>
      </c>
      <c r="B6316" t="str">
        <f>T("814 RADFORD BLVD STE 20270")</f>
        <v>814 RADFORD BLVD STE 20270</v>
      </c>
      <c r="C6316" t="str">
        <f>T("BLDG 3700 2ND FLOOR RM NE240")</f>
        <v>BLDG 3700 2ND FLOOR RM NE240</v>
      </c>
      <c r="D6316" t="str">
        <f t="shared" si="2432"/>
        <v>ALBANY</v>
      </c>
      <c r="E6316" t="str">
        <f t="shared" si="2433"/>
        <v>GA</v>
      </c>
      <c r="F6316" t="str">
        <f t="shared" si="2437"/>
        <v>317041130</v>
      </c>
      <c r="G6316" t="str">
        <f>T("814 RADFORD BLVD STE 20270")</f>
        <v>814 RADFORD BLVD STE 20270</v>
      </c>
      <c r="H6316" t="str">
        <f>T("BLDG 3700 2ND FLOOR RM NE240")</f>
        <v>BLDG 3700 2ND FLOOR RM NE240</v>
      </c>
      <c r="I6316" t="str">
        <f t="shared" si="2434"/>
        <v>ALBANY</v>
      </c>
      <c r="J6316" t="str">
        <f t="shared" si="2435"/>
        <v>GA</v>
      </c>
      <c r="K6316" t="str">
        <f>T("2296396713")</f>
        <v>2296396713</v>
      </c>
      <c r="L6316" t="str">
        <f>T("2296396729")</f>
        <v>2296396729</v>
      </c>
    </row>
    <row r="6317" spans="1:12" x14ac:dyDescent="0.35">
      <c r="A6317" t="str">
        <f t="shared" si="2431"/>
        <v>MARINE CORPS LOGISTICS COMMAND</v>
      </c>
      <c r="B6317" t="str">
        <f>T("814 RADFORD BLVD STE 20270")</f>
        <v>814 RADFORD BLVD STE 20270</v>
      </c>
      <c r="C6317" t="str">
        <f>T("BLDG 3700 2ND FLOOR RM NE240")</f>
        <v>BLDG 3700 2ND FLOOR RM NE240</v>
      </c>
      <c r="D6317" t="str">
        <f t="shared" si="2432"/>
        <v>ALBANY</v>
      </c>
      <c r="E6317" t="str">
        <f t="shared" si="2433"/>
        <v>GA</v>
      </c>
      <c r="F6317" t="str">
        <f t="shared" si="2437"/>
        <v>317041130</v>
      </c>
      <c r="G6317" t="str">
        <f>T("814 RADFORD BLVD STE 20270")</f>
        <v>814 RADFORD BLVD STE 20270</v>
      </c>
      <c r="H6317" t="str">
        <f>T("BLDG 3700 2ND FLOOR ROOM NE240")</f>
        <v>BLDG 3700 2ND FLOOR ROOM NE240</v>
      </c>
      <c r="I6317" t="str">
        <f t="shared" si="2434"/>
        <v>ALBANY</v>
      </c>
      <c r="J6317" t="str">
        <f t="shared" si="2435"/>
        <v>GA</v>
      </c>
      <c r="K6317" t="str">
        <f>T("2296396713")</f>
        <v>2296396713</v>
      </c>
      <c r="L6317" t="str">
        <f>T("2296396729")</f>
        <v>2296396729</v>
      </c>
    </row>
    <row r="6318" spans="1:12" x14ac:dyDescent="0.35">
      <c r="A6318" t="str">
        <f t="shared" si="2431"/>
        <v>MARINE CORPS LOGISTICS COMMAND</v>
      </c>
      <c r="B6318" t="str">
        <f>T("814 RADFORD BLVD STE 20280")</f>
        <v>814 RADFORD BLVD STE 20280</v>
      </c>
      <c r="C6318" t="str">
        <f>T("ATTN S0834 BLG 3700 RM 103 S")</f>
        <v>ATTN S0834 BLG 3700 RM 103 S</v>
      </c>
      <c r="D6318" t="str">
        <f t="shared" si="2432"/>
        <v>ALBANY</v>
      </c>
      <c r="E6318" t="str">
        <f t="shared" si="2433"/>
        <v>GA</v>
      </c>
      <c r="F6318" t="str">
        <f>T("317049998")</f>
        <v>317049998</v>
      </c>
      <c r="G6318" t="str">
        <f>T("814 RADFORD BLVD STE 20280")</f>
        <v>814 RADFORD BLVD STE 20280</v>
      </c>
      <c r="H6318" t="str">
        <f>T("ATTN S0834 BLG 3700 RM 103 S")</f>
        <v>ATTN S0834 BLG 3700 RM 103 S</v>
      </c>
      <c r="I6318" t="str">
        <f t="shared" si="2434"/>
        <v>ALBANY</v>
      </c>
      <c r="J6318" t="str">
        <f t="shared" si="2435"/>
        <v>GA</v>
      </c>
      <c r="K6318" t="str">
        <f>T("2296396694")</f>
        <v>2296396694</v>
      </c>
      <c r="L6318" t="str">
        <f>T("2296396623")</f>
        <v>2296396623</v>
      </c>
    </row>
    <row r="6319" spans="1:12" x14ac:dyDescent="0.35">
      <c r="A6319" t="str">
        <f t="shared" ref="A6319:A6350" si="2439">T("MARINE CORPS LOGISTICS COMMAND")</f>
        <v>MARINE CORPS LOGISTICS COMMAND</v>
      </c>
      <c r="B6319" t="str">
        <f>T("814 RADFORD BLVD STE 20280")</f>
        <v>814 RADFORD BLVD STE 20280</v>
      </c>
      <c r="C6319" t="str">
        <f>T("ATTN S0834 BLG 3700 RM 103 S")</f>
        <v>ATTN S0834 BLG 3700 RM 103 S</v>
      </c>
      <c r="D6319" t="str">
        <f t="shared" si="2432"/>
        <v>ALBANY</v>
      </c>
      <c r="E6319" t="str">
        <f t="shared" si="2433"/>
        <v>GA</v>
      </c>
      <c r="F6319" t="str">
        <f>T("317049998")</f>
        <v>317049998</v>
      </c>
      <c r="G6319" t="str">
        <f>T("ATTN S0834 BLDG 3700")</f>
        <v>ATTN S0834 BLDG 3700</v>
      </c>
      <c r="H6319" t="str">
        <f>T("814 RADFORD BLVD STE 20280")</f>
        <v>814 RADFORD BLVD STE 20280</v>
      </c>
      <c r="I6319" t="str">
        <f t="shared" si="2434"/>
        <v>ALBANY</v>
      </c>
      <c r="J6319" t="str">
        <f t="shared" si="2435"/>
        <v>GA</v>
      </c>
      <c r="K6319" t="str">
        <f>T("000000000000000000")</f>
        <v>000000000000000000</v>
      </c>
      <c r="L6319" t="str">
        <f>T("2296397138")</f>
        <v>2296397138</v>
      </c>
    </row>
    <row r="6320" spans="1:12" x14ac:dyDescent="0.35">
      <c r="A6320" t="str">
        <f t="shared" si="2439"/>
        <v>MARINE CORPS LOGISTICS COMMAND</v>
      </c>
      <c r="B6320" t="str">
        <f>T("814 RADFORD BLVD STE 20280")</f>
        <v>814 RADFORD BLVD STE 20280</v>
      </c>
      <c r="C6320" t="str">
        <f>T("ATTN S0834 BLG 3700 RM 103 S")</f>
        <v>ATTN S0834 BLG 3700 RM 103 S</v>
      </c>
      <c r="D6320" t="str">
        <f t="shared" si="2432"/>
        <v>ALBANY</v>
      </c>
      <c r="E6320" t="str">
        <f t="shared" si="2433"/>
        <v>GA</v>
      </c>
      <c r="F6320" t="str">
        <f>T("317049998")</f>
        <v>317049998</v>
      </c>
      <c r="G6320" t="str">
        <f>T("ATTN S0834 BLDG 3700")</f>
        <v>ATTN S0834 BLDG 3700</v>
      </c>
      <c r="H6320" t="str">
        <f>T("814 RADFORD BLVD STE 20280")</f>
        <v>814 RADFORD BLVD STE 20280</v>
      </c>
      <c r="I6320" t="str">
        <f t="shared" si="2434"/>
        <v>ALBANY</v>
      </c>
      <c r="J6320" t="str">
        <f t="shared" si="2435"/>
        <v>GA</v>
      </c>
      <c r="K6320" t="str">
        <f>T("000000000000000000")</f>
        <v>000000000000000000</v>
      </c>
      <c r="L6320" t="str">
        <f>T("2296398763")</f>
        <v>2296398763</v>
      </c>
    </row>
    <row r="6321" spans="1:12" x14ac:dyDescent="0.35">
      <c r="A6321" t="str">
        <f t="shared" si="2439"/>
        <v>MARINE CORPS LOGISTICS COMMAND</v>
      </c>
      <c r="B6321" t="str">
        <f>T("814 RADFORD BLVD STE 20325")</f>
        <v>814 RADFORD BLVD STE 20325</v>
      </c>
      <c r="C6321" t="str">
        <f>T("CODE 881 BLDG 2200")</f>
        <v>CODE 881 BLDG 2200</v>
      </c>
      <c r="D6321" t="str">
        <f t="shared" si="2432"/>
        <v>ALBANY</v>
      </c>
      <c r="E6321" t="str">
        <f t="shared" si="2433"/>
        <v>GA</v>
      </c>
      <c r="F6321" t="str">
        <f>T("317040325")</f>
        <v>317040325</v>
      </c>
      <c r="G6321" t="str">
        <f>T("814 RADFORD BLVD STE 20325")</f>
        <v>814 RADFORD BLVD STE 20325</v>
      </c>
      <c r="H6321" t="str">
        <f>T("CODE 112 BLDG 2200")</f>
        <v>CODE 112 BLDG 2200</v>
      </c>
      <c r="I6321" t="str">
        <f t="shared" si="2434"/>
        <v>ALBANY</v>
      </c>
      <c r="J6321" t="str">
        <f t="shared" si="2435"/>
        <v>GA</v>
      </c>
      <c r="K6321" t="str">
        <f>T("2296396844")</f>
        <v>2296396844</v>
      </c>
      <c r="L6321" t="str">
        <f>T("2296396531")</f>
        <v>2296396531</v>
      </c>
    </row>
    <row r="6322" spans="1:12" x14ac:dyDescent="0.35">
      <c r="A6322" t="str">
        <f t="shared" si="2439"/>
        <v>MARINE CORPS LOGISTICS COMMAND</v>
      </c>
      <c r="B6322" t="str">
        <f>T("814 RADFORD BLVD STE 20325")</f>
        <v>814 RADFORD BLVD STE 20325</v>
      </c>
      <c r="C6322" t="str">
        <f>T("CODE 881 BLDG 2200")</f>
        <v>CODE 881 BLDG 2200</v>
      </c>
      <c r="D6322" t="str">
        <f t="shared" si="2432"/>
        <v>ALBANY</v>
      </c>
      <c r="E6322" t="str">
        <f t="shared" si="2433"/>
        <v>GA</v>
      </c>
      <c r="F6322" t="str">
        <f>T("317040325")</f>
        <v>317040325</v>
      </c>
      <c r="G6322" t="str">
        <f>T("814 RADFORD BLVD STE 20325")</f>
        <v>814 RADFORD BLVD STE 20325</v>
      </c>
      <c r="H6322" t="str">
        <f>T("CODE 881 BLDG 2200")</f>
        <v>CODE 881 BLDG 2200</v>
      </c>
      <c r="I6322" t="str">
        <f t="shared" si="2434"/>
        <v>ALBANY</v>
      </c>
      <c r="J6322" t="str">
        <f t="shared" si="2435"/>
        <v>GA</v>
      </c>
      <c r="K6322" t="str">
        <f>T("2296396844")</f>
        <v>2296396844</v>
      </c>
      <c r="L6322" t="str">
        <f>T("2296398463")</f>
        <v>2296398463</v>
      </c>
    </row>
    <row r="6323" spans="1:12" x14ac:dyDescent="0.35">
      <c r="A6323" t="str">
        <f t="shared" si="2439"/>
        <v>MARINE CORPS LOGISTICS COMMAND</v>
      </c>
      <c r="B6323" t="str">
        <f>T("814 RADFORD BLVD STE 20325")</f>
        <v>814 RADFORD BLVD STE 20325</v>
      </c>
      <c r="C6323" t="str">
        <f>T("CODE 881 BLDG 2200")</f>
        <v>CODE 881 BLDG 2200</v>
      </c>
      <c r="D6323" t="str">
        <f t="shared" si="2432"/>
        <v>ALBANY</v>
      </c>
      <c r="E6323" t="str">
        <f t="shared" si="2433"/>
        <v>GA</v>
      </c>
      <c r="F6323" t="str">
        <f t="shared" ref="F6323:F6328" si="2440">T("317049998")</f>
        <v>317049998</v>
      </c>
      <c r="G6323" t="str">
        <f>T("814 RADFORD BLVD STE 20325")</f>
        <v>814 RADFORD BLVD STE 20325</v>
      </c>
      <c r="H6323" t="str">
        <f>T("CODE 112 BLDG 2200")</f>
        <v>CODE 112 BLDG 2200</v>
      </c>
      <c r="I6323" t="str">
        <f t="shared" si="2434"/>
        <v>ALBANY</v>
      </c>
      <c r="J6323" t="str">
        <f t="shared" si="2435"/>
        <v>GA</v>
      </c>
      <c r="K6323" t="str">
        <f>T("2296396844")</f>
        <v>2296396844</v>
      </c>
      <c r="L6323" t="str">
        <f>T("2296396531")</f>
        <v>2296396531</v>
      </c>
    </row>
    <row r="6324" spans="1:12" x14ac:dyDescent="0.35">
      <c r="A6324" t="str">
        <f t="shared" si="2439"/>
        <v>MARINE CORPS LOGISTICS COMMAND</v>
      </c>
      <c r="B6324" t="str">
        <f>T("814 RADFORD BLVD STE 20325")</f>
        <v>814 RADFORD BLVD STE 20325</v>
      </c>
      <c r="C6324" t="str">
        <f>T("CODE 881 BLDG 2200")</f>
        <v>CODE 881 BLDG 2200</v>
      </c>
      <c r="D6324" t="str">
        <f t="shared" si="2432"/>
        <v>ALBANY</v>
      </c>
      <c r="E6324" t="str">
        <f t="shared" si="2433"/>
        <v>GA</v>
      </c>
      <c r="F6324" t="str">
        <f t="shared" si="2440"/>
        <v>317049998</v>
      </c>
      <c r="G6324" t="str">
        <f>T("814 RADFORD BLVD STE 20325")</f>
        <v>814 RADFORD BLVD STE 20325</v>
      </c>
      <c r="H6324" t="str">
        <f>T("CODE 881 BLDG 2200")</f>
        <v>CODE 881 BLDG 2200</v>
      </c>
      <c r="I6324" t="str">
        <f t="shared" si="2434"/>
        <v>ALBANY</v>
      </c>
      <c r="J6324" t="str">
        <f t="shared" si="2435"/>
        <v>GA</v>
      </c>
      <c r="K6324" t="str">
        <f>T("2296396844")</f>
        <v>2296396844</v>
      </c>
      <c r="L6324" t="str">
        <f>T("2296396937")</f>
        <v>2296396937</v>
      </c>
    </row>
    <row r="6325" spans="1:12" x14ac:dyDescent="0.35">
      <c r="A6325" t="str">
        <f t="shared" si="2439"/>
        <v>MARINE CORPS LOGISTICS COMMAND</v>
      </c>
      <c r="B6325" t="str">
        <f>T("814 RADFORD BLVD STE 20344")</f>
        <v>814 RADFORD BLVD STE 20344</v>
      </c>
      <c r="C6325" t="str">
        <f>T("")</f>
        <v/>
      </c>
      <c r="D6325" t="str">
        <f t="shared" si="2432"/>
        <v>ALBANY</v>
      </c>
      <c r="E6325" t="str">
        <f t="shared" si="2433"/>
        <v>GA</v>
      </c>
      <c r="F6325" t="str">
        <f t="shared" si="2440"/>
        <v>317049998</v>
      </c>
      <c r="G6325" t="str">
        <f>T("814 RADFORD BLVD STE 20344")</f>
        <v>814 RADFORD BLVD STE 20344</v>
      </c>
      <c r="H6325" t="str">
        <f>T("")</f>
        <v/>
      </c>
      <c r="I6325" t="str">
        <f t="shared" si="2434"/>
        <v>ALBANY</v>
      </c>
      <c r="J6325" t="str">
        <f t="shared" si="2435"/>
        <v>GA</v>
      </c>
      <c r="K6325" t="str">
        <f>T("000000000000000000")</f>
        <v>000000000000000000</v>
      </c>
      <c r="L6325" t="str">
        <f>T("2296397765")</f>
        <v>2296397765</v>
      </c>
    </row>
    <row r="6326" spans="1:12" x14ac:dyDescent="0.35">
      <c r="A6326" t="str">
        <f t="shared" si="2439"/>
        <v>MARINE CORPS LOGISTICS COMMAND</v>
      </c>
      <c r="B6326" t="str">
        <f>T("814 RADFORD BLVD STE 20344")</f>
        <v>814 RADFORD BLVD STE 20344</v>
      </c>
      <c r="C6326" t="str">
        <f>T("")</f>
        <v/>
      </c>
      <c r="D6326" t="str">
        <f t="shared" si="2432"/>
        <v>ALBANY</v>
      </c>
      <c r="E6326" t="str">
        <f t="shared" si="2433"/>
        <v>GA</v>
      </c>
      <c r="F6326" t="str">
        <f t="shared" si="2440"/>
        <v>317049998</v>
      </c>
      <c r="G6326" t="str">
        <f>T("814 RADFORD BLVD STE 20344")</f>
        <v>814 RADFORD BLVD STE 20344</v>
      </c>
      <c r="H6326" t="str">
        <f>T("")</f>
        <v/>
      </c>
      <c r="I6326" t="str">
        <f t="shared" si="2434"/>
        <v>ALBANY</v>
      </c>
      <c r="J6326" t="str">
        <f t="shared" si="2435"/>
        <v>GA</v>
      </c>
      <c r="K6326" t="str">
        <f>T("2296396882")</f>
        <v>2296396882</v>
      </c>
      <c r="L6326" t="str">
        <f>T("2296396518")</f>
        <v>2296396518</v>
      </c>
    </row>
    <row r="6327" spans="1:12" x14ac:dyDescent="0.35">
      <c r="A6327" t="str">
        <f t="shared" si="2439"/>
        <v>MARINE CORPS LOGISTICS COMMAND</v>
      </c>
      <c r="B6327" t="str">
        <f>T("ATTN S05 BLDG 3500 RM 510")</f>
        <v>ATTN S05 BLDG 3500 RM 510</v>
      </c>
      <c r="C6327" t="str">
        <f>T("814 RADFORD BLVD STE 20207")</f>
        <v>814 RADFORD BLVD STE 20207</v>
      </c>
      <c r="D6327" t="str">
        <f t="shared" si="2432"/>
        <v>ALBANY</v>
      </c>
      <c r="E6327" t="str">
        <f t="shared" si="2433"/>
        <v>GA</v>
      </c>
      <c r="F6327" t="str">
        <f t="shared" si="2440"/>
        <v>317049998</v>
      </c>
      <c r="G6327" t="str">
        <f>T("ATTN S05 BLDG 3500 RM 510")</f>
        <v>ATTN S05 BLDG 3500 RM 510</v>
      </c>
      <c r="H6327" t="str">
        <f>T("814 RADFORD BLVD STE 20207")</f>
        <v>814 RADFORD BLVD STE 20207</v>
      </c>
      <c r="I6327" t="str">
        <f t="shared" si="2434"/>
        <v>ALBANY</v>
      </c>
      <c r="J6327" t="str">
        <f t="shared" si="2435"/>
        <v>GA</v>
      </c>
      <c r="K6327" t="str">
        <f>T("2296396333")</f>
        <v>2296396333</v>
      </c>
      <c r="L6327" t="str">
        <f>T("2296395449")</f>
        <v>2296395449</v>
      </c>
    </row>
    <row r="6328" spans="1:12" x14ac:dyDescent="0.35">
      <c r="A6328" t="str">
        <f t="shared" si="2439"/>
        <v>MARINE CORPS LOGISTICS COMMAND</v>
      </c>
      <c r="B6328" t="str">
        <f>T("ATTN S05 BLDG 3500 RM 510")</f>
        <v>ATTN S05 BLDG 3500 RM 510</v>
      </c>
      <c r="C6328" t="str">
        <f>T("814 RADFORD BLVD STE 20207")</f>
        <v>814 RADFORD BLVD STE 20207</v>
      </c>
      <c r="D6328" t="str">
        <f t="shared" si="2432"/>
        <v>ALBANY</v>
      </c>
      <c r="E6328" t="str">
        <f t="shared" si="2433"/>
        <v>GA</v>
      </c>
      <c r="F6328" t="str">
        <f t="shared" si="2440"/>
        <v>317049998</v>
      </c>
      <c r="G6328" t="str">
        <f>T("ATTN S05 BLDG 3500 ROOM 510")</f>
        <v>ATTN S05 BLDG 3500 ROOM 510</v>
      </c>
      <c r="H6328" t="str">
        <f>T("814 RADFORD BLVD STE 20207")</f>
        <v>814 RADFORD BLVD STE 20207</v>
      </c>
      <c r="I6328" t="str">
        <f t="shared" si="2434"/>
        <v>ALBANY</v>
      </c>
      <c r="J6328" t="str">
        <f t="shared" si="2435"/>
        <v>GA</v>
      </c>
      <c r="K6328" t="str">
        <f>T("2296396333")</f>
        <v>2296396333</v>
      </c>
      <c r="L6328" t="str">
        <f>T("2296395449")</f>
        <v>2296395449</v>
      </c>
    </row>
    <row r="6329" spans="1:12" x14ac:dyDescent="0.35">
      <c r="A6329" t="str">
        <f t="shared" si="2439"/>
        <v>MARINE CORPS LOGISTICS COMMAND</v>
      </c>
      <c r="B6329" t="str">
        <f>T("BLDG 3700 DOOR 310 E/B")</f>
        <v>BLDG 3700 DOOR 310 E/B</v>
      </c>
      <c r="C6329" t="str">
        <f>T("PO DRAWER 43019")</f>
        <v>PO DRAWER 43019</v>
      </c>
      <c r="D6329" t="str">
        <f t="shared" si="2432"/>
        <v>ALBANY</v>
      </c>
      <c r="E6329" t="str">
        <f t="shared" si="2433"/>
        <v>GA</v>
      </c>
      <c r="F6329" t="str">
        <f>T("317043019")</f>
        <v>317043019</v>
      </c>
      <c r="G6329" t="str">
        <f>T("BLDG 3700 DOOR 310 E/B")</f>
        <v>BLDG 3700 DOOR 310 E/B</v>
      </c>
      <c r="H6329" t="str">
        <f>T("PO DRAWER 43019")</f>
        <v>PO DRAWER 43019</v>
      </c>
      <c r="I6329" t="str">
        <f t="shared" si="2434"/>
        <v>ALBANY</v>
      </c>
      <c r="J6329" t="str">
        <f t="shared" si="2435"/>
        <v>GA</v>
      </c>
      <c r="K6329" t="str">
        <f>T("000000000000000000")</f>
        <v>000000000000000000</v>
      </c>
      <c r="L6329" t="str">
        <f>T("2296396729")</f>
        <v>2296396729</v>
      </c>
    </row>
    <row r="6330" spans="1:12" x14ac:dyDescent="0.35">
      <c r="A6330" t="str">
        <f t="shared" si="2439"/>
        <v>MARINE CORPS LOGISTICS COMMAND</v>
      </c>
      <c r="B6330" t="str">
        <f>T("BLDG 3700 DOOR 310 E/B")</f>
        <v>BLDG 3700 DOOR 310 E/B</v>
      </c>
      <c r="C6330" t="str">
        <f>T("PO DRAWER 43019")</f>
        <v>PO DRAWER 43019</v>
      </c>
      <c r="D6330" t="str">
        <f t="shared" si="2432"/>
        <v>ALBANY</v>
      </c>
      <c r="E6330" t="str">
        <f t="shared" si="2433"/>
        <v>GA</v>
      </c>
      <c r="F6330" t="str">
        <f>T("317043019")</f>
        <v>317043019</v>
      </c>
      <c r="G6330" t="str">
        <f>T("BLDG 3700 DOOR 310 E/B")</f>
        <v>BLDG 3700 DOOR 310 E/B</v>
      </c>
      <c r="H6330" t="str">
        <f>T("PO DRAWER 43019")</f>
        <v>PO DRAWER 43019</v>
      </c>
      <c r="I6330" t="str">
        <f t="shared" si="2434"/>
        <v>ALBANY</v>
      </c>
      <c r="J6330" t="str">
        <f t="shared" si="2435"/>
        <v>GA</v>
      </c>
      <c r="K6330" t="str">
        <f>T("2296396713")</f>
        <v>2296396713</v>
      </c>
      <c r="L6330" t="str">
        <f>T("2296396779")</f>
        <v>2296396779</v>
      </c>
    </row>
    <row r="6331" spans="1:12" x14ac:dyDescent="0.35">
      <c r="A6331" t="str">
        <f t="shared" si="2439"/>
        <v>MARINE CORPS LOGISTICS COMMAND</v>
      </c>
      <c r="B6331" t="str">
        <f>T("BOX 110880 BLDG 573")</f>
        <v>BOX 110880 BLDG 573</v>
      </c>
      <c r="C6331" t="str">
        <f>T("")</f>
        <v/>
      </c>
      <c r="D6331" t="str">
        <f>T("BARSTOW")</f>
        <v>BARSTOW</v>
      </c>
      <c r="E6331" t="str">
        <f>T("CA")</f>
        <v>CA</v>
      </c>
      <c r="F6331" t="str">
        <f>T("923115050")</f>
        <v>923115050</v>
      </c>
      <c r="G6331" t="str">
        <f>T("BOX 110880 BLDG 573")</f>
        <v>BOX 110880 BLDG 573</v>
      </c>
      <c r="H6331" t="str">
        <f>T("")</f>
        <v/>
      </c>
      <c r="I6331" t="str">
        <f>T("BARSTOW")</f>
        <v>BARSTOW</v>
      </c>
      <c r="J6331" t="str">
        <f>T("CA")</f>
        <v>CA</v>
      </c>
      <c r="K6331" t="str">
        <f>T("7605777142")</f>
        <v>7605777142</v>
      </c>
      <c r="L6331" t="str">
        <f>T("7605777168")</f>
        <v>7605777168</v>
      </c>
    </row>
    <row r="6332" spans="1:12" x14ac:dyDescent="0.35">
      <c r="A6332" t="str">
        <f t="shared" si="2439"/>
        <v>MARINE CORPS LOGISTICS COMMAND</v>
      </c>
      <c r="B6332" t="str">
        <f>T("CODE 884 BLDG 2200 MCA")</f>
        <v>CODE 884 BLDG 2200 MCA</v>
      </c>
      <c r="C6332" t="str">
        <f t="shared" ref="C6332:C6342" si="2441">T("814 RADFORD BLVD STE 20325")</f>
        <v>814 RADFORD BLVD STE 20325</v>
      </c>
      <c r="D6332" t="str">
        <f t="shared" ref="D6332:D6342" si="2442">T("ALBANY")</f>
        <v>ALBANY</v>
      </c>
      <c r="E6332" t="str">
        <f t="shared" ref="E6332:E6342" si="2443">T("GA")</f>
        <v>GA</v>
      </c>
      <c r="F6332" t="str">
        <f>T("317049998")</f>
        <v>317049998</v>
      </c>
      <c r="G6332" t="str">
        <f>T("CODE 112 BLDG 2200")</f>
        <v>CODE 112 BLDG 2200</v>
      </c>
      <c r="H6332" t="str">
        <f t="shared" ref="H6332:H6342" si="2444">T("814 RADFORD BLVD STE 20325")</f>
        <v>814 RADFORD BLVD STE 20325</v>
      </c>
      <c r="I6332" t="str">
        <f t="shared" ref="I6332:I6342" si="2445">T("ALBANY")</f>
        <v>ALBANY</v>
      </c>
      <c r="J6332" t="str">
        <f t="shared" ref="J6332:J6342" si="2446">T("GA")</f>
        <v>GA</v>
      </c>
      <c r="K6332" t="str">
        <f>T("2296396844")</f>
        <v>2296396844</v>
      </c>
      <c r="L6332" t="str">
        <f>T("2296395341")</f>
        <v>2296395341</v>
      </c>
    </row>
    <row r="6333" spans="1:12" x14ac:dyDescent="0.35">
      <c r="A6333" t="str">
        <f t="shared" si="2439"/>
        <v>MARINE CORPS LOGISTICS COMMAND</v>
      </c>
      <c r="B6333" t="str">
        <f>T("CODE 884 BLDG 2200 MCA")</f>
        <v>CODE 884 BLDG 2200 MCA</v>
      </c>
      <c r="C6333" t="str">
        <f t="shared" si="2441"/>
        <v>814 RADFORD BLVD STE 20325</v>
      </c>
      <c r="D6333" t="str">
        <f t="shared" si="2442"/>
        <v>ALBANY</v>
      </c>
      <c r="E6333" t="str">
        <f t="shared" si="2443"/>
        <v>GA</v>
      </c>
      <c r="F6333" t="str">
        <f>T("317049998")</f>
        <v>317049998</v>
      </c>
      <c r="G6333" t="str">
        <f>T("CODE 884 BLDG 2200")</f>
        <v>CODE 884 BLDG 2200</v>
      </c>
      <c r="H6333" t="str">
        <f t="shared" si="2444"/>
        <v>814 RADFORD BLVD STE 20325</v>
      </c>
      <c r="I6333" t="str">
        <f t="shared" si="2445"/>
        <v>ALBANY</v>
      </c>
      <c r="J6333" t="str">
        <f t="shared" si="2446"/>
        <v>GA</v>
      </c>
      <c r="K6333" t="str">
        <f>T("2296396844")</f>
        <v>2296396844</v>
      </c>
      <c r="L6333" t="str">
        <f>T("2296396464")</f>
        <v>2296396464</v>
      </c>
    </row>
    <row r="6334" spans="1:12" x14ac:dyDescent="0.35">
      <c r="A6334" t="str">
        <f t="shared" si="2439"/>
        <v>MARINE CORPS LOGISTICS COMMAND</v>
      </c>
      <c r="B6334" t="str">
        <f>T("CODE 884 BLDG 2200 MCA")</f>
        <v>CODE 884 BLDG 2200 MCA</v>
      </c>
      <c r="C6334" t="str">
        <f t="shared" si="2441"/>
        <v>814 RADFORD BLVD STE 20325</v>
      </c>
      <c r="D6334" t="str">
        <f t="shared" si="2442"/>
        <v>ALBANY</v>
      </c>
      <c r="E6334" t="str">
        <f t="shared" si="2443"/>
        <v>GA</v>
      </c>
      <c r="F6334" t="str">
        <f>T("317049998")</f>
        <v>317049998</v>
      </c>
      <c r="G6334" t="str">
        <f>T("CODE 884 BLDG 2200")</f>
        <v>CODE 884 BLDG 2200</v>
      </c>
      <c r="H6334" t="str">
        <f t="shared" si="2444"/>
        <v>814 RADFORD BLVD STE 20325</v>
      </c>
      <c r="I6334" t="str">
        <f t="shared" si="2445"/>
        <v>ALBANY</v>
      </c>
      <c r="J6334" t="str">
        <f t="shared" si="2446"/>
        <v>GA</v>
      </c>
      <c r="K6334" t="str">
        <f>T("2296396844")</f>
        <v>2296396844</v>
      </c>
      <c r="L6334" t="str">
        <f>T("2296396778")</f>
        <v>2296396778</v>
      </c>
    </row>
    <row r="6335" spans="1:12" x14ac:dyDescent="0.35">
      <c r="A6335" t="str">
        <f t="shared" si="2439"/>
        <v>MARINE CORPS LOGISTICS COMMAND</v>
      </c>
      <c r="B6335" t="str">
        <f>T("CODE 884 BLDG 2200 MCA")</f>
        <v>CODE 884 BLDG 2200 MCA</v>
      </c>
      <c r="C6335" t="str">
        <f t="shared" si="2441"/>
        <v>814 RADFORD BLVD STE 20325</v>
      </c>
      <c r="D6335" t="str">
        <f t="shared" si="2442"/>
        <v>ALBANY</v>
      </c>
      <c r="E6335" t="str">
        <f t="shared" si="2443"/>
        <v>GA</v>
      </c>
      <c r="F6335" t="str">
        <f>T("317049998")</f>
        <v>317049998</v>
      </c>
      <c r="G6335" t="str">
        <f>T("CODE 884 BLDG 2200")</f>
        <v>CODE 884 BLDG 2200</v>
      </c>
      <c r="H6335" t="str">
        <f t="shared" si="2444"/>
        <v>814 RADFORD BLVD STE 20325</v>
      </c>
      <c r="I6335" t="str">
        <f t="shared" si="2445"/>
        <v>ALBANY</v>
      </c>
      <c r="J6335" t="str">
        <f t="shared" si="2446"/>
        <v>GA</v>
      </c>
      <c r="K6335" t="str">
        <f>T("2296396844")</f>
        <v>2296396844</v>
      </c>
      <c r="L6335" t="str">
        <f>T("2296396938")</f>
        <v>2296396938</v>
      </c>
    </row>
    <row r="6336" spans="1:12" x14ac:dyDescent="0.35">
      <c r="A6336" t="str">
        <f t="shared" si="2439"/>
        <v>MARINE CORPS LOGISTICS COMMAND</v>
      </c>
      <c r="B6336" t="str">
        <f>T("CODE 884 BLDG 2200 MCA")</f>
        <v>CODE 884 BLDG 2200 MCA</v>
      </c>
      <c r="C6336" t="str">
        <f t="shared" si="2441"/>
        <v>814 RADFORD BLVD STE 20325</v>
      </c>
      <c r="D6336" t="str">
        <f t="shared" si="2442"/>
        <v>ALBANY</v>
      </c>
      <c r="E6336" t="str">
        <f t="shared" si="2443"/>
        <v>GA</v>
      </c>
      <c r="F6336" t="str">
        <f>T("317049998")</f>
        <v>317049998</v>
      </c>
      <c r="G6336" t="str">
        <f>T("CODE 884 BLDG 2200 MCA")</f>
        <v>CODE 884 BLDG 2200 MCA</v>
      </c>
      <c r="H6336" t="str">
        <f t="shared" si="2444"/>
        <v>814 RADFORD BLVD STE 20325</v>
      </c>
      <c r="I6336" t="str">
        <f t="shared" si="2445"/>
        <v>ALBANY</v>
      </c>
      <c r="J6336" t="str">
        <f t="shared" si="2446"/>
        <v>GA</v>
      </c>
      <c r="K6336" t="str">
        <f>T("2296396844")</f>
        <v>2296396844</v>
      </c>
      <c r="L6336" t="str">
        <f>T("2296396937")</f>
        <v>2296396937</v>
      </c>
    </row>
    <row r="6337" spans="1:12" x14ac:dyDescent="0.35">
      <c r="A6337" t="str">
        <f t="shared" si="2439"/>
        <v>MARINE CORPS LOGISTICS COMMAND</v>
      </c>
      <c r="B6337" t="str">
        <f>T("CWC 112 MDMC BLDG 2200")</f>
        <v>CWC 112 MDMC BLDG 2200</v>
      </c>
      <c r="C6337" t="str">
        <f t="shared" si="2441"/>
        <v>814 RADFORD BLVD STE 20325</v>
      </c>
      <c r="D6337" t="str">
        <f t="shared" si="2442"/>
        <v>ALBANY</v>
      </c>
      <c r="E6337" t="str">
        <f t="shared" si="2443"/>
        <v>GA</v>
      </c>
      <c r="F6337" t="str">
        <f>T("317041130")</f>
        <v>317041130</v>
      </c>
      <c r="G6337" t="str">
        <f>T("CWC 112 MDMC BLDG 2200")</f>
        <v>CWC 112 MDMC BLDG 2200</v>
      </c>
      <c r="H6337" t="str">
        <f t="shared" si="2444"/>
        <v>814 RADFORD BLVD STE 20325</v>
      </c>
      <c r="I6337" t="str">
        <f t="shared" si="2445"/>
        <v>ALBANY</v>
      </c>
      <c r="J6337" t="str">
        <f t="shared" si="2446"/>
        <v>GA</v>
      </c>
      <c r="K6337" t="str">
        <f>T("000000000000000000")</f>
        <v>000000000000000000</v>
      </c>
      <c r="L6337" t="str">
        <f>T("2296398376")</f>
        <v>2296398376</v>
      </c>
    </row>
    <row r="6338" spans="1:12" x14ac:dyDescent="0.35">
      <c r="A6338" t="str">
        <f t="shared" si="2439"/>
        <v>MARINE CORPS LOGISTICS COMMAND</v>
      </c>
      <c r="B6338" t="str">
        <f>T("CWC 112 MDMC BLDG 2200")</f>
        <v>CWC 112 MDMC BLDG 2200</v>
      </c>
      <c r="C6338" t="str">
        <f t="shared" si="2441"/>
        <v>814 RADFORD BLVD STE 20325</v>
      </c>
      <c r="D6338" t="str">
        <f t="shared" si="2442"/>
        <v>ALBANY</v>
      </c>
      <c r="E6338" t="str">
        <f t="shared" si="2443"/>
        <v>GA</v>
      </c>
      <c r="F6338" t="str">
        <f>T("317041130")</f>
        <v>317041130</v>
      </c>
      <c r="G6338" t="str">
        <f>T("CWC 112 MDMC BLDG 2200")</f>
        <v>CWC 112 MDMC BLDG 2200</v>
      </c>
      <c r="H6338" t="str">
        <f t="shared" si="2444"/>
        <v>814 RADFORD BLVD STE 20325</v>
      </c>
      <c r="I6338" t="str">
        <f t="shared" si="2445"/>
        <v>ALBANY</v>
      </c>
      <c r="J6338" t="str">
        <f t="shared" si="2446"/>
        <v>GA</v>
      </c>
      <c r="K6338" t="str">
        <f>T("2296396844")</f>
        <v>2296396844</v>
      </c>
      <c r="L6338" t="str">
        <f>T("2296396531")</f>
        <v>2296396531</v>
      </c>
    </row>
    <row r="6339" spans="1:12" x14ac:dyDescent="0.35">
      <c r="A6339" t="str">
        <f t="shared" si="2439"/>
        <v>MARINE CORPS LOGISTICS COMMAND</v>
      </c>
      <c r="B6339" t="str">
        <f>T("MAINT CTR CODE 882 BLDG 2200")</f>
        <v>MAINT CTR CODE 882 BLDG 2200</v>
      </c>
      <c r="C6339" t="str">
        <f t="shared" si="2441"/>
        <v>814 RADFORD BLVD STE 20325</v>
      </c>
      <c r="D6339" t="str">
        <f t="shared" si="2442"/>
        <v>ALBANY</v>
      </c>
      <c r="E6339" t="str">
        <f t="shared" si="2443"/>
        <v>GA</v>
      </c>
      <c r="F6339" t="str">
        <f>T("317040325")</f>
        <v>317040325</v>
      </c>
      <c r="G6339" t="str">
        <f>T("CODE 112 BLDG 2200")</f>
        <v>CODE 112 BLDG 2200</v>
      </c>
      <c r="H6339" t="str">
        <f t="shared" si="2444"/>
        <v>814 RADFORD BLVD STE 20325</v>
      </c>
      <c r="I6339" t="str">
        <f t="shared" si="2445"/>
        <v>ALBANY</v>
      </c>
      <c r="J6339" t="str">
        <f t="shared" si="2446"/>
        <v>GA</v>
      </c>
      <c r="K6339" t="str">
        <f>T("2296396844")</f>
        <v>2296396844</v>
      </c>
      <c r="L6339" t="str">
        <f>T("2296396831")</f>
        <v>2296396831</v>
      </c>
    </row>
    <row r="6340" spans="1:12" x14ac:dyDescent="0.35">
      <c r="A6340" t="str">
        <f t="shared" si="2439"/>
        <v>MARINE CORPS LOGISTICS COMMAND</v>
      </c>
      <c r="B6340" t="str">
        <f>T("MAINT CTR CODE 882 BLDG 2200")</f>
        <v>MAINT CTR CODE 882 BLDG 2200</v>
      </c>
      <c r="C6340" t="str">
        <f t="shared" si="2441"/>
        <v>814 RADFORD BLVD STE 20325</v>
      </c>
      <c r="D6340" t="str">
        <f t="shared" si="2442"/>
        <v>ALBANY</v>
      </c>
      <c r="E6340" t="str">
        <f t="shared" si="2443"/>
        <v>GA</v>
      </c>
      <c r="F6340" t="str">
        <f>T("317040325")</f>
        <v>317040325</v>
      </c>
      <c r="G6340" t="str">
        <f>T("CODE 882 BLDG 2200")</f>
        <v>CODE 882 BLDG 2200</v>
      </c>
      <c r="H6340" t="str">
        <f t="shared" si="2444"/>
        <v>814 RADFORD BLVD STE 20325</v>
      </c>
      <c r="I6340" t="str">
        <f t="shared" si="2445"/>
        <v>ALBANY</v>
      </c>
      <c r="J6340" t="str">
        <f t="shared" si="2446"/>
        <v>GA</v>
      </c>
      <c r="K6340" t="str">
        <f>T("2296396844")</f>
        <v>2296396844</v>
      </c>
      <c r="L6340" t="str">
        <f>T("2296397434")</f>
        <v>2296397434</v>
      </c>
    </row>
    <row r="6341" spans="1:12" x14ac:dyDescent="0.35">
      <c r="A6341" t="str">
        <f t="shared" si="2439"/>
        <v>MARINE CORPS LOGISTICS COMMAND</v>
      </c>
      <c r="B6341" t="str">
        <f>T("MAINT CTR CODE 882 BLDG 2200")</f>
        <v>MAINT CTR CODE 882 BLDG 2200</v>
      </c>
      <c r="C6341" t="str">
        <f t="shared" si="2441"/>
        <v>814 RADFORD BLVD STE 20325</v>
      </c>
      <c r="D6341" t="str">
        <f t="shared" si="2442"/>
        <v>ALBANY</v>
      </c>
      <c r="E6341" t="str">
        <f t="shared" si="2443"/>
        <v>GA</v>
      </c>
      <c r="F6341" t="str">
        <f>T("317040325")</f>
        <v>317040325</v>
      </c>
      <c r="G6341" t="str">
        <f>T("CODE 882 BLDG 2200")</f>
        <v>CODE 882 BLDG 2200</v>
      </c>
      <c r="H6341" t="str">
        <f t="shared" si="2444"/>
        <v>814 RADFORD BLVD STE 20325</v>
      </c>
      <c r="I6341" t="str">
        <f t="shared" si="2445"/>
        <v>ALBANY</v>
      </c>
      <c r="J6341" t="str">
        <f t="shared" si="2446"/>
        <v>GA</v>
      </c>
      <c r="K6341" t="str">
        <f>T("2296396844")</f>
        <v>2296396844</v>
      </c>
      <c r="L6341" t="str">
        <f>T("2296397473")</f>
        <v>2296397473</v>
      </c>
    </row>
    <row r="6342" spans="1:12" x14ac:dyDescent="0.35">
      <c r="A6342" t="str">
        <f t="shared" si="2439"/>
        <v>MARINE CORPS LOGISTICS COMMAND</v>
      </c>
      <c r="B6342" t="str">
        <f>T("MAINT CTR CODE 882 BLDG 2200")</f>
        <v>MAINT CTR CODE 882 BLDG 2200</v>
      </c>
      <c r="C6342" t="str">
        <f t="shared" si="2441"/>
        <v>814 RADFORD BLVD STE 20325</v>
      </c>
      <c r="D6342" t="str">
        <f t="shared" si="2442"/>
        <v>ALBANY</v>
      </c>
      <c r="E6342" t="str">
        <f t="shared" si="2443"/>
        <v>GA</v>
      </c>
      <c r="F6342" t="str">
        <f>T("317040325")</f>
        <v>317040325</v>
      </c>
      <c r="G6342" t="str">
        <f>T("MAINT CTR CODE 882 BLDG 2200")</f>
        <v>MAINT CTR CODE 882 BLDG 2200</v>
      </c>
      <c r="H6342" t="str">
        <f t="shared" si="2444"/>
        <v>814 RADFORD BLVD STE 20325</v>
      </c>
      <c r="I6342" t="str">
        <f t="shared" si="2445"/>
        <v>ALBANY</v>
      </c>
      <c r="J6342" t="str">
        <f t="shared" si="2446"/>
        <v>GA</v>
      </c>
      <c r="K6342" t="str">
        <f>T("2296396844")</f>
        <v>2296396844</v>
      </c>
      <c r="L6342" t="str">
        <f>T("2296396986")</f>
        <v>2296396986</v>
      </c>
    </row>
    <row r="6343" spans="1:12" x14ac:dyDescent="0.35">
      <c r="A6343" t="str">
        <f t="shared" si="2439"/>
        <v>MARINE CORPS LOGISTICS COMMAND</v>
      </c>
      <c r="B6343" t="str">
        <f>T("MAINTENANCE CENTER BARSTOW")</f>
        <v>MAINTENANCE CENTER BARSTOW</v>
      </c>
      <c r="C6343" t="str">
        <f>T("BLDG 573")</f>
        <v>BLDG 573</v>
      </c>
      <c r="D6343" t="str">
        <f>T("YERMO")</f>
        <v>YERMO</v>
      </c>
      <c r="E6343" t="str">
        <f>T("CA")</f>
        <v>CA</v>
      </c>
      <c r="F6343" t="str">
        <f>T("923980000")</f>
        <v>923980000</v>
      </c>
      <c r="G6343" t="str">
        <f>T("ATTN MATERIAL MGMT BRANCH")</f>
        <v>ATTN MATERIAL MGMT BRANCH</v>
      </c>
      <c r="H6343" t="str">
        <f>T("BOX 110880 BLDG 573")</f>
        <v>BOX 110880 BLDG 573</v>
      </c>
      <c r="I6343" t="str">
        <f>T("BARSTOW")</f>
        <v>BARSTOW</v>
      </c>
      <c r="J6343" t="str">
        <f>T("CA")</f>
        <v>CA</v>
      </c>
      <c r="K6343" t="str">
        <f>T("7605777311")</f>
        <v>7605777311</v>
      </c>
      <c r="L6343" t="str">
        <f>T("7604901905")</f>
        <v>7604901905</v>
      </c>
    </row>
    <row r="6344" spans="1:12" x14ac:dyDescent="0.35">
      <c r="A6344" t="str">
        <f t="shared" si="2439"/>
        <v>MARINE CORPS LOGISTICS COMMAND</v>
      </c>
      <c r="B6344" t="str">
        <f>T("MAINTENANCE CENTER BARSTOW")</f>
        <v>MAINTENANCE CENTER BARSTOW</v>
      </c>
      <c r="C6344" t="str">
        <f>T("BLDG 573")</f>
        <v>BLDG 573</v>
      </c>
      <c r="D6344" t="str">
        <f>T("YERMO")</f>
        <v>YERMO</v>
      </c>
      <c r="E6344" t="str">
        <f>T("CA")</f>
        <v>CA</v>
      </c>
      <c r="F6344" t="str">
        <f>T("923980000")</f>
        <v>923980000</v>
      </c>
      <c r="G6344" t="str">
        <f>T("ATTN MATERIAL MGMT BRANCH")</f>
        <v>ATTN MATERIAL MGMT BRANCH</v>
      </c>
      <c r="H6344" t="str">
        <f>T("BOX 110880 BLDG 573")</f>
        <v>BOX 110880 BLDG 573</v>
      </c>
      <c r="I6344" t="str">
        <f>T("BARSTOW")</f>
        <v>BARSTOW</v>
      </c>
      <c r="J6344" t="str">
        <f>T("CA")</f>
        <v>CA</v>
      </c>
      <c r="K6344" t="str">
        <f>T("7605777311")</f>
        <v>7605777311</v>
      </c>
      <c r="L6344" t="str">
        <f>T("7605777141")</f>
        <v>7605777141</v>
      </c>
    </row>
    <row r="6345" spans="1:12" x14ac:dyDescent="0.35">
      <c r="A6345" t="str">
        <f t="shared" si="2439"/>
        <v>MARINE CORPS LOGISTICS COMMAND</v>
      </c>
      <c r="B6345" t="str">
        <f>T("MAINTENANCE CENTER BARSTOW")</f>
        <v>MAINTENANCE CENTER BARSTOW</v>
      </c>
      <c r="C6345" t="str">
        <f>T("BLDG 573")</f>
        <v>BLDG 573</v>
      </c>
      <c r="D6345" t="str">
        <f>T("YERMO")</f>
        <v>YERMO</v>
      </c>
      <c r="E6345" t="str">
        <f>T("CA")</f>
        <v>CA</v>
      </c>
      <c r="F6345" t="str">
        <f>T("923980000")</f>
        <v>923980000</v>
      </c>
      <c r="G6345" t="str">
        <f>T("BOX 110880 BLDG 573")</f>
        <v>BOX 110880 BLDG 573</v>
      </c>
      <c r="H6345" t="str">
        <f>T("MDMC PPB")</f>
        <v>MDMC PPB</v>
      </c>
      <c r="I6345" t="str">
        <f>T("BARSTOW")</f>
        <v>BARSTOW</v>
      </c>
      <c r="J6345" t="str">
        <f>T("CA")</f>
        <v>CA</v>
      </c>
      <c r="K6345" t="str">
        <f>T("7605777142")</f>
        <v>7605777142</v>
      </c>
      <c r="L6345" t="str">
        <f>T("7605777198")</f>
        <v>7605777198</v>
      </c>
    </row>
    <row r="6346" spans="1:12" x14ac:dyDescent="0.35">
      <c r="A6346" t="str">
        <f t="shared" si="2439"/>
        <v>MARINE CORPS LOGISTICS COMMAND</v>
      </c>
      <c r="B6346" t="str">
        <f>T("MAINTENANCE CENTER BARSTOW")</f>
        <v>MAINTENANCE CENTER BARSTOW</v>
      </c>
      <c r="C6346" t="str">
        <f>T("BLDG 573")</f>
        <v>BLDG 573</v>
      </c>
      <c r="D6346" t="str">
        <f>T("YERMO")</f>
        <v>YERMO</v>
      </c>
      <c r="E6346" t="str">
        <f>T("CA")</f>
        <v>CA</v>
      </c>
      <c r="F6346" t="str">
        <f>T("923980000")</f>
        <v>923980000</v>
      </c>
      <c r="G6346" t="str">
        <f>T("BOX 110880 BLDG 573")</f>
        <v>BOX 110880 BLDG 573</v>
      </c>
      <c r="H6346" t="str">
        <f>T("MDMC PPB")</f>
        <v>MDMC PPB</v>
      </c>
      <c r="I6346" t="str">
        <f>T("BARSTOW")</f>
        <v>BARSTOW</v>
      </c>
      <c r="J6346" t="str">
        <f>T("CA")</f>
        <v>CA</v>
      </c>
      <c r="K6346" t="str">
        <f>T("7605777311")</f>
        <v>7605777311</v>
      </c>
      <c r="L6346" t="str">
        <f>T("7605777203")</f>
        <v>7605777203</v>
      </c>
    </row>
    <row r="6347" spans="1:12" x14ac:dyDescent="0.35">
      <c r="A6347" t="str">
        <f t="shared" si="2439"/>
        <v>MARINE CORPS LOGISTICS COMMAND</v>
      </c>
      <c r="B6347" t="str">
        <f>T("MAINTENANCE CENTER BARSTOW")</f>
        <v>MAINTENANCE CENTER BARSTOW</v>
      </c>
      <c r="C6347" t="str">
        <f>T("BLDG 573")</f>
        <v>BLDG 573</v>
      </c>
      <c r="D6347" t="str">
        <f>T("YERMO")</f>
        <v>YERMO</v>
      </c>
      <c r="E6347" t="str">
        <f>T("CA")</f>
        <v>CA</v>
      </c>
      <c r="F6347" t="str">
        <f>T("923980000")</f>
        <v>923980000</v>
      </c>
      <c r="G6347" t="str">
        <f>T("MAINTENANCE CENTER BARSTOW")</f>
        <v>MAINTENANCE CENTER BARSTOW</v>
      </c>
      <c r="H6347" t="str">
        <f>T("BLDG 573")</f>
        <v>BLDG 573</v>
      </c>
      <c r="I6347" t="str">
        <f>T("YERMO")</f>
        <v>YERMO</v>
      </c>
      <c r="J6347" t="str">
        <f>T("CA")</f>
        <v>CA</v>
      </c>
      <c r="K6347" t="str">
        <f>T("7605777142")</f>
        <v>7605777142</v>
      </c>
      <c r="L6347" t="str">
        <f>T("7605777168")</f>
        <v>7605777168</v>
      </c>
    </row>
    <row r="6348" spans="1:12" x14ac:dyDescent="0.35">
      <c r="A6348" t="str">
        <f t="shared" si="2439"/>
        <v>MARINE CORPS LOGISTICS COMMAND</v>
      </c>
      <c r="B6348" t="str">
        <f>T("MICMAW LO9-4 BLDG 3010")</f>
        <v>MICMAW LO9-4 BLDG 3010</v>
      </c>
      <c r="C6348" t="str">
        <f>T("")</f>
        <v/>
      </c>
      <c r="D6348" t="str">
        <f>T("ALBANY")</f>
        <v>ALBANY</v>
      </c>
      <c r="E6348" t="str">
        <f>T("GA")</f>
        <v>GA</v>
      </c>
      <c r="F6348" t="str">
        <f>T("317040001")</f>
        <v>317040001</v>
      </c>
      <c r="G6348" t="str">
        <f>T("MCIMAW G1SW BLDG 3010 ROOM 18")</f>
        <v>MCIMAW G1SW BLDG 3010 ROOM 18</v>
      </c>
      <c r="H6348" t="str">
        <f>T("814 RADFORD BLVD STE 20319")</f>
        <v>814 RADFORD BLVD STE 20319</v>
      </c>
      <c r="I6348" t="str">
        <f>T("ALBANY")</f>
        <v>ALBANY</v>
      </c>
      <c r="J6348" t="str">
        <f>T("GA")</f>
        <v>GA</v>
      </c>
      <c r="K6348" t="str">
        <f>T("2296396462")</f>
        <v>2296396462</v>
      </c>
      <c r="L6348" t="str">
        <f>T("2296395297")</f>
        <v>2296395297</v>
      </c>
    </row>
    <row r="6349" spans="1:12" x14ac:dyDescent="0.35">
      <c r="A6349" t="str">
        <f t="shared" si="2439"/>
        <v>MARINE CORPS LOGISTICS COMMAND</v>
      </c>
      <c r="B6349" t="str">
        <f>T("MICMAW LO9-4 BLDG 3010")</f>
        <v>MICMAW LO9-4 BLDG 3010</v>
      </c>
      <c r="C6349" t="str">
        <f>T("")</f>
        <v/>
      </c>
      <c r="D6349" t="str">
        <f>T("ALBANY")</f>
        <v>ALBANY</v>
      </c>
      <c r="E6349" t="str">
        <f>T("GA")</f>
        <v>GA</v>
      </c>
      <c r="F6349" t="str">
        <f>T("317040001")</f>
        <v>317040001</v>
      </c>
      <c r="G6349" t="str">
        <f>T("MICMAW L09-4 BLDG 3010 DOOR 18")</f>
        <v>MICMAW L09-4 BLDG 3010 DOOR 18</v>
      </c>
      <c r="H6349" t="str">
        <f>T("814 RADFORD BLVD STE 20319")</f>
        <v>814 RADFORD BLVD STE 20319</v>
      </c>
      <c r="I6349" t="str">
        <f>T("ALBANY")</f>
        <v>ALBANY</v>
      </c>
      <c r="J6349" t="str">
        <f>T("GA")</f>
        <v>GA</v>
      </c>
      <c r="K6349" t="str">
        <f>T("000000000000000000")</f>
        <v>000000000000000000</v>
      </c>
      <c r="L6349" t="str">
        <f>T("2296395256")</f>
        <v>2296395256</v>
      </c>
    </row>
    <row r="6350" spans="1:12" x14ac:dyDescent="0.35">
      <c r="A6350" t="str">
        <f t="shared" si="2439"/>
        <v>MARINE CORPS LOGISTICS COMMAND</v>
      </c>
      <c r="B6350" t="str">
        <f>T("MICMAW LO9-4 BLDG 3010")</f>
        <v>MICMAW LO9-4 BLDG 3010</v>
      </c>
      <c r="C6350" t="str">
        <f>T("")</f>
        <v/>
      </c>
      <c r="D6350" t="str">
        <f>T("ALBANY")</f>
        <v>ALBANY</v>
      </c>
      <c r="E6350" t="str">
        <f>T("GA")</f>
        <v>GA</v>
      </c>
      <c r="F6350" t="str">
        <f>T("317040001")</f>
        <v>317040001</v>
      </c>
      <c r="G6350" t="str">
        <f>T("MICMAW LO9-4 BLDG 3010")</f>
        <v>MICMAW LO9-4 BLDG 3010</v>
      </c>
      <c r="H6350" t="str">
        <f>T("")</f>
        <v/>
      </c>
      <c r="I6350" t="str">
        <f>T("ALBANY")</f>
        <v>ALBANY</v>
      </c>
      <c r="J6350" t="str">
        <f>T("GA")</f>
        <v>GA</v>
      </c>
      <c r="K6350" t="str">
        <f>T("")</f>
        <v/>
      </c>
      <c r="L6350" t="str">
        <f>T("2296396272")</f>
        <v>2296396272</v>
      </c>
    </row>
    <row r="6351" spans="1:12" x14ac:dyDescent="0.35">
      <c r="A6351" t="str">
        <f t="shared" ref="A6351:A6360" si="2447">T("MARINE CORPS LOGISTICS COMMAND")</f>
        <v>MARINE CORPS LOGISTICS COMMAND</v>
      </c>
      <c r="B6351" t="str">
        <f t="shared" ref="B6351:B6357" si="2448">T("ORGANIC SUPPLY BIC 913")</f>
        <v>ORGANIC SUPPLY BIC 913</v>
      </c>
      <c r="C6351" t="str">
        <f t="shared" ref="C6351:C6357" si="2449">T("5580 CHANNEL VIEW BLVD")</f>
        <v>5580 CHANNEL VIEW BLVD</v>
      </c>
      <c r="D6351" t="str">
        <f t="shared" ref="D6351:D6357" si="2450">T("JACKSONVILLE")</f>
        <v>JACKSONVILLE</v>
      </c>
      <c r="E6351" t="str">
        <f t="shared" ref="E6351:E6357" si="2451">T("FL")</f>
        <v>FL</v>
      </c>
      <c r="F6351" t="str">
        <f t="shared" ref="F6351:F6357" si="2452">T("322263404")</f>
        <v>322263404</v>
      </c>
      <c r="G6351" t="str">
        <f t="shared" ref="G6351:G6356" si="2453">T("5880 CHANNEL VIEW BLVD")</f>
        <v>5880 CHANNEL VIEW BLVD</v>
      </c>
      <c r="H6351" t="str">
        <f>T("BIC")</f>
        <v>BIC</v>
      </c>
      <c r="I6351" t="str">
        <f t="shared" ref="I6351:I6357" si="2454">T("JACKSONVILLE")</f>
        <v>JACKSONVILLE</v>
      </c>
      <c r="J6351" t="str">
        <f t="shared" ref="J6351:J6357" si="2455">T("FL")</f>
        <v>FL</v>
      </c>
      <c r="K6351" t="str">
        <f>T("9046965186")</f>
        <v>9046965186</v>
      </c>
      <c r="L6351" t="str">
        <f>T("9046965314")</f>
        <v>9046965314</v>
      </c>
    </row>
    <row r="6352" spans="1:12" x14ac:dyDescent="0.35">
      <c r="A6352" t="str">
        <f t="shared" si="2447"/>
        <v>MARINE CORPS LOGISTICS COMMAND</v>
      </c>
      <c r="B6352" t="str">
        <f t="shared" si="2448"/>
        <v>ORGANIC SUPPLY BIC 913</v>
      </c>
      <c r="C6352" t="str">
        <f t="shared" si="2449"/>
        <v>5580 CHANNEL VIEW BLVD</v>
      </c>
      <c r="D6352" t="str">
        <f t="shared" si="2450"/>
        <v>JACKSONVILLE</v>
      </c>
      <c r="E6352" t="str">
        <f t="shared" si="2451"/>
        <v>FL</v>
      </c>
      <c r="F6352" t="str">
        <f t="shared" si="2452"/>
        <v>322263404</v>
      </c>
      <c r="G6352" t="str">
        <f t="shared" si="2453"/>
        <v>5880 CHANNEL VIEW BLVD</v>
      </c>
      <c r="H6352" t="str">
        <f>T("BLOUNT ISLAND COMMAND")</f>
        <v>BLOUNT ISLAND COMMAND</v>
      </c>
      <c r="I6352" t="str">
        <f t="shared" si="2454"/>
        <v>JACKSONVILLE</v>
      </c>
      <c r="J6352" t="str">
        <f t="shared" si="2455"/>
        <v>FL</v>
      </c>
      <c r="K6352" t="str">
        <f>T("9046965241")</f>
        <v>9046965241</v>
      </c>
      <c r="L6352" t="str">
        <f>T("9046965016")</f>
        <v>9046965016</v>
      </c>
    </row>
    <row r="6353" spans="1:12" x14ac:dyDescent="0.35">
      <c r="A6353" t="str">
        <f t="shared" si="2447"/>
        <v>MARINE CORPS LOGISTICS COMMAND</v>
      </c>
      <c r="B6353" t="str">
        <f t="shared" si="2448"/>
        <v>ORGANIC SUPPLY BIC 913</v>
      </c>
      <c r="C6353" t="str">
        <f t="shared" si="2449"/>
        <v>5580 CHANNEL VIEW BLVD</v>
      </c>
      <c r="D6353" t="str">
        <f t="shared" si="2450"/>
        <v>JACKSONVILLE</v>
      </c>
      <c r="E6353" t="str">
        <f t="shared" si="2451"/>
        <v>FL</v>
      </c>
      <c r="F6353" t="str">
        <f t="shared" si="2452"/>
        <v>322263404</v>
      </c>
      <c r="G6353" t="str">
        <f t="shared" si="2453"/>
        <v>5880 CHANNEL VIEW BLVD</v>
      </c>
      <c r="H6353" t="str">
        <f>T("BLOUNT ISLAND COMMAND")</f>
        <v>BLOUNT ISLAND COMMAND</v>
      </c>
      <c r="I6353" t="str">
        <f t="shared" si="2454"/>
        <v>JACKSONVILLE</v>
      </c>
      <c r="J6353" t="str">
        <f t="shared" si="2455"/>
        <v>FL</v>
      </c>
      <c r="K6353" t="str">
        <f>T("9046965241")</f>
        <v>9046965241</v>
      </c>
      <c r="L6353" t="str">
        <f>T("9046965376")</f>
        <v>9046965376</v>
      </c>
    </row>
    <row r="6354" spans="1:12" x14ac:dyDescent="0.35">
      <c r="A6354" t="str">
        <f t="shared" si="2447"/>
        <v>MARINE CORPS LOGISTICS COMMAND</v>
      </c>
      <c r="B6354" t="str">
        <f t="shared" si="2448"/>
        <v>ORGANIC SUPPLY BIC 913</v>
      </c>
      <c r="C6354" t="str">
        <f t="shared" si="2449"/>
        <v>5580 CHANNEL VIEW BLVD</v>
      </c>
      <c r="D6354" t="str">
        <f t="shared" si="2450"/>
        <v>JACKSONVILLE</v>
      </c>
      <c r="E6354" t="str">
        <f t="shared" si="2451"/>
        <v>FL</v>
      </c>
      <c r="F6354" t="str">
        <f t="shared" si="2452"/>
        <v>322263404</v>
      </c>
      <c r="G6354" t="str">
        <f t="shared" si="2453"/>
        <v>5880 CHANNEL VIEW BLVD</v>
      </c>
      <c r="H6354" t="str">
        <f>T("BLOUNT ISLAND COMMAND")</f>
        <v>BLOUNT ISLAND COMMAND</v>
      </c>
      <c r="I6354" t="str">
        <f t="shared" si="2454"/>
        <v>JACKSONVILLE</v>
      </c>
      <c r="J6354" t="str">
        <f t="shared" si="2455"/>
        <v>FL</v>
      </c>
      <c r="K6354" t="str">
        <f>T("9046965241")</f>
        <v>9046965241</v>
      </c>
      <c r="L6354" t="str">
        <f>T("9046965639")</f>
        <v>9046965639</v>
      </c>
    </row>
    <row r="6355" spans="1:12" x14ac:dyDescent="0.35">
      <c r="A6355" t="str">
        <f t="shared" si="2447"/>
        <v>MARINE CORPS LOGISTICS COMMAND</v>
      </c>
      <c r="B6355" t="str">
        <f t="shared" si="2448"/>
        <v>ORGANIC SUPPLY BIC 913</v>
      </c>
      <c r="C6355" t="str">
        <f t="shared" si="2449"/>
        <v>5580 CHANNEL VIEW BLVD</v>
      </c>
      <c r="D6355" t="str">
        <f t="shared" si="2450"/>
        <v>JACKSONVILLE</v>
      </c>
      <c r="E6355" t="str">
        <f t="shared" si="2451"/>
        <v>FL</v>
      </c>
      <c r="F6355" t="str">
        <f t="shared" si="2452"/>
        <v>322263404</v>
      </c>
      <c r="G6355" t="str">
        <f t="shared" si="2453"/>
        <v>5880 CHANNEL VIEW BLVD</v>
      </c>
      <c r="H6355" t="str">
        <f>T("BLOUNT ISLAND COMMAND")</f>
        <v>BLOUNT ISLAND COMMAND</v>
      </c>
      <c r="I6355" t="str">
        <f t="shared" si="2454"/>
        <v>JACKSONVILLE</v>
      </c>
      <c r="J6355" t="str">
        <f t="shared" si="2455"/>
        <v>FL</v>
      </c>
      <c r="K6355" t="str">
        <f>T("9046965241")</f>
        <v>9046965241</v>
      </c>
      <c r="L6355" t="str">
        <f>T("9046965646")</f>
        <v>9046965646</v>
      </c>
    </row>
    <row r="6356" spans="1:12" x14ac:dyDescent="0.35">
      <c r="A6356" t="str">
        <f t="shared" si="2447"/>
        <v>MARINE CORPS LOGISTICS COMMAND</v>
      </c>
      <c r="B6356" t="str">
        <f t="shared" si="2448"/>
        <v>ORGANIC SUPPLY BIC 913</v>
      </c>
      <c r="C6356" t="str">
        <f t="shared" si="2449"/>
        <v>5580 CHANNEL VIEW BLVD</v>
      </c>
      <c r="D6356" t="str">
        <f t="shared" si="2450"/>
        <v>JACKSONVILLE</v>
      </c>
      <c r="E6356" t="str">
        <f t="shared" si="2451"/>
        <v>FL</v>
      </c>
      <c r="F6356" t="str">
        <f t="shared" si="2452"/>
        <v>322263404</v>
      </c>
      <c r="G6356" t="str">
        <f t="shared" si="2453"/>
        <v>5880 CHANNEL VIEW BLVD</v>
      </c>
      <c r="H6356" t="str">
        <f>T("BLOUNT ISLAND COMMAND BLDG 100")</f>
        <v>BLOUNT ISLAND COMMAND BLDG 100</v>
      </c>
      <c r="I6356" t="str">
        <f t="shared" si="2454"/>
        <v>JACKSONVILLE</v>
      </c>
      <c r="J6356" t="str">
        <f t="shared" si="2455"/>
        <v>FL</v>
      </c>
      <c r="K6356" t="str">
        <f>T("9046965681")</f>
        <v>9046965681</v>
      </c>
      <c r="L6356" t="str">
        <f>T("9046965241")</f>
        <v>9046965241</v>
      </c>
    </row>
    <row r="6357" spans="1:12" x14ac:dyDescent="0.35">
      <c r="A6357" t="str">
        <f t="shared" si="2447"/>
        <v>MARINE CORPS LOGISTICS COMMAND</v>
      </c>
      <c r="B6357" t="str">
        <f t="shared" si="2448"/>
        <v>ORGANIC SUPPLY BIC 913</v>
      </c>
      <c r="C6357" t="str">
        <f t="shared" si="2449"/>
        <v>5580 CHANNEL VIEW BLVD</v>
      </c>
      <c r="D6357" t="str">
        <f t="shared" si="2450"/>
        <v>JACKSONVILLE</v>
      </c>
      <c r="E6357" t="str">
        <f t="shared" si="2451"/>
        <v>FL</v>
      </c>
      <c r="F6357" t="str">
        <f t="shared" si="2452"/>
        <v>322263404</v>
      </c>
      <c r="G6357" t="str">
        <f>T("ORGANIC SUPPLY BIC 913")</f>
        <v>ORGANIC SUPPLY BIC 913</v>
      </c>
      <c r="H6357" t="str">
        <f>T("5580 CHANNEL VIEW BLVD")</f>
        <v>5580 CHANNEL VIEW BLVD</v>
      </c>
      <c r="I6357" t="str">
        <f t="shared" si="2454"/>
        <v>JACKSONVILLE</v>
      </c>
      <c r="J6357" t="str">
        <f t="shared" si="2455"/>
        <v>FL</v>
      </c>
      <c r="K6357" t="str">
        <f>T("9046965681")</f>
        <v>9046965681</v>
      </c>
      <c r="L6357" t="str">
        <f>T("9047146624")</f>
        <v>9047146624</v>
      </c>
    </row>
    <row r="6358" spans="1:12" x14ac:dyDescent="0.35">
      <c r="A6358" t="str">
        <f t="shared" si="2447"/>
        <v>MARINE CORPS LOGISTICS COMMAND</v>
      </c>
      <c r="B6358" t="str">
        <f>T("PO BOX 110870")</f>
        <v>PO BOX 110870</v>
      </c>
      <c r="C6358" t="str">
        <f>T("WAREHOUSE 406 EAST")</f>
        <v>WAREHOUSE 406 EAST</v>
      </c>
      <c r="D6358" t="str">
        <f>T("BARSTOW")</f>
        <v>BARSTOW</v>
      </c>
      <c r="E6358" t="str">
        <f>T("CA")</f>
        <v>CA</v>
      </c>
      <c r="F6358" t="str">
        <f>T("923115048")</f>
        <v>923115048</v>
      </c>
      <c r="G6358" t="str">
        <f>T("P O BOX 110870")</f>
        <v>P O BOX 110870</v>
      </c>
      <c r="H6358" t="str">
        <f>T("WAREHOUSE 406 EAST")</f>
        <v>WAREHOUSE 406 EAST</v>
      </c>
      <c r="I6358" t="str">
        <f>T("BARSTOW")</f>
        <v>BARSTOW</v>
      </c>
      <c r="J6358" t="str">
        <f>T("CA")</f>
        <v>CA</v>
      </c>
      <c r="K6358" t="str">
        <f>T("7605777706")</f>
        <v>7605777706</v>
      </c>
      <c r="L6358" t="str">
        <f>T("7605777705")</f>
        <v>7605777705</v>
      </c>
    </row>
    <row r="6359" spans="1:12" x14ac:dyDescent="0.35">
      <c r="A6359" t="str">
        <f t="shared" si="2447"/>
        <v>MARINE CORPS LOGISTICS COMMAND</v>
      </c>
      <c r="B6359" t="str">
        <f>T("PO BOX 110870")</f>
        <v>PO BOX 110870</v>
      </c>
      <c r="C6359" t="str">
        <f>T("WAREHOUSE 406 EAST")</f>
        <v>WAREHOUSE 406 EAST</v>
      </c>
      <c r="D6359" t="str">
        <f>T("BARSTOW")</f>
        <v>BARSTOW</v>
      </c>
      <c r="E6359" t="str">
        <f>T("CA")</f>
        <v>CA</v>
      </c>
      <c r="F6359" t="str">
        <f>T("923115048")</f>
        <v>923115048</v>
      </c>
      <c r="G6359" t="str">
        <f>T("PO BOX 110870")</f>
        <v>PO BOX 110870</v>
      </c>
      <c r="H6359" t="str">
        <f>T("WAREHOUSE 406 EAST")</f>
        <v>WAREHOUSE 406 EAST</v>
      </c>
      <c r="I6359" t="str">
        <f>T("BARSTOW")</f>
        <v>BARSTOW</v>
      </c>
      <c r="J6359" t="str">
        <f>T("CA")</f>
        <v>CA</v>
      </c>
      <c r="K6359" t="str">
        <f>T("7605777074")</f>
        <v>7605777074</v>
      </c>
      <c r="L6359" t="str">
        <f>T("7605777611")</f>
        <v>7605777611</v>
      </c>
    </row>
    <row r="6360" spans="1:12" x14ac:dyDescent="0.35">
      <c r="A6360" t="str">
        <f t="shared" si="2447"/>
        <v>MARINE CORPS LOGISTICS COMMAND</v>
      </c>
      <c r="B6360" t="str">
        <f>T("WAREHOUSE 406 EAST YERMO")</f>
        <v>WAREHOUSE 406 EAST YERMO</v>
      </c>
      <c r="C6360" t="str">
        <f>T("BOX 110870")</f>
        <v>BOX 110870</v>
      </c>
      <c r="D6360" t="str">
        <f>T("BARSTOW")</f>
        <v>BARSTOW</v>
      </c>
      <c r="E6360" t="str">
        <f>T("CA")</f>
        <v>CA</v>
      </c>
      <c r="F6360" t="str">
        <f>T("923115048")</f>
        <v>923115048</v>
      </c>
      <c r="G6360" t="str">
        <f>T("WAREHOUSE 406 EAST YERMO")</f>
        <v>WAREHOUSE 406 EAST YERMO</v>
      </c>
      <c r="H6360" t="str">
        <f>T("BOX 110870")</f>
        <v>BOX 110870</v>
      </c>
      <c r="I6360" t="str">
        <f>T("BARSTOW")</f>
        <v>BARSTOW</v>
      </c>
      <c r="J6360" t="str">
        <f>T("CA")</f>
        <v>CA</v>
      </c>
      <c r="K6360" t="str">
        <f>T("7605777074")</f>
        <v>7605777074</v>
      </c>
      <c r="L6360" t="str">
        <f>T("7605777611")</f>
        <v>7605777611</v>
      </c>
    </row>
    <row r="6361" spans="1:12" x14ac:dyDescent="0.35">
      <c r="A6361" t="str">
        <f t="shared" ref="A6361:A6394" si="2456">T("1ST MCD")</f>
        <v>1ST MCD</v>
      </c>
      <c r="B6361" t="str">
        <f>T("1 BUFFINGTON ST")</f>
        <v>1 BUFFINGTON ST</v>
      </c>
      <c r="C6361" t="str">
        <f>T("WATERVLIET ARSENAL")</f>
        <v>WATERVLIET ARSENAL</v>
      </c>
      <c r="D6361" t="str">
        <f>T("WATERVLIET")</f>
        <v>WATERVLIET</v>
      </c>
      <c r="E6361" t="str">
        <f>T("NY")</f>
        <v>NY</v>
      </c>
      <c r="F6361" t="str">
        <f>T("121894003")</f>
        <v>121894003</v>
      </c>
      <c r="G6361" t="str">
        <f>T("1 BUFFINGTON ST")</f>
        <v>1 BUFFINGTON ST</v>
      </c>
      <c r="H6361" t="str">
        <f>T("WATERVLIET ARSENAL")</f>
        <v>WATERVLIET ARSENAL</v>
      </c>
      <c r="I6361" t="str">
        <f>T("WATERVLIET")</f>
        <v>WATERVLIET</v>
      </c>
      <c r="J6361" t="str">
        <f>T("NY")</f>
        <v>NY</v>
      </c>
      <c r="K6361" t="str">
        <f>T("5182666123")</f>
        <v>5182666123</v>
      </c>
      <c r="L6361" t="str">
        <f>T("5182666104")</f>
        <v>5182666104</v>
      </c>
    </row>
    <row r="6362" spans="1:12" x14ac:dyDescent="0.35">
      <c r="A6362" t="str">
        <f t="shared" si="2456"/>
        <v>1ST MCD</v>
      </c>
      <c r="B6362" t="str">
        <f>T("1 BUFFINGTON ST")</f>
        <v>1 BUFFINGTON ST</v>
      </c>
      <c r="C6362" t="str">
        <f>T("WATERVLIET ARSENAL")</f>
        <v>WATERVLIET ARSENAL</v>
      </c>
      <c r="D6362" t="str">
        <f>T("WATERVLIET")</f>
        <v>WATERVLIET</v>
      </c>
      <c r="E6362" t="str">
        <f>T("NY")</f>
        <v>NY</v>
      </c>
      <c r="F6362" t="str">
        <f>T("121894003")</f>
        <v>121894003</v>
      </c>
      <c r="G6362" t="str">
        <f>T("1ST MCD RS ALBANY")</f>
        <v>1ST MCD RS ALBANY</v>
      </c>
      <c r="H6362" t="str">
        <f>T("BLD 40-3 2ND FL WATERVLIET ARSENAL")</f>
        <v>BLD 40-3 2ND FL WATERVLIET ARSENAL</v>
      </c>
      <c r="I6362" t="str">
        <f>T("WATERVLIET")</f>
        <v>WATERVLIET</v>
      </c>
      <c r="J6362" t="str">
        <f>T("NY")</f>
        <v>NY</v>
      </c>
      <c r="K6362" t="str">
        <f>T("5182666123")</f>
        <v>5182666123</v>
      </c>
      <c r="L6362" t="str">
        <f>T("5182666115")</f>
        <v>5182666115</v>
      </c>
    </row>
    <row r="6363" spans="1:12" x14ac:dyDescent="0.35">
      <c r="A6363" t="str">
        <f t="shared" si="2456"/>
        <v>1ST MCD</v>
      </c>
      <c r="B6363" t="str">
        <f>T("1 BUFFINGTON ST")</f>
        <v>1 BUFFINGTON ST</v>
      </c>
      <c r="C6363" t="str">
        <f>T("WATERVLIET ARSENAL")</f>
        <v>WATERVLIET ARSENAL</v>
      </c>
      <c r="D6363" t="str">
        <f>T("WATERVLIET")</f>
        <v>WATERVLIET</v>
      </c>
      <c r="E6363" t="str">
        <f>T("NY")</f>
        <v>NY</v>
      </c>
      <c r="F6363" t="str">
        <f>T("121894003")</f>
        <v>121894003</v>
      </c>
      <c r="G6363" t="str">
        <f>T("1ST MCD RS ALBANY")</f>
        <v>1ST MCD RS ALBANY</v>
      </c>
      <c r="H6363" t="str">
        <f>T("BLD 40-3 2ND FL WATERVLIET ARSENAL")</f>
        <v>BLD 40-3 2ND FL WATERVLIET ARSENAL</v>
      </c>
      <c r="I6363" t="str">
        <f>T("WATERVLIET")</f>
        <v>WATERVLIET</v>
      </c>
      <c r="J6363" t="str">
        <f>T("NY")</f>
        <v>NY</v>
      </c>
      <c r="K6363" t="str">
        <f>T("5182666123")</f>
        <v>5182666123</v>
      </c>
      <c r="L6363" t="str">
        <f>T("5182666116")</f>
        <v>5182666116</v>
      </c>
    </row>
    <row r="6364" spans="1:12" x14ac:dyDescent="0.35">
      <c r="A6364" t="str">
        <f t="shared" si="2456"/>
        <v>1ST MCD</v>
      </c>
      <c r="B6364" t="str">
        <f>T("100 CORPORATE PKWY")</f>
        <v>100 CORPORATE PKWY</v>
      </c>
      <c r="C6364" t="str">
        <f>T("SUITE 100")</f>
        <v>SUITE 100</v>
      </c>
      <c r="D6364" t="str">
        <f>T("AMHERST")</f>
        <v>AMHERST</v>
      </c>
      <c r="E6364" t="str">
        <f>T("NY")</f>
        <v>NY</v>
      </c>
      <c r="F6364" t="str">
        <f>T("142261200")</f>
        <v>142261200</v>
      </c>
      <c r="G6364" t="str">
        <f>T("100 CORPORATE PKWY")</f>
        <v>100 CORPORATE PKWY</v>
      </c>
      <c r="H6364" t="str">
        <f>T("SUITE 100")</f>
        <v>SUITE 100</v>
      </c>
      <c r="I6364" t="str">
        <f>T("AMHERST")</f>
        <v>AMHERST</v>
      </c>
      <c r="J6364" t="str">
        <f>T("NY")</f>
        <v>NY</v>
      </c>
      <c r="K6364" t="str">
        <f>T("7165514475")</f>
        <v>7165514475</v>
      </c>
      <c r="L6364" t="str">
        <f>T("7165514915")</f>
        <v>7165514915</v>
      </c>
    </row>
    <row r="6365" spans="1:12" x14ac:dyDescent="0.35">
      <c r="A6365" t="str">
        <f t="shared" si="2456"/>
        <v>1ST MCD</v>
      </c>
      <c r="B6365" t="str">
        <f>T("100 CORPORATE PKWY")</f>
        <v>100 CORPORATE PKWY</v>
      </c>
      <c r="C6365" t="str">
        <f>T("SUITE 100")</f>
        <v>SUITE 100</v>
      </c>
      <c r="D6365" t="str">
        <f>T("AMHERST")</f>
        <v>AMHERST</v>
      </c>
      <c r="E6365" t="str">
        <f>T("NY")</f>
        <v>NY</v>
      </c>
      <c r="F6365" t="str">
        <f>T("142261200")</f>
        <v>142261200</v>
      </c>
      <c r="G6365" t="str">
        <f>T("RS BUFFALO")</f>
        <v>RS BUFFALO</v>
      </c>
      <c r="H6365" t="str">
        <f>T("100 CORPORATE PARKWAY SUITE 100")</f>
        <v>100 CORPORATE PARKWAY SUITE 100</v>
      </c>
      <c r="I6365" t="str">
        <f>T("AMHERST")</f>
        <v>AMHERST</v>
      </c>
      <c r="J6365" t="str">
        <f>T("NY")</f>
        <v>NY</v>
      </c>
      <c r="K6365" t="str">
        <f>T("7165514109")</f>
        <v>7165514109</v>
      </c>
      <c r="L6365" t="str">
        <f>T("7165514919")</f>
        <v>7165514919</v>
      </c>
    </row>
    <row r="6366" spans="1:12" x14ac:dyDescent="0.35">
      <c r="A6366" t="str">
        <f t="shared" si="2456"/>
        <v>1ST MCD</v>
      </c>
      <c r="B6366" t="str">
        <f>T("1334 ASHTON RD")</f>
        <v>1334 ASHTON RD</v>
      </c>
      <c r="C6366" t="str">
        <f>T("SUITE C")</f>
        <v>SUITE C</v>
      </c>
      <c r="D6366" t="str">
        <f>T("HANOVER")</f>
        <v>HANOVER</v>
      </c>
      <c r="E6366" t="str">
        <f>T("MD")</f>
        <v>MD</v>
      </c>
      <c r="F6366" t="str">
        <f>T("210763155")</f>
        <v>210763155</v>
      </c>
      <c r="G6366" t="str">
        <f>T("1334 ASHTON RD")</f>
        <v>1334 ASHTON RD</v>
      </c>
      <c r="H6366" t="str">
        <f>T("SUITE C")</f>
        <v>SUITE C</v>
      </c>
      <c r="I6366" t="str">
        <f>T("HANOVER")</f>
        <v>HANOVER</v>
      </c>
      <c r="J6366" t="str">
        <f>T("MD")</f>
        <v>MD</v>
      </c>
      <c r="K6366" t="str">
        <f>T("000000000000000000")</f>
        <v>000000000000000000</v>
      </c>
      <c r="L6366" t="str">
        <f>T("4108509191")</f>
        <v>4108509191</v>
      </c>
    </row>
    <row r="6367" spans="1:12" x14ac:dyDescent="0.35">
      <c r="A6367" t="str">
        <f t="shared" si="2456"/>
        <v>1ST MCD</v>
      </c>
      <c r="B6367" t="str">
        <f>T("1334 ASHTON RD")</f>
        <v>1334 ASHTON RD</v>
      </c>
      <c r="C6367" t="str">
        <f>T("SUITE C")</f>
        <v>SUITE C</v>
      </c>
      <c r="D6367" t="str">
        <f>T("HANOVER")</f>
        <v>HANOVER</v>
      </c>
      <c r="E6367" t="str">
        <f>T("MD")</f>
        <v>MD</v>
      </c>
      <c r="F6367" t="str">
        <f>T("210763155")</f>
        <v>210763155</v>
      </c>
      <c r="G6367" t="str">
        <f>T("RS BALTIMORE")</f>
        <v>RS BALTIMORE</v>
      </c>
      <c r="H6367" t="str">
        <f>T("1334 ASHTON RD SUITE C")</f>
        <v>1334 ASHTON RD SUITE C</v>
      </c>
      <c r="I6367" t="str">
        <f>T("HANOVER")</f>
        <v>HANOVER</v>
      </c>
      <c r="J6367" t="str">
        <f>T("MD")</f>
        <v>MD</v>
      </c>
      <c r="K6367" t="str">
        <f>T("4108509198")</f>
        <v>4108509198</v>
      </c>
      <c r="L6367" t="str">
        <f>T("4108509191")</f>
        <v>4108509191</v>
      </c>
    </row>
    <row r="6368" spans="1:12" x14ac:dyDescent="0.35">
      <c r="A6368" t="str">
        <f t="shared" si="2456"/>
        <v>1ST MCD</v>
      </c>
      <c r="B6368" t="str">
        <f>T("1ST MCD 605 STEWART AVE")</f>
        <v>1ST MCD 605 STEWART AVE</v>
      </c>
      <c r="C6368" t="str">
        <f t="shared" ref="C6368:C6378" si="2457">T("")</f>
        <v/>
      </c>
      <c r="D6368" t="str">
        <f t="shared" ref="D6368:D6378" si="2458">T("GARDEN CITY")</f>
        <v>GARDEN CITY</v>
      </c>
      <c r="E6368" t="str">
        <f t="shared" ref="E6368:E6378" si="2459">T("NY")</f>
        <v>NY</v>
      </c>
      <c r="F6368" t="str">
        <f t="shared" ref="F6368:F6378" si="2460">T("115304706")</f>
        <v>115304706</v>
      </c>
      <c r="G6368" t="str">
        <f>T("1ST MCD 605 STEWART AVE")</f>
        <v>1ST MCD 605 STEWART AVE</v>
      </c>
      <c r="H6368" t="str">
        <f t="shared" ref="H6368:H6377" si="2461">T("")</f>
        <v/>
      </c>
      <c r="I6368" t="str">
        <f t="shared" ref="I6368:I6378" si="2462">T("GARDEN CITY")</f>
        <v>GARDEN CITY</v>
      </c>
      <c r="J6368" t="str">
        <f t="shared" ref="J6368:J6378" si="2463">T("NY")</f>
        <v>NY</v>
      </c>
      <c r="K6368" t="str">
        <f>T("5162285648")</f>
        <v>5162285648</v>
      </c>
      <c r="L6368" t="str">
        <f>T("5162285640")</f>
        <v>5162285640</v>
      </c>
    </row>
    <row r="6369" spans="1:12" x14ac:dyDescent="0.35">
      <c r="A6369" t="str">
        <f t="shared" si="2456"/>
        <v>1ST MCD</v>
      </c>
      <c r="B6369" t="str">
        <f>T("1ST MCD 605 STEWART AVE")</f>
        <v>1ST MCD 605 STEWART AVE</v>
      </c>
      <c r="C6369" t="str">
        <f t="shared" si="2457"/>
        <v/>
      </c>
      <c r="D6369" t="str">
        <f t="shared" si="2458"/>
        <v>GARDEN CITY</v>
      </c>
      <c r="E6369" t="str">
        <f t="shared" si="2459"/>
        <v>NY</v>
      </c>
      <c r="F6369" t="str">
        <f t="shared" si="2460"/>
        <v>115304706</v>
      </c>
      <c r="G6369" t="str">
        <f>T("604 STEWART AVE")</f>
        <v>604 STEWART AVE</v>
      </c>
      <c r="H6369" t="str">
        <f t="shared" si="2461"/>
        <v/>
      </c>
      <c r="I6369" t="str">
        <f t="shared" si="2462"/>
        <v>GARDEN CITY</v>
      </c>
      <c r="J6369" t="str">
        <f t="shared" si="2463"/>
        <v>NY</v>
      </c>
      <c r="K6369" t="str">
        <f>T("000000000000000000")</f>
        <v>000000000000000000</v>
      </c>
      <c r="L6369" t="str">
        <f>T("5162283639")</f>
        <v>5162283639</v>
      </c>
    </row>
    <row r="6370" spans="1:12" x14ac:dyDescent="0.35">
      <c r="A6370" t="str">
        <f t="shared" si="2456"/>
        <v>1ST MCD</v>
      </c>
      <c r="B6370" t="str">
        <f>T("1ST MCD 605 STEWART AVE")</f>
        <v>1ST MCD 605 STEWART AVE</v>
      </c>
      <c r="C6370" t="str">
        <f t="shared" si="2457"/>
        <v/>
      </c>
      <c r="D6370" t="str">
        <f t="shared" si="2458"/>
        <v>GARDEN CITY</v>
      </c>
      <c r="E6370" t="str">
        <f t="shared" si="2459"/>
        <v>NY</v>
      </c>
      <c r="F6370" t="str">
        <f t="shared" si="2460"/>
        <v>115304706</v>
      </c>
      <c r="G6370" t="str">
        <f>T("605 STERWART AVE")</f>
        <v>605 STERWART AVE</v>
      </c>
      <c r="H6370" t="str">
        <f t="shared" si="2461"/>
        <v/>
      </c>
      <c r="I6370" t="str">
        <f t="shared" si="2462"/>
        <v>GARDEN CITY</v>
      </c>
      <c r="J6370" t="str">
        <f t="shared" si="2463"/>
        <v>NY</v>
      </c>
      <c r="K6370" t="str">
        <f>T("000000000000000000")</f>
        <v>000000000000000000</v>
      </c>
      <c r="L6370" t="str">
        <f>T("5162285631")</f>
        <v>5162285631</v>
      </c>
    </row>
    <row r="6371" spans="1:12" x14ac:dyDescent="0.35">
      <c r="A6371" t="str">
        <f t="shared" si="2456"/>
        <v>1ST MCD</v>
      </c>
      <c r="B6371" t="str">
        <f t="shared" ref="B6371:B6378" si="2464">T("605 STEWART AVE")</f>
        <v>605 STEWART AVE</v>
      </c>
      <c r="C6371" t="str">
        <f t="shared" si="2457"/>
        <v/>
      </c>
      <c r="D6371" t="str">
        <f t="shared" si="2458"/>
        <v>GARDEN CITY</v>
      </c>
      <c r="E6371" t="str">
        <f t="shared" si="2459"/>
        <v>NY</v>
      </c>
      <c r="F6371" t="str">
        <f t="shared" si="2460"/>
        <v>115304706</v>
      </c>
      <c r="G6371" t="str">
        <f t="shared" ref="G6371:G6377" si="2465">T("605 STEWART AVE")</f>
        <v>605 STEWART AVE</v>
      </c>
      <c r="H6371" t="str">
        <f t="shared" si="2461"/>
        <v/>
      </c>
      <c r="I6371" t="str">
        <f t="shared" si="2462"/>
        <v>GARDEN CITY</v>
      </c>
      <c r="J6371" t="str">
        <f t="shared" si="2463"/>
        <v>NY</v>
      </c>
      <c r="K6371" t="str">
        <f>T("000000000000000000")</f>
        <v>000000000000000000</v>
      </c>
      <c r="L6371" t="str">
        <f>T("5162283639")</f>
        <v>5162283639</v>
      </c>
    </row>
    <row r="6372" spans="1:12" x14ac:dyDescent="0.35">
      <c r="A6372" t="str">
        <f t="shared" si="2456"/>
        <v>1ST MCD</v>
      </c>
      <c r="B6372" t="str">
        <f t="shared" si="2464"/>
        <v>605 STEWART AVE</v>
      </c>
      <c r="C6372" t="str">
        <f t="shared" si="2457"/>
        <v/>
      </c>
      <c r="D6372" t="str">
        <f t="shared" si="2458"/>
        <v>GARDEN CITY</v>
      </c>
      <c r="E6372" t="str">
        <f t="shared" si="2459"/>
        <v>NY</v>
      </c>
      <c r="F6372" t="str">
        <f t="shared" si="2460"/>
        <v>115304706</v>
      </c>
      <c r="G6372" t="str">
        <f t="shared" si="2465"/>
        <v>605 STEWART AVE</v>
      </c>
      <c r="H6372" t="str">
        <f t="shared" si="2461"/>
        <v/>
      </c>
      <c r="I6372" t="str">
        <f t="shared" si="2462"/>
        <v>GARDEN CITY</v>
      </c>
      <c r="J6372" t="str">
        <f t="shared" si="2463"/>
        <v>NY</v>
      </c>
      <c r="K6372" t="str">
        <f>T("000000000000000000")</f>
        <v>000000000000000000</v>
      </c>
      <c r="L6372" t="str">
        <f>T("5162285646")</f>
        <v>5162285646</v>
      </c>
    </row>
    <row r="6373" spans="1:12" x14ac:dyDescent="0.35">
      <c r="A6373" t="str">
        <f t="shared" si="2456"/>
        <v>1ST MCD</v>
      </c>
      <c r="B6373" t="str">
        <f t="shared" si="2464"/>
        <v>605 STEWART AVE</v>
      </c>
      <c r="C6373" t="str">
        <f t="shared" si="2457"/>
        <v/>
      </c>
      <c r="D6373" t="str">
        <f t="shared" si="2458"/>
        <v>GARDEN CITY</v>
      </c>
      <c r="E6373" t="str">
        <f t="shared" si="2459"/>
        <v>NY</v>
      </c>
      <c r="F6373" t="str">
        <f t="shared" si="2460"/>
        <v>115304706</v>
      </c>
      <c r="G6373" t="str">
        <f t="shared" si="2465"/>
        <v>605 STEWART AVE</v>
      </c>
      <c r="H6373" t="str">
        <f t="shared" si="2461"/>
        <v/>
      </c>
      <c r="I6373" t="str">
        <f t="shared" si="2462"/>
        <v>GARDEN CITY</v>
      </c>
      <c r="J6373" t="str">
        <f t="shared" si="2463"/>
        <v>NY</v>
      </c>
      <c r="K6373" t="str">
        <f>T("5162285644")</f>
        <v>5162285644</v>
      </c>
      <c r="L6373" t="str">
        <f>T("5162283680")</f>
        <v>5162283680</v>
      </c>
    </row>
    <row r="6374" spans="1:12" x14ac:dyDescent="0.35">
      <c r="A6374" t="str">
        <f t="shared" si="2456"/>
        <v>1ST MCD</v>
      </c>
      <c r="B6374" t="str">
        <f t="shared" si="2464"/>
        <v>605 STEWART AVE</v>
      </c>
      <c r="C6374" t="str">
        <f t="shared" si="2457"/>
        <v/>
      </c>
      <c r="D6374" t="str">
        <f t="shared" si="2458"/>
        <v>GARDEN CITY</v>
      </c>
      <c r="E6374" t="str">
        <f t="shared" si="2459"/>
        <v>NY</v>
      </c>
      <c r="F6374" t="str">
        <f t="shared" si="2460"/>
        <v>115304706</v>
      </c>
      <c r="G6374" t="str">
        <f t="shared" si="2465"/>
        <v>605 STEWART AVE</v>
      </c>
      <c r="H6374" t="str">
        <f t="shared" si="2461"/>
        <v/>
      </c>
      <c r="I6374" t="str">
        <f t="shared" si="2462"/>
        <v>GARDEN CITY</v>
      </c>
      <c r="J6374" t="str">
        <f t="shared" si="2463"/>
        <v>NY</v>
      </c>
      <c r="K6374" t="str">
        <f>T("5162285696")</f>
        <v>5162285696</v>
      </c>
      <c r="L6374" t="str">
        <f>T("5162285619")</f>
        <v>5162285619</v>
      </c>
    </row>
    <row r="6375" spans="1:12" x14ac:dyDescent="0.35">
      <c r="A6375" t="str">
        <f t="shared" si="2456"/>
        <v>1ST MCD</v>
      </c>
      <c r="B6375" t="str">
        <f t="shared" si="2464"/>
        <v>605 STEWART AVE</v>
      </c>
      <c r="C6375" t="str">
        <f t="shared" si="2457"/>
        <v/>
      </c>
      <c r="D6375" t="str">
        <f t="shared" si="2458"/>
        <v>GARDEN CITY</v>
      </c>
      <c r="E6375" t="str">
        <f t="shared" si="2459"/>
        <v>NY</v>
      </c>
      <c r="F6375" t="str">
        <f t="shared" si="2460"/>
        <v>115304706</v>
      </c>
      <c r="G6375" t="str">
        <f t="shared" si="2465"/>
        <v>605 STEWART AVE</v>
      </c>
      <c r="H6375" t="str">
        <f t="shared" si="2461"/>
        <v/>
      </c>
      <c r="I6375" t="str">
        <f t="shared" si="2462"/>
        <v>GARDEN CITY</v>
      </c>
      <c r="J6375" t="str">
        <f t="shared" si="2463"/>
        <v>NY</v>
      </c>
      <c r="K6375" t="str">
        <f>T("5162285696")</f>
        <v>5162285696</v>
      </c>
      <c r="L6375" t="str">
        <f>T("5162285620")</f>
        <v>5162285620</v>
      </c>
    </row>
    <row r="6376" spans="1:12" x14ac:dyDescent="0.35">
      <c r="A6376" t="str">
        <f t="shared" si="2456"/>
        <v>1ST MCD</v>
      </c>
      <c r="B6376" t="str">
        <f t="shared" si="2464"/>
        <v>605 STEWART AVE</v>
      </c>
      <c r="C6376" t="str">
        <f t="shared" si="2457"/>
        <v/>
      </c>
      <c r="D6376" t="str">
        <f t="shared" si="2458"/>
        <v>GARDEN CITY</v>
      </c>
      <c r="E6376" t="str">
        <f t="shared" si="2459"/>
        <v>NY</v>
      </c>
      <c r="F6376" t="str">
        <f t="shared" si="2460"/>
        <v>115304706</v>
      </c>
      <c r="G6376" t="str">
        <f t="shared" si="2465"/>
        <v>605 STEWART AVE</v>
      </c>
      <c r="H6376" t="str">
        <f t="shared" si="2461"/>
        <v/>
      </c>
      <c r="I6376" t="str">
        <f t="shared" si="2462"/>
        <v>GARDEN CITY</v>
      </c>
      <c r="J6376" t="str">
        <f t="shared" si="2463"/>
        <v>NY</v>
      </c>
      <c r="K6376" t="str">
        <f>T("5162285696")</f>
        <v>5162285696</v>
      </c>
      <c r="L6376" t="str">
        <f>T("5162285646")</f>
        <v>5162285646</v>
      </c>
    </row>
    <row r="6377" spans="1:12" x14ac:dyDescent="0.35">
      <c r="A6377" t="str">
        <f t="shared" si="2456"/>
        <v>1ST MCD</v>
      </c>
      <c r="B6377" t="str">
        <f t="shared" si="2464"/>
        <v>605 STEWART AVE</v>
      </c>
      <c r="C6377" t="str">
        <f t="shared" si="2457"/>
        <v/>
      </c>
      <c r="D6377" t="str">
        <f t="shared" si="2458"/>
        <v>GARDEN CITY</v>
      </c>
      <c r="E6377" t="str">
        <f t="shared" si="2459"/>
        <v>NY</v>
      </c>
      <c r="F6377" t="str">
        <f t="shared" si="2460"/>
        <v>115304706</v>
      </c>
      <c r="G6377" t="str">
        <f t="shared" si="2465"/>
        <v>605 STEWART AVE</v>
      </c>
      <c r="H6377" t="str">
        <f t="shared" si="2461"/>
        <v/>
      </c>
      <c r="I6377" t="str">
        <f t="shared" si="2462"/>
        <v>GARDEN CITY</v>
      </c>
      <c r="J6377" t="str">
        <f t="shared" si="2463"/>
        <v>NY</v>
      </c>
      <c r="K6377" t="str">
        <f>T("5162285696")</f>
        <v>5162285696</v>
      </c>
      <c r="L6377" t="str">
        <f>T("5162285665")</f>
        <v>5162285665</v>
      </c>
    </row>
    <row r="6378" spans="1:12" x14ac:dyDescent="0.35">
      <c r="A6378" t="str">
        <f t="shared" si="2456"/>
        <v>1ST MCD</v>
      </c>
      <c r="B6378" t="str">
        <f t="shared" si="2464"/>
        <v>605 STEWART AVE</v>
      </c>
      <c r="C6378" t="str">
        <f t="shared" si="2457"/>
        <v/>
      </c>
      <c r="D6378" t="str">
        <f t="shared" si="2458"/>
        <v>GARDEN CITY</v>
      </c>
      <c r="E6378" t="str">
        <f t="shared" si="2459"/>
        <v>NY</v>
      </c>
      <c r="F6378" t="str">
        <f t="shared" si="2460"/>
        <v>115304706</v>
      </c>
      <c r="G6378" t="str">
        <f>T("RS NEW YORK")</f>
        <v>RS NEW YORK</v>
      </c>
      <c r="H6378" t="str">
        <f>T("605 STEWART AVE")</f>
        <v>605 STEWART AVE</v>
      </c>
      <c r="I6378" t="str">
        <f t="shared" si="2462"/>
        <v>GARDEN CITY</v>
      </c>
      <c r="J6378" t="str">
        <f t="shared" si="2463"/>
        <v>NY</v>
      </c>
      <c r="K6378" t="str">
        <f>T("5162285946")</f>
        <v>5162285946</v>
      </c>
      <c r="L6378" t="str">
        <f>T("5162283609")</f>
        <v>5162283609</v>
      </c>
    </row>
    <row r="6379" spans="1:12" x14ac:dyDescent="0.35">
      <c r="A6379" t="str">
        <f t="shared" si="2456"/>
        <v>1ST MCD</v>
      </c>
      <c r="B6379" t="str">
        <f>T("700 EAGLE DR")</f>
        <v>700 EAGLE DR</v>
      </c>
      <c r="C6379" t="str">
        <f>T("BLDG 3103 SUITE 143")</f>
        <v>BLDG 3103 SUITE 143</v>
      </c>
      <c r="D6379" t="str">
        <f>T("CHICOPEE")</f>
        <v>CHICOPEE</v>
      </c>
      <c r="E6379" t="str">
        <f>T("MA")</f>
        <v>MA</v>
      </c>
      <c r="F6379" t="str">
        <f>T("010220000")</f>
        <v>010220000</v>
      </c>
      <c r="G6379" t="str">
        <f>T("700 EAGLE DR")</f>
        <v>700 EAGLE DR</v>
      </c>
      <c r="H6379" t="str">
        <f>T("BLDG 3103 SUITE 143")</f>
        <v>BLDG 3103 SUITE 143</v>
      </c>
      <c r="I6379" t="str">
        <f>T("CHICOPEE")</f>
        <v>CHICOPEE</v>
      </c>
      <c r="J6379" t="str">
        <f>T("MA")</f>
        <v>MA</v>
      </c>
      <c r="K6379" t="str">
        <f>T("4133781620")</f>
        <v>4133781620</v>
      </c>
      <c r="L6379" t="str">
        <f>T("4133781607")</f>
        <v>4133781607</v>
      </c>
    </row>
    <row r="6380" spans="1:12" x14ac:dyDescent="0.35">
      <c r="A6380" t="str">
        <f t="shared" si="2456"/>
        <v>1ST MCD</v>
      </c>
      <c r="B6380" t="str">
        <f>T("700 EAGLE DR")</f>
        <v>700 EAGLE DR</v>
      </c>
      <c r="C6380" t="str">
        <f>T("BLDG 3103 SUITE 143")</f>
        <v>BLDG 3103 SUITE 143</v>
      </c>
      <c r="D6380" t="str">
        <f>T("CHICOPEE")</f>
        <v>CHICOPEE</v>
      </c>
      <c r="E6380" t="str">
        <f>T("MA")</f>
        <v>MA</v>
      </c>
      <c r="F6380" t="str">
        <f>T("010220000")</f>
        <v>010220000</v>
      </c>
      <c r="G6380" t="str">
        <f>T("RS SPRINGFIELD WESTOVER AIR RS BASE")</f>
        <v>RS SPRINGFIELD WESTOVER AIR RS BASE</v>
      </c>
      <c r="H6380" t="str">
        <f>T("700 EAGLE DR BLD 3103 SUITE 143")</f>
        <v>700 EAGLE DR BLD 3103 SUITE 143</v>
      </c>
      <c r="I6380" t="str">
        <f>T("CHICOPEE")</f>
        <v>CHICOPEE</v>
      </c>
      <c r="J6380" t="str">
        <f>T("MA")</f>
        <v>MA</v>
      </c>
      <c r="K6380" t="str">
        <f>T("4133781620")</f>
        <v>4133781620</v>
      </c>
      <c r="L6380" t="str">
        <f>T("4133781611")</f>
        <v>4133781611</v>
      </c>
    </row>
    <row r="6381" spans="1:12" x14ac:dyDescent="0.35">
      <c r="A6381" t="str">
        <f t="shared" si="2456"/>
        <v>1ST MCD</v>
      </c>
      <c r="B6381" t="str">
        <f>T("755 BANFIELD ROAD")</f>
        <v>755 BANFIELD ROAD</v>
      </c>
      <c r="C6381" t="str">
        <f>T("")</f>
        <v/>
      </c>
      <c r="D6381" t="str">
        <f>T("PORTSMOUTH")</f>
        <v>PORTSMOUTH</v>
      </c>
      <c r="E6381" t="str">
        <f>T("NH")</f>
        <v>NH</v>
      </c>
      <c r="F6381" t="str">
        <f>T("038015647")</f>
        <v>038015647</v>
      </c>
      <c r="G6381" t="str">
        <f>T("755 BANFIELD RD")</f>
        <v>755 BANFIELD RD</v>
      </c>
      <c r="H6381" t="str">
        <f>T("")</f>
        <v/>
      </c>
      <c r="I6381" t="str">
        <f>T("PORTSMOUTH")</f>
        <v>PORTSMOUTH</v>
      </c>
      <c r="J6381" t="str">
        <f>T("NH")</f>
        <v>NH</v>
      </c>
      <c r="K6381" t="str">
        <f>T("6034367196")</f>
        <v>6034367196</v>
      </c>
      <c r="L6381" t="str">
        <f>T("6064360486")</f>
        <v>6064360486</v>
      </c>
    </row>
    <row r="6382" spans="1:12" x14ac:dyDescent="0.35">
      <c r="A6382" t="str">
        <f t="shared" si="2456"/>
        <v>1ST MCD</v>
      </c>
      <c r="B6382" t="str">
        <f>T("755 BANFIELD ROAD")</f>
        <v>755 BANFIELD ROAD</v>
      </c>
      <c r="C6382" t="str">
        <f>T("")</f>
        <v/>
      </c>
      <c r="D6382" t="str">
        <f>T("PORTSMOUTH")</f>
        <v>PORTSMOUTH</v>
      </c>
      <c r="E6382" t="str">
        <f>T("NH")</f>
        <v>NH</v>
      </c>
      <c r="F6382" t="str">
        <f>T("038015647")</f>
        <v>038015647</v>
      </c>
      <c r="G6382" t="str">
        <f>T("755 BANFIELD ROAD")</f>
        <v>755 BANFIELD ROAD</v>
      </c>
      <c r="H6382" t="str">
        <f>T("")</f>
        <v/>
      </c>
      <c r="I6382" t="str">
        <f>T("PORTSMOUTH")</f>
        <v>PORTSMOUTH</v>
      </c>
      <c r="J6382" t="str">
        <f>T("NH")</f>
        <v>NH</v>
      </c>
      <c r="K6382" t="str">
        <f>T("6034310181")</f>
        <v>6034310181</v>
      </c>
      <c r="L6382" t="str">
        <f>T("6034360890")</f>
        <v>6034360890</v>
      </c>
    </row>
    <row r="6383" spans="1:12" x14ac:dyDescent="0.35">
      <c r="A6383" t="str">
        <f t="shared" si="2456"/>
        <v>1ST MCD</v>
      </c>
      <c r="B6383" t="str">
        <f>T("755 BANFIELD ROAD")</f>
        <v>755 BANFIELD ROAD</v>
      </c>
      <c r="C6383" t="str">
        <f>T("")</f>
        <v/>
      </c>
      <c r="D6383" t="str">
        <f>T("PORTSMOUTH")</f>
        <v>PORTSMOUTH</v>
      </c>
      <c r="E6383" t="str">
        <f>T("NH")</f>
        <v>NH</v>
      </c>
      <c r="F6383" t="str">
        <f>T("038015647")</f>
        <v>038015647</v>
      </c>
      <c r="G6383" t="str">
        <f>T("RS PORTSMOUTH")</f>
        <v>RS PORTSMOUTH</v>
      </c>
      <c r="H6383" t="str">
        <f>T("755 BANFIELD RD UNIT 2")</f>
        <v>755 BANFIELD RD UNIT 2</v>
      </c>
      <c r="I6383" t="str">
        <f>T("PORTSMOUTH")</f>
        <v>PORTSMOUTH</v>
      </c>
      <c r="J6383" t="str">
        <f>T("NH")</f>
        <v>NH</v>
      </c>
      <c r="K6383" t="str">
        <f>T("6034367196")</f>
        <v>6034367196</v>
      </c>
      <c r="L6383" t="str">
        <f>T("6034362176")</f>
        <v>6034362176</v>
      </c>
    </row>
    <row r="6384" spans="1:12" x14ac:dyDescent="0.35">
      <c r="A6384" t="str">
        <f t="shared" si="2456"/>
        <v>1ST MCD</v>
      </c>
      <c r="B6384" t="str">
        <f>T("BLDG 54 BAY 5")</f>
        <v>BLDG 54 BAY 5</v>
      </c>
      <c r="C6384" t="str">
        <f>T("DDC")</f>
        <v>DDC</v>
      </c>
      <c r="D6384" t="str">
        <f>T("NEW CUMBERLAND")</f>
        <v>NEW CUMBERLAND</v>
      </c>
      <c r="E6384" t="str">
        <f>T("PA")</f>
        <v>PA</v>
      </c>
      <c r="F6384" t="str">
        <f>T("170705006")</f>
        <v>170705006</v>
      </c>
      <c r="G6384" t="str">
        <f>T("BLAG 54 BAY 5")</f>
        <v>BLAG 54 BAY 5</v>
      </c>
      <c r="H6384" t="str">
        <f>T("DEFENSE DISTRIBUTION CENTER")</f>
        <v>DEFENSE DISTRIBUTION CENTER</v>
      </c>
      <c r="I6384" t="str">
        <f>T("NEW CUMBERLAND")</f>
        <v>NEW CUMBERLAND</v>
      </c>
      <c r="J6384" t="str">
        <f>T("PA")</f>
        <v>PA</v>
      </c>
      <c r="K6384" t="str">
        <f>T("7177705922")</f>
        <v>7177705922</v>
      </c>
      <c r="L6384" t="str">
        <f>T("7177706677")</f>
        <v>7177706677</v>
      </c>
    </row>
    <row r="6385" spans="1:12" x14ac:dyDescent="0.35">
      <c r="A6385" t="str">
        <f t="shared" si="2456"/>
        <v>1ST MCD</v>
      </c>
      <c r="B6385" t="str">
        <f>T("BLDG 54 BAY 5")</f>
        <v>BLDG 54 BAY 5</v>
      </c>
      <c r="C6385" t="str">
        <f>T("DDC")</f>
        <v>DDC</v>
      </c>
      <c r="D6385" t="str">
        <f>T("NEW CUMBERLAND")</f>
        <v>NEW CUMBERLAND</v>
      </c>
      <c r="E6385" t="str">
        <f>T("PA")</f>
        <v>PA</v>
      </c>
      <c r="F6385" t="str">
        <f>T("170705006")</f>
        <v>170705006</v>
      </c>
      <c r="G6385" t="str">
        <f>T("BLDG 54 BAY 5")</f>
        <v>BLDG 54 BAY 5</v>
      </c>
      <c r="H6385" t="str">
        <f>T("DDC")</f>
        <v>DDC</v>
      </c>
      <c r="I6385" t="str">
        <f>T("NEW CUMBERLAND")</f>
        <v>NEW CUMBERLAND</v>
      </c>
      <c r="J6385" t="str">
        <f>T("PA")</f>
        <v>PA</v>
      </c>
      <c r="K6385" t="str">
        <f>T("7177705922")</f>
        <v>7177705922</v>
      </c>
      <c r="L6385" t="str">
        <f>T("7177705316")</f>
        <v>7177705316</v>
      </c>
    </row>
    <row r="6386" spans="1:12" x14ac:dyDescent="0.35">
      <c r="A6386" t="str">
        <f t="shared" si="2456"/>
        <v>1ST MCD</v>
      </c>
      <c r="B6386" t="str">
        <f>T("BLDG 54 BAY 5")</f>
        <v>BLDG 54 BAY 5</v>
      </c>
      <c r="C6386" t="str">
        <f>T("DDC")</f>
        <v>DDC</v>
      </c>
      <c r="D6386" t="str">
        <f>T("NEW CUMBERLAND")</f>
        <v>NEW CUMBERLAND</v>
      </c>
      <c r="E6386" t="str">
        <f>T("PA")</f>
        <v>PA</v>
      </c>
      <c r="F6386" t="str">
        <f>T("170705006")</f>
        <v>170705006</v>
      </c>
      <c r="G6386" t="str">
        <f>T("RD HARRISBURG BLDG 54 BAY 5")</f>
        <v>RD HARRISBURG BLDG 54 BAY 5</v>
      </c>
      <c r="H6386" t="str">
        <f>T("DDC")</f>
        <v>DDC</v>
      </c>
      <c r="I6386" t="str">
        <f>T("NEW CUMBERLAND")</f>
        <v>NEW CUMBERLAND</v>
      </c>
      <c r="J6386" t="str">
        <f>T("PA")</f>
        <v>PA</v>
      </c>
      <c r="K6386" t="str">
        <f>T("7177705922")</f>
        <v>7177705922</v>
      </c>
      <c r="L6386" t="str">
        <f>T("7177706677")</f>
        <v>7177706677</v>
      </c>
    </row>
    <row r="6387" spans="1:12" x14ac:dyDescent="0.35">
      <c r="A6387" t="str">
        <f t="shared" si="2456"/>
        <v>1ST MCD</v>
      </c>
      <c r="B6387" t="str">
        <f>T("BLDG 54 BAY 5")</f>
        <v>BLDG 54 BAY 5</v>
      </c>
      <c r="C6387" t="str">
        <f>T("DDC")</f>
        <v>DDC</v>
      </c>
      <c r="D6387" t="str">
        <f>T("NEW CUMBERLAND")</f>
        <v>NEW CUMBERLAND</v>
      </c>
      <c r="E6387" t="str">
        <f>T("PA")</f>
        <v>PA</v>
      </c>
      <c r="F6387" t="str">
        <f>T("170705006")</f>
        <v>170705006</v>
      </c>
      <c r="G6387" t="str">
        <f>T("RS HARRISBURG BLDG 54 BAY 5")</f>
        <v>RS HARRISBURG BLDG 54 BAY 5</v>
      </c>
      <c r="H6387" t="str">
        <f>T("DEFENSE DISTRIBUTION CENTER")</f>
        <v>DEFENSE DISTRIBUTION CENTER</v>
      </c>
      <c r="I6387" t="str">
        <f>T("NEW CUMBERLAND")</f>
        <v>NEW CUMBERLAND</v>
      </c>
      <c r="J6387" t="str">
        <f>T("PA")</f>
        <v>PA</v>
      </c>
      <c r="K6387" t="str">
        <f>T("7177705922")</f>
        <v>7177705922</v>
      </c>
      <c r="L6387" t="str">
        <f>T("7177706677")</f>
        <v>7177706677</v>
      </c>
    </row>
    <row r="6388" spans="1:12" x14ac:dyDescent="0.35">
      <c r="A6388" t="str">
        <f t="shared" si="2456"/>
        <v>1ST MCD</v>
      </c>
      <c r="B6388" t="str">
        <f>T("NAVAL WPNS STATION EARLE")</f>
        <v>NAVAL WPNS STATION EARLE</v>
      </c>
      <c r="C6388" t="str">
        <f>T("201 HWY 34 S BLDG C38")</f>
        <v>201 HWY 34 S BLDG C38</v>
      </c>
      <c r="D6388" t="str">
        <f>T("COLTS NECK")</f>
        <v>COLTS NECK</v>
      </c>
      <c r="E6388" t="str">
        <f>T("NJ")</f>
        <v>NJ</v>
      </c>
      <c r="F6388" t="str">
        <f>T("077221902")</f>
        <v>077221902</v>
      </c>
      <c r="G6388" t="str">
        <f>T("201 HIGHWAY 34 SOUTH")</f>
        <v>201 HIGHWAY 34 SOUTH</v>
      </c>
      <c r="H6388" t="str">
        <f>T("BLDG C-38")</f>
        <v>BLDG C-38</v>
      </c>
      <c r="I6388" t="str">
        <f>T("COLTS NECK")</f>
        <v>COLTS NECK</v>
      </c>
      <c r="J6388" t="str">
        <f>T("NJ")</f>
        <v>NJ</v>
      </c>
      <c r="K6388" t="str">
        <f>T("7328661220")</f>
        <v>7328661220</v>
      </c>
      <c r="L6388" t="str">
        <f>T("7328662950")</f>
        <v>7328662950</v>
      </c>
    </row>
    <row r="6389" spans="1:12" x14ac:dyDescent="0.35">
      <c r="A6389" t="str">
        <f t="shared" si="2456"/>
        <v>1ST MCD</v>
      </c>
      <c r="B6389" t="str">
        <f>T("NAVAL WPNS STATION EARLE")</f>
        <v>NAVAL WPNS STATION EARLE</v>
      </c>
      <c r="C6389" t="str">
        <f>T("201 HWY 34 S BLDG C38")</f>
        <v>201 HWY 34 S BLDG C38</v>
      </c>
      <c r="D6389" t="str">
        <f>T("COLTS NECK")</f>
        <v>COLTS NECK</v>
      </c>
      <c r="E6389" t="str">
        <f>T("NJ")</f>
        <v>NJ</v>
      </c>
      <c r="F6389" t="str">
        <f>T("077221902")</f>
        <v>077221902</v>
      </c>
      <c r="G6389" t="str">
        <f>T("201 HWY 31 SOUTH")</f>
        <v>201 HWY 31 SOUTH</v>
      </c>
      <c r="H6389" t="str">
        <f>T("BLDG 38 38-C")</f>
        <v>BLDG 38 38-C</v>
      </c>
      <c r="I6389" t="str">
        <f>T("COLTS NECK")</f>
        <v>COLTS NECK</v>
      </c>
      <c r="J6389" t="str">
        <f>T("NJ")</f>
        <v>NJ</v>
      </c>
      <c r="K6389" t="str">
        <f>T("7328661220")</f>
        <v>7328661220</v>
      </c>
      <c r="L6389" t="str">
        <f>T("7328662950")</f>
        <v>7328662950</v>
      </c>
    </row>
    <row r="6390" spans="1:12" x14ac:dyDescent="0.35">
      <c r="A6390" t="str">
        <f t="shared" si="2456"/>
        <v>1ST MCD</v>
      </c>
      <c r="B6390" t="str">
        <f>T("NAVAL WPNS STATION EARLE")</f>
        <v>NAVAL WPNS STATION EARLE</v>
      </c>
      <c r="C6390" t="str">
        <f>T("201 HWY 34 S BLDG C38")</f>
        <v>201 HWY 34 S BLDG C38</v>
      </c>
      <c r="D6390" t="str">
        <f>T("COLTS NECK")</f>
        <v>COLTS NECK</v>
      </c>
      <c r="E6390" t="str">
        <f>T("NJ")</f>
        <v>NJ</v>
      </c>
      <c r="F6390" t="str">
        <f>T("077221902")</f>
        <v>077221902</v>
      </c>
      <c r="G6390" t="str">
        <f>T("NAVAL WPNS STATION EARLE")</f>
        <v>NAVAL WPNS STATION EARLE</v>
      </c>
      <c r="H6390" t="str">
        <f>T("201 HWY 34 S BLDG C38")</f>
        <v>201 HWY 34 S BLDG C38</v>
      </c>
      <c r="I6390" t="str">
        <f>T("COLTS NECK")</f>
        <v>COLTS NECK</v>
      </c>
      <c r="J6390" t="str">
        <f>T("NJ")</f>
        <v>NJ</v>
      </c>
      <c r="K6390" t="str">
        <f>T("7328661220")</f>
        <v>7328661220</v>
      </c>
      <c r="L6390" t="str">
        <f>T("7328662907")</f>
        <v>7328662907</v>
      </c>
    </row>
    <row r="6391" spans="1:12" x14ac:dyDescent="0.35">
      <c r="A6391" t="str">
        <f t="shared" si="2456"/>
        <v>1ST MCD</v>
      </c>
      <c r="B6391" t="str">
        <f>T("NAVAL WPNS STATION EARLE")</f>
        <v>NAVAL WPNS STATION EARLE</v>
      </c>
      <c r="C6391" t="str">
        <f>T("201 HWY 34 S BLDG C38")</f>
        <v>201 HWY 34 S BLDG C38</v>
      </c>
      <c r="D6391" t="str">
        <f>T("COLTS NECK")</f>
        <v>COLTS NECK</v>
      </c>
      <c r="E6391" t="str">
        <f>T("NJ")</f>
        <v>NJ</v>
      </c>
      <c r="F6391" t="str">
        <f>T("077221902")</f>
        <v>077221902</v>
      </c>
      <c r="G6391" t="str">
        <f>T("RS NEW JERSEY")</f>
        <v>RS NEW JERSEY</v>
      </c>
      <c r="H6391" t="str">
        <f>T("201 HIGHWAY 34 SOUTH BLDG C-38")</f>
        <v>201 HIGHWAY 34 SOUTH BLDG C-38</v>
      </c>
      <c r="I6391" t="str">
        <f>T("COLTS NECK")</f>
        <v>COLTS NECK</v>
      </c>
      <c r="J6391" t="str">
        <f>T("NJ")</f>
        <v>NJ</v>
      </c>
      <c r="K6391" t="str">
        <f>T("7328661220")</f>
        <v>7328661220</v>
      </c>
      <c r="L6391" t="str">
        <f>T("7328662950")</f>
        <v>7328662950</v>
      </c>
    </row>
    <row r="6392" spans="1:12" x14ac:dyDescent="0.35">
      <c r="A6392" t="str">
        <f t="shared" si="2456"/>
        <v>1ST MCD</v>
      </c>
      <c r="B6392" t="str">
        <f>T("WM S MOORHEAD FEDERAL BLDG")</f>
        <v>WM S MOORHEAD FEDERAL BLDG</v>
      </c>
      <c r="C6392" t="str">
        <f>T("1000 LIBERTY AVE RM 1816")</f>
        <v>1000 LIBERTY AVE RM 1816</v>
      </c>
      <c r="D6392" t="str">
        <f>T("PITTSBURGH")</f>
        <v>PITTSBURGH</v>
      </c>
      <c r="E6392" t="str">
        <f>T("PA")</f>
        <v>PA</v>
      </c>
      <c r="F6392" t="str">
        <f>T("152224118")</f>
        <v>152224118</v>
      </c>
      <c r="G6392" t="str">
        <f>T("1000 LIBERTY AVE SUITE 1816")</f>
        <v>1000 LIBERTY AVE SUITE 1816</v>
      </c>
      <c r="H6392" t="str">
        <f>T("WM MOOREHEAD FED BLDG")</f>
        <v>WM MOOREHEAD FED BLDG</v>
      </c>
      <c r="I6392" t="str">
        <f>T("PITTSBURGH")</f>
        <v>PITTSBURGH</v>
      </c>
      <c r="J6392" t="str">
        <f>T("PA")</f>
        <v>PA</v>
      </c>
      <c r="K6392" t="str">
        <f>T("4123955863")</f>
        <v>4123955863</v>
      </c>
      <c r="L6392" t="str">
        <f>T("4123955820")</f>
        <v>4123955820</v>
      </c>
    </row>
    <row r="6393" spans="1:12" x14ac:dyDescent="0.35">
      <c r="A6393" t="str">
        <f t="shared" si="2456"/>
        <v>1ST MCD</v>
      </c>
      <c r="B6393" t="str">
        <f>T("WM S MOORHEAD FEDERAL BLDG")</f>
        <v>WM S MOORHEAD FEDERAL BLDG</v>
      </c>
      <c r="C6393" t="str">
        <f>T("1000 LIBERTY AVE RM 1816")</f>
        <v>1000 LIBERTY AVE RM 1816</v>
      </c>
      <c r="D6393" t="str">
        <f>T("PITTSBURGH")</f>
        <v>PITTSBURGH</v>
      </c>
      <c r="E6393" t="str">
        <f>T("PA")</f>
        <v>PA</v>
      </c>
      <c r="F6393" t="str">
        <f>T("152224118")</f>
        <v>152224118</v>
      </c>
      <c r="G6393" t="str">
        <f>T("RS PITTSBURGH MOORHEAD FED BLDG")</f>
        <v>RS PITTSBURGH MOORHEAD FED BLDG</v>
      </c>
      <c r="H6393" t="str">
        <f>T("1000 LIBERTY AVE RM 1816")</f>
        <v>1000 LIBERTY AVE RM 1816</v>
      </c>
      <c r="I6393" t="str">
        <f>T("PITTSBURGH")</f>
        <v>PITTSBURGH</v>
      </c>
      <c r="J6393" t="str">
        <f>T("PA")</f>
        <v>PA</v>
      </c>
      <c r="K6393" t="str">
        <f>T("4123955863")</f>
        <v>4123955863</v>
      </c>
      <c r="L6393" t="str">
        <f>T("4123955820")</f>
        <v>4123955820</v>
      </c>
    </row>
    <row r="6394" spans="1:12" x14ac:dyDescent="0.35">
      <c r="A6394" t="str">
        <f t="shared" si="2456"/>
        <v>1ST MCD</v>
      </c>
      <c r="B6394" t="str">
        <f>T("WM S MOORHEAD FEDERAL BLDG")</f>
        <v>WM S MOORHEAD FEDERAL BLDG</v>
      </c>
      <c r="C6394" t="str">
        <f>T("1000 LIBERTY AVE RM 1816")</f>
        <v>1000 LIBERTY AVE RM 1816</v>
      </c>
      <c r="D6394" t="str">
        <f>T("PITTSBURGH")</f>
        <v>PITTSBURGH</v>
      </c>
      <c r="E6394" t="str">
        <f>T("PA")</f>
        <v>PA</v>
      </c>
      <c r="F6394" t="str">
        <f>T("152224118")</f>
        <v>152224118</v>
      </c>
      <c r="G6394" t="str">
        <f>T("WM S MOORHEAD FEDERAL BLDG")</f>
        <v>WM S MOORHEAD FEDERAL BLDG</v>
      </c>
      <c r="H6394" t="str">
        <f>T("1000 LIBERTY AVE RM 1816")</f>
        <v>1000 LIBERTY AVE RM 1816</v>
      </c>
      <c r="I6394" t="str">
        <f>T("PITTSBURGH")</f>
        <v>PITTSBURGH</v>
      </c>
      <c r="J6394" t="str">
        <f>T("PA")</f>
        <v>PA</v>
      </c>
      <c r="K6394" t="str">
        <f>T("4123954848")</f>
        <v>4123954848</v>
      </c>
      <c r="L6394" t="str">
        <f>T("4123955649")</f>
        <v>4123955649</v>
      </c>
    </row>
    <row r="6395" spans="1:12" x14ac:dyDescent="0.35">
      <c r="A6395" t="str">
        <f t="shared" ref="A6395:A6426" si="2466">T("MCRD PARRIS ISLAND")</f>
        <v>MCRD PARRIS ISLAND</v>
      </c>
      <c r="B6395" t="str">
        <f>T("MCRD ERR")</f>
        <v>MCRD ERR</v>
      </c>
      <c r="C6395" t="str">
        <f t="shared" ref="C6395:C6426" si="2467">T("PO BOX 5069")</f>
        <v>PO BOX 5069</v>
      </c>
      <c r="D6395" t="str">
        <f t="shared" ref="D6395:D6426" si="2468">T("PARRIS ISLAND")</f>
        <v>PARRIS ISLAND</v>
      </c>
      <c r="E6395" t="str">
        <f t="shared" ref="E6395:E6426" si="2469">T("SC")</f>
        <v>SC</v>
      </c>
      <c r="F6395" t="str">
        <f t="shared" ref="F6395:F6426" si="2470">T("299050069")</f>
        <v>299050069</v>
      </c>
      <c r="G6395" t="str">
        <f>T("MCRD ERR")</f>
        <v>MCRD ERR</v>
      </c>
      <c r="H6395" t="str">
        <f>T("PO BOX 5069")</f>
        <v>PO BOX 5069</v>
      </c>
      <c r="I6395" t="str">
        <f t="shared" ref="I6395:I6426" si="2471">T("PARRIS ISLAND")</f>
        <v>PARRIS ISLAND</v>
      </c>
      <c r="J6395" t="str">
        <f t="shared" ref="J6395:J6426" si="2472">T("SC")</f>
        <v>SC</v>
      </c>
      <c r="K6395" t="str">
        <f>T("8432282170")</f>
        <v>8432282170</v>
      </c>
      <c r="L6395" t="str">
        <f>T("8432283213")</f>
        <v>8432283213</v>
      </c>
    </row>
    <row r="6396" spans="1:12" x14ac:dyDescent="0.35">
      <c r="A6396" t="str">
        <f t="shared" si="2466"/>
        <v>MCRD PARRIS ISLAND</v>
      </c>
      <c r="B6396" t="str">
        <f>T("MCRD ERR")</f>
        <v>MCRD ERR</v>
      </c>
      <c r="C6396" t="str">
        <f t="shared" si="2467"/>
        <v>PO BOX 5069</v>
      </c>
      <c r="D6396" t="str">
        <f t="shared" si="2468"/>
        <v>PARRIS ISLAND</v>
      </c>
      <c r="E6396" t="str">
        <f t="shared" si="2469"/>
        <v>SC</v>
      </c>
      <c r="F6396" t="str">
        <f t="shared" si="2470"/>
        <v>299050069</v>
      </c>
      <c r="G6396" t="str">
        <f>T("P O BOX 19001")</f>
        <v>P O BOX 19001</v>
      </c>
      <c r="H6396" t="str">
        <f>T("")</f>
        <v/>
      </c>
      <c r="I6396" t="str">
        <f t="shared" si="2471"/>
        <v>PARRIS ISLAND</v>
      </c>
      <c r="J6396" t="str">
        <f t="shared" si="2472"/>
        <v>SC</v>
      </c>
      <c r="K6396" t="str">
        <f>T("8432282170")</f>
        <v>8432282170</v>
      </c>
      <c r="L6396" t="str">
        <f>T("8432282095")</f>
        <v>8432282095</v>
      </c>
    </row>
    <row r="6397" spans="1:12" x14ac:dyDescent="0.35">
      <c r="A6397" t="str">
        <f t="shared" si="2466"/>
        <v>MCRD PARRIS ISLAND</v>
      </c>
      <c r="B6397" t="str">
        <f t="shared" ref="B6397:B6428" si="2473">T("MCRD/ERR")</f>
        <v>MCRD/ERR</v>
      </c>
      <c r="C6397" t="str">
        <f t="shared" si="2467"/>
        <v>PO BOX 5069</v>
      </c>
      <c r="D6397" t="str">
        <f t="shared" si="2468"/>
        <v>PARRIS ISLAND</v>
      </c>
      <c r="E6397" t="str">
        <f t="shared" si="2469"/>
        <v>SC</v>
      </c>
      <c r="F6397" t="str">
        <f t="shared" si="2470"/>
        <v>299050069</v>
      </c>
      <c r="G6397" t="str">
        <f>T("AC/S RECRUITING")</f>
        <v>AC/S RECRUITING</v>
      </c>
      <c r="H6397" t="str">
        <f>T("P O BOX 19001")</f>
        <v>P O BOX 19001</v>
      </c>
      <c r="I6397" t="str">
        <f t="shared" si="2471"/>
        <v>PARRIS ISLAND</v>
      </c>
      <c r="J6397" t="str">
        <f t="shared" si="2472"/>
        <v>SC</v>
      </c>
      <c r="K6397" t="str">
        <f>T("8432282871")</f>
        <v>8432282871</v>
      </c>
      <c r="L6397" t="str">
        <f>T("8432282590")</f>
        <v>8432282590</v>
      </c>
    </row>
    <row r="6398" spans="1:12" x14ac:dyDescent="0.35">
      <c r="A6398" t="str">
        <f t="shared" si="2466"/>
        <v>MCRD PARRIS ISLAND</v>
      </c>
      <c r="B6398" t="str">
        <f t="shared" si="2473"/>
        <v>MCRD/ERR</v>
      </c>
      <c r="C6398" t="str">
        <f t="shared" si="2467"/>
        <v>PO BOX 5069</v>
      </c>
      <c r="D6398" t="str">
        <f t="shared" si="2468"/>
        <v>PARRIS ISLAND</v>
      </c>
      <c r="E6398" t="str">
        <f t="shared" si="2469"/>
        <v>SC</v>
      </c>
      <c r="F6398" t="str">
        <f t="shared" si="2470"/>
        <v>299050069</v>
      </c>
      <c r="G6398" t="str">
        <f>T("BASEOPS")</f>
        <v>BASEOPS</v>
      </c>
      <c r="H6398" t="str">
        <f>T("P O BOX 18001")</f>
        <v>P O BOX 18001</v>
      </c>
      <c r="I6398" t="str">
        <f t="shared" si="2471"/>
        <v>PARRIS ISLAND</v>
      </c>
      <c r="J6398" t="str">
        <f t="shared" si="2472"/>
        <v>SC</v>
      </c>
      <c r="K6398" t="str">
        <f>T("000000000000000000")</f>
        <v>000000000000000000</v>
      </c>
      <c r="L6398" t="str">
        <f>T("8432282448")</f>
        <v>8432282448</v>
      </c>
    </row>
    <row r="6399" spans="1:12" x14ac:dyDescent="0.35">
      <c r="A6399" t="str">
        <f t="shared" si="2466"/>
        <v>MCRD PARRIS ISLAND</v>
      </c>
      <c r="B6399" t="str">
        <f t="shared" si="2473"/>
        <v>MCRD/ERR</v>
      </c>
      <c r="C6399" t="str">
        <f t="shared" si="2467"/>
        <v>PO BOX 5069</v>
      </c>
      <c r="D6399" t="str">
        <f t="shared" si="2468"/>
        <v>PARRIS ISLAND</v>
      </c>
      <c r="E6399" t="str">
        <f t="shared" si="2469"/>
        <v>SC</v>
      </c>
      <c r="F6399" t="str">
        <f t="shared" si="2470"/>
        <v>299050069</v>
      </c>
      <c r="G6399" t="str">
        <f>T("BASEOPS")</f>
        <v>BASEOPS</v>
      </c>
      <c r="H6399" t="str">
        <f>T("P O BOX 19520")</f>
        <v>P O BOX 19520</v>
      </c>
      <c r="I6399" t="str">
        <f t="shared" si="2471"/>
        <v>PARRIS ISLAND</v>
      </c>
      <c r="J6399" t="str">
        <f t="shared" si="2472"/>
        <v>SC</v>
      </c>
      <c r="K6399" t="str">
        <f>T("000000000000000000")</f>
        <v>000000000000000000</v>
      </c>
      <c r="L6399" t="str">
        <f>T("8432282595")</f>
        <v>8432282595</v>
      </c>
    </row>
    <row r="6400" spans="1:12" x14ac:dyDescent="0.35">
      <c r="A6400" t="str">
        <f t="shared" si="2466"/>
        <v>MCRD PARRIS ISLAND</v>
      </c>
      <c r="B6400" t="str">
        <f t="shared" si="2473"/>
        <v>MCRD/ERR</v>
      </c>
      <c r="C6400" t="str">
        <f t="shared" si="2467"/>
        <v>PO BOX 5069</v>
      </c>
      <c r="D6400" t="str">
        <f t="shared" si="2468"/>
        <v>PARRIS ISLAND</v>
      </c>
      <c r="E6400" t="str">
        <f t="shared" si="2469"/>
        <v>SC</v>
      </c>
      <c r="F6400" t="str">
        <f t="shared" si="2470"/>
        <v>299050069</v>
      </c>
      <c r="G6400" t="str">
        <f>T("BASEOPS PRINTING")</f>
        <v>BASEOPS PRINTING</v>
      </c>
      <c r="H6400" t="str">
        <f>T("P O BOX 18001")</f>
        <v>P O BOX 18001</v>
      </c>
      <c r="I6400" t="str">
        <f t="shared" si="2471"/>
        <v>PARRIS ISLAND</v>
      </c>
      <c r="J6400" t="str">
        <f t="shared" si="2472"/>
        <v>SC</v>
      </c>
      <c r="K6400" t="str">
        <f>T("000000000000000000")</f>
        <v>000000000000000000</v>
      </c>
      <c r="L6400" t="str">
        <f>T("8432282448")</f>
        <v>8432282448</v>
      </c>
    </row>
    <row r="6401" spans="1:12" x14ac:dyDescent="0.35">
      <c r="A6401" t="str">
        <f t="shared" si="2466"/>
        <v>MCRD PARRIS ISLAND</v>
      </c>
      <c r="B6401" t="str">
        <f t="shared" si="2473"/>
        <v>MCRD/ERR</v>
      </c>
      <c r="C6401" t="str">
        <f t="shared" si="2467"/>
        <v>PO BOX 5069</v>
      </c>
      <c r="D6401" t="str">
        <f t="shared" si="2468"/>
        <v>PARRIS ISLAND</v>
      </c>
      <c r="E6401" t="str">
        <f t="shared" si="2469"/>
        <v>SC</v>
      </c>
      <c r="F6401" t="str">
        <f t="shared" si="2470"/>
        <v>299050069</v>
      </c>
      <c r="G6401" t="str">
        <f>T("FIRE DEPARTMENT")</f>
        <v>FIRE DEPARTMENT</v>
      </c>
      <c r="H6401" t="str">
        <f>T("P O BOX 19450")</f>
        <v>P O BOX 19450</v>
      </c>
      <c r="I6401" t="str">
        <f t="shared" si="2471"/>
        <v>PARRIS ISLAND</v>
      </c>
      <c r="J6401" t="str">
        <f t="shared" si="2472"/>
        <v>SC</v>
      </c>
      <c r="K6401" t="str">
        <f>T("8432283182")</f>
        <v>8432283182</v>
      </c>
      <c r="L6401" t="str">
        <f>T("8432284315")</f>
        <v>8432284315</v>
      </c>
    </row>
    <row r="6402" spans="1:12" x14ac:dyDescent="0.35">
      <c r="A6402" t="str">
        <f t="shared" si="2466"/>
        <v>MCRD PARRIS ISLAND</v>
      </c>
      <c r="B6402" t="str">
        <f t="shared" si="2473"/>
        <v>MCRD/ERR</v>
      </c>
      <c r="C6402" t="str">
        <f t="shared" si="2467"/>
        <v>PO BOX 5069</v>
      </c>
      <c r="D6402" t="str">
        <f t="shared" si="2468"/>
        <v>PARRIS ISLAND</v>
      </c>
      <c r="E6402" t="str">
        <f t="shared" si="2469"/>
        <v>SC</v>
      </c>
      <c r="F6402" t="str">
        <f t="shared" si="2470"/>
        <v>299050069</v>
      </c>
      <c r="G6402" t="str">
        <f>T("G-4 FMD")</f>
        <v>G-4 FMD</v>
      </c>
      <c r="H6402" t="str">
        <f>T("PO BOX 5035")</f>
        <v>PO BOX 5035</v>
      </c>
      <c r="I6402" t="str">
        <f t="shared" si="2471"/>
        <v>PARRIS ISLAND</v>
      </c>
      <c r="J6402" t="str">
        <f t="shared" si="2472"/>
        <v>SC</v>
      </c>
      <c r="K6402" t="str">
        <f>T("000000000000000000")</f>
        <v>000000000000000000</v>
      </c>
      <c r="L6402" t="str">
        <f>T("8432283413")</f>
        <v>8432283413</v>
      </c>
    </row>
    <row r="6403" spans="1:12" x14ac:dyDescent="0.35">
      <c r="A6403" t="str">
        <f t="shared" si="2466"/>
        <v>MCRD PARRIS ISLAND</v>
      </c>
      <c r="B6403" t="str">
        <f t="shared" si="2473"/>
        <v>MCRD/ERR</v>
      </c>
      <c r="C6403" t="str">
        <f t="shared" si="2467"/>
        <v>PO BOX 5069</v>
      </c>
      <c r="D6403" t="str">
        <f t="shared" si="2468"/>
        <v>PARRIS ISLAND</v>
      </c>
      <c r="E6403" t="str">
        <f t="shared" si="2469"/>
        <v>SC</v>
      </c>
      <c r="F6403" t="str">
        <f t="shared" si="2470"/>
        <v>299050069</v>
      </c>
      <c r="G6403" t="str">
        <f>T("G-6 BASEOPS")</f>
        <v>G-6 BASEOPS</v>
      </c>
      <c r="H6403" t="str">
        <f>T("P O BOX 19420")</f>
        <v>P O BOX 19420</v>
      </c>
      <c r="I6403" t="str">
        <f t="shared" si="2471"/>
        <v>PARRIS ISLAND</v>
      </c>
      <c r="J6403" t="str">
        <f t="shared" si="2472"/>
        <v>SC</v>
      </c>
      <c r="K6403" t="str">
        <f>T("8432284652")</f>
        <v>8432284652</v>
      </c>
      <c r="L6403" t="str">
        <f>T("8432281916")</f>
        <v>8432281916</v>
      </c>
    </row>
    <row r="6404" spans="1:12" x14ac:dyDescent="0.35">
      <c r="A6404" t="str">
        <f t="shared" si="2466"/>
        <v>MCRD PARRIS ISLAND</v>
      </c>
      <c r="B6404" t="str">
        <f t="shared" si="2473"/>
        <v>MCRD/ERR</v>
      </c>
      <c r="C6404" t="str">
        <f t="shared" si="2467"/>
        <v>PO BOX 5069</v>
      </c>
      <c r="D6404" t="str">
        <f t="shared" si="2468"/>
        <v>PARRIS ISLAND</v>
      </c>
      <c r="E6404" t="str">
        <f t="shared" si="2469"/>
        <v>SC</v>
      </c>
      <c r="F6404" t="str">
        <f t="shared" si="2470"/>
        <v>299050069</v>
      </c>
      <c r="G6404" t="str">
        <f>T("G8 COMPTROLLER")</f>
        <v>G8 COMPTROLLER</v>
      </c>
      <c r="H6404" t="str">
        <f>T("P O BOX 19650")</f>
        <v>P O BOX 19650</v>
      </c>
      <c r="I6404" t="str">
        <f t="shared" si="2471"/>
        <v>PARRIS ISLAND</v>
      </c>
      <c r="J6404" t="str">
        <f t="shared" si="2472"/>
        <v>SC</v>
      </c>
      <c r="K6404" t="str">
        <f>T("8432283714")</f>
        <v>8432283714</v>
      </c>
      <c r="L6404" t="str">
        <f>T("8432283782")</f>
        <v>8432283782</v>
      </c>
    </row>
    <row r="6405" spans="1:12" x14ac:dyDescent="0.35">
      <c r="A6405" t="str">
        <f t="shared" si="2466"/>
        <v>MCRD PARRIS ISLAND</v>
      </c>
      <c r="B6405" t="str">
        <f t="shared" si="2473"/>
        <v>MCRD/ERR</v>
      </c>
      <c r="C6405" t="str">
        <f t="shared" si="2467"/>
        <v>PO BOX 5069</v>
      </c>
      <c r="D6405" t="str">
        <f t="shared" si="2468"/>
        <v>PARRIS ISLAND</v>
      </c>
      <c r="E6405" t="str">
        <f t="shared" si="2469"/>
        <v>SC</v>
      </c>
      <c r="F6405" t="str">
        <f t="shared" si="2470"/>
        <v>299050069</v>
      </c>
      <c r="G6405" t="str">
        <f>T("HS BN S-4")</f>
        <v>HS BN S-4</v>
      </c>
      <c r="H6405" t="str">
        <f>T("P O BOX 18001")</f>
        <v>P O BOX 18001</v>
      </c>
      <c r="I6405" t="str">
        <f t="shared" si="2471"/>
        <v>PARRIS ISLAND</v>
      </c>
      <c r="J6405" t="str">
        <f t="shared" si="2472"/>
        <v>SC</v>
      </c>
      <c r="K6405" t="str">
        <f>T("8432283125")</f>
        <v>8432283125</v>
      </c>
      <c r="L6405" t="str">
        <f>T("8432282939")</f>
        <v>8432282939</v>
      </c>
    </row>
    <row r="6406" spans="1:12" x14ac:dyDescent="0.35">
      <c r="A6406" t="str">
        <f t="shared" si="2466"/>
        <v>MCRD PARRIS ISLAND</v>
      </c>
      <c r="B6406" t="str">
        <f t="shared" si="2473"/>
        <v>MCRD/ERR</v>
      </c>
      <c r="C6406" t="str">
        <f t="shared" si="2467"/>
        <v>PO BOX 5069</v>
      </c>
      <c r="D6406" t="str">
        <f t="shared" si="2468"/>
        <v>PARRIS ISLAND</v>
      </c>
      <c r="E6406" t="str">
        <f t="shared" si="2469"/>
        <v>SC</v>
      </c>
      <c r="F6406" t="str">
        <f t="shared" si="2470"/>
        <v>299050069</v>
      </c>
      <c r="G6406" t="str">
        <f>T("MCRD PI COMBAT CAMERA")</f>
        <v>MCRD PI COMBAT CAMERA</v>
      </c>
      <c r="H6406" t="str">
        <f>T("P O BOX 18001")</f>
        <v>P O BOX 18001</v>
      </c>
      <c r="I6406" t="str">
        <f t="shared" si="2471"/>
        <v>PARRIS ISLAND</v>
      </c>
      <c r="J6406" t="str">
        <f t="shared" si="2472"/>
        <v>SC</v>
      </c>
      <c r="K6406" t="str">
        <f t="shared" ref="K6406:K6411" si="2474">T("000000000000000000")</f>
        <v>000000000000000000</v>
      </c>
      <c r="L6406" t="str">
        <f>T("8432284279")</f>
        <v>8432284279</v>
      </c>
    </row>
    <row r="6407" spans="1:12" x14ac:dyDescent="0.35">
      <c r="A6407" t="str">
        <f t="shared" si="2466"/>
        <v>MCRD PARRIS ISLAND</v>
      </c>
      <c r="B6407" t="str">
        <f t="shared" si="2473"/>
        <v>MCRD/ERR</v>
      </c>
      <c r="C6407" t="str">
        <f t="shared" si="2467"/>
        <v>PO BOX 5069</v>
      </c>
      <c r="D6407" t="str">
        <f t="shared" si="2468"/>
        <v>PARRIS ISLAND</v>
      </c>
      <c r="E6407" t="str">
        <f t="shared" si="2469"/>
        <v>SC</v>
      </c>
      <c r="F6407" t="str">
        <f t="shared" si="2470"/>
        <v>299050069</v>
      </c>
      <c r="G6407" t="str">
        <f t="shared" ref="G6407:G6436" si="2475">T("MCRD/ERR")</f>
        <v>MCRD/ERR</v>
      </c>
      <c r="H6407" t="str">
        <f>T("P O BOX 5069")</f>
        <v>P O BOX 5069</v>
      </c>
      <c r="I6407" t="str">
        <f t="shared" si="2471"/>
        <v>PARRIS ISLAND</v>
      </c>
      <c r="J6407" t="str">
        <f t="shared" si="2472"/>
        <v>SC</v>
      </c>
      <c r="K6407" t="str">
        <f t="shared" si="2474"/>
        <v>000000000000000000</v>
      </c>
      <c r="L6407" t="str">
        <f>T("8432282853")</f>
        <v>8432282853</v>
      </c>
    </row>
    <row r="6408" spans="1:12" x14ac:dyDescent="0.35">
      <c r="A6408" t="str">
        <f t="shared" si="2466"/>
        <v>MCRD PARRIS ISLAND</v>
      </c>
      <c r="B6408" t="str">
        <f t="shared" si="2473"/>
        <v>MCRD/ERR</v>
      </c>
      <c r="C6408" t="str">
        <f t="shared" si="2467"/>
        <v>PO BOX 5069</v>
      </c>
      <c r="D6408" t="str">
        <f t="shared" si="2468"/>
        <v>PARRIS ISLAND</v>
      </c>
      <c r="E6408" t="str">
        <f t="shared" si="2469"/>
        <v>SC</v>
      </c>
      <c r="F6408" t="str">
        <f t="shared" si="2470"/>
        <v>299050069</v>
      </c>
      <c r="G6408" t="str">
        <f t="shared" si="2475"/>
        <v>MCRD/ERR</v>
      </c>
      <c r="H6408" t="str">
        <f t="shared" ref="H6408:H6436" si="2476">T("PO BOX 5069")</f>
        <v>PO BOX 5069</v>
      </c>
      <c r="I6408" t="str">
        <f t="shared" si="2471"/>
        <v>PARRIS ISLAND</v>
      </c>
      <c r="J6408" t="str">
        <f t="shared" si="2472"/>
        <v>SC</v>
      </c>
      <c r="K6408" t="str">
        <f t="shared" si="2474"/>
        <v>000000000000000000</v>
      </c>
      <c r="L6408" t="str">
        <f>T("8432282816")</f>
        <v>8432282816</v>
      </c>
    </row>
    <row r="6409" spans="1:12" x14ac:dyDescent="0.35">
      <c r="A6409" t="str">
        <f t="shared" si="2466"/>
        <v>MCRD PARRIS ISLAND</v>
      </c>
      <c r="B6409" t="str">
        <f t="shared" si="2473"/>
        <v>MCRD/ERR</v>
      </c>
      <c r="C6409" t="str">
        <f t="shared" si="2467"/>
        <v>PO BOX 5069</v>
      </c>
      <c r="D6409" t="str">
        <f t="shared" si="2468"/>
        <v>PARRIS ISLAND</v>
      </c>
      <c r="E6409" t="str">
        <f t="shared" si="2469"/>
        <v>SC</v>
      </c>
      <c r="F6409" t="str">
        <f t="shared" si="2470"/>
        <v>299050069</v>
      </c>
      <c r="G6409" t="str">
        <f t="shared" si="2475"/>
        <v>MCRD/ERR</v>
      </c>
      <c r="H6409" t="str">
        <f t="shared" si="2476"/>
        <v>PO BOX 5069</v>
      </c>
      <c r="I6409" t="str">
        <f t="shared" si="2471"/>
        <v>PARRIS ISLAND</v>
      </c>
      <c r="J6409" t="str">
        <f t="shared" si="2472"/>
        <v>SC</v>
      </c>
      <c r="K6409" t="str">
        <f t="shared" si="2474"/>
        <v>000000000000000000</v>
      </c>
      <c r="L6409" t="str">
        <f>T("8432283069")</f>
        <v>8432283069</v>
      </c>
    </row>
    <row r="6410" spans="1:12" x14ac:dyDescent="0.35">
      <c r="A6410" t="str">
        <f t="shared" si="2466"/>
        <v>MCRD PARRIS ISLAND</v>
      </c>
      <c r="B6410" t="str">
        <f t="shared" si="2473"/>
        <v>MCRD/ERR</v>
      </c>
      <c r="C6410" t="str">
        <f t="shared" si="2467"/>
        <v>PO BOX 5069</v>
      </c>
      <c r="D6410" t="str">
        <f t="shared" si="2468"/>
        <v>PARRIS ISLAND</v>
      </c>
      <c r="E6410" t="str">
        <f t="shared" si="2469"/>
        <v>SC</v>
      </c>
      <c r="F6410" t="str">
        <f t="shared" si="2470"/>
        <v>299050069</v>
      </c>
      <c r="G6410" t="str">
        <f t="shared" si="2475"/>
        <v>MCRD/ERR</v>
      </c>
      <c r="H6410" t="str">
        <f t="shared" si="2476"/>
        <v>PO BOX 5069</v>
      </c>
      <c r="I6410" t="str">
        <f t="shared" si="2471"/>
        <v>PARRIS ISLAND</v>
      </c>
      <c r="J6410" t="str">
        <f t="shared" si="2472"/>
        <v>SC</v>
      </c>
      <c r="K6410" t="str">
        <f t="shared" si="2474"/>
        <v>000000000000000000</v>
      </c>
      <c r="L6410" t="str">
        <f>T("8432283430")</f>
        <v>8432283430</v>
      </c>
    </row>
    <row r="6411" spans="1:12" x14ac:dyDescent="0.35">
      <c r="A6411" t="str">
        <f t="shared" si="2466"/>
        <v>MCRD PARRIS ISLAND</v>
      </c>
      <c r="B6411" t="str">
        <f t="shared" si="2473"/>
        <v>MCRD/ERR</v>
      </c>
      <c r="C6411" t="str">
        <f t="shared" si="2467"/>
        <v>PO BOX 5069</v>
      </c>
      <c r="D6411" t="str">
        <f t="shared" si="2468"/>
        <v>PARRIS ISLAND</v>
      </c>
      <c r="E6411" t="str">
        <f t="shared" si="2469"/>
        <v>SC</v>
      </c>
      <c r="F6411" t="str">
        <f t="shared" si="2470"/>
        <v>299050069</v>
      </c>
      <c r="G6411" t="str">
        <f t="shared" si="2475"/>
        <v>MCRD/ERR</v>
      </c>
      <c r="H6411" t="str">
        <f t="shared" si="2476"/>
        <v>PO BOX 5069</v>
      </c>
      <c r="I6411" t="str">
        <f t="shared" si="2471"/>
        <v>PARRIS ISLAND</v>
      </c>
      <c r="J6411" t="str">
        <f t="shared" si="2472"/>
        <v>SC</v>
      </c>
      <c r="K6411" t="str">
        <f t="shared" si="2474"/>
        <v>000000000000000000</v>
      </c>
      <c r="L6411" t="str">
        <f>T("8432283568")</f>
        <v>8432283568</v>
      </c>
    </row>
    <row r="6412" spans="1:12" x14ac:dyDescent="0.35">
      <c r="A6412" t="str">
        <f t="shared" si="2466"/>
        <v>MCRD PARRIS ISLAND</v>
      </c>
      <c r="B6412" t="str">
        <f t="shared" si="2473"/>
        <v>MCRD/ERR</v>
      </c>
      <c r="C6412" t="str">
        <f t="shared" si="2467"/>
        <v>PO BOX 5069</v>
      </c>
      <c r="D6412" t="str">
        <f t="shared" si="2468"/>
        <v>PARRIS ISLAND</v>
      </c>
      <c r="E6412" t="str">
        <f t="shared" si="2469"/>
        <v>SC</v>
      </c>
      <c r="F6412" t="str">
        <f t="shared" si="2470"/>
        <v>299050069</v>
      </c>
      <c r="G6412" t="str">
        <f t="shared" si="2475"/>
        <v>MCRD/ERR</v>
      </c>
      <c r="H6412" t="str">
        <f t="shared" si="2476"/>
        <v>PO BOX 5069</v>
      </c>
      <c r="I6412" t="str">
        <f t="shared" si="2471"/>
        <v>PARRIS ISLAND</v>
      </c>
      <c r="J6412" t="str">
        <f t="shared" si="2472"/>
        <v>SC</v>
      </c>
      <c r="K6412" t="str">
        <f>T("8322283902")</f>
        <v>8322283902</v>
      </c>
      <c r="L6412" t="str">
        <f>T("8432283955")</f>
        <v>8432283955</v>
      </c>
    </row>
    <row r="6413" spans="1:12" x14ac:dyDescent="0.35">
      <c r="A6413" t="str">
        <f t="shared" si="2466"/>
        <v>MCRD PARRIS ISLAND</v>
      </c>
      <c r="B6413" t="str">
        <f t="shared" si="2473"/>
        <v>MCRD/ERR</v>
      </c>
      <c r="C6413" t="str">
        <f t="shared" si="2467"/>
        <v>PO BOX 5069</v>
      </c>
      <c r="D6413" t="str">
        <f t="shared" si="2468"/>
        <v>PARRIS ISLAND</v>
      </c>
      <c r="E6413" t="str">
        <f t="shared" si="2469"/>
        <v>SC</v>
      </c>
      <c r="F6413" t="str">
        <f t="shared" si="2470"/>
        <v>299050069</v>
      </c>
      <c r="G6413" t="str">
        <f t="shared" si="2475"/>
        <v>MCRD/ERR</v>
      </c>
      <c r="H6413" t="str">
        <f t="shared" si="2476"/>
        <v>PO BOX 5069</v>
      </c>
      <c r="I6413" t="str">
        <f t="shared" si="2471"/>
        <v>PARRIS ISLAND</v>
      </c>
      <c r="J6413" t="str">
        <f t="shared" si="2472"/>
        <v>SC</v>
      </c>
      <c r="K6413" t="str">
        <f>T("8432281001")</f>
        <v>8432281001</v>
      </c>
      <c r="L6413" t="str">
        <f>T("8432284075")</f>
        <v>8432284075</v>
      </c>
    </row>
    <row r="6414" spans="1:12" x14ac:dyDescent="0.35">
      <c r="A6414" t="str">
        <f t="shared" si="2466"/>
        <v>MCRD PARRIS ISLAND</v>
      </c>
      <c r="B6414" t="str">
        <f t="shared" si="2473"/>
        <v>MCRD/ERR</v>
      </c>
      <c r="C6414" t="str">
        <f t="shared" si="2467"/>
        <v>PO BOX 5069</v>
      </c>
      <c r="D6414" t="str">
        <f t="shared" si="2468"/>
        <v>PARRIS ISLAND</v>
      </c>
      <c r="E6414" t="str">
        <f t="shared" si="2469"/>
        <v>SC</v>
      </c>
      <c r="F6414" t="str">
        <f t="shared" si="2470"/>
        <v>299050069</v>
      </c>
      <c r="G6414" t="str">
        <f t="shared" si="2475"/>
        <v>MCRD/ERR</v>
      </c>
      <c r="H6414" t="str">
        <f t="shared" si="2476"/>
        <v>PO BOX 5069</v>
      </c>
      <c r="I6414" t="str">
        <f t="shared" si="2471"/>
        <v>PARRIS ISLAND</v>
      </c>
      <c r="J6414" t="str">
        <f t="shared" si="2472"/>
        <v>SC</v>
      </c>
      <c r="K6414" t="str">
        <f>T("8432282122")</f>
        <v>8432282122</v>
      </c>
      <c r="L6414" t="str">
        <f>T("8432283410")</f>
        <v>8432283410</v>
      </c>
    </row>
    <row r="6415" spans="1:12" x14ac:dyDescent="0.35">
      <c r="A6415" t="str">
        <f t="shared" si="2466"/>
        <v>MCRD PARRIS ISLAND</v>
      </c>
      <c r="B6415" t="str">
        <f t="shared" si="2473"/>
        <v>MCRD/ERR</v>
      </c>
      <c r="C6415" t="str">
        <f t="shared" si="2467"/>
        <v>PO BOX 5069</v>
      </c>
      <c r="D6415" t="str">
        <f t="shared" si="2468"/>
        <v>PARRIS ISLAND</v>
      </c>
      <c r="E6415" t="str">
        <f t="shared" si="2469"/>
        <v>SC</v>
      </c>
      <c r="F6415" t="str">
        <f t="shared" si="2470"/>
        <v>299050069</v>
      </c>
      <c r="G6415" t="str">
        <f t="shared" si="2475"/>
        <v>MCRD/ERR</v>
      </c>
      <c r="H6415" t="str">
        <f t="shared" si="2476"/>
        <v>PO BOX 5069</v>
      </c>
      <c r="I6415" t="str">
        <f t="shared" si="2471"/>
        <v>PARRIS ISLAND</v>
      </c>
      <c r="J6415" t="str">
        <f t="shared" si="2472"/>
        <v>SC</v>
      </c>
      <c r="K6415" t="str">
        <f>T("8432282163")</f>
        <v>8432282163</v>
      </c>
      <c r="L6415" t="str">
        <f>T("8432282129")</f>
        <v>8432282129</v>
      </c>
    </row>
    <row r="6416" spans="1:12" x14ac:dyDescent="0.35">
      <c r="A6416" t="str">
        <f t="shared" si="2466"/>
        <v>MCRD PARRIS ISLAND</v>
      </c>
      <c r="B6416" t="str">
        <f t="shared" si="2473"/>
        <v>MCRD/ERR</v>
      </c>
      <c r="C6416" t="str">
        <f t="shared" si="2467"/>
        <v>PO BOX 5069</v>
      </c>
      <c r="D6416" t="str">
        <f t="shared" si="2468"/>
        <v>PARRIS ISLAND</v>
      </c>
      <c r="E6416" t="str">
        <f t="shared" si="2469"/>
        <v>SC</v>
      </c>
      <c r="F6416" t="str">
        <f t="shared" si="2470"/>
        <v>299050069</v>
      </c>
      <c r="G6416" t="str">
        <f t="shared" si="2475"/>
        <v>MCRD/ERR</v>
      </c>
      <c r="H6416" t="str">
        <f t="shared" si="2476"/>
        <v>PO BOX 5069</v>
      </c>
      <c r="I6416" t="str">
        <f t="shared" si="2471"/>
        <v>PARRIS ISLAND</v>
      </c>
      <c r="J6416" t="str">
        <f t="shared" si="2472"/>
        <v>SC</v>
      </c>
      <c r="K6416" t="str">
        <f>T("8432282195")</f>
        <v>8432282195</v>
      </c>
      <c r="L6416" t="str">
        <f>T("8432284151")</f>
        <v>8432284151</v>
      </c>
    </row>
    <row r="6417" spans="1:12" x14ac:dyDescent="0.35">
      <c r="A6417" t="str">
        <f t="shared" si="2466"/>
        <v>MCRD PARRIS ISLAND</v>
      </c>
      <c r="B6417" t="str">
        <f t="shared" si="2473"/>
        <v>MCRD/ERR</v>
      </c>
      <c r="C6417" t="str">
        <f t="shared" si="2467"/>
        <v>PO BOX 5069</v>
      </c>
      <c r="D6417" t="str">
        <f t="shared" si="2468"/>
        <v>PARRIS ISLAND</v>
      </c>
      <c r="E6417" t="str">
        <f t="shared" si="2469"/>
        <v>SC</v>
      </c>
      <c r="F6417" t="str">
        <f t="shared" si="2470"/>
        <v>299050069</v>
      </c>
      <c r="G6417" t="str">
        <f t="shared" si="2475"/>
        <v>MCRD/ERR</v>
      </c>
      <c r="H6417" t="str">
        <f t="shared" si="2476"/>
        <v>PO BOX 5069</v>
      </c>
      <c r="I6417" t="str">
        <f t="shared" si="2471"/>
        <v>PARRIS ISLAND</v>
      </c>
      <c r="J6417" t="str">
        <f t="shared" si="2472"/>
        <v>SC</v>
      </c>
      <c r="K6417" t="str">
        <f>T("8432282294")</f>
        <v>8432282294</v>
      </c>
      <c r="L6417" t="str">
        <f>T("8432282273")</f>
        <v>8432282273</v>
      </c>
    </row>
    <row r="6418" spans="1:12" x14ac:dyDescent="0.35">
      <c r="A6418" t="str">
        <f t="shared" si="2466"/>
        <v>MCRD PARRIS ISLAND</v>
      </c>
      <c r="B6418" t="str">
        <f t="shared" si="2473"/>
        <v>MCRD/ERR</v>
      </c>
      <c r="C6418" t="str">
        <f t="shared" si="2467"/>
        <v>PO BOX 5069</v>
      </c>
      <c r="D6418" t="str">
        <f t="shared" si="2468"/>
        <v>PARRIS ISLAND</v>
      </c>
      <c r="E6418" t="str">
        <f t="shared" si="2469"/>
        <v>SC</v>
      </c>
      <c r="F6418" t="str">
        <f t="shared" si="2470"/>
        <v>299050069</v>
      </c>
      <c r="G6418" t="str">
        <f t="shared" si="2475"/>
        <v>MCRD/ERR</v>
      </c>
      <c r="H6418" t="str">
        <f t="shared" si="2476"/>
        <v>PO BOX 5069</v>
      </c>
      <c r="I6418" t="str">
        <f t="shared" si="2471"/>
        <v>PARRIS ISLAND</v>
      </c>
      <c r="J6418" t="str">
        <f t="shared" si="2472"/>
        <v>SC</v>
      </c>
      <c r="K6418" t="str">
        <f>T("8432282300")</f>
        <v>8432282300</v>
      </c>
      <c r="L6418" t="str">
        <f>T("8432283228")</f>
        <v>8432283228</v>
      </c>
    </row>
    <row r="6419" spans="1:12" x14ac:dyDescent="0.35">
      <c r="A6419" t="str">
        <f t="shared" si="2466"/>
        <v>MCRD PARRIS ISLAND</v>
      </c>
      <c r="B6419" t="str">
        <f t="shared" si="2473"/>
        <v>MCRD/ERR</v>
      </c>
      <c r="C6419" t="str">
        <f t="shared" si="2467"/>
        <v>PO BOX 5069</v>
      </c>
      <c r="D6419" t="str">
        <f t="shared" si="2468"/>
        <v>PARRIS ISLAND</v>
      </c>
      <c r="E6419" t="str">
        <f t="shared" si="2469"/>
        <v>SC</v>
      </c>
      <c r="F6419" t="str">
        <f t="shared" si="2470"/>
        <v>299050069</v>
      </c>
      <c r="G6419" t="str">
        <f t="shared" si="2475"/>
        <v>MCRD/ERR</v>
      </c>
      <c r="H6419" t="str">
        <f t="shared" si="2476"/>
        <v>PO BOX 5069</v>
      </c>
      <c r="I6419" t="str">
        <f t="shared" si="2471"/>
        <v>PARRIS ISLAND</v>
      </c>
      <c r="J6419" t="str">
        <f t="shared" si="2472"/>
        <v>SC</v>
      </c>
      <c r="K6419" t="str">
        <f>T("8432282313")</f>
        <v>8432282313</v>
      </c>
      <c r="L6419" t="str">
        <f>T("8432282769")</f>
        <v>8432282769</v>
      </c>
    </row>
    <row r="6420" spans="1:12" x14ac:dyDescent="0.35">
      <c r="A6420" t="str">
        <f t="shared" si="2466"/>
        <v>MCRD PARRIS ISLAND</v>
      </c>
      <c r="B6420" t="str">
        <f t="shared" si="2473"/>
        <v>MCRD/ERR</v>
      </c>
      <c r="C6420" t="str">
        <f t="shared" si="2467"/>
        <v>PO BOX 5069</v>
      </c>
      <c r="D6420" t="str">
        <f t="shared" si="2468"/>
        <v>PARRIS ISLAND</v>
      </c>
      <c r="E6420" t="str">
        <f t="shared" si="2469"/>
        <v>SC</v>
      </c>
      <c r="F6420" t="str">
        <f t="shared" si="2470"/>
        <v>299050069</v>
      </c>
      <c r="G6420" t="str">
        <f t="shared" si="2475"/>
        <v>MCRD/ERR</v>
      </c>
      <c r="H6420" t="str">
        <f t="shared" si="2476"/>
        <v>PO BOX 5069</v>
      </c>
      <c r="I6420" t="str">
        <f t="shared" si="2471"/>
        <v>PARRIS ISLAND</v>
      </c>
      <c r="J6420" t="str">
        <f t="shared" si="2472"/>
        <v>SC</v>
      </c>
      <c r="K6420" t="str">
        <f>T("8432282616")</f>
        <v>8432282616</v>
      </c>
      <c r="L6420" t="str">
        <f>T("8432283066")</f>
        <v>8432283066</v>
      </c>
    </row>
    <row r="6421" spans="1:12" x14ac:dyDescent="0.35">
      <c r="A6421" t="str">
        <f t="shared" si="2466"/>
        <v>MCRD PARRIS ISLAND</v>
      </c>
      <c r="B6421" t="str">
        <f t="shared" si="2473"/>
        <v>MCRD/ERR</v>
      </c>
      <c r="C6421" t="str">
        <f t="shared" si="2467"/>
        <v>PO BOX 5069</v>
      </c>
      <c r="D6421" t="str">
        <f t="shared" si="2468"/>
        <v>PARRIS ISLAND</v>
      </c>
      <c r="E6421" t="str">
        <f t="shared" si="2469"/>
        <v>SC</v>
      </c>
      <c r="F6421" t="str">
        <f t="shared" si="2470"/>
        <v>299050069</v>
      </c>
      <c r="G6421" t="str">
        <f t="shared" si="2475"/>
        <v>MCRD/ERR</v>
      </c>
      <c r="H6421" t="str">
        <f t="shared" si="2476"/>
        <v>PO BOX 5069</v>
      </c>
      <c r="I6421" t="str">
        <f t="shared" si="2471"/>
        <v>PARRIS ISLAND</v>
      </c>
      <c r="J6421" t="str">
        <f t="shared" si="2472"/>
        <v>SC</v>
      </c>
      <c r="K6421" t="str">
        <f>T("8432282724")</f>
        <v>8432282724</v>
      </c>
      <c r="L6421" t="str">
        <f>T("8432282353")</f>
        <v>8432282353</v>
      </c>
    </row>
    <row r="6422" spans="1:12" x14ac:dyDescent="0.35">
      <c r="A6422" t="str">
        <f t="shared" si="2466"/>
        <v>MCRD PARRIS ISLAND</v>
      </c>
      <c r="B6422" t="str">
        <f t="shared" si="2473"/>
        <v>MCRD/ERR</v>
      </c>
      <c r="C6422" t="str">
        <f t="shared" si="2467"/>
        <v>PO BOX 5069</v>
      </c>
      <c r="D6422" t="str">
        <f t="shared" si="2468"/>
        <v>PARRIS ISLAND</v>
      </c>
      <c r="E6422" t="str">
        <f t="shared" si="2469"/>
        <v>SC</v>
      </c>
      <c r="F6422" t="str">
        <f t="shared" si="2470"/>
        <v>299050069</v>
      </c>
      <c r="G6422" t="str">
        <f t="shared" si="2475"/>
        <v>MCRD/ERR</v>
      </c>
      <c r="H6422" t="str">
        <f t="shared" si="2476"/>
        <v>PO BOX 5069</v>
      </c>
      <c r="I6422" t="str">
        <f t="shared" si="2471"/>
        <v>PARRIS ISLAND</v>
      </c>
      <c r="J6422" t="str">
        <f t="shared" si="2472"/>
        <v>SC</v>
      </c>
      <c r="K6422" t="str">
        <f>T("8432282871")</f>
        <v>8432282871</v>
      </c>
      <c r="L6422" t="str">
        <f>T("8432282851")</f>
        <v>8432282851</v>
      </c>
    </row>
    <row r="6423" spans="1:12" x14ac:dyDescent="0.35">
      <c r="A6423" t="str">
        <f t="shared" si="2466"/>
        <v>MCRD PARRIS ISLAND</v>
      </c>
      <c r="B6423" t="str">
        <f t="shared" si="2473"/>
        <v>MCRD/ERR</v>
      </c>
      <c r="C6423" t="str">
        <f t="shared" si="2467"/>
        <v>PO BOX 5069</v>
      </c>
      <c r="D6423" t="str">
        <f t="shared" si="2468"/>
        <v>PARRIS ISLAND</v>
      </c>
      <c r="E6423" t="str">
        <f t="shared" si="2469"/>
        <v>SC</v>
      </c>
      <c r="F6423" t="str">
        <f t="shared" si="2470"/>
        <v>299050069</v>
      </c>
      <c r="G6423" t="str">
        <f t="shared" si="2475"/>
        <v>MCRD/ERR</v>
      </c>
      <c r="H6423" t="str">
        <f t="shared" si="2476"/>
        <v>PO BOX 5069</v>
      </c>
      <c r="I6423" t="str">
        <f t="shared" si="2471"/>
        <v>PARRIS ISLAND</v>
      </c>
      <c r="J6423" t="str">
        <f t="shared" si="2472"/>
        <v>SC</v>
      </c>
      <c r="K6423" t="str">
        <f>T("8432283125")</f>
        <v>8432283125</v>
      </c>
      <c r="L6423" t="str">
        <f>T("8432283126")</f>
        <v>8432283126</v>
      </c>
    </row>
    <row r="6424" spans="1:12" x14ac:dyDescent="0.35">
      <c r="A6424" t="str">
        <f t="shared" si="2466"/>
        <v>MCRD PARRIS ISLAND</v>
      </c>
      <c r="B6424" t="str">
        <f t="shared" si="2473"/>
        <v>MCRD/ERR</v>
      </c>
      <c r="C6424" t="str">
        <f t="shared" si="2467"/>
        <v>PO BOX 5069</v>
      </c>
      <c r="D6424" t="str">
        <f t="shared" si="2468"/>
        <v>PARRIS ISLAND</v>
      </c>
      <c r="E6424" t="str">
        <f t="shared" si="2469"/>
        <v>SC</v>
      </c>
      <c r="F6424" t="str">
        <f t="shared" si="2470"/>
        <v>299050069</v>
      </c>
      <c r="G6424" t="str">
        <f t="shared" si="2475"/>
        <v>MCRD/ERR</v>
      </c>
      <c r="H6424" t="str">
        <f t="shared" si="2476"/>
        <v>PO BOX 5069</v>
      </c>
      <c r="I6424" t="str">
        <f t="shared" si="2471"/>
        <v>PARRIS ISLAND</v>
      </c>
      <c r="J6424" t="str">
        <f t="shared" si="2472"/>
        <v>SC</v>
      </c>
      <c r="K6424" t="str">
        <f>T("8432283190")</f>
        <v>8432283190</v>
      </c>
      <c r="L6424" t="str">
        <f>T("8432282600")</f>
        <v>8432282600</v>
      </c>
    </row>
    <row r="6425" spans="1:12" x14ac:dyDescent="0.35">
      <c r="A6425" t="str">
        <f t="shared" si="2466"/>
        <v>MCRD PARRIS ISLAND</v>
      </c>
      <c r="B6425" t="str">
        <f t="shared" si="2473"/>
        <v>MCRD/ERR</v>
      </c>
      <c r="C6425" t="str">
        <f t="shared" si="2467"/>
        <v>PO BOX 5069</v>
      </c>
      <c r="D6425" t="str">
        <f t="shared" si="2468"/>
        <v>PARRIS ISLAND</v>
      </c>
      <c r="E6425" t="str">
        <f t="shared" si="2469"/>
        <v>SC</v>
      </c>
      <c r="F6425" t="str">
        <f t="shared" si="2470"/>
        <v>299050069</v>
      </c>
      <c r="G6425" t="str">
        <f t="shared" si="2475"/>
        <v>MCRD/ERR</v>
      </c>
      <c r="H6425" t="str">
        <f t="shared" si="2476"/>
        <v>PO BOX 5069</v>
      </c>
      <c r="I6425" t="str">
        <f t="shared" si="2471"/>
        <v>PARRIS ISLAND</v>
      </c>
      <c r="J6425" t="str">
        <f t="shared" si="2472"/>
        <v>SC</v>
      </c>
      <c r="K6425" t="str">
        <f>T("8432283315")</f>
        <v>8432283315</v>
      </c>
      <c r="L6425" t="str">
        <f>T("8432283594")</f>
        <v>8432283594</v>
      </c>
    </row>
    <row r="6426" spans="1:12" x14ac:dyDescent="0.35">
      <c r="A6426" t="str">
        <f t="shared" si="2466"/>
        <v>MCRD PARRIS ISLAND</v>
      </c>
      <c r="B6426" t="str">
        <f t="shared" si="2473"/>
        <v>MCRD/ERR</v>
      </c>
      <c r="C6426" t="str">
        <f t="shared" si="2467"/>
        <v>PO BOX 5069</v>
      </c>
      <c r="D6426" t="str">
        <f t="shared" si="2468"/>
        <v>PARRIS ISLAND</v>
      </c>
      <c r="E6426" t="str">
        <f t="shared" si="2469"/>
        <v>SC</v>
      </c>
      <c r="F6426" t="str">
        <f t="shared" si="2470"/>
        <v>299050069</v>
      </c>
      <c r="G6426" t="str">
        <f t="shared" si="2475"/>
        <v>MCRD/ERR</v>
      </c>
      <c r="H6426" t="str">
        <f t="shared" si="2476"/>
        <v>PO BOX 5069</v>
      </c>
      <c r="I6426" t="str">
        <f t="shared" si="2471"/>
        <v>PARRIS ISLAND</v>
      </c>
      <c r="J6426" t="str">
        <f t="shared" si="2472"/>
        <v>SC</v>
      </c>
      <c r="K6426" t="str">
        <f>T("8432283386")</f>
        <v>8432283386</v>
      </c>
      <c r="L6426" t="str">
        <f>T("8432282168")</f>
        <v>8432282168</v>
      </c>
    </row>
    <row r="6427" spans="1:12" x14ac:dyDescent="0.35">
      <c r="A6427" t="str">
        <f t="shared" ref="A6427:A6458" si="2477">T("MCRD PARRIS ISLAND")</f>
        <v>MCRD PARRIS ISLAND</v>
      </c>
      <c r="B6427" t="str">
        <f t="shared" si="2473"/>
        <v>MCRD/ERR</v>
      </c>
      <c r="C6427" t="str">
        <f t="shared" ref="C6427:C6462" si="2478">T("PO BOX 5069")</f>
        <v>PO BOX 5069</v>
      </c>
      <c r="D6427" t="str">
        <f t="shared" ref="D6427:D6458" si="2479">T("PARRIS ISLAND")</f>
        <v>PARRIS ISLAND</v>
      </c>
      <c r="E6427" t="str">
        <f t="shared" ref="E6427:E6458" si="2480">T("SC")</f>
        <v>SC</v>
      </c>
      <c r="F6427" t="str">
        <f t="shared" ref="F6427:F6458" si="2481">T("299050069")</f>
        <v>299050069</v>
      </c>
      <c r="G6427" t="str">
        <f t="shared" si="2475"/>
        <v>MCRD/ERR</v>
      </c>
      <c r="H6427" t="str">
        <f t="shared" si="2476"/>
        <v>PO BOX 5069</v>
      </c>
      <c r="I6427" t="str">
        <f t="shared" ref="I6427:I6458" si="2482">T("PARRIS ISLAND")</f>
        <v>PARRIS ISLAND</v>
      </c>
      <c r="J6427" t="str">
        <f t="shared" ref="J6427:J6458" si="2483">T("SC")</f>
        <v>SC</v>
      </c>
      <c r="K6427" t="str">
        <f>T("8432283438")</f>
        <v>8432283438</v>
      </c>
      <c r="L6427" t="str">
        <f>T("8432283654")</f>
        <v>8432283654</v>
      </c>
    </row>
    <row r="6428" spans="1:12" x14ac:dyDescent="0.35">
      <c r="A6428" t="str">
        <f t="shared" si="2477"/>
        <v>MCRD PARRIS ISLAND</v>
      </c>
      <c r="B6428" t="str">
        <f t="shared" si="2473"/>
        <v>MCRD/ERR</v>
      </c>
      <c r="C6428" t="str">
        <f t="shared" si="2478"/>
        <v>PO BOX 5069</v>
      </c>
      <c r="D6428" t="str">
        <f t="shared" si="2479"/>
        <v>PARRIS ISLAND</v>
      </c>
      <c r="E6428" t="str">
        <f t="shared" si="2480"/>
        <v>SC</v>
      </c>
      <c r="F6428" t="str">
        <f t="shared" si="2481"/>
        <v>299050069</v>
      </c>
      <c r="G6428" t="str">
        <f t="shared" si="2475"/>
        <v>MCRD/ERR</v>
      </c>
      <c r="H6428" t="str">
        <f t="shared" si="2476"/>
        <v>PO BOX 5069</v>
      </c>
      <c r="I6428" t="str">
        <f t="shared" si="2482"/>
        <v>PARRIS ISLAND</v>
      </c>
      <c r="J6428" t="str">
        <f t="shared" si="2483"/>
        <v>SC</v>
      </c>
      <c r="K6428" t="str">
        <f>T("8432283447")</f>
        <v>8432283447</v>
      </c>
      <c r="L6428" t="str">
        <f>T("8432282273")</f>
        <v>8432282273</v>
      </c>
    </row>
    <row r="6429" spans="1:12" x14ac:dyDescent="0.35">
      <c r="A6429" t="str">
        <f t="shared" si="2477"/>
        <v>MCRD PARRIS ISLAND</v>
      </c>
      <c r="B6429" t="str">
        <f t="shared" ref="B6429:B6462" si="2484">T("MCRD/ERR")</f>
        <v>MCRD/ERR</v>
      </c>
      <c r="C6429" t="str">
        <f t="shared" si="2478"/>
        <v>PO BOX 5069</v>
      </c>
      <c r="D6429" t="str">
        <f t="shared" si="2479"/>
        <v>PARRIS ISLAND</v>
      </c>
      <c r="E6429" t="str">
        <f t="shared" si="2480"/>
        <v>SC</v>
      </c>
      <c r="F6429" t="str">
        <f t="shared" si="2481"/>
        <v>299050069</v>
      </c>
      <c r="G6429" t="str">
        <f t="shared" si="2475"/>
        <v>MCRD/ERR</v>
      </c>
      <c r="H6429" t="str">
        <f t="shared" si="2476"/>
        <v>PO BOX 5069</v>
      </c>
      <c r="I6429" t="str">
        <f t="shared" si="2482"/>
        <v>PARRIS ISLAND</v>
      </c>
      <c r="J6429" t="str">
        <f t="shared" si="2483"/>
        <v>SC</v>
      </c>
      <c r="K6429" t="str">
        <f>T("8432283466")</f>
        <v>8432283466</v>
      </c>
      <c r="L6429" t="str">
        <f>T("8432282355")</f>
        <v>8432282355</v>
      </c>
    </row>
    <row r="6430" spans="1:12" x14ac:dyDescent="0.35">
      <c r="A6430" t="str">
        <f t="shared" si="2477"/>
        <v>MCRD PARRIS ISLAND</v>
      </c>
      <c r="B6430" t="str">
        <f t="shared" si="2484"/>
        <v>MCRD/ERR</v>
      </c>
      <c r="C6430" t="str">
        <f t="shared" si="2478"/>
        <v>PO BOX 5069</v>
      </c>
      <c r="D6430" t="str">
        <f t="shared" si="2479"/>
        <v>PARRIS ISLAND</v>
      </c>
      <c r="E6430" t="str">
        <f t="shared" si="2480"/>
        <v>SC</v>
      </c>
      <c r="F6430" t="str">
        <f t="shared" si="2481"/>
        <v>299050069</v>
      </c>
      <c r="G6430" t="str">
        <f t="shared" si="2475"/>
        <v>MCRD/ERR</v>
      </c>
      <c r="H6430" t="str">
        <f t="shared" si="2476"/>
        <v>PO BOX 5069</v>
      </c>
      <c r="I6430" t="str">
        <f t="shared" si="2482"/>
        <v>PARRIS ISLAND</v>
      </c>
      <c r="J6430" t="str">
        <f t="shared" si="2483"/>
        <v>SC</v>
      </c>
      <c r="K6430" t="str">
        <f>T("8432283708")</f>
        <v>8432283708</v>
      </c>
      <c r="L6430" t="str">
        <f>T("8432283899")</f>
        <v>8432283899</v>
      </c>
    </row>
    <row r="6431" spans="1:12" x14ac:dyDescent="0.35">
      <c r="A6431" t="str">
        <f t="shared" si="2477"/>
        <v>MCRD PARRIS ISLAND</v>
      </c>
      <c r="B6431" t="str">
        <f t="shared" si="2484"/>
        <v>MCRD/ERR</v>
      </c>
      <c r="C6431" t="str">
        <f t="shared" si="2478"/>
        <v>PO BOX 5069</v>
      </c>
      <c r="D6431" t="str">
        <f t="shared" si="2479"/>
        <v>PARRIS ISLAND</v>
      </c>
      <c r="E6431" t="str">
        <f t="shared" si="2480"/>
        <v>SC</v>
      </c>
      <c r="F6431" t="str">
        <f t="shared" si="2481"/>
        <v>299050069</v>
      </c>
      <c r="G6431" t="str">
        <f t="shared" si="2475"/>
        <v>MCRD/ERR</v>
      </c>
      <c r="H6431" t="str">
        <f t="shared" si="2476"/>
        <v>PO BOX 5069</v>
      </c>
      <c r="I6431" t="str">
        <f t="shared" si="2482"/>
        <v>PARRIS ISLAND</v>
      </c>
      <c r="J6431" t="str">
        <f t="shared" si="2483"/>
        <v>SC</v>
      </c>
      <c r="K6431" t="str">
        <f>T("8432283708")</f>
        <v>8432283708</v>
      </c>
      <c r="L6431" t="str">
        <f>T("8432284786")</f>
        <v>8432284786</v>
      </c>
    </row>
    <row r="6432" spans="1:12" x14ac:dyDescent="0.35">
      <c r="A6432" t="str">
        <f t="shared" si="2477"/>
        <v>MCRD PARRIS ISLAND</v>
      </c>
      <c r="B6432" t="str">
        <f t="shared" si="2484"/>
        <v>MCRD/ERR</v>
      </c>
      <c r="C6432" t="str">
        <f t="shared" si="2478"/>
        <v>PO BOX 5069</v>
      </c>
      <c r="D6432" t="str">
        <f t="shared" si="2479"/>
        <v>PARRIS ISLAND</v>
      </c>
      <c r="E6432" t="str">
        <f t="shared" si="2480"/>
        <v>SC</v>
      </c>
      <c r="F6432" t="str">
        <f t="shared" si="2481"/>
        <v>299050069</v>
      </c>
      <c r="G6432" t="str">
        <f t="shared" si="2475"/>
        <v>MCRD/ERR</v>
      </c>
      <c r="H6432" t="str">
        <f t="shared" si="2476"/>
        <v>PO BOX 5069</v>
      </c>
      <c r="I6432" t="str">
        <f t="shared" si="2482"/>
        <v>PARRIS ISLAND</v>
      </c>
      <c r="J6432" t="str">
        <f t="shared" si="2483"/>
        <v>SC</v>
      </c>
      <c r="K6432" t="str">
        <f>T("8432283733")</f>
        <v>8432283733</v>
      </c>
      <c r="L6432" t="str">
        <f>T("8437700698")</f>
        <v>8437700698</v>
      </c>
    </row>
    <row r="6433" spans="1:12" x14ac:dyDescent="0.35">
      <c r="A6433" t="str">
        <f t="shared" si="2477"/>
        <v>MCRD PARRIS ISLAND</v>
      </c>
      <c r="B6433" t="str">
        <f t="shared" si="2484"/>
        <v>MCRD/ERR</v>
      </c>
      <c r="C6433" t="str">
        <f t="shared" si="2478"/>
        <v>PO BOX 5069</v>
      </c>
      <c r="D6433" t="str">
        <f t="shared" si="2479"/>
        <v>PARRIS ISLAND</v>
      </c>
      <c r="E6433" t="str">
        <f t="shared" si="2480"/>
        <v>SC</v>
      </c>
      <c r="F6433" t="str">
        <f t="shared" si="2481"/>
        <v>299050069</v>
      </c>
      <c r="G6433" t="str">
        <f t="shared" si="2475"/>
        <v>MCRD/ERR</v>
      </c>
      <c r="H6433" t="str">
        <f t="shared" si="2476"/>
        <v>PO BOX 5069</v>
      </c>
      <c r="I6433" t="str">
        <f t="shared" si="2482"/>
        <v>PARRIS ISLAND</v>
      </c>
      <c r="J6433" t="str">
        <f t="shared" si="2483"/>
        <v>SC</v>
      </c>
      <c r="K6433" t="str">
        <f>T("8432283902")</f>
        <v>8432283902</v>
      </c>
      <c r="L6433" t="str">
        <f>T("8432284534")</f>
        <v>8432284534</v>
      </c>
    </row>
    <row r="6434" spans="1:12" x14ac:dyDescent="0.35">
      <c r="A6434" t="str">
        <f t="shared" si="2477"/>
        <v>MCRD PARRIS ISLAND</v>
      </c>
      <c r="B6434" t="str">
        <f t="shared" si="2484"/>
        <v>MCRD/ERR</v>
      </c>
      <c r="C6434" t="str">
        <f t="shared" si="2478"/>
        <v>PO BOX 5069</v>
      </c>
      <c r="D6434" t="str">
        <f t="shared" si="2479"/>
        <v>PARRIS ISLAND</v>
      </c>
      <c r="E6434" t="str">
        <f t="shared" si="2480"/>
        <v>SC</v>
      </c>
      <c r="F6434" t="str">
        <f t="shared" si="2481"/>
        <v>299050069</v>
      </c>
      <c r="G6434" t="str">
        <f t="shared" si="2475"/>
        <v>MCRD/ERR</v>
      </c>
      <c r="H6434" t="str">
        <f t="shared" si="2476"/>
        <v>PO BOX 5069</v>
      </c>
      <c r="I6434" t="str">
        <f t="shared" si="2482"/>
        <v>PARRIS ISLAND</v>
      </c>
      <c r="J6434" t="str">
        <f t="shared" si="2483"/>
        <v>SC</v>
      </c>
      <c r="K6434" t="str">
        <f>T("8432283939")</f>
        <v>8432283939</v>
      </c>
      <c r="L6434" t="str">
        <f>T("8432282762")</f>
        <v>8432282762</v>
      </c>
    </row>
    <row r="6435" spans="1:12" x14ac:dyDescent="0.35">
      <c r="A6435" t="str">
        <f t="shared" si="2477"/>
        <v>MCRD PARRIS ISLAND</v>
      </c>
      <c r="B6435" t="str">
        <f t="shared" si="2484"/>
        <v>MCRD/ERR</v>
      </c>
      <c r="C6435" t="str">
        <f t="shared" si="2478"/>
        <v>PO BOX 5069</v>
      </c>
      <c r="D6435" t="str">
        <f t="shared" si="2479"/>
        <v>PARRIS ISLAND</v>
      </c>
      <c r="E6435" t="str">
        <f t="shared" si="2480"/>
        <v>SC</v>
      </c>
      <c r="F6435" t="str">
        <f t="shared" si="2481"/>
        <v>299050069</v>
      </c>
      <c r="G6435" t="str">
        <f t="shared" si="2475"/>
        <v>MCRD/ERR</v>
      </c>
      <c r="H6435" t="str">
        <f t="shared" si="2476"/>
        <v>PO BOX 5069</v>
      </c>
      <c r="I6435" t="str">
        <f t="shared" si="2482"/>
        <v>PARRIS ISLAND</v>
      </c>
      <c r="J6435" t="str">
        <f t="shared" si="2483"/>
        <v>SC</v>
      </c>
      <c r="K6435" t="str">
        <f>T("8432284012")</f>
        <v>8432284012</v>
      </c>
      <c r="L6435" t="str">
        <f>T("8432281828")</f>
        <v>8432281828</v>
      </c>
    </row>
    <row r="6436" spans="1:12" x14ac:dyDescent="0.35">
      <c r="A6436" t="str">
        <f t="shared" si="2477"/>
        <v>MCRD PARRIS ISLAND</v>
      </c>
      <c r="B6436" t="str">
        <f t="shared" si="2484"/>
        <v>MCRD/ERR</v>
      </c>
      <c r="C6436" t="str">
        <f t="shared" si="2478"/>
        <v>PO BOX 5069</v>
      </c>
      <c r="D6436" t="str">
        <f t="shared" si="2479"/>
        <v>PARRIS ISLAND</v>
      </c>
      <c r="E6436" t="str">
        <f t="shared" si="2480"/>
        <v>SC</v>
      </c>
      <c r="F6436" t="str">
        <f t="shared" si="2481"/>
        <v>299050069</v>
      </c>
      <c r="G6436" t="str">
        <f t="shared" si="2475"/>
        <v>MCRD/ERR</v>
      </c>
      <c r="H6436" t="str">
        <f t="shared" si="2476"/>
        <v>PO BOX 5069</v>
      </c>
      <c r="I6436" t="str">
        <f t="shared" si="2482"/>
        <v>PARRIS ISLAND</v>
      </c>
      <c r="J6436" t="str">
        <f t="shared" si="2483"/>
        <v>SC</v>
      </c>
      <c r="K6436" t="str">
        <f>T("8432284552")</f>
        <v>8432284552</v>
      </c>
      <c r="L6436" t="str">
        <f>T("8432282373")</f>
        <v>8432282373</v>
      </c>
    </row>
    <row r="6437" spans="1:12" x14ac:dyDescent="0.35">
      <c r="A6437" t="str">
        <f t="shared" si="2477"/>
        <v>MCRD PARRIS ISLAND</v>
      </c>
      <c r="B6437" t="str">
        <f t="shared" si="2484"/>
        <v>MCRD/ERR</v>
      </c>
      <c r="C6437" t="str">
        <f t="shared" si="2478"/>
        <v>PO BOX 5069</v>
      </c>
      <c r="D6437" t="str">
        <f t="shared" si="2479"/>
        <v>PARRIS ISLAND</v>
      </c>
      <c r="E6437" t="str">
        <f t="shared" si="2480"/>
        <v>SC</v>
      </c>
      <c r="F6437" t="str">
        <f t="shared" si="2481"/>
        <v>299050069</v>
      </c>
      <c r="G6437" t="str">
        <f>T("MCRD/ERR PI")</f>
        <v>MCRD/ERR PI</v>
      </c>
      <c r="H6437" t="str">
        <f>T("P O BOX 19001")</f>
        <v>P O BOX 19001</v>
      </c>
      <c r="I6437" t="str">
        <f t="shared" si="2482"/>
        <v>PARRIS ISLAND</v>
      </c>
      <c r="J6437" t="str">
        <f t="shared" si="2483"/>
        <v>SC</v>
      </c>
      <c r="K6437" t="str">
        <f>T("8432283548")</f>
        <v>8432283548</v>
      </c>
      <c r="L6437" t="str">
        <f>T("8432282594")</f>
        <v>8432282594</v>
      </c>
    </row>
    <row r="6438" spans="1:12" x14ac:dyDescent="0.35">
      <c r="A6438" t="str">
        <f t="shared" si="2477"/>
        <v>MCRD PARRIS ISLAND</v>
      </c>
      <c r="B6438" t="str">
        <f t="shared" si="2484"/>
        <v>MCRD/ERR</v>
      </c>
      <c r="C6438" t="str">
        <f t="shared" si="2478"/>
        <v>PO BOX 5069</v>
      </c>
      <c r="D6438" t="str">
        <f t="shared" si="2479"/>
        <v>PARRIS ISLAND</v>
      </c>
      <c r="E6438" t="str">
        <f t="shared" si="2480"/>
        <v>SC</v>
      </c>
      <c r="F6438" t="str">
        <f t="shared" si="2481"/>
        <v>299050069</v>
      </c>
      <c r="G6438" t="str">
        <f>T("MOTOR TRANSPORT BASE OPS")</f>
        <v>MOTOR TRANSPORT BASE OPS</v>
      </c>
      <c r="H6438" t="str">
        <f>T("P O BOX 19470")</f>
        <v>P O BOX 19470</v>
      </c>
      <c r="I6438" t="str">
        <f t="shared" si="2482"/>
        <v>PARRIS ISLAND</v>
      </c>
      <c r="J6438" t="str">
        <f t="shared" si="2483"/>
        <v>SC</v>
      </c>
      <c r="K6438" t="str">
        <f>T("8432283939")</f>
        <v>8432283939</v>
      </c>
      <c r="L6438" t="str">
        <f>T("8432284336")</f>
        <v>8432284336</v>
      </c>
    </row>
    <row r="6439" spans="1:12" x14ac:dyDescent="0.35">
      <c r="A6439" t="str">
        <f t="shared" si="2477"/>
        <v>MCRD PARRIS ISLAND</v>
      </c>
      <c r="B6439" t="str">
        <f t="shared" si="2484"/>
        <v>MCRD/ERR</v>
      </c>
      <c r="C6439" t="str">
        <f t="shared" si="2478"/>
        <v>PO BOX 5069</v>
      </c>
      <c r="D6439" t="str">
        <f t="shared" si="2479"/>
        <v>PARRIS ISLAND</v>
      </c>
      <c r="E6439" t="str">
        <f t="shared" si="2480"/>
        <v>SC</v>
      </c>
      <c r="F6439" t="str">
        <f t="shared" si="2481"/>
        <v>299050069</v>
      </c>
      <c r="G6439" t="str">
        <f>T("P O BOX 19001")</f>
        <v>P O BOX 19001</v>
      </c>
      <c r="H6439" t="str">
        <f t="shared" ref="H6439:H6453" si="2485">T("")</f>
        <v/>
      </c>
      <c r="I6439" t="str">
        <f t="shared" si="2482"/>
        <v>PARRIS ISLAND</v>
      </c>
      <c r="J6439" t="str">
        <f t="shared" si="2483"/>
        <v>SC</v>
      </c>
      <c r="K6439" t="str">
        <f>T("000000000000000000")</f>
        <v>000000000000000000</v>
      </c>
      <c r="L6439" t="str">
        <f>T("8432283483")</f>
        <v>8432283483</v>
      </c>
    </row>
    <row r="6440" spans="1:12" x14ac:dyDescent="0.35">
      <c r="A6440" t="str">
        <f t="shared" si="2477"/>
        <v>MCRD PARRIS ISLAND</v>
      </c>
      <c r="B6440" t="str">
        <f t="shared" si="2484"/>
        <v>MCRD/ERR</v>
      </c>
      <c r="C6440" t="str">
        <f t="shared" si="2478"/>
        <v>PO BOX 5069</v>
      </c>
      <c r="D6440" t="str">
        <f t="shared" si="2479"/>
        <v>PARRIS ISLAND</v>
      </c>
      <c r="E6440" t="str">
        <f t="shared" si="2480"/>
        <v>SC</v>
      </c>
      <c r="F6440" t="str">
        <f t="shared" si="2481"/>
        <v>299050069</v>
      </c>
      <c r="G6440" t="str">
        <f>T("P O BOX 19001")</f>
        <v>P O BOX 19001</v>
      </c>
      <c r="H6440" t="str">
        <f t="shared" si="2485"/>
        <v/>
      </c>
      <c r="I6440" t="str">
        <f t="shared" si="2482"/>
        <v>PARRIS ISLAND</v>
      </c>
      <c r="J6440" t="str">
        <f t="shared" si="2483"/>
        <v>SC</v>
      </c>
      <c r="K6440" t="str">
        <f>T("8432283548")</f>
        <v>8432283548</v>
      </c>
      <c r="L6440" t="str">
        <f>T("8432282535")</f>
        <v>8432282535</v>
      </c>
    </row>
    <row r="6441" spans="1:12" x14ac:dyDescent="0.35">
      <c r="A6441" t="str">
        <f t="shared" si="2477"/>
        <v>MCRD PARRIS ISLAND</v>
      </c>
      <c r="B6441" t="str">
        <f t="shared" si="2484"/>
        <v>MCRD/ERR</v>
      </c>
      <c r="C6441" t="str">
        <f t="shared" si="2478"/>
        <v>PO BOX 5069</v>
      </c>
      <c r="D6441" t="str">
        <f t="shared" si="2479"/>
        <v>PARRIS ISLAND</v>
      </c>
      <c r="E6441" t="str">
        <f t="shared" si="2480"/>
        <v>SC</v>
      </c>
      <c r="F6441" t="str">
        <f t="shared" si="2481"/>
        <v>299050069</v>
      </c>
      <c r="G6441" t="str">
        <f>T("P O BOX 19001")</f>
        <v>P O BOX 19001</v>
      </c>
      <c r="H6441" t="str">
        <f t="shared" si="2485"/>
        <v/>
      </c>
      <c r="I6441" t="str">
        <f t="shared" si="2482"/>
        <v>PARRIS ISLAND</v>
      </c>
      <c r="J6441" t="str">
        <f t="shared" si="2483"/>
        <v>SC</v>
      </c>
      <c r="K6441" t="str">
        <f>T("8432283548")</f>
        <v>8432283548</v>
      </c>
      <c r="L6441" t="str">
        <f>T("8432282594")</f>
        <v>8432282594</v>
      </c>
    </row>
    <row r="6442" spans="1:12" x14ac:dyDescent="0.35">
      <c r="A6442" t="str">
        <f t="shared" si="2477"/>
        <v>MCRD PARRIS ISLAND</v>
      </c>
      <c r="B6442" t="str">
        <f t="shared" si="2484"/>
        <v>MCRD/ERR</v>
      </c>
      <c r="C6442" t="str">
        <f t="shared" si="2478"/>
        <v>PO BOX 5069</v>
      </c>
      <c r="D6442" t="str">
        <f t="shared" si="2479"/>
        <v>PARRIS ISLAND</v>
      </c>
      <c r="E6442" t="str">
        <f t="shared" si="2480"/>
        <v>SC</v>
      </c>
      <c r="F6442" t="str">
        <f t="shared" si="2481"/>
        <v>299050069</v>
      </c>
      <c r="G6442" t="str">
        <f>T("P O BOX 19001")</f>
        <v>P O BOX 19001</v>
      </c>
      <c r="H6442" t="str">
        <f t="shared" si="2485"/>
        <v/>
      </c>
      <c r="I6442" t="str">
        <f t="shared" si="2482"/>
        <v>PARRIS ISLAND</v>
      </c>
      <c r="J6442" t="str">
        <f t="shared" si="2483"/>
        <v>SC</v>
      </c>
      <c r="K6442" t="str">
        <f>T("8432283922")</f>
        <v>8432283922</v>
      </c>
      <c r="L6442" t="str">
        <f>T("8432284963")</f>
        <v>8432284963</v>
      </c>
    </row>
    <row r="6443" spans="1:12" x14ac:dyDescent="0.35">
      <c r="A6443" t="str">
        <f t="shared" si="2477"/>
        <v>MCRD PARRIS ISLAND</v>
      </c>
      <c r="B6443" t="str">
        <f t="shared" si="2484"/>
        <v>MCRD/ERR</v>
      </c>
      <c r="C6443" t="str">
        <f t="shared" si="2478"/>
        <v>PO BOX 5069</v>
      </c>
      <c r="D6443" t="str">
        <f t="shared" si="2479"/>
        <v>PARRIS ISLAND</v>
      </c>
      <c r="E6443" t="str">
        <f t="shared" si="2480"/>
        <v>SC</v>
      </c>
      <c r="F6443" t="str">
        <f t="shared" si="2481"/>
        <v>299050069</v>
      </c>
      <c r="G6443" t="str">
        <f>T("P O BOX 19330")</f>
        <v>P O BOX 19330</v>
      </c>
      <c r="H6443" t="str">
        <f t="shared" si="2485"/>
        <v/>
      </c>
      <c r="I6443" t="str">
        <f t="shared" si="2482"/>
        <v>PARRIS ISLAND</v>
      </c>
      <c r="J6443" t="str">
        <f t="shared" si="2483"/>
        <v>SC</v>
      </c>
      <c r="K6443" t="str">
        <f>T("000000000000000000")</f>
        <v>000000000000000000</v>
      </c>
      <c r="L6443" t="str">
        <f>T("8432283743")</f>
        <v>8432283743</v>
      </c>
    </row>
    <row r="6444" spans="1:12" x14ac:dyDescent="0.35">
      <c r="A6444" t="str">
        <f t="shared" si="2477"/>
        <v>MCRD PARRIS ISLAND</v>
      </c>
      <c r="B6444" t="str">
        <f t="shared" si="2484"/>
        <v>MCRD/ERR</v>
      </c>
      <c r="C6444" t="str">
        <f t="shared" si="2478"/>
        <v>PO BOX 5069</v>
      </c>
      <c r="D6444" t="str">
        <f t="shared" si="2479"/>
        <v>PARRIS ISLAND</v>
      </c>
      <c r="E6444" t="str">
        <f t="shared" si="2480"/>
        <v>SC</v>
      </c>
      <c r="F6444" t="str">
        <f t="shared" si="2481"/>
        <v>299050069</v>
      </c>
      <c r="G6444" t="str">
        <f>T("P O BOX 19330")</f>
        <v>P O BOX 19330</v>
      </c>
      <c r="H6444" t="str">
        <f t="shared" si="2485"/>
        <v/>
      </c>
      <c r="I6444" t="str">
        <f t="shared" si="2482"/>
        <v>PARRIS ISLAND</v>
      </c>
      <c r="J6444" t="str">
        <f t="shared" si="2483"/>
        <v>SC</v>
      </c>
      <c r="K6444" t="str">
        <f>T("8432281001")</f>
        <v>8432281001</v>
      </c>
      <c r="L6444" t="str">
        <f>T("8432284761")</f>
        <v>8432284761</v>
      </c>
    </row>
    <row r="6445" spans="1:12" x14ac:dyDescent="0.35">
      <c r="A6445" t="str">
        <f t="shared" si="2477"/>
        <v>MCRD PARRIS ISLAND</v>
      </c>
      <c r="B6445" t="str">
        <f t="shared" si="2484"/>
        <v>MCRD/ERR</v>
      </c>
      <c r="C6445" t="str">
        <f t="shared" si="2478"/>
        <v>PO BOX 5069</v>
      </c>
      <c r="D6445" t="str">
        <f t="shared" si="2479"/>
        <v>PARRIS ISLAND</v>
      </c>
      <c r="E6445" t="str">
        <f t="shared" si="2480"/>
        <v>SC</v>
      </c>
      <c r="F6445" t="str">
        <f t="shared" si="2481"/>
        <v>299050069</v>
      </c>
      <c r="G6445" t="str">
        <f>T("P O BOX 19420")</f>
        <v>P O BOX 19420</v>
      </c>
      <c r="H6445" t="str">
        <f t="shared" si="2485"/>
        <v/>
      </c>
      <c r="I6445" t="str">
        <f t="shared" si="2482"/>
        <v>PARRIS ISLAND</v>
      </c>
      <c r="J6445" t="str">
        <f t="shared" si="2483"/>
        <v>SC</v>
      </c>
      <c r="K6445" t="str">
        <f>T("000000000000000000")</f>
        <v>000000000000000000</v>
      </c>
      <c r="L6445" t="str">
        <f>T("8432283082")</f>
        <v>8432283082</v>
      </c>
    </row>
    <row r="6446" spans="1:12" x14ac:dyDescent="0.35">
      <c r="A6446" t="str">
        <f t="shared" si="2477"/>
        <v>MCRD PARRIS ISLAND</v>
      </c>
      <c r="B6446" t="str">
        <f t="shared" si="2484"/>
        <v>MCRD/ERR</v>
      </c>
      <c r="C6446" t="str">
        <f t="shared" si="2478"/>
        <v>PO BOX 5069</v>
      </c>
      <c r="D6446" t="str">
        <f t="shared" si="2479"/>
        <v>PARRIS ISLAND</v>
      </c>
      <c r="E6446" t="str">
        <f t="shared" si="2480"/>
        <v>SC</v>
      </c>
      <c r="F6446" t="str">
        <f t="shared" si="2481"/>
        <v>299050069</v>
      </c>
      <c r="G6446" t="str">
        <f>T("P O BOX 19430")</f>
        <v>P O BOX 19430</v>
      </c>
      <c r="H6446" t="str">
        <f t="shared" si="2485"/>
        <v/>
      </c>
      <c r="I6446" t="str">
        <f t="shared" si="2482"/>
        <v>PARRIS ISLAND</v>
      </c>
      <c r="J6446" t="str">
        <f t="shared" si="2483"/>
        <v>SC</v>
      </c>
      <c r="K6446" t="str">
        <f>T("8432283075")</f>
        <v>8432283075</v>
      </c>
      <c r="L6446" t="str">
        <f>T("8432283228")</f>
        <v>8432283228</v>
      </c>
    </row>
    <row r="6447" spans="1:12" x14ac:dyDescent="0.35">
      <c r="A6447" t="str">
        <f t="shared" si="2477"/>
        <v>MCRD PARRIS ISLAND</v>
      </c>
      <c r="B6447" t="str">
        <f t="shared" si="2484"/>
        <v>MCRD/ERR</v>
      </c>
      <c r="C6447" t="str">
        <f t="shared" si="2478"/>
        <v>PO BOX 5069</v>
      </c>
      <c r="D6447" t="str">
        <f t="shared" si="2479"/>
        <v>PARRIS ISLAND</v>
      </c>
      <c r="E6447" t="str">
        <f t="shared" si="2480"/>
        <v>SC</v>
      </c>
      <c r="F6447" t="str">
        <f t="shared" si="2481"/>
        <v>299050069</v>
      </c>
      <c r="G6447" t="str">
        <f>T("P O BOX 19520")</f>
        <v>P O BOX 19520</v>
      </c>
      <c r="H6447" t="str">
        <f t="shared" si="2485"/>
        <v/>
      </c>
      <c r="I6447" t="str">
        <f t="shared" si="2482"/>
        <v>PARRIS ISLAND</v>
      </c>
      <c r="J6447" t="str">
        <f t="shared" si="2483"/>
        <v>SC</v>
      </c>
      <c r="K6447" t="str">
        <f>T("8432283466")</f>
        <v>8432283466</v>
      </c>
      <c r="L6447" t="str">
        <f>T("8432282150")</f>
        <v>8432282150</v>
      </c>
    </row>
    <row r="6448" spans="1:12" x14ac:dyDescent="0.35">
      <c r="A6448" t="str">
        <f t="shared" si="2477"/>
        <v>MCRD PARRIS ISLAND</v>
      </c>
      <c r="B6448" t="str">
        <f t="shared" si="2484"/>
        <v>MCRD/ERR</v>
      </c>
      <c r="C6448" t="str">
        <f t="shared" si="2478"/>
        <v>PO BOX 5069</v>
      </c>
      <c r="D6448" t="str">
        <f t="shared" si="2479"/>
        <v>PARRIS ISLAND</v>
      </c>
      <c r="E6448" t="str">
        <f t="shared" si="2480"/>
        <v>SC</v>
      </c>
      <c r="F6448" t="str">
        <f t="shared" si="2481"/>
        <v>299050069</v>
      </c>
      <c r="G6448" t="str">
        <f>T("P O BOX 19601")</f>
        <v>P O BOX 19601</v>
      </c>
      <c r="H6448" t="str">
        <f t="shared" si="2485"/>
        <v/>
      </c>
      <c r="I6448" t="str">
        <f t="shared" si="2482"/>
        <v>PARRIS ISLAND</v>
      </c>
      <c r="J6448" t="str">
        <f t="shared" si="2483"/>
        <v>SC</v>
      </c>
      <c r="K6448" t="str">
        <f>T("000000000000000000")</f>
        <v>000000000000000000</v>
      </c>
      <c r="L6448" t="str">
        <f>T("8432283533")</f>
        <v>8432283533</v>
      </c>
    </row>
    <row r="6449" spans="1:12" x14ac:dyDescent="0.35">
      <c r="A6449" t="str">
        <f t="shared" si="2477"/>
        <v>MCRD PARRIS ISLAND</v>
      </c>
      <c r="B6449" t="str">
        <f t="shared" si="2484"/>
        <v>MCRD/ERR</v>
      </c>
      <c r="C6449" t="str">
        <f t="shared" si="2478"/>
        <v>PO BOX 5069</v>
      </c>
      <c r="D6449" t="str">
        <f t="shared" si="2479"/>
        <v>PARRIS ISLAND</v>
      </c>
      <c r="E6449" t="str">
        <f t="shared" si="2480"/>
        <v>SC</v>
      </c>
      <c r="F6449" t="str">
        <f t="shared" si="2481"/>
        <v>299050069</v>
      </c>
      <c r="G6449" t="str">
        <f>T("P O BOX 19601")</f>
        <v>P O BOX 19601</v>
      </c>
      <c r="H6449" t="str">
        <f t="shared" si="2485"/>
        <v/>
      </c>
      <c r="I6449" t="str">
        <f t="shared" si="2482"/>
        <v>PARRIS ISLAND</v>
      </c>
      <c r="J6449" t="str">
        <f t="shared" si="2483"/>
        <v>SC</v>
      </c>
      <c r="K6449" t="str">
        <f>T("8432282724")</f>
        <v>8432282724</v>
      </c>
      <c r="L6449" t="str">
        <f>T("8432282636")</f>
        <v>8432282636</v>
      </c>
    </row>
    <row r="6450" spans="1:12" x14ac:dyDescent="0.35">
      <c r="A6450" t="str">
        <f t="shared" si="2477"/>
        <v>MCRD PARRIS ISLAND</v>
      </c>
      <c r="B6450" t="str">
        <f t="shared" si="2484"/>
        <v>MCRD/ERR</v>
      </c>
      <c r="C6450" t="str">
        <f t="shared" si="2478"/>
        <v>PO BOX 5069</v>
      </c>
      <c r="D6450" t="str">
        <f t="shared" si="2479"/>
        <v>PARRIS ISLAND</v>
      </c>
      <c r="E6450" t="str">
        <f t="shared" si="2480"/>
        <v>SC</v>
      </c>
      <c r="F6450" t="str">
        <f t="shared" si="2481"/>
        <v>299050069</v>
      </c>
      <c r="G6450" t="str">
        <f>T("P O BOX 5035")</f>
        <v>P O BOX 5035</v>
      </c>
      <c r="H6450" t="str">
        <f t="shared" si="2485"/>
        <v/>
      </c>
      <c r="I6450" t="str">
        <f t="shared" si="2482"/>
        <v>PARRIS ISLAND</v>
      </c>
      <c r="J6450" t="str">
        <f t="shared" si="2483"/>
        <v>SC</v>
      </c>
      <c r="K6450" t="str">
        <f>T("8432284092")</f>
        <v>8432284092</v>
      </c>
      <c r="L6450" t="str">
        <f>T("8432283590")</f>
        <v>8432283590</v>
      </c>
    </row>
    <row r="6451" spans="1:12" x14ac:dyDescent="0.35">
      <c r="A6451" t="str">
        <f t="shared" si="2477"/>
        <v>MCRD PARRIS ISLAND</v>
      </c>
      <c r="B6451" t="str">
        <f t="shared" si="2484"/>
        <v>MCRD/ERR</v>
      </c>
      <c r="C6451" t="str">
        <f t="shared" si="2478"/>
        <v>PO BOX 5069</v>
      </c>
      <c r="D6451" t="str">
        <f t="shared" si="2479"/>
        <v>PARRIS ISLAND</v>
      </c>
      <c r="E6451" t="str">
        <f t="shared" si="2480"/>
        <v>SC</v>
      </c>
      <c r="F6451" t="str">
        <f t="shared" si="2481"/>
        <v>299050069</v>
      </c>
      <c r="G6451" t="str">
        <f>T("P O BOX 5069")</f>
        <v>P O BOX 5069</v>
      </c>
      <c r="H6451" t="str">
        <f t="shared" si="2485"/>
        <v/>
      </c>
      <c r="I6451" t="str">
        <f t="shared" si="2482"/>
        <v>PARRIS ISLAND</v>
      </c>
      <c r="J6451" t="str">
        <f t="shared" si="2483"/>
        <v>SC</v>
      </c>
      <c r="K6451" t="str">
        <f>T("000000000000000000")</f>
        <v>000000000000000000</v>
      </c>
      <c r="L6451" t="str">
        <f>T("8432283813")</f>
        <v>8432283813</v>
      </c>
    </row>
    <row r="6452" spans="1:12" x14ac:dyDescent="0.35">
      <c r="A6452" t="str">
        <f t="shared" si="2477"/>
        <v>MCRD PARRIS ISLAND</v>
      </c>
      <c r="B6452" t="str">
        <f t="shared" si="2484"/>
        <v>MCRD/ERR</v>
      </c>
      <c r="C6452" t="str">
        <f t="shared" si="2478"/>
        <v>PO BOX 5069</v>
      </c>
      <c r="D6452" t="str">
        <f t="shared" si="2479"/>
        <v>PARRIS ISLAND</v>
      </c>
      <c r="E6452" t="str">
        <f t="shared" si="2480"/>
        <v>SC</v>
      </c>
      <c r="F6452" t="str">
        <f t="shared" si="2481"/>
        <v>299050069</v>
      </c>
      <c r="G6452" t="str">
        <f>T("P O BOX 5069")</f>
        <v>P O BOX 5069</v>
      </c>
      <c r="H6452" t="str">
        <f t="shared" si="2485"/>
        <v/>
      </c>
      <c r="I6452" t="str">
        <f t="shared" si="2482"/>
        <v>PARRIS ISLAND</v>
      </c>
      <c r="J6452" t="str">
        <f t="shared" si="2483"/>
        <v>SC</v>
      </c>
      <c r="K6452" t="str">
        <f>T("8432282163")</f>
        <v>8432282163</v>
      </c>
      <c r="L6452" t="str">
        <f>T("8432282703")</f>
        <v>8432282703</v>
      </c>
    </row>
    <row r="6453" spans="1:12" x14ac:dyDescent="0.35">
      <c r="A6453" t="str">
        <f t="shared" si="2477"/>
        <v>MCRD PARRIS ISLAND</v>
      </c>
      <c r="B6453" t="str">
        <f t="shared" si="2484"/>
        <v>MCRD/ERR</v>
      </c>
      <c r="C6453" t="str">
        <f t="shared" si="2478"/>
        <v>PO BOX 5069</v>
      </c>
      <c r="D6453" t="str">
        <f t="shared" si="2479"/>
        <v>PARRIS ISLAND</v>
      </c>
      <c r="E6453" t="str">
        <f t="shared" si="2480"/>
        <v>SC</v>
      </c>
      <c r="F6453" t="str">
        <f t="shared" si="2481"/>
        <v>299050069</v>
      </c>
      <c r="G6453" t="str">
        <f>T("P O BOX 5069")</f>
        <v>P O BOX 5069</v>
      </c>
      <c r="H6453" t="str">
        <f t="shared" si="2485"/>
        <v/>
      </c>
      <c r="I6453" t="str">
        <f t="shared" si="2482"/>
        <v>PARRIS ISLAND</v>
      </c>
      <c r="J6453" t="str">
        <f t="shared" si="2483"/>
        <v>SC</v>
      </c>
      <c r="K6453" t="str">
        <f>T("8432282163")</f>
        <v>8432282163</v>
      </c>
      <c r="L6453" t="str">
        <f>T("8432284065")</f>
        <v>8432284065</v>
      </c>
    </row>
    <row r="6454" spans="1:12" x14ac:dyDescent="0.35">
      <c r="A6454" t="str">
        <f t="shared" si="2477"/>
        <v>MCRD PARRIS ISLAND</v>
      </c>
      <c r="B6454" t="str">
        <f t="shared" si="2484"/>
        <v>MCRD/ERR</v>
      </c>
      <c r="C6454" t="str">
        <f t="shared" si="2478"/>
        <v>PO BOX 5069</v>
      </c>
      <c r="D6454" t="str">
        <f t="shared" si="2479"/>
        <v>PARRIS ISLAND</v>
      </c>
      <c r="E6454" t="str">
        <f t="shared" si="2480"/>
        <v>SC</v>
      </c>
      <c r="F6454" t="str">
        <f t="shared" si="2481"/>
        <v>299050069</v>
      </c>
      <c r="G6454" t="str">
        <f>T("PAO")</f>
        <v>PAO</v>
      </c>
      <c r="H6454" t="str">
        <f>T("P O BOX 19660")</f>
        <v>P O BOX 19660</v>
      </c>
      <c r="I6454" t="str">
        <f t="shared" si="2482"/>
        <v>PARRIS ISLAND</v>
      </c>
      <c r="J6454" t="str">
        <f t="shared" si="2483"/>
        <v>SC</v>
      </c>
      <c r="K6454" t="str">
        <f>T("8432282122")</f>
        <v>8432282122</v>
      </c>
      <c r="L6454" t="str">
        <f>T("8432283923")</f>
        <v>8432283923</v>
      </c>
    </row>
    <row r="6455" spans="1:12" x14ac:dyDescent="0.35">
      <c r="A6455" t="str">
        <f t="shared" si="2477"/>
        <v>MCRD PARRIS ISLAND</v>
      </c>
      <c r="B6455" t="str">
        <f t="shared" si="2484"/>
        <v>MCRD/ERR</v>
      </c>
      <c r="C6455" t="str">
        <f t="shared" si="2478"/>
        <v>PO BOX 5069</v>
      </c>
      <c r="D6455" t="str">
        <f t="shared" si="2479"/>
        <v>PARRIS ISLAND</v>
      </c>
      <c r="E6455" t="str">
        <f t="shared" si="2480"/>
        <v>SC</v>
      </c>
      <c r="F6455" t="str">
        <f t="shared" si="2481"/>
        <v>299050069</v>
      </c>
      <c r="G6455" t="str">
        <f>T("PO BOX 17001")</f>
        <v>PO BOX 17001</v>
      </c>
      <c r="H6455" t="str">
        <f t="shared" ref="H6455:H6460" si="2486">T("")</f>
        <v/>
      </c>
      <c r="I6455" t="str">
        <f t="shared" si="2482"/>
        <v>PARRIS ISLAND</v>
      </c>
      <c r="J6455" t="str">
        <f t="shared" si="2483"/>
        <v>SC</v>
      </c>
      <c r="K6455" t="str">
        <f>T("000000000000000000")</f>
        <v>000000000000000000</v>
      </c>
      <c r="L6455" t="str">
        <f>T("8432282912")</f>
        <v>8432282912</v>
      </c>
    </row>
    <row r="6456" spans="1:12" x14ac:dyDescent="0.35">
      <c r="A6456" t="str">
        <f t="shared" si="2477"/>
        <v>MCRD PARRIS ISLAND</v>
      </c>
      <c r="B6456" t="str">
        <f t="shared" si="2484"/>
        <v>MCRD/ERR</v>
      </c>
      <c r="C6456" t="str">
        <f t="shared" si="2478"/>
        <v>PO BOX 5069</v>
      </c>
      <c r="D6456" t="str">
        <f t="shared" si="2479"/>
        <v>PARRIS ISLAND</v>
      </c>
      <c r="E6456" t="str">
        <f t="shared" si="2480"/>
        <v>SC</v>
      </c>
      <c r="F6456" t="str">
        <f t="shared" si="2481"/>
        <v>299050069</v>
      </c>
      <c r="G6456" t="str">
        <f>T("PO BOX 19420")</f>
        <v>PO BOX 19420</v>
      </c>
      <c r="H6456" t="str">
        <f t="shared" si="2486"/>
        <v/>
      </c>
      <c r="I6456" t="str">
        <f t="shared" si="2482"/>
        <v>PARRIS ISLAND</v>
      </c>
      <c r="J6456" t="str">
        <f t="shared" si="2483"/>
        <v>SC</v>
      </c>
      <c r="K6456" t="str">
        <f>T("8432283075")</f>
        <v>8432283075</v>
      </c>
      <c r="L6456" t="str">
        <f>T("8432283228")</f>
        <v>8432283228</v>
      </c>
    </row>
    <row r="6457" spans="1:12" x14ac:dyDescent="0.35">
      <c r="A6457" t="str">
        <f t="shared" si="2477"/>
        <v>MCRD PARRIS ISLAND</v>
      </c>
      <c r="B6457" t="str">
        <f t="shared" si="2484"/>
        <v>MCRD/ERR</v>
      </c>
      <c r="C6457" t="str">
        <f t="shared" si="2478"/>
        <v>PO BOX 5069</v>
      </c>
      <c r="D6457" t="str">
        <f t="shared" si="2479"/>
        <v>PARRIS ISLAND</v>
      </c>
      <c r="E6457" t="str">
        <f t="shared" si="2480"/>
        <v>SC</v>
      </c>
      <c r="F6457" t="str">
        <f t="shared" si="2481"/>
        <v>299050069</v>
      </c>
      <c r="G6457" t="str">
        <f>T("PO BOX 19540")</f>
        <v>PO BOX 19540</v>
      </c>
      <c r="H6457" t="str">
        <f t="shared" si="2486"/>
        <v/>
      </c>
      <c r="I6457" t="str">
        <f t="shared" si="2482"/>
        <v>PARRIS ISLAND</v>
      </c>
      <c r="J6457" t="str">
        <f t="shared" si="2483"/>
        <v>SC</v>
      </c>
      <c r="K6457" t="str">
        <f>T("8432283182")</f>
        <v>8432283182</v>
      </c>
      <c r="L6457" t="str">
        <f>T("8432284315")</f>
        <v>8432284315</v>
      </c>
    </row>
    <row r="6458" spans="1:12" x14ac:dyDescent="0.35">
      <c r="A6458" t="str">
        <f t="shared" si="2477"/>
        <v>MCRD PARRIS ISLAND</v>
      </c>
      <c r="B6458" t="str">
        <f t="shared" si="2484"/>
        <v>MCRD/ERR</v>
      </c>
      <c r="C6458" t="str">
        <f t="shared" si="2478"/>
        <v>PO BOX 5069</v>
      </c>
      <c r="D6458" t="str">
        <f t="shared" si="2479"/>
        <v>PARRIS ISLAND</v>
      </c>
      <c r="E6458" t="str">
        <f t="shared" si="2480"/>
        <v>SC</v>
      </c>
      <c r="F6458" t="str">
        <f t="shared" si="2481"/>
        <v>299050069</v>
      </c>
      <c r="G6458" t="str">
        <f>T("PO BOX 5035")</f>
        <v>PO BOX 5035</v>
      </c>
      <c r="H6458" t="str">
        <f t="shared" si="2486"/>
        <v/>
      </c>
      <c r="I6458" t="str">
        <f t="shared" si="2482"/>
        <v>PARRIS ISLAND</v>
      </c>
      <c r="J6458" t="str">
        <f t="shared" si="2483"/>
        <v>SC</v>
      </c>
      <c r="K6458" t="str">
        <f>T("8432283447")</f>
        <v>8432283447</v>
      </c>
      <c r="L6458" t="str">
        <f>T("8432283057")</f>
        <v>8432283057</v>
      </c>
    </row>
    <row r="6459" spans="1:12" x14ac:dyDescent="0.35">
      <c r="A6459" t="str">
        <f t="shared" ref="A6459:A6464" si="2487">T("MCRD PARRIS ISLAND")</f>
        <v>MCRD PARRIS ISLAND</v>
      </c>
      <c r="B6459" t="str">
        <f t="shared" si="2484"/>
        <v>MCRD/ERR</v>
      </c>
      <c r="C6459" t="str">
        <f t="shared" si="2478"/>
        <v>PO BOX 5069</v>
      </c>
      <c r="D6459" t="str">
        <f t="shared" ref="D6459:D6464" si="2488">T("PARRIS ISLAND")</f>
        <v>PARRIS ISLAND</v>
      </c>
      <c r="E6459" t="str">
        <f t="shared" ref="E6459:E6464" si="2489">T("SC")</f>
        <v>SC</v>
      </c>
      <c r="F6459" t="str">
        <f t="shared" ref="F6459:F6464" si="2490">T("299050069")</f>
        <v>299050069</v>
      </c>
      <c r="G6459" t="str">
        <f>T("PO BOX 5035")</f>
        <v>PO BOX 5035</v>
      </c>
      <c r="H6459" t="str">
        <f t="shared" si="2486"/>
        <v/>
      </c>
      <c r="I6459" t="str">
        <f t="shared" ref="I6459:I6464" si="2491">T("PARRIS ISLAND")</f>
        <v>PARRIS ISLAND</v>
      </c>
      <c r="J6459" t="str">
        <f t="shared" ref="J6459:J6464" si="2492">T("SC")</f>
        <v>SC</v>
      </c>
      <c r="K6459" t="str">
        <f>T("8432283447")</f>
        <v>8432283447</v>
      </c>
      <c r="L6459" t="str">
        <f>T("8432283080")</f>
        <v>8432283080</v>
      </c>
    </row>
    <row r="6460" spans="1:12" x14ac:dyDescent="0.35">
      <c r="A6460" t="str">
        <f t="shared" si="2487"/>
        <v>MCRD PARRIS ISLAND</v>
      </c>
      <c r="B6460" t="str">
        <f t="shared" si="2484"/>
        <v>MCRD/ERR</v>
      </c>
      <c r="C6460" t="str">
        <f t="shared" si="2478"/>
        <v>PO BOX 5069</v>
      </c>
      <c r="D6460" t="str">
        <f t="shared" si="2488"/>
        <v>PARRIS ISLAND</v>
      </c>
      <c r="E6460" t="str">
        <f t="shared" si="2489"/>
        <v>SC</v>
      </c>
      <c r="F6460" t="str">
        <f t="shared" si="2490"/>
        <v>299050069</v>
      </c>
      <c r="G6460" t="str">
        <f>T("PO BOX 5069")</f>
        <v>PO BOX 5069</v>
      </c>
      <c r="H6460" t="str">
        <f t="shared" si="2486"/>
        <v/>
      </c>
      <c r="I6460" t="str">
        <f t="shared" si="2491"/>
        <v>PARRIS ISLAND</v>
      </c>
      <c r="J6460" t="str">
        <f t="shared" si="2492"/>
        <v>SC</v>
      </c>
      <c r="K6460" t="str">
        <f>T("8432283466")</f>
        <v>8432283466</v>
      </c>
      <c r="L6460" t="str">
        <f>T("8432282150")</f>
        <v>8432282150</v>
      </c>
    </row>
    <row r="6461" spans="1:12" x14ac:dyDescent="0.35">
      <c r="A6461" t="str">
        <f t="shared" si="2487"/>
        <v>MCRD PARRIS ISLAND</v>
      </c>
      <c r="B6461" t="str">
        <f t="shared" si="2484"/>
        <v>MCRD/ERR</v>
      </c>
      <c r="C6461" t="str">
        <f t="shared" si="2478"/>
        <v>PO BOX 5069</v>
      </c>
      <c r="D6461" t="str">
        <f t="shared" si="2488"/>
        <v>PARRIS ISLAND</v>
      </c>
      <c r="E6461" t="str">
        <f t="shared" si="2489"/>
        <v>SC</v>
      </c>
      <c r="F6461" t="str">
        <f t="shared" si="2490"/>
        <v>299050069</v>
      </c>
      <c r="G6461" t="str">
        <f>T("RCO BASEOPS MPC")</f>
        <v>RCO BASEOPS MPC</v>
      </c>
      <c r="H6461" t="str">
        <f>T("P O BOX 5069")</f>
        <v>P O BOX 5069</v>
      </c>
      <c r="I6461" t="str">
        <f t="shared" si="2491"/>
        <v>PARRIS ISLAND</v>
      </c>
      <c r="J6461" t="str">
        <f t="shared" si="2492"/>
        <v>SC</v>
      </c>
      <c r="K6461" t="str">
        <f>T("8432282163")</f>
        <v>8432282163</v>
      </c>
      <c r="L6461" t="str">
        <f>T("8432283622")</f>
        <v>8432283622</v>
      </c>
    </row>
    <row r="6462" spans="1:12" x14ac:dyDescent="0.35">
      <c r="A6462" t="str">
        <f t="shared" si="2487"/>
        <v>MCRD PARRIS ISLAND</v>
      </c>
      <c r="B6462" t="str">
        <f t="shared" si="2484"/>
        <v>MCRD/ERR</v>
      </c>
      <c r="C6462" t="str">
        <f t="shared" si="2478"/>
        <v>PO BOX 5069</v>
      </c>
      <c r="D6462" t="str">
        <f t="shared" si="2488"/>
        <v>PARRIS ISLAND</v>
      </c>
      <c r="E6462" t="str">
        <f t="shared" si="2489"/>
        <v>SC</v>
      </c>
      <c r="F6462" t="str">
        <f t="shared" si="2490"/>
        <v>299050069</v>
      </c>
      <c r="G6462" t="str">
        <f>T("WFTBN")</f>
        <v>WFTBN</v>
      </c>
      <c r="H6462" t="str">
        <f>T("P O BOX 17001")</f>
        <v>P O BOX 17001</v>
      </c>
      <c r="I6462" t="str">
        <f t="shared" si="2491"/>
        <v>PARRIS ISLAND</v>
      </c>
      <c r="J6462" t="str">
        <f t="shared" si="2492"/>
        <v>SC</v>
      </c>
      <c r="K6462" t="str">
        <f>T("8432283103")</f>
        <v>8432283103</v>
      </c>
      <c r="L6462" t="str">
        <f>T("8432284188")</f>
        <v>8432284188</v>
      </c>
    </row>
    <row r="6463" spans="1:12" x14ac:dyDescent="0.35">
      <c r="A6463" t="str">
        <f t="shared" si="2487"/>
        <v>MCRD PARRIS ISLAND</v>
      </c>
      <c r="B6463" t="str">
        <f>T("PO BOX 5069")</f>
        <v>PO BOX 5069</v>
      </c>
      <c r="C6463" t="str">
        <f>T("")</f>
        <v/>
      </c>
      <c r="D6463" t="str">
        <f t="shared" si="2488"/>
        <v>PARRIS ISLAND</v>
      </c>
      <c r="E6463" t="str">
        <f t="shared" si="2489"/>
        <v>SC</v>
      </c>
      <c r="F6463" t="str">
        <f t="shared" si="2490"/>
        <v>299050069</v>
      </c>
      <c r="G6463" t="str">
        <f>T("PO BOX 5069")</f>
        <v>PO BOX 5069</v>
      </c>
      <c r="H6463" t="str">
        <f>T("")</f>
        <v/>
      </c>
      <c r="I6463" t="str">
        <f t="shared" si="2491"/>
        <v>PARRIS ISLAND</v>
      </c>
      <c r="J6463" t="str">
        <f t="shared" si="2492"/>
        <v>SC</v>
      </c>
      <c r="K6463" t="str">
        <f>T("8432283433")</f>
        <v>8432283433</v>
      </c>
      <c r="L6463" t="str">
        <f>T("8432283307")</f>
        <v>8432283307</v>
      </c>
    </row>
    <row r="6464" spans="1:12" x14ac:dyDescent="0.35">
      <c r="A6464" t="str">
        <f t="shared" si="2487"/>
        <v>MCRD PARRIS ISLAND</v>
      </c>
      <c r="B6464" t="str">
        <f>T("PO BOX 5069")</f>
        <v>PO BOX 5069</v>
      </c>
      <c r="C6464" t="str">
        <f>T("")</f>
        <v/>
      </c>
      <c r="D6464" t="str">
        <f t="shared" si="2488"/>
        <v>PARRIS ISLAND</v>
      </c>
      <c r="E6464" t="str">
        <f t="shared" si="2489"/>
        <v>SC</v>
      </c>
      <c r="F6464" t="str">
        <f t="shared" si="2490"/>
        <v>299050069</v>
      </c>
      <c r="G6464" t="str">
        <f>T("PO BOX 5069")</f>
        <v>PO BOX 5069</v>
      </c>
      <c r="H6464" t="str">
        <f>T("")</f>
        <v/>
      </c>
      <c r="I6464" t="str">
        <f t="shared" si="2491"/>
        <v>PARRIS ISLAND</v>
      </c>
      <c r="J6464" t="str">
        <f t="shared" si="2492"/>
        <v>SC</v>
      </c>
      <c r="K6464" t="str">
        <f>T("8432283433")</f>
        <v>8432283433</v>
      </c>
      <c r="L6464" t="str">
        <f>T("8432284597")</f>
        <v>8432284597</v>
      </c>
    </row>
    <row r="6465" spans="1:12" x14ac:dyDescent="0.35">
      <c r="A6465" t="str">
        <f t="shared" ref="A6465:A6493" si="2493">T("4TH MCD")</f>
        <v>4TH MCD</v>
      </c>
      <c r="B6465" t="str">
        <f>T("1334 ASHTON RD")</f>
        <v>1334 ASHTON RD</v>
      </c>
      <c r="C6465" t="str">
        <f>T("SUITE C")</f>
        <v>SUITE C</v>
      </c>
      <c r="D6465" t="str">
        <f>T("HANOVER")</f>
        <v>HANOVER</v>
      </c>
      <c r="E6465" t="str">
        <f>T("MD")</f>
        <v>MD</v>
      </c>
      <c r="F6465" t="str">
        <f>T("210763155")</f>
        <v>210763155</v>
      </c>
      <c r="G6465" t="str">
        <f>T("1334 ASHTON RD")</f>
        <v>1334 ASHTON RD</v>
      </c>
      <c r="H6465" t="str">
        <f>T("SUITE C")</f>
        <v>SUITE C</v>
      </c>
      <c r="I6465" t="str">
        <f>T("HANOVER")</f>
        <v>HANOVER</v>
      </c>
      <c r="J6465" t="str">
        <f>T("MD")</f>
        <v>MD</v>
      </c>
      <c r="K6465" t="str">
        <f>T("4103798696")</f>
        <v>4103798696</v>
      </c>
      <c r="L6465" t="str">
        <f>T("4108509191")</f>
        <v>4108509191</v>
      </c>
    </row>
    <row r="6466" spans="1:12" x14ac:dyDescent="0.35">
      <c r="A6466" t="str">
        <f t="shared" si="2493"/>
        <v>4TH MCD</v>
      </c>
      <c r="B6466" t="str">
        <f>T("1334 ASHTON RD")</f>
        <v>1334 ASHTON RD</v>
      </c>
      <c r="C6466" t="str">
        <f>T("SUITE C")</f>
        <v>SUITE C</v>
      </c>
      <c r="D6466" t="str">
        <f>T("HANOVER")</f>
        <v>HANOVER</v>
      </c>
      <c r="E6466" t="str">
        <f>T("MD")</f>
        <v>MD</v>
      </c>
      <c r="F6466" t="str">
        <f>T("210763155")</f>
        <v>210763155</v>
      </c>
      <c r="G6466" t="str">
        <f>T("1334 ASHTON RD")</f>
        <v>1334 ASHTON RD</v>
      </c>
      <c r="H6466" t="str">
        <f>T("SUITE C")</f>
        <v>SUITE C</v>
      </c>
      <c r="I6466" t="str">
        <f>T("HANOVER")</f>
        <v>HANOVER</v>
      </c>
      <c r="J6466" t="str">
        <f>T("MD")</f>
        <v>MD</v>
      </c>
      <c r="K6466" t="str">
        <f>T("4108509198")</f>
        <v>4108509198</v>
      </c>
      <c r="L6466" t="str">
        <f>T("4108509191")</f>
        <v>4108509191</v>
      </c>
    </row>
    <row r="6467" spans="1:12" x14ac:dyDescent="0.35">
      <c r="A6467" t="str">
        <f t="shared" si="2493"/>
        <v>4TH MCD</v>
      </c>
      <c r="B6467" t="str">
        <f>T("315 W ALLEGAN ST")</f>
        <v>315 W ALLEGAN ST</v>
      </c>
      <c r="C6467" t="str">
        <f>T("ROOM 102")</f>
        <v>ROOM 102</v>
      </c>
      <c r="D6467" t="str">
        <f>T("LANSING")</f>
        <v>LANSING</v>
      </c>
      <c r="E6467" t="str">
        <f>T("MI")</f>
        <v>MI</v>
      </c>
      <c r="F6467" t="str">
        <f>T("489331515")</f>
        <v>489331515</v>
      </c>
      <c r="G6467" t="str">
        <f>T("315 W ALLEGAN ST")</f>
        <v>315 W ALLEGAN ST</v>
      </c>
      <c r="H6467" t="str">
        <f>T("ROOM 102")</f>
        <v>ROOM 102</v>
      </c>
      <c r="I6467" t="str">
        <f>T("LANSING")</f>
        <v>LANSING</v>
      </c>
      <c r="J6467" t="str">
        <f>T("MI")</f>
        <v>MI</v>
      </c>
      <c r="K6467" t="str">
        <f>T("000000000000000000")</f>
        <v>000000000000000000</v>
      </c>
      <c r="L6467" t="str">
        <f>T("5178824588")</f>
        <v>5178824588</v>
      </c>
    </row>
    <row r="6468" spans="1:12" x14ac:dyDescent="0.35">
      <c r="A6468" t="str">
        <f t="shared" si="2493"/>
        <v>4TH MCD</v>
      </c>
      <c r="B6468" t="str">
        <f>T("315 W ALLEGAN ST")</f>
        <v>315 W ALLEGAN ST</v>
      </c>
      <c r="C6468" t="str">
        <f>T("ROOM 102")</f>
        <v>ROOM 102</v>
      </c>
      <c r="D6468" t="str">
        <f>T("LANSING")</f>
        <v>LANSING</v>
      </c>
      <c r="E6468" t="str">
        <f>T("MI")</f>
        <v>MI</v>
      </c>
      <c r="F6468" t="str">
        <f>T("489331515")</f>
        <v>489331515</v>
      </c>
      <c r="G6468" t="str">
        <f>T("315 W ALLEGAN STREET")</f>
        <v>315 W ALLEGAN STREET</v>
      </c>
      <c r="H6468" t="str">
        <f>T("SUITE 102")</f>
        <v>SUITE 102</v>
      </c>
      <c r="I6468" t="str">
        <f>T("LANSING")</f>
        <v>LANSING</v>
      </c>
      <c r="J6468" t="str">
        <f>T("MI")</f>
        <v>MI</v>
      </c>
      <c r="K6468" t="str">
        <f>T("5174838095")</f>
        <v>5174838095</v>
      </c>
      <c r="L6468" t="str">
        <f>T("5174838001")</f>
        <v>5174838001</v>
      </c>
    </row>
    <row r="6469" spans="1:12" x14ac:dyDescent="0.35">
      <c r="A6469" t="str">
        <f t="shared" si="2493"/>
        <v>4TH MCD</v>
      </c>
      <c r="B6469" t="str">
        <f>T("3198 US ROUTE 60")</f>
        <v>3198 US ROUTE 60</v>
      </c>
      <c r="C6469" t="str">
        <f>T("")</f>
        <v/>
      </c>
      <c r="D6469" t="str">
        <f>T("ONA")</f>
        <v>ONA</v>
      </c>
      <c r="E6469" t="str">
        <f>T("WV")</f>
        <v>WV</v>
      </c>
      <c r="F6469" t="str">
        <f>T("255459507")</f>
        <v>255459507</v>
      </c>
      <c r="G6469" t="str">
        <f>T("3198 US ROUTE 60")</f>
        <v>3198 US ROUTE 60</v>
      </c>
      <c r="H6469" t="str">
        <f>T("")</f>
        <v/>
      </c>
      <c r="I6469" t="str">
        <f>T("ONA")</f>
        <v>ONA</v>
      </c>
      <c r="J6469" t="str">
        <f>T("WV")</f>
        <v>WV</v>
      </c>
      <c r="K6469" t="str">
        <f>T("3043020533")</f>
        <v>3043020533</v>
      </c>
      <c r="L6469" t="str">
        <f>T("3043020537")</f>
        <v>3043020537</v>
      </c>
    </row>
    <row r="6470" spans="1:12" x14ac:dyDescent="0.35">
      <c r="A6470" t="str">
        <f t="shared" si="2493"/>
        <v>4TH MCD</v>
      </c>
      <c r="B6470" t="str">
        <f>T("3198 US ROUTE 60")</f>
        <v>3198 US ROUTE 60</v>
      </c>
      <c r="C6470" t="str">
        <f>T("")</f>
        <v/>
      </c>
      <c r="D6470" t="str">
        <f>T("ONA")</f>
        <v>ONA</v>
      </c>
      <c r="E6470" t="str">
        <f>T("WV")</f>
        <v>WV</v>
      </c>
      <c r="F6470" t="str">
        <f>T("255459507")</f>
        <v>255459507</v>
      </c>
      <c r="G6470" t="str">
        <f>T("RS CHARLESTON")</f>
        <v>RS CHARLESTON</v>
      </c>
      <c r="H6470" t="str">
        <f>T("3198 ROUTE 60 EAST")</f>
        <v>3198 ROUTE 60 EAST</v>
      </c>
      <c r="I6470" t="str">
        <f>T("ONA")</f>
        <v>ONA</v>
      </c>
      <c r="J6470" t="str">
        <f>T("WV")</f>
        <v>WV</v>
      </c>
      <c r="K6470" t="str">
        <f>T("3043020534")</f>
        <v>3043020534</v>
      </c>
      <c r="L6470" t="str">
        <f>T("3043020537")</f>
        <v>3043020537</v>
      </c>
    </row>
    <row r="6471" spans="1:12" x14ac:dyDescent="0.35">
      <c r="A6471" t="str">
        <f t="shared" si="2493"/>
        <v>4TH MCD</v>
      </c>
      <c r="B6471" t="str">
        <f>T("3198 US ROUTE 60")</f>
        <v>3198 US ROUTE 60</v>
      </c>
      <c r="C6471" t="str">
        <f>T("")</f>
        <v/>
      </c>
      <c r="D6471" t="str">
        <f>T("ONA")</f>
        <v>ONA</v>
      </c>
      <c r="E6471" t="str">
        <f>T("WV")</f>
        <v>WV</v>
      </c>
      <c r="F6471" t="str">
        <f>T("255459507")</f>
        <v>255459507</v>
      </c>
      <c r="G6471" t="str">
        <f>T("RS CHARLESTON")</f>
        <v>RS CHARLESTON</v>
      </c>
      <c r="H6471" t="str">
        <f>T("3198 STATE ROUTE 60")</f>
        <v>3198 STATE ROUTE 60</v>
      </c>
      <c r="I6471" t="str">
        <f>T("ONA")</f>
        <v>ONA</v>
      </c>
      <c r="J6471" t="str">
        <f>T("WV")</f>
        <v>WV</v>
      </c>
      <c r="K6471" t="str">
        <f>T("000000000000000000")</f>
        <v>000000000000000000</v>
      </c>
      <c r="L6471" t="str">
        <f>T("3043020537")</f>
        <v>3043020537</v>
      </c>
    </row>
    <row r="6472" spans="1:12" x14ac:dyDescent="0.35">
      <c r="A6472" t="str">
        <f t="shared" si="2493"/>
        <v>4TH MCD</v>
      </c>
      <c r="B6472" t="str">
        <f t="shared" ref="B6472:B6477" si="2494">T("4TH MARINE CORPS DISTRICT")</f>
        <v>4TH MARINE CORPS DISTRICT</v>
      </c>
      <c r="C6472" t="str">
        <f t="shared" ref="C6472:C6477" si="2495">T("54 M AVENUE SUITE 9")</f>
        <v>54 M AVENUE SUITE 9</v>
      </c>
      <c r="D6472" t="str">
        <f t="shared" ref="D6472:D6477" si="2496">T("NEW CUMBERLAND")</f>
        <v>NEW CUMBERLAND</v>
      </c>
      <c r="E6472" t="str">
        <f t="shared" ref="E6472:E6477" si="2497">T("PA")</f>
        <v>PA</v>
      </c>
      <c r="F6472" t="str">
        <f t="shared" ref="F6472:F6477" si="2498">T("170705012")</f>
        <v>170705012</v>
      </c>
      <c r="G6472" t="str">
        <f>T("4TH MARINE CORPS DISTRICT")</f>
        <v>4TH MARINE CORPS DISTRICT</v>
      </c>
      <c r="H6472" t="str">
        <f>T("54 M AVENUE SUITE 9")</f>
        <v>54 M AVENUE SUITE 9</v>
      </c>
      <c r="I6472" t="str">
        <f t="shared" ref="I6472:I6477" si="2499">T("NEW CUMBERLAND")</f>
        <v>NEW CUMBERLAND</v>
      </c>
      <c r="J6472" t="str">
        <f t="shared" ref="J6472:J6477" si="2500">T("PA")</f>
        <v>PA</v>
      </c>
      <c r="K6472" t="str">
        <f>T("7177704831")</f>
        <v>7177704831</v>
      </c>
      <c r="L6472" t="str">
        <f>T("7177708136")</f>
        <v>7177708136</v>
      </c>
    </row>
    <row r="6473" spans="1:12" x14ac:dyDescent="0.35">
      <c r="A6473" t="str">
        <f t="shared" si="2493"/>
        <v>4TH MCD</v>
      </c>
      <c r="B6473" t="str">
        <f t="shared" si="2494"/>
        <v>4TH MARINE CORPS DISTRICT</v>
      </c>
      <c r="C6473" t="str">
        <f t="shared" si="2495"/>
        <v>54 M AVENUE SUITE 9</v>
      </c>
      <c r="D6473" t="str">
        <f t="shared" si="2496"/>
        <v>NEW CUMBERLAND</v>
      </c>
      <c r="E6473" t="str">
        <f t="shared" si="2497"/>
        <v>PA</v>
      </c>
      <c r="F6473" t="str">
        <f t="shared" si="2498"/>
        <v>170705012</v>
      </c>
      <c r="G6473" t="str">
        <f>T("4TH MARINE CORPS DISTRICT")</f>
        <v>4TH MARINE CORPS DISTRICT</v>
      </c>
      <c r="H6473" t="str">
        <f>T("54 M AVENUE, SUITE 9")</f>
        <v>54 M AVENUE, SUITE 9</v>
      </c>
      <c r="I6473" t="str">
        <f t="shared" si="2499"/>
        <v>NEW CUMBERLAND</v>
      </c>
      <c r="J6473" t="str">
        <f t="shared" si="2500"/>
        <v>PA</v>
      </c>
      <c r="K6473" t="str">
        <f>T("000000000000000000")</f>
        <v>000000000000000000</v>
      </c>
      <c r="L6473" t="str">
        <f>T("7177708185")</f>
        <v>7177708185</v>
      </c>
    </row>
    <row r="6474" spans="1:12" x14ac:dyDescent="0.35">
      <c r="A6474" t="str">
        <f t="shared" si="2493"/>
        <v>4TH MCD</v>
      </c>
      <c r="B6474" t="str">
        <f t="shared" si="2494"/>
        <v>4TH MARINE CORPS DISTRICT</v>
      </c>
      <c r="C6474" t="str">
        <f t="shared" si="2495"/>
        <v>54 M AVENUE SUITE 9</v>
      </c>
      <c r="D6474" t="str">
        <f t="shared" si="2496"/>
        <v>NEW CUMBERLAND</v>
      </c>
      <c r="E6474" t="str">
        <f t="shared" si="2497"/>
        <v>PA</v>
      </c>
      <c r="F6474" t="str">
        <f t="shared" si="2498"/>
        <v>170705012</v>
      </c>
      <c r="G6474" t="str">
        <f>T("54 M AVENUE, SUITE 9")</f>
        <v>54 M AVENUE, SUITE 9</v>
      </c>
      <c r="H6474" t="str">
        <f>T("PO BOX 806")</f>
        <v>PO BOX 806</v>
      </c>
      <c r="I6474" t="str">
        <f t="shared" si="2499"/>
        <v>NEW CUMBERLAND</v>
      </c>
      <c r="J6474" t="str">
        <f t="shared" si="2500"/>
        <v>PA</v>
      </c>
      <c r="K6474" t="str">
        <f>T("000000000000000000")</f>
        <v>000000000000000000</v>
      </c>
      <c r="L6474" t="str">
        <f>T("7177704822")</f>
        <v>7177704822</v>
      </c>
    </row>
    <row r="6475" spans="1:12" x14ac:dyDescent="0.35">
      <c r="A6475" t="str">
        <f t="shared" si="2493"/>
        <v>4TH MCD</v>
      </c>
      <c r="B6475" t="str">
        <f t="shared" si="2494"/>
        <v>4TH MARINE CORPS DISTRICT</v>
      </c>
      <c r="C6475" t="str">
        <f t="shared" si="2495"/>
        <v>54 M AVENUE SUITE 9</v>
      </c>
      <c r="D6475" t="str">
        <f t="shared" si="2496"/>
        <v>NEW CUMBERLAND</v>
      </c>
      <c r="E6475" t="str">
        <f t="shared" si="2497"/>
        <v>PA</v>
      </c>
      <c r="F6475" t="str">
        <f t="shared" si="2498"/>
        <v>170705012</v>
      </c>
      <c r="G6475" t="str">
        <f>T("BLDG 54 SUITE 3")</f>
        <v>BLDG 54 SUITE 3</v>
      </c>
      <c r="H6475" t="str">
        <f>T("PO BOX 806")</f>
        <v>PO BOX 806</v>
      </c>
      <c r="I6475" t="str">
        <f t="shared" si="2499"/>
        <v>NEW CUMBERLAND</v>
      </c>
      <c r="J6475" t="str">
        <f t="shared" si="2500"/>
        <v>PA</v>
      </c>
      <c r="K6475" t="str">
        <f>T("7177707177704831")</f>
        <v>7177707177704831</v>
      </c>
      <c r="L6475" t="str">
        <f>T("7177704822")</f>
        <v>7177704822</v>
      </c>
    </row>
    <row r="6476" spans="1:12" x14ac:dyDescent="0.35">
      <c r="A6476" t="str">
        <f t="shared" si="2493"/>
        <v>4TH MCD</v>
      </c>
      <c r="B6476" t="str">
        <f t="shared" si="2494"/>
        <v>4TH MARINE CORPS DISTRICT</v>
      </c>
      <c r="C6476" t="str">
        <f t="shared" si="2495"/>
        <v>54 M AVENUE SUITE 9</v>
      </c>
      <c r="D6476" t="str">
        <f t="shared" si="2496"/>
        <v>NEW CUMBERLAND</v>
      </c>
      <c r="E6476" t="str">
        <f t="shared" si="2497"/>
        <v>PA</v>
      </c>
      <c r="F6476" t="str">
        <f t="shared" si="2498"/>
        <v>170705012</v>
      </c>
      <c r="G6476" t="str">
        <f>T("M AVE BLDG 54")</f>
        <v>M AVE BLDG 54</v>
      </c>
      <c r="H6476" t="str">
        <f>T("SUITE 9")</f>
        <v>SUITE 9</v>
      </c>
      <c r="I6476" t="str">
        <f t="shared" si="2499"/>
        <v>NEW CUMBERLAND</v>
      </c>
      <c r="J6476" t="str">
        <f t="shared" si="2500"/>
        <v>PA</v>
      </c>
      <c r="K6476" t="str">
        <f>T("000000000000000000")</f>
        <v>000000000000000000</v>
      </c>
      <c r="L6476" t="str">
        <f>T("7177708112")</f>
        <v>7177708112</v>
      </c>
    </row>
    <row r="6477" spans="1:12" x14ac:dyDescent="0.35">
      <c r="A6477" t="str">
        <f t="shared" si="2493"/>
        <v>4TH MCD</v>
      </c>
      <c r="B6477" t="str">
        <f t="shared" si="2494"/>
        <v>4TH MARINE CORPS DISTRICT</v>
      </c>
      <c r="C6477" t="str">
        <f t="shared" si="2495"/>
        <v>54 M AVENUE SUITE 9</v>
      </c>
      <c r="D6477" t="str">
        <f t="shared" si="2496"/>
        <v>NEW CUMBERLAND</v>
      </c>
      <c r="E6477" t="str">
        <f t="shared" si="2497"/>
        <v>PA</v>
      </c>
      <c r="F6477" t="str">
        <f t="shared" si="2498"/>
        <v>170705012</v>
      </c>
      <c r="G6477" t="str">
        <f>T("M AVE BLDG 54 SUITE 9")</f>
        <v>M AVE BLDG 54 SUITE 9</v>
      </c>
      <c r="H6477" t="str">
        <f>T("")</f>
        <v/>
      </c>
      <c r="I6477" t="str">
        <f t="shared" si="2499"/>
        <v>NEW CUMBERLAND</v>
      </c>
      <c r="J6477" t="str">
        <f t="shared" si="2500"/>
        <v>PA</v>
      </c>
      <c r="K6477" t="str">
        <f>T("000000000000000000")</f>
        <v>000000000000000000</v>
      </c>
      <c r="L6477" t="str">
        <f>T("7177708129")</f>
        <v>7177708129</v>
      </c>
    </row>
    <row r="6478" spans="1:12" x14ac:dyDescent="0.35">
      <c r="A6478" t="str">
        <f t="shared" si="2493"/>
        <v>4TH MCD</v>
      </c>
      <c r="B6478" t="str">
        <f>T("5000 FALLS OF THE NEUSE RD")</f>
        <v>5000 FALLS OF THE NEUSE RD</v>
      </c>
      <c r="C6478" t="str">
        <f>T("SUITE 4040")</f>
        <v>SUITE 4040</v>
      </c>
      <c r="D6478" t="str">
        <f>T("RALEIGH")</f>
        <v>RALEIGH</v>
      </c>
      <c r="E6478" t="str">
        <f>T("NC")</f>
        <v>NC</v>
      </c>
      <c r="F6478" t="str">
        <f>T("276095480")</f>
        <v>276095480</v>
      </c>
      <c r="G6478" t="str">
        <f>T("5000 FALLS OF NEUSE RD")</f>
        <v>5000 FALLS OF NEUSE RD</v>
      </c>
      <c r="H6478" t="str">
        <f>T("SUITE 404")</f>
        <v>SUITE 404</v>
      </c>
      <c r="I6478" t="str">
        <f>T("RALEIGH")</f>
        <v>RALEIGH</v>
      </c>
      <c r="J6478" t="str">
        <f>T("NC")</f>
        <v>NC</v>
      </c>
      <c r="K6478" t="str">
        <f>T("9198742165")</f>
        <v>9198742165</v>
      </c>
      <c r="L6478" t="str">
        <f>T("9198742176")</f>
        <v>9198742176</v>
      </c>
    </row>
    <row r="6479" spans="1:12" x14ac:dyDescent="0.35">
      <c r="A6479" t="str">
        <f t="shared" si="2493"/>
        <v>4TH MCD</v>
      </c>
      <c r="B6479" t="str">
        <f>T("5000 FALLS OF THE NEUSE RD")</f>
        <v>5000 FALLS OF THE NEUSE RD</v>
      </c>
      <c r="C6479" t="str">
        <f>T("SUITE 4040")</f>
        <v>SUITE 4040</v>
      </c>
      <c r="D6479" t="str">
        <f>T("RALEIGH")</f>
        <v>RALEIGH</v>
      </c>
      <c r="E6479" t="str">
        <f>T("NC")</f>
        <v>NC</v>
      </c>
      <c r="F6479" t="str">
        <f>T("276095480")</f>
        <v>276095480</v>
      </c>
      <c r="G6479" t="str">
        <f>T("5000 FALLS OF THE NEUSE RD")</f>
        <v>5000 FALLS OF THE NEUSE RD</v>
      </c>
      <c r="H6479" t="str">
        <f>T("SUITE 4040")</f>
        <v>SUITE 4040</v>
      </c>
      <c r="I6479" t="str">
        <f>T("RALEIGH")</f>
        <v>RALEIGH</v>
      </c>
      <c r="J6479" t="str">
        <f>T("NC")</f>
        <v>NC</v>
      </c>
      <c r="K6479" t="str">
        <f>T("9198742156")</f>
        <v>9198742156</v>
      </c>
      <c r="L6479" t="str">
        <f>T("9198742200")</f>
        <v>9198742200</v>
      </c>
    </row>
    <row r="6480" spans="1:12" x14ac:dyDescent="0.35">
      <c r="A6480" t="str">
        <f t="shared" si="2493"/>
        <v>4TH MCD</v>
      </c>
      <c r="B6480" t="str">
        <f>T("5000 FALLS OF THE NEUSE RD")</f>
        <v>5000 FALLS OF THE NEUSE RD</v>
      </c>
      <c r="C6480" t="str">
        <f>T("SUITE 4040")</f>
        <v>SUITE 4040</v>
      </c>
      <c r="D6480" t="str">
        <f>T("RALEIGH")</f>
        <v>RALEIGH</v>
      </c>
      <c r="E6480" t="str">
        <f>T("NC")</f>
        <v>NC</v>
      </c>
      <c r="F6480" t="str">
        <f>T("276095480")</f>
        <v>276095480</v>
      </c>
      <c r="G6480" t="str">
        <f>T("RS RALEIGH")</f>
        <v>RS RALEIGH</v>
      </c>
      <c r="H6480" t="str">
        <f>T("5000 FALLS OF NEUSE RD SUITE 404")</f>
        <v>5000 FALLS OF NEUSE RD SUITE 404</v>
      </c>
      <c r="I6480" t="str">
        <f>T("RALEIGH")</f>
        <v>RALEIGH</v>
      </c>
      <c r="J6480" t="str">
        <f>T("NC")</f>
        <v>NC</v>
      </c>
      <c r="K6480" t="str">
        <f>T("000000000000000000")</f>
        <v>000000000000000000</v>
      </c>
      <c r="L6480" t="str">
        <f>T("9198742175")</f>
        <v>9198742175</v>
      </c>
    </row>
    <row r="6481" spans="1:12" x14ac:dyDescent="0.35">
      <c r="A6481" t="str">
        <f t="shared" si="2493"/>
        <v>4TH MCD</v>
      </c>
      <c r="B6481" t="str">
        <f>T("5112 PEGASUS CT")</f>
        <v>5112 PEGASUS CT</v>
      </c>
      <c r="C6481" t="str">
        <f>T("SUITE B")</f>
        <v>SUITE B</v>
      </c>
      <c r="D6481" t="str">
        <f>T("FREDERICK")</f>
        <v>FREDERICK</v>
      </c>
      <c r="E6481" t="str">
        <f>T("MD")</f>
        <v>MD</v>
      </c>
      <c r="F6481" t="str">
        <f>T("217048304")</f>
        <v>217048304</v>
      </c>
      <c r="G6481" t="str">
        <f>T("5112 PEGASUS CT")</f>
        <v>5112 PEGASUS CT</v>
      </c>
      <c r="H6481" t="str">
        <f>T("SUITE B")</f>
        <v>SUITE B</v>
      </c>
      <c r="I6481" t="str">
        <f>T("FREDERICK")</f>
        <v>FREDERICK</v>
      </c>
      <c r="J6481" t="str">
        <f>T("MD")</f>
        <v>MD</v>
      </c>
      <c r="K6481" t="str">
        <f>T("3016682036")</f>
        <v>3016682036</v>
      </c>
      <c r="L6481" t="str">
        <f>T("3016682025")</f>
        <v>3016682025</v>
      </c>
    </row>
    <row r="6482" spans="1:12" x14ac:dyDescent="0.35">
      <c r="A6482" t="str">
        <f t="shared" si="2493"/>
        <v>4TH MCD</v>
      </c>
      <c r="B6482" t="str">
        <f>T("5112 PEGASUS CT")</f>
        <v>5112 PEGASUS CT</v>
      </c>
      <c r="C6482" t="str">
        <f>T("SUITE B")</f>
        <v>SUITE B</v>
      </c>
      <c r="D6482" t="str">
        <f>T("FREDERICK")</f>
        <v>FREDERICK</v>
      </c>
      <c r="E6482" t="str">
        <f>T("MD")</f>
        <v>MD</v>
      </c>
      <c r="F6482" t="str">
        <f>T("217048304")</f>
        <v>217048304</v>
      </c>
      <c r="G6482" t="str">
        <f>T("5112 PEGASUS CT")</f>
        <v>5112 PEGASUS CT</v>
      </c>
      <c r="H6482" t="str">
        <f>T("SUITE B")</f>
        <v>SUITE B</v>
      </c>
      <c r="I6482" t="str">
        <f>T("FREDERICK")</f>
        <v>FREDERICK</v>
      </c>
      <c r="J6482" t="str">
        <f>T("MD")</f>
        <v>MD</v>
      </c>
      <c r="K6482" t="str">
        <f>T("3106682036")</f>
        <v>3106682036</v>
      </c>
      <c r="L6482" t="str">
        <f>T("3016682028")</f>
        <v>3016682028</v>
      </c>
    </row>
    <row r="6483" spans="1:12" x14ac:dyDescent="0.35">
      <c r="A6483" t="str">
        <f t="shared" si="2493"/>
        <v>4TH MCD</v>
      </c>
      <c r="B6483" t="str">
        <f>T("580 KIRTS BLVD")</f>
        <v>580 KIRTS BLVD</v>
      </c>
      <c r="C6483" t="str">
        <f>T("SUITE 307")</f>
        <v>SUITE 307</v>
      </c>
      <c r="D6483" t="str">
        <f>T("TROY")</f>
        <v>TROY</v>
      </c>
      <c r="E6483" t="str">
        <f>T("MI")</f>
        <v>MI</v>
      </c>
      <c r="F6483" t="str">
        <f>T("480844138")</f>
        <v>480844138</v>
      </c>
      <c r="G6483" t="str">
        <f>T("580 KIRTS BLVD")</f>
        <v>580 KIRTS BLVD</v>
      </c>
      <c r="H6483" t="str">
        <f>T("SUITE 307")</f>
        <v>SUITE 307</v>
      </c>
      <c r="I6483" t="str">
        <f>T("TROY")</f>
        <v>TROY</v>
      </c>
      <c r="J6483" t="str">
        <f>T("MI")</f>
        <v>MI</v>
      </c>
      <c r="K6483" t="str">
        <f>T("2482699286")</f>
        <v>2482699286</v>
      </c>
      <c r="L6483" t="str">
        <f>T("2482699058")</f>
        <v>2482699058</v>
      </c>
    </row>
    <row r="6484" spans="1:12" x14ac:dyDescent="0.35">
      <c r="A6484" t="str">
        <f t="shared" si="2493"/>
        <v>4TH MCD</v>
      </c>
      <c r="B6484" t="str">
        <f>T("580 KIRTS BLVD")</f>
        <v>580 KIRTS BLVD</v>
      </c>
      <c r="C6484" t="str">
        <f>T("SUITE 307")</f>
        <v>SUITE 307</v>
      </c>
      <c r="D6484" t="str">
        <f>T("TROY")</f>
        <v>TROY</v>
      </c>
      <c r="E6484" t="str">
        <f>T("MI")</f>
        <v>MI</v>
      </c>
      <c r="F6484" t="str">
        <f>T("480844138")</f>
        <v>480844138</v>
      </c>
      <c r="G6484" t="str">
        <f>T("RS DETROIT")</f>
        <v>RS DETROIT</v>
      </c>
      <c r="H6484" t="str">
        <f>T("580 KIRTS BLVD SUITE 307")</f>
        <v>580 KIRTS BLVD SUITE 307</v>
      </c>
      <c r="I6484" t="str">
        <f>T("TROY")</f>
        <v>TROY</v>
      </c>
      <c r="J6484" t="str">
        <f>T("MI")</f>
        <v>MI</v>
      </c>
      <c r="K6484" t="str">
        <f>T("2482699282")</f>
        <v>2482699282</v>
      </c>
      <c r="L6484" t="str">
        <f>T("2482699058")</f>
        <v>2482699058</v>
      </c>
    </row>
    <row r="6485" spans="1:12" x14ac:dyDescent="0.35">
      <c r="A6485" t="str">
        <f t="shared" si="2493"/>
        <v>4TH MCD</v>
      </c>
      <c r="B6485" t="str">
        <f>T("580 KIRTS BLVD")</f>
        <v>580 KIRTS BLVD</v>
      </c>
      <c r="C6485" t="str">
        <f>T("SUITE 307")</f>
        <v>SUITE 307</v>
      </c>
      <c r="D6485" t="str">
        <f>T("TROY")</f>
        <v>TROY</v>
      </c>
      <c r="E6485" t="str">
        <f>T("MI")</f>
        <v>MI</v>
      </c>
      <c r="F6485" t="str">
        <f>T("480844138")</f>
        <v>480844138</v>
      </c>
      <c r="G6485" t="str">
        <f>T("RS DETROIT")</f>
        <v>RS DETROIT</v>
      </c>
      <c r="H6485" t="str">
        <f>T("580 KIRTS BLVD SUITE 307")</f>
        <v>580 KIRTS BLVD SUITE 307</v>
      </c>
      <c r="I6485" t="str">
        <f>T("TROY")</f>
        <v>TROY</v>
      </c>
      <c r="J6485" t="str">
        <f>T("MI")</f>
        <v>MI</v>
      </c>
      <c r="K6485" t="str">
        <f>T("2482699366")</f>
        <v>2482699366</v>
      </c>
      <c r="L6485" t="str">
        <f>T("2482699058")</f>
        <v>2482699058</v>
      </c>
    </row>
    <row r="6486" spans="1:12" x14ac:dyDescent="0.35">
      <c r="A6486" t="str">
        <f t="shared" si="2493"/>
        <v>4TH MCD</v>
      </c>
      <c r="B6486" t="str">
        <f>T("600 MARTIN LUTHER KING JR PL")</f>
        <v>600 MARTIN LUTHER KING JR PL</v>
      </c>
      <c r="C6486" t="str">
        <f>T("ROOM 221")</f>
        <v>ROOM 221</v>
      </c>
      <c r="D6486" t="str">
        <f>T("LOUISVILLE")</f>
        <v>LOUISVILLE</v>
      </c>
      <c r="E6486" t="str">
        <f>T("KY")</f>
        <v>KY</v>
      </c>
      <c r="F6486" t="str">
        <f>T("402022285")</f>
        <v>402022285</v>
      </c>
      <c r="G6486" t="str">
        <f>T("600 DR MARTIN LUTHER KING JR PLACE")</f>
        <v>600 DR MARTIN LUTHER KING JR PLACE</v>
      </c>
      <c r="H6486" t="str">
        <f>T("")</f>
        <v/>
      </c>
      <c r="I6486" t="str">
        <f>T("LOUISVILLE")</f>
        <v>LOUISVILLE</v>
      </c>
      <c r="J6486" t="str">
        <f>T("KY")</f>
        <v>KY</v>
      </c>
      <c r="K6486" t="str">
        <f>T("000000000000000000")</f>
        <v>000000000000000000</v>
      </c>
      <c r="L6486" t="str">
        <f>T("1111111111")</f>
        <v>1111111111</v>
      </c>
    </row>
    <row r="6487" spans="1:12" x14ac:dyDescent="0.35">
      <c r="A6487" t="str">
        <f t="shared" si="2493"/>
        <v>4TH MCD</v>
      </c>
      <c r="B6487" t="str">
        <f>T("600 MARTIN LUTHER KING JR PL")</f>
        <v>600 MARTIN LUTHER KING JR PL</v>
      </c>
      <c r="C6487" t="str">
        <f>T("ROOM 221")</f>
        <v>ROOM 221</v>
      </c>
      <c r="D6487" t="str">
        <f>T("LOUISVILLE")</f>
        <v>LOUISVILLE</v>
      </c>
      <c r="E6487" t="str">
        <f>T("KY")</f>
        <v>KY</v>
      </c>
      <c r="F6487" t="str">
        <f>T("402022285")</f>
        <v>402022285</v>
      </c>
      <c r="G6487" t="str">
        <f>T("600 DR MARTIN LUTHER KING PLACE")</f>
        <v>600 DR MARTIN LUTHER KING PLACE</v>
      </c>
      <c r="H6487" t="str">
        <f>T("SUITE 221")</f>
        <v>SUITE 221</v>
      </c>
      <c r="I6487" t="str">
        <f>T("LOUISVILLE")</f>
        <v>LOUISVILLE</v>
      </c>
      <c r="J6487" t="str">
        <f>T("KY")</f>
        <v>KY</v>
      </c>
      <c r="K6487" t="str">
        <f>T("5025826604")</f>
        <v>5025826604</v>
      </c>
      <c r="L6487" t="str">
        <f>T("5025826600")</f>
        <v>5025826600</v>
      </c>
    </row>
    <row r="6488" spans="1:12" x14ac:dyDescent="0.35">
      <c r="A6488" t="str">
        <f t="shared" si="2493"/>
        <v>4TH MCD</v>
      </c>
      <c r="B6488" t="str">
        <f>T("600 MARTIN LUTHER KING JR PL")</f>
        <v>600 MARTIN LUTHER KING JR PL</v>
      </c>
      <c r="C6488" t="str">
        <f>T("ROOM 221")</f>
        <v>ROOM 221</v>
      </c>
      <c r="D6488" t="str">
        <f>T("LOUISVILLE")</f>
        <v>LOUISVILLE</v>
      </c>
      <c r="E6488" t="str">
        <f>T("KY")</f>
        <v>KY</v>
      </c>
      <c r="F6488" t="str">
        <f>T("402022285")</f>
        <v>402022285</v>
      </c>
      <c r="G6488" t="str">
        <f>T("600 MARTIN LUTHER KING JR PL")</f>
        <v>600 MARTIN LUTHER KING JR PL</v>
      </c>
      <c r="H6488" t="str">
        <f>T("ROOM 221")</f>
        <v>ROOM 221</v>
      </c>
      <c r="I6488" t="str">
        <f>T("LOUISVILLE")</f>
        <v>LOUISVILLE</v>
      </c>
      <c r="J6488" t="str">
        <f>T("KY")</f>
        <v>KY</v>
      </c>
      <c r="K6488" t="str">
        <f>T("5025826604")</f>
        <v>5025826604</v>
      </c>
      <c r="L6488" t="str">
        <f>T("5025826600")</f>
        <v>5025826600</v>
      </c>
    </row>
    <row r="6489" spans="1:12" x14ac:dyDescent="0.35">
      <c r="A6489" t="str">
        <f t="shared" si="2493"/>
        <v>4TH MCD</v>
      </c>
      <c r="B6489" t="str">
        <f>T("7261 ENGLE ROAD")</f>
        <v>7261 ENGLE ROAD</v>
      </c>
      <c r="C6489" t="str">
        <f>T("SUITE 110")</f>
        <v>SUITE 110</v>
      </c>
      <c r="D6489" t="str">
        <f>T("MIDDLEBURG HGHTS")</f>
        <v>MIDDLEBURG HGHTS</v>
      </c>
      <c r="E6489" t="str">
        <f>T("OH")</f>
        <v>OH</v>
      </c>
      <c r="F6489" t="str">
        <f>T("441303479")</f>
        <v>441303479</v>
      </c>
      <c r="G6489" t="str">
        <f>T("7261 ENGLE ROAD")</f>
        <v>7261 ENGLE ROAD</v>
      </c>
      <c r="H6489" t="str">
        <f>T("SUITE 110")</f>
        <v>SUITE 110</v>
      </c>
      <c r="I6489" t="str">
        <f>T("MIDDLEBURG HGHTS")</f>
        <v>MIDDLEBURG HGHTS</v>
      </c>
      <c r="J6489" t="str">
        <f>T("OH")</f>
        <v>OH</v>
      </c>
      <c r="K6489" t="str">
        <f>T("4402433247")</f>
        <v>4402433247</v>
      </c>
      <c r="L6489" t="str">
        <f>T("4402434010")</f>
        <v>4402434010</v>
      </c>
    </row>
    <row r="6490" spans="1:12" x14ac:dyDescent="0.35">
      <c r="A6490" t="str">
        <f t="shared" si="2493"/>
        <v>4TH MCD</v>
      </c>
      <c r="B6490" t="str">
        <f>T("7261 ENGLE ROAD")</f>
        <v>7261 ENGLE ROAD</v>
      </c>
      <c r="C6490" t="str">
        <f>T("SUITE 110")</f>
        <v>SUITE 110</v>
      </c>
      <c r="D6490" t="str">
        <f>T("MIDDLEBURG HGHTS")</f>
        <v>MIDDLEBURG HGHTS</v>
      </c>
      <c r="E6490" t="str">
        <f>T("OH")</f>
        <v>OH</v>
      </c>
      <c r="F6490" t="str">
        <f>T("441303479")</f>
        <v>441303479</v>
      </c>
      <c r="G6490" t="str">
        <f>T("RS CLEVELAND")</f>
        <v>RS CLEVELAND</v>
      </c>
      <c r="H6490" t="str">
        <f>T("7261 ENGLE RD STE 110")</f>
        <v>7261 ENGLE RD STE 110</v>
      </c>
      <c r="I6490" t="str">
        <f>T("MIDDLEBURG HEIGHTS")</f>
        <v>MIDDLEBURG HEIGHTS</v>
      </c>
      <c r="J6490" t="str">
        <f>T("OH")</f>
        <v>OH</v>
      </c>
      <c r="K6490" t="str">
        <f>T("000000000000000000")</f>
        <v>000000000000000000</v>
      </c>
      <c r="L6490" t="str">
        <f>T("4402434010")</f>
        <v>4402434010</v>
      </c>
    </row>
    <row r="6491" spans="1:12" x14ac:dyDescent="0.35">
      <c r="A6491" t="str">
        <f t="shared" si="2493"/>
        <v>4TH MCD</v>
      </c>
      <c r="B6491" t="str">
        <f>T("7261 ENGLE ROAD")</f>
        <v>7261 ENGLE ROAD</v>
      </c>
      <c r="C6491" t="str">
        <f>T("SUITE 110")</f>
        <v>SUITE 110</v>
      </c>
      <c r="D6491" t="str">
        <f>T("MIDDLEBURG HGHTS")</f>
        <v>MIDDLEBURG HGHTS</v>
      </c>
      <c r="E6491" t="str">
        <f>T("OH")</f>
        <v>OH</v>
      </c>
      <c r="F6491" t="str">
        <f>T("441303479")</f>
        <v>441303479</v>
      </c>
      <c r="G6491" t="str">
        <f>T("RS CLEVELAND")</f>
        <v>RS CLEVELAND</v>
      </c>
      <c r="H6491" t="str">
        <f>T("7261 ENGLE ROAD SUITE 110")</f>
        <v>7261 ENGLE ROAD SUITE 110</v>
      </c>
      <c r="I6491" t="str">
        <f>T("MIDDLEBURG HEIGHTS")</f>
        <v>MIDDLEBURG HEIGHTS</v>
      </c>
      <c r="J6491" t="str">
        <f>T("OH")</f>
        <v>OH</v>
      </c>
      <c r="K6491" t="str">
        <f>T("000000000000000000")</f>
        <v>000000000000000000</v>
      </c>
      <c r="L6491" t="str">
        <f>T("4402434010")</f>
        <v>4402434010</v>
      </c>
    </row>
    <row r="6492" spans="1:12" x14ac:dyDescent="0.35">
      <c r="A6492" t="str">
        <f t="shared" si="2493"/>
        <v>4TH MCD</v>
      </c>
      <c r="B6492" t="str">
        <f>T("9210 ARBORETUM PKY")</f>
        <v>9210 ARBORETUM PKY</v>
      </c>
      <c r="C6492" t="str">
        <f>T("SUITE 220")</f>
        <v>SUITE 220</v>
      </c>
      <c r="D6492" t="str">
        <f>T("NORTH CHESTERFIELD")</f>
        <v>NORTH CHESTERFIELD</v>
      </c>
      <c r="E6492" t="str">
        <f>T("VA")</f>
        <v>VA</v>
      </c>
      <c r="F6492" t="str">
        <f>T("232363472")</f>
        <v>232363472</v>
      </c>
      <c r="G6492" t="str">
        <f>T("9210 ARBORETUM PKWY STE 220")</f>
        <v>9210 ARBORETUM PKWY STE 220</v>
      </c>
      <c r="H6492" t="str">
        <f>T("")</f>
        <v/>
      </c>
      <c r="I6492" t="str">
        <f>T("NORTH CHESTERFIELD")</f>
        <v>NORTH CHESTERFIELD</v>
      </c>
      <c r="J6492" t="str">
        <f>T("VA")</f>
        <v>VA</v>
      </c>
      <c r="K6492" t="str">
        <f>T("8042723736")</f>
        <v>8042723736</v>
      </c>
      <c r="L6492" t="str">
        <f>T("8042720458")</f>
        <v>8042720458</v>
      </c>
    </row>
    <row r="6493" spans="1:12" x14ac:dyDescent="0.35">
      <c r="A6493" t="str">
        <f t="shared" si="2493"/>
        <v>4TH MCD</v>
      </c>
      <c r="B6493" t="str">
        <f>T("9210 ARBORETUM PKY")</f>
        <v>9210 ARBORETUM PKY</v>
      </c>
      <c r="C6493" t="str">
        <f>T("SUITE 220")</f>
        <v>SUITE 220</v>
      </c>
      <c r="D6493" t="str">
        <f>T("NORTH CHESTERFIELD")</f>
        <v>NORTH CHESTERFIELD</v>
      </c>
      <c r="E6493" t="str">
        <f>T("VA")</f>
        <v>VA</v>
      </c>
      <c r="F6493" t="str">
        <f>T("232363472")</f>
        <v>232363472</v>
      </c>
      <c r="G6493" t="str">
        <f>T("9210 ARBORETUM PKY")</f>
        <v>9210 ARBORETUM PKY</v>
      </c>
      <c r="H6493" t="str">
        <f>T("SUITE 220")</f>
        <v>SUITE 220</v>
      </c>
      <c r="I6493" t="str">
        <f>T("NORTH CHESTERFIELD")</f>
        <v>NORTH CHESTERFIELD</v>
      </c>
      <c r="J6493" t="str">
        <f>T("VA")</f>
        <v>VA</v>
      </c>
      <c r="K6493" t="str">
        <f>T("8042723921")</f>
        <v>8042723921</v>
      </c>
      <c r="L6493" t="str">
        <f>T("8042720458")</f>
        <v>8042720458</v>
      </c>
    </row>
    <row r="6494" spans="1:12" x14ac:dyDescent="0.35">
      <c r="A6494" t="str">
        <f t="shared" ref="A6494:A6528" si="2501">T("12TH MCD")</f>
        <v>12TH MCD</v>
      </c>
      <c r="B6494" t="str">
        <f>T("14560 2ND ST")</f>
        <v>14560 2ND ST</v>
      </c>
      <c r="C6494" t="str">
        <f>T("BLDG 2640")</f>
        <v>BLDG 2640</v>
      </c>
      <c r="D6494" t="str">
        <f>T("MARCH ARB")</f>
        <v>MARCH ARB</v>
      </c>
      <c r="E6494" t="str">
        <f t="shared" ref="E6494:E6501" si="2502">T("CA")</f>
        <v>CA</v>
      </c>
      <c r="F6494" t="str">
        <f>T("925182079")</f>
        <v>925182079</v>
      </c>
      <c r="G6494" t="str">
        <f>T("14560 2ND ST")</f>
        <v>14560 2ND ST</v>
      </c>
      <c r="H6494" t="str">
        <f>T("BLDG 2640")</f>
        <v>BLDG 2640</v>
      </c>
      <c r="I6494" t="str">
        <f>T("MARCH ARB")</f>
        <v>MARCH ARB</v>
      </c>
      <c r="J6494" t="str">
        <f t="shared" ref="J6494:J6501" si="2503">T("CA")</f>
        <v>CA</v>
      </c>
      <c r="K6494" t="str">
        <f>T("000000000000000000")</f>
        <v>000000000000000000</v>
      </c>
      <c r="L6494" t="str">
        <f>T("8586754927")</f>
        <v>8586754927</v>
      </c>
    </row>
    <row r="6495" spans="1:12" x14ac:dyDescent="0.35">
      <c r="A6495" t="str">
        <f t="shared" si="2501"/>
        <v>12TH MCD</v>
      </c>
      <c r="B6495" t="str">
        <f>T("14560 2ND ST")</f>
        <v>14560 2ND ST</v>
      </c>
      <c r="C6495" t="str">
        <f>T("BLDG 2640")</f>
        <v>BLDG 2640</v>
      </c>
      <c r="D6495" t="str">
        <f>T("MARCH ARB")</f>
        <v>MARCH ARB</v>
      </c>
      <c r="E6495" t="str">
        <f t="shared" si="2502"/>
        <v>CA</v>
      </c>
      <c r="F6495" t="str">
        <f>T("925182079")</f>
        <v>925182079</v>
      </c>
      <c r="G6495" t="str">
        <f>T("RS RIVERSIDE")</f>
        <v>RS RIVERSIDE</v>
      </c>
      <c r="H6495" t="str">
        <f>T("14560 2ND STREET BLDG 2640")</f>
        <v>14560 2ND STREET BLDG 2640</v>
      </c>
      <c r="I6495" t="str">
        <f>T("MARCH ARB")</f>
        <v>MARCH ARB</v>
      </c>
      <c r="J6495" t="str">
        <f t="shared" si="2503"/>
        <v>CA</v>
      </c>
      <c r="K6495" t="str">
        <f>T("9514557840")</f>
        <v>9514557840</v>
      </c>
      <c r="L6495" t="str">
        <f>T("9514557846")</f>
        <v>9514557846</v>
      </c>
    </row>
    <row r="6496" spans="1:12" x14ac:dyDescent="0.35">
      <c r="A6496" t="str">
        <f t="shared" si="2501"/>
        <v>12TH MCD</v>
      </c>
      <c r="B6496" t="str">
        <f>T("16644 WEST BERNARDO DR")</f>
        <v>16644 WEST BERNARDO DR</v>
      </c>
      <c r="C6496" t="str">
        <f>T("SUITE 440")</f>
        <v>SUITE 440</v>
      </c>
      <c r="D6496" t="str">
        <f>T("SAN DIEGO")</f>
        <v>SAN DIEGO</v>
      </c>
      <c r="E6496" t="str">
        <f t="shared" si="2502"/>
        <v>CA</v>
      </c>
      <c r="F6496" t="str">
        <f>T("921400001")</f>
        <v>921400001</v>
      </c>
      <c r="G6496" t="str">
        <f>T("16644 WEST BERNARDO DR")</f>
        <v>16644 WEST BERNARDO DR</v>
      </c>
      <c r="H6496" t="str">
        <f>T("SUITE 440")</f>
        <v>SUITE 440</v>
      </c>
      <c r="I6496" t="str">
        <f>T("SAN DIEGO")</f>
        <v>SAN DIEGO</v>
      </c>
      <c r="J6496" t="str">
        <f t="shared" si="2503"/>
        <v>CA</v>
      </c>
      <c r="K6496" t="str">
        <f>T("8586754970")</f>
        <v>8586754970</v>
      </c>
      <c r="L6496" t="str">
        <f>T("8586754939")</f>
        <v>8586754939</v>
      </c>
    </row>
    <row r="6497" spans="1:12" x14ac:dyDescent="0.35">
      <c r="A6497" t="str">
        <f t="shared" si="2501"/>
        <v>12TH MCD</v>
      </c>
      <c r="B6497" t="str">
        <f>T("16644 WEST BERNARDO DR")</f>
        <v>16644 WEST BERNARDO DR</v>
      </c>
      <c r="C6497" t="str">
        <f>T("SUITE 440")</f>
        <v>SUITE 440</v>
      </c>
      <c r="D6497" t="str">
        <f>T("SAN DIEGO")</f>
        <v>SAN DIEGO</v>
      </c>
      <c r="E6497" t="str">
        <f t="shared" si="2502"/>
        <v>CA</v>
      </c>
      <c r="F6497" t="str">
        <f>T("921400001")</f>
        <v>921400001</v>
      </c>
      <c r="G6497" t="str">
        <f>T("RS SAN DIEGO")</f>
        <v>RS SAN DIEGO</v>
      </c>
      <c r="H6497" t="str">
        <f>T("16644 WEST BARNARDO DRIVE SUITE 440")</f>
        <v>16644 WEST BARNARDO DRIVE SUITE 440</v>
      </c>
      <c r="I6497" t="str">
        <f>T("SAN DIEGO")</f>
        <v>SAN DIEGO</v>
      </c>
      <c r="J6497" t="str">
        <f t="shared" si="2503"/>
        <v>CA</v>
      </c>
      <c r="K6497" t="str">
        <f>T("8586754973")</f>
        <v>8586754973</v>
      </c>
      <c r="L6497" t="str">
        <f>T("8586754922")</f>
        <v>8586754922</v>
      </c>
    </row>
    <row r="6498" spans="1:12" x14ac:dyDescent="0.35">
      <c r="A6498" t="str">
        <f t="shared" si="2501"/>
        <v>12TH MCD</v>
      </c>
      <c r="B6498" t="str">
        <f>T("16644 WEST BERNARDO DR")</f>
        <v>16644 WEST BERNARDO DR</v>
      </c>
      <c r="C6498" t="str">
        <f>T("SUITE 440")</f>
        <v>SUITE 440</v>
      </c>
      <c r="D6498" t="str">
        <f>T("SAN DIEGO")</f>
        <v>SAN DIEGO</v>
      </c>
      <c r="E6498" t="str">
        <f t="shared" si="2502"/>
        <v>CA</v>
      </c>
      <c r="F6498" t="str">
        <f>T("921400001")</f>
        <v>921400001</v>
      </c>
      <c r="G6498" t="str">
        <f>T("RS SAN DIEGO")</f>
        <v>RS SAN DIEGO</v>
      </c>
      <c r="H6498" t="str">
        <f>T("16644 WEST BERNARDO DR SUITE 440")</f>
        <v>16644 WEST BERNARDO DR SUITE 440</v>
      </c>
      <c r="I6498" t="str">
        <f>T("SAN DIEGO")</f>
        <v>SAN DIEGO</v>
      </c>
      <c r="J6498" t="str">
        <f t="shared" si="2503"/>
        <v>CA</v>
      </c>
      <c r="K6498" t="str">
        <f>T("8586754973")</f>
        <v>8586754973</v>
      </c>
      <c r="L6498" t="str">
        <f>T("8586754922")</f>
        <v>8586754922</v>
      </c>
    </row>
    <row r="6499" spans="1:12" x14ac:dyDescent="0.35">
      <c r="A6499" t="str">
        <f t="shared" si="2501"/>
        <v>12TH MCD</v>
      </c>
      <c r="B6499" t="str">
        <f>T("1921 EAST ALTON AVE")</f>
        <v>1921 EAST ALTON AVE</v>
      </c>
      <c r="C6499" t="str">
        <f>T("SUITE 150")</f>
        <v>SUITE 150</v>
      </c>
      <c r="D6499" t="str">
        <f>T("SANTA ANA")</f>
        <v>SANTA ANA</v>
      </c>
      <c r="E6499" t="str">
        <f t="shared" si="2502"/>
        <v>CA</v>
      </c>
      <c r="F6499" t="str">
        <f>T("927055855")</f>
        <v>927055855</v>
      </c>
      <c r="G6499" t="str">
        <f>T("1921 E ALTON AVE")</f>
        <v>1921 E ALTON AVE</v>
      </c>
      <c r="H6499" t="str">
        <f>T("SUITE 150")</f>
        <v>SUITE 150</v>
      </c>
      <c r="I6499" t="str">
        <f>T("SANTA ANA")</f>
        <v>SANTA ANA</v>
      </c>
      <c r="J6499" t="str">
        <f t="shared" si="2503"/>
        <v>CA</v>
      </c>
      <c r="K6499" t="str">
        <f>T("9496812246")</f>
        <v>9496812246</v>
      </c>
      <c r="L6499" t="str">
        <f>T("9492610332")</f>
        <v>9492610332</v>
      </c>
    </row>
    <row r="6500" spans="1:12" x14ac:dyDescent="0.35">
      <c r="A6500" t="str">
        <f t="shared" si="2501"/>
        <v>12TH MCD</v>
      </c>
      <c r="B6500" t="str">
        <f>T("1921 EAST ALTON AVE")</f>
        <v>1921 EAST ALTON AVE</v>
      </c>
      <c r="C6500" t="str">
        <f>T("SUITE 150")</f>
        <v>SUITE 150</v>
      </c>
      <c r="D6500" t="str">
        <f>T("SANTA ANA")</f>
        <v>SANTA ANA</v>
      </c>
      <c r="E6500" t="str">
        <f t="shared" si="2502"/>
        <v>CA</v>
      </c>
      <c r="F6500" t="str">
        <f>T("927055855")</f>
        <v>927055855</v>
      </c>
      <c r="G6500" t="str">
        <f>T("1921 EAST ALTON AVE")</f>
        <v>1921 EAST ALTON AVE</v>
      </c>
      <c r="H6500" t="str">
        <f>T("SUITE 150")</f>
        <v>SUITE 150</v>
      </c>
      <c r="I6500" t="str">
        <f>T("SANTA ANA")</f>
        <v>SANTA ANA</v>
      </c>
      <c r="J6500" t="str">
        <f t="shared" si="2503"/>
        <v>CA</v>
      </c>
      <c r="K6500" t="str">
        <f>T("9496812246")</f>
        <v>9496812246</v>
      </c>
      <c r="L6500" t="str">
        <f>T("9492610132")</f>
        <v>9492610132</v>
      </c>
    </row>
    <row r="6501" spans="1:12" x14ac:dyDescent="0.35">
      <c r="A6501" t="str">
        <f t="shared" si="2501"/>
        <v>12TH MCD</v>
      </c>
      <c r="B6501" t="str">
        <f>T("1921 EAST ALTON AVE")</f>
        <v>1921 EAST ALTON AVE</v>
      </c>
      <c r="C6501" t="str">
        <f>T("SUITE 150")</f>
        <v>SUITE 150</v>
      </c>
      <c r="D6501" t="str">
        <f>T("SANTA ANA")</f>
        <v>SANTA ANA</v>
      </c>
      <c r="E6501" t="str">
        <f t="shared" si="2502"/>
        <v>CA</v>
      </c>
      <c r="F6501" t="str">
        <f>T("927055855")</f>
        <v>927055855</v>
      </c>
      <c r="G6501" t="str">
        <f>T("1921 EAST ALTON AVE")</f>
        <v>1921 EAST ALTON AVE</v>
      </c>
      <c r="H6501" t="str">
        <f>T("SUITE 150")</f>
        <v>SUITE 150</v>
      </c>
      <c r="I6501" t="str">
        <f>T("SANTA ANA")</f>
        <v>SANTA ANA</v>
      </c>
      <c r="J6501" t="str">
        <f t="shared" si="2503"/>
        <v>CA</v>
      </c>
      <c r="K6501" t="str">
        <f>T("9496812246")</f>
        <v>9496812246</v>
      </c>
      <c r="L6501" t="str">
        <f>T("9492610401")</f>
        <v>9492610401</v>
      </c>
    </row>
    <row r="6502" spans="1:12" x14ac:dyDescent="0.35">
      <c r="A6502" t="str">
        <f t="shared" si="2501"/>
        <v>12TH MCD</v>
      </c>
      <c r="B6502" t="str">
        <f>T("309 WEST 2880 SOUTH")</f>
        <v>309 WEST 2880 SOUTH</v>
      </c>
      <c r="C6502" t="str">
        <f>T("")</f>
        <v/>
      </c>
      <c r="D6502" t="str">
        <f>T("SALT LAKE CITY")</f>
        <v>SALT LAKE CITY</v>
      </c>
      <c r="E6502" t="str">
        <f>T("UT")</f>
        <v>UT</v>
      </c>
      <c r="F6502" t="str">
        <f>T("841153460")</f>
        <v>841153460</v>
      </c>
      <c r="G6502" t="str">
        <f>T("309 WEST 2880 SOUTH")</f>
        <v>309 WEST 2880 SOUTH</v>
      </c>
      <c r="H6502" t="str">
        <f>T("")</f>
        <v/>
      </c>
      <c r="I6502" t="str">
        <f>T("SALT LAKE CITY")</f>
        <v>SALT LAKE CITY</v>
      </c>
      <c r="J6502" t="str">
        <f>T("UT")</f>
        <v>UT</v>
      </c>
      <c r="K6502" t="str">
        <f>T("000000000000000000")</f>
        <v>000000000000000000</v>
      </c>
      <c r="L6502" t="str">
        <f>T("8019540401")</f>
        <v>8019540401</v>
      </c>
    </row>
    <row r="6503" spans="1:12" x14ac:dyDescent="0.35">
      <c r="A6503" t="str">
        <f t="shared" si="2501"/>
        <v>12TH MCD</v>
      </c>
      <c r="B6503" t="str">
        <f>T("309 WEST 2880 SOUTH")</f>
        <v>309 WEST 2880 SOUTH</v>
      </c>
      <c r="C6503" t="str">
        <f>T("")</f>
        <v/>
      </c>
      <c r="D6503" t="str">
        <f>T("SALT LAKE CITY")</f>
        <v>SALT LAKE CITY</v>
      </c>
      <c r="E6503" t="str">
        <f>T("UT")</f>
        <v>UT</v>
      </c>
      <c r="F6503" t="str">
        <f>T("841153460")</f>
        <v>841153460</v>
      </c>
      <c r="G6503" t="str">
        <f>T("309 WEST 2880 SOUTH")</f>
        <v>309 WEST 2880 SOUTH</v>
      </c>
      <c r="H6503" t="str">
        <f>T("")</f>
        <v/>
      </c>
      <c r="I6503" t="str">
        <f>T("SALT LAKE CITY")</f>
        <v>SALT LAKE CITY</v>
      </c>
      <c r="J6503" t="str">
        <f>T("UT")</f>
        <v>UT</v>
      </c>
      <c r="K6503" t="str">
        <f>T("8019540414")</f>
        <v>8019540414</v>
      </c>
      <c r="L6503" t="str">
        <f>T("8019540416")</f>
        <v>8019540416</v>
      </c>
    </row>
    <row r="6504" spans="1:12" x14ac:dyDescent="0.35">
      <c r="A6504" t="str">
        <f t="shared" si="2501"/>
        <v>12TH MCD</v>
      </c>
      <c r="B6504" t="str">
        <f>T("3704 HOCHMUTCH AVE")</f>
        <v>3704 HOCHMUTCH AVE</v>
      </c>
      <c r="C6504" t="str">
        <f t="shared" ref="C6504:C6512" si="2504">T("BLDG 8")</f>
        <v>BLDG 8</v>
      </c>
      <c r="D6504" t="str">
        <f t="shared" ref="D6504:D6512" si="2505">T("SAN DIEGO")</f>
        <v>SAN DIEGO</v>
      </c>
      <c r="E6504" t="str">
        <f t="shared" ref="E6504:E6515" si="2506">T("CA")</f>
        <v>CA</v>
      </c>
      <c r="F6504" t="str">
        <f t="shared" ref="F6504:F6512" si="2507">T("921405191")</f>
        <v>921405191</v>
      </c>
      <c r="G6504" t="str">
        <f>T("12TH MCD HQ CC")</f>
        <v>12TH MCD HQ CC</v>
      </c>
      <c r="H6504" t="str">
        <f>T("3704 HOCHMUTH AVE BLSG 8")</f>
        <v>3704 HOCHMUTH AVE BLSG 8</v>
      </c>
      <c r="I6504" t="str">
        <f t="shared" ref="I6504:I6511" si="2508">T("SAN DIEGO")</f>
        <v>SAN DIEGO</v>
      </c>
      <c r="J6504" t="str">
        <f t="shared" ref="J6504:J6515" si="2509">T("CA")</f>
        <v>CA</v>
      </c>
      <c r="K6504" t="str">
        <f>T("6195425516")</f>
        <v>6195425516</v>
      </c>
      <c r="L6504" t="str">
        <f>T("6195425537")</f>
        <v>6195425537</v>
      </c>
    </row>
    <row r="6505" spans="1:12" x14ac:dyDescent="0.35">
      <c r="A6505" t="str">
        <f t="shared" si="2501"/>
        <v>12TH MCD</v>
      </c>
      <c r="B6505" t="str">
        <f>T("3704 HOCHMUTCH AVE")</f>
        <v>3704 HOCHMUTCH AVE</v>
      </c>
      <c r="C6505" t="str">
        <f t="shared" si="2504"/>
        <v>BLDG 8</v>
      </c>
      <c r="D6505" t="str">
        <f t="shared" si="2505"/>
        <v>SAN DIEGO</v>
      </c>
      <c r="E6505" t="str">
        <f t="shared" si="2506"/>
        <v>CA</v>
      </c>
      <c r="F6505" t="str">
        <f t="shared" si="2507"/>
        <v>921405191</v>
      </c>
      <c r="G6505" t="str">
        <f>T("3704 HOCHMUTCH AVE")</f>
        <v>3704 HOCHMUTCH AVE</v>
      </c>
      <c r="H6505" t="str">
        <f>T("BLDG 8")</f>
        <v>BLDG 8</v>
      </c>
      <c r="I6505" t="str">
        <f t="shared" si="2508"/>
        <v>SAN DIEGO</v>
      </c>
      <c r="J6505" t="str">
        <f t="shared" si="2509"/>
        <v>CA</v>
      </c>
      <c r="K6505" t="str">
        <f>T("6195425516")</f>
        <v>6195425516</v>
      </c>
      <c r="L6505" t="str">
        <f>T("6195425509")</f>
        <v>6195425509</v>
      </c>
    </row>
    <row r="6506" spans="1:12" x14ac:dyDescent="0.35">
      <c r="A6506" t="str">
        <f t="shared" si="2501"/>
        <v>12TH MCD</v>
      </c>
      <c r="B6506" t="str">
        <f>T("3704 HOCHMUTCH AVE")</f>
        <v>3704 HOCHMUTCH AVE</v>
      </c>
      <c r="C6506" t="str">
        <f t="shared" si="2504"/>
        <v>BLDG 8</v>
      </c>
      <c r="D6506" t="str">
        <f t="shared" si="2505"/>
        <v>SAN DIEGO</v>
      </c>
      <c r="E6506" t="str">
        <f t="shared" si="2506"/>
        <v>CA</v>
      </c>
      <c r="F6506" t="str">
        <f t="shared" si="2507"/>
        <v>921405191</v>
      </c>
      <c r="G6506" t="str">
        <f>T("3704 HOCHMUTH AVE")</f>
        <v>3704 HOCHMUTH AVE</v>
      </c>
      <c r="H6506" t="str">
        <f>T("")</f>
        <v/>
      </c>
      <c r="I6506" t="str">
        <f t="shared" si="2508"/>
        <v>SAN DIEGO</v>
      </c>
      <c r="J6506" t="str">
        <f t="shared" si="2509"/>
        <v>CA</v>
      </c>
      <c r="K6506" t="str">
        <f>T("6195425516")</f>
        <v>6195425516</v>
      </c>
      <c r="L6506" t="str">
        <f>T("6195425536")</f>
        <v>6195425536</v>
      </c>
    </row>
    <row r="6507" spans="1:12" x14ac:dyDescent="0.35">
      <c r="A6507" t="str">
        <f t="shared" si="2501"/>
        <v>12TH MCD</v>
      </c>
      <c r="B6507" t="str">
        <f t="shared" ref="B6507:B6512" si="2510">T("3704 HOCHMUTH AVE")</f>
        <v>3704 HOCHMUTH AVE</v>
      </c>
      <c r="C6507" t="str">
        <f t="shared" si="2504"/>
        <v>BLDG 8</v>
      </c>
      <c r="D6507" t="str">
        <f t="shared" si="2505"/>
        <v>SAN DIEGO</v>
      </c>
      <c r="E6507" t="str">
        <f t="shared" si="2506"/>
        <v>CA</v>
      </c>
      <c r="F6507" t="str">
        <f t="shared" si="2507"/>
        <v>921405191</v>
      </c>
      <c r="G6507" t="str">
        <f>T("3704 HOCHMUTH AVE")</f>
        <v>3704 HOCHMUTH AVE</v>
      </c>
      <c r="H6507" t="str">
        <f>T("")</f>
        <v/>
      </c>
      <c r="I6507" t="str">
        <f t="shared" si="2508"/>
        <v>SAN DIEGO</v>
      </c>
      <c r="J6507" t="str">
        <f t="shared" si="2509"/>
        <v>CA</v>
      </c>
      <c r="K6507" t="str">
        <f>T("6195425516")</f>
        <v>6195425516</v>
      </c>
      <c r="L6507" t="str">
        <f>T("6195425536")</f>
        <v>6195425536</v>
      </c>
    </row>
    <row r="6508" spans="1:12" x14ac:dyDescent="0.35">
      <c r="A6508" t="str">
        <f t="shared" si="2501"/>
        <v>12TH MCD</v>
      </c>
      <c r="B6508" t="str">
        <f t="shared" si="2510"/>
        <v>3704 HOCHMUTH AVE</v>
      </c>
      <c r="C6508" t="str">
        <f t="shared" si="2504"/>
        <v>BLDG 8</v>
      </c>
      <c r="D6508" t="str">
        <f t="shared" si="2505"/>
        <v>SAN DIEGO</v>
      </c>
      <c r="E6508" t="str">
        <f t="shared" si="2506"/>
        <v>CA</v>
      </c>
      <c r="F6508" t="str">
        <f t="shared" si="2507"/>
        <v>921405191</v>
      </c>
      <c r="G6508" t="str">
        <f>T("3704 HOCHMUTH AVE")</f>
        <v>3704 HOCHMUTH AVE</v>
      </c>
      <c r="H6508" t="str">
        <f>T("")</f>
        <v/>
      </c>
      <c r="I6508" t="str">
        <f t="shared" si="2508"/>
        <v>SAN DIEGO</v>
      </c>
      <c r="J6508" t="str">
        <f t="shared" si="2509"/>
        <v>CA</v>
      </c>
      <c r="K6508" t="str">
        <f>T("7607254116")</f>
        <v>7607254116</v>
      </c>
      <c r="L6508" t="str">
        <f>T("7607254158")</f>
        <v>7607254158</v>
      </c>
    </row>
    <row r="6509" spans="1:12" x14ac:dyDescent="0.35">
      <c r="A6509" t="str">
        <f t="shared" si="2501"/>
        <v>12TH MCD</v>
      </c>
      <c r="B6509" t="str">
        <f t="shared" si="2510"/>
        <v>3704 HOCHMUTH AVE</v>
      </c>
      <c r="C6509" t="str">
        <f t="shared" si="2504"/>
        <v>BLDG 8</v>
      </c>
      <c r="D6509" t="str">
        <f t="shared" si="2505"/>
        <v>SAN DIEGO</v>
      </c>
      <c r="E6509" t="str">
        <f t="shared" si="2506"/>
        <v>CA</v>
      </c>
      <c r="F6509" t="str">
        <f t="shared" si="2507"/>
        <v>921405191</v>
      </c>
      <c r="G6509" t="str">
        <f>T("3704 HOCHMUTH AVE")</f>
        <v>3704 HOCHMUTH AVE</v>
      </c>
      <c r="H6509" t="str">
        <f>T("BLDG 8")</f>
        <v>BLDG 8</v>
      </c>
      <c r="I6509" t="str">
        <f t="shared" si="2508"/>
        <v>SAN DIEGO</v>
      </c>
      <c r="J6509" t="str">
        <f t="shared" si="2509"/>
        <v>CA</v>
      </c>
      <c r="K6509" t="str">
        <f>T("6195425516")</f>
        <v>6195425516</v>
      </c>
      <c r="L6509" t="str">
        <f>T("6195425509")</f>
        <v>6195425509</v>
      </c>
    </row>
    <row r="6510" spans="1:12" x14ac:dyDescent="0.35">
      <c r="A6510" t="str">
        <f t="shared" si="2501"/>
        <v>12TH MCD</v>
      </c>
      <c r="B6510" t="str">
        <f t="shared" si="2510"/>
        <v>3704 HOCHMUTH AVE</v>
      </c>
      <c r="C6510" t="str">
        <f t="shared" si="2504"/>
        <v>BLDG 8</v>
      </c>
      <c r="D6510" t="str">
        <f t="shared" si="2505"/>
        <v>SAN DIEGO</v>
      </c>
      <c r="E6510" t="str">
        <f t="shared" si="2506"/>
        <v>CA</v>
      </c>
      <c r="F6510" t="str">
        <f t="shared" si="2507"/>
        <v>921405191</v>
      </c>
      <c r="G6510" t="str">
        <f>T("3704 HOCHMUTH AVE")</f>
        <v>3704 HOCHMUTH AVE</v>
      </c>
      <c r="H6510" t="str">
        <f>T("BLDG 8")</f>
        <v>BLDG 8</v>
      </c>
      <c r="I6510" t="str">
        <f t="shared" si="2508"/>
        <v>SAN DIEGO</v>
      </c>
      <c r="J6510" t="str">
        <f t="shared" si="2509"/>
        <v>CA</v>
      </c>
      <c r="K6510" t="str">
        <f>T("6195425516")</f>
        <v>6195425516</v>
      </c>
      <c r="L6510" t="str">
        <f>T("6195425537")</f>
        <v>6195425537</v>
      </c>
    </row>
    <row r="6511" spans="1:12" x14ac:dyDescent="0.35">
      <c r="A6511" t="str">
        <f t="shared" si="2501"/>
        <v>12TH MCD</v>
      </c>
      <c r="B6511" t="str">
        <f t="shared" si="2510"/>
        <v>3704 HOCHMUTH AVE</v>
      </c>
      <c r="C6511" t="str">
        <f t="shared" si="2504"/>
        <v>BLDG 8</v>
      </c>
      <c r="D6511" t="str">
        <f t="shared" si="2505"/>
        <v>SAN DIEGO</v>
      </c>
      <c r="E6511" t="str">
        <f t="shared" si="2506"/>
        <v>CA</v>
      </c>
      <c r="F6511" t="str">
        <f t="shared" si="2507"/>
        <v>921405191</v>
      </c>
      <c r="G6511" t="str">
        <f>T("3704 HOCHMUTH AVE BLDG 8")</f>
        <v>3704 HOCHMUTH AVE BLDG 8</v>
      </c>
      <c r="H6511" t="str">
        <f>T("")</f>
        <v/>
      </c>
      <c r="I6511" t="str">
        <f t="shared" si="2508"/>
        <v>SAN DIEGO</v>
      </c>
      <c r="J6511" t="str">
        <f t="shared" si="2509"/>
        <v>CA</v>
      </c>
      <c r="K6511" t="str">
        <f>T("6195425516")</f>
        <v>6195425516</v>
      </c>
      <c r="L6511" t="str">
        <f>T("6195425537")</f>
        <v>6195425537</v>
      </c>
    </row>
    <row r="6512" spans="1:12" x14ac:dyDescent="0.35">
      <c r="A6512" t="str">
        <f t="shared" si="2501"/>
        <v>12TH MCD</v>
      </c>
      <c r="B6512" t="str">
        <f t="shared" si="2510"/>
        <v>3704 HOCHMUTH AVE</v>
      </c>
      <c r="C6512" t="str">
        <f t="shared" si="2504"/>
        <v>BLDG 8</v>
      </c>
      <c r="D6512" t="str">
        <f t="shared" si="2505"/>
        <v>SAN DIEGO</v>
      </c>
      <c r="E6512" t="str">
        <f t="shared" si="2506"/>
        <v>CA</v>
      </c>
      <c r="F6512" t="str">
        <f t="shared" si="2507"/>
        <v>921405191</v>
      </c>
      <c r="G6512" t="str">
        <f>T("HEADQUARTERS PRINTING  TRAINING")</f>
        <v>HEADQUARTERS PRINTING  TRAINING</v>
      </c>
      <c r="H6512" t="str">
        <f>T("")</f>
        <v/>
      </c>
      <c r="I6512" t="str">
        <f>T("3704 HOCHMUTH AVE")</f>
        <v>3704 HOCHMUTH AVE</v>
      </c>
      <c r="J6512" t="str">
        <f t="shared" si="2509"/>
        <v>CA</v>
      </c>
      <c r="K6512" t="str">
        <f>T("6195425516")</f>
        <v>6195425516</v>
      </c>
      <c r="L6512" t="str">
        <f>T("6195425536")</f>
        <v>6195425536</v>
      </c>
    </row>
    <row r="6513" spans="1:12" x14ac:dyDescent="0.35">
      <c r="A6513" t="str">
        <f t="shared" si="2501"/>
        <v>12TH MCD</v>
      </c>
      <c r="B6513" t="str">
        <f>T("4090 TRUXEL RD")</f>
        <v>4090 TRUXEL RD</v>
      </c>
      <c r="C6513" t="str">
        <f>T("")</f>
        <v/>
      </c>
      <c r="D6513" t="str">
        <f>T("SACRAMENTO")</f>
        <v>SACRAMENTO</v>
      </c>
      <c r="E6513" t="str">
        <f t="shared" si="2506"/>
        <v>CA</v>
      </c>
      <c r="F6513" t="str">
        <f>T("958343725")</f>
        <v>958343725</v>
      </c>
      <c r="G6513" t="str">
        <f>T("3870 ROSIN COURT STE 110")</f>
        <v>3870 ROSIN COURT STE 110</v>
      </c>
      <c r="H6513" t="str">
        <f>T("")</f>
        <v/>
      </c>
      <c r="I6513" t="str">
        <f>T("SACRAMENTO")</f>
        <v>SACRAMENTO</v>
      </c>
      <c r="J6513" t="str">
        <f t="shared" si="2509"/>
        <v>CA</v>
      </c>
      <c r="K6513" t="str">
        <f>T("9169282612")</f>
        <v>9169282612</v>
      </c>
      <c r="L6513" t="str">
        <f>T("9169282611")</f>
        <v>9169282611</v>
      </c>
    </row>
    <row r="6514" spans="1:12" x14ac:dyDescent="0.35">
      <c r="A6514" t="str">
        <f t="shared" si="2501"/>
        <v>12TH MCD</v>
      </c>
      <c r="B6514" t="str">
        <f>T("4090 TRUXEL RD")</f>
        <v>4090 TRUXEL RD</v>
      </c>
      <c r="C6514" t="str">
        <f>T("")</f>
        <v/>
      </c>
      <c r="D6514" t="str">
        <f>T("SACRAMENTO")</f>
        <v>SACRAMENTO</v>
      </c>
      <c r="E6514" t="str">
        <f t="shared" si="2506"/>
        <v>CA</v>
      </c>
      <c r="F6514" t="str">
        <f>T("958343725")</f>
        <v>958343725</v>
      </c>
      <c r="G6514" t="str">
        <f>T("4090 TRUXEL RD")</f>
        <v>4090 TRUXEL RD</v>
      </c>
      <c r="H6514" t="str">
        <f>T("")</f>
        <v/>
      </c>
      <c r="I6514" t="str">
        <f>T("SACRAMENTO")</f>
        <v>SACRAMENTO</v>
      </c>
      <c r="J6514" t="str">
        <f t="shared" si="2509"/>
        <v>CA</v>
      </c>
      <c r="K6514" t="str">
        <f>T("9169282604")</f>
        <v>9169282604</v>
      </c>
      <c r="L6514" t="str">
        <f>T("9169282602")</f>
        <v>9169282602</v>
      </c>
    </row>
    <row r="6515" spans="1:12" x14ac:dyDescent="0.35">
      <c r="A6515" t="str">
        <f t="shared" si="2501"/>
        <v>12TH MCD</v>
      </c>
      <c r="B6515" t="str">
        <f>T("4090 TRUXEL RD")</f>
        <v>4090 TRUXEL RD</v>
      </c>
      <c r="C6515" t="str">
        <f>T("")</f>
        <v/>
      </c>
      <c r="D6515" t="str">
        <f>T("SACRAMENTO")</f>
        <v>SACRAMENTO</v>
      </c>
      <c r="E6515" t="str">
        <f t="shared" si="2506"/>
        <v>CA</v>
      </c>
      <c r="F6515" t="str">
        <f>T("958343725")</f>
        <v>958343725</v>
      </c>
      <c r="G6515" t="str">
        <f>T("RS SACRAMENTO")</f>
        <v>RS SACRAMENTO</v>
      </c>
      <c r="H6515" t="str">
        <f>T("4090 TRUXEL RD")</f>
        <v>4090 TRUXEL RD</v>
      </c>
      <c r="I6515" t="str">
        <f>T("SACRAMENTO")</f>
        <v>SACRAMENTO</v>
      </c>
      <c r="J6515" t="str">
        <f t="shared" si="2509"/>
        <v>CA</v>
      </c>
      <c r="K6515" t="str">
        <f>T("9169282612")</f>
        <v>9169282612</v>
      </c>
      <c r="L6515" t="str">
        <f>T("9169282611")</f>
        <v>9169282611</v>
      </c>
    </row>
    <row r="6516" spans="1:12" x14ac:dyDescent="0.35">
      <c r="A6516" t="str">
        <f t="shared" si="2501"/>
        <v>12TH MCD</v>
      </c>
      <c r="B6516" t="str">
        <f>T("4735 E MARGINAL WAY")</f>
        <v>4735 E MARGINAL WAY</v>
      </c>
      <c r="C6516" t="str">
        <f>T("SUITE 1238")</f>
        <v>SUITE 1238</v>
      </c>
      <c r="D6516" t="str">
        <f>T("SEATTLE")</f>
        <v>SEATTLE</v>
      </c>
      <c r="E6516" t="str">
        <f>T("WA")</f>
        <v>WA</v>
      </c>
      <c r="F6516" t="str">
        <f>T("981342329")</f>
        <v>981342329</v>
      </c>
      <c r="G6516" t="str">
        <f>T("4735 E MARGINAL WAY")</f>
        <v>4735 E MARGINAL WAY</v>
      </c>
      <c r="H6516" t="str">
        <f>T("SUITE 1238")</f>
        <v>SUITE 1238</v>
      </c>
      <c r="I6516" t="str">
        <f>T("SEATTLE")</f>
        <v>SEATTLE</v>
      </c>
      <c r="J6516" t="str">
        <f>T("WA")</f>
        <v>WA</v>
      </c>
      <c r="K6516" t="str">
        <f>T("2067628782")</f>
        <v>2067628782</v>
      </c>
      <c r="L6516" t="str">
        <f>T("2067622658")</f>
        <v>2067622658</v>
      </c>
    </row>
    <row r="6517" spans="1:12" x14ac:dyDescent="0.35">
      <c r="A6517" t="str">
        <f t="shared" si="2501"/>
        <v>12TH MCD</v>
      </c>
      <c r="B6517" t="str">
        <f>T("4735 E MARGINAL WAY")</f>
        <v>4735 E MARGINAL WAY</v>
      </c>
      <c r="C6517" t="str">
        <f>T("SUITE 1238")</f>
        <v>SUITE 1238</v>
      </c>
      <c r="D6517" t="str">
        <f>T("SEATTLE")</f>
        <v>SEATTLE</v>
      </c>
      <c r="E6517" t="str">
        <f>T("WA")</f>
        <v>WA</v>
      </c>
      <c r="F6517" t="str">
        <f>T("981342329")</f>
        <v>981342329</v>
      </c>
      <c r="G6517" t="str">
        <f>T("4735 E MARGINAL WAY S")</f>
        <v>4735 E MARGINAL WAY S</v>
      </c>
      <c r="H6517" t="str">
        <f>T("SUITE 1238")</f>
        <v>SUITE 1238</v>
      </c>
      <c r="I6517" t="str">
        <f>T("SEATTLE")</f>
        <v>SEATTLE</v>
      </c>
      <c r="J6517" t="str">
        <f>T("WA")</f>
        <v>WA</v>
      </c>
      <c r="K6517" t="str">
        <f>T("000000000000000000")</f>
        <v>000000000000000000</v>
      </c>
      <c r="L6517" t="str">
        <f>T("2067621568")</f>
        <v>2067621568</v>
      </c>
    </row>
    <row r="6518" spans="1:12" x14ac:dyDescent="0.35">
      <c r="A6518" t="str">
        <f t="shared" si="2501"/>
        <v>12TH MCD</v>
      </c>
      <c r="B6518" t="str">
        <f>T("4735 E MARGINAL WAY")</f>
        <v>4735 E MARGINAL WAY</v>
      </c>
      <c r="C6518" t="str">
        <f>T("SUITE 1238")</f>
        <v>SUITE 1238</v>
      </c>
      <c r="D6518" t="str">
        <f>T("SEATTLE")</f>
        <v>SEATTLE</v>
      </c>
      <c r="E6518" t="str">
        <f>T("WA")</f>
        <v>WA</v>
      </c>
      <c r="F6518" t="str">
        <f>T("981342329")</f>
        <v>981342329</v>
      </c>
      <c r="G6518" t="str">
        <f>T("RS SEATTLE")</f>
        <v>RS SEATTLE</v>
      </c>
      <c r="H6518" t="str">
        <f>T("4735 E MARGINAL WAY S")</f>
        <v>4735 E MARGINAL WAY S</v>
      </c>
      <c r="I6518" t="str">
        <f>T("SEATTLE")</f>
        <v>SEATTLE</v>
      </c>
      <c r="J6518" t="str">
        <f>T("WA")</f>
        <v>WA</v>
      </c>
      <c r="K6518" t="str">
        <f>T("2067628782")</f>
        <v>2067628782</v>
      </c>
      <c r="L6518" t="str">
        <f>T("2067621568")</f>
        <v>2067621568</v>
      </c>
    </row>
    <row r="6519" spans="1:12" x14ac:dyDescent="0.35">
      <c r="A6519" t="str">
        <f t="shared" si="2501"/>
        <v>12TH MCD</v>
      </c>
      <c r="B6519" t="str">
        <f>T("546 VERNON AVE")</f>
        <v>546 VERNON AVE</v>
      </c>
      <c r="C6519" t="str">
        <f>T("SUITE 218")</f>
        <v>SUITE 218</v>
      </c>
      <c r="D6519" t="str">
        <f>T("MOUNTAIN VIEW")</f>
        <v>MOUNTAIN VIEW</v>
      </c>
      <c r="E6519" t="str">
        <f t="shared" ref="E6519:E6524" si="2511">T("CA")</f>
        <v>CA</v>
      </c>
      <c r="F6519" t="str">
        <f>T("940431571")</f>
        <v>940431571</v>
      </c>
      <c r="G6519" t="str">
        <f>T("546 VERNON AVE")</f>
        <v>546 VERNON AVE</v>
      </c>
      <c r="H6519" t="str">
        <f>T("SUITE 218")</f>
        <v>SUITE 218</v>
      </c>
      <c r="I6519" t="str">
        <f>T("MOUNTAIN VIEW")</f>
        <v>MOUNTAIN VIEW</v>
      </c>
      <c r="J6519" t="str">
        <f t="shared" ref="J6519:J6524" si="2512">T("CA")</f>
        <v>CA</v>
      </c>
      <c r="K6519" t="str">
        <f>T("6505370082")</f>
        <v>6505370082</v>
      </c>
      <c r="L6519" t="str">
        <f>T("6506038942")</f>
        <v>6506038942</v>
      </c>
    </row>
    <row r="6520" spans="1:12" x14ac:dyDescent="0.35">
      <c r="A6520" t="str">
        <f t="shared" si="2501"/>
        <v>12TH MCD</v>
      </c>
      <c r="B6520" t="str">
        <f>T("546 VERNON AVE")</f>
        <v>546 VERNON AVE</v>
      </c>
      <c r="C6520" t="str">
        <f>T("SUITE 218")</f>
        <v>SUITE 218</v>
      </c>
      <c r="D6520" t="str">
        <f>T("MOUNTAIN VIEW")</f>
        <v>MOUNTAIN VIEW</v>
      </c>
      <c r="E6520" t="str">
        <f t="shared" si="2511"/>
        <v>CA</v>
      </c>
      <c r="F6520" t="str">
        <f>T("940431571")</f>
        <v>940431571</v>
      </c>
      <c r="G6520" t="str">
        <f>T("564 VERNON AVE")</f>
        <v>564 VERNON AVE</v>
      </c>
      <c r="H6520" t="str">
        <f>T("")</f>
        <v/>
      </c>
      <c r="I6520" t="str">
        <f>T("MOUNTAIN VIEW")</f>
        <v>MOUNTAIN VIEW</v>
      </c>
      <c r="J6520" t="str">
        <f t="shared" si="2512"/>
        <v>CA</v>
      </c>
      <c r="K6520" t="str">
        <f>T("6505038960")</f>
        <v>6505038960</v>
      </c>
      <c r="L6520" t="str">
        <f>T("6506038951")</f>
        <v>6506038951</v>
      </c>
    </row>
    <row r="6521" spans="1:12" x14ac:dyDescent="0.35">
      <c r="A6521" t="str">
        <f t="shared" si="2501"/>
        <v>12TH MCD</v>
      </c>
      <c r="B6521" t="str">
        <f>T("546 VERNON AVE")</f>
        <v>546 VERNON AVE</v>
      </c>
      <c r="C6521" t="str">
        <f>T("SUITE 218")</f>
        <v>SUITE 218</v>
      </c>
      <c r="D6521" t="str">
        <f>T("MOUNTAIN VIEW")</f>
        <v>MOUNTAIN VIEW</v>
      </c>
      <c r="E6521" t="str">
        <f t="shared" si="2511"/>
        <v>CA</v>
      </c>
      <c r="F6521" t="str">
        <f>T("940431571")</f>
        <v>940431571</v>
      </c>
      <c r="G6521" t="str">
        <f>T("RS SAN FRANCISCO")</f>
        <v>RS SAN FRANCISCO</v>
      </c>
      <c r="H6521" t="str">
        <f>T("546 VERNON AVE")</f>
        <v>546 VERNON AVE</v>
      </c>
      <c r="I6521" t="str">
        <f>T("MOUNTAIN VIEW")</f>
        <v>MOUNTAIN VIEW</v>
      </c>
      <c r="J6521" t="str">
        <f t="shared" si="2512"/>
        <v>CA</v>
      </c>
      <c r="K6521" t="str">
        <f>T("000000000000000000")</f>
        <v>000000000000000000</v>
      </c>
      <c r="L6521" t="str">
        <f>T("6056038951")</f>
        <v>6056038951</v>
      </c>
    </row>
    <row r="6522" spans="1:12" x14ac:dyDescent="0.35">
      <c r="A6522" t="str">
        <f t="shared" si="2501"/>
        <v>12TH MCD</v>
      </c>
      <c r="B6522" t="str">
        <f>T("6230 VAN NUYS BLVD")</f>
        <v>6230 VAN NUYS BLVD</v>
      </c>
      <c r="C6522" t="str">
        <f>T("")</f>
        <v/>
      </c>
      <c r="D6522" t="str">
        <f>T("VAN NUYS")</f>
        <v>VAN NUYS</v>
      </c>
      <c r="E6522" t="str">
        <f t="shared" si="2511"/>
        <v>CA</v>
      </c>
      <c r="F6522" t="str">
        <f>T("914012713")</f>
        <v>914012713</v>
      </c>
      <c r="G6522" t="str">
        <f>T("6230 VAN NUYS BLVD")</f>
        <v>6230 VAN NUYS BLVD</v>
      </c>
      <c r="H6522" t="str">
        <f>T("")</f>
        <v/>
      </c>
      <c r="I6522" t="str">
        <f>T("VAN NUYS")</f>
        <v>VAN NUYS</v>
      </c>
      <c r="J6522" t="str">
        <f t="shared" si="2512"/>
        <v>CA</v>
      </c>
      <c r="K6522" t="str">
        <f>T("8183735526")</f>
        <v>8183735526</v>
      </c>
      <c r="L6522" t="str">
        <f>T("8183735521")</f>
        <v>8183735521</v>
      </c>
    </row>
    <row r="6523" spans="1:12" x14ac:dyDescent="0.35">
      <c r="A6523" t="str">
        <f t="shared" si="2501"/>
        <v>12TH MCD</v>
      </c>
      <c r="B6523" t="str">
        <f>T("6230 VAN NUYS BLVD")</f>
        <v>6230 VAN NUYS BLVD</v>
      </c>
      <c r="C6523" t="str">
        <f>T("")</f>
        <v/>
      </c>
      <c r="D6523" t="str">
        <f>T("VAN NUYS")</f>
        <v>VAN NUYS</v>
      </c>
      <c r="E6523" t="str">
        <f t="shared" si="2511"/>
        <v>CA</v>
      </c>
      <c r="F6523" t="str">
        <f>T("914012713")</f>
        <v>914012713</v>
      </c>
      <c r="G6523" t="str">
        <f>T("RS LOS ANGLES")</f>
        <v>RS LOS ANGLES</v>
      </c>
      <c r="H6523" t="str">
        <f>T("6230 VAN NUYS BLVD SUITE 3005")</f>
        <v>6230 VAN NUYS BLVD SUITE 3005</v>
      </c>
      <c r="I6523" t="str">
        <f>T("LOS ANGLES")</f>
        <v>LOS ANGLES</v>
      </c>
      <c r="J6523" t="str">
        <f t="shared" si="2512"/>
        <v>CA</v>
      </c>
      <c r="K6523" t="str">
        <f>T("000000000000000000")</f>
        <v>000000000000000000</v>
      </c>
      <c r="L6523" t="str">
        <f>T("8183735533")</f>
        <v>8183735533</v>
      </c>
    </row>
    <row r="6524" spans="1:12" x14ac:dyDescent="0.35">
      <c r="A6524" t="str">
        <f t="shared" si="2501"/>
        <v>12TH MCD</v>
      </c>
      <c r="B6524" t="str">
        <f>T("6230 VAN NUYS BLVD")</f>
        <v>6230 VAN NUYS BLVD</v>
      </c>
      <c r="C6524" t="str">
        <f>T("")</f>
        <v/>
      </c>
      <c r="D6524" t="str">
        <f>T("VAN NUYS")</f>
        <v>VAN NUYS</v>
      </c>
      <c r="E6524" t="str">
        <f t="shared" si="2511"/>
        <v>CA</v>
      </c>
      <c r="F6524" t="str">
        <f>T("914012713")</f>
        <v>914012713</v>
      </c>
      <c r="G6524" t="str">
        <f>T("RS LOS ANGLES")</f>
        <v>RS LOS ANGLES</v>
      </c>
      <c r="H6524" t="str">
        <f>T("6230 VAN NUYS BLVD SUITE 3005")</f>
        <v>6230 VAN NUYS BLVD SUITE 3005</v>
      </c>
      <c r="I6524" t="str">
        <f>T("LOS ANGLES")</f>
        <v>LOS ANGLES</v>
      </c>
      <c r="J6524" t="str">
        <f t="shared" si="2512"/>
        <v>CA</v>
      </c>
      <c r="K6524" t="str">
        <f>T("8183735535")</f>
        <v>8183735535</v>
      </c>
      <c r="L6524" t="str">
        <f>T("8183735533")</f>
        <v>8183735533</v>
      </c>
    </row>
    <row r="6525" spans="1:12" x14ac:dyDescent="0.35">
      <c r="A6525" t="str">
        <f t="shared" si="2501"/>
        <v>12TH MCD</v>
      </c>
      <c r="B6525" t="str">
        <f>T("FEDERAL BUILDING")</f>
        <v>FEDERAL BUILDING</v>
      </c>
      <c r="C6525" t="str">
        <f>T("100 SOUTHWEST MAIN ST STE 6")</f>
        <v>100 SOUTHWEST MAIN ST STE 6</v>
      </c>
      <c r="D6525" t="str">
        <f>T("PORTLAND")</f>
        <v>PORTLAND</v>
      </c>
      <c r="E6525" t="str">
        <f>T("OR")</f>
        <v>OR</v>
      </c>
      <c r="F6525" t="str">
        <f>T("972043218")</f>
        <v>972043218</v>
      </c>
      <c r="G6525" t="str">
        <f>T("100 SW MAIN ST STE 600")</f>
        <v>100 SW MAIN ST STE 600</v>
      </c>
      <c r="H6525" t="str">
        <f>T("")</f>
        <v/>
      </c>
      <c r="I6525" t="str">
        <f>T("PORTLAND")</f>
        <v>PORTLAND</v>
      </c>
      <c r="J6525" t="str">
        <f>T("OR")</f>
        <v>OR</v>
      </c>
      <c r="K6525" t="str">
        <f>T("5033263016")</f>
        <v>5033263016</v>
      </c>
      <c r="L6525" t="str">
        <f>T("5033263016")</f>
        <v>5033263016</v>
      </c>
    </row>
    <row r="6526" spans="1:12" x14ac:dyDescent="0.35">
      <c r="A6526" t="str">
        <f t="shared" si="2501"/>
        <v>12TH MCD</v>
      </c>
      <c r="B6526" t="str">
        <f>T("FEDERAL BUILDING")</f>
        <v>FEDERAL BUILDING</v>
      </c>
      <c r="C6526" t="str">
        <f>T("100 SOUTHWEST MAIN ST STE 6")</f>
        <v>100 SOUTHWEST MAIN ST STE 6</v>
      </c>
      <c r="D6526" t="str">
        <f>T("PORTLAND")</f>
        <v>PORTLAND</v>
      </c>
      <c r="E6526" t="str">
        <f>T("OR")</f>
        <v>OR</v>
      </c>
      <c r="F6526" t="str">
        <f>T("972043218")</f>
        <v>972043218</v>
      </c>
      <c r="G6526" t="str">
        <f>T("12TH MCD RS PORTLAND")</f>
        <v>12TH MCD RS PORTLAND</v>
      </c>
      <c r="H6526" t="str">
        <f>T("100 SW MAIN ST SUITE 600")</f>
        <v>100 SW MAIN ST SUITE 600</v>
      </c>
      <c r="I6526" t="str">
        <f>T("PORTLAND")</f>
        <v>PORTLAND</v>
      </c>
      <c r="J6526" t="str">
        <f>T("OR")</f>
        <v>OR</v>
      </c>
      <c r="K6526" t="str">
        <f>T("5033267240")</f>
        <v>5033267240</v>
      </c>
      <c r="L6526" t="str">
        <f>T("5033263016")</f>
        <v>5033263016</v>
      </c>
    </row>
    <row r="6527" spans="1:12" x14ac:dyDescent="0.35">
      <c r="A6527" t="str">
        <f t="shared" si="2501"/>
        <v>12TH MCD</v>
      </c>
      <c r="B6527" t="str">
        <f>T("FEDERAL BUILDING")</f>
        <v>FEDERAL BUILDING</v>
      </c>
      <c r="C6527" t="str">
        <f>T("100 SOUTHWEST MAIN ST STE 6")</f>
        <v>100 SOUTHWEST MAIN ST STE 6</v>
      </c>
      <c r="D6527" t="str">
        <f>T("PORTLAND")</f>
        <v>PORTLAND</v>
      </c>
      <c r="E6527" t="str">
        <f>T("OR")</f>
        <v>OR</v>
      </c>
      <c r="F6527" t="str">
        <f>T("972043218")</f>
        <v>972043218</v>
      </c>
      <c r="G6527" t="str">
        <f>T("FEDERAL BUILDING")</f>
        <v>FEDERAL BUILDING</v>
      </c>
      <c r="H6527" t="str">
        <f>T("100 SOUTHWEST MAIN ST STE 6")</f>
        <v>100 SOUTHWEST MAIN ST STE 6</v>
      </c>
      <c r="I6527" t="str">
        <f>T("PORTLAND")</f>
        <v>PORTLAND</v>
      </c>
      <c r="J6527" t="str">
        <f>T("OR")</f>
        <v>OR</v>
      </c>
      <c r="K6527" t="str">
        <f>T("5033264035")</f>
        <v>5033264035</v>
      </c>
      <c r="L6527" t="str">
        <f>T("5033263017")</f>
        <v>5033263017</v>
      </c>
    </row>
    <row r="6528" spans="1:12" x14ac:dyDescent="0.35">
      <c r="A6528" t="str">
        <f t="shared" si="2501"/>
        <v>12TH MCD</v>
      </c>
      <c r="B6528" t="str">
        <f>T("FEDERAL BUILDING")</f>
        <v>FEDERAL BUILDING</v>
      </c>
      <c r="C6528" t="str">
        <f>T("100 SOUTHWEST MAIN ST STE 6")</f>
        <v>100 SOUTHWEST MAIN ST STE 6</v>
      </c>
      <c r="D6528" t="str">
        <f>T("PORTLAND")</f>
        <v>PORTLAND</v>
      </c>
      <c r="E6528" t="str">
        <f>T("OR")</f>
        <v>OR</v>
      </c>
      <c r="F6528" t="str">
        <f>T("972043218")</f>
        <v>972043218</v>
      </c>
      <c r="G6528" t="str">
        <f>T("RS PORTLAND")</f>
        <v>RS PORTLAND</v>
      </c>
      <c r="H6528" t="str">
        <f>T("100 SW MAIN ST SUITE 600")</f>
        <v>100 SW MAIN ST SUITE 600</v>
      </c>
      <c r="I6528" t="str">
        <f>T("PORTLAND")</f>
        <v>PORTLAND</v>
      </c>
      <c r="J6528" t="str">
        <f>T("OR")</f>
        <v>OR</v>
      </c>
      <c r="K6528" t="str">
        <f>T("5033263024")</f>
        <v>5033263024</v>
      </c>
      <c r="L6528" t="str">
        <f>T("5033263016")</f>
        <v>5033263016</v>
      </c>
    </row>
    <row r="6529" spans="1:12" x14ac:dyDescent="0.35">
      <c r="A6529" t="str">
        <f t="shared" ref="A6529:A6551" si="2513">T("6TH MCD")</f>
        <v>6TH MCD</v>
      </c>
      <c r="B6529" t="str">
        <f>T("1210 NAVAL FORCES COURT")</f>
        <v>1210 NAVAL FORCES COURT</v>
      </c>
      <c r="C6529" t="str">
        <f>T("ROOM M102")</f>
        <v>ROOM M102</v>
      </c>
      <c r="D6529" t="str">
        <f>T("MARIETTA")</f>
        <v>MARIETTA</v>
      </c>
      <c r="E6529" t="str">
        <f>T("GA")</f>
        <v>GA</v>
      </c>
      <c r="F6529" t="str">
        <f>T("300695200")</f>
        <v>300695200</v>
      </c>
      <c r="G6529" t="str">
        <f>T("1210 NAVAL FORCES COURT")</f>
        <v>1210 NAVAL FORCES COURT</v>
      </c>
      <c r="H6529" t="str">
        <f>T("ROOM M102")</f>
        <v>ROOM M102</v>
      </c>
      <c r="I6529" t="str">
        <f>T("MARIETTA")</f>
        <v>MARIETTA</v>
      </c>
      <c r="J6529" t="str">
        <f>T("GA")</f>
        <v>GA</v>
      </c>
      <c r="K6529" t="str">
        <f>T("7704195908")</f>
        <v>7704195908</v>
      </c>
      <c r="L6529" t="str">
        <f>T("6786553385")</f>
        <v>6786553385</v>
      </c>
    </row>
    <row r="6530" spans="1:12" x14ac:dyDescent="0.35">
      <c r="A6530" t="str">
        <f t="shared" si="2513"/>
        <v>6TH MCD</v>
      </c>
      <c r="B6530" t="str">
        <f>T("1210 NAVAL FORCES COURT")</f>
        <v>1210 NAVAL FORCES COURT</v>
      </c>
      <c r="C6530" t="str">
        <f>T("ROOM M102")</f>
        <v>ROOM M102</v>
      </c>
      <c r="D6530" t="str">
        <f>T("MARIETTA")</f>
        <v>MARIETTA</v>
      </c>
      <c r="E6530" t="str">
        <f>T("GA")</f>
        <v>GA</v>
      </c>
      <c r="F6530" t="str">
        <f>T("300695200")</f>
        <v>300695200</v>
      </c>
      <c r="G6530" t="str">
        <f>T("1210 NAVAL FORCES COURT")</f>
        <v>1210 NAVAL FORCES COURT</v>
      </c>
      <c r="H6530" t="str">
        <f>T("ROOM M102")</f>
        <v>ROOM M102</v>
      </c>
      <c r="I6530" t="str">
        <f>T("MARIETTA")</f>
        <v>MARIETTA</v>
      </c>
      <c r="J6530" t="str">
        <f>T("GA")</f>
        <v>GA</v>
      </c>
      <c r="K6530" t="str">
        <f>T("7704195908")</f>
        <v>7704195908</v>
      </c>
      <c r="L6530" t="str">
        <f>T("6786553484")</f>
        <v>6786553484</v>
      </c>
    </row>
    <row r="6531" spans="1:12" x14ac:dyDescent="0.35">
      <c r="A6531" t="str">
        <f t="shared" si="2513"/>
        <v>6TH MCD</v>
      </c>
      <c r="B6531" t="str">
        <f>T("2350 FAIRLANE DR")</f>
        <v>2350 FAIRLANE DR</v>
      </c>
      <c r="C6531" t="str">
        <f>T("SUITE 120")</f>
        <v>SUITE 120</v>
      </c>
      <c r="D6531" t="str">
        <f>T("MONTGOMERY")</f>
        <v>MONTGOMERY</v>
      </c>
      <c r="E6531" t="str">
        <f>T("AL")</f>
        <v>AL</v>
      </c>
      <c r="F6531" t="str">
        <f>T("361161625")</f>
        <v>361161625</v>
      </c>
      <c r="G6531" t="str">
        <f>T("2350 FAIRLANE DR")</f>
        <v>2350 FAIRLANE DR</v>
      </c>
      <c r="H6531" t="str">
        <f>T("SUITE 120")</f>
        <v>SUITE 120</v>
      </c>
      <c r="I6531" t="str">
        <f>T("MONTGOMERY")</f>
        <v>MONTGOMERY</v>
      </c>
      <c r="J6531" t="str">
        <f>T("AL")</f>
        <v>AL</v>
      </c>
      <c r="K6531" t="str">
        <f>T("3346473114")</f>
        <v>3346473114</v>
      </c>
      <c r="L6531" t="str">
        <f>T("3346473100")</f>
        <v>3346473100</v>
      </c>
    </row>
    <row r="6532" spans="1:12" x14ac:dyDescent="0.35">
      <c r="A6532" t="str">
        <f t="shared" si="2513"/>
        <v>6TH MCD</v>
      </c>
      <c r="B6532" t="str">
        <f>T("2519 PERIMETER PLACE DR")</f>
        <v>2519 PERIMETER PLACE DR</v>
      </c>
      <c r="C6532" t="str">
        <f>T("")</f>
        <v/>
      </c>
      <c r="D6532" t="str">
        <f>T("NASHVILLE")</f>
        <v>NASHVILLE</v>
      </c>
      <c r="E6532" t="str">
        <f>T("TN")</f>
        <v>TN</v>
      </c>
      <c r="F6532" t="str">
        <f>T("372143681")</f>
        <v>372143681</v>
      </c>
      <c r="G6532" t="str">
        <f>T("2519 PERIMETER PLACE DR")</f>
        <v>2519 PERIMETER PLACE DR</v>
      </c>
      <c r="H6532" t="str">
        <f>T("")</f>
        <v/>
      </c>
      <c r="I6532" t="str">
        <f>T("NASHVILLE")</f>
        <v>NASHVILLE</v>
      </c>
      <c r="J6532" t="str">
        <f>T("TN")</f>
        <v>TN</v>
      </c>
      <c r="K6532" t="str">
        <f>T("6156271537")</f>
        <v>6156271537</v>
      </c>
      <c r="L6532" t="str">
        <f>T("6156271526")</f>
        <v>6156271526</v>
      </c>
    </row>
    <row r="6533" spans="1:12" x14ac:dyDescent="0.35">
      <c r="A6533" t="str">
        <f t="shared" si="2513"/>
        <v>6TH MCD</v>
      </c>
      <c r="B6533" t="str">
        <f>T("2519 PERIMETER PLACE DR")</f>
        <v>2519 PERIMETER PLACE DR</v>
      </c>
      <c r="C6533" t="str">
        <f>T("")</f>
        <v/>
      </c>
      <c r="D6533" t="str">
        <f>T("NASHVILLE")</f>
        <v>NASHVILLE</v>
      </c>
      <c r="E6533" t="str">
        <f>T("TN")</f>
        <v>TN</v>
      </c>
      <c r="F6533" t="str">
        <f>T("372143681")</f>
        <v>372143681</v>
      </c>
      <c r="G6533" t="str">
        <f>T("2519 PERIMETER PLACE DRIVE")</f>
        <v>2519 PERIMETER PLACE DRIVE</v>
      </c>
      <c r="H6533" t="str">
        <f>T("")</f>
        <v/>
      </c>
      <c r="I6533" t="str">
        <f>T("NASHVILLE")</f>
        <v>NASHVILLE</v>
      </c>
      <c r="J6533" t="str">
        <f>T("TN")</f>
        <v>TN</v>
      </c>
      <c r="K6533" t="str">
        <f>T("6156271537")</f>
        <v>6156271537</v>
      </c>
      <c r="L6533" t="str">
        <f>T("6156271526")</f>
        <v>6156271526</v>
      </c>
    </row>
    <row r="6534" spans="1:12" x14ac:dyDescent="0.35">
      <c r="A6534" t="str">
        <f t="shared" si="2513"/>
        <v>6TH MCD</v>
      </c>
      <c r="B6534" t="str">
        <f>T("3728 PHILLIPS HWY")</f>
        <v>3728 PHILLIPS HWY</v>
      </c>
      <c r="C6534" t="str">
        <f>T("SUITE 229")</f>
        <v>SUITE 229</v>
      </c>
      <c r="D6534" t="str">
        <f>T("JACKSONVILLE")</f>
        <v>JACKSONVILLE</v>
      </c>
      <c r="E6534" t="str">
        <f>T("FL")</f>
        <v>FL</v>
      </c>
      <c r="F6534" t="str">
        <f>T("322076880")</f>
        <v>322076880</v>
      </c>
      <c r="G6534" t="str">
        <f>T("3728 PHILLIPS HWY")</f>
        <v>3728 PHILLIPS HWY</v>
      </c>
      <c r="H6534" t="str">
        <f>T("SUITE 229")</f>
        <v>SUITE 229</v>
      </c>
      <c r="I6534" t="str">
        <f>T("JACKSONVILLE")</f>
        <v>JACKSONVILLE</v>
      </c>
      <c r="J6534" t="str">
        <f>T("FL")</f>
        <v>FL</v>
      </c>
      <c r="K6534" t="str">
        <f>T("9043393182")</f>
        <v>9043393182</v>
      </c>
      <c r="L6534" t="str">
        <f>T("9043991151")</f>
        <v>9043991151</v>
      </c>
    </row>
    <row r="6535" spans="1:12" x14ac:dyDescent="0.35">
      <c r="A6535" t="str">
        <f t="shared" si="2513"/>
        <v>6TH MCD</v>
      </c>
      <c r="B6535" t="str">
        <f>T("3728 PHILLIPS HWY")</f>
        <v>3728 PHILLIPS HWY</v>
      </c>
      <c r="C6535" t="str">
        <f>T("SUITE 229")</f>
        <v>SUITE 229</v>
      </c>
      <c r="D6535" t="str">
        <f>T("JACKSONVILLE")</f>
        <v>JACKSONVILLE</v>
      </c>
      <c r="E6535" t="str">
        <f>T("FL")</f>
        <v>FL</v>
      </c>
      <c r="F6535" t="str">
        <f>T("322076880")</f>
        <v>322076880</v>
      </c>
      <c r="G6535" t="str">
        <f>T("3728 PHILLIPS HWY")</f>
        <v>3728 PHILLIPS HWY</v>
      </c>
      <c r="H6535" t="str">
        <f>T("SUITE 229")</f>
        <v>SUITE 229</v>
      </c>
      <c r="I6535" t="str">
        <f>T("JACKSONVILLE")</f>
        <v>JACKSONVILLE</v>
      </c>
      <c r="J6535" t="str">
        <f>T("FL")</f>
        <v>FL</v>
      </c>
      <c r="K6535" t="str">
        <f>T("9043993182")</f>
        <v>9043993182</v>
      </c>
      <c r="L6535" t="str">
        <f>T("9043991151")</f>
        <v>9043991151</v>
      </c>
    </row>
    <row r="6536" spans="1:12" x14ac:dyDescent="0.35">
      <c r="A6536" t="str">
        <f t="shared" si="2513"/>
        <v>6TH MCD</v>
      </c>
      <c r="B6536" t="str">
        <f>T("3728 PHILLIPS HWY")</f>
        <v>3728 PHILLIPS HWY</v>
      </c>
      <c r="C6536" t="str">
        <f>T("SUITE 229")</f>
        <v>SUITE 229</v>
      </c>
      <c r="D6536" t="str">
        <f>T("JACKSONVILLE")</f>
        <v>JACKSONVILLE</v>
      </c>
      <c r="E6536" t="str">
        <f>T("FL")</f>
        <v>FL</v>
      </c>
      <c r="F6536" t="str">
        <f>T("322076880")</f>
        <v>322076880</v>
      </c>
      <c r="G6536" t="str">
        <f>T("3728 PHILLIPS HWY")</f>
        <v>3728 PHILLIPS HWY</v>
      </c>
      <c r="H6536" t="str">
        <f>T("SUITE 229")</f>
        <v>SUITE 229</v>
      </c>
      <c r="I6536" t="str">
        <f>T("JACKSONVILLE")</f>
        <v>JACKSONVILLE</v>
      </c>
      <c r="J6536" t="str">
        <f>T("FL")</f>
        <v>FL</v>
      </c>
      <c r="K6536" t="str">
        <f>T("9043993182")</f>
        <v>9043993182</v>
      </c>
      <c r="L6536" t="str">
        <f>T("9043992113")</f>
        <v>9043992113</v>
      </c>
    </row>
    <row r="6537" spans="1:12" x14ac:dyDescent="0.35">
      <c r="A6537" t="str">
        <f t="shared" si="2513"/>
        <v>6TH MCD</v>
      </c>
      <c r="B6537" t="str">
        <f>T("4855 PEACHTREE INDUSTRIAL B")</f>
        <v>4855 PEACHTREE INDUSTRIAL B</v>
      </c>
      <c r="C6537" t="str">
        <f>T("SUITE 225")</f>
        <v>SUITE 225</v>
      </c>
      <c r="D6537" t="str">
        <f>T("BERLELEY LAKE")</f>
        <v>BERLELEY LAKE</v>
      </c>
      <c r="E6537" t="str">
        <f>T("GA")</f>
        <v>GA</v>
      </c>
      <c r="F6537" t="str">
        <f>T("300923013")</f>
        <v>300923013</v>
      </c>
      <c r="G6537" t="str">
        <f>T("4855 PEACHTREE INDUSTRIAL B")</f>
        <v>4855 PEACHTREE INDUSTRIAL B</v>
      </c>
      <c r="H6537" t="str">
        <f>T("SUITE 225")</f>
        <v>SUITE 225</v>
      </c>
      <c r="I6537" t="str">
        <f>T("BERLELEY LAKE")</f>
        <v>BERLELEY LAKE</v>
      </c>
      <c r="J6537" t="str">
        <f>T("GA")</f>
        <v>GA</v>
      </c>
      <c r="K6537" t="str">
        <f>T("7702469416")</f>
        <v>7702469416</v>
      </c>
      <c r="L6537" t="str">
        <f>T("7702460021")</f>
        <v>7702460021</v>
      </c>
    </row>
    <row r="6538" spans="1:12" x14ac:dyDescent="0.35">
      <c r="A6538" t="str">
        <f t="shared" si="2513"/>
        <v>6TH MCD</v>
      </c>
      <c r="B6538" t="str">
        <f>T("4855 PEACHTREE INDUSTRIAL B")</f>
        <v>4855 PEACHTREE INDUSTRIAL B</v>
      </c>
      <c r="C6538" t="str">
        <f>T("SUITE 225")</f>
        <v>SUITE 225</v>
      </c>
      <c r="D6538" t="str">
        <f>T("BERLELEY LAKE")</f>
        <v>BERLELEY LAKE</v>
      </c>
      <c r="E6538" t="str">
        <f>T("GA")</f>
        <v>GA</v>
      </c>
      <c r="F6538" t="str">
        <f>T("300923013")</f>
        <v>300923013</v>
      </c>
      <c r="G6538" t="str">
        <f>T("4855 PEACHTREE INDUSTRIAL BLVD")</f>
        <v>4855 PEACHTREE INDUSTRIAL BLVD</v>
      </c>
      <c r="H6538" t="str">
        <f>T("SUITE 225")</f>
        <v>SUITE 225</v>
      </c>
      <c r="I6538" t="str">
        <f>T("BERKELEY LAKE")</f>
        <v>BERKELEY LAKE</v>
      </c>
      <c r="J6538" t="str">
        <f>T("GA")</f>
        <v>GA</v>
      </c>
      <c r="K6538" t="str">
        <f>T("7702469416")</f>
        <v>7702469416</v>
      </c>
      <c r="L6538" t="str">
        <f>T("7702469026")</f>
        <v>7702469026</v>
      </c>
    </row>
    <row r="6539" spans="1:12" x14ac:dyDescent="0.35">
      <c r="A6539" t="str">
        <f t="shared" si="2513"/>
        <v>6TH MCD</v>
      </c>
      <c r="B6539" t="str">
        <f>T("4855 PEACHTREE INDUSTRIAL B")</f>
        <v>4855 PEACHTREE INDUSTRIAL B</v>
      </c>
      <c r="C6539" t="str">
        <f>T("SUITE 225")</f>
        <v>SUITE 225</v>
      </c>
      <c r="D6539" t="str">
        <f>T("BERLELEY LAKE")</f>
        <v>BERLELEY LAKE</v>
      </c>
      <c r="E6539" t="str">
        <f>T("GA")</f>
        <v>GA</v>
      </c>
      <c r="F6539" t="str">
        <f>T("300923013")</f>
        <v>300923013</v>
      </c>
      <c r="G6539" t="str">
        <f>T("4855 PEACHTREE INDUSTRIAL BLVD")</f>
        <v>4855 PEACHTREE INDUSTRIAL BLVD</v>
      </c>
      <c r="H6539" t="str">
        <f>T("SUITE 225")</f>
        <v>SUITE 225</v>
      </c>
      <c r="I6539" t="str">
        <f>T("NORCROSS")</f>
        <v>NORCROSS</v>
      </c>
      <c r="J6539" t="str">
        <f>T("GA")</f>
        <v>GA</v>
      </c>
      <c r="K6539" t="str">
        <f>T("7702469416")</f>
        <v>7702469416</v>
      </c>
      <c r="L6539" t="str">
        <f>T("7702469026")</f>
        <v>7702469026</v>
      </c>
    </row>
    <row r="6540" spans="1:12" x14ac:dyDescent="0.35">
      <c r="A6540" t="str">
        <f t="shared" si="2513"/>
        <v>6TH MCD</v>
      </c>
      <c r="B6540" t="str">
        <f>T("5555 HILTON AVE")</f>
        <v>5555 HILTON AVE</v>
      </c>
      <c r="C6540" t="str">
        <f>T("SUITE 103")</f>
        <v>SUITE 103</v>
      </c>
      <c r="D6540" t="str">
        <f>T("BATON ROUGE")</f>
        <v>BATON ROUGE</v>
      </c>
      <c r="E6540" t="str">
        <f>T("LA")</f>
        <v>LA</v>
      </c>
      <c r="F6540" t="str">
        <f>T("708082597")</f>
        <v>708082597</v>
      </c>
      <c r="G6540" t="str">
        <f>T("5555 HILTON AVE")</f>
        <v>5555 HILTON AVE</v>
      </c>
      <c r="H6540" t="str">
        <f>T("SUITE 103")</f>
        <v>SUITE 103</v>
      </c>
      <c r="I6540" t="str">
        <f>T("BATON ROUGE")</f>
        <v>BATON ROUGE</v>
      </c>
      <c r="J6540" t="str">
        <f>T("LA")</f>
        <v>LA</v>
      </c>
      <c r="K6540" t="str">
        <f>T("2259271428")</f>
        <v>2259271428</v>
      </c>
      <c r="L6540" t="str">
        <f>T("2259271432")</f>
        <v>2259271432</v>
      </c>
    </row>
    <row r="6541" spans="1:12" x14ac:dyDescent="0.35">
      <c r="A6541" t="str">
        <f t="shared" si="2513"/>
        <v>6TH MCD</v>
      </c>
      <c r="B6541" t="str">
        <f>T("5555 HILTON AVE")</f>
        <v>5555 HILTON AVE</v>
      </c>
      <c r="C6541" t="str">
        <f>T("SUITE 103")</f>
        <v>SUITE 103</v>
      </c>
      <c r="D6541" t="str">
        <f>T("BATON ROUGE")</f>
        <v>BATON ROUGE</v>
      </c>
      <c r="E6541" t="str">
        <f>T("LA")</f>
        <v>LA</v>
      </c>
      <c r="F6541" t="str">
        <f>T("708082597")</f>
        <v>708082597</v>
      </c>
      <c r="G6541" t="str">
        <f>T("5555 HILTON AVE")</f>
        <v>5555 HILTON AVE</v>
      </c>
      <c r="H6541" t="str">
        <f>T("SUITE 103")</f>
        <v>SUITE 103</v>
      </c>
      <c r="I6541" t="str">
        <f>T("BATON ROUGE")</f>
        <v>BATON ROUGE</v>
      </c>
      <c r="J6541" t="str">
        <f>T("LA")</f>
        <v>LA</v>
      </c>
      <c r="K6541" t="str">
        <f>T("2259271428")</f>
        <v>2259271428</v>
      </c>
      <c r="L6541" t="str">
        <f>T("2259280341")</f>
        <v>2259280341</v>
      </c>
    </row>
    <row r="6542" spans="1:12" x14ac:dyDescent="0.35">
      <c r="A6542" t="str">
        <f t="shared" si="2513"/>
        <v>6TH MCD</v>
      </c>
      <c r="B6542" t="str">
        <f>T("5886 S. SEMORAN BLVD")</f>
        <v>5886 S. SEMORAN BLVD</v>
      </c>
      <c r="C6542" t="str">
        <f>T("")</f>
        <v/>
      </c>
      <c r="D6542" t="str">
        <f>T("ORLANDO")</f>
        <v>ORLANDO</v>
      </c>
      <c r="E6542" t="str">
        <f>T("FL")</f>
        <v>FL</v>
      </c>
      <c r="F6542" t="str">
        <f>T("328224817")</f>
        <v>328224817</v>
      </c>
      <c r="G6542" t="str">
        <f>T("5886 S. SEMORAN BLVD")</f>
        <v>5886 S. SEMORAN BLVD</v>
      </c>
      <c r="H6542" t="str">
        <f>T("")</f>
        <v/>
      </c>
      <c r="I6542" t="str">
        <f>T("ORLANDO")</f>
        <v>ORLANDO</v>
      </c>
      <c r="J6542" t="str">
        <f>T("FL")</f>
        <v>FL</v>
      </c>
      <c r="K6542" t="str">
        <f>T("4072495880")</f>
        <v>4072495880</v>
      </c>
      <c r="L6542" t="str">
        <f>T("4072495870")</f>
        <v>4072495870</v>
      </c>
    </row>
    <row r="6543" spans="1:12" x14ac:dyDescent="0.35">
      <c r="A6543" t="str">
        <f t="shared" si="2513"/>
        <v>6TH MCD</v>
      </c>
      <c r="B6543" t="str">
        <f>T("7820 PETERS RD")</f>
        <v>7820 PETERS RD</v>
      </c>
      <c r="C6543" t="str">
        <f>T("BLDG E SUITE 109")</f>
        <v>BLDG E SUITE 109</v>
      </c>
      <c r="D6543" t="str">
        <f>T("PLANTATION")</f>
        <v>PLANTATION</v>
      </c>
      <c r="E6543" t="str">
        <f>T("FL")</f>
        <v>FL</v>
      </c>
      <c r="F6543" t="str">
        <f>T("333244019")</f>
        <v>333244019</v>
      </c>
      <c r="G6543" t="str">
        <f>T("7820 PETERS RD")</f>
        <v>7820 PETERS RD</v>
      </c>
      <c r="H6543" t="str">
        <f>T("BLDG 3 SUITE 109")</f>
        <v>BLDG 3 SUITE 109</v>
      </c>
      <c r="I6543" t="str">
        <f>T("PLANTATION")</f>
        <v>PLANTATION</v>
      </c>
      <c r="J6543" t="str">
        <f>T("FL")</f>
        <v>FL</v>
      </c>
      <c r="K6543" t="str">
        <f>T("9544745438")</f>
        <v>9544745438</v>
      </c>
      <c r="L6543" t="str">
        <f>T("9544520333")</f>
        <v>9544520333</v>
      </c>
    </row>
    <row r="6544" spans="1:12" x14ac:dyDescent="0.35">
      <c r="A6544" t="str">
        <f t="shared" si="2513"/>
        <v>6TH MCD</v>
      </c>
      <c r="B6544" t="str">
        <f>T("7820 PETERS RD")</f>
        <v>7820 PETERS RD</v>
      </c>
      <c r="C6544" t="str">
        <f>T("BLDG E SUITE 109")</f>
        <v>BLDG E SUITE 109</v>
      </c>
      <c r="D6544" t="str">
        <f>T("PLANTATION")</f>
        <v>PLANTATION</v>
      </c>
      <c r="E6544" t="str">
        <f>T("FL")</f>
        <v>FL</v>
      </c>
      <c r="F6544" t="str">
        <f>T("333244019")</f>
        <v>333244019</v>
      </c>
      <c r="G6544" t="str">
        <f>T("7820 PETERS RD")</f>
        <v>7820 PETERS RD</v>
      </c>
      <c r="H6544" t="str">
        <f>T("BLDG E SUITE 109")</f>
        <v>BLDG E SUITE 109</v>
      </c>
      <c r="I6544" t="str">
        <f>T("PLANTATION")</f>
        <v>PLANTATION</v>
      </c>
      <c r="J6544" t="str">
        <f>T("FL")</f>
        <v>FL</v>
      </c>
      <c r="K6544" t="str">
        <f>T("9544745438")</f>
        <v>9544745438</v>
      </c>
      <c r="L6544" t="str">
        <f>T("9544520333")</f>
        <v>9544520333</v>
      </c>
    </row>
    <row r="6545" spans="1:12" x14ac:dyDescent="0.35">
      <c r="A6545" t="str">
        <f t="shared" si="2513"/>
        <v>6TH MCD</v>
      </c>
      <c r="B6545" t="str">
        <f>T("9600 TWO NOTCH RD")</f>
        <v>9600 TWO NOTCH RD</v>
      </c>
      <c r="C6545" t="str">
        <f>T("SUITE 17")</f>
        <v>SUITE 17</v>
      </c>
      <c r="D6545" t="str">
        <f>T("COLUMBIA")</f>
        <v>COLUMBIA</v>
      </c>
      <c r="E6545" t="str">
        <f t="shared" ref="E6545:E6551" si="2514">T("SC")</f>
        <v>SC</v>
      </c>
      <c r="F6545" t="str">
        <f>T("292231613")</f>
        <v>292231613</v>
      </c>
      <c r="G6545" t="str">
        <f>T("9600 TWO NOTCH RD")</f>
        <v>9600 TWO NOTCH RD</v>
      </c>
      <c r="H6545" t="str">
        <f>T("SUITE 17")</f>
        <v>SUITE 17</v>
      </c>
      <c r="I6545" t="str">
        <f>T("COLUMBIA")</f>
        <v>COLUMBIA</v>
      </c>
      <c r="J6545" t="str">
        <f t="shared" ref="J6545:J6551" si="2515">T("SC")</f>
        <v>SC</v>
      </c>
      <c r="K6545" t="str">
        <f>T("8037809974")</f>
        <v>8037809974</v>
      </c>
      <c r="L6545" t="str">
        <f>T("8037804620")</f>
        <v>8037804620</v>
      </c>
    </row>
    <row r="6546" spans="1:12" x14ac:dyDescent="0.35">
      <c r="A6546" t="str">
        <f t="shared" si="2513"/>
        <v>6TH MCD</v>
      </c>
      <c r="B6546" t="str">
        <f>T("9600 TWO NOTCH RD")</f>
        <v>9600 TWO NOTCH RD</v>
      </c>
      <c r="C6546" t="str">
        <f>T("SUITE 17")</f>
        <v>SUITE 17</v>
      </c>
      <c r="D6546" t="str">
        <f>T("COLUMBIA")</f>
        <v>COLUMBIA</v>
      </c>
      <c r="E6546" t="str">
        <f t="shared" si="2514"/>
        <v>SC</v>
      </c>
      <c r="F6546" t="str">
        <f>T("292231613")</f>
        <v>292231613</v>
      </c>
      <c r="G6546" t="str">
        <f>T("9600 TWO NOTCH RD")</f>
        <v>9600 TWO NOTCH RD</v>
      </c>
      <c r="H6546" t="str">
        <f>T("SUITE 17")</f>
        <v>SUITE 17</v>
      </c>
      <c r="I6546" t="str">
        <f>T("COLUMBIA")</f>
        <v>COLUMBIA</v>
      </c>
      <c r="J6546" t="str">
        <f t="shared" si="2515"/>
        <v>SC</v>
      </c>
      <c r="K6546" t="str">
        <f>T("8037889974")</f>
        <v>8037889974</v>
      </c>
      <c r="L6546" t="str">
        <f>T("8037884620")</f>
        <v>8037884620</v>
      </c>
    </row>
    <row r="6547" spans="1:12" x14ac:dyDescent="0.35">
      <c r="A6547" t="str">
        <f t="shared" si="2513"/>
        <v>6TH MCD</v>
      </c>
      <c r="B6547" t="str">
        <f>T("9600 TWO NOTCH RD")</f>
        <v>9600 TWO NOTCH RD</v>
      </c>
      <c r="C6547" t="str">
        <f>T("SUITE 17")</f>
        <v>SUITE 17</v>
      </c>
      <c r="D6547" t="str">
        <f>T("COLUMBIA")</f>
        <v>COLUMBIA</v>
      </c>
      <c r="E6547" t="str">
        <f t="shared" si="2514"/>
        <v>SC</v>
      </c>
      <c r="F6547" t="str">
        <f>T("292231613")</f>
        <v>292231613</v>
      </c>
      <c r="G6547" t="str">
        <f>T("9600 TWO NOTCH RD")</f>
        <v>9600 TWO NOTCH RD</v>
      </c>
      <c r="H6547" t="str">
        <f>T("SUITE 17")</f>
        <v>SUITE 17</v>
      </c>
      <c r="I6547" t="str">
        <f>T("COLUMBIA")</f>
        <v>COLUMBIA</v>
      </c>
      <c r="J6547" t="str">
        <f t="shared" si="2515"/>
        <v>SC</v>
      </c>
      <c r="K6547" t="str">
        <f>T("8037889974")</f>
        <v>8037889974</v>
      </c>
      <c r="L6547" t="str">
        <f>T("8037888788")</f>
        <v>8037888788</v>
      </c>
    </row>
    <row r="6548" spans="1:12" x14ac:dyDescent="0.35">
      <c r="A6548" t="str">
        <f t="shared" si="2513"/>
        <v>6TH MCD</v>
      </c>
      <c r="B6548" t="str">
        <f>T("MCRD/ERR")</f>
        <v>MCRD/ERR</v>
      </c>
      <c r="C6548" t="str">
        <f>T("P O BOX 19201")</f>
        <v>P O BOX 19201</v>
      </c>
      <c r="D6548" t="str">
        <f>T("PARRIS ISLAND")</f>
        <v>PARRIS ISLAND</v>
      </c>
      <c r="E6548" t="str">
        <f t="shared" si="2514"/>
        <v>SC</v>
      </c>
      <c r="F6548" t="str">
        <f>T("299059201")</f>
        <v>299059201</v>
      </c>
      <c r="G6548" t="str">
        <f>T("MCRD/ERR")</f>
        <v>MCRD/ERR</v>
      </c>
      <c r="H6548" t="str">
        <f>T("P O BOX 19201")</f>
        <v>P O BOX 19201</v>
      </c>
      <c r="I6548" t="str">
        <f>T("PARRIS ISLAND")</f>
        <v>PARRIS ISLAND</v>
      </c>
      <c r="J6548" t="str">
        <f t="shared" si="2515"/>
        <v>SC</v>
      </c>
      <c r="K6548" t="str">
        <f>T("8432283146")</f>
        <v>8432283146</v>
      </c>
      <c r="L6548" t="str">
        <f>T("8432283142")</f>
        <v>8432283142</v>
      </c>
    </row>
    <row r="6549" spans="1:12" x14ac:dyDescent="0.35">
      <c r="A6549" t="str">
        <f t="shared" si="2513"/>
        <v>6TH MCD</v>
      </c>
      <c r="B6549" t="str">
        <f>T("MCRD/ERR")</f>
        <v>MCRD/ERR</v>
      </c>
      <c r="C6549" t="str">
        <f>T("P O BOX 19201")</f>
        <v>P O BOX 19201</v>
      </c>
      <c r="D6549" t="str">
        <f>T("PARRIS ISLAND")</f>
        <v>PARRIS ISLAND</v>
      </c>
      <c r="E6549" t="str">
        <f t="shared" si="2514"/>
        <v>SC</v>
      </c>
      <c r="F6549" t="str">
        <f>T("299059201")</f>
        <v>299059201</v>
      </c>
      <c r="G6549" t="str">
        <f>T("MCRD/ERR")</f>
        <v>MCRD/ERR</v>
      </c>
      <c r="H6549" t="str">
        <f>T("P O BOX 19201")</f>
        <v>P O BOX 19201</v>
      </c>
      <c r="I6549" t="str">
        <f>T("PARRIS ISLAND")</f>
        <v>PARRIS ISLAND</v>
      </c>
      <c r="J6549" t="str">
        <f t="shared" si="2515"/>
        <v>SC</v>
      </c>
      <c r="K6549" t="str">
        <f>T("8432283146")</f>
        <v>8432283146</v>
      </c>
      <c r="L6549" t="str">
        <f>T("8432283271")</f>
        <v>8432283271</v>
      </c>
    </row>
    <row r="6550" spans="1:12" x14ac:dyDescent="0.35">
      <c r="A6550" t="str">
        <f t="shared" si="2513"/>
        <v>6TH MCD</v>
      </c>
      <c r="B6550" t="str">
        <f>T("MCRD/ERR")</f>
        <v>MCRD/ERR</v>
      </c>
      <c r="C6550" t="str">
        <f>T("P O BOX 19201")</f>
        <v>P O BOX 19201</v>
      </c>
      <c r="D6550" t="str">
        <f>T("PARRIS ISLAND")</f>
        <v>PARRIS ISLAND</v>
      </c>
      <c r="E6550" t="str">
        <f t="shared" si="2514"/>
        <v>SC</v>
      </c>
      <c r="F6550" t="str">
        <f>T("299059201")</f>
        <v>299059201</v>
      </c>
      <c r="G6550" t="str">
        <f>T("PO BOX 19201")</f>
        <v>PO BOX 19201</v>
      </c>
      <c r="H6550" t="str">
        <f>T("")</f>
        <v/>
      </c>
      <c r="I6550" t="str">
        <f>T("PARRIS ISLAND")</f>
        <v>PARRIS ISLAND</v>
      </c>
      <c r="J6550" t="str">
        <f t="shared" si="2515"/>
        <v>SC</v>
      </c>
      <c r="K6550" t="str">
        <f>T("8432283416")</f>
        <v>8432283416</v>
      </c>
      <c r="L6550" t="str">
        <f>T("8432283142")</f>
        <v>8432283142</v>
      </c>
    </row>
    <row r="6551" spans="1:12" x14ac:dyDescent="0.35">
      <c r="A6551" t="str">
        <f t="shared" si="2513"/>
        <v>6TH MCD</v>
      </c>
      <c r="B6551" t="str">
        <f>T("MCRD/ERR")</f>
        <v>MCRD/ERR</v>
      </c>
      <c r="C6551" t="str">
        <f>T("P O BOX 19201")</f>
        <v>P O BOX 19201</v>
      </c>
      <c r="D6551" t="str">
        <f>T("PARRIS ISLAND")</f>
        <v>PARRIS ISLAND</v>
      </c>
      <c r="E6551" t="str">
        <f t="shared" si="2514"/>
        <v>SC</v>
      </c>
      <c r="F6551" t="str">
        <f>T("299059201")</f>
        <v>299059201</v>
      </c>
      <c r="G6551" t="str">
        <f>T("PO BOX 19201")</f>
        <v>PO BOX 19201</v>
      </c>
      <c r="H6551" t="str">
        <f>T("")</f>
        <v/>
      </c>
      <c r="I6551" t="str">
        <f>T("PARRIS ISLAND")</f>
        <v>PARRIS ISLAND</v>
      </c>
      <c r="J6551" t="str">
        <f t="shared" si="2515"/>
        <v>SC</v>
      </c>
      <c r="K6551" t="str">
        <f>T("8432283416")</f>
        <v>8432283416</v>
      </c>
      <c r="L6551" t="str">
        <f>T("8432283243")</f>
        <v>8432283243</v>
      </c>
    </row>
    <row r="6552" spans="1:12" x14ac:dyDescent="0.35">
      <c r="A6552" t="str">
        <f t="shared" ref="A6552:A6578" si="2516">T("8TH MCD")</f>
        <v>8TH MCD</v>
      </c>
      <c r="B6552" t="str">
        <f>T("1 N 1ST ST")</f>
        <v>1 N 1ST ST</v>
      </c>
      <c r="C6552" t="str">
        <f t="shared" ref="C6552:C6560" si="2517">T("")</f>
        <v/>
      </c>
      <c r="D6552" t="str">
        <f>T("PHOENIX")</f>
        <v>PHOENIX</v>
      </c>
      <c r="E6552" t="str">
        <f>T("AZ")</f>
        <v>AZ</v>
      </c>
      <c r="F6552" t="str">
        <f>T("850042357")</f>
        <v>850042357</v>
      </c>
      <c r="G6552" t="str">
        <f>T("1 N 1ST ST")</f>
        <v>1 N 1ST ST</v>
      </c>
      <c r="H6552" t="str">
        <f>T("")</f>
        <v/>
      </c>
      <c r="I6552" t="str">
        <f>T("PHOENIX")</f>
        <v>PHOENIX</v>
      </c>
      <c r="J6552" t="str">
        <f>T("AZ")</f>
        <v>AZ</v>
      </c>
      <c r="K6552" t="str">
        <f>T("6022714271")</f>
        <v>6022714271</v>
      </c>
      <c r="L6552" t="str">
        <f>T("6022567941")</f>
        <v>6022567941</v>
      </c>
    </row>
    <row r="6553" spans="1:12" x14ac:dyDescent="0.35">
      <c r="A6553" t="str">
        <f t="shared" si="2516"/>
        <v>8TH MCD</v>
      </c>
      <c r="B6553" t="str">
        <f>T("1 N 1ST ST")</f>
        <v>1 N 1ST ST</v>
      </c>
      <c r="C6553" t="str">
        <f t="shared" si="2517"/>
        <v/>
      </c>
      <c r="D6553" t="str">
        <f>T("PHOENIX")</f>
        <v>PHOENIX</v>
      </c>
      <c r="E6553" t="str">
        <f>T("AZ")</f>
        <v>AZ</v>
      </c>
      <c r="F6553" t="str">
        <f>T("850042357")</f>
        <v>850042357</v>
      </c>
      <c r="G6553" t="str">
        <f>T("1 NORTH FIRST ST")</f>
        <v>1 NORTH FIRST ST</v>
      </c>
      <c r="H6553" t="str">
        <f>T("STE 302")</f>
        <v>STE 302</v>
      </c>
      <c r="I6553" t="str">
        <f>T("PHOENIX")</f>
        <v>PHOENIX</v>
      </c>
      <c r="J6553" t="str">
        <f>T("AZ")</f>
        <v>AZ</v>
      </c>
      <c r="K6553" t="str">
        <f>T("6022714271")</f>
        <v>6022714271</v>
      </c>
      <c r="L6553" t="str">
        <f>T("6022567941")</f>
        <v>6022567941</v>
      </c>
    </row>
    <row r="6554" spans="1:12" x14ac:dyDescent="0.35">
      <c r="A6554" t="str">
        <f t="shared" si="2516"/>
        <v>8TH MCD</v>
      </c>
      <c r="B6554" t="str">
        <f>T("1 N 1ST ST")</f>
        <v>1 N 1ST ST</v>
      </c>
      <c r="C6554" t="str">
        <f t="shared" si="2517"/>
        <v/>
      </c>
      <c r="D6554" t="str">
        <f>T("PHOENIX")</f>
        <v>PHOENIX</v>
      </c>
      <c r="E6554" t="str">
        <f>T("AZ")</f>
        <v>AZ</v>
      </c>
      <c r="F6554" t="str">
        <f>T("850042357")</f>
        <v>850042357</v>
      </c>
      <c r="G6554" t="str">
        <f>T("RS PHOENIX")</f>
        <v>RS PHOENIX</v>
      </c>
      <c r="H6554" t="str">
        <f>T("1 NORTH FIRST ST SUITE 302")</f>
        <v>1 NORTH FIRST ST SUITE 302</v>
      </c>
      <c r="I6554" t="str">
        <f>T("PHOENIX")</f>
        <v>PHOENIX</v>
      </c>
      <c r="J6554" t="str">
        <f>T("AZ")</f>
        <v>AZ</v>
      </c>
      <c r="K6554" t="str">
        <f>T("6022714271")</f>
        <v>6022714271</v>
      </c>
      <c r="L6554" t="str">
        <f>T("6022567941")</f>
        <v>6022567941</v>
      </c>
    </row>
    <row r="6555" spans="1:12" x14ac:dyDescent="0.35">
      <c r="A6555" t="str">
        <f t="shared" si="2516"/>
        <v>8TH MCD</v>
      </c>
      <c r="B6555" t="str">
        <f>T("1331 N PLANO ROAD")</f>
        <v>1331 N PLANO ROAD</v>
      </c>
      <c r="C6555" t="str">
        <f t="shared" si="2517"/>
        <v/>
      </c>
      <c r="D6555" t="str">
        <f>T("RICHARDSON")</f>
        <v>RICHARDSON</v>
      </c>
      <c r="E6555" t="str">
        <f t="shared" ref="E6555:E6560" si="2518">T("TX")</f>
        <v>TX</v>
      </c>
      <c r="F6555" t="str">
        <f>T("750812426")</f>
        <v>750812426</v>
      </c>
      <c r="G6555" t="str">
        <f>T("1331 N PLANO RD")</f>
        <v>1331 N PLANO RD</v>
      </c>
      <c r="H6555" t="str">
        <f>T("")</f>
        <v/>
      </c>
      <c r="I6555" t="str">
        <f>T("DALLAS")</f>
        <v>DALLAS</v>
      </c>
      <c r="J6555" t="str">
        <f t="shared" ref="J6555:J6560" si="2519">T("TX")</f>
        <v>TX</v>
      </c>
      <c r="K6555" t="str">
        <f>T("9722353915")</f>
        <v>9722353915</v>
      </c>
      <c r="L6555" t="str">
        <f>T("2144310316")</f>
        <v>2144310316</v>
      </c>
    </row>
    <row r="6556" spans="1:12" x14ac:dyDescent="0.35">
      <c r="A6556" t="str">
        <f t="shared" si="2516"/>
        <v>8TH MCD</v>
      </c>
      <c r="B6556" t="str">
        <f>T("1331 N PLANO ROAD")</f>
        <v>1331 N PLANO ROAD</v>
      </c>
      <c r="C6556" t="str">
        <f t="shared" si="2517"/>
        <v/>
      </c>
      <c r="D6556" t="str">
        <f>T("RICHARDSON")</f>
        <v>RICHARDSON</v>
      </c>
      <c r="E6556" t="str">
        <f t="shared" si="2518"/>
        <v>TX</v>
      </c>
      <c r="F6556" t="str">
        <f>T("750812426")</f>
        <v>750812426</v>
      </c>
      <c r="G6556" t="str">
        <f>T("1331 N PLANO ROAD")</f>
        <v>1331 N PLANO ROAD</v>
      </c>
      <c r="H6556" t="str">
        <f>T("")</f>
        <v/>
      </c>
      <c r="I6556" t="str">
        <f>T("RICHARDSON")</f>
        <v>RICHARDSON</v>
      </c>
      <c r="J6556" t="str">
        <f t="shared" si="2519"/>
        <v>TX</v>
      </c>
      <c r="K6556" t="str">
        <f>T("9722353915")</f>
        <v>9722353915</v>
      </c>
      <c r="L6556" t="str">
        <f>T("2144313413")</f>
        <v>2144313413</v>
      </c>
    </row>
    <row r="6557" spans="1:12" x14ac:dyDescent="0.35">
      <c r="A6557" t="str">
        <f t="shared" si="2516"/>
        <v>8TH MCD</v>
      </c>
      <c r="B6557" t="str">
        <f>T("1513 DESERT STORM RD")</f>
        <v>1513 DESERT STORM RD</v>
      </c>
      <c r="C6557" t="str">
        <f t="shared" si="2517"/>
        <v/>
      </c>
      <c r="D6557" t="str">
        <f>T("FORT WORTH")</f>
        <v>FORT WORTH</v>
      </c>
      <c r="E6557" t="str">
        <f t="shared" si="2518"/>
        <v>TX</v>
      </c>
      <c r="F6557" t="str">
        <f>T("761271188")</f>
        <v>761271188</v>
      </c>
      <c r="G6557" t="str">
        <f>T("1513 DESERT STORM RD")</f>
        <v>1513 DESERT STORM RD</v>
      </c>
      <c r="H6557" t="str">
        <f>T("")</f>
        <v/>
      </c>
      <c r="I6557" t="str">
        <f>T("FORT WORTH")</f>
        <v>FORT WORTH</v>
      </c>
      <c r="J6557" t="str">
        <f t="shared" si="2519"/>
        <v>TX</v>
      </c>
      <c r="K6557" t="str">
        <f>T("8177823518")</f>
        <v>8177823518</v>
      </c>
      <c r="L6557" t="str">
        <f>T("8177826758")</f>
        <v>8177826758</v>
      </c>
    </row>
    <row r="6558" spans="1:12" x14ac:dyDescent="0.35">
      <c r="A6558" t="str">
        <f t="shared" si="2516"/>
        <v>8TH MCD</v>
      </c>
      <c r="B6558" t="str">
        <f>T("1513 DESERT STORM RD")</f>
        <v>1513 DESERT STORM RD</v>
      </c>
      <c r="C6558" t="str">
        <f t="shared" si="2517"/>
        <v/>
      </c>
      <c r="D6558" t="str">
        <f>T("FORT WORTH")</f>
        <v>FORT WORTH</v>
      </c>
      <c r="E6558" t="str">
        <f t="shared" si="2518"/>
        <v>TX</v>
      </c>
      <c r="F6558" t="str">
        <f>T("761271188")</f>
        <v>761271188</v>
      </c>
      <c r="G6558" t="str">
        <f>T("1513 DESERT STORM RD")</f>
        <v>1513 DESERT STORM RD</v>
      </c>
      <c r="H6558" t="str">
        <f>T("NAS/JRB")</f>
        <v>NAS/JRB</v>
      </c>
      <c r="I6558" t="str">
        <f>T("FORT WORTH")</f>
        <v>FORT WORTH</v>
      </c>
      <c r="J6558" t="str">
        <f t="shared" si="2519"/>
        <v>TX</v>
      </c>
      <c r="K6558" t="str">
        <f>T("8177823518")</f>
        <v>8177823518</v>
      </c>
      <c r="L6558" t="str">
        <f>T("8177826735")</f>
        <v>8177826735</v>
      </c>
    </row>
    <row r="6559" spans="1:12" x14ac:dyDescent="0.35">
      <c r="A6559" t="str">
        <f t="shared" si="2516"/>
        <v>8TH MCD</v>
      </c>
      <c r="B6559" t="str">
        <f>T("1513 DESERT STORM RD")</f>
        <v>1513 DESERT STORM RD</v>
      </c>
      <c r="C6559" t="str">
        <f t="shared" si="2517"/>
        <v/>
      </c>
      <c r="D6559" t="str">
        <f>T("FORT WORTH")</f>
        <v>FORT WORTH</v>
      </c>
      <c r="E6559" t="str">
        <f t="shared" si="2518"/>
        <v>TX</v>
      </c>
      <c r="F6559" t="str">
        <f>T("761271188")</f>
        <v>761271188</v>
      </c>
      <c r="G6559" t="str">
        <f>T("1513 DESERT STORM ROAD")</f>
        <v>1513 DESERT STORM ROAD</v>
      </c>
      <c r="H6559" t="str">
        <f>T("NAVAL AIR STATION/JOINT RESERVE BASE")</f>
        <v>NAVAL AIR STATION/JOINT RESERVE BASE</v>
      </c>
      <c r="I6559" t="str">
        <f>T("FORT WORTH")</f>
        <v>FORT WORTH</v>
      </c>
      <c r="J6559" t="str">
        <f t="shared" si="2519"/>
        <v>TX</v>
      </c>
      <c r="K6559" t="str">
        <f>T("8177823518")</f>
        <v>8177823518</v>
      </c>
      <c r="L6559" t="str">
        <f>T("8177826735")</f>
        <v>8177826735</v>
      </c>
    </row>
    <row r="6560" spans="1:12" x14ac:dyDescent="0.35">
      <c r="A6560" t="str">
        <f t="shared" si="2516"/>
        <v>8TH MCD</v>
      </c>
      <c r="B6560" t="str">
        <f>T("1513 DESERT STORM RD")</f>
        <v>1513 DESERT STORM RD</v>
      </c>
      <c r="C6560" t="str">
        <f t="shared" si="2517"/>
        <v/>
      </c>
      <c r="D6560" t="str">
        <f>T("FORT WORTH")</f>
        <v>FORT WORTH</v>
      </c>
      <c r="E6560" t="str">
        <f t="shared" si="2518"/>
        <v>TX</v>
      </c>
      <c r="F6560" t="str">
        <f>T("761271188")</f>
        <v>761271188</v>
      </c>
      <c r="G6560" t="str">
        <f>T("CC ACCOUNT")</f>
        <v>CC ACCOUNT</v>
      </c>
      <c r="H6560" t="str">
        <f>T("1513 DESERT STORM RD NAS/JRB")</f>
        <v>1513 DESERT STORM RD NAS/JRB</v>
      </c>
      <c r="I6560" t="str">
        <f>T("FORT WORTH")</f>
        <v>FORT WORTH</v>
      </c>
      <c r="J6560" t="str">
        <f t="shared" si="2519"/>
        <v>TX</v>
      </c>
      <c r="K6560" t="str">
        <f>T("8177823518")</f>
        <v>8177823518</v>
      </c>
      <c r="L6560" t="str">
        <f>T("8177826735")</f>
        <v>8177826735</v>
      </c>
    </row>
    <row r="6561" spans="1:12" x14ac:dyDescent="0.35">
      <c r="A6561" t="str">
        <f t="shared" si="2516"/>
        <v>8TH MCD</v>
      </c>
      <c r="B6561" t="str">
        <f>T("301 NW 6TH ST")</f>
        <v>301 NW 6TH ST</v>
      </c>
      <c r="C6561" t="str">
        <f>T("SUITE 211")</f>
        <v>SUITE 211</v>
      </c>
      <c r="D6561" t="str">
        <f>T("OKLAHOMA CITY")</f>
        <v>OKLAHOMA CITY</v>
      </c>
      <c r="E6561" t="str">
        <f>T("OK")</f>
        <v>OK</v>
      </c>
      <c r="F6561" t="str">
        <f>T("731022809")</f>
        <v>731022809</v>
      </c>
      <c r="G6561" t="str">
        <f>T("301 NW 6TH ST")</f>
        <v>301 NW 6TH ST</v>
      </c>
      <c r="H6561" t="str">
        <f>T("SUITE 211")</f>
        <v>SUITE 211</v>
      </c>
      <c r="I6561" t="str">
        <f>T("OKLAHOMA CITY")</f>
        <v>OKLAHOMA CITY</v>
      </c>
      <c r="J6561" t="str">
        <f>T("OK")</f>
        <v>OK</v>
      </c>
      <c r="K6561" t="str">
        <f>T("4056098757")</f>
        <v>4056098757</v>
      </c>
      <c r="L6561" t="str">
        <f>T("4056098763")</f>
        <v>4056098763</v>
      </c>
    </row>
    <row r="6562" spans="1:12" x14ac:dyDescent="0.35">
      <c r="A6562" t="str">
        <f t="shared" si="2516"/>
        <v>8TH MCD</v>
      </c>
      <c r="B6562" t="str">
        <f>T("301 NW 6TH ST")</f>
        <v>301 NW 6TH ST</v>
      </c>
      <c r="C6562" t="str">
        <f>T("SUITE 211")</f>
        <v>SUITE 211</v>
      </c>
      <c r="D6562" t="str">
        <f>T("OKLAHOMA CITY")</f>
        <v>OKLAHOMA CITY</v>
      </c>
      <c r="E6562" t="str">
        <f>T("OK")</f>
        <v>OK</v>
      </c>
      <c r="F6562" t="str">
        <f>T("731022809")</f>
        <v>731022809</v>
      </c>
      <c r="G6562" t="str">
        <f>T("301 NW 6TH STREET")</f>
        <v>301 NW 6TH STREET</v>
      </c>
      <c r="H6562" t="str">
        <f>T("SUITE 211")</f>
        <v>SUITE 211</v>
      </c>
      <c r="I6562" t="str">
        <f>T("OKLAHOMA CITY")</f>
        <v>OKLAHOMA CITY</v>
      </c>
      <c r="J6562" t="str">
        <f>T("OK")</f>
        <v>OK</v>
      </c>
      <c r="K6562" t="str">
        <f>T("4056098768")</f>
        <v>4056098768</v>
      </c>
      <c r="L6562" t="str">
        <f>T("4056098770")</f>
        <v>4056098770</v>
      </c>
    </row>
    <row r="6563" spans="1:12" x14ac:dyDescent="0.35">
      <c r="A6563" t="str">
        <f t="shared" si="2516"/>
        <v>8TH MCD</v>
      </c>
      <c r="B6563" t="str">
        <f>T("301 NW 6TH ST")</f>
        <v>301 NW 6TH ST</v>
      </c>
      <c r="C6563" t="str">
        <f>T("SUITE 211")</f>
        <v>SUITE 211</v>
      </c>
      <c r="D6563" t="str">
        <f>T("OKLAHOMA CITY")</f>
        <v>OKLAHOMA CITY</v>
      </c>
      <c r="E6563" t="str">
        <f>T("OK")</f>
        <v>OK</v>
      </c>
      <c r="F6563" t="str">
        <f>T("731022809")</f>
        <v>731022809</v>
      </c>
      <c r="G6563" t="str">
        <f>T("RS OKLAHOMA CITY")</f>
        <v>RS OKLAHOMA CITY</v>
      </c>
      <c r="H6563" t="str">
        <f>T("301 N W 6TH STREET SUITE 211")</f>
        <v>301 N W 6TH STREET SUITE 211</v>
      </c>
      <c r="I6563" t="str">
        <f>T("OKLAHOMA CITY")</f>
        <v>OKLAHOMA CITY</v>
      </c>
      <c r="J6563" t="str">
        <f>T("OK")</f>
        <v>OK</v>
      </c>
      <c r="K6563" t="str">
        <f>T("4056098758")</f>
        <v>4056098758</v>
      </c>
      <c r="L6563" t="str">
        <f>T("4057612268")</f>
        <v>4057612268</v>
      </c>
    </row>
    <row r="6564" spans="1:12" x14ac:dyDescent="0.35">
      <c r="A6564" t="str">
        <f t="shared" si="2516"/>
        <v>8TH MCD</v>
      </c>
      <c r="B6564" t="str">
        <f>T("3313 WEST PIONEER PKWY")</f>
        <v>3313 WEST PIONEER PKWY</v>
      </c>
      <c r="C6564" t="str">
        <f>T("")</f>
        <v/>
      </c>
      <c r="D6564" t="str">
        <f>T("PANTEGO")</f>
        <v>PANTEGO</v>
      </c>
      <c r="E6564" t="str">
        <f>T("TX")</f>
        <v>TX</v>
      </c>
      <c r="F6564" t="str">
        <f>T("760134603")</f>
        <v>760134603</v>
      </c>
      <c r="G6564" t="str">
        <f>T("3313 WEST PIONEER PKWY")</f>
        <v>3313 WEST PIONEER PKWY</v>
      </c>
      <c r="H6564" t="str">
        <f>T("")</f>
        <v/>
      </c>
      <c r="I6564" t="str">
        <f>T("PANTEGO")</f>
        <v>PANTEGO</v>
      </c>
      <c r="J6564" t="str">
        <f>T("TX")</f>
        <v>TX</v>
      </c>
      <c r="K6564" t="str">
        <f>T("8173033414")</f>
        <v>8173033414</v>
      </c>
      <c r="L6564" t="str">
        <f>T("8013033842")</f>
        <v>8013033842</v>
      </c>
    </row>
    <row r="6565" spans="1:12" x14ac:dyDescent="0.35">
      <c r="A6565" t="str">
        <f t="shared" si="2516"/>
        <v>8TH MCD</v>
      </c>
      <c r="B6565" t="str">
        <f>T("3313 WEST PIONEER PKWY")</f>
        <v>3313 WEST PIONEER PKWY</v>
      </c>
      <c r="C6565" t="str">
        <f>T("")</f>
        <v/>
      </c>
      <c r="D6565" t="str">
        <f>T("PANTEGO")</f>
        <v>PANTEGO</v>
      </c>
      <c r="E6565" t="str">
        <f>T("TX")</f>
        <v>TX</v>
      </c>
      <c r="F6565" t="str">
        <f>T("760134603")</f>
        <v>760134603</v>
      </c>
      <c r="G6565" t="str">
        <f>T("RS FORT WORTH")</f>
        <v>RS FORT WORTH</v>
      </c>
      <c r="H6565" t="str">
        <f>T("3313 WEST PIONEER PKWY")</f>
        <v>3313 WEST PIONEER PKWY</v>
      </c>
      <c r="I6565" t="str">
        <f>T("PANTEGO")</f>
        <v>PANTEGO</v>
      </c>
      <c r="J6565" t="str">
        <f>T("TX")</f>
        <v>TX</v>
      </c>
      <c r="K6565" t="str">
        <f>T("8173033414")</f>
        <v>8173033414</v>
      </c>
      <c r="L6565" t="str">
        <f>T("8173033413")</f>
        <v>8173033413</v>
      </c>
    </row>
    <row r="6566" spans="1:12" x14ac:dyDescent="0.35">
      <c r="A6566" t="str">
        <f t="shared" si="2516"/>
        <v>8TH MCD</v>
      </c>
      <c r="B6566" t="str">
        <f>T("3313 WEST PIONEER PKWY")</f>
        <v>3313 WEST PIONEER PKWY</v>
      </c>
      <c r="C6566" t="str">
        <f>T("")</f>
        <v/>
      </c>
      <c r="D6566" t="str">
        <f>T("PANTEGO")</f>
        <v>PANTEGO</v>
      </c>
      <c r="E6566" t="str">
        <f>T("TX")</f>
        <v>TX</v>
      </c>
      <c r="F6566" t="str">
        <f>T("760134603")</f>
        <v>760134603</v>
      </c>
      <c r="G6566" t="str">
        <f>T("RS FORT WORTH 1513 DESERT STORM RD")</f>
        <v>RS FORT WORTH 1513 DESERT STORM RD</v>
      </c>
      <c r="H6566" t="str">
        <f>T("NAVAL AIR STATION/JOINT RESERVE BASE")</f>
        <v>NAVAL AIR STATION/JOINT RESERVE BASE</v>
      </c>
      <c r="I6566" t="str">
        <f>T("FORT WORTH")</f>
        <v>FORT WORTH</v>
      </c>
      <c r="J6566" t="str">
        <f>T("TX")</f>
        <v>TX</v>
      </c>
      <c r="K6566" t="str">
        <f>T("8177146392")</f>
        <v>8177146392</v>
      </c>
      <c r="L6566" t="str">
        <f>T("8173030993")</f>
        <v>8173030993</v>
      </c>
    </row>
    <row r="6567" spans="1:12" x14ac:dyDescent="0.35">
      <c r="A6567" t="str">
        <f t="shared" si="2516"/>
        <v>8TH MCD</v>
      </c>
      <c r="B6567" t="str">
        <f>T("5338 MONTGOMERY BLVD NE")</f>
        <v>5338 MONTGOMERY BLVD NE</v>
      </c>
      <c r="C6567" t="str">
        <f>T("SUITE 300")</f>
        <v>SUITE 300</v>
      </c>
      <c r="D6567" t="str">
        <f>T("ALBUQUERQUE")</f>
        <v>ALBUQUERQUE</v>
      </c>
      <c r="E6567" t="str">
        <f>T("NM")</f>
        <v>NM</v>
      </c>
      <c r="F6567" t="str">
        <f>T("871091316")</f>
        <v>871091316</v>
      </c>
      <c r="G6567" t="str">
        <f>T("5338 MONTGOMERY BLVD")</f>
        <v>5338 MONTGOMERY BLVD</v>
      </c>
      <c r="H6567" t="str">
        <f>T("STE 300")</f>
        <v>STE 300</v>
      </c>
      <c r="I6567" t="str">
        <f>T("ALBUQUERQUE")</f>
        <v>ALBUQUERQUE</v>
      </c>
      <c r="J6567" t="str">
        <f>T("NM")</f>
        <v>NM</v>
      </c>
      <c r="K6567" t="str">
        <f>T("5058169137")</f>
        <v>5058169137</v>
      </c>
      <c r="L6567" t="str">
        <f>T("5058786492")</f>
        <v>5058786492</v>
      </c>
    </row>
    <row r="6568" spans="1:12" x14ac:dyDescent="0.35">
      <c r="A6568" t="str">
        <f t="shared" si="2516"/>
        <v>8TH MCD</v>
      </c>
      <c r="B6568" t="str">
        <f>T("5338 MONTGOMERY BLVD NE")</f>
        <v>5338 MONTGOMERY BLVD NE</v>
      </c>
      <c r="C6568" t="str">
        <f>T("SUITE 300")</f>
        <v>SUITE 300</v>
      </c>
      <c r="D6568" t="str">
        <f>T("ALBUQUERQUE")</f>
        <v>ALBUQUERQUE</v>
      </c>
      <c r="E6568" t="str">
        <f>T("NM")</f>
        <v>NM</v>
      </c>
      <c r="F6568" t="str">
        <f>T("871091316")</f>
        <v>871091316</v>
      </c>
      <c r="G6568" t="str">
        <f>T("5338 MONTGOMERY BLVD NE")</f>
        <v>5338 MONTGOMERY BLVD NE</v>
      </c>
      <c r="H6568" t="str">
        <f>T("STE 300")</f>
        <v>STE 300</v>
      </c>
      <c r="I6568" t="str">
        <f>T("ALBUQUERQUE")</f>
        <v>ALBUQUERQUE</v>
      </c>
      <c r="J6568" t="str">
        <f>T("NM")</f>
        <v>NM</v>
      </c>
      <c r="K6568" t="str">
        <f>T("5058169137")</f>
        <v>5058169137</v>
      </c>
      <c r="L6568" t="str">
        <f>T("5058786492")</f>
        <v>5058786492</v>
      </c>
    </row>
    <row r="6569" spans="1:12" x14ac:dyDescent="0.35">
      <c r="A6569" t="str">
        <f t="shared" si="2516"/>
        <v>8TH MCD</v>
      </c>
      <c r="B6569" t="str">
        <f>T("5338 MONTGOMERY BLVD NE")</f>
        <v>5338 MONTGOMERY BLVD NE</v>
      </c>
      <c r="C6569" t="str">
        <f>T("SUITE 300")</f>
        <v>SUITE 300</v>
      </c>
      <c r="D6569" t="str">
        <f>T("ALBUQUERQUE")</f>
        <v>ALBUQUERQUE</v>
      </c>
      <c r="E6569" t="str">
        <f>T("NM")</f>
        <v>NM</v>
      </c>
      <c r="F6569" t="str">
        <f>T("871091316")</f>
        <v>871091316</v>
      </c>
      <c r="G6569" t="str">
        <f>T("5338 MONTGOMERY BLVD NE")</f>
        <v>5338 MONTGOMERY BLVD NE</v>
      </c>
      <c r="H6569" t="str">
        <f>T("SUITE 300")</f>
        <v>SUITE 300</v>
      </c>
      <c r="I6569" t="str">
        <f>T("ALBUQUERQUE")</f>
        <v>ALBUQUERQUE</v>
      </c>
      <c r="J6569" t="str">
        <f>T("NM")</f>
        <v>NM</v>
      </c>
      <c r="K6569" t="str">
        <f>T("5058169136")</f>
        <v>5058169136</v>
      </c>
      <c r="L6569" t="str">
        <f>T("5058786492")</f>
        <v>5058786492</v>
      </c>
    </row>
    <row r="6570" spans="1:12" x14ac:dyDescent="0.35">
      <c r="A6570" t="str">
        <f t="shared" si="2516"/>
        <v>8TH MCD</v>
      </c>
      <c r="B6570" t="str">
        <f>T("621 17TH STREET")</f>
        <v>621 17TH STREET</v>
      </c>
      <c r="C6570" t="str">
        <f>T("SUITE 304")</f>
        <v>SUITE 304</v>
      </c>
      <c r="D6570" t="str">
        <f>T("DENVER")</f>
        <v>DENVER</v>
      </c>
      <c r="E6570" t="str">
        <f>T("CO")</f>
        <v>CO</v>
      </c>
      <c r="F6570" t="str">
        <f>T("802930621")</f>
        <v>802930621</v>
      </c>
      <c r="G6570" t="str">
        <f>T("621 17TH ST, STE 304")</f>
        <v>621 17TH ST, STE 304</v>
      </c>
      <c r="H6570" t="str">
        <f>T("")</f>
        <v/>
      </c>
      <c r="I6570" t="str">
        <f>T("DENVER")</f>
        <v>DENVER</v>
      </c>
      <c r="J6570" t="str">
        <f>T("CO")</f>
        <v>CO</v>
      </c>
      <c r="K6570" t="str">
        <f>T("3038323808")</f>
        <v>3038323808</v>
      </c>
      <c r="L6570" t="str">
        <f>T("3038323713")</f>
        <v>3038323713</v>
      </c>
    </row>
    <row r="6571" spans="1:12" x14ac:dyDescent="0.35">
      <c r="A6571" t="str">
        <f t="shared" si="2516"/>
        <v>8TH MCD</v>
      </c>
      <c r="B6571" t="str">
        <f>T("621 17TH STREET")</f>
        <v>621 17TH STREET</v>
      </c>
      <c r="C6571" t="str">
        <f>T("SUITE 304")</f>
        <v>SUITE 304</v>
      </c>
      <c r="D6571" t="str">
        <f>T("DENVER")</f>
        <v>DENVER</v>
      </c>
      <c r="E6571" t="str">
        <f>T("CO")</f>
        <v>CO</v>
      </c>
      <c r="F6571" t="str">
        <f>T("802930621")</f>
        <v>802930621</v>
      </c>
      <c r="G6571" t="str">
        <f>T("621 17TH STREET")</f>
        <v>621 17TH STREET</v>
      </c>
      <c r="H6571" t="str">
        <f>T("SUITE 304")</f>
        <v>SUITE 304</v>
      </c>
      <c r="I6571" t="str">
        <f>T("DENVER")</f>
        <v>DENVER</v>
      </c>
      <c r="J6571" t="str">
        <f>T("CO")</f>
        <v>CO</v>
      </c>
      <c r="K6571" t="str">
        <f>T("3038323808")</f>
        <v>3038323808</v>
      </c>
      <c r="L6571" t="str">
        <f>T("3038323051")</f>
        <v>3038323051</v>
      </c>
    </row>
    <row r="6572" spans="1:12" x14ac:dyDescent="0.35">
      <c r="A6572" t="str">
        <f t="shared" si="2516"/>
        <v>8TH MCD</v>
      </c>
      <c r="B6572" t="str">
        <f>T("701 SAN JACINTO ST")</f>
        <v>701 SAN JACINTO ST</v>
      </c>
      <c r="C6572" t="str">
        <f>T("")</f>
        <v/>
      </c>
      <c r="D6572" t="str">
        <f>T("HOUSTON")</f>
        <v>HOUSTON</v>
      </c>
      <c r="E6572" t="str">
        <f>T("TX")</f>
        <v>TX</v>
      </c>
      <c r="F6572" t="str">
        <f>T("770023673")</f>
        <v>770023673</v>
      </c>
      <c r="G6572" t="str">
        <f>T("701 SAN JACINTO ST")</f>
        <v>701 SAN JACINTO ST</v>
      </c>
      <c r="H6572" t="str">
        <f>T("")</f>
        <v/>
      </c>
      <c r="I6572" t="str">
        <f>T("HOUSTON")</f>
        <v>HOUSTON</v>
      </c>
      <c r="J6572" t="str">
        <f>T("TX")</f>
        <v>TX</v>
      </c>
      <c r="K6572" t="str">
        <f>T("7132272535")</f>
        <v>7132272535</v>
      </c>
      <c r="L6572" t="str">
        <f>T("7138307816")</f>
        <v>7138307816</v>
      </c>
    </row>
    <row r="6573" spans="1:12" x14ac:dyDescent="0.35">
      <c r="A6573" t="str">
        <f t="shared" si="2516"/>
        <v>8TH MCD</v>
      </c>
      <c r="B6573" t="str">
        <f>T("701 SAN JACINTO ST")</f>
        <v>701 SAN JACINTO ST</v>
      </c>
      <c r="C6573" t="str">
        <f>T("")</f>
        <v/>
      </c>
      <c r="D6573" t="str">
        <f>T("HOUSTON")</f>
        <v>HOUSTON</v>
      </c>
      <c r="E6573" t="str">
        <f>T("TX")</f>
        <v>TX</v>
      </c>
      <c r="F6573" t="str">
        <f>T("770023673")</f>
        <v>770023673</v>
      </c>
      <c r="G6573" t="str">
        <f>T("701 SAN JACINTO ST")</f>
        <v>701 SAN JACINTO ST</v>
      </c>
      <c r="H6573" t="str">
        <f>T("")</f>
        <v/>
      </c>
      <c r="I6573" t="str">
        <f>T("HOUSTON")</f>
        <v>HOUSTON</v>
      </c>
      <c r="J6573" t="str">
        <f>T("TX")</f>
        <v>TX</v>
      </c>
      <c r="K6573" t="str">
        <f>T("7138304409")</f>
        <v>7138304409</v>
      </c>
      <c r="L6573" t="str">
        <f>T("7138307813")</f>
        <v>7138307813</v>
      </c>
    </row>
    <row r="6574" spans="1:12" x14ac:dyDescent="0.35">
      <c r="A6574" t="str">
        <f t="shared" si="2516"/>
        <v>8TH MCD</v>
      </c>
      <c r="B6574" t="str">
        <f>T("701 SAN JACINTO ST")</f>
        <v>701 SAN JACINTO ST</v>
      </c>
      <c r="C6574" t="str">
        <f>T("")</f>
        <v/>
      </c>
      <c r="D6574" t="str">
        <f>T("HOUSTON")</f>
        <v>HOUSTON</v>
      </c>
      <c r="E6574" t="str">
        <f>T("TX")</f>
        <v>TX</v>
      </c>
      <c r="F6574" t="str">
        <f>T("770023673")</f>
        <v>770023673</v>
      </c>
      <c r="G6574" t="str">
        <f>T("RS HOUSTON")</f>
        <v>RS HOUSTON</v>
      </c>
      <c r="H6574" t="str">
        <f>T("701 SAN JACINTO STREET")</f>
        <v>701 SAN JACINTO STREET</v>
      </c>
      <c r="I6574" t="str">
        <f>T("HOUSTON")</f>
        <v>HOUSTON</v>
      </c>
      <c r="J6574" t="str">
        <f>T("TX")</f>
        <v>TX</v>
      </c>
      <c r="K6574" t="str">
        <f>T("7137184409")</f>
        <v>7137184409</v>
      </c>
      <c r="L6574" t="str">
        <f>T("7138307817")</f>
        <v>7138307817</v>
      </c>
    </row>
    <row r="6575" spans="1:12" x14ac:dyDescent="0.35">
      <c r="A6575" t="str">
        <f t="shared" si="2516"/>
        <v>8TH MCD</v>
      </c>
      <c r="B6575" t="str">
        <f>T("8700 TESORO DR")</f>
        <v>8700 TESORO DR</v>
      </c>
      <c r="C6575" t="str">
        <f>T("STE 275")</f>
        <v>STE 275</v>
      </c>
      <c r="D6575" t="str">
        <f>T("SAN ANTONIO")</f>
        <v>SAN ANTONIO</v>
      </c>
      <c r="E6575" t="str">
        <f>T("TX")</f>
        <v>TX</v>
      </c>
      <c r="F6575" t="str">
        <f>T("782176243")</f>
        <v>782176243</v>
      </c>
      <c r="G6575" t="str">
        <f>T("8700 TESORO DR")</f>
        <v>8700 TESORO DR</v>
      </c>
      <c r="H6575" t="str">
        <f>T("STE 275")</f>
        <v>STE 275</v>
      </c>
      <c r="I6575" t="str">
        <f>T("SAN ANTONIO")</f>
        <v>SAN ANTONIO</v>
      </c>
      <c r="J6575" t="str">
        <f>T("TX")</f>
        <v>TX</v>
      </c>
      <c r="K6575" t="str">
        <f>T("2102836271")</f>
        <v>2102836271</v>
      </c>
      <c r="L6575" t="str">
        <f>T("2102836278")</f>
        <v>2102836278</v>
      </c>
    </row>
    <row r="6576" spans="1:12" x14ac:dyDescent="0.35">
      <c r="A6576" t="str">
        <f t="shared" si="2516"/>
        <v>8TH MCD</v>
      </c>
      <c r="B6576" t="str">
        <f>T("8700 TESORO DR")</f>
        <v>8700 TESORO DR</v>
      </c>
      <c r="C6576" t="str">
        <f>T("STE 275")</f>
        <v>STE 275</v>
      </c>
      <c r="D6576" t="str">
        <f>T("SAN ANTONIO")</f>
        <v>SAN ANTONIO</v>
      </c>
      <c r="E6576" t="str">
        <f>T("TX")</f>
        <v>TX</v>
      </c>
      <c r="F6576" t="str">
        <f>T("782176243")</f>
        <v>782176243</v>
      </c>
      <c r="G6576" t="str">
        <f>T("RS SAN ANTONIO")</f>
        <v>RS SAN ANTONIO</v>
      </c>
      <c r="H6576" t="str">
        <f>T("8700 TESORO DR SUITE 275")</f>
        <v>8700 TESORO DR SUITE 275</v>
      </c>
      <c r="I6576" t="str">
        <f>T("SAN ANTONIO")</f>
        <v>SAN ANTONIO</v>
      </c>
      <c r="J6576" t="str">
        <f>T("TX")</f>
        <v>TX</v>
      </c>
      <c r="K6576" t="str">
        <f>T("2102836271")</f>
        <v>2102836271</v>
      </c>
      <c r="L6576" t="str">
        <f>T("2102836278")</f>
        <v>2102836278</v>
      </c>
    </row>
    <row r="6577" spans="1:12" x14ac:dyDescent="0.35">
      <c r="A6577" t="str">
        <f t="shared" si="2516"/>
        <v>8TH MCD</v>
      </c>
      <c r="B6577" t="str">
        <f>T("8THMCD RS SALT LAKE CITY")</f>
        <v>8THMCD RS SALT LAKE CITY</v>
      </c>
      <c r="C6577" t="str">
        <f>T("309 W 2880 SOUTH")</f>
        <v>309 W 2880 SOUTH</v>
      </c>
      <c r="D6577" t="str">
        <f>T("SALT LAKE CITY")</f>
        <v>SALT LAKE CITY</v>
      </c>
      <c r="E6577" t="str">
        <f>T("UT")</f>
        <v>UT</v>
      </c>
      <c r="F6577" t="str">
        <f>T("841153460")</f>
        <v>841153460</v>
      </c>
      <c r="G6577" t="str">
        <f>T("8THMCD RS SALT LAKE CITY")</f>
        <v>8THMCD RS SALT LAKE CITY</v>
      </c>
      <c r="H6577" t="str">
        <f>T("309 W 2880 SOUTH")</f>
        <v>309 W 2880 SOUTH</v>
      </c>
      <c r="I6577" t="str">
        <f>T("SALT LAKE CITY")</f>
        <v>SALT LAKE CITY</v>
      </c>
      <c r="J6577" t="str">
        <f>T("UT")</f>
        <v>UT</v>
      </c>
      <c r="K6577" t="str">
        <f>T("000000000000000000")</f>
        <v>000000000000000000</v>
      </c>
      <c r="L6577" t="str">
        <f>T("8019540401")</f>
        <v>8019540401</v>
      </c>
    </row>
    <row r="6578" spans="1:12" x14ac:dyDescent="0.35">
      <c r="A6578" t="str">
        <f t="shared" si="2516"/>
        <v>8TH MCD</v>
      </c>
      <c r="B6578" t="str">
        <f>T("8THMCD RS SALT LAKE CITY")</f>
        <v>8THMCD RS SALT LAKE CITY</v>
      </c>
      <c r="C6578" t="str">
        <f>T("309 W 2880 SOUTH")</f>
        <v>309 W 2880 SOUTH</v>
      </c>
      <c r="D6578" t="str">
        <f>T("SALT LAKE CITY")</f>
        <v>SALT LAKE CITY</v>
      </c>
      <c r="E6578" t="str">
        <f>T("UT")</f>
        <v>UT</v>
      </c>
      <c r="F6578" t="str">
        <f>T("841153460")</f>
        <v>841153460</v>
      </c>
      <c r="G6578" t="str">
        <f>T("RS SALT LAKE CITY")</f>
        <v>RS SALT LAKE CITY</v>
      </c>
      <c r="H6578" t="str">
        <f>T("309 WEST 2880 S")</f>
        <v>309 WEST 2880 S</v>
      </c>
      <c r="I6578" t="str">
        <f>T("SALT LAKE CITY")</f>
        <v>SALT LAKE CITY</v>
      </c>
      <c r="J6578" t="str">
        <f>T("UT")</f>
        <v>UT</v>
      </c>
      <c r="K6578" t="str">
        <f>T("8019540407")</f>
        <v>8019540407</v>
      </c>
      <c r="L6578" t="str">
        <f>T("8019540415")</f>
        <v>8019540415</v>
      </c>
    </row>
    <row r="6579" spans="1:12" x14ac:dyDescent="0.35">
      <c r="A6579" t="str">
        <f t="shared" ref="A6579:A6613" si="2520">T("9TH MCD")</f>
        <v>9TH MCD</v>
      </c>
      <c r="B6579" t="str">
        <f>T("1 FEDERAL DR")</f>
        <v>1 FEDERAL DR</v>
      </c>
      <c r="C6579" t="str">
        <f>T("RM G473")</f>
        <v>RM G473</v>
      </c>
      <c r="D6579" t="str">
        <f>T("FT SNELLING")</f>
        <v>FT SNELLING</v>
      </c>
      <c r="E6579" t="str">
        <f>T("MN")</f>
        <v>MN</v>
      </c>
      <c r="F6579" t="str">
        <f>T("551112201")</f>
        <v>551112201</v>
      </c>
      <c r="G6579" t="str">
        <f>T("1 FEDERAL DR")</f>
        <v>1 FEDERAL DR</v>
      </c>
      <c r="H6579" t="str">
        <f>T("RM G473")</f>
        <v>RM G473</v>
      </c>
      <c r="I6579" t="str">
        <f>T("FT SNELLING")</f>
        <v>FT SNELLING</v>
      </c>
      <c r="J6579" t="str">
        <f>T("MN")</f>
        <v>MN</v>
      </c>
      <c r="K6579" t="str">
        <f>T("6127253232")</f>
        <v>6127253232</v>
      </c>
      <c r="L6579" t="str">
        <f>T("6127523198")</f>
        <v>6127523198</v>
      </c>
    </row>
    <row r="6580" spans="1:12" x14ac:dyDescent="0.35">
      <c r="A6580" t="str">
        <f t="shared" si="2520"/>
        <v>9TH MCD</v>
      </c>
      <c r="B6580" t="str">
        <f>T("1 FEDERAL DR")</f>
        <v>1 FEDERAL DR</v>
      </c>
      <c r="C6580" t="str">
        <f>T("RM G473")</f>
        <v>RM G473</v>
      </c>
      <c r="D6580" t="str">
        <f>T("FT SNELLING")</f>
        <v>FT SNELLING</v>
      </c>
      <c r="E6580" t="str">
        <f>T("MN")</f>
        <v>MN</v>
      </c>
      <c r="F6580" t="str">
        <f>T("551112201")</f>
        <v>551112201</v>
      </c>
      <c r="G6580" t="str">
        <f>T("5600 AMERICAN BLVD W")</f>
        <v>5600 AMERICAN BLVD W</v>
      </c>
      <c r="H6580" t="str">
        <f>T("SUITE 280")</f>
        <v>SUITE 280</v>
      </c>
      <c r="I6580" t="str">
        <f>T("BLOOMINGTON")</f>
        <v>BLOOMINGTON</v>
      </c>
      <c r="J6580" t="str">
        <f>T("MO")</f>
        <v>MO</v>
      </c>
      <c r="K6580" t="str">
        <f>T("6127253231")</f>
        <v>6127253231</v>
      </c>
      <c r="L6580" t="str">
        <f>T("6127253231")</f>
        <v>6127253231</v>
      </c>
    </row>
    <row r="6581" spans="1:12" x14ac:dyDescent="0.35">
      <c r="A6581" t="str">
        <f t="shared" si="2520"/>
        <v>9TH MCD</v>
      </c>
      <c r="B6581" t="str">
        <f>T("1 FEDERAL DR")</f>
        <v>1 FEDERAL DR</v>
      </c>
      <c r="C6581" t="str">
        <f>T("RM G473")</f>
        <v>RM G473</v>
      </c>
      <c r="D6581" t="str">
        <f>T("FT SNELLING")</f>
        <v>FT SNELLING</v>
      </c>
      <c r="E6581" t="str">
        <f>T("MN")</f>
        <v>MN</v>
      </c>
      <c r="F6581" t="str">
        <f>T("551112201")</f>
        <v>551112201</v>
      </c>
      <c r="G6581" t="str">
        <f>T("RS TWIN CITIES")</f>
        <v>RS TWIN CITIES</v>
      </c>
      <c r="H6581" t="str">
        <f>T("1 FEDERAL DRIVE RM G473")</f>
        <v>1 FEDERAL DRIVE RM G473</v>
      </c>
      <c r="I6581" t="str">
        <f>T("FORT SNELLING")</f>
        <v>FORT SNELLING</v>
      </c>
      <c r="J6581" t="str">
        <f>T("MN")</f>
        <v>MN</v>
      </c>
      <c r="K6581" t="str">
        <f>T("000000000000000000")</f>
        <v>000000000000000000</v>
      </c>
      <c r="L6581" t="str">
        <f>T("6127253231")</f>
        <v>6127253231</v>
      </c>
    </row>
    <row r="6582" spans="1:12" x14ac:dyDescent="0.35">
      <c r="A6582" t="str">
        <f t="shared" si="2520"/>
        <v>9TH MCD</v>
      </c>
      <c r="B6582" t="str">
        <f>T("1 FEDERAL DR")</f>
        <v>1 FEDERAL DR</v>
      </c>
      <c r="C6582" t="str">
        <f>T("RM G473")</f>
        <v>RM G473</v>
      </c>
      <c r="D6582" t="str">
        <f>T("FT SNELLING")</f>
        <v>FT SNELLING</v>
      </c>
      <c r="E6582" t="str">
        <f>T("MN")</f>
        <v>MN</v>
      </c>
      <c r="F6582" t="str">
        <f>T("551112201")</f>
        <v>551112201</v>
      </c>
      <c r="G6582" t="str">
        <f>T("RS TWIN CITIES B H W FEDERAL BLDG")</f>
        <v>RS TWIN CITIES B H W FEDERAL BLDG</v>
      </c>
      <c r="H6582" t="str">
        <f>T("1 FEDERAL DRIVE RM G473")</f>
        <v>1 FEDERAL DRIVE RM G473</v>
      </c>
      <c r="I6582" t="str">
        <f>T("FORT SNELLING")</f>
        <v>FORT SNELLING</v>
      </c>
      <c r="J6582" t="str">
        <f>T("MN")</f>
        <v>MN</v>
      </c>
      <c r="K6582" t="str">
        <f>T("000000000000000000")</f>
        <v>000000000000000000</v>
      </c>
      <c r="L6582" t="str">
        <f>T("6127253229")</f>
        <v>6127253229</v>
      </c>
    </row>
    <row r="6583" spans="1:12" x14ac:dyDescent="0.35">
      <c r="A6583" t="str">
        <f t="shared" si="2520"/>
        <v>9TH MCD</v>
      </c>
      <c r="B6583" t="str">
        <f>T("10302 NW PRAIRIE VW RD")</f>
        <v>10302 NW PRAIRIE VW RD</v>
      </c>
      <c r="C6583" t="str">
        <f>T("")</f>
        <v/>
      </c>
      <c r="D6583" t="str">
        <f>T("KANSAS CITY")</f>
        <v>KANSAS CITY</v>
      </c>
      <c r="E6583" t="str">
        <f>T("MO")</f>
        <v>MO</v>
      </c>
      <c r="F6583" t="str">
        <f>T("641531301")</f>
        <v>641531301</v>
      </c>
      <c r="G6583" t="str">
        <f>T("10302 NW PRAIRIE VW RD")</f>
        <v>10302 NW PRAIRIE VW RD</v>
      </c>
      <c r="H6583" t="str">
        <f>T("")</f>
        <v/>
      </c>
      <c r="I6583" t="str">
        <f>T("KANSAS CITY")</f>
        <v>KANSAS CITY</v>
      </c>
      <c r="J6583" t="str">
        <f>T("MO")</f>
        <v>MO</v>
      </c>
      <c r="K6583" t="str">
        <f>T("8168916432")</f>
        <v>8168916432</v>
      </c>
      <c r="L6583" t="str">
        <f>T("8168910969")</f>
        <v>8168910969</v>
      </c>
    </row>
    <row r="6584" spans="1:12" x14ac:dyDescent="0.35">
      <c r="A6584" t="str">
        <f t="shared" si="2520"/>
        <v>9TH MCD</v>
      </c>
      <c r="B6584" t="str">
        <f>T("10302 NW PRAIRIE VW RD")</f>
        <v>10302 NW PRAIRIE VW RD</v>
      </c>
      <c r="C6584" t="str">
        <f>T("")</f>
        <v/>
      </c>
      <c r="D6584" t="str">
        <f>T("KANSAS CITY")</f>
        <v>KANSAS CITY</v>
      </c>
      <c r="E6584" t="str">
        <f>T("MO")</f>
        <v>MO</v>
      </c>
      <c r="F6584" t="str">
        <f>T("641531301")</f>
        <v>641531301</v>
      </c>
      <c r="G6584" t="str">
        <f>T("RS KANSAS CITY")</f>
        <v>RS KANSAS CITY</v>
      </c>
      <c r="H6584" t="str">
        <f>T("10302 NW PR VW RD")</f>
        <v>10302 NW PR VW RD</v>
      </c>
      <c r="I6584" t="str">
        <f>T("KANSAS CITY")</f>
        <v>KANSAS CITY</v>
      </c>
      <c r="J6584" t="str">
        <f>T("MO")</f>
        <v>MO</v>
      </c>
      <c r="K6584" t="str">
        <f>T("8168916432")</f>
        <v>8168916432</v>
      </c>
      <c r="L6584" t="str">
        <f>T("8168910942")</f>
        <v>8168910942</v>
      </c>
    </row>
    <row r="6585" spans="1:12" x14ac:dyDescent="0.35">
      <c r="A6585" t="str">
        <f t="shared" si="2520"/>
        <v>9TH MCD</v>
      </c>
      <c r="B6585" t="str">
        <f>T("10302 NW PRAIRIE VW RD")</f>
        <v>10302 NW PRAIRIE VW RD</v>
      </c>
      <c r="C6585" t="str">
        <f>T("")</f>
        <v/>
      </c>
      <c r="D6585" t="str">
        <f>T("KANSAS CITY")</f>
        <v>KANSAS CITY</v>
      </c>
      <c r="E6585" t="str">
        <f>T("MO")</f>
        <v>MO</v>
      </c>
      <c r="F6585" t="str">
        <f>T("641531301")</f>
        <v>641531301</v>
      </c>
      <c r="G6585" t="str">
        <f>T("RS KANSAS CITY")</f>
        <v>RS KANSAS CITY</v>
      </c>
      <c r="H6585" t="str">
        <f>T("10302 NW PRAIRIE VIEW RD")</f>
        <v>10302 NW PRAIRIE VIEW RD</v>
      </c>
      <c r="I6585" t="str">
        <f>T("KANSAS CITY")</f>
        <v>KANSAS CITY</v>
      </c>
      <c r="J6585" t="str">
        <f>T("MO")</f>
        <v>MO</v>
      </c>
      <c r="K6585" t="str">
        <f>T("8168916432")</f>
        <v>8168916432</v>
      </c>
      <c r="L6585" t="str">
        <f>T("8168910635")</f>
        <v>8168910635</v>
      </c>
    </row>
    <row r="6586" spans="1:12" x14ac:dyDescent="0.35">
      <c r="A6586" t="str">
        <f t="shared" si="2520"/>
        <v>9TH MCD</v>
      </c>
      <c r="B6586" t="str">
        <f>T("11050 WEST LIBERTY DR")</f>
        <v>11050 WEST LIBERTY DR</v>
      </c>
      <c r="C6586" t="str">
        <f>T("STE 110")</f>
        <v>STE 110</v>
      </c>
      <c r="D6586" t="str">
        <f>T("MILWAUKEE")</f>
        <v>MILWAUKEE</v>
      </c>
      <c r="E6586" t="str">
        <f>T("WI")</f>
        <v>WI</v>
      </c>
      <c r="F6586" t="str">
        <f>T("532243630")</f>
        <v>532243630</v>
      </c>
      <c r="G6586" t="str">
        <f>T("11050 WEST LIBERTY DR")</f>
        <v>11050 WEST LIBERTY DR</v>
      </c>
      <c r="H6586" t="str">
        <f>T("STE 110")</f>
        <v>STE 110</v>
      </c>
      <c r="I6586" t="str">
        <f>T("MILWAUKEE")</f>
        <v>MILWAUKEE</v>
      </c>
      <c r="J6586" t="str">
        <f>T("WI")</f>
        <v>WI</v>
      </c>
      <c r="K6586" t="str">
        <f>T("4144340485")</f>
        <v>4144340485</v>
      </c>
      <c r="L6586" t="str">
        <f>T("4144340482")</f>
        <v>4144340482</v>
      </c>
    </row>
    <row r="6587" spans="1:12" x14ac:dyDescent="0.35">
      <c r="A6587" t="str">
        <f t="shared" si="2520"/>
        <v>9TH MCD</v>
      </c>
      <c r="B6587" t="str">
        <f>T("11050 WEST LIBERTY DR")</f>
        <v>11050 WEST LIBERTY DR</v>
      </c>
      <c r="C6587" t="str">
        <f>T("STE 110")</f>
        <v>STE 110</v>
      </c>
      <c r="D6587" t="str">
        <f>T("MILWAUKEE")</f>
        <v>MILWAUKEE</v>
      </c>
      <c r="E6587" t="str">
        <f>T("WI")</f>
        <v>WI</v>
      </c>
      <c r="F6587" t="str">
        <f>T("532243630")</f>
        <v>532243630</v>
      </c>
      <c r="G6587" t="str">
        <f>T("RS MILWAUKEE")</f>
        <v>RS MILWAUKEE</v>
      </c>
      <c r="H6587" t="str">
        <f>T("11050 WEST LIBERTY DRIVE")</f>
        <v>11050 WEST LIBERTY DRIVE</v>
      </c>
      <c r="I6587" t="str">
        <f>T("MILWAUKEE")</f>
        <v>MILWAUKEE</v>
      </c>
      <c r="J6587" t="str">
        <f>T("WI")</f>
        <v>WI</v>
      </c>
      <c r="K6587" t="str">
        <f>T("000000000000000000")</f>
        <v>000000000000000000</v>
      </c>
      <c r="L6587" t="str">
        <f>T("4144340416")</f>
        <v>4144340416</v>
      </c>
    </row>
    <row r="6588" spans="1:12" x14ac:dyDescent="0.35">
      <c r="A6588" t="str">
        <f t="shared" si="2520"/>
        <v>9TH MCD</v>
      </c>
      <c r="B6588" t="str">
        <f>T("11050 WEST LIBERTY DR")</f>
        <v>11050 WEST LIBERTY DR</v>
      </c>
      <c r="C6588" t="str">
        <f>T("STE 110")</f>
        <v>STE 110</v>
      </c>
      <c r="D6588" t="str">
        <f>T("MILWAUKEE")</f>
        <v>MILWAUKEE</v>
      </c>
      <c r="E6588" t="str">
        <f>T("WI")</f>
        <v>WI</v>
      </c>
      <c r="F6588" t="str">
        <f>T("532243630")</f>
        <v>532243630</v>
      </c>
      <c r="G6588" t="str">
        <f>T("RS MILWAUKEE")</f>
        <v>RS MILWAUKEE</v>
      </c>
      <c r="H6588" t="str">
        <f>T("11050 WEST LIBERTY DRIVE SUITE 110")</f>
        <v>11050 WEST LIBERTY DRIVE SUITE 110</v>
      </c>
      <c r="I6588" t="str">
        <f>T("MILWAUKEE")</f>
        <v>MILWAUKEE</v>
      </c>
      <c r="J6588" t="str">
        <f>T("WI")</f>
        <v>WI</v>
      </c>
      <c r="K6588" t="str">
        <f>T("4144340472")</f>
        <v>4144340472</v>
      </c>
      <c r="L6588" t="str">
        <f>T("4144340471")</f>
        <v>4144340471</v>
      </c>
    </row>
    <row r="6589" spans="1:12" x14ac:dyDescent="0.35">
      <c r="A6589" t="str">
        <f t="shared" si="2520"/>
        <v>9TH MCD</v>
      </c>
      <c r="B6589" t="str">
        <f>T("1222 SPRUCE ST STE 10311")</f>
        <v>1222 SPRUCE ST STE 10311</v>
      </c>
      <c r="C6589" t="str">
        <f>T("")</f>
        <v/>
      </c>
      <c r="D6589" t="str">
        <f>T("SAINT LOUIS")</f>
        <v>SAINT LOUIS</v>
      </c>
      <c r="E6589" t="str">
        <f>T("MO")</f>
        <v>MO</v>
      </c>
      <c r="F6589" t="str">
        <f>T("631032818")</f>
        <v>631032818</v>
      </c>
      <c r="G6589" t="str">
        <f>T("1222 SPRUCE ST STE 10311")</f>
        <v>1222 SPRUCE ST STE 10311</v>
      </c>
      <c r="H6589" t="str">
        <f>T("")</f>
        <v/>
      </c>
      <c r="I6589" t="str">
        <f>T("SAINT LOUIS")</f>
        <v>SAINT LOUIS</v>
      </c>
      <c r="J6589" t="str">
        <f>T("MO")</f>
        <v>MO</v>
      </c>
      <c r="K6589" t="str">
        <f>T("3143314549")</f>
        <v>3143314549</v>
      </c>
      <c r="L6589" t="str">
        <f>T("1111111111")</f>
        <v>1111111111</v>
      </c>
    </row>
    <row r="6590" spans="1:12" x14ac:dyDescent="0.35">
      <c r="A6590" t="str">
        <f t="shared" si="2520"/>
        <v>9TH MCD</v>
      </c>
      <c r="B6590" t="str">
        <f>T("1222 SPRUCE ST STE 10311")</f>
        <v>1222 SPRUCE ST STE 10311</v>
      </c>
      <c r="C6590" t="str">
        <f>T("")</f>
        <v/>
      </c>
      <c r="D6590" t="str">
        <f>T("SAINT LOUIS")</f>
        <v>SAINT LOUIS</v>
      </c>
      <c r="E6590" t="str">
        <f>T("MO")</f>
        <v>MO</v>
      </c>
      <c r="F6590" t="str">
        <f>T("631032818")</f>
        <v>631032818</v>
      </c>
      <c r="G6590" t="str">
        <f>T("RS ST LOUIS")</f>
        <v>RS ST LOUIS</v>
      </c>
      <c r="H6590" t="str">
        <f>T("1222 SPRUCE ST SUITE 10")</f>
        <v>1222 SPRUCE ST SUITE 10</v>
      </c>
      <c r="I6590" t="str">
        <f>T("SAINT LOUIS")</f>
        <v>SAINT LOUIS</v>
      </c>
      <c r="J6590" t="str">
        <f>T("MO")</f>
        <v>MO</v>
      </c>
      <c r="K6590" t="str">
        <f>T("3143314549")</f>
        <v>3143314549</v>
      </c>
      <c r="L6590" t="str">
        <f>T("3143314563")</f>
        <v>3143314563</v>
      </c>
    </row>
    <row r="6591" spans="1:12" x14ac:dyDescent="0.35">
      <c r="A6591" t="str">
        <f t="shared" si="2520"/>
        <v>9TH MCD</v>
      </c>
      <c r="B6591" t="str">
        <f>T("1222 SPRUCE ST STE 10311")</f>
        <v>1222 SPRUCE ST STE 10311</v>
      </c>
      <c r="C6591" t="str">
        <f>T("")</f>
        <v/>
      </c>
      <c r="D6591" t="str">
        <f>T("SAINT LOUIS")</f>
        <v>SAINT LOUIS</v>
      </c>
      <c r="E6591" t="str">
        <f>T("MO")</f>
        <v>MO</v>
      </c>
      <c r="F6591" t="str">
        <f>T("631032818")</f>
        <v>631032818</v>
      </c>
      <c r="G6591" t="str">
        <f>T("RS ST LOUIS")</f>
        <v>RS ST LOUIS</v>
      </c>
      <c r="H6591" t="str">
        <f>T("1222 SPRUSE ST SUITE 10 311")</f>
        <v>1222 SPRUSE ST SUITE 10 311</v>
      </c>
      <c r="I6591" t="str">
        <f>T("ST LOUIS")</f>
        <v>ST LOUIS</v>
      </c>
      <c r="J6591" t="str">
        <f>T("MO")</f>
        <v>MO</v>
      </c>
      <c r="K6591" t="str">
        <f>T("000000000000000000")</f>
        <v>000000000000000000</v>
      </c>
      <c r="L6591" t="str">
        <f>T("3143314558")</f>
        <v>3143314558</v>
      </c>
    </row>
    <row r="6592" spans="1:12" x14ac:dyDescent="0.35">
      <c r="A6592" t="str">
        <f t="shared" si="2520"/>
        <v>9TH MCD</v>
      </c>
      <c r="B6592" t="str">
        <f t="shared" ref="B6592:B6598" si="2521">T("2223 LUCE BLVD")</f>
        <v>2223 LUCE BLVD</v>
      </c>
      <c r="C6592" t="str">
        <f t="shared" ref="C6592:C6598" si="2522">T("BLDG 523")</f>
        <v>BLDG 523</v>
      </c>
      <c r="D6592" t="str">
        <f t="shared" ref="D6592:D6598" si="2523">T("GREAT LAKES")</f>
        <v>GREAT LAKES</v>
      </c>
      <c r="E6592" t="str">
        <f t="shared" ref="E6592:E6601" si="2524">T("IL")</f>
        <v>IL</v>
      </c>
      <c r="F6592" t="str">
        <f t="shared" ref="F6592:F6598" si="2525">T("600880000")</f>
        <v>600880000</v>
      </c>
      <c r="G6592" t="str">
        <f>T("2205 DEPOT DR BLDG 3200 SUITE 136")</f>
        <v>2205 DEPOT DR BLDG 3200 SUITE 136</v>
      </c>
      <c r="H6592" t="str">
        <f>T("")</f>
        <v/>
      </c>
      <c r="I6592" t="str">
        <f t="shared" ref="I6592:I6598" si="2526">T("GREAT LAKES")</f>
        <v>GREAT LAKES</v>
      </c>
      <c r="J6592" t="str">
        <f t="shared" ref="J6592:J6601" si="2527">T("IL")</f>
        <v>IL</v>
      </c>
      <c r="K6592" t="str">
        <f>T("8476886528")</f>
        <v>8476886528</v>
      </c>
      <c r="L6592" t="str">
        <f>T("8476886500")</f>
        <v>8476886500</v>
      </c>
    </row>
    <row r="6593" spans="1:12" x14ac:dyDescent="0.35">
      <c r="A6593" t="str">
        <f t="shared" si="2520"/>
        <v>9TH MCD</v>
      </c>
      <c r="B6593" t="str">
        <f t="shared" si="2521"/>
        <v>2223 LUCE BLVD</v>
      </c>
      <c r="C6593" t="str">
        <f t="shared" si="2522"/>
        <v>BLDG 523</v>
      </c>
      <c r="D6593" t="str">
        <f t="shared" si="2523"/>
        <v>GREAT LAKES</v>
      </c>
      <c r="E6593" t="str">
        <f t="shared" si="2524"/>
        <v>IL</v>
      </c>
      <c r="F6593" t="str">
        <f t="shared" si="2525"/>
        <v>600880000</v>
      </c>
      <c r="G6593" t="str">
        <f>T("2223 LUCE BLVD")</f>
        <v>2223 LUCE BLVD</v>
      </c>
      <c r="H6593" t="str">
        <f>T("BLDG 523")</f>
        <v>BLDG 523</v>
      </c>
      <c r="I6593" t="str">
        <f t="shared" si="2526"/>
        <v>GREAT LAKES</v>
      </c>
      <c r="J6593" t="str">
        <f t="shared" si="2527"/>
        <v>IL</v>
      </c>
      <c r="K6593" t="str">
        <f>T("")</f>
        <v/>
      </c>
      <c r="L6593" t="str">
        <f>T("8478878329")</f>
        <v>8478878329</v>
      </c>
    </row>
    <row r="6594" spans="1:12" x14ac:dyDescent="0.35">
      <c r="A6594" t="str">
        <f t="shared" si="2520"/>
        <v>9TH MCD</v>
      </c>
      <c r="B6594" t="str">
        <f t="shared" si="2521"/>
        <v>2223 LUCE BLVD</v>
      </c>
      <c r="C6594" t="str">
        <f t="shared" si="2522"/>
        <v>BLDG 523</v>
      </c>
      <c r="D6594" t="str">
        <f t="shared" si="2523"/>
        <v>GREAT LAKES</v>
      </c>
      <c r="E6594" t="str">
        <f t="shared" si="2524"/>
        <v>IL</v>
      </c>
      <c r="F6594" t="str">
        <f t="shared" si="2525"/>
        <v>600880000</v>
      </c>
      <c r="G6594" t="str">
        <f>T("2223 LUCE BLVD")</f>
        <v>2223 LUCE BLVD</v>
      </c>
      <c r="H6594" t="str">
        <f>T("BLDG 523")</f>
        <v>BLDG 523</v>
      </c>
      <c r="I6594" t="str">
        <f t="shared" si="2526"/>
        <v>GREAT LAKES</v>
      </c>
      <c r="J6594" t="str">
        <f t="shared" si="2527"/>
        <v>IL</v>
      </c>
      <c r="K6594" t="str">
        <f>T("000000000000000000")</f>
        <v>000000000000000000</v>
      </c>
      <c r="L6594" t="str">
        <f>T("8478878339")</f>
        <v>8478878339</v>
      </c>
    </row>
    <row r="6595" spans="1:12" x14ac:dyDescent="0.35">
      <c r="A6595" t="str">
        <f t="shared" si="2520"/>
        <v>9TH MCD</v>
      </c>
      <c r="B6595" t="str">
        <f t="shared" si="2521"/>
        <v>2223 LUCE BLVD</v>
      </c>
      <c r="C6595" t="str">
        <f t="shared" si="2522"/>
        <v>BLDG 523</v>
      </c>
      <c r="D6595" t="str">
        <f t="shared" si="2523"/>
        <v>GREAT LAKES</v>
      </c>
      <c r="E6595" t="str">
        <f t="shared" si="2524"/>
        <v>IL</v>
      </c>
      <c r="F6595" t="str">
        <f t="shared" si="2525"/>
        <v>600880000</v>
      </c>
      <c r="G6595" t="str">
        <f>T("2223 LUCE BLVD")</f>
        <v>2223 LUCE BLVD</v>
      </c>
      <c r="H6595" t="str">
        <f>T("BLDG 523")</f>
        <v>BLDG 523</v>
      </c>
      <c r="I6595" t="str">
        <f t="shared" si="2526"/>
        <v>GREAT LAKES</v>
      </c>
      <c r="J6595" t="str">
        <f t="shared" si="2527"/>
        <v>IL</v>
      </c>
      <c r="K6595" t="str">
        <f>T("8476886508")</f>
        <v>8476886508</v>
      </c>
      <c r="L6595" t="str">
        <f>T("8478878341")</f>
        <v>8478878341</v>
      </c>
    </row>
    <row r="6596" spans="1:12" x14ac:dyDescent="0.35">
      <c r="A6596" t="str">
        <f t="shared" si="2520"/>
        <v>9TH MCD</v>
      </c>
      <c r="B6596" t="str">
        <f t="shared" si="2521"/>
        <v>2223 LUCE BLVD</v>
      </c>
      <c r="C6596" t="str">
        <f t="shared" si="2522"/>
        <v>BLDG 523</v>
      </c>
      <c r="D6596" t="str">
        <f t="shared" si="2523"/>
        <v>GREAT LAKES</v>
      </c>
      <c r="E6596" t="str">
        <f t="shared" si="2524"/>
        <v>IL</v>
      </c>
      <c r="F6596" t="str">
        <f t="shared" si="2525"/>
        <v>600880000</v>
      </c>
      <c r="G6596" t="str">
        <f>T("2223 LUCE BLVD")</f>
        <v>2223 LUCE BLVD</v>
      </c>
      <c r="H6596" t="str">
        <f>T("BLDG 523")</f>
        <v>BLDG 523</v>
      </c>
      <c r="I6596" t="str">
        <f t="shared" si="2526"/>
        <v>GREAT LAKES</v>
      </c>
      <c r="J6596" t="str">
        <f t="shared" si="2527"/>
        <v>IL</v>
      </c>
      <c r="K6596" t="str">
        <f>T("8478878330")</f>
        <v>8478878330</v>
      </c>
      <c r="L6596" t="str">
        <f>T("8478878339")</f>
        <v>8478878339</v>
      </c>
    </row>
    <row r="6597" spans="1:12" x14ac:dyDescent="0.35">
      <c r="A6597" t="str">
        <f t="shared" si="2520"/>
        <v>9TH MCD</v>
      </c>
      <c r="B6597" t="str">
        <f t="shared" si="2521"/>
        <v>2223 LUCE BLVD</v>
      </c>
      <c r="C6597" t="str">
        <f t="shared" si="2522"/>
        <v>BLDG 523</v>
      </c>
      <c r="D6597" t="str">
        <f t="shared" si="2523"/>
        <v>GREAT LAKES</v>
      </c>
      <c r="E6597" t="str">
        <f t="shared" si="2524"/>
        <v>IL</v>
      </c>
      <c r="F6597" t="str">
        <f t="shared" si="2525"/>
        <v>600880000</v>
      </c>
      <c r="G6597" t="str">
        <f>T("2223 LUCE BLVD BLDG 523")</f>
        <v>2223 LUCE BLVD BLDG 523</v>
      </c>
      <c r="H6597" t="str">
        <f>T("")</f>
        <v/>
      </c>
      <c r="I6597" t="str">
        <f t="shared" si="2526"/>
        <v>GREAT LAKES</v>
      </c>
      <c r="J6597" t="str">
        <f t="shared" si="2527"/>
        <v>IL</v>
      </c>
      <c r="K6597" t="str">
        <f>T("000000000000000000")</f>
        <v>000000000000000000</v>
      </c>
      <c r="L6597" t="str">
        <f>T("8478878344")</f>
        <v>8478878344</v>
      </c>
    </row>
    <row r="6598" spans="1:12" x14ac:dyDescent="0.35">
      <c r="A6598" t="str">
        <f t="shared" si="2520"/>
        <v>9TH MCD</v>
      </c>
      <c r="B6598" t="str">
        <f t="shared" si="2521"/>
        <v>2223 LUCE BLVD</v>
      </c>
      <c r="C6598" t="str">
        <f t="shared" si="2522"/>
        <v>BLDG 523</v>
      </c>
      <c r="D6598" t="str">
        <f t="shared" si="2523"/>
        <v>GREAT LAKES</v>
      </c>
      <c r="E6598" t="str">
        <f t="shared" si="2524"/>
        <v>IL</v>
      </c>
      <c r="F6598" t="str">
        <f t="shared" si="2525"/>
        <v>600880000</v>
      </c>
      <c r="G6598" t="str">
        <f>T("2223 LUCE BLVD BLDG 523")</f>
        <v>2223 LUCE BLVD BLDG 523</v>
      </c>
      <c r="H6598" t="str">
        <f>T("")</f>
        <v/>
      </c>
      <c r="I6598" t="str">
        <f t="shared" si="2526"/>
        <v>GREAT LAKES</v>
      </c>
      <c r="J6598" t="str">
        <f t="shared" si="2527"/>
        <v>IL</v>
      </c>
      <c r="K6598" t="str">
        <f>T("8478878097")</f>
        <v>8478878097</v>
      </c>
      <c r="L6598" t="str">
        <f>T("8478878341")</f>
        <v>8478878341</v>
      </c>
    </row>
    <row r="6599" spans="1:12" x14ac:dyDescent="0.35">
      <c r="A6599" t="str">
        <f t="shared" si="2520"/>
        <v>9TH MCD</v>
      </c>
      <c r="B6599" t="str">
        <f>T("2400 E DEVON AVE")</f>
        <v>2400 E DEVON AVE</v>
      </c>
      <c r="C6599" t="str">
        <f>T("SUITE 355")</f>
        <v>SUITE 355</v>
      </c>
      <c r="D6599" t="str">
        <f>T("DES PLAINES")</f>
        <v>DES PLAINES</v>
      </c>
      <c r="E6599" t="str">
        <f t="shared" si="2524"/>
        <v>IL</v>
      </c>
      <c r="F6599" t="str">
        <f>T("600184617")</f>
        <v>600184617</v>
      </c>
      <c r="G6599" t="str">
        <f>T("2400 E DEVON AVE")</f>
        <v>2400 E DEVON AVE</v>
      </c>
      <c r="H6599" t="str">
        <f>T("SUITE 355")</f>
        <v>SUITE 355</v>
      </c>
      <c r="I6599" t="str">
        <f>T("DES PLAINES")</f>
        <v>DES PLAINES</v>
      </c>
      <c r="J6599" t="str">
        <f t="shared" si="2527"/>
        <v>IL</v>
      </c>
      <c r="K6599" t="str">
        <f>T("8478036227")</f>
        <v>8478036227</v>
      </c>
      <c r="L6599" t="str">
        <f>T("8478036373")</f>
        <v>8478036373</v>
      </c>
    </row>
    <row r="6600" spans="1:12" x14ac:dyDescent="0.35">
      <c r="A6600" t="str">
        <f t="shared" si="2520"/>
        <v>9TH MCD</v>
      </c>
      <c r="B6600" t="str">
        <f>T("2400 E DEVON AVE")</f>
        <v>2400 E DEVON AVE</v>
      </c>
      <c r="C6600" t="str">
        <f>T("SUITE 355")</f>
        <v>SUITE 355</v>
      </c>
      <c r="D6600" t="str">
        <f>T("DES PLAINES")</f>
        <v>DES PLAINES</v>
      </c>
      <c r="E6600" t="str">
        <f t="shared" si="2524"/>
        <v>IL</v>
      </c>
      <c r="F6600" t="str">
        <f>T("600184617")</f>
        <v>600184617</v>
      </c>
      <c r="G6600" t="str">
        <f>T("2400 EAST DEVON AVENUE")</f>
        <v>2400 EAST DEVON AVENUE</v>
      </c>
      <c r="H6600" t="str">
        <f>T("SUITE 355")</f>
        <v>SUITE 355</v>
      </c>
      <c r="I6600" t="str">
        <f>T("DES PLAINES")</f>
        <v>DES PLAINES</v>
      </c>
      <c r="J6600" t="str">
        <f t="shared" si="2527"/>
        <v>IL</v>
      </c>
      <c r="K6600" t="str">
        <f>T("8478036227")</f>
        <v>8478036227</v>
      </c>
      <c r="L6600" t="str">
        <f>T("8478036373")</f>
        <v>8478036373</v>
      </c>
    </row>
    <row r="6601" spans="1:12" x14ac:dyDescent="0.35">
      <c r="A6601" t="str">
        <f t="shared" si="2520"/>
        <v>9TH MCD</v>
      </c>
      <c r="B6601" t="str">
        <f>T("2400 E DEVON AVE")</f>
        <v>2400 E DEVON AVE</v>
      </c>
      <c r="C6601" t="str">
        <f>T("SUITE 355")</f>
        <v>SUITE 355</v>
      </c>
      <c r="D6601" t="str">
        <f>T("DES PLAINES")</f>
        <v>DES PLAINES</v>
      </c>
      <c r="E6601" t="str">
        <f t="shared" si="2524"/>
        <v>IL</v>
      </c>
      <c r="F6601" t="str">
        <f>T("600184617")</f>
        <v>600184617</v>
      </c>
      <c r="G6601" t="str">
        <f>T("RS CHICAGO")</f>
        <v>RS CHICAGO</v>
      </c>
      <c r="H6601" t="str">
        <f>T("2400 EAST DEVON AVE SUITE 355")</f>
        <v>2400 EAST DEVON AVE SUITE 355</v>
      </c>
      <c r="I6601" t="str">
        <f>T("DES PLAINES")</f>
        <v>DES PLAINES</v>
      </c>
      <c r="J6601" t="str">
        <f t="shared" si="2527"/>
        <v>IL</v>
      </c>
      <c r="K6601" t="str">
        <f>T("8478036227")</f>
        <v>8478036227</v>
      </c>
      <c r="L6601" t="str">
        <f>T("8478033078")</f>
        <v>8478033078</v>
      </c>
    </row>
    <row r="6602" spans="1:12" x14ac:dyDescent="0.35">
      <c r="A6602" t="str">
        <f t="shared" si="2520"/>
        <v>9TH MCD</v>
      </c>
      <c r="B6602" t="str">
        <f>T("301 NW 6TH ST")</f>
        <v>301 NW 6TH ST</v>
      </c>
      <c r="C6602" t="str">
        <f>T("SUITE 211")</f>
        <v>SUITE 211</v>
      </c>
      <c r="D6602" t="str">
        <f>T("OKLAHOMA CITY")</f>
        <v>OKLAHOMA CITY</v>
      </c>
      <c r="E6602" t="str">
        <f>T("OK")</f>
        <v>OK</v>
      </c>
      <c r="F6602" t="str">
        <f>T("731022809")</f>
        <v>731022809</v>
      </c>
      <c r="G6602" t="str">
        <f>T("301 NW 6TH ST")</f>
        <v>301 NW 6TH ST</v>
      </c>
      <c r="H6602" t="str">
        <f>T("SUITE 211")</f>
        <v>SUITE 211</v>
      </c>
      <c r="I6602" t="str">
        <f>T("OKLAHOMA CITY")</f>
        <v>OKLAHOMA CITY</v>
      </c>
      <c r="J6602" t="str">
        <f>T("OK")</f>
        <v>OK</v>
      </c>
      <c r="K6602" t="str">
        <f>T("000000000000000000")</f>
        <v>000000000000000000</v>
      </c>
      <c r="L6602" t="str">
        <f>T("4056098767")</f>
        <v>4056098767</v>
      </c>
    </row>
    <row r="6603" spans="1:12" x14ac:dyDescent="0.35">
      <c r="A6603" t="str">
        <f t="shared" si="2520"/>
        <v>9TH MCD</v>
      </c>
      <c r="B6603" t="str">
        <f>T("301 NW 6TH ST")</f>
        <v>301 NW 6TH ST</v>
      </c>
      <c r="C6603" t="str">
        <f>T("SUITE 211")</f>
        <v>SUITE 211</v>
      </c>
      <c r="D6603" t="str">
        <f>T("OKLAHOMA CITY")</f>
        <v>OKLAHOMA CITY</v>
      </c>
      <c r="E6603" t="str">
        <f>T("OK")</f>
        <v>OK</v>
      </c>
      <c r="F6603" t="str">
        <f>T("731022809")</f>
        <v>731022809</v>
      </c>
      <c r="G6603" t="str">
        <f>T("RS OKLAHOMA CITY")</f>
        <v>RS OKLAHOMA CITY</v>
      </c>
      <c r="H6603" t="str">
        <f>T("301 NW 6TH ST SUITE 211")</f>
        <v>301 NW 6TH ST SUITE 211</v>
      </c>
      <c r="I6603" t="str">
        <f>T("OKLAHOMA CITY")</f>
        <v>OKLAHOMA CITY</v>
      </c>
      <c r="J6603" t="str">
        <f>T("OK")</f>
        <v>OK</v>
      </c>
      <c r="K6603" t="str">
        <f>T("4056096768")</f>
        <v>4056096768</v>
      </c>
      <c r="L6603" t="str">
        <f>T("4056098767")</f>
        <v>4056098767</v>
      </c>
    </row>
    <row r="6604" spans="1:12" x14ac:dyDescent="0.35">
      <c r="A6604" t="str">
        <f t="shared" si="2520"/>
        <v>9TH MCD</v>
      </c>
      <c r="B6604" t="str">
        <f>T("315 WEST ALLEGAN STREET SUITE 102")</f>
        <v>315 WEST ALLEGAN STREET SUITE 102</v>
      </c>
      <c r="C6604" t="str">
        <f>T("")</f>
        <v/>
      </c>
      <c r="D6604" t="str">
        <f>T("LANSING")</f>
        <v>LANSING</v>
      </c>
      <c r="E6604" t="str">
        <f>T("MI")</f>
        <v>MI</v>
      </c>
      <c r="F6604" t="str">
        <f>T("489331515")</f>
        <v>489331515</v>
      </c>
      <c r="G6604" t="str">
        <f>T("315 W ALLEGAN ST RM 102")</f>
        <v>315 W ALLEGAN ST RM 102</v>
      </c>
      <c r="H6604" t="str">
        <f>T("")</f>
        <v/>
      </c>
      <c r="I6604" t="str">
        <f>T("LANSING")</f>
        <v>LANSING</v>
      </c>
      <c r="J6604" t="str">
        <f>T("MI")</f>
        <v>MI</v>
      </c>
      <c r="K6604" t="str">
        <f>T("5174838096")</f>
        <v>5174838096</v>
      </c>
      <c r="L6604" t="str">
        <f>T("5174838001")</f>
        <v>5174838001</v>
      </c>
    </row>
    <row r="6605" spans="1:12" x14ac:dyDescent="0.35">
      <c r="A6605" t="str">
        <f t="shared" si="2520"/>
        <v>9TH MCD</v>
      </c>
      <c r="B6605" t="str">
        <f>T("315 WEST ALLEGAN STREET SUITE 102")</f>
        <v>315 WEST ALLEGAN STREET SUITE 102</v>
      </c>
      <c r="C6605" t="str">
        <f>T("")</f>
        <v/>
      </c>
      <c r="D6605" t="str">
        <f>T("LANSING")</f>
        <v>LANSING</v>
      </c>
      <c r="E6605" t="str">
        <f>T("MI")</f>
        <v>MI</v>
      </c>
      <c r="F6605" t="str">
        <f>T("489331515")</f>
        <v>489331515</v>
      </c>
      <c r="G6605" t="str">
        <f>T("315 WEST ALLEGAN STREET SUITE 102")</f>
        <v>315 WEST ALLEGAN STREET SUITE 102</v>
      </c>
      <c r="H6605" t="str">
        <f>T("")</f>
        <v/>
      </c>
      <c r="I6605" t="str">
        <f>T("LANSING")</f>
        <v>LANSING</v>
      </c>
      <c r="J6605" t="str">
        <f>T("MI")</f>
        <v>MI</v>
      </c>
      <c r="K6605" t="str">
        <f>T("5178821750")</f>
        <v>5178821750</v>
      </c>
      <c r="L6605" t="str">
        <f>T("5178824588")</f>
        <v>5178824588</v>
      </c>
    </row>
    <row r="6606" spans="1:12" x14ac:dyDescent="0.35">
      <c r="A6606" t="str">
        <f t="shared" si="2520"/>
        <v>9TH MCD</v>
      </c>
      <c r="B6606" t="str">
        <f>T("315 WEST ALLEGAN STREET SUITE 102")</f>
        <v>315 WEST ALLEGAN STREET SUITE 102</v>
      </c>
      <c r="C6606" t="str">
        <f>T("")</f>
        <v/>
      </c>
      <c r="D6606" t="str">
        <f>T("LANSING")</f>
        <v>LANSING</v>
      </c>
      <c r="E6606" t="str">
        <f>T("MI")</f>
        <v>MI</v>
      </c>
      <c r="F6606" t="str">
        <f>T("489331515")</f>
        <v>489331515</v>
      </c>
      <c r="G6606" t="str">
        <f>T("6545 MERCANTILE WAY")</f>
        <v>6545 MERCANTILE WAY</v>
      </c>
      <c r="H6606" t="str">
        <f>T("SUITE 12")</f>
        <v>SUITE 12</v>
      </c>
      <c r="I6606" t="str">
        <f>T("LANSING")</f>
        <v>LANSING</v>
      </c>
      <c r="J6606" t="str">
        <f>T("MI")</f>
        <v>MI</v>
      </c>
      <c r="K6606" t="str">
        <f>T("5174838096")</f>
        <v>5174838096</v>
      </c>
      <c r="L6606" t="str">
        <f>T("5174838010")</f>
        <v>5174838010</v>
      </c>
    </row>
    <row r="6607" spans="1:12" x14ac:dyDescent="0.35">
      <c r="A6607" t="str">
        <f t="shared" si="2520"/>
        <v>9TH MCD</v>
      </c>
      <c r="B6607" t="str">
        <f>T("7105 NW 70TH AVE")</f>
        <v>7105 NW 70TH AVE</v>
      </c>
      <c r="C6607" t="str">
        <f>T("BLDG 72")</f>
        <v>BLDG 72</v>
      </c>
      <c r="D6607" t="str">
        <f>T("JOHNSTON")</f>
        <v>JOHNSTON</v>
      </c>
      <c r="E6607" t="str">
        <f>T("IA")</f>
        <v>IA</v>
      </c>
      <c r="F6607" t="str">
        <f>T("501311824")</f>
        <v>501311824</v>
      </c>
      <c r="G6607" t="str">
        <f>T("7105 NW 70TH AVE")</f>
        <v>7105 NW 70TH AVE</v>
      </c>
      <c r="H6607" t="str">
        <f>T("BLDG 72")</f>
        <v>BLDG 72</v>
      </c>
      <c r="I6607" t="str">
        <f>T("JOHNSTON")</f>
        <v>JOHNSTON</v>
      </c>
      <c r="J6607" t="str">
        <f>T("IA")</f>
        <v>IA</v>
      </c>
      <c r="K6607" t="str">
        <f>T("5157273477")</f>
        <v>5157273477</v>
      </c>
      <c r="L6607" t="str">
        <f>T("5177273473")</f>
        <v>5177273473</v>
      </c>
    </row>
    <row r="6608" spans="1:12" x14ac:dyDescent="0.35">
      <c r="A6608" t="str">
        <f t="shared" si="2520"/>
        <v>9TH MCD</v>
      </c>
      <c r="B6608" t="str">
        <f>T("7105 NW 70TH AVE")</f>
        <v>7105 NW 70TH AVE</v>
      </c>
      <c r="C6608" t="str">
        <f>T("BLDG 72")</f>
        <v>BLDG 72</v>
      </c>
      <c r="D6608" t="str">
        <f>T("JOHNSTON")</f>
        <v>JOHNSTON</v>
      </c>
      <c r="E6608" t="str">
        <f>T("IA")</f>
        <v>IA</v>
      </c>
      <c r="F6608" t="str">
        <f>T("501311824")</f>
        <v>501311824</v>
      </c>
      <c r="G6608" t="str">
        <f>T("7105 NW 70TH AVE")</f>
        <v>7105 NW 70TH AVE</v>
      </c>
      <c r="H6608" t="str">
        <f>T("BLDG S-72")</f>
        <v>BLDG S-72</v>
      </c>
      <c r="I6608" t="str">
        <f>T("JOHNSTON")</f>
        <v>JOHNSTON</v>
      </c>
      <c r="J6608" t="str">
        <f>T("IA")</f>
        <v>IA</v>
      </c>
      <c r="K6608" t="str">
        <f>T("5157273489")</f>
        <v>5157273489</v>
      </c>
      <c r="L6608" t="str">
        <f>T("5157273488")</f>
        <v>5157273488</v>
      </c>
    </row>
    <row r="6609" spans="1:12" x14ac:dyDescent="0.35">
      <c r="A6609" t="str">
        <f t="shared" si="2520"/>
        <v>9TH MCD</v>
      </c>
      <c r="B6609" t="str">
        <f>T("7105 NW 70TH AVE")</f>
        <v>7105 NW 70TH AVE</v>
      </c>
      <c r="C6609" t="str">
        <f>T("BLDG 72")</f>
        <v>BLDG 72</v>
      </c>
      <c r="D6609" t="str">
        <f>T("JOHNSTON")</f>
        <v>JOHNSTON</v>
      </c>
      <c r="E6609" t="str">
        <f>T("IA")</f>
        <v>IA</v>
      </c>
      <c r="F6609" t="str">
        <f>T("501311824")</f>
        <v>501311824</v>
      </c>
      <c r="G6609" t="str">
        <f>T("RS DES MOINES")</f>
        <v>RS DES MOINES</v>
      </c>
      <c r="H6609" t="str">
        <f>T("7105 NW 70TH AVE BLD S-72")</f>
        <v>7105 NW 70TH AVE BLD S-72</v>
      </c>
      <c r="I6609" t="str">
        <f>T("JOHNSTON")</f>
        <v>JOHNSTON</v>
      </c>
      <c r="J6609" t="str">
        <f>T("IA")</f>
        <v>IA</v>
      </c>
      <c r="K6609" t="str">
        <f>T("5157273486")</f>
        <v>5157273486</v>
      </c>
      <c r="L6609" t="str">
        <f>T("5157273487")</f>
        <v>5157273487</v>
      </c>
    </row>
    <row r="6610" spans="1:12" x14ac:dyDescent="0.35">
      <c r="A6610" t="str">
        <f t="shared" si="2520"/>
        <v>9TH MCD</v>
      </c>
      <c r="B6610" t="str">
        <f>T("9152 KENT AVENUE")</f>
        <v>9152 KENT AVENUE</v>
      </c>
      <c r="C6610" t="str">
        <f>T("BLDG 401")</f>
        <v>BLDG 401</v>
      </c>
      <c r="D6610" t="str">
        <f>T("INDIANAPOLIS")</f>
        <v>INDIANAPOLIS</v>
      </c>
      <c r="E6610" t="str">
        <f>T("IN")</f>
        <v>IN</v>
      </c>
      <c r="F6610" t="str">
        <f>T("462162064")</f>
        <v>462162064</v>
      </c>
      <c r="G6610" t="str">
        <f>T("9152 KENT AVE")</f>
        <v>9152 KENT AVE</v>
      </c>
      <c r="H6610" t="str">
        <f>T("BLDG 401 STE 2C")</f>
        <v>BLDG 401 STE 2C</v>
      </c>
      <c r="I6610" t="str">
        <f>T("INDIANAPOLIS")</f>
        <v>INDIANAPOLIS</v>
      </c>
      <c r="J6610" t="str">
        <f>T("IN")</f>
        <v>IN</v>
      </c>
      <c r="K6610" t="str">
        <f>T("3175496134")</f>
        <v>3175496134</v>
      </c>
      <c r="L6610" t="str">
        <f>T("3175496120")</f>
        <v>3175496120</v>
      </c>
    </row>
    <row r="6611" spans="1:12" x14ac:dyDescent="0.35">
      <c r="A6611" t="str">
        <f t="shared" si="2520"/>
        <v>9TH MCD</v>
      </c>
      <c r="B6611" t="str">
        <f>T("9152 KENT AVENUE")</f>
        <v>9152 KENT AVENUE</v>
      </c>
      <c r="C6611" t="str">
        <f>T("BLDG 401")</f>
        <v>BLDG 401</v>
      </c>
      <c r="D6611" t="str">
        <f>T("INDIANAPOLIS")</f>
        <v>INDIANAPOLIS</v>
      </c>
      <c r="E6611" t="str">
        <f>T("IN")</f>
        <v>IN</v>
      </c>
      <c r="F6611" t="str">
        <f>T("462162064")</f>
        <v>462162064</v>
      </c>
      <c r="G6611" t="str">
        <f>T("9152 KENT AVE BLDG 401")</f>
        <v>9152 KENT AVE BLDG 401</v>
      </c>
      <c r="H6611" t="str">
        <f>T("")</f>
        <v/>
      </c>
      <c r="I6611" t="str">
        <f>T("INDIANAPOLIS")</f>
        <v>INDIANAPOLIS</v>
      </c>
      <c r="J6611" t="str">
        <f>T("IN")</f>
        <v>IN</v>
      </c>
      <c r="K6611" t="str">
        <f>T("3175496134")</f>
        <v>3175496134</v>
      </c>
      <c r="L6611" t="str">
        <f>T("3175496120")</f>
        <v>3175496120</v>
      </c>
    </row>
    <row r="6612" spans="1:12" x14ac:dyDescent="0.35">
      <c r="A6612" t="str">
        <f t="shared" si="2520"/>
        <v>9TH MCD</v>
      </c>
      <c r="B6612" t="str">
        <f>T("9152 KENT AVENUE")</f>
        <v>9152 KENT AVENUE</v>
      </c>
      <c r="C6612" t="str">
        <f>T("BLDG 401")</f>
        <v>BLDG 401</v>
      </c>
      <c r="D6612" t="str">
        <f>T("INDIANAPOLIS")</f>
        <v>INDIANAPOLIS</v>
      </c>
      <c r="E6612" t="str">
        <f>T("IN")</f>
        <v>IN</v>
      </c>
      <c r="F6612" t="str">
        <f>T("462162064")</f>
        <v>462162064</v>
      </c>
      <c r="G6612" t="str">
        <f>T("9152 KENT AVENUE")</f>
        <v>9152 KENT AVENUE</v>
      </c>
      <c r="H6612" t="str">
        <f>T("BLDG 401")</f>
        <v>BLDG 401</v>
      </c>
      <c r="I6612" t="str">
        <f>T("INDIANAPOLIS")</f>
        <v>INDIANAPOLIS</v>
      </c>
      <c r="J6612" t="str">
        <f>T("IN")</f>
        <v>IN</v>
      </c>
      <c r="K6612" t="str">
        <f>T("3175496134")</f>
        <v>3175496134</v>
      </c>
      <c r="L6612" t="str">
        <f>T("3175496120")</f>
        <v>3175496120</v>
      </c>
    </row>
    <row r="6613" spans="1:12" x14ac:dyDescent="0.35">
      <c r="A6613" t="str">
        <f t="shared" si="2520"/>
        <v>9TH MCD</v>
      </c>
      <c r="B6613" t="str">
        <f>T("9152 KENT AVENUE")</f>
        <v>9152 KENT AVENUE</v>
      </c>
      <c r="C6613" t="str">
        <f>T("BLDG 401")</f>
        <v>BLDG 401</v>
      </c>
      <c r="D6613" t="str">
        <f>T("INDIANAPOLIS")</f>
        <v>INDIANAPOLIS</v>
      </c>
      <c r="E6613" t="str">
        <f>T("IN")</f>
        <v>IN</v>
      </c>
      <c r="F6613" t="str">
        <f>T("462162064")</f>
        <v>462162064</v>
      </c>
      <c r="G6613" t="str">
        <f>T("RS INDIANAPOLIS")</f>
        <v>RS INDIANAPOLIS</v>
      </c>
      <c r="H6613" t="str">
        <f>T("9152 KENT AVE BLDG 401 STE 2C")</f>
        <v>9152 KENT AVE BLDG 401 STE 2C</v>
      </c>
      <c r="I6613" t="str">
        <f>T("INDIANAPOLIS")</f>
        <v>INDIANAPOLIS</v>
      </c>
      <c r="J6613" t="str">
        <f>T("IN")</f>
        <v>IN</v>
      </c>
      <c r="K6613" t="str">
        <f>T("3175496141")</f>
        <v>3175496141</v>
      </c>
      <c r="L6613" t="str">
        <f>T("3175496123")</f>
        <v>3175496123</v>
      </c>
    </row>
    <row r="6614" spans="1:12" x14ac:dyDescent="0.35">
      <c r="A6614" t="str">
        <f t="shared" ref="A6614:A6654" si="2528">T("MCRD RCT M68002")</f>
        <v>MCRD RCT M68002</v>
      </c>
      <c r="B6614" t="str">
        <f>T("3280 RUSSELL ROAD")</f>
        <v>3280 RUSSELL ROAD</v>
      </c>
      <c r="C6614" t="str">
        <f>T("2ND FLOOR")</f>
        <v>2ND FLOOR</v>
      </c>
      <c r="D6614" t="str">
        <f>T("QUANTICO")</f>
        <v>QUANTICO</v>
      </c>
      <c r="E6614" t="str">
        <f>T("VA")</f>
        <v>VA</v>
      </c>
      <c r="F6614" t="str">
        <f>T("221345143")</f>
        <v>221345143</v>
      </c>
      <c r="G6614" t="str">
        <f>T("32 RUSSEL ROAD")</f>
        <v>32 RUSSEL ROAD</v>
      </c>
      <c r="H6614" t="str">
        <f>T("2ND FLOOR CONTRACTING")</f>
        <v>2ND FLOOR CONTRACTING</v>
      </c>
      <c r="I6614" t="str">
        <f>T("QUANTICO")</f>
        <v>QUANTICO</v>
      </c>
      <c r="J6614" t="str">
        <f>T("VA")</f>
        <v>VA</v>
      </c>
      <c r="K6614" t="str">
        <f>T("7037849854")</f>
        <v>7037849854</v>
      </c>
      <c r="L6614" t="str">
        <f>T("7034329777")</f>
        <v>7034329777</v>
      </c>
    </row>
    <row r="6615" spans="1:12" x14ac:dyDescent="0.35">
      <c r="A6615" t="str">
        <f t="shared" si="2528"/>
        <v>MCRD RCT M68002</v>
      </c>
      <c r="B6615" t="str">
        <f>T("3280 RUSSELL ROAD")</f>
        <v>3280 RUSSELL ROAD</v>
      </c>
      <c r="C6615" t="str">
        <f>T("2ND FLOOR")</f>
        <v>2ND FLOOR</v>
      </c>
      <c r="D6615" t="str">
        <f>T("QUANTICO")</f>
        <v>QUANTICO</v>
      </c>
      <c r="E6615" t="str">
        <f>T("VA")</f>
        <v>VA</v>
      </c>
      <c r="F6615" t="str">
        <f>T("221345143")</f>
        <v>221345143</v>
      </c>
      <c r="G6615" t="str">
        <f>T("3280 RUSSELL ROAD")</f>
        <v>3280 RUSSELL ROAD</v>
      </c>
      <c r="H6615" t="str">
        <f>T("2ND FLOOR")</f>
        <v>2ND FLOOR</v>
      </c>
      <c r="I6615" t="str">
        <f>T("QUANTICO")</f>
        <v>QUANTICO</v>
      </c>
      <c r="J6615" t="str">
        <f>T("VA")</f>
        <v>VA</v>
      </c>
      <c r="K6615" t="str">
        <f>T("7037849854")</f>
        <v>7037849854</v>
      </c>
      <c r="L6615" t="str">
        <f>T("7034329701")</f>
        <v>7034329701</v>
      </c>
    </row>
    <row r="6616" spans="1:12" x14ac:dyDescent="0.35">
      <c r="A6616" t="str">
        <f t="shared" si="2528"/>
        <v>MCRD RCT M68002</v>
      </c>
      <c r="B6616" t="str">
        <f>T("3280 RUSSELL ROAD")</f>
        <v>3280 RUSSELL ROAD</v>
      </c>
      <c r="C6616" t="str">
        <f>T("2ND FLR")</f>
        <v>2ND FLR</v>
      </c>
      <c r="D6616" t="str">
        <f>T("QUANTICO")</f>
        <v>QUANTICO</v>
      </c>
      <c r="E6616" t="str">
        <f>T("VA")</f>
        <v>VA</v>
      </c>
      <c r="F6616" t="str">
        <f>T("221345143")</f>
        <v>221345143</v>
      </c>
      <c r="G6616" t="str">
        <f>T("3280 RUSSEL ROAD")</f>
        <v>3280 RUSSEL ROAD</v>
      </c>
      <c r="H6616" t="str">
        <f>T("2ND FLOOR")</f>
        <v>2ND FLOOR</v>
      </c>
      <c r="I6616" t="str">
        <f>T("QUANTICO")</f>
        <v>QUANTICO</v>
      </c>
      <c r="J6616" t="str">
        <f>T("VA")</f>
        <v>VA</v>
      </c>
      <c r="K6616" t="str">
        <f>T("7037849854")</f>
        <v>7037849854</v>
      </c>
      <c r="L6616" t="str">
        <f>T("7034329777")</f>
        <v>7034329777</v>
      </c>
    </row>
    <row r="6617" spans="1:12" x14ac:dyDescent="0.35">
      <c r="A6617" t="str">
        <f t="shared" si="2528"/>
        <v>MCRD RCT M68002</v>
      </c>
      <c r="B6617" t="str">
        <f>T("3280 RUSSELL ROAD")</f>
        <v>3280 RUSSELL ROAD</v>
      </c>
      <c r="C6617" t="str">
        <f>T("2ND FLR")</f>
        <v>2ND FLR</v>
      </c>
      <c r="D6617" t="str">
        <f>T("QUANTICO")</f>
        <v>QUANTICO</v>
      </c>
      <c r="E6617" t="str">
        <f>T("VA")</f>
        <v>VA</v>
      </c>
      <c r="F6617" t="str">
        <f>T("221345143")</f>
        <v>221345143</v>
      </c>
      <c r="G6617" t="str">
        <f>T("3280 RUSSELL ROAD")</f>
        <v>3280 RUSSELL ROAD</v>
      </c>
      <c r="H6617" t="str">
        <f>T("2ND FLR")</f>
        <v>2ND FLR</v>
      </c>
      <c r="I6617" t="str">
        <f>T("QUANTICO")</f>
        <v>QUANTICO</v>
      </c>
      <c r="J6617" t="str">
        <f>T("VA")</f>
        <v>VA</v>
      </c>
      <c r="K6617" t="str">
        <f>T("7037849854")</f>
        <v>7037849854</v>
      </c>
      <c r="L6617" t="str">
        <f>T("7037849701")</f>
        <v>7037849701</v>
      </c>
    </row>
    <row r="6618" spans="1:12" x14ac:dyDescent="0.35">
      <c r="A6618" t="str">
        <f t="shared" si="2528"/>
        <v>MCRD RCT M68002</v>
      </c>
      <c r="B6618" t="str">
        <f>T("3280 RUSSELL ROAD")</f>
        <v>3280 RUSSELL ROAD</v>
      </c>
      <c r="C6618" t="str">
        <f>T("2ND FLR")</f>
        <v>2ND FLR</v>
      </c>
      <c r="D6618" t="str">
        <f>T("QUANTICO")</f>
        <v>QUANTICO</v>
      </c>
      <c r="E6618" t="str">
        <f>T("VA")</f>
        <v>VA</v>
      </c>
      <c r="F6618" t="str">
        <f>T("221345143")</f>
        <v>221345143</v>
      </c>
      <c r="G6618" t="str">
        <f>T("3820 RUSSELL ROAD")</f>
        <v>3820 RUSSELL ROAD</v>
      </c>
      <c r="H6618" t="str">
        <f>T("")</f>
        <v/>
      </c>
      <c r="I6618" t="str">
        <f>T("QUANTICO")</f>
        <v>QUANTICO</v>
      </c>
      <c r="J6618" t="str">
        <f>T("VA")</f>
        <v>VA</v>
      </c>
      <c r="K6618" t="str">
        <f>T("7037849854")</f>
        <v>7037849854</v>
      </c>
      <c r="L6618" t="str">
        <f>T("7034329613")</f>
        <v>7034329613</v>
      </c>
    </row>
    <row r="6619" spans="1:12" x14ac:dyDescent="0.35">
      <c r="A6619" t="str">
        <f t="shared" si="2528"/>
        <v>MCRD RCT M68002</v>
      </c>
      <c r="B6619" t="str">
        <f>T("MCRD-ERR")</f>
        <v>MCRD-ERR</v>
      </c>
      <c r="C6619" t="str">
        <f t="shared" ref="C6619:C6650" si="2529">T("PO BOX 5069")</f>
        <v>PO BOX 5069</v>
      </c>
      <c r="D6619" t="str">
        <f t="shared" ref="D6619:D6654" si="2530">T("PARRIS ISLAND")</f>
        <v>PARRIS ISLAND</v>
      </c>
      <c r="E6619" t="str">
        <f t="shared" ref="E6619:E6654" si="2531">T("SC")</f>
        <v>SC</v>
      </c>
      <c r="F6619" t="str">
        <f t="shared" ref="F6619:F6654" si="2532">T("299050069")</f>
        <v>299050069</v>
      </c>
      <c r="G6619" t="str">
        <f>T("MCRD-ERR")</f>
        <v>MCRD-ERR</v>
      </c>
      <c r="H6619" t="str">
        <f>T("PO BOX 5069")</f>
        <v>PO BOX 5069</v>
      </c>
      <c r="I6619" t="str">
        <f t="shared" ref="I6619:I6654" si="2533">T("PARRIS ISLAND")</f>
        <v>PARRIS ISLAND</v>
      </c>
      <c r="J6619" t="str">
        <f t="shared" ref="J6619:J6654" si="2534">T("SC")</f>
        <v>SC</v>
      </c>
      <c r="K6619" t="str">
        <f>T("8432284529")</f>
        <v>8432284529</v>
      </c>
      <c r="L6619" t="str">
        <f>T("8432284176")</f>
        <v>8432284176</v>
      </c>
    </row>
    <row r="6620" spans="1:12" x14ac:dyDescent="0.35">
      <c r="A6620" t="str">
        <f t="shared" si="2528"/>
        <v>MCRD RCT M68002</v>
      </c>
      <c r="B6620" t="str">
        <f>T("MCRD-ERR")</f>
        <v>MCRD-ERR</v>
      </c>
      <c r="C6620" t="str">
        <f t="shared" si="2529"/>
        <v>PO BOX 5069</v>
      </c>
      <c r="D6620" t="str">
        <f t="shared" si="2530"/>
        <v>PARRIS ISLAND</v>
      </c>
      <c r="E6620" t="str">
        <f t="shared" si="2531"/>
        <v>SC</v>
      </c>
      <c r="F6620" t="str">
        <f t="shared" si="2532"/>
        <v>299050069</v>
      </c>
      <c r="G6620" t="str">
        <f>T("PO BOX 16001")</f>
        <v>PO BOX 16001</v>
      </c>
      <c r="H6620" t="str">
        <f>T("")</f>
        <v/>
      </c>
      <c r="I6620" t="str">
        <f t="shared" si="2533"/>
        <v>PARRIS ISLAND</v>
      </c>
      <c r="J6620" t="str">
        <f t="shared" si="2534"/>
        <v>SC</v>
      </c>
      <c r="K6620" t="str">
        <f>T("8432282453")</f>
        <v>8432282453</v>
      </c>
      <c r="L6620" t="str">
        <f>T("8432283222")</f>
        <v>8432283222</v>
      </c>
    </row>
    <row r="6621" spans="1:12" x14ac:dyDescent="0.35">
      <c r="A6621" t="str">
        <f t="shared" si="2528"/>
        <v>MCRD RCT M68002</v>
      </c>
      <c r="B6621" t="str">
        <f t="shared" ref="B6621:B6654" si="2535">T("MCRD/ERR")</f>
        <v>MCRD/ERR</v>
      </c>
      <c r="C6621" t="str">
        <f t="shared" si="2529"/>
        <v>PO BOX 5069</v>
      </c>
      <c r="D6621" t="str">
        <f t="shared" si="2530"/>
        <v>PARRIS ISLAND</v>
      </c>
      <c r="E6621" t="str">
        <f t="shared" si="2531"/>
        <v>SC</v>
      </c>
      <c r="F6621" t="str">
        <f t="shared" si="2532"/>
        <v>299050069</v>
      </c>
      <c r="G6621" t="str">
        <f>T("MCRD ERR")</f>
        <v>MCRD ERR</v>
      </c>
      <c r="H6621" t="str">
        <f>T("PO BOX 17001")</f>
        <v>PO BOX 17001</v>
      </c>
      <c r="I6621" t="str">
        <f t="shared" si="2533"/>
        <v>PARRIS ISLAND</v>
      </c>
      <c r="J6621" t="str">
        <f t="shared" si="2534"/>
        <v>SC</v>
      </c>
      <c r="K6621" t="str">
        <f>T("8432283103")</f>
        <v>8432283103</v>
      </c>
      <c r="L6621" t="str">
        <f>T("8432284030")</f>
        <v>8432284030</v>
      </c>
    </row>
    <row r="6622" spans="1:12" x14ac:dyDescent="0.35">
      <c r="A6622" t="str">
        <f t="shared" si="2528"/>
        <v>MCRD RCT M68002</v>
      </c>
      <c r="B6622" t="str">
        <f t="shared" si="2535"/>
        <v>MCRD/ERR</v>
      </c>
      <c r="C6622" t="str">
        <f t="shared" si="2529"/>
        <v>PO BOX 5069</v>
      </c>
      <c r="D6622" t="str">
        <f t="shared" si="2530"/>
        <v>PARRIS ISLAND</v>
      </c>
      <c r="E6622" t="str">
        <f t="shared" si="2531"/>
        <v>SC</v>
      </c>
      <c r="F6622" t="str">
        <f t="shared" si="2532"/>
        <v>299050069</v>
      </c>
      <c r="G6622" t="str">
        <f t="shared" ref="G6622:G6632" si="2536">T("MCRD/ERR")</f>
        <v>MCRD/ERR</v>
      </c>
      <c r="H6622" t="str">
        <f t="shared" ref="H6622:H6632" si="2537">T("PO BOX 5069")</f>
        <v>PO BOX 5069</v>
      </c>
      <c r="I6622" t="str">
        <f t="shared" si="2533"/>
        <v>PARRIS ISLAND</v>
      </c>
      <c r="J6622" t="str">
        <f t="shared" si="2534"/>
        <v>SC</v>
      </c>
      <c r="K6622" t="str">
        <f>T("000000000000000000")</f>
        <v>000000000000000000</v>
      </c>
      <c r="L6622" t="str">
        <f>T("8432282816")</f>
        <v>8432282816</v>
      </c>
    </row>
    <row r="6623" spans="1:12" x14ac:dyDescent="0.35">
      <c r="A6623" t="str">
        <f t="shared" si="2528"/>
        <v>MCRD RCT M68002</v>
      </c>
      <c r="B6623" t="str">
        <f t="shared" si="2535"/>
        <v>MCRD/ERR</v>
      </c>
      <c r="C6623" t="str">
        <f t="shared" si="2529"/>
        <v>PO BOX 5069</v>
      </c>
      <c r="D6623" t="str">
        <f t="shared" si="2530"/>
        <v>PARRIS ISLAND</v>
      </c>
      <c r="E6623" t="str">
        <f t="shared" si="2531"/>
        <v>SC</v>
      </c>
      <c r="F6623" t="str">
        <f t="shared" si="2532"/>
        <v>299050069</v>
      </c>
      <c r="G6623" t="str">
        <f t="shared" si="2536"/>
        <v>MCRD/ERR</v>
      </c>
      <c r="H6623" t="str">
        <f t="shared" si="2537"/>
        <v>PO BOX 5069</v>
      </c>
      <c r="I6623" t="str">
        <f t="shared" si="2533"/>
        <v>PARRIS ISLAND</v>
      </c>
      <c r="J6623" t="str">
        <f t="shared" si="2534"/>
        <v>SC</v>
      </c>
      <c r="K6623" t="str">
        <f>T("000000000000000000")</f>
        <v>000000000000000000</v>
      </c>
      <c r="L6623" t="str">
        <f>T("8432283069")</f>
        <v>8432283069</v>
      </c>
    </row>
    <row r="6624" spans="1:12" x14ac:dyDescent="0.35">
      <c r="A6624" t="str">
        <f t="shared" si="2528"/>
        <v>MCRD RCT M68002</v>
      </c>
      <c r="B6624" t="str">
        <f t="shared" si="2535"/>
        <v>MCRD/ERR</v>
      </c>
      <c r="C6624" t="str">
        <f t="shared" si="2529"/>
        <v>PO BOX 5069</v>
      </c>
      <c r="D6624" t="str">
        <f t="shared" si="2530"/>
        <v>PARRIS ISLAND</v>
      </c>
      <c r="E6624" t="str">
        <f t="shared" si="2531"/>
        <v>SC</v>
      </c>
      <c r="F6624" t="str">
        <f t="shared" si="2532"/>
        <v>299050069</v>
      </c>
      <c r="G6624" t="str">
        <f t="shared" si="2536"/>
        <v>MCRD/ERR</v>
      </c>
      <c r="H6624" t="str">
        <f t="shared" si="2537"/>
        <v>PO BOX 5069</v>
      </c>
      <c r="I6624" t="str">
        <f t="shared" si="2533"/>
        <v>PARRIS ISLAND</v>
      </c>
      <c r="J6624" t="str">
        <f t="shared" si="2534"/>
        <v>SC</v>
      </c>
      <c r="K6624" t="str">
        <f>T("000000000000000000")</f>
        <v>000000000000000000</v>
      </c>
      <c r="L6624" t="str">
        <f>T("8432284176")</f>
        <v>8432284176</v>
      </c>
    </row>
    <row r="6625" spans="1:12" x14ac:dyDescent="0.35">
      <c r="A6625" t="str">
        <f t="shared" si="2528"/>
        <v>MCRD RCT M68002</v>
      </c>
      <c r="B6625" t="str">
        <f t="shared" si="2535"/>
        <v>MCRD/ERR</v>
      </c>
      <c r="C6625" t="str">
        <f t="shared" si="2529"/>
        <v>PO BOX 5069</v>
      </c>
      <c r="D6625" t="str">
        <f t="shared" si="2530"/>
        <v>PARRIS ISLAND</v>
      </c>
      <c r="E6625" t="str">
        <f t="shared" si="2531"/>
        <v>SC</v>
      </c>
      <c r="F6625" t="str">
        <f t="shared" si="2532"/>
        <v>299050069</v>
      </c>
      <c r="G6625" t="str">
        <f t="shared" si="2536"/>
        <v>MCRD/ERR</v>
      </c>
      <c r="H6625" t="str">
        <f t="shared" si="2537"/>
        <v>PO BOX 5069</v>
      </c>
      <c r="I6625" t="str">
        <f t="shared" si="2533"/>
        <v>PARRIS ISLAND</v>
      </c>
      <c r="J6625" t="str">
        <f t="shared" si="2534"/>
        <v>SC</v>
      </c>
      <c r="K6625" t="str">
        <f>T("8432282163")</f>
        <v>8432282163</v>
      </c>
      <c r="L6625" t="str">
        <f>T("8432282129")</f>
        <v>8432282129</v>
      </c>
    </row>
    <row r="6626" spans="1:12" x14ac:dyDescent="0.35">
      <c r="A6626" t="str">
        <f t="shared" si="2528"/>
        <v>MCRD RCT M68002</v>
      </c>
      <c r="B6626" t="str">
        <f t="shared" si="2535"/>
        <v>MCRD/ERR</v>
      </c>
      <c r="C6626" t="str">
        <f t="shared" si="2529"/>
        <v>PO BOX 5069</v>
      </c>
      <c r="D6626" t="str">
        <f t="shared" si="2530"/>
        <v>PARRIS ISLAND</v>
      </c>
      <c r="E6626" t="str">
        <f t="shared" si="2531"/>
        <v>SC</v>
      </c>
      <c r="F6626" t="str">
        <f t="shared" si="2532"/>
        <v>299050069</v>
      </c>
      <c r="G6626" t="str">
        <f t="shared" si="2536"/>
        <v>MCRD/ERR</v>
      </c>
      <c r="H6626" t="str">
        <f t="shared" si="2537"/>
        <v>PO BOX 5069</v>
      </c>
      <c r="I6626" t="str">
        <f t="shared" si="2533"/>
        <v>PARRIS ISLAND</v>
      </c>
      <c r="J6626" t="str">
        <f t="shared" si="2534"/>
        <v>SC</v>
      </c>
      <c r="K6626" t="str">
        <f>T("8432282300")</f>
        <v>8432282300</v>
      </c>
      <c r="L6626" t="str">
        <f>T("8432283228")</f>
        <v>8432283228</v>
      </c>
    </row>
    <row r="6627" spans="1:12" x14ac:dyDescent="0.35">
      <c r="A6627" t="str">
        <f t="shared" si="2528"/>
        <v>MCRD RCT M68002</v>
      </c>
      <c r="B6627" t="str">
        <f t="shared" si="2535"/>
        <v>MCRD/ERR</v>
      </c>
      <c r="C6627" t="str">
        <f t="shared" si="2529"/>
        <v>PO BOX 5069</v>
      </c>
      <c r="D6627" t="str">
        <f t="shared" si="2530"/>
        <v>PARRIS ISLAND</v>
      </c>
      <c r="E6627" t="str">
        <f t="shared" si="2531"/>
        <v>SC</v>
      </c>
      <c r="F6627" t="str">
        <f t="shared" si="2532"/>
        <v>299050069</v>
      </c>
      <c r="G6627" t="str">
        <f t="shared" si="2536"/>
        <v>MCRD/ERR</v>
      </c>
      <c r="H6627" t="str">
        <f t="shared" si="2537"/>
        <v>PO BOX 5069</v>
      </c>
      <c r="I6627" t="str">
        <f t="shared" si="2533"/>
        <v>PARRIS ISLAND</v>
      </c>
      <c r="J6627" t="str">
        <f t="shared" si="2534"/>
        <v>SC</v>
      </c>
      <c r="K6627" t="str">
        <f>T("8432282724")</f>
        <v>8432282724</v>
      </c>
      <c r="L6627" t="str">
        <f>T("8432282353")</f>
        <v>8432282353</v>
      </c>
    </row>
    <row r="6628" spans="1:12" x14ac:dyDescent="0.35">
      <c r="A6628" t="str">
        <f t="shared" si="2528"/>
        <v>MCRD RCT M68002</v>
      </c>
      <c r="B6628" t="str">
        <f t="shared" si="2535"/>
        <v>MCRD/ERR</v>
      </c>
      <c r="C6628" t="str">
        <f t="shared" si="2529"/>
        <v>PO BOX 5069</v>
      </c>
      <c r="D6628" t="str">
        <f t="shared" si="2530"/>
        <v>PARRIS ISLAND</v>
      </c>
      <c r="E6628" t="str">
        <f t="shared" si="2531"/>
        <v>SC</v>
      </c>
      <c r="F6628" t="str">
        <f t="shared" si="2532"/>
        <v>299050069</v>
      </c>
      <c r="G6628" t="str">
        <f t="shared" si="2536"/>
        <v>MCRD/ERR</v>
      </c>
      <c r="H6628" t="str">
        <f t="shared" si="2537"/>
        <v>PO BOX 5069</v>
      </c>
      <c r="I6628" t="str">
        <f t="shared" si="2533"/>
        <v>PARRIS ISLAND</v>
      </c>
      <c r="J6628" t="str">
        <f t="shared" si="2534"/>
        <v>SC</v>
      </c>
      <c r="K6628" t="str">
        <f>T("8432283315")</f>
        <v>8432283315</v>
      </c>
      <c r="L6628" t="str">
        <f>T("8432283594")</f>
        <v>8432283594</v>
      </c>
    </row>
    <row r="6629" spans="1:12" x14ac:dyDescent="0.35">
      <c r="A6629" t="str">
        <f t="shared" si="2528"/>
        <v>MCRD RCT M68002</v>
      </c>
      <c r="B6629" t="str">
        <f t="shared" si="2535"/>
        <v>MCRD/ERR</v>
      </c>
      <c r="C6629" t="str">
        <f t="shared" si="2529"/>
        <v>PO BOX 5069</v>
      </c>
      <c r="D6629" t="str">
        <f t="shared" si="2530"/>
        <v>PARRIS ISLAND</v>
      </c>
      <c r="E6629" t="str">
        <f t="shared" si="2531"/>
        <v>SC</v>
      </c>
      <c r="F6629" t="str">
        <f t="shared" si="2532"/>
        <v>299050069</v>
      </c>
      <c r="G6629" t="str">
        <f t="shared" si="2536"/>
        <v>MCRD/ERR</v>
      </c>
      <c r="H6629" t="str">
        <f t="shared" si="2537"/>
        <v>PO BOX 5069</v>
      </c>
      <c r="I6629" t="str">
        <f t="shared" si="2533"/>
        <v>PARRIS ISLAND</v>
      </c>
      <c r="J6629" t="str">
        <f t="shared" si="2534"/>
        <v>SC</v>
      </c>
      <c r="K6629" t="str">
        <f>T("8432283466")</f>
        <v>8432283466</v>
      </c>
      <c r="L6629" t="str">
        <f>T("8432282355")</f>
        <v>8432282355</v>
      </c>
    </row>
    <row r="6630" spans="1:12" x14ac:dyDescent="0.35">
      <c r="A6630" t="str">
        <f t="shared" si="2528"/>
        <v>MCRD RCT M68002</v>
      </c>
      <c r="B6630" t="str">
        <f t="shared" si="2535"/>
        <v>MCRD/ERR</v>
      </c>
      <c r="C6630" t="str">
        <f t="shared" si="2529"/>
        <v>PO BOX 5069</v>
      </c>
      <c r="D6630" t="str">
        <f t="shared" si="2530"/>
        <v>PARRIS ISLAND</v>
      </c>
      <c r="E6630" t="str">
        <f t="shared" si="2531"/>
        <v>SC</v>
      </c>
      <c r="F6630" t="str">
        <f t="shared" si="2532"/>
        <v>299050069</v>
      </c>
      <c r="G6630" t="str">
        <f t="shared" si="2536"/>
        <v>MCRD/ERR</v>
      </c>
      <c r="H6630" t="str">
        <f t="shared" si="2537"/>
        <v>PO BOX 5069</v>
      </c>
      <c r="I6630" t="str">
        <f t="shared" si="2533"/>
        <v>PARRIS ISLAND</v>
      </c>
      <c r="J6630" t="str">
        <f t="shared" si="2534"/>
        <v>SC</v>
      </c>
      <c r="K6630" t="str">
        <f>T("8432283939")</f>
        <v>8432283939</v>
      </c>
      <c r="L6630" t="str">
        <f>T("8432282762")</f>
        <v>8432282762</v>
      </c>
    </row>
    <row r="6631" spans="1:12" x14ac:dyDescent="0.35">
      <c r="A6631" t="str">
        <f t="shared" si="2528"/>
        <v>MCRD RCT M68002</v>
      </c>
      <c r="B6631" t="str">
        <f t="shared" si="2535"/>
        <v>MCRD/ERR</v>
      </c>
      <c r="C6631" t="str">
        <f t="shared" si="2529"/>
        <v>PO BOX 5069</v>
      </c>
      <c r="D6631" t="str">
        <f t="shared" si="2530"/>
        <v>PARRIS ISLAND</v>
      </c>
      <c r="E6631" t="str">
        <f t="shared" si="2531"/>
        <v>SC</v>
      </c>
      <c r="F6631" t="str">
        <f t="shared" si="2532"/>
        <v>299050069</v>
      </c>
      <c r="G6631" t="str">
        <f t="shared" si="2536"/>
        <v>MCRD/ERR</v>
      </c>
      <c r="H6631" t="str">
        <f t="shared" si="2537"/>
        <v>PO BOX 5069</v>
      </c>
      <c r="I6631" t="str">
        <f t="shared" si="2533"/>
        <v>PARRIS ISLAND</v>
      </c>
      <c r="J6631" t="str">
        <f t="shared" si="2534"/>
        <v>SC</v>
      </c>
      <c r="K6631" t="str">
        <f>T("8432284529")</f>
        <v>8432284529</v>
      </c>
      <c r="L6631" t="str">
        <f>T("8432283174")</f>
        <v>8432283174</v>
      </c>
    </row>
    <row r="6632" spans="1:12" x14ac:dyDescent="0.35">
      <c r="A6632" t="str">
        <f t="shared" si="2528"/>
        <v>MCRD RCT M68002</v>
      </c>
      <c r="B6632" t="str">
        <f t="shared" si="2535"/>
        <v>MCRD/ERR</v>
      </c>
      <c r="C6632" t="str">
        <f t="shared" si="2529"/>
        <v>PO BOX 5069</v>
      </c>
      <c r="D6632" t="str">
        <f t="shared" si="2530"/>
        <v>PARRIS ISLAND</v>
      </c>
      <c r="E6632" t="str">
        <f t="shared" si="2531"/>
        <v>SC</v>
      </c>
      <c r="F6632" t="str">
        <f t="shared" si="2532"/>
        <v>299050069</v>
      </c>
      <c r="G6632" t="str">
        <f t="shared" si="2536"/>
        <v>MCRD/ERR</v>
      </c>
      <c r="H6632" t="str">
        <f t="shared" si="2537"/>
        <v>PO BOX 5069</v>
      </c>
      <c r="I6632" t="str">
        <f t="shared" si="2533"/>
        <v>PARRIS ISLAND</v>
      </c>
      <c r="J6632" t="str">
        <f t="shared" si="2534"/>
        <v>SC</v>
      </c>
      <c r="K6632" t="str">
        <f>T("8432284529")</f>
        <v>8432284529</v>
      </c>
      <c r="L6632" t="str">
        <f>T("8432284176")</f>
        <v>8432284176</v>
      </c>
    </row>
    <row r="6633" spans="1:12" x14ac:dyDescent="0.35">
      <c r="A6633" t="str">
        <f t="shared" si="2528"/>
        <v>MCRD RCT M68002</v>
      </c>
      <c r="B6633" t="str">
        <f t="shared" si="2535"/>
        <v>MCRD/ERR</v>
      </c>
      <c r="C6633" t="str">
        <f t="shared" si="2529"/>
        <v>PO BOX 5069</v>
      </c>
      <c r="D6633" t="str">
        <f t="shared" si="2530"/>
        <v>PARRIS ISLAND</v>
      </c>
      <c r="E6633" t="str">
        <f t="shared" si="2531"/>
        <v>SC</v>
      </c>
      <c r="F6633" t="str">
        <f t="shared" si="2532"/>
        <v>299050069</v>
      </c>
      <c r="G6633" t="str">
        <f>T("P O BOX 19001")</f>
        <v>P O BOX 19001</v>
      </c>
      <c r="H6633" t="str">
        <f t="shared" ref="H6633:H6648" si="2538">T("")</f>
        <v/>
      </c>
      <c r="I6633" t="str">
        <f t="shared" si="2533"/>
        <v>PARRIS ISLAND</v>
      </c>
      <c r="J6633" t="str">
        <f t="shared" si="2534"/>
        <v>SC</v>
      </c>
      <c r="K6633" t="str">
        <f>T("8432283737")</f>
        <v>8432283737</v>
      </c>
      <c r="L6633" t="str">
        <f>T("8432283483")</f>
        <v>8432283483</v>
      </c>
    </row>
    <row r="6634" spans="1:12" x14ac:dyDescent="0.35">
      <c r="A6634" t="str">
        <f t="shared" si="2528"/>
        <v>MCRD RCT M68002</v>
      </c>
      <c r="B6634" t="str">
        <f t="shared" si="2535"/>
        <v>MCRD/ERR</v>
      </c>
      <c r="C6634" t="str">
        <f t="shared" si="2529"/>
        <v>PO BOX 5069</v>
      </c>
      <c r="D6634" t="str">
        <f t="shared" si="2530"/>
        <v>PARRIS ISLAND</v>
      </c>
      <c r="E6634" t="str">
        <f t="shared" si="2531"/>
        <v>SC</v>
      </c>
      <c r="F6634" t="str">
        <f t="shared" si="2532"/>
        <v>299050069</v>
      </c>
      <c r="G6634" t="str">
        <f>T("P O BOX 19420")</f>
        <v>P O BOX 19420</v>
      </c>
      <c r="H6634" t="str">
        <f t="shared" si="2538"/>
        <v/>
      </c>
      <c r="I6634" t="str">
        <f t="shared" si="2533"/>
        <v>PARRIS ISLAND</v>
      </c>
      <c r="J6634" t="str">
        <f t="shared" si="2534"/>
        <v>SC</v>
      </c>
      <c r="K6634" t="str">
        <f>T("8432284652")</f>
        <v>8432284652</v>
      </c>
      <c r="L6634" t="str">
        <f>T("8432281916")</f>
        <v>8432281916</v>
      </c>
    </row>
    <row r="6635" spans="1:12" x14ac:dyDescent="0.35">
      <c r="A6635" t="str">
        <f t="shared" si="2528"/>
        <v>MCRD RCT M68002</v>
      </c>
      <c r="B6635" t="str">
        <f t="shared" si="2535"/>
        <v>MCRD/ERR</v>
      </c>
      <c r="C6635" t="str">
        <f t="shared" si="2529"/>
        <v>PO BOX 5069</v>
      </c>
      <c r="D6635" t="str">
        <f t="shared" si="2530"/>
        <v>PARRIS ISLAND</v>
      </c>
      <c r="E6635" t="str">
        <f t="shared" si="2531"/>
        <v>SC</v>
      </c>
      <c r="F6635" t="str">
        <f t="shared" si="2532"/>
        <v>299050069</v>
      </c>
      <c r="G6635" t="str">
        <f>T("P O BOX 19520")</f>
        <v>P O BOX 19520</v>
      </c>
      <c r="H6635" t="str">
        <f t="shared" si="2538"/>
        <v/>
      </c>
      <c r="I6635" t="str">
        <f t="shared" si="2533"/>
        <v>PARRIS ISLAND</v>
      </c>
      <c r="J6635" t="str">
        <f t="shared" si="2534"/>
        <v>SC</v>
      </c>
      <c r="K6635" t="str">
        <f>T("000000000000000000")</f>
        <v>000000000000000000</v>
      </c>
      <c r="L6635" t="str">
        <f>T("8432282595")</f>
        <v>8432282595</v>
      </c>
    </row>
    <row r="6636" spans="1:12" x14ac:dyDescent="0.35">
      <c r="A6636" t="str">
        <f t="shared" si="2528"/>
        <v>MCRD RCT M68002</v>
      </c>
      <c r="B6636" t="str">
        <f t="shared" si="2535"/>
        <v>MCRD/ERR</v>
      </c>
      <c r="C6636" t="str">
        <f t="shared" si="2529"/>
        <v>PO BOX 5069</v>
      </c>
      <c r="D6636" t="str">
        <f t="shared" si="2530"/>
        <v>PARRIS ISLAND</v>
      </c>
      <c r="E6636" t="str">
        <f t="shared" si="2531"/>
        <v>SC</v>
      </c>
      <c r="F6636" t="str">
        <f t="shared" si="2532"/>
        <v>299050069</v>
      </c>
      <c r="G6636" t="str">
        <f>T("P O BOX 19520")</f>
        <v>P O BOX 19520</v>
      </c>
      <c r="H6636" t="str">
        <f t="shared" si="2538"/>
        <v/>
      </c>
      <c r="I6636" t="str">
        <f t="shared" si="2533"/>
        <v>PARRIS ISLAND</v>
      </c>
      <c r="J6636" t="str">
        <f t="shared" si="2534"/>
        <v>SC</v>
      </c>
      <c r="K6636" t="str">
        <f>T("8432283466")</f>
        <v>8432283466</v>
      </c>
      <c r="L6636" t="str">
        <f>T("8432282150")</f>
        <v>8432282150</v>
      </c>
    </row>
    <row r="6637" spans="1:12" x14ac:dyDescent="0.35">
      <c r="A6637" t="str">
        <f t="shared" si="2528"/>
        <v>MCRD RCT M68002</v>
      </c>
      <c r="B6637" t="str">
        <f t="shared" si="2535"/>
        <v>MCRD/ERR</v>
      </c>
      <c r="C6637" t="str">
        <f t="shared" si="2529"/>
        <v>PO BOX 5069</v>
      </c>
      <c r="D6637" t="str">
        <f t="shared" si="2530"/>
        <v>PARRIS ISLAND</v>
      </c>
      <c r="E6637" t="str">
        <f t="shared" si="2531"/>
        <v>SC</v>
      </c>
      <c r="F6637" t="str">
        <f t="shared" si="2532"/>
        <v>299050069</v>
      </c>
      <c r="G6637" t="str">
        <f>T("P O BOX 19601")</f>
        <v>P O BOX 19601</v>
      </c>
      <c r="H6637" t="str">
        <f t="shared" si="2538"/>
        <v/>
      </c>
      <c r="I6637" t="str">
        <f t="shared" si="2533"/>
        <v>PARRIS ISLAND</v>
      </c>
      <c r="J6637" t="str">
        <f t="shared" si="2534"/>
        <v>SC</v>
      </c>
      <c r="K6637" t="str">
        <f>T("8432282724")</f>
        <v>8432282724</v>
      </c>
      <c r="L6637" t="str">
        <f>T("8432282636")</f>
        <v>8432282636</v>
      </c>
    </row>
    <row r="6638" spans="1:12" x14ac:dyDescent="0.35">
      <c r="A6638" t="str">
        <f t="shared" si="2528"/>
        <v>MCRD RCT M68002</v>
      </c>
      <c r="B6638" t="str">
        <f t="shared" si="2535"/>
        <v>MCRD/ERR</v>
      </c>
      <c r="C6638" t="str">
        <f t="shared" si="2529"/>
        <v>PO BOX 5069</v>
      </c>
      <c r="D6638" t="str">
        <f t="shared" si="2530"/>
        <v>PARRIS ISLAND</v>
      </c>
      <c r="E6638" t="str">
        <f t="shared" si="2531"/>
        <v>SC</v>
      </c>
      <c r="F6638" t="str">
        <f t="shared" si="2532"/>
        <v>299050069</v>
      </c>
      <c r="G6638" t="str">
        <f>T("PO BOX 16001")</f>
        <v>PO BOX 16001</v>
      </c>
      <c r="H6638" t="str">
        <f t="shared" si="2538"/>
        <v/>
      </c>
      <c r="I6638" t="str">
        <f t="shared" si="2533"/>
        <v>PARRIS ISLAND</v>
      </c>
      <c r="J6638" t="str">
        <f t="shared" si="2534"/>
        <v>SC</v>
      </c>
      <c r="K6638" t="str">
        <f>T("8432282234")</f>
        <v>8432282234</v>
      </c>
      <c r="L6638" t="str">
        <f>T("8432283757")</f>
        <v>8432283757</v>
      </c>
    </row>
    <row r="6639" spans="1:12" x14ac:dyDescent="0.35">
      <c r="A6639" t="str">
        <f t="shared" si="2528"/>
        <v>MCRD RCT M68002</v>
      </c>
      <c r="B6639" t="str">
        <f t="shared" si="2535"/>
        <v>MCRD/ERR</v>
      </c>
      <c r="C6639" t="str">
        <f t="shared" si="2529"/>
        <v>PO BOX 5069</v>
      </c>
      <c r="D6639" t="str">
        <f t="shared" si="2530"/>
        <v>PARRIS ISLAND</v>
      </c>
      <c r="E6639" t="str">
        <f t="shared" si="2531"/>
        <v>SC</v>
      </c>
      <c r="F6639" t="str">
        <f t="shared" si="2532"/>
        <v>299050069</v>
      </c>
      <c r="G6639" t="str">
        <f>T("PO BOX 16001")</f>
        <v>PO BOX 16001</v>
      </c>
      <c r="H6639" t="str">
        <f t="shared" si="2538"/>
        <v/>
      </c>
      <c r="I6639" t="str">
        <f t="shared" si="2533"/>
        <v>PARRIS ISLAND</v>
      </c>
      <c r="J6639" t="str">
        <f t="shared" si="2534"/>
        <v>SC</v>
      </c>
      <c r="K6639" t="str">
        <f>T("8432282437")</f>
        <v>8432282437</v>
      </c>
      <c r="L6639" t="str">
        <f>T("8432282474")</f>
        <v>8432282474</v>
      </c>
    </row>
    <row r="6640" spans="1:12" x14ac:dyDescent="0.35">
      <c r="A6640" t="str">
        <f t="shared" si="2528"/>
        <v>MCRD RCT M68002</v>
      </c>
      <c r="B6640" t="str">
        <f t="shared" si="2535"/>
        <v>MCRD/ERR</v>
      </c>
      <c r="C6640" t="str">
        <f t="shared" si="2529"/>
        <v>PO BOX 5069</v>
      </c>
      <c r="D6640" t="str">
        <f t="shared" si="2530"/>
        <v>PARRIS ISLAND</v>
      </c>
      <c r="E6640" t="str">
        <f t="shared" si="2531"/>
        <v>SC</v>
      </c>
      <c r="F6640" t="str">
        <f t="shared" si="2532"/>
        <v>299050069</v>
      </c>
      <c r="G6640" t="str">
        <f>T("PO BOX 16001")</f>
        <v>PO BOX 16001</v>
      </c>
      <c r="H6640" t="str">
        <f t="shared" si="2538"/>
        <v/>
      </c>
      <c r="I6640" t="str">
        <f t="shared" si="2533"/>
        <v>PARRIS ISLAND</v>
      </c>
      <c r="J6640" t="str">
        <f t="shared" si="2534"/>
        <v>SC</v>
      </c>
      <c r="K6640" t="str">
        <f>T("8432282462")</f>
        <v>8432282462</v>
      </c>
      <c r="L6640" t="str">
        <f>T("8432283657")</f>
        <v>8432283657</v>
      </c>
    </row>
    <row r="6641" spans="1:12" x14ac:dyDescent="0.35">
      <c r="A6641" t="str">
        <f t="shared" si="2528"/>
        <v>MCRD RCT M68002</v>
      </c>
      <c r="B6641" t="str">
        <f t="shared" si="2535"/>
        <v>MCRD/ERR</v>
      </c>
      <c r="C6641" t="str">
        <f t="shared" si="2529"/>
        <v>PO BOX 5069</v>
      </c>
      <c r="D6641" t="str">
        <f t="shared" si="2530"/>
        <v>PARRIS ISLAND</v>
      </c>
      <c r="E6641" t="str">
        <f t="shared" si="2531"/>
        <v>SC</v>
      </c>
      <c r="F6641" t="str">
        <f t="shared" si="2532"/>
        <v>299050069</v>
      </c>
      <c r="G6641" t="str">
        <f>T("PO BOX 16001")</f>
        <v>PO BOX 16001</v>
      </c>
      <c r="H6641" t="str">
        <f t="shared" si="2538"/>
        <v/>
      </c>
      <c r="I6641" t="str">
        <f t="shared" si="2533"/>
        <v>PARRIS ISLAND</v>
      </c>
      <c r="J6641" t="str">
        <f t="shared" si="2534"/>
        <v>SC</v>
      </c>
      <c r="K6641" t="str">
        <f>T("8432283627")</f>
        <v>8432283627</v>
      </c>
      <c r="L6641" t="str">
        <f>T("8432282258")</f>
        <v>8432282258</v>
      </c>
    </row>
    <row r="6642" spans="1:12" x14ac:dyDescent="0.35">
      <c r="A6642" t="str">
        <f t="shared" si="2528"/>
        <v>MCRD RCT M68002</v>
      </c>
      <c r="B6642" t="str">
        <f t="shared" si="2535"/>
        <v>MCRD/ERR</v>
      </c>
      <c r="C6642" t="str">
        <f t="shared" si="2529"/>
        <v>PO BOX 5069</v>
      </c>
      <c r="D6642" t="str">
        <f t="shared" si="2530"/>
        <v>PARRIS ISLAND</v>
      </c>
      <c r="E6642" t="str">
        <f t="shared" si="2531"/>
        <v>SC</v>
      </c>
      <c r="F6642" t="str">
        <f t="shared" si="2532"/>
        <v>299050069</v>
      </c>
      <c r="G6642" t="str">
        <f>T("PO BOX 17001")</f>
        <v>PO BOX 17001</v>
      </c>
      <c r="H6642" t="str">
        <f t="shared" si="2538"/>
        <v/>
      </c>
      <c r="I6642" t="str">
        <f t="shared" si="2533"/>
        <v>PARRIS ISLAND</v>
      </c>
      <c r="J6642" t="str">
        <f t="shared" si="2534"/>
        <v>SC</v>
      </c>
      <c r="K6642" t="str">
        <f>T("000000000000000000")</f>
        <v>000000000000000000</v>
      </c>
      <c r="L6642" t="str">
        <f>T("8432282912")</f>
        <v>8432282912</v>
      </c>
    </row>
    <row r="6643" spans="1:12" x14ac:dyDescent="0.35">
      <c r="A6643" t="str">
        <f t="shared" si="2528"/>
        <v>MCRD RCT M68002</v>
      </c>
      <c r="B6643" t="str">
        <f t="shared" si="2535"/>
        <v>MCRD/ERR</v>
      </c>
      <c r="C6643" t="str">
        <f t="shared" si="2529"/>
        <v>PO BOX 5069</v>
      </c>
      <c r="D6643" t="str">
        <f t="shared" si="2530"/>
        <v>PARRIS ISLAND</v>
      </c>
      <c r="E6643" t="str">
        <f t="shared" si="2531"/>
        <v>SC</v>
      </c>
      <c r="F6643" t="str">
        <f t="shared" si="2532"/>
        <v>299050069</v>
      </c>
      <c r="G6643" t="str">
        <f>T("PO BOX 17001")</f>
        <v>PO BOX 17001</v>
      </c>
      <c r="H6643" t="str">
        <f t="shared" si="2538"/>
        <v/>
      </c>
      <c r="I6643" t="str">
        <f t="shared" si="2533"/>
        <v>PARRIS ISLAND</v>
      </c>
      <c r="J6643" t="str">
        <f t="shared" si="2534"/>
        <v>SC</v>
      </c>
      <c r="K6643" t="str">
        <f>T("000000000000000000")</f>
        <v>000000000000000000</v>
      </c>
      <c r="L6643" t="str">
        <f>T("8432284030")</f>
        <v>8432284030</v>
      </c>
    </row>
    <row r="6644" spans="1:12" x14ac:dyDescent="0.35">
      <c r="A6644" t="str">
        <f t="shared" si="2528"/>
        <v>MCRD RCT M68002</v>
      </c>
      <c r="B6644" t="str">
        <f t="shared" si="2535"/>
        <v>MCRD/ERR</v>
      </c>
      <c r="C6644" t="str">
        <f t="shared" si="2529"/>
        <v>PO BOX 5069</v>
      </c>
      <c r="D6644" t="str">
        <f t="shared" si="2530"/>
        <v>PARRIS ISLAND</v>
      </c>
      <c r="E6644" t="str">
        <f t="shared" si="2531"/>
        <v>SC</v>
      </c>
      <c r="F6644" t="str">
        <f t="shared" si="2532"/>
        <v>299050069</v>
      </c>
      <c r="G6644" t="str">
        <f>T("PO BOX 19420")</f>
        <v>PO BOX 19420</v>
      </c>
      <c r="H6644" t="str">
        <f t="shared" si="2538"/>
        <v/>
      </c>
      <c r="I6644" t="str">
        <f t="shared" si="2533"/>
        <v>PARRIS ISLAND</v>
      </c>
      <c r="J6644" t="str">
        <f t="shared" si="2534"/>
        <v>SC</v>
      </c>
      <c r="K6644" t="str">
        <f>T("000000000000000000")</f>
        <v>000000000000000000</v>
      </c>
      <c r="L6644" t="str">
        <f>T("8432283228")</f>
        <v>8432283228</v>
      </c>
    </row>
    <row r="6645" spans="1:12" x14ac:dyDescent="0.35">
      <c r="A6645" t="str">
        <f t="shared" si="2528"/>
        <v>MCRD RCT M68002</v>
      </c>
      <c r="B6645" t="str">
        <f t="shared" si="2535"/>
        <v>MCRD/ERR</v>
      </c>
      <c r="C6645" t="str">
        <f t="shared" si="2529"/>
        <v>PO BOX 5069</v>
      </c>
      <c r="D6645" t="str">
        <f t="shared" si="2530"/>
        <v>PARRIS ISLAND</v>
      </c>
      <c r="E6645" t="str">
        <f t="shared" si="2531"/>
        <v>SC</v>
      </c>
      <c r="F6645" t="str">
        <f t="shared" si="2532"/>
        <v>299050069</v>
      </c>
      <c r="G6645" t="str">
        <f>T("PO BOX 19420")</f>
        <v>PO BOX 19420</v>
      </c>
      <c r="H6645" t="str">
        <f t="shared" si="2538"/>
        <v/>
      </c>
      <c r="I6645" t="str">
        <f t="shared" si="2533"/>
        <v>PARRIS ISLAND</v>
      </c>
      <c r="J6645" t="str">
        <f t="shared" si="2534"/>
        <v>SC</v>
      </c>
      <c r="K6645" t="str">
        <f>T("8432283075")</f>
        <v>8432283075</v>
      </c>
      <c r="L6645" t="str">
        <f>T("8432283228")</f>
        <v>8432283228</v>
      </c>
    </row>
    <row r="6646" spans="1:12" x14ac:dyDescent="0.35">
      <c r="A6646" t="str">
        <f t="shared" si="2528"/>
        <v>MCRD RCT M68002</v>
      </c>
      <c r="B6646" t="str">
        <f t="shared" si="2535"/>
        <v>MCRD/ERR</v>
      </c>
      <c r="C6646" t="str">
        <f t="shared" si="2529"/>
        <v>PO BOX 5069</v>
      </c>
      <c r="D6646" t="str">
        <f t="shared" si="2530"/>
        <v>PARRIS ISLAND</v>
      </c>
      <c r="E6646" t="str">
        <f t="shared" si="2531"/>
        <v>SC</v>
      </c>
      <c r="F6646" t="str">
        <f t="shared" si="2532"/>
        <v>299050069</v>
      </c>
      <c r="G6646" t="str">
        <f>T("PO BOX 19470")</f>
        <v>PO BOX 19470</v>
      </c>
      <c r="H6646" t="str">
        <f t="shared" si="2538"/>
        <v/>
      </c>
      <c r="I6646" t="str">
        <f t="shared" si="2533"/>
        <v>PARRIS ISLAND</v>
      </c>
      <c r="J6646" t="str">
        <f t="shared" si="2534"/>
        <v>SC</v>
      </c>
      <c r="K6646" t="str">
        <f>T("8432283939")</f>
        <v>8432283939</v>
      </c>
      <c r="L6646" t="str">
        <f>T("8432284336")</f>
        <v>8432284336</v>
      </c>
    </row>
    <row r="6647" spans="1:12" x14ac:dyDescent="0.35">
      <c r="A6647" t="str">
        <f t="shared" si="2528"/>
        <v>MCRD RCT M68002</v>
      </c>
      <c r="B6647" t="str">
        <f t="shared" si="2535"/>
        <v>MCRD/ERR</v>
      </c>
      <c r="C6647" t="str">
        <f t="shared" si="2529"/>
        <v>PO BOX 5069</v>
      </c>
      <c r="D6647" t="str">
        <f t="shared" si="2530"/>
        <v>PARRIS ISLAND</v>
      </c>
      <c r="E6647" t="str">
        <f t="shared" si="2531"/>
        <v>SC</v>
      </c>
      <c r="F6647" t="str">
        <f t="shared" si="2532"/>
        <v>299050069</v>
      </c>
      <c r="G6647" t="str">
        <f>T("PO BOX 19601")</f>
        <v>PO BOX 19601</v>
      </c>
      <c r="H6647" t="str">
        <f t="shared" si="2538"/>
        <v/>
      </c>
      <c r="I6647" t="str">
        <f t="shared" si="2533"/>
        <v>PARRIS ISLAND</v>
      </c>
      <c r="J6647" t="str">
        <f t="shared" si="2534"/>
        <v>SC</v>
      </c>
      <c r="K6647" t="str">
        <f>T("000000000000000000")</f>
        <v>000000000000000000</v>
      </c>
      <c r="L6647" t="str">
        <f>T("8432283533")</f>
        <v>8432283533</v>
      </c>
    </row>
    <row r="6648" spans="1:12" x14ac:dyDescent="0.35">
      <c r="A6648" t="str">
        <f t="shared" si="2528"/>
        <v>MCRD RCT M68002</v>
      </c>
      <c r="B6648" t="str">
        <f t="shared" si="2535"/>
        <v>MCRD/ERR</v>
      </c>
      <c r="C6648" t="str">
        <f t="shared" si="2529"/>
        <v>PO BOX 5069</v>
      </c>
      <c r="D6648" t="str">
        <f t="shared" si="2530"/>
        <v>PARRIS ISLAND</v>
      </c>
      <c r="E6648" t="str">
        <f t="shared" si="2531"/>
        <v>SC</v>
      </c>
      <c r="F6648" t="str">
        <f t="shared" si="2532"/>
        <v>299050069</v>
      </c>
      <c r="G6648" t="str">
        <f>T("PO BOX 5069")</f>
        <v>PO BOX 5069</v>
      </c>
      <c r="H6648" t="str">
        <f t="shared" si="2538"/>
        <v/>
      </c>
      <c r="I6648" t="str">
        <f t="shared" si="2533"/>
        <v>PARRIS ISLAND</v>
      </c>
      <c r="J6648" t="str">
        <f t="shared" si="2534"/>
        <v>SC</v>
      </c>
      <c r="K6648" t="str">
        <f>T("8432283466")</f>
        <v>8432283466</v>
      </c>
      <c r="L6648" t="str">
        <f>T("8432282150")</f>
        <v>8432282150</v>
      </c>
    </row>
    <row r="6649" spans="1:12" x14ac:dyDescent="0.35">
      <c r="A6649" t="str">
        <f t="shared" si="2528"/>
        <v>MCRD RCT M68002</v>
      </c>
      <c r="B6649" t="str">
        <f t="shared" si="2535"/>
        <v>MCRD/ERR</v>
      </c>
      <c r="C6649" t="str">
        <f t="shared" si="2529"/>
        <v>PO BOX 5069</v>
      </c>
      <c r="D6649" t="str">
        <f t="shared" si="2530"/>
        <v>PARRIS ISLAND</v>
      </c>
      <c r="E6649" t="str">
        <f t="shared" si="2531"/>
        <v>SC</v>
      </c>
      <c r="F6649" t="str">
        <f t="shared" si="2532"/>
        <v>299050069</v>
      </c>
      <c r="G6649" t="str">
        <f>T("PO BOX 5069")</f>
        <v>PO BOX 5069</v>
      </c>
      <c r="H6649" t="str">
        <f>T("BLDG 159")</f>
        <v>BLDG 159</v>
      </c>
      <c r="I6649" t="str">
        <f t="shared" si="2533"/>
        <v>PARRIS ISLAND</v>
      </c>
      <c r="J6649" t="str">
        <f t="shared" si="2534"/>
        <v>SC</v>
      </c>
      <c r="K6649" t="str">
        <f>T("8432282163")</f>
        <v>8432282163</v>
      </c>
      <c r="L6649" t="str">
        <f>T("8432284065")</f>
        <v>8432284065</v>
      </c>
    </row>
    <row r="6650" spans="1:12" x14ac:dyDescent="0.35">
      <c r="A6650" t="str">
        <f t="shared" si="2528"/>
        <v>MCRD RCT M68002</v>
      </c>
      <c r="B6650" t="str">
        <f t="shared" si="2535"/>
        <v>MCRD/ERR</v>
      </c>
      <c r="C6650" t="str">
        <f t="shared" si="2529"/>
        <v>PO BOX 5069</v>
      </c>
      <c r="D6650" t="str">
        <f t="shared" si="2530"/>
        <v>PARRIS ISLAND</v>
      </c>
      <c r="E6650" t="str">
        <f t="shared" si="2531"/>
        <v>SC</v>
      </c>
      <c r="F6650" t="str">
        <f t="shared" si="2532"/>
        <v>299050069</v>
      </c>
      <c r="G6650" t="str">
        <f>T("RCO RCT MPC")</f>
        <v>RCO RCT MPC</v>
      </c>
      <c r="H6650" t="str">
        <f>T("P O BOX 5069")</f>
        <v>P O BOX 5069</v>
      </c>
      <c r="I6650" t="str">
        <f t="shared" si="2533"/>
        <v>PARRIS ISLAND</v>
      </c>
      <c r="J6650" t="str">
        <f t="shared" si="2534"/>
        <v>SC</v>
      </c>
      <c r="K6650" t="str">
        <f>T("8432282163")</f>
        <v>8432282163</v>
      </c>
      <c r="L6650" t="str">
        <f>T("8432283622")</f>
        <v>8432283622</v>
      </c>
    </row>
    <row r="6651" spans="1:12" x14ac:dyDescent="0.35">
      <c r="A6651" t="str">
        <f t="shared" si="2528"/>
        <v>MCRD RCT M68002</v>
      </c>
      <c r="B6651" t="str">
        <f t="shared" si="2535"/>
        <v>MCRD/ERR</v>
      </c>
      <c r="C6651" t="str">
        <f>T("POBOX 5069")</f>
        <v>POBOX 5069</v>
      </c>
      <c r="D6651" t="str">
        <f t="shared" si="2530"/>
        <v>PARRIS ISLAND</v>
      </c>
      <c r="E6651" t="str">
        <f t="shared" si="2531"/>
        <v>SC</v>
      </c>
      <c r="F6651" t="str">
        <f t="shared" si="2532"/>
        <v>299050069</v>
      </c>
      <c r="G6651" t="str">
        <f>T("MCRD/ERR")</f>
        <v>MCRD/ERR</v>
      </c>
      <c r="H6651" t="str">
        <f>T("POBOX 5069")</f>
        <v>POBOX 5069</v>
      </c>
      <c r="I6651" t="str">
        <f t="shared" si="2533"/>
        <v>PARRIS ISLAND</v>
      </c>
      <c r="J6651" t="str">
        <f t="shared" si="2534"/>
        <v>SC</v>
      </c>
      <c r="K6651" t="str">
        <f>T("8432283438")</f>
        <v>8432283438</v>
      </c>
      <c r="L6651" t="str">
        <f>T("8432283654")</f>
        <v>8432283654</v>
      </c>
    </row>
    <row r="6652" spans="1:12" x14ac:dyDescent="0.35">
      <c r="A6652" t="str">
        <f t="shared" si="2528"/>
        <v>MCRD RCT M68002</v>
      </c>
      <c r="B6652" t="str">
        <f t="shared" si="2535"/>
        <v>MCRD/ERR</v>
      </c>
      <c r="C6652" t="str">
        <f>T("POBOX 5069")</f>
        <v>POBOX 5069</v>
      </c>
      <c r="D6652" t="str">
        <f t="shared" si="2530"/>
        <v>PARRIS ISLAND</v>
      </c>
      <c r="E6652" t="str">
        <f t="shared" si="2531"/>
        <v>SC</v>
      </c>
      <c r="F6652" t="str">
        <f t="shared" si="2532"/>
        <v>299050069</v>
      </c>
      <c r="G6652" t="str">
        <f>T("MCRD/ERR")</f>
        <v>MCRD/ERR</v>
      </c>
      <c r="H6652" t="str">
        <f>T("POBOX 5069")</f>
        <v>POBOX 5069</v>
      </c>
      <c r="I6652" t="str">
        <f t="shared" si="2533"/>
        <v>PARRIS ISLAND</v>
      </c>
      <c r="J6652" t="str">
        <f t="shared" si="2534"/>
        <v>SC</v>
      </c>
      <c r="K6652" t="str">
        <f>T("8432284266")</f>
        <v>8432284266</v>
      </c>
      <c r="L6652" t="str">
        <f>T("8432282224")</f>
        <v>8432282224</v>
      </c>
    </row>
    <row r="6653" spans="1:12" x14ac:dyDescent="0.35">
      <c r="A6653" t="str">
        <f t="shared" si="2528"/>
        <v>MCRD RCT M68002</v>
      </c>
      <c r="B6653" t="str">
        <f t="shared" si="2535"/>
        <v>MCRD/ERR</v>
      </c>
      <c r="C6653" t="str">
        <f>T("POBOX 5069")</f>
        <v>POBOX 5069</v>
      </c>
      <c r="D6653" t="str">
        <f t="shared" si="2530"/>
        <v>PARRIS ISLAND</v>
      </c>
      <c r="E6653" t="str">
        <f t="shared" si="2531"/>
        <v>SC</v>
      </c>
      <c r="F6653" t="str">
        <f t="shared" si="2532"/>
        <v>299050069</v>
      </c>
      <c r="G6653" t="str">
        <f>T("PO BOX 1901")</f>
        <v>PO BOX 1901</v>
      </c>
      <c r="H6653" t="str">
        <f>T("")</f>
        <v/>
      </c>
      <c r="I6653" t="str">
        <f t="shared" si="2533"/>
        <v>PARRIS ISLAND</v>
      </c>
      <c r="J6653" t="str">
        <f t="shared" si="2534"/>
        <v>SC</v>
      </c>
      <c r="K6653" t="str">
        <f>T("000000000000000000")</f>
        <v>000000000000000000</v>
      </c>
      <c r="L6653" t="str">
        <f>T("8432284279")</f>
        <v>8432284279</v>
      </c>
    </row>
    <row r="6654" spans="1:12" x14ac:dyDescent="0.35">
      <c r="A6654" t="str">
        <f t="shared" si="2528"/>
        <v>MCRD RCT M68002</v>
      </c>
      <c r="B6654" t="str">
        <f t="shared" si="2535"/>
        <v>MCRD/ERR</v>
      </c>
      <c r="C6654" t="str">
        <f>T("POBOX 5069")</f>
        <v>POBOX 5069</v>
      </c>
      <c r="D6654" t="str">
        <f t="shared" si="2530"/>
        <v>PARRIS ISLAND</v>
      </c>
      <c r="E6654" t="str">
        <f t="shared" si="2531"/>
        <v>SC</v>
      </c>
      <c r="F6654" t="str">
        <f t="shared" si="2532"/>
        <v>299050069</v>
      </c>
      <c r="G6654" t="str">
        <f>T("RECRUIT")</f>
        <v>RECRUIT</v>
      </c>
      <c r="H6654" t="str">
        <f>T("P O BOX 18001")</f>
        <v>P O BOX 18001</v>
      </c>
      <c r="I6654" t="str">
        <f t="shared" si="2533"/>
        <v>PARRIS ISLAND</v>
      </c>
      <c r="J6654" t="str">
        <f t="shared" si="2534"/>
        <v>SC</v>
      </c>
      <c r="K6654" t="str">
        <f>T("000000000000000000")</f>
        <v>000000000000000000</v>
      </c>
      <c r="L6654" t="str">
        <f>T("8432282448")</f>
        <v>8432282448</v>
      </c>
    </row>
    <row r="6655" spans="1:12" x14ac:dyDescent="0.35">
      <c r="A6655" t="str">
        <f t="shared" ref="A6655:A6681" si="2539">T("MCRD SD")</f>
        <v>MCRD SD</v>
      </c>
      <c r="B6655" t="str">
        <f>T("1600 HENDERSON AVE")</f>
        <v>1600 HENDERSON AVE</v>
      </c>
      <c r="C6655" t="str">
        <f>T("BLDG 29 RM 218")</f>
        <v>BLDG 29 RM 218</v>
      </c>
      <c r="D6655" t="str">
        <f t="shared" ref="D6655:D6678" si="2540">T("SAN DIEGO")</f>
        <v>SAN DIEGO</v>
      </c>
      <c r="E6655" t="str">
        <f t="shared" ref="E6655:E6686" si="2541">T("CA")</f>
        <v>CA</v>
      </c>
      <c r="F6655" t="str">
        <f>T("921405000")</f>
        <v>921405000</v>
      </c>
      <c r="G6655" t="str">
        <f>T("1600 HENDERSON AVE")</f>
        <v>1600 HENDERSON AVE</v>
      </c>
      <c r="H6655" t="str">
        <f>T("BLDG 29 RM 218")</f>
        <v>BLDG 29 RM 218</v>
      </c>
      <c r="I6655" t="str">
        <f t="shared" ref="I6655:I6678" si="2542">T("SAN DIEGO")</f>
        <v>SAN DIEGO</v>
      </c>
      <c r="J6655" t="str">
        <f t="shared" ref="J6655:J6686" si="2543">T("CA")</f>
        <v>CA</v>
      </c>
      <c r="K6655" t="str">
        <f>T("6195248207")</f>
        <v>6195248207</v>
      </c>
      <c r="L6655" t="str">
        <f>T("6195248271")</f>
        <v>6195248271</v>
      </c>
    </row>
    <row r="6656" spans="1:12" x14ac:dyDescent="0.35">
      <c r="A6656" t="str">
        <f t="shared" si="2539"/>
        <v>MCRD SD</v>
      </c>
      <c r="B6656" t="str">
        <f>T("1600 HENDERSON AVE")</f>
        <v>1600 HENDERSON AVE</v>
      </c>
      <c r="C6656" t="str">
        <f>T("BLDG 29 RM 218")</f>
        <v>BLDG 29 RM 218</v>
      </c>
      <c r="D6656" t="str">
        <f t="shared" si="2540"/>
        <v>SAN DIEGO</v>
      </c>
      <c r="E6656" t="str">
        <f t="shared" si="2541"/>
        <v>CA</v>
      </c>
      <c r="F6656" t="str">
        <f>T("921405000")</f>
        <v>921405000</v>
      </c>
      <c r="G6656" t="str">
        <f>T("MARINE CORPS RECRUIT DEPOT")</f>
        <v>MARINE CORPS RECRUIT DEPOT</v>
      </c>
      <c r="H6656" t="str">
        <f>T("3401 SEMINOLE ST BLDG 29")</f>
        <v>3401 SEMINOLE ST BLDG 29</v>
      </c>
      <c r="I6656" t="str">
        <f t="shared" si="2542"/>
        <v>SAN DIEGO</v>
      </c>
      <c r="J6656" t="str">
        <f t="shared" si="2543"/>
        <v>CA</v>
      </c>
      <c r="K6656" t="str">
        <f>T("000000000000000000")</f>
        <v>000000000000000000</v>
      </c>
      <c r="L6656" t="str">
        <f>T("6195248206")</f>
        <v>6195248206</v>
      </c>
    </row>
    <row r="6657" spans="1:12" x14ac:dyDescent="0.35">
      <c r="A6657" t="str">
        <f t="shared" si="2539"/>
        <v>MCRD SD</v>
      </c>
      <c r="B6657" t="str">
        <f>T("1600 HENDERSON AVE")</f>
        <v>1600 HENDERSON AVE</v>
      </c>
      <c r="C6657" t="str">
        <f>T("BLDG 29 RM 218")</f>
        <v>BLDG 29 RM 218</v>
      </c>
      <c r="D6657" t="str">
        <f t="shared" si="2540"/>
        <v>SAN DIEGO</v>
      </c>
      <c r="E6657" t="str">
        <f t="shared" si="2541"/>
        <v>CA</v>
      </c>
      <c r="F6657" t="str">
        <f>T("921405000")</f>
        <v>921405000</v>
      </c>
      <c r="G6657" t="str">
        <f>T("MARINE CORPS RECRUT DEPOT")</f>
        <v>MARINE CORPS RECRUT DEPOT</v>
      </c>
      <c r="H6657" t="str">
        <f>T("3401 SEMINOLE ST BLDG 172")</f>
        <v>3401 SEMINOLE ST BLDG 172</v>
      </c>
      <c r="I6657" t="str">
        <f t="shared" si="2542"/>
        <v>SAN DIEGO</v>
      </c>
      <c r="J6657" t="str">
        <f t="shared" si="2543"/>
        <v>CA</v>
      </c>
      <c r="K6657" t="str">
        <f>T("6195248207")</f>
        <v>6195248207</v>
      </c>
      <c r="L6657" t="str">
        <f>T("6195248685")</f>
        <v>6195248685</v>
      </c>
    </row>
    <row r="6658" spans="1:12" x14ac:dyDescent="0.35">
      <c r="A6658" t="str">
        <f t="shared" si="2539"/>
        <v>MCRD SD</v>
      </c>
      <c r="B6658" t="str">
        <f>T("4250 BELLEAU AVE")</f>
        <v>4250 BELLEAU AVE</v>
      </c>
      <c r="C6658" t="str">
        <f>T("BLDG 129")</f>
        <v>BLDG 129</v>
      </c>
      <c r="D6658" t="str">
        <f t="shared" si="2540"/>
        <v>SAN DIEGO</v>
      </c>
      <c r="E6658" t="str">
        <f t="shared" si="2541"/>
        <v>CA</v>
      </c>
      <c r="F6658" t="str">
        <f>T("921405301")</f>
        <v>921405301</v>
      </c>
      <c r="G6658" t="str">
        <f>T("4250 BELLEAU AVE")</f>
        <v>4250 BELLEAU AVE</v>
      </c>
      <c r="H6658" t="str">
        <f>T("BLDG 129")</f>
        <v>BLDG 129</v>
      </c>
      <c r="I6658" t="str">
        <f t="shared" si="2542"/>
        <v>SAN DIEGO</v>
      </c>
      <c r="J6658" t="str">
        <f t="shared" si="2543"/>
        <v>CA</v>
      </c>
      <c r="K6658" t="str">
        <f>T("619 524 8135")</f>
        <v>619 524 8135</v>
      </c>
      <c r="L6658" t="str">
        <f>T("6195244273")</f>
        <v>6195244273</v>
      </c>
    </row>
    <row r="6659" spans="1:12" x14ac:dyDescent="0.35">
      <c r="A6659" t="str">
        <f t="shared" si="2539"/>
        <v>MCRD SD</v>
      </c>
      <c r="B6659" t="str">
        <f>T("4250 BELLEAU AVE")</f>
        <v>4250 BELLEAU AVE</v>
      </c>
      <c r="C6659" t="str">
        <f>T("BLDG 129")</f>
        <v>BLDG 129</v>
      </c>
      <c r="D6659" t="str">
        <f t="shared" si="2540"/>
        <v>SAN DIEGO</v>
      </c>
      <c r="E6659" t="str">
        <f t="shared" si="2541"/>
        <v>CA</v>
      </c>
      <c r="F6659" t="str">
        <f>T("921405301")</f>
        <v>921405301</v>
      </c>
      <c r="G6659" t="str">
        <f>T("4250 BELLEAU AVE")</f>
        <v>4250 BELLEAU AVE</v>
      </c>
      <c r="H6659" t="str">
        <f>T("BLDG 129")</f>
        <v>BLDG 129</v>
      </c>
      <c r="I6659" t="str">
        <f t="shared" si="2542"/>
        <v>SAN DIEGO</v>
      </c>
      <c r="J6659" t="str">
        <f t="shared" si="2543"/>
        <v>CA</v>
      </c>
      <c r="K6659" t="str">
        <f>T("6195248135")</f>
        <v>6195248135</v>
      </c>
      <c r="L6659" t="str">
        <f>T("6195241348")</f>
        <v>6195241348</v>
      </c>
    </row>
    <row r="6660" spans="1:12" x14ac:dyDescent="0.35">
      <c r="A6660" t="str">
        <f t="shared" si="2539"/>
        <v>MCRD SD</v>
      </c>
      <c r="B6660" t="str">
        <f>T("4250 BELLEAU AVE")</f>
        <v>4250 BELLEAU AVE</v>
      </c>
      <c r="C6660" t="str">
        <f>T("BLDG 129")</f>
        <v>BLDG 129</v>
      </c>
      <c r="D6660" t="str">
        <f t="shared" si="2540"/>
        <v>SAN DIEGO</v>
      </c>
      <c r="E6660" t="str">
        <f t="shared" si="2541"/>
        <v>CA</v>
      </c>
      <c r="F6660" t="str">
        <f>T("921405301")</f>
        <v>921405301</v>
      </c>
      <c r="G6660" t="str">
        <f>T("4250 BELLEAU AVE")</f>
        <v>4250 BELLEAU AVE</v>
      </c>
      <c r="H6660" t="str">
        <f>T("BLDG 129")</f>
        <v>BLDG 129</v>
      </c>
      <c r="I6660" t="str">
        <f t="shared" si="2542"/>
        <v>SAN DIEGO</v>
      </c>
      <c r="J6660" t="str">
        <f t="shared" si="2543"/>
        <v>CA</v>
      </c>
      <c r="K6660" t="str">
        <f>T("6195248135")</f>
        <v>6195248135</v>
      </c>
      <c r="L6660" t="str">
        <f>T("6195244265")</f>
        <v>6195244265</v>
      </c>
    </row>
    <row r="6661" spans="1:12" x14ac:dyDescent="0.35">
      <c r="A6661" t="str">
        <f t="shared" si="2539"/>
        <v>MCRD SD</v>
      </c>
      <c r="B6661" t="str">
        <f>T("4250 BELLEAU AVE")</f>
        <v>4250 BELLEAU AVE</v>
      </c>
      <c r="C6661" t="str">
        <f>T("BLDG 129")</f>
        <v>BLDG 129</v>
      </c>
      <c r="D6661" t="str">
        <f t="shared" si="2540"/>
        <v>SAN DIEGO</v>
      </c>
      <c r="E6661" t="str">
        <f t="shared" si="2541"/>
        <v>CA</v>
      </c>
      <c r="F6661" t="str">
        <f>T("921405301")</f>
        <v>921405301</v>
      </c>
      <c r="G6661" t="str">
        <f>T("4250 BELLEAU AVE BLDG 129")</f>
        <v>4250 BELLEAU AVE BLDG 129</v>
      </c>
      <c r="H6661" t="str">
        <f>T("")</f>
        <v/>
      </c>
      <c r="I6661" t="str">
        <f t="shared" si="2542"/>
        <v>SAN DIEGO</v>
      </c>
      <c r="J6661" t="str">
        <f t="shared" si="2543"/>
        <v>CA</v>
      </c>
      <c r="K6661" t="str">
        <f>T("6195248135")</f>
        <v>6195248135</v>
      </c>
      <c r="L6661" t="str">
        <f>T("6195241348")</f>
        <v>6195241348</v>
      </c>
    </row>
    <row r="6662" spans="1:12" x14ac:dyDescent="0.35">
      <c r="A6662" t="str">
        <f t="shared" si="2539"/>
        <v>MCRD SD</v>
      </c>
      <c r="B6662" t="str">
        <f>T("ATTN GCPC AO")</f>
        <v>ATTN GCPC AO</v>
      </c>
      <c r="C6662" t="str">
        <f>T("1600 HENDERSON AVE STE 209")</f>
        <v>1600 HENDERSON AVE STE 209</v>
      </c>
      <c r="D6662" t="str">
        <f t="shared" si="2540"/>
        <v>SAN DIEGO</v>
      </c>
      <c r="E6662" t="str">
        <f t="shared" si="2541"/>
        <v>CA</v>
      </c>
      <c r="F6662" t="str">
        <f>T("921405003")</f>
        <v>921405003</v>
      </c>
      <c r="G6662" t="str">
        <f>T("1600 HENDERSON AVE SUITE 221")</f>
        <v>1600 HENDERSON AVE SUITE 221</v>
      </c>
      <c r="H6662" t="str">
        <f>T("")</f>
        <v/>
      </c>
      <c r="I6662" t="str">
        <f t="shared" si="2542"/>
        <v>SAN DIEGO</v>
      </c>
      <c r="J6662" t="str">
        <f t="shared" si="2543"/>
        <v>CA</v>
      </c>
      <c r="K6662" t="str">
        <f>T("000000000000000000")</f>
        <v>000000000000000000</v>
      </c>
      <c r="L6662" t="str">
        <f>T("6195248058")</f>
        <v>6195248058</v>
      </c>
    </row>
    <row r="6663" spans="1:12" x14ac:dyDescent="0.35">
      <c r="A6663" t="str">
        <f t="shared" si="2539"/>
        <v>MCRD SD</v>
      </c>
      <c r="B6663" t="str">
        <f>T("ATTN GCPC AO")</f>
        <v>ATTN GCPC AO</v>
      </c>
      <c r="C6663" t="str">
        <f>T("1600 HENDERSON AVE STE 209")</f>
        <v>1600 HENDERSON AVE STE 209</v>
      </c>
      <c r="D6663" t="str">
        <f t="shared" si="2540"/>
        <v>SAN DIEGO</v>
      </c>
      <c r="E6663" t="str">
        <f t="shared" si="2541"/>
        <v>CA</v>
      </c>
      <c r="F6663" t="str">
        <f>T("921405003")</f>
        <v>921405003</v>
      </c>
      <c r="G6663" t="str">
        <f>T("ATTN GCPC AO")</f>
        <v>ATTN GCPC AO</v>
      </c>
      <c r="H6663" t="str">
        <f>T("1600 HENDERSON AVE STE 209")</f>
        <v>1600 HENDERSON AVE STE 209</v>
      </c>
      <c r="I6663" t="str">
        <f t="shared" si="2542"/>
        <v>SAN DIEGO</v>
      </c>
      <c r="J6663" t="str">
        <f t="shared" si="2543"/>
        <v>CA</v>
      </c>
      <c r="K6663" t="str">
        <f>T("619 524 8210")</f>
        <v>619 524 8210</v>
      </c>
      <c r="L6663" t="str">
        <f>T("6195248780")</f>
        <v>6195248780</v>
      </c>
    </row>
    <row r="6664" spans="1:12" x14ac:dyDescent="0.35">
      <c r="A6664" t="str">
        <f t="shared" si="2539"/>
        <v>MCRD SD</v>
      </c>
      <c r="B6664" t="str">
        <f>T("ATTN GCPC AO")</f>
        <v>ATTN GCPC AO</v>
      </c>
      <c r="C6664" t="str">
        <f>T("1800 SAMOA STREET")</f>
        <v>1800 SAMOA STREET</v>
      </c>
      <c r="D6664" t="str">
        <f t="shared" si="2540"/>
        <v>SAN DIEGO</v>
      </c>
      <c r="E6664" t="str">
        <f t="shared" si="2541"/>
        <v>CA</v>
      </c>
      <c r="F6664" t="str">
        <f>T("921405184")</f>
        <v>921405184</v>
      </c>
      <c r="G6664" t="str">
        <f>T("ATTN GCPC AO")</f>
        <v>ATTN GCPC AO</v>
      </c>
      <c r="H6664" t="str">
        <f>T("1800 SAMOA STREET")</f>
        <v>1800 SAMOA STREET</v>
      </c>
      <c r="I6664" t="str">
        <f t="shared" si="2542"/>
        <v>SAN DIEGO</v>
      </c>
      <c r="J6664" t="str">
        <f t="shared" si="2543"/>
        <v>CA</v>
      </c>
      <c r="K6664" t="str">
        <f>T("6195244136")</f>
        <v>6195244136</v>
      </c>
      <c r="L6664" t="str">
        <f>T("6195244142")</f>
        <v>6195244142</v>
      </c>
    </row>
    <row r="6665" spans="1:12" x14ac:dyDescent="0.35">
      <c r="A6665" t="str">
        <f t="shared" si="2539"/>
        <v>MCRD SD</v>
      </c>
      <c r="B6665" t="str">
        <f>T("ATTN GCPC APPROVING OFFICIAL")</f>
        <v>ATTN GCPC APPROVING OFFICIAL</v>
      </c>
      <c r="C6665" t="str">
        <f>T("3500 CHOSIN AVE BLG 27")</f>
        <v>3500 CHOSIN AVE BLG 27</v>
      </c>
      <c r="D6665" t="str">
        <f t="shared" si="2540"/>
        <v>SAN DIEGO</v>
      </c>
      <c r="E6665" t="str">
        <f t="shared" si="2541"/>
        <v>CA</v>
      </c>
      <c r="F6665" t="str">
        <f>T("921405198")</f>
        <v>921405198</v>
      </c>
      <c r="G6665" t="str">
        <f>T("3500 CHOSIN AVE")</f>
        <v>3500 CHOSIN AVE</v>
      </c>
      <c r="H6665" t="str">
        <f>T("BLDG 27")</f>
        <v>BLDG 27</v>
      </c>
      <c r="I6665" t="str">
        <f t="shared" si="2542"/>
        <v>SAN DIEGO</v>
      </c>
      <c r="J6665" t="str">
        <f t="shared" si="2543"/>
        <v>CA</v>
      </c>
      <c r="K6665" t="str">
        <f>T("000000000000000000")</f>
        <v>000000000000000000</v>
      </c>
      <c r="L6665" t="str">
        <f>T("6195246655")</f>
        <v>6195246655</v>
      </c>
    </row>
    <row r="6666" spans="1:12" x14ac:dyDescent="0.35">
      <c r="A6666" t="str">
        <f t="shared" si="2539"/>
        <v>MCRD SD</v>
      </c>
      <c r="B6666" t="str">
        <f>T("ATTN GCPC APPROVING OFFICIAL")</f>
        <v>ATTN GCPC APPROVING OFFICIAL</v>
      </c>
      <c r="C6666" t="str">
        <f>T("3500 CHOSIN AVE BLG 27")</f>
        <v>3500 CHOSIN AVE BLG 27</v>
      </c>
      <c r="D6666" t="str">
        <f t="shared" si="2540"/>
        <v>SAN DIEGO</v>
      </c>
      <c r="E6666" t="str">
        <f t="shared" si="2541"/>
        <v>CA</v>
      </c>
      <c r="F6666" t="str">
        <f>T("921405198")</f>
        <v>921405198</v>
      </c>
      <c r="G6666" t="str">
        <f>T("ATTN GCPC APPROVING OFFICIAL")</f>
        <v>ATTN GCPC APPROVING OFFICIAL</v>
      </c>
      <c r="H6666" t="str">
        <f>T("3500 CHOSIN AVE BLG 27")</f>
        <v>3500 CHOSIN AVE BLG 27</v>
      </c>
      <c r="I6666" t="str">
        <f t="shared" si="2542"/>
        <v>SAN DIEGO</v>
      </c>
      <c r="J6666" t="str">
        <f t="shared" si="2543"/>
        <v>CA</v>
      </c>
      <c r="K6666" t="str">
        <f>T("619 524 6663")</f>
        <v>619 524 6663</v>
      </c>
      <c r="L6666" t="str">
        <f>T("6195246653")</f>
        <v>6195246653</v>
      </c>
    </row>
    <row r="6667" spans="1:12" x14ac:dyDescent="0.35">
      <c r="A6667" t="str">
        <f t="shared" si="2539"/>
        <v>MCRD SD</v>
      </c>
      <c r="B6667" t="str">
        <f>T("MARINE CORPD RECRUIT DEPOT")</f>
        <v>MARINE CORPD RECRUIT DEPOT</v>
      </c>
      <c r="C6667" t="str">
        <f>T("1600 HENDERSON AVE BLDG 31")</f>
        <v>1600 HENDERSON AVE BLDG 31</v>
      </c>
      <c r="D6667" t="str">
        <f t="shared" si="2540"/>
        <v>SAN DIEGO</v>
      </c>
      <c r="E6667" t="str">
        <f t="shared" si="2541"/>
        <v>CA</v>
      </c>
      <c r="F6667" t="str">
        <f>T("921405594")</f>
        <v>921405594</v>
      </c>
      <c r="G6667" t="str">
        <f>T("MARINE CORPD RECRUIT DEPOT")</f>
        <v>MARINE CORPD RECRUIT DEPOT</v>
      </c>
      <c r="H6667" t="str">
        <f>T("1600 HENDERSON AVE BLDG 31")</f>
        <v>1600 HENDERSON AVE BLDG 31</v>
      </c>
      <c r="I6667" t="str">
        <f t="shared" si="2542"/>
        <v>SAN DIEGO</v>
      </c>
      <c r="J6667" t="str">
        <f t="shared" si="2543"/>
        <v>CA</v>
      </c>
      <c r="K6667" t="str">
        <f>T("6195240739")</f>
        <v>6195240739</v>
      </c>
      <c r="L6667" t="str">
        <f>T("6195248361")</f>
        <v>6195248361</v>
      </c>
    </row>
    <row r="6668" spans="1:12" x14ac:dyDescent="0.35">
      <c r="A6668" t="str">
        <f t="shared" si="2539"/>
        <v>MCRD SD</v>
      </c>
      <c r="B6668" t="str">
        <f t="shared" ref="B6668:B6675" si="2544">T("MARINE CORPS RECRUIT DEPOT")</f>
        <v>MARINE CORPS RECRUIT DEPOT</v>
      </c>
      <c r="C6668" t="str">
        <f>T("1600 HENDERSON AVE BLDG 31")</f>
        <v>1600 HENDERSON AVE BLDG 31</v>
      </c>
      <c r="D6668" t="str">
        <f t="shared" si="2540"/>
        <v>SAN DIEGO</v>
      </c>
      <c r="E6668" t="str">
        <f t="shared" si="2541"/>
        <v>CA</v>
      </c>
      <c r="F6668" t="str">
        <f>T("921405287")</f>
        <v>921405287</v>
      </c>
      <c r="G6668" t="str">
        <f>T("1600 HENDERSON ANE")</f>
        <v>1600 HENDERSON ANE</v>
      </c>
      <c r="H6668" t="str">
        <f>T("BLDG 31 RM 116")</f>
        <v>BLDG 31 RM 116</v>
      </c>
      <c r="I6668" t="str">
        <f t="shared" si="2542"/>
        <v>SAN DIEGO</v>
      </c>
      <c r="J6668" t="str">
        <f t="shared" si="2543"/>
        <v>CA</v>
      </c>
      <c r="K6668" t="str">
        <f>T("6195240739")</f>
        <v>6195240739</v>
      </c>
      <c r="L6668" t="str">
        <f>T("6195248837")</f>
        <v>6195248837</v>
      </c>
    </row>
    <row r="6669" spans="1:12" x14ac:dyDescent="0.35">
      <c r="A6669" t="str">
        <f t="shared" si="2539"/>
        <v>MCRD SD</v>
      </c>
      <c r="B6669" t="str">
        <f t="shared" si="2544"/>
        <v>MARINE CORPS RECRUIT DEPOT</v>
      </c>
      <c r="C6669" t="str">
        <f>T("1600 HENDERSON AVE BLDG 31")</f>
        <v>1600 HENDERSON AVE BLDG 31</v>
      </c>
      <c r="D6669" t="str">
        <f t="shared" si="2540"/>
        <v>SAN DIEGO</v>
      </c>
      <c r="E6669" t="str">
        <f t="shared" si="2541"/>
        <v>CA</v>
      </c>
      <c r="F6669" t="str">
        <f>T("921405287")</f>
        <v>921405287</v>
      </c>
      <c r="G6669" t="str">
        <f>T("1600 HENDERSON AVE")</f>
        <v>1600 HENDERSON AVE</v>
      </c>
      <c r="H6669" t="str">
        <f>T("BLDG 31 RM 116")</f>
        <v>BLDG 31 RM 116</v>
      </c>
      <c r="I6669" t="str">
        <f t="shared" si="2542"/>
        <v>SAN DIEGO</v>
      </c>
      <c r="J6669" t="str">
        <f t="shared" si="2543"/>
        <v>CA</v>
      </c>
      <c r="K6669" t="str">
        <f>T("6195240739")</f>
        <v>6195240739</v>
      </c>
      <c r="L6669" t="str">
        <f>T("6195248837")</f>
        <v>6195248837</v>
      </c>
    </row>
    <row r="6670" spans="1:12" x14ac:dyDescent="0.35">
      <c r="A6670" t="str">
        <f t="shared" si="2539"/>
        <v>MCRD SD</v>
      </c>
      <c r="B6670" t="str">
        <f t="shared" si="2544"/>
        <v>MARINE CORPS RECRUIT DEPOT</v>
      </c>
      <c r="C6670" t="str">
        <f>T("1600 HENDERSON AVE BLDG 31")</f>
        <v>1600 HENDERSON AVE BLDG 31</v>
      </c>
      <c r="D6670" t="str">
        <f t="shared" si="2540"/>
        <v>SAN DIEGO</v>
      </c>
      <c r="E6670" t="str">
        <f t="shared" si="2541"/>
        <v>CA</v>
      </c>
      <c r="F6670" t="str">
        <f>T("921405287")</f>
        <v>921405287</v>
      </c>
      <c r="G6670" t="str">
        <f>T("MARINE CORPS RECRUIT DEPOT")</f>
        <v>MARINE CORPS RECRUIT DEPOT</v>
      </c>
      <c r="H6670" t="str">
        <f>T("1600 HENDERSON AVE BLDG 31")</f>
        <v>1600 HENDERSON AVE BLDG 31</v>
      </c>
      <c r="I6670" t="str">
        <f t="shared" si="2542"/>
        <v>SAN DIEGO</v>
      </c>
      <c r="J6670" t="str">
        <f t="shared" si="2543"/>
        <v>CA</v>
      </c>
      <c r="K6670" t="str">
        <f>T("6195240739")</f>
        <v>6195240739</v>
      </c>
      <c r="L6670" t="str">
        <f>T("6195248361")</f>
        <v>6195248361</v>
      </c>
    </row>
    <row r="6671" spans="1:12" x14ac:dyDescent="0.35">
      <c r="A6671" t="str">
        <f t="shared" si="2539"/>
        <v>MCRD SD</v>
      </c>
      <c r="B6671" t="str">
        <f t="shared" si="2544"/>
        <v>MARINE CORPS RECRUIT DEPOT</v>
      </c>
      <c r="C6671" t="str">
        <f>T("1600 HENDERSON AVE BLDG 31-209")</f>
        <v>1600 HENDERSON AVE BLDG 31-209</v>
      </c>
      <c r="D6671" t="str">
        <f t="shared" si="2540"/>
        <v>SAN DIEGO</v>
      </c>
      <c r="E6671" t="str">
        <f t="shared" si="2541"/>
        <v>CA</v>
      </c>
      <c r="F6671" t="str">
        <f>T("921405000")</f>
        <v>921405000</v>
      </c>
      <c r="G6671" t="str">
        <f>T("MARINE CORPS RECRUIT DEPOT")</f>
        <v>MARINE CORPS RECRUIT DEPOT</v>
      </c>
      <c r="H6671" t="str">
        <f>T("1600 HENDERSON AVE BLDG 31-209")</f>
        <v>1600 HENDERSON AVE BLDG 31-209</v>
      </c>
      <c r="I6671" t="str">
        <f t="shared" si="2542"/>
        <v>SAN DIEGO</v>
      </c>
      <c r="J6671" t="str">
        <f t="shared" si="2543"/>
        <v>CA</v>
      </c>
      <c r="K6671" t="str">
        <f>T("6195248210")</f>
        <v>6195248210</v>
      </c>
      <c r="L6671" t="str">
        <f>T("6195248780")</f>
        <v>6195248780</v>
      </c>
    </row>
    <row r="6672" spans="1:12" x14ac:dyDescent="0.35">
      <c r="A6672" t="str">
        <f t="shared" si="2539"/>
        <v>MCRD SD</v>
      </c>
      <c r="B6672" t="str">
        <f t="shared" si="2544"/>
        <v>MARINE CORPS RECRUIT DEPOT</v>
      </c>
      <c r="C6672" t="str">
        <f>T("4600 BELLEAU AVE")</f>
        <v>4600 BELLEAU AVE</v>
      </c>
      <c r="D6672" t="str">
        <f t="shared" si="2540"/>
        <v>SAN DIEGO</v>
      </c>
      <c r="E6672" t="str">
        <f t="shared" si="2541"/>
        <v>CA</v>
      </c>
      <c r="F6672" t="str">
        <f>T("921405396")</f>
        <v>921405396</v>
      </c>
      <c r="G6672" t="str">
        <f>T("4600 BELLEAU AVE")</f>
        <v>4600 BELLEAU AVE</v>
      </c>
      <c r="H6672" t="str">
        <f>T("BLDG 228")</f>
        <v>BLDG 228</v>
      </c>
      <c r="I6672" t="str">
        <f t="shared" si="2542"/>
        <v>SAN DIEGO</v>
      </c>
      <c r="J6672" t="str">
        <f t="shared" si="2543"/>
        <v>CA</v>
      </c>
      <c r="K6672" t="str">
        <f>T("000000000000000000")</f>
        <v>000000000000000000</v>
      </c>
      <c r="L6672" t="str">
        <f>T("6195244364")</f>
        <v>6195244364</v>
      </c>
    </row>
    <row r="6673" spans="1:12" x14ac:dyDescent="0.35">
      <c r="A6673" t="str">
        <f t="shared" si="2539"/>
        <v>MCRD SD</v>
      </c>
      <c r="B6673" t="str">
        <f t="shared" si="2544"/>
        <v>MARINE CORPS RECRUIT DEPOT</v>
      </c>
      <c r="C6673" t="str">
        <f>T("4600 BELLEAU AVE")</f>
        <v>4600 BELLEAU AVE</v>
      </c>
      <c r="D6673" t="str">
        <f t="shared" si="2540"/>
        <v>SAN DIEGO</v>
      </c>
      <c r="E6673" t="str">
        <f t="shared" si="2541"/>
        <v>CA</v>
      </c>
      <c r="F6673" t="str">
        <f>T("921405396")</f>
        <v>921405396</v>
      </c>
      <c r="G6673" t="str">
        <f>T("4600 BELLEAU AVE")</f>
        <v>4600 BELLEAU AVE</v>
      </c>
      <c r="H6673" t="str">
        <f>T("BLDG 228")</f>
        <v>BLDG 228</v>
      </c>
      <c r="I6673" t="str">
        <f t="shared" si="2542"/>
        <v>SAN DIEGO</v>
      </c>
      <c r="J6673" t="str">
        <f t="shared" si="2543"/>
        <v>CA</v>
      </c>
      <c r="K6673" t="str">
        <f>T("000000000000000000")</f>
        <v>000000000000000000</v>
      </c>
      <c r="L6673" t="str">
        <f>T("6195246884")</f>
        <v>6195246884</v>
      </c>
    </row>
    <row r="6674" spans="1:12" x14ac:dyDescent="0.35">
      <c r="A6674" t="str">
        <f t="shared" si="2539"/>
        <v>MCRD SD</v>
      </c>
      <c r="B6674" t="str">
        <f t="shared" si="2544"/>
        <v>MARINE CORPS RECRUIT DEPOT</v>
      </c>
      <c r="C6674" t="str">
        <f>T("4600 BELLEAU AVE")</f>
        <v>4600 BELLEAU AVE</v>
      </c>
      <c r="D6674" t="str">
        <f t="shared" si="2540"/>
        <v>SAN DIEGO</v>
      </c>
      <c r="E6674" t="str">
        <f t="shared" si="2541"/>
        <v>CA</v>
      </c>
      <c r="F6674" t="str">
        <f>T("921405396")</f>
        <v>921405396</v>
      </c>
      <c r="G6674" t="str">
        <f>T("4600 BELLEAU AVE")</f>
        <v>4600 BELLEAU AVE</v>
      </c>
      <c r="H6674" t="str">
        <f>T("BLDG 228 MCRD")</f>
        <v>BLDG 228 MCRD</v>
      </c>
      <c r="I6674" t="str">
        <f t="shared" si="2542"/>
        <v>SAN DIEGO</v>
      </c>
      <c r="J6674" t="str">
        <f t="shared" si="2543"/>
        <v>CA</v>
      </c>
      <c r="K6674" t="str">
        <f>T("000000000000000000")</f>
        <v>000000000000000000</v>
      </c>
      <c r="L6674" t="str">
        <f>T("6195244384")</f>
        <v>6195244384</v>
      </c>
    </row>
    <row r="6675" spans="1:12" x14ac:dyDescent="0.35">
      <c r="A6675" t="str">
        <f t="shared" si="2539"/>
        <v>MCRD SD</v>
      </c>
      <c r="B6675" t="str">
        <f t="shared" si="2544"/>
        <v>MARINE CORPS RECRUIT DEPOT</v>
      </c>
      <c r="C6675" t="str">
        <f>T("4600 BELLEAU AVE")</f>
        <v>4600 BELLEAU AVE</v>
      </c>
      <c r="D6675" t="str">
        <f t="shared" si="2540"/>
        <v>SAN DIEGO</v>
      </c>
      <c r="E6675" t="str">
        <f t="shared" si="2541"/>
        <v>CA</v>
      </c>
      <c r="F6675" t="str">
        <f>T("921405396")</f>
        <v>921405396</v>
      </c>
      <c r="G6675" t="str">
        <f>T("MARINE CORPS RECRUIT DEPOT")</f>
        <v>MARINE CORPS RECRUIT DEPOT</v>
      </c>
      <c r="H6675" t="str">
        <f>T("4600 BELLEAU AVE")</f>
        <v>4600 BELLEAU AVE</v>
      </c>
      <c r="I6675" t="str">
        <f t="shared" si="2542"/>
        <v>SAN DIEGO</v>
      </c>
      <c r="J6675" t="str">
        <f t="shared" si="2543"/>
        <v>CA</v>
      </c>
      <c r="K6675" t="str">
        <f>T("6195245243")</f>
        <v>6195245243</v>
      </c>
      <c r="L6675" t="str">
        <f>T("6195244383")</f>
        <v>6195244383</v>
      </c>
    </row>
    <row r="6676" spans="1:12" x14ac:dyDescent="0.35">
      <c r="A6676" t="str">
        <f t="shared" si="2539"/>
        <v>MCRD SD</v>
      </c>
      <c r="B6676" t="str">
        <f>T("RTR")</f>
        <v>RTR</v>
      </c>
      <c r="C6676" t="str">
        <f>T("1500 IWO JIMA AVE BLG 28")</f>
        <v>1500 IWO JIMA AVE BLG 28</v>
      </c>
      <c r="D6676" t="str">
        <f t="shared" si="2540"/>
        <v>SAN DIEGO</v>
      </c>
      <c r="E6676" t="str">
        <f t="shared" si="2541"/>
        <v>CA</v>
      </c>
      <c r="F6676" t="str">
        <f>T("921405696")</f>
        <v>921405696</v>
      </c>
      <c r="G6676" t="str">
        <f>T("1500 IWO JIMA AVE")</f>
        <v>1500 IWO JIMA AVE</v>
      </c>
      <c r="H6676" t="str">
        <f>T("")</f>
        <v/>
      </c>
      <c r="I6676" t="str">
        <f t="shared" si="2542"/>
        <v>SAN DIEGO</v>
      </c>
      <c r="J6676" t="str">
        <f t="shared" si="2543"/>
        <v>CA</v>
      </c>
      <c r="K6676" t="str">
        <f>T("6195241851")</f>
        <v>6195241851</v>
      </c>
      <c r="L6676" t="str">
        <f>T("6195241760")</f>
        <v>6195241760</v>
      </c>
    </row>
    <row r="6677" spans="1:12" x14ac:dyDescent="0.35">
      <c r="A6677" t="str">
        <f t="shared" si="2539"/>
        <v>MCRD SD</v>
      </c>
      <c r="B6677" t="str">
        <f>T("RTR")</f>
        <v>RTR</v>
      </c>
      <c r="C6677" t="str">
        <f>T("1500 IWO JIMA AVE BLG 28")</f>
        <v>1500 IWO JIMA AVE BLG 28</v>
      </c>
      <c r="D6677" t="str">
        <f t="shared" si="2540"/>
        <v>SAN DIEGO</v>
      </c>
      <c r="E6677" t="str">
        <f t="shared" si="2541"/>
        <v>CA</v>
      </c>
      <c r="F6677" t="str">
        <f>T("921405696")</f>
        <v>921405696</v>
      </c>
      <c r="G6677" t="str">
        <f>T("1500 IWO JIMA AVE")</f>
        <v>1500 IWO JIMA AVE</v>
      </c>
      <c r="H6677" t="str">
        <f>T("BLDG 28")</f>
        <v>BLDG 28</v>
      </c>
      <c r="I6677" t="str">
        <f t="shared" si="2542"/>
        <v>SAN DIEGO</v>
      </c>
      <c r="J6677" t="str">
        <f t="shared" si="2543"/>
        <v>CA</v>
      </c>
      <c r="K6677" t="str">
        <f>T("6195241851")</f>
        <v>6195241851</v>
      </c>
      <c r="L6677" t="str">
        <f>T("6195241760")</f>
        <v>6195241760</v>
      </c>
    </row>
    <row r="6678" spans="1:12" x14ac:dyDescent="0.35">
      <c r="A6678" t="str">
        <f t="shared" si="2539"/>
        <v>MCRD SD</v>
      </c>
      <c r="B6678" t="str">
        <f>T("RTR")</f>
        <v>RTR</v>
      </c>
      <c r="C6678" t="str">
        <f>T("1500 IWO JIMA AVE BLG 28")</f>
        <v>1500 IWO JIMA AVE BLG 28</v>
      </c>
      <c r="D6678" t="str">
        <f t="shared" si="2540"/>
        <v>SAN DIEGO</v>
      </c>
      <c r="E6678" t="str">
        <f t="shared" si="2541"/>
        <v>CA</v>
      </c>
      <c r="F6678" t="str">
        <f>T("921405696")</f>
        <v>921405696</v>
      </c>
      <c r="G6678" t="str">
        <f>T("RTR")</f>
        <v>RTR</v>
      </c>
      <c r="H6678" t="str">
        <f>T("1500 IWO JIMA AVE BLG 28")</f>
        <v>1500 IWO JIMA AVE BLG 28</v>
      </c>
      <c r="I6678" t="str">
        <f t="shared" si="2542"/>
        <v>SAN DIEGO</v>
      </c>
      <c r="J6678" t="str">
        <f t="shared" si="2543"/>
        <v>CA</v>
      </c>
      <c r="K6678" t="str">
        <f>T("619 524 1851")</f>
        <v>619 524 1851</v>
      </c>
      <c r="L6678" t="str">
        <f>T("6195241760")</f>
        <v>6195241760</v>
      </c>
    </row>
    <row r="6679" spans="1:12" x14ac:dyDescent="0.35">
      <c r="A6679" t="str">
        <f t="shared" si="2539"/>
        <v>MCRD SD</v>
      </c>
      <c r="B6679" t="str">
        <f>T("WFTBN")</f>
        <v>WFTBN</v>
      </c>
      <c r="C6679" t="str">
        <f>T("BLDG 310617")</f>
        <v>BLDG 310617</v>
      </c>
      <c r="D6679" t="str">
        <f>T("CAMP PENDLETON")</f>
        <v>CAMP PENDLETON</v>
      </c>
      <c r="E6679" t="str">
        <f t="shared" si="2541"/>
        <v>CA</v>
      </c>
      <c r="F6679" t="str">
        <f>T("920550000")</f>
        <v>920550000</v>
      </c>
      <c r="G6679" t="str">
        <f>T("P O BOX 555181")</f>
        <v>P O BOX 555181</v>
      </c>
      <c r="H6679" t="str">
        <f>T("WFTBN")</f>
        <v>WFTBN</v>
      </c>
      <c r="I6679" t="str">
        <f>T("CAMP PENDLETON")</f>
        <v>CAMP PENDLETON</v>
      </c>
      <c r="J6679" t="str">
        <f t="shared" si="2543"/>
        <v>CA</v>
      </c>
      <c r="K6679" t="str">
        <f>T("7607252309")</f>
        <v>7607252309</v>
      </c>
      <c r="L6679" t="str">
        <f>T("7607252455")</f>
        <v>7607252455</v>
      </c>
    </row>
    <row r="6680" spans="1:12" x14ac:dyDescent="0.35">
      <c r="A6680" t="str">
        <f t="shared" si="2539"/>
        <v>MCRD SD</v>
      </c>
      <c r="B6680" t="str">
        <f>T("WFTBN")</f>
        <v>WFTBN</v>
      </c>
      <c r="C6680" t="str">
        <f>T("BLDG 310617")</f>
        <v>BLDG 310617</v>
      </c>
      <c r="D6680" t="str">
        <f>T("CAMP PENDLETON")</f>
        <v>CAMP PENDLETON</v>
      </c>
      <c r="E6680" t="str">
        <f t="shared" si="2541"/>
        <v>CA</v>
      </c>
      <c r="F6680" t="str">
        <f>T("920550000")</f>
        <v>920550000</v>
      </c>
      <c r="G6680" t="str">
        <f>T("WFTBN")</f>
        <v>WFTBN</v>
      </c>
      <c r="H6680" t="str">
        <f>T("BLDG 310617")</f>
        <v>BLDG 310617</v>
      </c>
      <c r="I6680" t="str">
        <f>T("CAMP PENDLETON")</f>
        <v>CAMP PENDLETON</v>
      </c>
      <c r="J6680" t="str">
        <f t="shared" si="2543"/>
        <v>CA</v>
      </c>
      <c r="K6680" t="str">
        <f>T("7607252309")</f>
        <v>7607252309</v>
      </c>
      <c r="L6680" t="str">
        <f>T("7607252309")</f>
        <v>7607252309</v>
      </c>
    </row>
    <row r="6681" spans="1:12" x14ac:dyDescent="0.35">
      <c r="A6681" t="str">
        <f t="shared" si="2539"/>
        <v>MCRD SD</v>
      </c>
      <c r="B6681" t="str">
        <f>T("WFTBN")</f>
        <v>WFTBN</v>
      </c>
      <c r="C6681" t="str">
        <f>T("BLDG 310617")</f>
        <v>BLDG 310617</v>
      </c>
      <c r="D6681" t="str">
        <f>T("CAMP PENDLETON")</f>
        <v>CAMP PENDLETON</v>
      </c>
      <c r="E6681" t="str">
        <f t="shared" si="2541"/>
        <v>CA</v>
      </c>
      <c r="F6681" t="str">
        <f>T("920550000")</f>
        <v>920550000</v>
      </c>
      <c r="G6681" t="str">
        <f>T("WFTBN")</f>
        <v>WFTBN</v>
      </c>
      <c r="H6681" t="str">
        <f>T("BOX 555181")</f>
        <v>BOX 555181</v>
      </c>
      <c r="I6681" t="str">
        <f>T("CAMP PENDLETON")</f>
        <v>CAMP PENDLETON</v>
      </c>
      <c r="J6681" t="str">
        <f t="shared" si="2543"/>
        <v>CA</v>
      </c>
      <c r="K6681" t="str">
        <f>T("7607252309")</f>
        <v>7607252309</v>
      </c>
      <c r="L6681" t="str">
        <f>T("7607252455")</f>
        <v>7607252455</v>
      </c>
    </row>
    <row r="6682" spans="1:12" x14ac:dyDescent="0.35">
      <c r="A6682" t="str">
        <f t="shared" ref="A6682:A6724" si="2545">T("MCAS CONTRCTNG OFFC: GCPC")</f>
        <v>MCAS CONTRCTNG OFFC: GCPC</v>
      </c>
      <c r="B6682" t="str">
        <f t="shared" ref="B6682:B6689" si="2546">T("ATTN GCPC APPROVING OFFICIAL")</f>
        <v>ATTN GCPC APPROVING OFFICIAL</v>
      </c>
      <c r="C6682" t="str">
        <f>T("BOX 452001")</f>
        <v>BOX 452001</v>
      </c>
      <c r="D6682" t="str">
        <f t="shared" ref="D6682:D6724" si="2547">T("SAN DIEGO")</f>
        <v>SAN DIEGO</v>
      </c>
      <c r="E6682" t="str">
        <f t="shared" si="2541"/>
        <v>CA</v>
      </c>
      <c r="F6682" t="str">
        <f>T("921452001")</f>
        <v>921452001</v>
      </c>
      <c r="G6682" t="str">
        <f>T("ATTN GCPC APPROVING OFFICIAL")</f>
        <v>ATTN GCPC APPROVING OFFICIAL</v>
      </c>
      <c r="H6682" t="str">
        <f>T("BOX 452001")</f>
        <v>BOX 452001</v>
      </c>
      <c r="I6682" t="str">
        <f t="shared" ref="I6682:I6724" si="2548">T("SAN DIEGO")</f>
        <v>SAN DIEGO</v>
      </c>
      <c r="J6682" t="str">
        <f t="shared" si="2543"/>
        <v>CA</v>
      </c>
      <c r="K6682" t="str">
        <f>T("000000000000000000")</f>
        <v>000000000000000000</v>
      </c>
      <c r="L6682" t="str">
        <f>T("8584774470")</f>
        <v>8584774470</v>
      </c>
    </row>
    <row r="6683" spans="1:12" x14ac:dyDescent="0.35">
      <c r="A6683" t="str">
        <f t="shared" si="2545"/>
        <v>MCAS CONTRCTNG OFFC: GCPC</v>
      </c>
      <c r="B6683" t="str">
        <f t="shared" si="2546"/>
        <v>ATTN GCPC APPROVING OFFICIAL</v>
      </c>
      <c r="C6683" t="str">
        <f>T("BOX 452001")</f>
        <v>BOX 452001</v>
      </c>
      <c r="D6683" t="str">
        <f t="shared" si="2547"/>
        <v>SAN DIEGO</v>
      </c>
      <c r="E6683" t="str">
        <f t="shared" si="2541"/>
        <v>CA</v>
      </c>
      <c r="F6683" t="str">
        <f>T("921452001")</f>
        <v>921452001</v>
      </c>
      <c r="G6683" t="str">
        <f>T("ATTN GCPC APPROVING OFFICIAL")</f>
        <v>ATTN GCPC APPROVING OFFICIAL</v>
      </c>
      <c r="H6683" t="str">
        <f>T("BOX 452001")</f>
        <v>BOX 452001</v>
      </c>
      <c r="I6683" t="str">
        <f t="shared" si="2548"/>
        <v>SAN DIEGO</v>
      </c>
      <c r="J6683" t="str">
        <f t="shared" si="2543"/>
        <v>CA</v>
      </c>
      <c r="K6683" t="str">
        <f>T("000000000000000000")</f>
        <v>000000000000000000</v>
      </c>
      <c r="L6683" t="str">
        <f>T("8585778330")</f>
        <v>8585778330</v>
      </c>
    </row>
    <row r="6684" spans="1:12" x14ac:dyDescent="0.35">
      <c r="A6684" t="str">
        <f t="shared" si="2545"/>
        <v>MCAS CONTRCTNG OFFC: GCPC</v>
      </c>
      <c r="B6684" t="str">
        <f t="shared" si="2546"/>
        <v>ATTN GCPC APPROVING OFFICIAL</v>
      </c>
      <c r="C6684" t="str">
        <f>T("BOX 452001")</f>
        <v>BOX 452001</v>
      </c>
      <c r="D6684" t="str">
        <f t="shared" si="2547"/>
        <v>SAN DIEGO</v>
      </c>
      <c r="E6684" t="str">
        <f t="shared" si="2541"/>
        <v>CA</v>
      </c>
      <c r="F6684" t="str">
        <f>T("921452001")</f>
        <v>921452001</v>
      </c>
      <c r="G6684" t="str">
        <f>T("PO BOX 452000")</f>
        <v>PO BOX 452000</v>
      </c>
      <c r="H6684" t="str">
        <f>T("")</f>
        <v/>
      </c>
      <c r="I6684" t="str">
        <f t="shared" si="2548"/>
        <v>SAN DIEGO</v>
      </c>
      <c r="J6684" t="str">
        <f t="shared" si="2543"/>
        <v>CA</v>
      </c>
      <c r="K6684" t="str">
        <f>T("000000000000000000")</f>
        <v>000000000000000000</v>
      </c>
      <c r="L6684" t="str">
        <f>T("8585778331")</f>
        <v>8585778331</v>
      </c>
    </row>
    <row r="6685" spans="1:12" x14ac:dyDescent="0.35">
      <c r="A6685" t="str">
        <f t="shared" si="2545"/>
        <v>MCAS CONTRCTNG OFFC: GCPC</v>
      </c>
      <c r="B6685" t="str">
        <f t="shared" si="2546"/>
        <v>ATTN GCPC APPROVING OFFICIAL</v>
      </c>
      <c r="C6685" t="str">
        <f>T("BOX 452001")</f>
        <v>BOX 452001</v>
      </c>
      <c r="D6685" t="str">
        <f t="shared" si="2547"/>
        <v>SAN DIEGO</v>
      </c>
      <c r="E6685" t="str">
        <f t="shared" si="2541"/>
        <v>CA</v>
      </c>
      <c r="F6685" t="str">
        <f>T("921452001")</f>
        <v>921452001</v>
      </c>
      <c r="G6685" t="str">
        <f>T("PO BOX 452001")</f>
        <v>PO BOX 452001</v>
      </c>
      <c r="H6685" t="str">
        <f>T("")</f>
        <v/>
      </c>
      <c r="I6685" t="str">
        <f t="shared" si="2548"/>
        <v>SAN DIEGO</v>
      </c>
      <c r="J6685" t="str">
        <f t="shared" si="2543"/>
        <v>CA</v>
      </c>
      <c r="K6685" t="str">
        <f>T("000000000000000000")</f>
        <v>000000000000000000</v>
      </c>
      <c r="L6685" t="str">
        <f>T("8585771333")</f>
        <v>8585771333</v>
      </c>
    </row>
    <row r="6686" spans="1:12" x14ac:dyDescent="0.35">
      <c r="A6686" t="str">
        <f t="shared" si="2545"/>
        <v>MCAS CONTRCTNG OFFC: GCPC</v>
      </c>
      <c r="B6686" t="str">
        <f t="shared" si="2546"/>
        <v>ATTN GCPC APPROVING OFFICIAL</v>
      </c>
      <c r="C6686" t="str">
        <f>T("BOX 452013")</f>
        <v>BOX 452013</v>
      </c>
      <c r="D6686" t="str">
        <f t="shared" si="2547"/>
        <v>SAN DIEGO</v>
      </c>
      <c r="E6686" t="str">
        <f t="shared" si="2541"/>
        <v>CA</v>
      </c>
      <c r="F6686" t="str">
        <f>T("921452013")</f>
        <v>921452013</v>
      </c>
      <c r="G6686" t="str">
        <f>T("ATTN GCPC APPROVING OFFICIAL")</f>
        <v>ATTN GCPC APPROVING OFFICIAL</v>
      </c>
      <c r="H6686" t="str">
        <f>T("BOX 452013")</f>
        <v>BOX 452013</v>
      </c>
      <c r="I6686" t="str">
        <f t="shared" si="2548"/>
        <v>SAN DIEGO</v>
      </c>
      <c r="J6686" t="str">
        <f t="shared" si="2543"/>
        <v>CA</v>
      </c>
      <c r="K6686" t="str">
        <f>T("")</f>
        <v/>
      </c>
      <c r="L6686" t="str">
        <f>T("8585779176")</f>
        <v>8585779176</v>
      </c>
    </row>
    <row r="6687" spans="1:12" x14ac:dyDescent="0.35">
      <c r="A6687" t="str">
        <f t="shared" si="2545"/>
        <v>MCAS CONTRCTNG OFFC: GCPC</v>
      </c>
      <c r="B6687" t="str">
        <f t="shared" si="2546"/>
        <v>ATTN GCPC APPROVING OFFICIAL</v>
      </c>
      <c r="C6687" t="str">
        <f>T("BOX 452033")</f>
        <v>BOX 452033</v>
      </c>
      <c r="D6687" t="str">
        <f t="shared" si="2547"/>
        <v>SAN DIEGO</v>
      </c>
      <c r="E6687" t="str">
        <f t="shared" ref="E6687:E6718" si="2549">T("CA")</f>
        <v>CA</v>
      </c>
      <c r="F6687" t="str">
        <f>T("921452033")</f>
        <v>921452033</v>
      </c>
      <c r="G6687" t="str">
        <f>T("ATTN GCPC APPROVING OFFICIAL")</f>
        <v>ATTN GCPC APPROVING OFFICIAL</v>
      </c>
      <c r="H6687" t="str">
        <f>T("BOX 452033")</f>
        <v>BOX 452033</v>
      </c>
      <c r="I6687" t="str">
        <f t="shared" si="2548"/>
        <v>SAN DIEGO</v>
      </c>
      <c r="J6687" t="str">
        <f t="shared" ref="J6687:J6718" si="2550">T("CA")</f>
        <v>CA</v>
      </c>
      <c r="K6687" t="str">
        <f t="shared" ref="K6687:K6702" si="2551">T("000000000000000000")</f>
        <v>000000000000000000</v>
      </c>
      <c r="L6687" t="str">
        <f>T("8585771330")</f>
        <v>8585771330</v>
      </c>
    </row>
    <row r="6688" spans="1:12" x14ac:dyDescent="0.35">
      <c r="A6688" t="str">
        <f t="shared" si="2545"/>
        <v>MCAS CONTRCTNG OFFC: GCPC</v>
      </c>
      <c r="B6688" t="str">
        <f t="shared" si="2546"/>
        <v>ATTN GCPC APPROVING OFFICIAL</v>
      </c>
      <c r="C6688" t="str">
        <f>T("PO BOX 452001")</f>
        <v>PO BOX 452001</v>
      </c>
      <c r="D6688" t="str">
        <f t="shared" si="2547"/>
        <v>SAN DIEGO</v>
      </c>
      <c r="E6688" t="str">
        <f t="shared" si="2549"/>
        <v>CA</v>
      </c>
      <c r="F6688" t="str">
        <f>T("921450001")</f>
        <v>921450001</v>
      </c>
      <c r="G6688" t="str">
        <f>T("ATTN GCPC APPROVING OFFICIAL")</f>
        <v>ATTN GCPC APPROVING OFFICIAL</v>
      </c>
      <c r="H6688" t="str">
        <f>T("PO BOX 452001")</f>
        <v>PO BOX 452001</v>
      </c>
      <c r="I6688" t="str">
        <f t="shared" si="2548"/>
        <v>SAN DIEGO</v>
      </c>
      <c r="J6688" t="str">
        <f t="shared" si="2550"/>
        <v>CA</v>
      </c>
      <c r="K6688" t="str">
        <f t="shared" si="2551"/>
        <v>000000000000000000</v>
      </c>
      <c r="L6688" t="str">
        <f>T("8585771137")</f>
        <v>8585771137</v>
      </c>
    </row>
    <row r="6689" spans="1:12" x14ac:dyDescent="0.35">
      <c r="A6689" t="str">
        <f t="shared" si="2545"/>
        <v>MCAS CONTRCTNG OFFC: GCPC</v>
      </c>
      <c r="B6689" t="str">
        <f t="shared" si="2546"/>
        <v>ATTN GCPC APPROVING OFFICIAL</v>
      </c>
      <c r="C6689" t="str">
        <f>T("PO BOX 452001")</f>
        <v>PO BOX 452001</v>
      </c>
      <c r="D6689" t="str">
        <f t="shared" si="2547"/>
        <v>SAN DIEGO</v>
      </c>
      <c r="E6689" t="str">
        <f t="shared" si="2549"/>
        <v>CA</v>
      </c>
      <c r="F6689" t="str">
        <f>T("921450001")</f>
        <v>921450001</v>
      </c>
      <c r="G6689" t="str">
        <f>T("PO BOX 452001")</f>
        <v>PO BOX 452001</v>
      </c>
      <c r="H6689" t="str">
        <f>T("")</f>
        <v/>
      </c>
      <c r="I6689" t="str">
        <f t="shared" si="2548"/>
        <v>SAN DIEGO</v>
      </c>
      <c r="J6689" t="str">
        <f t="shared" si="2550"/>
        <v>CA</v>
      </c>
      <c r="K6689" t="str">
        <f t="shared" si="2551"/>
        <v>000000000000000000</v>
      </c>
      <c r="L6689" t="str">
        <f>T("8585771359")</f>
        <v>8585771359</v>
      </c>
    </row>
    <row r="6690" spans="1:12" x14ac:dyDescent="0.35">
      <c r="A6690" t="str">
        <f t="shared" si="2545"/>
        <v>MCAS CONTRCTNG OFFC: GCPC</v>
      </c>
      <c r="B6690" t="str">
        <f>T("BOX 452013")</f>
        <v>BOX 452013</v>
      </c>
      <c r="C6690" t="str">
        <f>T("")</f>
        <v/>
      </c>
      <c r="D6690" t="str">
        <f t="shared" si="2547"/>
        <v>SAN DIEGO</v>
      </c>
      <c r="E6690" t="str">
        <f t="shared" si="2549"/>
        <v>CA</v>
      </c>
      <c r="F6690" t="str">
        <f>T("921452013")</f>
        <v>921452013</v>
      </c>
      <c r="G6690" t="str">
        <f>T("BOX 452013")</f>
        <v>BOX 452013</v>
      </c>
      <c r="H6690" t="str">
        <f>T("")</f>
        <v/>
      </c>
      <c r="I6690" t="str">
        <f t="shared" si="2548"/>
        <v>SAN DIEGO</v>
      </c>
      <c r="J6690" t="str">
        <f t="shared" si="2550"/>
        <v>CA</v>
      </c>
      <c r="K6690" t="str">
        <f t="shared" si="2551"/>
        <v>000000000000000000</v>
      </c>
      <c r="L6690" t="str">
        <f>T("8585774850")</f>
        <v>8585774850</v>
      </c>
    </row>
    <row r="6691" spans="1:12" x14ac:dyDescent="0.35">
      <c r="A6691" t="str">
        <f t="shared" si="2545"/>
        <v>MCAS CONTRCTNG OFFC: GCPC</v>
      </c>
      <c r="B6691" t="str">
        <f>T("BOX 452013")</f>
        <v>BOX 452013</v>
      </c>
      <c r="C6691" t="str">
        <f>T("")</f>
        <v/>
      </c>
      <c r="D6691" t="str">
        <f t="shared" si="2547"/>
        <v>SAN DIEGO</v>
      </c>
      <c r="E6691" t="str">
        <f t="shared" si="2549"/>
        <v>CA</v>
      </c>
      <c r="F6691" t="str">
        <f>T("921452013")</f>
        <v>921452013</v>
      </c>
      <c r="G6691" t="str">
        <f>T("PO BOX 452031")</f>
        <v>PO BOX 452031</v>
      </c>
      <c r="H6691" t="str">
        <f>T("")</f>
        <v/>
      </c>
      <c r="I6691" t="str">
        <f t="shared" si="2548"/>
        <v>SAN DIEGO</v>
      </c>
      <c r="J6691" t="str">
        <f t="shared" si="2550"/>
        <v>CA</v>
      </c>
      <c r="K6691" t="str">
        <f t="shared" si="2551"/>
        <v>000000000000000000</v>
      </c>
      <c r="L6691" t="str">
        <f>T("8585774851")</f>
        <v>8585774851</v>
      </c>
    </row>
    <row r="6692" spans="1:12" x14ac:dyDescent="0.35">
      <c r="A6692" t="str">
        <f t="shared" si="2545"/>
        <v>MCAS CONTRCTNG OFFC: GCPC</v>
      </c>
      <c r="B6692" t="str">
        <f>T("CO ENVIRONMENTAL MGT DEPT")</f>
        <v>CO ENVIRONMENTAL MGT DEPT</v>
      </c>
      <c r="C6692" t="str">
        <f t="shared" ref="C6692:C6697" si="2552">T("PO BOX 452001")</f>
        <v>PO BOX 452001</v>
      </c>
      <c r="D6692" t="str">
        <f t="shared" si="2547"/>
        <v>SAN DIEGO</v>
      </c>
      <c r="E6692" t="str">
        <f t="shared" si="2549"/>
        <v>CA</v>
      </c>
      <c r="F6692" t="str">
        <f t="shared" ref="F6692:F6706" si="2553">T("921452001")</f>
        <v>921452001</v>
      </c>
      <c r="G6692" t="str">
        <f>T("ATTN GCPC APPROVING OFFICIAL")</f>
        <v>ATTN GCPC APPROVING OFFICIAL</v>
      </c>
      <c r="H6692" t="str">
        <f>T("BOX 452001")</f>
        <v>BOX 452001</v>
      </c>
      <c r="I6692" t="str">
        <f t="shared" si="2548"/>
        <v>SAN DIEGO</v>
      </c>
      <c r="J6692" t="str">
        <f t="shared" si="2550"/>
        <v>CA</v>
      </c>
      <c r="K6692" t="str">
        <f t="shared" si="2551"/>
        <v>000000000000000000</v>
      </c>
      <c r="L6692" t="str">
        <f>T("8585771108")</f>
        <v>8585771108</v>
      </c>
    </row>
    <row r="6693" spans="1:12" x14ac:dyDescent="0.35">
      <c r="A6693" t="str">
        <f t="shared" si="2545"/>
        <v>MCAS CONTRCTNG OFFC: GCPC</v>
      </c>
      <c r="B6693" t="str">
        <f>T("CO ENVIRONMENTAL MGT DEPT")</f>
        <v>CO ENVIRONMENTAL MGT DEPT</v>
      </c>
      <c r="C6693" t="str">
        <f t="shared" si="2552"/>
        <v>PO BOX 452001</v>
      </c>
      <c r="D6693" t="str">
        <f t="shared" si="2547"/>
        <v>SAN DIEGO</v>
      </c>
      <c r="E6693" t="str">
        <f t="shared" si="2549"/>
        <v>CA</v>
      </c>
      <c r="F6693" t="str">
        <f t="shared" si="2553"/>
        <v>921452001</v>
      </c>
      <c r="G6693" t="str">
        <f>T("CO ENVIRONMENTAL MGT DEPT")</f>
        <v>CO ENVIRONMENTAL MGT DEPT</v>
      </c>
      <c r="H6693" t="str">
        <f>T("PO BOX 452001")</f>
        <v>PO BOX 452001</v>
      </c>
      <c r="I6693" t="str">
        <f t="shared" si="2548"/>
        <v>SAN DIEGO</v>
      </c>
      <c r="J6693" t="str">
        <f t="shared" si="2550"/>
        <v>CA</v>
      </c>
      <c r="K6693" t="str">
        <f t="shared" si="2551"/>
        <v>000000000000000000</v>
      </c>
      <c r="L6693" t="str">
        <f>T("8585771137")</f>
        <v>8585771137</v>
      </c>
    </row>
    <row r="6694" spans="1:12" x14ac:dyDescent="0.35">
      <c r="A6694" t="str">
        <f t="shared" si="2545"/>
        <v>MCAS CONTRCTNG OFFC: GCPC</v>
      </c>
      <c r="B6694" t="str">
        <f>T("CO ENVIRONMENTAL MGT DEPT")</f>
        <v>CO ENVIRONMENTAL MGT DEPT</v>
      </c>
      <c r="C6694" t="str">
        <f t="shared" si="2552"/>
        <v>PO BOX 452001</v>
      </c>
      <c r="D6694" t="str">
        <f t="shared" si="2547"/>
        <v>SAN DIEGO</v>
      </c>
      <c r="E6694" t="str">
        <f t="shared" si="2549"/>
        <v>CA</v>
      </c>
      <c r="F6694" t="str">
        <f t="shared" si="2553"/>
        <v>921452001</v>
      </c>
      <c r="G6694" t="str">
        <f>T("PO BOX 452001")</f>
        <v>PO BOX 452001</v>
      </c>
      <c r="H6694" t="str">
        <f>T("")</f>
        <v/>
      </c>
      <c r="I6694" t="str">
        <f t="shared" si="2548"/>
        <v>SAN DIEGO</v>
      </c>
      <c r="J6694" t="str">
        <f t="shared" si="2550"/>
        <v>CA</v>
      </c>
      <c r="K6694" t="str">
        <f t="shared" si="2551"/>
        <v>000000000000000000</v>
      </c>
      <c r="L6694" t="str">
        <f>T("8585774778")</f>
        <v>8585774778</v>
      </c>
    </row>
    <row r="6695" spans="1:12" x14ac:dyDescent="0.35">
      <c r="A6695" t="str">
        <f t="shared" si="2545"/>
        <v>MCAS CONTRCTNG OFFC: GCPC</v>
      </c>
      <c r="B6695" t="str">
        <f>T("CO S-1 MANPOWER")</f>
        <v>CO S-1 MANPOWER</v>
      </c>
      <c r="C6695" t="str">
        <f t="shared" si="2552"/>
        <v>PO BOX 452001</v>
      </c>
      <c r="D6695" t="str">
        <f t="shared" si="2547"/>
        <v>SAN DIEGO</v>
      </c>
      <c r="E6695" t="str">
        <f t="shared" si="2549"/>
        <v>CA</v>
      </c>
      <c r="F6695" t="str">
        <f t="shared" si="2553"/>
        <v>921452001</v>
      </c>
      <c r="G6695" t="str">
        <f>T("ATTN GCPC APPROVING OFFICIAL")</f>
        <v>ATTN GCPC APPROVING OFFICIAL</v>
      </c>
      <c r="H6695" t="str">
        <f>T("BOX 452001")</f>
        <v>BOX 452001</v>
      </c>
      <c r="I6695" t="str">
        <f t="shared" si="2548"/>
        <v>SAN DIEGO</v>
      </c>
      <c r="J6695" t="str">
        <f t="shared" si="2550"/>
        <v>CA</v>
      </c>
      <c r="K6695" t="str">
        <f t="shared" si="2551"/>
        <v>000000000000000000</v>
      </c>
      <c r="L6695" t="str">
        <f>T("6199297626")</f>
        <v>6199297626</v>
      </c>
    </row>
    <row r="6696" spans="1:12" x14ac:dyDescent="0.35">
      <c r="A6696" t="str">
        <f t="shared" si="2545"/>
        <v>MCAS CONTRCTNG OFFC: GCPC</v>
      </c>
      <c r="B6696" t="str">
        <f>T("CO S-1 MANPOWER")</f>
        <v>CO S-1 MANPOWER</v>
      </c>
      <c r="C6696" t="str">
        <f t="shared" si="2552"/>
        <v>PO BOX 452001</v>
      </c>
      <c r="D6696" t="str">
        <f t="shared" si="2547"/>
        <v>SAN DIEGO</v>
      </c>
      <c r="E6696" t="str">
        <f t="shared" si="2549"/>
        <v>CA</v>
      </c>
      <c r="F6696" t="str">
        <f t="shared" si="2553"/>
        <v>921452001</v>
      </c>
      <c r="G6696" t="str">
        <f>T("CO S-1 MANPOWER")</f>
        <v>CO S-1 MANPOWER</v>
      </c>
      <c r="H6696" t="str">
        <f>T("PO BOX 452001")</f>
        <v>PO BOX 452001</v>
      </c>
      <c r="I6696" t="str">
        <f t="shared" si="2548"/>
        <v>SAN DIEGO</v>
      </c>
      <c r="J6696" t="str">
        <f t="shared" si="2550"/>
        <v>CA</v>
      </c>
      <c r="K6696" t="str">
        <f t="shared" si="2551"/>
        <v>000000000000000000</v>
      </c>
      <c r="L6696" t="str">
        <f>T("8585774763")</f>
        <v>8585774763</v>
      </c>
    </row>
    <row r="6697" spans="1:12" x14ac:dyDescent="0.35">
      <c r="A6697" t="str">
        <f t="shared" si="2545"/>
        <v>MCAS CONTRCTNG OFFC: GCPC</v>
      </c>
      <c r="B6697" t="str">
        <f>T("CO S-1 MANPOWER")</f>
        <v>CO S-1 MANPOWER</v>
      </c>
      <c r="C6697" t="str">
        <f t="shared" si="2552"/>
        <v>PO BOX 452001</v>
      </c>
      <c r="D6697" t="str">
        <f t="shared" si="2547"/>
        <v>SAN DIEGO</v>
      </c>
      <c r="E6697" t="str">
        <f t="shared" si="2549"/>
        <v>CA</v>
      </c>
      <c r="F6697" t="str">
        <f t="shared" si="2553"/>
        <v>921452001</v>
      </c>
      <c r="G6697" t="str">
        <f>T("PO BOX 42001")</f>
        <v>PO BOX 42001</v>
      </c>
      <c r="H6697" t="str">
        <f>T("")</f>
        <v/>
      </c>
      <c r="I6697" t="str">
        <f t="shared" si="2548"/>
        <v>SAN DIEGO</v>
      </c>
      <c r="J6697" t="str">
        <f t="shared" si="2550"/>
        <v>CA</v>
      </c>
      <c r="K6697" t="str">
        <f t="shared" si="2551"/>
        <v>000000000000000000</v>
      </c>
      <c r="L6697" t="str">
        <f>T("8585774771")</f>
        <v>8585774771</v>
      </c>
    </row>
    <row r="6698" spans="1:12" x14ac:dyDescent="0.35">
      <c r="A6698" t="str">
        <f t="shared" si="2545"/>
        <v>MCAS CONTRCTNG OFFC: GCPC</v>
      </c>
      <c r="B6698" t="str">
        <f t="shared" ref="B6698:B6706" si="2554">T("PO BOX 452001")</f>
        <v>PO BOX 452001</v>
      </c>
      <c r="C6698" t="str">
        <f t="shared" ref="C6698:C6724" si="2555">T("")</f>
        <v/>
      </c>
      <c r="D6698" t="str">
        <f t="shared" si="2547"/>
        <v>SAN DIEGO</v>
      </c>
      <c r="E6698" t="str">
        <f t="shared" si="2549"/>
        <v>CA</v>
      </c>
      <c r="F6698" t="str">
        <f t="shared" si="2553"/>
        <v>921452001</v>
      </c>
      <c r="G6698" t="str">
        <f>T("ATTN GCPC APPROVING OFFICIAL")</f>
        <v>ATTN GCPC APPROVING OFFICIAL</v>
      </c>
      <c r="H6698" t="str">
        <f>T("BOX 452001")</f>
        <v>BOX 452001</v>
      </c>
      <c r="I6698" t="str">
        <f t="shared" si="2548"/>
        <v>SAN DIEGO</v>
      </c>
      <c r="J6698" t="str">
        <f t="shared" si="2550"/>
        <v>CA</v>
      </c>
      <c r="K6698" t="str">
        <f t="shared" si="2551"/>
        <v>000000000000000000</v>
      </c>
      <c r="L6698" t="str">
        <f>T("8585771881")</f>
        <v>8585771881</v>
      </c>
    </row>
    <row r="6699" spans="1:12" x14ac:dyDescent="0.35">
      <c r="A6699" t="str">
        <f t="shared" si="2545"/>
        <v>MCAS CONTRCTNG OFFC: GCPC</v>
      </c>
      <c r="B6699" t="str">
        <f t="shared" si="2554"/>
        <v>PO BOX 452001</v>
      </c>
      <c r="C6699" t="str">
        <f t="shared" si="2555"/>
        <v/>
      </c>
      <c r="D6699" t="str">
        <f t="shared" si="2547"/>
        <v>SAN DIEGO</v>
      </c>
      <c r="E6699" t="str">
        <f t="shared" si="2549"/>
        <v>CA</v>
      </c>
      <c r="F6699" t="str">
        <f t="shared" si="2553"/>
        <v>921452001</v>
      </c>
      <c r="G6699" t="str">
        <f>T("ATTN GCPC APPROVING OFFICIAL")</f>
        <v>ATTN GCPC APPROVING OFFICIAL</v>
      </c>
      <c r="H6699" t="str">
        <f>T("BOX 452013")</f>
        <v>BOX 452013</v>
      </c>
      <c r="I6699" t="str">
        <f t="shared" si="2548"/>
        <v>SAN DIEGO</v>
      </c>
      <c r="J6699" t="str">
        <f t="shared" si="2550"/>
        <v>CA</v>
      </c>
      <c r="K6699" t="str">
        <f t="shared" si="2551"/>
        <v>000000000000000000</v>
      </c>
      <c r="L6699" t="str">
        <f>T("8585774657")</f>
        <v>8585774657</v>
      </c>
    </row>
    <row r="6700" spans="1:12" x14ac:dyDescent="0.35">
      <c r="A6700" t="str">
        <f t="shared" si="2545"/>
        <v>MCAS CONTRCTNG OFFC: GCPC</v>
      </c>
      <c r="B6700" t="str">
        <f t="shared" si="2554"/>
        <v>PO BOX 452001</v>
      </c>
      <c r="C6700" t="str">
        <f t="shared" si="2555"/>
        <v/>
      </c>
      <c r="D6700" t="str">
        <f t="shared" si="2547"/>
        <v>SAN DIEGO</v>
      </c>
      <c r="E6700" t="str">
        <f t="shared" si="2549"/>
        <v>CA</v>
      </c>
      <c r="F6700" t="str">
        <f t="shared" si="2553"/>
        <v>921452001</v>
      </c>
      <c r="G6700" t="str">
        <f>T("ATTN GCPC APPROVING OFFICIAL")</f>
        <v>ATTN GCPC APPROVING OFFICIAL</v>
      </c>
      <c r="H6700" t="str">
        <f>T("BOX 452013")</f>
        <v>BOX 452013</v>
      </c>
      <c r="I6700" t="str">
        <f t="shared" si="2548"/>
        <v>SAN DIEGO</v>
      </c>
      <c r="J6700" t="str">
        <f t="shared" si="2550"/>
        <v>CA</v>
      </c>
      <c r="K6700" t="str">
        <f t="shared" si="2551"/>
        <v>000000000000000000</v>
      </c>
      <c r="L6700" t="str">
        <f>T("8585777699")</f>
        <v>8585777699</v>
      </c>
    </row>
    <row r="6701" spans="1:12" x14ac:dyDescent="0.35">
      <c r="A6701" t="str">
        <f t="shared" si="2545"/>
        <v>MCAS CONTRCTNG OFFC: GCPC</v>
      </c>
      <c r="B6701" t="str">
        <f t="shared" si="2554"/>
        <v>PO BOX 452001</v>
      </c>
      <c r="C6701" t="str">
        <f t="shared" si="2555"/>
        <v/>
      </c>
      <c r="D6701" t="str">
        <f t="shared" si="2547"/>
        <v>SAN DIEGO</v>
      </c>
      <c r="E6701" t="str">
        <f t="shared" si="2549"/>
        <v>CA</v>
      </c>
      <c r="F6701" t="str">
        <f t="shared" si="2553"/>
        <v>921452001</v>
      </c>
      <c r="G6701" t="str">
        <f>T("ATTN GCPC APPROVING OFFICIAL")</f>
        <v>ATTN GCPC APPROVING OFFICIAL</v>
      </c>
      <c r="H6701" t="str">
        <f>T("BOX 452013")</f>
        <v>BOX 452013</v>
      </c>
      <c r="I6701" t="str">
        <f t="shared" si="2548"/>
        <v>SAN DIEGO</v>
      </c>
      <c r="J6701" t="str">
        <f t="shared" si="2550"/>
        <v>CA</v>
      </c>
      <c r="K6701" t="str">
        <f t="shared" si="2551"/>
        <v>000000000000000000</v>
      </c>
      <c r="L6701" t="str">
        <f>T("8585779727")</f>
        <v>8585779727</v>
      </c>
    </row>
    <row r="6702" spans="1:12" x14ac:dyDescent="0.35">
      <c r="A6702" t="str">
        <f t="shared" si="2545"/>
        <v>MCAS CONTRCTNG OFFC: GCPC</v>
      </c>
      <c r="B6702" t="str">
        <f t="shared" si="2554"/>
        <v>PO BOX 452001</v>
      </c>
      <c r="C6702" t="str">
        <f t="shared" si="2555"/>
        <v/>
      </c>
      <c r="D6702" t="str">
        <f t="shared" si="2547"/>
        <v>SAN DIEGO</v>
      </c>
      <c r="E6702" t="str">
        <f t="shared" si="2549"/>
        <v>CA</v>
      </c>
      <c r="F6702" t="str">
        <f t="shared" si="2553"/>
        <v>921452001</v>
      </c>
      <c r="G6702" t="str">
        <f>T("BUILDING 23101 RISLE RANGE RD")</f>
        <v>BUILDING 23101 RISLE RANGE RD</v>
      </c>
      <c r="H6702" t="str">
        <f>T("")</f>
        <v/>
      </c>
      <c r="I6702" t="str">
        <f t="shared" si="2548"/>
        <v>SAN DIEGO</v>
      </c>
      <c r="J6702" t="str">
        <f t="shared" si="2550"/>
        <v>CA</v>
      </c>
      <c r="K6702" t="str">
        <f t="shared" si="2551"/>
        <v>000000000000000000</v>
      </c>
      <c r="L6702" t="str">
        <f>T("8585774657")</f>
        <v>8585774657</v>
      </c>
    </row>
    <row r="6703" spans="1:12" x14ac:dyDescent="0.35">
      <c r="A6703" t="str">
        <f t="shared" si="2545"/>
        <v>MCAS CONTRCTNG OFFC: GCPC</v>
      </c>
      <c r="B6703" t="str">
        <f t="shared" si="2554"/>
        <v>PO BOX 452001</v>
      </c>
      <c r="C6703" t="str">
        <f t="shared" si="2555"/>
        <v/>
      </c>
      <c r="D6703" t="str">
        <f t="shared" si="2547"/>
        <v>SAN DIEGO</v>
      </c>
      <c r="E6703" t="str">
        <f t="shared" si="2549"/>
        <v>CA</v>
      </c>
      <c r="F6703" t="str">
        <f t="shared" si="2553"/>
        <v>921452001</v>
      </c>
      <c r="G6703" t="str">
        <f>T("PO BOX 452001")</f>
        <v>PO BOX 452001</v>
      </c>
      <c r="H6703" t="str">
        <f>T("")</f>
        <v/>
      </c>
      <c r="I6703" t="str">
        <f t="shared" si="2548"/>
        <v>SAN DIEGO</v>
      </c>
      <c r="J6703" t="str">
        <f t="shared" si="2550"/>
        <v>CA</v>
      </c>
      <c r="K6703" t="str">
        <f>T("")</f>
        <v/>
      </c>
      <c r="L6703" t="str">
        <f>T("8585774714")</f>
        <v>8585774714</v>
      </c>
    </row>
    <row r="6704" spans="1:12" x14ac:dyDescent="0.35">
      <c r="A6704" t="str">
        <f t="shared" si="2545"/>
        <v>MCAS CONTRCTNG OFFC: GCPC</v>
      </c>
      <c r="B6704" t="str">
        <f t="shared" si="2554"/>
        <v>PO BOX 452001</v>
      </c>
      <c r="C6704" t="str">
        <f t="shared" si="2555"/>
        <v/>
      </c>
      <c r="D6704" t="str">
        <f t="shared" si="2547"/>
        <v>SAN DIEGO</v>
      </c>
      <c r="E6704" t="str">
        <f t="shared" si="2549"/>
        <v>CA</v>
      </c>
      <c r="F6704" t="str">
        <f t="shared" si="2553"/>
        <v>921452001</v>
      </c>
      <c r="G6704" t="str">
        <f>T("PO BOX 452001")</f>
        <v>PO BOX 452001</v>
      </c>
      <c r="H6704" t="str">
        <f>T("")</f>
        <v/>
      </c>
      <c r="I6704" t="str">
        <f t="shared" si="2548"/>
        <v>SAN DIEGO</v>
      </c>
      <c r="J6704" t="str">
        <f t="shared" si="2550"/>
        <v>CA</v>
      </c>
      <c r="K6704" t="str">
        <f>T("000000000000000000")</f>
        <v>000000000000000000</v>
      </c>
      <c r="L6704" t="str">
        <f>T("8585774831")</f>
        <v>8585774831</v>
      </c>
    </row>
    <row r="6705" spans="1:12" x14ac:dyDescent="0.35">
      <c r="A6705" t="str">
        <f t="shared" si="2545"/>
        <v>MCAS CONTRCTNG OFFC: GCPC</v>
      </c>
      <c r="B6705" t="str">
        <f t="shared" si="2554"/>
        <v>PO BOX 452001</v>
      </c>
      <c r="C6705" t="str">
        <f t="shared" si="2555"/>
        <v/>
      </c>
      <c r="D6705" t="str">
        <f t="shared" si="2547"/>
        <v>SAN DIEGO</v>
      </c>
      <c r="E6705" t="str">
        <f t="shared" si="2549"/>
        <v>CA</v>
      </c>
      <c r="F6705" t="str">
        <f t="shared" si="2553"/>
        <v>921452001</v>
      </c>
      <c r="G6705" t="str">
        <f>T("PO BOX 452001")</f>
        <v>PO BOX 452001</v>
      </c>
      <c r="H6705" t="str">
        <f>T("")</f>
        <v/>
      </c>
      <c r="I6705" t="str">
        <f t="shared" si="2548"/>
        <v>SAN DIEGO</v>
      </c>
      <c r="J6705" t="str">
        <f t="shared" si="2550"/>
        <v>CA</v>
      </c>
      <c r="K6705" t="str">
        <f>T("000000000000000000")</f>
        <v>000000000000000000</v>
      </c>
      <c r="L6705" t="str">
        <f>T("8585776288")</f>
        <v>8585776288</v>
      </c>
    </row>
    <row r="6706" spans="1:12" x14ac:dyDescent="0.35">
      <c r="A6706" t="str">
        <f t="shared" si="2545"/>
        <v>MCAS CONTRCTNG OFFC: GCPC</v>
      </c>
      <c r="B6706" t="str">
        <f t="shared" si="2554"/>
        <v>PO BOX 452001</v>
      </c>
      <c r="C6706" t="str">
        <f t="shared" si="2555"/>
        <v/>
      </c>
      <c r="D6706" t="str">
        <f t="shared" si="2547"/>
        <v>SAN DIEGO</v>
      </c>
      <c r="E6706" t="str">
        <f t="shared" si="2549"/>
        <v>CA</v>
      </c>
      <c r="F6706" t="str">
        <f t="shared" si="2553"/>
        <v>921452001</v>
      </c>
      <c r="G6706" t="str">
        <f>T("PO BOX 452013")</f>
        <v>PO BOX 452013</v>
      </c>
      <c r="H6706" t="str">
        <f>T("MCAS MIRAMAR")</f>
        <v>MCAS MIRAMAR</v>
      </c>
      <c r="I6706" t="str">
        <f t="shared" si="2548"/>
        <v>SAN DIEGO</v>
      </c>
      <c r="J6706" t="str">
        <f t="shared" si="2550"/>
        <v>CA</v>
      </c>
      <c r="K6706" t="str">
        <f>T("000000000000000000")</f>
        <v>000000000000000000</v>
      </c>
      <c r="L6706" t="str">
        <f>T("8585774222")</f>
        <v>8585774222</v>
      </c>
    </row>
    <row r="6707" spans="1:12" x14ac:dyDescent="0.35">
      <c r="A6707" t="str">
        <f t="shared" si="2545"/>
        <v>MCAS CONTRCTNG OFFC: GCPC</v>
      </c>
      <c r="B6707" t="str">
        <f>T("PO BOX 452006")</f>
        <v>PO BOX 452006</v>
      </c>
      <c r="C6707" t="str">
        <f t="shared" si="2555"/>
        <v/>
      </c>
      <c r="D6707" t="str">
        <f t="shared" si="2547"/>
        <v>SAN DIEGO</v>
      </c>
      <c r="E6707" t="str">
        <f t="shared" si="2549"/>
        <v>CA</v>
      </c>
      <c r="F6707" t="str">
        <f>T("921452006")</f>
        <v>921452006</v>
      </c>
      <c r="G6707" t="str">
        <f>T("PO BOX 452006")</f>
        <v>PO BOX 452006</v>
      </c>
      <c r="H6707" t="str">
        <f>T("")</f>
        <v/>
      </c>
      <c r="I6707" t="str">
        <f t="shared" si="2548"/>
        <v>SAN DIEGO</v>
      </c>
      <c r="J6707" t="str">
        <f t="shared" si="2550"/>
        <v>CA</v>
      </c>
      <c r="K6707" t="str">
        <f>T("")</f>
        <v/>
      </c>
      <c r="L6707" t="str">
        <f>T("8585776848")</f>
        <v>8585776848</v>
      </c>
    </row>
    <row r="6708" spans="1:12" x14ac:dyDescent="0.35">
      <c r="A6708" t="str">
        <f t="shared" si="2545"/>
        <v>MCAS CONTRCTNG OFFC: GCPC</v>
      </c>
      <c r="B6708" t="str">
        <f>T("PO BOX 452006")</f>
        <v>PO BOX 452006</v>
      </c>
      <c r="C6708" t="str">
        <f t="shared" si="2555"/>
        <v/>
      </c>
      <c r="D6708" t="str">
        <f t="shared" si="2547"/>
        <v>SAN DIEGO</v>
      </c>
      <c r="E6708" t="str">
        <f t="shared" si="2549"/>
        <v>CA</v>
      </c>
      <c r="F6708" t="str">
        <f>T("921452006")</f>
        <v>921452006</v>
      </c>
      <c r="G6708" t="str">
        <f>T("PO BOX 452006")</f>
        <v>PO BOX 452006</v>
      </c>
      <c r="H6708" t="str">
        <f>T("")</f>
        <v/>
      </c>
      <c r="I6708" t="str">
        <f t="shared" si="2548"/>
        <v>SAN DIEGO</v>
      </c>
      <c r="J6708" t="str">
        <f t="shared" si="2550"/>
        <v>CA</v>
      </c>
      <c r="K6708" t="str">
        <f>T("000000000000000000")</f>
        <v>000000000000000000</v>
      </c>
      <c r="L6708" t="str">
        <f>T("8585771956")</f>
        <v>8585771956</v>
      </c>
    </row>
    <row r="6709" spans="1:12" x14ac:dyDescent="0.35">
      <c r="A6709" t="str">
        <f t="shared" si="2545"/>
        <v>MCAS CONTRCTNG OFFC: GCPC</v>
      </c>
      <c r="B6709" t="str">
        <f>T("PO BOX 452006")</f>
        <v>PO BOX 452006</v>
      </c>
      <c r="C6709" t="str">
        <f t="shared" si="2555"/>
        <v/>
      </c>
      <c r="D6709" t="str">
        <f t="shared" si="2547"/>
        <v>SAN DIEGO</v>
      </c>
      <c r="E6709" t="str">
        <f t="shared" si="2549"/>
        <v>CA</v>
      </c>
      <c r="F6709" t="str">
        <f>T("921452006")</f>
        <v>921452006</v>
      </c>
      <c r="G6709" t="str">
        <f>T("PO BOX 452006")</f>
        <v>PO BOX 452006</v>
      </c>
      <c r="H6709" t="str">
        <f>T("")</f>
        <v/>
      </c>
      <c r="I6709" t="str">
        <f t="shared" si="2548"/>
        <v>SAN DIEGO</v>
      </c>
      <c r="J6709" t="str">
        <f t="shared" si="2550"/>
        <v>CA</v>
      </c>
      <c r="K6709" t="str">
        <f>T("000000000000000000")</f>
        <v>000000000000000000</v>
      </c>
      <c r="L6709" t="str">
        <f>T("8585771962")</f>
        <v>8585771962</v>
      </c>
    </row>
    <row r="6710" spans="1:12" x14ac:dyDescent="0.35">
      <c r="A6710" t="str">
        <f t="shared" si="2545"/>
        <v>MCAS CONTRCTNG OFFC: GCPC</v>
      </c>
      <c r="B6710" t="str">
        <f>T("PO BOX 452006")</f>
        <v>PO BOX 452006</v>
      </c>
      <c r="C6710" t="str">
        <f t="shared" si="2555"/>
        <v/>
      </c>
      <c r="D6710" t="str">
        <f t="shared" si="2547"/>
        <v>SAN DIEGO</v>
      </c>
      <c r="E6710" t="str">
        <f t="shared" si="2549"/>
        <v>CA</v>
      </c>
      <c r="F6710" t="str">
        <f>T("921452006")</f>
        <v>921452006</v>
      </c>
      <c r="G6710" t="str">
        <f>T("PO BOX 452006")</f>
        <v>PO BOX 452006</v>
      </c>
      <c r="H6710" t="str">
        <f>T("")</f>
        <v/>
      </c>
      <c r="I6710" t="str">
        <f t="shared" si="2548"/>
        <v>SAN DIEGO</v>
      </c>
      <c r="J6710" t="str">
        <f t="shared" si="2550"/>
        <v>CA</v>
      </c>
      <c r="K6710" t="str">
        <f>T("000000000000000000")</f>
        <v>000000000000000000</v>
      </c>
      <c r="L6710" t="str">
        <f>T("8585771963")</f>
        <v>8585771963</v>
      </c>
    </row>
    <row r="6711" spans="1:12" x14ac:dyDescent="0.35">
      <c r="A6711" t="str">
        <f t="shared" si="2545"/>
        <v>MCAS CONTRCTNG OFFC: GCPC</v>
      </c>
      <c r="B6711" t="str">
        <f>T("PO BOX 452007")</f>
        <v>PO BOX 452007</v>
      </c>
      <c r="C6711" t="str">
        <f t="shared" si="2555"/>
        <v/>
      </c>
      <c r="D6711" t="str">
        <f t="shared" si="2547"/>
        <v>SAN DIEGO</v>
      </c>
      <c r="E6711" t="str">
        <f t="shared" si="2549"/>
        <v>CA</v>
      </c>
      <c r="F6711" t="str">
        <f>T("921452007")</f>
        <v>921452007</v>
      </c>
      <c r="G6711" t="str">
        <f>T("ATTN GCPC APPROVING OFFICIAL")</f>
        <v>ATTN GCPC APPROVING OFFICIAL</v>
      </c>
      <c r="H6711" t="str">
        <f>T("BOX 452013")</f>
        <v>BOX 452013</v>
      </c>
      <c r="I6711" t="str">
        <f t="shared" si="2548"/>
        <v>SAN DIEGO</v>
      </c>
      <c r="J6711" t="str">
        <f t="shared" si="2550"/>
        <v>CA</v>
      </c>
      <c r="K6711" t="str">
        <f>T("000000000000000000")</f>
        <v>000000000000000000</v>
      </c>
      <c r="L6711" t="str">
        <f>T("8585777572")</f>
        <v>8585777572</v>
      </c>
    </row>
    <row r="6712" spans="1:12" x14ac:dyDescent="0.35">
      <c r="A6712" t="str">
        <f t="shared" si="2545"/>
        <v>MCAS CONTRCTNG OFFC: GCPC</v>
      </c>
      <c r="B6712" t="str">
        <f>T("PO BOX 452007")</f>
        <v>PO BOX 452007</v>
      </c>
      <c r="C6712" t="str">
        <f t="shared" si="2555"/>
        <v/>
      </c>
      <c r="D6712" t="str">
        <f t="shared" si="2547"/>
        <v>SAN DIEGO</v>
      </c>
      <c r="E6712" t="str">
        <f t="shared" si="2549"/>
        <v>CA</v>
      </c>
      <c r="F6712" t="str">
        <f>T("921452007")</f>
        <v>921452007</v>
      </c>
      <c r="G6712" t="str">
        <f>T("PO BOX 452007")</f>
        <v>PO BOX 452007</v>
      </c>
      <c r="H6712" t="str">
        <f>T("")</f>
        <v/>
      </c>
      <c r="I6712" t="str">
        <f t="shared" si="2548"/>
        <v>SAN DIEGO</v>
      </c>
      <c r="J6712" t="str">
        <f t="shared" si="2550"/>
        <v>CA</v>
      </c>
      <c r="K6712" t="str">
        <f>T("000000000000000000")</f>
        <v>000000000000000000</v>
      </c>
      <c r="L6712" t="str">
        <f>T("8585777914")</f>
        <v>8585777914</v>
      </c>
    </row>
    <row r="6713" spans="1:12" x14ac:dyDescent="0.35">
      <c r="A6713" t="str">
        <f t="shared" si="2545"/>
        <v>MCAS CONTRCTNG OFFC: GCPC</v>
      </c>
      <c r="B6713" t="str">
        <f>T("PO BOX 452008")</f>
        <v>PO BOX 452008</v>
      </c>
      <c r="C6713" t="str">
        <f t="shared" si="2555"/>
        <v/>
      </c>
      <c r="D6713" t="str">
        <f t="shared" si="2547"/>
        <v>SAN DIEGO</v>
      </c>
      <c r="E6713" t="str">
        <f t="shared" si="2549"/>
        <v>CA</v>
      </c>
      <c r="F6713" t="str">
        <f>T("921452008")</f>
        <v>921452008</v>
      </c>
      <c r="G6713" t="str">
        <f>T("PO BOX 452008")</f>
        <v>PO BOX 452008</v>
      </c>
      <c r="H6713" t="str">
        <f>T("")</f>
        <v/>
      </c>
      <c r="I6713" t="str">
        <f t="shared" si="2548"/>
        <v>SAN DIEGO</v>
      </c>
      <c r="J6713" t="str">
        <f t="shared" si="2550"/>
        <v>CA</v>
      </c>
      <c r="K6713" t="str">
        <f>T("")</f>
        <v/>
      </c>
      <c r="L6713" t="str">
        <f>T("8585778936")</f>
        <v>8585778936</v>
      </c>
    </row>
    <row r="6714" spans="1:12" x14ac:dyDescent="0.35">
      <c r="A6714" t="str">
        <f t="shared" si="2545"/>
        <v>MCAS CONTRCTNG OFFC: GCPC</v>
      </c>
      <c r="B6714" t="str">
        <f t="shared" ref="B6714:B6721" si="2556">T("PO BOX 452013")</f>
        <v>PO BOX 452013</v>
      </c>
      <c r="C6714" t="str">
        <f t="shared" si="2555"/>
        <v/>
      </c>
      <c r="D6714" t="str">
        <f t="shared" si="2547"/>
        <v>SAN DIEGO</v>
      </c>
      <c r="E6714" t="str">
        <f t="shared" si="2549"/>
        <v>CA</v>
      </c>
      <c r="F6714" t="str">
        <f t="shared" ref="F6714:F6721" si="2557">T("921452013")</f>
        <v>921452013</v>
      </c>
      <c r="G6714" t="str">
        <f>T("ATTN GCPC APPROVING OFFICIAL")</f>
        <v>ATTN GCPC APPROVING OFFICIAL</v>
      </c>
      <c r="H6714" t="str">
        <f>T("BOX 452013")</f>
        <v>BOX 452013</v>
      </c>
      <c r="I6714" t="str">
        <f t="shared" si="2548"/>
        <v>SAN DIEGO</v>
      </c>
      <c r="J6714" t="str">
        <f t="shared" si="2550"/>
        <v>CA</v>
      </c>
      <c r="K6714" t="str">
        <f>T("000000000000000000")</f>
        <v>000000000000000000</v>
      </c>
      <c r="L6714" t="str">
        <f>T("8585776901")</f>
        <v>8585776901</v>
      </c>
    </row>
    <row r="6715" spans="1:12" x14ac:dyDescent="0.35">
      <c r="A6715" t="str">
        <f t="shared" si="2545"/>
        <v>MCAS CONTRCTNG OFFC: GCPC</v>
      </c>
      <c r="B6715" t="str">
        <f t="shared" si="2556"/>
        <v>PO BOX 452013</v>
      </c>
      <c r="C6715" t="str">
        <f t="shared" si="2555"/>
        <v/>
      </c>
      <c r="D6715" t="str">
        <f t="shared" si="2547"/>
        <v>SAN DIEGO</v>
      </c>
      <c r="E6715" t="str">
        <f t="shared" si="2549"/>
        <v>CA</v>
      </c>
      <c r="F6715" t="str">
        <f t="shared" si="2557"/>
        <v>921452013</v>
      </c>
      <c r="G6715" t="str">
        <f>T("ATTN GCPC APPROVING OFFICIAL")</f>
        <v>ATTN GCPC APPROVING OFFICIAL</v>
      </c>
      <c r="H6715" t="str">
        <f>T("BOX 452013")</f>
        <v>BOX 452013</v>
      </c>
      <c r="I6715" t="str">
        <f t="shared" si="2548"/>
        <v>SAN DIEGO</v>
      </c>
      <c r="J6715" t="str">
        <f t="shared" si="2550"/>
        <v>CA</v>
      </c>
      <c r="K6715" t="str">
        <f>T("000000000000000000")</f>
        <v>000000000000000000</v>
      </c>
      <c r="L6715" t="str">
        <f>T("8585776961")</f>
        <v>8585776961</v>
      </c>
    </row>
    <row r="6716" spans="1:12" x14ac:dyDescent="0.35">
      <c r="A6716" t="str">
        <f t="shared" si="2545"/>
        <v>MCAS CONTRCTNG OFFC: GCPC</v>
      </c>
      <c r="B6716" t="str">
        <f t="shared" si="2556"/>
        <v>PO BOX 452013</v>
      </c>
      <c r="C6716" t="str">
        <f t="shared" si="2555"/>
        <v/>
      </c>
      <c r="D6716" t="str">
        <f t="shared" si="2547"/>
        <v>SAN DIEGO</v>
      </c>
      <c r="E6716" t="str">
        <f t="shared" si="2549"/>
        <v>CA</v>
      </c>
      <c r="F6716" t="str">
        <f t="shared" si="2557"/>
        <v>921452013</v>
      </c>
      <c r="G6716" t="str">
        <f>T("MCAS MIRAMAR")</f>
        <v>MCAS MIRAMAR</v>
      </c>
      <c r="H6716" t="str">
        <f>T("19815 MITSCHEV WAY BLDG 6311 2ND FLR")</f>
        <v>19815 MITSCHEV WAY BLDG 6311 2ND FLR</v>
      </c>
      <c r="I6716" t="str">
        <f t="shared" si="2548"/>
        <v>SAN DIEGO</v>
      </c>
      <c r="J6716" t="str">
        <f t="shared" si="2550"/>
        <v>CA</v>
      </c>
      <c r="K6716" t="str">
        <f>T("000000000000000000")</f>
        <v>000000000000000000</v>
      </c>
      <c r="L6716" t="str">
        <f>T("8585776889")</f>
        <v>8585776889</v>
      </c>
    </row>
    <row r="6717" spans="1:12" x14ac:dyDescent="0.35">
      <c r="A6717" t="str">
        <f t="shared" si="2545"/>
        <v>MCAS CONTRCTNG OFFC: GCPC</v>
      </c>
      <c r="B6717" t="str">
        <f t="shared" si="2556"/>
        <v>PO BOX 452013</v>
      </c>
      <c r="C6717" t="str">
        <f t="shared" si="2555"/>
        <v/>
      </c>
      <c r="D6717" t="str">
        <f t="shared" si="2547"/>
        <v>SAN DIEGO</v>
      </c>
      <c r="E6717" t="str">
        <f t="shared" si="2549"/>
        <v>CA</v>
      </c>
      <c r="F6717" t="str">
        <f t="shared" si="2557"/>
        <v>921452013</v>
      </c>
      <c r="G6717" t="str">
        <f>T("PO BOX 450007")</f>
        <v>PO BOX 450007</v>
      </c>
      <c r="H6717" t="str">
        <f>T("")</f>
        <v/>
      </c>
      <c r="I6717" t="str">
        <f t="shared" si="2548"/>
        <v>SAN DIEGO</v>
      </c>
      <c r="J6717" t="str">
        <f t="shared" si="2550"/>
        <v>CA</v>
      </c>
      <c r="K6717" t="str">
        <f>T("000000000000000000")</f>
        <v>000000000000000000</v>
      </c>
      <c r="L6717" t="str">
        <f>T("8585776680")</f>
        <v>8585776680</v>
      </c>
    </row>
    <row r="6718" spans="1:12" x14ac:dyDescent="0.35">
      <c r="A6718" t="str">
        <f t="shared" si="2545"/>
        <v>MCAS CONTRCTNG OFFC: GCPC</v>
      </c>
      <c r="B6718" t="str">
        <f t="shared" si="2556"/>
        <v>PO BOX 452013</v>
      </c>
      <c r="C6718" t="str">
        <f t="shared" si="2555"/>
        <v/>
      </c>
      <c r="D6718" t="str">
        <f t="shared" si="2547"/>
        <v>SAN DIEGO</v>
      </c>
      <c r="E6718" t="str">
        <f t="shared" si="2549"/>
        <v>CA</v>
      </c>
      <c r="F6718" t="str">
        <f t="shared" si="2557"/>
        <v>921452013</v>
      </c>
      <c r="G6718" t="str">
        <f>T("PO BOX 452013")</f>
        <v>PO BOX 452013</v>
      </c>
      <c r="H6718" t="str">
        <f>T("")</f>
        <v/>
      </c>
      <c r="I6718" t="str">
        <f t="shared" si="2548"/>
        <v>SAN DIEGO</v>
      </c>
      <c r="J6718" t="str">
        <f t="shared" si="2550"/>
        <v>CA</v>
      </c>
      <c r="K6718" t="str">
        <f>T("")</f>
        <v/>
      </c>
      <c r="L6718" t="str">
        <f>T("8585778911")</f>
        <v>8585778911</v>
      </c>
    </row>
    <row r="6719" spans="1:12" x14ac:dyDescent="0.35">
      <c r="A6719" t="str">
        <f t="shared" si="2545"/>
        <v>MCAS CONTRCTNG OFFC: GCPC</v>
      </c>
      <c r="B6719" t="str">
        <f t="shared" si="2556"/>
        <v>PO BOX 452013</v>
      </c>
      <c r="C6719" t="str">
        <f t="shared" si="2555"/>
        <v/>
      </c>
      <c r="D6719" t="str">
        <f t="shared" si="2547"/>
        <v>SAN DIEGO</v>
      </c>
      <c r="E6719" t="str">
        <f t="shared" ref="E6719:E6750" si="2558">T("CA")</f>
        <v>CA</v>
      </c>
      <c r="F6719" t="str">
        <f t="shared" si="2557"/>
        <v>921452013</v>
      </c>
      <c r="G6719" t="str">
        <f>T("PO BOX 452013")</f>
        <v>PO BOX 452013</v>
      </c>
      <c r="H6719" t="str">
        <f>T("")</f>
        <v/>
      </c>
      <c r="I6719" t="str">
        <f t="shared" si="2548"/>
        <v>SAN DIEGO</v>
      </c>
      <c r="J6719" t="str">
        <f t="shared" ref="J6719:J6750" si="2559">T("CA")</f>
        <v>CA</v>
      </c>
      <c r="K6719" t="str">
        <f>T("000000000000000000")</f>
        <v>000000000000000000</v>
      </c>
      <c r="L6719" t="str">
        <f>T("8585771026")</f>
        <v>8585771026</v>
      </c>
    </row>
    <row r="6720" spans="1:12" x14ac:dyDescent="0.35">
      <c r="A6720" t="str">
        <f t="shared" si="2545"/>
        <v>MCAS CONTRCTNG OFFC: GCPC</v>
      </c>
      <c r="B6720" t="str">
        <f t="shared" si="2556"/>
        <v>PO BOX 452013</v>
      </c>
      <c r="C6720" t="str">
        <f t="shared" si="2555"/>
        <v/>
      </c>
      <c r="D6720" t="str">
        <f t="shared" si="2547"/>
        <v>SAN DIEGO</v>
      </c>
      <c r="E6720" t="str">
        <f t="shared" si="2558"/>
        <v>CA</v>
      </c>
      <c r="F6720" t="str">
        <f t="shared" si="2557"/>
        <v>921452013</v>
      </c>
      <c r="G6720" t="str">
        <f>T("PO BOX 452013")</f>
        <v>PO BOX 452013</v>
      </c>
      <c r="H6720" t="str">
        <f>T("")</f>
        <v/>
      </c>
      <c r="I6720" t="str">
        <f t="shared" si="2548"/>
        <v>SAN DIEGO</v>
      </c>
      <c r="J6720" t="str">
        <f t="shared" si="2559"/>
        <v>CA</v>
      </c>
      <c r="K6720" t="str">
        <f>T("000000000000000000")</f>
        <v>000000000000000000</v>
      </c>
      <c r="L6720" t="str">
        <f>T("8585771610")</f>
        <v>8585771610</v>
      </c>
    </row>
    <row r="6721" spans="1:12" x14ac:dyDescent="0.35">
      <c r="A6721" t="str">
        <f t="shared" si="2545"/>
        <v>MCAS CONTRCTNG OFFC: GCPC</v>
      </c>
      <c r="B6721" t="str">
        <f t="shared" si="2556"/>
        <v>PO BOX 452013</v>
      </c>
      <c r="C6721" t="str">
        <f t="shared" si="2555"/>
        <v/>
      </c>
      <c r="D6721" t="str">
        <f t="shared" si="2547"/>
        <v>SAN DIEGO</v>
      </c>
      <c r="E6721" t="str">
        <f t="shared" si="2558"/>
        <v>CA</v>
      </c>
      <c r="F6721" t="str">
        <f t="shared" si="2557"/>
        <v>921452013</v>
      </c>
      <c r="G6721" t="str">
        <f>T("PO BOX 452013")</f>
        <v>PO BOX 452013</v>
      </c>
      <c r="H6721" t="str">
        <f>T("")</f>
        <v/>
      </c>
      <c r="I6721" t="str">
        <f t="shared" si="2548"/>
        <v>SAN DIEGO</v>
      </c>
      <c r="J6721" t="str">
        <f t="shared" si="2559"/>
        <v>CA</v>
      </c>
      <c r="K6721" t="str">
        <f>T("000000000000000000")</f>
        <v>000000000000000000</v>
      </c>
      <c r="L6721" t="str">
        <f>T("8585774850")</f>
        <v>8585774850</v>
      </c>
    </row>
    <row r="6722" spans="1:12" x14ac:dyDescent="0.35">
      <c r="A6722" t="str">
        <f t="shared" si="2545"/>
        <v>MCAS CONTRCTNG OFFC: GCPC</v>
      </c>
      <c r="B6722" t="str">
        <f>T("PO BOX 452113")</f>
        <v>PO BOX 452113</v>
      </c>
      <c r="C6722" t="str">
        <f t="shared" si="2555"/>
        <v/>
      </c>
      <c r="D6722" t="str">
        <f t="shared" si="2547"/>
        <v>SAN DIEGO</v>
      </c>
      <c r="E6722" t="str">
        <f t="shared" si="2558"/>
        <v>CA</v>
      </c>
      <c r="F6722" t="str">
        <f>T("921452113")</f>
        <v>921452113</v>
      </c>
      <c r="G6722" t="str">
        <f>T("ATTN GCPC APPROVING OFFICIAL")</f>
        <v>ATTN GCPC APPROVING OFFICIAL</v>
      </c>
      <c r="H6722" t="str">
        <f>T("BOX 452013")</f>
        <v>BOX 452013</v>
      </c>
      <c r="I6722" t="str">
        <f t="shared" si="2548"/>
        <v>SAN DIEGO</v>
      </c>
      <c r="J6722" t="str">
        <f t="shared" si="2559"/>
        <v>CA</v>
      </c>
      <c r="K6722" t="str">
        <f>T("000000000000000000")</f>
        <v>000000000000000000</v>
      </c>
      <c r="L6722" t="str">
        <f>T("8585774067")</f>
        <v>8585774067</v>
      </c>
    </row>
    <row r="6723" spans="1:12" x14ac:dyDescent="0.35">
      <c r="A6723" t="str">
        <f t="shared" si="2545"/>
        <v>MCAS CONTRCTNG OFFC: GCPC</v>
      </c>
      <c r="B6723" t="str">
        <f>T("PO BOX 452113")</f>
        <v>PO BOX 452113</v>
      </c>
      <c r="C6723" t="str">
        <f t="shared" si="2555"/>
        <v/>
      </c>
      <c r="D6723" t="str">
        <f t="shared" si="2547"/>
        <v>SAN DIEGO</v>
      </c>
      <c r="E6723" t="str">
        <f t="shared" si="2558"/>
        <v>CA</v>
      </c>
      <c r="F6723" t="str">
        <f>T("921452113")</f>
        <v>921452113</v>
      </c>
      <c r="G6723" t="str">
        <f>T("PO BOX 452113")</f>
        <v>PO BOX 452113</v>
      </c>
      <c r="H6723" t="str">
        <f>T("")</f>
        <v/>
      </c>
      <c r="I6723" t="str">
        <f t="shared" si="2548"/>
        <v>SAN DIEGO</v>
      </c>
      <c r="J6723" t="str">
        <f t="shared" si="2559"/>
        <v>CA</v>
      </c>
      <c r="K6723" t="str">
        <f>T("")</f>
        <v/>
      </c>
      <c r="L6723" t="str">
        <f>T("8585771513")</f>
        <v>8585771513</v>
      </c>
    </row>
    <row r="6724" spans="1:12" x14ac:dyDescent="0.35">
      <c r="A6724" t="str">
        <f t="shared" si="2545"/>
        <v>MCAS CONTRCTNG OFFC: GCPC</v>
      </c>
      <c r="B6724" t="str">
        <f>T("PO BOX 452113")</f>
        <v>PO BOX 452113</v>
      </c>
      <c r="C6724" t="str">
        <f t="shared" si="2555"/>
        <v/>
      </c>
      <c r="D6724" t="str">
        <f t="shared" si="2547"/>
        <v>SAN DIEGO</v>
      </c>
      <c r="E6724" t="str">
        <f t="shared" si="2558"/>
        <v>CA</v>
      </c>
      <c r="F6724" t="str">
        <f>T("921452113")</f>
        <v>921452113</v>
      </c>
      <c r="G6724" t="str">
        <f>T("PO BOX 452113")</f>
        <v>PO BOX 452113</v>
      </c>
      <c r="H6724" t="str">
        <f>T("")</f>
        <v/>
      </c>
      <c r="I6724" t="str">
        <f t="shared" si="2548"/>
        <v>SAN DIEGO</v>
      </c>
      <c r="J6724" t="str">
        <f t="shared" si="2559"/>
        <v>CA</v>
      </c>
      <c r="K6724" t="str">
        <f>T("000000000000000000")</f>
        <v>000000000000000000</v>
      </c>
      <c r="L6724" t="str">
        <f>T("8585774072")</f>
        <v>8585774072</v>
      </c>
    </row>
    <row r="6725" spans="1:12" x14ac:dyDescent="0.35">
      <c r="A6725" t="str">
        <f t="shared" ref="A6725:A6769" si="2560">T("BASE UNITS")</f>
        <v>BASE UNITS</v>
      </c>
      <c r="B6725" t="str">
        <f>T("ATTN GCPC APPROVAL OFFICIAL")</f>
        <v>ATTN GCPC APPROVAL OFFICIAL</v>
      </c>
      <c r="C6725" t="str">
        <f>T("BOX 555051")</f>
        <v>BOX 555051</v>
      </c>
      <c r="D6725" t="str">
        <f t="shared" ref="D6725:D6733" si="2561">T("CAMP PENDLETON")</f>
        <v>CAMP PENDLETON</v>
      </c>
      <c r="E6725" t="str">
        <f t="shared" si="2558"/>
        <v>CA</v>
      </c>
      <c r="F6725" t="str">
        <f>T("920555051")</f>
        <v>920555051</v>
      </c>
      <c r="G6725" t="str">
        <f>T("ATTN GCPC APPROVAL OFFICIAL")</f>
        <v>ATTN GCPC APPROVAL OFFICIAL</v>
      </c>
      <c r="H6725" t="str">
        <f>T("BOX 555051")</f>
        <v>BOX 555051</v>
      </c>
      <c r="I6725" t="str">
        <f t="shared" ref="I6725:I6736" si="2562">T("CAMP PENDLETON")</f>
        <v>CAMP PENDLETON</v>
      </c>
      <c r="J6725" t="str">
        <f t="shared" si="2559"/>
        <v>CA</v>
      </c>
      <c r="K6725" t="str">
        <f>T("000000000000000000")</f>
        <v>000000000000000000</v>
      </c>
      <c r="L6725" t="str">
        <f>T("7607256991")</f>
        <v>7607256991</v>
      </c>
    </row>
    <row r="6726" spans="1:12" x14ac:dyDescent="0.35">
      <c r="A6726" t="str">
        <f t="shared" si="2560"/>
        <v>BASE UNITS</v>
      </c>
      <c r="B6726" t="str">
        <f>T("ATTN GCPC APPROVING OFFICAL")</f>
        <v>ATTN GCPC APPROVING OFFICAL</v>
      </c>
      <c r="C6726" t="str">
        <f>T("BOX 555231")</f>
        <v>BOX 555231</v>
      </c>
      <c r="D6726" t="str">
        <f t="shared" si="2561"/>
        <v>CAMP PENDLETON</v>
      </c>
      <c r="E6726" t="str">
        <f t="shared" si="2558"/>
        <v>CA</v>
      </c>
      <c r="F6726" t="str">
        <f>T("920555231")</f>
        <v>920555231</v>
      </c>
      <c r="G6726" t="str">
        <f>T("ATTN GCPC APPROVING OFFICAL")</f>
        <v>ATTN GCPC APPROVING OFFICAL</v>
      </c>
      <c r="H6726" t="str">
        <f>T("BOX 555231")</f>
        <v>BOX 555231</v>
      </c>
      <c r="I6726" t="str">
        <f t="shared" si="2562"/>
        <v>CAMP PENDLETON</v>
      </c>
      <c r="J6726" t="str">
        <f t="shared" si="2559"/>
        <v>CA</v>
      </c>
      <c r="K6726" t="str">
        <f>T("000000000000000000")</f>
        <v>000000000000000000</v>
      </c>
      <c r="L6726" t="str">
        <f>T("7607255191")</f>
        <v>7607255191</v>
      </c>
    </row>
    <row r="6727" spans="1:12" x14ac:dyDescent="0.35">
      <c r="A6727" t="str">
        <f t="shared" si="2560"/>
        <v>BASE UNITS</v>
      </c>
      <c r="B6727" t="str">
        <f>T("ATTN GCPC APPROVING OFFICAL")</f>
        <v>ATTN GCPC APPROVING OFFICAL</v>
      </c>
      <c r="C6727" t="str">
        <f>T("BOX 555231")</f>
        <v>BOX 555231</v>
      </c>
      <c r="D6727" t="str">
        <f t="shared" si="2561"/>
        <v>CAMP PENDLETON</v>
      </c>
      <c r="E6727" t="str">
        <f t="shared" si="2558"/>
        <v>CA</v>
      </c>
      <c r="F6727" t="str">
        <f>T("920555231")</f>
        <v>920555231</v>
      </c>
      <c r="G6727" t="str">
        <f>T("ATTN GCPC APPROVING OFFICIAL")</f>
        <v>ATTN GCPC APPROVING OFFICIAL</v>
      </c>
      <c r="H6727" t="str">
        <f>T("BOX 555231")</f>
        <v>BOX 555231</v>
      </c>
      <c r="I6727" t="str">
        <f t="shared" si="2562"/>
        <v>CAMP PENDLETON</v>
      </c>
      <c r="J6727" t="str">
        <f t="shared" si="2559"/>
        <v>CA</v>
      </c>
      <c r="K6727" t="str">
        <f>T("000000000000000000")</f>
        <v>000000000000000000</v>
      </c>
      <c r="L6727" t="str">
        <f>T("7607630045")</f>
        <v>7607630045</v>
      </c>
    </row>
    <row r="6728" spans="1:12" x14ac:dyDescent="0.35">
      <c r="A6728" t="str">
        <f t="shared" si="2560"/>
        <v>BASE UNITS</v>
      </c>
      <c r="B6728" t="str">
        <f>T("ATTN GCPC APPROVING OFFICAL")</f>
        <v>ATTN GCPC APPROVING OFFICAL</v>
      </c>
      <c r="C6728" t="str">
        <f>T("BOX 555231")</f>
        <v>BOX 555231</v>
      </c>
      <c r="D6728" t="str">
        <f t="shared" si="2561"/>
        <v>CAMP PENDLETON</v>
      </c>
      <c r="E6728" t="str">
        <f t="shared" si="2558"/>
        <v>CA</v>
      </c>
      <c r="F6728" t="str">
        <f>T("920555231")</f>
        <v>920555231</v>
      </c>
      <c r="G6728" t="str">
        <f>T("WESTERN AREA COUNSEL OFFICE")</f>
        <v>WESTERN AREA COUNSEL OFFICE</v>
      </c>
      <c r="H6728" t="str">
        <f>T("BOX 555231 BLDG 1254")</f>
        <v>BOX 555231 BLDG 1254</v>
      </c>
      <c r="I6728" t="str">
        <f t="shared" si="2562"/>
        <v>CAMP PENDLETON</v>
      </c>
      <c r="J6728" t="str">
        <f t="shared" si="2559"/>
        <v>CA</v>
      </c>
      <c r="K6728" t="str">
        <f>T("000000000000000000")</f>
        <v>000000000000000000</v>
      </c>
      <c r="L6728" t="str">
        <f>T("7607255610")</f>
        <v>7607255610</v>
      </c>
    </row>
    <row r="6729" spans="1:12" x14ac:dyDescent="0.35">
      <c r="A6729" t="str">
        <f t="shared" si="2560"/>
        <v>BASE UNITS</v>
      </c>
      <c r="B6729" t="str">
        <f t="shared" ref="B6729:B6761" si="2563">T("ATTN GCPC APPROVING OFFICIAL")</f>
        <v>ATTN GCPC APPROVING OFFICIAL</v>
      </c>
      <c r="C6729" t="str">
        <f>T("BOX 555009")</f>
        <v>BOX 555009</v>
      </c>
      <c r="D6729" t="str">
        <f t="shared" si="2561"/>
        <v>CAMP PENDLETON</v>
      </c>
      <c r="E6729" t="str">
        <f t="shared" si="2558"/>
        <v>CA</v>
      </c>
      <c r="F6729" t="str">
        <f>T("920555009")</f>
        <v>920555009</v>
      </c>
      <c r="G6729" t="str">
        <f t="shared" ref="G6729:G6738" si="2564">T("ATTN GCPC APPROVING OFFICIAL")</f>
        <v>ATTN GCPC APPROVING OFFICIAL</v>
      </c>
      <c r="H6729" t="str">
        <f>T("BOX 555009")</f>
        <v>BOX 555009</v>
      </c>
      <c r="I6729" t="str">
        <f t="shared" si="2562"/>
        <v>CAMP PENDLETON</v>
      </c>
      <c r="J6729" t="str">
        <f t="shared" si="2559"/>
        <v>CA</v>
      </c>
      <c r="K6729" t="str">
        <f>T("")</f>
        <v/>
      </c>
      <c r="L6729" t="str">
        <f>T("7607250674")</f>
        <v>7607250674</v>
      </c>
    </row>
    <row r="6730" spans="1:12" x14ac:dyDescent="0.35">
      <c r="A6730" t="str">
        <f t="shared" si="2560"/>
        <v>BASE UNITS</v>
      </c>
      <c r="B6730" t="str">
        <f t="shared" si="2563"/>
        <v>ATTN GCPC APPROVING OFFICIAL</v>
      </c>
      <c r="C6730" t="str">
        <f>T("BOX 555009")</f>
        <v>BOX 555009</v>
      </c>
      <c r="D6730" t="str">
        <f t="shared" si="2561"/>
        <v>CAMP PENDLETON</v>
      </c>
      <c r="E6730" t="str">
        <f t="shared" si="2558"/>
        <v>CA</v>
      </c>
      <c r="F6730" t="str">
        <f>T("920555009")</f>
        <v>920555009</v>
      </c>
      <c r="G6730" t="str">
        <f t="shared" si="2564"/>
        <v>ATTN GCPC APPROVING OFFICIAL</v>
      </c>
      <c r="H6730" t="str">
        <f>T("BOX 555009")</f>
        <v>BOX 555009</v>
      </c>
      <c r="I6730" t="str">
        <f t="shared" si="2562"/>
        <v>CAMP PENDLETON</v>
      </c>
      <c r="J6730" t="str">
        <f t="shared" si="2559"/>
        <v>CA</v>
      </c>
      <c r="K6730" t="str">
        <f t="shared" ref="K6730:K6736" si="2565">T("000000000000000000")</f>
        <v>000000000000000000</v>
      </c>
      <c r="L6730" t="str">
        <f>T("7607251811")</f>
        <v>7607251811</v>
      </c>
    </row>
    <row r="6731" spans="1:12" x14ac:dyDescent="0.35">
      <c r="A6731" t="str">
        <f t="shared" si="2560"/>
        <v>BASE UNITS</v>
      </c>
      <c r="B6731" t="str">
        <f t="shared" si="2563"/>
        <v>ATTN GCPC APPROVING OFFICIAL</v>
      </c>
      <c r="C6731" t="str">
        <f>T("BOX 555009")</f>
        <v>BOX 555009</v>
      </c>
      <c r="D6731" t="str">
        <f t="shared" si="2561"/>
        <v>CAMP PENDLETON</v>
      </c>
      <c r="E6731" t="str">
        <f t="shared" si="2558"/>
        <v>CA</v>
      </c>
      <c r="F6731" t="str">
        <f>T("920555009")</f>
        <v>920555009</v>
      </c>
      <c r="G6731" t="str">
        <f t="shared" si="2564"/>
        <v>ATTN GCPC APPROVING OFFICIAL</v>
      </c>
      <c r="H6731" t="str">
        <f>T("BOX 555009")</f>
        <v>BOX 555009</v>
      </c>
      <c r="I6731" t="str">
        <f t="shared" si="2562"/>
        <v>CAMP PENDLETON</v>
      </c>
      <c r="J6731" t="str">
        <f t="shared" si="2559"/>
        <v>CA</v>
      </c>
      <c r="K6731" t="str">
        <f t="shared" si="2565"/>
        <v>000000000000000000</v>
      </c>
      <c r="L6731" t="str">
        <f>T("7607254717")</f>
        <v>7607254717</v>
      </c>
    </row>
    <row r="6732" spans="1:12" x14ac:dyDescent="0.35">
      <c r="A6732" t="str">
        <f t="shared" si="2560"/>
        <v>BASE UNITS</v>
      </c>
      <c r="B6732" t="str">
        <f t="shared" si="2563"/>
        <v>ATTN GCPC APPROVING OFFICIAL</v>
      </c>
      <c r="C6732" t="str">
        <f t="shared" ref="C6732:C6739" si="2566">T("BOX 555010")</f>
        <v>BOX 555010</v>
      </c>
      <c r="D6732" t="str">
        <f t="shared" si="2561"/>
        <v>CAMP PENDLETON</v>
      </c>
      <c r="E6732" t="str">
        <f t="shared" si="2558"/>
        <v>CA</v>
      </c>
      <c r="F6732" t="str">
        <f t="shared" ref="F6732:F6739" si="2567">T("920555010")</f>
        <v>920555010</v>
      </c>
      <c r="G6732" t="str">
        <f t="shared" si="2564"/>
        <v>ATTN GCPC APPROVING OFFICIAL</v>
      </c>
      <c r="H6732" t="str">
        <f>T("BOX 555010")</f>
        <v>BOX 555010</v>
      </c>
      <c r="I6732" t="str">
        <f t="shared" si="2562"/>
        <v>CAMP PENDLETON</v>
      </c>
      <c r="J6732" t="str">
        <f t="shared" si="2559"/>
        <v>CA</v>
      </c>
      <c r="K6732" t="str">
        <f t="shared" si="2565"/>
        <v>000000000000000000</v>
      </c>
      <c r="L6732" t="str">
        <f>T("7607252010")</f>
        <v>7607252010</v>
      </c>
    </row>
    <row r="6733" spans="1:12" x14ac:dyDescent="0.35">
      <c r="A6733" t="str">
        <f t="shared" si="2560"/>
        <v>BASE UNITS</v>
      </c>
      <c r="B6733" t="str">
        <f t="shared" si="2563"/>
        <v>ATTN GCPC APPROVING OFFICIAL</v>
      </c>
      <c r="C6733" t="str">
        <f t="shared" si="2566"/>
        <v>BOX 555010</v>
      </c>
      <c r="D6733" t="str">
        <f t="shared" si="2561"/>
        <v>CAMP PENDLETON</v>
      </c>
      <c r="E6733" t="str">
        <f t="shared" si="2558"/>
        <v>CA</v>
      </c>
      <c r="F6733" t="str">
        <f t="shared" si="2567"/>
        <v>920555010</v>
      </c>
      <c r="G6733" t="str">
        <f t="shared" si="2564"/>
        <v>ATTN GCPC APPROVING OFFICIAL</v>
      </c>
      <c r="H6733" t="str">
        <f>T("BOX 555010")</f>
        <v>BOX 555010</v>
      </c>
      <c r="I6733" t="str">
        <f t="shared" si="2562"/>
        <v>CAMP PENDLETON</v>
      </c>
      <c r="J6733" t="str">
        <f t="shared" si="2559"/>
        <v>CA</v>
      </c>
      <c r="K6733" t="str">
        <f t="shared" si="2565"/>
        <v>000000000000000000</v>
      </c>
      <c r="L6733" t="str">
        <f>T("7607255012")</f>
        <v>7607255012</v>
      </c>
    </row>
    <row r="6734" spans="1:12" x14ac:dyDescent="0.35">
      <c r="A6734" t="str">
        <f t="shared" si="2560"/>
        <v>BASE UNITS</v>
      </c>
      <c r="B6734" t="str">
        <f t="shared" si="2563"/>
        <v>ATTN GCPC APPROVING OFFICIAL</v>
      </c>
      <c r="C6734" t="str">
        <f t="shared" si="2566"/>
        <v>BOX 555010</v>
      </c>
      <c r="D6734" t="str">
        <f t="shared" ref="D6734:D6739" si="2568">T("CMP PENDLETON")</f>
        <v>CMP PENDLETON</v>
      </c>
      <c r="E6734" t="str">
        <f t="shared" si="2558"/>
        <v>CA</v>
      </c>
      <c r="F6734" t="str">
        <f t="shared" si="2567"/>
        <v>920555010</v>
      </c>
      <c r="G6734" t="str">
        <f t="shared" si="2564"/>
        <v>ATTN GCPC APPROVING OFFICIAL</v>
      </c>
      <c r="H6734" t="str">
        <f>T("BOX 555003")</f>
        <v>BOX 555003</v>
      </c>
      <c r="I6734" t="str">
        <f t="shared" si="2562"/>
        <v>CAMP PENDLETON</v>
      </c>
      <c r="J6734" t="str">
        <f t="shared" si="2559"/>
        <v>CA</v>
      </c>
      <c r="K6734" t="str">
        <f t="shared" si="2565"/>
        <v>000000000000000000</v>
      </c>
      <c r="L6734" t="str">
        <f>T("7607254798")</f>
        <v>7607254798</v>
      </c>
    </row>
    <row r="6735" spans="1:12" x14ac:dyDescent="0.35">
      <c r="A6735" t="str">
        <f t="shared" si="2560"/>
        <v>BASE UNITS</v>
      </c>
      <c r="B6735" t="str">
        <f t="shared" si="2563"/>
        <v>ATTN GCPC APPROVING OFFICIAL</v>
      </c>
      <c r="C6735" t="str">
        <f t="shared" si="2566"/>
        <v>BOX 555010</v>
      </c>
      <c r="D6735" t="str">
        <f t="shared" si="2568"/>
        <v>CMP PENDLETON</v>
      </c>
      <c r="E6735" t="str">
        <f t="shared" si="2558"/>
        <v>CA</v>
      </c>
      <c r="F6735" t="str">
        <f t="shared" si="2567"/>
        <v>920555010</v>
      </c>
      <c r="G6735" t="str">
        <f t="shared" si="2564"/>
        <v>ATTN GCPC APPROVING OFFICIAL</v>
      </c>
      <c r="H6735" t="str">
        <f>T("BOX 555003")</f>
        <v>BOX 555003</v>
      </c>
      <c r="I6735" t="str">
        <f t="shared" si="2562"/>
        <v>CAMP PENDLETON</v>
      </c>
      <c r="J6735" t="str">
        <f t="shared" si="2559"/>
        <v>CA</v>
      </c>
      <c r="K6735" t="str">
        <f t="shared" si="2565"/>
        <v>000000000000000000</v>
      </c>
      <c r="L6735" t="str">
        <f>T("7607630590")</f>
        <v>7607630590</v>
      </c>
    </row>
    <row r="6736" spans="1:12" x14ac:dyDescent="0.35">
      <c r="A6736" t="str">
        <f t="shared" si="2560"/>
        <v>BASE UNITS</v>
      </c>
      <c r="B6736" t="str">
        <f t="shared" si="2563"/>
        <v>ATTN GCPC APPROVING OFFICIAL</v>
      </c>
      <c r="C6736" t="str">
        <f t="shared" si="2566"/>
        <v>BOX 555010</v>
      </c>
      <c r="D6736" t="str">
        <f t="shared" si="2568"/>
        <v>CMP PENDLETON</v>
      </c>
      <c r="E6736" t="str">
        <f t="shared" si="2558"/>
        <v>CA</v>
      </c>
      <c r="F6736" t="str">
        <f t="shared" si="2567"/>
        <v>920555010</v>
      </c>
      <c r="G6736" t="str">
        <f t="shared" si="2564"/>
        <v>ATTN GCPC APPROVING OFFICIAL</v>
      </c>
      <c r="H6736" t="str">
        <f>T("BOX 555010")</f>
        <v>BOX 555010</v>
      </c>
      <c r="I6736" t="str">
        <f t="shared" si="2562"/>
        <v>CAMP PENDLETON</v>
      </c>
      <c r="J6736" t="str">
        <f t="shared" si="2559"/>
        <v>CA</v>
      </c>
      <c r="K6736" t="str">
        <f t="shared" si="2565"/>
        <v>000000000000000000</v>
      </c>
      <c r="L6736" t="str">
        <f>T("7607254209")</f>
        <v>7607254209</v>
      </c>
    </row>
    <row r="6737" spans="1:12" x14ac:dyDescent="0.35">
      <c r="A6737" t="str">
        <f t="shared" si="2560"/>
        <v>BASE UNITS</v>
      </c>
      <c r="B6737" t="str">
        <f t="shared" si="2563"/>
        <v>ATTN GCPC APPROVING OFFICIAL</v>
      </c>
      <c r="C6737" t="str">
        <f t="shared" si="2566"/>
        <v>BOX 555010</v>
      </c>
      <c r="D6737" t="str">
        <f t="shared" si="2568"/>
        <v>CMP PENDLETON</v>
      </c>
      <c r="E6737" t="str">
        <f t="shared" si="2558"/>
        <v>CA</v>
      </c>
      <c r="F6737" t="str">
        <f t="shared" si="2567"/>
        <v>920555010</v>
      </c>
      <c r="G6737" t="str">
        <f t="shared" si="2564"/>
        <v>ATTN GCPC APPROVING OFFICIAL</v>
      </c>
      <c r="H6737" t="str">
        <f>T("BOX 555010")</f>
        <v>BOX 555010</v>
      </c>
      <c r="I6737" t="str">
        <f>T("CMP PENDLETON")</f>
        <v>CMP PENDLETON</v>
      </c>
      <c r="J6737" t="str">
        <f t="shared" si="2559"/>
        <v>CA</v>
      </c>
      <c r="K6737" t="str">
        <f>T("")</f>
        <v/>
      </c>
      <c r="L6737" t="str">
        <f>T("7607253911")</f>
        <v>7607253911</v>
      </c>
    </row>
    <row r="6738" spans="1:12" x14ac:dyDescent="0.35">
      <c r="A6738" t="str">
        <f t="shared" si="2560"/>
        <v>BASE UNITS</v>
      </c>
      <c r="B6738" t="str">
        <f t="shared" si="2563"/>
        <v>ATTN GCPC APPROVING OFFICIAL</v>
      </c>
      <c r="C6738" t="str">
        <f t="shared" si="2566"/>
        <v>BOX 555010</v>
      </c>
      <c r="D6738" t="str">
        <f t="shared" si="2568"/>
        <v>CMP PENDLETON</v>
      </c>
      <c r="E6738" t="str">
        <f t="shared" si="2558"/>
        <v>CA</v>
      </c>
      <c r="F6738" t="str">
        <f t="shared" si="2567"/>
        <v>920555010</v>
      </c>
      <c r="G6738" t="str">
        <f t="shared" si="2564"/>
        <v>ATTN GCPC APPROVING OFFICIAL</v>
      </c>
      <c r="H6738" t="str">
        <f>T("BOX 555503")</f>
        <v>BOX 555503</v>
      </c>
      <c r="I6738" t="str">
        <f t="shared" ref="I6738:I6749" si="2569">T("CAMP PENDLETON")</f>
        <v>CAMP PENDLETON</v>
      </c>
      <c r="J6738" t="str">
        <f t="shared" si="2559"/>
        <v>CA</v>
      </c>
      <c r="K6738" t="str">
        <f>T("000000000000000000")</f>
        <v>000000000000000000</v>
      </c>
      <c r="L6738" t="str">
        <f>T("7607253447")</f>
        <v>7607253447</v>
      </c>
    </row>
    <row r="6739" spans="1:12" x14ac:dyDescent="0.35">
      <c r="A6739" t="str">
        <f t="shared" si="2560"/>
        <v>BASE UNITS</v>
      </c>
      <c r="B6739" t="str">
        <f t="shared" si="2563"/>
        <v>ATTN GCPC APPROVING OFFICIAL</v>
      </c>
      <c r="C6739" t="str">
        <f t="shared" si="2566"/>
        <v>BOX 555010</v>
      </c>
      <c r="D6739" t="str">
        <f t="shared" si="2568"/>
        <v>CMP PENDLETON</v>
      </c>
      <c r="E6739" t="str">
        <f t="shared" si="2558"/>
        <v>CA</v>
      </c>
      <c r="F6739" t="str">
        <f t="shared" si="2567"/>
        <v>920555010</v>
      </c>
      <c r="G6739" t="str">
        <f>T("C/O DIRECTOR CMSC")</f>
        <v>C/O DIRECTOR CMSC</v>
      </c>
      <c r="H6739" t="str">
        <f>T("BOX 555003")</f>
        <v>BOX 555003</v>
      </c>
      <c r="I6739" t="str">
        <f t="shared" si="2569"/>
        <v>CAMP PENDLETON</v>
      </c>
      <c r="J6739" t="str">
        <f t="shared" si="2559"/>
        <v>CA</v>
      </c>
      <c r="K6739" t="str">
        <f>T("000000000000000000")</f>
        <v>000000000000000000</v>
      </c>
      <c r="L6739" t="str">
        <f>T("7607630591")</f>
        <v>7607630591</v>
      </c>
    </row>
    <row r="6740" spans="1:12" x14ac:dyDescent="0.35">
      <c r="A6740" t="str">
        <f t="shared" si="2560"/>
        <v>BASE UNITS</v>
      </c>
      <c r="B6740" t="str">
        <f t="shared" si="2563"/>
        <v>ATTN GCPC APPROVING OFFICIAL</v>
      </c>
      <c r="C6740" t="str">
        <f>T("BOX 555013")</f>
        <v>BOX 555013</v>
      </c>
      <c r="D6740" t="str">
        <f t="shared" ref="D6740:D6748" si="2570">T("CAMP PENDLETON")</f>
        <v>CAMP PENDLETON</v>
      </c>
      <c r="E6740" t="str">
        <f t="shared" si="2558"/>
        <v>CA</v>
      </c>
      <c r="F6740" t="str">
        <f>T("920555013")</f>
        <v>920555013</v>
      </c>
      <c r="G6740" t="str">
        <f t="shared" ref="G6740:G6748" si="2571">T("ATTN GCPC APPROVING OFFICIAL")</f>
        <v>ATTN GCPC APPROVING OFFICIAL</v>
      </c>
      <c r="H6740" t="str">
        <f>T("BOX 555009")</f>
        <v>BOX 555009</v>
      </c>
      <c r="I6740" t="str">
        <f t="shared" si="2569"/>
        <v>CAMP PENDLETON</v>
      </c>
      <c r="J6740" t="str">
        <f t="shared" si="2559"/>
        <v>CA</v>
      </c>
      <c r="K6740" t="str">
        <f>T("000000000000000000")</f>
        <v>000000000000000000</v>
      </c>
      <c r="L6740" t="str">
        <f>T("7607254242")</f>
        <v>7607254242</v>
      </c>
    </row>
    <row r="6741" spans="1:12" x14ac:dyDescent="0.35">
      <c r="A6741" t="str">
        <f t="shared" si="2560"/>
        <v>BASE UNITS</v>
      </c>
      <c r="B6741" t="str">
        <f t="shared" si="2563"/>
        <v>ATTN GCPC APPROVING OFFICIAL</v>
      </c>
      <c r="C6741" t="str">
        <f>T("BOX 555013")</f>
        <v>BOX 555013</v>
      </c>
      <c r="D6741" t="str">
        <f t="shared" si="2570"/>
        <v>CAMP PENDLETON</v>
      </c>
      <c r="E6741" t="str">
        <f t="shared" si="2558"/>
        <v>CA</v>
      </c>
      <c r="F6741" t="str">
        <f>T("920555013")</f>
        <v>920555013</v>
      </c>
      <c r="G6741" t="str">
        <f t="shared" si="2571"/>
        <v>ATTN GCPC APPROVING OFFICIAL</v>
      </c>
      <c r="H6741" t="str">
        <f>T("BOX 555013")</f>
        <v>BOX 555013</v>
      </c>
      <c r="I6741" t="str">
        <f t="shared" si="2569"/>
        <v>CAMP PENDLETON</v>
      </c>
      <c r="J6741" t="str">
        <f t="shared" si="2559"/>
        <v>CA</v>
      </c>
      <c r="K6741" t="str">
        <f>T("000000000000000000")</f>
        <v>000000000000000000</v>
      </c>
      <c r="L6741" t="str">
        <f>T("7607254626")</f>
        <v>7607254626</v>
      </c>
    </row>
    <row r="6742" spans="1:12" x14ac:dyDescent="0.35">
      <c r="A6742" t="str">
        <f t="shared" si="2560"/>
        <v>BASE UNITS</v>
      </c>
      <c r="B6742" t="str">
        <f t="shared" si="2563"/>
        <v>ATTN GCPC APPROVING OFFICIAL</v>
      </c>
      <c r="C6742" t="str">
        <f>T("BOX 555013")</f>
        <v>BOX 555013</v>
      </c>
      <c r="D6742" t="str">
        <f t="shared" si="2570"/>
        <v>CAMP PENDLETON</v>
      </c>
      <c r="E6742" t="str">
        <f t="shared" si="2558"/>
        <v>CA</v>
      </c>
      <c r="F6742" t="str">
        <f>T("920555013")</f>
        <v>920555013</v>
      </c>
      <c r="G6742" t="str">
        <f t="shared" si="2571"/>
        <v>ATTN GCPC APPROVING OFFICIAL</v>
      </c>
      <c r="H6742" t="str">
        <f>T("BOX 555013")</f>
        <v>BOX 555013</v>
      </c>
      <c r="I6742" t="str">
        <f t="shared" si="2569"/>
        <v>CAMP PENDLETON</v>
      </c>
      <c r="J6742" t="str">
        <f t="shared" si="2559"/>
        <v>CA</v>
      </c>
      <c r="K6742" t="str">
        <f>T("000000000000000000")</f>
        <v>000000000000000000</v>
      </c>
      <c r="L6742" t="str">
        <f>T("7607255054")</f>
        <v>7607255054</v>
      </c>
    </row>
    <row r="6743" spans="1:12" x14ac:dyDescent="0.35">
      <c r="A6743" t="str">
        <f t="shared" si="2560"/>
        <v>BASE UNITS</v>
      </c>
      <c r="B6743" t="str">
        <f t="shared" si="2563"/>
        <v>ATTN GCPC APPROVING OFFICIAL</v>
      </c>
      <c r="C6743" t="str">
        <f>T("BOX 555013")</f>
        <v>BOX 555013</v>
      </c>
      <c r="D6743" t="str">
        <f t="shared" si="2570"/>
        <v>CAMP PENDLETON</v>
      </c>
      <c r="E6743" t="str">
        <f t="shared" si="2558"/>
        <v>CA</v>
      </c>
      <c r="F6743" t="str">
        <f>T("920555013")</f>
        <v>920555013</v>
      </c>
      <c r="G6743" t="str">
        <f t="shared" si="2571"/>
        <v>ATTN GCPC APPROVING OFFICIAL</v>
      </c>
      <c r="H6743" t="str">
        <f>T("BOX 555013")</f>
        <v>BOX 555013</v>
      </c>
      <c r="I6743" t="str">
        <f t="shared" si="2569"/>
        <v>CAMP PENDLETON</v>
      </c>
      <c r="J6743" t="str">
        <f t="shared" si="2559"/>
        <v>CA</v>
      </c>
      <c r="K6743" t="str">
        <f>T("7607258939")</f>
        <v>7607258939</v>
      </c>
      <c r="L6743" t="str">
        <f>T("7607263276")</f>
        <v>7607263276</v>
      </c>
    </row>
    <row r="6744" spans="1:12" x14ac:dyDescent="0.35">
      <c r="A6744" t="str">
        <f t="shared" si="2560"/>
        <v>BASE UNITS</v>
      </c>
      <c r="B6744" t="str">
        <f t="shared" si="2563"/>
        <v>ATTN GCPC APPROVING OFFICIAL</v>
      </c>
      <c r="C6744" t="str">
        <f>T("BOX 555013")</f>
        <v>BOX 555013</v>
      </c>
      <c r="D6744" t="str">
        <f t="shared" si="2570"/>
        <v>CAMP PENDLETON</v>
      </c>
      <c r="E6744" t="str">
        <f t="shared" si="2558"/>
        <v>CA</v>
      </c>
      <c r="F6744" t="str">
        <f>T("920555013")</f>
        <v>920555013</v>
      </c>
      <c r="G6744" t="str">
        <f t="shared" si="2571"/>
        <v>ATTN GCPC APPROVING OFFICIAL</v>
      </c>
      <c r="H6744" t="str">
        <f>T("BOX 555229")</f>
        <v>BOX 555229</v>
      </c>
      <c r="I6744" t="str">
        <f t="shared" si="2569"/>
        <v>CAMP PENDLETON</v>
      </c>
      <c r="J6744" t="str">
        <f t="shared" si="2559"/>
        <v>CA</v>
      </c>
      <c r="K6744" t="str">
        <f t="shared" ref="K6744:K6751" si="2572">T("000000000000000000")</f>
        <v>000000000000000000</v>
      </c>
      <c r="L6744" t="str">
        <f>T("7607636640")</f>
        <v>7607636640</v>
      </c>
    </row>
    <row r="6745" spans="1:12" x14ac:dyDescent="0.35">
      <c r="A6745" t="str">
        <f t="shared" si="2560"/>
        <v>BASE UNITS</v>
      </c>
      <c r="B6745" t="str">
        <f t="shared" si="2563"/>
        <v>ATTN GCPC APPROVING OFFICIAL</v>
      </c>
      <c r="C6745" t="str">
        <f>T("BOX 555014")</f>
        <v>BOX 555014</v>
      </c>
      <c r="D6745" t="str">
        <f t="shared" si="2570"/>
        <v>CAMP PENDLETON</v>
      </c>
      <c r="E6745" t="str">
        <f t="shared" si="2558"/>
        <v>CA</v>
      </c>
      <c r="F6745" t="str">
        <f>T("920555014")</f>
        <v>920555014</v>
      </c>
      <c r="G6745" t="str">
        <f t="shared" si="2571"/>
        <v>ATTN GCPC APPROVING OFFICIAL</v>
      </c>
      <c r="H6745" t="str">
        <f>T("BOX 555014")</f>
        <v>BOX 555014</v>
      </c>
      <c r="I6745" t="str">
        <f t="shared" si="2569"/>
        <v>CAMP PENDLETON</v>
      </c>
      <c r="J6745" t="str">
        <f t="shared" si="2559"/>
        <v>CA</v>
      </c>
      <c r="K6745" t="str">
        <f t="shared" si="2572"/>
        <v>000000000000000000</v>
      </c>
      <c r="L6745" t="str">
        <f>T("7603902427")</f>
        <v>7603902427</v>
      </c>
    </row>
    <row r="6746" spans="1:12" x14ac:dyDescent="0.35">
      <c r="A6746" t="str">
        <f t="shared" si="2560"/>
        <v>BASE UNITS</v>
      </c>
      <c r="B6746" t="str">
        <f t="shared" si="2563"/>
        <v>ATTN GCPC APPROVING OFFICIAL</v>
      </c>
      <c r="C6746" t="str">
        <f>T("BOX 555014")</f>
        <v>BOX 555014</v>
      </c>
      <c r="D6746" t="str">
        <f t="shared" si="2570"/>
        <v>CAMP PENDLETON</v>
      </c>
      <c r="E6746" t="str">
        <f t="shared" si="2558"/>
        <v>CA</v>
      </c>
      <c r="F6746" t="str">
        <f>T("920555014")</f>
        <v>920555014</v>
      </c>
      <c r="G6746" t="str">
        <f t="shared" si="2571"/>
        <v>ATTN GCPC APPROVING OFFICIAL</v>
      </c>
      <c r="H6746" t="str">
        <f>T("BOX 555014")</f>
        <v>BOX 555014</v>
      </c>
      <c r="I6746" t="str">
        <f t="shared" si="2569"/>
        <v>CAMP PENDLETON</v>
      </c>
      <c r="J6746" t="str">
        <f t="shared" si="2559"/>
        <v>CA</v>
      </c>
      <c r="K6746" t="str">
        <f t="shared" si="2572"/>
        <v>000000000000000000</v>
      </c>
      <c r="L6746" t="str">
        <f>T("7605777112")</f>
        <v>7605777112</v>
      </c>
    </row>
    <row r="6747" spans="1:12" x14ac:dyDescent="0.35">
      <c r="A6747" t="str">
        <f t="shared" si="2560"/>
        <v>BASE UNITS</v>
      </c>
      <c r="B6747" t="str">
        <f t="shared" si="2563"/>
        <v>ATTN GCPC APPROVING OFFICIAL</v>
      </c>
      <c r="C6747" t="str">
        <f>T("BOX 555014")</f>
        <v>BOX 555014</v>
      </c>
      <c r="D6747" t="str">
        <f t="shared" si="2570"/>
        <v>CAMP PENDLETON</v>
      </c>
      <c r="E6747" t="str">
        <f t="shared" si="2558"/>
        <v>CA</v>
      </c>
      <c r="F6747" t="str">
        <f>T("920555014")</f>
        <v>920555014</v>
      </c>
      <c r="G6747" t="str">
        <f t="shared" si="2571"/>
        <v>ATTN GCPC APPROVING OFFICIAL</v>
      </c>
      <c r="H6747" t="str">
        <f>T("BOX 555014")</f>
        <v>BOX 555014</v>
      </c>
      <c r="I6747" t="str">
        <f t="shared" si="2569"/>
        <v>CAMP PENDLETON</v>
      </c>
      <c r="J6747" t="str">
        <f t="shared" si="2559"/>
        <v>CA</v>
      </c>
      <c r="K6747" t="str">
        <f t="shared" si="2572"/>
        <v>000000000000000000</v>
      </c>
      <c r="L6747" t="str">
        <f>T("7607253197")</f>
        <v>7607253197</v>
      </c>
    </row>
    <row r="6748" spans="1:12" x14ac:dyDescent="0.35">
      <c r="A6748" t="str">
        <f t="shared" si="2560"/>
        <v>BASE UNITS</v>
      </c>
      <c r="B6748" t="str">
        <f t="shared" si="2563"/>
        <v>ATTN GCPC APPROVING OFFICIAL</v>
      </c>
      <c r="C6748" t="str">
        <f>T("BOX 555014")</f>
        <v>BOX 555014</v>
      </c>
      <c r="D6748" t="str">
        <f t="shared" si="2570"/>
        <v>CAMP PENDLETON</v>
      </c>
      <c r="E6748" t="str">
        <f t="shared" si="2558"/>
        <v>CA</v>
      </c>
      <c r="F6748" t="str">
        <f>T("920555014")</f>
        <v>920555014</v>
      </c>
      <c r="G6748" t="str">
        <f t="shared" si="2571"/>
        <v>ATTN GCPC APPROVING OFFICIAL</v>
      </c>
      <c r="H6748" t="str">
        <f>T("BOX 555014")</f>
        <v>BOX 555014</v>
      </c>
      <c r="I6748" t="str">
        <f t="shared" si="2569"/>
        <v>CAMP PENDLETON</v>
      </c>
      <c r="J6748" t="str">
        <f t="shared" si="2559"/>
        <v>CA</v>
      </c>
      <c r="K6748" t="str">
        <f t="shared" si="2572"/>
        <v>000000000000000000</v>
      </c>
      <c r="L6748" t="str">
        <f>T("7607253911")</f>
        <v>7607253911</v>
      </c>
    </row>
    <row r="6749" spans="1:12" x14ac:dyDescent="0.35">
      <c r="A6749" t="str">
        <f t="shared" si="2560"/>
        <v>BASE UNITS</v>
      </c>
      <c r="B6749" t="str">
        <f t="shared" si="2563"/>
        <v>ATTN GCPC APPROVING OFFICIAL</v>
      </c>
      <c r="C6749" t="str">
        <f>T("BOX 555018")</f>
        <v>BOX 555018</v>
      </c>
      <c r="D6749" t="str">
        <f>T("CMP PENDLETON")</f>
        <v>CMP PENDLETON</v>
      </c>
      <c r="E6749" t="str">
        <f t="shared" si="2558"/>
        <v>CA</v>
      </c>
      <c r="F6749" t="str">
        <f>T("920555018")</f>
        <v>920555018</v>
      </c>
      <c r="G6749" t="str">
        <f>T("AC/S CIS MCB")</f>
        <v>AC/S CIS MCB</v>
      </c>
      <c r="H6749" t="str">
        <f>T("PO BOX 555018 / BLDG 2457")</f>
        <v>PO BOX 555018 / BLDG 2457</v>
      </c>
      <c r="I6749" t="str">
        <f t="shared" si="2569"/>
        <v>CAMP PENDLETON</v>
      </c>
      <c r="J6749" t="str">
        <f t="shared" si="2559"/>
        <v>CA</v>
      </c>
      <c r="K6749" t="str">
        <f t="shared" si="2572"/>
        <v>000000000000000000</v>
      </c>
      <c r="L6749" t="str">
        <f>T("7607258927")</f>
        <v>7607258927</v>
      </c>
    </row>
    <row r="6750" spans="1:12" x14ac:dyDescent="0.35">
      <c r="A6750" t="str">
        <f t="shared" si="2560"/>
        <v>BASE UNITS</v>
      </c>
      <c r="B6750" t="str">
        <f t="shared" si="2563"/>
        <v>ATTN GCPC APPROVING OFFICIAL</v>
      </c>
      <c r="C6750" t="str">
        <f>T("BOX 555018")</f>
        <v>BOX 555018</v>
      </c>
      <c r="D6750" t="str">
        <f>T("CMP PENDLETON")</f>
        <v>CMP PENDLETON</v>
      </c>
      <c r="E6750" t="str">
        <f t="shared" si="2558"/>
        <v>CA</v>
      </c>
      <c r="F6750" t="str">
        <f>T("920555018")</f>
        <v>920555018</v>
      </c>
      <c r="G6750" t="str">
        <f t="shared" ref="G6750:G6762" si="2573">T("ATTN GCPC APPROVING OFFICIAL")</f>
        <v>ATTN GCPC APPROVING OFFICIAL</v>
      </c>
      <c r="H6750" t="str">
        <f>T("BOX 555018")</f>
        <v>BOX 555018</v>
      </c>
      <c r="I6750" t="str">
        <f>T("CMP PENDLETON")</f>
        <v>CMP PENDLETON</v>
      </c>
      <c r="J6750" t="str">
        <f t="shared" si="2559"/>
        <v>CA</v>
      </c>
      <c r="K6750" t="str">
        <f t="shared" si="2572"/>
        <v>000000000000000000</v>
      </c>
      <c r="L6750" t="str">
        <f>T("7607259957")</f>
        <v>7607259957</v>
      </c>
    </row>
    <row r="6751" spans="1:12" x14ac:dyDescent="0.35">
      <c r="A6751" t="str">
        <f t="shared" si="2560"/>
        <v>BASE UNITS</v>
      </c>
      <c r="B6751" t="str">
        <f t="shared" si="2563"/>
        <v>ATTN GCPC APPROVING OFFICIAL</v>
      </c>
      <c r="C6751" t="str">
        <f>T("BOX 555027")</f>
        <v>BOX 555027</v>
      </c>
      <c r="D6751" t="str">
        <f t="shared" ref="D6751:D6763" si="2574">T("CAMP PENDLETON")</f>
        <v>CAMP PENDLETON</v>
      </c>
      <c r="E6751" t="str">
        <f t="shared" ref="E6751:E6785" si="2575">T("CA")</f>
        <v>CA</v>
      </c>
      <c r="F6751" t="str">
        <f>T("920555027")</f>
        <v>920555027</v>
      </c>
      <c r="G6751" t="str">
        <f t="shared" si="2573"/>
        <v>ATTN GCPC APPROVING OFFICIAL</v>
      </c>
      <c r="H6751" t="str">
        <f>T("BOX 555027")</f>
        <v>BOX 555027</v>
      </c>
      <c r="I6751" t="str">
        <f t="shared" ref="I6751:I6763" si="2576">T("CAMP PENDLETON")</f>
        <v>CAMP PENDLETON</v>
      </c>
      <c r="J6751" t="str">
        <f t="shared" ref="J6751:J6785" si="2577">T("CA")</f>
        <v>CA</v>
      </c>
      <c r="K6751" t="str">
        <f t="shared" si="2572"/>
        <v>000000000000000000</v>
      </c>
      <c r="L6751" t="str">
        <f>T("1111111111")</f>
        <v>1111111111</v>
      </c>
    </row>
    <row r="6752" spans="1:12" x14ac:dyDescent="0.35">
      <c r="A6752" t="str">
        <f t="shared" si="2560"/>
        <v>BASE UNITS</v>
      </c>
      <c r="B6752" t="str">
        <f t="shared" si="2563"/>
        <v>ATTN GCPC APPROVING OFFICIAL</v>
      </c>
      <c r="C6752" t="str">
        <f>T("BOX 555027")</f>
        <v>BOX 555027</v>
      </c>
      <c r="D6752" t="str">
        <f t="shared" si="2574"/>
        <v>CAMP PENDLETON</v>
      </c>
      <c r="E6752" t="str">
        <f t="shared" si="2575"/>
        <v>CA</v>
      </c>
      <c r="F6752" t="str">
        <f>T("920555027")</f>
        <v>920555027</v>
      </c>
      <c r="G6752" t="str">
        <f t="shared" si="2573"/>
        <v>ATTN GCPC APPROVING OFFICIAL</v>
      </c>
      <c r="H6752" t="str">
        <f>T("BOX 555027")</f>
        <v>BOX 555027</v>
      </c>
      <c r="I6752" t="str">
        <f t="shared" si="2576"/>
        <v>CAMP PENDLETON</v>
      </c>
      <c r="J6752" t="str">
        <f t="shared" si="2577"/>
        <v>CA</v>
      </c>
      <c r="K6752" t="str">
        <f>T("7607254346")</f>
        <v>7607254346</v>
      </c>
      <c r="L6752" t="str">
        <f>T("7607258446")</f>
        <v>7607258446</v>
      </c>
    </row>
    <row r="6753" spans="1:12" x14ac:dyDescent="0.35">
      <c r="A6753" t="str">
        <f t="shared" si="2560"/>
        <v>BASE UNITS</v>
      </c>
      <c r="B6753" t="str">
        <f t="shared" si="2563"/>
        <v>ATTN GCPC APPROVING OFFICIAL</v>
      </c>
      <c r="C6753" t="str">
        <f>T("BOX 555051")</f>
        <v>BOX 555051</v>
      </c>
      <c r="D6753" t="str">
        <f t="shared" si="2574"/>
        <v>CAMP PENDLETON</v>
      </c>
      <c r="E6753" t="str">
        <f t="shared" si="2575"/>
        <v>CA</v>
      </c>
      <c r="F6753" t="str">
        <f>T("920555051")</f>
        <v>920555051</v>
      </c>
      <c r="G6753" t="str">
        <f t="shared" si="2573"/>
        <v>ATTN GCPC APPROVING OFFICIAL</v>
      </c>
      <c r="H6753" t="str">
        <f>T("BOX 555051")</f>
        <v>BOX 555051</v>
      </c>
      <c r="I6753" t="str">
        <f t="shared" si="2576"/>
        <v>CAMP PENDLETON</v>
      </c>
      <c r="J6753" t="str">
        <f t="shared" si="2577"/>
        <v>CA</v>
      </c>
      <c r="K6753" t="str">
        <f t="shared" ref="K6753:K6758" si="2578">T("000000000000000000")</f>
        <v>000000000000000000</v>
      </c>
      <c r="L6753" t="str">
        <f>T("7607253901")</f>
        <v>7607253901</v>
      </c>
    </row>
    <row r="6754" spans="1:12" x14ac:dyDescent="0.35">
      <c r="A6754" t="str">
        <f t="shared" si="2560"/>
        <v>BASE UNITS</v>
      </c>
      <c r="B6754" t="str">
        <f t="shared" si="2563"/>
        <v>ATTN GCPC APPROVING OFFICIAL</v>
      </c>
      <c r="C6754" t="str">
        <f>T("BOX 555051")</f>
        <v>BOX 555051</v>
      </c>
      <c r="D6754" t="str">
        <f t="shared" si="2574"/>
        <v>CAMP PENDLETON</v>
      </c>
      <c r="E6754" t="str">
        <f t="shared" si="2575"/>
        <v>CA</v>
      </c>
      <c r="F6754" t="str">
        <f>T("920555051")</f>
        <v>920555051</v>
      </c>
      <c r="G6754" t="str">
        <f t="shared" si="2573"/>
        <v>ATTN GCPC APPROVING OFFICIAL</v>
      </c>
      <c r="H6754" t="str">
        <f>T("BOX 555051")</f>
        <v>BOX 555051</v>
      </c>
      <c r="I6754" t="str">
        <f t="shared" si="2576"/>
        <v>CAMP PENDLETON</v>
      </c>
      <c r="J6754" t="str">
        <f t="shared" si="2577"/>
        <v>CA</v>
      </c>
      <c r="K6754" t="str">
        <f t="shared" si="2578"/>
        <v>000000000000000000</v>
      </c>
      <c r="L6754" t="str">
        <f>T("7607634858")</f>
        <v>7607634858</v>
      </c>
    </row>
    <row r="6755" spans="1:12" x14ac:dyDescent="0.35">
      <c r="A6755" t="str">
        <f t="shared" si="2560"/>
        <v>BASE UNITS</v>
      </c>
      <c r="B6755" t="str">
        <f t="shared" si="2563"/>
        <v>ATTN GCPC APPROVING OFFICIAL</v>
      </c>
      <c r="C6755" t="str">
        <f>T("PO BOX 555010")</f>
        <v>PO BOX 555010</v>
      </c>
      <c r="D6755" t="str">
        <f t="shared" si="2574"/>
        <v>CAMP PENDLETON</v>
      </c>
      <c r="E6755" t="str">
        <f t="shared" si="2575"/>
        <v>CA</v>
      </c>
      <c r="F6755" t="str">
        <f>T("920555010")</f>
        <v>920555010</v>
      </c>
      <c r="G6755" t="str">
        <f t="shared" si="2573"/>
        <v>ATTN GCPC APPROVING OFFICIAL</v>
      </c>
      <c r="H6755" t="str">
        <f>T("BOX 555013")</f>
        <v>BOX 555013</v>
      </c>
      <c r="I6755" t="str">
        <f t="shared" si="2576"/>
        <v>CAMP PENDLETON</v>
      </c>
      <c r="J6755" t="str">
        <f t="shared" si="2577"/>
        <v>CA</v>
      </c>
      <c r="K6755" t="str">
        <f t="shared" si="2578"/>
        <v>000000000000000000</v>
      </c>
      <c r="L6755" t="str">
        <f>T("7607251420")</f>
        <v>7607251420</v>
      </c>
    </row>
    <row r="6756" spans="1:12" x14ac:dyDescent="0.35">
      <c r="A6756" t="str">
        <f t="shared" si="2560"/>
        <v>BASE UNITS</v>
      </c>
      <c r="B6756" t="str">
        <f t="shared" si="2563"/>
        <v>ATTN GCPC APPROVING OFFICIAL</v>
      </c>
      <c r="C6756" t="str">
        <f>T("PO BOX 555010")</f>
        <v>PO BOX 555010</v>
      </c>
      <c r="D6756" t="str">
        <f t="shared" si="2574"/>
        <v>CAMP PENDLETON</v>
      </c>
      <c r="E6756" t="str">
        <f t="shared" si="2575"/>
        <v>CA</v>
      </c>
      <c r="F6756" t="str">
        <f>T("920555010")</f>
        <v>920555010</v>
      </c>
      <c r="G6756" t="str">
        <f t="shared" si="2573"/>
        <v>ATTN GCPC APPROVING OFFICIAL</v>
      </c>
      <c r="H6756" t="str">
        <f>T("PO BOX 555010")</f>
        <v>PO BOX 555010</v>
      </c>
      <c r="I6756" t="str">
        <f t="shared" si="2576"/>
        <v>CAMP PENDLETON</v>
      </c>
      <c r="J6756" t="str">
        <f t="shared" si="2577"/>
        <v>CA</v>
      </c>
      <c r="K6756" t="str">
        <f t="shared" si="2578"/>
        <v>000000000000000000</v>
      </c>
      <c r="L6756" t="str">
        <f>T("7607635243")</f>
        <v>7607635243</v>
      </c>
    </row>
    <row r="6757" spans="1:12" x14ac:dyDescent="0.35">
      <c r="A6757" t="str">
        <f t="shared" si="2560"/>
        <v>BASE UNITS</v>
      </c>
      <c r="B6757" t="str">
        <f t="shared" si="2563"/>
        <v>ATTN GCPC APPROVING OFFICIAL</v>
      </c>
      <c r="C6757" t="str">
        <f>T("PO BOX 555013")</f>
        <v>PO BOX 555013</v>
      </c>
      <c r="D6757" t="str">
        <f t="shared" si="2574"/>
        <v>CAMP PENDLETON</v>
      </c>
      <c r="E6757" t="str">
        <f t="shared" si="2575"/>
        <v>CA</v>
      </c>
      <c r="F6757" t="str">
        <f>T("920555013")</f>
        <v>920555013</v>
      </c>
      <c r="G6757" t="str">
        <f t="shared" si="2573"/>
        <v>ATTN GCPC APPROVING OFFICIAL</v>
      </c>
      <c r="H6757" t="str">
        <f>T("BOX 555013")</f>
        <v>BOX 555013</v>
      </c>
      <c r="I6757" t="str">
        <f t="shared" si="2576"/>
        <v>CAMP PENDLETON</v>
      </c>
      <c r="J6757" t="str">
        <f t="shared" si="2577"/>
        <v>CA</v>
      </c>
      <c r="K6757" t="str">
        <f t="shared" si="2578"/>
        <v>000000000000000000</v>
      </c>
      <c r="L6757" t="str">
        <f>T("7607254626")</f>
        <v>7607254626</v>
      </c>
    </row>
    <row r="6758" spans="1:12" x14ac:dyDescent="0.35">
      <c r="A6758" t="str">
        <f t="shared" si="2560"/>
        <v>BASE UNITS</v>
      </c>
      <c r="B6758" t="str">
        <f t="shared" si="2563"/>
        <v>ATTN GCPC APPROVING OFFICIAL</v>
      </c>
      <c r="C6758" t="str">
        <f>T("PO BOX 555013")</f>
        <v>PO BOX 555013</v>
      </c>
      <c r="D6758" t="str">
        <f t="shared" si="2574"/>
        <v>CAMP PENDLETON</v>
      </c>
      <c r="E6758" t="str">
        <f t="shared" si="2575"/>
        <v>CA</v>
      </c>
      <c r="F6758" t="str">
        <f>T("920555013")</f>
        <v>920555013</v>
      </c>
      <c r="G6758" t="str">
        <f t="shared" si="2573"/>
        <v>ATTN GCPC APPROVING OFFICIAL</v>
      </c>
      <c r="H6758" t="str">
        <f>T("BOX 555013")</f>
        <v>BOX 555013</v>
      </c>
      <c r="I6758" t="str">
        <f t="shared" si="2576"/>
        <v>CAMP PENDLETON</v>
      </c>
      <c r="J6758" t="str">
        <f t="shared" si="2577"/>
        <v>CA</v>
      </c>
      <c r="K6758" t="str">
        <f t="shared" si="2578"/>
        <v>000000000000000000</v>
      </c>
      <c r="L6758" t="str">
        <f>T("7607636640")</f>
        <v>7607636640</v>
      </c>
    </row>
    <row r="6759" spans="1:12" x14ac:dyDescent="0.35">
      <c r="A6759" t="str">
        <f t="shared" si="2560"/>
        <v>BASE UNITS</v>
      </c>
      <c r="B6759" t="str">
        <f t="shared" si="2563"/>
        <v>ATTN GCPC APPROVING OFFICIAL</v>
      </c>
      <c r="C6759" t="str">
        <f>T("PO BOX 555013")</f>
        <v>PO BOX 555013</v>
      </c>
      <c r="D6759" t="str">
        <f t="shared" si="2574"/>
        <v>CAMP PENDLETON</v>
      </c>
      <c r="E6759" t="str">
        <f t="shared" si="2575"/>
        <v>CA</v>
      </c>
      <c r="F6759" t="str">
        <f>T("920555013")</f>
        <v>920555013</v>
      </c>
      <c r="G6759" t="str">
        <f t="shared" si="2573"/>
        <v>ATTN GCPC APPROVING OFFICIAL</v>
      </c>
      <c r="H6759" t="str">
        <f>T("PO BOX 555013")</f>
        <v>PO BOX 555013</v>
      </c>
      <c r="I6759" t="str">
        <f t="shared" si="2576"/>
        <v>CAMP PENDLETON</v>
      </c>
      <c r="J6759" t="str">
        <f t="shared" si="2577"/>
        <v>CA</v>
      </c>
      <c r="K6759" t="str">
        <f>T("7607258939")</f>
        <v>7607258939</v>
      </c>
      <c r="L6759" t="str">
        <f>T("7607253276")</f>
        <v>7607253276</v>
      </c>
    </row>
    <row r="6760" spans="1:12" x14ac:dyDescent="0.35">
      <c r="A6760" t="str">
        <f t="shared" si="2560"/>
        <v>BASE UNITS</v>
      </c>
      <c r="B6760" t="str">
        <f t="shared" si="2563"/>
        <v>ATTN GCPC APPROVING OFFICIAL</v>
      </c>
      <c r="C6760" t="str">
        <f>T("PO BOX 555031")</f>
        <v>PO BOX 555031</v>
      </c>
      <c r="D6760" t="str">
        <f t="shared" si="2574"/>
        <v>CAMP PENDLETON</v>
      </c>
      <c r="E6760" t="str">
        <f t="shared" si="2575"/>
        <v>CA</v>
      </c>
      <c r="F6760" t="str">
        <f>T("920555031")</f>
        <v>920555031</v>
      </c>
      <c r="G6760" t="str">
        <f t="shared" si="2573"/>
        <v>ATTN GCPC APPROVING OFFICIAL</v>
      </c>
      <c r="H6760" t="str">
        <f>T("BOX 555031")</f>
        <v>BOX 555031</v>
      </c>
      <c r="I6760" t="str">
        <f t="shared" si="2576"/>
        <v>CAMP PENDLETON</v>
      </c>
      <c r="J6760" t="str">
        <f t="shared" si="2577"/>
        <v>CA</v>
      </c>
      <c r="K6760" t="str">
        <f>T("000000000000000000")</f>
        <v>000000000000000000</v>
      </c>
      <c r="L6760" t="str">
        <f>T("7607256380")</f>
        <v>7607256380</v>
      </c>
    </row>
    <row r="6761" spans="1:12" x14ac:dyDescent="0.35">
      <c r="A6761" t="str">
        <f t="shared" si="2560"/>
        <v>BASE UNITS</v>
      </c>
      <c r="B6761" t="str">
        <f t="shared" si="2563"/>
        <v>ATTN GCPC APPROVING OFFICIAL</v>
      </c>
      <c r="C6761" t="str">
        <f>T("PO BOX 555031")</f>
        <v>PO BOX 555031</v>
      </c>
      <c r="D6761" t="str">
        <f t="shared" si="2574"/>
        <v>CAMP PENDLETON</v>
      </c>
      <c r="E6761" t="str">
        <f t="shared" si="2575"/>
        <v>CA</v>
      </c>
      <c r="F6761" t="str">
        <f>T("920555031")</f>
        <v>920555031</v>
      </c>
      <c r="G6761" t="str">
        <f t="shared" si="2573"/>
        <v>ATTN GCPC APPROVING OFFICIAL</v>
      </c>
      <c r="H6761" t="str">
        <f>T("PO BOX 555031")</f>
        <v>PO BOX 555031</v>
      </c>
      <c r="I6761" t="str">
        <f t="shared" si="2576"/>
        <v>CAMP PENDLETON</v>
      </c>
      <c r="J6761" t="str">
        <f t="shared" si="2577"/>
        <v>CA</v>
      </c>
      <c r="K6761" t="str">
        <f>T("7607256373")</f>
        <v>7607256373</v>
      </c>
      <c r="L6761" t="str">
        <f>T("7607256380")</f>
        <v>7607256380</v>
      </c>
    </row>
    <row r="6762" spans="1:12" x14ac:dyDescent="0.35">
      <c r="A6762" t="str">
        <f t="shared" si="2560"/>
        <v>BASE UNITS</v>
      </c>
      <c r="B6762" t="str">
        <f>T("ATTN GCPC APROVING OFFICIAL")</f>
        <v>ATTN GCPC APROVING OFFICIAL</v>
      </c>
      <c r="C6762" t="str">
        <f>T("BOX 555009")</f>
        <v>BOX 555009</v>
      </c>
      <c r="D6762" t="str">
        <f t="shared" si="2574"/>
        <v>CAMP PENDLETON</v>
      </c>
      <c r="E6762" t="str">
        <f t="shared" si="2575"/>
        <v>CA</v>
      </c>
      <c r="F6762" t="str">
        <f>T("920555009")</f>
        <v>920555009</v>
      </c>
      <c r="G6762" t="str">
        <f t="shared" si="2573"/>
        <v>ATTN GCPC APPROVING OFFICIAL</v>
      </c>
      <c r="H6762" t="str">
        <f>T("P O BOX 555009")</f>
        <v>P O BOX 555009</v>
      </c>
      <c r="I6762" t="str">
        <f t="shared" si="2576"/>
        <v>CAMP PENDLETON</v>
      </c>
      <c r="J6762" t="str">
        <f t="shared" si="2577"/>
        <v>CA</v>
      </c>
      <c r="K6762" t="str">
        <f>T("000000000000000000")</f>
        <v>000000000000000000</v>
      </c>
      <c r="L6762" t="str">
        <f>T("7607251730")</f>
        <v>7607251730</v>
      </c>
    </row>
    <row r="6763" spans="1:12" x14ac:dyDescent="0.35">
      <c r="A6763" t="str">
        <f t="shared" si="2560"/>
        <v>BASE UNITS</v>
      </c>
      <c r="B6763" t="str">
        <f>T("ATTN GCPC APROVING OFFICIAL")</f>
        <v>ATTN GCPC APROVING OFFICIAL</v>
      </c>
      <c r="C6763" t="str">
        <f>T("BOX 555009")</f>
        <v>BOX 555009</v>
      </c>
      <c r="D6763" t="str">
        <f t="shared" si="2574"/>
        <v>CAMP PENDLETON</v>
      </c>
      <c r="E6763" t="str">
        <f t="shared" si="2575"/>
        <v>CA</v>
      </c>
      <c r="F6763" t="str">
        <f>T("920555009")</f>
        <v>920555009</v>
      </c>
      <c r="G6763" t="str">
        <f>T("ATTN GCPC APROVING OFFICIAL")</f>
        <v>ATTN GCPC APROVING OFFICIAL</v>
      </c>
      <c r="H6763" t="str">
        <f>T("BOX 555009")</f>
        <v>BOX 555009</v>
      </c>
      <c r="I6763" t="str">
        <f t="shared" si="2576"/>
        <v>CAMP PENDLETON</v>
      </c>
      <c r="J6763" t="str">
        <f t="shared" si="2577"/>
        <v>CA</v>
      </c>
      <c r="K6763" t="str">
        <f>T("")</f>
        <v/>
      </c>
      <c r="L6763" t="str">
        <f>T("7607254841")</f>
        <v>7607254841</v>
      </c>
    </row>
    <row r="6764" spans="1:12" x14ac:dyDescent="0.35">
      <c r="A6764" t="str">
        <f t="shared" si="2560"/>
        <v>BASE UNITS</v>
      </c>
      <c r="B6764" t="str">
        <f>T("ATTN: GCPC APPRVNG OFFICIAL")</f>
        <v>ATTN: GCPC APPRVNG OFFICIAL</v>
      </c>
      <c r="C6764" t="str">
        <f>T("SWRFT MCLB BLDG 590 YERMO ANNX")</f>
        <v>SWRFT MCLB BLDG 590 YERMO ANNX</v>
      </c>
      <c r="D6764" t="str">
        <f>T("BARSTOW")</f>
        <v>BARSTOW</v>
      </c>
      <c r="E6764" t="str">
        <f t="shared" si="2575"/>
        <v>CA</v>
      </c>
      <c r="F6764" t="str">
        <f>T("923110000")</f>
        <v>923110000</v>
      </c>
      <c r="G6764" t="str">
        <f>T("ATTN: GCPC APPRVNG OFFICIAL")</f>
        <v>ATTN: GCPC APPRVNG OFFICIAL</v>
      </c>
      <c r="H6764" t="str">
        <f>T("SWRFT MCLB BLDG 590 YERMO ANNX")</f>
        <v>SWRFT MCLB BLDG 590 YERMO ANNX</v>
      </c>
      <c r="I6764" t="str">
        <f>T("BARSTOW")</f>
        <v>BARSTOW</v>
      </c>
      <c r="J6764" t="str">
        <f t="shared" si="2577"/>
        <v>CA</v>
      </c>
      <c r="K6764" t="str">
        <f>T("000000000000000000")</f>
        <v>000000000000000000</v>
      </c>
      <c r="L6764" t="str">
        <f>T("7605777112")</f>
        <v>7605777112</v>
      </c>
    </row>
    <row r="6765" spans="1:12" x14ac:dyDescent="0.35">
      <c r="A6765" t="str">
        <f t="shared" si="2560"/>
        <v>BASE UNITS</v>
      </c>
      <c r="B6765" t="str">
        <f>T("GCPC APPROVING OFFICIAL")</f>
        <v>GCPC APPROVING OFFICIAL</v>
      </c>
      <c r="C6765" t="str">
        <f>T("BOX 555020 BLDG 13150")</f>
        <v>BOX 555020 BLDG 13150</v>
      </c>
      <c r="D6765" t="str">
        <f>T("CMP PENDLETON")</f>
        <v>CMP PENDLETON</v>
      </c>
      <c r="E6765" t="str">
        <f t="shared" si="2575"/>
        <v>CA</v>
      </c>
      <c r="F6765" t="str">
        <f>T("920555020")</f>
        <v>920555020</v>
      </c>
      <c r="G6765" t="str">
        <f>T("ATTN GCPC APPROVING OFFICIAL")</f>
        <v>ATTN GCPC APPROVING OFFICIAL</v>
      </c>
      <c r="H6765" t="str">
        <f>T("BOX 555020")</f>
        <v>BOX 555020</v>
      </c>
      <c r="I6765" t="str">
        <f>T("CAMP PENDLETON")</f>
        <v>CAMP PENDLETON</v>
      </c>
      <c r="J6765" t="str">
        <f t="shared" si="2577"/>
        <v>CA</v>
      </c>
      <c r="K6765" t="str">
        <f>T("000000000000000000")</f>
        <v>000000000000000000</v>
      </c>
      <c r="L6765" t="str">
        <f>T("7607251160")</f>
        <v>7607251160</v>
      </c>
    </row>
    <row r="6766" spans="1:12" x14ac:dyDescent="0.35">
      <c r="A6766" t="str">
        <f t="shared" si="2560"/>
        <v>BASE UNITS</v>
      </c>
      <c r="B6766" t="str">
        <f>T("GCPC APPROVING OFFICIAL")</f>
        <v>GCPC APPROVING OFFICIAL</v>
      </c>
      <c r="C6766" t="str">
        <f>T("BOX 555020 BLDG 13150")</f>
        <v>BOX 555020 BLDG 13150</v>
      </c>
      <c r="D6766" t="str">
        <f>T("CMP PENDLETON")</f>
        <v>CMP PENDLETON</v>
      </c>
      <c r="E6766" t="str">
        <f t="shared" si="2575"/>
        <v>CA</v>
      </c>
      <c r="F6766" t="str">
        <f>T("920555020")</f>
        <v>920555020</v>
      </c>
      <c r="G6766" t="str">
        <f>T("GCPC APPROVING OFFICIAL")</f>
        <v>GCPC APPROVING OFFICIAL</v>
      </c>
      <c r="H6766" t="str">
        <f>T("BOX 555020 BLDG 13150")</f>
        <v>BOX 555020 BLDG 13150</v>
      </c>
      <c r="I6766" t="str">
        <f>T("CMP PENDLETON")</f>
        <v>CMP PENDLETON</v>
      </c>
      <c r="J6766" t="str">
        <f t="shared" si="2577"/>
        <v>CA</v>
      </c>
      <c r="K6766" t="str">
        <f>T("7607256393")</f>
        <v>7607256393</v>
      </c>
      <c r="L6766" t="str">
        <f>T("7607638432")</f>
        <v>7607638432</v>
      </c>
    </row>
    <row r="6767" spans="1:12" x14ac:dyDescent="0.35">
      <c r="A6767" t="str">
        <f t="shared" si="2560"/>
        <v>BASE UNITS</v>
      </c>
      <c r="B6767" t="str">
        <f>T("PO BOX 555014")</f>
        <v>PO BOX 555014</v>
      </c>
      <c r="C6767" t="str">
        <f>T("")</f>
        <v/>
      </c>
      <c r="D6767" t="str">
        <f t="shared" ref="D6767:D6775" si="2579">T("CAMP PENDLETON")</f>
        <v>CAMP PENDLETON</v>
      </c>
      <c r="E6767" t="str">
        <f t="shared" si="2575"/>
        <v>CA</v>
      </c>
      <c r="F6767" t="str">
        <f>T("920555014")</f>
        <v>920555014</v>
      </c>
      <c r="G6767" t="str">
        <f>T("ATTN GCPC APPROVING OFFICIAL")</f>
        <v>ATTN GCPC APPROVING OFFICIAL</v>
      </c>
      <c r="H6767" t="str">
        <f>T("BOX 555014")</f>
        <v>BOX 555014</v>
      </c>
      <c r="I6767" t="str">
        <f t="shared" ref="I6767:I6777" si="2580">T("CAMP PENDLETON")</f>
        <v>CAMP PENDLETON</v>
      </c>
      <c r="J6767" t="str">
        <f t="shared" si="2577"/>
        <v>CA</v>
      </c>
      <c r="K6767" t="str">
        <f t="shared" ref="K6767:K6785" si="2581">T("000000000000000000")</f>
        <v>000000000000000000</v>
      </c>
      <c r="L6767" t="str">
        <f>T("7607254421")</f>
        <v>7607254421</v>
      </c>
    </row>
    <row r="6768" spans="1:12" x14ac:dyDescent="0.35">
      <c r="A6768" t="str">
        <f t="shared" si="2560"/>
        <v>BASE UNITS</v>
      </c>
      <c r="B6768" t="str">
        <f>T("PO BOX 555014")</f>
        <v>PO BOX 555014</v>
      </c>
      <c r="C6768" t="str">
        <f>T("")</f>
        <v/>
      </c>
      <c r="D6768" t="str">
        <f t="shared" si="2579"/>
        <v>CAMP PENDLETON</v>
      </c>
      <c r="E6768" t="str">
        <f t="shared" si="2575"/>
        <v>CA</v>
      </c>
      <c r="F6768" t="str">
        <f>T("920555014")</f>
        <v>920555014</v>
      </c>
      <c r="G6768" t="str">
        <f>T("ATTN GCPC APPROVING OFFICIAL")</f>
        <v>ATTN GCPC APPROVING OFFICIAL</v>
      </c>
      <c r="H6768" t="str">
        <f>T("BOX 555014")</f>
        <v>BOX 555014</v>
      </c>
      <c r="I6768" t="str">
        <f t="shared" si="2580"/>
        <v>CAMP PENDLETON</v>
      </c>
      <c r="J6768" t="str">
        <f t="shared" si="2577"/>
        <v>CA</v>
      </c>
      <c r="K6768" t="str">
        <f t="shared" si="2581"/>
        <v>000000000000000000</v>
      </c>
      <c r="L6768" t="str">
        <f>T("7607634687")</f>
        <v>7607634687</v>
      </c>
    </row>
    <row r="6769" spans="1:12" x14ac:dyDescent="0.35">
      <c r="A6769" t="str">
        <f t="shared" si="2560"/>
        <v>BASE UNITS</v>
      </c>
      <c r="B6769" t="str">
        <f>T("PO BOX 555014")</f>
        <v>PO BOX 555014</v>
      </c>
      <c r="C6769" t="str">
        <f>T("")</f>
        <v/>
      </c>
      <c r="D6769" t="str">
        <f t="shared" si="2579"/>
        <v>CAMP PENDLETON</v>
      </c>
      <c r="E6769" t="str">
        <f t="shared" si="2575"/>
        <v>CA</v>
      </c>
      <c r="F6769" t="str">
        <f>T("920555014")</f>
        <v>920555014</v>
      </c>
      <c r="G6769" t="str">
        <f>T("PO BOX 555014")</f>
        <v>PO BOX 555014</v>
      </c>
      <c r="H6769" t="str">
        <f>T("")</f>
        <v/>
      </c>
      <c r="I6769" t="str">
        <f t="shared" si="2580"/>
        <v>CAMP PENDLETON</v>
      </c>
      <c r="J6769" t="str">
        <f t="shared" si="2577"/>
        <v>CA</v>
      </c>
      <c r="K6769" t="str">
        <f t="shared" si="2581"/>
        <v>000000000000000000</v>
      </c>
      <c r="L6769" t="str">
        <f>T("7607253197")</f>
        <v>7607253197</v>
      </c>
    </row>
    <row r="6770" spans="1:12" x14ac:dyDescent="0.35">
      <c r="A6770" t="str">
        <f t="shared" ref="A6770:A6778" si="2582">T("MAR-SOC UNITS")</f>
        <v>MAR-SOC UNITS</v>
      </c>
      <c r="B6770" t="str">
        <f t="shared" ref="B6770:B6778" si="2583">T("ATTN GCPC APPROVING OFFICIAL")</f>
        <v>ATTN GCPC APPROVING OFFICIAL</v>
      </c>
      <c r="C6770" t="str">
        <f t="shared" ref="C6770:C6778" si="2584">T("BOX 555341")</f>
        <v>BOX 555341</v>
      </c>
      <c r="D6770" t="str">
        <f t="shared" si="2579"/>
        <v>CAMP PENDLETON</v>
      </c>
      <c r="E6770" t="str">
        <f t="shared" si="2575"/>
        <v>CA</v>
      </c>
      <c r="F6770" t="str">
        <f t="shared" ref="F6770:F6778" si="2585">T("920555341")</f>
        <v>920555341</v>
      </c>
      <c r="G6770" t="str">
        <f t="shared" ref="G6770:G6778" si="2586">T("ATTN GCPC APPROVING OFFICIAL")</f>
        <v>ATTN GCPC APPROVING OFFICIAL</v>
      </c>
      <c r="H6770" t="str">
        <f>T("BOX 555341")</f>
        <v>BOX 555341</v>
      </c>
      <c r="I6770" t="str">
        <f t="shared" si="2580"/>
        <v>CAMP PENDLETON</v>
      </c>
      <c r="J6770" t="str">
        <f t="shared" si="2577"/>
        <v>CA</v>
      </c>
      <c r="K6770" t="str">
        <f t="shared" si="2581"/>
        <v>000000000000000000</v>
      </c>
      <c r="L6770" t="str">
        <f>T("7607252065")</f>
        <v>7607252065</v>
      </c>
    </row>
    <row r="6771" spans="1:12" x14ac:dyDescent="0.35">
      <c r="A6771" t="str">
        <f t="shared" si="2582"/>
        <v>MAR-SOC UNITS</v>
      </c>
      <c r="B6771" t="str">
        <f t="shared" si="2583"/>
        <v>ATTN GCPC APPROVING OFFICIAL</v>
      </c>
      <c r="C6771" t="str">
        <f t="shared" si="2584"/>
        <v>BOX 555341</v>
      </c>
      <c r="D6771" t="str">
        <f t="shared" si="2579"/>
        <v>CAMP PENDLETON</v>
      </c>
      <c r="E6771" t="str">
        <f t="shared" si="2575"/>
        <v>CA</v>
      </c>
      <c r="F6771" t="str">
        <f t="shared" si="2585"/>
        <v>920555341</v>
      </c>
      <c r="G6771" t="str">
        <f t="shared" si="2586"/>
        <v>ATTN GCPC APPROVING OFFICIAL</v>
      </c>
      <c r="H6771" t="str">
        <f>T("BOX 555341")</f>
        <v>BOX 555341</v>
      </c>
      <c r="I6771" t="str">
        <f t="shared" si="2580"/>
        <v>CAMP PENDLETON</v>
      </c>
      <c r="J6771" t="str">
        <f t="shared" si="2577"/>
        <v>CA</v>
      </c>
      <c r="K6771" t="str">
        <f t="shared" si="2581"/>
        <v>000000000000000000</v>
      </c>
      <c r="L6771" t="str">
        <f>T("7607252372")</f>
        <v>7607252372</v>
      </c>
    </row>
    <row r="6772" spans="1:12" x14ac:dyDescent="0.35">
      <c r="A6772" t="str">
        <f t="shared" si="2582"/>
        <v>MAR-SOC UNITS</v>
      </c>
      <c r="B6772" t="str">
        <f t="shared" si="2583"/>
        <v>ATTN GCPC APPROVING OFFICIAL</v>
      </c>
      <c r="C6772" t="str">
        <f t="shared" si="2584"/>
        <v>BOX 555341</v>
      </c>
      <c r="D6772" t="str">
        <f t="shared" si="2579"/>
        <v>CAMP PENDLETON</v>
      </c>
      <c r="E6772" t="str">
        <f t="shared" si="2575"/>
        <v>CA</v>
      </c>
      <c r="F6772" t="str">
        <f t="shared" si="2585"/>
        <v>920555341</v>
      </c>
      <c r="G6772" t="str">
        <f t="shared" si="2586"/>
        <v>ATTN GCPC APPROVING OFFICIAL</v>
      </c>
      <c r="H6772" t="str">
        <f>T("BOX 555341")</f>
        <v>BOX 555341</v>
      </c>
      <c r="I6772" t="str">
        <f t="shared" si="2580"/>
        <v>CAMP PENDLETON</v>
      </c>
      <c r="J6772" t="str">
        <f t="shared" si="2577"/>
        <v>CA</v>
      </c>
      <c r="K6772" t="str">
        <f t="shared" si="2581"/>
        <v>000000000000000000</v>
      </c>
      <c r="L6772" t="str">
        <f>T("7607252840")</f>
        <v>7607252840</v>
      </c>
    </row>
    <row r="6773" spans="1:12" x14ac:dyDescent="0.35">
      <c r="A6773" t="str">
        <f t="shared" si="2582"/>
        <v>MAR-SOC UNITS</v>
      </c>
      <c r="B6773" t="str">
        <f t="shared" si="2583"/>
        <v>ATTN GCPC APPROVING OFFICIAL</v>
      </c>
      <c r="C6773" t="str">
        <f t="shared" si="2584"/>
        <v>BOX 555341</v>
      </c>
      <c r="D6773" t="str">
        <f t="shared" si="2579"/>
        <v>CAMP PENDLETON</v>
      </c>
      <c r="E6773" t="str">
        <f t="shared" si="2575"/>
        <v>CA</v>
      </c>
      <c r="F6773" t="str">
        <f t="shared" si="2585"/>
        <v>920555341</v>
      </c>
      <c r="G6773" t="str">
        <f t="shared" si="2586"/>
        <v>ATTN GCPC APPROVING OFFICIAL</v>
      </c>
      <c r="H6773" t="str">
        <f>T("BOX 555341")</f>
        <v>BOX 555341</v>
      </c>
      <c r="I6773" t="str">
        <f t="shared" si="2580"/>
        <v>CAMP PENDLETON</v>
      </c>
      <c r="J6773" t="str">
        <f t="shared" si="2577"/>
        <v>CA</v>
      </c>
      <c r="K6773" t="str">
        <f t="shared" si="2581"/>
        <v>000000000000000000</v>
      </c>
      <c r="L6773" t="str">
        <f>T("7607638826")</f>
        <v>7607638826</v>
      </c>
    </row>
    <row r="6774" spans="1:12" x14ac:dyDescent="0.35">
      <c r="A6774" t="str">
        <f t="shared" si="2582"/>
        <v>MAR-SOC UNITS</v>
      </c>
      <c r="B6774" t="str">
        <f t="shared" si="2583"/>
        <v>ATTN GCPC APPROVING OFFICIAL</v>
      </c>
      <c r="C6774" t="str">
        <f t="shared" si="2584"/>
        <v>BOX 555341</v>
      </c>
      <c r="D6774" t="str">
        <f t="shared" si="2579"/>
        <v>CAMP PENDLETON</v>
      </c>
      <c r="E6774" t="str">
        <f t="shared" si="2575"/>
        <v>CA</v>
      </c>
      <c r="F6774" t="str">
        <f t="shared" si="2585"/>
        <v>920555341</v>
      </c>
      <c r="G6774" t="str">
        <f t="shared" si="2586"/>
        <v>ATTN GCPC APPROVING OFFICIAL</v>
      </c>
      <c r="H6774" t="str">
        <f>T("BOX 555341")</f>
        <v>BOX 555341</v>
      </c>
      <c r="I6774" t="str">
        <f t="shared" si="2580"/>
        <v>CAMP PENDLETON</v>
      </c>
      <c r="J6774" t="str">
        <f t="shared" si="2577"/>
        <v>CA</v>
      </c>
      <c r="K6774" t="str">
        <f t="shared" si="2581"/>
        <v>000000000000000000</v>
      </c>
      <c r="L6774" t="str">
        <f>T("7607638962")</f>
        <v>7607638962</v>
      </c>
    </row>
    <row r="6775" spans="1:12" x14ac:dyDescent="0.35">
      <c r="A6775" t="str">
        <f t="shared" si="2582"/>
        <v>MAR-SOC UNITS</v>
      </c>
      <c r="B6775" t="str">
        <f t="shared" si="2583"/>
        <v>ATTN GCPC APPROVING OFFICIAL</v>
      </c>
      <c r="C6775" t="str">
        <f t="shared" si="2584"/>
        <v>BOX 555341</v>
      </c>
      <c r="D6775" t="str">
        <f t="shared" si="2579"/>
        <v>CAMP PENDLETON</v>
      </c>
      <c r="E6775" t="str">
        <f t="shared" si="2575"/>
        <v>CA</v>
      </c>
      <c r="F6775" t="str">
        <f t="shared" si="2585"/>
        <v>920555341</v>
      </c>
      <c r="G6775" t="str">
        <f t="shared" si="2586"/>
        <v>ATTN GCPC APPROVING OFFICIAL</v>
      </c>
      <c r="H6775" t="str">
        <f>T("PO BOX 555341")</f>
        <v>PO BOX 555341</v>
      </c>
      <c r="I6775" t="str">
        <f t="shared" si="2580"/>
        <v>CAMP PENDLETON</v>
      </c>
      <c r="J6775" t="str">
        <f t="shared" si="2577"/>
        <v>CA</v>
      </c>
      <c r="K6775" t="str">
        <f t="shared" si="2581"/>
        <v>000000000000000000</v>
      </c>
      <c r="L6775" t="str">
        <f>T("7607252372")</f>
        <v>7607252372</v>
      </c>
    </row>
    <row r="6776" spans="1:12" x14ac:dyDescent="0.35">
      <c r="A6776" t="str">
        <f t="shared" si="2582"/>
        <v>MAR-SOC UNITS</v>
      </c>
      <c r="B6776" t="str">
        <f t="shared" si="2583"/>
        <v>ATTN GCPC APPROVING OFFICIAL</v>
      </c>
      <c r="C6776" t="str">
        <f t="shared" si="2584"/>
        <v>BOX 555341</v>
      </c>
      <c r="D6776" t="str">
        <f>T("CMP PENDLETON")</f>
        <v>CMP PENDLETON</v>
      </c>
      <c r="E6776" t="str">
        <f t="shared" si="2575"/>
        <v>CA</v>
      </c>
      <c r="F6776" t="str">
        <f t="shared" si="2585"/>
        <v>920555341</v>
      </c>
      <c r="G6776" t="str">
        <f t="shared" si="2586"/>
        <v>ATTN GCPC APPROVING OFFICIAL</v>
      </c>
      <c r="H6776" t="str">
        <f>T("BOX 555339")</f>
        <v>BOX 555339</v>
      </c>
      <c r="I6776" t="str">
        <f t="shared" si="2580"/>
        <v>CAMP PENDLETON</v>
      </c>
      <c r="J6776" t="str">
        <f t="shared" si="2577"/>
        <v>CA</v>
      </c>
      <c r="K6776" t="str">
        <f t="shared" si="2581"/>
        <v>000000000000000000</v>
      </c>
      <c r="L6776" t="str">
        <f>T("7607638963")</f>
        <v>7607638963</v>
      </c>
    </row>
    <row r="6777" spans="1:12" x14ac:dyDescent="0.35">
      <c r="A6777" t="str">
        <f t="shared" si="2582"/>
        <v>MAR-SOC UNITS</v>
      </c>
      <c r="B6777" t="str">
        <f t="shared" si="2583"/>
        <v>ATTN GCPC APPROVING OFFICIAL</v>
      </c>
      <c r="C6777" t="str">
        <f t="shared" si="2584"/>
        <v>BOX 555341</v>
      </c>
      <c r="D6777" t="str">
        <f>T("CMP PENDLETON")</f>
        <v>CMP PENDLETON</v>
      </c>
      <c r="E6777" t="str">
        <f t="shared" si="2575"/>
        <v>CA</v>
      </c>
      <c r="F6777" t="str">
        <f t="shared" si="2585"/>
        <v>920555341</v>
      </c>
      <c r="G6777" t="str">
        <f t="shared" si="2586"/>
        <v>ATTN GCPC APPROVING OFFICIAL</v>
      </c>
      <c r="H6777" t="str">
        <f>T("BOX 555341")</f>
        <v>BOX 555341</v>
      </c>
      <c r="I6777" t="str">
        <f t="shared" si="2580"/>
        <v>CAMP PENDLETON</v>
      </c>
      <c r="J6777" t="str">
        <f t="shared" si="2577"/>
        <v>CA</v>
      </c>
      <c r="K6777" t="str">
        <f t="shared" si="2581"/>
        <v>000000000000000000</v>
      </c>
      <c r="L6777" t="str">
        <f>T("7607638963")</f>
        <v>7607638963</v>
      </c>
    </row>
    <row r="6778" spans="1:12" x14ac:dyDescent="0.35">
      <c r="A6778" t="str">
        <f t="shared" si="2582"/>
        <v>MAR-SOC UNITS</v>
      </c>
      <c r="B6778" t="str">
        <f t="shared" si="2583"/>
        <v>ATTN GCPC APPROVING OFFICIAL</v>
      </c>
      <c r="C6778" t="str">
        <f t="shared" si="2584"/>
        <v>BOX 555341</v>
      </c>
      <c r="D6778" t="str">
        <f>T("CMP PENDLETON")</f>
        <v>CMP PENDLETON</v>
      </c>
      <c r="E6778" t="str">
        <f t="shared" si="2575"/>
        <v>CA</v>
      </c>
      <c r="F6778" t="str">
        <f t="shared" si="2585"/>
        <v>920555341</v>
      </c>
      <c r="G6778" t="str">
        <f t="shared" si="2586"/>
        <v>ATTN GCPC APPROVING OFFICIAL</v>
      </c>
      <c r="H6778" t="str">
        <f>T("BOX 555341")</f>
        <v>BOX 555341</v>
      </c>
      <c r="I6778" t="str">
        <f>T("CMP PENDLETON")</f>
        <v>CMP PENDLETON</v>
      </c>
      <c r="J6778" t="str">
        <f t="shared" si="2577"/>
        <v>CA</v>
      </c>
      <c r="K6778" t="str">
        <f t="shared" si="2581"/>
        <v>000000000000000000</v>
      </c>
      <c r="L6778" t="str">
        <f>T("7607638964")</f>
        <v>7607638964</v>
      </c>
    </row>
    <row r="6779" spans="1:12" x14ac:dyDescent="0.35">
      <c r="A6779" t="str">
        <f t="shared" ref="A6779:A6816" si="2587">T("MLG UNITS")</f>
        <v>MLG UNITS</v>
      </c>
      <c r="B6779" t="str">
        <f>T("1ST DENTAL BN NDC")</f>
        <v>1ST DENTAL BN NDC</v>
      </c>
      <c r="C6779" t="str">
        <f>T("BOX 555221 BLDG 2621")</f>
        <v>BOX 555221 BLDG 2621</v>
      </c>
      <c r="D6779" t="str">
        <f t="shared" ref="D6779:D6785" si="2588">T("CAMP PENDLETON")</f>
        <v>CAMP PENDLETON</v>
      </c>
      <c r="E6779" t="str">
        <f t="shared" si="2575"/>
        <v>CA</v>
      </c>
      <c r="F6779" t="str">
        <f>T("920555221")</f>
        <v>920555221</v>
      </c>
      <c r="G6779" t="str">
        <f>T("1ST DENTAL BN NDC")</f>
        <v>1ST DENTAL BN NDC</v>
      </c>
      <c r="H6779" t="str">
        <f>T("BOX 555221 BLDG 2621")</f>
        <v>BOX 555221 BLDG 2621</v>
      </c>
      <c r="I6779" t="str">
        <f t="shared" ref="I6779:I6785" si="2589">T("CAMP PENDLETON")</f>
        <v>CAMP PENDLETON</v>
      </c>
      <c r="J6779" t="str">
        <f t="shared" si="2577"/>
        <v>CA</v>
      </c>
      <c r="K6779" t="str">
        <f t="shared" si="2581"/>
        <v>000000000000000000</v>
      </c>
      <c r="L6779" t="str">
        <f>T("7607253213")</f>
        <v>7607253213</v>
      </c>
    </row>
    <row r="6780" spans="1:12" x14ac:dyDescent="0.35">
      <c r="A6780" t="str">
        <f t="shared" si="2587"/>
        <v>MLG UNITS</v>
      </c>
      <c r="B6780" t="str">
        <f t="shared" ref="B6780:B6786" si="2590">T("ATTN GCPC AO")</f>
        <v>ATTN GCPC AO</v>
      </c>
      <c r="C6780" t="str">
        <f t="shared" ref="C6780:C6785" si="2591">T("BOX 555741")</f>
        <v>BOX 555741</v>
      </c>
      <c r="D6780" t="str">
        <f t="shared" si="2588"/>
        <v>CAMP PENDLETON</v>
      </c>
      <c r="E6780" t="str">
        <f t="shared" si="2575"/>
        <v>CA</v>
      </c>
      <c r="F6780" t="str">
        <f t="shared" ref="F6780:F6785" si="2592">T("920555741")</f>
        <v>920555741</v>
      </c>
      <c r="G6780" t="str">
        <f>T("ATTN GCPC AO")</f>
        <v>ATTN GCPC AO</v>
      </c>
      <c r="H6780" t="str">
        <f>T("BOX 555741")</f>
        <v>BOX 555741</v>
      </c>
      <c r="I6780" t="str">
        <f t="shared" si="2589"/>
        <v>CAMP PENDLETON</v>
      </c>
      <c r="J6780" t="str">
        <f t="shared" si="2577"/>
        <v>CA</v>
      </c>
      <c r="K6780" t="str">
        <f t="shared" si="2581"/>
        <v>000000000000000000</v>
      </c>
      <c r="L6780" t="str">
        <f>T("7607254338")</f>
        <v>7607254338</v>
      </c>
    </row>
    <row r="6781" spans="1:12" x14ac:dyDescent="0.35">
      <c r="A6781" t="str">
        <f t="shared" si="2587"/>
        <v>MLG UNITS</v>
      </c>
      <c r="B6781" t="str">
        <f t="shared" si="2590"/>
        <v>ATTN GCPC AO</v>
      </c>
      <c r="C6781" t="str">
        <f t="shared" si="2591"/>
        <v>BOX 555741</v>
      </c>
      <c r="D6781" t="str">
        <f t="shared" si="2588"/>
        <v>CAMP PENDLETON</v>
      </c>
      <c r="E6781" t="str">
        <f t="shared" si="2575"/>
        <v>CA</v>
      </c>
      <c r="F6781" t="str">
        <f t="shared" si="2592"/>
        <v>920555741</v>
      </c>
      <c r="G6781" t="str">
        <f>T("ATTN GCPC APPROVING OFFICIAL")</f>
        <v>ATTN GCPC APPROVING OFFICIAL</v>
      </c>
      <c r="H6781" t="str">
        <f>T("")</f>
        <v/>
      </c>
      <c r="I6781" t="str">
        <f t="shared" si="2589"/>
        <v>CAMP PENDLETON</v>
      </c>
      <c r="J6781" t="str">
        <f t="shared" si="2577"/>
        <v>CA</v>
      </c>
      <c r="K6781" t="str">
        <f t="shared" si="2581"/>
        <v>000000000000000000</v>
      </c>
      <c r="L6781" t="str">
        <f>T("7607254630")</f>
        <v>7607254630</v>
      </c>
    </row>
    <row r="6782" spans="1:12" x14ac:dyDescent="0.35">
      <c r="A6782" t="str">
        <f t="shared" si="2587"/>
        <v>MLG UNITS</v>
      </c>
      <c r="B6782" t="str">
        <f t="shared" si="2590"/>
        <v>ATTN GCPC AO</v>
      </c>
      <c r="C6782" t="str">
        <f t="shared" si="2591"/>
        <v>BOX 555741</v>
      </c>
      <c r="D6782" t="str">
        <f t="shared" si="2588"/>
        <v>CAMP PENDLETON</v>
      </c>
      <c r="E6782" t="str">
        <f t="shared" si="2575"/>
        <v>CA</v>
      </c>
      <c r="F6782" t="str">
        <f t="shared" si="2592"/>
        <v>920555741</v>
      </c>
      <c r="G6782" t="str">
        <f>T("ATTN GCPC APPROVING OFFICIAL")</f>
        <v>ATTN GCPC APPROVING OFFICIAL</v>
      </c>
      <c r="H6782" t="str">
        <f>T("BOX 555741")</f>
        <v>BOX 555741</v>
      </c>
      <c r="I6782" t="str">
        <f t="shared" si="2589"/>
        <v>CAMP PENDLETON</v>
      </c>
      <c r="J6782" t="str">
        <f t="shared" si="2577"/>
        <v>CA</v>
      </c>
      <c r="K6782" t="str">
        <f t="shared" si="2581"/>
        <v>000000000000000000</v>
      </c>
      <c r="L6782" t="str">
        <f>T("6232183317")</f>
        <v>6232183317</v>
      </c>
    </row>
    <row r="6783" spans="1:12" x14ac:dyDescent="0.35">
      <c r="A6783" t="str">
        <f t="shared" si="2587"/>
        <v>MLG UNITS</v>
      </c>
      <c r="B6783" t="str">
        <f t="shared" si="2590"/>
        <v>ATTN GCPC AO</v>
      </c>
      <c r="C6783" t="str">
        <f t="shared" si="2591"/>
        <v>BOX 555741</v>
      </c>
      <c r="D6783" t="str">
        <f t="shared" si="2588"/>
        <v>CAMP PENDLETON</v>
      </c>
      <c r="E6783" t="str">
        <f t="shared" si="2575"/>
        <v>CA</v>
      </c>
      <c r="F6783" t="str">
        <f t="shared" si="2592"/>
        <v>920555741</v>
      </c>
      <c r="G6783" t="str">
        <f>T("ATTN GCPC APPROVING OFFICIAL")</f>
        <v>ATTN GCPC APPROVING OFFICIAL</v>
      </c>
      <c r="H6783" t="str">
        <f>T("BOX 555741")</f>
        <v>BOX 555741</v>
      </c>
      <c r="I6783" t="str">
        <f t="shared" si="2589"/>
        <v>CAMP PENDLETON</v>
      </c>
      <c r="J6783" t="str">
        <f t="shared" si="2577"/>
        <v>CA</v>
      </c>
      <c r="K6783" t="str">
        <f t="shared" si="2581"/>
        <v>000000000000000000</v>
      </c>
      <c r="L6783" t="str">
        <f>T("7603623926")</f>
        <v>7603623926</v>
      </c>
    </row>
    <row r="6784" spans="1:12" x14ac:dyDescent="0.35">
      <c r="A6784" t="str">
        <f t="shared" si="2587"/>
        <v>MLG UNITS</v>
      </c>
      <c r="B6784" t="str">
        <f t="shared" si="2590"/>
        <v>ATTN GCPC AO</v>
      </c>
      <c r="C6784" t="str">
        <f t="shared" si="2591"/>
        <v>BOX 555741</v>
      </c>
      <c r="D6784" t="str">
        <f t="shared" si="2588"/>
        <v>CAMP PENDLETON</v>
      </c>
      <c r="E6784" t="str">
        <f t="shared" si="2575"/>
        <v>CA</v>
      </c>
      <c r="F6784" t="str">
        <f t="shared" si="2592"/>
        <v>920555741</v>
      </c>
      <c r="G6784" t="str">
        <f>T("ATTN GCPC APPROVING OFFICIAL")</f>
        <v>ATTN GCPC APPROVING OFFICIAL</v>
      </c>
      <c r="H6784" t="str">
        <f>T("BOX 555741")</f>
        <v>BOX 555741</v>
      </c>
      <c r="I6784" t="str">
        <f t="shared" si="2589"/>
        <v>CAMP PENDLETON</v>
      </c>
      <c r="J6784" t="str">
        <f t="shared" si="2577"/>
        <v>CA</v>
      </c>
      <c r="K6784" t="str">
        <f t="shared" si="2581"/>
        <v>000000000000000000</v>
      </c>
      <c r="L6784" t="str">
        <f>T("7607254630")</f>
        <v>7607254630</v>
      </c>
    </row>
    <row r="6785" spans="1:12" x14ac:dyDescent="0.35">
      <c r="A6785" t="str">
        <f t="shared" si="2587"/>
        <v>MLG UNITS</v>
      </c>
      <c r="B6785" t="str">
        <f t="shared" si="2590"/>
        <v>ATTN GCPC AO</v>
      </c>
      <c r="C6785" t="str">
        <f t="shared" si="2591"/>
        <v>BOX 555741</v>
      </c>
      <c r="D6785" t="str">
        <f t="shared" si="2588"/>
        <v>CAMP PENDLETON</v>
      </c>
      <c r="E6785" t="str">
        <f t="shared" si="2575"/>
        <v>CA</v>
      </c>
      <c r="F6785" t="str">
        <f t="shared" si="2592"/>
        <v>920555741</v>
      </c>
      <c r="G6785" t="str">
        <f>T("ATTN GCPC APPROVING OFFICIAL")</f>
        <v>ATTN GCPC APPROVING OFFICIAL</v>
      </c>
      <c r="H6785" t="str">
        <f>T("BOX 555741")</f>
        <v>BOX 555741</v>
      </c>
      <c r="I6785" t="str">
        <f t="shared" si="2589"/>
        <v>CAMP PENDLETON</v>
      </c>
      <c r="J6785" t="str">
        <f t="shared" si="2577"/>
        <v>CA</v>
      </c>
      <c r="K6785" t="str">
        <f t="shared" si="2581"/>
        <v>000000000000000000</v>
      </c>
      <c r="L6785" t="str">
        <f>T("7608307221")</f>
        <v>7608307221</v>
      </c>
    </row>
    <row r="6786" spans="1:12" x14ac:dyDescent="0.35">
      <c r="A6786" t="str">
        <f t="shared" si="2587"/>
        <v>MLG UNITS</v>
      </c>
      <c r="B6786" t="str">
        <f t="shared" si="2590"/>
        <v>ATTN GCPC AO</v>
      </c>
      <c r="C6786" t="str">
        <f>T("PO BOX 99150")</f>
        <v>PO BOX 99150</v>
      </c>
      <c r="D6786" t="str">
        <f>T("YUMA")</f>
        <v>YUMA</v>
      </c>
      <c r="E6786" t="str">
        <f>T("AZ")</f>
        <v>AZ</v>
      </c>
      <c r="F6786" t="str">
        <f>T("853699150")</f>
        <v>853699150</v>
      </c>
      <c r="G6786" t="str">
        <f>T("ATTN GCPC AO")</f>
        <v>ATTN GCPC AO</v>
      </c>
      <c r="H6786" t="str">
        <f>T("PO BOX 99150")</f>
        <v>PO BOX 99150</v>
      </c>
      <c r="I6786" t="str">
        <f>T("YUMA")</f>
        <v>YUMA</v>
      </c>
      <c r="J6786" t="str">
        <f>T("AZ")</f>
        <v>AZ</v>
      </c>
      <c r="K6786" t="str">
        <f>T("9282695258")</f>
        <v>9282695258</v>
      </c>
      <c r="L6786" t="str">
        <f>T("9282695372")</f>
        <v>9282695372</v>
      </c>
    </row>
    <row r="6787" spans="1:12" x14ac:dyDescent="0.35">
      <c r="A6787" t="str">
        <f t="shared" si="2587"/>
        <v>MLG UNITS</v>
      </c>
      <c r="B6787" t="str">
        <f t="shared" ref="B6787:B6816" si="2593">T("ATTN GCPC APPROVING OFFICIAL")</f>
        <v>ATTN GCPC APPROVING OFFICIAL</v>
      </c>
      <c r="C6787" t="str">
        <f>T("BOX 555606")</f>
        <v>BOX 555606</v>
      </c>
      <c r="D6787" t="str">
        <f>T("CMP PENDLETON")</f>
        <v>CMP PENDLETON</v>
      </c>
      <c r="E6787" t="str">
        <f t="shared" ref="E6787:E6818" si="2594">T("CA")</f>
        <v>CA</v>
      </c>
      <c r="F6787" t="str">
        <f>T("920555606")</f>
        <v>920555606</v>
      </c>
      <c r="G6787" t="str">
        <f>T("ATTN GCPC APPROVING OFFICIAL")</f>
        <v>ATTN GCPC APPROVING OFFICIAL</v>
      </c>
      <c r="H6787" t="str">
        <f>T("BOX 555606")</f>
        <v>BOX 555606</v>
      </c>
      <c r="I6787" t="str">
        <f>T("CMP PENDLETON")</f>
        <v>CMP PENDLETON</v>
      </c>
      <c r="J6787" t="str">
        <f t="shared" ref="J6787:J6818" si="2595">T("CA")</f>
        <v>CA</v>
      </c>
      <c r="K6787" t="str">
        <f>T("000000000000000000")</f>
        <v>000000000000000000</v>
      </c>
      <c r="L6787" t="str">
        <f>T("7607633777")</f>
        <v>7607633777</v>
      </c>
    </row>
    <row r="6788" spans="1:12" x14ac:dyDescent="0.35">
      <c r="A6788" t="str">
        <f t="shared" si="2587"/>
        <v>MLG UNITS</v>
      </c>
      <c r="B6788" t="str">
        <f t="shared" si="2593"/>
        <v>ATTN GCPC APPROVING OFFICIAL</v>
      </c>
      <c r="C6788" t="str">
        <f>T("BOX 555607")</f>
        <v>BOX 555607</v>
      </c>
      <c r="D6788" t="str">
        <f>T("CMP PENDLETON")</f>
        <v>CMP PENDLETON</v>
      </c>
      <c r="E6788" t="str">
        <f t="shared" si="2594"/>
        <v>CA</v>
      </c>
      <c r="F6788" t="str">
        <f>T("920555607")</f>
        <v>920555607</v>
      </c>
      <c r="G6788" t="str">
        <f>T("ATTN GCPC APPROVING OFFICIAL")</f>
        <v>ATTN GCPC APPROVING OFFICIAL</v>
      </c>
      <c r="H6788" t="str">
        <f>T("BOX 555607")</f>
        <v>BOX 555607</v>
      </c>
      <c r="I6788" t="str">
        <f>T("CAMP PENDLETON")</f>
        <v>CAMP PENDLETON</v>
      </c>
      <c r="J6788" t="str">
        <f t="shared" si="2595"/>
        <v>CA</v>
      </c>
      <c r="K6788" t="str">
        <f>T("000000000000000000")</f>
        <v>000000000000000000</v>
      </c>
      <c r="L6788" t="str">
        <f>T("7607255827")</f>
        <v>7607255827</v>
      </c>
    </row>
    <row r="6789" spans="1:12" x14ac:dyDescent="0.35">
      <c r="A6789" t="str">
        <f t="shared" si="2587"/>
        <v>MLG UNITS</v>
      </c>
      <c r="B6789" t="str">
        <f t="shared" si="2593"/>
        <v>ATTN GCPC APPROVING OFFICIAL</v>
      </c>
      <c r="C6789" t="str">
        <f>T("BOX 555607")</f>
        <v>BOX 555607</v>
      </c>
      <c r="D6789" t="str">
        <f>T("CMP PENDLETON")</f>
        <v>CMP PENDLETON</v>
      </c>
      <c r="E6789" t="str">
        <f t="shared" si="2594"/>
        <v>CA</v>
      </c>
      <c r="F6789" t="str">
        <f>T("920555607")</f>
        <v>920555607</v>
      </c>
      <c r="G6789" t="str">
        <f>T("ATTN GCPC APPROVING OFFICIAL")</f>
        <v>ATTN GCPC APPROVING OFFICIAL</v>
      </c>
      <c r="H6789" t="str">
        <f>T("BOX 555607")</f>
        <v>BOX 555607</v>
      </c>
      <c r="I6789" t="str">
        <f>T("CAMP PENDLETON")</f>
        <v>CAMP PENDLETON</v>
      </c>
      <c r="J6789" t="str">
        <f t="shared" si="2595"/>
        <v>CA</v>
      </c>
      <c r="K6789" t="str">
        <f>T("000000000000000000")</f>
        <v>000000000000000000</v>
      </c>
      <c r="L6789" t="str">
        <f>T("7607633778")</f>
        <v>7607633778</v>
      </c>
    </row>
    <row r="6790" spans="1:12" x14ac:dyDescent="0.35">
      <c r="A6790" t="str">
        <f t="shared" si="2587"/>
        <v>MLG UNITS</v>
      </c>
      <c r="B6790" t="str">
        <f t="shared" si="2593"/>
        <v>ATTN GCPC APPROVING OFFICIAL</v>
      </c>
      <c r="C6790" t="str">
        <f>T("BOX 555607")</f>
        <v>BOX 555607</v>
      </c>
      <c r="D6790" t="str">
        <f>T("CMP PENDLETON")</f>
        <v>CMP PENDLETON</v>
      </c>
      <c r="E6790" t="str">
        <f t="shared" si="2594"/>
        <v>CA</v>
      </c>
      <c r="F6790" t="str">
        <f>T("920555607")</f>
        <v>920555607</v>
      </c>
      <c r="G6790" t="str">
        <f>T("ATTN GCPC APPROVING OFFICIAL")</f>
        <v>ATTN GCPC APPROVING OFFICIAL</v>
      </c>
      <c r="H6790" t="str">
        <f>T("BOX 555607")</f>
        <v>BOX 555607</v>
      </c>
      <c r="I6790" t="str">
        <f>T("CMP PENDLETON")</f>
        <v>CMP PENDLETON</v>
      </c>
      <c r="J6790" t="str">
        <f t="shared" si="2595"/>
        <v>CA</v>
      </c>
      <c r="K6790" t="str">
        <f>T("")</f>
        <v/>
      </c>
      <c r="L6790" t="str">
        <f>T("7607256360")</f>
        <v>7607256360</v>
      </c>
    </row>
    <row r="6791" spans="1:12" x14ac:dyDescent="0.35">
      <c r="A6791" t="str">
        <f t="shared" si="2587"/>
        <v>MLG UNITS</v>
      </c>
      <c r="B6791" t="str">
        <f t="shared" si="2593"/>
        <v>ATTN GCPC APPROVING OFFICIAL</v>
      </c>
      <c r="C6791" t="str">
        <f t="shared" ref="C6791:C6797" si="2596">T("BOX 555627")</f>
        <v>BOX 555627</v>
      </c>
      <c r="D6791" t="str">
        <f t="shared" ref="D6791:D6807" si="2597">T("CAMP PENDLETON")</f>
        <v>CAMP PENDLETON</v>
      </c>
      <c r="E6791" t="str">
        <f t="shared" si="2594"/>
        <v>CA</v>
      </c>
      <c r="F6791" t="str">
        <f t="shared" ref="F6791:F6797" si="2598">T("920555627")</f>
        <v>920555627</v>
      </c>
      <c r="G6791" t="str">
        <f>T("ATTN APPROVING OFFICIAL ONLY")</f>
        <v>ATTN APPROVING OFFICIAL ONLY</v>
      </c>
      <c r="H6791" t="str">
        <f t="shared" ref="H6791:H6797" si="2599">T("BOX 555627")</f>
        <v>BOX 555627</v>
      </c>
      <c r="I6791" t="str">
        <f t="shared" ref="I6791:I6807" si="2600">T("CAMP PENDLETON")</f>
        <v>CAMP PENDLETON</v>
      </c>
      <c r="J6791" t="str">
        <f t="shared" si="2595"/>
        <v>CA</v>
      </c>
      <c r="K6791" t="str">
        <f>T("000000000000000000")</f>
        <v>000000000000000000</v>
      </c>
      <c r="L6791" t="str">
        <f>T("7607254879")</f>
        <v>7607254879</v>
      </c>
    </row>
    <row r="6792" spans="1:12" x14ac:dyDescent="0.35">
      <c r="A6792" t="str">
        <f t="shared" si="2587"/>
        <v>MLG UNITS</v>
      </c>
      <c r="B6792" t="str">
        <f t="shared" si="2593"/>
        <v>ATTN GCPC APPROVING OFFICIAL</v>
      </c>
      <c r="C6792" t="str">
        <f t="shared" si="2596"/>
        <v>BOX 555627</v>
      </c>
      <c r="D6792" t="str">
        <f t="shared" si="2597"/>
        <v>CAMP PENDLETON</v>
      </c>
      <c r="E6792" t="str">
        <f t="shared" si="2594"/>
        <v>CA</v>
      </c>
      <c r="F6792" t="str">
        <f t="shared" si="2598"/>
        <v>920555627</v>
      </c>
      <c r="G6792" t="str">
        <f t="shared" ref="G6792:G6816" si="2601">T("ATTN GCPC APPROVING OFFICIAL")</f>
        <v>ATTN GCPC APPROVING OFFICIAL</v>
      </c>
      <c r="H6792" t="str">
        <f t="shared" si="2599"/>
        <v>BOX 555627</v>
      </c>
      <c r="I6792" t="str">
        <f t="shared" si="2600"/>
        <v>CAMP PENDLETON</v>
      </c>
      <c r="J6792" t="str">
        <f t="shared" si="2595"/>
        <v>CA</v>
      </c>
      <c r="K6792" t="str">
        <f>T("")</f>
        <v/>
      </c>
      <c r="L6792" t="str">
        <f>T("7607253003")</f>
        <v>7607253003</v>
      </c>
    </row>
    <row r="6793" spans="1:12" x14ac:dyDescent="0.35">
      <c r="A6793" t="str">
        <f t="shared" si="2587"/>
        <v>MLG UNITS</v>
      </c>
      <c r="B6793" t="str">
        <f t="shared" si="2593"/>
        <v>ATTN GCPC APPROVING OFFICIAL</v>
      </c>
      <c r="C6793" t="str">
        <f t="shared" si="2596"/>
        <v>BOX 555627</v>
      </c>
      <c r="D6793" t="str">
        <f t="shared" si="2597"/>
        <v>CAMP PENDLETON</v>
      </c>
      <c r="E6793" t="str">
        <f t="shared" si="2594"/>
        <v>CA</v>
      </c>
      <c r="F6793" t="str">
        <f t="shared" si="2598"/>
        <v>920555627</v>
      </c>
      <c r="G6793" t="str">
        <f t="shared" si="2601"/>
        <v>ATTN GCPC APPROVING OFFICIAL</v>
      </c>
      <c r="H6793" t="str">
        <f t="shared" si="2599"/>
        <v>BOX 555627</v>
      </c>
      <c r="I6793" t="str">
        <f t="shared" si="2600"/>
        <v>CAMP PENDLETON</v>
      </c>
      <c r="J6793" t="str">
        <f t="shared" si="2595"/>
        <v>CA</v>
      </c>
      <c r="K6793" t="str">
        <f>T("")</f>
        <v/>
      </c>
      <c r="L6793" t="str">
        <f>T("7607253559")</f>
        <v>7607253559</v>
      </c>
    </row>
    <row r="6794" spans="1:12" x14ac:dyDescent="0.35">
      <c r="A6794" t="str">
        <f t="shared" si="2587"/>
        <v>MLG UNITS</v>
      </c>
      <c r="B6794" t="str">
        <f t="shared" si="2593"/>
        <v>ATTN GCPC APPROVING OFFICIAL</v>
      </c>
      <c r="C6794" t="str">
        <f t="shared" si="2596"/>
        <v>BOX 555627</v>
      </c>
      <c r="D6794" t="str">
        <f t="shared" si="2597"/>
        <v>CAMP PENDLETON</v>
      </c>
      <c r="E6794" t="str">
        <f t="shared" si="2594"/>
        <v>CA</v>
      </c>
      <c r="F6794" t="str">
        <f t="shared" si="2598"/>
        <v>920555627</v>
      </c>
      <c r="G6794" t="str">
        <f t="shared" si="2601"/>
        <v>ATTN GCPC APPROVING OFFICIAL</v>
      </c>
      <c r="H6794" t="str">
        <f t="shared" si="2599"/>
        <v>BOX 555627</v>
      </c>
      <c r="I6794" t="str">
        <f t="shared" si="2600"/>
        <v>CAMP PENDLETON</v>
      </c>
      <c r="J6794" t="str">
        <f t="shared" si="2595"/>
        <v>CA</v>
      </c>
      <c r="K6794" t="str">
        <f>T("000000000000000000")</f>
        <v>000000000000000000</v>
      </c>
      <c r="L6794" t="str">
        <f>T("7607253452")</f>
        <v>7607253452</v>
      </c>
    </row>
    <row r="6795" spans="1:12" x14ac:dyDescent="0.35">
      <c r="A6795" t="str">
        <f t="shared" si="2587"/>
        <v>MLG UNITS</v>
      </c>
      <c r="B6795" t="str">
        <f t="shared" si="2593"/>
        <v>ATTN GCPC APPROVING OFFICIAL</v>
      </c>
      <c r="C6795" t="str">
        <f t="shared" si="2596"/>
        <v>BOX 555627</v>
      </c>
      <c r="D6795" t="str">
        <f t="shared" si="2597"/>
        <v>CAMP PENDLETON</v>
      </c>
      <c r="E6795" t="str">
        <f t="shared" si="2594"/>
        <v>CA</v>
      </c>
      <c r="F6795" t="str">
        <f t="shared" si="2598"/>
        <v>920555627</v>
      </c>
      <c r="G6795" t="str">
        <f t="shared" si="2601"/>
        <v>ATTN GCPC APPROVING OFFICIAL</v>
      </c>
      <c r="H6795" t="str">
        <f t="shared" si="2599"/>
        <v>BOX 555627</v>
      </c>
      <c r="I6795" t="str">
        <f t="shared" si="2600"/>
        <v>CAMP PENDLETON</v>
      </c>
      <c r="J6795" t="str">
        <f t="shared" si="2595"/>
        <v>CA</v>
      </c>
      <c r="K6795" t="str">
        <f>T("000000000000000000")</f>
        <v>000000000000000000</v>
      </c>
      <c r="L6795" t="str">
        <f>T("7607253559")</f>
        <v>7607253559</v>
      </c>
    </row>
    <row r="6796" spans="1:12" x14ac:dyDescent="0.35">
      <c r="A6796" t="str">
        <f t="shared" si="2587"/>
        <v>MLG UNITS</v>
      </c>
      <c r="B6796" t="str">
        <f t="shared" si="2593"/>
        <v>ATTN GCPC APPROVING OFFICIAL</v>
      </c>
      <c r="C6796" t="str">
        <f t="shared" si="2596"/>
        <v>BOX 555627</v>
      </c>
      <c r="D6796" t="str">
        <f t="shared" si="2597"/>
        <v>CAMP PENDLETON</v>
      </c>
      <c r="E6796" t="str">
        <f t="shared" si="2594"/>
        <v>CA</v>
      </c>
      <c r="F6796" t="str">
        <f t="shared" si="2598"/>
        <v>920555627</v>
      </c>
      <c r="G6796" t="str">
        <f t="shared" si="2601"/>
        <v>ATTN GCPC APPROVING OFFICIAL</v>
      </c>
      <c r="H6796" t="str">
        <f t="shared" si="2599"/>
        <v>BOX 555627</v>
      </c>
      <c r="I6796" t="str">
        <f t="shared" si="2600"/>
        <v>CAMP PENDLETON</v>
      </c>
      <c r="J6796" t="str">
        <f t="shared" si="2595"/>
        <v>CA</v>
      </c>
      <c r="K6796" t="str">
        <f>T("000000000000000000")</f>
        <v>000000000000000000</v>
      </c>
      <c r="L6796" t="str">
        <f>T("7607254879")</f>
        <v>7607254879</v>
      </c>
    </row>
    <row r="6797" spans="1:12" x14ac:dyDescent="0.35">
      <c r="A6797" t="str">
        <f t="shared" si="2587"/>
        <v>MLG UNITS</v>
      </c>
      <c r="B6797" t="str">
        <f t="shared" si="2593"/>
        <v>ATTN GCPC APPROVING OFFICIAL</v>
      </c>
      <c r="C6797" t="str">
        <f t="shared" si="2596"/>
        <v>BOX 555627</v>
      </c>
      <c r="D6797" t="str">
        <f t="shared" si="2597"/>
        <v>CAMP PENDLETON</v>
      </c>
      <c r="E6797" t="str">
        <f t="shared" si="2594"/>
        <v>CA</v>
      </c>
      <c r="F6797" t="str">
        <f t="shared" si="2598"/>
        <v>920555627</v>
      </c>
      <c r="G6797" t="str">
        <f t="shared" si="2601"/>
        <v>ATTN GCPC APPROVING OFFICIAL</v>
      </c>
      <c r="H6797" t="str">
        <f t="shared" si="2599"/>
        <v>BOX 555627</v>
      </c>
      <c r="I6797" t="str">
        <f t="shared" si="2600"/>
        <v>CAMP PENDLETON</v>
      </c>
      <c r="J6797" t="str">
        <f t="shared" si="2595"/>
        <v>CA</v>
      </c>
      <c r="K6797" t="str">
        <f>T("760 725 5827")</f>
        <v>760 725 5827</v>
      </c>
      <c r="L6797" t="str">
        <f>T("7607253452")</f>
        <v>7607253452</v>
      </c>
    </row>
    <row r="6798" spans="1:12" x14ac:dyDescent="0.35">
      <c r="A6798" t="str">
        <f t="shared" si="2587"/>
        <v>MLG UNITS</v>
      </c>
      <c r="B6798" t="str">
        <f t="shared" si="2593"/>
        <v>ATTN GCPC APPROVING OFFICIAL</v>
      </c>
      <c r="C6798" t="str">
        <f>T("BOX 555630")</f>
        <v>BOX 555630</v>
      </c>
      <c r="D6798" t="str">
        <f t="shared" si="2597"/>
        <v>CAMP PENDLETON</v>
      </c>
      <c r="E6798" t="str">
        <f t="shared" si="2594"/>
        <v>CA</v>
      </c>
      <c r="F6798" t="str">
        <f>T("920555630")</f>
        <v>920555630</v>
      </c>
      <c r="G6798" t="str">
        <f t="shared" si="2601"/>
        <v>ATTN GCPC APPROVING OFFICIAL</v>
      </c>
      <c r="H6798" t="str">
        <f>T("BOX 555630")</f>
        <v>BOX 555630</v>
      </c>
      <c r="I6798" t="str">
        <f t="shared" si="2600"/>
        <v>CAMP PENDLETON</v>
      </c>
      <c r="J6798" t="str">
        <f t="shared" si="2595"/>
        <v>CA</v>
      </c>
      <c r="K6798" t="str">
        <f>T("000000000000000000")</f>
        <v>000000000000000000</v>
      </c>
      <c r="L6798" t="str">
        <f>T("7607631033")</f>
        <v>7607631033</v>
      </c>
    </row>
    <row r="6799" spans="1:12" x14ac:dyDescent="0.35">
      <c r="A6799" t="str">
        <f t="shared" si="2587"/>
        <v>MLG UNITS</v>
      </c>
      <c r="B6799" t="str">
        <f t="shared" si="2593"/>
        <v>ATTN GCPC APPROVING OFFICIAL</v>
      </c>
      <c r="C6799" t="str">
        <f>T("BOX 555630")</f>
        <v>BOX 555630</v>
      </c>
      <c r="D6799" t="str">
        <f t="shared" si="2597"/>
        <v>CAMP PENDLETON</v>
      </c>
      <c r="E6799" t="str">
        <f t="shared" si="2594"/>
        <v>CA</v>
      </c>
      <c r="F6799" t="str">
        <f>T("920555630")</f>
        <v>920555630</v>
      </c>
      <c r="G6799" t="str">
        <f t="shared" si="2601"/>
        <v>ATTN GCPC APPROVING OFFICIAL</v>
      </c>
      <c r="H6799" t="str">
        <f>T("BOX 555630")</f>
        <v>BOX 555630</v>
      </c>
      <c r="I6799" t="str">
        <f t="shared" si="2600"/>
        <v>CAMP PENDLETON</v>
      </c>
      <c r="J6799" t="str">
        <f t="shared" si="2595"/>
        <v>CA</v>
      </c>
      <c r="K6799" t="str">
        <f>T("000000000000000000")</f>
        <v>000000000000000000</v>
      </c>
      <c r="L6799" t="str">
        <f>T("7607631035")</f>
        <v>7607631035</v>
      </c>
    </row>
    <row r="6800" spans="1:12" x14ac:dyDescent="0.35">
      <c r="A6800" t="str">
        <f t="shared" si="2587"/>
        <v>MLG UNITS</v>
      </c>
      <c r="B6800" t="str">
        <f t="shared" si="2593"/>
        <v>ATTN GCPC APPROVING OFFICIAL</v>
      </c>
      <c r="C6800" t="str">
        <f>T("BOX 555647")</f>
        <v>BOX 555647</v>
      </c>
      <c r="D6800" t="str">
        <f t="shared" si="2597"/>
        <v>CAMP PENDLETON</v>
      </c>
      <c r="E6800" t="str">
        <f t="shared" si="2594"/>
        <v>CA</v>
      </c>
      <c r="F6800" t="str">
        <f>T("920555647")</f>
        <v>920555647</v>
      </c>
      <c r="G6800" t="str">
        <f t="shared" si="2601"/>
        <v>ATTN GCPC APPROVING OFFICIAL</v>
      </c>
      <c r="H6800" t="str">
        <f>T("BOX 555467")</f>
        <v>BOX 555467</v>
      </c>
      <c r="I6800" t="str">
        <f t="shared" si="2600"/>
        <v>CAMP PENDLETON</v>
      </c>
      <c r="J6800" t="str">
        <f t="shared" si="2595"/>
        <v>CA</v>
      </c>
      <c r="K6800" t="str">
        <f>T("000000000000000000")</f>
        <v>000000000000000000</v>
      </c>
      <c r="L6800" t="str">
        <f>T("7607253365")</f>
        <v>7607253365</v>
      </c>
    </row>
    <row r="6801" spans="1:12" x14ac:dyDescent="0.35">
      <c r="A6801" t="str">
        <f t="shared" si="2587"/>
        <v>MLG UNITS</v>
      </c>
      <c r="B6801" t="str">
        <f t="shared" si="2593"/>
        <v>ATTN GCPC APPROVING OFFICIAL</v>
      </c>
      <c r="C6801" t="str">
        <f>T("BOX 555647")</f>
        <v>BOX 555647</v>
      </c>
      <c r="D6801" t="str">
        <f t="shared" si="2597"/>
        <v>CAMP PENDLETON</v>
      </c>
      <c r="E6801" t="str">
        <f t="shared" si="2594"/>
        <v>CA</v>
      </c>
      <c r="F6801" t="str">
        <f>T("920555647")</f>
        <v>920555647</v>
      </c>
      <c r="G6801" t="str">
        <f t="shared" si="2601"/>
        <v>ATTN GCPC APPROVING OFFICIAL</v>
      </c>
      <c r="H6801" t="str">
        <f>T("BOX 555647")</f>
        <v>BOX 555647</v>
      </c>
      <c r="I6801" t="str">
        <f t="shared" si="2600"/>
        <v>CAMP PENDLETON</v>
      </c>
      <c r="J6801" t="str">
        <f t="shared" si="2595"/>
        <v>CA</v>
      </c>
      <c r="K6801" t="str">
        <f>T("")</f>
        <v/>
      </c>
      <c r="L6801" t="str">
        <f>T("7607633365")</f>
        <v>7607633365</v>
      </c>
    </row>
    <row r="6802" spans="1:12" x14ac:dyDescent="0.35">
      <c r="A6802" t="str">
        <f t="shared" si="2587"/>
        <v>MLG UNITS</v>
      </c>
      <c r="B6802" t="str">
        <f t="shared" si="2593"/>
        <v>ATTN GCPC APPROVING OFFICIAL</v>
      </c>
      <c r="C6802" t="str">
        <f>T("BOX 555647")</f>
        <v>BOX 555647</v>
      </c>
      <c r="D6802" t="str">
        <f t="shared" si="2597"/>
        <v>CAMP PENDLETON</v>
      </c>
      <c r="E6802" t="str">
        <f t="shared" si="2594"/>
        <v>CA</v>
      </c>
      <c r="F6802" t="str">
        <f>T("920555647")</f>
        <v>920555647</v>
      </c>
      <c r="G6802" t="str">
        <f t="shared" si="2601"/>
        <v>ATTN GCPC APPROVING OFFICIAL</v>
      </c>
      <c r="H6802" t="str">
        <f>T("BOX 555647")</f>
        <v>BOX 555647</v>
      </c>
      <c r="I6802" t="str">
        <f t="shared" si="2600"/>
        <v>CAMP PENDLETON</v>
      </c>
      <c r="J6802" t="str">
        <f t="shared" si="2595"/>
        <v>CA</v>
      </c>
      <c r="K6802" t="str">
        <f>T("")</f>
        <v/>
      </c>
      <c r="L6802" t="str">
        <f>T("7607635277")</f>
        <v>7607635277</v>
      </c>
    </row>
    <row r="6803" spans="1:12" x14ac:dyDescent="0.35">
      <c r="A6803" t="str">
        <f t="shared" si="2587"/>
        <v>MLG UNITS</v>
      </c>
      <c r="B6803" t="str">
        <f t="shared" si="2593"/>
        <v>ATTN GCPC APPROVING OFFICIAL</v>
      </c>
      <c r="C6803" t="str">
        <f>T("BOX 555647")</f>
        <v>BOX 555647</v>
      </c>
      <c r="D6803" t="str">
        <f t="shared" si="2597"/>
        <v>CAMP PENDLETON</v>
      </c>
      <c r="E6803" t="str">
        <f t="shared" si="2594"/>
        <v>CA</v>
      </c>
      <c r="F6803" t="str">
        <f>T("920555647")</f>
        <v>920555647</v>
      </c>
      <c r="G6803" t="str">
        <f t="shared" si="2601"/>
        <v>ATTN GCPC APPROVING OFFICIAL</v>
      </c>
      <c r="H6803" t="str">
        <f>T("BOX 555647")</f>
        <v>BOX 555647</v>
      </c>
      <c r="I6803" t="str">
        <f t="shared" si="2600"/>
        <v>CAMP PENDLETON</v>
      </c>
      <c r="J6803" t="str">
        <f t="shared" si="2595"/>
        <v>CA</v>
      </c>
      <c r="K6803" t="str">
        <f>T("000000000000000000")</f>
        <v>000000000000000000</v>
      </c>
      <c r="L6803" t="str">
        <f>T("7607635277")</f>
        <v>7607635277</v>
      </c>
    </row>
    <row r="6804" spans="1:12" x14ac:dyDescent="0.35">
      <c r="A6804" t="str">
        <f t="shared" si="2587"/>
        <v>MLG UNITS</v>
      </c>
      <c r="B6804" t="str">
        <f t="shared" si="2593"/>
        <v>ATTN GCPC APPROVING OFFICIAL</v>
      </c>
      <c r="C6804" t="str">
        <f>T("BOX 555657")</f>
        <v>BOX 555657</v>
      </c>
      <c r="D6804" t="str">
        <f t="shared" si="2597"/>
        <v>CAMP PENDLETON</v>
      </c>
      <c r="E6804" t="str">
        <f t="shared" si="2594"/>
        <v>CA</v>
      </c>
      <c r="F6804" t="str">
        <f>T("920555657")</f>
        <v>920555657</v>
      </c>
      <c r="G6804" t="str">
        <f t="shared" si="2601"/>
        <v>ATTN GCPC APPROVING OFFICIAL</v>
      </c>
      <c r="H6804" t="str">
        <f>T("BOX 555657")</f>
        <v>BOX 555657</v>
      </c>
      <c r="I6804" t="str">
        <f t="shared" si="2600"/>
        <v>CAMP PENDLETON</v>
      </c>
      <c r="J6804" t="str">
        <f t="shared" si="2595"/>
        <v>CA</v>
      </c>
      <c r="K6804" t="str">
        <f>T("")</f>
        <v/>
      </c>
      <c r="L6804" t="str">
        <f>T("7607254975")</f>
        <v>7607254975</v>
      </c>
    </row>
    <row r="6805" spans="1:12" x14ac:dyDescent="0.35">
      <c r="A6805" t="str">
        <f t="shared" si="2587"/>
        <v>MLG UNITS</v>
      </c>
      <c r="B6805" t="str">
        <f t="shared" si="2593"/>
        <v>ATTN GCPC APPROVING OFFICIAL</v>
      </c>
      <c r="C6805" t="str">
        <f>T("BOX 555657")</f>
        <v>BOX 555657</v>
      </c>
      <c r="D6805" t="str">
        <f t="shared" si="2597"/>
        <v>CAMP PENDLETON</v>
      </c>
      <c r="E6805" t="str">
        <f t="shared" si="2594"/>
        <v>CA</v>
      </c>
      <c r="F6805" t="str">
        <f>T("920555657")</f>
        <v>920555657</v>
      </c>
      <c r="G6805" t="str">
        <f t="shared" si="2601"/>
        <v>ATTN GCPC APPROVING OFFICIAL</v>
      </c>
      <c r="H6805" t="str">
        <f>T("BOX 555657")</f>
        <v>BOX 555657</v>
      </c>
      <c r="I6805" t="str">
        <f t="shared" si="2600"/>
        <v>CAMP PENDLETON</v>
      </c>
      <c r="J6805" t="str">
        <f t="shared" si="2595"/>
        <v>CA</v>
      </c>
      <c r="K6805" t="str">
        <f>T("000000000000000000")</f>
        <v>000000000000000000</v>
      </c>
      <c r="L6805" t="str">
        <f>T("7607254975")</f>
        <v>7607254975</v>
      </c>
    </row>
    <row r="6806" spans="1:12" x14ac:dyDescent="0.35">
      <c r="A6806" t="str">
        <f t="shared" si="2587"/>
        <v>MLG UNITS</v>
      </c>
      <c r="B6806" t="str">
        <f t="shared" si="2593"/>
        <v>ATTN GCPC APPROVING OFFICIAL</v>
      </c>
      <c r="C6806" t="str">
        <f>T("BOX 555677")</f>
        <v>BOX 555677</v>
      </c>
      <c r="D6806" t="str">
        <f t="shared" si="2597"/>
        <v>CAMP PENDLETON</v>
      </c>
      <c r="E6806" t="str">
        <f t="shared" si="2594"/>
        <v>CA</v>
      </c>
      <c r="F6806" t="str">
        <f>T("920555677")</f>
        <v>920555677</v>
      </c>
      <c r="G6806" t="str">
        <f t="shared" si="2601"/>
        <v>ATTN GCPC APPROVING OFFICIAL</v>
      </c>
      <c r="H6806" t="str">
        <f>T("BOX 555677")</f>
        <v>BOX 555677</v>
      </c>
      <c r="I6806" t="str">
        <f t="shared" si="2600"/>
        <v>CAMP PENDLETON</v>
      </c>
      <c r="J6806" t="str">
        <f t="shared" si="2595"/>
        <v>CA</v>
      </c>
      <c r="K6806" t="str">
        <f>T("")</f>
        <v/>
      </c>
      <c r="L6806" t="str">
        <f>T("7607255349")</f>
        <v>7607255349</v>
      </c>
    </row>
    <row r="6807" spans="1:12" x14ac:dyDescent="0.35">
      <c r="A6807" t="str">
        <f t="shared" si="2587"/>
        <v>MLG UNITS</v>
      </c>
      <c r="B6807" t="str">
        <f t="shared" si="2593"/>
        <v>ATTN GCPC APPROVING OFFICIAL</v>
      </c>
      <c r="C6807" t="str">
        <f>T("BOX 555677")</f>
        <v>BOX 555677</v>
      </c>
      <c r="D6807" t="str">
        <f t="shared" si="2597"/>
        <v>CAMP PENDLETON</v>
      </c>
      <c r="E6807" t="str">
        <f t="shared" si="2594"/>
        <v>CA</v>
      </c>
      <c r="F6807" t="str">
        <f>T("920555677")</f>
        <v>920555677</v>
      </c>
      <c r="G6807" t="str">
        <f t="shared" si="2601"/>
        <v>ATTN GCPC APPROVING OFFICIAL</v>
      </c>
      <c r="H6807" t="str">
        <f>T("BOX 555677")</f>
        <v>BOX 555677</v>
      </c>
      <c r="I6807" t="str">
        <f t="shared" si="2600"/>
        <v>CAMP PENDLETON</v>
      </c>
      <c r="J6807" t="str">
        <f t="shared" si="2595"/>
        <v>CA</v>
      </c>
      <c r="K6807" t="str">
        <f>T("000000000000000000")</f>
        <v>000000000000000000</v>
      </c>
      <c r="L6807" t="str">
        <f>T("7607255349")</f>
        <v>7607255349</v>
      </c>
    </row>
    <row r="6808" spans="1:12" x14ac:dyDescent="0.35">
      <c r="A6808" t="str">
        <f t="shared" si="2587"/>
        <v>MLG UNITS</v>
      </c>
      <c r="B6808" t="str">
        <f t="shared" si="2593"/>
        <v>ATTN GCPC APPROVING OFFICIAL</v>
      </c>
      <c r="C6808" t="str">
        <f>T("BOX 555697")</f>
        <v>BOX 555697</v>
      </c>
      <c r="D6808" t="str">
        <f>T("CMP PENDLETON")</f>
        <v>CMP PENDLETON</v>
      </c>
      <c r="E6808" t="str">
        <f t="shared" si="2594"/>
        <v>CA</v>
      </c>
      <c r="F6808" t="str">
        <f>T("920555697")</f>
        <v>920555697</v>
      </c>
      <c r="G6808" t="str">
        <f t="shared" si="2601"/>
        <v>ATTN GCPC APPROVING OFFICIAL</v>
      </c>
      <c r="H6808" t="str">
        <f>T("BOX 555697")</f>
        <v>BOX 555697</v>
      </c>
      <c r="I6808" t="str">
        <f>T("CMP PENDLETON")</f>
        <v>CMP PENDLETON</v>
      </c>
      <c r="J6808" t="str">
        <f t="shared" si="2595"/>
        <v>CA</v>
      </c>
      <c r="K6808" t="str">
        <f>T("")</f>
        <v/>
      </c>
      <c r="L6808" t="str">
        <f>T("7607634024")</f>
        <v>7607634024</v>
      </c>
    </row>
    <row r="6809" spans="1:12" x14ac:dyDescent="0.35">
      <c r="A6809" t="str">
        <f t="shared" si="2587"/>
        <v>MLG UNITS</v>
      </c>
      <c r="B6809" t="str">
        <f t="shared" si="2593"/>
        <v>ATTN GCPC APPROVING OFFICIAL</v>
      </c>
      <c r="C6809" t="str">
        <f>T("BOX 555735")</f>
        <v>BOX 555735</v>
      </c>
      <c r="D6809" t="str">
        <f>T("CAMP PENDLETON")</f>
        <v>CAMP PENDLETON</v>
      </c>
      <c r="E6809" t="str">
        <f t="shared" si="2594"/>
        <v>CA</v>
      </c>
      <c r="F6809" t="str">
        <f>T("920555735")</f>
        <v>920555735</v>
      </c>
      <c r="G6809" t="str">
        <f t="shared" si="2601"/>
        <v>ATTN GCPC APPROVING OFFICIAL</v>
      </c>
      <c r="H6809" t="str">
        <f>T("BOX 555735")</f>
        <v>BOX 555735</v>
      </c>
      <c r="I6809" t="str">
        <f>T("CAMP PENDLETON")</f>
        <v>CAMP PENDLETON</v>
      </c>
      <c r="J6809" t="str">
        <f t="shared" si="2595"/>
        <v>CA</v>
      </c>
      <c r="K6809" t="str">
        <f>T("")</f>
        <v/>
      </c>
      <c r="L6809" t="str">
        <f>T("7607256503")</f>
        <v>7607256503</v>
      </c>
    </row>
    <row r="6810" spans="1:12" x14ac:dyDescent="0.35">
      <c r="A6810" t="str">
        <f t="shared" si="2587"/>
        <v>MLG UNITS</v>
      </c>
      <c r="B6810" t="str">
        <f t="shared" si="2593"/>
        <v>ATTN GCPC APPROVING OFFICIAL</v>
      </c>
      <c r="C6810" t="str">
        <f>T("BOX 555735")</f>
        <v>BOX 555735</v>
      </c>
      <c r="D6810" t="str">
        <f>T("CAMP PENDLETON")</f>
        <v>CAMP PENDLETON</v>
      </c>
      <c r="E6810" t="str">
        <f t="shared" si="2594"/>
        <v>CA</v>
      </c>
      <c r="F6810" t="str">
        <f>T("920555735")</f>
        <v>920555735</v>
      </c>
      <c r="G6810" t="str">
        <f t="shared" si="2601"/>
        <v>ATTN GCPC APPROVING OFFICIAL</v>
      </c>
      <c r="H6810" t="str">
        <f>T("BOX 555735")</f>
        <v>BOX 555735</v>
      </c>
      <c r="I6810" t="str">
        <f>T("CAMP PENDLETON")</f>
        <v>CAMP PENDLETON</v>
      </c>
      <c r="J6810" t="str">
        <f t="shared" si="2595"/>
        <v>CA</v>
      </c>
      <c r="K6810" t="str">
        <f>T("000000000000000000")</f>
        <v>000000000000000000</v>
      </c>
      <c r="L6810" t="str">
        <f>T("7607256773")</f>
        <v>7607256773</v>
      </c>
    </row>
    <row r="6811" spans="1:12" x14ac:dyDescent="0.35">
      <c r="A6811" t="str">
        <f t="shared" si="2587"/>
        <v>MLG UNITS</v>
      </c>
      <c r="B6811" t="str">
        <f t="shared" si="2593"/>
        <v>ATTN GCPC APPROVING OFFICIAL</v>
      </c>
      <c r="C6811" t="str">
        <f>T("BOX 555736")</f>
        <v>BOX 555736</v>
      </c>
      <c r="D6811" t="str">
        <f>T("CMP PENDLETON")</f>
        <v>CMP PENDLETON</v>
      </c>
      <c r="E6811" t="str">
        <f t="shared" si="2594"/>
        <v>CA</v>
      </c>
      <c r="F6811" t="str">
        <f>T("920555736")</f>
        <v>920555736</v>
      </c>
      <c r="G6811" t="str">
        <f t="shared" si="2601"/>
        <v>ATTN GCPC APPROVING OFFICIAL</v>
      </c>
      <c r="H6811" t="str">
        <f>T("BOX 555736")</f>
        <v>BOX 555736</v>
      </c>
      <c r="I6811" t="str">
        <f>T("CAMP PENDLETON")</f>
        <v>CAMP PENDLETON</v>
      </c>
      <c r="J6811" t="str">
        <f t="shared" si="2595"/>
        <v>CA</v>
      </c>
      <c r="K6811" t="str">
        <f>T("000000000000000000")</f>
        <v>000000000000000000</v>
      </c>
      <c r="L6811" t="str">
        <f>T("7607636915")</f>
        <v>7607636915</v>
      </c>
    </row>
    <row r="6812" spans="1:12" x14ac:dyDescent="0.35">
      <c r="A6812" t="str">
        <f t="shared" si="2587"/>
        <v>MLG UNITS</v>
      </c>
      <c r="B6812" t="str">
        <f t="shared" si="2593"/>
        <v>ATTN GCPC APPROVING OFFICIAL</v>
      </c>
      <c r="C6812" t="str">
        <f>T("BOX 555736")</f>
        <v>BOX 555736</v>
      </c>
      <c r="D6812" t="str">
        <f>T("CMP PENDLETON")</f>
        <v>CMP PENDLETON</v>
      </c>
      <c r="E6812" t="str">
        <f t="shared" si="2594"/>
        <v>CA</v>
      </c>
      <c r="F6812" t="str">
        <f>T("920555736")</f>
        <v>920555736</v>
      </c>
      <c r="G6812" t="str">
        <f t="shared" si="2601"/>
        <v>ATTN GCPC APPROVING OFFICIAL</v>
      </c>
      <c r="H6812" t="str">
        <f>T("BOX 555736")</f>
        <v>BOX 555736</v>
      </c>
      <c r="I6812" t="str">
        <f>T("CMP PENDLETON")</f>
        <v>CMP PENDLETON</v>
      </c>
      <c r="J6812" t="str">
        <f t="shared" si="2595"/>
        <v>CA</v>
      </c>
      <c r="K6812" t="str">
        <f>T("000000000000000000")</f>
        <v>000000000000000000</v>
      </c>
      <c r="L6812" t="str">
        <f>T("7607252777")</f>
        <v>7607252777</v>
      </c>
    </row>
    <row r="6813" spans="1:12" x14ac:dyDescent="0.35">
      <c r="A6813" t="str">
        <f t="shared" si="2587"/>
        <v>MLG UNITS</v>
      </c>
      <c r="B6813" t="str">
        <f t="shared" si="2593"/>
        <v>ATTN GCPC APPROVING OFFICIAL</v>
      </c>
      <c r="C6813" t="str">
        <f>T("BOX 555737")</f>
        <v>BOX 555737</v>
      </c>
      <c r="D6813" t="str">
        <f>T("CAMP PENDLETON")</f>
        <v>CAMP PENDLETON</v>
      </c>
      <c r="E6813" t="str">
        <f t="shared" si="2594"/>
        <v>CA</v>
      </c>
      <c r="F6813" t="str">
        <f>T("920555737")</f>
        <v>920555737</v>
      </c>
      <c r="G6813" t="str">
        <f t="shared" si="2601"/>
        <v>ATTN GCPC APPROVING OFFICIAL</v>
      </c>
      <c r="H6813" t="str">
        <f>T("BOX 555737")</f>
        <v>BOX 555737</v>
      </c>
      <c r="I6813" t="str">
        <f>T("CAMP PENDLETON")</f>
        <v>CAMP PENDLETON</v>
      </c>
      <c r="J6813" t="str">
        <f t="shared" si="2595"/>
        <v>CA</v>
      </c>
      <c r="K6813" t="str">
        <f>T("")</f>
        <v/>
      </c>
      <c r="L6813" t="str">
        <f>T("7607256645")</f>
        <v>7607256645</v>
      </c>
    </row>
    <row r="6814" spans="1:12" x14ac:dyDescent="0.35">
      <c r="A6814" t="str">
        <f t="shared" si="2587"/>
        <v>MLG UNITS</v>
      </c>
      <c r="B6814" t="str">
        <f t="shared" si="2593"/>
        <v>ATTN GCPC APPROVING OFFICIAL</v>
      </c>
      <c r="C6814" t="str">
        <f>T("BOX 555737")</f>
        <v>BOX 555737</v>
      </c>
      <c r="D6814" t="str">
        <f>T("CAMP PENDLETON")</f>
        <v>CAMP PENDLETON</v>
      </c>
      <c r="E6814" t="str">
        <f t="shared" si="2594"/>
        <v>CA</v>
      </c>
      <c r="F6814" t="str">
        <f>T("920555737")</f>
        <v>920555737</v>
      </c>
      <c r="G6814" t="str">
        <f t="shared" si="2601"/>
        <v>ATTN GCPC APPROVING OFFICIAL</v>
      </c>
      <c r="H6814" t="str">
        <f>T("BOX 555737")</f>
        <v>BOX 555737</v>
      </c>
      <c r="I6814" t="str">
        <f>T("CAMP PENDLETON")</f>
        <v>CAMP PENDLETON</v>
      </c>
      <c r="J6814" t="str">
        <f t="shared" si="2595"/>
        <v>CA</v>
      </c>
      <c r="K6814" t="str">
        <f t="shared" ref="K6814:K6820" si="2602">T("000000000000000000")</f>
        <v>000000000000000000</v>
      </c>
      <c r="L6814" t="str">
        <f>T("7607256645")</f>
        <v>7607256645</v>
      </c>
    </row>
    <row r="6815" spans="1:12" x14ac:dyDescent="0.35">
      <c r="A6815" t="str">
        <f t="shared" si="2587"/>
        <v>MLG UNITS</v>
      </c>
      <c r="B6815" t="str">
        <f t="shared" si="2593"/>
        <v>ATTN GCPC APPROVING OFFICIAL</v>
      </c>
      <c r="C6815" t="str">
        <f>T("BOX 788280")</f>
        <v>BOX 788280</v>
      </c>
      <c r="D6815" t="str">
        <f>T("TWENTYNINE PALMS")</f>
        <v>TWENTYNINE PALMS</v>
      </c>
      <c r="E6815" t="str">
        <f t="shared" si="2594"/>
        <v>CA</v>
      </c>
      <c r="F6815" t="str">
        <f>T("922788280")</f>
        <v>922788280</v>
      </c>
      <c r="G6815" t="str">
        <f t="shared" si="2601"/>
        <v>ATTN GCPC APPROVING OFFICIAL</v>
      </c>
      <c r="H6815" t="str">
        <f>T("BOX 788280")</f>
        <v>BOX 788280</v>
      </c>
      <c r="I6815" t="str">
        <f>T("TWENTYNINE PALMS")</f>
        <v>TWENTYNINE PALMS</v>
      </c>
      <c r="J6815" t="str">
        <f t="shared" si="2595"/>
        <v>CA</v>
      </c>
      <c r="K6815" t="str">
        <f t="shared" si="2602"/>
        <v>000000000000000000</v>
      </c>
      <c r="L6815" t="str">
        <f>T("7608306749")</f>
        <v>7608306749</v>
      </c>
    </row>
    <row r="6816" spans="1:12" x14ac:dyDescent="0.35">
      <c r="A6816" t="str">
        <f t="shared" si="2587"/>
        <v>MLG UNITS</v>
      </c>
      <c r="B6816" t="str">
        <f t="shared" si="2593"/>
        <v>ATTN GCPC APPROVING OFFICIAL</v>
      </c>
      <c r="C6816" t="str">
        <f>T("BOX 788280")</f>
        <v>BOX 788280</v>
      </c>
      <c r="D6816" t="str">
        <f>T("TWENTYNINE PALMS")</f>
        <v>TWENTYNINE PALMS</v>
      </c>
      <c r="E6816" t="str">
        <f t="shared" si="2594"/>
        <v>CA</v>
      </c>
      <c r="F6816" t="str">
        <f>T("922788280")</f>
        <v>922788280</v>
      </c>
      <c r="G6816" t="str">
        <f t="shared" si="2601"/>
        <v>ATTN GCPC APPROVING OFFICIAL</v>
      </c>
      <c r="H6816" t="str">
        <f>T("BOX 788280")</f>
        <v>BOX 788280</v>
      </c>
      <c r="I6816" t="str">
        <f>T("TWENTYNINE PALMS")</f>
        <v>TWENTYNINE PALMS</v>
      </c>
      <c r="J6816" t="str">
        <f t="shared" si="2595"/>
        <v>CA</v>
      </c>
      <c r="K6816" t="str">
        <f t="shared" si="2602"/>
        <v>000000000000000000</v>
      </c>
      <c r="L6816" t="str">
        <f>T("7608308223")</f>
        <v>7608308223</v>
      </c>
    </row>
    <row r="6817" spans="1:12" x14ac:dyDescent="0.35">
      <c r="A6817" t="str">
        <f t="shared" ref="A6817:A6848" si="2603">T("MARDIV UNITS")</f>
        <v>MARDIV UNITS</v>
      </c>
      <c r="B6817" t="str">
        <f>T("ATTN GCPC AO")</f>
        <v>ATTN GCPC AO</v>
      </c>
      <c r="C6817" t="str">
        <f>T("BOX 555442")</f>
        <v>BOX 555442</v>
      </c>
      <c r="D6817" t="str">
        <f>T("CAMP PENDLETON")</f>
        <v>CAMP PENDLETON</v>
      </c>
      <c r="E6817" t="str">
        <f t="shared" si="2594"/>
        <v>CA</v>
      </c>
      <c r="F6817" t="str">
        <f>T("920555442")</f>
        <v>920555442</v>
      </c>
      <c r="G6817" t="str">
        <f>T("ATTN GCPC AO")</f>
        <v>ATTN GCPC AO</v>
      </c>
      <c r="H6817" t="str">
        <f>T("BOX 555442")</f>
        <v>BOX 555442</v>
      </c>
      <c r="I6817" t="str">
        <f>T("CAMP PENDLETON")</f>
        <v>CAMP PENDLETON</v>
      </c>
      <c r="J6817" t="str">
        <f t="shared" si="2595"/>
        <v>CA</v>
      </c>
      <c r="K6817" t="str">
        <f t="shared" si="2602"/>
        <v>000000000000000000</v>
      </c>
      <c r="L6817" t="str">
        <f>T("7603905175")</f>
        <v>7603905175</v>
      </c>
    </row>
    <row r="6818" spans="1:12" x14ac:dyDescent="0.35">
      <c r="A6818" t="str">
        <f t="shared" si="2603"/>
        <v>MARDIV UNITS</v>
      </c>
      <c r="B6818" t="str">
        <f>T("ATTN GCPC APPROVAL OFFICIAL")</f>
        <v>ATTN GCPC APPROVAL OFFICIAL</v>
      </c>
      <c r="C6818" t="str">
        <f>T("BOX 555422")</f>
        <v>BOX 555422</v>
      </c>
      <c r="D6818" t="str">
        <f>T("CAMP PENDLETON")</f>
        <v>CAMP PENDLETON</v>
      </c>
      <c r="E6818" t="str">
        <f t="shared" si="2594"/>
        <v>CA</v>
      </c>
      <c r="F6818" t="str">
        <f>T("920555422")</f>
        <v>920555422</v>
      </c>
      <c r="G6818" t="str">
        <f>T("ATTN GCPC APPROVAL OFFICIAL")</f>
        <v>ATTN GCPC APPROVAL OFFICIAL</v>
      </c>
      <c r="H6818" t="str">
        <f>T("BOX 555422")</f>
        <v>BOX 555422</v>
      </c>
      <c r="I6818" t="str">
        <f>T("CAMP PENDLETON")</f>
        <v>CAMP PENDLETON</v>
      </c>
      <c r="J6818" t="str">
        <f t="shared" si="2595"/>
        <v>CA</v>
      </c>
      <c r="K6818" t="str">
        <f t="shared" si="2602"/>
        <v>000000000000000000</v>
      </c>
      <c r="L6818" t="str">
        <f>T("7607630563")</f>
        <v>7607630563</v>
      </c>
    </row>
    <row r="6819" spans="1:12" x14ac:dyDescent="0.35">
      <c r="A6819" t="str">
        <f t="shared" si="2603"/>
        <v>MARDIV UNITS</v>
      </c>
      <c r="B6819" t="str">
        <f>T("ATTN GCPC APPROVAL OFFICIAL")</f>
        <v>ATTN GCPC APPROVAL OFFICIAL</v>
      </c>
      <c r="C6819" t="str">
        <f>T("BOX 555422")</f>
        <v>BOX 555422</v>
      </c>
      <c r="D6819" t="str">
        <f>T("CAMP PENDLETON")</f>
        <v>CAMP PENDLETON</v>
      </c>
      <c r="E6819" t="str">
        <f t="shared" ref="E6819:E6850" si="2604">T("CA")</f>
        <v>CA</v>
      </c>
      <c r="F6819" t="str">
        <f>T("920555422")</f>
        <v>920555422</v>
      </c>
      <c r="G6819" t="str">
        <f t="shared" ref="G6819:G6842" si="2605">T("ATTN GCPC APPROVING OFFICIAL")</f>
        <v>ATTN GCPC APPROVING OFFICIAL</v>
      </c>
      <c r="H6819" t="str">
        <f>T("BOX 555401")</f>
        <v>BOX 555401</v>
      </c>
      <c r="I6819" t="str">
        <f>T("CAMP PENDLETON")</f>
        <v>CAMP PENDLETON</v>
      </c>
      <c r="J6819" t="str">
        <f t="shared" ref="J6819:J6850" si="2606">T("CA")</f>
        <v>CA</v>
      </c>
      <c r="K6819" t="str">
        <f t="shared" si="2602"/>
        <v>000000000000000000</v>
      </c>
      <c r="L6819" t="str">
        <f>T("7607630563")</f>
        <v>7607630563</v>
      </c>
    </row>
    <row r="6820" spans="1:12" x14ac:dyDescent="0.35">
      <c r="A6820" t="str">
        <f t="shared" si="2603"/>
        <v>MARDIV UNITS</v>
      </c>
      <c r="B6820" t="str">
        <f>T("ATTN GCPC APPROVAL OFFICIAL")</f>
        <v>ATTN GCPC APPROVAL OFFICIAL</v>
      </c>
      <c r="C6820" t="str">
        <f>T("BOX 555422")</f>
        <v>BOX 555422</v>
      </c>
      <c r="D6820" t="str">
        <f>T("CAMP PENDLETON")</f>
        <v>CAMP PENDLETON</v>
      </c>
      <c r="E6820" t="str">
        <f t="shared" si="2604"/>
        <v>CA</v>
      </c>
      <c r="F6820" t="str">
        <f>T("920555422")</f>
        <v>920555422</v>
      </c>
      <c r="G6820" t="str">
        <f t="shared" si="2605"/>
        <v>ATTN GCPC APPROVING OFFICIAL</v>
      </c>
      <c r="H6820" t="str">
        <f>T("BOX 555422")</f>
        <v>BOX 555422</v>
      </c>
      <c r="I6820" t="str">
        <f>T("CAMP PENDLETON")</f>
        <v>CAMP PENDLETON</v>
      </c>
      <c r="J6820" t="str">
        <f t="shared" si="2606"/>
        <v>CA</v>
      </c>
      <c r="K6820" t="str">
        <f t="shared" si="2602"/>
        <v>000000000000000000</v>
      </c>
      <c r="L6820" t="str">
        <f>T("7607630563")</f>
        <v>7607630563</v>
      </c>
    </row>
    <row r="6821" spans="1:12" x14ac:dyDescent="0.35">
      <c r="A6821" t="str">
        <f t="shared" si="2603"/>
        <v>MARDIV UNITS</v>
      </c>
      <c r="B6821" t="str">
        <f t="shared" ref="B6821:B6852" si="2607">T("ATTN GCPC APPROVING OFFICIAL")</f>
        <v>ATTN GCPC APPROVING OFFICIAL</v>
      </c>
      <c r="C6821" t="str">
        <f>T("3RD BN 11TH MARINES BOX 788264")</f>
        <v>3RD BN 11TH MARINES BOX 788264</v>
      </c>
      <c r="D6821" t="str">
        <f>T("TWENTYNIN PLM")</f>
        <v>TWENTYNIN PLM</v>
      </c>
      <c r="E6821" t="str">
        <f t="shared" si="2604"/>
        <v>CA</v>
      </c>
      <c r="F6821" t="str">
        <f>T("922788264")</f>
        <v>922788264</v>
      </c>
      <c r="G6821" t="str">
        <f t="shared" si="2605"/>
        <v>ATTN GCPC APPROVING OFFICIAL</v>
      </c>
      <c r="H6821" t="str">
        <f>T("3RD BN 11TH MARINES BOX 788264")</f>
        <v>3RD BN 11TH MARINES BOX 788264</v>
      </c>
      <c r="I6821" t="str">
        <f>T("TWENTYNIN PLM")</f>
        <v>TWENTYNIN PLM</v>
      </c>
      <c r="J6821" t="str">
        <f t="shared" si="2606"/>
        <v>CA</v>
      </c>
      <c r="K6821" t="str">
        <f>T("")</f>
        <v/>
      </c>
      <c r="L6821" t="str">
        <f>T("7608305501")</f>
        <v>7608305501</v>
      </c>
    </row>
    <row r="6822" spans="1:12" x14ac:dyDescent="0.35">
      <c r="A6822" t="str">
        <f t="shared" si="2603"/>
        <v>MARDIV UNITS</v>
      </c>
      <c r="B6822" t="str">
        <f t="shared" si="2607"/>
        <v>ATTN GCPC APPROVING OFFICIAL</v>
      </c>
      <c r="C6822" t="str">
        <f>T("3RD BN 11TH MARINES BOX 788264")</f>
        <v>3RD BN 11TH MARINES BOX 788264</v>
      </c>
      <c r="D6822" t="str">
        <f>T("TWENTYNIN PLM")</f>
        <v>TWENTYNIN PLM</v>
      </c>
      <c r="E6822" t="str">
        <f t="shared" si="2604"/>
        <v>CA</v>
      </c>
      <c r="F6822" t="str">
        <f>T("922788264")</f>
        <v>922788264</v>
      </c>
      <c r="G6822" t="str">
        <f t="shared" si="2605"/>
        <v>ATTN GCPC APPROVING OFFICIAL</v>
      </c>
      <c r="H6822" t="str">
        <f>T("BOX 48272")</f>
        <v>BOX 48272</v>
      </c>
      <c r="I6822" t="str">
        <f>T("TWENTYNINE PALMS")</f>
        <v>TWENTYNINE PALMS</v>
      </c>
      <c r="J6822" t="str">
        <f t="shared" si="2606"/>
        <v>CA</v>
      </c>
      <c r="K6822" t="str">
        <f t="shared" ref="K6822:K6838" si="2608">T("000000000000000000")</f>
        <v>000000000000000000</v>
      </c>
      <c r="L6822" t="str">
        <f>T("7608305504")</f>
        <v>7608305504</v>
      </c>
    </row>
    <row r="6823" spans="1:12" x14ac:dyDescent="0.35">
      <c r="A6823" t="str">
        <f t="shared" si="2603"/>
        <v>MARDIV UNITS</v>
      </c>
      <c r="B6823" t="str">
        <f t="shared" si="2607"/>
        <v>ATTN GCPC APPROVING OFFICIAL</v>
      </c>
      <c r="C6823" t="str">
        <f>T("BOX 555381")</f>
        <v>BOX 555381</v>
      </c>
      <c r="D6823" t="str">
        <f t="shared" ref="D6823:D6832" si="2609">T("CAMP PENDLETON")</f>
        <v>CAMP PENDLETON</v>
      </c>
      <c r="E6823" t="str">
        <f t="shared" si="2604"/>
        <v>CA</v>
      </c>
      <c r="F6823" t="str">
        <f>T("920555381")</f>
        <v>920555381</v>
      </c>
      <c r="G6823" t="str">
        <f t="shared" si="2605"/>
        <v>ATTN GCPC APPROVING OFFICIAL</v>
      </c>
      <c r="H6823" t="str">
        <f>T("BOX 555381")</f>
        <v>BOX 555381</v>
      </c>
      <c r="I6823" t="str">
        <f t="shared" ref="I6823:I6833" si="2610">T("CAMP PENDLETON")</f>
        <v>CAMP PENDLETON</v>
      </c>
      <c r="J6823" t="str">
        <f t="shared" si="2606"/>
        <v>CA</v>
      </c>
      <c r="K6823" t="str">
        <f t="shared" si="2608"/>
        <v>000000000000000000</v>
      </c>
      <c r="L6823" t="str">
        <f>T("7607258586")</f>
        <v>7607258586</v>
      </c>
    </row>
    <row r="6824" spans="1:12" x14ac:dyDescent="0.35">
      <c r="A6824" t="str">
        <f t="shared" si="2603"/>
        <v>MARDIV UNITS</v>
      </c>
      <c r="B6824" t="str">
        <f t="shared" si="2607"/>
        <v>ATTN GCPC APPROVING OFFICIAL</v>
      </c>
      <c r="C6824" t="str">
        <f>T("BOX 555381")</f>
        <v>BOX 555381</v>
      </c>
      <c r="D6824" t="str">
        <f t="shared" si="2609"/>
        <v>CAMP PENDLETON</v>
      </c>
      <c r="E6824" t="str">
        <f t="shared" si="2604"/>
        <v>CA</v>
      </c>
      <c r="F6824" t="str">
        <f>T("920555381")</f>
        <v>920555381</v>
      </c>
      <c r="G6824" t="str">
        <f t="shared" si="2605"/>
        <v>ATTN GCPC APPROVING OFFICIAL</v>
      </c>
      <c r="H6824" t="str">
        <f>T("BOX 555381")</f>
        <v>BOX 555381</v>
      </c>
      <c r="I6824" t="str">
        <f t="shared" si="2610"/>
        <v>CAMP PENDLETON</v>
      </c>
      <c r="J6824" t="str">
        <f t="shared" si="2606"/>
        <v>CA</v>
      </c>
      <c r="K6824" t="str">
        <f t="shared" si="2608"/>
        <v>000000000000000000</v>
      </c>
      <c r="L6824" t="str">
        <f>T("7607632555")</f>
        <v>7607632555</v>
      </c>
    </row>
    <row r="6825" spans="1:12" x14ac:dyDescent="0.35">
      <c r="A6825" t="str">
        <f t="shared" si="2603"/>
        <v>MARDIV UNITS</v>
      </c>
      <c r="B6825" t="str">
        <f t="shared" si="2607"/>
        <v>ATTN GCPC APPROVING OFFICIAL</v>
      </c>
      <c r="C6825" t="str">
        <f>T("BOX 555381")</f>
        <v>BOX 555381</v>
      </c>
      <c r="D6825" t="str">
        <f t="shared" si="2609"/>
        <v>CAMP PENDLETON</v>
      </c>
      <c r="E6825" t="str">
        <f t="shared" si="2604"/>
        <v>CA</v>
      </c>
      <c r="F6825" t="str">
        <f>T("920555381")</f>
        <v>920555381</v>
      </c>
      <c r="G6825" t="str">
        <f t="shared" si="2605"/>
        <v>ATTN GCPC APPROVING OFFICIAL</v>
      </c>
      <c r="H6825" t="str">
        <f>T("BOX 555381")</f>
        <v>BOX 555381</v>
      </c>
      <c r="I6825" t="str">
        <f t="shared" si="2610"/>
        <v>CAMP PENDLETON</v>
      </c>
      <c r="J6825" t="str">
        <f t="shared" si="2606"/>
        <v>CA</v>
      </c>
      <c r="K6825" t="str">
        <f t="shared" si="2608"/>
        <v>000000000000000000</v>
      </c>
      <c r="L6825" t="str">
        <f>T("7607633865")</f>
        <v>7607633865</v>
      </c>
    </row>
    <row r="6826" spans="1:12" x14ac:dyDescent="0.35">
      <c r="A6826" t="str">
        <f t="shared" si="2603"/>
        <v>MARDIV UNITS</v>
      </c>
      <c r="B6826" t="str">
        <f t="shared" si="2607"/>
        <v>ATTN GCPC APPROVING OFFICIAL</v>
      </c>
      <c r="C6826" t="str">
        <f>T("BOX 555381")</f>
        <v>BOX 555381</v>
      </c>
      <c r="D6826" t="str">
        <f t="shared" si="2609"/>
        <v>CAMP PENDLETON</v>
      </c>
      <c r="E6826" t="str">
        <f t="shared" si="2604"/>
        <v>CA</v>
      </c>
      <c r="F6826" t="str">
        <f>T("920555381")</f>
        <v>920555381</v>
      </c>
      <c r="G6826" t="str">
        <f t="shared" si="2605"/>
        <v>ATTN GCPC APPROVING OFFICIAL</v>
      </c>
      <c r="H6826" t="str">
        <f>T("BOX 555381")</f>
        <v>BOX 555381</v>
      </c>
      <c r="I6826" t="str">
        <f t="shared" si="2610"/>
        <v>CAMP PENDLETON</v>
      </c>
      <c r="J6826" t="str">
        <f t="shared" si="2606"/>
        <v>CA</v>
      </c>
      <c r="K6826" t="str">
        <f t="shared" si="2608"/>
        <v>000000000000000000</v>
      </c>
      <c r="L6826" t="str">
        <f>T("7607633866")</f>
        <v>7607633866</v>
      </c>
    </row>
    <row r="6827" spans="1:12" x14ac:dyDescent="0.35">
      <c r="A6827" t="str">
        <f t="shared" si="2603"/>
        <v>MARDIV UNITS</v>
      </c>
      <c r="B6827" t="str">
        <f t="shared" si="2607"/>
        <v>ATTN GCPC APPROVING OFFICIAL</v>
      </c>
      <c r="C6827" t="str">
        <f>T("BOX 555401")</f>
        <v>BOX 555401</v>
      </c>
      <c r="D6827" t="str">
        <f t="shared" si="2609"/>
        <v>CAMP PENDLETON</v>
      </c>
      <c r="E6827" t="str">
        <f t="shared" si="2604"/>
        <v>CA</v>
      </c>
      <c r="F6827" t="str">
        <f>T("920555401")</f>
        <v>920555401</v>
      </c>
      <c r="G6827" t="str">
        <f t="shared" si="2605"/>
        <v>ATTN GCPC APPROVING OFFICIAL</v>
      </c>
      <c r="H6827" t="str">
        <f>T("BOX 555401")</f>
        <v>BOX 555401</v>
      </c>
      <c r="I6827" t="str">
        <f t="shared" si="2610"/>
        <v>CAMP PENDLETON</v>
      </c>
      <c r="J6827" t="str">
        <f t="shared" si="2606"/>
        <v>CA</v>
      </c>
      <c r="K6827" t="str">
        <f t="shared" si="2608"/>
        <v>000000000000000000</v>
      </c>
      <c r="L6827" t="str">
        <f>T("7607257440")</f>
        <v>7607257440</v>
      </c>
    </row>
    <row r="6828" spans="1:12" x14ac:dyDescent="0.35">
      <c r="A6828" t="str">
        <f t="shared" si="2603"/>
        <v>MARDIV UNITS</v>
      </c>
      <c r="B6828" t="str">
        <f t="shared" si="2607"/>
        <v>ATTN GCPC APPROVING OFFICIAL</v>
      </c>
      <c r="C6828" t="str">
        <f>T("BOX 555401")</f>
        <v>BOX 555401</v>
      </c>
      <c r="D6828" t="str">
        <f t="shared" si="2609"/>
        <v>CAMP PENDLETON</v>
      </c>
      <c r="E6828" t="str">
        <f t="shared" si="2604"/>
        <v>CA</v>
      </c>
      <c r="F6828" t="str">
        <f>T("920555401")</f>
        <v>920555401</v>
      </c>
      <c r="G6828" t="str">
        <f t="shared" si="2605"/>
        <v>ATTN GCPC APPROVING OFFICIAL</v>
      </c>
      <c r="H6828" t="str">
        <f>T("BOX 555442")</f>
        <v>BOX 555442</v>
      </c>
      <c r="I6828" t="str">
        <f t="shared" si="2610"/>
        <v>CAMP PENDLETON</v>
      </c>
      <c r="J6828" t="str">
        <f t="shared" si="2606"/>
        <v>CA</v>
      </c>
      <c r="K6828" t="str">
        <f t="shared" si="2608"/>
        <v>000000000000000000</v>
      </c>
      <c r="L6828" t="str">
        <f>T("7607257440")</f>
        <v>7607257440</v>
      </c>
    </row>
    <row r="6829" spans="1:12" x14ac:dyDescent="0.35">
      <c r="A6829" t="str">
        <f t="shared" si="2603"/>
        <v>MARDIV UNITS</v>
      </c>
      <c r="B6829" t="str">
        <f t="shared" si="2607"/>
        <v>ATTN GCPC APPROVING OFFICIAL</v>
      </c>
      <c r="C6829" t="str">
        <f>T("BOX 555432")</f>
        <v>BOX 555432</v>
      </c>
      <c r="D6829" t="str">
        <f t="shared" si="2609"/>
        <v>CAMP PENDLETON</v>
      </c>
      <c r="E6829" t="str">
        <f t="shared" si="2604"/>
        <v>CA</v>
      </c>
      <c r="F6829" t="str">
        <f>T("920555432")</f>
        <v>920555432</v>
      </c>
      <c r="G6829" t="str">
        <f t="shared" si="2605"/>
        <v>ATTN GCPC APPROVING OFFICIAL</v>
      </c>
      <c r="H6829" t="str">
        <f>T("BOX 555432")</f>
        <v>BOX 555432</v>
      </c>
      <c r="I6829" t="str">
        <f t="shared" si="2610"/>
        <v>CAMP PENDLETON</v>
      </c>
      <c r="J6829" t="str">
        <f t="shared" si="2606"/>
        <v>CA</v>
      </c>
      <c r="K6829" t="str">
        <f t="shared" si="2608"/>
        <v>000000000000000000</v>
      </c>
      <c r="L6829" t="str">
        <f>T("7607631810")</f>
        <v>7607631810</v>
      </c>
    </row>
    <row r="6830" spans="1:12" x14ac:dyDescent="0.35">
      <c r="A6830" t="str">
        <f t="shared" si="2603"/>
        <v>MARDIV UNITS</v>
      </c>
      <c r="B6830" t="str">
        <f t="shared" si="2607"/>
        <v>ATTN GCPC APPROVING OFFICIAL</v>
      </c>
      <c r="C6830" t="str">
        <f>T("BOX 555432")</f>
        <v>BOX 555432</v>
      </c>
      <c r="D6830" t="str">
        <f t="shared" si="2609"/>
        <v>CAMP PENDLETON</v>
      </c>
      <c r="E6830" t="str">
        <f t="shared" si="2604"/>
        <v>CA</v>
      </c>
      <c r="F6830" t="str">
        <f>T("920555432")</f>
        <v>920555432</v>
      </c>
      <c r="G6830" t="str">
        <f t="shared" si="2605"/>
        <v>ATTN GCPC APPROVING OFFICIAL</v>
      </c>
      <c r="H6830" t="str">
        <f>T("BOX 555432")</f>
        <v>BOX 555432</v>
      </c>
      <c r="I6830" t="str">
        <f t="shared" si="2610"/>
        <v>CAMP PENDLETON</v>
      </c>
      <c r="J6830" t="str">
        <f t="shared" si="2606"/>
        <v>CA</v>
      </c>
      <c r="K6830" t="str">
        <f t="shared" si="2608"/>
        <v>000000000000000000</v>
      </c>
      <c r="L6830" t="str">
        <f>T("7607631820")</f>
        <v>7607631820</v>
      </c>
    </row>
    <row r="6831" spans="1:12" x14ac:dyDescent="0.35">
      <c r="A6831" t="str">
        <f t="shared" si="2603"/>
        <v>MARDIV UNITS</v>
      </c>
      <c r="B6831" t="str">
        <f t="shared" si="2607"/>
        <v>ATTN GCPC APPROVING OFFICIAL</v>
      </c>
      <c r="C6831" t="str">
        <f>T("BOX 555432")</f>
        <v>BOX 555432</v>
      </c>
      <c r="D6831" t="str">
        <f t="shared" si="2609"/>
        <v>CAMP PENDLETON</v>
      </c>
      <c r="E6831" t="str">
        <f t="shared" si="2604"/>
        <v>CA</v>
      </c>
      <c r="F6831" t="str">
        <f>T("920555432")</f>
        <v>920555432</v>
      </c>
      <c r="G6831" t="str">
        <f t="shared" si="2605"/>
        <v>ATTN GCPC APPROVING OFFICIAL</v>
      </c>
      <c r="H6831" t="str">
        <f>T("BOX555432")</f>
        <v>BOX555432</v>
      </c>
      <c r="I6831" t="str">
        <f t="shared" si="2610"/>
        <v>CAMP PENDLETON</v>
      </c>
      <c r="J6831" t="str">
        <f t="shared" si="2606"/>
        <v>CA</v>
      </c>
      <c r="K6831" t="str">
        <f t="shared" si="2608"/>
        <v>000000000000000000</v>
      </c>
      <c r="L6831" t="str">
        <f>T("7607631810")</f>
        <v>7607631810</v>
      </c>
    </row>
    <row r="6832" spans="1:12" x14ac:dyDescent="0.35">
      <c r="A6832" t="str">
        <f t="shared" si="2603"/>
        <v>MARDIV UNITS</v>
      </c>
      <c r="B6832" t="str">
        <f t="shared" si="2607"/>
        <v>ATTN GCPC APPROVING OFFICIAL</v>
      </c>
      <c r="C6832" t="str">
        <f>T("BOX 555442")</f>
        <v>BOX 555442</v>
      </c>
      <c r="D6832" t="str">
        <f t="shared" si="2609"/>
        <v>CAMP PENDLETON</v>
      </c>
      <c r="E6832" t="str">
        <f t="shared" si="2604"/>
        <v>CA</v>
      </c>
      <c r="F6832" t="str">
        <f>T("920555442")</f>
        <v>920555442</v>
      </c>
      <c r="G6832" t="str">
        <f t="shared" si="2605"/>
        <v>ATTN GCPC APPROVING OFFICIAL</v>
      </c>
      <c r="H6832" t="str">
        <f>T("BOX 555442")</f>
        <v>BOX 555442</v>
      </c>
      <c r="I6832" t="str">
        <f t="shared" si="2610"/>
        <v>CAMP PENDLETON</v>
      </c>
      <c r="J6832" t="str">
        <f t="shared" si="2606"/>
        <v>CA</v>
      </c>
      <c r="K6832" t="str">
        <f t="shared" si="2608"/>
        <v>000000000000000000</v>
      </c>
      <c r="L6832" t="str">
        <f>T("7602125373")</f>
        <v>7602125373</v>
      </c>
    </row>
    <row r="6833" spans="1:12" x14ac:dyDescent="0.35">
      <c r="A6833" t="str">
        <f t="shared" si="2603"/>
        <v>MARDIV UNITS</v>
      </c>
      <c r="B6833" t="str">
        <f t="shared" si="2607"/>
        <v>ATTN GCPC APPROVING OFFICIAL</v>
      </c>
      <c r="C6833" t="str">
        <f>T("BOX 555463")</f>
        <v>BOX 555463</v>
      </c>
      <c r="D6833" t="str">
        <f>T("CMP PENDLETON")</f>
        <v>CMP PENDLETON</v>
      </c>
      <c r="E6833" t="str">
        <f t="shared" si="2604"/>
        <v>CA</v>
      </c>
      <c r="F6833" t="str">
        <f>T("920555463")</f>
        <v>920555463</v>
      </c>
      <c r="G6833" t="str">
        <f t="shared" si="2605"/>
        <v>ATTN GCPC APPROVING OFFICIAL</v>
      </c>
      <c r="H6833" t="str">
        <f>T("BOX 555463")</f>
        <v>BOX 555463</v>
      </c>
      <c r="I6833" t="str">
        <f t="shared" si="2610"/>
        <v>CAMP PENDLETON</v>
      </c>
      <c r="J6833" t="str">
        <f t="shared" si="2606"/>
        <v>CA</v>
      </c>
      <c r="K6833" t="str">
        <f t="shared" si="2608"/>
        <v>000000000000000000</v>
      </c>
      <c r="L6833" t="str">
        <f>T("7607631519")</f>
        <v>7607631519</v>
      </c>
    </row>
    <row r="6834" spans="1:12" x14ac:dyDescent="0.35">
      <c r="A6834" t="str">
        <f t="shared" si="2603"/>
        <v>MARDIV UNITS</v>
      </c>
      <c r="B6834" t="str">
        <f t="shared" si="2607"/>
        <v>ATTN GCPC APPROVING OFFICIAL</v>
      </c>
      <c r="C6834" t="str">
        <f>T("BOX 555463")</f>
        <v>BOX 555463</v>
      </c>
      <c r="D6834" t="str">
        <f>T("CMP PENDLETON")</f>
        <v>CMP PENDLETON</v>
      </c>
      <c r="E6834" t="str">
        <f t="shared" si="2604"/>
        <v>CA</v>
      </c>
      <c r="F6834" t="str">
        <f>T("920555463")</f>
        <v>920555463</v>
      </c>
      <c r="G6834" t="str">
        <f t="shared" si="2605"/>
        <v>ATTN GCPC APPROVING OFFICIAL</v>
      </c>
      <c r="H6834" t="str">
        <f>T("BOX 555463")</f>
        <v>BOX 555463</v>
      </c>
      <c r="I6834" t="str">
        <f>T("CMP PENDLETON")</f>
        <v>CMP PENDLETON</v>
      </c>
      <c r="J6834" t="str">
        <f t="shared" si="2606"/>
        <v>CA</v>
      </c>
      <c r="K6834" t="str">
        <f t="shared" si="2608"/>
        <v>000000000000000000</v>
      </c>
      <c r="L6834" t="str">
        <f>T("7607631519")</f>
        <v>7607631519</v>
      </c>
    </row>
    <row r="6835" spans="1:12" x14ac:dyDescent="0.35">
      <c r="A6835" t="str">
        <f t="shared" si="2603"/>
        <v>MARDIV UNITS</v>
      </c>
      <c r="B6835" t="str">
        <f t="shared" si="2607"/>
        <v>ATTN GCPC APPROVING OFFICIAL</v>
      </c>
      <c r="C6835" t="str">
        <f>T("BOX 555473")</f>
        <v>BOX 555473</v>
      </c>
      <c r="D6835" t="str">
        <f>T("CAMP PENDLETON")</f>
        <v>CAMP PENDLETON</v>
      </c>
      <c r="E6835" t="str">
        <f t="shared" si="2604"/>
        <v>CA</v>
      </c>
      <c r="F6835" t="str">
        <f>T("920555473")</f>
        <v>920555473</v>
      </c>
      <c r="G6835" t="str">
        <f t="shared" si="2605"/>
        <v>ATTN GCPC APPROVING OFFICIAL</v>
      </c>
      <c r="H6835" t="str">
        <f>T("BOX 555473")</f>
        <v>BOX 555473</v>
      </c>
      <c r="I6835" t="str">
        <f>T("CAMP PENDLETON")</f>
        <v>CAMP PENDLETON</v>
      </c>
      <c r="J6835" t="str">
        <f t="shared" si="2606"/>
        <v>CA</v>
      </c>
      <c r="K6835" t="str">
        <f t="shared" si="2608"/>
        <v>000000000000000000</v>
      </c>
      <c r="L6835" t="str">
        <f>T("7607639757")</f>
        <v>7607639757</v>
      </c>
    </row>
    <row r="6836" spans="1:12" x14ac:dyDescent="0.35">
      <c r="A6836" t="str">
        <f t="shared" si="2603"/>
        <v>MARDIV UNITS</v>
      </c>
      <c r="B6836" t="str">
        <f t="shared" si="2607"/>
        <v>ATTN GCPC APPROVING OFFICIAL</v>
      </c>
      <c r="C6836" t="str">
        <f>T("BOX 555473")</f>
        <v>BOX 555473</v>
      </c>
      <c r="D6836" t="str">
        <f>T("CAMP PENDLETON")</f>
        <v>CAMP PENDLETON</v>
      </c>
      <c r="E6836" t="str">
        <f t="shared" si="2604"/>
        <v>CA</v>
      </c>
      <c r="F6836" t="str">
        <f>T("920555473")</f>
        <v>920555473</v>
      </c>
      <c r="G6836" t="str">
        <f t="shared" si="2605"/>
        <v>ATTN GCPC APPROVING OFFICIAL</v>
      </c>
      <c r="H6836" t="str">
        <f>T("BOX 555473")</f>
        <v>BOX 555473</v>
      </c>
      <c r="I6836" t="str">
        <f>T("CAMP PENDLETON")</f>
        <v>CAMP PENDLETON</v>
      </c>
      <c r="J6836" t="str">
        <f t="shared" si="2606"/>
        <v>CA</v>
      </c>
      <c r="K6836" t="str">
        <f t="shared" si="2608"/>
        <v>000000000000000000</v>
      </c>
      <c r="L6836" t="str">
        <f>T("7607639758")</f>
        <v>7607639758</v>
      </c>
    </row>
    <row r="6837" spans="1:12" x14ac:dyDescent="0.35">
      <c r="A6837" t="str">
        <f t="shared" si="2603"/>
        <v>MARDIV UNITS</v>
      </c>
      <c r="B6837" t="str">
        <f t="shared" si="2607"/>
        <v>ATTN GCPC APPROVING OFFICIAL</v>
      </c>
      <c r="C6837" t="str">
        <f>T("BOX 555483")</f>
        <v>BOX 555483</v>
      </c>
      <c r="D6837" t="str">
        <f>T("CAMP PENDLETON")</f>
        <v>CAMP PENDLETON</v>
      </c>
      <c r="E6837" t="str">
        <f t="shared" si="2604"/>
        <v>CA</v>
      </c>
      <c r="F6837" t="str">
        <f>T("920555483")</f>
        <v>920555483</v>
      </c>
      <c r="G6837" t="str">
        <f t="shared" si="2605"/>
        <v>ATTN GCPC APPROVING OFFICIAL</v>
      </c>
      <c r="H6837" t="str">
        <f>T("BOX 555027")</f>
        <v>BOX 555027</v>
      </c>
      <c r="I6837" t="str">
        <f>T("CAMP PENDLETON")</f>
        <v>CAMP PENDLETON</v>
      </c>
      <c r="J6837" t="str">
        <f t="shared" si="2606"/>
        <v>CA</v>
      </c>
      <c r="K6837" t="str">
        <f t="shared" si="2608"/>
        <v>000000000000000000</v>
      </c>
      <c r="L6837" t="str">
        <f>T("7607258854")</f>
        <v>7607258854</v>
      </c>
    </row>
    <row r="6838" spans="1:12" x14ac:dyDescent="0.35">
      <c r="A6838" t="str">
        <f t="shared" si="2603"/>
        <v>MARDIV UNITS</v>
      </c>
      <c r="B6838" t="str">
        <f t="shared" si="2607"/>
        <v>ATTN GCPC APPROVING OFFICIAL</v>
      </c>
      <c r="C6838" t="str">
        <f>T("BOX 555483")</f>
        <v>BOX 555483</v>
      </c>
      <c r="D6838" t="str">
        <f>T("CAMP PENDLETON")</f>
        <v>CAMP PENDLETON</v>
      </c>
      <c r="E6838" t="str">
        <f t="shared" si="2604"/>
        <v>CA</v>
      </c>
      <c r="F6838" t="str">
        <f>T("920555483")</f>
        <v>920555483</v>
      </c>
      <c r="G6838" t="str">
        <f t="shared" si="2605"/>
        <v>ATTN GCPC APPROVING OFFICIAL</v>
      </c>
      <c r="H6838" t="str">
        <f>T("BOX 555438")</f>
        <v>BOX 555438</v>
      </c>
      <c r="I6838" t="str">
        <f>T("CAMP PENDLETON")</f>
        <v>CAMP PENDLETON</v>
      </c>
      <c r="J6838" t="str">
        <f t="shared" si="2606"/>
        <v>CA</v>
      </c>
      <c r="K6838" t="str">
        <f t="shared" si="2608"/>
        <v>000000000000000000</v>
      </c>
      <c r="L6838" t="str">
        <f>T("7607258854")</f>
        <v>7607258854</v>
      </c>
    </row>
    <row r="6839" spans="1:12" x14ac:dyDescent="0.35">
      <c r="A6839" t="str">
        <f t="shared" si="2603"/>
        <v>MARDIV UNITS</v>
      </c>
      <c r="B6839" t="str">
        <f t="shared" si="2607"/>
        <v>ATTN GCPC APPROVING OFFICIAL</v>
      </c>
      <c r="C6839" t="str">
        <f>T("BOX 555483")</f>
        <v>BOX 555483</v>
      </c>
      <c r="D6839" t="str">
        <f>T("CAMP PENDLETON")</f>
        <v>CAMP PENDLETON</v>
      </c>
      <c r="E6839" t="str">
        <f t="shared" si="2604"/>
        <v>CA</v>
      </c>
      <c r="F6839" t="str">
        <f>T("920555483")</f>
        <v>920555483</v>
      </c>
      <c r="G6839" t="str">
        <f t="shared" si="2605"/>
        <v>ATTN GCPC APPROVING OFFICIAL</v>
      </c>
      <c r="H6839" t="str">
        <f>T("BOX 555483")</f>
        <v>BOX 555483</v>
      </c>
      <c r="I6839" t="str">
        <f>T("CAMP PENDLETON")</f>
        <v>CAMP PENDLETON</v>
      </c>
      <c r="J6839" t="str">
        <f t="shared" si="2606"/>
        <v>CA</v>
      </c>
      <c r="K6839" t="str">
        <f>T("")</f>
        <v/>
      </c>
      <c r="L6839" t="str">
        <f>T("7604086844")</f>
        <v>7604086844</v>
      </c>
    </row>
    <row r="6840" spans="1:12" x14ac:dyDescent="0.35">
      <c r="A6840" t="str">
        <f t="shared" si="2603"/>
        <v>MARDIV UNITS</v>
      </c>
      <c r="B6840" t="str">
        <f t="shared" si="2607"/>
        <v>ATTN GCPC APPROVING OFFICIAL</v>
      </c>
      <c r="C6840" t="str">
        <f>T("BOX 555493")</f>
        <v>BOX 555493</v>
      </c>
      <c r="D6840" t="str">
        <f>T("CMP PENDLETON")</f>
        <v>CMP PENDLETON</v>
      </c>
      <c r="E6840" t="str">
        <f t="shared" si="2604"/>
        <v>CA</v>
      </c>
      <c r="F6840" t="str">
        <f>T("920555493")</f>
        <v>920555493</v>
      </c>
      <c r="G6840" t="str">
        <f t="shared" si="2605"/>
        <v>ATTN GCPC APPROVING OFFICIAL</v>
      </c>
      <c r="H6840" t="str">
        <f>T("BOX 555493")</f>
        <v>BOX 555493</v>
      </c>
      <c r="I6840" t="str">
        <f>T("CMP PENDLETON")</f>
        <v>CMP PENDLETON</v>
      </c>
      <c r="J6840" t="str">
        <f t="shared" si="2606"/>
        <v>CA</v>
      </c>
      <c r="K6840" t="str">
        <f>T("")</f>
        <v/>
      </c>
      <c r="L6840" t="str">
        <f>T("7604682890")</f>
        <v>7604682890</v>
      </c>
    </row>
    <row r="6841" spans="1:12" x14ac:dyDescent="0.35">
      <c r="A6841" t="str">
        <f t="shared" si="2603"/>
        <v>MARDIV UNITS</v>
      </c>
      <c r="B6841" t="str">
        <f t="shared" si="2607"/>
        <v>ATTN GCPC APPROVING OFFICIAL</v>
      </c>
      <c r="C6841" t="str">
        <f>T("BOX 555504")</f>
        <v>BOX 555504</v>
      </c>
      <c r="D6841" t="str">
        <f>T("CAMP PENDLETON")</f>
        <v>CAMP PENDLETON</v>
      </c>
      <c r="E6841" t="str">
        <f t="shared" si="2604"/>
        <v>CA</v>
      </c>
      <c r="F6841" t="str">
        <f>T("920555504")</f>
        <v>920555504</v>
      </c>
      <c r="G6841" t="str">
        <f t="shared" si="2605"/>
        <v>ATTN GCPC APPROVING OFFICIAL</v>
      </c>
      <c r="H6841" t="str">
        <f>T("BOX 555504")</f>
        <v>BOX 555504</v>
      </c>
      <c r="I6841" t="str">
        <f>T("CAMP PENDLETON")</f>
        <v>CAMP PENDLETON</v>
      </c>
      <c r="J6841" t="str">
        <f t="shared" si="2606"/>
        <v>CA</v>
      </c>
      <c r="K6841" t="str">
        <f>T("")</f>
        <v/>
      </c>
      <c r="L6841" t="str">
        <f>T("7607253535")</f>
        <v>7607253535</v>
      </c>
    </row>
    <row r="6842" spans="1:12" x14ac:dyDescent="0.35">
      <c r="A6842" t="str">
        <f t="shared" si="2603"/>
        <v>MARDIV UNITS</v>
      </c>
      <c r="B6842" t="str">
        <f t="shared" si="2607"/>
        <v>ATTN GCPC APPROVING OFFICIAL</v>
      </c>
      <c r="C6842" t="str">
        <f>T("BOX 555504")</f>
        <v>BOX 555504</v>
      </c>
      <c r="D6842" t="str">
        <f>T("CAMP PENDLETON")</f>
        <v>CAMP PENDLETON</v>
      </c>
      <c r="E6842" t="str">
        <f t="shared" si="2604"/>
        <v>CA</v>
      </c>
      <c r="F6842" t="str">
        <f>T("920555504")</f>
        <v>920555504</v>
      </c>
      <c r="G6842" t="str">
        <f t="shared" si="2605"/>
        <v>ATTN GCPC APPROVING OFFICIAL</v>
      </c>
      <c r="H6842" t="str">
        <f>T("BOX 555504")</f>
        <v>BOX 555504</v>
      </c>
      <c r="I6842" t="str">
        <f>T("CAMP PENDLETON")</f>
        <v>CAMP PENDLETON</v>
      </c>
      <c r="J6842" t="str">
        <f t="shared" si="2606"/>
        <v>CA</v>
      </c>
      <c r="K6842" t="str">
        <f>T("000000000000000000")</f>
        <v>000000000000000000</v>
      </c>
      <c r="L6842" t="str">
        <f>T("7607253535")</f>
        <v>7607253535</v>
      </c>
    </row>
    <row r="6843" spans="1:12" x14ac:dyDescent="0.35">
      <c r="A6843" t="str">
        <f t="shared" si="2603"/>
        <v>MARDIV UNITS</v>
      </c>
      <c r="B6843" t="str">
        <f t="shared" si="2607"/>
        <v>ATTN GCPC APPROVING OFFICIAL</v>
      </c>
      <c r="C6843" t="str">
        <f>T("BOX 555504")</f>
        <v>BOX 555504</v>
      </c>
      <c r="D6843" t="str">
        <f>T("CAMP PENDLETON")</f>
        <v>CAMP PENDLETON</v>
      </c>
      <c r="E6843" t="str">
        <f t="shared" si="2604"/>
        <v>CA</v>
      </c>
      <c r="F6843" t="str">
        <f>T("920555504")</f>
        <v>920555504</v>
      </c>
      <c r="G6843" t="str">
        <f>T("HQ BAT 11TH MARINES")</f>
        <v>HQ BAT 11TH MARINES</v>
      </c>
      <c r="H6843" t="str">
        <f>T("BLD 43502")</f>
        <v>BLD 43502</v>
      </c>
      <c r="I6843" t="str">
        <f>T("CAMP PENDLETON")</f>
        <v>CAMP PENDLETON</v>
      </c>
      <c r="J6843" t="str">
        <f t="shared" si="2606"/>
        <v>CA</v>
      </c>
      <c r="K6843" t="str">
        <f>T("000000000000000000")</f>
        <v>000000000000000000</v>
      </c>
      <c r="L6843" t="str">
        <f>T("7607253535")</f>
        <v>7607253535</v>
      </c>
    </row>
    <row r="6844" spans="1:12" x14ac:dyDescent="0.35">
      <c r="A6844" t="str">
        <f t="shared" si="2603"/>
        <v>MARDIV UNITS</v>
      </c>
      <c r="B6844" t="str">
        <f t="shared" si="2607"/>
        <v>ATTN GCPC APPROVING OFFICIAL</v>
      </c>
      <c r="C6844" t="str">
        <f>T("BOX 555514")</f>
        <v>BOX 555514</v>
      </c>
      <c r="D6844" t="str">
        <f>T("CMP PENDLETON")</f>
        <v>CMP PENDLETON</v>
      </c>
      <c r="E6844" t="str">
        <f t="shared" si="2604"/>
        <v>CA</v>
      </c>
      <c r="F6844" t="str">
        <f>T("920555514")</f>
        <v>920555514</v>
      </c>
      <c r="G6844" t="str">
        <f t="shared" ref="G6844:G6863" si="2611">T("ATTN GCPC APPROVING OFFICIAL")</f>
        <v>ATTN GCPC APPROVING OFFICIAL</v>
      </c>
      <c r="H6844" t="str">
        <f>T("BOX 555514")</f>
        <v>BOX 555514</v>
      </c>
      <c r="I6844" t="str">
        <f>T("CAMP PENDLETON")</f>
        <v>CAMP PENDLETON</v>
      </c>
      <c r="J6844" t="str">
        <f t="shared" si="2606"/>
        <v>CA</v>
      </c>
      <c r="K6844" t="str">
        <f>T("000000000000000000")</f>
        <v>000000000000000000</v>
      </c>
      <c r="L6844" t="str">
        <f>T("7607251925")</f>
        <v>7607251925</v>
      </c>
    </row>
    <row r="6845" spans="1:12" x14ac:dyDescent="0.35">
      <c r="A6845" t="str">
        <f t="shared" si="2603"/>
        <v>MARDIV UNITS</v>
      </c>
      <c r="B6845" t="str">
        <f t="shared" si="2607"/>
        <v>ATTN GCPC APPROVING OFFICIAL</v>
      </c>
      <c r="C6845" t="str">
        <f>T("BOX 555514")</f>
        <v>BOX 555514</v>
      </c>
      <c r="D6845" t="str">
        <f>T("CMP PENDLETON")</f>
        <v>CMP PENDLETON</v>
      </c>
      <c r="E6845" t="str">
        <f t="shared" si="2604"/>
        <v>CA</v>
      </c>
      <c r="F6845" t="str">
        <f>T("920555514")</f>
        <v>920555514</v>
      </c>
      <c r="G6845" t="str">
        <f t="shared" si="2611"/>
        <v>ATTN GCPC APPROVING OFFICIAL</v>
      </c>
      <c r="H6845" t="str">
        <f>T("BOX 555514")</f>
        <v>BOX 555514</v>
      </c>
      <c r="I6845" t="str">
        <f>T("CMP PENDLETON")</f>
        <v>CMP PENDLETON</v>
      </c>
      <c r="J6845" t="str">
        <f t="shared" si="2606"/>
        <v>CA</v>
      </c>
      <c r="K6845" t="str">
        <f>T("7607253783")</f>
        <v>7607253783</v>
      </c>
      <c r="L6845" t="str">
        <f>T("7607251925")</f>
        <v>7607251925</v>
      </c>
    </row>
    <row r="6846" spans="1:12" x14ac:dyDescent="0.35">
      <c r="A6846" t="str">
        <f t="shared" si="2603"/>
        <v>MARDIV UNITS</v>
      </c>
      <c r="B6846" t="str">
        <f t="shared" si="2607"/>
        <v>ATTN GCPC APPROVING OFFICIAL</v>
      </c>
      <c r="C6846" t="str">
        <f>T("BOX 555524")</f>
        <v>BOX 555524</v>
      </c>
      <c r="D6846" t="str">
        <f>T("CMP PENDLETON")</f>
        <v>CMP PENDLETON</v>
      </c>
      <c r="E6846" t="str">
        <f t="shared" si="2604"/>
        <v>CA</v>
      </c>
      <c r="F6846" t="str">
        <f>T("920555524")</f>
        <v>920555524</v>
      </c>
      <c r="G6846" t="str">
        <f t="shared" si="2611"/>
        <v>ATTN GCPC APPROVING OFFICIAL</v>
      </c>
      <c r="H6846" t="str">
        <f>T("BOX 555524")</f>
        <v>BOX 555524</v>
      </c>
      <c r="I6846" t="str">
        <f>T("CAMP PENDLETON")</f>
        <v>CAMP PENDLETON</v>
      </c>
      <c r="J6846" t="str">
        <f t="shared" si="2606"/>
        <v>CA</v>
      </c>
      <c r="K6846" t="str">
        <f>T("000000000000000000")</f>
        <v>000000000000000000</v>
      </c>
      <c r="L6846" t="str">
        <f>T("7607254266")</f>
        <v>7607254266</v>
      </c>
    </row>
    <row r="6847" spans="1:12" x14ac:dyDescent="0.35">
      <c r="A6847" t="str">
        <f t="shared" si="2603"/>
        <v>MARDIV UNITS</v>
      </c>
      <c r="B6847" t="str">
        <f t="shared" si="2607"/>
        <v>ATTN GCPC APPROVING OFFICIAL</v>
      </c>
      <c r="C6847" t="str">
        <f>T("BOX 555524")</f>
        <v>BOX 555524</v>
      </c>
      <c r="D6847" t="str">
        <f>T("CMP PENDLETON")</f>
        <v>CMP PENDLETON</v>
      </c>
      <c r="E6847" t="str">
        <f t="shared" si="2604"/>
        <v>CA</v>
      </c>
      <c r="F6847" t="str">
        <f>T("920555524")</f>
        <v>920555524</v>
      </c>
      <c r="G6847" t="str">
        <f t="shared" si="2611"/>
        <v>ATTN GCPC APPROVING OFFICIAL</v>
      </c>
      <c r="H6847" t="str">
        <f>T("BOX 555524")</f>
        <v>BOX 555524</v>
      </c>
      <c r="I6847" t="str">
        <f>T("CMP PENDLETON")</f>
        <v>CMP PENDLETON</v>
      </c>
      <c r="J6847" t="str">
        <f t="shared" si="2606"/>
        <v>CA</v>
      </c>
      <c r="K6847" t="str">
        <f>T("7607253244")</f>
        <v>7607253244</v>
      </c>
      <c r="L6847" t="str">
        <f>T("7607254266")</f>
        <v>7607254266</v>
      </c>
    </row>
    <row r="6848" spans="1:12" x14ac:dyDescent="0.35">
      <c r="A6848" t="str">
        <f t="shared" si="2603"/>
        <v>MARDIV UNITS</v>
      </c>
      <c r="B6848" t="str">
        <f t="shared" si="2607"/>
        <v>ATTN GCPC APPROVING OFFICIAL</v>
      </c>
      <c r="C6848" t="str">
        <f>T("BOX 555534")</f>
        <v>BOX 555534</v>
      </c>
      <c r="D6848" t="str">
        <f>T("CAMP PENDLETON")</f>
        <v>CAMP PENDLETON</v>
      </c>
      <c r="E6848" t="str">
        <f t="shared" si="2604"/>
        <v>CA</v>
      </c>
      <c r="F6848" t="str">
        <f>T("920555534")</f>
        <v>920555534</v>
      </c>
      <c r="G6848" t="str">
        <f t="shared" si="2611"/>
        <v>ATTN GCPC APPROVING OFFICIAL</v>
      </c>
      <c r="H6848" t="str">
        <f>T("BOX 555027")</f>
        <v>BOX 555027</v>
      </c>
      <c r="I6848" t="str">
        <f t="shared" ref="I6848:I6853" si="2612">T("CAMP PENDLETON")</f>
        <v>CAMP PENDLETON</v>
      </c>
      <c r="J6848" t="str">
        <f t="shared" si="2606"/>
        <v>CA</v>
      </c>
      <c r="K6848" t="str">
        <f>T("000000000000000000")</f>
        <v>000000000000000000</v>
      </c>
      <c r="L6848" t="str">
        <f>T("7607252182")</f>
        <v>7607252182</v>
      </c>
    </row>
    <row r="6849" spans="1:12" x14ac:dyDescent="0.35">
      <c r="A6849" t="str">
        <f t="shared" ref="A6849:A6876" si="2613">T("MARDIV UNITS")</f>
        <v>MARDIV UNITS</v>
      </c>
      <c r="B6849" t="str">
        <f t="shared" si="2607"/>
        <v>ATTN GCPC APPROVING OFFICIAL</v>
      </c>
      <c r="C6849" t="str">
        <f>T("BOX 555534")</f>
        <v>BOX 555534</v>
      </c>
      <c r="D6849" t="str">
        <f>T("CAMP PENDLETON")</f>
        <v>CAMP PENDLETON</v>
      </c>
      <c r="E6849" t="str">
        <f t="shared" si="2604"/>
        <v>CA</v>
      </c>
      <c r="F6849" t="str">
        <f>T("920555534")</f>
        <v>920555534</v>
      </c>
      <c r="G6849" t="str">
        <f t="shared" si="2611"/>
        <v>ATTN GCPC APPROVING OFFICIAL</v>
      </c>
      <c r="H6849" t="str">
        <f>T("BOX 555534")</f>
        <v>BOX 555534</v>
      </c>
      <c r="I6849" t="str">
        <f t="shared" si="2612"/>
        <v>CAMP PENDLETON</v>
      </c>
      <c r="J6849" t="str">
        <f t="shared" si="2606"/>
        <v>CA</v>
      </c>
      <c r="K6849" t="str">
        <f>T("000000000000000000")</f>
        <v>000000000000000000</v>
      </c>
      <c r="L6849" t="str">
        <f>T("7607252182")</f>
        <v>7607252182</v>
      </c>
    </row>
    <row r="6850" spans="1:12" x14ac:dyDescent="0.35">
      <c r="A6850" t="str">
        <f t="shared" si="2613"/>
        <v>MARDIV UNITS</v>
      </c>
      <c r="B6850" t="str">
        <f t="shared" si="2607"/>
        <v>ATTN GCPC APPROVING OFFICIAL</v>
      </c>
      <c r="C6850" t="str">
        <f>T("BOX 555534")</f>
        <v>BOX 555534</v>
      </c>
      <c r="D6850" t="str">
        <f>T("CAMP PENDLETON")</f>
        <v>CAMP PENDLETON</v>
      </c>
      <c r="E6850" t="str">
        <f t="shared" si="2604"/>
        <v>CA</v>
      </c>
      <c r="F6850" t="str">
        <f>T("920555534")</f>
        <v>920555534</v>
      </c>
      <c r="G6850" t="str">
        <f t="shared" si="2611"/>
        <v>ATTN GCPC APPROVING OFFICIAL</v>
      </c>
      <c r="H6850" t="str">
        <f>T("BOX 555534")</f>
        <v>BOX 555534</v>
      </c>
      <c r="I6850" t="str">
        <f t="shared" si="2612"/>
        <v>CAMP PENDLETON</v>
      </c>
      <c r="J6850" t="str">
        <f t="shared" si="2606"/>
        <v>CA</v>
      </c>
      <c r="K6850" t="str">
        <f>T("760 763 0281")</f>
        <v>760 763 0281</v>
      </c>
      <c r="L6850" t="str">
        <f>T("7607630276")</f>
        <v>7607630276</v>
      </c>
    </row>
    <row r="6851" spans="1:12" x14ac:dyDescent="0.35">
      <c r="A6851" t="str">
        <f t="shared" si="2613"/>
        <v>MARDIV UNITS</v>
      </c>
      <c r="B6851" t="str">
        <f t="shared" si="2607"/>
        <v>ATTN GCPC APPROVING OFFICIAL</v>
      </c>
      <c r="C6851" t="str">
        <f>T("BOX 555554")</f>
        <v>BOX 555554</v>
      </c>
      <c r="D6851" t="str">
        <f>T("CAMP PENDLETON")</f>
        <v>CAMP PENDLETON</v>
      </c>
      <c r="E6851" t="str">
        <f t="shared" ref="E6851:E6882" si="2614">T("CA")</f>
        <v>CA</v>
      </c>
      <c r="F6851" t="str">
        <f>T("920555554")</f>
        <v>920555554</v>
      </c>
      <c r="G6851" t="str">
        <f t="shared" si="2611"/>
        <v>ATTN GCPC APPROVING OFFICIAL</v>
      </c>
      <c r="H6851" t="str">
        <f>T("BOX 555554")</f>
        <v>BOX 555554</v>
      </c>
      <c r="I6851" t="str">
        <f t="shared" si="2612"/>
        <v>CAMP PENDLETON</v>
      </c>
      <c r="J6851" t="str">
        <f t="shared" ref="J6851:J6877" si="2615">T("CA")</f>
        <v>CA</v>
      </c>
      <c r="K6851" t="str">
        <f>T("")</f>
        <v/>
      </c>
      <c r="L6851" t="str">
        <f>T("9492322342")</f>
        <v>9492322342</v>
      </c>
    </row>
    <row r="6852" spans="1:12" x14ac:dyDescent="0.35">
      <c r="A6852" t="str">
        <f t="shared" si="2613"/>
        <v>MARDIV UNITS</v>
      </c>
      <c r="B6852" t="str">
        <f t="shared" si="2607"/>
        <v>ATTN GCPC APPROVING OFFICIAL</v>
      </c>
      <c r="C6852" t="str">
        <f>T("BOX 555554")</f>
        <v>BOX 555554</v>
      </c>
      <c r="D6852" t="str">
        <f>T("CAMP PENDLETON")</f>
        <v>CAMP PENDLETON</v>
      </c>
      <c r="E6852" t="str">
        <f t="shared" si="2614"/>
        <v>CA</v>
      </c>
      <c r="F6852" t="str">
        <f>T("920555554")</f>
        <v>920555554</v>
      </c>
      <c r="G6852" t="str">
        <f t="shared" si="2611"/>
        <v>ATTN GCPC APPROVING OFFICIAL</v>
      </c>
      <c r="H6852" t="str">
        <f>T("BOX 555554")</f>
        <v>BOX 555554</v>
      </c>
      <c r="I6852" t="str">
        <f t="shared" si="2612"/>
        <v>CAMP PENDLETON</v>
      </c>
      <c r="J6852" t="str">
        <f t="shared" si="2615"/>
        <v>CA</v>
      </c>
      <c r="K6852" t="str">
        <f>T("000000000000000000")</f>
        <v>000000000000000000</v>
      </c>
      <c r="L6852" t="str">
        <f>T("7607257731")</f>
        <v>7607257731</v>
      </c>
    </row>
    <row r="6853" spans="1:12" x14ac:dyDescent="0.35">
      <c r="A6853" t="str">
        <f t="shared" si="2613"/>
        <v>MARDIV UNITS</v>
      </c>
      <c r="B6853" t="str">
        <f t="shared" ref="B6853:B6884" si="2616">T("ATTN GCPC APPROVING OFFICIAL")</f>
        <v>ATTN GCPC APPROVING OFFICIAL</v>
      </c>
      <c r="C6853" t="str">
        <f>T("BOX 555564")</f>
        <v>BOX 555564</v>
      </c>
      <c r="D6853" t="str">
        <f>T("CMP PENDLETON")</f>
        <v>CMP PENDLETON</v>
      </c>
      <c r="E6853" t="str">
        <f t="shared" si="2614"/>
        <v>CA</v>
      </c>
      <c r="F6853" t="str">
        <f>T("920555564")</f>
        <v>920555564</v>
      </c>
      <c r="G6853" t="str">
        <f t="shared" si="2611"/>
        <v>ATTN GCPC APPROVING OFFICIAL</v>
      </c>
      <c r="H6853" t="str">
        <f>T("BOX 555564")</f>
        <v>BOX 555564</v>
      </c>
      <c r="I6853" t="str">
        <f t="shared" si="2612"/>
        <v>CAMP PENDLETON</v>
      </c>
      <c r="J6853" t="str">
        <f t="shared" si="2615"/>
        <v>CA</v>
      </c>
      <c r="K6853" t="str">
        <f>T("000000000000000000")</f>
        <v>000000000000000000</v>
      </c>
      <c r="L6853" t="str">
        <f>T("3217041576")</f>
        <v>3217041576</v>
      </c>
    </row>
    <row r="6854" spans="1:12" x14ac:dyDescent="0.35">
      <c r="A6854" t="str">
        <f t="shared" si="2613"/>
        <v>MARDIV UNITS</v>
      </c>
      <c r="B6854" t="str">
        <f t="shared" si="2616"/>
        <v>ATTN GCPC APPROVING OFFICIAL</v>
      </c>
      <c r="C6854" t="str">
        <f>T("BOX 555564")</f>
        <v>BOX 555564</v>
      </c>
      <c r="D6854" t="str">
        <f>T("CMP PENDLETON")</f>
        <v>CMP PENDLETON</v>
      </c>
      <c r="E6854" t="str">
        <f t="shared" si="2614"/>
        <v>CA</v>
      </c>
      <c r="F6854" t="str">
        <f>T("920555564")</f>
        <v>920555564</v>
      </c>
      <c r="G6854" t="str">
        <f t="shared" si="2611"/>
        <v>ATTN GCPC APPROVING OFFICIAL</v>
      </c>
      <c r="H6854" t="str">
        <f>T("BOX 555564")</f>
        <v>BOX 555564</v>
      </c>
      <c r="I6854" t="str">
        <f>T("CMP PENDLETON")</f>
        <v>CMP PENDLETON</v>
      </c>
      <c r="J6854" t="str">
        <f t="shared" si="2615"/>
        <v>CA</v>
      </c>
      <c r="K6854" t="str">
        <f>T("000000000000000000")</f>
        <v>000000000000000000</v>
      </c>
      <c r="L6854" t="str">
        <f>T("7607252433")</f>
        <v>7607252433</v>
      </c>
    </row>
    <row r="6855" spans="1:12" x14ac:dyDescent="0.35">
      <c r="A6855" t="str">
        <f t="shared" si="2613"/>
        <v>MARDIV UNITS</v>
      </c>
      <c r="B6855" t="str">
        <f t="shared" si="2616"/>
        <v>ATTN GCPC APPROVING OFFICIAL</v>
      </c>
      <c r="C6855" t="str">
        <f>T("BOX 555574")</f>
        <v>BOX 555574</v>
      </c>
      <c r="D6855" t="str">
        <f>T("CMP PENDLETON")</f>
        <v>CMP PENDLETON</v>
      </c>
      <c r="E6855" t="str">
        <f t="shared" si="2614"/>
        <v>CA</v>
      </c>
      <c r="F6855" t="str">
        <f>T("920555574")</f>
        <v>920555574</v>
      </c>
      <c r="G6855" t="str">
        <f t="shared" si="2611"/>
        <v>ATTN GCPC APPROVING OFFICIAL</v>
      </c>
      <c r="H6855" t="str">
        <f>T("BOX 555574")</f>
        <v>BOX 555574</v>
      </c>
      <c r="I6855" t="str">
        <f>T("CAMP PENDLETON")</f>
        <v>CAMP PENDLETON</v>
      </c>
      <c r="J6855" t="str">
        <f t="shared" si="2615"/>
        <v>CA</v>
      </c>
      <c r="K6855" t="str">
        <f>T("000000000000000000")</f>
        <v>000000000000000000</v>
      </c>
      <c r="L6855" t="str">
        <f>T("7607252810")</f>
        <v>7607252810</v>
      </c>
    </row>
    <row r="6856" spans="1:12" x14ac:dyDescent="0.35">
      <c r="A6856" t="str">
        <f t="shared" si="2613"/>
        <v>MARDIV UNITS</v>
      </c>
      <c r="B6856" t="str">
        <f t="shared" si="2616"/>
        <v>ATTN GCPC APPROVING OFFICIAL</v>
      </c>
      <c r="C6856" t="str">
        <f>T("BOX 555574")</f>
        <v>BOX 555574</v>
      </c>
      <c r="D6856" t="str">
        <f>T("CMP PENDLETON")</f>
        <v>CMP PENDLETON</v>
      </c>
      <c r="E6856" t="str">
        <f t="shared" si="2614"/>
        <v>CA</v>
      </c>
      <c r="F6856" t="str">
        <f>T("920555574")</f>
        <v>920555574</v>
      </c>
      <c r="G6856" t="str">
        <f t="shared" si="2611"/>
        <v>ATTN GCPC APPROVING OFFICIAL</v>
      </c>
      <c r="H6856" t="str">
        <f>T("BOX 555574")</f>
        <v>BOX 555574</v>
      </c>
      <c r="I6856" t="str">
        <f>T("CMP PENDLETON")</f>
        <v>CMP PENDLETON</v>
      </c>
      <c r="J6856" t="str">
        <f t="shared" si="2615"/>
        <v>CA</v>
      </c>
      <c r="K6856" t="str">
        <f>T("")</f>
        <v/>
      </c>
      <c r="L6856" t="str">
        <f>T("7607252574")</f>
        <v>7607252574</v>
      </c>
    </row>
    <row r="6857" spans="1:12" x14ac:dyDescent="0.35">
      <c r="A6857" t="str">
        <f t="shared" si="2613"/>
        <v>MARDIV UNITS</v>
      </c>
      <c r="B6857" t="str">
        <f t="shared" si="2616"/>
        <v>ATTN GCPC APPROVING OFFICIAL</v>
      </c>
      <c r="C6857" t="str">
        <f>T("BOX 555584")</f>
        <v>BOX 555584</v>
      </c>
      <c r="D6857" t="str">
        <f>T("CAMP PENDLETON")</f>
        <v>CAMP PENDLETON</v>
      </c>
      <c r="E6857" t="str">
        <f t="shared" si="2614"/>
        <v>CA</v>
      </c>
      <c r="F6857" t="str">
        <f>T("920555584")</f>
        <v>920555584</v>
      </c>
      <c r="G6857" t="str">
        <f t="shared" si="2611"/>
        <v>ATTN GCPC APPROVING OFFICIAL</v>
      </c>
      <c r="H6857" t="str">
        <f>T("BOX 555584")</f>
        <v>BOX 555584</v>
      </c>
      <c r="I6857" t="str">
        <f>T("CAMP PENDLETON")</f>
        <v>CAMP PENDLETON</v>
      </c>
      <c r="J6857" t="str">
        <f t="shared" si="2615"/>
        <v>CA</v>
      </c>
      <c r="K6857" t="str">
        <f>T("000000000000000000")</f>
        <v>000000000000000000</v>
      </c>
      <c r="L6857" t="str">
        <f>T("7607258743")</f>
        <v>7607258743</v>
      </c>
    </row>
    <row r="6858" spans="1:12" x14ac:dyDescent="0.35">
      <c r="A6858" t="str">
        <f t="shared" si="2613"/>
        <v>MARDIV UNITS</v>
      </c>
      <c r="B6858" t="str">
        <f t="shared" si="2616"/>
        <v>ATTN GCPC APPROVING OFFICIAL</v>
      </c>
      <c r="C6858" t="str">
        <f>T("BOX 555584")</f>
        <v>BOX 555584</v>
      </c>
      <c r="D6858" t="str">
        <f>T("CAMP PENDLETON")</f>
        <v>CAMP PENDLETON</v>
      </c>
      <c r="E6858" t="str">
        <f t="shared" si="2614"/>
        <v>CA</v>
      </c>
      <c r="F6858" t="str">
        <f>T("920555584")</f>
        <v>920555584</v>
      </c>
      <c r="G6858" t="str">
        <f t="shared" si="2611"/>
        <v>ATTN GCPC APPROVING OFFICIAL</v>
      </c>
      <c r="H6858" t="str">
        <f>T("BOX 555584")</f>
        <v>BOX 555584</v>
      </c>
      <c r="I6858" t="str">
        <f>T("CAMP PENDLETON")</f>
        <v>CAMP PENDLETON</v>
      </c>
      <c r="J6858" t="str">
        <f t="shared" si="2615"/>
        <v>CA</v>
      </c>
      <c r="K6858" t="str">
        <f>T("000000000000000000")</f>
        <v>000000000000000000</v>
      </c>
      <c r="L6858" t="str">
        <f>T("7607635643")</f>
        <v>7607635643</v>
      </c>
    </row>
    <row r="6859" spans="1:12" x14ac:dyDescent="0.35">
      <c r="A6859" t="str">
        <f t="shared" si="2613"/>
        <v>MARDIV UNITS</v>
      </c>
      <c r="B6859" t="str">
        <f t="shared" si="2616"/>
        <v>ATTN GCPC APPROVING OFFICIAL</v>
      </c>
      <c r="C6859" t="str">
        <f>T("BOX 788261")</f>
        <v>BOX 788261</v>
      </c>
      <c r="D6859" t="str">
        <f t="shared" ref="D6859:D6871" si="2617">T("TWENTYNINE PALMS")</f>
        <v>TWENTYNINE PALMS</v>
      </c>
      <c r="E6859" t="str">
        <f t="shared" si="2614"/>
        <v>CA</v>
      </c>
      <c r="F6859" t="str">
        <f>T("922788261")</f>
        <v>922788261</v>
      </c>
      <c r="G6859" t="str">
        <f t="shared" si="2611"/>
        <v>ATTN GCPC APPROVING OFFICIAL</v>
      </c>
      <c r="H6859" t="str">
        <f>T("BOX 788261")</f>
        <v>BOX 788261</v>
      </c>
      <c r="I6859" t="str">
        <f t="shared" ref="I6859:I6871" si="2618">T("TWENTYNINE PALMS")</f>
        <v>TWENTYNINE PALMS</v>
      </c>
      <c r="J6859" t="str">
        <f t="shared" si="2615"/>
        <v>CA</v>
      </c>
      <c r="K6859" t="str">
        <f>T("")</f>
        <v/>
      </c>
      <c r="L6859" t="str">
        <f>T("7608304471")</f>
        <v>7608304471</v>
      </c>
    </row>
    <row r="6860" spans="1:12" x14ac:dyDescent="0.35">
      <c r="A6860" t="str">
        <f t="shared" si="2613"/>
        <v>MARDIV UNITS</v>
      </c>
      <c r="B6860" t="str">
        <f t="shared" si="2616"/>
        <v>ATTN GCPC APPROVING OFFICIAL</v>
      </c>
      <c r="C6860" t="str">
        <f>T("BOX 788261")</f>
        <v>BOX 788261</v>
      </c>
      <c r="D6860" t="str">
        <f t="shared" si="2617"/>
        <v>TWENTYNINE PALMS</v>
      </c>
      <c r="E6860" t="str">
        <f t="shared" si="2614"/>
        <v>CA</v>
      </c>
      <c r="F6860" t="str">
        <f>T("922788261")</f>
        <v>922788261</v>
      </c>
      <c r="G6860" t="str">
        <f t="shared" si="2611"/>
        <v>ATTN GCPC APPROVING OFFICIAL</v>
      </c>
      <c r="H6860" t="str">
        <f>T("BOX 788261")</f>
        <v>BOX 788261</v>
      </c>
      <c r="I6860" t="str">
        <f t="shared" si="2618"/>
        <v>TWENTYNINE PALMS</v>
      </c>
      <c r="J6860" t="str">
        <f t="shared" si="2615"/>
        <v>CA</v>
      </c>
      <c r="K6860" t="str">
        <f>T("000000000000000000")</f>
        <v>000000000000000000</v>
      </c>
      <c r="L6860" t="str">
        <f>T("7608304471")</f>
        <v>7608304471</v>
      </c>
    </row>
    <row r="6861" spans="1:12" x14ac:dyDescent="0.35">
      <c r="A6861" t="str">
        <f t="shared" si="2613"/>
        <v>MARDIV UNITS</v>
      </c>
      <c r="B6861" t="str">
        <f t="shared" si="2616"/>
        <v>ATTN GCPC APPROVING OFFICIAL</v>
      </c>
      <c r="C6861" t="str">
        <f>T("BOX 788262")</f>
        <v>BOX 788262</v>
      </c>
      <c r="D6861" t="str">
        <f t="shared" si="2617"/>
        <v>TWENTYNINE PALMS</v>
      </c>
      <c r="E6861" t="str">
        <f t="shared" si="2614"/>
        <v>CA</v>
      </c>
      <c r="F6861" t="str">
        <f>T("922788262")</f>
        <v>922788262</v>
      </c>
      <c r="G6861" t="str">
        <f t="shared" si="2611"/>
        <v>ATTN GCPC APPROVING OFFICIAL</v>
      </c>
      <c r="H6861" t="str">
        <f>T("BOX 788260")</f>
        <v>BOX 788260</v>
      </c>
      <c r="I6861" t="str">
        <f t="shared" si="2618"/>
        <v>TWENTYNINE PALMS</v>
      </c>
      <c r="J6861" t="str">
        <f t="shared" si="2615"/>
        <v>CA</v>
      </c>
      <c r="K6861" t="str">
        <f>T("000000000000000000")</f>
        <v>000000000000000000</v>
      </c>
      <c r="L6861" t="str">
        <f>T("7608303599")</f>
        <v>7608303599</v>
      </c>
    </row>
    <row r="6862" spans="1:12" x14ac:dyDescent="0.35">
      <c r="A6862" t="str">
        <f t="shared" si="2613"/>
        <v>MARDIV UNITS</v>
      </c>
      <c r="B6862" t="str">
        <f t="shared" si="2616"/>
        <v>ATTN GCPC APPROVING OFFICIAL</v>
      </c>
      <c r="C6862" t="str">
        <f>T("BOX 788262")</f>
        <v>BOX 788262</v>
      </c>
      <c r="D6862" t="str">
        <f t="shared" si="2617"/>
        <v>TWENTYNINE PALMS</v>
      </c>
      <c r="E6862" t="str">
        <f t="shared" si="2614"/>
        <v>CA</v>
      </c>
      <c r="F6862" t="str">
        <f>T("922788262")</f>
        <v>922788262</v>
      </c>
      <c r="G6862" t="str">
        <f t="shared" si="2611"/>
        <v>ATTN GCPC APPROVING OFFICIAL</v>
      </c>
      <c r="H6862" t="str">
        <f>T("BOX 788262")</f>
        <v>BOX 788262</v>
      </c>
      <c r="I6862" t="str">
        <f t="shared" si="2618"/>
        <v>TWENTYNINE PALMS</v>
      </c>
      <c r="J6862" t="str">
        <f t="shared" si="2615"/>
        <v>CA</v>
      </c>
      <c r="K6862" t="str">
        <f>T("")</f>
        <v/>
      </c>
      <c r="L6862" t="str">
        <f>T("7608306385")</f>
        <v>7608306385</v>
      </c>
    </row>
    <row r="6863" spans="1:12" x14ac:dyDescent="0.35">
      <c r="A6863" t="str">
        <f t="shared" si="2613"/>
        <v>MARDIV UNITS</v>
      </c>
      <c r="B6863" t="str">
        <f t="shared" si="2616"/>
        <v>ATTN GCPC APPROVING OFFICIAL</v>
      </c>
      <c r="C6863" t="str">
        <f>T("BOX 788262")</f>
        <v>BOX 788262</v>
      </c>
      <c r="D6863" t="str">
        <f t="shared" si="2617"/>
        <v>TWENTYNINE PALMS</v>
      </c>
      <c r="E6863" t="str">
        <f t="shared" si="2614"/>
        <v>CA</v>
      </c>
      <c r="F6863" t="str">
        <f>T("922788262")</f>
        <v>922788262</v>
      </c>
      <c r="G6863" t="str">
        <f t="shared" si="2611"/>
        <v>ATTN GCPC APPROVING OFFICIAL</v>
      </c>
      <c r="H6863" t="str">
        <f>T("BOX 788262")</f>
        <v>BOX 788262</v>
      </c>
      <c r="I6863" t="str">
        <f t="shared" si="2618"/>
        <v>TWENTYNINE PALMS</v>
      </c>
      <c r="J6863" t="str">
        <f t="shared" si="2615"/>
        <v>CA</v>
      </c>
      <c r="K6863" t="str">
        <f>T("7608306353")</f>
        <v>7608306353</v>
      </c>
      <c r="L6863" t="str">
        <f>T("7608305890")</f>
        <v>7608305890</v>
      </c>
    </row>
    <row r="6864" spans="1:12" x14ac:dyDescent="0.35">
      <c r="A6864" t="str">
        <f t="shared" si="2613"/>
        <v>MARDIV UNITS</v>
      </c>
      <c r="B6864" t="str">
        <f t="shared" si="2616"/>
        <v>ATTN GCPC APPROVING OFFICIAL</v>
      </c>
      <c r="C6864" t="str">
        <f>T("BOX 788262")</f>
        <v>BOX 788262</v>
      </c>
      <c r="D6864" t="str">
        <f t="shared" si="2617"/>
        <v>TWENTYNINE PALMS</v>
      </c>
      <c r="E6864" t="str">
        <f t="shared" si="2614"/>
        <v>CA</v>
      </c>
      <c r="F6864" t="str">
        <f>T("922788262")</f>
        <v>922788262</v>
      </c>
      <c r="G6864" t="str">
        <f>T("ATTN GCPC AUTHORIZING OFFICIAL")</f>
        <v>ATTN GCPC AUTHORIZING OFFICIAL</v>
      </c>
      <c r="H6864" t="str">
        <f>T("BOX 788260")</f>
        <v>BOX 788260</v>
      </c>
      <c r="I6864" t="str">
        <f t="shared" si="2618"/>
        <v>TWENTYNINE PALMS</v>
      </c>
      <c r="J6864" t="str">
        <f t="shared" si="2615"/>
        <v>CA</v>
      </c>
      <c r="K6864" t="str">
        <f>T("000000000000000000")</f>
        <v>000000000000000000</v>
      </c>
      <c r="L6864" t="str">
        <f>T("7608303599")</f>
        <v>7608303599</v>
      </c>
    </row>
    <row r="6865" spans="1:12" x14ac:dyDescent="0.35">
      <c r="A6865" t="str">
        <f t="shared" si="2613"/>
        <v>MARDIV UNITS</v>
      </c>
      <c r="B6865" t="str">
        <f t="shared" si="2616"/>
        <v>ATTN GCPC APPROVING OFFICIAL</v>
      </c>
      <c r="C6865" t="str">
        <f>T("BOX 788263")</f>
        <v>BOX 788263</v>
      </c>
      <c r="D6865" t="str">
        <f t="shared" si="2617"/>
        <v>TWENTYNINE PALMS</v>
      </c>
      <c r="E6865" t="str">
        <f t="shared" si="2614"/>
        <v>CA</v>
      </c>
      <c r="F6865" t="str">
        <f>T("922788263")</f>
        <v>922788263</v>
      </c>
      <c r="G6865" t="str">
        <f t="shared" ref="G6865:G6891" si="2619">T("ATTN GCPC APPROVING OFFICIAL")</f>
        <v>ATTN GCPC APPROVING OFFICIAL</v>
      </c>
      <c r="H6865" t="str">
        <f>T("BOX 788263")</f>
        <v>BOX 788263</v>
      </c>
      <c r="I6865" t="str">
        <f t="shared" si="2618"/>
        <v>TWENTYNINE PALMS</v>
      </c>
      <c r="J6865" t="str">
        <f t="shared" si="2615"/>
        <v>CA</v>
      </c>
      <c r="K6865" t="str">
        <f>T("")</f>
        <v/>
      </c>
      <c r="L6865" t="str">
        <f>T("7608306928")</f>
        <v>7608306928</v>
      </c>
    </row>
    <row r="6866" spans="1:12" x14ac:dyDescent="0.35">
      <c r="A6866" t="str">
        <f t="shared" si="2613"/>
        <v>MARDIV UNITS</v>
      </c>
      <c r="B6866" t="str">
        <f t="shared" si="2616"/>
        <v>ATTN GCPC APPROVING OFFICIAL</v>
      </c>
      <c r="C6866" t="str">
        <f>T("BOX 788263")</f>
        <v>BOX 788263</v>
      </c>
      <c r="D6866" t="str">
        <f t="shared" si="2617"/>
        <v>TWENTYNINE PALMS</v>
      </c>
      <c r="E6866" t="str">
        <f t="shared" si="2614"/>
        <v>CA</v>
      </c>
      <c r="F6866" t="str">
        <f>T("922788263")</f>
        <v>922788263</v>
      </c>
      <c r="G6866" t="str">
        <f t="shared" si="2619"/>
        <v>ATTN GCPC APPROVING OFFICIAL</v>
      </c>
      <c r="H6866" t="str">
        <f>T("BOX 788263")</f>
        <v>BOX 788263</v>
      </c>
      <c r="I6866" t="str">
        <f t="shared" si="2618"/>
        <v>TWENTYNINE PALMS</v>
      </c>
      <c r="J6866" t="str">
        <f t="shared" si="2615"/>
        <v>CA</v>
      </c>
      <c r="K6866" t="str">
        <f>T("000000000000000000")</f>
        <v>000000000000000000</v>
      </c>
      <c r="L6866" t="str">
        <f>T("7608301098")</f>
        <v>7608301098</v>
      </c>
    </row>
    <row r="6867" spans="1:12" x14ac:dyDescent="0.35">
      <c r="A6867" t="str">
        <f t="shared" si="2613"/>
        <v>MARDIV UNITS</v>
      </c>
      <c r="B6867" t="str">
        <f t="shared" si="2616"/>
        <v>ATTN GCPC APPROVING OFFICIAL</v>
      </c>
      <c r="C6867" t="str">
        <f>T("BOX 788265")</f>
        <v>BOX 788265</v>
      </c>
      <c r="D6867" t="str">
        <f t="shared" si="2617"/>
        <v>TWENTYNINE PALMS</v>
      </c>
      <c r="E6867" t="str">
        <f t="shared" si="2614"/>
        <v>CA</v>
      </c>
      <c r="F6867" t="str">
        <f>T("922788265")</f>
        <v>922788265</v>
      </c>
      <c r="G6867" t="str">
        <f t="shared" si="2619"/>
        <v>ATTN GCPC APPROVING OFFICIAL</v>
      </c>
      <c r="H6867" t="str">
        <f>T("BOX 788265")</f>
        <v>BOX 788265</v>
      </c>
      <c r="I6867" t="str">
        <f t="shared" si="2618"/>
        <v>TWENTYNINE PALMS</v>
      </c>
      <c r="J6867" t="str">
        <f t="shared" si="2615"/>
        <v>CA</v>
      </c>
      <c r="K6867" t="str">
        <f>T("000000000000000000")</f>
        <v>000000000000000000</v>
      </c>
      <c r="L6867" t="str">
        <f>T("7608304471")</f>
        <v>7608304471</v>
      </c>
    </row>
    <row r="6868" spans="1:12" x14ac:dyDescent="0.35">
      <c r="A6868" t="str">
        <f t="shared" si="2613"/>
        <v>MARDIV UNITS</v>
      </c>
      <c r="B6868" t="str">
        <f t="shared" si="2616"/>
        <v>ATTN GCPC APPROVING OFFICIAL</v>
      </c>
      <c r="C6868" t="str">
        <f>T("BOX 788265")</f>
        <v>BOX 788265</v>
      </c>
      <c r="D6868" t="str">
        <f t="shared" si="2617"/>
        <v>TWENTYNINE PALMS</v>
      </c>
      <c r="E6868" t="str">
        <f t="shared" si="2614"/>
        <v>CA</v>
      </c>
      <c r="F6868" t="str">
        <f>T("922788265")</f>
        <v>922788265</v>
      </c>
      <c r="G6868" t="str">
        <f t="shared" si="2619"/>
        <v>ATTN GCPC APPROVING OFFICIAL</v>
      </c>
      <c r="H6868" t="str">
        <f>T("BOX 788265")</f>
        <v>BOX 788265</v>
      </c>
      <c r="I6868" t="str">
        <f t="shared" si="2618"/>
        <v>TWENTYNINE PALMS</v>
      </c>
      <c r="J6868" t="str">
        <f t="shared" si="2615"/>
        <v>CA</v>
      </c>
      <c r="K6868" t="str">
        <f>T("000000000000000000")</f>
        <v>000000000000000000</v>
      </c>
      <c r="L6868" t="str">
        <f>T("7608308516")</f>
        <v>7608308516</v>
      </c>
    </row>
    <row r="6869" spans="1:12" x14ac:dyDescent="0.35">
      <c r="A6869" t="str">
        <f t="shared" si="2613"/>
        <v>MARDIV UNITS</v>
      </c>
      <c r="B6869" t="str">
        <f t="shared" si="2616"/>
        <v>ATTN GCPC APPROVING OFFICIAL</v>
      </c>
      <c r="C6869" t="str">
        <f>T("BOX 788272")</f>
        <v>BOX 788272</v>
      </c>
      <c r="D6869" t="str">
        <f t="shared" si="2617"/>
        <v>TWENTYNINE PALMS</v>
      </c>
      <c r="E6869" t="str">
        <f t="shared" si="2614"/>
        <v>CA</v>
      </c>
      <c r="F6869" t="str">
        <f>T("922788272")</f>
        <v>922788272</v>
      </c>
      <c r="G6869" t="str">
        <f t="shared" si="2619"/>
        <v>ATTN GCPC APPROVING OFFICIAL</v>
      </c>
      <c r="H6869" t="str">
        <f>T("BOX 788272")</f>
        <v>BOX 788272</v>
      </c>
      <c r="I6869" t="str">
        <f t="shared" si="2618"/>
        <v>TWENTYNINE PALMS</v>
      </c>
      <c r="J6869" t="str">
        <f t="shared" si="2615"/>
        <v>CA</v>
      </c>
      <c r="K6869" t="str">
        <f>T("")</f>
        <v/>
      </c>
      <c r="L6869" t="str">
        <f>T("7608305558")</f>
        <v>7608305558</v>
      </c>
    </row>
    <row r="6870" spans="1:12" x14ac:dyDescent="0.35">
      <c r="A6870" t="str">
        <f t="shared" si="2613"/>
        <v>MARDIV UNITS</v>
      </c>
      <c r="B6870" t="str">
        <f t="shared" si="2616"/>
        <v>ATTN GCPC APPROVING OFFICIAL</v>
      </c>
      <c r="C6870" t="str">
        <f>T("BOX 788272")</f>
        <v>BOX 788272</v>
      </c>
      <c r="D6870" t="str">
        <f t="shared" si="2617"/>
        <v>TWENTYNINE PALMS</v>
      </c>
      <c r="E6870" t="str">
        <f t="shared" si="2614"/>
        <v>CA</v>
      </c>
      <c r="F6870" t="str">
        <f>T("922788272")</f>
        <v>922788272</v>
      </c>
      <c r="G6870" t="str">
        <f t="shared" si="2619"/>
        <v>ATTN GCPC APPROVING OFFICIAL</v>
      </c>
      <c r="H6870" t="str">
        <f>T("BOX 788272")</f>
        <v>BOX 788272</v>
      </c>
      <c r="I6870" t="str">
        <f t="shared" si="2618"/>
        <v>TWENTYNINE PALMS</v>
      </c>
      <c r="J6870" t="str">
        <f t="shared" si="2615"/>
        <v>CA</v>
      </c>
      <c r="K6870" t="str">
        <f>T("000000000000000000")</f>
        <v>000000000000000000</v>
      </c>
      <c r="L6870" t="str">
        <f>T("7608304113")</f>
        <v>7608304113</v>
      </c>
    </row>
    <row r="6871" spans="1:12" x14ac:dyDescent="0.35">
      <c r="A6871" t="str">
        <f t="shared" si="2613"/>
        <v>MARDIV UNITS</v>
      </c>
      <c r="B6871" t="str">
        <f t="shared" si="2616"/>
        <v>ATTN GCPC APPROVING OFFICIAL</v>
      </c>
      <c r="C6871" t="str">
        <f>T("BOX 788272")</f>
        <v>BOX 788272</v>
      </c>
      <c r="D6871" t="str">
        <f t="shared" si="2617"/>
        <v>TWENTYNINE PALMS</v>
      </c>
      <c r="E6871" t="str">
        <f t="shared" si="2614"/>
        <v>CA</v>
      </c>
      <c r="F6871" t="str">
        <f>T("922788272")</f>
        <v>922788272</v>
      </c>
      <c r="G6871" t="str">
        <f t="shared" si="2619"/>
        <v>ATTN GCPC APPROVING OFFICIAL</v>
      </c>
      <c r="H6871" t="str">
        <f>T("BOX 788272")</f>
        <v>BOX 788272</v>
      </c>
      <c r="I6871" t="str">
        <f t="shared" si="2618"/>
        <v>TWENTYNINE PALMS</v>
      </c>
      <c r="J6871" t="str">
        <f t="shared" si="2615"/>
        <v>CA</v>
      </c>
      <c r="K6871" t="str">
        <f>T("000000000000000000")</f>
        <v>000000000000000000</v>
      </c>
      <c r="L6871" t="str">
        <f>T("7608306910")</f>
        <v>7608306910</v>
      </c>
    </row>
    <row r="6872" spans="1:12" x14ac:dyDescent="0.35">
      <c r="A6872" t="str">
        <f t="shared" si="2613"/>
        <v>MARDIV UNITS</v>
      </c>
      <c r="B6872" t="str">
        <f t="shared" si="2616"/>
        <v>ATTN GCPC APPROVING OFFICIAL</v>
      </c>
      <c r="C6872" t="str">
        <f>T("BOX 788274")</f>
        <v>BOX 788274</v>
      </c>
      <c r="D6872" t="str">
        <f>T("TWENTYNIN PLM")</f>
        <v>TWENTYNIN PLM</v>
      </c>
      <c r="E6872" t="str">
        <f t="shared" si="2614"/>
        <v>CA</v>
      </c>
      <c r="F6872" t="str">
        <f>T("922788274")</f>
        <v>922788274</v>
      </c>
      <c r="G6872" t="str">
        <f t="shared" si="2619"/>
        <v>ATTN GCPC APPROVING OFFICIAL</v>
      </c>
      <c r="H6872" t="str">
        <f>T("BOX 788274")</f>
        <v>BOX 788274</v>
      </c>
      <c r="I6872" t="str">
        <f>T("TWENTYNIN PLM")</f>
        <v>TWENTYNIN PLM</v>
      </c>
      <c r="J6872" t="str">
        <f t="shared" si="2615"/>
        <v>CA</v>
      </c>
      <c r="K6872" t="str">
        <f>T("")</f>
        <v/>
      </c>
      <c r="L6872" t="str">
        <f>T("7608305285")</f>
        <v>7608305285</v>
      </c>
    </row>
    <row r="6873" spans="1:12" x14ac:dyDescent="0.35">
      <c r="A6873" t="str">
        <f t="shared" si="2613"/>
        <v>MARDIV UNITS</v>
      </c>
      <c r="B6873" t="str">
        <f t="shared" si="2616"/>
        <v>ATTN GCPC APPROVING OFFICIAL</v>
      </c>
      <c r="C6873" t="str">
        <f>T("MCAGCC BOX 788270")</f>
        <v>MCAGCC BOX 788270</v>
      </c>
      <c r="D6873" t="str">
        <f>T("TWENTYNINE PALMS")</f>
        <v>TWENTYNINE PALMS</v>
      </c>
      <c r="E6873" t="str">
        <f t="shared" si="2614"/>
        <v>CA</v>
      </c>
      <c r="F6873" t="str">
        <f>T("922788270")</f>
        <v>922788270</v>
      </c>
      <c r="G6873" t="str">
        <f t="shared" si="2619"/>
        <v>ATTN GCPC APPROVING OFFICIAL</v>
      </c>
      <c r="H6873" t="str">
        <f>T("BOX 788270")</f>
        <v>BOX 788270</v>
      </c>
      <c r="I6873" t="str">
        <f>T("TWENTYNINE PALMS")</f>
        <v>TWENTYNINE PALMS</v>
      </c>
      <c r="J6873" t="str">
        <f t="shared" si="2615"/>
        <v>CA</v>
      </c>
      <c r="K6873" t="str">
        <f>T("000000000000000000")</f>
        <v>000000000000000000</v>
      </c>
      <c r="L6873" t="str">
        <f>T("7608308019")</f>
        <v>7608308019</v>
      </c>
    </row>
    <row r="6874" spans="1:12" x14ac:dyDescent="0.35">
      <c r="A6874" t="str">
        <f t="shared" si="2613"/>
        <v>MARDIV UNITS</v>
      </c>
      <c r="B6874" t="str">
        <f t="shared" si="2616"/>
        <v>ATTN GCPC APPROVING OFFICIAL</v>
      </c>
      <c r="C6874" t="str">
        <f>T("MCAGCC BOX 788270")</f>
        <v>MCAGCC BOX 788270</v>
      </c>
      <c r="D6874" t="str">
        <f>T("TWENTYNINE PALMS")</f>
        <v>TWENTYNINE PALMS</v>
      </c>
      <c r="E6874" t="str">
        <f t="shared" si="2614"/>
        <v>CA</v>
      </c>
      <c r="F6874" t="str">
        <f>T("922788270")</f>
        <v>922788270</v>
      </c>
      <c r="G6874" t="str">
        <f t="shared" si="2619"/>
        <v>ATTN GCPC APPROVING OFFICIAL</v>
      </c>
      <c r="H6874" t="str">
        <f>T("MCAGCC BOX 788270")</f>
        <v>MCAGCC BOX 788270</v>
      </c>
      <c r="I6874" t="str">
        <f>T("TWENTYNINE PALMS")</f>
        <v>TWENTYNINE PALMS</v>
      </c>
      <c r="J6874" t="str">
        <f t="shared" si="2615"/>
        <v>CA</v>
      </c>
      <c r="K6874" t="str">
        <f>T("")</f>
        <v/>
      </c>
      <c r="L6874" t="str">
        <f>T("7608307264")</f>
        <v>7608307264</v>
      </c>
    </row>
    <row r="6875" spans="1:12" x14ac:dyDescent="0.35">
      <c r="A6875" t="str">
        <f t="shared" si="2613"/>
        <v>MARDIV UNITS</v>
      </c>
      <c r="B6875" t="str">
        <f t="shared" si="2616"/>
        <v>ATTN GCPC APPROVING OFFICIAL</v>
      </c>
      <c r="C6875" t="str">
        <f>T("PO BOX 555453")</f>
        <v>PO BOX 555453</v>
      </c>
      <c r="D6875" t="str">
        <f>T("CAMP PENDLETON")</f>
        <v>CAMP PENDLETON</v>
      </c>
      <c r="E6875" t="str">
        <f t="shared" si="2614"/>
        <v>CA</v>
      </c>
      <c r="F6875" t="str">
        <f>T("920555453")</f>
        <v>920555453</v>
      </c>
      <c r="G6875" t="str">
        <f t="shared" si="2619"/>
        <v>ATTN GCPC APPROVING OFFICIAL</v>
      </c>
      <c r="H6875" t="str">
        <f>T("BOX 555453")</f>
        <v>BOX 555453</v>
      </c>
      <c r="I6875" t="str">
        <f>T("CAMP PENDLETON")</f>
        <v>CAMP PENDLETON</v>
      </c>
      <c r="J6875" t="str">
        <f t="shared" si="2615"/>
        <v>CA</v>
      </c>
      <c r="K6875" t="str">
        <f>T("000000000000000000")</f>
        <v>000000000000000000</v>
      </c>
      <c r="L6875" t="str">
        <f>T("7607257315")</f>
        <v>7607257315</v>
      </c>
    </row>
    <row r="6876" spans="1:12" x14ac:dyDescent="0.35">
      <c r="A6876" t="str">
        <f t="shared" si="2613"/>
        <v>MARDIV UNITS</v>
      </c>
      <c r="B6876" t="str">
        <f t="shared" si="2616"/>
        <v>ATTN GCPC APPROVING OFFICIAL</v>
      </c>
      <c r="C6876" t="str">
        <f>T("PO BOX 555453")</f>
        <v>PO BOX 555453</v>
      </c>
      <c r="D6876" t="str">
        <f>T("CAMP PENDLETON")</f>
        <v>CAMP PENDLETON</v>
      </c>
      <c r="E6876" t="str">
        <f t="shared" si="2614"/>
        <v>CA</v>
      </c>
      <c r="F6876" t="str">
        <f>T("920555453")</f>
        <v>920555453</v>
      </c>
      <c r="G6876" t="str">
        <f t="shared" si="2619"/>
        <v>ATTN GCPC APPROVING OFFICIAL</v>
      </c>
      <c r="H6876" t="str">
        <f>T("PO BOX 555453")</f>
        <v>PO BOX 555453</v>
      </c>
      <c r="I6876" t="str">
        <f>T("CAMP PENDLETON")</f>
        <v>CAMP PENDLETON</v>
      </c>
      <c r="J6876" t="str">
        <f t="shared" si="2615"/>
        <v>CA</v>
      </c>
      <c r="K6876" t="str">
        <f>T("")</f>
        <v/>
      </c>
      <c r="L6876" t="str">
        <f>T("7607257315")</f>
        <v>7607257315</v>
      </c>
    </row>
    <row r="6877" spans="1:12" x14ac:dyDescent="0.35">
      <c r="A6877" t="str">
        <f t="shared" ref="A6877:A6892" si="2620">T("MLG - DEPLOYED UNITS")</f>
        <v>MLG - DEPLOYED UNITS</v>
      </c>
      <c r="B6877" t="str">
        <f t="shared" si="2616"/>
        <v>ATTN GCPC APPROVING OFFICIAL</v>
      </c>
      <c r="C6877" t="str">
        <f>T("BOX 452049")</f>
        <v>BOX 452049</v>
      </c>
      <c r="D6877" t="str">
        <f>T("SAN DIEGO")</f>
        <v>SAN DIEGO</v>
      </c>
      <c r="E6877" t="str">
        <f t="shared" si="2614"/>
        <v>CA</v>
      </c>
      <c r="F6877" t="str">
        <f>T("921452049")</f>
        <v>921452049</v>
      </c>
      <c r="G6877" t="str">
        <f t="shared" si="2619"/>
        <v>ATTN GCPC APPROVING OFFICIAL</v>
      </c>
      <c r="H6877" t="str">
        <f>T("BOX 452049")</f>
        <v>BOX 452049</v>
      </c>
      <c r="I6877" t="str">
        <f>T("SAN DIEGO")</f>
        <v>SAN DIEGO</v>
      </c>
      <c r="J6877" t="str">
        <f t="shared" si="2615"/>
        <v>CA</v>
      </c>
      <c r="K6877" t="str">
        <f t="shared" ref="K6877:K6892" si="2621">T("000000000000000000")</f>
        <v>000000000000000000</v>
      </c>
      <c r="L6877" t="str">
        <f>T("8585777980")</f>
        <v>8585777980</v>
      </c>
    </row>
    <row r="6878" spans="1:12" x14ac:dyDescent="0.35">
      <c r="A6878" t="str">
        <f t="shared" si="2620"/>
        <v>MLG - DEPLOYED UNITS</v>
      </c>
      <c r="B6878" t="str">
        <f t="shared" si="2616"/>
        <v>ATTN GCPC APPROVING OFFICIAL</v>
      </c>
      <c r="C6878" t="str">
        <f>T("BOX 452049")</f>
        <v>BOX 452049</v>
      </c>
      <c r="D6878" t="str">
        <f>T("SAN DIEGO")</f>
        <v>SAN DIEGO</v>
      </c>
      <c r="E6878" t="str">
        <f t="shared" si="2614"/>
        <v>CA</v>
      </c>
      <c r="F6878" t="str">
        <f>T("921452049")</f>
        <v>921452049</v>
      </c>
      <c r="G6878" t="str">
        <f t="shared" si="2619"/>
        <v>ATTN GCPC APPROVING OFFICIAL</v>
      </c>
      <c r="H6878" t="str">
        <f>T("BOX 99210")</f>
        <v>BOX 99210</v>
      </c>
      <c r="I6878" t="str">
        <f>T("YUMA")</f>
        <v>YUMA</v>
      </c>
      <c r="J6878" t="str">
        <f>T("AZ")</f>
        <v>AZ</v>
      </c>
      <c r="K6878" t="str">
        <f t="shared" si="2621"/>
        <v>000000000000000000</v>
      </c>
      <c r="L6878" t="str">
        <f>T("9282692127")</f>
        <v>9282692127</v>
      </c>
    </row>
    <row r="6879" spans="1:12" x14ac:dyDescent="0.35">
      <c r="A6879" t="str">
        <f t="shared" si="2620"/>
        <v>MLG - DEPLOYED UNITS</v>
      </c>
      <c r="B6879" t="str">
        <f t="shared" si="2616"/>
        <v>ATTN GCPC APPROVING OFFICIAL</v>
      </c>
      <c r="C6879" t="str">
        <f>T("BOX 452049")</f>
        <v>BOX 452049</v>
      </c>
      <c r="D6879" t="str">
        <f>T("SAN DIEGO")</f>
        <v>SAN DIEGO</v>
      </c>
      <c r="E6879" t="str">
        <f t="shared" si="2614"/>
        <v>CA</v>
      </c>
      <c r="F6879" t="str">
        <f>T("921452049")</f>
        <v>921452049</v>
      </c>
      <c r="G6879" t="str">
        <f t="shared" si="2619"/>
        <v>ATTN GCPC APPROVING OFFICIAL</v>
      </c>
      <c r="H6879" t="str">
        <f>T("BOX 99210")</f>
        <v>BOX 99210</v>
      </c>
      <c r="I6879" t="str">
        <f>T("YUMA")</f>
        <v>YUMA</v>
      </c>
      <c r="J6879" t="str">
        <f>T("AZ")</f>
        <v>AZ</v>
      </c>
      <c r="K6879" t="str">
        <f t="shared" si="2621"/>
        <v>000000000000000000</v>
      </c>
      <c r="L6879" t="str">
        <f>T("9282692548")</f>
        <v>9282692548</v>
      </c>
    </row>
    <row r="6880" spans="1:12" x14ac:dyDescent="0.35">
      <c r="A6880" t="str">
        <f t="shared" si="2620"/>
        <v>MLG - DEPLOYED UNITS</v>
      </c>
      <c r="B6880" t="str">
        <f t="shared" si="2616"/>
        <v>ATTN GCPC APPROVING OFFICIAL</v>
      </c>
      <c r="C6880" t="str">
        <f t="shared" ref="C6880:C6885" si="2622">T("BOX 555027")</f>
        <v>BOX 555027</v>
      </c>
      <c r="D6880" t="str">
        <f t="shared" ref="D6880:D6887" si="2623">T("CAMP PENDLETON")</f>
        <v>CAMP PENDLETON</v>
      </c>
      <c r="E6880" t="str">
        <f t="shared" si="2614"/>
        <v>CA</v>
      </c>
      <c r="F6880" t="str">
        <f t="shared" ref="F6880:F6885" si="2624">T("920555027")</f>
        <v>920555027</v>
      </c>
      <c r="G6880" t="str">
        <f t="shared" si="2619"/>
        <v>ATTN GCPC APPROVING OFFICIAL</v>
      </c>
      <c r="H6880" t="str">
        <f>T("BOX 555027")</f>
        <v>BOX 555027</v>
      </c>
      <c r="I6880" t="str">
        <f>T("CAMP PENDLETON")</f>
        <v>CAMP PENDLETON</v>
      </c>
      <c r="J6880" t="str">
        <f t="shared" ref="J6880:J6909" si="2625">T("CA")</f>
        <v>CA</v>
      </c>
      <c r="K6880" t="str">
        <f t="shared" si="2621"/>
        <v>000000000000000000</v>
      </c>
      <c r="L6880" t="str">
        <f>T("3023249889")</f>
        <v>3023249889</v>
      </c>
    </row>
    <row r="6881" spans="1:12" x14ac:dyDescent="0.35">
      <c r="A6881" t="str">
        <f t="shared" si="2620"/>
        <v>MLG - DEPLOYED UNITS</v>
      </c>
      <c r="B6881" t="str">
        <f t="shared" si="2616"/>
        <v>ATTN GCPC APPROVING OFFICIAL</v>
      </c>
      <c r="C6881" t="str">
        <f t="shared" si="2622"/>
        <v>BOX 555027</v>
      </c>
      <c r="D6881" t="str">
        <f t="shared" si="2623"/>
        <v>CAMP PENDLETON</v>
      </c>
      <c r="E6881" t="str">
        <f t="shared" si="2614"/>
        <v>CA</v>
      </c>
      <c r="F6881" t="str">
        <f t="shared" si="2624"/>
        <v>920555027</v>
      </c>
      <c r="G6881" t="str">
        <f t="shared" si="2619"/>
        <v>ATTN GCPC APPROVING OFFICIAL</v>
      </c>
      <c r="H6881" t="str">
        <f>T("BOX 555027")</f>
        <v>BOX 555027</v>
      </c>
      <c r="I6881" t="str">
        <f>T("CAMP PENDLETON")</f>
        <v>CAMP PENDLETON</v>
      </c>
      <c r="J6881" t="str">
        <f t="shared" si="2625"/>
        <v>CA</v>
      </c>
      <c r="K6881" t="str">
        <f t="shared" si="2621"/>
        <v>000000000000000000</v>
      </c>
      <c r="L6881" t="str">
        <f>T("3183455743")</f>
        <v>3183455743</v>
      </c>
    </row>
    <row r="6882" spans="1:12" x14ac:dyDescent="0.35">
      <c r="A6882" t="str">
        <f t="shared" si="2620"/>
        <v>MLG - DEPLOYED UNITS</v>
      </c>
      <c r="B6882" t="str">
        <f t="shared" si="2616"/>
        <v>ATTN GCPC APPROVING OFFICIAL</v>
      </c>
      <c r="C6882" t="str">
        <f t="shared" si="2622"/>
        <v>BOX 555027</v>
      </c>
      <c r="D6882" t="str">
        <f t="shared" si="2623"/>
        <v>CAMP PENDLETON</v>
      </c>
      <c r="E6882" t="str">
        <f t="shared" si="2614"/>
        <v>CA</v>
      </c>
      <c r="F6882" t="str">
        <f t="shared" si="2624"/>
        <v>920555027</v>
      </c>
      <c r="G6882" t="str">
        <f t="shared" si="2619"/>
        <v>ATTN GCPC APPROVING OFFICIAL</v>
      </c>
      <c r="H6882" t="str">
        <f>T("BOX 555027")</f>
        <v>BOX 555027</v>
      </c>
      <c r="I6882" t="str">
        <f>T("CAMP PENDLETON")</f>
        <v>CAMP PENDLETON</v>
      </c>
      <c r="J6882" t="str">
        <f t="shared" si="2625"/>
        <v>CA</v>
      </c>
      <c r="K6882" t="str">
        <f t="shared" si="2621"/>
        <v>000000000000000000</v>
      </c>
      <c r="L6882" t="str">
        <f>T("7605044293")</f>
        <v>7605044293</v>
      </c>
    </row>
    <row r="6883" spans="1:12" x14ac:dyDescent="0.35">
      <c r="A6883" t="str">
        <f t="shared" si="2620"/>
        <v>MLG - DEPLOYED UNITS</v>
      </c>
      <c r="B6883" t="str">
        <f t="shared" si="2616"/>
        <v>ATTN GCPC APPROVING OFFICIAL</v>
      </c>
      <c r="C6883" t="str">
        <f t="shared" si="2622"/>
        <v>BOX 555027</v>
      </c>
      <c r="D6883" t="str">
        <f t="shared" si="2623"/>
        <v>CAMP PENDLETON</v>
      </c>
      <c r="E6883" t="str">
        <f t="shared" ref="E6883:E6909" si="2626">T("CA")</f>
        <v>CA</v>
      </c>
      <c r="F6883" t="str">
        <f t="shared" si="2624"/>
        <v>920555027</v>
      </c>
      <c r="G6883" t="str">
        <f t="shared" si="2619"/>
        <v>ATTN GCPC APPROVING OFFICIAL</v>
      </c>
      <c r="H6883" t="str">
        <f>T("BOX 555300")</f>
        <v>BOX 555300</v>
      </c>
      <c r="I6883" t="str">
        <f>T("CAMP PENDLETON")</f>
        <v>CAMP PENDLETON</v>
      </c>
      <c r="J6883" t="str">
        <f t="shared" si="2625"/>
        <v>CA</v>
      </c>
      <c r="K6883" t="str">
        <f t="shared" si="2621"/>
        <v>000000000000000000</v>
      </c>
      <c r="L6883" t="str">
        <f>T("4062146829")</f>
        <v>4062146829</v>
      </c>
    </row>
    <row r="6884" spans="1:12" x14ac:dyDescent="0.35">
      <c r="A6884" t="str">
        <f t="shared" si="2620"/>
        <v>MLG - DEPLOYED UNITS</v>
      </c>
      <c r="B6884" t="str">
        <f t="shared" si="2616"/>
        <v>ATTN GCPC APPROVING OFFICIAL</v>
      </c>
      <c r="C6884" t="str">
        <f t="shared" si="2622"/>
        <v>BOX 555027</v>
      </c>
      <c r="D6884" t="str">
        <f t="shared" si="2623"/>
        <v>CAMP PENDLETON</v>
      </c>
      <c r="E6884" t="str">
        <f t="shared" si="2626"/>
        <v>CA</v>
      </c>
      <c r="F6884" t="str">
        <f t="shared" si="2624"/>
        <v>920555027</v>
      </c>
      <c r="G6884" t="str">
        <f t="shared" si="2619"/>
        <v>ATTN GCPC APPROVING OFFICIAL</v>
      </c>
      <c r="H6884" t="str">
        <f>T("BOX 555300")</f>
        <v>BOX 555300</v>
      </c>
      <c r="I6884" t="str">
        <f>T("CAMP PENDLETON")</f>
        <v>CAMP PENDLETON</v>
      </c>
      <c r="J6884" t="str">
        <f t="shared" si="2625"/>
        <v>CA</v>
      </c>
      <c r="K6884" t="str">
        <f t="shared" si="2621"/>
        <v>000000000000000000</v>
      </c>
      <c r="L6884" t="str">
        <f>T("7607254309")</f>
        <v>7607254309</v>
      </c>
    </row>
    <row r="6885" spans="1:12" x14ac:dyDescent="0.35">
      <c r="A6885" t="str">
        <f t="shared" si="2620"/>
        <v>MLG - DEPLOYED UNITS</v>
      </c>
      <c r="B6885" t="str">
        <f t="shared" ref="B6885:B6891" si="2627">T("ATTN GCPC APPROVING OFFICIAL")</f>
        <v>ATTN GCPC APPROVING OFFICIAL</v>
      </c>
      <c r="C6885" t="str">
        <f t="shared" si="2622"/>
        <v>BOX 555027</v>
      </c>
      <c r="D6885" t="str">
        <f t="shared" si="2623"/>
        <v>CAMP PENDLETON</v>
      </c>
      <c r="E6885" t="str">
        <f t="shared" si="2626"/>
        <v>CA</v>
      </c>
      <c r="F6885" t="str">
        <f t="shared" si="2624"/>
        <v>920555027</v>
      </c>
      <c r="G6885" t="str">
        <f t="shared" si="2619"/>
        <v>ATTN GCPC APPROVING OFFICIAL</v>
      </c>
      <c r="H6885" t="str">
        <f>T("BOX 788262")</f>
        <v>BOX 788262</v>
      </c>
      <c r="I6885" t="str">
        <f>T("TWENTYNINE PALMS")</f>
        <v>TWENTYNINE PALMS</v>
      </c>
      <c r="J6885" t="str">
        <f t="shared" si="2625"/>
        <v>CA</v>
      </c>
      <c r="K6885" t="str">
        <f t="shared" si="2621"/>
        <v>000000000000000000</v>
      </c>
      <c r="L6885" t="str">
        <f>T("7608306385")</f>
        <v>7608306385</v>
      </c>
    </row>
    <row r="6886" spans="1:12" x14ac:dyDescent="0.35">
      <c r="A6886" t="str">
        <f t="shared" si="2620"/>
        <v>MLG - DEPLOYED UNITS</v>
      </c>
      <c r="B6886" t="str">
        <f t="shared" si="2627"/>
        <v>ATTN GCPC APPROVING OFFICIAL</v>
      </c>
      <c r="C6886" t="str">
        <f>T("BOX 555300")</f>
        <v>BOX 555300</v>
      </c>
      <c r="D6886" t="str">
        <f t="shared" si="2623"/>
        <v>CAMP PENDLETON</v>
      </c>
      <c r="E6886" t="str">
        <f t="shared" si="2626"/>
        <v>CA</v>
      </c>
      <c r="F6886" t="str">
        <f>T("920555300")</f>
        <v>920555300</v>
      </c>
      <c r="G6886" t="str">
        <f t="shared" si="2619"/>
        <v>ATTN GCPC APPROVING OFFICIAL</v>
      </c>
      <c r="H6886" t="str">
        <f>T("BOX 555300")</f>
        <v>BOX 555300</v>
      </c>
      <c r="I6886" t="str">
        <f>T("CAMP PENDLETON")</f>
        <v>CAMP PENDLETON</v>
      </c>
      <c r="J6886" t="str">
        <f t="shared" si="2625"/>
        <v>CA</v>
      </c>
      <c r="K6886" t="str">
        <f t="shared" si="2621"/>
        <v>000000000000000000</v>
      </c>
      <c r="L6886" t="str">
        <f>T("7607632720")</f>
        <v>7607632720</v>
      </c>
    </row>
    <row r="6887" spans="1:12" x14ac:dyDescent="0.35">
      <c r="A6887" t="str">
        <f t="shared" si="2620"/>
        <v>MLG - DEPLOYED UNITS</v>
      </c>
      <c r="B6887" t="str">
        <f t="shared" si="2627"/>
        <v>ATTN GCPC APPROVING OFFICIAL</v>
      </c>
      <c r="C6887" t="str">
        <f>T("BOX 555300")</f>
        <v>BOX 555300</v>
      </c>
      <c r="D6887" t="str">
        <f t="shared" si="2623"/>
        <v>CAMP PENDLETON</v>
      </c>
      <c r="E6887" t="str">
        <f t="shared" si="2626"/>
        <v>CA</v>
      </c>
      <c r="F6887" t="str">
        <f>T("920555300")</f>
        <v>920555300</v>
      </c>
      <c r="G6887" t="str">
        <f t="shared" si="2619"/>
        <v>ATTN GCPC APPROVING OFFICIAL</v>
      </c>
      <c r="H6887" t="str">
        <f>T("BOX 555300")</f>
        <v>BOX 555300</v>
      </c>
      <c r="I6887" t="str">
        <f>T("CAMP PENDLETON")</f>
        <v>CAMP PENDLETON</v>
      </c>
      <c r="J6887" t="str">
        <f t="shared" si="2625"/>
        <v>CA</v>
      </c>
      <c r="K6887" t="str">
        <f t="shared" si="2621"/>
        <v>000000000000000000</v>
      </c>
      <c r="L6887" t="str">
        <f>T("7607633546")</f>
        <v>7607633546</v>
      </c>
    </row>
    <row r="6888" spans="1:12" x14ac:dyDescent="0.35">
      <c r="A6888" t="str">
        <f t="shared" si="2620"/>
        <v>MLG - DEPLOYED UNITS</v>
      </c>
      <c r="B6888" t="str">
        <f t="shared" si="2627"/>
        <v>ATTN GCPC APPROVING OFFICIAL</v>
      </c>
      <c r="C6888" t="str">
        <f>T("BOX 788208")</f>
        <v>BOX 788208</v>
      </c>
      <c r="D6888" t="str">
        <f>T("TWENTYNINE PALMS")</f>
        <v>TWENTYNINE PALMS</v>
      </c>
      <c r="E6888" t="str">
        <f t="shared" si="2626"/>
        <v>CA</v>
      </c>
      <c r="F6888" t="str">
        <f>T("922788280")</f>
        <v>922788280</v>
      </c>
      <c r="G6888" t="str">
        <f t="shared" si="2619"/>
        <v>ATTN GCPC APPROVING OFFICIAL</v>
      </c>
      <c r="H6888" t="str">
        <f>T("BOX 555735")</f>
        <v>BOX 555735</v>
      </c>
      <c r="I6888" t="str">
        <f>T("CAMP PENDLETON")</f>
        <v>CAMP PENDLETON</v>
      </c>
      <c r="J6888" t="str">
        <f t="shared" si="2625"/>
        <v>CA</v>
      </c>
      <c r="K6888" t="str">
        <f t="shared" si="2621"/>
        <v>000000000000000000</v>
      </c>
      <c r="L6888" t="str">
        <f>T("7607252777")</f>
        <v>7607252777</v>
      </c>
    </row>
    <row r="6889" spans="1:12" x14ac:dyDescent="0.35">
      <c r="A6889" t="str">
        <f t="shared" si="2620"/>
        <v>MLG - DEPLOYED UNITS</v>
      </c>
      <c r="B6889" t="str">
        <f t="shared" si="2627"/>
        <v>ATTN GCPC APPROVING OFFICIAL</v>
      </c>
      <c r="C6889" t="str">
        <f>T("BOX 788208")</f>
        <v>BOX 788208</v>
      </c>
      <c r="D6889" t="str">
        <f>T("TWENTYNINE PALMS")</f>
        <v>TWENTYNINE PALMS</v>
      </c>
      <c r="E6889" t="str">
        <f t="shared" si="2626"/>
        <v>CA</v>
      </c>
      <c r="F6889" t="str">
        <f>T("922788280")</f>
        <v>922788280</v>
      </c>
      <c r="G6889" t="str">
        <f t="shared" si="2619"/>
        <v>ATTN GCPC APPROVING OFFICIAL</v>
      </c>
      <c r="H6889" t="str">
        <f>T("BOX 788208")</f>
        <v>BOX 788208</v>
      </c>
      <c r="I6889" t="str">
        <f>T("TWENTYNINE PALMS")</f>
        <v>TWENTYNINE PALMS</v>
      </c>
      <c r="J6889" t="str">
        <f t="shared" si="2625"/>
        <v>CA</v>
      </c>
      <c r="K6889" t="str">
        <f t="shared" si="2621"/>
        <v>000000000000000000</v>
      </c>
      <c r="L6889" t="str">
        <f>T("7608306749")</f>
        <v>7608306749</v>
      </c>
    </row>
    <row r="6890" spans="1:12" x14ac:dyDescent="0.35">
      <c r="A6890" t="str">
        <f t="shared" si="2620"/>
        <v>MLG - DEPLOYED UNITS</v>
      </c>
      <c r="B6890" t="str">
        <f t="shared" si="2627"/>
        <v>ATTN GCPC APPROVING OFFICIAL</v>
      </c>
      <c r="C6890" t="str">
        <f>T("BOX 788208")</f>
        <v>BOX 788208</v>
      </c>
      <c r="D6890" t="str">
        <f>T("TWENTYNINE PALMS")</f>
        <v>TWENTYNINE PALMS</v>
      </c>
      <c r="E6890" t="str">
        <f t="shared" si="2626"/>
        <v>CA</v>
      </c>
      <c r="F6890" t="str">
        <f>T("922788280")</f>
        <v>922788280</v>
      </c>
      <c r="G6890" t="str">
        <f t="shared" si="2619"/>
        <v>ATTN GCPC APPROVING OFFICIAL</v>
      </c>
      <c r="H6890" t="str">
        <f>T("BOX 788280")</f>
        <v>BOX 788280</v>
      </c>
      <c r="I6890" t="str">
        <f>T("TWENTYNINE PALMS")</f>
        <v>TWENTYNINE PALMS</v>
      </c>
      <c r="J6890" t="str">
        <f t="shared" si="2625"/>
        <v>CA</v>
      </c>
      <c r="K6890" t="str">
        <f t="shared" si="2621"/>
        <v>000000000000000000</v>
      </c>
      <c r="L6890" t="str">
        <f>T("7608306749")</f>
        <v>7608306749</v>
      </c>
    </row>
    <row r="6891" spans="1:12" x14ac:dyDescent="0.35">
      <c r="A6891" t="str">
        <f t="shared" si="2620"/>
        <v>MLG - DEPLOYED UNITS</v>
      </c>
      <c r="B6891" t="str">
        <f t="shared" si="2627"/>
        <v>ATTN GCPC APPROVING OFFICIAL</v>
      </c>
      <c r="C6891" t="str">
        <f>T("BOX 788208")</f>
        <v>BOX 788208</v>
      </c>
      <c r="D6891" t="str">
        <f>T("TWENTYNINE PALMS")</f>
        <v>TWENTYNINE PALMS</v>
      </c>
      <c r="E6891" t="str">
        <f t="shared" si="2626"/>
        <v>CA</v>
      </c>
      <c r="F6891" t="str">
        <f>T("922788280")</f>
        <v>922788280</v>
      </c>
      <c r="G6891" t="str">
        <f t="shared" si="2619"/>
        <v>ATTN GCPC APPROVING OFFICIAL</v>
      </c>
      <c r="H6891" t="str">
        <f>T("BOX 788280")</f>
        <v>BOX 788280</v>
      </c>
      <c r="I6891" t="str">
        <f>T("TWENTYNINE PALMS")</f>
        <v>TWENTYNINE PALMS</v>
      </c>
      <c r="J6891" t="str">
        <f t="shared" si="2625"/>
        <v>CA</v>
      </c>
      <c r="K6891" t="str">
        <f t="shared" si="2621"/>
        <v>000000000000000000</v>
      </c>
      <c r="L6891" t="str">
        <f>T("7608308906")</f>
        <v>7608308906</v>
      </c>
    </row>
    <row r="6892" spans="1:12" x14ac:dyDescent="0.35">
      <c r="A6892" t="str">
        <f t="shared" si="2620"/>
        <v>MLG - DEPLOYED UNITS</v>
      </c>
      <c r="B6892" t="str">
        <f>T("ATTN: GCPC APPROVING OFFICIAL")</f>
        <v>ATTN: GCPC APPROVING OFFICIAL</v>
      </c>
      <c r="C6892" t="str">
        <f>T("BOX 555027")</f>
        <v>BOX 555027</v>
      </c>
      <c r="D6892" t="str">
        <f t="shared" ref="D6892:D6899" si="2628">T("CAMP PENDLETON")</f>
        <v>CAMP PENDLETON</v>
      </c>
      <c r="E6892" t="str">
        <f t="shared" si="2626"/>
        <v>CA</v>
      </c>
      <c r="F6892" t="str">
        <f>T("920555027")</f>
        <v>920555027</v>
      </c>
      <c r="G6892" t="str">
        <f>T("ATTN: GCPC APPROVING OFFICIAL")</f>
        <v>ATTN: GCPC APPROVING OFFICIAL</v>
      </c>
      <c r="H6892" t="str">
        <f>T("BOX 555027")</f>
        <v>BOX 555027</v>
      </c>
      <c r="I6892" t="str">
        <f t="shared" ref="I6892:I6899" si="2629">T("CAMP PENDLETON")</f>
        <v>CAMP PENDLETON</v>
      </c>
      <c r="J6892" t="str">
        <f t="shared" si="2625"/>
        <v>CA</v>
      </c>
      <c r="K6892" t="str">
        <f t="shared" si="2621"/>
        <v>000000000000000000</v>
      </c>
      <c r="L6892" t="str">
        <f>T("3183576358")</f>
        <v>3183576358</v>
      </c>
    </row>
    <row r="6893" spans="1:12" x14ac:dyDescent="0.35">
      <c r="A6893" t="str">
        <f t="shared" ref="A6893:A6899" si="2630">T("MCAS CPEN")</f>
        <v>MCAS CPEN</v>
      </c>
      <c r="B6893" t="str">
        <f t="shared" ref="B6893:B6916" si="2631">T("ATTN GCPC APPROVING OFFICIAL")</f>
        <v>ATTN GCPC APPROVING OFFICIAL</v>
      </c>
      <c r="C6893" t="str">
        <f>T("BOX 555151")</f>
        <v>BOX 555151</v>
      </c>
      <c r="D6893" t="str">
        <f t="shared" si="2628"/>
        <v>CAMP PENDLETON</v>
      </c>
      <c r="E6893" t="str">
        <f t="shared" si="2626"/>
        <v>CA</v>
      </c>
      <c r="F6893" t="str">
        <f t="shared" ref="F6893:F6899" si="2632">T("920555151")</f>
        <v>920555151</v>
      </c>
      <c r="G6893" t="str">
        <f t="shared" ref="G6893:G6902" si="2633">T("ATTN GCPC APPROVING OFFICIAL")</f>
        <v>ATTN GCPC APPROVING OFFICIAL</v>
      </c>
      <c r="H6893" t="str">
        <f t="shared" ref="H6893:H6898" si="2634">T("BOX 555151")</f>
        <v>BOX 555151</v>
      </c>
      <c r="I6893" t="str">
        <f t="shared" si="2629"/>
        <v>CAMP PENDLETON</v>
      </c>
      <c r="J6893" t="str">
        <f t="shared" si="2625"/>
        <v>CA</v>
      </c>
      <c r="K6893" t="str">
        <f>T("")</f>
        <v/>
      </c>
      <c r="L6893" t="str">
        <f>T("7607637775")</f>
        <v>7607637775</v>
      </c>
    </row>
    <row r="6894" spans="1:12" x14ac:dyDescent="0.35">
      <c r="A6894" t="str">
        <f t="shared" si="2630"/>
        <v>MCAS CPEN</v>
      </c>
      <c r="B6894" t="str">
        <f t="shared" si="2631"/>
        <v>ATTN GCPC APPROVING OFFICIAL</v>
      </c>
      <c r="C6894" t="str">
        <f>T("BOX 555151")</f>
        <v>BOX 555151</v>
      </c>
      <c r="D6894" t="str">
        <f t="shared" si="2628"/>
        <v>CAMP PENDLETON</v>
      </c>
      <c r="E6894" t="str">
        <f t="shared" si="2626"/>
        <v>CA</v>
      </c>
      <c r="F6894" t="str">
        <f t="shared" si="2632"/>
        <v>920555151</v>
      </c>
      <c r="G6894" t="str">
        <f t="shared" si="2633"/>
        <v>ATTN GCPC APPROVING OFFICIAL</v>
      </c>
      <c r="H6894" t="str">
        <f t="shared" si="2634"/>
        <v>BOX 555151</v>
      </c>
      <c r="I6894" t="str">
        <f t="shared" si="2629"/>
        <v>CAMP PENDLETON</v>
      </c>
      <c r="J6894" t="str">
        <f t="shared" si="2625"/>
        <v>CA</v>
      </c>
      <c r="K6894" t="str">
        <f>T("000000000000000000")</f>
        <v>000000000000000000</v>
      </c>
      <c r="L6894" t="str">
        <f>T("7607250148")</f>
        <v>7607250148</v>
      </c>
    </row>
    <row r="6895" spans="1:12" x14ac:dyDescent="0.35">
      <c r="A6895" t="str">
        <f t="shared" si="2630"/>
        <v>MCAS CPEN</v>
      </c>
      <c r="B6895" t="str">
        <f t="shared" si="2631"/>
        <v>ATTN GCPC APPROVING OFFICIAL</v>
      </c>
      <c r="C6895" t="str">
        <f>T("BOX 555151")</f>
        <v>BOX 555151</v>
      </c>
      <c r="D6895" t="str">
        <f t="shared" si="2628"/>
        <v>CAMP PENDLETON</v>
      </c>
      <c r="E6895" t="str">
        <f t="shared" si="2626"/>
        <v>CA</v>
      </c>
      <c r="F6895" t="str">
        <f t="shared" si="2632"/>
        <v>920555151</v>
      </c>
      <c r="G6895" t="str">
        <f t="shared" si="2633"/>
        <v>ATTN GCPC APPROVING OFFICIAL</v>
      </c>
      <c r="H6895" t="str">
        <f t="shared" si="2634"/>
        <v>BOX 555151</v>
      </c>
      <c r="I6895" t="str">
        <f t="shared" si="2629"/>
        <v>CAMP PENDLETON</v>
      </c>
      <c r="J6895" t="str">
        <f t="shared" si="2625"/>
        <v>CA</v>
      </c>
      <c r="K6895" t="str">
        <f>T("000000000000000000")</f>
        <v>000000000000000000</v>
      </c>
      <c r="L6895" t="str">
        <f>T("7607250395")</f>
        <v>7607250395</v>
      </c>
    </row>
    <row r="6896" spans="1:12" x14ac:dyDescent="0.35">
      <c r="A6896" t="str">
        <f t="shared" si="2630"/>
        <v>MCAS CPEN</v>
      </c>
      <c r="B6896" t="str">
        <f t="shared" si="2631"/>
        <v>ATTN GCPC APPROVING OFFICIAL</v>
      </c>
      <c r="C6896" t="str">
        <f>T("BOX 555151")</f>
        <v>BOX 555151</v>
      </c>
      <c r="D6896" t="str">
        <f t="shared" si="2628"/>
        <v>CAMP PENDLETON</v>
      </c>
      <c r="E6896" t="str">
        <f t="shared" si="2626"/>
        <v>CA</v>
      </c>
      <c r="F6896" t="str">
        <f t="shared" si="2632"/>
        <v>920555151</v>
      </c>
      <c r="G6896" t="str">
        <f t="shared" si="2633"/>
        <v>ATTN GCPC APPROVING OFFICIAL</v>
      </c>
      <c r="H6896" t="str">
        <f t="shared" si="2634"/>
        <v>BOX 555151</v>
      </c>
      <c r="I6896" t="str">
        <f t="shared" si="2629"/>
        <v>CAMP PENDLETON</v>
      </c>
      <c r="J6896" t="str">
        <f t="shared" si="2625"/>
        <v>CA</v>
      </c>
      <c r="K6896" t="str">
        <f>T("000000000000000000")</f>
        <v>000000000000000000</v>
      </c>
      <c r="L6896" t="str">
        <f>T("7607251936")</f>
        <v>7607251936</v>
      </c>
    </row>
    <row r="6897" spans="1:12" x14ac:dyDescent="0.35">
      <c r="A6897" t="str">
        <f t="shared" si="2630"/>
        <v>MCAS CPEN</v>
      </c>
      <c r="B6897" t="str">
        <f t="shared" si="2631"/>
        <v>ATTN GCPC APPROVING OFFICIAL</v>
      </c>
      <c r="C6897" t="str">
        <f>T("BOX 555151")</f>
        <v>BOX 555151</v>
      </c>
      <c r="D6897" t="str">
        <f t="shared" si="2628"/>
        <v>CAMP PENDLETON</v>
      </c>
      <c r="E6897" t="str">
        <f t="shared" si="2626"/>
        <v>CA</v>
      </c>
      <c r="F6897" t="str">
        <f t="shared" si="2632"/>
        <v>920555151</v>
      </c>
      <c r="G6897" t="str">
        <f t="shared" si="2633"/>
        <v>ATTN GCPC APPROVING OFFICIAL</v>
      </c>
      <c r="H6897" t="str">
        <f t="shared" si="2634"/>
        <v>BOX 555151</v>
      </c>
      <c r="I6897" t="str">
        <f t="shared" si="2629"/>
        <v>CAMP PENDLETON</v>
      </c>
      <c r="J6897" t="str">
        <f t="shared" si="2625"/>
        <v>CA</v>
      </c>
      <c r="K6897" t="str">
        <f>T("000000000000000000")</f>
        <v>000000000000000000</v>
      </c>
      <c r="L6897" t="str">
        <f>T("7607631316")</f>
        <v>7607631316</v>
      </c>
    </row>
    <row r="6898" spans="1:12" x14ac:dyDescent="0.35">
      <c r="A6898" t="str">
        <f t="shared" si="2630"/>
        <v>MCAS CPEN</v>
      </c>
      <c r="B6898" t="str">
        <f t="shared" si="2631"/>
        <v>ATTN GCPC APPROVING OFFICIAL</v>
      </c>
      <c r="C6898" t="str">
        <f>T("PO BOX 555151")</f>
        <v>PO BOX 555151</v>
      </c>
      <c r="D6898" t="str">
        <f t="shared" si="2628"/>
        <v>CAMP PENDLETON</v>
      </c>
      <c r="E6898" t="str">
        <f t="shared" si="2626"/>
        <v>CA</v>
      </c>
      <c r="F6898" t="str">
        <f t="shared" si="2632"/>
        <v>920555151</v>
      </c>
      <c r="G6898" t="str">
        <f t="shared" si="2633"/>
        <v>ATTN GCPC APPROVING OFFICIAL</v>
      </c>
      <c r="H6898" t="str">
        <f t="shared" si="2634"/>
        <v>BOX 555151</v>
      </c>
      <c r="I6898" t="str">
        <f t="shared" si="2629"/>
        <v>CAMP PENDLETON</v>
      </c>
      <c r="J6898" t="str">
        <f t="shared" si="2625"/>
        <v>CA</v>
      </c>
      <c r="K6898" t="str">
        <f>T("000000000000000000")</f>
        <v>000000000000000000</v>
      </c>
      <c r="L6898" t="str">
        <f>T("7607630055")</f>
        <v>7607630055</v>
      </c>
    </row>
    <row r="6899" spans="1:12" x14ac:dyDescent="0.35">
      <c r="A6899" t="str">
        <f t="shared" si="2630"/>
        <v>MCAS CPEN</v>
      </c>
      <c r="B6899" t="str">
        <f t="shared" si="2631"/>
        <v>ATTN GCPC APPROVING OFFICIAL</v>
      </c>
      <c r="C6899" t="str">
        <f>T("PO BOX 555151")</f>
        <v>PO BOX 555151</v>
      </c>
      <c r="D6899" t="str">
        <f t="shared" si="2628"/>
        <v>CAMP PENDLETON</v>
      </c>
      <c r="E6899" t="str">
        <f t="shared" si="2626"/>
        <v>CA</v>
      </c>
      <c r="F6899" t="str">
        <f t="shared" si="2632"/>
        <v>920555151</v>
      </c>
      <c r="G6899" t="str">
        <f t="shared" si="2633"/>
        <v>ATTN GCPC APPROVING OFFICIAL</v>
      </c>
      <c r="H6899" t="str">
        <f>T("PO BOX 555151")</f>
        <v>PO BOX 555151</v>
      </c>
      <c r="I6899" t="str">
        <f t="shared" si="2629"/>
        <v>CAMP PENDLETON</v>
      </c>
      <c r="J6899" t="str">
        <f t="shared" si="2625"/>
        <v>CA</v>
      </c>
      <c r="K6899" t="str">
        <f>T("")</f>
        <v/>
      </c>
      <c r="L6899" t="str">
        <f>T("7607630055")</f>
        <v>7607630055</v>
      </c>
    </row>
    <row r="6900" spans="1:12" x14ac:dyDescent="0.35">
      <c r="A6900" t="str">
        <f t="shared" ref="A6900:A6931" si="2635">T("MCAS CONTRCTNG OFFC: GCPC")</f>
        <v>MCAS CONTRCTNG OFFC: GCPC</v>
      </c>
      <c r="B6900" t="str">
        <f t="shared" si="2631"/>
        <v>ATTN GCPC APPROVING OFFICIAL</v>
      </c>
      <c r="C6900" t="str">
        <f>T("BOX 452026")</f>
        <v>BOX 452026</v>
      </c>
      <c r="D6900" t="str">
        <f t="shared" ref="D6900:D6905" si="2636">T("SAN DIEGO")</f>
        <v>SAN DIEGO</v>
      </c>
      <c r="E6900" t="str">
        <f t="shared" si="2626"/>
        <v>CA</v>
      </c>
      <c r="F6900" t="str">
        <f>T("921452026")</f>
        <v>921452026</v>
      </c>
      <c r="G6900" t="str">
        <f t="shared" si="2633"/>
        <v>ATTN GCPC APPROVING OFFICIAL</v>
      </c>
      <c r="H6900" t="str">
        <f>T("BOX 452025")</f>
        <v>BOX 452025</v>
      </c>
      <c r="I6900" t="str">
        <f t="shared" ref="I6900:I6905" si="2637">T("SAN DIEGO")</f>
        <v>SAN DIEGO</v>
      </c>
      <c r="J6900" t="str">
        <f t="shared" si="2625"/>
        <v>CA</v>
      </c>
      <c r="K6900" t="str">
        <f>T("000000000000000000")</f>
        <v>000000000000000000</v>
      </c>
      <c r="L6900" t="str">
        <f>T("8585777772")</f>
        <v>8585777772</v>
      </c>
    </row>
    <row r="6901" spans="1:12" x14ac:dyDescent="0.35">
      <c r="A6901" t="str">
        <f t="shared" si="2635"/>
        <v>MCAS CONTRCTNG OFFC: GCPC</v>
      </c>
      <c r="B6901" t="str">
        <f t="shared" si="2631"/>
        <v>ATTN GCPC APPROVING OFFICIAL</v>
      </c>
      <c r="C6901" t="str">
        <f>T("BOX 452026")</f>
        <v>BOX 452026</v>
      </c>
      <c r="D6901" t="str">
        <f t="shared" si="2636"/>
        <v>SAN DIEGO</v>
      </c>
      <c r="E6901" t="str">
        <f t="shared" si="2626"/>
        <v>CA</v>
      </c>
      <c r="F6901" t="str">
        <f>T("921452026")</f>
        <v>921452026</v>
      </c>
      <c r="G6901" t="str">
        <f t="shared" si="2633"/>
        <v>ATTN GCPC APPROVING OFFICIAL</v>
      </c>
      <c r="H6901" t="str">
        <f>T("BOX 452026")</f>
        <v>BOX 452026</v>
      </c>
      <c r="I6901" t="str">
        <f t="shared" si="2637"/>
        <v>SAN DIEGO</v>
      </c>
      <c r="J6901" t="str">
        <f t="shared" si="2625"/>
        <v>CA</v>
      </c>
      <c r="K6901" t="str">
        <f>T("000000000000000000")</f>
        <v>000000000000000000</v>
      </c>
      <c r="L6901" t="str">
        <f>T("8585776981")</f>
        <v>8585776981</v>
      </c>
    </row>
    <row r="6902" spans="1:12" x14ac:dyDescent="0.35">
      <c r="A6902" t="str">
        <f t="shared" si="2635"/>
        <v>MCAS CONTRCTNG OFFC: GCPC</v>
      </c>
      <c r="B6902" t="str">
        <f t="shared" si="2631"/>
        <v>ATTN GCPC APPROVING OFFICIAL</v>
      </c>
      <c r="C6902" t="str">
        <f>T("BOX 452026")</f>
        <v>BOX 452026</v>
      </c>
      <c r="D6902" t="str">
        <f t="shared" si="2636"/>
        <v>SAN DIEGO</v>
      </c>
      <c r="E6902" t="str">
        <f t="shared" si="2626"/>
        <v>CA</v>
      </c>
      <c r="F6902" t="str">
        <f>T("921452026")</f>
        <v>921452026</v>
      </c>
      <c r="G6902" t="str">
        <f t="shared" si="2633"/>
        <v>ATTN GCPC APPROVING OFFICIAL</v>
      </c>
      <c r="H6902" t="str">
        <f>T("BOX 452026")</f>
        <v>BOX 452026</v>
      </c>
      <c r="I6902" t="str">
        <f t="shared" si="2637"/>
        <v>SAN DIEGO</v>
      </c>
      <c r="J6902" t="str">
        <f t="shared" si="2625"/>
        <v>CA</v>
      </c>
      <c r="K6902" t="str">
        <f>T("000000000000000000")</f>
        <v>000000000000000000</v>
      </c>
      <c r="L6902" t="str">
        <f>T("8585777448")</f>
        <v>8585777448</v>
      </c>
    </row>
    <row r="6903" spans="1:12" x14ac:dyDescent="0.35">
      <c r="A6903" t="str">
        <f t="shared" si="2635"/>
        <v>MCAS CONTRCTNG OFFC: GCPC</v>
      </c>
      <c r="B6903" t="str">
        <f t="shared" si="2631"/>
        <v>ATTN GCPC APPROVING OFFICIAL</v>
      </c>
      <c r="C6903" t="str">
        <f>T("BOX 452026")</f>
        <v>BOX 452026</v>
      </c>
      <c r="D6903" t="str">
        <f t="shared" si="2636"/>
        <v>SAN DIEGO</v>
      </c>
      <c r="E6903" t="str">
        <f t="shared" si="2626"/>
        <v>CA</v>
      </c>
      <c r="F6903" t="str">
        <f>T("921452026")</f>
        <v>921452026</v>
      </c>
      <c r="G6903" t="str">
        <f>T("PO BOX 452026")</f>
        <v>PO BOX 452026</v>
      </c>
      <c r="H6903" t="str">
        <f>T("")</f>
        <v/>
      </c>
      <c r="I6903" t="str">
        <f t="shared" si="2637"/>
        <v>SAN DIEGO</v>
      </c>
      <c r="J6903" t="str">
        <f t="shared" si="2625"/>
        <v>CA</v>
      </c>
      <c r="K6903" t="str">
        <f>T("000000000000000000")</f>
        <v>000000000000000000</v>
      </c>
      <c r="L6903" t="str">
        <f>T("8585776980")</f>
        <v>8585776980</v>
      </c>
    </row>
    <row r="6904" spans="1:12" x14ac:dyDescent="0.35">
      <c r="A6904" t="str">
        <f t="shared" si="2635"/>
        <v>MCAS CONTRCTNG OFFC: GCPC</v>
      </c>
      <c r="B6904" t="str">
        <f t="shared" si="2631"/>
        <v>ATTN GCPC APPROVING OFFICIAL</v>
      </c>
      <c r="C6904" t="str">
        <f>T("BOX 452040")</f>
        <v>BOX 452040</v>
      </c>
      <c r="D6904" t="str">
        <f t="shared" si="2636"/>
        <v>SAN DIEGO</v>
      </c>
      <c r="E6904" t="str">
        <f t="shared" si="2626"/>
        <v>CA</v>
      </c>
      <c r="F6904" t="str">
        <f>T("921452040")</f>
        <v>921452040</v>
      </c>
      <c r="G6904" t="str">
        <f t="shared" ref="G6904:G6912" si="2638">T("ATTN GCPC APPROVING OFFICIAL")</f>
        <v>ATTN GCPC APPROVING OFFICIAL</v>
      </c>
      <c r="H6904" t="str">
        <f>T("BOX 452040")</f>
        <v>BOX 452040</v>
      </c>
      <c r="I6904" t="str">
        <f t="shared" si="2637"/>
        <v>SAN DIEGO</v>
      </c>
      <c r="J6904" t="str">
        <f t="shared" si="2625"/>
        <v>CA</v>
      </c>
      <c r="K6904" t="str">
        <f>T("")</f>
        <v/>
      </c>
      <c r="L6904" t="str">
        <f>T("8585771271")</f>
        <v>8585771271</v>
      </c>
    </row>
    <row r="6905" spans="1:12" x14ac:dyDescent="0.35">
      <c r="A6905" t="str">
        <f t="shared" si="2635"/>
        <v>MCAS CONTRCTNG OFFC: GCPC</v>
      </c>
      <c r="B6905" t="str">
        <f t="shared" si="2631"/>
        <v>ATTN GCPC APPROVING OFFICIAL</v>
      </c>
      <c r="C6905" t="str">
        <f>T("BOX 452040")</f>
        <v>BOX 452040</v>
      </c>
      <c r="D6905" t="str">
        <f t="shared" si="2636"/>
        <v>SAN DIEGO</v>
      </c>
      <c r="E6905" t="str">
        <f t="shared" si="2626"/>
        <v>CA</v>
      </c>
      <c r="F6905" t="str">
        <f>T("921452040")</f>
        <v>921452040</v>
      </c>
      <c r="G6905" t="str">
        <f t="shared" si="2638"/>
        <v>ATTN GCPC APPROVING OFFICIAL</v>
      </c>
      <c r="H6905" t="str">
        <f>T("BOX 452040")</f>
        <v>BOX 452040</v>
      </c>
      <c r="I6905" t="str">
        <f t="shared" si="2637"/>
        <v>SAN DIEGO</v>
      </c>
      <c r="J6905" t="str">
        <f t="shared" si="2625"/>
        <v>CA</v>
      </c>
      <c r="K6905" t="str">
        <f>T("000000000000000000")</f>
        <v>000000000000000000</v>
      </c>
      <c r="L6905" t="str">
        <f>T("8585771453")</f>
        <v>8585771453</v>
      </c>
    </row>
    <row r="6906" spans="1:12" x14ac:dyDescent="0.35">
      <c r="A6906" t="str">
        <f t="shared" si="2635"/>
        <v>MCAS CONTRCTNG OFFC: GCPC</v>
      </c>
      <c r="B6906" t="str">
        <f t="shared" si="2631"/>
        <v>ATTN GCPC APPROVING OFFICIAL</v>
      </c>
      <c r="C6906" t="str">
        <f>T("BOX 555761")</f>
        <v>BOX 555761</v>
      </c>
      <c r="D6906" t="str">
        <f>T("CMP PENDLETON")</f>
        <v>CMP PENDLETON</v>
      </c>
      <c r="E6906" t="str">
        <f t="shared" si="2626"/>
        <v>CA</v>
      </c>
      <c r="F6906" t="str">
        <f>T("920555761")</f>
        <v>920555761</v>
      </c>
      <c r="G6906" t="str">
        <f t="shared" si="2638"/>
        <v>ATTN GCPC APPROVING OFFICIAL</v>
      </c>
      <c r="H6906" t="str">
        <f>T("BOX 555761")</f>
        <v>BOX 555761</v>
      </c>
      <c r="I6906" t="str">
        <f>T("CAMP PENDLETON")</f>
        <v>CAMP PENDLETON</v>
      </c>
      <c r="J6906" t="str">
        <f t="shared" si="2625"/>
        <v>CA</v>
      </c>
      <c r="K6906" t="str">
        <f>T("000000000000000000")</f>
        <v>000000000000000000</v>
      </c>
      <c r="L6906" t="str">
        <f>T("7607630077")</f>
        <v>7607630077</v>
      </c>
    </row>
    <row r="6907" spans="1:12" x14ac:dyDescent="0.35">
      <c r="A6907" t="str">
        <f t="shared" si="2635"/>
        <v>MCAS CONTRCTNG OFFC: GCPC</v>
      </c>
      <c r="B6907" t="str">
        <f t="shared" si="2631"/>
        <v>ATTN GCPC APPROVING OFFICIAL</v>
      </c>
      <c r="C6907" t="str">
        <f>T("BOX 555761")</f>
        <v>BOX 555761</v>
      </c>
      <c r="D6907" t="str">
        <f>T("CMP PENDLETON")</f>
        <v>CMP PENDLETON</v>
      </c>
      <c r="E6907" t="str">
        <f t="shared" si="2626"/>
        <v>CA</v>
      </c>
      <c r="F6907" t="str">
        <f>T("920555761")</f>
        <v>920555761</v>
      </c>
      <c r="G6907" t="str">
        <f t="shared" si="2638"/>
        <v>ATTN GCPC APPROVING OFFICIAL</v>
      </c>
      <c r="H6907" t="str">
        <f>T("BOX 555761")</f>
        <v>BOX 555761</v>
      </c>
      <c r="I6907" t="str">
        <f>T("CMP PENDLETON")</f>
        <v>CMP PENDLETON</v>
      </c>
      <c r="J6907" t="str">
        <f t="shared" si="2625"/>
        <v>CA</v>
      </c>
      <c r="K6907" t="str">
        <f>T("")</f>
        <v/>
      </c>
      <c r="L6907" t="str">
        <f>T("7607630077")</f>
        <v>7607630077</v>
      </c>
    </row>
    <row r="6908" spans="1:12" x14ac:dyDescent="0.35">
      <c r="A6908" t="str">
        <f t="shared" si="2635"/>
        <v>MCAS CONTRCTNG OFFC: GCPC</v>
      </c>
      <c r="B6908" t="str">
        <f t="shared" si="2631"/>
        <v>ATTN GCPC APPROVING OFFICIAL</v>
      </c>
      <c r="C6908" t="str">
        <f>T("BOX 555841")</f>
        <v>BOX 555841</v>
      </c>
      <c r="D6908" t="str">
        <f>T("CAMP PENDLETON")</f>
        <v>CAMP PENDLETON</v>
      </c>
      <c r="E6908" t="str">
        <f t="shared" si="2626"/>
        <v>CA</v>
      </c>
      <c r="F6908" t="str">
        <f>T("920555841")</f>
        <v>920555841</v>
      </c>
      <c r="G6908" t="str">
        <f t="shared" si="2638"/>
        <v>ATTN GCPC APPROVING OFFICIAL</v>
      </c>
      <c r="H6908" t="str">
        <f>T("BOX 555841")</f>
        <v>BOX 555841</v>
      </c>
      <c r="I6908" t="str">
        <f>T("CAMP PENDLETON")</f>
        <v>CAMP PENDLETON</v>
      </c>
      <c r="J6908" t="str">
        <f t="shared" si="2625"/>
        <v>CA</v>
      </c>
      <c r="K6908" t="str">
        <f>T("")</f>
        <v/>
      </c>
      <c r="L6908" t="str">
        <f>T("7607250102")</f>
        <v>7607250102</v>
      </c>
    </row>
    <row r="6909" spans="1:12" x14ac:dyDescent="0.35">
      <c r="A6909" t="str">
        <f t="shared" si="2635"/>
        <v>MCAS CONTRCTNG OFFC: GCPC</v>
      </c>
      <c r="B6909" t="str">
        <f t="shared" si="2631"/>
        <v>ATTN GCPC APPROVING OFFICIAL</v>
      </c>
      <c r="C6909" t="str">
        <f>T("BOX 555841")</f>
        <v>BOX 555841</v>
      </c>
      <c r="D6909" t="str">
        <f>T("CAMP PENDLETON")</f>
        <v>CAMP PENDLETON</v>
      </c>
      <c r="E6909" t="str">
        <f t="shared" si="2626"/>
        <v>CA</v>
      </c>
      <c r="F6909" t="str">
        <f>T("920555841")</f>
        <v>920555841</v>
      </c>
      <c r="G6909" t="str">
        <f t="shared" si="2638"/>
        <v>ATTN GCPC APPROVING OFFICIAL</v>
      </c>
      <c r="H6909" t="str">
        <f>T("BOX 555841")</f>
        <v>BOX 555841</v>
      </c>
      <c r="I6909" t="str">
        <f>T("CAMP PENDLETON")</f>
        <v>CAMP PENDLETON</v>
      </c>
      <c r="J6909" t="str">
        <f t="shared" si="2625"/>
        <v>CA</v>
      </c>
      <c r="K6909" t="str">
        <f>T("000000000000000000")</f>
        <v>000000000000000000</v>
      </c>
      <c r="L6909" t="str">
        <f>T("7607250102")</f>
        <v>7607250102</v>
      </c>
    </row>
    <row r="6910" spans="1:12" x14ac:dyDescent="0.35">
      <c r="A6910" t="str">
        <f t="shared" si="2635"/>
        <v>MCAS CONTRCTNG OFFC: GCPC</v>
      </c>
      <c r="B6910" t="str">
        <f t="shared" si="2631"/>
        <v>ATTN GCPC APPROVING OFFICIAL</v>
      </c>
      <c r="C6910" t="str">
        <f>T("BOX 99210")</f>
        <v>BOX 99210</v>
      </c>
      <c r="D6910" t="str">
        <f>T("YUMA")</f>
        <v>YUMA</v>
      </c>
      <c r="E6910" t="str">
        <f>T("AZ")</f>
        <v>AZ</v>
      </c>
      <c r="F6910" t="str">
        <f>T("853699210")</f>
        <v>853699210</v>
      </c>
      <c r="G6910" t="str">
        <f t="shared" si="2638"/>
        <v>ATTN GCPC APPROVING OFFICIAL</v>
      </c>
      <c r="H6910" t="str">
        <f>T("BOX 99210")</f>
        <v>BOX 99210</v>
      </c>
      <c r="I6910" t="str">
        <f>T("YUMA")</f>
        <v>YUMA</v>
      </c>
      <c r="J6910" t="str">
        <f>T("AZ")</f>
        <v>AZ</v>
      </c>
      <c r="K6910" t="str">
        <f>T("")</f>
        <v/>
      </c>
      <c r="L6910" t="str">
        <f>T("9282693330")</f>
        <v>9282693330</v>
      </c>
    </row>
    <row r="6911" spans="1:12" x14ac:dyDescent="0.35">
      <c r="A6911" t="str">
        <f t="shared" si="2635"/>
        <v>MCAS CONTRCTNG OFFC: GCPC</v>
      </c>
      <c r="B6911" t="str">
        <f t="shared" si="2631"/>
        <v>ATTN GCPC APPROVING OFFICIAL</v>
      </c>
      <c r="C6911" t="str">
        <f>T("BOX 99210")</f>
        <v>BOX 99210</v>
      </c>
      <c r="D6911" t="str">
        <f>T("YUMA")</f>
        <v>YUMA</v>
      </c>
      <c r="E6911" t="str">
        <f>T("AZ")</f>
        <v>AZ</v>
      </c>
      <c r="F6911" t="str">
        <f>T("853699210")</f>
        <v>853699210</v>
      </c>
      <c r="G6911" t="str">
        <f t="shared" si="2638"/>
        <v>ATTN GCPC APPROVING OFFICIAL</v>
      </c>
      <c r="H6911" t="str">
        <f>T("BOX 99210")</f>
        <v>BOX 99210</v>
      </c>
      <c r="I6911" t="str">
        <f>T("YUMA")</f>
        <v>YUMA</v>
      </c>
      <c r="J6911" t="str">
        <f>T("AZ")</f>
        <v>AZ</v>
      </c>
      <c r="K6911" t="str">
        <f>T("000000000000000000")</f>
        <v>000000000000000000</v>
      </c>
      <c r="L6911" t="str">
        <f>T("9282692548")</f>
        <v>9282692548</v>
      </c>
    </row>
    <row r="6912" spans="1:12" x14ac:dyDescent="0.35">
      <c r="A6912" t="str">
        <f t="shared" si="2635"/>
        <v>MCAS CONTRCTNG OFFC: GCPC</v>
      </c>
      <c r="B6912" t="str">
        <f t="shared" si="2631"/>
        <v>ATTN GCPC APPROVING OFFICIAL</v>
      </c>
      <c r="C6912" t="str">
        <f>T("BOX 99210")</f>
        <v>BOX 99210</v>
      </c>
      <c r="D6912" t="str">
        <f>T("YUMA")</f>
        <v>YUMA</v>
      </c>
      <c r="E6912" t="str">
        <f>T("AZ")</f>
        <v>AZ</v>
      </c>
      <c r="F6912" t="str">
        <f>T("853699210")</f>
        <v>853699210</v>
      </c>
      <c r="G6912" t="str">
        <f t="shared" si="2638"/>
        <v>ATTN GCPC APPROVING OFFICIAL</v>
      </c>
      <c r="H6912" t="str">
        <f>T("BOX 99210")</f>
        <v>BOX 99210</v>
      </c>
      <c r="I6912" t="str">
        <f>T("YUMA")</f>
        <v>YUMA</v>
      </c>
      <c r="J6912" t="str">
        <f>T("AZ")</f>
        <v>AZ</v>
      </c>
      <c r="K6912" t="str">
        <f>T("000000000000000000")</f>
        <v>000000000000000000</v>
      </c>
      <c r="L6912" t="str">
        <f>T("9282696676")</f>
        <v>9282696676</v>
      </c>
    </row>
    <row r="6913" spans="1:12" x14ac:dyDescent="0.35">
      <c r="A6913" t="str">
        <f t="shared" si="2635"/>
        <v>MCAS CONTRCTNG OFFC: GCPC</v>
      </c>
      <c r="B6913" t="str">
        <f t="shared" si="2631"/>
        <v>ATTN GCPC APPROVING OFFICIAL</v>
      </c>
      <c r="C6913" t="str">
        <f>T("BOX 99210")</f>
        <v>BOX 99210</v>
      </c>
      <c r="D6913" t="str">
        <f>T("YUMA")</f>
        <v>YUMA</v>
      </c>
      <c r="E6913" t="str">
        <f>T("AZ")</f>
        <v>AZ</v>
      </c>
      <c r="F6913" t="str">
        <f>T("853699210")</f>
        <v>853699210</v>
      </c>
      <c r="G6913" t="str">
        <f>T("PO BOX 99210")</f>
        <v>PO BOX 99210</v>
      </c>
      <c r="H6913" t="str">
        <f>T("")</f>
        <v/>
      </c>
      <c r="I6913" t="str">
        <f>T("YUMA")</f>
        <v>YUMA</v>
      </c>
      <c r="J6913" t="str">
        <f>T("AZ")</f>
        <v>AZ</v>
      </c>
      <c r="K6913" t="str">
        <f>T("000000000000000000")</f>
        <v>000000000000000000</v>
      </c>
      <c r="L6913" t="str">
        <f>T("9282696676")</f>
        <v>9282696676</v>
      </c>
    </row>
    <row r="6914" spans="1:12" x14ac:dyDescent="0.35">
      <c r="A6914" t="str">
        <f t="shared" si="2635"/>
        <v>MCAS CONTRCTNG OFFC: GCPC</v>
      </c>
      <c r="B6914" t="str">
        <f t="shared" si="2631"/>
        <v>ATTN GCPC APPROVING OFFICIAL</v>
      </c>
      <c r="C6914" t="str">
        <f>T("PO BOX 555861")</f>
        <v>PO BOX 555861</v>
      </c>
      <c r="D6914" t="str">
        <f>T("CAMP PENDLETON")</f>
        <v>CAMP PENDLETON</v>
      </c>
      <c r="E6914" t="str">
        <f t="shared" ref="E6914:E6923" si="2639">T("CA")</f>
        <v>CA</v>
      </c>
      <c r="F6914" t="str">
        <f>T("920555861")</f>
        <v>920555861</v>
      </c>
      <c r="G6914" t="str">
        <f>T("ATTN GCPC APPROVING OFFICIAL")</f>
        <v>ATTN GCPC APPROVING OFFICIAL</v>
      </c>
      <c r="H6914" t="str">
        <f>T("BOX 555681")</f>
        <v>BOX 555681</v>
      </c>
      <c r="I6914" t="str">
        <f>T("CAMP PENDLETON")</f>
        <v>CAMP PENDLETON</v>
      </c>
      <c r="J6914" t="str">
        <f t="shared" ref="J6914:J6923" si="2640">T("CA")</f>
        <v>CA</v>
      </c>
      <c r="K6914" t="str">
        <f>T("000000000000000000")</f>
        <v>000000000000000000</v>
      </c>
      <c r="L6914" t="str">
        <f>T("7607254811")</f>
        <v>7607254811</v>
      </c>
    </row>
    <row r="6915" spans="1:12" x14ac:dyDescent="0.35">
      <c r="A6915" t="str">
        <f t="shared" si="2635"/>
        <v>MCAS CONTRCTNG OFFC: GCPC</v>
      </c>
      <c r="B6915" t="str">
        <f t="shared" si="2631"/>
        <v>ATTN GCPC APPROVING OFFICIAL</v>
      </c>
      <c r="C6915" t="str">
        <f>T("PO BOX 555861")</f>
        <v>PO BOX 555861</v>
      </c>
      <c r="D6915" t="str">
        <f>T("CAMP PENDLETON")</f>
        <v>CAMP PENDLETON</v>
      </c>
      <c r="E6915" t="str">
        <f t="shared" si="2639"/>
        <v>CA</v>
      </c>
      <c r="F6915" t="str">
        <f>T("920555861")</f>
        <v>920555861</v>
      </c>
      <c r="G6915" t="str">
        <f>T("ATTN GCPC APPROVING OFFICIAL")</f>
        <v>ATTN GCPC APPROVING OFFICIAL</v>
      </c>
      <c r="H6915" t="str">
        <f>T("BOX 555861")</f>
        <v>BOX 555861</v>
      </c>
      <c r="I6915" t="str">
        <f>T("CAMP PENDLETON")</f>
        <v>CAMP PENDLETON</v>
      </c>
      <c r="J6915" t="str">
        <f t="shared" si="2640"/>
        <v>CA</v>
      </c>
      <c r="K6915" t="str">
        <f>T("000000000000000000")</f>
        <v>000000000000000000</v>
      </c>
      <c r="L6915" t="str">
        <f>T("7607254811")</f>
        <v>7607254811</v>
      </c>
    </row>
    <row r="6916" spans="1:12" x14ac:dyDescent="0.35">
      <c r="A6916" t="str">
        <f t="shared" si="2635"/>
        <v>MCAS CONTRCTNG OFFC: GCPC</v>
      </c>
      <c r="B6916" t="str">
        <f t="shared" si="2631"/>
        <v>ATTN GCPC APPROVING OFFICIAL</v>
      </c>
      <c r="C6916" t="str">
        <f>T("PO BOX 555861")</f>
        <v>PO BOX 555861</v>
      </c>
      <c r="D6916" t="str">
        <f>T("CAMP PENDLETON")</f>
        <v>CAMP PENDLETON</v>
      </c>
      <c r="E6916" t="str">
        <f t="shared" si="2639"/>
        <v>CA</v>
      </c>
      <c r="F6916" t="str">
        <f>T("920555861")</f>
        <v>920555861</v>
      </c>
      <c r="G6916" t="str">
        <f>T("ATTN GCPC APPROVING OFFICIAL")</f>
        <v>ATTN GCPC APPROVING OFFICIAL</v>
      </c>
      <c r="H6916" t="str">
        <f>T("PO BOX 555861")</f>
        <v>PO BOX 555861</v>
      </c>
      <c r="I6916" t="str">
        <f>T("CAMP PENDLETON")</f>
        <v>CAMP PENDLETON</v>
      </c>
      <c r="J6916" t="str">
        <f t="shared" si="2640"/>
        <v>CA</v>
      </c>
      <c r="K6916" t="str">
        <f>T("")</f>
        <v/>
      </c>
      <c r="L6916" t="str">
        <f>T("7607254811")</f>
        <v>7607254811</v>
      </c>
    </row>
    <row r="6917" spans="1:12" x14ac:dyDescent="0.35">
      <c r="A6917" t="str">
        <f t="shared" si="2635"/>
        <v>MCAS CONTRCTNG OFFC: GCPC</v>
      </c>
      <c r="B6917" t="str">
        <f>T("BOX 452051")</f>
        <v>BOX 452051</v>
      </c>
      <c r="C6917" t="str">
        <f t="shared" ref="C6917:C6927" si="2641">T("")</f>
        <v/>
      </c>
      <c r="D6917" t="str">
        <f>T("SAN DIEGO")</f>
        <v>SAN DIEGO</v>
      </c>
      <c r="E6917" t="str">
        <f t="shared" si="2639"/>
        <v>CA</v>
      </c>
      <c r="F6917" t="str">
        <f>T("921452051")</f>
        <v>921452051</v>
      </c>
      <c r="G6917" t="str">
        <f>T("ATTN GCPC APPROVING OFFICAL")</f>
        <v>ATTN GCPC APPROVING OFFICAL</v>
      </c>
      <c r="H6917" t="str">
        <f>T("BOX 452051")</f>
        <v>BOX 452051</v>
      </c>
      <c r="I6917" t="str">
        <f>T("SAN DIEGO")</f>
        <v>SAN DIEGO</v>
      </c>
      <c r="J6917" t="str">
        <f t="shared" si="2640"/>
        <v>CA</v>
      </c>
      <c r="K6917" t="str">
        <f t="shared" ref="K6917:K6928" si="2642">T("000000000000000000")</f>
        <v>000000000000000000</v>
      </c>
      <c r="L6917" t="str">
        <f>T("8585779621")</f>
        <v>8585779621</v>
      </c>
    </row>
    <row r="6918" spans="1:12" x14ac:dyDescent="0.35">
      <c r="A6918" t="str">
        <f t="shared" si="2635"/>
        <v>MCAS CONTRCTNG OFFC: GCPC</v>
      </c>
      <c r="B6918" t="str">
        <f>T("BOX 452051")</f>
        <v>BOX 452051</v>
      </c>
      <c r="C6918" t="str">
        <f t="shared" si="2641"/>
        <v/>
      </c>
      <c r="D6918" t="str">
        <f>T("SAN DIEGO")</f>
        <v>SAN DIEGO</v>
      </c>
      <c r="E6918" t="str">
        <f t="shared" si="2639"/>
        <v>CA</v>
      </c>
      <c r="F6918" t="str">
        <f>T("921452051")</f>
        <v>921452051</v>
      </c>
      <c r="G6918" t="str">
        <f>T("ATTN GCPC APPROVING OFFICIAL")</f>
        <v>ATTN GCPC APPROVING OFFICIAL</v>
      </c>
      <c r="H6918" t="str">
        <f>T("BOX 452051")</f>
        <v>BOX 452051</v>
      </c>
      <c r="I6918" t="str">
        <f>T("SAN DIEGO")</f>
        <v>SAN DIEGO</v>
      </c>
      <c r="J6918" t="str">
        <f t="shared" si="2640"/>
        <v>CA</v>
      </c>
      <c r="K6918" t="str">
        <f t="shared" si="2642"/>
        <v>000000000000000000</v>
      </c>
      <c r="L6918" t="str">
        <f>T("8585774612")</f>
        <v>8585774612</v>
      </c>
    </row>
    <row r="6919" spans="1:12" x14ac:dyDescent="0.35">
      <c r="A6919" t="str">
        <f t="shared" si="2635"/>
        <v>MCAS CONTRCTNG OFFC: GCPC</v>
      </c>
      <c r="B6919" t="str">
        <f>T("BOX 452051")</f>
        <v>BOX 452051</v>
      </c>
      <c r="C6919" t="str">
        <f t="shared" si="2641"/>
        <v/>
      </c>
      <c r="D6919" t="str">
        <f>T("SAN DIEGO")</f>
        <v>SAN DIEGO</v>
      </c>
      <c r="E6919" t="str">
        <f t="shared" si="2639"/>
        <v>CA</v>
      </c>
      <c r="F6919" t="str">
        <f>T("921452051")</f>
        <v>921452051</v>
      </c>
      <c r="G6919" t="str">
        <f>T("ATTN GCPC APPROVING OFFICIAL")</f>
        <v>ATTN GCPC APPROVING OFFICIAL</v>
      </c>
      <c r="H6919" t="str">
        <f>T("BOX 452051")</f>
        <v>BOX 452051</v>
      </c>
      <c r="I6919" t="str">
        <f>T("SAN DIEGO")</f>
        <v>SAN DIEGO</v>
      </c>
      <c r="J6919" t="str">
        <f t="shared" si="2640"/>
        <v>CA</v>
      </c>
      <c r="K6919" t="str">
        <f t="shared" si="2642"/>
        <v>000000000000000000</v>
      </c>
      <c r="L6919" t="str">
        <f>T("8585779621")</f>
        <v>8585779621</v>
      </c>
    </row>
    <row r="6920" spans="1:12" x14ac:dyDescent="0.35">
      <c r="A6920" t="str">
        <f t="shared" si="2635"/>
        <v>MCAS CONTRCTNG OFFC: GCPC</v>
      </c>
      <c r="B6920" t="str">
        <f>T("BOX 452051")</f>
        <v>BOX 452051</v>
      </c>
      <c r="C6920" t="str">
        <f t="shared" si="2641"/>
        <v/>
      </c>
      <c r="D6920" t="str">
        <f>T("SAN DIEGO")</f>
        <v>SAN DIEGO</v>
      </c>
      <c r="E6920" t="str">
        <f t="shared" si="2639"/>
        <v>CA</v>
      </c>
      <c r="F6920" t="str">
        <f>T("921452051")</f>
        <v>921452051</v>
      </c>
      <c r="G6920" t="str">
        <f>T("BOX 452051")</f>
        <v>BOX 452051</v>
      </c>
      <c r="H6920" t="str">
        <f>T("")</f>
        <v/>
      </c>
      <c r="I6920" t="str">
        <f>T("SAN DIEGO")</f>
        <v>SAN DIEGO</v>
      </c>
      <c r="J6920" t="str">
        <f t="shared" si="2640"/>
        <v>CA</v>
      </c>
      <c r="K6920" t="str">
        <f t="shared" si="2642"/>
        <v>000000000000000000</v>
      </c>
      <c r="L6920" t="str">
        <f>T("8585778984")</f>
        <v>8585778984</v>
      </c>
    </row>
    <row r="6921" spans="1:12" x14ac:dyDescent="0.35">
      <c r="A6921" t="str">
        <f t="shared" si="2635"/>
        <v>MCAS CONTRCTNG OFFC: GCPC</v>
      </c>
      <c r="B6921" t="str">
        <f>T("BOX 555750")</f>
        <v>BOX 555750</v>
      </c>
      <c r="C6921" t="str">
        <f t="shared" si="2641"/>
        <v/>
      </c>
      <c r="D6921" t="str">
        <f>T("CAMP PENDLETON")</f>
        <v>CAMP PENDLETON</v>
      </c>
      <c r="E6921" t="str">
        <f t="shared" si="2639"/>
        <v>CA</v>
      </c>
      <c r="F6921" t="str">
        <f>T("920555750")</f>
        <v>920555750</v>
      </c>
      <c r="G6921" t="str">
        <f>T("ATTN GCPC APPROVING OFFICIAL")</f>
        <v>ATTN GCPC APPROVING OFFICIAL</v>
      </c>
      <c r="H6921" t="str">
        <f>T("BOX 555750")</f>
        <v>BOX 555750</v>
      </c>
      <c r="I6921" t="str">
        <f>T("CAMP PENDLETON")</f>
        <v>CAMP PENDLETON</v>
      </c>
      <c r="J6921" t="str">
        <f t="shared" si="2640"/>
        <v>CA</v>
      </c>
      <c r="K6921" t="str">
        <f t="shared" si="2642"/>
        <v>000000000000000000</v>
      </c>
      <c r="L6921" t="str">
        <f>T("7607631218")</f>
        <v>7607631218</v>
      </c>
    </row>
    <row r="6922" spans="1:12" x14ac:dyDescent="0.35">
      <c r="A6922" t="str">
        <f t="shared" si="2635"/>
        <v>MCAS CONTRCTNG OFFC: GCPC</v>
      </c>
      <c r="B6922" t="str">
        <f>T("BOX 555750")</f>
        <v>BOX 555750</v>
      </c>
      <c r="C6922" t="str">
        <f t="shared" si="2641"/>
        <v/>
      </c>
      <c r="D6922" t="str">
        <f>T("CAMP PENDLETON")</f>
        <v>CAMP PENDLETON</v>
      </c>
      <c r="E6922" t="str">
        <f t="shared" si="2639"/>
        <v>CA</v>
      </c>
      <c r="F6922" t="str">
        <f>T("920555750")</f>
        <v>920555750</v>
      </c>
      <c r="G6922" t="str">
        <f>T("ATTN GCPC APPROVING OFFICIAL")</f>
        <v>ATTN GCPC APPROVING OFFICIAL</v>
      </c>
      <c r="H6922" t="str">
        <f>T("PO BOX 555750")</f>
        <v>PO BOX 555750</v>
      </c>
      <c r="I6922" t="str">
        <f>T("CAMP PENDLETON")</f>
        <v>CAMP PENDLETON</v>
      </c>
      <c r="J6922" t="str">
        <f t="shared" si="2640"/>
        <v>CA</v>
      </c>
      <c r="K6922" t="str">
        <f t="shared" si="2642"/>
        <v>000000000000000000</v>
      </c>
      <c r="L6922" t="str">
        <f>T("7607631218")</f>
        <v>7607631218</v>
      </c>
    </row>
    <row r="6923" spans="1:12" x14ac:dyDescent="0.35">
      <c r="A6923" t="str">
        <f t="shared" si="2635"/>
        <v>MCAS CONTRCTNG OFFC: GCPC</v>
      </c>
      <c r="B6923" t="str">
        <f>T("BOX 555750")</f>
        <v>BOX 555750</v>
      </c>
      <c r="C6923" t="str">
        <f t="shared" si="2641"/>
        <v/>
      </c>
      <c r="D6923" t="str">
        <f>T("CAMP PENDLETON")</f>
        <v>CAMP PENDLETON</v>
      </c>
      <c r="E6923" t="str">
        <f t="shared" si="2639"/>
        <v>CA</v>
      </c>
      <c r="F6923" t="str">
        <f>T("920555750")</f>
        <v>920555750</v>
      </c>
      <c r="G6923" t="str">
        <f>T("BOX 555750")</f>
        <v>BOX 555750</v>
      </c>
      <c r="H6923" t="str">
        <f>T("")</f>
        <v/>
      </c>
      <c r="I6923" t="str">
        <f>T("CAMP PENDLETON")</f>
        <v>CAMP PENDLETON</v>
      </c>
      <c r="J6923" t="str">
        <f t="shared" si="2640"/>
        <v>CA</v>
      </c>
      <c r="K6923" t="str">
        <f t="shared" si="2642"/>
        <v>000000000000000000</v>
      </c>
      <c r="L6923" t="str">
        <f>T("7607635265")</f>
        <v>7607635265</v>
      </c>
    </row>
    <row r="6924" spans="1:12" x14ac:dyDescent="0.35">
      <c r="A6924" t="str">
        <f t="shared" si="2635"/>
        <v>MCAS CONTRCTNG OFFC: GCPC</v>
      </c>
      <c r="B6924" t="str">
        <f>T("BOX 99170")</f>
        <v>BOX 99170</v>
      </c>
      <c r="C6924" t="str">
        <f t="shared" si="2641"/>
        <v/>
      </c>
      <c r="D6924" t="str">
        <f t="shared" ref="D6924:D6929" si="2643">T("YUMA")</f>
        <v>YUMA</v>
      </c>
      <c r="E6924" t="str">
        <f t="shared" ref="E6924:E6929" si="2644">T("AZ")</f>
        <v>AZ</v>
      </c>
      <c r="F6924" t="str">
        <f>T("853699170")</f>
        <v>853699170</v>
      </c>
      <c r="G6924" t="str">
        <f>T("ATTN GCPC APPROVING OFFICIAL")</f>
        <v>ATTN GCPC APPROVING OFFICIAL</v>
      </c>
      <c r="H6924" t="str">
        <f>T("BOX 99170")</f>
        <v>BOX 99170</v>
      </c>
      <c r="I6924" t="str">
        <f t="shared" ref="I6924:I6929" si="2645">T("YUMA")</f>
        <v>YUMA</v>
      </c>
      <c r="J6924" t="str">
        <f t="shared" ref="J6924:J6929" si="2646">T("AZ")</f>
        <v>AZ</v>
      </c>
      <c r="K6924" t="str">
        <f t="shared" si="2642"/>
        <v>000000000000000000</v>
      </c>
      <c r="L6924" t="str">
        <f>T("9282693867")</f>
        <v>9282693867</v>
      </c>
    </row>
    <row r="6925" spans="1:12" x14ac:dyDescent="0.35">
      <c r="A6925" t="str">
        <f t="shared" si="2635"/>
        <v>MCAS CONTRCTNG OFFC: GCPC</v>
      </c>
      <c r="B6925" t="str">
        <f>T("BOX 99170")</f>
        <v>BOX 99170</v>
      </c>
      <c r="C6925" t="str">
        <f t="shared" si="2641"/>
        <v/>
      </c>
      <c r="D6925" t="str">
        <f t="shared" si="2643"/>
        <v>YUMA</v>
      </c>
      <c r="E6925" t="str">
        <f t="shared" si="2644"/>
        <v>AZ</v>
      </c>
      <c r="F6925" t="str">
        <f>T("853699170")</f>
        <v>853699170</v>
      </c>
      <c r="G6925" t="str">
        <f>T("BOX 99170")</f>
        <v>BOX 99170</v>
      </c>
      <c r="H6925" t="str">
        <f>T("")</f>
        <v/>
      </c>
      <c r="I6925" t="str">
        <f t="shared" si="2645"/>
        <v>YUMA</v>
      </c>
      <c r="J6925" t="str">
        <f t="shared" si="2646"/>
        <v>AZ</v>
      </c>
      <c r="K6925" t="str">
        <f t="shared" si="2642"/>
        <v>000000000000000000</v>
      </c>
      <c r="L6925" t="str">
        <f>T("9282693849")</f>
        <v>9282693849</v>
      </c>
    </row>
    <row r="6926" spans="1:12" x14ac:dyDescent="0.35">
      <c r="A6926" t="str">
        <f t="shared" si="2635"/>
        <v>MCAS CONTRCTNG OFFC: GCPC</v>
      </c>
      <c r="B6926" t="str">
        <f>T("BOX 99190")</f>
        <v>BOX 99190</v>
      </c>
      <c r="C6926" t="str">
        <f t="shared" si="2641"/>
        <v/>
      </c>
      <c r="D6926" t="str">
        <f t="shared" si="2643"/>
        <v>YUMA</v>
      </c>
      <c r="E6926" t="str">
        <f t="shared" si="2644"/>
        <v>AZ</v>
      </c>
      <c r="F6926" t="str">
        <f>T("853699190")</f>
        <v>853699190</v>
      </c>
      <c r="G6926" t="str">
        <f>T("ATTN GCPC APPROVING OFFICIAL")</f>
        <v>ATTN GCPC APPROVING OFFICIAL</v>
      </c>
      <c r="H6926" t="str">
        <f>T("BOX 99190")</f>
        <v>BOX 99190</v>
      </c>
      <c r="I6926" t="str">
        <f t="shared" si="2645"/>
        <v>YUMA</v>
      </c>
      <c r="J6926" t="str">
        <f t="shared" si="2646"/>
        <v>AZ</v>
      </c>
      <c r="K6926" t="str">
        <f t="shared" si="2642"/>
        <v>000000000000000000</v>
      </c>
      <c r="L6926" t="str">
        <f>T("9282692430")</f>
        <v>9282692430</v>
      </c>
    </row>
    <row r="6927" spans="1:12" x14ac:dyDescent="0.35">
      <c r="A6927" t="str">
        <f t="shared" si="2635"/>
        <v>MCAS CONTRCTNG OFFC: GCPC</v>
      </c>
      <c r="B6927" t="str">
        <f>T("BOX 99190")</f>
        <v>BOX 99190</v>
      </c>
      <c r="C6927" t="str">
        <f t="shared" si="2641"/>
        <v/>
      </c>
      <c r="D6927" t="str">
        <f t="shared" si="2643"/>
        <v>YUMA</v>
      </c>
      <c r="E6927" t="str">
        <f t="shared" si="2644"/>
        <v>AZ</v>
      </c>
      <c r="F6927" t="str">
        <f>T("853699190")</f>
        <v>853699190</v>
      </c>
      <c r="G6927" t="str">
        <f>T("BOX 99190")</f>
        <v>BOX 99190</v>
      </c>
      <c r="H6927" t="str">
        <f>T("")</f>
        <v/>
      </c>
      <c r="I6927" t="str">
        <f t="shared" si="2645"/>
        <v>YUMA</v>
      </c>
      <c r="J6927" t="str">
        <f t="shared" si="2646"/>
        <v>AZ</v>
      </c>
      <c r="K6927" t="str">
        <f t="shared" si="2642"/>
        <v>000000000000000000</v>
      </c>
      <c r="L6927" t="str">
        <f>T("9282693273")</f>
        <v>9282693273</v>
      </c>
    </row>
    <row r="6928" spans="1:12" x14ac:dyDescent="0.35">
      <c r="A6928" t="str">
        <f t="shared" si="2635"/>
        <v>MCAS CONTRCTNG OFFC: GCPC</v>
      </c>
      <c r="B6928" t="str">
        <f>T("CO MAG-13")</f>
        <v>CO MAG-13</v>
      </c>
      <c r="C6928" t="str">
        <f>T("PO BOX 99180")</f>
        <v>PO BOX 99180</v>
      </c>
      <c r="D6928" t="str">
        <f t="shared" si="2643"/>
        <v>YUMA</v>
      </c>
      <c r="E6928" t="str">
        <f t="shared" si="2644"/>
        <v>AZ</v>
      </c>
      <c r="F6928" t="str">
        <f>T("853699180")</f>
        <v>853699180</v>
      </c>
      <c r="G6928" t="str">
        <f>T("ATTN GCPC APPROVING OFFICIAL")</f>
        <v>ATTN GCPC APPROVING OFFICIAL</v>
      </c>
      <c r="H6928" t="str">
        <f>T("BOX 99180")</f>
        <v>BOX 99180</v>
      </c>
      <c r="I6928" t="str">
        <f t="shared" si="2645"/>
        <v>YUMA</v>
      </c>
      <c r="J6928" t="str">
        <f t="shared" si="2646"/>
        <v>AZ</v>
      </c>
      <c r="K6928" t="str">
        <f t="shared" si="2642"/>
        <v>000000000000000000</v>
      </c>
      <c r="L6928" t="str">
        <f>T("9282692165")</f>
        <v>9282692165</v>
      </c>
    </row>
    <row r="6929" spans="1:12" x14ac:dyDescent="0.35">
      <c r="A6929" t="str">
        <f t="shared" si="2635"/>
        <v>MCAS CONTRCTNG OFFC: GCPC</v>
      </c>
      <c r="B6929" t="str">
        <f>T("CO MAG-13")</f>
        <v>CO MAG-13</v>
      </c>
      <c r="C6929" t="str">
        <f>T("PO BOX 99180")</f>
        <v>PO BOX 99180</v>
      </c>
      <c r="D6929" t="str">
        <f t="shared" si="2643"/>
        <v>YUMA</v>
      </c>
      <c r="E6929" t="str">
        <f t="shared" si="2644"/>
        <v>AZ</v>
      </c>
      <c r="F6929" t="str">
        <f>T("853699180")</f>
        <v>853699180</v>
      </c>
      <c r="G6929" t="str">
        <f>T("CO MAG-13")</f>
        <v>CO MAG-13</v>
      </c>
      <c r="H6929" t="str">
        <f>T("PO BOX 99180")</f>
        <v>PO BOX 99180</v>
      </c>
      <c r="I6929" t="str">
        <f t="shared" si="2645"/>
        <v>YUMA</v>
      </c>
      <c r="J6929" t="str">
        <f t="shared" si="2646"/>
        <v>AZ</v>
      </c>
      <c r="K6929" t="str">
        <f>T("")</f>
        <v/>
      </c>
      <c r="L6929" t="str">
        <f>T("9282693295")</f>
        <v>9282693295</v>
      </c>
    </row>
    <row r="6930" spans="1:12" x14ac:dyDescent="0.35">
      <c r="A6930" t="str">
        <f t="shared" si="2635"/>
        <v>MCAS CONTRCTNG OFFC: GCPC</v>
      </c>
      <c r="B6930" t="str">
        <f>T("MAGTFTC")</f>
        <v>MAGTFTC</v>
      </c>
      <c r="C6930" t="str">
        <f>T("BOX 788281")</f>
        <v>BOX 788281</v>
      </c>
      <c r="D6930" t="str">
        <f>T("TWENTYNIN P")</f>
        <v>TWENTYNIN P</v>
      </c>
      <c r="E6930" t="str">
        <f>T("LM")</f>
        <v>LM</v>
      </c>
      <c r="F6930" t="str">
        <f>T("922788281")</f>
        <v>922788281</v>
      </c>
      <c r="G6930" t="str">
        <f>T("MAGTFTC")</f>
        <v>MAGTFTC</v>
      </c>
      <c r="H6930" t="str">
        <f>T("BOX 788281")</f>
        <v>BOX 788281</v>
      </c>
      <c r="I6930" t="str">
        <f>T("TWENTYNIN P")</f>
        <v>TWENTYNIN P</v>
      </c>
      <c r="J6930" t="str">
        <f>T("LM")</f>
        <v>LM</v>
      </c>
      <c r="K6930" t="str">
        <f>T("000000000000000000")</f>
        <v>000000000000000000</v>
      </c>
      <c r="L6930" t="str">
        <f>T("7608304940")</f>
        <v>7608304940</v>
      </c>
    </row>
    <row r="6931" spans="1:12" x14ac:dyDescent="0.35">
      <c r="A6931" t="str">
        <f t="shared" si="2635"/>
        <v>MCAS CONTRCTNG OFFC: GCPC</v>
      </c>
      <c r="B6931" t="str">
        <f>T("MAGTFTC BOX 788283")</f>
        <v>MAGTFTC BOX 788283</v>
      </c>
      <c r="C6931" t="str">
        <f t="shared" ref="C6931:C6954" si="2647">T("")</f>
        <v/>
      </c>
      <c r="D6931" t="str">
        <f>T("29 PALMS")</f>
        <v>29 PALMS</v>
      </c>
      <c r="E6931" t="str">
        <f t="shared" ref="E6931:E6962" si="2648">T("CA")</f>
        <v>CA</v>
      </c>
      <c r="F6931" t="str">
        <f>T("922788283")</f>
        <v>922788283</v>
      </c>
      <c r="G6931" t="str">
        <f>T("MAGTFTC BOX 788283")</f>
        <v>MAGTFTC BOX 788283</v>
      </c>
      <c r="H6931" t="str">
        <f>T("")</f>
        <v/>
      </c>
      <c r="I6931" t="str">
        <f>T("29 PALMS")</f>
        <v>29 PALMS</v>
      </c>
      <c r="J6931" t="str">
        <f t="shared" ref="J6931:J6962" si="2649">T("CA")</f>
        <v>CA</v>
      </c>
      <c r="K6931" t="str">
        <f>T("")</f>
        <v/>
      </c>
      <c r="L6931" t="str">
        <f>T("7608309377")</f>
        <v>7608309377</v>
      </c>
    </row>
    <row r="6932" spans="1:12" x14ac:dyDescent="0.35">
      <c r="A6932" t="str">
        <f t="shared" ref="A6932:A6954" si="2650">T("MCAS CONTRCTNG OFFC: GCPC")</f>
        <v>MCAS CONTRCTNG OFFC: GCPC</v>
      </c>
      <c r="B6932" t="str">
        <f>T("PO BOX 452025")</f>
        <v>PO BOX 452025</v>
      </c>
      <c r="C6932" t="str">
        <f t="shared" si="2647"/>
        <v/>
      </c>
      <c r="D6932" t="str">
        <f t="shared" ref="D6932:D6949" si="2651">T("SAN DIEGO")</f>
        <v>SAN DIEGO</v>
      </c>
      <c r="E6932" t="str">
        <f t="shared" si="2648"/>
        <v>CA</v>
      </c>
      <c r="F6932" t="str">
        <f>T("921452025")</f>
        <v>921452025</v>
      </c>
      <c r="G6932" t="str">
        <f>T("ATTN GCPC APPROVING OFFICIAL")</f>
        <v>ATTN GCPC APPROVING OFFICIAL</v>
      </c>
      <c r="H6932" t="str">
        <f>T("BOX 452025")</f>
        <v>BOX 452025</v>
      </c>
      <c r="I6932" t="str">
        <f t="shared" ref="I6932:I6947" si="2652">T("SAN DIEGO")</f>
        <v>SAN DIEGO</v>
      </c>
      <c r="J6932" t="str">
        <f t="shared" si="2649"/>
        <v>CA</v>
      </c>
      <c r="K6932" t="str">
        <f t="shared" ref="K6932:K6948" si="2653">T("000000000000000000")</f>
        <v>000000000000000000</v>
      </c>
      <c r="L6932" t="str">
        <f>T("8585777772")</f>
        <v>8585777772</v>
      </c>
    </row>
    <row r="6933" spans="1:12" x14ac:dyDescent="0.35">
      <c r="A6933" t="str">
        <f t="shared" si="2650"/>
        <v>MCAS CONTRCTNG OFFC: GCPC</v>
      </c>
      <c r="B6933" t="str">
        <f>T("PO BOX 452025")</f>
        <v>PO BOX 452025</v>
      </c>
      <c r="C6933" t="str">
        <f t="shared" si="2647"/>
        <v/>
      </c>
      <c r="D6933" t="str">
        <f t="shared" si="2651"/>
        <v>SAN DIEGO</v>
      </c>
      <c r="E6933" t="str">
        <f t="shared" si="2648"/>
        <v>CA</v>
      </c>
      <c r="F6933" t="str">
        <f>T("921452025")</f>
        <v>921452025</v>
      </c>
      <c r="G6933" t="str">
        <f>T("ATTN GCPC AUTHORIZING OFFICIAL")</f>
        <v>ATTN GCPC AUTHORIZING OFFICIAL</v>
      </c>
      <c r="H6933" t="str">
        <f>T("BOX 452025")</f>
        <v>BOX 452025</v>
      </c>
      <c r="I6933" t="str">
        <f t="shared" si="2652"/>
        <v>SAN DIEGO</v>
      </c>
      <c r="J6933" t="str">
        <f t="shared" si="2649"/>
        <v>CA</v>
      </c>
      <c r="K6933" t="str">
        <f t="shared" si="2653"/>
        <v>000000000000000000</v>
      </c>
      <c r="L6933" t="str">
        <f>T("8585777772")</f>
        <v>8585777772</v>
      </c>
    </row>
    <row r="6934" spans="1:12" x14ac:dyDescent="0.35">
      <c r="A6934" t="str">
        <f t="shared" si="2650"/>
        <v>MCAS CONTRCTNG OFFC: GCPC</v>
      </c>
      <c r="B6934" t="str">
        <f>T("PO BOX 452025")</f>
        <v>PO BOX 452025</v>
      </c>
      <c r="C6934" t="str">
        <f t="shared" si="2647"/>
        <v/>
      </c>
      <c r="D6934" t="str">
        <f t="shared" si="2651"/>
        <v>SAN DIEGO</v>
      </c>
      <c r="E6934" t="str">
        <f t="shared" si="2648"/>
        <v>CA</v>
      </c>
      <c r="F6934" t="str">
        <f>T("921452025")</f>
        <v>921452025</v>
      </c>
      <c r="G6934" t="str">
        <f>T("ATTN: GCPC APPROVING OFFICIAL")</f>
        <v>ATTN: GCPC APPROVING OFFICIAL</v>
      </c>
      <c r="H6934" t="str">
        <f>T("BOX 452025")</f>
        <v>BOX 452025</v>
      </c>
      <c r="I6934" t="str">
        <f t="shared" si="2652"/>
        <v>SAN DIEGO</v>
      </c>
      <c r="J6934" t="str">
        <f t="shared" si="2649"/>
        <v>CA</v>
      </c>
      <c r="K6934" t="str">
        <f t="shared" si="2653"/>
        <v>000000000000000000</v>
      </c>
      <c r="L6934" t="str">
        <f>T("8585777772")</f>
        <v>8585777772</v>
      </c>
    </row>
    <row r="6935" spans="1:12" x14ac:dyDescent="0.35">
      <c r="A6935" t="str">
        <f t="shared" si="2650"/>
        <v>MCAS CONTRCTNG OFFC: GCPC</v>
      </c>
      <c r="B6935" t="str">
        <f>T("PO BOX 452025")</f>
        <v>PO BOX 452025</v>
      </c>
      <c r="C6935" t="str">
        <f t="shared" si="2647"/>
        <v/>
      </c>
      <c r="D6935" t="str">
        <f t="shared" si="2651"/>
        <v>SAN DIEGO</v>
      </c>
      <c r="E6935" t="str">
        <f t="shared" si="2648"/>
        <v>CA</v>
      </c>
      <c r="F6935" t="str">
        <f>T("921452025")</f>
        <v>921452025</v>
      </c>
      <c r="G6935" t="str">
        <f>T("PO BOX 452025")</f>
        <v>PO BOX 452025</v>
      </c>
      <c r="H6935" t="str">
        <f>T("")</f>
        <v/>
      </c>
      <c r="I6935" t="str">
        <f t="shared" si="2652"/>
        <v>SAN DIEGO</v>
      </c>
      <c r="J6935" t="str">
        <f t="shared" si="2649"/>
        <v>CA</v>
      </c>
      <c r="K6935" t="str">
        <f t="shared" si="2653"/>
        <v>000000000000000000</v>
      </c>
      <c r="L6935" t="str">
        <f>T("8585774340")</f>
        <v>8585774340</v>
      </c>
    </row>
    <row r="6936" spans="1:12" x14ac:dyDescent="0.35">
      <c r="A6936" t="str">
        <f t="shared" si="2650"/>
        <v>MCAS CONTRCTNG OFFC: GCPC</v>
      </c>
      <c r="B6936" t="str">
        <f>T("PO BOX 452039")</f>
        <v>PO BOX 452039</v>
      </c>
      <c r="C6936" t="str">
        <f t="shared" si="2647"/>
        <v/>
      </c>
      <c r="D6936" t="str">
        <f t="shared" si="2651"/>
        <v>SAN DIEGO</v>
      </c>
      <c r="E6936" t="str">
        <f t="shared" si="2648"/>
        <v>CA</v>
      </c>
      <c r="F6936" t="str">
        <f>T("921452039")</f>
        <v>921452039</v>
      </c>
      <c r="G6936" t="str">
        <f>T("ATTN GCPC APPROVING OFFICIAL")</f>
        <v>ATTN GCPC APPROVING OFFICIAL</v>
      </c>
      <c r="H6936" t="str">
        <f>T("BOX 452039")</f>
        <v>BOX 452039</v>
      </c>
      <c r="I6936" t="str">
        <f t="shared" si="2652"/>
        <v>SAN DIEGO</v>
      </c>
      <c r="J6936" t="str">
        <f t="shared" si="2649"/>
        <v>CA</v>
      </c>
      <c r="K6936" t="str">
        <f t="shared" si="2653"/>
        <v>000000000000000000</v>
      </c>
      <c r="L6936" t="str">
        <f>T("8585776121")</f>
        <v>8585776121</v>
      </c>
    </row>
    <row r="6937" spans="1:12" x14ac:dyDescent="0.35">
      <c r="A6937" t="str">
        <f t="shared" si="2650"/>
        <v>MCAS CONTRCTNG OFFC: GCPC</v>
      </c>
      <c r="B6937" t="str">
        <f>T("PO BOX 452039")</f>
        <v>PO BOX 452039</v>
      </c>
      <c r="C6937" t="str">
        <f t="shared" si="2647"/>
        <v/>
      </c>
      <c r="D6937" t="str">
        <f t="shared" si="2651"/>
        <v>SAN DIEGO</v>
      </c>
      <c r="E6937" t="str">
        <f t="shared" si="2648"/>
        <v>CA</v>
      </c>
      <c r="F6937" t="str">
        <f>T("921452039")</f>
        <v>921452039</v>
      </c>
      <c r="G6937" t="str">
        <f>T("PO BOX 452039")</f>
        <v>PO BOX 452039</v>
      </c>
      <c r="H6937" t="str">
        <f>T("")</f>
        <v/>
      </c>
      <c r="I6937" t="str">
        <f t="shared" si="2652"/>
        <v>SAN DIEGO</v>
      </c>
      <c r="J6937" t="str">
        <f t="shared" si="2649"/>
        <v>CA</v>
      </c>
      <c r="K6937" t="str">
        <f t="shared" si="2653"/>
        <v>000000000000000000</v>
      </c>
      <c r="L6937" t="str">
        <f>T("8585774598")</f>
        <v>8585774598</v>
      </c>
    </row>
    <row r="6938" spans="1:12" x14ac:dyDescent="0.35">
      <c r="A6938" t="str">
        <f t="shared" si="2650"/>
        <v>MCAS CONTRCTNG OFFC: GCPC</v>
      </c>
      <c r="B6938" t="str">
        <f>T("PO BOX 452039")</f>
        <v>PO BOX 452039</v>
      </c>
      <c r="C6938" t="str">
        <f t="shared" si="2647"/>
        <v/>
      </c>
      <c r="D6938" t="str">
        <f t="shared" si="2651"/>
        <v>SAN DIEGO</v>
      </c>
      <c r="E6938" t="str">
        <f t="shared" si="2648"/>
        <v>CA</v>
      </c>
      <c r="F6938" t="str">
        <f>T("921452039")</f>
        <v>921452039</v>
      </c>
      <c r="G6938" t="str">
        <f>T("PO BOX 452039")</f>
        <v>PO BOX 452039</v>
      </c>
      <c r="H6938" t="str">
        <f>T("")</f>
        <v/>
      </c>
      <c r="I6938" t="str">
        <f t="shared" si="2652"/>
        <v>SAN DIEGO</v>
      </c>
      <c r="J6938" t="str">
        <f t="shared" si="2649"/>
        <v>CA</v>
      </c>
      <c r="K6938" t="str">
        <f t="shared" si="2653"/>
        <v>000000000000000000</v>
      </c>
      <c r="L6938" t="str">
        <f>T("8585776121")</f>
        <v>8585776121</v>
      </c>
    </row>
    <row r="6939" spans="1:12" x14ac:dyDescent="0.35">
      <c r="A6939" t="str">
        <f t="shared" si="2650"/>
        <v>MCAS CONTRCTNG OFFC: GCPC</v>
      </c>
      <c r="B6939" t="str">
        <f>T("PO BOX 452049")</f>
        <v>PO BOX 452049</v>
      </c>
      <c r="C6939" t="str">
        <f t="shared" si="2647"/>
        <v/>
      </c>
      <c r="D6939" t="str">
        <f t="shared" si="2651"/>
        <v>SAN DIEGO</v>
      </c>
      <c r="E6939" t="str">
        <f t="shared" si="2648"/>
        <v>CA</v>
      </c>
      <c r="F6939" t="str">
        <f>T("921452049")</f>
        <v>921452049</v>
      </c>
      <c r="G6939" t="str">
        <f>T("ATTN GCPC APPROVING OFFICIAL")</f>
        <v>ATTN GCPC APPROVING OFFICIAL</v>
      </c>
      <c r="H6939" t="str">
        <f>T("BOX 452049")</f>
        <v>BOX 452049</v>
      </c>
      <c r="I6939" t="str">
        <f t="shared" si="2652"/>
        <v>SAN DIEGO</v>
      </c>
      <c r="J6939" t="str">
        <f t="shared" si="2649"/>
        <v>CA</v>
      </c>
      <c r="K6939" t="str">
        <f t="shared" si="2653"/>
        <v>000000000000000000</v>
      </c>
      <c r="L6939" t="str">
        <f>T("8585777980")</f>
        <v>8585777980</v>
      </c>
    </row>
    <row r="6940" spans="1:12" x14ac:dyDescent="0.35">
      <c r="A6940" t="str">
        <f t="shared" si="2650"/>
        <v>MCAS CONTRCTNG OFFC: GCPC</v>
      </c>
      <c r="B6940" t="str">
        <f>T("PO BOX 452049")</f>
        <v>PO BOX 452049</v>
      </c>
      <c r="C6940" t="str">
        <f t="shared" si="2647"/>
        <v/>
      </c>
      <c r="D6940" t="str">
        <f t="shared" si="2651"/>
        <v>SAN DIEGO</v>
      </c>
      <c r="E6940" t="str">
        <f t="shared" si="2648"/>
        <v>CA</v>
      </c>
      <c r="F6940" t="str">
        <f>T("921452049")</f>
        <v>921452049</v>
      </c>
      <c r="G6940" t="str">
        <f>T("PO BOX 452049")</f>
        <v>PO BOX 452049</v>
      </c>
      <c r="H6940" t="str">
        <f>T("")</f>
        <v/>
      </c>
      <c r="I6940" t="str">
        <f t="shared" si="2652"/>
        <v>SAN DIEGO</v>
      </c>
      <c r="J6940" t="str">
        <f t="shared" si="2649"/>
        <v>CA</v>
      </c>
      <c r="K6940" t="str">
        <f t="shared" si="2653"/>
        <v>000000000000000000</v>
      </c>
      <c r="L6940" t="str">
        <f>T("8585777989")</f>
        <v>8585777989</v>
      </c>
    </row>
    <row r="6941" spans="1:12" x14ac:dyDescent="0.35">
      <c r="A6941" t="str">
        <f t="shared" si="2650"/>
        <v>MCAS CONTRCTNG OFFC: GCPC</v>
      </c>
      <c r="B6941" t="str">
        <f>T("PO BOX 452050")</f>
        <v>PO BOX 452050</v>
      </c>
      <c r="C6941" t="str">
        <f t="shared" si="2647"/>
        <v/>
      </c>
      <c r="D6941" t="str">
        <f t="shared" si="2651"/>
        <v>SAN DIEGO</v>
      </c>
      <c r="E6941" t="str">
        <f t="shared" si="2648"/>
        <v>CA</v>
      </c>
      <c r="F6941" t="str">
        <f>T("921452050")</f>
        <v>921452050</v>
      </c>
      <c r="G6941" t="str">
        <f>T("ATTN GCPC APPROVING OFFICIAL")</f>
        <v>ATTN GCPC APPROVING OFFICIAL</v>
      </c>
      <c r="H6941" t="str">
        <f>T("BOX 452050")</f>
        <v>BOX 452050</v>
      </c>
      <c r="I6941" t="str">
        <f t="shared" si="2652"/>
        <v>SAN DIEGO</v>
      </c>
      <c r="J6941" t="str">
        <f t="shared" si="2649"/>
        <v>CA</v>
      </c>
      <c r="K6941" t="str">
        <f t="shared" si="2653"/>
        <v>000000000000000000</v>
      </c>
      <c r="L6941" t="str">
        <f>T("8585774245")</f>
        <v>8585774245</v>
      </c>
    </row>
    <row r="6942" spans="1:12" x14ac:dyDescent="0.35">
      <c r="A6942" t="str">
        <f t="shared" si="2650"/>
        <v>MCAS CONTRCTNG OFFC: GCPC</v>
      </c>
      <c r="B6942" t="str">
        <f>T("PO BOX 452050")</f>
        <v>PO BOX 452050</v>
      </c>
      <c r="C6942" t="str">
        <f t="shared" si="2647"/>
        <v/>
      </c>
      <c r="D6942" t="str">
        <f t="shared" si="2651"/>
        <v>SAN DIEGO</v>
      </c>
      <c r="E6942" t="str">
        <f t="shared" si="2648"/>
        <v>CA</v>
      </c>
      <c r="F6942" t="str">
        <f>T("921452050")</f>
        <v>921452050</v>
      </c>
      <c r="G6942" t="str">
        <f>T("ATTN GCPC APPROVING OFFICIAL")</f>
        <v>ATTN GCPC APPROVING OFFICIAL</v>
      </c>
      <c r="H6942" t="str">
        <f>T("BOX 452050")</f>
        <v>BOX 452050</v>
      </c>
      <c r="I6942" t="str">
        <f t="shared" si="2652"/>
        <v>SAN DIEGO</v>
      </c>
      <c r="J6942" t="str">
        <f t="shared" si="2649"/>
        <v>CA</v>
      </c>
      <c r="K6942" t="str">
        <f t="shared" si="2653"/>
        <v>000000000000000000</v>
      </c>
      <c r="L6942" t="str">
        <f>T("8585774343")</f>
        <v>8585774343</v>
      </c>
    </row>
    <row r="6943" spans="1:12" x14ac:dyDescent="0.35">
      <c r="A6943" t="str">
        <f t="shared" si="2650"/>
        <v>MCAS CONTRCTNG OFFC: GCPC</v>
      </c>
      <c r="B6943" t="str">
        <f>T("PO BOX 452050")</f>
        <v>PO BOX 452050</v>
      </c>
      <c r="C6943" t="str">
        <f t="shared" si="2647"/>
        <v/>
      </c>
      <c r="D6943" t="str">
        <f t="shared" si="2651"/>
        <v>SAN DIEGO</v>
      </c>
      <c r="E6943" t="str">
        <f t="shared" si="2648"/>
        <v>CA</v>
      </c>
      <c r="F6943" t="str">
        <f>T("921452050")</f>
        <v>921452050</v>
      </c>
      <c r="G6943" t="str">
        <f>T("PO BOX 452050")</f>
        <v>PO BOX 452050</v>
      </c>
      <c r="H6943" t="str">
        <f>T("")</f>
        <v/>
      </c>
      <c r="I6943" t="str">
        <f t="shared" si="2652"/>
        <v>SAN DIEGO</v>
      </c>
      <c r="J6943" t="str">
        <f t="shared" si="2649"/>
        <v>CA</v>
      </c>
      <c r="K6943" t="str">
        <f t="shared" si="2653"/>
        <v>000000000000000000</v>
      </c>
      <c r="L6943" t="str">
        <f>T("8585774343")</f>
        <v>8585774343</v>
      </c>
    </row>
    <row r="6944" spans="1:12" x14ac:dyDescent="0.35">
      <c r="A6944" t="str">
        <f t="shared" si="2650"/>
        <v>MCAS CONTRCTNG OFFC: GCPC</v>
      </c>
      <c r="B6944" t="str">
        <f>T("PO BOX 452052")</f>
        <v>PO BOX 452052</v>
      </c>
      <c r="C6944" t="str">
        <f t="shared" si="2647"/>
        <v/>
      </c>
      <c r="D6944" t="str">
        <f t="shared" si="2651"/>
        <v>SAN DIEGO</v>
      </c>
      <c r="E6944" t="str">
        <f t="shared" si="2648"/>
        <v>CA</v>
      </c>
      <c r="F6944" t="str">
        <f>T("921452052")</f>
        <v>921452052</v>
      </c>
      <c r="G6944" t="str">
        <f>T("ATTN GCPC APPROVING OFFICIAL")</f>
        <v>ATTN GCPC APPROVING OFFICIAL</v>
      </c>
      <c r="H6944" t="str">
        <f>T("BOX 452052")</f>
        <v>BOX 452052</v>
      </c>
      <c r="I6944" t="str">
        <f t="shared" si="2652"/>
        <v>SAN DIEGO</v>
      </c>
      <c r="J6944" t="str">
        <f t="shared" si="2649"/>
        <v>CA</v>
      </c>
      <c r="K6944" t="str">
        <f t="shared" si="2653"/>
        <v>000000000000000000</v>
      </c>
      <c r="L6944" t="str">
        <f>T("8585774483")</f>
        <v>8585774483</v>
      </c>
    </row>
    <row r="6945" spans="1:12" x14ac:dyDescent="0.35">
      <c r="A6945" t="str">
        <f t="shared" si="2650"/>
        <v>MCAS CONTRCTNG OFFC: GCPC</v>
      </c>
      <c r="B6945" t="str">
        <f>T("PO BOX 452052")</f>
        <v>PO BOX 452052</v>
      </c>
      <c r="C6945" t="str">
        <f t="shared" si="2647"/>
        <v/>
      </c>
      <c r="D6945" t="str">
        <f t="shared" si="2651"/>
        <v>SAN DIEGO</v>
      </c>
      <c r="E6945" t="str">
        <f t="shared" si="2648"/>
        <v>CA</v>
      </c>
      <c r="F6945" t="str">
        <f>T("921452052")</f>
        <v>921452052</v>
      </c>
      <c r="G6945" t="str">
        <f>T("PO BOX 452052")</f>
        <v>PO BOX 452052</v>
      </c>
      <c r="H6945" t="str">
        <f>T("")</f>
        <v/>
      </c>
      <c r="I6945" t="str">
        <f t="shared" si="2652"/>
        <v>SAN DIEGO</v>
      </c>
      <c r="J6945" t="str">
        <f t="shared" si="2649"/>
        <v>CA</v>
      </c>
      <c r="K6945" t="str">
        <f t="shared" si="2653"/>
        <v>000000000000000000</v>
      </c>
      <c r="L6945" t="str">
        <f>T("8585774476")</f>
        <v>8585774476</v>
      </c>
    </row>
    <row r="6946" spans="1:12" x14ac:dyDescent="0.35">
      <c r="A6946" t="str">
        <f t="shared" si="2650"/>
        <v>MCAS CONTRCTNG OFFC: GCPC</v>
      </c>
      <c r="B6946" t="str">
        <f>T("PO BOX 452052")</f>
        <v>PO BOX 452052</v>
      </c>
      <c r="C6946" t="str">
        <f t="shared" si="2647"/>
        <v/>
      </c>
      <c r="D6946" t="str">
        <f t="shared" si="2651"/>
        <v>SAN DIEGO</v>
      </c>
      <c r="E6946" t="str">
        <f t="shared" si="2648"/>
        <v>CA</v>
      </c>
      <c r="F6946" t="str">
        <f>T("921452052")</f>
        <v>921452052</v>
      </c>
      <c r="G6946" t="str">
        <f>T("PO BOX 452052")</f>
        <v>PO BOX 452052</v>
      </c>
      <c r="H6946" t="str">
        <f>T("")</f>
        <v/>
      </c>
      <c r="I6946" t="str">
        <f t="shared" si="2652"/>
        <v>SAN DIEGO</v>
      </c>
      <c r="J6946" t="str">
        <f t="shared" si="2649"/>
        <v>CA</v>
      </c>
      <c r="K6946" t="str">
        <f t="shared" si="2653"/>
        <v>000000000000000000</v>
      </c>
      <c r="L6946" t="str">
        <f>T("8585774483")</f>
        <v>8585774483</v>
      </c>
    </row>
    <row r="6947" spans="1:12" x14ac:dyDescent="0.35">
      <c r="A6947" t="str">
        <f t="shared" si="2650"/>
        <v>MCAS CONTRCTNG OFFC: GCPC</v>
      </c>
      <c r="B6947" t="str">
        <f>T("PO BOX 452053")</f>
        <v>PO BOX 452053</v>
      </c>
      <c r="C6947" t="str">
        <f t="shared" si="2647"/>
        <v/>
      </c>
      <c r="D6947" t="str">
        <f t="shared" si="2651"/>
        <v>SAN DIEGO</v>
      </c>
      <c r="E6947" t="str">
        <f t="shared" si="2648"/>
        <v>CA</v>
      </c>
      <c r="F6947" t="str">
        <f>T("921452053")</f>
        <v>921452053</v>
      </c>
      <c r="G6947" t="str">
        <f>T("45249 MIRAMAR WAY")</f>
        <v>45249 MIRAMAR WAY</v>
      </c>
      <c r="H6947" t="str">
        <f>T("BLDNG 7133 BAY 6")</f>
        <v>BLDNG 7133 BAY 6</v>
      </c>
      <c r="I6947" t="str">
        <f t="shared" si="2652"/>
        <v>SAN DIEGO</v>
      </c>
      <c r="J6947" t="str">
        <f t="shared" si="2649"/>
        <v>CA</v>
      </c>
      <c r="K6947" t="str">
        <f t="shared" si="2653"/>
        <v>000000000000000000</v>
      </c>
      <c r="L6947" t="str">
        <f>T("8585774612")</f>
        <v>8585774612</v>
      </c>
    </row>
    <row r="6948" spans="1:12" x14ac:dyDescent="0.35">
      <c r="A6948" t="str">
        <f t="shared" si="2650"/>
        <v>MCAS CONTRCTNG OFFC: GCPC</v>
      </c>
      <c r="B6948" t="str">
        <f>T("PO BOX 452053")</f>
        <v>PO BOX 452053</v>
      </c>
      <c r="C6948" t="str">
        <f t="shared" si="2647"/>
        <v/>
      </c>
      <c r="D6948" t="str">
        <f t="shared" si="2651"/>
        <v>SAN DIEGO</v>
      </c>
      <c r="E6948" t="str">
        <f t="shared" si="2648"/>
        <v>CA</v>
      </c>
      <c r="F6948" t="str">
        <f>T("921452053")</f>
        <v>921452053</v>
      </c>
      <c r="G6948" t="str">
        <f>T("ATTN GCPC APPROVING OFFICIAL")</f>
        <v>ATTN GCPC APPROVING OFFICIAL</v>
      </c>
      <c r="H6948" t="str">
        <f>T("BOX 555300")</f>
        <v>BOX 555300</v>
      </c>
      <c r="I6948" t="str">
        <f>T("CAMP PENDLETON")</f>
        <v>CAMP PENDLETON</v>
      </c>
      <c r="J6948" t="str">
        <f t="shared" si="2649"/>
        <v>CA</v>
      </c>
      <c r="K6948" t="str">
        <f t="shared" si="2653"/>
        <v>000000000000000000</v>
      </c>
      <c r="L6948" t="str">
        <f>T("8585774605")</f>
        <v>8585774605</v>
      </c>
    </row>
    <row r="6949" spans="1:12" x14ac:dyDescent="0.35">
      <c r="A6949" t="str">
        <f t="shared" si="2650"/>
        <v>MCAS CONTRCTNG OFFC: GCPC</v>
      </c>
      <c r="B6949" t="str">
        <f>T("PO BOX 452053")</f>
        <v>PO BOX 452053</v>
      </c>
      <c r="C6949" t="str">
        <f t="shared" si="2647"/>
        <v/>
      </c>
      <c r="D6949" t="str">
        <f t="shared" si="2651"/>
        <v>SAN DIEGO</v>
      </c>
      <c r="E6949" t="str">
        <f t="shared" si="2648"/>
        <v>CA</v>
      </c>
      <c r="F6949" t="str">
        <f>T("921452053")</f>
        <v>921452053</v>
      </c>
      <c r="G6949" t="str">
        <f>T("PO BOX 452053")</f>
        <v>PO BOX 452053</v>
      </c>
      <c r="H6949" t="str">
        <f>T("")</f>
        <v/>
      </c>
      <c r="I6949" t="str">
        <f>T("SAN DIEGO")</f>
        <v>SAN DIEGO</v>
      </c>
      <c r="J6949" t="str">
        <f t="shared" si="2649"/>
        <v>CA</v>
      </c>
      <c r="K6949" t="str">
        <f>T("")</f>
        <v/>
      </c>
      <c r="L6949" t="str">
        <f>T("8585774605")</f>
        <v>8585774605</v>
      </c>
    </row>
    <row r="6950" spans="1:12" x14ac:dyDescent="0.35">
      <c r="A6950" t="str">
        <f t="shared" si="2650"/>
        <v>MCAS CONTRCTNG OFFC: GCPC</v>
      </c>
      <c r="B6950" t="str">
        <f>T("PO BOX 555831")</f>
        <v>PO BOX 555831</v>
      </c>
      <c r="C6950" t="str">
        <f t="shared" si="2647"/>
        <v/>
      </c>
      <c r="D6950" t="str">
        <f>T("CAMP PENDLETON")</f>
        <v>CAMP PENDLETON</v>
      </c>
      <c r="E6950" t="str">
        <f t="shared" si="2648"/>
        <v>CA</v>
      </c>
      <c r="F6950" t="str">
        <f>T("920555831")</f>
        <v>920555831</v>
      </c>
      <c r="G6950" t="str">
        <f>T("ATTN GCPC APPROVING OFFICIAL")</f>
        <v>ATTN GCPC APPROVING OFFICIAL</v>
      </c>
      <c r="H6950" t="str">
        <f>T("BOX 555831")</f>
        <v>BOX 555831</v>
      </c>
      <c r="I6950" t="str">
        <f>T("CAMP PENDLETON")</f>
        <v>CAMP PENDLETON</v>
      </c>
      <c r="J6950" t="str">
        <f t="shared" si="2649"/>
        <v>CA</v>
      </c>
      <c r="K6950" t="str">
        <f>T("000000000000000000")</f>
        <v>000000000000000000</v>
      </c>
      <c r="L6950" t="str">
        <f>T("7607253353")</f>
        <v>7607253353</v>
      </c>
    </row>
    <row r="6951" spans="1:12" x14ac:dyDescent="0.35">
      <c r="A6951" t="str">
        <f t="shared" si="2650"/>
        <v>MCAS CONTRCTNG OFFC: GCPC</v>
      </c>
      <c r="B6951" t="str">
        <f>T("PO BOX 555831")</f>
        <v>PO BOX 555831</v>
      </c>
      <c r="C6951" t="str">
        <f t="shared" si="2647"/>
        <v/>
      </c>
      <c r="D6951" t="str">
        <f>T("CAMP PENDLETON")</f>
        <v>CAMP PENDLETON</v>
      </c>
      <c r="E6951" t="str">
        <f t="shared" si="2648"/>
        <v>CA</v>
      </c>
      <c r="F6951" t="str">
        <f>T("920555831")</f>
        <v>920555831</v>
      </c>
      <c r="G6951" t="str">
        <f>T("PO BOX 555831")</f>
        <v>PO BOX 555831</v>
      </c>
      <c r="H6951" t="str">
        <f>T("")</f>
        <v/>
      </c>
      <c r="I6951" t="str">
        <f>T("CAMP PENDLETON")</f>
        <v>CAMP PENDLETON</v>
      </c>
      <c r="J6951" t="str">
        <f t="shared" si="2649"/>
        <v>CA</v>
      </c>
      <c r="K6951" t="str">
        <f>T("")</f>
        <v/>
      </c>
      <c r="L6951" t="str">
        <f>T("7607253353")</f>
        <v>7607253353</v>
      </c>
    </row>
    <row r="6952" spans="1:12" x14ac:dyDescent="0.35">
      <c r="A6952" t="str">
        <f t="shared" si="2650"/>
        <v>MCAS CONTRCTNG OFFC: GCPC</v>
      </c>
      <c r="B6952" t="str">
        <f>T("PO BOX 788285")</f>
        <v>PO BOX 788285</v>
      </c>
      <c r="C6952" t="str">
        <f t="shared" si="2647"/>
        <v/>
      </c>
      <c r="D6952" t="str">
        <f>T("TWENTYNIN PLM")</f>
        <v>TWENTYNIN PLM</v>
      </c>
      <c r="E6952" t="str">
        <f t="shared" si="2648"/>
        <v>CA</v>
      </c>
      <c r="F6952" t="str">
        <f>T("922788285")</f>
        <v>922788285</v>
      </c>
      <c r="G6952" t="str">
        <f>T("ATTN GCPC APPROVING OFFICIAL")</f>
        <v>ATTN GCPC APPROVING OFFICIAL</v>
      </c>
      <c r="H6952" t="str">
        <f>T("BOX 788285")</f>
        <v>BOX 788285</v>
      </c>
      <c r="I6952" t="str">
        <f>T("TWENTYNINE PALMS")</f>
        <v>TWENTYNINE PALMS</v>
      </c>
      <c r="J6952" t="str">
        <f t="shared" si="2649"/>
        <v>CA</v>
      </c>
      <c r="K6952" t="str">
        <f t="shared" ref="K6952:K6962" si="2654">T("000000000000000000")</f>
        <v>000000000000000000</v>
      </c>
      <c r="L6952" t="str">
        <f>T("7608303700")</f>
        <v>7608303700</v>
      </c>
    </row>
    <row r="6953" spans="1:12" x14ac:dyDescent="0.35">
      <c r="A6953" t="str">
        <f t="shared" si="2650"/>
        <v>MCAS CONTRCTNG OFFC: GCPC</v>
      </c>
      <c r="B6953" t="str">
        <f>T("PO BOX 788285")</f>
        <v>PO BOX 788285</v>
      </c>
      <c r="C6953" t="str">
        <f t="shared" si="2647"/>
        <v/>
      </c>
      <c r="D6953" t="str">
        <f>T("TWENTYNIN PLM")</f>
        <v>TWENTYNIN PLM</v>
      </c>
      <c r="E6953" t="str">
        <f t="shared" si="2648"/>
        <v>CA</v>
      </c>
      <c r="F6953" t="str">
        <f>T("922788285")</f>
        <v>922788285</v>
      </c>
      <c r="G6953" t="str">
        <f>T("ATTN GCPC APPROVING OFFICIAL")</f>
        <v>ATTN GCPC APPROVING OFFICIAL</v>
      </c>
      <c r="H6953" t="str">
        <f>T("BOX 788285")</f>
        <v>BOX 788285</v>
      </c>
      <c r="I6953" t="str">
        <f>T("TWENTYNINE PALMS")</f>
        <v>TWENTYNINE PALMS</v>
      </c>
      <c r="J6953" t="str">
        <f t="shared" si="2649"/>
        <v>CA</v>
      </c>
      <c r="K6953" t="str">
        <f t="shared" si="2654"/>
        <v>000000000000000000</v>
      </c>
      <c r="L6953" t="str">
        <f>T("7608307313")</f>
        <v>7608307313</v>
      </c>
    </row>
    <row r="6954" spans="1:12" x14ac:dyDescent="0.35">
      <c r="A6954" t="str">
        <f t="shared" si="2650"/>
        <v>MCAS CONTRCTNG OFFC: GCPC</v>
      </c>
      <c r="B6954" t="str">
        <f>T("PO BOX 788285")</f>
        <v>PO BOX 788285</v>
      </c>
      <c r="C6954" t="str">
        <f t="shared" si="2647"/>
        <v/>
      </c>
      <c r="D6954" t="str">
        <f>T("TWENTYNIN PLM")</f>
        <v>TWENTYNIN PLM</v>
      </c>
      <c r="E6954" t="str">
        <f t="shared" si="2648"/>
        <v>CA</v>
      </c>
      <c r="F6954" t="str">
        <f>T("922788285")</f>
        <v>922788285</v>
      </c>
      <c r="G6954" t="str">
        <f>T("PO BOX 788285")</f>
        <v>PO BOX 788285</v>
      </c>
      <c r="H6954" t="str">
        <f>T("")</f>
        <v/>
      </c>
      <c r="I6954" t="str">
        <f>T("TWENTYNIN PLM")</f>
        <v>TWENTYNIN PLM</v>
      </c>
      <c r="J6954" t="str">
        <f t="shared" si="2649"/>
        <v>CA</v>
      </c>
      <c r="K6954" t="str">
        <f t="shared" si="2654"/>
        <v>000000000000000000</v>
      </c>
      <c r="L6954" t="str">
        <f>T("7608307379")</f>
        <v>7608307379</v>
      </c>
    </row>
    <row r="6955" spans="1:12" x14ac:dyDescent="0.35">
      <c r="A6955" t="str">
        <f t="shared" ref="A6955:A6969" si="2655">T("1 MHG 1MEF UNITS")</f>
        <v>1 MHG 1MEF UNITS</v>
      </c>
      <c r="B6955" t="str">
        <f>T("ATTN GCPC APPROVING OFFICAL")</f>
        <v>ATTN GCPC APPROVING OFFICAL</v>
      </c>
      <c r="C6955" t="str">
        <f>T("BOX 555350")</f>
        <v>BOX 555350</v>
      </c>
      <c r="D6955" t="str">
        <f t="shared" ref="D6955:D6960" si="2656">T("CAMP PENDLETON")</f>
        <v>CAMP PENDLETON</v>
      </c>
      <c r="E6955" t="str">
        <f t="shared" si="2648"/>
        <v>CA</v>
      </c>
      <c r="F6955" t="str">
        <f>T("920555350")</f>
        <v>920555350</v>
      </c>
      <c r="G6955" t="str">
        <f>T("ATTN GCPC APPROVING OFFICAL")</f>
        <v>ATTN GCPC APPROVING OFFICAL</v>
      </c>
      <c r="H6955" t="str">
        <f>T("BOX 555350")</f>
        <v>BOX 555350</v>
      </c>
      <c r="I6955" t="str">
        <f t="shared" ref="I6955:I6962" si="2657">T("CAMP PENDLETON")</f>
        <v>CAMP PENDLETON</v>
      </c>
      <c r="J6955" t="str">
        <f t="shared" si="2649"/>
        <v>CA</v>
      </c>
      <c r="K6955" t="str">
        <f t="shared" si="2654"/>
        <v>000000000000000000</v>
      </c>
      <c r="L6955" t="str">
        <f>T("7607257242")</f>
        <v>7607257242</v>
      </c>
    </row>
    <row r="6956" spans="1:12" x14ac:dyDescent="0.35">
      <c r="A6956" t="str">
        <f t="shared" si="2655"/>
        <v>1 MHG 1MEF UNITS</v>
      </c>
      <c r="B6956" t="str">
        <f>T("ATTN GCPC APPROVING OFFICAL")</f>
        <v>ATTN GCPC APPROVING OFFICAL</v>
      </c>
      <c r="C6956" t="str">
        <f>T("BOX 555350")</f>
        <v>BOX 555350</v>
      </c>
      <c r="D6956" t="str">
        <f t="shared" si="2656"/>
        <v>CAMP PENDLETON</v>
      </c>
      <c r="E6956" t="str">
        <f t="shared" si="2648"/>
        <v>CA</v>
      </c>
      <c r="F6956" t="str">
        <f>T("920555350")</f>
        <v>920555350</v>
      </c>
      <c r="G6956" t="str">
        <f t="shared" ref="G6956:G6975" si="2658">T("ATTN GCPC APPROVING OFFICIAL")</f>
        <v>ATTN GCPC APPROVING OFFICIAL</v>
      </c>
      <c r="H6956" t="str">
        <f>T("BOX 555350")</f>
        <v>BOX 555350</v>
      </c>
      <c r="I6956" t="str">
        <f t="shared" si="2657"/>
        <v>CAMP PENDLETON</v>
      </c>
      <c r="J6956" t="str">
        <f t="shared" si="2649"/>
        <v>CA</v>
      </c>
      <c r="K6956" t="str">
        <f t="shared" si="2654"/>
        <v>000000000000000000</v>
      </c>
      <c r="L6956" t="str">
        <f>T("7607257248")</f>
        <v>7607257248</v>
      </c>
    </row>
    <row r="6957" spans="1:12" x14ac:dyDescent="0.35">
      <c r="A6957" t="str">
        <f t="shared" si="2655"/>
        <v>1 MHG 1MEF UNITS</v>
      </c>
      <c r="B6957" t="str">
        <f t="shared" ref="B6957:B6975" si="2659">T("ATTN GCPC APPROVING OFFICIAL")</f>
        <v>ATTN GCPC APPROVING OFFICIAL</v>
      </c>
      <c r="C6957" t="str">
        <f>T("BOX 555300")</f>
        <v>BOX 555300</v>
      </c>
      <c r="D6957" t="str">
        <f t="shared" si="2656"/>
        <v>CAMP PENDLETON</v>
      </c>
      <c r="E6957" t="str">
        <f t="shared" si="2648"/>
        <v>CA</v>
      </c>
      <c r="F6957" t="str">
        <f>T("920555300")</f>
        <v>920555300</v>
      </c>
      <c r="G6957" t="str">
        <f t="shared" si="2658"/>
        <v>ATTN GCPC APPROVING OFFICIAL</v>
      </c>
      <c r="H6957" t="str">
        <f>T("BOX 555300")</f>
        <v>BOX 555300</v>
      </c>
      <c r="I6957" t="str">
        <f t="shared" si="2657"/>
        <v>CAMP PENDLETON</v>
      </c>
      <c r="J6957" t="str">
        <f t="shared" si="2649"/>
        <v>CA</v>
      </c>
      <c r="K6957" t="str">
        <f t="shared" si="2654"/>
        <v>000000000000000000</v>
      </c>
      <c r="L6957" t="str">
        <f>T("7607632571")</f>
        <v>7607632571</v>
      </c>
    </row>
    <row r="6958" spans="1:12" x14ac:dyDescent="0.35">
      <c r="A6958" t="str">
        <f t="shared" si="2655"/>
        <v>1 MHG 1MEF UNITS</v>
      </c>
      <c r="B6958" t="str">
        <f t="shared" si="2659"/>
        <v>ATTN GCPC APPROVING OFFICIAL</v>
      </c>
      <c r="C6958" t="str">
        <f>T("BOX 555300")</f>
        <v>BOX 555300</v>
      </c>
      <c r="D6958" t="str">
        <f t="shared" si="2656"/>
        <v>CAMP PENDLETON</v>
      </c>
      <c r="E6958" t="str">
        <f t="shared" si="2648"/>
        <v>CA</v>
      </c>
      <c r="F6958" t="str">
        <f>T("920555300")</f>
        <v>920555300</v>
      </c>
      <c r="G6958" t="str">
        <f t="shared" si="2658"/>
        <v>ATTN GCPC APPROVING OFFICIAL</v>
      </c>
      <c r="H6958" t="str">
        <f>T("BOX 555300")</f>
        <v>BOX 555300</v>
      </c>
      <c r="I6958" t="str">
        <f t="shared" si="2657"/>
        <v>CAMP PENDLETON</v>
      </c>
      <c r="J6958" t="str">
        <f t="shared" si="2649"/>
        <v>CA</v>
      </c>
      <c r="K6958" t="str">
        <f t="shared" si="2654"/>
        <v>000000000000000000</v>
      </c>
      <c r="L6958" t="str">
        <f>T("7607639298")</f>
        <v>7607639298</v>
      </c>
    </row>
    <row r="6959" spans="1:12" x14ac:dyDescent="0.35">
      <c r="A6959" t="str">
        <f t="shared" si="2655"/>
        <v>1 MHG 1MEF UNITS</v>
      </c>
      <c r="B6959" t="str">
        <f t="shared" si="2659"/>
        <v>ATTN GCPC APPROVING OFFICIAL</v>
      </c>
      <c r="C6959" t="str">
        <f t="shared" ref="C6959:C6964" si="2660">T("BOX 555321")</f>
        <v>BOX 555321</v>
      </c>
      <c r="D6959" t="str">
        <f t="shared" si="2656"/>
        <v>CAMP PENDLETON</v>
      </c>
      <c r="E6959" t="str">
        <f t="shared" si="2648"/>
        <v>CA</v>
      </c>
      <c r="F6959" t="str">
        <f t="shared" ref="F6959:F6964" si="2661">T("920555321")</f>
        <v>920555321</v>
      </c>
      <c r="G6959" t="str">
        <f t="shared" si="2658"/>
        <v>ATTN GCPC APPROVING OFFICIAL</v>
      </c>
      <c r="H6959" t="str">
        <f>T("BOX 555321")</f>
        <v>BOX 555321</v>
      </c>
      <c r="I6959" t="str">
        <f t="shared" si="2657"/>
        <v>CAMP PENDLETON</v>
      </c>
      <c r="J6959" t="str">
        <f t="shared" si="2649"/>
        <v>CA</v>
      </c>
      <c r="K6959" t="str">
        <f t="shared" si="2654"/>
        <v>000000000000000000</v>
      </c>
      <c r="L6959" t="str">
        <f>T("7607250615")</f>
        <v>7607250615</v>
      </c>
    </row>
    <row r="6960" spans="1:12" x14ac:dyDescent="0.35">
      <c r="A6960" t="str">
        <f t="shared" si="2655"/>
        <v>1 MHG 1MEF UNITS</v>
      </c>
      <c r="B6960" t="str">
        <f t="shared" si="2659"/>
        <v>ATTN GCPC APPROVING OFFICIAL</v>
      </c>
      <c r="C6960" t="str">
        <f t="shared" si="2660"/>
        <v>BOX 555321</v>
      </c>
      <c r="D6960" t="str">
        <f t="shared" si="2656"/>
        <v>CAMP PENDLETON</v>
      </c>
      <c r="E6960" t="str">
        <f t="shared" si="2648"/>
        <v>CA</v>
      </c>
      <c r="F6960" t="str">
        <f t="shared" si="2661"/>
        <v>920555321</v>
      </c>
      <c r="G6960" t="str">
        <f t="shared" si="2658"/>
        <v>ATTN GCPC APPROVING OFFICIAL</v>
      </c>
      <c r="H6960" t="str">
        <f>T("BOX 555321")</f>
        <v>BOX 555321</v>
      </c>
      <c r="I6960" t="str">
        <f t="shared" si="2657"/>
        <v>CAMP PENDLETON</v>
      </c>
      <c r="J6960" t="str">
        <f t="shared" si="2649"/>
        <v>CA</v>
      </c>
      <c r="K6960" t="str">
        <f t="shared" si="2654"/>
        <v>000000000000000000</v>
      </c>
      <c r="L6960" t="str">
        <f>T("7607632668")</f>
        <v>7607632668</v>
      </c>
    </row>
    <row r="6961" spans="1:12" x14ac:dyDescent="0.35">
      <c r="A6961" t="str">
        <f t="shared" si="2655"/>
        <v>1 MHG 1MEF UNITS</v>
      </c>
      <c r="B6961" t="str">
        <f t="shared" si="2659"/>
        <v>ATTN GCPC APPROVING OFFICIAL</v>
      </c>
      <c r="C6961" t="str">
        <f t="shared" si="2660"/>
        <v>BOX 555321</v>
      </c>
      <c r="D6961" t="str">
        <f t="shared" ref="D6961:D6966" si="2662">T("CMP PENDLETON")</f>
        <v>CMP PENDLETON</v>
      </c>
      <c r="E6961" t="str">
        <f t="shared" si="2648"/>
        <v>CA</v>
      </c>
      <c r="F6961" t="str">
        <f t="shared" si="2661"/>
        <v>920555321</v>
      </c>
      <c r="G6961" t="str">
        <f t="shared" si="2658"/>
        <v>ATTN GCPC APPROVING OFFICIAL</v>
      </c>
      <c r="H6961" t="str">
        <f>T("BOX 555321")</f>
        <v>BOX 555321</v>
      </c>
      <c r="I6961" t="str">
        <f t="shared" si="2657"/>
        <v>CAMP PENDLETON</v>
      </c>
      <c r="J6961" t="str">
        <f t="shared" si="2649"/>
        <v>CA</v>
      </c>
      <c r="K6961" t="str">
        <f t="shared" si="2654"/>
        <v>000000000000000000</v>
      </c>
      <c r="L6961" t="str">
        <f>T("5625198524")</f>
        <v>5625198524</v>
      </c>
    </row>
    <row r="6962" spans="1:12" x14ac:dyDescent="0.35">
      <c r="A6962" t="str">
        <f t="shared" si="2655"/>
        <v>1 MHG 1MEF UNITS</v>
      </c>
      <c r="B6962" t="str">
        <f t="shared" si="2659"/>
        <v>ATTN GCPC APPROVING OFFICIAL</v>
      </c>
      <c r="C6962" t="str">
        <f t="shared" si="2660"/>
        <v>BOX 555321</v>
      </c>
      <c r="D6962" t="str">
        <f t="shared" si="2662"/>
        <v>CMP PENDLETON</v>
      </c>
      <c r="E6962" t="str">
        <f t="shared" si="2648"/>
        <v>CA</v>
      </c>
      <c r="F6962" t="str">
        <f t="shared" si="2661"/>
        <v>920555321</v>
      </c>
      <c r="G6962" t="str">
        <f t="shared" si="2658"/>
        <v>ATTN GCPC APPROVING OFFICIAL</v>
      </c>
      <c r="H6962" t="str">
        <f>T("BOX 555321")</f>
        <v>BOX 555321</v>
      </c>
      <c r="I6962" t="str">
        <f t="shared" si="2657"/>
        <v>CAMP PENDLETON</v>
      </c>
      <c r="J6962" t="str">
        <f t="shared" si="2649"/>
        <v>CA</v>
      </c>
      <c r="K6962" t="str">
        <f t="shared" si="2654"/>
        <v>000000000000000000</v>
      </c>
      <c r="L6962" t="str">
        <f>T("7607259207")</f>
        <v>7607259207</v>
      </c>
    </row>
    <row r="6963" spans="1:12" x14ac:dyDescent="0.35">
      <c r="A6963" t="str">
        <f t="shared" si="2655"/>
        <v>1 MHG 1MEF UNITS</v>
      </c>
      <c r="B6963" t="str">
        <f t="shared" si="2659"/>
        <v>ATTN GCPC APPROVING OFFICIAL</v>
      </c>
      <c r="C6963" t="str">
        <f t="shared" si="2660"/>
        <v>BOX 555321</v>
      </c>
      <c r="D6963" t="str">
        <f t="shared" si="2662"/>
        <v>CMP PENDLETON</v>
      </c>
      <c r="E6963" t="str">
        <f t="shared" ref="E6963:E6994" si="2663">T("CA")</f>
        <v>CA</v>
      </c>
      <c r="F6963" t="str">
        <f t="shared" si="2661"/>
        <v>920555321</v>
      </c>
      <c r="G6963" t="str">
        <f t="shared" si="2658"/>
        <v>ATTN GCPC APPROVING OFFICIAL</v>
      </c>
      <c r="H6963" t="str">
        <f>T("BOX 555321")</f>
        <v>BOX 555321</v>
      </c>
      <c r="I6963" t="str">
        <f>T("CMP PENDLETON")</f>
        <v>CMP PENDLETON</v>
      </c>
      <c r="J6963" t="str">
        <f t="shared" ref="J6963:J6994" si="2664">T("CA")</f>
        <v>CA</v>
      </c>
      <c r="K6963" t="str">
        <f>T("")</f>
        <v/>
      </c>
      <c r="L6963" t="str">
        <f>T("7607259207")</f>
        <v>7607259207</v>
      </c>
    </row>
    <row r="6964" spans="1:12" x14ac:dyDescent="0.35">
      <c r="A6964" t="str">
        <f t="shared" si="2655"/>
        <v>1 MHG 1MEF UNITS</v>
      </c>
      <c r="B6964" t="str">
        <f t="shared" si="2659"/>
        <v>ATTN GCPC APPROVING OFFICIAL</v>
      </c>
      <c r="C6964" t="str">
        <f t="shared" si="2660"/>
        <v>BOX 555321</v>
      </c>
      <c r="D6964" t="str">
        <f t="shared" si="2662"/>
        <v>CMP PENDLETON</v>
      </c>
      <c r="E6964" t="str">
        <f t="shared" si="2663"/>
        <v>CA</v>
      </c>
      <c r="F6964" t="str">
        <f t="shared" si="2661"/>
        <v>920555321</v>
      </c>
      <c r="G6964" t="str">
        <f t="shared" si="2658"/>
        <v>ATTN GCPC APPROVING OFFICIAL</v>
      </c>
      <c r="H6964" t="str">
        <f>T("BOX 555325")</f>
        <v>BOX 555325</v>
      </c>
      <c r="I6964" t="str">
        <f>T("CAMP PENDLETON")</f>
        <v>CAMP PENDLETON</v>
      </c>
      <c r="J6964" t="str">
        <f t="shared" si="2664"/>
        <v>CA</v>
      </c>
      <c r="K6964" t="str">
        <f>T("000000000000000000")</f>
        <v>000000000000000000</v>
      </c>
      <c r="L6964" t="str">
        <f>T("7607259227")</f>
        <v>7607259227</v>
      </c>
    </row>
    <row r="6965" spans="1:12" x14ac:dyDescent="0.35">
      <c r="A6965" t="str">
        <f t="shared" si="2655"/>
        <v>1 MHG 1MEF UNITS</v>
      </c>
      <c r="B6965" t="str">
        <f t="shared" si="2659"/>
        <v>ATTN GCPC APPROVING OFFICIAL</v>
      </c>
      <c r="C6965" t="str">
        <f>T("BOX 555351")</f>
        <v>BOX 555351</v>
      </c>
      <c r="D6965" t="str">
        <f t="shared" si="2662"/>
        <v>CMP PENDLETON</v>
      </c>
      <c r="E6965" t="str">
        <f t="shared" si="2663"/>
        <v>CA</v>
      </c>
      <c r="F6965" t="str">
        <f>T("920555351")</f>
        <v>920555351</v>
      </c>
      <c r="G6965" t="str">
        <f t="shared" si="2658"/>
        <v>ATTN GCPC APPROVING OFFICIAL</v>
      </c>
      <c r="H6965" t="str">
        <f>T("BOX 555351")</f>
        <v>BOX 555351</v>
      </c>
      <c r="I6965" t="str">
        <f>T("CAMP PENDLETON")</f>
        <v>CAMP PENDLETON</v>
      </c>
      <c r="J6965" t="str">
        <f t="shared" si="2664"/>
        <v>CA</v>
      </c>
      <c r="K6965" t="str">
        <f>T("000000000000000000")</f>
        <v>000000000000000000</v>
      </c>
      <c r="L6965" t="str">
        <f>T("7607256341")</f>
        <v>7607256341</v>
      </c>
    </row>
    <row r="6966" spans="1:12" x14ac:dyDescent="0.35">
      <c r="A6966" t="str">
        <f t="shared" si="2655"/>
        <v>1 MHG 1MEF UNITS</v>
      </c>
      <c r="B6966" t="str">
        <f t="shared" si="2659"/>
        <v>ATTN GCPC APPROVING OFFICIAL</v>
      </c>
      <c r="C6966" t="str">
        <f>T("BOX 555351")</f>
        <v>BOX 555351</v>
      </c>
      <c r="D6966" t="str">
        <f t="shared" si="2662"/>
        <v>CMP PENDLETON</v>
      </c>
      <c r="E6966" t="str">
        <f t="shared" si="2663"/>
        <v>CA</v>
      </c>
      <c r="F6966" t="str">
        <f>T("920555351")</f>
        <v>920555351</v>
      </c>
      <c r="G6966" t="str">
        <f t="shared" si="2658"/>
        <v>ATTN GCPC APPROVING OFFICIAL</v>
      </c>
      <c r="H6966" t="str">
        <f>T("BOX 555351")</f>
        <v>BOX 555351</v>
      </c>
      <c r="I6966" t="str">
        <f>T("CMP PENDLETON")</f>
        <v>CMP PENDLETON</v>
      </c>
      <c r="J6966" t="str">
        <f t="shared" si="2664"/>
        <v>CA</v>
      </c>
      <c r="K6966" t="str">
        <f>T("")</f>
        <v/>
      </c>
      <c r="L6966" t="str">
        <f>T("7607638250")</f>
        <v>7607638250</v>
      </c>
    </row>
    <row r="6967" spans="1:12" x14ac:dyDescent="0.35">
      <c r="A6967" t="str">
        <f t="shared" si="2655"/>
        <v>1 MHG 1MEF UNITS</v>
      </c>
      <c r="B6967" t="str">
        <f t="shared" si="2659"/>
        <v>ATTN GCPC APPROVING OFFICIAL</v>
      </c>
      <c r="C6967" t="str">
        <f>T("BOX 555355")</f>
        <v>BOX 555355</v>
      </c>
      <c r="D6967" t="str">
        <f t="shared" ref="D6967:D6985" si="2665">T("CAMP PENDLETON")</f>
        <v>CAMP PENDLETON</v>
      </c>
      <c r="E6967" t="str">
        <f t="shared" si="2663"/>
        <v>CA</v>
      </c>
      <c r="F6967" t="str">
        <f>T("920555355")</f>
        <v>920555355</v>
      </c>
      <c r="G6967" t="str">
        <f t="shared" si="2658"/>
        <v>ATTN GCPC APPROVING OFFICIAL</v>
      </c>
      <c r="H6967" t="str">
        <f>T("BOX 555355")</f>
        <v>BOX 555355</v>
      </c>
      <c r="I6967" t="str">
        <f t="shared" ref="I6967:I6985" si="2666">T("CAMP PENDLETON")</f>
        <v>CAMP PENDLETON</v>
      </c>
      <c r="J6967" t="str">
        <f t="shared" si="2664"/>
        <v>CA</v>
      </c>
      <c r="K6967" t="str">
        <f>T("000000000000000000")</f>
        <v>000000000000000000</v>
      </c>
      <c r="L6967" t="str">
        <f>T("7607634099")</f>
        <v>7607634099</v>
      </c>
    </row>
    <row r="6968" spans="1:12" x14ac:dyDescent="0.35">
      <c r="A6968" t="str">
        <f t="shared" si="2655"/>
        <v>1 MHG 1MEF UNITS</v>
      </c>
      <c r="B6968" t="str">
        <f t="shared" si="2659"/>
        <v>ATTN GCPC APPROVING OFFICIAL</v>
      </c>
      <c r="C6968" t="str">
        <f>T("BOX 555355")</f>
        <v>BOX 555355</v>
      </c>
      <c r="D6968" t="str">
        <f t="shared" si="2665"/>
        <v>CAMP PENDLETON</v>
      </c>
      <c r="E6968" t="str">
        <f t="shared" si="2663"/>
        <v>CA</v>
      </c>
      <c r="F6968" t="str">
        <f>T("920555355")</f>
        <v>920555355</v>
      </c>
      <c r="G6968" t="str">
        <f t="shared" si="2658"/>
        <v>ATTN GCPC APPROVING OFFICIAL</v>
      </c>
      <c r="H6968" t="str">
        <f>T("BOX 555355")</f>
        <v>BOX 555355</v>
      </c>
      <c r="I6968" t="str">
        <f t="shared" si="2666"/>
        <v>CAMP PENDLETON</v>
      </c>
      <c r="J6968" t="str">
        <f t="shared" si="2664"/>
        <v>CA</v>
      </c>
      <c r="K6968" t="str">
        <f>T("000000000000000000")</f>
        <v>000000000000000000</v>
      </c>
      <c r="L6968" t="str">
        <f>T("7607634132")</f>
        <v>7607634132</v>
      </c>
    </row>
    <row r="6969" spans="1:12" x14ac:dyDescent="0.35">
      <c r="A6969" t="str">
        <f t="shared" si="2655"/>
        <v>1 MHG 1MEF UNITS</v>
      </c>
      <c r="B6969" t="str">
        <f t="shared" si="2659"/>
        <v>ATTN GCPC APPROVING OFFICIAL</v>
      </c>
      <c r="C6969" t="str">
        <f>T("BOX 555355")</f>
        <v>BOX 555355</v>
      </c>
      <c r="D6969" t="str">
        <f t="shared" si="2665"/>
        <v>CAMP PENDLETON</v>
      </c>
      <c r="E6969" t="str">
        <f t="shared" si="2663"/>
        <v>CA</v>
      </c>
      <c r="F6969" t="str">
        <f>T("920555355")</f>
        <v>920555355</v>
      </c>
      <c r="G6969" t="str">
        <f t="shared" si="2658"/>
        <v>ATTN GCPC APPROVING OFFICIAL</v>
      </c>
      <c r="H6969" t="str">
        <f>T("BOX 555355")</f>
        <v>BOX 555355</v>
      </c>
      <c r="I6969" t="str">
        <f t="shared" si="2666"/>
        <v>CAMP PENDLETON</v>
      </c>
      <c r="J6969" t="str">
        <f t="shared" si="2664"/>
        <v>CA</v>
      </c>
      <c r="K6969" t="str">
        <f>T("000000000000000000")</f>
        <v>000000000000000000</v>
      </c>
      <c r="L6969" t="str">
        <f>T("7607635863")</f>
        <v>7607635863</v>
      </c>
    </row>
    <row r="6970" spans="1:12" x14ac:dyDescent="0.35">
      <c r="A6970" t="str">
        <f>T("11TH MEU 1MEF")</f>
        <v>11TH MEU 1MEF</v>
      </c>
      <c r="B6970" t="str">
        <f t="shared" si="2659"/>
        <v>ATTN GCPC APPROVING OFFICIAL</v>
      </c>
      <c r="C6970" t="str">
        <f>T("BOX 555361")</f>
        <v>BOX 555361</v>
      </c>
      <c r="D6970" t="str">
        <f t="shared" si="2665"/>
        <v>CAMP PENDLETON</v>
      </c>
      <c r="E6970" t="str">
        <f t="shared" si="2663"/>
        <v>CA</v>
      </c>
      <c r="F6970" t="str">
        <f>T("920555361")</f>
        <v>920555361</v>
      </c>
      <c r="G6970" t="str">
        <f t="shared" si="2658"/>
        <v>ATTN GCPC APPROVING OFFICIAL</v>
      </c>
      <c r="H6970" t="str">
        <f>T("BOX 555361")</f>
        <v>BOX 555361</v>
      </c>
      <c r="I6970" t="str">
        <f t="shared" si="2666"/>
        <v>CAMP PENDLETON</v>
      </c>
      <c r="J6970" t="str">
        <f t="shared" si="2664"/>
        <v>CA</v>
      </c>
      <c r="K6970" t="str">
        <f>T("")</f>
        <v/>
      </c>
      <c r="L6970" t="str">
        <f>T("7607633527")</f>
        <v>7607633527</v>
      </c>
    </row>
    <row r="6971" spans="1:12" x14ac:dyDescent="0.35">
      <c r="A6971" t="str">
        <f>T("11TH MEU 1MEF")</f>
        <v>11TH MEU 1MEF</v>
      </c>
      <c r="B6971" t="str">
        <f t="shared" si="2659"/>
        <v>ATTN GCPC APPROVING OFFICIAL</v>
      </c>
      <c r="C6971" t="str">
        <f>T("BOX 555361")</f>
        <v>BOX 555361</v>
      </c>
      <c r="D6971" t="str">
        <f t="shared" si="2665"/>
        <v>CAMP PENDLETON</v>
      </c>
      <c r="E6971" t="str">
        <f t="shared" si="2663"/>
        <v>CA</v>
      </c>
      <c r="F6971" t="str">
        <f>T("920555361")</f>
        <v>920555361</v>
      </c>
      <c r="G6971" t="str">
        <f t="shared" si="2658"/>
        <v>ATTN GCPC APPROVING OFFICIAL</v>
      </c>
      <c r="H6971" t="str">
        <f>T("BOX 555361")</f>
        <v>BOX 555361</v>
      </c>
      <c r="I6971" t="str">
        <f t="shared" si="2666"/>
        <v>CAMP PENDLETON</v>
      </c>
      <c r="J6971" t="str">
        <f t="shared" si="2664"/>
        <v>CA</v>
      </c>
      <c r="K6971" t="str">
        <f>T("000000000000000000")</f>
        <v>000000000000000000</v>
      </c>
      <c r="L6971" t="str">
        <f>T("7607633527")</f>
        <v>7607633527</v>
      </c>
    </row>
    <row r="6972" spans="1:12" x14ac:dyDescent="0.35">
      <c r="A6972" t="str">
        <f>T("13TH MEU 1MEF")</f>
        <v>13TH MEU 1MEF</v>
      </c>
      <c r="B6972" t="str">
        <f t="shared" si="2659"/>
        <v>ATTN GCPC APPROVING OFFICIAL</v>
      </c>
      <c r="C6972" t="str">
        <f>T("BOX 555363")</f>
        <v>BOX 555363</v>
      </c>
      <c r="D6972" t="str">
        <f t="shared" si="2665"/>
        <v>CAMP PENDLETON</v>
      </c>
      <c r="E6972" t="str">
        <f t="shared" si="2663"/>
        <v>CA</v>
      </c>
      <c r="F6972" t="str">
        <f>T("920555363")</f>
        <v>920555363</v>
      </c>
      <c r="G6972" t="str">
        <f t="shared" si="2658"/>
        <v>ATTN GCPC APPROVING OFFICIAL</v>
      </c>
      <c r="H6972" t="str">
        <f>T("BOX 555363")</f>
        <v>BOX 555363</v>
      </c>
      <c r="I6972" t="str">
        <f t="shared" si="2666"/>
        <v>CAMP PENDLETON</v>
      </c>
      <c r="J6972" t="str">
        <f t="shared" si="2664"/>
        <v>CA</v>
      </c>
      <c r="K6972" t="str">
        <f>T("000000000000000000")</f>
        <v>000000000000000000</v>
      </c>
      <c r="L6972" t="str">
        <f>T("7602125373")</f>
        <v>7602125373</v>
      </c>
    </row>
    <row r="6973" spans="1:12" x14ac:dyDescent="0.35">
      <c r="A6973" t="str">
        <f>T("13TH MEU 1MEF")</f>
        <v>13TH MEU 1MEF</v>
      </c>
      <c r="B6973" t="str">
        <f t="shared" si="2659"/>
        <v>ATTN GCPC APPROVING OFFICIAL</v>
      </c>
      <c r="C6973" t="str">
        <f>T("BOX 555363")</f>
        <v>BOX 555363</v>
      </c>
      <c r="D6973" t="str">
        <f t="shared" si="2665"/>
        <v>CAMP PENDLETON</v>
      </c>
      <c r="E6973" t="str">
        <f t="shared" si="2663"/>
        <v>CA</v>
      </c>
      <c r="F6973" t="str">
        <f>T("920555363")</f>
        <v>920555363</v>
      </c>
      <c r="G6973" t="str">
        <f t="shared" si="2658"/>
        <v>ATTN GCPC APPROVING OFFICIAL</v>
      </c>
      <c r="H6973" t="str">
        <f>T("BOX 555363")</f>
        <v>BOX 555363</v>
      </c>
      <c r="I6973" t="str">
        <f t="shared" si="2666"/>
        <v>CAMP PENDLETON</v>
      </c>
      <c r="J6973" t="str">
        <f t="shared" si="2664"/>
        <v>CA</v>
      </c>
      <c r="K6973" t="str">
        <f>T("000000000000000000")</f>
        <v>000000000000000000</v>
      </c>
      <c r="L6973" t="str">
        <f>T("7607630778")</f>
        <v>7607630778</v>
      </c>
    </row>
    <row r="6974" spans="1:12" x14ac:dyDescent="0.35">
      <c r="A6974" t="str">
        <f>T("13TH MEU 1MEF")</f>
        <v>13TH MEU 1MEF</v>
      </c>
      <c r="B6974" t="str">
        <f t="shared" si="2659"/>
        <v>ATTN GCPC APPROVING OFFICIAL</v>
      </c>
      <c r="C6974" t="str">
        <f>T("BOX 555363")</f>
        <v>BOX 555363</v>
      </c>
      <c r="D6974" t="str">
        <f t="shared" si="2665"/>
        <v>CAMP PENDLETON</v>
      </c>
      <c r="E6974" t="str">
        <f t="shared" si="2663"/>
        <v>CA</v>
      </c>
      <c r="F6974" t="str">
        <f>T("920555363")</f>
        <v>920555363</v>
      </c>
      <c r="G6974" t="str">
        <f t="shared" si="2658"/>
        <v>ATTN GCPC APPROVING OFFICIAL</v>
      </c>
      <c r="H6974" t="str">
        <f>T("BOX 555363")</f>
        <v>BOX 555363</v>
      </c>
      <c r="I6974" t="str">
        <f t="shared" si="2666"/>
        <v>CAMP PENDLETON</v>
      </c>
      <c r="J6974" t="str">
        <f t="shared" si="2664"/>
        <v>CA</v>
      </c>
      <c r="K6974" t="str">
        <f>T("760 763 0889")</f>
        <v>760 763 0889</v>
      </c>
      <c r="L6974" t="str">
        <f>T("7607630778")</f>
        <v>7607630778</v>
      </c>
    </row>
    <row r="6975" spans="1:12" x14ac:dyDescent="0.35">
      <c r="A6975" t="str">
        <f>T("13TH MEU 1MEF")</f>
        <v>13TH MEU 1MEF</v>
      </c>
      <c r="B6975" t="str">
        <f t="shared" si="2659"/>
        <v>ATTN GCPC APPROVING OFFICIAL</v>
      </c>
      <c r="C6975" t="str">
        <f>T("BOX 555363")</f>
        <v>BOX 555363</v>
      </c>
      <c r="D6975" t="str">
        <f t="shared" si="2665"/>
        <v>CAMP PENDLETON</v>
      </c>
      <c r="E6975" t="str">
        <f t="shared" si="2663"/>
        <v>CA</v>
      </c>
      <c r="F6975" t="str">
        <f>T("920555363")</f>
        <v>920555363</v>
      </c>
      <c r="G6975" t="str">
        <f t="shared" si="2658"/>
        <v>ATTN GCPC APPROVING OFFICIAL</v>
      </c>
      <c r="H6975" t="str">
        <f>T("PO BOX 555363")</f>
        <v>PO BOX 555363</v>
      </c>
      <c r="I6975" t="str">
        <f t="shared" si="2666"/>
        <v>CAMP PENDLETON</v>
      </c>
      <c r="J6975" t="str">
        <f t="shared" si="2664"/>
        <v>CA</v>
      </c>
      <c r="K6975" t="str">
        <f t="shared" ref="K6975:K6982" si="2667">T("000000000000000000")</f>
        <v>000000000000000000</v>
      </c>
      <c r="L6975" t="str">
        <f>T("7607630778")</f>
        <v>7607630778</v>
      </c>
    </row>
    <row r="6976" spans="1:12" x14ac:dyDescent="0.35">
      <c r="A6976" t="str">
        <f>T("15TH MEU IMEF")</f>
        <v>15TH MEU IMEF</v>
      </c>
      <c r="B6976" t="str">
        <f>T("ATTN GCPC AO")</f>
        <v>ATTN GCPC AO</v>
      </c>
      <c r="C6976" t="str">
        <f>T("BOX 555365")</f>
        <v>BOX 555365</v>
      </c>
      <c r="D6976" t="str">
        <f t="shared" si="2665"/>
        <v>CAMP PENDLETON</v>
      </c>
      <c r="E6976" t="str">
        <f t="shared" si="2663"/>
        <v>CA</v>
      </c>
      <c r="F6976" t="str">
        <f>T("920555365")</f>
        <v>920555365</v>
      </c>
      <c r="G6976" t="str">
        <f>T("ATTN GCPC AO")</f>
        <v>ATTN GCPC AO</v>
      </c>
      <c r="H6976" t="str">
        <f>T("BOX 555365")</f>
        <v>BOX 555365</v>
      </c>
      <c r="I6976" t="str">
        <f t="shared" si="2666"/>
        <v>CAMP PENDLETON</v>
      </c>
      <c r="J6976" t="str">
        <f t="shared" si="2664"/>
        <v>CA</v>
      </c>
      <c r="K6976" t="str">
        <f t="shared" si="2667"/>
        <v>000000000000000000</v>
      </c>
      <c r="L6976" t="str">
        <f>T("7607638308")</f>
        <v>7607638308</v>
      </c>
    </row>
    <row r="6977" spans="1:12" x14ac:dyDescent="0.35">
      <c r="A6977" t="str">
        <f>T("15TH MEU IMEF")</f>
        <v>15TH MEU IMEF</v>
      </c>
      <c r="B6977" t="str">
        <f>T("ATTN GCPC AO")</f>
        <v>ATTN GCPC AO</v>
      </c>
      <c r="C6977" t="str">
        <f>T("BOX 555365")</f>
        <v>BOX 555365</v>
      </c>
      <c r="D6977" t="str">
        <f t="shared" si="2665"/>
        <v>CAMP PENDLETON</v>
      </c>
      <c r="E6977" t="str">
        <f t="shared" si="2663"/>
        <v>CA</v>
      </c>
      <c r="F6977" t="str">
        <f>T("920555365")</f>
        <v>920555365</v>
      </c>
      <c r="G6977" t="str">
        <f t="shared" ref="G6977:G6984" si="2668">T("ATTN GCPC APPROVING OFFICIAL")</f>
        <v>ATTN GCPC APPROVING OFFICIAL</v>
      </c>
      <c r="H6977" t="str">
        <f>T("BOX 555365")</f>
        <v>BOX 555365</v>
      </c>
      <c r="I6977" t="str">
        <f t="shared" si="2666"/>
        <v>CAMP PENDLETON</v>
      </c>
      <c r="J6977" t="str">
        <f t="shared" si="2664"/>
        <v>CA</v>
      </c>
      <c r="K6977" t="str">
        <f t="shared" si="2667"/>
        <v>000000000000000000</v>
      </c>
      <c r="L6977" t="str">
        <f>T("7607259598")</f>
        <v>7607259598</v>
      </c>
    </row>
    <row r="6978" spans="1:12" x14ac:dyDescent="0.35">
      <c r="A6978" t="str">
        <f t="shared" ref="A6978:A6985" si="2669">T("TECOM UNITS")</f>
        <v>TECOM UNITS</v>
      </c>
      <c r="B6978" t="str">
        <f t="shared" ref="B6978:B6983" si="2670">T("ATTN GCPC APPROVING OFFICIAL")</f>
        <v>ATTN GCPC APPROVING OFFICIAL</v>
      </c>
      <c r="C6978" t="str">
        <f>T("BOX 555061")</f>
        <v>BOX 555061</v>
      </c>
      <c r="D6978" t="str">
        <f t="shared" si="2665"/>
        <v>CAMP PENDLETON</v>
      </c>
      <c r="E6978" t="str">
        <f t="shared" si="2663"/>
        <v>CA</v>
      </c>
      <c r="F6978" t="str">
        <f>T("920555061")</f>
        <v>920555061</v>
      </c>
      <c r="G6978" t="str">
        <f t="shared" si="2668"/>
        <v>ATTN GCPC APPROVING OFFICIAL</v>
      </c>
      <c r="H6978" t="str">
        <f>T("BOX 55061")</f>
        <v>BOX 55061</v>
      </c>
      <c r="I6978" t="str">
        <f t="shared" si="2666"/>
        <v>CAMP PENDLETON</v>
      </c>
      <c r="J6978" t="str">
        <f t="shared" si="2664"/>
        <v>CA</v>
      </c>
      <c r="K6978" t="str">
        <f t="shared" si="2667"/>
        <v>000000000000000000</v>
      </c>
      <c r="L6978" t="str">
        <f>T("7607257155")</f>
        <v>7607257155</v>
      </c>
    </row>
    <row r="6979" spans="1:12" x14ac:dyDescent="0.35">
      <c r="A6979" t="str">
        <f t="shared" si="2669"/>
        <v>TECOM UNITS</v>
      </c>
      <c r="B6979" t="str">
        <f t="shared" si="2670"/>
        <v>ATTN GCPC APPROVING OFFICIAL</v>
      </c>
      <c r="C6979" t="str">
        <f>T("BOX 555061")</f>
        <v>BOX 555061</v>
      </c>
      <c r="D6979" t="str">
        <f t="shared" si="2665"/>
        <v>CAMP PENDLETON</v>
      </c>
      <c r="E6979" t="str">
        <f t="shared" si="2663"/>
        <v>CA</v>
      </c>
      <c r="F6979" t="str">
        <f>T("920555061")</f>
        <v>920555061</v>
      </c>
      <c r="G6979" t="str">
        <f t="shared" si="2668"/>
        <v>ATTN GCPC APPROVING OFFICIAL</v>
      </c>
      <c r="H6979" t="str">
        <f>T("BOX 555001")</f>
        <v>BOX 555001</v>
      </c>
      <c r="I6979" t="str">
        <f t="shared" si="2666"/>
        <v>CAMP PENDLETON</v>
      </c>
      <c r="J6979" t="str">
        <f t="shared" si="2664"/>
        <v>CA</v>
      </c>
      <c r="K6979" t="str">
        <f t="shared" si="2667"/>
        <v>000000000000000000</v>
      </c>
      <c r="L6979" t="str">
        <f>T("7607257155")</f>
        <v>7607257155</v>
      </c>
    </row>
    <row r="6980" spans="1:12" x14ac:dyDescent="0.35">
      <c r="A6980" t="str">
        <f t="shared" si="2669"/>
        <v>TECOM UNITS</v>
      </c>
      <c r="B6980" t="str">
        <f t="shared" si="2670"/>
        <v>ATTN GCPC APPROVING OFFICIAL</v>
      </c>
      <c r="C6980" t="str">
        <f>T("BOX 555061")</f>
        <v>BOX 555061</v>
      </c>
      <c r="D6980" t="str">
        <f t="shared" si="2665"/>
        <v>CAMP PENDLETON</v>
      </c>
      <c r="E6980" t="str">
        <f t="shared" si="2663"/>
        <v>CA</v>
      </c>
      <c r="F6980" t="str">
        <f>T("920555061")</f>
        <v>920555061</v>
      </c>
      <c r="G6980" t="str">
        <f t="shared" si="2668"/>
        <v>ATTN GCPC APPROVING OFFICIAL</v>
      </c>
      <c r="H6980" t="str">
        <f>T("BOX 555061")</f>
        <v>BOX 555061</v>
      </c>
      <c r="I6980" t="str">
        <f t="shared" si="2666"/>
        <v>CAMP PENDLETON</v>
      </c>
      <c r="J6980" t="str">
        <f t="shared" si="2664"/>
        <v>CA</v>
      </c>
      <c r="K6980" t="str">
        <f t="shared" si="2667"/>
        <v>000000000000000000</v>
      </c>
      <c r="L6980" t="str">
        <f>T("7607637716")</f>
        <v>7607637716</v>
      </c>
    </row>
    <row r="6981" spans="1:12" x14ac:dyDescent="0.35">
      <c r="A6981" t="str">
        <f t="shared" si="2669"/>
        <v>TECOM UNITS</v>
      </c>
      <c r="B6981" t="str">
        <f t="shared" si="2670"/>
        <v>ATTN GCPC APPROVING OFFICIAL</v>
      </c>
      <c r="C6981" t="str">
        <f>T("BOX 555061")</f>
        <v>BOX 555061</v>
      </c>
      <c r="D6981" t="str">
        <f t="shared" si="2665"/>
        <v>CAMP PENDLETON</v>
      </c>
      <c r="E6981" t="str">
        <f t="shared" si="2663"/>
        <v>CA</v>
      </c>
      <c r="F6981" t="str">
        <f>T("920555061")</f>
        <v>920555061</v>
      </c>
      <c r="G6981" t="str">
        <f t="shared" si="2668"/>
        <v>ATTN GCPC APPROVING OFFICIAL</v>
      </c>
      <c r="H6981" t="str">
        <f>T("PO BOX 555061")</f>
        <v>PO BOX 555061</v>
      </c>
      <c r="I6981" t="str">
        <f t="shared" si="2666"/>
        <v>CAMP PENDLETON</v>
      </c>
      <c r="J6981" t="str">
        <f t="shared" si="2664"/>
        <v>CA</v>
      </c>
      <c r="K6981" t="str">
        <f t="shared" si="2667"/>
        <v>000000000000000000</v>
      </c>
      <c r="L6981" t="str">
        <f>T("7607637720")</f>
        <v>7607637720</v>
      </c>
    </row>
    <row r="6982" spans="1:12" x14ac:dyDescent="0.35">
      <c r="A6982" t="str">
        <f t="shared" si="2669"/>
        <v>TECOM UNITS</v>
      </c>
      <c r="B6982" t="str">
        <f t="shared" si="2670"/>
        <v>ATTN GCPC APPROVING OFFICIAL</v>
      </c>
      <c r="C6982" t="str">
        <f>T("BOX 555243")</f>
        <v>BOX 555243</v>
      </c>
      <c r="D6982" t="str">
        <f t="shared" si="2665"/>
        <v>CAMP PENDLETON</v>
      </c>
      <c r="E6982" t="str">
        <f t="shared" si="2663"/>
        <v>CA</v>
      </c>
      <c r="F6982" t="str">
        <f>T("920555243")</f>
        <v>920555243</v>
      </c>
      <c r="G6982" t="str">
        <f t="shared" si="2668"/>
        <v>ATTN GCPC APPROVING OFFICIAL</v>
      </c>
      <c r="H6982" t="str">
        <f>T("BOX 555243")</f>
        <v>BOX 555243</v>
      </c>
      <c r="I6982" t="str">
        <f t="shared" si="2666"/>
        <v>CAMP PENDLETON</v>
      </c>
      <c r="J6982" t="str">
        <f t="shared" si="2664"/>
        <v>CA</v>
      </c>
      <c r="K6982" t="str">
        <f t="shared" si="2667"/>
        <v>000000000000000000</v>
      </c>
      <c r="L6982" t="str">
        <f>T("7607252672")</f>
        <v>7607252672</v>
      </c>
    </row>
    <row r="6983" spans="1:12" x14ac:dyDescent="0.35">
      <c r="A6983" t="str">
        <f t="shared" si="2669"/>
        <v>TECOM UNITS</v>
      </c>
      <c r="B6983" t="str">
        <f t="shared" si="2670"/>
        <v>ATTN GCPC APPROVING OFFICIAL</v>
      </c>
      <c r="C6983" t="str">
        <f>T("BOX 555243")</f>
        <v>BOX 555243</v>
      </c>
      <c r="D6983" t="str">
        <f t="shared" si="2665"/>
        <v>CAMP PENDLETON</v>
      </c>
      <c r="E6983" t="str">
        <f t="shared" si="2663"/>
        <v>CA</v>
      </c>
      <c r="F6983" t="str">
        <f>T("920555243")</f>
        <v>920555243</v>
      </c>
      <c r="G6983" t="str">
        <f t="shared" si="2668"/>
        <v>ATTN GCPC APPROVING OFFICIAL</v>
      </c>
      <c r="H6983" t="str">
        <f>T("BOX 555243")</f>
        <v>BOX 555243</v>
      </c>
      <c r="I6983" t="str">
        <f t="shared" si="2666"/>
        <v>CAMP PENDLETON</v>
      </c>
      <c r="J6983" t="str">
        <f t="shared" si="2664"/>
        <v>CA</v>
      </c>
      <c r="K6983" t="str">
        <f>T("760 725 2799")</f>
        <v>760 725 2799</v>
      </c>
      <c r="L6983" t="str">
        <f>T("7607256067")</f>
        <v>7607256067</v>
      </c>
    </row>
    <row r="6984" spans="1:12" x14ac:dyDescent="0.35">
      <c r="A6984" t="str">
        <f t="shared" si="2669"/>
        <v>TECOM UNITS</v>
      </c>
      <c r="B6984" t="str">
        <f>T("ATTN GCPC APPRVNG OFFICIAL")</f>
        <v>ATTN GCPC APPRVNG OFFICIAL</v>
      </c>
      <c r="C6984" t="str">
        <f>T("PO BOX 555041")</f>
        <v>PO BOX 555041</v>
      </c>
      <c r="D6984" t="str">
        <f t="shared" si="2665"/>
        <v>CAMP PENDLETON</v>
      </c>
      <c r="E6984" t="str">
        <f t="shared" si="2663"/>
        <v>CA</v>
      </c>
      <c r="F6984" t="str">
        <f>T("920555041")</f>
        <v>920555041</v>
      </c>
      <c r="G6984" t="str">
        <f t="shared" si="2668"/>
        <v>ATTN GCPC APPROVING OFFICIAL</v>
      </c>
      <c r="H6984" t="str">
        <f>T("BOX 555041")</f>
        <v>BOX 555041</v>
      </c>
      <c r="I6984" t="str">
        <f t="shared" si="2666"/>
        <v>CAMP PENDLETON</v>
      </c>
      <c r="J6984" t="str">
        <f t="shared" si="2664"/>
        <v>CA</v>
      </c>
      <c r="K6984" t="str">
        <f>T("000000000000000000")</f>
        <v>000000000000000000</v>
      </c>
      <c r="L6984" t="str">
        <f>T("7607252060")</f>
        <v>7607252060</v>
      </c>
    </row>
    <row r="6985" spans="1:12" x14ac:dyDescent="0.35">
      <c r="A6985" t="str">
        <f t="shared" si="2669"/>
        <v>TECOM UNITS</v>
      </c>
      <c r="B6985" t="str">
        <f>T("ATTN GCPC APPRVNG OFFICIAL")</f>
        <v>ATTN GCPC APPRVNG OFFICIAL</v>
      </c>
      <c r="C6985" t="str">
        <f>T("PO BOX 555041")</f>
        <v>PO BOX 555041</v>
      </c>
      <c r="D6985" t="str">
        <f t="shared" si="2665"/>
        <v>CAMP PENDLETON</v>
      </c>
      <c r="E6985" t="str">
        <f t="shared" si="2663"/>
        <v>CA</v>
      </c>
      <c r="F6985" t="str">
        <f>T("920555041")</f>
        <v>920555041</v>
      </c>
      <c r="G6985" t="str">
        <f>T("ATTN GCPC APPRVNG OFFICIAL")</f>
        <v>ATTN GCPC APPRVNG OFFICIAL</v>
      </c>
      <c r="H6985" t="str">
        <f>T("PO BOX 555041")</f>
        <v>PO BOX 555041</v>
      </c>
      <c r="I6985" t="str">
        <f t="shared" si="2666"/>
        <v>CAMP PENDLETON</v>
      </c>
      <c r="J6985" t="str">
        <f t="shared" si="2664"/>
        <v>CA</v>
      </c>
      <c r="K6985" t="str">
        <f>T("000000000000000000")</f>
        <v>000000000000000000</v>
      </c>
      <c r="L6985" t="str">
        <f>T("7607252060")</f>
        <v>7607252060</v>
      </c>
    </row>
    <row r="6986" spans="1:12" x14ac:dyDescent="0.35">
      <c r="A6986" t="str">
        <f t="shared" ref="A6986:A7018" si="2671">T("BARSTOW")</f>
        <v>BARSTOW</v>
      </c>
      <c r="B6986" t="str">
        <f t="shared" ref="B6986:B6994" si="2672">T("ATTN  GCPC APPROVING OFFICIAL")</f>
        <v>ATTN  GCPC APPROVING OFFICIAL</v>
      </c>
      <c r="C6986" t="str">
        <f t="shared" ref="C6986:C6997" si="2673">T("")</f>
        <v/>
      </c>
      <c r="D6986" t="str">
        <f t="shared" ref="D6986:D6992" si="2674">T("BARSTOW")</f>
        <v>BARSTOW</v>
      </c>
      <c r="E6986" t="str">
        <f t="shared" si="2663"/>
        <v>CA</v>
      </c>
      <c r="F6986" t="str">
        <f t="shared" ref="F6986:F6997" si="2675">T("923110000")</f>
        <v>923110000</v>
      </c>
      <c r="G6986" t="str">
        <f>T("ATTN  GCPC APPROVING OFFICIAL")</f>
        <v>ATTN  GCPC APPROVING OFFICIAL</v>
      </c>
      <c r="H6986" t="str">
        <f>T("")</f>
        <v/>
      </c>
      <c r="I6986" t="str">
        <f t="shared" ref="I6986:I6992" si="2676">T("BARSTOW")</f>
        <v>BARSTOW</v>
      </c>
      <c r="J6986" t="str">
        <f t="shared" si="2664"/>
        <v>CA</v>
      </c>
      <c r="K6986" t="str">
        <f>T("")</f>
        <v/>
      </c>
      <c r="L6986" t="str">
        <f>T("7605775897")</f>
        <v>7605775897</v>
      </c>
    </row>
    <row r="6987" spans="1:12" x14ac:dyDescent="0.35">
      <c r="A6987" t="str">
        <f t="shared" si="2671"/>
        <v>BARSTOW</v>
      </c>
      <c r="B6987" t="str">
        <f t="shared" si="2672"/>
        <v>ATTN  GCPC APPROVING OFFICIAL</v>
      </c>
      <c r="C6987" t="str">
        <f t="shared" si="2673"/>
        <v/>
      </c>
      <c r="D6987" t="str">
        <f t="shared" si="2674"/>
        <v>BARSTOW</v>
      </c>
      <c r="E6987" t="str">
        <f t="shared" si="2663"/>
        <v>CA</v>
      </c>
      <c r="F6987" t="str">
        <f t="shared" si="2675"/>
        <v>923110000</v>
      </c>
      <c r="G6987" t="str">
        <f>T("ATTN  GCPC APPROVING OFFICIAL")</f>
        <v>ATTN  GCPC APPROVING OFFICIAL</v>
      </c>
      <c r="H6987" t="str">
        <f>T("")</f>
        <v/>
      </c>
      <c r="I6987" t="str">
        <f t="shared" si="2676"/>
        <v>BARSTOW</v>
      </c>
      <c r="J6987" t="str">
        <f t="shared" si="2664"/>
        <v>CA</v>
      </c>
      <c r="K6987" t="str">
        <f>T("")</f>
        <v/>
      </c>
      <c r="L6987" t="str">
        <f>T("7605776894")</f>
        <v>7605776894</v>
      </c>
    </row>
    <row r="6988" spans="1:12" x14ac:dyDescent="0.35">
      <c r="A6988" t="str">
        <f t="shared" si="2671"/>
        <v>BARSTOW</v>
      </c>
      <c r="B6988" t="str">
        <f t="shared" si="2672"/>
        <v>ATTN  GCPC APPROVING OFFICIAL</v>
      </c>
      <c r="C6988" t="str">
        <f t="shared" si="2673"/>
        <v/>
      </c>
      <c r="D6988" t="str">
        <f t="shared" si="2674"/>
        <v>BARSTOW</v>
      </c>
      <c r="E6988" t="str">
        <f t="shared" si="2663"/>
        <v>CA</v>
      </c>
      <c r="F6988" t="str">
        <f t="shared" si="2675"/>
        <v>923110000</v>
      </c>
      <c r="G6988" t="str">
        <f>T("ATTN GCPC APPROVING OFFICIAL")</f>
        <v>ATTN GCPC APPROVING OFFICIAL</v>
      </c>
      <c r="H6988" t="str">
        <f>T("BOX 110194")</f>
        <v>BOX 110194</v>
      </c>
      <c r="I6988" t="str">
        <f t="shared" si="2676"/>
        <v>BARSTOW</v>
      </c>
      <c r="J6988" t="str">
        <f t="shared" si="2664"/>
        <v>CA</v>
      </c>
      <c r="K6988" t="str">
        <f>T("000000000000000000")</f>
        <v>000000000000000000</v>
      </c>
      <c r="L6988" t="str">
        <f>T("7605776704")</f>
        <v>7605776704</v>
      </c>
    </row>
    <row r="6989" spans="1:12" x14ac:dyDescent="0.35">
      <c r="A6989" t="str">
        <f t="shared" si="2671"/>
        <v>BARSTOW</v>
      </c>
      <c r="B6989" t="str">
        <f t="shared" si="2672"/>
        <v>ATTN  GCPC APPROVING OFFICIAL</v>
      </c>
      <c r="C6989" t="str">
        <f t="shared" si="2673"/>
        <v/>
      </c>
      <c r="D6989" t="str">
        <f t="shared" si="2674"/>
        <v>BARSTOW</v>
      </c>
      <c r="E6989" t="str">
        <f t="shared" si="2663"/>
        <v>CA</v>
      </c>
      <c r="F6989" t="str">
        <f t="shared" si="2675"/>
        <v>923110000</v>
      </c>
      <c r="G6989" t="str">
        <f>T("ATTN GCPC APPROVING OFFICIAL")</f>
        <v>ATTN GCPC APPROVING OFFICIAL</v>
      </c>
      <c r="H6989" t="str">
        <f>T("BOX 110194")</f>
        <v>BOX 110194</v>
      </c>
      <c r="I6989" t="str">
        <f t="shared" si="2676"/>
        <v>BARSTOW</v>
      </c>
      <c r="J6989" t="str">
        <f t="shared" si="2664"/>
        <v>CA</v>
      </c>
      <c r="K6989" t="str">
        <f>T("7605776037")</f>
        <v>7605776037</v>
      </c>
      <c r="L6989" t="str">
        <f>T("7605776024")</f>
        <v>7605776024</v>
      </c>
    </row>
    <row r="6990" spans="1:12" x14ac:dyDescent="0.35">
      <c r="A6990" t="str">
        <f t="shared" si="2671"/>
        <v>BARSTOW</v>
      </c>
      <c r="B6990" t="str">
        <f t="shared" si="2672"/>
        <v>ATTN  GCPC APPROVING OFFICIAL</v>
      </c>
      <c r="C6990" t="str">
        <f t="shared" si="2673"/>
        <v/>
      </c>
      <c r="D6990" t="str">
        <f t="shared" si="2674"/>
        <v>BARSTOW</v>
      </c>
      <c r="E6990" t="str">
        <f t="shared" si="2663"/>
        <v>CA</v>
      </c>
      <c r="F6990" t="str">
        <f t="shared" si="2675"/>
        <v>923110000</v>
      </c>
      <c r="G6990" t="str">
        <f>T("ATTN GCPC APPROVING OFFICIAL")</f>
        <v>ATTN GCPC APPROVING OFFICIAL</v>
      </c>
      <c r="H6990" t="str">
        <f>T("BOX 110194")</f>
        <v>BOX 110194</v>
      </c>
      <c r="I6990" t="str">
        <f t="shared" si="2676"/>
        <v>BARSTOW</v>
      </c>
      <c r="J6990" t="str">
        <f t="shared" si="2664"/>
        <v>CA</v>
      </c>
      <c r="K6990" t="str">
        <f>T("7605777065")</f>
        <v>7605777065</v>
      </c>
      <c r="L6990" t="str">
        <f>T("7605777818")</f>
        <v>7605777818</v>
      </c>
    </row>
    <row r="6991" spans="1:12" x14ac:dyDescent="0.35">
      <c r="A6991" t="str">
        <f t="shared" si="2671"/>
        <v>BARSTOW</v>
      </c>
      <c r="B6991" t="str">
        <f t="shared" si="2672"/>
        <v>ATTN  GCPC APPROVING OFFICIAL</v>
      </c>
      <c r="C6991" t="str">
        <f t="shared" si="2673"/>
        <v/>
      </c>
      <c r="D6991" t="str">
        <f t="shared" si="2674"/>
        <v>BARSTOW</v>
      </c>
      <c r="E6991" t="str">
        <f t="shared" si="2663"/>
        <v>CA</v>
      </c>
      <c r="F6991" t="str">
        <f t="shared" si="2675"/>
        <v>923110000</v>
      </c>
      <c r="G6991" t="str">
        <f>T("ATTN GCPC APPROVING OFFICIAL")</f>
        <v>ATTN GCPC APPROVING OFFICIAL</v>
      </c>
      <c r="H6991" t="str">
        <f>T("BOX 110310")</f>
        <v>BOX 110310</v>
      </c>
      <c r="I6991" t="str">
        <f t="shared" si="2676"/>
        <v>BARSTOW</v>
      </c>
      <c r="J6991" t="str">
        <f t="shared" si="2664"/>
        <v>CA</v>
      </c>
      <c r="K6991" t="str">
        <f>T("000000000000000000")</f>
        <v>000000000000000000</v>
      </c>
      <c r="L6991" t="str">
        <f>T("7605775898")</f>
        <v>7605775898</v>
      </c>
    </row>
    <row r="6992" spans="1:12" x14ac:dyDescent="0.35">
      <c r="A6992" t="str">
        <f t="shared" si="2671"/>
        <v>BARSTOW</v>
      </c>
      <c r="B6992" t="str">
        <f t="shared" si="2672"/>
        <v>ATTN  GCPC APPROVING OFFICIAL</v>
      </c>
      <c r="C6992" t="str">
        <f t="shared" si="2673"/>
        <v/>
      </c>
      <c r="D6992" t="str">
        <f t="shared" si="2674"/>
        <v>BARSTOW</v>
      </c>
      <c r="E6992" t="str">
        <f t="shared" si="2663"/>
        <v>CA</v>
      </c>
      <c r="F6992" t="str">
        <f t="shared" si="2675"/>
        <v>923110000</v>
      </c>
      <c r="G6992" t="str">
        <f>T("ATTN GCPC APPROVING OFFICIAL")</f>
        <v>ATTN GCPC APPROVING OFFICIAL</v>
      </c>
      <c r="H6992" t="str">
        <f>T("PO BOX 110194 BLDG 204")</f>
        <v>PO BOX 110194 BLDG 204</v>
      </c>
      <c r="I6992" t="str">
        <f t="shared" si="2676"/>
        <v>BARSTOW</v>
      </c>
      <c r="J6992" t="str">
        <f t="shared" si="2664"/>
        <v>CA</v>
      </c>
      <c r="K6992" t="str">
        <f>T("000000000000000000")</f>
        <v>000000000000000000</v>
      </c>
      <c r="L6992" t="str">
        <f>T("7605776029")</f>
        <v>7605776029</v>
      </c>
    </row>
    <row r="6993" spans="1:12" x14ac:dyDescent="0.35">
      <c r="A6993" t="str">
        <f t="shared" si="2671"/>
        <v>BARSTOW</v>
      </c>
      <c r="B6993" t="str">
        <f t="shared" si="2672"/>
        <v>ATTN  GCPC APPROVING OFFICIAL</v>
      </c>
      <c r="C6993" t="str">
        <f t="shared" si="2673"/>
        <v/>
      </c>
      <c r="D6993" t="str">
        <f>T("CAMP PENDLETON")</f>
        <v>CAMP PENDLETON</v>
      </c>
      <c r="E6993" t="str">
        <f t="shared" si="2663"/>
        <v>CA</v>
      </c>
      <c r="F6993" t="str">
        <f t="shared" si="2675"/>
        <v>923110000</v>
      </c>
      <c r="G6993" t="str">
        <f>T("ATTN  GCPC APPROVING OFFICIAL")</f>
        <v>ATTN  GCPC APPROVING OFFICIAL</v>
      </c>
      <c r="H6993" t="str">
        <f>T("")</f>
        <v/>
      </c>
      <c r="I6993" t="str">
        <f>T("CAMP PENDLETON")</f>
        <v>CAMP PENDLETON</v>
      </c>
      <c r="J6993" t="str">
        <f t="shared" si="2664"/>
        <v>CA</v>
      </c>
      <c r="K6993" t="str">
        <f>T("")</f>
        <v/>
      </c>
      <c r="L6993" t="str">
        <f>T("7605776806")</f>
        <v>7605776806</v>
      </c>
    </row>
    <row r="6994" spans="1:12" x14ac:dyDescent="0.35">
      <c r="A6994" t="str">
        <f t="shared" si="2671"/>
        <v>BARSTOW</v>
      </c>
      <c r="B6994" t="str">
        <f t="shared" si="2672"/>
        <v>ATTN  GCPC APPROVING OFFICIAL</v>
      </c>
      <c r="C6994" t="str">
        <f t="shared" si="2673"/>
        <v/>
      </c>
      <c r="D6994" t="str">
        <f>T("CAMP PENDLETON")</f>
        <v>CAMP PENDLETON</v>
      </c>
      <c r="E6994" t="str">
        <f t="shared" si="2663"/>
        <v>CA</v>
      </c>
      <c r="F6994" t="str">
        <f t="shared" si="2675"/>
        <v>923110000</v>
      </c>
      <c r="G6994" t="str">
        <f t="shared" ref="G6994:G6999" si="2677">T("ATTN GCPC APPROVING OFFICIAL")</f>
        <v>ATTN GCPC APPROVING OFFICIAL</v>
      </c>
      <c r="H6994" t="str">
        <f>T("BOX 110115")</f>
        <v>BOX 110115</v>
      </c>
      <c r="I6994" t="str">
        <f t="shared" ref="I6994:I7010" si="2678">T("BARSTOW")</f>
        <v>BARSTOW</v>
      </c>
      <c r="J6994" t="str">
        <f t="shared" si="2664"/>
        <v>CA</v>
      </c>
      <c r="K6994" t="str">
        <f>T("000000000000000000")</f>
        <v>000000000000000000</v>
      </c>
      <c r="L6994" t="str">
        <f>T("7605776168")</f>
        <v>7605776168</v>
      </c>
    </row>
    <row r="6995" spans="1:12" x14ac:dyDescent="0.35">
      <c r="A6995" t="str">
        <f t="shared" si="2671"/>
        <v>BARSTOW</v>
      </c>
      <c r="B6995" t="str">
        <f t="shared" ref="B6995:B7013" si="2679">T("ATTN GCPC APPROVING OFFICIAL")</f>
        <v>ATTN GCPC APPROVING OFFICIAL</v>
      </c>
      <c r="C6995" t="str">
        <f t="shared" si="2673"/>
        <v/>
      </c>
      <c r="D6995" t="str">
        <f t="shared" ref="D6995:D7008" si="2680">T("BARSTOW")</f>
        <v>BARSTOW</v>
      </c>
      <c r="E6995" t="str">
        <f t="shared" ref="E6995:E7018" si="2681">T("CA")</f>
        <v>CA</v>
      </c>
      <c r="F6995" t="str">
        <f t="shared" si="2675"/>
        <v>923110000</v>
      </c>
      <c r="G6995" t="str">
        <f t="shared" si="2677"/>
        <v>ATTN GCPC APPROVING OFFICIAL</v>
      </c>
      <c r="H6995" t="str">
        <f>T("")</f>
        <v/>
      </c>
      <c r="I6995" t="str">
        <f t="shared" si="2678"/>
        <v>BARSTOW</v>
      </c>
      <c r="J6995" t="str">
        <f t="shared" ref="J6995:J7018" si="2682">T("CA")</f>
        <v>CA</v>
      </c>
      <c r="K6995" t="str">
        <f>T("")</f>
        <v/>
      </c>
      <c r="L6995" t="str">
        <f>T("7605776632")</f>
        <v>7605776632</v>
      </c>
    </row>
    <row r="6996" spans="1:12" x14ac:dyDescent="0.35">
      <c r="A6996" t="str">
        <f t="shared" si="2671"/>
        <v>BARSTOW</v>
      </c>
      <c r="B6996" t="str">
        <f t="shared" si="2679"/>
        <v>ATTN GCPC APPROVING OFFICIAL</v>
      </c>
      <c r="C6996" t="str">
        <f t="shared" si="2673"/>
        <v/>
      </c>
      <c r="D6996" t="str">
        <f t="shared" si="2680"/>
        <v>BARSTOW</v>
      </c>
      <c r="E6996" t="str">
        <f t="shared" si="2681"/>
        <v>CA</v>
      </c>
      <c r="F6996" t="str">
        <f t="shared" si="2675"/>
        <v>923110000</v>
      </c>
      <c r="G6996" t="str">
        <f t="shared" si="2677"/>
        <v>ATTN GCPC APPROVING OFFICIAL</v>
      </c>
      <c r="H6996" t="str">
        <f>T("")</f>
        <v/>
      </c>
      <c r="I6996" t="str">
        <f t="shared" si="2678"/>
        <v>BARSTOW</v>
      </c>
      <c r="J6996" t="str">
        <f t="shared" si="2682"/>
        <v>CA</v>
      </c>
      <c r="K6996" t="str">
        <f>T("7605776174")</f>
        <v>7605776174</v>
      </c>
      <c r="L6996" t="str">
        <f>T("7605776230")</f>
        <v>7605776230</v>
      </c>
    </row>
    <row r="6997" spans="1:12" x14ac:dyDescent="0.35">
      <c r="A6997" t="str">
        <f t="shared" si="2671"/>
        <v>BARSTOW</v>
      </c>
      <c r="B6997" t="str">
        <f t="shared" si="2679"/>
        <v>ATTN GCPC APPROVING OFFICIAL</v>
      </c>
      <c r="C6997" t="str">
        <f t="shared" si="2673"/>
        <v/>
      </c>
      <c r="D6997" t="str">
        <f t="shared" si="2680"/>
        <v>BARSTOW</v>
      </c>
      <c r="E6997" t="str">
        <f t="shared" si="2681"/>
        <v>CA</v>
      </c>
      <c r="F6997" t="str">
        <f t="shared" si="2675"/>
        <v>923110000</v>
      </c>
      <c r="G6997" t="str">
        <f t="shared" si="2677"/>
        <v>ATTN GCPC APPROVING OFFICIAL</v>
      </c>
      <c r="H6997" t="str">
        <f>T("BOX 110194")</f>
        <v>BOX 110194</v>
      </c>
      <c r="I6997" t="str">
        <f t="shared" si="2678"/>
        <v>BARSTOW</v>
      </c>
      <c r="J6997" t="str">
        <f t="shared" si="2682"/>
        <v>CA</v>
      </c>
      <c r="K6997" t="str">
        <f>T("000000000000000000")</f>
        <v>000000000000000000</v>
      </c>
      <c r="L6997" t="str">
        <f>T("7605776893")</f>
        <v>7605776893</v>
      </c>
    </row>
    <row r="6998" spans="1:12" x14ac:dyDescent="0.35">
      <c r="A6998" t="str">
        <f t="shared" si="2671"/>
        <v>BARSTOW</v>
      </c>
      <c r="B6998" t="str">
        <f t="shared" si="2679"/>
        <v>ATTN GCPC APPROVING OFFICIAL</v>
      </c>
      <c r="C6998" t="str">
        <f>T("BOX 110145")</f>
        <v>BOX 110145</v>
      </c>
      <c r="D6998" t="str">
        <f t="shared" si="2680"/>
        <v>BARSTOW</v>
      </c>
      <c r="E6998" t="str">
        <f t="shared" si="2681"/>
        <v>CA</v>
      </c>
      <c r="F6998" t="str">
        <f>T("923115050")</f>
        <v>923115050</v>
      </c>
      <c r="G6998" t="str">
        <f t="shared" si="2677"/>
        <v>ATTN GCPC APPROVING OFFICIAL</v>
      </c>
      <c r="H6998" t="str">
        <f>T("BOX 110145")</f>
        <v>BOX 110145</v>
      </c>
      <c r="I6998" t="str">
        <f t="shared" si="2678"/>
        <v>BARSTOW</v>
      </c>
      <c r="J6998" t="str">
        <f t="shared" si="2682"/>
        <v>CA</v>
      </c>
      <c r="K6998" t="str">
        <f>T("")</f>
        <v/>
      </c>
      <c r="L6998" t="str">
        <f>T("7605776751")</f>
        <v>7605776751</v>
      </c>
    </row>
    <row r="6999" spans="1:12" x14ac:dyDescent="0.35">
      <c r="A6999" t="str">
        <f t="shared" si="2671"/>
        <v>BARSTOW</v>
      </c>
      <c r="B6999" t="str">
        <f t="shared" si="2679"/>
        <v>ATTN GCPC APPROVING OFFICIAL</v>
      </c>
      <c r="C6999" t="str">
        <f>T("BOX 110145")</f>
        <v>BOX 110145</v>
      </c>
      <c r="D6999" t="str">
        <f t="shared" si="2680"/>
        <v>BARSTOW</v>
      </c>
      <c r="E6999" t="str">
        <f t="shared" si="2681"/>
        <v>CA</v>
      </c>
      <c r="F6999" t="str">
        <f>T("923115050")</f>
        <v>923115050</v>
      </c>
      <c r="G6999" t="str">
        <f t="shared" si="2677"/>
        <v>ATTN GCPC APPROVING OFFICIAL</v>
      </c>
      <c r="H6999" t="str">
        <f>T("BOX 110194")</f>
        <v>BOX 110194</v>
      </c>
      <c r="I6999" t="str">
        <f t="shared" si="2678"/>
        <v>BARSTOW</v>
      </c>
      <c r="J6999" t="str">
        <f t="shared" si="2682"/>
        <v>CA</v>
      </c>
      <c r="K6999" t="str">
        <f>T("000000000000000000")</f>
        <v>000000000000000000</v>
      </c>
      <c r="L6999" t="str">
        <f>T("7605776795")</f>
        <v>7605776795</v>
      </c>
    </row>
    <row r="7000" spans="1:12" x14ac:dyDescent="0.35">
      <c r="A7000" t="str">
        <f t="shared" si="2671"/>
        <v>BARSTOW</v>
      </c>
      <c r="B7000" t="str">
        <f t="shared" si="2679"/>
        <v>ATTN GCPC APPROVING OFFICIAL</v>
      </c>
      <c r="C7000" t="str">
        <f>T("BOX 110145")</f>
        <v>BOX 110145</v>
      </c>
      <c r="D7000" t="str">
        <f t="shared" si="2680"/>
        <v>BARSTOW</v>
      </c>
      <c r="E7000" t="str">
        <f t="shared" si="2681"/>
        <v>CA</v>
      </c>
      <c r="F7000" t="str">
        <f>T("923115050")</f>
        <v>923115050</v>
      </c>
      <c r="G7000" t="str">
        <f>T("ATTN GCPC APPROVING OFFOICIAL")</f>
        <v>ATTN GCPC APPROVING OFFOICIAL</v>
      </c>
      <c r="H7000" t="str">
        <f>T("BOX 110194")</f>
        <v>BOX 110194</v>
      </c>
      <c r="I7000" t="str">
        <f t="shared" si="2678"/>
        <v>BARSTOW</v>
      </c>
      <c r="J7000" t="str">
        <f t="shared" si="2682"/>
        <v>CA</v>
      </c>
      <c r="K7000" t="str">
        <f>T("000000000000000000")</f>
        <v>000000000000000000</v>
      </c>
      <c r="L7000" t="str">
        <f>T("7605776495")</f>
        <v>7605776495</v>
      </c>
    </row>
    <row r="7001" spans="1:12" x14ac:dyDescent="0.35">
      <c r="A7001" t="str">
        <f t="shared" si="2671"/>
        <v>BARSTOW</v>
      </c>
      <c r="B7001" t="str">
        <f t="shared" si="2679"/>
        <v>ATTN GCPC APPROVING OFFICIAL</v>
      </c>
      <c r="C7001" t="str">
        <f>T("BOX 110198")</f>
        <v>BOX 110198</v>
      </c>
      <c r="D7001" t="str">
        <f t="shared" si="2680"/>
        <v>BARSTOW</v>
      </c>
      <c r="E7001" t="str">
        <f t="shared" si="2681"/>
        <v>CA</v>
      </c>
      <c r="F7001" t="str">
        <f>T("923115050")</f>
        <v>923115050</v>
      </c>
      <c r="G7001" t="str">
        <f t="shared" ref="G7001:G7016" si="2683">T("ATTN GCPC APPROVING OFFICIAL")</f>
        <v>ATTN GCPC APPROVING OFFICIAL</v>
      </c>
      <c r="H7001" t="str">
        <f>T("BOX 110198")</f>
        <v>BOX 110198</v>
      </c>
      <c r="I7001" t="str">
        <f t="shared" si="2678"/>
        <v>BARSTOW</v>
      </c>
      <c r="J7001" t="str">
        <f t="shared" si="2682"/>
        <v>CA</v>
      </c>
      <c r="K7001" t="str">
        <f>T("000000000000000000")</f>
        <v>000000000000000000</v>
      </c>
      <c r="L7001" t="str">
        <f>T("7605776369")</f>
        <v>7605776369</v>
      </c>
    </row>
    <row r="7002" spans="1:12" x14ac:dyDescent="0.35">
      <c r="A7002" t="str">
        <f t="shared" si="2671"/>
        <v>BARSTOW</v>
      </c>
      <c r="B7002" t="str">
        <f t="shared" si="2679"/>
        <v>ATTN GCPC APPROVING OFFICIAL</v>
      </c>
      <c r="C7002" t="str">
        <f>T("BOX 110550")</f>
        <v>BOX 110550</v>
      </c>
      <c r="D7002" t="str">
        <f t="shared" si="2680"/>
        <v>BARSTOW</v>
      </c>
      <c r="E7002" t="str">
        <f t="shared" si="2681"/>
        <v>CA</v>
      </c>
      <c r="F7002" t="str">
        <f>T("923115002")</f>
        <v>923115002</v>
      </c>
      <c r="G7002" t="str">
        <f t="shared" si="2683"/>
        <v>ATTN GCPC APPROVING OFFICIAL</v>
      </c>
      <c r="H7002" t="str">
        <f>T("BOX 110550")</f>
        <v>BOX 110550</v>
      </c>
      <c r="I7002" t="str">
        <f t="shared" si="2678"/>
        <v>BARSTOW</v>
      </c>
      <c r="J7002" t="str">
        <f t="shared" si="2682"/>
        <v>CA</v>
      </c>
      <c r="K7002" t="str">
        <f>T("000000000000000000")</f>
        <v>000000000000000000</v>
      </c>
      <c r="L7002" t="str">
        <f>T("7605776622")</f>
        <v>7605776622</v>
      </c>
    </row>
    <row r="7003" spans="1:12" x14ac:dyDescent="0.35">
      <c r="A7003" t="str">
        <f t="shared" si="2671"/>
        <v>BARSTOW</v>
      </c>
      <c r="B7003" t="str">
        <f t="shared" si="2679"/>
        <v>ATTN GCPC APPROVING OFFICIAL</v>
      </c>
      <c r="C7003" t="str">
        <f>T("BOX 110550")</f>
        <v>BOX 110550</v>
      </c>
      <c r="D7003" t="str">
        <f t="shared" si="2680"/>
        <v>BARSTOW</v>
      </c>
      <c r="E7003" t="str">
        <f t="shared" si="2681"/>
        <v>CA</v>
      </c>
      <c r="F7003" t="str">
        <f>T("923115002")</f>
        <v>923115002</v>
      </c>
      <c r="G7003" t="str">
        <f t="shared" si="2683"/>
        <v>ATTN GCPC APPROVING OFFICIAL</v>
      </c>
      <c r="H7003" t="str">
        <f>T("BOX 110550")</f>
        <v>BOX 110550</v>
      </c>
      <c r="I7003" t="str">
        <f t="shared" si="2678"/>
        <v>BARSTOW</v>
      </c>
      <c r="J7003" t="str">
        <f t="shared" si="2682"/>
        <v>CA</v>
      </c>
      <c r="K7003" t="str">
        <f>T("000000000000000000")</f>
        <v>000000000000000000</v>
      </c>
      <c r="L7003" t="str">
        <f>T("7605777543")</f>
        <v>7605777543</v>
      </c>
    </row>
    <row r="7004" spans="1:12" x14ac:dyDescent="0.35">
      <c r="A7004" t="str">
        <f t="shared" si="2671"/>
        <v>BARSTOW</v>
      </c>
      <c r="B7004" t="str">
        <f t="shared" si="2679"/>
        <v>ATTN GCPC APPROVING OFFICIAL</v>
      </c>
      <c r="C7004" t="str">
        <f>T("BOX 110550")</f>
        <v>BOX 110550</v>
      </c>
      <c r="D7004" t="str">
        <f t="shared" si="2680"/>
        <v>BARSTOW</v>
      </c>
      <c r="E7004" t="str">
        <f t="shared" si="2681"/>
        <v>CA</v>
      </c>
      <c r="F7004" t="str">
        <f>T("923115002")</f>
        <v>923115002</v>
      </c>
      <c r="G7004" t="str">
        <f t="shared" si="2683"/>
        <v>ATTN GCPC APPROVING OFFICIAL</v>
      </c>
      <c r="H7004" t="str">
        <f>T("BOX 110550")</f>
        <v>BOX 110550</v>
      </c>
      <c r="I7004" t="str">
        <f t="shared" si="2678"/>
        <v>BARSTOW</v>
      </c>
      <c r="J7004" t="str">
        <f t="shared" si="2682"/>
        <v>CA</v>
      </c>
      <c r="K7004" t="str">
        <f>T("7605776174")</f>
        <v>7605776174</v>
      </c>
      <c r="L7004" t="str">
        <f>T("7605777340")</f>
        <v>7605777340</v>
      </c>
    </row>
    <row r="7005" spans="1:12" x14ac:dyDescent="0.35">
      <c r="A7005" t="str">
        <f t="shared" si="2671"/>
        <v>BARSTOW</v>
      </c>
      <c r="B7005" t="str">
        <f t="shared" si="2679"/>
        <v>ATTN GCPC APPROVING OFFICIAL</v>
      </c>
      <c r="C7005" t="str">
        <f>T("BOX 110570")</f>
        <v>BOX 110570</v>
      </c>
      <c r="D7005" t="str">
        <f t="shared" si="2680"/>
        <v>BARSTOW</v>
      </c>
      <c r="E7005" t="str">
        <f t="shared" si="2681"/>
        <v>CA</v>
      </c>
      <c r="F7005" t="str">
        <f>T("923115003")</f>
        <v>923115003</v>
      </c>
      <c r="G7005" t="str">
        <f t="shared" si="2683"/>
        <v>ATTN GCPC APPROVING OFFICIAL</v>
      </c>
      <c r="H7005" t="str">
        <f>T("BOX 110570")</f>
        <v>BOX 110570</v>
      </c>
      <c r="I7005" t="str">
        <f t="shared" si="2678"/>
        <v>BARSTOW</v>
      </c>
      <c r="J7005" t="str">
        <f t="shared" si="2682"/>
        <v>CA</v>
      </c>
      <c r="K7005" t="str">
        <f>T("")</f>
        <v/>
      </c>
      <c r="L7005" t="str">
        <f>T("7605776189")</f>
        <v>7605776189</v>
      </c>
    </row>
    <row r="7006" spans="1:12" x14ac:dyDescent="0.35">
      <c r="A7006" t="str">
        <f t="shared" si="2671"/>
        <v>BARSTOW</v>
      </c>
      <c r="B7006" t="str">
        <f t="shared" si="2679"/>
        <v>ATTN GCPC APPROVING OFFICIAL</v>
      </c>
      <c r="C7006" t="str">
        <f>T("BOX 110570")</f>
        <v>BOX 110570</v>
      </c>
      <c r="D7006" t="str">
        <f t="shared" si="2680"/>
        <v>BARSTOW</v>
      </c>
      <c r="E7006" t="str">
        <f t="shared" si="2681"/>
        <v>CA</v>
      </c>
      <c r="F7006" t="str">
        <f>T("923115003")</f>
        <v>923115003</v>
      </c>
      <c r="G7006" t="str">
        <f t="shared" si="2683"/>
        <v>ATTN GCPC APPROVING OFFICIAL</v>
      </c>
      <c r="H7006" t="str">
        <f>T("BOX 110570")</f>
        <v>BOX 110570</v>
      </c>
      <c r="I7006" t="str">
        <f t="shared" si="2678"/>
        <v>BARSTOW</v>
      </c>
      <c r="J7006" t="str">
        <f t="shared" si="2682"/>
        <v>CA</v>
      </c>
      <c r="K7006" t="str">
        <f>T("000000000000000000")</f>
        <v>000000000000000000</v>
      </c>
      <c r="L7006" t="str">
        <f>T("7605776184")</f>
        <v>7605776184</v>
      </c>
    </row>
    <row r="7007" spans="1:12" x14ac:dyDescent="0.35">
      <c r="A7007" t="str">
        <f t="shared" si="2671"/>
        <v>BARSTOW</v>
      </c>
      <c r="B7007" t="str">
        <f t="shared" si="2679"/>
        <v>ATTN GCPC APPROVING OFFICIAL</v>
      </c>
      <c r="C7007" t="str">
        <f>T("BOX 110570")</f>
        <v>BOX 110570</v>
      </c>
      <c r="D7007" t="str">
        <f t="shared" si="2680"/>
        <v>BARSTOW</v>
      </c>
      <c r="E7007" t="str">
        <f t="shared" si="2681"/>
        <v>CA</v>
      </c>
      <c r="F7007" t="str">
        <f>T("923115003")</f>
        <v>923115003</v>
      </c>
      <c r="G7007" t="str">
        <f t="shared" si="2683"/>
        <v>ATTN GCPC APPROVING OFFICIAL</v>
      </c>
      <c r="H7007" t="str">
        <f>T("BOX 110570")</f>
        <v>BOX 110570</v>
      </c>
      <c r="I7007" t="str">
        <f t="shared" si="2678"/>
        <v>BARSTOW</v>
      </c>
      <c r="J7007" t="str">
        <f t="shared" si="2682"/>
        <v>CA</v>
      </c>
      <c r="K7007" t="str">
        <f>T("000000000000000000")</f>
        <v>000000000000000000</v>
      </c>
      <c r="L7007" t="str">
        <f>T("7605776839")</f>
        <v>7605776839</v>
      </c>
    </row>
    <row r="7008" spans="1:12" x14ac:dyDescent="0.35">
      <c r="A7008" t="str">
        <f t="shared" si="2671"/>
        <v>BARSTOW</v>
      </c>
      <c r="B7008" t="str">
        <f t="shared" si="2679"/>
        <v>ATTN GCPC APPROVING OFFICIAL</v>
      </c>
      <c r="C7008" t="str">
        <f t="shared" ref="C7008:C7018" si="2684">T("BOX 555627")</f>
        <v>BOX 555627</v>
      </c>
      <c r="D7008" t="str">
        <f t="shared" si="2680"/>
        <v>BARSTOW</v>
      </c>
      <c r="E7008" t="str">
        <f t="shared" si="2681"/>
        <v>CA</v>
      </c>
      <c r="F7008" t="str">
        <f>T("923110000")</f>
        <v>923110000</v>
      </c>
      <c r="G7008" t="str">
        <f t="shared" si="2683"/>
        <v>ATTN GCPC APPROVING OFFICIAL</v>
      </c>
      <c r="H7008" t="str">
        <f>T("BOX 555627")</f>
        <v>BOX 555627</v>
      </c>
      <c r="I7008" t="str">
        <f t="shared" si="2678"/>
        <v>BARSTOW</v>
      </c>
      <c r="J7008" t="str">
        <f t="shared" si="2682"/>
        <v>CA</v>
      </c>
      <c r="K7008" t="str">
        <f>T("7605776174")</f>
        <v>7605776174</v>
      </c>
      <c r="L7008" t="str">
        <f>T("7605776247")</f>
        <v>7605776247</v>
      </c>
    </row>
    <row r="7009" spans="1:12" x14ac:dyDescent="0.35">
      <c r="A7009" t="str">
        <f t="shared" si="2671"/>
        <v>BARSTOW</v>
      </c>
      <c r="B7009" t="str">
        <f t="shared" si="2679"/>
        <v>ATTN GCPC APPROVING OFFICIAL</v>
      </c>
      <c r="C7009" t="str">
        <f t="shared" si="2684"/>
        <v>BOX 555627</v>
      </c>
      <c r="D7009" t="str">
        <f t="shared" ref="D7009:D7018" si="2685">T("CAMP PENDLETON")</f>
        <v>CAMP PENDLETON</v>
      </c>
      <c r="E7009" t="str">
        <f t="shared" si="2681"/>
        <v>CA</v>
      </c>
      <c r="F7009" t="str">
        <f t="shared" ref="F7009:F7018" si="2686">T("920555627")</f>
        <v>920555627</v>
      </c>
      <c r="G7009" t="str">
        <f t="shared" si="2683"/>
        <v>ATTN GCPC APPROVING OFFICIAL</v>
      </c>
      <c r="H7009" t="str">
        <f>T("BOX 110194")</f>
        <v>BOX 110194</v>
      </c>
      <c r="I7009" t="str">
        <f t="shared" si="2678"/>
        <v>BARSTOW</v>
      </c>
      <c r="J7009" t="str">
        <f t="shared" si="2682"/>
        <v>CA</v>
      </c>
      <c r="K7009" t="str">
        <f>T("000000000000000000")</f>
        <v>000000000000000000</v>
      </c>
      <c r="L7009" t="str">
        <f>T("7605776478")</f>
        <v>7605776478</v>
      </c>
    </row>
    <row r="7010" spans="1:12" x14ac:dyDescent="0.35">
      <c r="A7010" t="str">
        <f t="shared" si="2671"/>
        <v>BARSTOW</v>
      </c>
      <c r="B7010" t="str">
        <f t="shared" si="2679"/>
        <v>ATTN GCPC APPROVING OFFICIAL</v>
      </c>
      <c r="C7010" t="str">
        <f t="shared" si="2684"/>
        <v>BOX 555627</v>
      </c>
      <c r="D7010" t="str">
        <f t="shared" si="2685"/>
        <v>CAMP PENDLETON</v>
      </c>
      <c r="E7010" t="str">
        <f t="shared" si="2681"/>
        <v>CA</v>
      </c>
      <c r="F7010" t="str">
        <f t="shared" si="2686"/>
        <v>920555627</v>
      </c>
      <c r="G7010" t="str">
        <f t="shared" si="2683"/>
        <v>ATTN GCPC APPROVING OFFICIAL</v>
      </c>
      <c r="H7010" t="str">
        <f>T("BOX 110363")</f>
        <v>BOX 110363</v>
      </c>
      <c r="I7010" t="str">
        <f t="shared" si="2678"/>
        <v>BARSTOW</v>
      </c>
      <c r="J7010" t="str">
        <f t="shared" si="2682"/>
        <v>CA</v>
      </c>
      <c r="K7010" t="str">
        <f>T("000000000000000000")</f>
        <v>000000000000000000</v>
      </c>
      <c r="L7010" t="str">
        <f>T("7605776707")</f>
        <v>7605776707</v>
      </c>
    </row>
    <row r="7011" spans="1:12" x14ac:dyDescent="0.35">
      <c r="A7011" t="str">
        <f t="shared" si="2671"/>
        <v>BARSTOW</v>
      </c>
      <c r="B7011" t="str">
        <f t="shared" si="2679"/>
        <v>ATTN GCPC APPROVING OFFICIAL</v>
      </c>
      <c r="C7011" t="str">
        <f t="shared" si="2684"/>
        <v>BOX 555627</v>
      </c>
      <c r="D7011" t="str">
        <f t="shared" si="2685"/>
        <v>CAMP PENDLETON</v>
      </c>
      <c r="E7011" t="str">
        <f t="shared" si="2681"/>
        <v>CA</v>
      </c>
      <c r="F7011" t="str">
        <f t="shared" si="2686"/>
        <v>920555627</v>
      </c>
      <c r="G7011" t="str">
        <f t="shared" si="2683"/>
        <v>ATTN GCPC APPROVING OFFICIAL</v>
      </c>
      <c r="H7011" t="str">
        <f>T("BOX 555627")</f>
        <v>BOX 555627</v>
      </c>
      <c r="I7011" t="str">
        <f>T("CAMP PENDLETON")</f>
        <v>CAMP PENDLETON</v>
      </c>
      <c r="J7011" t="str">
        <f t="shared" si="2682"/>
        <v>CA</v>
      </c>
      <c r="K7011" t="str">
        <f>T("000000000000000000")</f>
        <v>000000000000000000</v>
      </c>
      <c r="L7011" t="str">
        <f>T("7605776533")</f>
        <v>7605776533</v>
      </c>
    </row>
    <row r="7012" spans="1:12" x14ac:dyDescent="0.35">
      <c r="A7012" t="str">
        <f t="shared" si="2671"/>
        <v>BARSTOW</v>
      </c>
      <c r="B7012" t="str">
        <f t="shared" si="2679"/>
        <v>ATTN GCPC APPROVING OFFICIAL</v>
      </c>
      <c r="C7012" t="str">
        <f t="shared" si="2684"/>
        <v>BOX 555627</v>
      </c>
      <c r="D7012" t="str">
        <f t="shared" si="2685"/>
        <v>CAMP PENDLETON</v>
      </c>
      <c r="E7012" t="str">
        <f t="shared" si="2681"/>
        <v>CA</v>
      </c>
      <c r="F7012" t="str">
        <f t="shared" si="2686"/>
        <v>920555627</v>
      </c>
      <c r="G7012" t="str">
        <f t="shared" si="2683"/>
        <v>ATTN GCPC APPROVING OFFICIAL</v>
      </c>
      <c r="H7012" t="str">
        <f>T("BOX 555627")</f>
        <v>BOX 555627</v>
      </c>
      <c r="I7012" t="str">
        <f>T("CAMP PENDLETON")</f>
        <v>CAMP PENDLETON</v>
      </c>
      <c r="J7012" t="str">
        <f t="shared" si="2682"/>
        <v>CA</v>
      </c>
      <c r="K7012" t="str">
        <f>T("000000000000000000")</f>
        <v>000000000000000000</v>
      </c>
      <c r="L7012" t="str">
        <f>T("7605776872")</f>
        <v>7605776872</v>
      </c>
    </row>
    <row r="7013" spans="1:12" x14ac:dyDescent="0.35">
      <c r="A7013" t="str">
        <f t="shared" si="2671"/>
        <v>BARSTOW</v>
      </c>
      <c r="B7013" t="str">
        <f t="shared" si="2679"/>
        <v>ATTN GCPC APPROVING OFFICIAL</v>
      </c>
      <c r="C7013" t="str">
        <f t="shared" si="2684"/>
        <v>BOX 555627</v>
      </c>
      <c r="D7013" t="str">
        <f t="shared" si="2685"/>
        <v>CAMP PENDLETON</v>
      </c>
      <c r="E7013" t="str">
        <f t="shared" si="2681"/>
        <v>CA</v>
      </c>
      <c r="F7013" t="str">
        <f t="shared" si="2686"/>
        <v>920555627</v>
      </c>
      <c r="G7013" t="str">
        <f t="shared" si="2683"/>
        <v>ATTN GCPC APPROVING OFFICIAL</v>
      </c>
      <c r="H7013" t="str">
        <f>T("BOX 555627")</f>
        <v>BOX 555627</v>
      </c>
      <c r="I7013" t="str">
        <f>T("CAMP PENDLETON")</f>
        <v>CAMP PENDLETON</v>
      </c>
      <c r="J7013" t="str">
        <f t="shared" si="2682"/>
        <v>CA</v>
      </c>
      <c r="K7013" t="str">
        <f>T("7605776488")</f>
        <v>7605776488</v>
      </c>
      <c r="L7013" t="str">
        <f>T("7605776298")</f>
        <v>7605776298</v>
      </c>
    </row>
    <row r="7014" spans="1:12" x14ac:dyDescent="0.35">
      <c r="A7014" t="str">
        <f t="shared" si="2671"/>
        <v>BARSTOW</v>
      </c>
      <c r="B7014" t="str">
        <f>T("ATTN: GCPC APPROVING OFFICIAL")</f>
        <v>ATTN: GCPC APPROVING OFFICIAL</v>
      </c>
      <c r="C7014" t="str">
        <f t="shared" si="2684"/>
        <v>BOX 555627</v>
      </c>
      <c r="D7014" t="str">
        <f t="shared" si="2685"/>
        <v>CAMP PENDLETON</v>
      </c>
      <c r="E7014" t="str">
        <f t="shared" si="2681"/>
        <v>CA</v>
      </c>
      <c r="F7014" t="str">
        <f t="shared" si="2686"/>
        <v>920555627</v>
      </c>
      <c r="G7014" t="str">
        <f t="shared" si="2683"/>
        <v>ATTN GCPC APPROVING OFFICIAL</v>
      </c>
      <c r="H7014" t="str">
        <f>T("BOX 110194")</f>
        <v>BOX 110194</v>
      </c>
      <c r="I7014" t="str">
        <f>T("BARSTOW")</f>
        <v>BARSTOW</v>
      </c>
      <c r="J7014" t="str">
        <f t="shared" si="2682"/>
        <v>CA</v>
      </c>
      <c r="K7014" t="str">
        <f t="shared" ref="K7014:K7045" si="2687">T("000000000000000000")</f>
        <v>000000000000000000</v>
      </c>
      <c r="L7014" t="str">
        <f>T("7605776266")</f>
        <v>7605776266</v>
      </c>
    </row>
    <row r="7015" spans="1:12" x14ac:dyDescent="0.35">
      <c r="A7015" t="str">
        <f t="shared" si="2671"/>
        <v>BARSTOW</v>
      </c>
      <c r="B7015" t="str">
        <f>T("ATTN: GCPC APPROVING OFFICIAL")</f>
        <v>ATTN: GCPC APPROVING OFFICIAL</v>
      </c>
      <c r="C7015" t="str">
        <f t="shared" si="2684"/>
        <v>BOX 555627</v>
      </c>
      <c r="D7015" t="str">
        <f t="shared" si="2685"/>
        <v>CAMP PENDLETON</v>
      </c>
      <c r="E7015" t="str">
        <f t="shared" si="2681"/>
        <v>CA</v>
      </c>
      <c r="F7015" t="str">
        <f t="shared" si="2686"/>
        <v>920555627</v>
      </c>
      <c r="G7015" t="str">
        <f t="shared" si="2683"/>
        <v>ATTN GCPC APPROVING OFFICIAL</v>
      </c>
      <c r="H7015" t="str">
        <f>T("BOX 110700")</f>
        <v>BOX 110700</v>
      </c>
      <c r="I7015" t="str">
        <f>T("BARSTOW")</f>
        <v>BARSTOW</v>
      </c>
      <c r="J7015" t="str">
        <f t="shared" si="2682"/>
        <v>CA</v>
      </c>
      <c r="K7015" t="str">
        <f t="shared" si="2687"/>
        <v>000000000000000000</v>
      </c>
      <c r="L7015" t="str">
        <f>T("7605776425")</f>
        <v>7605776425</v>
      </c>
    </row>
    <row r="7016" spans="1:12" x14ac:dyDescent="0.35">
      <c r="A7016" t="str">
        <f t="shared" si="2671"/>
        <v>BARSTOW</v>
      </c>
      <c r="B7016" t="str">
        <f>T("ATTN: GCPC APPROVING OFFICIAL")</f>
        <v>ATTN: GCPC APPROVING OFFICIAL</v>
      </c>
      <c r="C7016" t="str">
        <f t="shared" si="2684"/>
        <v>BOX 555627</v>
      </c>
      <c r="D7016" t="str">
        <f t="shared" si="2685"/>
        <v>CAMP PENDLETON</v>
      </c>
      <c r="E7016" t="str">
        <f t="shared" si="2681"/>
        <v>CA</v>
      </c>
      <c r="F7016" t="str">
        <f t="shared" si="2686"/>
        <v>920555627</v>
      </c>
      <c r="G7016" t="str">
        <f t="shared" si="2683"/>
        <v>ATTN GCPC APPROVING OFFICIAL</v>
      </c>
      <c r="H7016" t="str">
        <f>T("BOX 110700")</f>
        <v>BOX 110700</v>
      </c>
      <c r="I7016" t="str">
        <f>T("BARSTOW")</f>
        <v>BARSTOW</v>
      </c>
      <c r="J7016" t="str">
        <f t="shared" si="2682"/>
        <v>CA</v>
      </c>
      <c r="K7016" t="str">
        <f t="shared" si="2687"/>
        <v>000000000000000000</v>
      </c>
      <c r="L7016" t="str">
        <f>T("7605776600")</f>
        <v>7605776600</v>
      </c>
    </row>
    <row r="7017" spans="1:12" x14ac:dyDescent="0.35">
      <c r="A7017" t="str">
        <f t="shared" si="2671"/>
        <v>BARSTOW</v>
      </c>
      <c r="B7017" t="str">
        <f>T("ATTN: GCPC APPROVING OFFICIAL")</f>
        <v>ATTN: GCPC APPROVING OFFICIAL</v>
      </c>
      <c r="C7017" t="str">
        <f t="shared" si="2684"/>
        <v>BOX 555627</v>
      </c>
      <c r="D7017" t="str">
        <f t="shared" si="2685"/>
        <v>CAMP PENDLETON</v>
      </c>
      <c r="E7017" t="str">
        <f t="shared" si="2681"/>
        <v>CA</v>
      </c>
      <c r="F7017" t="str">
        <f t="shared" si="2686"/>
        <v>920555627</v>
      </c>
      <c r="G7017" t="str">
        <f>T("ATTN: GCPC APPROVING OFFICIAL")</f>
        <v>ATTN: GCPC APPROVING OFFICIAL</v>
      </c>
      <c r="H7017" t="str">
        <f>T("BOX 555627")</f>
        <v>BOX 555627</v>
      </c>
      <c r="I7017" t="str">
        <f>T("CAMP PENDLETON")</f>
        <v>CAMP PENDLETON</v>
      </c>
      <c r="J7017" t="str">
        <f t="shared" si="2682"/>
        <v>CA</v>
      </c>
      <c r="K7017" t="str">
        <f t="shared" si="2687"/>
        <v>000000000000000000</v>
      </c>
      <c r="L7017" t="str">
        <f>T("7605776001")</f>
        <v>7605776001</v>
      </c>
    </row>
    <row r="7018" spans="1:12" x14ac:dyDescent="0.35">
      <c r="A7018" t="str">
        <f t="shared" si="2671"/>
        <v>BARSTOW</v>
      </c>
      <c r="B7018" t="str">
        <f>T("ATTN: GCPC APPROVING OFFICIAL")</f>
        <v>ATTN: GCPC APPROVING OFFICIAL</v>
      </c>
      <c r="C7018" t="str">
        <f t="shared" si="2684"/>
        <v>BOX 555627</v>
      </c>
      <c r="D7018" t="str">
        <f t="shared" si="2685"/>
        <v>CAMP PENDLETON</v>
      </c>
      <c r="E7018" t="str">
        <f t="shared" si="2681"/>
        <v>CA</v>
      </c>
      <c r="F7018" t="str">
        <f t="shared" si="2686"/>
        <v>920555627</v>
      </c>
      <c r="G7018" t="str">
        <f>T("ATTN: GCPC APPROVING OFFICIAL")</f>
        <v>ATTN: GCPC APPROVING OFFICIAL</v>
      </c>
      <c r="H7018" t="str">
        <f>T("BOX 555627")</f>
        <v>BOX 555627</v>
      </c>
      <c r="I7018" t="str">
        <f>T("CAMP PENDLETON")</f>
        <v>CAMP PENDLETON</v>
      </c>
      <c r="J7018" t="str">
        <f t="shared" si="2682"/>
        <v>CA</v>
      </c>
      <c r="K7018" t="str">
        <f t="shared" si="2687"/>
        <v>000000000000000000</v>
      </c>
      <c r="L7018" t="str">
        <f>T("7605776678")</f>
        <v>7605776678</v>
      </c>
    </row>
    <row r="7019" spans="1:12" x14ac:dyDescent="0.35">
      <c r="A7019" t="str">
        <f t="shared" ref="A7019:A7050" si="2688">T("MCAS YUMA")</f>
        <v>MCAS YUMA</v>
      </c>
      <c r="B7019" t="str">
        <f>T("BOX 99127")</f>
        <v>BOX 99127</v>
      </c>
      <c r="C7019" t="str">
        <f t="shared" ref="C7019:C7044" si="2689">T("")</f>
        <v/>
      </c>
      <c r="D7019" t="str">
        <f t="shared" ref="D7019:D7050" si="2690">T("YUMA")</f>
        <v>YUMA</v>
      </c>
      <c r="E7019" t="str">
        <f t="shared" ref="E7019:E7050" si="2691">T("AZ")</f>
        <v>AZ</v>
      </c>
      <c r="F7019" t="str">
        <f>T("853699127")</f>
        <v>853699127</v>
      </c>
      <c r="G7019" t="str">
        <f>T("BOX 99127")</f>
        <v>BOX 99127</v>
      </c>
      <c r="H7019" t="str">
        <f>T("")</f>
        <v/>
      </c>
      <c r="I7019" t="str">
        <f t="shared" ref="I7019:I7050" si="2692">T("YUMA")</f>
        <v>YUMA</v>
      </c>
      <c r="J7019" t="str">
        <f t="shared" ref="J7019:J7050" si="2693">T("AZ")</f>
        <v>AZ</v>
      </c>
      <c r="K7019" t="str">
        <f t="shared" si="2687"/>
        <v>000000000000000000</v>
      </c>
      <c r="L7019" t="str">
        <f>T("9282695313")</f>
        <v>9282695313</v>
      </c>
    </row>
    <row r="7020" spans="1:12" x14ac:dyDescent="0.35">
      <c r="A7020" t="str">
        <f t="shared" si="2688"/>
        <v>MCAS YUMA</v>
      </c>
      <c r="B7020" t="str">
        <f>T("BOX 99127")</f>
        <v>BOX 99127</v>
      </c>
      <c r="C7020" t="str">
        <f t="shared" si="2689"/>
        <v/>
      </c>
      <c r="D7020" t="str">
        <f t="shared" si="2690"/>
        <v>YUMA</v>
      </c>
      <c r="E7020" t="str">
        <f t="shared" si="2691"/>
        <v>AZ</v>
      </c>
      <c r="F7020" t="str">
        <f>T("853699127")</f>
        <v>853699127</v>
      </c>
      <c r="G7020" t="str">
        <f>T("PROVOST MARSHAL OFFICE")</f>
        <v>PROVOST MARSHAL OFFICE</v>
      </c>
      <c r="H7020" t="str">
        <f>T("P O BOX 99127")</f>
        <v>P O BOX 99127</v>
      </c>
      <c r="I7020" t="str">
        <f t="shared" si="2692"/>
        <v>YUMA</v>
      </c>
      <c r="J7020" t="str">
        <f t="shared" si="2693"/>
        <v>AZ</v>
      </c>
      <c r="K7020" t="str">
        <f t="shared" si="2687"/>
        <v>000000000000000000</v>
      </c>
      <c r="L7020" t="str">
        <f>T("9282693136")</f>
        <v>9282693136</v>
      </c>
    </row>
    <row r="7021" spans="1:12" x14ac:dyDescent="0.35">
      <c r="A7021" t="str">
        <f t="shared" si="2688"/>
        <v>MCAS YUMA</v>
      </c>
      <c r="B7021" t="str">
        <f>T("BOX 99127")</f>
        <v>BOX 99127</v>
      </c>
      <c r="C7021" t="str">
        <f t="shared" si="2689"/>
        <v/>
      </c>
      <c r="D7021" t="str">
        <f t="shared" si="2690"/>
        <v>YUMA</v>
      </c>
      <c r="E7021" t="str">
        <f t="shared" si="2691"/>
        <v>AZ</v>
      </c>
      <c r="F7021" t="str">
        <f>T("853699127")</f>
        <v>853699127</v>
      </c>
      <c r="G7021" t="str">
        <f>T("PROVOST MARSHAL OFFICE")</f>
        <v>PROVOST MARSHAL OFFICE</v>
      </c>
      <c r="H7021" t="str">
        <f>T("P O BOX 99127")</f>
        <v>P O BOX 99127</v>
      </c>
      <c r="I7021" t="str">
        <f t="shared" si="2692"/>
        <v>YUMA</v>
      </c>
      <c r="J7021" t="str">
        <f t="shared" si="2693"/>
        <v>AZ</v>
      </c>
      <c r="K7021" t="str">
        <f t="shared" si="2687"/>
        <v>000000000000000000</v>
      </c>
      <c r="L7021" t="str">
        <f>T("9282695317")</f>
        <v>9282695317</v>
      </c>
    </row>
    <row r="7022" spans="1:12" x14ac:dyDescent="0.35">
      <c r="A7022" t="str">
        <f t="shared" si="2688"/>
        <v>MCAS YUMA</v>
      </c>
      <c r="B7022" t="str">
        <f>T("P O BO 99104")</f>
        <v>P O BO 99104</v>
      </c>
      <c r="C7022" t="str">
        <f t="shared" si="2689"/>
        <v/>
      </c>
      <c r="D7022" t="str">
        <f t="shared" si="2690"/>
        <v>YUMA</v>
      </c>
      <c r="E7022" t="str">
        <f t="shared" si="2691"/>
        <v>AZ</v>
      </c>
      <c r="F7022" t="str">
        <f>T("853699104")</f>
        <v>853699104</v>
      </c>
      <c r="G7022" t="str">
        <f>T("HUMAN RESOURCES DEPARTMENT")</f>
        <v>HUMAN RESOURCES DEPARTMENT</v>
      </c>
      <c r="H7022" t="str">
        <f>T("P O BOX 99104")</f>
        <v>P O BOX 99104</v>
      </c>
      <c r="I7022" t="str">
        <f t="shared" si="2692"/>
        <v>YUMA</v>
      </c>
      <c r="J7022" t="str">
        <f t="shared" si="2693"/>
        <v>AZ</v>
      </c>
      <c r="K7022" t="str">
        <f t="shared" si="2687"/>
        <v>000000000000000000</v>
      </c>
      <c r="L7022" t="str">
        <f>T("9282695593")</f>
        <v>9282695593</v>
      </c>
    </row>
    <row r="7023" spans="1:12" x14ac:dyDescent="0.35">
      <c r="A7023" t="str">
        <f t="shared" si="2688"/>
        <v>MCAS YUMA</v>
      </c>
      <c r="B7023" t="str">
        <f>T("P O BO 99104")</f>
        <v>P O BO 99104</v>
      </c>
      <c r="C7023" t="str">
        <f t="shared" si="2689"/>
        <v/>
      </c>
      <c r="D7023" t="str">
        <f t="shared" si="2690"/>
        <v>YUMA</v>
      </c>
      <c r="E7023" t="str">
        <f t="shared" si="2691"/>
        <v>AZ</v>
      </c>
      <c r="F7023" t="str">
        <f>T("853699104")</f>
        <v>853699104</v>
      </c>
      <c r="G7023" t="str">
        <f>T("P O BO 99104")</f>
        <v>P O BO 99104</v>
      </c>
      <c r="H7023" t="str">
        <f>T("")</f>
        <v/>
      </c>
      <c r="I7023" t="str">
        <f t="shared" si="2692"/>
        <v>YUMA</v>
      </c>
      <c r="J7023" t="str">
        <f t="shared" si="2693"/>
        <v>AZ</v>
      </c>
      <c r="K7023" t="str">
        <f t="shared" si="2687"/>
        <v>000000000000000000</v>
      </c>
      <c r="L7023" t="str">
        <f>T("9282693419")</f>
        <v>9282693419</v>
      </c>
    </row>
    <row r="7024" spans="1:12" x14ac:dyDescent="0.35">
      <c r="A7024" t="str">
        <f t="shared" si="2688"/>
        <v>MCAS YUMA</v>
      </c>
      <c r="B7024" t="str">
        <f>T("P O BOX 99100")</f>
        <v>P O BOX 99100</v>
      </c>
      <c r="C7024" t="str">
        <f t="shared" si="2689"/>
        <v/>
      </c>
      <c r="D7024" t="str">
        <f t="shared" si="2690"/>
        <v>YUMA</v>
      </c>
      <c r="E7024" t="str">
        <f t="shared" si="2691"/>
        <v>AZ</v>
      </c>
      <c r="F7024" t="str">
        <f>T("853699100")</f>
        <v>853699100</v>
      </c>
      <c r="G7024" t="str">
        <f>T("P O BOX 99100")</f>
        <v>P O BOX 99100</v>
      </c>
      <c r="H7024" t="str">
        <f>T("")</f>
        <v/>
      </c>
      <c r="I7024" t="str">
        <f t="shared" si="2692"/>
        <v>YUMA</v>
      </c>
      <c r="J7024" t="str">
        <f t="shared" si="2693"/>
        <v>AZ</v>
      </c>
      <c r="K7024" t="str">
        <f t="shared" si="2687"/>
        <v>000000000000000000</v>
      </c>
      <c r="L7024" t="str">
        <f>T("9282693622")</f>
        <v>9282693622</v>
      </c>
    </row>
    <row r="7025" spans="1:12" x14ac:dyDescent="0.35">
      <c r="A7025" t="str">
        <f t="shared" si="2688"/>
        <v>MCAS YUMA</v>
      </c>
      <c r="B7025" t="str">
        <f>T("P O BOX 99100")</f>
        <v>P O BOX 99100</v>
      </c>
      <c r="C7025" t="str">
        <f t="shared" si="2689"/>
        <v/>
      </c>
      <c r="D7025" t="str">
        <f t="shared" si="2690"/>
        <v>YUMA</v>
      </c>
      <c r="E7025" t="str">
        <f t="shared" si="2691"/>
        <v>AZ</v>
      </c>
      <c r="F7025" t="str">
        <f>T("853699100")</f>
        <v>853699100</v>
      </c>
      <c r="G7025" t="str">
        <f>T("S1 DEPARTMENT")</f>
        <v>S1 DEPARTMENT</v>
      </c>
      <c r="H7025" t="str">
        <f>T("P O BOX 99100")</f>
        <v>P O BOX 99100</v>
      </c>
      <c r="I7025" t="str">
        <f t="shared" si="2692"/>
        <v>YUMA</v>
      </c>
      <c r="J7025" t="str">
        <f t="shared" si="2693"/>
        <v>AZ</v>
      </c>
      <c r="K7025" t="str">
        <f t="shared" si="2687"/>
        <v>000000000000000000</v>
      </c>
      <c r="L7025" t="str">
        <f>T("9282692104")</f>
        <v>9282692104</v>
      </c>
    </row>
    <row r="7026" spans="1:12" x14ac:dyDescent="0.35">
      <c r="A7026" t="str">
        <f t="shared" si="2688"/>
        <v>MCAS YUMA</v>
      </c>
      <c r="B7026" t="str">
        <f>T("P O BOX 99100")</f>
        <v>P O BOX 99100</v>
      </c>
      <c r="C7026" t="str">
        <f t="shared" si="2689"/>
        <v/>
      </c>
      <c r="D7026" t="str">
        <f t="shared" si="2690"/>
        <v>YUMA</v>
      </c>
      <c r="E7026" t="str">
        <f t="shared" si="2691"/>
        <v>AZ</v>
      </c>
      <c r="F7026" t="str">
        <f>T("853699100")</f>
        <v>853699100</v>
      </c>
      <c r="G7026" t="str">
        <f>T("S1 DEPARTMENT- IPAC")</f>
        <v>S1 DEPARTMENT- IPAC</v>
      </c>
      <c r="H7026" t="str">
        <f>T("P O BOX 99131")</f>
        <v>P O BOX 99131</v>
      </c>
      <c r="I7026" t="str">
        <f t="shared" si="2692"/>
        <v>YUMA</v>
      </c>
      <c r="J7026" t="str">
        <f t="shared" si="2693"/>
        <v>AZ</v>
      </c>
      <c r="K7026" t="str">
        <f t="shared" si="2687"/>
        <v>000000000000000000</v>
      </c>
      <c r="L7026" t="str">
        <f>T("9282692641")</f>
        <v>9282692641</v>
      </c>
    </row>
    <row r="7027" spans="1:12" x14ac:dyDescent="0.35">
      <c r="A7027" t="str">
        <f t="shared" si="2688"/>
        <v>MCAS YUMA</v>
      </c>
      <c r="B7027" t="str">
        <f>T("P O BOX 99102")</f>
        <v>P O BOX 99102</v>
      </c>
      <c r="C7027" t="str">
        <f t="shared" si="2689"/>
        <v/>
      </c>
      <c r="D7027" t="str">
        <f t="shared" si="2690"/>
        <v>YUMA</v>
      </c>
      <c r="E7027" t="str">
        <f t="shared" si="2691"/>
        <v>AZ</v>
      </c>
      <c r="F7027" t="str">
        <f>T("853699102")</f>
        <v>853699102</v>
      </c>
      <c r="G7027" t="str">
        <f>T("MISSION ASSURANCE DEPARTMENT")</f>
        <v>MISSION ASSURANCE DEPARTMENT</v>
      </c>
      <c r="H7027" t="str">
        <f>T("P O BOX 99102")</f>
        <v>P O BOX 99102</v>
      </c>
      <c r="I7027" t="str">
        <f t="shared" si="2692"/>
        <v>YUMA</v>
      </c>
      <c r="J7027" t="str">
        <f t="shared" si="2693"/>
        <v>AZ</v>
      </c>
      <c r="K7027" t="str">
        <f t="shared" si="2687"/>
        <v>000000000000000000</v>
      </c>
      <c r="L7027" t="str">
        <f>T("9282693149")</f>
        <v>9282693149</v>
      </c>
    </row>
    <row r="7028" spans="1:12" x14ac:dyDescent="0.35">
      <c r="A7028" t="str">
        <f t="shared" si="2688"/>
        <v>MCAS YUMA</v>
      </c>
      <c r="B7028" t="str">
        <f>T("P O BOX 99102")</f>
        <v>P O BOX 99102</v>
      </c>
      <c r="C7028" t="str">
        <f t="shared" si="2689"/>
        <v/>
      </c>
      <c r="D7028" t="str">
        <f t="shared" si="2690"/>
        <v>YUMA</v>
      </c>
      <c r="E7028" t="str">
        <f t="shared" si="2691"/>
        <v>AZ</v>
      </c>
      <c r="F7028" t="str">
        <f>T("853699102")</f>
        <v>853699102</v>
      </c>
      <c r="G7028" t="str">
        <f>T("P O BOX 99102")</f>
        <v>P O BOX 99102</v>
      </c>
      <c r="H7028" t="str">
        <f>T("")</f>
        <v/>
      </c>
      <c r="I7028" t="str">
        <f t="shared" si="2692"/>
        <v>YUMA</v>
      </c>
      <c r="J7028" t="str">
        <f t="shared" si="2693"/>
        <v>AZ</v>
      </c>
      <c r="K7028" t="str">
        <f t="shared" si="2687"/>
        <v>000000000000000000</v>
      </c>
      <c r="L7028" t="str">
        <f>T("9282696223")</f>
        <v>9282696223</v>
      </c>
    </row>
    <row r="7029" spans="1:12" x14ac:dyDescent="0.35">
      <c r="A7029" t="str">
        <f t="shared" si="2688"/>
        <v>MCAS YUMA</v>
      </c>
      <c r="B7029" t="str">
        <f>T("P O BOX 99105")</f>
        <v>P O BOX 99105</v>
      </c>
      <c r="C7029" t="str">
        <f t="shared" si="2689"/>
        <v/>
      </c>
      <c r="D7029" t="str">
        <f t="shared" si="2690"/>
        <v>YUMA</v>
      </c>
      <c r="E7029" t="str">
        <f t="shared" si="2691"/>
        <v>AZ</v>
      </c>
      <c r="F7029" t="str">
        <f>T("853699105")</f>
        <v>853699105</v>
      </c>
      <c r="G7029" t="str">
        <f>T("CDE")</f>
        <v>CDE</v>
      </c>
      <c r="H7029" t="str">
        <f>T("P O BOX 99105")</f>
        <v>P O BOX 99105</v>
      </c>
      <c r="I7029" t="str">
        <f t="shared" si="2692"/>
        <v>YUMA</v>
      </c>
      <c r="J7029" t="str">
        <f t="shared" si="2693"/>
        <v>AZ</v>
      </c>
      <c r="K7029" t="str">
        <f t="shared" si="2687"/>
        <v>000000000000000000</v>
      </c>
      <c r="L7029" t="str">
        <f>T("9282697437")</f>
        <v>9282697437</v>
      </c>
    </row>
    <row r="7030" spans="1:12" x14ac:dyDescent="0.35">
      <c r="A7030" t="str">
        <f t="shared" si="2688"/>
        <v>MCAS YUMA</v>
      </c>
      <c r="B7030" t="str">
        <f>T("P O BOX 99105")</f>
        <v>P O BOX 99105</v>
      </c>
      <c r="C7030" t="str">
        <f t="shared" si="2689"/>
        <v/>
      </c>
      <c r="D7030" t="str">
        <f t="shared" si="2690"/>
        <v>YUMA</v>
      </c>
      <c r="E7030" t="str">
        <f t="shared" si="2691"/>
        <v>AZ</v>
      </c>
      <c r="F7030" t="str">
        <f>T("853699105")</f>
        <v>853699105</v>
      </c>
      <c r="G7030" t="str">
        <f>T("CDE- S6 DEPARTMENT")</f>
        <v>CDE- S6 DEPARTMENT</v>
      </c>
      <c r="H7030" t="str">
        <f>T("P O BOX 99105")</f>
        <v>P O BOX 99105</v>
      </c>
      <c r="I7030" t="str">
        <f t="shared" si="2692"/>
        <v>YUMA</v>
      </c>
      <c r="J7030" t="str">
        <f t="shared" si="2693"/>
        <v>AZ</v>
      </c>
      <c r="K7030" t="str">
        <f t="shared" si="2687"/>
        <v>000000000000000000</v>
      </c>
      <c r="L7030" t="str">
        <f>T("9282696777")</f>
        <v>9282696777</v>
      </c>
    </row>
    <row r="7031" spans="1:12" x14ac:dyDescent="0.35">
      <c r="A7031" t="str">
        <f t="shared" si="2688"/>
        <v>MCAS YUMA</v>
      </c>
      <c r="B7031" t="str">
        <f>T("P O BOX 99105")</f>
        <v>P O BOX 99105</v>
      </c>
      <c r="C7031" t="str">
        <f t="shared" si="2689"/>
        <v/>
      </c>
      <c r="D7031" t="str">
        <f t="shared" si="2690"/>
        <v>YUMA</v>
      </c>
      <c r="E7031" t="str">
        <f t="shared" si="2691"/>
        <v>AZ</v>
      </c>
      <c r="F7031" t="str">
        <f>T("853699105")</f>
        <v>853699105</v>
      </c>
      <c r="G7031" t="str">
        <f>T("P O BOX 99105")</f>
        <v>P O BOX 99105</v>
      </c>
      <c r="H7031" t="str">
        <f>T("")</f>
        <v/>
      </c>
      <c r="I7031" t="str">
        <f t="shared" si="2692"/>
        <v>YUMA</v>
      </c>
      <c r="J7031" t="str">
        <f t="shared" si="2693"/>
        <v>AZ</v>
      </c>
      <c r="K7031" t="str">
        <f t="shared" si="2687"/>
        <v>000000000000000000</v>
      </c>
      <c r="L7031" t="str">
        <f>T("9282692869")</f>
        <v>9282692869</v>
      </c>
    </row>
    <row r="7032" spans="1:12" x14ac:dyDescent="0.35">
      <c r="A7032" t="str">
        <f t="shared" si="2688"/>
        <v>MCAS YUMA</v>
      </c>
      <c r="B7032" t="str">
        <f>T("P O BOX 99106")</f>
        <v>P O BOX 99106</v>
      </c>
      <c r="C7032" t="str">
        <f t="shared" si="2689"/>
        <v/>
      </c>
      <c r="D7032" t="str">
        <f t="shared" si="2690"/>
        <v>YUMA</v>
      </c>
      <c r="E7032" t="str">
        <f t="shared" si="2691"/>
        <v>AZ</v>
      </c>
      <c r="F7032" t="str">
        <f>T("853699106")</f>
        <v>853699106</v>
      </c>
      <c r="G7032" t="str">
        <f>T("COMMUNITY PLANNING  LIAISON")</f>
        <v>COMMUNITY PLANNING  LIAISON</v>
      </c>
      <c r="H7032" t="str">
        <f>T("P O BOX 99106")</f>
        <v>P O BOX 99106</v>
      </c>
      <c r="I7032" t="str">
        <f t="shared" si="2692"/>
        <v>YUMA</v>
      </c>
      <c r="J7032" t="str">
        <f t="shared" si="2693"/>
        <v>AZ</v>
      </c>
      <c r="K7032" t="str">
        <f t="shared" si="2687"/>
        <v>000000000000000000</v>
      </c>
      <c r="L7032" t="str">
        <f>T("9282693637")</f>
        <v>9282693637</v>
      </c>
    </row>
    <row r="7033" spans="1:12" x14ac:dyDescent="0.35">
      <c r="A7033" t="str">
        <f t="shared" si="2688"/>
        <v>MCAS YUMA</v>
      </c>
      <c r="B7033" t="str">
        <f>T("P O BOX 99106")</f>
        <v>P O BOX 99106</v>
      </c>
      <c r="C7033" t="str">
        <f t="shared" si="2689"/>
        <v/>
      </c>
      <c r="D7033" t="str">
        <f t="shared" si="2690"/>
        <v>YUMA</v>
      </c>
      <c r="E7033" t="str">
        <f t="shared" si="2691"/>
        <v>AZ</v>
      </c>
      <c r="F7033" t="str">
        <f>T("853699106")</f>
        <v>853699106</v>
      </c>
      <c r="G7033" t="str">
        <f>T("P O BOX 99106")</f>
        <v>P O BOX 99106</v>
      </c>
      <c r="H7033" t="str">
        <f>T("")</f>
        <v/>
      </c>
      <c r="I7033" t="str">
        <f t="shared" si="2692"/>
        <v>YUMA</v>
      </c>
      <c r="J7033" t="str">
        <f t="shared" si="2693"/>
        <v>AZ</v>
      </c>
      <c r="K7033" t="str">
        <f t="shared" si="2687"/>
        <v>000000000000000000</v>
      </c>
      <c r="L7033" t="str">
        <f>T("9282692272")</f>
        <v>9282692272</v>
      </c>
    </row>
    <row r="7034" spans="1:12" x14ac:dyDescent="0.35">
      <c r="A7034" t="str">
        <f t="shared" si="2688"/>
        <v>MCAS YUMA</v>
      </c>
      <c r="B7034" t="str">
        <f>T("P O BOX 99107")</f>
        <v>P O BOX 99107</v>
      </c>
      <c r="C7034" t="str">
        <f t="shared" si="2689"/>
        <v/>
      </c>
      <c r="D7034" t="str">
        <f t="shared" si="2690"/>
        <v>YUMA</v>
      </c>
      <c r="E7034" t="str">
        <f t="shared" si="2691"/>
        <v>AZ</v>
      </c>
      <c r="F7034" t="str">
        <f>T("853699107")</f>
        <v>853699107</v>
      </c>
      <c r="G7034" t="str">
        <f>T("COMPTROLLER DEPARTMENT")</f>
        <v>COMPTROLLER DEPARTMENT</v>
      </c>
      <c r="H7034" t="str">
        <f>T("P O BOX 99107")</f>
        <v>P O BOX 99107</v>
      </c>
      <c r="I7034" t="str">
        <f t="shared" si="2692"/>
        <v>YUMA</v>
      </c>
      <c r="J7034" t="str">
        <f t="shared" si="2693"/>
        <v>AZ</v>
      </c>
      <c r="K7034" t="str">
        <f t="shared" si="2687"/>
        <v>000000000000000000</v>
      </c>
      <c r="L7034" t="str">
        <f>T("9282692236")</f>
        <v>9282692236</v>
      </c>
    </row>
    <row r="7035" spans="1:12" x14ac:dyDescent="0.35">
      <c r="A7035" t="str">
        <f t="shared" si="2688"/>
        <v>MCAS YUMA</v>
      </c>
      <c r="B7035" t="str">
        <f>T("P O BOX 99107")</f>
        <v>P O BOX 99107</v>
      </c>
      <c r="C7035" t="str">
        <f t="shared" si="2689"/>
        <v/>
      </c>
      <c r="D7035" t="str">
        <f t="shared" si="2690"/>
        <v>YUMA</v>
      </c>
      <c r="E7035" t="str">
        <f t="shared" si="2691"/>
        <v>AZ</v>
      </c>
      <c r="F7035" t="str">
        <f>T("853699107")</f>
        <v>853699107</v>
      </c>
      <c r="G7035" t="str">
        <f>T("P O BOX 99107")</f>
        <v>P O BOX 99107</v>
      </c>
      <c r="H7035" t="str">
        <f>T("")</f>
        <v/>
      </c>
      <c r="I7035" t="str">
        <f t="shared" si="2692"/>
        <v>YUMA</v>
      </c>
      <c r="J7035" t="str">
        <f t="shared" si="2693"/>
        <v>AZ</v>
      </c>
      <c r="K7035" t="str">
        <f t="shared" si="2687"/>
        <v>000000000000000000</v>
      </c>
      <c r="L7035" t="str">
        <f>T("9282692237")</f>
        <v>9282692237</v>
      </c>
    </row>
    <row r="7036" spans="1:12" x14ac:dyDescent="0.35">
      <c r="A7036" t="str">
        <f t="shared" si="2688"/>
        <v>MCAS YUMA</v>
      </c>
      <c r="B7036" t="str">
        <f>T("P O BOX 99110")</f>
        <v>P O BOX 99110</v>
      </c>
      <c r="C7036" t="str">
        <f t="shared" si="2689"/>
        <v/>
      </c>
      <c r="D7036" t="str">
        <f t="shared" si="2690"/>
        <v>YUMA</v>
      </c>
      <c r="E7036" t="str">
        <f t="shared" si="2691"/>
        <v>AZ</v>
      </c>
      <c r="F7036" t="str">
        <f>T("853699110")</f>
        <v>853699110</v>
      </c>
      <c r="G7036" t="str">
        <f>T("ENVIRONMENTAL DEPARTMENT")</f>
        <v>ENVIRONMENTAL DEPARTMENT</v>
      </c>
      <c r="H7036" t="str">
        <f>T("P O BOX 99110")</f>
        <v>P O BOX 99110</v>
      </c>
      <c r="I7036" t="str">
        <f t="shared" si="2692"/>
        <v>YUMA</v>
      </c>
      <c r="J7036" t="str">
        <f t="shared" si="2693"/>
        <v>AZ</v>
      </c>
      <c r="K7036" t="str">
        <f t="shared" si="2687"/>
        <v>000000000000000000</v>
      </c>
      <c r="L7036" t="str">
        <f>T("9282693116")</f>
        <v>9282693116</v>
      </c>
    </row>
    <row r="7037" spans="1:12" x14ac:dyDescent="0.35">
      <c r="A7037" t="str">
        <f t="shared" si="2688"/>
        <v>MCAS YUMA</v>
      </c>
      <c r="B7037" t="str">
        <f>T("P O BOX 99110")</f>
        <v>P O BOX 99110</v>
      </c>
      <c r="C7037" t="str">
        <f t="shared" si="2689"/>
        <v/>
      </c>
      <c r="D7037" t="str">
        <f t="shared" si="2690"/>
        <v>YUMA</v>
      </c>
      <c r="E7037" t="str">
        <f t="shared" si="2691"/>
        <v>AZ</v>
      </c>
      <c r="F7037" t="str">
        <f>T("853699110")</f>
        <v>853699110</v>
      </c>
      <c r="G7037" t="str">
        <f>T("ENVIRONMENTAL DEPARTMENT")</f>
        <v>ENVIRONMENTAL DEPARTMENT</v>
      </c>
      <c r="H7037" t="str">
        <f>T("P O BOX 99110")</f>
        <v>P O BOX 99110</v>
      </c>
      <c r="I7037" t="str">
        <f t="shared" si="2692"/>
        <v>YUMA</v>
      </c>
      <c r="J7037" t="str">
        <f t="shared" si="2693"/>
        <v>AZ</v>
      </c>
      <c r="K7037" t="str">
        <f t="shared" si="2687"/>
        <v>000000000000000000</v>
      </c>
      <c r="L7037" t="str">
        <f>T("9282693201")</f>
        <v>9282693201</v>
      </c>
    </row>
    <row r="7038" spans="1:12" x14ac:dyDescent="0.35">
      <c r="A7038" t="str">
        <f t="shared" si="2688"/>
        <v>MCAS YUMA</v>
      </c>
      <c r="B7038" t="str">
        <f>T("P O BOX 99110")</f>
        <v>P O BOX 99110</v>
      </c>
      <c r="C7038" t="str">
        <f t="shared" si="2689"/>
        <v/>
      </c>
      <c r="D7038" t="str">
        <f t="shared" si="2690"/>
        <v>YUMA</v>
      </c>
      <c r="E7038" t="str">
        <f t="shared" si="2691"/>
        <v>AZ</v>
      </c>
      <c r="F7038" t="str">
        <f>T("853699110")</f>
        <v>853699110</v>
      </c>
      <c r="G7038" t="str">
        <f>T("ENVIRONMENTAL DEPARTMENT")</f>
        <v>ENVIRONMENTAL DEPARTMENT</v>
      </c>
      <c r="H7038" t="str">
        <f>T("P O BOX 99110")</f>
        <v>P O BOX 99110</v>
      </c>
      <c r="I7038" t="str">
        <f t="shared" si="2692"/>
        <v>YUMA</v>
      </c>
      <c r="J7038" t="str">
        <f t="shared" si="2693"/>
        <v>AZ</v>
      </c>
      <c r="K7038" t="str">
        <f t="shared" si="2687"/>
        <v>000000000000000000</v>
      </c>
      <c r="L7038" t="str">
        <f>T("9282696600")</f>
        <v>9282696600</v>
      </c>
    </row>
    <row r="7039" spans="1:12" x14ac:dyDescent="0.35">
      <c r="A7039" t="str">
        <f t="shared" si="2688"/>
        <v>MCAS YUMA</v>
      </c>
      <c r="B7039" t="str">
        <f>T("P O BOX 99110")</f>
        <v>P O BOX 99110</v>
      </c>
      <c r="C7039" t="str">
        <f t="shared" si="2689"/>
        <v/>
      </c>
      <c r="D7039" t="str">
        <f t="shared" si="2690"/>
        <v>YUMA</v>
      </c>
      <c r="E7039" t="str">
        <f t="shared" si="2691"/>
        <v>AZ</v>
      </c>
      <c r="F7039" t="str">
        <f>T("853699110")</f>
        <v>853699110</v>
      </c>
      <c r="G7039" t="str">
        <f>T("P O BOX 99110")</f>
        <v>P O BOX 99110</v>
      </c>
      <c r="H7039" t="str">
        <f>T("")</f>
        <v/>
      </c>
      <c r="I7039" t="str">
        <f t="shared" si="2692"/>
        <v>YUMA</v>
      </c>
      <c r="J7039" t="str">
        <f t="shared" si="2693"/>
        <v>AZ</v>
      </c>
      <c r="K7039" t="str">
        <f t="shared" si="2687"/>
        <v>000000000000000000</v>
      </c>
      <c r="L7039" t="str">
        <f>T("9282693161")</f>
        <v>9282693161</v>
      </c>
    </row>
    <row r="7040" spans="1:12" x14ac:dyDescent="0.35">
      <c r="A7040" t="str">
        <f t="shared" si="2688"/>
        <v>MCAS YUMA</v>
      </c>
      <c r="B7040" t="str">
        <f>T("P O BOX 99111")</f>
        <v>P O BOX 99111</v>
      </c>
      <c r="C7040" t="str">
        <f t="shared" si="2689"/>
        <v/>
      </c>
      <c r="D7040" t="str">
        <f t="shared" si="2690"/>
        <v>YUMA</v>
      </c>
      <c r="E7040" t="str">
        <f t="shared" si="2691"/>
        <v>AZ</v>
      </c>
      <c r="F7040" t="str">
        <f>T("853699111")</f>
        <v>853699111</v>
      </c>
      <c r="G7040" t="str">
        <f>T("P O BOX 99111")</f>
        <v>P O BOX 99111</v>
      </c>
      <c r="H7040" t="str">
        <f>T("")</f>
        <v/>
      </c>
      <c r="I7040" t="str">
        <f t="shared" si="2692"/>
        <v>YUMA</v>
      </c>
      <c r="J7040" t="str">
        <f t="shared" si="2693"/>
        <v>AZ</v>
      </c>
      <c r="K7040" t="str">
        <f t="shared" si="2687"/>
        <v>000000000000000000</v>
      </c>
      <c r="L7040" t="str">
        <f>T("9282692257")</f>
        <v>9282692257</v>
      </c>
    </row>
    <row r="7041" spans="1:12" x14ac:dyDescent="0.35">
      <c r="A7041" t="str">
        <f t="shared" si="2688"/>
        <v>MCAS YUMA</v>
      </c>
      <c r="B7041" t="str">
        <f>T("P O BOX 99111")</f>
        <v>P O BOX 99111</v>
      </c>
      <c r="C7041" t="str">
        <f t="shared" si="2689"/>
        <v/>
      </c>
      <c r="D7041" t="str">
        <f t="shared" si="2690"/>
        <v>YUMA</v>
      </c>
      <c r="E7041" t="str">
        <f t="shared" si="2691"/>
        <v>AZ</v>
      </c>
      <c r="F7041" t="str">
        <f>T("853699111")</f>
        <v>853699111</v>
      </c>
      <c r="G7041" t="str">
        <f>T("SAFETY DEPARTMENT")</f>
        <v>SAFETY DEPARTMENT</v>
      </c>
      <c r="H7041" t="str">
        <f>T("P O BOX 99111")</f>
        <v>P O BOX 99111</v>
      </c>
      <c r="I7041" t="str">
        <f t="shared" si="2692"/>
        <v>YUMA</v>
      </c>
      <c r="J7041" t="str">
        <f t="shared" si="2693"/>
        <v>AZ</v>
      </c>
      <c r="K7041" t="str">
        <f t="shared" si="2687"/>
        <v>000000000000000000</v>
      </c>
      <c r="L7041" t="str">
        <f>T("9282695699")</f>
        <v>9282695699</v>
      </c>
    </row>
    <row r="7042" spans="1:12" x14ac:dyDescent="0.35">
      <c r="A7042" t="str">
        <f t="shared" si="2688"/>
        <v>MCAS YUMA</v>
      </c>
      <c r="B7042" t="str">
        <f>T("P O BOX 99113")</f>
        <v>P O BOX 99113</v>
      </c>
      <c r="C7042" t="str">
        <f t="shared" si="2689"/>
        <v/>
      </c>
      <c r="D7042" t="str">
        <f t="shared" si="2690"/>
        <v>YUMA</v>
      </c>
      <c r="E7042" t="str">
        <f t="shared" si="2691"/>
        <v>AZ</v>
      </c>
      <c r="F7042" t="str">
        <f>T("853699113")</f>
        <v>853699113</v>
      </c>
      <c r="G7042" t="str">
        <f>T("P O BOX 99113")</f>
        <v>P O BOX 99113</v>
      </c>
      <c r="H7042" t="str">
        <f>T("")</f>
        <v/>
      </c>
      <c r="I7042" t="str">
        <f t="shared" si="2692"/>
        <v>YUMA</v>
      </c>
      <c r="J7042" t="str">
        <f t="shared" si="2693"/>
        <v>AZ</v>
      </c>
      <c r="K7042" t="str">
        <f t="shared" si="2687"/>
        <v>000000000000000000</v>
      </c>
      <c r="L7042" t="str">
        <f>T("9282693609")</f>
        <v>9282693609</v>
      </c>
    </row>
    <row r="7043" spans="1:12" x14ac:dyDescent="0.35">
      <c r="A7043" t="str">
        <f t="shared" si="2688"/>
        <v>MCAS YUMA</v>
      </c>
      <c r="B7043" t="str">
        <f>T("P O BOX 99113")</f>
        <v>P O BOX 99113</v>
      </c>
      <c r="C7043" t="str">
        <f t="shared" si="2689"/>
        <v/>
      </c>
      <c r="D7043" t="str">
        <f t="shared" si="2690"/>
        <v>YUMA</v>
      </c>
      <c r="E7043" t="str">
        <f t="shared" si="2691"/>
        <v>AZ</v>
      </c>
      <c r="F7043" t="str">
        <f>T("853699113")</f>
        <v>853699113</v>
      </c>
      <c r="G7043" t="str">
        <f>T("PUBLIC AFFAIRS OFFICE")</f>
        <v>PUBLIC AFFAIRS OFFICE</v>
      </c>
      <c r="H7043" t="str">
        <f>T("BOX 99113")</f>
        <v>BOX 99113</v>
      </c>
      <c r="I7043" t="str">
        <f t="shared" si="2692"/>
        <v>YUMA</v>
      </c>
      <c r="J7043" t="str">
        <f t="shared" si="2693"/>
        <v>AZ</v>
      </c>
      <c r="K7043" t="str">
        <f t="shared" si="2687"/>
        <v>000000000000000000</v>
      </c>
      <c r="L7043" t="str">
        <f>T("9282692275")</f>
        <v>9282692275</v>
      </c>
    </row>
    <row r="7044" spans="1:12" x14ac:dyDescent="0.35">
      <c r="A7044" t="str">
        <f t="shared" si="2688"/>
        <v>MCAS YUMA</v>
      </c>
      <c r="B7044" t="str">
        <f>T("P O BOX 99113")</f>
        <v>P O BOX 99113</v>
      </c>
      <c r="C7044" t="str">
        <f t="shared" si="2689"/>
        <v/>
      </c>
      <c r="D7044" t="str">
        <f t="shared" si="2690"/>
        <v>YUMA</v>
      </c>
      <c r="E7044" t="str">
        <f t="shared" si="2691"/>
        <v>AZ</v>
      </c>
      <c r="F7044" t="str">
        <f>T("853699113")</f>
        <v>853699113</v>
      </c>
      <c r="G7044" t="str">
        <f>T("PUBLIC AFFAIRS OFFICE")</f>
        <v>PUBLIC AFFAIRS OFFICE</v>
      </c>
      <c r="H7044" t="str">
        <f>T("BOX 99113")</f>
        <v>BOX 99113</v>
      </c>
      <c r="I7044" t="str">
        <f t="shared" si="2692"/>
        <v>YUMA</v>
      </c>
      <c r="J7044" t="str">
        <f t="shared" si="2693"/>
        <v>AZ</v>
      </c>
      <c r="K7044" t="str">
        <f t="shared" si="2687"/>
        <v>000000000000000000</v>
      </c>
      <c r="L7044" t="str">
        <f>T("9282692934")</f>
        <v>9282692934</v>
      </c>
    </row>
    <row r="7045" spans="1:12" x14ac:dyDescent="0.35">
      <c r="A7045" t="str">
        <f t="shared" si="2688"/>
        <v>MCAS YUMA</v>
      </c>
      <c r="B7045" t="str">
        <f>T("P O BOX 99119")</f>
        <v>P O BOX 99119</v>
      </c>
      <c r="C7045" t="str">
        <f>T("MCAS YUMA")</f>
        <v>MCAS YUMA</v>
      </c>
      <c r="D7045" t="str">
        <f t="shared" si="2690"/>
        <v>YUMA</v>
      </c>
      <c r="E7045" t="str">
        <f t="shared" si="2691"/>
        <v>AZ</v>
      </c>
      <c r="F7045" t="str">
        <f>T("853699119")</f>
        <v>853699119</v>
      </c>
      <c r="G7045" t="str">
        <f>T("MARINE CORPS COMMUNITY SERVICES")</f>
        <v>MARINE CORPS COMMUNITY SERVICES</v>
      </c>
      <c r="H7045" t="str">
        <f>T("P O BOX 99119")</f>
        <v>P O BOX 99119</v>
      </c>
      <c r="I7045" t="str">
        <f t="shared" si="2692"/>
        <v>YUMA</v>
      </c>
      <c r="J7045" t="str">
        <f t="shared" si="2693"/>
        <v>AZ</v>
      </c>
      <c r="K7045" t="str">
        <f t="shared" si="2687"/>
        <v>000000000000000000</v>
      </c>
      <c r="L7045" t="str">
        <f>T("9282693569")</f>
        <v>9282693569</v>
      </c>
    </row>
    <row r="7046" spans="1:12" x14ac:dyDescent="0.35">
      <c r="A7046" t="str">
        <f t="shared" si="2688"/>
        <v>MCAS YUMA</v>
      </c>
      <c r="B7046" t="str">
        <f>T("P O BOX 99119")</f>
        <v>P O BOX 99119</v>
      </c>
      <c r="C7046" t="str">
        <f>T("MCAS YUMA")</f>
        <v>MCAS YUMA</v>
      </c>
      <c r="D7046" t="str">
        <f t="shared" si="2690"/>
        <v>YUMA</v>
      </c>
      <c r="E7046" t="str">
        <f t="shared" si="2691"/>
        <v>AZ</v>
      </c>
      <c r="F7046" t="str">
        <f>T("853699119")</f>
        <v>853699119</v>
      </c>
      <c r="G7046" t="str">
        <f>T("P O BOX 99119")</f>
        <v>P O BOX 99119</v>
      </c>
      <c r="H7046" t="str">
        <f>T("MCAS YUMA")</f>
        <v>MCAS YUMA</v>
      </c>
      <c r="I7046" t="str">
        <f t="shared" si="2692"/>
        <v>YUMA</v>
      </c>
      <c r="J7046" t="str">
        <f t="shared" si="2693"/>
        <v>AZ</v>
      </c>
      <c r="K7046" t="str">
        <f t="shared" ref="K7046:K7082" si="2694">T("000000000000000000")</f>
        <v>000000000000000000</v>
      </c>
      <c r="L7046" t="str">
        <f>T("9282696065")</f>
        <v>9282696065</v>
      </c>
    </row>
    <row r="7047" spans="1:12" x14ac:dyDescent="0.35">
      <c r="A7047" t="str">
        <f t="shared" si="2688"/>
        <v>MCAS YUMA</v>
      </c>
      <c r="B7047" t="str">
        <f>T("P O BOX 99126")</f>
        <v>P O BOX 99126</v>
      </c>
      <c r="C7047" t="str">
        <f t="shared" ref="C7047:C7088" si="2695">T("")</f>
        <v/>
      </c>
      <c r="D7047" t="str">
        <f t="shared" si="2690"/>
        <v>YUMA</v>
      </c>
      <c r="E7047" t="str">
        <f t="shared" si="2691"/>
        <v>AZ</v>
      </c>
      <c r="F7047" t="str">
        <f>T("853699126")</f>
        <v>853699126</v>
      </c>
      <c r="G7047" t="str">
        <f>T("LAW CENTER")</f>
        <v>LAW CENTER</v>
      </c>
      <c r="H7047" t="str">
        <f>T("P O BOX 99126")</f>
        <v>P O BOX 99126</v>
      </c>
      <c r="I7047" t="str">
        <f t="shared" si="2692"/>
        <v>YUMA</v>
      </c>
      <c r="J7047" t="str">
        <f t="shared" si="2693"/>
        <v>AZ</v>
      </c>
      <c r="K7047" t="str">
        <f t="shared" si="2694"/>
        <v>000000000000000000</v>
      </c>
      <c r="L7047" t="str">
        <f>T("9282693576")</f>
        <v>9282693576</v>
      </c>
    </row>
    <row r="7048" spans="1:12" x14ac:dyDescent="0.35">
      <c r="A7048" t="str">
        <f t="shared" si="2688"/>
        <v>MCAS YUMA</v>
      </c>
      <c r="B7048" t="str">
        <f>T("P O BOX 99126")</f>
        <v>P O BOX 99126</v>
      </c>
      <c r="C7048" t="str">
        <f t="shared" si="2695"/>
        <v/>
      </c>
      <c r="D7048" t="str">
        <f t="shared" si="2690"/>
        <v>YUMA</v>
      </c>
      <c r="E7048" t="str">
        <f t="shared" si="2691"/>
        <v>AZ</v>
      </c>
      <c r="F7048" t="str">
        <f>T("853699126")</f>
        <v>853699126</v>
      </c>
      <c r="G7048" t="str">
        <f>T("P O BOX 99126")</f>
        <v>P O BOX 99126</v>
      </c>
      <c r="H7048" t="str">
        <f>T("")</f>
        <v/>
      </c>
      <c r="I7048" t="str">
        <f t="shared" si="2692"/>
        <v>YUMA</v>
      </c>
      <c r="J7048" t="str">
        <f t="shared" si="2693"/>
        <v>AZ</v>
      </c>
      <c r="K7048" t="str">
        <f t="shared" si="2694"/>
        <v>000000000000000000</v>
      </c>
      <c r="L7048" t="str">
        <f>T("9282693408")</f>
        <v>9282693408</v>
      </c>
    </row>
    <row r="7049" spans="1:12" x14ac:dyDescent="0.35">
      <c r="A7049" t="str">
        <f t="shared" si="2688"/>
        <v>MCAS YUMA</v>
      </c>
      <c r="B7049" t="str">
        <f t="shared" ref="B7049:B7055" si="2696">T("P O BOX 99134")</f>
        <v>P O BOX 99134</v>
      </c>
      <c r="C7049" t="str">
        <f t="shared" si="2695"/>
        <v/>
      </c>
      <c r="D7049" t="str">
        <f t="shared" si="2690"/>
        <v>YUMA</v>
      </c>
      <c r="E7049" t="str">
        <f t="shared" si="2691"/>
        <v>AZ</v>
      </c>
      <c r="F7049" t="str">
        <f t="shared" ref="F7049:F7055" si="2697">T("853699134")</f>
        <v>853699134</v>
      </c>
      <c r="G7049" t="str">
        <f>T("BOX 99134")</f>
        <v>BOX 99134</v>
      </c>
      <c r="H7049" t="str">
        <f>T("")</f>
        <v/>
      </c>
      <c r="I7049" t="str">
        <f t="shared" si="2692"/>
        <v>YUMA</v>
      </c>
      <c r="J7049" t="str">
        <f t="shared" si="2693"/>
        <v>AZ</v>
      </c>
      <c r="K7049" t="str">
        <f t="shared" si="2694"/>
        <v>000000000000000000</v>
      </c>
      <c r="L7049" t="str">
        <f>T("9282692288")</f>
        <v>9282692288</v>
      </c>
    </row>
    <row r="7050" spans="1:12" x14ac:dyDescent="0.35">
      <c r="A7050" t="str">
        <f t="shared" si="2688"/>
        <v>MCAS YUMA</v>
      </c>
      <c r="B7050" t="str">
        <f t="shared" si="2696"/>
        <v>P O BOX 99134</v>
      </c>
      <c r="C7050" t="str">
        <f t="shared" si="2695"/>
        <v/>
      </c>
      <c r="D7050" t="str">
        <f t="shared" si="2690"/>
        <v>YUMA</v>
      </c>
      <c r="E7050" t="str">
        <f t="shared" si="2691"/>
        <v>AZ</v>
      </c>
      <c r="F7050" t="str">
        <f t="shared" si="2697"/>
        <v>853699134</v>
      </c>
      <c r="G7050" t="str">
        <f>T("BOX 99134")</f>
        <v>BOX 99134</v>
      </c>
      <c r="H7050" t="str">
        <f>T("")</f>
        <v/>
      </c>
      <c r="I7050" t="str">
        <f t="shared" si="2692"/>
        <v>YUMA</v>
      </c>
      <c r="J7050" t="str">
        <f t="shared" si="2693"/>
        <v>AZ</v>
      </c>
      <c r="K7050" t="str">
        <f t="shared" si="2694"/>
        <v>000000000000000000</v>
      </c>
      <c r="L7050" t="str">
        <f>T("9282692303")</f>
        <v>9282692303</v>
      </c>
    </row>
    <row r="7051" spans="1:12" x14ac:dyDescent="0.35">
      <c r="A7051" t="str">
        <f t="shared" ref="A7051:A7082" si="2698">T("MCAS YUMA")</f>
        <v>MCAS YUMA</v>
      </c>
      <c r="B7051" t="str">
        <f t="shared" si="2696"/>
        <v>P O BOX 99134</v>
      </c>
      <c r="C7051" t="str">
        <f t="shared" si="2695"/>
        <v/>
      </c>
      <c r="D7051" t="str">
        <f t="shared" ref="D7051:D7082" si="2699">T("YUMA")</f>
        <v>YUMA</v>
      </c>
      <c r="E7051" t="str">
        <f t="shared" ref="E7051:E7082" si="2700">T("AZ")</f>
        <v>AZ</v>
      </c>
      <c r="F7051" t="str">
        <f t="shared" si="2697"/>
        <v>853699134</v>
      </c>
      <c r="G7051" t="str">
        <f>T("BOX 99134")</f>
        <v>BOX 99134</v>
      </c>
      <c r="H7051" t="str">
        <f>T("")</f>
        <v/>
      </c>
      <c r="I7051" t="str">
        <f t="shared" ref="I7051:I7082" si="2701">T("YUMA")</f>
        <v>YUMA</v>
      </c>
      <c r="J7051" t="str">
        <f t="shared" ref="J7051:J7082" si="2702">T("AZ")</f>
        <v>AZ</v>
      </c>
      <c r="K7051" t="str">
        <f t="shared" si="2694"/>
        <v>000000000000000000</v>
      </c>
      <c r="L7051" t="str">
        <f>T("9282693777")</f>
        <v>9282693777</v>
      </c>
    </row>
    <row r="7052" spans="1:12" x14ac:dyDescent="0.35">
      <c r="A7052" t="str">
        <f t="shared" si="2698"/>
        <v>MCAS YUMA</v>
      </c>
      <c r="B7052" t="str">
        <f t="shared" si="2696"/>
        <v>P O BOX 99134</v>
      </c>
      <c r="C7052" t="str">
        <f t="shared" si="2695"/>
        <v/>
      </c>
      <c r="D7052" t="str">
        <f t="shared" si="2699"/>
        <v>YUMA</v>
      </c>
      <c r="E7052" t="str">
        <f t="shared" si="2700"/>
        <v>AZ</v>
      </c>
      <c r="F7052" t="str">
        <f t="shared" si="2697"/>
        <v>853699134</v>
      </c>
      <c r="G7052" t="str">
        <f>T("P O BOX 99134")</f>
        <v>P O BOX 99134</v>
      </c>
      <c r="H7052" t="str">
        <f>T("")</f>
        <v/>
      </c>
      <c r="I7052" t="str">
        <f t="shared" si="2701"/>
        <v>YUMA</v>
      </c>
      <c r="J7052" t="str">
        <f t="shared" si="2702"/>
        <v>AZ</v>
      </c>
      <c r="K7052" t="str">
        <f t="shared" si="2694"/>
        <v>000000000000000000</v>
      </c>
      <c r="L7052" t="str">
        <f>T("9282692458")</f>
        <v>9282692458</v>
      </c>
    </row>
    <row r="7053" spans="1:12" x14ac:dyDescent="0.35">
      <c r="A7053" t="str">
        <f t="shared" si="2698"/>
        <v>MCAS YUMA</v>
      </c>
      <c r="B7053" t="str">
        <f t="shared" si="2696"/>
        <v>P O BOX 99134</v>
      </c>
      <c r="C7053" t="str">
        <f t="shared" si="2695"/>
        <v/>
      </c>
      <c r="D7053" t="str">
        <f t="shared" si="2699"/>
        <v>YUMA</v>
      </c>
      <c r="E7053" t="str">
        <f t="shared" si="2700"/>
        <v>AZ</v>
      </c>
      <c r="F7053" t="str">
        <f t="shared" si="2697"/>
        <v>853699134</v>
      </c>
      <c r="G7053" t="str">
        <f>T("RANGE MANAGEMENT")</f>
        <v>RANGE MANAGEMENT</v>
      </c>
      <c r="H7053" t="str">
        <f>T("EOD BOX 99134")</f>
        <v>EOD BOX 99134</v>
      </c>
      <c r="I7053" t="str">
        <f t="shared" si="2701"/>
        <v>YUMA</v>
      </c>
      <c r="J7053" t="str">
        <f t="shared" si="2702"/>
        <v>AZ</v>
      </c>
      <c r="K7053" t="str">
        <f t="shared" si="2694"/>
        <v>000000000000000000</v>
      </c>
      <c r="L7053" t="str">
        <f>T("9282692303")</f>
        <v>9282692303</v>
      </c>
    </row>
    <row r="7054" spans="1:12" x14ac:dyDescent="0.35">
      <c r="A7054" t="str">
        <f t="shared" si="2698"/>
        <v>MCAS YUMA</v>
      </c>
      <c r="B7054" t="str">
        <f t="shared" si="2696"/>
        <v>P O BOX 99134</v>
      </c>
      <c r="C7054" t="str">
        <f t="shared" si="2695"/>
        <v/>
      </c>
      <c r="D7054" t="str">
        <f t="shared" si="2699"/>
        <v>YUMA</v>
      </c>
      <c r="E7054" t="str">
        <f t="shared" si="2700"/>
        <v>AZ</v>
      </c>
      <c r="F7054" t="str">
        <f t="shared" si="2697"/>
        <v>853699134</v>
      </c>
      <c r="G7054" t="str">
        <f>T("RANGE MANAGEMENT")</f>
        <v>RANGE MANAGEMENT</v>
      </c>
      <c r="H7054" t="str">
        <f>T("P O BOX 99134")</f>
        <v>P O BOX 99134</v>
      </c>
      <c r="I7054" t="str">
        <f t="shared" si="2701"/>
        <v>YUMA</v>
      </c>
      <c r="J7054" t="str">
        <f t="shared" si="2702"/>
        <v>AZ</v>
      </c>
      <c r="K7054" t="str">
        <f t="shared" si="2694"/>
        <v>000000000000000000</v>
      </c>
      <c r="L7054" t="str">
        <f>T("9282696097")</f>
        <v>9282696097</v>
      </c>
    </row>
    <row r="7055" spans="1:12" x14ac:dyDescent="0.35">
      <c r="A7055" t="str">
        <f t="shared" si="2698"/>
        <v>MCAS YUMA</v>
      </c>
      <c r="B7055" t="str">
        <f t="shared" si="2696"/>
        <v>P O BOX 99134</v>
      </c>
      <c r="C7055" t="str">
        <f t="shared" si="2695"/>
        <v/>
      </c>
      <c r="D7055" t="str">
        <f t="shared" si="2699"/>
        <v>YUMA</v>
      </c>
      <c r="E7055" t="str">
        <f t="shared" si="2700"/>
        <v>AZ</v>
      </c>
      <c r="F7055" t="str">
        <f t="shared" si="2697"/>
        <v>853699134</v>
      </c>
      <c r="G7055" t="str">
        <f>T("RANGE MANAGEMENT DEPARTMENT")</f>
        <v>RANGE MANAGEMENT DEPARTMENT</v>
      </c>
      <c r="H7055" t="str">
        <f>T("P O BOX 99134")</f>
        <v>P O BOX 99134</v>
      </c>
      <c r="I7055" t="str">
        <f t="shared" si="2701"/>
        <v>YUMA</v>
      </c>
      <c r="J7055" t="str">
        <f t="shared" si="2702"/>
        <v>AZ</v>
      </c>
      <c r="K7055" t="str">
        <f t="shared" si="2694"/>
        <v>000000000000000000</v>
      </c>
      <c r="L7055" t="str">
        <f>T("9282692112")</f>
        <v>9282692112</v>
      </c>
    </row>
    <row r="7056" spans="1:12" x14ac:dyDescent="0.35">
      <c r="A7056" t="str">
        <f t="shared" si="2698"/>
        <v>MCAS YUMA</v>
      </c>
      <c r="B7056" t="str">
        <f t="shared" ref="B7056:B7062" si="2703">T("P O BOX 99140")</f>
        <v>P O BOX 99140</v>
      </c>
      <c r="C7056" t="str">
        <f t="shared" si="2695"/>
        <v/>
      </c>
      <c r="D7056" t="str">
        <f t="shared" si="2699"/>
        <v>YUMA</v>
      </c>
      <c r="E7056" t="str">
        <f t="shared" si="2700"/>
        <v>AZ</v>
      </c>
      <c r="F7056" t="str">
        <f t="shared" ref="F7056:F7062" si="2704">T("853699140")</f>
        <v>853699140</v>
      </c>
      <c r="G7056" t="str">
        <f>T("IL DEPARTMENT")</f>
        <v>IL DEPARTMENT</v>
      </c>
      <c r="H7056" t="str">
        <f>T("P O BOX 99140")</f>
        <v>P O BOX 99140</v>
      </c>
      <c r="I7056" t="str">
        <f t="shared" si="2701"/>
        <v>YUMA</v>
      </c>
      <c r="J7056" t="str">
        <f t="shared" si="2702"/>
        <v>AZ</v>
      </c>
      <c r="K7056" t="str">
        <f t="shared" si="2694"/>
        <v>000000000000000000</v>
      </c>
      <c r="L7056" t="str">
        <f>T("9282692071")</f>
        <v>9282692071</v>
      </c>
    </row>
    <row r="7057" spans="1:12" x14ac:dyDescent="0.35">
      <c r="A7057" t="str">
        <f t="shared" si="2698"/>
        <v>MCAS YUMA</v>
      </c>
      <c r="B7057" t="str">
        <f t="shared" si="2703"/>
        <v>P O BOX 99140</v>
      </c>
      <c r="C7057" t="str">
        <f t="shared" si="2695"/>
        <v/>
      </c>
      <c r="D7057" t="str">
        <f t="shared" si="2699"/>
        <v>YUMA</v>
      </c>
      <c r="E7057" t="str">
        <f t="shared" si="2700"/>
        <v>AZ</v>
      </c>
      <c r="F7057" t="str">
        <f t="shared" si="2704"/>
        <v>853699140</v>
      </c>
      <c r="G7057" t="str">
        <f>T("IL DEPARTMENT BSD E4")</f>
        <v>IL DEPARTMENT BSD E4</v>
      </c>
      <c r="H7057" t="str">
        <f>T("P O BOX 99137")</f>
        <v>P O BOX 99137</v>
      </c>
      <c r="I7057" t="str">
        <f t="shared" si="2701"/>
        <v>YUMA</v>
      </c>
      <c r="J7057" t="str">
        <f t="shared" si="2702"/>
        <v>AZ</v>
      </c>
      <c r="K7057" t="str">
        <f t="shared" si="2694"/>
        <v>000000000000000000</v>
      </c>
      <c r="L7057" t="str">
        <f>T("9282695366")</f>
        <v>9282695366</v>
      </c>
    </row>
    <row r="7058" spans="1:12" x14ac:dyDescent="0.35">
      <c r="A7058" t="str">
        <f t="shared" si="2698"/>
        <v>MCAS YUMA</v>
      </c>
      <c r="B7058" t="str">
        <f t="shared" si="2703"/>
        <v>P O BOX 99140</v>
      </c>
      <c r="C7058" t="str">
        <f t="shared" si="2695"/>
        <v/>
      </c>
      <c r="D7058" t="str">
        <f t="shared" si="2699"/>
        <v>YUMA</v>
      </c>
      <c r="E7058" t="str">
        <f t="shared" si="2700"/>
        <v>AZ</v>
      </c>
      <c r="F7058" t="str">
        <f t="shared" si="2704"/>
        <v>853699140</v>
      </c>
      <c r="G7058" t="str">
        <f>T("IL DEPARTMENT BSD HAZMAT")</f>
        <v>IL DEPARTMENT BSD HAZMAT</v>
      </c>
      <c r="H7058" t="str">
        <f>T("P O BOX 99137")</f>
        <v>P O BOX 99137</v>
      </c>
      <c r="I7058" t="str">
        <f t="shared" si="2701"/>
        <v>YUMA</v>
      </c>
      <c r="J7058" t="str">
        <f t="shared" si="2702"/>
        <v>AZ</v>
      </c>
      <c r="K7058" t="str">
        <f t="shared" si="2694"/>
        <v>000000000000000000</v>
      </c>
      <c r="L7058" t="str">
        <f>T("9282695364")</f>
        <v>9282695364</v>
      </c>
    </row>
    <row r="7059" spans="1:12" x14ac:dyDescent="0.35">
      <c r="A7059" t="str">
        <f t="shared" si="2698"/>
        <v>MCAS YUMA</v>
      </c>
      <c r="B7059" t="str">
        <f t="shared" si="2703"/>
        <v>P O BOX 99140</v>
      </c>
      <c r="C7059" t="str">
        <f t="shared" si="2695"/>
        <v/>
      </c>
      <c r="D7059" t="str">
        <f t="shared" si="2699"/>
        <v>YUMA</v>
      </c>
      <c r="E7059" t="str">
        <f t="shared" si="2700"/>
        <v>AZ</v>
      </c>
      <c r="F7059" t="str">
        <f t="shared" si="2704"/>
        <v>853699140</v>
      </c>
      <c r="G7059" t="str">
        <f>T("INSTALLATIONS  LOGISTICS")</f>
        <v>INSTALLATIONS  LOGISTICS</v>
      </c>
      <c r="H7059" t="str">
        <f>T("P O BOX 99137")</f>
        <v>P O BOX 99137</v>
      </c>
      <c r="I7059" t="str">
        <f t="shared" si="2701"/>
        <v>YUMA</v>
      </c>
      <c r="J7059" t="str">
        <f t="shared" si="2702"/>
        <v>AZ</v>
      </c>
      <c r="K7059" t="str">
        <f t="shared" si="2694"/>
        <v>000000000000000000</v>
      </c>
      <c r="L7059" t="str">
        <f>T("9282695301")</f>
        <v>9282695301</v>
      </c>
    </row>
    <row r="7060" spans="1:12" x14ac:dyDescent="0.35">
      <c r="A7060" t="str">
        <f t="shared" si="2698"/>
        <v>MCAS YUMA</v>
      </c>
      <c r="B7060" t="str">
        <f t="shared" si="2703"/>
        <v>P O BOX 99140</v>
      </c>
      <c r="C7060" t="str">
        <f t="shared" si="2695"/>
        <v/>
      </c>
      <c r="D7060" t="str">
        <f t="shared" si="2699"/>
        <v>YUMA</v>
      </c>
      <c r="E7060" t="str">
        <f t="shared" si="2700"/>
        <v>AZ</v>
      </c>
      <c r="F7060" t="str">
        <f t="shared" si="2704"/>
        <v>853699140</v>
      </c>
      <c r="G7060" t="str">
        <f>T("INSTALLATIONS  LOGISTICS DEPARTMENT")</f>
        <v>INSTALLATIONS  LOGISTICS DEPARTMENT</v>
      </c>
      <c r="H7060" t="str">
        <f>T("P O BOX 99140")</f>
        <v>P O BOX 99140</v>
      </c>
      <c r="I7060" t="str">
        <f t="shared" si="2701"/>
        <v>YUMA</v>
      </c>
      <c r="J7060" t="str">
        <f t="shared" si="2702"/>
        <v>AZ</v>
      </c>
      <c r="K7060" t="str">
        <f t="shared" si="2694"/>
        <v>000000000000000000</v>
      </c>
      <c r="L7060" t="str">
        <f>T("9282692782")</f>
        <v>9282692782</v>
      </c>
    </row>
    <row r="7061" spans="1:12" x14ac:dyDescent="0.35">
      <c r="A7061" t="str">
        <f t="shared" si="2698"/>
        <v>MCAS YUMA</v>
      </c>
      <c r="B7061" t="str">
        <f t="shared" si="2703"/>
        <v>P O BOX 99140</v>
      </c>
      <c r="C7061" t="str">
        <f t="shared" si="2695"/>
        <v/>
      </c>
      <c r="D7061" t="str">
        <f t="shared" si="2699"/>
        <v>YUMA</v>
      </c>
      <c r="E7061" t="str">
        <f t="shared" si="2700"/>
        <v>AZ</v>
      </c>
      <c r="F7061" t="str">
        <f t="shared" si="2704"/>
        <v>853699140</v>
      </c>
      <c r="G7061" t="str">
        <f>T("P O BOX 99140")</f>
        <v>P O BOX 99140</v>
      </c>
      <c r="H7061" t="str">
        <f>T("")</f>
        <v/>
      </c>
      <c r="I7061" t="str">
        <f t="shared" si="2701"/>
        <v>YUMA</v>
      </c>
      <c r="J7061" t="str">
        <f t="shared" si="2702"/>
        <v>AZ</v>
      </c>
      <c r="K7061" t="str">
        <f t="shared" si="2694"/>
        <v>000000000000000000</v>
      </c>
      <c r="L7061" t="str">
        <f>T("9282692717")</f>
        <v>9282692717</v>
      </c>
    </row>
    <row r="7062" spans="1:12" x14ac:dyDescent="0.35">
      <c r="A7062" t="str">
        <f t="shared" si="2698"/>
        <v>MCAS YUMA</v>
      </c>
      <c r="B7062" t="str">
        <f t="shared" si="2703"/>
        <v>P O BOX 99140</v>
      </c>
      <c r="C7062" t="str">
        <f t="shared" si="2695"/>
        <v/>
      </c>
      <c r="D7062" t="str">
        <f t="shared" si="2699"/>
        <v>YUMA</v>
      </c>
      <c r="E7062" t="str">
        <f t="shared" si="2700"/>
        <v>AZ</v>
      </c>
      <c r="F7062" t="str">
        <f t="shared" si="2704"/>
        <v>853699140</v>
      </c>
      <c r="G7062" t="str">
        <f>T("P O BOX 99140")</f>
        <v>P O BOX 99140</v>
      </c>
      <c r="H7062" t="str">
        <f>T("")</f>
        <v/>
      </c>
      <c r="I7062" t="str">
        <f t="shared" si="2701"/>
        <v>YUMA</v>
      </c>
      <c r="J7062" t="str">
        <f t="shared" si="2702"/>
        <v>AZ</v>
      </c>
      <c r="K7062" t="str">
        <f t="shared" si="2694"/>
        <v>000000000000000000</v>
      </c>
      <c r="L7062" t="str">
        <f>T("9282693425")</f>
        <v>9282693425</v>
      </c>
    </row>
    <row r="7063" spans="1:12" x14ac:dyDescent="0.35">
      <c r="A7063" t="str">
        <f t="shared" si="2698"/>
        <v>MCAS YUMA</v>
      </c>
      <c r="B7063" t="str">
        <f>T("P O BOX 99141")</f>
        <v>P O BOX 99141</v>
      </c>
      <c r="C7063" t="str">
        <f t="shared" si="2695"/>
        <v/>
      </c>
      <c r="D7063" t="str">
        <f t="shared" si="2699"/>
        <v>YUMA</v>
      </c>
      <c r="E7063" t="str">
        <f t="shared" si="2700"/>
        <v>AZ</v>
      </c>
      <c r="F7063" t="str">
        <f>T("853699141")</f>
        <v>853699141</v>
      </c>
      <c r="G7063" t="str">
        <f>T("MCAS FIRE DEPARTMENT")</f>
        <v>MCAS FIRE DEPARTMENT</v>
      </c>
      <c r="H7063" t="str">
        <f>T("P O BOX 99141")</f>
        <v>P O BOX 99141</v>
      </c>
      <c r="I7063" t="str">
        <f t="shared" si="2701"/>
        <v>YUMA</v>
      </c>
      <c r="J7063" t="str">
        <f t="shared" si="2702"/>
        <v>AZ</v>
      </c>
      <c r="K7063" t="str">
        <f t="shared" si="2694"/>
        <v>000000000000000000</v>
      </c>
      <c r="L7063" t="str">
        <f>T("9282696146")</f>
        <v>9282696146</v>
      </c>
    </row>
    <row r="7064" spans="1:12" x14ac:dyDescent="0.35">
      <c r="A7064" t="str">
        <f t="shared" si="2698"/>
        <v>MCAS YUMA</v>
      </c>
      <c r="B7064" t="str">
        <f>T("P O BOX 99141")</f>
        <v>P O BOX 99141</v>
      </c>
      <c r="C7064" t="str">
        <f t="shared" si="2695"/>
        <v/>
      </c>
      <c r="D7064" t="str">
        <f t="shared" si="2699"/>
        <v>YUMA</v>
      </c>
      <c r="E7064" t="str">
        <f t="shared" si="2700"/>
        <v>AZ</v>
      </c>
      <c r="F7064" t="str">
        <f>T("853699141")</f>
        <v>853699141</v>
      </c>
      <c r="G7064" t="str">
        <f>T("P O BOX 99141")</f>
        <v>P O BOX 99141</v>
      </c>
      <c r="H7064" t="str">
        <f>T("")</f>
        <v/>
      </c>
      <c r="I7064" t="str">
        <f t="shared" si="2701"/>
        <v>YUMA</v>
      </c>
      <c r="J7064" t="str">
        <f t="shared" si="2702"/>
        <v>AZ</v>
      </c>
      <c r="K7064" t="str">
        <f t="shared" si="2694"/>
        <v>000000000000000000</v>
      </c>
      <c r="L7064" t="str">
        <f>T("9282692887")</f>
        <v>9282692887</v>
      </c>
    </row>
    <row r="7065" spans="1:12" x14ac:dyDescent="0.35">
      <c r="A7065" t="str">
        <f t="shared" si="2698"/>
        <v>MCAS YUMA</v>
      </c>
      <c r="B7065" t="str">
        <f t="shared" ref="B7065:B7072" si="2705">T("P O BOX 99160")</f>
        <v>P O BOX 99160</v>
      </c>
      <c r="C7065" t="str">
        <f t="shared" si="2695"/>
        <v/>
      </c>
      <c r="D7065" t="str">
        <f t="shared" si="2699"/>
        <v>YUMA</v>
      </c>
      <c r="E7065" t="str">
        <f t="shared" si="2700"/>
        <v>AZ</v>
      </c>
      <c r="F7065" t="str">
        <f t="shared" ref="F7065:F7072" si="2706">T("853699160")</f>
        <v>853699160</v>
      </c>
      <c r="G7065" t="str">
        <f>T("FOOD SERVICES")</f>
        <v>FOOD SERVICES</v>
      </c>
      <c r="H7065" t="str">
        <f>T("P O BOX 99160")</f>
        <v>P O BOX 99160</v>
      </c>
      <c r="I7065" t="str">
        <f t="shared" si="2701"/>
        <v>YUMA</v>
      </c>
      <c r="J7065" t="str">
        <f t="shared" si="2702"/>
        <v>AZ</v>
      </c>
      <c r="K7065" t="str">
        <f t="shared" si="2694"/>
        <v>000000000000000000</v>
      </c>
      <c r="L7065" t="str">
        <f>T("9282692988")</f>
        <v>9282692988</v>
      </c>
    </row>
    <row r="7066" spans="1:12" x14ac:dyDescent="0.35">
      <c r="A7066" t="str">
        <f t="shared" si="2698"/>
        <v>MCAS YUMA</v>
      </c>
      <c r="B7066" t="str">
        <f t="shared" si="2705"/>
        <v>P O BOX 99160</v>
      </c>
      <c r="C7066" t="str">
        <f t="shared" si="2695"/>
        <v/>
      </c>
      <c r="D7066" t="str">
        <f t="shared" si="2699"/>
        <v>YUMA</v>
      </c>
      <c r="E7066" t="str">
        <f t="shared" si="2700"/>
        <v>AZ</v>
      </c>
      <c r="F7066" t="str">
        <f t="shared" si="2706"/>
        <v>853699160</v>
      </c>
      <c r="G7066" t="str">
        <f>T("H&amp;HS SQUADRON")</f>
        <v>H&amp;HS SQUADRON</v>
      </c>
      <c r="H7066" t="str">
        <f>T("BOX 99160")</f>
        <v>BOX 99160</v>
      </c>
      <c r="I7066" t="str">
        <f t="shared" si="2701"/>
        <v>YUMA</v>
      </c>
      <c r="J7066" t="str">
        <f t="shared" si="2702"/>
        <v>AZ</v>
      </c>
      <c r="K7066" t="str">
        <f t="shared" si="2694"/>
        <v>000000000000000000</v>
      </c>
      <c r="L7066" t="str">
        <f>T("9282692207")</f>
        <v>9282692207</v>
      </c>
    </row>
    <row r="7067" spans="1:12" x14ac:dyDescent="0.35">
      <c r="A7067" t="str">
        <f t="shared" si="2698"/>
        <v>MCAS YUMA</v>
      </c>
      <c r="B7067" t="str">
        <f t="shared" si="2705"/>
        <v>P O BOX 99160</v>
      </c>
      <c r="C7067" t="str">
        <f t="shared" si="2695"/>
        <v/>
      </c>
      <c r="D7067" t="str">
        <f t="shared" si="2699"/>
        <v>YUMA</v>
      </c>
      <c r="E7067" t="str">
        <f t="shared" si="2700"/>
        <v>AZ</v>
      </c>
      <c r="F7067" t="str">
        <f t="shared" si="2706"/>
        <v>853699160</v>
      </c>
      <c r="G7067" t="str">
        <f>T("HHS SEARCH  RESCUE")</f>
        <v>HHS SEARCH  RESCUE</v>
      </c>
      <c r="H7067" t="str">
        <f>T("P O BOX 99160")</f>
        <v>P O BOX 99160</v>
      </c>
      <c r="I7067" t="str">
        <f t="shared" si="2701"/>
        <v>YUMA</v>
      </c>
      <c r="J7067" t="str">
        <f t="shared" si="2702"/>
        <v>AZ</v>
      </c>
      <c r="K7067" t="str">
        <f t="shared" si="2694"/>
        <v>000000000000000000</v>
      </c>
      <c r="L7067" t="str">
        <f>T("9282696300")</f>
        <v>9282696300</v>
      </c>
    </row>
    <row r="7068" spans="1:12" x14ac:dyDescent="0.35">
      <c r="A7068" t="str">
        <f t="shared" si="2698"/>
        <v>MCAS YUMA</v>
      </c>
      <c r="B7068" t="str">
        <f t="shared" si="2705"/>
        <v>P O BOX 99160</v>
      </c>
      <c r="C7068" t="str">
        <f t="shared" si="2695"/>
        <v/>
      </c>
      <c r="D7068" t="str">
        <f t="shared" si="2699"/>
        <v>YUMA</v>
      </c>
      <c r="E7068" t="str">
        <f t="shared" si="2700"/>
        <v>AZ</v>
      </c>
      <c r="F7068" t="str">
        <f t="shared" si="2706"/>
        <v>853699160</v>
      </c>
      <c r="G7068" t="str">
        <f>T("INTERMEDIATE MAINTENANCE ACTIVITY")</f>
        <v>INTERMEDIATE MAINTENANCE ACTIVITY</v>
      </c>
      <c r="H7068" t="str">
        <f>T("P O BOX 99160")</f>
        <v>P O BOX 99160</v>
      </c>
      <c r="I7068" t="str">
        <f t="shared" si="2701"/>
        <v>YUMA</v>
      </c>
      <c r="J7068" t="str">
        <f t="shared" si="2702"/>
        <v>AZ</v>
      </c>
      <c r="K7068" t="str">
        <f t="shared" si="2694"/>
        <v>000000000000000000</v>
      </c>
      <c r="L7068" t="str">
        <f>T("9282693173")</f>
        <v>9282693173</v>
      </c>
    </row>
    <row r="7069" spans="1:12" x14ac:dyDescent="0.35">
      <c r="A7069" t="str">
        <f t="shared" si="2698"/>
        <v>MCAS YUMA</v>
      </c>
      <c r="B7069" t="str">
        <f t="shared" si="2705"/>
        <v>P O BOX 99160</v>
      </c>
      <c r="C7069" t="str">
        <f t="shared" si="2695"/>
        <v/>
      </c>
      <c r="D7069" t="str">
        <f t="shared" si="2699"/>
        <v>YUMA</v>
      </c>
      <c r="E7069" t="str">
        <f t="shared" si="2700"/>
        <v>AZ</v>
      </c>
      <c r="F7069" t="str">
        <f t="shared" si="2706"/>
        <v>853699160</v>
      </c>
      <c r="G7069" t="str">
        <f>T("P O BOX 99160")</f>
        <v>P O BOX 99160</v>
      </c>
      <c r="H7069" t="str">
        <f>T("")</f>
        <v/>
      </c>
      <c r="I7069" t="str">
        <f t="shared" si="2701"/>
        <v>YUMA</v>
      </c>
      <c r="J7069" t="str">
        <f t="shared" si="2702"/>
        <v>AZ</v>
      </c>
      <c r="K7069" t="str">
        <f t="shared" si="2694"/>
        <v>000000000000000000</v>
      </c>
      <c r="L7069" t="str">
        <f>T("9282692533")</f>
        <v>9282692533</v>
      </c>
    </row>
    <row r="7070" spans="1:12" x14ac:dyDescent="0.35">
      <c r="A7070" t="str">
        <f t="shared" si="2698"/>
        <v>MCAS YUMA</v>
      </c>
      <c r="B7070" t="str">
        <f t="shared" si="2705"/>
        <v>P O BOX 99160</v>
      </c>
      <c r="C7070" t="str">
        <f t="shared" si="2695"/>
        <v/>
      </c>
      <c r="D7070" t="str">
        <f t="shared" si="2699"/>
        <v>YUMA</v>
      </c>
      <c r="E7070" t="str">
        <f t="shared" si="2700"/>
        <v>AZ</v>
      </c>
      <c r="F7070" t="str">
        <f t="shared" si="2706"/>
        <v>853699160</v>
      </c>
      <c r="G7070" t="str">
        <f>T("P O BOX 99160")</f>
        <v>P O BOX 99160</v>
      </c>
      <c r="H7070" t="str">
        <f>T("")</f>
        <v/>
      </c>
      <c r="I7070" t="str">
        <f t="shared" si="2701"/>
        <v>YUMA</v>
      </c>
      <c r="J7070" t="str">
        <f t="shared" si="2702"/>
        <v>AZ</v>
      </c>
      <c r="K7070" t="str">
        <f t="shared" si="2694"/>
        <v>000000000000000000</v>
      </c>
      <c r="L7070" t="str">
        <f>T("9282692717")</f>
        <v>9282692717</v>
      </c>
    </row>
    <row r="7071" spans="1:12" x14ac:dyDescent="0.35">
      <c r="A7071" t="str">
        <f t="shared" si="2698"/>
        <v>MCAS YUMA</v>
      </c>
      <c r="B7071" t="str">
        <f t="shared" si="2705"/>
        <v>P O BOX 99160</v>
      </c>
      <c r="C7071" t="str">
        <f t="shared" si="2695"/>
        <v/>
      </c>
      <c r="D7071" t="str">
        <f t="shared" si="2699"/>
        <v>YUMA</v>
      </c>
      <c r="E7071" t="str">
        <f t="shared" si="2700"/>
        <v>AZ</v>
      </c>
      <c r="F7071" t="str">
        <f t="shared" si="2706"/>
        <v>853699160</v>
      </c>
      <c r="G7071" t="str">
        <f>T("P O BOX 99160")</f>
        <v>P O BOX 99160</v>
      </c>
      <c r="H7071" t="str">
        <f>T("")</f>
        <v/>
      </c>
      <c r="I7071" t="str">
        <f t="shared" si="2701"/>
        <v>YUMA</v>
      </c>
      <c r="J7071" t="str">
        <f t="shared" si="2702"/>
        <v>AZ</v>
      </c>
      <c r="K7071" t="str">
        <f t="shared" si="2694"/>
        <v>000000000000000000</v>
      </c>
      <c r="L7071" t="str">
        <f>T("9282695541")</f>
        <v>9282695541</v>
      </c>
    </row>
    <row r="7072" spans="1:12" x14ac:dyDescent="0.35">
      <c r="A7072" t="str">
        <f t="shared" si="2698"/>
        <v>MCAS YUMA</v>
      </c>
      <c r="B7072" t="str">
        <f t="shared" si="2705"/>
        <v>P O BOX 99160</v>
      </c>
      <c r="C7072" t="str">
        <f t="shared" si="2695"/>
        <v/>
      </c>
      <c r="D7072" t="str">
        <f t="shared" si="2699"/>
        <v>YUMA</v>
      </c>
      <c r="E7072" t="str">
        <f t="shared" si="2700"/>
        <v>AZ</v>
      </c>
      <c r="F7072" t="str">
        <f t="shared" si="2706"/>
        <v>853699160</v>
      </c>
      <c r="G7072" t="str">
        <f>T("P O BOX 99160")</f>
        <v>P O BOX 99160</v>
      </c>
      <c r="H7072" t="str">
        <f>T("")</f>
        <v/>
      </c>
      <c r="I7072" t="str">
        <f t="shared" si="2701"/>
        <v>YUMA</v>
      </c>
      <c r="J7072" t="str">
        <f t="shared" si="2702"/>
        <v>AZ</v>
      </c>
      <c r="K7072" t="str">
        <f t="shared" si="2694"/>
        <v>000000000000000000</v>
      </c>
      <c r="L7072" t="str">
        <f>T("9282696010")</f>
        <v>9282696010</v>
      </c>
    </row>
    <row r="7073" spans="1:12" x14ac:dyDescent="0.35">
      <c r="A7073" t="str">
        <f t="shared" si="2698"/>
        <v>MCAS YUMA</v>
      </c>
      <c r="B7073" t="str">
        <f>T("P O BOX 99200")</f>
        <v>P O BOX 99200</v>
      </c>
      <c r="C7073" t="str">
        <f t="shared" si="2695"/>
        <v/>
      </c>
      <c r="D7073" t="str">
        <f t="shared" si="2699"/>
        <v>YUMA</v>
      </c>
      <c r="E7073" t="str">
        <f t="shared" si="2700"/>
        <v>AZ</v>
      </c>
      <c r="F7073" t="str">
        <f>T("853699200")</f>
        <v>853699200</v>
      </c>
      <c r="G7073" t="str">
        <f>T("MAWTS-1")</f>
        <v>MAWTS-1</v>
      </c>
      <c r="H7073" t="str">
        <f>T("P O BOX 99200")</f>
        <v>P O BOX 99200</v>
      </c>
      <c r="I7073" t="str">
        <f t="shared" si="2701"/>
        <v>YUMA</v>
      </c>
      <c r="J7073" t="str">
        <f t="shared" si="2702"/>
        <v>AZ</v>
      </c>
      <c r="K7073" t="str">
        <f t="shared" si="2694"/>
        <v>000000000000000000</v>
      </c>
      <c r="L7073" t="str">
        <f>T("9282692449")</f>
        <v>9282692449</v>
      </c>
    </row>
    <row r="7074" spans="1:12" x14ac:dyDescent="0.35">
      <c r="A7074" t="str">
        <f t="shared" si="2698"/>
        <v>MCAS YUMA</v>
      </c>
      <c r="B7074" t="str">
        <f>T("P O BOX 99200")</f>
        <v>P O BOX 99200</v>
      </c>
      <c r="C7074" t="str">
        <f t="shared" si="2695"/>
        <v/>
      </c>
      <c r="D7074" t="str">
        <f t="shared" si="2699"/>
        <v>YUMA</v>
      </c>
      <c r="E7074" t="str">
        <f t="shared" si="2700"/>
        <v>AZ</v>
      </c>
      <c r="F7074" t="str">
        <f>T("853699200")</f>
        <v>853699200</v>
      </c>
      <c r="G7074" t="str">
        <f>T("P O BOX 99200")</f>
        <v>P O BOX 99200</v>
      </c>
      <c r="H7074" t="str">
        <f>T("")</f>
        <v/>
      </c>
      <c r="I7074" t="str">
        <f t="shared" si="2701"/>
        <v>YUMA</v>
      </c>
      <c r="J7074" t="str">
        <f t="shared" si="2702"/>
        <v>AZ</v>
      </c>
      <c r="K7074" t="str">
        <f t="shared" si="2694"/>
        <v>000000000000000000</v>
      </c>
      <c r="L7074" t="str">
        <f>T("9282692449")</f>
        <v>9282692449</v>
      </c>
    </row>
    <row r="7075" spans="1:12" x14ac:dyDescent="0.35">
      <c r="A7075" t="str">
        <f t="shared" si="2698"/>
        <v>MCAS YUMA</v>
      </c>
      <c r="B7075" t="str">
        <f t="shared" ref="B7075:B7082" si="2707">T("PO BOX 99114")</f>
        <v>PO BOX 99114</v>
      </c>
      <c r="C7075" t="str">
        <f t="shared" si="2695"/>
        <v/>
      </c>
      <c r="D7075" t="str">
        <f t="shared" si="2699"/>
        <v>YUMA</v>
      </c>
      <c r="E7075" t="str">
        <f t="shared" si="2700"/>
        <v>AZ</v>
      </c>
      <c r="F7075" t="str">
        <f t="shared" ref="F7075:F7082" si="2708">T("853699114")</f>
        <v>853699114</v>
      </c>
      <c r="G7075" t="str">
        <f t="shared" ref="G7075:G7081" si="2709">T("AIRFIELD OPERATIONS")</f>
        <v>AIRFIELD OPERATIONS</v>
      </c>
      <c r="H7075" t="str">
        <f>T("BOX 99114")</f>
        <v>BOX 99114</v>
      </c>
      <c r="I7075" t="str">
        <f t="shared" si="2701"/>
        <v>YUMA</v>
      </c>
      <c r="J7075" t="str">
        <f t="shared" si="2702"/>
        <v>AZ</v>
      </c>
      <c r="K7075" t="str">
        <f t="shared" si="2694"/>
        <v>000000000000000000</v>
      </c>
      <c r="L7075" t="str">
        <f>T("9282692357")</f>
        <v>9282692357</v>
      </c>
    </row>
    <row r="7076" spans="1:12" x14ac:dyDescent="0.35">
      <c r="A7076" t="str">
        <f t="shared" si="2698"/>
        <v>MCAS YUMA</v>
      </c>
      <c r="B7076" t="str">
        <f t="shared" si="2707"/>
        <v>PO BOX 99114</v>
      </c>
      <c r="C7076" t="str">
        <f t="shared" si="2695"/>
        <v/>
      </c>
      <c r="D7076" t="str">
        <f t="shared" si="2699"/>
        <v>YUMA</v>
      </c>
      <c r="E7076" t="str">
        <f t="shared" si="2700"/>
        <v>AZ</v>
      </c>
      <c r="F7076" t="str">
        <f t="shared" si="2708"/>
        <v>853699114</v>
      </c>
      <c r="G7076" t="str">
        <f t="shared" si="2709"/>
        <v>AIRFIELD OPERATIONS</v>
      </c>
      <c r="H7076" t="str">
        <f>T("BOX 99114")</f>
        <v>BOX 99114</v>
      </c>
      <c r="I7076" t="str">
        <f t="shared" si="2701"/>
        <v>YUMA</v>
      </c>
      <c r="J7076" t="str">
        <f t="shared" si="2702"/>
        <v>AZ</v>
      </c>
      <c r="K7076" t="str">
        <f t="shared" si="2694"/>
        <v>000000000000000000</v>
      </c>
      <c r="L7076" t="str">
        <f>T("9282692496")</f>
        <v>9282692496</v>
      </c>
    </row>
    <row r="7077" spans="1:12" x14ac:dyDescent="0.35">
      <c r="A7077" t="str">
        <f t="shared" si="2698"/>
        <v>MCAS YUMA</v>
      </c>
      <c r="B7077" t="str">
        <f t="shared" si="2707"/>
        <v>PO BOX 99114</v>
      </c>
      <c r="C7077" t="str">
        <f t="shared" si="2695"/>
        <v/>
      </c>
      <c r="D7077" t="str">
        <f t="shared" si="2699"/>
        <v>YUMA</v>
      </c>
      <c r="E7077" t="str">
        <f t="shared" si="2700"/>
        <v>AZ</v>
      </c>
      <c r="F7077" t="str">
        <f t="shared" si="2708"/>
        <v>853699114</v>
      </c>
      <c r="G7077" t="str">
        <f t="shared" si="2709"/>
        <v>AIRFIELD OPERATIONS</v>
      </c>
      <c r="H7077" t="str">
        <f>T("P O BOX 99114")</f>
        <v>P O BOX 99114</v>
      </c>
      <c r="I7077" t="str">
        <f t="shared" si="2701"/>
        <v>YUMA</v>
      </c>
      <c r="J7077" t="str">
        <f t="shared" si="2702"/>
        <v>AZ</v>
      </c>
      <c r="K7077" t="str">
        <f t="shared" si="2694"/>
        <v>000000000000000000</v>
      </c>
      <c r="L7077" t="str">
        <f>T("9282692323")</f>
        <v>9282692323</v>
      </c>
    </row>
    <row r="7078" spans="1:12" x14ac:dyDescent="0.35">
      <c r="A7078" t="str">
        <f t="shared" si="2698"/>
        <v>MCAS YUMA</v>
      </c>
      <c r="B7078" t="str">
        <f t="shared" si="2707"/>
        <v>PO BOX 99114</v>
      </c>
      <c r="C7078" t="str">
        <f t="shared" si="2695"/>
        <v/>
      </c>
      <c r="D7078" t="str">
        <f t="shared" si="2699"/>
        <v>YUMA</v>
      </c>
      <c r="E7078" t="str">
        <f t="shared" si="2700"/>
        <v>AZ</v>
      </c>
      <c r="F7078" t="str">
        <f t="shared" si="2708"/>
        <v>853699114</v>
      </c>
      <c r="G7078" t="str">
        <f t="shared" si="2709"/>
        <v>AIRFIELD OPERATIONS</v>
      </c>
      <c r="H7078" t="str">
        <f>T("P O BOX 99114")</f>
        <v>P O BOX 99114</v>
      </c>
      <c r="I7078" t="str">
        <f t="shared" si="2701"/>
        <v>YUMA</v>
      </c>
      <c r="J7078" t="str">
        <f t="shared" si="2702"/>
        <v>AZ</v>
      </c>
      <c r="K7078" t="str">
        <f t="shared" si="2694"/>
        <v>000000000000000000</v>
      </c>
      <c r="L7078" t="str">
        <f>T("9282692445")</f>
        <v>9282692445</v>
      </c>
    </row>
    <row r="7079" spans="1:12" x14ac:dyDescent="0.35">
      <c r="A7079" t="str">
        <f t="shared" si="2698"/>
        <v>MCAS YUMA</v>
      </c>
      <c r="B7079" t="str">
        <f t="shared" si="2707"/>
        <v>PO BOX 99114</v>
      </c>
      <c r="C7079" t="str">
        <f t="shared" si="2695"/>
        <v/>
      </c>
      <c r="D7079" t="str">
        <f t="shared" si="2699"/>
        <v>YUMA</v>
      </c>
      <c r="E7079" t="str">
        <f t="shared" si="2700"/>
        <v>AZ</v>
      </c>
      <c r="F7079" t="str">
        <f t="shared" si="2708"/>
        <v>853699114</v>
      </c>
      <c r="G7079" t="str">
        <f t="shared" si="2709"/>
        <v>AIRFIELD OPERATIONS</v>
      </c>
      <c r="H7079" t="str">
        <f>T("P O BOX 99114")</f>
        <v>P O BOX 99114</v>
      </c>
      <c r="I7079" t="str">
        <f t="shared" si="2701"/>
        <v>YUMA</v>
      </c>
      <c r="J7079" t="str">
        <f t="shared" si="2702"/>
        <v>AZ</v>
      </c>
      <c r="K7079" t="str">
        <f t="shared" si="2694"/>
        <v>000000000000000000</v>
      </c>
      <c r="L7079" t="str">
        <f>T("9282693600")</f>
        <v>9282693600</v>
      </c>
    </row>
    <row r="7080" spans="1:12" x14ac:dyDescent="0.35">
      <c r="A7080" t="str">
        <f t="shared" si="2698"/>
        <v>MCAS YUMA</v>
      </c>
      <c r="B7080" t="str">
        <f t="shared" si="2707"/>
        <v>PO BOX 99114</v>
      </c>
      <c r="C7080" t="str">
        <f t="shared" si="2695"/>
        <v/>
      </c>
      <c r="D7080" t="str">
        <f t="shared" si="2699"/>
        <v>YUMA</v>
      </c>
      <c r="E7080" t="str">
        <f t="shared" si="2700"/>
        <v>AZ</v>
      </c>
      <c r="F7080" t="str">
        <f t="shared" si="2708"/>
        <v>853699114</v>
      </c>
      <c r="G7080" t="str">
        <f t="shared" si="2709"/>
        <v>AIRFIELD OPERATIONS</v>
      </c>
      <c r="H7080" t="str">
        <f>T("P O BOX 99114")</f>
        <v>P O BOX 99114</v>
      </c>
      <c r="I7080" t="str">
        <f t="shared" si="2701"/>
        <v>YUMA</v>
      </c>
      <c r="J7080" t="str">
        <f t="shared" si="2702"/>
        <v>AZ</v>
      </c>
      <c r="K7080" t="str">
        <f t="shared" si="2694"/>
        <v>000000000000000000</v>
      </c>
      <c r="L7080" t="str">
        <f>T("9282696153")</f>
        <v>9282696153</v>
      </c>
    </row>
    <row r="7081" spans="1:12" x14ac:dyDescent="0.35">
      <c r="A7081" t="str">
        <f t="shared" si="2698"/>
        <v>MCAS YUMA</v>
      </c>
      <c r="B7081" t="str">
        <f t="shared" si="2707"/>
        <v>PO BOX 99114</v>
      </c>
      <c r="C7081" t="str">
        <f t="shared" si="2695"/>
        <v/>
      </c>
      <c r="D7081" t="str">
        <f t="shared" si="2699"/>
        <v>YUMA</v>
      </c>
      <c r="E7081" t="str">
        <f t="shared" si="2700"/>
        <v>AZ</v>
      </c>
      <c r="F7081" t="str">
        <f t="shared" si="2708"/>
        <v>853699114</v>
      </c>
      <c r="G7081" t="str">
        <f t="shared" si="2709"/>
        <v>AIRFIELD OPERATIONS</v>
      </c>
      <c r="H7081" t="str">
        <f>T("P O BOX 99114")</f>
        <v>P O BOX 99114</v>
      </c>
      <c r="I7081" t="str">
        <f t="shared" si="2701"/>
        <v>YUMA</v>
      </c>
      <c r="J7081" t="str">
        <f t="shared" si="2702"/>
        <v>AZ</v>
      </c>
      <c r="K7081" t="str">
        <f t="shared" si="2694"/>
        <v>000000000000000000</v>
      </c>
      <c r="L7081" t="str">
        <f>T("9282699464")</f>
        <v>9282699464</v>
      </c>
    </row>
    <row r="7082" spans="1:12" x14ac:dyDescent="0.35">
      <c r="A7082" t="str">
        <f t="shared" si="2698"/>
        <v>MCAS YUMA</v>
      </c>
      <c r="B7082" t="str">
        <f t="shared" si="2707"/>
        <v>PO BOX 99114</v>
      </c>
      <c r="C7082" t="str">
        <f t="shared" si="2695"/>
        <v/>
      </c>
      <c r="D7082" t="str">
        <f t="shared" si="2699"/>
        <v>YUMA</v>
      </c>
      <c r="E7082" t="str">
        <f t="shared" si="2700"/>
        <v>AZ</v>
      </c>
      <c r="F7082" t="str">
        <f t="shared" si="2708"/>
        <v>853699114</v>
      </c>
      <c r="G7082" t="str">
        <f>T("PO BOX 99114")</f>
        <v>PO BOX 99114</v>
      </c>
      <c r="H7082" t="str">
        <f>T("")</f>
        <v/>
      </c>
      <c r="I7082" t="str">
        <f t="shared" si="2701"/>
        <v>YUMA</v>
      </c>
      <c r="J7082" t="str">
        <f t="shared" si="2702"/>
        <v>AZ</v>
      </c>
      <c r="K7082" t="str">
        <f t="shared" si="2694"/>
        <v>000000000000000000</v>
      </c>
      <c r="L7082" t="str">
        <f>T("9282693327")</f>
        <v>9282693327</v>
      </c>
    </row>
    <row r="7083" spans="1:12" x14ac:dyDescent="0.35">
      <c r="A7083" t="str">
        <f t="shared" ref="A7083:A7116" si="2710">T("FHG")</f>
        <v>FHG</v>
      </c>
      <c r="B7083" t="str">
        <f>T("18650 NW 62ND AVE")</f>
        <v>18650 NW 62ND AVE</v>
      </c>
      <c r="C7083" t="str">
        <f t="shared" si="2695"/>
        <v/>
      </c>
      <c r="D7083" t="str">
        <f>T("HIALEAH")</f>
        <v>HIALEAH</v>
      </c>
      <c r="E7083" t="str">
        <f>T("FL")</f>
        <v>FL</v>
      </c>
      <c r="F7083" t="str">
        <f>T("330155003")</f>
        <v>330155003</v>
      </c>
      <c r="G7083" t="str">
        <f>T("18650 NW 62ND AVE")</f>
        <v>18650 NW 62ND AVE</v>
      </c>
      <c r="H7083" t="str">
        <f>T("")</f>
        <v/>
      </c>
      <c r="I7083" t="str">
        <f>T("HIALEAH")</f>
        <v>HIALEAH</v>
      </c>
      <c r="J7083" t="str">
        <f>T("FL")</f>
        <v>FL</v>
      </c>
      <c r="K7083" t="str">
        <f>T("3056285178")</f>
        <v>3056285178</v>
      </c>
      <c r="L7083" t="str">
        <f>T("3056285177")</f>
        <v>3056285177</v>
      </c>
    </row>
    <row r="7084" spans="1:12" x14ac:dyDescent="0.35">
      <c r="A7084" t="str">
        <f t="shared" si="2710"/>
        <v>FHG</v>
      </c>
      <c r="B7084" t="str">
        <f>T("18650 NW 62ND AVE")</f>
        <v>18650 NW 62ND AVE</v>
      </c>
      <c r="C7084" t="str">
        <f t="shared" si="2695"/>
        <v/>
      </c>
      <c r="D7084" t="str">
        <f>T("HIALEAH")</f>
        <v>HIALEAH</v>
      </c>
      <c r="E7084" t="str">
        <f>T("FL")</f>
        <v>FL</v>
      </c>
      <c r="F7084" t="str">
        <f>T("330155003")</f>
        <v>330155003</v>
      </c>
      <c r="G7084" t="str">
        <f>T("4TH CIVIL AFFAIRS GROUP")</f>
        <v>4TH CIVIL AFFAIRS GROUP</v>
      </c>
      <c r="H7084" t="str">
        <f>T("18650 NW 62ND AVE")</f>
        <v>18650 NW 62ND AVE</v>
      </c>
      <c r="I7084" t="str">
        <f>T("HIALEAH")</f>
        <v>HIALEAH</v>
      </c>
      <c r="J7084" t="str">
        <f>T("FL")</f>
        <v>FL</v>
      </c>
      <c r="K7084" t="str">
        <f>T("3056236877")</f>
        <v>3056236877</v>
      </c>
      <c r="L7084" t="str">
        <f>T("3056285173")</f>
        <v>3056285173</v>
      </c>
    </row>
    <row r="7085" spans="1:12" x14ac:dyDescent="0.35">
      <c r="A7085" t="str">
        <f t="shared" si="2710"/>
        <v>FHG</v>
      </c>
      <c r="B7085" t="str">
        <f>T("18650 NW 62ND AVE")</f>
        <v>18650 NW 62ND AVE</v>
      </c>
      <c r="C7085" t="str">
        <f t="shared" si="2695"/>
        <v/>
      </c>
      <c r="D7085" t="str">
        <f>T("HIALEAH")</f>
        <v>HIALEAH</v>
      </c>
      <c r="E7085" t="str">
        <f>T("FL")</f>
        <v>FL</v>
      </c>
      <c r="F7085" t="str">
        <f>T("330155003")</f>
        <v>330155003</v>
      </c>
      <c r="G7085" t="str">
        <f>T("4TH CIVIL AFFAIRS GROUP")</f>
        <v>4TH CIVIL AFFAIRS GROUP</v>
      </c>
      <c r="H7085" t="str">
        <f>T("18650 NW 62ND AVE")</f>
        <v>18650 NW 62ND AVE</v>
      </c>
      <c r="I7085" t="str">
        <f>T("HIALEAH")</f>
        <v>HIALEAH</v>
      </c>
      <c r="J7085" t="str">
        <f>T("FL")</f>
        <v>FL</v>
      </c>
      <c r="K7085" t="str">
        <f>T("3056285151186")</f>
        <v>3056285151186</v>
      </c>
      <c r="L7085" t="str">
        <f>T("3056285173")</f>
        <v>3056285173</v>
      </c>
    </row>
    <row r="7086" spans="1:12" x14ac:dyDescent="0.35">
      <c r="A7086" t="str">
        <f t="shared" si="2710"/>
        <v>FHG</v>
      </c>
      <c r="B7086" t="str">
        <f>T("6400 BLOOMINGTON RD")</f>
        <v>6400 BLOOMINGTON RD</v>
      </c>
      <c r="C7086" t="str">
        <f t="shared" si="2695"/>
        <v/>
      </c>
      <c r="D7086" t="str">
        <f>T("SAINT PAUL")</f>
        <v>SAINT PAUL</v>
      </c>
      <c r="E7086" t="str">
        <f>T("MN")</f>
        <v>MN</v>
      </c>
      <c r="F7086" t="str">
        <f>T("551114002")</f>
        <v>551114002</v>
      </c>
      <c r="G7086" t="str">
        <f>T("2936 SHERWOOD ST")</f>
        <v>2936 SHERWOOD ST</v>
      </c>
      <c r="H7086" t="str">
        <f>T("BLDG 1440")</f>
        <v>BLDG 1440</v>
      </c>
      <c r="I7086" t="str">
        <f>T("WPAFB")</f>
        <v>WPAFB</v>
      </c>
      <c r="J7086" t="str">
        <f>T("OH")</f>
        <v>OH</v>
      </c>
      <c r="K7086" t="str">
        <f>T("9372571116")</f>
        <v>9372571116</v>
      </c>
      <c r="L7086" t="str">
        <f>T("9372570157")</f>
        <v>9372570157</v>
      </c>
    </row>
    <row r="7087" spans="1:12" x14ac:dyDescent="0.35">
      <c r="A7087" t="str">
        <f t="shared" si="2710"/>
        <v>FHG</v>
      </c>
      <c r="B7087" t="str">
        <f>T("6400 BLOOMINGTON RD")</f>
        <v>6400 BLOOMINGTON RD</v>
      </c>
      <c r="C7087" t="str">
        <f t="shared" si="2695"/>
        <v/>
      </c>
      <c r="D7087" t="str">
        <f>T("SAINT PAUL")</f>
        <v>SAINT PAUL</v>
      </c>
      <c r="E7087" t="str">
        <f>T("MN")</f>
        <v>MN</v>
      </c>
      <c r="F7087" t="str">
        <f>T("551114002")</f>
        <v>551114002</v>
      </c>
      <c r="G7087" t="str">
        <f>T("6400 BLOOMINGTON RD")</f>
        <v>6400 BLOOMINGTON RD</v>
      </c>
      <c r="H7087" t="str">
        <f>T("")</f>
        <v/>
      </c>
      <c r="I7087" t="str">
        <f>T("SAINT PAUL")</f>
        <v>SAINT PAUL</v>
      </c>
      <c r="J7087" t="str">
        <f>T("MN")</f>
        <v>MN</v>
      </c>
      <c r="K7087" t="str">
        <f>T("6127261314")</f>
        <v>6127261314</v>
      </c>
      <c r="L7087" t="str">
        <f>T("6127261314")</f>
        <v>6127261314</v>
      </c>
    </row>
    <row r="7088" spans="1:12" x14ac:dyDescent="0.35">
      <c r="A7088" t="str">
        <f t="shared" si="2710"/>
        <v>FHG</v>
      </c>
      <c r="B7088" t="str">
        <f>T("6400 BLOOMINGTON RD")</f>
        <v>6400 BLOOMINGTON RD</v>
      </c>
      <c r="C7088" t="str">
        <f t="shared" si="2695"/>
        <v/>
      </c>
      <c r="D7088" t="str">
        <f>T("SAINT PAUL")</f>
        <v>SAINT PAUL</v>
      </c>
      <c r="E7088" t="str">
        <f>T("MN")</f>
        <v>MN</v>
      </c>
      <c r="F7088" t="str">
        <f>T("551114002")</f>
        <v>551114002</v>
      </c>
      <c r="G7088" t="str">
        <f>T("PCH LAW ENFORCEMENT BN")</f>
        <v>PCH LAW ENFORCEMENT BN</v>
      </c>
      <c r="H7088" t="str">
        <f>T("6400 BLOOMINGTON RD")</f>
        <v>6400 BLOOMINGTON RD</v>
      </c>
      <c r="I7088" t="str">
        <f>T("SAINT PAUL")</f>
        <v>SAINT PAUL</v>
      </c>
      <c r="J7088" t="str">
        <f>T("MN")</f>
        <v>MN</v>
      </c>
      <c r="K7088" t="str">
        <f>T("6127261313204")</f>
        <v>6127261313204</v>
      </c>
      <c r="L7088" t="str">
        <f>T("6127261313")</f>
        <v>6127261313</v>
      </c>
    </row>
    <row r="7089" spans="1:12" x14ac:dyDescent="0.35">
      <c r="A7089" t="str">
        <f t="shared" si="2710"/>
        <v>FHG</v>
      </c>
      <c r="B7089" t="str">
        <f>T("DPC/RSU WEST CPCA")</f>
        <v>DPC/RSU WEST CPCA</v>
      </c>
      <c r="C7089" t="str">
        <f>T("BOX 555111 RESERVE SUPPORT")</f>
        <v>BOX 555111 RESERVE SUPPORT</v>
      </c>
      <c r="D7089" t="str">
        <f>T("CMP PENDLETON")</f>
        <v>CMP PENDLETON</v>
      </c>
      <c r="E7089" t="str">
        <f>T("CA")</f>
        <v>CA</v>
      </c>
      <c r="F7089" t="str">
        <f>T("920555111")</f>
        <v>920555111</v>
      </c>
      <c r="G7089" t="str">
        <f>T("DPC/RSU WEST")</f>
        <v>DPC/RSU WEST</v>
      </c>
      <c r="H7089" t="str">
        <f>T("PO BOX 555111")</f>
        <v>PO BOX 555111</v>
      </c>
      <c r="I7089" t="str">
        <f>T("CAMP PENDLETON")</f>
        <v>CAMP PENDLETON</v>
      </c>
      <c r="J7089" t="str">
        <f>T("CA")</f>
        <v>CA</v>
      </c>
      <c r="K7089" t="str">
        <f>T("7607257552")</f>
        <v>7607257552</v>
      </c>
      <c r="L7089" t="str">
        <f>T("7607250829")</f>
        <v>7607250829</v>
      </c>
    </row>
    <row r="7090" spans="1:12" x14ac:dyDescent="0.35">
      <c r="A7090" t="str">
        <f t="shared" si="2710"/>
        <v>FHG</v>
      </c>
      <c r="B7090" t="str">
        <f>T("DPC/RSU WEST CPCA")</f>
        <v>DPC/RSU WEST CPCA</v>
      </c>
      <c r="C7090" t="str">
        <f>T("BOX 555111 RESERVE SUPPORT")</f>
        <v>BOX 555111 RESERVE SUPPORT</v>
      </c>
      <c r="D7090" t="str">
        <f>T("CMP PENDLETON")</f>
        <v>CMP PENDLETON</v>
      </c>
      <c r="E7090" t="str">
        <f>T("CA")</f>
        <v>CA</v>
      </c>
      <c r="F7090" t="str">
        <f>T("920555111")</f>
        <v>920555111</v>
      </c>
      <c r="G7090" t="str">
        <f>T("DPC/RSU WEST CPCA")</f>
        <v>DPC/RSU WEST CPCA</v>
      </c>
      <c r="H7090" t="str">
        <f>T("BOX 555111 RESERVE SUPPORT")</f>
        <v>BOX 555111 RESERVE SUPPORT</v>
      </c>
      <c r="I7090" t="str">
        <f>T("CMP PENDLETON")</f>
        <v>CMP PENDLETON</v>
      </c>
      <c r="J7090" t="str">
        <f>T("CA")</f>
        <v>CA</v>
      </c>
      <c r="K7090" t="str">
        <f>T("7607256954")</f>
        <v>7607256954</v>
      </c>
      <c r="L7090" t="str">
        <f>T("7607257229")</f>
        <v>7607257229</v>
      </c>
    </row>
    <row r="7091" spans="1:12" x14ac:dyDescent="0.35">
      <c r="A7091" t="str">
        <f t="shared" si="2710"/>
        <v>FHG</v>
      </c>
      <c r="B7091" t="str">
        <f>T("HQ FHG NOLA")</f>
        <v>HQ FHG NOLA</v>
      </c>
      <c r="C7091" t="str">
        <f>T("2000 OPELOUSAS AVE")</f>
        <v>2000 OPELOUSAS AVE</v>
      </c>
      <c r="D7091" t="str">
        <f>T("NEW ORLEANS")</f>
        <v>NEW ORLEANS</v>
      </c>
      <c r="E7091" t="str">
        <f>T("LA")</f>
        <v>LA</v>
      </c>
      <c r="F7091" t="str">
        <f>T("701141500")</f>
        <v>701141500</v>
      </c>
      <c r="G7091" t="str">
        <f>T("2000 OPELOUSAS AVE")</f>
        <v>2000 OPELOUSAS AVE</v>
      </c>
      <c r="H7091" t="str">
        <f>T("M20143 HQ FHG NOLA")</f>
        <v>M20143 HQ FHG NOLA</v>
      </c>
      <c r="I7091" t="str">
        <f>T("NEW ORLEANS")</f>
        <v>NEW ORLEANS</v>
      </c>
      <c r="J7091" t="str">
        <f>T("LA")</f>
        <v>LA</v>
      </c>
      <c r="K7091" t="str">
        <f>T("5046979752")</f>
        <v>5046979752</v>
      </c>
      <c r="L7091" t="str">
        <f>T("5046977426")</f>
        <v>5046977426</v>
      </c>
    </row>
    <row r="7092" spans="1:12" x14ac:dyDescent="0.35">
      <c r="A7092" t="str">
        <f t="shared" si="2710"/>
        <v>FHG</v>
      </c>
      <c r="B7092" t="str">
        <f>T("HQ FHG NOLA")</f>
        <v>HQ FHG NOLA</v>
      </c>
      <c r="C7092" t="str">
        <f>T("2000 OPELOUSAS AVE")</f>
        <v>2000 OPELOUSAS AVE</v>
      </c>
      <c r="D7092" t="str">
        <f>T("NEW ORLEANS")</f>
        <v>NEW ORLEANS</v>
      </c>
      <c r="E7092" t="str">
        <f>T("LA")</f>
        <v>LA</v>
      </c>
      <c r="F7092" t="str">
        <f>T("701141500")</f>
        <v>701141500</v>
      </c>
      <c r="G7092" t="str">
        <f>T("2000 OPELOUSAS AVE")</f>
        <v>2000 OPELOUSAS AVE</v>
      </c>
      <c r="H7092" t="str">
        <f>T("M20143 HQ FHG NOLA")</f>
        <v>M20143 HQ FHG NOLA</v>
      </c>
      <c r="I7092" t="str">
        <f>T("NEW ORLEANS")</f>
        <v>NEW ORLEANS</v>
      </c>
      <c r="J7092" t="str">
        <f>T("LA")</f>
        <v>LA</v>
      </c>
      <c r="K7092" t="str">
        <f>T("5046979752")</f>
        <v>5046979752</v>
      </c>
      <c r="L7092" t="str">
        <f>T("5046978657")</f>
        <v>5046978657</v>
      </c>
    </row>
    <row r="7093" spans="1:12" x14ac:dyDescent="0.35">
      <c r="A7093" t="str">
        <f t="shared" si="2710"/>
        <v>FHG</v>
      </c>
      <c r="B7093" t="str">
        <f>T("HQ FHG NOLA")</f>
        <v>HQ FHG NOLA</v>
      </c>
      <c r="C7093" t="str">
        <f>T("2000 OPELOUSAS AVE")</f>
        <v>2000 OPELOUSAS AVE</v>
      </c>
      <c r="D7093" t="str">
        <f>T("NEW ORLEANS")</f>
        <v>NEW ORLEANS</v>
      </c>
      <c r="E7093" t="str">
        <f>T("LA")</f>
        <v>LA</v>
      </c>
      <c r="F7093" t="str">
        <f>T("701141500")</f>
        <v>701141500</v>
      </c>
      <c r="G7093" t="str">
        <f>T("HQ FHG NOLA")</f>
        <v>HQ FHG NOLA</v>
      </c>
      <c r="H7093" t="str">
        <f>T("2000 OPELOUSAS AVE")</f>
        <v>2000 OPELOUSAS AVE</v>
      </c>
      <c r="I7093" t="str">
        <f>T("NEW ORLEANS")</f>
        <v>NEW ORLEANS</v>
      </c>
      <c r="J7093" t="str">
        <f>T("LA")</f>
        <v>LA</v>
      </c>
      <c r="K7093" t="str">
        <f>T("5046979752")</f>
        <v>5046979752</v>
      </c>
      <c r="L7093" t="str">
        <f>T("5046979625")</f>
        <v>5046979625</v>
      </c>
    </row>
    <row r="7094" spans="1:12" x14ac:dyDescent="0.35">
      <c r="A7094" t="str">
        <f t="shared" si="2710"/>
        <v>FHG</v>
      </c>
      <c r="B7094" t="str">
        <f>T("M20186 1ST CAG CPCA")</f>
        <v>M20186 1ST CAG CPCA</v>
      </c>
      <c r="C7094" t="str">
        <f>T("P O BOX 555123 BLDG 210822")</f>
        <v>P O BOX 555123 BLDG 210822</v>
      </c>
      <c r="D7094" t="str">
        <f>T("CAMP PENDLETON")</f>
        <v>CAMP PENDLETON</v>
      </c>
      <c r="E7094" t="str">
        <f>T("CA")</f>
        <v>CA</v>
      </c>
      <c r="F7094" t="str">
        <f>T("920555123")</f>
        <v>920555123</v>
      </c>
      <c r="G7094" t="str">
        <f>T("1ST CIVIL AFFAIRS GROUP")</f>
        <v>1ST CIVIL AFFAIRS GROUP</v>
      </c>
      <c r="H7094" t="str">
        <f>T("1ST CAG BLDG 210822")</f>
        <v>1ST CAG BLDG 210822</v>
      </c>
      <c r="I7094" t="str">
        <f>T("CAMP PENDLETON")</f>
        <v>CAMP PENDLETON</v>
      </c>
      <c r="J7094" t="str">
        <f>T("CA")</f>
        <v>CA</v>
      </c>
      <c r="K7094" t="str">
        <f>T("7607256006")</f>
        <v>7607256006</v>
      </c>
      <c r="L7094" t="str">
        <f>T("7607259636")</f>
        <v>7607259636</v>
      </c>
    </row>
    <row r="7095" spans="1:12" x14ac:dyDescent="0.35">
      <c r="A7095" t="str">
        <f t="shared" si="2710"/>
        <v>FHG</v>
      </c>
      <c r="B7095" t="str">
        <f>T("M20186 1ST CAG CPCA")</f>
        <v>M20186 1ST CAG CPCA</v>
      </c>
      <c r="C7095" t="str">
        <f>T("P O BOX 555123 BLDG 210822")</f>
        <v>P O BOX 555123 BLDG 210822</v>
      </c>
      <c r="D7095" t="str">
        <f>T("CAMP PENDLETON")</f>
        <v>CAMP PENDLETON</v>
      </c>
      <c r="E7095" t="str">
        <f>T("CA")</f>
        <v>CA</v>
      </c>
      <c r="F7095" t="str">
        <f>T("920555123")</f>
        <v>920555123</v>
      </c>
      <c r="G7095" t="str">
        <f>T("1ST CIVIL AFFAIRS GROUP")</f>
        <v>1ST CIVIL AFFAIRS GROUP</v>
      </c>
      <c r="H7095" t="str">
        <f>T("1ST CAG BLDG 210822")</f>
        <v>1ST CAG BLDG 210822</v>
      </c>
      <c r="I7095" t="str">
        <f>T("CAMP PENDLETON")</f>
        <v>CAMP PENDLETON</v>
      </c>
      <c r="J7095" t="str">
        <f>T("CA")</f>
        <v>CA</v>
      </c>
      <c r="K7095" t="str">
        <f>T("7607256006")</f>
        <v>7607256006</v>
      </c>
      <c r="L7095" t="str">
        <f>T("7607259683")</f>
        <v>7607259683</v>
      </c>
    </row>
    <row r="7096" spans="1:12" x14ac:dyDescent="0.35">
      <c r="A7096" t="str">
        <f t="shared" si="2710"/>
        <v>FHG</v>
      </c>
      <c r="B7096" t="str">
        <f>T("M20186 1ST CAG CPCA")</f>
        <v>M20186 1ST CAG CPCA</v>
      </c>
      <c r="C7096" t="str">
        <f>T("P O BOX 555123 BLDG 210822")</f>
        <v>P O BOX 555123 BLDG 210822</v>
      </c>
      <c r="D7096" t="str">
        <f>T("CAMP PENDLETON")</f>
        <v>CAMP PENDLETON</v>
      </c>
      <c r="E7096" t="str">
        <f>T("CA")</f>
        <v>CA</v>
      </c>
      <c r="F7096" t="str">
        <f>T("920555123")</f>
        <v>920555123</v>
      </c>
      <c r="G7096" t="str">
        <f>T("M20186 1ST CAG CPCA")</f>
        <v>M20186 1ST CAG CPCA</v>
      </c>
      <c r="H7096" t="str">
        <f>T("P O BOX 555123 BLDG 210822")</f>
        <v>P O BOX 555123 BLDG 210822</v>
      </c>
      <c r="I7096" t="str">
        <f>T("CAMP PENDLETON")</f>
        <v>CAMP PENDLETON</v>
      </c>
      <c r="J7096" t="str">
        <f>T("CA")</f>
        <v>CA</v>
      </c>
      <c r="K7096" t="str">
        <f>T("7607256006")</f>
        <v>7607256006</v>
      </c>
      <c r="L7096" t="str">
        <f>T("7607259680")</f>
        <v>7607259680</v>
      </c>
    </row>
    <row r="7097" spans="1:12" x14ac:dyDescent="0.35">
      <c r="A7097" t="str">
        <f t="shared" si="2710"/>
        <v>FHG</v>
      </c>
      <c r="B7097" t="str">
        <f>T("M20187 2ND CAG WADC")</f>
        <v>M20187 2ND CAG WADC</v>
      </c>
      <c r="C7097" t="str">
        <f>T("190 POREMBA CT NVL ANNEX 3155")</f>
        <v>190 POREMBA CT NVL ANNEX 3155</v>
      </c>
      <c r="D7097" t="str">
        <f>T("WASHINGTON")</f>
        <v>WASHINGTON</v>
      </c>
      <c r="E7097" t="str">
        <f>T("DC")</f>
        <v>DC</v>
      </c>
      <c r="F7097" t="str">
        <f>T("203730001")</f>
        <v>203730001</v>
      </c>
      <c r="G7097" t="str">
        <f>T("2ND CAG MFR")</f>
        <v>2ND CAG MFR</v>
      </c>
      <c r="H7097" t="str">
        <f>T("190 POREMBA CT SW BLDG 351")</f>
        <v>190 POREMBA CT SW BLDG 351</v>
      </c>
      <c r="I7097" t="str">
        <f>T("WASHINGTON")</f>
        <v>WASHINGTON</v>
      </c>
      <c r="J7097" t="str">
        <f>T("DC")</f>
        <v>DC</v>
      </c>
      <c r="K7097" t="str">
        <f>T("2024332350")</f>
        <v>2024332350</v>
      </c>
      <c r="L7097" t="str">
        <f>T("2024333019")</f>
        <v>2024333019</v>
      </c>
    </row>
    <row r="7098" spans="1:12" x14ac:dyDescent="0.35">
      <c r="A7098" t="str">
        <f t="shared" si="2710"/>
        <v>FHG</v>
      </c>
      <c r="B7098" t="str">
        <f>T("M20187 2ND CAG WADC")</f>
        <v>M20187 2ND CAG WADC</v>
      </c>
      <c r="C7098" t="str">
        <f>T("190 POREMBA CT NVL ANNEX 3155")</f>
        <v>190 POREMBA CT NVL ANNEX 3155</v>
      </c>
      <c r="D7098" t="str">
        <f>T("WASHINGTON")</f>
        <v>WASHINGTON</v>
      </c>
      <c r="E7098" t="str">
        <f>T("DC")</f>
        <v>DC</v>
      </c>
      <c r="F7098" t="str">
        <f>T("203730001")</f>
        <v>203730001</v>
      </c>
      <c r="G7098" t="str">
        <f>T("M20187 2ND CAG WADC")</f>
        <v>M20187 2ND CAG WADC</v>
      </c>
      <c r="H7098" t="str">
        <f>T("190 POREMBA CT NVL ANNEX 3155")</f>
        <v>190 POREMBA CT NVL ANNEX 3155</v>
      </c>
      <c r="I7098" t="str">
        <f>T("WASHINGTON")</f>
        <v>WASHINGTON</v>
      </c>
      <c r="J7098" t="str">
        <f>T("DC")</f>
        <v>DC</v>
      </c>
      <c r="K7098" t="str">
        <f>T("2024332497")</f>
        <v>2024332497</v>
      </c>
      <c r="L7098" t="str">
        <f>T("2024337536")</f>
        <v>2024337536</v>
      </c>
    </row>
    <row r="7099" spans="1:12" x14ac:dyDescent="0.35">
      <c r="A7099" t="str">
        <f t="shared" si="2710"/>
        <v>FHG</v>
      </c>
      <c r="B7099" t="str">
        <f>T("M20192 3RD CAG GLIL")</f>
        <v>M20192 3RD CAG GLIL</v>
      </c>
      <c r="C7099" t="str">
        <f>T("2205 DEPOT DR BLDG 3200")</f>
        <v>2205 DEPOT DR BLDG 3200</v>
      </c>
      <c r="D7099" t="str">
        <f>T("GREAT LAKES")</f>
        <v>GREAT LAKES</v>
      </c>
      <c r="E7099" t="str">
        <f>T("IL")</f>
        <v>IL</v>
      </c>
      <c r="F7099" t="str">
        <f>T("600883404")</f>
        <v>600883404</v>
      </c>
      <c r="G7099" t="str">
        <f>T("CH 3RD CAG")</f>
        <v>CH 3RD CAG</v>
      </c>
      <c r="H7099" t="str">
        <f>T("2205 DEPOT DR BLDG 3200")</f>
        <v>2205 DEPOT DR BLDG 3200</v>
      </c>
      <c r="I7099" t="str">
        <f>T("GREAT LAKES")</f>
        <v>GREAT LAKES</v>
      </c>
      <c r="J7099" t="str">
        <f>T("IL")</f>
        <v>IL</v>
      </c>
      <c r="K7099" t="str">
        <f>T("8476887129324")</f>
        <v>8476887129324</v>
      </c>
      <c r="L7099" t="str">
        <f>T("1111111111")</f>
        <v>1111111111</v>
      </c>
    </row>
    <row r="7100" spans="1:12" x14ac:dyDescent="0.35">
      <c r="A7100" t="str">
        <f t="shared" si="2710"/>
        <v>FHG</v>
      </c>
      <c r="B7100" t="str">
        <f>T("M20192 3RD CAG GLIL")</f>
        <v>M20192 3RD CAG GLIL</v>
      </c>
      <c r="C7100" t="str">
        <f>T("2205 DEPOT DR BLDG 3200")</f>
        <v>2205 DEPOT DR BLDG 3200</v>
      </c>
      <c r="D7100" t="str">
        <f>T("GREAT LAKES")</f>
        <v>GREAT LAKES</v>
      </c>
      <c r="E7100" t="str">
        <f>T("IL")</f>
        <v>IL</v>
      </c>
      <c r="F7100" t="str">
        <f>T("600883404")</f>
        <v>600883404</v>
      </c>
      <c r="G7100" t="str">
        <f>T("CH 3RD CAG")</f>
        <v>CH 3RD CAG</v>
      </c>
      <c r="H7100" t="str">
        <f>T("2205 DEPOT DR BLDG 3200")</f>
        <v>2205 DEPOT DR BLDG 3200</v>
      </c>
      <c r="I7100" t="str">
        <f>T("GREAT LAKES")</f>
        <v>GREAT LAKES</v>
      </c>
      <c r="J7100" t="str">
        <f>T("IL")</f>
        <v>IL</v>
      </c>
      <c r="K7100" t="str">
        <f>T("8476887129324")</f>
        <v>8476887129324</v>
      </c>
      <c r="L7100" t="str">
        <f>T("8476887129")</f>
        <v>8476887129</v>
      </c>
    </row>
    <row r="7101" spans="1:12" x14ac:dyDescent="0.35">
      <c r="A7101" t="str">
        <f t="shared" si="2710"/>
        <v>FHG</v>
      </c>
      <c r="B7101" t="str">
        <f>T("M20192 3RD CAG GLIL")</f>
        <v>M20192 3RD CAG GLIL</v>
      </c>
      <c r="C7101" t="str">
        <f>T("2205 DEPOT DR BLDG 3200")</f>
        <v>2205 DEPOT DR BLDG 3200</v>
      </c>
      <c r="D7101" t="str">
        <f>T("GREAT LAKES")</f>
        <v>GREAT LAKES</v>
      </c>
      <c r="E7101" t="str">
        <f>T("IL")</f>
        <v>IL</v>
      </c>
      <c r="F7101" t="str">
        <f>T("600883404")</f>
        <v>600883404</v>
      </c>
      <c r="G7101" t="str">
        <f>T("M20192 3RD CAG GLIL")</f>
        <v>M20192 3RD CAG GLIL</v>
      </c>
      <c r="H7101" t="str">
        <f>T("2205 DEPOT DR BLDG 3200")</f>
        <v>2205 DEPOT DR BLDG 3200</v>
      </c>
      <c r="I7101" t="str">
        <f>T("GREAT LAKES")</f>
        <v>GREAT LAKES</v>
      </c>
      <c r="J7101" t="str">
        <f>T("IL")</f>
        <v>IL</v>
      </c>
      <c r="K7101" t="str">
        <f>T("000000000000000000")</f>
        <v>000000000000000000</v>
      </c>
      <c r="L7101" t="str">
        <f>T("1111111111")</f>
        <v>1111111111</v>
      </c>
    </row>
    <row r="7102" spans="1:12" x14ac:dyDescent="0.35">
      <c r="A7102" t="str">
        <f t="shared" si="2710"/>
        <v>FHG</v>
      </c>
      <c r="B7102" t="str">
        <f>T("M21626 3RD ANGLICO BECA")</f>
        <v>M21626 3RD ANGLICO BECA</v>
      </c>
      <c r="C7102" t="str">
        <f>T("5631 RICKENBACKER RD")</f>
        <v>5631 RICKENBACKER RD</v>
      </c>
      <c r="D7102" t="str">
        <f>T("BELL")</f>
        <v>BELL</v>
      </c>
      <c r="E7102" t="str">
        <f>T("CA")</f>
        <v>CA</v>
      </c>
      <c r="F7102" t="str">
        <f>T("902016413")</f>
        <v>902016413</v>
      </c>
      <c r="G7102" t="str">
        <f>T("3RD ANGLICO")</f>
        <v>3RD ANGLICO</v>
      </c>
      <c r="H7102" t="str">
        <f>T("5631 RICKENBACKER RD")</f>
        <v>5631 RICKENBACKER RD</v>
      </c>
      <c r="I7102" t="str">
        <f>T("BELL")</f>
        <v>BELL</v>
      </c>
      <c r="J7102" t="str">
        <f>T("CA")</f>
        <v>CA</v>
      </c>
      <c r="K7102" t="str">
        <f>T("3239805123")</f>
        <v>3239805123</v>
      </c>
      <c r="L7102" t="str">
        <f>T("3239807253")</f>
        <v>3239807253</v>
      </c>
    </row>
    <row r="7103" spans="1:12" x14ac:dyDescent="0.35">
      <c r="A7103" t="str">
        <f t="shared" si="2710"/>
        <v>FHG</v>
      </c>
      <c r="B7103" t="str">
        <f>T("M21626 3RD ANGLICO BECA")</f>
        <v>M21626 3RD ANGLICO BECA</v>
      </c>
      <c r="C7103" t="str">
        <f>T("5631 RICKENBACKER RD")</f>
        <v>5631 RICKENBACKER RD</v>
      </c>
      <c r="D7103" t="str">
        <f>T("BELL")</f>
        <v>BELL</v>
      </c>
      <c r="E7103" t="str">
        <f>T("CA")</f>
        <v>CA</v>
      </c>
      <c r="F7103" t="str">
        <f>T("902016413")</f>
        <v>902016413</v>
      </c>
      <c r="G7103" t="str">
        <f>T("M21626 3RD ANGLICO BECA")</f>
        <v>M21626 3RD ANGLICO BECA</v>
      </c>
      <c r="H7103" t="str">
        <f>T("5631 RICKENBACKER RD")</f>
        <v>5631 RICKENBACKER RD</v>
      </c>
      <c r="I7103" t="str">
        <f>T("BELL")</f>
        <v>BELL</v>
      </c>
      <c r="J7103" t="str">
        <f>T("CA")</f>
        <v>CA</v>
      </c>
      <c r="K7103" t="str">
        <f>T("3239805123")</f>
        <v>3239805123</v>
      </c>
      <c r="L7103" t="str">
        <f>T("3239807249")</f>
        <v>3239807249</v>
      </c>
    </row>
    <row r="7104" spans="1:12" x14ac:dyDescent="0.35">
      <c r="A7104" t="str">
        <f t="shared" si="2710"/>
        <v>FHG</v>
      </c>
      <c r="B7104" t="str">
        <f>T("M21628 4TH ANGLICO WPBFL")</f>
        <v>M21628 4TH ANGLICO WPBFL</v>
      </c>
      <c r="C7104" t="str">
        <f>T("1226 MARINE DR")</f>
        <v>1226 MARINE DR</v>
      </c>
      <c r="D7104" t="str">
        <f>T("WEST PALM BCH")</f>
        <v>WEST PALM BCH</v>
      </c>
      <c r="E7104" t="str">
        <f>T("FL")</f>
        <v>FL</v>
      </c>
      <c r="F7104" t="str">
        <f>T("334096242")</f>
        <v>334096242</v>
      </c>
      <c r="G7104" t="str">
        <f>T("1226 MARINE DR")</f>
        <v>1226 MARINE DR</v>
      </c>
      <c r="H7104" t="str">
        <f>T("M21628 4TH ANGLICO/FHG/MFR")</f>
        <v>M21628 4TH ANGLICO/FHG/MFR</v>
      </c>
      <c r="I7104" t="str">
        <f>T("WEST PALM BEACH")</f>
        <v>WEST PALM BEACH</v>
      </c>
      <c r="J7104" t="str">
        <f>T("FL")</f>
        <v>FL</v>
      </c>
      <c r="K7104" t="str">
        <f>T("5616834443344")</f>
        <v>5616834443344</v>
      </c>
      <c r="L7104" t="str">
        <f>T("5618478413")</f>
        <v>5618478413</v>
      </c>
    </row>
    <row r="7105" spans="1:12" x14ac:dyDescent="0.35">
      <c r="A7105" t="str">
        <f t="shared" si="2710"/>
        <v>FHG</v>
      </c>
      <c r="B7105" t="str">
        <f>T("M21628 4TH ANGLICO WPBFL")</f>
        <v>M21628 4TH ANGLICO WPBFL</v>
      </c>
      <c r="C7105" t="str">
        <f>T("1226 MARINE DR")</f>
        <v>1226 MARINE DR</v>
      </c>
      <c r="D7105" t="str">
        <f>T("WEST PALM BCH")</f>
        <v>WEST PALM BCH</v>
      </c>
      <c r="E7105" t="str">
        <f>T("FL")</f>
        <v>FL</v>
      </c>
      <c r="F7105" t="str">
        <f>T("334096242")</f>
        <v>334096242</v>
      </c>
      <c r="G7105" t="str">
        <f>T("M21628 4TH ANGLICO WPBFL")</f>
        <v>M21628 4TH ANGLICO WPBFL</v>
      </c>
      <c r="H7105" t="str">
        <f>T("1226 MARINE DR")</f>
        <v>1226 MARINE DR</v>
      </c>
      <c r="I7105" t="str">
        <f>T("WEST PALM BCH")</f>
        <v>WEST PALM BCH</v>
      </c>
      <c r="J7105" t="str">
        <f>T("FL")</f>
        <v>FL</v>
      </c>
      <c r="K7105" t="str">
        <f>T("000000000000000000")</f>
        <v>000000000000000000</v>
      </c>
      <c r="L7105" t="str">
        <f>T("5618478414")</f>
        <v>5618478414</v>
      </c>
    </row>
    <row r="7106" spans="1:12" x14ac:dyDescent="0.35">
      <c r="A7106" t="str">
        <f t="shared" si="2710"/>
        <v>FHG</v>
      </c>
      <c r="B7106" t="str">
        <f>T("M21629 6TH ANGLICO COCA")</f>
        <v>M21629 6TH ANGLICO COCA</v>
      </c>
      <c r="C7106" t="str">
        <f>T("3225 WILLOW PASS ROAD")</f>
        <v>3225 WILLOW PASS ROAD</v>
      </c>
      <c r="D7106" t="str">
        <f>T("CONCORD")</f>
        <v>CONCORD</v>
      </c>
      <c r="E7106" t="str">
        <f>T("CA")</f>
        <v>CA</v>
      </c>
      <c r="F7106" t="str">
        <f>T("945190000")</f>
        <v>945190000</v>
      </c>
      <c r="G7106" t="str">
        <f>T("M21629 6TH ANGLICO COCA")</f>
        <v>M21629 6TH ANGLICO COCA</v>
      </c>
      <c r="H7106" t="str">
        <f>T("3225 WILLOW PASS RD")</f>
        <v>3225 WILLOW PASS RD</v>
      </c>
      <c r="I7106" t="str">
        <f>T("CONCORD")</f>
        <v>CONCORD</v>
      </c>
      <c r="J7106" t="str">
        <f>T("CA")</f>
        <v>CA</v>
      </c>
      <c r="K7106" t="str">
        <f>T("925825177518")</f>
        <v>925825177518</v>
      </c>
      <c r="L7106" t="str">
        <f>T("9258251775")</f>
        <v>9258251775</v>
      </c>
    </row>
    <row r="7107" spans="1:12" x14ac:dyDescent="0.35">
      <c r="A7107" t="str">
        <f t="shared" si="2710"/>
        <v>FHG</v>
      </c>
      <c r="B7107" t="str">
        <f>T("M21629 6TH ANGLICO COCA")</f>
        <v>M21629 6TH ANGLICO COCA</v>
      </c>
      <c r="C7107" t="str">
        <f>T("3225 WILLOW PASS ROAD")</f>
        <v>3225 WILLOW PASS ROAD</v>
      </c>
      <c r="D7107" t="str">
        <f>T("CONCORD")</f>
        <v>CONCORD</v>
      </c>
      <c r="E7107" t="str">
        <f>T("CA")</f>
        <v>CA</v>
      </c>
      <c r="F7107" t="str">
        <f>T("945190000")</f>
        <v>945190000</v>
      </c>
      <c r="G7107" t="str">
        <f>T("M21629 6TH ANGLICO COCA")</f>
        <v>M21629 6TH ANGLICO COCA</v>
      </c>
      <c r="H7107" t="str">
        <f>T("3225 WILLOW PASS ROAD")</f>
        <v>3225 WILLOW PASS ROAD</v>
      </c>
      <c r="I7107" t="str">
        <f>T("CONCORD")</f>
        <v>CONCORD</v>
      </c>
      <c r="J7107" t="str">
        <f>T("CA")</f>
        <v>CA</v>
      </c>
      <c r="K7107" t="str">
        <f>T("9258256735")</f>
        <v>9258256735</v>
      </c>
      <c r="L7107" t="str">
        <f>T("1111111111")</f>
        <v>1111111111</v>
      </c>
    </row>
    <row r="7108" spans="1:12" x14ac:dyDescent="0.35">
      <c r="A7108" t="str">
        <f t="shared" si="2710"/>
        <v>FHG</v>
      </c>
      <c r="B7108" t="str">
        <f>T("M21629 6TH ANGLICO COCA")</f>
        <v>M21629 6TH ANGLICO COCA</v>
      </c>
      <c r="C7108" t="str">
        <f>T("3225 WILLOW PASS ROAD")</f>
        <v>3225 WILLOW PASS ROAD</v>
      </c>
      <c r="D7108" t="str">
        <f>T("CONCORD")</f>
        <v>CONCORD</v>
      </c>
      <c r="E7108" t="str">
        <f>T("CA")</f>
        <v>CA</v>
      </c>
      <c r="F7108" t="str">
        <f>T("945190000")</f>
        <v>945190000</v>
      </c>
      <c r="G7108" t="str">
        <f>T("MS105 BOX 339500")</f>
        <v>MS105 BOX 339500</v>
      </c>
      <c r="H7108" t="str">
        <f>T("BLDG 9690 NORTH L STREET")</f>
        <v>BLDG 9690 NORTH L STREET</v>
      </c>
      <c r="I7108" t="str">
        <f>T("JOINT BASE LEWIS MCCHORD")</f>
        <v>JOINT BASE LEWIS MCCHORD</v>
      </c>
      <c r="J7108" t="str">
        <f>T("WA")</f>
        <v>WA</v>
      </c>
      <c r="K7108" t="str">
        <f>T("000000000000000000")</f>
        <v>000000000000000000</v>
      </c>
      <c r="L7108" t="str">
        <f>T("2539670277")</f>
        <v>2539670277</v>
      </c>
    </row>
    <row r="7109" spans="1:12" x14ac:dyDescent="0.35">
      <c r="A7109" t="str">
        <f t="shared" si="2710"/>
        <v>FHG</v>
      </c>
      <c r="B7109" t="str">
        <f>T("M96210 ISB NOLA")</f>
        <v>M96210 ISB NOLA</v>
      </c>
      <c r="C7109" t="str">
        <f>T("2000 OPELOUSAS AVE")</f>
        <v>2000 OPELOUSAS AVE</v>
      </c>
      <c r="D7109" t="str">
        <f>T("NEW ORLEANS")</f>
        <v>NEW ORLEANS</v>
      </c>
      <c r="E7109" t="str">
        <f>T("LA")</f>
        <v>LA</v>
      </c>
      <c r="F7109" t="str">
        <f>T("701141500")</f>
        <v>701141500</v>
      </c>
      <c r="G7109" t="str">
        <f>T("M96210 ISB NOLA")</f>
        <v>M96210 ISB NOLA</v>
      </c>
      <c r="H7109" t="str">
        <f>T("2000 OPELOUSAS AVE")</f>
        <v>2000 OPELOUSAS AVE</v>
      </c>
      <c r="I7109" t="str">
        <f>T("NEW ORLEANS")</f>
        <v>NEW ORLEANS</v>
      </c>
      <c r="J7109" t="str">
        <f>T("LA")</f>
        <v>LA</v>
      </c>
      <c r="K7109" t="str">
        <f>T("000000000000000000")</f>
        <v>000000000000000000</v>
      </c>
      <c r="L7109" t="str">
        <f>T("5046977236")</f>
        <v>5046977236</v>
      </c>
    </row>
    <row r="7110" spans="1:12" x14ac:dyDescent="0.35">
      <c r="A7110" t="str">
        <f t="shared" si="2710"/>
        <v>FHG</v>
      </c>
      <c r="B7110" t="str">
        <f>T("M96210 ISB NOLA")</f>
        <v>M96210 ISB NOLA</v>
      </c>
      <c r="C7110" t="str">
        <f>T("2000 OPELOUSAS AVE")</f>
        <v>2000 OPELOUSAS AVE</v>
      </c>
      <c r="D7110" t="str">
        <f>T("NEW ORLEANS")</f>
        <v>NEW ORLEANS</v>
      </c>
      <c r="E7110" t="str">
        <f>T("LA")</f>
        <v>LA</v>
      </c>
      <c r="F7110" t="str">
        <f>T("701141500")</f>
        <v>701141500</v>
      </c>
      <c r="G7110" t="str">
        <f>T("M96210 ISB NOLA")</f>
        <v>M96210 ISB NOLA</v>
      </c>
      <c r="H7110" t="str">
        <f>T("2000 OPELOUSAS AVE")</f>
        <v>2000 OPELOUSAS AVE</v>
      </c>
      <c r="I7110" t="str">
        <f>T("NEW ORLEANS")</f>
        <v>NEW ORLEANS</v>
      </c>
      <c r="J7110" t="str">
        <f>T("LA")</f>
        <v>LA</v>
      </c>
      <c r="K7110" t="str">
        <f>T("5046979755")</f>
        <v>5046979755</v>
      </c>
      <c r="L7110" t="str">
        <f>T("5046977202")</f>
        <v>5046977202</v>
      </c>
    </row>
    <row r="7111" spans="1:12" x14ac:dyDescent="0.35">
      <c r="A7111" t="str">
        <f t="shared" si="2710"/>
        <v>FHG</v>
      </c>
      <c r="B7111" t="str">
        <f>T("M96210 ISB NOLA")</f>
        <v>M96210 ISB NOLA</v>
      </c>
      <c r="C7111" t="str">
        <f>T("2000 OPELOUSAS AVE")</f>
        <v>2000 OPELOUSAS AVE</v>
      </c>
      <c r="D7111" t="str">
        <f>T("NEW ORLEANS")</f>
        <v>NEW ORLEANS</v>
      </c>
      <c r="E7111" t="str">
        <f>T("LA")</f>
        <v>LA</v>
      </c>
      <c r="F7111" t="str">
        <f>T("701141500")</f>
        <v>701141500</v>
      </c>
      <c r="G7111" t="str">
        <f>T("M96210/I-I INTEL SUPPORT BN")</f>
        <v>M96210/I-I INTEL SUPPORT BN</v>
      </c>
      <c r="H7111" t="str">
        <f>T("2000 OPELOUSAS AVE")</f>
        <v>2000 OPELOUSAS AVE</v>
      </c>
      <c r="I7111" t="str">
        <f>T("NEW ORLEANS")</f>
        <v>NEW ORLEANS</v>
      </c>
      <c r="J7111" t="str">
        <f>T("LA")</f>
        <v>LA</v>
      </c>
      <c r="K7111" t="str">
        <f>T("000000000000000000")</f>
        <v>000000000000000000</v>
      </c>
      <c r="L7111" t="str">
        <f>T("5045047281")</f>
        <v>5045047281</v>
      </c>
    </row>
    <row r="7112" spans="1:12" x14ac:dyDescent="0.35">
      <c r="A7112" t="str">
        <f t="shared" si="2710"/>
        <v>FHG</v>
      </c>
      <c r="B7112" t="str">
        <f>T("MFR FAC NOLA")</f>
        <v>MFR FAC NOLA</v>
      </c>
      <c r="C7112" t="str">
        <f>T("2000 OPELOUSAS AVE")</f>
        <v>2000 OPELOUSAS AVE</v>
      </c>
      <c r="D7112" t="str">
        <f>T("NEW ORLEANS")</f>
        <v>NEW ORLEANS</v>
      </c>
      <c r="E7112" t="str">
        <f>T("LA")</f>
        <v>LA</v>
      </c>
      <c r="F7112" t="str">
        <f>T("701141500")</f>
        <v>701141500</v>
      </c>
      <c r="G7112" t="str">
        <f>T("10 OUTER DR")</f>
        <v>10 OUTER DR</v>
      </c>
      <c r="H7112" t="str">
        <f>T("")</f>
        <v/>
      </c>
      <c r="I7112" t="str">
        <f>T("CHICOPEE")</f>
        <v>CHICOPEE</v>
      </c>
      <c r="J7112" t="str">
        <f>T("MA")</f>
        <v>MA</v>
      </c>
      <c r="K7112" t="str">
        <f>T("000000000000000000")</f>
        <v>000000000000000000</v>
      </c>
      <c r="L7112" t="str">
        <f>T("4133313336")</f>
        <v>4133313336</v>
      </c>
    </row>
    <row r="7113" spans="1:12" x14ac:dyDescent="0.35">
      <c r="A7113" t="str">
        <f t="shared" si="2710"/>
        <v>FHG</v>
      </c>
      <c r="B7113" t="str">
        <f>T("MFR FAC NOLA")</f>
        <v>MFR FAC NOLA</v>
      </c>
      <c r="C7113" t="str">
        <f>T("2000 OPELOUSAS AVE")</f>
        <v>2000 OPELOUSAS AVE</v>
      </c>
      <c r="D7113" t="str">
        <f>T("NEW ORLEANS")</f>
        <v>NEW ORLEANS</v>
      </c>
      <c r="E7113" t="str">
        <f>T("LA")</f>
        <v>LA</v>
      </c>
      <c r="F7113" t="str">
        <f>T("701141500")</f>
        <v>701141500</v>
      </c>
      <c r="G7113" t="str">
        <f>T("MFR FAC NOLA")</f>
        <v>MFR FAC NOLA</v>
      </c>
      <c r="H7113" t="str">
        <f>T("2000 OPELOUSAS AVE")</f>
        <v>2000 OPELOUSAS AVE</v>
      </c>
      <c r="I7113" t="str">
        <f>T("NEW ORLEANS")</f>
        <v>NEW ORLEANS</v>
      </c>
      <c r="J7113" t="str">
        <f>T("LA")</f>
        <v>LA</v>
      </c>
      <c r="K7113" t="str">
        <f>T("5046979739")</f>
        <v>5046979739</v>
      </c>
      <c r="L7113" t="str">
        <f>T("5046979853")</f>
        <v>5046979853</v>
      </c>
    </row>
    <row r="7114" spans="1:12" x14ac:dyDescent="0.35">
      <c r="A7114" t="str">
        <f t="shared" si="2710"/>
        <v>FHG</v>
      </c>
      <c r="B7114" t="str">
        <f>T("PSC BOX 20086")</f>
        <v>PSC BOX 20086</v>
      </c>
      <c r="C7114" t="str">
        <f>T("")</f>
        <v/>
      </c>
      <c r="D7114" t="str">
        <f>T("CAMP LEJEUNE")</f>
        <v>CAMP LEJEUNE</v>
      </c>
      <c r="E7114" t="str">
        <f>T("NC")</f>
        <v>NC</v>
      </c>
      <c r="F7114" t="str">
        <f>T("285420000")</f>
        <v>285420000</v>
      </c>
      <c r="G7114" t="str">
        <f>T("1403 DOGWOOD ST")</f>
        <v>1403 DOGWOOD ST</v>
      </c>
      <c r="H7114" t="str">
        <f>T("")</f>
        <v/>
      </c>
      <c r="I7114" t="str">
        <f>T("CAMP LEJEUNE")</f>
        <v>CAMP LEJEUNE</v>
      </c>
      <c r="J7114" t="str">
        <f>T("NC")</f>
        <v>NC</v>
      </c>
      <c r="K7114" t="str">
        <f>T("9104519302")</f>
        <v>9104519302</v>
      </c>
      <c r="L7114" t="str">
        <f>T("9104515389")</f>
        <v>9104515389</v>
      </c>
    </row>
    <row r="7115" spans="1:12" x14ac:dyDescent="0.35">
      <c r="A7115" t="str">
        <f t="shared" si="2710"/>
        <v>FHG</v>
      </c>
      <c r="B7115" t="str">
        <f>T("PSC BOX 20086")</f>
        <v>PSC BOX 20086</v>
      </c>
      <c r="C7115" t="str">
        <f>T("")</f>
        <v/>
      </c>
      <c r="D7115" t="str">
        <f>T("CAMP LEJEUNE")</f>
        <v>CAMP LEJEUNE</v>
      </c>
      <c r="E7115" t="str">
        <f>T("NC")</f>
        <v>NC</v>
      </c>
      <c r="F7115" t="str">
        <f>T("285420000")</f>
        <v>285420000</v>
      </c>
      <c r="G7115" t="str">
        <f>T("M93056 DPC/RSU SITE CLNC")</f>
        <v>M93056 DPC/RSU SITE CLNC</v>
      </c>
      <c r="H7115" t="str">
        <f>T("1403 DOGWOOD ST")</f>
        <v>1403 DOGWOOD ST</v>
      </c>
      <c r="I7115" t="str">
        <f>T("CAMP LEJEUNE")</f>
        <v>CAMP LEJEUNE</v>
      </c>
      <c r="J7115" t="str">
        <f>T("NC")</f>
        <v>NC</v>
      </c>
      <c r="K7115" t="str">
        <f>T("000000000000000000")</f>
        <v>000000000000000000</v>
      </c>
      <c r="L7115" t="str">
        <f>T("9104509133")</f>
        <v>9104509133</v>
      </c>
    </row>
    <row r="7116" spans="1:12" x14ac:dyDescent="0.35">
      <c r="A7116" t="str">
        <f t="shared" si="2710"/>
        <v>FHG</v>
      </c>
      <c r="B7116" t="str">
        <f>T("PSC BOX 20086")</f>
        <v>PSC BOX 20086</v>
      </c>
      <c r="C7116" t="str">
        <f>T("")</f>
        <v/>
      </c>
      <c r="D7116" t="str">
        <f>T("CAMP LEJEUNE")</f>
        <v>CAMP LEJEUNE</v>
      </c>
      <c r="E7116" t="str">
        <f>T("NC")</f>
        <v>NC</v>
      </c>
      <c r="F7116" t="str">
        <f>T("285420000")</f>
        <v>285420000</v>
      </c>
      <c r="G7116" t="str">
        <f>T("PSC BOX 20086")</f>
        <v>PSC BOX 20086</v>
      </c>
      <c r="H7116" t="str">
        <f>T("")</f>
        <v/>
      </c>
      <c r="I7116" t="str">
        <f>T("CAMP LEJEUNE")</f>
        <v>CAMP LEJEUNE</v>
      </c>
      <c r="J7116" t="str">
        <f>T("NC")</f>
        <v>NC</v>
      </c>
      <c r="K7116" t="str">
        <f>T("9105415649")</f>
        <v>9105415649</v>
      </c>
      <c r="L7116" t="str">
        <f>T("9104509133")</f>
        <v>9104509133</v>
      </c>
    </row>
    <row r="7117" spans="1:12" x14ac:dyDescent="0.35">
      <c r="A7117" t="str">
        <f t="shared" ref="A7117:A7148" si="2711">T("MFR")</f>
        <v>MFR</v>
      </c>
      <c r="B7117" t="str">
        <f>T("AAO MFR G6")</f>
        <v>AAO MFR G6</v>
      </c>
      <c r="C7117" t="str">
        <f>T("2000 OPELOUSAS AVE")</f>
        <v>2000 OPELOUSAS AVE</v>
      </c>
      <c r="D7117" t="str">
        <f>T("NEW ORLEANS")</f>
        <v>NEW ORLEANS</v>
      </c>
      <c r="E7117" t="str">
        <f>T("LA")</f>
        <v>LA</v>
      </c>
      <c r="F7117" t="str">
        <f>T("701141500")</f>
        <v>701141500</v>
      </c>
      <c r="G7117" t="str">
        <f>T("AAO MFR G6")</f>
        <v>AAO MFR G6</v>
      </c>
      <c r="H7117" t="str">
        <f>T("2000 OPELOUSAS AVE")</f>
        <v>2000 OPELOUSAS AVE</v>
      </c>
      <c r="I7117" t="str">
        <f>T("NEW ORLEANS")</f>
        <v>NEW ORLEANS</v>
      </c>
      <c r="J7117" t="str">
        <f>T("LA")</f>
        <v>LA</v>
      </c>
      <c r="K7117" t="str">
        <f>T("")</f>
        <v/>
      </c>
      <c r="L7117" t="str">
        <f>T("5046977687")</f>
        <v>5046977687</v>
      </c>
    </row>
    <row r="7118" spans="1:12" x14ac:dyDescent="0.35">
      <c r="A7118" t="str">
        <f t="shared" si="2711"/>
        <v>MFR</v>
      </c>
      <c r="B7118" t="str">
        <f>T("AAO MFR G6")</f>
        <v>AAO MFR G6</v>
      </c>
      <c r="C7118" t="str">
        <f>T("2000 OPELOUSAS AVE")</f>
        <v>2000 OPELOUSAS AVE</v>
      </c>
      <c r="D7118" t="str">
        <f>T("NEW ORLEANS")</f>
        <v>NEW ORLEANS</v>
      </c>
      <c r="E7118" t="str">
        <f>T("LA")</f>
        <v>LA</v>
      </c>
      <c r="F7118" t="str">
        <f>T("701141500")</f>
        <v>701141500</v>
      </c>
      <c r="G7118" t="str">
        <f>T("MFR HQ G6")</f>
        <v>MFR HQ G6</v>
      </c>
      <c r="H7118" t="str">
        <f>T("2000 OPELOUSAS AVE")</f>
        <v>2000 OPELOUSAS AVE</v>
      </c>
      <c r="I7118" t="str">
        <f>T("NEW ORLEANS")</f>
        <v>NEW ORLEANS</v>
      </c>
      <c r="J7118" t="str">
        <f>T("LA")</f>
        <v>LA</v>
      </c>
      <c r="K7118" t="str">
        <f>T("000000000000000000")</f>
        <v>000000000000000000</v>
      </c>
      <c r="L7118" t="str">
        <f>T("5046978650")</f>
        <v>5046978650</v>
      </c>
    </row>
    <row r="7119" spans="1:12" x14ac:dyDescent="0.35">
      <c r="A7119" t="str">
        <f t="shared" si="2711"/>
        <v>MFR</v>
      </c>
      <c r="B7119" t="str">
        <f>T("AO 1CAG")</f>
        <v>AO 1CAG</v>
      </c>
      <c r="C7119" t="str">
        <f>T("BOX 555123 BLDG 210822")</f>
        <v>BOX 555123 BLDG 210822</v>
      </c>
      <c r="D7119" t="str">
        <f>T("CAMP PENDLETON")</f>
        <v>CAMP PENDLETON</v>
      </c>
      <c r="E7119" t="str">
        <f>T("CA")</f>
        <v>CA</v>
      </c>
      <c r="F7119" t="str">
        <f>T("920555123")</f>
        <v>920555123</v>
      </c>
      <c r="G7119" t="str">
        <f>T("AO 1CAG")</f>
        <v>AO 1CAG</v>
      </c>
      <c r="H7119" t="str">
        <f>T("BOX 555123 BLDG 210822")</f>
        <v>BOX 555123 BLDG 210822</v>
      </c>
      <c r="I7119" t="str">
        <f>T("CAMP PENDLETON")</f>
        <v>CAMP PENDLETON</v>
      </c>
      <c r="J7119" t="str">
        <f>T("CA")</f>
        <v>CA</v>
      </c>
      <c r="K7119" t="str">
        <f>T("")</f>
        <v/>
      </c>
      <c r="L7119" t="str">
        <f>T("7607259668")</f>
        <v>7607259668</v>
      </c>
    </row>
    <row r="7120" spans="1:12" x14ac:dyDescent="0.35">
      <c r="A7120" t="str">
        <f t="shared" si="2711"/>
        <v>MFR</v>
      </c>
      <c r="B7120" t="str">
        <f>T("AO MAR AVI DET")</f>
        <v>AO MAR AVI DET</v>
      </c>
      <c r="C7120" t="str">
        <f>T("1 ADMINISTRATION CIRCLE MS1317")</f>
        <v>1 ADMINISTRATION CIRCLE MS1317</v>
      </c>
      <c r="D7120" t="str">
        <f>T("RIDGECREST")</f>
        <v>RIDGECREST</v>
      </c>
      <c r="E7120" t="str">
        <f>T("CA")</f>
        <v>CA</v>
      </c>
      <c r="F7120" t="str">
        <f>T("935556104")</f>
        <v>935556104</v>
      </c>
      <c r="G7120" t="str">
        <f>T("AO MAR AVI DET")</f>
        <v>AO MAR AVI DET</v>
      </c>
      <c r="H7120" t="str">
        <f>T("1 ADMINISTRATION CIRCLE BLDG 670")</f>
        <v>1 ADMINISTRATION CIRCLE BLDG 670</v>
      </c>
      <c r="I7120" t="str">
        <f>T("RIDGECREST")</f>
        <v>RIDGECREST</v>
      </c>
      <c r="J7120" t="str">
        <f>T("CA")</f>
        <v>CA</v>
      </c>
      <c r="K7120" t="str">
        <f>T("7609393262")</f>
        <v>7609393262</v>
      </c>
      <c r="L7120" t="str">
        <f>T("7609398098")</f>
        <v>7609398098</v>
      </c>
    </row>
    <row r="7121" spans="1:12" x14ac:dyDescent="0.35">
      <c r="A7121" t="str">
        <f t="shared" si="2711"/>
        <v>MFR</v>
      </c>
      <c r="B7121" t="str">
        <f>T("AO MAR AVI DET")</f>
        <v>AO MAR AVI DET</v>
      </c>
      <c r="C7121" t="str">
        <f>T("1 ADMINISTRATION CIRCLE MS1317")</f>
        <v>1 ADMINISTRATION CIRCLE MS1317</v>
      </c>
      <c r="D7121" t="str">
        <f>T("RIDGECREST")</f>
        <v>RIDGECREST</v>
      </c>
      <c r="E7121" t="str">
        <f>T("CA")</f>
        <v>CA</v>
      </c>
      <c r="F7121" t="str">
        <f>T("935556104")</f>
        <v>935556104</v>
      </c>
      <c r="G7121" t="str">
        <f>T("AO MAR AVI DET")</f>
        <v>AO MAR AVI DET</v>
      </c>
      <c r="H7121" t="str">
        <f>T("1 ADMINISTRATION CIRCLE MS1317")</f>
        <v>1 ADMINISTRATION CIRCLE MS1317</v>
      </c>
      <c r="I7121" t="str">
        <f>T("RIDGECREST")</f>
        <v>RIDGECREST</v>
      </c>
      <c r="J7121" t="str">
        <f>T("CA")</f>
        <v>CA</v>
      </c>
      <c r="K7121" t="str">
        <f>T("")</f>
        <v/>
      </c>
      <c r="L7121" t="str">
        <f>T("7609398092")</f>
        <v>7609398092</v>
      </c>
    </row>
    <row r="7122" spans="1:12" x14ac:dyDescent="0.35">
      <c r="A7122" t="str">
        <f t="shared" si="2711"/>
        <v>MFR</v>
      </c>
      <c r="B7122" t="str">
        <f>T("AO MATSG 53 NASWI")</f>
        <v>AO MATSG 53 NASWI</v>
      </c>
      <c r="C7122" t="str">
        <f>T("1170 WEST LEXINGTON ST")</f>
        <v>1170 WEST LEXINGTON ST</v>
      </c>
      <c r="D7122" t="str">
        <f>T("OAK HARBOR")</f>
        <v>OAK HARBOR</v>
      </c>
      <c r="E7122" t="str">
        <f>T("WA")</f>
        <v>WA</v>
      </c>
      <c r="F7122" t="str">
        <f>T("982784920")</f>
        <v>982784920</v>
      </c>
      <c r="G7122" t="str">
        <f>T("AO MATSG 53 NASWI")</f>
        <v>AO MATSG 53 NASWI</v>
      </c>
      <c r="H7122" t="str">
        <f>T("1170 WEST LEXINGTON ST")</f>
        <v>1170 WEST LEXINGTON ST</v>
      </c>
      <c r="I7122" t="str">
        <f>T("OAK HARBOR")</f>
        <v>OAK HARBOR</v>
      </c>
      <c r="J7122" t="str">
        <f>T("WA")</f>
        <v>WA</v>
      </c>
      <c r="K7122" t="str">
        <f>T("")</f>
        <v/>
      </c>
      <c r="L7122" t="str">
        <f>T("3602572740")</f>
        <v>3602572740</v>
      </c>
    </row>
    <row r="7123" spans="1:12" x14ac:dyDescent="0.35">
      <c r="A7123" t="str">
        <f t="shared" si="2711"/>
        <v>MFR</v>
      </c>
      <c r="B7123" t="str">
        <f>T("AO MATSG-22")</f>
        <v>AO MATSG-22</v>
      </c>
      <c r="C7123" t="str">
        <f>T("320 FIFTH ST SE SUITE 200")</f>
        <v>320 FIFTH ST SE SUITE 200</v>
      </c>
      <c r="D7123" t="str">
        <f>T("CORPUS CHRISTI")</f>
        <v>CORPUS CHRISTI</v>
      </c>
      <c r="E7123" t="str">
        <f>T("TX")</f>
        <v>TX</v>
      </c>
      <c r="F7123" t="str">
        <f>T("784195006")</f>
        <v>784195006</v>
      </c>
      <c r="G7123" t="str">
        <f>T("AO MATSG-22")</f>
        <v>AO MATSG-22</v>
      </c>
      <c r="H7123" t="str">
        <f>T("320 FIFTH ST SE SUITE 200")</f>
        <v>320 FIFTH ST SE SUITE 200</v>
      </c>
      <c r="I7123" t="str">
        <f>T("CORPUS CHRISTI")</f>
        <v>CORPUS CHRISTI</v>
      </c>
      <c r="J7123" t="str">
        <f>T("TX")</f>
        <v>TX</v>
      </c>
      <c r="K7123" t="str">
        <f>T("")</f>
        <v/>
      </c>
      <c r="L7123" t="str">
        <f>T("3619611305")</f>
        <v>3619611305</v>
      </c>
    </row>
    <row r="7124" spans="1:12" x14ac:dyDescent="0.35">
      <c r="A7124" t="str">
        <f t="shared" si="2711"/>
        <v>MFR</v>
      </c>
      <c r="B7124" t="str">
        <f>T("AO MATSG-22")</f>
        <v>AO MATSG-22</v>
      </c>
      <c r="C7124" t="str">
        <f>T("320 FIFTH ST SE SUITE 200")</f>
        <v>320 FIFTH ST SE SUITE 200</v>
      </c>
      <c r="D7124" t="str">
        <f>T("CORPUS CHRISTI")</f>
        <v>CORPUS CHRISTI</v>
      </c>
      <c r="E7124" t="str">
        <f>T("TX")</f>
        <v>TX</v>
      </c>
      <c r="F7124" t="str">
        <f>T("784195006")</f>
        <v>784195006</v>
      </c>
      <c r="G7124" t="str">
        <f>T("CH MATSG-22")</f>
        <v>CH MATSG-22</v>
      </c>
      <c r="H7124" t="str">
        <f>T("320 5TH SE SUITE 200")</f>
        <v>320 5TH SE SUITE 200</v>
      </c>
      <c r="I7124" t="str">
        <f>T("NAS CORPUS CHRISTI")</f>
        <v>NAS CORPUS CHRISTI</v>
      </c>
      <c r="J7124" t="str">
        <f>T("TX")</f>
        <v>TX</v>
      </c>
      <c r="K7124" t="str">
        <f>T("000000000000000000")</f>
        <v>000000000000000000</v>
      </c>
      <c r="L7124" t="str">
        <f>T("3619611310")</f>
        <v>3619611310</v>
      </c>
    </row>
    <row r="7125" spans="1:12" x14ac:dyDescent="0.35">
      <c r="A7125" t="str">
        <f t="shared" si="2711"/>
        <v>MFR</v>
      </c>
      <c r="B7125" t="str">
        <f>T("AO MATSG-22")</f>
        <v>AO MATSG-22</v>
      </c>
      <c r="C7125" t="str">
        <f>T("320 FIFTH ST SE SUITE 200")</f>
        <v>320 FIFTH ST SE SUITE 200</v>
      </c>
      <c r="D7125" t="str">
        <f>T("CORPUS CHRISTI")</f>
        <v>CORPUS CHRISTI</v>
      </c>
      <c r="E7125" t="str">
        <f>T("TX")</f>
        <v>TX</v>
      </c>
      <c r="F7125" t="str">
        <f>T("784195006")</f>
        <v>784195006</v>
      </c>
      <c r="G7125" t="str">
        <f>T("CH MATSG-22")</f>
        <v>CH MATSG-22</v>
      </c>
      <c r="H7125" t="str">
        <f>T("320 5TH ST SE SUITE 200")</f>
        <v>320 5TH ST SE SUITE 200</v>
      </c>
      <c r="I7125" t="str">
        <f>T("NAS CORPUS CHRISTI")</f>
        <v>NAS CORPUS CHRISTI</v>
      </c>
      <c r="J7125" t="str">
        <f>T("TX")</f>
        <v>TX</v>
      </c>
      <c r="K7125" t="str">
        <f>T("000000000000000000")</f>
        <v>000000000000000000</v>
      </c>
      <c r="L7125" t="str">
        <f>T("3619611310")</f>
        <v>3619611310</v>
      </c>
    </row>
    <row r="7126" spans="1:12" x14ac:dyDescent="0.35">
      <c r="A7126" t="str">
        <f t="shared" si="2711"/>
        <v>MFR</v>
      </c>
      <c r="B7126" t="str">
        <f>T("AO MATSG-22")</f>
        <v>AO MATSG-22</v>
      </c>
      <c r="C7126" t="str">
        <f>T("320 FIFTH ST SE SUITE 200")</f>
        <v>320 FIFTH ST SE SUITE 200</v>
      </c>
      <c r="D7126" t="str">
        <f>T("CORPUS CHRISTI")</f>
        <v>CORPUS CHRISTI</v>
      </c>
      <c r="E7126" t="str">
        <f>T("TX")</f>
        <v>TX</v>
      </c>
      <c r="F7126" t="str">
        <f>T("784195006")</f>
        <v>784195006</v>
      </c>
      <c r="G7126" t="str">
        <f>T("CH MATSG-22")</f>
        <v>CH MATSG-22</v>
      </c>
      <c r="H7126" t="str">
        <f>T("320 5TH ST SE SUITE 200")</f>
        <v>320 5TH ST SE SUITE 200</v>
      </c>
      <c r="I7126" t="str">
        <f>T("NAS CORPUS CHRISTI")</f>
        <v>NAS CORPUS CHRISTI</v>
      </c>
      <c r="J7126" t="str">
        <f>T("TX")</f>
        <v>TX</v>
      </c>
      <c r="K7126" t="str">
        <f>T("000000000000000000")</f>
        <v>000000000000000000</v>
      </c>
      <c r="L7126" t="str">
        <f>T("3619611416")</f>
        <v>3619611416</v>
      </c>
    </row>
    <row r="7127" spans="1:12" x14ac:dyDescent="0.35">
      <c r="A7127" t="str">
        <f t="shared" si="2711"/>
        <v>MFR</v>
      </c>
      <c r="B7127" t="str">
        <f>T("AO MFR BAND")</f>
        <v>AO MFR BAND</v>
      </c>
      <c r="C7127" t="str">
        <f>T("2000 OPELOUSAS AVE")</f>
        <v>2000 OPELOUSAS AVE</v>
      </c>
      <c r="D7127" t="str">
        <f t="shared" ref="D7127:D7137" si="2712">T("NEW ORLEANS")</f>
        <v>NEW ORLEANS</v>
      </c>
      <c r="E7127" t="str">
        <f t="shared" ref="E7127:E7137" si="2713">T("LA")</f>
        <v>LA</v>
      </c>
      <c r="F7127" t="str">
        <f t="shared" ref="F7127:F7137" si="2714">T("701141500")</f>
        <v>701141500</v>
      </c>
      <c r="G7127" t="str">
        <f>T("AO MFR BAND")</f>
        <v>AO MFR BAND</v>
      </c>
      <c r="H7127" t="str">
        <f>T("2000 OPELOUSAS AVE")</f>
        <v>2000 OPELOUSAS AVE</v>
      </c>
      <c r="I7127" t="str">
        <f t="shared" ref="I7127:I7137" si="2715">T("NEW ORLEANS")</f>
        <v>NEW ORLEANS</v>
      </c>
      <c r="J7127" t="str">
        <f t="shared" ref="J7127:J7137" si="2716">T("LA")</f>
        <v>LA</v>
      </c>
      <c r="K7127" t="str">
        <f>T("5046979907")</f>
        <v>5046979907</v>
      </c>
      <c r="L7127" t="str">
        <f>T("5046977828")</f>
        <v>5046977828</v>
      </c>
    </row>
    <row r="7128" spans="1:12" x14ac:dyDescent="0.35">
      <c r="A7128" t="str">
        <f t="shared" si="2711"/>
        <v>MFR</v>
      </c>
      <c r="B7128" t="str">
        <f>T("AO MFR BAND")</f>
        <v>AO MFR BAND</v>
      </c>
      <c r="C7128" t="str">
        <f>T("2000 OPELOUSAS AVE")</f>
        <v>2000 OPELOUSAS AVE</v>
      </c>
      <c r="D7128" t="str">
        <f t="shared" si="2712"/>
        <v>NEW ORLEANS</v>
      </c>
      <c r="E7128" t="str">
        <f t="shared" si="2713"/>
        <v>LA</v>
      </c>
      <c r="F7128" t="str">
        <f t="shared" si="2714"/>
        <v>701141500</v>
      </c>
      <c r="G7128" t="str">
        <f>T("PCH MFR HQ MC BAND")</f>
        <v>PCH MFR HQ MC BAND</v>
      </c>
      <c r="H7128" t="str">
        <f>T("2000 OPELOUSAS AVE")</f>
        <v>2000 OPELOUSAS AVE</v>
      </c>
      <c r="I7128" t="str">
        <f t="shared" si="2715"/>
        <v>NEW ORLEANS</v>
      </c>
      <c r="J7128" t="str">
        <f t="shared" si="2716"/>
        <v>LA</v>
      </c>
      <c r="K7128" t="str">
        <f>T("5046979907")</f>
        <v>5046979907</v>
      </c>
      <c r="L7128" t="str">
        <f>T("5046977840")</f>
        <v>5046977840</v>
      </c>
    </row>
    <row r="7129" spans="1:12" x14ac:dyDescent="0.35">
      <c r="A7129" t="str">
        <f t="shared" si="2711"/>
        <v>MFR</v>
      </c>
      <c r="B7129" t="str">
        <f>T("AO MFR HQ SEC SAFETY")</f>
        <v>AO MFR HQ SEC SAFETY</v>
      </c>
      <c r="C7129" t="str">
        <f>T("BLDG 1 2000OPELOUSAS AVE")</f>
        <v>BLDG 1 2000OPELOUSAS AVE</v>
      </c>
      <c r="D7129" t="str">
        <f t="shared" si="2712"/>
        <v>NEW ORLEANS</v>
      </c>
      <c r="E7129" t="str">
        <f t="shared" si="2713"/>
        <v>LA</v>
      </c>
      <c r="F7129" t="str">
        <f t="shared" si="2714"/>
        <v>701141500</v>
      </c>
      <c r="G7129" t="str">
        <f>T("AO MFR HQ SEC SAFETY")</f>
        <v>AO MFR HQ SEC SAFETY</v>
      </c>
      <c r="H7129" t="str">
        <f>T("BLDG 1 2000OPELOUSAS AVE")</f>
        <v>BLDG 1 2000OPELOUSAS AVE</v>
      </c>
      <c r="I7129" t="str">
        <f t="shared" si="2715"/>
        <v>NEW ORLEANS</v>
      </c>
      <c r="J7129" t="str">
        <f t="shared" si="2716"/>
        <v>LA</v>
      </c>
      <c r="K7129" t="str">
        <f>T("5046786823")</f>
        <v>5046786823</v>
      </c>
      <c r="L7129" t="str">
        <f>T("5046979853")</f>
        <v>5046979853</v>
      </c>
    </row>
    <row r="7130" spans="1:12" x14ac:dyDescent="0.35">
      <c r="A7130" t="str">
        <f t="shared" si="2711"/>
        <v>MFR</v>
      </c>
      <c r="B7130" t="str">
        <f>T("AO MFR HQ SEC SAFETY")</f>
        <v>AO MFR HQ SEC SAFETY</v>
      </c>
      <c r="C7130" t="str">
        <f>T("BLDG 1 2000OPELOUSAS AVE")</f>
        <v>BLDG 1 2000OPELOUSAS AVE</v>
      </c>
      <c r="D7130" t="str">
        <f t="shared" si="2712"/>
        <v>NEW ORLEANS</v>
      </c>
      <c r="E7130" t="str">
        <f t="shared" si="2713"/>
        <v>LA</v>
      </c>
      <c r="F7130" t="str">
        <f t="shared" si="2714"/>
        <v>701141500</v>
      </c>
      <c r="G7130" t="str">
        <f>T("PCH SAFETY HQSA MFR")</f>
        <v>PCH SAFETY HQSA MFR</v>
      </c>
      <c r="H7130" t="str">
        <f t="shared" ref="H7130:H7137" si="2717">T("2000 OPELOUSAS AVE")</f>
        <v>2000 OPELOUSAS AVE</v>
      </c>
      <c r="I7130" t="str">
        <f t="shared" si="2715"/>
        <v>NEW ORLEANS</v>
      </c>
      <c r="J7130" t="str">
        <f t="shared" si="2716"/>
        <v>LA</v>
      </c>
      <c r="K7130" t="str">
        <f>T("000000000000000000")</f>
        <v>000000000000000000</v>
      </c>
      <c r="L7130" t="str">
        <f>T("5046978157")</f>
        <v>5046978157</v>
      </c>
    </row>
    <row r="7131" spans="1:12" x14ac:dyDescent="0.35">
      <c r="A7131" t="str">
        <f t="shared" si="2711"/>
        <v>MFR</v>
      </c>
      <c r="B7131" t="str">
        <f>T("AO MFR HQ SEC SAFETY")</f>
        <v>AO MFR HQ SEC SAFETY</v>
      </c>
      <c r="C7131" t="str">
        <f>T("BLDG 1 2000OPELOUSAS AVE")</f>
        <v>BLDG 1 2000OPELOUSAS AVE</v>
      </c>
      <c r="D7131" t="str">
        <f t="shared" si="2712"/>
        <v>NEW ORLEANS</v>
      </c>
      <c r="E7131" t="str">
        <f t="shared" si="2713"/>
        <v>LA</v>
      </c>
      <c r="F7131" t="str">
        <f t="shared" si="2714"/>
        <v>701141500</v>
      </c>
      <c r="G7131" t="str">
        <f>T("PCH SAFETY HQSA MFR")</f>
        <v>PCH SAFETY HQSA MFR</v>
      </c>
      <c r="H7131" t="str">
        <f t="shared" si="2717"/>
        <v>2000 OPELOUSAS AVE</v>
      </c>
      <c r="I7131" t="str">
        <f t="shared" si="2715"/>
        <v>NEW ORLEANS</v>
      </c>
      <c r="J7131" t="str">
        <f t="shared" si="2716"/>
        <v>LA</v>
      </c>
      <c r="K7131" t="str">
        <f>T("000000000000000000")</f>
        <v>000000000000000000</v>
      </c>
      <c r="L7131" t="str">
        <f>T("5046978167")</f>
        <v>5046978167</v>
      </c>
    </row>
    <row r="7132" spans="1:12" x14ac:dyDescent="0.35">
      <c r="A7132" t="str">
        <f t="shared" si="2711"/>
        <v>MFR</v>
      </c>
      <c r="B7132" t="str">
        <f>T("AO MFR MCCS NOLA")</f>
        <v>AO MFR MCCS NOLA</v>
      </c>
      <c r="C7132" t="str">
        <f t="shared" ref="C7132:C7137" si="2718">T("2000 OPELOUSAS AVE")</f>
        <v>2000 OPELOUSAS AVE</v>
      </c>
      <c r="D7132" t="str">
        <f t="shared" si="2712"/>
        <v>NEW ORLEANS</v>
      </c>
      <c r="E7132" t="str">
        <f t="shared" si="2713"/>
        <v>LA</v>
      </c>
      <c r="F7132" t="str">
        <f t="shared" si="2714"/>
        <v>701141500</v>
      </c>
      <c r="G7132" t="str">
        <f>T("AO MFR MCCS NOLA")</f>
        <v>AO MFR MCCS NOLA</v>
      </c>
      <c r="H7132" t="str">
        <f t="shared" si="2717"/>
        <v>2000 OPELOUSAS AVE</v>
      </c>
      <c r="I7132" t="str">
        <f t="shared" si="2715"/>
        <v>NEW ORLEANS</v>
      </c>
      <c r="J7132" t="str">
        <f t="shared" si="2716"/>
        <v>LA</v>
      </c>
      <c r="K7132" t="str">
        <f>T("5046979742")</f>
        <v>5046979742</v>
      </c>
      <c r="L7132" t="str">
        <f>T("5046978132")</f>
        <v>5046978132</v>
      </c>
    </row>
    <row r="7133" spans="1:12" x14ac:dyDescent="0.35">
      <c r="A7133" t="str">
        <f t="shared" si="2711"/>
        <v>MFR</v>
      </c>
      <c r="B7133" t="str">
        <f>T("AO MFR MCCS NOLA")</f>
        <v>AO MFR MCCS NOLA</v>
      </c>
      <c r="C7133" t="str">
        <f t="shared" si="2718"/>
        <v>2000 OPELOUSAS AVE</v>
      </c>
      <c r="D7133" t="str">
        <f t="shared" si="2712"/>
        <v>NEW ORLEANS</v>
      </c>
      <c r="E7133" t="str">
        <f t="shared" si="2713"/>
        <v>LA</v>
      </c>
      <c r="F7133" t="str">
        <f t="shared" si="2714"/>
        <v>701141500</v>
      </c>
      <c r="G7133" t="str">
        <f>T("MFR HQ MCCS MWR")</f>
        <v>MFR HQ MCCS MWR</v>
      </c>
      <c r="H7133" t="str">
        <f t="shared" si="2717"/>
        <v>2000 OPELOUSAS AVE</v>
      </c>
      <c r="I7133" t="str">
        <f t="shared" si="2715"/>
        <v>NEW ORLEANS</v>
      </c>
      <c r="J7133" t="str">
        <f t="shared" si="2716"/>
        <v>LA</v>
      </c>
      <c r="K7133" t="str">
        <f>T("5046781082")</f>
        <v>5046781082</v>
      </c>
      <c r="L7133" t="str">
        <f>T("5046979691")</f>
        <v>5046979691</v>
      </c>
    </row>
    <row r="7134" spans="1:12" x14ac:dyDescent="0.35">
      <c r="A7134" t="str">
        <f t="shared" si="2711"/>
        <v>MFR</v>
      </c>
      <c r="B7134" t="str">
        <f>T("AO MFR MCCS NOLA")</f>
        <v>AO MFR MCCS NOLA</v>
      </c>
      <c r="C7134" t="str">
        <f t="shared" si="2718"/>
        <v>2000 OPELOUSAS AVE</v>
      </c>
      <c r="D7134" t="str">
        <f t="shared" si="2712"/>
        <v>NEW ORLEANS</v>
      </c>
      <c r="E7134" t="str">
        <f t="shared" si="2713"/>
        <v>LA</v>
      </c>
      <c r="F7134" t="str">
        <f t="shared" si="2714"/>
        <v>701141500</v>
      </c>
      <c r="G7134" t="str">
        <f>T("MFR HQ MCCS NOLA")</f>
        <v>MFR HQ MCCS NOLA</v>
      </c>
      <c r="H7134" t="str">
        <f t="shared" si="2717"/>
        <v>2000 OPELOUSAS AVE</v>
      </c>
      <c r="I7134" t="str">
        <f t="shared" si="2715"/>
        <v>NEW ORLEANS</v>
      </c>
      <c r="J7134" t="str">
        <f t="shared" si="2716"/>
        <v>LA</v>
      </c>
      <c r="K7134" t="str">
        <f>T("5046781082")</f>
        <v>5046781082</v>
      </c>
      <c r="L7134" t="str">
        <f>T("5046978105")</f>
        <v>5046978105</v>
      </c>
    </row>
    <row r="7135" spans="1:12" x14ac:dyDescent="0.35">
      <c r="A7135" t="str">
        <f t="shared" si="2711"/>
        <v>MFR</v>
      </c>
      <c r="B7135" t="str">
        <f>T("AO MFR SUPPLY")</f>
        <v>AO MFR SUPPLY</v>
      </c>
      <c r="C7135" t="str">
        <f t="shared" si="2718"/>
        <v>2000 OPELOUSAS AVE</v>
      </c>
      <c r="D7135" t="str">
        <f t="shared" si="2712"/>
        <v>NEW ORLEANS</v>
      </c>
      <c r="E7135" t="str">
        <f t="shared" si="2713"/>
        <v>LA</v>
      </c>
      <c r="F7135" t="str">
        <f t="shared" si="2714"/>
        <v>701141500</v>
      </c>
      <c r="G7135" t="str">
        <f>T("AO MFR SUPPLY")</f>
        <v>AO MFR SUPPLY</v>
      </c>
      <c r="H7135" t="str">
        <f t="shared" si="2717"/>
        <v>2000 OPELOUSAS AVE</v>
      </c>
      <c r="I7135" t="str">
        <f t="shared" si="2715"/>
        <v>NEW ORLEANS</v>
      </c>
      <c r="J7135" t="str">
        <f t="shared" si="2716"/>
        <v>LA</v>
      </c>
      <c r="K7135" t="str">
        <f>T("")</f>
        <v/>
      </c>
      <c r="L7135" t="str">
        <f>T("5046978080")</f>
        <v>5046978080</v>
      </c>
    </row>
    <row r="7136" spans="1:12" x14ac:dyDescent="0.35">
      <c r="A7136" t="str">
        <f t="shared" si="2711"/>
        <v>MFR</v>
      </c>
      <c r="B7136" t="str">
        <f>T("AO MFR SUPPLY")</f>
        <v>AO MFR SUPPLY</v>
      </c>
      <c r="C7136" t="str">
        <f t="shared" si="2718"/>
        <v>2000 OPELOUSAS AVE</v>
      </c>
      <c r="D7136" t="str">
        <f t="shared" si="2712"/>
        <v>NEW ORLEANS</v>
      </c>
      <c r="E7136" t="str">
        <f t="shared" si="2713"/>
        <v>LA</v>
      </c>
      <c r="F7136" t="str">
        <f t="shared" si="2714"/>
        <v>701141500</v>
      </c>
      <c r="G7136" t="str">
        <f>T("PCH MFR HQ BN SUPPLY")</f>
        <v>PCH MFR HQ BN SUPPLY</v>
      </c>
      <c r="H7136" t="str">
        <f t="shared" si="2717"/>
        <v>2000 OPELOUSAS AVE</v>
      </c>
      <c r="I7136" t="str">
        <f t="shared" si="2715"/>
        <v>NEW ORLEANS</v>
      </c>
      <c r="J7136" t="str">
        <f t="shared" si="2716"/>
        <v>LA</v>
      </c>
      <c r="K7136" t="str">
        <f>T("5046979915")</f>
        <v>5046979915</v>
      </c>
      <c r="L7136" t="str">
        <f>T("5046978019")</f>
        <v>5046978019</v>
      </c>
    </row>
    <row r="7137" spans="1:12" x14ac:dyDescent="0.35">
      <c r="A7137" t="str">
        <f t="shared" si="2711"/>
        <v>MFR</v>
      </c>
      <c r="B7137" t="str">
        <f>T("AO MFR SUPPLY")</f>
        <v>AO MFR SUPPLY</v>
      </c>
      <c r="C7137" t="str">
        <f t="shared" si="2718"/>
        <v>2000 OPELOUSAS AVE</v>
      </c>
      <c r="D7137" t="str">
        <f t="shared" si="2712"/>
        <v>NEW ORLEANS</v>
      </c>
      <c r="E7137" t="str">
        <f t="shared" si="2713"/>
        <v>LA</v>
      </c>
      <c r="F7137" t="str">
        <f t="shared" si="2714"/>
        <v>701141500</v>
      </c>
      <c r="G7137" t="str">
        <f>T("PCH MFR HQ BN SUPPLY")</f>
        <v>PCH MFR HQ BN SUPPLY</v>
      </c>
      <c r="H7137" t="str">
        <f t="shared" si="2717"/>
        <v>2000 OPELOUSAS AVE</v>
      </c>
      <c r="I7137" t="str">
        <f t="shared" si="2715"/>
        <v>NEW ORLEANS</v>
      </c>
      <c r="J7137" t="str">
        <f t="shared" si="2716"/>
        <v>LA</v>
      </c>
      <c r="K7137" t="str">
        <f>T("5046979915")</f>
        <v>5046979915</v>
      </c>
      <c r="L7137" t="str">
        <f>T("5046978045")</f>
        <v>5046978045</v>
      </c>
    </row>
    <row r="7138" spans="1:12" x14ac:dyDescent="0.35">
      <c r="A7138" t="str">
        <f t="shared" si="2711"/>
        <v>MFR</v>
      </c>
      <c r="B7138" t="str">
        <f t="shared" ref="B7138:B7144" si="2719">T("COMBAT LOGISTICS BN 453")</f>
        <v>COMBAT LOGISTICS BN 453</v>
      </c>
      <c r="C7138" t="str">
        <f t="shared" ref="C7138:C7144" si="2720">T("7 N SNOWMASS STOP 61 BAFB")</f>
        <v>7 N SNOWMASS STOP 61 BAFB</v>
      </c>
      <c r="D7138" t="str">
        <f t="shared" ref="D7138:D7144" si="2721">T("AURORA")</f>
        <v>AURORA</v>
      </c>
      <c r="E7138" t="str">
        <f t="shared" ref="E7138:E7144" si="2722">T("CO")</f>
        <v>CO</v>
      </c>
      <c r="F7138" t="str">
        <f t="shared" ref="F7138:F7144" si="2723">T("800119544")</f>
        <v>800119544</v>
      </c>
      <c r="G7138" t="str">
        <f t="shared" ref="G7138:G7144" si="2724">T("COMBAT LOGISTICS BN 453")</f>
        <v>COMBAT LOGISTICS BN 453</v>
      </c>
      <c r="H7138" t="str">
        <f>T("2100 NORTH NEW ROAD")</f>
        <v>2100 NORTH NEW ROAD</v>
      </c>
      <c r="I7138" t="str">
        <f>T("WACO")</f>
        <v>WACO</v>
      </c>
      <c r="J7138" t="str">
        <f>T("TX")</f>
        <v>TX</v>
      </c>
      <c r="K7138" t="str">
        <f>T("25477255413014")</f>
        <v>25477255413014</v>
      </c>
      <c r="L7138" t="str">
        <f>T("1111111111")</f>
        <v>1111111111</v>
      </c>
    </row>
    <row r="7139" spans="1:12" x14ac:dyDescent="0.35">
      <c r="A7139" t="str">
        <f t="shared" si="2711"/>
        <v>MFR</v>
      </c>
      <c r="B7139" t="str">
        <f t="shared" si="2719"/>
        <v>COMBAT LOGISTICS BN 453</v>
      </c>
      <c r="C7139" t="str">
        <f t="shared" si="2720"/>
        <v>7 N SNOWMASS STOP 61 BAFB</v>
      </c>
      <c r="D7139" t="str">
        <f t="shared" si="2721"/>
        <v>AURORA</v>
      </c>
      <c r="E7139" t="str">
        <f t="shared" si="2722"/>
        <v>CO</v>
      </c>
      <c r="F7139" t="str">
        <f t="shared" si="2723"/>
        <v>800119544</v>
      </c>
      <c r="G7139" t="str">
        <f t="shared" si="2724"/>
        <v>COMBAT LOGISTICS BN 453</v>
      </c>
      <c r="H7139" t="str">
        <f>T("301 E REGIS ST SUITE 1137")</f>
        <v>301 E REGIS ST SUITE 1137</v>
      </c>
      <c r="I7139" t="str">
        <f>T("LUBBOCK")</f>
        <v>LUBBOCK</v>
      </c>
      <c r="J7139" t="str">
        <f>T("TX")</f>
        <v>TX</v>
      </c>
      <c r="K7139" t="str">
        <f>T("8067632853231")</f>
        <v>8067632853231</v>
      </c>
      <c r="L7139" t="str">
        <f>T("1111111111")</f>
        <v>1111111111</v>
      </c>
    </row>
    <row r="7140" spans="1:12" x14ac:dyDescent="0.35">
      <c r="A7140" t="str">
        <f t="shared" si="2711"/>
        <v>MFR</v>
      </c>
      <c r="B7140" t="str">
        <f t="shared" si="2719"/>
        <v>COMBAT LOGISTICS BN 453</v>
      </c>
      <c r="C7140" t="str">
        <f t="shared" si="2720"/>
        <v>7 N SNOWMASS STOP 61 BAFB</v>
      </c>
      <c r="D7140" t="str">
        <f t="shared" si="2721"/>
        <v>AURORA</v>
      </c>
      <c r="E7140" t="str">
        <f t="shared" si="2722"/>
        <v>CO</v>
      </c>
      <c r="F7140" t="str">
        <f t="shared" si="2723"/>
        <v>800119544</v>
      </c>
      <c r="G7140" t="str">
        <f t="shared" si="2724"/>
        <v>COMBAT LOGISTICS BN 453</v>
      </c>
      <c r="H7140" t="str">
        <f>T("3026 GEORGE WASHINGTON BLVD")</f>
        <v>3026 GEORGE WASHINGTON BLVD</v>
      </c>
      <c r="I7140" t="str">
        <f>T("WICHITA")</f>
        <v>WICHITA</v>
      </c>
      <c r="J7140" t="str">
        <f>T("KS")</f>
        <v>KS</v>
      </c>
      <c r="K7140" t="str">
        <f>T("31668232522811")</f>
        <v>31668232522811</v>
      </c>
      <c r="L7140" t="str">
        <f>T("1111111111")</f>
        <v>1111111111</v>
      </c>
    </row>
    <row r="7141" spans="1:12" x14ac:dyDescent="0.35">
      <c r="A7141" t="str">
        <f t="shared" si="2711"/>
        <v>MFR</v>
      </c>
      <c r="B7141" t="str">
        <f t="shared" si="2719"/>
        <v>COMBAT LOGISTICS BN 453</v>
      </c>
      <c r="C7141" t="str">
        <f t="shared" si="2720"/>
        <v>7 N SNOWMASS STOP 61 BAFB</v>
      </c>
      <c r="D7141" t="str">
        <f t="shared" si="2721"/>
        <v>AURORA</v>
      </c>
      <c r="E7141" t="str">
        <f t="shared" si="2722"/>
        <v>CO</v>
      </c>
      <c r="F7141" t="str">
        <f t="shared" si="2723"/>
        <v>800119544</v>
      </c>
      <c r="G7141" t="str">
        <f t="shared" si="2724"/>
        <v>COMBAT LOGISTICS BN 453</v>
      </c>
      <c r="H7141" t="str">
        <f>T("7 N SNOWMASS STOP 61 BAFB")</f>
        <v>7 N SNOWMASS STOP 61 BAFB</v>
      </c>
      <c r="I7141" t="str">
        <f>T("AURORA")</f>
        <v>AURORA</v>
      </c>
      <c r="J7141" t="str">
        <f>T("CO")</f>
        <v>CO</v>
      </c>
      <c r="K7141" t="str">
        <f>T("")</f>
        <v/>
      </c>
      <c r="L7141" t="str">
        <f>T("7208476265")</f>
        <v>7208476265</v>
      </c>
    </row>
    <row r="7142" spans="1:12" x14ac:dyDescent="0.35">
      <c r="A7142" t="str">
        <f t="shared" si="2711"/>
        <v>MFR</v>
      </c>
      <c r="B7142" t="str">
        <f t="shared" si="2719"/>
        <v>COMBAT LOGISTICS BN 453</v>
      </c>
      <c r="C7142" t="str">
        <f t="shared" si="2720"/>
        <v>7 N SNOWMASS STOP 61 BAFB</v>
      </c>
      <c r="D7142" t="str">
        <f t="shared" si="2721"/>
        <v>AURORA</v>
      </c>
      <c r="E7142" t="str">
        <f t="shared" si="2722"/>
        <v>CO</v>
      </c>
      <c r="F7142" t="str">
        <f t="shared" si="2723"/>
        <v>800119544</v>
      </c>
      <c r="G7142" t="str">
        <f t="shared" si="2724"/>
        <v>COMBAT LOGISTICS BN 453</v>
      </c>
      <c r="H7142" t="str">
        <f>T("7 NORTH SNOWMASS STOP 61 BLDG 1301")</f>
        <v>7 NORTH SNOWMASS STOP 61 BLDG 1301</v>
      </c>
      <c r="I7142" t="str">
        <f>T("AURORA")</f>
        <v>AURORA</v>
      </c>
      <c r="J7142" t="str">
        <f>T("CO")</f>
        <v>CO</v>
      </c>
      <c r="K7142" t="str">
        <f>T("7208466338")</f>
        <v>7208466338</v>
      </c>
      <c r="L7142" t="str">
        <f>T("7208476265")</f>
        <v>7208476265</v>
      </c>
    </row>
    <row r="7143" spans="1:12" x14ac:dyDescent="0.35">
      <c r="A7143" t="str">
        <f t="shared" si="2711"/>
        <v>MFR</v>
      </c>
      <c r="B7143" t="str">
        <f t="shared" si="2719"/>
        <v>COMBAT LOGISTICS BN 453</v>
      </c>
      <c r="C7143" t="str">
        <f t="shared" si="2720"/>
        <v>7 N SNOWMASS STOP 61 BAFB</v>
      </c>
      <c r="D7143" t="str">
        <f t="shared" si="2721"/>
        <v>AURORA</v>
      </c>
      <c r="E7143" t="str">
        <f t="shared" si="2722"/>
        <v>CO</v>
      </c>
      <c r="F7143" t="str">
        <f t="shared" si="2723"/>
        <v>800119544</v>
      </c>
      <c r="G7143" t="str">
        <f t="shared" si="2724"/>
        <v>COMBAT LOGISTICS BN 453</v>
      </c>
      <c r="H7143" t="str">
        <f>T("7 NORTH SNOWMASS STOP 61 BLDG 1301")</f>
        <v>7 NORTH SNOWMASS STOP 61 BLDG 1301</v>
      </c>
      <c r="I7143" t="str">
        <f>T("AURORA")</f>
        <v>AURORA</v>
      </c>
      <c r="J7143" t="str">
        <f>T("CO")</f>
        <v>CO</v>
      </c>
      <c r="K7143" t="str">
        <f>T("7208466338")</f>
        <v>7208466338</v>
      </c>
      <c r="L7143" t="str">
        <f>T("7208477839")</f>
        <v>7208477839</v>
      </c>
    </row>
    <row r="7144" spans="1:12" x14ac:dyDescent="0.35">
      <c r="A7144" t="str">
        <f t="shared" si="2711"/>
        <v>MFR</v>
      </c>
      <c r="B7144" t="str">
        <f t="shared" si="2719"/>
        <v>COMBAT LOGISTICS BN 453</v>
      </c>
      <c r="C7144" t="str">
        <f t="shared" si="2720"/>
        <v>7 N SNOWMASS STOP 61 BAFB</v>
      </c>
      <c r="D7144" t="str">
        <f t="shared" si="2721"/>
        <v>AURORA</v>
      </c>
      <c r="E7144" t="str">
        <f t="shared" si="2722"/>
        <v>CO</v>
      </c>
      <c r="F7144" t="str">
        <f t="shared" si="2723"/>
        <v>800119544</v>
      </c>
      <c r="G7144" t="str">
        <f t="shared" si="2724"/>
        <v>COMBAT LOGISTICS BN 453</v>
      </c>
      <c r="H7144" t="str">
        <f>T("901 EAST MISSION ST")</f>
        <v>901 EAST MISSION ST</v>
      </c>
      <c r="I7144" t="str">
        <f>T("SAN JOSE")</f>
        <v>SAN JOSE</v>
      </c>
      <c r="J7144" t="str">
        <f>T("CA")</f>
        <v>CA</v>
      </c>
      <c r="K7144" t="str">
        <f>T("4082866501211")</f>
        <v>4082866501211</v>
      </c>
      <c r="L7144" t="str">
        <f>T("1111111111")</f>
        <v>1111111111</v>
      </c>
    </row>
    <row r="7145" spans="1:12" x14ac:dyDescent="0.35">
      <c r="A7145" t="str">
        <f t="shared" si="2711"/>
        <v>MFR</v>
      </c>
      <c r="B7145" t="str">
        <f>T("M26381 HQPA CC NOLA")</f>
        <v>M26381 HQPA CC NOLA</v>
      </c>
      <c r="C7145" t="str">
        <f>T("2000 OPELOUSAS AVE")</f>
        <v>2000 OPELOUSAS AVE</v>
      </c>
      <c r="D7145" t="str">
        <f>T("NEW ORLEANS")</f>
        <v>NEW ORLEANS</v>
      </c>
      <c r="E7145" t="str">
        <f>T("LA")</f>
        <v>LA</v>
      </c>
      <c r="F7145" t="str">
        <f>T("701141500")</f>
        <v>701141500</v>
      </c>
      <c r="G7145" t="str">
        <f>T("CH COMBAT CAMERA")</f>
        <v>CH COMBAT CAMERA</v>
      </c>
      <c r="H7145" t="str">
        <f>T("2000 OPELOUSAS AVE")</f>
        <v>2000 OPELOUSAS AVE</v>
      </c>
      <c r="I7145" t="str">
        <f>T("NEW ORLEANS")</f>
        <v>NEW ORLEANS</v>
      </c>
      <c r="J7145" t="str">
        <f>T("LA")</f>
        <v>LA</v>
      </c>
      <c r="K7145" t="str">
        <f>T("000000000000000000")</f>
        <v>000000000000000000</v>
      </c>
      <c r="L7145" t="str">
        <f>T("5046979883")</f>
        <v>5046979883</v>
      </c>
    </row>
    <row r="7146" spans="1:12" x14ac:dyDescent="0.35">
      <c r="A7146" t="str">
        <f t="shared" si="2711"/>
        <v>MFR</v>
      </c>
      <c r="B7146" t="str">
        <f>T("M26381 HQPA CC NOLA")</f>
        <v>M26381 HQPA CC NOLA</v>
      </c>
      <c r="C7146" t="str">
        <f>T("2000 OPELOUSAS AVE")</f>
        <v>2000 OPELOUSAS AVE</v>
      </c>
      <c r="D7146" t="str">
        <f>T("NEW ORLEANS")</f>
        <v>NEW ORLEANS</v>
      </c>
      <c r="E7146" t="str">
        <f>T("LA")</f>
        <v>LA</v>
      </c>
      <c r="F7146" t="str">
        <f>T("701141500")</f>
        <v>701141500</v>
      </c>
      <c r="G7146" t="str">
        <f>T("CH COMBAT CAMERA")</f>
        <v>CH COMBAT CAMERA</v>
      </c>
      <c r="H7146" t="str">
        <f>T("2000 OPELOUSAS AVE")</f>
        <v>2000 OPELOUSAS AVE</v>
      </c>
      <c r="I7146" t="str">
        <f>T("NEW ORLEANS")</f>
        <v>NEW ORLEANS</v>
      </c>
      <c r="J7146" t="str">
        <f>T("LA")</f>
        <v>LA</v>
      </c>
      <c r="K7146" t="str">
        <f>T("000000000000000000")</f>
        <v>000000000000000000</v>
      </c>
      <c r="L7146" t="str">
        <f>T("5046979887")</f>
        <v>5046979887</v>
      </c>
    </row>
    <row r="7147" spans="1:12" x14ac:dyDescent="0.35">
      <c r="A7147" t="str">
        <f t="shared" si="2711"/>
        <v>MFR</v>
      </c>
      <c r="B7147" t="str">
        <f>T("M26381 HQPA CC NOLA")</f>
        <v>M26381 HQPA CC NOLA</v>
      </c>
      <c r="C7147" t="str">
        <f>T("2000 OPELOUSAS AVE")</f>
        <v>2000 OPELOUSAS AVE</v>
      </c>
      <c r="D7147" t="str">
        <f>T("NEW ORLEANS")</f>
        <v>NEW ORLEANS</v>
      </c>
      <c r="E7147" t="str">
        <f>T("LA")</f>
        <v>LA</v>
      </c>
      <c r="F7147" t="str">
        <f>T("701141500")</f>
        <v>701141500</v>
      </c>
      <c r="G7147" t="str">
        <f>T("M26381 HQPA CC NOLA")</f>
        <v>M26381 HQPA CC NOLA</v>
      </c>
      <c r="H7147" t="str">
        <f>T("2000 OPELOUSAS AVE")</f>
        <v>2000 OPELOUSAS AVE</v>
      </c>
      <c r="I7147" t="str">
        <f>T("NEW ORLEANS")</f>
        <v>NEW ORLEANS</v>
      </c>
      <c r="J7147" t="str">
        <f>T("LA")</f>
        <v>LA</v>
      </c>
      <c r="K7147" t="str">
        <f>T("5046979916")</f>
        <v>5046979916</v>
      </c>
      <c r="L7147" t="str">
        <f>T("5046979881")</f>
        <v>5046979881</v>
      </c>
    </row>
    <row r="7148" spans="1:12" x14ac:dyDescent="0.35">
      <c r="A7148" t="str">
        <f t="shared" si="2711"/>
        <v>MFR</v>
      </c>
      <c r="B7148" t="str">
        <f>T("MARDET FT HUACHUCA AZ")</f>
        <v>MARDET FT HUACHUCA AZ</v>
      </c>
      <c r="C7148" t="str">
        <f>T("BLDG 80405")</f>
        <v>BLDG 80405</v>
      </c>
      <c r="D7148" t="str">
        <f>T("FORT HUACHUCA")</f>
        <v>FORT HUACHUCA</v>
      </c>
      <c r="E7148" t="str">
        <f>T("AZ")</f>
        <v>AZ</v>
      </c>
      <c r="F7148" t="str">
        <f>T("856130000")</f>
        <v>856130000</v>
      </c>
      <c r="G7148" t="str">
        <f>T("AO MAR DET FT HUACHUCA")</f>
        <v>AO MAR DET FT HUACHUCA</v>
      </c>
      <c r="H7148" t="str">
        <f>T("MAR DET BLDG 80405")</f>
        <v>MAR DET BLDG 80405</v>
      </c>
      <c r="I7148" t="str">
        <f>T("FORT HUACHUCA")</f>
        <v>FORT HUACHUCA</v>
      </c>
      <c r="J7148" t="str">
        <f>T("AZ")</f>
        <v>AZ</v>
      </c>
      <c r="K7148" t="str">
        <f>T("5205336777")</f>
        <v>5205336777</v>
      </c>
      <c r="L7148" t="str">
        <f>T("5205336781")</f>
        <v>5205336781</v>
      </c>
    </row>
    <row r="7149" spans="1:12" x14ac:dyDescent="0.35">
      <c r="A7149" t="str">
        <f t="shared" ref="A7149:A7168" si="2725">T("MFR")</f>
        <v>MFR</v>
      </c>
      <c r="B7149" t="str">
        <f>T("MARDET FT HUACHUCA AZ")</f>
        <v>MARDET FT HUACHUCA AZ</v>
      </c>
      <c r="C7149" t="str">
        <f>T("BLDG 80405")</f>
        <v>BLDG 80405</v>
      </c>
      <c r="D7149" t="str">
        <f>T("FORT HUACHUCA")</f>
        <v>FORT HUACHUCA</v>
      </c>
      <c r="E7149" t="str">
        <f>T("AZ")</f>
        <v>AZ</v>
      </c>
      <c r="F7149" t="str">
        <f>T("856130000")</f>
        <v>856130000</v>
      </c>
      <c r="G7149" t="str">
        <f>T("MARDET FT HUACHUCA AZ")</f>
        <v>MARDET FT HUACHUCA AZ</v>
      </c>
      <c r="H7149" t="str">
        <f>T("BLDG 80405")</f>
        <v>BLDG 80405</v>
      </c>
      <c r="I7149" t="str">
        <f>T("FORT HUACHUCA")</f>
        <v>FORT HUACHUCA</v>
      </c>
      <c r="J7149" t="str">
        <f>T("AZ")</f>
        <v>AZ</v>
      </c>
      <c r="K7149" t="str">
        <f>T("5205336777")</f>
        <v>5205336777</v>
      </c>
      <c r="L7149" t="str">
        <f>T("5205336776")</f>
        <v>5205336776</v>
      </c>
    </row>
    <row r="7150" spans="1:12" x14ac:dyDescent="0.35">
      <c r="A7150" t="str">
        <f t="shared" si="2725"/>
        <v>MFR</v>
      </c>
      <c r="B7150" t="str">
        <f>T("MARFORRES CMD DECK")</f>
        <v>MARFORRES CMD DECK</v>
      </c>
      <c r="C7150" t="str">
        <f t="shared" ref="C7150:C7166" si="2726">T("2000 OPELOUSAS AVE")</f>
        <v>2000 OPELOUSAS AVE</v>
      </c>
      <c r="D7150" t="str">
        <f t="shared" ref="D7150:D7171" si="2727">T("NEW ORLEANS")</f>
        <v>NEW ORLEANS</v>
      </c>
      <c r="E7150" t="str">
        <f t="shared" ref="E7150:E7171" si="2728">T("LA")</f>
        <v>LA</v>
      </c>
      <c r="F7150" t="str">
        <f t="shared" ref="F7150:F7166" si="2729">T("701141500")</f>
        <v>701141500</v>
      </c>
      <c r="G7150" t="str">
        <f>T("MARFORRES CMD DECK")</f>
        <v>MARFORRES CMD DECK</v>
      </c>
      <c r="H7150" t="str">
        <f t="shared" ref="H7150:H7166" si="2730">T("2000 OPELOUSAS AVE")</f>
        <v>2000 OPELOUSAS AVE</v>
      </c>
      <c r="I7150" t="str">
        <f t="shared" ref="I7150:I7171" si="2731">T("NEW ORLEANS")</f>
        <v>NEW ORLEANS</v>
      </c>
      <c r="J7150" t="str">
        <f t="shared" ref="J7150:J7171" si="2732">T("LA")</f>
        <v>LA</v>
      </c>
      <c r="K7150" t="str">
        <f>T("5046979781")</f>
        <v>5046979781</v>
      </c>
      <c r="L7150" t="str">
        <f>T("5046977014")</f>
        <v>5046977014</v>
      </c>
    </row>
    <row r="7151" spans="1:12" x14ac:dyDescent="0.35">
      <c r="A7151" t="str">
        <f t="shared" si="2725"/>
        <v>MFR</v>
      </c>
      <c r="B7151" t="str">
        <f>T("MARFORRES CMD DECK")</f>
        <v>MARFORRES CMD DECK</v>
      </c>
      <c r="C7151" t="str">
        <f t="shared" si="2726"/>
        <v>2000 OPELOUSAS AVE</v>
      </c>
      <c r="D7151" t="str">
        <f t="shared" si="2727"/>
        <v>NEW ORLEANS</v>
      </c>
      <c r="E7151" t="str">
        <f t="shared" si="2728"/>
        <v>LA</v>
      </c>
      <c r="F7151" t="str">
        <f t="shared" si="2729"/>
        <v>701141500</v>
      </c>
      <c r="G7151" t="str">
        <f>T("MARINE FORCES RESERVE CMD ORF")</f>
        <v>MARINE FORCES RESERVE CMD ORF</v>
      </c>
      <c r="H7151" t="str">
        <f t="shared" si="2730"/>
        <v>2000 OPELOUSAS AVE</v>
      </c>
      <c r="I7151" t="str">
        <f t="shared" si="2731"/>
        <v>NEW ORLEANS</v>
      </c>
      <c r="J7151" t="str">
        <f t="shared" si="2732"/>
        <v>LA</v>
      </c>
      <c r="K7151" t="str">
        <f>T("000000000000000000")</f>
        <v>000000000000000000</v>
      </c>
      <c r="L7151" t="str">
        <f>T("5046977015")</f>
        <v>5046977015</v>
      </c>
    </row>
    <row r="7152" spans="1:12" x14ac:dyDescent="0.35">
      <c r="A7152" t="str">
        <f t="shared" si="2725"/>
        <v>MFR</v>
      </c>
      <c r="B7152" t="str">
        <f>T("MARFORRES RCO")</f>
        <v>MARFORRES RCO</v>
      </c>
      <c r="C7152" t="str">
        <f t="shared" si="2726"/>
        <v>2000 OPELOUSAS AVE</v>
      </c>
      <c r="D7152" t="str">
        <f t="shared" si="2727"/>
        <v>NEW ORLEANS</v>
      </c>
      <c r="E7152" t="str">
        <f t="shared" si="2728"/>
        <v>LA</v>
      </c>
      <c r="F7152" t="str">
        <f t="shared" si="2729"/>
        <v>701141500</v>
      </c>
      <c r="G7152" t="str">
        <f>T("MARFORRES RCO")</f>
        <v>MARFORRES RCO</v>
      </c>
      <c r="H7152" t="str">
        <f t="shared" si="2730"/>
        <v>2000 OPELOUSAS AVE</v>
      </c>
      <c r="I7152" t="str">
        <f t="shared" si="2731"/>
        <v>NEW ORLEANS</v>
      </c>
      <c r="J7152" t="str">
        <f t="shared" si="2732"/>
        <v>LA</v>
      </c>
      <c r="K7152" t="str">
        <f>T("5046979742")</f>
        <v>5046979742</v>
      </c>
      <c r="L7152" t="str">
        <f>T("5046978342")</f>
        <v>5046978342</v>
      </c>
    </row>
    <row r="7153" spans="1:12" x14ac:dyDescent="0.35">
      <c r="A7153" t="str">
        <f t="shared" si="2725"/>
        <v>MFR</v>
      </c>
      <c r="B7153" t="str">
        <f>T("MARFORRES RCO")</f>
        <v>MARFORRES RCO</v>
      </c>
      <c r="C7153" t="str">
        <f t="shared" si="2726"/>
        <v>2000 OPELOUSAS AVE</v>
      </c>
      <c r="D7153" t="str">
        <f t="shared" si="2727"/>
        <v>NEW ORLEANS</v>
      </c>
      <c r="E7153" t="str">
        <f t="shared" si="2728"/>
        <v>LA</v>
      </c>
      <c r="F7153" t="str">
        <f t="shared" si="2729"/>
        <v>701141500</v>
      </c>
      <c r="G7153" t="str">
        <f>T("MFR RCO")</f>
        <v>MFR RCO</v>
      </c>
      <c r="H7153" t="str">
        <f t="shared" si="2730"/>
        <v>2000 OPELOUSAS AVE</v>
      </c>
      <c r="I7153" t="str">
        <f t="shared" si="2731"/>
        <v>NEW ORLEANS</v>
      </c>
      <c r="J7153" t="str">
        <f t="shared" si="2732"/>
        <v>LA</v>
      </c>
      <c r="K7153" t="str">
        <f>T("5046978337")</f>
        <v>5046978337</v>
      </c>
      <c r="L7153" t="str">
        <f>T("5046978337")</f>
        <v>5046978337</v>
      </c>
    </row>
    <row r="7154" spans="1:12" x14ac:dyDescent="0.35">
      <c r="A7154" t="str">
        <f t="shared" si="2725"/>
        <v>MFR</v>
      </c>
      <c r="B7154" t="str">
        <f>T("MARFORRES RCO")</f>
        <v>MARFORRES RCO</v>
      </c>
      <c r="C7154" t="str">
        <f t="shared" si="2726"/>
        <v>2000 OPELOUSAS AVE</v>
      </c>
      <c r="D7154" t="str">
        <f t="shared" si="2727"/>
        <v>NEW ORLEANS</v>
      </c>
      <c r="E7154" t="str">
        <f t="shared" si="2728"/>
        <v>LA</v>
      </c>
      <c r="F7154" t="str">
        <f t="shared" si="2729"/>
        <v>701141500</v>
      </c>
      <c r="G7154" t="str">
        <f>T("MFR RCO")</f>
        <v>MFR RCO</v>
      </c>
      <c r="H7154" t="str">
        <f t="shared" si="2730"/>
        <v>2000 OPELOUSAS AVE</v>
      </c>
      <c r="I7154" t="str">
        <f t="shared" si="2731"/>
        <v>NEW ORLEANS</v>
      </c>
      <c r="J7154" t="str">
        <f t="shared" si="2732"/>
        <v>LA</v>
      </c>
      <c r="K7154" t="str">
        <f>T("5046979742")</f>
        <v>5046979742</v>
      </c>
      <c r="L7154" t="str">
        <f>T("5046978345")</f>
        <v>5046978345</v>
      </c>
    </row>
    <row r="7155" spans="1:12" x14ac:dyDescent="0.35">
      <c r="A7155" t="str">
        <f t="shared" si="2725"/>
        <v>MFR</v>
      </c>
      <c r="B7155" t="str">
        <f>T("MARINE CORPS SUPP FACIL")</f>
        <v>MARINE CORPS SUPP FACIL</v>
      </c>
      <c r="C7155" t="str">
        <f t="shared" si="2726"/>
        <v>2000 OPELOUSAS AVE</v>
      </c>
      <c r="D7155" t="str">
        <f t="shared" si="2727"/>
        <v>NEW ORLEANS</v>
      </c>
      <c r="E7155" t="str">
        <f t="shared" si="2728"/>
        <v>LA</v>
      </c>
      <c r="F7155" t="str">
        <f t="shared" si="2729"/>
        <v>701141500</v>
      </c>
      <c r="G7155" t="str">
        <f>T("MARINE CORP SUPPORT FACILITY")</f>
        <v>MARINE CORP SUPPORT FACILITY</v>
      </c>
      <c r="H7155" t="str">
        <f t="shared" si="2730"/>
        <v>2000 OPELOUSAS AVE</v>
      </c>
      <c r="I7155" t="str">
        <f t="shared" si="2731"/>
        <v>NEW ORLEANS</v>
      </c>
      <c r="J7155" t="str">
        <f t="shared" si="2732"/>
        <v>LA</v>
      </c>
      <c r="K7155" t="str">
        <f>T("000000000000000000")</f>
        <v>000000000000000000</v>
      </c>
      <c r="L7155" t="str">
        <f>T("5046977284")</f>
        <v>5046977284</v>
      </c>
    </row>
    <row r="7156" spans="1:12" x14ac:dyDescent="0.35">
      <c r="A7156" t="str">
        <f t="shared" si="2725"/>
        <v>MFR</v>
      </c>
      <c r="B7156" t="str">
        <f>T("MARINE CORPS SUPP FACIL")</f>
        <v>MARINE CORPS SUPP FACIL</v>
      </c>
      <c r="C7156" t="str">
        <f t="shared" si="2726"/>
        <v>2000 OPELOUSAS AVE</v>
      </c>
      <c r="D7156" t="str">
        <f t="shared" si="2727"/>
        <v>NEW ORLEANS</v>
      </c>
      <c r="E7156" t="str">
        <f t="shared" si="2728"/>
        <v>LA</v>
      </c>
      <c r="F7156" t="str">
        <f t="shared" si="2729"/>
        <v>701141500</v>
      </c>
      <c r="G7156" t="str">
        <f>T("MARINE CORP SUPPORT FACILITY")</f>
        <v>MARINE CORP SUPPORT FACILITY</v>
      </c>
      <c r="H7156" t="str">
        <f t="shared" si="2730"/>
        <v>2000 OPELOUSAS AVE</v>
      </c>
      <c r="I7156" t="str">
        <f t="shared" si="2731"/>
        <v>NEW ORLEANS</v>
      </c>
      <c r="J7156" t="str">
        <f t="shared" si="2732"/>
        <v>LA</v>
      </c>
      <c r="K7156" t="str">
        <f>T("5046979774")</f>
        <v>5046979774</v>
      </c>
      <c r="L7156" t="str">
        <f>T("5046977282")</f>
        <v>5046977282</v>
      </c>
    </row>
    <row r="7157" spans="1:12" x14ac:dyDescent="0.35">
      <c r="A7157" t="str">
        <f t="shared" si="2725"/>
        <v>MFR</v>
      </c>
      <c r="B7157" t="str">
        <f>T("MARINE CORPS SUPP FACIL")</f>
        <v>MARINE CORPS SUPP FACIL</v>
      </c>
      <c r="C7157" t="str">
        <f t="shared" si="2726"/>
        <v>2000 OPELOUSAS AVE</v>
      </c>
      <c r="D7157" t="str">
        <f t="shared" si="2727"/>
        <v>NEW ORLEANS</v>
      </c>
      <c r="E7157" t="str">
        <f t="shared" si="2728"/>
        <v>LA</v>
      </c>
      <c r="F7157" t="str">
        <f t="shared" si="2729"/>
        <v>701141500</v>
      </c>
      <c r="G7157" t="str">
        <f>T("MARINE CORPS SUPP FACIL")</f>
        <v>MARINE CORPS SUPP FACIL</v>
      </c>
      <c r="H7157" t="str">
        <f t="shared" si="2730"/>
        <v>2000 OPELOUSAS AVE</v>
      </c>
      <c r="I7157" t="str">
        <f t="shared" si="2731"/>
        <v>NEW ORLEANS</v>
      </c>
      <c r="J7157" t="str">
        <f t="shared" si="2732"/>
        <v>LA</v>
      </c>
      <c r="K7157" t="str">
        <f>T("7097663725")</f>
        <v>7097663725</v>
      </c>
      <c r="L7157" t="str">
        <f>T("5046788710")</f>
        <v>5046788710</v>
      </c>
    </row>
    <row r="7158" spans="1:12" x14ac:dyDescent="0.35">
      <c r="A7158" t="str">
        <f t="shared" si="2725"/>
        <v>MFR</v>
      </c>
      <c r="B7158" t="str">
        <f>T("MARINE FORCES NORTH")</f>
        <v>MARINE FORCES NORTH</v>
      </c>
      <c r="C7158" t="str">
        <f t="shared" si="2726"/>
        <v>2000 OPELOUSAS AVE</v>
      </c>
      <c r="D7158" t="str">
        <f t="shared" si="2727"/>
        <v>NEW ORLEANS</v>
      </c>
      <c r="E7158" t="str">
        <f t="shared" si="2728"/>
        <v>LA</v>
      </c>
      <c r="F7158" t="str">
        <f t="shared" si="2729"/>
        <v>701141500</v>
      </c>
      <c r="G7158" t="str">
        <f>T("M67902 MFN")</f>
        <v>M67902 MFN</v>
      </c>
      <c r="H7158" t="str">
        <f t="shared" si="2730"/>
        <v>2000 OPELOUSAS AVE</v>
      </c>
      <c r="I7158" t="str">
        <f t="shared" si="2731"/>
        <v>NEW ORLEANS</v>
      </c>
      <c r="J7158" t="str">
        <f t="shared" si="2732"/>
        <v>LA</v>
      </c>
      <c r="K7158" t="str">
        <f>T("000000000000000000")</f>
        <v>000000000000000000</v>
      </c>
      <c r="L7158" t="str">
        <f>T("5046979637")</f>
        <v>5046979637</v>
      </c>
    </row>
    <row r="7159" spans="1:12" x14ac:dyDescent="0.35">
      <c r="A7159" t="str">
        <f t="shared" si="2725"/>
        <v>MFR</v>
      </c>
      <c r="B7159" t="str">
        <f>T("MARINE FORCES NORTH")</f>
        <v>MARINE FORCES NORTH</v>
      </c>
      <c r="C7159" t="str">
        <f t="shared" si="2726"/>
        <v>2000 OPELOUSAS AVE</v>
      </c>
      <c r="D7159" t="str">
        <f t="shared" si="2727"/>
        <v>NEW ORLEANS</v>
      </c>
      <c r="E7159" t="str">
        <f t="shared" si="2728"/>
        <v>LA</v>
      </c>
      <c r="F7159" t="str">
        <f t="shared" si="2729"/>
        <v>701141500</v>
      </c>
      <c r="G7159" t="str">
        <f>T("M67902 MFN")</f>
        <v>M67902 MFN</v>
      </c>
      <c r="H7159" t="str">
        <f t="shared" si="2730"/>
        <v>2000 OPELOUSAS AVE</v>
      </c>
      <c r="I7159" t="str">
        <f t="shared" si="2731"/>
        <v>NEW ORLEANS</v>
      </c>
      <c r="J7159" t="str">
        <f t="shared" si="2732"/>
        <v>LA</v>
      </c>
      <c r="K7159" t="str">
        <f>T("000000000000000000")</f>
        <v>000000000000000000</v>
      </c>
      <c r="L7159" t="str">
        <f>T("5046979658")</f>
        <v>5046979658</v>
      </c>
    </row>
    <row r="7160" spans="1:12" x14ac:dyDescent="0.35">
      <c r="A7160" t="str">
        <f t="shared" si="2725"/>
        <v>MFR</v>
      </c>
      <c r="B7160" t="str">
        <f>T("MARINE FORCES NORTH")</f>
        <v>MARINE FORCES NORTH</v>
      </c>
      <c r="C7160" t="str">
        <f t="shared" si="2726"/>
        <v>2000 OPELOUSAS AVE</v>
      </c>
      <c r="D7160" t="str">
        <f t="shared" si="2727"/>
        <v>NEW ORLEANS</v>
      </c>
      <c r="E7160" t="str">
        <f t="shared" si="2728"/>
        <v>LA</v>
      </c>
      <c r="F7160" t="str">
        <f t="shared" si="2729"/>
        <v>701141500</v>
      </c>
      <c r="G7160" t="str">
        <f>T("M67902 MFN")</f>
        <v>M67902 MFN</v>
      </c>
      <c r="H7160" t="str">
        <f t="shared" si="2730"/>
        <v>2000 OPELOUSAS AVE</v>
      </c>
      <c r="I7160" t="str">
        <f t="shared" si="2731"/>
        <v>NEW ORLEANS</v>
      </c>
      <c r="J7160" t="str">
        <f t="shared" si="2732"/>
        <v>LA</v>
      </c>
      <c r="K7160" t="str">
        <f>T("000000000000000000")</f>
        <v>000000000000000000</v>
      </c>
      <c r="L7160" t="str">
        <f>T("5046979679")</f>
        <v>5046979679</v>
      </c>
    </row>
    <row r="7161" spans="1:12" x14ac:dyDescent="0.35">
      <c r="A7161" t="str">
        <f t="shared" si="2725"/>
        <v>MFR</v>
      </c>
      <c r="B7161" t="str">
        <f>T("MARINE FORCES NORTH")</f>
        <v>MARINE FORCES NORTH</v>
      </c>
      <c r="C7161" t="str">
        <f t="shared" si="2726"/>
        <v>2000 OPELOUSAS AVE</v>
      </c>
      <c r="D7161" t="str">
        <f t="shared" si="2727"/>
        <v>NEW ORLEANS</v>
      </c>
      <c r="E7161" t="str">
        <f t="shared" si="2728"/>
        <v>LA</v>
      </c>
      <c r="F7161" t="str">
        <f t="shared" si="2729"/>
        <v>701141500</v>
      </c>
      <c r="G7161" t="str">
        <f>T("MARINE FORCES NORTH")</f>
        <v>MARINE FORCES NORTH</v>
      </c>
      <c r="H7161" t="str">
        <f t="shared" si="2730"/>
        <v>2000 OPELOUSAS AVE</v>
      </c>
      <c r="I7161" t="str">
        <f t="shared" si="2731"/>
        <v>NEW ORLEANS</v>
      </c>
      <c r="J7161" t="str">
        <f t="shared" si="2732"/>
        <v>LA</v>
      </c>
      <c r="K7161" t="str">
        <f>T("")</f>
        <v/>
      </c>
      <c r="L7161" t="str">
        <f>T("5046979648")</f>
        <v>5046979648</v>
      </c>
    </row>
    <row r="7162" spans="1:12" x14ac:dyDescent="0.35">
      <c r="A7162" t="str">
        <f t="shared" si="2725"/>
        <v>MFR</v>
      </c>
      <c r="B7162" t="str">
        <f>T("MFR FAC NOLA")</f>
        <v>MFR FAC NOLA</v>
      </c>
      <c r="C7162" t="str">
        <f t="shared" si="2726"/>
        <v>2000 OPELOUSAS AVE</v>
      </c>
      <c r="D7162" t="str">
        <f t="shared" si="2727"/>
        <v>NEW ORLEANS</v>
      </c>
      <c r="E7162" t="str">
        <f t="shared" si="2728"/>
        <v>LA</v>
      </c>
      <c r="F7162" t="str">
        <f t="shared" si="2729"/>
        <v>701141500</v>
      </c>
      <c r="G7162" t="str">
        <f>T("HQ MFR FACILITIES FSRM")</f>
        <v>HQ MFR FACILITIES FSRM</v>
      </c>
      <c r="H7162" t="str">
        <f t="shared" si="2730"/>
        <v>2000 OPELOUSAS AVE</v>
      </c>
      <c r="I7162" t="str">
        <f t="shared" si="2731"/>
        <v>NEW ORLEANS</v>
      </c>
      <c r="J7162" t="str">
        <f t="shared" si="2732"/>
        <v>LA</v>
      </c>
      <c r="K7162" t="str">
        <f>T("000000000000000000")</f>
        <v>000000000000000000</v>
      </c>
      <c r="L7162" t="str">
        <f>T("5046979844")</f>
        <v>5046979844</v>
      </c>
    </row>
    <row r="7163" spans="1:12" x14ac:dyDescent="0.35">
      <c r="A7163" t="str">
        <f t="shared" si="2725"/>
        <v>MFR</v>
      </c>
      <c r="B7163" t="str">
        <f>T("MFR FAC NOLA")</f>
        <v>MFR FAC NOLA</v>
      </c>
      <c r="C7163" t="str">
        <f t="shared" si="2726"/>
        <v>2000 OPELOUSAS AVE</v>
      </c>
      <c r="D7163" t="str">
        <f t="shared" si="2727"/>
        <v>NEW ORLEANS</v>
      </c>
      <c r="E7163" t="str">
        <f t="shared" si="2728"/>
        <v>LA</v>
      </c>
      <c r="F7163" t="str">
        <f t="shared" si="2729"/>
        <v>701141500</v>
      </c>
      <c r="G7163" t="str">
        <f>T("HQ MFR FACILITIES FSRM")</f>
        <v>HQ MFR FACILITIES FSRM</v>
      </c>
      <c r="H7163" t="str">
        <f t="shared" si="2730"/>
        <v>2000 OPELOUSAS AVE</v>
      </c>
      <c r="I7163" t="str">
        <f t="shared" si="2731"/>
        <v>NEW ORLEANS</v>
      </c>
      <c r="J7163" t="str">
        <f t="shared" si="2732"/>
        <v>LA</v>
      </c>
      <c r="K7163" t="str">
        <f>T("000000000000000000")</f>
        <v>000000000000000000</v>
      </c>
      <c r="L7163" t="str">
        <f>T("5046979854")</f>
        <v>5046979854</v>
      </c>
    </row>
    <row r="7164" spans="1:12" x14ac:dyDescent="0.35">
      <c r="A7164" t="str">
        <f t="shared" si="2725"/>
        <v>MFR</v>
      </c>
      <c r="B7164" t="str">
        <f>T("MFR FAC NOLA")</f>
        <v>MFR FAC NOLA</v>
      </c>
      <c r="C7164" t="str">
        <f t="shared" si="2726"/>
        <v>2000 OPELOUSAS AVE</v>
      </c>
      <c r="D7164" t="str">
        <f t="shared" si="2727"/>
        <v>NEW ORLEANS</v>
      </c>
      <c r="E7164" t="str">
        <f t="shared" si="2728"/>
        <v>LA</v>
      </c>
      <c r="F7164" t="str">
        <f t="shared" si="2729"/>
        <v>701141500</v>
      </c>
      <c r="G7164" t="str">
        <f>T("HQ MFR FACILITIES FSRM")</f>
        <v>HQ MFR FACILITIES FSRM</v>
      </c>
      <c r="H7164" t="str">
        <f t="shared" si="2730"/>
        <v>2000 OPELOUSAS AVE</v>
      </c>
      <c r="I7164" t="str">
        <f t="shared" si="2731"/>
        <v>NEW ORLEANS</v>
      </c>
      <c r="J7164" t="str">
        <f t="shared" si="2732"/>
        <v>LA</v>
      </c>
      <c r="K7164" t="str">
        <f>T("5046979739")</f>
        <v>5046979739</v>
      </c>
      <c r="L7164" t="str">
        <f>T("5046979816")</f>
        <v>5046979816</v>
      </c>
    </row>
    <row r="7165" spans="1:12" x14ac:dyDescent="0.35">
      <c r="A7165" t="str">
        <f t="shared" si="2725"/>
        <v>MFR</v>
      </c>
      <c r="B7165" t="str">
        <f>T("MFR FAC NOLA")</f>
        <v>MFR FAC NOLA</v>
      </c>
      <c r="C7165" t="str">
        <f t="shared" si="2726"/>
        <v>2000 OPELOUSAS AVE</v>
      </c>
      <c r="D7165" t="str">
        <f t="shared" si="2727"/>
        <v>NEW ORLEANS</v>
      </c>
      <c r="E7165" t="str">
        <f t="shared" si="2728"/>
        <v>LA</v>
      </c>
      <c r="F7165" t="str">
        <f t="shared" si="2729"/>
        <v>701141500</v>
      </c>
      <c r="G7165" t="str">
        <f>T("HQ MFR FACILITIES FSRM")</f>
        <v>HQ MFR FACILITIES FSRM</v>
      </c>
      <c r="H7165" t="str">
        <f t="shared" si="2730"/>
        <v>2000 OPELOUSAS AVE</v>
      </c>
      <c r="I7165" t="str">
        <f t="shared" si="2731"/>
        <v>NEW ORLEANS</v>
      </c>
      <c r="J7165" t="str">
        <f t="shared" si="2732"/>
        <v>LA</v>
      </c>
      <c r="K7165" t="str">
        <f>T("5046979739")</f>
        <v>5046979739</v>
      </c>
      <c r="L7165" t="str">
        <f>T("5046979834")</f>
        <v>5046979834</v>
      </c>
    </row>
    <row r="7166" spans="1:12" x14ac:dyDescent="0.35">
      <c r="A7166" t="str">
        <f t="shared" si="2725"/>
        <v>MFR</v>
      </c>
      <c r="B7166" t="str">
        <f>T("MFR FAC NOLA")</f>
        <v>MFR FAC NOLA</v>
      </c>
      <c r="C7166" t="str">
        <f t="shared" si="2726"/>
        <v>2000 OPELOUSAS AVE</v>
      </c>
      <c r="D7166" t="str">
        <f t="shared" si="2727"/>
        <v>NEW ORLEANS</v>
      </c>
      <c r="E7166" t="str">
        <f t="shared" si="2728"/>
        <v>LA</v>
      </c>
      <c r="F7166" t="str">
        <f t="shared" si="2729"/>
        <v>701141500</v>
      </c>
      <c r="G7166" t="str">
        <f>T("MFR FAC NOLA")</f>
        <v>MFR FAC NOLA</v>
      </c>
      <c r="H7166" t="str">
        <f t="shared" si="2730"/>
        <v>2000 OPELOUSAS AVE</v>
      </c>
      <c r="I7166" t="str">
        <f t="shared" si="2731"/>
        <v>NEW ORLEANS</v>
      </c>
      <c r="J7166" t="str">
        <f t="shared" si="2732"/>
        <v>LA</v>
      </c>
      <c r="K7166" t="str">
        <f>T("5046979739")</f>
        <v>5046979739</v>
      </c>
      <c r="L7166" t="str">
        <f>T("5046979853")</f>
        <v>5046979853</v>
      </c>
    </row>
    <row r="7167" spans="1:12" x14ac:dyDescent="0.35">
      <c r="A7167" t="str">
        <f t="shared" si="2725"/>
        <v>MFR</v>
      </c>
      <c r="B7167" t="str">
        <f>T("MFR G3/5")</f>
        <v>MFR G3/5</v>
      </c>
      <c r="C7167" t="str">
        <f>T("4400 DAUPHINE ST BLDG 601")</f>
        <v>4400 DAUPHINE ST BLDG 601</v>
      </c>
      <c r="D7167" t="str">
        <f t="shared" si="2727"/>
        <v>NEW ORLEANS</v>
      </c>
      <c r="E7167" t="str">
        <f t="shared" si="2728"/>
        <v>LA</v>
      </c>
      <c r="F7167" t="str">
        <f>T("701465609")</f>
        <v>701465609</v>
      </c>
      <c r="G7167" t="str">
        <f>T("MFR G3/5")</f>
        <v>MFR G3/5</v>
      </c>
      <c r="H7167" t="str">
        <f>T("4400 DAUPHINE ST BLDG 601")</f>
        <v>4400 DAUPHINE ST BLDG 601</v>
      </c>
      <c r="I7167" t="str">
        <f t="shared" si="2731"/>
        <v>NEW ORLEANS</v>
      </c>
      <c r="J7167" t="str">
        <f t="shared" si="2732"/>
        <v>LA</v>
      </c>
      <c r="K7167" t="str">
        <f>T("")</f>
        <v/>
      </c>
      <c r="L7167" t="str">
        <f>T("5046977316")</f>
        <v>5046977316</v>
      </c>
    </row>
    <row r="7168" spans="1:12" x14ac:dyDescent="0.35">
      <c r="A7168" t="str">
        <f t="shared" si="2725"/>
        <v>MFR</v>
      </c>
      <c r="B7168" t="str">
        <f>T("MFR G3/5")</f>
        <v>MFR G3/5</v>
      </c>
      <c r="C7168" t="str">
        <f>T("4400 DAUPHINE ST BLDG 601")</f>
        <v>4400 DAUPHINE ST BLDG 601</v>
      </c>
      <c r="D7168" t="str">
        <f t="shared" si="2727"/>
        <v>NEW ORLEANS</v>
      </c>
      <c r="E7168" t="str">
        <f t="shared" si="2728"/>
        <v>LA</v>
      </c>
      <c r="F7168" t="str">
        <f>T("701465609")</f>
        <v>701465609</v>
      </c>
      <c r="G7168" t="str">
        <f>T("MFR HQ G3")</f>
        <v>MFR HQ G3</v>
      </c>
      <c r="H7168" t="str">
        <f>T("2000 OPELOUSAS AVE")</f>
        <v>2000 OPELOUSAS AVE</v>
      </c>
      <c r="I7168" t="str">
        <f t="shared" si="2731"/>
        <v>NEW ORLEANS</v>
      </c>
      <c r="J7168" t="str">
        <f t="shared" si="2732"/>
        <v>LA</v>
      </c>
      <c r="K7168" t="str">
        <f>T("000000000000000000")</f>
        <v>000000000000000000</v>
      </c>
      <c r="L7168" t="str">
        <f>T("5046977308")</f>
        <v>5046977308</v>
      </c>
    </row>
    <row r="7169" spans="1:12" x14ac:dyDescent="0.35">
      <c r="A7169" t="str">
        <f>T("MFR RPMC")</f>
        <v>MFR RPMC</v>
      </c>
      <c r="B7169" t="str">
        <f>T("HQ G4 CLOTHING")</f>
        <v>HQ G4 CLOTHING</v>
      </c>
      <c r="C7169" t="str">
        <f>T("2000 OPELOUSAS AVE")</f>
        <v>2000 OPELOUSAS AVE</v>
      </c>
      <c r="D7169" t="str">
        <f t="shared" si="2727"/>
        <v>NEW ORLEANS</v>
      </c>
      <c r="E7169" t="str">
        <f t="shared" si="2728"/>
        <v>LA</v>
      </c>
      <c r="F7169" t="str">
        <f>T("701141500")</f>
        <v>701141500</v>
      </c>
      <c r="G7169" t="str">
        <f>T("COPAC SMCR G4SUP MFR")</f>
        <v>COPAC SMCR G4SUP MFR</v>
      </c>
      <c r="H7169" t="str">
        <f>T("2000 OPELOUSAS AVE")</f>
        <v>2000 OPELOUSAS AVE</v>
      </c>
      <c r="I7169" t="str">
        <f t="shared" si="2731"/>
        <v>NEW ORLEANS</v>
      </c>
      <c r="J7169" t="str">
        <f t="shared" si="2732"/>
        <v>LA</v>
      </c>
      <c r="K7169" t="str">
        <f>T("000000000000000000")</f>
        <v>000000000000000000</v>
      </c>
      <c r="L7169" t="str">
        <f>T("5046978832")</f>
        <v>5046978832</v>
      </c>
    </row>
    <row r="7170" spans="1:12" x14ac:dyDescent="0.35">
      <c r="A7170" t="str">
        <f>T("MFR RPMC")</f>
        <v>MFR RPMC</v>
      </c>
      <c r="B7170" t="str">
        <f>T("HQ G4 CLOTHING")</f>
        <v>HQ G4 CLOTHING</v>
      </c>
      <c r="C7170" t="str">
        <f>T("2000 OPELOUSAS AVE")</f>
        <v>2000 OPELOUSAS AVE</v>
      </c>
      <c r="D7170" t="str">
        <f t="shared" si="2727"/>
        <v>NEW ORLEANS</v>
      </c>
      <c r="E7170" t="str">
        <f t="shared" si="2728"/>
        <v>LA</v>
      </c>
      <c r="F7170" t="str">
        <f>T("701141500")</f>
        <v>701141500</v>
      </c>
      <c r="G7170" t="str">
        <f>T("HQ G4 CLOTHING")</f>
        <v>HQ G4 CLOTHING</v>
      </c>
      <c r="H7170" t="str">
        <f>T("2000 OPELOUSAS AVE")</f>
        <v>2000 OPELOUSAS AVE</v>
      </c>
      <c r="I7170" t="str">
        <f t="shared" si="2731"/>
        <v>NEW ORLEANS</v>
      </c>
      <c r="J7170" t="str">
        <f t="shared" si="2732"/>
        <v>LA</v>
      </c>
      <c r="K7170" t="str">
        <f>T("")</f>
        <v/>
      </c>
      <c r="L7170" t="str">
        <f>T("5046978839")</f>
        <v>5046978839</v>
      </c>
    </row>
    <row r="7171" spans="1:12" x14ac:dyDescent="0.35">
      <c r="A7171" t="str">
        <f>T("MFR RPMC")</f>
        <v>MFR RPMC</v>
      </c>
      <c r="B7171" t="str">
        <f>T("HQ G4 CLOTHING")</f>
        <v>HQ G4 CLOTHING</v>
      </c>
      <c r="C7171" t="str">
        <f>T("2000 OPELOUSAS AVE")</f>
        <v>2000 OPELOUSAS AVE</v>
      </c>
      <c r="D7171" t="str">
        <f t="shared" si="2727"/>
        <v>NEW ORLEANS</v>
      </c>
      <c r="E7171" t="str">
        <f t="shared" si="2728"/>
        <v>LA</v>
      </c>
      <c r="F7171" t="str">
        <f>T("701141500")</f>
        <v>701141500</v>
      </c>
      <c r="G7171" t="str">
        <f>T("MFR G4 CLOTHING")</f>
        <v>MFR G4 CLOTHING</v>
      </c>
      <c r="H7171" t="str">
        <f>T("2000 OPELOUSAS AVE")</f>
        <v>2000 OPELOUSAS AVE</v>
      </c>
      <c r="I7171" t="str">
        <f t="shared" si="2731"/>
        <v>NEW ORLEANS</v>
      </c>
      <c r="J7171" t="str">
        <f t="shared" si="2732"/>
        <v>LA</v>
      </c>
      <c r="K7171" t="str">
        <f>T("000000000000000000")</f>
        <v>000000000000000000</v>
      </c>
      <c r="L7171" t="str">
        <f>T("5046978832")</f>
        <v>5046978832</v>
      </c>
    </row>
    <row r="7172" spans="1:12" x14ac:dyDescent="0.35">
      <c r="A7172" t="str">
        <f t="shared" ref="A7172:A7208" si="2733">T("4TH MLG")</f>
        <v>4TH MLG</v>
      </c>
      <c r="B7172" t="str">
        <f>T("1210 NAVAL FORCE CT")</f>
        <v>1210 NAVAL FORCE CT</v>
      </c>
      <c r="C7172" t="str">
        <f>T("BLDG 440 RM 120")</f>
        <v>BLDG 440 RM 120</v>
      </c>
      <c r="D7172" t="str">
        <f t="shared" ref="D7172:D7181" si="2734">T("MARIETTA")</f>
        <v>MARIETTA</v>
      </c>
      <c r="E7172" t="str">
        <f t="shared" ref="E7172:E7181" si="2735">T("GA")</f>
        <v>GA</v>
      </c>
      <c r="F7172" t="str">
        <f t="shared" ref="F7172:F7181" si="2736">T("300695200")</f>
        <v>300695200</v>
      </c>
      <c r="G7172" t="str">
        <f>T("1210 NAVAL FORCE CT")</f>
        <v>1210 NAVAL FORCE CT</v>
      </c>
      <c r="H7172" t="str">
        <f>T("BLDG 440 RM 120")</f>
        <v>BLDG 440 RM 120</v>
      </c>
      <c r="I7172" t="str">
        <f>T("MARIETTA")</f>
        <v>MARIETTA</v>
      </c>
      <c r="J7172" t="str">
        <f>T("GA")</f>
        <v>GA</v>
      </c>
      <c r="K7172" t="str">
        <f>T("6786554399")</f>
        <v>6786554399</v>
      </c>
      <c r="L7172" t="str">
        <f>T("6786554395")</f>
        <v>6786554395</v>
      </c>
    </row>
    <row r="7173" spans="1:12" x14ac:dyDescent="0.35">
      <c r="A7173" t="str">
        <f t="shared" si="2733"/>
        <v>4TH MLG</v>
      </c>
      <c r="B7173" t="str">
        <f>T("1210 NAVAL FORCE CT")</f>
        <v>1210 NAVAL FORCE CT</v>
      </c>
      <c r="C7173" t="str">
        <f>T("BLDG 440 RM 120")</f>
        <v>BLDG 440 RM 120</v>
      </c>
      <c r="D7173" t="str">
        <f t="shared" si="2734"/>
        <v>MARIETTA</v>
      </c>
      <c r="E7173" t="str">
        <f t="shared" si="2735"/>
        <v>GA</v>
      </c>
      <c r="F7173" t="str">
        <f t="shared" si="2736"/>
        <v>300695200</v>
      </c>
      <c r="G7173" t="str">
        <f>T("PCH DENTAL BN 4TH MLG")</f>
        <v>PCH DENTAL BN 4TH MLG</v>
      </c>
      <c r="H7173" t="str">
        <f>T("1210 NAVAL FORCES CT BLDG 440 RM 120")</f>
        <v>1210 NAVAL FORCES CT BLDG 440 RM 120</v>
      </c>
      <c r="I7173" t="str">
        <f>T("MARIETTA")</f>
        <v>MARIETTA</v>
      </c>
      <c r="J7173" t="str">
        <f>T("GA")</f>
        <v>GA</v>
      </c>
      <c r="K7173" t="str">
        <f>T("000000000000000000")</f>
        <v>000000000000000000</v>
      </c>
      <c r="L7173" t="str">
        <f>T("6786554397")</f>
        <v>6786554397</v>
      </c>
    </row>
    <row r="7174" spans="1:12" x14ac:dyDescent="0.35">
      <c r="A7174" t="str">
        <f t="shared" si="2733"/>
        <v>4TH MLG</v>
      </c>
      <c r="B7174" t="str">
        <f t="shared" ref="B7174:B7181" si="2737">T("1210 NAVAL FORCES COURT")</f>
        <v>1210 NAVAL FORCES COURT</v>
      </c>
      <c r="C7174" t="str">
        <f t="shared" ref="C7174:C7181" si="2738">T("BLDG 440")</f>
        <v>BLDG 440</v>
      </c>
      <c r="D7174" t="str">
        <f t="shared" si="2734"/>
        <v>MARIETTA</v>
      </c>
      <c r="E7174" t="str">
        <f t="shared" si="2735"/>
        <v>GA</v>
      </c>
      <c r="F7174" t="str">
        <f t="shared" si="2736"/>
        <v>300695200</v>
      </c>
      <c r="G7174" t="str">
        <f>T("1210 NAVAL FORCES COURT")</f>
        <v>1210 NAVAL FORCES COURT</v>
      </c>
      <c r="H7174" t="str">
        <f>T("BLDG 440")</f>
        <v>BLDG 440</v>
      </c>
      <c r="I7174" t="str">
        <f>T("MARIETTA")</f>
        <v>MARIETTA</v>
      </c>
      <c r="J7174" t="str">
        <f>T("GA")</f>
        <v>GA</v>
      </c>
      <c r="K7174" t="str">
        <f>T("6786554371")</f>
        <v>6786554371</v>
      </c>
      <c r="L7174" t="str">
        <f>T("6786553490")</f>
        <v>6786553490</v>
      </c>
    </row>
    <row r="7175" spans="1:12" x14ac:dyDescent="0.35">
      <c r="A7175" t="str">
        <f t="shared" si="2733"/>
        <v>4TH MLG</v>
      </c>
      <c r="B7175" t="str">
        <f t="shared" si="2737"/>
        <v>1210 NAVAL FORCES COURT</v>
      </c>
      <c r="C7175" t="str">
        <f t="shared" si="2738"/>
        <v>BLDG 440</v>
      </c>
      <c r="D7175" t="str">
        <f t="shared" si="2734"/>
        <v>MARIETTA</v>
      </c>
      <c r="E7175" t="str">
        <f t="shared" si="2735"/>
        <v>GA</v>
      </c>
      <c r="F7175" t="str">
        <f t="shared" si="2736"/>
        <v>300695200</v>
      </c>
      <c r="G7175" t="str">
        <f>T("1210 NAVAL FORCES COURT")</f>
        <v>1210 NAVAL FORCES COURT</v>
      </c>
      <c r="H7175" t="str">
        <f>T("BUILDING 446")</f>
        <v>BUILDING 446</v>
      </c>
      <c r="I7175" t="str">
        <f>T("MARIETTA")</f>
        <v>MARIETTA</v>
      </c>
      <c r="J7175" t="str">
        <f>T("GA")</f>
        <v>GA</v>
      </c>
      <c r="K7175" t="str">
        <f>T("6786554371")</f>
        <v>6786554371</v>
      </c>
      <c r="L7175" t="str">
        <f>T("6786554390")</f>
        <v>6786554390</v>
      </c>
    </row>
    <row r="7176" spans="1:12" x14ac:dyDescent="0.35">
      <c r="A7176" t="str">
        <f t="shared" si="2733"/>
        <v>4TH MLG</v>
      </c>
      <c r="B7176" t="str">
        <f t="shared" si="2737"/>
        <v>1210 NAVAL FORCES COURT</v>
      </c>
      <c r="C7176" t="str">
        <f t="shared" si="2738"/>
        <v>BLDG 440</v>
      </c>
      <c r="D7176" t="str">
        <f t="shared" si="2734"/>
        <v>MARIETTA</v>
      </c>
      <c r="E7176" t="str">
        <f t="shared" si="2735"/>
        <v>GA</v>
      </c>
      <c r="F7176" t="str">
        <f t="shared" si="2736"/>
        <v>300695200</v>
      </c>
      <c r="G7176" t="str">
        <f>T("1210 NAVAL FORCES COURT")</f>
        <v>1210 NAVAL FORCES COURT</v>
      </c>
      <c r="H7176" t="str">
        <f>T("BUILDING 446")</f>
        <v>BUILDING 446</v>
      </c>
      <c r="I7176" t="str">
        <f>T("MARIETTA")</f>
        <v>MARIETTA</v>
      </c>
      <c r="J7176" t="str">
        <f>T("GA")</f>
        <v>GA</v>
      </c>
      <c r="K7176" t="str">
        <f>T("6786554371")</f>
        <v>6786554371</v>
      </c>
      <c r="L7176" t="str">
        <f>T("6786559597")</f>
        <v>6786559597</v>
      </c>
    </row>
    <row r="7177" spans="1:12" x14ac:dyDescent="0.35">
      <c r="A7177" t="str">
        <f t="shared" si="2733"/>
        <v>4TH MLG</v>
      </c>
      <c r="B7177" t="str">
        <f t="shared" si="2737"/>
        <v>1210 NAVAL FORCES COURT</v>
      </c>
      <c r="C7177" t="str">
        <f t="shared" si="2738"/>
        <v>BLDG 440</v>
      </c>
      <c r="D7177" t="str">
        <f t="shared" si="2734"/>
        <v>MARIETTA</v>
      </c>
      <c r="E7177" t="str">
        <f t="shared" si="2735"/>
        <v>GA</v>
      </c>
      <c r="F7177" t="str">
        <f t="shared" si="2736"/>
        <v>300695200</v>
      </c>
      <c r="G7177" t="str">
        <f>T("4780 W LEATHERNECK DRIVE")</f>
        <v>4780 W LEATHERNECK DRIVE</v>
      </c>
      <c r="H7177" t="str">
        <f>T("")</f>
        <v/>
      </c>
      <c r="I7177" t="str">
        <f>T("PERU")</f>
        <v>PERU</v>
      </c>
      <c r="J7177" t="str">
        <f>T("IN")</f>
        <v>IN</v>
      </c>
      <c r="K7177" t="str">
        <f>T("7656884413")</f>
        <v>7656884413</v>
      </c>
      <c r="L7177" t="str">
        <f>T("7656884410")</f>
        <v>7656884410</v>
      </c>
    </row>
    <row r="7178" spans="1:12" x14ac:dyDescent="0.35">
      <c r="A7178" t="str">
        <f t="shared" si="2733"/>
        <v>4TH MLG</v>
      </c>
      <c r="B7178" t="str">
        <f t="shared" si="2737"/>
        <v>1210 NAVAL FORCES COURT</v>
      </c>
      <c r="C7178" t="str">
        <f t="shared" si="2738"/>
        <v>BLDG 440</v>
      </c>
      <c r="D7178" t="str">
        <f t="shared" si="2734"/>
        <v>MARIETTA</v>
      </c>
      <c r="E7178" t="str">
        <f t="shared" si="2735"/>
        <v>GA</v>
      </c>
      <c r="F7178" t="str">
        <f t="shared" si="2736"/>
        <v>300695200</v>
      </c>
      <c r="G7178" t="str">
        <f>T("4780 W LEATHERNECK DRIVE")</f>
        <v>4780 W LEATHERNECK DRIVE</v>
      </c>
      <c r="H7178" t="str">
        <f>T("")</f>
        <v/>
      </c>
      <c r="I7178" t="str">
        <f>T("PERU")</f>
        <v>PERU</v>
      </c>
      <c r="J7178" t="str">
        <f>T("IN")</f>
        <v>IN</v>
      </c>
      <c r="K7178" t="str">
        <f>T("7656884413")</f>
        <v>7656884413</v>
      </c>
      <c r="L7178" t="str">
        <f>T("7656884415")</f>
        <v>7656884415</v>
      </c>
    </row>
    <row r="7179" spans="1:12" x14ac:dyDescent="0.35">
      <c r="A7179" t="str">
        <f t="shared" si="2733"/>
        <v>4TH MLG</v>
      </c>
      <c r="B7179" t="str">
        <f t="shared" si="2737"/>
        <v>1210 NAVAL FORCES COURT</v>
      </c>
      <c r="C7179" t="str">
        <f t="shared" si="2738"/>
        <v>BLDG 440</v>
      </c>
      <c r="D7179" t="str">
        <f t="shared" si="2734"/>
        <v>MARIETTA</v>
      </c>
      <c r="E7179" t="str">
        <f t="shared" si="2735"/>
        <v>GA</v>
      </c>
      <c r="F7179" t="str">
        <f t="shared" si="2736"/>
        <v>300695200</v>
      </c>
      <c r="G7179" t="str">
        <f>T("62 LEONARD NEAL ST")</f>
        <v>62 LEONARD NEAL ST</v>
      </c>
      <c r="H7179" t="str">
        <f>T("BUILDING 1281")</f>
        <v>BUILDING 1281</v>
      </c>
      <c r="I7179" t="str">
        <f>T("HUNTER ARMY AIR FIELD")</f>
        <v>HUNTER ARMY AIR FIELD</v>
      </c>
      <c r="J7179" t="str">
        <f>T("GA")</f>
        <v>GA</v>
      </c>
      <c r="K7179" t="str">
        <f>T("000000000000000000")</f>
        <v>000000000000000000</v>
      </c>
      <c r="L7179" t="str">
        <f>T("6786554390")</f>
        <v>6786554390</v>
      </c>
    </row>
    <row r="7180" spans="1:12" x14ac:dyDescent="0.35">
      <c r="A7180" t="str">
        <f t="shared" si="2733"/>
        <v>4TH MLG</v>
      </c>
      <c r="B7180" t="str">
        <f t="shared" si="2737"/>
        <v>1210 NAVAL FORCES COURT</v>
      </c>
      <c r="C7180" t="str">
        <f t="shared" si="2738"/>
        <v>BLDG 440</v>
      </c>
      <c r="D7180" t="str">
        <f t="shared" si="2734"/>
        <v>MARIETTA</v>
      </c>
      <c r="E7180" t="str">
        <f t="shared" si="2735"/>
        <v>GA</v>
      </c>
      <c r="F7180" t="str">
        <f t="shared" si="2736"/>
        <v>300695200</v>
      </c>
      <c r="G7180" t="str">
        <f>T("7838 MCCLOUD RD")</f>
        <v>7838 MCCLOUD RD</v>
      </c>
      <c r="H7180" t="str">
        <f>T("")</f>
        <v/>
      </c>
      <c r="I7180" t="str">
        <f>T("GREENSBORO")</f>
        <v>GREENSBORO</v>
      </c>
      <c r="J7180" t="str">
        <f>T("NC")</f>
        <v>NC</v>
      </c>
      <c r="K7180" t="str">
        <f>T("3366680866314")</f>
        <v>3366680866314</v>
      </c>
      <c r="L7180" t="str">
        <f>T("3366680866")</f>
        <v>3366680866</v>
      </c>
    </row>
    <row r="7181" spans="1:12" x14ac:dyDescent="0.35">
      <c r="A7181" t="str">
        <f t="shared" si="2733"/>
        <v>4TH MLG</v>
      </c>
      <c r="B7181" t="str">
        <f t="shared" si="2737"/>
        <v>1210 NAVAL FORCES COURT</v>
      </c>
      <c r="C7181" t="str">
        <f t="shared" si="2738"/>
        <v>BLDG 440</v>
      </c>
      <c r="D7181" t="str">
        <f t="shared" si="2734"/>
        <v>MARIETTA</v>
      </c>
      <c r="E7181" t="str">
        <f t="shared" si="2735"/>
        <v>GA</v>
      </c>
      <c r="F7181" t="str">
        <f t="shared" si="2736"/>
        <v>300695200</v>
      </c>
      <c r="G7181" t="str">
        <f>T("COMBAT LOGISTICS REGIMENT 45")</f>
        <v>COMBAT LOGISTICS REGIMENT 45</v>
      </c>
      <c r="H7181" t="str">
        <f>T("1880 ROSWELL ST SE")</f>
        <v>1880 ROSWELL ST SE</v>
      </c>
      <c r="I7181" t="str">
        <f>T("SMYRNA")</f>
        <v>SMYRNA</v>
      </c>
      <c r="J7181" t="str">
        <f>T("GA")</f>
        <v>GA</v>
      </c>
      <c r="K7181" t="str">
        <f>T("6786557326")</f>
        <v>6786557326</v>
      </c>
      <c r="L7181" t="str">
        <f>T("6786557322")</f>
        <v>6786557322</v>
      </c>
    </row>
    <row r="7182" spans="1:12" x14ac:dyDescent="0.35">
      <c r="A7182" t="str">
        <f t="shared" si="2733"/>
        <v>4TH MLG</v>
      </c>
      <c r="B7182" t="str">
        <f>T("3805 EAST 155TH STREET")</f>
        <v>3805 EAST 155TH STREET</v>
      </c>
      <c r="C7182" t="str">
        <f t="shared" ref="C7182:C7187" si="2739">T("")</f>
        <v/>
      </c>
      <c r="D7182" t="str">
        <f>T("KANSAS CITY")</f>
        <v>KANSAS CITY</v>
      </c>
      <c r="E7182" t="str">
        <f>T("MO")</f>
        <v>MO</v>
      </c>
      <c r="F7182" t="str">
        <f>T("641471309")</f>
        <v>641471309</v>
      </c>
      <c r="G7182" t="str">
        <f>T("3805 E 155TH ST")</f>
        <v>3805 E 155TH ST</v>
      </c>
      <c r="H7182" t="str">
        <f>T("")</f>
        <v/>
      </c>
      <c r="I7182" t="str">
        <f>T("KANSAS CITY")</f>
        <v>KANSAS CITY</v>
      </c>
      <c r="J7182" t="str">
        <f>T("MO")</f>
        <v>MO</v>
      </c>
      <c r="K7182" t="str">
        <f>T("8168433529")</f>
        <v>8168433529</v>
      </c>
      <c r="L7182" t="str">
        <f>T("8168433588")</f>
        <v>8168433588</v>
      </c>
    </row>
    <row r="7183" spans="1:12" x14ac:dyDescent="0.35">
      <c r="A7183" t="str">
        <f t="shared" si="2733"/>
        <v>4TH MLG</v>
      </c>
      <c r="B7183" t="str">
        <f>T("3805 EAST 155TH STREET")</f>
        <v>3805 EAST 155TH STREET</v>
      </c>
      <c r="C7183" t="str">
        <f t="shared" si="2739"/>
        <v/>
      </c>
      <c r="D7183" t="str">
        <f>T("KANSAS CITY")</f>
        <v>KANSAS CITY</v>
      </c>
      <c r="E7183" t="str">
        <f>T("MO")</f>
        <v>MO</v>
      </c>
      <c r="F7183" t="str">
        <f>T("641471309")</f>
        <v>641471309</v>
      </c>
      <c r="G7183" t="str">
        <f>T("3805 E 155TH ST")</f>
        <v>3805 E 155TH ST</v>
      </c>
      <c r="H7183" t="str">
        <f>T("")</f>
        <v/>
      </c>
      <c r="I7183" t="str">
        <f>T("KANSAS CITY")</f>
        <v>KANSAS CITY</v>
      </c>
      <c r="J7183" t="str">
        <f>T("MO")</f>
        <v>MO</v>
      </c>
      <c r="K7183" t="str">
        <f>T("8168433595")</f>
        <v>8168433595</v>
      </c>
      <c r="L7183" t="str">
        <f>T("8168433589")</f>
        <v>8168433589</v>
      </c>
    </row>
    <row r="7184" spans="1:12" x14ac:dyDescent="0.35">
      <c r="A7184" t="str">
        <f t="shared" si="2733"/>
        <v>4TH MLG</v>
      </c>
      <c r="B7184" t="str">
        <f>T("3805 EAST 155TH STREET")</f>
        <v>3805 EAST 155TH STREET</v>
      </c>
      <c r="C7184" t="str">
        <f t="shared" si="2739"/>
        <v/>
      </c>
      <c r="D7184" t="str">
        <f>T("KANSAS CITY")</f>
        <v>KANSAS CITY</v>
      </c>
      <c r="E7184" t="str">
        <f>T("MO")</f>
        <v>MO</v>
      </c>
      <c r="F7184" t="str">
        <f>T("641471309")</f>
        <v>641471309</v>
      </c>
      <c r="G7184" t="str">
        <f>T("3805 EAST 155TH STREET")</f>
        <v>3805 EAST 155TH STREET</v>
      </c>
      <c r="H7184" t="str">
        <f>T("")</f>
        <v/>
      </c>
      <c r="I7184" t="str">
        <f>T("KANSAS CITY")</f>
        <v>KANSAS CITY</v>
      </c>
      <c r="J7184" t="str">
        <f>T("MO")</f>
        <v>MO</v>
      </c>
      <c r="K7184" t="str">
        <f>T("000000000000000000")</f>
        <v>000000000000000000</v>
      </c>
      <c r="L7184" t="str">
        <f>T("8168433583")</f>
        <v>8168433583</v>
      </c>
    </row>
    <row r="7185" spans="1:12" x14ac:dyDescent="0.35">
      <c r="A7185" t="str">
        <f t="shared" si="2733"/>
        <v>4TH MLG</v>
      </c>
      <c r="B7185" t="str">
        <f>T("6115 NORTH HILLS CIRCLE")</f>
        <v>6115 NORTH HILLS CIRCLE</v>
      </c>
      <c r="C7185" t="str">
        <f t="shared" si="2739"/>
        <v/>
      </c>
      <c r="D7185" t="str">
        <f>T("CHARLOTTE")</f>
        <v>CHARLOTTE</v>
      </c>
      <c r="E7185" t="str">
        <f>T("NC")</f>
        <v>NC</v>
      </c>
      <c r="F7185" t="str">
        <f>T("282136200")</f>
        <v>282136200</v>
      </c>
      <c r="G7185" t="str">
        <f>T("6115 NORTH HILLS CIRCLE")</f>
        <v>6115 NORTH HILLS CIRCLE</v>
      </c>
      <c r="H7185" t="str">
        <f>T("")</f>
        <v/>
      </c>
      <c r="I7185" t="str">
        <f>T("CHARLOTTE")</f>
        <v>CHARLOTTE</v>
      </c>
      <c r="J7185" t="str">
        <f>T("NC")</f>
        <v>NC</v>
      </c>
      <c r="K7185" t="str">
        <f>T("7045980070")</f>
        <v>7045980070</v>
      </c>
      <c r="L7185" t="str">
        <f>T("7045980015")</f>
        <v>7045980015</v>
      </c>
    </row>
    <row r="7186" spans="1:12" x14ac:dyDescent="0.35">
      <c r="A7186" t="str">
        <f t="shared" si="2733"/>
        <v>4TH MLG</v>
      </c>
      <c r="B7186" t="str">
        <f>T("6115 NORTH HILLS CIRCLE")</f>
        <v>6115 NORTH HILLS CIRCLE</v>
      </c>
      <c r="C7186" t="str">
        <f t="shared" si="2739"/>
        <v/>
      </c>
      <c r="D7186" t="str">
        <f>T("CHARLOTTE")</f>
        <v>CHARLOTTE</v>
      </c>
      <c r="E7186" t="str">
        <f>T("NC")</f>
        <v>NC</v>
      </c>
      <c r="F7186" t="str">
        <f>T("282136200")</f>
        <v>282136200</v>
      </c>
      <c r="G7186" t="str">
        <f>T("COMBAT LOGISTICS BATTALION 451")</f>
        <v>COMBAT LOGISTICS BATTALION 451</v>
      </c>
      <c r="H7186" t="str">
        <f>T("6115 NORTH HILLS CIRCLE")</f>
        <v>6115 NORTH HILLS CIRCLE</v>
      </c>
      <c r="I7186" t="str">
        <f>T("CHARLOTTE")</f>
        <v>CHARLOTTE</v>
      </c>
      <c r="J7186" t="str">
        <f>T("NC")</f>
        <v>NC</v>
      </c>
      <c r="K7186" t="str">
        <f>T("7045980015312")</f>
        <v>7045980015312</v>
      </c>
      <c r="L7186" t="str">
        <f>T("7045980015")</f>
        <v>7045980015</v>
      </c>
    </row>
    <row r="7187" spans="1:12" x14ac:dyDescent="0.35">
      <c r="A7187" t="str">
        <f t="shared" si="2733"/>
        <v>4TH MLG</v>
      </c>
      <c r="B7187" t="str">
        <f>T("6115 NORTH HILLS CIRCLE")</f>
        <v>6115 NORTH HILLS CIRCLE</v>
      </c>
      <c r="C7187" t="str">
        <f t="shared" si="2739"/>
        <v/>
      </c>
      <c r="D7187" t="str">
        <f>T("CHARLOTTE")</f>
        <v>CHARLOTTE</v>
      </c>
      <c r="E7187" t="str">
        <f>T("NC")</f>
        <v>NC</v>
      </c>
      <c r="F7187" t="str">
        <f>T("282136200")</f>
        <v>282136200</v>
      </c>
      <c r="G7187" t="str">
        <f>T("COMBAT LOGISTICS BATTALION 451")</f>
        <v>COMBAT LOGISTICS BATTALION 451</v>
      </c>
      <c r="H7187" t="str">
        <f>T("6115 NORTH HILLS CIRCLE")</f>
        <v>6115 NORTH HILLS CIRCLE</v>
      </c>
      <c r="I7187" t="str">
        <f>T("CHARLOTTE")</f>
        <v>CHARLOTTE</v>
      </c>
      <c r="J7187" t="str">
        <f>T("NC")</f>
        <v>NC</v>
      </c>
      <c r="K7187" t="str">
        <f>T("7045980015323")</f>
        <v>7045980015323</v>
      </c>
      <c r="L7187" t="str">
        <f>T("7045980015")</f>
        <v>7045980015</v>
      </c>
    </row>
    <row r="7188" spans="1:12" x14ac:dyDescent="0.35">
      <c r="A7188" t="str">
        <f t="shared" si="2733"/>
        <v>4TH MLG</v>
      </c>
      <c r="B7188" t="str">
        <f>T("AO 4TH MED BN 4TH MLG")</f>
        <v>AO 4TH MED BN 4TH MLG</v>
      </c>
      <c r="C7188" t="str">
        <f>T("9955 POMERADO RD")</f>
        <v>9955 POMERADO RD</v>
      </c>
      <c r="D7188" t="str">
        <f>T("SAN DIEGO")</f>
        <v>SAN DIEGO</v>
      </c>
      <c r="E7188" t="str">
        <f>T("CA")</f>
        <v>CA</v>
      </c>
      <c r="F7188" t="str">
        <f>T("921312041")</f>
        <v>921312041</v>
      </c>
      <c r="G7188" t="str">
        <f>T("AO 4TH MED BN 4TH MLG")</f>
        <v>AO 4TH MED BN 4TH MLG</v>
      </c>
      <c r="H7188" t="str">
        <f>T("9955 POMERADO RD")</f>
        <v>9955 POMERADO RD</v>
      </c>
      <c r="I7188" t="str">
        <f>T("SAN DIEGO")</f>
        <v>SAN DIEGO</v>
      </c>
      <c r="J7188" t="str">
        <f>T("CA")</f>
        <v>CA</v>
      </c>
      <c r="K7188" t="str">
        <f>T("8585378056")</f>
        <v>8585378056</v>
      </c>
      <c r="L7188" t="str">
        <f>T("8585378075")</f>
        <v>8585378075</v>
      </c>
    </row>
    <row r="7189" spans="1:12" x14ac:dyDescent="0.35">
      <c r="A7189" t="str">
        <f t="shared" si="2733"/>
        <v>4TH MLG</v>
      </c>
      <c r="B7189" t="str">
        <f>T("AO 4TH MED BN 4TH MLG")</f>
        <v>AO 4TH MED BN 4TH MLG</v>
      </c>
      <c r="C7189" t="str">
        <f>T("9955 POMERADO RD")</f>
        <v>9955 POMERADO RD</v>
      </c>
      <c r="D7189" t="str">
        <f>T("SAN DIEGO")</f>
        <v>SAN DIEGO</v>
      </c>
      <c r="E7189" t="str">
        <f>T("CA")</f>
        <v>CA</v>
      </c>
      <c r="F7189" t="str">
        <f>T("921312041")</f>
        <v>921312041</v>
      </c>
      <c r="G7189" t="str">
        <f>T("PCH 4TH MED BN 4MLG MCRTC")</f>
        <v>PCH 4TH MED BN 4MLG MCRTC</v>
      </c>
      <c r="H7189" t="str">
        <f>T("9955 POMERADO RD")</f>
        <v>9955 POMERADO RD</v>
      </c>
      <c r="I7189" t="str">
        <f>T("SAN DIEGO")</f>
        <v>SAN DIEGO</v>
      </c>
      <c r="J7189" t="str">
        <f>T("CA")</f>
        <v>CA</v>
      </c>
      <c r="K7189" t="str">
        <f>T("8585378056")</f>
        <v>8585378056</v>
      </c>
      <c r="L7189" t="str">
        <f>T("8585378098")</f>
        <v>8585378098</v>
      </c>
    </row>
    <row r="7190" spans="1:12" x14ac:dyDescent="0.35">
      <c r="A7190" t="str">
        <f t="shared" si="2733"/>
        <v>4TH MLG</v>
      </c>
      <c r="B7190" t="str">
        <f>T("AO 6TH COMM BN 4MLG NMCRC")</f>
        <v>AO 6TH COMM BN 4MLG NMCRC</v>
      </c>
      <c r="C7190" t="str">
        <f>T("AFRC FLOYD BENNETT FIELD")</f>
        <v>AFRC FLOYD BENNETT FIELD</v>
      </c>
      <c r="D7190" t="str">
        <f>T("BROOKLYN")</f>
        <v>BROOKLYN</v>
      </c>
      <c r="E7190" t="str">
        <f>T("NY")</f>
        <v>NY</v>
      </c>
      <c r="F7190" t="str">
        <f>T("112340000")</f>
        <v>112340000</v>
      </c>
      <c r="G7190" t="str">
        <f>T("AO 6TH COMM BN 4MLG NMCRC")</f>
        <v>AO 6TH COMM BN 4MLG NMCRC</v>
      </c>
      <c r="H7190" t="str">
        <f>T("AFRC FLOYD BENNETT FIELD")</f>
        <v>AFRC FLOYD BENNETT FIELD</v>
      </c>
      <c r="I7190" t="str">
        <f>T("BROOKLYN")</f>
        <v>BROOKLYN</v>
      </c>
      <c r="J7190" t="str">
        <f>T("NY")</f>
        <v>NY</v>
      </c>
      <c r="K7190" t="str">
        <f>T("")</f>
        <v/>
      </c>
      <c r="L7190" t="str">
        <f>T("1111111111")</f>
        <v>1111111111</v>
      </c>
    </row>
    <row r="7191" spans="1:12" x14ac:dyDescent="0.35">
      <c r="A7191" t="str">
        <f t="shared" si="2733"/>
        <v>4TH MLG</v>
      </c>
      <c r="B7191" t="str">
        <f>T("AO 6TH COMM BN 4MLG NMCRC")</f>
        <v>AO 6TH COMM BN 4MLG NMCRC</v>
      </c>
      <c r="C7191" t="str">
        <f>T("AFRC FLOYD BENNETT FIELD")</f>
        <v>AFRC FLOYD BENNETT FIELD</v>
      </c>
      <c r="D7191" t="str">
        <f>T("BROOKLYN")</f>
        <v>BROOKLYN</v>
      </c>
      <c r="E7191" t="str">
        <f>T("NY")</f>
        <v>NY</v>
      </c>
      <c r="F7191" t="str">
        <f>T("112340000")</f>
        <v>112340000</v>
      </c>
      <c r="G7191" t="str">
        <f>T("PCH 6COMM BN 4MLG")</f>
        <v>PCH 6COMM BN 4MLG</v>
      </c>
      <c r="H7191" t="str">
        <f>T("1 AVIATION RD/ FLOYD BENNET FIELD")</f>
        <v>1 AVIATION RD/ FLOYD BENNET FIELD</v>
      </c>
      <c r="I7191" t="str">
        <f>T("BROOKLYN")</f>
        <v>BROOKLYN</v>
      </c>
      <c r="J7191" t="str">
        <f>T("NY")</f>
        <v>NY</v>
      </c>
      <c r="K7191" t="str">
        <f>T("7182523100259")</f>
        <v>7182523100259</v>
      </c>
      <c r="L7191" t="str">
        <f>T("7182523100")</f>
        <v>7182523100</v>
      </c>
    </row>
    <row r="7192" spans="1:12" x14ac:dyDescent="0.35">
      <c r="A7192" t="str">
        <f t="shared" si="2733"/>
        <v>4TH MLG</v>
      </c>
      <c r="B7192" t="str">
        <f>T("AO 6TH COMM BN 4MLG NMCRC")</f>
        <v>AO 6TH COMM BN 4MLG NMCRC</v>
      </c>
      <c r="C7192" t="str">
        <f>T("AFRC FLOYD BENNETT FIELD")</f>
        <v>AFRC FLOYD BENNETT FIELD</v>
      </c>
      <c r="D7192" t="str">
        <f>T("BROOKLYN")</f>
        <v>BROOKLYN</v>
      </c>
      <c r="E7192" t="str">
        <f>T("NY")</f>
        <v>NY</v>
      </c>
      <c r="F7192" t="str">
        <f>T("112340000")</f>
        <v>112340000</v>
      </c>
      <c r="G7192" t="str">
        <f>T("PCH 6COMM BN 4MLG")</f>
        <v>PCH 6COMM BN 4MLG</v>
      </c>
      <c r="H7192" t="str">
        <f>T("1 AVIATION RD/ FLOYD BENNET FIELD")</f>
        <v>1 AVIATION RD/ FLOYD BENNET FIELD</v>
      </c>
      <c r="I7192" t="str">
        <f>T("BROOKLYN")</f>
        <v>BROOKLYN</v>
      </c>
      <c r="J7192" t="str">
        <f>T("NY")</f>
        <v>NY</v>
      </c>
      <c r="K7192" t="str">
        <f>T("7182525139")</f>
        <v>7182525139</v>
      </c>
      <c r="L7192" t="str">
        <f>T("1111111111")</f>
        <v>1111111111</v>
      </c>
    </row>
    <row r="7193" spans="1:12" x14ac:dyDescent="0.35">
      <c r="A7193" t="str">
        <f t="shared" si="2733"/>
        <v>4TH MLG</v>
      </c>
      <c r="B7193" t="str">
        <f t="shared" ref="B7193:B7198" si="2740">T("CLB 23")</f>
        <v>CLB 23</v>
      </c>
      <c r="C7193" t="str">
        <f t="shared" ref="C7193:C7198" si="2741">T("BOX 339500 MILSTOP 105")</f>
        <v>BOX 339500 MILSTOP 105</v>
      </c>
      <c r="D7193" t="str">
        <f t="shared" ref="D7193:D7198" si="2742">T("LEWIS MCCHORD")</f>
        <v>LEWIS MCCHORD</v>
      </c>
      <c r="E7193" t="str">
        <f t="shared" ref="E7193:E7198" si="2743">T("WA")</f>
        <v>WA</v>
      </c>
      <c r="F7193" t="str">
        <f t="shared" ref="F7193:F7198" si="2744">T("984339500")</f>
        <v>984339500</v>
      </c>
      <c r="G7193" t="str">
        <f>T("3106 PIERCE PKWY SUITE C")</f>
        <v>3106 PIERCE PKWY SUITE C</v>
      </c>
      <c r="H7193" t="str">
        <f>T("")</f>
        <v/>
      </c>
      <c r="I7193" t="str">
        <f>T("SPRINGFIELD")</f>
        <v>SPRINGFIELD</v>
      </c>
      <c r="J7193" t="str">
        <f>T("OR")</f>
        <v>OR</v>
      </c>
      <c r="K7193" t="str">
        <f>T("000000000000000000")</f>
        <v>000000000000000000</v>
      </c>
      <c r="L7193" t="str">
        <f>T("5414637292")</f>
        <v>5414637292</v>
      </c>
    </row>
    <row r="7194" spans="1:12" x14ac:dyDescent="0.35">
      <c r="A7194" t="str">
        <f t="shared" si="2733"/>
        <v>4TH MLG</v>
      </c>
      <c r="B7194" t="str">
        <f t="shared" si="2740"/>
        <v>CLB 23</v>
      </c>
      <c r="C7194" t="str">
        <f t="shared" si="2741"/>
        <v>BOX 339500 MILSTOP 105</v>
      </c>
      <c r="D7194" t="str">
        <f t="shared" si="2742"/>
        <v>LEWIS MCCHORD</v>
      </c>
      <c r="E7194" t="str">
        <f t="shared" si="2743"/>
        <v>WA</v>
      </c>
      <c r="F7194" t="str">
        <f t="shared" si="2744"/>
        <v>984339500</v>
      </c>
      <c r="G7194" t="str">
        <f>T("400 E ROTH RD BLDG S75")</f>
        <v>400 E ROTH RD BLDG S75</v>
      </c>
      <c r="H7194" t="str">
        <f>T("")</f>
        <v/>
      </c>
      <c r="I7194" t="str">
        <f>T("LATHROP")</f>
        <v>LATHROP</v>
      </c>
      <c r="J7194" t="str">
        <f>T("CA")</f>
        <v>CA</v>
      </c>
      <c r="K7194" t="str">
        <f>T("000000000000000000")</f>
        <v>000000000000000000</v>
      </c>
      <c r="L7194" t="str">
        <f>T("2099324683")</f>
        <v>2099324683</v>
      </c>
    </row>
    <row r="7195" spans="1:12" x14ac:dyDescent="0.35">
      <c r="A7195" t="str">
        <f t="shared" si="2733"/>
        <v>4TH MLG</v>
      </c>
      <c r="B7195" t="str">
        <f t="shared" si="2740"/>
        <v>CLB 23</v>
      </c>
      <c r="C7195" t="str">
        <f t="shared" si="2741"/>
        <v>BOX 339500 MILSTOP 105</v>
      </c>
      <c r="D7195" t="str">
        <f t="shared" si="2742"/>
        <v>LEWIS MCCHORD</v>
      </c>
      <c r="E7195" t="str">
        <f t="shared" si="2743"/>
        <v>WA</v>
      </c>
      <c r="F7195" t="str">
        <f t="shared" si="2744"/>
        <v>984339500</v>
      </c>
      <c r="G7195" t="str">
        <f>T("BLDG 9690 NORTH L STREET")</f>
        <v>BLDG 9690 NORTH L STREET</v>
      </c>
      <c r="H7195" t="str">
        <f>T("")</f>
        <v/>
      </c>
      <c r="I7195" t="str">
        <f>T("JB LEWIS MCCHORD")</f>
        <v>JB LEWIS MCCHORD</v>
      </c>
      <c r="J7195" t="str">
        <f>T("WA")</f>
        <v>WA</v>
      </c>
      <c r="K7195" t="str">
        <f>T("2099823808")</f>
        <v>2099823808</v>
      </c>
      <c r="L7195" t="str">
        <f>T("2539687128")</f>
        <v>2539687128</v>
      </c>
    </row>
    <row r="7196" spans="1:12" x14ac:dyDescent="0.35">
      <c r="A7196" t="str">
        <f t="shared" si="2733"/>
        <v>4TH MLG</v>
      </c>
      <c r="B7196" t="str">
        <f t="shared" si="2740"/>
        <v>CLB 23</v>
      </c>
      <c r="C7196" t="str">
        <f t="shared" si="2741"/>
        <v>BOX 339500 MILSTOP 105</v>
      </c>
      <c r="D7196" t="str">
        <f t="shared" si="2742"/>
        <v>LEWIS MCCHORD</v>
      </c>
      <c r="E7196" t="str">
        <f t="shared" si="2743"/>
        <v>WA</v>
      </c>
      <c r="F7196" t="str">
        <f t="shared" si="2744"/>
        <v>984339500</v>
      </c>
      <c r="G7196" t="str">
        <f>T("BOX 339500 MILSTOP 105")</f>
        <v>BOX 339500 MILSTOP 105</v>
      </c>
      <c r="H7196" t="str">
        <f>T("")</f>
        <v/>
      </c>
      <c r="I7196" t="str">
        <f>T("JB LEWIS-MCCHORD")</f>
        <v>JB LEWIS-MCCHORD</v>
      </c>
      <c r="J7196" t="str">
        <f>T("WA")</f>
        <v>WA</v>
      </c>
      <c r="K7196" t="str">
        <f>T("000000000000000000")</f>
        <v>000000000000000000</v>
      </c>
      <c r="L7196" t="str">
        <f>T("2539687128")</f>
        <v>2539687128</v>
      </c>
    </row>
    <row r="7197" spans="1:12" x14ac:dyDescent="0.35">
      <c r="A7197" t="str">
        <f t="shared" si="2733"/>
        <v>4TH MLG</v>
      </c>
      <c r="B7197" t="str">
        <f t="shared" si="2740"/>
        <v>CLB 23</v>
      </c>
      <c r="C7197" t="str">
        <f t="shared" si="2741"/>
        <v>BOX 339500 MILSTOP 105</v>
      </c>
      <c r="D7197" t="str">
        <f t="shared" si="2742"/>
        <v>LEWIS MCCHORD</v>
      </c>
      <c r="E7197" t="str">
        <f t="shared" si="2743"/>
        <v>WA</v>
      </c>
      <c r="F7197" t="str">
        <f t="shared" si="2744"/>
        <v>984339500</v>
      </c>
      <c r="G7197" t="str">
        <f>T("CLB 23")</f>
        <v>CLB 23</v>
      </c>
      <c r="H7197" t="str">
        <f>T("8277 ELDER CREEK ROAD")</f>
        <v>8277 ELDER CREEK ROAD</v>
      </c>
      <c r="I7197" t="str">
        <f>T("SACRAMENTO")</f>
        <v>SACRAMENTO</v>
      </c>
      <c r="J7197" t="str">
        <f>T("CA")</f>
        <v>CA</v>
      </c>
      <c r="K7197" t="str">
        <f>T("9163877123237")</f>
        <v>9163877123237</v>
      </c>
      <c r="L7197" t="str">
        <f>T("9163877123")</f>
        <v>9163877123</v>
      </c>
    </row>
    <row r="7198" spans="1:12" x14ac:dyDescent="0.35">
      <c r="A7198" t="str">
        <f t="shared" si="2733"/>
        <v>4TH MLG</v>
      </c>
      <c r="B7198" t="str">
        <f t="shared" si="2740"/>
        <v>CLB 23</v>
      </c>
      <c r="C7198" t="str">
        <f t="shared" si="2741"/>
        <v>BOX 339500 MILSTOP 105</v>
      </c>
      <c r="D7198" t="str">
        <f t="shared" si="2742"/>
        <v>LEWIS MCCHORD</v>
      </c>
      <c r="E7198" t="str">
        <f t="shared" si="2743"/>
        <v>WA</v>
      </c>
      <c r="F7198" t="str">
        <f t="shared" si="2744"/>
        <v>984339500</v>
      </c>
      <c r="G7198" t="str">
        <f>T("CLB 23")</f>
        <v>CLB 23</v>
      </c>
      <c r="H7198" t="str">
        <f>T("BOX 339500 MILSTOP 105")</f>
        <v>BOX 339500 MILSTOP 105</v>
      </c>
      <c r="I7198" t="str">
        <f>T("LEWIS MCCHORD")</f>
        <v>LEWIS MCCHORD</v>
      </c>
      <c r="J7198" t="str">
        <f>T("WA")</f>
        <v>WA</v>
      </c>
      <c r="K7198" t="str">
        <f>T("000000000000000000")</f>
        <v>000000000000000000</v>
      </c>
      <c r="L7198" t="str">
        <f>T("2539687150")</f>
        <v>2539687150</v>
      </c>
    </row>
    <row r="7199" spans="1:12" x14ac:dyDescent="0.35">
      <c r="A7199" t="str">
        <f t="shared" si="2733"/>
        <v>4TH MLG</v>
      </c>
      <c r="B7199" t="str">
        <f>T("M29054 4TH MLG HQ NOLA")</f>
        <v>M29054 4TH MLG HQ NOLA</v>
      </c>
      <c r="C7199" t="str">
        <f>T("2000 OPELOUSAS AVENUE")</f>
        <v>2000 OPELOUSAS AVENUE</v>
      </c>
      <c r="D7199" t="str">
        <f>T("NEW ORLEANS")</f>
        <v>NEW ORLEANS</v>
      </c>
      <c r="E7199" t="str">
        <f>T("LA")</f>
        <v>LA</v>
      </c>
      <c r="F7199" t="str">
        <f>T("701141500")</f>
        <v>701141500</v>
      </c>
      <c r="G7199" t="str">
        <f>T("M29054 4TH MLG HQ NOLA")</f>
        <v>M29054 4TH MLG HQ NOLA</v>
      </c>
      <c r="H7199" t="str">
        <f>T("2000 OPELOUSAS AVENUE")</f>
        <v>2000 OPELOUSAS AVENUE</v>
      </c>
      <c r="I7199" t="str">
        <f>T("NEW ORLEANS")</f>
        <v>NEW ORLEANS</v>
      </c>
      <c r="J7199" t="str">
        <f>T("LA")</f>
        <v>LA</v>
      </c>
      <c r="K7199" t="str">
        <f>T("5046979752")</f>
        <v>5046979752</v>
      </c>
      <c r="L7199" t="str">
        <f>T("5046978421")</f>
        <v>5046978421</v>
      </c>
    </row>
    <row r="7200" spans="1:12" x14ac:dyDescent="0.35">
      <c r="A7200" t="str">
        <f t="shared" si="2733"/>
        <v>4TH MLG</v>
      </c>
      <c r="B7200" t="str">
        <f>T("M29054 4TH MLG HQ NOLA")</f>
        <v>M29054 4TH MLG HQ NOLA</v>
      </c>
      <c r="C7200" t="str">
        <f>T("2000 OPELOUSAS AVENUE")</f>
        <v>2000 OPELOUSAS AVENUE</v>
      </c>
      <c r="D7200" t="str">
        <f>T("NEW ORLEANS")</f>
        <v>NEW ORLEANS</v>
      </c>
      <c r="E7200" t="str">
        <f>T("LA")</f>
        <v>LA</v>
      </c>
      <c r="F7200" t="str">
        <f>T("701141500")</f>
        <v>701141500</v>
      </c>
      <c r="G7200" t="str">
        <f>T("PCH HQ 4TH MLG")</f>
        <v>PCH HQ 4TH MLG</v>
      </c>
      <c r="H7200" t="str">
        <f>T("2000 OPELOUSAS AVE FLOOR 2 RM 2E6400")</f>
        <v>2000 OPELOUSAS AVE FLOOR 2 RM 2E6400</v>
      </c>
      <c r="I7200" t="str">
        <f>T("NEW ORLEANS")</f>
        <v>NEW ORLEANS</v>
      </c>
      <c r="J7200" t="str">
        <f>T("LA")</f>
        <v>LA</v>
      </c>
      <c r="K7200" t="str">
        <f>T("5046979752")</f>
        <v>5046979752</v>
      </c>
      <c r="L7200" t="str">
        <f>T("5046977478")</f>
        <v>5046977478</v>
      </c>
    </row>
    <row r="7201" spans="1:12" x14ac:dyDescent="0.35">
      <c r="A7201" t="str">
        <f t="shared" si="2733"/>
        <v>4TH MLG</v>
      </c>
      <c r="B7201" t="str">
        <f>T("M29054 4TH MLG HQ NOLA")</f>
        <v>M29054 4TH MLG HQ NOLA</v>
      </c>
      <c r="C7201" t="str">
        <f>T("2000 OPELOUSAS AVENUE")</f>
        <v>2000 OPELOUSAS AVENUE</v>
      </c>
      <c r="D7201" t="str">
        <f>T("NEW ORLEANS")</f>
        <v>NEW ORLEANS</v>
      </c>
      <c r="E7201" t="str">
        <f>T("LA")</f>
        <v>LA</v>
      </c>
      <c r="F7201" t="str">
        <f>T("701141500")</f>
        <v>701141500</v>
      </c>
      <c r="G7201" t="str">
        <f>T("PCH HQ 4TH MLG")</f>
        <v>PCH HQ 4TH MLG</v>
      </c>
      <c r="H7201" t="str">
        <f>T("2000 OPELOUSAS AVE FLOOR 2 RM 2E6400")</f>
        <v>2000 OPELOUSAS AVE FLOOR 2 RM 2E6400</v>
      </c>
      <c r="I7201" t="str">
        <f>T("NEW ORLEANS")</f>
        <v>NEW ORLEANS</v>
      </c>
      <c r="J7201" t="str">
        <f>T("LA")</f>
        <v>LA</v>
      </c>
      <c r="K7201" t="str">
        <f>T("5046979752")</f>
        <v>5046979752</v>
      </c>
      <c r="L7201" t="str">
        <f>T("5046977479")</f>
        <v>5046977479</v>
      </c>
    </row>
    <row r="7202" spans="1:12" x14ac:dyDescent="0.35">
      <c r="A7202" t="str">
        <f t="shared" si="2733"/>
        <v>4TH MLG</v>
      </c>
      <c r="B7202" t="str">
        <f>T("M29430 CLB 25/CLR 45")</f>
        <v>M29430 CLB 25/CLR 45</v>
      </c>
      <c r="C7202" t="str">
        <f>T("338 NEWMAN SPRINGS RD")</f>
        <v>338 NEWMAN SPRINGS RD</v>
      </c>
      <c r="D7202" t="str">
        <f>T("RED BANK")</f>
        <v>RED BANK</v>
      </c>
      <c r="E7202" t="str">
        <f>T("NJ")</f>
        <v>NJ</v>
      </c>
      <c r="F7202" t="str">
        <f>T("077015639")</f>
        <v>077015639</v>
      </c>
      <c r="G7202" t="str">
        <f>T("30 WOODWARD AVE")</f>
        <v>30 WOODWARD AVE</v>
      </c>
      <c r="H7202" t="str">
        <f>T("")</f>
        <v/>
      </c>
      <c r="I7202" t="str">
        <f>T("NEW HAVEN")</f>
        <v>NEW HAVEN</v>
      </c>
      <c r="J7202" t="str">
        <f>T("CT")</f>
        <v>CT</v>
      </c>
      <c r="K7202" t="str">
        <f>T("20346753222258")</f>
        <v>20346753222258</v>
      </c>
      <c r="L7202" t="str">
        <f>T("2034675322")</f>
        <v>2034675322</v>
      </c>
    </row>
    <row r="7203" spans="1:12" x14ac:dyDescent="0.35">
      <c r="A7203" t="str">
        <f t="shared" si="2733"/>
        <v>4TH MLG</v>
      </c>
      <c r="B7203" t="str">
        <f>T("M29430 CLB 25/CLR 45")</f>
        <v>M29430 CLB 25/CLR 45</v>
      </c>
      <c r="C7203" t="str">
        <f>T("338 NEWMAN SPRINGS RD")</f>
        <v>338 NEWMAN SPRINGS RD</v>
      </c>
      <c r="D7203" t="str">
        <f>T("RED BANK")</f>
        <v>RED BANK</v>
      </c>
      <c r="E7203" t="str">
        <f>T("NJ")</f>
        <v>NJ</v>
      </c>
      <c r="F7203" t="str">
        <f>T("077015639")</f>
        <v>077015639</v>
      </c>
      <c r="G7203" t="str">
        <f>T("338 NEWMAN SPRINGS ROAD")</f>
        <v>338 NEWMAN SPRINGS ROAD</v>
      </c>
      <c r="H7203" t="str">
        <f>T("")</f>
        <v/>
      </c>
      <c r="I7203" t="str">
        <f>T("RED BANK")</f>
        <v>RED BANK</v>
      </c>
      <c r="J7203" t="str">
        <f>T("NJ")</f>
        <v>NJ</v>
      </c>
      <c r="K7203" t="str">
        <f>T("7327581999")</f>
        <v>7327581999</v>
      </c>
      <c r="L7203" t="str">
        <f>T("7325304500")</f>
        <v>7325304500</v>
      </c>
    </row>
    <row r="7204" spans="1:12" x14ac:dyDescent="0.35">
      <c r="A7204" t="str">
        <f t="shared" si="2733"/>
        <v>4TH MLG</v>
      </c>
      <c r="B7204" t="str">
        <f>T("M29430 CLB 25/CLR 45")</f>
        <v>M29430 CLB 25/CLR 45</v>
      </c>
      <c r="C7204" t="str">
        <f>T("338 NEWMAN SPRINGS RD")</f>
        <v>338 NEWMAN SPRINGS RD</v>
      </c>
      <c r="D7204" t="str">
        <f>T("RED BANK")</f>
        <v>RED BANK</v>
      </c>
      <c r="E7204" t="str">
        <f>T("NJ")</f>
        <v>NJ</v>
      </c>
      <c r="F7204" t="str">
        <f>T("077015639")</f>
        <v>077015639</v>
      </c>
      <c r="G7204" t="str">
        <f>T("M29430 CLB 25/CLR 45")</f>
        <v>M29430 CLB 25/CLR 45</v>
      </c>
      <c r="H7204" t="str">
        <f>T("338 NEWMAN SPRINGS RD")</f>
        <v>338 NEWMAN SPRINGS RD</v>
      </c>
      <c r="I7204" t="str">
        <f>T("RED BANK")</f>
        <v>RED BANK</v>
      </c>
      <c r="J7204" t="str">
        <f>T("NJ")</f>
        <v>NJ</v>
      </c>
      <c r="K7204" t="str">
        <f>T("7327581999")</f>
        <v>7327581999</v>
      </c>
      <c r="L7204" t="str">
        <f>T("1111111111")</f>
        <v>1111111111</v>
      </c>
    </row>
    <row r="7205" spans="1:12" x14ac:dyDescent="0.35">
      <c r="A7205" t="str">
        <f t="shared" si="2733"/>
        <v>4TH MLG</v>
      </c>
      <c r="B7205" t="str">
        <f>T("MARFORRES")</f>
        <v>MARFORRES</v>
      </c>
      <c r="C7205" t="str">
        <f>T("6735 N BASIN AVE")</f>
        <v>6735 N BASIN AVE</v>
      </c>
      <c r="D7205" t="str">
        <f>T("PORTLAND")</f>
        <v>PORTLAND</v>
      </c>
      <c r="E7205" t="str">
        <f>T("OR")</f>
        <v>OR</v>
      </c>
      <c r="F7205" t="str">
        <f>T("972173929")</f>
        <v>972173929</v>
      </c>
      <c r="G7205" t="str">
        <f>T("MARFORRES")</f>
        <v>MARFORRES</v>
      </c>
      <c r="H7205" t="str">
        <f>T("6735 N BASIN AVE")</f>
        <v>6735 N BASIN AVE</v>
      </c>
      <c r="I7205" t="str">
        <f>T("PORTLAND")</f>
        <v>PORTLAND</v>
      </c>
      <c r="J7205" t="str">
        <f>T("OR")</f>
        <v>OR</v>
      </c>
      <c r="K7205" t="str">
        <f>T("5032864611")</f>
        <v>5032864611</v>
      </c>
      <c r="L7205" t="str">
        <f>T("5032863962")</f>
        <v>5032863962</v>
      </c>
    </row>
    <row r="7206" spans="1:12" x14ac:dyDescent="0.35">
      <c r="A7206" t="str">
        <f t="shared" si="2733"/>
        <v>4TH MLG</v>
      </c>
      <c r="B7206" t="str">
        <f>T("MARFORRES")</f>
        <v>MARFORRES</v>
      </c>
      <c r="C7206" t="str">
        <f>T("6735 N BASIN AVE")</f>
        <v>6735 N BASIN AVE</v>
      </c>
      <c r="D7206" t="str">
        <f>T("PORTLAND")</f>
        <v>PORTLAND</v>
      </c>
      <c r="E7206" t="str">
        <f>T("OR")</f>
        <v>OR</v>
      </c>
      <c r="F7206" t="str">
        <f>T("972173929")</f>
        <v>972173929</v>
      </c>
      <c r="G7206" t="str">
        <f>T("PCH 6ESB 4MLG NMCRC")</f>
        <v>PCH 6ESB 4MLG NMCRC</v>
      </c>
      <c r="H7206" t="str">
        <f>T("6735 N BASIN AVE")</f>
        <v>6735 N BASIN AVE</v>
      </c>
      <c r="I7206" t="str">
        <f>T("PORTLAND")</f>
        <v>PORTLAND</v>
      </c>
      <c r="J7206" t="str">
        <f>T("OR")</f>
        <v>OR</v>
      </c>
      <c r="K7206" t="str">
        <f>T("000000000000000000")</f>
        <v>000000000000000000</v>
      </c>
      <c r="L7206" t="str">
        <f>T("5032863962")</f>
        <v>5032863962</v>
      </c>
    </row>
    <row r="7207" spans="1:12" x14ac:dyDescent="0.35">
      <c r="A7207" t="str">
        <f t="shared" si="2733"/>
        <v>4TH MLG</v>
      </c>
      <c r="B7207" t="str">
        <f>T("MARFORRES")</f>
        <v>MARFORRES</v>
      </c>
      <c r="C7207" t="str">
        <f>T("6735 N BASIN AVE")</f>
        <v>6735 N BASIN AVE</v>
      </c>
      <c r="D7207" t="str">
        <f>T("PORTLAND")</f>
        <v>PORTLAND</v>
      </c>
      <c r="E7207" t="str">
        <f>T("OR")</f>
        <v>OR</v>
      </c>
      <c r="F7207" t="str">
        <f>T("972173929")</f>
        <v>972173929</v>
      </c>
      <c r="G7207" t="str">
        <f>T("PCH 6ESB 4MLG NMCRC")</f>
        <v>PCH 6ESB 4MLG NMCRC</v>
      </c>
      <c r="H7207" t="str">
        <f>T("6735 N BASIN AVE")</f>
        <v>6735 N BASIN AVE</v>
      </c>
      <c r="I7207" t="str">
        <f>T("PORTLAND")</f>
        <v>PORTLAND</v>
      </c>
      <c r="J7207" t="str">
        <f>T("OR")</f>
        <v>OR</v>
      </c>
      <c r="K7207" t="str">
        <f>T("50328639626019")</f>
        <v>50328639626019</v>
      </c>
      <c r="L7207" t="str">
        <f>T("5032863962")</f>
        <v>5032863962</v>
      </c>
    </row>
    <row r="7208" spans="1:12" x14ac:dyDescent="0.35">
      <c r="A7208" t="str">
        <f t="shared" si="2733"/>
        <v>4TH MLG</v>
      </c>
      <c r="B7208" t="str">
        <f>T("MARFORRES")</f>
        <v>MARFORRES</v>
      </c>
      <c r="C7208" t="str">
        <f>T("6735 N BASIN AVE")</f>
        <v>6735 N BASIN AVE</v>
      </c>
      <c r="D7208" t="str">
        <f>T("PORTLAND")</f>
        <v>PORTLAND</v>
      </c>
      <c r="E7208" t="str">
        <f>T("OR")</f>
        <v>OR</v>
      </c>
      <c r="F7208" t="str">
        <f>T("972173929")</f>
        <v>972173929</v>
      </c>
      <c r="G7208" t="str">
        <f>T("PCH 6ESB 4MLG NMCRC")</f>
        <v>PCH 6ESB 4MLG NMCRC</v>
      </c>
      <c r="H7208" t="str">
        <f>T("6735 N BASIN AVE")</f>
        <v>6735 N BASIN AVE</v>
      </c>
      <c r="I7208" t="str">
        <f>T("PORTLAND")</f>
        <v>PORTLAND</v>
      </c>
      <c r="J7208" t="str">
        <f>T("OR")</f>
        <v>OR</v>
      </c>
      <c r="K7208" t="str">
        <f>T("50328639626020")</f>
        <v>50328639626020</v>
      </c>
      <c r="L7208" t="str">
        <f>T("5032863962")</f>
        <v>5032863962</v>
      </c>
    </row>
    <row r="7209" spans="1:12" x14ac:dyDescent="0.35">
      <c r="A7209" t="str">
        <f t="shared" ref="A7209:A7240" si="2745">T("WING GREEN")</f>
        <v>WING GREEN</v>
      </c>
      <c r="B7209" t="str">
        <f>T("AO MACG48 4TH MAW")</f>
        <v>AO MACG48 4TH MAW</v>
      </c>
      <c r="C7209" t="str">
        <f>T("2205 DEPOT DR BLDG 3200")</f>
        <v>2205 DEPOT DR BLDG 3200</v>
      </c>
      <c r="D7209" t="str">
        <f>T("GREAT LAKES")</f>
        <v>GREAT LAKES</v>
      </c>
      <c r="E7209" t="str">
        <f>T("IL")</f>
        <v>IL</v>
      </c>
      <c r="F7209" t="str">
        <f>T("600883404")</f>
        <v>600883404</v>
      </c>
      <c r="G7209" t="str">
        <f>T("2205 DEPOT DR BLDG 3200 STE 200")</f>
        <v>2205 DEPOT DR BLDG 3200 STE 200</v>
      </c>
      <c r="H7209" t="str">
        <f>T("UNIT MACG-48")</f>
        <v>UNIT MACG-48</v>
      </c>
      <c r="I7209" t="str">
        <f>T("GREAT LAKES")</f>
        <v>GREAT LAKES</v>
      </c>
      <c r="J7209" t="str">
        <f>T("IL")</f>
        <v>IL</v>
      </c>
      <c r="K7209" t="str">
        <f>T("8476887129430")</f>
        <v>8476887129430</v>
      </c>
      <c r="L7209" t="str">
        <f>T("1111111111")</f>
        <v>1111111111</v>
      </c>
    </row>
    <row r="7210" spans="1:12" x14ac:dyDescent="0.35">
      <c r="A7210" t="str">
        <f t="shared" si="2745"/>
        <v>WING GREEN</v>
      </c>
      <c r="B7210" t="str">
        <f>T("AO MACG48 4TH MAW")</f>
        <v>AO MACG48 4TH MAW</v>
      </c>
      <c r="C7210" t="str">
        <f>T("2205 DEPOT DR BLDG 3200")</f>
        <v>2205 DEPOT DR BLDG 3200</v>
      </c>
      <c r="D7210" t="str">
        <f>T("GREAT LAKES")</f>
        <v>GREAT LAKES</v>
      </c>
      <c r="E7210" t="str">
        <f>T("IL")</f>
        <v>IL</v>
      </c>
      <c r="F7210" t="str">
        <f>T("600883404")</f>
        <v>600883404</v>
      </c>
      <c r="G7210" t="str">
        <f>T("AO MACG48 4TH MAW")</f>
        <v>AO MACG48 4TH MAW</v>
      </c>
      <c r="H7210" t="str">
        <f>T("2205 DEPOT DR BLDG 3200")</f>
        <v>2205 DEPOT DR BLDG 3200</v>
      </c>
      <c r="I7210" t="str">
        <f>T("GREAT LAKES")</f>
        <v>GREAT LAKES</v>
      </c>
      <c r="J7210" t="str">
        <f>T("IL")</f>
        <v>IL</v>
      </c>
      <c r="K7210" t="str">
        <f>T("")</f>
        <v/>
      </c>
      <c r="L7210" t="str">
        <f>T("1111111111")</f>
        <v>1111111111</v>
      </c>
    </row>
    <row r="7211" spans="1:12" x14ac:dyDescent="0.35">
      <c r="A7211" t="str">
        <f t="shared" si="2745"/>
        <v>WING GREEN</v>
      </c>
      <c r="B7211" t="str">
        <f>T("AO MACG48 4TH MAW")</f>
        <v>AO MACG48 4TH MAW</v>
      </c>
      <c r="C7211" t="str">
        <f>T("2205 DEPOT DR BLDG 3200")</f>
        <v>2205 DEPOT DR BLDG 3200</v>
      </c>
      <c r="D7211" t="str">
        <f>T("GREAT LAKES")</f>
        <v>GREAT LAKES</v>
      </c>
      <c r="E7211" t="str">
        <f>T("IL")</f>
        <v>IL</v>
      </c>
      <c r="F7211" t="str">
        <f>T("600883404")</f>
        <v>600883404</v>
      </c>
      <c r="G7211" t="str">
        <f>T("PCH MACG-48 4TH MAW")</f>
        <v>PCH MACG-48 4TH MAW</v>
      </c>
      <c r="H7211" t="str">
        <f>T("2205 DEPOT DR BLDG 3200STE 200")</f>
        <v>2205 DEPOT DR BLDG 3200STE 200</v>
      </c>
      <c r="I7211" t="str">
        <f>T("GREAT LAKES")</f>
        <v>GREAT LAKES</v>
      </c>
      <c r="J7211" t="str">
        <f>T("IL")</f>
        <v>IL</v>
      </c>
      <c r="K7211" t="str">
        <f>T("000000000000000000")</f>
        <v>000000000000000000</v>
      </c>
      <c r="L7211" t="str">
        <f>T("8476887129")</f>
        <v>8476887129</v>
      </c>
    </row>
    <row r="7212" spans="1:12" x14ac:dyDescent="0.35">
      <c r="A7212" t="str">
        <f t="shared" si="2745"/>
        <v>WING GREEN</v>
      </c>
      <c r="B7212" t="str">
        <f>T("AO MACG48 4TH MAW")</f>
        <v>AO MACG48 4TH MAW</v>
      </c>
      <c r="C7212" t="str">
        <f>T("2205 DEPOT DR BLDG 3200")</f>
        <v>2205 DEPOT DR BLDG 3200</v>
      </c>
      <c r="D7212" t="str">
        <f>T("GREAT LAKES")</f>
        <v>GREAT LAKES</v>
      </c>
      <c r="E7212" t="str">
        <f>T("IL")</f>
        <v>IL</v>
      </c>
      <c r="F7212" t="str">
        <f>T("600883404")</f>
        <v>600883404</v>
      </c>
      <c r="G7212" t="str">
        <f>T("PCH MACG-48 4TH MAW")</f>
        <v>PCH MACG-48 4TH MAW</v>
      </c>
      <c r="H7212" t="str">
        <f>T("2205 DEPOT DR BLDG 3200STE 200")</f>
        <v>2205 DEPOT DR BLDG 3200STE 200</v>
      </c>
      <c r="I7212" t="str">
        <f>T("GREAT LAKES")</f>
        <v>GREAT LAKES</v>
      </c>
      <c r="J7212" t="str">
        <f>T("IL")</f>
        <v>IL</v>
      </c>
      <c r="K7212" t="str">
        <f>T("8476887129379")</f>
        <v>8476887129379</v>
      </c>
      <c r="L7212" t="str">
        <f>T("8476887129")</f>
        <v>8476887129</v>
      </c>
    </row>
    <row r="7213" spans="1:12" x14ac:dyDescent="0.35">
      <c r="A7213" t="str">
        <f t="shared" si="2745"/>
        <v>WING GREEN</v>
      </c>
      <c r="B7213" t="str">
        <f>T("AO MACG48 4TH MAW")</f>
        <v>AO MACG48 4TH MAW</v>
      </c>
      <c r="C7213" t="str">
        <f>T("2205 DEPOT DR BLDG 3200")</f>
        <v>2205 DEPOT DR BLDG 3200</v>
      </c>
      <c r="D7213" t="str">
        <f>T("GREAT LAKES")</f>
        <v>GREAT LAKES</v>
      </c>
      <c r="E7213" t="str">
        <f>T("IL")</f>
        <v>IL</v>
      </c>
      <c r="F7213" t="str">
        <f>T("600883404")</f>
        <v>600883404</v>
      </c>
      <c r="G7213" t="str">
        <f>T("PCH MACG-48 4TH MAW")</f>
        <v>PCH MACG-48 4TH MAW</v>
      </c>
      <c r="H7213" t="str">
        <f>T("2205 DEPOT DR BLDG STE200")</f>
        <v>2205 DEPOT DR BLDG STE200</v>
      </c>
      <c r="I7213" t="str">
        <f>T("GREAT LAKES")</f>
        <v>GREAT LAKES</v>
      </c>
      <c r="J7213" t="str">
        <f>T("IL")</f>
        <v>IL</v>
      </c>
      <c r="K7213" t="str">
        <f>T("8476887129352")</f>
        <v>8476887129352</v>
      </c>
      <c r="L7213" t="str">
        <f>T("1111111111")</f>
        <v>1111111111</v>
      </c>
    </row>
    <row r="7214" spans="1:12" x14ac:dyDescent="0.35">
      <c r="A7214" t="str">
        <f t="shared" si="2745"/>
        <v>WING GREEN</v>
      </c>
      <c r="B7214" t="str">
        <f>T("AO MACS24 HQ MACG48 4TH MAW")</f>
        <v>AO MACS24 HQ MACG48 4TH MAW</v>
      </c>
      <c r="C7214" t="str">
        <f>T("BLDG 991 1325 S BIRDENCK RD")</f>
        <v>BLDG 991 1325 S BIRDENCK RD</v>
      </c>
      <c r="D7214" t="str">
        <f>T("VIRGINIA BEACH")</f>
        <v>VIRGINIA BEACH</v>
      </c>
      <c r="E7214" t="str">
        <f>T("VA")</f>
        <v>VA</v>
      </c>
      <c r="F7214" t="str">
        <f>T("234514853")</f>
        <v>234514853</v>
      </c>
      <c r="G7214" t="str">
        <f>T("AO MACS24 HQ MACG48 4TH MAW")</f>
        <v>AO MACS24 HQ MACG48 4TH MAW</v>
      </c>
      <c r="H7214" t="str">
        <f>T("BLDG 991 1325 S BIRDENCK RD")</f>
        <v>BLDG 991 1325 S BIRDENCK RD</v>
      </c>
      <c r="I7214" t="str">
        <f>T("VIRGINIA BEACH")</f>
        <v>VIRGINIA BEACH</v>
      </c>
      <c r="J7214" t="str">
        <f>T("VA")</f>
        <v>VA</v>
      </c>
      <c r="K7214" t="str">
        <f>T("7574927987")</f>
        <v>7574927987</v>
      </c>
      <c r="L7214" t="str">
        <f>T("7574920973")</f>
        <v>7574920973</v>
      </c>
    </row>
    <row r="7215" spans="1:12" x14ac:dyDescent="0.35">
      <c r="A7215" t="str">
        <f t="shared" si="2745"/>
        <v>WING GREEN</v>
      </c>
      <c r="B7215" t="str">
        <f>T("AO MACS24 HQ MACG48 4TH MAW")</f>
        <v>AO MACS24 HQ MACG48 4TH MAW</v>
      </c>
      <c r="C7215" t="str">
        <f>T("BLDG 991 1325 S BIRDENCK RD")</f>
        <v>BLDG 991 1325 S BIRDENCK RD</v>
      </c>
      <c r="D7215" t="str">
        <f>T("VIRGINIA BEACH")</f>
        <v>VIRGINIA BEACH</v>
      </c>
      <c r="E7215" t="str">
        <f>T("VA")</f>
        <v>VA</v>
      </c>
      <c r="F7215" t="str">
        <f>T("234514853")</f>
        <v>234514853</v>
      </c>
      <c r="G7215" t="str">
        <f>T("MACS 24 DET A")</f>
        <v>MACS 24 DET A</v>
      </c>
      <c r="H7215" t="str">
        <f>T("NAS JRB FORTH WORTH BLDG 4243")</f>
        <v>NAS JRB FORTH WORTH BLDG 4243</v>
      </c>
      <c r="I7215" t="str">
        <f>T("FORT WORTH")</f>
        <v>FORT WORTH</v>
      </c>
      <c r="J7215" t="str">
        <f>T("TX")</f>
        <v>TX</v>
      </c>
      <c r="K7215" t="str">
        <f>T("000000000000000000")</f>
        <v>000000000000000000</v>
      </c>
      <c r="L7215" t="str">
        <f>T("8177827249")</f>
        <v>8177827249</v>
      </c>
    </row>
    <row r="7216" spans="1:12" x14ac:dyDescent="0.35">
      <c r="A7216" t="str">
        <f t="shared" si="2745"/>
        <v>WING GREEN</v>
      </c>
      <c r="B7216" t="str">
        <f>T("AO MACS24 HQ MACG48 4TH MAW")</f>
        <v>AO MACS24 HQ MACG48 4TH MAW</v>
      </c>
      <c r="C7216" t="str">
        <f>T("BLDG 991 1325 S BIRDENCK RD")</f>
        <v>BLDG 991 1325 S BIRDENCK RD</v>
      </c>
      <c r="D7216" t="str">
        <f>T("VIRGINIA BEACH")</f>
        <v>VIRGINIA BEACH</v>
      </c>
      <c r="E7216" t="str">
        <f>T("VA")</f>
        <v>VA</v>
      </c>
      <c r="F7216" t="str">
        <f>T("234514853")</f>
        <v>234514853</v>
      </c>
      <c r="G7216" t="str">
        <f>T("PCH MACS-24 HQ 4TH MAW")</f>
        <v>PCH MACS-24 HQ 4TH MAW</v>
      </c>
      <c r="H7216" t="str">
        <f>T("1325 S BIRDNECK RD BLDG 991")</f>
        <v>1325 S BIRDNECK RD BLDG 991</v>
      </c>
      <c r="I7216" t="str">
        <f>T("VIRGINIA BEACH")</f>
        <v>VIRGINIA BEACH</v>
      </c>
      <c r="J7216" t="str">
        <f>T("VA")</f>
        <v>VA</v>
      </c>
      <c r="K7216" t="str">
        <f>T("000000000000000000")</f>
        <v>000000000000000000</v>
      </c>
      <c r="L7216" t="str">
        <f>T("7574920968")</f>
        <v>7574920968</v>
      </c>
    </row>
    <row r="7217" spans="1:12" x14ac:dyDescent="0.35">
      <c r="A7217" t="str">
        <f t="shared" si="2745"/>
        <v>WING GREEN</v>
      </c>
      <c r="B7217" t="str">
        <f>T("AO MACS24 HQ MACG48 4TH MAW")</f>
        <v>AO MACS24 HQ MACG48 4TH MAW</v>
      </c>
      <c r="C7217" t="str">
        <f>T("BLDG 991 1325 S BIRDENCK RD")</f>
        <v>BLDG 991 1325 S BIRDENCK RD</v>
      </c>
      <c r="D7217" t="str">
        <f>T("VIRGINIA BEACH")</f>
        <v>VIRGINIA BEACH</v>
      </c>
      <c r="E7217" t="str">
        <f>T("VA")</f>
        <v>VA</v>
      </c>
      <c r="F7217" t="str">
        <f>T("234514853")</f>
        <v>234514853</v>
      </c>
      <c r="G7217" t="str">
        <f>T("PCH MACS-24 HQ 4TH MAW")</f>
        <v>PCH MACS-24 HQ 4TH MAW</v>
      </c>
      <c r="H7217" t="str">
        <f>T("1325 S BIRDNECK RD BLDG 991")</f>
        <v>1325 S BIRDNECK RD BLDG 991</v>
      </c>
      <c r="I7217" t="str">
        <f>T("VIRGINIA BEACH")</f>
        <v>VIRGINIA BEACH</v>
      </c>
      <c r="J7217" t="str">
        <f>T("VA")</f>
        <v>VA</v>
      </c>
      <c r="K7217" t="str">
        <f>T("000000000000000000")</f>
        <v>000000000000000000</v>
      </c>
      <c r="L7217" t="str">
        <f>T("7574926465")</f>
        <v>7574926465</v>
      </c>
    </row>
    <row r="7218" spans="1:12" x14ac:dyDescent="0.35">
      <c r="A7218" t="str">
        <f t="shared" si="2745"/>
        <v>WING GREEN</v>
      </c>
      <c r="B7218" t="str">
        <f>T("AO MAG49 DET A 4MAW")</f>
        <v>AO MAG49 DET A 4MAW</v>
      </c>
      <c r="C7218" t="str">
        <f>T("525 BLUNK DR BLDG 2067")</f>
        <v>525 BLUNK DR BLDG 2067</v>
      </c>
      <c r="D7218" t="str">
        <f>T("WARNER ROBINS")</f>
        <v>WARNER ROBINS</v>
      </c>
      <c r="E7218" t="str">
        <f>T("GA")</f>
        <v>GA</v>
      </c>
      <c r="F7218" t="str">
        <f>T("310982707")</f>
        <v>310982707</v>
      </c>
      <c r="G7218" t="str">
        <f>T("AO MAG49 DET A 4MAW")</f>
        <v>AO MAG49 DET A 4MAW</v>
      </c>
      <c r="H7218" t="str">
        <f>T("525 BLUNK DR BLDG 2067")</f>
        <v>525 BLUNK DR BLDG 2067</v>
      </c>
      <c r="I7218" t="str">
        <f>T("WARNER ROBINS")</f>
        <v>WARNER ROBINS</v>
      </c>
      <c r="J7218" t="str">
        <f>T("GA")</f>
        <v>GA</v>
      </c>
      <c r="K7218" t="str">
        <f>T("")</f>
        <v/>
      </c>
      <c r="L7218" t="str">
        <f>T("4782225503")</f>
        <v>4782225503</v>
      </c>
    </row>
    <row r="7219" spans="1:12" x14ac:dyDescent="0.35">
      <c r="A7219" t="str">
        <f t="shared" si="2745"/>
        <v>WING GREEN</v>
      </c>
      <c r="B7219" t="str">
        <f>T("AO MASS-6 MAG 48 4MAW BOX 43")</f>
        <v>AO MASS-6 MAG 48 4MAW BOX 43</v>
      </c>
      <c r="C7219" t="str">
        <f>T("570 PATRIOT AVE WESTOVER AFB")</f>
        <v>570 PATRIOT AVE WESTOVER AFB</v>
      </c>
      <c r="D7219" t="str">
        <f>T("CHICOPEE")</f>
        <v>CHICOPEE</v>
      </c>
      <c r="E7219" t="str">
        <f>T("MA")</f>
        <v>MA</v>
      </c>
      <c r="F7219" t="str">
        <f>T("010221613")</f>
        <v>010221613</v>
      </c>
      <c r="G7219" t="str">
        <f>T("AO MASS-6 MAG 48 4MAW BOX 43")</f>
        <v>AO MASS-6 MAG 48 4MAW BOX 43</v>
      </c>
      <c r="H7219" t="str">
        <f>T("570 PATRIOT AVE WESTOVER AFB")</f>
        <v>570 PATRIOT AVE WESTOVER AFB</v>
      </c>
      <c r="I7219" t="str">
        <f>T("CHICOPEE")</f>
        <v>CHICOPEE</v>
      </c>
      <c r="J7219" t="str">
        <f>T("MA")</f>
        <v>MA</v>
      </c>
      <c r="K7219" t="str">
        <f>T("4135573748")</f>
        <v>4135573748</v>
      </c>
      <c r="L7219" t="str">
        <f>T("1111111111")</f>
        <v>1111111111</v>
      </c>
    </row>
    <row r="7220" spans="1:12" x14ac:dyDescent="0.35">
      <c r="A7220" t="str">
        <f t="shared" si="2745"/>
        <v>WING GREEN</v>
      </c>
      <c r="B7220" t="str">
        <f>T("AO MASS-6 MAG 48 4MAW BOX 43")</f>
        <v>AO MASS-6 MAG 48 4MAW BOX 43</v>
      </c>
      <c r="C7220" t="str">
        <f>T("570 PATRIOT AVE WESTOVER AFB")</f>
        <v>570 PATRIOT AVE WESTOVER AFB</v>
      </c>
      <c r="D7220" t="str">
        <f>T("CHICOPEE")</f>
        <v>CHICOPEE</v>
      </c>
      <c r="E7220" t="str">
        <f>T("MA")</f>
        <v>MA</v>
      </c>
      <c r="F7220" t="str">
        <f>T("010221613")</f>
        <v>010221613</v>
      </c>
      <c r="G7220" t="str">
        <f>T("MASS-6 4TH MAW")</f>
        <v>MASS-6 4TH MAW</v>
      </c>
      <c r="H7220" t="str">
        <f>T("570 PATRIOT AVE BOX 43")</f>
        <v>570 PATRIOT AVE BOX 43</v>
      </c>
      <c r="I7220" t="str">
        <f>T("CHICOPEE")</f>
        <v>CHICOPEE</v>
      </c>
      <c r="J7220" t="str">
        <f>T("MA")</f>
        <v>MA</v>
      </c>
      <c r="K7220" t="str">
        <f>T("41355737431168")</f>
        <v>41355737431168</v>
      </c>
      <c r="L7220" t="str">
        <f>T("1111111111")</f>
        <v>1111111111</v>
      </c>
    </row>
    <row r="7221" spans="1:12" x14ac:dyDescent="0.35">
      <c r="A7221" t="str">
        <f t="shared" si="2745"/>
        <v>WING GREEN</v>
      </c>
      <c r="B7221" t="str">
        <f>T("AO MASS-6 MAG 48 4MAW BOX 43")</f>
        <v>AO MASS-6 MAG 48 4MAW BOX 43</v>
      </c>
      <c r="C7221" t="str">
        <f>T("570 PATRIOT AVE WESTOVER AFB")</f>
        <v>570 PATRIOT AVE WESTOVER AFB</v>
      </c>
      <c r="D7221" t="str">
        <f>T("CHICOPEE")</f>
        <v>CHICOPEE</v>
      </c>
      <c r="E7221" t="str">
        <f>T("MA")</f>
        <v>MA</v>
      </c>
      <c r="F7221" t="str">
        <f>T("010221613")</f>
        <v>010221613</v>
      </c>
      <c r="G7221" t="str">
        <f>T("PCH MASS-6 4TH MAW")</f>
        <v>PCH MASS-6 4TH MAW</v>
      </c>
      <c r="H7221" t="str">
        <f>T("570 PATRIOT AVE BOX 43")</f>
        <v>570 PATRIOT AVE BOX 43</v>
      </c>
      <c r="I7221" t="str">
        <f>T("CHICOPEE")</f>
        <v>CHICOPEE</v>
      </c>
      <c r="J7221" t="str">
        <f>T("MA")</f>
        <v>MA</v>
      </c>
      <c r="K7221" t="str">
        <f>T("4135573734")</f>
        <v>4135573734</v>
      </c>
      <c r="L7221" t="str">
        <f>T("4135573743")</f>
        <v>4135573743</v>
      </c>
    </row>
    <row r="7222" spans="1:12" x14ac:dyDescent="0.35">
      <c r="A7222" t="str">
        <f t="shared" si="2745"/>
        <v>WING GREEN</v>
      </c>
      <c r="B7222" t="str">
        <f>T("AO MATSG 42 NAS PENSACOLA")</f>
        <v>AO MATSG 42 NAS PENSACOLA</v>
      </c>
      <c r="C7222" t="str">
        <f>T("211 FARRAR RD BLDG 3450")</f>
        <v>211 FARRAR RD BLDG 3450</v>
      </c>
      <c r="D7222" t="str">
        <f>T("PENSACOLA")</f>
        <v>PENSACOLA</v>
      </c>
      <c r="E7222" t="str">
        <f>T("FL")</f>
        <v>FL</v>
      </c>
      <c r="F7222" t="str">
        <f>T("325085009")</f>
        <v>325085009</v>
      </c>
      <c r="G7222" t="str">
        <f>T("AO MATSG 42 NAS PENSACOLA")</f>
        <v>AO MATSG 42 NAS PENSACOLA</v>
      </c>
      <c r="H7222" t="str">
        <f>T("211 FARRAR RD BLDG 3450")</f>
        <v>211 FARRAR RD BLDG 3450</v>
      </c>
      <c r="I7222" t="str">
        <f>T("PENSACOLA")</f>
        <v>PENSACOLA</v>
      </c>
      <c r="J7222" t="str">
        <f>T("FL")</f>
        <v>FL</v>
      </c>
      <c r="K7222" t="str">
        <f>T("8504522270")</f>
        <v>8504522270</v>
      </c>
      <c r="L7222" t="str">
        <f>T("1111111111")</f>
        <v>1111111111</v>
      </c>
    </row>
    <row r="7223" spans="1:12" x14ac:dyDescent="0.35">
      <c r="A7223" t="str">
        <f t="shared" si="2745"/>
        <v>WING GREEN</v>
      </c>
      <c r="B7223" t="str">
        <f>T("AO MATSG 42 NAS PENSACOLA")</f>
        <v>AO MATSG 42 NAS PENSACOLA</v>
      </c>
      <c r="C7223" t="str">
        <f>T("211 FARRAR RD BLDG 3450")</f>
        <v>211 FARRAR RD BLDG 3450</v>
      </c>
      <c r="D7223" t="str">
        <f>T("PENSACOLA")</f>
        <v>PENSACOLA</v>
      </c>
      <c r="E7223" t="str">
        <f>T("FL")</f>
        <v>FL</v>
      </c>
      <c r="F7223" t="str">
        <f>T("325085009")</f>
        <v>325085009</v>
      </c>
      <c r="G7223" t="str">
        <f>T("PCH MATSG 42 NAS PENSACOLA")</f>
        <v>PCH MATSG 42 NAS PENSACOLA</v>
      </c>
      <c r="H7223" t="str">
        <f>T("211 FARRAF RD BLDG 3450")</f>
        <v>211 FARRAF RD BLDG 3450</v>
      </c>
      <c r="I7223" t="str">
        <f>T("PENSACOLA")</f>
        <v>PENSACOLA</v>
      </c>
      <c r="J7223" t="str">
        <f>T("FL")</f>
        <v>FL</v>
      </c>
      <c r="K7223" t="str">
        <f>T("8504522270")</f>
        <v>8504522270</v>
      </c>
      <c r="L7223" t="str">
        <f>T("8504528762")</f>
        <v>8504528762</v>
      </c>
    </row>
    <row r="7224" spans="1:12" x14ac:dyDescent="0.35">
      <c r="A7224" t="str">
        <f t="shared" si="2745"/>
        <v>WING GREEN</v>
      </c>
      <c r="B7224" t="str">
        <f>T("AO MWSS 471 DET A")</f>
        <v>AO MWSS 471 DET A</v>
      </c>
      <c r="C7224" t="str">
        <f>T("200 AVIATION DRIVE")</f>
        <v>200 AVIATION DRIVE</v>
      </c>
      <c r="D7224" t="str">
        <f>T("JOHNSTOWN")</f>
        <v>JOHNSTOWN</v>
      </c>
      <c r="E7224" t="str">
        <f>T("PA")</f>
        <v>PA</v>
      </c>
      <c r="F7224" t="str">
        <f>T("159027250")</f>
        <v>159027250</v>
      </c>
      <c r="G7224" t="str">
        <f>T("AO MWSS 471 DET A")</f>
        <v>AO MWSS 471 DET A</v>
      </c>
      <c r="H7224" t="str">
        <f>T("200 AVIATION DRIVE")</f>
        <v>200 AVIATION DRIVE</v>
      </c>
      <c r="I7224" t="str">
        <f>T("JOHNSTOWN")</f>
        <v>JOHNSTOWN</v>
      </c>
      <c r="J7224" t="str">
        <f>T("PA")</f>
        <v>PA</v>
      </c>
      <c r="K7224" t="str">
        <f>T("8145398978")</f>
        <v>8145398978</v>
      </c>
      <c r="L7224" t="str">
        <f>T("1111111111")</f>
        <v>1111111111</v>
      </c>
    </row>
    <row r="7225" spans="1:12" x14ac:dyDescent="0.35">
      <c r="A7225" t="str">
        <f t="shared" si="2745"/>
        <v>WING GREEN</v>
      </c>
      <c r="B7225" t="str">
        <f>T("AO MWSS 471 DET A")</f>
        <v>AO MWSS 471 DET A</v>
      </c>
      <c r="C7225" t="str">
        <f>T("200 AVIATION DRIVE")</f>
        <v>200 AVIATION DRIVE</v>
      </c>
      <c r="D7225" t="str">
        <f>T("JOHNSTOWN")</f>
        <v>JOHNSTOWN</v>
      </c>
      <c r="E7225" t="str">
        <f>T("PA")</f>
        <v>PA</v>
      </c>
      <c r="F7225" t="str">
        <f>T("159027250")</f>
        <v>159027250</v>
      </c>
      <c r="G7225" t="str">
        <f>T("PCH AVISUP HMLA 775 JTPA")</f>
        <v>PCH AVISUP HMLA 775 JTPA</v>
      </c>
      <c r="H7225" t="str">
        <f>T("200 AVIATION DRIVE")</f>
        <v>200 AVIATION DRIVE</v>
      </c>
      <c r="I7225" t="str">
        <f>T("JOHNSTOWN")</f>
        <v>JOHNSTOWN</v>
      </c>
      <c r="J7225" t="str">
        <f>T("PA")</f>
        <v>PA</v>
      </c>
      <c r="K7225" t="str">
        <f>T("81453405001020")</f>
        <v>81453405001020</v>
      </c>
      <c r="L7225" t="str">
        <f>T("8145340500")</f>
        <v>8145340500</v>
      </c>
    </row>
    <row r="7226" spans="1:12" x14ac:dyDescent="0.35">
      <c r="A7226" t="str">
        <f t="shared" si="2745"/>
        <v>WING GREEN</v>
      </c>
      <c r="B7226" t="str">
        <f>T("AO MWSS-471")</f>
        <v>AO MWSS-471</v>
      </c>
      <c r="C7226" t="str">
        <f>T("5905 34TH AVE SOUTH")</f>
        <v>5905 34TH AVE SOUTH</v>
      </c>
      <c r="D7226" t="str">
        <f>T("MINNEAPOLIS")</f>
        <v>MINNEAPOLIS</v>
      </c>
      <c r="E7226" t="str">
        <f>T("MN")</f>
        <v>MN</v>
      </c>
      <c r="F7226" t="str">
        <f>T("554502900")</f>
        <v>554502900</v>
      </c>
      <c r="G7226" t="str">
        <f>T("AO MWSS-471")</f>
        <v>AO MWSS-471</v>
      </c>
      <c r="H7226" t="str">
        <f>T("5905 34TH AVE SOUTH")</f>
        <v>5905 34TH AVE SOUTH</v>
      </c>
      <c r="I7226" t="str">
        <f>T("MINNEAPOLIS")</f>
        <v>MINNEAPOLIS</v>
      </c>
      <c r="J7226" t="str">
        <f>T("MN")</f>
        <v>MN</v>
      </c>
      <c r="K7226" t="str">
        <f>T("")</f>
        <v/>
      </c>
      <c r="L7226" t="str">
        <f>T("6127134848")</f>
        <v>6127134848</v>
      </c>
    </row>
    <row r="7227" spans="1:12" x14ac:dyDescent="0.35">
      <c r="A7227" t="str">
        <f t="shared" si="2745"/>
        <v>WING GREEN</v>
      </c>
      <c r="B7227" t="str">
        <f>T("AO MWSS-471")</f>
        <v>AO MWSS-471</v>
      </c>
      <c r="C7227" t="str">
        <f>T("5905 34TH AVE SOUTH")</f>
        <v>5905 34TH AVE SOUTH</v>
      </c>
      <c r="D7227" t="str">
        <f>T("MINNEAPOLIS")</f>
        <v>MINNEAPOLIS</v>
      </c>
      <c r="E7227" t="str">
        <f>T("MN")</f>
        <v>MN</v>
      </c>
      <c r="F7227" t="str">
        <f>T("554502900")</f>
        <v>554502900</v>
      </c>
      <c r="G7227" t="str">
        <f>T("MAG 41 4TH MAW")</f>
        <v>MAG 41 4TH MAW</v>
      </c>
      <c r="H7227" t="str">
        <f>T("5905 34TH AVE S")</f>
        <v>5905 34TH AVE S</v>
      </c>
      <c r="I7227" t="str">
        <f>T("MINNEAPOLIS")</f>
        <v>MINNEAPOLIS</v>
      </c>
      <c r="J7227" t="str">
        <f>T("MN")</f>
        <v>MN</v>
      </c>
      <c r="K7227" t="str">
        <f>T("000000000000000000")</f>
        <v>000000000000000000</v>
      </c>
      <c r="L7227" t="str">
        <f>T("6127134835")</f>
        <v>6127134835</v>
      </c>
    </row>
    <row r="7228" spans="1:12" x14ac:dyDescent="0.35">
      <c r="A7228" t="str">
        <f t="shared" si="2745"/>
        <v>WING GREEN</v>
      </c>
      <c r="B7228" t="str">
        <f>T("AO MWSS-471")</f>
        <v>AO MWSS-471</v>
      </c>
      <c r="C7228" t="str">
        <f>T("5905 34TH AVE SOUTH")</f>
        <v>5905 34TH AVE SOUTH</v>
      </c>
      <c r="D7228" t="str">
        <f>T("MINNEAPOLIS")</f>
        <v>MINNEAPOLIS</v>
      </c>
      <c r="E7228" t="str">
        <f>T("MN")</f>
        <v>MN</v>
      </c>
      <c r="F7228" t="str">
        <f>T("554502900")</f>
        <v>554502900</v>
      </c>
      <c r="G7228" t="str">
        <f>T("PCH MAG 41 4TH MAW")</f>
        <v>PCH MAG 41 4TH MAW</v>
      </c>
      <c r="H7228" t="str">
        <f>T("5905 34TH AVE S")</f>
        <v>5905 34TH AVE S</v>
      </c>
      <c r="I7228" t="str">
        <f>T("MINNEAPOLIS")</f>
        <v>MINNEAPOLIS</v>
      </c>
      <c r="J7228" t="str">
        <f>T("MN")</f>
        <v>MN</v>
      </c>
      <c r="K7228" t="str">
        <f>T("000000000000000000")</f>
        <v>000000000000000000</v>
      </c>
      <c r="L7228" t="str">
        <f>T("6127134825")</f>
        <v>6127134825</v>
      </c>
    </row>
    <row r="7229" spans="1:12" x14ac:dyDescent="0.35">
      <c r="A7229" t="str">
        <f t="shared" si="2745"/>
        <v>WING GREEN</v>
      </c>
      <c r="B7229" t="str">
        <f>T("AO MWSS473")</f>
        <v>AO MWSS473</v>
      </c>
      <c r="C7229" t="str">
        <f>T("PO BOX 452024")</f>
        <v>PO BOX 452024</v>
      </c>
      <c r="D7229" t="str">
        <f>T("SAN DIEGO")</f>
        <v>SAN DIEGO</v>
      </c>
      <c r="E7229" t="str">
        <f>T("CA")</f>
        <v>CA</v>
      </c>
      <c r="F7229" t="str">
        <f>T("921452024")</f>
        <v>921452024</v>
      </c>
      <c r="G7229" t="str">
        <f>T("AO MWSS473")</f>
        <v>AO MWSS473</v>
      </c>
      <c r="H7229" t="str">
        <f>T("PO BOX 452024")</f>
        <v>PO BOX 452024</v>
      </c>
      <c r="I7229" t="str">
        <f>T("SAN DIEGO")</f>
        <v>SAN DIEGO</v>
      </c>
      <c r="J7229" t="str">
        <f>T("CA")</f>
        <v>CA</v>
      </c>
      <c r="K7229" t="str">
        <f>T("")</f>
        <v/>
      </c>
      <c r="L7229" t="str">
        <f>T("8585775582")</f>
        <v>8585775582</v>
      </c>
    </row>
    <row r="7230" spans="1:12" x14ac:dyDescent="0.35">
      <c r="A7230" t="str">
        <f t="shared" si="2745"/>
        <v>WING GREEN</v>
      </c>
      <c r="B7230" t="str">
        <f>T("AO MWSS473")</f>
        <v>AO MWSS473</v>
      </c>
      <c r="C7230" t="str">
        <f>T("PO BOX 452024")</f>
        <v>PO BOX 452024</v>
      </c>
      <c r="D7230" t="str">
        <f>T("SAN DIEGO")</f>
        <v>SAN DIEGO</v>
      </c>
      <c r="E7230" t="str">
        <f>T("CA")</f>
        <v>CA</v>
      </c>
      <c r="F7230" t="str">
        <f>T("921452024")</f>
        <v>921452024</v>
      </c>
      <c r="G7230" t="str">
        <f>T("M01139 MWSS473 DA FCA")</f>
        <v>M01139 MWSS473 DA FCA</v>
      </c>
      <c r="H7230" t="str">
        <f>T("P O BOX 452024")</f>
        <v>P O BOX 452024</v>
      </c>
      <c r="I7230" t="str">
        <f>T("SAN DIEGO")</f>
        <v>SAN DIEGO</v>
      </c>
      <c r="J7230" t="str">
        <f>T("CA")</f>
        <v>CA</v>
      </c>
      <c r="K7230" t="str">
        <f>T("000000000000000000")</f>
        <v>000000000000000000</v>
      </c>
      <c r="L7230" t="str">
        <f>T("8585775507")</f>
        <v>8585775507</v>
      </c>
    </row>
    <row r="7231" spans="1:12" x14ac:dyDescent="0.35">
      <c r="A7231" t="str">
        <f t="shared" si="2745"/>
        <v>WING GREEN</v>
      </c>
      <c r="B7231" t="str">
        <f>T("AO MWSS473")</f>
        <v>AO MWSS473</v>
      </c>
      <c r="C7231" t="str">
        <f>T("PO BOX 452024")</f>
        <v>PO BOX 452024</v>
      </c>
      <c r="D7231" t="str">
        <f>T("SAN DIEGO")</f>
        <v>SAN DIEGO</v>
      </c>
      <c r="E7231" t="str">
        <f>T("CA")</f>
        <v>CA</v>
      </c>
      <c r="F7231" t="str">
        <f>T("921452024")</f>
        <v>921452024</v>
      </c>
      <c r="G7231" t="str">
        <f>T("MCRTC MWSS 473 DET A NAS LEMOORE")</f>
        <v>MCRTC MWSS 473 DET A NAS LEMOORE</v>
      </c>
      <c r="H7231" t="str">
        <f>T("BLDG 783 FRANKLIN AVE")</f>
        <v>BLDG 783 FRANKLIN AVE</v>
      </c>
      <c r="I7231" t="str">
        <f>T("LEMOORE")</f>
        <v>LEMOORE</v>
      </c>
      <c r="J7231" t="str">
        <f>T("CA")</f>
        <v>CA</v>
      </c>
      <c r="K7231" t="str">
        <f>T("000000000000000000")</f>
        <v>000000000000000000</v>
      </c>
      <c r="L7231" t="str">
        <f>T("5599983940")</f>
        <v>5599983940</v>
      </c>
    </row>
    <row r="7232" spans="1:12" x14ac:dyDescent="0.35">
      <c r="A7232" t="str">
        <f t="shared" si="2745"/>
        <v>WING GREEN</v>
      </c>
      <c r="B7232" t="str">
        <f>T("AO MWSS473")</f>
        <v>AO MWSS473</v>
      </c>
      <c r="C7232" t="str">
        <f>T("PO BOX 452024")</f>
        <v>PO BOX 452024</v>
      </c>
      <c r="D7232" t="str">
        <f>T("SAN DIEGO")</f>
        <v>SAN DIEGO</v>
      </c>
      <c r="E7232" t="str">
        <f>T("CA")</f>
        <v>CA</v>
      </c>
      <c r="F7232" t="str">
        <f>T("921452024")</f>
        <v>921452024</v>
      </c>
      <c r="G7232" t="str">
        <f>T("MWSS 473 DET B MAG-41")</f>
        <v>MWSS 473 DET B MAG-41</v>
      </c>
      <c r="H7232" t="str">
        <f>T("NAS JRB FORT WORTH")</f>
        <v>NAS JRB FORT WORTH</v>
      </c>
      <c r="I7232" t="str">
        <f>T("FORT WORTH")</f>
        <v>FORT WORTH</v>
      </c>
      <c r="J7232" t="str">
        <f>T("TX")</f>
        <v>TX</v>
      </c>
      <c r="K7232" t="str">
        <f>T("000000000000000000")</f>
        <v>000000000000000000</v>
      </c>
      <c r="L7232" t="str">
        <f>T("8177812073")</f>
        <v>8177812073</v>
      </c>
    </row>
    <row r="7233" spans="1:12" x14ac:dyDescent="0.35">
      <c r="A7233" t="str">
        <f t="shared" si="2745"/>
        <v>WING GREEN</v>
      </c>
      <c r="B7233" t="str">
        <f>T("AO VMM-764")</f>
        <v>AO VMM-764</v>
      </c>
      <c r="C7233" t="str">
        <f>T("PO BOX 452024")</f>
        <v>PO BOX 452024</v>
      </c>
      <c r="D7233" t="str">
        <f>T("SAN DIEGO")</f>
        <v>SAN DIEGO</v>
      </c>
      <c r="E7233" t="str">
        <f>T("CA")</f>
        <v>CA</v>
      </c>
      <c r="F7233" t="str">
        <f>T("921452024")</f>
        <v>921452024</v>
      </c>
      <c r="G7233" t="str">
        <f>T("AO VMM-764")</f>
        <v>AO VMM-764</v>
      </c>
      <c r="H7233" t="str">
        <f>T("PO BOX 452024")</f>
        <v>PO BOX 452024</v>
      </c>
      <c r="I7233" t="str">
        <f>T("SAN DIEGO")</f>
        <v>SAN DIEGO</v>
      </c>
      <c r="J7233" t="str">
        <f>T("CA")</f>
        <v>CA</v>
      </c>
      <c r="K7233" t="str">
        <f>T("8585779377")</f>
        <v>8585779377</v>
      </c>
      <c r="L7233" t="str">
        <f>T("8585779365")</f>
        <v>8585779365</v>
      </c>
    </row>
    <row r="7234" spans="1:12" x14ac:dyDescent="0.35">
      <c r="A7234" t="str">
        <f t="shared" si="2745"/>
        <v>WING GREEN</v>
      </c>
      <c r="B7234" t="str">
        <f>T("AO VMR DET ANDREWS")</f>
        <v>AO VMR DET ANDREWS</v>
      </c>
      <c r="C7234" t="str">
        <f>T("NAF 1 SAN DIEGO LOOP BLDG 3148")</f>
        <v>NAF 1 SAN DIEGO LOOP BLDG 3148</v>
      </c>
      <c r="D7234" t="str">
        <f>T("ANDREWS AFB")</f>
        <v>ANDREWS AFB</v>
      </c>
      <c r="E7234" t="str">
        <f>T("MD")</f>
        <v>MD</v>
      </c>
      <c r="F7234" t="str">
        <f>T("207625518")</f>
        <v>207625518</v>
      </c>
      <c r="G7234" t="str">
        <f>T("AO VMR DET ANDREWS")</f>
        <v>AO VMR DET ANDREWS</v>
      </c>
      <c r="H7234" t="str">
        <f>T("NAF 1 SAN DIEGO LOOP BLDG 3148")</f>
        <v>NAF 1 SAN DIEGO LOOP BLDG 3148</v>
      </c>
      <c r="I7234" t="str">
        <f>T("ANDREWS AFB")</f>
        <v>ANDREWS AFB</v>
      </c>
      <c r="J7234" t="str">
        <f>T("MD")</f>
        <v>MD</v>
      </c>
      <c r="K7234" t="str">
        <f>T("")</f>
        <v/>
      </c>
      <c r="L7234" t="str">
        <f>T("2408571796")</f>
        <v>2408571796</v>
      </c>
    </row>
    <row r="7235" spans="1:12" x14ac:dyDescent="0.35">
      <c r="A7235" t="str">
        <f t="shared" si="2745"/>
        <v>WING GREEN</v>
      </c>
      <c r="B7235" t="str">
        <f>T("AO VMR DET ANDREWS")</f>
        <v>AO VMR DET ANDREWS</v>
      </c>
      <c r="C7235" t="str">
        <f>T("NAF 1 SAN DIEGO LOOP BLDG 3148")</f>
        <v>NAF 1 SAN DIEGO LOOP BLDG 3148</v>
      </c>
      <c r="D7235" t="str">
        <f>T("ANDREWS AFB")</f>
        <v>ANDREWS AFB</v>
      </c>
      <c r="E7235" t="str">
        <f>T("MD")</f>
        <v>MD</v>
      </c>
      <c r="F7235" t="str">
        <f>T("207625518")</f>
        <v>207625518</v>
      </c>
      <c r="G7235" t="str">
        <f>T("VMR DET ANDREWS")</f>
        <v>VMR DET ANDREWS</v>
      </c>
      <c r="H7235" t="str">
        <f>T("NAF 1 SAN DIEGO LOOP BLDG 3148")</f>
        <v>NAF 1 SAN DIEGO LOOP BLDG 3148</v>
      </c>
      <c r="I7235" t="str">
        <f>T("ANDREWS AFB")</f>
        <v>ANDREWS AFB</v>
      </c>
      <c r="J7235" t="str">
        <f>T("MD")</f>
        <v>MD</v>
      </c>
      <c r="K7235" t="str">
        <f>T("2408574594")</f>
        <v>2408574594</v>
      </c>
      <c r="L7235" t="str">
        <f>T("2408571759")</f>
        <v>2408571759</v>
      </c>
    </row>
    <row r="7236" spans="1:12" x14ac:dyDescent="0.35">
      <c r="A7236" t="str">
        <f t="shared" si="2745"/>
        <v>WING GREEN</v>
      </c>
      <c r="B7236" t="str">
        <f>T("HQ SEC 4TH MAW")</f>
        <v>HQ SEC 4TH MAW</v>
      </c>
      <c r="C7236" t="str">
        <f>T("2000 OPELOUSAS AVE")</f>
        <v>2000 OPELOUSAS AVE</v>
      </c>
      <c r="D7236" t="str">
        <f>T("NEW ORLEANS")</f>
        <v>NEW ORLEANS</v>
      </c>
      <c r="E7236" t="str">
        <f>T("LA")</f>
        <v>LA</v>
      </c>
      <c r="F7236" t="str">
        <f>T("701141500")</f>
        <v>701141500</v>
      </c>
      <c r="G7236" t="str">
        <f>T("4MAW ALD")</f>
        <v>4MAW ALD</v>
      </c>
      <c r="H7236" t="str">
        <f>T("2000 OPELOUSAS AVE")</f>
        <v>2000 OPELOUSAS AVE</v>
      </c>
      <c r="I7236" t="str">
        <f>T("NEW ORLEANS")</f>
        <v>NEW ORLEANS</v>
      </c>
      <c r="J7236" t="str">
        <f>T("LA")</f>
        <v>LA</v>
      </c>
      <c r="K7236" t="str">
        <f>T("5046979751")</f>
        <v>5046979751</v>
      </c>
      <c r="L7236" t="str">
        <f>T("5046977419")</f>
        <v>5046977419</v>
      </c>
    </row>
    <row r="7237" spans="1:12" x14ac:dyDescent="0.35">
      <c r="A7237" t="str">
        <f t="shared" si="2745"/>
        <v>WING GREEN</v>
      </c>
      <c r="B7237" t="str">
        <f>T("HQ SEC 4TH MAW")</f>
        <v>HQ SEC 4TH MAW</v>
      </c>
      <c r="C7237" t="str">
        <f>T("2000 OPELOUSAS AVE")</f>
        <v>2000 OPELOUSAS AVE</v>
      </c>
      <c r="D7237" t="str">
        <f>T("NEW ORLEANS")</f>
        <v>NEW ORLEANS</v>
      </c>
      <c r="E7237" t="str">
        <f>T("LA")</f>
        <v>LA</v>
      </c>
      <c r="F7237" t="str">
        <f>T("701141500")</f>
        <v>701141500</v>
      </c>
      <c r="G7237" t="str">
        <f>T("4TH MAW SITE SUPPORT MIRAMAR")</f>
        <v>4TH MAW SITE SUPPORT MIRAMAR</v>
      </c>
      <c r="H7237" t="str">
        <f>T("6009 SHIELDS DRIVE WHSE 105")</f>
        <v>6009 SHIELDS DRIVE WHSE 105</v>
      </c>
      <c r="I7237" t="str">
        <f>T("SAN DIEGO")</f>
        <v>SAN DIEGO</v>
      </c>
      <c r="J7237" t="str">
        <f>T("CA")</f>
        <v>CA</v>
      </c>
      <c r="K7237" t="str">
        <f>T("8585774124")</f>
        <v>8585774124</v>
      </c>
      <c r="L7237" t="str">
        <f>T("8585771927")</f>
        <v>8585771927</v>
      </c>
    </row>
    <row r="7238" spans="1:12" x14ac:dyDescent="0.35">
      <c r="A7238" t="str">
        <f t="shared" si="2745"/>
        <v>WING GREEN</v>
      </c>
      <c r="B7238" t="str">
        <f>T("HQ SEC 4TH MAW")</f>
        <v>HQ SEC 4TH MAW</v>
      </c>
      <c r="C7238" t="str">
        <f>T("2000 OPELOUSAS AVE")</f>
        <v>2000 OPELOUSAS AVE</v>
      </c>
      <c r="D7238" t="str">
        <f>T("NEW ORLEANS")</f>
        <v>NEW ORLEANS</v>
      </c>
      <c r="E7238" t="str">
        <f>T("LA")</f>
        <v>LA</v>
      </c>
      <c r="F7238" t="str">
        <f>T("701141500")</f>
        <v>701141500</v>
      </c>
      <c r="G7238" t="str">
        <f>T("HQ SEC 4TH MAW")</f>
        <v>HQ SEC 4TH MAW</v>
      </c>
      <c r="H7238" t="str">
        <f>T("2000 OPELOUSAS AVE")</f>
        <v>2000 OPELOUSAS AVE</v>
      </c>
      <c r="I7238" t="str">
        <f>T("NEW ORLEANS")</f>
        <v>NEW ORLEANS</v>
      </c>
      <c r="J7238" t="str">
        <f>T("LA")</f>
        <v>LA</v>
      </c>
      <c r="K7238" t="str">
        <f>T("")</f>
        <v/>
      </c>
      <c r="L7238" t="str">
        <f>T("5046977408")</f>
        <v>5046977408</v>
      </c>
    </row>
    <row r="7239" spans="1:12" x14ac:dyDescent="0.35">
      <c r="A7239" t="str">
        <f t="shared" si="2745"/>
        <v>WING GREEN</v>
      </c>
      <c r="B7239" t="str">
        <f>T("HQ SEC 4TH MAW")</f>
        <v>HQ SEC 4TH MAW</v>
      </c>
      <c r="C7239" t="str">
        <f>T("2000 OPELOUSAS AVE")</f>
        <v>2000 OPELOUSAS AVE</v>
      </c>
      <c r="D7239" t="str">
        <f>T("NEW ORLEANS")</f>
        <v>NEW ORLEANS</v>
      </c>
      <c r="E7239" t="str">
        <f>T("LA")</f>
        <v>LA</v>
      </c>
      <c r="F7239" t="str">
        <f>T("701141500")</f>
        <v>701141500</v>
      </c>
      <c r="G7239" t="str">
        <f>T("VMR BELLE CHASSE")</f>
        <v>VMR BELLE CHASSE</v>
      </c>
      <c r="H7239" t="str">
        <f>T("400 RUSSELL AVE BLDG 263")</f>
        <v>400 RUSSELL AVE BLDG 263</v>
      </c>
      <c r="I7239" t="str">
        <f>T("NEW ORLEANS")</f>
        <v>NEW ORLEANS</v>
      </c>
      <c r="J7239" t="str">
        <f>T("LA")</f>
        <v>LA</v>
      </c>
      <c r="K7239" t="str">
        <f>T("000000000000000000")</f>
        <v>000000000000000000</v>
      </c>
      <c r="L7239" t="str">
        <f>T("5046783470")</f>
        <v>5046783470</v>
      </c>
    </row>
    <row r="7240" spans="1:12" x14ac:dyDescent="0.35">
      <c r="A7240" t="str">
        <f t="shared" si="2745"/>
        <v>WING GREEN</v>
      </c>
      <c r="B7240" t="str">
        <f>T("MAG 49 DET B")</f>
        <v>MAG 49 DET B</v>
      </c>
      <c r="C7240" t="str">
        <f>T("ANGB 10 MCDONALD ST")</f>
        <v>ANGB 10 MCDONALD ST</v>
      </c>
      <c r="D7240" t="str">
        <f>T("NEWBURGH")</f>
        <v>NEWBURGH</v>
      </c>
      <c r="E7240" t="str">
        <f>T("NY")</f>
        <v>NY</v>
      </c>
      <c r="F7240" t="str">
        <f>T("125505012")</f>
        <v>125505012</v>
      </c>
      <c r="G7240" t="str">
        <f>T("MAG 49 DET B")</f>
        <v>MAG 49 DET B</v>
      </c>
      <c r="H7240" t="str">
        <f>T("ANGB 10 MCDONALD ST")</f>
        <v>ANGB 10 MCDONALD ST</v>
      </c>
      <c r="I7240" t="str">
        <f>T("NEWBURGH")</f>
        <v>NEWBURGH</v>
      </c>
      <c r="J7240" t="str">
        <f>T("NY")</f>
        <v>NY</v>
      </c>
      <c r="K7240" t="str">
        <f>T("8455631970")</f>
        <v>8455631970</v>
      </c>
      <c r="L7240" t="str">
        <f>T("8455631956")</f>
        <v>8455631956</v>
      </c>
    </row>
    <row r="7241" spans="1:12" x14ac:dyDescent="0.35">
      <c r="A7241" t="str">
        <f t="shared" ref="A7241:A7261" si="2746">T("WING GREEN")</f>
        <v>WING GREEN</v>
      </c>
      <c r="B7241" t="str">
        <f>T("MAG 49 DET B")</f>
        <v>MAG 49 DET B</v>
      </c>
      <c r="C7241" t="str">
        <f>T("ANGB 10 MCDONALD ST")</f>
        <v>ANGB 10 MCDONALD ST</v>
      </c>
      <c r="D7241" t="str">
        <f>T("NEWBURGH")</f>
        <v>NEWBURGH</v>
      </c>
      <c r="E7241" t="str">
        <f>T("NY")</f>
        <v>NY</v>
      </c>
      <c r="F7241" t="str">
        <f>T("125505012")</f>
        <v>125505012</v>
      </c>
      <c r="G7241" t="str">
        <f>T("MAG 49 DET B GROUND SUP")</f>
        <v>MAG 49 DET B GROUND SUP</v>
      </c>
      <c r="H7241" t="str">
        <f>T("10 MCDONALD ST STEWART ANGB")</f>
        <v>10 MCDONALD ST STEWART ANGB</v>
      </c>
      <c r="I7241" t="str">
        <f>T("NEWBURGH")</f>
        <v>NEWBURGH</v>
      </c>
      <c r="J7241" t="str">
        <f>T("NY")</f>
        <v>NY</v>
      </c>
      <c r="K7241" t="str">
        <f>T("8455631970")</f>
        <v>8455631970</v>
      </c>
      <c r="L7241" t="str">
        <f>T("8455631971")</f>
        <v>8455631971</v>
      </c>
    </row>
    <row r="7242" spans="1:12" x14ac:dyDescent="0.35">
      <c r="A7242" t="str">
        <f t="shared" si="2746"/>
        <v>WING GREEN</v>
      </c>
      <c r="B7242" t="str">
        <f>T("MAG 49 DET B")</f>
        <v>MAG 49 DET B</v>
      </c>
      <c r="C7242" t="str">
        <f>T("ANGB 10 MCDONALD ST")</f>
        <v>ANGB 10 MCDONALD ST</v>
      </c>
      <c r="D7242" t="str">
        <f>T("NEWBURGH")</f>
        <v>NEWBURGH</v>
      </c>
      <c r="E7242" t="str">
        <f>T("NY")</f>
        <v>NY</v>
      </c>
      <c r="F7242" t="str">
        <f>T("125505012")</f>
        <v>125505012</v>
      </c>
      <c r="G7242" t="str">
        <f>T("MAG 49 DET B GROUND SUP")</f>
        <v>MAG 49 DET B GROUND SUP</v>
      </c>
      <c r="H7242" t="str">
        <f>T("10 MCDONALD ST STEWART ANGB")</f>
        <v>10 MCDONALD ST STEWART ANGB</v>
      </c>
      <c r="I7242" t="str">
        <f>T("NEWBURGH")</f>
        <v>NEWBURGH</v>
      </c>
      <c r="J7242" t="str">
        <f>T("NY")</f>
        <v>NY</v>
      </c>
      <c r="K7242" t="str">
        <f>T("8455631971")</f>
        <v>8455631971</v>
      </c>
      <c r="L7242" t="str">
        <f>T("8455631956")</f>
        <v>8455631956</v>
      </c>
    </row>
    <row r="7243" spans="1:12" x14ac:dyDescent="0.35">
      <c r="A7243" t="str">
        <f t="shared" si="2746"/>
        <v>WING GREEN</v>
      </c>
      <c r="B7243" t="str">
        <f>T("MAG 49 DET D")</f>
        <v>MAG 49 DET D</v>
      </c>
      <c r="C7243" t="str">
        <f>T("1430 CV TOW WAY")</f>
        <v>1430 CV TOW WAY</v>
      </c>
      <c r="D7243" t="str">
        <f>T("NORFOLK")</f>
        <v>NORFOLK</v>
      </c>
      <c r="E7243" t="str">
        <f>T("VA")</f>
        <v>VA</v>
      </c>
      <c r="F7243" t="str">
        <f>T("235110000")</f>
        <v>235110000</v>
      </c>
      <c r="G7243" t="str">
        <f>T("MAG 49 DET D")</f>
        <v>MAG 49 DET D</v>
      </c>
      <c r="H7243" t="str">
        <f>T("1430 CV TOW WAY")</f>
        <v>1430 CV TOW WAY</v>
      </c>
      <c r="I7243" t="str">
        <f>T("NORFOLK")</f>
        <v>NORFOLK</v>
      </c>
      <c r="J7243" t="str">
        <f>T("VA")</f>
        <v>VA</v>
      </c>
      <c r="K7243" t="str">
        <f>T("7574441666")</f>
        <v>7574441666</v>
      </c>
      <c r="L7243" t="str">
        <f>T("7574444318")</f>
        <v>7574444318</v>
      </c>
    </row>
    <row r="7244" spans="1:12" x14ac:dyDescent="0.35">
      <c r="A7244" t="str">
        <f t="shared" si="2746"/>
        <v>WING GREEN</v>
      </c>
      <c r="B7244" t="str">
        <f>T("MAG 49 DET D")</f>
        <v>MAG 49 DET D</v>
      </c>
      <c r="C7244" t="str">
        <f>T("1430 CV TOW WAY")</f>
        <v>1430 CV TOW WAY</v>
      </c>
      <c r="D7244" t="str">
        <f>T("NORFOLK")</f>
        <v>NORFOLK</v>
      </c>
      <c r="E7244" t="str">
        <f>T("VA")</f>
        <v>VA</v>
      </c>
      <c r="F7244" t="str">
        <f>T("235110000")</f>
        <v>235110000</v>
      </c>
      <c r="G7244" t="str">
        <f>T("PCH AVISUP MAG49 NAS")</f>
        <v>PCH AVISUP MAG49 NAS</v>
      </c>
      <c r="H7244" t="str">
        <f>T("1430 CV TOW WAY DR BLDG LF60")</f>
        <v>1430 CV TOW WAY DR BLDG LF60</v>
      </c>
      <c r="I7244" t="str">
        <f>T("NORFOLK")</f>
        <v>NORFOLK</v>
      </c>
      <c r="J7244" t="str">
        <f>T("VA")</f>
        <v>VA</v>
      </c>
      <c r="K7244" t="str">
        <f>T("7574441666")</f>
        <v>7574441666</v>
      </c>
      <c r="L7244" t="str">
        <f>T("7574444318")</f>
        <v>7574444318</v>
      </c>
    </row>
    <row r="7245" spans="1:12" x14ac:dyDescent="0.35">
      <c r="A7245" t="str">
        <f t="shared" si="2746"/>
        <v>WING GREEN</v>
      </c>
      <c r="B7245" t="str">
        <f>T("MAG 49 DET D")</f>
        <v>MAG 49 DET D</v>
      </c>
      <c r="C7245" t="str">
        <f>T("1430 CV TOW WAY")</f>
        <v>1430 CV TOW WAY</v>
      </c>
      <c r="D7245" t="str">
        <f>T("NORFOLK")</f>
        <v>NORFOLK</v>
      </c>
      <c r="E7245" t="str">
        <f>T("VA")</f>
        <v>VA</v>
      </c>
      <c r="F7245" t="str">
        <f>T("235110000")</f>
        <v>235110000</v>
      </c>
      <c r="G7245" t="str">
        <f>T("PCH AVISUP MAG49 NAS")</f>
        <v>PCH AVISUP MAG49 NAS</v>
      </c>
      <c r="H7245" t="str">
        <f>T("1430 CV TOW WAY DR BLDG LF60")</f>
        <v>1430 CV TOW WAY DR BLDG LF60</v>
      </c>
      <c r="I7245" t="str">
        <f>T("NORFOLK")</f>
        <v>NORFOLK</v>
      </c>
      <c r="J7245" t="str">
        <f>T("VA")</f>
        <v>VA</v>
      </c>
      <c r="K7245" t="str">
        <f>T("7574444318204")</f>
        <v>7574444318204</v>
      </c>
      <c r="L7245" t="str">
        <f>T("7574444318")</f>
        <v>7574444318</v>
      </c>
    </row>
    <row r="7246" spans="1:12" x14ac:dyDescent="0.35">
      <c r="A7246" t="str">
        <f t="shared" si="2746"/>
        <v>WING GREEN</v>
      </c>
      <c r="B7246" t="str">
        <f>T("MAG-49 4TH MAW")</f>
        <v>MAG-49 4TH MAW</v>
      </c>
      <c r="C7246" t="str">
        <f>T("4401 TEXAS AVE")</f>
        <v>4401 TEXAS AVE</v>
      </c>
      <c r="D7246" t="str">
        <f>T("FORT DIX")</f>
        <v>FORT DIX</v>
      </c>
      <c r="E7246" t="str">
        <f>T("NJ")</f>
        <v>NJ</v>
      </c>
      <c r="F7246" t="str">
        <f>T("086405512")</f>
        <v>086405512</v>
      </c>
      <c r="G7246" t="str">
        <f>T("MAG-49 4TH MAW")</f>
        <v>MAG-49 4TH MAW</v>
      </c>
      <c r="H7246" t="str">
        <f>T("4401 TEXAS AVE")</f>
        <v>4401 TEXAS AVE</v>
      </c>
      <c r="I7246" t="str">
        <f>T("FORT DIX")</f>
        <v>FORT DIX</v>
      </c>
      <c r="J7246" t="str">
        <f>T("NJ")</f>
        <v>NJ</v>
      </c>
      <c r="K7246" t="str">
        <f>T("6095628775")</f>
        <v>6095628775</v>
      </c>
      <c r="L7246" t="str">
        <f>T("6095628771")</f>
        <v>6095628771</v>
      </c>
    </row>
    <row r="7247" spans="1:12" x14ac:dyDescent="0.35">
      <c r="A7247" t="str">
        <f t="shared" si="2746"/>
        <v>WING GREEN</v>
      </c>
      <c r="B7247" t="str">
        <f>T("MAG-49 4TH MAW")</f>
        <v>MAG-49 4TH MAW</v>
      </c>
      <c r="C7247" t="str">
        <f>T("4401 TEXAS AVE")</f>
        <v>4401 TEXAS AVE</v>
      </c>
      <c r="D7247" t="str">
        <f>T("FORT DIX")</f>
        <v>FORT DIX</v>
      </c>
      <c r="E7247" t="str">
        <f>T("NJ")</f>
        <v>NJ</v>
      </c>
      <c r="F7247" t="str">
        <f>T("086405512")</f>
        <v>086405512</v>
      </c>
      <c r="G7247" t="str">
        <f>T("MAG-49 DET A 4TH MAW")</f>
        <v>MAG-49 DET A 4TH MAW</v>
      </c>
      <c r="H7247" t="str">
        <f>T("4401 TEXAS AVE")</f>
        <v>4401 TEXAS AVE</v>
      </c>
      <c r="I7247" t="str">
        <f>T("FORT DIX")</f>
        <v>FORT DIX</v>
      </c>
      <c r="J7247" t="str">
        <f>T("NJ")</f>
        <v>NJ</v>
      </c>
      <c r="K7247" t="str">
        <f>T("6095628775")</f>
        <v>6095628775</v>
      </c>
      <c r="L7247" t="str">
        <f>T("6095628774")</f>
        <v>6095628774</v>
      </c>
    </row>
    <row r="7248" spans="1:12" x14ac:dyDescent="0.35">
      <c r="A7248" t="str">
        <f t="shared" si="2746"/>
        <v>WING GREEN</v>
      </c>
      <c r="B7248" t="str">
        <f>T("MAG-49 4TH MAW")</f>
        <v>MAG-49 4TH MAW</v>
      </c>
      <c r="C7248" t="str">
        <f>T("4401 TEXAS AVE")</f>
        <v>4401 TEXAS AVE</v>
      </c>
      <c r="D7248" t="str">
        <f>T("FORT DIX")</f>
        <v>FORT DIX</v>
      </c>
      <c r="E7248" t="str">
        <f>T("NJ")</f>
        <v>NJ</v>
      </c>
      <c r="F7248" t="str">
        <f>T("086405512")</f>
        <v>086405512</v>
      </c>
      <c r="G7248" t="str">
        <f>T("PCH MAG-49 DET A 4TH MAW")</f>
        <v>PCH MAG-49 DET A 4TH MAW</v>
      </c>
      <c r="H7248" t="str">
        <f>T("4401 TEXAS AVE")</f>
        <v>4401 TEXAS AVE</v>
      </c>
      <c r="I7248" t="str">
        <f>T("FORT DIX")</f>
        <v>FORT DIX</v>
      </c>
      <c r="J7248" t="str">
        <f>T("NJ")</f>
        <v>NJ</v>
      </c>
      <c r="K7248" t="str">
        <f>T("6095628775")</f>
        <v>6095628775</v>
      </c>
      <c r="L7248" t="str">
        <f>T("6095628774")</f>
        <v>6095628774</v>
      </c>
    </row>
    <row r="7249" spans="1:12" x14ac:dyDescent="0.35">
      <c r="A7249" t="str">
        <f t="shared" si="2746"/>
        <v>WING GREEN</v>
      </c>
      <c r="B7249" t="str">
        <f>T("MAG41 4TH MAW")</f>
        <v>MAG41 4TH MAW</v>
      </c>
      <c r="C7249" t="str">
        <f>T("1068 BOYINGTON DR")</f>
        <v>1068 BOYINGTON DR</v>
      </c>
      <c r="D7249" t="str">
        <f>T("FORT WORTH")</f>
        <v>FORT WORTH</v>
      </c>
      <c r="E7249" t="str">
        <f>T("TX")</f>
        <v>TX</v>
      </c>
      <c r="F7249" t="str">
        <f>T("761270000")</f>
        <v>761270000</v>
      </c>
      <c r="G7249" t="str">
        <f>T("M00048 HQ MAG41 FWTX")</f>
        <v>M00048 HQ MAG41 FWTX</v>
      </c>
      <c r="H7249" t="str">
        <f>T("1419 BOYINGTON DRIVE BLDG 1410")</f>
        <v>1419 BOYINGTON DRIVE BLDG 1410</v>
      </c>
      <c r="I7249" t="str">
        <f>T("FORT WORTH")</f>
        <v>FORT WORTH</v>
      </c>
      <c r="J7249" t="str">
        <f>T("TX")</f>
        <v>TX</v>
      </c>
      <c r="K7249" t="str">
        <f>T("000000000000000000")</f>
        <v>000000000000000000</v>
      </c>
      <c r="L7249" t="str">
        <f>T("8177822841")</f>
        <v>8177822841</v>
      </c>
    </row>
    <row r="7250" spans="1:12" x14ac:dyDescent="0.35">
      <c r="A7250" t="str">
        <f t="shared" si="2746"/>
        <v>WING GREEN</v>
      </c>
      <c r="B7250" t="str">
        <f>T("MAG41 4TH MAW")</f>
        <v>MAG41 4TH MAW</v>
      </c>
      <c r="C7250" t="str">
        <f>T("1068 BOYINGTON DR")</f>
        <v>1068 BOYINGTON DR</v>
      </c>
      <c r="D7250" t="str">
        <f>T("FORT WORTH")</f>
        <v>FORT WORTH</v>
      </c>
      <c r="E7250" t="str">
        <f>T("TX")</f>
        <v>TX</v>
      </c>
      <c r="F7250" t="str">
        <f>T("761270000")</f>
        <v>761270000</v>
      </c>
      <c r="G7250" t="str">
        <f>T("MAG41 4TH MAW")</f>
        <v>MAG41 4TH MAW</v>
      </c>
      <c r="H7250" t="str">
        <f>T("1068 BOYINGTON DR")</f>
        <v>1068 BOYINGTON DR</v>
      </c>
      <c r="I7250" t="str">
        <f>T("FORT WORTH")</f>
        <v>FORT WORTH</v>
      </c>
      <c r="J7250" t="str">
        <f>T("TX")</f>
        <v>TX</v>
      </c>
      <c r="K7250" t="str">
        <f>T("8177822738")</f>
        <v>8177822738</v>
      </c>
      <c r="L7250" t="str">
        <f>T("8177822830")</f>
        <v>8177822830</v>
      </c>
    </row>
    <row r="7251" spans="1:12" x14ac:dyDescent="0.35">
      <c r="A7251" t="str">
        <f t="shared" si="2746"/>
        <v>WING GREEN</v>
      </c>
      <c r="B7251" t="str">
        <f>T("MAG41 4TH MAW")</f>
        <v>MAG41 4TH MAW</v>
      </c>
      <c r="C7251" t="str">
        <f>T("1068 BOYINGTON DR")</f>
        <v>1068 BOYINGTON DR</v>
      </c>
      <c r="D7251" t="str">
        <f>T("FORT WORTH")</f>
        <v>FORT WORTH</v>
      </c>
      <c r="E7251" t="str">
        <f>T("TX")</f>
        <v>TX</v>
      </c>
      <c r="F7251" t="str">
        <f>T("761270000")</f>
        <v>761270000</v>
      </c>
      <c r="G7251" t="str">
        <f>T("PCH MAG 41 HQ 4TH MAW")</f>
        <v>PCH MAG 41 HQ 4TH MAW</v>
      </c>
      <c r="H7251" t="str">
        <f>T("NAS JRB SUPPLY BLDG 1410")</f>
        <v>NAS JRB SUPPLY BLDG 1410</v>
      </c>
      <c r="I7251" t="str">
        <f>T("FORT WORTH")</f>
        <v>FORT WORTH</v>
      </c>
      <c r="J7251" t="str">
        <f>T("TX")</f>
        <v>TX</v>
      </c>
      <c r="K7251" t="str">
        <f>T("000000000000000000")</f>
        <v>000000000000000000</v>
      </c>
      <c r="L7251" t="str">
        <f>T("8177822848")</f>
        <v>8177822848</v>
      </c>
    </row>
    <row r="7252" spans="1:12" x14ac:dyDescent="0.35">
      <c r="A7252" t="str">
        <f t="shared" si="2746"/>
        <v>WING GREEN</v>
      </c>
      <c r="B7252" t="str">
        <f>T("MAG49 DET C")</f>
        <v>MAG49 DET C</v>
      </c>
      <c r="C7252" t="str">
        <f>T("400 RUSSELL AVE BLDG 236")</f>
        <v>400 RUSSELL AVE BLDG 236</v>
      </c>
      <c r="D7252" t="str">
        <f>T("BELLE CHASSE")</f>
        <v>BELLE CHASSE</v>
      </c>
      <c r="E7252" t="str">
        <f>T("LA")</f>
        <v>LA</v>
      </c>
      <c r="F7252" t="str">
        <f>T("701435077")</f>
        <v>701435077</v>
      </c>
      <c r="G7252" t="str">
        <f>T("MAG49 DET C")</f>
        <v>MAG49 DET C</v>
      </c>
      <c r="H7252" t="str">
        <f>T("400 RUSSELL AVE BLDG 236")</f>
        <v>400 RUSSELL AVE BLDG 236</v>
      </c>
      <c r="I7252" t="str">
        <f>T("BELLE CHASSE")</f>
        <v>BELLE CHASSE</v>
      </c>
      <c r="J7252" t="str">
        <f>T("LA")</f>
        <v>LA</v>
      </c>
      <c r="K7252" t="str">
        <f>T("5046783288")</f>
        <v>5046783288</v>
      </c>
      <c r="L7252" t="str">
        <f>T("5046783035")</f>
        <v>5046783035</v>
      </c>
    </row>
    <row r="7253" spans="1:12" x14ac:dyDescent="0.35">
      <c r="A7253" t="str">
        <f t="shared" si="2746"/>
        <v>WING GREEN</v>
      </c>
      <c r="B7253" t="str">
        <f>T("MAG49 DET C")</f>
        <v>MAG49 DET C</v>
      </c>
      <c r="C7253" t="str">
        <f>T("400 RUSSELL AVE BLDG 236")</f>
        <v>400 RUSSELL AVE BLDG 236</v>
      </c>
      <c r="D7253" t="str">
        <f>T("BELLE CHASSE")</f>
        <v>BELLE CHASSE</v>
      </c>
      <c r="E7253" t="str">
        <f>T("LA")</f>
        <v>LA</v>
      </c>
      <c r="F7253" t="str">
        <f>T("701435077")</f>
        <v>701435077</v>
      </c>
      <c r="G7253" t="str">
        <f>T("PCH AVISUP HMLA773 DET A AH1W")</f>
        <v>PCH AVISUP HMLA773 DET A AH1W</v>
      </c>
      <c r="H7253" t="str">
        <f>T("400 RUSSELL AVE BLDG 263")</f>
        <v>400 RUSSELL AVE BLDG 263</v>
      </c>
      <c r="I7253" t="str">
        <f>T("BELLE CHASSE")</f>
        <v>BELLE CHASSE</v>
      </c>
      <c r="J7253" t="str">
        <f>T("LA")</f>
        <v>LA</v>
      </c>
      <c r="K7253" t="str">
        <f>T("5046783288")</f>
        <v>5046783288</v>
      </c>
      <c r="L7253" t="str">
        <f>T("5046783616")</f>
        <v>5046783616</v>
      </c>
    </row>
    <row r="7254" spans="1:12" x14ac:dyDescent="0.35">
      <c r="A7254" t="str">
        <f t="shared" si="2746"/>
        <v>WING GREEN</v>
      </c>
      <c r="B7254" t="str">
        <f>T("MWSS 471 ENGINEER CO")</f>
        <v>MWSS 471 ENGINEER CO</v>
      </c>
      <c r="C7254" t="str">
        <f>T("1430 NORTH PERIMETER RD")</f>
        <v>1430 NORTH PERIMETER RD</v>
      </c>
      <c r="D7254" t="str">
        <f>T("SELFRIDGE ANG BASE")</f>
        <v>SELFRIDGE ANG BASE</v>
      </c>
      <c r="E7254" t="str">
        <f>T("MI")</f>
        <v>MI</v>
      </c>
      <c r="F7254" t="str">
        <f>T("480450000")</f>
        <v>480450000</v>
      </c>
      <c r="G7254" t="str">
        <f>T("MWSS 471 DET B")</f>
        <v>MWSS 471 DET B</v>
      </c>
      <c r="H7254" t="str">
        <f>T("1435 NORTH PERIMETER RD")</f>
        <v>1435 NORTH PERIMETER RD</v>
      </c>
      <c r="I7254" t="str">
        <f>T("MOUNT CLEMENS")</f>
        <v>MOUNT CLEMENS</v>
      </c>
      <c r="J7254" t="str">
        <f>T("MI")</f>
        <v>MI</v>
      </c>
      <c r="K7254" t="str">
        <f>T("000000000000000000")</f>
        <v>000000000000000000</v>
      </c>
      <c r="L7254" t="str">
        <f>T("5862395058")</f>
        <v>5862395058</v>
      </c>
    </row>
    <row r="7255" spans="1:12" x14ac:dyDescent="0.35">
      <c r="A7255" t="str">
        <f t="shared" si="2746"/>
        <v>WING GREEN</v>
      </c>
      <c r="B7255" t="str">
        <f>T("MWSS 471 ENGINEER CO")</f>
        <v>MWSS 471 ENGINEER CO</v>
      </c>
      <c r="C7255" t="str">
        <f>T("1430 NORTH PERIMETER RD")</f>
        <v>1430 NORTH PERIMETER RD</v>
      </c>
      <c r="D7255" t="str">
        <f>T("SELFRIDGE ANG BASE")</f>
        <v>SELFRIDGE ANG BASE</v>
      </c>
      <c r="E7255" t="str">
        <f>T("MI")</f>
        <v>MI</v>
      </c>
      <c r="F7255" t="str">
        <f>T("480450000")</f>
        <v>480450000</v>
      </c>
      <c r="G7255" t="str">
        <f>T("MWSS 471 ENGINEER CO")</f>
        <v>MWSS 471 ENGINEER CO</v>
      </c>
      <c r="H7255" t="str">
        <f>T("1430 NORTH PERIMETER RD")</f>
        <v>1430 NORTH PERIMETER RD</v>
      </c>
      <c r="I7255" t="str">
        <f>T("SELFRIDGE ANG BASE")</f>
        <v>SELFRIDGE ANG BASE</v>
      </c>
      <c r="J7255" t="str">
        <f>T("MI")</f>
        <v>MI</v>
      </c>
      <c r="K7255" t="str">
        <f>T("")</f>
        <v/>
      </c>
      <c r="L7255" t="str">
        <f>T("5862395317")</f>
        <v>5862395317</v>
      </c>
    </row>
    <row r="7256" spans="1:12" x14ac:dyDescent="0.35">
      <c r="A7256" t="str">
        <f t="shared" si="2746"/>
        <v>WING GREEN</v>
      </c>
      <c r="B7256" t="str">
        <f>T("MWSS 472 DET A 4TH MAW")</f>
        <v>MWSS 472 DET A 4TH MAW</v>
      </c>
      <c r="C7256" t="str">
        <f>T("1118 WYOMING AVE")</f>
        <v>1118 WYOMING AVE</v>
      </c>
      <c r="D7256" t="str">
        <f>T("WYOMING")</f>
        <v>WYOMING</v>
      </c>
      <c r="E7256" t="str">
        <f>T("PA")</f>
        <v>PA</v>
      </c>
      <c r="F7256" t="str">
        <f>T("186441348")</f>
        <v>186441348</v>
      </c>
      <c r="G7256" t="str">
        <f>T("MWSS 472 DET A 4TH MAW")</f>
        <v>MWSS 472 DET A 4TH MAW</v>
      </c>
      <c r="H7256" t="str">
        <f>T("1118 WYOMING AVE")</f>
        <v>1118 WYOMING AVE</v>
      </c>
      <c r="I7256" t="str">
        <f>T("WYOMING")</f>
        <v>WYOMING</v>
      </c>
      <c r="J7256" t="str">
        <f>T("PA")</f>
        <v>PA</v>
      </c>
      <c r="K7256" t="str">
        <f>T("")</f>
        <v/>
      </c>
      <c r="L7256" t="str">
        <f>T("5702881947")</f>
        <v>5702881947</v>
      </c>
    </row>
    <row r="7257" spans="1:12" x14ac:dyDescent="0.35">
      <c r="A7257" t="str">
        <f t="shared" si="2746"/>
        <v>WING GREEN</v>
      </c>
      <c r="B7257" t="str">
        <f>T("MWSS 472 DET A 4TH MAW")</f>
        <v>MWSS 472 DET A 4TH MAW</v>
      </c>
      <c r="C7257" t="str">
        <f>T("1118 WYOMING AVE")</f>
        <v>1118 WYOMING AVE</v>
      </c>
      <c r="D7257" t="str">
        <f>T("WYOMING")</f>
        <v>WYOMING</v>
      </c>
      <c r="E7257" t="str">
        <f>T("PA")</f>
        <v>PA</v>
      </c>
      <c r="F7257" t="str">
        <f>T("186441348")</f>
        <v>186441348</v>
      </c>
      <c r="G7257" t="str">
        <f>T("MWSS 472 DET A 4TH MAW")</f>
        <v>MWSS 472 DET A 4TH MAW</v>
      </c>
      <c r="H7257" t="str">
        <f>T("1118 WYOMING AVE")</f>
        <v>1118 WYOMING AVE</v>
      </c>
      <c r="I7257" t="str">
        <f>T("WYOMING")</f>
        <v>WYOMING</v>
      </c>
      <c r="J7257" t="str">
        <f>T("PA")</f>
        <v>PA</v>
      </c>
      <c r="K7257" t="str">
        <f>T("5702885518")</f>
        <v>5702885518</v>
      </c>
      <c r="L7257" t="str">
        <f>T("5702881947")</f>
        <v>5702881947</v>
      </c>
    </row>
    <row r="7258" spans="1:12" x14ac:dyDescent="0.35">
      <c r="A7258" t="str">
        <f t="shared" si="2746"/>
        <v>WING GREEN</v>
      </c>
      <c r="B7258" t="str">
        <f>T("MWSS 472 DET A 4TH MAW")</f>
        <v>MWSS 472 DET A 4TH MAW</v>
      </c>
      <c r="C7258" t="str">
        <f>T("1118 WYOMING AVE")</f>
        <v>1118 WYOMING AVE</v>
      </c>
      <c r="D7258" t="str">
        <f>T("WYOMING")</f>
        <v>WYOMING</v>
      </c>
      <c r="E7258" t="str">
        <f>T("PA")</f>
        <v>PA</v>
      </c>
      <c r="F7258" t="str">
        <f>T("186441348")</f>
        <v>186441348</v>
      </c>
      <c r="G7258" t="str">
        <f>T("MWSS 472 DET A 4TH MAW")</f>
        <v>MWSS 472 DET A 4TH MAW</v>
      </c>
      <c r="H7258" t="str">
        <f>T("8610 RANGE RD")</f>
        <v>8610 RANGE RD</v>
      </c>
      <c r="I7258" t="str">
        <f>T("MCGUIRE DIX LAKEHURST")</f>
        <v>MCGUIRE DIX LAKEHURST</v>
      </c>
      <c r="J7258" t="str">
        <f>T("NJ")</f>
        <v>NJ</v>
      </c>
      <c r="K7258" t="str">
        <f>T("6095627069")</f>
        <v>6095627069</v>
      </c>
      <c r="L7258" t="str">
        <f>T("6095628640")</f>
        <v>6095628640</v>
      </c>
    </row>
    <row r="7259" spans="1:12" x14ac:dyDescent="0.35">
      <c r="A7259" t="str">
        <f t="shared" si="2746"/>
        <v>WING GREEN</v>
      </c>
      <c r="B7259" t="str">
        <f>T("MWSS 472 DET A 4TH MAW")</f>
        <v>MWSS 472 DET A 4TH MAW</v>
      </c>
      <c r="C7259" t="str">
        <f>T("1118 WYOMING AVE")</f>
        <v>1118 WYOMING AVE</v>
      </c>
      <c r="D7259" t="str">
        <f>T("WYOMING")</f>
        <v>WYOMING</v>
      </c>
      <c r="E7259" t="str">
        <f>T("PA")</f>
        <v>PA</v>
      </c>
      <c r="F7259" t="str">
        <f>T("186441348")</f>
        <v>186441348</v>
      </c>
      <c r="G7259" t="str">
        <f>T("MWSS 472 DET B 4TH MAW")</f>
        <v>MWSS 472 DET B 4TH MAW</v>
      </c>
      <c r="H7259" t="str">
        <f>T("570 PATRIOT AVE BOX 43")</f>
        <v>570 PATRIOT AVE BOX 43</v>
      </c>
      <c r="I7259" t="str">
        <f>T("CHICOPEE")</f>
        <v>CHICOPEE</v>
      </c>
      <c r="J7259" t="str">
        <f>T("MA")</f>
        <v>MA</v>
      </c>
      <c r="K7259" t="str">
        <f>T("41355737431132")</f>
        <v>41355737431132</v>
      </c>
      <c r="L7259" t="str">
        <f>T("4135573743")</f>
        <v>4135573743</v>
      </c>
    </row>
    <row r="7260" spans="1:12" x14ac:dyDescent="0.35">
      <c r="A7260" t="str">
        <f t="shared" si="2746"/>
        <v>WING GREEN</v>
      </c>
      <c r="B7260" t="str">
        <f>T("VMFT401")</f>
        <v>VMFT401</v>
      </c>
      <c r="C7260" t="str">
        <f>T("PO BOX 99270")</f>
        <v>PO BOX 99270</v>
      </c>
      <c r="D7260" t="str">
        <f>T("YUMA")</f>
        <v>YUMA</v>
      </c>
      <c r="E7260" t="str">
        <f>T("AZ")</f>
        <v>AZ</v>
      </c>
      <c r="F7260" t="str">
        <f>T("853699270")</f>
        <v>853699270</v>
      </c>
      <c r="G7260" t="str">
        <f>T("VMFT-401 MAG-46 4TH MAW")</f>
        <v>VMFT-401 MAG-46 4TH MAW</v>
      </c>
      <c r="H7260" t="str">
        <f>T("MCAS BLDG 146 PO BOX 99270")</f>
        <v>MCAS BLDG 146 PO BOX 99270</v>
      </c>
      <c r="I7260" t="str">
        <f>T("YUMA")</f>
        <v>YUMA</v>
      </c>
      <c r="J7260" t="str">
        <f>T("AZ")</f>
        <v>AZ</v>
      </c>
      <c r="K7260" t="str">
        <f>T("000000000000000000")</f>
        <v>000000000000000000</v>
      </c>
      <c r="L7260" t="str">
        <f>T("9282692428")</f>
        <v>9282692428</v>
      </c>
    </row>
    <row r="7261" spans="1:12" x14ac:dyDescent="0.35">
      <c r="A7261" t="str">
        <f t="shared" si="2746"/>
        <v>WING GREEN</v>
      </c>
      <c r="B7261" t="str">
        <f>T("VMFT401")</f>
        <v>VMFT401</v>
      </c>
      <c r="C7261" t="str">
        <f>T("PO BOX 99270")</f>
        <v>PO BOX 99270</v>
      </c>
      <c r="D7261" t="str">
        <f>T("YUMA")</f>
        <v>YUMA</v>
      </c>
      <c r="E7261" t="str">
        <f>T("AZ")</f>
        <v>AZ</v>
      </c>
      <c r="F7261" t="str">
        <f>T("853699270")</f>
        <v>853699270</v>
      </c>
      <c r="G7261" t="str">
        <f>T("VMFT401")</f>
        <v>VMFT401</v>
      </c>
      <c r="H7261" t="str">
        <f>T("PO BOX 99270")</f>
        <v>PO BOX 99270</v>
      </c>
      <c r="I7261" t="str">
        <f>T("YUMA")</f>
        <v>YUMA</v>
      </c>
      <c r="J7261" t="str">
        <f>T("AZ")</f>
        <v>AZ</v>
      </c>
      <c r="K7261" t="str">
        <f>T("")</f>
        <v/>
      </c>
      <c r="L7261" t="str">
        <f>T("9282692181")</f>
        <v>9282692181</v>
      </c>
    </row>
    <row r="7262" spans="1:12" x14ac:dyDescent="0.35">
      <c r="A7262" t="str">
        <f t="shared" ref="A7262:A7293" si="2747">T("4TH MAR DIV")</f>
        <v>4TH MAR DIV</v>
      </c>
      <c r="B7262" t="str">
        <f>T("1ST BN 23RD MAR MCRC")</f>
        <v>1ST BN 23RD MAR MCRC</v>
      </c>
      <c r="C7262" t="str">
        <f>T("10949 AEROSPACE AVE")</f>
        <v>10949 AEROSPACE AVE</v>
      </c>
      <c r="D7262" t="str">
        <f>T("HOUSTON")</f>
        <v>HOUSTON</v>
      </c>
      <c r="E7262" t="str">
        <f>T("TX")</f>
        <v>TX</v>
      </c>
      <c r="F7262" t="str">
        <f>T("770345563")</f>
        <v>770345563</v>
      </c>
      <c r="G7262" t="str">
        <f>T("1ST BN 23RD MAR MCRC")</f>
        <v>1ST BN 23RD MAR MCRC</v>
      </c>
      <c r="H7262" t="str">
        <f>T("10949 AEROSPACE AVE")</f>
        <v>10949 AEROSPACE AVE</v>
      </c>
      <c r="I7262" t="str">
        <f>T("HOUSTON")</f>
        <v>HOUSTON</v>
      </c>
      <c r="J7262" t="str">
        <f>T("TX")</f>
        <v>TX</v>
      </c>
      <c r="K7262" t="str">
        <f>T("8323807545")</f>
        <v>8323807545</v>
      </c>
      <c r="L7262" t="str">
        <f>T("8323807530")</f>
        <v>8323807530</v>
      </c>
    </row>
    <row r="7263" spans="1:12" x14ac:dyDescent="0.35">
      <c r="A7263" t="str">
        <f t="shared" si="2747"/>
        <v>4TH MAR DIV</v>
      </c>
      <c r="B7263" t="str">
        <f>T("1ST BN 23RD MAR MCRC")</f>
        <v>1ST BN 23RD MAR MCRC</v>
      </c>
      <c r="C7263" t="str">
        <f>T("10949 AEROSPACE AVE")</f>
        <v>10949 AEROSPACE AVE</v>
      </c>
      <c r="D7263" t="str">
        <f>T("HOUSTON")</f>
        <v>HOUSTON</v>
      </c>
      <c r="E7263" t="str">
        <f>T("TX")</f>
        <v>TX</v>
      </c>
      <c r="F7263" t="str">
        <f>T("770345563")</f>
        <v>770345563</v>
      </c>
      <c r="G7263" t="str">
        <f>T("M14110 231B HTTX")</f>
        <v>M14110 231B HTTX</v>
      </c>
      <c r="H7263" t="str">
        <f>T("10949 AEROSPACE AVE")</f>
        <v>10949 AEROSPACE AVE</v>
      </c>
      <c r="I7263" t="str">
        <f>T("HOUSTON")</f>
        <v>HOUSTON</v>
      </c>
      <c r="J7263" t="str">
        <f>T("TX")</f>
        <v>TX</v>
      </c>
      <c r="K7263" t="str">
        <f>T("83238070007529")</f>
        <v>83238070007529</v>
      </c>
      <c r="L7263" t="str">
        <f>T("1111111111")</f>
        <v>1111111111</v>
      </c>
    </row>
    <row r="7264" spans="1:12" x14ac:dyDescent="0.35">
      <c r="A7264" t="str">
        <f t="shared" si="2747"/>
        <v>4TH MAR DIV</v>
      </c>
      <c r="B7264" t="str">
        <f>T("1ST BN 23RD MAR MCRC")</f>
        <v>1ST BN 23RD MAR MCRC</v>
      </c>
      <c r="C7264" t="str">
        <f>T("10949 AEROSPACE AVE")</f>
        <v>10949 AEROSPACE AVE</v>
      </c>
      <c r="D7264" t="str">
        <f>T("HOUSTON")</f>
        <v>HOUSTON</v>
      </c>
      <c r="E7264" t="str">
        <f>T("TX")</f>
        <v>TX</v>
      </c>
      <c r="F7264" t="str">
        <f>T("770345563")</f>
        <v>770345563</v>
      </c>
      <c r="G7264" t="str">
        <f>T("M14110 231B HTTX")</f>
        <v>M14110 231B HTTX</v>
      </c>
      <c r="H7264" t="str">
        <f>T("10949 AEROSPACE AVE")</f>
        <v>10949 AEROSPACE AVE</v>
      </c>
      <c r="I7264" t="str">
        <f>T("HOUSTON")</f>
        <v>HOUSTON</v>
      </c>
      <c r="J7264" t="str">
        <f>T("TX")</f>
        <v>TX</v>
      </c>
      <c r="K7264" t="str">
        <f>T("8323807545")</f>
        <v>8323807545</v>
      </c>
      <c r="L7264" t="str">
        <f>T("8323807000")</f>
        <v>8323807000</v>
      </c>
    </row>
    <row r="7265" spans="1:12" x14ac:dyDescent="0.35">
      <c r="A7265" t="str">
        <f t="shared" si="2747"/>
        <v>4TH MAR DIV</v>
      </c>
      <c r="B7265" t="str">
        <f>T("1ST BN 23RD MAR MCRC")</f>
        <v>1ST BN 23RD MAR MCRC</v>
      </c>
      <c r="C7265" t="str">
        <f>T("10949 AEROSPACE AVE")</f>
        <v>10949 AEROSPACE AVE</v>
      </c>
      <c r="D7265" t="str">
        <f>T("HOUSTON")</f>
        <v>HOUSTON</v>
      </c>
      <c r="E7265" t="str">
        <f>T("TX")</f>
        <v>TX</v>
      </c>
      <c r="F7265" t="str">
        <f>T("770345563")</f>
        <v>770345563</v>
      </c>
      <c r="G7265" t="str">
        <f>T("M14110 231B HTTX")</f>
        <v>M14110 231B HTTX</v>
      </c>
      <c r="H7265" t="str">
        <f>T("1440 SWAN LAKE ROAD")</f>
        <v>1440 SWAN LAKE ROAD</v>
      </c>
      <c r="I7265" t="str">
        <f>T("BOSSIER CITY")</f>
        <v>BOSSIER CITY</v>
      </c>
      <c r="J7265" t="str">
        <f>T("LA")</f>
        <v>LA</v>
      </c>
      <c r="K7265" t="str">
        <f>T("3187470795237")</f>
        <v>3187470795237</v>
      </c>
      <c r="L7265" t="str">
        <f>T("3187470795")</f>
        <v>3187470795</v>
      </c>
    </row>
    <row r="7266" spans="1:12" x14ac:dyDescent="0.35">
      <c r="A7266" t="str">
        <f t="shared" si="2747"/>
        <v>4TH MAR DIV</v>
      </c>
      <c r="B7266" t="str">
        <f>T("2/23 MAR REG 4MARDIV")</f>
        <v>2/23 MAR REG 4MARDIV</v>
      </c>
      <c r="C7266" t="str">
        <f>T("2699 PALOMA STREET")</f>
        <v>2699 PALOMA STREET</v>
      </c>
      <c r="D7266" t="str">
        <f>T("PASADENA")</f>
        <v>PASADENA</v>
      </c>
      <c r="E7266" t="str">
        <f t="shared" ref="E7266:E7274" si="2748">T("CA")</f>
        <v>CA</v>
      </c>
      <c r="F7266" t="str">
        <f>T("911072629")</f>
        <v>911072629</v>
      </c>
      <c r="G7266" t="str">
        <f>T("2/23 MAR REG 4MARDIV")</f>
        <v>2/23 MAR REG 4MARDIV</v>
      </c>
      <c r="H7266" t="str">
        <f>T("2699 PALOMA STREET")</f>
        <v>2699 PALOMA STREET</v>
      </c>
      <c r="I7266" t="str">
        <f>T("PASADENA")</f>
        <v>PASADENA</v>
      </c>
      <c r="J7266" t="str">
        <f>T("CA")</f>
        <v>CA</v>
      </c>
      <c r="K7266" t="str">
        <f>T("")</f>
        <v/>
      </c>
      <c r="L7266" t="str">
        <f>T("9104519131")</f>
        <v>9104519131</v>
      </c>
    </row>
    <row r="7267" spans="1:12" x14ac:dyDescent="0.35">
      <c r="A7267" t="str">
        <f t="shared" si="2747"/>
        <v>4TH MAR DIV</v>
      </c>
      <c r="B7267" t="str">
        <f>T("2/23 MAR REG 4MARDIV")</f>
        <v>2/23 MAR REG 4MARDIV</v>
      </c>
      <c r="C7267" t="str">
        <f>T("2699 PALOMA STREET")</f>
        <v>2699 PALOMA STREET</v>
      </c>
      <c r="D7267" t="str">
        <f>T("PASADENA")</f>
        <v>PASADENA</v>
      </c>
      <c r="E7267" t="str">
        <f t="shared" si="2748"/>
        <v>CA</v>
      </c>
      <c r="F7267" t="str">
        <f>T("911072629")</f>
        <v>911072629</v>
      </c>
      <c r="G7267" t="str">
        <f>T("M14120 232B ECCA")</f>
        <v>M14120 232B ECCA</v>
      </c>
      <c r="H7267" t="str">
        <f>T("116 POLLOCK RD NMCRC")</f>
        <v>116 POLLOCK RD NMCRC</v>
      </c>
      <c r="I7267" t="str">
        <f>T("SALT LAKE CITY")</f>
        <v>SALT LAKE CITY</v>
      </c>
      <c r="J7267" t="str">
        <f>T("UT")</f>
        <v>UT</v>
      </c>
      <c r="K7267" t="str">
        <f>T("8015837318306")</f>
        <v>8015837318306</v>
      </c>
      <c r="L7267" t="str">
        <f>T("1111111111")</f>
        <v>1111111111</v>
      </c>
    </row>
    <row r="7268" spans="1:12" x14ac:dyDescent="0.35">
      <c r="A7268" t="str">
        <f t="shared" si="2747"/>
        <v>4TH MAR DIV</v>
      </c>
      <c r="B7268" t="str">
        <f>T("2/23 MAR REG 4MARDIV")</f>
        <v>2/23 MAR REG 4MARDIV</v>
      </c>
      <c r="C7268" t="str">
        <f>T("2699 PALOMA STREET")</f>
        <v>2699 PALOMA STREET</v>
      </c>
      <c r="D7268" t="str">
        <f>T("PASADENA")</f>
        <v>PASADENA</v>
      </c>
      <c r="E7268" t="str">
        <f t="shared" si="2748"/>
        <v>CA</v>
      </c>
      <c r="F7268" t="str">
        <f>T("911072629")</f>
        <v>911072629</v>
      </c>
      <c r="G7268" t="str">
        <f>T("M14120 232B ECCA")</f>
        <v>M14120 232B ECCA</v>
      </c>
      <c r="H7268" t="str">
        <f>T("2699 PALOMA STREET")</f>
        <v>2699 PALOMA STREET</v>
      </c>
      <c r="I7268" t="str">
        <f>T("PASADENA")</f>
        <v>PASADENA</v>
      </c>
      <c r="J7268" t="str">
        <f t="shared" ref="J7268:J7274" si="2749">T("CA")</f>
        <v>CA</v>
      </c>
      <c r="K7268" t="str">
        <f>T("62639802951702")</f>
        <v>62639802951702</v>
      </c>
      <c r="L7268" t="str">
        <f>T("1111111111")</f>
        <v>1111111111</v>
      </c>
    </row>
    <row r="7269" spans="1:12" x14ac:dyDescent="0.35">
      <c r="A7269" t="str">
        <f t="shared" si="2747"/>
        <v>4TH MAR DIV</v>
      </c>
      <c r="B7269" t="str">
        <f>T("2/23 MAR REG 4MARDIV")</f>
        <v>2/23 MAR REG 4MARDIV</v>
      </c>
      <c r="C7269" t="str">
        <f>T("2699 PALOMA STREET")</f>
        <v>2699 PALOMA STREET</v>
      </c>
      <c r="D7269" t="str">
        <f>T("PASADENA")</f>
        <v>PASADENA</v>
      </c>
      <c r="E7269" t="str">
        <f t="shared" si="2748"/>
        <v>CA</v>
      </c>
      <c r="F7269" t="str">
        <f>T("911072629")</f>
        <v>911072629</v>
      </c>
      <c r="G7269" t="str">
        <f>T("M14120 232B ECCA")</f>
        <v>M14120 232B ECCA</v>
      </c>
      <c r="H7269" t="str">
        <f>T("900 COMMODORE DRIVE")</f>
        <v>900 COMMODORE DRIVE</v>
      </c>
      <c r="I7269" t="str">
        <f>T("SAN BRUNO")</f>
        <v>SAN BRUNO</v>
      </c>
      <c r="J7269" t="str">
        <f t="shared" si="2749"/>
        <v>CA</v>
      </c>
      <c r="K7269" t="str">
        <f>T("000000000000000000")</f>
        <v>000000000000000000</v>
      </c>
      <c r="L7269" t="str">
        <f>T("6502449806")</f>
        <v>6502449806</v>
      </c>
    </row>
    <row r="7270" spans="1:12" x14ac:dyDescent="0.35">
      <c r="A7270" t="str">
        <f t="shared" si="2747"/>
        <v>4TH MAR DIV</v>
      </c>
      <c r="B7270" t="str">
        <f>T("2/23 MAR REG 4MARDIV")</f>
        <v>2/23 MAR REG 4MARDIV</v>
      </c>
      <c r="C7270" t="str">
        <f>T("2699 PALOMA STREET")</f>
        <v>2699 PALOMA STREET</v>
      </c>
      <c r="D7270" t="str">
        <f>T("PASADENA")</f>
        <v>PASADENA</v>
      </c>
      <c r="E7270" t="str">
        <f t="shared" si="2748"/>
        <v>CA</v>
      </c>
      <c r="F7270" t="str">
        <f>T("911072629")</f>
        <v>911072629</v>
      </c>
      <c r="G7270" t="str">
        <f>T("M14120 232B ECCA")</f>
        <v>M14120 232B ECCA</v>
      </c>
      <c r="H7270" t="str">
        <f>T("M3551 SAN GABRIEL RIVER PARKWAY")</f>
        <v>M3551 SAN GABRIEL RIVER PARKWAY</v>
      </c>
      <c r="I7270" t="str">
        <f>T("PICO RIVERA")</f>
        <v>PICO RIVERA</v>
      </c>
      <c r="J7270" t="str">
        <f t="shared" si="2749"/>
        <v>CA</v>
      </c>
      <c r="K7270" t="str">
        <f>T("000000000000000000")</f>
        <v>000000000000000000</v>
      </c>
      <c r="L7270" t="str">
        <f>T("5626917100")</f>
        <v>5626917100</v>
      </c>
    </row>
    <row r="7271" spans="1:12" x14ac:dyDescent="0.35">
      <c r="A7271" t="str">
        <f t="shared" si="2747"/>
        <v>4TH MAR DIV</v>
      </c>
      <c r="B7271" t="str">
        <f>T("23RD MAR REG 4TH MARDIV")</f>
        <v>23RD MAR REG 4TH MARDIV</v>
      </c>
      <c r="C7271" t="str">
        <f>T("900 COMMODORE LANE")</f>
        <v>900 COMMODORE LANE</v>
      </c>
      <c r="D7271" t="str">
        <f>T("SAN BRUNO")</f>
        <v>SAN BRUNO</v>
      </c>
      <c r="E7271" t="str">
        <f t="shared" si="2748"/>
        <v>CA</v>
      </c>
      <c r="F7271" t="str">
        <f>T("940662402")</f>
        <v>940662402</v>
      </c>
      <c r="G7271" t="str">
        <f>T("23RD MAR REG 4MARDIV")</f>
        <v>23RD MAR REG 4MARDIV</v>
      </c>
      <c r="H7271" t="str">
        <f>T("900 COMMODORE LANE BLDG 1")</f>
        <v>900 COMMODORE LANE BLDG 1</v>
      </c>
      <c r="I7271" t="str">
        <f>T("SAN BRUNO")</f>
        <v>SAN BRUNO</v>
      </c>
      <c r="J7271" t="str">
        <f t="shared" si="2749"/>
        <v>CA</v>
      </c>
      <c r="K7271" t="str">
        <f>T("000000000000000000")</f>
        <v>000000000000000000</v>
      </c>
      <c r="L7271" t="str">
        <f>T("6502449806")</f>
        <v>6502449806</v>
      </c>
    </row>
    <row r="7272" spans="1:12" x14ac:dyDescent="0.35">
      <c r="A7272" t="str">
        <f t="shared" si="2747"/>
        <v>4TH MAR DIV</v>
      </c>
      <c r="B7272" t="str">
        <f>T("23RD MAR REG 4TH MARDIV")</f>
        <v>23RD MAR REG 4TH MARDIV</v>
      </c>
      <c r="C7272" t="str">
        <f>T("900 COMMODORE LANE")</f>
        <v>900 COMMODORE LANE</v>
      </c>
      <c r="D7272" t="str">
        <f>T("SAN BRUNO")</f>
        <v>SAN BRUNO</v>
      </c>
      <c r="E7272" t="str">
        <f t="shared" si="2748"/>
        <v>CA</v>
      </c>
      <c r="F7272" t="str">
        <f>T("940662402")</f>
        <v>940662402</v>
      </c>
      <c r="G7272" t="str">
        <f>T("23RD MAR REG 4TH MARDIV")</f>
        <v>23RD MAR REG 4TH MARDIV</v>
      </c>
      <c r="H7272" t="str">
        <f>T("900 COMMODORE LANE")</f>
        <v>900 COMMODORE LANE</v>
      </c>
      <c r="I7272" t="str">
        <f>T("SAN BRUNO")</f>
        <v>SAN BRUNO</v>
      </c>
      <c r="J7272" t="str">
        <f t="shared" si="2749"/>
        <v>CA</v>
      </c>
      <c r="K7272" t="str">
        <f>T("")</f>
        <v/>
      </c>
      <c r="L7272" t="str">
        <f>T("1111111111")</f>
        <v>1111111111</v>
      </c>
    </row>
    <row r="7273" spans="1:12" x14ac:dyDescent="0.35">
      <c r="A7273" t="str">
        <f t="shared" si="2747"/>
        <v>4TH MAR DIV</v>
      </c>
      <c r="B7273" t="str">
        <f>T("23RD MAR REG 4TH MARDIV")</f>
        <v>23RD MAR REG 4TH MARDIV</v>
      </c>
      <c r="C7273" t="str">
        <f>T("900 COMMODORE LANE")</f>
        <v>900 COMMODORE LANE</v>
      </c>
      <c r="D7273" t="str">
        <f>T("SAN BRUNO")</f>
        <v>SAN BRUNO</v>
      </c>
      <c r="E7273" t="str">
        <f t="shared" si="2748"/>
        <v>CA</v>
      </c>
      <c r="F7273" t="str">
        <f>T("940662402")</f>
        <v>940662402</v>
      </c>
      <c r="G7273" t="str">
        <f>T("M14101 23HQ SBCA")</f>
        <v>M14101 23HQ SBCA</v>
      </c>
      <c r="H7273" t="str">
        <f>T("800 COMMODORE DRIVE")</f>
        <v>800 COMMODORE DRIVE</v>
      </c>
      <c r="I7273" t="str">
        <f>T("SAN BRUNO")</f>
        <v>SAN BRUNO</v>
      </c>
      <c r="J7273" t="str">
        <f t="shared" si="2749"/>
        <v>CA</v>
      </c>
      <c r="K7273" t="str">
        <f>T("000000000000000000")</f>
        <v>000000000000000000</v>
      </c>
      <c r="L7273" t="str">
        <f>T("6502449806")</f>
        <v>6502449806</v>
      </c>
    </row>
    <row r="7274" spans="1:12" x14ac:dyDescent="0.35">
      <c r="A7274" t="str">
        <f t="shared" si="2747"/>
        <v>4TH MAR DIV</v>
      </c>
      <c r="B7274" t="str">
        <f>T("23RD MAR REG 4TH MARDIV")</f>
        <v>23RD MAR REG 4TH MARDIV</v>
      </c>
      <c r="C7274" t="str">
        <f>T("900 COMMODORE LANE")</f>
        <v>900 COMMODORE LANE</v>
      </c>
      <c r="D7274" t="str">
        <f>T("SAN BRUNO")</f>
        <v>SAN BRUNO</v>
      </c>
      <c r="E7274" t="str">
        <f t="shared" si="2748"/>
        <v>CA</v>
      </c>
      <c r="F7274" t="str">
        <f>T("940662402")</f>
        <v>940662402</v>
      </c>
      <c r="G7274" t="str">
        <f>T("M14101 23HQ SBCA")</f>
        <v>M14101 23HQ SBCA</v>
      </c>
      <c r="H7274" t="str">
        <f>T("900 COMMODORE DRIVE")</f>
        <v>900 COMMODORE DRIVE</v>
      </c>
      <c r="I7274" t="str">
        <f>T("SAN BRUNO")</f>
        <v>SAN BRUNO</v>
      </c>
      <c r="J7274" t="str">
        <f t="shared" si="2749"/>
        <v>CA</v>
      </c>
      <c r="K7274" t="str">
        <f>T("000000000000000000")</f>
        <v>000000000000000000</v>
      </c>
      <c r="L7274" t="str">
        <f>T("6502449806")</f>
        <v>6502449806</v>
      </c>
    </row>
    <row r="7275" spans="1:12" x14ac:dyDescent="0.35">
      <c r="A7275" t="str">
        <f t="shared" si="2747"/>
        <v>4TH MAR DIV</v>
      </c>
      <c r="B7275" t="str">
        <f>T("2ND BN 24TH MAR 4TH MARDIV")</f>
        <v>2ND BN 24TH MAR 4TH MARDIV</v>
      </c>
      <c r="C7275" t="str">
        <f>T("3034 W FOSTER AVE")</f>
        <v>3034 W FOSTER AVE</v>
      </c>
      <c r="D7275" t="str">
        <f>T("CHICAGO")</f>
        <v>CHICAGO</v>
      </c>
      <c r="E7275" t="str">
        <f>T("IL")</f>
        <v>IL</v>
      </c>
      <c r="F7275" t="str">
        <f>T("606254154")</f>
        <v>606254154</v>
      </c>
      <c r="G7275" t="str">
        <f>T("2ND BN 24TH MAR 4TH MARDIV")</f>
        <v>2ND BN 24TH MAR 4TH MARDIV</v>
      </c>
      <c r="H7275" t="str">
        <f>T("3034 W FOSTER AVE")</f>
        <v>3034 W FOSTER AVE</v>
      </c>
      <c r="I7275" t="str">
        <f>T("CHICAGO")</f>
        <v>CHICAGO</v>
      </c>
      <c r="J7275" t="str">
        <f>T("IL")</f>
        <v>IL</v>
      </c>
      <c r="K7275" t="str">
        <f>T("")</f>
        <v/>
      </c>
      <c r="L7275" t="str">
        <f>T("1111111111")</f>
        <v>1111111111</v>
      </c>
    </row>
    <row r="7276" spans="1:12" x14ac:dyDescent="0.35">
      <c r="A7276" t="str">
        <f t="shared" si="2747"/>
        <v>4TH MAR DIV</v>
      </c>
      <c r="B7276" t="str">
        <f>T("2ND BN 24TH MAR 4TH MARDIV")</f>
        <v>2ND BN 24TH MAR 4TH MARDIV</v>
      </c>
      <c r="C7276" t="str">
        <f>T("3034 W FOSTER AVE")</f>
        <v>3034 W FOSTER AVE</v>
      </c>
      <c r="D7276" t="str">
        <f>T("CHICAGO")</f>
        <v>CHICAGO</v>
      </c>
      <c r="E7276" t="str">
        <f>T("IL")</f>
        <v>IL</v>
      </c>
      <c r="F7276" t="str">
        <f>T("606254154")</f>
        <v>606254154</v>
      </c>
      <c r="G7276" t="str">
        <f>T("2ND BN 24TH MARINES HS CO")</f>
        <v>2ND BN 24TH MARINES HS CO</v>
      </c>
      <c r="H7276" t="str">
        <f>T("3043 W FOSTER")</f>
        <v>3043 W FOSTER</v>
      </c>
      <c r="I7276" t="str">
        <f>T("CHICAGO")</f>
        <v>CHICAGO</v>
      </c>
      <c r="J7276" t="str">
        <f>T("IL")</f>
        <v>IL</v>
      </c>
      <c r="K7276" t="str">
        <f>T("7735396464329")</f>
        <v>7735396464329</v>
      </c>
      <c r="L7276" t="str">
        <f>T("7735396464")</f>
        <v>7735396464</v>
      </c>
    </row>
    <row r="7277" spans="1:12" x14ac:dyDescent="0.35">
      <c r="A7277" t="str">
        <f t="shared" si="2747"/>
        <v>4TH MAR DIV</v>
      </c>
      <c r="B7277" t="str">
        <f>T("3RD BN 23RD MARINES")</f>
        <v>3RD BN 23RD MARINES</v>
      </c>
      <c r="C7277" t="str">
        <f>T("10810 LAMBERT BLVD")</f>
        <v>10810 LAMBERT BLVD</v>
      </c>
      <c r="D7277" t="str">
        <f>T("BRIDGETON")</f>
        <v>BRIDGETON</v>
      </c>
      <c r="E7277" t="str">
        <f>T("MO")</f>
        <v>MO</v>
      </c>
      <c r="F7277" t="str">
        <f>T("630440000")</f>
        <v>630440000</v>
      </c>
      <c r="G7277" t="str">
        <f>T("3RD BN 23RD MARINES")</f>
        <v>3RD BN 23RD MARINES</v>
      </c>
      <c r="H7277" t="str">
        <f>T("10810 LAMBERT BLVD")</f>
        <v>10810 LAMBERT BLVD</v>
      </c>
      <c r="I7277" t="str">
        <f>T("BRIDGETON")</f>
        <v>BRIDGETON</v>
      </c>
      <c r="J7277" t="str">
        <f>T("MO")</f>
        <v>MO</v>
      </c>
      <c r="K7277" t="str">
        <f>T("")</f>
        <v/>
      </c>
      <c r="L7277" t="str">
        <f>T("1111111111")</f>
        <v>1111111111</v>
      </c>
    </row>
    <row r="7278" spans="1:12" x14ac:dyDescent="0.35">
      <c r="A7278" t="str">
        <f t="shared" si="2747"/>
        <v>4TH MAR DIV</v>
      </c>
      <c r="B7278" t="str">
        <f>T("3RD BN 23RD MARINES")</f>
        <v>3RD BN 23RD MARINES</v>
      </c>
      <c r="C7278" t="str">
        <f>T("10810 LAMBERT BLVD")</f>
        <v>10810 LAMBERT BLVD</v>
      </c>
      <c r="D7278" t="str">
        <f>T("BRIDGETON")</f>
        <v>BRIDGETON</v>
      </c>
      <c r="E7278" t="str">
        <f>T("MO")</f>
        <v>MO</v>
      </c>
      <c r="F7278" t="str">
        <f>T("630440000")</f>
        <v>630440000</v>
      </c>
      <c r="G7278" t="str">
        <f>T("M14130 233B BTMO")</f>
        <v>M14130 233B BTMO</v>
      </c>
      <c r="H7278" t="str">
        <f>T("10810 LAMBERT INTL BLVD")</f>
        <v>10810 LAMBERT INTL BLVD</v>
      </c>
      <c r="I7278" t="str">
        <f>T("BRIDGETON")</f>
        <v>BRIDGETON</v>
      </c>
      <c r="J7278" t="str">
        <f>T("MO")</f>
        <v>MO</v>
      </c>
      <c r="K7278" t="str">
        <f>T("3142636204237")</f>
        <v>3142636204237</v>
      </c>
      <c r="L7278" t="str">
        <f>T("3142636204")</f>
        <v>3142636204</v>
      </c>
    </row>
    <row r="7279" spans="1:12" x14ac:dyDescent="0.35">
      <c r="A7279" t="str">
        <f t="shared" si="2747"/>
        <v>4TH MAR DIV</v>
      </c>
      <c r="B7279" t="str">
        <f>T("3RD BN 23RD MARINES")</f>
        <v>3RD BN 23RD MARINES</v>
      </c>
      <c r="C7279" t="str">
        <f>T("10810 LAMBERT BLVD")</f>
        <v>10810 LAMBERT BLVD</v>
      </c>
      <c r="D7279" t="str">
        <f>T("BRIDGETON")</f>
        <v>BRIDGETON</v>
      </c>
      <c r="E7279" t="str">
        <f>T("MO")</f>
        <v>MO</v>
      </c>
      <c r="F7279" t="str">
        <f>T("630440000")</f>
        <v>630440000</v>
      </c>
      <c r="G7279" t="str">
        <f>T("M14130 233B BTMO 3RD BN 23RD REG")</f>
        <v>M14130 233B BTMO 3RD BN 23RD REG</v>
      </c>
      <c r="H7279" t="str">
        <f>T("10810 LAMBERT INTL BLVD")</f>
        <v>10810 LAMBERT INTL BLVD</v>
      </c>
      <c r="I7279" t="str">
        <f>T("BRIDGETON")</f>
        <v>BRIDGETON</v>
      </c>
      <c r="J7279" t="str">
        <f>T("MO")</f>
        <v>MO</v>
      </c>
      <c r="K7279" t="str">
        <f>T("3142636458")</f>
        <v>3142636458</v>
      </c>
      <c r="L7279" t="str">
        <f>T("3142636204")</f>
        <v>3142636204</v>
      </c>
    </row>
    <row r="7280" spans="1:12" x14ac:dyDescent="0.35">
      <c r="A7280" t="str">
        <f t="shared" si="2747"/>
        <v>4TH MAR DIV</v>
      </c>
      <c r="B7280" t="str">
        <f>T("4TH COMBAT ENGR BN MCRTC")</f>
        <v>4TH COMBAT ENGR BN MCRTC</v>
      </c>
      <c r="C7280" t="str">
        <f>T("7000 HAMLET ST")</f>
        <v>7000 HAMLET ST</v>
      </c>
      <c r="D7280" t="str">
        <f>T("BALTIMORE")</f>
        <v>BALTIMORE</v>
      </c>
      <c r="E7280" t="str">
        <f>T("MD")</f>
        <v>MD</v>
      </c>
      <c r="F7280" t="str">
        <f>T("212347408")</f>
        <v>212347408</v>
      </c>
      <c r="G7280" t="str">
        <f>T("4TH COMBAT ENGR BN MCRTC")</f>
        <v>4TH COMBAT ENGR BN MCRTC</v>
      </c>
      <c r="H7280" t="str">
        <f>T("7000 HAMLET ST")</f>
        <v>7000 HAMLET ST</v>
      </c>
      <c r="I7280" t="str">
        <f>T("BALTIMORE")</f>
        <v>BALTIMORE</v>
      </c>
      <c r="J7280" t="str">
        <f>T("MD")</f>
        <v>MD</v>
      </c>
      <c r="K7280" t="str">
        <f>T("4104440978")</f>
        <v>4104440978</v>
      </c>
      <c r="L7280" t="str">
        <f>T("1111111111")</f>
        <v>1111111111</v>
      </c>
    </row>
    <row r="7281" spans="1:12" x14ac:dyDescent="0.35">
      <c r="A7281" t="str">
        <f t="shared" si="2747"/>
        <v>4TH MAR DIV</v>
      </c>
      <c r="B7281" t="str">
        <f>T("4TH COMBAT ENGR BN MCRTC")</f>
        <v>4TH COMBAT ENGR BN MCRTC</v>
      </c>
      <c r="C7281" t="str">
        <f>T("7000 HAMLET ST")</f>
        <v>7000 HAMLET ST</v>
      </c>
      <c r="D7281" t="str">
        <f>T("BALTIMORE")</f>
        <v>BALTIMORE</v>
      </c>
      <c r="E7281" t="str">
        <f>T("MD")</f>
        <v>MD</v>
      </c>
      <c r="F7281" t="str">
        <f>T("212347408")</f>
        <v>212347408</v>
      </c>
      <c r="G7281" t="str">
        <f>T("M14400 4CHQ BTMD")</f>
        <v>M14400 4CHQ BTMD</v>
      </c>
      <c r="H7281" t="str">
        <f>T("7000 HAMLET AVE")</f>
        <v>7000 HAMLET AVE</v>
      </c>
      <c r="I7281" t="str">
        <f>T("BALTIMORE")</f>
        <v>BALTIMORE</v>
      </c>
      <c r="J7281" t="str">
        <f>T("MD")</f>
        <v>MD</v>
      </c>
      <c r="K7281" t="str">
        <f>T("000000000000000000")</f>
        <v>000000000000000000</v>
      </c>
      <c r="L7281" t="str">
        <f>T("4104446200")</f>
        <v>4104446200</v>
      </c>
    </row>
    <row r="7282" spans="1:12" x14ac:dyDescent="0.35">
      <c r="A7282" t="str">
        <f t="shared" si="2747"/>
        <v>4TH MAR DIV</v>
      </c>
      <c r="B7282" t="str">
        <f>T("4TH COMBAT ENGR BN MCRTC")</f>
        <v>4TH COMBAT ENGR BN MCRTC</v>
      </c>
      <c r="C7282" t="str">
        <f>T("7000 HAMLET ST")</f>
        <v>7000 HAMLET ST</v>
      </c>
      <c r="D7282" t="str">
        <f>T("BALTIMORE")</f>
        <v>BALTIMORE</v>
      </c>
      <c r="E7282" t="str">
        <f>T("MD")</f>
        <v>MD</v>
      </c>
      <c r="F7282" t="str">
        <f>T("212347408")</f>
        <v>212347408</v>
      </c>
      <c r="G7282" t="str">
        <f>T("PCH 4CEBN 4MD MCRTC")</f>
        <v>PCH 4CEBN 4MD MCRTC</v>
      </c>
      <c r="H7282" t="str">
        <f>T("7000 HAMLET AVE")</f>
        <v>7000 HAMLET AVE</v>
      </c>
      <c r="I7282" t="str">
        <f>T("BALTIMORE")</f>
        <v>BALTIMORE</v>
      </c>
      <c r="J7282" t="str">
        <f>T("MD")</f>
        <v>MD</v>
      </c>
      <c r="K7282" t="str">
        <f>T("4104446200106")</f>
        <v>4104446200106</v>
      </c>
      <c r="L7282" t="str">
        <f>T("4104446200")</f>
        <v>4104446200</v>
      </c>
    </row>
    <row r="7283" spans="1:12" x14ac:dyDescent="0.35">
      <c r="A7283" t="str">
        <f t="shared" si="2747"/>
        <v>4TH MAR DIV</v>
      </c>
      <c r="B7283" t="str">
        <f>T("5TH BN 14TH MAR 4TH MARDIV")</f>
        <v>5TH BN 14TH MAR 4TH MARDIV</v>
      </c>
      <c r="C7283" t="str">
        <f>T("800 SEAL BEACH BLDG 9")</f>
        <v>800 SEAL BEACH BLDG 9</v>
      </c>
      <c r="D7283" t="str">
        <f>T("SEAL BEACH")</f>
        <v>SEAL BEACH</v>
      </c>
      <c r="E7283" t="str">
        <f>T("CA")</f>
        <v>CA</v>
      </c>
      <c r="F7283" t="str">
        <f>T("907405607")</f>
        <v>907405607</v>
      </c>
      <c r="G7283" t="str">
        <f>T("5TH BN 14TH MAR 4TH MARDIV")</f>
        <v>5TH BN 14TH MAR 4TH MARDIV</v>
      </c>
      <c r="H7283" t="str">
        <f>T("800 SEAL BEACH BLDG 9")</f>
        <v>800 SEAL BEACH BLDG 9</v>
      </c>
      <c r="I7283" t="str">
        <f>T("SEAL BEACH")</f>
        <v>SEAL BEACH</v>
      </c>
      <c r="J7283" t="str">
        <f>T("CA")</f>
        <v>CA</v>
      </c>
      <c r="K7283" t="str">
        <f>T("5626266171")</f>
        <v>5626266171</v>
      </c>
      <c r="L7283" t="str">
        <f>T("5626266200")</f>
        <v>5626266200</v>
      </c>
    </row>
    <row r="7284" spans="1:12" x14ac:dyDescent="0.35">
      <c r="A7284" t="str">
        <f t="shared" si="2747"/>
        <v>4TH MAR DIV</v>
      </c>
      <c r="B7284" t="str">
        <f>T("5TH BN 14TH MAR 4TH MARDIV")</f>
        <v>5TH BN 14TH MAR 4TH MARDIV</v>
      </c>
      <c r="C7284" t="str">
        <f>T("800 SEAL BEACH BLDG 9")</f>
        <v>800 SEAL BEACH BLDG 9</v>
      </c>
      <c r="D7284" t="str">
        <f>T("SEAL BEACH")</f>
        <v>SEAL BEACH</v>
      </c>
      <c r="E7284" t="str">
        <f>T("CA")</f>
        <v>CA</v>
      </c>
      <c r="F7284" t="str">
        <f>T("907405607")</f>
        <v>907405607</v>
      </c>
      <c r="G7284" t="str">
        <f>T("M14640 145B SBCA")</f>
        <v>M14640 145B SBCA</v>
      </c>
      <c r="H7284" t="str">
        <f>T("800 SEAL BEACH BLVD BLDG 14")</f>
        <v>800 SEAL BEACH BLVD BLDG 14</v>
      </c>
      <c r="I7284" t="str">
        <f>T("SEAL BEACH")</f>
        <v>SEAL BEACH</v>
      </c>
      <c r="J7284" t="str">
        <f>T("CA")</f>
        <v>CA</v>
      </c>
      <c r="K7284" t="str">
        <f>T("000000000000000000")</f>
        <v>000000000000000000</v>
      </c>
      <c r="L7284" t="str">
        <f>T("5626266188")</f>
        <v>5626266188</v>
      </c>
    </row>
    <row r="7285" spans="1:12" x14ac:dyDescent="0.35">
      <c r="A7285" t="str">
        <f t="shared" si="2747"/>
        <v>4TH MAR DIV</v>
      </c>
      <c r="B7285" t="str">
        <f t="shared" ref="B7285:B7291" si="2750">T("AO 3RD BN 14TH MAR AFRC")</f>
        <v>AO 3RD BN 14TH MAR AFRC</v>
      </c>
      <c r="C7285" t="str">
        <f t="shared" ref="C7285:C7291" si="2751">T("2501 FORD ROAD")</f>
        <v>2501 FORD ROAD</v>
      </c>
      <c r="D7285" t="str">
        <f t="shared" ref="D7285:D7291" si="2752">T("BRISTOL")</f>
        <v>BRISTOL</v>
      </c>
      <c r="E7285" t="str">
        <f t="shared" ref="E7285:E7291" si="2753">T("PA")</f>
        <v>PA</v>
      </c>
      <c r="F7285" t="str">
        <f t="shared" ref="F7285:F7291" si="2754">T("190076801")</f>
        <v>190076801</v>
      </c>
      <c r="G7285" t="str">
        <f>T("AO 3RD BN 14TH MAR AFRC")</f>
        <v>AO 3RD BN 14TH MAR AFRC</v>
      </c>
      <c r="H7285" t="str">
        <f>T("2501 FORD ROAD")</f>
        <v>2501 FORD ROAD</v>
      </c>
      <c r="I7285" t="str">
        <f>T("BRISTOL")</f>
        <v>BRISTOL</v>
      </c>
      <c r="J7285" t="str">
        <f>T("PA")</f>
        <v>PA</v>
      </c>
      <c r="K7285" t="str">
        <f>T("")</f>
        <v/>
      </c>
      <c r="L7285" t="str">
        <f>T("2158264111")</f>
        <v>2158264111</v>
      </c>
    </row>
    <row r="7286" spans="1:12" x14ac:dyDescent="0.35">
      <c r="A7286" t="str">
        <f t="shared" si="2747"/>
        <v>4TH MAR DIV</v>
      </c>
      <c r="B7286" t="str">
        <f t="shared" si="2750"/>
        <v>AO 3RD BN 14TH MAR AFRC</v>
      </c>
      <c r="C7286" t="str">
        <f t="shared" si="2751"/>
        <v>2501 FORD ROAD</v>
      </c>
      <c r="D7286" t="str">
        <f t="shared" si="2752"/>
        <v>BRISTOL</v>
      </c>
      <c r="E7286" t="str">
        <f t="shared" si="2753"/>
        <v>PA</v>
      </c>
      <c r="F7286" t="str">
        <f t="shared" si="2754"/>
        <v>190076801</v>
      </c>
      <c r="G7286" t="str">
        <f>T("M14101 23HQ SBCA")</f>
        <v>M14101 23HQ SBCA</v>
      </c>
      <c r="H7286" t="str">
        <f>T("800 COMMODORE DRIVE")</f>
        <v>800 COMMODORE DRIVE</v>
      </c>
      <c r="I7286" t="str">
        <f>T("SAN BRUNO")</f>
        <v>SAN BRUNO</v>
      </c>
      <c r="J7286" t="str">
        <f>T("CA")</f>
        <v>CA</v>
      </c>
      <c r="K7286" t="str">
        <f>T("000000000000000000")</f>
        <v>000000000000000000</v>
      </c>
      <c r="L7286" t="str">
        <f>T("6502449806")</f>
        <v>6502449806</v>
      </c>
    </row>
    <row r="7287" spans="1:12" x14ac:dyDescent="0.35">
      <c r="A7287" t="str">
        <f t="shared" si="2747"/>
        <v>4TH MAR DIV</v>
      </c>
      <c r="B7287" t="str">
        <f t="shared" si="2750"/>
        <v>AO 3RD BN 14TH MAR AFRC</v>
      </c>
      <c r="C7287" t="str">
        <f t="shared" si="2751"/>
        <v>2501 FORD ROAD</v>
      </c>
      <c r="D7287" t="str">
        <f t="shared" si="2752"/>
        <v>BRISTOL</v>
      </c>
      <c r="E7287" t="str">
        <f t="shared" si="2753"/>
        <v>PA</v>
      </c>
      <c r="F7287" t="str">
        <f t="shared" si="2754"/>
        <v>190076801</v>
      </c>
      <c r="G7287" t="str">
        <f>T("M14330 143B PDPA")</f>
        <v>M14330 143B PDPA</v>
      </c>
      <c r="H7287" t="str">
        <f>T("1400 POSTAL ROAD")</f>
        <v>1400 POSTAL ROAD</v>
      </c>
      <c r="I7287" t="str">
        <f>T("ALLENTOWN")</f>
        <v>ALLENTOWN</v>
      </c>
      <c r="J7287" t="str">
        <f>T("PA")</f>
        <v>PA</v>
      </c>
      <c r="K7287" t="str">
        <f>T("48424632803404")</f>
        <v>48424632803404</v>
      </c>
      <c r="L7287" t="str">
        <f>T("4842463280")</f>
        <v>4842463280</v>
      </c>
    </row>
    <row r="7288" spans="1:12" x14ac:dyDescent="0.35">
      <c r="A7288" t="str">
        <f t="shared" si="2747"/>
        <v>4TH MAR DIV</v>
      </c>
      <c r="B7288" t="str">
        <f t="shared" si="2750"/>
        <v>AO 3RD BN 14TH MAR AFRC</v>
      </c>
      <c r="C7288" t="str">
        <f t="shared" si="2751"/>
        <v>2501 FORD ROAD</v>
      </c>
      <c r="D7288" t="str">
        <f t="shared" si="2752"/>
        <v>BRISTOL</v>
      </c>
      <c r="E7288" t="str">
        <f t="shared" si="2753"/>
        <v>PA</v>
      </c>
      <c r="F7288" t="str">
        <f t="shared" si="2754"/>
        <v>190076801</v>
      </c>
      <c r="G7288" t="str">
        <f>T("M14330 143B PDPA")</f>
        <v>M14330 143B PDPA</v>
      </c>
      <c r="H7288" t="str">
        <f>T("2501 FORD ROAD")</f>
        <v>2501 FORD ROAD</v>
      </c>
      <c r="I7288" t="str">
        <f>T("BRISTOL")</f>
        <v>BRISTOL</v>
      </c>
      <c r="J7288" t="str">
        <f>T("PA")</f>
        <v>PA</v>
      </c>
      <c r="K7288" t="str">
        <f>T("000000000000000000")</f>
        <v>000000000000000000</v>
      </c>
      <c r="L7288" t="str">
        <f>T("2158264094")</f>
        <v>2158264094</v>
      </c>
    </row>
    <row r="7289" spans="1:12" x14ac:dyDescent="0.35">
      <c r="A7289" t="str">
        <f t="shared" si="2747"/>
        <v>4TH MAR DIV</v>
      </c>
      <c r="B7289" t="str">
        <f t="shared" si="2750"/>
        <v>AO 3RD BN 14TH MAR AFRC</v>
      </c>
      <c r="C7289" t="str">
        <f t="shared" si="2751"/>
        <v>2501 FORD ROAD</v>
      </c>
      <c r="D7289" t="str">
        <f t="shared" si="2752"/>
        <v>BRISTOL</v>
      </c>
      <c r="E7289" t="str">
        <f t="shared" si="2753"/>
        <v>PA</v>
      </c>
      <c r="F7289" t="str">
        <f t="shared" si="2754"/>
        <v>190076801</v>
      </c>
      <c r="G7289" t="str">
        <f>T("M14330 143B PDPA")</f>
        <v>M14330 143B PDPA</v>
      </c>
      <c r="H7289" t="str">
        <f>T("3RD BN 14TH MARINES")</f>
        <v>3RD BN 14TH MARINES</v>
      </c>
      <c r="I7289" t="str">
        <f>T("FORT DIX")</f>
        <v>FORT DIX</v>
      </c>
      <c r="J7289" t="str">
        <f>T("NJ")</f>
        <v>NJ</v>
      </c>
      <c r="K7289" t="str">
        <f>T("000000000000000000")</f>
        <v>000000000000000000</v>
      </c>
      <c r="L7289" t="str">
        <f>T("6095628694")</f>
        <v>6095628694</v>
      </c>
    </row>
    <row r="7290" spans="1:12" x14ac:dyDescent="0.35">
      <c r="A7290" t="str">
        <f t="shared" si="2747"/>
        <v>4TH MAR DIV</v>
      </c>
      <c r="B7290" t="str">
        <f t="shared" si="2750"/>
        <v>AO 3RD BN 14TH MAR AFRC</v>
      </c>
      <c r="C7290" t="str">
        <f t="shared" si="2751"/>
        <v>2501 FORD ROAD</v>
      </c>
      <c r="D7290" t="str">
        <f t="shared" si="2752"/>
        <v>BRISTOL</v>
      </c>
      <c r="E7290" t="str">
        <f t="shared" si="2753"/>
        <v>PA</v>
      </c>
      <c r="F7290" t="str">
        <f t="shared" si="2754"/>
        <v>190076801</v>
      </c>
      <c r="G7290" t="str">
        <f>T("M14330 143B PDPA")</f>
        <v>M14330 143B PDPA</v>
      </c>
      <c r="H7290" t="str">
        <f>T("4051 AMNICOLA HIGHWAY")</f>
        <v>4051 AMNICOLA HIGHWAY</v>
      </c>
      <c r="I7290" t="str">
        <f>T("CHATTANOOGA")</f>
        <v>CHATTANOOGA</v>
      </c>
      <c r="J7290" t="str">
        <f>T("TN")</f>
        <v>TN</v>
      </c>
      <c r="K7290" t="str">
        <f>T("4236977896142")</f>
        <v>4236977896142</v>
      </c>
      <c r="L7290" t="str">
        <f>T("1111111111")</f>
        <v>1111111111</v>
      </c>
    </row>
    <row r="7291" spans="1:12" x14ac:dyDescent="0.35">
      <c r="A7291" t="str">
        <f t="shared" si="2747"/>
        <v>4TH MAR DIV</v>
      </c>
      <c r="B7291" t="str">
        <f t="shared" si="2750"/>
        <v>AO 3RD BN 14TH MAR AFRC</v>
      </c>
      <c r="C7291" t="str">
        <f t="shared" si="2751"/>
        <v>2501 FORD ROAD</v>
      </c>
      <c r="D7291" t="str">
        <f t="shared" si="2752"/>
        <v>BRISTOL</v>
      </c>
      <c r="E7291" t="str">
        <f t="shared" si="2753"/>
        <v>PA</v>
      </c>
      <c r="F7291" t="str">
        <f t="shared" si="2754"/>
        <v>190076801</v>
      </c>
      <c r="G7291" t="str">
        <f>T("M14330 143B PDPA")</f>
        <v>M14330 143B PDPA</v>
      </c>
      <c r="H7291" t="str">
        <f>T("6000 STRATHMORE ROAD")</f>
        <v>6000 STRATHMORE ROAD</v>
      </c>
      <c r="I7291" t="str">
        <f>T("NORTH CHESTERFIELD")</f>
        <v>NORTH CHESTERFIELD</v>
      </c>
      <c r="J7291" t="str">
        <f>T("VA")</f>
        <v>VA</v>
      </c>
      <c r="K7291" t="str">
        <f>T("80427578053109")</f>
        <v>80427578053109</v>
      </c>
      <c r="L7291" t="str">
        <f>T("1111111111")</f>
        <v>1111111111</v>
      </c>
    </row>
    <row r="7292" spans="1:12" x14ac:dyDescent="0.35">
      <c r="A7292" t="str">
        <f t="shared" si="2747"/>
        <v>4TH MAR DIV</v>
      </c>
      <c r="B7292" t="str">
        <f t="shared" ref="B7292:B7299" si="2755">T("AO 4TH AA BN 4TH MARDIV")</f>
        <v>AO 4TH AA BN 4TH MARDIV</v>
      </c>
      <c r="C7292" t="str">
        <f t="shared" ref="C7292:C7299" si="2756">T("5121 GANDY BLVD")</f>
        <v>5121 GANDY BLVD</v>
      </c>
      <c r="D7292" t="str">
        <f t="shared" ref="D7292:D7299" si="2757">T("TAMPA")</f>
        <v>TAMPA</v>
      </c>
      <c r="E7292" t="str">
        <f t="shared" ref="E7292:E7299" si="2758">T("FL")</f>
        <v>FL</v>
      </c>
      <c r="F7292" t="str">
        <f t="shared" ref="F7292:F7299" si="2759">T("336113008")</f>
        <v>336113008</v>
      </c>
      <c r="G7292" t="str">
        <f>T("8820 SOMERS RD SOUTH")</f>
        <v>8820 SOMERS RD SOUTH</v>
      </c>
      <c r="H7292" t="str">
        <f>T("")</f>
        <v/>
      </c>
      <c r="I7292" t="str">
        <f>T("JACKSONVILLE")</f>
        <v>JACKSONVILLE</v>
      </c>
      <c r="J7292" t="str">
        <f t="shared" ref="J7292:J7297" si="2760">T("FL")</f>
        <v>FL</v>
      </c>
      <c r="K7292" t="str">
        <f>T("9047147441")</f>
        <v>9047147441</v>
      </c>
      <c r="L7292" t="str">
        <f>T("9047147433")</f>
        <v>9047147433</v>
      </c>
    </row>
    <row r="7293" spans="1:12" x14ac:dyDescent="0.35">
      <c r="A7293" t="str">
        <f t="shared" si="2747"/>
        <v>4TH MAR DIV</v>
      </c>
      <c r="B7293" t="str">
        <f t="shared" si="2755"/>
        <v>AO 4TH AA BN 4TH MARDIV</v>
      </c>
      <c r="C7293" t="str">
        <f t="shared" si="2756"/>
        <v>5121 GANDY BLVD</v>
      </c>
      <c r="D7293" t="str">
        <f t="shared" si="2757"/>
        <v>TAMPA</v>
      </c>
      <c r="E7293" t="str">
        <f t="shared" si="2758"/>
        <v>FL</v>
      </c>
      <c r="F7293" t="str">
        <f t="shared" si="2759"/>
        <v>336113008</v>
      </c>
      <c r="G7293" t="str">
        <f>T("AO 4TH AA BN 4TH MARDIV")</f>
        <v>AO 4TH AA BN 4TH MARDIV</v>
      </c>
      <c r="H7293" t="str">
        <f>T("5121 GANDY BLVD")</f>
        <v>5121 GANDY BLVD</v>
      </c>
      <c r="I7293" t="str">
        <f>T("TAMPA")</f>
        <v>TAMPA</v>
      </c>
      <c r="J7293" t="str">
        <f t="shared" si="2760"/>
        <v>FL</v>
      </c>
      <c r="K7293" t="str">
        <f>T("8138319092")</f>
        <v>8138319092</v>
      </c>
      <c r="L7293" t="str">
        <f>T("1111111111")</f>
        <v>1111111111</v>
      </c>
    </row>
    <row r="7294" spans="1:12" x14ac:dyDescent="0.35">
      <c r="A7294" t="str">
        <f t="shared" ref="A7294:A7325" si="2761">T("4TH MAR DIV")</f>
        <v>4TH MAR DIV</v>
      </c>
      <c r="B7294" t="str">
        <f t="shared" si="2755"/>
        <v>AO 4TH AA BN 4TH MARDIV</v>
      </c>
      <c r="C7294" t="str">
        <f t="shared" si="2756"/>
        <v>5121 GANDY BLVD</v>
      </c>
      <c r="D7294" t="str">
        <f t="shared" si="2757"/>
        <v>TAMPA</v>
      </c>
      <c r="E7294" t="str">
        <f t="shared" si="2758"/>
        <v>FL</v>
      </c>
      <c r="F7294" t="str">
        <f t="shared" si="2759"/>
        <v>336113008</v>
      </c>
      <c r="G7294" t="str">
        <f t="shared" ref="G7294:G7299" si="2762">T("M21830 4AHQ TPFL")</f>
        <v>M21830 4AHQ TPFL</v>
      </c>
      <c r="H7294" t="str">
        <f>T("5121 GANDY BLVD")</f>
        <v>5121 GANDY BLVD</v>
      </c>
      <c r="I7294" t="str">
        <f>T("TAMPA")</f>
        <v>TAMPA</v>
      </c>
      <c r="J7294" t="str">
        <f t="shared" si="2760"/>
        <v>FL</v>
      </c>
      <c r="K7294" t="str">
        <f>T("81380570207402")</f>
        <v>81380570207402</v>
      </c>
      <c r="L7294" t="str">
        <f>T("1111111111")</f>
        <v>1111111111</v>
      </c>
    </row>
    <row r="7295" spans="1:12" x14ac:dyDescent="0.35">
      <c r="A7295" t="str">
        <f t="shared" si="2761"/>
        <v>4TH MAR DIV</v>
      </c>
      <c r="B7295" t="str">
        <f t="shared" si="2755"/>
        <v>AO 4TH AA BN 4TH MARDIV</v>
      </c>
      <c r="C7295" t="str">
        <f t="shared" si="2756"/>
        <v>5121 GANDY BLVD</v>
      </c>
      <c r="D7295" t="str">
        <f t="shared" si="2757"/>
        <v>TAMPA</v>
      </c>
      <c r="E7295" t="str">
        <f t="shared" si="2758"/>
        <v>FL</v>
      </c>
      <c r="F7295" t="str">
        <f t="shared" si="2759"/>
        <v>336113008</v>
      </c>
      <c r="G7295" t="str">
        <f t="shared" si="2762"/>
        <v>M21830 4AHQ TPFL</v>
      </c>
      <c r="H7295" t="str">
        <f>T("5121 W GANDY BLVD")</f>
        <v>5121 W GANDY BLVD</v>
      </c>
      <c r="I7295" t="str">
        <f>T("TAMPA")</f>
        <v>TAMPA</v>
      </c>
      <c r="J7295" t="str">
        <f t="shared" si="2760"/>
        <v>FL</v>
      </c>
      <c r="K7295" t="str">
        <f>T("000000000000000000")</f>
        <v>000000000000000000</v>
      </c>
      <c r="L7295" t="str">
        <f>T("8138057020")</f>
        <v>8138057020</v>
      </c>
    </row>
    <row r="7296" spans="1:12" x14ac:dyDescent="0.35">
      <c r="A7296" t="str">
        <f t="shared" si="2761"/>
        <v>4TH MAR DIV</v>
      </c>
      <c r="B7296" t="str">
        <f t="shared" si="2755"/>
        <v>AO 4TH AA BN 4TH MARDIV</v>
      </c>
      <c r="C7296" t="str">
        <f t="shared" si="2756"/>
        <v>5121 GANDY BLVD</v>
      </c>
      <c r="D7296" t="str">
        <f t="shared" si="2757"/>
        <v>TAMPA</v>
      </c>
      <c r="E7296" t="str">
        <f t="shared" si="2758"/>
        <v>FL</v>
      </c>
      <c r="F7296" t="str">
        <f t="shared" si="2759"/>
        <v>336113008</v>
      </c>
      <c r="G7296" t="str">
        <f t="shared" si="2762"/>
        <v>M21830 4AHQ TPFL</v>
      </c>
      <c r="H7296" t="str">
        <f>T("5121 WEST GANDY BLVD")</f>
        <v>5121 WEST GANDY BLVD</v>
      </c>
      <c r="I7296" t="str">
        <f>T("TAMPA")</f>
        <v>TAMPA</v>
      </c>
      <c r="J7296" t="str">
        <f t="shared" si="2760"/>
        <v>FL</v>
      </c>
      <c r="K7296" t="str">
        <f>T("81380570207404")</f>
        <v>81380570207404</v>
      </c>
      <c r="L7296" t="str">
        <f>T("2154322108")</f>
        <v>2154322108</v>
      </c>
    </row>
    <row r="7297" spans="1:12" x14ac:dyDescent="0.35">
      <c r="A7297" t="str">
        <f t="shared" si="2761"/>
        <v>4TH MAR DIV</v>
      </c>
      <c r="B7297" t="str">
        <f t="shared" si="2755"/>
        <v>AO 4TH AA BN 4TH MARDIV</v>
      </c>
      <c r="C7297" t="str">
        <f t="shared" si="2756"/>
        <v>5121 GANDY BLVD</v>
      </c>
      <c r="D7297" t="str">
        <f t="shared" si="2757"/>
        <v>TAMPA</v>
      </c>
      <c r="E7297" t="str">
        <f t="shared" si="2758"/>
        <v>FL</v>
      </c>
      <c r="F7297" t="str">
        <f t="shared" si="2759"/>
        <v>336113008</v>
      </c>
      <c r="G7297" t="str">
        <f t="shared" si="2762"/>
        <v>M21830 4AHQ TPFL</v>
      </c>
      <c r="H7297" t="str">
        <f>T("8820 SOMERS ROAD")</f>
        <v>8820 SOMERS ROAD</v>
      </c>
      <c r="I7297" t="str">
        <f>T("JACKSONVILLE")</f>
        <v>JACKSONVILLE</v>
      </c>
      <c r="J7297" t="str">
        <f t="shared" si="2760"/>
        <v>FL</v>
      </c>
      <c r="K7297" t="str">
        <f>T("000000000000000000")</f>
        <v>000000000000000000</v>
      </c>
      <c r="L7297" t="str">
        <f>T("9047147433")</f>
        <v>9047147433</v>
      </c>
    </row>
    <row r="7298" spans="1:12" x14ac:dyDescent="0.35">
      <c r="A7298" t="str">
        <f t="shared" si="2761"/>
        <v>4TH MAR DIV</v>
      </c>
      <c r="B7298" t="str">
        <f t="shared" si="2755"/>
        <v>AO 4TH AA BN 4TH MARDIV</v>
      </c>
      <c r="C7298" t="str">
        <f t="shared" si="2756"/>
        <v>5121 GANDY BLVD</v>
      </c>
      <c r="D7298" t="str">
        <f t="shared" si="2757"/>
        <v>TAMPA</v>
      </c>
      <c r="E7298" t="str">
        <f t="shared" si="2758"/>
        <v>FL</v>
      </c>
      <c r="F7298" t="str">
        <f t="shared" si="2759"/>
        <v>336113008</v>
      </c>
      <c r="G7298" t="str">
        <f t="shared" si="2762"/>
        <v>M21830 4AHQ TPFL</v>
      </c>
      <c r="H7298" t="str">
        <f>T("ONE NAVY DRIVE")</f>
        <v>ONE NAVY DRIVE</v>
      </c>
      <c r="I7298" t="str">
        <f>T("VIRGINIA BEACH")</f>
        <v>VIRGINIA BEACH</v>
      </c>
      <c r="J7298" t="str">
        <f>T("VA")</f>
        <v>VA</v>
      </c>
      <c r="K7298" t="str">
        <f>T("7573184565")</f>
        <v>7573184565</v>
      </c>
      <c r="L7298" t="str">
        <f>T("7574623677")</f>
        <v>7574623677</v>
      </c>
    </row>
    <row r="7299" spans="1:12" x14ac:dyDescent="0.35">
      <c r="A7299" t="str">
        <f t="shared" si="2761"/>
        <v>4TH MAR DIV</v>
      </c>
      <c r="B7299" t="str">
        <f t="shared" si="2755"/>
        <v>AO 4TH AA BN 4TH MARDIV</v>
      </c>
      <c r="C7299" t="str">
        <f t="shared" si="2756"/>
        <v>5121 GANDY BLVD</v>
      </c>
      <c r="D7299" t="str">
        <f t="shared" si="2757"/>
        <v>TAMPA</v>
      </c>
      <c r="E7299" t="str">
        <f t="shared" si="2758"/>
        <v>FL</v>
      </c>
      <c r="F7299" t="str">
        <f t="shared" si="2759"/>
        <v>336113008</v>
      </c>
      <c r="G7299" t="str">
        <f t="shared" si="2762"/>
        <v>M21830 4AHQ TPFL</v>
      </c>
      <c r="H7299" t="str">
        <f>T("TWO FORT POINT 6B")</f>
        <v>TWO FORT POINT 6B</v>
      </c>
      <c r="I7299" t="str">
        <f>T("GALVESTON")</f>
        <v>GALVESTON</v>
      </c>
      <c r="J7299" t="str">
        <f>T("TX")</f>
        <v>TX</v>
      </c>
      <c r="K7299" t="str">
        <f>T("40976637233009")</f>
        <v>40976637233009</v>
      </c>
      <c r="L7299" t="str">
        <f>T("1111111111")</f>
        <v>1111111111</v>
      </c>
    </row>
    <row r="7300" spans="1:12" x14ac:dyDescent="0.35">
      <c r="A7300" t="str">
        <f t="shared" si="2761"/>
        <v>4TH MAR DIV</v>
      </c>
      <c r="B7300" t="str">
        <f>T("AO 4TH TANK BN 4MD MCRTC")</f>
        <v>AO 4TH TANK BN 4MD MCRTC</v>
      </c>
      <c r="C7300" t="str">
        <f>T("9955 POMREADO RD")</f>
        <v>9955 POMREADO RD</v>
      </c>
      <c r="D7300" t="str">
        <f>T("SAN DIEGO")</f>
        <v>SAN DIEGO</v>
      </c>
      <c r="E7300" t="str">
        <f>T("CA")</f>
        <v>CA</v>
      </c>
      <c r="F7300" t="str">
        <f>T("921312041")</f>
        <v>921312041</v>
      </c>
      <c r="G7300" t="str">
        <f>T("AO 4TH TANK BN 4MD MCRTC")</f>
        <v>AO 4TH TANK BN 4MD MCRTC</v>
      </c>
      <c r="H7300" t="str">
        <f>T("9955 POMREADO RD")</f>
        <v>9955 POMREADO RD</v>
      </c>
      <c r="I7300" t="str">
        <f>T("SAN DIEGO")</f>
        <v>SAN DIEGO</v>
      </c>
      <c r="J7300" t="str">
        <f>T("CA")</f>
        <v>CA</v>
      </c>
      <c r="K7300" t="str">
        <f>T("")</f>
        <v/>
      </c>
      <c r="L7300" t="str">
        <f>T("8585378007")</f>
        <v>8585378007</v>
      </c>
    </row>
    <row r="7301" spans="1:12" x14ac:dyDescent="0.35">
      <c r="A7301" t="str">
        <f t="shared" si="2761"/>
        <v>4TH MAR DIV</v>
      </c>
      <c r="B7301" t="str">
        <f>T("AO 4TH TANK BN 4MD MCRTC")</f>
        <v>AO 4TH TANK BN 4MD MCRTC</v>
      </c>
      <c r="C7301" t="str">
        <f>T("9955 POMREADO RD")</f>
        <v>9955 POMREADO RD</v>
      </c>
      <c r="D7301" t="str">
        <f>T("SAN DIEGO")</f>
        <v>SAN DIEGO</v>
      </c>
      <c r="E7301" t="str">
        <f>T("CA")</f>
        <v>CA</v>
      </c>
      <c r="F7301" t="str">
        <f>T("921312041")</f>
        <v>921312041</v>
      </c>
      <c r="G7301" t="str">
        <f>T("M21440 4THQ SDCA")</f>
        <v>M21440 4THQ SDCA</v>
      </c>
      <c r="H7301" t="str">
        <f>T("1710 SURREY ST")</f>
        <v>1710 SURREY ST</v>
      </c>
      <c r="I7301" t="str">
        <f>T("LAFAYETTE")</f>
        <v>LAFAYETTE</v>
      </c>
      <c r="J7301" t="str">
        <f>T("LA")</f>
        <v>LA</v>
      </c>
      <c r="K7301" t="str">
        <f>T("000000000000000000")</f>
        <v>000000000000000000</v>
      </c>
      <c r="L7301" t="str">
        <f>T("3374424649")</f>
        <v>3374424649</v>
      </c>
    </row>
    <row r="7302" spans="1:12" x14ac:dyDescent="0.35">
      <c r="A7302" t="str">
        <f t="shared" si="2761"/>
        <v>4TH MAR DIV</v>
      </c>
      <c r="B7302" t="str">
        <f>T("AO 4TH TANK BN 4MD MCRTC")</f>
        <v>AO 4TH TANK BN 4MD MCRTC</v>
      </c>
      <c r="C7302" t="str">
        <f>T("9955 POMREADO RD")</f>
        <v>9955 POMREADO RD</v>
      </c>
      <c r="D7302" t="str">
        <f>T("SAN DIEGO")</f>
        <v>SAN DIEGO</v>
      </c>
      <c r="E7302" t="str">
        <f>T("CA")</f>
        <v>CA</v>
      </c>
      <c r="F7302" t="str">
        <f>T("921312041")</f>
        <v>921312041</v>
      </c>
      <c r="G7302" t="str">
        <f>T("M21440 4THQ SDCA")</f>
        <v>M21440 4THQ SDCA</v>
      </c>
      <c r="H7302" t="str">
        <f>T("7TH ARMORED DIVISION CUTOFF RD")</f>
        <v>7TH ARMORED DIVISION CUTOFF RD</v>
      </c>
      <c r="I7302" t="str">
        <f>T("FORT KNOX")</f>
        <v>FORT KNOX</v>
      </c>
      <c r="J7302" t="str">
        <f>T("KY")</f>
        <v>KY</v>
      </c>
      <c r="K7302" t="str">
        <f>T("000000000000000000")</f>
        <v>000000000000000000</v>
      </c>
      <c r="L7302" t="str">
        <f>T("5026246224")</f>
        <v>5026246224</v>
      </c>
    </row>
    <row r="7303" spans="1:12" x14ac:dyDescent="0.35">
      <c r="A7303" t="str">
        <f t="shared" si="2761"/>
        <v>4TH MAR DIV</v>
      </c>
      <c r="B7303" t="str">
        <f>T("AO 4TH TANK BN 4MD MCRTC")</f>
        <v>AO 4TH TANK BN 4MD MCRTC</v>
      </c>
      <c r="C7303" t="str">
        <f>T("9955 POMREADO RD")</f>
        <v>9955 POMREADO RD</v>
      </c>
      <c r="D7303" t="str">
        <f>T("SAN DIEGO")</f>
        <v>SAN DIEGO</v>
      </c>
      <c r="E7303" t="str">
        <f>T("CA")</f>
        <v>CA</v>
      </c>
      <c r="F7303" t="str">
        <f>T("921312041")</f>
        <v>921312041</v>
      </c>
      <c r="G7303" t="str">
        <f>T("M21440 4THQ SDCA")</f>
        <v>M21440 4THQ SDCA</v>
      </c>
      <c r="H7303" t="str">
        <f>T("970 FIRING CENTER ROAD BLDG 76C")</f>
        <v>970 FIRING CENTER ROAD BLDG 76C</v>
      </c>
      <c r="I7303" t="str">
        <f>T("YAKIMA")</f>
        <v>YAKIMA</v>
      </c>
      <c r="J7303" t="str">
        <f>T("WA")</f>
        <v>WA</v>
      </c>
      <c r="K7303" t="str">
        <f>T("000000000000000000")</f>
        <v>000000000000000000</v>
      </c>
      <c r="L7303" t="str">
        <f>T("5095773235")</f>
        <v>5095773235</v>
      </c>
    </row>
    <row r="7304" spans="1:12" x14ac:dyDescent="0.35">
      <c r="A7304" t="str">
        <f t="shared" si="2761"/>
        <v>4TH MAR DIV</v>
      </c>
      <c r="B7304" t="str">
        <f>T("AO 4TH TANK BN 4MD MCRTC")</f>
        <v>AO 4TH TANK BN 4MD MCRTC</v>
      </c>
      <c r="C7304" t="str">
        <f>T("9955 POMREADO RD")</f>
        <v>9955 POMREADO RD</v>
      </c>
      <c r="D7304" t="str">
        <f>T("SAN DIEGO")</f>
        <v>SAN DIEGO</v>
      </c>
      <c r="E7304" t="str">
        <f>T("CA")</f>
        <v>CA</v>
      </c>
      <c r="F7304" t="str">
        <f>T("921312041")</f>
        <v>921312041</v>
      </c>
      <c r="G7304" t="str">
        <f>T("M21440 4THQ SDCA")</f>
        <v>M21440 4THQ SDCA</v>
      </c>
      <c r="H7304" t="str">
        <f>T("9955 POMERADO RD")</f>
        <v>9955 POMERADO RD</v>
      </c>
      <c r="I7304" t="str">
        <f>T("SAN DIEGO")</f>
        <v>SAN DIEGO</v>
      </c>
      <c r="J7304" t="str">
        <f>T("CA")</f>
        <v>CA</v>
      </c>
      <c r="K7304" t="str">
        <f>T("000000000000000000")</f>
        <v>000000000000000000</v>
      </c>
      <c r="L7304" t="str">
        <f>T("8585378126")</f>
        <v>8585378126</v>
      </c>
    </row>
    <row r="7305" spans="1:12" x14ac:dyDescent="0.35">
      <c r="A7305" t="str">
        <f t="shared" si="2761"/>
        <v>4TH MAR DIV</v>
      </c>
      <c r="B7305" t="str">
        <f>T("AO I &amp; I STAFF 2/25")</f>
        <v>AO I &amp; I STAFF 2/25</v>
      </c>
      <c r="C7305" t="str">
        <f>T("605 STEWART AVE")</f>
        <v>605 STEWART AVE</v>
      </c>
      <c r="D7305" t="str">
        <f>T("GARDEN CITY")</f>
        <v>GARDEN CITY</v>
      </c>
      <c r="E7305" t="str">
        <f>T("NY")</f>
        <v>NY</v>
      </c>
      <c r="F7305" t="str">
        <f>T("115304706")</f>
        <v>115304706</v>
      </c>
      <c r="G7305" t="str">
        <f>T("AO I &amp; I STAFF 2/25")</f>
        <v>AO I &amp; I STAFF 2/25</v>
      </c>
      <c r="H7305" t="str">
        <f>T("605 STEWART AVE")</f>
        <v>605 STEWART AVE</v>
      </c>
      <c r="I7305" t="str">
        <f>T("GARDEN CITY")</f>
        <v>GARDEN CITY</v>
      </c>
      <c r="J7305" t="str">
        <f>T("NY")</f>
        <v>NY</v>
      </c>
      <c r="K7305" t="str">
        <f>T("5162285603")</f>
        <v>5162285603</v>
      </c>
      <c r="L7305" t="str">
        <f>T("5162285778")</f>
        <v>5162285778</v>
      </c>
    </row>
    <row r="7306" spans="1:12" x14ac:dyDescent="0.35">
      <c r="A7306" t="str">
        <f t="shared" si="2761"/>
        <v>4TH MAR DIV</v>
      </c>
      <c r="B7306" t="str">
        <f>T("AO I &amp; I STAFF 2/25")</f>
        <v>AO I &amp; I STAFF 2/25</v>
      </c>
      <c r="C7306" t="str">
        <f>T("605 STEWART AVE")</f>
        <v>605 STEWART AVE</v>
      </c>
      <c r="D7306" t="str">
        <f>T("GARDEN CITY")</f>
        <v>GARDEN CITY</v>
      </c>
      <c r="E7306" t="str">
        <f>T("NY")</f>
        <v>NY</v>
      </c>
      <c r="F7306" t="str">
        <f>T("115304706")</f>
        <v>115304706</v>
      </c>
      <c r="G7306" t="str">
        <f>T("M14220 252B GCNY")</f>
        <v>M14220 252B GCNY</v>
      </c>
      <c r="H7306" t="str">
        <f>T("1 LINSLEY DRIVE")</f>
        <v>1 LINSLEY DRIVE</v>
      </c>
      <c r="I7306" t="str">
        <f>T("PLAINVILLE")</f>
        <v>PLAINVILLE</v>
      </c>
      <c r="J7306" t="str">
        <f>T("CT")</f>
        <v>CT</v>
      </c>
      <c r="K7306" t="str">
        <f>T("8607474199")</f>
        <v>8607474199</v>
      </c>
      <c r="L7306" t="str">
        <f>T("8607471643")</f>
        <v>8607471643</v>
      </c>
    </row>
    <row r="7307" spans="1:12" x14ac:dyDescent="0.35">
      <c r="A7307" t="str">
        <f t="shared" si="2761"/>
        <v>4TH MAR DIV</v>
      </c>
      <c r="B7307" t="str">
        <f>T("AO I &amp; I STAFF 2/25")</f>
        <v>AO I &amp; I STAFF 2/25</v>
      </c>
      <c r="C7307" t="str">
        <f>T("605 STEWART AVE")</f>
        <v>605 STEWART AVE</v>
      </c>
      <c r="D7307" t="str">
        <f>T("GARDEN CITY")</f>
        <v>GARDEN CITY</v>
      </c>
      <c r="E7307" t="str">
        <f>T("NY")</f>
        <v>NY</v>
      </c>
      <c r="F7307" t="str">
        <f>T("115304706")</f>
        <v>115304706</v>
      </c>
      <c r="G7307" t="str">
        <f>T("M14220 252B GCNY")</f>
        <v>M14220 252B GCNY</v>
      </c>
      <c r="H7307" t="str">
        <f>T("2991 N 2ND STREET")</f>
        <v>2991 N 2ND STREET</v>
      </c>
      <c r="I7307" t="str">
        <f>T("HARRISBURG")</f>
        <v>HARRISBURG</v>
      </c>
      <c r="J7307" t="str">
        <f>T("PA")</f>
        <v>PA</v>
      </c>
      <c r="K7307" t="str">
        <f>T("000000000000000000")</f>
        <v>000000000000000000</v>
      </c>
      <c r="L7307" t="str">
        <f>T("7172558079")</f>
        <v>7172558079</v>
      </c>
    </row>
    <row r="7308" spans="1:12" x14ac:dyDescent="0.35">
      <c r="A7308" t="str">
        <f t="shared" si="2761"/>
        <v>4TH MAR DIV</v>
      </c>
      <c r="B7308" t="str">
        <f>T("AO I &amp; I STAFF 2/25")</f>
        <v>AO I &amp; I STAFF 2/25</v>
      </c>
      <c r="C7308" t="str">
        <f>T("605 STEWART AVE")</f>
        <v>605 STEWART AVE</v>
      </c>
      <c r="D7308" t="str">
        <f>T("GARDEN CITY")</f>
        <v>GARDEN CITY</v>
      </c>
      <c r="E7308" t="str">
        <f>T("NY")</f>
        <v>NY</v>
      </c>
      <c r="F7308" t="str">
        <f>T("115304706")</f>
        <v>115304706</v>
      </c>
      <c r="G7308" t="str">
        <f>T("M14220 252B GCNY")</f>
        <v>M14220 252B GCNY</v>
      </c>
      <c r="H7308" t="str">
        <f>T("605 STEWART AVE")</f>
        <v>605 STEWART AVE</v>
      </c>
      <c r="I7308" t="str">
        <f>T("GARDEN CITY")</f>
        <v>GARDEN CITY</v>
      </c>
      <c r="J7308" t="str">
        <f>T("NY")</f>
        <v>NY</v>
      </c>
      <c r="K7308" t="str">
        <f>T("000000000000000000")</f>
        <v>000000000000000000</v>
      </c>
      <c r="L7308" t="str">
        <f>T("5162285677")</f>
        <v>5162285677</v>
      </c>
    </row>
    <row r="7309" spans="1:12" x14ac:dyDescent="0.35">
      <c r="A7309" t="str">
        <f t="shared" si="2761"/>
        <v>4TH MAR DIV</v>
      </c>
      <c r="B7309" t="str">
        <f>T("AO I &amp; I STAFF 2/25")</f>
        <v>AO I &amp; I STAFF 2/25</v>
      </c>
      <c r="C7309" t="str">
        <f>T("605 STEWART AVE")</f>
        <v>605 STEWART AVE</v>
      </c>
      <c r="D7309" t="str">
        <f>T("GARDEN CITY")</f>
        <v>GARDEN CITY</v>
      </c>
      <c r="E7309" t="str">
        <f>T("NY")</f>
        <v>NY</v>
      </c>
      <c r="F7309" t="str">
        <f>T("115304706")</f>
        <v>115304706</v>
      </c>
      <c r="G7309" t="str">
        <f>T("M14220 252B GCNY")</f>
        <v>M14220 252B GCNY</v>
      </c>
      <c r="H7309" t="str">
        <f>T("605 STEWART AVENUE")</f>
        <v>605 STEWART AVENUE</v>
      </c>
      <c r="I7309" t="str">
        <f>T("GARDEN CITY")</f>
        <v>GARDEN CITY</v>
      </c>
      <c r="J7309" t="str">
        <f>T("NY")</f>
        <v>NY</v>
      </c>
      <c r="K7309" t="str">
        <f>T("5162285603")</f>
        <v>5162285603</v>
      </c>
      <c r="L7309" t="str">
        <f>T("5162285677")</f>
        <v>5162285677</v>
      </c>
    </row>
    <row r="7310" spans="1:12" x14ac:dyDescent="0.35">
      <c r="A7310" t="str">
        <f t="shared" si="2761"/>
        <v>4TH MAR DIV</v>
      </c>
      <c r="B7310" t="str">
        <f>T("AO RD FORCE RECON &amp; SACMP")</f>
        <v>AO RD FORCE RECON &amp; SACMP</v>
      </c>
      <c r="C7310" t="str">
        <f>T("NMCRC D4851 MUSEUM DRIVE")</f>
        <v>NMCRC D4851 MUSEUM DRIVE</v>
      </c>
      <c r="D7310" t="str">
        <f>T("MOBILE")</f>
        <v>MOBILE</v>
      </c>
      <c r="E7310" t="str">
        <f>T("AL")</f>
        <v>AL</v>
      </c>
      <c r="F7310" t="str">
        <f>T("366080000")</f>
        <v>366080000</v>
      </c>
      <c r="G7310" t="str">
        <f>T("AO RD FORCE RECON &amp; SACMP")</f>
        <v>AO RD FORCE RECON &amp; SACMP</v>
      </c>
      <c r="H7310" t="str">
        <f>T("NMCRC D4851 MUSEUM DRIVE")</f>
        <v>NMCRC D4851 MUSEUM DRIVE</v>
      </c>
      <c r="I7310" t="str">
        <f>T("MOBILE")</f>
        <v>MOBILE</v>
      </c>
      <c r="J7310" t="str">
        <f>T("AL")</f>
        <v>AL</v>
      </c>
      <c r="K7310" t="str">
        <f>T("")</f>
        <v/>
      </c>
      <c r="L7310" t="str">
        <f>T("1111111111")</f>
        <v>1111111111</v>
      </c>
    </row>
    <row r="7311" spans="1:12" x14ac:dyDescent="0.35">
      <c r="A7311" t="str">
        <f t="shared" si="2761"/>
        <v>4TH MAR DIV</v>
      </c>
      <c r="B7311" t="str">
        <f>T("AO RD FORCE RECON &amp; SACMP")</f>
        <v>AO RD FORCE RECON &amp; SACMP</v>
      </c>
      <c r="C7311" t="str">
        <f>T("NMCRC D4851 MUSEUM DRIVE")</f>
        <v>NMCRC D4851 MUSEUM DRIVE</v>
      </c>
      <c r="D7311" t="str">
        <f>T("MOBILE")</f>
        <v>MOBILE</v>
      </c>
      <c r="E7311" t="str">
        <f>T("AL")</f>
        <v>AL</v>
      </c>
      <c r="F7311" t="str">
        <f>T("366080000")</f>
        <v>366080000</v>
      </c>
      <c r="G7311" t="str">
        <f>T("M73010 3FHQ 3FRCSCP MAL")</f>
        <v>M73010 3FHQ 3FRCSCP MAL</v>
      </c>
      <c r="H7311" t="str">
        <f>T("1630 S BROAD STREET")</f>
        <v>1630 S BROAD STREET</v>
      </c>
      <c r="I7311" t="str">
        <f>T("MOBILE")</f>
        <v>MOBILE</v>
      </c>
      <c r="J7311" t="str">
        <f>T("AL")</f>
        <v>AL</v>
      </c>
      <c r="K7311" t="str">
        <f>T("000000000000000000")</f>
        <v>000000000000000000</v>
      </c>
      <c r="L7311" t="str">
        <f>T("2512886642")</f>
        <v>2512886642</v>
      </c>
    </row>
    <row r="7312" spans="1:12" x14ac:dyDescent="0.35">
      <c r="A7312" t="str">
        <f t="shared" si="2761"/>
        <v>4TH MAR DIV</v>
      </c>
      <c r="B7312" t="str">
        <f>T("AO RD FORCE RECON &amp; SACMP")</f>
        <v>AO RD FORCE RECON &amp; SACMP</v>
      </c>
      <c r="C7312" t="str">
        <f>T("NMCRC D4851 MUSEUM DRIVE")</f>
        <v>NMCRC D4851 MUSEUM DRIVE</v>
      </c>
      <c r="D7312" t="str">
        <f>T("MOBILE")</f>
        <v>MOBILE</v>
      </c>
      <c r="E7312" t="str">
        <f>T("AL")</f>
        <v>AL</v>
      </c>
      <c r="F7312" t="str">
        <f>T("366080000")</f>
        <v>366080000</v>
      </c>
      <c r="G7312" t="str">
        <f>T("M73010 3FHQ 3FRCSCP MAL")</f>
        <v>M73010 3FHQ 3FRCSCP MAL</v>
      </c>
      <c r="H7312" t="str">
        <f>T("1630 SOUTH BROAD STREET")</f>
        <v>1630 SOUTH BROAD STREET</v>
      </c>
      <c r="I7312" t="str">
        <f>T("MOBILE")</f>
        <v>MOBILE</v>
      </c>
      <c r="J7312" t="str">
        <f>T("AL")</f>
        <v>AL</v>
      </c>
      <c r="K7312" t="str">
        <f>T("25140549002394")</f>
        <v>25140549002394</v>
      </c>
      <c r="L7312" t="str">
        <f>T("1111111111")</f>
        <v>1111111111</v>
      </c>
    </row>
    <row r="7313" spans="1:12" x14ac:dyDescent="0.35">
      <c r="A7313" t="str">
        <f t="shared" si="2761"/>
        <v>4TH MAR DIV</v>
      </c>
      <c r="B7313" t="str">
        <f>T("COMM CO")</f>
        <v>COMM CO</v>
      </c>
      <c r="C7313" t="str">
        <f>T("3190 GILBERT AVE")</f>
        <v>3190 GILBERT AVE</v>
      </c>
      <c r="D7313" t="str">
        <f>T("CINCINNATI")</f>
        <v>CINCINNATI</v>
      </c>
      <c r="E7313" t="str">
        <f>T("OH")</f>
        <v>OH</v>
      </c>
      <c r="F7313" t="str">
        <f>T("452071461")</f>
        <v>452071461</v>
      </c>
      <c r="G7313" t="str">
        <f>T("COMM CO")</f>
        <v>COMM CO</v>
      </c>
      <c r="H7313" t="str">
        <f>T("3190 GILBERT AVE")</f>
        <v>3190 GILBERT AVE</v>
      </c>
      <c r="I7313" t="str">
        <f>T("CINCINNATI")</f>
        <v>CINCINNATI</v>
      </c>
      <c r="J7313" t="str">
        <f>T("OH")</f>
        <v>OH</v>
      </c>
      <c r="K7313" t="str">
        <f>T("")</f>
        <v/>
      </c>
      <c r="L7313" t="str">
        <f>T("1111111111")</f>
        <v>1111111111</v>
      </c>
    </row>
    <row r="7314" spans="1:12" x14ac:dyDescent="0.35">
      <c r="A7314" t="str">
        <f t="shared" si="2761"/>
        <v>4TH MAR DIV</v>
      </c>
      <c r="B7314" t="str">
        <f>T("COMM CO")</f>
        <v>COMM CO</v>
      </c>
      <c r="C7314" t="str">
        <f>T("3190 GILBERT AVE")</f>
        <v>3190 GILBERT AVE</v>
      </c>
      <c r="D7314" t="str">
        <f>T("CINCINNATI")</f>
        <v>CINCINNATI</v>
      </c>
      <c r="E7314" t="str">
        <f>T("OH")</f>
        <v>OH</v>
      </c>
      <c r="F7314" t="str">
        <f>T("452071461")</f>
        <v>452071461</v>
      </c>
      <c r="G7314" t="str">
        <f>T("M14301 14CO CNOH")</f>
        <v>M14301 14CO CNOH</v>
      </c>
      <c r="H7314" t="str">
        <f>T("3190 GILBERT AVE")</f>
        <v>3190 GILBERT AVE</v>
      </c>
      <c r="I7314" t="str">
        <f>T("CINCINNATI")</f>
        <v>CINCINNATI</v>
      </c>
      <c r="J7314" t="str">
        <f>T("OH")</f>
        <v>OH</v>
      </c>
      <c r="K7314" t="str">
        <f>T("5132212370121")</f>
        <v>5132212370121</v>
      </c>
      <c r="L7314" t="str">
        <f>T("5132212370")</f>
        <v>5132212370</v>
      </c>
    </row>
    <row r="7315" spans="1:12" x14ac:dyDescent="0.35">
      <c r="A7315" t="str">
        <f t="shared" si="2761"/>
        <v>4TH MAR DIV</v>
      </c>
      <c r="B7315" t="str">
        <f>T("COMM CO")</f>
        <v>COMM CO</v>
      </c>
      <c r="C7315" t="str">
        <f>T("3190 GILBERT AVE")</f>
        <v>3190 GILBERT AVE</v>
      </c>
      <c r="D7315" t="str">
        <f>T("CINCINNATI")</f>
        <v>CINCINNATI</v>
      </c>
      <c r="E7315" t="str">
        <f>T("OH")</f>
        <v>OH</v>
      </c>
      <c r="F7315" t="str">
        <f>T("452071461")</f>
        <v>452071461</v>
      </c>
      <c r="G7315" t="str">
        <f>T("M14301 14CO CNOH")</f>
        <v>M14301 14CO CNOH</v>
      </c>
      <c r="H7315" t="str">
        <f>T("9801 E 59TH ST")</f>
        <v>9801 E 59TH ST</v>
      </c>
      <c r="I7315" t="str">
        <f>T("INDIANAPOLIS")</f>
        <v>INDIANAPOLIS</v>
      </c>
      <c r="J7315" t="str">
        <f>T("IN")</f>
        <v>IN</v>
      </c>
      <c r="K7315" t="str">
        <f>T("3173778600")</f>
        <v>3173778600</v>
      </c>
      <c r="L7315" t="str">
        <f>T("3173778645")</f>
        <v>3173778645</v>
      </c>
    </row>
    <row r="7316" spans="1:12" x14ac:dyDescent="0.35">
      <c r="A7316" t="str">
        <f t="shared" si="2761"/>
        <v>4TH MAR DIV</v>
      </c>
      <c r="B7316" t="str">
        <f>T("COMM CO")</f>
        <v>COMM CO</v>
      </c>
      <c r="C7316" t="str">
        <f>T("3190 GILBERT AVE")</f>
        <v>3190 GILBERT AVE</v>
      </c>
      <c r="D7316" t="str">
        <f>T("CINCINNATI")</f>
        <v>CINCINNATI</v>
      </c>
      <c r="E7316" t="str">
        <f>T("OH")</f>
        <v>OH</v>
      </c>
      <c r="F7316" t="str">
        <f>T("452071461")</f>
        <v>452071461</v>
      </c>
      <c r="G7316" t="str">
        <f>T("M1430114CO CNOH")</f>
        <v>M1430114CO CNOH</v>
      </c>
      <c r="H7316" t="str">
        <f>T("3190GILBERT AVE")</f>
        <v>3190GILBERT AVE</v>
      </c>
      <c r="I7316" t="str">
        <f>T("CINCINNATI")</f>
        <v>CINCINNATI</v>
      </c>
      <c r="J7316" t="str">
        <f>T("OH")</f>
        <v>OH</v>
      </c>
      <c r="K7316" t="str">
        <f>T("5132212370121")</f>
        <v>5132212370121</v>
      </c>
      <c r="L7316" t="str">
        <f>T("1111111111")</f>
        <v>1111111111</v>
      </c>
    </row>
    <row r="7317" spans="1:12" x14ac:dyDescent="0.35">
      <c r="A7317" t="str">
        <f t="shared" si="2761"/>
        <v>4TH MAR DIV</v>
      </c>
      <c r="B7317" t="str">
        <f>T("DVHQ G-4")</f>
        <v>DVHQ G-4</v>
      </c>
      <c r="C7317" t="str">
        <f>T("2000 OPELOUSAS AVE")</f>
        <v>2000 OPELOUSAS AVE</v>
      </c>
      <c r="D7317" t="str">
        <f>T("NEW ORLEANS")</f>
        <v>NEW ORLEANS</v>
      </c>
      <c r="E7317" t="str">
        <f>T("LA")</f>
        <v>LA</v>
      </c>
      <c r="F7317" t="str">
        <f>T("701141500")</f>
        <v>701141500</v>
      </c>
      <c r="G7317" t="str">
        <f>T("DVHQ G-4")</f>
        <v>DVHQ G-4</v>
      </c>
      <c r="H7317" t="str">
        <f>T("2000 OPELOUSAS AVE")</f>
        <v>2000 OPELOUSAS AVE</v>
      </c>
      <c r="I7317" t="str">
        <f>T("NEW ORLEANS")</f>
        <v>NEW ORLEANS</v>
      </c>
      <c r="J7317" t="str">
        <f>T("LA")</f>
        <v>LA</v>
      </c>
      <c r="K7317" t="str">
        <f>T("")</f>
        <v/>
      </c>
      <c r="L7317" t="str">
        <f>T("5046977483")</f>
        <v>5046977483</v>
      </c>
    </row>
    <row r="7318" spans="1:12" x14ac:dyDescent="0.35">
      <c r="A7318" t="str">
        <f t="shared" si="2761"/>
        <v>4TH MAR DIV</v>
      </c>
      <c r="B7318" t="str">
        <f>T("DVHQ G-4")</f>
        <v>DVHQ G-4</v>
      </c>
      <c r="C7318" t="str">
        <f>T("2000 OPELOUSAS AVE")</f>
        <v>2000 OPELOUSAS AVE</v>
      </c>
      <c r="D7318" t="str">
        <f>T("NEW ORLEANS")</f>
        <v>NEW ORLEANS</v>
      </c>
      <c r="E7318" t="str">
        <f>T("LA")</f>
        <v>LA</v>
      </c>
      <c r="F7318" t="str">
        <f>T("701141500")</f>
        <v>701141500</v>
      </c>
      <c r="G7318" t="str">
        <f>T("M26383 DVHQ G-4 NOLA")</f>
        <v>M26383 DVHQ G-4 NOLA</v>
      </c>
      <c r="H7318" t="str">
        <f>T("2000 OPELOUSAS AVE")</f>
        <v>2000 OPELOUSAS AVE</v>
      </c>
      <c r="I7318" t="str">
        <f>T("NEW ORLEANS")</f>
        <v>NEW ORLEANS</v>
      </c>
      <c r="J7318" t="str">
        <f>T("LA")</f>
        <v>LA</v>
      </c>
      <c r="K7318" t="str">
        <f>T("000000000000000000")</f>
        <v>000000000000000000</v>
      </c>
      <c r="L7318" t="str">
        <f>T("5046977587")</f>
        <v>5046977587</v>
      </c>
    </row>
    <row r="7319" spans="1:12" x14ac:dyDescent="0.35">
      <c r="A7319" t="str">
        <f t="shared" si="2761"/>
        <v>4TH MAR DIV</v>
      </c>
      <c r="B7319" t="str">
        <f>T("DVHQ G-4")</f>
        <v>DVHQ G-4</v>
      </c>
      <c r="C7319" t="str">
        <f>T("2000 OPELOUSAS AVE")</f>
        <v>2000 OPELOUSAS AVE</v>
      </c>
      <c r="D7319" t="str">
        <f>T("NEW ORLEANS")</f>
        <v>NEW ORLEANS</v>
      </c>
      <c r="E7319" t="str">
        <f>T("LA")</f>
        <v>LA</v>
      </c>
      <c r="F7319" t="str">
        <f>T("701141500")</f>
        <v>701141500</v>
      </c>
      <c r="G7319" t="str">
        <f>T("M26383 DVHQ G-4 NOLA")</f>
        <v>M26383 DVHQ G-4 NOLA</v>
      </c>
      <c r="H7319" t="str">
        <f>T("2000 OPELOUSAS AVE")</f>
        <v>2000 OPELOUSAS AVE</v>
      </c>
      <c r="I7319" t="str">
        <f>T("NEW ORLEANS")</f>
        <v>NEW ORLEANS</v>
      </c>
      <c r="J7319" t="str">
        <f>T("LA")</f>
        <v>LA</v>
      </c>
      <c r="K7319" t="str">
        <f>T("000000000000000000")</f>
        <v>000000000000000000</v>
      </c>
      <c r="L7319" t="str">
        <f>T("5046978412")</f>
        <v>5046978412</v>
      </c>
    </row>
    <row r="7320" spans="1:12" x14ac:dyDescent="0.35">
      <c r="A7320" t="str">
        <f t="shared" si="2761"/>
        <v>4TH MAR DIV</v>
      </c>
      <c r="B7320" t="str">
        <f>T("GENERAL DELIVERY PO BOX 1")</f>
        <v>GENERAL DELIVERY PO BOX 1</v>
      </c>
      <c r="C7320" t="str">
        <f>T("")</f>
        <v/>
      </c>
      <c r="D7320" t="str">
        <f>T("CAMP LEJEUNE")</f>
        <v>CAMP LEJEUNE</v>
      </c>
      <c r="E7320" t="str">
        <f>T("NC")</f>
        <v>NC</v>
      </c>
      <c r="F7320" t="str">
        <f>T("285420000")</f>
        <v>285420000</v>
      </c>
      <c r="G7320" t="str">
        <f>T("GENERAL DELIVERY PO BOX 1")</f>
        <v>GENERAL DELIVERY PO BOX 1</v>
      </c>
      <c r="H7320" t="str">
        <f>T("")</f>
        <v/>
      </c>
      <c r="I7320" t="str">
        <f>T("CAMP LEJEUNE")</f>
        <v>CAMP LEJEUNE</v>
      </c>
      <c r="J7320" t="str">
        <f>T("NC")</f>
        <v>NC</v>
      </c>
      <c r="K7320" t="str">
        <f>T("000000000000000000")</f>
        <v>000000000000000000</v>
      </c>
      <c r="L7320" t="str">
        <f>T("7604013545")</f>
        <v>7604013545</v>
      </c>
    </row>
    <row r="7321" spans="1:12" x14ac:dyDescent="0.35">
      <c r="A7321" t="str">
        <f t="shared" si="2761"/>
        <v>4TH MAR DIV</v>
      </c>
      <c r="B7321" t="str">
        <f>T("GENERAL DELIVERY PO BOX 1")</f>
        <v>GENERAL DELIVERY PO BOX 1</v>
      </c>
      <c r="C7321" t="str">
        <f>T("")</f>
        <v/>
      </c>
      <c r="D7321" t="str">
        <f>T("CAMP LEJEUNE")</f>
        <v>CAMP LEJEUNE</v>
      </c>
      <c r="E7321" t="str">
        <f>T("NC")</f>
        <v>NC</v>
      </c>
      <c r="F7321" t="str">
        <f>T("285420000")</f>
        <v>285420000</v>
      </c>
      <c r="G7321" t="str">
        <f>T("MARFORSOUTH FORWARD LOGISTICS HUB")</f>
        <v>MARFORSOUTH FORWARD LOGISTICS HUB</v>
      </c>
      <c r="H7321" t="str">
        <f>T("GENERAL DELIVERY BOX 1")</f>
        <v>GENERAL DELIVERY BOX 1</v>
      </c>
      <c r="I7321" t="str">
        <f>T("CAMP LEJEUNE")</f>
        <v>CAMP LEJEUNE</v>
      </c>
      <c r="J7321" t="str">
        <f>T("NC")</f>
        <v>NC</v>
      </c>
      <c r="K7321" t="str">
        <f>T("000000000000000000")</f>
        <v>000000000000000000</v>
      </c>
      <c r="L7321" t="str">
        <f>T("7604013545")</f>
        <v>7604013545</v>
      </c>
    </row>
    <row r="7322" spans="1:12" x14ac:dyDescent="0.35">
      <c r="A7322" t="str">
        <f t="shared" si="2761"/>
        <v>4TH MAR DIV</v>
      </c>
      <c r="B7322" t="str">
        <f>T("GENERAL DELIVERY PO BOX 1")</f>
        <v>GENERAL DELIVERY PO BOX 1</v>
      </c>
      <c r="C7322" t="str">
        <f>T("")</f>
        <v/>
      </c>
      <c r="D7322" t="str">
        <f>T("CAMP LEJEUNE")</f>
        <v>CAMP LEJEUNE</v>
      </c>
      <c r="E7322" t="str">
        <f>T("NC")</f>
        <v>NC</v>
      </c>
      <c r="F7322" t="str">
        <f>T("285420000")</f>
        <v>285420000</v>
      </c>
      <c r="G7322" t="str">
        <f>T("MARFORSOUTH FORWARD LOGISTICS HUB")</f>
        <v>MARFORSOUTH FORWARD LOGISTICS HUB</v>
      </c>
      <c r="H7322" t="str">
        <f>T("GENERAL DELIVERY BOX 1")</f>
        <v>GENERAL DELIVERY BOX 1</v>
      </c>
      <c r="I7322" t="str">
        <f>T("CAMP LEJEUNE")</f>
        <v>CAMP LEJEUNE</v>
      </c>
      <c r="J7322" t="str">
        <f>T("NC")</f>
        <v>NC</v>
      </c>
      <c r="K7322" t="str">
        <f>T("50494925504")</f>
        <v>50494925504</v>
      </c>
      <c r="L7322" t="str">
        <f>T("2404165383")</f>
        <v>2404165383</v>
      </c>
    </row>
    <row r="7323" spans="1:12" x14ac:dyDescent="0.35">
      <c r="A7323" t="str">
        <f t="shared" si="2761"/>
        <v>4TH MAR DIV</v>
      </c>
      <c r="B7323" t="str">
        <f>T("HQ 2BN 14MAR")</f>
        <v>HQ 2BN 14MAR</v>
      </c>
      <c r="C7323" t="str">
        <f>T("312 MARINE FORCES DR BLDG 245")</f>
        <v>312 MARINE FORCES DR BLDG 245</v>
      </c>
      <c r="D7323" t="str">
        <f>T("GRAND PRAIRIE")</f>
        <v>GRAND PRAIRIE</v>
      </c>
      <c r="E7323" t="str">
        <f>T("TX")</f>
        <v>TX</v>
      </c>
      <c r="F7323" t="str">
        <f>T("750512412")</f>
        <v>750512412</v>
      </c>
      <c r="G7323" t="str">
        <f>T("HQ 2BN 14MAR")</f>
        <v>HQ 2BN 14MAR</v>
      </c>
      <c r="H7323" t="str">
        <f>T("312 MARINE FORCES DR BLDG 245")</f>
        <v>312 MARINE FORCES DR BLDG 245</v>
      </c>
      <c r="I7323" t="str">
        <f>T("GRAND PRAIRIE")</f>
        <v>GRAND PRAIRIE</v>
      </c>
      <c r="J7323" t="str">
        <f>T("TX")</f>
        <v>TX</v>
      </c>
      <c r="K7323" t="str">
        <f>T("")</f>
        <v/>
      </c>
      <c r="L7323" t="str">
        <f>T("9726066680")</f>
        <v>9726066680</v>
      </c>
    </row>
    <row r="7324" spans="1:12" x14ac:dyDescent="0.35">
      <c r="A7324" t="str">
        <f t="shared" si="2761"/>
        <v>4TH MAR DIV</v>
      </c>
      <c r="B7324" t="str">
        <f>T("HQ 2BN 14MAR")</f>
        <v>HQ 2BN 14MAR</v>
      </c>
      <c r="C7324" t="str">
        <f>T("312 MARINE FORCES DR BLDG 245")</f>
        <v>312 MARINE FORCES DR BLDG 245</v>
      </c>
      <c r="D7324" t="str">
        <f>T("GRAND PRAIRIE")</f>
        <v>GRAND PRAIRIE</v>
      </c>
      <c r="E7324" t="str">
        <f>T("TX")</f>
        <v>TX</v>
      </c>
      <c r="F7324" t="str">
        <f>T("750512412")</f>
        <v>750512412</v>
      </c>
      <c r="G7324" t="str">
        <f>T("M14320 142B GPTX")</f>
        <v>M14320 142B GPTX</v>
      </c>
      <c r="H7324" t="str">
        <f>T("312 MARINE FORCES DR")</f>
        <v>312 MARINE FORCES DR</v>
      </c>
      <c r="I7324" t="str">
        <f>T("GRAND PRAIRIE")</f>
        <v>GRAND PRAIRIE</v>
      </c>
      <c r="J7324" t="str">
        <f>T("TX")</f>
        <v>TX</v>
      </c>
      <c r="K7324" t="str">
        <f>T("97260666804406")</f>
        <v>97260666804406</v>
      </c>
      <c r="L7324" t="str">
        <f>T("1111111111")</f>
        <v>1111111111</v>
      </c>
    </row>
    <row r="7325" spans="1:12" x14ac:dyDescent="0.35">
      <c r="A7325" t="str">
        <f t="shared" si="2761"/>
        <v>4TH MAR DIV</v>
      </c>
      <c r="B7325" t="str">
        <f>T("HQ 2BN 14MAR")</f>
        <v>HQ 2BN 14MAR</v>
      </c>
      <c r="C7325" t="str">
        <f>T("312 MARINE FORCES DR BLDG 245")</f>
        <v>312 MARINE FORCES DR BLDG 245</v>
      </c>
      <c r="D7325" t="str">
        <f>T("GRAND PRAIRIE")</f>
        <v>GRAND PRAIRIE</v>
      </c>
      <c r="E7325" t="str">
        <f>T("TX")</f>
        <v>TX</v>
      </c>
      <c r="F7325" t="str">
        <f>T("750512412")</f>
        <v>750512412</v>
      </c>
      <c r="G7325" t="str">
        <f>T("M14320 142B GPTX")</f>
        <v>M14320 142B GPTX</v>
      </c>
      <c r="H7325" t="str">
        <f>T("3506 SOUTH MEMORIAL PARKWAY")</f>
        <v>3506 SOUTH MEMORIAL PARKWAY</v>
      </c>
      <c r="I7325" t="str">
        <f>T("HUNTSVILLE")</f>
        <v>HUNTSVILLE</v>
      </c>
      <c r="J7325" t="str">
        <f>T("AL")</f>
        <v>AL</v>
      </c>
      <c r="K7325" t="str">
        <f>T("2562139869115")</f>
        <v>2562139869115</v>
      </c>
      <c r="L7325" t="str">
        <f>T("1111111111")</f>
        <v>1111111111</v>
      </c>
    </row>
    <row r="7326" spans="1:12" x14ac:dyDescent="0.35">
      <c r="A7326" t="str">
        <f t="shared" ref="A7326:A7357" si="2763">T("4TH MAR DIV")</f>
        <v>4TH MAR DIV</v>
      </c>
      <c r="B7326" t="str">
        <f>T("HQ 2BN 14MAR")</f>
        <v>HQ 2BN 14MAR</v>
      </c>
      <c r="C7326" t="str">
        <f>T("312 MARINE FORCES DR BLDG 245")</f>
        <v>312 MARINE FORCES DR BLDG 245</v>
      </c>
      <c r="D7326" t="str">
        <f>T("GRAND PRAIRIE")</f>
        <v>GRAND PRAIRIE</v>
      </c>
      <c r="E7326" t="str">
        <f>T("TX")</f>
        <v>TX</v>
      </c>
      <c r="F7326" t="str">
        <f>T("750512412")</f>
        <v>750512412</v>
      </c>
      <c r="G7326" t="str">
        <f>T("M14320 142B GPTX")</f>
        <v>M14320 142B GPTX</v>
      </c>
      <c r="H7326" t="str">
        <f>T("4810 POLLARD ST")</f>
        <v>4810 POLLARD ST</v>
      </c>
      <c r="I7326" t="str">
        <f>T("EL PASO")</f>
        <v>EL PASO</v>
      </c>
      <c r="J7326" t="str">
        <f>T("TX")</f>
        <v>TX</v>
      </c>
      <c r="K7326" t="str">
        <f>T("9155668697279")</f>
        <v>9155668697279</v>
      </c>
      <c r="L7326" t="str">
        <f>T("1111111111")</f>
        <v>1111111111</v>
      </c>
    </row>
    <row r="7327" spans="1:12" x14ac:dyDescent="0.35">
      <c r="A7327" t="str">
        <f t="shared" si="2763"/>
        <v>4TH MAR DIV</v>
      </c>
      <c r="B7327" t="str">
        <f>T("HQ 2BN 14MAR")</f>
        <v>HQ 2BN 14MAR</v>
      </c>
      <c r="C7327" t="str">
        <f>T("312 MARINE FORCES DR BLDG 245")</f>
        <v>312 MARINE FORCES DR BLDG 245</v>
      </c>
      <c r="D7327" t="str">
        <f>T("GRAND PRAIRIE")</f>
        <v>GRAND PRAIRIE</v>
      </c>
      <c r="E7327" t="str">
        <f>T("TX")</f>
        <v>TX</v>
      </c>
      <c r="F7327" t="str">
        <f>T("750512412")</f>
        <v>750512412</v>
      </c>
      <c r="G7327" t="str">
        <f>T("M14320 142B GPTX")</f>
        <v>M14320 142B GPTX</v>
      </c>
      <c r="H7327" t="str">
        <f>T("5316 SOUTH DOUGLAS BLVD")</f>
        <v>5316 SOUTH DOUGLAS BLVD</v>
      </c>
      <c r="I7327" t="str">
        <f>T("OKLAHOMA CITY")</f>
        <v>OKLAHOMA CITY</v>
      </c>
      <c r="J7327" t="str">
        <f>T("OK")</f>
        <v>OK</v>
      </c>
      <c r="K7327" t="str">
        <f>T("4057377883304")</f>
        <v>4057377883304</v>
      </c>
      <c r="L7327" t="str">
        <f>T("4057377883")</f>
        <v>4057377883</v>
      </c>
    </row>
    <row r="7328" spans="1:12" x14ac:dyDescent="0.35">
      <c r="A7328" t="str">
        <f t="shared" si="2763"/>
        <v>4TH MAR DIV</v>
      </c>
      <c r="B7328" t="str">
        <f t="shared" ref="B7328:B7334" si="2764">T("M14030 4LHQ CPCA")</f>
        <v>M14030 4LHQ CPCA</v>
      </c>
      <c r="C7328" t="str">
        <f t="shared" ref="C7328:C7334" si="2765">T("P O BOX 555225")</f>
        <v>P O BOX 555225</v>
      </c>
      <c r="D7328" t="str">
        <f t="shared" ref="D7328:D7334" si="2766">T("CAMP PENDLETON")</f>
        <v>CAMP PENDLETON</v>
      </c>
      <c r="E7328" t="str">
        <f t="shared" ref="E7328:E7334" si="2767">T("CA")</f>
        <v>CA</v>
      </c>
      <c r="F7328" t="str">
        <f t="shared" ref="F7328:F7334" si="2768">T("920555225")</f>
        <v>920555225</v>
      </c>
      <c r="G7328" t="str">
        <f>T("4TH LAR BN MCRTC")</f>
        <v>4TH LAR BN MCRTC</v>
      </c>
      <c r="H7328" t="str">
        <f>T("1276 BASE ROAD")</f>
        <v>1276 BASE ROAD</v>
      </c>
      <c r="I7328" t="str">
        <f>T("FREDERICK")</f>
        <v>FREDERICK</v>
      </c>
      <c r="J7328" t="str">
        <f>T("MD")</f>
        <v>MD</v>
      </c>
      <c r="K7328" t="str">
        <f>T("000000000000000000")</f>
        <v>000000000000000000</v>
      </c>
      <c r="L7328" t="str">
        <f>T("3016192713")</f>
        <v>3016192713</v>
      </c>
    </row>
    <row r="7329" spans="1:12" x14ac:dyDescent="0.35">
      <c r="A7329" t="str">
        <f t="shared" si="2763"/>
        <v>4TH MAR DIV</v>
      </c>
      <c r="B7329" t="str">
        <f t="shared" si="2764"/>
        <v>M14030 4LHQ CPCA</v>
      </c>
      <c r="C7329" t="str">
        <f t="shared" si="2765"/>
        <v>P O BOX 555225</v>
      </c>
      <c r="D7329" t="str">
        <f t="shared" si="2766"/>
        <v>CAMP PENDLETON</v>
      </c>
      <c r="E7329" t="str">
        <f t="shared" si="2767"/>
        <v>CA</v>
      </c>
      <c r="F7329" t="str">
        <f t="shared" si="2768"/>
        <v>920555225</v>
      </c>
      <c r="G7329" t="str">
        <f>T("M14030 4LHQ CPCA")</f>
        <v>M14030 4LHQ CPCA</v>
      </c>
      <c r="H7329" t="str">
        <f>T("1099 E MOLLOY ROAD")</f>
        <v>1099 E MOLLOY ROAD</v>
      </c>
      <c r="I7329" t="str">
        <f>T("SYRACUSE")</f>
        <v>SYRACUSE</v>
      </c>
      <c r="J7329" t="str">
        <f>T("NY")</f>
        <v>NY</v>
      </c>
      <c r="K7329" t="str">
        <f>T("31545495771024")</f>
        <v>31545495771024</v>
      </c>
      <c r="L7329" t="str">
        <f>T("3154548306")</f>
        <v>3154548306</v>
      </c>
    </row>
    <row r="7330" spans="1:12" x14ac:dyDescent="0.35">
      <c r="A7330" t="str">
        <f t="shared" si="2763"/>
        <v>4TH MAR DIV</v>
      </c>
      <c r="B7330" t="str">
        <f t="shared" si="2764"/>
        <v>M14030 4LHQ CPCA</v>
      </c>
      <c r="C7330" t="str">
        <f t="shared" si="2765"/>
        <v>P O BOX 555225</v>
      </c>
      <c r="D7330" t="str">
        <f t="shared" si="2766"/>
        <v>CAMP PENDLETON</v>
      </c>
      <c r="E7330" t="str">
        <f t="shared" si="2767"/>
        <v>CA</v>
      </c>
      <c r="F7330" t="str">
        <f t="shared" si="2768"/>
        <v>920555225</v>
      </c>
      <c r="G7330" t="str">
        <f>T("M14030 4LHQ CPCA")</f>
        <v>M14030 4LHQ CPCA</v>
      </c>
      <c r="H7330" t="str">
        <f>T("5405 LEESBURG ROAD")</f>
        <v>5405 LEESBURG ROAD</v>
      </c>
      <c r="I7330" t="str">
        <f>T("EASTOVER")</f>
        <v>EASTOVER</v>
      </c>
      <c r="J7330" t="str">
        <f>T("SC")</f>
        <v>SC</v>
      </c>
      <c r="K7330" t="str">
        <f>T("000000000000000000")</f>
        <v>000000000000000000</v>
      </c>
      <c r="L7330" t="str">
        <f>T("8037830759")</f>
        <v>8037830759</v>
      </c>
    </row>
    <row r="7331" spans="1:12" x14ac:dyDescent="0.35">
      <c r="A7331" t="str">
        <f t="shared" si="2763"/>
        <v>4TH MAR DIV</v>
      </c>
      <c r="B7331" t="str">
        <f t="shared" si="2764"/>
        <v>M14030 4LHQ CPCA</v>
      </c>
      <c r="C7331" t="str">
        <f t="shared" si="2765"/>
        <v>P O BOX 555225</v>
      </c>
      <c r="D7331" t="str">
        <f t="shared" si="2766"/>
        <v>CAMP PENDLETON</v>
      </c>
      <c r="E7331" t="str">
        <f t="shared" si="2767"/>
        <v>CA</v>
      </c>
      <c r="F7331" t="str">
        <f t="shared" si="2768"/>
        <v>920555225</v>
      </c>
      <c r="G7331" t="str">
        <f>T("M14030 4LHQ CPCA")</f>
        <v>M14030 4LHQ CPCA</v>
      </c>
      <c r="H7331" t="str">
        <f>T("P O BOX 555225")</f>
        <v>P O BOX 555225</v>
      </c>
      <c r="I7331" t="str">
        <f>T("CAMP PENDLETON")</f>
        <v>CAMP PENDLETON</v>
      </c>
      <c r="J7331" t="str">
        <f>T("CA")</f>
        <v>CA</v>
      </c>
      <c r="K7331" t="str">
        <f>T("000000000000000000")</f>
        <v>000000000000000000</v>
      </c>
      <c r="L7331" t="str">
        <f>T("7607634066")</f>
        <v>7607634066</v>
      </c>
    </row>
    <row r="7332" spans="1:12" x14ac:dyDescent="0.35">
      <c r="A7332" t="str">
        <f t="shared" si="2763"/>
        <v>4TH MAR DIV</v>
      </c>
      <c r="B7332" t="str">
        <f t="shared" si="2764"/>
        <v>M14030 4LHQ CPCA</v>
      </c>
      <c r="C7332" t="str">
        <f t="shared" si="2765"/>
        <v>P O BOX 555225</v>
      </c>
      <c r="D7332" t="str">
        <f t="shared" si="2766"/>
        <v>CAMP PENDLETON</v>
      </c>
      <c r="E7332" t="str">
        <f t="shared" si="2767"/>
        <v>CA</v>
      </c>
      <c r="F7332" t="str">
        <f t="shared" si="2768"/>
        <v>920555225</v>
      </c>
      <c r="G7332" t="str">
        <f>T("M14030 4LHQ CPCA")</f>
        <v>M14030 4LHQ CPCA</v>
      </c>
      <c r="H7332" t="str">
        <f>T("P O BOX 555225")</f>
        <v>P O BOX 555225</v>
      </c>
      <c r="I7332" t="str">
        <f>T("CAMP PENDLETON")</f>
        <v>CAMP PENDLETON</v>
      </c>
      <c r="J7332" t="str">
        <f>T("CA")</f>
        <v>CA</v>
      </c>
      <c r="K7332" t="str">
        <f>T("7607253331")</f>
        <v>7607253331</v>
      </c>
      <c r="L7332" t="str">
        <f>T("7607634068")</f>
        <v>7607634068</v>
      </c>
    </row>
    <row r="7333" spans="1:12" x14ac:dyDescent="0.35">
      <c r="A7333" t="str">
        <f t="shared" si="2763"/>
        <v>4TH MAR DIV</v>
      </c>
      <c r="B7333" t="str">
        <f t="shared" si="2764"/>
        <v>M14030 4LHQ CPCA</v>
      </c>
      <c r="C7333" t="str">
        <f t="shared" si="2765"/>
        <v>P O BOX 555225</v>
      </c>
      <c r="D7333" t="str">
        <f t="shared" si="2766"/>
        <v>CAMP PENDLETON</v>
      </c>
      <c r="E7333" t="str">
        <f t="shared" si="2767"/>
        <v>CA</v>
      </c>
      <c r="F7333" t="str">
        <f t="shared" si="2768"/>
        <v>920555225</v>
      </c>
      <c r="G7333" t="str">
        <f>T("MCH 4TH LAR BN MCRTC")</f>
        <v>MCH 4TH LAR BN MCRTC</v>
      </c>
      <c r="H7333" t="str">
        <f>T("1276 BASE ROAD")</f>
        <v>1276 BASE ROAD</v>
      </c>
      <c r="I7333" t="str">
        <f>T("FREDERICK")</f>
        <v>FREDERICK</v>
      </c>
      <c r="J7333" t="str">
        <f>T("MD")</f>
        <v>MD</v>
      </c>
      <c r="K7333" t="str">
        <f>T("000000000000000000")</f>
        <v>000000000000000000</v>
      </c>
      <c r="L7333" t="str">
        <f>T("4194662654")</f>
        <v>4194662654</v>
      </c>
    </row>
    <row r="7334" spans="1:12" x14ac:dyDescent="0.35">
      <c r="A7334" t="str">
        <f t="shared" si="2763"/>
        <v>4TH MAR DIV</v>
      </c>
      <c r="B7334" t="str">
        <f t="shared" si="2764"/>
        <v>M14030 4LHQ CPCA</v>
      </c>
      <c r="C7334" t="str">
        <f t="shared" si="2765"/>
        <v>P O BOX 555225</v>
      </c>
      <c r="D7334" t="str">
        <f t="shared" si="2766"/>
        <v>CAMP PENDLETON</v>
      </c>
      <c r="E7334" t="str">
        <f t="shared" si="2767"/>
        <v>CA</v>
      </c>
      <c r="F7334" t="str">
        <f t="shared" si="2768"/>
        <v>920555225</v>
      </c>
      <c r="G7334" t="str">
        <f>T("MCH 4TH LAR BN MCRTC")</f>
        <v>MCH 4TH LAR BN MCRTC</v>
      </c>
      <c r="H7334" t="str">
        <f>T("17800 S CAMP WILLIAMS RD")</f>
        <v>17800 S CAMP WILLIAMS RD</v>
      </c>
      <c r="I7334" t="str">
        <f>T("RIVERTON")</f>
        <v>RIVERTON</v>
      </c>
      <c r="J7334" t="str">
        <f>T("UT")</f>
        <v>UT</v>
      </c>
      <c r="K7334" t="str">
        <f>T("8018785758")</f>
        <v>8018785758</v>
      </c>
      <c r="L7334" t="str">
        <f>T("8018785815")</f>
        <v>8018785815</v>
      </c>
    </row>
    <row r="7335" spans="1:12" x14ac:dyDescent="0.35">
      <c r="A7335" t="str">
        <f t="shared" si="2763"/>
        <v>4TH MAR DIV</v>
      </c>
      <c r="B7335" t="str">
        <f>T("M14160 241B DTMI")</f>
        <v>M14160 241B DTMI</v>
      </c>
      <c r="C7335" t="str">
        <f>T("27601 C STREET")</f>
        <v>27601 C STREET</v>
      </c>
      <c r="D7335" t="str">
        <f>T("SELFRIDGE ANGB")</f>
        <v>SELFRIDGE ANGB</v>
      </c>
      <c r="E7335" t="str">
        <f>T("MI")</f>
        <v>MI</v>
      </c>
      <c r="F7335" t="str">
        <f>T("480454902")</f>
        <v>480454902</v>
      </c>
      <c r="G7335" t="str">
        <f>T("M14160 241B DTMI")</f>
        <v>M14160 241B DTMI</v>
      </c>
      <c r="H7335" t="str">
        <f>T("27601 C ST BLDG 1060")</f>
        <v>27601 C ST BLDG 1060</v>
      </c>
      <c r="I7335" t="str">
        <f>T("SELFRIDGE ANGB")</f>
        <v>SELFRIDGE ANGB</v>
      </c>
      <c r="J7335" t="str">
        <f>T("MI")</f>
        <v>MI</v>
      </c>
      <c r="K7335" t="str">
        <f>T("5862392258")</f>
        <v>5862392258</v>
      </c>
      <c r="L7335" t="str">
        <f>T("5862392525")</f>
        <v>5862392525</v>
      </c>
    </row>
    <row r="7336" spans="1:12" x14ac:dyDescent="0.35">
      <c r="A7336" t="str">
        <f t="shared" si="2763"/>
        <v>4TH MAR DIV</v>
      </c>
      <c r="B7336" t="str">
        <f>T("M14160 241B DTMI")</f>
        <v>M14160 241B DTMI</v>
      </c>
      <c r="C7336" t="str">
        <f>T("27601 C STREET")</f>
        <v>27601 C STREET</v>
      </c>
      <c r="D7336" t="str">
        <f>T("SELFRIDGE ANGB")</f>
        <v>SELFRIDGE ANGB</v>
      </c>
      <c r="E7336" t="str">
        <f>T("MI")</f>
        <v>MI</v>
      </c>
      <c r="F7336" t="str">
        <f>T("480454902")</f>
        <v>480454902</v>
      </c>
      <c r="G7336" t="str">
        <f>T("M14160 241B DTMI")</f>
        <v>M14160 241B DTMI</v>
      </c>
      <c r="H7336" t="str">
        <f>T("27601 C STREET")</f>
        <v>27601 C STREET</v>
      </c>
      <c r="I7336" t="str">
        <f>T("SELFRIDGE ANGB")</f>
        <v>SELFRIDGE ANGB</v>
      </c>
      <c r="J7336" t="str">
        <f>T("MI")</f>
        <v>MI</v>
      </c>
      <c r="K7336" t="str">
        <f>T("")</f>
        <v/>
      </c>
      <c r="L7336" t="str">
        <f>T("5862392525")</f>
        <v>5862392525</v>
      </c>
    </row>
    <row r="7337" spans="1:12" x14ac:dyDescent="0.35">
      <c r="A7337" t="str">
        <f t="shared" si="2763"/>
        <v>4TH MAR DIV</v>
      </c>
      <c r="B7337" t="str">
        <f>T("M14160 241B DTMI")</f>
        <v>M14160 241B DTMI</v>
      </c>
      <c r="C7337" t="str">
        <f>T("27601 C STREET")</f>
        <v>27601 C STREET</v>
      </c>
      <c r="D7337" t="str">
        <f>T("SELFRIDGE ANGB")</f>
        <v>SELFRIDGE ANGB</v>
      </c>
      <c r="E7337" t="str">
        <f>T("MI")</f>
        <v>MI</v>
      </c>
      <c r="F7337" t="str">
        <f>T("480454902")</f>
        <v>480454902</v>
      </c>
      <c r="G7337" t="str">
        <f>T("M14160 241B DTMI")</f>
        <v>M14160 241B DTMI</v>
      </c>
      <c r="H7337" t="str">
        <f>T("28828 GLENWOOD RD")</f>
        <v>28828 GLENWOOD RD</v>
      </c>
      <c r="I7337" t="str">
        <f>T("PERRYSBURG")</f>
        <v>PERRYSBURG</v>
      </c>
      <c r="J7337" t="str">
        <f>T("OH")</f>
        <v>OH</v>
      </c>
      <c r="K7337" t="str">
        <f>T("4196666992107")</f>
        <v>4196666992107</v>
      </c>
      <c r="L7337" t="str">
        <f>T("9102386781")</f>
        <v>9102386781</v>
      </c>
    </row>
    <row r="7338" spans="1:12" x14ac:dyDescent="0.35">
      <c r="A7338" t="str">
        <f t="shared" si="2763"/>
        <v>4TH MAR DIV</v>
      </c>
      <c r="B7338" t="str">
        <f>T("M14160 241B DTMI")</f>
        <v>M14160 241B DTMI</v>
      </c>
      <c r="C7338" t="str">
        <f>T("27601 C STREET")</f>
        <v>27601 C STREET</v>
      </c>
      <c r="D7338" t="str">
        <f>T("SELFRIDGE ANGB")</f>
        <v>SELFRIDGE ANGB</v>
      </c>
      <c r="E7338" t="str">
        <f>T("MI")</f>
        <v>MI</v>
      </c>
      <c r="F7338" t="str">
        <f>T("480454902")</f>
        <v>480454902</v>
      </c>
      <c r="G7338" t="str">
        <f>T("M14160 241B DTMI")</f>
        <v>M14160 241B DTMI</v>
      </c>
      <c r="H7338" t="str">
        <f>T("3423 N MARTIN LUTHER KING JR BLVD")</f>
        <v>3423 N MARTIN LUTHER KING JR BLVD</v>
      </c>
      <c r="I7338" t="str">
        <f>T("LANSING")</f>
        <v>LANSING</v>
      </c>
      <c r="J7338" t="str">
        <f>T("MI")</f>
        <v>MI</v>
      </c>
      <c r="K7338" t="str">
        <f>T("51732129702229")</f>
        <v>51732129702229</v>
      </c>
      <c r="L7338" t="str">
        <f>T("5175996516")</f>
        <v>5175996516</v>
      </c>
    </row>
    <row r="7339" spans="1:12" x14ac:dyDescent="0.35">
      <c r="A7339" t="str">
        <f t="shared" si="2763"/>
        <v>4TH MAR DIV</v>
      </c>
      <c r="B7339" t="str">
        <f t="shared" ref="B7339:B7344" si="2769">T("M14201 25HQ WCMA")</f>
        <v>M14201 25HQ WCMA</v>
      </c>
      <c r="C7339" t="str">
        <f t="shared" ref="C7339:C7344" si="2770">T("4 LEXINGTON STREET BLDG 642")</f>
        <v>4 LEXINGTON STREET BLDG 642</v>
      </c>
      <c r="D7339" t="str">
        <f t="shared" ref="D7339:D7348" si="2771">T("DEVENS")</f>
        <v>DEVENS</v>
      </c>
      <c r="E7339" t="str">
        <f t="shared" ref="E7339:E7348" si="2772">T("MA")</f>
        <v>MA</v>
      </c>
      <c r="F7339" t="str">
        <f t="shared" ref="F7339:F7344" si="2773">T("014344423")</f>
        <v>014344423</v>
      </c>
      <c r="G7339" t="str">
        <f t="shared" ref="G7339:G7344" si="2774">T("M14201 25HQ WCMA")</f>
        <v>M14201 25HQ WCMA</v>
      </c>
      <c r="H7339" t="str">
        <f>T("261 INDUSTRIAL PARK RD")</f>
        <v>261 INDUSTRIAL PARK RD</v>
      </c>
      <c r="I7339" t="str">
        <f>T("EBENSBURG")</f>
        <v>EBENSBURG</v>
      </c>
      <c r="J7339" t="str">
        <f>T("PA")</f>
        <v>PA</v>
      </c>
      <c r="K7339" t="str">
        <f>T("8144726184223")</f>
        <v>8144726184223</v>
      </c>
      <c r="L7339" t="str">
        <f>T("8144726440")</f>
        <v>8144726440</v>
      </c>
    </row>
    <row r="7340" spans="1:12" x14ac:dyDescent="0.35">
      <c r="A7340" t="str">
        <f t="shared" si="2763"/>
        <v>4TH MAR DIV</v>
      </c>
      <c r="B7340" t="str">
        <f t="shared" si="2769"/>
        <v>M14201 25HQ WCMA</v>
      </c>
      <c r="C7340" t="str">
        <f t="shared" si="2770"/>
        <v>4 LEXINGTON STREET BLDG 642</v>
      </c>
      <c r="D7340" t="str">
        <f t="shared" si="2771"/>
        <v>DEVENS</v>
      </c>
      <c r="E7340" t="str">
        <f t="shared" si="2772"/>
        <v>MA</v>
      </c>
      <c r="F7340" t="str">
        <f t="shared" si="2773"/>
        <v>014344423</v>
      </c>
      <c r="G7340" t="str">
        <f t="shared" si="2774"/>
        <v>M14201 25HQ WCMA</v>
      </c>
      <c r="H7340" t="str">
        <f>T("3938 OLD FRENCH ROAD")</f>
        <v>3938 OLD FRENCH ROAD</v>
      </c>
      <c r="I7340" t="str">
        <f>T("ERIE")</f>
        <v>ERIE</v>
      </c>
      <c r="J7340" t="str">
        <f>T("PA")</f>
        <v>PA</v>
      </c>
      <c r="K7340" t="str">
        <f>T("81486808482007")</f>
        <v>81486808482007</v>
      </c>
      <c r="L7340" t="str">
        <f>T("1111111111")</f>
        <v>1111111111</v>
      </c>
    </row>
    <row r="7341" spans="1:12" x14ac:dyDescent="0.35">
      <c r="A7341" t="str">
        <f t="shared" si="2763"/>
        <v>4TH MAR DIV</v>
      </c>
      <c r="B7341" t="str">
        <f t="shared" si="2769"/>
        <v>M14201 25HQ WCMA</v>
      </c>
      <c r="C7341" t="str">
        <f t="shared" si="2770"/>
        <v>4 LEXINGTON STREET BLDG 642</v>
      </c>
      <c r="D7341" t="str">
        <f t="shared" si="2771"/>
        <v>DEVENS</v>
      </c>
      <c r="E7341" t="str">
        <f t="shared" si="2772"/>
        <v>MA</v>
      </c>
      <c r="F7341" t="str">
        <f t="shared" si="2773"/>
        <v>014344423</v>
      </c>
      <c r="G7341" t="str">
        <f t="shared" si="2774"/>
        <v>M14201 25HQ WCMA</v>
      </c>
      <c r="H7341" t="str">
        <f>T("4 LEXINGTON ST")</f>
        <v>4 LEXINGTON ST</v>
      </c>
      <c r="I7341" t="str">
        <f>T("DEVENS")</f>
        <v>DEVENS</v>
      </c>
      <c r="J7341" t="str">
        <f>T("MA")</f>
        <v>MA</v>
      </c>
      <c r="K7341" t="str">
        <f>T("000000000000000000")</f>
        <v>000000000000000000</v>
      </c>
      <c r="L7341" t="str">
        <f>T("9787963723")</f>
        <v>9787963723</v>
      </c>
    </row>
    <row r="7342" spans="1:12" x14ac:dyDescent="0.35">
      <c r="A7342" t="str">
        <f t="shared" si="2763"/>
        <v>4TH MAR DIV</v>
      </c>
      <c r="B7342" t="str">
        <f t="shared" si="2769"/>
        <v>M14201 25HQ WCMA</v>
      </c>
      <c r="C7342" t="str">
        <f t="shared" si="2770"/>
        <v>4 LEXINGTON STREET BLDG 642</v>
      </c>
      <c r="D7342" t="str">
        <f t="shared" si="2771"/>
        <v>DEVENS</v>
      </c>
      <c r="E7342" t="str">
        <f t="shared" si="2772"/>
        <v>MA</v>
      </c>
      <c r="F7342" t="str">
        <f t="shared" si="2773"/>
        <v>014344423</v>
      </c>
      <c r="G7342" t="str">
        <f t="shared" si="2774"/>
        <v>M14201 25HQ WCMA</v>
      </c>
      <c r="H7342" t="str">
        <f>T("4 LEXINGTON STREET")</f>
        <v>4 LEXINGTON STREET</v>
      </c>
      <c r="I7342" t="str">
        <f>T("DEVENS")</f>
        <v>DEVENS</v>
      </c>
      <c r="J7342" t="str">
        <f>T("MA")</f>
        <v>MA</v>
      </c>
      <c r="K7342" t="str">
        <f>T("9787963725")</f>
        <v>9787963725</v>
      </c>
      <c r="L7342" t="str">
        <f>T("9787963724")</f>
        <v>9787963724</v>
      </c>
    </row>
    <row r="7343" spans="1:12" x14ac:dyDescent="0.35">
      <c r="A7343" t="str">
        <f t="shared" si="2763"/>
        <v>4TH MAR DIV</v>
      </c>
      <c r="B7343" t="str">
        <f t="shared" si="2769"/>
        <v>M14201 25HQ WCMA</v>
      </c>
      <c r="C7343" t="str">
        <f t="shared" si="2770"/>
        <v>4 LEXINGTON STREET BLDG 642</v>
      </c>
      <c r="D7343" t="str">
        <f t="shared" si="2771"/>
        <v>DEVENS</v>
      </c>
      <c r="E7343" t="str">
        <f t="shared" si="2772"/>
        <v>MA</v>
      </c>
      <c r="F7343" t="str">
        <f t="shared" si="2773"/>
        <v>014344423</v>
      </c>
      <c r="G7343" t="str">
        <f t="shared" si="2774"/>
        <v>M14201 25HQ WCMA</v>
      </c>
      <c r="H7343" t="str">
        <f>T("4 LEXINGTON STREET BLDG 642")</f>
        <v>4 LEXINGTON STREET BLDG 642</v>
      </c>
      <c r="I7343" t="str">
        <f>T("DEVENS")</f>
        <v>DEVENS</v>
      </c>
      <c r="J7343" t="str">
        <f>T("MA")</f>
        <v>MA</v>
      </c>
      <c r="K7343" t="str">
        <f>T("9787963725")</f>
        <v>9787963725</v>
      </c>
      <c r="L7343" t="str">
        <f>T("9787963750")</f>
        <v>9787963750</v>
      </c>
    </row>
    <row r="7344" spans="1:12" x14ac:dyDescent="0.35">
      <c r="A7344" t="str">
        <f t="shared" si="2763"/>
        <v>4TH MAR DIV</v>
      </c>
      <c r="B7344" t="str">
        <f t="shared" si="2769"/>
        <v>M14201 25HQ WCMA</v>
      </c>
      <c r="C7344" t="str">
        <f t="shared" si="2770"/>
        <v>4 LEXINGTON STREET BLDG 642</v>
      </c>
      <c r="D7344" t="str">
        <f t="shared" si="2771"/>
        <v>DEVENS</v>
      </c>
      <c r="E7344" t="str">
        <f t="shared" si="2772"/>
        <v>MA</v>
      </c>
      <c r="F7344" t="str">
        <f t="shared" si="2773"/>
        <v>014344423</v>
      </c>
      <c r="G7344" t="str">
        <f t="shared" si="2774"/>
        <v>M14201 25HQ WCMA</v>
      </c>
      <c r="H7344" t="str">
        <f>T("8000 E NEW ORLEANS ST")</f>
        <v>8000 E NEW ORLEANS ST</v>
      </c>
      <c r="I7344" t="str">
        <f>T("BROKEN ARROW")</f>
        <v>BROKEN ARROW</v>
      </c>
      <c r="J7344" t="str">
        <f>T("OK")</f>
        <v>OK</v>
      </c>
      <c r="K7344" t="str">
        <f>T("9188085197")</f>
        <v>9188085197</v>
      </c>
      <c r="L7344" t="str">
        <f>T("9182793816")</f>
        <v>9182793816</v>
      </c>
    </row>
    <row r="7345" spans="1:12" x14ac:dyDescent="0.35">
      <c r="A7345" t="str">
        <f t="shared" si="2763"/>
        <v>4TH MAR DIV</v>
      </c>
      <c r="B7345" t="str">
        <f>T("M14210 251B DVMA")</f>
        <v>M14210 251B DVMA</v>
      </c>
      <c r="C7345" t="str">
        <f>T("53 QUEBAC STREET BLDG 672")</f>
        <v>53 QUEBAC STREET BLDG 672</v>
      </c>
      <c r="D7345" t="str">
        <f t="shared" si="2771"/>
        <v>DEVENS</v>
      </c>
      <c r="E7345" t="str">
        <f t="shared" si="2772"/>
        <v>MA</v>
      </c>
      <c r="F7345" t="str">
        <f>T("014344424")</f>
        <v>014344424</v>
      </c>
      <c r="G7345" t="str">
        <f>T("M14210 251B DVMA")</f>
        <v>M14210 251B DVMA</v>
      </c>
      <c r="H7345" t="str">
        <f>T("3 PORTER AVE")</f>
        <v>3 PORTER AVE</v>
      </c>
      <c r="I7345" t="str">
        <f>T("BUFFALO")</f>
        <v>BUFFALO</v>
      </c>
      <c r="J7345" t="str">
        <f>T("NY")</f>
        <v>NY</v>
      </c>
      <c r="K7345" t="str">
        <f>T("7168828541")</f>
        <v>7168828541</v>
      </c>
      <c r="L7345" t="str">
        <f>T("7168856529")</f>
        <v>7168856529</v>
      </c>
    </row>
    <row r="7346" spans="1:12" x14ac:dyDescent="0.35">
      <c r="A7346" t="str">
        <f t="shared" si="2763"/>
        <v>4TH MAR DIV</v>
      </c>
      <c r="B7346" t="str">
        <f>T("M14210 251B DVMA")</f>
        <v>M14210 251B DVMA</v>
      </c>
      <c r="C7346" t="str">
        <f>T("53 QUEBAC STREET BLDG 672")</f>
        <v>53 QUEBAC STREET BLDG 672</v>
      </c>
      <c r="D7346" t="str">
        <f t="shared" si="2771"/>
        <v>DEVENS</v>
      </c>
      <c r="E7346" t="str">
        <f t="shared" si="2772"/>
        <v>MA</v>
      </c>
      <c r="F7346" t="str">
        <f>T("014344424")</f>
        <v>014344424</v>
      </c>
      <c r="G7346" t="str">
        <f>T("M14210 251B DVMA")</f>
        <v>M14210 251B DVMA</v>
      </c>
      <c r="H7346" t="str">
        <f>T("53 QUEBAC STREET BLDG 672")</f>
        <v>53 QUEBAC STREET BLDG 672</v>
      </c>
      <c r="I7346" t="str">
        <f>T("DEVENS")</f>
        <v>DEVENS</v>
      </c>
      <c r="J7346" t="str">
        <f>T("MA")</f>
        <v>MA</v>
      </c>
      <c r="K7346" t="str">
        <f>T("9787962833")</f>
        <v>9787962833</v>
      </c>
      <c r="L7346" t="str">
        <f>T("9787962745")</f>
        <v>9787962745</v>
      </c>
    </row>
    <row r="7347" spans="1:12" x14ac:dyDescent="0.35">
      <c r="A7347" t="str">
        <f t="shared" si="2763"/>
        <v>4TH MAR DIV</v>
      </c>
      <c r="B7347" t="str">
        <f>T("M14210 251B DVMA")</f>
        <v>M14210 251B DVMA</v>
      </c>
      <c r="C7347" t="str">
        <f>T("53 QUEBAC STREET BLDG 672")</f>
        <v>53 QUEBAC STREET BLDG 672</v>
      </c>
      <c r="D7347" t="str">
        <f t="shared" si="2771"/>
        <v>DEVENS</v>
      </c>
      <c r="E7347" t="str">
        <f t="shared" si="2772"/>
        <v>MA</v>
      </c>
      <c r="F7347" t="str">
        <f>T("014344424")</f>
        <v>014344424</v>
      </c>
      <c r="G7347" t="str">
        <f>T("M14210 251B DVMA")</f>
        <v>M14210 251B DVMA</v>
      </c>
      <c r="H7347" t="str">
        <f>T("53 QUEBEC STREET BOX 147")</f>
        <v>53 QUEBEC STREET BOX 147</v>
      </c>
      <c r="I7347" t="str">
        <f>T("AYER")</f>
        <v>AYER</v>
      </c>
      <c r="J7347" t="str">
        <f>T("MA")</f>
        <v>MA</v>
      </c>
      <c r="K7347" t="str">
        <f>T("000000000000000000")</f>
        <v>000000000000000000</v>
      </c>
      <c r="L7347" t="str">
        <f>T("9787962730")</f>
        <v>9787962730</v>
      </c>
    </row>
    <row r="7348" spans="1:12" x14ac:dyDescent="0.35">
      <c r="A7348" t="str">
        <f t="shared" si="2763"/>
        <v>4TH MAR DIV</v>
      </c>
      <c r="B7348" t="str">
        <f>T("M14210 251B DVMA")</f>
        <v>M14210 251B DVMA</v>
      </c>
      <c r="C7348" t="str">
        <f>T("53 QUEBAC STREET BLDG 672")</f>
        <v>53 QUEBAC STREET BLDG 672</v>
      </c>
      <c r="D7348" t="str">
        <f t="shared" si="2771"/>
        <v>DEVENS</v>
      </c>
      <c r="E7348" t="str">
        <f t="shared" si="2772"/>
        <v>MA</v>
      </c>
      <c r="F7348" t="str">
        <f>T("014344424")</f>
        <v>014344424</v>
      </c>
      <c r="G7348" t="str">
        <f>T("M14210 251B DVMA")</f>
        <v>M14210 251B DVMA</v>
      </c>
      <c r="H7348" t="str">
        <f>T("64 HARVEY RD SUITE 107")</f>
        <v>64 HARVEY RD SUITE 107</v>
      </c>
      <c r="I7348" t="str">
        <f>T("LONDONDERRY")</f>
        <v>LONDONDERRY</v>
      </c>
      <c r="J7348" t="str">
        <f>T("NH")</f>
        <v>NH</v>
      </c>
      <c r="K7348" t="str">
        <f>T("000000000000000000")</f>
        <v>000000000000000000</v>
      </c>
      <c r="L7348" t="str">
        <f>T("6035378006")</f>
        <v>6035378006</v>
      </c>
    </row>
    <row r="7349" spans="1:12" x14ac:dyDescent="0.35">
      <c r="A7349" t="str">
        <f t="shared" si="2763"/>
        <v>4TH MAR DIV</v>
      </c>
      <c r="B7349" t="str">
        <f t="shared" ref="B7349:B7354" si="2775">T("M14230 253B BPOH")</f>
        <v>M14230 253B BPOH</v>
      </c>
      <c r="C7349" t="str">
        <f t="shared" ref="C7349:C7354" si="2776">T("5572 SMITH RD")</f>
        <v>5572 SMITH RD</v>
      </c>
      <c r="D7349" t="str">
        <f t="shared" ref="D7349:D7354" si="2777">T("BROOKPARK")</f>
        <v>BROOKPARK</v>
      </c>
      <c r="E7349" t="str">
        <f t="shared" ref="E7349:E7354" si="2778">T("OH")</f>
        <v>OH</v>
      </c>
      <c r="F7349" t="str">
        <f t="shared" ref="F7349:F7354" si="2779">T("441422027")</f>
        <v>441422027</v>
      </c>
      <c r="G7349" t="str">
        <f>T("251 DON MAY RD")</f>
        <v>251 DON MAY RD</v>
      </c>
      <c r="H7349" t="str">
        <f>T("SUITE 101")</f>
        <v>SUITE 101</v>
      </c>
      <c r="I7349" t="str">
        <f>T("JOHNSON CITY")</f>
        <v>JOHNSON CITY</v>
      </c>
      <c r="J7349" t="str">
        <f>T("TN")</f>
        <v>TN</v>
      </c>
      <c r="K7349" t="str">
        <f>T("4234672194")</f>
        <v>4234672194</v>
      </c>
      <c r="L7349" t="str">
        <f>T("4234672208")</f>
        <v>4234672208</v>
      </c>
    </row>
    <row r="7350" spans="1:12" x14ac:dyDescent="0.35">
      <c r="A7350" t="str">
        <f t="shared" si="2763"/>
        <v>4TH MAR DIV</v>
      </c>
      <c r="B7350" t="str">
        <f t="shared" si="2775"/>
        <v>M14230 253B BPOH</v>
      </c>
      <c r="C7350" t="str">
        <f t="shared" si="2776"/>
        <v>5572 SMITH RD</v>
      </c>
      <c r="D7350" t="str">
        <f t="shared" si="2777"/>
        <v>BROOKPARK</v>
      </c>
      <c r="E7350" t="str">
        <f t="shared" si="2778"/>
        <v>OH</v>
      </c>
      <c r="F7350" t="str">
        <f t="shared" si="2779"/>
        <v>441422027</v>
      </c>
      <c r="G7350" t="str">
        <f>T("M14230 253B BPOH")</f>
        <v>M14230 253B BPOH</v>
      </c>
      <c r="H7350" t="str">
        <f>T("5572 SMITH RD")</f>
        <v>5572 SMITH RD</v>
      </c>
      <c r="I7350" t="str">
        <f>T("BROOKPARK")</f>
        <v>BROOKPARK</v>
      </c>
      <c r="J7350" t="str">
        <f>T("OH")</f>
        <v>OH</v>
      </c>
      <c r="K7350" t="str">
        <f>T("")</f>
        <v/>
      </c>
      <c r="L7350" t="str">
        <f>T("1111111111")</f>
        <v>1111111111</v>
      </c>
    </row>
    <row r="7351" spans="1:12" x14ac:dyDescent="0.35">
      <c r="A7351" t="str">
        <f t="shared" si="2763"/>
        <v>4TH MAR DIV</v>
      </c>
      <c r="B7351" t="str">
        <f t="shared" si="2775"/>
        <v>M14230 253B BPOH</v>
      </c>
      <c r="C7351" t="str">
        <f t="shared" si="2776"/>
        <v>5572 SMITH RD</v>
      </c>
      <c r="D7351" t="str">
        <f t="shared" si="2777"/>
        <v>BROOKPARK</v>
      </c>
      <c r="E7351" t="str">
        <f t="shared" si="2778"/>
        <v>OH</v>
      </c>
      <c r="F7351" t="str">
        <f t="shared" si="2779"/>
        <v>441422027</v>
      </c>
      <c r="G7351" t="str">
        <f>T("M14230 253B BPOH")</f>
        <v>M14230 253B BPOH</v>
      </c>
      <c r="H7351" t="str">
        <f>T("5572 SMITH RD")</f>
        <v>5572 SMITH RD</v>
      </c>
      <c r="I7351" t="str">
        <f>T("BROOKPARK")</f>
        <v>BROOKPARK</v>
      </c>
      <c r="J7351" t="str">
        <f>T("OH")</f>
        <v>OH</v>
      </c>
      <c r="K7351" t="str">
        <f>T("21626798782209")</f>
        <v>21626798782209</v>
      </c>
      <c r="L7351" t="str">
        <f>T("1111111111")</f>
        <v>1111111111</v>
      </c>
    </row>
    <row r="7352" spans="1:12" x14ac:dyDescent="0.35">
      <c r="A7352" t="str">
        <f t="shared" si="2763"/>
        <v>4TH MAR DIV</v>
      </c>
      <c r="B7352" t="str">
        <f t="shared" si="2775"/>
        <v>M14230 253B BPOH</v>
      </c>
      <c r="C7352" t="str">
        <f t="shared" si="2776"/>
        <v>5572 SMITH RD</v>
      </c>
      <c r="D7352" t="str">
        <f t="shared" si="2777"/>
        <v>BROOKPARK</v>
      </c>
      <c r="E7352" t="str">
        <f t="shared" si="2778"/>
        <v>OH</v>
      </c>
      <c r="F7352" t="str">
        <f t="shared" si="2779"/>
        <v>441422027</v>
      </c>
      <c r="G7352" t="str">
        <f>T("M14230 253B BPOH")</f>
        <v>M14230 253B BPOH</v>
      </c>
      <c r="H7352" t="str">
        <f>T("5572 SMITH ROAD")</f>
        <v>5572 SMITH ROAD</v>
      </c>
      <c r="I7352" t="str">
        <f>T("BROOKPARK")</f>
        <v>BROOKPARK</v>
      </c>
      <c r="J7352" t="str">
        <f>T("OH")</f>
        <v>OH</v>
      </c>
      <c r="K7352" t="str">
        <f>T("000000000000000000")</f>
        <v>000000000000000000</v>
      </c>
      <c r="L7352" t="str">
        <f>T("2162679878")</f>
        <v>2162679878</v>
      </c>
    </row>
    <row r="7353" spans="1:12" x14ac:dyDescent="0.35">
      <c r="A7353" t="str">
        <f t="shared" si="2763"/>
        <v>4TH MAR DIV</v>
      </c>
      <c r="B7353" t="str">
        <f t="shared" si="2775"/>
        <v>M14230 253B BPOH</v>
      </c>
      <c r="C7353" t="str">
        <f t="shared" si="2776"/>
        <v>5572 SMITH RD</v>
      </c>
      <c r="D7353" t="str">
        <f t="shared" si="2777"/>
        <v>BROOKPARK</v>
      </c>
      <c r="E7353" t="str">
        <f t="shared" si="2778"/>
        <v>OH</v>
      </c>
      <c r="F7353" t="str">
        <f t="shared" si="2779"/>
        <v>441422027</v>
      </c>
      <c r="G7353" t="str">
        <f>T("M14230 253B BPOH")</f>
        <v>M14230 253B BPOH</v>
      </c>
      <c r="H7353" t="str">
        <f>T("5986 WEST AIRPORT ROAD")</f>
        <v>5986 WEST AIRPORT ROAD</v>
      </c>
      <c r="I7353" t="str">
        <f>T("NORTH CANTON")</f>
        <v>NORTH CANTON</v>
      </c>
      <c r="J7353" t="str">
        <f>T("OH")</f>
        <v>OH</v>
      </c>
      <c r="K7353" t="str">
        <f>T("3304913574")</f>
        <v>3304913574</v>
      </c>
      <c r="L7353" t="str">
        <f>T("3304913500")</f>
        <v>3304913500</v>
      </c>
    </row>
    <row r="7354" spans="1:12" x14ac:dyDescent="0.35">
      <c r="A7354" t="str">
        <f t="shared" si="2763"/>
        <v>4TH MAR DIV</v>
      </c>
      <c r="B7354" t="str">
        <f t="shared" si="2775"/>
        <v>M14230 253B BPOH</v>
      </c>
      <c r="C7354" t="str">
        <f t="shared" si="2776"/>
        <v>5572 SMITH RD</v>
      </c>
      <c r="D7354" t="str">
        <f t="shared" si="2777"/>
        <v>BROOKPARK</v>
      </c>
      <c r="E7354" t="str">
        <f t="shared" si="2778"/>
        <v>OH</v>
      </c>
      <c r="F7354" t="str">
        <f t="shared" si="2779"/>
        <v>441422027</v>
      </c>
      <c r="G7354" t="str">
        <f>T("M14230 253B BPOH")</f>
        <v>M14230 253B BPOH</v>
      </c>
      <c r="H7354" t="str">
        <f>T("625 E PITTSBURGH-MCKEESPORT BLVD")</f>
        <v>625 E PITTSBURGH-MCKEESPORT BLVD</v>
      </c>
      <c r="I7354" t="str">
        <f>T("NORTH VERSAILLES")</f>
        <v>NORTH VERSAILLES</v>
      </c>
      <c r="J7354" t="str">
        <f>T("PA")</f>
        <v>PA</v>
      </c>
      <c r="K7354" t="str">
        <f>T("4126781104323")</f>
        <v>4126781104323</v>
      </c>
      <c r="L7354" t="str">
        <f>T("4126781104")</f>
        <v>4126781104</v>
      </c>
    </row>
    <row r="7355" spans="1:12" x14ac:dyDescent="0.35">
      <c r="A7355" t="str">
        <f t="shared" si="2763"/>
        <v>4TH MAR DIV</v>
      </c>
      <c r="B7355" t="str">
        <f>T("M14301 14HQ FWTX")</f>
        <v>M14301 14HQ FWTX</v>
      </c>
      <c r="C7355" t="str">
        <f>T("4210 HERCULES RD NAS JRB")</f>
        <v>4210 HERCULES RD NAS JRB</v>
      </c>
      <c r="D7355" t="str">
        <f>T("FT WORTH")</f>
        <v>FT WORTH</v>
      </c>
      <c r="E7355" t="str">
        <f t="shared" ref="E7355:E7363" si="2780">T("TX")</f>
        <v>TX</v>
      </c>
      <c r="F7355" t="str">
        <f>T("761271200")</f>
        <v>761271200</v>
      </c>
      <c r="G7355" t="str">
        <f>T("M14301 14HQ FWTX")</f>
        <v>M14301 14HQ FWTX</v>
      </c>
      <c r="H7355" t="str">
        <f>T("4210 HERCULES RD NAS JRB")</f>
        <v>4210 HERCULES RD NAS JRB</v>
      </c>
      <c r="I7355" t="str">
        <f>T("FORT WORTH")</f>
        <v>FORT WORTH</v>
      </c>
      <c r="J7355" t="str">
        <f>T("TX")</f>
        <v>TX</v>
      </c>
      <c r="K7355" t="str">
        <f>T("000000000000000000")</f>
        <v>000000000000000000</v>
      </c>
      <c r="L7355" t="str">
        <f>T("8177826671")</f>
        <v>8177826671</v>
      </c>
    </row>
    <row r="7356" spans="1:12" x14ac:dyDescent="0.35">
      <c r="A7356" t="str">
        <f t="shared" si="2763"/>
        <v>4TH MAR DIV</v>
      </c>
      <c r="B7356" t="str">
        <f>T("M14301 14HQ FWTX")</f>
        <v>M14301 14HQ FWTX</v>
      </c>
      <c r="C7356" t="str">
        <f>T("4210 HERCULES RD NAS JRB")</f>
        <v>4210 HERCULES RD NAS JRB</v>
      </c>
      <c r="D7356" t="str">
        <f>T("FT WORTH")</f>
        <v>FT WORTH</v>
      </c>
      <c r="E7356" t="str">
        <f t="shared" si="2780"/>
        <v>TX</v>
      </c>
      <c r="F7356" t="str">
        <f>T("761271200")</f>
        <v>761271200</v>
      </c>
      <c r="G7356" t="str">
        <f>T("M14301 14HQ FWTX")</f>
        <v>M14301 14HQ FWTX</v>
      </c>
      <c r="H7356" t="str">
        <f>T("4210 HERCULES RD NAS JRB")</f>
        <v>4210 HERCULES RD NAS JRB</v>
      </c>
      <c r="I7356" t="str">
        <f>T("FT WORTH")</f>
        <v>FT WORTH</v>
      </c>
      <c r="J7356" t="str">
        <f>T("TX")</f>
        <v>TX</v>
      </c>
      <c r="K7356" t="str">
        <f>T("8177823823")</f>
        <v>8177823823</v>
      </c>
      <c r="L7356" t="str">
        <f>T("8177826627")</f>
        <v>8177826627</v>
      </c>
    </row>
    <row r="7357" spans="1:12" x14ac:dyDescent="0.35">
      <c r="A7357" t="str">
        <f t="shared" si="2763"/>
        <v>4TH MAR DIV</v>
      </c>
      <c r="B7357" t="str">
        <f t="shared" ref="B7357:B7363" si="2781">T("M14700 4RHQ SATX")</f>
        <v>M14700 4RHQ SATX</v>
      </c>
      <c r="C7357" t="str">
        <f t="shared" ref="C7357:C7363" si="2782">T("3837 BINZ ENGLEMAN RD")</f>
        <v>3837 BINZ ENGLEMAN RD</v>
      </c>
      <c r="D7357" t="str">
        <f t="shared" ref="D7357:D7363" si="2783">T("SAN ANTONIO")</f>
        <v>SAN ANTONIO</v>
      </c>
      <c r="E7357" t="str">
        <f t="shared" si="2780"/>
        <v>TX</v>
      </c>
      <c r="F7357" t="str">
        <f t="shared" ref="F7357:F7363" si="2784">T("782192219")</f>
        <v>782192219</v>
      </c>
      <c r="G7357" t="str">
        <f t="shared" ref="G7357:G7362" si="2785">T("M14700 4RHQ SATX")</f>
        <v>M14700 4RHQ SATX</v>
      </c>
      <c r="H7357" t="str">
        <f>T("1880 ROSWELL ST SE")</f>
        <v>1880 ROSWELL ST SE</v>
      </c>
      <c r="I7357" t="str">
        <f>T("SMYRNA")</f>
        <v>SMYRNA</v>
      </c>
      <c r="J7357" t="str">
        <f>T("GA")</f>
        <v>GA</v>
      </c>
      <c r="K7357" t="str">
        <f>T("000000000000000000")</f>
        <v>000000000000000000</v>
      </c>
      <c r="L7357" t="str">
        <f>T("6786556588")</f>
        <v>6786556588</v>
      </c>
    </row>
    <row r="7358" spans="1:12" x14ac:dyDescent="0.35">
      <c r="A7358" t="str">
        <f t="shared" ref="A7358:A7366" si="2786">T("4TH MAR DIV")</f>
        <v>4TH MAR DIV</v>
      </c>
      <c r="B7358" t="str">
        <f t="shared" si="2781"/>
        <v>M14700 4RHQ SATX</v>
      </c>
      <c r="C7358" t="str">
        <f t="shared" si="2782"/>
        <v>3837 BINZ ENGLEMAN RD</v>
      </c>
      <c r="D7358" t="str">
        <f t="shared" si="2783"/>
        <v>SAN ANTONIO</v>
      </c>
      <c r="E7358" t="str">
        <f t="shared" si="2780"/>
        <v>TX</v>
      </c>
      <c r="F7358" t="str">
        <f t="shared" si="2784"/>
        <v>782192219</v>
      </c>
      <c r="G7358" t="str">
        <f t="shared" si="2785"/>
        <v>M14700 4RHQ SATX</v>
      </c>
      <c r="H7358" t="str">
        <f>T("2711 MCDONOUGH ST")</f>
        <v>2711 MCDONOUGH ST</v>
      </c>
      <c r="I7358" t="str">
        <f>T("JOLIET")</f>
        <v>JOLIET</v>
      </c>
      <c r="J7358" t="str">
        <f>T("IL")</f>
        <v>IL</v>
      </c>
      <c r="K7358" t="str">
        <f>T("81577399602240")</f>
        <v>81577399602240</v>
      </c>
      <c r="L7358" t="str">
        <f>T("1111111111")</f>
        <v>1111111111</v>
      </c>
    </row>
    <row r="7359" spans="1:12" x14ac:dyDescent="0.35">
      <c r="A7359" t="str">
        <f t="shared" si="2786"/>
        <v>4TH MAR DIV</v>
      </c>
      <c r="B7359" t="str">
        <f t="shared" si="2781"/>
        <v>M14700 4RHQ SATX</v>
      </c>
      <c r="C7359" t="str">
        <f t="shared" si="2782"/>
        <v>3837 BINZ ENGLEMAN RD</v>
      </c>
      <c r="D7359" t="str">
        <f t="shared" si="2783"/>
        <v>SAN ANTONIO</v>
      </c>
      <c r="E7359" t="str">
        <f t="shared" si="2780"/>
        <v>TX</v>
      </c>
      <c r="F7359" t="str">
        <f t="shared" si="2784"/>
        <v>782192219</v>
      </c>
      <c r="G7359" t="str">
        <f t="shared" si="2785"/>
        <v>M14700 4RHQ SATX</v>
      </c>
      <c r="H7359" t="str">
        <f>T("3837 BINZ ENGLEMAN RD")</f>
        <v>3837 BINZ ENGLEMAN RD</v>
      </c>
      <c r="I7359" t="str">
        <f>T("SAN ANTONIO")</f>
        <v>SAN ANTONIO</v>
      </c>
      <c r="J7359" t="str">
        <f>T("TX")</f>
        <v>TX</v>
      </c>
      <c r="K7359" t="str">
        <f>T("2102231551352")</f>
        <v>2102231551352</v>
      </c>
      <c r="L7359" t="str">
        <f>T("2102231551")</f>
        <v>2102231551</v>
      </c>
    </row>
    <row r="7360" spans="1:12" x14ac:dyDescent="0.35">
      <c r="A7360" t="str">
        <f t="shared" si="2786"/>
        <v>4TH MAR DIV</v>
      </c>
      <c r="B7360" t="str">
        <f t="shared" si="2781"/>
        <v>M14700 4RHQ SATX</v>
      </c>
      <c r="C7360" t="str">
        <f t="shared" si="2782"/>
        <v>3837 BINZ ENGLEMAN RD</v>
      </c>
      <c r="D7360" t="str">
        <f t="shared" si="2783"/>
        <v>SAN ANTONIO</v>
      </c>
      <c r="E7360" t="str">
        <f t="shared" si="2780"/>
        <v>TX</v>
      </c>
      <c r="F7360" t="str">
        <f t="shared" si="2784"/>
        <v>782192219</v>
      </c>
      <c r="G7360" t="str">
        <f t="shared" si="2785"/>
        <v>M14700 4RHQ SATX</v>
      </c>
      <c r="H7360" t="str">
        <f>T("3837 BINZ ENGLEMAN RD")</f>
        <v>3837 BINZ ENGLEMAN RD</v>
      </c>
      <c r="I7360" t="str">
        <f>T("SAN ANTONIO")</f>
        <v>SAN ANTONIO</v>
      </c>
      <c r="J7360" t="str">
        <f>T("TX")</f>
        <v>TX</v>
      </c>
      <c r="K7360" t="str">
        <f>T("2102231619")</f>
        <v>2102231619</v>
      </c>
      <c r="L7360" t="str">
        <f>T("2105399966")</f>
        <v>2105399966</v>
      </c>
    </row>
    <row r="7361" spans="1:12" x14ac:dyDescent="0.35">
      <c r="A7361" t="str">
        <f t="shared" si="2786"/>
        <v>4TH MAR DIV</v>
      </c>
      <c r="B7361" t="str">
        <f t="shared" si="2781"/>
        <v>M14700 4RHQ SATX</v>
      </c>
      <c r="C7361" t="str">
        <f t="shared" si="2782"/>
        <v>3837 BINZ ENGLEMAN RD</v>
      </c>
      <c r="D7361" t="str">
        <f t="shared" si="2783"/>
        <v>SAN ANTONIO</v>
      </c>
      <c r="E7361" t="str">
        <f t="shared" si="2780"/>
        <v>TX</v>
      </c>
      <c r="F7361" t="str">
        <f t="shared" si="2784"/>
        <v>782192219</v>
      </c>
      <c r="G7361" t="str">
        <f t="shared" si="2785"/>
        <v>M14700 4RHQ SATX</v>
      </c>
      <c r="H7361" t="str">
        <f>T("3837 BINZ ENGLEMAN ROAD")</f>
        <v>3837 BINZ ENGLEMAN ROAD</v>
      </c>
      <c r="I7361" t="str">
        <f>T("SAN ANTONIO")</f>
        <v>SAN ANTONIO</v>
      </c>
      <c r="J7361" t="str">
        <f>T("TX")</f>
        <v>TX</v>
      </c>
      <c r="K7361" t="str">
        <f>T("000000000000000000")</f>
        <v>000000000000000000</v>
      </c>
      <c r="L7361" t="str">
        <f>T("2105399982")</f>
        <v>2105399982</v>
      </c>
    </row>
    <row r="7362" spans="1:12" x14ac:dyDescent="0.35">
      <c r="A7362" t="str">
        <f t="shared" si="2786"/>
        <v>4TH MAR DIV</v>
      </c>
      <c r="B7362" t="str">
        <f t="shared" si="2781"/>
        <v>M14700 4RHQ SATX</v>
      </c>
      <c r="C7362" t="str">
        <f t="shared" si="2782"/>
        <v>3837 BINZ ENGLEMAN RD</v>
      </c>
      <c r="D7362" t="str">
        <f t="shared" si="2783"/>
        <v>SAN ANTONIO</v>
      </c>
      <c r="E7362" t="str">
        <f t="shared" si="2780"/>
        <v>TX</v>
      </c>
      <c r="F7362" t="str">
        <f t="shared" si="2784"/>
        <v>782192219</v>
      </c>
      <c r="G7362" t="str">
        <f t="shared" si="2785"/>
        <v>M14700 4RHQ SATX</v>
      </c>
      <c r="H7362" t="str">
        <f>T("8810 SOUTH ST BLDG 20616")</f>
        <v>8810 SOUTH ST BLDG 20616</v>
      </c>
      <c r="I7362" t="str">
        <f>T("ALBUQUERQUE")</f>
        <v>ALBUQUERQUE</v>
      </c>
      <c r="J7362" t="str">
        <f>T("NM")</f>
        <v>NM</v>
      </c>
      <c r="K7362" t="str">
        <f>T("000000000000000000")</f>
        <v>000000000000000000</v>
      </c>
      <c r="L7362" t="str">
        <f>T("5058530840")</f>
        <v>5058530840</v>
      </c>
    </row>
    <row r="7363" spans="1:12" x14ac:dyDescent="0.35">
      <c r="A7363" t="str">
        <f t="shared" si="2786"/>
        <v>4TH MAR DIV</v>
      </c>
      <c r="B7363" t="str">
        <f t="shared" si="2781"/>
        <v>M14700 4RHQ SATX</v>
      </c>
      <c r="C7363" t="str">
        <f t="shared" si="2782"/>
        <v>3837 BINZ ENGLEMAN RD</v>
      </c>
      <c r="D7363" t="str">
        <f t="shared" si="2783"/>
        <v>SAN ANTONIO</v>
      </c>
      <c r="E7363" t="str">
        <f t="shared" si="2780"/>
        <v>TX</v>
      </c>
      <c r="F7363" t="str">
        <f t="shared" si="2784"/>
        <v>782192219</v>
      </c>
      <c r="G7363" t="str">
        <f>T("PCH 4TH RECON BN 4MD NMRTC")</f>
        <v>PCH 4TH RECON BN 4MD NMRTC</v>
      </c>
      <c r="H7363" t="str">
        <f>T("3837 BINZ ENGLEMANN RD")</f>
        <v>3837 BINZ ENGLEMANN RD</v>
      </c>
      <c r="I7363" t="str">
        <f>T("SAN ANTONIO")</f>
        <v>SAN ANTONIO</v>
      </c>
      <c r="J7363" t="str">
        <f>T("TX")</f>
        <v>TX</v>
      </c>
      <c r="K7363" t="str">
        <f>T("000000000000000000")</f>
        <v>000000000000000000</v>
      </c>
      <c r="L7363" t="str">
        <f>T("2102231551")</f>
        <v>2102231551</v>
      </c>
    </row>
    <row r="7364" spans="1:12" x14ac:dyDescent="0.35">
      <c r="A7364" t="str">
        <f t="shared" si="2786"/>
        <v>4TH MAR DIV</v>
      </c>
      <c r="B7364" t="str">
        <f>T("M28353 4TH FORCE RECON CO")</f>
        <v>M28353 4TH FORCE RECON CO</v>
      </c>
      <c r="C7364" t="str">
        <f>T("NMCRC 2144 CLEMENT AVE")</f>
        <v>NMCRC 2144 CLEMENT AVE</v>
      </c>
      <c r="D7364" t="str">
        <f>T("ALAMEDA")</f>
        <v>ALAMEDA</v>
      </c>
      <c r="E7364" t="str">
        <f>T("CA")</f>
        <v>CA</v>
      </c>
      <c r="F7364" t="str">
        <f>T("945010000")</f>
        <v>945010000</v>
      </c>
      <c r="G7364" t="str">
        <f>T("4TH FORCE RECON 4MARDIV")</f>
        <v>4TH FORCE RECON 4MARDIV</v>
      </c>
      <c r="H7364" t="str">
        <f>T("2144 CLEMENT AVE")</f>
        <v>2144 CLEMENT AVE</v>
      </c>
      <c r="I7364" t="str">
        <f>T("ALAMEDA")</f>
        <v>ALAMEDA</v>
      </c>
      <c r="J7364" t="str">
        <f>T("CA")</f>
        <v>CA</v>
      </c>
      <c r="K7364" t="str">
        <f>T("5108141600248")</f>
        <v>5108141600248</v>
      </c>
      <c r="L7364" t="str">
        <f>T("5108141600")</f>
        <v>5108141600</v>
      </c>
    </row>
    <row r="7365" spans="1:12" x14ac:dyDescent="0.35">
      <c r="A7365" t="str">
        <f t="shared" si="2786"/>
        <v>4TH MAR DIV</v>
      </c>
      <c r="B7365" t="str">
        <f>T("M28353 4TH FORCE RECON CO")</f>
        <v>M28353 4TH FORCE RECON CO</v>
      </c>
      <c r="C7365" t="str">
        <f>T("NMCRC 2144 CLEMENT AVE")</f>
        <v>NMCRC 2144 CLEMENT AVE</v>
      </c>
      <c r="D7365" t="str">
        <f>T("ALAMEDA")</f>
        <v>ALAMEDA</v>
      </c>
      <c r="E7365" t="str">
        <f>T("CA")</f>
        <v>CA</v>
      </c>
      <c r="F7365" t="str">
        <f>T("945010000")</f>
        <v>945010000</v>
      </c>
      <c r="G7365" t="str">
        <f>T("M28353 4TH FORCE RECON CO")</f>
        <v>M28353 4TH FORCE RECON CO</v>
      </c>
      <c r="H7365" t="str">
        <f>T("NMCRC 2144 CLEMENT AVE")</f>
        <v>NMCRC 2144 CLEMENT AVE</v>
      </c>
      <c r="I7365" t="str">
        <f>T("ALAMEDA")</f>
        <v>ALAMEDA</v>
      </c>
      <c r="J7365" t="str">
        <f>T("CA")</f>
        <v>CA</v>
      </c>
      <c r="K7365" t="str">
        <f>T("")</f>
        <v/>
      </c>
      <c r="L7365" t="str">
        <f>T("1111111111")</f>
        <v>1111111111</v>
      </c>
    </row>
    <row r="7366" spans="1:12" x14ac:dyDescent="0.35">
      <c r="A7366" t="str">
        <f t="shared" si="2786"/>
        <v>4TH MAR DIV</v>
      </c>
      <c r="B7366" t="str">
        <f>T("M28353 4TH FORCE RECON CO")</f>
        <v>M28353 4TH FORCE RECON CO</v>
      </c>
      <c r="C7366" t="str">
        <f>T("NMCRC 2144 CLEMENT AVE")</f>
        <v>NMCRC 2144 CLEMENT AVE</v>
      </c>
      <c r="D7366" t="str">
        <f>T("ALAMEDA")</f>
        <v>ALAMEDA</v>
      </c>
      <c r="E7366" t="str">
        <f>T("CA")</f>
        <v>CA</v>
      </c>
      <c r="F7366" t="str">
        <f>T("945010000")</f>
        <v>945010000</v>
      </c>
      <c r="G7366" t="str">
        <f>T("M28353 4TH FORCE RECON CO ALCA")</f>
        <v>M28353 4TH FORCE RECON CO ALCA</v>
      </c>
      <c r="H7366" t="str">
        <f>T("2144 CLEMENT AVE")</f>
        <v>2144 CLEMENT AVE</v>
      </c>
      <c r="I7366" t="str">
        <f>T("ALAMEDA")</f>
        <v>ALAMEDA</v>
      </c>
      <c r="J7366" t="str">
        <f>T("CA")</f>
        <v>CA</v>
      </c>
      <c r="K7366" t="str">
        <f>T("5108141600235")</f>
        <v>5108141600235</v>
      </c>
      <c r="L7366" t="str">
        <f>T("1111111111")</f>
        <v>1111111111</v>
      </c>
    </row>
    <row r="7367" spans="1:12" x14ac:dyDescent="0.35">
      <c r="A7367" t="str">
        <f t="shared" ref="A7367:A7397" si="2787">T("WING BLUE")</f>
        <v>WING BLUE</v>
      </c>
      <c r="B7367" t="str">
        <f>T("4TH MAW ALD")</f>
        <v>4TH MAW ALD</v>
      </c>
      <c r="C7367" t="str">
        <f>T("2000 OPELOUSAS AVE")</f>
        <v>2000 OPELOUSAS AVE</v>
      </c>
      <c r="D7367" t="str">
        <f>T("NEW ORLEANS")</f>
        <v>NEW ORLEANS</v>
      </c>
      <c r="E7367" t="str">
        <f>T("LA")</f>
        <v>LA</v>
      </c>
      <c r="F7367" t="str">
        <f>T("701141500")</f>
        <v>701141500</v>
      </c>
      <c r="G7367" t="str">
        <f>T("4TH MAW ALD")</f>
        <v>4TH MAW ALD</v>
      </c>
      <c r="H7367" t="str">
        <f>T("2000 OPELOUSAS AVE")</f>
        <v>2000 OPELOUSAS AVE</v>
      </c>
      <c r="I7367" t="str">
        <f>T("NEW ORLEANS")</f>
        <v>NEW ORLEANS</v>
      </c>
      <c r="J7367" t="str">
        <f>T("LA")</f>
        <v>LA</v>
      </c>
      <c r="K7367" t="str">
        <f>T("5046979783")</f>
        <v>5046979783</v>
      </c>
      <c r="L7367" t="str">
        <f>T("5046977703")</f>
        <v>5046977703</v>
      </c>
    </row>
    <row r="7368" spans="1:12" x14ac:dyDescent="0.35">
      <c r="A7368" t="str">
        <f t="shared" si="2787"/>
        <v>WING BLUE</v>
      </c>
      <c r="B7368" t="str">
        <f>T("4TH MAW ALD")</f>
        <v>4TH MAW ALD</v>
      </c>
      <c r="C7368" t="str">
        <f>T("2000 OPELOUSAS AVE")</f>
        <v>2000 OPELOUSAS AVE</v>
      </c>
      <c r="D7368" t="str">
        <f>T("NEW ORLEANS")</f>
        <v>NEW ORLEANS</v>
      </c>
      <c r="E7368" t="str">
        <f>T("LA")</f>
        <v>LA</v>
      </c>
      <c r="F7368" t="str">
        <f>T("701141500")</f>
        <v>701141500</v>
      </c>
      <c r="G7368" t="str">
        <f>T("MAW/ALD 4MAW 4TH DECK")</f>
        <v>MAW/ALD 4MAW 4TH DECK</v>
      </c>
      <c r="H7368" t="str">
        <f>T("2000 OPELOUSAS AVE")</f>
        <v>2000 OPELOUSAS AVE</v>
      </c>
      <c r="I7368" t="str">
        <f>T("NEW ORLEANS")</f>
        <v>NEW ORLEANS</v>
      </c>
      <c r="J7368" t="str">
        <f>T("LA")</f>
        <v>LA</v>
      </c>
      <c r="K7368" t="str">
        <f>T("5046979784")</f>
        <v>5046979784</v>
      </c>
      <c r="L7368" t="str">
        <f>T("5046977739")</f>
        <v>5046977739</v>
      </c>
    </row>
    <row r="7369" spans="1:12" x14ac:dyDescent="0.35">
      <c r="A7369" t="str">
        <f t="shared" si="2787"/>
        <v>WING BLUE</v>
      </c>
      <c r="B7369" t="str">
        <f>T("4TH MAW ALD")</f>
        <v>4TH MAW ALD</v>
      </c>
      <c r="C7369" t="str">
        <f>T("2000 OPELOUSAS AVE")</f>
        <v>2000 OPELOUSAS AVE</v>
      </c>
      <c r="D7369" t="str">
        <f>T("NEW ORLEANS")</f>
        <v>NEW ORLEANS</v>
      </c>
      <c r="E7369" t="str">
        <f>T("LA")</f>
        <v>LA</v>
      </c>
      <c r="F7369" t="str">
        <f>T("701141500")</f>
        <v>701141500</v>
      </c>
      <c r="G7369" t="str">
        <f>T("PCH MAW/ALD 4MAW 4TH DECK")</f>
        <v>PCH MAW/ALD 4MAW 4TH DECK</v>
      </c>
      <c r="H7369" t="str">
        <f>T("2000 OPELOUSAS AVE")</f>
        <v>2000 OPELOUSAS AVE</v>
      </c>
      <c r="I7369" t="str">
        <f>T("NEW ORLEANS")</f>
        <v>NEW ORLEANS</v>
      </c>
      <c r="J7369" t="str">
        <f>T("LA")</f>
        <v>LA</v>
      </c>
      <c r="K7369" t="str">
        <f>T("5046979784")</f>
        <v>5046979784</v>
      </c>
      <c r="L7369" t="str">
        <f>T("5046977741")</f>
        <v>5046977741</v>
      </c>
    </row>
    <row r="7370" spans="1:12" x14ac:dyDescent="0.35">
      <c r="A7370" t="str">
        <f t="shared" si="2787"/>
        <v>WING BLUE</v>
      </c>
      <c r="B7370" t="str">
        <f>T("4TH MAW ALD")</f>
        <v>4TH MAW ALD</v>
      </c>
      <c r="C7370" t="str">
        <f>T("2000 OPELOUSAS AVE")</f>
        <v>2000 OPELOUSAS AVE</v>
      </c>
      <c r="D7370" t="str">
        <f>T("NEW ORLEANS")</f>
        <v>NEW ORLEANS</v>
      </c>
      <c r="E7370" t="str">
        <f>T("LA")</f>
        <v>LA</v>
      </c>
      <c r="F7370" t="str">
        <f>T("701141500")</f>
        <v>701141500</v>
      </c>
      <c r="G7370" t="str">
        <f>T("VMR BELLE CHASSE")</f>
        <v>VMR BELLE CHASSE</v>
      </c>
      <c r="H7370" t="str">
        <f>T("400 RUSSELL AVE BLDG 263")</f>
        <v>400 RUSSELL AVE BLDG 263</v>
      </c>
      <c r="I7370" t="str">
        <f>T("BELLE CHASSE")</f>
        <v>BELLE CHASSE</v>
      </c>
      <c r="J7370" t="str">
        <f>T("LA")</f>
        <v>LA</v>
      </c>
      <c r="K7370" t="str">
        <f>T("5046783963")</f>
        <v>5046783963</v>
      </c>
      <c r="L7370" t="str">
        <f>T("5046783470")</f>
        <v>5046783470</v>
      </c>
    </row>
    <row r="7371" spans="1:12" x14ac:dyDescent="0.35">
      <c r="A7371" t="str">
        <f t="shared" si="2787"/>
        <v>WING BLUE</v>
      </c>
      <c r="B7371" t="str">
        <f>T("AO AVISUP HMLA-773 FTDIXNJ")</f>
        <v>AO AVISUP HMLA-773 FTDIXNJ</v>
      </c>
      <c r="C7371" t="str">
        <f>T("4401 TEXAS AVE")</f>
        <v>4401 TEXAS AVE</v>
      </c>
      <c r="D7371" t="str">
        <f>T("FORT DIX")</f>
        <v>FORT DIX</v>
      </c>
      <c r="E7371" t="str">
        <f>T("NJ")</f>
        <v>NJ</v>
      </c>
      <c r="F7371" t="str">
        <f>T("086405512")</f>
        <v>086405512</v>
      </c>
      <c r="G7371" t="str">
        <f>T("AO AVISUP HMLA-773 FTDIXNJ")</f>
        <v>AO AVISUP HMLA-773 FTDIXNJ</v>
      </c>
      <c r="H7371" t="str">
        <f>T("4401 TEXAS AVE")</f>
        <v>4401 TEXAS AVE</v>
      </c>
      <c r="I7371" t="str">
        <f>T("FORT DIX")</f>
        <v>FORT DIX</v>
      </c>
      <c r="J7371" t="str">
        <f>T("NJ")</f>
        <v>NJ</v>
      </c>
      <c r="K7371" t="str">
        <f>T("")</f>
        <v/>
      </c>
      <c r="L7371" t="str">
        <f>T("6095628781")</f>
        <v>6095628781</v>
      </c>
    </row>
    <row r="7372" spans="1:12" x14ac:dyDescent="0.35">
      <c r="A7372" t="str">
        <f t="shared" si="2787"/>
        <v>WING BLUE</v>
      </c>
      <c r="B7372" t="str">
        <f>T("AO AVISUP HMLA-773 FTDIXNJ")</f>
        <v>AO AVISUP HMLA-773 FTDIXNJ</v>
      </c>
      <c r="C7372" t="str">
        <f>T("4401 TEXAS AVE")</f>
        <v>4401 TEXAS AVE</v>
      </c>
      <c r="D7372" t="str">
        <f>T("FORT DIX")</f>
        <v>FORT DIX</v>
      </c>
      <c r="E7372" t="str">
        <f>T("NJ")</f>
        <v>NJ</v>
      </c>
      <c r="F7372" t="str">
        <f>T("086405512")</f>
        <v>086405512</v>
      </c>
      <c r="G7372" t="str">
        <f>T("HMH-772 4TH MAW")</f>
        <v>HMH-772 4TH MAW</v>
      </c>
      <c r="H7372" t="str">
        <f>T("4401 TEXAS AVE")</f>
        <v>4401 TEXAS AVE</v>
      </c>
      <c r="I7372" t="str">
        <f>T("FORT DIX")</f>
        <v>FORT DIX</v>
      </c>
      <c r="J7372" t="str">
        <f>T("NJ")</f>
        <v>NJ</v>
      </c>
      <c r="K7372" t="str">
        <f>T("6095628730")</f>
        <v>6095628730</v>
      </c>
      <c r="L7372" t="str">
        <f>T("6095625285")</f>
        <v>6095625285</v>
      </c>
    </row>
    <row r="7373" spans="1:12" x14ac:dyDescent="0.35">
      <c r="A7373" t="str">
        <f t="shared" si="2787"/>
        <v>WING BLUE</v>
      </c>
      <c r="B7373" t="str">
        <f>T("AO AVISUP HMLA-773 FTDIXNJ")</f>
        <v>AO AVISUP HMLA-773 FTDIXNJ</v>
      </c>
      <c r="C7373" t="str">
        <f>T("4401 TEXAS AVE")</f>
        <v>4401 TEXAS AVE</v>
      </c>
      <c r="D7373" t="str">
        <f>T("FORT DIX")</f>
        <v>FORT DIX</v>
      </c>
      <c r="E7373" t="str">
        <f>T("NJ")</f>
        <v>NJ</v>
      </c>
      <c r="F7373" t="str">
        <f>T("086405512")</f>
        <v>086405512</v>
      </c>
      <c r="G7373" t="str">
        <f>T("HMH-772 4TH MAW")</f>
        <v>HMH-772 4TH MAW</v>
      </c>
      <c r="H7373" t="str">
        <f>T("4401 TEXAS AVE")</f>
        <v>4401 TEXAS AVE</v>
      </c>
      <c r="I7373" t="str">
        <f>T("FORT DIX")</f>
        <v>FORT DIX</v>
      </c>
      <c r="J7373" t="str">
        <f>T("NJ")</f>
        <v>NJ</v>
      </c>
      <c r="K7373" t="str">
        <f>T("6095628730")</f>
        <v>6095628730</v>
      </c>
      <c r="L7373" t="str">
        <f>T("6095628097")</f>
        <v>6095628097</v>
      </c>
    </row>
    <row r="7374" spans="1:12" x14ac:dyDescent="0.35">
      <c r="A7374" t="str">
        <f t="shared" si="2787"/>
        <v>WING BLUE</v>
      </c>
      <c r="B7374" t="str">
        <f>T("AO AVISUP HMLA-773 FTDIXNJ")</f>
        <v>AO AVISUP HMLA-773 FTDIXNJ</v>
      </c>
      <c r="C7374" t="str">
        <f>T("4401 TEXAS AVE")</f>
        <v>4401 TEXAS AVE</v>
      </c>
      <c r="D7374" t="str">
        <f>T("FORT DIX")</f>
        <v>FORT DIX</v>
      </c>
      <c r="E7374" t="str">
        <f>T("NJ")</f>
        <v>NJ</v>
      </c>
      <c r="F7374" t="str">
        <f>T("086405512")</f>
        <v>086405512</v>
      </c>
      <c r="G7374" t="str">
        <f>T("HMH-773 4TH MAW")</f>
        <v>HMH-773 4TH MAW</v>
      </c>
      <c r="H7374" t="str">
        <f>T("4401 TEXAS AVE")</f>
        <v>4401 TEXAS AVE</v>
      </c>
      <c r="I7374" t="str">
        <f>T("FORT DIX")</f>
        <v>FORT DIX</v>
      </c>
      <c r="J7374" t="str">
        <f>T("NJ")</f>
        <v>NJ</v>
      </c>
      <c r="K7374" t="str">
        <f>T("6095628730")</f>
        <v>6095628730</v>
      </c>
      <c r="L7374" t="str">
        <f>T("6095628097")</f>
        <v>6095628097</v>
      </c>
    </row>
    <row r="7375" spans="1:12" x14ac:dyDescent="0.35">
      <c r="A7375" t="str">
        <f t="shared" si="2787"/>
        <v>WING BLUE</v>
      </c>
      <c r="B7375" t="str">
        <f>T("AO HMLA 773 4MAW")</f>
        <v>AO HMLA 773 4MAW</v>
      </c>
      <c r="C7375" t="str">
        <f>T("555 BLUNK DR")</f>
        <v>555 BLUNK DR</v>
      </c>
      <c r="D7375" t="str">
        <f>T("ROBINS AFB")</f>
        <v>ROBINS AFB</v>
      </c>
      <c r="E7375" t="str">
        <f>T("GA")</f>
        <v>GA</v>
      </c>
      <c r="F7375" t="str">
        <f>T("310982708")</f>
        <v>310982708</v>
      </c>
      <c r="G7375" t="str">
        <f>T("AO HMLA 773 4MAW")</f>
        <v>AO HMLA 773 4MAW</v>
      </c>
      <c r="H7375" t="str">
        <f>T("555 BLUNK DR")</f>
        <v>555 BLUNK DR</v>
      </c>
      <c r="I7375" t="str">
        <f>T("ROBINS AFB")</f>
        <v>ROBINS AFB</v>
      </c>
      <c r="J7375" t="str">
        <f>T("GA")</f>
        <v>GA</v>
      </c>
      <c r="K7375" t="str">
        <f>T("")</f>
        <v/>
      </c>
      <c r="L7375" t="str">
        <f>T("4782225503")</f>
        <v>4782225503</v>
      </c>
    </row>
    <row r="7376" spans="1:12" x14ac:dyDescent="0.35">
      <c r="A7376" t="str">
        <f t="shared" si="2787"/>
        <v>WING BLUE</v>
      </c>
      <c r="B7376" t="str">
        <f>T("AO MALS 41")</f>
        <v>AO MALS 41</v>
      </c>
      <c r="C7376" t="str">
        <f>T("1251 MILITARY PKWY")</f>
        <v>1251 MILITARY PKWY</v>
      </c>
      <c r="D7376" t="str">
        <f>T("FORT WORTH")</f>
        <v>FORT WORTH</v>
      </c>
      <c r="E7376" t="str">
        <f>T("TX")</f>
        <v>TX</v>
      </c>
      <c r="F7376" t="str">
        <f>T("761271063")</f>
        <v>761271063</v>
      </c>
      <c r="G7376" t="str">
        <f>T("AO MALS 41")</f>
        <v>AO MALS 41</v>
      </c>
      <c r="H7376" t="str">
        <f>T("1251 MILITARY PKWY")</f>
        <v>1251 MILITARY PKWY</v>
      </c>
      <c r="I7376" t="str">
        <f>T("FORT WORTH")</f>
        <v>FORT WORTH</v>
      </c>
      <c r="J7376" t="str">
        <f>T("TX")</f>
        <v>TX</v>
      </c>
      <c r="K7376" t="str">
        <f>T("")</f>
        <v/>
      </c>
      <c r="L7376" t="str">
        <f>T("8177823945")</f>
        <v>8177823945</v>
      </c>
    </row>
    <row r="7377" spans="1:12" x14ac:dyDescent="0.35">
      <c r="A7377" t="str">
        <f t="shared" si="2787"/>
        <v>WING BLUE</v>
      </c>
      <c r="B7377" t="str">
        <f>T("AO MALS 41")</f>
        <v>AO MALS 41</v>
      </c>
      <c r="C7377" t="str">
        <f>T("1251 MILITARY PKWY")</f>
        <v>1251 MILITARY PKWY</v>
      </c>
      <c r="D7377" t="str">
        <f>T("FORT WORTH")</f>
        <v>FORT WORTH</v>
      </c>
      <c r="E7377" t="str">
        <f>T("TX")</f>
        <v>TX</v>
      </c>
      <c r="F7377" t="str">
        <f>T("761271063")</f>
        <v>761271063</v>
      </c>
      <c r="G7377" t="str">
        <f>T("NAS JRB FORT WORTH SUPPLY")</f>
        <v>NAS JRB FORT WORTH SUPPLY</v>
      </c>
      <c r="H7377" t="str">
        <f>T("1251 MILITARY PKWY BLDG 1236")</f>
        <v>1251 MILITARY PKWY BLDG 1236</v>
      </c>
      <c r="I7377" t="str">
        <f>T("FORT WORTH")</f>
        <v>FORT WORTH</v>
      </c>
      <c r="J7377" t="str">
        <f>T("TX")</f>
        <v>TX</v>
      </c>
      <c r="K7377" t="str">
        <f>T("000000000000000000")</f>
        <v>000000000000000000</v>
      </c>
      <c r="L7377" t="str">
        <f>T("8177823945")</f>
        <v>8177823945</v>
      </c>
    </row>
    <row r="7378" spans="1:12" x14ac:dyDescent="0.35">
      <c r="A7378" t="str">
        <f t="shared" si="2787"/>
        <v>WING BLUE</v>
      </c>
      <c r="B7378" t="str">
        <f>T("AO MTS ANDREWS")</f>
        <v>AO MTS ANDREWS</v>
      </c>
      <c r="C7378" t="str">
        <f>T("1 SAN DIEGO LOOP BLDG 3148")</f>
        <v>1 SAN DIEGO LOOP BLDG 3148</v>
      </c>
      <c r="D7378" t="str">
        <f>T("JB ANDREWS")</f>
        <v>JB ANDREWS</v>
      </c>
      <c r="E7378" t="str">
        <f>T("MD")</f>
        <v>MD</v>
      </c>
      <c r="F7378" t="str">
        <f>T("207625518")</f>
        <v>207625518</v>
      </c>
      <c r="G7378" t="str">
        <f>T("AO MTS ANDREWS")</f>
        <v>AO MTS ANDREWS</v>
      </c>
      <c r="H7378" t="str">
        <f>T("1 SAN DIEGO LOOP BLDG 3148")</f>
        <v>1 SAN DIEGO LOOP BLDG 3148</v>
      </c>
      <c r="I7378" t="str">
        <f>T("JB ANDREWS")</f>
        <v>JB ANDREWS</v>
      </c>
      <c r="J7378" t="str">
        <f>T("MD")</f>
        <v>MD</v>
      </c>
      <c r="K7378" t="str">
        <f>T("")</f>
        <v/>
      </c>
      <c r="L7378" t="str">
        <f>T("2408571796")</f>
        <v>2408571796</v>
      </c>
    </row>
    <row r="7379" spans="1:12" x14ac:dyDescent="0.35">
      <c r="A7379" t="str">
        <f t="shared" si="2787"/>
        <v>WING BLUE</v>
      </c>
      <c r="B7379" t="str">
        <f>T("AO MTS ANDREWS")</f>
        <v>AO MTS ANDREWS</v>
      </c>
      <c r="C7379" t="str">
        <f>T("1 SAN DIEGO LOOP BLDG 3148")</f>
        <v>1 SAN DIEGO LOOP BLDG 3148</v>
      </c>
      <c r="D7379" t="str">
        <f>T("JB ANDREWS")</f>
        <v>JB ANDREWS</v>
      </c>
      <c r="E7379" t="str">
        <f>T("MD")</f>
        <v>MD</v>
      </c>
      <c r="F7379" t="str">
        <f>T("207625518")</f>
        <v>207625518</v>
      </c>
      <c r="G7379" t="str">
        <f>T("VMR DET ANDREWS")</f>
        <v>VMR DET ANDREWS</v>
      </c>
      <c r="H7379" t="str">
        <f>T("NAF 1 SAN DIEGO LOOP BLDG 3148")</f>
        <v>NAF 1 SAN DIEGO LOOP BLDG 3148</v>
      </c>
      <c r="I7379" t="str">
        <f>T("ANDREWS AFB")</f>
        <v>ANDREWS AFB</v>
      </c>
      <c r="J7379" t="str">
        <f>T("MD")</f>
        <v>MD</v>
      </c>
      <c r="K7379" t="str">
        <f>T("2408574594")</f>
        <v>2408574594</v>
      </c>
      <c r="L7379" t="str">
        <f>T("2408571795")</f>
        <v>2408571795</v>
      </c>
    </row>
    <row r="7380" spans="1:12" x14ac:dyDescent="0.35">
      <c r="A7380" t="str">
        <f t="shared" si="2787"/>
        <v>WING BLUE</v>
      </c>
      <c r="B7380" t="str">
        <f>T("AVISUP DET D HMM774")</f>
        <v>AVISUP DET D HMM774</v>
      </c>
      <c r="C7380" t="str">
        <f>T("1430 CV TOW WAY DR BLDG LF60")</f>
        <v>1430 CV TOW WAY DR BLDG LF60</v>
      </c>
      <c r="D7380" t="str">
        <f>T("NORFOLK")</f>
        <v>NORFOLK</v>
      </c>
      <c r="E7380" t="str">
        <f>T("VA")</f>
        <v>VA</v>
      </c>
      <c r="F7380" t="str">
        <f>T("235112522")</f>
        <v>235112522</v>
      </c>
      <c r="G7380" t="str">
        <f>T("AVISUP DET D HMM774")</f>
        <v>AVISUP DET D HMM774</v>
      </c>
      <c r="H7380" t="str">
        <f>T("1430 CV TOW WAY DR BLDG LF60")</f>
        <v>1430 CV TOW WAY DR BLDG LF60</v>
      </c>
      <c r="I7380" t="str">
        <f>T("NORFOLK")</f>
        <v>NORFOLK</v>
      </c>
      <c r="J7380" t="str">
        <f>T("VA")</f>
        <v>VA</v>
      </c>
      <c r="K7380" t="str">
        <f>T("")</f>
        <v/>
      </c>
      <c r="L7380" t="str">
        <f>T("7574444318")</f>
        <v>7574444318</v>
      </c>
    </row>
    <row r="7381" spans="1:12" x14ac:dyDescent="0.35">
      <c r="A7381" t="str">
        <f t="shared" si="2787"/>
        <v>WING BLUE</v>
      </c>
      <c r="B7381" t="str">
        <f>T("AVISUP DET D HMM774")</f>
        <v>AVISUP DET D HMM774</v>
      </c>
      <c r="C7381" t="str">
        <f>T("1430 CV TOW WAY DR BLDG LF60")</f>
        <v>1430 CV TOW WAY DR BLDG LF60</v>
      </c>
      <c r="D7381" t="str">
        <f>T("NORFOLK")</f>
        <v>NORFOLK</v>
      </c>
      <c r="E7381" t="str">
        <f>T("VA")</f>
        <v>VA</v>
      </c>
      <c r="F7381" t="str">
        <f>T("235112522")</f>
        <v>235112522</v>
      </c>
      <c r="G7381" t="str">
        <f>T("AVISUP DET D HMM774 NAS")</f>
        <v>AVISUP DET D HMM774 NAS</v>
      </c>
      <c r="H7381" t="str">
        <f>T("1430 CV TOW WAY DR BLDG LF60")</f>
        <v>1430 CV TOW WAY DR BLDG LF60</v>
      </c>
      <c r="I7381" t="str">
        <f>T("NORFOLK")</f>
        <v>NORFOLK</v>
      </c>
      <c r="J7381" t="str">
        <f>T("VA")</f>
        <v>VA</v>
      </c>
      <c r="K7381" t="str">
        <f>T("000000000000000000")</f>
        <v>000000000000000000</v>
      </c>
      <c r="L7381" t="str">
        <f>T("7574444318")</f>
        <v>7574444318</v>
      </c>
    </row>
    <row r="7382" spans="1:12" x14ac:dyDescent="0.35">
      <c r="A7382" t="str">
        <f t="shared" si="2787"/>
        <v>WING BLUE</v>
      </c>
      <c r="B7382" t="str">
        <f>T("AVISUP DET D HMM774")</f>
        <v>AVISUP DET D HMM774</v>
      </c>
      <c r="C7382" t="str">
        <f>T("1430 CV TOW WAY DR BLDG LF60")</f>
        <v>1430 CV TOW WAY DR BLDG LF60</v>
      </c>
      <c r="D7382" t="str">
        <f>T("NORFOLK")</f>
        <v>NORFOLK</v>
      </c>
      <c r="E7382" t="str">
        <f>T("VA")</f>
        <v>VA</v>
      </c>
      <c r="F7382" t="str">
        <f>T("235112522")</f>
        <v>235112522</v>
      </c>
      <c r="G7382" t="str">
        <f>T("AVISUP DET D HMM774 NAS")</f>
        <v>AVISUP DET D HMM774 NAS</v>
      </c>
      <c r="H7382" t="str">
        <f>T("1430 CV TOW WAY DR BLDG LF60")</f>
        <v>1430 CV TOW WAY DR BLDG LF60</v>
      </c>
      <c r="I7382" t="str">
        <f>T("NORFOLK")</f>
        <v>NORFOLK</v>
      </c>
      <c r="J7382" t="str">
        <f>T("VA")</f>
        <v>VA</v>
      </c>
      <c r="K7382" t="str">
        <f>T("000000000000000000")</f>
        <v>000000000000000000</v>
      </c>
      <c r="L7382" t="str">
        <f>T("7574447818")</f>
        <v>7574447818</v>
      </c>
    </row>
    <row r="7383" spans="1:12" x14ac:dyDescent="0.35">
      <c r="A7383" t="str">
        <f t="shared" si="2787"/>
        <v>WING BLUE</v>
      </c>
      <c r="B7383" t="str">
        <f>T("AVISUP DET D HMM774")</f>
        <v>AVISUP DET D HMM774</v>
      </c>
      <c r="C7383" t="str">
        <f>T("1430 CV TOW WAY DR BLDG LF60")</f>
        <v>1430 CV TOW WAY DR BLDG LF60</v>
      </c>
      <c r="D7383" t="str">
        <f>T("NORFOLK")</f>
        <v>NORFOLK</v>
      </c>
      <c r="E7383" t="str">
        <f>T("VA")</f>
        <v>VA</v>
      </c>
      <c r="F7383" t="str">
        <f>T("235112522")</f>
        <v>235112522</v>
      </c>
      <c r="G7383" t="str">
        <f>T("PCH AVISUP DET D HMM774 NAS")</f>
        <v>PCH AVISUP DET D HMM774 NAS</v>
      </c>
      <c r="H7383" t="str">
        <f>T("1430 CV TOW WAY DR BLDG LF60")</f>
        <v>1430 CV TOW WAY DR BLDG LF60</v>
      </c>
      <c r="I7383" t="str">
        <f>T("NORFOLK")</f>
        <v>NORFOLK</v>
      </c>
      <c r="J7383" t="str">
        <f>T("VA")</f>
        <v>VA</v>
      </c>
      <c r="K7383" t="str">
        <f>T("75744478182036")</f>
        <v>75744478182036</v>
      </c>
      <c r="L7383" t="str">
        <f>T("7574447818")</f>
        <v>7574447818</v>
      </c>
    </row>
    <row r="7384" spans="1:12" x14ac:dyDescent="0.35">
      <c r="A7384" t="str">
        <f t="shared" si="2787"/>
        <v>WING BLUE</v>
      </c>
      <c r="B7384" t="str">
        <f>T("AVISUP DET D HMM774")</f>
        <v>AVISUP DET D HMM774</v>
      </c>
      <c r="C7384" t="str">
        <f>T("1430 CV TOW WAY DR BLDG LF60")</f>
        <v>1430 CV TOW WAY DR BLDG LF60</v>
      </c>
      <c r="D7384" t="str">
        <f>T("NORFOLK")</f>
        <v>NORFOLK</v>
      </c>
      <c r="E7384" t="str">
        <f>T("VA")</f>
        <v>VA</v>
      </c>
      <c r="F7384" t="str">
        <f>T("235112522")</f>
        <v>235112522</v>
      </c>
      <c r="G7384" t="str">
        <f>T("PCH AVISUP DET D HMM774 NAS")</f>
        <v>PCH AVISUP DET D HMM774 NAS</v>
      </c>
      <c r="H7384" t="str">
        <f>T("1430 CV TOW WAY DR BLDG LF60")</f>
        <v>1430 CV TOW WAY DR BLDG LF60</v>
      </c>
      <c r="I7384" t="str">
        <f>T("NORFOLK")</f>
        <v>NORFOLK</v>
      </c>
      <c r="J7384" t="str">
        <f>T("VA")</f>
        <v>VA</v>
      </c>
      <c r="K7384" t="str">
        <f>T("75744478182036")</f>
        <v>75744478182036</v>
      </c>
      <c r="L7384" t="str">
        <f>T("7574448182")</f>
        <v>7574448182</v>
      </c>
    </row>
    <row r="7385" spans="1:12" x14ac:dyDescent="0.35">
      <c r="A7385" t="str">
        <f t="shared" si="2787"/>
        <v>WING BLUE</v>
      </c>
      <c r="B7385" t="str">
        <f>T("HMLA-773 DET A")</f>
        <v>HMLA-773 DET A</v>
      </c>
      <c r="C7385" t="str">
        <f>T("400 RUSSELL AVE BLDG 236")</f>
        <v>400 RUSSELL AVE BLDG 236</v>
      </c>
      <c r="D7385" t="str">
        <f>T("BELLE CHASSE")</f>
        <v>BELLE CHASSE</v>
      </c>
      <c r="E7385" t="str">
        <f>T("LA")</f>
        <v>LA</v>
      </c>
      <c r="F7385" t="str">
        <f>T("701435077")</f>
        <v>701435077</v>
      </c>
      <c r="G7385" t="str">
        <f>T("HMLA-773 DET A")</f>
        <v>HMLA-773 DET A</v>
      </c>
      <c r="H7385" t="str">
        <f>T("400 RUSSELL AVE BLDG 236")</f>
        <v>400 RUSSELL AVE BLDG 236</v>
      </c>
      <c r="I7385" t="str">
        <f>T("BELLE CHASSE")</f>
        <v>BELLE CHASSE</v>
      </c>
      <c r="J7385" t="str">
        <f>T("LA")</f>
        <v>LA</v>
      </c>
      <c r="K7385" t="str">
        <f>T("5046783288")</f>
        <v>5046783288</v>
      </c>
      <c r="L7385" t="str">
        <f>T("5046783035")</f>
        <v>5046783035</v>
      </c>
    </row>
    <row r="7386" spans="1:12" x14ac:dyDescent="0.35">
      <c r="A7386" t="str">
        <f t="shared" si="2787"/>
        <v>WING BLUE</v>
      </c>
      <c r="B7386" t="str">
        <f>T("HMLA-773 DET A")</f>
        <v>HMLA-773 DET A</v>
      </c>
      <c r="C7386" t="str">
        <f>T("400 RUSSELL AVE BLDG 236")</f>
        <v>400 RUSSELL AVE BLDG 236</v>
      </c>
      <c r="D7386" t="str">
        <f>T("BELLE CHASSE")</f>
        <v>BELLE CHASSE</v>
      </c>
      <c r="E7386" t="str">
        <f>T("LA")</f>
        <v>LA</v>
      </c>
      <c r="F7386" t="str">
        <f>T("701435077")</f>
        <v>701435077</v>
      </c>
      <c r="G7386" t="str">
        <f>T("PCH AVISUP HMLA773 DET A AH1W")</f>
        <v>PCH AVISUP HMLA773 DET A AH1W</v>
      </c>
      <c r="H7386" t="str">
        <f>T("400 RUSSELL AVE")</f>
        <v>400 RUSSELL AVE</v>
      </c>
      <c r="I7386" t="str">
        <f>T("BELLE CHASSE")</f>
        <v>BELLE CHASSE</v>
      </c>
      <c r="J7386" t="str">
        <f>T("LA")</f>
        <v>LA</v>
      </c>
      <c r="K7386" t="str">
        <f>T("5046783288")</f>
        <v>5046783288</v>
      </c>
      <c r="L7386" t="str">
        <f>T("5046783631")</f>
        <v>5046783631</v>
      </c>
    </row>
    <row r="7387" spans="1:12" x14ac:dyDescent="0.35">
      <c r="A7387" t="str">
        <f t="shared" si="2787"/>
        <v>WING BLUE</v>
      </c>
      <c r="B7387" t="str">
        <f>T("HMLA-773 DET A")</f>
        <v>HMLA-773 DET A</v>
      </c>
      <c r="C7387" t="str">
        <f>T("400 RUSSELL AVE BLDG 236")</f>
        <v>400 RUSSELL AVE BLDG 236</v>
      </c>
      <c r="D7387" t="str">
        <f>T("BELLE CHASSE")</f>
        <v>BELLE CHASSE</v>
      </c>
      <c r="E7387" t="str">
        <f>T("LA")</f>
        <v>LA</v>
      </c>
      <c r="F7387" t="str">
        <f>T("701435077")</f>
        <v>701435077</v>
      </c>
      <c r="G7387" t="str">
        <f>T("PCH AVISUP HMLA773 DET A AH1W")</f>
        <v>PCH AVISUP HMLA773 DET A AH1W</v>
      </c>
      <c r="H7387" t="str">
        <f>T("400 RUSSELL AVE")</f>
        <v>400 RUSSELL AVE</v>
      </c>
      <c r="I7387" t="str">
        <f>T("BELLE CHASSE")</f>
        <v>BELLE CHASSE</v>
      </c>
      <c r="J7387" t="str">
        <f>T("LA")</f>
        <v>LA</v>
      </c>
      <c r="K7387" t="str">
        <f>T("5046783288")</f>
        <v>5046783288</v>
      </c>
      <c r="L7387" t="str">
        <f>T("5046787413")</f>
        <v>5046787413</v>
      </c>
    </row>
    <row r="7388" spans="1:12" x14ac:dyDescent="0.35">
      <c r="A7388" t="str">
        <f t="shared" si="2787"/>
        <v>WING BLUE</v>
      </c>
      <c r="B7388" t="str">
        <f>T("MALS 41 VMM764")</f>
        <v>MALS 41 VMM764</v>
      </c>
      <c r="C7388" t="str">
        <f>T("PO BOX 452024")</f>
        <v>PO BOX 452024</v>
      </c>
      <c r="D7388" t="str">
        <f>T("SAN DIEGO")</f>
        <v>SAN DIEGO</v>
      </c>
      <c r="E7388" t="str">
        <f>T("CA")</f>
        <v>CA</v>
      </c>
      <c r="F7388" t="str">
        <f>T("921452024")</f>
        <v>921452024</v>
      </c>
      <c r="G7388" t="str">
        <f>T("MALS 41 VMM764")</f>
        <v>MALS 41 VMM764</v>
      </c>
      <c r="H7388" t="str">
        <f>T("PO BOX 452024")</f>
        <v>PO BOX 452024</v>
      </c>
      <c r="I7388" t="str">
        <f>T("SAN DIEGO")</f>
        <v>SAN DIEGO</v>
      </c>
      <c r="J7388" t="str">
        <f>T("CA")</f>
        <v>CA</v>
      </c>
      <c r="K7388" t="str">
        <f>T("000000000000000000")</f>
        <v>000000000000000000</v>
      </c>
      <c r="L7388" t="str">
        <f>T("8585776672")</f>
        <v>8585776672</v>
      </c>
    </row>
    <row r="7389" spans="1:12" x14ac:dyDescent="0.35">
      <c r="A7389" t="str">
        <f t="shared" si="2787"/>
        <v>WING BLUE</v>
      </c>
      <c r="B7389" t="str">
        <f>T("MALS 41 VMM764")</f>
        <v>MALS 41 VMM764</v>
      </c>
      <c r="C7389" t="str">
        <f>T("PO BOX 452024")</f>
        <v>PO BOX 452024</v>
      </c>
      <c r="D7389" t="str">
        <f>T("SAN DIEGO")</f>
        <v>SAN DIEGO</v>
      </c>
      <c r="E7389" t="str">
        <f>T("CA")</f>
        <v>CA</v>
      </c>
      <c r="F7389" t="str">
        <f>T("921452024")</f>
        <v>921452024</v>
      </c>
      <c r="G7389" t="str">
        <f>T("VMM 764")</f>
        <v>VMM 764</v>
      </c>
      <c r="H7389" t="str">
        <f>T("PO BOX 452024")</f>
        <v>PO BOX 452024</v>
      </c>
      <c r="I7389" t="str">
        <f>T("SAN DIEGO")</f>
        <v>SAN DIEGO</v>
      </c>
      <c r="J7389" t="str">
        <f>T("CA")</f>
        <v>CA</v>
      </c>
      <c r="K7389" t="str">
        <f>T("000000000000000000")</f>
        <v>000000000000000000</v>
      </c>
      <c r="L7389" t="str">
        <f>T("8585779295")</f>
        <v>8585779295</v>
      </c>
    </row>
    <row r="7390" spans="1:12" x14ac:dyDescent="0.35">
      <c r="A7390" t="str">
        <f t="shared" si="2787"/>
        <v>WING BLUE</v>
      </c>
      <c r="B7390" t="str">
        <f>T("MALS 49 MAG 49 DET B")</f>
        <v>MALS 49 MAG 49 DET B</v>
      </c>
      <c r="C7390" t="str">
        <f>T("10 MCDONALD ST BLDG 204")</f>
        <v>10 MCDONALD ST BLDG 204</v>
      </c>
      <c r="D7390" t="str">
        <f>T("NEWBURGH")</f>
        <v>NEWBURGH</v>
      </c>
      <c r="E7390" t="str">
        <f>T("NY")</f>
        <v>NY</v>
      </c>
      <c r="F7390" t="str">
        <f>T("125505012")</f>
        <v>125505012</v>
      </c>
      <c r="G7390" t="str">
        <f>T("MALS 49 MAG 49 DET B")</f>
        <v>MALS 49 MAG 49 DET B</v>
      </c>
      <c r="H7390" t="str">
        <f>T("10 MCDONALD ST BLDG 204")</f>
        <v>10 MCDONALD ST BLDG 204</v>
      </c>
      <c r="I7390" t="str">
        <f>T("NEWBURGH")</f>
        <v>NEWBURGH</v>
      </c>
      <c r="J7390" t="str">
        <f>T("NY")</f>
        <v>NY</v>
      </c>
      <c r="K7390" t="str">
        <f>T("8455631952")</f>
        <v>8455631952</v>
      </c>
      <c r="L7390" t="str">
        <f>T("8455631985")</f>
        <v>8455631985</v>
      </c>
    </row>
    <row r="7391" spans="1:12" x14ac:dyDescent="0.35">
      <c r="A7391" t="str">
        <f t="shared" si="2787"/>
        <v>WING BLUE</v>
      </c>
      <c r="B7391" t="str">
        <f>T("MALS 49 MAG 49 DET B")</f>
        <v>MALS 49 MAG 49 DET B</v>
      </c>
      <c r="C7391" t="str">
        <f>T("10 MCDONALD ST BLDG 204")</f>
        <v>10 MCDONALD ST BLDG 204</v>
      </c>
      <c r="D7391" t="str">
        <f>T("NEWBURGH")</f>
        <v>NEWBURGH</v>
      </c>
      <c r="E7391" t="str">
        <f>T("NY")</f>
        <v>NY</v>
      </c>
      <c r="F7391" t="str">
        <f>T("125505012")</f>
        <v>125505012</v>
      </c>
      <c r="G7391" t="str">
        <f>T("MALS 49 MAG49 DET B NNY BLDG 204A")</f>
        <v>MALS 49 MAG49 DET B NNY BLDG 204A</v>
      </c>
      <c r="H7391" t="str">
        <f>T("10 MCDONALD ST STEWART ANGB BLDG")</f>
        <v>10 MCDONALD ST STEWART ANGB BLDG</v>
      </c>
      <c r="I7391" t="str">
        <f>T("NEWBURGH")</f>
        <v>NEWBURGH</v>
      </c>
      <c r="J7391" t="str">
        <f>T("NY")</f>
        <v>NY</v>
      </c>
      <c r="K7391" t="str">
        <f>T("000000000000000000")</f>
        <v>000000000000000000</v>
      </c>
      <c r="L7391" t="str">
        <f>T("8455631985")</f>
        <v>8455631985</v>
      </c>
    </row>
    <row r="7392" spans="1:12" x14ac:dyDescent="0.35">
      <c r="A7392" t="str">
        <f t="shared" si="2787"/>
        <v>WING BLUE</v>
      </c>
      <c r="B7392" t="str">
        <f>T("VMFT401")</f>
        <v>VMFT401</v>
      </c>
      <c r="C7392" t="str">
        <f>T("PO BOX 99270")</f>
        <v>PO BOX 99270</v>
      </c>
      <c r="D7392" t="str">
        <f>T("YUMA")</f>
        <v>YUMA</v>
      </c>
      <c r="E7392" t="str">
        <f>T("AZ")</f>
        <v>AZ</v>
      </c>
      <c r="F7392" t="str">
        <f>T("853699270")</f>
        <v>853699270</v>
      </c>
      <c r="G7392" t="str">
        <f>T("AVISUP VMFT 401 MCAS YUMA")</f>
        <v>AVISUP VMFT 401 MCAS YUMA</v>
      </c>
      <c r="H7392" t="str">
        <f>T("BOX 99270 BUILDING 146")</f>
        <v>BOX 99270 BUILDING 146</v>
      </c>
      <c r="I7392" t="str">
        <f>T("YUMA")</f>
        <v>YUMA</v>
      </c>
      <c r="J7392" t="str">
        <f>T("AZ")</f>
        <v>AZ</v>
      </c>
      <c r="K7392" t="str">
        <f>T("000000000000000000")</f>
        <v>000000000000000000</v>
      </c>
      <c r="L7392" t="str">
        <f>T("9282692193")</f>
        <v>9282692193</v>
      </c>
    </row>
    <row r="7393" spans="1:12" x14ac:dyDescent="0.35">
      <c r="A7393" t="str">
        <f t="shared" si="2787"/>
        <v>WING BLUE</v>
      </c>
      <c r="B7393" t="str">
        <f>T("VMFT401")</f>
        <v>VMFT401</v>
      </c>
      <c r="C7393" t="str">
        <f>T("PO BOX 99270")</f>
        <v>PO BOX 99270</v>
      </c>
      <c r="D7393" t="str">
        <f>T("YUMA")</f>
        <v>YUMA</v>
      </c>
      <c r="E7393" t="str">
        <f>T("AZ")</f>
        <v>AZ</v>
      </c>
      <c r="F7393" t="str">
        <f>T("853699270")</f>
        <v>853699270</v>
      </c>
      <c r="G7393" t="str">
        <f>T("AVISUP VMFT 401 MCAS YUMA")</f>
        <v>AVISUP VMFT 401 MCAS YUMA</v>
      </c>
      <c r="H7393" t="str">
        <f>T("BOX 99270 BUILDING 146")</f>
        <v>BOX 99270 BUILDING 146</v>
      </c>
      <c r="I7393" t="str">
        <f>T("YUMA")</f>
        <v>YUMA</v>
      </c>
      <c r="J7393" t="str">
        <f>T("AZ")</f>
        <v>AZ</v>
      </c>
      <c r="K7393" t="str">
        <f>T("000000000000000000")</f>
        <v>000000000000000000</v>
      </c>
      <c r="L7393" t="str">
        <f>T("9282692428")</f>
        <v>9282692428</v>
      </c>
    </row>
    <row r="7394" spans="1:12" x14ac:dyDescent="0.35">
      <c r="A7394" t="str">
        <f t="shared" si="2787"/>
        <v>WING BLUE</v>
      </c>
      <c r="B7394" t="str">
        <f>T("VMFT401")</f>
        <v>VMFT401</v>
      </c>
      <c r="C7394" t="str">
        <f>T("PO BOX 99270")</f>
        <v>PO BOX 99270</v>
      </c>
      <c r="D7394" t="str">
        <f>T("YUMA")</f>
        <v>YUMA</v>
      </c>
      <c r="E7394" t="str">
        <f>T("AZ")</f>
        <v>AZ</v>
      </c>
      <c r="F7394" t="str">
        <f>T("853699270")</f>
        <v>853699270</v>
      </c>
      <c r="G7394" t="str">
        <f>T("VMFT401")</f>
        <v>VMFT401</v>
      </c>
      <c r="H7394" t="str">
        <f>T("PO BOX 99270")</f>
        <v>PO BOX 99270</v>
      </c>
      <c r="I7394" t="str">
        <f>T("YUMA")</f>
        <v>YUMA</v>
      </c>
      <c r="J7394" t="str">
        <f>T("AZ")</f>
        <v>AZ</v>
      </c>
      <c r="K7394" t="str">
        <f>T("")</f>
        <v/>
      </c>
      <c r="L7394" t="str">
        <f>T("9282692181")</f>
        <v>9282692181</v>
      </c>
    </row>
    <row r="7395" spans="1:12" x14ac:dyDescent="0.35">
      <c r="A7395" t="str">
        <f t="shared" si="2787"/>
        <v>WING BLUE</v>
      </c>
      <c r="B7395" t="str">
        <f>T("VMU 4")</f>
        <v>VMU 4</v>
      </c>
      <c r="C7395" t="str">
        <f>T("UNIT 555450 CAMP TALEGA")</f>
        <v>UNIT 555450 CAMP TALEGA</v>
      </c>
      <c r="D7395" t="str">
        <f>T("CAMP PENDLETON")</f>
        <v>CAMP PENDLETON</v>
      </c>
      <c r="E7395" t="str">
        <f>T("CA")</f>
        <v>CA</v>
      </c>
      <c r="F7395" t="str">
        <f>T("920550000")</f>
        <v>920550000</v>
      </c>
      <c r="G7395" t="str">
        <f>T("RSU VMU 4")</f>
        <v>RSU VMU 4</v>
      </c>
      <c r="H7395" t="str">
        <f>T("UNIT 555450 CAMP TALEGA")</f>
        <v>UNIT 555450 CAMP TALEGA</v>
      </c>
      <c r="I7395" t="str">
        <f>T("CAMP PENDLETON")</f>
        <v>CAMP PENDLETON</v>
      </c>
      <c r="J7395" t="str">
        <f>T("CA")</f>
        <v>CA</v>
      </c>
      <c r="K7395" t="str">
        <f>T("000000000000000000")</f>
        <v>000000000000000000</v>
      </c>
      <c r="L7395" t="str">
        <f>T("7607257936")</f>
        <v>7607257936</v>
      </c>
    </row>
    <row r="7396" spans="1:12" x14ac:dyDescent="0.35">
      <c r="A7396" t="str">
        <f t="shared" si="2787"/>
        <v>WING BLUE</v>
      </c>
      <c r="B7396" t="str">
        <f>T("VMU 4")</f>
        <v>VMU 4</v>
      </c>
      <c r="C7396" t="str">
        <f>T("UNIT 555450 CAMP TALEGA")</f>
        <v>UNIT 555450 CAMP TALEGA</v>
      </c>
      <c r="D7396" t="str">
        <f>T("CAMP PENDLETON")</f>
        <v>CAMP PENDLETON</v>
      </c>
      <c r="E7396" t="str">
        <f>T("CA")</f>
        <v>CA</v>
      </c>
      <c r="F7396" t="str">
        <f>T("920550000")</f>
        <v>920550000</v>
      </c>
      <c r="G7396" t="str">
        <f>T("RSU VMU 4")</f>
        <v>RSU VMU 4</v>
      </c>
      <c r="H7396" t="str">
        <f>T("UNIT 555450 CAMP TALEGA")</f>
        <v>UNIT 555450 CAMP TALEGA</v>
      </c>
      <c r="I7396" t="str">
        <f>T("CAMP PENDLETON")</f>
        <v>CAMP PENDLETON</v>
      </c>
      <c r="J7396" t="str">
        <f>T("CA")</f>
        <v>CA</v>
      </c>
      <c r="K7396" t="str">
        <f>T("000000000000000000")</f>
        <v>000000000000000000</v>
      </c>
      <c r="L7396" t="str">
        <f>T("7607635801")</f>
        <v>7607635801</v>
      </c>
    </row>
    <row r="7397" spans="1:12" x14ac:dyDescent="0.35">
      <c r="A7397" t="str">
        <f t="shared" si="2787"/>
        <v>WING BLUE</v>
      </c>
      <c r="B7397" t="str">
        <f>T("VMU 4")</f>
        <v>VMU 4</v>
      </c>
      <c r="C7397" t="str">
        <f>T("UNIT 555450 CAMP TALEGA")</f>
        <v>UNIT 555450 CAMP TALEGA</v>
      </c>
      <c r="D7397" t="str">
        <f>T("CAMP PENDLETON")</f>
        <v>CAMP PENDLETON</v>
      </c>
      <c r="E7397" t="str">
        <f>T("CA")</f>
        <v>CA</v>
      </c>
      <c r="F7397" t="str">
        <f>T("920550000")</f>
        <v>920550000</v>
      </c>
      <c r="G7397" t="str">
        <f>T("VMU 4")</f>
        <v>VMU 4</v>
      </c>
      <c r="H7397" t="str">
        <f>T("UNIT 555450 CAMP TALEGA")</f>
        <v>UNIT 555450 CAMP TALEGA</v>
      </c>
      <c r="I7397" t="str">
        <f>T("CAMP PENDLETON")</f>
        <v>CAMP PENDLETON</v>
      </c>
      <c r="J7397" t="str">
        <f>T("CA")</f>
        <v>CA</v>
      </c>
      <c r="K7397" t="str">
        <f>T("7607250842")</f>
        <v>7607250842</v>
      </c>
      <c r="L7397" t="str">
        <f>T("7607636729")</f>
        <v>7607636729</v>
      </c>
    </row>
    <row r="7398" spans="1:12" x14ac:dyDescent="0.35">
      <c r="A7398" t="str">
        <f>T("CONTRACTS DIV YUMA AZ")</f>
        <v>CONTRACTS DIV YUMA AZ</v>
      </c>
      <c r="B7398" t="str">
        <f>T("BOX 99134")</f>
        <v>BOX 99134</v>
      </c>
      <c r="C7398" t="str">
        <f>T("MCAS YUMA")</f>
        <v>MCAS YUMA</v>
      </c>
      <c r="D7398" t="str">
        <f>T("YUMA")</f>
        <v>YUMA</v>
      </c>
      <c r="E7398" t="str">
        <f>T("AZ")</f>
        <v>AZ</v>
      </c>
      <c r="F7398" t="str">
        <f>T("853699134")</f>
        <v>853699134</v>
      </c>
      <c r="G7398" t="str">
        <f>T("BOX 99134")</f>
        <v>BOX 99134</v>
      </c>
      <c r="H7398" t="str">
        <f>T("MCAS YUMA")</f>
        <v>MCAS YUMA</v>
      </c>
      <c r="I7398" t="str">
        <f>T("YUMA")</f>
        <v>YUMA</v>
      </c>
      <c r="J7398" t="str">
        <f>T("AZ")</f>
        <v>AZ</v>
      </c>
      <c r="K7398" t="str">
        <f>T("928 269 2287")</f>
        <v>928 269 2287</v>
      </c>
      <c r="L7398" t="str">
        <f>T("9282692458")</f>
        <v>9282692458</v>
      </c>
    </row>
    <row r="7399" spans="1:12" x14ac:dyDescent="0.35">
      <c r="A7399" t="str">
        <f t="shared" ref="A7399:A7407" si="2788">T("MARFORCOM")</f>
        <v>MARFORCOM</v>
      </c>
      <c r="B7399" t="str">
        <f>T("1320 PIERSEY ST")</f>
        <v>1320 PIERSEY ST</v>
      </c>
      <c r="C7399" t="str">
        <f t="shared" ref="C7399:C7404" si="2789">T("")</f>
        <v/>
      </c>
      <c r="D7399" t="str">
        <f>T("NORFOLK")</f>
        <v>NORFOLK</v>
      </c>
      <c r="E7399" t="str">
        <f t="shared" ref="E7399:E7406" si="2790">T("VA")</f>
        <v>VA</v>
      </c>
      <c r="F7399" t="str">
        <f>T("235112506")</f>
        <v>235112506</v>
      </c>
      <c r="G7399" t="str">
        <f>T("1320 PIERSEY ST")</f>
        <v>1320 PIERSEY ST</v>
      </c>
      <c r="H7399" t="str">
        <f t="shared" ref="H7399:H7404" si="2791">T("")</f>
        <v/>
      </c>
      <c r="I7399" t="str">
        <f>T("NORFOLK")</f>
        <v>NORFOLK</v>
      </c>
      <c r="J7399" t="str">
        <f t="shared" ref="J7399:J7406" si="2792">T("VA")</f>
        <v>VA</v>
      </c>
      <c r="K7399" t="str">
        <f>T("7574459516")</f>
        <v>7574459516</v>
      </c>
      <c r="L7399" t="str">
        <f>T("7574450441")</f>
        <v>7574450441</v>
      </c>
    </row>
    <row r="7400" spans="1:12" x14ac:dyDescent="0.35">
      <c r="A7400" t="str">
        <f t="shared" si="2788"/>
        <v>MARFORCOM</v>
      </c>
      <c r="B7400" t="str">
        <f>T("1340 OLYMPIC BLVD")</f>
        <v>1340 OLYMPIC BLVD</v>
      </c>
      <c r="C7400" t="str">
        <f t="shared" si="2789"/>
        <v/>
      </c>
      <c r="D7400" t="str">
        <f>T("CHESAPEAKE")</f>
        <v>CHESAPEAKE</v>
      </c>
      <c r="E7400" t="str">
        <f t="shared" si="2790"/>
        <v>VA</v>
      </c>
      <c r="F7400" t="str">
        <f>T("233224001")</f>
        <v>233224001</v>
      </c>
      <c r="G7400" t="str">
        <f>T("1340 OLYMPIC BLVD")</f>
        <v>1340 OLYMPIC BLVD</v>
      </c>
      <c r="H7400" t="str">
        <f t="shared" si="2791"/>
        <v/>
      </c>
      <c r="I7400" t="str">
        <f>T("CHESAPEAKE")</f>
        <v>CHESAPEAKE</v>
      </c>
      <c r="J7400" t="str">
        <f t="shared" si="2792"/>
        <v>VA</v>
      </c>
      <c r="K7400" t="str">
        <f>T("7574218560")</f>
        <v>7574218560</v>
      </c>
      <c r="L7400" t="str">
        <f>T("7574218557")</f>
        <v>7574218557</v>
      </c>
    </row>
    <row r="7401" spans="1:12" x14ac:dyDescent="0.35">
      <c r="A7401" t="str">
        <f t="shared" si="2788"/>
        <v>MARFORCOM</v>
      </c>
      <c r="B7401" t="str">
        <f>T("1775 FORRESTAL DR")</f>
        <v>1775 FORRESTAL DR</v>
      </c>
      <c r="C7401" t="str">
        <f t="shared" si="2789"/>
        <v/>
      </c>
      <c r="D7401" t="str">
        <f t="shared" ref="D7401:D7406" si="2793">T("NORFOLK")</f>
        <v>NORFOLK</v>
      </c>
      <c r="E7401" t="str">
        <f t="shared" si="2790"/>
        <v>VA</v>
      </c>
      <c r="F7401" t="str">
        <f>T("235510001")</f>
        <v>235510001</v>
      </c>
      <c r="G7401" t="str">
        <f>T("1775 FORRESTAL DR")</f>
        <v>1775 FORRESTAL DR</v>
      </c>
      <c r="H7401" t="str">
        <f t="shared" si="2791"/>
        <v/>
      </c>
      <c r="I7401" t="str">
        <f t="shared" ref="I7401:I7406" si="2794">T("NORFOLK")</f>
        <v>NORFOLK</v>
      </c>
      <c r="J7401" t="str">
        <f t="shared" si="2792"/>
        <v>VA</v>
      </c>
      <c r="K7401" t="str">
        <f>T("")</f>
        <v/>
      </c>
      <c r="L7401" t="str">
        <f>T("7574440553")</f>
        <v>7574440553</v>
      </c>
    </row>
    <row r="7402" spans="1:12" x14ac:dyDescent="0.35">
      <c r="A7402" t="str">
        <f t="shared" si="2788"/>
        <v>MARFORCOM</v>
      </c>
      <c r="B7402" t="str">
        <f>T("1775 FORRESTAL DR")</f>
        <v>1775 FORRESTAL DR</v>
      </c>
      <c r="C7402" t="str">
        <f t="shared" si="2789"/>
        <v/>
      </c>
      <c r="D7402" t="str">
        <f t="shared" si="2793"/>
        <v>NORFOLK</v>
      </c>
      <c r="E7402" t="str">
        <f t="shared" si="2790"/>
        <v>VA</v>
      </c>
      <c r="F7402" t="str">
        <f>T("235510001")</f>
        <v>235510001</v>
      </c>
      <c r="G7402" t="str">
        <f>T("1775 FORRESTAL DR")</f>
        <v>1775 FORRESTAL DR</v>
      </c>
      <c r="H7402" t="str">
        <f t="shared" si="2791"/>
        <v/>
      </c>
      <c r="I7402" t="str">
        <f t="shared" si="2794"/>
        <v>NORFOLK</v>
      </c>
      <c r="J7402" t="str">
        <f t="shared" si="2792"/>
        <v>VA</v>
      </c>
      <c r="K7402" t="str">
        <f>T("")</f>
        <v/>
      </c>
      <c r="L7402" t="str">
        <f>T("7578361524")</f>
        <v>7578361524</v>
      </c>
    </row>
    <row r="7403" spans="1:12" x14ac:dyDescent="0.35">
      <c r="A7403" t="str">
        <f t="shared" si="2788"/>
        <v>MARFORCOM</v>
      </c>
      <c r="B7403" t="str">
        <f>T("1775 FORRESTAL DR")</f>
        <v>1775 FORRESTAL DR</v>
      </c>
      <c r="C7403" t="str">
        <f t="shared" si="2789"/>
        <v/>
      </c>
      <c r="D7403" t="str">
        <f t="shared" si="2793"/>
        <v>NORFOLK</v>
      </c>
      <c r="E7403" t="str">
        <f t="shared" si="2790"/>
        <v>VA</v>
      </c>
      <c r="F7403" t="str">
        <f>T("235512400")</f>
        <v>235512400</v>
      </c>
      <c r="G7403" t="str">
        <f>T("1775 FORRESTAL DR")</f>
        <v>1775 FORRESTAL DR</v>
      </c>
      <c r="H7403" t="str">
        <f t="shared" si="2791"/>
        <v/>
      </c>
      <c r="I7403" t="str">
        <f t="shared" si="2794"/>
        <v>NORFOLK</v>
      </c>
      <c r="J7403" t="str">
        <f t="shared" si="2792"/>
        <v>VA</v>
      </c>
      <c r="K7403" t="str">
        <f>T("")</f>
        <v/>
      </c>
      <c r="L7403" t="str">
        <f>T("7574440533")</f>
        <v>7574440533</v>
      </c>
    </row>
    <row r="7404" spans="1:12" x14ac:dyDescent="0.35">
      <c r="A7404" t="str">
        <f t="shared" si="2788"/>
        <v>MARFORCOM</v>
      </c>
      <c r="B7404" t="str">
        <f>T("1775 FORRESTAL DRIVE")</f>
        <v>1775 FORRESTAL DRIVE</v>
      </c>
      <c r="C7404" t="str">
        <f t="shared" si="2789"/>
        <v/>
      </c>
      <c r="D7404" t="str">
        <f t="shared" si="2793"/>
        <v>NORFOLK</v>
      </c>
      <c r="E7404" t="str">
        <f t="shared" si="2790"/>
        <v>VA</v>
      </c>
      <c r="F7404" t="str">
        <f>T("235510001")</f>
        <v>235510001</v>
      </c>
      <c r="G7404" t="str">
        <f>T("1775 FORRESTAL DRIVE")</f>
        <v>1775 FORRESTAL DRIVE</v>
      </c>
      <c r="H7404" t="str">
        <f t="shared" si="2791"/>
        <v/>
      </c>
      <c r="I7404" t="str">
        <f t="shared" si="2794"/>
        <v>NORFOLK</v>
      </c>
      <c r="J7404" t="str">
        <f t="shared" si="2792"/>
        <v>VA</v>
      </c>
      <c r="K7404" t="str">
        <f>T("000000000000000000")</f>
        <v>000000000000000000</v>
      </c>
      <c r="L7404" t="str">
        <f>T("7574446776")</f>
        <v>7574446776</v>
      </c>
    </row>
    <row r="7405" spans="1:12" x14ac:dyDescent="0.35">
      <c r="A7405" t="str">
        <f t="shared" si="2788"/>
        <v>MARFORCOM</v>
      </c>
      <c r="B7405" t="str">
        <f>T("1775 FORRESTAL DRIVE")</f>
        <v>1775 FORRESTAL DRIVE</v>
      </c>
      <c r="C7405" t="str">
        <f>T("1468 INGRAM ST")</f>
        <v>1468 INGRAM ST</v>
      </c>
      <c r="D7405" t="str">
        <f t="shared" si="2793"/>
        <v>NORFOLK</v>
      </c>
      <c r="E7405" t="str">
        <f t="shared" si="2790"/>
        <v>VA</v>
      </c>
      <c r="F7405" t="str">
        <f>T("235510001")</f>
        <v>235510001</v>
      </c>
      <c r="G7405" t="str">
        <f>T("1775 FORRESTAL DRIVE")</f>
        <v>1775 FORRESTAL DRIVE</v>
      </c>
      <c r="H7405" t="str">
        <f>T("1468 INGRAM ST")</f>
        <v>1468 INGRAM ST</v>
      </c>
      <c r="I7405" t="str">
        <f t="shared" si="2794"/>
        <v>NORFOLK</v>
      </c>
      <c r="J7405" t="str">
        <f t="shared" si="2792"/>
        <v>VA</v>
      </c>
      <c r="K7405" t="str">
        <f>T("")</f>
        <v/>
      </c>
      <c r="L7405" t="str">
        <f>T("7578361557")</f>
        <v>7578361557</v>
      </c>
    </row>
    <row r="7406" spans="1:12" x14ac:dyDescent="0.35">
      <c r="A7406" t="str">
        <f t="shared" si="2788"/>
        <v>MARFORCOM</v>
      </c>
      <c r="B7406" t="str">
        <f>T("DEPUTY CHIEF OF STAFF OFFICE")</f>
        <v>DEPUTY CHIEF OF STAFF OFFICE</v>
      </c>
      <c r="C7406" t="str">
        <f>T("1775 FORRESTAL DR")</f>
        <v>1775 FORRESTAL DR</v>
      </c>
      <c r="D7406" t="str">
        <f t="shared" si="2793"/>
        <v>NORFOLK</v>
      </c>
      <c r="E7406" t="str">
        <f t="shared" si="2790"/>
        <v>VA</v>
      </c>
      <c r="F7406" t="str">
        <f>T("235510001")</f>
        <v>235510001</v>
      </c>
      <c r="G7406" t="str">
        <f>T("DEPUTY CHIEF OF STAFF OFFICE")</f>
        <v>DEPUTY CHIEF OF STAFF OFFICE</v>
      </c>
      <c r="H7406" t="str">
        <f>T("1775 FORRESTAL DR")</f>
        <v>1775 FORRESTAL DR</v>
      </c>
      <c r="I7406" t="str">
        <f t="shared" si="2794"/>
        <v>NORFOLK</v>
      </c>
      <c r="J7406" t="str">
        <f t="shared" si="2792"/>
        <v>VA</v>
      </c>
      <c r="K7406" t="str">
        <f>T("")</f>
        <v/>
      </c>
      <c r="L7406" t="str">
        <f>T("7578361557")</f>
        <v>7578361557</v>
      </c>
    </row>
    <row r="7407" spans="1:12" x14ac:dyDescent="0.35">
      <c r="A7407" t="str">
        <f t="shared" si="2788"/>
        <v>MARFORCOM</v>
      </c>
      <c r="B7407" t="str">
        <f>T("PSC 1005 BOX 32")</f>
        <v>PSC 1005 BOX 32</v>
      </c>
      <c r="C7407" t="str">
        <f>T("")</f>
        <v/>
      </c>
      <c r="D7407" t="str">
        <f>T("FPO")</f>
        <v>FPO</v>
      </c>
      <c r="E7407" t="str">
        <f>T("AE")</f>
        <v>AE</v>
      </c>
      <c r="F7407" t="str">
        <f>T("095930001")</f>
        <v>095930001</v>
      </c>
      <c r="G7407" t="str">
        <f>T("PSC 1005 BOX 32")</f>
        <v>PSC 1005 BOX 32</v>
      </c>
      <c r="H7407" t="str">
        <f>T("")</f>
        <v/>
      </c>
      <c r="I7407" t="str">
        <f>T("FPO")</f>
        <v>FPO</v>
      </c>
      <c r="J7407" t="str">
        <f>T("AE")</f>
        <v>AE</v>
      </c>
      <c r="K7407" t="str">
        <f>T("")</f>
        <v/>
      </c>
      <c r="L7407" t="str">
        <f>T("1111111111")</f>
        <v>1111111111</v>
      </c>
    </row>
    <row r="7408" spans="1:12" x14ac:dyDescent="0.35">
      <c r="A7408" t="str">
        <f>T("MCSCG")</f>
        <v>MCSCG</v>
      </c>
      <c r="B7408" t="str">
        <f>T("937 ATLANTIC AVE")</f>
        <v>937 ATLANTIC AVE</v>
      </c>
      <c r="C7408" t="str">
        <f>T("")</f>
        <v/>
      </c>
      <c r="D7408" t="str">
        <f>T("FT STORY")</f>
        <v>FT STORY</v>
      </c>
      <c r="E7408" t="str">
        <f>T("VA")</f>
        <v>VA</v>
      </c>
      <c r="F7408" t="str">
        <f>T("234513529")</f>
        <v>234513529</v>
      </c>
      <c r="G7408" t="str">
        <f>T("937 ATLANTIC AVE")</f>
        <v>937 ATLANTIC AVE</v>
      </c>
      <c r="H7408" t="str">
        <f>T("")</f>
        <v/>
      </c>
      <c r="I7408" t="str">
        <f>T("FT STORY")</f>
        <v>FT STORY</v>
      </c>
      <c r="J7408" t="str">
        <f>T("VA")</f>
        <v>VA</v>
      </c>
      <c r="K7408" t="str">
        <f>T("")</f>
        <v/>
      </c>
      <c r="L7408" t="str">
        <f>T("7574227303")</f>
        <v>7574227303</v>
      </c>
    </row>
    <row r="7409" spans="1:12" x14ac:dyDescent="0.35">
      <c r="A7409" t="str">
        <f t="shared" ref="A7409:A7428" si="2795">T("U.S. MARINE FORCES EUROPE")</f>
        <v>U.S. MARINE FORCES EUROPE</v>
      </c>
      <c r="B7409" t="str">
        <f>T("MARINE CORPS FORCES EUROPE")</f>
        <v>MARINE CORPS FORCES EUROPE</v>
      </c>
      <c r="C7409" t="str">
        <f>T("UNIT 30401")</f>
        <v>UNIT 30401</v>
      </c>
      <c r="D7409" t="str">
        <f>T("APO")</f>
        <v>APO</v>
      </c>
      <c r="E7409" t="str">
        <f t="shared" ref="E7409:E7428" si="2796">T("AE")</f>
        <v>AE</v>
      </c>
      <c r="F7409" t="str">
        <f>T("091070401")</f>
        <v>091070401</v>
      </c>
      <c r="G7409" t="str">
        <f>T("MARINE CORPS FORCES EUROPE")</f>
        <v>MARINE CORPS FORCES EUROPE</v>
      </c>
      <c r="H7409" t="str">
        <f>T("UNIT 30401")</f>
        <v>UNIT 30401</v>
      </c>
      <c r="I7409" t="str">
        <f>T("APO")</f>
        <v>APO</v>
      </c>
      <c r="J7409" t="str">
        <f t="shared" ref="J7409:J7428" si="2797">T("AE")</f>
        <v>AE</v>
      </c>
      <c r="K7409" t="str">
        <f t="shared" ref="K7409:K7421" si="2798">T("000000000000000000")</f>
        <v>000000000000000000</v>
      </c>
      <c r="L7409" t="str">
        <f>T("3144313554")</f>
        <v>3144313554</v>
      </c>
    </row>
    <row r="7410" spans="1:12" x14ac:dyDescent="0.35">
      <c r="A7410" t="str">
        <f t="shared" si="2795"/>
        <v>U.S. MARINE FORCES EUROPE</v>
      </c>
      <c r="B7410" t="str">
        <f>T("SPMAGTF BSRF 2/8")</f>
        <v>SPMAGTF BSRF 2/8</v>
      </c>
      <c r="C7410" t="str">
        <f>T("UNIT 80101")</f>
        <v>UNIT 80101</v>
      </c>
      <c r="D7410" t="str">
        <f t="shared" ref="D7410:D7420" si="2799">T("FPO")</f>
        <v>FPO</v>
      </c>
      <c r="E7410" t="str">
        <f t="shared" si="2796"/>
        <v>AE</v>
      </c>
      <c r="F7410" t="str">
        <f>T("095080000")</f>
        <v>095080000</v>
      </c>
      <c r="G7410" t="str">
        <f>T("SPMAGTF BSRF 2/8")</f>
        <v>SPMAGTF BSRF 2/8</v>
      </c>
      <c r="H7410" t="str">
        <f>T("UNIT 80101")</f>
        <v>UNIT 80101</v>
      </c>
      <c r="I7410" t="str">
        <f t="shared" ref="I7410:I7416" si="2800">T("FPO")</f>
        <v>FPO</v>
      </c>
      <c r="J7410" t="str">
        <f t="shared" si="2797"/>
        <v>AE</v>
      </c>
      <c r="K7410" t="str">
        <f t="shared" si="2798"/>
        <v>000000000000000000</v>
      </c>
      <c r="L7410" t="str">
        <f>T("3123788428")</f>
        <v>3123788428</v>
      </c>
    </row>
    <row r="7411" spans="1:12" x14ac:dyDescent="0.35">
      <c r="A7411" t="str">
        <f t="shared" si="2795"/>
        <v>U.S. MARINE FORCES EUROPE</v>
      </c>
      <c r="B7411" t="str">
        <f>T("SPMAGTF BSRF 2/8")</f>
        <v>SPMAGTF BSRF 2/8</v>
      </c>
      <c r="C7411" t="str">
        <f>T("UNIT 80101")</f>
        <v>UNIT 80101</v>
      </c>
      <c r="D7411" t="str">
        <f t="shared" si="2799"/>
        <v>FPO</v>
      </c>
      <c r="E7411" t="str">
        <f t="shared" si="2796"/>
        <v>AE</v>
      </c>
      <c r="F7411" t="str">
        <f>T("095080000")</f>
        <v>095080000</v>
      </c>
      <c r="G7411" t="str">
        <f>T("SPMAGTF BSRF 2/8")</f>
        <v>SPMAGTF BSRF 2/8</v>
      </c>
      <c r="H7411" t="str">
        <f>T("UNIT 80101")</f>
        <v>UNIT 80101</v>
      </c>
      <c r="I7411" t="str">
        <f t="shared" si="2800"/>
        <v>FPO</v>
      </c>
      <c r="J7411" t="str">
        <f t="shared" si="2797"/>
        <v>AE</v>
      </c>
      <c r="K7411" t="str">
        <f t="shared" si="2798"/>
        <v>000000000000000000</v>
      </c>
      <c r="L7411" t="str">
        <f>T("3144312161")</f>
        <v>3144312161</v>
      </c>
    </row>
    <row r="7412" spans="1:12" x14ac:dyDescent="0.35">
      <c r="A7412" t="str">
        <f t="shared" si="2795"/>
        <v>U.S. MARINE FORCES EUROPE</v>
      </c>
      <c r="B7412" t="str">
        <f>T("SPMAGTF BSRF 2/8")</f>
        <v>SPMAGTF BSRF 2/8</v>
      </c>
      <c r="C7412" t="str">
        <f>T("UNIT 80101")</f>
        <v>UNIT 80101</v>
      </c>
      <c r="D7412" t="str">
        <f t="shared" si="2799"/>
        <v>FPO</v>
      </c>
      <c r="E7412" t="str">
        <f t="shared" si="2796"/>
        <v>AE</v>
      </c>
      <c r="F7412" t="str">
        <f>T("095080000")</f>
        <v>095080000</v>
      </c>
      <c r="G7412" t="str">
        <f>T("SPMAGTF CR/BSRF")</f>
        <v>SPMAGTF CR/BSRF</v>
      </c>
      <c r="H7412" t="str">
        <f>T("UNIT 14096")</f>
        <v>UNIT 14096</v>
      </c>
      <c r="I7412" t="str">
        <f t="shared" si="2800"/>
        <v>FPO</v>
      </c>
      <c r="J7412" t="str">
        <f t="shared" si="2797"/>
        <v>AE</v>
      </c>
      <c r="K7412" t="str">
        <f t="shared" si="2798"/>
        <v>000000000000000000</v>
      </c>
      <c r="L7412" t="str">
        <f>T("3144312225")</f>
        <v>3144312225</v>
      </c>
    </row>
    <row r="7413" spans="1:12" x14ac:dyDescent="0.35">
      <c r="A7413" t="str">
        <f t="shared" si="2795"/>
        <v>U.S. MARINE FORCES EUROPE</v>
      </c>
      <c r="B7413" t="str">
        <f>T("SPMAGTF BSRF 2/8")</f>
        <v>SPMAGTF BSRF 2/8</v>
      </c>
      <c r="C7413" t="str">
        <f>T("UNIT 80101")</f>
        <v>UNIT 80101</v>
      </c>
      <c r="D7413" t="str">
        <f t="shared" si="2799"/>
        <v>FPO</v>
      </c>
      <c r="E7413" t="str">
        <f t="shared" si="2796"/>
        <v>AE</v>
      </c>
      <c r="F7413" t="str">
        <f>T("095080000")</f>
        <v>095080000</v>
      </c>
      <c r="G7413" t="str">
        <f>T("UNIT 14065")</f>
        <v>UNIT 14065</v>
      </c>
      <c r="H7413" t="str">
        <f>T("")</f>
        <v/>
      </c>
      <c r="I7413" t="str">
        <f t="shared" si="2800"/>
        <v>FPO</v>
      </c>
      <c r="J7413" t="str">
        <f t="shared" si="2797"/>
        <v>AE</v>
      </c>
      <c r="K7413" t="str">
        <f t="shared" si="2798"/>
        <v>000000000000000000</v>
      </c>
      <c r="L7413" t="str">
        <f>T("3146245301")</f>
        <v>3146245301</v>
      </c>
    </row>
    <row r="7414" spans="1:12" x14ac:dyDescent="0.35">
      <c r="A7414" t="str">
        <f t="shared" si="2795"/>
        <v>U.S. MARINE FORCES EUROPE</v>
      </c>
      <c r="B7414" t="str">
        <f>T("SPMAGTF CRAF 16 2")</f>
        <v>SPMAGTF CRAF 16 2</v>
      </c>
      <c r="C7414" t="str">
        <f>T("UNIT 14095")</f>
        <v>UNIT 14095</v>
      </c>
      <c r="D7414" t="str">
        <f t="shared" si="2799"/>
        <v>FPO</v>
      </c>
      <c r="E7414" t="str">
        <f t="shared" si="2796"/>
        <v>AE</v>
      </c>
      <c r="F7414" t="str">
        <f>T("095104095")</f>
        <v>095104095</v>
      </c>
      <c r="G7414" t="str">
        <f>T("SPMAGTF 16 2")</f>
        <v>SPMAGTF 16 2</v>
      </c>
      <c r="H7414" t="str">
        <f>T("UNIT 14095")</f>
        <v>UNIT 14095</v>
      </c>
      <c r="I7414" t="str">
        <f t="shared" si="2800"/>
        <v>FPO</v>
      </c>
      <c r="J7414" t="str">
        <f t="shared" si="2797"/>
        <v>AE</v>
      </c>
      <c r="K7414" t="str">
        <f t="shared" si="2798"/>
        <v>000000000000000000</v>
      </c>
      <c r="L7414" t="str">
        <f>T("3147228250")</f>
        <v>3147228250</v>
      </c>
    </row>
    <row r="7415" spans="1:12" x14ac:dyDescent="0.35">
      <c r="A7415" t="str">
        <f t="shared" si="2795"/>
        <v>U.S. MARINE FORCES EUROPE</v>
      </c>
      <c r="B7415" t="str">
        <f>T("SPMAGTF CRAF 16 2")</f>
        <v>SPMAGTF CRAF 16 2</v>
      </c>
      <c r="C7415" t="str">
        <f>T("UNIT 14095")</f>
        <v>UNIT 14095</v>
      </c>
      <c r="D7415" t="str">
        <f t="shared" si="2799"/>
        <v>FPO</v>
      </c>
      <c r="E7415" t="str">
        <f t="shared" si="2796"/>
        <v>AE</v>
      </c>
      <c r="F7415" t="str">
        <f>T("095104095")</f>
        <v>095104095</v>
      </c>
      <c r="G7415" t="str">
        <f>T("SPMAGTF CRAF 16 1")</f>
        <v>SPMAGTF CRAF 16 1</v>
      </c>
      <c r="H7415" t="str">
        <f>T("UNIT 14095")</f>
        <v>UNIT 14095</v>
      </c>
      <c r="I7415" t="str">
        <f t="shared" si="2800"/>
        <v>FPO</v>
      </c>
      <c r="J7415" t="str">
        <f t="shared" si="2797"/>
        <v>AE</v>
      </c>
      <c r="K7415" t="str">
        <f t="shared" si="2798"/>
        <v>000000000000000000</v>
      </c>
      <c r="L7415" t="str">
        <f>T("3144312225")</f>
        <v>3144312225</v>
      </c>
    </row>
    <row r="7416" spans="1:12" x14ac:dyDescent="0.35">
      <c r="A7416" t="str">
        <f t="shared" si="2795"/>
        <v>U.S. MARINE FORCES EUROPE</v>
      </c>
      <c r="B7416" t="str">
        <f>T("SPMAGTF CRAF 16 2")</f>
        <v>SPMAGTF CRAF 16 2</v>
      </c>
      <c r="C7416" t="str">
        <f>T("UNIT 14095")</f>
        <v>UNIT 14095</v>
      </c>
      <c r="D7416" t="str">
        <f t="shared" si="2799"/>
        <v>FPO</v>
      </c>
      <c r="E7416" t="str">
        <f t="shared" si="2796"/>
        <v>AE</v>
      </c>
      <c r="F7416" t="str">
        <f>T("095104095")</f>
        <v>095104095</v>
      </c>
      <c r="G7416" t="str">
        <f>T("SPMAGTF CRAF 16 2")</f>
        <v>SPMAGTF CRAF 16 2</v>
      </c>
      <c r="H7416" t="str">
        <f>T("UNIT 14095")</f>
        <v>UNIT 14095</v>
      </c>
      <c r="I7416" t="str">
        <f t="shared" si="2800"/>
        <v>FPO</v>
      </c>
      <c r="J7416" t="str">
        <f t="shared" si="2797"/>
        <v>AE</v>
      </c>
      <c r="K7416" t="str">
        <f t="shared" si="2798"/>
        <v>000000000000000000</v>
      </c>
      <c r="L7416" t="str">
        <f>T("3147228250")</f>
        <v>3147228250</v>
      </c>
    </row>
    <row r="7417" spans="1:12" x14ac:dyDescent="0.35">
      <c r="A7417" t="str">
        <f t="shared" si="2795"/>
        <v>U.S. MARINE FORCES EUROPE</v>
      </c>
      <c r="B7417" t="str">
        <f>T("SPMAGTF-CR AF 16 1")</f>
        <v>SPMAGTF-CR AF 16 1</v>
      </c>
      <c r="C7417" t="str">
        <f>T("UNIT 80115")</f>
        <v>UNIT 80115</v>
      </c>
      <c r="D7417" t="str">
        <f t="shared" si="2799"/>
        <v>FPO</v>
      </c>
      <c r="E7417" t="str">
        <f t="shared" si="2796"/>
        <v>AE</v>
      </c>
      <c r="F7417" t="str">
        <f>T("095080000")</f>
        <v>095080000</v>
      </c>
      <c r="G7417" t="str">
        <f>T("SPMAGTF NSSG")</f>
        <v>SPMAGTF NSSG</v>
      </c>
      <c r="H7417" t="str">
        <f>T("UNIT 80115")</f>
        <v>UNIT 80115</v>
      </c>
      <c r="I7417" t="str">
        <f>T("APO")</f>
        <v>APO</v>
      </c>
      <c r="J7417" t="str">
        <f t="shared" si="2797"/>
        <v>AE</v>
      </c>
      <c r="K7417" t="str">
        <f t="shared" si="2798"/>
        <v>000000000000000000</v>
      </c>
      <c r="L7417" t="str">
        <f>T("3144312161")</f>
        <v>3144312161</v>
      </c>
    </row>
    <row r="7418" spans="1:12" x14ac:dyDescent="0.35">
      <c r="A7418" t="str">
        <f t="shared" si="2795"/>
        <v>U.S. MARINE FORCES EUROPE</v>
      </c>
      <c r="B7418" t="str">
        <f>T("SPMAGTF-CR AF 16 1")</f>
        <v>SPMAGTF-CR AF 16 1</v>
      </c>
      <c r="C7418" t="str">
        <f>T("UNIT 80115")</f>
        <v>UNIT 80115</v>
      </c>
      <c r="D7418" t="str">
        <f t="shared" si="2799"/>
        <v>FPO</v>
      </c>
      <c r="E7418" t="str">
        <f t="shared" si="2796"/>
        <v>AE</v>
      </c>
      <c r="F7418" t="str">
        <f>T("095080000")</f>
        <v>095080000</v>
      </c>
      <c r="G7418" t="str">
        <f>T("SPMAGTF-A")</f>
        <v>SPMAGTF-A</v>
      </c>
      <c r="H7418" t="str">
        <f>T("UNIT 80115 DET-1")</f>
        <v>UNIT 80115 DET-1</v>
      </c>
      <c r="I7418" t="str">
        <f>T("APO")</f>
        <v>APO</v>
      </c>
      <c r="J7418" t="str">
        <f t="shared" si="2797"/>
        <v>AE</v>
      </c>
      <c r="K7418" t="str">
        <f t="shared" si="2798"/>
        <v>000000000000000000</v>
      </c>
      <c r="L7418" t="str">
        <f>T("3144312161")</f>
        <v>3144312161</v>
      </c>
    </row>
    <row r="7419" spans="1:12" x14ac:dyDescent="0.35">
      <c r="A7419" t="str">
        <f t="shared" si="2795"/>
        <v>U.S. MARINE FORCES EUROPE</v>
      </c>
      <c r="B7419" t="str">
        <f>T("SPMAGTF-CR AF 16 1")</f>
        <v>SPMAGTF-CR AF 16 1</v>
      </c>
      <c r="C7419" t="str">
        <f>T("UNIT 80115")</f>
        <v>UNIT 80115</v>
      </c>
      <c r="D7419" t="str">
        <f t="shared" si="2799"/>
        <v>FPO</v>
      </c>
      <c r="E7419" t="str">
        <f t="shared" si="2796"/>
        <v>AE</v>
      </c>
      <c r="F7419" t="str">
        <f>T("095080000")</f>
        <v>095080000</v>
      </c>
      <c r="G7419" t="str">
        <f>T("SPMAGTF-A")</f>
        <v>SPMAGTF-A</v>
      </c>
      <c r="H7419" t="str">
        <f>T("UNIT 80115 DET-1")</f>
        <v>UNIT 80115 DET-1</v>
      </c>
      <c r="I7419" t="str">
        <f>T("FPO")</f>
        <v>FPO</v>
      </c>
      <c r="J7419" t="str">
        <f t="shared" si="2797"/>
        <v>AE</v>
      </c>
      <c r="K7419" t="str">
        <f t="shared" si="2798"/>
        <v>000000000000000000</v>
      </c>
      <c r="L7419" t="str">
        <f>T("3144312161")</f>
        <v>3144312161</v>
      </c>
    </row>
    <row r="7420" spans="1:12" x14ac:dyDescent="0.35">
      <c r="A7420" t="str">
        <f t="shared" si="2795"/>
        <v>U.S. MARINE FORCES EUROPE</v>
      </c>
      <c r="B7420" t="str">
        <f>T("SPMAGTF-CR AF 16 1")</f>
        <v>SPMAGTF-CR AF 16 1</v>
      </c>
      <c r="C7420" t="str">
        <f>T("UNIT 80115")</f>
        <v>UNIT 80115</v>
      </c>
      <c r="D7420" t="str">
        <f t="shared" si="2799"/>
        <v>FPO</v>
      </c>
      <c r="E7420" t="str">
        <f t="shared" si="2796"/>
        <v>AE</v>
      </c>
      <c r="F7420" t="str">
        <f>T("095080000")</f>
        <v>095080000</v>
      </c>
      <c r="G7420" t="str">
        <f>T("SPMAGTF-CR AF 16 1")</f>
        <v>SPMAGTF-CR AF 16 1</v>
      </c>
      <c r="H7420" t="str">
        <f>T("UNIT 80115")</f>
        <v>UNIT 80115</v>
      </c>
      <c r="I7420" t="str">
        <f>T("FPO")</f>
        <v>FPO</v>
      </c>
      <c r="J7420" t="str">
        <f t="shared" si="2797"/>
        <v>AE</v>
      </c>
      <c r="K7420" t="str">
        <f t="shared" si="2798"/>
        <v>000000000000000000</v>
      </c>
      <c r="L7420" t="str">
        <f>T("3146245301")</f>
        <v>3146245301</v>
      </c>
    </row>
    <row r="7421" spans="1:12" x14ac:dyDescent="0.35">
      <c r="A7421" t="str">
        <f t="shared" si="2795"/>
        <v>U.S. MARINE FORCES EUROPE</v>
      </c>
      <c r="B7421" t="str">
        <f t="shared" ref="B7421:B7428" si="2801">T("U S MARINE CORPS FORCES EUROPE")</f>
        <v>U S MARINE CORPS FORCES EUROPE</v>
      </c>
      <c r="C7421" t="str">
        <f t="shared" ref="C7421:C7428" si="2802">T("UNIT 30401")</f>
        <v>UNIT 30401</v>
      </c>
      <c r="D7421" t="str">
        <f t="shared" ref="D7421:D7428" si="2803">T("APO")</f>
        <v>APO</v>
      </c>
      <c r="E7421" t="str">
        <f t="shared" si="2796"/>
        <v>AE</v>
      </c>
      <c r="F7421" t="str">
        <f t="shared" ref="F7421:F7428" si="2804">T("091070401")</f>
        <v>091070401</v>
      </c>
      <c r="G7421" t="str">
        <f>T("MARFOREUR")</f>
        <v>MARFOREUR</v>
      </c>
      <c r="H7421" t="str">
        <f>T("UNIT 30401")</f>
        <v>UNIT 30401</v>
      </c>
      <c r="I7421" t="str">
        <f t="shared" ref="I7421:I7428" si="2805">T("APO")</f>
        <v>APO</v>
      </c>
      <c r="J7421" t="str">
        <f t="shared" si="2797"/>
        <v>AE</v>
      </c>
      <c r="K7421" t="str">
        <f t="shared" si="2798"/>
        <v>000000000000000000</v>
      </c>
      <c r="L7421" t="str">
        <f>T("3144312783")</f>
        <v>3144312783</v>
      </c>
    </row>
    <row r="7422" spans="1:12" x14ac:dyDescent="0.35">
      <c r="A7422" t="str">
        <f t="shared" si="2795"/>
        <v>U.S. MARINE FORCES EUROPE</v>
      </c>
      <c r="B7422" t="str">
        <f t="shared" si="2801"/>
        <v>U S MARINE CORPS FORCES EUROPE</v>
      </c>
      <c r="C7422" t="str">
        <f t="shared" si="2802"/>
        <v>UNIT 30401</v>
      </c>
      <c r="D7422" t="str">
        <f t="shared" si="2803"/>
        <v>APO</v>
      </c>
      <c r="E7422" t="str">
        <f t="shared" si="2796"/>
        <v>AE</v>
      </c>
      <c r="F7422" t="str">
        <f t="shared" si="2804"/>
        <v>091070401</v>
      </c>
      <c r="G7422" t="str">
        <f>T("U S MARINE CORPS FORCES EUROPE")</f>
        <v>U S MARINE CORPS FORCES EUROPE</v>
      </c>
      <c r="H7422" t="str">
        <f>T("UNIT 30401")</f>
        <v>UNIT 30401</v>
      </c>
      <c r="I7422" t="str">
        <f t="shared" si="2805"/>
        <v>APO</v>
      </c>
      <c r="J7422" t="str">
        <f t="shared" si="2797"/>
        <v>AE</v>
      </c>
      <c r="K7422" t="str">
        <f>T("")</f>
        <v/>
      </c>
      <c r="L7422" t="str">
        <f>T("1111111111")</f>
        <v>1111111111</v>
      </c>
    </row>
    <row r="7423" spans="1:12" x14ac:dyDescent="0.35">
      <c r="A7423" t="str">
        <f t="shared" si="2795"/>
        <v>U.S. MARINE FORCES EUROPE</v>
      </c>
      <c r="B7423" t="str">
        <f t="shared" si="2801"/>
        <v>U S MARINE CORPS FORCES EUROPE</v>
      </c>
      <c r="C7423" t="str">
        <f t="shared" si="2802"/>
        <v>UNIT 30401</v>
      </c>
      <c r="D7423" t="str">
        <f t="shared" si="2803"/>
        <v>APO</v>
      </c>
      <c r="E7423" t="str">
        <f t="shared" si="2796"/>
        <v>AE</v>
      </c>
      <c r="F7423" t="str">
        <f t="shared" si="2804"/>
        <v>091070401</v>
      </c>
      <c r="G7423" t="str">
        <f>T("UNIT 30401")</f>
        <v>UNIT 30401</v>
      </c>
      <c r="H7423" t="str">
        <f>T("")</f>
        <v/>
      </c>
      <c r="I7423" t="str">
        <f t="shared" si="2805"/>
        <v>APO</v>
      </c>
      <c r="J7423" t="str">
        <f t="shared" si="2797"/>
        <v>AE</v>
      </c>
      <c r="K7423" t="str">
        <f>T("000000000000000000")</f>
        <v>000000000000000000</v>
      </c>
      <c r="L7423" t="str">
        <f>T("3144312095")</f>
        <v>3144312095</v>
      </c>
    </row>
    <row r="7424" spans="1:12" x14ac:dyDescent="0.35">
      <c r="A7424" t="str">
        <f t="shared" si="2795"/>
        <v>U.S. MARINE FORCES EUROPE</v>
      </c>
      <c r="B7424" t="str">
        <f t="shared" si="2801"/>
        <v>U S MARINE CORPS FORCES EUROPE</v>
      </c>
      <c r="C7424" t="str">
        <f t="shared" si="2802"/>
        <v>UNIT 30401</v>
      </c>
      <c r="D7424" t="str">
        <f t="shared" si="2803"/>
        <v>APO</v>
      </c>
      <c r="E7424" t="str">
        <f t="shared" si="2796"/>
        <v>AE</v>
      </c>
      <c r="F7424" t="str">
        <f t="shared" si="2804"/>
        <v>091070401</v>
      </c>
      <c r="G7424" t="str">
        <f>T("UNIT 30401")</f>
        <v>UNIT 30401</v>
      </c>
      <c r="H7424" t="str">
        <f>T("")</f>
        <v/>
      </c>
      <c r="I7424" t="str">
        <f t="shared" si="2805"/>
        <v>APO</v>
      </c>
      <c r="J7424" t="str">
        <f t="shared" si="2797"/>
        <v>AE</v>
      </c>
      <c r="K7424" t="str">
        <f>T("000000000000000000")</f>
        <v>000000000000000000</v>
      </c>
      <c r="L7424" t="str">
        <f>T("3144312161")</f>
        <v>3144312161</v>
      </c>
    </row>
    <row r="7425" spans="1:12" x14ac:dyDescent="0.35">
      <c r="A7425" t="str">
        <f t="shared" si="2795"/>
        <v>U.S. MARINE FORCES EUROPE</v>
      </c>
      <c r="B7425" t="str">
        <f t="shared" si="2801"/>
        <v>U S MARINE CORPS FORCES EUROPE</v>
      </c>
      <c r="C7425" t="str">
        <f t="shared" si="2802"/>
        <v>UNIT 30401</v>
      </c>
      <c r="D7425" t="str">
        <f t="shared" si="2803"/>
        <v>APO</v>
      </c>
      <c r="E7425" t="str">
        <f t="shared" si="2796"/>
        <v>AE</v>
      </c>
      <c r="F7425" t="str">
        <f t="shared" si="2804"/>
        <v>091070401</v>
      </c>
      <c r="G7425" t="str">
        <f>T("US MARINE CORPS FORCED EUROPE")</f>
        <v>US MARINE CORPS FORCED EUROPE</v>
      </c>
      <c r="H7425" t="str">
        <f>T("UNIT 30401")</f>
        <v>UNIT 30401</v>
      </c>
      <c r="I7425" t="str">
        <f t="shared" si="2805"/>
        <v>APO</v>
      </c>
      <c r="J7425" t="str">
        <f t="shared" si="2797"/>
        <v>AE</v>
      </c>
      <c r="K7425" t="str">
        <f>T("07031152914")</f>
        <v>07031152914</v>
      </c>
      <c r="L7425" t="str">
        <f>T("1111111111")</f>
        <v>1111111111</v>
      </c>
    </row>
    <row r="7426" spans="1:12" x14ac:dyDescent="0.35">
      <c r="A7426" t="str">
        <f t="shared" si="2795"/>
        <v>U.S. MARINE FORCES EUROPE</v>
      </c>
      <c r="B7426" t="str">
        <f t="shared" si="2801"/>
        <v>U S MARINE CORPS FORCES EUROPE</v>
      </c>
      <c r="C7426" t="str">
        <f t="shared" si="2802"/>
        <v>UNIT 30401</v>
      </c>
      <c r="D7426" t="str">
        <f t="shared" si="2803"/>
        <v>APO</v>
      </c>
      <c r="E7426" t="str">
        <f t="shared" si="2796"/>
        <v>AE</v>
      </c>
      <c r="F7426" t="str">
        <f t="shared" si="2804"/>
        <v>091070401</v>
      </c>
      <c r="G7426" t="str">
        <f>T("US MARINE CORPS FORCES EUROPE")</f>
        <v>US MARINE CORPS FORCES EUROPE</v>
      </c>
      <c r="H7426" t="str">
        <f>T("UNIT 30401")</f>
        <v>UNIT 30401</v>
      </c>
      <c r="I7426" t="str">
        <f t="shared" si="2805"/>
        <v>APO</v>
      </c>
      <c r="J7426" t="str">
        <f t="shared" si="2797"/>
        <v>AE</v>
      </c>
      <c r="K7426" t="str">
        <f>T("07031152243")</f>
        <v>07031152243</v>
      </c>
      <c r="L7426" t="str">
        <f>T("1111111111")</f>
        <v>1111111111</v>
      </c>
    </row>
    <row r="7427" spans="1:12" x14ac:dyDescent="0.35">
      <c r="A7427" t="str">
        <f t="shared" si="2795"/>
        <v>U.S. MARINE FORCES EUROPE</v>
      </c>
      <c r="B7427" t="str">
        <f t="shared" si="2801"/>
        <v>U S MARINE CORPS FORCES EUROPE</v>
      </c>
      <c r="C7427" t="str">
        <f t="shared" si="2802"/>
        <v>UNIT 30401</v>
      </c>
      <c r="D7427" t="str">
        <f t="shared" si="2803"/>
        <v>APO</v>
      </c>
      <c r="E7427" t="str">
        <f t="shared" si="2796"/>
        <v>AE</v>
      </c>
      <c r="F7427" t="str">
        <f t="shared" si="2804"/>
        <v>091070401</v>
      </c>
      <c r="G7427" t="str">
        <f>T("US MARINE FORCES EUROPE")</f>
        <v>US MARINE FORCES EUROPE</v>
      </c>
      <c r="H7427" t="str">
        <f>T("UNIT 30401")</f>
        <v>UNIT 30401</v>
      </c>
      <c r="I7427" t="str">
        <f t="shared" si="2805"/>
        <v>APO</v>
      </c>
      <c r="J7427" t="str">
        <f t="shared" si="2797"/>
        <v>AE</v>
      </c>
      <c r="K7427" t="str">
        <f>T("000000000000000000")</f>
        <v>000000000000000000</v>
      </c>
      <c r="L7427" t="str">
        <f>T("3144312225")</f>
        <v>3144312225</v>
      </c>
    </row>
    <row r="7428" spans="1:12" x14ac:dyDescent="0.35">
      <c r="A7428" t="str">
        <f t="shared" si="2795"/>
        <v>U.S. MARINE FORCES EUROPE</v>
      </c>
      <c r="B7428" t="str">
        <f t="shared" si="2801"/>
        <v>U S MARINE CORPS FORCES EUROPE</v>
      </c>
      <c r="C7428" t="str">
        <f t="shared" si="2802"/>
        <v>UNIT 30401</v>
      </c>
      <c r="D7428" t="str">
        <f t="shared" si="2803"/>
        <v>APO</v>
      </c>
      <c r="E7428" t="str">
        <f t="shared" si="2796"/>
        <v>AE</v>
      </c>
      <c r="F7428" t="str">
        <f t="shared" si="2804"/>
        <v>091070401</v>
      </c>
      <c r="G7428" t="str">
        <f>T("US MARINE FORCES EUROPE")</f>
        <v>US MARINE FORCES EUROPE</v>
      </c>
      <c r="H7428" t="str">
        <f>T("UNIT 30401")</f>
        <v>UNIT 30401</v>
      </c>
      <c r="I7428" t="str">
        <f t="shared" si="2805"/>
        <v>APO</v>
      </c>
      <c r="J7428" t="str">
        <f t="shared" si="2797"/>
        <v>AE</v>
      </c>
      <c r="K7428" t="str">
        <f>T("000000000000000000")</f>
        <v>000000000000000000</v>
      </c>
      <c r="L7428" t="str">
        <f>T("3144312248")</f>
        <v>3144312248</v>
      </c>
    </row>
    <row r="7429" spans="1:12" x14ac:dyDescent="0.35">
      <c r="A7429" t="str">
        <f t="shared" ref="A7429:A7440" si="2806">T("TECOM")</f>
        <v>TECOM</v>
      </c>
      <c r="B7429" t="str">
        <f>T("MAGTFTC MCCES B CO")</f>
        <v>MAGTFTC MCCES B CO</v>
      </c>
      <c r="C7429" t="str">
        <f>T("BOX 788251")</f>
        <v>BOX 788251</v>
      </c>
      <c r="D7429" t="str">
        <f>T("TWENTYNINE PALMS")</f>
        <v>TWENTYNINE PALMS</v>
      </c>
      <c r="E7429" t="str">
        <f t="shared" ref="E7429:E7460" si="2807">T("CA")</f>
        <v>CA</v>
      </c>
      <c r="F7429" t="str">
        <f t="shared" ref="F7429:F7440" si="2808">T("922788251")</f>
        <v>922788251</v>
      </c>
      <c r="G7429" t="str">
        <f>T("MAGTFTC MCCES B CO")</f>
        <v>MAGTFTC MCCES B CO</v>
      </c>
      <c r="H7429" t="str">
        <f>T("BOX 788251")</f>
        <v>BOX 788251</v>
      </c>
      <c r="I7429" t="str">
        <f>T("TWENTYNINE PALMS")</f>
        <v>TWENTYNINE PALMS</v>
      </c>
      <c r="J7429" t="str">
        <f t="shared" ref="J7429:J7460" si="2809">T("CA")</f>
        <v>CA</v>
      </c>
      <c r="K7429" t="str">
        <f>T("7608306353")</f>
        <v>7608306353</v>
      </c>
      <c r="L7429" t="str">
        <f>T("7608306441")</f>
        <v>7608306441</v>
      </c>
    </row>
    <row r="7430" spans="1:12" x14ac:dyDescent="0.35">
      <c r="A7430" t="str">
        <f t="shared" si="2806"/>
        <v>TECOM</v>
      </c>
      <c r="B7430" t="str">
        <f>T("MAGTFTC MCCES B CO")</f>
        <v>MAGTFTC MCCES B CO</v>
      </c>
      <c r="C7430" t="str">
        <f>T("BOX 788251")</f>
        <v>BOX 788251</v>
      </c>
      <c r="D7430" t="str">
        <f>T("TWENTYNINE PALMS")</f>
        <v>TWENTYNINE PALMS</v>
      </c>
      <c r="E7430" t="str">
        <f t="shared" si="2807"/>
        <v>CA</v>
      </c>
      <c r="F7430" t="str">
        <f t="shared" si="2808"/>
        <v>922788251</v>
      </c>
      <c r="G7430" t="str">
        <f>T("MCCES B CO")</f>
        <v>MCCES B CO</v>
      </c>
      <c r="H7430" t="str">
        <f>T("BOX 788251")</f>
        <v>BOX 788251</v>
      </c>
      <c r="I7430" t="str">
        <f>T("TWENTYNINE PALMS")</f>
        <v>TWENTYNINE PALMS</v>
      </c>
      <c r="J7430" t="str">
        <f t="shared" si="2809"/>
        <v>CA</v>
      </c>
      <c r="K7430" t="str">
        <f>T("7608306353")</f>
        <v>7608306353</v>
      </c>
      <c r="L7430" t="str">
        <f>T("7608301261")</f>
        <v>7608301261</v>
      </c>
    </row>
    <row r="7431" spans="1:12" x14ac:dyDescent="0.35">
      <c r="A7431" t="str">
        <f t="shared" si="2806"/>
        <v>TECOM</v>
      </c>
      <c r="B7431" t="str">
        <f>T("MCCES A CO")</f>
        <v>MCCES A CO</v>
      </c>
      <c r="C7431" t="str">
        <f>T("MAGTFTC BOX 788251")</f>
        <v>MAGTFTC BOX 788251</v>
      </c>
      <c r="D7431" t="str">
        <f>T("TWENTYNIN PLM")</f>
        <v>TWENTYNIN PLM</v>
      </c>
      <c r="E7431" t="str">
        <f t="shared" si="2807"/>
        <v>CA</v>
      </c>
      <c r="F7431" t="str">
        <f t="shared" si="2808"/>
        <v>922788251</v>
      </c>
      <c r="G7431" t="str">
        <f>T("MCCES A CO")</f>
        <v>MCCES A CO</v>
      </c>
      <c r="H7431" t="str">
        <f>T("MAGTFTC BOX 788251")</f>
        <v>MAGTFTC BOX 788251</v>
      </c>
      <c r="I7431" t="str">
        <f>T("TWENTYNIN PLM")</f>
        <v>TWENTYNIN PLM</v>
      </c>
      <c r="J7431" t="str">
        <f t="shared" si="2809"/>
        <v>CA</v>
      </c>
      <c r="K7431" t="str">
        <f>T("7608306353")</f>
        <v>7608306353</v>
      </c>
      <c r="L7431" t="str">
        <f>T("7608305909")</f>
        <v>7608305909</v>
      </c>
    </row>
    <row r="7432" spans="1:12" x14ac:dyDescent="0.35">
      <c r="A7432" t="str">
        <f t="shared" si="2806"/>
        <v>TECOM</v>
      </c>
      <c r="B7432" t="str">
        <f>T("MCCES A CO")</f>
        <v>MCCES A CO</v>
      </c>
      <c r="C7432" t="str">
        <f>T("MAGTFTC BOX 788251")</f>
        <v>MAGTFTC BOX 788251</v>
      </c>
      <c r="D7432" t="str">
        <f>T("TWENTYNIN PLM")</f>
        <v>TWENTYNIN PLM</v>
      </c>
      <c r="E7432" t="str">
        <f t="shared" si="2807"/>
        <v>CA</v>
      </c>
      <c r="F7432" t="str">
        <f t="shared" si="2808"/>
        <v>922788251</v>
      </c>
      <c r="G7432" t="str">
        <f>T("MCCES A CO")</f>
        <v>MCCES A CO</v>
      </c>
      <c r="H7432" t="str">
        <f>T("MAGTFTC BOX 788251")</f>
        <v>MAGTFTC BOX 788251</v>
      </c>
      <c r="I7432" t="str">
        <f>T("TWENTYNINE PALMS")</f>
        <v>TWENTYNINE PALMS</v>
      </c>
      <c r="J7432" t="str">
        <f t="shared" si="2809"/>
        <v>CA</v>
      </c>
      <c r="K7432" t="str">
        <f>T("000000000000000000")</f>
        <v>000000000000000000</v>
      </c>
      <c r="L7432" t="str">
        <f>T("7608308587")</f>
        <v>7608308587</v>
      </c>
    </row>
    <row r="7433" spans="1:12" x14ac:dyDescent="0.35">
      <c r="A7433" t="str">
        <f t="shared" si="2806"/>
        <v>TECOM</v>
      </c>
      <c r="B7433" t="str">
        <f>T("MCCES C CO")</f>
        <v>MCCES C CO</v>
      </c>
      <c r="C7433" t="str">
        <f>T("MAGTFTC BOX 788251")</f>
        <v>MAGTFTC BOX 788251</v>
      </c>
      <c r="D7433" t="str">
        <f>T("TWENTYNIN PLM")</f>
        <v>TWENTYNIN PLM</v>
      </c>
      <c r="E7433" t="str">
        <f t="shared" si="2807"/>
        <v>CA</v>
      </c>
      <c r="F7433" t="str">
        <f t="shared" si="2808"/>
        <v>922788251</v>
      </c>
      <c r="G7433" t="str">
        <f>T("MCCES C CO")</f>
        <v>MCCES C CO</v>
      </c>
      <c r="H7433" t="str">
        <f>T("MAGTFTC BOX 788251")</f>
        <v>MAGTFTC BOX 788251</v>
      </c>
      <c r="I7433" t="str">
        <f>T("TWENTYNIN PLM")</f>
        <v>TWENTYNIN PLM</v>
      </c>
      <c r="J7433" t="str">
        <f t="shared" si="2809"/>
        <v>CA</v>
      </c>
      <c r="K7433" t="str">
        <f>T("7608306353")</f>
        <v>7608306353</v>
      </c>
      <c r="L7433" t="str">
        <f>T("7608303783")</f>
        <v>7608303783</v>
      </c>
    </row>
    <row r="7434" spans="1:12" x14ac:dyDescent="0.35">
      <c r="A7434" t="str">
        <f t="shared" si="2806"/>
        <v>TECOM</v>
      </c>
      <c r="B7434" t="str">
        <f>T("MCCES C CO")</f>
        <v>MCCES C CO</v>
      </c>
      <c r="C7434" t="str">
        <f>T("MAGTFTC BOX 788251")</f>
        <v>MAGTFTC BOX 788251</v>
      </c>
      <c r="D7434" t="str">
        <f>T("TWENTYNIN PLM")</f>
        <v>TWENTYNIN PLM</v>
      </c>
      <c r="E7434" t="str">
        <f t="shared" si="2807"/>
        <v>CA</v>
      </c>
      <c r="F7434" t="str">
        <f t="shared" si="2808"/>
        <v>922788251</v>
      </c>
      <c r="G7434" t="str">
        <f>T("MCCES C CO")</f>
        <v>MCCES C CO</v>
      </c>
      <c r="H7434" t="str">
        <f>T("MAGTFTC BOX 788251")</f>
        <v>MAGTFTC BOX 788251</v>
      </c>
      <c r="I7434" t="str">
        <f>T("TWENTYNINE PALMS")</f>
        <v>TWENTYNINE PALMS</v>
      </c>
      <c r="J7434" t="str">
        <f t="shared" si="2809"/>
        <v>CA</v>
      </c>
      <c r="K7434" t="str">
        <f>T("7608306353")</f>
        <v>7608306353</v>
      </c>
      <c r="L7434" t="str">
        <f>T("7608303545")</f>
        <v>7608303545</v>
      </c>
    </row>
    <row r="7435" spans="1:12" x14ac:dyDescent="0.35">
      <c r="A7435" t="str">
        <f t="shared" si="2806"/>
        <v>TECOM</v>
      </c>
      <c r="B7435" t="str">
        <f>T("MCCES MAINT")</f>
        <v>MCCES MAINT</v>
      </c>
      <c r="C7435" t="str">
        <f>T("BOX 788251 MAGTFTC")</f>
        <v>BOX 788251 MAGTFTC</v>
      </c>
      <c r="D7435" t="str">
        <f>T("29 PALMS")</f>
        <v>29 PALMS</v>
      </c>
      <c r="E7435" t="str">
        <f t="shared" si="2807"/>
        <v>CA</v>
      </c>
      <c r="F7435" t="str">
        <f t="shared" si="2808"/>
        <v>922788251</v>
      </c>
      <c r="G7435" t="str">
        <f>T("MCCES MAINT")</f>
        <v>MCCES MAINT</v>
      </c>
      <c r="H7435" t="str">
        <f>T("BOX 788251 MAGTFTC")</f>
        <v>BOX 788251 MAGTFTC</v>
      </c>
      <c r="I7435" t="str">
        <f>T("29 PALMS")</f>
        <v>29 PALMS</v>
      </c>
      <c r="J7435" t="str">
        <f t="shared" si="2809"/>
        <v>CA</v>
      </c>
      <c r="K7435" t="str">
        <f>T("760 830 5298")</f>
        <v>760 830 5298</v>
      </c>
      <c r="L7435" t="str">
        <f>T("7608305597")</f>
        <v>7608305597</v>
      </c>
    </row>
    <row r="7436" spans="1:12" x14ac:dyDescent="0.35">
      <c r="A7436" t="str">
        <f t="shared" si="2806"/>
        <v>TECOM</v>
      </c>
      <c r="B7436" t="str">
        <f>T("MCCES MAINT")</f>
        <v>MCCES MAINT</v>
      </c>
      <c r="C7436" t="str">
        <f>T("BOX 788251 MAGTFTC")</f>
        <v>BOX 788251 MAGTFTC</v>
      </c>
      <c r="D7436" t="str">
        <f>T("29 PALMS")</f>
        <v>29 PALMS</v>
      </c>
      <c r="E7436" t="str">
        <f t="shared" si="2807"/>
        <v>CA</v>
      </c>
      <c r="F7436" t="str">
        <f t="shared" si="2808"/>
        <v>922788251</v>
      </c>
      <c r="G7436" t="str">
        <f>T("MCCES MAINTENANCE")</f>
        <v>MCCES MAINTENANCE</v>
      </c>
      <c r="H7436" t="str">
        <f>T("MAGTFTC BOX 788251")</f>
        <v>MAGTFTC BOX 788251</v>
      </c>
      <c r="I7436" t="str">
        <f>T("TWENTYNINE PALMS")</f>
        <v>TWENTYNINE PALMS</v>
      </c>
      <c r="J7436" t="str">
        <f t="shared" si="2809"/>
        <v>CA</v>
      </c>
      <c r="K7436" t="str">
        <f>T("7608306353")</f>
        <v>7608306353</v>
      </c>
      <c r="L7436" t="str">
        <f>T("7608307291")</f>
        <v>7608307291</v>
      </c>
    </row>
    <row r="7437" spans="1:12" x14ac:dyDescent="0.35">
      <c r="A7437" t="str">
        <f t="shared" si="2806"/>
        <v>TECOM</v>
      </c>
      <c r="B7437" t="str">
        <f>T("MCCES MCD")</f>
        <v>MCCES MCD</v>
      </c>
      <c r="C7437" t="str">
        <f>T("MAGTFTC BOX 788251")</f>
        <v>MAGTFTC BOX 788251</v>
      </c>
      <c r="D7437" t="str">
        <f>T("TWENTYNIN PLM")</f>
        <v>TWENTYNIN PLM</v>
      </c>
      <c r="E7437" t="str">
        <f t="shared" si="2807"/>
        <v>CA</v>
      </c>
      <c r="F7437" t="str">
        <f t="shared" si="2808"/>
        <v>922788251</v>
      </c>
      <c r="G7437" t="str">
        <f>T("MCCES MCD")</f>
        <v>MCCES MCD</v>
      </c>
      <c r="H7437" t="str">
        <f>T("MAGTFTC BOX 788251")</f>
        <v>MAGTFTC BOX 788251</v>
      </c>
      <c r="I7437" t="str">
        <f>T("TWENTYNIN PLM")</f>
        <v>TWENTYNIN PLM</v>
      </c>
      <c r="J7437" t="str">
        <f t="shared" si="2809"/>
        <v>CA</v>
      </c>
      <c r="K7437" t="str">
        <f>T("7608306353")</f>
        <v>7608306353</v>
      </c>
      <c r="L7437" t="str">
        <f>T("7608303491")</f>
        <v>7608303491</v>
      </c>
    </row>
    <row r="7438" spans="1:12" x14ac:dyDescent="0.35">
      <c r="A7438" t="str">
        <f t="shared" si="2806"/>
        <v>TECOM</v>
      </c>
      <c r="B7438" t="str">
        <f>T("MCCES SUPPLY")</f>
        <v>MCCES SUPPLY</v>
      </c>
      <c r="C7438" t="str">
        <f>T("MAGTFTC BOX 788251")</f>
        <v>MAGTFTC BOX 788251</v>
      </c>
      <c r="D7438" t="str">
        <f>T("TWENTYNINE PALM")</f>
        <v>TWENTYNINE PALM</v>
      </c>
      <c r="E7438" t="str">
        <f t="shared" si="2807"/>
        <v>CA</v>
      </c>
      <c r="F7438" t="str">
        <f t="shared" si="2808"/>
        <v>922788251</v>
      </c>
      <c r="G7438" t="str">
        <f>T("MCCES SUPPLY")</f>
        <v>MCCES SUPPLY</v>
      </c>
      <c r="H7438" t="str">
        <f>T("BOX 788251")</f>
        <v>BOX 788251</v>
      </c>
      <c r="I7438" t="str">
        <f>T("TWENTYNINE PALMS")</f>
        <v>TWENTYNINE PALMS</v>
      </c>
      <c r="J7438" t="str">
        <f t="shared" si="2809"/>
        <v>CA</v>
      </c>
      <c r="K7438" t="str">
        <f>T("7608306353")</f>
        <v>7608306353</v>
      </c>
      <c r="L7438" t="str">
        <f>T("7608303208")</f>
        <v>7608303208</v>
      </c>
    </row>
    <row r="7439" spans="1:12" x14ac:dyDescent="0.35">
      <c r="A7439" t="str">
        <f t="shared" si="2806"/>
        <v>TECOM</v>
      </c>
      <c r="B7439" t="str">
        <f>T("MCCES SUPPLY")</f>
        <v>MCCES SUPPLY</v>
      </c>
      <c r="C7439" t="str">
        <f>T("MAGTFTC BOX 788251")</f>
        <v>MAGTFTC BOX 788251</v>
      </c>
      <c r="D7439" t="str">
        <f>T("TWENTYNINE PALM")</f>
        <v>TWENTYNINE PALM</v>
      </c>
      <c r="E7439" t="str">
        <f t="shared" si="2807"/>
        <v>CA</v>
      </c>
      <c r="F7439" t="str">
        <f t="shared" si="2808"/>
        <v>922788251</v>
      </c>
      <c r="G7439" t="str">
        <f>T("MCCES SUPPLY")</f>
        <v>MCCES SUPPLY</v>
      </c>
      <c r="H7439" t="str">
        <f>T("MAGTFTC BOX 788251")</f>
        <v>MAGTFTC BOX 788251</v>
      </c>
      <c r="I7439" t="str">
        <f>T("TWENTYNINE PALM")</f>
        <v>TWENTYNINE PALM</v>
      </c>
      <c r="J7439" t="str">
        <f t="shared" si="2809"/>
        <v>CA</v>
      </c>
      <c r="K7439" t="str">
        <f>T("7608306353")</f>
        <v>7608306353</v>
      </c>
      <c r="L7439" t="str">
        <f>T("7608306415")</f>
        <v>7608306415</v>
      </c>
    </row>
    <row r="7440" spans="1:12" x14ac:dyDescent="0.35">
      <c r="A7440" t="str">
        <f t="shared" si="2806"/>
        <v>TECOM</v>
      </c>
      <c r="B7440" t="str">
        <f>T("MCCES SUPPLY")</f>
        <v>MCCES SUPPLY</v>
      </c>
      <c r="C7440" t="str">
        <f>T("MAGTFTC BOX 788251")</f>
        <v>MAGTFTC BOX 788251</v>
      </c>
      <c r="D7440" t="str">
        <f>T("TWENTYNINE PALM")</f>
        <v>TWENTYNINE PALM</v>
      </c>
      <c r="E7440" t="str">
        <f t="shared" si="2807"/>
        <v>CA</v>
      </c>
      <c r="F7440" t="str">
        <f t="shared" si="2808"/>
        <v>922788251</v>
      </c>
      <c r="G7440" t="str">
        <f>T("MCCES SUPPLY")</f>
        <v>MCCES SUPPLY</v>
      </c>
      <c r="H7440" t="str">
        <f>T("MAGTFTC BOX 788251")</f>
        <v>MAGTFTC BOX 788251</v>
      </c>
      <c r="I7440" t="str">
        <f>T("TWENTYNINE PALMS")</f>
        <v>TWENTYNINE PALMS</v>
      </c>
      <c r="J7440" t="str">
        <f t="shared" si="2809"/>
        <v>CA</v>
      </c>
      <c r="K7440" t="str">
        <f>T("7608306353")</f>
        <v>7608306353</v>
      </c>
      <c r="L7440" t="str">
        <f>T("7608303208")</f>
        <v>7608303208</v>
      </c>
    </row>
    <row r="7441" spans="1:12" x14ac:dyDescent="0.35">
      <c r="A7441" t="str">
        <f t="shared" ref="A7441:A7472" si="2810">T("MCAGCC")</f>
        <v>MCAGCC</v>
      </c>
      <c r="B7441" t="str">
        <f>T("AC/S G-3 COMBAT CAMERA")</f>
        <v>AC/S G-3 COMBAT CAMERA</v>
      </c>
      <c r="C7441" t="str">
        <f>T("MCAGCC BOX 788103")</f>
        <v>MCAGCC BOX 788103</v>
      </c>
      <c r="D7441" t="str">
        <f>T("TWENTYNINE PALMS")</f>
        <v>TWENTYNINE PALMS</v>
      </c>
      <c r="E7441" t="str">
        <f t="shared" si="2807"/>
        <v>CA</v>
      </c>
      <c r="F7441" t="str">
        <f>T("922788103")</f>
        <v>922788103</v>
      </c>
      <c r="G7441" t="str">
        <f>T("AC/S G-3 COMBAT CAMERA")</f>
        <v>AC/S G-3 COMBAT CAMERA</v>
      </c>
      <c r="H7441" t="str">
        <f>T("MCAGCC BOX 788103")</f>
        <v>MCAGCC BOX 788103</v>
      </c>
      <c r="I7441" t="str">
        <f>T("TWENTYNINE PALMS")</f>
        <v>TWENTYNINE PALMS</v>
      </c>
      <c r="J7441" t="str">
        <f t="shared" si="2809"/>
        <v>CA</v>
      </c>
      <c r="K7441" t="str">
        <f>T("7608305298")</f>
        <v>7608305298</v>
      </c>
      <c r="L7441" t="str">
        <f>T("7608306477")</f>
        <v>7608306477</v>
      </c>
    </row>
    <row r="7442" spans="1:12" x14ac:dyDescent="0.35">
      <c r="A7442" t="str">
        <f t="shared" si="2810"/>
        <v>MCAGCC</v>
      </c>
      <c r="B7442" t="str">
        <f>T("AC/S G-3 COMBAT CAMERA")</f>
        <v>AC/S G-3 COMBAT CAMERA</v>
      </c>
      <c r="C7442" t="str">
        <f>T("MCAGCC BOX 788103")</f>
        <v>MCAGCC BOX 788103</v>
      </c>
      <c r="D7442" t="str">
        <f>T("TWENTYNINE PALMS")</f>
        <v>TWENTYNINE PALMS</v>
      </c>
      <c r="E7442" t="str">
        <f t="shared" si="2807"/>
        <v>CA</v>
      </c>
      <c r="F7442" t="str">
        <f>T("922788103")</f>
        <v>922788103</v>
      </c>
      <c r="G7442" t="str">
        <f>T("COMBAT CAMERA")</f>
        <v>COMBAT CAMERA</v>
      </c>
      <c r="H7442" t="str">
        <f>T("MCAGCC BOX 788103")</f>
        <v>MCAGCC BOX 788103</v>
      </c>
      <c r="I7442" t="str">
        <f>T("TWENTYNINE PALMS")</f>
        <v>TWENTYNINE PALMS</v>
      </c>
      <c r="J7442" t="str">
        <f t="shared" si="2809"/>
        <v>CA</v>
      </c>
      <c r="K7442" t="str">
        <f>T("7608306353")</f>
        <v>7608306353</v>
      </c>
      <c r="L7442" t="str">
        <f>T("7608306747")</f>
        <v>7608306747</v>
      </c>
    </row>
    <row r="7443" spans="1:12" x14ac:dyDescent="0.35">
      <c r="A7443" t="str">
        <f t="shared" si="2810"/>
        <v>MCAGCC</v>
      </c>
      <c r="B7443" t="str">
        <f t="shared" ref="B7443:B7452" si="2811">T("AC/S G-4 PWD")</f>
        <v>AC/S G-4 PWD</v>
      </c>
      <c r="C7443" t="str">
        <f t="shared" ref="C7443:C7452" si="2812">T("MCAGCC BOX 788104")</f>
        <v>MCAGCC BOX 788104</v>
      </c>
      <c r="D7443" t="str">
        <f t="shared" ref="D7443:D7452" si="2813">T("TWENTYNIN PLM")</f>
        <v>TWENTYNIN PLM</v>
      </c>
      <c r="E7443" t="str">
        <f t="shared" si="2807"/>
        <v>CA</v>
      </c>
      <c r="F7443" t="str">
        <f t="shared" ref="F7443:F7452" si="2814">T("922788104")</f>
        <v>922788104</v>
      </c>
      <c r="G7443" t="str">
        <f>T("AC/S G-4 PWD")</f>
        <v>AC/S G-4 PWD</v>
      </c>
      <c r="H7443" t="str">
        <f t="shared" ref="H7443:H7452" si="2815">T("MCAGCC BOX 788104")</f>
        <v>MCAGCC BOX 788104</v>
      </c>
      <c r="I7443" t="str">
        <f>T("TWENTYNIN PLM")</f>
        <v>TWENTYNIN PLM</v>
      </c>
      <c r="J7443" t="str">
        <f t="shared" si="2809"/>
        <v>CA</v>
      </c>
      <c r="K7443" t="str">
        <f>T("7608306353")</f>
        <v>7608306353</v>
      </c>
      <c r="L7443" t="str">
        <f>T("7608305130")</f>
        <v>7608305130</v>
      </c>
    </row>
    <row r="7444" spans="1:12" x14ac:dyDescent="0.35">
      <c r="A7444" t="str">
        <f t="shared" si="2810"/>
        <v>MCAGCC</v>
      </c>
      <c r="B7444" t="str">
        <f t="shared" si="2811"/>
        <v>AC/S G-4 PWD</v>
      </c>
      <c r="C7444" t="str">
        <f t="shared" si="2812"/>
        <v>MCAGCC BOX 788104</v>
      </c>
      <c r="D7444" t="str">
        <f t="shared" si="2813"/>
        <v>TWENTYNIN PLM</v>
      </c>
      <c r="E7444" t="str">
        <f t="shared" si="2807"/>
        <v>CA</v>
      </c>
      <c r="F7444" t="str">
        <f t="shared" si="2814"/>
        <v>922788104</v>
      </c>
      <c r="G7444" t="str">
        <f>T("AC/S G-4 PWD")</f>
        <v>AC/S G-4 PWD</v>
      </c>
      <c r="H7444" t="str">
        <f t="shared" si="2815"/>
        <v>MCAGCC BOX 788104</v>
      </c>
      <c r="I7444" t="str">
        <f t="shared" ref="I7444:I7458" si="2816">T("TWENTYNINE PALMS")</f>
        <v>TWENTYNINE PALMS</v>
      </c>
      <c r="J7444" t="str">
        <f t="shared" si="2809"/>
        <v>CA</v>
      </c>
      <c r="K7444" t="str">
        <f>T("760 830-5298")</f>
        <v>760 830-5298</v>
      </c>
      <c r="L7444" t="str">
        <f>T("7608306654")</f>
        <v>7608306654</v>
      </c>
    </row>
    <row r="7445" spans="1:12" x14ac:dyDescent="0.35">
      <c r="A7445" t="str">
        <f t="shared" si="2810"/>
        <v>MCAGCC</v>
      </c>
      <c r="B7445" t="str">
        <f t="shared" si="2811"/>
        <v>AC/S G-4 PWD</v>
      </c>
      <c r="C7445" t="str">
        <f t="shared" si="2812"/>
        <v>MCAGCC BOX 788104</v>
      </c>
      <c r="D7445" t="str">
        <f t="shared" si="2813"/>
        <v>TWENTYNIN PLM</v>
      </c>
      <c r="E7445" t="str">
        <f t="shared" si="2807"/>
        <v>CA</v>
      </c>
      <c r="F7445" t="str">
        <f t="shared" si="2814"/>
        <v>922788104</v>
      </c>
      <c r="G7445" t="str">
        <f t="shared" ref="G7445:G7452" si="2817">T("PWD")</f>
        <v>PWD</v>
      </c>
      <c r="H7445" t="str">
        <f t="shared" si="2815"/>
        <v>MCAGCC BOX 788104</v>
      </c>
      <c r="I7445" t="str">
        <f t="shared" si="2816"/>
        <v>TWENTYNINE PALMS</v>
      </c>
      <c r="J7445" t="str">
        <f t="shared" si="2809"/>
        <v>CA</v>
      </c>
      <c r="K7445" t="str">
        <f>T("7308306353")</f>
        <v>7308306353</v>
      </c>
      <c r="L7445" t="str">
        <f>T("7608308837")</f>
        <v>7608308837</v>
      </c>
    </row>
    <row r="7446" spans="1:12" x14ac:dyDescent="0.35">
      <c r="A7446" t="str">
        <f t="shared" si="2810"/>
        <v>MCAGCC</v>
      </c>
      <c r="B7446" t="str">
        <f t="shared" si="2811"/>
        <v>AC/S G-4 PWD</v>
      </c>
      <c r="C7446" t="str">
        <f t="shared" si="2812"/>
        <v>MCAGCC BOX 788104</v>
      </c>
      <c r="D7446" t="str">
        <f t="shared" si="2813"/>
        <v>TWENTYNIN PLM</v>
      </c>
      <c r="E7446" t="str">
        <f t="shared" si="2807"/>
        <v>CA</v>
      </c>
      <c r="F7446" t="str">
        <f t="shared" si="2814"/>
        <v>922788104</v>
      </c>
      <c r="G7446" t="str">
        <f t="shared" si="2817"/>
        <v>PWD</v>
      </c>
      <c r="H7446" t="str">
        <f t="shared" si="2815"/>
        <v>MCAGCC BOX 788104</v>
      </c>
      <c r="I7446" t="str">
        <f t="shared" si="2816"/>
        <v>TWENTYNINE PALMS</v>
      </c>
      <c r="J7446" t="str">
        <f t="shared" si="2809"/>
        <v>CA</v>
      </c>
      <c r="K7446" t="str">
        <f t="shared" ref="K7446:K7452" si="2818">T("7608306353")</f>
        <v>7608306353</v>
      </c>
      <c r="L7446" t="str">
        <f>T("7608303072")</f>
        <v>7608303072</v>
      </c>
    </row>
    <row r="7447" spans="1:12" x14ac:dyDescent="0.35">
      <c r="A7447" t="str">
        <f t="shared" si="2810"/>
        <v>MCAGCC</v>
      </c>
      <c r="B7447" t="str">
        <f t="shared" si="2811"/>
        <v>AC/S G-4 PWD</v>
      </c>
      <c r="C7447" t="str">
        <f t="shared" si="2812"/>
        <v>MCAGCC BOX 788104</v>
      </c>
      <c r="D7447" t="str">
        <f t="shared" si="2813"/>
        <v>TWENTYNIN PLM</v>
      </c>
      <c r="E7447" t="str">
        <f t="shared" si="2807"/>
        <v>CA</v>
      </c>
      <c r="F7447" t="str">
        <f t="shared" si="2814"/>
        <v>922788104</v>
      </c>
      <c r="G7447" t="str">
        <f t="shared" si="2817"/>
        <v>PWD</v>
      </c>
      <c r="H7447" t="str">
        <f t="shared" si="2815"/>
        <v>MCAGCC BOX 788104</v>
      </c>
      <c r="I7447" t="str">
        <f t="shared" si="2816"/>
        <v>TWENTYNINE PALMS</v>
      </c>
      <c r="J7447" t="str">
        <f t="shared" si="2809"/>
        <v>CA</v>
      </c>
      <c r="K7447" t="str">
        <f t="shared" si="2818"/>
        <v>7608306353</v>
      </c>
      <c r="L7447" t="str">
        <f>T("7608304226")</f>
        <v>7608304226</v>
      </c>
    </row>
    <row r="7448" spans="1:12" x14ac:dyDescent="0.35">
      <c r="A7448" t="str">
        <f t="shared" si="2810"/>
        <v>MCAGCC</v>
      </c>
      <c r="B7448" t="str">
        <f t="shared" si="2811"/>
        <v>AC/S G-4 PWD</v>
      </c>
      <c r="C7448" t="str">
        <f t="shared" si="2812"/>
        <v>MCAGCC BOX 788104</v>
      </c>
      <c r="D7448" t="str">
        <f t="shared" si="2813"/>
        <v>TWENTYNIN PLM</v>
      </c>
      <c r="E7448" t="str">
        <f t="shared" si="2807"/>
        <v>CA</v>
      </c>
      <c r="F7448" t="str">
        <f t="shared" si="2814"/>
        <v>922788104</v>
      </c>
      <c r="G7448" t="str">
        <f t="shared" si="2817"/>
        <v>PWD</v>
      </c>
      <c r="H7448" t="str">
        <f t="shared" si="2815"/>
        <v>MCAGCC BOX 788104</v>
      </c>
      <c r="I7448" t="str">
        <f t="shared" si="2816"/>
        <v>TWENTYNINE PALMS</v>
      </c>
      <c r="J7448" t="str">
        <f t="shared" si="2809"/>
        <v>CA</v>
      </c>
      <c r="K7448" t="str">
        <f t="shared" si="2818"/>
        <v>7608306353</v>
      </c>
      <c r="L7448" t="str">
        <f>T("7608304622")</f>
        <v>7608304622</v>
      </c>
    </row>
    <row r="7449" spans="1:12" x14ac:dyDescent="0.35">
      <c r="A7449" t="str">
        <f t="shared" si="2810"/>
        <v>MCAGCC</v>
      </c>
      <c r="B7449" t="str">
        <f t="shared" si="2811"/>
        <v>AC/S G-4 PWD</v>
      </c>
      <c r="C7449" t="str">
        <f t="shared" si="2812"/>
        <v>MCAGCC BOX 788104</v>
      </c>
      <c r="D7449" t="str">
        <f t="shared" si="2813"/>
        <v>TWENTYNIN PLM</v>
      </c>
      <c r="E7449" t="str">
        <f t="shared" si="2807"/>
        <v>CA</v>
      </c>
      <c r="F7449" t="str">
        <f t="shared" si="2814"/>
        <v>922788104</v>
      </c>
      <c r="G7449" t="str">
        <f t="shared" si="2817"/>
        <v>PWD</v>
      </c>
      <c r="H7449" t="str">
        <f t="shared" si="2815"/>
        <v>MCAGCC BOX 788104</v>
      </c>
      <c r="I7449" t="str">
        <f t="shared" si="2816"/>
        <v>TWENTYNINE PALMS</v>
      </c>
      <c r="J7449" t="str">
        <f t="shared" si="2809"/>
        <v>CA</v>
      </c>
      <c r="K7449" t="str">
        <f t="shared" si="2818"/>
        <v>7608306353</v>
      </c>
      <c r="L7449" t="str">
        <f>T("7608306271")</f>
        <v>7608306271</v>
      </c>
    </row>
    <row r="7450" spans="1:12" x14ac:dyDescent="0.35">
      <c r="A7450" t="str">
        <f t="shared" si="2810"/>
        <v>MCAGCC</v>
      </c>
      <c r="B7450" t="str">
        <f t="shared" si="2811"/>
        <v>AC/S G-4 PWD</v>
      </c>
      <c r="C7450" t="str">
        <f t="shared" si="2812"/>
        <v>MCAGCC BOX 788104</v>
      </c>
      <c r="D7450" t="str">
        <f t="shared" si="2813"/>
        <v>TWENTYNIN PLM</v>
      </c>
      <c r="E7450" t="str">
        <f t="shared" si="2807"/>
        <v>CA</v>
      </c>
      <c r="F7450" t="str">
        <f t="shared" si="2814"/>
        <v>922788104</v>
      </c>
      <c r="G7450" t="str">
        <f t="shared" si="2817"/>
        <v>PWD</v>
      </c>
      <c r="H7450" t="str">
        <f t="shared" si="2815"/>
        <v>MCAGCC BOX 788104</v>
      </c>
      <c r="I7450" t="str">
        <f t="shared" si="2816"/>
        <v>TWENTYNINE PALMS</v>
      </c>
      <c r="J7450" t="str">
        <f t="shared" si="2809"/>
        <v>CA</v>
      </c>
      <c r="K7450" t="str">
        <f t="shared" si="2818"/>
        <v>7608306353</v>
      </c>
      <c r="L7450" t="str">
        <f>T("7608306880")</f>
        <v>7608306880</v>
      </c>
    </row>
    <row r="7451" spans="1:12" x14ac:dyDescent="0.35">
      <c r="A7451" t="str">
        <f t="shared" si="2810"/>
        <v>MCAGCC</v>
      </c>
      <c r="B7451" t="str">
        <f t="shared" si="2811"/>
        <v>AC/S G-4 PWD</v>
      </c>
      <c r="C7451" t="str">
        <f t="shared" si="2812"/>
        <v>MCAGCC BOX 788104</v>
      </c>
      <c r="D7451" t="str">
        <f t="shared" si="2813"/>
        <v>TWENTYNIN PLM</v>
      </c>
      <c r="E7451" t="str">
        <f t="shared" si="2807"/>
        <v>CA</v>
      </c>
      <c r="F7451" t="str">
        <f t="shared" si="2814"/>
        <v>922788104</v>
      </c>
      <c r="G7451" t="str">
        <f t="shared" si="2817"/>
        <v>PWD</v>
      </c>
      <c r="H7451" t="str">
        <f t="shared" si="2815"/>
        <v>MCAGCC BOX 788104</v>
      </c>
      <c r="I7451" t="str">
        <f t="shared" si="2816"/>
        <v>TWENTYNINE PALMS</v>
      </c>
      <c r="J7451" t="str">
        <f t="shared" si="2809"/>
        <v>CA</v>
      </c>
      <c r="K7451" t="str">
        <f t="shared" si="2818"/>
        <v>7608306353</v>
      </c>
      <c r="L7451" t="str">
        <f>T("7608308646")</f>
        <v>7608308646</v>
      </c>
    </row>
    <row r="7452" spans="1:12" x14ac:dyDescent="0.35">
      <c r="A7452" t="str">
        <f t="shared" si="2810"/>
        <v>MCAGCC</v>
      </c>
      <c r="B7452" t="str">
        <f t="shared" si="2811"/>
        <v>AC/S G-4 PWD</v>
      </c>
      <c r="C7452" t="str">
        <f t="shared" si="2812"/>
        <v>MCAGCC BOX 788104</v>
      </c>
      <c r="D7452" t="str">
        <f t="shared" si="2813"/>
        <v>TWENTYNIN PLM</v>
      </c>
      <c r="E7452" t="str">
        <f t="shared" si="2807"/>
        <v>CA</v>
      </c>
      <c r="F7452" t="str">
        <f t="shared" si="2814"/>
        <v>922788104</v>
      </c>
      <c r="G7452" t="str">
        <f t="shared" si="2817"/>
        <v>PWD</v>
      </c>
      <c r="H7452" t="str">
        <f t="shared" si="2815"/>
        <v>MCAGCC BOX 788104</v>
      </c>
      <c r="I7452" t="str">
        <f t="shared" si="2816"/>
        <v>TWENTYNINE PALMS</v>
      </c>
      <c r="J7452" t="str">
        <f t="shared" si="2809"/>
        <v>CA</v>
      </c>
      <c r="K7452" t="str">
        <f t="shared" si="2818"/>
        <v>7608306353</v>
      </c>
      <c r="L7452" t="str">
        <f>T("7608308647")</f>
        <v>7608308647</v>
      </c>
    </row>
    <row r="7453" spans="1:12" x14ac:dyDescent="0.35">
      <c r="A7453" t="str">
        <f t="shared" si="2810"/>
        <v>MCAGCC</v>
      </c>
      <c r="B7453" t="str">
        <f>T("AC/S G-7 CENTER SAFETY")</f>
        <v>AC/S G-7 CENTER SAFETY</v>
      </c>
      <c r="C7453" t="str">
        <f>T("MCAGCC BOX 788107")</f>
        <v>MCAGCC BOX 788107</v>
      </c>
      <c r="D7453" t="str">
        <f>T("TWENTYNINE PALMS")</f>
        <v>TWENTYNINE PALMS</v>
      </c>
      <c r="E7453" t="str">
        <f t="shared" si="2807"/>
        <v>CA</v>
      </c>
      <c r="F7453" t="str">
        <f>T("922788107")</f>
        <v>922788107</v>
      </c>
      <c r="G7453" t="str">
        <f>T("AC/S G-7 CENTER SAFETY")</f>
        <v>AC/S G-7 CENTER SAFETY</v>
      </c>
      <c r="H7453" t="str">
        <f>T("MCAGCC BOX 788107")</f>
        <v>MCAGCC BOX 788107</v>
      </c>
      <c r="I7453" t="str">
        <f t="shared" si="2816"/>
        <v>TWENTYNINE PALMS</v>
      </c>
      <c r="J7453" t="str">
        <f t="shared" si="2809"/>
        <v>CA</v>
      </c>
      <c r="K7453" t="str">
        <f>T("760 830 5298")</f>
        <v>760 830 5298</v>
      </c>
      <c r="L7453" t="str">
        <f>T("7608308465")</f>
        <v>7608308465</v>
      </c>
    </row>
    <row r="7454" spans="1:12" x14ac:dyDescent="0.35">
      <c r="A7454" t="str">
        <f t="shared" si="2810"/>
        <v>MCAGCC</v>
      </c>
      <c r="B7454" t="str">
        <f>T("AC/S G-7 CENTER SAFETY")</f>
        <v>AC/S G-7 CENTER SAFETY</v>
      </c>
      <c r="C7454" t="str">
        <f>T("MCAGCC BOX 788107")</f>
        <v>MCAGCC BOX 788107</v>
      </c>
      <c r="D7454" t="str">
        <f>T("TWENTYNINE PALMS")</f>
        <v>TWENTYNINE PALMS</v>
      </c>
      <c r="E7454" t="str">
        <f t="shared" si="2807"/>
        <v>CA</v>
      </c>
      <c r="F7454" t="str">
        <f>T("922788107")</f>
        <v>922788107</v>
      </c>
      <c r="G7454" t="str">
        <f>T("CENTER SAFETY")</f>
        <v>CENTER SAFETY</v>
      </c>
      <c r="H7454" t="str">
        <f>T("MCAGCC BOX 788107")</f>
        <v>MCAGCC BOX 788107</v>
      </c>
      <c r="I7454" t="str">
        <f t="shared" si="2816"/>
        <v>TWENTYNINE PALMS</v>
      </c>
      <c r="J7454" t="str">
        <f t="shared" si="2809"/>
        <v>CA</v>
      </c>
      <c r="K7454" t="str">
        <f>T("7608306353")</f>
        <v>7608306353</v>
      </c>
      <c r="L7454" t="str">
        <f>T("7608304232")</f>
        <v>7608304232</v>
      </c>
    </row>
    <row r="7455" spans="1:12" x14ac:dyDescent="0.35">
      <c r="A7455" t="str">
        <f t="shared" si="2810"/>
        <v>MCAGCC</v>
      </c>
      <c r="B7455" t="str">
        <f>T("BUSINESS PERFORMANCE OFFICE")</f>
        <v>BUSINESS PERFORMANCE OFFICE</v>
      </c>
      <c r="C7455" t="str">
        <f>T("MCAGCC PO BOX 788350")</f>
        <v>MCAGCC PO BOX 788350</v>
      </c>
      <c r="D7455" t="str">
        <f>T("TWENTYNINE PALMS")</f>
        <v>TWENTYNINE PALMS</v>
      </c>
      <c r="E7455" t="str">
        <f t="shared" si="2807"/>
        <v>CA</v>
      </c>
      <c r="F7455" t="str">
        <f>T("922788350")</f>
        <v>922788350</v>
      </c>
      <c r="G7455" t="str">
        <f>T("BUSINESS PERFORMANCE OFFICE")</f>
        <v>BUSINESS PERFORMANCE OFFICE</v>
      </c>
      <c r="H7455" t="str">
        <f>T("MCAGCC BOX 788350")</f>
        <v>MCAGCC BOX 788350</v>
      </c>
      <c r="I7455" t="str">
        <f t="shared" si="2816"/>
        <v>TWENTYNINE PALMS</v>
      </c>
      <c r="J7455" t="str">
        <f t="shared" si="2809"/>
        <v>CA</v>
      </c>
      <c r="K7455" t="str">
        <f>T("7608306353")</f>
        <v>7608306353</v>
      </c>
      <c r="L7455" t="str">
        <f>T("7608301521")</f>
        <v>7608301521</v>
      </c>
    </row>
    <row r="7456" spans="1:12" x14ac:dyDescent="0.35">
      <c r="A7456" t="str">
        <f t="shared" si="2810"/>
        <v>MCAGCC</v>
      </c>
      <c r="B7456" t="str">
        <f>T("BUSINESS PERFORMANCE OFFICE")</f>
        <v>BUSINESS PERFORMANCE OFFICE</v>
      </c>
      <c r="C7456" t="str">
        <f>T("MCAGCC PO BOX 788350")</f>
        <v>MCAGCC PO BOX 788350</v>
      </c>
      <c r="D7456" t="str">
        <f>T("TWENTYNINE PALMS")</f>
        <v>TWENTYNINE PALMS</v>
      </c>
      <c r="E7456" t="str">
        <f t="shared" si="2807"/>
        <v>CA</v>
      </c>
      <c r="F7456" t="str">
        <f>T("922788350")</f>
        <v>922788350</v>
      </c>
      <c r="G7456" t="str">
        <f>T("BUSINESS PERFORMANCE OFFICE")</f>
        <v>BUSINESS PERFORMANCE OFFICE</v>
      </c>
      <c r="H7456" t="str">
        <f>T("MCAGCC PO BOX 788350")</f>
        <v>MCAGCC PO BOX 788350</v>
      </c>
      <c r="I7456" t="str">
        <f t="shared" si="2816"/>
        <v>TWENTYNINE PALMS</v>
      </c>
      <c r="J7456" t="str">
        <f t="shared" si="2809"/>
        <v>CA</v>
      </c>
      <c r="K7456" t="str">
        <f>T("7608305298")</f>
        <v>7608305298</v>
      </c>
      <c r="L7456" t="str">
        <f>T("7608305140")</f>
        <v>7608305140</v>
      </c>
    </row>
    <row r="7457" spans="1:12" x14ac:dyDescent="0.35">
      <c r="A7457" t="str">
        <f t="shared" si="2810"/>
        <v>MCAGCC</v>
      </c>
      <c r="B7457" t="str">
        <f>T("BUSINESS PERFORMANCE OFFICE")</f>
        <v>BUSINESS PERFORMANCE OFFICE</v>
      </c>
      <c r="C7457" t="str">
        <f>T("MCAGCC PO BOX 788350")</f>
        <v>MCAGCC PO BOX 788350</v>
      </c>
      <c r="D7457" t="str">
        <f>T("TWENTYNINE PALMS")</f>
        <v>TWENTYNINE PALMS</v>
      </c>
      <c r="E7457" t="str">
        <f t="shared" si="2807"/>
        <v>CA</v>
      </c>
      <c r="F7457" t="str">
        <f>T("922788350")</f>
        <v>922788350</v>
      </c>
      <c r="G7457" t="str">
        <f>T("BUSINESS PERFORMANCE OFFICE")</f>
        <v>BUSINESS PERFORMANCE OFFICE</v>
      </c>
      <c r="H7457" t="str">
        <f>T("MCAGCC PO BOX 788350")</f>
        <v>MCAGCC PO BOX 788350</v>
      </c>
      <c r="I7457" t="str">
        <f t="shared" si="2816"/>
        <v>TWENTYNINE PALMS</v>
      </c>
      <c r="J7457" t="str">
        <f t="shared" si="2809"/>
        <v>CA</v>
      </c>
      <c r="K7457" t="str">
        <f>T("7608306353")</f>
        <v>7608306353</v>
      </c>
      <c r="L7457" t="str">
        <f>T("7608301186")</f>
        <v>7608301186</v>
      </c>
    </row>
    <row r="7458" spans="1:12" x14ac:dyDescent="0.35">
      <c r="A7458" t="str">
        <f t="shared" si="2810"/>
        <v>MCAGCC</v>
      </c>
      <c r="B7458" t="str">
        <f>T("CMSC O&amp;M")</f>
        <v>CMSC O&amp;M</v>
      </c>
      <c r="C7458" t="str">
        <f>T("MCAGCC BOX 788109")</f>
        <v>MCAGCC BOX 788109</v>
      </c>
      <c r="D7458" t="str">
        <f>T("TWENTYNINE PALM")</f>
        <v>TWENTYNINE PALM</v>
      </c>
      <c r="E7458" t="str">
        <f t="shared" si="2807"/>
        <v>CA</v>
      </c>
      <c r="F7458" t="str">
        <f>T("922788109")</f>
        <v>922788109</v>
      </c>
      <c r="G7458" t="str">
        <f>T("CMSC 0&amp;M")</f>
        <v>CMSC 0&amp;M</v>
      </c>
      <c r="H7458" t="str">
        <f>T("MCAGCC BOX 788109")</f>
        <v>MCAGCC BOX 788109</v>
      </c>
      <c r="I7458" t="str">
        <f t="shared" si="2816"/>
        <v>TWENTYNINE PALMS</v>
      </c>
      <c r="J7458" t="str">
        <f t="shared" si="2809"/>
        <v>CA</v>
      </c>
      <c r="K7458" t="str">
        <f>T("760 830-6353")</f>
        <v>760 830-6353</v>
      </c>
      <c r="L7458" t="str">
        <f>T("7608306446")</f>
        <v>7608306446</v>
      </c>
    </row>
    <row r="7459" spans="1:12" x14ac:dyDescent="0.35">
      <c r="A7459" t="str">
        <f t="shared" si="2810"/>
        <v>MCAGCC</v>
      </c>
      <c r="B7459" t="str">
        <f>T("CMSC O&amp;M")</f>
        <v>CMSC O&amp;M</v>
      </c>
      <c r="C7459" t="str">
        <f>T("MCAGCC BOX 788109")</f>
        <v>MCAGCC BOX 788109</v>
      </c>
      <c r="D7459" t="str">
        <f>T("TWENTYNINE PALM")</f>
        <v>TWENTYNINE PALM</v>
      </c>
      <c r="E7459" t="str">
        <f t="shared" si="2807"/>
        <v>CA</v>
      </c>
      <c r="F7459" t="str">
        <f>T("922788109")</f>
        <v>922788109</v>
      </c>
      <c r="G7459" t="str">
        <f>T("CMSC O&amp;M")</f>
        <v>CMSC O&amp;M</v>
      </c>
      <c r="H7459" t="str">
        <f>T("MCAGCC BOX 788109")</f>
        <v>MCAGCC BOX 788109</v>
      </c>
      <c r="I7459" t="str">
        <f>T("TWENTYNINE PALM")</f>
        <v>TWENTYNINE PALM</v>
      </c>
      <c r="J7459" t="str">
        <f t="shared" si="2809"/>
        <v>CA</v>
      </c>
      <c r="K7459" t="str">
        <f>T("7608306353")</f>
        <v>7608306353</v>
      </c>
      <c r="L7459" t="str">
        <f>T("7608303032")</f>
        <v>7608303032</v>
      </c>
    </row>
    <row r="7460" spans="1:12" x14ac:dyDescent="0.35">
      <c r="A7460" t="str">
        <f t="shared" si="2810"/>
        <v>MCAGCC</v>
      </c>
      <c r="B7460" t="str">
        <f>T("CMSC O&amp;M")</f>
        <v>CMSC O&amp;M</v>
      </c>
      <c r="C7460" t="str">
        <f>T("MCAGCC BOX 788109")</f>
        <v>MCAGCC BOX 788109</v>
      </c>
      <c r="D7460" t="str">
        <f>T("TWENTYNINE PALM")</f>
        <v>TWENTYNINE PALM</v>
      </c>
      <c r="E7460" t="str">
        <f t="shared" si="2807"/>
        <v>CA</v>
      </c>
      <c r="F7460" t="str">
        <f>T("922788109")</f>
        <v>922788109</v>
      </c>
      <c r="G7460" t="str">
        <f>T("CMSC OM")</f>
        <v>CMSC OM</v>
      </c>
      <c r="H7460" t="str">
        <f>T("MCAGCC BOX 788109")</f>
        <v>MCAGCC BOX 788109</v>
      </c>
      <c r="I7460" t="str">
        <f t="shared" ref="I7460:I7465" si="2819">T("TWENTYNINE PALMS")</f>
        <v>TWENTYNINE PALMS</v>
      </c>
      <c r="J7460" t="str">
        <f t="shared" si="2809"/>
        <v>CA</v>
      </c>
      <c r="K7460" t="str">
        <f>T("7608306353")</f>
        <v>7608306353</v>
      </c>
      <c r="L7460" t="str">
        <f>T("7608306901")</f>
        <v>7608306901</v>
      </c>
    </row>
    <row r="7461" spans="1:12" x14ac:dyDescent="0.35">
      <c r="A7461" t="str">
        <f t="shared" si="2810"/>
        <v>MCAGCC</v>
      </c>
      <c r="B7461" t="str">
        <f>T("CMSC O&amp;M")</f>
        <v>CMSC O&amp;M</v>
      </c>
      <c r="C7461" t="str">
        <f>T("MCAGCC BOX 788109")</f>
        <v>MCAGCC BOX 788109</v>
      </c>
      <c r="D7461" t="str">
        <f>T("TWENTYNINE PALM")</f>
        <v>TWENTYNINE PALM</v>
      </c>
      <c r="E7461" t="str">
        <f t="shared" ref="E7461:E7492" si="2820">T("CA")</f>
        <v>CA</v>
      </c>
      <c r="F7461" t="str">
        <f>T("922788109")</f>
        <v>922788109</v>
      </c>
      <c r="G7461" t="str">
        <f>T("CMSC OM")</f>
        <v>CMSC OM</v>
      </c>
      <c r="H7461" t="str">
        <f>T("MCAGCC BOX 788109")</f>
        <v>MCAGCC BOX 788109</v>
      </c>
      <c r="I7461" t="str">
        <f t="shared" si="2819"/>
        <v>TWENTYNINE PALMS</v>
      </c>
      <c r="J7461" t="str">
        <f t="shared" ref="J7461:J7492" si="2821">T("CA")</f>
        <v>CA</v>
      </c>
      <c r="K7461" t="str">
        <f>T("7608306353")</f>
        <v>7608306353</v>
      </c>
      <c r="L7461" t="str">
        <f>T("7608307900")</f>
        <v>7608307900</v>
      </c>
    </row>
    <row r="7462" spans="1:12" x14ac:dyDescent="0.35">
      <c r="A7462" t="str">
        <f t="shared" si="2810"/>
        <v>MCAGCC</v>
      </c>
      <c r="B7462" t="str">
        <f>T("COMBT CNTR FIRE DEPT")</f>
        <v>COMBT CNTR FIRE DEPT</v>
      </c>
      <c r="C7462" t="str">
        <f>T("AC S G-7 COMBAT CTR FIRE DEPT")</f>
        <v>AC S G-7 COMBAT CTR FIRE DEPT</v>
      </c>
      <c r="D7462" t="str">
        <f>T("TWENTYNINE PALMS")</f>
        <v>TWENTYNINE PALMS</v>
      </c>
      <c r="E7462" t="str">
        <f t="shared" si="2820"/>
        <v>CA</v>
      </c>
      <c r="F7462" t="str">
        <f>T("922786004")</f>
        <v>922786004</v>
      </c>
      <c r="G7462" t="str">
        <f>T("AC/S G-7 COMBAT CTR FIRE DEPT")</f>
        <v>AC/S G-7 COMBAT CTR FIRE DEPT</v>
      </c>
      <c r="H7462" t="str">
        <f>T("MCAGCC BOX 788107")</f>
        <v>MCAGCC BOX 788107</v>
      </c>
      <c r="I7462" t="str">
        <f t="shared" si="2819"/>
        <v>TWENTYNINE PALMS</v>
      </c>
      <c r="J7462" t="str">
        <f t="shared" si="2821"/>
        <v>CA</v>
      </c>
      <c r="K7462" t="str">
        <f>T("7608305298")</f>
        <v>7608305298</v>
      </c>
      <c r="L7462" t="str">
        <f>T("7608306667")</f>
        <v>7608306667</v>
      </c>
    </row>
    <row r="7463" spans="1:12" x14ac:dyDescent="0.35">
      <c r="A7463" t="str">
        <f t="shared" si="2810"/>
        <v>MCAGCC</v>
      </c>
      <c r="B7463" t="str">
        <f>T("COMBT CNTR FIRE DEPT")</f>
        <v>COMBT CNTR FIRE DEPT</v>
      </c>
      <c r="C7463" t="str">
        <f>T("AC S G-7 COMBAT CTR FIRE DEPT")</f>
        <v>AC S G-7 COMBAT CTR FIRE DEPT</v>
      </c>
      <c r="D7463" t="str">
        <f>T("TWENTYNINE PALMS")</f>
        <v>TWENTYNINE PALMS</v>
      </c>
      <c r="E7463" t="str">
        <f t="shared" si="2820"/>
        <v>CA</v>
      </c>
      <c r="F7463" t="str">
        <f>T("922786004")</f>
        <v>922786004</v>
      </c>
      <c r="G7463" t="str">
        <f>T("AC/S G-7 COMBAT CTR FIRE DEPT")</f>
        <v>AC/S G-7 COMBAT CTR FIRE DEPT</v>
      </c>
      <c r="H7463" t="str">
        <f>T("MCAGCC PO BOX 6004")</f>
        <v>MCAGCC PO BOX 6004</v>
      </c>
      <c r="I7463" t="str">
        <f t="shared" si="2819"/>
        <v>TWENTYNINE PALMS</v>
      </c>
      <c r="J7463" t="str">
        <f t="shared" si="2821"/>
        <v>CA</v>
      </c>
      <c r="K7463" t="str">
        <f>T("760 830-5298")</f>
        <v>760 830-5298</v>
      </c>
      <c r="L7463" t="str">
        <f>T("7608305239")</f>
        <v>7608305239</v>
      </c>
    </row>
    <row r="7464" spans="1:12" x14ac:dyDescent="0.35">
      <c r="A7464" t="str">
        <f t="shared" si="2810"/>
        <v>MCAGCC</v>
      </c>
      <c r="B7464" t="str">
        <f>T("COMBT CNTR FIRE DEPT")</f>
        <v>COMBT CNTR FIRE DEPT</v>
      </c>
      <c r="C7464" t="str">
        <f>T("AC S G-7 COMBAT CTR FIRE DEPT")</f>
        <v>AC S G-7 COMBAT CTR FIRE DEPT</v>
      </c>
      <c r="D7464" t="str">
        <f>T("TWENTYNINE PALMS")</f>
        <v>TWENTYNINE PALMS</v>
      </c>
      <c r="E7464" t="str">
        <f t="shared" si="2820"/>
        <v>CA</v>
      </c>
      <c r="F7464" t="str">
        <f>T("922786004")</f>
        <v>922786004</v>
      </c>
      <c r="G7464" t="str">
        <f>T("COMBAT CENTER FIRE DEPARTMENT")</f>
        <v>COMBAT CENTER FIRE DEPARTMENT</v>
      </c>
      <c r="H7464" t="str">
        <f>T("MCAGCC BOX 788107")</f>
        <v>MCAGCC BOX 788107</v>
      </c>
      <c r="I7464" t="str">
        <f t="shared" si="2819"/>
        <v>TWENTYNINE PALMS</v>
      </c>
      <c r="J7464" t="str">
        <f t="shared" si="2821"/>
        <v>CA</v>
      </c>
      <c r="K7464" t="str">
        <f>T("7608306353")</f>
        <v>7608306353</v>
      </c>
      <c r="L7464" t="str">
        <f>T("7608306677")</f>
        <v>7608306677</v>
      </c>
    </row>
    <row r="7465" spans="1:12" x14ac:dyDescent="0.35">
      <c r="A7465" t="str">
        <f t="shared" si="2810"/>
        <v>MCAGCC</v>
      </c>
      <c r="B7465" t="str">
        <f>T("COMBT CNTR FIRE DEPT")</f>
        <v>COMBT CNTR FIRE DEPT</v>
      </c>
      <c r="C7465" t="str">
        <f>T("AC S G-7 COMBAT CTR FIRE DEPT")</f>
        <v>AC S G-7 COMBAT CTR FIRE DEPT</v>
      </c>
      <c r="D7465" t="str">
        <f>T("TWENTYNINE PALMS")</f>
        <v>TWENTYNINE PALMS</v>
      </c>
      <c r="E7465" t="str">
        <f t="shared" si="2820"/>
        <v>CA</v>
      </c>
      <c r="F7465" t="str">
        <f>T("922786004")</f>
        <v>922786004</v>
      </c>
      <c r="G7465" t="str">
        <f>T("COMBT CNTR FIRE DEPT")</f>
        <v>COMBT CNTR FIRE DEPT</v>
      </c>
      <c r="H7465" t="str">
        <f>T("AC S G-7 COMBAT CTR FIRE DEPT")</f>
        <v>AC S G-7 COMBAT CTR FIRE DEPT</v>
      </c>
      <c r="I7465" t="str">
        <f t="shared" si="2819"/>
        <v>TWENTYNINE PALMS</v>
      </c>
      <c r="J7465" t="str">
        <f t="shared" si="2821"/>
        <v>CA</v>
      </c>
      <c r="K7465" t="str">
        <f>T("7608305298")</f>
        <v>7608305298</v>
      </c>
      <c r="L7465" t="str">
        <f>T("7608305659")</f>
        <v>7608305659</v>
      </c>
    </row>
    <row r="7466" spans="1:12" x14ac:dyDescent="0.35">
      <c r="A7466" t="str">
        <f t="shared" si="2810"/>
        <v>MCAGCC</v>
      </c>
      <c r="B7466" t="str">
        <f>T("G-5")</f>
        <v>G-5</v>
      </c>
      <c r="C7466" t="str">
        <f>T("MCAGCC BOX 788105")</f>
        <v>MCAGCC BOX 788105</v>
      </c>
      <c r="D7466" t="str">
        <f>T("TWENTYNINE PALM")</f>
        <v>TWENTYNINE PALM</v>
      </c>
      <c r="E7466" t="str">
        <f t="shared" si="2820"/>
        <v>CA</v>
      </c>
      <c r="F7466" t="str">
        <f>T("922788105")</f>
        <v>922788105</v>
      </c>
      <c r="G7466" t="str">
        <f>T("G-5")</f>
        <v>G-5</v>
      </c>
      <c r="H7466" t="str">
        <f>T("MCAGCC BOX 788105")</f>
        <v>MCAGCC BOX 788105</v>
      </c>
      <c r="I7466" t="str">
        <f>T("TWENTYNINE PALM")</f>
        <v>TWENTYNINE PALM</v>
      </c>
      <c r="J7466" t="str">
        <f t="shared" si="2821"/>
        <v>CA</v>
      </c>
      <c r="K7466" t="str">
        <f>T("7608306353")</f>
        <v>7608306353</v>
      </c>
      <c r="L7466" t="str">
        <f>T("7608303735")</f>
        <v>7608303735</v>
      </c>
    </row>
    <row r="7467" spans="1:12" x14ac:dyDescent="0.35">
      <c r="A7467" t="str">
        <f t="shared" si="2810"/>
        <v>MCAGCC</v>
      </c>
      <c r="B7467" t="str">
        <f>T("G-5")</f>
        <v>G-5</v>
      </c>
      <c r="C7467" t="str">
        <f>T("MCAGCC BOX 788105")</f>
        <v>MCAGCC BOX 788105</v>
      </c>
      <c r="D7467" t="str">
        <f>T("TWENTYNINE PALM")</f>
        <v>TWENTYNINE PALM</v>
      </c>
      <c r="E7467" t="str">
        <f t="shared" si="2820"/>
        <v>CA</v>
      </c>
      <c r="F7467" t="str">
        <f>T("922788105")</f>
        <v>922788105</v>
      </c>
      <c r="G7467" t="str">
        <f>T("G-5")</f>
        <v>G-5</v>
      </c>
      <c r="H7467" t="str">
        <f>T("MCAGCC BOX 788105")</f>
        <v>MCAGCC BOX 788105</v>
      </c>
      <c r="I7467" t="str">
        <f>T("TWENTYNINE PALMS")</f>
        <v>TWENTYNINE PALMS</v>
      </c>
      <c r="J7467" t="str">
        <f t="shared" si="2821"/>
        <v>CA</v>
      </c>
      <c r="K7467" t="str">
        <f>T("7608306353")</f>
        <v>7608306353</v>
      </c>
      <c r="L7467" t="str">
        <f>T("7608305476")</f>
        <v>7608305476</v>
      </c>
    </row>
    <row r="7468" spans="1:12" x14ac:dyDescent="0.35">
      <c r="A7468" t="str">
        <f t="shared" si="2810"/>
        <v>MCAGCC</v>
      </c>
      <c r="B7468" t="str">
        <f>T("G-5")</f>
        <v>G-5</v>
      </c>
      <c r="C7468" t="str">
        <f>T("MCAGCC BOX 788105")</f>
        <v>MCAGCC BOX 788105</v>
      </c>
      <c r="D7468" t="str">
        <f>T("TWENTYNINE PALM")</f>
        <v>TWENTYNINE PALM</v>
      </c>
      <c r="E7468" t="str">
        <f t="shared" si="2820"/>
        <v>CA</v>
      </c>
      <c r="F7468" t="str">
        <f>T("922788105")</f>
        <v>922788105</v>
      </c>
      <c r="G7468" t="str">
        <f>T("G-5")</f>
        <v>G-5</v>
      </c>
      <c r="H7468" t="str">
        <f>T("MCAGCC BOX 788105")</f>
        <v>MCAGCC BOX 788105</v>
      </c>
      <c r="I7468" t="str">
        <f>T("TWENTYNINE PALMS")</f>
        <v>TWENTYNINE PALMS</v>
      </c>
      <c r="J7468" t="str">
        <f t="shared" si="2821"/>
        <v>CA</v>
      </c>
      <c r="K7468" t="str">
        <f>T("7608306353")</f>
        <v>7608306353</v>
      </c>
      <c r="L7468" t="str">
        <f>T("7608308734")</f>
        <v>7608308734</v>
      </c>
    </row>
    <row r="7469" spans="1:12" x14ac:dyDescent="0.35">
      <c r="A7469" t="str">
        <f t="shared" si="2810"/>
        <v>MCAGCC</v>
      </c>
      <c r="B7469" t="str">
        <f>T("G-6 CIS")</f>
        <v>G-6 CIS</v>
      </c>
      <c r="C7469" t="str">
        <f>T("MCAGCC BOX 788106")</f>
        <v>MCAGCC BOX 788106</v>
      </c>
      <c r="D7469" t="str">
        <f>T("TWENTYNIN PLM")</f>
        <v>TWENTYNIN PLM</v>
      </c>
      <c r="E7469" t="str">
        <f t="shared" si="2820"/>
        <v>CA</v>
      </c>
      <c r="F7469" t="str">
        <f>T("922788106")</f>
        <v>922788106</v>
      </c>
      <c r="G7469" t="str">
        <f>T("AC/S G-6 CIS")</f>
        <v>AC/S G-6 CIS</v>
      </c>
      <c r="H7469" t="str">
        <f>T("MCAGCC BOX 788106")</f>
        <v>MCAGCC BOX 788106</v>
      </c>
      <c r="I7469" t="str">
        <f>T("TWENTYNINE PALMS")</f>
        <v>TWENTYNINE PALMS</v>
      </c>
      <c r="J7469" t="str">
        <f t="shared" si="2821"/>
        <v>CA</v>
      </c>
      <c r="K7469" t="str">
        <f>T("760 830-5298")</f>
        <v>760 830-5298</v>
      </c>
      <c r="L7469" t="str">
        <f>T("7608303789")</f>
        <v>7608303789</v>
      </c>
    </row>
    <row r="7470" spans="1:12" x14ac:dyDescent="0.35">
      <c r="A7470" t="str">
        <f t="shared" si="2810"/>
        <v>MCAGCC</v>
      </c>
      <c r="B7470" t="str">
        <f>T("G-6 CIS")</f>
        <v>G-6 CIS</v>
      </c>
      <c r="C7470" t="str">
        <f>T("MCAGCC BOX 788106")</f>
        <v>MCAGCC BOX 788106</v>
      </c>
      <c r="D7470" t="str">
        <f>T("TWENTYNIN PLM")</f>
        <v>TWENTYNIN PLM</v>
      </c>
      <c r="E7470" t="str">
        <f t="shared" si="2820"/>
        <v>CA</v>
      </c>
      <c r="F7470" t="str">
        <f>T("922788106")</f>
        <v>922788106</v>
      </c>
      <c r="G7470" t="str">
        <f>T("G-6 CIS")</f>
        <v>G-6 CIS</v>
      </c>
      <c r="H7470" t="str">
        <f>T("MCAGCC BOX 788106")</f>
        <v>MCAGCC BOX 788106</v>
      </c>
      <c r="I7470" t="str">
        <f>T("TWENTYNIN PLM")</f>
        <v>TWENTYNIN PLM</v>
      </c>
      <c r="J7470" t="str">
        <f t="shared" si="2821"/>
        <v>CA</v>
      </c>
      <c r="K7470" t="str">
        <f t="shared" ref="K7470:K7475" si="2822">T("7608306353")</f>
        <v>7608306353</v>
      </c>
      <c r="L7470" t="str">
        <f>T("7607307595")</f>
        <v>7607307595</v>
      </c>
    </row>
    <row r="7471" spans="1:12" x14ac:dyDescent="0.35">
      <c r="A7471" t="str">
        <f t="shared" si="2810"/>
        <v>MCAGCC</v>
      </c>
      <c r="B7471" t="str">
        <f>T("G-6 CIS")</f>
        <v>G-6 CIS</v>
      </c>
      <c r="C7471" t="str">
        <f>T("MCAGCC BOX 788106")</f>
        <v>MCAGCC BOX 788106</v>
      </c>
      <c r="D7471" t="str">
        <f>T("TWENTYNIN PLM")</f>
        <v>TWENTYNIN PLM</v>
      </c>
      <c r="E7471" t="str">
        <f t="shared" si="2820"/>
        <v>CA</v>
      </c>
      <c r="F7471" t="str">
        <f>T("922788106")</f>
        <v>922788106</v>
      </c>
      <c r="G7471" t="str">
        <f>T("G-6 CIS")</f>
        <v>G-6 CIS</v>
      </c>
      <c r="H7471" t="str">
        <f>T("MCAGCC BOX 788106")</f>
        <v>MCAGCC BOX 788106</v>
      </c>
      <c r="I7471" t="str">
        <f>T("TWENTYNINE PALMS")</f>
        <v>TWENTYNINE PALMS</v>
      </c>
      <c r="J7471" t="str">
        <f t="shared" si="2821"/>
        <v>CA</v>
      </c>
      <c r="K7471" t="str">
        <f t="shared" si="2822"/>
        <v>7608306353</v>
      </c>
      <c r="L7471" t="str">
        <f>T("7608305999")</f>
        <v>7608305999</v>
      </c>
    </row>
    <row r="7472" spans="1:12" x14ac:dyDescent="0.35">
      <c r="A7472" t="str">
        <f t="shared" si="2810"/>
        <v>MCAGCC</v>
      </c>
      <c r="B7472" t="str">
        <f>T("G-6 CIS")</f>
        <v>G-6 CIS</v>
      </c>
      <c r="C7472" t="str">
        <f>T("MCAGCC BOX 788106")</f>
        <v>MCAGCC BOX 788106</v>
      </c>
      <c r="D7472" t="str">
        <f>T("TWENTYNIN PLM")</f>
        <v>TWENTYNIN PLM</v>
      </c>
      <c r="E7472" t="str">
        <f t="shared" si="2820"/>
        <v>CA</v>
      </c>
      <c r="F7472" t="str">
        <f>T("922788106")</f>
        <v>922788106</v>
      </c>
      <c r="G7472" t="str">
        <f>T("G-6 CIS")</f>
        <v>G-6 CIS</v>
      </c>
      <c r="H7472" t="str">
        <f>T("MCAGCC BOX 788106")</f>
        <v>MCAGCC BOX 788106</v>
      </c>
      <c r="I7472" t="str">
        <f>T("TWENTYNINE PALMS")</f>
        <v>TWENTYNINE PALMS</v>
      </c>
      <c r="J7472" t="str">
        <f t="shared" si="2821"/>
        <v>CA</v>
      </c>
      <c r="K7472" t="str">
        <f t="shared" si="2822"/>
        <v>7608306353</v>
      </c>
      <c r="L7472" t="str">
        <f>T("7608307490")</f>
        <v>7608307490</v>
      </c>
    </row>
    <row r="7473" spans="1:12" x14ac:dyDescent="0.35">
      <c r="A7473" t="str">
        <f t="shared" ref="A7473:A7500" si="2823">T("MCAGCC")</f>
        <v>MCAGCC</v>
      </c>
      <c r="B7473" t="str">
        <f>T("HRO")</f>
        <v>HRO</v>
      </c>
      <c r="C7473" t="str">
        <f>T("MCAGCC BOX 788120")</f>
        <v>MCAGCC BOX 788120</v>
      </c>
      <c r="D7473" t="str">
        <f>T("TWENTYNINE PALMS")</f>
        <v>TWENTYNINE PALMS</v>
      </c>
      <c r="E7473" t="str">
        <f t="shared" si="2820"/>
        <v>CA</v>
      </c>
      <c r="F7473" t="str">
        <f>T("922788120")</f>
        <v>922788120</v>
      </c>
      <c r="G7473" t="str">
        <f>T("HRO")</f>
        <v>HRO</v>
      </c>
      <c r="H7473" t="str">
        <f>T("MCAGCC BOX 788120")</f>
        <v>MCAGCC BOX 788120</v>
      </c>
      <c r="I7473" t="str">
        <f>T("TWENTYNINE PALMS")</f>
        <v>TWENTYNINE PALMS</v>
      </c>
      <c r="J7473" t="str">
        <f t="shared" si="2821"/>
        <v>CA</v>
      </c>
      <c r="K7473" t="str">
        <f t="shared" si="2822"/>
        <v>7608306353</v>
      </c>
      <c r="L7473" t="str">
        <f>T("7608304533")</f>
        <v>7608304533</v>
      </c>
    </row>
    <row r="7474" spans="1:12" x14ac:dyDescent="0.35">
      <c r="A7474" t="str">
        <f t="shared" si="2823"/>
        <v>MCAGCC</v>
      </c>
      <c r="B7474" t="str">
        <f>T("HRO")</f>
        <v>HRO</v>
      </c>
      <c r="C7474" t="str">
        <f>T("MCAGCC BOX 788120")</f>
        <v>MCAGCC BOX 788120</v>
      </c>
      <c r="D7474" t="str">
        <f>T("TWENTYNINE PALMS")</f>
        <v>TWENTYNINE PALMS</v>
      </c>
      <c r="E7474" t="str">
        <f t="shared" si="2820"/>
        <v>CA</v>
      </c>
      <c r="F7474" t="str">
        <f>T("922788120")</f>
        <v>922788120</v>
      </c>
      <c r="G7474" t="str">
        <f>T("HRO")</f>
        <v>HRO</v>
      </c>
      <c r="H7474" t="str">
        <f>T("MCAGCC BOX 788120")</f>
        <v>MCAGCC BOX 788120</v>
      </c>
      <c r="I7474" t="str">
        <f>T("TWENTYNINE PALMS")</f>
        <v>TWENTYNINE PALMS</v>
      </c>
      <c r="J7474" t="str">
        <f t="shared" si="2821"/>
        <v>CA</v>
      </c>
      <c r="K7474" t="str">
        <f t="shared" si="2822"/>
        <v>7608306353</v>
      </c>
      <c r="L7474" t="str">
        <f>T("7608307281")</f>
        <v>7608307281</v>
      </c>
    </row>
    <row r="7475" spans="1:12" x14ac:dyDescent="0.35">
      <c r="A7475" t="str">
        <f t="shared" si="2823"/>
        <v>MCAGCC</v>
      </c>
      <c r="B7475" t="str">
        <f>T("MANPOWER")</f>
        <v>MANPOWER</v>
      </c>
      <c r="C7475" t="str">
        <f>T("MCAGCC BOX 788100")</f>
        <v>MCAGCC BOX 788100</v>
      </c>
      <c r="D7475" t="str">
        <f>T("TWENTYNIN PLM")</f>
        <v>TWENTYNIN PLM</v>
      </c>
      <c r="E7475" t="str">
        <f t="shared" si="2820"/>
        <v>CA</v>
      </c>
      <c r="F7475" t="str">
        <f>T("922788100")</f>
        <v>922788100</v>
      </c>
      <c r="G7475" t="str">
        <f>T("G1 MANPOWER")</f>
        <v>G1 MANPOWER</v>
      </c>
      <c r="H7475" t="str">
        <f>T("MCAGCC BOX 788100")</f>
        <v>MCAGCC BOX 788100</v>
      </c>
      <c r="I7475" t="str">
        <f>T("TWENTYNINE PALMS")</f>
        <v>TWENTYNINE PALMS</v>
      </c>
      <c r="J7475" t="str">
        <f t="shared" si="2821"/>
        <v>CA</v>
      </c>
      <c r="K7475" t="str">
        <f t="shared" si="2822"/>
        <v>7608306353</v>
      </c>
      <c r="L7475" t="str">
        <f>T("7608307352")</f>
        <v>7608307352</v>
      </c>
    </row>
    <row r="7476" spans="1:12" x14ac:dyDescent="0.35">
      <c r="A7476" t="str">
        <f t="shared" si="2823"/>
        <v>MCAGCC</v>
      </c>
      <c r="B7476" t="str">
        <f>T("MANPOWER")</f>
        <v>MANPOWER</v>
      </c>
      <c r="C7476" t="str">
        <f>T("MCAGCC BOX 788100")</f>
        <v>MCAGCC BOX 788100</v>
      </c>
      <c r="D7476" t="str">
        <f>T("TWENTYNIN PLM")</f>
        <v>TWENTYNIN PLM</v>
      </c>
      <c r="E7476" t="str">
        <f t="shared" si="2820"/>
        <v>CA</v>
      </c>
      <c r="F7476" t="str">
        <f>T("922788100")</f>
        <v>922788100</v>
      </c>
      <c r="G7476" t="str">
        <f>T("MANPOWER")</f>
        <v>MANPOWER</v>
      </c>
      <c r="H7476" t="str">
        <f>T("MCAGCC BOX 788100")</f>
        <v>MCAGCC BOX 788100</v>
      </c>
      <c r="I7476" t="str">
        <f>T("TWENTYNIN PLM")</f>
        <v>TWENTYNIN PLM</v>
      </c>
      <c r="J7476" t="str">
        <f t="shared" si="2821"/>
        <v>CA</v>
      </c>
      <c r="K7476" t="str">
        <f>T("76008306353")</f>
        <v>76008306353</v>
      </c>
      <c r="L7476" t="str">
        <f>T("7608305808")</f>
        <v>7608305808</v>
      </c>
    </row>
    <row r="7477" spans="1:12" x14ac:dyDescent="0.35">
      <c r="A7477" t="str">
        <f t="shared" si="2823"/>
        <v>MCAGCC</v>
      </c>
      <c r="B7477" t="str">
        <f>T("MCMWTC BASE")</f>
        <v>MCMWTC BASE</v>
      </c>
      <c r="C7477" t="str">
        <f>T("BUILDING 2001 FLR 1")</f>
        <v>BUILDING 2001 FLR 1</v>
      </c>
      <c r="D7477" t="str">
        <f t="shared" ref="D7477:D7483" si="2824">T("BRIDGEPORT")</f>
        <v>BRIDGEPORT</v>
      </c>
      <c r="E7477" t="str">
        <f t="shared" si="2820"/>
        <v>CA</v>
      </c>
      <c r="F7477" t="str">
        <f>T("935175001")</f>
        <v>935175001</v>
      </c>
      <c r="G7477" t="str">
        <f>T("MCMWTC BASE")</f>
        <v>MCMWTC BASE</v>
      </c>
      <c r="H7477" t="str">
        <f>T("BLDG 2001 FLR 1 MCMWTC")</f>
        <v>BLDG 2001 FLR 1 MCMWTC</v>
      </c>
      <c r="I7477" t="str">
        <f t="shared" ref="I7477:I7483" si="2825">T("BRIDGEPORT")</f>
        <v>BRIDGEPORT</v>
      </c>
      <c r="J7477" t="str">
        <f t="shared" si="2821"/>
        <v>CA</v>
      </c>
      <c r="K7477" t="str">
        <f t="shared" ref="K7477:K7502" si="2826">T("7608306353")</f>
        <v>7608306353</v>
      </c>
      <c r="L7477" t="str">
        <f>T("7609321543")</f>
        <v>7609321543</v>
      </c>
    </row>
    <row r="7478" spans="1:12" x14ac:dyDescent="0.35">
      <c r="A7478" t="str">
        <f t="shared" si="2823"/>
        <v>MCAGCC</v>
      </c>
      <c r="B7478" t="str">
        <f>T("MCMWTC BASE")</f>
        <v>MCMWTC BASE</v>
      </c>
      <c r="C7478" t="str">
        <f>T("BUILDING 2001 FLR 1")</f>
        <v>BUILDING 2001 FLR 1</v>
      </c>
      <c r="D7478" t="str">
        <f t="shared" si="2824"/>
        <v>BRIDGEPORT</v>
      </c>
      <c r="E7478" t="str">
        <f t="shared" si="2820"/>
        <v>CA</v>
      </c>
      <c r="F7478" t="str">
        <f>T("935175001")</f>
        <v>935175001</v>
      </c>
      <c r="G7478" t="str">
        <f>T("MCMWTC BASE")</f>
        <v>MCMWTC BASE</v>
      </c>
      <c r="H7478" t="str">
        <f>T("BUILDING 2001 FLR 1")</f>
        <v>BUILDING 2001 FLR 1</v>
      </c>
      <c r="I7478" t="str">
        <f t="shared" si="2825"/>
        <v>BRIDGEPORT</v>
      </c>
      <c r="J7478" t="str">
        <f t="shared" si="2821"/>
        <v>CA</v>
      </c>
      <c r="K7478" t="str">
        <f t="shared" si="2826"/>
        <v>7608306353</v>
      </c>
      <c r="L7478" t="str">
        <f>T("7609321540")</f>
        <v>7609321540</v>
      </c>
    </row>
    <row r="7479" spans="1:12" x14ac:dyDescent="0.35">
      <c r="A7479" t="str">
        <f t="shared" si="2823"/>
        <v>MCAGCC</v>
      </c>
      <c r="B7479" t="str">
        <f>T("MCMWTC FIRE DEPT")</f>
        <v>MCMWTC FIRE DEPT</v>
      </c>
      <c r="C7479" t="str">
        <f>T("MCMWTC HC83")</f>
        <v>MCMWTC HC83</v>
      </c>
      <c r="D7479" t="str">
        <f t="shared" si="2824"/>
        <v>BRIDGEPORT</v>
      </c>
      <c r="E7479" t="str">
        <f t="shared" si="2820"/>
        <v>CA</v>
      </c>
      <c r="F7479" t="str">
        <f>T("935179803")</f>
        <v>935179803</v>
      </c>
      <c r="G7479" t="str">
        <f>T("MCMWTC FIRE DEPT")</f>
        <v>MCMWTC FIRE DEPT</v>
      </c>
      <c r="H7479" t="str">
        <f>T("HC 83 BLDG 1035")</f>
        <v>HC 83 BLDG 1035</v>
      </c>
      <c r="I7479" t="str">
        <f t="shared" si="2825"/>
        <v>BRIDGEPORT</v>
      </c>
      <c r="J7479" t="str">
        <f t="shared" si="2821"/>
        <v>CA</v>
      </c>
      <c r="K7479" t="str">
        <f t="shared" si="2826"/>
        <v>7608306353</v>
      </c>
      <c r="L7479" t="str">
        <f>T("7609321635")</f>
        <v>7609321635</v>
      </c>
    </row>
    <row r="7480" spans="1:12" x14ac:dyDescent="0.35">
      <c r="A7480" t="str">
        <f t="shared" si="2823"/>
        <v>MCAGCC</v>
      </c>
      <c r="B7480" t="str">
        <f>T("MCMWTC FIRE DEPT")</f>
        <v>MCMWTC FIRE DEPT</v>
      </c>
      <c r="C7480" t="str">
        <f>T("MCMWTC HC83")</f>
        <v>MCMWTC HC83</v>
      </c>
      <c r="D7480" t="str">
        <f t="shared" si="2824"/>
        <v>BRIDGEPORT</v>
      </c>
      <c r="E7480" t="str">
        <f t="shared" si="2820"/>
        <v>CA</v>
      </c>
      <c r="F7480" t="str">
        <f>T("935179803")</f>
        <v>935179803</v>
      </c>
      <c r="G7480" t="str">
        <f>T("MCMWTC FIRE DEPT")</f>
        <v>MCMWTC FIRE DEPT</v>
      </c>
      <c r="H7480" t="str">
        <f>T("MCMWTC HC83")</f>
        <v>MCMWTC HC83</v>
      </c>
      <c r="I7480" t="str">
        <f t="shared" si="2825"/>
        <v>BRIDGEPORT</v>
      </c>
      <c r="J7480" t="str">
        <f t="shared" si="2821"/>
        <v>CA</v>
      </c>
      <c r="K7480" t="str">
        <f t="shared" si="2826"/>
        <v>7608306353</v>
      </c>
      <c r="L7480" t="str">
        <f>T("7609321634")</f>
        <v>7609321634</v>
      </c>
    </row>
    <row r="7481" spans="1:12" x14ac:dyDescent="0.35">
      <c r="A7481" t="str">
        <f t="shared" si="2823"/>
        <v>MCAGCC</v>
      </c>
      <c r="B7481" t="str">
        <f>T("MCMWTC FMD")</f>
        <v>MCMWTC FMD</v>
      </c>
      <c r="C7481" t="str">
        <f>T("HC83")</f>
        <v>HC83</v>
      </c>
      <c r="D7481" t="str">
        <f t="shared" si="2824"/>
        <v>BRIDGEPORT</v>
      </c>
      <c r="E7481" t="str">
        <f t="shared" si="2820"/>
        <v>CA</v>
      </c>
      <c r="F7481" t="str">
        <f>T("935179803")</f>
        <v>935179803</v>
      </c>
      <c r="G7481" t="str">
        <f>T("MCMWTC FMD")</f>
        <v>MCMWTC FMD</v>
      </c>
      <c r="H7481" t="str">
        <f>T("HC 83")</f>
        <v>HC 83</v>
      </c>
      <c r="I7481" t="str">
        <f t="shared" si="2825"/>
        <v>BRIDGEPORT</v>
      </c>
      <c r="J7481" t="str">
        <f t="shared" si="2821"/>
        <v>CA</v>
      </c>
      <c r="K7481" t="str">
        <f t="shared" si="2826"/>
        <v>7608306353</v>
      </c>
      <c r="L7481" t="str">
        <f>T("7609321595")</f>
        <v>7609321595</v>
      </c>
    </row>
    <row r="7482" spans="1:12" x14ac:dyDescent="0.35">
      <c r="A7482" t="str">
        <f t="shared" si="2823"/>
        <v>MCAGCC</v>
      </c>
      <c r="B7482" t="str">
        <f>T("MCMWTC FMD")</f>
        <v>MCMWTC FMD</v>
      </c>
      <c r="C7482" t="str">
        <f>T("HC83")</f>
        <v>HC83</v>
      </c>
      <c r="D7482" t="str">
        <f t="shared" si="2824"/>
        <v>BRIDGEPORT</v>
      </c>
      <c r="E7482" t="str">
        <f t="shared" si="2820"/>
        <v>CA</v>
      </c>
      <c r="F7482" t="str">
        <f>T("935179803")</f>
        <v>935179803</v>
      </c>
      <c r="G7482" t="str">
        <f>T("MCMWTC FMD")</f>
        <v>MCMWTC FMD</v>
      </c>
      <c r="H7482" t="str">
        <f>T("HC83")</f>
        <v>HC83</v>
      </c>
      <c r="I7482" t="str">
        <f t="shared" si="2825"/>
        <v>BRIDGEPORT</v>
      </c>
      <c r="J7482" t="str">
        <f t="shared" si="2821"/>
        <v>CA</v>
      </c>
      <c r="K7482" t="str">
        <f t="shared" si="2826"/>
        <v>7608306353</v>
      </c>
      <c r="L7482" t="str">
        <f>T("7609321595")</f>
        <v>7609321595</v>
      </c>
    </row>
    <row r="7483" spans="1:12" x14ac:dyDescent="0.35">
      <c r="A7483" t="str">
        <f t="shared" si="2823"/>
        <v>MCAGCC</v>
      </c>
      <c r="B7483" t="str">
        <f>T("MCMWTC FMD")</f>
        <v>MCMWTC FMD</v>
      </c>
      <c r="C7483" t="str">
        <f>T("HC83")</f>
        <v>HC83</v>
      </c>
      <c r="D7483" t="str">
        <f t="shared" si="2824"/>
        <v>BRIDGEPORT</v>
      </c>
      <c r="E7483" t="str">
        <f t="shared" si="2820"/>
        <v>CA</v>
      </c>
      <c r="F7483" t="str">
        <f>T("935179803")</f>
        <v>935179803</v>
      </c>
      <c r="G7483" t="str">
        <f>T("MCMWTC-FMD")</f>
        <v>MCMWTC-FMD</v>
      </c>
      <c r="H7483" t="str">
        <f>T("HC83")</f>
        <v>HC83</v>
      </c>
      <c r="I7483" t="str">
        <f t="shared" si="2825"/>
        <v>BRIDGEPORT</v>
      </c>
      <c r="J7483" t="str">
        <f t="shared" si="2821"/>
        <v>CA</v>
      </c>
      <c r="K7483" t="str">
        <f t="shared" si="2826"/>
        <v>7608306353</v>
      </c>
      <c r="L7483" t="str">
        <f>T("7609321595")</f>
        <v>7609321595</v>
      </c>
    </row>
    <row r="7484" spans="1:12" x14ac:dyDescent="0.35">
      <c r="A7484" t="str">
        <f t="shared" si="2823"/>
        <v>MCAGCC</v>
      </c>
      <c r="B7484" t="str">
        <f>T("NREA")</f>
        <v>NREA</v>
      </c>
      <c r="C7484" t="str">
        <f>T("MCAGCC BOX 788110")</f>
        <v>MCAGCC BOX 788110</v>
      </c>
      <c r="D7484" t="str">
        <f>T("TWENTYNIN PLM")</f>
        <v>TWENTYNIN PLM</v>
      </c>
      <c r="E7484" t="str">
        <f t="shared" si="2820"/>
        <v>CA</v>
      </c>
      <c r="F7484" t="str">
        <f>T("922788110")</f>
        <v>922788110</v>
      </c>
      <c r="G7484" t="str">
        <f>T("NREA")</f>
        <v>NREA</v>
      </c>
      <c r="H7484" t="str">
        <f>T("MCAGCC BOX 788110")</f>
        <v>MCAGCC BOX 788110</v>
      </c>
      <c r="I7484" t="str">
        <f>T("TWENTYNIN PLM")</f>
        <v>TWENTYNIN PLM</v>
      </c>
      <c r="J7484" t="str">
        <f t="shared" si="2821"/>
        <v>CA</v>
      </c>
      <c r="K7484" t="str">
        <f t="shared" si="2826"/>
        <v>7608306353</v>
      </c>
      <c r="L7484" t="str">
        <f>T("7608307638")</f>
        <v>7608307638</v>
      </c>
    </row>
    <row r="7485" spans="1:12" x14ac:dyDescent="0.35">
      <c r="A7485" t="str">
        <f t="shared" si="2823"/>
        <v>MCAGCC</v>
      </c>
      <c r="B7485" t="str">
        <f>T("NREA")</f>
        <v>NREA</v>
      </c>
      <c r="C7485" t="str">
        <f>T("MCAGCC BOX 788110")</f>
        <v>MCAGCC BOX 788110</v>
      </c>
      <c r="D7485" t="str">
        <f>T("TWENTYNIN PLM")</f>
        <v>TWENTYNIN PLM</v>
      </c>
      <c r="E7485" t="str">
        <f t="shared" si="2820"/>
        <v>CA</v>
      </c>
      <c r="F7485" t="str">
        <f>T("922788110")</f>
        <v>922788110</v>
      </c>
      <c r="G7485" t="str">
        <f>T("NREA")</f>
        <v>NREA</v>
      </c>
      <c r="H7485" t="str">
        <f>T("MCAGCC BOX 788110")</f>
        <v>MCAGCC BOX 788110</v>
      </c>
      <c r="I7485" t="str">
        <f>T("TWENTYNINE PALMS")</f>
        <v>TWENTYNINE PALMS</v>
      </c>
      <c r="J7485" t="str">
        <f t="shared" si="2821"/>
        <v>CA</v>
      </c>
      <c r="K7485" t="str">
        <f t="shared" si="2826"/>
        <v>7608306353</v>
      </c>
      <c r="L7485" t="str">
        <f>T("7608307244")</f>
        <v>7608307244</v>
      </c>
    </row>
    <row r="7486" spans="1:12" x14ac:dyDescent="0.35">
      <c r="A7486" t="str">
        <f t="shared" si="2823"/>
        <v>MCAGCC</v>
      </c>
      <c r="B7486" t="str">
        <f>T("PMO")</f>
        <v>PMO</v>
      </c>
      <c r="C7486" t="str">
        <f>T("MCAGCC  BOX 788107")</f>
        <v>MCAGCC  BOX 788107</v>
      </c>
      <c r="D7486" t="str">
        <f>T("TWENTY NINE PALMS")</f>
        <v>TWENTY NINE PALMS</v>
      </c>
      <c r="E7486" t="str">
        <f t="shared" si="2820"/>
        <v>CA</v>
      </c>
      <c r="F7486" t="str">
        <f>T("922788107")</f>
        <v>922788107</v>
      </c>
      <c r="G7486" t="str">
        <f>T("PMO")</f>
        <v>PMO</v>
      </c>
      <c r="H7486" t="str">
        <f>T("MCAGCC  BOX 788107")</f>
        <v>MCAGCC  BOX 788107</v>
      </c>
      <c r="I7486" t="str">
        <f>T("TWENTY NINE PALMS")</f>
        <v>TWENTY NINE PALMS</v>
      </c>
      <c r="J7486" t="str">
        <f t="shared" si="2821"/>
        <v>CA</v>
      </c>
      <c r="K7486" t="str">
        <f t="shared" si="2826"/>
        <v>7608306353</v>
      </c>
      <c r="L7486" t="str">
        <f>T("7608305456")</f>
        <v>7608305456</v>
      </c>
    </row>
    <row r="7487" spans="1:12" x14ac:dyDescent="0.35">
      <c r="A7487" t="str">
        <f t="shared" si="2823"/>
        <v>MCAGCC</v>
      </c>
      <c r="B7487" t="str">
        <f>T("PMO")</f>
        <v>PMO</v>
      </c>
      <c r="C7487" t="str">
        <f>T("MCAGCC  BOX 788107")</f>
        <v>MCAGCC  BOX 788107</v>
      </c>
      <c r="D7487" t="str">
        <f>T("TWENTY NINE PALMS")</f>
        <v>TWENTY NINE PALMS</v>
      </c>
      <c r="E7487" t="str">
        <f t="shared" si="2820"/>
        <v>CA</v>
      </c>
      <c r="F7487" t="str">
        <f>T("922788107")</f>
        <v>922788107</v>
      </c>
      <c r="G7487" t="str">
        <f>T("PMO")</f>
        <v>PMO</v>
      </c>
      <c r="H7487" t="str">
        <f>T("MCAGCC BOX 788107")</f>
        <v>MCAGCC BOX 788107</v>
      </c>
      <c r="I7487" t="str">
        <f t="shared" ref="I7487:I7493" si="2827">T("TWENTYNINE PALMS")</f>
        <v>TWENTYNINE PALMS</v>
      </c>
      <c r="J7487" t="str">
        <f t="shared" si="2821"/>
        <v>CA</v>
      </c>
      <c r="K7487" t="str">
        <f t="shared" si="2826"/>
        <v>7608306353</v>
      </c>
      <c r="L7487" t="str">
        <f>T("7608304239")</f>
        <v>7608304239</v>
      </c>
    </row>
    <row r="7488" spans="1:12" x14ac:dyDescent="0.35">
      <c r="A7488" t="str">
        <f t="shared" si="2823"/>
        <v>MCAGCC</v>
      </c>
      <c r="B7488" t="str">
        <f>T("PMO")</f>
        <v>PMO</v>
      </c>
      <c r="C7488" t="str">
        <f>T("MCAGCC  BOX 788107")</f>
        <v>MCAGCC  BOX 788107</v>
      </c>
      <c r="D7488" t="str">
        <f>T("TWENTY NINE PALMS")</f>
        <v>TWENTY NINE PALMS</v>
      </c>
      <c r="E7488" t="str">
        <f t="shared" si="2820"/>
        <v>CA</v>
      </c>
      <c r="F7488" t="str">
        <f>T("922788107")</f>
        <v>922788107</v>
      </c>
      <c r="G7488" t="str">
        <f>T("PMO")</f>
        <v>PMO</v>
      </c>
      <c r="H7488" t="str">
        <f>T("MCAGCC BOX 788107")</f>
        <v>MCAGCC BOX 788107</v>
      </c>
      <c r="I7488" t="str">
        <f t="shared" si="2827"/>
        <v>TWENTYNINE PALMS</v>
      </c>
      <c r="J7488" t="str">
        <f t="shared" si="2821"/>
        <v>CA</v>
      </c>
      <c r="K7488" t="str">
        <f t="shared" si="2826"/>
        <v>7608306353</v>
      </c>
      <c r="L7488" t="str">
        <f>T("7608305457")</f>
        <v>7608305457</v>
      </c>
    </row>
    <row r="7489" spans="1:12" x14ac:dyDescent="0.35">
      <c r="A7489" t="str">
        <f t="shared" si="2823"/>
        <v>MCAGCC</v>
      </c>
      <c r="B7489" t="str">
        <f>T("PMO")</f>
        <v>PMO</v>
      </c>
      <c r="C7489" t="str">
        <f>T("MCAGCC  BOX 788107")</f>
        <v>MCAGCC  BOX 788107</v>
      </c>
      <c r="D7489" t="str">
        <f>T("TWENTY NINE PALMS")</f>
        <v>TWENTY NINE PALMS</v>
      </c>
      <c r="E7489" t="str">
        <f t="shared" si="2820"/>
        <v>CA</v>
      </c>
      <c r="F7489" t="str">
        <f>T("922788107")</f>
        <v>922788107</v>
      </c>
      <c r="G7489" t="str">
        <f>T("PMO")</f>
        <v>PMO</v>
      </c>
      <c r="H7489" t="str">
        <f>T("MCAGCC BOX 788107")</f>
        <v>MCAGCC BOX 788107</v>
      </c>
      <c r="I7489" t="str">
        <f t="shared" si="2827"/>
        <v>TWENTYNINE PALMS</v>
      </c>
      <c r="J7489" t="str">
        <f t="shared" si="2821"/>
        <v>CA</v>
      </c>
      <c r="K7489" t="str">
        <f t="shared" si="2826"/>
        <v>7608306353</v>
      </c>
      <c r="L7489" t="str">
        <f>T("7608305637")</f>
        <v>7608305637</v>
      </c>
    </row>
    <row r="7490" spans="1:12" x14ac:dyDescent="0.35">
      <c r="A7490" t="str">
        <f t="shared" si="2823"/>
        <v>MCAGCC</v>
      </c>
      <c r="B7490" t="str">
        <f>T("PMO")</f>
        <v>PMO</v>
      </c>
      <c r="C7490" t="str">
        <f>T("MCAGCC  BOX 788107")</f>
        <v>MCAGCC  BOX 788107</v>
      </c>
      <c r="D7490" t="str">
        <f>T("TWENTY NINE PALMS")</f>
        <v>TWENTY NINE PALMS</v>
      </c>
      <c r="E7490" t="str">
        <f t="shared" si="2820"/>
        <v>CA</v>
      </c>
      <c r="F7490" t="str">
        <f>T("922788107")</f>
        <v>922788107</v>
      </c>
      <c r="G7490" t="str">
        <f>T("PMO")</f>
        <v>PMO</v>
      </c>
      <c r="H7490" t="str">
        <f>T("MCAGCC BOX 788107")</f>
        <v>MCAGCC BOX 788107</v>
      </c>
      <c r="I7490" t="str">
        <f t="shared" si="2827"/>
        <v>TWENTYNINE PALMS</v>
      </c>
      <c r="J7490" t="str">
        <f t="shared" si="2821"/>
        <v>CA</v>
      </c>
      <c r="K7490" t="str">
        <f t="shared" si="2826"/>
        <v>7608306353</v>
      </c>
      <c r="L7490" t="str">
        <f>T("7608306299")</f>
        <v>7608306299</v>
      </c>
    </row>
    <row r="7491" spans="1:12" x14ac:dyDescent="0.35">
      <c r="A7491" t="str">
        <f t="shared" si="2823"/>
        <v>MCAGCC</v>
      </c>
      <c r="B7491" t="str">
        <f>T("PROTOCOL OFFICE")</f>
        <v>PROTOCOL OFFICE</v>
      </c>
      <c r="C7491" t="str">
        <f>T("MCAGCC BOX 788103")</f>
        <v>MCAGCC BOX 788103</v>
      </c>
      <c r="D7491" t="str">
        <f>T("TWENTYNINE PALMS")</f>
        <v>TWENTYNINE PALMS</v>
      </c>
      <c r="E7491" t="str">
        <f t="shared" si="2820"/>
        <v>CA</v>
      </c>
      <c r="F7491" t="str">
        <f>T("922788103")</f>
        <v>922788103</v>
      </c>
      <c r="G7491" t="str">
        <f>T("PROTOCOL")</f>
        <v>PROTOCOL</v>
      </c>
      <c r="H7491" t="str">
        <f>T("MCAGCC BOX 788103")</f>
        <v>MCAGCC BOX 788103</v>
      </c>
      <c r="I7491" t="str">
        <f t="shared" si="2827"/>
        <v>TWENTYNINE PALMS</v>
      </c>
      <c r="J7491" t="str">
        <f t="shared" si="2821"/>
        <v>CA</v>
      </c>
      <c r="K7491" t="str">
        <f t="shared" si="2826"/>
        <v>7608306353</v>
      </c>
      <c r="L7491" t="str">
        <f>T("7608307155")</f>
        <v>7608307155</v>
      </c>
    </row>
    <row r="7492" spans="1:12" x14ac:dyDescent="0.35">
      <c r="A7492" t="str">
        <f t="shared" si="2823"/>
        <v>MCAGCC</v>
      </c>
      <c r="B7492" t="str">
        <f>T("PROTOCOL OFFICE")</f>
        <v>PROTOCOL OFFICE</v>
      </c>
      <c r="C7492" t="str">
        <f>T("MCAGCC BOX 788103")</f>
        <v>MCAGCC BOX 788103</v>
      </c>
      <c r="D7492" t="str">
        <f>T("TWENTYNINE PALMS")</f>
        <v>TWENTYNINE PALMS</v>
      </c>
      <c r="E7492" t="str">
        <f t="shared" si="2820"/>
        <v>CA</v>
      </c>
      <c r="F7492" t="str">
        <f>T("922788103")</f>
        <v>922788103</v>
      </c>
      <c r="G7492" t="str">
        <f>T("PROTOCOL OFFICE")</f>
        <v>PROTOCOL OFFICE</v>
      </c>
      <c r="H7492" t="str">
        <f>T("MCAGCC BOX 788103")</f>
        <v>MCAGCC BOX 788103</v>
      </c>
      <c r="I7492" t="str">
        <f t="shared" si="2827"/>
        <v>TWENTYNINE PALMS</v>
      </c>
      <c r="J7492" t="str">
        <f t="shared" si="2821"/>
        <v>CA</v>
      </c>
      <c r="K7492" t="str">
        <f t="shared" si="2826"/>
        <v>7608306353</v>
      </c>
      <c r="L7492" t="str">
        <f>T("7608306109")</f>
        <v>7608306109</v>
      </c>
    </row>
    <row r="7493" spans="1:12" x14ac:dyDescent="0.35">
      <c r="A7493" t="str">
        <f t="shared" si="2823"/>
        <v>MCAGCC</v>
      </c>
      <c r="B7493" t="str">
        <f>T("RCO-MOP")</f>
        <v>RCO-MOP</v>
      </c>
      <c r="C7493" t="str">
        <f>T("MCAGCC BOX 788153")</f>
        <v>MCAGCC BOX 788153</v>
      </c>
      <c r="D7493" t="str">
        <f t="shared" ref="D7493:D7500" si="2828">T("TWENTYNIN PLM")</f>
        <v>TWENTYNIN PLM</v>
      </c>
      <c r="E7493" t="str">
        <f t="shared" ref="E7493:E7515" si="2829">T("CA")</f>
        <v>CA</v>
      </c>
      <c r="F7493" t="str">
        <f>T("922788153")</f>
        <v>922788153</v>
      </c>
      <c r="G7493" t="str">
        <f>T("BCO-MOP")</f>
        <v>BCO-MOP</v>
      </c>
      <c r="H7493" t="str">
        <f>T("BOX 788153")</f>
        <v>BOX 788153</v>
      </c>
      <c r="I7493" t="str">
        <f t="shared" si="2827"/>
        <v>TWENTYNINE PALMS</v>
      </c>
      <c r="J7493" t="str">
        <f t="shared" ref="J7493:J7515" si="2830">T("CA")</f>
        <v>CA</v>
      </c>
      <c r="K7493" t="str">
        <f t="shared" si="2826"/>
        <v>7608306353</v>
      </c>
      <c r="L7493" t="str">
        <f>T("7608303413")</f>
        <v>7608303413</v>
      </c>
    </row>
    <row r="7494" spans="1:12" x14ac:dyDescent="0.35">
      <c r="A7494" t="str">
        <f t="shared" si="2823"/>
        <v>MCAGCC</v>
      </c>
      <c r="B7494" t="str">
        <f>T("RCO-MOP")</f>
        <v>RCO-MOP</v>
      </c>
      <c r="C7494" t="str">
        <f>T("MCAGCC BOX 788153")</f>
        <v>MCAGCC BOX 788153</v>
      </c>
      <c r="D7494" t="str">
        <f t="shared" si="2828"/>
        <v>TWENTYNIN PLM</v>
      </c>
      <c r="E7494" t="str">
        <f t="shared" si="2829"/>
        <v>CA</v>
      </c>
      <c r="F7494" t="str">
        <f>T("922788153")</f>
        <v>922788153</v>
      </c>
      <c r="G7494" t="str">
        <f>T("RCO-MOP")</f>
        <v>RCO-MOP</v>
      </c>
      <c r="H7494" t="str">
        <f>T("MCAGCC BOX 788153")</f>
        <v>MCAGCC BOX 788153</v>
      </c>
      <c r="I7494" t="str">
        <f>T("TWENTYNIN PLM")</f>
        <v>TWENTYNIN PLM</v>
      </c>
      <c r="J7494" t="str">
        <f t="shared" si="2830"/>
        <v>CA</v>
      </c>
      <c r="K7494" t="str">
        <f t="shared" si="2826"/>
        <v>7608306353</v>
      </c>
      <c r="L7494" t="str">
        <f>T("7608305115")</f>
        <v>7608305115</v>
      </c>
    </row>
    <row r="7495" spans="1:12" x14ac:dyDescent="0.35">
      <c r="A7495" t="str">
        <f t="shared" si="2823"/>
        <v>MCAGCC</v>
      </c>
      <c r="B7495" t="str">
        <f>T("RMD")</f>
        <v>RMD</v>
      </c>
      <c r="C7495" t="str">
        <f>T("MCAGCC BOX 788115")</f>
        <v>MCAGCC BOX 788115</v>
      </c>
      <c r="D7495" t="str">
        <f t="shared" si="2828"/>
        <v>TWENTYNIN PLM</v>
      </c>
      <c r="E7495" t="str">
        <f t="shared" si="2829"/>
        <v>CA</v>
      </c>
      <c r="F7495" t="str">
        <f>T("922788115")</f>
        <v>922788115</v>
      </c>
      <c r="G7495" t="str">
        <f>T("RELIGIOUS MINISTRIES DIR")</f>
        <v>RELIGIOUS MINISTRIES DIR</v>
      </c>
      <c r="H7495" t="str">
        <f>T("MCAGCC BOX 788115")</f>
        <v>MCAGCC BOX 788115</v>
      </c>
      <c r="I7495" t="str">
        <f>T("TWENTYNINE PALMS")</f>
        <v>TWENTYNINE PALMS</v>
      </c>
      <c r="J7495" t="str">
        <f t="shared" si="2830"/>
        <v>CA</v>
      </c>
      <c r="K7495" t="str">
        <f t="shared" si="2826"/>
        <v>7608306353</v>
      </c>
      <c r="L7495" t="str">
        <f>T("7608306464")</f>
        <v>7608306464</v>
      </c>
    </row>
    <row r="7496" spans="1:12" x14ac:dyDescent="0.35">
      <c r="A7496" t="str">
        <f t="shared" si="2823"/>
        <v>MCAGCC</v>
      </c>
      <c r="B7496" t="str">
        <f>T("RMD")</f>
        <v>RMD</v>
      </c>
      <c r="C7496" t="str">
        <f>T("MCAGCC BOX 788115")</f>
        <v>MCAGCC BOX 788115</v>
      </c>
      <c r="D7496" t="str">
        <f t="shared" si="2828"/>
        <v>TWENTYNIN PLM</v>
      </c>
      <c r="E7496" t="str">
        <f t="shared" si="2829"/>
        <v>CA</v>
      </c>
      <c r="F7496" t="str">
        <f>T("922788115")</f>
        <v>922788115</v>
      </c>
      <c r="G7496" t="str">
        <f>T("RMD")</f>
        <v>RMD</v>
      </c>
      <c r="H7496" t="str">
        <f>T("MCAGCC BOX 788115")</f>
        <v>MCAGCC BOX 788115</v>
      </c>
      <c r="I7496" t="str">
        <f>T("TWENTYNIN PLM")</f>
        <v>TWENTYNIN PLM</v>
      </c>
      <c r="J7496" t="str">
        <f t="shared" si="2830"/>
        <v>CA</v>
      </c>
      <c r="K7496" t="str">
        <f t="shared" si="2826"/>
        <v>7608306353</v>
      </c>
      <c r="L7496" t="str">
        <f>T("7608304956")</f>
        <v>7608304956</v>
      </c>
    </row>
    <row r="7497" spans="1:12" x14ac:dyDescent="0.35">
      <c r="A7497" t="str">
        <f t="shared" si="2823"/>
        <v>MCAGCC</v>
      </c>
      <c r="B7497" t="str">
        <f>T("RMD")</f>
        <v>RMD</v>
      </c>
      <c r="C7497" t="str">
        <f>T("MCAGCC BOX 788115")</f>
        <v>MCAGCC BOX 788115</v>
      </c>
      <c r="D7497" t="str">
        <f t="shared" si="2828"/>
        <v>TWENTYNIN PLM</v>
      </c>
      <c r="E7497" t="str">
        <f t="shared" si="2829"/>
        <v>CA</v>
      </c>
      <c r="F7497" t="str">
        <f>T("922788115")</f>
        <v>922788115</v>
      </c>
      <c r="G7497" t="str">
        <f>T("RMD")</f>
        <v>RMD</v>
      </c>
      <c r="H7497" t="str">
        <f>T("MCAGCC BOX 788115")</f>
        <v>MCAGCC BOX 788115</v>
      </c>
      <c r="I7497" t="str">
        <f>T("TWENTYNINE PALMS")</f>
        <v>TWENTYNINE PALMS</v>
      </c>
      <c r="J7497" t="str">
        <f t="shared" si="2830"/>
        <v>CA</v>
      </c>
      <c r="K7497" t="str">
        <f t="shared" si="2826"/>
        <v>7608306353</v>
      </c>
      <c r="L7497" t="str">
        <f>T("7608306464")</f>
        <v>7608306464</v>
      </c>
    </row>
    <row r="7498" spans="1:12" x14ac:dyDescent="0.35">
      <c r="A7498" t="str">
        <f t="shared" si="2823"/>
        <v>MCAGCC</v>
      </c>
      <c r="B7498" t="str">
        <f>T("SACC")</f>
        <v>SACC</v>
      </c>
      <c r="C7498" t="str">
        <f>T("MCAGCC BOX 788150")</f>
        <v>MCAGCC BOX 788150</v>
      </c>
      <c r="D7498" t="str">
        <f t="shared" si="2828"/>
        <v>TWENTYNIN PLM</v>
      </c>
      <c r="E7498" t="str">
        <f t="shared" si="2829"/>
        <v>CA</v>
      </c>
      <c r="F7498" t="str">
        <f>T("922788150")</f>
        <v>922788150</v>
      </c>
      <c r="G7498" t="str">
        <f>T("SACC")</f>
        <v>SACC</v>
      </c>
      <c r="H7498" t="str">
        <f>T("MCAGCC BOX 788150")</f>
        <v>MCAGCC BOX 788150</v>
      </c>
      <c r="I7498" t="str">
        <f>T("TWENTYNIN PLM")</f>
        <v>TWENTYNIN PLM</v>
      </c>
      <c r="J7498" t="str">
        <f t="shared" si="2830"/>
        <v>CA</v>
      </c>
      <c r="K7498" t="str">
        <f t="shared" si="2826"/>
        <v>7608306353</v>
      </c>
      <c r="L7498" t="str">
        <f>T("7608306986")</f>
        <v>7608306986</v>
      </c>
    </row>
    <row r="7499" spans="1:12" x14ac:dyDescent="0.35">
      <c r="A7499" t="str">
        <f t="shared" si="2823"/>
        <v>MCAGCC</v>
      </c>
      <c r="B7499" t="str">
        <f>T("STAFF JUDGE ADVOCATE")</f>
        <v>STAFF JUDGE ADVOCATE</v>
      </c>
      <c r="C7499" t="str">
        <f>T("MCAGCC BOX 788102")</f>
        <v>MCAGCC BOX 788102</v>
      </c>
      <c r="D7499" t="str">
        <f t="shared" si="2828"/>
        <v>TWENTYNIN PLM</v>
      </c>
      <c r="E7499" t="str">
        <f t="shared" si="2829"/>
        <v>CA</v>
      </c>
      <c r="F7499" t="str">
        <f>T("922788102")</f>
        <v>922788102</v>
      </c>
      <c r="G7499" t="str">
        <f>T("SJA")</f>
        <v>SJA</v>
      </c>
      <c r="H7499" t="str">
        <f>T("MCAGCC BOX 788102")</f>
        <v>MCAGCC BOX 788102</v>
      </c>
      <c r="I7499" t="str">
        <f>T("TWENTYNINE PALMS")</f>
        <v>TWENTYNINE PALMS</v>
      </c>
      <c r="J7499" t="str">
        <f t="shared" si="2830"/>
        <v>CA</v>
      </c>
      <c r="K7499" t="str">
        <f t="shared" si="2826"/>
        <v>7608306353</v>
      </c>
      <c r="L7499" t="str">
        <f>T("7608305060")</f>
        <v>7608305060</v>
      </c>
    </row>
    <row r="7500" spans="1:12" x14ac:dyDescent="0.35">
      <c r="A7500" t="str">
        <f t="shared" si="2823"/>
        <v>MCAGCC</v>
      </c>
      <c r="B7500" t="str">
        <f>T("STAFF JUDGE ADVOCATE")</f>
        <v>STAFF JUDGE ADVOCATE</v>
      </c>
      <c r="C7500" t="str">
        <f>T("MCAGCC BOX 788102")</f>
        <v>MCAGCC BOX 788102</v>
      </c>
      <c r="D7500" t="str">
        <f t="shared" si="2828"/>
        <v>TWENTYNIN PLM</v>
      </c>
      <c r="E7500" t="str">
        <f t="shared" si="2829"/>
        <v>CA</v>
      </c>
      <c r="F7500" t="str">
        <f>T("922788102")</f>
        <v>922788102</v>
      </c>
      <c r="G7500" t="str">
        <f>T("STAFF JUDGE ADVOCATE")</f>
        <v>STAFF JUDGE ADVOCATE</v>
      </c>
      <c r="H7500" t="str">
        <f>T("MCAGCC BOX 788102")</f>
        <v>MCAGCC BOX 788102</v>
      </c>
      <c r="I7500" t="str">
        <f>T("TWENTYNIN PLM")</f>
        <v>TWENTYNIN PLM</v>
      </c>
      <c r="J7500" t="str">
        <f t="shared" si="2830"/>
        <v>CA</v>
      </c>
      <c r="K7500" t="str">
        <f t="shared" si="2826"/>
        <v>7608306353</v>
      </c>
      <c r="L7500" t="str">
        <f>T("7608305252")</f>
        <v>7608305252</v>
      </c>
    </row>
    <row r="7501" spans="1:12" x14ac:dyDescent="0.35">
      <c r="A7501" t="str">
        <f t="shared" ref="A7501:A7529" si="2831">T("MAGTFTC")</f>
        <v>MAGTFTC</v>
      </c>
      <c r="B7501" t="str">
        <f>T("AC/S G-3 O&amp;T")</f>
        <v>AC/S G-3 O&amp;T</v>
      </c>
      <c r="C7501" t="str">
        <f>T("MAGTFTC BOX 788103")</f>
        <v>MAGTFTC BOX 788103</v>
      </c>
      <c r="D7501" t="str">
        <f>T("TWENTYNINE PALMS")</f>
        <v>TWENTYNINE PALMS</v>
      </c>
      <c r="E7501" t="str">
        <f t="shared" si="2829"/>
        <v>CA</v>
      </c>
      <c r="F7501" t="str">
        <f>T("922788103")</f>
        <v>922788103</v>
      </c>
      <c r="G7501" t="str">
        <f>T("AC/S G-3 O&amp;T")</f>
        <v>AC/S G-3 O&amp;T</v>
      </c>
      <c r="H7501" t="str">
        <f>T("MAGTFTC BOX 788103")</f>
        <v>MAGTFTC BOX 788103</v>
      </c>
      <c r="I7501" t="str">
        <f>T("TWENTYNINE PALMS")</f>
        <v>TWENTYNINE PALMS</v>
      </c>
      <c r="J7501" t="str">
        <f t="shared" si="2830"/>
        <v>CA</v>
      </c>
      <c r="K7501" t="str">
        <f t="shared" si="2826"/>
        <v>7608306353</v>
      </c>
      <c r="L7501" t="str">
        <f>T("7608304737")</f>
        <v>7608304737</v>
      </c>
    </row>
    <row r="7502" spans="1:12" x14ac:dyDescent="0.35">
      <c r="A7502" t="str">
        <f t="shared" si="2831"/>
        <v>MAGTFTC</v>
      </c>
      <c r="B7502" t="str">
        <f>T("AC/S G-3 O&amp;T")</f>
        <v>AC/S G-3 O&amp;T</v>
      </c>
      <c r="C7502" t="str">
        <f>T("MAGTFTC BOX 788103")</f>
        <v>MAGTFTC BOX 788103</v>
      </c>
      <c r="D7502" t="str">
        <f>T("TWENTYNINE PALMS")</f>
        <v>TWENTYNINE PALMS</v>
      </c>
      <c r="E7502" t="str">
        <f t="shared" si="2829"/>
        <v>CA</v>
      </c>
      <c r="F7502" t="str">
        <f>T("922788103")</f>
        <v>922788103</v>
      </c>
      <c r="G7502" t="str">
        <f>T("AC/S G-3 OT")</f>
        <v>AC/S G-3 OT</v>
      </c>
      <c r="H7502" t="str">
        <f>T("MAGTFTC BOX 788103")</f>
        <v>MAGTFTC BOX 788103</v>
      </c>
      <c r="I7502" t="str">
        <f>T("TWENTYNINE PALMS")</f>
        <v>TWENTYNINE PALMS</v>
      </c>
      <c r="J7502" t="str">
        <f t="shared" si="2830"/>
        <v>CA</v>
      </c>
      <c r="K7502" t="str">
        <f t="shared" si="2826"/>
        <v>7608306353</v>
      </c>
      <c r="L7502" t="str">
        <f>T("7608301830")</f>
        <v>7608301830</v>
      </c>
    </row>
    <row r="7503" spans="1:12" x14ac:dyDescent="0.35">
      <c r="A7503" t="str">
        <f t="shared" si="2831"/>
        <v>MAGTFTC</v>
      </c>
      <c r="B7503" t="str">
        <f>T("AC/S G-3 O&amp;T")</f>
        <v>AC/S G-3 O&amp;T</v>
      </c>
      <c r="C7503" t="str">
        <f>T("MAGTFTC BOX 788103")</f>
        <v>MAGTFTC BOX 788103</v>
      </c>
      <c r="D7503" t="str">
        <f>T("TWENTYNINE PALMS")</f>
        <v>TWENTYNINE PALMS</v>
      </c>
      <c r="E7503" t="str">
        <f t="shared" si="2829"/>
        <v>CA</v>
      </c>
      <c r="F7503" t="str">
        <f>T("922788103")</f>
        <v>922788103</v>
      </c>
      <c r="G7503" t="str">
        <f>T("G-3 O&amp;T")</f>
        <v>G-3 O&amp;T</v>
      </c>
      <c r="H7503" t="str">
        <f>T("MAGTFTC BOX 788103")</f>
        <v>MAGTFTC BOX 788103</v>
      </c>
      <c r="I7503" t="str">
        <f>T("TWENTYNINE PALMS")</f>
        <v>TWENTYNINE PALMS</v>
      </c>
      <c r="J7503" t="str">
        <f t="shared" si="2830"/>
        <v>CA</v>
      </c>
      <c r="K7503" t="str">
        <f>T("000000000000000000")</f>
        <v>000000000000000000</v>
      </c>
      <c r="L7503" t="str">
        <f>T("7608303652")</f>
        <v>7608303652</v>
      </c>
    </row>
    <row r="7504" spans="1:12" x14ac:dyDescent="0.35">
      <c r="A7504" t="str">
        <f t="shared" si="2831"/>
        <v>MAGTFTC</v>
      </c>
      <c r="B7504" t="str">
        <f>T("AC/S G-7 CENTER SAFETY TRN")</f>
        <v>AC/S G-7 CENTER SAFETY TRN</v>
      </c>
      <c r="C7504" t="str">
        <f>T("MCAGCC BOX 788107")</f>
        <v>MCAGCC BOX 788107</v>
      </c>
      <c r="D7504" t="str">
        <f t="shared" ref="D7504:D7515" si="2832">T("TWENTYNIN PLM")</f>
        <v>TWENTYNIN PLM</v>
      </c>
      <c r="E7504" t="str">
        <f t="shared" si="2829"/>
        <v>CA</v>
      </c>
      <c r="F7504" t="str">
        <f>T("922788107")</f>
        <v>922788107</v>
      </c>
      <c r="G7504" t="str">
        <f>T("AC/S G-7 CENTER SAFETY TRN")</f>
        <v>AC/S G-7 CENTER SAFETY TRN</v>
      </c>
      <c r="H7504" t="str">
        <f>T("MCAGCC BOX 788107")</f>
        <v>MCAGCC BOX 788107</v>
      </c>
      <c r="I7504" t="str">
        <f>T("TWENTYNIN PLM")</f>
        <v>TWENTYNIN PLM</v>
      </c>
      <c r="J7504" t="str">
        <f t="shared" si="2830"/>
        <v>CA</v>
      </c>
      <c r="K7504" t="str">
        <f t="shared" ref="K7504:K7529" si="2833">T("7608306353")</f>
        <v>7608306353</v>
      </c>
      <c r="L7504" t="str">
        <f>T("7608308465")</f>
        <v>7608308465</v>
      </c>
    </row>
    <row r="7505" spans="1:12" x14ac:dyDescent="0.35">
      <c r="A7505" t="str">
        <f t="shared" si="2831"/>
        <v>MAGTFTC</v>
      </c>
      <c r="B7505" t="str">
        <f>T("AC/S G-7 CENTER SAFETY TRN")</f>
        <v>AC/S G-7 CENTER SAFETY TRN</v>
      </c>
      <c r="C7505" t="str">
        <f>T("MCAGCC BOX 788107")</f>
        <v>MCAGCC BOX 788107</v>
      </c>
      <c r="D7505" t="str">
        <f t="shared" si="2832"/>
        <v>TWENTYNIN PLM</v>
      </c>
      <c r="E7505" t="str">
        <f t="shared" si="2829"/>
        <v>CA</v>
      </c>
      <c r="F7505" t="str">
        <f>T("922788107")</f>
        <v>922788107</v>
      </c>
      <c r="G7505" t="str">
        <f>T("AC/S G-7 CENTER SAFETY TRN")</f>
        <v>AC/S G-7 CENTER SAFETY TRN</v>
      </c>
      <c r="H7505" t="str">
        <f>T("MCAGCC BOX 788107")</f>
        <v>MCAGCC BOX 788107</v>
      </c>
      <c r="I7505" t="str">
        <f>T("TWENTYNINE PALMS")</f>
        <v>TWENTYNINE PALMS</v>
      </c>
      <c r="J7505" t="str">
        <f t="shared" si="2830"/>
        <v>CA</v>
      </c>
      <c r="K7505" t="str">
        <f t="shared" si="2833"/>
        <v>7608306353</v>
      </c>
      <c r="L7505" t="str">
        <f>T("7608304232")</f>
        <v>7608304232</v>
      </c>
    </row>
    <row r="7506" spans="1:12" x14ac:dyDescent="0.35">
      <c r="A7506" t="str">
        <f t="shared" si="2831"/>
        <v>MAGTFTC</v>
      </c>
      <c r="B7506" t="str">
        <f>T("CG")</f>
        <v>CG</v>
      </c>
      <c r="C7506" t="str">
        <f>T("MAGTFTC BOX 788100")</f>
        <v>MAGTFTC BOX 788100</v>
      </c>
      <c r="D7506" t="str">
        <f t="shared" si="2832"/>
        <v>TWENTYNIN PLM</v>
      </c>
      <c r="E7506" t="str">
        <f t="shared" si="2829"/>
        <v>CA</v>
      </c>
      <c r="F7506" t="str">
        <f>T("922788100")</f>
        <v>922788100</v>
      </c>
      <c r="G7506" t="str">
        <f>T("CG")</f>
        <v>CG</v>
      </c>
      <c r="H7506" t="str">
        <f>T("MAGTFTC BOX 788100")</f>
        <v>MAGTFTC BOX 788100</v>
      </c>
      <c r="I7506" t="str">
        <f>T("TWENTYNIN PLM")</f>
        <v>TWENTYNIN PLM</v>
      </c>
      <c r="J7506" t="str">
        <f t="shared" si="2830"/>
        <v>CA</v>
      </c>
      <c r="K7506" t="str">
        <f t="shared" si="2833"/>
        <v>7608306353</v>
      </c>
      <c r="L7506" t="str">
        <f>T("7608308104")</f>
        <v>7608308104</v>
      </c>
    </row>
    <row r="7507" spans="1:12" x14ac:dyDescent="0.35">
      <c r="A7507" t="str">
        <f t="shared" si="2831"/>
        <v>MAGTFTC</v>
      </c>
      <c r="B7507" t="str">
        <f>T("CG")</f>
        <v>CG</v>
      </c>
      <c r="C7507" t="str">
        <f>T("MAGTFTC BOX 788100")</f>
        <v>MAGTFTC BOX 788100</v>
      </c>
      <c r="D7507" t="str">
        <f t="shared" si="2832"/>
        <v>TWENTYNIN PLM</v>
      </c>
      <c r="E7507" t="str">
        <f t="shared" si="2829"/>
        <v>CA</v>
      </c>
      <c r="F7507" t="str">
        <f>T("922788100")</f>
        <v>922788100</v>
      </c>
      <c r="G7507" t="str">
        <f>T("CG")</f>
        <v>CG</v>
      </c>
      <c r="H7507" t="str">
        <f>T("MAGTFTC BOX 788100")</f>
        <v>MAGTFTC BOX 788100</v>
      </c>
      <c r="I7507" t="str">
        <f>T("TWENTYNINE PALMS")</f>
        <v>TWENTYNINE PALMS</v>
      </c>
      <c r="J7507" t="str">
        <f t="shared" si="2830"/>
        <v>CA</v>
      </c>
      <c r="K7507" t="str">
        <f t="shared" si="2833"/>
        <v>7608306353</v>
      </c>
      <c r="L7507" t="str">
        <f>T("7608307070")</f>
        <v>7608307070</v>
      </c>
    </row>
    <row r="7508" spans="1:12" x14ac:dyDescent="0.35">
      <c r="A7508" t="str">
        <f t="shared" si="2831"/>
        <v>MAGTFTC</v>
      </c>
      <c r="B7508" t="str">
        <f>T("CMSC-TRAINING")</f>
        <v>CMSC-TRAINING</v>
      </c>
      <c r="C7508" t="str">
        <f>T("MAGTFTC BOX 788109")</f>
        <v>MAGTFTC BOX 788109</v>
      </c>
      <c r="D7508" t="str">
        <f t="shared" si="2832"/>
        <v>TWENTYNIN PLM</v>
      </c>
      <c r="E7508" t="str">
        <f t="shared" si="2829"/>
        <v>CA</v>
      </c>
      <c r="F7508" t="str">
        <f>T("922788109")</f>
        <v>922788109</v>
      </c>
      <c r="G7508" t="str">
        <f>T("CMSC TRAINING")</f>
        <v>CMSC TRAINING</v>
      </c>
      <c r="H7508" t="str">
        <f>T("MAGTFTC BOX 788109")</f>
        <v>MAGTFTC BOX 788109</v>
      </c>
      <c r="I7508" t="str">
        <f>T("TWENTYNINE PALMS")</f>
        <v>TWENTYNINE PALMS</v>
      </c>
      <c r="J7508" t="str">
        <f t="shared" si="2830"/>
        <v>CA</v>
      </c>
      <c r="K7508" t="str">
        <f t="shared" si="2833"/>
        <v>7608306353</v>
      </c>
      <c r="L7508" t="str">
        <f>T("7608306446")</f>
        <v>7608306446</v>
      </c>
    </row>
    <row r="7509" spans="1:12" x14ac:dyDescent="0.35">
      <c r="A7509" t="str">
        <f t="shared" si="2831"/>
        <v>MAGTFTC</v>
      </c>
      <c r="B7509" t="str">
        <f>T("CMSC-TRAINING")</f>
        <v>CMSC-TRAINING</v>
      </c>
      <c r="C7509" t="str">
        <f>T("MAGTFTC BOX 788109")</f>
        <v>MAGTFTC BOX 788109</v>
      </c>
      <c r="D7509" t="str">
        <f t="shared" si="2832"/>
        <v>TWENTYNIN PLM</v>
      </c>
      <c r="E7509" t="str">
        <f t="shared" si="2829"/>
        <v>CA</v>
      </c>
      <c r="F7509" t="str">
        <f>T("922788109")</f>
        <v>922788109</v>
      </c>
      <c r="G7509" t="str">
        <f>T("CMSC-TRAINING")</f>
        <v>CMSC-TRAINING</v>
      </c>
      <c r="H7509" t="str">
        <f>T("MAGTFTC BOX 788109")</f>
        <v>MAGTFTC BOX 788109</v>
      </c>
      <c r="I7509" t="str">
        <f>T("TWENTYNIN PLM")</f>
        <v>TWENTYNIN PLM</v>
      </c>
      <c r="J7509" t="str">
        <f t="shared" si="2830"/>
        <v>CA</v>
      </c>
      <c r="K7509" t="str">
        <f t="shared" si="2833"/>
        <v>7608306353</v>
      </c>
      <c r="L7509" t="str">
        <f>T("7608303032")</f>
        <v>7608303032</v>
      </c>
    </row>
    <row r="7510" spans="1:12" x14ac:dyDescent="0.35">
      <c r="A7510" t="str">
        <f t="shared" si="2831"/>
        <v>MAGTFTC</v>
      </c>
      <c r="B7510" t="str">
        <f>T("EOD")</f>
        <v>EOD</v>
      </c>
      <c r="C7510" t="str">
        <f>T("MAGTFTC BOX 788103")</f>
        <v>MAGTFTC BOX 788103</v>
      </c>
      <c r="D7510" t="str">
        <f t="shared" si="2832"/>
        <v>TWENTYNIN PLM</v>
      </c>
      <c r="E7510" t="str">
        <f t="shared" si="2829"/>
        <v>CA</v>
      </c>
      <c r="F7510" t="str">
        <f>T("922788103")</f>
        <v>922788103</v>
      </c>
      <c r="G7510" t="str">
        <f>T("EOD")</f>
        <v>EOD</v>
      </c>
      <c r="H7510" t="str">
        <f>T("MAGTFTC BOX 788103")</f>
        <v>MAGTFTC BOX 788103</v>
      </c>
      <c r="I7510" t="str">
        <f>T("TWENTYNIN PLM")</f>
        <v>TWENTYNIN PLM</v>
      </c>
      <c r="J7510" t="str">
        <f t="shared" si="2830"/>
        <v>CA</v>
      </c>
      <c r="K7510" t="str">
        <f t="shared" si="2833"/>
        <v>7608306353</v>
      </c>
      <c r="L7510" t="str">
        <f>T("7608306047")</f>
        <v>7608306047</v>
      </c>
    </row>
    <row r="7511" spans="1:12" x14ac:dyDescent="0.35">
      <c r="A7511" t="str">
        <f t="shared" si="2831"/>
        <v>MAGTFTC</v>
      </c>
      <c r="B7511" t="str">
        <f>T("EOD")</f>
        <v>EOD</v>
      </c>
      <c r="C7511" t="str">
        <f>T("MAGTFTC BOX 788103")</f>
        <v>MAGTFTC BOX 788103</v>
      </c>
      <c r="D7511" t="str">
        <f t="shared" si="2832"/>
        <v>TWENTYNIN PLM</v>
      </c>
      <c r="E7511" t="str">
        <f t="shared" si="2829"/>
        <v>CA</v>
      </c>
      <c r="F7511" t="str">
        <f>T("922788103")</f>
        <v>922788103</v>
      </c>
      <c r="G7511" t="str">
        <f>T("EOD")</f>
        <v>EOD</v>
      </c>
      <c r="H7511" t="str">
        <f>T("MAGTFTC BOX 788103")</f>
        <v>MAGTFTC BOX 788103</v>
      </c>
      <c r="I7511" t="str">
        <f>T("TWENTYNINE PALMS")</f>
        <v>TWENTYNINE PALMS</v>
      </c>
      <c r="J7511" t="str">
        <f t="shared" si="2830"/>
        <v>CA</v>
      </c>
      <c r="K7511" t="str">
        <f t="shared" si="2833"/>
        <v>7608306353</v>
      </c>
      <c r="L7511" t="str">
        <f>T("7608306048")</f>
        <v>7608306048</v>
      </c>
    </row>
    <row r="7512" spans="1:12" x14ac:dyDescent="0.35">
      <c r="A7512" t="str">
        <f t="shared" si="2831"/>
        <v>MAGTFTC</v>
      </c>
      <c r="B7512" t="str">
        <f>T("EXERCISE SUPPORT DIVISION")</f>
        <v>EXERCISE SUPPORT DIVISION</v>
      </c>
      <c r="C7512" t="str">
        <f>T("MAGTFTC BOX 788106")</f>
        <v>MAGTFTC BOX 788106</v>
      </c>
      <c r="D7512" t="str">
        <f t="shared" si="2832"/>
        <v>TWENTYNIN PLM</v>
      </c>
      <c r="E7512" t="str">
        <f t="shared" si="2829"/>
        <v>CA</v>
      </c>
      <c r="F7512" t="str">
        <f>T("922788106")</f>
        <v>922788106</v>
      </c>
      <c r="G7512" t="str">
        <f>T("ESD")</f>
        <v>ESD</v>
      </c>
      <c r="H7512" t="str">
        <f>T("MAGTFTC BOX 788106")</f>
        <v>MAGTFTC BOX 788106</v>
      </c>
      <c r="I7512" t="str">
        <f>T("TWENTYNINE PALMS")</f>
        <v>TWENTYNINE PALMS</v>
      </c>
      <c r="J7512" t="str">
        <f t="shared" si="2830"/>
        <v>CA</v>
      </c>
      <c r="K7512" t="str">
        <f t="shared" si="2833"/>
        <v>7608306353</v>
      </c>
      <c r="L7512" t="str">
        <f>T("7608303981")</f>
        <v>7608303981</v>
      </c>
    </row>
    <row r="7513" spans="1:12" x14ac:dyDescent="0.35">
      <c r="A7513" t="str">
        <f t="shared" si="2831"/>
        <v>MAGTFTC</v>
      </c>
      <c r="B7513" t="str">
        <f>T("EXERCISE SUPPORT DIVISION")</f>
        <v>EXERCISE SUPPORT DIVISION</v>
      </c>
      <c r="C7513" t="str">
        <f>T("MAGTFTC BOX 788106")</f>
        <v>MAGTFTC BOX 788106</v>
      </c>
      <c r="D7513" t="str">
        <f t="shared" si="2832"/>
        <v>TWENTYNIN PLM</v>
      </c>
      <c r="E7513" t="str">
        <f t="shared" si="2829"/>
        <v>CA</v>
      </c>
      <c r="F7513" t="str">
        <f>T("922788106")</f>
        <v>922788106</v>
      </c>
      <c r="G7513" t="str">
        <f>T("ESD")</f>
        <v>ESD</v>
      </c>
      <c r="H7513" t="str">
        <f>T("MAGTFTC BOX 788106")</f>
        <v>MAGTFTC BOX 788106</v>
      </c>
      <c r="I7513" t="str">
        <f>T("TWENTYNINE PALMS")</f>
        <v>TWENTYNINE PALMS</v>
      </c>
      <c r="J7513" t="str">
        <f t="shared" si="2830"/>
        <v>CA</v>
      </c>
      <c r="K7513" t="str">
        <f t="shared" si="2833"/>
        <v>7608306353</v>
      </c>
      <c r="L7513" t="str">
        <f>T("7608304964")</f>
        <v>7608304964</v>
      </c>
    </row>
    <row r="7514" spans="1:12" x14ac:dyDescent="0.35">
      <c r="A7514" t="str">
        <f t="shared" si="2831"/>
        <v>MAGTFTC</v>
      </c>
      <c r="B7514" t="str">
        <f>T("EXERCISE SUPPORT DIVISION")</f>
        <v>EXERCISE SUPPORT DIVISION</v>
      </c>
      <c r="C7514" t="str">
        <f>T("MAGTFTC BOX 788106")</f>
        <v>MAGTFTC BOX 788106</v>
      </c>
      <c r="D7514" t="str">
        <f t="shared" si="2832"/>
        <v>TWENTYNIN PLM</v>
      </c>
      <c r="E7514" t="str">
        <f t="shared" si="2829"/>
        <v>CA</v>
      </c>
      <c r="F7514" t="str">
        <f>T("922788106")</f>
        <v>922788106</v>
      </c>
      <c r="G7514" t="str">
        <f>T("ESD")</f>
        <v>ESD</v>
      </c>
      <c r="H7514" t="str">
        <f>T("MAGTFTC BOX 788106")</f>
        <v>MAGTFTC BOX 788106</v>
      </c>
      <c r="I7514" t="str">
        <f>T("TWENTYNINE PALMS")</f>
        <v>TWENTYNINE PALMS</v>
      </c>
      <c r="J7514" t="str">
        <f t="shared" si="2830"/>
        <v>CA</v>
      </c>
      <c r="K7514" t="str">
        <f t="shared" si="2833"/>
        <v>7608306353</v>
      </c>
      <c r="L7514" t="str">
        <f>T("7608308619")</f>
        <v>7608308619</v>
      </c>
    </row>
    <row r="7515" spans="1:12" x14ac:dyDescent="0.35">
      <c r="A7515" t="str">
        <f t="shared" si="2831"/>
        <v>MAGTFTC</v>
      </c>
      <c r="B7515" t="str">
        <f>T("EXERCISE SUPPORT DIVISION")</f>
        <v>EXERCISE SUPPORT DIVISION</v>
      </c>
      <c r="C7515" t="str">
        <f>T("MAGTFTC BOX 788106")</f>
        <v>MAGTFTC BOX 788106</v>
      </c>
      <c r="D7515" t="str">
        <f t="shared" si="2832"/>
        <v>TWENTYNIN PLM</v>
      </c>
      <c r="E7515" t="str">
        <f t="shared" si="2829"/>
        <v>CA</v>
      </c>
      <c r="F7515" t="str">
        <f>T("922788106")</f>
        <v>922788106</v>
      </c>
      <c r="G7515" t="str">
        <f>T("EXERCISE SUPPORT DIVISION")</f>
        <v>EXERCISE SUPPORT DIVISION</v>
      </c>
      <c r="H7515" t="str">
        <f>T("MAGTFTC BOX 788106")</f>
        <v>MAGTFTC BOX 788106</v>
      </c>
      <c r="I7515" t="str">
        <f>T("TWENTYNIN PLM")</f>
        <v>TWENTYNIN PLM</v>
      </c>
      <c r="J7515" t="str">
        <f t="shared" si="2830"/>
        <v>CA</v>
      </c>
      <c r="K7515" t="str">
        <f t="shared" si="2833"/>
        <v>7608306353</v>
      </c>
      <c r="L7515" t="str">
        <f>T("7608308627")</f>
        <v>7608308627</v>
      </c>
    </row>
    <row r="7516" spans="1:12" x14ac:dyDescent="0.35">
      <c r="A7516" t="str">
        <f t="shared" si="2831"/>
        <v>MAGTFTC</v>
      </c>
      <c r="B7516" t="str">
        <f>T("MAWTS-1")</f>
        <v>MAWTS-1</v>
      </c>
      <c r="C7516" t="str">
        <f>T("MAWTS-1 BOX 99200")</f>
        <v>MAWTS-1 BOX 99200</v>
      </c>
      <c r="D7516" t="str">
        <f>T("YUMA")</f>
        <v>YUMA</v>
      </c>
      <c r="E7516" t="str">
        <f>T("AZ")</f>
        <v>AZ</v>
      </c>
      <c r="F7516" t="str">
        <f>T("853699200")</f>
        <v>853699200</v>
      </c>
      <c r="G7516" t="str">
        <f>T("MAWTS-1")</f>
        <v>MAWTS-1</v>
      </c>
      <c r="H7516" t="str">
        <f>T("MAWTS-1 BOX 99200")</f>
        <v>MAWTS-1 BOX 99200</v>
      </c>
      <c r="I7516" t="str">
        <f>T("YUMA")</f>
        <v>YUMA</v>
      </c>
      <c r="J7516" t="str">
        <f>T("AZ")</f>
        <v>AZ</v>
      </c>
      <c r="K7516" t="str">
        <f t="shared" si="2833"/>
        <v>7608306353</v>
      </c>
      <c r="L7516" t="str">
        <f>T("9282692482")</f>
        <v>9282692482</v>
      </c>
    </row>
    <row r="7517" spans="1:12" x14ac:dyDescent="0.35">
      <c r="A7517" t="str">
        <f t="shared" si="2831"/>
        <v>MAGTFTC</v>
      </c>
      <c r="B7517" t="str">
        <f>T("MAWTS-1")</f>
        <v>MAWTS-1</v>
      </c>
      <c r="C7517" t="str">
        <f>T("MAWTS-1 BOX 99200")</f>
        <v>MAWTS-1 BOX 99200</v>
      </c>
      <c r="D7517" t="str">
        <f>T("YUMA")</f>
        <v>YUMA</v>
      </c>
      <c r="E7517" t="str">
        <f>T("AZ")</f>
        <v>AZ</v>
      </c>
      <c r="F7517" t="str">
        <f>T("853699200")</f>
        <v>853699200</v>
      </c>
      <c r="G7517" t="str">
        <f>T("MAWTS-1")</f>
        <v>MAWTS-1</v>
      </c>
      <c r="H7517" t="str">
        <f>T("MAWTS-1 BOX 99200")</f>
        <v>MAWTS-1 BOX 99200</v>
      </c>
      <c r="I7517" t="str">
        <f>T("YUMA")</f>
        <v>YUMA</v>
      </c>
      <c r="J7517" t="str">
        <f>T("AZ")</f>
        <v>AZ</v>
      </c>
      <c r="K7517" t="str">
        <f t="shared" si="2833"/>
        <v>7608306353</v>
      </c>
      <c r="L7517" t="str">
        <f>T("9282692577")</f>
        <v>9282692577</v>
      </c>
    </row>
    <row r="7518" spans="1:12" x14ac:dyDescent="0.35">
      <c r="A7518" t="str">
        <f t="shared" si="2831"/>
        <v>MAGTFTC</v>
      </c>
      <c r="B7518" t="str">
        <f>T("MAWTS-1")</f>
        <v>MAWTS-1</v>
      </c>
      <c r="C7518" t="str">
        <f>T("MAWTS-1 BOX 99200")</f>
        <v>MAWTS-1 BOX 99200</v>
      </c>
      <c r="D7518" t="str">
        <f>T("YUMA")</f>
        <v>YUMA</v>
      </c>
      <c r="E7518" t="str">
        <f>T("AZ")</f>
        <v>AZ</v>
      </c>
      <c r="F7518" t="str">
        <f>T("853699200")</f>
        <v>853699200</v>
      </c>
      <c r="G7518" t="str">
        <f>T("MAWTS-1")</f>
        <v>MAWTS-1</v>
      </c>
      <c r="H7518" t="str">
        <f>T("MAWTS-1 BOX 99200")</f>
        <v>MAWTS-1 BOX 99200</v>
      </c>
      <c r="I7518" t="str">
        <f>T("YUMA")</f>
        <v>YUMA</v>
      </c>
      <c r="J7518" t="str">
        <f>T("AZ")</f>
        <v>AZ</v>
      </c>
      <c r="K7518" t="str">
        <f t="shared" si="2833"/>
        <v>7608306353</v>
      </c>
      <c r="L7518" t="str">
        <f>T("9282696813")</f>
        <v>9282696813</v>
      </c>
    </row>
    <row r="7519" spans="1:12" x14ac:dyDescent="0.35">
      <c r="A7519" t="str">
        <f t="shared" si="2831"/>
        <v>MAGTFTC</v>
      </c>
      <c r="B7519" t="str">
        <f>T("MCLOG")</f>
        <v>MCLOG</v>
      </c>
      <c r="C7519" t="str">
        <f>T("MAGTFTC BOX 788400")</f>
        <v>MAGTFTC BOX 788400</v>
      </c>
      <c r="D7519" t="str">
        <f>T("TWENTYNIN PLM")</f>
        <v>TWENTYNIN PLM</v>
      </c>
      <c r="E7519" t="str">
        <f t="shared" ref="E7519:E7529" si="2834">T("CA")</f>
        <v>CA</v>
      </c>
      <c r="F7519" t="str">
        <f>T("922788400")</f>
        <v>922788400</v>
      </c>
      <c r="G7519" t="str">
        <f>T("MCLOG")</f>
        <v>MCLOG</v>
      </c>
      <c r="H7519" t="str">
        <f>T("MAGTFTC BOX 788400")</f>
        <v>MAGTFTC BOX 788400</v>
      </c>
      <c r="I7519" t="str">
        <f>T("TWENTYNIN PLM")</f>
        <v>TWENTYNIN PLM</v>
      </c>
      <c r="J7519" t="str">
        <f t="shared" ref="J7519:J7529" si="2835">T("CA")</f>
        <v>CA</v>
      </c>
      <c r="K7519" t="str">
        <f t="shared" si="2833"/>
        <v>7608306353</v>
      </c>
      <c r="L7519" t="str">
        <f>T("7608300492")</f>
        <v>7608300492</v>
      </c>
    </row>
    <row r="7520" spans="1:12" x14ac:dyDescent="0.35">
      <c r="A7520" t="str">
        <f t="shared" si="2831"/>
        <v>MAGTFTC</v>
      </c>
      <c r="B7520" t="str">
        <f>T("MCLOG")</f>
        <v>MCLOG</v>
      </c>
      <c r="C7520" t="str">
        <f>T("MAGTFTC BOX 788400")</f>
        <v>MAGTFTC BOX 788400</v>
      </c>
      <c r="D7520" t="str">
        <f>T("TWENTYNIN PLM")</f>
        <v>TWENTYNIN PLM</v>
      </c>
      <c r="E7520" t="str">
        <f t="shared" si="2834"/>
        <v>CA</v>
      </c>
      <c r="F7520" t="str">
        <f>T("922788400")</f>
        <v>922788400</v>
      </c>
      <c r="G7520" t="str">
        <f>T("MCLOG")</f>
        <v>MCLOG</v>
      </c>
      <c r="H7520" t="str">
        <f>T("MAGTFTC BOX 788400")</f>
        <v>MAGTFTC BOX 788400</v>
      </c>
      <c r="I7520" t="str">
        <f>T("TWENTYNINE PALMS")</f>
        <v>TWENTYNINE PALMS</v>
      </c>
      <c r="J7520" t="str">
        <f t="shared" si="2835"/>
        <v>CA</v>
      </c>
      <c r="K7520" t="str">
        <f t="shared" si="2833"/>
        <v>7608306353</v>
      </c>
      <c r="L7520" t="str">
        <f>T("7608300423")</f>
        <v>7608300423</v>
      </c>
    </row>
    <row r="7521" spans="1:12" x14ac:dyDescent="0.35">
      <c r="A7521" t="str">
        <f t="shared" si="2831"/>
        <v>MAGTFTC</v>
      </c>
      <c r="B7521" t="str">
        <f>T("MCLOG")</f>
        <v>MCLOG</v>
      </c>
      <c r="C7521" t="str">
        <f>T("MAGTFTC BOX 788400")</f>
        <v>MAGTFTC BOX 788400</v>
      </c>
      <c r="D7521" t="str">
        <f>T("TWENTYNIN PLM")</f>
        <v>TWENTYNIN PLM</v>
      </c>
      <c r="E7521" t="str">
        <f t="shared" si="2834"/>
        <v>CA</v>
      </c>
      <c r="F7521" t="str">
        <f>T("922788400")</f>
        <v>922788400</v>
      </c>
      <c r="G7521" t="str">
        <f>T("MCLOG")</f>
        <v>MCLOG</v>
      </c>
      <c r="H7521" t="str">
        <f>T("MAGTFTC BOX 788400")</f>
        <v>MAGTFTC BOX 788400</v>
      </c>
      <c r="I7521" t="str">
        <f>T("TWENTYNINE PALMS")</f>
        <v>TWENTYNINE PALMS</v>
      </c>
      <c r="J7521" t="str">
        <f t="shared" si="2835"/>
        <v>CA</v>
      </c>
      <c r="K7521" t="str">
        <f t="shared" si="2833"/>
        <v>7608306353</v>
      </c>
      <c r="L7521" t="str">
        <f>T("7608300471")</f>
        <v>7608300471</v>
      </c>
    </row>
    <row r="7522" spans="1:12" x14ac:dyDescent="0.35">
      <c r="A7522" t="str">
        <f t="shared" si="2831"/>
        <v>MAGTFTC</v>
      </c>
      <c r="B7522" t="str">
        <f>T("MCMWTC TRNG")</f>
        <v>MCMWTC TRNG</v>
      </c>
      <c r="C7522" t="str">
        <f>T("BLDG 2001 FL 1 MCMWTC")</f>
        <v>BLDG 2001 FL 1 MCMWTC</v>
      </c>
      <c r="D7522" t="str">
        <f>T("BRIDGEPORT")</f>
        <v>BRIDGEPORT</v>
      </c>
      <c r="E7522" t="str">
        <f t="shared" si="2834"/>
        <v>CA</v>
      </c>
      <c r="F7522" t="str">
        <f>T("935175001")</f>
        <v>935175001</v>
      </c>
      <c r="G7522" t="str">
        <f>T("MCMWTC TRNG")</f>
        <v>MCMWTC TRNG</v>
      </c>
      <c r="H7522" t="str">
        <f>T("BLDG 2001 FL 1 MCMWTC")</f>
        <v>BLDG 2001 FL 1 MCMWTC</v>
      </c>
      <c r="I7522" t="str">
        <f>T("BRIDGEPORT")</f>
        <v>BRIDGEPORT</v>
      </c>
      <c r="J7522" t="str">
        <f t="shared" si="2835"/>
        <v>CA</v>
      </c>
      <c r="K7522" t="str">
        <f t="shared" si="2833"/>
        <v>7608306353</v>
      </c>
      <c r="L7522" t="str">
        <f>T("7609321540")</f>
        <v>7609321540</v>
      </c>
    </row>
    <row r="7523" spans="1:12" x14ac:dyDescent="0.35">
      <c r="A7523" t="str">
        <f t="shared" si="2831"/>
        <v>MAGTFTC</v>
      </c>
      <c r="B7523" t="str">
        <f>T("MCMWTC TRNG")</f>
        <v>MCMWTC TRNG</v>
      </c>
      <c r="C7523" t="str">
        <f>T("BLDG 2001 FL 1 MCMWTC")</f>
        <v>BLDG 2001 FL 1 MCMWTC</v>
      </c>
      <c r="D7523" t="str">
        <f>T("BRIDGEPORT")</f>
        <v>BRIDGEPORT</v>
      </c>
      <c r="E7523" t="str">
        <f t="shared" si="2834"/>
        <v>CA</v>
      </c>
      <c r="F7523" t="str">
        <f>T("935175001")</f>
        <v>935175001</v>
      </c>
      <c r="G7523" t="str">
        <f>T("MCMWTC TRNG")</f>
        <v>MCMWTC TRNG</v>
      </c>
      <c r="H7523" t="str">
        <f>T("BLDG 2001 FLR 1")</f>
        <v>BLDG 2001 FLR 1</v>
      </c>
      <c r="I7523" t="str">
        <f>T("BRIDGEPORT")</f>
        <v>BRIDGEPORT</v>
      </c>
      <c r="J7523" t="str">
        <f t="shared" si="2835"/>
        <v>CA</v>
      </c>
      <c r="K7523" t="str">
        <f t="shared" si="2833"/>
        <v>7608306353</v>
      </c>
      <c r="L7523" t="str">
        <f>T("7609321553")</f>
        <v>7609321553</v>
      </c>
    </row>
    <row r="7524" spans="1:12" x14ac:dyDescent="0.35">
      <c r="A7524" t="str">
        <f t="shared" si="2831"/>
        <v>MAGTFTC</v>
      </c>
      <c r="B7524" t="str">
        <f>T("MCMWTC TRNG")</f>
        <v>MCMWTC TRNG</v>
      </c>
      <c r="C7524" t="str">
        <f>T("BLDG 2001 FL 1 MCMWTC")</f>
        <v>BLDG 2001 FL 1 MCMWTC</v>
      </c>
      <c r="D7524" t="str">
        <f>T("BRIDGEPORT")</f>
        <v>BRIDGEPORT</v>
      </c>
      <c r="E7524" t="str">
        <f t="shared" si="2834"/>
        <v>CA</v>
      </c>
      <c r="F7524" t="str">
        <f>T("935175001")</f>
        <v>935175001</v>
      </c>
      <c r="G7524" t="str">
        <f>T("MCMWTC TRNG")</f>
        <v>MCMWTC TRNG</v>
      </c>
      <c r="H7524" t="str">
        <f>T("BLDG 2001 FLR 1 MCMWTC")</f>
        <v>BLDG 2001 FLR 1 MCMWTC</v>
      </c>
      <c r="I7524" t="str">
        <f>T("BRIDGEPORT")</f>
        <v>BRIDGEPORT</v>
      </c>
      <c r="J7524" t="str">
        <f t="shared" si="2835"/>
        <v>CA</v>
      </c>
      <c r="K7524" t="str">
        <f t="shared" si="2833"/>
        <v>7608306353</v>
      </c>
      <c r="L7524" t="str">
        <f>T("7609321657")</f>
        <v>7609321657</v>
      </c>
    </row>
    <row r="7525" spans="1:12" x14ac:dyDescent="0.35">
      <c r="A7525" t="str">
        <f t="shared" si="2831"/>
        <v>MAGTFTC</v>
      </c>
      <c r="B7525" t="str">
        <f>T("MCTOG")</f>
        <v>MCTOG</v>
      </c>
      <c r="C7525" t="str">
        <f>T("BOX 788305")</f>
        <v>BOX 788305</v>
      </c>
      <c r="D7525" t="str">
        <f>T("TWENTYNIN PLM")</f>
        <v>TWENTYNIN PLM</v>
      </c>
      <c r="E7525" t="str">
        <f t="shared" si="2834"/>
        <v>CA</v>
      </c>
      <c r="F7525" t="str">
        <f>T("922788305")</f>
        <v>922788305</v>
      </c>
      <c r="G7525" t="str">
        <f>T("MCTOG")</f>
        <v>MCTOG</v>
      </c>
      <c r="H7525" t="str">
        <f>T("BOX 788305")</f>
        <v>BOX 788305</v>
      </c>
      <c r="I7525" t="str">
        <f>T("TWENTYNIN PLM")</f>
        <v>TWENTYNIN PLM</v>
      </c>
      <c r="J7525" t="str">
        <f t="shared" si="2835"/>
        <v>CA</v>
      </c>
      <c r="K7525" t="str">
        <f t="shared" si="2833"/>
        <v>7608306353</v>
      </c>
      <c r="L7525" t="str">
        <f>T("7608301349")</f>
        <v>7608301349</v>
      </c>
    </row>
    <row r="7526" spans="1:12" x14ac:dyDescent="0.35">
      <c r="A7526" t="str">
        <f t="shared" si="2831"/>
        <v>MAGTFTC</v>
      </c>
      <c r="B7526" t="str">
        <f>T("MCTOG")</f>
        <v>MCTOG</v>
      </c>
      <c r="C7526" t="str">
        <f>T("BOX 788305")</f>
        <v>BOX 788305</v>
      </c>
      <c r="D7526" t="str">
        <f>T("TWENTYNIN PLM")</f>
        <v>TWENTYNIN PLM</v>
      </c>
      <c r="E7526" t="str">
        <f t="shared" si="2834"/>
        <v>CA</v>
      </c>
      <c r="F7526" t="str">
        <f>T("922788305")</f>
        <v>922788305</v>
      </c>
      <c r="G7526" t="str">
        <f>T("MCTOG")</f>
        <v>MCTOG</v>
      </c>
      <c r="H7526" t="str">
        <f>T("MAGTFTC BOX 788305")</f>
        <v>MAGTFTC BOX 788305</v>
      </c>
      <c r="I7526" t="str">
        <f>T("TWENTYNINE PALMS")</f>
        <v>TWENTYNINE PALMS</v>
      </c>
      <c r="J7526" t="str">
        <f t="shared" si="2835"/>
        <v>CA</v>
      </c>
      <c r="K7526" t="str">
        <f t="shared" si="2833"/>
        <v>7608306353</v>
      </c>
      <c r="L7526" t="str">
        <f>T("7608303496")</f>
        <v>7608303496</v>
      </c>
    </row>
    <row r="7527" spans="1:12" x14ac:dyDescent="0.35">
      <c r="A7527" t="str">
        <f t="shared" si="2831"/>
        <v>MAGTFTC</v>
      </c>
      <c r="B7527" t="str">
        <f>T("MCTOG")</f>
        <v>MCTOG</v>
      </c>
      <c r="C7527" t="str">
        <f>T("BOX 788305")</f>
        <v>BOX 788305</v>
      </c>
      <c r="D7527" t="str">
        <f>T("TWENTYNIN PLM")</f>
        <v>TWENTYNIN PLM</v>
      </c>
      <c r="E7527" t="str">
        <f t="shared" si="2834"/>
        <v>CA</v>
      </c>
      <c r="F7527" t="str">
        <f>T("922788305")</f>
        <v>922788305</v>
      </c>
      <c r="G7527" t="str">
        <f>T("MCTOG BLDG 1982 T1")</f>
        <v>MCTOG BLDG 1982 T1</v>
      </c>
      <c r="H7527" t="str">
        <f>T("11TH STREET")</f>
        <v>11TH STREET</v>
      </c>
      <c r="I7527" t="str">
        <f>T("TWENTYNINE PALMS")</f>
        <v>TWENTYNINE PALMS</v>
      </c>
      <c r="J7527" t="str">
        <f t="shared" si="2835"/>
        <v>CA</v>
      </c>
      <c r="K7527" t="str">
        <f t="shared" si="2833"/>
        <v>7608306353</v>
      </c>
      <c r="L7527" t="str">
        <f>T("7608303496")</f>
        <v>7608303496</v>
      </c>
    </row>
    <row r="7528" spans="1:12" x14ac:dyDescent="0.35">
      <c r="A7528" t="str">
        <f t="shared" si="2831"/>
        <v>MAGTFTC</v>
      </c>
      <c r="B7528" t="str">
        <f>T("TTECG")</f>
        <v>TTECG</v>
      </c>
      <c r="C7528" t="str">
        <f>T("PO BOX 788101")</f>
        <v>PO BOX 788101</v>
      </c>
      <c r="D7528" t="str">
        <f>T("TWENTYNINE PALMS")</f>
        <v>TWENTYNINE PALMS</v>
      </c>
      <c r="E7528" t="str">
        <f t="shared" si="2834"/>
        <v>CA</v>
      </c>
      <c r="F7528" t="str">
        <f>T("922788101")</f>
        <v>922788101</v>
      </c>
      <c r="G7528" t="str">
        <f>T("TTECG")</f>
        <v>TTECG</v>
      </c>
      <c r="H7528" t="str">
        <f>T("MAGTFTC BOX 788101")</f>
        <v>MAGTFTC BOX 788101</v>
      </c>
      <c r="I7528" t="str">
        <f>T("TWENTYNINE PALMS")</f>
        <v>TWENTYNINE PALMS</v>
      </c>
      <c r="J7528" t="str">
        <f t="shared" si="2835"/>
        <v>CA</v>
      </c>
      <c r="K7528" t="str">
        <f t="shared" si="2833"/>
        <v>7608306353</v>
      </c>
      <c r="L7528" t="str">
        <f>T("7608305332")</f>
        <v>7608305332</v>
      </c>
    </row>
    <row r="7529" spans="1:12" x14ac:dyDescent="0.35">
      <c r="A7529" t="str">
        <f t="shared" si="2831"/>
        <v>MAGTFTC</v>
      </c>
      <c r="B7529" t="str">
        <f>T("TTECG")</f>
        <v>TTECG</v>
      </c>
      <c r="C7529" t="str">
        <f>T("PO BOX 788101")</f>
        <v>PO BOX 788101</v>
      </c>
      <c r="D7529" t="str">
        <f>T("TWENTYNINE PALMS")</f>
        <v>TWENTYNINE PALMS</v>
      </c>
      <c r="E7529" t="str">
        <f t="shared" si="2834"/>
        <v>CA</v>
      </c>
      <c r="F7529" t="str">
        <f>T("922788101")</f>
        <v>922788101</v>
      </c>
      <c r="G7529" t="str">
        <f>T("TTECG")</f>
        <v>TTECG</v>
      </c>
      <c r="H7529" t="str">
        <f>T("PO BOX 788101")</f>
        <v>PO BOX 788101</v>
      </c>
      <c r="I7529" t="str">
        <f>T("TWENTYNINE PALMS")</f>
        <v>TWENTYNINE PALMS</v>
      </c>
      <c r="J7529" t="str">
        <f t="shared" si="2835"/>
        <v>CA</v>
      </c>
      <c r="K7529" t="str">
        <f t="shared" si="2833"/>
        <v>7608306353</v>
      </c>
      <c r="L7529" t="str">
        <f>T("7608305332")</f>
        <v>7608305332</v>
      </c>
    </row>
    <row r="7530" spans="1:12" x14ac:dyDescent="0.35">
      <c r="A7530" t="str">
        <f t="shared" ref="A7530:A7556" si="2836">T("MCBH SUPPLY DEPT")</f>
        <v>MCBH SUPPLY DEPT</v>
      </c>
      <c r="B7530" t="str">
        <f>T("1571 LAWRENCE RD")</f>
        <v>1571 LAWRENCE RD</v>
      </c>
      <c r="C7530" t="str">
        <f>T("")</f>
        <v/>
      </c>
      <c r="D7530" t="str">
        <f>T("MCBH KANEOHE BAY")</f>
        <v>MCBH KANEOHE BAY</v>
      </c>
      <c r="E7530" t="str">
        <f t="shared" ref="E7530:E7556" si="2837">T("HI")</f>
        <v>HI</v>
      </c>
      <c r="F7530" t="str">
        <f>T("968630000")</f>
        <v>968630000</v>
      </c>
      <c r="G7530" t="str">
        <f>T("1571 LAWRENCE RD")</f>
        <v>1571 LAWRENCE RD</v>
      </c>
      <c r="H7530" t="str">
        <f>T("")</f>
        <v/>
      </c>
      <c r="I7530" t="str">
        <f>T("MCBH KANEOHE BAY")</f>
        <v>MCBH KANEOHE BAY</v>
      </c>
      <c r="J7530" t="str">
        <f t="shared" ref="J7530:J7556" si="2838">T("HI")</f>
        <v>HI</v>
      </c>
      <c r="K7530" t="str">
        <f t="shared" ref="K7530:K7536" si="2839">T("000000000000000000")</f>
        <v>000000000000000000</v>
      </c>
      <c r="L7530" t="str">
        <f>T("8082571281")</f>
        <v>8082571281</v>
      </c>
    </row>
    <row r="7531" spans="1:12" x14ac:dyDescent="0.35">
      <c r="A7531" t="str">
        <f t="shared" si="2836"/>
        <v>MCBH SUPPLY DEPT</v>
      </c>
      <c r="B7531" t="str">
        <f>T("BLDG 216 FL RM 83")</f>
        <v>BLDG 216 FL RM 83</v>
      </c>
      <c r="C7531" t="str">
        <f>T("PO BOX 63002")</f>
        <v>PO BOX 63002</v>
      </c>
      <c r="D7531" t="str">
        <f>T("KANEOHE BAY")</f>
        <v>KANEOHE BAY</v>
      </c>
      <c r="E7531" t="str">
        <f t="shared" si="2837"/>
        <v>HI</v>
      </c>
      <c r="F7531" t="str">
        <f>T("968633002")</f>
        <v>968633002</v>
      </c>
      <c r="G7531" t="str">
        <f>T("BLDG 216 FL RM 83")</f>
        <v>BLDG 216 FL RM 83</v>
      </c>
      <c r="H7531" t="str">
        <f>T("PO BOX 63002")</f>
        <v>PO BOX 63002</v>
      </c>
      <c r="I7531" t="str">
        <f>T("KANEOHE BAY")</f>
        <v>KANEOHE BAY</v>
      </c>
      <c r="J7531" t="str">
        <f t="shared" si="2838"/>
        <v>HI</v>
      </c>
      <c r="K7531" t="str">
        <f t="shared" si="2839"/>
        <v>000000000000000000</v>
      </c>
      <c r="L7531" t="str">
        <f>T("8082578858")</f>
        <v>8082578858</v>
      </c>
    </row>
    <row r="7532" spans="1:12" x14ac:dyDescent="0.35">
      <c r="A7532" t="str">
        <f t="shared" si="2836"/>
        <v>MCBH SUPPLY DEPT</v>
      </c>
      <c r="B7532" t="str">
        <f>T("BOX 63002")</f>
        <v>BOX 63002</v>
      </c>
      <c r="C7532" t="str">
        <f>T("")</f>
        <v/>
      </c>
      <c r="D7532" t="str">
        <f>T("MCBH KANEOHE BAY")</f>
        <v>MCBH KANEOHE BAY</v>
      </c>
      <c r="E7532" t="str">
        <f t="shared" si="2837"/>
        <v>HI</v>
      </c>
      <c r="F7532" t="str">
        <f>T("968633002")</f>
        <v>968633002</v>
      </c>
      <c r="G7532" t="str">
        <f>T("BOX 63002")</f>
        <v>BOX 63002</v>
      </c>
      <c r="H7532" t="str">
        <f>T("")</f>
        <v/>
      </c>
      <c r="I7532" t="str">
        <f>T("MCBH KANEOHE BAY")</f>
        <v>MCBH KANEOHE BAY</v>
      </c>
      <c r="J7532" t="str">
        <f t="shared" si="2838"/>
        <v>HI</v>
      </c>
      <c r="K7532" t="str">
        <f t="shared" si="2839"/>
        <v>000000000000000000</v>
      </c>
      <c r="L7532" t="str">
        <f>T("8082572067")</f>
        <v>8082572067</v>
      </c>
    </row>
    <row r="7533" spans="1:12" x14ac:dyDescent="0.35">
      <c r="A7533" t="str">
        <f t="shared" si="2836"/>
        <v>MCBH SUPPLY DEPT</v>
      </c>
      <c r="B7533" t="str">
        <f>T("BOX 63002")</f>
        <v>BOX 63002</v>
      </c>
      <c r="C7533" t="str">
        <f>T("BLDG 267 C ST")</f>
        <v>BLDG 267 C ST</v>
      </c>
      <c r="D7533" t="str">
        <f>T("MCBH KANEOHE BAY")</f>
        <v>MCBH KANEOHE BAY</v>
      </c>
      <c r="E7533" t="str">
        <f t="shared" si="2837"/>
        <v>HI</v>
      </c>
      <c r="F7533" t="str">
        <f>T("968633002")</f>
        <v>968633002</v>
      </c>
      <c r="G7533" t="str">
        <f>T("BOX 63002")</f>
        <v>BOX 63002</v>
      </c>
      <c r="H7533" t="str">
        <f>T("BLDG 267 C ST")</f>
        <v>BLDG 267 C ST</v>
      </c>
      <c r="I7533" t="str">
        <f>T("MCBH KANEOHE BAY")</f>
        <v>MCBH KANEOHE BAY</v>
      </c>
      <c r="J7533" t="str">
        <f t="shared" si="2838"/>
        <v>HI</v>
      </c>
      <c r="K7533" t="str">
        <f t="shared" si="2839"/>
        <v>000000000000000000</v>
      </c>
      <c r="L7533" t="str">
        <f>T("8082571365")</f>
        <v>8082571365</v>
      </c>
    </row>
    <row r="7534" spans="1:12" x14ac:dyDescent="0.35">
      <c r="A7534" t="str">
        <f t="shared" si="2836"/>
        <v>MCBH SUPPLY DEPT</v>
      </c>
      <c r="B7534" t="str">
        <f>T("BOX 63063")</f>
        <v>BOX 63063</v>
      </c>
      <c r="C7534" t="str">
        <f>T("BLDG 1089 SELDON ST MCB")</f>
        <v>BLDG 1089 SELDON ST MCB</v>
      </c>
      <c r="D7534" t="str">
        <f>T("MCBH KANEOHE BAY")</f>
        <v>MCBH KANEOHE BAY</v>
      </c>
      <c r="E7534" t="str">
        <f t="shared" si="2837"/>
        <v>HI</v>
      </c>
      <c r="F7534" t="str">
        <f>T("968633063")</f>
        <v>968633063</v>
      </c>
      <c r="G7534" t="str">
        <f>T("BOX 63063")</f>
        <v>BOX 63063</v>
      </c>
      <c r="H7534" t="str">
        <f>T("BLDG 1089 SELDON ST MCB")</f>
        <v>BLDG 1089 SELDON ST MCB</v>
      </c>
      <c r="I7534" t="str">
        <f>T("MCBH KANEOHE BAY")</f>
        <v>MCBH KANEOHE BAY</v>
      </c>
      <c r="J7534" t="str">
        <f t="shared" si="2838"/>
        <v>HI</v>
      </c>
      <c r="K7534" t="str">
        <f t="shared" si="2839"/>
        <v>000000000000000000</v>
      </c>
      <c r="L7534" t="str">
        <f>T("8082573509")</f>
        <v>8082573509</v>
      </c>
    </row>
    <row r="7535" spans="1:12" x14ac:dyDescent="0.35">
      <c r="A7535" t="str">
        <f t="shared" si="2836"/>
        <v>MCBH SUPPLY DEPT</v>
      </c>
      <c r="B7535" t="str">
        <f>T("BOX 63082")</f>
        <v>BOX 63082</v>
      </c>
      <c r="C7535" t="str">
        <f>T("MCBH")</f>
        <v>MCBH</v>
      </c>
      <c r="D7535" t="str">
        <f>T("KANEOHE BAY")</f>
        <v>KANEOHE BAY</v>
      </c>
      <c r="E7535" t="str">
        <f t="shared" si="2837"/>
        <v>HI</v>
      </c>
      <c r="F7535" t="str">
        <f>T("968633082")</f>
        <v>968633082</v>
      </c>
      <c r="G7535" t="str">
        <f>T("BOX 63082")</f>
        <v>BOX 63082</v>
      </c>
      <c r="H7535" t="str">
        <f>T("MCBH")</f>
        <v>MCBH</v>
      </c>
      <c r="I7535" t="str">
        <f>T("KANEOHE BAY")</f>
        <v>KANEOHE BAY</v>
      </c>
      <c r="J7535" t="str">
        <f t="shared" si="2838"/>
        <v>HI</v>
      </c>
      <c r="K7535" t="str">
        <f t="shared" si="2839"/>
        <v>000000000000000000</v>
      </c>
      <c r="L7535" t="str">
        <f>T("8082573186")</f>
        <v>8082573186</v>
      </c>
    </row>
    <row r="7536" spans="1:12" x14ac:dyDescent="0.35">
      <c r="A7536" t="str">
        <f t="shared" si="2836"/>
        <v>MCBH SUPPLY DEPT</v>
      </c>
      <c r="B7536" t="str">
        <f>T("COMMANDING LE")</f>
        <v>COMMANDING LE</v>
      </c>
      <c r="C7536" t="str">
        <f>T("BOX 63062")</f>
        <v>BOX 63062</v>
      </c>
      <c r="D7536" t="str">
        <f>T("MCBH KANEOHE BAY")</f>
        <v>MCBH KANEOHE BAY</v>
      </c>
      <c r="E7536" t="str">
        <f t="shared" si="2837"/>
        <v>HI</v>
      </c>
      <c r="F7536" t="str">
        <f>T("968633062")</f>
        <v>968633062</v>
      </c>
      <c r="G7536" t="str">
        <f>T("COMMANDING LE")</f>
        <v>COMMANDING LE</v>
      </c>
      <c r="H7536" t="str">
        <f>T("BOX 63062")</f>
        <v>BOX 63062</v>
      </c>
      <c r="I7536" t="str">
        <f>T("MCBH KANEOHE BAY")</f>
        <v>MCBH KANEOHE BAY</v>
      </c>
      <c r="J7536" t="str">
        <f t="shared" si="2838"/>
        <v>HI</v>
      </c>
      <c r="K7536" t="str">
        <f t="shared" si="2839"/>
        <v>000000000000000000</v>
      </c>
      <c r="L7536" t="str">
        <f>T("8082575640")</f>
        <v>8082575640</v>
      </c>
    </row>
    <row r="7537" spans="1:12" x14ac:dyDescent="0.35">
      <c r="A7537" t="str">
        <f t="shared" si="2836"/>
        <v>MCBH SUPPLY DEPT</v>
      </c>
      <c r="B7537" t="str">
        <f>T("FACILITIES BASE MOTOR T")</f>
        <v>FACILITIES BASE MOTOR T</v>
      </c>
      <c r="C7537" t="str">
        <f>T("PO BOX 63082")</f>
        <v>PO BOX 63082</v>
      </c>
      <c r="D7537" t="str">
        <f>T("MCBH KANEOHE BAY")</f>
        <v>MCBH KANEOHE BAY</v>
      </c>
      <c r="E7537" t="str">
        <f t="shared" si="2837"/>
        <v>HI</v>
      </c>
      <c r="F7537" t="str">
        <f>T("968633082")</f>
        <v>968633082</v>
      </c>
      <c r="G7537" t="str">
        <f>T("FACILITIES BASE MOTOR T")</f>
        <v>FACILITIES BASE MOTOR T</v>
      </c>
      <c r="H7537" t="str">
        <f>T("PO BOX 63082")</f>
        <v>PO BOX 63082</v>
      </c>
      <c r="I7537" t="str">
        <f>T("MCBH KANEOHE BAY")</f>
        <v>MCBH KANEOHE BAY</v>
      </c>
      <c r="J7537" t="str">
        <f t="shared" si="2838"/>
        <v>HI</v>
      </c>
      <c r="K7537" t="str">
        <f>T("8082575866")</f>
        <v>8082575866</v>
      </c>
      <c r="L7537" t="str">
        <f>T("8082572303")</f>
        <v>8082572303</v>
      </c>
    </row>
    <row r="7538" spans="1:12" x14ac:dyDescent="0.35">
      <c r="A7538" t="str">
        <f t="shared" si="2836"/>
        <v>MCBH SUPPLY DEPT</v>
      </c>
      <c r="B7538" t="str">
        <f>T("FACILITIES DEPARTMENT")</f>
        <v>FACILITIES DEPARTMENT</v>
      </c>
      <c r="C7538" t="str">
        <f>T("BOX 63082")</f>
        <v>BOX 63082</v>
      </c>
      <c r="D7538" t="str">
        <f>T("KANEOHE BAY")</f>
        <v>KANEOHE BAY</v>
      </c>
      <c r="E7538" t="str">
        <f t="shared" si="2837"/>
        <v>HI</v>
      </c>
      <c r="F7538" t="str">
        <f>T("968633082")</f>
        <v>968633082</v>
      </c>
      <c r="G7538" t="str">
        <f>T("FACILITIES DEPARTMENT")</f>
        <v>FACILITIES DEPARTMENT</v>
      </c>
      <c r="H7538" t="str">
        <f>T("BOX 63082")</f>
        <v>BOX 63082</v>
      </c>
      <c r="I7538" t="str">
        <f>T("KANEOHE BAY")</f>
        <v>KANEOHE BAY</v>
      </c>
      <c r="J7538" t="str">
        <f t="shared" si="2838"/>
        <v>HI</v>
      </c>
      <c r="K7538" t="str">
        <f t="shared" ref="K7538:K7559" si="2840">T("000000000000000000")</f>
        <v>000000000000000000</v>
      </c>
      <c r="L7538" t="str">
        <f>T("8082570800")</f>
        <v>8082570800</v>
      </c>
    </row>
    <row r="7539" spans="1:12" x14ac:dyDescent="0.35">
      <c r="A7539" t="str">
        <f t="shared" si="2836"/>
        <v>MCBH SUPPLY DEPT</v>
      </c>
      <c r="B7539" t="str">
        <f>T("FACILITIES DEPT BLDG 242 MCD")</f>
        <v>FACILITIES DEPT BLDG 242 MCD</v>
      </c>
      <c r="C7539" t="str">
        <f>T("BOX 63082")</f>
        <v>BOX 63082</v>
      </c>
      <c r="D7539" t="str">
        <f>T("KANEOHE BAY")</f>
        <v>KANEOHE BAY</v>
      </c>
      <c r="E7539" t="str">
        <f t="shared" si="2837"/>
        <v>HI</v>
      </c>
      <c r="F7539" t="str">
        <f>T("968633082")</f>
        <v>968633082</v>
      </c>
      <c r="G7539" t="str">
        <f>T("FACILITIES DEPT BLDG 242 MCD")</f>
        <v>FACILITIES DEPT BLDG 242 MCD</v>
      </c>
      <c r="H7539" t="str">
        <f>T("BOX 63082")</f>
        <v>BOX 63082</v>
      </c>
      <c r="I7539" t="str">
        <f>T("KANEOHE BAY")</f>
        <v>KANEOHE BAY</v>
      </c>
      <c r="J7539" t="str">
        <f t="shared" si="2838"/>
        <v>HI</v>
      </c>
      <c r="K7539" t="str">
        <f t="shared" si="2840"/>
        <v>000000000000000000</v>
      </c>
      <c r="L7539" t="str">
        <f>T("8082576896")</f>
        <v>8082576896</v>
      </c>
    </row>
    <row r="7540" spans="1:12" x14ac:dyDescent="0.35">
      <c r="A7540" t="str">
        <f t="shared" si="2836"/>
        <v>MCBH SUPPLY DEPT</v>
      </c>
      <c r="B7540" t="str">
        <f>T("FACILITIES DEPT, BLDG 242, MCD")</f>
        <v>FACILITIES DEPT, BLDG 242, MCD</v>
      </c>
      <c r="C7540" t="str">
        <f>T("BOX 63082")</f>
        <v>BOX 63082</v>
      </c>
      <c r="D7540" t="str">
        <f>T("KANEOHE BAY")</f>
        <v>KANEOHE BAY</v>
      </c>
      <c r="E7540" t="str">
        <f t="shared" si="2837"/>
        <v>HI</v>
      </c>
      <c r="F7540" t="str">
        <f>T("968633082")</f>
        <v>968633082</v>
      </c>
      <c r="G7540" t="str">
        <f>T("FACILITIES DEPT, BLDG 242, MCD")</f>
        <v>FACILITIES DEPT, BLDG 242, MCD</v>
      </c>
      <c r="H7540" t="str">
        <f>T("BOX 63082")</f>
        <v>BOX 63082</v>
      </c>
      <c r="I7540" t="str">
        <f>T("KANEOHE BAY")</f>
        <v>KANEOHE BAY</v>
      </c>
      <c r="J7540" t="str">
        <f t="shared" si="2838"/>
        <v>HI</v>
      </c>
      <c r="K7540" t="str">
        <f t="shared" si="2840"/>
        <v>000000000000000000</v>
      </c>
      <c r="L7540" t="str">
        <f>T("8082576896")</f>
        <v>8082576896</v>
      </c>
    </row>
    <row r="7541" spans="1:12" x14ac:dyDescent="0.35">
      <c r="A7541" t="str">
        <f t="shared" si="2836"/>
        <v>MCBH SUPPLY DEPT</v>
      </c>
      <c r="B7541" t="str">
        <f>T("HQBN O&amp;T MCBH")</f>
        <v>HQBN O&amp;T MCBH</v>
      </c>
      <c r="C7541" t="str">
        <f>T("BOX 63062")</f>
        <v>BOX 63062</v>
      </c>
      <c r="D7541" t="str">
        <f>T("KANEOHE BAY")</f>
        <v>KANEOHE BAY</v>
      </c>
      <c r="E7541" t="str">
        <f t="shared" si="2837"/>
        <v>HI</v>
      </c>
      <c r="F7541" t="str">
        <f>T("968633062")</f>
        <v>968633062</v>
      </c>
      <c r="G7541" t="str">
        <f>T("HQBN O&amp;T MCBH")</f>
        <v>HQBN O&amp;T MCBH</v>
      </c>
      <c r="H7541" t="str">
        <f>T("BOX 63062")</f>
        <v>BOX 63062</v>
      </c>
      <c r="I7541" t="str">
        <f>T("KANEOHE BAY")</f>
        <v>KANEOHE BAY</v>
      </c>
      <c r="J7541" t="str">
        <f t="shared" si="2838"/>
        <v>HI</v>
      </c>
      <c r="K7541" t="str">
        <f t="shared" si="2840"/>
        <v>000000000000000000</v>
      </c>
      <c r="L7541" t="str">
        <f>T("8082572555")</f>
        <v>8082572555</v>
      </c>
    </row>
    <row r="7542" spans="1:12" x14ac:dyDescent="0.35">
      <c r="A7542" t="str">
        <f t="shared" si="2836"/>
        <v>MCBH SUPPLY DEPT</v>
      </c>
      <c r="B7542" t="str">
        <f>T("LSA MCBH")</f>
        <v>LSA MCBH</v>
      </c>
      <c r="C7542" t="str">
        <f>T("BOX 63063")</f>
        <v>BOX 63063</v>
      </c>
      <c r="D7542" t="str">
        <f>T("MCBH KANEOHE BAY")</f>
        <v>MCBH KANEOHE BAY</v>
      </c>
      <c r="E7542" t="str">
        <f t="shared" si="2837"/>
        <v>HI</v>
      </c>
      <c r="F7542" t="str">
        <f>T("968633063")</f>
        <v>968633063</v>
      </c>
      <c r="G7542" t="str">
        <f>T("LSA MCBH")</f>
        <v>LSA MCBH</v>
      </c>
      <c r="H7542" t="str">
        <f>T("BOX 63063")</f>
        <v>BOX 63063</v>
      </c>
      <c r="I7542" t="str">
        <f>T("MCBH KANEOHE BAY")</f>
        <v>MCBH KANEOHE BAY</v>
      </c>
      <c r="J7542" t="str">
        <f t="shared" si="2838"/>
        <v>HI</v>
      </c>
      <c r="K7542" t="str">
        <f t="shared" si="2840"/>
        <v>000000000000000000</v>
      </c>
      <c r="L7542" t="str">
        <f>T("8082572917")</f>
        <v>8082572917</v>
      </c>
    </row>
    <row r="7543" spans="1:12" x14ac:dyDescent="0.35">
      <c r="A7543" t="str">
        <f t="shared" si="2836"/>
        <v>MCBH SUPPLY DEPT</v>
      </c>
      <c r="B7543" t="str">
        <f>T("MARINE CORPS BASE")</f>
        <v>MARINE CORPS BASE</v>
      </c>
      <c r="C7543" t="str">
        <f>T("BOX 63002")</f>
        <v>BOX 63002</v>
      </c>
      <c r="D7543" t="str">
        <f>T("KANEOHE BAY")</f>
        <v>KANEOHE BAY</v>
      </c>
      <c r="E7543" t="str">
        <f t="shared" si="2837"/>
        <v>HI</v>
      </c>
      <c r="F7543" t="str">
        <f>T("968633002")</f>
        <v>968633002</v>
      </c>
      <c r="G7543" t="str">
        <f>T("MARINE CORPS BASE")</f>
        <v>MARINE CORPS BASE</v>
      </c>
      <c r="H7543" t="str">
        <f>T("BOX 63002")</f>
        <v>BOX 63002</v>
      </c>
      <c r="I7543" t="str">
        <f>T("KANEOHE BAY")</f>
        <v>KANEOHE BAY</v>
      </c>
      <c r="J7543" t="str">
        <f t="shared" si="2838"/>
        <v>HI</v>
      </c>
      <c r="K7543" t="str">
        <f t="shared" si="2840"/>
        <v>000000000000000000</v>
      </c>
      <c r="L7543" t="str">
        <f>T("8082578877")</f>
        <v>8082578877</v>
      </c>
    </row>
    <row r="7544" spans="1:12" x14ac:dyDescent="0.35">
      <c r="A7544" t="str">
        <f t="shared" si="2836"/>
        <v>MCBH SUPPLY DEPT</v>
      </c>
      <c r="B7544" t="str">
        <f>T("MARINE CORPS BASE HAWAII FACILITIES")</f>
        <v>MARINE CORPS BASE HAWAII FACILITIES</v>
      </c>
      <c r="C7544" t="str">
        <f>T("BOX 63002")</f>
        <v>BOX 63002</v>
      </c>
      <c r="D7544" t="str">
        <f>T("KANEOHE BAY")</f>
        <v>KANEOHE BAY</v>
      </c>
      <c r="E7544" t="str">
        <f t="shared" si="2837"/>
        <v>HI</v>
      </c>
      <c r="F7544" t="str">
        <f>T("968630000")</f>
        <v>968630000</v>
      </c>
      <c r="G7544" t="str">
        <f>T("MARINE CORPS BASE HAWAII FACILITIES")</f>
        <v>MARINE CORPS BASE HAWAII FACILITIES</v>
      </c>
      <c r="H7544" t="str">
        <f>T("BOX 63002")</f>
        <v>BOX 63002</v>
      </c>
      <c r="I7544" t="str">
        <f>T("KANEOHE BAY")</f>
        <v>KANEOHE BAY</v>
      </c>
      <c r="J7544" t="str">
        <f t="shared" si="2838"/>
        <v>HI</v>
      </c>
      <c r="K7544" t="str">
        <f t="shared" si="2840"/>
        <v>000000000000000000</v>
      </c>
      <c r="L7544" t="str">
        <f>T("8084778801")</f>
        <v>8084778801</v>
      </c>
    </row>
    <row r="7545" spans="1:12" x14ac:dyDescent="0.35">
      <c r="A7545" t="str">
        <f t="shared" si="2836"/>
        <v>MCBH SUPPLY DEPT</v>
      </c>
      <c r="B7545" t="str">
        <f>T("MARINE CORPS BASE HAWAII FACILITIES")</f>
        <v>MARINE CORPS BASE HAWAII FACILITIES</v>
      </c>
      <c r="C7545" t="str">
        <f>T("BOX 63002")</f>
        <v>BOX 63002</v>
      </c>
      <c r="D7545" t="str">
        <f>T("KANEOHE BAY")</f>
        <v>KANEOHE BAY</v>
      </c>
      <c r="E7545" t="str">
        <f t="shared" si="2837"/>
        <v>HI</v>
      </c>
      <c r="F7545" t="str">
        <f>T("968633002")</f>
        <v>968633002</v>
      </c>
      <c r="G7545" t="str">
        <f>T("MARINE CORPS BASE HAWAII FACILITIES")</f>
        <v>MARINE CORPS BASE HAWAII FACILITIES</v>
      </c>
      <c r="H7545" t="str">
        <f>T("BOX 63002")</f>
        <v>BOX 63002</v>
      </c>
      <c r="I7545" t="str">
        <f>T("KANEOHE BAY")</f>
        <v>KANEOHE BAY</v>
      </c>
      <c r="J7545" t="str">
        <f t="shared" si="2838"/>
        <v>HI</v>
      </c>
      <c r="K7545" t="str">
        <f t="shared" si="2840"/>
        <v>000000000000000000</v>
      </c>
      <c r="L7545" t="str">
        <f>T("8084778801")</f>
        <v>8084778801</v>
      </c>
    </row>
    <row r="7546" spans="1:12" x14ac:dyDescent="0.35">
      <c r="A7546" t="str">
        <f t="shared" si="2836"/>
        <v>MCBH SUPPLY DEPT</v>
      </c>
      <c r="B7546" t="str">
        <f>T("MCAS KANEOHE BAY HI")</f>
        <v>MCAS KANEOHE BAY HI</v>
      </c>
      <c r="C7546" t="str">
        <f>T("BOX 63061")</f>
        <v>BOX 63061</v>
      </c>
      <c r="D7546" t="str">
        <f>T("MCBH KANEOHE BAY")</f>
        <v>MCBH KANEOHE BAY</v>
      </c>
      <c r="E7546" t="str">
        <f t="shared" si="2837"/>
        <v>HI</v>
      </c>
      <c r="F7546" t="str">
        <f>T("968633061")</f>
        <v>968633061</v>
      </c>
      <c r="G7546" t="str">
        <f>T("MCAS KANEOHE BAY HI")</f>
        <v>MCAS KANEOHE BAY HI</v>
      </c>
      <c r="H7546" t="str">
        <f>T("BOX 63061")</f>
        <v>BOX 63061</v>
      </c>
      <c r="I7546" t="str">
        <f>T("MCBH KANEOHE BAY")</f>
        <v>MCBH KANEOHE BAY</v>
      </c>
      <c r="J7546" t="str">
        <f t="shared" si="2838"/>
        <v>HI</v>
      </c>
      <c r="K7546" t="str">
        <f t="shared" si="2840"/>
        <v>000000000000000000</v>
      </c>
      <c r="L7546" t="str">
        <f>T("8082577066")</f>
        <v>8082577066</v>
      </c>
    </row>
    <row r="7547" spans="1:12" x14ac:dyDescent="0.35">
      <c r="A7547" t="str">
        <f t="shared" si="2836"/>
        <v>MCBH SUPPLY DEPT</v>
      </c>
      <c r="B7547" t="str">
        <f>T("MCB HAWAII BOX 63062")</f>
        <v>MCB HAWAII BOX 63062</v>
      </c>
      <c r="C7547" t="str">
        <f>T("")</f>
        <v/>
      </c>
      <c r="D7547" t="str">
        <f>T("KANEOHE BAY")</f>
        <v>KANEOHE BAY</v>
      </c>
      <c r="E7547" t="str">
        <f t="shared" si="2837"/>
        <v>HI</v>
      </c>
      <c r="F7547" t="str">
        <f>T("968630000")</f>
        <v>968630000</v>
      </c>
      <c r="G7547" t="str">
        <f>T("MCB HAWAII BOX 63062")</f>
        <v>MCB HAWAII BOX 63062</v>
      </c>
      <c r="H7547" t="str">
        <f>T("")</f>
        <v/>
      </c>
      <c r="I7547" t="str">
        <f>T("KANEOHE BAY")</f>
        <v>KANEOHE BAY</v>
      </c>
      <c r="J7547" t="str">
        <f t="shared" si="2838"/>
        <v>HI</v>
      </c>
      <c r="K7547" t="str">
        <f t="shared" si="2840"/>
        <v>000000000000000000</v>
      </c>
      <c r="L7547" t="str">
        <f>T("8082576969")</f>
        <v>8082576969</v>
      </c>
    </row>
    <row r="7548" spans="1:12" x14ac:dyDescent="0.35">
      <c r="A7548" t="str">
        <f t="shared" si="2836"/>
        <v>MCBH SUPPLY DEPT</v>
      </c>
      <c r="B7548" t="str">
        <f>T("MCB HAWAII O&amp;T/EOC")</f>
        <v>MCB HAWAII O&amp;T/EOC</v>
      </c>
      <c r="C7548" t="str">
        <f>T("BOX 63002")</f>
        <v>BOX 63002</v>
      </c>
      <c r="D7548" t="str">
        <f>T("KANEOHE BAY")</f>
        <v>KANEOHE BAY</v>
      </c>
      <c r="E7548" t="str">
        <f t="shared" si="2837"/>
        <v>HI</v>
      </c>
      <c r="F7548" t="str">
        <f>T("968630000")</f>
        <v>968630000</v>
      </c>
      <c r="G7548" t="str">
        <f>T("MCB HAWAII O&amp;T/EOC")</f>
        <v>MCB HAWAII O&amp;T/EOC</v>
      </c>
      <c r="H7548" t="str">
        <f>T("BOX 63002")</f>
        <v>BOX 63002</v>
      </c>
      <c r="I7548" t="str">
        <f>T("KANEOHE BAY")</f>
        <v>KANEOHE BAY</v>
      </c>
      <c r="J7548" t="str">
        <f t="shared" si="2838"/>
        <v>HI</v>
      </c>
      <c r="K7548" t="str">
        <f t="shared" si="2840"/>
        <v>000000000000000000</v>
      </c>
      <c r="L7548" t="str">
        <f>T("8082578819")</f>
        <v>8082578819</v>
      </c>
    </row>
    <row r="7549" spans="1:12" x14ac:dyDescent="0.35">
      <c r="A7549" t="str">
        <f t="shared" si="2836"/>
        <v>MCBH SUPPLY DEPT</v>
      </c>
      <c r="B7549" t="str">
        <f>T("MCBH CISD")</f>
        <v>MCBH CISD</v>
      </c>
      <c r="C7549" t="str">
        <f>T("BOX 63002 BLDG 208")</f>
        <v>BOX 63002 BLDG 208</v>
      </c>
      <c r="D7549" t="str">
        <f>T("KANEOHE BAY")</f>
        <v>KANEOHE BAY</v>
      </c>
      <c r="E7549" t="str">
        <f t="shared" si="2837"/>
        <v>HI</v>
      </c>
      <c r="F7549" t="str">
        <f>T("968633002")</f>
        <v>968633002</v>
      </c>
      <c r="G7549" t="str">
        <f>T("MCBH CISD")</f>
        <v>MCBH CISD</v>
      </c>
      <c r="H7549" t="str">
        <f>T("BOX 63002 BLDG 208")</f>
        <v>BOX 63002 BLDG 208</v>
      </c>
      <c r="I7549" t="str">
        <f>T("KANEOHE BAY")</f>
        <v>KANEOHE BAY</v>
      </c>
      <c r="J7549" t="str">
        <f t="shared" si="2838"/>
        <v>HI</v>
      </c>
      <c r="K7549" t="str">
        <f t="shared" si="2840"/>
        <v>000000000000000000</v>
      </c>
      <c r="L7549" t="str">
        <f>T("8082579570")</f>
        <v>8082579570</v>
      </c>
    </row>
    <row r="7550" spans="1:12" x14ac:dyDescent="0.35">
      <c r="A7550" t="str">
        <f t="shared" si="2836"/>
        <v>MCBH SUPPLY DEPT</v>
      </c>
      <c r="B7550" t="str">
        <f>T("MCBH HUMAN RESOURCES OFFICE")</f>
        <v>MCBH HUMAN RESOURCES OFFICE</v>
      </c>
      <c r="C7550" t="str">
        <f>T("BOX 63071 BLDG 272")</f>
        <v>BOX 63071 BLDG 272</v>
      </c>
      <c r="D7550" t="str">
        <f>T("KANEOHE BAY")</f>
        <v>KANEOHE BAY</v>
      </c>
      <c r="E7550" t="str">
        <f t="shared" si="2837"/>
        <v>HI</v>
      </c>
      <c r="F7550" t="str">
        <f>T("968633071")</f>
        <v>968633071</v>
      </c>
      <c r="G7550" t="str">
        <f>T("MCBH HUMAN RESOURCES OFFICE")</f>
        <v>MCBH HUMAN RESOURCES OFFICE</v>
      </c>
      <c r="H7550" t="str">
        <f>T("BOX 63071 BLDG 272")</f>
        <v>BOX 63071 BLDG 272</v>
      </c>
      <c r="I7550" t="str">
        <f>T("KANEOHE BAY")</f>
        <v>KANEOHE BAY</v>
      </c>
      <c r="J7550" t="str">
        <f t="shared" si="2838"/>
        <v>HI</v>
      </c>
      <c r="K7550" t="str">
        <f t="shared" si="2840"/>
        <v>000000000000000000</v>
      </c>
      <c r="L7550" t="str">
        <f>T("8082571376")</f>
        <v>8082571376</v>
      </c>
    </row>
    <row r="7551" spans="1:12" x14ac:dyDescent="0.35">
      <c r="A7551" t="str">
        <f t="shared" si="2836"/>
        <v>MCBH SUPPLY DEPT</v>
      </c>
      <c r="B7551" t="str">
        <f>T("PO BOX 63002")</f>
        <v>PO BOX 63002</v>
      </c>
      <c r="C7551" t="str">
        <f>T("")</f>
        <v/>
      </c>
      <c r="D7551" t="str">
        <f>T("KANEOHE BAY")</f>
        <v>KANEOHE BAY</v>
      </c>
      <c r="E7551" t="str">
        <f t="shared" si="2837"/>
        <v>HI</v>
      </c>
      <c r="F7551" t="str">
        <f>T("968633002")</f>
        <v>968633002</v>
      </c>
      <c r="G7551" t="str">
        <f>T("PO BOX 63002")</f>
        <v>PO BOX 63002</v>
      </c>
      <c r="H7551" t="str">
        <f>T("")</f>
        <v/>
      </c>
      <c r="I7551" t="str">
        <f>T("KANEOHE BAY")</f>
        <v>KANEOHE BAY</v>
      </c>
      <c r="J7551" t="str">
        <f t="shared" si="2838"/>
        <v>HI</v>
      </c>
      <c r="K7551" t="str">
        <f t="shared" si="2840"/>
        <v>000000000000000000</v>
      </c>
      <c r="L7551" t="str">
        <f>T("8082577732")</f>
        <v>8082577732</v>
      </c>
    </row>
    <row r="7552" spans="1:12" x14ac:dyDescent="0.35">
      <c r="A7552" t="str">
        <f t="shared" si="2836"/>
        <v>MCBH SUPPLY DEPT</v>
      </c>
      <c r="B7552" t="str">
        <f>T("PO BOX 63002")</f>
        <v>PO BOX 63002</v>
      </c>
      <c r="C7552" t="str">
        <f>T("")</f>
        <v/>
      </c>
      <c r="D7552" t="str">
        <f>T("MCBH KANEOHE BAY")</f>
        <v>MCBH KANEOHE BAY</v>
      </c>
      <c r="E7552" t="str">
        <f t="shared" si="2837"/>
        <v>HI</v>
      </c>
      <c r="F7552" t="str">
        <f>T("968633002")</f>
        <v>968633002</v>
      </c>
      <c r="G7552" t="str">
        <f>T("PO BOX 63002")</f>
        <v>PO BOX 63002</v>
      </c>
      <c r="H7552" t="str">
        <f>T("")</f>
        <v/>
      </c>
      <c r="I7552" t="str">
        <f>T("MCBH KANEOHE BAY")</f>
        <v>MCBH KANEOHE BAY</v>
      </c>
      <c r="J7552" t="str">
        <f t="shared" si="2838"/>
        <v>HI</v>
      </c>
      <c r="K7552" t="str">
        <f t="shared" si="2840"/>
        <v>000000000000000000</v>
      </c>
      <c r="L7552" t="str">
        <f>T("8082571283")</f>
        <v>8082571283</v>
      </c>
    </row>
    <row r="7553" spans="1:12" x14ac:dyDescent="0.35">
      <c r="A7553" t="str">
        <f t="shared" si="2836"/>
        <v>MCBH SUPPLY DEPT</v>
      </c>
      <c r="B7553" t="str">
        <f>T("PO BOX 63002")</f>
        <v>PO BOX 63002</v>
      </c>
      <c r="C7553" t="str">
        <f>T("")</f>
        <v/>
      </c>
      <c r="D7553" t="str">
        <f>T("MCBH KANEOHE BAY")</f>
        <v>MCBH KANEOHE BAY</v>
      </c>
      <c r="E7553" t="str">
        <f t="shared" si="2837"/>
        <v>HI</v>
      </c>
      <c r="F7553" t="str">
        <f>T("968633002")</f>
        <v>968633002</v>
      </c>
      <c r="G7553" t="str">
        <f>T("PO BOX 63002")</f>
        <v>PO BOX 63002</v>
      </c>
      <c r="H7553" t="str">
        <f>T("")</f>
        <v/>
      </c>
      <c r="I7553" t="str">
        <f>T("MCBH KANEOHE BAY")</f>
        <v>MCBH KANEOHE BAY</v>
      </c>
      <c r="J7553" t="str">
        <f t="shared" si="2838"/>
        <v>HI</v>
      </c>
      <c r="K7553" t="str">
        <f t="shared" si="2840"/>
        <v>000000000000000000</v>
      </c>
      <c r="L7553" t="str">
        <f>T("8082572067")</f>
        <v>8082572067</v>
      </c>
    </row>
    <row r="7554" spans="1:12" x14ac:dyDescent="0.35">
      <c r="A7554" t="str">
        <f t="shared" si="2836"/>
        <v>MCBH SUPPLY DEPT</v>
      </c>
      <c r="B7554" t="str">
        <f>T("PO BOX 63002")</f>
        <v>PO BOX 63002</v>
      </c>
      <c r="C7554" t="str">
        <f>T("MARINE CORPS BASE HAWAII")</f>
        <v>MARINE CORPS BASE HAWAII</v>
      </c>
      <c r="D7554" t="str">
        <f>T("KANEOHE BAY")</f>
        <v>KANEOHE BAY</v>
      </c>
      <c r="E7554" t="str">
        <f t="shared" si="2837"/>
        <v>HI</v>
      </c>
      <c r="F7554" t="str">
        <f>T("968633002")</f>
        <v>968633002</v>
      </c>
      <c r="G7554" t="str">
        <f>T("PO BOX 63002")</f>
        <v>PO BOX 63002</v>
      </c>
      <c r="H7554" t="str">
        <f>T("MARINE CORPS BASE HAWAII")</f>
        <v>MARINE CORPS BASE HAWAII</v>
      </c>
      <c r="I7554" t="str">
        <f>T("KANEOHE BAY")</f>
        <v>KANEOHE BAY</v>
      </c>
      <c r="J7554" t="str">
        <f t="shared" si="2838"/>
        <v>HI</v>
      </c>
      <c r="K7554" t="str">
        <f t="shared" si="2840"/>
        <v>000000000000000000</v>
      </c>
      <c r="L7554" t="str">
        <f>T("8082575719")</f>
        <v>8082575719</v>
      </c>
    </row>
    <row r="7555" spans="1:12" x14ac:dyDescent="0.35">
      <c r="A7555" t="str">
        <f t="shared" si="2836"/>
        <v>MCBH SUPPLY DEPT</v>
      </c>
      <c r="B7555" t="str">
        <f>T("PO BOX 63063")</f>
        <v>PO BOX 63063</v>
      </c>
      <c r="C7555" t="str">
        <f>T("")</f>
        <v/>
      </c>
      <c r="D7555" t="str">
        <f>T("KANEOHE BAY")</f>
        <v>KANEOHE BAY</v>
      </c>
      <c r="E7555" t="str">
        <f t="shared" si="2837"/>
        <v>HI</v>
      </c>
      <c r="F7555" t="str">
        <f>T("968633063")</f>
        <v>968633063</v>
      </c>
      <c r="G7555" t="str">
        <f>T("PO BOX 63063")</f>
        <v>PO BOX 63063</v>
      </c>
      <c r="H7555" t="str">
        <f>T("")</f>
        <v/>
      </c>
      <c r="I7555" t="str">
        <f>T("KANEOHE BAY")</f>
        <v>KANEOHE BAY</v>
      </c>
      <c r="J7555" t="str">
        <f t="shared" si="2838"/>
        <v>HI</v>
      </c>
      <c r="K7555" t="str">
        <f t="shared" si="2840"/>
        <v>000000000000000000</v>
      </c>
      <c r="L7555" t="str">
        <f>T("8082575846")</f>
        <v>8082575846</v>
      </c>
    </row>
    <row r="7556" spans="1:12" x14ac:dyDescent="0.35">
      <c r="A7556" t="str">
        <f t="shared" si="2836"/>
        <v>MCBH SUPPLY DEPT</v>
      </c>
      <c r="B7556" t="str">
        <f>T("USMC MCBH HQBN WATERFRONT OPS")</f>
        <v>USMC MCBH HQBN WATERFRONT OPS</v>
      </c>
      <c r="C7556" t="str">
        <f>T("BOX 63062")</f>
        <v>BOX 63062</v>
      </c>
      <c r="D7556" t="str">
        <f>T("MCBH KANEOHE BAY")</f>
        <v>MCBH KANEOHE BAY</v>
      </c>
      <c r="E7556" t="str">
        <f t="shared" si="2837"/>
        <v>HI</v>
      </c>
      <c r="F7556" t="str">
        <f>T("968630000")</f>
        <v>968630000</v>
      </c>
      <c r="G7556" t="str">
        <f>T("USMC MCBH HQBN WATERFRONT OPS")</f>
        <v>USMC MCBH HQBN WATERFRONT OPS</v>
      </c>
      <c r="H7556" t="str">
        <f>T("BOX 63062")</f>
        <v>BOX 63062</v>
      </c>
      <c r="I7556" t="str">
        <f>T("MCBH KANEOHE BAY")</f>
        <v>MCBH KANEOHE BAY</v>
      </c>
      <c r="J7556" t="str">
        <f t="shared" si="2838"/>
        <v>HI</v>
      </c>
      <c r="K7556" t="str">
        <f t="shared" si="2840"/>
        <v>000000000000000000</v>
      </c>
      <c r="L7556" t="str">
        <f>T("8082572941")</f>
        <v>8082572941</v>
      </c>
    </row>
    <row r="7557" spans="1:12" x14ac:dyDescent="0.35">
      <c r="A7557" t="str">
        <f>T("US MARINE CORPS RCO FAR EAST")</f>
        <v>US MARINE CORPS RCO FAR EAST</v>
      </c>
      <c r="B7557" t="str">
        <f>T("UNIT 35641")</f>
        <v>UNIT 35641</v>
      </c>
      <c r="C7557" t="str">
        <f>T("")</f>
        <v/>
      </c>
      <c r="D7557" t="str">
        <f>T("FPO")</f>
        <v>FPO</v>
      </c>
      <c r="E7557" t="str">
        <f>T("AP")</f>
        <v>AP</v>
      </c>
      <c r="F7557" t="str">
        <f>T("963826841")</f>
        <v>963826841</v>
      </c>
      <c r="G7557" t="str">
        <f>T("UNIT 35605")</f>
        <v>UNIT 35605</v>
      </c>
      <c r="H7557" t="str">
        <f>T("")</f>
        <v/>
      </c>
      <c r="I7557" t="str">
        <f>T("FPO")</f>
        <v>FPO</v>
      </c>
      <c r="J7557" t="str">
        <f>T("AP")</f>
        <v>AP</v>
      </c>
      <c r="K7557" t="str">
        <f t="shared" si="2840"/>
        <v>000000000000000000</v>
      </c>
      <c r="L7557" t="str">
        <f>T("3156221078")</f>
        <v>3156221078</v>
      </c>
    </row>
    <row r="7558" spans="1:12" x14ac:dyDescent="0.35">
      <c r="A7558" t="str">
        <f>T("US MARINE CORPS RCO FAR EAST")</f>
        <v>US MARINE CORPS RCO FAR EAST</v>
      </c>
      <c r="B7558" t="str">
        <f>T("UNIT 35641")</f>
        <v>UNIT 35641</v>
      </c>
      <c r="C7558" t="str">
        <f>T("")</f>
        <v/>
      </c>
      <c r="D7558" t="str">
        <f>T("FPO")</f>
        <v>FPO</v>
      </c>
      <c r="E7558" t="str">
        <f>T("AP")</f>
        <v>AP</v>
      </c>
      <c r="F7558" t="str">
        <f>T("963826841")</f>
        <v>963826841</v>
      </c>
      <c r="G7558" t="str">
        <f>T("UNIT 35641")</f>
        <v>UNIT 35641</v>
      </c>
      <c r="H7558" t="str">
        <f>T("")</f>
        <v/>
      </c>
      <c r="I7558" t="str">
        <f>T("FPO")</f>
        <v>FPO</v>
      </c>
      <c r="J7558" t="str">
        <f>T("AP")</f>
        <v>AP</v>
      </c>
      <c r="K7558" t="str">
        <f t="shared" si="2840"/>
        <v>000000000000000000</v>
      </c>
      <c r="L7558" t="str">
        <f>T("1111111111")</f>
        <v>1111111111</v>
      </c>
    </row>
    <row r="7559" spans="1:12" x14ac:dyDescent="0.35">
      <c r="A7559" t="str">
        <f t="shared" ref="A7559:A7603" si="2841">T("USMC III MEF HQ 3RD MAR DIV")</f>
        <v>USMC III MEF HQ 3RD MAR DIV</v>
      </c>
      <c r="B7559" t="str">
        <f>T("1ST BN 3D MARINES 3DMARDIV")</f>
        <v>1ST BN 3D MARINES 3DMARDIV</v>
      </c>
      <c r="C7559" t="str">
        <f>T("BOX 630006")</f>
        <v>BOX 630006</v>
      </c>
      <c r="D7559" t="str">
        <f>T("MCBH KANEOH BAY")</f>
        <v>MCBH KANEOH BAY</v>
      </c>
      <c r="E7559" t="str">
        <f t="shared" ref="E7559:E7572" si="2842">T("HI")</f>
        <v>HI</v>
      </c>
      <c r="F7559" t="str">
        <f>T("968633018")</f>
        <v>968633018</v>
      </c>
      <c r="G7559" t="str">
        <f>T("1/3 3D MAR DIV")</f>
        <v>1/3 3D MAR DIV</v>
      </c>
      <c r="H7559" t="str">
        <f>T("BLDG 1092 WAREHOUSE 1")</f>
        <v>BLDG 1092 WAREHOUSE 1</v>
      </c>
      <c r="I7559" t="str">
        <f>T("MCBH KANEOHE BAY")</f>
        <v>MCBH KANEOHE BAY</v>
      </c>
      <c r="J7559" t="str">
        <f t="shared" ref="J7559:J7564" si="2843">T("HI")</f>
        <v>HI</v>
      </c>
      <c r="K7559" t="str">
        <f t="shared" si="2840"/>
        <v>000000000000000000</v>
      </c>
      <c r="L7559" t="str">
        <f>T("8082570737")</f>
        <v>8082570737</v>
      </c>
    </row>
    <row r="7560" spans="1:12" x14ac:dyDescent="0.35">
      <c r="A7560" t="str">
        <f t="shared" si="2841"/>
        <v>USMC III MEF HQ 3RD MAR DIV</v>
      </c>
      <c r="B7560" t="str">
        <f>T("1ST BN 3D MARINES 3DMARDIV")</f>
        <v>1ST BN 3D MARINES 3DMARDIV</v>
      </c>
      <c r="C7560" t="str">
        <f>T("BOX 630006")</f>
        <v>BOX 630006</v>
      </c>
      <c r="D7560" t="str">
        <f>T("MCBH KANEOH BAY")</f>
        <v>MCBH KANEOH BAY</v>
      </c>
      <c r="E7560" t="str">
        <f t="shared" si="2842"/>
        <v>HI</v>
      </c>
      <c r="F7560" t="str">
        <f>T("968633018")</f>
        <v>968633018</v>
      </c>
      <c r="G7560" t="str">
        <f>T("1ST BN 3D MARINES 3DMARDIV")</f>
        <v>1ST BN 3D MARINES 3DMARDIV</v>
      </c>
      <c r="H7560" t="str">
        <f>T("BOX 630006")</f>
        <v>BOX 630006</v>
      </c>
      <c r="I7560" t="str">
        <f>T("MCBH KANEOH BAY")</f>
        <v>MCBH KANEOH BAY</v>
      </c>
      <c r="J7560" t="str">
        <f t="shared" si="2843"/>
        <v>HI</v>
      </c>
      <c r="K7560" t="str">
        <f>T("")</f>
        <v/>
      </c>
      <c r="L7560" t="str">
        <f>T("8082572559")</f>
        <v>8082572559</v>
      </c>
    </row>
    <row r="7561" spans="1:12" x14ac:dyDescent="0.35">
      <c r="A7561" t="str">
        <f t="shared" si="2841"/>
        <v>USMC III MEF HQ 3RD MAR DIV</v>
      </c>
      <c r="B7561" t="str">
        <f>T("2ND BN/3D MARINE DIVISION")</f>
        <v>2ND BN/3D MARINE DIVISION</v>
      </c>
      <c r="C7561" t="str">
        <f>T("BOX 63012")</f>
        <v>BOX 63012</v>
      </c>
      <c r="D7561" t="str">
        <f>T("MCBH KANEOHE BAY")</f>
        <v>MCBH KANEOHE BAY</v>
      </c>
      <c r="E7561" t="str">
        <f t="shared" si="2842"/>
        <v>HI</v>
      </c>
      <c r="F7561" t="str">
        <f>T("968633012")</f>
        <v>968633012</v>
      </c>
      <c r="G7561" t="str">
        <f>T("2ND BN/3D MARINE DIVISION")</f>
        <v>2ND BN/3D MARINE DIVISION</v>
      </c>
      <c r="H7561" t="str">
        <f>T("BOX 63012")</f>
        <v>BOX 63012</v>
      </c>
      <c r="I7561" t="str">
        <f>T("MCBH KANEOHE BAY")</f>
        <v>MCBH KANEOHE BAY</v>
      </c>
      <c r="J7561" t="str">
        <f t="shared" si="2843"/>
        <v>HI</v>
      </c>
      <c r="K7561" t="str">
        <f>T("000000000000000000")</f>
        <v>000000000000000000</v>
      </c>
      <c r="L7561" t="str">
        <f>T("3154572559")</f>
        <v>3154572559</v>
      </c>
    </row>
    <row r="7562" spans="1:12" x14ac:dyDescent="0.35">
      <c r="A7562" t="str">
        <f t="shared" si="2841"/>
        <v>USMC III MEF HQ 3RD MAR DIV</v>
      </c>
      <c r="B7562" t="str">
        <f>T("2ND BN/3D MARINE DIVISION")</f>
        <v>2ND BN/3D MARINE DIVISION</v>
      </c>
      <c r="C7562" t="str">
        <f>T("BOX 63012")</f>
        <v>BOX 63012</v>
      </c>
      <c r="D7562" t="str">
        <f>T("MCBH KANEOHE BAY")</f>
        <v>MCBH KANEOHE BAY</v>
      </c>
      <c r="E7562" t="str">
        <f t="shared" si="2842"/>
        <v>HI</v>
      </c>
      <c r="F7562" t="str">
        <f>T("968633012")</f>
        <v>968633012</v>
      </c>
      <c r="G7562" t="str">
        <f>T("2ND BN/3D MARINE DIVISION")</f>
        <v>2ND BN/3D MARINE DIVISION</v>
      </c>
      <c r="H7562" t="str">
        <f>T("BOX 63012")</f>
        <v>BOX 63012</v>
      </c>
      <c r="I7562" t="str">
        <f>T("MCBH KANEOHE BAY")</f>
        <v>MCBH KANEOHE BAY</v>
      </c>
      <c r="J7562" t="str">
        <f t="shared" si="2843"/>
        <v>HI</v>
      </c>
      <c r="K7562" t="str">
        <f>T("000000000000000000")</f>
        <v>000000000000000000</v>
      </c>
      <c r="L7562" t="str">
        <f>T("8082571434")</f>
        <v>8082571434</v>
      </c>
    </row>
    <row r="7563" spans="1:12" x14ac:dyDescent="0.35">
      <c r="A7563" t="str">
        <f t="shared" si="2841"/>
        <v>USMC III MEF HQ 3RD MAR DIV</v>
      </c>
      <c r="B7563" t="str">
        <f>T("2ND BN/3D MARINE DIVISION")</f>
        <v>2ND BN/3D MARINE DIVISION</v>
      </c>
      <c r="C7563" t="str">
        <f>T("BOX 63012")</f>
        <v>BOX 63012</v>
      </c>
      <c r="D7563" t="str">
        <f>T("MCBH KANEOHE BAY")</f>
        <v>MCBH KANEOHE BAY</v>
      </c>
      <c r="E7563" t="str">
        <f t="shared" si="2842"/>
        <v>HI</v>
      </c>
      <c r="F7563" t="str">
        <f>T("968633012")</f>
        <v>968633012</v>
      </c>
      <c r="G7563" t="str">
        <f>T("BOX 63012")</f>
        <v>BOX 63012</v>
      </c>
      <c r="H7563" t="str">
        <f>T("")</f>
        <v/>
      </c>
      <c r="I7563" t="str">
        <f>T("MCBH KANEOHE BAY")</f>
        <v>MCBH KANEOHE BAY</v>
      </c>
      <c r="J7563" t="str">
        <f t="shared" si="2843"/>
        <v>HI</v>
      </c>
      <c r="K7563" t="str">
        <f>T("81989691384")</f>
        <v>81989691384</v>
      </c>
      <c r="L7563" t="str">
        <f>T("3333333333")</f>
        <v>3333333333</v>
      </c>
    </row>
    <row r="7564" spans="1:12" x14ac:dyDescent="0.35">
      <c r="A7564" t="str">
        <f t="shared" si="2841"/>
        <v>USMC III MEF HQ 3RD MAR DIV</v>
      </c>
      <c r="B7564" t="str">
        <f>T("3D BN 3D MARINES")</f>
        <v>3D BN 3D MARINES</v>
      </c>
      <c r="C7564" t="str">
        <f>T("BOX 63018")</f>
        <v>BOX 63018</v>
      </c>
      <c r="D7564" t="str">
        <f>T("MCBH K BAY")</f>
        <v>MCBH K BAY</v>
      </c>
      <c r="E7564" t="str">
        <f t="shared" si="2842"/>
        <v>HI</v>
      </c>
      <c r="F7564" t="str">
        <f>T("968633018")</f>
        <v>968633018</v>
      </c>
      <c r="G7564" t="str">
        <f>T("3D BN 3D MARINES")</f>
        <v>3D BN 3D MARINES</v>
      </c>
      <c r="H7564" t="str">
        <f>T("BOX 63018")</f>
        <v>BOX 63018</v>
      </c>
      <c r="I7564" t="str">
        <f>T("MCBH K BAY")</f>
        <v>MCBH K BAY</v>
      </c>
      <c r="J7564" t="str">
        <f t="shared" si="2843"/>
        <v>HI</v>
      </c>
      <c r="K7564" t="str">
        <f>T("")</f>
        <v/>
      </c>
      <c r="L7564" t="str">
        <f>T("8082572559")</f>
        <v>8082572559</v>
      </c>
    </row>
    <row r="7565" spans="1:12" x14ac:dyDescent="0.35">
      <c r="A7565" t="str">
        <f t="shared" si="2841"/>
        <v>USMC III MEF HQ 3RD MAR DIV</v>
      </c>
      <c r="B7565" t="str">
        <f>T("3D BN 3D MARINES")</f>
        <v>3D BN 3D MARINES</v>
      </c>
      <c r="C7565" t="str">
        <f>T("BOX 63018")</f>
        <v>BOX 63018</v>
      </c>
      <c r="D7565" t="str">
        <f>T("MCBH K BAY")</f>
        <v>MCBH K BAY</v>
      </c>
      <c r="E7565" t="str">
        <f t="shared" si="2842"/>
        <v>HI</v>
      </c>
      <c r="F7565" t="str">
        <f>T("968633018")</f>
        <v>968633018</v>
      </c>
      <c r="G7565" t="str">
        <f>T("UNIT 66183")</f>
        <v>UNIT 66183</v>
      </c>
      <c r="H7565" t="str">
        <f>T("")</f>
        <v/>
      </c>
      <c r="I7565" t="str">
        <f>T("FPO")</f>
        <v>FPO</v>
      </c>
      <c r="J7565" t="str">
        <f>T("AP")</f>
        <v>AP</v>
      </c>
      <c r="K7565" t="str">
        <f>T("011816117252640")</f>
        <v>011816117252640</v>
      </c>
      <c r="L7565" t="str">
        <f>T("1111111111")</f>
        <v>1111111111</v>
      </c>
    </row>
    <row r="7566" spans="1:12" x14ac:dyDescent="0.35">
      <c r="A7566" t="str">
        <f t="shared" si="2841"/>
        <v>USMC III MEF HQ 3RD MAR DIV</v>
      </c>
      <c r="B7566" t="str">
        <f>T("3D BN 3D MARINES")</f>
        <v>3D BN 3D MARINES</v>
      </c>
      <c r="C7566" t="str">
        <f>T("BOX 63018")</f>
        <v>BOX 63018</v>
      </c>
      <c r="D7566" t="str">
        <f>T("MCBH K BAY")</f>
        <v>MCBH K BAY</v>
      </c>
      <c r="E7566" t="str">
        <f t="shared" si="2842"/>
        <v>HI</v>
      </c>
      <c r="F7566" t="str">
        <f>T("968633018")</f>
        <v>968633018</v>
      </c>
      <c r="G7566" t="str">
        <f>T("UNIT 89016")</f>
        <v>UNIT 89016</v>
      </c>
      <c r="H7566" t="str">
        <f>T("")</f>
        <v/>
      </c>
      <c r="I7566" t="str">
        <f>T("FPO")</f>
        <v>FPO</v>
      </c>
      <c r="J7566" t="str">
        <f>T("AP")</f>
        <v>AP</v>
      </c>
      <c r="K7566" t="str">
        <f t="shared" ref="K7566:K7573" si="2844">T("000000000000000000")</f>
        <v>000000000000000000</v>
      </c>
      <c r="L7566" t="str">
        <f>T("3156234252")</f>
        <v>3156234252</v>
      </c>
    </row>
    <row r="7567" spans="1:12" x14ac:dyDescent="0.35">
      <c r="A7567" t="str">
        <f t="shared" si="2841"/>
        <v>USMC III MEF HQ 3RD MAR DIV</v>
      </c>
      <c r="B7567" t="str">
        <f>T("3DMARDIV 1/12")</f>
        <v>3DMARDIV 1/12</v>
      </c>
      <c r="C7567" t="str">
        <f>T("BOX 63024")</f>
        <v>BOX 63024</v>
      </c>
      <c r="D7567" t="str">
        <f t="shared" ref="D7567:D7572" si="2845">T("MCBH KANEOHE BAY")</f>
        <v>MCBH KANEOHE BAY</v>
      </c>
      <c r="E7567" t="str">
        <f t="shared" si="2842"/>
        <v>HI</v>
      </c>
      <c r="F7567" t="str">
        <f>T("968633024")</f>
        <v>968633024</v>
      </c>
      <c r="G7567" t="str">
        <f>T("3DMARDIV 1/12")</f>
        <v>3DMARDIV 1/12</v>
      </c>
      <c r="H7567" t="str">
        <f>T("BOX 63024")</f>
        <v>BOX 63024</v>
      </c>
      <c r="I7567" t="str">
        <f>T("MCBH KANEOHE BAY")</f>
        <v>MCBH KANEOHE BAY</v>
      </c>
      <c r="J7567" t="str">
        <f t="shared" ref="J7567:J7572" si="2846">T("HI")</f>
        <v>HI</v>
      </c>
      <c r="K7567" t="str">
        <f t="shared" si="2844"/>
        <v>000000000000000000</v>
      </c>
      <c r="L7567" t="str">
        <f>T("8082573116")</f>
        <v>8082573116</v>
      </c>
    </row>
    <row r="7568" spans="1:12" x14ac:dyDescent="0.35">
      <c r="A7568" t="str">
        <f t="shared" si="2841"/>
        <v>USMC III MEF HQ 3RD MAR DIV</v>
      </c>
      <c r="B7568" t="str">
        <f>T("3DMARDIV 1/12")</f>
        <v>3DMARDIV 1/12</v>
      </c>
      <c r="C7568" t="str">
        <f>T("BOX 63024")</f>
        <v>BOX 63024</v>
      </c>
      <c r="D7568" t="str">
        <f t="shared" si="2845"/>
        <v>MCBH KANEOHE BAY</v>
      </c>
      <c r="E7568" t="str">
        <f t="shared" si="2842"/>
        <v>HI</v>
      </c>
      <c r="F7568" t="str">
        <f>T("968633024")</f>
        <v>968633024</v>
      </c>
      <c r="G7568" t="str">
        <f>T("3DMARDIV 1/12")</f>
        <v>3DMARDIV 1/12</v>
      </c>
      <c r="H7568" t="str">
        <f>T("BOX 63024")</f>
        <v>BOX 63024</v>
      </c>
      <c r="I7568" t="str">
        <f>T("MCBH KANEOHE BAY")</f>
        <v>MCBH KANEOHE BAY</v>
      </c>
      <c r="J7568" t="str">
        <f t="shared" si="2846"/>
        <v>HI</v>
      </c>
      <c r="K7568" t="str">
        <f t="shared" si="2844"/>
        <v>000000000000000000</v>
      </c>
      <c r="L7568" t="str">
        <f>T("8082573118")</f>
        <v>8082573118</v>
      </c>
    </row>
    <row r="7569" spans="1:12" x14ac:dyDescent="0.35">
      <c r="A7569" t="str">
        <f t="shared" si="2841"/>
        <v>USMC III MEF HQ 3RD MAR DIV</v>
      </c>
      <c r="B7569" t="str">
        <f>T("3DMARDIV 1/12")</f>
        <v>3DMARDIV 1/12</v>
      </c>
      <c r="C7569" t="str">
        <f>T("BOX 63024")</f>
        <v>BOX 63024</v>
      </c>
      <c r="D7569" t="str">
        <f t="shared" si="2845"/>
        <v>MCBH KANEOHE BAY</v>
      </c>
      <c r="E7569" t="str">
        <f t="shared" si="2842"/>
        <v>HI</v>
      </c>
      <c r="F7569" t="str">
        <f>T("968633024")</f>
        <v>968633024</v>
      </c>
      <c r="G7569" t="str">
        <f>T("BOX 63024")</f>
        <v>BOX 63024</v>
      </c>
      <c r="H7569" t="str">
        <f>T("")</f>
        <v/>
      </c>
      <c r="I7569" t="str">
        <f>T("KANEOHE BAY")</f>
        <v>KANEOHE BAY</v>
      </c>
      <c r="J7569" t="str">
        <f t="shared" si="2846"/>
        <v>HI</v>
      </c>
      <c r="K7569" t="str">
        <f t="shared" si="2844"/>
        <v>000000000000000000</v>
      </c>
      <c r="L7569" t="str">
        <f>T("8082573116")</f>
        <v>8082573116</v>
      </c>
    </row>
    <row r="7570" spans="1:12" x14ac:dyDescent="0.35">
      <c r="A7570" t="str">
        <f t="shared" si="2841"/>
        <v>USMC III MEF HQ 3RD MAR DIV</v>
      </c>
      <c r="B7570" t="str">
        <f>T("3DMARDIV 1/12")</f>
        <v>3DMARDIV 1/12</v>
      </c>
      <c r="C7570" t="str">
        <f>T("BOX 63024")</f>
        <v>BOX 63024</v>
      </c>
      <c r="D7570" t="str">
        <f t="shared" si="2845"/>
        <v>MCBH KANEOHE BAY</v>
      </c>
      <c r="E7570" t="str">
        <f t="shared" si="2842"/>
        <v>HI</v>
      </c>
      <c r="F7570" t="str">
        <f>T("968633024")</f>
        <v>968633024</v>
      </c>
      <c r="G7570" t="str">
        <f>T("BOX 63024")</f>
        <v>BOX 63024</v>
      </c>
      <c r="H7570" t="str">
        <f>T("")</f>
        <v/>
      </c>
      <c r="I7570" t="str">
        <f>T("MCBH KANEOHE BAY")</f>
        <v>MCBH KANEOHE BAY</v>
      </c>
      <c r="J7570" t="str">
        <f t="shared" si="2846"/>
        <v>HI</v>
      </c>
      <c r="K7570" t="str">
        <f t="shared" si="2844"/>
        <v>000000000000000000</v>
      </c>
      <c r="L7570" t="str">
        <f>T("8082573116")</f>
        <v>8082573116</v>
      </c>
    </row>
    <row r="7571" spans="1:12" x14ac:dyDescent="0.35">
      <c r="A7571" t="str">
        <f t="shared" si="2841"/>
        <v>USMC III MEF HQ 3RD MAR DIV</v>
      </c>
      <c r="B7571" t="str">
        <f>T("HQ CO 3D MAR REGT")</f>
        <v>HQ CO 3D MAR REGT</v>
      </c>
      <c r="C7571" t="str">
        <f>T("BOX 63004")</f>
        <v>BOX 63004</v>
      </c>
      <c r="D7571" t="str">
        <f t="shared" si="2845"/>
        <v>MCBH KANEOHE BAY</v>
      </c>
      <c r="E7571" t="str">
        <f t="shared" si="2842"/>
        <v>HI</v>
      </c>
      <c r="F7571" t="str">
        <f>T("968633004")</f>
        <v>968633004</v>
      </c>
      <c r="G7571" t="str">
        <f>T("BLDG 1367 MOKAPU RD")</f>
        <v>BLDG 1367 MOKAPU RD</v>
      </c>
      <c r="H7571" t="str">
        <f>T("")</f>
        <v/>
      </c>
      <c r="I7571" t="str">
        <f>T("MCBH KANEOHE BAY")</f>
        <v>MCBH KANEOHE BAY</v>
      </c>
      <c r="J7571" t="str">
        <f t="shared" si="2846"/>
        <v>HI</v>
      </c>
      <c r="K7571" t="str">
        <f t="shared" si="2844"/>
        <v>000000000000000000</v>
      </c>
      <c r="L7571" t="str">
        <f>T("8082573429")</f>
        <v>8082573429</v>
      </c>
    </row>
    <row r="7572" spans="1:12" x14ac:dyDescent="0.35">
      <c r="A7572" t="str">
        <f t="shared" si="2841"/>
        <v>USMC III MEF HQ 3RD MAR DIV</v>
      </c>
      <c r="B7572" t="str">
        <f>T("HQ CO 3D MAR REGT")</f>
        <v>HQ CO 3D MAR REGT</v>
      </c>
      <c r="C7572" t="str">
        <f>T("BOX 63004")</f>
        <v>BOX 63004</v>
      </c>
      <c r="D7572" t="str">
        <f t="shared" si="2845"/>
        <v>MCBH KANEOHE BAY</v>
      </c>
      <c r="E7572" t="str">
        <f t="shared" si="2842"/>
        <v>HI</v>
      </c>
      <c r="F7572" t="str">
        <f>T("968633004")</f>
        <v>968633004</v>
      </c>
      <c r="G7572" t="str">
        <f>T("HQ CO 3D MAR REGT")</f>
        <v>HQ CO 3D MAR REGT</v>
      </c>
      <c r="H7572" t="str">
        <f>T("BOX 63004")</f>
        <v>BOX 63004</v>
      </c>
      <c r="I7572" t="str">
        <f>T("MCBH KANEOHE BAY")</f>
        <v>MCBH KANEOHE BAY</v>
      </c>
      <c r="J7572" t="str">
        <f t="shared" si="2846"/>
        <v>HI</v>
      </c>
      <c r="K7572" t="str">
        <f t="shared" si="2844"/>
        <v>000000000000000000</v>
      </c>
      <c r="L7572" t="str">
        <f>T("8082573429")</f>
        <v>8082573429</v>
      </c>
    </row>
    <row r="7573" spans="1:12" x14ac:dyDescent="0.35">
      <c r="A7573" t="str">
        <f t="shared" si="2841"/>
        <v>USMC III MEF HQ 3RD MAR DIV</v>
      </c>
      <c r="B7573" t="str">
        <f>T("UNIT 10126")</f>
        <v>UNIT 10126</v>
      </c>
      <c r="C7573" t="str">
        <f t="shared" ref="C7573:C7604" si="2847">T("")</f>
        <v/>
      </c>
      <c r="D7573" t="str">
        <f t="shared" ref="D7573:D7604" si="2848">T("FPO")</f>
        <v>FPO</v>
      </c>
      <c r="E7573" t="str">
        <f t="shared" ref="E7573:E7604" si="2849">T("AP")</f>
        <v>AP</v>
      </c>
      <c r="F7573" t="str">
        <f>T("966100126")</f>
        <v>966100126</v>
      </c>
      <c r="G7573" t="str">
        <f>T("UNIT 10126")</f>
        <v>UNIT 10126</v>
      </c>
      <c r="H7573" t="str">
        <f t="shared" ref="H7573:H7604" si="2850">T("")</f>
        <v/>
      </c>
      <c r="I7573" t="str">
        <f t="shared" ref="I7573:I7604" si="2851">T("FPO")</f>
        <v>FPO</v>
      </c>
      <c r="J7573" t="str">
        <f t="shared" ref="J7573:J7578" si="2852">T("AP")</f>
        <v>AP</v>
      </c>
      <c r="K7573" t="str">
        <f t="shared" si="2844"/>
        <v>000000000000000000</v>
      </c>
      <c r="L7573" t="str">
        <f>T("1111111111")</f>
        <v>1111111111</v>
      </c>
    </row>
    <row r="7574" spans="1:12" x14ac:dyDescent="0.35">
      <c r="A7574" t="str">
        <f t="shared" si="2841"/>
        <v>USMC III MEF HQ 3RD MAR DIV</v>
      </c>
      <c r="B7574" t="str">
        <f>T("UNIT 10126")</f>
        <v>UNIT 10126</v>
      </c>
      <c r="C7574" t="str">
        <f t="shared" si="2847"/>
        <v/>
      </c>
      <c r="D7574" t="str">
        <f t="shared" si="2848"/>
        <v>FPO</v>
      </c>
      <c r="E7574" t="str">
        <f t="shared" si="2849"/>
        <v>AP</v>
      </c>
      <c r="F7574" t="str">
        <f>T("966100126")</f>
        <v>966100126</v>
      </c>
      <c r="G7574" t="str">
        <f>T("UNIT 10126")</f>
        <v>UNIT 10126</v>
      </c>
      <c r="H7574" t="str">
        <f t="shared" si="2850"/>
        <v/>
      </c>
      <c r="I7574" t="str">
        <f t="shared" si="2851"/>
        <v>FPO</v>
      </c>
      <c r="J7574" t="str">
        <f t="shared" si="2852"/>
        <v>AP</v>
      </c>
      <c r="K7574" t="str">
        <f>T("81989703607")</f>
        <v>81989703607</v>
      </c>
      <c r="L7574" t="str">
        <f>T("1111111111")</f>
        <v>1111111111</v>
      </c>
    </row>
    <row r="7575" spans="1:12" x14ac:dyDescent="0.35">
      <c r="A7575" t="str">
        <f t="shared" si="2841"/>
        <v>USMC III MEF HQ 3RD MAR DIV</v>
      </c>
      <c r="B7575" t="str">
        <f>T("UNIT 10126")</f>
        <v>UNIT 10126</v>
      </c>
      <c r="C7575" t="str">
        <f t="shared" si="2847"/>
        <v/>
      </c>
      <c r="D7575" t="str">
        <f t="shared" si="2848"/>
        <v>FPO</v>
      </c>
      <c r="E7575" t="str">
        <f t="shared" si="2849"/>
        <v>AP</v>
      </c>
      <c r="F7575" t="str">
        <f>T("966100126")</f>
        <v>966100126</v>
      </c>
      <c r="G7575" t="str">
        <f>T("UNIT 35840")</f>
        <v>UNIT 35840</v>
      </c>
      <c r="H7575" t="str">
        <f t="shared" si="2850"/>
        <v/>
      </c>
      <c r="I7575" t="str">
        <f t="shared" si="2851"/>
        <v>FPO</v>
      </c>
      <c r="J7575" t="str">
        <f t="shared" si="2852"/>
        <v>AP</v>
      </c>
      <c r="K7575" t="str">
        <f>T("000000000000000000")</f>
        <v>000000000000000000</v>
      </c>
      <c r="L7575" t="str">
        <f>T("3156229473")</f>
        <v>3156229473</v>
      </c>
    </row>
    <row r="7576" spans="1:12" x14ac:dyDescent="0.35">
      <c r="A7576" t="str">
        <f t="shared" si="2841"/>
        <v>USMC III MEF HQ 3RD MAR DIV</v>
      </c>
      <c r="B7576" t="str">
        <f>T("UNIT 10126")</f>
        <v>UNIT 10126</v>
      </c>
      <c r="C7576" t="str">
        <f t="shared" si="2847"/>
        <v/>
      </c>
      <c r="D7576" t="str">
        <f t="shared" si="2848"/>
        <v>FPO</v>
      </c>
      <c r="E7576" t="str">
        <f t="shared" si="2849"/>
        <v>AP</v>
      </c>
      <c r="F7576" t="str">
        <f>T("966100126")</f>
        <v>966100126</v>
      </c>
      <c r="G7576" t="str">
        <f>T("UNIT 80131")</f>
        <v>UNIT 80131</v>
      </c>
      <c r="H7576" t="str">
        <f t="shared" si="2850"/>
        <v/>
      </c>
      <c r="I7576" t="str">
        <f t="shared" si="2851"/>
        <v>FPO</v>
      </c>
      <c r="J7576" t="str">
        <f t="shared" si="2852"/>
        <v>AP</v>
      </c>
      <c r="K7576" t="str">
        <f>T("00631253742")</f>
        <v>00631253742</v>
      </c>
      <c r="L7576" t="str">
        <f>T("3232868605")</f>
        <v>3232868605</v>
      </c>
    </row>
    <row r="7577" spans="1:12" x14ac:dyDescent="0.35">
      <c r="A7577" t="str">
        <f t="shared" si="2841"/>
        <v>USMC III MEF HQ 3RD MAR DIV</v>
      </c>
      <c r="B7577" t="str">
        <f>T("UNIT 14014")</f>
        <v>UNIT 14014</v>
      </c>
      <c r="C7577" t="str">
        <f t="shared" si="2847"/>
        <v/>
      </c>
      <c r="D7577" t="str">
        <f t="shared" si="2848"/>
        <v>FPO</v>
      </c>
      <c r="E7577" t="str">
        <f t="shared" si="2849"/>
        <v>AP</v>
      </c>
      <c r="F7577" t="str">
        <f>T("965434014")</f>
        <v>965434014</v>
      </c>
      <c r="G7577" t="str">
        <f>T("UNIT 14014")</f>
        <v>UNIT 14014</v>
      </c>
      <c r="H7577" t="str">
        <f t="shared" si="2850"/>
        <v/>
      </c>
      <c r="I7577" t="str">
        <f t="shared" si="2851"/>
        <v>FPO</v>
      </c>
      <c r="J7577" t="str">
        <f t="shared" si="2852"/>
        <v>AP</v>
      </c>
      <c r="K7577" t="str">
        <f t="shared" ref="K7577:K7582" si="2853">T("000000000000000000")</f>
        <v>000000000000000000</v>
      </c>
      <c r="L7577" t="str">
        <f>T("1111111111")</f>
        <v>1111111111</v>
      </c>
    </row>
    <row r="7578" spans="1:12" x14ac:dyDescent="0.35">
      <c r="A7578" t="str">
        <f t="shared" si="2841"/>
        <v>USMC III MEF HQ 3RD MAR DIV</v>
      </c>
      <c r="B7578" t="str">
        <f>T("UNIT 14014")</f>
        <v>UNIT 14014</v>
      </c>
      <c r="C7578" t="str">
        <f t="shared" si="2847"/>
        <v/>
      </c>
      <c r="D7578" t="str">
        <f t="shared" si="2848"/>
        <v>FPO</v>
      </c>
      <c r="E7578" t="str">
        <f t="shared" si="2849"/>
        <v>AP</v>
      </c>
      <c r="F7578" t="str">
        <f>T("965434014")</f>
        <v>965434014</v>
      </c>
      <c r="G7578" t="str">
        <f>T("UNIT 14014")</f>
        <v>UNIT 14014</v>
      </c>
      <c r="H7578" t="str">
        <f t="shared" si="2850"/>
        <v/>
      </c>
      <c r="I7578" t="str">
        <f t="shared" si="2851"/>
        <v>FPO</v>
      </c>
      <c r="J7578" t="str">
        <f t="shared" si="2852"/>
        <v>AP</v>
      </c>
      <c r="K7578" t="str">
        <f t="shared" si="2853"/>
        <v>000000000000000000</v>
      </c>
      <c r="L7578" t="str">
        <f>T("3156252389")</f>
        <v>3156252389</v>
      </c>
    </row>
    <row r="7579" spans="1:12" x14ac:dyDescent="0.35">
      <c r="A7579" t="str">
        <f t="shared" si="2841"/>
        <v>USMC III MEF HQ 3RD MAR DIV</v>
      </c>
      <c r="B7579" t="str">
        <f>T("UNIT 14014")</f>
        <v>UNIT 14014</v>
      </c>
      <c r="C7579" t="str">
        <f t="shared" si="2847"/>
        <v/>
      </c>
      <c r="D7579" t="str">
        <f t="shared" si="2848"/>
        <v>FPO</v>
      </c>
      <c r="E7579" t="str">
        <f t="shared" si="2849"/>
        <v>AP</v>
      </c>
      <c r="F7579" t="str">
        <f>T("965434014")</f>
        <v>965434014</v>
      </c>
      <c r="G7579" t="str">
        <f>T("UNIT 80154")</f>
        <v>UNIT 80154</v>
      </c>
      <c r="H7579" t="str">
        <f t="shared" si="2850"/>
        <v/>
      </c>
      <c r="I7579" t="str">
        <f t="shared" si="2851"/>
        <v>FPO</v>
      </c>
      <c r="J7579" t="str">
        <f>T("AE")</f>
        <v>AE</v>
      </c>
      <c r="K7579" t="str">
        <f t="shared" si="2853"/>
        <v>000000000000000000</v>
      </c>
      <c r="L7579" t="str">
        <f>T("3156252389")</f>
        <v>3156252389</v>
      </c>
    </row>
    <row r="7580" spans="1:12" x14ac:dyDescent="0.35">
      <c r="A7580" t="str">
        <f t="shared" si="2841"/>
        <v>USMC III MEF HQ 3RD MAR DIV</v>
      </c>
      <c r="B7580" t="str">
        <f>T("UNIT 35880")</f>
        <v>UNIT 35880</v>
      </c>
      <c r="C7580" t="str">
        <f t="shared" si="2847"/>
        <v/>
      </c>
      <c r="D7580" t="str">
        <f t="shared" si="2848"/>
        <v>FPO</v>
      </c>
      <c r="E7580" t="str">
        <f t="shared" si="2849"/>
        <v>AP</v>
      </c>
      <c r="F7580" t="str">
        <f>T("963825880")</f>
        <v>963825880</v>
      </c>
      <c r="G7580" t="str">
        <f>T("UNIT 35840")</f>
        <v>UNIT 35840</v>
      </c>
      <c r="H7580" t="str">
        <f t="shared" si="2850"/>
        <v/>
      </c>
      <c r="I7580" t="str">
        <f t="shared" si="2851"/>
        <v>FPO</v>
      </c>
      <c r="J7580" t="str">
        <f t="shared" ref="J7580:J7611" si="2854">T("AP")</f>
        <v>AP</v>
      </c>
      <c r="K7580" t="str">
        <f t="shared" si="2853"/>
        <v>000000000000000000</v>
      </c>
      <c r="L7580" t="str">
        <f>T("3156227402")</f>
        <v>3156227402</v>
      </c>
    </row>
    <row r="7581" spans="1:12" x14ac:dyDescent="0.35">
      <c r="A7581" t="str">
        <f t="shared" si="2841"/>
        <v>USMC III MEF HQ 3RD MAR DIV</v>
      </c>
      <c r="B7581" t="str">
        <f>T("UNIT 35880")</f>
        <v>UNIT 35880</v>
      </c>
      <c r="C7581" t="str">
        <f t="shared" si="2847"/>
        <v/>
      </c>
      <c r="D7581" t="str">
        <f t="shared" si="2848"/>
        <v>FPO</v>
      </c>
      <c r="E7581" t="str">
        <f t="shared" si="2849"/>
        <v>AP</v>
      </c>
      <c r="F7581" t="str">
        <f>T("963825880")</f>
        <v>963825880</v>
      </c>
      <c r="G7581" t="str">
        <f>T("UNIT 35840")</f>
        <v>UNIT 35840</v>
      </c>
      <c r="H7581" t="str">
        <f t="shared" si="2850"/>
        <v/>
      </c>
      <c r="I7581" t="str">
        <f t="shared" si="2851"/>
        <v>FPO</v>
      </c>
      <c r="J7581" t="str">
        <f t="shared" si="2854"/>
        <v>AP</v>
      </c>
      <c r="K7581" t="str">
        <f t="shared" si="2853"/>
        <v>000000000000000000</v>
      </c>
      <c r="L7581" t="str">
        <f>T("3156228011")</f>
        <v>3156228011</v>
      </c>
    </row>
    <row r="7582" spans="1:12" x14ac:dyDescent="0.35">
      <c r="A7582" t="str">
        <f t="shared" si="2841"/>
        <v>USMC III MEF HQ 3RD MAR DIV</v>
      </c>
      <c r="B7582" t="str">
        <f>T("UNIT 35880")</f>
        <v>UNIT 35880</v>
      </c>
      <c r="C7582" t="str">
        <f t="shared" si="2847"/>
        <v/>
      </c>
      <c r="D7582" t="str">
        <f t="shared" si="2848"/>
        <v>FPO</v>
      </c>
      <c r="E7582" t="str">
        <f t="shared" si="2849"/>
        <v>AP</v>
      </c>
      <c r="F7582" t="str">
        <f>T("963825880")</f>
        <v>963825880</v>
      </c>
      <c r="G7582" t="str">
        <f>T("UNIT 35840")</f>
        <v>UNIT 35840</v>
      </c>
      <c r="H7582" t="str">
        <f t="shared" si="2850"/>
        <v/>
      </c>
      <c r="I7582" t="str">
        <f t="shared" si="2851"/>
        <v>FPO</v>
      </c>
      <c r="J7582" t="str">
        <f t="shared" si="2854"/>
        <v>AP</v>
      </c>
      <c r="K7582" t="str">
        <f t="shared" si="2853"/>
        <v>000000000000000000</v>
      </c>
      <c r="L7582" t="str">
        <f>T("3156229041")</f>
        <v>3156229041</v>
      </c>
    </row>
    <row r="7583" spans="1:12" x14ac:dyDescent="0.35">
      <c r="A7583" t="str">
        <f t="shared" si="2841"/>
        <v>USMC III MEF HQ 3RD MAR DIV</v>
      </c>
      <c r="B7583" t="str">
        <f>T("UNIT 35880")</f>
        <v>UNIT 35880</v>
      </c>
      <c r="C7583" t="str">
        <f t="shared" si="2847"/>
        <v/>
      </c>
      <c r="D7583" t="str">
        <f t="shared" si="2848"/>
        <v>FPO</v>
      </c>
      <c r="E7583" t="str">
        <f t="shared" si="2849"/>
        <v>AP</v>
      </c>
      <c r="F7583" t="str">
        <f>T("963825880")</f>
        <v>963825880</v>
      </c>
      <c r="G7583" t="str">
        <f>T("UNIT 35880")</f>
        <v>UNIT 35880</v>
      </c>
      <c r="H7583" t="str">
        <f t="shared" si="2850"/>
        <v/>
      </c>
      <c r="I7583" t="str">
        <f t="shared" si="2851"/>
        <v>FPO</v>
      </c>
      <c r="J7583" t="str">
        <f t="shared" si="2854"/>
        <v>AP</v>
      </c>
      <c r="K7583" t="str">
        <f>T("")</f>
        <v/>
      </c>
      <c r="L7583" t="str">
        <f>T("3156226010")</f>
        <v>3156226010</v>
      </c>
    </row>
    <row r="7584" spans="1:12" x14ac:dyDescent="0.35">
      <c r="A7584" t="str">
        <f t="shared" si="2841"/>
        <v>USMC III MEF HQ 3RD MAR DIV</v>
      </c>
      <c r="B7584" t="str">
        <f>T("UNIT 35970")</f>
        <v>UNIT 35970</v>
      </c>
      <c r="C7584" t="str">
        <f t="shared" si="2847"/>
        <v/>
      </c>
      <c r="D7584" t="str">
        <f t="shared" si="2848"/>
        <v>FPO</v>
      </c>
      <c r="E7584" t="str">
        <f t="shared" si="2849"/>
        <v>AP</v>
      </c>
      <c r="F7584" t="str">
        <f>T("963895970")</f>
        <v>963895970</v>
      </c>
      <c r="G7584" t="str">
        <f>T("UNIT 35970")</f>
        <v>UNIT 35970</v>
      </c>
      <c r="H7584" t="str">
        <f t="shared" si="2850"/>
        <v/>
      </c>
      <c r="I7584" t="str">
        <f t="shared" si="2851"/>
        <v>FPO</v>
      </c>
      <c r="J7584" t="str">
        <f t="shared" si="2854"/>
        <v>AP</v>
      </c>
      <c r="K7584" t="str">
        <f>T("")</f>
        <v/>
      </c>
      <c r="L7584" t="str">
        <f>T("1111111111")</f>
        <v>1111111111</v>
      </c>
    </row>
    <row r="7585" spans="1:12" x14ac:dyDescent="0.35">
      <c r="A7585" t="str">
        <f t="shared" si="2841"/>
        <v>USMC III MEF HQ 3RD MAR DIV</v>
      </c>
      <c r="B7585" t="str">
        <f>T("UNIT 35970")</f>
        <v>UNIT 35970</v>
      </c>
      <c r="C7585" t="str">
        <f t="shared" si="2847"/>
        <v/>
      </c>
      <c r="D7585" t="str">
        <f t="shared" si="2848"/>
        <v>FPO</v>
      </c>
      <c r="E7585" t="str">
        <f t="shared" si="2849"/>
        <v>AP</v>
      </c>
      <c r="F7585" t="str">
        <f>T("963895970")</f>
        <v>963895970</v>
      </c>
      <c r="G7585" t="str">
        <f>T("UNIT 35970")</f>
        <v>UNIT 35970</v>
      </c>
      <c r="H7585" t="str">
        <f t="shared" si="2850"/>
        <v/>
      </c>
      <c r="I7585" t="str">
        <f t="shared" si="2851"/>
        <v>FPO</v>
      </c>
      <c r="J7585" t="str">
        <f t="shared" si="2854"/>
        <v>AP</v>
      </c>
      <c r="K7585" t="str">
        <f>T("000000000000000000")</f>
        <v>000000000000000000</v>
      </c>
      <c r="L7585" t="str">
        <f>T("3156252710")</f>
        <v>3156252710</v>
      </c>
    </row>
    <row r="7586" spans="1:12" x14ac:dyDescent="0.35">
      <c r="A7586" t="str">
        <f t="shared" si="2841"/>
        <v>USMC III MEF HQ 3RD MAR DIV</v>
      </c>
      <c r="B7586" t="str">
        <f>T("UNIT 35970")</f>
        <v>UNIT 35970</v>
      </c>
      <c r="C7586" t="str">
        <f t="shared" si="2847"/>
        <v/>
      </c>
      <c r="D7586" t="str">
        <f t="shared" si="2848"/>
        <v>FPO</v>
      </c>
      <c r="E7586" t="str">
        <f t="shared" si="2849"/>
        <v>AP</v>
      </c>
      <c r="F7586" t="str">
        <f>T("963895970")</f>
        <v>963895970</v>
      </c>
      <c r="G7586" t="str">
        <f>T("UNIT 35970")</f>
        <v>UNIT 35970</v>
      </c>
      <c r="H7586" t="str">
        <f t="shared" si="2850"/>
        <v/>
      </c>
      <c r="I7586" t="str">
        <f t="shared" si="2851"/>
        <v>FPO</v>
      </c>
      <c r="J7586" t="str">
        <f t="shared" si="2854"/>
        <v>AP</v>
      </c>
      <c r="K7586" t="str">
        <f>T("000000000000000000")</f>
        <v>000000000000000000</v>
      </c>
      <c r="L7586" t="str">
        <f>T("3156253037")</f>
        <v>3156253037</v>
      </c>
    </row>
    <row r="7587" spans="1:12" x14ac:dyDescent="0.35">
      <c r="A7587" t="str">
        <f t="shared" si="2841"/>
        <v>USMC III MEF HQ 3RD MAR DIV</v>
      </c>
      <c r="B7587" t="str">
        <f>T("UNIT 35970")</f>
        <v>UNIT 35970</v>
      </c>
      <c r="C7587" t="str">
        <f t="shared" si="2847"/>
        <v/>
      </c>
      <c r="D7587" t="str">
        <f t="shared" si="2848"/>
        <v>FPO</v>
      </c>
      <c r="E7587" t="str">
        <f t="shared" si="2849"/>
        <v>AP</v>
      </c>
      <c r="F7587" t="str">
        <f>T("963895970")</f>
        <v>963895970</v>
      </c>
      <c r="G7587" t="str">
        <f>T("UNIT 35970")</f>
        <v>UNIT 35970</v>
      </c>
      <c r="H7587" t="str">
        <f t="shared" si="2850"/>
        <v/>
      </c>
      <c r="I7587" t="str">
        <f t="shared" si="2851"/>
        <v>FPO</v>
      </c>
      <c r="J7587" t="str">
        <f t="shared" si="2854"/>
        <v>AP</v>
      </c>
      <c r="K7587" t="str">
        <f>T("819897055556253037")</f>
        <v>819897055556253037</v>
      </c>
      <c r="L7587" t="str">
        <f>T("3156253037")</f>
        <v>3156253037</v>
      </c>
    </row>
    <row r="7588" spans="1:12" x14ac:dyDescent="0.35">
      <c r="A7588" t="str">
        <f t="shared" si="2841"/>
        <v>USMC III MEF HQ 3RD MAR DIV</v>
      </c>
      <c r="B7588" t="str">
        <f>T("UNIT 36070")</f>
        <v>UNIT 36070</v>
      </c>
      <c r="C7588" t="str">
        <f t="shared" si="2847"/>
        <v/>
      </c>
      <c r="D7588" t="str">
        <f t="shared" si="2848"/>
        <v>FPO</v>
      </c>
      <c r="E7588" t="str">
        <f t="shared" si="2849"/>
        <v>AP</v>
      </c>
      <c r="F7588" t="str">
        <f>T("966026070")</f>
        <v>966026070</v>
      </c>
      <c r="G7588" t="str">
        <f>T("UNIT 36070")</f>
        <v>UNIT 36070</v>
      </c>
      <c r="H7588" t="str">
        <f t="shared" si="2850"/>
        <v/>
      </c>
      <c r="I7588" t="str">
        <f t="shared" si="2851"/>
        <v>FPO</v>
      </c>
      <c r="J7588" t="str">
        <f t="shared" si="2854"/>
        <v>AP</v>
      </c>
      <c r="K7588" t="str">
        <f>T("011816140237306")</f>
        <v>011816140237306</v>
      </c>
      <c r="L7588" t="str">
        <f>T("1111111111")</f>
        <v>1111111111</v>
      </c>
    </row>
    <row r="7589" spans="1:12" x14ac:dyDescent="0.35">
      <c r="A7589" t="str">
        <f t="shared" si="2841"/>
        <v>USMC III MEF HQ 3RD MAR DIV</v>
      </c>
      <c r="B7589" t="str">
        <f>T("UNIT 36070")</f>
        <v>UNIT 36070</v>
      </c>
      <c r="C7589" t="str">
        <f t="shared" si="2847"/>
        <v/>
      </c>
      <c r="D7589" t="str">
        <f t="shared" si="2848"/>
        <v>FPO</v>
      </c>
      <c r="E7589" t="str">
        <f t="shared" si="2849"/>
        <v>AP</v>
      </c>
      <c r="F7589" t="str">
        <f>T("966026070")</f>
        <v>966026070</v>
      </c>
      <c r="G7589" t="str">
        <f>T("UNIT 36070")</f>
        <v>UNIT 36070</v>
      </c>
      <c r="H7589" t="str">
        <f t="shared" si="2850"/>
        <v/>
      </c>
      <c r="I7589" t="str">
        <f t="shared" si="2851"/>
        <v>FPO</v>
      </c>
      <c r="J7589" t="str">
        <f t="shared" si="2854"/>
        <v>AP</v>
      </c>
      <c r="K7589" t="str">
        <f>T("3156237679")</f>
        <v>3156237679</v>
      </c>
      <c r="L7589" t="str">
        <f>T("3156237026")</f>
        <v>3156237026</v>
      </c>
    </row>
    <row r="7590" spans="1:12" x14ac:dyDescent="0.35">
      <c r="A7590" t="str">
        <f t="shared" si="2841"/>
        <v>USMC III MEF HQ 3RD MAR DIV</v>
      </c>
      <c r="B7590" t="str">
        <f>T("UNIT 36070")</f>
        <v>UNIT 36070</v>
      </c>
      <c r="C7590" t="str">
        <f t="shared" si="2847"/>
        <v/>
      </c>
      <c r="D7590" t="str">
        <f t="shared" si="2848"/>
        <v>FPO</v>
      </c>
      <c r="E7590" t="str">
        <f t="shared" si="2849"/>
        <v>AP</v>
      </c>
      <c r="F7590" t="str">
        <f>T("966026070")</f>
        <v>966026070</v>
      </c>
      <c r="G7590" t="str">
        <f>T("UNIT 36070")</f>
        <v>UNIT 36070</v>
      </c>
      <c r="H7590" t="str">
        <f t="shared" si="2850"/>
        <v/>
      </c>
      <c r="I7590" t="str">
        <f t="shared" si="2851"/>
        <v>FPO</v>
      </c>
      <c r="J7590" t="str">
        <f t="shared" si="2854"/>
        <v>AP</v>
      </c>
      <c r="K7590" t="str">
        <f>T("3156237679")</f>
        <v>3156237679</v>
      </c>
      <c r="L7590" t="str">
        <f>T("3156237290")</f>
        <v>3156237290</v>
      </c>
    </row>
    <row r="7591" spans="1:12" x14ac:dyDescent="0.35">
      <c r="A7591" t="str">
        <f t="shared" si="2841"/>
        <v>USMC III MEF HQ 3RD MAR DIV</v>
      </c>
      <c r="B7591" t="str">
        <f>T("UNIT 36100")</f>
        <v>UNIT 36100</v>
      </c>
      <c r="C7591" t="str">
        <f t="shared" si="2847"/>
        <v/>
      </c>
      <c r="D7591" t="str">
        <f t="shared" si="2848"/>
        <v>FPO</v>
      </c>
      <c r="E7591" t="str">
        <f t="shared" si="2849"/>
        <v>AP</v>
      </c>
      <c r="F7591" t="str">
        <f>T("963856100")</f>
        <v>963856100</v>
      </c>
      <c r="G7591" t="str">
        <f>T("UNIT 36100")</f>
        <v>UNIT 36100</v>
      </c>
      <c r="H7591" t="str">
        <f t="shared" si="2850"/>
        <v/>
      </c>
      <c r="I7591" t="str">
        <f t="shared" si="2851"/>
        <v>FPO</v>
      </c>
      <c r="J7591" t="str">
        <f t="shared" si="2854"/>
        <v>AP</v>
      </c>
      <c r="K7591" t="str">
        <f>T("")</f>
        <v/>
      </c>
      <c r="L7591" t="str">
        <f>T("1111111111")</f>
        <v>1111111111</v>
      </c>
    </row>
    <row r="7592" spans="1:12" x14ac:dyDescent="0.35">
      <c r="A7592" t="str">
        <f t="shared" si="2841"/>
        <v>USMC III MEF HQ 3RD MAR DIV</v>
      </c>
      <c r="B7592" t="str">
        <f>T("UNIT 36100")</f>
        <v>UNIT 36100</v>
      </c>
      <c r="C7592" t="str">
        <f t="shared" si="2847"/>
        <v/>
      </c>
      <c r="D7592" t="str">
        <f t="shared" si="2848"/>
        <v>FPO</v>
      </c>
      <c r="E7592" t="str">
        <f t="shared" si="2849"/>
        <v>AP</v>
      </c>
      <c r="F7592" t="str">
        <f>T("963856100")</f>
        <v>963856100</v>
      </c>
      <c r="G7592" t="str">
        <f>T("UNIT 36100")</f>
        <v>UNIT 36100</v>
      </c>
      <c r="H7592" t="str">
        <f t="shared" si="2850"/>
        <v/>
      </c>
      <c r="I7592" t="str">
        <f t="shared" si="2851"/>
        <v>FPO</v>
      </c>
      <c r="J7592" t="str">
        <f t="shared" si="2854"/>
        <v>AP</v>
      </c>
      <c r="K7592" t="str">
        <f>T("000000000000000000")</f>
        <v>000000000000000000</v>
      </c>
      <c r="L7592" t="str">
        <f>T("3156234454")</f>
        <v>3156234454</v>
      </c>
    </row>
    <row r="7593" spans="1:12" x14ac:dyDescent="0.35">
      <c r="A7593" t="str">
        <f t="shared" si="2841"/>
        <v>USMC III MEF HQ 3RD MAR DIV</v>
      </c>
      <c r="B7593" t="str">
        <f>T("UNIT 36100")</f>
        <v>UNIT 36100</v>
      </c>
      <c r="C7593" t="str">
        <f t="shared" si="2847"/>
        <v/>
      </c>
      <c r="D7593" t="str">
        <f t="shared" si="2848"/>
        <v>FPO</v>
      </c>
      <c r="E7593" t="str">
        <f t="shared" si="2849"/>
        <v>AP</v>
      </c>
      <c r="F7593" t="str">
        <f>T("963856100")</f>
        <v>963856100</v>
      </c>
      <c r="G7593" t="str">
        <f>T("UNIT 36100")</f>
        <v>UNIT 36100</v>
      </c>
      <c r="H7593" t="str">
        <f t="shared" si="2850"/>
        <v/>
      </c>
      <c r="I7593" t="str">
        <f t="shared" si="2851"/>
        <v>FPO</v>
      </c>
      <c r="J7593" t="str">
        <f t="shared" si="2854"/>
        <v>AP</v>
      </c>
      <c r="K7593" t="str">
        <f>T("81989694454")</f>
        <v>81989694454</v>
      </c>
      <c r="L7593" t="str">
        <f>T("1111111111")</f>
        <v>1111111111</v>
      </c>
    </row>
    <row r="7594" spans="1:12" x14ac:dyDescent="0.35">
      <c r="A7594" t="str">
        <f t="shared" si="2841"/>
        <v>USMC III MEF HQ 3RD MAR DIV</v>
      </c>
      <c r="B7594" t="str">
        <f>T("UNIT 36180")</f>
        <v>UNIT 36180</v>
      </c>
      <c r="C7594" t="str">
        <f t="shared" si="2847"/>
        <v/>
      </c>
      <c r="D7594" t="str">
        <f t="shared" si="2848"/>
        <v>FPO</v>
      </c>
      <c r="E7594" t="str">
        <f t="shared" si="2849"/>
        <v>AP</v>
      </c>
      <c r="F7594" t="str">
        <f>T("963896180")</f>
        <v>963896180</v>
      </c>
      <c r="G7594" t="str">
        <f>T("UNIT 36180")</f>
        <v>UNIT 36180</v>
      </c>
      <c r="H7594" t="str">
        <f t="shared" si="2850"/>
        <v/>
      </c>
      <c r="I7594" t="str">
        <f t="shared" si="2851"/>
        <v>FPO</v>
      </c>
      <c r="J7594" t="str">
        <f t="shared" si="2854"/>
        <v>AP</v>
      </c>
      <c r="K7594" t="str">
        <f>T("")</f>
        <v/>
      </c>
      <c r="L7594" t="str">
        <f>T("1111111111")</f>
        <v>1111111111</v>
      </c>
    </row>
    <row r="7595" spans="1:12" x14ac:dyDescent="0.35">
      <c r="A7595" t="str">
        <f t="shared" si="2841"/>
        <v>USMC III MEF HQ 3RD MAR DIV</v>
      </c>
      <c r="B7595" t="str">
        <f>T("UNIT 36180")</f>
        <v>UNIT 36180</v>
      </c>
      <c r="C7595" t="str">
        <f t="shared" si="2847"/>
        <v/>
      </c>
      <c r="D7595" t="str">
        <f t="shared" si="2848"/>
        <v>FPO</v>
      </c>
      <c r="E7595" t="str">
        <f t="shared" si="2849"/>
        <v>AP</v>
      </c>
      <c r="F7595" t="str">
        <f>T("963896180")</f>
        <v>963896180</v>
      </c>
      <c r="G7595" t="str">
        <f>T("UNIT 36180")</f>
        <v>UNIT 36180</v>
      </c>
      <c r="H7595" t="str">
        <f t="shared" si="2850"/>
        <v/>
      </c>
      <c r="I7595" t="str">
        <f t="shared" si="2851"/>
        <v>FPO</v>
      </c>
      <c r="J7595" t="str">
        <f t="shared" si="2854"/>
        <v>AP</v>
      </c>
      <c r="K7595" t="str">
        <f>T("000000000000000000")</f>
        <v>000000000000000000</v>
      </c>
      <c r="L7595" t="str">
        <f>T("3156252515")</f>
        <v>3156252515</v>
      </c>
    </row>
    <row r="7596" spans="1:12" x14ac:dyDescent="0.35">
      <c r="A7596" t="str">
        <f t="shared" si="2841"/>
        <v>USMC III MEF HQ 3RD MAR DIV</v>
      </c>
      <c r="B7596" t="str">
        <f>T("UNIT 36280")</f>
        <v>UNIT 36280</v>
      </c>
      <c r="C7596" t="str">
        <f t="shared" si="2847"/>
        <v/>
      </c>
      <c r="D7596" t="str">
        <f t="shared" si="2848"/>
        <v>FPO</v>
      </c>
      <c r="E7596" t="str">
        <f t="shared" si="2849"/>
        <v>AP</v>
      </c>
      <c r="F7596" t="str">
        <f>T("963896280")</f>
        <v>963896280</v>
      </c>
      <c r="G7596" t="str">
        <f>T("UNIT 36280")</f>
        <v>UNIT 36280</v>
      </c>
      <c r="H7596" t="str">
        <f t="shared" si="2850"/>
        <v/>
      </c>
      <c r="I7596" t="str">
        <f t="shared" si="2851"/>
        <v>FPO</v>
      </c>
      <c r="J7596" t="str">
        <f t="shared" si="2854"/>
        <v>AP</v>
      </c>
      <c r="K7596" t="str">
        <f>T("")</f>
        <v/>
      </c>
      <c r="L7596" t="str">
        <f>T("1111111111")</f>
        <v>1111111111</v>
      </c>
    </row>
    <row r="7597" spans="1:12" x14ac:dyDescent="0.35">
      <c r="A7597" t="str">
        <f t="shared" si="2841"/>
        <v>USMC III MEF HQ 3RD MAR DIV</v>
      </c>
      <c r="B7597" t="str">
        <f>T("UNIT 36280")</f>
        <v>UNIT 36280</v>
      </c>
      <c r="C7597" t="str">
        <f t="shared" si="2847"/>
        <v/>
      </c>
      <c r="D7597" t="str">
        <f t="shared" si="2848"/>
        <v>FPO</v>
      </c>
      <c r="E7597" t="str">
        <f t="shared" si="2849"/>
        <v>AP</v>
      </c>
      <c r="F7597" t="str">
        <f>T("963896280")</f>
        <v>963896280</v>
      </c>
      <c r="G7597" t="str">
        <f>T("UNIT 36280")</f>
        <v>UNIT 36280</v>
      </c>
      <c r="H7597" t="str">
        <f t="shared" si="2850"/>
        <v/>
      </c>
      <c r="I7597" t="str">
        <f t="shared" si="2851"/>
        <v>FPO</v>
      </c>
      <c r="J7597" t="str">
        <f t="shared" si="2854"/>
        <v>AP</v>
      </c>
      <c r="K7597" t="str">
        <f>T("000000000000000000")</f>
        <v>000000000000000000</v>
      </c>
      <c r="L7597" t="str">
        <f>T("3156252208")</f>
        <v>3156252208</v>
      </c>
    </row>
    <row r="7598" spans="1:12" x14ac:dyDescent="0.35">
      <c r="A7598" t="str">
        <f t="shared" si="2841"/>
        <v>USMC III MEF HQ 3RD MAR DIV</v>
      </c>
      <c r="B7598" t="str">
        <f>T("UNIT 36280")</f>
        <v>UNIT 36280</v>
      </c>
      <c r="C7598" t="str">
        <f t="shared" si="2847"/>
        <v/>
      </c>
      <c r="D7598" t="str">
        <f t="shared" si="2848"/>
        <v>FPO</v>
      </c>
      <c r="E7598" t="str">
        <f t="shared" si="2849"/>
        <v>AP</v>
      </c>
      <c r="F7598" t="str">
        <f>T("963896280")</f>
        <v>963896280</v>
      </c>
      <c r="G7598" t="str">
        <f>T("UNIT 36280")</f>
        <v>UNIT 36280</v>
      </c>
      <c r="H7598" t="str">
        <f t="shared" si="2850"/>
        <v/>
      </c>
      <c r="I7598" t="str">
        <f t="shared" si="2851"/>
        <v>FPO</v>
      </c>
      <c r="J7598" t="str">
        <f t="shared" si="2854"/>
        <v>AP</v>
      </c>
      <c r="K7598" t="str">
        <f>T("000000000000000000")</f>
        <v>000000000000000000</v>
      </c>
      <c r="L7598" t="str">
        <f>T("3156252211")</f>
        <v>3156252211</v>
      </c>
    </row>
    <row r="7599" spans="1:12" x14ac:dyDescent="0.35">
      <c r="A7599" t="str">
        <f t="shared" si="2841"/>
        <v>USMC III MEF HQ 3RD MAR DIV</v>
      </c>
      <c r="B7599" t="str">
        <f>T("UNIT 36280")</f>
        <v>UNIT 36280</v>
      </c>
      <c r="C7599" t="str">
        <f t="shared" si="2847"/>
        <v/>
      </c>
      <c r="D7599" t="str">
        <f t="shared" si="2848"/>
        <v>FPO</v>
      </c>
      <c r="E7599" t="str">
        <f t="shared" si="2849"/>
        <v>AP</v>
      </c>
      <c r="F7599" t="str">
        <f>T("963896280")</f>
        <v>963896280</v>
      </c>
      <c r="G7599" t="str">
        <f>T("UNIT 36280")</f>
        <v>UNIT 36280</v>
      </c>
      <c r="H7599" t="str">
        <f t="shared" si="2850"/>
        <v/>
      </c>
      <c r="I7599" t="str">
        <f t="shared" si="2851"/>
        <v>FPO</v>
      </c>
      <c r="J7599" t="str">
        <f t="shared" si="2854"/>
        <v>AP</v>
      </c>
      <c r="K7599" t="str">
        <f>T("000000000000000000")</f>
        <v>000000000000000000</v>
      </c>
      <c r="L7599" t="str">
        <f>T("3156252519")</f>
        <v>3156252519</v>
      </c>
    </row>
    <row r="7600" spans="1:12" x14ac:dyDescent="0.35">
      <c r="A7600" t="str">
        <f t="shared" si="2841"/>
        <v>USMC III MEF HQ 3RD MAR DIV</v>
      </c>
      <c r="B7600" t="str">
        <f>T("UNIT 36280")</f>
        <v>UNIT 36280</v>
      </c>
      <c r="C7600" t="str">
        <f t="shared" si="2847"/>
        <v/>
      </c>
      <c r="D7600" t="str">
        <f t="shared" si="2848"/>
        <v>FPO</v>
      </c>
      <c r="E7600" t="str">
        <f t="shared" si="2849"/>
        <v>AP</v>
      </c>
      <c r="F7600" t="str">
        <f>T("963896280")</f>
        <v>963896280</v>
      </c>
      <c r="G7600" t="str">
        <f>T("UNIT 36280")</f>
        <v>UNIT 36280</v>
      </c>
      <c r="H7600" t="str">
        <f t="shared" si="2850"/>
        <v/>
      </c>
      <c r="I7600" t="str">
        <f t="shared" si="2851"/>
        <v>FPO</v>
      </c>
      <c r="J7600" t="str">
        <f t="shared" si="2854"/>
        <v>AP</v>
      </c>
      <c r="K7600" t="str">
        <f>T("819897055556252208")</f>
        <v>819897055556252208</v>
      </c>
      <c r="L7600" t="str">
        <f>T("1111111111")</f>
        <v>1111111111</v>
      </c>
    </row>
    <row r="7601" spans="1:12" x14ac:dyDescent="0.35">
      <c r="A7601" t="str">
        <f t="shared" si="2841"/>
        <v>USMC III MEF HQ 3RD MAR DIV</v>
      </c>
      <c r="B7601" t="str">
        <f>T("UNIT 89015")</f>
        <v>UNIT 89015</v>
      </c>
      <c r="C7601" t="str">
        <f t="shared" si="2847"/>
        <v/>
      </c>
      <c r="D7601" t="str">
        <f t="shared" si="2848"/>
        <v>FPO</v>
      </c>
      <c r="E7601" t="str">
        <f t="shared" si="2849"/>
        <v>AP</v>
      </c>
      <c r="F7601" t="str">
        <f>T("966100000")</f>
        <v>966100000</v>
      </c>
      <c r="G7601" t="str">
        <f>T("UNIT 89015")</f>
        <v>UNIT 89015</v>
      </c>
      <c r="H7601" t="str">
        <f t="shared" si="2850"/>
        <v/>
      </c>
      <c r="I7601" t="str">
        <f t="shared" si="2851"/>
        <v>FPO</v>
      </c>
      <c r="J7601" t="str">
        <f t="shared" si="2854"/>
        <v>AP</v>
      </c>
      <c r="K7601" t="str">
        <f>T("000000000000000000")</f>
        <v>000000000000000000</v>
      </c>
      <c r="L7601" t="str">
        <f>T("1111111111")</f>
        <v>1111111111</v>
      </c>
    </row>
    <row r="7602" spans="1:12" x14ac:dyDescent="0.35">
      <c r="A7602" t="str">
        <f t="shared" si="2841"/>
        <v>USMC III MEF HQ 3RD MAR DIV</v>
      </c>
      <c r="B7602" t="str">
        <f>T("UNIT 89015")</f>
        <v>UNIT 89015</v>
      </c>
      <c r="C7602" t="str">
        <f t="shared" si="2847"/>
        <v/>
      </c>
      <c r="D7602" t="str">
        <f t="shared" si="2848"/>
        <v>FPO</v>
      </c>
      <c r="E7602" t="str">
        <f t="shared" si="2849"/>
        <v>AP</v>
      </c>
      <c r="F7602" t="str">
        <f>T("966100000")</f>
        <v>966100000</v>
      </c>
      <c r="G7602" t="str">
        <f>T("UNIT 89015")</f>
        <v>UNIT 89015</v>
      </c>
      <c r="H7602" t="str">
        <f t="shared" si="2850"/>
        <v/>
      </c>
      <c r="I7602" t="str">
        <f t="shared" si="2851"/>
        <v>FPO</v>
      </c>
      <c r="J7602" t="str">
        <f t="shared" si="2854"/>
        <v>AP</v>
      </c>
      <c r="K7602" t="str">
        <f>T("819897055556252628")</f>
        <v>819897055556252628</v>
      </c>
      <c r="L7602" t="str">
        <f>T("1111111111")</f>
        <v>1111111111</v>
      </c>
    </row>
    <row r="7603" spans="1:12" x14ac:dyDescent="0.35">
      <c r="A7603" t="str">
        <f t="shared" si="2841"/>
        <v>USMC III MEF HQ 3RD MAR DIV</v>
      </c>
      <c r="B7603" t="str">
        <f>T("UNIT 89015")</f>
        <v>UNIT 89015</v>
      </c>
      <c r="C7603" t="str">
        <f t="shared" si="2847"/>
        <v/>
      </c>
      <c r="D7603" t="str">
        <f t="shared" si="2848"/>
        <v>FPO</v>
      </c>
      <c r="E7603" t="str">
        <f t="shared" si="2849"/>
        <v>AP</v>
      </c>
      <c r="F7603" t="str">
        <f>T("966100000")</f>
        <v>966100000</v>
      </c>
      <c r="G7603" t="str">
        <f>T("UNIT 89015")</f>
        <v>UNIT 89015</v>
      </c>
      <c r="H7603" t="str">
        <f t="shared" si="2850"/>
        <v/>
      </c>
      <c r="I7603" t="str">
        <f t="shared" si="2851"/>
        <v>FPO</v>
      </c>
      <c r="J7603" t="str">
        <f t="shared" si="2854"/>
        <v>AP</v>
      </c>
      <c r="K7603" t="str">
        <f>T("819897055556253625")</f>
        <v>819897055556253625</v>
      </c>
      <c r="L7603" t="str">
        <f>T("1111111111")</f>
        <v>1111111111</v>
      </c>
    </row>
    <row r="7604" spans="1:12" x14ac:dyDescent="0.35">
      <c r="A7604" t="str">
        <f t="shared" ref="A7604:A7627" si="2855">T("MCAS IWAKUNI")</f>
        <v>MCAS IWAKUNI</v>
      </c>
      <c r="B7604" t="str">
        <f>T("POSC 561 BOX 1881")</f>
        <v>POSC 561 BOX 1881</v>
      </c>
      <c r="C7604" t="str">
        <f t="shared" si="2847"/>
        <v/>
      </c>
      <c r="D7604" t="str">
        <f t="shared" si="2848"/>
        <v>FPO</v>
      </c>
      <c r="E7604" t="str">
        <f t="shared" si="2849"/>
        <v>AP</v>
      </c>
      <c r="F7604" t="str">
        <f>T("963100000")</f>
        <v>963100000</v>
      </c>
      <c r="G7604" t="str">
        <f>T("POSC 561 BOX 1881")</f>
        <v>POSC 561 BOX 1881</v>
      </c>
      <c r="H7604" t="str">
        <f t="shared" si="2850"/>
        <v/>
      </c>
      <c r="I7604" t="str">
        <f t="shared" si="2851"/>
        <v>FPO</v>
      </c>
      <c r="J7604" t="str">
        <f t="shared" si="2854"/>
        <v>AP</v>
      </c>
      <c r="K7604" t="str">
        <f t="shared" ref="K7604:K7627" si="2856">T("000000000000000000")</f>
        <v>000000000000000000</v>
      </c>
      <c r="L7604" t="str">
        <f>T("3152534131")</f>
        <v>3152534131</v>
      </c>
    </row>
    <row r="7605" spans="1:12" x14ac:dyDescent="0.35">
      <c r="A7605" t="str">
        <f t="shared" si="2855"/>
        <v>MCAS IWAKUNI</v>
      </c>
      <c r="B7605" t="str">
        <f>T("PSC 561 BOX 1818")</f>
        <v>PSC 561 BOX 1818</v>
      </c>
      <c r="C7605" t="str">
        <f t="shared" ref="C7605:C7627" si="2857">T("")</f>
        <v/>
      </c>
      <c r="D7605" t="str">
        <f t="shared" ref="D7605:D7639" si="2858">T("FPO")</f>
        <v>FPO</v>
      </c>
      <c r="E7605" t="str">
        <f t="shared" ref="E7605:E7639" si="2859">T("AP")</f>
        <v>AP</v>
      </c>
      <c r="F7605" t="str">
        <f t="shared" ref="F7605:F7627" si="2860">T("963100019")</f>
        <v>963100019</v>
      </c>
      <c r="G7605" t="str">
        <f>T("PSC 561 BOX 1818")</f>
        <v>PSC 561 BOX 1818</v>
      </c>
      <c r="H7605" t="str">
        <f t="shared" ref="H7605:H7627" si="2861">T("")</f>
        <v/>
      </c>
      <c r="I7605" t="str">
        <f t="shared" ref="I7605:I7639" si="2862">T("FPO")</f>
        <v>FPO</v>
      </c>
      <c r="J7605" t="str">
        <f t="shared" si="2854"/>
        <v>AP</v>
      </c>
      <c r="K7605" t="str">
        <f t="shared" si="2856"/>
        <v>000000000000000000</v>
      </c>
      <c r="L7605" t="str">
        <f>T("3152536150")</f>
        <v>3152536150</v>
      </c>
    </row>
    <row r="7606" spans="1:12" x14ac:dyDescent="0.35">
      <c r="A7606" t="str">
        <f t="shared" si="2855"/>
        <v>MCAS IWAKUNI</v>
      </c>
      <c r="B7606" t="str">
        <f>T("PSC 561 BOX 1861")</f>
        <v>PSC 561 BOX 1861</v>
      </c>
      <c r="C7606" t="str">
        <f t="shared" si="2857"/>
        <v/>
      </c>
      <c r="D7606" t="str">
        <f t="shared" si="2858"/>
        <v>FPO</v>
      </c>
      <c r="E7606" t="str">
        <f t="shared" si="2859"/>
        <v>AP</v>
      </c>
      <c r="F7606" t="str">
        <f t="shared" si="2860"/>
        <v>963100019</v>
      </c>
      <c r="G7606" t="str">
        <f>T("PSC 561 BOX 1861")</f>
        <v>PSC 561 BOX 1861</v>
      </c>
      <c r="H7606" t="str">
        <f t="shared" si="2861"/>
        <v/>
      </c>
      <c r="I7606" t="str">
        <f t="shared" si="2862"/>
        <v>FPO</v>
      </c>
      <c r="J7606" t="str">
        <f t="shared" si="2854"/>
        <v>AP</v>
      </c>
      <c r="K7606" t="str">
        <f t="shared" si="2856"/>
        <v>000000000000000000</v>
      </c>
      <c r="L7606" t="str">
        <f>T("3152534211")</f>
        <v>3152534211</v>
      </c>
    </row>
    <row r="7607" spans="1:12" x14ac:dyDescent="0.35">
      <c r="A7607" t="str">
        <f t="shared" si="2855"/>
        <v>MCAS IWAKUNI</v>
      </c>
      <c r="B7607" t="str">
        <f>T("PSC 561 BOX 1861")</f>
        <v>PSC 561 BOX 1861</v>
      </c>
      <c r="C7607" t="str">
        <f t="shared" si="2857"/>
        <v/>
      </c>
      <c r="D7607" t="str">
        <f t="shared" si="2858"/>
        <v>FPO</v>
      </c>
      <c r="E7607" t="str">
        <f t="shared" si="2859"/>
        <v>AP</v>
      </c>
      <c r="F7607" t="str">
        <f t="shared" si="2860"/>
        <v>963100019</v>
      </c>
      <c r="G7607" t="str">
        <f>T("PSC 561 BOX 1861")</f>
        <v>PSC 561 BOX 1861</v>
      </c>
      <c r="H7607" t="str">
        <f t="shared" si="2861"/>
        <v/>
      </c>
      <c r="I7607" t="str">
        <f t="shared" si="2862"/>
        <v>FPO</v>
      </c>
      <c r="J7607" t="str">
        <f t="shared" si="2854"/>
        <v>AP</v>
      </c>
      <c r="K7607" t="str">
        <f t="shared" si="2856"/>
        <v>000000000000000000</v>
      </c>
      <c r="L7607" t="str">
        <f>T("3152535363")</f>
        <v>3152535363</v>
      </c>
    </row>
    <row r="7608" spans="1:12" x14ac:dyDescent="0.35">
      <c r="A7608" t="str">
        <f t="shared" si="2855"/>
        <v>MCAS IWAKUNI</v>
      </c>
      <c r="B7608" t="str">
        <f>T("PSC 561 BOX 1861")</f>
        <v>PSC 561 BOX 1861</v>
      </c>
      <c r="C7608" t="str">
        <f t="shared" si="2857"/>
        <v/>
      </c>
      <c r="D7608" t="str">
        <f t="shared" si="2858"/>
        <v>FPO</v>
      </c>
      <c r="E7608" t="str">
        <f t="shared" si="2859"/>
        <v>AP</v>
      </c>
      <c r="F7608" t="str">
        <f t="shared" si="2860"/>
        <v>963100019</v>
      </c>
      <c r="G7608" t="str">
        <f>T("PSC 561 BOX 1861")</f>
        <v>PSC 561 BOX 1861</v>
      </c>
      <c r="H7608" t="str">
        <f t="shared" si="2861"/>
        <v/>
      </c>
      <c r="I7608" t="str">
        <f t="shared" si="2862"/>
        <v>FPO</v>
      </c>
      <c r="J7608" t="str">
        <f t="shared" si="2854"/>
        <v>AP</v>
      </c>
      <c r="K7608" t="str">
        <f t="shared" si="2856"/>
        <v>000000000000000000</v>
      </c>
      <c r="L7608" t="str">
        <f>T("3152536341")</f>
        <v>3152536341</v>
      </c>
    </row>
    <row r="7609" spans="1:12" x14ac:dyDescent="0.35">
      <c r="A7609" t="str">
        <f t="shared" si="2855"/>
        <v>MCAS IWAKUNI</v>
      </c>
      <c r="B7609" t="str">
        <f>T("PSC 561 BOX 1862")</f>
        <v>PSC 561 BOX 1862</v>
      </c>
      <c r="C7609" t="str">
        <f t="shared" si="2857"/>
        <v/>
      </c>
      <c r="D7609" t="str">
        <f t="shared" si="2858"/>
        <v>FPO</v>
      </c>
      <c r="E7609" t="str">
        <f t="shared" si="2859"/>
        <v>AP</v>
      </c>
      <c r="F7609" t="str">
        <f t="shared" si="2860"/>
        <v>963100019</v>
      </c>
      <c r="G7609" t="str">
        <f>T("PSC 561 BOX 1862")</f>
        <v>PSC 561 BOX 1862</v>
      </c>
      <c r="H7609" t="str">
        <f t="shared" si="2861"/>
        <v/>
      </c>
      <c r="I7609" t="str">
        <f t="shared" si="2862"/>
        <v>FPO</v>
      </c>
      <c r="J7609" t="str">
        <f t="shared" si="2854"/>
        <v>AP</v>
      </c>
      <c r="K7609" t="str">
        <f t="shared" si="2856"/>
        <v>000000000000000000</v>
      </c>
      <c r="L7609" t="str">
        <f>T("3152533526")</f>
        <v>3152533526</v>
      </c>
    </row>
    <row r="7610" spans="1:12" x14ac:dyDescent="0.35">
      <c r="A7610" t="str">
        <f t="shared" si="2855"/>
        <v>MCAS IWAKUNI</v>
      </c>
      <c r="B7610" t="str">
        <f>T("PSC 561 BOX 1862")</f>
        <v>PSC 561 BOX 1862</v>
      </c>
      <c r="C7610" t="str">
        <f t="shared" si="2857"/>
        <v/>
      </c>
      <c r="D7610" t="str">
        <f t="shared" si="2858"/>
        <v>FPO</v>
      </c>
      <c r="E7610" t="str">
        <f t="shared" si="2859"/>
        <v>AP</v>
      </c>
      <c r="F7610" t="str">
        <f t="shared" si="2860"/>
        <v>963100019</v>
      </c>
      <c r="G7610" t="str">
        <f>T("PSC 561 BOX 1862")</f>
        <v>PSC 561 BOX 1862</v>
      </c>
      <c r="H7610" t="str">
        <f t="shared" si="2861"/>
        <v/>
      </c>
      <c r="I7610" t="str">
        <f t="shared" si="2862"/>
        <v>FPO</v>
      </c>
      <c r="J7610" t="str">
        <f t="shared" si="2854"/>
        <v>AP</v>
      </c>
      <c r="K7610" t="str">
        <f t="shared" si="2856"/>
        <v>000000000000000000</v>
      </c>
      <c r="L7610" t="str">
        <f>T("3152534776")</f>
        <v>3152534776</v>
      </c>
    </row>
    <row r="7611" spans="1:12" x14ac:dyDescent="0.35">
      <c r="A7611" t="str">
        <f t="shared" si="2855"/>
        <v>MCAS IWAKUNI</v>
      </c>
      <c r="B7611" t="str">
        <f>T("PSC 561 BOX 1868")</f>
        <v>PSC 561 BOX 1868</v>
      </c>
      <c r="C7611" t="str">
        <f t="shared" si="2857"/>
        <v/>
      </c>
      <c r="D7611" t="str">
        <f t="shared" si="2858"/>
        <v>FPO</v>
      </c>
      <c r="E7611" t="str">
        <f t="shared" si="2859"/>
        <v>AP</v>
      </c>
      <c r="F7611" t="str">
        <f t="shared" si="2860"/>
        <v>963100019</v>
      </c>
      <c r="G7611" t="str">
        <f>T("PSC 561 BOX 1868")</f>
        <v>PSC 561 BOX 1868</v>
      </c>
      <c r="H7611" t="str">
        <f t="shared" si="2861"/>
        <v/>
      </c>
      <c r="I7611" t="str">
        <f t="shared" si="2862"/>
        <v>FPO</v>
      </c>
      <c r="J7611" t="str">
        <f t="shared" si="2854"/>
        <v>AP</v>
      </c>
      <c r="K7611" t="str">
        <f t="shared" si="2856"/>
        <v>000000000000000000</v>
      </c>
      <c r="L7611" t="str">
        <f>T("3152534211")</f>
        <v>3152534211</v>
      </c>
    </row>
    <row r="7612" spans="1:12" x14ac:dyDescent="0.35">
      <c r="A7612" t="str">
        <f t="shared" si="2855"/>
        <v>MCAS IWAKUNI</v>
      </c>
      <c r="B7612" t="str">
        <f>T("PSC 561 BOX 1871")</f>
        <v>PSC 561 BOX 1871</v>
      </c>
      <c r="C7612" t="str">
        <f t="shared" si="2857"/>
        <v/>
      </c>
      <c r="D7612" t="str">
        <f t="shared" si="2858"/>
        <v>FPO</v>
      </c>
      <c r="E7612" t="str">
        <f t="shared" si="2859"/>
        <v>AP</v>
      </c>
      <c r="F7612" t="str">
        <f t="shared" si="2860"/>
        <v>963100019</v>
      </c>
      <c r="G7612" t="str">
        <f>T("PSC 561 BOX 1871")</f>
        <v>PSC 561 BOX 1871</v>
      </c>
      <c r="H7612" t="str">
        <f t="shared" si="2861"/>
        <v/>
      </c>
      <c r="I7612" t="str">
        <f t="shared" si="2862"/>
        <v>FPO</v>
      </c>
      <c r="J7612" t="str">
        <f t="shared" ref="J7612:J7639" si="2863">T("AP")</f>
        <v>AP</v>
      </c>
      <c r="K7612" t="str">
        <f t="shared" si="2856"/>
        <v>000000000000000000</v>
      </c>
      <c r="L7612" t="str">
        <f>T("3152534355")</f>
        <v>3152534355</v>
      </c>
    </row>
    <row r="7613" spans="1:12" x14ac:dyDescent="0.35">
      <c r="A7613" t="str">
        <f t="shared" si="2855"/>
        <v>MCAS IWAKUNI</v>
      </c>
      <c r="B7613" t="str">
        <f>T("PSC 561 BOX 1871")</f>
        <v>PSC 561 BOX 1871</v>
      </c>
      <c r="C7613" t="str">
        <f t="shared" si="2857"/>
        <v/>
      </c>
      <c r="D7613" t="str">
        <f t="shared" si="2858"/>
        <v>FPO</v>
      </c>
      <c r="E7613" t="str">
        <f t="shared" si="2859"/>
        <v>AP</v>
      </c>
      <c r="F7613" t="str">
        <f t="shared" si="2860"/>
        <v>963100019</v>
      </c>
      <c r="G7613" t="str">
        <f>T("PSC 561 BOX 1871")</f>
        <v>PSC 561 BOX 1871</v>
      </c>
      <c r="H7613" t="str">
        <f t="shared" si="2861"/>
        <v/>
      </c>
      <c r="I7613" t="str">
        <f t="shared" si="2862"/>
        <v>FPO</v>
      </c>
      <c r="J7613" t="str">
        <f t="shared" si="2863"/>
        <v>AP</v>
      </c>
      <c r="K7613" t="str">
        <f t="shared" si="2856"/>
        <v>000000000000000000</v>
      </c>
      <c r="L7613" t="str">
        <f>T("3152534556")</f>
        <v>3152534556</v>
      </c>
    </row>
    <row r="7614" spans="1:12" x14ac:dyDescent="0.35">
      <c r="A7614" t="str">
        <f t="shared" si="2855"/>
        <v>MCAS IWAKUNI</v>
      </c>
      <c r="B7614" t="str">
        <f>T("PSC 561 BOX 1871")</f>
        <v>PSC 561 BOX 1871</v>
      </c>
      <c r="C7614" t="str">
        <f t="shared" si="2857"/>
        <v/>
      </c>
      <c r="D7614" t="str">
        <f t="shared" si="2858"/>
        <v>FPO</v>
      </c>
      <c r="E7614" t="str">
        <f t="shared" si="2859"/>
        <v>AP</v>
      </c>
      <c r="F7614" t="str">
        <f t="shared" si="2860"/>
        <v>963100019</v>
      </c>
      <c r="G7614" t="str">
        <f>T("PSC 561 BOX 1871")</f>
        <v>PSC 561 BOX 1871</v>
      </c>
      <c r="H7614" t="str">
        <f t="shared" si="2861"/>
        <v/>
      </c>
      <c r="I7614" t="str">
        <f t="shared" si="2862"/>
        <v>FPO</v>
      </c>
      <c r="J7614" t="str">
        <f t="shared" si="2863"/>
        <v>AP</v>
      </c>
      <c r="K7614" t="str">
        <f t="shared" si="2856"/>
        <v>000000000000000000</v>
      </c>
      <c r="L7614" t="str">
        <f>T("3152536817")</f>
        <v>3152536817</v>
      </c>
    </row>
    <row r="7615" spans="1:12" x14ac:dyDescent="0.35">
      <c r="A7615" t="str">
        <f t="shared" si="2855"/>
        <v>MCAS IWAKUNI</v>
      </c>
      <c r="B7615" t="str">
        <f>T("PSC 561 BOX 1872")</f>
        <v>PSC 561 BOX 1872</v>
      </c>
      <c r="C7615" t="str">
        <f t="shared" si="2857"/>
        <v/>
      </c>
      <c r="D7615" t="str">
        <f t="shared" si="2858"/>
        <v>FPO</v>
      </c>
      <c r="E7615" t="str">
        <f t="shared" si="2859"/>
        <v>AP</v>
      </c>
      <c r="F7615" t="str">
        <f t="shared" si="2860"/>
        <v>963100019</v>
      </c>
      <c r="G7615" t="str">
        <f>T("PSC 561 BOX 1872")</f>
        <v>PSC 561 BOX 1872</v>
      </c>
      <c r="H7615" t="str">
        <f t="shared" si="2861"/>
        <v/>
      </c>
      <c r="I7615" t="str">
        <f t="shared" si="2862"/>
        <v>FPO</v>
      </c>
      <c r="J7615" t="str">
        <f t="shared" si="2863"/>
        <v>AP</v>
      </c>
      <c r="K7615" t="str">
        <f t="shared" si="2856"/>
        <v>000000000000000000</v>
      </c>
      <c r="L7615" t="str">
        <f>T("3152533706")</f>
        <v>3152533706</v>
      </c>
    </row>
    <row r="7616" spans="1:12" x14ac:dyDescent="0.35">
      <c r="A7616" t="str">
        <f t="shared" si="2855"/>
        <v>MCAS IWAKUNI</v>
      </c>
      <c r="B7616" t="str">
        <f>T("PSC 561 BOX 1872")</f>
        <v>PSC 561 BOX 1872</v>
      </c>
      <c r="C7616" t="str">
        <f t="shared" si="2857"/>
        <v/>
      </c>
      <c r="D7616" t="str">
        <f t="shared" si="2858"/>
        <v>FPO</v>
      </c>
      <c r="E7616" t="str">
        <f t="shared" si="2859"/>
        <v>AP</v>
      </c>
      <c r="F7616" t="str">
        <f t="shared" si="2860"/>
        <v>963100019</v>
      </c>
      <c r="G7616" t="str">
        <f>T("PSC 561 BOX 1872")</f>
        <v>PSC 561 BOX 1872</v>
      </c>
      <c r="H7616" t="str">
        <f t="shared" si="2861"/>
        <v/>
      </c>
      <c r="I7616" t="str">
        <f t="shared" si="2862"/>
        <v>FPO</v>
      </c>
      <c r="J7616" t="str">
        <f t="shared" si="2863"/>
        <v>AP</v>
      </c>
      <c r="K7616" t="str">
        <f t="shared" si="2856"/>
        <v>000000000000000000</v>
      </c>
      <c r="L7616" t="str">
        <f>T("3152534774")</f>
        <v>3152534774</v>
      </c>
    </row>
    <row r="7617" spans="1:12" x14ac:dyDescent="0.35">
      <c r="A7617" t="str">
        <f t="shared" si="2855"/>
        <v>MCAS IWAKUNI</v>
      </c>
      <c r="B7617" t="str">
        <f>T("PSC 561 BOX 1872")</f>
        <v>PSC 561 BOX 1872</v>
      </c>
      <c r="C7617" t="str">
        <f t="shared" si="2857"/>
        <v/>
      </c>
      <c r="D7617" t="str">
        <f t="shared" si="2858"/>
        <v>FPO</v>
      </c>
      <c r="E7617" t="str">
        <f t="shared" si="2859"/>
        <v>AP</v>
      </c>
      <c r="F7617" t="str">
        <f t="shared" si="2860"/>
        <v>963100019</v>
      </c>
      <c r="G7617" t="str">
        <f>T("PSC 561 BOX 1872")</f>
        <v>PSC 561 BOX 1872</v>
      </c>
      <c r="H7617" t="str">
        <f t="shared" si="2861"/>
        <v/>
      </c>
      <c r="I7617" t="str">
        <f t="shared" si="2862"/>
        <v>FPO</v>
      </c>
      <c r="J7617" t="str">
        <f t="shared" si="2863"/>
        <v>AP</v>
      </c>
      <c r="K7617" t="str">
        <f t="shared" si="2856"/>
        <v>000000000000000000</v>
      </c>
      <c r="L7617" t="str">
        <f>T("3152536067")</f>
        <v>3152536067</v>
      </c>
    </row>
    <row r="7618" spans="1:12" x14ac:dyDescent="0.35">
      <c r="A7618" t="str">
        <f t="shared" si="2855"/>
        <v>MCAS IWAKUNI</v>
      </c>
      <c r="B7618" t="str">
        <f>T("PSC 561 BOX 1872")</f>
        <v>PSC 561 BOX 1872</v>
      </c>
      <c r="C7618" t="str">
        <f t="shared" si="2857"/>
        <v/>
      </c>
      <c r="D7618" t="str">
        <f t="shared" si="2858"/>
        <v>FPO</v>
      </c>
      <c r="E7618" t="str">
        <f t="shared" si="2859"/>
        <v>AP</v>
      </c>
      <c r="F7618" t="str">
        <f t="shared" si="2860"/>
        <v>963100019</v>
      </c>
      <c r="G7618" t="str">
        <f>T("PSC 561 BOX 1872")</f>
        <v>PSC 561 BOX 1872</v>
      </c>
      <c r="H7618" t="str">
        <f t="shared" si="2861"/>
        <v/>
      </c>
      <c r="I7618" t="str">
        <f t="shared" si="2862"/>
        <v>FPO</v>
      </c>
      <c r="J7618" t="str">
        <f t="shared" si="2863"/>
        <v>AP</v>
      </c>
      <c r="K7618" t="str">
        <f t="shared" si="2856"/>
        <v>000000000000000000</v>
      </c>
      <c r="L7618" t="str">
        <f>T("3152536817")</f>
        <v>3152536817</v>
      </c>
    </row>
    <row r="7619" spans="1:12" x14ac:dyDescent="0.35">
      <c r="A7619" t="str">
        <f t="shared" si="2855"/>
        <v>MCAS IWAKUNI</v>
      </c>
      <c r="B7619" t="str">
        <f>T("PSC 561 BOX 1873")</f>
        <v>PSC 561 BOX 1873</v>
      </c>
      <c r="C7619" t="str">
        <f t="shared" si="2857"/>
        <v/>
      </c>
      <c r="D7619" t="str">
        <f t="shared" si="2858"/>
        <v>FPO</v>
      </c>
      <c r="E7619" t="str">
        <f t="shared" si="2859"/>
        <v>AP</v>
      </c>
      <c r="F7619" t="str">
        <f t="shared" si="2860"/>
        <v>963100019</v>
      </c>
      <c r="G7619" t="str">
        <f>T("PSC 561 BOX 1873")</f>
        <v>PSC 561 BOX 1873</v>
      </c>
      <c r="H7619" t="str">
        <f t="shared" si="2861"/>
        <v/>
      </c>
      <c r="I7619" t="str">
        <f t="shared" si="2862"/>
        <v>FPO</v>
      </c>
      <c r="J7619" t="str">
        <f t="shared" si="2863"/>
        <v>AP</v>
      </c>
      <c r="K7619" t="str">
        <f t="shared" si="2856"/>
        <v>000000000000000000</v>
      </c>
      <c r="L7619" t="str">
        <f>T("3152537126")</f>
        <v>3152537126</v>
      </c>
    </row>
    <row r="7620" spans="1:12" x14ac:dyDescent="0.35">
      <c r="A7620" t="str">
        <f t="shared" si="2855"/>
        <v>MCAS IWAKUNI</v>
      </c>
      <c r="B7620" t="str">
        <f>T("PSC 561 BOX 1876")</f>
        <v>PSC 561 BOX 1876</v>
      </c>
      <c r="C7620" t="str">
        <f t="shared" si="2857"/>
        <v/>
      </c>
      <c r="D7620" t="str">
        <f t="shared" si="2858"/>
        <v>FPO</v>
      </c>
      <c r="E7620" t="str">
        <f t="shared" si="2859"/>
        <v>AP</v>
      </c>
      <c r="F7620" t="str">
        <f t="shared" si="2860"/>
        <v>963100019</v>
      </c>
      <c r="G7620" t="str">
        <f>T("PSC 561 BOX 1876")</f>
        <v>PSC 561 BOX 1876</v>
      </c>
      <c r="H7620" t="str">
        <f t="shared" si="2861"/>
        <v/>
      </c>
      <c r="I7620" t="str">
        <f t="shared" si="2862"/>
        <v>FPO</v>
      </c>
      <c r="J7620" t="str">
        <f t="shared" si="2863"/>
        <v>AP</v>
      </c>
      <c r="K7620" t="str">
        <f t="shared" si="2856"/>
        <v>000000000000000000</v>
      </c>
      <c r="L7620" t="str">
        <f>T("3152535503")</f>
        <v>3152535503</v>
      </c>
    </row>
    <row r="7621" spans="1:12" x14ac:dyDescent="0.35">
      <c r="A7621" t="str">
        <f t="shared" si="2855"/>
        <v>MCAS IWAKUNI</v>
      </c>
      <c r="B7621" t="str">
        <f>T("PSC 561 BOX 1884")</f>
        <v>PSC 561 BOX 1884</v>
      </c>
      <c r="C7621" t="str">
        <f t="shared" si="2857"/>
        <v/>
      </c>
      <c r="D7621" t="str">
        <f t="shared" si="2858"/>
        <v>FPO</v>
      </c>
      <c r="E7621" t="str">
        <f t="shared" si="2859"/>
        <v>AP</v>
      </c>
      <c r="F7621" t="str">
        <f t="shared" si="2860"/>
        <v>963100019</v>
      </c>
      <c r="G7621" t="str">
        <f>T("PSC 561 BOX 1884")</f>
        <v>PSC 561 BOX 1884</v>
      </c>
      <c r="H7621" t="str">
        <f t="shared" si="2861"/>
        <v/>
      </c>
      <c r="I7621" t="str">
        <f t="shared" si="2862"/>
        <v>FPO</v>
      </c>
      <c r="J7621" t="str">
        <f t="shared" si="2863"/>
        <v>AP</v>
      </c>
      <c r="K7621" t="str">
        <f t="shared" si="2856"/>
        <v>000000000000000000</v>
      </c>
      <c r="L7621" t="str">
        <f>T("3152536377")</f>
        <v>3152536377</v>
      </c>
    </row>
    <row r="7622" spans="1:12" x14ac:dyDescent="0.35">
      <c r="A7622" t="str">
        <f t="shared" si="2855"/>
        <v>MCAS IWAKUNI</v>
      </c>
      <c r="B7622" t="str">
        <f>T("PSC 561 BOX 1885")</f>
        <v>PSC 561 BOX 1885</v>
      </c>
      <c r="C7622" t="str">
        <f t="shared" si="2857"/>
        <v/>
      </c>
      <c r="D7622" t="str">
        <f t="shared" si="2858"/>
        <v>FPO</v>
      </c>
      <c r="E7622" t="str">
        <f t="shared" si="2859"/>
        <v>AP</v>
      </c>
      <c r="F7622" t="str">
        <f t="shared" si="2860"/>
        <v>963100019</v>
      </c>
      <c r="G7622" t="str">
        <f>T("PSC 561 BOX 1885")</f>
        <v>PSC 561 BOX 1885</v>
      </c>
      <c r="H7622" t="str">
        <f t="shared" si="2861"/>
        <v/>
      </c>
      <c r="I7622" t="str">
        <f t="shared" si="2862"/>
        <v>FPO</v>
      </c>
      <c r="J7622" t="str">
        <f t="shared" si="2863"/>
        <v>AP</v>
      </c>
      <c r="K7622" t="str">
        <f t="shared" si="2856"/>
        <v>000000000000000000</v>
      </c>
      <c r="L7622" t="str">
        <f>T("3152533310")</f>
        <v>3152533310</v>
      </c>
    </row>
    <row r="7623" spans="1:12" x14ac:dyDescent="0.35">
      <c r="A7623" t="str">
        <f t="shared" si="2855"/>
        <v>MCAS IWAKUNI</v>
      </c>
      <c r="B7623" t="str">
        <f>T("PSC 561 BOX 1885")</f>
        <v>PSC 561 BOX 1885</v>
      </c>
      <c r="C7623" t="str">
        <f t="shared" si="2857"/>
        <v/>
      </c>
      <c r="D7623" t="str">
        <f t="shared" si="2858"/>
        <v>FPO</v>
      </c>
      <c r="E7623" t="str">
        <f t="shared" si="2859"/>
        <v>AP</v>
      </c>
      <c r="F7623" t="str">
        <f t="shared" si="2860"/>
        <v>963100019</v>
      </c>
      <c r="G7623" t="str">
        <f>T("PSC 561 BOX 1885")</f>
        <v>PSC 561 BOX 1885</v>
      </c>
      <c r="H7623" t="str">
        <f t="shared" si="2861"/>
        <v/>
      </c>
      <c r="I7623" t="str">
        <f t="shared" si="2862"/>
        <v>FPO</v>
      </c>
      <c r="J7623" t="str">
        <f t="shared" si="2863"/>
        <v>AP</v>
      </c>
      <c r="K7623" t="str">
        <f t="shared" si="2856"/>
        <v>000000000000000000</v>
      </c>
      <c r="L7623" t="str">
        <f>T("3152536422")</f>
        <v>3152536422</v>
      </c>
    </row>
    <row r="7624" spans="1:12" x14ac:dyDescent="0.35">
      <c r="A7624" t="str">
        <f t="shared" si="2855"/>
        <v>MCAS IWAKUNI</v>
      </c>
      <c r="B7624" t="str">
        <f>T("PSC 561 BOX 1886")</f>
        <v>PSC 561 BOX 1886</v>
      </c>
      <c r="C7624" t="str">
        <f t="shared" si="2857"/>
        <v/>
      </c>
      <c r="D7624" t="str">
        <f t="shared" si="2858"/>
        <v>FPO</v>
      </c>
      <c r="E7624" t="str">
        <f t="shared" si="2859"/>
        <v>AP</v>
      </c>
      <c r="F7624" t="str">
        <f t="shared" si="2860"/>
        <v>963100019</v>
      </c>
      <c r="G7624" t="str">
        <f>T("PSC 561 BOX 1886")</f>
        <v>PSC 561 BOX 1886</v>
      </c>
      <c r="H7624" t="str">
        <f t="shared" si="2861"/>
        <v/>
      </c>
      <c r="I7624" t="str">
        <f t="shared" si="2862"/>
        <v>FPO</v>
      </c>
      <c r="J7624" t="str">
        <f t="shared" si="2863"/>
        <v>AP</v>
      </c>
      <c r="K7624" t="str">
        <f t="shared" si="2856"/>
        <v>000000000000000000</v>
      </c>
      <c r="L7624" t="str">
        <f>T("3152534800")</f>
        <v>3152534800</v>
      </c>
    </row>
    <row r="7625" spans="1:12" x14ac:dyDescent="0.35">
      <c r="A7625" t="str">
        <f t="shared" si="2855"/>
        <v>MCAS IWAKUNI</v>
      </c>
      <c r="B7625" t="str">
        <f>T("PSC 561 BOX 1888")</f>
        <v>PSC 561 BOX 1888</v>
      </c>
      <c r="C7625" t="str">
        <f t="shared" si="2857"/>
        <v/>
      </c>
      <c r="D7625" t="str">
        <f t="shared" si="2858"/>
        <v>FPO</v>
      </c>
      <c r="E7625" t="str">
        <f t="shared" si="2859"/>
        <v>AP</v>
      </c>
      <c r="F7625" t="str">
        <f t="shared" si="2860"/>
        <v>963100019</v>
      </c>
      <c r="G7625" t="str">
        <f>T("PSC 561 BOX 1888")</f>
        <v>PSC 561 BOX 1888</v>
      </c>
      <c r="H7625" t="str">
        <f t="shared" si="2861"/>
        <v/>
      </c>
      <c r="I7625" t="str">
        <f t="shared" si="2862"/>
        <v>FPO</v>
      </c>
      <c r="J7625" t="str">
        <f t="shared" si="2863"/>
        <v>AP</v>
      </c>
      <c r="K7625" t="str">
        <f t="shared" si="2856"/>
        <v>000000000000000000</v>
      </c>
      <c r="L7625" t="str">
        <f>T("3152534210")</f>
        <v>3152534210</v>
      </c>
    </row>
    <row r="7626" spans="1:12" x14ac:dyDescent="0.35">
      <c r="A7626" t="str">
        <f t="shared" si="2855"/>
        <v>MCAS IWAKUNI</v>
      </c>
      <c r="B7626" t="str">
        <f>T("PSC 561 BOX 1895")</f>
        <v>PSC 561 BOX 1895</v>
      </c>
      <c r="C7626" t="str">
        <f t="shared" si="2857"/>
        <v/>
      </c>
      <c r="D7626" t="str">
        <f t="shared" si="2858"/>
        <v>FPO</v>
      </c>
      <c r="E7626" t="str">
        <f t="shared" si="2859"/>
        <v>AP</v>
      </c>
      <c r="F7626" t="str">
        <f t="shared" si="2860"/>
        <v>963100019</v>
      </c>
      <c r="G7626" t="str">
        <f>T("PSC 561 BOX 1895")</f>
        <v>PSC 561 BOX 1895</v>
      </c>
      <c r="H7626" t="str">
        <f t="shared" si="2861"/>
        <v/>
      </c>
      <c r="I7626" t="str">
        <f t="shared" si="2862"/>
        <v>FPO</v>
      </c>
      <c r="J7626" t="str">
        <f t="shared" si="2863"/>
        <v>AP</v>
      </c>
      <c r="K7626" t="str">
        <f t="shared" si="2856"/>
        <v>000000000000000000</v>
      </c>
      <c r="L7626" t="str">
        <f>T("3152535591")</f>
        <v>3152535591</v>
      </c>
    </row>
    <row r="7627" spans="1:12" x14ac:dyDescent="0.35">
      <c r="A7627" t="str">
        <f t="shared" si="2855"/>
        <v>MCAS IWAKUNI</v>
      </c>
      <c r="B7627" t="str">
        <f>T("PSC 561 BOX 1896")</f>
        <v>PSC 561 BOX 1896</v>
      </c>
      <c r="C7627" t="str">
        <f t="shared" si="2857"/>
        <v/>
      </c>
      <c r="D7627" t="str">
        <f t="shared" si="2858"/>
        <v>FPO</v>
      </c>
      <c r="E7627" t="str">
        <f t="shared" si="2859"/>
        <v>AP</v>
      </c>
      <c r="F7627" t="str">
        <f t="shared" si="2860"/>
        <v>963100019</v>
      </c>
      <c r="G7627" t="str">
        <f>T("PSC 561 BOX 1896")</f>
        <v>PSC 561 BOX 1896</v>
      </c>
      <c r="H7627" t="str">
        <f t="shared" si="2861"/>
        <v/>
      </c>
      <c r="I7627" t="str">
        <f t="shared" si="2862"/>
        <v>FPO</v>
      </c>
      <c r="J7627" t="str">
        <f t="shared" si="2863"/>
        <v>AP</v>
      </c>
      <c r="K7627" t="str">
        <f t="shared" si="2856"/>
        <v>000000000000000000</v>
      </c>
      <c r="L7627" t="str">
        <f>T("3152535530")</f>
        <v>3152535530</v>
      </c>
    </row>
    <row r="7628" spans="1:12" x14ac:dyDescent="0.35">
      <c r="A7628" t="str">
        <f t="shared" ref="A7628:A7670" si="2864">T("US MAR CORP III MEF 3RD MLG")</f>
        <v>US MAR CORP III MEF 3RD MLG</v>
      </c>
      <c r="B7628" t="str">
        <f t="shared" ref="B7628:B7635" si="2865">T("3D MARINE LOGISTICS GROUP")</f>
        <v>3D MARINE LOGISTICS GROUP</v>
      </c>
      <c r="C7628" t="str">
        <f>T("UNIT 38417")</f>
        <v>UNIT 38417</v>
      </c>
      <c r="D7628" t="str">
        <f t="shared" si="2858"/>
        <v>FPO</v>
      </c>
      <c r="E7628" t="str">
        <f t="shared" si="2859"/>
        <v>AP</v>
      </c>
      <c r="F7628" t="str">
        <f>T("963738417")</f>
        <v>963738417</v>
      </c>
      <c r="G7628" t="str">
        <f>T("3D MARINE LOGISTICS GROUP")</f>
        <v>3D MARINE LOGISTICS GROUP</v>
      </c>
      <c r="H7628" t="str">
        <f>T("UNIT 38417")</f>
        <v>UNIT 38417</v>
      </c>
      <c r="I7628" t="str">
        <f t="shared" si="2862"/>
        <v>FPO</v>
      </c>
      <c r="J7628" t="str">
        <f t="shared" si="2863"/>
        <v>AP</v>
      </c>
      <c r="K7628" t="str">
        <f>T("011816140456164")</f>
        <v>011816140456164</v>
      </c>
      <c r="L7628" t="str">
        <f t="shared" ref="L7628:L7636" si="2866">T("1111111111")</f>
        <v>1111111111</v>
      </c>
    </row>
    <row r="7629" spans="1:12" x14ac:dyDescent="0.35">
      <c r="A7629" t="str">
        <f t="shared" si="2864"/>
        <v>US MAR CORP III MEF 3RD MLG</v>
      </c>
      <c r="B7629" t="str">
        <f t="shared" si="2865"/>
        <v>3D MARINE LOGISTICS GROUP</v>
      </c>
      <c r="C7629" t="str">
        <f>T("UNIT 38417")</f>
        <v>UNIT 38417</v>
      </c>
      <c r="D7629" t="str">
        <f t="shared" si="2858"/>
        <v>FPO</v>
      </c>
      <c r="E7629" t="str">
        <f t="shared" si="2859"/>
        <v>AP</v>
      </c>
      <c r="F7629" t="str">
        <f>T("963738417")</f>
        <v>963738417</v>
      </c>
      <c r="G7629" t="str">
        <f>T("UNIT 38414")</f>
        <v>UNIT 38414</v>
      </c>
      <c r="H7629" t="str">
        <f>T("")</f>
        <v/>
      </c>
      <c r="I7629" t="str">
        <f t="shared" si="2862"/>
        <v>FPO</v>
      </c>
      <c r="J7629" t="str">
        <f t="shared" si="2863"/>
        <v>AP</v>
      </c>
      <c r="K7629" t="str">
        <f>T("01181989703119")</f>
        <v>01181989703119</v>
      </c>
      <c r="L7629" t="str">
        <f t="shared" si="2866"/>
        <v>1111111111</v>
      </c>
    </row>
    <row r="7630" spans="1:12" x14ac:dyDescent="0.35">
      <c r="A7630" t="str">
        <f t="shared" si="2864"/>
        <v>US MAR CORP III MEF 3RD MLG</v>
      </c>
      <c r="B7630" t="str">
        <f t="shared" si="2865"/>
        <v>3D MARINE LOGISTICS GROUP</v>
      </c>
      <c r="C7630" t="str">
        <f>T("UNIT 38417")</f>
        <v>UNIT 38417</v>
      </c>
      <c r="D7630" t="str">
        <f t="shared" si="2858"/>
        <v>FPO</v>
      </c>
      <c r="E7630" t="str">
        <f t="shared" si="2859"/>
        <v>AP</v>
      </c>
      <c r="F7630" t="str">
        <f>T("963738417")</f>
        <v>963738417</v>
      </c>
      <c r="G7630" t="str">
        <f>T("UNIT 38414")</f>
        <v>UNIT 38414</v>
      </c>
      <c r="H7630" t="str">
        <f>T("")</f>
        <v/>
      </c>
      <c r="I7630" t="str">
        <f t="shared" si="2862"/>
        <v>FPO</v>
      </c>
      <c r="J7630" t="str">
        <f t="shared" si="2863"/>
        <v>AP</v>
      </c>
      <c r="K7630" t="str">
        <f>T("01181989705888")</f>
        <v>01181989705888</v>
      </c>
      <c r="L7630" t="str">
        <f t="shared" si="2866"/>
        <v>1111111111</v>
      </c>
    </row>
    <row r="7631" spans="1:12" x14ac:dyDescent="0.35">
      <c r="A7631" t="str">
        <f t="shared" si="2864"/>
        <v>US MAR CORP III MEF 3RD MLG</v>
      </c>
      <c r="B7631" t="str">
        <f t="shared" si="2865"/>
        <v>3D MARINE LOGISTICS GROUP</v>
      </c>
      <c r="C7631" t="str">
        <f>T("UNIT 38417")</f>
        <v>UNIT 38417</v>
      </c>
      <c r="D7631" t="str">
        <f t="shared" si="2858"/>
        <v>FPO</v>
      </c>
      <c r="E7631" t="str">
        <f t="shared" si="2859"/>
        <v>AP</v>
      </c>
      <c r="F7631" t="str">
        <f>T("963738417")</f>
        <v>963738417</v>
      </c>
      <c r="G7631" t="str">
        <f>T("UNIT 38417")</f>
        <v>UNIT 38417</v>
      </c>
      <c r="H7631" t="str">
        <f>T("")</f>
        <v/>
      </c>
      <c r="I7631" t="str">
        <f t="shared" si="2862"/>
        <v>FPO</v>
      </c>
      <c r="J7631" t="str">
        <f t="shared" si="2863"/>
        <v>AP</v>
      </c>
      <c r="K7631" t="str">
        <f>T("81989705888")</f>
        <v>81989705888</v>
      </c>
      <c r="L7631" t="str">
        <f t="shared" si="2866"/>
        <v>1111111111</v>
      </c>
    </row>
    <row r="7632" spans="1:12" x14ac:dyDescent="0.35">
      <c r="A7632" t="str">
        <f t="shared" si="2864"/>
        <v>US MAR CORP III MEF 3RD MLG</v>
      </c>
      <c r="B7632" t="str">
        <f t="shared" si="2865"/>
        <v>3D MARINE LOGISTICS GROUP</v>
      </c>
      <c r="C7632" t="str">
        <f>T("UNIT 38417")</f>
        <v>UNIT 38417</v>
      </c>
      <c r="D7632" t="str">
        <f t="shared" si="2858"/>
        <v>FPO</v>
      </c>
      <c r="E7632" t="str">
        <f t="shared" si="2859"/>
        <v>AP</v>
      </c>
      <c r="F7632" t="str">
        <f>T("963738417")</f>
        <v>963738417</v>
      </c>
      <c r="G7632" t="str">
        <f>T("UNIT 38440")</f>
        <v>UNIT 38440</v>
      </c>
      <c r="H7632" t="str">
        <f>T("")</f>
        <v/>
      </c>
      <c r="I7632" t="str">
        <f t="shared" si="2862"/>
        <v>FPO</v>
      </c>
      <c r="J7632" t="str">
        <f t="shared" si="2863"/>
        <v>AP</v>
      </c>
      <c r="K7632" t="str">
        <f>T("81989702594")</f>
        <v>81989702594</v>
      </c>
      <c r="L7632" t="str">
        <f t="shared" si="2866"/>
        <v>1111111111</v>
      </c>
    </row>
    <row r="7633" spans="1:12" x14ac:dyDescent="0.35">
      <c r="A7633" t="str">
        <f t="shared" si="2864"/>
        <v>US MAR CORP III MEF 3RD MLG</v>
      </c>
      <c r="B7633" t="str">
        <f t="shared" si="2865"/>
        <v>3D MARINE LOGISTICS GROUP</v>
      </c>
      <c r="C7633" t="str">
        <f>T("UNIT 38440")</f>
        <v>UNIT 38440</v>
      </c>
      <c r="D7633" t="str">
        <f t="shared" si="2858"/>
        <v>FPO</v>
      </c>
      <c r="E7633" t="str">
        <f t="shared" si="2859"/>
        <v>AP</v>
      </c>
      <c r="F7633" t="str">
        <f>T("963738440")</f>
        <v>963738440</v>
      </c>
      <c r="G7633" t="str">
        <f>T("3D MARINE LOGISTICS GROUP")</f>
        <v>3D MARINE LOGISTICS GROUP</v>
      </c>
      <c r="H7633" t="str">
        <f>T("UNIT 38440")</f>
        <v>UNIT 38440</v>
      </c>
      <c r="I7633" t="str">
        <f t="shared" si="2862"/>
        <v>FPO</v>
      </c>
      <c r="J7633" t="str">
        <f t="shared" si="2863"/>
        <v>AP</v>
      </c>
      <c r="K7633" t="str">
        <f>T("")</f>
        <v/>
      </c>
      <c r="L7633" t="str">
        <f t="shared" si="2866"/>
        <v>1111111111</v>
      </c>
    </row>
    <row r="7634" spans="1:12" x14ac:dyDescent="0.35">
      <c r="A7634" t="str">
        <f t="shared" si="2864"/>
        <v>US MAR CORP III MEF 3RD MLG</v>
      </c>
      <c r="B7634" t="str">
        <f t="shared" si="2865"/>
        <v>3D MARINE LOGISTICS GROUP</v>
      </c>
      <c r="C7634" t="str">
        <f>T("UNIT 38440")</f>
        <v>UNIT 38440</v>
      </c>
      <c r="D7634" t="str">
        <f t="shared" si="2858"/>
        <v>FPO</v>
      </c>
      <c r="E7634" t="str">
        <f t="shared" si="2859"/>
        <v>AP</v>
      </c>
      <c r="F7634" t="str">
        <f>T("963738440")</f>
        <v>963738440</v>
      </c>
      <c r="G7634" t="str">
        <f>T("UNIT 38440")</f>
        <v>UNIT 38440</v>
      </c>
      <c r="H7634" t="str">
        <f>T("")</f>
        <v/>
      </c>
      <c r="I7634" t="str">
        <f t="shared" si="2862"/>
        <v>FPO</v>
      </c>
      <c r="J7634" t="str">
        <f t="shared" si="2863"/>
        <v>AP</v>
      </c>
      <c r="K7634" t="str">
        <f>T("01181989702003")</f>
        <v>01181989702003</v>
      </c>
      <c r="L7634" t="str">
        <f t="shared" si="2866"/>
        <v>1111111111</v>
      </c>
    </row>
    <row r="7635" spans="1:12" x14ac:dyDescent="0.35">
      <c r="A7635" t="str">
        <f t="shared" si="2864"/>
        <v>US MAR CORP III MEF 3RD MLG</v>
      </c>
      <c r="B7635" t="str">
        <f t="shared" si="2865"/>
        <v>3D MARINE LOGISTICS GROUP</v>
      </c>
      <c r="C7635" t="str">
        <f>T("UNIT 38440")</f>
        <v>UNIT 38440</v>
      </c>
      <c r="D7635" t="str">
        <f t="shared" si="2858"/>
        <v>FPO</v>
      </c>
      <c r="E7635" t="str">
        <f t="shared" si="2859"/>
        <v>AP</v>
      </c>
      <c r="F7635" t="str">
        <f>T("963738440")</f>
        <v>963738440</v>
      </c>
      <c r="G7635" t="str">
        <f>T("UNIT 38440")</f>
        <v>UNIT 38440</v>
      </c>
      <c r="H7635" t="str">
        <f>T("")</f>
        <v/>
      </c>
      <c r="I7635" t="str">
        <f t="shared" si="2862"/>
        <v>FPO</v>
      </c>
      <c r="J7635" t="str">
        <f t="shared" si="2863"/>
        <v>AP</v>
      </c>
      <c r="K7635" t="str">
        <f>T("81989702001")</f>
        <v>81989702001</v>
      </c>
      <c r="L7635" t="str">
        <f t="shared" si="2866"/>
        <v>1111111111</v>
      </c>
    </row>
    <row r="7636" spans="1:12" x14ac:dyDescent="0.35">
      <c r="A7636" t="str">
        <f t="shared" si="2864"/>
        <v>US MAR CORP III MEF 3RD MLG</v>
      </c>
      <c r="B7636" t="str">
        <f>T("3D MED LOG")</f>
        <v>3D MED LOG</v>
      </c>
      <c r="C7636" t="str">
        <f>T("UNIT 38414")</f>
        <v>UNIT 38414</v>
      </c>
      <c r="D7636" t="str">
        <f t="shared" si="2858"/>
        <v>FPO</v>
      </c>
      <c r="E7636" t="str">
        <f t="shared" si="2859"/>
        <v>AP</v>
      </c>
      <c r="F7636" t="str">
        <f>T("963808414")</f>
        <v>963808414</v>
      </c>
      <c r="G7636" t="str">
        <f>T("3D MED LOG")</f>
        <v>3D MED LOG</v>
      </c>
      <c r="H7636" t="str">
        <f>T("UNIT 38414")</f>
        <v>UNIT 38414</v>
      </c>
      <c r="I7636" t="str">
        <f t="shared" si="2862"/>
        <v>FPO</v>
      </c>
      <c r="J7636" t="str">
        <f t="shared" si="2863"/>
        <v>AP</v>
      </c>
      <c r="K7636" t="str">
        <f>T("")</f>
        <v/>
      </c>
      <c r="L7636" t="str">
        <f t="shared" si="2866"/>
        <v>1111111111</v>
      </c>
    </row>
    <row r="7637" spans="1:12" x14ac:dyDescent="0.35">
      <c r="A7637" t="str">
        <f t="shared" si="2864"/>
        <v>US MAR CORP III MEF 3RD MLG</v>
      </c>
      <c r="B7637" t="str">
        <f>T("3D MED LOG")</f>
        <v>3D MED LOG</v>
      </c>
      <c r="C7637" t="str">
        <f>T("UNIT 38414")</f>
        <v>UNIT 38414</v>
      </c>
      <c r="D7637" t="str">
        <f t="shared" si="2858"/>
        <v>FPO</v>
      </c>
      <c r="E7637" t="str">
        <f t="shared" si="2859"/>
        <v>AP</v>
      </c>
      <c r="F7637" t="str">
        <f>T("963808414")</f>
        <v>963808414</v>
      </c>
      <c r="G7637" t="str">
        <f>T("UNIT 38414")</f>
        <v>UNIT 38414</v>
      </c>
      <c r="H7637" t="str">
        <f>T("")</f>
        <v/>
      </c>
      <c r="I7637" t="str">
        <f t="shared" si="2862"/>
        <v>FPO</v>
      </c>
      <c r="J7637" t="str">
        <f t="shared" si="2863"/>
        <v>AP</v>
      </c>
      <c r="K7637" t="str">
        <f>T("3156371557")</f>
        <v>3156371557</v>
      </c>
      <c r="L7637" t="str">
        <f>T("3156371515")</f>
        <v>3156371515</v>
      </c>
    </row>
    <row r="7638" spans="1:12" x14ac:dyDescent="0.35">
      <c r="A7638" t="str">
        <f t="shared" si="2864"/>
        <v>US MAR CORP III MEF 3RD MLG</v>
      </c>
      <c r="B7638" t="str">
        <f>T("3D MED LOG")</f>
        <v>3D MED LOG</v>
      </c>
      <c r="C7638" t="str">
        <f>T("UNIT 38414")</f>
        <v>UNIT 38414</v>
      </c>
      <c r="D7638" t="str">
        <f t="shared" si="2858"/>
        <v>FPO</v>
      </c>
      <c r="E7638" t="str">
        <f t="shared" si="2859"/>
        <v>AP</v>
      </c>
      <c r="F7638" t="str">
        <f>T("963808414")</f>
        <v>963808414</v>
      </c>
      <c r="G7638" t="str">
        <f>T("UNIT 38414")</f>
        <v>UNIT 38414</v>
      </c>
      <c r="H7638" t="str">
        <f>T("")</f>
        <v/>
      </c>
      <c r="I7638" t="str">
        <f t="shared" si="2862"/>
        <v>FPO</v>
      </c>
      <c r="J7638" t="str">
        <f t="shared" si="2863"/>
        <v>AP</v>
      </c>
      <c r="K7638" t="str">
        <f>T("819897055556374023")</f>
        <v>819897055556374023</v>
      </c>
      <c r="L7638" t="str">
        <f>T("1111111111")</f>
        <v>1111111111</v>
      </c>
    </row>
    <row r="7639" spans="1:12" x14ac:dyDescent="0.35">
      <c r="A7639" t="str">
        <f t="shared" si="2864"/>
        <v>US MAR CORP III MEF 3RD MLG</v>
      </c>
      <c r="B7639" t="str">
        <f>T("3D MLG ECO")</f>
        <v>3D MLG ECO</v>
      </c>
      <c r="C7639" t="str">
        <f>T("UNIT 35607")</f>
        <v>UNIT 35607</v>
      </c>
      <c r="D7639" t="str">
        <f t="shared" si="2858"/>
        <v>FPO</v>
      </c>
      <c r="E7639" t="str">
        <f t="shared" si="2859"/>
        <v>AP</v>
      </c>
      <c r="F7639" t="str">
        <f>T("966050000")</f>
        <v>966050000</v>
      </c>
      <c r="G7639" t="str">
        <f>T("3D MLG ECO")</f>
        <v>3D MLG ECO</v>
      </c>
      <c r="H7639" t="str">
        <f>T("UNIT 35607")</f>
        <v>UNIT 35607</v>
      </c>
      <c r="I7639" t="str">
        <f t="shared" si="2862"/>
        <v>FPO</v>
      </c>
      <c r="J7639" t="str">
        <f t="shared" si="2863"/>
        <v>AP</v>
      </c>
      <c r="K7639" t="str">
        <f>T("000000000000000000")</f>
        <v>000000000000000000</v>
      </c>
      <c r="L7639" t="str">
        <f>T("1111111111")</f>
        <v>1111111111</v>
      </c>
    </row>
    <row r="7640" spans="1:12" x14ac:dyDescent="0.35">
      <c r="A7640" t="str">
        <f t="shared" si="2864"/>
        <v>US MAR CORP III MEF 3RD MLG</v>
      </c>
      <c r="B7640" t="str">
        <f>T("BOX 63030")</f>
        <v>BOX 63030</v>
      </c>
      <c r="C7640" t="str">
        <f>T("")</f>
        <v/>
      </c>
      <c r="D7640" t="str">
        <f>T("MCBH K BAY")</f>
        <v>MCBH K BAY</v>
      </c>
      <c r="E7640" t="str">
        <f>T("HI")</f>
        <v>HI</v>
      </c>
      <c r="F7640" t="str">
        <f>T("968633030")</f>
        <v>968633030</v>
      </c>
      <c r="G7640" t="str">
        <f>T("BOX 63030")</f>
        <v>BOX 63030</v>
      </c>
      <c r="H7640" t="str">
        <f>T("")</f>
        <v/>
      </c>
      <c r="I7640" t="str">
        <f>T("MCBH K BAY")</f>
        <v>MCBH K BAY</v>
      </c>
      <c r="J7640" t="str">
        <f>T("HI")</f>
        <v>HI</v>
      </c>
      <c r="K7640" t="str">
        <f>T("000000000000000000")</f>
        <v>000000000000000000</v>
      </c>
      <c r="L7640" t="str">
        <f>T("8082570210")</f>
        <v>8082570210</v>
      </c>
    </row>
    <row r="7641" spans="1:12" x14ac:dyDescent="0.35">
      <c r="A7641" t="str">
        <f t="shared" si="2864"/>
        <v>US MAR CORP III MEF 3RD MLG</v>
      </c>
      <c r="B7641" t="str">
        <f>T("CLR 35")</f>
        <v>CLR 35</v>
      </c>
      <c r="C7641" t="str">
        <f t="shared" ref="C7641:C7646" si="2867">T("UNIT 38422")</f>
        <v>UNIT 38422</v>
      </c>
      <c r="D7641" t="str">
        <f t="shared" ref="D7641:D7683" si="2868">T("FPO")</f>
        <v>FPO</v>
      </c>
      <c r="E7641" t="str">
        <f t="shared" ref="E7641:E7683" si="2869">T("AP")</f>
        <v>AP</v>
      </c>
      <c r="F7641" t="str">
        <f t="shared" ref="F7641:F7646" si="2870">T("963808422")</f>
        <v>963808422</v>
      </c>
      <c r="G7641" t="str">
        <f>T("CLR 35")</f>
        <v>CLR 35</v>
      </c>
      <c r="H7641" t="str">
        <f>T("UNIT 38422")</f>
        <v>UNIT 38422</v>
      </c>
      <c r="I7641" t="str">
        <f t="shared" ref="I7641:I7683" si="2871">T("FPO")</f>
        <v>FPO</v>
      </c>
      <c r="J7641" t="str">
        <f t="shared" ref="J7641:J7683" si="2872">T("AP")</f>
        <v>AP</v>
      </c>
      <c r="K7641" t="str">
        <f>T("")</f>
        <v/>
      </c>
      <c r="L7641" t="str">
        <f>T("1111111111")</f>
        <v>1111111111</v>
      </c>
    </row>
    <row r="7642" spans="1:12" x14ac:dyDescent="0.35">
      <c r="A7642" t="str">
        <f t="shared" si="2864"/>
        <v>US MAR CORP III MEF 3RD MLG</v>
      </c>
      <c r="B7642" t="str">
        <f>T("CLR 35")</f>
        <v>CLR 35</v>
      </c>
      <c r="C7642" t="str">
        <f t="shared" si="2867"/>
        <v>UNIT 38422</v>
      </c>
      <c r="D7642" t="str">
        <f t="shared" si="2868"/>
        <v>FPO</v>
      </c>
      <c r="E7642" t="str">
        <f t="shared" si="2869"/>
        <v>AP</v>
      </c>
      <c r="F7642" t="str">
        <f t="shared" si="2870"/>
        <v>963808422</v>
      </c>
      <c r="G7642" t="str">
        <f>T("UNIT 38422")</f>
        <v>UNIT 38422</v>
      </c>
      <c r="H7642" t="str">
        <f>T("")</f>
        <v/>
      </c>
      <c r="I7642" t="str">
        <f t="shared" si="2871"/>
        <v>FPO</v>
      </c>
      <c r="J7642" t="str">
        <f t="shared" si="2872"/>
        <v>AP</v>
      </c>
      <c r="K7642" t="str">
        <f>T("000000000000000000")</f>
        <v>000000000000000000</v>
      </c>
      <c r="L7642" t="str">
        <f>T("3156375646")</f>
        <v>3156375646</v>
      </c>
    </row>
    <row r="7643" spans="1:12" x14ac:dyDescent="0.35">
      <c r="A7643" t="str">
        <f t="shared" si="2864"/>
        <v>US MAR CORP III MEF 3RD MLG</v>
      </c>
      <c r="B7643" t="str">
        <f>T("CLR 35")</f>
        <v>CLR 35</v>
      </c>
      <c r="C7643" t="str">
        <f t="shared" si="2867"/>
        <v>UNIT 38422</v>
      </c>
      <c r="D7643" t="str">
        <f t="shared" si="2868"/>
        <v>FPO</v>
      </c>
      <c r="E7643" t="str">
        <f t="shared" si="2869"/>
        <v>AP</v>
      </c>
      <c r="F7643" t="str">
        <f t="shared" si="2870"/>
        <v>963808422</v>
      </c>
      <c r="G7643" t="str">
        <f>T("UNIT 38422")</f>
        <v>UNIT 38422</v>
      </c>
      <c r="H7643" t="str">
        <f>T("")</f>
        <v/>
      </c>
      <c r="I7643" t="str">
        <f t="shared" si="2871"/>
        <v>FPO</v>
      </c>
      <c r="J7643" t="str">
        <f t="shared" si="2872"/>
        <v>AP</v>
      </c>
      <c r="K7643" t="str">
        <f>T("000000000000000000")</f>
        <v>000000000000000000</v>
      </c>
      <c r="L7643" t="str">
        <f>T("3156375647")</f>
        <v>3156375647</v>
      </c>
    </row>
    <row r="7644" spans="1:12" x14ac:dyDescent="0.35">
      <c r="A7644" t="str">
        <f t="shared" si="2864"/>
        <v>US MAR CORP III MEF 3RD MLG</v>
      </c>
      <c r="B7644" t="str">
        <f>T("CLR 35")</f>
        <v>CLR 35</v>
      </c>
      <c r="C7644" t="str">
        <f t="shared" si="2867"/>
        <v>UNIT 38422</v>
      </c>
      <c r="D7644" t="str">
        <f t="shared" si="2868"/>
        <v>FPO</v>
      </c>
      <c r="E7644" t="str">
        <f t="shared" si="2869"/>
        <v>AP</v>
      </c>
      <c r="F7644" t="str">
        <f t="shared" si="2870"/>
        <v>963808422</v>
      </c>
      <c r="G7644" t="str">
        <f>T("UNIT 38460")</f>
        <v>UNIT 38460</v>
      </c>
      <c r="H7644" t="str">
        <f>T("")</f>
        <v/>
      </c>
      <c r="I7644" t="str">
        <f t="shared" si="2871"/>
        <v>FPO</v>
      </c>
      <c r="J7644" t="str">
        <f t="shared" si="2872"/>
        <v>AP</v>
      </c>
      <c r="K7644" t="str">
        <f>T("000000000000000000")</f>
        <v>000000000000000000</v>
      </c>
      <c r="L7644" t="str">
        <f>T("3156375646")</f>
        <v>3156375646</v>
      </c>
    </row>
    <row r="7645" spans="1:12" x14ac:dyDescent="0.35">
      <c r="A7645" t="str">
        <f t="shared" si="2864"/>
        <v>US MAR CORP III MEF 3RD MLG</v>
      </c>
      <c r="B7645" t="str">
        <f>T("CLR 35 3D MLG")</f>
        <v>CLR 35 3D MLG</v>
      </c>
      <c r="C7645" t="str">
        <f t="shared" si="2867"/>
        <v>UNIT 38422</v>
      </c>
      <c r="D7645" t="str">
        <f t="shared" si="2868"/>
        <v>FPO</v>
      </c>
      <c r="E7645" t="str">
        <f t="shared" si="2869"/>
        <v>AP</v>
      </c>
      <c r="F7645" t="str">
        <f t="shared" si="2870"/>
        <v>963808422</v>
      </c>
      <c r="G7645" t="str">
        <f>T("CLR 35 3D MLG")</f>
        <v>CLR 35 3D MLG</v>
      </c>
      <c r="H7645" t="str">
        <f>T("UNIT 38422")</f>
        <v>UNIT 38422</v>
      </c>
      <c r="I7645" t="str">
        <f t="shared" si="2871"/>
        <v>FPO</v>
      </c>
      <c r="J7645" t="str">
        <f t="shared" si="2872"/>
        <v>AP</v>
      </c>
      <c r="K7645" t="str">
        <f>T("")</f>
        <v/>
      </c>
      <c r="L7645" t="str">
        <f>T("1111111111")</f>
        <v>1111111111</v>
      </c>
    </row>
    <row r="7646" spans="1:12" x14ac:dyDescent="0.35">
      <c r="A7646" t="str">
        <f t="shared" si="2864"/>
        <v>US MAR CORP III MEF 3RD MLG</v>
      </c>
      <c r="B7646" t="str">
        <f>T("CLR 35 3D MLG")</f>
        <v>CLR 35 3D MLG</v>
      </c>
      <c r="C7646" t="str">
        <f t="shared" si="2867"/>
        <v>UNIT 38422</v>
      </c>
      <c r="D7646" t="str">
        <f t="shared" si="2868"/>
        <v>FPO</v>
      </c>
      <c r="E7646" t="str">
        <f t="shared" si="2869"/>
        <v>AP</v>
      </c>
      <c r="F7646" t="str">
        <f t="shared" si="2870"/>
        <v>963808422</v>
      </c>
      <c r="G7646" t="str">
        <f>T("UNIT 38422")</f>
        <v>UNIT 38422</v>
      </c>
      <c r="H7646" t="str">
        <f>T("")</f>
        <v/>
      </c>
      <c r="I7646" t="str">
        <f t="shared" si="2871"/>
        <v>FPO</v>
      </c>
      <c r="J7646" t="str">
        <f t="shared" si="2872"/>
        <v>AP</v>
      </c>
      <c r="K7646" t="str">
        <f>T("000000000000000000")</f>
        <v>000000000000000000</v>
      </c>
      <c r="L7646" t="str">
        <f>T("3156372187")</f>
        <v>3156372187</v>
      </c>
    </row>
    <row r="7647" spans="1:12" x14ac:dyDescent="0.35">
      <c r="A7647" t="str">
        <f t="shared" si="2864"/>
        <v>US MAR CORP III MEF 3RD MLG</v>
      </c>
      <c r="B7647" t="str">
        <f>T("GESP 17.1 SUPPLY OFFICER")</f>
        <v>GESP 17.1 SUPPLY OFFICER</v>
      </c>
      <c r="C7647" t="str">
        <f>T("UNIT 89080")</f>
        <v>UNIT 89080</v>
      </c>
      <c r="D7647" t="str">
        <f t="shared" si="2868"/>
        <v>FPO</v>
      </c>
      <c r="E7647" t="str">
        <f t="shared" si="2869"/>
        <v>AP</v>
      </c>
      <c r="F7647" t="str">
        <f>T("966100000")</f>
        <v>966100000</v>
      </c>
      <c r="G7647" t="str">
        <f>T("GESP 17.1 SUPPLY OFFICER")</f>
        <v>GESP 17.1 SUPPLY OFFICER</v>
      </c>
      <c r="H7647" t="str">
        <f>T("UNIT 89080")</f>
        <v>UNIT 89080</v>
      </c>
      <c r="I7647" t="str">
        <f t="shared" si="2871"/>
        <v>FPO</v>
      </c>
      <c r="J7647" t="str">
        <f t="shared" si="2872"/>
        <v>AP</v>
      </c>
      <c r="K7647" t="str">
        <f>T("000000000000000000")</f>
        <v>000000000000000000</v>
      </c>
      <c r="L7647" t="str">
        <f>T("9478892537")</f>
        <v>9478892537</v>
      </c>
    </row>
    <row r="7648" spans="1:12" x14ac:dyDescent="0.35">
      <c r="A7648" t="str">
        <f t="shared" si="2864"/>
        <v>US MAR CORP III MEF 3RD MLG</v>
      </c>
      <c r="B7648" t="str">
        <f>T("UNIT 38404")</f>
        <v>UNIT 38404</v>
      </c>
      <c r="C7648" t="str">
        <f t="shared" ref="C7648:C7670" si="2873">T("")</f>
        <v/>
      </c>
      <c r="D7648" t="str">
        <f t="shared" si="2868"/>
        <v>FPO</v>
      </c>
      <c r="E7648" t="str">
        <f t="shared" si="2869"/>
        <v>AP</v>
      </c>
      <c r="F7648" t="str">
        <f>T("963808404")</f>
        <v>963808404</v>
      </c>
      <c r="G7648" t="str">
        <f>T("UNIT 38404")</f>
        <v>UNIT 38404</v>
      </c>
      <c r="H7648" t="str">
        <f t="shared" ref="H7648:H7659" si="2874">T("")</f>
        <v/>
      </c>
      <c r="I7648" t="str">
        <f t="shared" si="2871"/>
        <v>FPO</v>
      </c>
      <c r="J7648" t="str">
        <f t="shared" si="2872"/>
        <v>AP</v>
      </c>
      <c r="K7648" t="str">
        <f>T("000000000000000000")</f>
        <v>000000000000000000</v>
      </c>
      <c r="L7648" t="str">
        <f>T("3156371002")</f>
        <v>3156371002</v>
      </c>
    </row>
    <row r="7649" spans="1:12" x14ac:dyDescent="0.35">
      <c r="A7649" t="str">
        <f t="shared" si="2864"/>
        <v>US MAR CORP III MEF 3RD MLG</v>
      </c>
      <c r="B7649" t="str">
        <f>T("UNIT 38404")</f>
        <v>UNIT 38404</v>
      </c>
      <c r="C7649" t="str">
        <f t="shared" si="2873"/>
        <v/>
      </c>
      <c r="D7649" t="str">
        <f t="shared" si="2868"/>
        <v>FPO</v>
      </c>
      <c r="E7649" t="str">
        <f t="shared" si="2869"/>
        <v>AP</v>
      </c>
      <c r="F7649" t="str">
        <f>T("963808404")</f>
        <v>963808404</v>
      </c>
      <c r="G7649" t="str">
        <f>T("UNIT 38404")</f>
        <v>UNIT 38404</v>
      </c>
      <c r="H7649" t="str">
        <f t="shared" si="2874"/>
        <v/>
      </c>
      <c r="I7649" t="str">
        <f t="shared" si="2871"/>
        <v>FPO</v>
      </c>
      <c r="J7649" t="str">
        <f t="shared" si="2872"/>
        <v>AP</v>
      </c>
      <c r="K7649" t="str">
        <f>T("011816140372244")</f>
        <v>011816140372244</v>
      </c>
      <c r="L7649" t="str">
        <f>T("1111111111")</f>
        <v>1111111111</v>
      </c>
    </row>
    <row r="7650" spans="1:12" x14ac:dyDescent="0.35">
      <c r="A7650" t="str">
        <f t="shared" si="2864"/>
        <v>US MAR CORP III MEF 3RD MLG</v>
      </c>
      <c r="B7650" t="str">
        <f>T("UNIT 38404")</f>
        <v>UNIT 38404</v>
      </c>
      <c r="C7650" t="str">
        <f t="shared" si="2873"/>
        <v/>
      </c>
      <c r="D7650" t="str">
        <f t="shared" si="2868"/>
        <v>FPO</v>
      </c>
      <c r="E7650" t="str">
        <f t="shared" si="2869"/>
        <v>AP</v>
      </c>
      <c r="F7650" t="str">
        <f>T("963808404")</f>
        <v>963808404</v>
      </c>
      <c r="G7650" t="str">
        <f>T("UNIT 38404")</f>
        <v>UNIT 38404</v>
      </c>
      <c r="H7650" t="str">
        <f t="shared" si="2874"/>
        <v/>
      </c>
      <c r="I7650" t="str">
        <f t="shared" si="2871"/>
        <v>FPO</v>
      </c>
      <c r="J7650" t="str">
        <f t="shared" si="2872"/>
        <v>AP</v>
      </c>
      <c r="K7650" t="str">
        <f>T("819897055556371002")</f>
        <v>819897055556371002</v>
      </c>
      <c r="L7650" t="str">
        <f>T("1111111111")</f>
        <v>1111111111</v>
      </c>
    </row>
    <row r="7651" spans="1:12" x14ac:dyDescent="0.35">
      <c r="A7651" t="str">
        <f t="shared" si="2864"/>
        <v>US MAR CORP III MEF 3RD MLG</v>
      </c>
      <c r="B7651" t="str">
        <f>T("UNIT 38412")</f>
        <v>UNIT 38412</v>
      </c>
      <c r="C7651" t="str">
        <f t="shared" si="2873"/>
        <v/>
      </c>
      <c r="D7651" t="str">
        <f t="shared" si="2868"/>
        <v>FPO</v>
      </c>
      <c r="E7651" t="str">
        <f t="shared" si="2869"/>
        <v>AP</v>
      </c>
      <c r="F7651" t="str">
        <f>T("963808412")</f>
        <v>963808412</v>
      </c>
      <c r="G7651" t="str">
        <f>T("UNIT 38412")</f>
        <v>UNIT 38412</v>
      </c>
      <c r="H7651" t="str">
        <f t="shared" si="2874"/>
        <v/>
      </c>
      <c r="I7651" t="str">
        <f t="shared" si="2871"/>
        <v>FPO</v>
      </c>
      <c r="J7651" t="str">
        <f t="shared" si="2872"/>
        <v>AP</v>
      </c>
      <c r="K7651" t="str">
        <f>T("")</f>
        <v/>
      </c>
      <c r="L7651" t="str">
        <f>T("1111111111")</f>
        <v>1111111111</v>
      </c>
    </row>
    <row r="7652" spans="1:12" x14ac:dyDescent="0.35">
      <c r="A7652" t="str">
        <f t="shared" si="2864"/>
        <v>US MAR CORP III MEF 3RD MLG</v>
      </c>
      <c r="B7652" t="str">
        <f>T("UNIT 38412")</f>
        <v>UNIT 38412</v>
      </c>
      <c r="C7652" t="str">
        <f t="shared" si="2873"/>
        <v/>
      </c>
      <c r="D7652" t="str">
        <f t="shared" si="2868"/>
        <v>FPO</v>
      </c>
      <c r="E7652" t="str">
        <f t="shared" si="2869"/>
        <v>AP</v>
      </c>
      <c r="F7652" t="str">
        <f>T("963808412")</f>
        <v>963808412</v>
      </c>
      <c r="G7652" t="str">
        <f>T("UNIT 38412")</f>
        <v>UNIT 38412</v>
      </c>
      <c r="H7652" t="str">
        <f t="shared" si="2874"/>
        <v/>
      </c>
      <c r="I7652" t="str">
        <f t="shared" si="2871"/>
        <v>FPO</v>
      </c>
      <c r="J7652" t="str">
        <f t="shared" si="2872"/>
        <v>AP</v>
      </c>
      <c r="K7652" t="str">
        <f>T("000000000000000000")</f>
        <v>000000000000000000</v>
      </c>
      <c r="L7652" t="str">
        <f>T("3156372201")</f>
        <v>3156372201</v>
      </c>
    </row>
    <row r="7653" spans="1:12" x14ac:dyDescent="0.35">
      <c r="A7653" t="str">
        <f t="shared" si="2864"/>
        <v>US MAR CORP III MEF 3RD MLG</v>
      </c>
      <c r="B7653" t="str">
        <f>T("UNIT 38412")</f>
        <v>UNIT 38412</v>
      </c>
      <c r="C7653" t="str">
        <f t="shared" si="2873"/>
        <v/>
      </c>
      <c r="D7653" t="str">
        <f t="shared" si="2868"/>
        <v>FPO</v>
      </c>
      <c r="E7653" t="str">
        <f t="shared" si="2869"/>
        <v>AP</v>
      </c>
      <c r="F7653" t="str">
        <f>T("963808412")</f>
        <v>963808412</v>
      </c>
      <c r="G7653" t="str">
        <f>T("UNIT 38412")</f>
        <v>UNIT 38412</v>
      </c>
      <c r="H7653" t="str">
        <f t="shared" si="2874"/>
        <v/>
      </c>
      <c r="I7653" t="str">
        <f t="shared" si="2871"/>
        <v>FPO</v>
      </c>
      <c r="J7653" t="str">
        <f t="shared" si="2872"/>
        <v>AP</v>
      </c>
      <c r="K7653" t="str">
        <f>T("000000000000000000")</f>
        <v>000000000000000000</v>
      </c>
      <c r="L7653" t="str">
        <f>T("3156373028")</f>
        <v>3156373028</v>
      </c>
    </row>
    <row r="7654" spans="1:12" x14ac:dyDescent="0.35">
      <c r="A7654" t="str">
        <f t="shared" si="2864"/>
        <v>US MAR CORP III MEF 3RD MLG</v>
      </c>
      <c r="B7654" t="str">
        <f>T("UNIT 38422")</f>
        <v>UNIT 38422</v>
      </c>
      <c r="C7654" t="str">
        <f t="shared" si="2873"/>
        <v/>
      </c>
      <c r="D7654" t="str">
        <f t="shared" si="2868"/>
        <v>FPO</v>
      </c>
      <c r="E7654" t="str">
        <f t="shared" si="2869"/>
        <v>AP</v>
      </c>
      <c r="F7654" t="str">
        <f>T("963808422")</f>
        <v>963808422</v>
      </c>
      <c r="G7654" t="str">
        <f>T("UNIT 38411")</f>
        <v>UNIT 38411</v>
      </c>
      <c r="H7654" t="str">
        <f t="shared" si="2874"/>
        <v/>
      </c>
      <c r="I7654" t="str">
        <f t="shared" si="2871"/>
        <v>FPO</v>
      </c>
      <c r="J7654" t="str">
        <f t="shared" si="2872"/>
        <v>AP</v>
      </c>
      <c r="K7654" t="str">
        <f>T("000000000000000000")</f>
        <v>000000000000000000</v>
      </c>
      <c r="L7654" t="str">
        <f>T("3156371691")</f>
        <v>3156371691</v>
      </c>
    </row>
    <row r="7655" spans="1:12" x14ac:dyDescent="0.35">
      <c r="A7655" t="str">
        <f t="shared" si="2864"/>
        <v>US MAR CORP III MEF 3RD MLG</v>
      </c>
      <c r="B7655" t="str">
        <f>T("UNIT 38422")</f>
        <v>UNIT 38422</v>
      </c>
      <c r="C7655" t="str">
        <f t="shared" si="2873"/>
        <v/>
      </c>
      <c r="D7655" t="str">
        <f t="shared" si="2868"/>
        <v>FPO</v>
      </c>
      <c r="E7655" t="str">
        <f t="shared" si="2869"/>
        <v>AP</v>
      </c>
      <c r="F7655" t="str">
        <f>T("963808422")</f>
        <v>963808422</v>
      </c>
      <c r="G7655" t="str">
        <f>T("UNIT 38422")</f>
        <v>UNIT 38422</v>
      </c>
      <c r="H7655" t="str">
        <f t="shared" si="2874"/>
        <v/>
      </c>
      <c r="I7655" t="str">
        <f t="shared" si="2871"/>
        <v>FPO</v>
      </c>
      <c r="J7655" t="str">
        <f t="shared" si="2872"/>
        <v>AP</v>
      </c>
      <c r="K7655" t="str">
        <f>T("")</f>
        <v/>
      </c>
      <c r="L7655" t="str">
        <f>T("1111111111")</f>
        <v>1111111111</v>
      </c>
    </row>
    <row r="7656" spans="1:12" x14ac:dyDescent="0.35">
      <c r="A7656" t="str">
        <f t="shared" si="2864"/>
        <v>US MAR CORP III MEF 3RD MLG</v>
      </c>
      <c r="B7656" t="str">
        <f>T("UNIT 38427")</f>
        <v>UNIT 38427</v>
      </c>
      <c r="C7656" t="str">
        <f t="shared" si="2873"/>
        <v/>
      </c>
      <c r="D7656" t="str">
        <f t="shared" si="2868"/>
        <v>FPO</v>
      </c>
      <c r="E7656" t="str">
        <f t="shared" si="2869"/>
        <v>AP</v>
      </c>
      <c r="F7656" t="str">
        <f>T("963808427")</f>
        <v>963808427</v>
      </c>
      <c r="G7656" t="str">
        <f>T("UNIT 38427")</f>
        <v>UNIT 38427</v>
      </c>
      <c r="H7656" t="str">
        <f t="shared" si="2874"/>
        <v/>
      </c>
      <c r="I7656" t="str">
        <f t="shared" si="2871"/>
        <v>FPO</v>
      </c>
      <c r="J7656" t="str">
        <f t="shared" si="2872"/>
        <v>AP</v>
      </c>
      <c r="K7656" t="str">
        <f>T("")</f>
        <v/>
      </c>
      <c r="L7656" t="str">
        <f>T("1111111111")</f>
        <v>1111111111</v>
      </c>
    </row>
    <row r="7657" spans="1:12" x14ac:dyDescent="0.35">
      <c r="A7657" t="str">
        <f t="shared" si="2864"/>
        <v>US MAR CORP III MEF 3RD MLG</v>
      </c>
      <c r="B7657" t="str">
        <f>T("UNIT 38430")</f>
        <v>UNIT 38430</v>
      </c>
      <c r="C7657" t="str">
        <f t="shared" si="2873"/>
        <v/>
      </c>
      <c r="D7657" t="str">
        <f t="shared" si="2868"/>
        <v>FPO</v>
      </c>
      <c r="E7657" t="str">
        <f t="shared" si="2869"/>
        <v>AP</v>
      </c>
      <c r="F7657" t="str">
        <f>T("963850000")</f>
        <v>963850000</v>
      </c>
      <c r="G7657" t="str">
        <f>T("UNIT 38430")</f>
        <v>UNIT 38430</v>
      </c>
      <c r="H7657" t="str">
        <f t="shared" si="2874"/>
        <v/>
      </c>
      <c r="I7657" t="str">
        <f t="shared" si="2871"/>
        <v>FPO</v>
      </c>
      <c r="J7657" t="str">
        <f t="shared" si="2872"/>
        <v>AP</v>
      </c>
      <c r="K7657" t="str">
        <f>T("")</f>
        <v/>
      </c>
      <c r="L7657" t="str">
        <f>T("1111111111")</f>
        <v>1111111111</v>
      </c>
    </row>
    <row r="7658" spans="1:12" x14ac:dyDescent="0.35">
      <c r="A7658" t="str">
        <f t="shared" si="2864"/>
        <v>US MAR CORP III MEF 3RD MLG</v>
      </c>
      <c r="B7658" t="str">
        <f>T("UNIT 38430")</f>
        <v>UNIT 38430</v>
      </c>
      <c r="C7658" t="str">
        <f t="shared" si="2873"/>
        <v/>
      </c>
      <c r="D7658" t="str">
        <f t="shared" si="2868"/>
        <v>FPO</v>
      </c>
      <c r="E7658" t="str">
        <f t="shared" si="2869"/>
        <v>AP</v>
      </c>
      <c r="F7658" t="str">
        <f>T("963850000")</f>
        <v>963850000</v>
      </c>
      <c r="G7658" t="str">
        <f>T("UNIT 38430")</f>
        <v>UNIT 38430</v>
      </c>
      <c r="H7658" t="str">
        <f t="shared" si="2874"/>
        <v/>
      </c>
      <c r="I7658" t="str">
        <f t="shared" si="2871"/>
        <v>FPO</v>
      </c>
      <c r="J7658" t="str">
        <f t="shared" si="2872"/>
        <v>AP</v>
      </c>
      <c r="K7658" t="str">
        <f>T("000000000000000000")</f>
        <v>000000000000000000</v>
      </c>
      <c r="L7658" t="str">
        <f>T("3156234997")</f>
        <v>3156234997</v>
      </c>
    </row>
    <row r="7659" spans="1:12" x14ac:dyDescent="0.35">
      <c r="A7659" t="str">
        <f t="shared" si="2864"/>
        <v>US MAR CORP III MEF 3RD MLG</v>
      </c>
      <c r="B7659" t="str">
        <f>T("UNIT 38430")</f>
        <v>UNIT 38430</v>
      </c>
      <c r="C7659" t="str">
        <f t="shared" si="2873"/>
        <v/>
      </c>
      <c r="D7659" t="str">
        <f t="shared" si="2868"/>
        <v>FPO</v>
      </c>
      <c r="E7659" t="str">
        <f t="shared" si="2869"/>
        <v>AP</v>
      </c>
      <c r="F7659" t="str">
        <f>T("963850000")</f>
        <v>963850000</v>
      </c>
      <c r="G7659" t="str">
        <f>T("UNIT 38430")</f>
        <v>UNIT 38430</v>
      </c>
      <c r="H7659" t="str">
        <f t="shared" si="2874"/>
        <v/>
      </c>
      <c r="I7659" t="str">
        <f t="shared" si="2871"/>
        <v>FPO</v>
      </c>
      <c r="J7659" t="str">
        <f t="shared" si="2872"/>
        <v>AP</v>
      </c>
      <c r="K7659" t="str">
        <f>T("81989691326")</f>
        <v>81989691326</v>
      </c>
      <c r="L7659" t="str">
        <f>T("1111111111")</f>
        <v>1111111111</v>
      </c>
    </row>
    <row r="7660" spans="1:12" x14ac:dyDescent="0.35">
      <c r="A7660" t="str">
        <f t="shared" si="2864"/>
        <v>US MAR CORP III MEF 3RD MLG</v>
      </c>
      <c r="B7660" t="str">
        <f>T("UNIT 38445")</f>
        <v>UNIT 38445</v>
      </c>
      <c r="C7660" t="str">
        <f t="shared" si="2873"/>
        <v/>
      </c>
      <c r="D7660" t="str">
        <f t="shared" si="2868"/>
        <v>FPO</v>
      </c>
      <c r="E7660" t="str">
        <f t="shared" si="2869"/>
        <v>AP</v>
      </c>
      <c r="F7660" t="str">
        <f>T("963738445")</f>
        <v>963738445</v>
      </c>
      <c r="G7660" t="str">
        <f>T("UNIT")</f>
        <v>UNIT</v>
      </c>
      <c r="H7660" t="str">
        <f>T("38445")</f>
        <v>38445</v>
      </c>
      <c r="I7660" t="str">
        <f t="shared" si="2871"/>
        <v>FPO</v>
      </c>
      <c r="J7660" t="str">
        <f t="shared" si="2872"/>
        <v>AP</v>
      </c>
      <c r="K7660" t="str">
        <f>T("01181989709245")</f>
        <v>01181989709245</v>
      </c>
      <c r="L7660" t="str">
        <f>T("1111111111")</f>
        <v>1111111111</v>
      </c>
    </row>
    <row r="7661" spans="1:12" x14ac:dyDescent="0.35">
      <c r="A7661" t="str">
        <f t="shared" si="2864"/>
        <v>US MAR CORP III MEF 3RD MLG</v>
      </c>
      <c r="B7661" t="str">
        <f>T("UNIT 38445")</f>
        <v>UNIT 38445</v>
      </c>
      <c r="C7661" t="str">
        <f t="shared" si="2873"/>
        <v/>
      </c>
      <c r="D7661" t="str">
        <f t="shared" si="2868"/>
        <v>FPO</v>
      </c>
      <c r="E7661" t="str">
        <f t="shared" si="2869"/>
        <v>AP</v>
      </c>
      <c r="F7661" t="str">
        <f>T("963738445")</f>
        <v>963738445</v>
      </c>
      <c r="G7661" t="str">
        <f>T("UNIT 38445")</f>
        <v>UNIT 38445</v>
      </c>
      <c r="H7661" t="str">
        <f t="shared" ref="H7661:H7670" si="2875">T("")</f>
        <v/>
      </c>
      <c r="I7661" t="str">
        <f t="shared" si="2871"/>
        <v>FPO</v>
      </c>
      <c r="J7661" t="str">
        <f t="shared" si="2872"/>
        <v>AP</v>
      </c>
      <c r="K7661" t="str">
        <f>T("")</f>
        <v/>
      </c>
      <c r="L7661" t="str">
        <f>T("1111111111")</f>
        <v>1111111111</v>
      </c>
    </row>
    <row r="7662" spans="1:12" x14ac:dyDescent="0.35">
      <c r="A7662" t="str">
        <f t="shared" si="2864"/>
        <v>US MAR CORP III MEF 3RD MLG</v>
      </c>
      <c r="B7662" t="str">
        <f>T("UNIT 38445")</f>
        <v>UNIT 38445</v>
      </c>
      <c r="C7662" t="str">
        <f t="shared" si="2873"/>
        <v/>
      </c>
      <c r="D7662" t="str">
        <f t="shared" si="2868"/>
        <v>FPO</v>
      </c>
      <c r="E7662" t="str">
        <f t="shared" si="2869"/>
        <v>AP</v>
      </c>
      <c r="F7662" t="str">
        <f>T("963738445")</f>
        <v>963738445</v>
      </c>
      <c r="G7662" t="str">
        <f>T("UNIT 38447")</f>
        <v>UNIT 38447</v>
      </c>
      <c r="H7662" t="str">
        <f t="shared" si="2875"/>
        <v/>
      </c>
      <c r="I7662" t="str">
        <f t="shared" si="2871"/>
        <v>FPO</v>
      </c>
      <c r="J7662" t="str">
        <f t="shared" si="2872"/>
        <v>AP</v>
      </c>
      <c r="K7662" t="str">
        <f>T("000000000000000000")</f>
        <v>000000000000000000</v>
      </c>
      <c r="L7662" t="str">
        <f>T("3156459245")</f>
        <v>3156459245</v>
      </c>
    </row>
    <row r="7663" spans="1:12" x14ac:dyDescent="0.35">
      <c r="A7663" t="str">
        <f t="shared" si="2864"/>
        <v>US MAR CORP III MEF 3RD MLG</v>
      </c>
      <c r="B7663" t="str">
        <f>T("UNIT 38456")</f>
        <v>UNIT 38456</v>
      </c>
      <c r="C7663" t="str">
        <f t="shared" si="2873"/>
        <v/>
      </c>
      <c r="D7663" t="str">
        <f t="shared" si="2868"/>
        <v>FPO</v>
      </c>
      <c r="E7663" t="str">
        <f t="shared" si="2869"/>
        <v>AP</v>
      </c>
      <c r="F7663" t="str">
        <f>T("963738440")</f>
        <v>963738440</v>
      </c>
      <c r="G7663" t="str">
        <f>T("UNIT 38456")</f>
        <v>UNIT 38456</v>
      </c>
      <c r="H7663" t="str">
        <f t="shared" si="2875"/>
        <v/>
      </c>
      <c r="I7663" t="str">
        <f t="shared" si="2871"/>
        <v>FPO</v>
      </c>
      <c r="J7663" t="str">
        <f t="shared" si="2872"/>
        <v>AP</v>
      </c>
      <c r="K7663" t="str">
        <f>T("000000000000000000")</f>
        <v>000000000000000000</v>
      </c>
      <c r="L7663" t="str">
        <f>T("1111111111")</f>
        <v>1111111111</v>
      </c>
    </row>
    <row r="7664" spans="1:12" x14ac:dyDescent="0.35">
      <c r="A7664" t="str">
        <f t="shared" si="2864"/>
        <v>US MAR CORP III MEF 3RD MLG</v>
      </c>
      <c r="B7664" t="str">
        <f>T("UNIT 38456")</f>
        <v>UNIT 38456</v>
      </c>
      <c r="C7664" t="str">
        <f t="shared" si="2873"/>
        <v/>
      </c>
      <c r="D7664" t="str">
        <f t="shared" si="2868"/>
        <v>FPO</v>
      </c>
      <c r="E7664" t="str">
        <f t="shared" si="2869"/>
        <v>AP</v>
      </c>
      <c r="F7664" t="str">
        <f>T("963738440")</f>
        <v>963738440</v>
      </c>
      <c r="G7664" t="str">
        <f>T("UNIT 38456")</f>
        <v>UNIT 38456</v>
      </c>
      <c r="H7664" t="str">
        <f t="shared" si="2875"/>
        <v/>
      </c>
      <c r="I7664" t="str">
        <f t="shared" si="2871"/>
        <v>FPO</v>
      </c>
      <c r="J7664" t="str">
        <f t="shared" si="2872"/>
        <v>AP</v>
      </c>
      <c r="K7664" t="str">
        <f>T("01181989709390")</f>
        <v>01181989709390</v>
      </c>
      <c r="L7664" t="str">
        <f>T("1111111111")</f>
        <v>1111111111</v>
      </c>
    </row>
    <row r="7665" spans="1:12" x14ac:dyDescent="0.35">
      <c r="A7665" t="str">
        <f t="shared" si="2864"/>
        <v>US MAR CORP III MEF 3RD MLG</v>
      </c>
      <c r="B7665" t="str">
        <f>T("UNIT 38456")</f>
        <v>UNIT 38456</v>
      </c>
      <c r="C7665" t="str">
        <f t="shared" si="2873"/>
        <v/>
      </c>
      <c r="D7665" t="str">
        <f t="shared" si="2868"/>
        <v>FPO</v>
      </c>
      <c r="E7665" t="str">
        <f t="shared" si="2869"/>
        <v>AP</v>
      </c>
      <c r="F7665" t="str">
        <f>T("963738440")</f>
        <v>963738440</v>
      </c>
      <c r="G7665" t="str">
        <f>T("UNIT 38456")</f>
        <v>UNIT 38456</v>
      </c>
      <c r="H7665" t="str">
        <f t="shared" si="2875"/>
        <v/>
      </c>
      <c r="I7665" t="str">
        <f t="shared" si="2871"/>
        <v>FPO</v>
      </c>
      <c r="J7665" t="str">
        <f t="shared" si="2872"/>
        <v>AP</v>
      </c>
      <c r="K7665" t="str">
        <f>T("81989709393")</f>
        <v>81989709393</v>
      </c>
      <c r="L7665" t="str">
        <f>T("1111111111")</f>
        <v>1111111111</v>
      </c>
    </row>
    <row r="7666" spans="1:12" x14ac:dyDescent="0.35">
      <c r="A7666" t="str">
        <f t="shared" si="2864"/>
        <v>US MAR CORP III MEF 3RD MLG</v>
      </c>
      <c r="B7666" t="str">
        <f>T("UNIT 38461")</f>
        <v>UNIT 38461</v>
      </c>
      <c r="C7666" t="str">
        <f t="shared" si="2873"/>
        <v/>
      </c>
      <c r="D7666" t="str">
        <f t="shared" si="2868"/>
        <v>FPO</v>
      </c>
      <c r="E7666" t="str">
        <f t="shared" si="2869"/>
        <v>AP</v>
      </c>
      <c r="F7666" t="str">
        <f>T("963808461")</f>
        <v>963808461</v>
      </c>
      <c r="G7666" t="str">
        <f>T("UNIT 38460")</f>
        <v>UNIT 38460</v>
      </c>
      <c r="H7666" t="str">
        <f t="shared" si="2875"/>
        <v/>
      </c>
      <c r="I7666" t="str">
        <f t="shared" si="2871"/>
        <v>FPO</v>
      </c>
      <c r="J7666" t="str">
        <f t="shared" si="2872"/>
        <v>AP</v>
      </c>
      <c r="K7666" t="str">
        <f>T("000000000000000000")</f>
        <v>000000000000000000</v>
      </c>
      <c r="L7666" t="str">
        <f>T("3156373326")</f>
        <v>3156373326</v>
      </c>
    </row>
    <row r="7667" spans="1:12" x14ac:dyDescent="0.35">
      <c r="A7667" t="str">
        <f t="shared" si="2864"/>
        <v>US MAR CORP III MEF 3RD MLG</v>
      </c>
      <c r="B7667" t="str">
        <f>T("UNIT 38461")</f>
        <v>UNIT 38461</v>
      </c>
      <c r="C7667" t="str">
        <f t="shared" si="2873"/>
        <v/>
      </c>
      <c r="D7667" t="str">
        <f t="shared" si="2868"/>
        <v>FPO</v>
      </c>
      <c r="E7667" t="str">
        <f t="shared" si="2869"/>
        <v>AP</v>
      </c>
      <c r="F7667" t="str">
        <f>T("963808461")</f>
        <v>963808461</v>
      </c>
      <c r="G7667" t="str">
        <f>T("UNIT 38461")</f>
        <v>UNIT 38461</v>
      </c>
      <c r="H7667" t="str">
        <f t="shared" si="2875"/>
        <v/>
      </c>
      <c r="I7667" t="str">
        <f t="shared" si="2871"/>
        <v>FPO</v>
      </c>
      <c r="J7667" t="str">
        <f t="shared" si="2872"/>
        <v>AP</v>
      </c>
      <c r="K7667" t="str">
        <f>T("011816117372403")</f>
        <v>011816117372403</v>
      </c>
      <c r="L7667" t="str">
        <f>T("1111111111")</f>
        <v>1111111111</v>
      </c>
    </row>
    <row r="7668" spans="1:12" x14ac:dyDescent="0.35">
      <c r="A7668" t="str">
        <f t="shared" si="2864"/>
        <v>US MAR CORP III MEF 3RD MLG</v>
      </c>
      <c r="B7668" t="str">
        <f>T("UNIT 38461")</f>
        <v>UNIT 38461</v>
      </c>
      <c r="C7668" t="str">
        <f t="shared" si="2873"/>
        <v/>
      </c>
      <c r="D7668" t="str">
        <f t="shared" si="2868"/>
        <v>FPO</v>
      </c>
      <c r="E7668" t="str">
        <f t="shared" si="2869"/>
        <v>AP</v>
      </c>
      <c r="F7668" t="str">
        <f>T("963808461")</f>
        <v>963808461</v>
      </c>
      <c r="G7668" t="str">
        <f>T("UNIT 38461")</f>
        <v>UNIT 38461</v>
      </c>
      <c r="H7668" t="str">
        <f t="shared" si="2875"/>
        <v/>
      </c>
      <c r="I7668" t="str">
        <f t="shared" si="2871"/>
        <v>FPO</v>
      </c>
      <c r="J7668" t="str">
        <f t="shared" si="2872"/>
        <v>AP</v>
      </c>
      <c r="K7668" t="str">
        <f>T("81989705556373326")</f>
        <v>81989705556373326</v>
      </c>
      <c r="L7668" t="str">
        <f>T("3156373326")</f>
        <v>3156373326</v>
      </c>
    </row>
    <row r="7669" spans="1:12" x14ac:dyDescent="0.35">
      <c r="A7669" t="str">
        <f t="shared" si="2864"/>
        <v>US MAR CORP III MEF 3RD MLG</v>
      </c>
      <c r="B7669" t="str">
        <f>T("UNIT 38490")</f>
        <v>UNIT 38490</v>
      </c>
      <c r="C7669" t="str">
        <f t="shared" si="2873"/>
        <v/>
      </c>
      <c r="D7669" t="str">
        <f t="shared" si="2868"/>
        <v>FPO</v>
      </c>
      <c r="E7669" t="str">
        <f t="shared" si="2869"/>
        <v>AP</v>
      </c>
      <c r="F7669" t="str">
        <f>T("963108490")</f>
        <v>963108490</v>
      </c>
      <c r="G7669" t="str">
        <f>T("UNIT 38490")</f>
        <v>UNIT 38490</v>
      </c>
      <c r="H7669" t="str">
        <f t="shared" si="2875"/>
        <v/>
      </c>
      <c r="I7669" t="str">
        <f t="shared" si="2871"/>
        <v>FPO</v>
      </c>
      <c r="J7669" t="str">
        <f t="shared" si="2872"/>
        <v>AP</v>
      </c>
      <c r="K7669" t="str">
        <f>T("")</f>
        <v/>
      </c>
      <c r="L7669" t="str">
        <f>T("3152536442")</f>
        <v>3152536442</v>
      </c>
    </row>
    <row r="7670" spans="1:12" x14ac:dyDescent="0.35">
      <c r="A7670" t="str">
        <f t="shared" si="2864"/>
        <v>US MAR CORP III MEF 3RD MLG</v>
      </c>
      <c r="B7670" t="str">
        <f>T("UNIT 38490")</f>
        <v>UNIT 38490</v>
      </c>
      <c r="C7670" t="str">
        <f t="shared" si="2873"/>
        <v/>
      </c>
      <c r="D7670" t="str">
        <f t="shared" si="2868"/>
        <v>FPO</v>
      </c>
      <c r="E7670" t="str">
        <f t="shared" si="2869"/>
        <v>AP</v>
      </c>
      <c r="F7670" t="str">
        <f>T("963108490")</f>
        <v>963108490</v>
      </c>
      <c r="G7670" t="str">
        <f>T("UNIT 38490")</f>
        <v>UNIT 38490</v>
      </c>
      <c r="H7670" t="str">
        <f t="shared" si="2875"/>
        <v/>
      </c>
      <c r="I7670" t="str">
        <f t="shared" si="2871"/>
        <v>FPO</v>
      </c>
      <c r="J7670" t="str">
        <f t="shared" si="2872"/>
        <v>AP</v>
      </c>
      <c r="K7670" t="str">
        <f>T("000000000000000000")</f>
        <v>000000000000000000</v>
      </c>
      <c r="L7670" t="str">
        <f>T("3152535706")</f>
        <v>3152535706</v>
      </c>
    </row>
    <row r="7671" spans="1:12" x14ac:dyDescent="0.35">
      <c r="A7671" t="str">
        <f t="shared" ref="A7671:A7702" si="2876">T("US MAR CORP III MEF 1ST MAW")</f>
        <v>US MAR CORP III MEF 1ST MAW</v>
      </c>
      <c r="B7671" t="str">
        <f>T("1ST MARINE AIRCRAFT WING")</f>
        <v>1ST MARINE AIRCRAFT WING</v>
      </c>
      <c r="C7671" t="str">
        <f>T("UNIT 37215")</f>
        <v>UNIT 37215</v>
      </c>
      <c r="D7671" t="str">
        <f t="shared" si="2868"/>
        <v>FPO</v>
      </c>
      <c r="E7671" t="str">
        <f t="shared" si="2869"/>
        <v>AP</v>
      </c>
      <c r="F7671" t="str">
        <f>T("963727215")</f>
        <v>963727215</v>
      </c>
      <c r="G7671" t="str">
        <f>T("1ST MARINE AIRCRAFT WING")</f>
        <v>1ST MARINE AIRCRAFT WING</v>
      </c>
      <c r="H7671" t="str">
        <f>T("UNIT 37215")</f>
        <v>UNIT 37215</v>
      </c>
      <c r="I7671" t="str">
        <f t="shared" si="2871"/>
        <v>FPO</v>
      </c>
      <c r="J7671" t="str">
        <f t="shared" si="2872"/>
        <v>AP</v>
      </c>
      <c r="K7671" t="str">
        <f>T("")</f>
        <v/>
      </c>
      <c r="L7671" t="str">
        <f>T("1111111111")</f>
        <v>1111111111</v>
      </c>
    </row>
    <row r="7672" spans="1:12" x14ac:dyDescent="0.35">
      <c r="A7672" t="str">
        <f t="shared" si="2876"/>
        <v>US MAR CORP III MEF 1ST MAW</v>
      </c>
      <c r="B7672" t="str">
        <f>T("1ST MARINE AIRCRAFT WING")</f>
        <v>1ST MARINE AIRCRAFT WING</v>
      </c>
      <c r="C7672" t="str">
        <f>T("UNIT 37215")</f>
        <v>UNIT 37215</v>
      </c>
      <c r="D7672" t="str">
        <f t="shared" si="2868"/>
        <v>FPO</v>
      </c>
      <c r="E7672" t="str">
        <f t="shared" si="2869"/>
        <v>AP</v>
      </c>
      <c r="F7672" t="str">
        <f>T("963727215")</f>
        <v>963727215</v>
      </c>
      <c r="G7672" t="str">
        <f>T("UNIT 37215")</f>
        <v>UNIT 37215</v>
      </c>
      <c r="H7672" t="str">
        <f>T("")</f>
        <v/>
      </c>
      <c r="I7672" t="str">
        <f t="shared" si="2871"/>
        <v>FPO</v>
      </c>
      <c r="J7672" t="str">
        <f t="shared" si="2872"/>
        <v>AP</v>
      </c>
      <c r="K7672" t="str">
        <f>T("000000000000000000")</f>
        <v>000000000000000000</v>
      </c>
      <c r="L7672" t="str">
        <f>T("3156362233")</f>
        <v>3156362233</v>
      </c>
    </row>
    <row r="7673" spans="1:12" x14ac:dyDescent="0.35">
      <c r="A7673" t="str">
        <f t="shared" si="2876"/>
        <v>US MAR CORP III MEF 1ST MAW</v>
      </c>
      <c r="B7673" t="str">
        <f>T("1ST MARINE AIRCRAFT WING")</f>
        <v>1ST MARINE AIRCRAFT WING</v>
      </c>
      <c r="C7673" t="str">
        <f>T("UNIT 37215")</f>
        <v>UNIT 37215</v>
      </c>
      <c r="D7673" t="str">
        <f t="shared" si="2868"/>
        <v>FPO</v>
      </c>
      <c r="E7673" t="str">
        <f t="shared" si="2869"/>
        <v>AP</v>
      </c>
      <c r="F7673" t="str">
        <f>T("963727215")</f>
        <v>963727215</v>
      </c>
      <c r="G7673" t="str">
        <f>T("UNIT 37215")</f>
        <v>UNIT 37215</v>
      </c>
      <c r="H7673" t="str">
        <f>T("")</f>
        <v/>
      </c>
      <c r="I7673" t="str">
        <f t="shared" si="2871"/>
        <v>FPO</v>
      </c>
      <c r="J7673" t="str">
        <f t="shared" si="2872"/>
        <v>AP</v>
      </c>
      <c r="K7673" t="str">
        <f>T("011816117362233")</f>
        <v>011816117362233</v>
      </c>
      <c r="L7673" t="str">
        <f>T("3156362233")</f>
        <v>3156362233</v>
      </c>
    </row>
    <row r="7674" spans="1:12" x14ac:dyDescent="0.35">
      <c r="A7674" t="str">
        <f t="shared" si="2876"/>
        <v>US MAR CORP III MEF 1ST MAW</v>
      </c>
      <c r="B7674" t="str">
        <f>T("1ST MARINE AIRCRAFT WING")</f>
        <v>1ST MARINE AIRCRAFT WING</v>
      </c>
      <c r="C7674" t="str">
        <f>T("UNIT 37215")</f>
        <v>UNIT 37215</v>
      </c>
      <c r="D7674" t="str">
        <f t="shared" si="2868"/>
        <v>FPO</v>
      </c>
      <c r="E7674" t="str">
        <f t="shared" si="2869"/>
        <v>AP</v>
      </c>
      <c r="F7674" t="str">
        <f>T("963727215")</f>
        <v>963727215</v>
      </c>
      <c r="G7674" t="str">
        <f>T("UNIT 37215")</f>
        <v>UNIT 37215</v>
      </c>
      <c r="H7674" t="str">
        <f>T("")</f>
        <v/>
      </c>
      <c r="I7674" t="str">
        <f t="shared" si="2871"/>
        <v>FPO</v>
      </c>
      <c r="J7674" t="str">
        <f t="shared" si="2872"/>
        <v>AP</v>
      </c>
      <c r="K7674" t="str">
        <f>T("81989705556362233")</f>
        <v>81989705556362233</v>
      </c>
      <c r="L7674" t="str">
        <f>T("3156362233")</f>
        <v>3156362233</v>
      </c>
    </row>
    <row r="7675" spans="1:12" x14ac:dyDescent="0.35">
      <c r="A7675" t="str">
        <f t="shared" si="2876"/>
        <v>US MAR CORP III MEF 1ST MAW</v>
      </c>
      <c r="B7675" t="str">
        <f>T("1ST MAW MWHS-1")</f>
        <v>1ST MAW MWHS-1</v>
      </c>
      <c r="C7675" t="str">
        <f>T("UNIT 37121")</f>
        <v>UNIT 37121</v>
      </c>
      <c r="D7675" t="str">
        <f t="shared" si="2868"/>
        <v>FPO</v>
      </c>
      <c r="E7675" t="str">
        <f t="shared" si="2869"/>
        <v>AP</v>
      </c>
      <c r="F7675" t="str">
        <f>T("966037121")</f>
        <v>966037121</v>
      </c>
      <c r="G7675" t="str">
        <f>T("1ST MAW MWHS-1")</f>
        <v>1ST MAW MWHS-1</v>
      </c>
      <c r="H7675" t="str">
        <f>T("UNIT 37121")</f>
        <v>UNIT 37121</v>
      </c>
      <c r="I7675" t="str">
        <f t="shared" si="2871"/>
        <v>FPO</v>
      </c>
      <c r="J7675" t="str">
        <f t="shared" si="2872"/>
        <v>AP</v>
      </c>
      <c r="K7675" t="str">
        <f>T("")</f>
        <v/>
      </c>
      <c r="L7675" t="str">
        <f t="shared" ref="L7675:L7680" si="2877">T("1111111111")</f>
        <v>1111111111</v>
      </c>
    </row>
    <row r="7676" spans="1:12" x14ac:dyDescent="0.35">
      <c r="A7676" t="str">
        <f t="shared" si="2876"/>
        <v>US MAR CORP III MEF 1ST MAW</v>
      </c>
      <c r="B7676" t="str">
        <f>T("1ST MAW MWHS-1")</f>
        <v>1ST MAW MWHS-1</v>
      </c>
      <c r="C7676" t="str">
        <f>T("UNIT 37121")</f>
        <v>UNIT 37121</v>
      </c>
      <c r="D7676" t="str">
        <f t="shared" si="2868"/>
        <v>FPO</v>
      </c>
      <c r="E7676" t="str">
        <f t="shared" si="2869"/>
        <v>AP</v>
      </c>
      <c r="F7676" t="str">
        <f>T("966037121")</f>
        <v>966037121</v>
      </c>
      <c r="G7676" t="str">
        <f>T("1ST MAW MWHS-1")</f>
        <v>1ST MAW MWHS-1</v>
      </c>
      <c r="H7676" t="str">
        <f>T("UNIT 37121")</f>
        <v>UNIT 37121</v>
      </c>
      <c r="I7676" t="str">
        <f t="shared" si="2871"/>
        <v>FPO</v>
      </c>
      <c r="J7676" t="str">
        <f t="shared" si="2872"/>
        <v>AP</v>
      </c>
      <c r="K7676" t="str">
        <f>T("81989706904")</f>
        <v>81989706904</v>
      </c>
      <c r="L7676" t="str">
        <f t="shared" si="2877"/>
        <v>1111111111</v>
      </c>
    </row>
    <row r="7677" spans="1:12" x14ac:dyDescent="0.35">
      <c r="A7677" t="str">
        <f t="shared" si="2876"/>
        <v>US MAR CORP III MEF 1ST MAW</v>
      </c>
      <c r="B7677" t="str">
        <f>T("1ST MAW MWHS-1")</f>
        <v>1ST MAW MWHS-1</v>
      </c>
      <c r="C7677" t="str">
        <f>T("UNIT 37121")</f>
        <v>UNIT 37121</v>
      </c>
      <c r="D7677" t="str">
        <f t="shared" si="2868"/>
        <v>FPO</v>
      </c>
      <c r="E7677" t="str">
        <f t="shared" si="2869"/>
        <v>AP</v>
      </c>
      <c r="F7677" t="str">
        <f>T("966037121")</f>
        <v>966037121</v>
      </c>
      <c r="G7677" t="str">
        <f>T("UNIT 37121")</f>
        <v>UNIT 37121</v>
      </c>
      <c r="H7677" t="str">
        <f>T("")</f>
        <v/>
      </c>
      <c r="I7677" t="str">
        <f t="shared" si="2871"/>
        <v>FPO</v>
      </c>
      <c r="J7677" t="str">
        <f t="shared" si="2872"/>
        <v>AP</v>
      </c>
      <c r="K7677" t="str">
        <f>T("81989706901")</f>
        <v>81989706901</v>
      </c>
      <c r="L7677" t="str">
        <f t="shared" si="2877"/>
        <v>1111111111</v>
      </c>
    </row>
    <row r="7678" spans="1:12" x14ac:dyDescent="0.35">
      <c r="A7678" t="str">
        <f t="shared" si="2876"/>
        <v>US MAR CORP III MEF 1ST MAW</v>
      </c>
      <c r="B7678" t="str">
        <f>T("1ST MAW MWHS-1")</f>
        <v>1ST MAW MWHS-1</v>
      </c>
      <c r="C7678" t="str">
        <f>T("UNIT 37121")</f>
        <v>UNIT 37121</v>
      </c>
      <c r="D7678" t="str">
        <f t="shared" si="2868"/>
        <v>FPO</v>
      </c>
      <c r="E7678" t="str">
        <f t="shared" si="2869"/>
        <v>AP</v>
      </c>
      <c r="F7678" t="str">
        <f>T("966037121")</f>
        <v>966037121</v>
      </c>
      <c r="G7678" t="str">
        <f>T("UNIT 37121")</f>
        <v>UNIT 37121</v>
      </c>
      <c r="H7678" t="str">
        <f>T("")</f>
        <v/>
      </c>
      <c r="I7678" t="str">
        <f t="shared" si="2871"/>
        <v>FPO</v>
      </c>
      <c r="J7678" t="str">
        <f t="shared" si="2872"/>
        <v>AP</v>
      </c>
      <c r="K7678" t="str">
        <f>T("81989706904")</f>
        <v>81989706904</v>
      </c>
      <c r="L7678" t="str">
        <f t="shared" si="2877"/>
        <v>1111111111</v>
      </c>
    </row>
    <row r="7679" spans="1:12" x14ac:dyDescent="0.35">
      <c r="A7679" t="str">
        <f t="shared" si="2876"/>
        <v>US MAR CORP III MEF 1ST MAW</v>
      </c>
      <c r="B7679" t="str">
        <f>T("1ST MAW MWHS-1")</f>
        <v>1ST MAW MWHS-1</v>
      </c>
      <c r="C7679" t="str">
        <f>T("UNIT 37121")</f>
        <v>UNIT 37121</v>
      </c>
      <c r="D7679" t="str">
        <f t="shared" si="2868"/>
        <v>FPO</v>
      </c>
      <c r="E7679" t="str">
        <f t="shared" si="2869"/>
        <v>AP</v>
      </c>
      <c r="F7679" t="str">
        <f>T("966037121")</f>
        <v>966037121</v>
      </c>
      <c r="G7679" t="str">
        <f>T("UNIT 37121")</f>
        <v>UNIT 37121</v>
      </c>
      <c r="H7679" t="str">
        <f>T("")</f>
        <v/>
      </c>
      <c r="I7679" t="str">
        <f t="shared" si="2871"/>
        <v>FPO</v>
      </c>
      <c r="J7679" t="str">
        <f t="shared" si="2872"/>
        <v>AP</v>
      </c>
      <c r="K7679" t="str">
        <f>T("81989706905")</f>
        <v>81989706905</v>
      </c>
      <c r="L7679" t="str">
        <f t="shared" si="2877"/>
        <v>1111111111</v>
      </c>
    </row>
    <row r="7680" spans="1:12" x14ac:dyDescent="0.35">
      <c r="A7680" t="str">
        <f t="shared" si="2876"/>
        <v>US MAR CORP III MEF 1ST MAW</v>
      </c>
      <c r="B7680" t="str">
        <f>T("1ST MAW MWSS 172")</f>
        <v>1ST MAW MWSS 172</v>
      </c>
      <c r="C7680" t="str">
        <f>T("UNIT 37206")</f>
        <v>UNIT 37206</v>
      </c>
      <c r="D7680" t="str">
        <f t="shared" si="2868"/>
        <v>FPO</v>
      </c>
      <c r="E7680" t="str">
        <f t="shared" si="2869"/>
        <v>AP</v>
      </c>
      <c r="F7680" t="str">
        <f>T("966037206")</f>
        <v>966037206</v>
      </c>
      <c r="G7680" t="str">
        <f>T("1ST MAW MWSS 172")</f>
        <v>1ST MAW MWSS 172</v>
      </c>
      <c r="H7680" t="str">
        <f>T("UNIT 37206")</f>
        <v>UNIT 37206</v>
      </c>
      <c r="I7680" t="str">
        <f t="shared" si="2871"/>
        <v>FPO</v>
      </c>
      <c r="J7680" t="str">
        <f t="shared" si="2872"/>
        <v>AP</v>
      </c>
      <c r="K7680" t="str">
        <f>T("")</f>
        <v/>
      </c>
      <c r="L7680" t="str">
        <f t="shared" si="2877"/>
        <v>1111111111</v>
      </c>
    </row>
    <row r="7681" spans="1:12" x14ac:dyDescent="0.35">
      <c r="A7681" t="str">
        <f t="shared" si="2876"/>
        <v>US MAR CORP III MEF 1ST MAW</v>
      </c>
      <c r="B7681" t="str">
        <f>T("1ST MAW MWSS 172")</f>
        <v>1ST MAW MWSS 172</v>
      </c>
      <c r="C7681" t="str">
        <f>T("UNIT 37206")</f>
        <v>UNIT 37206</v>
      </c>
      <c r="D7681" t="str">
        <f t="shared" si="2868"/>
        <v>FPO</v>
      </c>
      <c r="E7681" t="str">
        <f t="shared" si="2869"/>
        <v>AP</v>
      </c>
      <c r="F7681" t="str">
        <f>T("966037206")</f>
        <v>966037206</v>
      </c>
      <c r="G7681" t="str">
        <f>T("UNIT 37206")</f>
        <v>UNIT 37206</v>
      </c>
      <c r="H7681" t="str">
        <f t="shared" ref="H7681:H7686" si="2878">T("")</f>
        <v/>
      </c>
      <c r="I7681" t="str">
        <f t="shared" si="2871"/>
        <v>FPO</v>
      </c>
      <c r="J7681" t="str">
        <f t="shared" si="2872"/>
        <v>AP</v>
      </c>
      <c r="K7681" t="str">
        <f>T("000000000000000000")</f>
        <v>000000000000000000</v>
      </c>
      <c r="L7681" t="str">
        <f>T("3156452085")</f>
        <v>3156452085</v>
      </c>
    </row>
    <row r="7682" spans="1:12" x14ac:dyDescent="0.35">
      <c r="A7682" t="str">
        <f t="shared" si="2876"/>
        <v>US MAR CORP III MEF 1ST MAW</v>
      </c>
      <c r="B7682" t="str">
        <f>T("1ST MAW MWSS 172")</f>
        <v>1ST MAW MWSS 172</v>
      </c>
      <c r="C7682" t="str">
        <f>T("UNIT 37206")</f>
        <v>UNIT 37206</v>
      </c>
      <c r="D7682" t="str">
        <f t="shared" si="2868"/>
        <v>FPO</v>
      </c>
      <c r="E7682" t="str">
        <f t="shared" si="2869"/>
        <v>AP</v>
      </c>
      <c r="F7682" t="str">
        <f>T("966037206")</f>
        <v>966037206</v>
      </c>
      <c r="G7682" t="str">
        <f>T("UNIT 37206")</f>
        <v>UNIT 37206</v>
      </c>
      <c r="H7682" t="str">
        <f t="shared" si="2878"/>
        <v/>
      </c>
      <c r="I7682" t="str">
        <f t="shared" si="2871"/>
        <v>FPO</v>
      </c>
      <c r="J7682" t="str">
        <f t="shared" si="2872"/>
        <v>AP</v>
      </c>
      <c r="K7682" t="str">
        <f>T("000000000000000000")</f>
        <v>000000000000000000</v>
      </c>
      <c r="L7682" t="str">
        <f>T("3156453687")</f>
        <v>3156453687</v>
      </c>
    </row>
    <row r="7683" spans="1:12" x14ac:dyDescent="0.35">
      <c r="A7683" t="str">
        <f t="shared" si="2876"/>
        <v>US MAR CORP III MEF 1ST MAW</v>
      </c>
      <c r="B7683" t="str">
        <f>T("1ST MAW MWSS 172")</f>
        <v>1ST MAW MWSS 172</v>
      </c>
      <c r="C7683" t="str">
        <f>T("UNIT 37206")</f>
        <v>UNIT 37206</v>
      </c>
      <c r="D7683" t="str">
        <f t="shared" si="2868"/>
        <v>FPO</v>
      </c>
      <c r="E7683" t="str">
        <f t="shared" si="2869"/>
        <v>AP</v>
      </c>
      <c r="F7683" t="str">
        <f>T("966037206")</f>
        <v>966037206</v>
      </c>
      <c r="G7683" t="str">
        <f>T("UNIT 37206")</f>
        <v>UNIT 37206</v>
      </c>
      <c r="H7683" t="str">
        <f t="shared" si="2878"/>
        <v/>
      </c>
      <c r="I7683" t="str">
        <f t="shared" si="2871"/>
        <v>FPO</v>
      </c>
      <c r="J7683" t="str">
        <f t="shared" si="2872"/>
        <v>AP</v>
      </c>
      <c r="K7683" t="str">
        <f>T("01181989703687")</f>
        <v>01181989703687</v>
      </c>
      <c r="L7683" t="str">
        <f>T("3156453687")</f>
        <v>3156453687</v>
      </c>
    </row>
    <row r="7684" spans="1:12" x14ac:dyDescent="0.35">
      <c r="A7684" t="str">
        <f t="shared" si="2876"/>
        <v>US MAR CORP III MEF 1ST MAW</v>
      </c>
      <c r="B7684" t="str">
        <f>T("BOX 63048")</f>
        <v>BOX 63048</v>
      </c>
      <c r="C7684" t="str">
        <f>T("")</f>
        <v/>
      </c>
      <c r="D7684" t="str">
        <f t="shared" ref="D7684:D7689" si="2879">T("MCBH K BAY")</f>
        <v>MCBH K BAY</v>
      </c>
      <c r="E7684" t="str">
        <f t="shared" ref="E7684:E7689" si="2880">T("HI")</f>
        <v>HI</v>
      </c>
      <c r="F7684" t="str">
        <f>T("968633048")</f>
        <v>968633048</v>
      </c>
      <c r="G7684" t="str">
        <f>T("BOX 63048")</f>
        <v>BOX 63048</v>
      </c>
      <c r="H7684" t="str">
        <f t="shared" si="2878"/>
        <v/>
      </c>
      <c r="I7684" t="str">
        <f>T("KANEOHE BAY")</f>
        <v>KANEOHE BAY</v>
      </c>
      <c r="J7684" t="str">
        <f t="shared" ref="J7684:J7689" si="2881">T("HI")</f>
        <v>HI</v>
      </c>
      <c r="K7684" t="str">
        <f>T("000000000000000000")</f>
        <v>000000000000000000</v>
      </c>
      <c r="L7684" t="str">
        <f>T("8082570782")</f>
        <v>8082570782</v>
      </c>
    </row>
    <row r="7685" spans="1:12" x14ac:dyDescent="0.35">
      <c r="A7685" t="str">
        <f t="shared" si="2876"/>
        <v>US MAR CORP III MEF 1ST MAW</v>
      </c>
      <c r="B7685" t="str">
        <f>T("BOX 63048")</f>
        <v>BOX 63048</v>
      </c>
      <c r="C7685" t="str">
        <f>T("")</f>
        <v/>
      </c>
      <c r="D7685" t="str">
        <f t="shared" si="2879"/>
        <v>MCBH K BAY</v>
      </c>
      <c r="E7685" t="str">
        <f t="shared" si="2880"/>
        <v>HI</v>
      </c>
      <c r="F7685" t="str">
        <f>T("968633048")</f>
        <v>968633048</v>
      </c>
      <c r="G7685" t="str">
        <f>T("BOX 63048")</f>
        <v>BOX 63048</v>
      </c>
      <c r="H7685" t="str">
        <f t="shared" si="2878"/>
        <v/>
      </c>
      <c r="I7685" t="str">
        <f>T("MCBH K BAY")</f>
        <v>MCBH K BAY</v>
      </c>
      <c r="J7685" t="str">
        <f t="shared" si="2881"/>
        <v>HI</v>
      </c>
      <c r="K7685" t="str">
        <f>T("000000000000000000")</f>
        <v>000000000000000000</v>
      </c>
      <c r="L7685" t="str">
        <f>T("8082570806")</f>
        <v>8082570806</v>
      </c>
    </row>
    <row r="7686" spans="1:12" x14ac:dyDescent="0.35">
      <c r="A7686" t="str">
        <f t="shared" si="2876"/>
        <v>US MAR CORP III MEF 1ST MAW</v>
      </c>
      <c r="B7686" t="str">
        <f>T("BOX 63048")</f>
        <v>BOX 63048</v>
      </c>
      <c r="C7686" t="str">
        <f>T("")</f>
        <v/>
      </c>
      <c r="D7686" t="str">
        <f t="shared" si="2879"/>
        <v>MCBH K BAY</v>
      </c>
      <c r="E7686" t="str">
        <f t="shared" si="2880"/>
        <v>HI</v>
      </c>
      <c r="F7686" t="str">
        <f>T("968633048")</f>
        <v>968633048</v>
      </c>
      <c r="G7686" t="str">
        <f>T("BOX 63048")</f>
        <v>BOX 63048</v>
      </c>
      <c r="H7686" t="str">
        <f t="shared" si="2878"/>
        <v/>
      </c>
      <c r="I7686" t="str">
        <f>T("MCBH KANEOHE BAY")</f>
        <v>MCBH KANEOHE BAY</v>
      </c>
      <c r="J7686" t="str">
        <f t="shared" si="2881"/>
        <v>HI</v>
      </c>
      <c r="K7686" t="str">
        <f>T("8082570810")</f>
        <v>8082570810</v>
      </c>
      <c r="L7686" t="str">
        <f>T("8082570782")</f>
        <v>8082570782</v>
      </c>
    </row>
    <row r="7687" spans="1:12" x14ac:dyDescent="0.35">
      <c r="A7687" t="str">
        <f t="shared" si="2876"/>
        <v>US MAR CORP III MEF 1ST MAW</v>
      </c>
      <c r="B7687" t="str">
        <f>T("MAG-24 1ST MAW")</f>
        <v>MAG-24 1ST MAW</v>
      </c>
      <c r="C7687" t="str">
        <f>T("BOX 63042")</f>
        <v>BOX 63042</v>
      </c>
      <c r="D7687" t="str">
        <f t="shared" si="2879"/>
        <v>MCBH K BAY</v>
      </c>
      <c r="E7687" t="str">
        <f t="shared" si="2880"/>
        <v>HI</v>
      </c>
      <c r="F7687" t="str">
        <f>T("968633042")</f>
        <v>968633042</v>
      </c>
      <c r="G7687" t="str">
        <f>T("BOX 63042")</f>
        <v>BOX 63042</v>
      </c>
      <c r="H7687" t="str">
        <f>T("MAG-24 1ST MAW")</f>
        <v>MAG-24 1ST MAW</v>
      </c>
      <c r="I7687" t="str">
        <f>T("MCBH K BAY")</f>
        <v>MCBH K BAY</v>
      </c>
      <c r="J7687" t="str">
        <f t="shared" si="2881"/>
        <v>HI</v>
      </c>
      <c r="K7687" t="str">
        <f>T("000000000000000000")</f>
        <v>000000000000000000</v>
      </c>
      <c r="L7687" t="str">
        <f>T("8082570066")</f>
        <v>8082570066</v>
      </c>
    </row>
    <row r="7688" spans="1:12" x14ac:dyDescent="0.35">
      <c r="A7688" t="str">
        <f t="shared" si="2876"/>
        <v>US MAR CORP III MEF 1ST MAW</v>
      </c>
      <c r="B7688" t="str">
        <f>T("MAG-24 1ST MAW")</f>
        <v>MAG-24 1ST MAW</v>
      </c>
      <c r="C7688" t="str">
        <f>T("BOX 63042")</f>
        <v>BOX 63042</v>
      </c>
      <c r="D7688" t="str">
        <f t="shared" si="2879"/>
        <v>MCBH K BAY</v>
      </c>
      <c r="E7688" t="str">
        <f t="shared" si="2880"/>
        <v>HI</v>
      </c>
      <c r="F7688" t="str">
        <f>T("968633042")</f>
        <v>968633042</v>
      </c>
      <c r="G7688" t="str">
        <f>T("BOX 63047")</f>
        <v>BOX 63047</v>
      </c>
      <c r="H7688" t="str">
        <f>T("")</f>
        <v/>
      </c>
      <c r="I7688" t="str">
        <f>T("MCBH KANEOHE BAY")</f>
        <v>MCBH KANEOHE BAY</v>
      </c>
      <c r="J7688" t="str">
        <f t="shared" si="2881"/>
        <v>HI</v>
      </c>
      <c r="K7688" t="str">
        <f>T("000000000000000000")</f>
        <v>000000000000000000</v>
      </c>
      <c r="L7688" t="str">
        <f>T("8082570066")</f>
        <v>8082570066</v>
      </c>
    </row>
    <row r="7689" spans="1:12" x14ac:dyDescent="0.35">
      <c r="A7689" t="str">
        <f t="shared" si="2876"/>
        <v>US MAR CORP III MEF 1ST MAW</v>
      </c>
      <c r="B7689" t="str">
        <f>T("MAG-24 1ST MAW")</f>
        <v>MAG-24 1ST MAW</v>
      </c>
      <c r="C7689" t="str">
        <f>T("BOX 63042")</f>
        <v>BOX 63042</v>
      </c>
      <c r="D7689" t="str">
        <f t="shared" si="2879"/>
        <v>MCBH K BAY</v>
      </c>
      <c r="E7689" t="str">
        <f t="shared" si="2880"/>
        <v>HI</v>
      </c>
      <c r="F7689" t="str">
        <f>T("968633042")</f>
        <v>968633042</v>
      </c>
      <c r="G7689" t="str">
        <f>T("MAG-24 1ST MAW")</f>
        <v>MAG-24 1ST MAW</v>
      </c>
      <c r="H7689" t="str">
        <f>T("BOX 63042")</f>
        <v>BOX 63042</v>
      </c>
      <c r="I7689" t="str">
        <f>T("MCBH K BAY")</f>
        <v>MCBH K BAY</v>
      </c>
      <c r="J7689" t="str">
        <f t="shared" si="2881"/>
        <v>HI</v>
      </c>
      <c r="K7689" t="str">
        <f>T("000000000000000000")</f>
        <v>000000000000000000</v>
      </c>
      <c r="L7689" t="str">
        <f>T("8082570066")</f>
        <v>8082570066</v>
      </c>
    </row>
    <row r="7690" spans="1:12" x14ac:dyDescent="0.35">
      <c r="A7690" t="str">
        <f t="shared" si="2876"/>
        <v>US MAR CORP III MEF 1ST MAW</v>
      </c>
      <c r="B7690" t="str">
        <f>T("MASS 2 1ST MAW")</f>
        <v>MASS 2 1ST MAW</v>
      </c>
      <c r="C7690" t="str">
        <f>T("UNIT 37211")</f>
        <v>UNIT 37211</v>
      </c>
      <c r="D7690" t="str">
        <f t="shared" ref="D7690:D7723" si="2882">T("FPO")</f>
        <v>FPO</v>
      </c>
      <c r="E7690" t="str">
        <f t="shared" ref="E7690:E7723" si="2883">T("AP")</f>
        <v>AP</v>
      </c>
      <c r="F7690" t="str">
        <f>T("966037211")</f>
        <v>966037211</v>
      </c>
      <c r="G7690" t="str">
        <f>T("MASS 2 1ST MAW")</f>
        <v>MASS 2 1ST MAW</v>
      </c>
      <c r="H7690" t="str">
        <f>T("UNIT 37211")</f>
        <v>UNIT 37211</v>
      </c>
      <c r="I7690" t="str">
        <f t="shared" ref="I7690:I7723" si="2884">T("FPO")</f>
        <v>FPO</v>
      </c>
      <c r="J7690" t="str">
        <f t="shared" ref="J7690:J7723" si="2885">T("AP")</f>
        <v>AP</v>
      </c>
      <c r="K7690" t="str">
        <f>T("")</f>
        <v/>
      </c>
      <c r="L7690" t="str">
        <f>T("1111111111")</f>
        <v>1111111111</v>
      </c>
    </row>
    <row r="7691" spans="1:12" x14ac:dyDescent="0.35">
      <c r="A7691" t="str">
        <f t="shared" si="2876"/>
        <v>US MAR CORP III MEF 1ST MAW</v>
      </c>
      <c r="B7691" t="str">
        <f>T("MASS 2 1ST MAW")</f>
        <v>MASS 2 1ST MAW</v>
      </c>
      <c r="C7691" t="str">
        <f>T("UNIT 37211")</f>
        <v>UNIT 37211</v>
      </c>
      <c r="D7691" t="str">
        <f t="shared" si="2882"/>
        <v>FPO</v>
      </c>
      <c r="E7691" t="str">
        <f t="shared" si="2883"/>
        <v>AP</v>
      </c>
      <c r="F7691" t="str">
        <f>T("966037211")</f>
        <v>966037211</v>
      </c>
      <c r="G7691" t="str">
        <f>T("UNIT 37211")</f>
        <v>UNIT 37211</v>
      </c>
      <c r="H7691" t="str">
        <f t="shared" ref="H7691:H7707" si="2886">T("")</f>
        <v/>
      </c>
      <c r="I7691" t="str">
        <f t="shared" si="2884"/>
        <v>FPO</v>
      </c>
      <c r="J7691" t="str">
        <f t="shared" si="2885"/>
        <v>AP</v>
      </c>
      <c r="K7691" t="str">
        <f>T("000000000000000000")</f>
        <v>000000000000000000</v>
      </c>
      <c r="L7691" t="str">
        <f>T("3156362794")</f>
        <v>3156362794</v>
      </c>
    </row>
    <row r="7692" spans="1:12" x14ac:dyDescent="0.35">
      <c r="A7692" t="str">
        <f t="shared" si="2876"/>
        <v>US MAR CORP III MEF 1ST MAW</v>
      </c>
      <c r="B7692" t="str">
        <f>T("UNIT 37131")</f>
        <v>UNIT 37131</v>
      </c>
      <c r="C7692" t="str">
        <f t="shared" ref="C7692:C7706" si="2887">T("")</f>
        <v/>
      </c>
      <c r="D7692" t="str">
        <f t="shared" si="2882"/>
        <v>FPO</v>
      </c>
      <c r="E7692" t="str">
        <f t="shared" si="2883"/>
        <v>AP</v>
      </c>
      <c r="F7692" t="str">
        <f>T("963727131")</f>
        <v>963727131</v>
      </c>
      <c r="G7692" t="str">
        <f>T("UNIT 37131")</f>
        <v>UNIT 37131</v>
      </c>
      <c r="H7692" t="str">
        <f t="shared" si="2886"/>
        <v/>
      </c>
      <c r="I7692" t="str">
        <f t="shared" si="2884"/>
        <v>FPO</v>
      </c>
      <c r="J7692" t="str">
        <f t="shared" si="2885"/>
        <v>AP</v>
      </c>
      <c r="K7692" t="str">
        <f>T("")</f>
        <v/>
      </c>
      <c r="L7692" t="str">
        <f>T("1111111111")</f>
        <v>1111111111</v>
      </c>
    </row>
    <row r="7693" spans="1:12" x14ac:dyDescent="0.35">
      <c r="A7693" t="str">
        <f t="shared" si="2876"/>
        <v>US MAR CORP III MEF 1ST MAW</v>
      </c>
      <c r="B7693" t="str">
        <f>T("UNIT 37131")</f>
        <v>UNIT 37131</v>
      </c>
      <c r="C7693" t="str">
        <f t="shared" si="2887"/>
        <v/>
      </c>
      <c r="D7693" t="str">
        <f t="shared" si="2882"/>
        <v>FPO</v>
      </c>
      <c r="E7693" t="str">
        <f t="shared" si="2883"/>
        <v>AP</v>
      </c>
      <c r="F7693" t="str">
        <f>T("963727131")</f>
        <v>963727131</v>
      </c>
      <c r="G7693" t="str">
        <f>T("UNIT 37131")</f>
        <v>UNIT 37131</v>
      </c>
      <c r="H7693" t="str">
        <f t="shared" si="2886"/>
        <v/>
      </c>
      <c r="I7693" t="str">
        <f t="shared" si="2884"/>
        <v>FPO</v>
      </c>
      <c r="J7693" t="str">
        <f t="shared" si="2885"/>
        <v>AP</v>
      </c>
      <c r="K7693" t="str">
        <f>T("000000000000000000")</f>
        <v>000000000000000000</v>
      </c>
      <c r="L7693" t="str">
        <f>T("3156363092")</f>
        <v>3156363092</v>
      </c>
    </row>
    <row r="7694" spans="1:12" x14ac:dyDescent="0.35">
      <c r="A7694" t="str">
        <f t="shared" si="2876"/>
        <v>US MAR CORP III MEF 1ST MAW</v>
      </c>
      <c r="B7694" t="str">
        <f>T("UNIT 37131")</f>
        <v>UNIT 37131</v>
      </c>
      <c r="C7694" t="str">
        <f t="shared" si="2887"/>
        <v/>
      </c>
      <c r="D7694" t="str">
        <f t="shared" si="2882"/>
        <v>FPO</v>
      </c>
      <c r="E7694" t="str">
        <f t="shared" si="2883"/>
        <v>AP</v>
      </c>
      <c r="F7694" t="str">
        <f>T("963727131")</f>
        <v>963727131</v>
      </c>
      <c r="G7694" t="str">
        <f>T("UNIT 37131")</f>
        <v>UNIT 37131</v>
      </c>
      <c r="H7694" t="str">
        <f t="shared" si="2886"/>
        <v/>
      </c>
      <c r="I7694" t="str">
        <f t="shared" si="2884"/>
        <v>FPO</v>
      </c>
      <c r="J7694" t="str">
        <f t="shared" si="2885"/>
        <v>AP</v>
      </c>
      <c r="K7694" t="str">
        <f>T("000000000000000000")</f>
        <v>000000000000000000</v>
      </c>
      <c r="L7694" t="str">
        <f>T("3156363105")</f>
        <v>3156363105</v>
      </c>
    </row>
    <row r="7695" spans="1:12" x14ac:dyDescent="0.35">
      <c r="A7695" t="str">
        <f t="shared" si="2876"/>
        <v>US MAR CORP III MEF 1ST MAW</v>
      </c>
      <c r="B7695" t="str">
        <f>T("UNIT 37131")</f>
        <v>UNIT 37131</v>
      </c>
      <c r="C7695" t="str">
        <f t="shared" si="2887"/>
        <v/>
      </c>
      <c r="D7695" t="str">
        <f t="shared" si="2882"/>
        <v>FPO</v>
      </c>
      <c r="E7695" t="str">
        <f t="shared" si="2883"/>
        <v>AP</v>
      </c>
      <c r="F7695" t="str">
        <f>T("963727131")</f>
        <v>963727131</v>
      </c>
      <c r="G7695" t="str">
        <f>T("UNIT 37131")</f>
        <v>UNIT 37131</v>
      </c>
      <c r="H7695" t="str">
        <f t="shared" si="2886"/>
        <v/>
      </c>
      <c r="I7695" t="str">
        <f t="shared" si="2884"/>
        <v>FPO</v>
      </c>
      <c r="J7695" t="str">
        <f t="shared" si="2885"/>
        <v>AP</v>
      </c>
      <c r="K7695" t="str">
        <f>T("819897055556363092")</f>
        <v>819897055556363092</v>
      </c>
      <c r="L7695" t="str">
        <f>T("1111111111")</f>
        <v>1111111111</v>
      </c>
    </row>
    <row r="7696" spans="1:12" x14ac:dyDescent="0.35">
      <c r="A7696" t="str">
        <f t="shared" si="2876"/>
        <v>US MAR CORP III MEF 1ST MAW</v>
      </c>
      <c r="B7696" t="str">
        <f>T("UNIT 37141")</f>
        <v>UNIT 37141</v>
      </c>
      <c r="C7696" t="str">
        <f t="shared" si="2887"/>
        <v/>
      </c>
      <c r="D7696" t="str">
        <f t="shared" si="2882"/>
        <v>FPO</v>
      </c>
      <c r="E7696" t="str">
        <f t="shared" si="2883"/>
        <v>AP</v>
      </c>
      <c r="F7696" t="str">
        <f>T("963727141")</f>
        <v>963727141</v>
      </c>
      <c r="G7696" t="str">
        <f>T("UNIT 37141")</f>
        <v>UNIT 37141</v>
      </c>
      <c r="H7696" t="str">
        <f t="shared" si="2886"/>
        <v/>
      </c>
      <c r="I7696" t="str">
        <f t="shared" si="2884"/>
        <v>FPO</v>
      </c>
      <c r="J7696" t="str">
        <f t="shared" si="2885"/>
        <v>AP</v>
      </c>
      <c r="K7696" t="str">
        <f>T("")</f>
        <v/>
      </c>
      <c r="L7696" t="str">
        <f>T("1111111111")</f>
        <v>1111111111</v>
      </c>
    </row>
    <row r="7697" spans="1:12" x14ac:dyDescent="0.35">
      <c r="A7697" t="str">
        <f t="shared" si="2876"/>
        <v>US MAR CORP III MEF 1ST MAW</v>
      </c>
      <c r="B7697" t="str">
        <f>T("UNIT 37141")</f>
        <v>UNIT 37141</v>
      </c>
      <c r="C7697" t="str">
        <f t="shared" si="2887"/>
        <v/>
      </c>
      <c r="D7697" t="str">
        <f t="shared" si="2882"/>
        <v>FPO</v>
      </c>
      <c r="E7697" t="str">
        <f t="shared" si="2883"/>
        <v>AP</v>
      </c>
      <c r="F7697" t="str">
        <f>T("963727141")</f>
        <v>963727141</v>
      </c>
      <c r="G7697" t="str">
        <f>T("UNIT 37141")</f>
        <v>UNIT 37141</v>
      </c>
      <c r="H7697" t="str">
        <f t="shared" si="2886"/>
        <v/>
      </c>
      <c r="I7697" t="str">
        <f t="shared" si="2884"/>
        <v>FPO</v>
      </c>
      <c r="J7697" t="str">
        <f t="shared" si="2885"/>
        <v>AP</v>
      </c>
      <c r="K7697" t="str">
        <f>T("000000000000000000")</f>
        <v>000000000000000000</v>
      </c>
      <c r="L7697" t="str">
        <f>T("3156363504")</f>
        <v>3156363504</v>
      </c>
    </row>
    <row r="7698" spans="1:12" x14ac:dyDescent="0.35">
      <c r="A7698" t="str">
        <f t="shared" si="2876"/>
        <v>US MAR CORP III MEF 1ST MAW</v>
      </c>
      <c r="B7698" t="str">
        <f>T("UNIT 37141")</f>
        <v>UNIT 37141</v>
      </c>
      <c r="C7698" t="str">
        <f t="shared" si="2887"/>
        <v/>
      </c>
      <c r="D7698" t="str">
        <f t="shared" si="2882"/>
        <v>FPO</v>
      </c>
      <c r="E7698" t="str">
        <f t="shared" si="2883"/>
        <v>AP</v>
      </c>
      <c r="F7698" t="str">
        <f>T("963727141")</f>
        <v>963727141</v>
      </c>
      <c r="G7698" t="str">
        <f>T("UNIT 37141")</f>
        <v>UNIT 37141</v>
      </c>
      <c r="H7698" t="str">
        <f t="shared" si="2886"/>
        <v/>
      </c>
      <c r="I7698" t="str">
        <f t="shared" si="2884"/>
        <v>FPO</v>
      </c>
      <c r="J7698" t="str">
        <f t="shared" si="2885"/>
        <v>AP</v>
      </c>
      <c r="K7698" t="str">
        <f>T("000000000000000000")</f>
        <v>000000000000000000</v>
      </c>
      <c r="L7698" t="str">
        <f>T("3156363622")</f>
        <v>3156363622</v>
      </c>
    </row>
    <row r="7699" spans="1:12" x14ac:dyDescent="0.35">
      <c r="A7699" t="str">
        <f t="shared" si="2876"/>
        <v>US MAR CORP III MEF 1ST MAW</v>
      </c>
      <c r="B7699" t="str">
        <f>T("UNIT 37141")</f>
        <v>UNIT 37141</v>
      </c>
      <c r="C7699" t="str">
        <f t="shared" si="2887"/>
        <v/>
      </c>
      <c r="D7699" t="str">
        <f t="shared" si="2882"/>
        <v>FPO</v>
      </c>
      <c r="E7699" t="str">
        <f t="shared" si="2883"/>
        <v>AP</v>
      </c>
      <c r="F7699" t="str">
        <f>T("963727141")</f>
        <v>963727141</v>
      </c>
      <c r="G7699" t="str">
        <f>T("UNIT 37141")</f>
        <v>UNIT 37141</v>
      </c>
      <c r="H7699" t="str">
        <f t="shared" si="2886"/>
        <v/>
      </c>
      <c r="I7699" t="str">
        <f t="shared" si="2884"/>
        <v>FPO</v>
      </c>
      <c r="J7699" t="str">
        <f t="shared" si="2885"/>
        <v>AP</v>
      </c>
      <c r="K7699" t="str">
        <f>T("81989705556363504")</f>
        <v>81989705556363504</v>
      </c>
      <c r="L7699" t="str">
        <f>T("1111111111")</f>
        <v>1111111111</v>
      </c>
    </row>
    <row r="7700" spans="1:12" x14ac:dyDescent="0.35">
      <c r="A7700" t="str">
        <f t="shared" si="2876"/>
        <v>US MAR CORP III MEF 1ST MAW</v>
      </c>
      <c r="B7700" t="str">
        <f>T("UNIT 37150")</f>
        <v>UNIT 37150</v>
      </c>
      <c r="C7700" t="str">
        <f t="shared" si="2887"/>
        <v/>
      </c>
      <c r="D7700" t="str">
        <f t="shared" si="2882"/>
        <v>FPO</v>
      </c>
      <c r="E7700" t="str">
        <f t="shared" si="2883"/>
        <v>AP</v>
      </c>
      <c r="F7700" t="str">
        <f>T("966037150")</f>
        <v>966037150</v>
      </c>
      <c r="G7700" t="str">
        <f>T("UNIT 37150")</f>
        <v>UNIT 37150</v>
      </c>
      <c r="H7700" t="str">
        <f t="shared" si="2886"/>
        <v/>
      </c>
      <c r="I7700" t="str">
        <f t="shared" si="2884"/>
        <v>FPO</v>
      </c>
      <c r="J7700" t="str">
        <f t="shared" si="2885"/>
        <v>AP</v>
      </c>
      <c r="K7700" t="str">
        <f>T("")</f>
        <v/>
      </c>
      <c r="L7700" t="str">
        <f>T("1111111111")</f>
        <v>1111111111</v>
      </c>
    </row>
    <row r="7701" spans="1:12" x14ac:dyDescent="0.35">
      <c r="A7701" t="str">
        <f t="shared" si="2876"/>
        <v>US MAR CORP III MEF 1ST MAW</v>
      </c>
      <c r="B7701" t="str">
        <f>T("UNIT 37150")</f>
        <v>UNIT 37150</v>
      </c>
      <c r="C7701" t="str">
        <f t="shared" si="2887"/>
        <v/>
      </c>
      <c r="D7701" t="str">
        <f t="shared" si="2882"/>
        <v>FPO</v>
      </c>
      <c r="E7701" t="str">
        <f t="shared" si="2883"/>
        <v>AP</v>
      </c>
      <c r="F7701" t="str">
        <f>T("966037150")</f>
        <v>966037150</v>
      </c>
      <c r="G7701" t="str">
        <f>T("UNIT 37150")</f>
        <v>UNIT 37150</v>
      </c>
      <c r="H7701" t="str">
        <f t="shared" si="2886"/>
        <v/>
      </c>
      <c r="I7701" t="str">
        <f t="shared" si="2884"/>
        <v>FPO</v>
      </c>
      <c r="J7701" t="str">
        <f t="shared" si="2885"/>
        <v>AP</v>
      </c>
      <c r="K7701" t="str">
        <f>T("000000000000000000")</f>
        <v>000000000000000000</v>
      </c>
      <c r="L7701" t="str">
        <f>T("3152533068")</f>
        <v>3152533068</v>
      </c>
    </row>
    <row r="7702" spans="1:12" x14ac:dyDescent="0.35">
      <c r="A7702" t="str">
        <f t="shared" si="2876"/>
        <v>US MAR CORP III MEF 1ST MAW</v>
      </c>
      <c r="B7702" t="str">
        <f>T("UNIT 37150")</f>
        <v>UNIT 37150</v>
      </c>
      <c r="C7702" t="str">
        <f t="shared" si="2887"/>
        <v/>
      </c>
      <c r="D7702" t="str">
        <f t="shared" si="2882"/>
        <v>FPO</v>
      </c>
      <c r="E7702" t="str">
        <f t="shared" si="2883"/>
        <v>AP</v>
      </c>
      <c r="F7702" t="str">
        <f>T("966037150")</f>
        <v>966037150</v>
      </c>
      <c r="G7702" t="str">
        <f>T("UNIT 37150")</f>
        <v>UNIT 37150</v>
      </c>
      <c r="H7702" t="str">
        <f t="shared" si="2886"/>
        <v/>
      </c>
      <c r="I7702" t="str">
        <f t="shared" si="2884"/>
        <v>FPO</v>
      </c>
      <c r="J7702" t="str">
        <f t="shared" si="2885"/>
        <v>AP</v>
      </c>
      <c r="K7702" t="str">
        <f>T("000000000000000000")</f>
        <v>000000000000000000</v>
      </c>
      <c r="L7702" t="str">
        <f>T("3152553909")</f>
        <v>3152553909</v>
      </c>
    </row>
    <row r="7703" spans="1:12" x14ac:dyDescent="0.35">
      <c r="A7703" t="str">
        <f t="shared" ref="A7703:A7719" si="2888">T("US MAR CORP III MEF 1ST MAW")</f>
        <v>US MAR CORP III MEF 1ST MAW</v>
      </c>
      <c r="B7703" t="str">
        <f>T("UNIT 37161")</f>
        <v>UNIT 37161</v>
      </c>
      <c r="C7703" t="str">
        <f t="shared" si="2887"/>
        <v/>
      </c>
      <c r="D7703" t="str">
        <f t="shared" si="2882"/>
        <v>FPO</v>
      </c>
      <c r="E7703" t="str">
        <f t="shared" si="2883"/>
        <v>AP</v>
      </c>
      <c r="F7703" t="str">
        <f>T("963107161")</f>
        <v>963107161</v>
      </c>
      <c r="G7703" t="str">
        <f>T("UNIT 37161")</f>
        <v>UNIT 37161</v>
      </c>
      <c r="H7703" t="str">
        <f t="shared" si="2886"/>
        <v/>
      </c>
      <c r="I7703" t="str">
        <f t="shared" si="2884"/>
        <v>FPO</v>
      </c>
      <c r="J7703" t="str">
        <f t="shared" si="2885"/>
        <v>AP</v>
      </c>
      <c r="K7703" t="str">
        <f>T("")</f>
        <v/>
      </c>
      <c r="L7703" t="str">
        <f>T("1111111111")</f>
        <v>1111111111</v>
      </c>
    </row>
    <row r="7704" spans="1:12" x14ac:dyDescent="0.35">
      <c r="A7704" t="str">
        <f t="shared" si="2888"/>
        <v>US MAR CORP III MEF 1ST MAW</v>
      </c>
      <c r="B7704" t="str">
        <f>T("UNIT 37161")</f>
        <v>UNIT 37161</v>
      </c>
      <c r="C7704" t="str">
        <f t="shared" si="2887"/>
        <v/>
      </c>
      <c r="D7704" t="str">
        <f t="shared" si="2882"/>
        <v>FPO</v>
      </c>
      <c r="E7704" t="str">
        <f t="shared" si="2883"/>
        <v>AP</v>
      </c>
      <c r="F7704" t="str">
        <f>T("963107161")</f>
        <v>963107161</v>
      </c>
      <c r="G7704" t="str">
        <f>T("UNIT 37161")</f>
        <v>UNIT 37161</v>
      </c>
      <c r="H7704" t="str">
        <f t="shared" si="2886"/>
        <v/>
      </c>
      <c r="I7704" t="str">
        <f t="shared" si="2884"/>
        <v>FPO</v>
      </c>
      <c r="J7704" t="str">
        <f t="shared" si="2885"/>
        <v>AP</v>
      </c>
      <c r="K7704" t="str">
        <f>T("000000000000000000")</f>
        <v>000000000000000000</v>
      </c>
      <c r="L7704" t="str">
        <f>T("3152553547")</f>
        <v>3152553547</v>
      </c>
    </row>
    <row r="7705" spans="1:12" x14ac:dyDescent="0.35">
      <c r="A7705" t="str">
        <f t="shared" si="2888"/>
        <v>US MAR CORP III MEF 1ST MAW</v>
      </c>
      <c r="B7705" t="str">
        <f>T("UNIT 37161")</f>
        <v>UNIT 37161</v>
      </c>
      <c r="C7705" t="str">
        <f t="shared" si="2887"/>
        <v/>
      </c>
      <c r="D7705" t="str">
        <f t="shared" si="2882"/>
        <v>FPO</v>
      </c>
      <c r="E7705" t="str">
        <f t="shared" si="2883"/>
        <v>AP</v>
      </c>
      <c r="F7705" t="str">
        <f>T("963107161")</f>
        <v>963107161</v>
      </c>
      <c r="G7705" t="str">
        <f>T("UNIT 37161")</f>
        <v>UNIT 37161</v>
      </c>
      <c r="H7705" t="str">
        <f t="shared" si="2886"/>
        <v/>
      </c>
      <c r="I7705" t="str">
        <f t="shared" si="2884"/>
        <v>FPO</v>
      </c>
      <c r="J7705" t="str">
        <f t="shared" si="2885"/>
        <v>AP</v>
      </c>
      <c r="K7705" t="str">
        <f>T("000000000000000000")</f>
        <v>000000000000000000</v>
      </c>
      <c r="L7705" t="str">
        <f>T("3152553664")</f>
        <v>3152553664</v>
      </c>
    </row>
    <row r="7706" spans="1:12" x14ac:dyDescent="0.35">
      <c r="A7706" t="str">
        <f t="shared" si="2888"/>
        <v>US MAR CORP III MEF 1ST MAW</v>
      </c>
      <c r="B7706" t="str">
        <f>T("UNIT 37161")</f>
        <v>UNIT 37161</v>
      </c>
      <c r="C7706" t="str">
        <f t="shared" si="2887"/>
        <v/>
      </c>
      <c r="D7706" t="str">
        <f t="shared" si="2882"/>
        <v>FPO</v>
      </c>
      <c r="E7706" t="str">
        <f t="shared" si="2883"/>
        <v>AP</v>
      </c>
      <c r="F7706" t="str">
        <f>T("963107161")</f>
        <v>963107161</v>
      </c>
      <c r="G7706" t="str">
        <f>T("UNIT 37161")</f>
        <v>UNIT 37161</v>
      </c>
      <c r="H7706" t="str">
        <f t="shared" si="2886"/>
        <v/>
      </c>
      <c r="I7706" t="str">
        <f t="shared" si="2884"/>
        <v>FPO</v>
      </c>
      <c r="J7706" t="str">
        <f t="shared" si="2885"/>
        <v>AP</v>
      </c>
      <c r="K7706" t="str">
        <f>T("011810827793868")</f>
        <v>011810827793868</v>
      </c>
      <c r="L7706" t="str">
        <f>T("1111111111")</f>
        <v>1111111111</v>
      </c>
    </row>
    <row r="7707" spans="1:12" x14ac:dyDescent="0.35">
      <c r="A7707" t="str">
        <f t="shared" si="2888"/>
        <v>US MAR CORP III MEF 1ST MAW</v>
      </c>
      <c r="B7707" t="str">
        <f>T("UNIT 37176")</f>
        <v>UNIT 37176</v>
      </c>
      <c r="C7707" t="str">
        <f>T("MTACS 18 1ST MAW")</f>
        <v>MTACS 18 1ST MAW</v>
      </c>
      <c r="D7707" t="str">
        <f t="shared" si="2882"/>
        <v>FPO</v>
      </c>
      <c r="E7707" t="str">
        <f t="shared" si="2883"/>
        <v>AP</v>
      </c>
      <c r="F7707" t="str">
        <f>T("966037176")</f>
        <v>966037176</v>
      </c>
      <c r="G7707" t="str">
        <f>T("UNIT 37176")</f>
        <v>UNIT 37176</v>
      </c>
      <c r="H7707" t="str">
        <f t="shared" si="2886"/>
        <v/>
      </c>
      <c r="I7707" t="str">
        <f t="shared" si="2884"/>
        <v>FPO</v>
      </c>
      <c r="J7707" t="str">
        <f t="shared" si="2885"/>
        <v>AP</v>
      </c>
      <c r="K7707" t="str">
        <f>T("000000000000000000")</f>
        <v>000000000000000000</v>
      </c>
      <c r="L7707" t="str">
        <f>T("3156362556")</f>
        <v>3156362556</v>
      </c>
    </row>
    <row r="7708" spans="1:12" x14ac:dyDescent="0.35">
      <c r="A7708" t="str">
        <f t="shared" si="2888"/>
        <v>US MAR CORP III MEF 1ST MAW</v>
      </c>
      <c r="B7708" t="str">
        <f>T("UNIT 37176")</f>
        <v>UNIT 37176</v>
      </c>
      <c r="C7708" t="str">
        <f>T("MTACS 18 1ST MAW")</f>
        <v>MTACS 18 1ST MAW</v>
      </c>
      <c r="D7708" t="str">
        <f t="shared" si="2882"/>
        <v>FPO</v>
      </c>
      <c r="E7708" t="str">
        <f t="shared" si="2883"/>
        <v>AP</v>
      </c>
      <c r="F7708" t="str">
        <f>T("966037176")</f>
        <v>966037176</v>
      </c>
      <c r="G7708" t="str">
        <f>T("UNIT 37176")</f>
        <v>UNIT 37176</v>
      </c>
      <c r="H7708" t="str">
        <f>T("MTACS 18 1ST MAW")</f>
        <v>MTACS 18 1ST MAW</v>
      </c>
      <c r="I7708" t="str">
        <f t="shared" si="2884"/>
        <v>FPO</v>
      </c>
      <c r="J7708" t="str">
        <f t="shared" si="2885"/>
        <v>AP</v>
      </c>
      <c r="K7708" t="str">
        <f>T("")</f>
        <v/>
      </c>
      <c r="L7708" t="str">
        <f>T("1111111111")</f>
        <v>1111111111</v>
      </c>
    </row>
    <row r="7709" spans="1:12" x14ac:dyDescent="0.35">
      <c r="A7709" t="str">
        <f t="shared" si="2888"/>
        <v>US MAR CORP III MEF 1ST MAW</v>
      </c>
      <c r="B7709" t="str">
        <f>T("UNIT 37178")</f>
        <v>UNIT 37178</v>
      </c>
      <c r="C7709" t="str">
        <f t="shared" ref="C7709:C7719" si="2889">T("")</f>
        <v/>
      </c>
      <c r="D7709" t="str">
        <f t="shared" si="2882"/>
        <v>FPO</v>
      </c>
      <c r="E7709" t="str">
        <f t="shared" si="2883"/>
        <v>AP</v>
      </c>
      <c r="F7709" t="str">
        <f>T("963727178")</f>
        <v>963727178</v>
      </c>
      <c r="G7709" t="str">
        <f>T("UNIT 37178")</f>
        <v>UNIT 37178</v>
      </c>
      <c r="H7709" t="str">
        <f t="shared" ref="H7709:H7719" si="2890">T("")</f>
        <v/>
      </c>
      <c r="I7709" t="str">
        <f t="shared" si="2884"/>
        <v>FPO</v>
      </c>
      <c r="J7709" t="str">
        <f t="shared" si="2885"/>
        <v>AP</v>
      </c>
      <c r="K7709" t="str">
        <f>T("")</f>
        <v/>
      </c>
      <c r="L7709" t="str">
        <f>T("1111111111")</f>
        <v>1111111111</v>
      </c>
    </row>
    <row r="7710" spans="1:12" x14ac:dyDescent="0.35">
      <c r="A7710" t="str">
        <f t="shared" si="2888"/>
        <v>US MAR CORP III MEF 1ST MAW</v>
      </c>
      <c r="B7710" t="str">
        <f>T("UNIT 37178")</f>
        <v>UNIT 37178</v>
      </c>
      <c r="C7710" t="str">
        <f t="shared" si="2889"/>
        <v/>
      </c>
      <c r="D7710" t="str">
        <f t="shared" si="2882"/>
        <v>FPO</v>
      </c>
      <c r="E7710" t="str">
        <f t="shared" si="2883"/>
        <v>AP</v>
      </c>
      <c r="F7710" t="str">
        <f>T("963727178")</f>
        <v>963727178</v>
      </c>
      <c r="G7710" t="str">
        <f>T("UNIT 37178")</f>
        <v>UNIT 37178</v>
      </c>
      <c r="H7710" t="str">
        <f t="shared" si="2890"/>
        <v/>
      </c>
      <c r="I7710" t="str">
        <f t="shared" si="2884"/>
        <v>FPO</v>
      </c>
      <c r="J7710" t="str">
        <f t="shared" si="2885"/>
        <v>AP</v>
      </c>
      <c r="K7710" t="str">
        <f>T("000000000000000000")</f>
        <v>000000000000000000</v>
      </c>
      <c r="L7710" t="str">
        <f>T("3156363600")</f>
        <v>3156363600</v>
      </c>
    </row>
    <row r="7711" spans="1:12" x14ac:dyDescent="0.35">
      <c r="A7711" t="str">
        <f t="shared" si="2888"/>
        <v>US MAR CORP III MEF 1ST MAW</v>
      </c>
      <c r="B7711" t="str">
        <f>T("UNIT 37181")</f>
        <v>UNIT 37181</v>
      </c>
      <c r="C7711" t="str">
        <f t="shared" si="2889"/>
        <v/>
      </c>
      <c r="D7711" t="str">
        <f t="shared" si="2882"/>
        <v>FPO</v>
      </c>
      <c r="E7711" t="str">
        <f t="shared" si="2883"/>
        <v>AP</v>
      </c>
      <c r="F7711" t="str">
        <f>T("963737181")</f>
        <v>963737181</v>
      </c>
      <c r="G7711" t="str">
        <f>T("UNIT 37181")</f>
        <v>UNIT 37181</v>
      </c>
      <c r="H7711" t="str">
        <f t="shared" si="2890"/>
        <v/>
      </c>
      <c r="I7711" t="str">
        <f t="shared" si="2884"/>
        <v>FPO</v>
      </c>
      <c r="J7711" t="str">
        <f t="shared" si="2885"/>
        <v>AP</v>
      </c>
      <c r="K7711" t="str">
        <f>T("000000000000000000")</f>
        <v>000000000000000000</v>
      </c>
      <c r="L7711" t="str">
        <f>T("3156452280")</f>
        <v>3156452280</v>
      </c>
    </row>
    <row r="7712" spans="1:12" x14ac:dyDescent="0.35">
      <c r="A7712" t="str">
        <f t="shared" si="2888"/>
        <v>US MAR CORP III MEF 1ST MAW</v>
      </c>
      <c r="B7712" t="str">
        <f>T("UNIT 37181")</f>
        <v>UNIT 37181</v>
      </c>
      <c r="C7712" t="str">
        <f t="shared" si="2889"/>
        <v/>
      </c>
      <c r="D7712" t="str">
        <f t="shared" si="2882"/>
        <v>FPO</v>
      </c>
      <c r="E7712" t="str">
        <f t="shared" si="2883"/>
        <v>AP</v>
      </c>
      <c r="F7712" t="str">
        <f>T("963737181")</f>
        <v>963737181</v>
      </c>
      <c r="G7712" t="str">
        <f>T("UNIT 37181")</f>
        <v>UNIT 37181</v>
      </c>
      <c r="H7712" t="str">
        <f t="shared" si="2890"/>
        <v/>
      </c>
      <c r="I7712" t="str">
        <f t="shared" si="2884"/>
        <v>FPO</v>
      </c>
      <c r="J7712" t="str">
        <f t="shared" si="2885"/>
        <v>AP</v>
      </c>
      <c r="K7712" t="str">
        <f>T("000000000000000000")</f>
        <v>000000000000000000</v>
      </c>
      <c r="L7712" t="str">
        <f>T("3156453679")</f>
        <v>3156453679</v>
      </c>
    </row>
    <row r="7713" spans="1:12" x14ac:dyDescent="0.35">
      <c r="A7713" t="str">
        <f t="shared" si="2888"/>
        <v>US MAR CORP III MEF 1ST MAW</v>
      </c>
      <c r="B7713" t="str">
        <f>T("UNIT 37181")</f>
        <v>UNIT 37181</v>
      </c>
      <c r="C7713" t="str">
        <f t="shared" si="2889"/>
        <v/>
      </c>
      <c r="D7713" t="str">
        <f t="shared" si="2882"/>
        <v>FPO</v>
      </c>
      <c r="E7713" t="str">
        <f t="shared" si="2883"/>
        <v>AP</v>
      </c>
      <c r="F7713" t="str">
        <f>T("963737181")</f>
        <v>963737181</v>
      </c>
      <c r="G7713" t="str">
        <f>T("UNIT 37181")</f>
        <v>UNIT 37181</v>
      </c>
      <c r="H7713" t="str">
        <f t="shared" si="2890"/>
        <v/>
      </c>
      <c r="I7713" t="str">
        <f t="shared" si="2884"/>
        <v>FPO</v>
      </c>
      <c r="J7713" t="str">
        <f t="shared" si="2885"/>
        <v>AP</v>
      </c>
      <c r="K7713" t="str">
        <f>T("011816117453664")</f>
        <v>011816117453664</v>
      </c>
      <c r="L7713" t="str">
        <f>T("1111111111")</f>
        <v>1111111111</v>
      </c>
    </row>
    <row r="7714" spans="1:12" x14ac:dyDescent="0.35">
      <c r="A7714" t="str">
        <f t="shared" si="2888"/>
        <v>US MAR CORP III MEF 1ST MAW</v>
      </c>
      <c r="B7714" t="str">
        <f>T("UNIT 37181")</f>
        <v>UNIT 37181</v>
      </c>
      <c r="C7714" t="str">
        <f t="shared" si="2889"/>
        <v/>
      </c>
      <c r="D7714" t="str">
        <f t="shared" si="2882"/>
        <v>FPO</v>
      </c>
      <c r="E7714" t="str">
        <f t="shared" si="2883"/>
        <v>AP</v>
      </c>
      <c r="F7714" t="str">
        <f>T("963737181")</f>
        <v>963737181</v>
      </c>
      <c r="G7714" t="str">
        <f>T("UNIT 37181")</f>
        <v>UNIT 37181</v>
      </c>
      <c r="H7714" t="str">
        <f t="shared" si="2890"/>
        <v/>
      </c>
      <c r="I7714" t="str">
        <f t="shared" si="2884"/>
        <v>FPO</v>
      </c>
      <c r="J7714" t="str">
        <f t="shared" si="2885"/>
        <v>AP</v>
      </c>
      <c r="K7714" t="str">
        <f>T("81989702280")</f>
        <v>81989702280</v>
      </c>
      <c r="L7714" t="str">
        <f>T("1111111111")</f>
        <v>1111111111</v>
      </c>
    </row>
    <row r="7715" spans="1:12" x14ac:dyDescent="0.35">
      <c r="A7715" t="str">
        <f t="shared" si="2888"/>
        <v>US MAR CORP III MEF 1ST MAW</v>
      </c>
      <c r="B7715" t="str">
        <f>T("UNIT 37201")</f>
        <v>UNIT 37201</v>
      </c>
      <c r="C7715" t="str">
        <f t="shared" si="2889"/>
        <v/>
      </c>
      <c r="D7715" t="str">
        <f t="shared" si="2882"/>
        <v>FPO</v>
      </c>
      <c r="E7715" t="str">
        <f t="shared" si="2883"/>
        <v>AP</v>
      </c>
      <c r="F7715" t="str">
        <f>T("963107201")</f>
        <v>963107201</v>
      </c>
      <c r="G7715" t="str">
        <f>T("UNIT 37201")</f>
        <v>UNIT 37201</v>
      </c>
      <c r="H7715" t="str">
        <f t="shared" si="2890"/>
        <v/>
      </c>
      <c r="I7715" t="str">
        <f t="shared" si="2884"/>
        <v>FPO</v>
      </c>
      <c r="J7715" t="str">
        <f t="shared" si="2885"/>
        <v>AP</v>
      </c>
      <c r="K7715" t="str">
        <f>T("")</f>
        <v/>
      </c>
      <c r="L7715" t="str">
        <f>T("1111111111")</f>
        <v>1111111111</v>
      </c>
    </row>
    <row r="7716" spans="1:12" x14ac:dyDescent="0.35">
      <c r="A7716" t="str">
        <f t="shared" si="2888"/>
        <v>US MAR CORP III MEF 1ST MAW</v>
      </c>
      <c r="B7716" t="str">
        <f>T("UNIT 37201")</f>
        <v>UNIT 37201</v>
      </c>
      <c r="C7716" t="str">
        <f t="shared" si="2889"/>
        <v/>
      </c>
      <c r="D7716" t="str">
        <f t="shared" si="2882"/>
        <v>FPO</v>
      </c>
      <c r="E7716" t="str">
        <f t="shared" si="2883"/>
        <v>AP</v>
      </c>
      <c r="F7716" t="str">
        <f>T("963107201")</f>
        <v>963107201</v>
      </c>
      <c r="G7716" t="str">
        <f>T("UNIT 37201")</f>
        <v>UNIT 37201</v>
      </c>
      <c r="H7716" t="str">
        <f t="shared" si="2890"/>
        <v/>
      </c>
      <c r="I7716" t="str">
        <f t="shared" si="2884"/>
        <v>FPO</v>
      </c>
      <c r="J7716" t="str">
        <f t="shared" si="2885"/>
        <v>AP</v>
      </c>
      <c r="K7716" t="str">
        <f>T("01181827793351")</f>
        <v>01181827793351</v>
      </c>
      <c r="L7716" t="str">
        <f>T("1111111111")</f>
        <v>1111111111</v>
      </c>
    </row>
    <row r="7717" spans="1:12" x14ac:dyDescent="0.35">
      <c r="A7717" t="str">
        <f t="shared" si="2888"/>
        <v>US MAR CORP III MEF 1ST MAW</v>
      </c>
      <c r="B7717" t="str">
        <f>T("UNIT 37201")</f>
        <v>UNIT 37201</v>
      </c>
      <c r="C7717" t="str">
        <f t="shared" si="2889"/>
        <v/>
      </c>
      <c r="D7717" t="str">
        <f t="shared" si="2882"/>
        <v>FPO</v>
      </c>
      <c r="E7717" t="str">
        <f t="shared" si="2883"/>
        <v>AP</v>
      </c>
      <c r="F7717" t="str">
        <f>T("963107201")</f>
        <v>963107201</v>
      </c>
      <c r="G7717" t="str">
        <f>T("UNIT 37201")</f>
        <v>UNIT 37201</v>
      </c>
      <c r="H7717" t="str">
        <f t="shared" si="2890"/>
        <v/>
      </c>
      <c r="I7717" t="str">
        <f t="shared" si="2884"/>
        <v>FPO</v>
      </c>
      <c r="J7717" t="str">
        <f t="shared" si="2885"/>
        <v>AP</v>
      </c>
      <c r="K7717" t="str">
        <f>T("3152535026")</f>
        <v>3152535026</v>
      </c>
      <c r="L7717" t="str">
        <f>T("3152533198")</f>
        <v>3152533198</v>
      </c>
    </row>
    <row r="7718" spans="1:12" x14ac:dyDescent="0.35">
      <c r="A7718" t="str">
        <f t="shared" si="2888"/>
        <v>US MAR CORP III MEF 1ST MAW</v>
      </c>
      <c r="B7718" t="str">
        <f>T("UNIT 37201")</f>
        <v>UNIT 37201</v>
      </c>
      <c r="C7718" t="str">
        <f t="shared" si="2889"/>
        <v/>
      </c>
      <c r="D7718" t="str">
        <f t="shared" si="2882"/>
        <v>FPO</v>
      </c>
      <c r="E7718" t="str">
        <f t="shared" si="2883"/>
        <v>AP</v>
      </c>
      <c r="F7718" t="str">
        <f>T("963107201")</f>
        <v>963107201</v>
      </c>
      <c r="G7718" t="str">
        <f>T("UNIT 37201")</f>
        <v>UNIT 37201</v>
      </c>
      <c r="H7718" t="str">
        <f t="shared" si="2890"/>
        <v/>
      </c>
      <c r="I7718" t="str">
        <f t="shared" si="2884"/>
        <v>FPO</v>
      </c>
      <c r="J7718" t="str">
        <f t="shared" si="2885"/>
        <v>AP</v>
      </c>
      <c r="K7718" t="str">
        <f>T("3152535026")</f>
        <v>3152535026</v>
      </c>
      <c r="L7718" t="str">
        <f>T("3152533279")</f>
        <v>3152533279</v>
      </c>
    </row>
    <row r="7719" spans="1:12" x14ac:dyDescent="0.35">
      <c r="A7719" t="str">
        <f t="shared" si="2888"/>
        <v>US MAR CORP III MEF 1ST MAW</v>
      </c>
      <c r="B7719" t="str">
        <f>T("UNIT 37201")</f>
        <v>UNIT 37201</v>
      </c>
      <c r="C7719" t="str">
        <f t="shared" si="2889"/>
        <v/>
      </c>
      <c r="D7719" t="str">
        <f t="shared" si="2882"/>
        <v>FPO</v>
      </c>
      <c r="E7719" t="str">
        <f t="shared" si="2883"/>
        <v>AP</v>
      </c>
      <c r="F7719" t="str">
        <f>T("963107201")</f>
        <v>963107201</v>
      </c>
      <c r="G7719" t="str">
        <f>T("UNIT 37201")</f>
        <v>UNIT 37201</v>
      </c>
      <c r="H7719" t="str">
        <f t="shared" si="2890"/>
        <v/>
      </c>
      <c r="I7719" t="str">
        <f t="shared" si="2884"/>
        <v>FPO</v>
      </c>
      <c r="J7719" t="str">
        <f t="shared" si="2885"/>
        <v>AP</v>
      </c>
      <c r="K7719" t="str">
        <f>T("3152535026")</f>
        <v>3152535026</v>
      </c>
      <c r="L7719" t="str">
        <f>T("3152536406")</f>
        <v>3152536406</v>
      </c>
    </row>
    <row r="7720" spans="1:12" x14ac:dyDescent="0.35">
      <c r="A7720" t="str">
        <f t="shared" ref="A7720:A7760" si="2891">T("US MAR CORP III MEF HQ GRP")</f>
        <v>US MAR CORP III MEF HQ GRP</v>
      </c>
      <c r="B7720" t="str">
        <f>T("111 MEF SOTG")</f>
        <v>111 MEF SOTG</v>
      </c>
      <c r="C7720" t="str">
        <f>T("UNIT 35640")</f>
        <v>UNIT 35640</v>
      </c>
      <c r="D7720" t="str">
        <f t="shared" si="2882"/>
        <v>FPO</v>
      </c>
      <c r="E7720" t="str">
        <f t="shared" si="2883"/>
        <v>AP</v>
      </c>
      <c r="F7720" t="str">
        <f>T("966065640")</f>
        <v>966065640</v>
      </c>
      <c r="G7720" t="str">
        <f>T("111 MEF SOTG")</f>
        <v>111 MEF SOTG</v>
      </c>
      <c r="H7720" t="str">
        <f>T("UNIT 35640")</f>
        <v>UNIT 35640</v>
      </c>
      <c r="I7720" t="str">
        <f t="shared" si="2884"/>
        <v>FPO</v>
      </c>
      <c r="J7720" t="str">
        <f t="shared" si="2885"/>
        <v>AP</v>
      </c>
      <c r="K7720" t="str">
        <f>T("")</f>
        <v/>
      </c>
      <c r="L7720" t="str">
        <f>T("1111111111")</f>
        <v>1111111111</v>
      </c>
    </row>
    <row r="7721" spans="1:12" x14ac:dyDescent="0.35">
      <c r="A7721" t="str">
        <f t="shared" si="2891"/>
        <v>US MAR CORP III MEF HQ GRP</v>
      </c>
      <c r="B7721" t="str">
        <f>T("111 MEF SOTG")</f>
        <v>111 MEF SOTG</v>
      </c>
      <c r="C7721" t="str">
        <f>T("UNIT 35640")</f>
        <v>UNIT 35640</v>
      </c>
      <c r="D7721" t="str">
        <f t="shared" si="2882"/>
        <v>FPO</v>
      </c>
      <c r="E7721" t="str">
        <f t="shared" si="2883"/>
        <v>AP</v>
      </c>
      <c r="F7721" t="str">
        <f>T("966065640")</f>
        <v>966065640</v>
      </c>
      <c r="G7721" t="str">
        <f>T("UNIT 35640")</f>
        <v>UNIT 35640</v>
      </c>
      <c r="H7721" t="str">
        <f>T("")</f>
        <v/>
      </c>
      <c r="I7721" t="str">
        <f t="shared" si="2884"/>
        <v>FPO</v>
      </c>
      <c r="J7721" t="str">
        <f t="shared" si="2885"/>
        <v>AP</v>
      </c>
      <c r="K7721" t="str">
        <f>T("000000000000000000")</f>
        <v>000000000000000000</v>
      </c>
      <c r="L7721" t="str">
        <f>T("3156234418")</f>
        <v>3156234418</v>
      </c>
    </row>
    <row r="7722" spans="1:12" x14ac:dyDescent="0.35">
      <c r="A7722" t="str">
        <f t="shared" si="2891"/>
        <v>US MAR CORP III MEF HQ GRP</v>
      </c>
      <c r="B7722" t="str">
        <f>T("3D INTEL BN")</f>
        <v>3D INTEL BN</v>
      </c>
      <c r="C7722" t="str">
        <f>T("UNIT 35606")</f>
        <v>UNIT 35606</v>
      </c>
      <c r="D7722" t="str">
        <f t="shared" si="2882"/>
        <v>FPO</v>
      </c>
      <c r="E7722" t="str">
        <f t="shared" si="2883"/>
        <v>AP</v>
      </c>
      <c r="F7722" t="str">
        <f>T("963855606")</f>
        <v>963855606</v>
      </c>
      <c r="G7722" t="str">
        <f>T("3D INTEL BN")</f>
        <v>3D INTEL BN</v>
      </c>
      <c r="H7722" t="str">
        <f>T("UNIT 35606")</f>
        <v>UNIT 35606</v>
      </c>
      <c r="I7722" t="str">
        <f t="shared" si="2884"/>
        <v>FPO</v>
      </c>
      <c r="J7722" t="str">
        <f t="shared" si="2885"/>
        <v>AP</v>
      </c>
      <c r="K7722" t="str">
        <f>T("")</f>
        <v/>
      </c>
      <c r="L7722" t="str">
        <f>T("1111111111")</f>
        <v>1111111111</v>
      </c>
    </row>
    <row r="7723" spans="1:12" x14ac:dyDescent="0.35">
      <c r="A7723" t="str">
        <f t="shared" si="2891"/>
        <v>US MAR CORP III MEF HQ GRP</v>
      </c>
      <c r="B7723" t="str">
        <f>T("3D INTEL BN")</f>
        <v>3D INTEL BN</v>
      </c>
      <c r="C7723" t="str">
        <f>T("UNIT 35606")</f>
        <v>UNIT 35606</v>
      </c>
      <c r="D7723" t="str">
        <f t="shared" si="2882"/>
        <v>FPO</v>
      </c>
      <c r="E7723" t="str">
        <f t="shared" si="2883"/>
        <v>AP</v>
      </c>
      <c r="F7723" t="str">
        <f>T("963855606")</f>
        <v>963855606</v>
      </c>
      <c r="G7723" t="str">
        <f>T("UNIT 35606")</f>
        <v>UNIT 35606</v>
      </c>
      <c r="H7723" t="str">
        <f>T("")</f>
        <v/>
      </c>
      <c r="I7723" t="str">
        <f t="shared" si="2884"/>
        <v>FPO</v>
      </c>
      <c r="J7723" t="str">
        <f t="shared" si="2885"/>
        <v>AP</v>
      </c>
      <c r="K7723" t="str">
        <f>T("000000000000000000")</f>
        <v>000000000000000000</v>
      </c>
      <c r="L7723" t="str">
        <f>T("3156231775")</f>
        <v>3156231775</v>
      </c>
    </row>
    <row r="7724" spans="1:12" x14ac:dyDescent="0.35">
      <c r="A7724" t="str">
        <f t="shared" si="2891"/>
        <v>US MAR CORP III MEF HQ GRP</v>
      </c>
      <c r="B7724" t="str">
        <f>T("3RD RADIO BN SUPPLY")</f>
        <v>3RD RADIO BN SUPPLY</v>
      </c>
      <c r="C7724" t="str">
        <f>T("BOX 63042")</f>
        <v>BOX 63042</v>
      </c>
      <c r="D7724" t="str">
        <f>T("MCBH K BAY")</f>
        <v>MCBH K BAY</v>
      </c>
      <c r="E7724" t="str">
        <f>T("HI")</f>
        <v>HI</v>
      </c>
      <c r="F7724" t="str">
        <f>T("968633042")</f>
        <v>968633042</v>
      </c>
      <c r="G7724" t="str">
        <f>T("3RD RADIO BN SUPPLY")</f>
        <v>3RD RADIO BN SUPPLY</v>
      </c>
      <c r="H7724" t="str">
        <f>T("BOX 63042")</f>
        <v>BOX 63042</v>
      </c>
      <c r="I7724" t="str">
        <f>T("MCBH K BAY")</f>
        <v>MCBH K BAY</v>
      </c>
      <c r="J7724" t="str">
        <f>T("HI")</f>
        <v>HI</v>
      </c>
      <c r="K7724" t="str">
        <f>T("")</f>
        <v/>
      </c>
      <c r="L7724" t="str">
        <f>T("8082575206")</f>
        <v>8082575206</v>
      </c>
    </row>
    <row r="7725" spans="1:12" x14ac:dyDescent="0.35">
      <c r="A7725" t="str">
        <f t="shared" si="2891"/>
        <v>US MAR CORP III MEF HQ GRP</v>
      </c>
      <c r="B7725" t="str">
        <f>T("3RD RADIO BN SUPPLY")</f>
        <v>3RD RADIO BN SUPPLY</v>
      </c>
      <c r="C7725" t="str">
        <f>T("BOX 63042")</f>
        <v>BOX 63042</v>
      </c>
      <c r="D7725" t="str">
        <f>T("MCBH K BAY")</f>
        <v>MCBH K BAY</v>
      </c>
      <c r="E7725" t="str">
        <f>T("HI")</f>
        <v>HI</v>
      </c>
      <c r="F7725" t="str">
        <f>T("968633042")</f>
        <v>968633042</v>
      </c>
      <c r="G7725" t="str">
        <f>T("BOX 63042")</f>
        <v>BOX 63042</v>
      </c>
      <c r="H7725" t="str">
        <f>T("")</f>
        <v/>
      </c>
      <c r="I7725" t="str">
        <f>T("MCBH KANEOHE BAY")</f>
        <v>MCBH KANEOHE BAY</v>
      </c>
      <c r="J7725" t="str">
        <f>T("HI")</f>
        <v>HI</v>
      </c>
      <c r="K7725" t="str">
        <f>T("000000000000000000")</f>
        <v>000000000000000000</v>
      </c>
      <c r="L7725" t="str">
        <f>T("8082570091")</f>
        <v>8082570091</v>
      </c>
    </row>
    <row r="7726" spans="1:12" x14ac:dyDescent="0.35">
      <c r="A7726" t="str">
        <f t="shared" si="2891"/>
        <v>US MAR CORP III MEF HQ GRP</v>
      </c>
      <c r="B7726" t="str">
        <f>T("3RD RADIO BN SUPPLY")</f>
        <v>3RD RADIO BN SUPPLY</v>
      </c>
      <c r="C7726" t="str">
        <f>T("BOX 63042")</f>
        <v>BOX 63042</v>
      </c>
      <c r="D7726" t="str">
        <f>T("MCBH K BAY")</f>
        <v>MCBH K BAY</v>
      </c>
      <c r="E7726" t="str">
        <f>T("HI")</f>
        <v>HI</v>
      </c>
      <c r="F7726" t="str">
        <f>T("968633042")</f>
        <v>968633042</v>
      </c>
      <c r="G7726" t="str">
        <f>T("PO BOX 63042")</f>
        <v>PO BOX 63042</v>
      </c>
      <c r="H7726" t="str">
        <f>T("")</f>
        <v/>
      </c>
      <c r="I7726" t="str">
        <f>T("MCBH KANEOHE BAY")</f>
        <v>MCBH KANEOHE BAY</v>
      </c>
      <c r="J7726" t="str">
        <f>T("HI")</f>
        <v>HI</v>
      </c>
      <c r="K7726" t="str">
        <f>T("000000000000000000")</f>
        <v>000000000000000000</v>
      </c>
      <c r="L7726" t="str">
        <f>T("8082570091")</f>
        <v>8082570091</v>
      </c>
    </row>
    <row r="7727" spans="1:12" x14ac:dyDescent="0.35">
      <c r="A7727" t="str">
        <f t="shared" si="2891"/>
        <v>US MAR CORP III MEF HQ GRP</v>
      </c>
      <c r="B7727" t="str">
        <f>T("5TH ANGLICO")</f>
        <v>5TH ANGLICO</v>
      </c>
      <c r="C7727" t="str">
        <f>T("UNIT 35607")</f>
        <v>UNIT 35607</v>
      </c>
      <c r="D7727" t="str">
        <f>T("FPO")</f>
        <v>FPO</v>
      </c>
      <c r="E7727" t="str">
        <f>T("AP")</f>
        <v>AP</v>
      </c>
      <c r="F7727" t="str">
        <f>T("966065607")</f>
        <v>966065607</v>
      </c>
      <c r="G7727" t="str">
        <f>T("5TH ANGLICO")</f>
        <v>5TH ANGLICO</v>
      </c>
      <c r="H7727" t="str">
        <f>T("UNIT 35607")</f>
        <v>UNIT 35607</v>
      </c>
      <c r="I7727" t="str">
        <f>T("FPO")</f>
        <v>FPO</v>
      </c>
      <c r="J7727" t="str">
        <f>T("AP")</f>
        <v>AP</v>
      </c>
      <c r="K7727" t="str">
        <f>T("011816117234308")</f>
        <v>011816117234308</v>
      </c>
      <c r="L7727" t="str">
        <f>T("1111111111")</f>
        <v>1111111111</v>
      </c>
    </row>
    <row r="7728" spans="1:12" x14ac:dyDescent="0.35">
      <c r="A7728" t="str">
        <f t="shared" si="2891"/>
        <v>US MAR CORP III MEF HQ GRP</v>
      </c>
      <c r="B7728" t="str">
        <f>T("5TH ANGLICO")</f>
        <v>5TH ANGLICO</v>
      </c>
      <c r="C7728" t="str">
        <f>T("UNIT 35607")</f>
        <v>UNIT 35607</v>
      </c>
      <c r="D7728" t="str">
        <f>T("FPO")</f>
        <v>FPO</v>
      </c>
      <c r="E7728" t="str">
        <f>T("AP")</f>
        <v>AP</v>
      </c>
      <c r="F7728" t="str">
        <f>T("966065607")</f>
        <v>966065607</v>
      </c>
      <c r="G7728" t="str">
        <f>T("UNIT 35607")</f>
        <v>UNIT 35607</v>
      </c>
      <c r="H7728" t="str">
        <f>T("")</f>
        <v/>
      </c>
      <c r="I7728" t="str">
        <f>T("FPO")</f>
        <v>FPO</v>
      </c>
      <c r="J7728" t="str">
        <f>T("AP")</f>
        <v>AP</v>
      </c>
      <c r="K7728" t="str">
        <f>T("81989694038")</f>
        <v>81989694038</v>
      </c>
      <c r="L7728" t="str">
        <f>T("1111111111")</f>
        <v>1111111111</v>
      </c>
    </row>
    <row r="7729" spans="1:12" x14ac:dyDescent="0.35">
      <c r="A7729" t="str">
        <f t="shared" si="2891"/>
        <v>US MAR CORP III MEF HQ GRP</v>
      </c>
      <c r="B7729" t="str">
        <f>T("CLB-3 III MHG")</f>
        <v>CLB-3 III MHG</v>
      </c>
      <c r="C7729" t="str">
        <f>T("RM 201 BLDG 3013 SELDEN ST")</f>
        <v>RM 201 BLDG 3013 SELDEN ST</v>
      </c>
      <c r="D7729" t="str">
        <f>T("MCBH K BAY")</f>
        <v>MCBH K BAY</v>
      </c>
      <c r="E7729" t="str">
        <f>T("HI")</f>
        <v>HI</v>
      </c>
      <c r="F7729" t="str">
        <f>T("968633030")</f>
        <v>968633030</v>
      </c>
      <c r="G7729" t="str">
        <f>T("BOX 63030")</f>
        <v>BOX 63030</v>
      </c>
      <c r="H7729" t="str">
        <f>T("")</f>
        <v/>
      </c>
      <c r="I7729" t="str">
        <f>T("MCBH KANEOHE BAY")</f>
        <v>MCBH KANEOHE BAY</v>
      </c>
      <c r="J7729" t="str">
        <f>T("HI")</f>
        <v>HI</v>
      </c>
      <c r="K7729" t="str">
        <f>T("000000000000000000")</f>
        <v>000000000000000000</v>
      </c>
      <c r="L7729" t="str">
        <f>T("8082578718")</f>
        <v>8082578718</v>
      </c>
    </row>
    <row r="7730" spans="1:12" x14ac:dyDescent="0.35">
      <c r="A7730" t="str">
        <f t="shared" si="2891"/>
        <v>US MAR CORP III MEF HQ GRP</v>
      </c>
      <c r="B7730" t="str">
        <f>T("CLB-3 III MHG")</f>
        <v>CLB-3 III MHG</v>
      </c>
      <c r="C7730" t="str">
        <f>T("RM 201 BLDG 3013 SELDEN ST")</f>
        <v>RM 201 BLDG 3013 SELDEN ST</v>
      </c>
      <c r="D7730" t="str">
        <f>T("MCBH K BAY")</f>
        <v>MCBH K BAY</v>
      </c>
      <c r="E7730" t="str">
        <f>T("HI")</f>
        <v>HI</v>
      </c>
      <c r="F7730" t="str">
        <f>T("968633030")</f>
        <v>968633030</v>
      </c>
      <c r="G7730" t="str">
        <f>T("CLB-3 III MHG")</f>
        <v>CLB-3 III MHG</v>
      </c>
      <c r="H7730" t="str">
        <f>T("RM 201 BLDG 3013 SELDEN ST")</f>
        <v>RM 201 BLDG 3013 SELDEN ST</v>
      </c>
      <c r="I7730" t="str">
        <f>T("MCBH K BAY")</f>
        <v>MCBH K BAY</v>
      </c>
      <c r="J7730" t="str">
        <f>T("HI")</f>
        <v>HI</v>
      </c>
      <c r="K7730" t="str">
        <f>T("000000000000000000")</f>
        <v>000000000000000000</v>
      </c>
      <c r="L7730" t="str">
        <f>T("8082572218")</f>
        <v>8082572218</v>
      </c>
    </row>
    <row r="7731" spans="1:12" x14ac:dyDescent="0.35">
      <c r="A7731" t="str">
        <f t="shared" si="2891"/>
        <v>US MAR CORP III MEF HQ GRP</v>
      </c>
      <c r="B7731" t="str">
        <f>T("CLB-3 SUPPLY")</f>
        <v>CLB-3 SUPPLY</v>
      </c>
      <c r="C7731" t="str">
        <f>T("BOX 63030")</f>
        <v>BOX 63030</v>
      </c>
      <c r="D7731" t="str">
        <f>T("MCBH K BAY")</f>
        <v>MCBH K BAY</v>
      </c>
      <c r="E7731" t="str">
        <f>T("HI")</f>
        <v>HI</v>
      </c>
      <c r="F7731" t="str">
        <f>T("968633030")</f>
        <v>968633030</v>
      </c>
      <c r="G7731" t="str">
        <f>T("BOX 63030")</f>
        <v>BOX 63030</v>
      </c>
      <c r="H7731" t="str">
        <f>T("")</f>
        <v/>
      </c>
      <c r="I7731" t="str">
        <f>T("MCBH KANEOHE BAY")</f>
        <v>MCBH KANEOHE BAY</v>
      </c>
      <c r="J7731" t="str">
        <f>T("HI")</f>
        <v>HI</v>
      </c>
      <c r="K7731" t="str">
        <f>T("000000000000000000")</f>
        <v>000000000000000000</v>
      </c>
      <c r="L7731" t="str">
        <f>T("8082570210")</f>
        <v>8082570210</v>
      </c>
    </row>
    <row r="7732" spans="1:12" x14ac:dyDescent="0.35">
      <c r="A7732" t="str">
        <f t="shared" si="2891"/>
        <v>US MAR CORP III MEF HQ GRP</v>
      </c>
      <c r="B7732" t="str">
        <f>T("CLB-3 SUPPLY")</f>
        <v>CLB-3 SUPPLY</v>
      </c>
      <c r="C7732" t="str">
        <f>T("BOX 63030")</f>
        <v>BOX 63030</v>
      </c>
      <c r="D7732" t="str">
        <f>T("MCBH K BAY")</f>
        <v>MCBH K BAY</v>
      </c>
      <c r="E7732" t="str">
        <f>T("HI")</f>
        <v>HI</v>
      </c>
      <c r="F7732" t="str">
        <f>T("968633030")</f>
        <v>968633030</v>
      </c>
      <c r="G7732" t="str">
        <f>T("BOX 63030")</f>
        <v>BOX 63030</v>
      </c>
      <c r="H7732" t="str">
        <f>T("")</f>
        <v/>
      </c>
      <c r="I7732" t="str">
        <f>T("MCBH KANEOHE BAY")</f>
        <v>MCBH KANEOHE BAY</v>
      </c>
      <c r="J7732" t="str">
        <f>T("HI")</f>
        <v>HI</v>
      </c>
      <c r="K7732" t="str">
        <f>T("000000000000000000")</f>
        <v>000000000000000000</v>
      </c>
      <c r="L7732" t="str">
        <f>T("8082571149")</f>
        <v>8082571149</v>
      </c>
    </row>
    <row r="7733" spans="1:12" x14ac:dyDescent="0.35">
      <c r="A7733" t="str">
        <f t="shared" si="2891"/>
        <v>US MAR CORP III MEF HQ GRP</v>
      </c>
      <c r="B7733" t="str">
        <f>T("CLB-3 SUPPLY")</f>
        <v>CLB-3 SUPPLY</v>
      </c>
      <c r="C7733" t="str">
        <f>T("BOX 63030")</f>
        <v>BOX 63030</v>
      </c>
      <c r="D7733" t="str">
        <f>T("MCBH K BAY")</f>
        <v>MCBH K BAY</v>
      </c>
      <c r="E7733" t="str">
        <f>T("HI")</f>
        <v>HI</v>
      </c>
      <c r="F7733" t="str">
        <f>T("968633030")</f>
        <v>968633030</v>
      </c>
      <c r="G7733" t="str">
        <f>T("CLB-3 SUPPLY")</f>
        <v>CLB-3 SUPPLY</v>
      </c>
      <c r="H7733" t="str">
        <f>T("BOX 63030")</f>
        <v>BOX 63030</v>
      </c>
      <c r="I7733" t="str">
        <f>T("MCBH K BAY")</f>
        <v>MCBH K BAY</v>
      </c>
      <c r="J7733" t="str">
        <f>T("HI")</f>
        <v>HI</v>
      </c>
      <c r="K7733" t="str">
        <f>T("000000000000000000")</f>
        <v>000000000000000000</v>
      </c>
      <c r="L7733" t="str">
        <f>T("8082570210")</f>
        <v>8082570210</v>
      </c>
    </row>
    <row r="7734" spans="1:12" x14ac:dyDescent="0.35">
      <c r="A7734" t="str">
        <f t="shared" si="2891"/>
        <v>US MAR CORP III MEF HQ GRP</v>
      </c>
      <c r="B7734" t="str">
        <f>T("UNIT 16116")</f>
        <v>UNIT 16116</v>
      </c>
      <c r="C7734" t="str">
        <f t="shared" ref="C7734:C7762" si="2892">T("")</f>
        <v/>
      </c>
      <c r="D7734" t="str">
        <f t="shared" ref="D7734:D7760" si="2893">T("FPO")</f>
        <v>FPO</v>
      </c>
      <c r="E7734" t="str">
        <f t="shared" ref="E7734:E7760" si="2894">T("AP")</f>
        <v>AP</v>
      </c>
      <c r="F7734" t="str">
        <f>T("964276116")</f>
        <v>964276116</v>
      </c>
      <c r="G7734" t="str">
        <f>T("BOX 16116")</f>
        <v>BOX 16116</v>
      </c>
      <c r="H7734" t="str">
        <f t="shared" ref="H7734:H7762" si="2895">T("")</f>
        <v/>
      </c>
      <c r="I7734" t="str">
        <f t="shared" ref="I7734:I7760" si="2896">T("FPO")</f>
        <v>FPO</v>
      </c>
      <c r="J7734" t="str">
        <f t="shared" ref="J7734:J7760" si="2897">T("AP")</f>
        <v>AP</v>
      </c>
      <c r="K7734" t="str">
        <f>T("01181986234102")</f>
        <v>01181986234102</v>
      </c>
      <c r="L7734" t="str">
        <f>T("1111111111")</f>
        <v>1111111111</v>
      </c>
    </row>
    <row r="7735" spans="1:12" x14ac:dyDescent="0.35">
      <c r="A7735" t="str">
        <f t="shared" si="2891"/>
        <v>US MAR CORP III MEF HQ GRP</v>
      </c>
      <c r="B7735" t="str">
        <f>T("UNIT 16116")</f>
        <v>UNIT 16116</v>
      </c>
      <c r="C7735" t="str">
        <f t="shared" si="2892"/>
        <v/>
      </c>
      <c r="D7735" t="str">
        <f t="shared" si="2893"/>
        <v>FPO</v>
      </c>
      <c r="E7735" t="str">
        <f t="shared" si="2894"/>
        <v>AP</v>
      </c>
      <c r="F7735" t="str">
        <f>T("964276116")</f>
        <v>964276116</v>
      </c>
      <c r="G7735" t="str">
        <f>T("UNIT 16116")</f>
        <v>UNIT 16116</v>
      </c>
      <c r="H7735" t="str">
        <f t="shared" si="2895"/>
        <v/>
      </c>
      <c r="I7735" t="str">
        <f t="shared" si="2896"/>
        <v>FPO</v>
      </c>
      <c r="J7735" t="str">
        <f t="shared" si="2897"/>
        <v>AP</v>
      </c>
      <c r="K7735" t="str">
        <f>T("")</f>
        <v/>
      </c>
      <c r="L7735" t="str">
        <f>T("1111111111")</f>
        <v>1111111111</v>
      </c>
    </row>
    <row r="7736" spans="1:12" x14ac:dyDescent="0.35">
      <c r="A7736" t="str">
        <f t="shared" si="2891"/>
        <v>US MAR CORP III MEF HQ GRP</v>
      </c>
      <c r="B7736" t="str">
        <f>T("UNIT 35002")</f>
        <v>UNIT 35002</v>
      </c>
      <c r="C7736" t="str">
        <f t="shared" si="2892"/>
        <v/>
      </c>
      <c r="D7736" t="str">
        <f t="shared" si="2893"/>
        <v>FPO</v>
      </c>
      <c r="E7736" t="str">
        <f t="shared" si="2894"/>
        <v>AP</v>
      </c>
      <c r="F7736" t="str">
        <f>T("963735002")</f>
        <v>963735002</v>
      </c>
      <c r="G7736" t="str">
        <f>T("UNIT 35002")</f>
        <v>UNIT 35002</v>
      </c>
      <c r="H7736" t="str">
        <f t="shared" si="2895"/>
        <v/>
      </c>
      <c r="I7736" t="str">
        <f t="shared" si="2896"/>
        <v>FPO</v>
      </c>
      <c r="J7736" t="str">
        <f t="shared" si="2897"/>
        <v>AP</v>
      </c>
      <c r="K7736" t="str">
        <f>T("819897055556371229")</f>
        <v>819897055556371229</v>
      </c>
      <c r="L7736" t="str">
        <f>T("1111111111")</f>
        <v>1111111111</v>
      </c>
    </row>
    <row r="7737" spans="1:12" x14ac:dyDescent="0.35">
      <c r="A7737" t="str">
        <f t="shared" si="2891"/>
        <v>US MAR CORP III MEF HQ GRP</v>
      </c>
      <c r="B7737" t="str">
        <f>T("UNIT 35002")</f>
        <v>UNIT 35002</v>
      </c>
      <c r="C7737" t="str">
        <f t="shared" si="2892"/>
        <v/>
      </c>
      <c r="D7737" t="str">
        <f t="shared" si="2893"/>
        <v>FPO</v>
      </c>
      <c r="E7737" t="str">
        <f t="shared" si="2894"/>
        <v>AP</v>
      </c>
      <c r="F7737" t="str">
        <f>T("963735002")</f>
        <v>963735002</v>
      </c>
      <c r="G7737" t="str">
        <f>T("UNIT 35002")</f>
        <v>UNIT 35002</v>
      </c>
      <c r="H7737" t="str">
        <f t="shared" si="2895"/>
        <v/>
      </c>
      <c r="I7737" t="str">
        <f t="shared" si="2896"/>
        <v>FPO</v>
      </c>
      <c r="J7737" t="str">
        <f t="shared" si="2897"/>
        <v>AP</v>
      </c>
      <c r="K7737" t="str">
        <f>T("819897055556372004")</f>
        <v>819897055556372004</v>
      </c>
      <c r="L7737" t="str">
        <f>T("1111111111")</f>
        <v>1111111111</v>
      </c>
    </row>
    <row r="7738" spans="1:12" x14ac:dyDescent="0.35">
      <c r="A7738" t="str">
        <f t="shared" si="2891"/>
        <v>US MAR CORP III MEF HQ GRP</v>
      </c>
      <c r="B7738" t="str">
        <f>T("UNIT 35002")</f>
        <v>UNIT 35002</v>
      </c>
      <c r="C7738" t="str">
        <f t="shared" si="2892"/>
        <v/>
      </c>
      <c r="D7738" t="str">
        <f t="shared" si="2893"/>
        <v>FPO</v>
      </c>
      <c r="E7738" t="str">
        <f t="shared" si="2894"/>
        <v>AP</v>
      </c>
      <c r="F7738" t="str">
        <f>T("963735002")</f>
        <v>963735002</v>
      </c>
      <c r="G7738" t="str">
        <f>T("UNIT 35108")</f>
        <v>UNIT 35108</v>
      </c>
      <c r="H7738" t="str">
        <f t="shared" si="2895"/>
        <v/>
      </c>
      <c r="I7738" t="str">
        <f t="shared" si="2896"/>
        <v>FPO</v>
      </c>
      <c r="J7738" t="str">
        <f t="shared" si="2897"/>
        <v>AP</v>
      </c>
      <c r="K7738" t="str">
        <f>T("011816117371229")</f>
        <v>011816117371229</v>
      </c>
      <c r="L7738" t="str">
        <f>T("1111111111")</f>
        <v>1111111111</v>
      </c>
    </row>
    <row r="7739" spans="1:12" x14ac:dyDescent="0.35">
      <c r="A7739" t="str">
        <f t="shared" si="2891"/>
        <v>US MAR CORP III MEF HQ GRP</v>
      </c>
      <c r="B7739" t="str">
        <f>T("UNIT 35601")</f>
        <v>UNIT 35601</v>
      </c>
      <c r="C7739" t="str">
        <f t="shared" si="2892"/>
        <v/>
      </c>
      <c r="D7739" t="str">
        <f t="shared" si="2893"/>
        <v>FPO</v>
      </c>
      <c r="E7739" t="str">
        <f t="shared" si="2894"/>
        <v>AP</v>
      </c>
      <c r="F7739" t="str">
        <f>T("963825601")</f>
        <v>963825601</v>
      </c>
      <c r="G7739" t="str">
        <f>T("UNIT 35601")</f>
        <v>UNIT 35601</v>
      </c>
      <c r="H7739" t="str">
        <f t="shared" si="2895"/>
        <v/>
      </c>
      <c r="I7739" t="str">
        <f t="shared" si="2896"/>
        <v>FPO</v>
      </c>
      <c r="J7739" t="str">
        <f t="shared" si="2897"/>
        <v>AP</v>
      </c>
      <c r="K7739" t="str">
        <f>T("000000000000000000")</f>
        <v>000000000000000000</v>
      </c>
      <c r="L7739" t="str">
        <f>T("3156227748")</f>
        <v>3156227748</v>
      </c>
    </row>
    <row r="7740" spans="1:12" x14ac:dyDescent="0.35">
      <c r="A7740" t="str">
        <f t="shared" si="2891"/>
        <v>US MAR CORP III MEF HQ GRP</v>
      </c>
      <c r="B7740" t="str">
        <f>T("UNIT 35601")</f>
        <v>UNIT 35601</v>
      </c>
      <c r="C7740" t="str">
        <f t="shared" si="2892"/>
        <v/>
      </c>
      <c r="D7740" t="str">
        <f t="shared" si="2893"/>
        <v>FPO</v>
      </c>
      <c r="E7740" t="str">
        <f t="shared" si="2894"/>
        <v>AP</v>
      </c>
      <c r="F7740" t="str">
        <f>T("963825601")</f>
        <v>963825601</v>
      </c>
      <c r="G7740" t="str">
        <f>T("UNIT 35601")</f>
        <v>UNIT 35601</v>
      </c>
      <c r="H7740" t="str">
        <f t="shared" si="2895"/>
        <v/>
      </c>
      <c r="I7740" t="str">
        <f t="shared" si="2896"/>
        <v>FPO</v>
      </c>
      <c r="J7740" t="str">
        <f t="shared" si="2897"/>
        <v>AP</v>
      </c>
      <c r="K7740" t="str">
        <f>T("81989547715")</f>
        <v>81989547715</v>
      </c>
      <c r="L7740" t="str">
        <f>T("1111111111")</f>
        <v>1111111111</v>
      </c>
    </row>
    <row r="7741" spans="1:12" x14ac:dyDescent="0.35">
      <c r="A7741" t="str">
        <f t="shared" si="2891"/>
        <v>US MAR CORP III MEF HQ GRP</v>
      </c>
      <c r="B7741" t="str">
        <f>T("UNIT 35607")</f>
        <v>UNIT 35607</v>
      </c>
      <c r="C7741" t="str">
        <f t="shared" si="2892"/>
        <v/>
      </c>
      <c r="D7741" t="str">
        <f t="shared" si="2893"/>
        <v>FPO</v>
      </c>
      <c r="E7741" t="str">
        <f t="shared" si="2894"/>
        <v>AP</v>
      </c>
      <c r="F7741" t="str">
        <f>T("963855607")</f>
        <v>963855607</v>
      </c>
      <c r="G7741" t="str">
        <f>T("UNIT 35605")</f>
        <v>UNIT 35605</v>
      </c>
      <c r="H7741" t="str">
        <f t="shared" si="2895"/>
        <v/>
      </c>
      <c r="I7741" t="str">
        <f t="shared" si="2896"/>
        <v>FPO</v>
      </c>
      <c r="J7741" t="str">
        <f t="shared" si="2897"/>
        <v>AP</v>
      </c>
      <c r="K7741" t="str">
        <f>T("000000000000000000")</f>
        <v>000000000000000000</v>
      </c>
      <c r="L7741" t="str">
        <f>T("3156221000")</f>
        <v>3156221000</v>
      </c>
    </row>
    <row r="7742" spans="1:12" x14ac:dyDescent="0.35">
      <c r="A7742" t="str">
        <f t="shared" si="2891"/>
        <v>US MAR CORP III MEF HQ GRP</v>
      </c>
      <c r="B7742" t="str">
        <f>T("UNIT 35607")</f>
        <v>UNIT 35607</v>
      </c>
      <c r="C7742" t="str">
        <f t="shared" si="2892"/>
        <v/>
      </c>
      <c r="D7742" t="str">
        <f t="shared" si="2893"/>
        <v>FPO</v>
      </c>
      <c r="E7742" t="str">
        <f t="shared" si="2894"/>
        <v>AP</v>
      </c>
      <c r="F7742" t="str">
        <f>T("963855607")</f>
        <v>963855607</v>
      </c>
      <c r="G7742" t="str">
        <f>T("UNIT 35607")</f>
        <v>UNIT 35607</v>
      </c>
      <c r="H7742" t="str">
        <f t="shared" si="2895"/>
        <v/>
      </c>
      <c r="I7742" t="str">
        <f t="shared" si="2896"/>
        <v>FPO</v>
      </c>
      <c r="J7742" t="str">
        <f t="shared" si="2897"/>
        <v>AP</v>
      </c>
      <c r="K7742" t="str">
        <f>T("")</f>
        <v/>
      </c>
      <c r="L7742" t="str">
        <f>T("1111111111")</f>
        <v>1111111111</v>
      </c>
    </row>
    <row r="7743" spans="1:12" x14ac:dyDescent="0.35">
      <c r="A7743" t="str">
        <f t="shared" si="2891"/>
        <v>US MAR CORP III MEF HQ GRP</v>
      </c>
      <c r="B7743" t="str">
        <f>T("UNIT 35607")</f>
        <v>UNIT 35607</v>
      </c>
      <c r="C7743" t="str">
        <f t="shared" si="2892"/>
        <v/>
      </c>
      <c r="D7743" t="str">
        <f t="shared" si="2893"/>
        <v>FPO</v>
      </c>
      <c r="E7743" t="str">
        <f t="shared" si="2894"/>
        <v>AP</v>
      </c>
      <c r="F7743" t="str">
        <f>T("963855607")</f>
        <v>963855607</v>
      </c>
      <c r="G7743" t="str">
        <f>T("UNIT 35607")</f>
        <v>UNIT 35607</v>
      </c>
      <c r="H7743" t="str">
        <f t="shared" si="2895"/>
        <v/>
      </c>
      <c r="I7743" t="str">
        <f t="shared" si="2896"/>
        <v>FPO</v>
      </c>
      <c r="J7743" t="str">
        <f t="shared" si="2897"/>
        <v>AP</v>
      </c>
      <c r="K7743" t="str">
        <f>T("000000000000000000")</f>
        <v>000000000000000000</v>
      </c>
      <c r="L7743" t="str">
        <f>T("3156227317")</f>
        <v>3156227317</v>
      </c>
    </row>
    <row r="7744" spans="1:12" x14ac:dyDescent="0.35">
      <c r="A7744" t="str">
        <f t="shared" si="2891"/>
        <v>US MAR CORP III MEF HQ GRP</v>
      </c>
      <c r="B7744" t="str">
        <f>T("UNIT 35607")</f>
        <v>UNIT 35607</v>
      </c>
      <c r="C7744" t="str">
        <f t="shared" si="2892"/>
        <v/>
      </c>
      <c r="D7744" t="str">
        <f t="shared" si="2893"/>
        <v>FPO</v>
      </c>
      <c r="E7744" t="str">
        <f t="shared" si="2894"/>
        <v>AP</v>
      </c>
      <c r="F7744" t="str">
        <f>T("963855607")</f>
        <v>963855607</v>
      </c>
      <c r="G7744" t="str">
        <f>T("UNIT 35607")</f>
        <v>UNIT 35607</v>
      </c>
      <c r="H7744" t="str">
        <f t="shared" si="2895"/>
        <v/>
      </c>
      <c r="I7744" t="str">
        <f t="shared" si="2896"/>
        <v>FPO</v>
      </c>
      <c r="J7744" t="str">
        <f t="shared" si="2897"/>
        <v>AP</v>
      </c>
      <c r="K7744" t="str">
        <f>T("000000000000000000")</f>
        <v>000000000000000000</v>
      </c>
      <c r="L7744" t="str">
        <f>T("3156237317")</f>
        <v>3156237317</v>
      </c>
    </row>
    <row r="7745" spans="1:12" x14ac:dyDescent="0.35">
      <c r="A7745" t="str">
        <f t="shared" si="2891"/>
        <v>US MAR CORP III MEF HQ GRP</v>
      </c>
      <c r="B7745" t="str">
        <f>T("UNIT 35608")</f>
        <v>UNIT 35608</v>
      </c>
      <c r="C7745" t="str">
        <f t="shared" si="2892"/>
        <v/>
      </c>
      <c r="D7745" t="str">
        <f t="shared" si="2893"/>
        <v>FPO</v>
      </c>
      <c r="E7745" t="str">
        <f t="shared" si="2894"/>
        <v>AP</v>
      </c>
      <c r="F7745" t="str">
        <f>T("966065608")</f>
        <v>966065608</v>
      </c>
      <c r="G7745" t="str">
        <f>T("UNIT 35608")</f>
        <v>UNIT 35608</v>
      </c>
      <c r="H7745" t="str">
        <f t="shared" si="2895"/>
        <v/>
      </c>
      <c r="I7745" t="str">
        <f t="shared" si="2896"/>
        <v>FPO</v>
      </c>
      <c r="J7745" t="str">
        <f t="shared" si="2897"/>
        <v>AP</v>
      </c>
      <c r="K7745" t="str">
        <f>T("000000000000000000")</f>
        <v>000000000000000000</v>
      </c>
      <c r="L7745" t="str">
        <f>T("3156234355")</f>
        <v>3156234355</v>
      </c>
    </row>
    <row r="7746" spans="1:12" x14ac:dyDescent="0.35">
      <c r="A7746" t="str">
        <f t="shared" si="2891"/>
        <v>US MAR CORP III MEF HQ GRP</v>
      </c>
      <c r="B7746" t="str">
        <f>T("UNIT 35608")</f>
        <v>UNIT 35608</v>
      </c>
      <c r="C7746" t="str">
        <f t="shared" si="2892"/>
        <v/>
      </c>
      <c r="D7746" t="str">
        <f t="shared" si="2893"/>
        <v>FPO</v>
      </c>
      <c r="E7746" t="str">
        <f t="shared" si="2894"/>
        <v>AP</v>
      </c>
      <c r="F7746" t="str">
        <f>T("966065608")</f>
        <v>966065608</v>
      </c>
      <c r="G7746" t="str">
        <f>T("UNIT 35608")</f>
        <v>UNIT 35608</v>
      </c>
      <c r="H7746" t="str">
        <f t="shared" si="2895"/>
        <v/>
      </c>
      <c r="I7746" t="str">
        <f t="shared" si="2896"/>
        <v>FPO</v>
      </c>
      <c r="J7746" t="str">
        <f t="shared" si="2897"/>
        <v>AP</v>
      </c>
      <c r="K7746" t="str">
        <f>T("000000000000000000")</f>
        <v>000000000000000000</v>
      </c>
      <c r="L7746" t="str">
        <f>T("3156234372")</f>
        <v>3156234372</v>
      </c>
    </row>
    <row r="7747" spans="1:12" x14ac:dyDescent="0.35">
      <c r="A7747" t="str">
        <f t="shared" si="2891"/>
        <v>US MAR CORP III MEF HQ GRP</v>
      </c>
      <c r="B7747" t="str">
        <f>T("UNIT 35608")</f>
        <v>UNIT 35608</v>
      </c>
      <c r="C7747" t="str">
        <f t="shared" si="2892"/>
        <v/>
      </c>
      <c r="D7747" t="str">
        <f t="shared" si="2893"/>
        <v>FPO</v>
      </c>
      <c r="E7747" t="str">
        <f t="shared" si="2894"/>
        <v>AP</v>
      </c>
      <c r="F7747" t="str">
        <f>T("966065608")</f>
        <v>966065608</v>
      </c>
      <c r="G7747" t="str">
        <f>T("UNIT 35608")</f>
        <v>UNIT 35608</v>
      </c>
      <c r="H7747" t="str">
        <f t="shared" si="2895"/>
        <v/>
      </c>
      <c r="I7747" t="str">
        <f t="shared" si="2896"/>
        <v>FPO</v>
      </c>
      <c r="J7747" t="str">
        <f t="shared" si="2897"/>
        <v>AP</v>
      </c>
      <c r="K7747" t="str">
        <f>T("011816117234636")</f>
        <v>011816117234636</v>
      </c>
      <c r="L7747" t="str">
        <f>T("1111111111")</f>
        <v>1111111111</v>
      </c>
    </row>
    <row r="7748" spans="1:12" x14ac:dyDescent="0.35">
      <c r="A7748" t="str">
        <f t="shared" si="2891"/>
        <v>US MAR CORP III MEF HQ GRP</v>
      </c>
      <c r="B7748" t="str">
        <f>T("UNIT 35608")</f>
        <v>UNIT 35608</v>
      </c>
      <c r="C7748" t="str">
        <f t="shared" si="2892"/>
        <v/>
      </c>
      <c r="D7748" t="str">
        <f t="shared" si="2893"/>
        <v>FPO</v>
      </c>
      <c r="E7748" t="str">
        <f t="shared" si="2894"/>
        <v>AP</v>
      </c>
      <c r="F7748" t="str">
        <f>T("966065608")</f>
        <v>966065608</v>
      </c>
      <c r="G7748" t="str">
        <f>T("UNIT 35608")</f>
        <v>UNIT 35608</v>
      </c>
      <c r="H7748" t="str">
        <f t="shared" si="2895"/>
        <v/>
      </c>
      <c r="I7748" t="str">
        <f t="shared" si="2896"/>
        <v>FPO</v>
      </c>
      <c r="J7748" t="str">
        <f t="shared" si="2897"/>
        <v>AP</v>
      </c>
      <c r="K7748" t="str">
        <f>T("3156234636")</f>
        <v>3156234636</v>
      </c>
      <c r="L7748" t="str">
        <f>T("3156234355")</f>
        <v>3156234355</v>
      </c>
    </row>
    <row r="7749" spans="1:12" x14ac:dyDescent="0.35">
      <c r="A7749" t="str">
        <f t="shared" si="2891"/>
        <v>US MAR CORP III MEF HQ GRP</v>
      </c>
      <c r="B7749" t="str">
        <f>T("UNIT 35621")</f>
        <v>UNIT 35621</v>
      </c>
      <c r="C7749" t="str">
        <f t="shared" si="2892"/>
        <v/>
      </c>
      <c r="D7749" t="str">
        <f t="shared" si="2893"/>
        <v>FPO</v>
      </c>
      <c r="E7749" t="str">
        <f t="shared" si="2894"/>
        <v>AP</v>
      </c>
      <c r="F7749" t="str">
        <f>T("963855621")</f>
        <v>963855621</v>
      </c>
      <c r="G7749" t="str">
        <f>T("UNIT 35621")</f>
        <v>UNIT 35621</v>
      </c>
      <c r="H7749" t="str">
        <f t="shared" si="2895"/>
        <v/>
      </c>
      <c r="I7749" t="str">
        <f t="shared" si="2896"/>
        <v>FPO</v>
      </c>
      <c r="J7749" t="str">
        <f t="shared" si="2897"/>
        <v>AP</v>
      </c>
      <c r="K7749" t="str">
        <f>T("000000000000000000")</f>
        <v>000000000000000000</v>
      </c>
      <c r="L7749" t="str">
        <f>T("3156237375")</f>
        <v>3156237375</v>
      </c>
    </row>
    <row r="7750" spans="1:12" x14ac:dyDescent="0.35">
      <c r="A7750" t="str">
        <f t="shared" si="2891"/>
        <v>US MAR CORP III MEF HQ GRP</v>
      </c>
      <c r="B7750" t="str">
        <f>T("UNIT 35621")</f>
        <v>UNIT 35621</v>
      </c>
      <c r="C7750" t="str">
        <f t="shared" si="2892"/>
        <v/>
      </c>
      <c r="D7750" t="str">
        <f t="shared" si="2893"/>
        <v>FPO</v>
      </c>
      <c r="E7750" t="str">
        <f t="shared" si="2894"/>
        <v>AP</v>
      </c>
      <c r="F7750" t="str">
        <f>T("963855621")</f>
        <v>963855621</v>
      </c>
      <c r="G7750" t="str">
        <f>T("UNIT 35621")</f>
        <v>UNIT 35621</v>
      </c>
      <c r="H7750" t="str">
        <f t="shared" si="2895"/>
        <v/>
      </c>
      <c r="I7750" t="str">
        <f t="shared" si="2896"/>
        <v>FPO</v>
      </c>
      <c r="J7750" t="str">
        <f t="shared" si="2897"/>
        <v>AP</v>
      </c>
      <c r="K7750" t="str">
        <f>T("011816117237427")</f>
        <v>011816117237427</v>
      </c>
      <c r="L7750" t="str">
        <f t="shared" ref="L7750:L7756" si="2898">T("1111111111")</f>
        <v>1111111111</v>
      </c>
    </row>
    <row r="7751" spans="1:12" x14ac:dyDescent="0.35">
      <c r="A7751" t="str">
        <f t="shared" si="2891"/>
        <v>US MAR CORP III MEF HQ GRP</v>
      </c>
      <c r="B7751" t="str">
        <f>T("UNIT 35621")</f>
        <v>UNIT 35621</v>
      </c>
      <c r="C7751" t="str">
        <f t="shared" si="2892"/>
        <v/>
      </c>
      <c r="D7751" t="str">
        <f t="shared" si="2893"/>
        <v>FPO</v>
      </c>
      <c r="E7751" t="str">
        <f t="shared" si="2894"/>
        <v>AP</v>
      </c>
      <c r="F7751" t="str">
        <f>T("963855621")</f>
        <v>963855621</v>
      </c>
      <c r="G7751" t="str">
        <f>T("UNIT 35621")</f>
        <v>UNIT 35621</v>
      </c>
      <c r="H7751" t="str">
        <f t="shared" si="2895"/>
        <v/>
      </c>
      <c r="I7751" t="str">
        <f t="shared" si="2896"/>
        <v>FPO</v>
      </c>
      <c r="J7751" t="str">
        <f t="shared" si="2897"/>
        <v>AP</v>
      </c>
      <c r="K7751" t="str">
        <f>T("01181989694670")</f>
        <v>01181989694670</v>
      </c>
      <c r="L7751" t="str">
        <f t="shared" si="2898"/>
        <v>1111111111</v>
      </c>
    </row>
    <row r="7752" spans="1:12" x14ac:dyDescent="0.35">
      <c r="A7752" t="str">
        <f t="shared" si="2891"/>
        <v>US MAR CORP III MEF HQ GRP</v>
      </c>
      <c r="B7752" t="str">
        <f>T("UNIT 35642")</f>
        <v>UNIT 35642</v>
      </c>
      <c r="C7752" t="str">
        <f t="shared" si="2892"/>
        <v/>
      </c>
      <c r="D7752" t="str">
        <f t="shared" si="2893"/>
        <v>FPO</v>
      </c>
      <c r="E7752" t="str">
        <f t="shared" si="2894"/>
        <v>AP</v>
      </c>
      <c r="F7752" t="str">
        <f>T("963735642")</f>
        <v>963735642</v>
      </c>
      <c r="G7752" t="str">
        <f>T("UNIT 35642")</f>
        <v>UNIT 35642</v>
      </c>
      <c r="H7752" t="str">
        <f t="shared" si="2895"/>
        <v/>
      </c>
      <c r="I7752" t="str">
        <f t="shared" si="2896"/>
        <v>FPO</v>
      </c>
      <c r="J7752" t="str">
        <f t="shared" si="2897"/>
        <v>AP</v>
      </c>
      <c r="K7752" t="str">
        <f>T("")</f>
        <v/>
      </c>
      <c r="L7752" t="str">
        <f t="shared" si="2898"/>
        <v>1111111111</v>
      </c>
    </row>
    <row r="7753" spans="1:12" x14ac:dyDescent="0.35">
      <c r="A7753" t="str">
        <f t="shared" si="2891"/>
        <v>US MAR CORP III MEF HQ GRP</v>
      </c>
      <c r="B7753" t="str">
        <f>T("UNIT 35642")</f>
        <v>UNIT 35642</v>
      </c>
      <c r="C7753" t="str">
        <f t="shared" si="2892"/>
        <v/>
      </c>
      <c r="D7753" t="str">
        <f t="shared" si="2893"/>
        <v>FPO</v>
      </c>
      <c r="E7753" t="str">
        <f t="shared" si="2894"/>
        <v>AP</v>
      </c>
      <c r="F7753" t="str">
        <f>T("963735642")</f>
        <v>963735642</v>
      </c>
      <c r="G7753" t="str">
        <f>T("UNIT 35642")</f>
        <v>UNIT 35642</v>
      </c>
      <c r="H7753" t="str">
        <f t="shared" si="2895"/>
        <v/>
      </c>
      <c r="I7753" t="str">
        <f t="shared" si="2896"/>
        <v>FPO</v>
      </c>
      <c r="J7753" t="str">
        <f t="shared" si="2897"/>
        <v>AP</v>
      </c>
      <c r="K7753" t="str">
        <f>T("011816117457786")</f>
        <v>011816117457786</v>
      </c>
      <c r="L7753" t="str">
        <f t="shared" si="2898"/>
        <v>1111111111</v>
      </c>
    </row>
    <row r="7754" spans="1:12" x14ac:dyDescent="0.35">
      <c r="A7754" t="str">
        <f t="shared" si="2891"/>
        <v>US MAR CORP III MEF HQ GRP</v>
      </c>
      <c r="B7754" t="str">
        <f>T("UNIT 35642")</f>
        <v>UNIT 35642</v>
      </c>
      <c r="C7754" t="str">
        <f t="shared" si="2892"/>
        <v/>
      </c>
      <c r="D7754" t="str">
        <f t="shared" si="2893"/>
        <v>FPO</v>
      </c>
      <c r="E7754" t="str">
        <f t="shared" si="2894"/>
        <v>AP</v>
      </c>
      <c r="F7754" t="str">
        <f>T("963735642")</f>
        <v>963735642</v>
      </c>
      <c r="G7754" t="str">
        <f>T("UNIT 35642")</f>
        <v>UNIT 35642</v>
      </c>
      <c r="H7754" t="str">
        <f t="shared" si="2895"/>
        <v/>
      </c>
      <c r="I7754" t="str">
        <f t="shared" si="2896"/>
        <v>FPO</v>
      </c>
      <c r="J7754" t="str">
        <f t="shared" si="2897"/>
        <v>AP</v>
      </c>
      <c r="K7754" t="str">
        <f>T("81989703919")</f>
        <v>81989703919</v>
      </c>
      <c r="L7754" t="str">
        <f t="shared" si="2898"/>
        <v>1111111111</v>
      </c>
    </row>
    <row r="7755" spans="1:12" x14ac:dyDescent="0.35">
      <c r="A7755" t="str">
        <f t="shared" si="2891"/>
        <v>US MAR CORP III MEF HQ GRP</v>
      </c>
      <c r="B7755" t="str">
        <f>T("UNIT 35902")</f>
        <v>UNIT 35902</v>
      </c>
      <c r="C7755" t="str">
        <f t="shared" si="2892"/>
        <v/>
      </c>
      <c r="D7755" t="str">
        <f t="shared" si="2893"/>
        <v>FPO</v>
      </c>
      <c r="E7755" t="str">
        <f t="shared" si="2894"/>
        <v>AP</v>
      </c>
      <c r="F7755" t="str">
        <f>T("963855902")</f>
        <v>963855902</v>
      </c>
      <c r="G7755" t="str">
        <f>T("UNIT 35902")</f>
        <v>UNIT 35902</v>
      </c>
      <c r="H7755" t="str">
        <f t="shared" si="2895"/>
        <v/>
      </c>
      <c r="I7755" t="str">
        <f t="shared" si="2896"/>
        <v>FPO</v>
      </c>
      <c r="J7755" t="str">
        <f t="shared" si="2897"/>
        <v>AP</v>
      </c>
      <c r="K7755" t="str">
        <f>T("")</f>
        <v/>
      </c>
      <c r="L7755" t="str">
        <f t="shared" si="2898"/>
        <v>1111111111</v>
      </c>
    </row>
    <row r="7756" spans="1:12" x14ac:dyDescent="0.35">
      <c r="A7756" t="str">
        <f t="shared" si="2891"/>
        <v>US MAR CORP III MEF HQ GRP</v>
      </c>
      <c r="B7756" t="str">
        <f>T("UNIT 35902")</f>
        <v>UNIT 35902</v>
      </c>
      <c r="C7756" t="str">
        <f t="shared" si="2892"/>
        <v/>
      </c>
      <c r="D7756" t="str">
        <f t="shared" si="2893"/>
        <v>FPO</v>
      </c>
      <c r="E7756" t="str">
        <f t="shared" si="2894"/>
        <v>AP</v>
      </c>
      <c r="F7756" t="str">
        <f>T("963855902")</f>
        <v>963855902</v>
      </c>
      <c r="G7756" t="str">
        <f>T("UNIT 35902")</f>
        <v>UNIT 35902</v>
      </c>
      <c r="H7756" t="str">
        <f t="shared" si="2895"/>
        <v/>
      </c>
      <c r="I7756" t="str">
        <f t="shared" si="2896"/>
        <v>FPO</v>
      </c>
      <c r="J7756" t="str">
        <f t="shared" si="2897"/>
        <v>AP</v>
      </c>
      <c r="K7756" t="str">
        <f>T("01181989694975")</f>
        <v>01181989694975</v>
      </c>
      <c r="L7756" t="str">
        <f t="shared" si="2898"/>
        <v>1111111111</v>
      </c>
    </row>
    <row r="7757" spans="1:12" x14ac:dyDescent="0.35">
      <c r="A7757" t="str">
        <f t="shared" si="2891"/>
        <v>US MAR CORP III MEF HQ GRP</v>
      </c>
      <c r="B7757" t="str">
        <f>T("UNIT 35902")</f>
        <v>UNIT 35902</v>
      </c>
      <c r="C7757" t="str">
        <f t="shared" si="2892"/>
        <v/>
      </c>
      <c r="D7757" t="str">
        <f t="shared" si="2893"/>
        <v>FPO</v>
      </c>
      <c r="E7757" t="str">
        <f t="shared" si="2894"/>
        <v>AP</v>
      </c>
      <c r="F7757" t="str">
        <f>T("963855902")</f>
        <v>963855902</v>
      </c>
      <c r="G7757" t="str">
        <f>T("UNIT 35902")</f>
        <v>UNIT 35902</v>
      </c>
      <c r="H7757" t="str">
        <f t="shared" si="2895"/>
        <v/>
      </c>
      <c r="I7757" t="str">
        <f t="shared" si="2896"/>
        <v>FPO</v>
      </c>
      <c r="J7757" t="str">
        <f t="shared" si="2897"/>
        <v>AP</v>
      </c>
      <c r="K7757" t="str">
        <f>T("011819896964992")</f>
        <v>011819896964992</v>
      </c>
      <c r="L7757" t="str">
        <f>T("3156234992")</f>
        <v>3156234992</v>
      </c>
    </row>
    <row r="7758" spans="1:12" x14ac:dyDescent="0.35">
      <c r="A7758" t="str">
        <f t="shared" si="2891"/>
        <v>US MAR CORP III MEF HQ GRP</v>
      </c>
      <c r="B7758" t="str">
        <f>T("UNIT 37238")</f>
        <v>UNIT 37238</v>
      </c>
      <c r="C7758" t="str">
        <f t="shared" si="2892"/>
        <v/>
      </c>
      <c r="D7758" t="str">
        <f t="shared" si="2893"/>
        <v>FPO</v>
      </c>
      <c r="E7758" t="str">
        <f t="shared" si="2894"/>
        <v>AP</v>
      </c>
      <c r="F7758" t="str">
        <f>T("963720000")</f>
        <v>963720000</v>
      </c>
      <c r="G7758" t="str">
        <f>T("UNIT 37238")</f>
        <v>UNIT 37238</v>
      </c>
      <c r="H7758" t="str">
        <f t="shared" si="2895"/>
        <v/>
      </c>
      <c r="I7758" t="str">
        <f t="shared" si="2896"/>
        <v>FPO</v>
      </c>
      <c r="J7758" t="str">
        <f t="shared" si="2897"/>
        <v>AP</v>
      </c>
      <c r="K7758" t="str">
        <f>T("000000000000000000")</f>
        <v>000000000000000000</v>
      </c>
      <c r="L7758" t="str">
        <f>T("1111111111")</f>
        <v>1111111111</v>
      </c>
    </row>
    <row r="7759" spans="1:12" x14ac:dyDescent="0.35">
      <c r="A7759" t="str">
        <f t="shared" si="2891"/>
        <v>US MAR CORP III MEF HQ GRP</v>
      </c>
      <c r="B7759" t="str">
        <f>T("UNIT 96385")</f>
        <v>UNIT 96385</v>
      </c>
      <c r="C7759" t="str">
        <f t="shared" si="2892"/>
        <v/>
      </c>
      <c r="D7759" t="str">
        <f t="shared" si="2893"/>
        <v>FPO</v>
      </c>
      <c r="E7759" t="str">
        <f t="shared" si="2894"/>
        <v>AP</v>
      </c>
      <c r="F7759" t="str">
        <f>T("963850000")</f>
        <v>963850000</v>
      </c>
      <c r="G7759" t="str">
        <f>T("UNIT 38465")</f>
        <v>UNIT 38465</v>
      </c>
      <c r="H7759" t="str">
        <f t="shared" si="2895"/>
        <v/>
      </c>
      <c r="I7759" t="str">
        <f t="shared" si="2896"/>
        <v>FPO</v>
      </c>
      <c r="J7759" t="str">
        <f t="shared" si="2897"/>
        <v>AP</v>
      </c>
      <c r="K7759" t="str">
        <f>T("011816117232620")</f>
        <v>011816117232620</v>
      </c>
      <c r="L7759" t="str">
        <f>T("3156232620")</f>
        <v>3156232620</v>
      </c>
    </row>
    <row r="7760" spans="1:12" x14ac:dyDescent="0.35">
      <c r="A7760" t="str">
        <f t="shared" si="2891"/>
        <v>US MAR CORP III MEF HQ GRP</v>
      </c>
      <c r="B7760" t="str">
        <f>T("UNIT 96385")</f>
        <v>UNIT 96385</v>
      </c>
      <c r="C7760" t="str">
        <f t="shared" si="2892"/>
        <v/>
      </c>
      <c r="D7760" t="str">
        <f t="shared" si="2893"/>
        <v>FPO</v>
      </c>
      <c r="E7760" t="str">
        <f t="shared" si="2894"/>
        <v>AP</v>
      </c>
      <c r="F7760" t="str">
        <f>T("963850000")</f>
        <v>963850000</v>
      </c>
      <c r="G7760" t="str">
        <f>T("UNIT 96385")</f>
        <v>UNIT 96385</v>
      </c>
      <c r="H7760" t="str">
        <f t="shared" si="2895"/>
        <v/>
      </c>
      <c r="I7760" t="str">
        <f t="shared" si="2896"/>
        <v>FPO</v>
      </c>
      <c r="J7760" t="str">
        <f t="shared" si="2897"/>
        <v>AP</v>
      </c>
      <c r="K7760" t="str">
        <f>T("011816117232620")</f>
        <v>011816117232620</v>
      </c>
      <c r="L7760" t="str">
        <f>T("1111111111")</f>
        <v>1111111111</v>
      </c>
    </row>
    <row r="7761" spans="1:12" x14ac:dyDescent="0.35">
      <c r="A7761" t="str">
        <f t="shared" ref="A7761:A7792" si="2899">T("USMC RCO FAR EAST")</f>
        <v>USMC RCO FAR EAST</v>
      </c>
      <c r="B7761" t="str">
        <f>T("BLDG 215")</f>
        <v>BLDG 215</v>
      </c>
      <c r="C7761" t="str">
        <f t="shared" si="2892"/>
        <v/>
      </c>
      <c r="D7761" t="str">
        <f>T("KANEOHE BAY")</f>
        <v>KANEOHE BAY</v>
      </c>
      <c r="E7761" t="str">
        <f>T("HI")</f>
        <v>HI</v>
      </c>
      <c r="F7761" t="str">
        <f>T("968630000")</f>
        <v>968630000</v>
      </c>
      <c r="G7761" t="str">
        <f>T("BLDG 215")</f>
        <v>BLDG 215</v>
      </c>
      <c r="H7761" t="str">
        <f t="shared" si="2895"/>
        <v/>
      </c>
      <c r="I7761" t="str">
        <f>T("KANEOHE BAY")</f>
        <v>KANEOHE BAY</v>
      </c>
      <c r="J7761" t="str">
        <f>T("HI")</f>
        <v>HI</v>
      </c>
      <c r="K7761" t="str">
        <f>T("000000000000000000")</f>
        <v>000000000000000000</v>
      </c>
      <c r="L7761" t="str">
        <f>T("8082571613")</f>
        <v>8082571613</v>
      </c>
    </row>
    <row r="7762" spans="1:12" x14ac:dyDescent="0.35">
      <c r="A7762" t="str">
        <f t="shared" si="2899"/>
        <v>USMC RCO FAR EAST</v>
      </c>
      <c r="B7762" t="str">
        <f>T("BLDG 215")</f>
        <v>BLDG 215</v>
      </c>
      <c r="C7762" t="str">
        <f t="shared" si="2892"/>
        <v/>
      </c>
      <c r="D7762" t="str">
        <f>T("KANEOHE BAY")</f>
        <v>KANEOHE BAY</v>
      </c>
      <c r="E7762" t="str">
        <f>T("HI")</f>
        <v>HI</v>
      </c>
      <c r="F7762" t="str">
        <f>T("968630000")</f>
        <v>968630000</v>
      </c>
      <c r="G7762" t="str">
        <f>T("BLDG 215")</f>
        <v>BLDG 215</v>
      </c>
      <c r="H7762" t="str">
        <f t="shared" si="2895"/>
        <v/>
      </c>
      <c r="I7762" t="str">
        <f>T("KANEOHE BAY")</f>
        <v>KANEOHE BAY</v>
      </c>
      <c r="J7762" t="str">
        <f>T("HI")</f>
        <v>HI</v>
      </c>
      <c r="K7762" t="str">
        <f>T("000000000000000000")</f>
        <v>000000000000000000</v>
      </c>
      <c r="L7762" t="str">
        <f>T("8082576743")</f>
        <v>8082576743</v>
      </c>
    </row>
    <row r="7763" spans="1:12" x14ac:dyDescent="0.35">
      <c r="A7763" t="str">
        <f t="shared" si="2899"/>
        <v>USMC RCO FAR EAST</v>
      </c>
      <c r="B7763" t="str">
        <f>T("CAMP FUJI")</f>
        <v>CAMP FUJI</v>
      </c>
      <c r="C7763" t="str">
        <f>T("PSC 564 BOX 80")</f>
        <v>PSC 564 BOX 80</v>
      </c>
      <c r="D7763" t="str">
        <f t="shared" ref="D7763:D7783" si="2900">T("FPO")</f>
        <v>FPO</v>
      </c>
      <c r="E7763" t="str">
        <f t="shared" ref="E7763:E7794" si="2901">T("AP")</f>
        <v>AP</v>
      </c>
      <c r="F7763" t="str">
        <f>T("963870001")</f>
        <v>963870001</v>
      </c>
      <c r="G7763" t="str">
        <f>T("CAMP FUJI")</f>
        <v>CAMP FUJI</v>
      </c>
      <c r="H7763" t="str">
        <f>T("PSC 564 BOX 80")</f>
        <v>PSC 564 BOX 80</v>
      </c>
      <c r="I7763" t="str">
        <f t="shared" ref="I7763:I7783" si="2902">T("FPO")</f>
        <v>FPO</v>
      </c>
      <c r="J7763" t="str">
        <f t="shared" ref="J7763:J7794" si="2903">T("AP")</f>
        <v>AP</v>
      </c>
      <c r="K7763" t="str">
        <f>T("011816140248466")</f>
        <v>011816140248466</v>
      </c>
      <c r="L7763" t="str">
        <f t="shared" ref="L7763:L7768" si="2904">T("1111111111")</f>
        <v>1111111111</v>
      </c>
    </row>
    <row r="7764" spans="1:12" x14ac:dyDescent="0.35">
      <c r="A7764" t="str">
        <f t="shared" si="2899"/>
        <v>USMC RCO FAR EAST</v>
      </c>
      <c r="B7764" t="str">
        <f>T("CAMP FUJI")</f>
        <v>CAMP FUJI</v>
      </c>
      <c r="C7764" t="str">
        <f>T("PSC 564 BOX 80")</f>
        <v>PSC 564 BOX 80</v>
      </c>
      <c r="D7764" t="str">
        <f t="shared" si="2900"/>
        <v>FPO</v>
      </c>
      <c r="E7764" t="str">
        <f t="shared" si="2901"/>
        <v>AP</v>
      </c>
      <c r="F7764" t="str">
        <f>T("963870001")</f>
        <v>963870001</v>
      </c>
      <c r="G7764" t="str">
        <f>T("CAMP FUJI")</f>
        <v>CAMP FUJI</v>
      </c>
      <c r="H7764" t="str">
        <f>T("PSC 564 BOX 80")</f>
        <v>PSC 564 BOX 80</v>
      </c>
      <c r="I7764" t="str">
        <f t="shared" si="2902"/>
        <v>FPO</v>
      </c>
      <c r="J7764" t="str">
        <f t="shared" si="2903"/>
        <v>AP</v>
      </c>
      <c r="K7764" t="str">
        <f>T("81550896102")</f>
        <v>81550896102</v>
      </c>
      <c r="L7764" t="str">
        <f t="shared" si="2904"/>
        <v>1111111111</v>
      </c>
    </row>
    <row r="7765" spans="1:12" x14ac:dyDescent="0.35">
      <c r="A7765" t="str">
        <f t="shared" si="2899"/>
        <v>USMC RCO FAR EAST</v>
      </c>
      <c r="B7765" t="str">
        <f>T("CAMP FUJI")</f>
        <v>CAMP FUJI</v>
      </c>
      <c r="C7765" t="str">
        <f>T("PSC 564 BOX 80")</f>
        <v>PSC 564 BOX 80</v>
      </c>
      <c r="D7765" t="str">
        <f t="shared" si="2900"/>
        <v>FPO</v>
      </c>
      <c r="E7765" t="str">
        <f t="shared" si="2901"/>
        <v>AP</v>
      </c>
      <c r="F7765" t="str">
        <f>T("963870001")</f>
        <v>963870001</v>
      </c>
      <c r="G7765" t="str">
        <f>T("PSC 564 BOX 80")</f>
        <v>PSC 564 BOX 80</v>
      </c>
      <c r="H7765" t="str">
        <f>T("")</f>
        <v/>
      </c>
      <c r="I7765" t="str">
        <f t="shared" si="2902"/>
        <v>FPO</v>
      </c>
      <c r="J7765" t="str">
        <f t="shared" si="2903"/>
        <v>AP</v>
      </c>
      <c r="K7765" t="str">
        <f>T("011816140248466")</f>
        <v>011816140248466</v>
      </c>
      <c r="L7765" t="str">
        <f t="shared" si="2904"/>
        <v>1111111111</v>
      </c>
    </row>
    <row r="7766" spans="1:12" x14ac:dyDescent="0.35">
      <c r="A7766" t="str">
        <f t="shared" si="2899"/>
        <v>USMC RCO FAR EAST</v>
      </c>
      <c r="B7766" t="str">
        <f>T("FSMB MCB S D BUTLER")</f>
        <v>FSMB MCB S D BUTLER</v>
      </c>
      <c r="C7766" t="str">
        <f>T("UNIT 35006")</f>
        <v>UNIT 35006</v>
      </c>
      <c r="D7766" t="str">
        <f t="shared" si="2900"/>
        <v>FPO</v>
      </c>
      <c r="E7766" t="str">
        <f t="shared" si="2901"/>
        <v>AP</v>
      </c>
      <c r="F7766" t="str">
        <f>T("963735006")</f>
        <v>963735006</v>
      </c>
      <c r="G7766" t="str">
        <f>T("FSMB MCB S D BUTLER")</f>
        <v>FSMB MCB S D BUTLER</v>
      </c>
      <c r="H7766" t="str">
        <f>T("UNIT 35006")</f>
        <v>UNIT 35006</v>
      </c>
      <c r="I7766" t="str">
        <f t="shared" si="2902"/>
        <v>FPO</v>
      </c>
      <c r="J7766" t="str">
        <f t="shared" si="2903"/>
        <v>AP</v>
      </c>
      <c r="K7766" t="str">
        <f>T("011816117455489")</f>
        <v>011816117455489</v>
      </c>
      <c r="L7766" t="str">
        <f t="shared" si="2904"/>
        <v>1111111111</v>
      </c>
    </row>
    <row r="7767" spans="1:12" x14ac:dyDescent="0.35">
      <c r="A7767" t="str">
        <f t="shared" si="2899"/>
        <v>USMC RCO FAR EAST</v>
      </c>
      <c r="B7767" t="str">
        <f>T("FSMB MCB S D BUTLER")</f>
        <v>FSMB MCB S D BUTLER</v>
      </c>
      <c r="C7767" t="str">
        <f>T("UNIT 35006")</f>
        <v>UNIT 35006</v>
      </c>
      <c r="D7767" t="str">
        <f t="shared" si="2900"/>
        <v>FPO</v>
      </c>
      <c r="E7767" t="str">
        <f t="shared" si="2901"/>
        <v>AP</v>
      </c>
      <c r="F7767" t="str">
        <f>T("963735006")</f>
        <v>963735006</v>
      </c>
      <c r="G7767" t="str">
        <f>T("UNIT 35006")</f>
        <v>UNIT 35006</v>
      </c>
      <c r="H7767" t="str">
        <f>T("")</f>
        <v/>
      </c>
      <c r="I7767" t="str">
        <f t="shared" si="2902"/>
        <v>FPO</v>
      </c>
      <c r="J7767" t="str">
        <f t="shared" si="2903"/>
        <v>AP</v>
      </c>
      <c r="K7767" t="str">
        <f>T("81989702177")</f>
        <v>81989702177</v>
      </c>
      <c r="L7767" t="str">
        <f t="shared" si="2904"/>
        <v>1111111111</v>
      </c>
    </row>
    <row r="7768" spans="1:12" x14ac:dyDescent="0.35">
      <c r="A7768" t="str">
        <f t="shared" si="2899"/>
        <v>USMC RCO FAR EAST</v>
      </c>
      <c r="B7768" t="str">
        <f t="shared" ref="B7768:B7775" si="2905">T("MCB CAMP S D BUTLER")</f>
        <v>MCB CAMP S D BUTLER</v>
      </c>
      <c r="C7768" t="str">
        <f>T("UNIT 35002")</f>
        <v>UNIT 35002</v>
      </c>
      <c r="D7768" t="str">
        <f t="shared" si="2900"/>
        <v>FPO</v>
      </c>
      <c r="E7768" t="str">
        <f t="shared" si="2901"/>
        <v>AP</v>
      </c>
      <c r="F7768" t="str">
        <f>T("963735002")</f>
        <v>963735002</v>
      </c>
      <c r="G7768" t="str">
        <f>T("MCB CAMP S D BUTLER")</f>
        <v>MCB CAMP S D BUTLER</v>
      </c>
      <c r="H7768" t="str">
        <f>T("UNIT 35002")</f>
        <v>UNIT 35002</v>
      </c>
      <c r="I7768" t="str">
        <f t="shared" si="2902"/>
        <v>FPO</v>
      </c>
      <c r="J7768" t="str">
        <f t="shared" si="2903"/>
        <v>AP</v>
      </c>
      <c r="K7768" t="str">
        <f>T("011816140455050")</f>
        <v>011816140455050</v>
      </c>
      <c r="L7768" t="str">
        <f t="shared" si="2904"/>
        <v>1111111111</v>
      </c>
    </row>
    <row r="7769" spans="1:12" x14ac:dyDescent="0.35">
      <c r="A7769" t="str">
        <f t="shared" si="2899"/>
        <v>USMC RCO FAR EAST</v>
      </c>
      <c r="B7769" t="str">
        <f t="shared" si="2905"/>
        <v>MCB CAMP S D BUTLER</v>
      </c>
      <c r="C7769" t="str">
        <f>T("UNIT 35002")</f>
        <v>UNIT 35002</v>
      </c>
      <c r="D7769" t="str">
        <f t="shared" si="2900"/>
        <v>FPO</v>
      </c>
      <c r="E7769" t="str">
        <f t="shared" si="2901"/>
        <v>AP</v>
      </c>
      <c r="F7769" t="str">
        <f>T("963735002")</f>
        <v>963735002</v>
      </c>
      <c r="G7769" t="str">
        <f>T("UNIT 35001")</f>
        <v>UNIT 35001</v>
      </c>
      <c r="H7769" t="str">
        <f>T("")</f>
        <v/>
      </c>
      <c r="I7769" t="str">
        <f t="shared" si="2902"/>
        <v>FPO</v>
      </c>
      <c r="J7769" t="str">
        <f t="shared" si="2903"/>
        <v>AP</v>
      </c>
      <c r="K7769" t="str">
        <f>T("000000000000000000")</f>
        <v>000000000000000000</v>
      </c>
      <c r="L7769" t="str">
        <f>T("0989702453")</f>
        <v>0989702453</v>
      </c>
    </row>
    <row r="7770" spans="1:12" x14ac:dyDescent="0.35">
      <c r="A7770" t="str">
        <f t="shared" si="2899"/>
        <v>USMC RCO FAR EAST</v>
      </c>
      <c r="B7770" t="str">
        <f t="shared" si="2905"/>
        <v>MCB CAMP S D BUTLER</v>
      </c>
      <c r="C7770" t="str">
        <f>T("UNIT 35002")</f>
        <v>UNIT 35002</v>
      </c>
      <c r="D7770" t="str">
        <f t="shared" si="2900"/>
        <v>FPO</v>
      </c>
      <c r="E7770" t="str">
        <f t="shared" si="2901"/>
        <v>AP</v>
      </c>
      <c r="F7770" t="str">
        <f>T("963735002")</f>
        <v>963735002</v>
      </c>
      <c r="G7770" t="str">
        <f>T("UNIT 35002")</f>
        <v>UNIT 35002</v>
      </c>
      <c r="H7770" t="str">
        <f>T("")</f>
        <v/>
      </c>
      <c r="I7770" t="str">
        <f t="shared" si="2902"/>
        <v>FPO</v>
      </c>
      <c r="J7770" t="str">
        <f t="shared" si="2903"/>
        <v>AP</v>
      </c>
      <c r="K7770" t="str">
        <f>T("81989702453")</f>
        <v>81989702453</v>
      </c>
      <c r="L7770" t="str">
        <f>T("1111111111")</f>
        <v>1111111111</v>
      </c>
    </row>
    <row r="7771" spans="1:12" x14ac:dyDescent="0.35">
      <c r="A7771" t="str">
        <f t="shared" si="2899"/>
        <v>USMC RCO FAR EAST</v>
      </c>
      <c r="B7771" t="str">
        <f t="shared" si="2905"/>
        <v>MCB CAMP S D BUTLER</v>
      </c>
      <c r="C7771" t="str">
        <f>T("UNIT 35002")</f>
        <v>UNIT 35002</v>
      </c>
      <c r="D7771" t="str">
        <f t="shared" si="2900"/>
        <v>FPO</v>
      </c>
      <c r="E7771" t="str">
        <f t="shared" si="2901"/>
        <v>AP</v>
      </c>
      <c r="F7771" t="str">
        <f>T("963735002")</f>
        <v>963735002</v>
      </c>
      <c r="G7771" t="str">
        <f>T("UNIT 35002")</f>
        <v>UNIT 35002</v>
      </c>
      <c r="H7771" t="str">
        <f>T("")</f>
        <v/>
      </c>
      <c r="I7771" t="str">
        <f t="shared" si="2902"/>
        <v>FPO</v>
      </c>
      <c r="J7771" t="str">
        <f t="shared" si="2903"/>
        <v>AP</v>
      </c>
      <c r="K7771" t="str">
        <f>T("81989702453")</f>
        <v>81989702453</v>
      </c>
      <c r="L7771" t="str">
        <f>T("3156452453")</f>
        <v>3156452453</v>
      </c>
    </row>
    <row r="7772" spans="1:12" x14ac:dyDescent="0.35">
      <c r="A7772" t="str">
        <f t="shared" si="2899"/>
        <v>USMC RCO FAR EAST</v>
      </c>
      <c r="B7772" t="str">
        <f t="shared" si="2905"/>
        <v>MCB CAMP S D BUTLER</v>
      </c>
      <c r="C7772" t="str">
        <f>T("UNIT 35006")</f>
        <v>UNIT 35006</v>
      </c>
      <c r="D7772" t="str">
        <f t="shared" si="2900"/>
        <v>FPO</v>
      </c>
      <c r="E7772" t="str">
        <f t="shared" si="2901"/>
        <v>AP</v>
      </c>
      <c r="F7772" t="str">
        <f>T("963735006")</f>
        <v>963735006</v>
      </c>
      <c r="G7772" t="str">
        <f>T("MCB CAMP S D BUTLER")</f>
        <v>MCB CAMP S D BUTLER</v>
      </c>
      <c r="H7772" t="str">
        <f>T("UNIT 35006")</f>
        <v>UNIT 35006</v>
      </c>
      <c r="I7772" t="str">
        <f t="shared" si="2902"/>
        <v>FPO</v>
      </c>
      <c r="J7772" t="str">
        <f t="shared" si="2903"/>
        <v>AP</v>
      </c>
      <c r="K7772" t="str">
        <f>T("")</f>
        <v/>
      </c>
      <c r="L7772" t="str">
        <f>T("1111111111")</f>
        <v>1111111111</v>
      </c>
    </row>
    <row r="7773" spans="1:12" x14ac:dyDescent="0.35">
      <c r="A7773" t="str">
        <f t="shared" si="2899"/>
        <v>USMC RCO FAR EAST</v>
      </c>
      <c r="B7773" t="str">
        <f t="shared" si="2905"/>
        <v>MCB CAMP S D BUTLER</v>
      </c>
      <c r="C7773" t="str">
        <f>T("UNIT 35006")</f>
        <v>UNIT 35006</v>
      </c>
      <c r="D7773" t="str">
        <f t="shared" si="2900"/>
        <v>FPO</v>
      </c>
      <c r="E7773" t="str">
        <f t="shared" si="2901"/>
        <v>AP</v>
      </c>
      <c r="F7773" t="str">
        <f>T("963735006")</f>
        <v>963735006</v>
      </c>
      <c r="G7773" t="str">
        <f>T("UNIT 35006")</f>
        <v>UNIT 35006</v>
      </c>
      <c r="H7773" t="str">
        <f t="shared" ref="H7773:H7778" si="2906">T("")</f>
        <v/>
      </c>
      <c r="I7773" t="str">
        <f t="shared" si="2902"/>
        <v>FPO</v>
      </c>
      <c r="J7773" t="str">
        <f t="shared" si="2903"/>
        <v>AP</v>
      </c>
      <c r="K7773" t="str">
        <f>T("011816117453138")</f>
        <v>011816117453138</v>
      </c>
      <c r="L7773" t="str">
        <f>T("1111111111")</f>
        <v>1111111111</v>
      </c>
    </row>
    <row r="7774" spans="1:12" x14ac:dyDescent="0.35">
      <c r="A7774" t="str">
        <f t="shared" si="2899"/>
        <v>USMC RCO FAR EAST</v>
      </c>
      <c r="B7774" t="str">
        <f t="shared" si="2905"/>
        <v>MCB CAMP S D BUTLER</v>
      </c>
      <c r="C7774" t="str">
        <f>T("UNIT 35006")</f>
        <v>UNIT 35006</v>
      </c>
      <c r="D7774" t="str">
        <f t="shared" si="2900"/>
        <v>FPO</v>
      </c>
      <c r="E7774" t="str">
        <f t="shared" si="2901"/>
        <v>AP</v>
      </c>
      <c r="F7774" t="str">
        <f>T("963735006")</f>
        <v>963735006</v>
      </c>
      <c r="G7774" t="str">
        <f>T("UNIT 35006")</f>
        <v>UNIT 35006</v>
      </c>
      <c r="H7774" t="str">
        <f t="shared" si="2906"/>
        <v/>
      </c>
      <c r="I7774" t="str">
        <f t="shared" si="2902"/>
        <v>FPO</v>
      </c>
      <c r="J7774" t="str">
        <f t="shared" si="2903"/>
        <v>AP</v>
      </c>
      <c r="K7774" t="str">
        <f>T("81989700956")</f>
        <v>81989700956</v>
      </c>
      <c r="L7774" t="str">
        <f>T("1111111111")</f>
        <v>1111111111</v>
      </c>
    </row>
    <row r="7775" spans="1:12" x14ac:dyDescent="0.35">
      <c r="A7775" t="str">
        <f t="shared" si="2899"/>
        <v>USMC RCO FAR EAST</v>
      </c>
      <c r="B7775" t="str">
        <f t="shared" si="2905"/>
        <v>MCB CAMP S D BUTLER</v>
      </c>
      <c r="C7775" t="str">
        <f>T("UNIT 35006")</f>
        <v>UNIT 35006</v>
      </c>
      <c r="D7775" t="str">
        <f t="shared" si="2900"/>
        <v>FPO</v>
      </c>
      <c r="E7775" t="str">
        <f t="shared" si="2901"/>
        <v>AP</v>
      </c>
      <c r="F7775" t="str">
        <f>T("963735006")</f>
        <v>963735006</v>
      </c>
      <c r="G7775" t="str">
        <f>T("UNIT 35006")</f>
        <v>UNIT 35006</v>
      </c>
      <c r="H7775" t="str">
        <f t="shared" si="2906"/>
        <v/>
      </c>
      <c r="I7775" t="str">
        <f t="shared" si="2902"/>
        <v>FPO</v>
      </c>
      <c r="J7775" t="str">
        <f t="shared" si="2903"/>
        <v>AP</v>
      </c>
      <c r="K7775" t="str">
        <f>T("81989704055")</f>
        <v>81989704055</v>
      </c>
      <c r="L7775" t="str">
        <f>T("1111111111")</f>
        <v>1111111111</v>
      </c>
    </row>
    <row r="7776" spans="1:12" x14ac:dyDescent="0.35">
      <c r="A7776" t="str">
        <f t="shared" si="2899"/>
        <v>USMC RCO FAR EAST</v>
      </c>
      <c r="B7776" t="str">
        <f>T("PSC 557 BOX 2000")</f>
        <v>PSC 557 BOX 2000</v>
      </c>
      <c r="C7776" t="str">
        <f>T("")</f>
        <v/>
      </c>
      <c r="D7776" t="str">
        <f t="shared" si="2900"/>
        <v>FPO</v>
      </c>
      <c r="E7776" t="str">
        <f t="shared" si="2901"/>
        <v>AP</v>
      </c>
      <c r="F7776" t="str">
        <f>T("963792000")</f>
        <v>963792000</v>
      </c>
      <c r="G7776" t="str">
        <f>T("PSC 557 BOX 2000")</f>
        <v>PSC 557 BOX 2000</v>
      </c>
      <c r="H7776" t="str">
        <f t="shared" si="2906"/>
        <v/>
      </c>
      <c r="I7776" t="str">
        <f t="shared" si="2902"/>
        <v>FPO</v>
      </c>
      <c r="J7776" t="str">
        <f t="shared" si="2903"/>
        <v>AP</v>
      </c>
      <c r="K7776" t="str">
        <f>T("01181989700959")</f>
        <v>01181989700959</v>
      </c>
      <c r="L7776" t="str">
        <f>T("1111111111")</f>
        <v>1111111111</v>
      </c>
    </row>
    <row r="7777" spans="1:12" x14ac:dyDescent="0.35">
      <c r="A7777" t="str">
        <f t="shared" si="2899"/>
        <v>USMC RCO FAR EAST</v>
      </c>
      <c r="B7777" t="str">
        <f>T("PSC 557 BOX 2000")</f>
        <v>PSC 557 BOX 2000</v>
      </c>
      <c r="C7777" t="str">
        <f>T("")</f>
        <v/>
      </c>
      <c r="D7777" t="str">
        <f t="shared" si="2900"/>
        <v>FPO</v>
      </c>
      <c r="E7777" t="str">
        <f t="shared" si="2901"/>
        <v>AP</v>
      </c>
      <c r="F7777" t="str">
        <f>T("963792000")</f>
        <v>963792000</v>
      </c>
      <c r="G7777" t="str">
        <f>T("PSC 557 BOX 2000")</f>
        <v>PSC 557 BOX 2000</v>
      </c>
      <c r="H7777" t="str">
        <f t="shared" si="2906"/>
        <v/>
      </c>
      <c r="I7777" t="str">
        <f t="shared" si="2902"/>
        <v>FPO</v>
      </c>
      <c r="J7777" t="str">
        <f t="shared" si="2903"/>
        <v>AP</v>
      </c>
      <c r="K7777" t="str">
        <f>T("01181989708697")</f>
        <v>01181989708697</v>
      </c>
      <c r="L7777" t="str">
        <f>T("3156457642")</f>
        <v>3156457642</v>
      </c>
    </row>
    <row r="7778" spans="1:12" x14ac:dyDescent="0.35">
      <c r="A7778" t="str">
        <f t="shared" si="2899"/>
        <v>USMC RCO FAR EAST</v>
      </c>
      <c r="B7778" t="str">
        <f>T("PSC 557 BOX 2000")</f>
        <v>PSC 557 BOX 2000</v>
      </c>
      <c r="C7778" t="str">
        <f>T("")</f>
        <v/>
      </c>
      <c r="D7778" t="str">
        <f t="shared" si="2900"/>
        <v>FPO</v>
      </c>
      <c r="E7778" t="str">
        <f t="shared" si="2901"/>
        <v>AP</v>
      </c>
      <c r="F7778" t="str">
        <f>T("963792000")</f>
        <v>963792000</v>
      </c>
      <c r="G7778" t="str">
        <f>T("PSC 557 BOX 2000")</f>
        <v>PSC 557 BOX 2000</v>
      </c>
      <c r="H7778" t="str">
        <f t="shared" si="2906"/>
        <v/>
      </c>
      <c r="I7778" t="str">
        <f t="shared" si="2902"/>
        <v>FPO</v>
      </c>
      <c r="J7778" t="str">
        <f t="shared" si="2903"/>
        <v>AP</v>
      </c>
      <c r="K7778" t="str">
        <f>T("81989701289")</f>
        <v>81989701289</v>
      </c>
      <c r="L7778" t="str">
        <f>T("1111111111")</f>
        <v>1111111111</v>
      </c>
    </row>
    <row r="7779" spans="1:12" x14ac:dyDescent="0.35">
      <c r="A7779" t="str">
        <f t="shared" si="2899"/>
        <v>USMC RCO FAR EAST</v>
      </c>
      <c r="B7779" t="str">
        <f>T("PSC 557 BOX 2016")</f>
        <v>PSC 557 BOX 2016</v>
      </c>
      <c r="C7779" t="str">
        <f>T("SACC MCB")</f>
        <v>SACC MCB</v>
      </c>
      <c r="D7779" t="str">
        <f t="shared" si="2900"/>
        <v>FPO</v>
      </c>
      <c r="E7779" t="str">
        <f t="shared" si="2901"/>
        <v>AP</v>
      </c>
      <c r="F7779" t="str">
        <f>T("963790021")</f>
        <v>963790021</v>
      </c>
      <c r="G7779" t="str">
        <f>T("PSC 557 BOX 2016")</f>
        <v>PSC 557 BOX 2016</v>
      </c>
      <c r="H7779" t="str">
        <f>T("SACC MCB")</f>
        <v>SACC MCB</v>
      </c>
      <c r="I7779" t="str">
        <f t="shared" si="2902"/>
        <v>FPO</v>
      </c>
      <c r="J7779" t="str">
        <f t="shared" si="2903"/>
        <v>AP</v>
      </c>
      <c r="K7779" t="str">
        <f>T("000000000000000000")</f>
        <v>000000000000000000</v>
      </c>
      <c r="L7779" t="str">
        <f>T("9876543210")</f>
        <v>9876543210</v>
      </c>
    </row>
    <row r="7780" spans="1:12" x14ac:dyDescent="0.35">
      <c r="A7780" t="str">
        <f t="shared" si="2899"/>
        <v>USMC RCO FAR EAST</v>
      </c>
      <c r="B7780" t="str">
        <f>T("PSC 564")</f>
        <v>PSC 564</v>
      </c>
      <c r="C7780" t="str">
        <f>T("BOX 80")</f>
        <v>BOX 80</v>
      </c>
      <c r="D7780" t="str">
        <f t="shared" si="2900"/>
        <v>FPO</v>
      </c>
      <c r="E7780" t="str">
        <f t="shared" si="2901"/>
        <v>AP</v>
      </c>
      <c r="F7780" t="str">
        <f>T("963870080")</f>
        <v>963870080</v>
      </c>
      <c r="G7780" t="str">
        <f>T("PSC 564")</f>
        <v>PSC 564</v>
      </c>
      <c r="H7780" t="str">
        <f>T("BOX 80")</f>
        <v>BOX 80</v>
      </c>
      <c r="I7780" t="str">
        <f t="shared" si="2902"/>
        <v>FPO</v>
      </c>
      <c r="J7780" t="str">
        <f t="shared" si="2903"/>
        <v>AP</v>
      </c>
      <c r="K7780" t="str">
        <f>T("000000000000000000")</f>
        <v>000000000000000000</v>
      </c>
      <c r="L7780" t="str">
        <f>T("3152248351")</f>
        <v>3152248351</v>
      </c>
    </row>
    <row r="7781" spans="1:12" x14ac:dyDescent="0.35">
      <c r="A7781" t="str">
        <f t="shared" si="2899"/>
        <v>USMC RCO FAR EAST</v>
      </c>
      <c r="B7781" t="str">
        <f>T("PSC 564")</f>
        <v>PSC 564</v>
      </c>
      <c r="C7781" t="str">
        <f>T("BOX 80")</f>
        <v>BOX 80</v>
      </c>
      <c r="D7781" t="str">
        <f t="shared" si="2900"/>
        <v>FPO</v>
      </c>
      <c r="E7781" t="str">
        <f t="shared" si="2901"/>
        <v>AP</v>
      </c>
      <c r="F7781" t="str">
        <f>T("963870080")</f>
        <v>963870080</v>
      </c>
      <c r="G7781" t="str">
        <f>T("PSC 564")</f>
        <v>PSC 564</v>
      </c>
      <c r="H7781" t="str">
        <f>T("BOX 80")</f>
        <v>BOX 80</v>
      </c>
      <c r="I7781" t="str">
        <f t="shared" si="2902"/>
        <v>FPO</v>
      </c>
      <c r="J7781" t="str">
        <f t="shared" si="2903"/>
        <v>AP</v>
      </c>
      <c r="K7781" t="str">
        <f>T("011816140248339")</f>
        <v>011816140248339</v>
      </c>
      <c r="L7781" t="str">
        <f>T("1111111111")</f>
        <v>1111111111</v>
      </c>
    </row>
    <row r="7782" spans="1:12" x14ac:dyDescent="0.35">
      <c r="A7782" t="str">
        <f t="shared" si="2899"/>
        <v>USMC RCO FAR EAST</v>
      </c>
      <c r="B7782" t="str">
        <f>T("PSC 564")</f>
        <v>PSC 564</v>
      </c>
      <c r="C7782" t="str">
        <f>T("BOX 80")</f>
        <v>BOX 80</v>
      </c>
      <c r="D7782" t="str">
        <f t="shared" si="2900"/>
        <v>FPO</v>
      </c>
      <c r="E7782" t="str">
        <f t="shared" si="2901"/>
        <v>AP</v>
      </c>
      <c r="F7782" t="str">
        <f>T("963870080")</f>
        <v>963870080</v>
      </c>
      <c r="G7782" t="str">
        <f>T("PSC 564 BOX 80")</f>
        <v>PSC 564 BOX 80</v>
      </c>
      <c r="H7782" t="str">
        <f t="shared" ref="H7782:H7789" si="2907">T("")</f>
        <v/>
      </c>
      <c r="I7782" t="str">
        <f t="shared" si="2902"/>
        <v>FPO</v>
      </c>
      <c r="J7782" t="str">
        <f t="shared" si="2903"/>
        <v>AP</v>
      </c>
      <c r="K7782" t="str">
        <f>T("000000000000000000")</f>
        <v>000000000000000000</v>
      </c>
      <c r="L7782" t="str">
        <f>T("1111111111")</f>
        <v>1111111111</v>
      </c>
    </row>
    <row r="7783" spans="1:12" x14ac:dyDescent="0.35">
      <c r="A7783" t="str">
        <f t="shared" si="2899"/>
        <v>USMC RCO FAR EAST</v>
      </c>
      <c r="B7783" t="str">
        <f>T("PSC 564 BOX 472")</f>
        <v>PSC 564 BOX 472</v>
      </c>
      <c r="C7783" t="str">
        <f t="shared" ref="C7783:C7825" si="2908">T("")</f>
        <v/>
      </c>
      <c r="D7783" t="str">
        <f t="shared" si="2900"/>
        <v>FPO</v>
      </c>
      <c r="E7783" t="str">
        <f t="shared" si="2901"/>
        <v>AP</v>
      </c>
      <c r="F7783" t="str">
        <f>T("963870005")</f>
        <v>963870005</v>
      </c>
      <c r="G7783" t="str">
        <f>T("PSC 564 BOX 472")</f>
        <v>PSC 564 BOX 472</v>
      </c>
      <c r="H7783" t="str">
        <f t="shared" si="2907"/>
        <v/>
      </c>
      <c r="I7783" t="str">
        <f t="shared" si="2902"/>
        <v>FPO</v>
      </c>
      <c r="J7783" t="str">
        <f t="shared" si="2903"/>
        <v>AP</v>
      </c>
      <c r="K7783" t="str">
        <f>T("")</f>
        <v/>
      </c>
      <c r="L7783" t="str">
        <f>T("3152248467")</f>
        <v>3152248467</v>
      </c>
    </row>
    <row r="7784" spans="1:12" x14ac:dyDescent="0.35">
      <c r="A7784" t="str">
        <f t="shared" si="2899"/>
        <v>USMC RCO FAR EAST</v>
      </c>
      <c r="B7784" t="str">
        <f>T("UNIT 15017")</f>
        <v>UNIT 15017</v>
      </c>
      <c r="C7784" t="str">
        <f t="shared" si="2908"/>
        <v/>
      </c>
      <c r="D7784" t="str">
        <f>T("APO")</f>
        <v>APO</v>
      </c>
      <c r="E7784" t="str">
        <f t="shared" si="2901"/>
        <v>AP</v>
      </c>
      <c r="F7784" t="str">
        <f>T("962180173")</f>
        <v>962180173</v>
      </c>
      <c r="G7784" t="str">
        <f>T("UNIT 15017")</f>
        <v>UNIT 15017</v>
      </c>
      <c r="H7784" t="str">
        <f t="shared" si="2907"/>
        <v/>
      </c>
      <c r="I7784" t="str">
        <f>T("APO")</f>
        <v>APO</v>
      </c>
      <c r="J7784" t="str">
        <f t="shared" si="2903"/>
        <v>AP</v>
      </c>
      <c r="K7784" t="str">
        <f>T("")</f>
        <v/>
      </c>
      <c r="L7784" t="str">
        <f>T("1111111111")</f>
        <v>1111111111</v>
      </c>
    </row>
    <row r="7785" spans="1:12" x14ac:dyDescent="0.35">
      <c r="A7785" t="str">
        <f t="shared" si="2899"/>
        <v>USMC RCO FAR EAST</v>
      </c>
      <c r="B7785" t="str">
        <f>T("UNIT 15017")</f>
        <v>UNIT 15017</v>
      </c>
      <c r="C7785" t="str">
        <f t="shared" si="2908"/>
        <v/>
      </c>
      <c r="D7785" t="str">
        <f>T("APO")</f>
        <v>APO</v>
      </c>
      <c r="E7785" t="str">
        <f t="shared" si="2901"/>
        <v>AP</v>
      </c>
      <c r="F7785" t="str">
        <f>T("962180173")</f>
        <v>962180173</v>
      </c>
      <c r="G7785" t="str">
        <f>T("UNIT 15017")</f>
        <v>UNIT 15017</v>
      </c>
      <c r="H7785" t="str">
        <f t="shared" si="2907"/>
        <v/>
      </c>
      <c r="I7785" t="str">
        <f>T("APO")</f>
        <v>APO</v>
      </c>
      <c r="J7785" t="str">
        <f t="shared" si="2903"/>
        <v>AP</v>
      </c>
      <c r="K7785" t="str">
        <f>T("000000000000000000")</f>
        <v>000000000000000000</v>
      </c>
      <c r="L7785" t="str">
        <f>T("1111111111")</f>
        <v>1111111111</v>
      </c>
    </row>
    <row r="7786" spans="1:12" x14ac:dyDescent="0.35">
      <c r="A7786" t="str">
        <f t="shared" si="2899"/>
        <v>USMC RCO FAR EAST</v>
      </c>
      <c r="B7786" t="str">
        <f>T("UNIT 15017")</f>
        <v>UNIT 15017</v>
      </c>
      <c r="C7786" t="str">
        <f t="shared" si="2908"/>
        <v/>
      </c>
      <c r="D7786" t="str">
        <f>T("APO")</f>
        <v>APO</v>
      </c>
      <c r="E7786" t="str">
        <f t="shared" si="2901"/>
        <v>AP</v>
      </c>
      <c r="F7786" t="str">
        <f>T("962180173")</f>
        <v>962180173</v>
      </c>
      <c r="G7786" t="str">
        <f>T("UNIT 15017")</f>
        <v>UNIT 15017</v>
      </c>
      <c r="H7786" t="str">
        <f t="shared" si="2907"/>
        <v/>
      </c>
      <c r="I7786" t="str">
        <f>T("APO")</f>
        <v>APO</v>
      </c>
      <c r="J7786" t="str">
        <f t="shared" si="2903"/>
        <v>AP</v>
      </c>
      <c r="K7786" t="str">
        <f>T("101182279174530")</f>
        <v>101182279174530</v>
      </c>
      <c r="L7786" t="str">
        <f>T("1111111111")</f>
        <v>1111111111</v>
      </c>
    </row>
    <row r="7787" spans="1:12" x14ac:dyDescent="0.35">
      <c r="A7787" t="str">
        <f t="shared" si="2899"/>
        <v>USMC RCO FAR EAST</v>
      </c>
      <c r="B7787" t="str">
        <f>T("UNIT 15017")</f>
        <v>UNIT 15017</v>
      </c>
      <c r="C7787" t="str">
        <f t="shared" si="2908"/>
        <v/>
      </c>
      <c r="D7787" t="str">
        <f>T("APO")</f>
        <v>APO</v>
      </c>
      <c r="E7787" t="str">
        <f t="shared" si="2901"/>
        <v>AP</v>
      </c>
      <c r="F7787" t="str">
        <f>T("962180173")</f>
        <v>962180173</v>
      </c>
      <c r="G7787" t="str">
        <f>T("UNIT 15017")</f>
        <v>UNIT 15017</v>
      </c>
      <c r="H7787" t="str">
        <f t="shared" si="2907"/>
        <v/>
      </c>
      <c r="I7787" t="str">
        <f t="shared" ref="I7787:I7818" si="2909">T("FPO")</f>
        <v>FPO</v>
      </c>
      <c r="J7787" t="str">
        <f t="shared" si="2903"/>
        <v>AP</v>
      </c>
      <c r="K7787" t="str">
        <f>T("101182279174530")</f>
        <v>101182279174530</v>
      </c>
      <c r="L7787" t="str">
        <f>T("3157674530")</f>
        <v>3157674530</v>
      </c>
    </row>
    <row r="7788" spans="1:12" x14ac:dyDescent="0.35">
      <c r="A7788" t="str">
        <f t="shared" si="2899"/>
        <v>USMC RCO FAR EAST</v>
      </c>
      <c r="B7788" t="str">
        <f>T("UNIT 35000")</f>
        <v>UNIT 35000</v>
      </c>
      <c r="C7788" t="str">
        <f t="shared" si="2908"/>
        <v/>
      </c>
      <c r="D7788" t="str">
        <f t="shared" ref="D7788:D7819" si="2910">T("FPO")</f>
        <v>FPO</v>
      </c>
      <c r="E7788" t="str">
        <f t="shared" si="2901"/>
        <v>AP</v>
      </c>
      <c r="F7788" t="str">
        <f>T("963735000")</f>
        <v>963735000</v>
      </c>
      <c r="G7788" t="str">
        <f>T("UNIT 35000")</f>
        <v>UNIT 35000</v>
      </c>
      <c r="H7788" t="str">
        <f t="shared" si="2907"/>
        <v/>
      </c>
      <c r="I7788" t="str">
        <f t="shared" si="2909"/>
        <v>FPO</v>
      </c>
      <c r="J7788" t="str">
        <f t="shared" si="2903"/>
        <v>AP</v>
      </c>
      <c r="K7788" t="str">
        <f>T("011816117259551")</f>
        <v>011816117259551</v>
      </c>
      <c r="L7788" t="str">
        <f>T("1111111111")</f>
        <v>1111111111</v>
      </c>
    </row>
    <row r="7789" spans="1:12" x14ac:dyDescent="0.35">
      <c r="A7789" t="str">
        <f t="shared" si="2899"/>
        <v>USMC RCO FAR EAST</v>
      </c>
      <c r="B7789" t="str">
        <f>T("UNIT 35000")</f>
        <v>UNIT 35000</v>
      </c>
      <c r="C7789" t="str">
        <f t="shared" si="2908"/>
        <v/>
      </c>
      <c r="D7789" t="str">
        <f t="shared" si="2910"/>
        <v>FPO</v>
      </c>
      <c r="E7789" t="str">
        <f t="shared" si="2901"/>
        <v>AP</v>
      </c>
      <c r="F7789" t="str">
        <f>T("963735000")</f>
        <v>963735000</v>
      </c>
      <c r="G7789" t="str">
        <f>T("UNIT 35000")</f>
        <v>UNIT 35000</v>
      </c>
      <c r="H7789" t="str">
        <f t="shared" si="2907"/>
        <v/>
      </c>
      <c r="I7789" t="str">
        <f t="shared" si="2909"/>
        <v>FPO</v>
      </c>
      <c r="J7789" t="str">
        <f t="shared" si="2903"/>
        <v>AP</v>
      </c>
      <c r="K7789" t="str">
        <f>T("81989707486")</f>
        <v>81989707486</v>
      </c>
      <c r="L7789" t="str">
        <f>T("3156457486")</f>
        <v>3156457486</v>
      </c>
    </row>
    <row r="7790" spans="1:12" x14ac:dyDescent="0.35">
      <c r="A7790" t="str">
        <f t="shared" si="2899"/>
        <v>USMC RCO FAR EAST</v>
      </c>
      <c r="B7790" t="str">
        <f t="shared" ref="B7790:B7828" si="2911">T("UNIT 35001")</f>
        <v>UNIT 35001</v>
      </c>
      <c r="C7790" t="str">
        <f t="shared" si="2908"/>
        <v/>
      </c>
      <c r="D7790" t="str">
        <f t="shared" si="2910"/>
        <v>FPO</v>
      </c>
      <c r="E7790" t="str">
        <f t="shared" si="2901"/>
        <v>AP</v>
      </c>
      <c r="F7790" t="str">
        <f t="shared" ref="F7790:F7821" si="2912">T("963730100")</f>
        <v>963730100</v>
      </c>
      <c r="G7790" t="str">
        <f>T("FACILITIES MAINTENANCE")</f>
        <v>FACILITIES MAINTENANCE</v>
      </c>
      <c r="H7790" t="str">
        <f>T("UNIT 35001")</f>
        <v>UNIT 35001</v>
      </c>
      <c r="I7790" t="str">
        <f t="shared" si="2909"/>
        <v>FPO</v>
      </c>
      <c r="J7790" t="str">
        <f t="shared" si="2903"/>
        <v>AP</v>
      </c>
      <c r="K7790" t="str">
        <f>T("000000000000000000")</f>
        <v>000000000000000000</v>
      </c>
      <c r="L7790" t="str">
        <f>T("3156452605")</f>
        <v>3156452605</v>
      </c>
    </row>
    <row r="7791" spans="1:12" x14ac:dyDescent="0.35">
      <c r="A7791" t="str">
        <f t="shared" si="2899"/>
        <v>USMC RCO FAR EAST</v>
      </c>
      <c r="B7791" t="str">
        <f t="shared" si="2911"/>
        <v>UNIT 35001</v>
      </c>
      <c r="C7791" t="str">
        <f t="shared" si="2908"/>
        <v/>
      </c>
      <c r="D7791" t="str">
        <f t="shared" si="2910"/>
        <v>FPO</v>
      </c>
      <c r="E7791" t="str">
        <f t="shared" si="2901"/>
        <v>AP</v>
      </c>
      <c r="F7791" t="str">
        <f t="shared" si="2912"/>
        <v>963730100</v>
      </c>
      <c r="G7791" t="str">
        <f>T("MCB CAMP S D BUTLER")</f>
        <v>MCB CAMP S D BUTLER</v>
      </c>
      <c r="H7791" t="str">
        <f>T("UNIT 35001")</f>
        <v>UNIT 35001</v>
      </c>
      <c r="I7791" t="str">
        <f t="shared" si="2909"/>
        <v>FPO</v>
      </c>
      <c r="J7791" t="str">
        <f t="shared" si="2903"/>
        <v>AP</v>
      </c>
      <c r="K7791" t="str">
        <f>T("000000000000000000")</f>
        <v>000000000000000000</v>
      </c>
      <c r="L7791" t="str">
        <f>T("6117457045")</f>
        <v>6117457045</v>
      </c>
    </row>
    <row r="7792" spans="1:12" x14ac:dyDescent="0.35">
      <c r="A7792" t="str">
        <f t="shared" si="2899"/>
        <v>USMC RCO FAR EAST</v>
      </c>
      <c r="B7792" t="str">
        <f t="shared" si="2911"/>
        <v>UNIT 35001</v>
      </c>
      <c r="C7792" t="str">
        <f t="shared" si="2908"/>
        <v/>
      </c>
      <c r="D7792" t="str">
        <f t="shared" si="2910"/>
        <v>FPO</v>
      </c>
      <c r="E7792" t="str">
        <f t="shared" si="2901"/>
        <v>AP</v>
      </c>
      <c r="F7792" t="str">
        <f t="shared" si="2912"/>
        <v>963730100</v>
      </c>
      <c r="G7792" t="str">
        <f>T("MCB CAMP S D BUTLER")</f>
        <v>MCB CAMP S D BUTLER</v>
      </c>
      <c r="H7792" t="str">
        <f>T("UNIT 35001")</f>
        <v>UNIT 35001</v>
      </c>
      <c r="I7792" t="str">
        <f t="shared" si="2909"/>
        <v>FPO</v>
      </c>
      <c r="J7792" t="str">
        <f t="shared" si="2903"/>
        <v>AP</v>
      </c>
      <c r="K7792" t="str">
        <f>T("011816117450193")</f>
        <v>011816117450193</v>
      </c>
      <c r="L7792" t="str">
        <f>T("1111111111")</f>
        <v>1111111111</v>
      </c>
    </row>
    <row r="7793" spans="1:12" x14ac:dyDescent="0.35">
      <c r="A7793" t="str">
        <f t="shared" ref="A7793:A7824" si="2913">T("USMC RCO FAR EAST")</f>
        <v>USMC RCO FAR EAST</v>
      </c>
      <c r="B7793" t="str">
        <f t="shared" si="2911"/>
        <v>UNIT 35001</v>
      </c>
      <c r="C7793" t="str">
        <f t="shared" si="2908"/>
        <v/>
      </c>
      <c r="D7793" t="str">
        <f t="shared" si="2910"/>
        <v>FPO</v>
      </c>
      <c r="E7793" t="str">
        <f t="shared" si="2901"/>
        <v>AP</v>
      </c>
      <c r="F7793" t="str">
        <f t="shared" si="2912"/>
        <v>963730100</v>
      </c>
      <c r="G7793" t="str">
        <f>T("MCB CAMP SD BUTLER")</f>
        <v>MCB CAMP SD BUTLER</v>
      </c>
      <c r="H7793" t="str">
        <f>T("UNIT 35001")</f>
        <v>UNIT 35001</v>
      </c>
      <c r="I7793" t="str">
        <f t="shared" si="2909"/>
        <v>FPO</v>
      </c>
      <c r="J7793" t="str">
        <f t="shared" si="2903"/>
        <v>AP</v>
      </c>
      <c r="K7793" t="str">
        <f>T("011816117437459")</f>
        <v>011816117437459</v>
      </c>
      <c r="L7793" t="str">
        <f>T("1111111111")</f>
        <v>1111111111</v>
      </c>
    </row>
    <row r="7794" spans="1:12" x14ac:dyDescent="0.35">
      <c r="A7794" t="str">
        <f t="shared" si="2913"/>
        <v>USMC RCO FAR EAST</v>
      </c>
      <c r="B7794" t="str">
        <f t="shared" si="2911"/>
        <v>UNIT 35001</v>
      </c>
      <c r="C7794" t="str">
        <f t="shared" si="2908"/>
        <v/>
      </c>
      <c r="D7794" t="str">
        <f t="shared" si="2910"/>
        <v>FPO</v>
      </c>
      <c r="E7794" t="str">
        <f t="shared" si="2901"/>
        <v>AP</v>
      </c>
      <c r="F7794" t="str">
        <f t="shared" si="2912"/>
        <v>963730100</v>
      </c>
      <c r="G7794" t="str">
        <f>T("MCB CAMP SD BUTLER")</f>
        <v>MCB CAMP SD BUTLER</v>
      </c>
      <c r="H7794" t="str">
        <f>T("UNIT 35001")</f>
        <v>UNIT 35001</v>
      </c>
      <c r="I7794" t="str">
        <f t="shared" si="2909"/>
        <v>FPO</v>
      </c>
      <c r="J7794" t="str">
        <f t="shared" si="2903"/>
        <v>AP</v>
      </c>
      <c r="K7794" t="str">
        <f>T("011816140437459")</f>
        <v>011816140437459</v>
      </c>
      <c r="L7794" t="str">
        <f>T("1111111111")</f>
        <v>1111111111</v>
      </c>
    </row>
    <row r="7795" spans="1:12" x14ac:dyDescent="0.35">
      <c r="A7795" t="str">
        <f t="shared" si="2913"/>
        <v>USMC RCO FAR EAST</v>
      </c>
      <c r="B7795" t="str">
        <f t="shared" si="2911"/>
        <v>UNIT 35001</v>
      </c>
      <c r="C7795" t="str">
        <f t="shared" si="2908"/>
        <v/>
      </c>
      <c r="D7795" t="str">
        <f t="shared" si="2910"/>
        <v>FPO</v>
      </c>
      <c r="E7795" t="str">
        <f t="shared" ref="E7795:E7826" si="2914">T("AP")</f>
        <v>AP</v>
      </c>
      <c r="F7795" t="str">
        <f t="shared" si="2912"/>
        <v>963730100</v>
      </c>
      <c r="G7795" t="str">
        <f t="shared" ref="G7795:G7819" si="2915">T("UNIT 35001")</f>
        <v>UNIT 35001</v>
      </c>
      <c r="H7795" t="str">
        <f t="shared" ref="H7795:H7818" si="2916">T("")</f>
        <v/>
      </c>
      <c r="I7795" t="str">
        <f t="shared" si="2909"/>
        <v>FPO</v>
      </c>
      <c r="J7795" t="str">
        <f t="shared" ref="J7795:J7826" si="2917">T("AP")</f>
        <v>AP</v>
      </c>
      <c r="K7795" t="str">
        <f>T("")</f>
        <v/>
      </c>
      <c r="L7795" t="str">
        <f>T("1111111111")</f>
        <v>1111111111</v>
      </c>
    </row>
    <row r="7796" spans="1:12" x14ac:dyDescent="0.35">
      <c r="A7796" t="str">
        <f t="shared" si="2913"/>
        <v>USMC RCO FAR EAST</v>
      </c>
      <c r="B7796" t="str">
        <f t="shared" si="2911"/>
        <v>UNIT 35001</v>
      </c>
      <c r="C7796" t="str">
        <f t="shared" si="2908"/>
        <v/>
      </c>
      <c r="D7796" t="str">
        <f t="shared" si="2910"/>
        <v>FPO</v>
      </c>
      <c r="E7796" t="str">
        <f t="shared" si="2914"/>
        <v>AP</v>
      </c>
      <c r="F7796" t="str">
        <f t="shared" si="2912"/>
        <v>963730100</v>
      </c>
      <c r="G7796" t="str">
        <f t="shared" si="2915"/>
        <v>UNIT 35001</v>
      </c>
      <c r="H7796" t="str">
        <f t="shared" si="2916"/>
        <v/>
      </c>
      <c r="I7796" t="str">
        <f t="shared" si="2909"/>
        <v>FPO</v>
      </c>
      <c r="J7796" t="str">
        <f t="shared" si="2917"/>
        <v>AP</v>
      </c>
      <c r="K7796" t="str">
        <f>T("000000000000000000")</f>
        <v>000000000000000000</v>
      </c>
      <c r="L7796" t="str">
        <f>T("1111111111")</f>
        <v>1111111111</v>
      </c>
    </row>
    <row r="7797" spans="1:12" x14ac:dyDescent="0.35">
      <c r="A7797" t="str">
        <f t="shared" si="2913"/>
        <v>USMC RCO FAR EAST</v>
      </c>
      <c r="B7797" t="str">
        <f t="shared" si="2911"/>
        <v>UNIT 35001</v>
      </c>
      <c r="C7797" t="str">
        <f t="shared" si="2908"/>
        <v/>
      </c>
      <c r="D7797" t="str">
        <f t="shared" si="2910"/>
        <v>FPO</v>
      </c>
      <c r="E7797" t="str">
        <f t="shared" si="2914"/>
        <v>AP</v>
      </c>
      <c r="F7797" t="str">
        <f t="shared" si="2912"/>
        <v>963730100</v>
      </c>
      <c r="G7797" t="str">
        <f t="shared" si="2915"/>
        <v>UNIT 35001</v>
      </c>
      <c r="H7797" t="str">
        <f t="shared" si="2916"/>
        <v/>
      </c>
      <c r="I7797" t="str">
        <f t="shared" si="2909"/>
        <v>FPO</v>
      </c>
      <c r="J7797" t="str">
        <f t="shared" si="2917"/>
        <v>AP</v>
      </c>
      <c r="K7797" t="str">
        <f>T("000000000000000000")</f>
        <v>000000000000000000</v>
      </c>
      <c r="L7797" t="str">
        <f>T("3156450788")</f>
        <v>3156450788</v>
      </c>
    </row>
    <row r="7798" spans="1:12" x14ac:dyDescent="0.35">
      <c r="A7798" t="str">
        <f t="shared" si="2913"/>
        <v>USMC RCO FAR EAST</v>
      </c>
      <c r="B7798" t="str">
        <f t="shared" si="2911"/>
        <v>UNIT 35001</v>
      </c>
      <c r="C7798" t="str">
        <f t="shared" si="2908"/>
        <v/>
      </c>
      <c r="D7798" t="str">
        <f t="shared" si="2910"/>
        <v>FPO</v>
      </c>
      <c r="E7798" t="str">
        <f t="shared" si="2914"/>
        <v>AP</v>
      </c>
      <c r="F7798" t="str">
        <f t="shared" si="2912"/>
        <v>963730100</v>
      </c>
      <c r="G7798" t="str">
        <f t="shared" si="2915"/>
        <v>UNIT 35001</v>
      </c>
      <c r="H7798" t="str">
        <f t="shared" si="2916"/>
        <v/>
      </c>
      <c r="I7798" t="str">
        <f t="shared" si="2909"/>
        <v>FPO</v>
      </c>
      <c r="J7798" t="str">
        <f t="shared" si="2917"/>
        <v>AP</v>
      </c>
      <c r="K7798" t="str">
        <f>T("011816117452767")</f>
        <v>011816117452767</v>
      </c>
      <c r="L7798" t="str">
        <f t="shared" ref="L7798:L7807" si="2918">T("1111111111")</f>
        <v>1111111111</v>
      </c>
    </row>
    <row r="7799" spans="1:12" x14ac:dyDescent="0.35">
      <c r="A7799" t="str">
        <f t="shared" si="2913"/>
        <v>USMC RCO FAR EAST</v>
      </c>
      <c r="B7799" t="str">
        <f t="shared" si="2911"/>
        <v>UNIT 35001</v>
      </c>
      <c r="C7799" t="str">
        <f t="shared" si="2908"/>
        <v/>
      </c>
      <c r="D7799" t="str">
        <f t="shared" si="2910"/>
        <v>FPO</v>
      </c>
      <c r="E7799" t="str">
        <f t="shared" si="2914"/>
        <v>AP</v>
      </c>
      <c r="F7799" t="str">
        <f t="shared" si="2912"/>
        <v>963730100</v>
      </c>
      <c r="G7799" t="str">
        <f t="shared" si="2915"/>
        <v>UNIT 35001</v>
      </c>
      <c r="H7799" t="str">
        <f t="shared" si="2916"/>
        <v/>
      </c>
      <c r="I7799" t="str">
        <f t="shared" si="2909"/>
        <v>FPO</v>
      </c>
      <c r="J7799" t="str">
        <f t="shared" si="2917"/>
        <v>AP</v>
      </c>
      <c r="K7799" t="str">
        <f>T("011816117457010")</f>
        <v>011816117457010</v>
      </c>
      <c r="L7799" t="str">
        <f t="shared" si="2918"/>
        <v>1111111111</v>
      </c>
    </row>
    <row r="7800" spans="1:12" x14ac:dyDescent="0.35">
      <c r="A7800" t="str">
        <f t="shared" si="2913"/>
        <v>USMC RCO FAR EAST</v>
      </c>
      <c r="B7800" t="str">
        <f t="shared" si="2911"/>
        <v>UNIT 35001</v>
      </c>
      <c r="C7800" t="str">
        <f t="shared" si="2908"/>
        <v/>
      </c>
      <c r="D7800" t="str">
        <f t="shared" si="2910"/>
        <v>FPO</v>
      </c>
      <c r="E7800" t="str">
        <f t="shared" si="2914"/>
        <v>AP</v>
      </c>
      <c r="F7800" t="str">
        <f t="shared" si="2912"/>
        <v>963730100</v>
      </c>
      <c r="G7800" t="str">
        <f t="shared" si="2915"/>
        <v>UNIT 35001</v>
      </c>
      <c r="H7800" t="str">
        <f t="shared" si="2916"/>
        <v/>
      </c>
      <c r="I7800" t="str">
        <f t="shared" si="2909"/>
        <v>FPO</v>
      </c>
      <c r="J7800" t="str">
        <f t="shared" si="2917"/>
        <v>AP</v>
      </c>
      <c r="K7800" t="str">
        <f>T("011816140371011")</f>
        <v>011816140371011</v>
      </c>
      <c r="L7800" t="str">
        <f t="shared" si="2918"/>
        <v>1111111111</v>
      </c>
    </row>
    <row r="7801" spans="1:12" x14ac:dyDescent="0.35">
      <c r="A7801" t="str">
        <f t="shared" si="2913"/>
        <v>USMC RCO FAR EAST</v>
      </c>
      <c r="B7801" t="str">
        <f t="shared" si="2911"/>
        <v>UNIT 35001</v>
      </c>
      <c r="C7801" t="str">
        <f t="shared" si="2908"/>
        <v/>
      </c>
      <c r="D7801" t="str">
        <f t="shared" si="2910"/>
        <v>FPO</v>
      </c>
      <c r="E7801" t="str">
        <f t="shared" si="2914"/>
        <v>AP</v>
      </c>
      <c r="F7801" t="str">
        <f t="shared" si="2912"/>
        <v>963730100</v>
      </c>
      <c r="G7801" t="str">
        <f t="shared" si="2915"/>
        <v>UNIT 35001</v>
      </c>
      <c r="H7801" t="str">
        <f t="shared" si="2916"/>
        <v/>
      </c>
      <c r="I7801" t="str">
        <f t="shared" si="2909"/>
        <v>FPO</v>
      </c>
      <c r="J7801" t="str">
        <f t="shared" si="2917"/>
        <v>AP</v>
      </c>
      <c r="K7801" t="str">
        <f>T("011816140372536")</f>
        <v>011816140372536</v>
      </c>
      <c r="L7801" t="str">
        <f t="shared" si="2918"/>
        <v>1111111111</v>
      </c>
    </row>
    <row r="7802" spans="1:12" x14ac:dyDescent="0.35">
      <c r="A7802" t="str">
        <f t="shared" si="2913"/>
        <v>USMC RCO FAR EAST</v>
      </c>
      <c r="B7802" t="str">
        <f t="shared" si="2911"/>
        <v>UNIT 35001</v>
      </c>
      <c r="C7802" t="str">
        <f t="shared" si="2908"/>
        <v/>
      </c>
      <c r="D7802" t="str">
        <f t="shared" si="2910"/>
        <v>FPO</v>
      </c>
      <c r="E7802" t="str">
        <f t="shared" si="2914"/>
        <v>AP</v>
      </c>
      <c r="F7802" t="str">
        <f t="shared" si="2912"/>
        <v>963730100</v>
      </c>
      <c r="G7802" t="str">
        <f t="shared" si="2915"/>
        <v>UNIT 35001</v>
      </c>
      <c r="H7802" t="str">
        <f t="shared" si="2916"/>
        <v/>
      </c>
      <c r="I7802" t="str">
        <f t="shared" si="2909"/>
        <v>FPO</v>
      </c>
      <c r="J7802" t="str">
        <f t="shared" si="2917"/>
        <v>AP</v>
      </c>
      <c r="K7802" t="str">
        <f>T("011816140457838")</f>
        <v>011816140457838</v>
      </c>
      <c r="L7802" t="str">
        <f t="shared" si="2918"/>
        <v>1111111111</v>
      </c>
    </row>
    <row r="7803" spans="1:12" x14ac:dyDescent="0.35">
      <c r="A7803" t="str">
        <f t="shared" si="2913"/>
        <v>USMC RCO FAR EAST</v>
      </c>
      <c r="B7803" t="str">
        <f t="shared" si="2911"/>
        <v>UNIT 35001</v>
      </c>
      <c r="C7803" t="str">
        <f t="shared" si="2908"/>
        <v/>
      </c>
      <c r="D7803" t="str">
        <f t="shared" si="2910"/>
        <v>FPO</v>
      </c>
      <c r="E7803" t="str">
        <f t="shared" si="2914"/>
        <v>AP</v>
      </c>
      <c r="F7803" t="str">
        <f t="shared" si="2912"/>
        <v>963730100</v>
      </c>
      <c r="G7803" t="str">
        <f t="shared" si="2915"/>
        <v>UNIT 35001</v>
      </c>
      <c r="H7803" t="str">
        <f t="shared" si="2916"/>
        <v/>
      </c>
      <c r="I7803" t="str">
        <f t="shared" si="2909"/>
        <v>FPO</v>
      </c>
      <c r="J7803" t="str">
        <f t="shared" si="2917"/>
        <v>AP</v>
      </c>
      <c r="K7803" t="str">
        <f>T("011816140459287")</f>
        <v>011816140459287</v>
      </c>
      <c r="L7803" t="str">
        <f t="shared" si="2918"/>
        <v>1111111111</v>
      </c>
    </row>
    <row r="7804" spans="1:12" x14ac:dyDescent="0.35">
      <c r="A7804" t="str">
        <f t="shared" si="2913"/>
        <v>USMC RCO FAR EAST</v>
      </c>
      <c r="B7804" t="str">
        <f t="shared" si="2911"/>
        <v>UNIT 35001</v>
      </c>
      <c r="C7804" t="str">
        <f t="shared" si="2908"/>
        <v/>
      </c>
      <c r="D7804" t="str">
        <f t="shared" si="2910"/>
        <v>FPO</v>
      </c>
      <c r="E7804" t="str">
        <f t="shared" si="2914"/>
        <v>AP</v>
      </c>
      <c r="F7804" t="str">
        <f t="shared" si="2912"/>
        <v>963730100</v>
      </c>
      <c r="G7804" t="str">
        <f t="shared" si="2915"/>
        <v>UNIT 35001</v>
      </c>
      <c r="H7804" t="str">
        <f t="shared" si="2916"/>
        <v/>
      </c>
      <c r="I7804" t="str">
        <f t="shared" si="2909"/>
        <v>FPO</v>
      </c>
      <c r="J7804" t="str">
        <f t="shared" si="2917"/>
        <v>AP</v>
      </c>
      <c r="K7804" t="str">
        <f>T("01181989702126")</f>
        <v>01181989702126</v>
      </c>
      <c r="L7804" t="str">
        <f t="shared" si="2918"/>
        <v>1111111111</v>
      </c>
    </row>
    <row r="7805" spans="1:12" x14ac:dyDescent="0.35">
      <c r="A7805" t="str">
        <f t="shared" si="2913"/>
        <v>USMC RCO FAR EAST</v>
      </c>
      <c r="B7805" t="str">
        <f t="shared" si="2911"/>
        <v>UNIT 35001</v>
      </c>
      <c r="C7805" t="str">
        <f t="shared" si="2908"/>
        <v/>
      </c>
      <c r="D7805" t="str">
        <f t="shared" si="2910"/>
        <v>FPO</v>
      </c>
      <c r="E7805" t="str">
        <f t="shared" si="2914"/>
        <v>AP</v>
      </c>
      <c r="F7805" t="str">
        <f t="shared" si="2912"/>
        <v>963730100</v>
      </c>
      <c r="G7805" t="str">
        <f t="shared" si="2915"/>
        <v>UNIT 35001</v>
      </c>
      <c r="H7805" t="str">
        <f t="shared" si="2916"/>
        <v/>
      </c>
      <c r="I7805" t="str">
        <f t="shared" si="2909"/>
        <v>FPO</v>
      </c>
      <c r="J7805" t="str">
        <f t="shared" si="2917"/>
        <v>AP</v>
      </c>
      <c r="K7805" t="str">
        <f>T("01181989703183")</f>
        <v>01181989703183</v>
      </c>
      <c r="L7805" t="str">
        <f t="shared" si="2918"/>
        <v>1111111111</v>
      </c>
    </row>
    <row r="7806" spans="1:12" x14ac:dyDescent="0.35">
      <c r="A7806" t="str">
        <f t="shared" si="2913"/>
        <v>USMC RCO FAR EAST</v>
      </c>
      <c r="B7806" t="str">
        <f t="shared" si="2911"/>
        <v>UNIT 35001</v>
      </c>
      <c r="C7806" t="str">
        <f t="shared" si="2908"/>
        <v/>
      </c>
      <c r="D7806" t="str">
        <f t="shared" si="2910"/>
        <v>FPO</v>
      </c>
      <c r="E7806" t="str">
        <f t="shared" si="2914"/>
        <v>AP</v>
      </c>
      <c r="F7806" t="str">
        <f t="shared" si="2912"/>
        <v>963730100</v>
      </c>
      <c r="G7806" t="str">
        <f t="shared" si="2915"/>
        <v>UNIT 35001</v>
      </c>
      <c r="H7806" t="str">
        <f t="shared" si="2916"/>
        <v/>
      </c>
      <c r="I7806" t="str">
        <f t="shared" si="2909"/>
        <v>FPO</v>
      </c>
      <c r="J7806" t="str">
        <f t="shared" si="2917"/>
        <v>AP</v>
      </c>
      <c r="K7806" t="str">
        <f>T("01181989703803")</f>
        <v>01181989703803</v>
      </c>
      <c r="L7806" t="str">
        <f t="shared" si="2918"/>
        <v>1111111111</v>
      </c>
    </row>
    <row r="7807" spans="1:12" x14ac:dyDescent="0.35">
      <c r="A7807" t="str">
        <f t="shared" si="2913"/>
        <v>USMC RCO FAR EAST</v>
      </c>
      <c r="B7807" t="str">
        <f t="shared" si="2911"/>
        <v>UNIT 35001</v>
      </c>
      <c r="C7807" t="str">
        <f t="shared" si="2908"/>
        <v/>
      </c>
      <c r="D7807" t="str">
        <f t="shared" si="2910"/>
        <v>FPO</v>
      </c>
      <c r="E7807" t="str">
        <f t="shared" si="2914"/>
        <v>AP</v>
      </c>
      <c r="F7807" t="str">
        <f t="shared" si="2912"/>
        <v>963730100</v>
      </c>
      <c r="G7807" t="str">
        <f t="shared" si="2915"/>
        <v>UNIT 35001</v>
      </c>
      <c r="H7807" t="str">
        <f t="shared" si="2916"/>
        <v/>
      </c>
      <c r="I7807" t="str">
        <f t="shared" si="2909"/>
        <v>FPO</v>
      </c>
      <c r="J7807" t="str">
        <f t="shared" si="2917"/>
        <v>AP</v>
      </c>
      <c r="K7807" t="str">
        <f>T("81989700193")</f>
        <v>81989700193</v>
      </c>
      <c r="L7807" t="str">
        <f t="shared" si="2918"/>
        <v>1111111111</v>
      </c>
    </row>
    <row r="7808" spans="1:12" x14ac:dyDescent="0.35">
      <c r="A7808" t="str">
        <f t="shared" si="2913"/>
        <v>USMC RCO FAR EAST</v>
      </c>
      <c r="B7808" t="str">
        <f t="shared" si="2911"/>
        <v>UNIT 35001</v>
      </c>
      <c r="C7808" t="str">
        <f t="shared" si="2908"/>
        <v/>
      </c>
      <c r="D7808" t="str">
        <f t="shared" si="2910"/>
        <v>FPO</v>
      </c>
      <c r="E7808" t="str">
        <f t="shared" si="2914"/>
        <v>AP</v>
      </c>
      <c r="F7808" t="str">
        <f t="shared" si="2912"/>
        <v>963730100</v>
      </c>
      <c r="G7808" t="str">
        <f t="shared" si="2915"/>
        <v>UNIT 35001</v>
      </c>
      <c r="H7808" t="str">
        <f t="shared" si="2916"/>
        <v/>
      </c>
      <c r="I7808" t="str">
        <f t="shared" si="2909"/>
        <v>FPO</v>
      </c>
      <c r="J7808" t="str">
        <f t="shared" si="2917"/>
        <v>AP</v>
      </c>
      <c r="K7808" t="str">
        <f>T("81989702229")</f>
        <v>81989702229</v>
      </c>
      <c r="L7808" t="str">
        <f>T("3159704037")</f>
        <v>3159704037</v>
      </c>
    </row>
    <row r="7809" spans="1:12" x14ac:dyDescent="0.35">
      <c r="A7809" t="str">
        <f t="shared" si="2913"/>
        <v>USMC RCO FAR EAST</v>
      </c>
      <c r="B7809" t="str">
        <f t="shared" si="2911"/>
        <v>UNIT 35001</v>
      </c>
      <c r="C7809" t="str">
        <f t="shared" si="2908"/>
        <v/>
      </c>
      <c r="D7809" t="str">
        <f t="shared" si="2910"/>
        <v>FPO</v>
      </c>
      <c r="E7809" t="str">
        <f t="shared" si="2914"/>
        <v>AP</v>
      </c>
      <c r="F7809" t="str">
        <f t="shared" si="2912"/>
        <v>963730100</v>
      </c>
      <c r="G7809" t="str">
        <f t="shared" si="2915"/>
        <v>UNIT 35001</v>
      </c>
      <c r="H7809" t="str">
        <f t="shared" si="2916"/>
        <v/>
      </c>
      <c r="I7809" t="str">
        <f t="shared" si="2909"/>
        <v>FPO</v>
      </c>
      <c r="J7809" t="str">
        <f t="shared" si="2917"/>
        <v>AP</v>
      </c>
      <c r="K7809" t="str">
        <f>T("81989702654")</f>
        <v>81989702654</v>
      </c>
      <c r="L7809" t="str">
        <f>T("3156452654")</f>
        <v>3156452654</v>
      </c>
    </row>
    <row r="7810" spans="1:12" x14ac:dyDescent="0.35">
      <c r="A7810" t="str">
        <f t="shared" si="2913"/>
        <v>USMC RCO FAR EAST</v>
      </c>
      <c r="B7810" t="str">
        <f t="shared" si="2911"/>
        <v>UNIT 35001</v>
      </c>
      <c r="C7810" t="str">
        <f t="shared" si="2908"/>
        <v/>
      </c>
      <c r="D7810" t="str">
        <f t="shared" si="2910"/>
        <v>FPO</v>
      </c>
      <c r="E7810" t="str">
        <f t="shared" si="2914"/>
        <v>AP</v>
      </c>
      <c r="F7810" t="str">
        <f t="shared" si="2912"/>
        <v>963730100</v>
      </c>
      <c r="G7810" t="str">
        <f t="shared" si="2915"/>
        <v>UNIT 35001</v>
      </c>
      <c r="H7810" t="str">
        <f t="shared" si="2916"/>
        <v/>
      </c>
      <c r="I7810" t="str">
        <f t="shared" si="2909"/>
        <v>FPO</v>
      </c>
      <c r="J7810" t="str">
        <f t="shared" si="2917"/>
        <v>AP</v>
      </c>
      <c r="K7810" t="str">
        <f>T("81989703183")</f>
        <v>81989703183</v>
      </c>
      <c r="L7810" t="str">
        <f>T("1111111111")</f>
        <v>1111111111</v>
      </c>
    </row>
    <row r="7811" spans="1:12" x14ac:dyDescent="0.35">
      <c r="A7811" t="str">
        <f t="shared" si="2913"/>
        <v>USMC RCO FAR EAST</v>
      </c>
      <c r="B7811" t="str">
        <f t="shared" si="2911"/>
        <v>UNIT 35001</v>
      </c>
      <c r="C7811" t="str">
        <f t="shared" si="2908"/>
        <v/>
      </c>
      <c r="D7811" t="str">
        <f t="shared" si="2910"/>
        <v>FPO</v>
      </c>
      <c r="E7811" t="str">
        <f t="shared" si="2914"/>
        <v>AP</v>
      </c>
      <c r="F7811" t="str">
        <f t="shared" si="2912"/>
        <v>963730100</v>
      </c>
      <c r="G7811" t="str">
        <f t="shared" si="2915"/>
        <v>UNIT 35001</v>
      </c>
      <c r="H7811" t="str">
        <f t="shared" si="2916"/>
        <v/>
      </c>
      <c r="I7811" t="str">
        <f t="shared" si="2909"/>
        <v>FPO</v>
      </c>
      <c r="J7811" t="str">
        <f t="shared" si="2917"/>
        <v>AP</v>
      </c>
      <c r="K7811" t="str">
        <f>T("81989704037")</f>
        <v>81989704037</v>
      </c>
      <c r="L7811" t="str">
        <f>T("1111111111")</f>
        <v>1111111111</v>
      </c>
    </row>
    <row r="7812" spans="1:12" x14ac:dyDescent="0.35">
      <c r="A7812" t="str">
        <f t="shared" si="2913"/>
        <v>USMC RCO FAR EAST</v>
      </c>
      <c r="B7812" t="str">
        <f t="shared" si="2911"/>
        <v>UNIT 35001</v>
      </c>
      <c r="C7812" t="str">
        <f t="shared" si="2908"/>
        <v/>
      </c>
      <c r="D7812" t="str">
        <f t="shared" si="2910"/>
        <v>FPO</v>
      </c>
      <c r="E7812" t="str">
        <f t="shared" si="2914"/>
        <v>AP</v>
      </c>
      <c r="F7812" t="str">
        <f t="shared" si="2912"/>
        <v>963730100</v>
      </c>
      <c r="G7812" t="str">
        <f t="shared" si="2915"/>
        <v>UNIT 35001</v>
      </c>
      <c r="H7812" t="str">
        <f t="shared" si="2916"/>
        <v/>
      </c>
      <c r="I7812" t="str">
        <f t="shared" si="2909"/>
        <v>FPO</v>
      </c>
      <c r="J7812" t="str">
        <f t="shared" si="2917"/>
        <v>AP</v>
      </c>
      <c r="K7812" t="str">
        <f>T("819897055556371012")</f>
        <v>819897055556371012</v>
      </c>
      <c r="L7812" t="str">
        <f>T("3156371012")</f>
        <v>3156371012</v>
      </c>
    </row>
    <row r="7813" spans="1:12" x14ac:dyDescent="0.35">
      <c r="A7813" t="str">
        <f t="shared" si="2913"/>
        <v>USMC RCO FAR EAST</v>
      </c>
      <c r="B7813" t="str">
        <f t="shared" si="2911"/>
        <v>UNIT 35001</v>
      </c>
      <c r="C7813" t="str">
        <f t="shared" si="2908"/>
        <v/>
      </c>
      <c r="D7813" t="str">
        <f t="shared" si="2910"/>
        <v>FPO</v>
      </c>
      <c r="E7813" t="str">
        <f t="shared" si="2914"/>
        <v>AP</v>
      </c>
      <c r="F7813" t="str">
        <f t="shared" si="2912"/>
        <v>963730100</v>
      </c>
      <c r="G7813" t="str">
        <f t="shared" si="2915"/>
        <v>UNIT 35001</v>
      </c>
      <c r="H7813" t="str">
        <f t="shared" si="2916"/>
        <v/>
      </c>
      <c r="I7813" t="str">
        <f t="shared" si="2909"/>
        <v>FPO</v>
      </c>
      <c r="J7813" t="str">
        <f t="shared" si="2917"/>
        <v>AP</v>
      </c>
      <c r="K7813" t="str">
        <f>T("819897055556371578")</f>
        <v>819897055556371578</v>
      </c>
      <c r="L7813" t="str">
        <f>T("1111111111")</f>
        <v>1111111111</v>
      </c>
    </row>
    <row r="7814" spans="1:12" x14ac:dyDescent="0.35">
      <c r="A7814" t="str">
        <f t="shared" si="2913"/>
        <v>USMC RCO FAR EAST</v>
      </c>
      <c r="B7814" t="str">
        <f t="shared" si="2911"/>
        <v>UNIT 35001</v>
      </c>
      <c r="C7814" t="str">
        <f t="shared" si="2908"/>
        <v/>
      </c>
      <c r="D7814" t="str">
        <f t="shared" si="2910"/>
        <v>FPO</v>
      </c>
      <c r="E7814" t="str">
        <f t="shared" si="2914"/>
        <v>AP</v>
      </c>
      <c r="F7814" t="str">
        <f t="shared" si="2912"/>
        <v>963730100</v>
      </c>
      <c r="G7814" t="str">
        <f t="shared" si="2915"/>
        <v>UNIT 35001</v>
      </c>
      <c r="H7814" t="str">
        <f t="shared" si="2916"/>
        <v/>
      </c>
      <c r="I7814" t="str">
        <f t="shared" si="2909"/>
        <v>FPO</v>
      </c>
      <c r="J7814" t="str">
        <f t="shared" si="2917"/>
        <v>AP</v>
      </c>
      <c r="K7814" t="str">
        <f>T("819897055556372409")</f>
        <v>819897055556372409</v>
      </c>
      <c r="L7814" t="str">
        <f>T("1111111111")</f>
        <v>1111111111</v>
      </c>
    </row>
    <row r="7815" spans="1:12" x14ac:dyDescent="0.35">
      <c r="A7815" t="str">
        <f t="shared" si="2913"/>
        <v>USMC RCO FAR EAST</v>
      </c>
      <c r="B7815" t="str">
        <f t="shared" si="2911"/>
        <v>UNIT 35001</v>
      </c>
      <c r="C7815" t="str">
        <f t="shared" si="2908"/>
        <v/>
      </c>
      <c r="D7815" t="str">
        <f t="shared" si="2910"/>
        <v>FPO</v>
      </c>
      <c r="E7815" t="str">
        <f t="shared" si="2914"/>
        <v>AP</v>
      </c>
      <c r="F7815" t="str">
        <f t="shared" si="2912"/>
        <v>963730100</v>
      </c>
      <c r="G7815" t="str">
        <f t="shared" si="2915"/>
        <v>UNIT 35001</v>
      </c>
      <c r="H7815" t="str">
        <f t="shared" si="2916"/>
        <v/>
      </c>
      <c r="I7815" t="str">
        <f t="shared" si="2909"/>
        <v>FPO</v>
      </c>
      <c r="J7815" t="str">
        <f t="shared" si="2917"/>
        <v>AP</v>
      </c>
      <c r="K7815" t="str">
        <f>T("819897055556372610")</f>
        <v>819897055556372610</v>
      </c>
      <c r="L7815" t="str">
        <f>T("1111111111")</f>
        <v>1111111111</v>
      </c>
    </row>
    <row r="7816" spans="1:12" x14ac:dyDescent="0.35">
      <c r="A7816" t="str">
        <f t="shared" si="2913"/>
        <v>USMC RCO FAR EAST</v>
      </c>
      <c r="B7816" t="str">
        <f t="shared" si="2911"/>
        <v>UNIT 35001</v>
      </c>
      <c r="C7816" t="str">
        <f t="shared" si="2908"/>
        <v/>
      </c>
      <c r="D7816" t="str">
        <f t="shared" si="2910"/>
        <v>FPO</v>
      </c>
      <c r="E7816" t="str">
        <f t="shared" si="2914"/>
        <v>AP</v>
      </c>
      <c r="F7816" t="str">
        <f t="shared" si="2912"/>
        <v>963730100</v>
      </c>
      <c r="G7816" t="str">
        <f t="shared" si="2915"/>
        <v>UNIT 35001</v>
      </c>
      <c r="H7816" t="str">
        <f t="shared" si="2916"/>
        <v/>
      </c>
      <c r="I7816" t="str">
        <f t="shared" si="2909"/>
        <v>FPO</v>
      </c>
      <c r="J7816" t="str">
        <f t="shared" si="2917"/>
        <v>AP</v>
      </c>
      <c r="K7816" t="str">
        <f>T("81989705556372536")</f>
        <v>81989705556372536</v>
      </c>
      <c r="L7816" t="str">
        <f>T("1111111111")</f>
        <v>1111111111</v>
      </c>
    </row>
    <row r="7817" spans="1:12" x14ac:dyDescent="0.35">
      <c r="A7817" t="str">
        <f t="shared" si="2913"/>
        <v>USMC RCO FAR EAST</v>
      </c>
      <c r="B7817" t="str">
        <f t="shared" si="2911"/>
        <v>UNIT 35001</v>
      </c>
      <c r="C7817" t="str">
        <f t="shared" si="2908"/>
        <v/>
      </c>
      <c r="D7817" t="str">
        <f t="shared" si="2910"/>
        <v>FPO</v>
      </c>
      <c r="E7817" t="str">
        <f t="shared" si="2914"/>
        <v>AP</v>
      </c>
      <c r="F7817" t="str">
        <f t="shared" si="2912"/>
        <v>963730100</v>
      </c>
      <c r="G7817" t="str">
        <f t="shared" si="2915"/>
        <v>UNIT 35001</v>
      </c>
      <c r="H7817" t="str">
        <f t="shared" si="2916"/>
        <v/>
      </c>
      <c r="I7817" t="str">
        <f t="shared" si="2909"/>
        <v>FPO</v>
      </c>
      <c r="J7817" t="str">
        <f t="shared" si="2917"/>
        <v>AP</v>
      </c>
      <c r="K7817" t="str">
        <f>T("81989707421")</f>
        <v>81989707421</v>
      </c>
      <c r="L7817" t="str">
        <f>T("1819707421")</f>
        <v>1819707421</v>
      </c>
    </row>
    <row r="7818" spans="1:12" x14ac:dyDescent="0.35">
      <c r="A7818" t="str">
        <f t="shared" si="2913"/>
        <v>USMC RCO FAR EAST</v>
      </c>
      <c r="B7818" t="str">
        <f t="shared" si="2911"/>
        <v>UNIT 35001</v>
      </c>
      <c r="C7818" t="str">
        <f t="shared" si="2908"/>
        <v/>
      </c>
      <c r="D7818" t="str">
        <f t="shared" si="2910"/>
        <v>FPO</v>
      </c>
      <c r="E7818" t="str">
        <f t="shared" si="2914"/>
        <v>AP</v>
      </c>
      <c r="F7818" t="str">
        <f t="shared" si="2912"/>
        <v>963730100</v>
      </c>
      <c r="G7818" t="str">
        <f t="shared" si="2915"/>
        <v>UNIT 35001</v>
      </c>
      <c r="H7818" t="str">
        <f t="shared" si="2916"/>
        <v/>
      </c>
      <c r="I7818" t="str">
        <f t="shared" si="2909"/>
        <v>FPO</v>
      </c>
      <c r="J7818" t="str">
        <f t="shared" si="2917"/>
        <v>AP</v>
      </c>
      <c r="K7818" t="str">
        <f>T("81989709817")</f>
        <v>81989709817</v>
      </c>
      <c r="L7818" t="str">
        <f>T("1111111111")</f>
        <v>1111111111</v>
      </c>
    </row>
    <row r="7819" spans="1:12" x14ac:dyDescent="0.35">
      <c r="A7819" t="str">
        <f t="shared" si="2913"/>
        <v>USMC RCO FAR EAST</v>
      </c>
      <c r="B7819" t="str">
        <f t="shared" si="2911"/>
        <v>UNIT 35001</v>
      </c>
      <c r="C7819" t="str">
        <f t="shared" si="2908"/>
        <v/>
      </c>
      <c r="D7819" t="str">
        <f t="shared" si="2910"/>
        <v>FPO</v>
      </c>
      <c r="E7819" t="str">
        <f t="shared" si="2914"/>
        <v>AP</v>
      </c>
      <c r="F7819" t="str">
        <f t="shared" si="2912"/>
        <v>963730100</v>
      </c>
      <c r="G7819" t="str">
        <f t="shared" si="2915"/>
        <v>UNIT 35001</v>
      </c>
      <c r="H7819" t="str">
        <f>T("MCB CAMP S D BUTLER")</f>
        <v>MCB CAMP S D BUTLER</v>
      </c>
      <c r="I7819" t="str">
        <f t="shared" ref="I7819:I7850" si="2919">T("FPO")</f>
        <v>FPO</v>
      </c>
      <c r="J7819" t="str">
        <f t="shared" si="2917"/>
        <v>AP</v>
      </c>
      <c r="K7819" t="str">
        <f>T("000000000000000000")</f>
        <v>000000000000000000</v>
      </c>
      <c r="L7819" t="str">
        <f>T("6117437328")</f>
        <v>6117437328</v>
      </c>
    </row>
    <row r="7820" spans="1:12" x14ac:dyDescent="0.35">
      <c r="A7820" t="str">
        <f t="shared" si="2913"/>
        <v>USMC RCO FAR EAST</v>
      </c>
      <c r="B7820" t="str">
        <f t="shared" si="2911"/>
        <v>UNIT 35001</v>
      </c>
      <c r="C7820" t="str">
        <f t="shared" si="2908"/>
        <v/>
      </c>
      <c r="D7820" t="str">
        <f t="shared" ref="D7820:D7851" si="2920">T("FPO")</f>
        <v>FPO</v>
      </c>
      <c r="E7820" t="str">
        <f t="shared" si="2914"/>
        <v>AP</v>
      </c>
      <c r="F7820" t="str">
        <f t="shared" si="2912"/>
        <v>963730100</v>
      </c>
      <c r="G7820" t="str">
        <f>T("UNIT 35004")</f>
        <v>UNIT 35004</v>
      </c>
      <c r="H7820" t="str">
        <f t="shared" ref="H7820:H7827" si="2921">T("")</f>
        <v/>
      </c>
      <c r="I7820" t="str">
        <f t="shared" si="2919"/>
        <v>FPO</v>
      </c>
      <c r="J7820" t="str">
        <f t="shared" si="2917"/>
        <v>AP</v>
      </c>
      <c r="K7820" t="str">
        <f>T("81989705556371012")</f>
        <v>81989705556371012</v>
      </c>
      <c r="L7820" t="str">
        <f>T("3156371012")</f>
        <v>3156371012</v>
      </c>
    </row>
    <row r="7821" spans="1:12" x14ac:dyDescent="0.35">
      <c r="A7821" t="str">
        <f t="shared" si="2913"/>
        <v>USMC RCO FAR EAST</v>
      </c>
      <c r="B7821" t="str">
        <f t="shared" si="2911"/>
        <v>UNIT 35001</v>
      </c>
      <c r="C7821" t="str">
        <f t="shared" si="2908"/>
        <v/>
      </c>
      <c r="D7821" t="str">
        <f t="shared" si="2920"/>
        <v>FPO</v>
      </c>
      <c r="E7821" t="str">
        <f t="shared" si="2914"/>
        <v>AP</v>
      </c>
      <c r="F7821" t="str">
        <f t="shared" si="2912"/>
        <v>963730100</v>
      </c>
      <c r="G7821" t="str">
        <f>T("UNIT 35004")</f>
        <v>UNIT 35004</v>
      </c>
      <c r="H7821" t="str">
        <f t="shared" si="2921"/>
        <v/>
      </c>
      <c r="I7821" t="str">
        <f t="shared" si="2919"/>
        <v>FPO</v>
      </c>
      <c r="J7821" t="str">
        <f t="shared" si="2917"/>
        <v>AP</v>
      </c>
      <c r="K7821" t="str">
        <f>T("81989705556371518")</f>
        <v>81989705556371518</v>
      </c>
      <c r="L7821" t="str">
        <f>T("1111111111")</f>
        <v>1111111111</v>
      </c>
    </row>
    <row r="7822" spans="1:12" x14ac:dyDescent="0.35">
      <c r="A7822" t="str">
        <f t="shared" si="2913"/>
        <v>USMC RCO FAR EAST</v>
      </c>
      <c r="B7822" t="str">
        <f t="shared" si="2911"/>
        <v>UNIT 35001</v>
      </c>
      <c r="C7822" t="str">
        <f t="shared" si="2908"/>
        <v/>
      </c>
      <c r="D7822" t="str">
        <f t="shared" si="2920"/>
        <v>FPO</v>
      </c>
      <c r="E7822" t="str">
        <f t="shared" si="2914"/>
        <v>AP</v>
      </c>
      <c r="F7822" t="str">
        <f>T("963735001")</f>
        <v>963735001</v>
      </c>
      <c r="G7822" t="str">
        <f t="shared" ref="G7822:G7828" si="2922">T("UNIT 35001")</f>
        <v>UNIT 35001</v>
      </c>
      <c r="H7822" t="str">
        <f t="shared" si="2921"/>
        <v/>
      </c>
      <c r="I7822" t="str">
        <f t="shared" si="2919"/>
        <v>FPO</v>
      </c>
      <c r="J7822" t="str">
        <f t="shared" si="2917"/>
        <v>AP</v>
      </c>
      <c r="K7822" t="str">
        <f>T("000000000000000000")</f>
        <v>000000000000000000</v>
      </c>
      <c r="L7822" t="str">
        <f>T("1111111111")</f>
        <v>1111111111</v>
      </c>
    </row>
    <row r="7823" spans="1:12" x14ac:dyDescent="0.35">
      <c r="A7823" t="str">
        <f t="shared" si="2913"/>
        <v>USMC RCO FAR EAST</v>
      </c>
      <c r="B7823" t="str">
        <f t="shared" si="2911"/>
        <v>UNIT 35001</v>
      </c>
      <c r="C7823" t="str">
        <f t="shared" si="2908"/>
        <v/>
      </c>
      <c r="D7823" t="str">
        <f t="shared" si="2920"/>
        <v>FPO</v>
      </c>
      <c r="E7823" t="str">
        <f t="shared" si="2914"/>
        <v>AP</v>
      </c>
      <c r="F7823" t="str">
        <f>T("963735001")</f>
        <v>963735001</v>
      </c>
      <c r="G7823" t="str">
        <f t="shared" si="2922"/>
        <v>UNIT 35001</v>
      </c>
      <c r="H7823" t="str">
        <f t="shared" si="2921"/>
        <v/>
      </c>
      <c r="I7823" t="str">
        <f t="shared" si="2919"/>
        <v>FPO</v>
      </c>
      <c r="J7823" t="str">
        <f t="shared" si="2917"/>
        <v>AP</v>
      </c>
      <c r="K7823" t="str">
        <f>T("011816117453445")</f>
        <v>011816117453445</v>
      </c>
      <c r="L7823" t="str">
        <f>T("1111111111")</f>
        <v>1111111111</v>
      </c>
    </row>
    <row r="7824" spans="1:12" x14ac:dyDescent="0.35">
      <c r="A7824" t="str">
        <f t="shared" si="2913"/>
        <v>USMC RCO FAR EAST</v>
      </c>
      <c r="B7824" t="str">
        <f t="shared" si="2911"/>
        <v>UNIT 35001</v>
      </c>
      <c r="C7824" t="str">
        <f t="shared" si="2908"/>
        <v/>
      </c>
      <c r="D7824" t="str">
        <f t="shared" si="2920"/>
        <v>FPO</v>
      </c>
      <c r="E7824" t="str">
        <f t="shared" si="2914"/>
        <v>AP</v>
      </c>
      <c r="F7824" t="str">
        <f>T("963735001")</f>
        <v>963735001</v>
      </c>
      <c r="G7824" t="str">
        <f t="shared" si="2922"/>
        <v>UNIT 35001</v>
      </c>
      <c r="H7824" t="str">
        <f t="shared" si="2921"/>
        <v/>
      </c>
      <c r="I7824" t="str">
        <f t="shared" si="2919"/>
        <v>FPO</v>
      </c>
      <c r="J7824" t="str">
        <f t="shared" si="2917"/>
        <v>AP</v>
      </c>
      <c r="K7824" t="str">
        <f>T("81989703065")</f>
        <v>81989703065</v>
      </c>
      <c r="L7824" t="str">
        <f>T("1111111111")</f>
        <v>1111111111</v>
      </c>
    </row>
    <row r="7825" spans="1:12" x14ac:dyDescent="0.35">
      <c r="A7825" t="str">
        <f t="shared" ref="A7825:A7856" si="2923">T("USMC RCO FAR EAST")</f>
        <v>USMC RCO FAR EAST</v>
      </c>
      <c r="B7825" t="str">
        <f t="shared" si="2911"/>
        <v>UNIT 35001</v>
      </c>
      <c r="C7825" t="str">
        <f t="shared" si="2908"/>
        <v/>
      </c>
      <c r="D7825" t="str">
        <f t="shared" si="2920"/>
        <v>FPO</v>
      </c>
      <c r="E7825" t="str">
        <f t="shared" si="2914"/>
        <v>AP</v>
      </c>
      <c r="F7825" t="str">
        <f>T("963735001")</f>
        <v>963735001</v>
      </c>
      <c r="G7825" t="str">
        <f t="shared" si="2922"/>
        <v>UNIT 35001</v>
      </c>
      <c r="H7825" t="str">
        <f t="shared" si="2921"/>
        <v/>
      </c>
      <c r="I7825" t="str">
        <f t="shared" si="2919"/>
        <v>FPO</v>
      </c>
      <c r="J7825" t="str">
        <f t="shared" si="2917"/>
        <v>AP</v>
      </c>
      <c r="K7825" t="str">
        <f>T("81989707120")</f>
        <v>81989707120</v>
      </c>
      <c r="L7825" t="str">
        <f>T("3156453065")</f>
        <v>3156453065</v>
      </c>
    </row>
    <row r="7826" spans="1:12" x14ac:dyDescent="0.35">
      <c r="A7826" t="str">
        <f t="shared" si="2923"/>
        <v>USMC RCO FAR EAST</v>
      </c>
      <c r="B7826" t="str">
        <f t="shared" si="2911"/>
        <v>UNIT 35001</v>
      </c>
      <c r="C7826" t="str">
        <f>T("MCB CAMP BUTLER")</f>
        <v>MCB CAMP BUTLER</v>
      </c>
      <c r="D7826" t="str">
        <f t="shared" si="2920"/>
        <v>FPO</v>
      </c>
      <c r="E7826" t="str">
        <f t="shared" si="2914"/>
        <v>AP</v>
      </c>
      <c r="F7826" t="str">
        <f>T("963730100")</f>
        <v>963730100</v>
      </c>
      <c r="G7826" t="str">
        <f t="shared" si="2922"/>
        <v>UNIT 35001</v>
      </c>
      <c r="H7826" t="str">
        <f t="shared" si="2921"/>
        <v/>
      </c>
      <c r="I7826" t="str">
        <f t="shared" si="2919"/>
        <v>FPO</v>
      </c>
      <c r="J7826" t="str">
        <f t="shared" si="2917"/>
        <v>AP</v>
      </c>
      <c r="K7826" t="str">
        <f>T("000000000000000000")</f>
        <v>000000000000000000</v>
      </c>
      <c r="L7826" t="str">
        <f>T("3156459179")</f>
        <v>3156459179</v>
      </c>
    </row>
    <row r="7827" spans="1:12" x14ac:dyDescent="0.35">
      <c r="A7827" t="str">
        <f t="shared" si="2923"/>
        <v>USMC RCO FAR EAST</v>
      </c>
      <c r="B7827" t="str">
        <f t="shared" si="2911"/>
        <v>UNIT 35001</v>
      </c>
      <c r="C7827" t="str">
        <f>T("MCB CAMP BUTLER")</f>
        <v>MCB CAMP BUTLER</v>
      </c>
      <c r="D7827" t="str">
        <f t="shared" si="2920"/>
        <v>FPO</v>
      </c>
      <c r="E7827" t="str">
        <f t="shared" ref="E7827:E7858" si="2924">T("AP")</f>
        <v>AP</v>
      </c>
      <c r="F7827" t="str">
        <f>T("963730100")</f>
        <v>963730100</v>
      </c>
      <c r="G7827" t="str">
        <f t="shared" si="2922"/>
        <v>UNIT 35001</v>
      </c>
      <c r="H7827" t="str">
        <f t="shared" si="2921"/>
        <v/>
      </c>
      <c r="I7827" t="str">
        <f t="shared" si="2919"/>
        <v>FPO</v>
      </c>
      <c r="J7827" t="str">
        <f t="shared" ref="J7827:J7858" si="2925">T("AP")</f>
        <v>AP</v>
      </c>
      <c r="K7827" t="str">
        <f>T("81989705063")</f>
        <v>81989705063</v>
      </c>
      <c r="L7827" t="str">
        <f>T("1111111111")</f>
        <v>1111111111</v>
      </c>
    </row>
    <row r="7828" spans="1:12" x14ac:dyDescent="0.35">
      <c r="A7828" t="str">
        <f t="shared" si="2923"/>
        <v>USMC RCO FAR EAST</v>
      </c>
      <c r="B7828" t="str">
        <f t="shared" si="2911"/>
        <v>UNIT 35001</v>
      </c>
      <c r="C7828" t="str">
        <f>T("MCB CAMP BUTLER")</f>
        <v>MCB CAMP BUTLER</v>
      </c>
      <c r="D7828" t="str">
        <f t="shared" si="2920"/>
        <v>FPO</v>
      </c>
      <c r="E7828" t="str">
        <f t="shared" si="2924"/>
        <v>AP</v>
      </c>
      <c r="F7828" t="str">
        <f>T("963730100")</f>
        <v>963730100</v>
      </c>
      <c r="G7828" t="str">
        <f t="shared" si="2922"/>
        <v>UNIT 35001</v>
      </c>
      <c r="H7828" t="str">
        <f>T("MCB CAMP BUTLER")</f>
        <v>MCB CAMP BUTLER</v>
      </c>
      <c r="I7828" t="str">
        <f t="shared" si="2919"/>
        <v>FPO</v>
      </c>
      <c r="J7828" t="str">
        <f t="shared" si="2925"/>
        <v>AP</v>
      </c>
      <c r="K7828" t="str">
        <f>T("011816140454189")</f>
        <v>011816140454189</v>
      </c>
      <c r="L7828" t="str">
        <f>T("1111111111")</f>
        <v>1111111111</v>
      </c>
    </row>
    <row r="7829" spans="1:12" x14ac:dyDescent="0.35">
      <c r="A7829" t="str">
        <f t="shared" si="2923"/>
        <v>USMC RCO FAR EAST</v>
      </c>
      <c r="B7829" t="str">
        <f t="shared" ref="B7829:B7855" si="2926">T("UNIT 35002")</f>
        <v>UNIT 35002</v>
      </c>
      <c r="C7829" t="str">
        <f t="shared" ref="C7829:C7860" si="2927">T("")</f>
        <v/>
      </c>
      <c r="D7829" t="str">
        <f t="shared" si="2920"/>
        <v>FPO</v>
      </c>
      <c r="E7829" t="str">
        <f t="shared" si="2924"/>
        <v>AP</v>
      </c>
      <c r="F7829" t="str">
        <f t="shared" ref="F7829:F7855" si="2928">T("963735002")</f>
        <v>963735002</v>
      </c>
      <c r="G7829" t="str">
        <f>T("MCB CAMP S D BUTLER")</f>
        <v>MCB CAMP S D BUTLER</v>
      </c>
      <c r="H7829" t="str">
        <f>T("UNIT 35002")</f>
        <v>UNIT 35002</v>
      </c>
      <c r="I7829" t="str">
        <f t="shared" si="2919"/>
        <v>FPO</v>
      </c>
      <c r="J7829" t="str">
        <f t="shared" si="2925"/>
        <v>AP</v>
      </c>
      <c r="K7829" t="str">
        <f>T("000000000000000000")</f>
        <v>000000000000000000</v>
      </c>
      <c r="L7829" t="str">
        <f>T("1111111111")</f>
        <v>1111111111</v>
      </c>
    </row>
    <row r="7830" spans="1:12" x14ac:dyDescent="0.35">
      <c r="A7830" t="str">
        <f t="shared" si="2923"/>
        <v>USMC RCO FAR EAST</v>
      </c>
      <c r="B7830" t="str">
        <f t="shared" si="2926"/>
        <v>UNIT 35002</v>
      </c>
      <c r="C7830" t="str">
        <f t="shared" si="2927"/>
        <v/>
      </c>
      <c r="D7830" t="str">
        <f t="shared" si="2920"/>
        <v>FPO</v>
      </c>
      <c r="E7830" t="str">
        <f t="shared" si="2924"/>
        <v>AP</v>
      </c>
      <c r="F7830" t="str">
        <f t="shared" si="2928"/>
        <v>963735002</v>
      </c>
      <c r="G7830" t="str">
        <f>T("MCB CAMP S D BUTLER")</f>
        <v>MCB CAMP S D BUTLER</v>
      </c>
      <c r="H7830" t="str">
        <f>T("UNIT 35029")</f>
        <v>UNIT 35029</v>
      </c>
      <c r="I7830" t="str">
        <f t="shared" si="2919"/>
        <v>FPO</v>
      </c>
      <c r="J7830" t="str">
        <f t="shared" si="2925"/>
        <v>AP</v>
      </c>
      <c r="K7830" t="str">
        <f>T("000000000000000000")</f>
        <v>000000000000000000</v>
      </c>
      <c r="L7830" t="str">
        <f>T("6117459116")</f>
        <v>6117459116</v>
      </c>
    </row>
    <row r="7831" spans="1:12" x14ac:dyDescent="0.35">
      <c r="A7831" t="str">
        <f t="shared" si="2923"/>
        <v>USMC RCO FAR EAST</v>
      </c>
      <c r="B7831" t="str">
        <f t="shared" si="2926"/>
        <v>UNIT 35002</v>
      </c>
      <c r="C7831" t="str">
        <f t="shared" si="2927"/>
        <v/>
      </c>
      <c r="D7831" t="str">
        <f t="shared" si="2920"/>
        <v>FPO</v>
      </c>
      <c r="E7831" t="str">
        <f t="shared" si="2924"/>
        <v>AP</v>
      </c>
      <c r="F7831" t="str">
        <f t="shared" si="2928"/>
        <v>963735002</v>
      </c>
      <c r="G7831" t="str">
        <f>T("UNIT 35001")</f>
        <v>UNIT 35001</v>
      </c>
      <c r="H7831" t="str">
        <f t="shared" ref="H7831:H7857" si="2929">T("")</f>
        <v/>
      </c>
      <c r="I7831" t="str">
        <f t="shared" si="2919"/>
        <v>FPO</v>
      </c>
      <c r="J7831" t="str">
        <f t="shared" si="2925"/>
        <v>AP</v>
      </c>
      <c r="K7831" t="str">
        <f>T("000000000000000000")</f>
        <v>000000000000000000</v>
      </c>
      <c r="L7831" t="str">
        <f>T("3156457579")</f>
        <v>3156457579</v>
      </c>
    </row>
    <row r="7832" spans="1:12" x14ac:dyDescent="0.35">
      <c r="A7832" t="str">
        <f t="shared" si="2923"/>
        <v>USMC RCO FAR EAST</v>
      </c>
      <c r="B7832" t="str">
        <f t="shared" si="2926"/>
        <v>UNIT 35002</v>
      </c>
      <c r="C7832" t="str">
        <f t="shared" si="2927"/>
        <v/>
      </c>
      <c r="D7832" t="str">
        <f t="shared" si="2920"/>
        <v>FPO</v>
      </c>
      <c r="E7832" t="str">
        <f t="shared" si="2924"/>
        <v>AP</v>
      </c>
      <c r="F7832" t="str">
        <f t="shared" si="2928"/>
        <v>963735002</v>
      </c>
      <c r="G7832" t="str">
        <f>T("UNIT 35001")</f>
        <v>UNIT 35001</v>
      </c>
      <c r="H7832" t="str">
        <f t="shared" si="2929"/>
        <v/>
      </c>
      <c r="I7832" t="str">
        <f t="shared" si="2919"/>
        <v>FPO</v>
      </c>
      <c r="J7832" t="str">
        <f t="shared" si="2925"/>
        <v>AP</v>
      </c>
      <c r="K7832" t="str">
        <f>T("01181989705011")</f>
        <v>01181989705011</v>
      </c>
      <c r="L7832" t="str">
        <f>T("3156455011")</f>
        <v>3156455011</v>
      </c>
    </row>
    <row r="7833" spans="1:12" x14ac:dyDescent="0.35">
      <c r="A7833" t="str">
        <f t="shared" si="2923"/>
        <v>USMC RCO FAR EAST</v>
      </c>
      <c r="B7833" t="str">
        <f t="shared" si="2926"/>
        <v>UNIT 35002</v>
      </c>
      <c r="C7833" t="str">
        <f t="shared" si="2927"/>
        <v/>
      </c>
      <c r="D7833" t="str">
        <f t="shared" si="2920"/>
        <v>FPO</v>
      </c>
      <c r="E7833" t="str">
        <f t="shared" si="2924"/>
        <v>AP</v>
      </c>
      <c r="F7833" t="str">
        <f t="shared" si="2928"/>
        <v>963735002</v>
      </c>
      <c r="G7833" t="str">
        <f t="shared" ref="G7833:G7855" si="2930">T("UNIT 35002")</f>
        <v>UNIT 35002</v>
      </c>
      <c r="H7833" t="str">
        <f t="shared" si="2929"/>
        <v/>
      </c>
      <c r="I7833" t="str">
        <f t="shared" si="2919"/>
        <v>FPO</v>
      </c>
      <c r="J7833" t="str">
        <f t="shared" si="2925"/>
        <v>AP</v>
      </c>
      <c r="K7833" t="str">
        <f>T("")</f>
        <v/>
      </c>
      <c r="L7833" t="str">
        <f>T("1111111111")</f>
        <v>1111111111</v>
      </c>
    </row>
    <row r="7834" spans="1:12" x14ac:dyDescent="0.35">
      <c r="A7834" t="str">
        <f t="shared" si="2923"/>
        <v>USMC RCO FAR EAST</v>
      </c>
      <c r="B7834" t="str">
        <f t="shared" si="2926"/>
        <v>UNIT 35002</v>
      </c>
      <c r="C7834" t="str">
        <f t="shared" si="2927"/>
        <v/>
      </c>
      <c r="D7834" t="str">
        <f t="shared" si="2920"/>
        <v>FPO</v>
      </c>
      <c r="E7834" t="str">
        <f t="shared" si="2924"/>
        <v>AP</v>
      </c>
      <c r="F7834" t="str">
        <f t="shared" si="2928"/>
        <v>963735002</v>
      </c>
      <c r="G7834" t="str">
        <f t="shared" si="2930"/>
        <v>UNIT 35002</v>
      </c>
      <c r="H7834" t="str">
        <f t="shared" si="2929"/>
        <v/>
      </c>
      <c r="I7834" t="str">
        <f t="shared" si="2919"/>
        <v>FPO</v>
      </c>
      <c r="J7834" t="str">
        <f t="shared" si="2925"/>
        <v>AP</v>
      </c>
      <c r="K7834" t="str">
        <f>T("000000000000000000")</f>
        <v>000000000000000000</v>
      </c>
      <c r="L7834" t="str">
        <f>T("1111111111")</f>
        <v>1111111111</v>
      </c>
    </row>
    <row r="7835" spans="1:12" x14ac:dyDescent="0.35">
      <c r="A7835" t="str">
        <f t="shared" si="2923"/>
        <v>USMC RCO FAR EAST</v>
      </c>
      <c r="B7835" t="str">
        <f t="shared" si="2926"/>
        <v>UNIT 35002</v>
      </c>
      <c r="C7835" t="str">
        <f t="shared" si="2927"/>
        <v/>
      </c>
      <c r="D7835" t="str">
        <f t="shared" si="2920"/>
        <v>FPO</v>
      </c>
      <c r="E7835" t="str">
        <f t="shared" si="2924"/>
        <v>AP</v>
      </c>
      <c r="F7835" t="str">
        <f t="shared" si="2928"/>
        <v>963735002</v>
      </c>
      <c r="G7835" t="str">
        <f t="shared" si="2930"/>
        <v>UNIT 35002</v>
      </c>
      <c r="H7835" t="str">
        <f t="shared" si="2929"/>
        <v/>
      </c>
      <c r="I7835" t="str">
        <f t="shared" si="2919"/>
        <v>FPO</v>
      </c>
      <c r="J7835" t="str">
        <f t="shared" si="2925"/>
        <v>AP</v>
      </c>
      <c r="K7835" t="str">
        <f>T("011816117452572")</f>
        <v>011816117452572</v>
      </c>
      <c r="L7835" t="str">
        <f>T("1111111111")</f>
        <v>1111111111</v>
      </c>
    </row>
    <row r="7836" spans="1:12" x14ac:dyDescent="0.35">
      <c r="A7836" t="str">
        <f t="shared" si="2923"/>
        <v>USMC RCO FAR EAST</v>
      </c>
      <c r="B7836" t="str">
        <f t="shared" si="2926"/>
        <v>UNIT 35002</v>
      </c>
      <c r="C7836" t="str">
        <f t="shared" si="2927"/>
        <v/>
      </c>
      <c r="D7836" t="str">
        <f t="shared" si="2920"/>
        <v>FPO</v>
      </c>
      <c r="E7836" t="str">
        <f t="shared" si="2924"/>
        <v>AP</v>
      </c>
      <c r="F7836" t="str">
        <f t="shared" si="2928"/>
        <v>963735002</v>
      </c>
      <c r="G7836" t="str">
        <f t="shared" si="2930"/>
        <v>UNIT 35002</v>
      </c>
      <c r="H7836" t="str">
        <f t="shared" si="2929"/>
        <v/>
      </c>
      <c r="I7836" t="str">
        <f t="shared" si="2919"/>
        <v>FPO</v>
      </c>
      <c r="J7836" t="str">
        <f t="shared" si="2925"/>
        <v>AP</v>
      </c>
      <c r="K7836" t="str">
        <f>T("011816140451103")</f>
        <v>011816140451103</v>
      </c>
      <c r="L7836" t="str">
        <f>T("1111111111")</f>
        <v>1111111111</v>
      </c>
    </row>
    <row r="7837" spans="1:12" x14ac:dyDescent="0.35">
      <c r="A7837" t="str">
        <f t="shared" si="2923"/>
        <v>USMC RCO FAR EAST</v>
      </c>
      <c r="B7837" t="str">
        <f t="shared" si="2926"/>
        <v>UNIT 35002</v>
      </c>
      <c r="C7837" t="str">
        <f t="shared" si="2927"/>
        <v/>
      </c>
      <c r="D7837" t="str">
        <f t="shared" si="2920"/>
        <v>FPO</v>
      </c>
      <c r="E7837" t="str">
        <f t="shared" si="2924"/>
        <v>AP</v>
      </c>
      <c r="F7837" t="str">
        <f t="shared" si="2928"/>
        <v>963735002</v>
      </c>
      <c r="G7837" t="str">
        <f t="shared" si="2930"/>
        <v>UNIT 35002</v>
      </c>
      <c r="H7837" t="str">
        <f t="shared" si="2929"/>
        <v/>
      </c>
      <c r="I7837" t="str">
        <f t="shared" si="2919"/>
        <v>FPO</v>
      </c>
      <c r="J7837" t="str">
        <f t="shared" si="2925"/>
        <v>AP</v>
      </c>
      <c r="K7837" t="str">
        <f>T("011816140453825")</f>
        <v>011816140453825</v>
      </c>
      <c r="L7837" t="str">
        <f>T("1111111111")</f>
        <v>1111111111</v>
      </c>
    </row>
    <row r="7838" spans="1:12" x14ac:dyDescent="0.35">
      <c r="A7838" t="str">
        <f t="shared" si="2923"/>
        <v>USMC RCO FAR EAST</v>
      </c>
      <c r="B7838" t="str">
        <f t="shared" si="2926"/>
        <v>UNIT 35002</v>
      </c>
      <c r="C7838" t="str">
        <f t="shared" si="2927"/>
        <v/>
      </c>
      <c r="D7838" t="str">
        <f t="shared" si="2920"/>
        <v>FPO</v>
      </c>
      <c r="E7838" t="str">
        <f t="shared" si="2924"/>
        <v>AP</v>
      </c>
      <c r="F7838" t="str">
        <f t="shared" si="2928"/>
        <v>963735002</v>
      </c>
      <c r="G7838" t="str">
        <f t="shared" si="2930"/>
        <v>UNIT 35002</v>
      </c>
      <c r="H7838" t="str">
        <f t="shared" si="2929"/>
        <v/>
      </c>
      <c r="I7838" t="str">
        <f t="shared" si="2919"/>
        <v>FPO</v>
      </c>
      <c r="J7838" t="str">
        <f t="shared" si="2925"/>
        <v>AP</v>
      </c>
      <c r="K7838" t="str">
        <f>T("011816140457043")</f>
        <v>011816140457043</v>
      </c>
      <c r="L7838" t="str">
        <f>T("6117450865")</f>
        <v>6117450865</v>
      </c>
    </row>
    <row r="7839" spans="1:12" x14ac:dyDescent="0.35">
      <c r="A7839" t="str">
        <f t="shared" si="2923"/>
        <v>USMC RCO FAR EAST</v>
      </c>
      <c r="B7839" t="str">
        <f t="shared" si="2926"/>
        <v>UNIT 35002</v>
      </c>
      <c r="C7839" t="str">
        <f t="shared" si="2927"/>
        <v/>
      </c>
      <c r="D7839" t="str">
        <f t="shared" si="2920"/>
        <v>FPO</v>
      </c>
      <c r="E7839" t="str">
        <f t="shared" si="2924"/>
        <v>AP</v>
      </c>
      <c r="F7839" t="str">
        <f t="shared" si="2928"/>
        <v>963735002</v>
      </c>
      <c r="G7839" t="str">
        <f t="shared" si="2930"/>
        <v>UNIT 35002</v>
      </c>
      <c r="H7839" t="str">
        <f t="shared" si="2929"/>
        <v/>
      </c>
      <c r="I7839" t="str">
        <f t="shared" si="2919"/>
        <v>FPO</v>
      </c>
      <c r="J7839" t="str">
        <f t="shared" si="2925"/>
        <v>AP</v>
      </c>
      <c r="K7839" t="str">
        <f>T("01181989703298")</f>
        <v>01181989703298</v>
      </c>
      <c r="L7839" t="str">
        <f>T("1111111111")</f>
        <v>1111111111</v>
      </c>
    </row>
    <row r="7840" spans="1:12" x14ac:dyDescent="0.35">
      <c r="A7840" t="str">
        <f t="shared" si="2923"/>
        <v>USMC RCO FAR EAST</v>
      </c>
      <c r="B7840" t="str">
        <f t="shared" si="2926"/>
        <v>UNIT 35002</v>
      </c>
      <c r="C7840" t="str">
        <f t="shared" si="2927"/>
        <v/>
      </c>
      <c r="D7840" t="str">
        <f t="shared" si="2920"/>
        <v>FPO</v>
      </c>
      <c r="E7840" t="str">
        <f t="shared" si="2924"/>
        <v>AP</v>
      </c>
      <c r="F7840" t="str">
        <f t="shared" si="2928"/>
        <v>963735002</v>
      </c>
      <c r="G7840" t="str">
        <f t="shared" si="2930"/>
        <v>UNIT 35002</v>
      </c>
      <c r="H7840" t="str">
        <f t="shared" si="2929"/>
        <v/>
      </c>
      <c r="I7840" t="str">
        <f t="shared" si="2919"/>
        <v>FPO</v>
      </c>
      <c r="J7840" t="str">
        <f t="shared" si="2925"/>
        <v>AP</v>
      </c>
      <c r="K7840" t="str">
        <f>T("01181989705050")</f>
        <v>01181989705050</v>
      </c>
      <c r="L7840" t="str">
        <f>T("1111111111")</f>
        <v>1111111111</v>
      </c>
    </row>
    <row r="7841" spans="1:12" x14ac:dyDescent="0.35">
      <c r="A7841" t="str">
        <f t="shared" si="2923"/>
        <v>USMC RCO FAR EAST</v>
      </c>
      <c r="B7841" t="str">
        <f t="shared" si="2926"/>
        <v>UNIT 35002</v>
      </c>
      <c r="C7841" t="str">
        <f t="shared" si="2927"/>
        <v/>
      </c>
      <c r="D7841" t="str">
        <f t="shared" si="2920"/>
        <v>FPO</v>
      </c>
      <c r="E7841" t="str">
        <f t="shared" si="2924"/>
        <v>AP</v>
      </c>
      <c r="F7841" t="str">
        <f t="shared" si="2928"/>
        <v>963735002</v>
      </c>
      <c r="G7841" t="str">
        <f t="shared" si="2930"/>
        <v>UNIT 35002</v>
      </c>
      <c r="H7841" t="str">
        <f t="shared" si="2929"/>
        <v/>
      </c>
      <c r="I7841" t="str">
        <f t="shared" si="2919"/>
        <v>FPO</v>
      </c>
      <c r="J7841" t="str">
        <f t="shared" si="2925"/>
        <v>AP</v>
      </c>
      <c r="K7841" t="str">
        <f>T("3156457864")</f>
        <v>3156457864</v>
      </c>
      <c r="L7841" t="str">
        <f>T("3156458314")</f>
        <v>3156458314</v>
      </c>
    </row>
    <row r="7842" spans="1:12" x14ac:dyDescent="0.35">
      <c r="A7842" t="str">
        <f t="shared" si="2923"/>
        <v>USMC RCO FAR EAST</v>
      </c>
      <c r="B7842" t="str">
        <f t="shared" si="2926"/>
        <v>UNIT 35002</v>
      </c>
      <c r="C7842" t="str">
        <f t="shared" si="2927"/>
        <v/>
      </c>
      <c r="D7842" t="str">
        <f t="shared" si="2920"/>
        <v>FPO</v>
      </c>
      <c r="E7842" t="str">
        <f t="shared" si="2924"/>
        <v>AP</v>
      </c>
      <c r="F7842" t="str">
        <f t="shared" si="2928"/>
        <v>963735002</v>
      </c>
      <c r="G7842" t="str">
        <f t="shared" si="2930"/>
        <v>UNIT 35002</v>
      </c>
      <c r="H7842" t="str">
        <f t="shared" si="2929"/>
        <v/>
      </c>
      <c r="I7842" t="str">
        <f t="shared" si="2919"/>
        <v>FPO</v>
      </c>
      <c r="J7842" t="str">
        <f t="shared" si="2925"/>
        <v>AP</v>
      </c>
      <c r="K7842" t="str">
        <f>T("81989694471")</f>
        <v>81989694471</v>
      </c>
      <c r="L7842" t="str">
        <f>T("0989694471")</f>
        <v>0989694471</v>
      </c>
    </row>
    <row r="7843" spans="1:12" x14ac:dyDescent="0.35">
      <c r="A7843" t="str">
        <f t="shared" si="2923"/>
        <v>USMC RCO FAR EAST</v>
      </c>
      <c r="B7843" t="str">
        <f t="shared" si="2926"/>
        <v>UNIT 35002</v>
      </c>
      <c r="C7843" t="str">
        <f t="shared" si="2927"/>
        <v/>
      </c>
      <c r="D7843" t="str">
        <f t="shared" si="2920"/>
        <v>FPO</v>
      </c>
      <c r="E7843" t="str">
        <f t="shared" si="2924"/>
        <v>AP</v>
      </c>
      <c r="F7843" t="str">
        <f t="shared" si="2928"/>
        <v>963735002</v>
      </c>
      <c r="G7843" t="str">
        <f t="shared" si="2930"/>
        <v>UNIT 35002</v>
      </c>
      <c r="H7843" t="str">
        <f t="shared" si="2929"/>
        <v/>
      </c>
      <c r="I7843" t="str">
        <f t="shared" si="2919"/>
        <v>FPO</v>
      </c>
      <c r="J7843" t="str">
        <f t="shared" si="2925"/>
        <v>AP</v>
      </c>
      <c r="K7843" t="str">
        <f>T("81989701167")</f>
        <v>81989701167</v>
      </c>
      <c r="L7843" t="str">
        <f>T("1111111111")</f>
        <v>1111111111</v>
      </c>
    </row>
    <row r="7844" spans="1:12" x14ac:dyDescent="0.35">
      <c r="A7844" t="str">
        <f t="shared" si="2923"/>
        <v>USMC RCO FAR EAST</v>
      </c>
      <c r="B7844" t="str">
        <f t="shared" si="2926"/>
        <v>UNIT 35002</v>
      </c>
      <c r="C7844" t="str">
        <f t="shared" si="2927"/>
        <v/>
      </c>
      <c r="D7844" t="str">
        <f t="shared" si="2920"/>
        <v>FPO</v>
      </c>
      <c r="E7844" t="str">
        <f t="shared" si="2924"/>
        <v>AP</v>
      </c>
      <c r="F7844" t="str">
        <f t="shared" si="2928"/>
        <v>963735002</v>
      </c>
      <c r="G7844" t="str">
        <f t="shared" si="2930"/>
        <v>UNIT 35002</v>
      </c>
      <c r="H7844" t="str">
        <f t="shared" si="2929"/>
        <v/>
      </c>
      <c r="I7844" t="str">
        <f t="shared" si="2919"/>
        <v>FPO</v>
      </c>
      <c r="J7844" t="str">
        <f t="shared" si="2925"/>
        <v>AP</v>
      </c>
      <c r="K7844" t="str">
        <f>T("81989702810")</f>
        <v>81989702810</v>
      </c>
      <c r="L7844" t="str">
        <f>T("1111111111")</f>
        <v>1111111111</v>
      </c>
    </row>
    <row r="7845" spans="1:12" x14ac:dyDescent="0.35">
      <c r="A7845" t="str">
        <f t="shared" si="2923"/>
        <v>USMC RCO FAR EAST</v>
      </c>
      <c r="B7845" t="str">
        <f t="shared" si="2926"/>
        <v>UNIT 35002</v>
      </c>
      <c r="C7845" t="str">
        <f t="shared" si="2927"/>
        <v/>
      </c>
      <c r="D7845" t="str">
        <f t="shared" si="2920"/>
        <v>FPO</v>
      </c>
      <c r="E7845" t="str">
        <f t="shared" si="2924"/>
        <v>AP</v>
      </c>
      <c r="F7845" t="str">
        <f t="shared" si="2928"/>
        <v>963735002</v>
      </c>
      <c r="G7845" t="str">
        <f t="shared" si="2930"/>
        <v>UNIT 35002</v>
      </c>
      <c r="H7845" t="str">
        <f t="shared" si="2929"/>
        <v/>
      </c>
      <c r="I7845" t="str">
        <f t="shared" si="2919"/>
        <v>FPO</v>
      </c>
      <c r="J7845" t="str">
        <f t="shared" si="2925"/>
        <v>AP</v>
      </c>
      <c r="K7845" t="str">
        <f>T("81989702810")</f>
        <v>81989702810</v>
      </c>
      <c r="L7845" t="str">
        <f>T("3156457316")</f>
        <v>3156457316</v>
      </c>
    </row>
    <row r="7846" spans="1:12" x14ac:dyDescent="0.35">
      <c r="A7846" t="str">
        <f t="shared" si="2923"/>
        <v>USMC RCO FAR EAST</v>
      </c>
      <c r="B7846" t="str">
        <f t="shared" si="2926"/>
        <v>UNIT 35002</v>
      </c>
      <c r="C7846" t="str">
        <f t="shared" si="2927"/>
        <v/>
      </c>
      <c r="D7846" t="str">
        <f t="shared" si="2920"/>
        <v>FPO</v>
      </c>
      <c r="E7846" t="str">
        <f t="shared" si="2924"/>
        <v>AP</v>
      </c>
      <c r="F7846" t="str">
        <f t="shared" si="2928"/>
        <v>963735002</v>
      </c>
      <c r="G7846" t="str">
        <f t="shared" si="2930"/>
        <v>UNIT 35002</v>
      </c>
      <c r="H7846" t="str">
        <f t="shared" si="2929"/>
        <v/>
      </c>
      <c r="I7846" t="str">
        <f t="shared" si="2919"/>
        <v>FPO</v>
      </c>
      <c r="J7846" t="str">
        <f t="shared" si="2925"/>
        <v>AP</v>
      </c>
      <c r="K7846" t="str">
        <f>T("81989703857")</f>
        <v>81989703857</v>
      </c>
      <c r="L7846" t="str">
        <f t="shared" ref="L7846:L7853" si="2931">T("1111111111")</f>
        <v>1111111111</v>
      </c>
    </row>
    <row r="7847" spans="1:12" x14ac:dyDescent="0.35">
      <c r="A7847" t="str">
        <f t="shared" si="2923"/>
        <v>USMC RCO FAR EAST</v>
      </c>
      <c r="B7847" t="str">
        <f t="shared" si="2926"/>
        <v>UNIT 35002</v>
      </c>
      <c r="C7847" t="str">
        <f t="shared" si="2927"/>
        <v/>
      </c>
      <c r="D7847" t="str">
        <f t="shared" si="2920"/>
        <v>FPO</v>
      </c>
      <c r="E7847" t="str">
        <f t="shared" si="2924"/>
        <v>AP</v>
      </c>
      <c r="F7847" t="str">
        <f t="shared" si="2928"/>
        <v>963735002</v>
      </c>
      <c r="G7847" t="str">
        <f t="shared" si="2930"/>
        <v>UNIT 35002</v>
      </c>
      <c r="H7847" t="str">
        <f t="shared" si="2929"/>
        <v/>
      </c>
      <c r="I7847" t="str">
        <f t="shared" si="2919"/>
        <v>FPO</v>
      </c>
      <c r="J7847" t="str">
        <f t="shared" si="2925"/>
        <v>AP</v>
      </c>
      <c r="K7847" t="str">
        <f>T("81989704441")</f>
        <v>81989704441</v>
      </c>
      <c r="L7847" t="str">
        <f t="shared" si="2931"/>
        <v>1111111111</v>
      </c>
    </row>
    <row r="7848" spans="1:12" x14ac:dyDescent="0.35">
      <c r="A7848" t="str">
        <f t="shared" si="2923"/>
        <v>USMC RCO FAR EAST</v>
      </c>
      <c r="B7848" t="str">
        <f t="shared" si="2926"/>
        <v>UNIT 35002</v>
      </c>
      <c r="C7848" t="str">
        <f t="shared" si="2927"/>
        <v/>
      </c>
      <c r="D7848" t="str">
        <f t="shared" si="2920"/>
        <v>FPO</v>
      </c>
      <c r="E7848" t="str">
        <f t="shared" si="2924"/>
        <v>AP</v>
      </c>
      <c r="F7848" t="str">
        <f t="shared" si="2928"/>
        <v>963735002</v>
      </c>
      <c r="G7848" t="str">
        <f t="shared" si="2930"/>
        <v>UNIT 35002</v>
      </c>
      <c r="H7848" t="str">
        <f t="shared" si="2929"/>
        <v/>
      </c>
      <c r="I7848" t="str">
        <f t="shared" si="2919"/>
        <v>FPO</v>
      </c>
      <c r="J7848" t="str">
        <f t="shared" si="2925"/>
        <v>AP</v>
      </c>
      <c r="K7848" t="str">
        <f>T("81989704445")</f>
        <v>81989704445</v>
      </c>
      <c r="L7848" t="str">
        <f t="shared" si="2931"/>
        <v>1111111111</v>
      </c>
    </row>
    <row r="7849" spans="1:12" x14ac:dyDescent="0.35">
      <c r="A7849" t="str">
        <f t="shared" si="2923"/>
        <v>USMC RCO FAR EAST</v>
      </c>
      <c r="B7849" t="str">
        <f t="shared" si="2926"/>
        <v>UNIT 35002</v>
      </c>
      <c r="C7849" t="str">
        <f t="shared" si="2927"/>
        <v/>
      </c>
      <c r="D7849" t="str">
        <f t="shared" si="2920"/>
        <v>FPO</v>
      </c>
      <c r="E7849" t="str">
        <f t="shared" si="2924"/>
        <v>AP</v>
      </c>
      <c r="F7849" t="str">
        <f t="shared" si="2928"/>
        <v>963735002</v>
      </c>
      <c r="G7849" t="str">
        <f t="shared" si="2930"/>
        <v>UNIT 35002</v>
      </c>
      <c r="H7849" t="str">
        <f t="shared" si="2929"/>
        <v/>
      </c>
      <c r="I7849" t="str">
        <f t="shared" si="2919"/>
        <v>FPO</v>
      </c>
      <c r="J7849" t="str">
        <f t="shared" si="2925"/>
        <v>AP</v>
      </c>
      <c r="K7849" t="str">
        <f>T("81989705069")</f>
        <v>81989705069</v>
      </c>
      <c r="L7849" t="str">
        <f t="shared" si="2931"/>
        <v>1111111111</v>
      </c>
    </row>
    <row r="7850" spans="1:12" x14ac:dyDescent="0.35">
      <c r="A7850" t="str">
        <f t="shared" si="2923"/>
        <v>USMC RCO FAR EAST</v>
      </c>
      <c r="B7850" t="str">
        <f t="shared" si="2926"/>
        <v>UNIT 35002</v>
      </c>
      <c r="C7850" t="str">
        <f t="shared" si="2927"/>
        <v/>
      </c>
      <c r="D7850" t="str">
        <f t="shared" si="2920"/>
        <v>FPO</v>
      </c>
      <c r="E7850" t="str">
        <f t="shared" si="2924"/>
        <v>AP</v>
      </c>
      <c r="F7850" t="str">
        <f t="shared" si="2928"/>
        <v>963735002</v>
      </c>
      <c r="G7850" t="str">
        <f t="shared" si="2930"/>
        <v>UNIT 35002</v>
      </c>
      <c r="H7850" t="str">
        <f t="shared" si="2929"/>
        <v/>
      </c>
      <c r="I7850" t="str">
        <f t="shared" si="2919"/>
        <v>FPO</v>
      </c>
      <c r="J7850" t="str">
        <f t="shared" si="2925"/>
        <v>AP</v>
      </c>
      <c r="K7850" t="str">
        <f>T("81989705921")</f>
        <v>81989705921</v>
      </c>
      <c r="L7850" t="str">
        <f t="shared" si="2931"/>
        <v>1111111111</v>
      </c>
    </row>
    <row r="7851" spans="1:12" x14ac:dyDescent="0.35">
      <c r="A7851" t="str">
        <f t="shared" si="2923"/>
        <v>USMC RCO FAR EAST</v>
      </c>
      <c r="B7851" t="str">
        <f t="shared" si="2926"/>
        <v>UNIT 35002</v>
      </c>
      <c r="C7851" t="str">
        <f t="shared" si="2927"/>
        <v/>
      </c>
      <c r="D7851" t="str">
        <f t="shared" si="2920"/>
        <v>FPO</v>
      </c>
      <c r="E7851" t="str">
        <f t="shared" si="2924"/>
        <v>AP</v>
      </c>
      <c r="F7851" t="str">
        <f t="shared" si="2928"/>
        <v>963735002</v>
      </c>
      <c r="G7851" t="str">
        <f t="shared" si="2930"/>
        <v>UNIT 35002</v>
      </c>
      <c r="H7851" t="str">
        <f t="shared" si="2929"/>
        <v/>
      </c>
      <c r="I7851" t="str">
        <f t="shared" ref="I7851:I7882" si="2932">T("FPO")</f>
        <v>FPO</v>
      </c>
      <c r="J7851" t="str">
        <f t="shared" si="2925"/>
        <v>AP</v>
      </c>
      <c r="K7851" t="str">
        <f>T("81989707196")</f>
        <v>81989707196</v>
      </c>
      <c r="L7851" t="str">
        <f t="shared" si="2931"/>
        <v>1111111111</v>
      </c>
    </row>
    <row r="7852" spans="1:12" x14ac:dyDescent="0.35">
      <c r="A7852" t="str">
        <f t="shared" si="2923"/>
        <v>USMC RCO FAR EAST</v>
      </c>
      <c r="B7852" t="str">
        <f t="shared" si="2926"/>
        <v>UNIT 35002</v>
      </c>
      <c r="C7852" t="str">
        <f t="shared" si="2927"/>
        <v/>
      </c>
      <c r="D7852" t="str">
        <f t="shared" ref="D7852:D7883" si="2933">T("FPO")</f>
        <v>FPO</v>
      </c>
      <c r="E7852" t="str">
        <f t="shared" si="2924"/>
        <v>AP</v>
      </c>
      <c r="F7852" t="str">
        <f t="shared" si="2928"/>
        <v>963735002</v>
      </c>
      <c r="G7852" t="str">
        <f t="shared" si="2930"/>
        <v>UNIT 35002</v>
      </c>
      <c r="H7852" t="str">
        <f t="shared" si="2929"/>
        <v/>
      </c>
      <c r="I7852" t="str">
        <f t="shared" si="2932"/>
        <v>FPO</v>
      </c>
      <c r="J7852" t="str">
        <f t="shared" si="2925"/>
        <v>AP</v>
      </c>
      <c r="K7852" t="str">
        <f>T("81989707489")</f>
        <v>81989707489</v>
      </c>
      <c r="L7852" t="str">
        <f t="shared" si="2931"/>
        <v>1111111111</v>
      </c>
    </row>
    <row r="7853" spans="1:12" x14ac:dyDescent="0.35">
      <c r="A7853" t="str">
        <f t="shared" si="2923"/>
        <v>USMC RCO FAR EAST</v>
      </c>
      <c r="B7853" t="str">
        <f t="shared" si="2926"/>
        <v>UNIT 35002</v>
      </c>
      <c r="C7853" t="str">
        <f t="shared" si="2927"/>
        <v/>
      </c>
      <c r="D7853" t="str">
        <f t="shared" si="2933"/>
        <v>FPO</v>
      </c>
      <c r="E7853" t="str">
        <f t="shared" si="2924"/>
        <v>AP</v>
      </c>
      <c r="F7853" t="str">
        <f t="shared" si="2928"/>
        <v>963735002</v>
      </c>
      <c r="G7853" t="str">
        <f t="shared" si="2930"/>
        <v>UNIT 35002</v>
      </c>
      <c r="H7853" t="str">
        <f t="shared" si="2929"/>
        <v/>
      </c>
      <c r="I7853" t="str">
        <f t="shared" si="2932"/>
        <v>FPO</v>
      </c>
      <c r="J7853" t="str">
        <f t="shared" si="2925"/>
        <v>AP</v>
      </c>
      <c r="K7853" t="str">
        <f>T("81989707864")</f>
        <v>81989707864</v>
      </c>
      <c r="L7853" t="str">
        <f t="shared" si="2931"/>
        <v>1111111111</v>
      </c>
    </row>
    <row r="7854" spans="1:12" x14ac:dyDescent="0.35">
      <c r="A7854" t="str">
        <f t="shared" si="2923"/>
        <v>USMC RCO FAR EAST</v>
      </c>
      <c r="B7854" t="str">
        <f t="shared" si="2926"/>
        <v>UNIT 35002</v>
      </c>
      <c r="C7854" t="str">
        <f t="shared" si="2927"/>
        <v/>
      </c>
      <c r="D7854" t="str">
        <f t="shared" si="2933"/>
        <v>FPO</v>
      </c>
      <c r="E7854" t="str">
        <f t="shared" si="2924"/>
        <v>AP</v>
      </c>
      <c r="F7854" t="str">
        <f t="shared" si="2928"/>
        <v>963735002</v>
      </c>
      <c r="G7854" t="str">
        <f t="shared" si="2930"/>
        <v>UNIT 35002</v>
      </c>
      <c r="H7854" t="str">
        <f t="shared" si="2929"/>
        <v/>
      </c>
      <c r="I7854" t="str">
        <f t="shared" si="2932"/>
        <v>FPO</v>
      </c>
      <c r="J7854" t="str">
        <f t="shared" si="2925"/>
        <v>AP</v>
      </c>
      <c r="K7854" t="str">
        <f>T("81989708274")</f>
        <v>81989708274</v>
      </c>
      <c r="L7854" t="str">
        <f>T("3159708274")</f>
        <v>3159708274</v>
      </c>
    </row>
    <row r="7855" spans="1:12" x14ac:dyDescent="0.35">
      <c r="A7855" t="str">
        <f t="shared" si="2923"/>
        <v>USMC RCO FAR EAST</v>
      </c>
      <c r="B7855" t="str">
        <f t="shared" si="2926"/>
        <v>UNIT 35002</v>
      </c>
      <c r="C7855" t="str">
        <f t="shared" si="2927"/>
        <v/>
      </c>
      <c r="D7855" t="str">
        <f t="shared" si="2933"/>
        <v>FPO</v>
      </c>
      <c r="E7855" t="str">
        <f t="shared" si="2924"/>
        <v>AP</v>
      </c>
      <c r="F7855" t="str">
        <f t="shared" si="2928"/>
        <v>963735002</v>
      </c>
      <c r="G7855" t="str">
        <f t="shared" si="2930"/>
        <v>UNIT 35002</v>
      </c>
      <c r="H7855" t="str">
        <f t="shared" si="2929"/>
        <v/>
      </c>
      <c r="I7855" t="str">
        <f t="shared" si="2932"/>
        <v>FPO</v>
      </c>
      <c r="J7855" t="str">
        <f t="shared" si="2925"/>
        <v>AP</v>
      </c>
      <c r="K7855" t="str">
        <f>T("81989708314")</f>
        <v>81989708314</v>
      </c>
      <c r="L7855" t="str">
        <f>T("1111111111")</f>
        <v>1111111111</v>
      </c>
    </row>
    <row r="7856" spans="1:12" x14ac:dyDescent="0.35">
      <c r="A7856" t="str">
        <f t="shared" si="2923"/>
        <v>USMC RCO FAR EAST</v>
      </c>
      <c r="B7856" t="str">
        <f>T("UNIT 35005")</f>
        <v>UNIT 35005</v>
      </c>
      <c r="C7856" t="str">
        <f t="shared" si="2927"/>
        <v/>
      </c>
      <c r="D7856" t="str">
        <f t="shared" si="2933"/>
        <v>FPO</v>
      </c>
      <c r="E7856" t="str">
        <f t="shared" si="2924"/>
        <v>AP</v>
      </c>
      <c r="F7856" t="str">
        <f>T("963730500")</f>
        <v>963730500</v>
      </c>
      <c r="G7856" t="str">
        <f>T("UNIT 35005")</f>
        <v>UNIT 35005</v>
      </c>
      <c r="H7856" t="str">
        <f t="shared" si="2929"/>
        <v/>
      </c>
      <c r="I7856" t="str">
        <f t="shared" si="2932"/>
        <v>FPO</v>
      </c>
      <c r="J7856" t="str">
        <f t="shared" si="2925"/>
        <v>AP</v>
      </c>
      <c r="K7856" t="str">
        <f>T("000000000000000000")</f>
        <v>000000000000000000</v>
      </c>
      <c r="L7856" t="str">
        <f>T("3156237193")</f>
        <v>3156237193</v>
      </c>
    </row>
    <row r="7857" spans="1:12" x14ac:dyDescent="0.35">
      <c r="A7857" t="str">
        <f t="shared" ref="A7857:A7888" si="2934">T("USMC RCO FAR EAST")</f>
        <v>USMC RCO FAR EAST</v>
      </c>
      <c r="B7857" t="str">
        <f>T("UNIT 35005")</f>
        <v>UNIT 35005</v>
      </c>
      <c r="C7857" t="str">
        <f t="shared" si="2927"/>
        <v/>
      </c>
      <c r="D7857" t="str">
        <f t="shared" si="2933"/>
        <v>FPO</v>
      </c>
      <c r="E7857" t="str">
        <f t="shared" si="2924"/>
        <v>AP</v>
      </c>
      <c r="F7857" t="str">
        <f>T("963730500")</f>
        <v>963730500</v>
      </c>
      <c r="G7857" t="str">
        <f>T("UNIT 35005")</f>
        <v>UNIT 35005</v>
      </c>
      <c r="H7857" t="str">
        <f t="shared" si="2929"/>
        <v/>
      </c>
      <c r="I7857" t="str">
        <f t="shared" si="2932"/>
        <v>FPO</v>
      </c>
      <c r="J7857" t="str">
        <f t="shared" si="2925"/>
        <v>AP</v>
      </c>
      <c r="K7857" t="str">
        <f>T("011816140234078")</f>
        <v>011816140234078</v>
      </c>
      <c r="L7857" t="str">
        <f>T("1111111111")</f>
        <v>1111111111</v>
      </c>
    </row>
    <row r="7858" spans="1:12" x14ac:dyDescent="0.35">
      <c r="A7858" t="str">
        <f t="shared" si="2934"/>
        <v>USMC RCO FAR EAST</v>
      </c>
      <c r="B7858" t="str">
        <f t="shared" ref="B7858:B7880" si="2935">T("UNIT 35006")</f>
        <v>UNIT 35006</v>
      </c>
      <c r="C7858" t="str">
        <f t="shared" si="2927"/>
        <v/>
      </c>
      <c r="D7858" t="str">
        <f t="shared" si="2933"/>
        <v>FPO</v>
      </c>
      <c r="E7858" t="str">
        <f t="shared" si="2924"/>
        <v>AP</v>
      </c>
      <c r="F7858" t="str">
        <f t="shared" ref="F7858:F7880" si="2936">T("963735006")</f>
        <v>963735006</v>
      </c>
      <c r="G7858" t="str">
        <f>T("MCB BUTLER")</f>
        <v>MCB BUTLER</v>
      </c>
      <c r="H7858" t="str">
        <f>T("UNIT 35001")</f>
        <v>UNIT 35001</v>
      </c>
      <c r="I7858" t="str">
        <f t="shared" si="2932"/>
        <v>FPO</v>
      </c>
      <c r="J7858" t="str">
        <f t="shared" si="2925"/>
        <v>AP</v>
      </c>
      <c r="K7858" t="str">
        <f>T("000000000000000000")</f>
        <v>000000000000000000</v>
      </c>
      <c r="L7858" t="str">
        <f>T("3156457133")</f>
        <v>3156457133</v>
      </c>
    </row>
    <row r="7859" spans="1:12" x14ac:dyDescent="0.35">
      <c r="A7859" t="str">
        <f t="shared" si="2934"/>
        <v>USMC RCO FAR EAST</v>
      </c>
      <c r="B7859" t="str">
        <f t="shared" si="2935"/>
        <v>UNIT 35006</v>
      </c>
      <c r="C7859" t="str">
        <f t="shared" si="2927"/>
        <v/>
      </c>
      <c r="D7859" t="str">
        <f t="shared" si="2933"/>
        <v>FPO</v>
      </c>
      <c r="E7859" t="str">
        <f t="shared" ref="E7859:E7890" si="2937">T("AP")</f>
        <v>AP</v>
      </c>
      <c r="F7859" t="str">
        <f t="shared" si="2936"/>
        <v>963735006</v>
      </c>
      <c r="G7859" t="str">
        <f>T("UNIT 35001")</f>
        <v>UNIT 35001</v>
      </c>
      <c r="H7859" t="str">
        <f t="shared" ref="H7859:H7898" si="2938">T("")</f>
        <v/>
      </c>
      <c r="I7859" t="str">
        <f t="shared" si="2932"/>
        <v>FPO</v>
      </c>
      <c r="J7859" t="str">
        <f t="shared" ref="J7859:J7890" si="2939">T("AP")</f>
        <v>AP</v>
      </c>
      <c r="K7859" t="str">
        <f>T("000000000000000000")</f>
        <v>000000000000000000</v>
      </c>
      <c r="L7859" t="str">
        <f>T("1111111111")</f>
        <v>1111111111</v>
      </c>
    </row>
    <row r="7860" spans="1:12" x14ac:dyDescent="0.35">
      <c r="A7860" t="str">
        <f t="shared" si="2934"/>
        <v>USMC RCO FAR EAST</v>
      </c>
      <c r="B7860" t="str">
        <f t="shared" si="2935"/>
        <v>UNIT 35006</v>
      </c>
      <c r="C7860" t="str">
        <f t="shared" si="2927"/>
        <v/>
      </c>
      <c r="D7860" t="str">
        <f t="shared" si="2933"/>
        <v>FPO</v>
      </c>
      <c r="E7860" t="str">
        <f t="shared" si="2937"/>
        <v>AP</v>
      </c>
      <c r="F7860" t="str">
        <f t="shared" si="2936"/>
        <v>963735006</v>
      </c>
      <c r="G7860" t="str">
        <f>T("UNIT 35001")</f>
        <v>UNIT 35001</v>
      </c>
      <c r="H7860" t="str">
        <f t="shared" si="2938"/>
        <v/>
      </c>
      <c r="I7860" t="str">
        <f t="shared" si="2932"/>
        <v>FPO</v>
      </c>
      <c r="J7860" t="str">
        <f t="shared" si="2939"/>
        <v>AP</v>
      </c>
      <c r="K7860" t="str">
        <f>T("000000000000000000")</f>
        <v>000000000000000000</v>
      </c>
      <c r="L7860" t="str">
        <f>T("6117252233")</f>
        <v>6117252233</v>
      </c>
    </row>
    <row r="7861" spans="1:12" x14ac:dyDescent="0.35">
      <c r="A7861" t="str">
        <f t="shared" si="2934"/>
        <v>USMC RCO FAR EAST</v>
      </c>
      <c r="B7861" t="str">
        <f t="shared" si="2935"/>
        <v>UNIT 35006</v>
      </c>
      <c r="C7861" t="str">
        <f t="shared" ref="C7861:C7892" si="2940">T("")</f>
        <v/>
      </c>
      <c r="D7861" t="str">
        <f t="shared" si="2933"/>
        <v>FPO</v>
      </c>
      <c r="E7861" t="str">
        <f t="shared" si="2937"/>
        <v>AP</v>
      </c>
      <c r="F7861" t="str">
        <f t="shared" si="2936"/>
        <v>963735006</v>
      </c>
      <c r="G7861" t="str">
        <f>T("UNIT 35001")</f>
        <v>UNIT 35001</v>
      </c>
      <c r="H7861" t="str">
        <f t="shared" si="2938"/>
        <v/>
      </c>
      <c r="I7861" t="str">
        <f t="shared" si="2932"/>
        <v>FPO</v>
      </c>
      <c r="J7861" t="str">
        <f t="shared" si="2939"/>
        <v>AP</v>
      </c>
      <c r="K7861" t="str">
        <f>T("011816140451014")</f>
        <v>011816140451014</v>
      </c>
      <c r="L7861" t="str">
        <f>T("6117457133")</f>
        <v>6117457133</v>
      </c>
    </row>
    <row r="7862" spans="1:12" x14ac:dyDescent="0.35">
      <c r="A7862" t="str">
        <f t="shared" si="2934"/>
        <v>USMC RCO FAR EAST</v>
      </c>
      <c r="B7862" t="str">
        <f t="shared" si="2935"/>
        <v>UNIT 35006</v>
      </c>
      <c r="C7862" t="str">
        <f t="shared" si="2940"/>
        <v/>
      </c>
      <c r="D7862" t="str">
        <f t="shared" si="2933"/>
        <v>FPO</v>
      </c>
      <c r="E7862" t="str">
        <f t="shared" si="2937"/>
        <v>AP</v>
      </c>
      <c r="F7862" t="str">
        <f t="shared" si="2936"/>
        <v>963735006</v>
      </c>
      <c r="G7862" t="str">
        <f t="shared" ref="G7862:G7880" si="2941">T("UNIT 35006")</f>
        <v>UNIT 35006</v>
      </c>
      <c r="H7862" t="str">
        <f t="shared" si="2938"/>
        <v/>
      </c>
      <c r="I7862" t="str">
        <f t="shared" si="2932"/>
        <v>FPO</v>
      </c>
      <c r="J7862" t="str">
        <f t="shared" si="2939"/>
        <v>AP</v>
      </c>
      <c r="K7862" t="str">
        <f>T("")</f>
        <v/>
      </c>
      <c r="L7862" t="str">
        <f>T("1111111111")</f>
        <v>1111111111</v>
      </c>
    </row>
    <row r="7863" spans="1:12" x14ac:dyDescent="0.35">
      <c r="A7863" t="str">
        <f t="shared" si="2934"/>
        <v>USMC RCO FAR EAST</v>
      </c>
      <c r="B7863" t="str">
        <f t="shared" si="2935"/>
        <v>UNIT 35006</v>
      </c>
      <c r="C7863" t="str">
        <f t="shared" si="2940"/>
        <v/>
      </c>
      <c r="D7863" t="str">
        <f t="shared" si="2933"/>
        <v>FPO</v>
      </c>
      <c r="E7863" t="str">
        <f t="shared" si="2937"/>
        <v>AP</v>
      </c>
      <c r="F7863" t="str">
        <f t="shared" si="2936"/>
        <v>963735006</v>
      </c>
      <c r="G7863" t="str">
        <f t="shared" si="2941"/>
        <v>UNIT 35006</v>
      </c>
      <c r="H7863" t="str">
        <f t="shared" si="2938"/>
        <v/>
      </c>
      <c r="I7863" t="str">
        <f t="shared" si="2932"/>
        <v>FPO</v>
      </c>
      <c r="J7863" t="str">
        <f t="shared" si="2939"/>
        <v>AP</v>
      </c>
      <c r="K7863" t="str">
        <f>T("000000000000000000")</f>
        <v>000000000000000000</v>
      </c>
      <c r="L7863" t="str">
        <f>T("3156362066")</f>
        <v>3156362066</v>
      </c>
    </row>
    <row r="7864" spans="1:12" x14ac:dyDescent="0.35">
      <c r="A7864" t="str">
        <f t="shared" si="2934"/>
        <v>USMC RCO FAR EAST</v>
      </c>
      <c r="B7864" t="str">
        <f t="shared" si="2935"/>
        <v>UNIT 35006</v>
      </c>
      <c r="C7864" t="str">
        <f t="shared" si="2940"/>
        <v/>
      </c>
      <c r="D7864" t="str">
        <f t="shared" si="2933"/>
        <v>FPO</v>
      </c>
      <c r="E7864" t="str">
        <f t="shared" si="2937"/>
        <v>AP</v>
      </c>
      <c r="F7864" t="str">
        <f t="shared" si="2936"/>
        <v>963735006</v>
      </c>
      <c r="G7864" t="str">
        <f t="shared" si="2941"/>
        <v>UNIT 35006</v>
      </c>
      <c r="H7864" t="str">
        <f t="shared" si="2938"/>
        <v/>
      </c>
      <c r="I7864" t="str">
        <f t="shared" si="2932"/>
        <v>FPO</v>
      </c>
      <c r="J7864" t="str">
        <f t="shared" si="2939"/>
        <v>AP</v>
      </c>
      <c r="K7864" t="str">
        <f>T("000000000000000000")</f>
        <v>000000000000000000</v>
      </c>
      <c r="L7864" t="str">
        <f>T("3156453785")</f>
        <v>3156453785</v>
      </c>
    </row>
    <row r="7865" spans="1:12" x14ac:dyDescent="0.35">
      <c r="A7865" t="str">
        <f t="shared" si="2934"/>
        <v>USMC RCO FAR EAST</v>
      </c>
      <c r="B7865" t="str">
        <f t="shared" si="2935"/>
        <v>UNIT 35006</v>
      </c>
      <c r="C7865" t="str">
        <f t="shared" si="2940"/>
        <v/>
      </c>
      <c r="D7865" t="str">
        <f t="shared" si="2933"/>
        <v>FPO</v>
      </c>
      <c r="E7865" t="str">
        <f t="shared" si="2937"/>
        <v>AP</v>
      </c>
      <c r="F7865" t="str">
        <f t="shared" si="2936"/>
        <v>963735006</v>
      </c>
      <c r="G7865" t="str">
        <f t="shared" si="2941"/>
        <v>UNIT 35006</v>
      </c>
      <c r="H7865" t="str">
        <f t="shared" si="2938"/>
        <v/>
      </c>
      <c r="I7865" t="str">
        <f t="shared" si="2932"/>
        <v>FPO</v>
      </c>
      <c r="J7865" t="str">
        <f t="shared" si="2939"/>
        <v>AP</v>
      </c>
      <c r="K7865" t="str">
        <f>T("000000000000000000")</f>
        <v>000000000000000000</v>
      </c>
      <c r="L7865" t="str">
        <f>T("6117234040")</f>
        <v>6117234040</v>
      </c>
    </row>
    <row r="7866" spans="1:12" x14ac:dyDescent="0.35">
      <c r="A7866" t="str">
        <f t="shared" si="2934"/>
        <v>USMC RCO FAR EAST</v>
      </c>
      <c r="B7866" t="str">
        <f t="shared" si="2935"/>
        <v>UNIT 35006</v>
      </c>
      <c r="C7866" t="str">
        <f t="shared" si="2940"/>
        <v/>
      </c>
      <c r="D7866" t="str">
        <f t="shared" si="2933"/>
        <v>FPO</v>
      </c>
      <c r="E7866" t="str">
        <f t="shared" si="2937"/>
        <v>AP</v>
      </c>
      <c r="F7866" t="str">
        <f t="shared" si="2936"/>
        <v>963735006</v>
      </c>
      <c r="G7866" t="str">
        <f t="shared" si="2941"/>
        <v>UNIT 35006</v>
      </c>
      <c r="H7866" t="str">
        <f t="shared" si="2938"/>
        <v/>
      </c>
      <c r="I7866" t="str">
        <f t="shared" si="2932"/>
        <v>FPO</v>
      </c>
      <c r="J7866" t="str">
        <f t="shared" si="2939"/>
        <v>AP</v>
      </c>
      <c r="K7866" t="str">
        <f>T("011816117450906")</f>
        <v>011816117450906</v>
      </c>
      <c r="L7866" t="str">
        <f>T("1111111111")</f>
        <v>1111111111</v>
      </c>
    </row>
    <row r="7867" spans="1:12" x14ac:dyDescent="0.35">
      <c r="A7867" t="str">
        <f t="shared" si="2934"/>
        <v>USMC RCO FAR EAST</v>
      </c>
      <c r="B7867" t="str">
        <f t="shared" si="2935"/>
        <v>UNIT 35006</v>
      </c>
      <c r="C7867" t="str">
        <f t="shared" si="2940"/>
        <v/>
      </c>
      <c r="D7867" t="str">
        <f t="shared" si="2933"/>
        <v>FPO</v>
      </c>
      <c r="E7867" t="str">
        <f t="shared" si="2937"/>
        <v>AP</v>
      </c>
      <c r="F7867" t="str">
        <f t="shared" si="2936"/>
        <v>963735006</v>
      </c>
      <c r="G7867" t="str">
        <f t="shared" si="2941"/>
        <v>UNIT 35006</v>
      </c>
      <c r="H7867" t="str">
        <f t="shared" si="2938"/>
        <v/>
      </c>
      <c r="I7867" t="str">
        <f t="shared" si="2932"/>
        <v>FPO</v>
      </c>
      <c r="J7867" t="str">
        <f t="shared" si="2939"/>
        <v>AP</v>
      </c>
      <c r="K7867" t="str">
        <f>T("011816140232025")</f>
        <v>011816140232025</v>
      </c>
      <c r="L7867" t="str">
        <f>T("1111111111")</f>
        <v>1111111111</v>
      </c>
    </row>
    <row r="7868" spans="1:12" x14ac:dyDescent="0.35">
      <c r="A7868" t="str">
        <f t="shared" si="2934"/>
        <v>USMC RCO FAR EAST</v>
      </c>
      <c r="B7868" t="str">
        <f t="shared" si="2935"/>
        <v>UNIT 35006</v>
      </c>
      <c r="C7868" t="str">
        <f t="shared" si="2940"/>
        <v/>
      </c>
      <c r="D7868" t="str">
        <f t="shared" si="2933"/>
        <v>FPO</v>
      </c>
      <c r="E7868" t="str">
        <f t="shared" si="2937"/>
        <v>AP</v>
      </c>
      <c r="F7868" t="str">
        <f t="shared" si="2936"/>
        <v>963735006</v>
      </c>
      <c r="G7868" t="str">
        <f t="shared" si="2941"/>
        <v>UNIT 35006</v>
      </c>
      <c r="H7868" t="str">
        <f t="shared" si="2938"/>
        <v/>
      </c>
      <c r="I7868" t="str">
        <f t="shared" si="2932"/>
        <v>FPO</v>
      </c>
      <c r="J7868" t="str">
        <f t="shared" si="2939"/>
        <v>AP</v>
      </c>
      <c r="K7868" t="str">
        <f>T("011816140237162")</f>
        <v>011816140237162</v>
      </c>
      <c r="L7868" t="str">
        <f>T("1111111111")</f>
        <v>1111111111</v>
      </c>
    </row>
    <row r="7869" spans="1:12" x14ac:dyDescent="0.35">
      <c r="A7869" t="str">
        <f t="shared" si="2934"/>
        <v>USMC RCO FAR EAST</v>
      </c>
      <c r="B7869" t="str">
        <f t="shared" si="2935"/>
        <v>UNIT 35006</v>
      </c>
      <c r="C7869" t="str">
        <f t="shared" si="2940"/>
        <v/>
      </c>
      <c r="D7869" t="str">
        <f t="shared" si="2933"/>
        <v>FPO</v>
      </c>
      <c r="E7869" t="str">
        <f t="shared" si="2937"/>
        <v>AP</v>
      </c>
      <c r="F7869" t="str">
        <f t="shared" si="2936"/>
        <v>963735006</v>
      </c>
      <c r="G7869" t="str">
        <f t="shared" si="2941"/>
        <v>UNIT 35006</v>
      </c>
      <c r="H7869" t="str">
        <f t="shared" si="2938"/>
        <v/>
      </c>
      <c r="I7869" t="str">
        <f t="shared" si="2932"/>
        <v>FPO</v>
      </c>
      <c r="J7869" t="str">
        <f t="shared" si="2939"/>
        <v>AP</v>
      </c>
      <c r="K7869" t="str">
        <f>T("011816140362008")</f>
        <v>011816140362008</v>
      </c>
      <c r="L7869" t="str">
        <f>T("3156363119")</f>
        <v>3156363119</v>
      </c>
    </row>
    <row r="7870" spans="1:12" x14ac:dyDescent="0.35">
      <c r="A7870" t="str">
        <f t="shared" si="2934"/>
        <v>USMC RCO FAR EAST</v>
      </c>
      <c r="B7870" t="str">
        <f t="shared" si="2935"/>
        <v>UNIT 35006</v>
      </c>
      <c r="C7870" t="str">
        <f t="shared" si="2940"/>
        <v/>
      </c>
      <c r="D7870" t="str">
        <f t="shared" si="2933"/>
        <v>FPO</v>
      </c>
      <c r="E7870" t="str">
        <f t="shared" si="2937"/>
        <v>AP</v>
      </c>
      <c r="F7870" t="str">
        <f t="shared" si="2936"/>
        <v>963735006</v>
      </c>
      <c r="G7870" t="str">
        <f t="shared" si="2941"/>
        <v>UNIT 35006</v>
      </c>
      <c r="H7870" t="str">
        <f t="shared" si="2938"/>
        <v/>
      </c>
      <c r="I7870" t="str">
        <f t="shared" si="2932"/>
        <v>FPO</v>
      </c>
      <c r="J7870" t="str">
        <f t="shared" si="2939"/>
        <v>AP</v>
      </c>
      <c r="K7870" t="str">
        <f>T("01181989701014")</f>
        <v>01181989701014</v>
      </c>
      <c r="L7870" t="str">
        <f>T("1111111111")</f>
        <v>1111111111</v>
      </c>
    </row>
    <row r="7871" spans="1:12" x14ac:dyDescent="0.35">
      <c r="A7871" t="str">
        <f t="shared" si="2934"/>
        <v>USMC RCO FAR EAST</v>
      </c>
      <c r="B7871" t="str">
        <f t="shared" si="2935"/>
        <v>UNIT 35006</v>
      </c>
      <c r="C7871" t="str">
        <f t="shared" si="2940"/>
        <v/>
      </c>
      <c r="D7871" t="str">
        <f t="shared" si="2933"/>
        <v>FPO</v>
      </c>
      <c r="E7871" t="str">
        <f t="shared" si="2937"/>
        <v>AP</v>
      </c>
      <c r="F7871" t="str">
        <f t="shared" si="2936"/>
        <v>963735006</v>
      </c>
      <c r="G7871" t="str">
        <f t="shared" si="2941"/>
        <v>UNIT 35006</v>
      </c>
      <c r="H7871" t="str">
        <f t="shared" si="2938"/>
        <v/>
      </c>
      <c r="I7871" t="str">
        <f t="shared" si="2932"/>
        <v>FPO</v>
      </c>
      <c r="J7871" t="str">
        <f t="shared" si="2939"/>
        <v>AP</v>
      </c>
      <c r="K7871" t="str">
        <f>T("01181989703353")</f>
        <v>01181989703353</v>
      </c>
      <c r="L7871" t="str">
        <f>T("1111111111")</f>
        <v>1111111111</v>
      </c>
    </row>
    <row r="7872" spans="1:12" x14ac:dyDescent="0.35">
      <c r="A7872" t="str">
        <f t="shared" si="2934"/>
        <v>USMC RCO FAR EAST</v>
      </c>
      <c r="B7872" t="str">
        <f t="shared" si="2935"/>
        <v>UNIT 35006</v>
      </c>
      <c r="C7872" t="str">
        <f t="shared" si="2940"/>
        <v/>
      </c>
      <c r="D7872" t="str">
        <f t="shared" si="2933"/>
        <v>FPO</v>
      </c>
      <c r="E7872" t="str">
        <f t="shared" si="2937"/>
        <v>AP</v>
      </c>
      <c r="F7872" t="str">
        <f t="shared" si="2936"/>
        <v>963735006</v>
      </c>
      <c r="G7872" t="str">
        <f t="shared" si="2941"/>
        <v>UNIT 35006</v>
      </c>
      <c r="H7872" t="str">
        <f t="shared" si="2938"/>
        <v/>
      </c>
      <c r="I7872" t="str">
        <f t="shared" si="2932"/>
        <v>FPO</v>
      </c>
      <c r="J7872" t="str">
        <f t="shared" si="2939"/>
        <v>AP</v>
      </c>
      <c r="K7872" t="str">
        <f>T("01181989704189")</f>
        <v>01181989704189</v>
      </c>
      <c r="L7872" t="str">
        <f>T("1111111111")</f>
        <v>1111111111</v>
      </c>
    </row>
    <row r="7873" spans="1:12" x14ac:dyDescent="0.35">
      <c r="A7873" t="str">
        <f t="shared" si="2934"/>
        <v>USMC RCO FAR EAST</v>
      </c>
      <c r="B7873" t="str">
        <f t="shared" si="2935"/>
        <v>UNIT 35006</v>
      </c>
      <c r="C7873" t="str">
        <f t="shared" si="2940"/>
        <v/>
      </c>
      <c r="D7873" t="str">
        <f t="shared" si="2933"/>
        <v>FPO</v>
      </c>
      <c r="E7873" t="str">
        <f t="shared" si="2937"/>
        <v>AP</v>
      </c>
      <c r="F7873" t="str">
        <f t="shared" si="2936"/>
        <v>963735006</v>
      </c>
      <c r="G7873" t="str">
        <f t="shared" si="2941"/>
        <v>UNIT 35006</v>
      </c>
      <c r="H7873" t="str">
        <f t="shared" si="2938"/>
        <v/>
      </c>
      <c r="I7873" t="str">
        <f t="shared" si="2932"/>
        <v>FPO</v>
      </c>
      <c r="J7873" t="str">
        <f t="shared" si="2939"/>
        <v>AP</v>
      </c>
      <c r="K7873" t="str">
        <f>T("3156363119")</f>
        <v>3156363119</v>
      </c>
      <c r="L7873" t="str">
        <f>T("3156363119")</f>
        <v>3156363119</v>
      </c>
    </row>
    <row r="7874" spans="1:12" x14ac:dyDescent="0.35">
      <c r="A7874" t="str">
        <f t="shared" si="2934"/>
        <v>USMC RCO FAR EAST</v>
      </c>
      <c r="B7874" t="str">
        <f t="shared" si="2935"/>
        <v>UNIT 35006</v>
      </c>
      <c r="C7874" t="str">
        <f t="shared" si="2940"/>
        <v/>
      </c>
      <c r="D7874" t="str">
        <f t="shared" si="2933"/>
        <v>FPO</v>
      </c>
      <c r="E7874" t="str">
        <f t="shared" si="2937"/>
        <v>AP</v>
      </c>
      <c r="F7874" t="str">
        <f t="shared" si="2936"/>
        <v>963735006</v>
      </c>
      <c r="G7874" t="str">
        <f t="shared" si="2941"/>
        <v>UNIT 35006</v>
      </c>
      <c r="H7874" t="str">
        <f t="shared" si="2938"/>
        <v/>
      </c>
      <c r="I7874" t="str">
        <f t="shared" si="2932"/>
        <v>FPO</v>
      </c>
      <c r="J7874" t="str">
        <f t="shared" si="2939"/>
        <v>AP</v>
      </c>
      <c r="K7874" t="str">
        <f>T("81989697003")</f>
        <v>81989697003</v>
      </c>
      <c r="L7874" t="str">
        <f t="shared" ref="L7874:L7880" si="2942">T("1111111111")</f>
        <v>1111111111</v>
      </c>
    </row>
    <row r="7875" spans="1:12" x14ac:dyDescent="0.35">
      <c r="A7875" t="str">
        <f t="shared" si="2934"/>
        <v>USMC RCO FAR EAST</v>
      </c>
      <c r="B7875" t="str">
        <f t="shared" si="2935"/>
        <v>UNIT 35006</v>
      </c>
      <c r="C7875" t="str">
        <f t="shared" si="2940"/>
        <v/>
      </c>
      <c r="D7875" t="str">
        <f t="shared" si="2933"/>
        <v>FPO</v>
      </c>
      <c r="E7875" t="str">
        <f t="shared" si="2937"/>
        <v>AP</v>
      </c>
      <c r="F7875" t="str">
        <f t="shared" si="2936"/>
        <v>963735006</v>
      </c>
      <c r="G7875" t="str">
        <f t="shared" si="2941"/>
        <v>UNIT 35006</v>
      </c>
      <c r="H7875" t="str">
        <f t="shared" si="2938"/>
        <v/>
      </c>
      <c r="I7875" t="str">
        <f t="shared" si="2932"/>
        <v>FPO</v>
      </c>
      <c r="J7875" t="str">
        <f t="shared" si="2939"/>
        <v>AP</v>
      </c>
      <c r="K7875" t="str">
        <f>T("81989700988")</f>
        <v>81989700988</v>
      </c>
      <c r="L7875" t="str">
        <f t="shared" si="2942"/>
        <v>1111111111</v>
      </c>
    </row>
    <row r="7876" spans="1:12" x14ac:dyDescent="0.35">
      <c r="A7876" t="str">
        <f t="shared" si="2934"/>
        <v>USMC RCO FAR EAST</v>
      </c>
      <c r="B7876" t="str">
        <f t="shared" si="2935"/>
        <v>UNIT 35006</v>
      </c>
      <c r="C7876" t="str">
        <f t="shared" si="2940"/>
        <v/>
      </c>
      <c r="D7876" t="str">
        <f t="shared" si="2933"/>
        <v>FPO</v>
      </c>
      <c r="E7876" t="str">
        <f t="shared" si="2937"/>
        <v>AP</v>
      </c>
      <c r="F7876" t="str">
        <f t="shared" si="2936"/>
        <v>963735006</v>
      </c>
      <c r="G7876" t="str">
        <f t="shared" si="2941"/>
        <v>UNIT 35006</v>
      </c>
      <c r="H7876" t="str">
        <f t="shared" si="2938"/>
        <v/>
      </c>
      <c r="I7876" t="str">
        <f t="shared" si="2932"/>
        <v>FPO</v>
      </c>
      <c r="J7876" t="str">
        <f t="shared" si="2939"/>
        <v>AP</v>
      </c>
      <c r="K7876" t="str">
        <f>T("819897055556362009")</f>
        <v>819897055556362009</v>
      </c>
      <c r="L7876" t="str">
        <f t="shared" si="2942"/>
        <v>1111111111</v>
      </c>
    </row>
    <row r="7877" spans="1:12" x14ac:dyDescent="0.35">
      <c r="A7877" t="str">
        <f t="shared" si="2934"/>
        <v>USMC RCO FAR EAST</v>
      </c>
      <c r="B7877" t="str">
        <f t="shared" si="2935"/>
        <v>UNIT 35006</v>
      </c>
      <c r="C7877" t="str">
        <f t="shared" si="2940"/>
        <v/>
      </c>
      <c r="D7877" t="str">
        <f t="shared" si="2933"/>
        <v>FPO</v>
      </c>
      <c r="E7877" t="str">
        <f t="shared" si="2937"/>
        <v>AP</v>
      </c>
      <c r="F7877" t="str">
        <f t="shared" si="2936"/>
        <v>963735006</v>
      </c>
      <c r="G7877" t="str">
        <f t="shared" si="2941"/>
        <v>UNIT 35006</v>
      </c>
      <c r="H7877" t="str">
        <f t="shared" si="2938"/>
        <v/>
      </c>
      <c r="I7877" t="str">
        <f t="shared" si="2932"/>
        <v>FPO</v>
      </c>
      <c r="J7877" t="str">
        <f t="shared" si="2939"/>
        <v>AP</v>
      </c>
      <c r="K7877" t="str">
        <f>T("819897055556362067")</f>
        <v>819897055556362067</v>
      </c>
      <c r="L7877" t="str">
        <f t="shared" si="2942"/>
        <v>1111111111</v>
      </c>
    </row>
    <row r="7878" spans="1:12" x14ac:dyDescent="0.35">
      <c r="A7878" t="str">
        <f t="shared" si="2934"/>
        <v>USMC RCO FAR EAST</v>
      </c>
      <c r="B7878" t="str">
        <f t="shared" si="2935"/>
        <v>UNIT 35006</v>
      </c>
      <c r="C7878" t="str">
        <f t="shared" si="2940"/>
        <v/>
      </c>
      <c r="D7878" t="str">
        <f t="shared" si="2933"/>
        <v>FPO</v>
      </c>
      <c r="E7878" t="str">
        <f t="shared" si="2937"/>
        <v>AP</v>
      </c>
      <c r="F7878" t="str">
        <f t="shared" si="2936"/>
        <v>963735006</v>
      </c>
      <c r="G7878" t="str">
        <f t="shared" si="2941"/>
        <v>UNIT 35006</v>
      </c>
      <c r="H7878" t="str">
        <f t="shared" si="2938"/>
        <v/>
      </c>
      <c r="I7878" t="str">
        <f t="shared" si="2932"/>
        <v>FPO</v>
      </c>
      <c r="J7878" t="str">
        <f t="shared" si="2939"/>
        <v>AP</v>
      </c>
      <c r="K7878" t="str">
        <f>T("819897055556363119")</f>
        <v>819897055556363119</v>
      </c>
      <c r="L7878" t="str">
        <f t="shared" si="2942"/>
        <v>1111111111</v>
      </c>
    </row>
    <row r="7879" spans="1:12" x14ac:dyDescent="0.35">
      <c r="A7879" t="str">
        <f t="shared" si="2934"/>
        <v>USMC RCO FAR EAST</v>
      </c>
      <c r="B7879" t="str">
        <f t="shared" si="2935"/>
        <v>UNIT 35006</v>
      </c>
      <c r="C7879" t="str">
        <f t="shared" si="2940"/>
        <v/>
      </c>
      <c r="D7879" t="str">
        <f t="shared" si="2933"/>
        <v>FPO</v>
      </c>
      <c r="E7879" t="str">
        <f t="shared" si="2937"/>
        <v>AP</v>
      </c>
      <c r="F7879" t="str">
        <f t="shared" si="2936"/>
        <v>963735006</v>
      </c>
      <c r="G7879" t="str">
        <f t="shared" si="2941"/>
        <v>UNIT 35006</v>
      </c>
      <c r="H7879" t="str">
        <f t="shared" si="2938"/>
        <v/>
      </c>
      <c r="I7879" t="str">
        <f t="shared" si="2932"/>
        <v>FPO</v>
      </c>
      <c r="J7879" t="str">
        <f t="shared" si="2939"/>
        <v>AP</v>
      </c>
      <c r="K7879" t="str">
        <f>T("81989707404")</f>
        <v>81989707404</v>
      </c>
      <c r="L7879" t="str">
        <f t="shared" si="2942"/>
        <v>1111111111</v>
      </c>
    </row>
    <row r="7880" spans="1:12" x14ac:dyDescent="0.35">
      <c r="A7880" t="str">
        <f t="shared" si="2934"/>
        <v>USMC RCO FAR EAST</v>
      </c>
      <c r="B7880" t="str">
        <f t="shared" si="2935"/>
        <v>UNIT 35006</v>
      </c>
      <c r="C7880" t="str">
        <f t="shared" si="2940"/>
        <v/>
      </c>
      <c r="D7880" t="str">
        <f t="shared" si="2933"/>
        <v>FPO</v>
      </c>
      <c r="E7880" t="str">
        <f t="shared" si="2937"/>
        <v>AP</v>
      </c>
      <c r="F7880" t="str">
        <f t="shared" si="2936"/>
        <v>963735006</v>
      </c>
      <c r="G7880" t="str">
        <f t="shared" si="2941"/>
        <v>UNIT 35006</v>
      </c>
      <c r="H7880" t="str">
        <f t="shared" si="2938"/>
        <v/>
      </c>
      <c r="I7880" t="str">
        <f t="shared" si="2932"/>
        <v>FPO</v>
      </c>
      <c r="J7880" t="str">
        <f t="shared" si="2939"/>
        <v>AP</v>
      </c>
      <c r="K7880" t="str">
        <f>T("81989707827")</f>
        <v>81989707827</v>
      </c>
      <c r="L7880" t="str">
        <f t="shared" si="2942"/>
        <v>1111111111</v>
      </c>
    </row>
    <row r="7881" spans="1:12" x14ac:dyDescent="0.35">
      <c r="A7881" t="str">
        <f t="shared" si="2934"/>
        <v>USMC RCO FAR EAST</v>
      </c>
      <c r="B7881" t="str">
        <f>T("UNIT 35010")</f>
        <v>UNIT 35010</v>
      </c>
      <c r="C7881" t="str">
        <f t="shared" si="2940"/>
        <v/>
      </c>
      <c r="D7881" t="str">
        <f t="shared" si="2933"/>
        <v>FPO</v>
      </c>
      <c r="E7881" t="str">
        <f t="shared" si="2937"/>
        <v>AP</v>
      </c>
      <c r="F7881" t="str">
        <f>T("963735010")</f>
        <v>963735010</v>
      </c>
      <c r="G7881" t="str">
        <f>T("UNIT 35010")</f>
        <v>UNIT 35010</v>
      </c>
      <c r="H7881" t="str">
        <f t="shared" si="2938"/>
        <v/>
      </c>
      <c r="I7881" t="str">
        <f t="shared" si="2932"/>
        <v>FPO</v>
      </c>
      <c r="J7881" t="str">
        <f t="shared" si="2939"/>
        <v>AP</v>
      </c>
      <c r="K7881" t="str">
        <f>T("011816117372040")</f>
        <v>011816117372040</v>
      </c>
      <c r="L7881" t="str">
        <f>T("3156372040")</f>
        <v>3156372040</v>
      </c>
    </row>
    <row r="7882" spans="1:12" x14ac:dyDescent="0.35">
      <c r="A7882" t="str">
        <f t="shared" si="2934"/>
        <v>USMC RCO FAR EAST</v>
      </c>
      <c r="B7882" t="str">
        <f>T("UNIT 35010")</f>
        <v>UNIT 35010</v>
      </c>
      <c r="C7882" t="str">
        <f t="shared" si="2940"/>
        <v/>
      </c>
      <c r="D7882" t="str">
        <f t="shared" si="2933"/>
        <v>FPO</v>
      </c>
      <c r="E7882" t="str">
        <f t="shared" si="2937"/>
        <v>AP</v>
      </c>
      <c r="F7882" t="str">
        <f>T("963735010")</f>
        <v>963735010</v>
      </c>
      <c r="G7882" t="str">
        <f>T("UNIT 35010")</f>
        <v>UNIT 35010</v>
      </c>
      <c r="H7882" t="str">
        <f t="shared" si="2938"/>
        <v/>
      </c>
      <c r="I7882" t="str">
        <f t="shared" si="2932"/>
        <v>FPO</v>
      </c>
      <c r="J7882" t="str">
        <f t="shared" si="2939"/>
        <v>AP</v>
      </c>
      <c r="K7882" t="str">
        <f>T("011816117372468")</f>
        <v>011816117372468</v>
      </c>
      <c r="L7882" t="str">
        <f t="shared" ref="L7882:L7894" si="2943">T("1111111111")</f>
        <v>1111111111</v>
      </c>
    </row>
    <row r="7883" spans="1:12" x14ac:dyDescent="0.35">
      <c r="A7883" t="str">
        <f t="shared" si="2934"/>
        <v>USMC RCO FAR EAST</v>
      </c>
      <c r="B7883" t="str">
        <f>T("UNIT 35010")</f>
        <v>UNIT 35010</v>
      </c>
      <c r="C7883" t="str">
        <f t="shared" si="2940"/>
        <v/>
      </c>
      <c r="D7883" t="str">
        <f t="shared" si="2933"/>
        <v>FPO</v>
      </c>
      <c r="E7883" t="str">
        <f t="shared" si="2937"/>
        <v>AP</v>
      </c>
      <c r="F7883" t="str">
        <f>T("963735010")</f>
        <v>963735010</v>
      </c>
      <c r="G7883" t="str">
        <f>T("UNIT 35010")</f>
        <v>UNIT 35010</v>
      </c>
      <c r="H7883" t="str">
        <f t="shared" si="2938"/>
        <v/>
      </c>
      <c r="I7883" t="str">
        <f t="shared" ref="I7883:I7918" si="2944">T("FPO")</f>
        <v>FPO</v>
      </c>
      <c r="J7883" t="str">
        <f t="shared" si="2939"/>
        <v>AP</v>
      </c>
      <c r="K7883" t="str">
        <f>T("819897055556373144")</f>
        <v>819897055556373144</v>
      </c>
      <c r="L7883" t="str">
        <f t="shared" si="2943"/>
        <v>1111111111</v>
      </c>
    </row>
    <row r="7884" spans="1:12" x14ac:dyDescent="0.35">
      <c r="A7884" t="str">
        <f t="shared" si="2934"/>
        <v>USMC RCO FAR EAST</v>
      </c>
      <c r="B7884" t="str">
        <f t="shared" ref="B7884:B7890" si="2945">T("UNIT 35011")</f>
        <v>UNIT 35011</v>
      </c>
      <c r="C7884" t="str">
        <f t="shared" si="2940"/>
        <v/>
      </c>
      <c r="D7884" t="str">
        <f t="shared" ref="D7884:D7918" si="2946">T("FPO")</f>
        <v>FPO</v>
      </c>
      <c r="E7884" t="str">
        <f t="shared" si="2937"/>
        <v>AP</v>
      </c>
      <c r="F7884" t="str">
        <f t="shared" ref="F7884:F7890" si="2947">T("963735011")</f>
        <v>963735011</v>
      </c>
      <c r="G7884" t="str">
        <f>T("UNIT 35001")</f>
        <v>UNIT 35001</v>
      </c>
      <c r="H7884" t="str">
        <f t="shared" si="2938"/>
        <v/>
      </c>
      <c r="I7884" t="str">
        <f t="shared" si="2944"/>
        <v>FPO</v>
      </c>
      <c r="J7884" t="str">
        <f t="shared" si="2939"/>
        <v>AP</v>
      </c>
      <c r="K7884" t="str">
        <f>T("81989703776")</f>
        <v>81989703776</v>
      </c>
      <c r="L7884" t="str">
        <f t="shared" si="2943"/>
        <v>1111111111</v>
      </c>
    </row>
    <row r="7885" spans="1:12" x14ac:dyDescent="0.35">
      <c r="A7885" t="str">
        <f t="shared" si="2934"/>
        <v>USMC RCO FAR EAST</v>
      </c>
      <c r="B7885" t="str">
        <f t="shared" si="2945"/>
        <v>UNIT 35011</v>
      </c>
      <c r="C7885" t="str">
        <f t="shared" si="2940"/>
        <v/>
      </c>
      <c r="D7885" t="str">
        <f t="shared" si="2946"/>
        <v>FPO</v>
      </c>
      <c r="E7885" t="str">
        <f t="shared" si="2937"/>
        <v>AP</v>
      </c>
      <c r="F7885" t="str">
        <f t="shared" si="2947"/>
        <v>963735011</v>
      </c>
      <c r="G7885" t="str">
        <f>T("UNIT 35006")</f>
        <v>UNIT 35006</v>
      </c>
      <c r="H7885" t="str">
        <f t="shared" si="2938"/>
        <v/>
      </c>
      <c r="I7885" t="str">
        <f t="shared" si="2944"/>
        <v>FPO</v>
      </c>
      <c r="J7885" t="str">
        <f t="shared" si="2939"/>
        <v>AP</v>
      </c>
      <c r="K7885" t="str">
        <f>T("011811611745645374")</f>
        <v>011811611745645374</v>
      </c>
      <c r="L7885" t="str">
        <f t="shared" si="2943"/>
        <v>1111111111</v>
      </c>
    </row>
    <row r="7886" spans="1:12" x14ac:dyDescent="0.35">
      <c r="A7886" t="str">
        <f t="shared" si="2934"/>
        <v>USMC RCO FAR EAST</v>
      </c>
      <c r="B7886" t="str">
        <f t="shared" si="2945"/>
        <v>UNIT 35011</v>
      </c>
      <c r="C7886" t="str">
        <f t="shared" si="2940"/>
        <v/>
      </c>
      <c r="D7886" t="str">
        <f t="shared" si="2946"/>
        <v>FPO</v>
      </c>
      <c r="E7886" t="str">
        <f t="shared" si="2937"/>
        <v>AP</v>
      </c>
      <c r="F7886" t="str">
        <f t="shared" si="2947"/>
        <v>963735011</v>
      </c>
      <c r="G7886" t="str">
        <f>T("UNIT 35006")</f>
        <v>UNIT 35006</v>
      </c>
      <c r="H7886" t="str">
        <f t="shared" si="2938"/>
        <v/>
      </c>
      <c r="I7886" t="str">
        <f t="shared" si="2944"/>
        <v>FPO</v>
      </c>
      <c r="J7886" t="str">
        <f t="shared" si="2939"/>
        <v>AP</v>
      </c>
      <c r="K7886" t="str">
        <f>T("011816117453746")</f>
        <v>011816117453746</v>
      </c>
      <c r="L7886" t="str">
        <f t="shared" si="2943"/>
        <v>1111111111</v>
      </c>
    </row>
    <row r="7887" spans="1:12" x14ac:dyDescent="0.35">
      <c r="A7887" t="str">
        <f t="shared" si="2934"/>
        <v>USMC RCO FAR EAST</v>
      </c>
      <c r="B7887" t="str">
        <f t="shared" si="2945"/>
        <v>UNIT 35011</v>
      </c>
      <c r="C7887" t="str">
        <f t="shared" si="2940"/>
        <v/>
      </c>
      <c r="D7887" t="str">
        <f t="shared" si="2946"/>
        <v>FPO</v>
      </c>
      <c r="E7887" t="str">
        <f t="shared" si="2937"/>
        <v>AP</v>
      </c>
      <c r="F7887" t="str">
        <f t="shared" si="2947"/>
        <v>963735011</v>
      </c>
      <c r="G7887" t="str">
        <f>T("UNIT 35006")</f>
        <v>UNIT 35006</v>
      </c>
      <c r="H7887" t="str">
        <f t="shared" si="2938"/>
        <v/>
      </c>
      <c r="I7887" t="str">
        <f t="shared" si="2944"/>
        <v>FPO</v>
      </c>
      <c r="J7887" t="str">
        <f t="shared" si="2939"/>
        <v>AP</v>
      </c>
      <c r="K7887" t="str">
        <f>T("01181989703776")</f>
        <v>01181989703776</v>
      </c>
      <c r="L7887" t="str">
        <f t="shared" si="2943"/>
        <v>1111111111</v>
      </c>
    </row>
    <row r="7888" spans="1:12" x14ac:dyDescent="0.35">
      <c r="A7888" t="str">
        <f t="shared" si="2934"/>
        <v>USMC RCO FAR EAST</v>
      </c>
      <c r="B7888" t="str">
        <f t="shared" si="2945"/>
        <v>UNIT 35011</v>
      </c>
      <c r="C7888" t="str">
        <f t="shared" si="2940"/>
        <v/>
      </c>
      <c r="D7888" t="str">
        <f t="shared" si="2946"/>
        <v>FPO</v>
      </c>
      <c r="E7888" t="str">
        <f t="shared" si="2937"/>
        <v>AP</v>
      </c>
      <c r="F7888" t="str">
        <f t="shared" si="2947"/>
        <v>963735011</v>
      </c>
      <c r="G7888" t="str">
        <f>T("UNIT 35006")</f>
        <v>UNIT 35006</v>
      </c>
      <c r="H7888" t="str">
        <f t="shared" si="2938"/>
        <v/>
      </c>
      <c r="I7888" t="str">
        <f t="shared" si="2944"/>
        <v>FPO</v>
      </c>
      <c r="J7888" t="str">
        <f t="shared" si="2939"/>
        <v>AP</v>
      </c>
      <c r="K7888" t="str">
        <f>T("81989703776")</f>
        <v>81989703776</v>
      </c>
      <c r="L7888" t="str">
        <f t="shared" si="2943"/>
        <v>1111111111</v>
      </c>
    </row>
    <row r="7889" spans="1:12" x14ac:dyDescent="0.35">
      <c r="A7889" t="str">
        <f t="shared" ref="A7889:A7918" si="2948">T("USMC RCO FAR EAST")</f>
        <v>USMC RCO FAR EAST</v>
      </c>
      <c r="B7889" t="str">
        <f t="shared" si="2945"/>
        <v>UNIT 35011</v>
      </c>
      <c r="C7889" t="str">
        <f t="shared" si="2940"/>
        <v/>
      </c>
      <c r="D7889" t="str">
        <f t="shared" si="2946"/>
        <v>FPO</v>
      </c>
      <c r="E7889" t="str">
        <f t="shared" si="2937"/>
        <v>AP</v>
      </c>
      <c r="F7889" t="str">
        <f t="shared" si="2947"/>
        <v>963735011</v>
      </c>
      <c r="G7889" t="str">
        <f>T("UNIT 35006")</f>
        <v>UNIT 35006</v>
      </c>
      <c r="H7889" t="str">
        <f t="shared" si="2938"/>
        <v/>
      </c>
      <c r="I7889" t="str">
        <f t="shared" si="2944"/>
        <v>FPO</v>
      </c>
      <c r="J7889" t="str">
        <f t="shared" si="2939"/>
        <v>AP</v>
      </c>
      <c r="K7889" t="str">
        <f>T("819897037763796")</f>
        <v>819897037763796</v>
      </c>
      <c r="L7889" t="str">
        <f t="shared" si="2943"/>
        <v>1111111111</v>
      </c>
    </row>
    <row r="7890" spans="1:12" x14ac:dyDescent="0.35">
      <c r="A7890" t="str">
        <f t="shared" si="2948"/>
        <v>USMC RCO FAR EAST</v>
      </c>
      <c r="B7890" t="str">
        <f t="shared" si="2945"/>
        <v>UNIT 35011</v>
      </c>
      <c r="C7890" t="str">
        <f t="shared" si="2940"/>
        <v/>
      </c>
      <c r="D7890" t="str">
        <f t="shared" si="2946"/>
        <v>FPO</v>
      </c>
      <c r="E7890" t="str">
        <f t="shared" si="2937"/>
        <v>AP</v>
      </c>
      <c r="F7890" t="str">
        <f t="shared" si="2947"/>
        <v>963735011</v>
      </c>
      <c r="G7890" t="str">
        <f>T("UNIT 35011")</f>
        <v>UNIT 35011</v>
      </c>
      <c r="H7890" t="str">
        <f t="shared" si="2938"/>
        <v/>
      </c>
      <c r="I7890" t="str">
        <f t="shared" si="2944"/>
        <v>FPO</v>
      </c>
      <c r="J7890" t="str">
        <f t="shared" si="2939"/>
        <v>AP</v>
      </c>
      <c r="K7890" t="str">
        <f>T("")</f>
        <v/>
      </c>
      <c r="L7890" t="str">
        <f t="shared" si="2943"/>
        <v>1111111111</v>
      </c>
    </row>
    <row r="7891" spans="1:12" x14ac:dyDescent="0.35">
      <c r="A7891" t="str">
        <f t="shared" si="2948"/>
        <v>USMC RCO FAR EAST</v>
      </c>
      <c r="B7891" t="str">
        <f>T("UNIT 35018")</f>
        <v>UNIT 35018</v>
      </c>
      <c r="C7891" t="str">
        <f t="shared" si="2940"/>
        <v/>
      </c>
      <c r="D7891" t="str">
        <f t="shared" si="2946"/>
        <v>FPO</v>
      </c>
      <c r="E7891" t="str">
        <f t="shared" ref="E7891:E7918" si="2949">T("AP")</f>
        <v>AP</v>
      </c>
      <c r="F7891" t="str">
        <f>T("963735018")</f>
        <v>963735018</v>
      </c>
      <c r="G7891" t="str">
        <f>T("UNIT 35018")</f>
        <v>UNIT 35018</v>
      </c>
      <c r="H7891" t="str">
        <f t="shared" si="2938"/>
        <v/>
      </c>
      <c r="I7891" t="str">
        <f t="shared" si="2944"/>
        <v>FPO</v>
      </c>
      <c r="J7891" t="str">
        <f t="shared" ref="J7891:J7918" si="2950">T("AP")</f>
        <v>AP</v>
      </c>
      <c r="K7891" t="str">
        <f>T("011816140453554")</f>
        <v>011816140453554</v>
      </c>
      <c r="L7891" t="str">
        <f t="shared" si="2943"/>
        <v>1111111111</v>
      </c>
    </row>
    <row r="7892" spans="1:12" x14ac:dyDescent="0.35">
      <c r="A7892" t="str">
        <f t="shared" si="2948"/>
        <v>USMC RCO FAR EAST</v>
      </c>
      <c r="B7892" t="str">
        <f>T("UNIT 35018")</f>
        <v>UNIT 35018</v>
      </c>
      <c r="C7892" t="str">
        <f t="shared" si="2940"/>
        <v/>
      </c>
      <c r="D7892" t="str">
        <f t="shared" si="2946"/>
        <v>FPO</v>
      </c>
      <c r="E7892" t="str">
        <f t="shared" si="2949"/>
        <v>AP</v>
      </c>
      <c r="F7892" t="str">
        <f>T("963735018")</f>
        <v>963735018</v>
      </c>
      <c r="G7892" t="str">
        <f>T("UNIT 35018")</f>
        <v>UNIT 35018</v>
      </c>
      <c r="H7892" t="str">
        <f t="shared" si="2938"/>
        <v/>
      </c>
      <c r="I7892" t="str">
        <f t="shared" si="2944"/>
        <v>FPO</v>
      </c>
      <c r="J7892" t="str">
        <f t="shared" si="2950"/>
        <v>AP</v>
      </c>
      <c r="K7892" t="str">
        <f>T("01181989702009")</f>
        <v>01181989702009</v>
      </c>
      <c r="L7892" t="str">
        <f t="shared" si="2943"/>
        <v>1111111111</v>
      </c>
    </row>
    <row r="7893" spans="1:12" x14ac:dyDescent="0.35">
      <c r="A7893" t="str">
        <f t="shared" si="2948"/>
        <v>USMC RCO FAR EAST</v>
      </c>
      <c r="B7893" t="str">
        <f>T("UNIT 35020")</f>
        <v>UNIT 35020</v>
      </c>
      <c r="C7893" t="str">
        <f t="shared" ref="C7893:C7920" si="2951">T("")</f>
        <v/>
      </c>
      <c r="D7893" t="str">
        <f t="shared" si="2946"/>
        <v>FPO</v>
      </c>
      <c r="E7893" t="str">
        <f t="shared" si="2949"/>
        <v>AP</v>
      </c>
      <c r="F7893" t="str">
        <f>T("963735020")</f>
        <v>963735020</v>
      </c>
      <c r="G7893" t="str">
        <f>T("UNIT 35020")</f>
        <v>UNIT 35020</v>
      </c>
      <c r="H7893" t="str">
        <f t="shared" si="2938"/>
        <v/>
      </c>
      <c r="I7893" t="str">
        <f t="shared" si="2944"/>
        <v>FPO</v>
      </c>
      <c r="J7893" t="str">
        <f t="shared" si="2950"/>
        <v>AP</v>
      </c>
      <c r="K7893" t="str">
        <f>T("011816117455021")</f>
        <v>011816117455021</v>
      </c>
      <c r="L7893" t="str">
        <f t="shared" si="2943"/>
        <v>1111111111</v>
      </c>
    </row>
    <row r="7894" spans="1:12" x14ac:dyDescent="0.35">
      <c r="A7894" t="str">
        <f t="shared" si="2948"/>
        <v>USMC RCO FAR EAST</v>
      </c>
      <c r="B7894" t="str">
        <f>T("UNIT 35020")</f>
        <v>UNIT 35020</v>
      </c>
      <c r="C7894" t="str">
        <f t="shared" si="2951"/>
        <v/>
      </c>
      <c r="D7894" t="str">
        <f t="shared" si="2946"/>
        <v>FPO</v>
      </c>
      <c r="E7894" t="str">
        <f t="shared" si="2949"/>
        <v>AP</v>
      </c>
      <c r="F7894" t="str">
        <f>T("963735020")</f>
        <v>963735020</v>
      </c>
      <c r="G7894" t="str">
        <f>T("UNIT 35020")</f>
        <v>UNIT 35020</v>
      </c>
      <c r="H7894" t="str">
        <f t="shared" si="2938"/>
        <v/>
      </c>
      <c r="I7894" t="str">
        <f t="shared" si="2944"/>
        <v>FPO</v>
      </c>
      <c r="J7894" t="str">
        <f t="shared" si="2950"/>
        <v>AP</v>
      </c>
      <c r="K7894" t="str">
        <f>T("0118161774457115")</f>
        <v>0118161774457115</v>
      </c>
      <c r="L7894" t="str">
        <f t="shared" si="2943"/>
        <v>1111111111</v>
      </c>
    </row>
    <row r="7895" spans="1:12" x14ac:dyDescent="0.35">
      <c r="A7895" t="str">
        <f t="shared" si="2948"/>
        <v>USMC RCO FAR EAST</v>
      </c>
      <c r="B7895" t="str">
        <f>T("UNIT 35025")</f>
        <v>UNIT 35025</v>
      </c>
      <c r="C7895" t="str">
        <f t="shared" si="2951"/>
        <v/>
      </c>
      <c r="D7895" t="str">
        <f t="shared" si="2946"/>
        <v>FPO</v>
      </c>
      <c r="E7895" t="str">
        <f t="shared" si="2949"/>
        <v>AP</v>
      </c>
      <c r="F7895" t="str">
        <f>T("963735025")</f>
        <v>963735025</v>
      </c>
      <c r="G7895" t="str">
        <f>T("UNIT 35002")</f>
        <v>UNIT 35002</v>
      </c>
      <c r="H7895" t="str">
        <f t="shared" si="2938"/>
        <v/>
      </c>
      <c r="I7895" t="str">
        <f t="shared" si="2944"/>
        <v>FPO</v>
      </c>
      <c r="J7895" t="str">
        <f t="shared" si="2950"/>
        <v>AP</v>
      </c>
      <c r="K7895" t="str">
        <f>T("011816117457793")</f>
        <v>011816117457793</v>
      </c>
      <c r="L7895" t="str">
        <f>T("3136459106")</f>
        <v>3136459106</v>
      </c>
    </row>
    <row r="7896" spans="1:12" x14ac:dyDescent="0.35">
      <c r="A7896" t="str">
        <f t="shared" si="2948"/>
        <v>USMC RCO FAR EAST</v>
      </c>
      <c r="B7896" t="str">
        <f>T("UNIT 35025")</f>
        <v>UNIT 35025</v>
      </c>
      <c r="C7896" t="str">
        <f t="shared" si="2951"/>
        <v/>
      </c>
      <c r="D7896" t="str">
        <f t="shared" si="2946"/>
        <v>FPO</v>
      </c>
      <c r="E7896" t="str">
        <f t="shared" si="2949"/>
        <v>AP</v>
      </c>
      <c r="F7896" t="str">
        <f>T("963735025")</f>
        <v>963735025</v>
      </c>
      <c r="G7896" t="str">
        <f>T("UNIT 35025")</f>
        <v>UNIT 35025</v>
      </c>
      <c r="H7896" t="str">
        <f t="shared" si="2938"/>
        <v/>
      </c>
      <c r="I7896" t="str">
        <f t="shared" si="2944"/>
        <v>FPO</v>
      </c>
      <c r="J7896" t="str">
        <f t="shared" si="2950"/>
        <v>AP</v>
      </c>
      <c r="K7896" t="str">
        <f>T("")</f>
        <v/>
      </c>
      <c r="L7896" t="str">
        <f>T("1111111111")</f>
        <v>1111111111</v>
      </c>
    </row>
    <row r="7897" spans="1:12" x14ac:dyDescent="0.35">
      <c r="A7897" t="str">
        <f t="shared" si="2948"/>
        <v>USMC RCO FAR EAST</v>
      </c>
      <c r="B7897" t="str">
        <f>T("UNIT 35025")</f>
        <v>UNIT 35025</v>
      </c>
      <c r="C7897" t="str">
        <f t="shared" si="2951"/>
        <v/>
      </c>
      <c r="D7897" t="str">
        <f t="shared" si="2946"/>
        <v>FPO</v>
      </c>
      <c r="E7897" t="str">
        <f t="shared" si="2949"/>
        <v>AP</v>
      </c>
      <c r="F7897" t="str">
        <f>T("963735025")</f>
        <v>963735025</v>
      </c>
      <c r="G7897" t="str">
        <f>T("UNIT 35025")</f>
        <v>UNIT 35025</v>
      </c>
      <c r="H7897" t="str">
        <f t="shared" si="2938"/>
        <v/>
      </c>
      <c r="I7897" t="str">
        <f t="shared" si="2944"/>
        <v>FPO</v>
      </c>
      <c r="J7897" t="str">
        <f t="shared" si="2950"/>
        <v>AP</v>
      </c>
      <c r="K7897" t="str">
        <f>T("81989709106")</f>
        <v>81989709106</v>
      </c>
      <c r="L7897" t="str">
        <f>T("3156459106")</f>
        <v>3156459106</v>
      </c>
    </row>
    <row r="7898" spans="1:12" x14ac:dyDescent="0.35">
      <c r="A7898" t="str">
        <f t="shared" si="2948"/>
        <v>USMC RCO FAR EAST</v>
      </c>
      <c r="B7898" t="str">
        <f>T("UNIT 35025")</f>
        <v>UNIT 35025</v>
      </c>
      <c r="C7898" t="str">
        <f t="shared" si="2951"/>
        <v/>
      </c>
      <c r="D7898" t="str">
        <f t="shared" si="2946"/>
        <v>FPO</v>
      </c>
      <c r="E7898" t="str">
        <f t="shared" si="2949"/>
        <v>AP</v>
      </c>
      <c r="F7898" t="str">
        <f>T("963735025")</f>
        <v>963735025</v>
      </c>
      <c r="G7898" t="str">
        <f>T("UNIT 35025")</f>
        <v>UNIT 35025</v>
      </c>
      <c r="H7898" t="str">
        <f t="shared" si="2938"/>
        <v/>
      </c>
      <c r="I7898" t="str">
        <f t="shared" si="2944"/>
        <v>FPO</v>
      </c>
      <c r="J7898" t="str">
        <f t="shared" si="2950"/>
        <v>AP</v>
      </c>
      <c r="K7898" t="str">
        <f>T("81989709124")</f>
        <v>81989709124</v>
      </c>
      <c r="L7898" t="str">
        <f t="shared" ref="L7898:L7903" si="2952">T("1111111111")</f>
        <v>1111111111</v>
      </c>
    </row>
    <row r="7899" spans="1:12" x14ac:dyDescent="0.35">
      <c r="A7899" t="str">
        <f t="shared" si="2948"/>
        <v>USMC RCO FAR EAST</v>
      </c>
      <c r="B7899" t="str">
        <f t="shared" ref="B7899:B7904" si="2953">T("UNIT 35029")</f>
        <v>UNIT 35029</v>
      </c>
      <c r="C7899" t="str">
        <f t="shared" si="2951"/>
        <v/>
      </c>
      <c r="D7899" t="str">
        <f t="shared" si="2946"/>
        <v>FPO</v>
      </c>
      <c r="E7899" t="str">
        <f t="shared" si="2949"/>
        <v>AP</v>
      </c>
      <c r="F7899" t="str">
        <f t="shared" ref="F7899:F7904" si="2954">T("963735029")</f>
        <v>963735029</v>
      </c>
      <c r="G7899" t="str">
        <f>T("MCB CAMP SD BUTLER")</f>
        <v>MCB CAMP SD BUTLER</v>
      </c>
      <c r="H7899" t="str">
        <f>T("UNIT 35029")</f>
        <v>UNIT 35029</v>
      </c>
      <c r="I7899" t="str">
        <f t="shared" si="2944"/>
        <v>FPO</v>
      </c>
      <c r="J7899" t="str">
        <f t="shared" si="2950"/>
        <v>AP</v>
      </c>
      <c r="K7899" t="str">
        <f>T("000000000000000000")</f>
        <v>000000000000000000</v>
      </c>
      <c r="L7899" t="str">
        <f t="shared" si="2952"/>
        <v>1111111111</v>
      </c>
    </row>
    <row r="7900" spans="1:12" x14ac:dyDescent="0.35">
      <c r="A7900" t="str">
        <f t="shared" si="2948"/>
        <v>USMC RCO FAR EAST</v>
      </c>
      <c r="B7900" t="str">
        <f t="shared" si="2953"/>
        <v>UNIT 35029</v>
      </c>
      <c r="C7900" t="str">
        <f t="shared" si="2951"/>
        <v/>
      </c>
      <c r="D7900" t="str">
        <f t="shared" si="2946"/>
        <v>FPO</v>
      </c>
      <c r="E7900" t="str">
        <f t="shared" si="2949"/>
        <v>AP</v>
      </c>
      <c r="F7900" t="str">
        <f t="shared" si="2954"/>
        <v>963735029</v>
      </c>
      <c r="G7900" t="str">
        <f>T("UNIT 35001")</f>
        <v>UNIT 35001</v>
      </c>
      <c r="H7900" t="str">
        <f t="shared" ref="H7900:H7920" si="2955">T("")</f>
        <v/>
      </c>
      <c r="I7900" t="str">
        <f t="shared" si="2944"/>
        <v>FPO</v>
      </c>
      <c r="J7900" t="str">
        <f t="shared" si="2950"/>
        <v>AP</v>
      </c>
      <c r="K7900" t="str">
        <f>T("81989707815")</f>
        <v>81989707815</v>
      </c>
      <c r="L7900" t="str">
        <f t="shared" si="2952"/>
        <v>1111111111</v>
      </c>
    </row>
    <row r="7901" spans="1:12" x14ac:dyDescent="0.35">
      <c r="A7901" t="str">
        <f t="shared" si="2948"/>
        <v>USMC RCO FAR EAST</v>
      </c>
      <c r="B7901" t="str">
        <f t="shared" si="2953"/>
        <v>UNIT 35029</v>
      </c>
      <c r="C7901" t="str">
        <f t="shared" si="2951"/>
        <v/>
      </c>
      <c r="D7901" t="str">
        <f t="shared" si="2946"/>
        <v>FPO</v>
      </c>
      <c r="E7901" t="str">
        <f t="shared" si="2949"/>
        <v>AP</v>
      </c>
      <c r="F7901" t="str">
        <f t="shared" si="2954"/>
        <v>963735029</v>
      </c>
      <c r="G7901" t="str">
        <f>T("UNIT 35029")</f>
        <v>UNIT 35029</v>
      </c>
      <c r="H7901" t="str">
        <f t="shared" si="2955"/>
        <v/>
      </c>
      <c r="I7901" t="str">
        <f t="shared" si="2944"/>
        <v>FPO</v>
      </c>
      <c r="J7901" t="str">
        <f t="shared" si="2950"/>
        <v>AP</v>
      </c>
      <c r="K7901" t="str">
        <f>T("")</f>
        <v/>
      </c>
      <c r="L7901" t="str">
        <f t="shared" si="2952"/>
        <v>1111111111</v>
      </c>
    </row>
    <row r="7902" spans="1:12" x14ac:dyDescent="0.35">
      <c r="A7902" t="str">
        <f t="shared" si="2948"/>
        <v>USMC RCO FAR EAST</v>
      </c>
      <c r="B7902" t="str">
        <f t="shared" si="2953"/>
        <v>UNIT 35029</v>
      </c>
      <c r="C7902" t="str">
        <f t="shared" si="2951"/>
        <v/>
      </c>
      <c r="D7902" t="str">
        <f t="shared" si="2946"/>
        <v>FPO</v>
      </c>
      <c r="E7902" t="str">
        <f t="shared" si="2949"/>
        <v>AP</v>
      </c>
      <c r="F7902" t="str">
        <f t="shared" si="2954"/>
        <v>963735029</v>
      </c>
      <c r="G7902" t="str">
        <f>T("UNIT 35029")</f>
        <v>UNIT 35029</v>
      </c>
      <c r="H7902" t="str">
        <f t="shared" si="2955"/>
        <v/>
      </c>
      <c r="I7902" t="str">
        <f t="shared" si="2944"/>
        <v>FPO</v>
      </c>
      <c r="J7902" t="str">
        <f t="shared" si="2950"/>
        <v>AP</v>
      </c>
      <c r="K7902" t="str">
        <f>T("000000000000000000")</f>
        <v>000000000000000000</v>
      </c>
      <c r="L7902" t="str">
        <f t="shared" si="2952"/>
        <v>1111111111</v>
      </c>
    </row>
    <row r="7903" spans="1:12" x14ac:dyDescent="0.35">
      <c r="A7903" t="str">
        <f t="shared" si="2948"/>
        <v>USMC RCO FAR EAST</v>
      </c>
      <c r="B7903" t="str">
        <f t="shared" si="2953"/>
        <v>UNIT 35029</v>
      </c>
      <c r="C7903" t="str">
        <f t="shared" si="2951"/>
        <v/>
      </c>
      <c r="D7903" t="str">
        <f t="shared" si="2946"/>
        <v>FPO</v>
      </c>
      <c r="E7903" t="str">
        <f t="shared" si="2949"/>
        <v>AP</v>
      </c>
      <c r="F7903" t="str">
        <f t="shared" si="2954"/>
        <v>963735029</v>
      </c>
      <c r="G7903" t="str">
        <f>T("UNIT 35029")</f>
        <v>UNIT 35029</v>
      </c>
      <c r="H7903" t="str">
        <f t="shared" si="2955"/>
        <v/>
      </c>
      <c r="I7903" t="str">
        <f t="shared" si="2944"/>
        <v>FPO</v>
      </c>
      <c r="J7903" t="str">
        <f t="shared" si="2950"/>
        <v>AP</v>
      </c>
      <c r="K7903" t="str">
        <f>T("011816140457858")</f>
        <v>011816140457858</v>
      </c>
      <c r="L7903" t="str">
        <f t="shared" si="2952"/>
        <v>1111111111</v>
      </c>
    </row>
    <row r="7904" spans="1:12" x14ac:dyDescent="0.35">
      <c r="A7904" t="str">
        <f t="shared" si="2948"/>
        <v>USMC RCO FAR EAST</v>
      </c>
      <c r="B7904" t="str">
        <f t="shared" si="2953"/>
        <v>UNIT 35029</v>
      </c>
      <c r="C7904" t="str">
        <f t="shared" si="2951"/>
        <v/>
      </c>
      <c r="D7904" t="str">
        <f t="shared" si="2946"/>
        <v>FPO</v>
      </c>
      <c r="E7904" t="str">
        <f t="shared" si="2949"/>
        <v>AP</v>
      </c>
      <c r="F7904" t="str">
        <f t="shared" si="2954"/>
        <v>963735029</v>
      </c>
      <c r="G7904" t="str">
        <f>T("UNIT 35029")</f>
        <v>UNIT 35029</v>
      </c>
      <c r="H7904" t="str">
        <f t="shared" si="2955"/>
        <v/>
      </c>
      <c r="I7904" t="str">
        <f t="shared" si="2944"/>
        <v>FPO</v>
      </c>
      <c r="J7904" t="str">
        <f t="shared" si="2950"/>
        <v>AP</v>
      </c>
      <c r="K7904" t="str">
        <f>T("81989703069")</f>
        <v>81989703069</v>
      </c>
      <c r="L7904" t="str">
        <f>T("3159700915")</f>
        <v>3159700915</v>
      </c>
    </row>
    <row r="7905" spans="1:12" x14ac:dyDescent="0.35">
      <c r="A7905" t="str">
        <f t="shared" si="2948"/>
        <v>USMC RCO FAR EAST</v>
      </c>
      <c r="B7905" t="str">
        <f>T("UNIT 35034")</f>
        <v>UNIT 35034</v>
      </c>
      <c r="C7905" t="str">
        <f t="shared" si="2951"/>
        <v/>
      </c>
      <c r="D7905" t="str">
        <f t="shared" si="2946"/>
        <v>FPO</v>
      </c>
      <c r="E7905" t="str">
        <f t="shared" si="2949"/>
        <v>AP</v>
      </c>
      <c r="F7905" t="str">
        <f>T("963735034")</f>
        <v>963735034</v>
      </c>
      <c r="G7905" t="str">
        <f>T("UNIT 35034")</f>
        <v>UNIT 35034</v>
      </c>
      <c r="H7905" t="str">
        <f t="shared" si="2955"/>
        <v/>
      </c>
      <c r="I7905" t="str">
        <f t="shared" si="2944"/>
        <v>FPO</v>
      </c>
      <c r="J7905" t="str">
        <f t="shared" si="2950"/>
        <v>AP</v>
      </c>
      <c r="K7905" t="str">
        <f>T("")</f>
        <v/>
      </c>
      <c r="L7905" t="str">
        <f>T("1111111111")</f>
        <v>1111111111</v>
      </c>
    </row>
    <row r="7906" spans="1:12" x14ac:dyDescent="0.35">
      <c r="A7906" t="str">
        <f t="shared" si="2948"/>
        <v>USMC RCO FAR EAST</v>
      </c>
      <c r="B7906" t="str">
        <f>T("UNIT 35039")</f>
        <v>UNIT 35039</v>
      </c>
      <c r="C7906" t="str">
        <f t="shared" si="2951"/>
        <v/>
      </c>
      <c r="D7906" t="str">
        <f t="shared" si="2946"/>
        <v>FPO</v>
      </c>
      <c r="E7906" t="str">
        <f t="shared" si="2949"/>
        <v>AP</v>
      </c>
      <c r="F7906" t="str">
        <f>T("963735039")</f>
        <v>963735039</v>
      </c>
      <c r="G7906" t="str">
        <f>T("UNIT 35039")</f>
        <v>UNIT 35039</v>
      </c>
      <c r="H7906" t="str">
        <f t="shared" si="2955"/>
        <v/>
      </c>
      <c r="I7906" t="str">
        <f t="shared" si="2944"/>
        <v>FPO</v>
      </c>
      <c r="J7906" t="str">
        <f t="shared" si="2950"/>
        <v>AP</v>
      </c>
      <c r="K7906" t="str">
        <f>T("011816140453092")</f>
        <v>011816140453092</v>
      </c>
      <c r="L7906" t="str">
        <f>T("3156450152")</f>
        <v>3156450152</v>
      </c>
    </row>
    <row r="7907" spans="1:12" x14ac:dyDescent="0.35">
      <c r="A7907" t="str">
        <f t="shared" si="2948"/>
        <v>USMC RCO FAR EAST</v>
      </c>
      <c r="B7907" t="str">
        <f>T("UNIT 35039")</f>
        <v>UNIT 35039</v>
      </c>
      <c r="C7907" t="str">
        <f t="shared" si="2951"/>
        <v/>
      </c>
      <c r="D7907" t="str">
        <f t="shared" si="2946"/>
        <v>FPO</v>
      </c>
      <c r="E7907" t="str">
        <f t="shared" si="2949"/>
        <v>AP</v>
      </c>
      <c r="F7907" t="str">
        <f>T("963735039")</f>
        <v>963735039</v>
      </c>
      <c r="G7907" t="str">
        <f>T("UNIT 35039")</f>
        <v>UNIT 35039</v>
      </c>
      <c r="H7907" t="str">
        <f t="shared" si="2955"/>
        <v/>
      </c>
      <c r="I7907" t="str">
        <f t="shared" si="2944"/>
        <v>FPO</v>
      </c>
      <c r="J7907" t="str">
        <f t="shared" si="2950"/>
        <v>AP</v>
      </c>
      <c r="K7907" t="str">
        <f>T("01181989703092")</f>
        <v>01181989703092</v>
      </c>
      <c r="L7907" t="str">
        <f>T("1111111111")</f>
        <v>1111111111</v>
      </c>
    </row>
    <row r="7908" spans="1:12" x14ac:dyDescent="0.35">
      <c r="A7908" t="str">
        <f t="shared" si="2948"/>
        <v>USMC RCO FAR EAST</v>
      </c>
      <c r="B7908" t="str">
        <f>T("UNIT 35039")</f>
        <v>UNIT 35039</v>
      </c>
      <c r="C7908" t="str">
        <f t="shared" si="2951"/>
        <v/>
      </c>
      <c r="D7908" t="str">
        <f t="shared" si="2946"/>
        <v>FPO</v>
      </c>
      <c r="E7908" t="str">
        <f t="shared" si="2949"/>
        <v>AP</v>
      </c>
      <c r="F7908" t="str">
        <f>T("963735039")</f>
        <v>963735039</v>
      </c>
      <c r="G7908" t="str">
        <f>T("UNIT 35039")</f>
        <v>UNIT 35039</v>
      </c>
      <c r="H7908" t="str">
        <f t="shared" si="2955"/>
        <v/>
      </c>
      <c r="I7908" t="str">
        <f t="shared" si="2944"/>
        <v>FPO</v>
      </c>
      <c r="J7908" t="str">
        <f t="shared" si="2950"/>
        <v>AP</v>
      </c>
      <c r="K7908" t="str">
        <f>T("81989709226")</f>
        <v>81989709226</v>
      </c>
      <c r="L7908" t="str">
        <f>T("1111111111")</f>
        <v>1111111111</v>
      </c>
    </row>
    <row r="7909" spans="1:12" x14ac:dyDescent="0.35">
      <c r="A7909" t="str">
        <f t="shared" si="2948"/>
        <v>USMC RCO FAR EAST</v>
      </c>
      <c r="B7909" t="str">
        <f>T("UNIT 35201")</f>
        <v>UNIT 35201</v>
      </c>
      <c r="C7909" t="str">
        <f t="shared" si="2951"/>
        <v/>
      </c>
      <c r="D7909" t="str">
        <f t="shared" si="2946"/>
        <v>FPO</v>
      </c>
      <c r="E7909" t="str">
        <f t="shared" si="2949"/>
        <v>AP</v>
      </c>
      <c r="F7909" t="str">
        <f>T("963725201")</f>
        <v>963725201</v>
      </c>
      <c r="G7909" t="str">
        <f>T("UNIT 35201")</f>
        <v>UNIT 35201</v>
      </c>
      <c r="H7909" t="str">
        <f t="shared" si="2955"/>
        <v/>
      </c>
      <c r="I7909" t="str">
        <f t="shared" si="2944"/>
        <v>FPO</v>
      </c>
      <c r="J7909" t="str">
        <f t="shared" si="2950"/>
        <v>AP</v>
      </c>
      <c r="K7909" t="str">
        <f>T("011816117362732")</f>
        <v>011816117362732</v>
      </c>
      <c r="L7909" t="str">
        <f>T("3156363413")</f>
        <v>3156363413</v>
      </c>
    </row>
    <row r="7910" spans="1:12" x14ac:dyDescent="0.35">
      <c r="A7910" t="str">
        <f t="shared" si="2948"/>
        <v>USMC RCO FAR EAST</v>
      </c>
      <c r="B7910" t="str">
        <f>T("UNIT 35201")</f>
        <v>UNIT 35201</v>
      </c>
      <c r="C7910" t="str">
        <f t="shared" si="2951"/>
        <v/>
      </c>
      <c r="D7910" t="str">
        <f t="shared" si="2946"/>
        <v>FPO</v>
      </c>
      <c r="E7910" t="str">
        <f t="shared" si="2949"/>
        <v>AP</v>
      </c>
      <c r="F7910" t="str">
        <f>T("963725201")</f>
        <v>963725201</v>
      </c>
      <c r="G7910" t="str">
        <f>T("UNIT 35201")</f>
        <v>UNIT 35201</v>
      </c>
      <c r="H7910" t="str">
        <f t="shared" si="2955"/>
        <v/>
      </c>
      <c r="I7910" t="str">
        <f t="shared" si="2944"/>
        <v>FPO</v>
      </c>
      <c r="J7910" t="str">
        <f t="shared" si="2950"/>
        <v>AP</v>
      </c>
      <c r="K7910" t="str">
        <f>T("011816117363827")</f>
        <v>011816117363827</v>
      </c>
      <c r="L7910" t="str">
        <f>T("3156363827")</f>
        <v>3156363827</v>
      </c>
    </row>
    <row r="7911" spans="1:12" x14ac:dyDescent="0.35">
      <c r="A7911" t="str">
        <f t="shared" si="2948"/>
        <v>USMC RCO FAR EAST</v>
      </c>
      <c r="B7911" t="str">
        <f>T("UNIT 35201")</f>
        <v>UNIT 35201</v>
      </c>
      <c r="C7911" t="str">
        <f t="shared" si="2951"/>
        <v/>
      </c>
      <c r="D7911" t="str">
        <f t="shared" si="2946"/>
        <v>FPO</v>
      </c>
      <c r="E7911" t="str">
        <f t="shared" si="2949"/>
        <v>AP</v>
      </c>
      <c r="F7911" t="str">
        <f>T("963725201")</f>
        <v>963725201</v>
      </c>
      <c r="G7911" t="str">
        <f>T("UNIT 35201")</f>
        <v>UNIT 35201</v>
      </c>
      <c r="H7911" t="str">
        <f t="shared" si="2955"/>
        <v/>
      </c>
      <c r="I7911" t="str">
        <f t="shared" si="2944"/>
        <v>FPO</v>
      </c>
      <c r="J7911" t="str">
        <f t="shared" si="2950"/>
        <v>AP</v>
      </c>
      <c r="K7911" t="str">
        <f>T("819891151126362732")</f>
        <v>819891151126362732</v>
      </c>
      <c r="L7911" t="str">
        <f>T("1111111111")</f>
        <v>1111111111</v>
      </c>
    </row>
    <row r="7912" spans="1:12" x14ac:dyDescent="0.35">
      <c r="A7912" t="str">
        <f t="shared" si="2948"/>
        <v>USMC RCO FAR EAST</v>
      </c>
      <c r="B7912" t="str">
        <f>T("UNIT 35607")</f>
        <v>UNIT 35607</v>
      </c>
      <c r="C7912" t="str">
        <f t="shared" si="2951"/>
        <v/>
      </c>
      <c r="D7912" t="str">
        <f t="shared" si="2946"/>
        <v>FPO</v>
      </c>
      <c r="E7912" t="str">
        <f t="shared" si="2949"/>
        <v>AP</v>
      </c>
      <c r="F7912" t="str">
        <f>T("966065607")</f>
        <v>966065607</v>
      </c>
      <c r="G7912" t="str">
        <f>T("UNIT 35607")</f>
        <v>UNIT 35607</v>
      </c>
      <c r="H7912" t="str">
        <f t="shared" si="2955"/>
        <v/>
      </c>
      <c r="I7912" t="str">
        <f t="shared" si="2944"/>
        <v>FPO</v>
      </c>
      <c r="J7912" t="str">
        <f t="shared" si="2950"/>
        <v>AP</v>
      </c>
      <c r="K7912" t="str">
        <f>T("000000000000000000")</f>
        <v>000000000000000000</v>
      </c>
      <c r="L7912" t="str">
        <f>T("3156227623")</f>
        <v>3156227623</v>
      </c>
    </row>
    <row r="7913" spans="1:12" x14ac:dyDescent="0.35">
      <c r="A7913" t="str">
        <f t="shared" si="2948"/>
        <v>USMC RCO FAR EAST</v>
      </c>
      <c r="B7913" t="str">
        <f>T("UNIT 35607")</f>
        <v>UNIT 35607</v>
      </c>
      <c r="C7913" t="str">
        <f t="shared" si="2951"/>
        <v/>
      </c>
      <c r="D7913" t="str">
        <f t="shared" si="2946"/>
        <v>FPO</v>
      </c>
      <c r="E7913" t="str">
        <f t="shared" si="2949"/>
        <v>AP</v>
      </c>
      <c r="F7913" t="str">
        <f>T("966065607")</f>
        <v>966065607</v>
      </c>
      <c r="G7913" t="str">
        <f>T("UNIT 35607")</f>
        <v>UNIT 35607</v>
      </c>
      <c r="H7913" t="str">
        <f t="shared" si="2955"/>
        <v/>
      </c>
      <c r="I7913" t="str">
        <f t="shared" si="2944"/>
        <v>FPO</v>
      </c>
      <c r="J7913" t="str">
        <f t="shared" si="2950"/>
        <v>AP</v>
      </c>
      <c r="K7913" t="str">
        <f>T("011816117237600")</f>
        <v>011816117237600</v>
      </c>
      <c r="L7913" t="str">
        <f t="shared" ref="L7913:L7918" si="2956">T("1111111111")</f>
        <v>1111111111</v>
      </c>
    </row>
    <row r="7914" spans="1:12" x14ac:dyDescent="0.35">
      <c r="A7914" t="str">
        <f t="shared" si="2948"/>
        <v>USMC RCO FAR EAST</v>
      </c>
      <c r="B7914" t="str">
        <f>T("UNIT 35951")</f>
        <v>UNIT 35951</v>
      </c>
      <c r="C7914" t="str">
        <f t="shared" si="2951"/>
        <v/>
      </c>
      <c r="D7914" t="str">
        <f t="shared" si="2946"/>
        <v>FPO</v>
      </c>
      <c r="E7914" t="str">
        <f t="shared" si="2949"/>
        <v>AP</v>
      </c>
      <c r="F7914" t="str">
        <f>T("963895951")</f>
        <v>963895951</v>
      </c>
      <c r="G7914" t="str">
        <f>T("UNIT 35951")</f>
        <v>UNIT 35951</v>
      </c>
      <c r="H7914" t="str">
        <f t="shared" si="2955"/>
        <v/>
      </c>
      <c r="I7914" t="str">
        <f t="shared" si="2944"/>
        <v>FPO</v>
      </c>
      <c r="J7914" t="str">
        <f t="shared" si="2950"/>
        <v>AP</v>
      </c>
      <c r="K7914" t="str">
        <f>T("011816117222227")</f>
        <v>011816117222227</v>
      </c>
      <c r="L7914" t="str">
        <f t="shared" si="2956"/>
        <v>1111111111</v>
      </c>
    </row>
    <row r="7915" spans="1:12" x14ac:dyDescent="0.35">
      <c r="A7915" t="str">
        <f t="shared" si="2948"/>
        <v>USMC RCO FAR EAST</v>
      </c>
      <c r="B7915" t="str">
        <f>T("UNIT 35970")</f>
        <v>UNIT 35970</v>
      </c>
      <c r="C7915" t="str">
        <f t="shared" si="2951"/>
        <v/>
      </c>
      <c r="D7915" t="str">
        <f t="shared" si="2946"/>
        <v>FPO</v>
      </c>
      <c r="E7915" t="str">
        <f t="shared" si="2949"/>
        <v>AP</v>
      </c>
      <c r="F7915" t="str">
        <f>T("963895970")</f>
        <v>963895970</v>
      </c>
      <c r="G7915" t="str">
        <f>T("UNIT 35970")</f>
        <v>UNIT 35970</v>
      </c>
      <c r="H7915" t="str">
        <f t="shared" si="2955"/>
        <v/>
      </c>
      <c r="I7915" t="str">
        <f t="shared" si="2944"/>
        <v>FPO</v>
      </c>
      <c r="J7915" t="str">
        <f t="shared" si="2950"/>
        <v>AP</v>
      </c>
      <c r="K7915" t="str">
        <f>T("011816140252320")</f>
        <v>011816140252320</v>
      </c>
      <c r="L7915" t="str">
        <f t="shared" si="2956"/>
        <v>1111111111</v>
      </c>
    </row>
    <row r="7916" spans="1:12" x14ac:dyDescent="0.35">
      <c r="A7916" t="str">
        <f t="shared" si="2948"/>
        <v>USMC RCO FAR EAST</v>
      </c>
      <c r="B7916" t="str">
        <f>T("UNIT 35970")</f>
        <v>UNIT 35970</v>
      </c>
      <c r="C7916" t="str">
        <f t="shared" si="2951"/>
        <v/>
      </c>
      <c r="D7916" t="str">
        <f t="shared" si="2946"/>
        <v>FPO</v>
      </c>
      <c r="E7916" t="str">
        <f t="shared" si="2949"/>
        <v>AP</v>
      </c>
      <c r="F7916" t="str">
        <f>T("963895970")</f>
        <v>963895970</v>
      </c>
      <c r="G7916" t="str">
        <f>T("UNIT 35970")</f>
        <v>UNIT 35970</v>
      </c>
      <c r="H7916" t="str">
        <f t="shared" si="2955"/>
        <v/>
      </c>
      <c r="I7916" t="str">
        <f t="shared" si="2944"/>
        <v>FPO</v>
      </c>
      <c r="J7916" t="str">
        <f t="shared" si="2950"/>
        <v>AP</v>
      </c>
      <c r="K7916" t="str">
        <f>T("01181617252517")</f>
        <v>01181617252517</v>
      </c>
      <c r="L7916" t="str">
        <f t="shared" si="2956"/>
        <v>1111111111</v>
      </c>
    </row>
    <row r="7917" spans="1:12" x14ac:dyDescent="0.35">
      <c r="A7917" t="str">
        <f t="shared" si="2948"/>
        <v>USMC RCO FAR EAST</v>
      </c>
      <c r="B7917" t="str">
        <f>T("UNIT 38404")</f>
        <v>UNIT 38404</v>
      </c>
      <c r="C7917" t="str">
        <f t="shared" si="2951"/>
        <v/>
      </c>
      <c r="D7917" t="str">
        <f t="shared" si="2946"/>
        <v>FPO</v>
      </c>
      <c r="E7917" t="str">
        <f t="shared" si="2949"/>
        <v>AP</v>
      </c>
      <c r="F7917" t="str">
        <f>T("963735104")</f>
        <v>963735104</v>
      </c>
      <c r="G7917" t="str">
        <f>T("UNIT 38404")</f>
        <v>UNIT 38404</v>
      </c>
      <c r="H7917" t="str">
        <f t="shared" si="2955"/>
        <v/>
      </c>
      <c r="I7917" t="str">
        <f t="shared" si="2944"/>
        <v>FPO</v>
      </c>
      <c r="J7917" t="str">
        <f t="shared" si="2950"/>
        <v>AP</v>
      </c>
      <c r="K7917" t="str">
        <f>T("81989705556372937")</f>
        <v>81989705556372937</v>
      </c>
      <c r="L7917" t="str">
        <f t="shared" si="2956"/>
        <v>1111111111</v>
      </c>
    </row>
    <row r="7918" spans="1:12" x14ac:dyDescent="0.35">
      <c r="A7918" t="str">
        <f t="shared" si="2948"/>
        <v>USMC RCO FAR EAST</v>
      </c>
      <c r="B7918" t="str">
        <f>T("UNIT 38404")</f>
        <v>UNIT 38404</v>
      </c>
      <c r="C7918" t="str">
        <f t="shared" si="2951"/>
        <v/>
      </c>
      <c r="D7918" t="str">
        <f t="shared" si="2946"/>
        <v>FPO</v>
      </c>
      <c r="E7918" t="str">
        <f t="shared" si="2949"/>
        <v>AP</v>
      </c>
      <c r="F7918" t="str">
        <f>T("963735104")</f>
        <v>963735104</v>
      </c>
      <c r="G7918" t="str">
        <f>T("UNIT 38406")</f>
        <v>UNIT 38406</v>
      </c>
      <c r="H7918" t="str">
        <f t="shared" si="2955"/>
        <v/>
      </c>
      <c r="I7918" t="str">
        <f t="shared" si="2944"/>
        <v>FPO</v>
      </c>
      <c r="J7918" t="str">
        <f t="shared" si="2950"/>
        <v>AP</v>
      </c>
      <c r="K7918" t="str">
        <f>T("011816117372772")</f>
        <v>011816117372772</v>
      </c>
      <c r="L7918" t="str">
        <f t="shared" si="2956"/>
        <v>1111111111</v>
      </c>
    </row>
    <row r="7919" spans="1:12" x14ac:dyDescent="0.35">
      <c r="A7919" t="str">
        <f>T("MARFORPAC")</f>
        <v>MARFORPAC</v>
      </c>
      <c r="B7919" t="str">
        <f>T("BLDG 600 BAILEY RD")</f>
        <v>BLDG 600 BAILEY RD</v>
      </c>
      <c r="C7919" t="str">
        <f t="shared" si="2951"/>
        <v/>
      </c>
      <c r="D7919" t="str">
        <f>T("CAMP SMITH")</f>
        <v>CAMP SMITH</v>
      </c>
      <c r="E7919" t="str">
        <f>T("HI")</f>
        <v>HI</v>
      </c>
      <c r="F7919" t="str">
        <f>T("968610000")</f>
        <v>968610000</v>
      </c>
      <c r="G7919" t="str">
        <f>T("BLDG 600 BAILEY RD")</f>
        <v>BLDG 600 BAILEY RD</v>
      </c>
      <c r="H7919" t="str">
        <f t="shared" si="2955"/>
        <v/>
      </c>
      <c r="I7919" t="str">
        <f>T("CAMP SMITH")</f>
        <v>CAMP SMITH</v>
      </c>
      <c r="J7919" t="str">
        <f>T("HI")</f>
        <v>HI</v>
      </c>
      <c r="K7919" t="str">
        <f>T("000000000000000000")</f>
        <v>000000000000000000</v>
      </c>
      <c r="L7919" t="str">
        <f>T("8084778823")</f>
        <v>8084778823</v>
      </c>
    </row>
    <row r="7920" spans="1:12" x14ac:dyDescent="0.35">
      <c r="A7920" t="str">
        <f>T("MARFORPAC")</f>
        <v>MARFORPAC</v>
      </c>
      <c r="B7920" t="str">
        <f>T("PO BOX 64139")</f>
        <v>PO BOX 64139</v>
      </c>
      <c r="C7920" t="str">
        <f t="shared" si="2951"/>
        <v/>
      </c>
      <c r="D7920" t="str">
        <f>T("CAMP H M SMITH")</f>
        <v>CAMP H M SMITH</v>
      </c>
      <c r="E7920" t="str">
        <f>T("HI")</f>
        <v>HI</v>
      </c>
      <c r="F7920" t="str">
        <f>T("968614139")</f>
        <v>968614139</v>
      </c>
      <c r="G7920" t="str">
        <f>T("PO BOX 64139")</f>
        <v>PO BOX 64139</v>
      </c>
      <c r="H7920" t="str">
        <f t="shared" si="2955"/>
        <v/>
      </c>
      <c r="I7920" t="str">
        <f>T("CAMP H M SMITH")</f>
        <v>CAMP H M SMITH</v>
      </c>
      <c r="J7920" t="str">
        <f>T("HI")</f>
        <v>HI</v>
      </c>
      <c r="K7920" t="str">
        <f>T("000000000000000000")</f>
        <v>000000000000000000</v>
      </c>
      <c r="L7920" t="str">
        <f>T("8084778605")</f>
        <v>8084778605</v>
      </c>
    </row>
    <row r="7921" spans="1:12" x14ac:dyDescent="0.35">
      <c r="A7921" t="str">
        <f>T("MARFORPAC")</f>
        <v>MARFORPAC</v>
      </c>
      <c r="B7921" t="str">
        <f>T("PSC 488 BOX 105")</f>
        <v>PSC 488 BOX 105</v>
      </c>
      <c r="C7921" t="str">
        <f>T("ATTN SUPPLY OFFICER")</f>
        <v>ATTN SUPPLY OFFICER</v>
      </c>
      <c r="D7921" t="str">
        <f t="shared" ref="D7921:D7952" si="2957">T("FPO")</f>
        <v>FPO</v>
      </c>
      <c r="E7921" t="str">
        <f t="shared" ref="E7921:E7952" si="2958">T("AP")</f>
        <v>AP</v>
      </c>
      <c r="F7921" t="str">
        <f>T("965370002")</f>
        <v>965370002</v>
      </c>
      <c r="G7921" t="str">
        <f>T("PSC 488 BOX 105")</f>
        <v>PSC 488 BOX 105</v>
      </c>
      <c r="H7921" t="str">
        <f>T("ATTN SUPPLY OFFICER")</f>
        <v>ATTN SUPPLY OFFICER</v>
      </c>
      <c r="I7921" t="str">
        <f t="shared" ref="I7921:I7952" si="2959">T("FPO")</f>
        <v>FPO</v>
      </c>
      <c r="J7921" t="str">
        <f t="shared" ref="J7921:J7952" si="2960">T("AP")</f>
        <v>AP</v>
      </c>
      <c r="K7921" t="str">
        <f>T("000000000000000000")</f>
        <v>000000000000000000</v>
      </c>
      <c r="L7921" t="str">
        <f>T("6713552336")</f>
        <v>6713552336</v>
      </c>
    </row>
    <row r="7922" spans="1:12" x14ac:dyDescent="0.35">
      <c r="A7922" t="str">
        <f t="shared" ref="A7922:A7953" si="2961">T("USMS/MCAS IWAKUNI JAPAN")</f>
        <v>USMS/MCAS IWAKUNI JAPAN</v>
      </c>
      <c r="B7922" t="str">
        <f>T("BACHELOR HOUSING")</f>
        <v>BACHELOR HOUSING</v>
      </c>
      <c r="C7922" t="str">
        <f>T("PSC 561 BOX 1871")</f>
        <v>PSC 561 BOX 1871</v>
      </c>
      <c r="D7922" t="str">
        <f t="shared" si="2957"/>
        <v>FPO</v>
      </c>
      <c r="E7922" t="str">
        <f t="shared" si="2958"/>
        <v>AP</v>
      </c>
      <c r="F7922" t="str">
        <f t="shared" ref="F7922:F7953" si="2962">T("963100019")</f>
        <v>963100019</v>
      </c>
      <c r="G7922" t="str">
        <f>T("BACHELOR HOUSING")</f>
        <v>BACHELOR HOUSING</v>
      </c>
      <c r="H7922" t="str">
        <f>T("PSC 561 BOX 1871")</f>
        <v>PSC 561 BOX 1871</v>
      </c>
      <c r="I7922" t="str">
        <f t="shared" si="2959"/>
        <v>FPO</v>
      </c>
      <c r="J7922" t="str">
        <f t="shared" si="2960"/>
        <v>AP</v>
      </c>
      <c r="K7922" t="str">
        <f>T("3152534355")</f>
        <v>3152534355</v>
      </c>
      <c r="L7922" t="str">
        <f>T("3152534566")</f>
        <v>3152534566</v>
      </c>
    </row>
    <row r="7923" spans="1:12" x14ac:dyDescent="0.35">
      <c r="A7923" t="str">
        <f t="shared" si="2961"/>
        <v>USMS/MCAS IWAKUNI JAPAN</v>
      </c>
      <c r="B7923" t="str">
        <f>T("BACHELOR HOUSING")</f>
        <v>BACHELOR HOUSING</v>
      </c>
      <c r="C7923" t="str">
        <f>T("PSC 561 BOX 1871")</f>
        <v>PSC 561 BOX 1871</v>
      </c>
      <c r="D7923" t="str">
        <f t="shared" si="2957"/>
        <v>FPO</v>
      </c>
      <c r="E7923" t="str">
        <f t="shared" si="2958"/>
        <v>AP</v>
      </c>
      <c r="F7923" t="str">
        <f t="shared" si="2962"/>
        <v>963100019</v>
      </c>
      <c r="G7923" t="str">
        <f>T("PSC 561 BOX 1871")</f>
        <v>PSC 561 BOX 1871</v>
      </c>
      <c r="H7923" t="str">
        <f>T("")</f>
        <v/>
      </c>
      <c r="I7923" t="str">
        <f t="shared" si="2959"/>
        <v>FPO</v>
      </c>
      <c r="J7923" t="str">
        <f t="shared" si="2960"/>
        <v>AP</v>
      </c>
      <c r="K7923" t="str">
        <f>T("000000000000000000")</f>
        <v>000000000000000000</v>
      </c>
      <c r="L7923" t="str">
        <f>T("3152535857")</f>
        <v>3152535857</v>
      </c>
    </row>
    <row r="7924" spans="1:12" x14ac:dyDescent="0.35">
      <c r="A7924" t="str">
        <f t="shared" si="2961"/>
        <v>USMS/MCAS IWAKUNI JAPAN</v>
      </c>
      <c r="B7924" t="str">
        <f>T("BACHELOR HOUSING")</f>
        <v>BACHELOR HOUSING</v>
      </c>
      <c r="C7924" t="str">
        <f>T("PSC 561 BOX 1871")</f>
        <v>PSC 561 BOX 1871</v>
      </c>
      <c r="D7924" t="str">
        <f t="shared" si="2957"/>
        <v>FPO</v>
      </c>
      <c r="E7924" t="str">
        <f t="shared" si="2958"/>
        <v>AP</v>
      </c>
      <c r="F7924" t="str">
        <f t="shared" si="2962"/>
        <v>963100019</v>
      </c>
      <c r="G7924" t="str">
        <f>T("PSC 561 BOX 1872")</f>
        <v>PSC 561 BOX 1872</v>
      </c>
      <c r="H7924" t="str">
        <f>T("")</f>
        <v/>
      </c>
      <c r="I7924" t="str">
        <f t="shared" si="2959"/>
        <v>FPO</v>
      </c>
      <c r="J7924" t="str">
        <f t="shared" si="2960"/>
        <v>AP</v>
      </c>
      <c r="K7924" t="str">
        <f>T("3152534594")</f>
        <v>3152534594</v>
      </c>
      <c r="L7924" t="str">
        <f>T("3152535783")</f>
        <v>3152535783</v>
      </c>
    </row>
    <row r="7925" spans="1:12" x14ac:dyDescent="0.35">
      <c r="A7925" t="str">
        <f t="shared" si="2961"/>
        <v>USMS/MCAS IWAKUNI JAPAN</v>
      </c>
      <c r="B7925" t="str">
        <f>T("CHAPLAINS OFFICE")</f>
        <v>CHAPLAINS OFFICE</v>
      </c>
      <c r="C7925" t="str">
        <f>T("PSC 561 BOX 1879")</f>
        <v>PSC 561 BOX 1879</v>
      </c>
      <c r="D7925" t="str">
        <f t="shared" si="2957"/>
        <v>FPO</v>
      </c>
      <c r="E7925" t="str">
        <f t="shared" si="2958"/>
        <v>AP</v>
      </c>
      <c r="F7925" t="str">
        <f t="shared" si="2962"/>
        <v>963100019</v>
      </c>
      <c r="G7925" t="str">
        <f>T("CHAPLAINS OFFICE")</f>
        <v>CHAPLAINS OFFICE</v>
      </c>
      <c r="H7925" t="str">
        <f>T("PSC 561 BOX 1879")</f>
        <v>PSC 561 BOX 1879</v>
      </c>
      <c r="I7925" t="str">
        <f t="shared" si="2959"/>
        <v>FPO</v>
      </c>
      <c r="J7925" t="str">
        <f t="shared" si="2960"/>
        <v>AP</v>
      </c>
      <c r="K7925" t="str">
        <f>T("3152534642")</f>
        <v>3152534642</v>
      </c>
      <c r="L7925" t="str">
        <f>T("3152533371")</f>
        <v>3152533371</v>
      </c>
    </row>
    <row r="7926" spans="1:12" x14ac:dyDescent="0.35">
      <c r="A7926" t="str">
        <f t="shared" si="2961"/>
        <v>USMS/MCAS IWAKUNI JAPAN</v>
      </c>
      <c r="B7926" t="str">
        <f>T("CHAPLAINS OFFICE")</f>
        <v>CHAPLAINS OFFICE</v>
      </c>
      <c r="C7926" t="str">
        <f>T("PSC 561 BOX 1879")</f>
        <v>PSC 561 BOX 1879</v>
      </c>
      <c r="D7926" t="str">
        <f t="shared" si="2957"/>
        <v>FPO</v>
      </c>
      <c r="E7926" t="str">
        <f t="shared" si="2958"/>
        <v>AP</v>
      </c>
      <c r="F7926" t="str">
        <f t="shared" si="2962"/>
        <v>963100019</v>
      </c>
      <c r="G7926" t="str">
        <f>T("CHAPLAINS OFFICE")</f>
        <v>CHAPLAINS OFFICE</v>
      </c>
      <c r="H7926" t="str">
        <f>T("PSC 561 BOX 1879")</f>
        <v>PSC 561 BOX 1879</v>
      </c>
      <c r="I7926" t="str">
        <f t="shared" si="2959"/>
        <v>FPO</v>
      </c>
      <c r="J7926" t="str">
        <f t="shared" si="2960"/>
        <v>AP</v>
      </c>
      <c r="K7926" t="str">
        <f>T("3152534642")</f>
        <v>3152534642</v>
      </c>
      <c r="L7926" t="str">
        <f>T("3152536460")</f>
        <v>3152536460</v>
      </c>
    </row>
    <row r="7927" spans="1:12" x14ac:dyDescent="0.35">
      <c r="A7927" t="str">
        <f t="shared" si="2961"/>
        <v>USMS/MCAS IWAKUNI JAPAN</v>
      </c>
      <c r="B7927" t="str">
        <f>T("CHAPLAINS OFFICE")</f>
        <v>CHAPLAINS OFFICE</v>
      </c>
      <c r="C7927" t="str">
        <f>T("PSC 561 BOX 1879")</f>
        <v>PSC 561 BOX 1879</v>
      </c>
      <c r="D7927" t="str">
        <f t="shared" si="2957"/>
        <v>FPO</v>
      </c>
      <c r="E7927" t="str">
        <f t="shared" si="2958"/>
        <v>AP</v>
      </c>
      <c r="F7927" t="str">
        <f t="shared" si="2962"/>
        <v>963100019</v>
      </c>
      <c r="G7927" t="str">
        <f>T("PSC 561 BOX 1879")</f>
        <v>PSC 561 BOX 1879</v>
      </c>
      <c r="H7927" t="str">
        <f>T("")</f>
        <v/>
      </c>
      <c r="I7927" t="str">
        <f t="shared" si="2959"/>
        <v>FPO</v>
      </c>
      <c r="J7927" t="str">
        <f t="shared" si="2960"/>
        <v>AP</v>
      </c>
      <c r="K7927" t="str">
        <f>T("81827794393")</f>
        <v>81827794393</v>
      </c>
      <c r="L7927" t="str">
        <f>T("3152534393")</f>
        <v>3152534393</v>
      </c>
    </row>
    <row r="7928" spans="1:12" x14ac:dyDescent="0.35">
      <c r="A7928" t="str">
        <f t="shared" si="2961"/>
        <v>USMS/MCAS IWAKUNI JAPAN</v>
      </c>
      <c r="B7928" t="str">
        <f>T("FAC ENIRONMENTAL")</f>
        <v>FAC ENIRONMENTAL</v>
      </c>
      <c r="C7928" t="str">
        <f>T("PSC 561 BOX 1872")</f>
        <v>PSC 561 BOX 1872</v>
      </c>
      <c r="D7928" t="str">
        <f t="shared" si="2957"/>
        <v>FPO</v>
      </c>
      <c r="E7928" t="str">
        <f t="shared" si="2958"/>
        <v>AP</v>
      </c>
      <c r="F7928" t="str">
        <f t="shared" si="2962"/>
        <v>963100019</v>
      </c>
      <c r="G7928" t="str">
        <f>T("FAC ENIRONMENTAL")</f>
        <v>FAC ENIRONMENTAL</v>
      </c>
      <c r="H7928" t="str">
        <f>T("PSC 561 BOX 1872")</f>
        <v>PSC 561 BOX 1872</v>
      </c>
      <c r="I7928" t="str">
        <f t="shared" si="2959"/>
        <v>FPO</v>
      </c>
      <c r="J7928" t="str">
        <f t="shared" si="2960"/>
        <v>AP</v>
      </c>
      <c r="K7928" t="str">
        <f>T("3152536218")</f>
        <v>3152536218</v>
      </c>
      <c r="L7928" t="str">
        <f>T("3152535388")</f>
        <v>3152535388</v>
      </c>
    </row>
    <row r="7929" spans="1:12" x14ac:dyDescent="0.35">
      <c r="A7929" t="str">
        <f t="shared" si="2961"/>
        <v>USMS/MCAS IWAKUNI JAPAN</v>
      </c>
      <c r="B7929" t="str">
        <f>T("FACILITIES ADMIN")</f>
        <v>FACILITIES ADMIN</v>
      </c>
      <c r="C7929" t="str">
        <f t="shared" ref="C7929:C7941" si="2963">T("PSC 561 BOX 1871")</f>
        <v>PSC 561 BOX 1871</v>
      </c>
      <c r="D7929" t="str">
        <f t="shared" si="2957"/>
        <v>FPO</v>
      </c>
      <c r="E7929" t="str">
        <f t="shared" si="2958"/>
        <v>AP</v>
      </c>
      <c r="F7929" t="str">
        <f t="shared" si="2962"/>
        <v>963100019</v>
      </c>
      <c r="G7929" t="str">
        <f>T("ADMINISTRATION DIVISION")</f>
        <v>ADMINISTRATION DIVISION</v>
      </c>
      <c r="H7929" t="str">
        <f>T("PSC 561 BOX 1871")</f>
        <v>PSC 561 BOX 1871</v>
      </c>
      <c r="I7929" t="str">
        <f t="shared" si="2959"/>
        <v>FPO</v>
      </c>
      <c r="J7929" t="str">
        <f t="shared" si="2960"/>
        <v>AP</v>
      </c>
      <c r="K7929" t="str">
        <f>T("000000000000000000")</f>
        <v>000000000000000000</v>
      </c>
      <c r="L7929" t="str">
        <f>T("3152533922")</f>
        <v>3152533922</v>
      </c>
    </row>
    <row r="7930" spans="1:12" x14ac:dyDescent="0.35">
      <c r="A7930" t="str">
        <f t="shared" si="2961"/>
        <v>USMS/MCAS IWAKUNI JAPAN</v>
      </c>
      <c r="B7930" t="str">
        <f>T("FACILITIES ADMIN")</f>
        <v>FACILITIES ADMIN</v>
      </c>
      <c r="C7930" t="str">
        <f t="shared" si="2963"/>
        <v>PSC 561 BOX 1871</v>
      </c>
      <c r="D7930" t="str">
        <f t="shared" si="2957"/>
        <v>FPO</v>
      </c>
      <c r="E7930" t="str">
        <f t="shared" si="2958"/>
        <v>AP</v>
      </c>
      <c r="F7930" t="str">
        <f t="shared" si="2962"/>
        <v>963100019</v>
      </c>
      <c r="G7930" t="str">
        <f>T("FACILITIES ADMIN")</f>
        <v>FACILITIES ADMIN</v>
      </c>
      <c r="H7930" t="str">
        <f>T("PSC 561 BOX 1871")</f>
        <v>PSC 561 BOX 1871</v>
      </c>
      <c r="I7930" t="str">
        <f t="shared" si="2959"/>
        <v>FPO</v>
      </c>
      <c r="J7930" t="str">
        <f t="shared" si="2960"/>
        <v>AP</v>
      </c>
      <c r="K7930" t="str">
        <f>T("3152534594")</f>
        <v>3152534594</v>
      </c>
      <c r="L7930" t="str">
        <f>T("1111111111")</f>
        <v>1111111111</v>
      </c>
    </row>
    <row r="7931" spans="1:12" x14ac:dyDescent="0.35">
      <c r="A7931" t="str">
        <f t="shared" si="2961"/>
        <v>USMS/MCAS IWAKUNI JAPAN</v>
      </c>
      <c r="B7931" t="str">
        <f>T("FACILITIES DEPT UTILITIES DIV")</f>
        <v>FACILITIES DEPT UTILITIES DIV</v>
      </c>
      <c r="C7931" t="str">
        <f t="shared" si="2963"/>
        <v>PSC 561 BOX 1871</v>
      </c>
      <c r="D7931" t="str">
        <f t="shared" si="2957"/>
        <v>FPO</v>
      </c>
      <c r="E7931" t="str">
        <f t="shared" si="2958"/>
        <v>AP</v>
      </c>
      <c r="F7931" t="str">
        <f t="shared" si="2962"/>
        <v>963100019</v>
      </c>
      <c r="G7931" t="str">
        <f>T("FACILITIES DEPT UTILITIES DIV")</f>
        <v>FACILITIES DEPT UTILITIES DIV</v>
      </c>
      <c r="H7931" t="str">
        <f>T("PSC 561 BOX 1871")</f>
        <v>PSC 561 BOX 1871</v>
      </c>
      <c r="I7931" t="str">
        <f t="shared" si="2959"/>
        <v>FPO</v>
      </c>
      <c r="J7931" t="str">
        <f t="shared" si="2960"/>
        <v>AP</v>
      </c>
      <c r="K7931" t="str">
        <f>T("3152533479")</f>
        <v>3152533479</v>
      </c>
      <c r="L7931" t="str">
        <f>T("3152534556")</f>
        <v>3152534556</v>
      </c>
    </row>
    <row r="7932" spans="1:12" x14ac:dyDescent="0.35">
      <c r="A7932" t="str">
        <f t="shared" si="2961"/>
        <v>USMS/MCAS IWAKUNI JAPAN</v>
      </c>
      <c r="B7932" t="str">
        <f>T("FACILITIES DEPT UTILITIES DIV")</f>
        <v>FACILITIES DEPT UTILITIES DIV</v>
      </c>
      <c r="C7932" t="str">
        <f t="shared" si="2963"/>
        <v>PSC 561 BOX 1871</v>
      </c>
      <c r="D7932" t="str">
        <f t="shared" si="2957"/>
        <v>FPO</v>
      </c>
      <c r="E7932" t="str">
        <f t="shared" si="2958"/>
        <v>AP</v>
      </c>
      <c r="F7932" t="str">
        <f t="shared" si="2962"/>
        <v>963100019</v>
      </c>
      <c r="G7932" t="str">
        <f>T("PSC 561 BOX 1871")</f>
        <v>PSC 561 BOX 1871</v>
      </c>
      <c r="H7932" t="str">
        <f>T("")</f>
        <v/>
      </c>
      <c r="I7932" t="str">
        <f t="shared" si="2959"/>
        <v>FPO</v>
      </c>
      <c r="J7932" t="str">
        <f t="shared" si="2960"/>
        <v>AP</v>
      </c>
      <c r="K7932" t="str">
        <f>T("01181827793044")</f>
        <v>01181827793044</v>
      </c>
      <c r="L7932" t="str">
        <f>T("1111111111")</f>
        <v>1111111111</v>
      </c>
    </row>
    <row r="7933" spans="1:12" x14ac:dyDescent="0.35">
      <c r="A7933" t="str">
        <f t="shared" si="2961"/>
        <v>USMS/MCAS IWAKUNI JAPAN</v>
      </c>
      <c r="B7933" t="str">
        <f>T("FACILITIES DEPT UTILITIES DIV")</f>
        <v>FACILITIES DEPT UTILITIES DIV</v>
      </c>
      <c r="C7933" t="str">
        <f t="shared" si="2963"/>
        <v>PSC 561 BOX 1871</v>
      </c>
      <c r="D7933" t="str">
        <f t="shared" si="2957"/>
        <v>FPO</v>
      </c>
      <c r="E7933" t="str">
        <f t="shared" si="2958"/>
        <v>AP</v>
      </c>
      <c r="F7933" t="str">
        <f t="shared" si="2962"/>
        <v>963100019</v>
      </c>
      <c r="G7933" t="str">
        <f>T("UTILITIES DIVISION")</f>
        <v>UTILITIES DIVISION</v>
      </c>
      <c r="H7933" t="str">
        <f>T("PSC 561 BOX 1871")</f>
        <v>PSC 561 BOX 1871</v>
      </c>
      <c r="I7933" t="str">
        <f t="shared" si="2959"/>
        <v>FPO</v>
      </c>
      <c r="J7933" t="str">
        <f t="shared" si="2960"/>
        <v>AP</v>
      </c>
      <c r="K7933" t="str">
        <f>T("01181827793479")</f>
        <v>01181827793479</v>
      </c>
      <c r="L7933" t="str">
        <f>T("3152533044")</f>
        <v>3152533044</v>
      </c>
    </row>
    <row r="7934" spans="1:12" x14ac:dyDescent="0.35">
      <c r="A7934" t="str">
        <f t="shared" si="2961"/>
        <v>USMS/MCAS IWAKUNI JAPAN</v>
      </c>
      <c r="B7934" t="str">
        <f t="shared" ref="B7934:B7939" si="2964">T("FACILITIES MAINTENANCE")</f>
        <v>FACILITIES MAINTENANCE</v>
      </c>
      <c r="C7934" t="str">
        <f t="shared" si="2963"/>
        <v>PSC 561 BOX 1871</v>
      </c>
      <c r="D7934" t="str">
        <f t="shared" si="2957"/>
        <v>FPO</v>
      </c>
      <c r="E7934" t="str">
        <f t="shared" si="2958"/>
        <v>AP</v>
      </c>
      <c r="F7934" t="str">
        <f t="shared" si="2962"/>
        <v>963100019</v>
      </c>
      <c r="G7934" t="str">
        <f>T("FACILITIES DEPT ATTN MCD")</f>
        <v>FACILITIES DEPT ATTN MCD</v>
      </c>
      <c r="H7934" t="str">
        <f>T("PSC 561 BOX 1871")</f>
        <v>PSC 561 BOX 1871</v>
      </c>
      <c r="I7934" t="str">
        <f t="shared" si="2959"/>
        <v>FPO</v>
      </c>
      <c r="J7934" t="str">
        <f t="shared" si="2960"/>
        <v>AP</v>
      </c>
      <c r="K7934" t="str">
        <f>T("3152535155")</f>
        <v>3152535155</v>
      </c>
      <c r="L7934" t="str">
        <f>T("3152534587")</f>
        <v>3152534587</v>
      </c>
    </row>
    <row r="7935" spans="1:12" x14ac:dyDescent="0.35">
      <c r="A7935" t="str">
        <f t="shared" si="2961"/>
        <v>USMS/MCAS IWAKUNI JAPAN</v>
      </c>
      <c r="B7935" t="str">
        <f t="shared" si="2964"/>
        <v>FACILITIES MAINTENANCE</v>
      </c>
      <c r="C7935" t="str">
        <f t="shared" si="2963"/>
        <v>PSC 561 BOX 1871</v>
      </c>
      <c r="D7935" t="str">
        <f t="shared" si="2957"/>
        <v>FPO</v>
      </c>
      <c r="E7935" t="str">
        <f t="shared" si="2958"/>
        <v>AP</v>
      </c>
      <c r="F7935" t="str">
        <f t="shared" si="2962"/>
        <v>963100019</v>
      </c>
      <c r="G7935" t="str">
        <f>T("FACILITIES MAINTENANCE")</f>
        <v>FACILITIES MAINTENANCE</v>
      </c>
      <c r="H7935" t="str">
        <f>T("PSC 561 BOX 1871")</f>
        <v>PSC 561 BOX 1871</v>
      </c>
      <c r="I7935" t="str">
        <f t="shared" si="2959"/>
        <v>FPO</v>
      </c>
      <c r="J7935" t="str">
        <f t="shared" si="2960"/>
        <v>AP</v>
      </c>
      <c r="K7935" t="str">
        <f>T("")</f>
        <v/>
      </c>
      <c r="L7935" t="str">
        <f>T("1111111111")</f>
        <v>1111111111</v>
      </c>
    </row>
    <row r="7936" spans="1:12" x14ac:dyDescent="0.35">
      <c r="A7936" t="str">
        <f t="shared" si="2961"/>
        <v>USMS/MCAS IWAKUNI JAPAN</v>
      </c>
      <c r="B7936" t="str">
        <f t="shared" si="2964"/>
        <v>FACILITIES MAINTENANCE</v>
      </c>
      <c r="C7936" t="str">
        <f t="shared" si="2963"/>
        <v>PSC 561 BOX 1871</v>
      </c>
      <c r="D7936" t="str">
        <f t="shared" si="2957"/>
        <v>FPO</v>
      </c>
      <c r="E7936" t="str">
        <f t="shared" si="2958"/>
        <v>AP</v>
      </c>
      <c r="F7936" t="str">
        <f t="shared" si="2962"/>
        <v>963100019</v>
      </c>
      <c r="G7936" t="str">
        <f>T("MAINTENANCE DIVISION")</f>
        <v>MAINTENANCE DIVISION</v>
      </c>
      <c r="H7936" t="str">
        <f>T("PSC 561 BOX 1872")</f>
        <v>PSC 561 BOX 1872</v>
      </c>
      <c r="I7936" t="str">
        <f t="shared" si="2959"/>
        <v>FPO</v>
      </c>
      <c r="J7936" t="str">
        <f t="shared" si="2960"/>
        <v>AP</v>
      </c>
      <c r="K7936" t="str">
        <f>T("000000000000000000")</f>
        <v>000000000000000000</v>
      </c>
      <c r="L7936" t="str">
        <f>T("3152536660")</f>
        <v>3152536660</v>
      </c>
    </row>
    <row r="7937" spans="1:12" x14ac:dyDescent="0.35">
      <c r="A7937" t="str">
        <f t="shared" si="2961"/>
        <v>USMS/MCAS IWAKUNI JAPAN</v>
      </c>
      <c r="B7937" t="str">
        <f t="shared" si="2964"/>
        <v>FACILITIES MAINTENANCE</v>
      </c>
      <c r="C7937" t="str">
        <f t="shared" si="2963"/>
        <v>PSC 561 BOX 1871</v>
      </c>
      <c r="D7937" t="str">
        <f t="shared" si="2957"/>
        <v>FPO</v>
      </c>
      <c r="E7937" t="str">
        <f t="shared" si="2958"/>
        <v>AP</v>
      </c>
      <c r="F7937" t="str">
        <f t="shared" si="2962"/>
        <v>963100019</v>
      </c>
      <c r="G7937" t="str">
        <f>T("MAINTENANCE DIVISION")</f>
        <v>MAINTENANCE DIVISION</v>
      </c>
      <c r="H7937" t="str">
        <f>T("PSC 561 BOX 1872")</f>
        <v>PSC 561 BOX 1872</v>
      </c>
      <c r="I7937" t="str">
        <f t="shared" si="2959"/>
        <v>FPO</v>
      </c>
      <c r="J7937" t="str">
        <f t="shared" si="2960"/>
        <v>AP</v>
      </c>
      <c r="K7937" t="str">
        <f>T("000000000000000000")</f>
        <v>000000000000000000</v>
      </c>
      <c r="L7937" t="str">
        <f>T("3152536698")</f>
        <v>3152536698</v>
      </c>
    </row>
    <row r="7938" spans="1:12" x14ac:dyDescent="0.35">
      <c r="A7938" t="str">
        <f t="shared" si="2961"/>
        <v>USMS/MCAS IWAKUNI JAPAN</v>
      </c>
      <c r="B7938" t="str">
        <f t="shared" si="2964"/>
        <v>FACILITIES MAINTENANCE</v>
      </c>
      <c r="C7938" t="str">
        <f t="shared" si="2963"/>
        <v>PSC 561 BOX 1871</v>
      </c>
      <c r="D7938" t="str">
        <f t="shared" si="2957"/>
        <v>FPO</v>
      </c>
      <c r="E7938" t="str">
        <f t="shared" si="2958"/>
        <v>AP</v>
      </c>
      <c r="F7938" t="str">
        <f t="shared" si="2962"/>
        <v>963100019</v>
      </c>
      <c r="G7938" t="str">
        <f>T("PSC 561 BOX 1871")</f>
        <v>PSC 561 BOX 1871</v>
      </c>
      <c r="H7938" t="str">
        <f>T("")</f>
        <v/>
      </c>
      <c r="I7938" t="str">
        <f t="shared" si="2959"/>
        <v>FPO</v>
      </c>
      <c r="J7938" t="str">
        <f t="shared" si="2960"/>
        <v>AP</v>
      </c>
      <c r="K7938" t="str">
        <f>T("01181827796887")</f>
        <v>01181827796887</v>
      </c>
      <c r="L7938" t="str">
        <f>T("3152536887")</f>
        <v>3152536887</v>
      </c>
    </row>
    <row r="7939" spans="1:12" x14ac:dyDescent="0.35">
      <c r="A7939" t="str">
        <f t="shared" si="2961"/>
        <v>USMS/MCAS IWAKUNI JAPAN</v>
      </c>
      <c r="B7939" t="str">
        <f t="shared" si="2964"/>
        <v>FACILITIES MAINTENANCE</v>
      </c>
      <c r="C7939" t="str">
        <f t="shared" si="2963"/>
        <v>PSC 561 BOX 1871</v>
      </c>
      <c r="D7939" t="str">
        <f t="shared" si="2957"/>
        <v>FPO</v>
      </c>
      <c r="E7939" t="str">
        <f t="shared" si="2958"/>
        <v>AP</v>
      </c>
      <c r="F7939" t="str">
        <f t="shared" si="2962"/>
        <v>963100019</v>
      </c>
      <c r="G7939" t="str">
        <f>T("PSC 561 BOX 1872")</f>
        <v>PSC 561 BOX 1872</v>
      </c>
      <c r="H7939" t="str">
        <f>T("FACILITIES MAINTENANCE")</f>
        <v>FACILITIES MAINTENANCE</v>
      </c>
      <c r="I7939" t="str">
        <f t="shared" si="2959"/>
        <v>FPO</v>
      </c>
      <c r="J7939" t="str">
        <f t="shared" si="2960"/>
        <v>AP</v>
      </c>
      <c r="K7939" t="str">
        <f>T("000000000000000000")</f>
        <v>000000000000000000</v>
      </c>
      <c r="L7939" t="str">
        <f>T("3152536151")</f>
        <v>3152536151</v>
      </c>
    </row>
    <row r="7940" spans="1:12" x14ac:dyDescent="0.35">
      <c r="A7940" t="str">
        <f t="shared" si="2961"/>
        <v>USMS/MCAS IWAKUNI JAPAN</v>
      </c>
      <c r="B7940" t="str">
        <f>T("FACILITIES OPERATIONS")</f>
        <v>FACILITIES OPERATIONS</v>
      </c>
      <c r="C7940" t="str">
        <f t="shared" si="2963"/>
        <v>PSC 561 BOX 1871</v>
      </c>
      <c r="D7940" t="str">
        <f t="shared" si="2957"/>
        <v>FPO</v>
      </c>
      <c r="E7940" t="str">
        <f t="shared" si="2958"/>
        <v>AP</v>
      </c>
      <c r="F7940" t="str">
        <f t="shared" si="2962"/>
        <v>963100019</v>
      </c>
      <c r="G7940" t="str">
        <f>T("FAC DEPT OPERATIONS DIV")</f>
        <v>FAC DEPT OPERATIONS DIV</v>
      </c>
      <c r="H7940" t="str">
        <f>T("PSC 561 BOX 1871")</f>
        <v>PSC 561 BOX 1871</v>
      </c>
      <c r="I7940" t="str">
        <f t="shared" si="2959"/>
        <v>FPO</v>
      </c>
      <c r="J7940" t="str">
        <f t="shared" si="2960"/>
        <v>AP</v>
      </c>
      <c r="K7940" t="str">
        <f>T("000000000000000000")</f>
        <v>000000000000000000</v>
      </c>
      <c r="L7940" t="str">
        <f>T("3152533901")</f>
        <v>3152533901</v>
      </c>
    </row>
    <row r="7941" spans="1:12" x14ac:dyDescent="0.35">
      <c r="A7941" t="str">
        <f t="shared" si="2961"/>
        <v>USMS/MCAS IWAKUNI JAPAN</v>
      </c>
      <c r="B7941" t="str">
        <f>T("FACILITIES OPERATIONS")</f>
        <v>FACILITIES OPERATIONS</v>
      </c>
      <c r="C7941" t="str">
        <f t="shared" si="2963"/>
        <v>PSC 561 BOX 1871</v>
      </c>
      <c r="D7941" t="str">
        <f t="shared" si="2957"/>
        <v>FPO</v>
      </c>
      <c r="E7941" t="str">
        <f t="shared" si="2958"/>
        <v>AP</v>
      </c>
      <c r="F7941" t="str">
        <f t="shared" si="2962"/>
        <v>963100019</v>
      </c>
      <c r="G7941" t="str">
        <f>T("FACILITIES OPERATIONS")</f>
        <v>FACILITIES OPERATIONS</v>
      </c>
      <c r="H7941" t="str">
        <f>T("PSC 561 BOX 1871")</f>
        <v>PSC 561 BOX 1871</v>
      </c>
      <c r="I7941" t="str">
        <f t="shared" si="2959"/>
        <v>FPO</v>
      </c>
      <c r="J7941" t="str">
        <f t="shared" si="2960"/>
        <v>AP</v>
      </c>
      <c r="K7941" t="str">
        <f>T("")</f>
        <v/>
      </c>
      <c r="L7941" t="str">
        <f>T("1111111111")</f>
        <v>1111111111</v>
      </c>
    </row>
    <row r="7942" spans="1:12" x14ac:dyDescent="0.35">
      <c r="A7942" t="str">
        <f t="shared" si="2961"/>
        <v>USMS/MCAS IWAKUNI JAPAN</v>
      </c>
      <c r="B7942" t="str">
        <f>T("FSD")</f>
        <v>FSD</v>
      </c>
      <c r="C7942" t="str">
        <f>T("PSC 561 BOX 1882")</f>
        <v>PSC 561 BOX 1882</v>
      </c>
      <c r="D7942" t="str">
        <f t="shared" si="2957"/>
        <v>FPO</v>
      </c>
      <c r="E7942" t="str">
        <f t="shared" si="2958"/>
        <v>AP</v>
      </c>
      <c r="F7942" t="str">
        <f t="shared" si="2962"/>
        <v>963100019</v>
      </c>
      <c r="G7942" t="str">
        <f>T("FSD")</f>
        <v>FSD</v>
      </c>
      <c r="H7942" t="str">
        <f>T("PSC 561 BOX 1882")</f>
        <v>PSC 561 BOX 1882</v>
      </c>
      <c r="I7942" t="str">
        <f t="shared" si="2959"/>
        <v>FPO</v>
      </c>
      <c r="J7942" t="str">
        <f t="shared" si="2960"/>
        <v>AP</v>
      </c>
      <c r="K7942" t="str">
        <f>T("00181827794672")</f>
        <v>00181827794672</v>
      </c>
      <c r="L7942" t="str">
        <f>T("3152536341")</f>
        <v>3152536341</v>
      </c>
    </row>
    <row r="7943" spans="1:12" x14ac:dyDescent="0.35">
      <c r="A7943" t="str">
        <f t="shared" si="2961"/>
        <v>USMS/MCAS IWAKUNI JAPAN</v>
      </c>
      <c r="B7943" t="str">
        <f>T("FSD")</f>
        <v>FSD</v>
      </c>
      <c r="C7943" t="str">
        <f>T("PSC 561 BOX 1882")</f>
        <v>PSC 561 BOX 1882</v>
      </c>
      <c r="D7943" t="str">
        <f t="shared" si="2957"/>
        <v>FPO</v>
      </c>
      <c r="E7943" t="str">
        <f t="shared" si="2958"/>
        <v>AP</v>
      </c>
      <c r="F7943" t="str">
        <f t="shared" si="2962"/>
        <v>963100019</v>
      </c>
      <c r="G7943" t="str">
        <f>T("PSC 561")</f>
        <v>PSC 561</v>
      </c>
      <c r="H7943" t="str">
        <f>T("BOX 1882")</f>
        <v>BOX 1882</v>
      </c>
      <c r="I7943" t="str">
        <f t="shared" si="2959"/>
        <v>FPO</v>
      </c>
      <c r="J7943" t="str">
        <f t="shared" si="2960"/>
        <v>AP</v>
      </c>
      <c r="K7943" t="str">
        <f>T("000000000000000000")</f>
        <v>000000000000000000</v>
      </c>
      <c r="L7943" t="str">
        <f>T("3152533903")</f>
        <v>3152533903</v>
      </c>
    </row>
    <row r="7944" spans="1:12" x14ac:dyDescent="0.35">
      <c r="A7944" t="str">
        <f t="shared" si="2961"/>
        <v>USMS/MCAS IWAKUNI JAPAN</v>
      </c>
      <c r="B7944" t="str">
        <f>T("FSD")</f>
        <v>FSD</v>
      </c>
      <c r="C7944" t="str">
        <f>T("PSC 561 BOX 1882")</f>
        <v>PSC 561 BOX 1882</v>
      </c>
      <c r="D7944" t="str">
        <f t="shared" si="2957"/>
        <v>FPO</v>
      </c>
      <c r="E7944" t="str">
        <f t="shared" si="2958"/>
        <v>AP</v>
      </c>
      <c r="F7944" t="str">
        <f t="shared" si="2962"/>
        <v>963100019</v>
      </c>
      <c r="G7944" t="str">
        <f>T("PSC 561 BOX 1882")</f>
        <v>PSC 561 BOX 1882</v>
      </c>
      <c r="H7944" t="str">
        <f>T("")</f>
        <v/>
      </c>
      <c r="I7944" t="str">
        <f t="shared" si="2959"/>
        <v>FPO</v>
      </c>
      <c r="J7944" t="str">
        <f t="shared" si="2960"/>
        <v>AP</v>
      </c>
      <c r="K7944" t="str">
        <f>T("01181827794720")</f>
        <v>01181827794720</v>
      </c>
      <c r="L7944" t="str">
        <f>T("1111111111")</f>
        <v>1111111111</v>
      </c>
    </row>
    <row r="7945" spans="1:12" x14ac:dyDescent="0.35">
      <c r="A7945" t="str">
        <f t="shared" si="2961"/>
        <v>USMS/MCAS IWAKUNI JAPAN</v>
      </c>
      <c r="B7945" t="str">
        <f>T("HAZMAT CENTER")</f>
        <v>HAZMAT CENTER</v>
      </c>
      <c r="C7945" t="str">
        <f>T("PSC 561 BOX 1872")</f>
        <v>PSC 561 BOX 1872</v>
      </c>
      <c r="D7945" t="str">
        <f t="shared" si="2957"/>
        <v>FPO</v>
      </c>
      <c r="E7945" t="str">
        <f t="shared" si="2958"/>
        <v>AP</v>
      </c>
      <c r="F7945" t="str">
        <f t="shared" si="2962"/>
        <v>963100019</v>
      </c>
      <c r="G7945" t="str">
        <f>T("HAZMAT CENTER")</f>
        <v>HAZMAT CENTER</v>
      </c>
      <c r="H7945" t="str">
        <f>T("PSC 561 BOX 1872")</f>
        <v>PSC 561 BOX 1872</v>
      </c>
      <c r="I7945" t="str">
        <f t="shared" si="2959"/>
        <v>FPO</v>
      </c>
      <c r="J7945" t="str">
        <f t="shared" si="2960"/>
        <v>AP</v>
      </c>
      <c r="K7945" t="str">
        <f>T("")</f>
        <v/>
      </c>
      <c r="L7945" t="str">
        <f>T("1111111111")</f>
        <v>1111111111</v>
      </c>
    </row>
    <row r="7946" spans="1:12" x14ac:dyDescent="0.35">
      <c r="A7946" t="str">
        <f t="shared" si="2961"/>
        <v>USMS/MCAS IWAKUNI JAPAN</v>
      </c>
      <c r="B7946" t="str">
        <f>T("HAZMAT CENTER")</f>
        <v>HAZMAT CENTER</v>
      </c>
      <c r="C7946" t="str">
        <f>T("PSC 561 BOX 1872")</f>
        <v>PSC 561 BOX 1872</v>
      </c>
      <c r="D7946" t="str">
        <f t="shared" si="2957"/>
        <v>FPO</v>
      </c>
      <c r="E7946" t="str">
        <f t="shared" si="2958"/>
        <v>AP</v>
      </c>
      <c r="F7946" t="str">
        <f t="shared" si="2962"/>
        <v>963100019</v>
      </c>
      <c r="G7946" t="str">
        <f>T("PSC 561 BOX 1872")</f>
        <v>PSC 561 BOX 1872</v>
      </c>
      <c r="H7946" t="str">
        <f>T("")</f>
        <v/>
      </c>
      <c r="I7946" t="str">
        <f t="shared" si="2959"/>
        <v>FPO</v>
      </c>
      <c r="J7946" t="str">
        <f t="shared" si="2960"/>
        <v>AP</v>
      </c>
      <c r="K7946" t="str">
        <f>T("000000000000000000")</f>
        <v>000000000000000000</v>
      </c>
      <c r="L7946" t="str">
        <f>T("3152534461")</f>
        <v>3152534461</v>
      </c>
    </row>
    <row r="7947" spans="1:12" x14ac:dyDescent="0.35">
      <c r="A7947" t="str">
        <f t="shared" si="2961"/>
        <v>USMS/MCAS IWAKUNI JAPAN</v>
      </c>
      <c r="B7947" t="str">
        <f>T("HAZMAT CENTER")</f>
        <v>HAZMAT CENTER</v>
      </c>
      <c r="C7947" t="str">
        <f>T("PSC 561 BOX 1872")</f>
        <v>PSC 561 BOX 1872</v>
      </c>
      <c r="D7947" t="str">
        <f t="shared" si="2957"/>
        <v>FPO</v>
      </c>
      <c r="E7947" t="str">
        <f t="shared" si="2958"/>
        <v>AP</v>
      </c>
      <c r="F7947" t="str">
        <f t="shared" si="2962"/>
        <v>963100019</v>
      </c>
      <c r="G7947" t="str">
        <f>T("PSC 561 BOX 1872")</f>
        <v>PSC 561 BOX 1872</v>
      </c>
      <c r="H7947" t="str">
        <f>T("")</f>
        <v/>
      </c>
      <c r="I7947" t="str">
        <f t="shared" si="2959"/>
        <v>FPO</v>
      </c>
      <c r="J7947" t="str">
        <f t="shared" si="2960"/>
        <v>AP</v>
      </c>
      <c r="K7947" t="str">
        <f>T("81827793396")</f>
        <v>81827793396</v>
      </c>
      <c r="L7947" t="str">
        <f>T("1111111111")</f>
        <v>1111111111</v>
      </c>
    </row>
    <row r="7948" spans="1:12" x14ac:dyDescent="0.35">
      <c r="A7948" t="str">
        <f t="shared" si="2961"/>
        <v>USMS/MCAS IWAKUNI JAPAN</v>
      </c>
      <c r="B7948" t="str">
        <f>T("HHS ADMIN")</f>
        <v>HHS ADMIN</v>
      </c>
      <c r="C7948" t="str">
        <f>T("PSC 561 BOX 1862")</f>
        <v>PSC 561 BOX 1862</v>
      </c>
      <c r="D7948" t="str">
        <f t="shared" si="2957"/>
        <v>FPO</v>
      </c>
      <c r="E7948" t="str">
        <f t="shared" si="2958"/>
        <v>AP</v>
      </c>
      <c r="F7948" t="str">
        <f t="shared" si="2962"/>
        <v>963100019</v>
      </c>
      <c r="G7948" t="str">
        <f>T("HHS ADMIN")</f>
        <v>HHS ADMIN</v>
      </c>
      <c r="H7948" t="str">
        <f>T("PSC 561 BOX 1862")</f>
        <v>PSC 561 BOX 1862</v>
      </c>
      <c r="I7948" t="str">
        <f t="shared" si="2959"/>
        <v>FPO</v>
      </c>
      <c r="J7948" t="str">
        <f t="shared" si="2960"/>
        <v>AP</v>
      </c>
      <c r="K7948" t="str">
        <f>T("3152535100")</f>
        <v>3152535100</v>
      </c>
      <c r="L7948" t="str">
        <f>T("3152535143")</f>
        <v>3152535143</v>
      </c>
    </row>
    <row r="7949" spans="1:12" x14ac:dyDescent="0.35">
      <c r="A7949" t="str">
        <f t="shared" si="2961"/>
        <v>USMS/MCAS IWAKUNI JAPAN</v>
      </c>
      <c r="B7949" t="str">
        <f>T("ISMO")</f>
        <v>ISMO</v>
      </c>
      <c r="C7949" t="str">
        <f>T("PSC 561 BOX 1896")</f>
        <v>PSC 561 BOX 1896</v>
      </c>
      <c r="D7949" t="str">
        <f t="shared" si="2957"/>
        <v>FPO</v>
      </c>
      <c r="E7949" t="str">
        <f t="shared" si="2958"/>
        <v>AP</v>
      </c>
      <c r="F7949" t="str">
        <f t="shared" si="2962"/>
        <v>963100019</v>
      </c>
      <c r="G7949" t="str">
        <f>T("INFORMATION SYS MGMT OFC")</f>
        <v>INFORMATION SYS MGMT OFC</v>
      </c>
      <c r="H7949" t="str">
        <f>T("PSC 561 BOX 1896")</f>
        <v>PSC 561 BOX 1896</v>
      </c>
      <c r="I7949" t="str">
        <f t="shared" si="2959"/>
        <v>FPO</v>
      </c>
      <c r="J7949" t="str">
        <f t="shared" si="2960"/>
        <v>AP</v>
      </c>
      <c r="K7949" t="str">
        <f>T("000000000000000000")</f>
        <v>000000000000000000</v>
      </c>
      <c r="L7949" t="str">
        <f>T("3152535539")</f>
        <v>3152535539</v>
      </c>
    </row>
    <row r="7950" spans="1:12" x14ac:dyDescent="0.35">
      <c r="A7950" t="str">
        <f t="shared" si="2961"/>
        <v>USMS/MCAS IWAKUNI JAPAN</v>
      </c>
      <c r="B7950" t="str">
        <f>T("ISMO")</f>
        <v>ISMO</v>
      </c>
      <c r="C7950" t="str">
        <f>T("PSC 561 BOX 1896")</f>
        <v>PSC 561 BOX 1896</v>
      </c>
      <c r="D7950" t="str">
        <f t="shared" si="2957"/>
        <v>FPO</v>
      </c>
      <c r="E7950" t="str">
        <f t="shared" si="2958"/>
        <v>AP</v>
      </c>
      <c r="F7950" t="str">
        <f t="shared" si="2962"/>
        <v>963100019</v>
      </c>
      <c r="G7950" t="str">
        <f>T("ISMO")</f>
        <v>ISMO</v>
      </c>
      <c r="H7950" t="str">
        <f>T("PSC 561 BOX 1896")</f>
        <v>PSC 561 BOX 1896</v>
      </c>
      <c r="I7950" t="str">
        <f t="shared" si="2959"/>
        <v>FPO</v>
      </c>
      <c r="J7950" t="str">
        <f t="shared" si="2960"/>
        <v>AP</v>
      </c>
      <c r="K7950" t="str">
        <f>T("3152536606")</f>
        <v>3152536606</v>
      </c>
      <c r="L7950" t="str">
        <f>T("3152536098")</f>
        <v>3152536098</v>
      </c>
    </row>
    <row r="7951" spans="1:12" x14ac:dyDescent="0.35">
      <c r="A7951" t="str">
        <f t="shared" si="2961"/>
        <v>USMS/MCAS IWAKUNI JAPAN</v>
      </c>
      <c r="B7951" t="str">
        <f t="shared" ref="B7951:B7956" si="2965">T("LOGISTICS CONTRACTING")</f>
        <v>LOGISTICS CONTRACTING</v>
      </c>
      <c r="C7951" t="str">
        <f t="shared" ref="C7951:C7962" si="2966">T("PSC 561 BOX 1872")</f>
        <v>PSC 561 BOX 1872</v>
      </c>
      <c r="D7951" t="str">
        <f t="shared" si="2957"/>
        <v>FPO</v>
      </c>
      <c r="E7951" t="str">
        <f t="shared" si="2958"/>
        <v>AP</v>
      </c>
      <c r="F7951" t="str">
        <f t="shared" si="2962"/>
        <v>963100019</v>
      </c>
      <c r="G7951" t="str">
        <f>T("LOGISTICS CONTRACTING")</f>
        <v>LOGISTICS CONTRACTING</v>
      </c>
      <c r="H7951" t="str">
        <f>T("PSC 561 BOX 1872")</f>
        <v>PSC 561 BOX 1872</v>
      </c>
      <c r="I7951" t="str">
        <f t="shared" si="2959"/>
        <v>FPO</v>
      </c>
      <c r="J7951" t="str">
        <f t="shared" si="2960"/>
        <v>AP</v>
      </c>
      <c r="K7951" t="str">
        <f>T("3152536085")</f>
        <v>3152536085</v>
      </c>
      <c r="L7951" t="str">
        <f>T("3152534084")</f>
        <v>3152534084</v>
      </c>
    </row>
    <row r="7952" spans="1:12" x14ac:dyDescent="0.35">
      <c r="A7952" t="str">
        <f t="shared" si="2961"/>
        <v>USMS/MCAS IWAKUNI JAPAN</v>
      </c>
      <c r="B7952" t="str">
        <f t="shared" si="2965"/>
        <v>LOGISTICS CONTRACTING</v>
      </c>
      <c r="C7952" t="str">
        <f t="shared" si="2966"/>
        <v>PSC 561 BOX 1872</v>
      </c>
      <c r="D7952" t="str">
        <f t="shared" si="2957"/>
        <v>FPO</v>
      </c>
      <c r="E7952" t="str">
        <f t="shared" si="2958"/>
        <v>AP</v>
      </c>
      <c r="F7952" t="str">
        <f t="shared" si="2962"/>
        <v>963100019</v>
      </c>
      <c r="G7952" t="str">
        <f>T("PSC 561 BOX 1872")</f>
        <v>PSC 561 BOX 1872</v>
      </c>
      <c r="H7952" t="str">
        <f>T("")</f>
        <v/>
      </c>
      <c r="I7952" t="str">
        <f t="shared" si="2959"/>
        <v>FPO</v>
      </c>
      <c r="J7952" t="str">
        <f t="shared" si="2960"/>
        <v>AP</v>
      </c>
      <c r="K7952" t="str">
        <f>T("000000000000000000")</f>
        <v>000000000000000000</v>
      </c>
      <c r="L7952" t="str">
        <f>T("1111111111")</f>
        <v>1111111111</v>
      </c>
    </row>
    <row r="7953" spans="1:12" x14ac:dyDescent="0.35">
      <c r="A7953" t="str">
        <f t="shared" si="2961"/>
        <v>USMS/MCAS IWAKUNI JAPAN</v>
      </c>
      <c r="B7953" t="str">
        <f t="shared" si="2965"/>
        <v>LOGISTICS CONTRACTING</v>
      </c>
      <c r="C7953" t="str">
        <f t="shared" si="2966"/>
        <v>PSC 561 BOX 1872</v>
      </c>
      <c r="D7953" t="str">
        <f t="shared" ref="D7953:D7984" si="2967">T("FPO")</f>
        <v>FPO</v>
      </c>
      <c r="E7953" t="str">
        <f t="shared" ref="E7953:E7984" si="2968">T("AP")</f>
        <v>AP</v>
      </c>
      <c r="F7953" t="str">
        <f t="shared" si="2962"/>
        <v>963100019</v>
      </c>
      <c r="G7953" t="str">
        <f>T("PSC 561 BOX 1872")</f>
        <v>PSC 561 BOX 1872</v>
      </c>
      <c r="H7953" t="str">
        <f>T("")</f>
        <v/>
      </c>
      <c r="I7953" t="str">
        <f t="shared" ref="I7953:I7984" si="2969">T("FPO")</f>
        <v>FPO</v>
      </c>
      <c r="J7953" t="str">
        <f t="shared" ref="J7953:J7984" si="2970">T("AP")</f>
        <v>AP</v>
      </c>
      <c r="K7953" t="str">
        <f>T("01181827793939")</f>
        <v>01181827793939</v>
      </c>
      <c r="L7953" t="str">
        <f>T("1111111111")</f>
        <v>1111111111</v>
      </c>
    </row>
    <row r="7954" spans="1:12" x14ac:dyDescent="0.35">
      <c r="A7954" t="str">
        <f t="shared" ref="A7954:A7985" si="2971">T("USMS/MCAS IWAKUNI JAPAN")</f>
        <v>USMS/MCAS IWAKUNI JAPAN</v>
      </c>
      <c r="B7954" t="str">
        <f t="shared" si="2965"/>
        <v>LOGISTICS CONTRACTING</v>
      </c>
      <c r="C7954" t="str">
        <f t="shared" si="2966"/>
        <v>PSC 561 BOX 1872</v>
      </c>
      <c r="D7954" t="str">
        <f t="shared" si="2967"/>
        <v>FPO</v>
      </c>
      <c r="E7954" t="str">
        <f t="shared" si="2968"/>
        <v>AP</v>
      </c>
      <c r="F7954" t="str">
        <f t="shared" ref="F7954:F7970" si="2972">T("963100019")</f>
        <v>963100019</v>
      </c>
      <c r="G7954" t="str">
        <f>T("PSC 561 BOX 1872")</f>
        <v>PSC 561 BOX 1872</v>
      </c>
      <c r="H7954" t="str">
        <f>T("")</f>
        <v/>
      </c>
      <c r="I7954" t="str">
        <f t="shared" si="2969"/>
        <v>FPO</v>
      </c>
      <c r="J7954" t="str">
        <f t="shared" si="2970"/>
        <v>AP</v>
      </c>
      <c r="K7954" t="str">
        <f>T("01181827795802")</f>
        <v>01181827795802</v>
      </c>
      <c r="L7954" t="str">
        <f>T("1111111111")</f>
        <v>1111111111</v>
      </c>
    </row>
    <row r="7955" spans="1:12" x14ac:dyDescent="0.35">
      <c r="A7955" t="str">
        <f t="shared" si="2971"/>
        <v>USMS/MCAS IWAKUNI JAPAN</v>
      </c>
      <c r="B7955" t="str">
        <f t="shared" si="2965"/>
        <v>LOGISTICS CONTRACTING</v>
      </c>
      <c r="C7955" t="str">
        <f t="shared" si="2966"/>
        <v>PSC 561 BOX 1872</v>
      </c>
      <c r="D7955" t="str">
        <f t="shared" si="2967"/>
        <v>FPO</v>
      </c>
      <c r="E7955" t="str">
        <f t="shared" si="2968"/>
        <v>AP</v>
      </c>
      <c r="F7955" t="str">
        <f t="shared" si="2972"/>
        <v>963100019</v>
      </c>
      <c r="G7955" t="str">
        <f>T("PSC 561 BOX 1872")</f>
        <v>PSC 561 BOX 1872</v>
      </c>
      <c r="H7955" t="str">
        <f>T("")</f>
        <v/>
      </c>
      <c r="I7955" t="str">
        <f t="shared" si="2969"/>
        <v>FPO</v>
      </c>
      <c r="J7955" t="str">
        <f t="shared" si="2970"/>
        <v>AP</v>
      </c>
      <c r="K7955" t="str">
        <f>T("3152534461")</f>
        <v>3152534461</v>
      </c>
      <c r="L7955" t="str">
        <f>T("3152537126")</f>
        <v>3152537126</v>
      </c>
    </row>
    <row r="7956" spans="1:12" x14ac:dyDescent="0.35">
      <c r="A7956" t="str">
        <f t="shared" si="2971"/>
        <v>USMS/MCAS IWAKUNI JAPAN</v>
      </c>
      <c r="B7956" t="str">
        <f t="shared" si="2965"/>
        <v>LOGISTICS CONTRACTING</v>
      </c>
      <c r="C7956" t="str">
        <f t="shared" si="2966"/>
        <v>PSC 561 BOX 1872</v>
      </c>
      <c r="D7956" t="str">
        <f t="shared" si="2967"/>
        <v>FPO</v>
      </c>
      <c r="E7956" t="str">
        <f t="shared" si="2968"/>
        <v>AP</v>
      </c>
      <c r="F7956" t="str">
        <f t="shared" si="2972"/>
        <v>963100019</v>
      </c>
      <c r="G7956" t="str">
        <f>T("PSC 561 BOX 1873")</f>
        <v>PSC 561 BOX 1873</v>
      </c>
      <c r="H7956" t="str">
        <f>T("")</f>
        <v/>
      </c>
      <c r="I7956" t="str">
        <f t="shared" si="2969"/>
        <v>FPO</v>
      </c>
      <c r="J7956" t="str">
        <f t="shared" si="2970"/>
        <v>AP</v>
      </c>
      <c r="K7956" t="str">
        <f>T("01181827794076")</f>
        <v>01181827794076</v>
      </c>
      <c r="L7956" t="str">
        <f>T("1111111111")</f>
        <v>1111111111</v>
      </c>
    </row>
    <row r="7957" spans="1:12" x14ac:dyDescent="0.35">
      <c r="A7957" t="str">
        <f t="shared" si="2971"/>
        <v>USMS/MCAS IWAKUNI JAPAN</v>
      </c>
      <c r="B7957" t="str">
        <f>T("LOGISTICS DEPARTMENT STORAGE")</f>
        <v>LOGISTICS DEPARTMENT STORAGE</v>
      </c>
      <c r="C7957" t="str">
        <f t="shared" si="2966"/>
        <v>PSC 561 BOX 1872</v>
      </c>
      <c r="D7957" t="str">
        <f t="shared" si="2967"/>
        <v>FPO</v>
      </c>
      <c r="E7957" t="str">
        <f t="shared" si="2968"/>
        <v>AP</v>
      </c>
      <c r="F7957" t="str">
        <f t="shared" si="2972"/>
        <v>963100019</v>
      </c>
      <c r="G7957" t="str">
        <f>T("LOGISTICS DEPARTMENT STORAGE")</f>
        <v>LOGISTICS DEPARTMENT STORAGE</v>
      </c>
      <c r="H7957" t="str">
        <f t="shared" ref="H7957:H7962" si="2973">T("PSC 561 BOX 1872")</f>
        <v>PSC 561 BOX 1872</v>
      </c>
      <c r="I7957" t="str">
        <f t="shared" si="2969"/>
        <v>FPO</v>
      </c>
      <c r="J7957" t="str">
        <f t="shared" si="2970"/>
        <v>AP</v>
      </c>
      <c r="K7957" t="str">
        <f>T("3152536917")</f>
        <v>3152536917</v>
      </c>
      <c r="L7957" t="str">
        <f>T("1111111111")</f>
        <v>1111111111</v>
      </c>
    </row>
    <row r="7958" spans="1:12" x14ac:dyDescent="0.35">
      <c r="A7958" t="str">
        <f t="shared" si="2971"/>
        <v>USMS/MCAS IWAKUNI JAPAN</v>
      </c>
      <c r="B7958" t="str">
        <f>T("LOGISTICS DEPARTMENT STORAGE")</f>
        <v>LOGISTICS DEPARTMENT STORAGE</v>
      </c>
      <c r="C7958" t="str">
        <f t="shared" si="2966"/>
        <v>PSC 561 BOX 1872</v>
      </c>
      <c r="D7958" t="str">
        <f t="shared" si="2967"/>
        <v>FPO</v>
      </c>
      <c r="E7958" t="str">
        <f t="shared" si="2968"/>
        <v>AP</v>
      </c>
      <c r="F7958" t="str">
        <f t="shared" si="2972"/>
        <v>963100019</v>
      </c>
      <c r="G7958" t="str">
        <f>T("LOGISTICS DEPT STORAGE")</f>
        <v>LOGISTICS DEPT STORAGE</v>
      </c>
      <c r="H7958" t="str">
        <f t="shared" si="2973"/>
        <v>PSC 561 BOX 1872</v>
      </c>
      <c r="I7958" t="str">
        <f t="shared" si="2969"/>
        <v>FPO</v>
      </c>
      <c r="J7958" t="str">
        <f t="shared" si="2970"/>
        <v>AP</v>
      </c>
      <c r="K7958" t="str">
        <f>T("3152536917")</f>
        <v>3152536917</v>
      </c>
      <c r="L7958" t="str">
        <f>T("3152534694")</f>
        <v>3152534694</v>
      </c>
    </row>
    <row r="7959" spans="1:12" x14ac:dyDescent="0.35">
      <c r="A7959" t="str">
        <f t="shared" si="2971"/>
        <v>USMS/MCAS IWAKUNI JAPAN</v>
      </c>
      <c r="B7959" t="str">
        <f>T("LOGISTICS DEPARTMENT STORAGE")</f>
        <v>LOGISTICS DEPARTMENT STORAGE</v>
      </c>
      <c r="C7959" t="str">
        <f t="shared" si="2966"/>
        <v>PSC 561 BOX 1872</v>
      </c>
      <c r="D7959" t="str">
        <f t="shared" si="2967"/>
        <v>FPO</v>
      </c>
      <c r="E7959" t="str">
        <f t="shared" si="2968"/>
        <v>AP</v>
      </c>
      <c r="F7959" t="str">
        <f t="shared" si="2972"/>
        <v>963100019</v>
      </c>
      <c r="G7959" t="str">
        <f>T("LOGISTICS STORAGE")</f>
        <v>LOGISTICS STORAGE</v>
      </c>
      <c r="H7959" t="str">
        <f t="shared" si="2973"/>
        <v>PSC 561 BOX 1872</v>
      </c>
      <c r="I7959" t="str">
        <f t="shared" si="2969"/>
        <v>FPO</v>
      </c>
      <c r="J7959" t="str">
        <f t="shared" si="2970"/>
        <v>AP</v>
      </c>
      <c r="K7959" t="str">
        <f>T("3152534374")</f>
        <v>3152534374</v>
      </c>
      <c r="L7959" t="str">
        <f>T("3152533309")</f>
        <v>3152533309</v>
      </c>
    </row>
    <row r="7960" spans="1:12" x14ac:dyDescent="0.35">
      <c r="A7960" t="str">
        <f t="shared" si="2971"/>
        <v>USMS/MCAS IWAKUNI JAPAN</v>
      </c>
      <c r="B7960" t="str">
        <f>T("LOGISTICS DEPT SMCP")</f>
        <v>LOGISTICS DEPT SMCP</v>
      </c>
      <c r="C7960" t="str">
        <f t="shared" si="2966"/>
        <v>PSC 561 BOX 1872</v>
      </c>
      <c r="D7960" t="str">
        <f t="shared" si="2967"/>
        <v>FPO</v>
      </c>
      <c r="E7960" t="str">
        <f t="shared" si="2968"/>
        <v>AP</v>
      </c>
      <c r="F7960" t="str">
        <f t="shared" si="2972"/>
        <v>963100019</v>
      </c>
      <c r="G7960" t="str">
        <f>T("LOGISTICS DEPT SMCP")</f>
        <v>LOGISTICS DEPT SMCP</v>
      </c>
      <c r="H7960" t="str">
        <f t="shared" si="2973"/>
        <v>PSC 561 BOX 1872</v>
      </c>
      <c r="I7960" t="str">
        <f t="shared" si="2969"/>
        <v>FPO</v>
      </c>
      <c r="J7960" t="str">
        <f t="shared" si="2970"/>
        <v>AP</v>
      </c>
      <c r="K7960" t="str">
        <f>T("000000000000000000")</f>
        <v>000000000000000000</v>
      </c>
      <c r="L7960" t="str">
        <f>T("3152536960")</f>
        <v>3152536960</v>
      </c>
    </row>
    <row r="7961" spans="1:12" x14ac:dyDescent="0.35">
      <c r="A7961" t="str">
        <f t="shared" si="2971"/>
        <v>USMS/MCAS IWAKUNI JAPAN</v>
      </c>
      <c r="B7961" t="str">
        <f>T("LOGISTICS DEPT SMCP")</f>
        <v>LOGISTICS DEPT SMCP</v>
      </c>
      <c r="C7961" t="str">
        <f t="shared" si="2966"/>
        <v>PSC 561 BOX 1872</v>
      </c>
      <c r="D7961" t="str">
        <f t="shared" si="2967"/>
        <v>FPO</v>
      </c>
      <c r="E7961" t="str">
        <f t="shared" si="2968"/>
        <v>AP</v>
      </c>
      <c r="F7961" t="str">
        <f t="shared" si="2972"/>
        <v>963100019</v>
      </c>
      <c r="G7961" t="str">
        <f>T("LOGISTICS DEPT SMCP")</f>
        <v>LOGISTICS DEPT SMCP</v>
      </c>
      <c r="H7961" t="str">
        <f t="shared" si="2973"/>
        <v>PSC 561 BOX 1872</v>
      </c>
      <c r="I7961" t="str">
        <f t="shared" si="2969"/>
        <v>FPO</v>
      </c>
      <c r="J7961" t="str">
        <f t="shared" si="2970"/>
        <v>AP</v>
      </c>
      <c r="K7961" t="str">
        <f>T("3152533207")</f>
        <v>3152533207</v>
      </c>
      <c r="L7961" t="str">
        <f>T("3152536067")</f>
        <v>3152536067</v>
      </c>
    </row>
    <row r="7962" spans="1:12" x14ac:dyDescent="0.35">
      <c r="A7962" t="str">
        <f t="shared" si="2971"/>
        <v>USMS/MCAS IWAKUNI JAPAN</v>
      </c>
      <c r="B7962" t="str">
        <f>T("LOGISTICS DEPT SMCP")</f>
        <v>LOGISTICS DEPT SMCP</v>
      </c>
      <c r="C7962" t="str">
        <f t="shared" si="2966"/>
        <v>PSC 561 BOX 1872</v>
      </c>
      <c r="D7962" t="str">
        <f t="shared" si="2967"/>
        <v>FPO</v>
      </c>
      <c r="E7962" t="str">
        <f t="shared" si="2968"/>
        <v>AP</v>
      </c>
      <c r="F7962" t="str">
        <f t="shared" si="2972"/>
        <v>963100019</v>
      </c>
      <c r="G7962" t="str">
        <f>T("LOGISTICS DEPT STN MC PROPERTY")</f>
        <v>LOGISTICS DEPT STN MC PROPERTY</v>
      </c>
      <c r="H7962" t="str">
        <f t="shared" si="2973"/>
        <v>PSC 561 BOX 1872</v>
      </c>
      <c r="I7962" t="str">
        <f t="shared" si="2969"/>
        <v>FPO</v>
      </c>
      <c r="J7962" t="str">
        <f t="shared" si="2970"/>
        <v>AP</v>
      </c>
      <c r="K7962" t="str">
        <f>T("000000000000000000")</f>
        <v>000000000000000000</v>
      </c>
      <c r="L7962" t="str">
        <f>T("1827796073")</f>
        <v>1827796073</v>
      </c>
    </row>
    <row r="7963" spans="1:12" x14ac:dyDescent="0.35">
      <c r="A7963" t="str">
        <f t="shared" si="2971"/>
        <v>USMS/MCAS IWAKUNI JAPAN</v>
      </c>
      <c r="B7963" t="str">
        <f>T("MCCS")</f>
        <v>MCCS</v>
      </c>
      <c r="C7963" t="str">
        <f>T("PSC 561 BOX 1867")</f>
        <v>PSC 561 BOX 1867</v>
      </c>
      <c r="D7963" t="str">
        <f t="shared" si="2967"/>
        <v>FPO</v>
      </c>
      <c r="E7963" t="str">
        <f t="shared" si="2968"/>
        <v>AP</v>
      </c>
      <c r="F7963" t="str">
        <f t="shared" si="2972"/>
        <v>963100019</v>
      </c>
      <c r="G7963" t="str">
        <f>T("MCCS")</f>
        <v>MCCS</v>
      </c>
      <c r="H7963" t="str">
        <f>T("PSC 561 BOX 1867")</f>
        <v>PSC 561 BOX 1867</v>
      </c>
      <c r="I7963" t="str">
        <f t="shared" si="2969"/>
        <v>FPO</v>
      </c>
      <c r="J7963" t="str">
        <f t="shared" si="2970"/>
        <v>AP</v>
      </c>
      <c r="K7963" t="str">
        <f>T("3152534594")</f>
        <v>3152534594</v>
      </c>
      <c r="L7963" t="str">
        <f>T("1111111111")</f>
        <v>1111111111</v>
      </c>
    </row>
    <row r="7964" spans="1:12" x14ac:dyDescent="0.35">
      <c r="A7964" t="str">
        <f t="shared" si="2971"/>
        <v>USMS/MCAS IWAKUNI JAPAN</v>
      </c>
      <c r="B7964" t="str">
        <f>T("MILITARY FAMILY HOUSING")</f>
        <v>MILITARY FAMILY HOUSING</v>
      </c>
      <c r="C7964" t="str">
        <f>T("PSC 561 BOX 1871")</f>
        <v>PSC 561 BOX 1871</v>
      </c>
      <c r="D7964" t="str">
        <f t="shared" si="2967"/>
        <v>FPO</v>
      </c>
      <c r="E7964" t="str">
        <f t="shared" si="2968"/>
        <v>AP</v>
      </c>
      <c r="F7964" t="str">
        <f t="shared" si="2972"/>
        <v>963100019</v>
      </c>
      <c r="G7964" t="str">
        <f>T("FAMILY HOUSING DIVISION")</f>
        <v>FAMILY HOUSING DIVISION</v>
      </c>
      <c r="H7964" t="str">
        <f>T("PSC 561 BOX 1871")</f>
        <v>PSC 561 BOX 1871</v>
      </c>
      <c r="I7964" t="str">
        <f t="shared" si="2969"/>
        <v>FPO</v>
      </c>
      <c r="J7964" t="str">
        <f t="shared" si="2970"/>
        <v>AP</v>
      </c>
      <c r="K7964" t="str">
        <f>T("000000000000000000")</f>
        <v>000000000000000000</v>
      </c>
      <c r="L7964" t="str">
        <f>T("3152535083")</f>
        <v>3152535083</v>
      </c>
    </row>
    <row r="7965" spans="1:12" x14ac:dyDescent="0.35">
      <c r="A7965" t="str">
        <f t="shared" si="2971"/>
        <v>USMS/MCAS IWAKUNI JAPAN</v>
      </c>
      <c r="B7965" t="str">
        <f>T("MILITARY FAMILY HOUSING")</f>
        <v>MILITARY FAMILY HOUSING</v>
      </c>
      <c r="C7965" t="str">
        <f>T("PSC 561 BOX 1871")</f>
        <v>PSC 561 BOX 1871</v>
      </c>
      <c r="D7965" t="str">
        <f t="shared" si="2967"/>
        <v>FPO</v>
      </c>
      <c r="E7965" t="str">
        <f t="shared" si="2968"/>
        <v>AP</v>
      </c>
      <c r="F7965" t="str">
        <f t="shared" si="2972"/>
        <v>963100019</v>
      </c>
      <c r="G7965" t="str">
        <f>T("FAMILY HOUSING DIVISION")</f>
        <v>FAMILY HOUSING DIVISION</v>
      </c>
      <c r="H7965" t="str">
        <f>T("PSC 561 BOX 1871")</f>
        <v>PSC 561 BOX 1871</v>
      </c>
      <c r="I7965" t="str">
        <f t="shared" si="2969"/>
        <v>FPO</v>
      </c>
      <c r="J7965" t="str">
        <f t="shared" si="2970"/>
        <v>AP</v>
      </c>
      <c r="K7965" t="str">
        <f>T("000000000000000000")</f>
        <v>000000000000000000</v>
      </c>
      <c r="L7965" t="str">
        <f>T("3152535498")</f>
        <v>3152535498</v>
      </c>
    </row>
    <row r="7966" spans="1:12" x14ac:dyDescent="0.35">
      <c r="A7966" t="str">
        <f t="shared" si="2971"/>
        <v>USMS/MCAS IWAKUNI JAPAN</v>
      </c>
      <c r="B7966" t="str">
        <f>T("MILITARY FAMILY HOUSING")</f>
        <v>MILITARY FAMILY HOUSING</v>
      </c>
      <c r="C7966" t="str">
        <f>T("PSC 561 BOX 1871")</f>
        <v>PSC 561 BOX 1871</v>
      </c>
      <c r="D7966" t="str">
        <f t="shared" si="2967"/>
        <v>FPO</v>
      </c>
      <c r="E7966" t="str">
        <f t="shared" si="2968"/>
        <v>AP</v>
      </c>
      <c r="F7966" t="str">
        <f t="shared" si="2972"/>
        <v>963100019</v>
      </c>
      <c r="G7966" t="str">
        <f>T("MILITARY FAMILY HOUSING")</f>
        <v>MILITARY FAMILY HOUSING</v>
      </c>
      <c r="H7966" t="str">
        <f>T("PSC 561 BOX 1871")</f>
        <v>PSC 561 BOX 1871</v>
      </c>
      <c r="I7966" t="str">
        <f t="shared" si="2969"/>
        <v>FPO</v>
      </c>
      <c r="J7966" t="str">
        <f t="shared" si="2970"/>
        <v>AP</v>
      </c>
      <c r="K7966" t="str">
        <f>T("00181827793259")</f>
        <v>00181827793259</v>
      </c>
      <c r="L7966" t="str">
        <f>T("1111111111")</f>
        <v>1111111111</v>
      </c>
    </row>
    <row r="7967" spans="1:12" x14ac:dyDescent="0.35">
      <c r="A7967" t="str">
        <f t="shared" si="2971"/>
        <v>USMS/MCAS IWAKUNI JAPAN</v>
      </c>
      <c r="B7967" t="str">
        <f>T("MILITARY FAMILY HOUSING")</f>
        <v>MILITARY FAMILY HOUSING</v>
      </c>
      <c r="C7967" t="str">
        <f>T("PSC 561 BOX 1871")</f>
        <v>PSC 561 BOX 1871</v>
      </c>
      <c r="D7967" t="str">
        <f t="shared" si="2967"/>
        <v>FPO</v>
      </c>
      <c r="E7967" t="str">
        <f t="shared" si="2968"/>
        <v>AP</v>
      </c>
      <c r="F7967" t="str">
        <f t="shared" si="2972"/>
        <v>963100019</v>
      </c>
      <c r="G7967" t="str">
        <f>T("PSC 561 BOX 1871")</f>
        <v>PSC 561 BOX 1871</v>
      </c>
      <c r="H7967" t="str">
        <f>T("")</f>
        <v/>
      </c>
      <c r="I7967" t="str">
        <f t="shared" si="2969"/>
        <v>FPO</v>
      </c>
      <c r="J7967" t="str">
        <f t="shared" si="2970"/>
        <v>AP</v>
      </c>
      <c r="K7967" t="str">
        <f>T("000000000000000000")</f>
        <v>000000000000000000</v>
      </c>
      <c r="L7967" t="str">
        <f>T("3152533042")</f>
        <v>3152533042</v>
      </c>
    </row>
    <row r="7968" spans="1:12" x14ac:dyDescent="0.35">
      <c r="A7968" t="str">
        <f t="shared" si="2971"/>
        <v>USMS/MCAS IWAKUNI JAPAN</v>
      </c>
      <c r="B7968" t="str">
        <f>T("MOTOR TRANSPORTATION DIV")</f>
        <v>MOTOR TRANSPORTATION DIV</v>
      </c>
      <c r="C7968" t="str">
        <f>T("PSC 561 BOX 1872")</f>
        <v>PSC 561 BOX 1872</v>
      </c>
      <c r="D7968" t="str">
        <f t="shared" si="2967"/>
        <v>FPO</v>
      </c>
      <c r="E7968" t="str">
        <f t="shared" si="2968"/>
        <v>AP</v>
      </c>
      <c r="F7968" t="str">
        <f t="shared" si="2972"/>
        <v>963100019</v>
      </c>
      <c r="G7968" t="str">
        <f>T("MOTOR TRANSPORTATION DIV")</f>
        <v>MOTOR TRANSPORTATION DIV</v>
      </c>
      <c r="H7968" t="str">
        <f>T("PSC 561 BOX 1872")</f>
        <v>PSC 561 BOX 1872</v>
      </c>
      <c r="I7968" t="str">
        <f t="shared" si="2969"/>
        <v>FPO</v>
      </c>
      <c r="J7968" t="str">
        <f t="shared" si="2970"/>
        <v>AP</v>
      </c>
      <c r="K7968" t="str">
        <f>T("000000000000000000")</f>
        <v>000000000000000000</v>
      </c>
      <c r="L7968" t="str">
        <f>T("3152534596")</f>
        <v>3152534596</v>
      </c>
    </row>
    <row r="7969" spans="1:12" x14ac:dyDescent="0.35">
      <c r="A7969" t="str">
        <f t="shared" si="2971"/>
        <v>USMS/MCAS IWAKUNI JAPAN</v>
      </c>
      <c r="B7969" t="str">
        <f>T("MOTOR TRANSPORTATION DIV")</f>
        <v>MOTOR TRANSPORTATION DIV</v>
      </c>
      <c r="C7969" t="str">
        <f>T("PSC 561 BOX 1872")</f>
        <v>PSC 561 BOX 1872</v>
      </c>
      <c r="D7969" t="str">
        <f t="shared" si="2967"/>
        <v>FPO</v>
      </c>
      <c r="E7969" t="str">
        <f t="shared" si="2968"/>
        <v>AP</v>
      </c>
      <c r="F7969" t="str">
        <f t="shared" si="2972"/>
        <v>963100019</v>
      </c>
      <c r="G7969" t="str">
        <f>T("MOTOR TRANSPORTATION DIV")</f>
        <v>MOTOR TRANSPORTATION DIV</v>
      </c>
      <c r="H7969" t="str">
        <f>T("PSC 561 BOX 1872")</f>
        <v>PSC 561 BOX 1872</v>
      </c>
      <c r="I7969" t="str">
        <f t="shared" si="2969"/>
        <v>FPO</v>
      </c>
      <c r="J7969" t="str">
        <f t="shared" si="2970"/>
        <v>AP</v>
      </c>
      <c r="K7969" t="str">
        <f>T("00181827794842")</f>
        <v>00181827794842</v>
      </c>
      <c r="L7969" t="str">
        <f>T("1111111111")</f>
        <v>1111111111</v>
      </c>
    </row>
    <row r="7970" spans="1:12" x14ac:dyDescent="0.35">
      <c r="A7970" t="str">
        <f t="shared" si="2971"/>
        <v>USMS/MCAS IWAKUNI JAPAN</v>
      </c>
      <c r="B7970" t="str">
        <f>T("MOTOR TRANSPORTATION DIV")</f>
        <v>MOTOR TRANSPORTATION DIV</v>
      </c>
      <c r="C7970" t="str">
        <f>T("PSC 561 BOX 1872")</f>
        <v>PSC 561 BOX 1872</v>
      </c>
      <c r="D7970" t="str">
        <f t="shared" si="2967"/>
        <v>FPO</v>
      </c>
      <c r="E7970" t="str">
        <f t="shared" si="2968"/>
        <v>AP</v>
      </c>
      <c r="F7970" t="str">
        <f t="shared" si="2972"/>
        <v>963100019</v>
      </c>
      <c r="G7970" t="str">
        <f>T("PSC 561 BOX 1872")</f>
        <v>PSC 561 BOX 1872</v>
      </c>
      <c r="H7970" t="str">
        <f>T("")</f>
        <v/>
      </c>
      <c r="I7970" t="str">
        <f t="shared" si="2969"/>
        <v>FPO</v>
      </c>
      <c r="J7970" t="str">
        <f t="shared" si="2970"/>
        <v>AP</v>
      </c>
      <c r="K7970" t="str">
        <f>T("000000000000000000")</f>
        <v>000000000000000000</v>
      </c>
      <c r="L7970" t="str">
        <f>T("1111111111")</f>
        <v>1111111111</v>
      </c>
    </row>
    <row r="7971" spans="1:12" x14ac:dyDescent="0.35">
      <c r="A7971" t="str">
        <f t="shared" si="2971"/>
        <v>USMS/MCAS IWAKUNI JAPAN</v>
      </c>
      <c r="B7971" t="str">
        <f>T("PMO")</f>
        <v>PMO</v>
      </c>
      <c r="C7971" t="str">
        <f>T("PSC 561 BOX 885")</f>
        <v>PSC 561 BOX 885</v>
      </c>
      <c r="D7971" t="str">
        <f t="shared" si="2967"/>
        <v>FPO</v>
      </c>
      <c r="E7971" t="str">
        <f t="shared" si="2968"/>
        <v>AP</v>
      </c>
      <c r="F7971" t="str">
        <f>T("963100009")</f>
        <v>963100009</v>
      </c>
      <c r="G7971" t="str">
        <f>T("PMO")</f>
        <v>PMO</v>
      </c>
      <c r="H7971" t="str">
        <f>T("PSC 561 BOX 885")</f>
        <v>PSC 561 BOX 885</v>
      </c>
      <c r="I7971" t="str">
        <f t="shared" si="2969"/>
        <v>FPO</v>
      </c>
      <c r="J7971" t="str">
        <f t="shared" si="2970"/>
        <v>AP</v>
      </c>
      <c r="K7971" t="str">
        <f>T("3152534157")</f>
        <v>3152534157</v>
      </c>
      <c r="L7971" t="str">
        <f>T("3152533310")</f>
        <v>3152533310</v>
      </c>
    </row>
    <row r="7972" spans="1:12" x14ac:dyDescent="0.35">
      <c r="A7972" t="str">
        <f t="shared" si="2971"/>
        <v>USMS/MCAS IWAKUNI JAPAN</v>
      </c>
      <c r="B7972" t="str">
        <f>T("PMO")</f>
        <v>PMO</v>
      </c>
      <c r="C7972" t="str">
        <f>T("PSC 561 BOX 885")</f>
        <v>PSC 561 BOX 885</v>
      </c>
      <c r="D7972" t="str">
        <f t="shared" si="2967"/>
        <v>FPO</v>
      </c>
      <c r="E7972" t="str">
        <f t="shared" si="2968"/>
        <v>AP</v>
      </c>
      <c r="F7972" t="str">
        <f>T("963100009")</f>
        <v>963100009</v>
      </c>
      <c r="G7972" t="str">
        <f>T("PROVOST MARSHAL OFFICE")</f>
        <v>PROVOST MARSHAL OFFICE</v>
      </c>
      <c r="H7972" t="str">
        <f>T("PSC 561 BOX 1885")</f>
        <v>PSC 561 BOX 1885</v>
      </c>
      <c r="I7972" t="str">
        <f t="shared" si="2969"/>
        <v>FPO</v>
      </c>
      <c r="J7972" t="str">
        <f t="shared" si="2970"/>
        <v>AP</v>
      </c>
      <c r="K7972" t="str">
        <f>T("000000000000000000")</f>
        <v>000000000000000000</v>
      </c>
      <c r="L7972" t="str">
        <f>T("1111111111")</f>
        <v>1111111111</v>
      </c>
    </row>
    <row r="7973" spans="1:12" x14ac:dyDescent="0.35">
      <c r="A7973" t="str">
        <f t="shared" si="2971"/>
        <v>USMS/MCAS IWAKUNI JAPAN</v>
      </c>
      <c r="B7973" t="str">
        <f>T("PSC 561  BOX 1872")</f>
        <v>PSC 561  BOX 1872</v>
      </c>
      <c r="C7973" t="str">
        <f t="shared" ref="C7973:C8000" si="2974">T("")</f>
        <v/>
      </c>
      <c r="D7973" t="str">
        <f t="shared" si="2967"/>
        <v>FPO</v>
      </c>
      <c r="E7973" t="str">
        <f t="shared" si="2968"/>
        <v>AP</v>
      </c>
      <c r="F7973" t="str">
        <f t="shared" ref="F7973:F8009" si="2975">T("963100019")</f>
        <v>963100019</v>
      </c>
      <c r="G7973" t="str">
        <f>T("PSC 561  BOX 1872")</f>
        <v>PSC 561  BOX 1872</v>
      </c>
      <c r="H7973" t="str">
        <f t="shared" ref="H7973:H7978" si="2976">T("")</f>
        <v/>
      </c>
      <c r="I7973" t="str">
        <f t="shared" si="2969"/>
        <v>FPO</v>
      </c>
      <c r="J7973" t="str">
        <f t="shared" si="2970"/>
        <v>AP</v>
      </c>
      <c r="K7973" t="str">
        <f>T("3152534878")</f>
        <v>3152534878</v>
      </c>
      <c r="L7973" t="str">
        <f>T("3152535353")</f>
        <v>3152535353</v>
      </c>
    </row>
    <row r="7974" spans="1:12" x14ac:dyDescent="0.35">
      <c r="A7974" t="str">
        <f t="shared" si="2971"/>
        <v>USMS/MCAS IWAKUNI JAPAN</v>
      </c>
      <c r="B7974" t="str">
        <f>T("PSC 561  BOX 1872")</f>
        <v>PSC 561  BOX 1872</v>
      </c>
      <c r="C7974" t="str">
        <f t="shared" si="2974"/>
        <v/>
      </c>
      <c r="D7974" t="str">
        <f t="shared" si="2967"/>
        <v>FPO</v>
      </c>
      <c r="E7974" t="str">
        <f t="shared" si="2968"/>
        <v>AP</v>
      </c>
      <c r="F7974" t="str">
        <f t="shared" si="2975"/>
        <v>963100019</v>
      </c>
      <c r="G7974" t="str">
        <f>T("PSC 561 BOX 1861")</f>
        <v>PSC 561 BOX 1861</v>
      </c>
      <c r="H7974" t="str">
        <f t="shared" si="2976"/>
        <v/>
      </c>
      <c r="I7974" t="str">
        <f t="shared" si="2969"/>
        <v>FPO</v>
      </c>
      <c r="J7974" t="str">
        <f t="shared" si="2970"/>
        <v>AP</v>
      </c>
      <c r="K7974" t="str">
        <f>T("01181827793404")</f>
        <v>01181827793404</v>
      </c>
      <c r="L7974" t="str">
        <f>T("1111111111")</f>
        <v>1111111111</v>
      </c>
    </row>
    <row r="7975" spans="1:12" x14ac:dyDescent="0.35">
      <c r="A7975" t="str">
        <f t="shared" si="2971"/>
        <v>USMS/MCAS IWAKUNI JAPAN</v>
      </c>
      <c r="B7975" t="str">
        <f>T("PSC 561 BOX 1861")</f>
        <v>PSC 561 BOX 1861</v>
      </c>
      <c r="C7975" t="str">
        <f t="shared" si="2974"/>
        <v/>
      </c>
      <c r="D7975" t="str">
        <f t="shared" si="2967"/>
        <v>FPO</v>
      </c>
      <c r="E7975" t="str">
        <f t="shared" si="2968"/>
        <v>AP</v>
      </c>
      <c r="F7975" t="str">
        <f t="shared" si="2975"/>
        <v>963100019</v>
      </c>
      <c r="G7975" t="str">
        <f>T("PSC 561 BOX 1861")</f>
        <v>PSC 561 BOX 1861</v>
      </c>
      <c r="H7975" t="str">
        <f t="shared" si="2976"/>
        <v/>
      </c>
      <c r="I7975" t="str">
        <f t="shared" si="2969"/>
        <v>FPO</v>
      </c>
      <c r="J7975" t="str">
        <f t="shared" si="2970"/>
        <v>AP</v>
      </c>
      <c r="K7975" t="str">
        <f>T("")</f>
        <v/>
      </c>
      <c r="L7975" t="str">
        <f>T("1111111111")</f>
        <v>1111111111</v>
      </c>
    </row>
    <row r="7976" spans="1:12" x14ac:dyDescent="0.35">
      <c r="A7976" t="str">
        <f t="shared" si="2971"/>
        <v>USMS/MCAS IWAKUNI JAPAN</v>
      </c>
      <c r="B7976" t="str">
        <f>T("PSC 561 BOX 1862")</f>
        <v>PSC 561 BOX 1862</v>
      </c>
      <c r="C7976" t="str">
        <f t="shared" si="2974"/>
        <v/>
      </c>
      <c r="D7976" t="str">
        <f t="shared" si="2967"/>
        <v>FPO</v>
      </c>
      <c r="E7976" t="str">
        <f t="shared" si="2968"/>
        <v>AP</v>
      </c>
      <c r="F7976" t="str">
        <f t="shared" si="2975"/>
        <v>963100019</v>
      </c>
      <c r="G7976" t="str">
        <f>T("PSC 561 BOX 10")</f>
        <v>PSC 561 BOX 10</v>
      </c>
      <c r="H7976" t="str">
        <f t="shared" si="2976"/>
        <v/>
      </c>
      <c r="I7976" t="str">
        <f t="shared" si="2969"/>
        <v>FPO</v>
      </c>
      <c r="J7976" t="str">
        <f t="shared" si="2970"/>
        <v>AP</v>
      </c>
      <c r="K7976" t="str">
        <f>T("01181827794542")</f>
        <v>01181827794542</v>
      </c>
      <c r="L7976" t="str">
        <f>T("3152533114")</f>
        <v>3152533114</v>
      </c>
    </row>
    <row r="7977" spans="1:12" x14ac:dyDescent="0.35">
      <c r="A7977" t="str">
        <f t="shared" si="2971"/>
        <v>USMS/MCAS IWAKUNI JAPAN</v>
      </c>
      <c r="B7977" t="str">
        <f>T("PSC 561 BOX 1862")</f>
        <v>PSC 561 BOX 1862</v>
      </c>
      <c r="C7977" t="str">
        <f t="shared" si="2974"/>
        <v/>
      </c>
      <c r="D7977" t="str">
        <f t="shared" si="2967"/>
        <v>FPO</v>
      </c>
      <c r="E7977" t="str">
        <f t="shared" si="2968"/>
        <v>AP</v>
      </c>
      <c r="F7977" t="str">
        <f t="shared" si="2975"/>
        <v>963100019</v>
      </c>
      <c r="G7977" t="str">
        <f>T("PSC 561 BOX 1862")</f>
        <v>PSC 561 BOX 1862</v>
      </c>
      <c r="H7977" t="str">
        <f t="shared" si="2976"/>
        <v/>
      </c>
      <c r="I7977" t="str">
        <f t="shared" si="2969"/>
        <v>FPO</v>
      </c>
      <c r="J7977" t="str">
        <f t="shared" si="2970"/>
        <v>AP</v>
      </c>
      <c r="K7977" t="str">
        <f>T("3152534594")</f>
        <v>3152534594</v>
      </c>
      <c r="L7977" t="str">
        <f>T("3152534776")</f>
        <v>3152534776</v>
      </c>
    </row>
    <row r="7978" spans="1:12" x14ac:dyDescent="0.35">
      <c r="A7978" t="str">
        <f t="shared" si="2971"/>
        <v>USMS/MCAS IWAKUNI JAPAN</v>
      </c>
      <c r="B7978" t="str">
        <f>T("PSC 561 BOX 1862")</f>
        <v>PSC 561 BOX 1862</v>
      </c>
      <c r="C7978" t="str">
        <f t="shared" si="2974"/>
        <v/>
      </c>
      <c r="D7978" t="str">
        <f t="shared" si="2967"/>
        <v>FPO</v>
      </c>
      <c r="E7978" t="str">
        <f t="shared" si="2968"/>
        <v>AP</v>
      </c>
      <c r="F7978" t="str">
        <f t="shared" si="2975"/>
        <v>963100019</v>
      </c>
      <c r="G7978" t="str">
        <f>T("PSC 561 BOX 1862")</f>
        <v>PSC 561 BOX 1862</v>
      </c>
      <c r="H7978" t="str">
        <f t="shared" si="2976"/>
        <v/>
      </c>
      <c r="I7978" t="str">
        <f t="shared" si="2969"/>
        <v>FPO</v>
      </c>
      <c r="J7978" t="str">
        <f t="shared" si="2970"/>
        <v>AP</v>
      </c>
      <c r="K7978" t="str">
        <f>T("3152536661")</f>
        <v>3152536661</v>
      </c>
      <c r="L7978" t="str">
        <f>T("3152536422")</f>
        <v>3152536422</v>
      </c>
    </row>
    <row r="7979" spans="1:12" x14ac:dyDescent="0.35">
      <c r="A7979" t="str">
        <f t="shared" si="2971"/>
        <v>USMS/MCAS IWAKUNI JAPAN</v>
      </c>
      <c r="B7979" t="str">
        <f>T("PSC 561 BOX 1868")</f>
        <v>PSC 561 BOX 1868</v>
      </c>
      <c r="C7979" t="str">
        <f t="shared" si="2974"/>
        <v/>
      </c>
      <c r="D7979" t="str">
        <f t="shared" si="2967"/>
        <v>FPO</v>
      </c>
      <c r="E7979" t="str">
        <f t="shared" si="2968"/>
        <v>AP</v>
      </c>
      <c r="F7979" t="str">
        <f t="shared" si="2975"/>
        <v>963100019</v>
      </c>
      <c r="G7979" t="str">
        <f>T("PAO MCAS IWAKUNI")</f>
        <v>PAO MCAS IWAKUNI</v>
      </c>
      <c r="H7979" t="str">
        <f>T("PSC 561 BOX 1868")</f>
        <v>PSC 561 BOX 1868</v>
      </c>
      <c r="I7979" t="str">
        <f t="shared" si="2969"/>
        <v>FPO</v>
      </c>
      <c r="J7979" t="str">
        <f t="shared" si="2970"/>
        <v>AP</v>
      </c>
      <c r="K7979" t="str">
        <f>T("000000000000000000")</f>
        <v>000000000000000000</v>
      </c>
      <c r="L7979" t="str">
        <f>T("3152535551")</f>
        <v>3152535551</v>
      </c>
    </row>
    <row r="7980" spans="1:12" x14ac:dyDescent="0.35">
      <c r="A7980" t="str">
        <f t="shared" si="2971"/>
        <v>USMS/MCAS IWAKUNI JAPAN</v>
      </c>
      <c r="B7980" t="str">
        <f>T("PSC 561 BOX 1868")</f>
        <v>PSC 561 BOX 1868</v>
      </c>
      <c r="C7980" t="str">
        <f t="shared" si="2974"/>
        <v/>
      </c>
      <c r="D7980" t="str">
        <f t="shared" si="2967"/>
        <v>FPO</v>
      </c>
      <c r="E7980" t="str">
        <f t="shared" si="2968"/>
        <v>AP</v>
      </c>
      <c r="F7980" t="str">
        <f t="shared" si="2975"/>
        <v>963100019</v>
      </c>
      <c r="G7980" t="str">
        <f>T("PSC 561 BOX 1868")</f>
        <v>PSC 561 BOX 1868</v>
      </c>
      <c r="H7980" t="str">
        <f>T("")</f>
        <v/>
      </c>
      <c r="I7980" t="str">
        <f t="shared" si="2969"/>
        <v>FPO</v>
      </c>
      <c r="J7980" t="str">
        <f t="shared" si="2970"/>
        <v>AP</v>
      </c>
      <c r="K7980" t="str">
        <f>T("01181827795554")</f>
        <v>01181827795554</v>
      </c>
      <c r="L7980" t="str">
        <f>T("3152534211")</f>
        <v>3152534211</v>
      </c>
    </row>
    <row r="7981" spans="1:12" x14ac:dyDescent="0.35">
      <c r="A7981" t="str">
        <f t="shared" si="2971"/>
        <v>USMS/MCAS IWAKUNI JAPAN</v>
      </c>
      <c r="B7981" t="str">
        <f t="shared" ref="B7981:B7988" si="2977">T("PSC 561 BOX 1872")</f>
        <v>PSC 561 BOX 1872</v>
      </c>
      <c r="C7981" t="str">
        <f t="shared" si="2974"/>
        <v/>
      </c>
      <c r="D7981" t="str">
        <f t="shared" si="2967"/>
        <v>FPO</v>
      </c>
      <c r="E7981" t="str">
        <f t="shared" si="2968"/>
        <v>AP</v>
      </c>
      <c r="F7981" t="str">
        <f t="shared" si="2975"/>
        <v>963100019</v>
      </c>
      <c r="G7981" t="str">
        <f>T("AHOD")</f>
        <v>AHOD</v>
      </c>
      <c r="H7981" t="str">
        <f>T("PSC 561 BOX 1872")</f>
        <v>PSC 561 BOX 1872</v>
      </c>
      <c r="I7981" t="str">
        <f t="shared" si="2969"/>
        <v>FPO</v>
      </c>
      <c r="J7981" t="str">
        <f t="shared" si="2970"/>
        <v>AP</v>
      </c>
      <c r="K7981" t="str">
        <f>T("000000000000000000")</f>
        <v>000000000000000000</v>
      </c>
      <c r="L7981" t="str">
        <f>T("3152535906")</f>
        <v>3152535906</v>
      </c>
    </row>
    <row r="7982" spans="1:12" x14ac:dyDescent="0.35">
      <c r="A7982" t="str">
        <f t="shared" si="2971"/>
        <v>USMS/MCAS IWAKUNI JAPAN</v>
      </c>
      <c r="B7982" t="str">
        <f t="shared" si="2977"/>
        <v>PSC 561 BOX 1872</v>
      </c>
      <c r="C7982" t="str">
        <f t="shared" si="2974"/>
        <v/>
      </c>
      <c r="D7982" t="str">
        <f t="shared" si="2967"/>
        <v>FPO</v>
      </c>
      <c r="E7982" t="str">
        <f t="shared" si="2968"/>
        <v>AP</v>
      </c>
      <c r="F7982" t="str">
        <f t="shared" si="2975"/>
        <v>963100019</v>
      </c>
      <c r="G7982" t="str">
        <f>T("PROTOCOL-GARBER")</f>
        <v>PROTOCOL-GARBER</v>
      </c>
      <c r="H7982" t="str">
        <f>T("PSC 561 BOX 1861")</f>
        <v>PSC 561 BOX 1861</v>
      </c>
      <c r="I7982" t="str">
        <f t="shared" si="2969"/>
        <v>FPO</v>
      </c>
      <c r="J7982" t="str">
        <f t="shared" si="2970"/>
        <v>AP</v>
      </c>
      <c r="K7982" t="str">
        <f>T("000000000000000000")</f>
        <v>000000000000000000</v>
      </c>
      <c r="L7982" t="str">
        <f>T("3152534211")</f>
        <v>3152534211</v>
      </c>
    </row>
    <row r="7983" spans="1:12" x14ac:dyDescent="0.35">
      <c r="A7983" t="str">
        <f t="shared" si="2971"/>
        <v>USMS/MCAS IWAKUNI JAPAN</v>
      </c>
      <c r="B7983" t="str">
        <f t="shared" si="2977"/>
        <v>PSC 561 BOX 1872</v>
      </c>
      <c r="C7983" t="str">
        <f t="shared" si="2974"/>
        <v/>
      </c>
      <c r="D7983" t="str">
        <f t="shared" si="2967"/>
        <v>FPO</v>
      </c>
      <c r="E7983" t="str">
        <f t="shared" si="2968"/>
        <v>AP</v>
      </c>
      <c r="F7983" t="str">
        <f t="shared" si="2975"/>
        <v>963100019</v>
      </c>
      <c r="G7983" t="str">
        <f>T("PSC 561 BOX 1861")</f>
        <v>PSC 561 BOX 1861</v>
      </c>
      <c r="H7983" t="str">
        <f>T("")</f>
        <v/>
      </c>
      <c r="I7983" t="str">
        <f t="shared" si="2969"/>
        <v>FPO</v>
      </c>
      <c r="J7983" t="str">
        <f t="shared" si="2970"/>
        <v>AP</v>
      </c>
      <c r="K7983" t="str">
        <f>T("818227793578")</f>
        <v>818227793578</v>
      </c>
      <c r="L7983" t="str">
        <f>T("1111111111")</f>
        <v>1111111111</v>
      </c>
    </row>
    <row r="7984" spans="1:12" x14ac:dyDescent="0.35">
      <c r="A7984" t="str">
        <f t="shared" si="2971"/>
        <v>USMS/MCAS IWAKUNI JAPAN</v>
      </c>
      <c r="B7984" t="str">
        <f t="shared" si="2977"/>
        <v>PSC 561 BOX 1872</v>
      </c>
      <c r="C7984" t="str">
        <f t="shared" si="2974"/>
        <v/>
      </c>
      <c r="D7984" t="str">
        <f t="shared" si="2967"/>
        <v>FPO</v>
      </c>
      <c r="E7984" t="str">
        <f t="shared" si="2968"/>
        <v>AP</v>
      </c>
      <c r="F7984" t="str">
        <f t="shared" si="2975"/>
        <v>963100019</v>
      </c>
      <c r="G7984" t="str">
        <f>T("PSC 561 BOX 1872")</f>
        <v>PSC 561 BOX 1872</v>
      </c>
      <c r="H7984" t="str">
        <f>T("")</f>
        <v/>
      </c>
      <c r="I7984" t="str">
        <f t="shared" si="2969"/>
        <v>FPO</v>
      </c>
      <c r="J7984" t="str">
        <f t="shared" si="2970"/>
        <v>AP</v>
      </c>
      <c r="K7984" t="str">
        <f>T("01181827795537")</f>
        <v>01181827795537</v>
      </c>
      <c r="L7984" t="str">
        <f>T("3152535503")</f>
        <v>3152535503</v>
      </c>
    </row>
    <row r="7985" spans="1:12" x14ac:dyDescent="0.35">
      <c r="A7985" t="str">
        <f t="shared" si="2971"/>
        <v>USMS/MCAS IWAKUNI JAPAN</v>
      </c>
      <c r="B7985" t="str">
        <f t="shared" si="2977"/>
        <v>PSC 561 BOX 1872</v>
      </c>
      <c r="C7985" t="str">
        <f t="shared" si="2974"/>
        <v/>
      </c>
      <c r="D7985" t="str">
        <f t="shared" ref="D7985:D8009" si="2978">T("FPO")</f>
        <v>FPO</v>
      </c>
      <c r="E7985" t="str">
        <f t="shared" ref="E7985:E8009" si="2979">T("AP")</f>
        <v>AP</v>
      </c>
      <c r="F7985" t="str">
        <f t="shared" si="2975"/>
        <v>963100019</v>
      </c>
      <c r="G7985" t="str">
        <f>T("PSC 561 BOX 1872")</f>
        <v>PSC 561 BOX 1872</v>
      </c>
      <c r="H7985" t="str">
        <f>T("")</f>
        <v/>
      </c>
      <c r="I7985" t="str">
        <f t="shared" ref="I7985:I8009" si="2980">T("FPO")</f>
        <v>FPO</v>
      </c>
      <c r="J7985" t="str">
        <f t="shared" ref="J7985:J8009" si="2981">T("AP")</f>
        <v>AP</v>
      </c>
      <c r="K7985" t="str">
        <f>T("3152534594")</f>
        <v>3152534594</v>
      </c>
      <c r="L7985" t="str">
        <f>T("3152534213")</f>
        <v>3152534213</v>
      </c>
    </row>
    <row r="7986" spans="1:12" x14ac:dyDescent="0.35">
      <c r="A7986" t="str">
        <f t="shared" ref="A7986:A8009" si="2982">T("USMS/MCAS IWAKUNI JAPAN")</f>
        <v>USMS/MCAS IWAKUNI JAPAN</v>
      </c>
      <c r="B7986" t="str">
        <f t="shared" si="2977"/>
        <v>PSC 561 BOX 1872</v>
      </c>
      <c r="C7986" t="str">
        <f t="shared" si="2974"/>
        <v/>
      </c>
      <c r="D7986" t="str">
        <f t="shared" si="2978"/>
        <v>FPO</v>
      </c>
      <c r="E7986" t="str">
        <f t="shared" si="2979"/>
        <v>AP</v>
      </c>
      <c r="F7986" t="str">
        <f t="shared" si="2975"/>
        <v>963100019</v>
      </c>
      <c r="G7986" t="str">
        <f>T("PSC 561 BOX 1876")</f>
        <v>PSC 561 BOX 1876</v>
      </c>
      <c r="H7986" t="str">
        <f>T("")</f>
        <v/>
      </c>
      <c r="I7986" t="str">
        <f t="shared" si="2980"/>
        <v>FPO</v>
      </c>
      <c r="J7986" t="str">
        <f t="shared" si="2981"/>
        <v>AP</v>
      </c>
      <c r="K7986" t="str">
        <f>T("3152535274")</f>
        <v>3152535274</v>
      </c>
      <c r="L7986" t="str">
        <f>T("3152533578")</f>
        <v>3152533578</v>
      </c>
    </row>
    <row r="7987" spans="1:12" x14ac:dyDescent="0.35">
      <c r="A7987" t="str">
        <f t="shared" si="2982"/>
        <v>USMS/MCAS IWAKUNI JAPAN</v>
      </c>
      <c r="B7987" t="str">
        <f t="shared" si="2977"/>
        <v>PSC 561 BOX 1872</v>
      </c>
      <c r="C7987" t="str">
        <f t="shared" si="2974"/>
        <v/>
      </c>
      <c r="D7987" t="str">
        <f t="shared" si="2978"/>
        <v>FPO</v>
      </c>
      <c r="E7987" t="str">
        <f t="shared" si="2979"/>
        <v>AP</v>
      </c>
      <c r="F7987" t="str">
        <f t="shared" si="2975"/>
        <v>963100019</v>
      </c>
      <c r="G7987" t="str">
        <f>T("PSC 561 BOX 1876")</f>
        <v>PSC 561 BOX 1876</v>
      </c>
      <c r="H7987" t="str">
        <f>T("")</f>
        <v/>
      </c>
      <c r="I7987" t="str">
        <f t="shared" si="2980"/>
        <v>FPO</v>
      </c>
      <c r="J7987" t="str">
        <f t="shared" si="2981"/>
        <v>AP</v>
      </c>
      <c r="K7987" t="str">
        <f>T("3152551120")</f>
        <v>3152551120</v>
      </c>
      <c r="L7987" t="str">
        <f>T("3152551130")</f>
        <v>3152551130</v>
      </c>
    </row>
    <row r="7988" spans="1:12" x14ac:dyDescent="0.35">
      <c r="A7988" t="str">
        <f t="shared" si="2982"/>
        <v>USMS/MCAS IWAKUNI JAPAN</v>
      </c>
      <c r="B7988" t="str">
        <f t="shared" si="2977"/>
        <v>PSC 561 BOX 1872</v>
      </c>
      <c r="C7988" t="str">
        <f t="shared" si="2974"/>
        <v/>
      </c>
      <c r="D7988" t="str">
        <f t="shared" si="2978"/>
        <v>FPO</v>
      </c>
      <c r="E7988" t="str">
        <f t="shared" si="2979"/>
        <v>AP</v>
      </c>
      <c r="F7988" t="str">
        <f t="shared" si="2975"/>
        <v>963100019</v>
      </c>
      <c r="G7988" t="str">
        <f>T("PSC 561 BOX 1876")</f>
        <v>PSC 561 BOX 1876</v>
      </c>
      <c r="H7988" t="str">
        <f>T("AHOD")</f>
        <v>AHOD</v>
      </c>
      <c r="I7988" t="str">
        <f t="shared" si="2980"/>
        <v>FPO</v>
      </c>
      <c r="J7988" t="str">
        <f t="shared" si="2981"/>
        <v>AP</v>
      </c>
      <c r="K7988" t="str">
        <f>T("000000000000000000")</f>
        <v>000000000000000000</v>
      </c>
      <c r="L7988" t="str">
        <f>T("3152535898")</f>
        <v>3152535898</v>
      </c>
    </row>
    <row r="7989" spans="1:12" x14ac:dyDescent="0.35">
      <c r="A7989" t="str">
        <f t="shared" si="2982"/>
        <v>USMS/MCAS IWAKUNI JAPAN</v>
      </c>
      <c r="B7989" t="str">
        <f>T("PSC 561 BOX 1883")</f>
        <v>PSC 561 BOX 1883</v>
      </c>
      <c r="C7989" t="str">
        <f t="shared" si="2974"/>
        <v/>
      </c>
      <c r="D7989" t="str">
        <f t="shared" si="2978"/>
        <v>FPO</v>
      </c>
      <c r="E7989" t="str">
        <f t="shared" si="2979"/>
        <v>AP</v>
      </c>
      <c r="F7989" t="str">
        <f t="shared" si="2975"/>
        <v>963100019</v>
      </c>
      <c r="G7989" t="str">
        <f>T("H&amp;HS FLIGHT SUPPORT C12 OPS")</f>
        <v>H&amp;HS FLIGHT SUPPORT C12 OPS</v>
      </c>
      <c r="H7989" t="str">
        <f>T("PSC 561 BOX 1883")</f>
        <v>PSC 561 BOX 1883</v>
      </c>
      <c r="I7989" t="str">
        <f t="shared" si="2980"/>
        <v>FPO</v>
      </c>
      <c r="J7989" t="str">
        <f t="shared" si="2981"/>
        <v>AP</v>
      </c>
      <c r="K7989" t="str">
        <f>T("000000000000000000")</f>
        <v>000000000000000000</v>
      </c>
      <c r="L7989" t="str">
        <f>T("3152551003")</f>
        <v>3152551003</v>
      </c>
    </row>
    <row r="7990" spans="1:12" x14ac:dyDescent="0.35">
      <c r="A7990" t="str">
        <f t="shared" si="2982"/>
        <v>USMS/MCAS IWAKUNI JAPAN</v>
      </c>
      <c r="B7990" t="str">
        <f>T("PSC 561 BOX 1883")</f>
        <v>PSC 561 BOX 1883</v>
      </c>
      <c r="C7990" t="str">
        <f t="shared" si="2974"/>
        <v/>
      </c>
      <c r="D7990" t="str">
        <f t="shared" si="2978"/>
        <v>FPO</v>
      </c>
      <c r="E7990" t="str">
        <f t="shared" si="2979"/>
        <v>AP</v>
      </c>
      <c r="F7990" t="str">
        <f t="shared" si="2975"/>
        <v>963100019</v>
      </c>
      <c r="G7990" t="str">
        <f>T("PSC 561 BOX 1883")</f>
        <v>PSC 561 BOX 1883</v>
      </c>
      <c r="H7990" t="str">
        <f>T("")</f>
        <v/>
      </c>
      <c r="I7990" t="str">
        <f t="shared" si="2980"/>
        <v>FPO</v>
      </c>
      <c r="J7990" t="str">
        <f t="shared" si="2981"/>
        <v>AP</v>
      </c>
      <c r="K7990" t="str">
        <f>T("")</f>
        <v/>
      </c>
      <c r="L7990" t="str">
        <f>T("3152533097")</f>
        <v>3152533097</v>
      </c>
    </row>
    <row r="7991" spans="1:12" x14ac:dyDescent="0.35">
      <c r="A7991" t="str">
        <f t="shared" si="2982"/>
        <v>USMS/MCAS IWAKUNI JAPAN</v>
      </c>
      <c r="B7991" t="str">
        <f>T("PSC 561 BOX 1883")</f>
        <v>PSC 561 BOX 1883</v>
      </c>
      <c r="C7991" t="str">
        <f t="shared" si="2974"/>
        <v/>
      </c>
      <c r="D7991" t="str">
        <f t="shared" si="2978"/>
        <v>FPO</v>
      </c>
      <c r="E7991" t="str">
        <f t="shared" si="2979"/>
        <v>AP</v>
      </c>
      <c r="F7991" t="str">
        <f t="shared" si="2975"/>
        <v>963100019</v>
      </c>
      <c r="G7991" t="str">
        <f>T("PSC 561 BOX 1883")</f>
        <v>PSC 561 BOX 1883</v>
      </c>
      <c r="H7991" t="str">
        <f>T("")</f>
        <v/>
      </c>
      <c r="I7991" t="str">
        <f t="shared" si="2980"/>
        <v>FPO</v>
      </c>
      <c r="J7991" t="str">
        <f t="shared" si="2981"/>
        <v>AP</v>
      </c>
      <c r="K7991" t="str">
        <f>T("00181827795100")</f>
        <v>00181827795100</v>
      </c>
      <c r="L7991" t="str">
        <f>T("3152536770")</f>
        <v>3152536770</v>
      </c>
    </row>
    <row r="7992" spans="1:12" x14ac:dyDescent="0.35">
      <c r="A7992" t="str">
        <f t="shared" si="2982"/>
        <v>USMS/MCAS IWAKUNI JAPAN</v>
      </c>
      <c r="B7992" t="str">
        <f>T("PSC 561 BOX 1883")</f>
        <v>PSC 561 BOX 1883</v>
      </c>
      <c r="C7992" t="str">
        <f t="shared" si="2974"/>
        <v/>
      </c>
      <c r="D7992" t="str">
        <f t="shared" si="2978"/>
        <v>FPO</v>
      </c>
      <c r="E7992" t="str">
        <f t="shared" si="2979"/>
        <v>AP</v>
      </c>
      <c r="F7992" t="str">
        <f t="shared" si="2975"/>
        <v>963100019</v>
      </c>
      <c r="G7992" t="str">
        <f>T("PSC 561 BOX 1883")</f>
        <v>PSC 561 BOX 1883</v>
      </c>
      <c r="H7992" t="str">
        <f>T("C-12 OPS MARINE")</f>
        <v>C-12 OPS MARINE</v>
      </c>
      <c r="I7992" t="str">
        <f t="shared" si="2980"/>
        <v>FPO</v>
      </c>
      <c r="J7992" t="str">
        <f t="shared" si="2981"/>
        <v>AP</v>
      </c>
      <c r="K7992" t="str">
        <f>T("000000000000000000")</f>
        <v>000000000000000000</v>
      </c>
      <c r="L7992" t="str">
        <f>T("3152551003")</f>
        <v>3152551003</v>
      </c>
    </row>
    <row r="7993" spans="1:12" x14ac:dyDescent="0.35">
      <c r="A7993" t="str">
        <f t="shared" si="2982"/>
        <v>USMS/MCAS IWAKUNI JAPAN</v>
      </c>
      <c r="B7993" t="str">
        <f>T("PSC 561 BOX 1884")</f>
        <v>PSC 561 BOX 1884</v>
      </c>
      <c r="C7993" t="str">
        <f t="shared" si="2974"/>
        <v/>
      </c>
      <c r="D7993" t="str">
        <f t="shared" si="2978"/>
        <v>FPO</v>
      </c>
      <c r="E7993" t="str">
        <f t="shared" si="2979"/>
        <v>AP</v>
      </c>
      <c r="F7993" t="str">
        <f t="shared" si="2975"/>
        <v>963100019</v>
      </c>
      <c r="G7993" t="str">
        <f>T("DPRI")</f>
        <v>DPRI</v>
      </c>
      <c r="H7993" t="str">
        <f>T("PSC 561 BOX 1884")</f>
        <v>PSC 561 BOX 1884</v>
      </c>
      <c r="I7993" t="str">
        <f t="shared" si="2980"/>
        <v>FPO</v>
      </c>
      <c r="J7993" t="str">
        <f t="shared" si="2981"/>
        <v>AP</v>
      </c>
      <c r="K7993" t="str">
        <f>T("3152533024")</f>
        <v>3152533024</v>
      </c>
      <c r="L7993" t="str">
        <f>T("3152534691")</f>
        <v>3152534691</v>
      </c>
    </row>
    <row r="7994" spans="1:12" x14ac:dyDescent="0.35">
      <c r="A7994" t="str">
        <f t="shared" si="2982"/>
        <v>USMS/MCAS IWAKUNI JAPAN</v>
      </c>
      <c r="B7994" t="str">
        <f>T("PSC 561 BOX 1884")</f>
        <v>PSC 561 BOX 1884</v>
      </c>
      <c r="C7994" t="str">
        <f t="shared" si="2974"/>
        <v/>
      </c>
      <c r="D7994" t="str">
        <f t="shared" si="2978"/>
        <v>FPO</v>
      </c>
      <c r="E7994" t="str">
        <f t="shared" si="2979"/>
        <v>AP</v>
      </c>
      <c r="F7994" t="str">
        <f t="shared" si="2975"/>
        <v>963100019</v>
      </c>
      <c r="G7994" t="str">
        <f>T("DPRI OFFICE")</f>
        <v>DPRI OFFICE</v>
      </c>
      <c r="H7994" t="str">
        <f>T("PSC 561 BOX 1884")</f>
        <v>PSC 561 BOX 1884</v>
      </c>
      <c r="I7994" t="str">
        <f t="shared" si="2980"/>
        <v>FPO</v>
      </c>
      <c r="J7994" t="str">
        <f t="shared" si="2981"/>
        <v>AP</v>
      </c>
      <c r="K7994" t="str">
        <f>T("000000000000000000")</f>
        <v>000000000000000000</v>
      </c>
      <c r="L7994" t="str">
        <f>T("3152533027")</f>
        <v>3152533027</v>
      </c>
    </row>
    <row r="7995" spans="1:12" x14ac:dyDescent="0.35">
      <c r="A7995" t="str">
        <f t="shared" si="2982"/>
        <v>USMS/MCAS IWAKUNI JAPAN</v>
      </c>
      <c r="B7995" t="str">
        <f>T("PSC 561 BOX 1884")</f>
        <v>PSC 561 BOX 1884</v>
      </c>
      <c r="C7995" t="str">
        <f t="shared" si="2974"/>
        <v/>
      </c>
      <c r="D7995" t="str">
        <f t="shared" si="2978"/>
        <v>FPO</v>
      </c>
      <c r="E7995" t="str">
        <f t="shared" si="2979"/>
        <v>AP</v>
      </c>
      <c r="F7995" t="str">
        <f t="shared" si="2975"/>
        <v>963100019</v>
      </c>
      <c r="G7995" t="str">
        <f>T("PSC 561 BOX 1884")</f>
        <v>PSC 561 BOX 1884</v>
      </c>
      <c r="H7995" t="str">
        <f>T("")</f>
        <v/>
      </c>
      <c r="I7995" t="str">
        <f t="shared" si="2980"/>
        <v>FPO</v>
      </c>
      <c r="J7995" t="str">
        <f t="shared" si="2981"/>
        <v>AP</v>
      </c>
      <c r="K7995" t="str">
        <f>T("000000000000000000")</f>
        <v>000000000000000000</v>
      </c>
      <c r="L7995" t="str">
        <f>T("3152533655")</f>
        <v>3152533655</v>
      </c>
    </row>
    <row r="7996" spans="1:12" x14ac:dyDescent="0.35">
      <c r="A7996" t="str">
        <f t="shared" si="2982"/>
        <v>USMS/MCAS IWAKUNI JAPAN</v>
      </c>
      <c r="B7996" t="str">
        <f>T("PSC 561 BOX 1884")</f>
        <v>PSC 561 BOX 1884</v>
      </c>
      <c r="C7996" t="str">
        <f t="shared" si="2974"/>
        <v/>
      </c>
      <c r="D7996" t="str">
        <f t="shared" si="2978"/>
        <v>FPO</v>
      </c>
      <c r="E7996" t="str">
        <f t="shared" si="2979"/>
        <v>AP</v>
      </c>
      <c r="F7996" t="str">
        <f t="shared" si="2975"/>
        <v>963100019</v>
      </c>
      <c r="G7996" t="str">
        <f>T("PSC 561 BOX 1884")</f>
        <v>PSC 561 BOX 1884</v>
      </c>
      <c r="H7996" t="str">
        <f>T("")</f>
        <v/>
      </c>
      <c r="I7996" t="str">
        <f t="shared" si="2980"/>
        <v>FPO</v>
      </c>
      <c r="J7996" t="str">
        <f t="shared" si="2981"/>
        <v>AP</v>
      </c>
      <c r="K7996" t="str">
        <f>T("3152533024")</f>
        <v>3152533024</v>
      </c>
      <c r="L7996" t="str">
        <f>T("1111111111")</f>
        <v>1111111111</v>
      </c>
    </row>
    <row r="7997" spans="1:12" x14ac:dyDescent="0.35">
      <c r="A7997" t="str">
        <f t="shared" si="2982"/>
        <v>USMS/MCAS IWAKUNI JAPAN</v>
      </c>
      <c r="B7997" t="str">
        <f>T("PSC 561 BOX 1886")</f>
        <v>PSC 561 BOX 1886</v>
      </c>
      <c r="C7997" t="str">
        <f t="shared" si="2974"/>
        <v/>
      </c>
      <c r="D7997" t="str">
        <f t="shared" si="2978"/>
        <v>FPO</v>
      </c>
      <c r="E7997" t="str">
        <f t="shared" si="2979"/>
        <v>AP</v>
      </c>
      <c r="F7997" t="str">
        <f t="shared" si="2975"/>
        <v>963100019</v>
      </c>
      <c r="G7997" t="str">
        <f>T("PSC 561 BOX 1872")</f>
        <v>PSC 561 BOX 1872</v>
      </c>
      <c r="H7997" t="str">
        <f>T("")</f>
        <v/>
      </c>
      <c r="I7997" t="str">
        <f t="shared" si="2980"/>
        <v>FPO</v>
      </c>
      <c r="J7997" t="str">
        <f t="shared" si="2981"/>
        <v>AP</v>
      </c>
      <c r="K7997" t="str">
        <f>T("000000000000000000")</f>
        <v>000000000000000000</v>
      </c>
      <c r="L7997" t="str">
        <f>T("3152535691")</f>
        <v>3152535691</v>
      </c>
    </row>
    <row r="7998" spans="1:12" x14ac:dyDescent="0.35">
      <c r="A7998" t="str">
        <f t="shared" si="2982"/>
        <v>USMS/MCAS IWAKUNI JAPAN</v>
      </c>
      <c r="B7998" t="str">
        <f>T("PSC 561 BOX 1886")</f>
        <v>PSC 561 BOX 1886</v>
      </c>
      <c r="C7998" t="str">
        <f t="shared" si="2974"/>
        <v/>
      </c>
      <c r="D7998" t="str">
        <f t="shared" si="2978"/>
        <v>FPO</v>
      </c>
      <c r="E7998" t="str">
        <f t="shared" si="2979"/>
        <v>AP</v>
      </c>
      <c r="F7998" t="str">
        <f t="shared" si="2975"/>
        <v>963100019</v>
      </c>
      <c r="G7998" t="str">
        <f>T("PSC 561 BOX 1886")</f>
        <v>PSC 561 BOX 1886</v>
      </c>
      <c r="H7998" t="str">
        <f>T("")</f>
        <v/>
      </c>
      <c r="I7998" t="str">
        <f t="shared" si="2980"/>
        <v>FPO</v>
      </c>
      <c r="J7998" t="str">
        <f t="shared" si="2981"/>
        <v>AP</v>
      </c>
      <c r="K7998" t="str">
        <f>T("00181827794355")</f>
        <v>00181827794355</v>
      </c>
      <c r="L7998" t="str">
        <f>T("1111111111")</f>
        <v>1111111111</v>
      </c>
    </row>
    <row r="7999" spans="1:12" x14ac:dyDescent="0.35">
      <c r="A7999" t="str">
        <f t="shared" si="2982"/>
        <v>USMS/MCAS IWAKUNI JAPAN</v>
      </c>
      <c r="B7999" t="str">
        <f>T("PSC 561 BOX 1888")</f>
        <v>PSC 561 BOX 1888</v>
      </c>
      <c r="C7999" t="str">
        <f t="shared" si="2974"/>
        <v/>
      </c>
      <c r="D7999" t="str">
        <f t="shared" si="2978"/>
        <v>FPO</v>
      </c>
      <c r="E7999" t="str">
        <f t="shared" si="2979"/>
        <v>AP</v>
      </c>
      <c r="F7999" t="str">
        <f t="shared" si="2975"/>
        <v>963100019</v>
      </c>
      <c r="G7999" t="str">
        <f>T("H&amp;HS/COMPTROLLER")</f>
        <v>H&amp;HS/COMPTROLLER</v>
      </c>
      <c r="H7999" t="str">
        <f>T("PSC 561 BOX 1888")</f>
        <v>PSC 561 BOX 1888</v>
      </c>
      <c r="I7999" t="str">
        <f t="shared" si="2980"/>
        <v>FPO</v>
      </c>
      <c r="J7999" t="str">
        <f t="shared" si="2981"/>
        <v>AP</v>
      </c>
      <c r="K7999" t="str">
        <f>T("000000000000000000")</f>
        <v>000000000000000000</v>
      </c>
      <c r="L7999" t="str">
        <f>T("1827795671")</f>
        <v>1827795671</v>
      </c>
    </row>
    <row r="8000" spans="1:12" x14ac:dyDescent="0.35">
      <c r="A8000" t="str">
        <f t="shared" si="2982"/>
        <v>USMS/MCAS IWAKUNI JAPAN</v>
      </c>
      <c r="B8000" t="str">
        <f>T("PSC 561 BOX 1888")</f>
        <v>PSC 561 BOX 1888</v>
      </c>
      <c r="C8000" t="str">
        <f t="shared" si="2974"/>
        <v/>
      </c>
      <c r="D8000" t="str">
        <f t="shared" si="2978"/>
        <v>FPO</v>
      </c>
      <c r="E8000" t="str">
        <f t="shared" si="2979"/>
        <v>AP</v>
      </c>
      <c r="F8000" t="str">
        <f t="shared" si="2975"/>
        <v>963100019</v>
      </c>
      <c r="G8000" t="str">
        <f>T("PSC 561 BOX 1888")</f>
        <v>PSC 561 BOX 1888</v>
      </c>
      <c r="H8000" t="str">
        <f>T("")</f>
        <v/>
      </c>
      <c r="I8000" t="str">
        <f t="shared" si="2980"/>
        <v>FPO</v>
      </c>
      <c r="J8000" t="str">
        <f t="shared" si="2981"/>
        <v>AP</v>
      </c>
      <c r="K8000" t="str">
        <f>T("3152535287")</f>
        <v>3152535287</v>
      </c>
      <c r="L8000" t="str">
        <f>T("3152534210")</f>
        <v>3152534210</v>
      </c>
    </row>
    <row r="8001" spans="1:12" x14ac:dyDescent="0.35">
      <c r="A8001" t="str">
        <f t="shared" si="2982"/>
        <v>USMS/MCAS IWAKUNI JAPAN</v>
      </c>
      <c r="B8001" t="str">
        <f>T("PSC 561 BOX 1896")</f>
        <v>PSC 561 BOX 1896</v>
      </c>
      <c r="C8001" t="str">
        <f>T("LMR")</f>
        <v>LMR</v>
      </c>
      <c r="D8001" t="str">
        <f t="shared" si="2978"/>
        <v>FPO</v>
      </c>
      <c r="E8001" t="str">
        <f t="shared" si="2979"/>
        <v>AP</v>
      </c>
      <c r="F8001" t="str">
        <f t="shared" si="2975"/>
        <v>963100019</v>
      </c>
      <c r="G8001" t="str">
        <f>T("LMR")</f>
        <v>LMR</v>
      </c>
      <c r="H8001" t="str">
        <f>T("PSC 561 BOX 1896")</f>
        <v>PSC 561 BOX 1896</v>
      </c>
      <c r="I8001" t="str">
        <f t="shared" si="2980"/>
        <v>FPO</v>
      </c>
      <c r="J8001" t="str">
        <f t="shared" si="2981"/>
        <v>AP</v>
      </c>
      <c r="K8001" t="str">
        <f>T("000000000000000000")</f>
        <v>000000000000000000</v>
      </c>
      <c r="L8001" t="str">
        <f>T("1111111111")</f>
        <v>1111111111</v>
      </c>
    </row>
    <row r="8002" spans="1:12" x14ac:dyDescent="0.35">
      <c r="A8002" t="str">
        <f t="shared" si="2982"/>
        <v>USMS/MCAS IWAKUNI JAPAN</v>
      </c>
      <c r="B8002" t="str">
        <f>T("PSC 561 BOX 1896")</f>
        <v>PSC 561 BOX 1896</v>
      </c>
      <c r="C8002" t="str">
        <f>T("LMR")</f>
        <v>LMR</v>
      </c>
      <c r="D8002" t="str">
        <f t="shared" si="2978"/>
        <v>FPO</v>
      </c>
      <c r="E8002" t="str">
        <f t="shared" si="2979"/>
        <v>AP</v>
      </c>
      <c r="F8002" t="str">
        <f t="shared" si="2975"/>
        <v>963100019</v>
      </c>
      <c r="G8002" t="str">
        <f>T("PSC 561 BOX 1896")</f>
        <v>PSC 561 BOX 1896</v>
      </c>
      <c r="H8002" t="str">
        <f>T("LMR")</f>
        <v>LMR</v>
      </c>
      <c r="I8002" t="str">
        <f t="shared" si="2980"/>
        <v>FPO</v>
      </c>
      <c r="J8002" t="str">
        <f t="shared" si="2981"/>
        <v>AP</v>
      </c>
      <c r="K8002" t="str">
        <f>T("3152536066")</f>
        <v>3152536066</v>
      </c>
      <c r="L8002" t="str">
        <f>T("3152535530")</f>
        <v>3152535530</v>
      </c>
    </row>
    <row r="8003" spans="1:12" x14ac:dyDescent="0.35">
      <c r="A8003" t="str">
        <f t="shared" si="2982"/>
        <v>USMS/MCAS IWAKUNI JAPAN</v>
      </c>
      <c r="B8003" t="str">
        <f>T("SAFETY CENTER")</f>
        <v>SAFETY CENTER</v>
      </c>
      <c r="C8003" t="str">
        <f>T("PSC 561 BOX 1872")</f>
        <v>PSC 561 BOX 1872</v>
      </c>
      <c r="D8003" t="str">
        <f t="shared" si="2978"/>
        <v>FPO</v>
      </c>
      <c r="E8003" t="str">
        <f t="shared" si="2979"/>
        <v>AP</v>
      </c>
      <c r="F8003" t="str">
        <f t="shared" si="2975"/>
        <v>963100019</v>
      </c>
      <c r="G8003" t="str">
        <f>T("PSC 561")</f>
        <v>PSC 561</v>
      </c>
      <c r="H8003" t="str">
        <f>T("BOX 1881")</f>
        <v>BOX 1881</v>
      </c>
      <c r="I8003" t="str">
        <f t="shared" si="2980"/>
        <v>FPO</v>
      </c>
      <c r="J8003" t="str">
        <f t="shared" si="2981"/>
        <v>AP</v>
      </c>
      <c r="K8003" t="str">
        <f>T("000000000000000000")</f>
        <v>000000000000000000</v>
      </c>
      <c r="L8003" t="str">
        <f>T("3152536381")</f>
        <v>3152536381</v>
      </c>
    </row>
    <row r="8004" spans="1:12" x14ac:dyDescent="0.35">
      <c r="A8004" t="str">
        <f t="shared" si="2982"/>
        <v>USMS/MCAS IWAKUNI JAPAN</v>
      </c>
      <c r="B8004" t="str">
        <f>T("SAFETY CENTER")</f>
        <v>SAFETY CENTER</v>
      </c>
      <c r="C8004" t="str">
        <f>T("PSC 561 BOX 1872")</f>
        <v>PSC 561 BOX 1872</v>
      </c>
      <c r="D8004" t="str">
        <f t="shared" si="2978"/>
        <v>FPO</v>
      </c>
      <c r="E8004" t="str">
        <f t="shared" si="2979"/>
        <v>AP</v>
      </c>
      <c r="F8004" t="str">
        <f t="shared" si="2975"/>
        <v>963100019</v>
      </c>
      <c r="G8004" t="str">
        <f>T("SAFETY CENTER")</f>
        <v>SAFETY CENTER</v>
      </c>
      <c r="H8004" t="str">
        <f>T("PSC 561 BOX 1872")</f>
        <v>PSC 561 BOX 1872</v>
      </c>
      <c r="I8004" t="str">
        <f t="shared" si="2980"/>
        <v>FPO</v>
      </c>
      <c r="J8004" t="str">
        <f t="shared" si="2981"/>
        <v>AP</v>
      </c>
      <c r="K8004" t="str">
        <f>T("3152536441")</f>
        <v>3152536441</v>
      </c>
      <c r="L8004" t="str">
        <f>T("3152534131")</f>
        <v>3152534131</v>
      </c>
    </row>
    <row r="8005" spans="1:12" x14ac:dyDescent="0.35">
      <c r="A8005" t="str">
        <f t="shared" si="2982"/>
        <v>USMS/MCAS IWAKUNI JAPAN</v>
      </c>
      <c r="B8005" t="str">
        <f>T("STATION JUDGE ADVOCATE")</f>
        <v>STATION JUDGE ADVOCATE</v>
      </c>
      <c r="C8005" t="str">
        <f>T("PSC 561 BOX 1895")</f>
        <v>PSC 561 BOX 1895</v>
      </c>
      <c r="D8005" t="str">
        <f t="shared" si="2978"/>
        <v>FPO</v>
      </c>
      <c r="E8005" t="str">
        <f t="shared" si="2979"/>
        <v>AP</v>
      </c>
      <c r="F8005" t="str">
        <f t="shared" si="2975"/>
        <v>963100019</v>
      </c>
      <c r="G8005" t="str">
        <f>T("STATION JUDGE ADVOCATE")</f>
        <v>STATION JUDGE ADVOCATE</v>
      </c>
      <c r="H8005" t="str">
        <f>T("PSC 561 BOX 1872")</f>
        <v>PSC 561 BOX 1872</v>
      </c>
      <c r="I8005" t="str">
        <f t="shared" si="2980"/>
        <v>FPO</v>
      </c>
      <c r="J8005" t="str">
        <f t="shared" si="2981"/>
        <v>AP</v>
      </c>
      <c r="K8005" t="str">
        <f>T("000000000000000000")</f>
        <v>000000000000000000</v>
      </c>
      <c r="L8005" t="str">
        <f>T("3152535906")</f>
        <v>3152535906</v>
      </c>
    </row>
    <row r="8006" spans="1:12" x14ac:dyDescent="0.35">
      <c r="A8006" t="str">
        <f t="shared" si="2982"/>
        <v>USMS/MCAS IWAKUNI JAPAN</v>
      </c>
      <c r="B8006" t="str">
        <f>T("STATION JUDGE ADVOCATE")</f>
        <v>STATION JUDGE ADVOCATE</v>
      </c>
      <c r="C8006" t="str">
        <f>T("PSC 561 BOX 1895")</f>
        <v>PSC 561 BOX 1895</v>
      </c>
      <c r="D8006" t="str">
        <f t="shared" si="2978"/>
        <v>FPO</v>
      </c>
      <c r="E8006" t="str">
        <f t="shared" si="2979"/>
        <v>AP</v>
      </c>
      <c r="F8006" t="str">
        <f t="shared" si="2975"/>
        <v>963100019</v>
      </c>
      <c r="G8006" t="str">
        <f>T("STATION JUDGE ADVOCATE")</f>
        <v>STATION JUDGE ADVOCATE</v>
      </c>
      <c r="H8006" t="str">
        <f>T("PSC 561 BOX 1895")</f>
        <v>PSC 561 BOX 1895</v>
      </c>
      <c r="I8006" t="str">
        <f t="shared" si="2980"/>
        <v>FPO</v>
      </c>
      <c r="J8006" t="str">
        <f t="shared" si="2981"/>
        <v>AP</v>
      </c>
      <c r="K8006" t="str">
        <f>T("01181827795275")</f>
        <v>01181827795275</v>
      </c>
      <c r="L8006" t="str">
        <f>T("1111111111")</f>
        <v>1111111111</v>
      </c>
    </row>
    <row r="8007" spans="1:12" x14ac:dyDescent="0.35">
      <c r="A8007" t="str">
        <f t="shared" si="2982"/>
        <v>USMS/MCAS IWAKUNI JAPAN</v>
      </c>
      <c r="B8007" t="str">
        <f>T("TELEPHONE OFFICE")</f>
        <v>TELEPHONE OFFICE</v>
      </c>
      <c r="C8007" t="str">
        <f>T("PSC 561 BOX 1896")</f>
        <v>PSC 561 BOX 1896</v>
      </c>
      <c r="D8007" t="str">
        <f t="shared" si="2978"/>
        <v>FPO</v>
      </c>
      <c r="E8007" t="str">
        <f t="shared" si="2979"/>
        <v>AP</v>
      </c>
      <c r="F8007" t="str">
        <f t="shared" si="2975"/>
        <v>963100019</v>
      </c>
      <c r="G8007" t="str">
        <f>T("PSC 561 BOX 1896")</f>
        <v>PSC 561 BOX 1896</v>
      </c>
      <c r="H8007" t="str">
        <f>T("")</f>
        <v/>
      </c>
      <c r="I8007" t="str">
        <f t="shared" si="2980"/>
        <v>FPO</v>
      </c>
      <c r="J8007" t="str">
        <f t="shared" si="2981"/>
        <v>AP</v>
      </c>
      <c r="K8007" t="str">
        <f>T("000000000000000000")</f>
        <v>000000000000000000</v>
      </c>
      <c r="L8007" t="str">
        <f>T("3152534511")</f>
        <v>3152534511</v>
      </c>
    </row>
    <row r="8008" spans="1:12" x14ac:dyDescent="0.35">
      <c r="A8008" t="str">
        <f t="shared" si="2982"/>
        <v>USMS/MCAS IWAKUNI JAPAN</v>
      </c>
      <c r="B8008" t="str">
        <f>T("TELEPHONE OFFICE")</f>
        <v>TELEPHONE OFFICE</v>
      </c>
      <c r="C8008" t="str">
        <f>T("PSC 561 BOX 1896")</f>
        <v>PSC 561 BOX 1896</v>
      </c>
      <c r="D8008" t="str">
        <f t="shared" si="2978"/>
        <v>FPO</v>
      </c>
      <c r="E8008" t="str">
        <f t="shared" si="2979"/>
        <v>AP</v>
      </c>
      <c r="F8008" t="str">
        <f t="shared" si="2975"/>
        <v>963100019</v>
      </c>
      <c r="G8008" t="str">
        <f>T("PSC 561 BOX 1896")</f>
        <v>PSC 561 BOX 1896</v>
      </c>
      <c r="H8008" t="str">
        <f>T("")</f>
        <v/>
      </c>
      <c r="I8008" t="str">
        <f t="shared" si="2980"/>
        <v>FPO</v>
      </c>
      <c r="J8008" t="str">
        <f t="shared" si="2981"/>
        <v>AP</v>
      </c>
      <c r="K8008" t="str">
        <f>T("000000000000000000")</f>
        <v>000000000000000000</v>
      </c>
      <c r="L8008" t="str">
        <f>T("3152536905")</f>
        <v>3152536905</v>
      </c>
    </row>
    <row r="8009" spans="1:12" x14ac:dyDescent="0.35">
      <c r="A8009" t="str">
        <f t="shared" si="2982"/>
        <v>USMS/MCAS IWAKUNI JAPAN</v>
      </c>
      <c r="B8009" t="str">
        <f>T("TELEPHONE OFFICE")</f>
        <v>TELEPHONE OFFICE</v>
      </c>
      <c r="C8009" t="str">
        <f>T("PSC 561 BOX 1896")</f>
        <v>PSC 561 BOX 1896</v>
      </c>
      <c r="D8009" t="str">
        <f t="shared" si="2978"/>
        <v>FPO</v>
      </c>
      <c r="E8009" t="str">
        <f t="shared" si="2979"/>
        <v>AP</v>
      </c>
      <c r="F8009" t="str">
        <f t="shared" si="2975"/>
        <v>963100019</v>
      </c>
      <c r="G8009" t="str">
        <f>T("TELEPHONE OFFICE")</f>
        <v>TELEPHONE OFFICE</v>
      </c>
      <c r="H8009" t="str">
        <f>T("PSC 561 BOX 1896")</f>
        <v>PSC 561 BOX 1896</v>
      </c>
      <c r="I8009" t="str">
        <f t="shared" si="2980"/>
        <v>FPO</v>
      </c>
      <c r="J8009" t="str">
        <f t="shared" si="2981"/>
        <v>AP</v>
      </c>
      <c r="K8009" t="str">
        <f>T("3152536606")</f>
        <v>3152536606</v>
      </c>
      <c r="L8009" t="str">
        <f>T("3152535530")</f>
        <v>3152535530</v>
      </c>
    </row>
    <row r="8010" spans="1:12" x14ac:dyDescent="0.35">
      <c r="A8010" t="str">
        <f t="shared" ref="A8010:A8041" si="2983">T("RCO NE")</f>
        <v>RCO NE</v>
      </c>
      <c r="B8010" t="str">
        <f t="shared" ref="B8010:B8017" si="2984">T("2006 HAWKINS AVE")</f>
        <v>2006 HAWKINS AVE</v>
      </c>
      <c r="C8010" t="str">
        <f>T("")</f>
        <v/>
      </c>
      <c r="D8010" t="str">
        <f t="shared" ref="D8010:D8041" si="2985">T("QUANTICO")</f>
        <v>QUANTICO</v>
      </c>
      <c r="E8010" t="str">
        <f t="shared" ref="E8010:E8041" si="2986">T("VA")</f>
        <v>VA</v>
      </c>
      <c r="F8010" t="str">
        <f t="shared" ref="F8010:F8017" si="2987">T("221345118")</f>
        <v>221345118</v>
      </c>
      <c r="G8010" t="str">
        <f>T("2006 HAWKINS AVE")</f>
        <v>2006 HAWKINS AVE</v>
      </c>
      <c r="H8010" t="str">
        <f>T("")</f>
        <v/>
      </c>
      <c r="I8010" t="str">
        <f t="shared" ref="I8010:I8041" si="2988">T("QUANTICO")</f>
        <v>QUANTICO</v>
      </c>
      <c r="J8010" t="str">
        <f t="shared" ref="J8010:J8041" si="2989">T("VA")</f>
        <v>VA</v>
      </c>
      <c r="K8010" t="str">
        <f>T("7037842612")</f>
        <v>7037842612</v>
      </c>
      <c r="L8010" t="str">
        <f>T("7037842516")</f>
        <v>7037842516</v>
      </c>
    </row>
    <row r="8011" spans="1:12" x14ac:dyDescent="0.35">
      <c r="A8011" t="str">
        <f t="shared" si="2983"/>
        <v>RCO NE</v>
      </c>
      <c r="B8011" t="str">
        <f t="shared" si="2984"/>
        <v>2006 HAWKINS AVE</v>
      </c>
      <c r="C8011" t="str">
        <f>T("")</f>
        <v/>
      </c>
      <c r="D8011" t="str">
        <f t="shared" si="2985"/>
        <v>QUANTICO</v>
      </c>
      <c r="E8011" t="str">
        <f t="shared" si="2986"/>
        <v>VA</v>
      </c>
      <c r="F8011" t="str">
        <f t="shared" si="2987"/>
        <v>221345118</v>
      </c>
      <c r="G8011" t="str">
        <f>T("2007 ELLIOT ROAD")</f>
        <v>2007 ELLIOT ROAD</v>
      </c>
      <c r="H8011" t="str">
        <f>T("")</f>
        <v/>
      </c>
      <c r="I8011" t="str">
        <f t="shared" si="2988"/>
        <v>QUANTICO</v>
      </c>
      <c r="J8011" t="str">
        <f t="shared" si="2989"/>
        <v>VA</v>
      </c>
      <c r="K8011" t="str">
        <f>T("000000000000000000")</f>
        <v>000000000000000000</v>
      </c>
      <c r="L8011" t="str">
        <f>T("7034320101")</f>
        <v>7034320101</v>
      </c>
    </row>
    <row r="8012" spans="1:12" x14ac:dyDescent="0.35">
      <c r="A8012" t="str">
        <f t="shared" si="2983"/>
        <v>RCO NE</v>
      </c>
      <c r="B8012" t="str">
        <f t="shared" si="2984"/>
        <v>2006 HAWKINS AVE</v>
      </c>
      <c r="C8012" t="str">
        <f>T("")</f>
        <v/>
      </c>
      <c r="D8012" t="str">
        <f t="shared" si="2985"/>
        <v>QUANTICO</v>
      </c>
      <c r="E8012" t="str">
        <f t="shared" si="2986"/>
        <v>VA</v>
      </c>
      <c r="F8012" t="str">
        <f t="shared" si="2987"/>
        <v>221345118</v>
      </c>
      <c r="G8012" t="str">
        <f>T("2007 ELLIOTT ROAD")</f>
        <v>2007 ELLIOTT ROAD</v>
      </c>
      <c r="H8012" t="str">
        <f>T("S4")</f>
        <v>S4</v>
      </c>
      <c r="I8012" t="str">
        <f t="shared" si="2988"/>
        <v>QUANTICO</v>
      </c>
      <c r="J8012" t="str">
        <f t="shared" si="2989"/>
        <v>VA</v>
      </c>
      <c r="K8012" t="str">
        <f>T("000000000000000000")</f>
        <v>000000000000000000</v>
      </c>
      <c r="L8012" t="str">
        <f>T("7034321303")</f>
        <v>7034321303</v>
      </c>
    </row>
    <row r="8013" spans="1:12" x14ac:dyDescent="0.35">
      <c r="A8013" t="str">
        <f t="shared" si="2983"/>
        <v>RCO NE</v>
      </c>
      <c r="B8013" t="str">
        <f t="shared" si="2984"/>
        <v>2006 HAWKINS AVE</v>
      </c>
      <c r="C8013" t="str">
        <f>T("")</f>
        <v/>
      </c>
      <c r="D8013" t="str">
        <f t="shared" si="2985"/>
        <v>QUANTICO</v>
      </c>
      <c r="E8013" t="str">
        <f t="shared" si="2986"/>
        <v>VA</v>
      </c>
      <c r="F8013" t="str">
        <f t="shared" si="2987"/>
        <v>221345118</v>
      </c>
      <c r="G8013" t="str">
        <f>T("27279 BROWNING RD")</f>
        <v>27279 BROWNING RD</v>
      </c>
      <c r="H8013" t="str">
        <f>T("UNIT 7")</f>
        <v>UNIT 7</v>
      </c>
      <c r="I8013" t="str">
        <f t="shared" si="2988"/>
        <v>QUANTICO</v>
      </c>
      <c r="J8013" t="str">
        <f t="shared" si="2989"/>
        <v>VA</v>
      </c>
      <c r="K8013" t="str">
        <f>T("000000000000000000")</f>
        <v>000000000000000000</v>
      </c>
      <c r="L8013" t="str">
        <f>T("7034321303")</f>
        <v>7034321303</v>
      </c>
    </row>
    <row r="8014" spans="1:12" x14ac:dyDescent="0.35">
      <c r="A8014" t="str">
        <f t="shared" si="2983"/>
        <v>RCO NE</v>
      </c>
      <c r="B8014" t="str">
        <f t="shared" si="2984"/>
        <v>2006 HAWKINS AVE</v>
      </c>
      <c r="C8014" t="str">
        <f>T("RM237")</f>
        <v>RM237</v>
      </c>
      <c r="D8014" t="str">
        <f t="shared" si="2985"/>
        <v>QUANTICO</v>
      </c>
      <c r="E8014" t="str">
        <f t="shared" si="2986"/>
        <v>VA</v>
      </c>
      <c r="F8014" t="str">
        <f t="shared" si="2987"/>
        <v>221345118</v>
      </c>
      <c r="G8014" t="str">
        <f>T("2006 HAWKINS AVE")</f>
        <v>2006 HAWKINS AVE</v>
      </c>
      <c r="H8014" t="str">
        <f>T("")</f>
        <v/>
      </c>
      <c r="I8014" t="str">
        <f t="shared" si="2988"/>
        <v>QUANTICO</v>
      </c>
      <c r="J8014" t="str">
        <f t="shared" si="2989"/>
        <v>VA</v>
      </c>
      <c r="K8014" t="str">
        <f>T("7037840068")</f>
        <v>7037840068</v>
      </c>
      <c r="L8014" t="str">
        <f>T("7037842664")</f>
        <v>7037842664</v>
      </c>
    </row>
    <row r="8015" spans="1:12" x14ac:dyDescent="0.35">
      <c r="A8015" t="str">
        <f t="shared" si="2983"/>
        <v>RCO NE</v>
      </c>
      <c r="B8015" t="str">
        <f t="shared" si="2984"/>
        <v>2006 HAWKINS AVE</v>
      </c>
      <c r="C8015" t="str">
        <f>T("RM237")</f>
        <v>RM237</v>
      </c>
      <c r="D8015" t="str">
        <f t="shared" si="2985"/>
        <v>QUANTICO</v>
      </c>
      <c r="E8015" t="str">
        <f t="shared" si="2986"/>
        <v>VA</v>
      </c>
      <c r="F8015" t="str">
        <f t="shared" si="2987"/>
        <v>221345118</v>
      </c>
      <c r="G8015" t="str">
        <f>T("2006 HAWKINS AVE")</f>
        <v>2006 HAWKINS AVE</v>
      </c>
      <c r="H8015" t="str">
        <f>T("RM237")</f>
        <v>RM237</v>
      </c>
      <c r="I8015" t="str">
        <f t="shared" si="2988"/>
        <v>QUANTICO</v>
      </c>
      <c r="J8015" t="str">
        <f t="shared" si="2989"/>
        <v>VA</v>
      </c>
      <c r="K8015" t="str">
        <f>T("7037840068")</f>
        <v>7037840068</v>
      </c>
      <c r="L8015" t="str">
        <f>T("7037842664")</f>
        <v>7037842664</v>
      </c>
    </row>
    <row r="8016" spans="1:12" x14ac:dyDescent="0.35">
      <c r="A8016" t="str">
        <f t="shared" si="2983"/>
        <v>RCO NE</v>
      </c>
      <c r="B8016" t="str">
        <f t="shared" si="2984"/>
        <v>2006 HAWKINS AVE</v>
      </c>
      <c r="C8016" t="str">
        <f>T("RM237")</f>
        <v>RM237</v>
      </c>
      <c r="D8016" t="str">
        <f t="shared" si="2985"/>
        <v>QUANTICO</v>
      </c>
      <c r="E8016" t="str">
        <f t="shared" si="2986"/>
        <v>VA</v>
      </c>
      <c r="F8016" t="str">
        <f t="shared" si="2987"/>
        <v>221345118</v>
      </c>
      <c r="G8016" t="str">
        <f>T("2006 HAWKINS AVE")</f>
        <v>2006 HAWKINS AVE</v>
      </c>
      <c r="H8016" t="str">
        <f>T("SUPPLY")</f>
        <v>SUPPLY</v>
      </c>
      <c r="I8016" t="str">
        <f t="shared" si="2988"/>
        <v>QUANTICO</v>
      </c>
      <c r="J8016" t="str">
        <f t="shared" si="2989"/>
        <v>VA</v>
      </c>
      <c r="K8016" t="str">
        <f>T("7037840068")</f>
        <v>7037840068</v>
      </c>
      <c r="L8016" t="str">
        <f>T("7037842664")</f>
        <v>7037842664</v>
      </c>
    </row>
    <row r="8017" spans="1:12" x14ac:dyDescent="0.35">
      <c r="A8017" t="str">
        <f t="shared" si="2983"/>
        <v>RCO NE</v>
      </c>
      <c r="B8017" t="str">
        <f t="shared" si="2984"/>
        <v>2006 HAWKINS AVE</v>
      </c>
      <c r="C8017" t="str">
        <f>T("RM237")</f>
        <v>RM237</v>
      </c>
      <c r="D8017" t="str">
        <f t="shared" si="2985"/>
        <v>QUANTICO</v>
      </c>
      <c r="E8017" t="str">
        <f t="shared" si="2986"/>
        <v>VA</v>
      </c>
      <c r="F8017" t="str">
        <f t="shared" si="2987"/>
        <v>221345118</v>
      </c>
      <c r="G8017" t="str">
        <f>T("2006 HAWKINS AVENUE")</f>
        <v>2006 HAWKINS AVENUE</v>
      </c>
      <c r="H8017" t="str">
        <f t="shared" ref="H8017:H8028" si="2990">T("")</f>
        <v/>
      </c>
      <c r="I8017" t="str">
        <f t="shared" si="2988"/>
        <v>QUANTICO</v>
      </c>
      <c r="J8017" t="str">
        <f t="shared" si="2989"/>
        <v>VA</v>
      </c>
      <c r="K8017" t="str">
        <f>T("000000000000000000")</f>
        <v>000000000000000000</v>
      </c>
      <c r="L8017" t="str">
        <f>T("7037842664")</f>
        <v>7037842664</v>
      </c>
    </row>
    <row r="8018" spans="1:12" x14ac:dyDescent="0.35">
      <c r="A8018" t="str">
        <f t="shared" si="2983"/>
        <v>RCO NE</v>
      </c>
      <c r="B8018" t="str">
        <f>T("2010 HENDERSON RD")</f>
        <v>2010 HENDERSON RD</v>
      </c>
      <c r="C8018" t="str">
        <f t="shared" ref="C8018:C8028" si="2991">T("")</f>
        <v/>
      </c>
      <c r="D8018" t="str">
        <f t="shared" si="2985"/>
        <v>QUANTICO</v>
      </c>
      <c r="E8018" t="str">
        <f t="shared" si="2986"/>
        <v>VA</v>
      </c>
      <c r="F8018" t="str">
        <f>T("221345119")</f>
        <v>221345119</v>
      </c>
      <c r="G8018" t="str">
        <f>T("2010 HENDERSON RD")</f>
        <v>2010 HENDERSON RD</v>
      </c>
      <c r="H8018" t="str">
        <f t="shared" si="2990"/>
        <v/>
      </c>
      <c r="I8018" t="str">
        <f t="shared" si="2988"/>
        <v>QUANTICO</v>
      </c>
      <c r="J8018" t="str">
        <f t="shared" si="2989"/>
        <v>VA</v>
      </c>
      <c r="K8018" t="str">
        <f>T("7037843592")</f>
        <v>7037843592</v>
      </c>
      <c r="L8018" t="str">
        <f>T("7037843591")</f>
        <v>7037843591</v>
      </c>
    </row>
    <row r="8019" spans="1:12" x14ac:dyDescent="0.35">
      <c r="A8019" t="str">
        <f t="shared" si="2983"/>
        <v>RCO NE</v>
      </c>
      <c r="B8019" t="str">
        <f>T("2010 HENDERSON RD")</f>
        <v>2010 HENDERSON RD</v>
      </c>
      <c r="C8019" t="str">
        <f t="shared" si="2991"/>
        <v/>
      </c>
      <c r="D8019" t="str">
        <f t="shared" si="2985"/>
        <v>QUANTICO</v>
      </c>
      <c r="E8019" t="str">
        <f t="shared" si="2986"/>
        <v>VA</v>
      </c>
      <c r="F8019" t="str">
        <f>T("221345119")</f>
        <v>221345119</v>
      </c>
      <c r="G8019" t="str">
        <f>T("2010 HENDERSON RD")</f>
        <v>2010 HENDERSON RD</v>
      </c>
      <c r="H8019" t="str">
        <f t="shared" si="2990"/>
        <v/>
      </c>
      <c r="I8019" t="str">
        <f t="shared" si="2988"/>
        <v>QUANTICO</v>
      </c>
      <c r="J8019" t="str">
        <f t="shared" si="2989"/>
        <v>VA</v>
      </c>
      <c r="K8019" t="str">
        <f>T("7037845908")</f>
        <v>7037845908</v>
      </c>
      <c r="L8019" t="str">
        <f>T("7037841926")</f>
        <v>7037841926</v>
      </c>
    </row>
    <row r="8020" spans="1:12" x14ac:dyDescent="0.35">
      <c r="A8020" t="str">
        <f t="shared" si="2983"/>
        <v>RCO NE</v>
      </c>
      <c r="B8020" t="str">
        <f>T("2010 HENDERSON RD")</f>
        <v>2010 HENDERSON RD</v>
      </c>
      <c r="C8020" t="str">
        <f t="shared" si="2991"/>
        <v/>
      </c>
      <c r="D8020" t="str">
        <f t="shared" si="2985"/>
        <v>QUANTICO</v>
      </c>
      <c r="E8020" t="str">
        <f t="shared" si="2986"/>
        <v>VA</v>
      </c>
      <c r="F8020" t="str">
        <f>T("221345119")</f>
        <v>221345119</v>
      </c>
      <c r="G8020" t="str">
        <f>T("2010 HENDERSON RD")</f>
        <v>2010 HENDERSON RD</v>
      </c>
      <c r="H8020" t="str">
        <f t="shared" si="2990"/>
        <v/>
      </c>
      <c r="I8020" t="str">
        <f t="shared" si="2988"/>
        <v>QUANTICO</v>
      </c>
      <c r="J8020" t="str">
        <f t="shared" si="2989"/>
        <v>VA</v>
      </c>
      <c r="K8020" t="str">
        <f>T("7037845908")</f>
        <v>7037845908</v>
      </c>
      <c r="L8020" t="str">
        <f>T("7037845701")</f>
        <v>7037845701</v>
      </c>
    </row>
    <row r="8021" spans="1:12" x14ac:dyDescent="0.35">
      <c r="A8021" t="str">
        <f t="shared" si="2983"/>
        <v>RCO NE</v>
      </c>
      <c r="B8021" t="str">
        <f>T("2011 ZEILIN RD")</f>
        <v>2011 ZEILIN RD</v>
      </c>
      <c r="C8021" t="str">
        <f t="shared" si="2991"/>
        <v/>
      </c>
      <c r="D8021" t="str">
        <f t="shared" si="2985"/>
        <v>QUANTICO</v>
      </c>
      <c r="E8021" t="str">
        <f t="shared" si="2986"/>
        <v>VA</v>
      </c>
      <c r="F8021" t="str">
        <f>T("221345131")</f>
        <v>221345131</v>
      </c>
      <c r="G8021" t="str">
        <f>T("2011 ZEILIN RD")</f>
        <v>2011 ZEILIN RD</v>
      </c>
      <c r="H8021" t="str">
        <f t="shared" si="2990"/>
        <v/>
      </c>
      <c r="I8021" t="str">
        <f t="shared" si="2988"/>
        <v>QUANTICO</v>
      </c>
      <c r="J8021" t="str">
        <f t="shared" si="2989"/>
        <v>VA</v>
      </c>
      <c r="K8021" t="str">
        <f>T("7034320027")</f>
        <v>7034320027</v>
      </c>
      <c r="L8021" t="str">
        <f>T("7037842448")</f>
        <v>7037842448</v>
      </c>
    </row>
    <row r="8022" spans="1:12" x14ac:dyDescent="0.35">
      <c r="A8022" t="str">
        <f t="shared" si="2983"/>
        <v>RCO NE</v>
      </c>
      <c r="B8022" t="str">
        <f>T("2011 ZEILIN RD")</f>
        <v>2011 ZEILIN RD</v>
      </c>
      <c r="C8022" t="str">
        <f t="shared" si="2991"/>
        <v/>
      </c>
      <c r="D8022" t="str">
        <f t="shared" si="2985"/>
        <v>QUANTICO</v>
      </c>
      <c r="E8022" t="str">
        <f t="shared" si="2986"/>
        <v>VA</v>
      </c>
      <c r="F8022" t="str">
        <f>T("221345131")</f>
        <v>221345131</v>
      </c>
      <c r="G8022" t="str">
        <f>T("2011 ZIELIN RD")</f>
        <v>2011 ZIELIN RD</v>
      </c>
      <c r="H8022" t="str">
        <f t="shared" si="2990"/>
        <v/>
      </c>
      <c r="I8022" t="str">
        <f t="shared" si="2988"/>
        <v>QUANTICO</v>
      </c>
      <c r="J8022" t="str">
        <f t="shared" si="2989"/>
        <v>VA</v>
      </c>
      <c r="K8022" t="str">
        <f>T("000000000000000000")</f>
        <v>000000000000000000</v>
      </c>
      <c r="L8022" t="str">
        <f>T("7037842448")</f>
        <v>7037842448</v>
      </c>
    </row>
    <row r="8023" spans="1:12" x14ac:dyDescent="0.35">
      <c r="A8023" t="str">
        <f t="shared" si="2983"/>
        <v>RCO NE</v>
      </c>
      <c r="B8023" t="str">
        <f>T("2013 BARNETT AVE., G-3 SUPPLY")</f>
        <v>2013 BARNETT AVE., G-3 SUPPLY</v>
      </c>
      <c r="C8023" t="str">
        <f t="shared" si="2991"/>
        <v/>
      </c>
      <c r="D8023" t="str">
        <f t="shared" si="2985"/>
        <v>QUANTICO</v>
      </c>
      <c r="E8023" t="str">
        <f t="shared" si="2986"/>
        <v>VA</v>
      </c>
      <c r="F8023" t="str">
        <f>T("221345103")</f>
        <v>221345103</v>
      </c>
      <c r="G8023" t="str">
        <f>T("2013 BARNETT AVE")</f>
        <v>2013 BARNETT AVE</v>
      </c>
      <c r="H8023" t="str">
        <f t="shared" si="2990"/>
        <v/>
      </c>
      <c r="I8023" t="str">
        <f t="shared" si="2988"/>
        <v>QUANTICO</v>
      </c>
      <c r="J8023" t="str">
        <f t="shared" si="2989"/>
        <v>VA</v>
      </c>
      <c r="K8023" t="str">
        <f>T("7037842132")</f>
        <v>7037842132</v>
      </c>
      <c r="L8023" t="str">
        <f>T("7037842271")</f>
        <v>7037842271</v>
      </c>
    </row>
    <row r="8024" spans="1:12" x14ac:dyDescent="0.35">
      <c r="A8024" t="str">
        <f t="shared" si="2983"/>
        <v>RCO NE</v>
      </c>
      <c r="B8024" t="str">
        <f>T("2013 BARNETT AVE., G-3 SUPPLY")</f>
        <v>2013 BARNETT AVE., G-3 SUPPLY</v>
      </c>
      <c r="C8024" t="str">
        <f t="shared" si="2991"/>
        <v/>
      </c>
      <c r="D8024" t="str">
        <f t="shared" si="2985"/>
        <v>QUANTICO</v>
      </c>
      <c r="E8024" t="str">
        <f t="shared" si="2986"/>
        <v>VA</v>
      </c>
      <c r="F8024" t="str">
        <f>T("221345103")</f>
        <v>221345103</v>
      </c>
      <c r="G8024" t="str">
        <f>T("2013 BARNETT AVE., G-3 SUPPLY")</f>
        <v>2013 BARNETT AVE., G-3 SUPPLY</v>
      </c>
      <c r="H8024" t="str">
        <f t="shared" si="2990"/>
        <v/>
      </c>
      <c r="I8024" t="str">
        <f t="shared" si="2988"/>
        <v>QUANTICO</v>
      </c>
      <c r="J8024" t="str">
        <f t="shared" si="2989"/>
        <v>VA</v>
      </c>
      <c r="K8024" t="str">
        <f>T("000000000000000000")</f>
        <v>000000000000000000</v>
      </c>
      <c r="L8024" t="str">
        <f>T("7037842271")</f>
        <v>7037842271</v>
      </c>
    </row>
    <row r="8025" spans="1:12" x14ac:dyDescent="0.35">
      <c r="A8025" t="str">
        <f t="shared" si="2983"/>
        <v>RCO NE</v>
      </c>
      <c r="B8025" t="str">
        <f>T("2013 BARNETT AVE., G-3 SUPPLY")</f>
        <v>2013 BARNETT AVE., G-3 SUPPLY</v>
      </c>
      <c r="C8025" t="str">
        <f t="shared" si="2991"/>
        <v/>
      </c>
      <c r="D8025" t="str">
        <f t="shared" si="2985"/>
        <v>QUANTICO</v>
      </c>
      <c r="E8025" t="str">
        <f t="shared" si="2986"/>
        <v>VA</v>
      </c>
      <c r="F8025" t="str">
        <f>T("221345103")</f>
        <v>221345103</v>
      </c>
      <c r="G8025" t="str">
        <f>T("3250 CATLIN AVE")</f>
        <v>3250 CATLIN AVE</v>
      </c>
      <c r="H8025" t="str">
        <f t="shared" si="2990"/>
        <v/>
      </c>
      <c r="I8025" t="str">
        <f t="shared" si="2988"/>
        <v>QUANTICO</v>
      </c>
      <c r="J8025" t="str">
        <f t="shared" si="2989"/>
        <v>VA</v>
      </c>
      <c r="K8025" t="str">
        <f>T("000000000000000000")</f>
        <v>000000000000000000</v>
      </c>
      <c r="L8025" t="str">
        <f>T("7037842271")</f>
        <v>7037842271</v>
      </c>
    </row>
    <row r="8026" spans="1:12" x14ac:dyDescent="0.35">
      <c r="A8026" t="str">
        <f t="shared" si="2983"/>
        <v>RCO NE</v>
      </c>
      <c r="B8026" t="str">
        <f>T("2100 ROWELL ROAD")</f>
        <v>2100 ROWELL ROAD</v>
      </c>
      <c r="C8026" t="str">
        <f t="shared" si="2991"/>
        <v/>
      </c>
      <c r="D8026" t="str">
        <f t="shared" si="2985"/>
        <v>QUANTICO</v>
      </c>
      <c r="E8026" t="str">
        <f t="shared" si="2986"/>
        <v>VA</v>
      </c>
      <c r="F8026" t="str">
        <f>T("221345128")</f>
        <v>221345128</v>
      </c>
      <c r="G8026" t="str">
        <f>T("2100 ROWELL ROAD")</f>
        <v>2100 ROWELL ROAD</v>
      </c>
      <c r="H8026" t="str">
        <f t="shared" si="2990"/>
        <v/>
      </c>
      <c r="I8026" t="str">
        <f t="shared" si="2988"/>
        <v>QUANTICO</v>
      </c>
      <c r="J8026" t="str">
        <f t="shared" si="2989"/>
        <v>VA</v>
      </c>
      <c r="K8026" t="str">
        <f>T("000000000000000000")</f>
        <v>000000000000000000</v>
      </c>
      <c r="L8026" t="str">
        <f>T("7037842559")</f>
        <v>7037842559</v>
      </c>
    </row>
    <row r="8027" spans="1:12" x14ac:dyDescent="0.35">
      <c r="A8027" t="str">
        <f t="shared" si="2983"/>
        <v>RCO NE</v>
      </c>
      <c r="B8027" t="str">
        <f>T("2100 ROWELL ROAD")</f>
        <v>2100 ROWELL ROAD</v>
      </c>
      <c r="C8027" t="str">
        <f t="shared" si="2991"/>
        <v/>
      </c>
      <c r="D8027" t="str">
        <f t="shared" si="2985"/>
        <v>QUANTICO</v>
      </c>
      <c r="E8027" t="str">
        <f t="shared" si="2986"/>
        <v>VA</v>
      </c>
      <c r="F8027" t="str">
        <f>T("221345128")</f>
        <v>221345128</v>
      </c>
      <c r="G8027" t="str">
        <f>T("2100 ROWELL ROAD")</f>
        <v>2100 ROWELL ROAD</v>
      </c>
      <c r="H8027" t="str">
        <f t="shared" si="2990"/>
        <v/>
      </c>
      <c r="I8027" t="str">
        <f t="shared" si="2988"/>
        <v>QUANTICO</v>
      </c>
      <c r="J8027" t="str">
        <f t="shared" si="2989"/>
        <v>VA</v>
      </c>
      <c r="K8027" t="str">
        <f>T("1037842185")</f>
        <v>1037842185</v>
      </c>
      <c r="L8027" t="str">
        <f>T("7037722061")</f>
        <v>7037722061</v>
      </c>
    </row>
    <row r="8028" spans="1:12" x14ac:dyDescent="0.35">
      <c r="A8028" t="str">
        <f t="shared" si="2983"/>
        <v>RCO NE</v>
      </c>
      <c r="B8028" t="str">
        <f>T("2100 ROWELL ROAD")</f>
        <v>2100 ROWELL ROAD</v>
      </c>
      <c r="C8028" t="str">
        <f t="shared" si="2991"/>
        <v/>
      </c>
      <c r="D8028" t="str">
        <f t="shared" si="2985"/>
        <v>QUANTICO</v>
      </c>
      <c r="E8028" t="str">
        <f t="shared" si="2986"/>
        <v>VA</v>
      </c>
      <c r="F8028" t="str">
        <f>T("221345128")</f>
        <v>221345128</v>
      </c>
      <c r="G8028" t="str">
        <f>T("2100 ROWELL ROAD")</f>
        <v>2100 ROWELL ROAD</v>
      </c>
      <c r="H8028" t="str">
        <f t="shared" si="2990"/>
        <v/>
      </c>
      <c r="I8028" t="str">
        <f t="shared" si="2988"/>
        <v>QUANTICO</v>
      </c>
      <c r="J8028" t="str">
        <f t="shared" si="2989"/>
        <v>VA</v>
      </c>
      <c r="K8028" t="str">
        <f>T("7037842185")</f>
        <v>7037842185</v>
      </c>
      <c r="L8028" t="str">
        <f>T("7034321570")</f>
        <v>7034321570</v>
      </c>
    </row>
    <row r="8029" spans="1:12" x14ac:dyDescent="0.35">
      <c r="A8029" t="str">
        <f t="shared" si="2983"/>
        <v>RCO NE</v>
      </c>
      <c r="B8029" t="str">
        <f>T("26102 BAILEY STREET")</f>
        <v>26102 BAILEY STREET</v>
      </c>
      <c r="C8029" t="str">
        <f>T("CAMP UPSHUR")</f>
        <v>CAMP UPSHUR</v>
      </c>
      <c r="D8029" t="str">
        <f t="shared" si="2985"/>
        <v>QUANTICO</v>
      </c>
      <c r="E8029" t="str">
        <f t="shared" si="2986"/>
        <v>VA</v>
      </c>
      <c r="F8029" t="str">
        <f>T("221345101")</f>
        <v>221345101</v>
      </c>
      <c r="G8029" t="str">
        <f>T("26102 BAILEY STREET")</f>
        <v>26102 BAILEY STREET</v>
      </c>
      <c r="H8029" t="str">
        <f>T("CAMP UPSHUR")</f>
        <v>CAMP UPSHUR</v>
      </c>
      <c r="I8029" t="str">
        <f t="shared" si="2988"/>
        <v>QUANTICO</v>
      </c>
      <c r="J8029" t="str">
        <f t="shared" si="2989"/>
        <v>VA</v>
      </c>
      <c r="K8029" t="str">
        <f>T("000000000000000000")</f>
        <v>000000000000000000</v>
      </c>
      <c r="L8029" t="str">
        <f>T("7034320355")</f>
        <v>7034320355</v>
      </c>
    </row>
    <row r="8030" spans="1:12" x14ac:dyDescent="0.35">
      <c r="A8030" t="str">
        <f t="shared" si="2983"/>
        <v>RCO NE</v>
      </c>
      <c r="B8030" t="str">
        <f>T("26102 BAILEY STREET")</f>
        <v>26102 BAILEY STREET</v>
      </c>
      <c r="C8030" t="str">
        <f>T("CAMP UPSHUR")</f>
        <v>CAMP UPSHUR</v>
      </c>
      <c r="D8030" t="str">
        <f t="shared" si="2985"/>
        <v>QUANTICO</v>
      </c>
      <c r="E8030" t="str">
        <f t="shared" si="2986"/>
        <v>VA</v>
      </c>
      <c r="F8030" t="str">
        <f>T("221345101")</f>
        <v>221345101</v>
      </c>
      <c r="G8030" t="str">
        <f>T("26102 BAILEY STREET")</f>
        <v>26102 BAILEY STREET</v>
      </c>
      <c r="H8030" t="str">
        <f>T("CAMP UPSHUR")</f>
        <v>CAMP UPSHUR</v>
      </c>
      <c r="I8030" t="str">
        <f t="shared" si="2988"/>
        <v>QUANTICO</v>
      </c>
      <c r="J8030" t="str">
        <f t="shared" si="2989"/>
        <v>VA</v>
      </c>
      <c r="K8030" t="str">
        <f>T("7037845430")</f>
        <v>7037845430</v>
      </c>
      <c r="L8030" t="str">
        <f>T("7034320354")</f>
        <v>7034320354</v>
      </c>
    </row>
    <row r="8031" spans="1:12" x14ac:dyDescent="0.35">
      <c r="A8031" t="str">
        <f t="shared" si="2983"/>
        <v>RCO NE</v>
      </c>
      <c r="B8031" t="str">
        <f>T("26102 BAILEY STREET")</f>
        <v>26102 BAILEY STREET</v>
      </c>
      <c r="C8031" t="str">
        <f>T("CAMP UPSHUR")</f>
        <v>CAMP UPSHUR</v>
      </c>
      <c r="D8031" t="str">
        <f t="shared" si="2985"/>
        <v>QUANTICO</v>
      </c>
      <c r="E8031" t="str">
        <f t="shared" si="2986"/>
        <v>VA</v>
      </c>
      <c r="F8031" t="str">
        <f>T("221345101")</f>
        <v>221345101</v>
      </c>
      <c r="G8031" t="str">
        <f>T("26102 BAILEY STREET CAMP UPSHUR")</f>
        <v>26102 BAILEY STREET CAMP UPSHUR</v>
      </c>
      <c r="H8031" t="str">
        <f t="shared" ref="H8031:H8044" si="2992">T("")</f>
        <v/>
      </c>
      <c r="I8031" t="str">
        <f t="shared" si="2988"/>
        <v>QUANTICO</v>
      </c>
      <c r="J8031" t="str">
        <f t="shared" si="2989"/>
        <v>VA</v>
      </c>
      <c r="K8031" t="str">
        <f>T("7037845430")</f>
        <v>7037845430</v>
      </c>
      <c r="L8031" t="str">
        <f>T("7037845567")</f>
        <v>7037845567</v>
      </c>
    </row>
    <row r="8032" spans="1:12" x14ac:dyDescent="0.35">
      <c r="A8032" t="str">
        <f t="shared" si="2983"/>
        <v>RCO NE</v>
      </c>
      <c r="B8032" t="str">
        <f>T("3049 BORDELON ROAD")</f>
        <v>3049 BORDELON ROAD</v>
      </c>
      <c r="C8032" t="str">
        <f t="shared" ref="C8032:C8042" si="2993">T("")</f>
        <v/>
      </c>
      <c r="D8032" t="str">
        <f t="shared" si="2985"/>
        <v>QUANTICO</v>
      </c>
      <c r="E8032" t="str">
        <f t="shared" si="2986"/>
        <v>VA</v>
      </c>
      <c r="F8032" t="str">
        <f>T("221345196")</f>
        <v>221345196</v>
      </c>
      <c r="G8032" t="str">
        <f>T("3049 BODERLON ROAD")</f>
        <v>3049 BODERLON ROAD</v>
      </c>
      <c r="H8032" t="str">
        <f t="shared" si="2992"/>
        <v/>
      </c>
      <c r="I8032" t="str">
        <f t="shared" si="2988"/>
        <v>QUANTICO</v>
      </c>
      <c r="J8032" t="str">
        <f t="shared" si="2989"/>
        <v>VA</v>
      </c>
      <c r="K8032" t="str">
        <f>T("000000000000000000")</f>
        <v>000000000000000000</v>
      </c>
      <c r="L8032" t="str">
        <f>T("7034320533")</f>
        <v>7034320533</v>
      </c>
    </row>
    <row r="8033" spans="1:12" x14ac:dyDescent="0.35">
      <c r="A8033" t="str">
        <f t="shared" si="2983"/>
        <v>RCO NE</v>
      </c>
      <c r="B8033" t="str">
        <f>T("3049 BORDELON ROAD")</f>
        <v>3049 BORDELON ROAD</v>
      </c>
      <c r="C8033" t="str">
        <f t="shared" si="2993"/>
        <v/>
      </c>
      <c r="D8033" t="str">
        <f t="shared" si="2985"/>
        <v>QUANTICO</v>
      </c>
      <c r="E8033" t="str">
        <f t="shared" si="2986"/>
        <v>VA</v>
      </c>
      <c r="F8033" t="str">
        <f>T("221345196")</f>
        <v>221345196</v>
      </c>
      <c r="G8033" t="str">
        <f>T("3049 BORDELON ROAD")</f>
        <v>3049 BORDELON ROAD</v>
      </c>
      <c r="H8033" t="str">
        <f t="shared" si="2992"/>
        <v/>
      </c>
      <c r="I8033" t="str">
        <f t="shared" si="2988"/>
        <v>QUANTICO</v>
      </c>
      <c r="J8033" t="str">
        <f t="shared" si="2989"/>
        <v>VA</v>
      </c>
      <c r="K8033" t="str">
        <f>T("7037844953")</f>
        <v>7037844953</v>
      </c>
      <c r="L8033" t="str">
        <f>T("7037844030")</f>
        <v>7037844030</v>
      </c>
    </row>
    <row r="8034" spans="1:12" x14ac:dyDescent="0.35">
      <c r="A8034" t="str">
        <f t="shared" si="2983"/>
        <v>RCO NE</v>
      </c>
      <c r="B8034" t="str">
        <f>T("3049 BORDELON ROAD")</f>
        <v>3049 BORDELON ROAD</v>
      </c>
      <c r="C8034" t="str">
        <f t="shared" si="2993"/>
        <v/>
      </c>
      <c r="D8034" t="str">
        <f t="shared" si="2985"/>
        <v>QUANTICO</v>
      </c>
      <c r="E8034" t="str">
        <f t="shared" si="2986"/>
        <v>VA</v>
      </c>
      <c r="F8034" t="str">
        <f>T("221345196")</f>
        <v>221345196</v>
      </c>
      <c r="G8034" t="str">
        <f>T("3049 BORDELON STREET")</f>
        <v>3049 BORDELON STREET</v>
      </c>
      <c r="H8034" t="str">
        <f t="shared" si="2992"/>
        <v/>
      </c>
      <c r="I8034" t="str">
        <f t="shared" si="2988"/>
        <v>QUANTICO</v>
      </c>
      <c r="J8034" t="str">
        <f t="shared" si="2989"/>
        <v>VA</v>
      </c>
      <c r="K8034" t="str">
        <f>T("000000000000000000")</f>
        <v>000000000000000000</v>
      </c>
      <c r="L8034" t="str">
        <f>T("7034320522")</f>
        <v>7034320522</v>
      </c>
    </row>
    <row r="8035" spans="1:12" x14ac:dyDescent="0.35">
      <c r="A8035" t="str">
        <f t="shared" si="2983"/>
        <v>RCO NE</v>
      </c>
      <c r="B8035" t="str">
        <f>T("3049 BORDELON ROAD")</f>
        <v>3049 BORDELON ROAD</v>
      </c>
      <c r="C8035" t="str">
        <f t="shared" si="2993"/>
        <v/>
      </c>
      <c r="D8035" t="str">
        <f t="shared" si="2985"/>
        <v>QUANTICO</v>
      </c>
      <c r="E8035" t="str">
        <f t="shared" si="2986"/>
        <v>VA</v>
      </c>
      <c r="F8035" t="str">
        <f>T("221345196")</f>
        <v>221345196</v>
      </c>
      <c r="G8035" t="str">
        <f>T("3250 CATLIN AVE")</f>
        <v>3250 CATLIN AVE</v>
      </c>
      <c r="H8035" t="str">
        <f t="shared" si="2992"/>
        <v/>
      </c>
      <c r="I8035" t="str">
        <f t="shared" si="2988"/>
        <v>QUANTICO</v>
      </c>
      <c r="J8035" t="str">
        <f t="shared" si="2989"/>
        <v>VA</v>
      </c>
      <c r="K8035" t="str">
        <f>T("000000000000000000")</f>
        <v>000000000000000000</v>
      </c>
      <c r="L8035" t="str">
        <f>T("7034326779")</f>
        <v>7034326779</v>
      </c>
    </row>
    <row r="8036" spans="1:12" x14ac:dyDescent="0.35">
      <c r="A8036" t="str">
        <f t="shared" si="2983"/>
        <v>RCO NE</v>
      </c>
      <c r="B8036" t="str">
        <f>T("3049 BORDELON ROAD")</f>
        <v>3049 BORDELON ROAD</v>
      </c>
      <c r="C8036" t="str">
        <f t="shared" si="2993"/>
        <v/>
      </c>
      <c r="D8036" t="str">
        <f t="shared" si="2985"/>
        <v>QUANTICO</v>
      </c>
      <c r="E8036" t="str">
        <f t="shared" si="2986"/>
        <v>VA</v>
      </c>
      <c r="F8036" t="str">
        <f>T("221345196")</f>
        <v>221345196</v>
      </c>
      <c r="G8036" t="str">
        <f>T("3250 CATLIN AVE")</f>
        <v>3250 CATLIN AVE</v>
      </c>
      <c r="H8036" t="str">
        <f t="shared" si="2992"/>
        <v/>
      </c>
      <c r="I8036" t="str">
        <f t="shared" si="2988"/>
        <v>QUANTICO</v>
      </c>
      <c r="J8036" t="str">
        <f t="shared" si="2989"/>
        <v>VA</v>
      </c>
      <c r="K8036" t="str">
        <f>T("7037845809")</f>
        <v>7037845809</v>
      </c>
      <c r="L8036" t="str">
        <f>T("7034326782")</f>
        <v>7034326782</v>
      </c>
    </row>
    <row r="8037" spans="1:12" x14ac:dyDescent="0.35">
      <c r="A8037" t="str">
        <f t="shared" si="2983"/>
        <v>RCO NE</v>
      </c>
      <c r="B8037" t="str">
        <f>T("3101 ZEILIN RD")</f>
        <v>3101 ZEILIN RD</v>
      </c>
      <c r="C8037" t="str">
        <f t="shared" si="2993"/>
        <v/>
      </c>
      <c r="D8037" t="str">
        <f t="shared" si="2985"/>
        <v>QUANTICO</v>
      </c>
      <c r="E8037" t="str">
        <f t="shared" si="2986"/>
        <v>VA</v>
      </c>
      <c r="F8037" t="str">
        <f>T("221341183")</f>
        <v>221341183</v>
      </c>
      <c r="G8037" t="str">
        <f>T("3101 ZEILIN RD")</f>
        <v>3101 ZEILIN RD</v>
      </c>
      <c r="H8037" t="str">
        <f t="shared" si="2992"/>
        <v/>
      </c>
      <c r="I8037" t="str">
        <f t="shared" si="2988"/>
        <v>QUANTICO</v>
      </c>
      <c r="J8037" t="str">
        <f t="shared" si="2989"/>
        <v>VA</v>
      </c>
      <c r="K8037" t="str">
        <f>T("000000000000000000")</f>
        <v>000000000000000000</v>
      </c>
      <c r="L8037" t="str">
        <f>T("7034320078")</f>
        <v>7034320078</v>
      </c>
    </row>
    <row r="8038" spans="1:12" x14ac:dyDescent="0.35">
      <c r="A8038" t="str">
        <f t="shared" si="2983"/>
        <v>RCO NE</v>
      </c>
      <c r="B8038" t="str">
        <f>T("3101 ZEILIN RD")</f>
        <v>3101 ZEILIN RD</v>
      </c>
      <c r="C8038" t="str">
        <f t="shared" si="2993"/>
        <v/>
      </c>
      <c r="D8038" t="str">
        <f t="shared" si="2985"/>
        <v>QUANTICO</v>
      </c>
      <c r="E8038" t="str">
        <f t="shared" si="2986"/>
        <v>VA</v>
      </c>
      <c r="F8038" t="str">
        <f>T("221341183")</f>
        <v>221341183</v>
      </c>
      <c r="G8038" t="str">
        <f>T("3101 ZEILIN RD")</f>
        <v>3101 ZEILIN RD</v>
      </c>
      <c r="H8038" t="str">
        <f t="shared" si="2992"/>
        <v/>
      </c>
      <c r="I8038" t="str">
        <f t="shared" si="2988"/>
        <v>QUANTICO</v>
      </c>
      <c r="J8038" t="str">
        <f t="shared" si="2989"/>
        <v>VA</v>
      </c>
      <c r="K8038" t="str">
        <f>T("000000000000000000")</f>
        <v>000000000000000000</v>
      </c>
      <c r="L8038" t="str">
        <f>T("7034320233")</f>
        <v>7034320233</v>
      </c>
    </row>
    <row r="8039" spans="1:12" x14ac:dyDescent="0.35">
      <c r="A8039" t="str">
        <f t="shared" si="2983"/>
        <v>RCO NE</v>
      </c>
      <c r="B8039" t="str">
        <f>T("3101 ZEILIN RD")</f>
        <v>3101 ZEILIN RD</v>
      </c>
      <c r="C8039" t="str">
        <f t="shared" si="2993"/>
        <v/>
      </c>
      <c r="D8039" t="str">
        <f t="shared" si="2985"/>
        <v>QUANTICO</v>
      </c>
      <c r="E8039" t="str">
        <f t="shared" si="2986"/>
        <v>VA</v>
      </c>
      <c r="F8039" t="str">
        <f>T("221341183")</f>
        <v>221341183</v>
      </c>
      <c r="G8039" t="str">
        <f>T("3101 ZEILIN RD")</f>
        <v>3101 ZEILIN RD</v>
      </c>
      <c r="H8039" t="str">
        <f t="shared" si="2992"/>
        <v/>
      </c>
      <c r="I8039" t="str">
        <f t="shared" si="2988"/>
        <v>QUANTICO</v>
      </c>
      <c r="J8039" t="str">
        <f t="shared" si="2989"/>
        <v>VA</v>
      </c>
      <c r="K8039" t="str">
        <f>T("703-432-0176")</f>
        <v>703-432-0176</v>
      </c>
      <c r="L8039" t="str">
        <f>T("7034320036")</f>
        <v>7034320036</v>
      </c>
    </row>
    <row r="8040" spans="1:12" x14ac:dyDescent="0.35">
      <c r="A8040" t="str">
        <f t="shared" si="2983"/>
        <v>RCO NE</v>
      </c>
      <c r="B8040" t="str">
        <f>T("3101 ZEILIN RD")</f>
        <v>3101 ZEILIN RD</v>
      </c>
      <c r="C8040" t="str">
        <f t="shared" si="2993"/>
        <v/>
      </c>
      <c r="D8040" t="str">
        <f t="shared" si="2985"/>
        <v>QUANTICO</v>
      </c>
      <c r="E8040" t="str">
        <f t="shared" si="2986"/>
        <v>VA</v>
      </c>
      <c r="F8040" t="str">
        <f>T("221341183")</f>
        <v>221341183</v>
      </c>
      <c r="G8040" t="str">
        <f>T("3101 ZEILIN RD")</f>
        <v>3101 ZEILIN RD</v>
      </c>
      <c r="H8040" t="str">
        <f t="shared" si="2992"/>
        <v/>
      </c>
      <c r="I8040" t="str">
        <f t="shared" si="2988"/>
        <v>QUANTICO</v>
      </c>
      <c r="J8040" t="str">
        <f t="shared" si="2989"/>
        <v>VA</v>
      </c>
      <c r="K8040" t="str">
        <f>T("7034320176")</f>
        <v>7034320176</v>
      </c>
      <c r="L8040" t="str">
        <f>T("7034320089")</f>
        <v>7034320089</v>
      </c>
    </row>
    <row r="8041" spans="1:12" x14ac:dyDescent="0.35">
      <c r="A8041" t="str">
        <f t="shared" si="2983"/>
        <v>RCO NE</v>
      </c>
      <c r="B8041" t="str">
        <f>T("3101 ZELLIN RD")</f>
        <v>3101 ZELLIN RD</v>
      </c>
      <c r="C8041" t="str">
        <f t="shared" si="2993"/>
        <v/>
      </c>
      <c r="D8041" t="str">
        <f t="shared" si="2985"/>
        <v>QUANTICO</v>
      </c>
      <c r="E8041" t="str">
        <f t="shared" si="2986"/>
        <v>VA</v>
      </c>
      <c r="F8041" t="str">
        <f>T("221340000")</f>
        <v>221340000</v>
      </c>
      <c r="G8041" t="str">
        <f>T("3101 ZEILIN RD")</f>
        <v>3101 ZEILIN RD</v>
      </c>
      <c r="H8041" t="str">
        <f t="shared" si="2992"/>
        <v/>
      </c>
      <c r="I8041" t="str">
        <f t="shared" si="2988"/>
        <v>QUANTICO</v>
      </c>
      <c r="J8041" t="str">
        <f t="shared" si="2989"/>
        <v>VA</v>
      </c>
      <c r="K8041" t="str">
        <f>T("000000000000000000")</f>
        <v>000000000000000000</v>
      </c>
      <c r="L8041" t="str">
        <f>T("7034320209")</f>
        <v>7034320209</v>
      </c>
    </row>
    <row r="8042" spans="1:12" x14ac:dyDescent="0.35">
      <c r="A8042" t="str">
        <f t="shared" ref="A8042:A8073" si="2994">T("RCO NE")</f>
        <v>RCO NE</v>
      </c>
      <c r="B8042" t="str">
        <f>T("3101 ZELLIN RD")</f>
        <v>3101 ZELLIN RD</v>
      </c>
      <c r="C8042" t="str">
        <f t="shared" si="2993"/>
        <v/>
      </c>
      <c r="D8042" t="str">
        <f t="shared" ref="D8042:D8073" si="2995">T("QUANTICO")</f>
        <v>QUANTICO</v>
      </c>
      <c r="E8042" t="str">
        <f t="shared" ref="E8042:E8073" si="2996">T("VA")</f>
        <v>VA</v>
      </c>
      <c r="F8042" t="str">
        <f>T("221340000")</f>
        <v>221340000</v>
      </c>
      <c r="G8042" t="str">
        <f>T("3101 ZELLIN RD")</f>
        <v>3101 ZELLIN RD</v>
      </c>
      <c r="H8042" t="str">
        <f t="shared" si="2992"/>
        <v/>
      </c>
      <c r="I8042" t="str">
        <f t="shared" ref="I8042:I8073" si="2997">T("QUANTICO")</f>
        <v>QUANTICO</v>
      </c>
      <c r="J8042" t="str">
        <f t="shared" ref="J8042:J8073" si="2998">T("VA")</f>
        <v>VA</v>
      </c>
      <c r="K8042" t="str">
        <f>T("000000000000000000")</f>
        <v>000000000000000000</v>
      </c>
      <c r="L8042" t="str">
        <f>T("7034320035")</f>
        <v>7034320035</v>
      </c>
    </row>
    <row r="8043" spans="1:12" x14ac:dyDescent="0.35">
      <c r="A8043" t="str">
        <f t="shared" si="2994"/>
        <v>RCO NE</v>
      </c>
      <c r="B8043" t="str">
        <f t="shared" ref="B8043:B8048" si="2999">T("3250 CATLIN AVE")</f>
        <v>3250 CATLIN AVE</v>
      </c>
      <c r="C8043" t="str">
        <f>T("MARINE CORPS BASE")</f>
        <v>MARINE CORPS BASE</v>
      </c>
      <c r="D8043" t="str">
        <f t="shared" si="2995"/>
        <v>QUANTICO</v>
      </c>
      <c r="E8043" t="str">
        <f t="shared" si="2996"/>
        <v>VA</v>
      </c>
      <c r="F8043" t="str">
        <f>T("221345109")</f>
        <v>221345109</v>
      </c>
      <c r="G8043" t="str">
        <f>T("3229 DAMATO STREET")</f>
        <v>3229 DAMATO STREET</v>
      </c>
      <c r="H8043" t="str">
        <f t="shared" si="2992"/>
        <v/>
      </c>
      <c r="I8043" t="str">
        <f t="shared" si="2997"/>
        <v>QUANTICO</v>
      </c>
      <c r="J8043" t="str">
        <f t="shared" si="2998"/>
        <v>VA</v>
      </c>
      <c r="K8043" t="str">
        <f>T("7037845110")</f>
        <v>7037845110</v>
      </c>
      <c r="L8043" t="str">
        <f>T("7037845063")</f>
        <v>7037845063</v>
      </c>
    </row>
    <row r="8044" spans="1:12" x14ac:dyDescent="0.35">
      <c r="A8044" t="str">
        <f t="shared" si="2994"/>
        <v>RCO NE</v>
      </c>
      <c r="B8044" t="str">
        <f t="shared" si="2999"/>
        <v>3250 CATLIN AVE</v>
      </c>
      <c r="C8044" t="str">
        <f>T("MARINE CORPS BASE")</f>
        <v>MARINE CORPS BASE</v>
      </c>
      <c r="D8044" t="str">
        <f t="shared" si="2995"/>
        <v>QUANTICO</v>
      </c>
      <c r="E8044" t="str">
        <f t="shared" si="2996"/>
        <v>VA</v>
      </c>
      <c r="F8044" t="str">
        <f>T("221345109")</f>
        <v>221345109</v>
      </c>
      <c r="G8044" t="str">
        <f>T("3250 CATLIN AVE")</f>
        <v>3250 CATLIN AVE</v>
      </c>
      <c r="H8044" t="str">
        <f t="shared" si="2992"/>
        <v/>
      </c>
      <c r="I8044" t="str">
        <f t="shared" si="2997"/>
        <v>QUANTICO</v>
      </c>
      <c r="J8044" t="str">
        <f t="shared" si="2998"/>
        <v>VA</v>
      </c>
      <c r="K8044" t="str">
        <f>T("000000000000000000")</f>
        <v>000000000000000000</v>
      </c>
      <c r="L8044" t="str">
        <f>T("7037840027")</f>
        <v>7037840027</v>
      </c>
    </row>
    <row r="8045" spans="1:12" x14ac:dyDescent="0.35">
      <c r="A8045" t="str">
        <f t="shared" si="2994"/>
        <v>RCO NE</v>
      </c>
      <c r="B8045" t="str">
        <f t="shared" si="2999"/>
        <v>3250 CATLIN AVE</v>
      </c>
      <c r="C8045" t="str">
        <f>T("MARINE CORPS BASE")</f>
        <v>MARINE CORPS BASE</v>
      </c>
      <c r="D8045" t="str">
        <f t="shared" si="2995"/>
        <v>QUANTICO</v>
      </c>
      <c r="E8045" t="str">
        <f t="shared" si="2996"/>
        <v>VA</v>
      </c>
      <c r="F8045" t="str">
        <f>T("221345109")</f>
        <v>221345109</v>
      </c>
      <c r="G8045" t="str">
        <f>T("3250 CATLIN AVE")</f>
        <v>3250 CATLIN AVE</v>
      </c>
      <c r="H8045" t="str">
        <f>T("MARINE CORPS BASE")</f>
        <v>MARINE CORPS BASE</v>
      </c>
      <c r="I8045" t="str">
        <f t="shared" si="2997"/>
        <v>QUANTICO</v>
      </c>
      <c r="J8045" t="str">
        <f t="shared" si="2998"/>
        <v>VA</v>
      </c>
      <c r="K8045" t="str">
        <f>T("7037845959")</f>
        <v>7037845959</v>
      </c>
      <c r="L8045" t="str">
        <f>T("7037843323")</f>
        <v>7037843323</v>
      </c>
    </row>
    <row r="8046" spans="1:12" x14ac:dyDescent="0.35">
      <c r="A8046" t="str">
        <f t="shared" si="2994"/>
        <v>RCO NE</v>
      </c>
      <c r="B8046" t="str">
        <f t="shared" si="2999"/>
        <v>3250 CATLIN AVE</v>
      </c>
      <c r="C8046" t="str">
        <f>T("PO BOX 1057")</f>
        <v>PO BOX 1057</v>
      </c>
      <c r="D8046" t="str">
        <f t="shared" si="2995"/>
        <v>QUANTICO</v>
      </c>
      <c r="E8046" t="str">
        <f t="shared" si="2996"/>
        <v>VA</v>
      </c>
      <c r="F8046" t="str">
        <f>T("221341057")</f>
        <v>221341057</v>
      </c>
      <c r="G8046" t="str">
        <f>T("3250 CATLIN AVE")</f>
        <v>3250 CATLIN AVE</v>
      </c>
      <c r="H8046" t="str">
        <f>T("PO BOX 1057")</f>
        <v>PO BOX 1057</v>
      </c>
      <c r="I8046" t="str">
        <f t="shared" si="2997"/>
        <v>QUANTICO</v>
      </c>
      <c r="J8046" t="str">
        <f t="shared" si="2998"/>
        <v>VA</v>
      </c>
      <c r="K8046" t="str">
        <f>T("7037844841")</f>
        <v>7037844841</v>
      </c>
      <c r="L8046" t="str">
        <f>T("7034320698")</f>
        <v>7034320698</v>
      </c>
    </row>
    <row r="8047" spans="1:12" x14ac:dyDescent="0.35">
      <c r="A8047" t="str">
        <f t="shared" si="2994"/>
        <v>RCO NE</v>
      </c>
      <c r="B8047" t="str">
        <f t="shared" si="2999"/>
        <v>3250 CATLIN AVE</v>
      </c>
      <c r="C8047" t="str">
        <f>T("SUITE 112")</f>
        <v>SUITE 112</v>
      </c>
      <c r="D8047" t="str">
        <f t="shared" si="2995"/>
        <v>QUANTICO</v>
      </c>
      <c r="E8047" t="str">
        <f t="shared" si="2996"/>
        <v>VA</v>
      </c>
      <c r="F8047" t="str">
        <f t="shared" ref="F8047:F8055" si="3000">T("221345109")</f>
        <v>221345109</v>
      </c>
      <c r="G8047" t="str">
        <f>T("3250 CATLIN AVE")</f>
        <v>3250 CATLIN AVE</v>
      </c>
      <c r="H8047" t="str">
        <f>T("SUITE 112")</f>
        <v>SUITE 112</v>
      </c>
      <c r="I8047" t="str">
        <f t="shared" si="2997"/>
        <v>QUANTICO</v>
      </c>
      <c r="J8047" t="str">
        <f t="shared" si="2998"/>
        <v>VA</v>
      </c>
      <c r="K8047" t="str">
        <f>T("7037843637")</f>
        <v>7037843637</v>
      </c>
      <c r="L8047" t="str">
        <f>T("7037842518")</f>
        <v>7037842518</v>
      </c>
    </row>
    <row r="8048" spans="1:12" x14ac:dyDescent="0.35">
      <c r="A8048" t="str">
        <f t="shared" si="2994"/>
        <v>RCO NE</v>
      </c>
      <c r="B8048" t="str">
        <f t="shared" si="2999"/>
        <v>3250 CATLIN AVE</v>
      </c>
      <c r="C8048" t="str">
        <f>T("SUITE 112")</f>
        <v>SUITE 112</v>
      </c>
      <c r="D8048" t="str">
        <f t="shared" si="2995"/>
        <v>QUANTICO</v>
      </c>
      <c r="E8048" t="str">
        <f t="shared" si="2996"/>
        <v>VA</v>
      </c>
      <c r="F8048" t="str">
        <f t="shared" si="3000"/>
        <v>221345109</v>
      </c>
      <c r="G8048" t="str">
        <f>T("3250 CATLIN AVE STE 112")</f>
        <v>3250 CATLIN AVE STE 112</v>
      </c>
      <c r="H8048" t="str">
        <f>T("")</f>
        <v/>
      </c>
      <c r="I8048" t="str">
        <f t="shared" si="2997"/>
        <v>QUANTICO</v>
      </c>
      <c r="J8048" t="str">
        <f t="shared" si="2998"/>
        <v>VA</v>
      </c>
      <c r="K8048" t="str">
        <f>T("7037843637")</f>
        <v>7037843637</v>
      </c>
      <c r="L8048" t="str">
        <f>T("7037845124")</f>
        <v>7037845124</v>
      </c>
    </row>
    <row r="8049" spans="1:12" x14ac:dyDescent="0.35">
      <c r="A8049" t="str">
        <f t="shared" si="2994"/>
        <v>RCO NE</v>
      </c>
      <c r="B8049" t="str">
        <f>T("3250 CATLIN AVE RM 230")</f>
        <v>3250 CATLIN AVE RM 230</v>
      </c>
      <c r="C8049" t="str">
        <f>T("BASE BUDGET AND FINANCIAL MGMT")</f>
        <v>BASE BUDGET AND FINANCIAL MGMT</v>
      </c>
      <c r="D8049" t="str">
        <f t="shared" si="2995"/>
        <v>QUANTICO</v>
      </c>
      <c r="E8049" t="str">
        <f t="shared" si="2996"/>
        <v>VA</v>
      </c>
      <c r="F8049" t="str">
        <f t="shared" si="3000"/>
        <v>221345109</v>
      </c>
      <c r="G8049" t="str">
        <f>T("3250 CATLIN AVE")</f>
        <v>3250 CATLIN AVE</v>
      </c>
      <c r="H8049" t="str">
        <f>T("STE 230")</f>
        <v>STE 230</v>
      </c>
      <c r="I8049" t="str">
        <f t="shared" si="2997"/>
        <v>QUANTICO</v>
      </c>
      <c r="J8049" t="str">
        <f t="shared" si="2998"/>
        <v>VA</v>
      </c>
      <c r="K8049" t="str">
        <f>T("000000000000000000")</f>
        <v>000000000000000000</v>
      </c>
      <c r="L8049" t="str">
        <f>T("7037842666")</f>
        <v>7037842666</v>
      </c>
    </row>
    <row r="8050" spans="1:12" x14ac:dyDescent="0.35">
      <c r="A8050" t="str">
        <f t="shared" si="2994"/>
        <v>RCO NE</v>
      </c>
      <c r="B8050" t="str">
        <f>T("3250 CATLIN AVE RM 230")</f>
        <v>3250 CATLIN AVE RM 230</v>
      </c>
      <c r="C8050" t="str">
        <f>T("BASE BUDGET AND FINANCIAL MGMT")</f>
        <v>BASE BUDGET AND FINANCIAL MGMT</v>
      </c>
      <c r="D8050" t="str">
        <f t="shared" si="2995"/>
        <v>QUANTICO</v>
      </c>
      <c r="E8050" t="str">
        <f t="shared" si="2996"/>
        <v>VA</v>
      </c>
      <c r="F8050" t="str">
        <f t="shared" si="3000"/>
        <v>221345109</v>
      </c>
      <c r="G8050" t="str">
        <f>T("3250 CATLIN AVE RM 230")</f>
        <v>3250 CATLIN AVE RM 230</v>
      </c>
      <c r="H8050" t="str">
        <f>T("BASE BUDGET AND FINANCIAL MGMT")</f>
        <v>BASE BUDGET AND FINANCIAL MGMT</v>
      </c>
      <c r="I8050" t="str">
        <f t="shared" si="2997"/>
        <v>QUANTICO</v>
      </c>
      <c r="J8050" t="str">
        <f t="shared" si="2998"/>
        <v>VA</v>
      </c>
      <c r="K8050" t="str">
        <f>T("7037844207")</f>
        <v>7037844207</v>
      </c>
      <c r="L8050" t="str">
        <f>T("7037842669")</f>
        <v>7037842669</v>
      </c>
    </row>
    <row r="8051" spans="1:12" x14ac:dyDescent="0.35">
      <c r="A8051" t="str">
        <f t="shared" si="2994"/>
        <v>RCO NE</v>
      </c>
      <c r="B8051" t="str">
        <f>T("3250 CATLIN AVE STE 183")</f>
        <v>3250 CATLIN AVE STE 183</v>
      </c>
      <c r="C8051" t="str">
        <f>T("MCB")</f>
        <v>MCB</v>
      </c>
      <c r="D8051" t="str">
        <f t="shared" si="2995"/>
        <v>QUANTICO</v>
      </c>
      <c r="E8051" t="str">
        <f t="shared" si="2996"/>
        <v>VA</v>
      </c>
      <c r="F8051" t="str">
        <f t="shared" si="3000"/>
        <v>221345109</v>
      </c>
      <c r="G8051" t="str">
        <f>T("3250 CATLIN AVE STE 183")</f>
        <v>3250 CATLIN AVE STE 183</v>
      </c>
      <c r="H8051" t="str">
        <f>T("MCB")</f>
        <v>MCB</v>
      </c>
      <c r="I8051" t="str">
        <f t="shared" si="2997"/>
        <v>QUANTICO</v>
      </c>
      <c r="J8051" t="str">
        <f t="shared" si="2998"/>
        <v>VA</v>
      </c>
      <c r="K8051" t="str">
        <f>T("703 784 3683")</f>
        <v>703 784 3683</v>
      </c>
      <c r="L8051" t="str">
        <f>T("7037843682")</f>
        <v>7037843682</v>
      </c>
    </row>
    <row r="8052" spans="1:12" x14ac:dyDescent="0.35">
      <c r="A8052" t="str">
        <f t="shared" si="2994"/>
        <v>RCO NE</v>
      </c>
      <c r="B8052" t="str">
        <f>T("3250 CATLIN AVE SUITE 101")</f>
        <v>3250 CATLIN AVE SUITE 101</v>
      </c>
      <c r="C8052" t="str">
        <f>T("MCB")</f>
        <v>MCB</v>
      </c>
      <c r="D8052" t="str">
        <f t="shared" si="2995"/>
        <v>QUANTICO</v>
      </c>
      <c r="E8052" t="str">
        <f t="shared" si="2996"/>
        <v>VA</v>
      </c>
      <c r="F8052" t="str">
        <f t="shared" si="3000"/>
        <v>221345109</v>
      </c>
      <c r="G8052" t="str">
        <f>T("3250 CATLIN AVE")</f>
        <v>3250 CATLIN AVE</v>
      </c>
      <c r="H8052" t="str">
        <f>T("")</f>
        <v/>
      </c>
      <c r="I8052" t="str">
        <f t="shared" si="2997"/>
        <v>QUANTICO</v>
      </c>
      <c r="J8052" t="str">
        <f t="shared" si="2998"/>
        <v>VA</v>
      </c>
      <c r="K8052" t="str">
        <f>T("7037842529")</f>
        <v>7037842529</v>
      </c>
      <c r="L8052" t="str">
        <f>T("7034321127")</f>
        <v>7034321127</v>
      </c>
    </row>
    <row r="8053" spans="1:12" x14ac:dyDescent="0.35">
      <c r="A8053" t="str">
        <f t="shared" si="2994"/>
        <v>RCO NE</v>
      </c>
      <c r="B8053" t="str">
        <f>T("3250 CATLIN AVE SUITE 101")</f>
        <v>3250 CATLIN AVE SUITE 101</v>
      </c>
      <c r="C8053" t="str">
        <f>T("MCB")</f>
        <v>MCB</v>
      </c>
      <c r="D8053" t="str">
        <f t="shared" si="2995"/>
        <v>QUANTICO</v>
      </c>
      <c r="E8053" t="str">
        <f t="shared" si="2996"/>
        <v>VA</v>
      </c>
      <c r="F8053" t="str">
        <f t="shared" si="3000"/>
        <v>221345109</v>
      </c>
      <c r="G8053" t="str">
        <f>T("3250 CATLIN AVE SUITE 101")</f>
        <v>3250 CATLIN AVE SUITE 101</v>
      </c>
      <c r="H8053" t="str">
        <f>T("MCB")</f>
        <v>MCB</v>
      </c>
      <c r="I8053" t="str">
        <f t="shared" si="2997"/>
        <v>QUANTICO</v>
      </c>
      <c r="J8053" t="str">
        <f t="shared" si="2998"/>
        <v>VA</v>
      </c>
      <c r="K8053" t="str">
        <f>T("7037845125")</f>
        <v>7037845125</v>
      </c>
      <c r="L8053" t="str">
        <f>T("7037845127")</f>
        <v>7037845127</v>
      </c>
    </row>
    <row r="8054" spans="1:12" x14ac:dyDescent="0.35">
      <c r="A8054" t="str">
        <f t="shared" si="2994"/>
        <v>RCO NE</v>
      </c>
      <c r="B8054" t="str">
        <f>T("3250 CATLIN AVENUE")</f>
        <v>3250 CATLIN AVENUE</v>
      </c>
      <c r="C8054" t="str">
        <f>T("")</f>
        <v/>
      </c>
      <c r="D8054" t="str">
        <f t="shared" si="2995"/>
        <v>QUANTICO</v>
      </c>
      <c r="E8054" t="str">
        <f t="shared" si="2996"/>
        <v>VA</v>
      </c>
      <c r="F8054" t="str">
        <f t="shared" si="3000"/>
        <v>221345109</v>
      </c>
      <c r="G8054" t="str">
        <f>T("3250 CATLIN AVENUE")</f>
        <v>3250 CATLIN AVENUE</v>
      </c>
      <c r="H8054" t="str">
        <f t="shared" ref="H8054:H8059" si="3001">T("")</f>
        <v/>
      </c>
      <c r="I8054" t="str">
        <f t="shared" si="2997"/>
        <v>QUANTICO</v>
      </c>
      <c r="J8054" t="str">
        <f t="shared" si="2998"/>
        <v>VA</v>
      </c>
      <c r="K8054" t="str">
        <f>T("7037843683")</f>
        <v>7037843683</v>
      </c>
      <c r="L8054" t="str">
        <f>T("7037844633")</f>
        <v>7037844633</v>
      </c>
    </row>
    <row r="8055" spans="1:12" x14ac:dyDescent="0.35">
      <c r="A8055" t="str">
        <f t="shared" si="2994"/>
        <v>RCO NE</v>
      </c>
      <c r="B8055" t="str">
        <f>T("3250 CATLIN AVENUE")</f>
        <v>3250 CATLIN AVENUE</v>
      </c>
      <c r="C8055" t="str">
        <f>T("")</f>
        <v/>
      </c>
      <c r="D8055" t="str">
        <f t="shared" si="2995"/>
        <v>QUANTICO</v>
      </c>
      <c r="E8055" t="str">
        <f t="shared" si="2996"/>
        <v>VA</v>
      </c>
      <c r="F8055" t="str">
        <f t="shared" si="3000"/>
        <v>221345109</v>
      </c>
      <c r="G8055" t="str">
        <f>T("3250T CATLIN AVE")</f>
        <v>3250T CATLIN AVE</v>
      </c>
      <c r="H8055" t="str">
        <f t="shared" si="3001"/>
        <v/>
      </c>
      <c r="I8055" t="str">
        <f t="shared" si="2997"/>
        <v>QUANTICO</v>
      </c>
      <c r="J8055" t="str">
        <f t="shared" si="2998"/>
        <v>VA</v>
      </c>
      <c r="K8055" t="str">
        <f>T("000000000000000000")</f>
        <v>000000000000000000</v>
      </c>
      <c r="L8055" t="str">
        <f>T("7037844633")</f>
        <v>7037844633</v>
      </c>
    </row>
    <row r="8056" spans="1:12" x14ac:dyDescent="0.35">
      <c r="A8056" t="str">
        <f t="shared" si="2994"/>
        <v>RCO NE</v>
      </c>
      <c r="B8056" t="str">
        <f>T("3250 LEJEUNE AVE")</f>
        <v>3250 LEJEUNE AVE</v>
      </c>
      <c r="C8056" t="str">
        <f>T("")</f>
        <v/>
      </c>
      <c r="D8056" t="str">
        <f t="shared" si="2995"/>
        <v>QUANTICO</v>
      </c>
      <c r="E8056" t="str">
        <f t="shared" si="2996"/>
        <v>VA</v>
      </c>
      <c r="F8056" t="str">
        <f>T("221341183")</f>
        <v>221341183</v>
      </c>
      <c r="G8056" t="str">
        <f>T("3250 CATLIN AVE SUITE 101")</f>
        <v>3250 CATLIN AVE SUITE 101</v>
      </c>
      <c r="H8056" t="str">
        <f t="shared" si="3001"/>
        <v/>
      </c>
      <c r="I8056" t="str">
        <f t="shared" si="2997"/>
        <v>QUANTICO</v>
      </c>
      <c r="J8056" t="str">
        <f t="shared" si="2998"/>
        <v>VA</v>
      </c>
      <c r="K8056" t="str">
        <f>T("7037845125")</f>
        <v>7037845125</v>
      </c>
      <c r="L8056" t="str">
        <f>T("7037842866")</f>
        <v>7037842866</v>
      </c>
    </row>
    <row r="8057" spans="1:12" x14ac:dyDescent="0.35">
      <c r="A8057" t="str">
        <f t="shared" si="2994"/>
        <v>RCO NE</v>
      </c>
      <c r="B8057" t="str">
        <f>T("3250 LEJEUNE AVE")</f>
        <v>3250 LEJEUNE AVE</v>
      </c>
      <c r="C8057" t="str">
        <f>T("")</f>
        <v/>
      </c>
      <c r="D8057" t="str">
        <f t="shared" si="2995"/>
        <v>QUANTICO</v>
      </c>
      <c r="E8057" t="str">
        <f t="shared" si="2996"/>
        <v>VA</v>
      </c>
      <c r="F8057" t="str">
        <f>T("221341183")</f>
        <v>221341183</v>
      </c>
      <c r="G8057" t="str">
        <f>T("3250 LEJEUNE AVE")</f>
        <v>3250 LEJEUNE AVE</v>
      </c>
      <c r="H8057" t="str">
        <f t="shared" si="3001"/>
        <v/>
      </c>
      <c r="I8057" t="str">
        <f t="shared" si="2997"/>
        <v>QUANTICO</v>
      </c>
      <c r="J8057" t="str">
        <f t="shared" si="2998"/>
        <v>VA</v>
      </c>
      <c r="K8057" t="str">
        <f>T("703-784-5125")</f>
        <v>703-784-5125</v>
      </c>
      <c r="L8057" t="str">
        <f>T("7037842527")</f>
        <v>7037842527</v>
      </c>
    </row>
    <row r="8058" spans="1:12" x14ac:dyDescent="0.35">
      <c r="A8058" t="str">
        <f t="shared" si="2994"/>
        <v>RCO NE</v>
      </c>
      <c r="B8058" t="str">
        <f>T("3250 LEJEUNE AVE")</f>
        <v>3250 LEJEUNE AVE</v>
      </c>
      <c r="C8058" t="str">
        <f>T("")</f>
        <v/>
      </c>
      <c r="D8058" t="str">
        <f t="shared" si="2995"/>
        <v>QUANTICO</v>
      </c>
      <c r="E8058" t="str">
        <f t="shared" si="2996"/>
        <v>VA</v>
      </c>
      <c r="F8058" t="str">
        <f>T("221341183")</f>
        <v>221341183</v>
      </c>
      <c r="G8058" t="str">
        <f>T("3250 LEJEUNE AVE")</f>
        <v>3250 LEJEUNE AVE</v>
      </c>
      <c r="H8058" t="str">
        <f t="shared" si="3001"/>
        <v/>
      </c>
      <c r="I8058" t="str">
        <f t="shared" si="2997"/>
        <v>QUANTICO</v>
      </c>
      <c r="J8058" t="str">
        <f t="shared" si="2998"/>
        <v>VA</v>
      </c>
      <c r="K8058" t="str">
        <f>T("7037845125")</f>
        <v>7037845125</v>
      </c>
      <c r="L8058" t="str">
        <f>T("7037842866")</f>
        <v>7037842866</v>
      </c>
    </row>
    <row r="8059" spans="1:12" x14ac:dyDescent="0.35">
      <c r="A8059" t="str">
        <f t="shared" si="2994"/>
        <v>RCO NE</v>
      </c>
      <c r="B8059" t="str">
        <f>T("3252 BARNETT AVE")</f>
        <v>3252 BARNETT AVE</v>
      </c>
      <c r="C8059" t="str">
        <f>T("MCB")</f>
        <v>MCB</v>
      </c>
      <c r="D8059" t="str">
        <f t="shared" si="2995"/>
        <v>QUANTICO</v>
      </c>
      <c r="E8059" t="str">
        <f t="shared" si="2996"/>
        <v>VA</v>
      </c>
      <c r="F8059" t="str">
        <f>T("221345133")</f>
        <v>221345133</v>
      </c>
      <c r="G8059" t="str">
        <f>T("3252 BARNETT AVE")</f>
        <v>3252 BARNETT AVE</v>
      </c>
      <c r="H8059" t="str">
        <f t="shared" si="3001"/>
        <v/>
      </c>
      <c r="I8059" t="str">
        <f t="shared" si="2997"/>
        <v>QUANTICO</v>
      </c>
      <c r="J8059" t="str">
        <f t="shared" si="2998"/>
        <v>VA</v>
      </c>
      <c r="K8059" t="str">
        <f>T("7037841404")</f>
        <v>7037841404</v>
      </c>
      <c r="L8059" t="str">
        <f>T("7034321495")</f>
        <v>7034321495</v>
      </c>
    </row>
    <row r="8060" spans="1:12" x14ac:dyDescent="0.35">
      <c r="A8060" t="str">
        <f t="shared" si="2994"/>
        <v>RCO NE</v>
      </c>
      <c r="B8060" t="str">
        <f>T("3252 BARNETT AVE")</f>
        <v>3252 BARNETT AVE</v>
      </c>
      <c r="C8060" t="str">
        <f>T("MCB")</f>
        <v>MCB</v>
      </c>
      <c r="D8060" t="str">
        <f t="shared" si="2995"/>
        <v>QUANTICO</v>
      </c>
      <c r="E8060" t="str">
        <f t="shared" si="2996"/>
        <v>VA</v>
      </c>
      <c r="F8060" t="str">
        <f>T("221345133")</f>
        <v>221345133</v>
      </c>
      <c r="G8060" t="str">
        <f>T("3252 BARNETT AVE")</f>
        <v>3252 BARNETT AVE</v>
      </c>
      <c r="H8060" t="str">
        <f>T("MCB")</f>
        <v>MCB</v>
      </c>
      <c r="I8060" t="str">
        <f t="shared" si="2997"/>
        <v>QUANTICO</v>
      </c>
      <c r="J8060" t="str">
        <f t="shared" si="2998"/>
        <v>VA</v>
      </c>
      <c r="K8060" t="str">
        <f>T("7037841404")</f>
        <v>7037841404</v>
      </c>
      <c r="L8060" t="str">
        <f>T("7037842047")</f>
        <v>7037842047</v>
      </c>
    </row>
    <row r="8061" spans="1:12" x14ac:dyDescent="0.35">
      <c r="A8061" t="str">
        <f t="shared" si="2994"/>
        <v>RCO NE</v>
      </c>
      <c r="B8061" t="str">
        <f>T("3255 MEYERS AVE")</f>
        <v>3255 MEYERS AVE</v>
      </c>
      <c r="C8061" t="str">
        <f t="shared" ref="C8061:C8066" si="3002">T("")</f>
        <v/>
      </c>
      <c r="D8061" t="str">
        <f t="shared" si="2995"/>
        <v>QUANTICO</v>
      </c>
      <c r="E8061" t="str">
        <f t="shared" si="2996"/>
        <v>VA</v>
      </c>
      <c r="F8061" t="str">
        <f t="shared" ref="F8061:F8066" si="3003">T("221345121")</f>
        <v>221345121</v>
      </c>
      <c r="G8061" t="str">
        <f>T("3255 MEYERS AVE")</f>
        <v>3255 MEYERS AVE</v>
      </c>
      <c r="H8061" t="str">
        <f t="shared" ref="H8061:H8066" si="3004">T("")</f>
        <v/>
      </c>
      <c r="I8061" t="str">
        <f t="shared" si="2997"/>
        <v>QUANTICO</v>
      </c>
      <c r="J8061" t="str">
        <f t="shared" si="2998"/>
        <v>VA</v>
      </c>
      <c r="K8061" t="str">
        <f>T("7037841379")</f>
        <v>7037841379</v>
      </c>
      <c r="L8061" t="str">
        <f>T("7037845171")</f>
        <v>7037845171</v>
      </c>
    </row>
    <row r="8062" spans="1:12" x14ac:dyDescent="0.35">
      <c r="A8062" t="str">
        <f t="shared" si="2994"/>
        <v>RCO NE</v>
      </c>
      <c r="B8062" t="str">
        <f>T("3255 MEYERS AVE")</f>
        <v>3255 MEYERS AVE</v>
      </c>
      <c r="C8062" t="str">
        <f t="shared" si="3002"/>
        <v/>
      </c>
      <c r="D8062" t="str">
        <f t="shared" si="2995"/>
        <v>QUANTICO</v>
      </c>
      <c r="E8062" t="str">
        <f t="shared" si="2996"/>
        <v>VA</v>
      </c>
      <c r="F8062" t="str">
        <f t="shared" si="3003"/>
        <v>221345121</v>
      </c>
      <c r="G8062" t="str">
        <f>T("3255 MEYERS AVE RM 203")</f>
        <v>3255 MEYERS AVE RM 203</v>
      </c>
      <c r="H8062" t="str">
        <f t="shared" si="3004"/>
        <v/>
      </c>
      <c r="I8062" t="str">
        <f t="shared" si="2997"/>
        <v>QUANTICO</v>
      </c>
      <c r="J8062" t="str">
        <f t="shared" si="2998"/>
        <v>VA</v>
      </c>
      <c r="K8062" t="str">
        <f>T("000000000000000000")</f>
        <v>000000000000000000</v>
      </c>
      <c r="L8062" t="str">
        <f>T("7034320844")</f>
        <v>7034320844</v>
      </c>
    </row>
    <row r="8063" spans="1:12" x14ac:dyDescent="0.35">
      <c r="A8063" t="str">
        <f t="shared" si="2994"/>
        <v>RCO NE</v>
      </c>
      <c r="B8063" t="str">
        <f>T("3255 MEYERS AVE")</f>
        <v>3255 MEYERS AVE</v>
      </c>
      <c r="C8063" t="str">
        <f t="shared" si="3002"/>
        <v/>
      </c>
      <c r="D8063" t="str">
        <f t="shared" si="2995"/>
        <v>QUANTICO</v>
      </c>
      <c r="E8063" t="str">
        <f t="shared" si="2996"/>
        <v>VA</v>
      </c>
      <c r="F8063" t="str">
        <f t="shared" si="3003"/>
        <v>221345121</v>
      </c>
      <c r="G8063" t="str">
        <f>T("3255 MEYERS AVENUE")</f>
        <v>3255 MEYERS AVENUE</v>
      </c>
      <c r="H8063" t="str">
        <f t="shared" si="3004"/>
        <v/>
      </c>
      <c r="I8063" t="str">
        <f t="shared" si="2997"/>
        <v>QUANTICO</v>
      </c>
      <c r="J8063" t="str">
        <f t="shared" si="2998"/>
        <v>VA</v>
      </c>
      <c r="K8063" t="str">
        <f>T("000000000000000000")</f>
        <v>000000000000000000</v>
      </c>
      <c r="L8063" t="str">
        <f>T("7034320090")</f>
        <v>7034320090</v>
      </c>
    </row>
    <row r="8064" spans="1:12" x14ac:dyDescent="0.35">
      <c r="A8064" t="str">
        <f t="shared" si="2994"/>
        <v>RCO NE</v>
      </c>
      <c r="B8064" t="str">
        <f>T("3255 MEYERS AVE")</f>
        <v>3255 MEYERS AVE</v>
      </c>
      <c r="C8064" t="str">
        <f t="shared" si="3002"/>
        <v/>
      </c>
      <c r="D8064" t="str">
        <f t="shared" si="2995"/>
        <v>QUANTICO</v>
      </c>
      <c r="E8064" t="str">
        <f t="shared" si="2996"/>
        <v>VA</v>
      </c>
      <c r="F8064" t="str">
        <f t="shared" si="3003"/>
        <v>221345121</v>
      </c>
      <c r="G8064" t="str">
        <f>T("3255 MYERS AVENUE")</f>
        <v>3255 MYERS AVENUE</v>
      </c>
      <c r="H8064" t="str">
        <f t="shared" si="3004"/>
        <v/>
      </c>
      <c r="I8064" t="str">
        <f t="shared" si="2997"/>
        <v>QUANTICO</v>
      </c>
      <c r="J8064" t="str">
        <f t="shared" si="2998"/>
        <v>VA</v>
      </c>
      <c r="K8064" t="str">
        <f>T("7037841117")</f>
        <v>7037841117</v>
      </c>
      <c r="L8064" t="str">
        <f>T("7034320090")</f>
        <v>7034320090</v>
      </c>
    </row>
    <row r="8065" spans="1:12" x14ac:dyDescent="0.35">
      <c r="A8065" t="str">
        <f t="shared" si="2994"/>
        <v>RCO NE</v>
      </c>
      <c r="B8065" t="str">
        <f>T("3255 MEYERS AVENUE")</f>
        <v>3255 MEYERS AVENUE</v>
      </c>
      <c r="C8065" t="str">
        <f t="shared" si="3002"/>
        <v/>
      </c>
      <c r="D8065" t="str">
        <f t="shared" si="2995"/>
        <v>QUANTICO</v>
      </c>
      <c r="E8065" t="str">
        <f t="shared" si="2996"/>
        <v>VA</v>
      </c>
      <c r="F8065" t="str">
        <f t="shared" si="3003"/>
        <v>221345121</v>
      </c>
      <c r="G8065" t="str">
        <f>T("3255 MEYERS AVE RM 203")</f>
        <v>3255 MEYERS AVE RM 203</v>
      </c>
      <c r="H8065" t="str">
        <f t="shared" si="3004"/>
        <v/>
      </c>
      <c r="I8065" t="str">
        <f t="shared" si="2997"/>
        <v>QUANTICO</v>
      </c>
      <c r="J8065" t="str">
        <f t="shared" si="2998"/>
        <v>VA</v>
      </c>
      <c r="K8065" t="str">
        <f>T("000000000000000000")</f>
        <v>000000000000000000</v>
      </c>
      <c r="L8065" t="str">
        <f>T("7034320844")</f>
        <v>7034320844</v>
      </c>
    </row>
    <row r="8066" spans="1:12" x14ac:dyDescent="0.35">
      <c r="A8066" t="str">
        <f t="shared" si="2994"/>
        <v>RCO NE</v>
      </c>
      <c r="B8066" t="str">
        <f>T("3255 MEYERS AVENUE")</f>
        <v>3255 MEYERS AVENUE</v>
      </c>
      <c r="C8066" t="str">
        <f t="shared" si="3002"/>
        <v/>
      </c>
      <c r="D8066" t="str">
        <f t="shared" si="2995"/>
        <v>QUANTICO</v>
      </c>
      <c r="E8066" t="str">
        <f t="shared" si="2996"/>
        <v>VA</v>
      </c>
      <c r="F8066" t="str">
        <f t="shared" si="3003"/>
        <v>221345121</v>
      </c>
      <c r="G8066" t="str">
        <f>T("3255 MEYERS AVENUE")</f>
        <v>3255 MEYERS AVENUE</v>
      </c>
      <c r="H8066" t="str">
        <f t="shared" si="3004"/>
        <v/>
      </c>
      <c r="I8066" t="str">
        <f t="shared" si="2997"/>
        <v>QUANTICO</v>
      </c>
      <c r="J8066" t="str">
        <f t="shared" si="2998"/>
        <v>VA</v>
      </c>
      <c r="K8066" t="str">
        <f>T("7037841117")</f>
        <v>7037841117</v>
      </c>
      <c r="L8066" t="str">
        <f>T("7034321030")</f>
        <v>7034321030</v>
      </c>
    </row>
    <row r="8067" spans="1:12" x14ac:dyDescent="0.35">
      <c r="A8067" t="str">
        <f t="shared" si="2994"/>
        <v>RCO NE</v>
      </c>
      <c r="B8067" t="str">
        <f>T("3300 RUSELL RD")</f>
        <v>3300 RUSELL RD</v>
      </c>
      <c r="C8067" t="str">
        <f>T("MCB QUANTICO")</f>
        <v>MCB QUANTICO</v>
      </c>
      <c r="D8067" t="str">
        <f t="shared" si="2995"/>
        <v>QUANTICO</v>
      </c>
      <c r="E8067" t="str">
        <f t="shared" si="2996"/>
        <v>VA</v>
      </c>
      <c r="F8067" t="str">
        <f t="shared" ref="F8067:F8083" si="3005">T("221345135")</f>
        <v>221345135</v>
      </c>
      <c r="G8067" t="str">
        <f>T("3300 RUSELL RD")</f>
        <v>3300 RUSELL RD</v>
      </c>
      <c r="H8067" t="str">
        <f>T("MCB QUANTICO")</f>
        <v>MCB QUANTICO</v>
      </c>
      <c r="I8067" t="str">
        <f t="shared" si="2997"/>
        <v>QUANTICO</v>
      </c>
      <c r="J8067" t="str">
        <f t="shared" si="2998"/>
        <v>VA</v>
      </c>
      <c r="K8067" t="str">
        <f>T("7037840266")</f>
        <v>7037840266</v>
      </c>
      <c r="L8067" t="str">
        <f>T("7037844251")</f>
        <v>7037844251</v>
      </c>
    </row>
    <row r="8068" spans="1:12" x14ac:dyDescent="0.35">
      <c r="A8068" t="str">
        <f t="shared" si="2994"/>
        <v>RCO NE</v>
      </c>
      <c r="B8068" t="str">
        <f>T("3300 RUSELL RD")</f>
        <v>3300 RUSELL RD</v>
      </c>
      <c r="C8068" t="str">
        <f>T("MCB QUANTICO")</f>
        <v>MCB QUANTICO</v>
      </c>
      <c r="D8068" t="str">
        <f t="shared" si="2995"/>
        <v>QUANTICO</v>
      </c>
      <c r="E8068" t="str">
        <f t="shared" si="2996"/>
        <v>VA</v>
      </c>
      <c r="F8068" t="str">
        <f t="shared" si="3005"/>
        <v>221345135</v>
      </c>
      <c r="G8068" t="str">
        <f>T("3300 RUSSELL ROAD")</f>
        <v>3300 RUSSELL ROAD</v>
      </c>
      <c r="H8068" t="str">
        <f>T("")</f>
        <v/>
      </c>
      <c r="I8068" t="str">
        <f t="shared" si="2997"/>
        <v>QUANTICO</v>
      </c>
      <c r="J8068" t="str">
        <f t="shared" si="2998"/>
        <v>VA</v>
      </c>
      <c r="K8068" t="str">
        <f>T("000000000000000000")</f>
        <v>000000000000000000</v>
      </c>
      <c r="L8068" t="str">
        <f>T("7037846093")</f>
        <v>7037846093</v>
      </c>
    </row>
    <row r="8069" spans="1:12" x14ac:dyDescent="0.35">
      <c r="A8069" t="str">
        <f t="shared" si="2994"/>
        <v>RCO NE</v>
      </c>
      <c r="B8069" t="str">
        <f t="shared" ref="B8069:B8077" si="3006">T("3300 RUSSELL RD")</f>
        <v>3300 RUSSELL RD</v>
      </c>
      <c r="C8069" t="str">
        <f>T("")</f>
        <v/>
      </c>
      <c r="D8069" t="str">
        <f t="shared" si="2995"/>
        <v>QUANTICO</v>
      </c>
      <c r="E8069" t="str">
        <f t="shared" si="2996"/>
        <v>VA</v>
      </c>
      <c r="F8069" t="str">
        <f t="shared" si="3005"/>
        <v>221345135</v>
      </c>
      <c r="G8069" t="str">
        <f>T("3300 RUSSELL RD")</f>
        <v>3300 RUSSELL RD</v>
      </c>
      <c r="H8069" t="str">
        <f>T("")</f>
        <v/>
      </c>
      <c r="I8069" t="str">
        <f t="shared" si="2997"/>
        <v>QUANTICO</v>
      </c>
      <c r="J8069" t="str">
        <f t="shared" si="2998"/>
        <v>VA</v>
      </c>
      <c r="K8069" t="str">
        <f>T("7037843546")</f>
        <v>7037843546</v>
      </c>
      <c r="L8069" t="str">
        <f>T("7034328332")</f>
        <v>7034328332</v>
      </c>
    </row>
    <row r="8070" spans="1:12" x14ac:dyDescent="0.35">
      <c r="A8070" t="str">
        <f t="shared" si="2994"/>
        <v>RCO NE</v>
      </c>
      <c r="B8070" t="str">
        <f t="shared" si="3006"/>
        <v>3300 RUSSELL RD</v>
      </c>
      <c r="C8070" t="str">
        <f>T("")</f>
        <v/>
      </c>
      <c r="D8070" t="str">
        <f t="shared" si="2995"/>
        <v>QUANTICO</v>
      </c>
      <c r="E8070" t="str">
        <f t="shared" si="2996"/>
        <v>VA</v>
      </c>
      <c r="F8070" t="str">
        <f t="shared" si="3005"/>
        <v>221345135</v>
      </c>
      <c r="G8070" t="str">
        <f>T("3300 RUSSELL RD RM 127")</f>
        <v>3300 RUSSELL RD RM 127</v>
      </c>
      <c r="H8070" t="str">
        <f>T("")</f>
        <v/>
      </c>
      <c r="I8070" t="str">
        <f t="shared" si="2997"/>
        <v>QUANTICO</v>
      </c>
      <c r="J8070" t="str">
        <f t="shared" si="2998"/>
        <v>VA</v>
      </c>
      <c r="K8070" t="str">
        <f>T("7037843547")</f>
        <v>7037843547</v>
      </c>
      <c r="L8070" t="str">
        <f>T("7034328130")</f>
        <v>7034328130</v>
      </c>
    </row>
    <row r="8071" spans="1:12" x14ac:dyDescent="0.35">
      <c r="A8071" t="str">
        <f t="shared" si="2994"/>
        <v>RCO NE</v>
      </c>
      <c r="B8071" t="str">
        <f t="shared" si="3006"/>
        <v>3300 RUSSELL RD</v>
      </c>
      <c r="C8071" t="str">
        <f>T("BUDGET BRANCH RM 105")</f>
        <v>BUDGET BRANCH RM 105</v>
      </c>
      <c r="D8071" t="str">
        <f t="shared" si="2995"/>
        <v>QUANTICO</v>
      </c>
      <c r="E8071" t="str">
        <f t="shared" si="2996"/>
        <v>VA</v>
      </c>
      <c r="F8071" t="str">
        <f t="shared" si="3005"/>
        <v>221345135</v>
      </c>
      <c r="G8071" t="str">
        <f>T("3300 RUSSEL ROAD")</f>
        <v>3300 RUSSEL ROAD</v>
      </c>
      <c r="H8071" t="str">
        <f>T("")</f>
        <v/>
      </c>
      <c r="I8071" t="str">
        <f t="shared" si="2997"/>
        <v>QUANTICO</v>
      </c>
      <c r="J8071" t="str">
        <f t="shared" si="2998"/>
        <v>VA</v>
      </c>
      <c r="K8071" t="str">
        <f>T("7037840266")</f>
        <v>7037840266</v>
      </c>
      <c r="L8071" t="str">
        <f>T("7034328335")</f>
        <v>7034328335</v>
      </c>
    </row>
    <row r="8072" spans="1:12" x14ac:dyDescent="0.35">
      <c r="A8072" t="str">
        <f t="shared" si="2994"/>
        <v>RCO NE</v>
      </c>
      <c r="B8072" t="str">
        <f t="shared" si="3006"/>
        <v>3300 RUSSELL RD</v>
      </c>
      <c r="C8072" t="str">
        <f>T("BUDGET BRANCH RM 105")</f>
        <v>BUDGET BRANCH RM 105</v>
      </c>
      <c r="D8072" t="str">
        <f t="shared" si="2995"/>
        <v>QUANTICO</v>
      </c>
      <c r="E8072" t="str">
        <f t="shared" si="2996"/>
        <v>VA</v>
      </c>
      <c r="F8072" t="str">
        <f t="shared" si="3005"/>
        <v>221345135</v>
      </c>
      <c r="G8072" t="str">
        <f>T("3300 RUSSELL RD")</f>
        <v>3300 RUSSELL RD</v>
      </c>
      <c r="H8072" t="str">
        <f>T("BUDGET BRANCH RM 105")</f>
        <v>BUDGET BRANCH RM 105</v>
      </c>
      <c r="I8072" t="str">
        <f t="shared" si="2997"/>
        <v>QUANTICO</v>
      </c>
      <c r="J8072" t="str">
        <f t="shared" si="2998"/>
        <v>VA</v>
      </c>
      <c r="K8072" t="str">
        <f>T("7037840266")</f>
        <v>7037840266</v>
      </c>
      <c r="L8072" t="str">
        <f>T("7034328400")</f>
        <v>7034328400</v>
      </c>
    </row>
    <row r="8073" spans="1:12" x14ac:dyDescent="0.35">
      <c r="A8073" t="str">
        <f t="shared" si="2994"/>
        <v>RCO NE</v>
      </c>
      <c r="B8073" t="str">
        <f t="shared" si="3006"/>
        <v>3300 RUSSELL RD</v>
      </c>
      <c r="C8073" t="str">
        <f>T("BUDGET BRANCH RM 105")</f>
        <v>BUDGET BRANCH RM 105</v>
      </c>
      <c r="D8073" t="str">
        <f t="shared" si="2995"/>
        <v>QUANTICO</v>
      </c>
      <c r="E8073" t="str">
        <f t="shared" si="2996"/>
        <v>VA</v>
      </c>
      <c r="F8073" t="str">
        <f t="shared" si="3005"/>
        <v>221345135</v>
      </c>
      <c r="G8073" t="str">
        <f>T("3300 RUSSELL ROAD")</f>
        <v>3300 RUSSELL ROAD</v>
      </c>
      <c r="H8073" t="str">
        <f>T("SUITE 136")</f>
        <v>SUITE 136</v>
      </c>
      <c r="I8073" t="str">
        <f t="shared" si="2997"/>
        <v>QUANTICO</v>
      </c>
      <c r="J8073" t="str">
        <f t="shared" si="2998"/>
        <v>VA</v>
      </c>
      <c r="K8073" t="str">
        <f>T("000000000000000000")</f>
        <v>000000000000000000</v>
      </c>
      <c r="L8073" t="str">
        <f>T("7037842819")</f>
        <v>7037842819</v>
      </c>
    </row>
    <row r="8074" spans="1:12" x14ac:dyDescent="0.35">
      <c r="A8074" t="str">
        <f t="shared" ref="A8074:A8105" si="3007">T("RCO NE")</f>
        <v>RCO NE</v>
      </c>
      <c r="B8074" t="str">
        <f t="shared" si="3006"/>
        <v>3300 RUSSELL RD</v>
      </c>
      <c r="C8074" t="str">
        <f>T("RM 127")</f>
        <v>RM 127</v>
      </c>
      <c r="D8074" t="str">
        <f t="shared" ref="D8074:D8083" si="3008">T("QUANTICO")</f>
        <v>QUANTICO</v>
      </c>
      <c r="E8074" t="str">
        <f t="shared" ref="E8074:E8083" si="3009">T("VA")</f>
        <v>VA</v>
      </c>
      <c r="F8074" t="str">
        <f t="shared" si="3005"/>
        <v>221345135</v>
      </c>
      <c r="G8074" t="str">
        <f>T("3300 RUSSELL RD")</f>
        <v>3300 RUSSELL RD</v>
      </c>
      <c r="H8074" t="str">
        <f>T("RM 127")</f>
        <v>RM 127</v>
      </c>
      <c r="I8074" t="str">
        <f t="shared" ref="I8074:I8083" si="3010">T("QUANTICO")</f>
        <v>QUANTICO</v>
      </c>
      <c r="J8074" t="str">
        <f t="shared" ref="J8074:J8083" si="3011">T("VA")</f>
        <v>VA</v>
      </c>
      <c r="K8074" t="str">
        <f>T("7037843546")</f>
        <v>7037843546</v>
      </c>
      <c r="L8074" t="str">
        <f>T("7034328332")</f>
        <v>7034328332</v>
      </c>
    </row>
    <row r="8075" spans="1:12" x14ac:dyDescent="0.35">
      <c r="A8075" t="str">
        <f t="shared" si="3007"/>
        <v>RCO NE</v>
      </c>
      <c r="B8075" t="str">
        <f t="shared" si="3006"/>
        <v>3300 RUSSELL RD</v>
      </c>
      <c r="C8075" t="str">
        <f>T("RM 127")</f>
        <v>RM 127</v>
      </c>
      <c r="D8075" t="str">
        <f t="shared" si="3008"/>
        <v>QUANTICO</v>
      </c>
      <c r="E8075" t="str">
        <f t="shared" si="3009"/>
        <v>VA</v>
      </c>
      <c r="F8075" t="str">
        <f t="shared" si="3005"/>
        <v>221345135</v>
      </c>
      <c r="G8075" t="str">
        <f>T("3300 RUSSELL RD RM 127")</f>
        <v>3300 RUSSELL RD RM 127</v>
      </c>
      <c r="H8075" t="str">
        <f>T("")</f>
        <v/>
      </c>
      <c r="I8075" t="str">
        <f t="shared" si="3010"/>
        <v>QUANTICO</v>
      </c>
      <c r="J8075" t="str">
        <f t="shared" si="3011"/>
        <v>VA</v>
      </c>
      <c r="K8075" t="str">
        <f>T("7037843457")</f>
        <v>7037843457</v>
      </c>
      <c r="L8075" t="str">
        <f>T("7034328130")</f>
        <v>7034328130</v>
      </c>
    </row>
    <row r="8076" spans="1:12" x14ac:dyDescent="0.35">
      <c r="A8076" t="str">
        <f t="shared" si="3007"/>
        <v>RCO NE</v>
      </c>
      <c r="B8076" t="str">
        <f t="shared" si="3006"/>
        <v>3300 RUSSELL RD</v>
      </c>
      <c r="C8076" t="str">
        <f>T("RM 242")</f>
        <v>RM 242</v>
      </c>
      <c r="D8076" t="str">
        <f t="shared" si="3008"/>
        <v>QUANTICO</v>
      </c>
      <c r="E8076" t="str">
        <f t="shared" si="3009"/>
        <v>VA</v>
      </c>
      <c r="F8076" t="str">
        <f t="shared" si="3005"/>
        <v>221345135</v>
      </c>
      <c r="G8076" t="str">
        <f>T("3300 RUSSELL RD")</f>
        <v>3300 RUSSELL RD</v>
      </c>
      <c r="H8076" t="str">
        <f>T("RM 242")</f>
        <v>RM 242</v>
      </c>
      <c r="I8076" t="str">
        <f t="shared" si="3010"/>
        <v>QUANTICO</v>
      </c>
      <c r="J8076" t="str">
        <f t="shared" si="3011"/>
        <v>VA</v>
      </c>
      <c r="K8076" t="str">
        <f>T("7037844917")</f>
        <v>7037844917</v>
      </c>
      <c r="L8076" t="str">
        <f>T("7037843429")</f>
        <v>7037843429</v>
      </c>
    </row>
    <row r="8077" spans="1:12" x14ac:dyDescent="0.35">
      <c r="A8077" t="str">
        <f t="shared" si="3007"/>
        <v>RCO NE</v>
      </c>
      <c r="B8077" t="str">
        <f t="shared" si="3006"/>
        <v>3300 RUSSELL RD</v>
      </c>
      <c r="C8077" t="str">
        <f>T("RM 242")</f>
        <v>RM 242</v>
      </c>
      <c r="D8077" t="str">
        <f t="shared" si="3008"/>
        <v>QUANTICO</v>
      </c>
      <c r="E8077" t="str">
        <f t="shared" si="3009"/>
        <v>VA</v>
      </c>
      <c r="F8077" t="str">
        <f t="shared" si="3005"/>
        <v>221345135</v>
      </c>
      <c r="G8077" t="str">
        <f>T("3300 RUSSELL RD")</f>
        <v>3300 RUSSELL RD</v>
      </c>
      <c r="H8077" t="str">
        <f>T("ROOM 242")</f>
        <v>ROOM 242</v>
      </c>
      <c r="I8077" t="str">
        <f t="shared" si="3010"/>
        <v>QUANTICO</v>
      </c>
      <c r="J8077" t="str">
        <f t="shared" si="3011"/>
        <v>VA</v>
      </c>
      <c r="K8077" t="str">
        <f>T("000000000000000000")</f>
        <v>000000000000000000</v>
      </c>
      <c r="L8077" t="str">
        <f>T("7034321679")</f>
        <v>7034321679</v>
      </c>
    </row>
    <row r="8078" spans="1:12" x14ac:dyDescent="0.35">
      <c r="A8078" t="str">
        <f t="shared" si="3007"/>
        <v>RCO NE</v>
      </c>
      <c r="B8078" t="str">
        <f>T("3300 RUSSELL RD RM 242")</f>
        <v>3300 RUSSELL RD RM 242</v>
      </c>
      <c r="C8078" t="str">
        <f>T("")</f>
        <v/>
      </c>
      <c r="D8078" t="str">
        <f t="shared" si="3008"/>
        <v>QUANTICO</v>
      </c>
      <c r="E8078" t="str">
        <f t="shared" si="3009"/>
        <v>VA</v>
      </c>
      <c r="F8078" t="str">
        <f t="shared" si="3005"/>
        <v>221345135</v>
      </c>
      <c r="G8078" t="str">
        <f>T("3300 RUSSELL RD")</f>
        <v>3300 RUSSELL RD</v>
      </c>
      <c r="H8078" t="str">
        <f>T("ROOM 242")</f>
        <v>ROOM 242</v>
      </c>
      <c r="I8078" t="str">
        <f t="shared" si="3010"/>
        <v>QUANTICO</v>
      </c>
      <c r="J8078" t="str">
        <f t="shared" si="3011"/>
        <v>VA</v>
      </c>
      <c r="K8078" t="str">
        <f>T("000000000000000000")</f>
        <v>000000000000000000</v>
      </c>
      <c r="L8078" t="str">
        <f>T("7034321679")</f>
        <v>7034321679</v>
      </c>
    </row>
    <row r="8079" spans="1:12" x14ac:dyDescent="0.35">
      <c r="A8079" t="str">
        <f t="shared" si="3007"/>
        <v>RCO NE</v>
      </c>
      <c r="B8079" t="str">
        <f>T("3300 RUSSELL RD RM 242")</f>
        <v>3300 RUSSELL RD RM 242</v>
      </c>
      <c r="C8079" t="str">
        <f>T("")</f>
        <v/>
      </c>
      <c r="D8079" t="str">
        <f t="shared" si="3008"/>
        <v>QUANTICO</v>
      </c>
      <c r="E8079" t="str">
        <f t="shared" si="3009"/>
        <v>VA</v>
      </c>
      <c r="F8079" t="str">
        <f t="shared" si="3005"/>
        <v>221345135</v>
      </c>
      <c r="G8079" t="str">
        <f>T("3300 RUSSELL RD RM 242")</f>
        <v>3300 RUSSELL RD RM 242</v>
      </c>
      <c r="H8079" t="str">
        <f>T("")</f>
        <v/>
      </c>
      <c r="I8079" t="str">
        <f t="shared" si="3010"/>
        <v>QUANTICO</v>
      </c>
      <c r="J8079" t="str">
        <f t="shared" si="3011"/>
        <v>VA</v>
      </c>
      <c r="K8079" t="str">
        <f>T("7034917")</f>
        <v>7034917</v>
      </c>
      <c r="L8079" t="str">
        <f>T("7037843429")</f>
        <v>7037843429</v>
      </c>
    </row>
    <row r="8080" spans="1:12" x14ac:dyDescent="0.35">
      <c r="A8080" t="str">
        <f t="shared" si="3007"/>
        <v>RCO NE</v>
      </c>
      <c r="B8080" t="str">
        <f>T("3300 RUSSELL ROAD")</f>
        <v>3300 RUSSELL ROAD</v>
      </c>
      <c r="C8080" t="str">
        <f>T("BUDGET BRANCH RM 105")</f>
        <v>BUDGET BRANCH RM 105</v>
      </c>
      <c r="D8080" t="str">
        <f t="shared" si="3008"/>
        <v>QUANTICO</v>
      </c>
      <c r="E8080" t="str">
        <f t="shared" si="3009"/>
        <v>VA</v>
      </c>
      <c r="F8080" t="str">
        <f t="shared" si="3005"/>
        <v>221345135</v>
      </c>
      <c r="G8080" t="str">
        <f>T("3300 RUSSELL RD")</f>
        <v>3300 RUSSELL RD</v>
      </c>
      <c r="H8080" t="str">
        <f>T("MICRO PURCHASE CARD")</f>
        <v>MICRO PURCHASE CARD</v>
      </c>
      <c r="I8080" t="str">
        <f t="shared" si="3010"/>
        <v>QUANTICO</v>
      </c>
      <c r="J8080" t="str">
        <f t="shared" si="3011"/>
        <v>VA</v>
      </c>
      <c r="K8080" t="str">
        <f>T("000000000000000000")</f>
        <v>000000000000000000</v>
      </c>
      <c r="L8080" t="str">
        <f>T("7034328312")</f>
        <v>7034328312</v>
      </c>
    </row>
    <row r="8081" spans="1:12" x14ac:dyDescent="0.35">
      <c r="A8081" t="str">
        <f t="shared" si="3007"/>
        <v>RCO NE</v>
      </c>
      <c r="B8081" t="str">
        <f>T("3300 RUSSELL ROAD")</f>
        <v>3300 RUSSELL ROAD</v>
      </c>
      <c r="C8081" t="str">
        <f>T("BUDGET BRANCH RM 105")</f>
        <v>BUDGET BRANCH RM 105</v>
      </c>
      <c r="D8081" t="str">
        <f t="shared" si="3008"/>
        <v>QUANTICO</v>
      </c>
      <c r="E8081" t="str">
        <f t="shared" si="3009"/>
        <v>VA</v>
      </c>
      <c r="F8081" t="str">
        <f t="shared" si="3005"/>
        <v>221345135</v>
      </c>
      <c r="G8081" t="str">
        <f>T("3300 RUSSELL ROAD")</f>
        <v>3300 RUSSELL ROAD</v>
      </c>
      <c r="H8081" t="str">
        <f>T("")</f>
        <v/>
      </c>
      <c r="I8081" t="str">
        <f t="shared" si="3010"/>
        <v>QUANTICO</v>
      </c>
      <c r="J8081" t="str">
        <f t="shared" si="3011"/>
        <v>VA</v>
      </c>
      <c r="K8081" t="str">
        <f>T("7037840266")</f>
        <v>7037840266</v>
      </c>
      <c r="L8081" t="str">
        <f>T("7034328335")</f>
        <v>7034328335</v>
      </c>
    </row>
    <row r="8082" spans="1:12" x14ac:dyDescent="0.35">
      <c r="A8082" t="str">
        <f t="shared" si="3007"/>
        <v>RCO NE</v>
      </c>
      <c r="B8082" t="str">
        <f>T("3300 RUSSELL ROAD")</f>
        <v>3300 RUSSELL ROAD</v>
      </c>
      <c r="C8082" t="str">
        <f>T("BUDGET BRANCH RM 105")</f>
        <v>BUDGET BRANCH RM 105</v>
      </c>
      <c r="D8082" t="str">
        <f t="shared" si="3008"/>
        <v>QUANTICO</v>
      </c>
      <c r="E8082" t="str">
        <f t="shared" si="3009"/>
        <v>VA</v>
      </c>
      <c r="F8082" t="str">
        <f t="shared" si="3005"/>
        <v>221345135</v>
      </c>
      <c r="G8082" t="str">
        <f>T("3300 RUSSELL ROAD")</f>
        <v>3300 RUSSELL ROAD</v>
      </c>
      <c r="H8082" t="str">
        <f>T("BUDGET BRANCH RM 105")</f>
        <v>BUDGET BRANCH RM 105</v>
      </c>
      <c r="I8082" t="str">
        <f t="shared" si="3010"/>
        <v>QUANTICO</v>
      </c>
      <c r="J8082" t="str">
        <f t="shared" si="3011"/>
        <v>VA</v>
      </c>
      <c r="K8082" t="str">
        <f>T("7037840266")</f>
        <v>7037840266</v>
      </c>
      <c r="L8082" t="str">
        <f>T("7034328400")</f>
        <v>7034328400</v>
      </c>
    </row>
    <row r="8083" spans="1:12" x14ac:dyDescent="0.35">
      <c r="A8083" t="str">
        <f t="shared" si="3007"/>
        <v>RCO NE</v>
      </c>
      <c r="B8083" t="str">
        <f>T("3300 RUSSELL ROAD")</f>
        <v>3300 RUSSELL ROAD</v>
      </c>
      <c r="C8083" t="str">
        <f>T("BUDGET BRANCH RM 105")</f>
        <v>BUDGET BRANCH RM 105</v>
      </c>
      <c r="D8083" t="str">
        <f t="shared" si="3008"/>
        <v>QUANTICO</v>
      </c>
      <c r="E8083" t="str">
        <f t="shared" si="3009"/>
        <v>VA</v>
      </c>
      <c r="F8083" t="str">
        <f t="shared" si="3005"/>
        <v>221345135</v>
      </c>
      <c r="G8083" t="str">
        <f>T("3300 RUSSELL ROAD")</f>
        <v>3300 RUSSELL ROAD</v>
      </c>
      <c r="H8083" t="str">
        <f>T("SUITE 136")</f>
        <v>SUITE 136</v>
      </c>
      <c r="I8083" t="str">
        <f t="shared" si="3010"/>
        <v>QUANTICO</v>
      </c>
      <c r="J8083" t="str">
        <f t="shared" si="3011"/>
        <v>VA</v>
      </c>
      <c r="K8083" t="str">
        <f>T("000000000000000000")</f>
        <v>000000000000000000</v>
      </c>
      <c r="L8083" t="str">
        <f>T("7037842819")</f>
        <v>7037842819</v>
      </c>
    </row>
    <row r="8084" spans="1:12" x14ac:dyDescent="0.35">
      <c r="A8084" t="str">
        <f t="shared" si="3007"/>
        <v>RCO NE</v>
      </c>
      <c r="B8084" t="str">
        <f>T("901 SAC BLVD")</f>
        <v>901 SAC BLVD</v>
      </c>
      <c r="C8084" t="str">
        <f>T("BLDG 500 SUITE 1H19")</f>
        <v>BLDG 500 SUITE 1H19</v>
      </c>
      <c r="D8084" t="str">
        <f>T("OFFUTT AFB")</f>
        <v>OFFUTT AFB</v>
      </c>
      <c r="E8084" t="str">
        <f>T("NE")</f>
        <v>NE</v>
      </c>
      <c r="F8084" t="str">
        <f>T("681135455")</f>
        <v>681135455</v>
      </c>
      <c r="G8084" t="str">
        <f>T("901 SAC BLVD")</f>
        <v>901 SAC BLVD</v>
      </c>
      <c r="H8084" t="str">
        <f>T("BLDG 500 SUITE 1H19")</f>
        <v>BLDG 500 SUITE 1H19</v>
      </c>
      <c r="I8084" t="str">
        <f>T("OFFUTT A F B")</f>
        <v>OFFUTT A F B</v>
      </c>
      <c r="J8084" t="str">
        <f>T("NE")</f>
        <v>NE</v>
      </c>
      <c r="K8084" t="str">
        <f>T("4022329276")</f>
        <v>4022329276</v>
      </c>
      <c r="L8084" t="str">
        <f>T("4022942927")</f>
        <v>4022942927</v>
      </c>
    </row>
    <row r="8085" spans="1:12" x14ac:dyDescent="0.35">
      <c r="A8085" t="str">
        <f t="shared" si="3007"/>
        <v>RCO NE</v>
      </c>
      <c r="B8085" t="str">
        <f>T("901 SAC BLVD")</f>
        <v>901 SAC BLVD</v>
      </c>
      <c r="C8085" t="str">
        <f>T("BLDG 500 SUITE 1H19")</f>
        <v>BLDG 500 SUITE 1H19</v>
      </c>
      <c r="D8085" t="str">
        <f>T("OFFUTT AFB")</f>
        <v>OFFUTT AFB</v>
      </c>
      <c r="E8085" t="str">
        <f>T("NE")</f>
        <v>NE</v>
      </c>
      <c r="F8085" t="str">
        <f>T("681135455")</f>
        <v>681135455</v>
      </c>
      <c r="G8085" t="str">
        <f>T("901 SAC BLVD")</f>
        <v>901 SAC BLVD</v>
      </c>
      <c r="H8085" t="str">
        <f>T("BLDG 500 SUITE 1H19")</f>
        <v>BLDG 500 SUITE 1H19</v>
      </c>
      <c r="I8085" t="str">
        <f>T("OFFUTT AFB")</f>
        <v>OFFUTT AFB</v>
      </c>
      <c r="J8085" t="str">
        <f>T("NE")</f>
        <v>NE</v>
      </c>
      <c r="K8085" t="str">
        <f>T("4022329276")</f>
        <v>4022329276</v>
      </c>
      <c r="L8085" t="str">
        <f>T("4022329298")</f>
        <v>4022329298</v>
      </c>
    </row>
    <row r="8086" spans="1:12" x14ac:dyDescent="0.35">
      <c r="A8086" t="str">
        <f t="shared" si="3007"/>
        <v>RCO NE</v>
      </c>
      <c r="B8086" t="str">
        <f t="shared" ref="B8086:B8092" si="3012">T("9800 SAVAGE ROAD SUITE 6850")</f>
        <v>9800 SAVAGE ROAD SUITE 6850</v>
      </c>
      <c r="C8086" t="str">
        <f t="shared" ref="C8086:C8092" si="3013">T("")</f>
        <v/>
      </c>
      <c r="D8086" t="str">
        <f t="shared" ref="D8086:D8092" si="3014">T("FORT MEADE")</f>
        <v>FORT MEADE</v>
      </c>
      <c r="E8086" t="str">
        <f t="shared" ref="E8086:E8092" si="3015">T("MD")</f>
        <v>MD</v>
      </c>
      <c r="F8086" t="str">
        <f t="shared" ref="F8086:F8092" si="3016">T("207556850")</f>
        <v>207556850</v>
      </c>
      <c r="G8086" t="str">
        <f>T("9800 SALVAGE RD")</f>
        <v>9800 SALVAGE RD</v>
      </c>
      <c r="H8086" t="str">
        <f>T("SUITE 6850")</f>
        <v>SUITE 6850</v>
      </c>
      <c r="I8086" t="str">
        <f>T("FT MEADE")</f>
        <v>FT MEADE</v>
      </c>
      <c r="J8086" t="str">
        <f t="shared" ref="J8086:J8092" si="3017">T("MD")</f>
        <v>MD</v>
      </c>
      <c r="K8086" t="str">
        <f t="shared" ref="K8086:K8091" si="3018">T("4436345479")</f>
        <v>4436345479</v>
      </c>
      <c r="L8086" t="str">
        <f>T("4436345491")</f>
        <v>4436345491</v>
      </c>
    </row>
    <row r="8087" spans="1:12" x14ac:dyDescent="0.35">
      <c r="A8087" t="str">
        <f t="shared" si="3007"/>
        <v>RCO NE</v>
      </c>
      <c r="B8087" t="str">
        <f t="shared" si="3012"/>
        <v>9800 SAVAGE ROAD SUITE 6850</v>
      </c>
      <c r="C8087" t="str">
        <f t="shared" si="3013"/>
        <v/>
      </c>
      <c r="D8087" t="str">
        <f t="shared" si="3014"/>
        <v>FORT MEADE</v>
      </c>
      <c r="E8087" t="str">
        <f t="shared" si="3015"/>
        <v>MD</v>
      </c>
      <c r="F8087" t="str">
        <f t="shared" si="3016"/>
        <v>207556850</v>
      </c>
      <c r="G8087" t="str">
        <f>T("9800 SAVAGE RD")</f>
        <v>9800 SAVAGE RD</v>
      </c>
      <c r="H8087" t="str">
        <f>T("SUITE 6850")</f>
        <v>SUITE 6850</v>
      </c>
      <c r="I8087" t="str">
        <f>T("FORT GEORGE G MEADE")</f>
        <v>FORT GEORGE G MEADE</v>
      </c>
      <c r="J8087" t="str">
        <f t="shared" si="3017"/>
        <v>MD</v>
      </c>
      <c r="K8087" t="str">
        <f t="shared" si="3018"/>
        <v>4436345479</v>
      </c>
      <c r="L8087" t="str">
        <f>T("4436345491")</f>
        <v>4436345491</v>
      </c>
    </row>
    <row r="8088" spans="1:12" x14ac:dyDescent="0.35">
      <c r="A8088" t="str">
        <f t="shared" si="3007"/>
        <v>RCO NE</v>
      </c>
      <c r="B8088" t="str">
        <f t="shared" si="3012"/>
        <v>9800 SAVAGE ROAD SUITE 6850</v>
      </c>
      <c r="C8088" t="str">
        <f t="shared" si="3013"/>
        <v/>
      </c>
      <c r="D8088" t="str">
        <f t="shared" si="3014"/>
        <v>FORT MEADE</v>
      </c>
      <c r="E8088" t="str">
        <f t="shared" si="3015"/>
        <v>MD</v>
      </c>
      <c r="F8088" t="str">
        <f t="shared" si="3016"/>
        <v>207556850</v>
      </c>
      <c r="G8088" t="str">
        <f>T("9800 SAVAGE RD")</f>
        <v>9800 SAVAGE RD</v>
      </c>
      <c r="H8088" t="str">
        <f>T("SUITE 6850")</f>
        <v>SUITE 6850</v>
      </c>
      <c r="I8088" t="str">
        <f>T("FORT MEADE")</f>
        <v>FORT MEADE</v>
      </c>
      <c r="J8088" t="str">
        <f t="shared" si="3017"/>
        <v>MD</v>
      </c>
      <c r="K8088" t="str">
        <f t="shared" si="3018"/>
        <v>4436345479</v>
      </c>
      <c r="L8088" t="str">
        <f>T("4436345491")</f>
        <v>4436345491</v>
      </c>
    </row>
    <row r="8089" spans="1:12" x14ac:dyDescent="0.35">
      <c r="A8089" t="str">
        <f t="shared" si="3007"/>
        <v>RCO NE</v>
      </c>
      <c r="B8089" t="str">
        <f t="shared" si="3012"/>
        <v>9800 SAVAGE ROAD SUITE 6850</v>
      </c>
      <c r="C8089" t="str">
        <f t="shared" si="3013"/>
        <v/>
      </c>
      <c r="D8089" t="str">
        <f t="shared" si="3014"/>
        <v>FORT MEADE</v>
      </c>
      <c r="E8089" t="str">
        <f t="shared" si="3015"/>
        <v>MD</v>
      </c>
      <c r="F8089" t="str">
        <f t="shared" si="3016"/>
        <v>207556850</v>
      </c>
      <c r="G8089" t="str">
        <f>T("9800 SAVAGE RD")</f>
        <v>9800 SAVAGE RD</v>
      </c>
      <c r="H8089" t="str">
        <f>T("SUITE 6850 G4")</f>
        <v>SUITE 6850 G4</v>
      </c>
      <c r="I8089" t="str">
        <f>T("FORT GEORGE G MEADE")</f>
        <v>FORT GEORGE G MEADE</v>
      </c>
      <c r="J8089" t="str">
        <f t="shared" si="3017"/>
        <v>MD</v>
      </c>
      <c r="K8089" t="str">
        <f t="shared" si="3018"/>
        <v>4436345479</v>
      </c>
      <c r="L8089" t="str">
        <f>T("4436546304")</f>
        <v>4436546304</v>
      </c>
    </row>
    <row r="8090" spans="1:12" x14ac:dyDescent="0.35">
      <c r="A8090" t="str">
        <f t="shared" si="3007"/>
        <v>RCO NE</v>
      </c>
      <c r="B8090" t="str">
        <f t="shared" si="3012"/>
        <v>9800 SAVAGE ROAD SUITE 6850</v>
      </c>
      <c r="C8090" t="str">
        <f t="shared" si="3013"/>
        <v/>
      </c>
      <c r="D8090" t="str">
        <f t="shared" si="3014"/>
        <v>FORT MEADE</v>
      </c>
      <c r="E8090" t="str">
        <f t="shared" si="3015"/>
        <v>MD</v>
      </c>
      <c r="F8090" t="str">
        <f t="shared" si="3016"/>
        <v>207556850</v>
      </c>
      <c r="G8090" t="str">
        <f>T("9800 SAVAGE ROAD")</f>
        <v>9800 SAVAGE ROAD</v>
      </c>
      <c r="H8090" t="str">
        <f t="shared" ref="H8090:H8096" si="3019">T("")</f>
        <v/>
      </c>
      <c r="I8090" t="str">
        <f>T("FORT GEORGE G MEADE")</f>
        <v>FORT GEORGE G MEADE</v>
      </c>
      <c r="J8090" t="str">
        <f t="shared" si="3017"/>
        <v>MD</v>
      </c>
      <c r="K8090" t="str">
        <f t="shared" si="3018"/>
        <v>4436345479</v>
      </c>
      <c r="L8090" t="str">
        <f>T("4436546304")</f>
        <v>4436546304</v>
      </c>
    </row>
    <row r="8091" spans="1:12" x14ac:dyDescent="0.35">
      <c r="A8091" t="str">
        <f t="shared" si="3007"/>
        <v>RCO NE</v>
      </c>
      <c r="B8091" t="str">
        <f t="shared" si="3012"/>
        <v>9800 SAVAGE ROAD SUITE 6850</v>
      </c>
      <c r="C8091" t="str">
        <f t="shared" si="3013"/>
        <v/>
      </c>
      <c r="D8091" t="str">
        <f t="shared" si="3014"/>
        <v>FORT MEADE</v>
      </c>
      <c r="E8091" t="str">
        <f t="shared" si="3015"/>
        <v>MD</v>
      </c>
      <c r="F8091" t="str">
        <f t="shared" si="3016"/>
        <v>207556850</v>
      </c>
      <c r="G8091" t="str">
        <f>T("9800 SAVAGE ROAD SUITE 6850")</f>
        <v>9800 SAVAGE ROAD SUITE 6850</v>
      </c>
      <c r="H8091" t="str">
        <f t="shared" si="3019"/>
        <v/>
      </c>
      <c r="I8091" t="str">
        <f>T("FORT GEORGE G MEADE")</f>
        <v>FORT GEORGE G MEADE</v>
      </c>
      <c r="J8091" t="str">
        <f t="shared" si="3017"/>
        <v>MD</v>
      </c>
      <c r="K8091" t="str">
        <f t="shared" si="3018"/>
        <v>4436345479</v>
      </c>
      <c r="L8091" t="str">
        <f>T("4436546304")</f>
        <v>4436546304</v>
      </c>
    </row>
    <row r="8092" spans="1:12" x14ac:dyDescent="0.35">
      <c r="A8092" t="str">
        <f t="shared" si="3007"/>
        <v>RCO NE</v>
      </c>
      <c r="B8092" t="str">
        <f t="shared" si="3012"/>
        <v>9800 SAVAGE ROAD SUITE 6850</v>
      </c>
      <c r="C8092" t="str">
        <f t="shared" si="3013"/>
        <v/>
      </c>
      <c r="D8092" t="str">
        <f t="shared" si="3014"/>
        <v>FORT MEADE</v>
      </c>
      <c r="E8092" t="str">
        <f t="shared" si="3015"/>
        <v>MD</v>
      </c>
      <c r="F8092" t="str">
        <f t="shared" si="3016"/>
        <v>207556850</v>
      </c>
      <c r="G8092" t="str">
        <f>T("9800 SAVAGE ROAD SUITE 6850")</f>
        <v>9800 SAVAGE ROAD SUITE 6850</v>
      </c>
      <c r="H8092" t="str">
        <f t="shared" si="3019"/>
        <v/>
      </c>
      <c r="I8092" t="str">
        <f>T("FORT MEADE")</f>
        <v>FORT MEADE</v>
      </c>
      <c r="J8092" t="str">
        <f t="shared" si="3017"/>
        <v>MD</v>
      </c>
      <c r="K8092" t="str">
        <f>T("000000000000000000")</f>
        <v>000000000000000000</v>
      </c>
      <c r="L8092" t="str">
        <f>T("4463645491")</f>
        <v>4463645491</v>
      </c>
    </row>
    <row r="8093" spans="1:12" x14ac:dyDescent="0.35">
      <c r="A8093" t="str">
        <f t="shared" si="3007"/>
        <v>RCO NE</v>
      </c>
      <c r="B8093" t="str">
        <f t="shared" ref="B8093:B8098" si="3020">T("G-4 MRB PROCUMENT CELL")</f>
        <v>G-4 MRB PROCUMENT CELL</v>
      </c>
      <c r="C8093" t="str">
        <f t="shared" ref="C8093:C8098" si="3021">T("3101 ZEILIN ROAD")</f>
        <v>3101 ZEILIN ROAD</v>
      </c>
      <c r="D8093" t="str">
        <f t="shared" ref="D8093:D8115" si="3022">T("QUANTICO")</f>
        <v>QUANTICO</v>
      </c>
      <c r="E8093" t="str">
        <f t="shared" ref="E8093:E8115" si="3023">T("VA")</f>
        <v>VA</v>
      </c>
      <c r="F8093" t="str">
        <f t="shared" ref="F8093:F8098" si="3024">T("221341183")</f>
        <v>221341183</v>
      </c>
      <c r="G8093" t="str">
        <f>T("3101 ZEILIN RD")</f>
        <v>3101 ZEILIN RD</v>
      </c>
      <c r="H8093" t="str">
        <f t="shared" si="3019"/>
        <v/>
      </c>
      <c r="I8093" t="str">
        <f t="shared" ref="I8093:I8115" si="3025">T("QUANTICO")</f>
        <v>QUANTICO</v>
      </c>
      <c r="J8093" t="str">
        <f t="shared" ref="J8093:J8115" si="3026">T("VA")</f>
        <v>VA</v>
      </c>
      <c r="K8093" t="str">
        <f>T("000000000000000000")</f>
        <v>000000000000000000</v>
      </c>
      <c r="L8093" t="str">
        <f>T("7034320073")</f>
        <v>7034320073</v>
      </c>
    </row>
    <row r="8094" spans="1:12" x14ac:dyDescent="0.35">
      <c r="A8094" t="str">
        <f t="shared" si="3007"/>
        <v>RCO NE</v>
      </c>
      <c r="B8094" t="str">
        <f t="shared" si="3020"/>
        <v>G-4 MRB PROCUMENT CELL</v>
      </c>
      <c r="C8094" t="str">
        <f t="shared" si="3021"/>
        <v>3101 ZEILIN ROAD</v>
      </c>
      <c r="D8094" t="str">
        <f t="shared" si="3022"/>
        <v>QUANTICO</v>
      </c>
      <c r="E8094" t="str">
        <f t="shared" si="3023"/>
        <v>VA</v>
      </c>
      <c r="F8094" t="str">
        <f t="shared" si="3024"/>
        <v>221341183</v>
      </c>
      <c r="G8094" t="str">
        <f>T("3101 ZEILIN RD")</f>
        <v>3101 ZEILIN RD</v>
      </c>
      <c r="H8094" t="str">
        <f t="shared" si="3019"/>
        <v/>
      </c>
      <c r="I8094" t="str">
        <f t="shared" si="3025"/>
        <v>QUANTICO</v>
      </c>
      <c r="J8094" t="str">
        <f t="shared" si="3026"/>
        <v>VA</v>
      </c>
      <c r="K8094" t="str">
        <f>T("000000000000000000")</f>
        <v>000000000000000000</v>
      </c>
      <c r="L8094" t="str">
        <f>T("7034320209")</f>
        <v>7034320209</v>
      </c>
    </row>
    <row r="8095" spans="1:12" x14ac:dyDescent="0.35">
      <c r="A8095" t="str">
        <f t="shared" si="3007"/>
        <v>RCO NE</v>
      </c>
      <c r="B8095" t="str">
        <f t="shared" si="3020"/>
        <v>G-4 MRB PROCUMENT CELL</v>
      </c>
      <c r="C8095" t="str">
        <f t="shared" si="3021"/>
        <v>3101 ZEILIN ROAD</v>
      </c>
      <c r="D8095" t="str">
        <f t="shared" si="3022"/>
        <v>QUANTICO</v>
      </c>
      <c r="E8095" t="str">
        <f t="shared" si="3023"/>
        <v>VA</v>
      </c>
      <c r="F8095" t="str">
        <f t="shared" si="3024"/>
        <v>221341183</v>
      </c>
      <c r="G8095" t="str">
        <f>T("3101 ZEILIN RD")</f>
        <v>3101 ZEILIN RD</v>
      </c>
      <c r="H8095" t="str">
        <f t="shared" si="3019"/>
        <v/>
      </c>
      <c r="I8095" t="str">
        <f t="shared" si="3025"/>
        <v>QUANTICO</v>
      </c>
      <c r="J8095" t="str">
        <f t="shared" si="3026"/>
        <v>VA</v>
      </c>
      <c r="K8095" t="str">
        <f>T("000000000000000000")</f>
        <v>000000000000000000</v>
      </c>
      <c r="L8095" t="str">
        <f>T("7034320252")</f>
        <v>7034320252</v>
      </c>
    </row>
    <row r="8096" spans="1:12" x14ac:dyDescent="0.35">
      <c r="A8096" t="str">
        <f t="shared" si="3007"/>
        <v>RCO NE</v>
      </c>
      <c r="B8096" t="str">
        <f t="shared" si="3020"/>
        <v>G-4 MRB PROCUMENT CELL</v>
      </c>
      <c r="C8096" t="str">
        <f t="shared" si="3021"/>
        <v>3101 ZEILIN ROAD</v>
      </c>
      <c r="D8096" t="str">
        <f t="shared" si="3022"/>
        <v>QUANTICO</v>
      </c>
      <c r="E8096" t="str">
        <f t="shared" si="3023"/>
        <v>VA</v>
      </c>
      <c r="F8096" t="str">
        <f t="shared" si="3024"/>
        <v>221341183</v>
      </c>
      <c r="G8096" t="str">
        <f>T("3101 ZEILIN RD")</f>
        <v>3101 ZEILIN RD</v>
      </c>
      <c r="H8096" t="str">
        <f t="shared" si="3019"/>
        <v/>
      </c>
      <c r="I8096" t="str">
        <f t="shared" si="3025"/>
        <v>QUANTICO</v>
      </c>
      <c r="J8096" t="str">
        <f t="shared" si="3026"/>
        <v>VA</v>
      </c>
      <c r="K8096" t="str">
        <f>T("7034320176")</f>
        <v>7034320176</v>
      </c>
      <c r="L8096" t="str">
        <f>T("7034320073")</f>
        <v>7034320073</v>
      </c>
    </row>
    <row r="8097" spans="1:12" x14ac:dyDescent="0.35">
      <c r="A8097" t="str">
        <f t="shared" si="3007"/>
        <v>RCO NE</v>
      </c>
      <c r="B8097" t="str">
        <f t="shared" si="3020"/>
        <v>G-4 MRB PROCUMENT CELL</v>
      </c>
      <c r="C8097" t="str">
        <f t="shared" si="3021"/>
        <v>3101 ZEILIN ROAD</v>
      </c>
      <c r="D8097" t="str">
        <f t="shared" si="3022"/>
        <v>QUANTICO</v>
      </c>
      <c r="E8097" t="str">
        <f t="shared" si="3023"/>
        <v>VA</v>
      </c>
      <c r="F8097" t="str">
        <f t="shared" si="3024"/>
        <v>221341183</v>
      </c>
      <c r="G8097" t="str">
        <f>T("3101 ZEILIN ROAD")</f>
        <v>3101 ZEILIN ROAD</v>
      </c>
      <c r="H8097" t="str">
        <f>T("G-4 LOGISTICS/PROCUREMENT")</f>
        <v>G-4 LOGISTICS/PROCUREMENT</v>
      </c>
      <c r="I8097" t="str">
        <f t="shared" si="3025"/>
        <v>QUANTICO</v>
      </c>
      <c r="J8097" t="str">
        <f t="shared" si="3026"/>
        <v>VA</v>
      </c>
      <c r="K8097" t="str">
        <f>T("7034320176")</f>
        <v>7034320176</v>
      </c>
      <c r="L8097" t="str">
        <f>T("7034320042")</f>
        <v>7034320042</v>
      </c>
    </row>
    <row r="8098" spans="1:12" x14ac:dyDescent="0.35">
      <c r="A8098" t="str">
        <f t="shared" si="3007"/>
        <v>RCO NE</v>
      </c>
      <c r="B8098" t="str">
        <f t="shared" si="3020"/>
        <v>G-4 MRB PROCUMENT CELL</v>
      </c>
      <c r="C8098" t="str">
        <f t="shared" si="3021"/>
        <v>3101 ZEILIN ROAD</v>
      </c>
      <c r="D8098" t="str">
        <f t="shared" si="3022"/>
        <v>QUANTICO</v>
      </c>
      <c r="E8098" t="str">
        <f t="shared" si="3023"/>
        <v>VA</v>
      </c>
      <c r="F8098" t="str">
        <f t="shared" si="3024"/>
        <v>221341183</v>
      </c>
      <c r="G8098" t="str">
        <f>T("G-4 MRB PROCUMENT CELL")</f>
        <v>G-4 MRB PROCUMENT CELL</v>
      </c>
      <c r="H8098" t="str">
        <f>T("3101 ZEILIN ROAD")</f>
        <v>3101 ZEILIN ROAD</v>
      </c>
      <c r="I8098" t="str">
        <f t="shared" si="3025"/>
        <v>QUANTICO</v>
      </c>
      <c r="J8098" t="str">
        <f t="shared" si="3026"/>
        <v>VA</v>
      </c>
      <c r="K8098" t="str">
        <f>T("")</f>
        <v/>
      </c>
      <c r="L8098" t="str">
        <f>T("7034320035")</f>
        <v>7034320035</v>
      </c>
    </row>
    <row r="8099" spans="1:12" x14ac:dyDescent="0.35">
      <c r="A8099" t="str">
        <f t="shared" si="3007"/>
        <v>RCO NE</v>
      </c>
      <c r="B8099" t="str">
        <f>T("MCB QUANTICO")</f>
        <v>MCB QUANTICO</v>
      </c>
      <c r="C8099" t="str">
        <f>T("3255 CATLIN AVE")</f>
        <v>3255 CATLIN AVE</v>
      </c>
      <c r="D8099" t="str">
        <f t="shared" si="3022"/>
        <v>QUANTICO</v>
      </c>
      <c r="E8099" t="str">
        <f t="shared" si="3023"/>
        <v>VA</v>
      </c>
      <c r="F8099" t="str">
        <f>T("221345109")</f>
        <v>221345109</v>
      </c>
      <c r="G8099" t="str">
        <f>T("3250 CATLIN AVE")</f>
        <v>3250 CATLIN AVE</v>
      </c>
      <c r="H8099" t="str">
        <f>T("")</f>
        <v/>
      </c>
      <c r="I8099" t="str">
        <f t="shared" si="3025"/>
        <v>QUANTICO</v>
      </c>
      <c r="J8099" t="str">
        <f t="shared" si="3026"/>
        <v>VA</v>
      </c>
      <c r="K8099" t="str">
        <f>T("7037845110")</f>
        <v>7037845110</v>
      </c>
      <c r="L8099" t="str">
        <f>T("7037840027")</f>
        <v>7037840027</v>
      </c>
    </row>
    <row r="8100" spans="1:12" x14ac:dyDescent="0.35">
      <c r="A8100" t="str">
        <f t="shared" si="3007"/>
        <v>RCO NE</v>
      </c>
      <c r="B8100" t="str">
        <f>T("MCB QUANTICO")</f>
        <v>MCB QUANTICO</v>
      </c>
      <c r="C8100" t="str">
        <f>T("3255 CATLIN AVE")</f>
        <v>3255 CATLIN AVE</v>
      </c>
      <c r="D8100" t="str">
        <f t="shared" si="3022"/>
        <v>QUANTICO</v>
      </c>
      <c r="E8100" t="str">
        <f t="shared" si="3023"/>
        <v>VA</v>
      </c>
      <c r="F8100" t="str">
        <f>T("221345109")</f>
        <v>221345109</v>
      </c>
      <c r="G8100" t="str">
        <f>T("MCB QUANTICO")</f>
        <v>MCB QUANTICO</v>
      </c>
      <c r="H8100" t="str">
        <f>T("3255 CATLIN AVE")</f>
        <v>3255 CATLIN AVE</v>
      </c>
      <c r="I8100" t="str">
        <f t="shared" si="3025"/>
        <v>QUANTICO</v>
      </c>
      <c r="J8100" t="str">
        <f t="shared" si="3026"/>
        <v>VA</v>
      </c>
      <c r="K8100" t="str">
        <f>T("7037845959")</f>
        <v>7037845959</v>
      </c>
      <c r="L8100" t="str">
        <f>T("7037843323")</f>
        <v>7037843323</v>
      </c>
    </row>
    <row r="8101" spans="1:12" x14ac:dyDescent="0.35">
      <c r="A8101" t="str">
        <f t="shared" si="3007"/>
        <v>RCO NE</v>
      </c>
      <c r="B8101" t="str">
        <f>T("MCB QUANTICO")</f>
        <v>MCB QUANTICO</v>
      </c>
      <c r="C8101" t="str">
        <f>T("P O BOX 1183")</f>
        <v>P O BOX 1183</v>
      </c>
      <c r="D8101" t="str">
        <f t="shared" si="3022"/>
        <v>QUANTICO</v>
      </c>
      <c r="E8101" t="str">
        <f t="shared" si="3023"/>
        <v>VA</v>
      </c>
      <c r="F8101" t="str">
        <f>T("221341183")</f>
        <v>221341183</v>
      </c>
      <c r="G8101" t="str">
        <f>T("MCB QUANTICO")</f>
        <v>MCB QUANTICO</v>
      </c>
      <c r="H8101" t="str">
        <f>T("P O BOX 1183")</f>
        <v>P O BOX 1183</v>
      </c>
      <c r="I8101" t="str">
        <f t="shared" si="3025"/>
        <v>QUANTICO</v>
      </c>
      <c r="J8101" t="str">
        <f t="shared" si="3026"/>
        <v>VA</v>
      </c>
      <c r="K8101" t="str">
        <f>T("000000000000000000")</f>
        <v>000000000000000000</v>
      </c>
      <c r="L8101" t="str">
        <f>T("7037843009")</f>
        <v>7037843009</v>
      </c>
    </row>
    <row r="8102" spans="1:12" x14ac:dyDescent="0.35">
      <c r="A8102" t="str">
        <f t="shared" si="3007"/>
        <v>RCO NE</v>
      </c>
      <c r="B8102" t="str">
        <f>T("MCB QUANTICO")</f>
        <v>MCB QUANTICO</v>
      </c>
      <c r="C8102" t="str">
        <f>T("P O BOX 1183")</f>
        <v>P O BOX 1183</v>
      </c>
      <c r="D8102" t="str">
        <f t="shared" si="3022"/>
        <v>QUANTICO</v>
      </c>
      <c r="E8102" t="str">
        <f t="shared" si="3023"/>
        <v>VA</v>
      </c>
      <c r="F8102" t="str">
        <f>T("221341183")</f>
        <v>221341183</v>
      </c>
      <c r="G8102" t="str">
        <f>T("PO BOX 1183")</f>
        <v>PO BOX 1183</v>
      </c>
      <c r="H8102" t="str">
        <f>T("OFFICE OF COUNSEL")</f>
        <v>OFFICE OF COUNSEL</v>
      </c>
      <c r="I8102" t="str">
        <f t="shared" si="3025"/>
        <v>QUANTICO</v>
      </c>
      <c r="J8102" t="str">
        <f t="shared" si="3026"/>
        <v>VA</v>
      </c>
      <c r="K8102" t="str">
        <f>T("7037845128")</f>
        <v>7037845128</v>
      </c>
      <c r="L8102" t="str">
        <f>T("7037843009")</f>
        <v>7037843009</v>
      </c>
    </row>
    <row r="8103" spans="1:12" x14ac:dyDescent="0.35">
      <c r="A8103" t="str">
        <f t="shared" si="3007"/>
        <v>RCO NE</v>
      </c>
      <c r="B8103" t="str">
        <f>T("MCCDC MCB QUANTICO")</f>
        <v>MCCDC MCB QUANTICO</v>
      </c>
      <c r="C8103" t="str">
        <f>T("PO BOX 1183")</f>
        <v>PO BOX 1183</v>
      </c>
      <c r="D8103" t="str">
        <f t="shared" si="3022"/>
        <v>QUANTICO</v>
      </c>
      <c r="E8103" t="str">
        <f t="shared" si="3023"/>
        <v>VA</v>
      </c>
      <c r="F8103" t="str">
        <f>T("221341183")</f>
        <v>221341183</v>
      </c>
      <c r="G8103" t="str">
        <f>T("MCCDC MCB QUANTICO")</f>
        <v>MCCDC MCB QUANTICO</v>
      </c>
      <c r="H8103" t="str">
        <f>T("PO BOX 1183")</f>
        <v>PO BOX 1183</v>
      </c>
      <c r="I8103" t="str">
        <f t="shared" si="3025"/>
        <v>QUANTICO</v>
      </c>
      <c r="J8103" t="str">
        <f t="shared" si="3026"/>
        <v>VA</v>
      </c>
      <c r="K8103" t="str">
        <f>T("7037845128")</f>
        <v>7037845128</v>
      </c>
      <c r="L8103" t="str">
        <f>T("7037843009")</f>
        <v>7037843009</v>
      </c>
    </row>
    <row r="8104" spans="1:12" x14ac:dyDescent="0.35">
      <c r="A8104" t="str">
        <f t="shared" si="3007"/>
        <v>RCO NE</v>
      </c>
      <c r="B8104" t="str">
        <f>T("MCCDC MCB QUANTICO")</f>
        <v>MCCDC MCB QUANTICO</v>
      </c>
      <c r="C8104" t="str">
        <f>T("PO BOX 1183")</f>
        <v>PO BOX 1183</v>
      </c>
      <c r="D8104" t="str">
        <f t="shared" si="3022"/>
        <v>QUANTICO</v>
      </c>
      <c r="E8104" t="str">
        <f t="shared" si="3023"/>
        <v>VA</v>
      </c>
      <c r="F8104" t="str">
        <f>T("221341183")</f>
        <v>221341183</v>
      </c>
      <c r="G8104" t="str">
        <f>T("PO BOX 1183")</f>
        <v>PO BOX 1183</v>
      </c>
      <c r="H8104" t="str">
        <f>T("")</f>
        <v/>
      </c>
      <c r="I8104" t="str">
        <f t="shared" si="3025"/>
        <v>QUANTICO</v>
      </c>
      <c r="J8104" t="str">
        <f t="shared" si="3026"/>
        <v>VA</v>
      </c>
      <c r="K8104" t="str">
        <f>T("7037845128")</f>
        <v>7037845128</v>
      </c>
      <c r="L8104" t="str">
        <f>T("7037843009")</f>
        <v>7037843009</v>
      </c>
    </row>
    <row r="8105" spans="1:12" x14ac:dyDescent="0.35">
      <c r="A8105" t="str">
        <f t="shared" si="3007"/>
        <v>RCO NE</v>
      </c>
      <c r="B8105" t="str">
        <f>T("RCO-NCR")</f>
        <v>RCO-NCR</v>
      </c>
      <c r="C8105" t="str">
        <f>T("2010 HENDERSON RD")</f>
        <v>2010 HENDERSON RD</v>
      </c>
      <c r="D8105" t="str">
        <f t="shared" si="3022"/>
        <v>QUANTICO</v>
      </c>
      <c r="E8105" t="str">
        <f t="shared" si="3023"/>
        <v>VA</v>
      </c>
      <c r="F8105" t="str">
        <f>T("221345119")</f>
        <v>221345119</v>
      </c>
      <c r="G8105" t="str">
        <f>T("2010 HENDERSON RD")</f>
        <v>2010 HENDERSON RD</v>
      </c>
      <c r="H8105" t="str">
        <f>T("")</f>
        <v/>
      </c>
      <c r="I8105" t="str">
        <f t="shared" si="3025"/>
        <v>QUANTICO</v>
      </c>
      <c r="J8105" t="str">
        <f t="shared" si="3026"/>
        <v>VA</v>
      </c>
      <c r="K8105" t="str">
        <f>T("000000000000000000")</f>
        <v>000000000000000000</v>
      </c>
      <c r="L8105" t="str">
        <f>T("7034321926")</f>
        <v>7034321926</v>
      </c>
    </row>
    <row r="8106" spans="1:12" x14ac:dyDescent="0.35">
      <c r="A8106" t="str">
        <f t="shared" ref="A8106:A8115" si="3027">T("RCO NE")</f>
        <v>RCO NE</v>
      </c>
      <c r="B8106" t="str">
        <f>T("RCO-NCR")</f>
        <v>RCO-NCR</v>
      </c>
      <c r="C8106" t="str">
        <f>T("2010 HENDERSON RD")</f>
        <v>2010 HENDERSON RD</v>
      </c>
      <c r="D8106" t="str">
        <f t="shared" si="3022"/>
        <v>QUANTICO</v>
      </c>
      <c r="E8106" t="str">
        <f t="shared" si="3023"/>
        <v>VA</v>
      </c>
      <c r="F8106" t="str">
        <f>T("221345119")</f>
        <v>221345119</v>
      </c>
      <c r="G8106" t="str">
        <f>T("2010 HENDERSON RD")</f>
        <v>2010 HENDERSON RD</v>
      </c>
      <c r="H8106" t="str">
        <f>T("")</f>
        <v/>
      </c>
      <c r="I8106" t="str">
        <f t="shared" si="3025"/>
        <v>QUANTICO</v>
      </c>
      <c r="J8106" t="str">
        <f t="shared" si="3026"/>
        <v>VA</v>
      </c>
      <c r="K8106" t="str">
        <f>T("7037841912")</f>
        <v>7037841912</v>
      </c>
      <c r="L8106" t="str">
        <f>T("7034322445")</f>
        <v>7034322445</v>
      </c>
    </row>
    <row r="8107" spans="1:12" x14ac:dyDescent="0.35">
      <c r="A8107" t="str">
        <f t="shared" si="3027"/>
        <v>RCO NE</v>
      </c>
      <c r="B8107" t="str">
        <f>T("RCO-NCR")</f>
        <v>RCO-NCR</v>
      </c>
      <c r="C8107" t="str">
        <f>T("2010 HENDERSON RD")</f>
        <v>2010 HENDERSON RD</v>
      </c>
      <c r="D8107" t="str">
        <f t="shared" si="3022"/>
        <v>QUANTICO</v>
      </c>
      <c r="E8107" t="str">
        <f t="shared" si="3023"/>
        <v>VA</v>
      </c>
      <c r="F8107" t="str">
        <f>T("221345119")</f>
        <v>221345119</v>
      </c>
      <c r="G8107" t="str">
        <f>T("RCO-NCR")</f>
        <v>RCO-NCR</v>
      </c>
      <c r="H8107" t="str">
        <f>T("2010 HENDERSON RD")</f>
        <v>2010 HENDERSON RD</v>
      </c>
      <c r="I8107" t="str">
        <f t="shared" si="3025"/>
        <v>QUANTICO</v>
      </c>
      <c r="J8107" t="str">
        <f t="shared" si="3026"/>
        <v>VA</v>
      </c>
      <c r="K8107" t="str">
        <f>T("7037843592")</f>
        <v>7037843592</v>
      </c>
      <c r="L8107" t="str">
        <f>T("7034321967")</f>
        <v>7034321967</v>
      </c>
    </row>
    <row r="8108" spans="1:12" x14ac:dyDescent="0.35">
      <c r="A8108" t="str">
        <f t="shared" si="3027"/>
        <v>RCO NE</v>
      </c>
      <c r="B8108" t="str">
        <f>T("RCO-NCR")</f>
        <v>RCO-NCR</v>
      </c>
      <c r="C8108" t="str">
        <f>T("2010 HENDERSON RD")</f>
        <v>2010 HENDERSON RD</v>
      </c>
      <c r="D8108" t="str">
        <f t="shared" si="3022"/>
        <v>QUANTICO</v>
      </c>
      <c r="E8108" t="str">
        <f t="shared" si="3023"/>
        <v>VA</v>
      </c>
      <c r="F8108" t="str">
        <f>T("221345119")</f>
        <v>221345119</v>
      </c>
      <c r="G8108" t="str">
        <f>T("RCO-NCR")</f>
        <v>RCO-NCR</v>
      </c>
      <c r="H8108" t="str">
        <f>T("2010 HENDERSON RD")</f>
        <v>2010 HENDERSON RD</v>
      </c>
      <c r="I8108" t="str">
        <f t="shared" si="3025"/>
        <v>QUANTICO</v>
      </c>
      <c r="J8108" t="str">
        <f t="shared" si="3026"/>
        <v>VA</v>
      </c>
      <c r="K8108" t="str">
        <f>T("7037843597")</f>
        <v>7037843597</v>
      </c>
      <c r="L8108" t="str">
        <f>T("7034321967")</f>
        <v>7034321967</v>
      </c>
    </row>
    <row r="8109" spans="1:12" x14ac:dyDescent="0.35">
      <c r="A8109" t="str">
        <f t="shared" si="3027"/>
        <v>RCO NE</v>
      </c>
      <c r="B8109" t="str">
        <f>T("SECURITY BN")</f>
        <v>SECURITY BN</v>
      </c>
      <c r="C8109" t="str">
        <f>T("2043 BARNETT AVE")</f>
        <v>2043 BARNETT AVE</v>
      </c>
      <c r="D8109" t="str">
        <f t="shared" si="3022"/>
        <v>QUANTICO</v>
      </c>
      <c r="E8109" t="str">
        <f t="shared" si="3023"/>
        <v>VA</v>
      </c>
      <c r="F8109" t="str">
        <f t="shared" ref="F8109:F8115" si="3028">T("221345103")</f>
        <v>221345103</v>
      </c>
      <c r="G8109" t="str">
        <f>T("2043 BARNETT AVE")</f>
        <v>2043 BARNETT AVE</v>
      </c>
      <c r="H8109" t="str">
        <f>T("")</f>
        <v/>
      </c>
      <c r="I8109" t="str">
        <f t="shared" si="3025"/>
        <v>QUANTICO</v>
      </c>
      <c r="J8109" t="str">
        <f t="shared" si="3026"/>
        <v>VA</v>
      </c>
      <c r="K8109" t="str">
        <f>T("000000000000000000")</f>
        <v>000000000000000000</v>
      </c>
      <c r="L8109" t="str">
        <f>T("7037843191")</f>
        <v>7037843191</v>
      </c>
    </row>
    <row r="8110" spans="1:12" x14ac:dyDescent="0.35">
      <c r="A8110" t="str">
        <f t="shared" si="3027"/>
        <v>RCO NE</v>
      </c>
      <c r="B8110" t="str">
        <f>T("SECURITY BN")</f>
        <v>SECURITY BN</v>
      </c>
      <c r="C8110" t="str">
        <f>T("2043 BARNETT AVE")</f>
        <v>2043 BARNETT AVE</v>
      </c>
      <c r="D8110" t="str">
        <f t="shared" si="3022"/>
        <v>QUANTICO</v>
      </c>
      <c r="E8110" t="str">
        <f t="shared" si="3023"/>
        <v>VA</v>
      </c>
      <c r="F8110" t="str">
        <f t="shared" si="3028"/>
        <v>221345103</v>
      </c>
      <c r="G8110" t="str">
        <f>T("505 BARNETT AVE")</f>
        <v>505 BARNETT AVE</v>
      </c>
      <c r="H8110" t="str">
        <f>T("S-4")</f>
        <v>S-4</v>
      </c>
      <c r="I8110" t="str">
        <f t="shared" si="3025"/>
        <v>QUANTICO</v>
      </c>
      <c r="J8110" t="str">
        <f t="shared" si="3026"/>
        <v>VA</v>
      </c>
      <c r="K8110" t="str">
        <f>T("7037843282")</f>
        <v>7037843282</v>
      </c>
      <c r="L8110" t="str">
        <f>T("7037842690")</f>
        <v>7037842690</v>
      </c>
    </row>
    <row r="8111" spans="1:12" x14ac:dyDescent="0.35">
      <c r="A8111" t="str">
        <f t="shared" si="3027"/>
        <v>RCO NE</v>
      </c>
      <c r="B8111" t="str">
        <f>T("SECURITY BN")</f>
        <v>SECURITY BN</v>
      </c>
      <c r="C8111" t="str">
        <f>T("2043 BARNETT AVE")</f>
        <v>2043 BARNETT AVE</v>
      </c>
      <c r="D8111" t="str">
        <f t="shared" si="3022"/>
        <v>QUANTICO</v>
      </c>
      <c r="E8111" t="str">
        <f t="shared" si="3023"/>
        <v>VA</v>
      </c>
      <c r="F8111" t="str">
        <f t="shared" si="3028"/>
        <v>221345103</v>
      </c>
      <c r="G8111" t="str">
        <f>T("SECURITY BN")</f>
        <v>SECURITY BN</v>
      </c>
      <c r="H8111" t="str">
        <f>T("2043 BARNETT AVE")</f>
        <v>2043 BARNETT AVE</v>
      </c>
      <c r="I8111" t="str">
        <f t="shared" si="3025"/>
        <v>QUANTICO</v>
      </c>
      <c r="J8111" t="str">
        <f t="shared" si="3026"/>
        <v>VA</v>
      </c>
      <c r="K8111" t="str">
        <f>T("7034320275")</f>
        <v>7034320275</v>
      </c>
      <c r="L8111" t="str">
        <f>T("7037843191")</f>
        <v>7037843191</v>
      </c>
    </row>
    <row r="8112" spans="1:12" x14ac:dyDescent="0.35">
      <c r="A8112" t="str">
        <f t="shared" si="3027"/>
        <v>RCO NE</v>
      </c>
      <c r="B8112" t="str">
        <f>T("USMC TXEMPT 54-0525480")</f>
        <v>USMC TXEMPT 54-0525480</v>
      </c>
      <c r="C8112" t="str">
        <f>T("2033 BARNETT AVE")</f>
        <v>2033 BARNETT AVE</v>
      </c>
      <c r="D8112" t="str">
        <f t="shared" si="3022"/>
        <v>QUANTICO</v>
      </c>
      <c r="E8112" t="str">
        <f t="shared" si="3023"/>
        <v>VA</v>
      </c>
      <c r="F8112" t="str">
        <f t="shared" si="3028"/>
        <v>221345103</v>
      </c>
      <c r="G8112" t="str">
        <f>T("2033 BARNETT AVE")</f>
        <v>2033 BARNETT AVE</v>
      </c>
      <c r="H8112" t="str">
        <f>T("")</f>
        <v/>
      </c>
      <c r="I8112" t="str">
        <f t="shared" si="3025"/>
        <v>QUANTICO</v>
      </c>
      <c r="J8112" t="str">
        <f t="shared" si="3026"/>
        <v>VA</v>
      </c>
      <c r="K8112" t="str">
        <f>T("000000000000000000")</f>
        <v>000000000000000000</v>
      </c>
      <c r="L8112" t="str">
        <f>T("7034327548")</f>
        <v>7034327548</v>
      </c>
    </row>
    <row r="8113" spans="1:12" x14ac:dyDescent="0.35">
      <c r="A8113" t="str">
        <f t="shared" si="3027"/>
        <v>RCO NE</v>
      </c>
      <c r="B8113" t="str">
        <f>T("USMC TXEMPT 54-0525480")</f>
        <v>USMC TXEMPT 54-0525480</v>
      </c>
      <c r="C8113" t="str">
        <f>T("2033 BARNETT AVE")</f>
        <v>2033 BARNETT AVE</v>
      </c>
      <c r="D8113" t="str">
        <f t="shared" si="3022"/>
        <v>QUANTICO</v>
      </c>
      <c r="E8113" t="str">
        <f t="shared" si="3023"/>
        <v>VA</v>
      </c>
      <c r="F8113" t="str">
        <f t="shared" si="3028"/>
        <v>221345103</v>
      </c>
      <c r="G8113" t="str">
        <f>T("2033 BARNETT AVENUE")</f>
        <v>2033 BARNETT AVENUE</v>
      </c>
      <c r="H8113" t="str">
        <f>T("ATTENTION S8")</f>
        <v>ATTENTION S8</v>
      </c>
      <c r="I8113" t="str">
        <f t="shared" si="3025"/>
        <v>QUANTICO</v>
      </c>
      <c r="J8113" t="str">
        <f t="shared" si="3026"/>
        <v>VA</v>
      </c>
      <c r="K8113" t="str">
        <f>T("7034327836")</f>
        <v>7034327836</v>
      </c>
      <c r="L8113" t="str">
        <f>T("7034327539")</f>
        <v>7034327539</v>
      </c>
    </row>
    <row r="8114" spans="1:12" x14ac:dyDescent="0.35">
      <c r="A8114" t="str">
        <f t="shared" si="3027"/>
        <v>RCO NE</v>
      </c>
      <c r="B8114" t="str">
        <f>T("USMC TXEMPT 54-0525480")</f>
        <v>USMC TXEMPT 54-0525480</v>
      </c>
      <c r="C8114" t="str">
        <f>T("2033 BARNETT AVE")</f>
        <v>2033 BARNETT AVE</v>
      </c>
      <c r="D8114" t="str">
        <f t="shared" si="3022"/>
        <v>QUANTICO</v>
      </c>
      <c r="E8114" t="str">
        <f t="shared" si="3023"/>
        <v>VA</v>
      </c>
      <c r="F8114" t="str">
        <f t="shared" si="3028"/>
        <v>221345103</v>
      </c>
      <c r="G8114" t="str">
        <f>T("RESOURCE MGT DIR")</f>
        <v>RESOURCE MGT DIR</v>
      </c>
      <c r="H8114" t="str">
        <f>T("2033 BARNETT AVE")</f>
        <v>2033 BARNETT AVE</v>
      </c>
      <c r="I8114" t="str">
        <f t="shared" si="3025"/>
        <v>QUANTICO</v>
      </c>
      <c r="J8114" t="str">
        <f t="shared" si="3026"/>
        <v>VA</v>
      </c>
      <c r="K8114" t="str">
        <f>T("7034327836")</f>
        <v>7034327836</v>
      </c>
      <c r="L8114" t="str">
        <f>T("7034327523")</f>
        <v>7034327523</v>
      </c>
    </row>
    <row r="8115" spans="1:12" x14ac:dyDescent="0.35">
      <c r="A8115" t="str">
        <f t="shared" si="3027"/>
        <v>RCO NE</v>
      </c>
      <c r="B8115" t="str">
        <f>T("USMC TXEMPT 54-0525480")</f>
        <v>USMC TXEMPT 54-0525480</v>
      </c>
      <c r="C8115" t="str">
        <f>T("2033 BARNETT AVE")</f>
        <v>2033 BARNETT AVE</v>
      </c>
      <c r="D8115" t="str">
        <f t="shared" si="3022"/>
        <v>QUANTICO</v>
      </c>
      <c r="E8115" t="str">
        <f t="shared" si="3023"/>
        <v>VA</v>
      </c>
      <c r="F8115" t="str">
        <f t="shared" si="3028"/>
        <v>221345103</v>
      </c>
      <c r="G8115" t="str">
        <f>T("USMC TXEMPT 54-0525480")</f>
        <v>USMC TXEMPT 54-0525480</v>
      </c>
      <c r="H8115" t="str">
        <f>T("2033 BARNETT AVE")</f>
        <v>2033 BARNETT AVE</v>
      </c>
      <c r="I8115" t="str">
        <f t="shared" si="3025"/>
        <v>QUANTICO</v>
      </c>
      <c r="J8115" t="str">
        <f t="shared" si="3026"/>
        <v>VA</v>
      </c>
      <c r="K8115" t="str">
        <f>T("7037842026")</f>
        <v>7037842026</v>
      </c>
      <c r="L8115" t="str">
        <f>T("7037846135")</f>
        <v>7037846135</v>
      </c>
    </row>
    <row r="8116" spans="1:12" x14ac:dyDescent="0.35">
      <c r="A8116" t="str">
        <f t="shared" ref="A8116:A8147" si="3029">T("OPEN")</f>
        <v>OPEN</v>
      </c>
      <c r="B8116" t="str">
        <f>T("135 N PENNSYLVANIA ST")</f>
        <v>135 N PENNSYLVANIA ST</v>
      </c>
      <c r="C8116" t="str">
        <f>T("20TH FL/MCPRD")</f>
        <v>20TH FL/MCPRD</v>
      </c>
      <c r="D8116" t="str">
        <f>T("INDIANAPOLIS")</f>
        <v>INDIANAPOLIS</v>
      </c>
      <c r="E8116" t="str">
        <f>T("IN")</f>
        <v>IN</v>
      </c>
      <c r="F8116" t="str">
        <f>T("462042400")</f>
        <v>462042400</v>
      </c>
      <c r="G8116" t="str">
        <f>T("135 N PENNSYLVANIA ST")</f>
        <v>135 N PENNSYLVANIA ST</v>
      </c>
      <c r="H8116" t="str">
        <f>T("20TH FL/MCPRD")</f>
        <v>20TH FL/MCPRD</v>
      </c>
      <c r="I8116" t="str">
        <f>T("INDIANAPOLIS")</f>
        <v>INDIANAPOLIS</v>
      </c>
      <c r="J8116" t="str">
        <f>T("IN")</f>
        <v>IN</v>
      </c>
      <c r="K8116" t="str">
        <f>T("3172003573")</f>
        <v>3172003573</v>
      </c>
      <c r="L8116" t="str">
        <f>T("3172003526")</f>
        <v>3172003526</v>
      </c>
    </row>
    <row r="8117" spans="1:12" x14ac:dyDescent="0.35">
      <c r="A8117" t="str">
        <f t="shared" si="3029"/>
        <v>OPEN</v>
      </c>
      <c r="B8117" t="str">
        <f>T("135 N PENNSYLVANIA ST")</f>
        <v>135 N PENNSYLVANIA ST</v>
      </c>
      <c r="C8117" t="str">
        <f>T("20TH FL/MCPRD")</f>
        <v>20TH FL/MCPRD</v>
      </c>
      <c r="D8117" t="str">
        <f>T("INDIANAPOLIS")</f>
        <v>INDIANAPOLIS</v>
      </c>
      <c r="E8117" t="str">
        <f>T("IN")</f>
        <v>IN</v>
      </c>
      <c r="F8117" t="str">
        <f>T("462042400")</f>
        <v>462042400</v>
      </c>
      <c r="G8117" t="str">
        <f>T("135 N. PENNSYLVANIA ST")</f>
        <v>135 N. PENNSYLVANIA ST</v>
      </c>
      <c r="H8117" t="str">
        <f>T("20TH FLOOR")</f>
        <v>20TH FLOOR</v>
      </c>
      <c r="I8117" t="str">
        <f>T("INDIANAPOLIS")</f>
        <v>INDIANAPOLIS</v>
      </c>
      <c r="J8117" t="str">
        <f>T("IN")</f>
        <v>IN</v>
      </c>
      <c r="K8117" t="str">
        <f>T("8169263988")</f>
        <v>8169263988</v>
      </c>
      <c r="L8117" t="str">
        <f>T("3172003517")</f>
        <v>3172003517</v>
      </c>
    </row>
    <row r="8118" spans="1:12" x14ac:dyDescent="0.35">
      <c r="A8118" t="str">
        <f t="shared" si="3029"/>
        <v>OPEN</v>
      </c>
      <c r="B8118" t="str">
        <f>T("2 NAVY ANNEX RM 2212")</f>
        <v>2 NAVY ANNEX RM 2212</v>
      </c>
      <c r="C8118" t="str">
        <f>T("DIR SAFETY DIV SD")</f>
        <v>DIR SAFETY DIV SD</v>
      </c>
      <c r="D8118" t="str">
        <f>T("WASHINGTON")</f>
        <v>WASHINGTON</v>
      </c>
      <c r="E8118" t="str">
        <f>T("DC")</f>
        <v>DC</v>
      </c>
      <c r="F8118" t="str">
        <f>T("203801775")</f>
        <v>203801775</v>
      </c>
      <c r="G8118" t="str">
        <f>T("2 NAVY ANNEX RM 2212")</f>
        <v>2 NAVY ANNEX RM 2212</v>
      </c>
      <c r="H8118" t="str">
        <f>T("DIR SAFETY DIV SD")</f>
        <v>DIR SAFETY DIV SD</v>
      </c>
      <c r="I8118" t="str">
        <f>T("WASHINGTON")</f>
        <v>WASHINGTON</v>
      </c>
      <c r="J8118" t="str">
        <f>T("DC")</f>
        <v>DC</v>
      </c>
      <c r="K8118" t="str">
        <f>T("7036953231")</f>
        <v>7036953231</v>
      </c>
      <c r="L8118" t="str">
        <f>T("7036141202")</f>
        <v>7036141202</v>
      </c>
    </row>
    <row r="8119" spans="1:12" x14ac:dyDescent="0.35">
      <c r="A8119" t="str">
        <f t="shared" si="3029"/>
        <v>OPEN</v>
      </c>
      <c r="B8119" t="str">
        <f>T("2 NAVY ANNEX RM 2212")</f>
        <v>2 NAVY ANNEX RM 2212</v>
      </c>
      <c r="C8119" t="str">
        <f>T("DIR SAFETY DIV SD")</f>
        <v>DIR SAFETY DIV SD</v>
      </c>
      <c r="D8119" t="str">
        <f>T("WASHINGTON")</f>
        <v>WASHINGTON</v>
      </c>
      <c r="E8119" t="str">
        <f>T("DC")</f>
        <v>DC</v>
      </c>
      <c r="F8119" t="str">
        <f>T("203801775")</f>
        <v>203801775</v>
      </c>
      <c r="G8119" t="str">
        <f>T("701 SOUTH COURTHOUSE ROAD")</f>
        <v>701 SOUTH COURTHOUSE ROAD</v>
      </c>
      <c r="H8119" t="str">
        <f>T("SUITE 2O050")</f>
        <v>SUITE 2O050</v>
      </c>
      <c r="I8119" t="str">
        <f>T("ARLINGTON")</f>
        <v>ARLINGTON</v>
      </c>
      <c r="J8119" t="str">
        <f>T("VA")</f>
        <v>VA</v>
      </c>
      <c r="K8119" t="str">
        <f>T("7036046671")</f>
        <v>7036046671</v>
      </c>
      <c r="L8119" t="str">
        <f>T("7036044463")</f>
        <v>7036044463</v>
      </c>
    </row>
    <row r="8120" spans="1:12" x14ac:dyDescent="0.35">
      <c r="A8120" t="str">
        <f t="shared" si="3029"/>
        <v>OPEN</v>
      </c>
      <c r="B8120" t="str">
        <f>T("2 NAVY ANNEX ROOM 2122")</f>
        <v>2 NAVY ANNEX ROOM 2122</v>
      </c>
      <c r="C8120" t="str">
        <f>T("DIR SAFETY DIV SD")</f>
        <v>DIR SAFETY DIV SD</v>
      </c>
      <c r="D8120" t="str">
        <f>T("WASHINGTON")</f>
        <v>WASHINGTON</v>
      </c>
      <c r="E8120" t="str">
        <f>T("DC")</f>
        <v>DC</v>
      </c>
      <c r="F8120" t="str">
        <f>T("203801775")</f>
        <v>203801775</v>
      </c>
      <c r="G8120" t="str">
        <f>T("2 NAVY ANNEX ROOM 2122")</f>
        <v>2 NAVY ANNEX ROOM 2122</v>
      </c>
      <c r="H8120" t="str">
        <f>T("DIR SAFETY DIV SD")</f>
        <v>DIR SAFETY DIV SD</v>
      </c>
      <c r="I8120" t="str">
        <f>T("WASHINGTON")</f>
        <v>WASHINGTON</v>
      </c>
      <c r="J8120" t="str">
        <f>T("DC")</f>
        <v>DC</v>
      </c>
      <c r="K8120" t="str">
        <f>T("7036953231")</f>
        <v>7036953231</v>
      </c>
      <c r="L8120" t="str">
        <f>T("7036141202")</f>
        <v>7036141202</v>
      </c>
    </row>
    <row r="8121" spans="1:12" x14ac:dyDescent="0.35">
      <c r="A8121" t="str">
        <f t="shared" si="3029"/>
        <v>OPEN</v>
      </c>
      <c r="B8121" t="str">
        <f>T("2 NAVY ANNEX ROOM 2122")</f>
        <v>2 NAVY ANNEX ROOM 2122</v>
      </c>
      <c r="C8121" t="str">
        <f>T("DIR SAFETY DIV SD")</f>
        <v>DIR SAFETY DIV SD</v>
      </c>
      <c r="D8121" t="str">
        <f>T("WASHINGTON")</f>
        <v>WASHINGTON</v>
      </c>
      <c r="E8121" t="str">
        <f>T("DC")</f>
        <v>DC</v>
      </c>
      <c r="F8121" t="str">
        <f>T("203801775")</f>
        <v>203801775</v>
      </c>
      <c r="G8121" t="str">
        <f>T("701 S COURTHOUSE RD")</f>
        <v>701 S COURTHOUSE RD</v>
      </c>
      <c r="H8121" t="str">
        <f>T("")</f>
        <v/>
      </c>
      <c r="I8121" t="str">
        <f>T("ARLINGTON")</f>
        <v>ARLINGTON</v>
      </c>
      <c r="J8121" t="str">
        <f t="shared" ref="J8121:J8131" si="3030">T("VA")</f>
        <v>VA</v>
      </c>
      <c r="K8121" t="str">
        <f>T("7036046671")</f>
        <v>7036046671</v>
      </c>
      <c r="L8121" t="str">
        <f>T("7036044148")</f>
        <v>7036044148</v>
      </c>
    </row>
    <row r="8122" spans="1:12" x14ac:dyDescent="0.35">
      <c r="A8122" t="str">
        <f t="shared" si="3029"/>
        <v>OPEN</v>
      </c>
      <c r="B8122" t="str">
        <f>T("2 NAVY ANNEX ROOM 2122")</f>
        <v>2 NAVY ANNEX ROOM 2122</v>
      </c>
      <c r="C8122" t="str">
        <f>T("DIR SAFETY DIV SD")</f>
        <v>DIR SAFETY DIV SD</v>
      </c>
      <c r="D8122" t="str">
        <f>T("WASHINGTON")</f>
        <v>WASHINGTON</v>
      </c>
      <c r="E8122" t="str">
        <f>T("DC")</f>
        <v>DC</v>
      </c>
      <c r="F8122" t="str">
        <f>T("203801775")</f>
        <v>203801775</v>
      </c>
      <c r="G8122" t="str">
        <f>T("701 SOUTH COURTHOUSE ROAD")</f>
        <v>701 SOUTH COURTHOUSE ROAD</v>
      </c>
      <c r="H8122" t="str">
        <f>T("SUITE 2O050")</f>
        <v>SUITE 2O050</v>
      </c>
      <c r="I8122" t="str">
        <f>T("ARLINGTON")</f>
        <v>ARLINGTON</v>
      </c>
      <c r="J8122" t="str">
        <f t="shared" si="3030"/>
        <v>VA</v>
      </c>
      <c r="K8122" t="str">
        <f>T("7036046671")</f>
        <v>7036046671</v>
      </c>
      <c r="L8122" t="str">
        <f>T("7036044463")</f>
        <v>7036044463</v>
      </c>
    </row>
    <row r="8123" spans="1:12" x14ac:dyDescent="0.35">
      <c r="A8123" t="str">
        <f t="shared" si="3029"/>
        <v>OPEN</v>
      </c>
      <c r="B8123" t="str">
        <f>T("20 GREEN SPRINGS RD")</f>
        <v>20 GREEN SPRINGS RD</v>
      </c>
      <c r="C8123" t="str">
        <f t="shared" ref="C8123:C8128" si="3031">T("")</f>
        <v/>
      </c>
      <c r="D8123" t="str">
        <f>T("STAFFORD")</f>
        <v>STAFFORD</v>
      </c>
      <c r="E8123" t="str">
        <f t="shared" ref="E8123:E8131" si="3032">T("VA")</f>
        <v>VA</v>
      </c>
      <c r="F8123" t="str">
        <f>T("225548334")</f>
        <v>225548334</v>
      </c>
      <c r="G8123" t="str">
        <f>T("20 GREEN SPRINGS RD")</f>
        <v>20 GREEN SPRINGS RD</v>
      </c>
      <c r="H8123" t="str">
        <f t="shared" ref="H8123:H8130" si="3033">T("")</f>
        <v/>
      </c>
      <c r="I8123" t="str">
        <f>T("STAFFORD")</f>
        <v>STAFFORD</v>
      </c>
      <c r="J8123" t="str">
        <f t="shared" si="3030"/>
        <v>VA</v>
      </c>
      <c r="K8123" t="str">
        <f>T("7037842919")</f>
        <v>7037842919</v>
      </c>
      <c r="L8123" t="str">
        <f>T("7037840654")</f>
        <v>7037840654</v>
      </c>
    </row>
    <row r="8124" spans="1:12" x14ac:dyDescent="0.35">
      <c r="A8124" t="str">
        <f t="shared" si="3029"/>
        <v>OPEN</v>
      </c>
      <c r="B8124" t="str">
        <f>T("20 GREEN SPRINGS RD")</f>
        <v>20 GREEN SPRINGS RD</v>
      </c>
      <c r="C8124" t="str">
        <f t="shared" si="3031"/>
        <v/>
      </c>
      <c r="D8124" t="str">
        <f>T("STAFFORD")</f>
        <v>STAFFORD</v>
      </c>
      <c r="E8124" t="str">
        <f t="shared" si="3032"/>
        <v>VA</v>
      </c>
      <c r="F8124" t="str">
        <f>T("225548334")</f>
        <v>225548334</v>
      </c>
      <c r="G8124" t="str">
        <f>T("27410 HOT PATCH ROAD")</f>
        <v>27410 HOT PATCH ROAD</v>
      </c>
      <c r="H8124" t="str">
        <f t="shared" si="3033"/>
        <v/>
      </c>
      <c r="I8124" t="str">
        <f t="shared" ref="I8124:I8131" si="3034">T("QUANTICO")</f>
        <v>QUANTICO</v>
      </c>
      <c r="J8124" t="str">
        <f t="shared" si="3030"/>
        <v>VA</v>
      </c>
      <c r="K8124" t="str">
        <f>T("7037846764")</f>
        <v>7037846764</v>
      </c>
      <c r="L8124" t="str">
        <f>T("7034326987")</f>
        <v>7034326987</v>
      </c>
    </row>
    <row r="8125" spans="1:12" x14ac:dyDescent="0.35">
      <c r="A8125" t="str">
        <f t="shared" si="3029"/>
        <v>OPEN</v>
      </c>
      <c r="B8125" t="str">
        <f>T("20 GREEN SPRINGS RD")</f>
        <v>20 GREEN SPRINGS RD</v>
      </c>
      <c r="C8125" t="str">
        <f t="shared" si="3031"/>
        <v/>
      </c>
      <c r="D8125" t="str">
        <f>T("STAFFORD")</f>
        <v>STAFFORD</v>
      </c>
      <c r="E8125" t="str">
        <f t="shared" si="3032"/>
        <v>VA</v>
      </c>
      <c r="F8125" t="str">
        <f>T("225548334")</f>
        <v>225548334</v>
      </c>
      <c r="G8125" t="str">
        <f>T("27410 HOT PATCH ROAD")</f>
        <v>27410 HOT PATCH ROAD</v>
      </c>
      <c r="H8125" t="str">
        <f t="shared" si="3033"/>
        <v/>
      </c>
      <c r="I8125" t="str">
        <f t="shared" si="3034"/>
        <v>QUANTICO</v>
      </c>
      <c r="J8125" t="str">
        <f t="shared" si="3030"/>
        <v>VA</v>
      </c>
      <c r="K8125" t="str">
        <f>T("7037846764")</f>
        <v>7037846764</v>
      </c>
      <c r="L8125" t="str">
        <f>T("7037846675")</f>
        <v>7037846675</v>
      </c>
    </row>
    <row r="8126" spans="1:12" x14ac:dyDescent="0.35">
      <c r="A8126" t="str">
        <f t="shared" si="3029"/>
        <v>OPEN</v>
      </c>
      <c r="B8126" t="str">
        <f>T("20 GREEN SPRINGS RD")</f>
        <v>20 GREEN SPRINGS RD</v>
      </c>
      <c r="C8126" t="str">
        <f t="shared" si="3031"/>
        <v/>
      </c>
      <c r="D8126" t="str">
        <f>T("STAFFORD")</f>
        <v>STAFFORD</v>
      </c>
      <c r="E8126" t="str">
        <f t="shared" si="3032"/>
        <v>VA</v>
      </c>
      <c r="F8126" t="str">
        <f>T("225548334")</f>
        <v>225548334</v>
      </c>
      <c r="G8126" t="str">
        <f>T("27410 HOT PATCH ROAD")</f>
        <v>27410 HOT PATCH ROAD</v>
      </c>
      <c r="H8126" t="str">
        <f t="shared" si="3033"/>
        <v/>
      </c>
      <c r="I8126" t="str">
        <f t="shared" si="3034"/>
        <v>QUANTICO</v>
      </c>
      <c r="J8126" t="str">
        <f t="shared" si="3030"/>
        <v>VA</v>
      </c>
      <c r="K8126" t="str">
        <f>T("7037846764")</f>
        <v>7037846764</v>
      </c>
      <c r="L8126" t="str">
        <f>T("7037846734")</f>
        <v>7037846734</v>
      </c>
    </row>
    <row r="8127" spans="1:12" x14ac:dyDescent="0.35">
      <c r="A8127" t="str">
        <f t="shared" si="3029"/>
        <v>OPEN</v>
      </c>
      <c r="B8127" t="str">
        <f>T("20 GREEN SPRINGS ROAD")</f>
        <v>20 GREEN SPRINGS ROAD</v>
      </c>
      <c r="C8127" t="str">
        <f t="shared" si="3031"/>
        <v/>
      </c>
      <c r="D8127" t="str">
        <f>T("QUANTICO")</f>
        <v>QUANTICO</v>
      </c>
      <c r="E8127" t="str">
        <f t="shared" si="3032"/>
        <v>VA</v>
      </c>
      <c r="F8127" t="str">
        <f>T("225540000")</f>
        <v>225540000</v>
      </c>
      <c r="G8127" t="str">
        <f>T("20 GREEN SPRINGS ROAD")</f>
        <v>20 GREEN SPRINGS ROAD</v>
      </c>
      <c r="H8127" t="str">
        <f t="shared" si="3033"/>
        <v/>
      </c>
      <c r="I8127" t="str">
        <f t="shared" si="3034"/>
        <v>QUANTICO</v>
      </c>
      <c r="J8127" t="str">
        <f t="shared" si="3030"/>
        <v>VA</v>
      </c>
      <c r="K8127" t="str">
        <f>T("7037842919")</f>
        <v>7037842919</v>
      </c>
      <c r="L8127" t="str">
        <f>T("7037840654")</f>
        <v>7037840654</v>
      </c>
    </row>
    <row r="8128" spans="1:12" x14ac:dyDescent="0.35">
      <c r="A8128" t="str">
        <f t="shared" si="3029"/>
        <v>OPEN</v>
      </c>
      <c r="B8128" t="str">
        <f>T("20 GREEN SPRINGS ROAD")</f>
        <v>20 GREEN SPRINGS ROAD</v>
      </c>
      <c r="C8128" t="str">
        <f t="shared" si="3031"/>
        <v/>
      </c>
      <c r="D8128" t="str">
        <f>T("QUANTICO")</f>
        <v>QUANTICO</v>
      </c>
      <c r="E8128" t="str">
        <f t="shared" si="3032"/>
        <v>VA</v>
      </c>
      <c r="F8128" t="str">
        <f>T("225540000")</f>
        <v>225540000</v>
      </c>
      <c r="G8128" t="str">
        <f>T("27410 HOT PATCH RD")</f>
        <v>27410 HOT PATCH RD</v>
      </c>
      <c r="H8128" t="str">
        <f t="shared" si="3033"/>
        <v/>
      </c>
      <c r="I8128" t="str">
        <f t="shared" si="3034"/>
        <v>QUANTICO</v>
      </c>
      <c r="J8128" t="str">
        <f t="shared" si="3030"/>
        <v>VA</v>
      </c>
      <c r="K8128" t="str">
        <f>T("7037842919")</f>
        <v>7037842919</v>
      </c>
      <c r="L8128" t="str">
        <f>T("7037846911")</f>
        <v>7037846911</v>
      </c>
    </row>
    <row r="8129" spans="1:12" x14ac:dyDescent="0.35">
      <c r="A8129" t="str">
        <f t="shared" si="3029"/>
        <v>OPEN</v>
      </c>
      <c r="B8129" t="str">
        <f>T("2008 ELLIOTT ROAD")</f>
        <v>2008 ELLIOTT ROAD</v>
      </c>
      <c r="C8129" t="str">
        <f>T("M&amp;RA MR-MR")</f>
        <v>M&amp;RA MR-MR</v>
      </c>
      <c r="D8129" t="str">
        <f>T("QUANTICO")</f>
        <v>QUANTICO</v>
      </c>
      <c r="E8129" t="str">
        <f t="shared" si="3032"/>
        <v>VA</v>
      </c>
      <c r="F8129" t="str">
        <f>T("221345112")</f>
        <v>221345112</v>
      </c>
      <c r="G8129" t="str">
        <f>T("2008 ELLIOT ROAD")</f>
        <v>2008 ELLIOT ROAD</v>
      </c>
      <c r="H8129" t="str">
        <f t="shared" si="3033"/>
        <v/>
      </c>
      <c r="I8129" t="str">
        <f t="shared" si="3034"/>
        <v>QUANTICO</v>
      </c>
      <c r="J8129" t="str">
        <f t="shared" si="3030"/>
        <v>VA</v>
      </c>
      <c r="K8129" t="str">
        <f>T("7037849827")</f>
        <v>7037849827</v>
      </c>
      <c r="L8129" t="str">
        <f>T("7034329302")</f>
        <v>7034329302</v>
      </c>
    </row>
    <row r="8130" spans="1:12" x14ac:dyDescent="0.35">
      <c r="A8130" t="str">
        <f t="shared" si="3029"/>
        <v>OPEN</v>
      </c>
      <c r="B8130" t="str">
        <f>T("2008 ELLIOTT ROAD")</f>
        <v>2008 ELLIOTT ROAD</v>
      </c>
      <c r="C8130" t="str">
        <f>T("M&amp;RA MR-MR")</f>
        <v>M&amp;RA MR-MR</v>
      </c>
      <c r="D8130" t="str">
        <f>T("QUANTICO")</f>
        <v>QUANTICO</v>
      </c>
      <c r="E8130" t="str">
        <f t="shared" si="3032"/>
        <v>VA</v>
      </c>
      <c r="F8130" t="str">
        <f>T("221345112")</f>
        <v>221345112</v>
      </c>
      <c r="G8130" t="str">
        <f>T("2008 ELLIOTT ROAD")</f>
        <v>2008 ELLIOTT ROAD</v>
      </c>
      <c r="H8130" t="str">
        <f t="shared" si="3033"/>
        <v/>
      </c>
      <c r="I8130" t="str">
        <f t="shared" si="3034"/>
        <v>QUANTICO</v>
      </c>
      <c r="J8130" t="str">
        <f t="shared" si="3030"/>
        <v>VA</v>
      </c>
      <c r="K8130" t="str">
        <f>T("7037844134")</f>
        <v>7037844134</v>
      </c>
      <c r="L8130" t="str">
        <f>T("7034329521")</f>
        <v>7034329521</v>
      </c>
    </row>
    <row r="8131" spans="1:12" x14ac:dyDescent="0.35">
      <c r="A8131" t="str">
        <f t="shared" si="3029"/>
        <v>OPEN</v>
      </c>
      <c r="B8131" t="str">
        <f>T("2008 ELLIOTT ROAD")</f>
        <v>2008 ELLIOTT ROAD</v>
      </c>
      <c r="C8131" t="str">
        <f>T("M&amp;RA MR-MR")</f>
        <v>M&amp;RA MR-MR</v>
      </c>
      <c r="D8131" t="str">
        <f>T("QUANTICO")</f>
        <v>QUANTICO</v>
      </c>
      <c r="E8131" t="str">
        <f t="shared" si="3032"/>
        <v>VA</v>
      </c>
      <c r="F8131" t="str">
        <f>T("221345112")</f>
        <v>221345112</v>
      </c>
      <c r="G8131" t="str">
        <f>T("2008 ELLIOTT ROAD")</f>
        <v>2008 ELLIOTT ROAD</v>
      </c>
      <c r="H8131" t="str">
        <f>T("M&amp;RA MR-MR")</f>
        <v>M&amp;RA MR-MR</v>
      </c>
      <c r="I8131" t="str">
        <f t="shared" si="3034"/>
        <v>QUANTICO</v>
      </c>
      <c r="J8131" t="str">
        <f t="shared" si="3030"/>
        <v>VA</v>
      </c>
      <c r="K8131" t="str">
        <f>T("7037844134")</f>
        <v>7037844134</v>
      </c>
      <c r="L8131" t="str">
        <f>T("7037849515")</f>
        <v>7037849515</v>
      </c>
    </row>
    <row r="8132" spans="1:12" x14ac:dyDescent="0.35">
      <c r="A8132" t="str">
        <f t="shared" si="3029"/>
        <v>OPEN</v>
      </c>
      <c r="B8132" t="str">
        <f>T("22401 CEDAR POINT RD")</f>
        <v>22401 CEDAR POINT RD</v>
      </c>
      <c r="C8132" t="str">
        <f>T("BLDG 102")</f>
        <v>BLDG 102</v>
      </c>
      <c r="D8132" t="str">
        <f>T("PATUXENT RVR")</f>
        <v>PATUXENT RVR</v>
      </c>
      <c r="E8132" t="str">
        <f>T("MD")</f>
        <v>MD</v>
      </c>
      <c r="F8132" t="str">
        <f>T("206701186")</f>
        <v>206701186</v>
      </c>
      <c r="G8132" t="str">
        <f>T("22401 CEDAR POINT RD")</f>
        <v>22401 CEDAR POINT RD</v>
      </c>
      <c r="H8132" t="str">
        <f>T("BLDG 102")</f>
        <v>BLDG 102</v>
      </c>
      <c r="I8132" t="str">
        <f>T("PATUXENT RIVER")</f>
        <v>PATUXENT RIVER</v>
      </c>
      <c r="J8132" t="str">
        <f>T("MD")</f>
        <v>MD</v>
      </c>
      <c r="K8132" t="str">
        <f>T("000000000000000000")</f>
        <v>000000000000000000</v>
      </c>
      <c r="L8132" t="str">
        <f>T("3013421103")</f>
        <v>3013421103</v>
      </c>
    </row>
    <row r="8133" spans="1:12" x14ac:dyDescent="0.35">
      <c r="A8133" t="str">
        <f t="shared" si="3029"/>
        <v>OPEN</v>
      </c>
      <c r="B8133" t="str">
        <f>T("22401 CEDAR POINT RD")</f>
        <v>22401 CEDAR POINT RD</v>
      </c>
      <c r="C8133" t="str">
        <f>T("BLDG 102")</f>
        <v>BLDG 102</v>
      </c>
      <c r="D8133" t="str">
        <f>T("PATUXENT RVR")</f>
        <v>PATUXENT RVR</v>
      </c>
      <c r="E8133" t="str">
        <f>T("MD")</f>
        <v>MD</v>
      </c>
      <c r="F8133" t="str">
        <f>T("206701186")</f>
        <v>206701186</v>
      </c>
      <c r="G8133" t="str">
        <f>T("22401 CEDAR POINT RD")</f>
        <v>22401 CEDAR POINT RD</v>
      </c>
      <c r="H8133" t="str">
        <f>T("BLDG 102")</f>
        <v>BLDG 102</v>
      </c>
      <c r="I8133" t="str">
        <f>T("PATUXENT RVR")</f>
        <v>PATUXENT RVR</v>
      </c>
      <c r="J8133" t="str">
        <f>T("MD")</f>
        <v>MD</v>
      </c>
      <c r="K8133" t="str">
        <f>T("3013421698")</f>
        <v>3013421698</v>
      </c>
      <c r="L8133" t="str">
        <f>T("3013421427")</f>
        <v>3013421427</v>
      </c>
    </row>
    <row r="8134" spans="1:12" x14ac:dyDescent="0.35">
      <c r="A8134" t="str">
        <f t="shared" si="3029"/>
        <v>OPEN</v>
      </c>
      <c r="B8134" t="str">
        <f>T("2306 E BANNISTER ROAD")</f>
        <v>2306 E BANNISTER ROAD</v>
      </c>
      <c r="C8134" t="str">
        <f>T("")</f>
        <v/>
      </c>
      <c r="D8134" t="str">
        <f>T("KANSAS CITY")</f>
        <v>KANSAS CITY</v>
      </c>
      <c r="E8134" t="str">
        <f>T("MO")</f>
        <v>MO</v>
      </c>
      <c r="F8134" t="str">
        <f>T("641313061")</f>
        <v>641313061</v>
      </c>
      <c r="G8134" t="str">
        <f>T("2306 E BANNISTER RD")</f>
        <v>2306 E BANNISTER RD</v>
      </c>
      <c r="H8134" t="str">
        <f>T("")</f>
        <v/>
      </c>
      <c r="I8134" t="str">
        <f>T("KANSAS CITY")</f>
        <v>KANSAS CITY</v>
      </c>
      <c r="J8134" t="str">
        <f>T("MO")</f>
        <v>MO</v>
      </c>
      <c r="K8134" t="str">
        <f>T("8169267746")</f>
        <v>8169267746</v>
      </c>
      <c r="L8134" t="str">
        <f>T("8163947702")</f>
        <v>8163947702</v>
      </c>
    </row>
    <row r="8135" spans="1:12" x14ac:dyDescent="0.35">
      <c r="A8135" t="str">
        <f t="shared" si="3029"/>
        <v>OPEN</v>
      </c>
      <c r="B8135" t="str">
        <f>T("2306 E BANNISTER ROAD")</f>
        <v>2306 E BANNISTER ROAD</v>
      </c>
      <c r="C8135" t="str">
        <f>T("")</f>
        <v/>
      </c>
      <c r="D8135" t="str">
        <f>T("KANSAS CITY")</f>
        <v>KANSAS CITY</v>
      </c>
      <c r="E8135" t="str">
        <f>T("MO")</f>
        <v>MO</v>
      </c>
      <c r="F8135" t="str">
        <f>T("641313061")</f>
        <v>641313061</v>
      </c>
      <c r="G8135" t="str">
        <f>T("2306 E BANNISTER ROAD")</f>
        <v>2306 E BANNISTER ROAD</v>
      </c>
      <c r="H8135" t="str">
        <f>T("")</f>
        <v/>
      </c>
      <c r="I8135" t="str">
        <f>T("KANSAS CITY")</f>
        <v>KANSAS CITY</v>
      </c>
      <c r="J8135" t="str">
        <f>T("MO")</f>
        <v>MO</v>
      </c>
      <c r="K8135" t="str">
        <f>T("8163947762")</f>
        <v>8163947762</v>
      </c>
      <c r="L8135" t="str">
        <f>T("8163947703")</f>
        <v>8163947703</v>
      </c>
    </row>
    <row r="8136" spans="1:12" x14ac:dyDescent="0.35">
      <c r="A8136" t="str">
        <f t="shared" si="3029"/>
        <v>OPEN</v>
      </c>
      <c r="B8136" t="str">
        <f>T("2306 E BANNISTER ROAD")</f>
        <v>2306 E BANNISTER ROAD</v>
      </c>
      <c r="C8136" t="str">
        <f>T("")</f>
        <v/>
      </c>
      <c r="D8136" t="str">
        <f>T("KANSAS CITY")</f>
        <v>KANSAS CITY</v>
      </c>
      <c r="E8136" t="str">
        <f>T("MO")</f>
        <v>MO</v>
      </c>
      <c r="F8136" t="str">
        <f>T("641313061")</f>
        <v>641313061</v>
      </c>
      <c r="G8136" t="str">
        <f>T("2306 E BANNISTER ROAD")</f>
        <v>2306 E BANNISTER ROAD</v>
      </c>
      <c r="H8136" t="str">
        <f>T("")</f>
        <v/>
      </c>
      <c r="I8136" t="str">
        <f>T("KANSAS CITY")</f>
        <v>KANSAS CITY</v>
      </c>
      <c r="J8136" t="str">
        <f>T("MO")</f>
        <v>MO</v>
      </c>
      <c r="K8136" t="str">
        <f>T("8163947762")</f>
        <v>8163947762</v>
      </c>
      <c r="L8136" t="str">
        <f>T("8163947704")</f>
        <v>8163947704</v>
      </c>
    </row>
    <row r="8137" spans="1:12" x14ac:dyDescent="0.35">
      <c r="A8137" t="str">
        <f t="shared" si="3029"/>
        <v>OPEN</v>
      </c>
      <c r="B8137" t="str">
        <f>T("27847 SANTA MARGARITA RD")</f>
        <v>27847 SANTA MARGARITA RD</v>
      </c>
      <c r="C8137" t="str">
        <f>T("S4")</f>
        <v>S4</v>
      </c>
      <c r="D8137" t="str">
        <f>T("CAMP PENDLETON")</f>
        <v>CAMP PENDLETON</v>
      </c>
      <c r="E8137" t="str">
        <f>T("CA")</f>
        <v>CA</v>
      </c>
      <c r="F8137" t="str">
        <f>T("920550000")</f>
        <v>920550000</v>
      </c>
      <c r="G8137" t="str">
        <f>T("27847 SANTA MARGARITA RD")</f>
        <v>27847 SANTA MARGARITA RD</v>
      </c>
      <c r="H8137" t="str">
        <f>T("S4")</f>
        <v>S4</v>
      </c>
      <c r="I8137" t="str">
        <f>T("CAMP PENDLETON")</f>
        <v>CAMP PENDLETON</v>
      </c>
      <c r="J8137" t="str">
        <f>T("CA")</f>
        <v>CA</v>
      </c>
      <c r="K8137" t="str">
        <f>T("7607253525")</f>
        <v>7607253525</v>
      </c>
      <c r="L8137" t="str">
        <f>T("7607639060")</f>
        <v>7607639060</v>
      </c>
    </row>
    <row r="8138" spans="1:12" x14ac:dyDescent="0.35">
      <c r="A8138" t="str">
        <f t="shared" si="3029"/>
        <v>OPEN</v>
      </c>
      <c r="B8138" t="str">
        <f>T("27847 SANTA MARGARITA RD")</f>
        <v>27847 SANTA MARGARITA RD</v>
      </c>
      <c r="C8138" t="str">
        <f>T("S4")</f>
        <v>S4</v>
      </c>
      <c r="D8138" t="str">
        <f>T("CAMP PENDLETON")</f>
        <v>CAMP PENDLETON</v>
      </c>
      <c r="E8138" t="str">
        <f>T("CA")</f>
        <v>CA</v>
      </c>
      <c r="F8138" t="str">
        <f>T("920550000")</f>
        <v>920550000</v>
      </c>
      <c r="G8138" t="str">
        <f>T("28747 SANTA MARGARITA ROAD")</f>
        <v>28747 SANTA MARGARITA ROAD</v>
      </c>
      <c r="H8138" t="str">
        <f>T("")</f>
        <v/>
      </c>
      <c r="I8138" t="str">
        <f>T("CAMP PENDLETON")</f>
        <v>CAMP PENDLETON</v>
      </c>
      <c r="J8138" t="str">
        <f>T("CA")</f>
        <v>CA</v>
      </c>
      <c r="K8138" t="str">
        <f>T("7607636671")</f>
        <v>7607636671</v>
      </c>
      <c r="L8138" t="str">
        <f>T("7607635796")</f>
        <v>7607635796</v>
      </c>
    </row>
    <row r="8139" spans="1:12" x14ac:dyDescent="0.35">
      <c r="A8139" t="str">
        <f t="shared" si="3029"/>
        <v>OPEN</v>
      </c>
      <c r="B8139" t="str">
        <f>T("27847 SANTA MARGARITA ROAD")</f>
        <v>27847 SANTA MARGARITA ROAD</v>
      </c>
      <c r="C8139" t="str">
        <f>T("")</f>
        <v/>
      </c>
      <c r="D8139" t="str">
        <f>T("CAMP PENDLETON")</f>
        <v>CAMP PENDLETON</v>
      </c>
      <c r="E8139" t="str">
        <f>T("CA")</f>
        <v>CA</v>
      </c>
      <c r="F8139" t="str">
        <f>T("920550000")</f>
        <v>920550000</v>
      </c>
      <c r="G8139" t="str">
        <f>T("27847 SANTA MARGARITA ROAD")</f>
        <v>27847 SANTA MARGARITA ROAD</v>
      </c>
      <c r="H8139" t="str">
        <f>T("")</f>
        <v/>
      </c>
      <c r="I8139" t="str">
        <f>T("CAMP PENDLETON")</f>
        <v>CAMP PENDLETON</v>
      </c>
      <c r="J8139" t="str">
        <f>T("CA")</f>
        <v>CA</v>
      </c>
      <c r="K8139" t="str">
        <f>T("")</f>
        <v/>
      </c>
      <c r="L8139" t="str">
        <f>T("7607639060")</f>
        <v>7607639060</v>
      </c>
    </row>
    <row r="8140" spans="1:12" x14ac:dyDescent="0.35">
      <c r="A8140" t="str">
        <f t="shared" si="3029"/>
        <v>OPEN</v>
      </c>
      <c r="B8140" t="str">
        <f>T("27847 SANTA MARGARITA ROAD")</f>
        <v>27847 SANTA MARGARITA ROAD</v>
      </c>
      <c r="C8140" t="str">
        <f>T("")</f>
        <v/>
      </c>
      <c r="D8140" t="str">
        <f>T("CAMP PENDLETON")</f>
        <v>CAMP PENDLETON</v>
      </c>
      <c r="E8140" t="str">
        <f>T("CA")</f>
        <v>CA</v>
      </c>
      <c r="F8140" t="str">
        <f>T("920550000")</f>
        <v>920550000</v>
      </c>
      <c r="G8140" t="str">
        <f>T("28747 SANTA MARGARITA RD")</f>
        <v>28747 SANTA MARGARITA RD</v>
      </c>
      <c r="H8140" t="str">
        <f>T("")</f>
        <v/>
      </c>
      <c r="I8140" t="str">
        <f>T("CAMP PENDLETON")</f>
        <v>CAMP PENDLETON</v>
      </c>
      <c r="J8140" t="str">
        <f>T("CA")</f>
        <v>CA</v>
      </c>
      <c r="K8140" t="str">
        <f>T("7607636671")</f>
        <v>7607636671</v>
      </c>
      <c r="L8140" t="str">
        <f>T("7607635796")</f>
        <v>7607635796</v>
      </c>
    </row>
    <row r="8141" spans="1:12" x14ac:dyDescent="0.35">
      <c r="A8141" t="str">
        <f t="shared" si="3029"/>
        <v>OPEN</v>
      </c>
      <c r="B8141" t="str">
        <f>T("27847 SANTA MARGARITA ROAD")</f>
        <v>27847 SANTA MARGARITA ROAD</v>
      </c>
      <c r="C8141" t="str">
        <f>T("")</f>
        <v/>
      </c>
      <c r="D8141" t="str">
        <f>T("CAMP PENDLETON")</f>
        <v>CAMP PENDLETON</v>
      </c>
      <c r="E8141" t="str">
        <f>T("CA")</f>
        <v>CA</v>
      </c>
      <c r="F8141" t="str">
        <f>T("920550000")</f>
        <v>920550000</v>
      </c>
      <c r="G8141" t="str">
        <f>T("BOX 555192")</f>
        <v>BOX 555192</v>
      </c>
      <c r="H8141" t="str">
        <f>T("")</f>
        <v/>
      </c>
      <c r="I8141" t="str">
        <f>T("CAMP PENDLETON")</f>
        <v>CAMP PENDLETON</v>
      </c>
      <c r="J8141" t="str">
        <f>T("CA")</f>
        <v>CA</v>
      </c>
      <c r="K8141" t="str">
        <f>T("000000000000000000")</f>
        <v>000000000000000000</v>
      </c>
      <c r="L8141" t="str">
        <f>T("7607639060")</f>
        <v>7607639060</v>
      </c>
    </row>
    <row r="8142" spans="1:12" x14ac:dyDescent="0.35">
      <c r="A8142" t="str">
        <f t="shared" si="3029"/>
        <v>OPEN</v>
      </c>
      <c r="B8142" t="str">
        <f t="shared" ref="B8142:B8168" si="3035">T("3000 MARINE CORPS PENTAGON")</f>
        <v>3000 MARINE CORPS PENTAGON</v>
      </c>
      <c r="C8142" t="str">
        <f>T("ARF RM 2A262")</f>
        <v>ARF RM 2A262</v>
      </c>
      <c r="D8142" t="str">
        <f t="shared" ref="D8142:D8181" si="3036">T("WASHINGTON")</f>
        <v>WASHINGTON</v>
      </c>
      <c r="E8142" t="str">
        <f t="shared" ref="E8142:E8181" si="3037">T("DC")</f>
        <v>DC</v>
      </c>
      <c r="F8142" t="str">
        <f t="shared" ref="F8142:F8159" si="3038">T("203503000")</f>
        <v>203503000</v>
      </c>
      <c r="G8142" t="str">
        <f>T("3000 MARINE CORPS PENTAGON")</f>
        <v>3000 MARINE CORPS PENTAGON</v>
      </c>
      <c r="H8142" t="str">
        <f>T("ARF RM 2A262")</f>
        <v>ARF RM 2A262</v>
      </c>
      <c r="I8142" t="str">
        <f>T("WASHINGTON")</f>
        <v>WASHINGTON</v>
      </c>
      <c r="J8142" t="str">
        <f>T("DC")</f>
        <v>DC</v>
      </c>
      <c r="K8142" t="str">
        <f>T("000000000000000000")</f>
        <v>000000000000000000</v>
      </c>
      <c r="L8142" t="str">
        <f>T("7036954727")</f>
        <v>7036954727</v>
      </c>
    </row>
    <row r="8143" spans="1:12" x14ac:dyDescent="0.35">
      <c r="A8143" t="str">
        <f t="shared" si="3029"/>
        <v>OPEN</v>
      </c>
      <c r="B8143" t="str">
        <f t="shared" si="3035"/>
        <v>3000 MARINE CORPS PENTAGON</v>
      </c>
      <c r="C8143" t="str">
        <f>T("ARF RM 2A262")</f>
        <v>ARF RM 2A262</v>
      </c>
      <c r="D8143" t="str">
        <f t="shared" si="3036"/>
        <v>WASHINGTON</v>
      </c>
      <c r="E8143" t="str">
        <f t="shared" si="3037"/>
        <v>DC</v>
      </c>
      <c r="F8143" t="str">
        <f t="shared" si="3038"/>
        <v>203503000</v>
      </c>
      <c r="G8143" t="str">
        <f>T("3000 MARINE CORPS PENTAGON")</f>
        <v>3000 MARINE CORPS PENTAGON</v>
      </c>
      <c r="H8143" t="str">
        <f>T("RM 1A262B")</f>
        <v>RM 1A262B</v>
      </c>
      <c r="I8143" t="str">
        <f>T("WASHINGTON")</f>
        <v>WASHINGTON</v>
      </c>
      <c r="J8143" t="str">
        <f>T("DC")</f>
        <v>DC</v>
      </c>
      <c r="K8143" t="str">
        <f>T("7036148332")</f>
        <v>7036148332</v>
      </c>
      <c r="L8143" t="str">
        <f>T("7036933586")</f>
        <v>7036933586</v>
      </c>
    </row>
    <row r="8144" spans="1:12" x14ac:dyDescent="0.35">
      <c r="A8144" t="str">
        <f t="shared" si="3029"/>
        <v>OPEN</v>
      </c>
      <c r="B8144" t="str">
        <f t="shared" si="3035"/>
        <v>3000 MARINE CORPS PENTAGON</v>
      </c>
      <c r="C8144" t="str">
        <f>T("P&amp;R RM 4D338 ATTN M BURNS")</f>
        <v>P&amp;R RM 4D338 ATTN M BURNS</v>
      </c>
      <c r="D8144" t="str">
        <f t="shared" si="3036"/>
        <v>WASHINGTON</v>
      </c>
      <c r="E8144" t="str">
        <f t="shared" si="3037"/>
        <v>DC</v>
      </c>
      <c r="F8144" t="str">
        <f t="shared" si="3038"/>
        <v>203503000</v>
      </c>
      <c r="G8144" t="str">
        <f>T("3000 MARINE CORPS PENTAGON")</f>
        <v>3000 MARINE CORPS PENTAGON</v>
      </c>
      <c r="H8144" t="str">
        <f>T("P&amp;R RM 4D338 ATTN M BURNS")</f>
        <v>P&amp;R RM 4D338 ATTN M BURNS</v>
      </c>
      <c r="I8144" t="str">
        <f>T("WASHINGTON")</f>
        <v>WASHINGTON</v>
      </c>
      <c r="J8144" t="str">
        <f>T("DC")</f>
        <v>DC</v>
      </c>
      <c r="K8144" t="str">
        <f>T("7036955714")</f>
        <v>7036955714</v>
      </c>
      <c r="L8144" t="str">
        <f>T("7036925934")</f>
        <v>7036925934</v>
      </c>
    </row>
    <row r="8145" spans="1:12" x14ac:dyDescent="0.35">
      <c r="A8145" t="str">
        <f t="shared" si="3029"/>
        <v>OPEN</v>
      </c>
      <c r="B8145" t="str">
        <f t="shared" si="3035"/>
        <v>3000 MARINE CORPS PENTAGON</v>
      </c>
      <c r="C8145" t="str">
        <f>T("P&amp;R RM 4D338 ATTN M BURNS")</f>
        <v>P&amp;R RM 4D338 ATTN M BURNS</v>
      </c>
      <c r="D8145" t="str">
        <f t="shared" si="3036"/>
        <v>WASHINGTON</v>
      </c>
      <c r="E8145" t="str">
        <f t="shared" si="3037"/>
        <v>DC</v>
      </c>
      <c r="F8145" t="str">
        <f t="shared" si="3038"/>
        <v>203503000</v>
      </c>
      <c r="G8145" t="str">
        <f>T("3000 MARINE CORPS PENTAGON")</f>
        <v>3000 MARINE CORPS PENTAGON</v>
      </c>
      <c r="H8145" t="str">
        <f>T("ROOM 4D338")</f>
        <v>ROOM 4D338</v>
      </c>
      <c r="I8145" t="str">
        <f>T("WASHINGTON")</f>
        <v>WASHINGTON</v>
      </c>
      <c r="J8145" t="str">
        <f>T("DC")</f>
        <v>DC</v>
      </c>
      <c r="K8145" t="str">
        <f>T("7036925714")</f>
        <v>7036925714</v>
      </c>
      <c r="L8145" t="str">
        <f>T("7036925934")</f>
        <v>7036925934</v>
      </c>
    </row>
    <row r="8146" spans="1:12" x14ac:dyDescent="0.35">
      <c r="A8146" t="str">
        <f t="shared" si="3029"/>
        <v>OPEN</v>
      </c>
      <c r="B8146" t="str">
        <f t="shared" si="3035"/>
        <v>3000 MARINE CORPS PENTAGON</v>
      </c>
      <c r="C8146" t="str">
        <f>T("P&amp;R RM 4D338 ATTN M BURNS")</f>
        <v>P&amp;R RM 4D338 ATTN M BURNS</v>
      </c>
      <c r="D8146" t="str">
        <f t="shared" si="3036"/>
        <v>WASHINGTON</v>
      </c>
      <c r="E8146" t="str">
        <f t="shared" si="3037"/>
        <v>DC</v>
      </c>
      <c r="F8146" t="str">
        <f t="shared" si="3038"/>
        <v>203503000</v>
      </c>
      <c r="G8146" t="str">
        <f>T("3000 MARINE CORPS PENTAGON")</f>
        <v>3000 MARINE CORPS PENTAGON</v>
      </c>
      <c r="H8146" t="str">
        <f>T("SPEC PGMS BRANCH RPX RM 4D338")</f>
        <v>SPEC PGMS BRANCH RPX RM 4D338</v>
      </c>
      <c r="I8146" t="str">
        <f>T("WASHINGTON")</f>
        <v>WASHINGTON</v>
      </c>
      <c r="J8146" t="str">
        <f>T("DC")</f>
        <v>DC</v>
      </c>
      <c r="K8146" t="str">
        <f>T("7036925714")</f>
        <v>7036925714</v>
      </c>
      <c r="L8146" t="str">
        <f>T("7036925934")</f>
        <v>7036925934</v>
      </c>
    </row>
    <row r="8147" spans="1:12" x14ac:dyDescent="0.35">
      <c r="A8147" t="str">
        <f t="shared" si="3029"/>
        <v>OPEN</v>
      </c>
      <c r="B8147" t="str">
        <f t="shared" si="3035"/>
        <v>3000 MARINE CORPS PENTAGON</v>
      </c>
      <c r="C8147" t="str">
        <f>T("P&amp;R RM 4D338 ATTN M BURNS")</f>
        <v>P&amp;R RM 4D338 ATTN M BURNS</v>
      </c>
      <c r="D8147" t="str">
        <f t="shared" si="3036"/>
        <v>WASHINGTON</v>
      </c>
      <c r="E8147" t="str">
        <f t="shared" si="3037"/>
        <v>DC</v>
      </c>
      <c r="F8147" t="str">
        <f t="shared" si="3038"/>
        <v>203503000</v>
      </c>
      <c r="G8147" t="str">
        <f>T("C O MAWTS-1 ATTN PAT GRACEY")</f>
        <v>C O MAWTS-1 ATTN PAT GRACEY</v>
      </c>
      <c r="H8147" t="str">
        <f>T("BOX 99200 MCAS YUMA")</f>
        <v>BOX 99200 MCAS YUMA</v>
      </c>
      <c r="I8147" t="str">
        <f>T("YUMA")</f>
        <v>YUMA</v>
      </c>
      <c r="J8147" t="str">
        <f>T("AZ")</f>
        <v>AZ</v>
      </c>
      <c r="K8147" t="str">
        <f>T("928-269-6411")</f>
        <v>928-269-6411</v>
      </c>
      <c r="L8147" t="str">
        <f>T("9282696412")</f>
        <v>9282696412</v>
      </c>
    </row>
    <row r="8148" spans="1:12" x14ac:dyDescent="0.35">
      <c r="A8148" t="str">
        <f t="shared" ref="A8148:A8179" si="3039">T("OPEN")</f>
        <v>OPEN</v>
      </c>
      <c r="B8148" t="str">
        <f t="shared" si="3035"/>
        <v>3000 MARINE CORPS PENTAGON</v>
      </c>
      <c r="C8148" t="str">
        <f>T("RM 2A262")</f>
        <v>RM 2A262</v>
      </c>
      <c r="D8148" t="str">
        <f t="shared" si="3036"/>
        <v>WASHINGTON</v>
      </c>
      <c r="E8148" t="str">
        <f t="shared" si="3037"/>
        <v>DC</v>
      </c>
      <c r="F8148" t="str">
        <f t="shared" si="3038"/>
        <v>203503000</v>
      </c>
      <c r="G8148" t="str">
        <f t="shared" ref="G8148:G8164" si="3040">T("3000 MARINE CORPS PENTAGON")</f>
        <v>3000 MARINE CORPS PENTAGON</v>
      </c>
      <c r="H8148" t="str">
        <f>T("RM 2A262")</f>
        <v>RM 2A262</v>
      </c>
      <c r="I8148" t="str">
        <f t="shared" ref="I8148:I8170" si="3041">T("WASHINGTON")</f>
        <v>WASHINGTON</v>
      </c>
      <c r="J8148" t="str">
        <f t="shared" ref="J8148:J8170" si="3042">T("DC")</f>
        <v>DC</v>
      </c>
      <c r="K8148" t="str">
        <f>T("000000000000000000")</f>
        <v>000000000000000000</v>
      </c>
      <c r="L8148" t="str">
        <f>T("7036141970")</f>
        <v>7036141970</v>
      </c>
    </row>
    <row r="8149" spans="1:12" x14ac:dyDescent="0.35">
      <c r="A8149" t="str">
        <f t="shared" si="3039"/>
        <v>OPEN</v>
      </c>
      <c r="B8149" t="str">
        <f t="shared" si="3035"/>
        <v>3000 MARINE CORPS PENTAGON</v>
      </c>
      <c r="C8149" t="str">
        <f>T("RM 2A262")</f>
        <v>RM 2A262</v>
      </c>
      <c r="D8149" t="str">
        <f t="shared" si="3036"/>
        <v>WASHINGTON</v>
      </c>
      <c r="E8149" t="str">
        <f t="shared" si="3037"/>
        <v>DC</v>
      </c>
      <c r="F8149" t="str">
        <f t="shared" si="3038"/>
        <v>203503000</v>
      </c>
      <c r="G8149" t="str">
        <f t="shared" si="3040"/>
        <v>3000 MARINE CORPS PENTAGON</v>
      </c>
      <c r="H8149" t="str">
        <f>T("RM 2A262")</f>
        <v>RM 2A262</v>
      </c>
      <c r="I8149" t="str">
        <f t="shared" si="3041"/>
        <v>WASHINGTON</v>
      </c>
      <c r="J8149" t="str">
        <f t="shared" si="3042"/>
        <v>DC</v>
      </c>
      <c r="K8149" t="str">
        <f>T("703-614-5145")</f>
        <v>703-614-5145</v>
      </c>
      <c r="L8149" t="str">
        <f>T("7036954727")</f>
        <v>7036954727</v>
      </c>
    </row>
    <row r="8150" spans="1:12" x14ac:dyDescent="0.35">
      <c r="A8150" t="str">
        <f t="shared" si="3039"/>
        <v>OPEN</v>
      </c>
      <c r="B8150" t="str">
        <f t="shared" si="3035"/>
        <v>3000 MARINE CORPS PENTAGON</v>
      </c>
      <c r="C8150" t="str">
        <f>T("RM 2C249")</f>
        <v>RM 2C249</v>
      </c>
      <c r="D8150" t="str">
        <f t="shared" si="3036"/>
        <v>WASHINGTON</v>
      </c>
      <c r="E8150" t="str">
        <f t="shared" si="3037"/>
        <v>DC</v>
      </c>
      <c r="F8150" t="str">
        <f t="shared" si="3038"/>
        <v>203503000</v>
      </c>
      <c r="G8150" t="str">
        <f t="shared" si="3040"/>
        <v>3000 MARINE CORPS PENTAGON</v>
      </c>
      <c r="H8150" t="str">
        <f>T("RM 2C249")</f>
        <v>RM 2C249</v>
      </c>
      <c r="I8150" t="str">
        <f t="shared" si="3041"/>
        <v>WASHINGTON</v>
      </c>
      <c r="J8150" t="str">
        <f t="shared" si="3042"/>
        <v>DC</v>
      </c>
      <c r="K8150" t="str">
        <f>T("703-784-3204")</f>
        <v>703-784-3204</v>
      </c>
      <c r="L8150" t="str">
        <f>T("7036143119")</f>
        <v>7036143119</v>
      </c>
    </row>
    <row r="8151" spans="1:12" x14ac:dyDescent="0.35">
      <c r="A8151" t="str">
        <f t="shared" si="3039"/>
        <v>OPEN</v>
      </c>
      <c r="B8151" t="str">
        <f t="shared" si="3035"/>
        <v>3000 MARINE CORPS PENTAGON</v>
      </c>
      <c r="C8151" t="str">
        <f>T("RM 2C249")</f>
        <v>RM 2C249</v>
      </c>
      <c r="D8151" t="str">
        <f t="shared" si="3036"/>
        <v>WASHINGTON</v>
      </c>
      <c r="E8151" t="str">
        <f t="shared" si="3037"/>
        <v>DC</v>
      </c>
      <c r="F8151" t="str">
        <f t="shared" si="3038"/>
        <v>203503000</v>
      </c>
      <c r="G8151" t="str">
        <f t="shared" si="3040"/>
        <v>3000 MARINE CORPS PENTAGON</v>
      </c>
      <c r="H8151" t="str">
        <f>T("RM 2C249")</f>
        <v>RM 2C249</v>
      </c>
      <c r="I8151" t="str">
        <f t="shared" si="3041"/>
        <v>WASHINGTON</v>
      </c>
      <c r="J8151" t="str">
        <f t="shared" si="3042"/>
        <v>DC</v>
      </c>
      <c r="K8151" t="str">
        <f>T("7036938017")</f>
        <v>7036938017</v>
      </c>
      <c r="L8151" t="str">
        <f>T("7036142445")</f>
        <v>7036142445</v>
      </c>
    </row>
    <row r="8152" spans="1:12" x14ac:dyDescent="0.35">
      <c r="A8152" t="str">
        <f t="shared" si="3039"/>
        <v>OPEN</v>
      </c>
      <c r="B8152" t="str">
        <f t="shared" si="3035"/>
        <v>3000 MARINE CORPS PENTAGON</v>
      </c>
      <c r="C8152" t="str">
        <f>T("RM 4B548")</f>
        <v>RM 4B548</v>
      </c>
      <c r="D8152" t="str">
        <f t="shared" si="3036"/>
        <v>WASHINGTON</v>
      </c>
      <c r="E8152" t="str">
        <f t="shared" si="3037"/>
        <v>DC</v>
      </c>
      <c r="F8152" t="str">
        <f t="shared" si="3038"/>
        <v>203503000</v>
      </c>
      <c r="G8152" t="str">
        <f t="shared" si="3040"/>
        <v>3000 MARINE CORPS PENTAGON</v>
      </c>
      <c r="H8152" t="str">
        <f>T("RM 4A532")</f>
        <v>RM 4A532</v>
      </c>
      <c r="I8152" t="str">
        <f t="shared" si="3041"/>
        <v>WASHINGTON</v>
      </c>
      <c r="J8152" t="str">
        <f t="shared" si="3042"/>
        <v>DC</v>
      </c>
      <c r="K8152" t="str">
        <f>T("000000000000000000")</f>
        <v>000000000000000000</v>
      </c>
      <c r="L8152" t="str">
        <f>T("7036140215")</f>
        <v>7036140215</v>
      </c>
    </row>
    <row r="8153" spans="1:12" x14ac:dyDescent="0.35">
      <c r="A8153" t="str">
        <f t="shared" si="3039"/>
        <v>OPEN</v>
      </c>
      <c r="B8153" t="str">
        <f t="shared" si="3035"/>
        <v>3000 MARINE CORPS PENTAGON</v>
      </c>
      <c r="C8153" t="str">
        <f>T("RM 4B548")</f>
        <v>RM 4B548</v>
      </c>
      <c r="D8153" t="str">
        <f t="shared" si="3036"/>
        <v>WASHINGTON</v>
      </c>
      <c r="E8153" t="str">
        <f t="shared" si="3037"/>
        <v>DC</v>
      </c>
      <c r="F8153" t="str">
        <f t="shared" si="3038"/>
        <v>203503000</v>
      </c>
      <c r="G8153" t="str">
        <f t="shared" si="3040"/>
        <v>3000 MARINE CORPS PENTAGON</v>
      </c>
      <c r="H8153" t="str">
        <f>T("RM 4A532")</f>
        <v>RM 4A532</v>
      </c>
      <c r="I8153" t="str">
        <f t="shared" si="3041"/>
        <v>WASHINGTON</v>
      </c>
      <c r="J8153" t="str">
        <f t="shared" si="3042"/>
        <v>DC</v>
      </c>
      <c r="K8153" t="str">
        <f>T("7036975362")</f>
        <v>7036975362</v>
      </c>
      <c r="L8153" t="str">
        <f>T("7036147678")</f>
        <v>7036147678</v>
      </c>
    </row>
    <row r="8154" spans="1:12" x14ac:dyDescent="0.35">
      <c r="A8154" t="str">
        <f t="shared" si="3039"/>
        <v>OPEN</v>
      </c>
      <c r="B8154" t="str">
        <f t="shared" si="3035"/>
        <v>3000 MARINE CORPS PENTAGON</v>
      </c>
      <c r="C8154" t="str">
        <f>T("RM 4B548")</f>
        <v>RM 4B548</v>
      </c>
      <c r="D8154" t="str">
        <f t="shared" si="3036"/>
        <v>WASHINGTON</v>
      </c>
      <c r="E8154" t="str">
        <f t="shared" si="3037"/>
        <v>DC</v>
      </c>
      <c r="F8154" t="str">
        <f t="shared" si="3038"/>
        <v>203503000</v>
      </c>
      <c r="G8154" t="str">
        <f t="shared" si="3040"/>
        <v>3000 MARINE CORPS PENTAGON</v>
      </c>
      <c r="H8154" t="str">
        <f>T("RM 4B548")</f>
        <v>RM 4B548</v>
      </c>
      <c r="I8154" t="str">
        <f t="shared" si="3041"/>
        <v>WASHINGTON</v>
      </c>
      <c r="J8154" t="str">
        <f t="shared" si="3042"/>
        <v>DC</v>
      </c>
      <c r="K8154" t="str">
        <f>T("000000000000000000")</f>
        <v>000000000000000000</v>
      </c>
      <c r="L8154" t="str">
        <f>T("7036921866")</f>
        <v>7036921866</v>
      </c>
    </row>
    <row r="8155" spans="1:12" x14ac:dyDescent="0.35">
      <c r="A8155" t="str">
        <f t="shared" si="3039"/>
        <v>OPEN</v>
      </c>
      <c r="B8155" t="str">
        <f t="shared" si="3035"/>
        <v>3000 MARINE CORPS PENTAGON</v>
      </c>
      <c r="C8155" t="str">
        <f>T("RM2B253")</f>
        <v>RM2B253</v>
      </c>
      <c r="D8155" t="str">
        <f t="shared" si="3036"/>
        <v>WASHINGTON</v>
      </c>
      <c r="E8155" t="str">
        <f t="shared" si="3037"/>
        <v>DC</v>
      </c>
      <c r="F8155" t="str">
        <f t="shared" si="3038"/>
        <v>203503000</v>
      </c>
      <c r="G8155" t="str">
        <f t="shared" si="3040"/>
        <v>3000 MARINE CORPS PENTAGON</v>
      </c>
      <c r="H8155" t="str">
        <f>T("RM 2B253")</f>
        <v>RM 2B253</v>
      </c>
      <c r="I8155" t="str">
        <f t="shared" si="3041"/>
        <v>WASHINGTON</v>
      </c>
      <c r="J8155" t="str">
        <f t="shared" si="3042"/>
        <v>DC</v>
      </c>
      <c r="K8155" t="str">
        <f>T("000000000000000000")</f>
        <v>000000000000000000</v>
      </c>
      <c r="L8155" t="str">
        <f>T("7036956531")</f>
        <v>7036956531</v>
      </c>
    </row>
    <row r="8156" spans="1:12" x14ac:dyDescent="0.35">
      <c r="A8156" t="str">
        <f t="shared" si="3039"/>
        <v>OPEN</v>
      </c>
      <c r="B8156" t="str">
        <f t="shared" si="3035"/>
        <v>3000 MARINE CORPS PENTAGON</v>
      </c>
      <c r="C8156" t="str">
        <f>T("RM2B253")</f>
        <v>RM2B253</v>
      </c>
      <c r="D8156" t="str">
        <f t="shared" si="3036"/>
        <v>WASHINGTON</v>
      </c>
      <c r="E8156" t="str">
        <f t="shared" si="3037"/>
        <v>DC</v>
      </c>
      <c r="F8156" t="str">
        <f t="shared" si="3038"/>
        <v>203503000</v>
      </c>
      <c r="G8156" t="str">
        <f t="shared" si="3040"/>
        <v>3000 MARINE CORPS PENTAGON</v>
      </c>
      <c r="H8156" t="str">
        <f>T("RM2B253")</f>
        <v>RM2B253</v>
      </c>
      <c r="I8156" t="str">
        <f t="shared" si="3041"/>
        <v>WASHINGTON</v>
      </c>
      <c r="J8156" t="str">
        <f t="shared" si="3042"/>
        <v>DC</v>
      </c>
      <c r="K8156" t="str">
        <f>T("703-614-6534")</f>
        <v>703-614-6534</v>
      </c>
      <c r="L8156" t="str">
        <f>T("7036141712")</f>
        <v>7036141712</v>
      </c>
    </row>
    <row r="8157" spans="1:12" x14ac:dyDescent="0.35">
      <c r="A8157" t="str">
        <f t="shared" si="3039"/>
        <v>OPEN</v>
      </c>
      <c r="B8157" t="str">
        <f t="shared" si="3035"/>
        <v>3000 MARINE CORPS PENTAGON</v>
      </c>
      <c r="C8157" t="str">
        <f>T("RM4B548")</f>
        <v>RM4B548</v>
      </c>
      <c r="D8157" t="str">
        <f t="shared" si="3036"/>
        <v>WASHINGTON</v>
      </c>
      <c r="E8157" t="str">
        <f t="shared" si="3037"/>
        <v>DC</v>
      </c>
      <c r="F8157" t="str">
        <f t="shared" si="3038"/>
        <v>203503000</v>
      </c>
      <c r="G8157" t="str">
        <f t="shared" si="3040"/>
        <v>3000 MARINE CORPS PENTAGON</v>
      </c>
      <c r="H8157" t="str">
        <f>T("RM 4A532")</f>
        <v>RM 4A532</v>
      </c>
      <c r="I8157" t="str">
        <f t="shared" si="3041"/>
        <v>WASHINGTON</v>
      </c>
      <c r="J8157" t="str">
        <f t="shared" si="3042"/>
        <v>DC</v>
      </c>
      <c r="K8157" t="str">
        <f>T("000000000000000000")</f>
        <v>000000000000000000</v>
      </c>
      <c r="L8157" t="str">
        <f>T("7036140215")</f>
        <v>7036140215</v>
      </c>
    </row>
    <row r="8158" spans="1:12" x14ac:dyDescent="0.35">
      <c r="A8158" t="str">
        <f t="shared" si="3039"/>
        <v>OPEN</v>
      </c>
      <c r="B8158" t="str">
        <f t="shared" si="3035"/>
        <v>3000 MARINE CORPS PENTAGON</v>
      </c>
      <c r="C8158" t="str">
        <f>T("RM4B548")</f>
        <v>RM4B548</v>
      </c>
      <c r="D8158" t="str">
        <f t="shared" si="3036"/>
        <v>WASHINGTON</v>
      </c>
      <c r="E8158" t="str">
        <f t="shared" si="3037"/>
        <v>DC</v>
      </c>
      <c r="F8158" t="str">
        <f t="shared" si="3038"/>
        <v>203503000</v>
      </c>
      <c r="G8158" t="str">
        <f t="shared" si="3040"/>
        <v>3000 MARINE CORPS PENTAGON</v>
      </c>
      <c r="H8158" t="str">
        <f>T("RM 4A532")</f>
        <v>RM 4A532</v>
      </c>
      <c r="I8158" t="str">
        <f t="shared" si="3041"/>
        <v>WASHINGTON</v>
      </c>
      <c r="J8158" t="str">
        <f t="shared" si="3042"/>
        <v>DC</v>
      </c>
      <c r="K8158" t="str">
        <f>T("7036975362")</f>
        <v>7036975362</v>
      </c>
      <c r="L8158" t="str">
        <f>T("7036147678")</f>
        <v>7036147678</v>
      </c>
    </row>
    <row r="8159" spans="1:12" x14ac:dyDescent="0.35">
      <c r="A8159" t="str">
        <f t="shared" si="3039"/>
        <v>OPEN</v>
      </c>
      <c r="B8159" t="str">
        <f t="shared" si="3035"/>
        <v>3000 MARINE CORPS PENTAGON</v>
      </c>
      <c r="C8159" t="str">
        <f>T("RM4B548")</f>
        <v>RM4B548</v>
      </c>
      <c r="D8159" t="str">
        <f t="shared" si="3036"/>
        <v>WASHINGTON</v>
      </c>
      <c r="E8159" t="str">
        <f t="shared" si="3037"/>
        <v>DC</v>
      </c>
      <c r="F8159" t="str">
        <f t="shared" si="3038"/>
        <v>203503000</v>
      </c>
      <c r="G8159" t="str">
        <f t="shared" si="3040"/>
        <v>3000 MARINE CORPS PENTAGON</v>
      </c>
      <c r="H8159" t="str">
        <f>T("RM4B548")</f>
        <v>RM4B548</v>
      </c>
      <c r="I8159" t="str">
        <f t="shared" si="3041"/>
        <v>WASHINGTON</v>
      </c>
      <c r="J8159" t="str">
        <f t="shared" si="3042"/>
        <v>DC</v>
      </c>
      <c r="K8159" t="str">
        <f>T("000000000000000000")</f>
        <v>000000000000000000</v>
      </c>
      <c r="L8159" t="str">
        <f>T("7036921866")</f>
        <v>7036921866</v>
      </c>
    </row>
    <row r="8160" spans="1:12" x14ac:dyDescent="0.35">
      <c r="A8160" t="str">
        <f t="shared" si="3039"/>
        <v>OPEN</v>
      </c>
      <c r="B8160" t="str">
        <f t="shared" si="3035"/>
        <v>3000 MARINE CORPS PENTAGON</v>
      </c>
      <c r="C8160" t="str">
        <f>T("ROOM 1B253")</f>
        <v>ROOM 1B253</v>
      </c>
      <c r="D8160" t="str">
        <f t="shared" si="3036"/>
        <v>WASHINGTON</v>
      </c>
      <c r="E8160" t="str">
        <f t="shared" si="3037"/>
        <v>DC</v>
      </c>
      <c r="F8160" t="str">
        <f>T("203800001")</f>
        <v>203800001</v>
      </c>
      <c r="G8160" t="str">
        <f t="shared" si="3040"/>
        <v>3000 MARINE CORPS PENTAGON</v>
      </c>
      <c r="H8160" t="str">
        <f>T("RM 1D247")</f>
        <v>RM 1D247</v>
      </c>
      <c r="I8160" t="str">
        <f t="shared" si="3041"/>
        <v>WASHINGTON</v>
      </c>
      <c r="J8160" t="str">
        <f t="shared" si="3042"/>
        <v>DC</v>
      </c>
      <c r="K8160" t="str">
        <f>T("7036933466")</f>
        <v>7036933466</v>
      </c>
      <c r="L8160" t="str">
        <f>T("7036933524")</f>
        <v>7036933524</v>
      </c>
    </row>
    <row r="8161" spans="1:12" x14ac:dyDescent="0.35">
      <c r="A8161" t="str">
        <f t="shared" si="3039"/>
        <v>OPEN</v>
      </c>
      <c r="B8161" t="str">
        <f t="shared" si="3035"/>
        <v>3000 MARINE CORPS PENTAGON</v>
      </c>
      <c r="C8161" t="str">
        <f>T("ROOM 1B253")</f>
        <v>ROOM 1B253</v>
      </c>
      <c r="D8161" t="str">
        <f t="shared" si="3036"/>
        <v>WASHINGTON</v>
      </c>
      <c r="E8161" t="str">
        <f t="shared" si="3037"/>
        <v>DC</v>
      </c>
      <c r="F8161" t="str">
        <f>T("203800001")</f>
        <v>203800001</v>
      </c>
      <c r="G8161" t="str">
        <f t="shared" si="3040"/>
        <v>3000 MARINE CORPS PENTAGON</v>
      </c>
      <c r="H8161" t="str">
        <f>T("ROOM 1B253")</f>
        <v>ROOM 1B253</v>
      </c>
      <c r="I8161" t="str">
        <f t="shared" si="3041"/>
        <v>WASHINGTON</v>
      </c>
      <c r="J8161" t="str">
        <f t="shared" si="3042"/>
        <v>DC</v>
      </c>
      <c r="K8161" t="str">
        <f>T("7036933466")</f>
        <v>7036933466</v>
      </c>
      <c r="L8161" t="str">
        <f>T("7036933464")</f>
        <v>7036933464</v>
      </c>
    </row>
    <row r="8162" spans="1:12" x14ac:dyDescent="0.35">
      <c r="A8162" t="str">
        <f t="shared" si="3039"/>
        <v>OPEN</v>
      </c>
      <c r="B8162" t="str">
        <f t="shared" si="3035"/>
        <v>3000 MARINE CORPS PENTAGON</v>
      </c>
      <c r="C8162" t="str">
        <f>T("ROOM 2C249")</f>
        <v>ROOM 2C249</v>
      </c>
      <c r="D8162" t="str">
        <f t="shared" si="3036"/>
        <v>WASHINGTON</v>
      </c>
      <c r="E8162" t="str">
        <f t="shared" si="3037"/>
        <v>DC</v>
      </c>
      <c r="F8162" t="str">
        <f>T("203500000")</f>
        <v>203500000</v>
      </c>
      <c r="G8162" t="str">
        <f t="shared" si="3040"/>
        <v>3000 MARINE CORPS PENTAGON</v>
      </c>
      <c r="H8162" t="str">
        <f>T("2C249")</f>
        <v>2C249</v>
      </c>
      <c r="I8162" t="str">
        <f t="shared" si="3041"/>
        <v>WASHINGTON</v>
      </c>
      <c r="J8162" t="str">
        <f t="shared" si="3042"/>
        <v>DC</v>
      </c>
      <c r="K8162" t="str">
        <f>T("703698017")</f>
        <v>703698017</v>
      </c>
      <c r="L8162" t="str">
        <f>T("7036142568")</f>
        <v>7036142568</v>
      </c>
    </row>
    <row r="8163" spans="1:12" x14ac:dyDescent="0.35">
      <c r="A8163" t="str">
        <f t="shared" si="3039"/>
        <v>OPEN</v>
      </c>
      <c r="B8163" t="str">
        <f t="shared" si="3035"/>
        <v>3000 MARINE CORPS PENTAGON</v>
      </c>
      <c r="C8163" t="str">
        <f>T("ROOM 2C249")</f>
        <v>ROOM 2C249</v>
      </c>
      <c r="D8163" t="str">
        <f t="shared" si="3036"/>
        <v>WASHINGTON</v>
      </c>
      <c r="E8163" t="str">
        <f t="shared" si="3037"/>
        <v>DC</v>
      </c>
      <c r="F8163" t="str">
        <f>T("203500000")</f>
        <v>203500000</v>
      </c>
      <c r="G8163" t="str">
        <f t="shared" si="3040"/>
        <v>3000 MARINE CORPS PENTAGON</v>
      </c>
      <c r="H8163" t="str">
        <f>T("ROOM 2C249")</f>
        <v>ROOM 2C249</v>
      </c>
      <c r="I8163" t="str">
        <f t="shared" si="3041"/>
        <v>WASHINGTON</v>
      </c>
      <c r="J8163" t="str">
        <f t="shared" si="3042"/>
        <v>DC</v>
      </c>
      <c r="K8163" t="str">
        <f>T("7037843204")</f>
        <v>7037843204</v>
      </c>
      <c r="L8163" t="str">
        <f>T("7036143119")</f>
        <v>7036143119</v>
      </c>
    </row>
    <row r="8164" spans="1:12" x14ac:dyDescent="0.35">
      <c r="A8164" t="str">
        <f t="shared" si="3039"/>
        <v>OPEN</v>
      </c>
      <c r="B8164" t="str">
        <f t="shared" si="3035"/>
        <v>3000 MARINE CORPS PENTAGON</v>
      </c>
      <c r="C8164" t="str">
        <f>T("ROOM 2E311")</f>
        <v>ROOM 2E311</v>
      </c>
      <c r="D8164" t="str">
        <f t="shared" si="3036"/>
        <v>WASHINGTON</v>
      </c>
      <c r="E8164" t="str">
        <f t="shared" si="3037"/>
        <v>DC</v>
      </c>
      <c r="F8164" t="str">
        <f>T("203503000")</f>
        <v>203503000</v>
      </c>
      <c r="G8164" t="str">
        <f t="shared" si="3040"/>
        <v>3000 MARINE CORPS PENTAGON</v>
      </c>
      <c r="H8164" t="str">
        <f>T("ROOM 2E311")</f>
        <v>ROOM 2E311</v>
      </c>
      <c r="I8164" t="str">
        <f t="shared" si="3041"/>
        <v>WASHINGTON</v>
      </c>
      <c r="J8164" t="str">
        <f t="shared" si="3042"/>
        <v>DC</v>
      </c>
      <c r="K8164" t="str">
        <f>T("7036955896")</f>
        <v>7036955896</v>
      </c>
      <c r="L8164" t="str">
        <f>T("5712562749")</f>
        <v>5712562749</v>
      </c>
    </row>
    <row r="8165" spans="1:12" x14ac:dyDescent="0.35">
      <c r="A8165" t="str">
        <f t="shared" si="3039"/>
        <v>OPEN</v>
      </c>
      <c r="B8165" t="str">
        <f t="shared" si="3035"/>
        <v>3000 MARINE CORPS PENTAGON</v>
      </c>
      <c r="C8165" t="str">
        <f>T("ROOM 2E311")</f>
        <v>ROOM 2E311</v>
      </c>
      <c r="D8165" t="str">
        <f t="shared" si="3036"/>
        <v>WASHINGTON</v>
      </c>
      <c r="E8165" t="str">
        <f t="shared" si="3037"/>
        <v>DC</v>
      </c>
      <c r="F8165" t="str">
        <f>T("203503000")</f>
        <v>203503000</v>
      </c>
      <c r="G8165" t="str">
        <f>T("3000 MC PENTAGON")</f>
        <v>3000 MC PENTAGON</v>
      </c>
      <c r="H8165" t="str">
        <f>T("")</f>
        <v/>
      </c>
      <c r="I8165" t="str">
        <f t="shared" si="3041"/>
        <v>WASHINGTON</v>
      </c>
      <c r="J8165" t="str">
        <f t="shared" si="3042"/>
        <v>DC</v>
      </c>
      <c r="K8165" t="str">
        <f>T("000000000000000000")</f>
        <v>000000000000000000</v>
      </c>
      <c r="L8165" t="str">
        <f>T("7036955434")</f>
        <v>7036955434</v>
      </c>
    </row>
    <row r="8166" spans="1:12" x14ac:dyDescent="0.35">
      <c r="A8166" t="str">
        <f t="shared" si="3039"/>
        <v>OPEN</v>
      </c>
      <c r="B8166" t="str">
        <f t="shared" si="3035"/>
        <v>3000 MARINE CORPS PENTAGON</v>
      </c>
      <c r="C8166" t="str">
        <f>T("ROOM 4D558")</f>
        <v>ROOM 4D558</v>
      </c>
      <c r="D8166" t="str">
        <f t="shared" si="3036"/>
        <v>WASHINGTON</v>
      </c>
      <c r="E8166" t="str">
        <f t="shared" si="3037"/>
        <v>DC</v>
      </c>
      <c r="F8166" t="str">
        <f>T("203503000")</f>
        <v>203503000</v>
      </c>
      <c r="G8166" t="str">
        <f>T("3000 MARINE CORPS PENTAGON")</f>
        <v>3000 MARINE CORPS PENTAGON</v>
      </c>
      <c r="H8166" t="str">
        <f>T("ROOM 4D558")</f>
        <v>ROOM 4D558</v>
      </c>
      <c r="I8166" t="str">
        <f t="shared" si="3041"/>
        <v>WASHINGTON</v>
      </c>
      <c r="J8166" t="str">
        <f t="shared" si="3042"/>
        <v>DC</v>
      </c>
      <c r="K8166" t="str">
        <f>T("7036145775")</f>
        <v>7036145775</v>
      </c>
      <c r="L8166" t="str">
        <f>T("7036148661")</f>
        <v>7036148661</v>
      </c>
    </row>
    <row r="8167" spans="1:12" x14ac:dyDescent="0.35">
      <c r="A8167" t="str">
        <f t="shared" si="3039"/>
        <v>OPEN</v>
      </c>
      <c r="B8167" t="str">
        <f t="shared" si="3035"/>
        <v>3000 MARINE CORPS PENTAGON</v>
      </c>
      <c r="C8167" t="str">
        <f>T("ROOM 4D558")</f>
        <v>ROOM 4D558</v>
      </c>
      <c r="D8167" t="str">
        <f t="shared" si="3036"/>
        <v>WASHINGTON</v>
      </c>
      <c r="E8167" t="str">
        <f t="shared" si="3037"/>
        <v>DC</v>
      </c>
      <c r="F8167" t="str">
        <f>T("203503000")</f>
        <v>203503000</v>
      </c>
      <c r="G8167" t="str">
        <f>T("3000 MARINE CORPS PENTAGON")</f>
        <v>3000 MARINE CORPS PENTAGON</v>
      </c>
      <c r="H8167" t="str">
        <f>T("ROOM 4D558")</f>
        <v>ROOM 4D558</v>
      </c>
      <c r="I8167" t="str">
        <f t="shared" si="3041"/>
        <v>WASHINGTON</v>
      </c>
      <c r="J8167" t="str">
        <f t="shared" si="3042"/>
        <v>DC</v>
      </c>
      <c r="K8167" t="str">
        <f>T("7036933208")</f>
        <v>7036933208</v>
      </c>
      <c r="L8167" t="str">
        <f>T("5712564718")</f>
        <v>5712564718</v>
      </c>
    </row>
    <row r="8168" spans="1:12" x14ac:dyDescent="0.35">
      <c r="A8168" t="str">
        <f t="shared" si="3039"/>
        <v>OPEN</v>
      </c>
      <c r="B8168" t="str">
        <f t="shared" si="3035"/>
        <v>3000 MARINE CORPS PENTAGON</v>
      </c>
      <c r="C8168" t="str">
        <f>T("ROOM 4D558")</f>
        <v>ROOM 4D558</v>
      </c>
      <c r="D8168" t="str">
        <f t="shared" si="3036"/>
        <v>WASHINGTON</v>
      </c>
      <c r="E8168" t="str">
        <f t="shared" si="3037"/>
        <v>DC</v>
      </c>
      <c r="F8168" t="str">
        <f>T("203503000")</f>
        <v>203503000</v>
      </c>
      <c r="G8168" t="str">
        <f>T("3000 MARINE CORPS PENTAGON")</f>
        <v>3000 MARINE CORPS PENTAGON</v>
      </c>
      <c r="H8168" t="str">
        <f>T("ROOM 4D559")</f>
        <v>ROOM 4D559</v>
      </c>
      <c r="I8168" t="str">
        <f t="shared" si="3041"/>
        <v>WASHINGTON</v>
      </c>
      <c r="J8168" t="str">
        <f t="shared" si="3042"/>
        <v>DC</v>
      </c>
      <c r="K8168" t="str">
        <f>T("7036933208")</f>
        <v>7036933208</v>
      </c>
      <c r="L8168" t="str">
        <f>T("5712564718")</f>
        <v>5712564718</v>
      </c>
    </row>
    <row r="8169" spans="1:12" x14ac:dyDescent="0.35">
      <c r="A8169" t="str">
        <f t="shared" si="3039"/>
        <v>OPEN</v>
      </c>
      <c r="B8169" t="str">
        <f t="shared" ref="B8169:B8179" si="3043">T("3000 MC PENTAGON")</f>
        <v>3000 MC PENTAGON</v>
      </c>
      <c r="C8169" t="str">
        <f>T("")</f>
        <v/>
      </c>
      <c r="D8169" t="str">
        <f t="shared" si="3036"/>
        <v>WASHINGTON</v>
      </c>
      <c r="E8169" t="str">
        <f t="shared" si="3037"/>
        <v>DC</v>
      </c>
      <c r="F8169" t="str">
        <f t="shared" ref="F8169:F8179" si="3044">T("203500001")</f>
        <v>203500001</v>
      </c>
      <c r="G8169" t="str">
        <f>T("3000 MC PENTAGON")</f>
        <v>3000 MC PENTAGON</v>
      </c>
      <c r="H8169" t="str">
        <f>T("")</f>
        <v/>
      </c>
      <c r="I8169" t="str">
        <f t="shared" si="3041"/>
        <v>WASHINGTON</v>
      </c>
      <c r="J8169" t="str">
        <f t="shared" si="3042"/>
        <v>DC</v>
      </c>
      <c r="K8169" t="str">
        <f>T("")</f>
        <v/>
      </c>
      <c r="L8169" t="str">
        <f>T("5712567172")</f>
        <v>5712567172</v>
      </c>
    </row>
    <row r="8170" spans="1:12" x14ac:dyDescent="0.35">
      <c r="A8170" t="str">
        <f t="shared" si="3039"/>
        <v>OPEN</v>
      </c>
      <c r="B8170" t="str">
        <f t="shared" si="3043"/>
        <v>3000 MC PENTAGON</v>
      </c>
      <c r="C8170" t="str">
        <f>T("RM 2E204")</f>
        <v>RM 2E204</v>
      </c>
      <c r="D8170" t="str">
        <f t="shared" si="3036"/>
        <v>WASHINGTON</v>
      </c>
      <c r="E8170" t="str">
        <f t="shared" si="3037"/>
        <v>DC</v>
      </c>
      <c r="F8170" t="str">
        <f t="shared" si="3044"/>
        <v>203500001</v>
      </c>
      <c r="G8170" t="str">
        <f>T("3000 MC PENTAGON")</f>
        <v>3000 MC PENTAGON</v>
      </c>
      <c r="H8170" t="str">
        <f>T("RM 2E204")</f>
        <v>RM 2E204</v>
      </c>
      <c r="I8170" t="str">
        <f t="shared" si="3041"/>
        <v>WASHINGTON</v>
      </c>
      <c r="J8170" t="str">
        <f t="shared" si="3042"/>
        <v>DC</v>
      </c>
      <c r="K8170" t="str">
        <f>T("000000000000000000")</f>
        <v>000000000000000000</v>
      </c>
      <c r="L8170" t="str">
        <f>T("7036043663")</f>
        <v>7036043663</v>
      </c>
    </row>
    <row r="8171" spans="1:12" x14ac:dyDescent="0.35">
      <c r="A8171" t="str">
        <f t="shared" si="3039"/>
        <v>OPEN</v>
      </c>
      <c r="B8171" t="str">
        <f t="shared" si="3043"/>
        <v>3000 MC PENTAGON</v>
      </c>
      <c r="C8171" t="str">
        <f>T("RM 2E204")</f>
        <v>RM 2E204</v>
      </c>
      <c r="D8171" t="str">
        <f t="shared" si="3036"/>
        <v>WASHINGTON</v>
      </c>
      <c r="E8171" t="str">
        <f t="shared" si="3037"/>
        <v>DC</v>
      </c>
      <c r="F8171" t="str">
        <f t="shared" si="3044"/>
        <v>203500001</v>
      </c>
      <c r="G8171" t="str">
        <f>T("701 S COURTHOUSE ROAD")</f>
        <v>701 S COURTHOUSE ROAD</v>
      </c>
      <c r="H8171" t="str">
        <f>T("")</f>
        <v/>
      </c>
      <c r="I8171" t="str">
        <f>T("ARLINGTON")</f>
        <v>ARLINGTON</v>
      </c>
      <c r="J8171" t="str">
        <f>T("VA")</f>
        <v>VA</v>
      </c>
      <c r="K8171" t="str">
        <f>T("000000000000000000")</f>
        <v>000000000000000000</v>
      </c>
      <c r="L8171" t="str">
        <f>T("7036044152")</f>
        <v>7036044152</v>
      </c>
    </row>
    <row r="8172" spans="1:12" x14ac:dyDescent="0.35">
      <c r="A8172" t="str">
        <f t="shared" si="3039"/>
        <v>OPEN</v>
      </c>
      <c r="B8172" t="str">
        <f t="shared" si="3043"/>
        <v>3000 MC PENTAGON</v>
      </c>
      <c r="C8172" t="str">
        <f>T("RM 4E521")</f>
        <v>RM 4E521</v>
      </c>
      <c r="D8172" t="str">
        <f t="shared" si="3036"/>
        <v>WASHINGTON</v>
      </c>
      <c r="E8172" t="str">
        <f t="shared" si="3037"/>
        <v>DC</v>
      </c>
      <c r="F8172" t="str">
        <f t="shared" si="3044"/>
        <v>203500001</v>
      </c>
      <c r="G8172" t="str">
        <f>T("3000 MC PENTAGON")</f>
        <v>3000 MC PENTAGON</v>
      </c>
      <c r="H8172" t="str">
        <f>T("")</f>
        <v/>
      </c>
      <c r="I8172" t="str">
        <f t="shared" ref="I8172:I8181" si="3045">T("WASHINGTON")</f>
        <v>WASHINGTON</v>
      </c>
      <c r="J8172" t="str">
        <f t="shared" ref="J8172:J8181" si="3046">T("DC")</f>
        <v>DC</v>
      </c>
      <c r="K8172" t="str">
        <f>T("000000000000000000")</f>
        <v>000000000000000000</v>
      </c>
      <c r="L8172" t="str">
        <f>T("7036958655")</f>
        <v>7036958655</v>
      </c>
    </row>
    <row r="8173" spans="1:12" x14ac:dyDescent="0.35">
      <c r="A8173" t="str">
        <f t="shared" si="3039"/>
        <v>OPEN</v>
      </c>
      <c r="B8173" t="str">
        <f t="shared" si="3043"/>
        <v>3000 MC PENTAGON</v>
      </c>
      <c r="C8173" t="str">
        <f>T("RM 4E521")</f>
        <v>RM 4E521</v>
      </c>
      <c r="D8173" t="str">
        <f t="shared" si="3036"/>
        <v>WASHINGTON</v>
      </c>
      <c r="E8173" t="str">
        <f t="shared" si="3037"/>
        <v>DC</v>
      </c>
      <c r="F8173" t="str">
        <f t="shared" si="3044"/>
        <v>203500001</v>
      </c>
      <c r="G8173" t="str">
        <f>T("3000 MC PENTAGON")</f>
        <v>3000 MC PENTAGON</v>
      </c>
      <c r="H8173" t="str">
        <f>T("RM 4E521")</f>
        <v>RM 4E521</v>
      </c>
      <c r="I8173" t="str">
        <f t="shared" si="3045"/>
        <v>WASHINGTON</v>
      </c>
      <c r="J8173" t="str">
        <f t="shared" si="3046"/>
        <v>DC</v>
      </c>
      <c r="K8173" t="str">
        <f>T("000000000000000000")</f>
        <v>000000000000000000</v>
      </c>
      <c r="L8173" t="str">
        <f>T("7039658644")</f>
        <v>7039658644</v>
      </c>
    </row>
    <row r="8174" spans="1:12" x14ac:dyDescent="0.35">
      <c r="A8174" t="str">
        <f t="shared" si="3039"/>
        <v>OPEN</v>
      </c>
      <c r="B8174" t="str">
        <f t="shared" si="3043"/>
        <v>3000 MC PENTAGON</v>
      </c>
      <c r="C8174" t="str">
        <f>T("RM 4E531")</f>
        <v>RM 4E531</v>
      </c>
      <c r="D8174" t="str">
        <f t="shared" si="3036"/>
        <v>WASHINGTON</v>
      </c>
      <c r="E8174" t="str">
        <f t="shared" si="3037"/>
        <v>DC</v>
      </c>
      <c r="F8174" t="str">
        <f t="shared" si="3044"/>
        <v>203500001</v>
      </c>
      <c r="G8174" t="str">
        <f>T("3000 MARINE CORPS PENTAGON RM 4E351")</f>
        <v>3000 MARINE CORPS PENTAGON RM 4E351</v>
      </c>
      <c r="H8174" t="str">
        <f>T("")</f>
        <v/>
      </c>
      <c r="I8174" t="str">
        <f t="shared" si="3045"/>
        <v>WASHINGTON</v>
      </c>
      <c r="J8174" t="str">
        <f t="shared" si="3046"/>
        <v>DC</v>
      </c>
      <c r="K8174" t="str">
        <f>T("000000000000000000")</f>
        <v>000000000000000000</v>
      </c>
      <c r="L8174" t="str">
        <f>T("7036141515")</f>
        <v>7036141515</v>
      </c>
    </row>
    <row r="8175" spans="1:12" x14ac:dyDescent="0.35">
      <c r="A8175" t="str">
        <f t="shared" si="3039"/>
        <v>OPEN</v>
      </c>
      <c r="B8175" t="str">
        <f t="shared" si="3043"/>
        <v>3000 MC PENTAGON</v>
      </c>
      <c r="C8175" t="str">
        <f>T("RM 4E531")</f>
        <v>RM 4E531</v>
      </c>
      <c r="D8175" t="str">
        <f t="shared" si="3036"/>
        <v>WASHINGTON</v>
      </c>
      <c r="E8175" t="str">
        <f t="shared" si="3037"/>
        <v>DC</v>
      </c>
      <c r="F8175" t="str">
        <f t="shared" si="3044"/>
        <v>203500001</v>
      </c>
      <c r="G8175" t="str">
        <f t="shared" ref="G8175:G8180" si="3047">T("3000 MC PENTAGON")</f>
        <v>3000 MC PENTAGON</v>
      </c>
      <c r="H8175" t="str">
        <f>T("RM 4E531")</f>
        <v>RM 4E531</v>
      </c>
      <c r="I8175" t="str">
        <f t="shared" si="3045"/>
        <v>WASHINGTON</v>
      </c>
      <c r="J8175" t="str">
        <f t="shared" si="3046"/>
        <v>DC</v>
      </c>
      <c r="K8175" t="str">
        <f>T("7036143066")</f>
        <v>7036143066</v>
      </c>
      <c r="L8175" t="str">
        <f>T("7036141515")</f>
        <v>7036141515</v>
      </c>
    </row>
    <row r="8176" spans="1:12" x14ac:dyDescent="0.35">
      <c r="A8176" t="str">
        <f t="shared" si="3039"/>
        <v>OPEN</v>
      </c>
      <c r="B8176" t="str">
        <f t="shared" si="3043"/>
        <v>3000 MC PENTAGON</v>
      </c>
      <c r="C8176" t="str">
        <f>T("ROOM 2E204")</f>
        <v>ROOM 2E204</v>
      </c>
      <c r="D8176" t="str">
        <f t="shared" si="3036"/>
        <v>WASHINGTON</v>
      </c>
      <c r="E8176" t="str">
        <f t="shared" si="3037"/>
        <v>DC</v>
      </c>
      <c r="F8176" t="str">
        <f t="shared" si="3044"/>
        <v>203500001</v>
      </c>
      <c r="G8176" t="str">
        <f t="shared" si="3047"/>
        <v>3000 MC PENTAGON</v>
      </c>
      <c r="H8176" t="str">
        <f>T("ROOM 2E204")</f>
        <v>ROOM 2E204</v>
      </c>
      <c r="I8176" t="str">
        <f t="shared" si="3045"/>
        <v>WASHINGTON</v>
      </c>
      <c r="J8176" t="str">
        <f t="shared" si="3046"/>
        <v>DC</v>
      </c>
      <c r="K8176" t="str">
        <f>T("000000000000000000")</f>
        <v>000000000000000000</v>
      </c>
      <c r="L8176" t="str">
        <f>T("5712562714")</f>
        <v>5712562714</v>
      </c>
    </row>
    <row r="8177" spans="1:12" x14ac:dyDescent="0.35">
      <c r="A8177" t="str">
        <f t="shared" si="3039"/>
        <v>OPEN</v>
      </c>
      <c r="B8177" t="str">
        <f t="shared" si="3043"/>
        <v>3000 MC PENTAGON</v>
      </c>
      <c r="C8177" t="str">
        <f>T("ROOM 2E204")</f>
        <v>ROOM 2E204</v>
      </c>
      <c r="D8177" t="str">
        <f t="shared" si="3036"/>
        <v>WASHINGTON</v>
      </c>
      <c r="E8177" t="str">
        <f t="shared" si="3037"/>
        <v>DC</v>
      </c>
      <c r="F8177" t="str">
        <f t="shared" si="3044"/>
        <v>203500001</v>
      </c>
      <c r="G8177" t="str">
        <f t="shared" si="3047"/>
        <v>3000 MC PENTAGON</v>
      </c>
      <c r="H8177" t="str">
        <f>T("ROOM 2E204")</f>
        <v>ROOM 2E204</v>
      </c>
      <c r="I8177" t="str">
        <f t="shared" si="3045"/>
        <v>WASHINGTON</v>
      </c>
      <c r="J8177" t="str">
        <f t="shared" si="3046"/>
        <v>DC</v>
      </c>
      <c r="K8177" t="str">
        <f>T("7036957543")</f>
        <v>7036957543</v>
      </c>
      <c r="L8177" t="str">
        <f>T("7036956901")</f>
        <v>7036956901</v>
      </c>
    </row>
    <row r="8178" spans="1:12" x14ac:dyDescent="0.35">
      <c r="A8178" t="str">
        <f t="shared" si="3039"/>
        <v>OPEN</v>
      </c>
      <c r="B8178" t="str">
        <f t="shared" si="3043"/>
        <v>3000 MC PENTAGON</v>
      </c>
      <c r="C8178" t="str">
        <f>T("ROOM 4E512")</f>
        <v>ROOM 4E512</v>
      </c>
      <c r="D8178" t="str">
        <f t="shared" si="3036"/>
        <v>WASHINGTON</v>
      </c>
      <c r="E8178" t="str">
        <f t="shared" si="3037"/>
        <v>DC</v>
      </c>
      <c r="F8178" t="str">
        <f t="shared" si="3044"/>
        <v>203500001</v>
      </c>
      <c r="G8178" t="str">
        <f t="shared" si="3047"/>
        <v>3000 MC PENTAGON</v>
      </c>
      <c r="H8178" t="str">
        <f>T("RM 2D153A")</f>
        <v>RM 2D153A</v>
      </c>
      <c r="I8178" t="str">
        <f t="shared" si="3045"/>
        <v>WASHINGTON</v>
      </c>
      <c r="J8178" t="str">
        <f t="shared" si="3046"/>
        <v>DC</v>
      </c>
      <c r="K8178" t="str">
        <f>T("000000000000000000")</f>
        <v>000000000000000000</v>
      </c>
      <c r="L8178" t="str">
        <f>T("7036958715")</f>
        <v>7036958715</v>
      </c>
    </row>
    <row r="8179" spans="1:12" x14ac:dyDescent="0.35">
      <c r="A8179" t="str">
        <f t="shared" si="3039"/>
        <v>OPEN</v>
      </c>
      <c r="B8179" t="str">
        <f t="shared" si="3043"/>
        <v>3000 MC PENTAGON</v>
      </c>
      <c r="C8179" t="str">
        <f>T("ROOM 4E512")</f>
        <v>ROOM 4E512</v>
      </c>
      <c r="D8179" t="str">
        <f t="shared" si="3036"/>
        <v>WASHINGTON</v>
      </c>
      <c r="E8179" t="str">
        <f t="shared" si="3037"/>
        <v>DC</v>
      </c>
      <c r="F8179" t="str">
        <f t="shared" si="3044"/>
        <v>203500001</v>
      </c>
      <c r="G8179" t="str">
        <f t="shared" si="3047"/>
        <v>3000 MC PENTAGON</v>
      </c>
      <c r="H8179" t="str">
        <f>T("ROOM 4E512")</f>
        <v>ROOM 4E512</v>
      </c>
      <c r="I8179" t="str">
        <f t="shared" si="3045"/>
        <v>WASHINGTON</v>
      </c>
      <c r="J8179" t="str">
        <f t="shared" si="3046"/>
        <v>DC</v>
      </c>
      <c r="K8179" t="str">
        <f>T("7036957543")</f>
        <v>7036957543</v>
      </c>
      <c r="L8179" t="str">
        <f>T("7036958644")</f>
        <v>7036958644</v>
      </c>
    </row>
    <row r="8180" spans="1:12" x14ac:dyDescent="0.35">
      <c r="A8180" t="str">
        <f t="shared" ref="A8180:A8211" si="3048">T("OPEN")</f>
        <v>OPEN</v>
      </c>
      <c r="B8180" t="str">
        <f>T("3000 MC PENTAGON RM 2D152A")</f>
        <v>3000 MC PENTAGON RM 2D152A</v>
      </c>
      <c r="C8180" t="str">
        <f t="shared" ref="C8180:C8188" si="3049">T("")</f>
        <v/>
      </c>
      <c r="D8180" t="str">
        <f t="shared" si="3036"/>
        <v>WASHINGTON</v>
      </c>
      <c r="E8180" t="str">
        <f t="shared" si="3037"/>
        <v>DC</v>
      </c>
      <c r="F8180" t="str">
        <f>T("203503000")</f>
        <v>203503000</v>
      </c>
      <c r="G8180" t="str">
        <f t="shared" si="3047"/>
        <v>3000 MC PENTAGON</v>
      </c>
      <c r="H8180" t="str">
        <f>T("ROOM 2D153A")</f>
        <v>ROOM 2D153A</v>
      </c>
      <c r="I8180" t="str">
        <f t="shared" si="3045"/>
        <v>WASHINGTON</v>
      </c>
      <c r="J8180" t="str">
        <f t="shared" si="3046"/>
        <v>DC</v>
      </c>
      <c r="K8180" t="str">
        <f>T("000000000000000000")</f>
        <v>000000000000000000</v>
      </c>
      <c r="L8180" t="str">
        <f>T("7036958057")</f>
        <v>7036958057</v>
      </c>
    </row>
    <row r="8181" spans="1:12" x14ac:dyDescent="0.35">
      <c r="A8181" t="str">
        <f t="shared" si="3048"/>
        <v>OPEN</v>
      </c>
      <c r="B8181" t="str">
        <f>T("3000 MC PENTAGON RM 2D152A")</f>
        <v>3000 MC PENTAGON RM 2D152A</v>
      </c>
      <c r="C8181" t="str">
        <f t="shared" si="3049"/>
        <v/>
      </c>
      <c r="D8181" t="str">
        <f t="shared" si="3036"/>
        <v>WASHINGTON</v>
      </c>
      <c r="E8181" t="str">
        <f t="shared" si="3037"/>
        <v>DC</v>
      </c>
      <c r="F8181" t="str">
        <f>T("203503000")</f>
        <v>203503000</v>
      </c>
      <c r="G8181" t="str">
        <f>T("3000 MC PENTAGON RM 2D152A")</f>
        <v>3000 MC PENTAGON RM 2D152A</v>
      </c>
      <c r="H8181" t="str">
        <f t="shared" ref="H8181:H8188" si="3050">T("")</f>
        <v/>
      </c>
      <c r="I8181" t="str">
        <f t="shared" si="3045"/>
        <v>WASHINGTON</v>
      </c>
      <c r="J8181" t="str">
        <f t="shared" si="3046"/>
        <v>DC</v>
      </c>
      <c r="K8181" t="str">
        <f>T("000000000000000000")</f>
        <v>000000000000000000</v>
      </c>
      <c r="L8181" t="str">
        <f>T("5712567084")</f>
        <v>5712567084</v>
      </c>
    </row>
    <row r="8182" spans="1:12" x14ac:dyDescent="0.35">
      <c r="A8182" t="str">
        <f t="shared" si="3048"/>
        <v>OPEN</v>
      </c>
      <c r="B8182" t="str">
        <f>T("3025 JOHN QUICK ROAD")</f>
        <v>3025 JOHN QUICK ROAD</v>
      </c>
      <c r="C8182" t="str">
        <f t="shared" si="3049"/>
        <v/>
      </c>
      <c r="D8182" t="str">
        <f t="shared" ref="D8182:D8207" si="3051">T("QUANTICO")</f>
        <v>QUANTICO</v>
      </c>
      <c r="E8182" t="str">
        <f t="shared" ref="E8182:E8207" si="3052">T("VA")</f>
        <v>VA</v>
      </c>
      <c r="F8182" t="str">
        <f>T("221345162")</f>
        <v>221345162</v>
      </c>
      <c r="G8182" t="str">
        <f>T("3025 JOHN QUICK RD")</f>
        <v>3025 JOHN QUICK RD</v>
      </c>
      <c r="H8182" t="str">
        <f t="shared" si="3050"/>
        <v/>
      </c>
      <c r="I8182" t="str">
        <f t="shared" ref="I8182:I8207" si="3053">T("QUANTICO")</f>
        <v>QUANTICO</v>
      </c>
      <c r="J8182" t="str">
        <f t="shared" ref="J8182:J8207" si="3054">T("VA")</f>
        <v>VA</v>
      </c>
      <c r="K8182" t="str">
        <f>T("000000000000000000")</f>
        <v>000000000000000000</v>
      </c>
      <c r="L8182" t="str">
        <f>T("7034321876")</f>
        <v>7034321876</v>
      </c>
    </row>
    <row r="8183" spans="1:12" x14ac:dyDescent="0.35">
      <c r="A8183" t="str">
        <f t="shared" si="3048"/>
        <v>OPEN</v>
      </c>
      <c r="B8183" t="str">
        <f>T("3025 JOHN QUICK ROAD")</f>
        <v>3025 JOHN QUICK ROAD</v>
      </c>
      <c r="C8183" t="str">
        <f t="shared" si="3049"/>
        <v/>
      </c>
      <c r="D8183" t="str">
        <f t="shared" si="3051"/>
        <v>QUANTICO</v>
      </c>
      <c r="E8183" t="str">
        <f t="shared" si="3052"/>
        <v>VA</v>
      </c>
      <c r="F8183" t="str">
        <f>T("221345162")</f>
        <v>221345162</v>
      </c>
      <c r="G8183" t="str">
        <f>T("3025 JOHN QUICK ROAD")</f>
        <v>3025 JOHN QUICK ROAD</v>
      </c>
      <c r="H8183" t="str">
        <f t="shared" si="3050"/>
        <v/>
      </c>
      <c r="I8183" t="str">
        <f t="shared" si="3053"/>
        <v>QUANTICO</v>
      </c>
      <c r="J8183" t="str">
        <f t="shared" si="3054"/>
        <v>VA</v>
      </c>
      <c r="K8183" t="str">
        <f>T("000000000000000000")</f>
        <v>000000000000000000</v>
      </c>
      <c r="L8183" t="str">
        <f>T("7034327865")</f>
        <v>7034327865</v>
      </c>
    </row>
    <row r="8184" spans="1:12" x14ac:dyDescent="0.35">
      <c r="A8184" t="str">
        <f t="shared" si="3048"/>
        <v>OPEN</v>
      </c>
      <c r="B8184" t="str">
        <f>T("3025 JOHN QUICK ROAD")</f>
        <v>3025 JOHN QUICK ROAD</v>
      </c>
      <c r="C8184" t="str">
        <f t="shared" si="3049"/>
        <v/>
      </c>
      <c r="D8184" t="str">
        <f t="shared" si="3051"/>
        <v>QUANTICO</v>
      </c>
      <c r="E8184" t="str">
        <f t="shared" si="3052"/>
        <v>VA</v>
      </c>
      <c r="F8184" t="str">
        <f>T("221345162")</f>
        <v>221345162</v>
      </c>
      <c r="G8184" t="str">
        <f>T("3025 JOHN QUICK ROAD")</f>
        <v>3025 JOHN QUICK ROAD</v>
      </c>
      <c r="H8184" t="str">
        <f t="shared" si="3050"/>
        <v/>
      </c>
      <c r="I8184" t="str">
        <f t="shared" si="3053"/>
        <v>QUANTICO</v>
      </c>
      <c r="J8184" t="str">
        <f t="shared" si="3054"/>
        <v>VA</v>
      </c>
      <c r="K8184" t="str">
        <f>T("7034321869")</f>
        <v>7034321869</v>
      </c>
      <c r="L8184" t="str">
        <f>T("7034321862")</f>
        <v>7034321862</v>
      </c>
    </row>
    <row r="8185" spans="1:12" x14ac:dyDescent="0.35">
      <c r="A8185" t="str">
        <f t="shared" si="3048"/>
        <v>OPEN</v>
      </c>
      <c r="B8185" t="str">
        <f>T("3028A ZEILIN RD")</f>
        <v>3028A ZEILIN RD</v>
      </c>
      <c r="C8185" t="str">
        <f t="shared" si="3049"/>
        <v/>
      </c>
      <c r="D8185" t="str">
        <f t="shared" si="3051"/>
        <v>QUANTICO</v>
      </c>
      <c r="E8185" t="str">
        <f t="shared" si="3052"/>
        <v>VA</v>
      </c>
      <c r="F8185" t="str">
        <f>T("221345192")</f>
        <v>221345192</v>
      </c>
      <c r="G8185" t="str">
        <f>T("3028A ZEILIN RD")</f>
        <v>3028A ZEILIN RD</v>
      </c>
      <c r="H8185" t="str">
        <f t="shared" si="3050"/>
        <v/>
      </c>
      <c r="I8185" t="str">
        <f t="shared" si="3053"/>
        <v>QUANTICO</v>
      </c>
      <c r="J8185" t="str">
        <f t="shared" si="3054"/>
        <v>VA</v>
      </c>
      <c r="K8185" t="str">
        <f>T("7034322819")</f>
        <v>7034322819</v>
      </c>
      <c r="L8185" t="str">
        <f>T("7034322724")</f>
        <v>7034322724</v>
      </c>
    </row>
    <row r="8186" spans="1:12" x14ac:dyDescent="0.35">
      <c r="A8186" t="str">
        <f t="shared" si="3048"/>
        <v>OPEN</v>
      </c>
      <c r="B8186" t="str">
        <f>T("3028A ZEILIN RD")</f>
        <v>3028A ZEILIN RD</v>
      </c>
      <c r="C8186" t="str">
        <f t="shared" si="3049"/>
        <v/>
      </c>
      <c r="D8186" t="str">
        <f t="shared" si="3051"/>
        <v>QUANTICO</v>
      </c>
      <c r="E8186" t="str">
        <f t="shared" si="3052"/>
        <v>VA</v>
      </c>
      <c r="F8186" t="str">
        <f>T("221345192")</f>
        <v>221345192</v>
      </c>
      <c r="G8186" t="str">
        <f>T("3028A ZEILIN ROAD")</f>
        <v>3028A ZEILIN ROAD</v>
      </c>
      <c r="H8186" t="str">
        <f t="shared" si="3050"/>
        <v/>
      </c>
      <c r="I8186" t="str">
        <f t="shared" si="3053"/>
        <v>QUANTICO</v>
      </c>
      <c r="J8186" t="str">
        <f t="shared" si="3054"/>
        <v>VA</v>
      </c>
      <c r="K8186" t="str">
        <f>T("7034322819")</f>
        <v>7034322819</v>
      </c>
      <c r="L8186" t="str">
        <f>T("7034322725")</f>
        <v>7034322725</v>
      </c>
    </row>
    <row r="8187" spans="1:12" x14ac:dyDescent="0.35">
      <c r="A8187" t="str">
        <f t="shared" si="3048"/>
        <v>OPEN</v>
      </c>
      <c r="B8187" t="str">
        <f t="shared" ref="B8187:B8196" si="3055">T("3280 RUSSELL RD")</f>
        <v>3280 RUSSELL RD</v>
      </c>
      <c r="C8187" t="str">
        <f t="shared" si="3049"/>
        <v/>
      </c>
      <c r="D8187" t="str">
        <f t="shared" si="3051"/>
        <v>QUANTICO</v>
      </c>
      <c r="E8187" t="str">
        <f t="shared" si="3052"/>
        <v>VA</v>
      </c>
      <c r="F8187" t="str">
        <f t="shared" ref="F8187:F8207" si="3056">T("221345143")</f>
        <v>221345143</v>
      </c>
      <c r="G8187" t="str">
        <f>T("3280 RUSSELL RD")</f>
        <v>3280 RUSSELL RD</v>
      </c>
      <c r="H8187" t="str">
        <f t="shared" si="3050"/>
        <v/>
      </c>
      <c r="I8187" t="str">
        <f t="shared" si="3053"/>
        <v>QUANTICO</v>
      </c>
      <c r="J8187" t="str">
        <f t="shared" si="3054"/>
        <v>VA</v>
      </c>
      <c r="K8187" t="str">
        <f>T("703-784-9312")</f>
        <v>703-784-9312</v>
      </c>
      <c r="L8187" t="str">
        <f>T("7037849600")</f>
        <v>7037849600</v>
      </c>
    </row>
    <row r="8188" spans="1:12" x14ac:dyDescent="0.35">
      <c r="A8188" t="str">
        <f t="shared" si="3048"/>
        <v>OPEN</v>
      </c>
      <c r="B8188" t="str">
        <f t="shared" si="3055"/>
        <v>3280 RUSSELL RD</v>
      </c>
      <c r="C8188" t="str">
        <f t="shared" si="3049"/>
        <v/>
      </c>
      <c r="D8188" t="str">
        <f t="shared" si="3051"/>
        <v>QUANTICO</v>
      </c>
      <c r="E8188" t="str">
        <f t="shared" si="3052"/>
        <v>VA</v>
      </c>
      <c r="F8188" t="str">
        <f t="shared" si="3056"/>
        <v>221345143</v>
      </c>
      <c r="G8188" t="str">
        <f>T("3280 RUSSELL ROAD")</f>
        <v>3280 RUSSELL ROAD</v>
      </c>
      <c r="H8188" t="str">
        <f t="shared" si="3050"/>
        <v/>
      </c>
      <c r="I8188" t="str">
        <f t="shared" si="3053"/>
        <v>QUANTICO</v>
      </c>
      <c r="J8188" t="str">
        <f t="shared" si="3054"/>
        <v>VA</v>
      </c>
      <c r="K8188" t="str">
        <f>T("000000000000000000")</f>
        <v>000000000000000000</v>
      </c>
      <c r="L8188" t="str">
        <f>T("7037849600")</f>
        <v>7037849600</v>
      </c>
    </row>
    <row r="8189" spans="1:12" x14ac:dyDescent="0.35">
      <c r="A8189" t="str">
        <f t="shared" si="3048"/>
        <v>OPEN</v>
      </c>
      <c r="B8189" t="str">
        <f t="shared" si="3055"/>
        <v>3280 RUSSELL RD</v>
      </c>
      <c r="C8189" t="str">
        <f>T("M &amp;RA MP-DB")</f>
        <v>M &amp;RA MP-DB</v>
      </c>
      <c r="D8189" t="str">
        <f t="shared" si="3051"/>
        <v>QUANTICO</v>
      </c>
      <c r="E8189" t="str">
        <f t="shared" si="3052"/>
        <v>VA</v>
      </c>
      <c r="F8189" t="str">
        <f t="shared" si="3056"/>
        <v>221345143</v>
      </c>
      <c r="G8189" t="str">
        <f>T("3280 RUSSELL RD")</f>
        <v>3280 RUSSELL RD</v>
      </c>
      <c r="H8189" t="str">
        <f>T("M &amp;RA MP-DB")</f>
        <v>M &amp;RA MP-DB</v>
      </c>
      <c r="I8189" t="str">
        <f t="shared" si="3053"/>
        <v>QUANTICO</v>
      </c>
      <c r="J8189" t="str">
        <f t="shared" si="3054"/>
        <v>VA</v>
      </c>
      <c r="K8189" t="str">
        <f>T("7037849812")</f>
        <v>7037849812</v>
      </c>
      <c r="L8189" t="str">
        <f>T("7037849350")</f>
        <v>7037849350</v>
      </c>
    </row>
    <row r="8190" spans="1:12" x14ac:dyDescent="0.35">
      <c r="A8190" t="str">
        <f t="shared" si="3048"/>
        <v>OPEN</v>
      </c>
      <c r="B8190" t="str">
        <f t="shared" si="3055"/>
        <v>3280 RUSSELL RD</v>
      </c>
      <c r="C8190" t="str">
        <f>T("M &amp;RA MP-DB")</f>
        <v>M &amp;RA MP-DB</v>
      </c>
      <c r="D8190" t="str">
        <f t="shared" si="3051"/>
        <v>QUANTICO</v>
      </c>
      <c r="E8190" t="str">
        <f t="shared" si="3052"/>
        <v>VA</v>
      </c>
      <c r="F8190" t="str">
        <f t="shared" si="3056"/>
        <v>221345143</v>
      </c>
      <c r="G8190" t="str">
        <f>T("3280 RUSSELL ROAD")</f>
        <v>3280 RUSSELL ROAD</v>
      </c>
      <c r="H8190" t="str">
        <f>T("")</f>
        <v/>
      </c>
      <c r="I8190" t="str">
        <f t="shared" si="3053"/>
        <v>QUANTICO</v>
      </c>
      <c r="J8190" t="str">
        <f t="shared" si="3054"/>
        <v>VA</v>
      </c>
      <c r="K8190" t="str">
        <f>T("7037849812")</f>
        <v>7037849812</v>
      </c>
      <c r="L8190" t="str">
        <f>T("7034329317")</f>
        <v>7034329317</v>
      </c>
    </row>
    <row r="8191" spans="1:12" x14ac:dyDescent="0.35">
      <c r="A8191" t="str">
        <f t="shared" si="3048"/>
        <v>OPEN</v>
      </c>
      <c r="B8191" t="str">
        <f t="shared" si="3055"/>
        <v>3280 RUSSELL RD</v>
      </c>
      <c r="C8191" t="str">
        <f>T("M&amp;RA MA-CG-AO M00084")</f>
        <v>M&amp;RA MA-CG-AO M00084</v>
      </c>
      <c r="D8191" t="str">
        <f t="shared" si="3051"/>
        <v>QUANTICO</v>
      </c>
      <c r="E8191" t="str">
        <f t="shared" si="3052"/>
        <v>VA</v>
      </c>
      <c r="F8191" t="str">
        <f t="shared" si="3056"/>
        <v>221345143</v>
      </c>
      <c r="G8191" t="str">
        <f>T("3280 RUSSELL RD")</f>
        <v>3280 RUSSELL RD</v>
      </c>
      <c r="H8191" t="str">
        <f>T("M&amp;RA MA-CG-AO M00084")</f>
        <v>M&amp;RA MA-CG-AO M00084</v>
      </c>
      <c r="I8191" t="str">
        <f t="shared" si="3053"/>
        <v>QUANTICO</v>
      </c>
      <c r="J8191" t="str">
        <f t="shared" si="3054"/>
        <v>VA</v>
      </c>
      <c r="K8191" t="str">
        <f>T("7037849813")</f>
        <v>7037849813</v>
      </c>
      <c r="L8191" t="str">
        <f>T("7037849600")</f>
        <v>7037849600</v>
      </c>
    </row>
    <row r="8192" spans="1:12" x14ac:dyDescent="0.35">
      <c r="A8192" t="str">
        <f t="shared" si="3048"/>
        <v>OPEN</v>
      </c>
      <c r="B8192" t="str">
        <f t="shared" si="3055"/>
        <v>3280 RUSSELL RD</v>
      </c>
      <c r="C8192" t="str">
        <f>T("M&amp;RA MA-CG-AO M00084")</f>
        <v>M&amp;RA MA-CG-AO M00084</v>
      </c>
      <c r="D8192" t="str">
        <f t="shared" si="3051"/>
        <v>QUANTICO</v>
      </c>
      <c r="E8192" t="str">
        <f t="shared" si="3052"/>
        <v>VA</v>
      </c>
      <c r="F8192" t="str">
        <f t="shared" si="3056"/>
        <v>221345143</v>
      </c>
      <c r="G8192" t="str">
        <f>T("3280 RUSSELL ROAD")</f>
        <v>3280 RUSSELL ROAD</v>
      </c>
      <c r="H8192" t="str">
        <f>T("")</f>
        <v/>
      </c>
      <c r="I8192" t="str">
        <f t="shared" si="3053"/>
        <v>QUANTICO</v>
      </c>
      <c r="J8192" t="str">
        <f t="shared" si="3054"/>
        <v>VA</v>
      </c>
      <c r="K8192" t="str">
        <f>T("7037849813")</f>
        <v>7037849813</v>
      </c>
      <c r="L8192" t="str">
        <f>T("7037849600")</f>
        <v>7037849600</v>
      </c>
    </row>
    <row r="8193" spans="1:12" x14ac:dyDescent="0.35">
      <c r="A8193" t="str">
        <f t="shared" si="3048"/>
        <v>OPEN</v>
      </c>
      <c r="B8193" t="str">
        <f t="shared" si="3055"/>
        <v>3280 RUSSELL RD</v>
      </c>
      <c r="C8193" t="str">
        <f>T("M&amp;RA MMIB")</f>
        <v>M&amp;RA MMIB</v>
      </c>
      <c r="D8193" t="str">
        <f t="shared" si="3051"/>
        <v>QUANTICO</v>
      </c>
      <c r="E8193" t="str">
        <f t="shared" si="3052"/>
        <v>VA</v>
      </c>
      <c r="F8193" t="str">
        <f t="shared" si="3056"/>
        <v>221345143</v>
      </c>
      <c r="G8193" t="str">
        <f>T("3280 RUSSELL RD")</f>
        <v>3280 RUSSELL RD</v>
      </c>
      <c r="H8193" t="str">
        <f>T("M&amp;RA MMIB")</f>
        <v>M&amp;RA MMIB</v>
      </c>
      <c r="I8193" t="str">
        <f t="shared" si="3053"/>
        <v>QUANTICO</v>
      </c>
      <c r="J8193" t="str">
        <f t="shared" si="3054"/>
        <v>VA</v>
      </c>
      <c r="K8193" t="str">
        <f>T("7037849838")</f>
        <v>7037849838</v>
      </c>
      <c r="L8193" t="str">
        <f>T("7037849236")</f>
        <v>7037849236</v>
      </c>
    </row>
    <row r="8194" spans="1:12" x14ac:dyDescent="0.35">
      <c r="A8194" t="str">
        <f t="shared" si="3048"/>
        <v>OPEN</v>
      </c>
      <c r="B8194" t="str">
        <f t="shared" si="3055"/>
        <v>3280 RUSSELL RD</v>
      </c>
      <c r="C8194" t="str">
        <f>T("M&amp;RA MMIB")</f>
        <v>M&amp;RA MMIB</v>
      </c>
      <c r="D8194" t="str">
        <f t="shared" si="3051"/>
        <v>QUANTICO</v>
      </c>
      <c r="E8194" t="str">
        <f t="shared" si="3052"/>
        <v>VA</v>
      </c>
      <c r="F8194" t="str">
        <f t="shared" si="3056"/>
        <v>221345143</v>
      </c>
      <c r="G8194" t="str">
        <f>T("3280 RUSSELL ROAD")</f>
        <v>3280 RUSSELL ROAD</v>
      </c>
      <c r="H8194" t="str">
        <f>T("")</f>
        <v/>
      </c>
      <c r="I8194" t="str">
        <f t="shared" si="3053"/>
        <v>QUANTICO</v>
      </c>
      <c r="J8194" t="str">
        <f t="shared" si="3054"/>
        <v>VA</v>
      </c>
      <c r="K8194" t="str">
        <f>T("000000000000000000")</f>
        <v>000000000000000000</v>
      </c>
      <c r="L8194" t="str">
        <f>T("7037849236")</f>
        <v>7037849236</v>
      </c>
    </row>
    <row r="8195" spans="1:12" x14ac:dyDescent="0.35">
      <c r="A8195" t="str">
        <f t="shared" si="3048"/>
        <v>OPEN</v>
      </c>
      <c r="B8195" t="str">
        <f t="shared" si="3055"/>
        <v>3280 RUSSELL RD</v>
      </c>
      <c r="C8195" t="str">
        <f>T("M&amp;RA MP")</f>
        <v>M&amp;RA MP</v>
      </c>
      <c r="D8195" t="str">
        <f t="shared" si="3051"/>
        <v>QUANTICO</v>
      </c>
      <c r="E8195" t="str">
        <f t="shared" si="3052"/>
        <v>VA</v>
      </c>
      <c r="F8195" t="str">
        <f t="shared" si="3056"/>
        <v>221345143</v>
      </c>
      <c r="G8195" t="str">
        <f>T("3280 RUSSELL RD")</f>
        <v>3280 RUSSELL RD</v>
      </c>
      <c r="H8195" t="str">
        <f>T("M&amp;RA MP")</f>
        <v>M&amp;RA MP</v>
      </c>
      <c r="I8195" t="str">
        <f t="shared" si="3053"/>
        <v>QUANTICO</v>
      </c>
      <c r="J8195" t="str">
        <f t="shared" si="3054"/>
        <v>VA</v>
      </c>
      <c r="K8195" t="str">
        <f>T("7037849812")</f>
        <v>7037849812</v>
      </c>
      <c r="L8195" t="str">
        <f>T("7037849350")</f>
        <v>7037849350</v>
      </c>
    </row>
    <row r="8196" spans="1:12" x14ac:dyDescent="0.35">
      <c r="A8196" t="str">
        <f t="shared" si="3048"/>
        <v>OPEN</v>
      </c>
      <c r="B8196" t="str">
        <f t="shared" si="3055"/>
        <v>3280 RUSSELL RD</v>
      </c>
      <c r="C8196" t="str">
        <f>T("M&amp;RA MP")</f>
        <v>M&amp;RA MP</v>
      </c>
      <c r="D8196" t="str">
        <f t="shared" si="3051"/>
        <v>QUANTICO</v>
      </c>
      <c r="E8196" t="str">
        <f t="shared" si="3052"/>
        <v>VA</v>
      </c>
      <c r="F8196" t="str">
        <f t="shared" si="3056"/>
        <v>221345143</v>
      </c>
      <c r="G8196" t="str">
        <f>T("M&amp;RA MP DIVISION")</f>
        <v>M&amp;RA MP DIVISION</v>
      </c>
      <c r="H8196" t="str">
        <f>T("3280 RUSSELL ROAD")</f>
        <v>3280 RUSSELL ROAD</v>
      </c>
      <c r="I8196" t="str">
        <f t="shared" si="3053"/>
        <v>QUANTICO</v>
      </c>
      <c r="J8196" t="str">
        <f t="shared" si="3054"/>
        <v>VA</v>
      </c>
      <c r="K8196" t="str">
        <f>T("7037849812")</f>
        <v>7037849812</v>
      </c>
      <c r="L8196" t="str">
        <f>T("7037849351")</f>
        <v>7037849351</v>
      </c>
    </row>
    <row r="8197" spans="1:12" x14ac:dyDescent="0.35">
      <c r="A8197" t="str">
        <f t="shared" si="3048"/>
        <v>OPEN</v>
      </c>
      <c r="B8197" t="str">
        <f t="shared" ref="B8197:B8207" si="3057">T("3280 RUSSELL ROAD")</f>
        <v>3280 RUSSELL ROAD</v>
      </c>
      <c r="C8197" t="str">
        <f t="shared" ref="C8197:C8204" si="3058">T("")</f>
        <v/>
      </c>
      <c r="D8197" t="str">
        <f t="shared" si="3051"/>
        <v>QUANTICO</v>
      </c>
      <c r="E8197" t="str">
        <f t="shared" si="3052"/>
        <v>VA</v>
      </c>
      <c r="F8197" t="str">
        <f t="shared" si="3056"/>
        <v>221345143</v>
      </c>
      <c r="G8197" t="str">
        <f>T("3280 RUSSELL RD")</f>
        <v>3280 RUSSELL RD</v>
      </c>
      <c r="H8197" t="str">
        <f t="shared" ref="H8197:H8206" si="3059">T("")</f>
        <v/>
      </c>
      <c r="I8197" t="str">
        <f t="shared" si="3053"/>
        <v>QUANTICO</v>
      </c>
      <c r="J8197" t="str">
        <f t="shared" si="3054"/>
        <v>VA</v>
      </c>
      <c r="K8197" t="str">
        <f>T("000000000000000000")</f>
        <v>000000000000000000</v>
      </c>
      <c r="L8197" t="str">
        <f>T("7037846688")</f>
        <v>7037846688</v>
      </c>
    </row>
    <row r="8198" spans="1:12" x14ac:dyDescent="0.35">
      <c r="A8198" t="str">
        <f t="shared" si="3048"/>
        <v>OPEN</v>
      </c>
      <c r="B8198" t="str">
        <f t="shared" si="3057"/>
        <v>3280 RUSSELL ROAD</v>
      </c>
      <c r="C8198" t="str">
        <f t="shared" si="3058"/>
        <v/>
      </c>
      <c r="D8198" t="str">
        <f t="shared" si="3051"/>
        <v>QUANTICO</v>
      </c>
      <c r="E8198" t="str">
        <f t="shared" si="3052"/>
        <v>VA</v>
      </c>
      <c r="F8198" t="str">
        <f t="shared" si="3056"/>
        <v>221345143</v>
      </c>
      <c r="G8198" t="str">
        <f t="shared" ref="G8198:G8207" si="3060">T("3280 RUSSELL ROAD")</f>
        <v>3280 RUSSELL ROAD</v>
      </c>
      <c r="H8198" t="str">
        <f t="shared" si="3059"/>
        <v/>
      </c>
      <c r="I8198" t="str">
        <f t="shared" si="3053"/>
        <v>QUANTICO</v>
      </c>
      <c r="J8198" t="str">
        <f t="shared" si="3054"/>
        <v>VA</v>
      </c>
      <c r="K8198" t="str">
        <f>T("000000000000000000")</f>
        <v>000000000000000000</v>
      </c>
      <c r="L8198" t="str">
        <f>T("7037842013")</f>
        <v>7037842013</v>
      </c>
    </row>
    <row r="8199" spans="1:12" x14ac:dyDescent="0.35">
      <c r="A8199" t="str">
        <f t="shared" si="3048"/>
        <v>OPEN</v>
      </c>
      <c r="B8199" t="str">
        <f t="shared" si="3057"/>
        <v>3280 RUSSELL ROAD</v>
      </c>
      <c r="C8199" t="str">
        <f t="shared" si="3058"/>
        <v/>
      </c>
      <c r="D8199" t="str">
        <f t="shared" si="3051"/>
        <v>QUANTICO</v>
      </c>
      <c r="E8199" t="str">
        <f t="shared" si="3052"/>
        <v>VA</v>
      </c>
      <c r="F8199" t="str">
        <f t="shared" si="3056"/>
        <v>221345143</v>
      </c>
      <c r="G8199" t="str">
        <f t="shared" si="3060"/>
        <v>3280 RUSSELL ROAD</v>
      </c>
      <c r="H8199" t="str">
        <f t="shared" si="3059"/>
        <v/>
      </c>
      <c r="I8199" t="str">
        <f t="shared" si="3053"/>
        <v>QUANTICO</v>
      </c>
      <c r="J8199" t="str">
        <f t="shared" si="3054"/>
        <v>VA</v>
      </c>
      <c r="K8199" t="str">
        <f>T("000000000000000000")</f>
        <v>000000000000000000</v>
      </c>
      <c r="L8199" t="str">
        <f>T("7037842031")</f>
        <v>7037842031</v>
      </c>
    </row>
    <row r="8200" spans="1:12" x14ac:dyDescent="0.35">
      <c r="A8200" t="str">
        <f t="shared" si="3048"/>
        <v>OPEN</v>
      </c>
      <c r="B8200" t="str">
        <f t="shared" si="3057"/>
        <v>3280 RUSSELL ROAD</v>
      </c>
      <c r="C8200" t="str">
        <f t="shared" si="3058"/>
        <v/>
      </c>
      <c r="D8200" t="str">
        <f t="shared" si="3051"/>
        <v>QUANTICO</v>
      </c>
      <c r="E8200" t="str">
        <f t="shared" si="3052"/>
        <v>VA</v>
      </c>
      <c r="F8200" t="str">
        <f t="shared" si="3056"/>
        <v>221345143</v>
      </c>
      <c r="G8200" t="str">
        <f t="shared" si="3060"/>
        <v>3280 RUSSELL ROAD</v>
      </c>
      <c r="H8200" t="str">
        <f t="shared" si="3059"/>
        <v/>
      </c>
      <c r="I8200" t="str">
        <f t="shared" si="3053"/>
        <v>QUANTICO</v>
      </c>
      <c r="J8200" t="str">
        <f t="shared" si="3054"/>
        <v>VA</v>
      </c>
      <c r="K8200" t="str">
        <f>T("7037849575")</f>
        <v>7037849575</v>
      </c>
      <c r="L8200" t="str">
        <f>T("7034329817")</f>
        <v>7034329817</v>
      </c>
    </row>
    <row r="8201" spans="1:12" x14ac:dyDescent="0.35">
      <c r="A8201" t="str">
        <f t="shared" si="3048"/>
        <v>OPEN</v>
      </c>
      <c r="B8201" t="str">
        <f t="shared" si="3057"/>
        <v>3280 RUSSELL ROAD</v>
      </c>
      <c r="C8201" t="str">
        <f t="shared" si="3058"/>
        <v/>
      </c>
      <c r="D8201" t="str">
        <f t="shared" si="3051"/>
        <v>QUANTICO</v>
      </c>
      <c r="E8201" t="str">
        <f t="shared" si="3052"/>
        <v>VA</v>
      </c>
      <c r="F8201" t="str">
        <f t="shared" si="3056"/>
        <v>221345143</v>
      </c>
      <c r="G8201" t="str">
        <f t="shared" si="3060"/>
        <v>3280 RUSSELL ROAD</v>
      </c>
      <c r="H8201" t="str">
        <f t="shared" si="3059"/>
        <v/>
      </c>
      <c r="I8201" t="str">
        <f t="shared" si="3053"/>
        <v>QUANTICO</v>
      </c>
      <c r="J8201" t="str">
        <f t="shared" si="3054"/>
        <v>VA</v>
      </c>
      <c r="K8201" t="str">
        <f>T("7037849575")</f>
        <v>7037849575</v>
      </c>
      <c r="L8201" t="str">
        <f>T("7037849020")</f>
        <v>7037849020</v>
      </c>
    </row>
    <row r="8202" spans="1:12" x14ac:dyDescent="0.35">
      <c r="A8202" t="str">
        <f t="shared" si="3048"/>
        <v>OPEN</v>
      </c>
      <c r="B8202" t="str">
        <f t="shared" si="3057"/>
        <v>3280 RUSSELL ROAD</v>
      </c>
      <c r="C8202" t="str">
        <f t="shared" si="3058"/>
        <v/>
      </c>
      <c r="D8202" t="str">
        <f t="shared" si="3051"/>
        <v>QUANTICO</v>
      </c>
      <c r="E8202" t="str">
        <f t="shared" si="3052"/>
        <v>VA</v>
      </c>
      <c r="F8202" t="str">
        <f t="shared" si="3056"/>
        <v>221345143</v>
      </c>
      <c r="G8202" t="str">
        <f t="shared" si="3060"/>
        <v>3280 RUSSELL ROAD</v>
      </c>
      <c r="H8202" t="str">
        <f t="shared" si="3059"/>
        <v/>
      </c>
      <c r="I8202" t="str">
        <f t="shared" si="3053"/>
        <v>QUANTICO</v>
      </c>
      <c r="J8202" t="str">
        <f t="shared" si="3054"/>
        <v>VA</v>
      </c>
      <c r="K8202" t="str">
        <f>T("7037849575")</f>
        <v>7037849575</v>
      </c>
      <c r="L8202" t="str">
        <f>T("7037849652")</f>
        <v>7037849652</v>
      </c>
    </row>
    <row r="8203" spans="1:12" x14ac:dyDescent="0.35">
      <c r="A8203" t="str">
        <f t="shared" si="3048"/>
        <v>OPEN</v>
      </c>
      <c r="B8203" t="str">
        <f t="shared" si="3057"/>
        <v>3280 RUSSELL ROAD</v>
      </c>
      <c r="C8203" t="str">
        <f t="shared" si="3058"/>
        <v/>
      </c>
      <c r="D8203" t="str">
        <f t="shared" si="3051"/>
        <v>QUANTICO</v>
      </c>
      <c r="E8203" t="str">
        <f t="shared" si="3052"/>
        <v>VA</v>
      </c>
      <c r="F8203" t="str">
        <f t="shared" si="3056"/>
        <v>221345143</v>
      </c>
      <c r="G8203" t="str">
        <f t="shared" si="3060"/>
        <v>3280 RUSSELL ROAD</v>
      </c>
      <c r="H8203" t="str">
        <f t="shared" si="3059"/>
        <v/>
      </c>
      <c r="I8203" t="str">
        <f t="shared" si="3053"/>
        <v>QUANTICO</v>
      </c>
      <c r="J8203" t="str">
        <f t="shared" si="3054"/>
        <v>VA</v>
      </c>
      <c r="K8203" t="str">
        <f>T("7037849812")</f>
        <v>7037849812</v>
      </c>
      <c r="L8203" t="str">
        <f>T("7037849350")</f>
        <v>7037849350</v>
      </c>
    </row>
    <row r="8204" spans="1:12" x14ac:dyDescent="0.35">
      <c r="A8204" t="str">
        <f t="shared" si="3048"/>
        <v>OPEN</v>
      </c>
      <c r="B8204" t="str">
        <f t="shared" si="3057"/>
        <v>3280 RUSSELL ROAD</v>
      </c>
      <c r="C8204" t="str">
        <f t="shared" si="3058"/>
        <v/>
      </c>
      <c r="D8204" t="str">
        <f t="shared" si="3051"/>
        <v>QUANTICO</v>
      </c>
      <c r="E8204" t="str">
        <f t="shared" si="3052"/>
        <v>VA</v>
      </c>
      <c r="F8204" t="str">
        <f t="shared" si="3056"/>
        <v>221345143</v>
      </c>
      <c r="G8204" t="str">
        <f t="shared" si="3060"/>
        <v>3280 RUSSELL ROAD</v>
      </c>
      <c r="H8204" t="str">
        <f t="shared" si="3059"/>
        <v/>
      </c>
      <c r="I8204" t="str">
        <f t="shared" si="3053"/>
        <v>QUANTICO</v>
      </c>
      <c r="J8204" t="str">
        <f t="shared" si="3054"/>
        <v>VA</v>
      </c>
      <c r="K8204" t="str">
        <f>T("7037849812")</f>
        <v>7037849812</v>
      </c>
      <c r="L8204" t="str">
        <f>T("7037849371")</f>
        <v>7037849371</v>
      </c>
    </row>
    <row r="8205" spans="1:12" x14ac:dyDescent="0.35">
      <c r="A8205" t="str">
        <f t="shared" si="3048"/>
        <v>OPEN</v>
      </c>
      <c r="B8205" t="str">
        <f t="shared" si="3057"/>
        <v>3280 RUSSELL ROAD</v>
      </c>
      <c r="C8205" t="str">
        <f>T("M&amp;RA MI-CI")</f>
        <v>M&amp;RA MI-CI</v>
      </c>
      <c r="D8205" t="str">
        <f t="shared" si="3051"/>
        <v>QUANTICO</v>
      </c>
      <c r="E8205" t="str">
        <f t="shared" si="3052"/>
        <v>VA</v>
      </c>
      <c r="F8205" t="str">
        <f t="shared" si="3056"/>
        <v>221345143</v>
      </c>
      <c r="G8205" t="str">
        <f t="shared" si="3060"/>
        <v>3280 RUSSELL ROAD</v>
      </c>
      <c r="H8205" t="str">
        <f t="shared" si="3059"/>
        <v/>
      </c>
      <c r="I8205" t="str">
        <f t="shared" si="3053"/>
        <v>QUANTICO</v>
      </c>
      <c r="J8205" t="str">
        <f t="shared" si="3054"/>
        <v>VA</v>
      </c>
      <c r="K8205" t="str">
        <f>T("7037849575")</f>
        <v>7037849575</v>
      </c>
      <c r="L8205" t="str">
        <f>T("7034329817")</f>
        <v>7034329817</v>
      </c>
    </row>
    <row r="8206" spans="1:12" x14ac:dyDescent="0.35">
      <c r="A8206" t="str">
        <f t="shared" si="3048"/>
        <v>OPEN</v>
      </c>
      <c r="B8206" t="str">
        <f t="shared" si="3057"/>
        <v>3280 RUSSELL ROAD</v>
      </c>
      <c r="C8206" t="str">
        <f>T("M&amp;RA MI-CI")</f>
        <v>M&amp;RA MI-CI</v>
      </c>
      <c r="D8206" t="str">
        <f t="shared" si="3051"/>
        <v>QUANTICO</v>
      </c>
      <c r="E8206" t="str">
        <f t="shared" si="3052"/>
        <v>VA</v>
      </c>
      <c r="F8206" t="str">
        <f t="shared" si="3056"/>
        <v>221345143</v>
      </c>
      <c r="G8206" t="str">
        <f t="shared" si="3060"/>
        <v>3280 RUSSELL ROAD</v>
      </c>
      <c r="H8206" t="str">
        <f t="shared" si="3059"/>
        <v/>
      </c>
      <c r="I8206" t="str">
        <f t="shared" si="3053"/>
        <v>QUANTICO</v>
      </c>
      <c r="J8206" t="str">
        <f t="shared" si="3054"/>
        <v>VA</v>
      </c>
      <c r="K8206" t="str">
        <f>T("7037849575")</f>
        <v>7037849575</v>
      </c>
      <c r="L8206" t="str">
        <f>T("7037849552")</f>
        <v>7037849552</v>
      </c>
    </row>
    <row r="8207" spans="1:12" x14ac:dyDescent="0.35">
      <c r="A8207" t="str">
        <f t="shared" si="3048"/>
        <v>OPEN</v>
      </c>
      <c r="B8207" t="str">
        <f t="shared" si="3057"/>
        <v>3280 RUSSELL ROAD</v>
      </c>
      <c r="C8207" t="str">
        <f>T("M&amp;RA MI-CI")</f>
        <v>M&amp;RA MI-CI</v>
      </c>
      <c r="D8207" t="str">
        <f t="shared" si="3051"/>
        <v>QUANTICO</v>
      </c>
      <c r="E8207" t="str">
        <f t="shared" si="3052"/>
        <v>VA</v>
      </c>
      <c r="F8207" t="str">
        <f t="shared" si="3056"/>
        <v>221345143</v>
      </c>
      <c r="G8207" t="str">
        <f t="shared" si="3060"/>
        <v>3280 RUSSELL ROAD</v>
      </c>
      <c r="H8207" t="str">
        <f>T("M&amp;RA MI-CI")</f>
        <v>M&amp;RA MI-CI</v>
      </c>
      <c r="I8207" t="str">
        <f t="shared" si="3053"/>
        <v>QUANTICO</v>
      </c>
      <c r="J8207" t="str">
        <f t="shared" si="3054"/>
        <v>VA</v>
      </c>
      <c r="K8207" t="str">
        <f>T("7037849575")</f>
        <v>7037849575</v>
      </c>
      <c r="L8207" t="str">
        <f>T("7037849020")</f>
        <v>7037849020</v>
      </c>
    </row>
    <row r="8208" spans="1:12" x14ac:dyDescent="0.35">
      <c r="A8208" t="str">
        <f t="shared" si="3048"/>
        <v>OPEN</v>
      </c>
      <c r="B8208" t="str">
        <f>T("521 PATTERSON RD")</f>
        <v>521 PATTERSON RD</v>
      </c>
      <c r="C8208" t="str">
        <f>T("")</f>
        <v/>
      </c>
      <c r="D8208" t="str">
        <f>T("INDIAN HEAD")</f>
        <v>INDIAN HEAD</v>
      </c>
      <c r="E8208" t="str">
        <f>T("MD")</f>
        <v>MD</v>
      </c>
      <c r="F8208" t="str">
        <f>T("206405164")</f>
        <v>206405164</v>
      </c>
      <c r="G8208" t="str">
        <f>T("521 PATTERSON RD")</f>
        <v>521 PATTERSON RD</v>
      </c>
      <c r="H8208" t="str">
        <f>T("")</f>
        <v/>
      </c>
      <c r="I8208" t="str">
        <f>T("INDIAN HEAD")</f>
        <v>INDIAN HEAD</v>
      </c>
      <c r="J8208" t="str">
        <f>T("MD")</f>
        <v>MD</v>
      </c>
      <c r="K8208" t="str">
        <f>T("3017441063")</f>
        <v>3017441063</v>
      </c>
      <c r="L8208" t="str">
        <f>T("3017442007")</f>
        <v>3017442007</v>
      </c>
    </row>
    <row r="8209" spans="1:12" x14ac:dyDescent="0.35">
      <c r="A8209" t="str">
        <f t="shared" si="3048"/>
        <v>OPEN</v>
      </c>
      <c r="B8209" t="str">
        <f>T("521 PATTERSON RD")</f>
        <v>521 PATTERSON RD</v>
      </c>
      <c r="C8209" t="str">
        <f>T("")</f>
        <v/>
      </c>
      <c r="D8209" t="str">
        <f>T("INDIAN HEAD")</f>
        <v>INDIAN HEAD</v>
      </c>
      <c r="E8209" t="str">
        <f>T("MD")</f>
        <v>MD</v>
      </c>
      <c r="F8209" t="str">
        <f>T("206405164")</f>
        <v>206405164</v>
      </c>
      <c r="G8209" t="str">
        <f>T("521 PATTERSON ROAD")</f>
        <v>521 PATTERSON ROAD</v>
      </c>
      <c r="H8209" t="str">
        <f>T("")</f>
        <v/>
      </c>
      <c r="I8209" t="str">
        <f>T("INDIAN HEAD")</f>
        <v>INDIAN HEAD</v>
      </c>
      <c r="J8209" t="str">
        <f>T("MD")</f>
        <v>MD</v>
      </c>
      <c r="K8209" t="str">
        <f>T("000000000000000000")</f>
        <v>000000000000000000</v>
      </c>
      <c r="L8209" t="str">
        <f>T("3017441023")</f>
        <v>3017441023</v>
      </c>
    </row>
    <row r="8210" spans="1:12" x14ac:dyDescent="0.35">
      <c r="A8210" t="str">
        <f t="shared" si="3048"/>
        <v>OPEN</v>
      </c>
      <c r="B8210" t="str">
        <f t="shared" ref="B8210:B8215" si="3061">T("8TH &amp; I STREETS SE")</f>
        <v>8TH &amp; I STREETS SE</v>
      </c>
      <c r="C8210" t="str">
        <f>T("")</f>
        <v/>
      </c>
      <c r="D8210" t="str">
        <f t="shared" ref="D8210:D8217" si="3062">T("WASHINGTON")</f>
        <v>WASHINGTON</v>
      </c>
      <c r="E8210" t="str">
        <f t="shared" ref="E8210:E8217" si="3063">T("DC")</f>
        <v>DC</v>
      </c>
      <c r="F8210" t="str">
        <f t="shared" ref="F8210:F8217" si="3064">T("203900001")</f>
        <v>203900001</v>
      </c>
      <c r="G8210" t="str">
        <f>T("8TH &amp; I STREETS SE")</f>
        <v>8TH &amp; I STREETS SE</v>
      </c>
      <c r="H8210" t="str">
        <f>T("")</f>
        <v/>
      </c>
      <c r="I8210" t="str">
        <f t="shared" ref="I8210:I8217" si="3065">T("WASHINGTON")</f>
        <v>WASHINGTON</v>
      </c>
      <c r="J8210" t="str">
        <f t="shared" ref="J8210:J8217" si="3066">T("DC")</f>
        <v>DC</v>
      </c>
      <c r="K8210" t="str">
        <f>T("2024333884")</f>
        <v>2024333884</v>
      </c>
      <c r="L8210" t="str">
        <f>T("2024336463")</f>
        <v>2024336463</v>
      </c>
    </row>
    <row r="8211" spans="1:12" x14ac:dyDescent="0.35">
      <c r="A8211" t="str">
        <f t="shared" si="3048"/>
        <v>OPEN</v>
      </c>
      <c r="B8211" t="str">
        <f t="shared" si="3061"/>
        <v>8TH &amp; I STREETS SE</v>
      </c>
      <c r="C8211" t="str">
        <f>T("")</f>
        <v/>
      </c>
      <c r="D8211" t="str">
        <f t="shared" si="3062"/>
        <v>WASHINGTON</v>
      </c>
      <c r="E8211" t="str">
        <f t="shared" si="3063"/>
        <v>DC</v>
      </c>
      <c r="F8211" t="str">
        <f t="shared" si="3064"/>
        <v>203900001</v>
      </c>
      <c r="G8211" t="str">
        <f>T("8THI STREETS SE")</f>
        <v>8THI STREETS SE</v>
      </c>
      <c r="H8211" t="str">
        <f>T("")</f>
        <v/>
      </c>
      <c r="I8211" t="str">
        <f t="shared" si="3065"/>
        <v>WASHINGTON</v>
      </c>
      <c r="J8211" t="str">
        <f t="shared" si="3066"/>
        <v>DC</v>
      </c>
      <c r="K8211" t="str">
        <f>T("2024332949")</f>
        <v>2024332949</v>
      </c>
      <c r="L8211" t="str">
        <f>T("2024336528")</f>
        <v>2024336528</v>
      </c>
    </row>
    <row r="8212" spans="1:12" x14ac:dyDescent="0.35">
      <c r="A8212" t="str">
        <f t="shared" ref="A8212:A8243" si="3067">T("OPEN")</f>
        <v>OPEN</v>
      </c>
      <c r="B8212" t="str">
        <f t="shared" si="3061"/>
        <v>8TH &amp; I STREETS SE</v>
      </c>
      <c r="C8212" t="str">
        <f>T("FACILITIES")</f>
        <v>FACILITIES</v>
      </c>
      <c r="D8212" t="str">
        <f t="shared" si="3062"/>
        <v>WASHINGTON</v>
      </c>
      <c r="E8212" t="str">
        <f t="shared" si="3063"/>
        <v>DC</v>
      </c>
      <c r="F8212" t="str">
        <f t="shared" si="3064"/>
        <v>203900001</v>
      </c>
      <c r="G8212" t="str">
        <f>T("8TH  I STS SE")</f>
        <v>8TH  I STS SE</v>
      </c>
      <c r="H8212" t="str">
        <f>T("")</f>
        <v/>
      </c>
      <c r="I8212" t="str">
        <f t="shared" si="3065"/>
        <v>WASHINGTON</v>
      </c>
      <c r="J8212" t="str">
        <f t="shared" si="3066"/>
        <v>DC</v>
      </c>
      <c r="K8212" t="str">
        <f>T("2024332949")</f>
        <v>2024332949</v>
      </c>
      <c r="L8212" t="str">
        <f>T("2024336528")</f>
        <v>2024336528</v>
      </c>
    </row>
    <row r="8213" spans="1:12" x14ac:dyDescent="0.35">
      <c r="A8213" t="str">
        <f t="shared" si="3067"/>
        <v>OPEN</v>
      </c>
      <c r="B8213" t="str">
        <f t="shared" si="3061"/>
        <v>8TH &amp; I STREETS SE</v>
      </c>
      <c r="C8213" t="str">
        <f>T("FACILITIES")</f>
        <v>FACILITIES</v>
      </c>
      <c r="D8213" t="str">
        <f t="shared" si="3062"/>
        <v>WASHINGTON</v>
      </c>
      <c r="E8213" t="str">
        <f t="shared" si="3063"/>
        <v>DC</v>
      </c>
      <c r="F8213" t="str">
        <f t="shared" si="3064"/>
        <v>203900001</v>
      </c>
      <c r="G8213" t="str">
        <f>T("8TH &amp; I STREETS SE")</f>
        <v>8TH &amp; I STREETS SE</v>
      </c>
      <c r="H8213" t="str">
        <f>T("FACILITIES")</f>
        <v>FACILITIES</v>
      </c>
      <c r="I8213" t="str">
        <f t="shared" si="3065"/>
        <v>WASHINGTON</v>
      </c>
      <c r="J8213" t="str">
        <f t="shared" si="3066"/>
        <v>DC</v>
      </c>
      <c r="K8213" t="str">
        <f>T("202 433 3884")</f>
        <v>202 433 3884</v>
      </c>
      <c r="L8213" t="str">
        <f>T("2024330777")</f>
        <v>2024330777</v>
      </c>
    </row>
    <row r="8214" spans="1:12" x14ac:dyDescent="0.35">
      <c r="A8214" t="str">
        <f t="shared" si="3067"/>
        <v>OPEN</v>
      </c>
      <c r="B8214" t="str">
        <f t="shared" si="3061"/>
        <v>8TH &amp; I STREETS SE</v>
      </c>
      <c r="C8214" t="str">
        <f>T("FACILITIES")</f>
        <v>FACILITIES</v>
      </c>
      <c r="D8214" t="str">
        <f t="shared" si="3062"/>
        <v>WASHINGTON</v>
      </c>
      <c r="E8214" t="str">
        <f t="shared" si="3063"/>
        <v>DC</v>
      </c>
      <c r="F8214" t="str">
        <f t="shared" si="3064"/>
        <v>203900001</v>
      </c>
      <c r="G8214" t="str">
        <f>T("8TH AND I STS SE")</f>
        <v>8TH AND I STS SE</v>
      </c>
      <c r="H8214" t="str">
        <f>T("")</f>
        <v/>
      </c>
      <c r="I8214" t="str">
        <f t="shared" si="3065"/>
        <v>WASHINGTON</v>
      </c>
      <c r="J8214" t="str">
        <f t="shared" si="3066"/>
        <v>DC</v>
      </c>
      <c r="K8214" t="str">
        <f>T("2024335755")</f>
        <v>2024335755</v>
      </c>
      <c r="L8214" t="str">
        <f>T("2027493676")</f>
        <v>2027493676</v>
      </c>
    </row>
    <row r="8215" spans="1:12" x14ac:dyDescent="0.35">
      <c r="A8215" t="str">
        <f t="shared" si="3067"/>
        <v>OPEN</v>
      </c>
      <c r="B8215" t="str">
        <f t="shared" si="3061"/>
        <v>8TH &amp; I STREETS SE</v>
      </c>
      <c r="C8215" t="str">
        <f>T("FACILITIES")</f>
        <v>FACILITIES</v>
      </c>
      <c r="D8215" t="str">
        <f t="shared" si="3062"/>
        <v>WASHINGTON</v>
      </c>
      <c r="E8215" t="str">
        <f t="shared" si="3063"/>
        <v>DC</v>
      </c>
      <c r="F8215" t="str">
        <f t="shared" si="3064"/>
        <v>203900001</v>
      </c>
      <c r="G8215" t="str">
        <f>T("MARINE BARRACKS WASHINGTON")</f>
        <v>MARINE BARRACKS WASHINGTON</v>
      </c>
      <c r="H8215" t="str">
        <f>T("8TH AND I STREET SE")</f>
        <v>8TH AND I STREET SE</v>
      </c>
      <c r="I8215" t="str">
        <f t="shared" si="3065"/>
        <v>WASHINGTON</v>
      </c>
      <c r="J8215" t="str">
        <f t="shared" si="3066"/>
        <v>DC</v>
      </c>
      <c r="K8215" t="str">
        <f>T("000000000000000000")</f>
        <v>000000000000000000</v>
      </c>
      <c r="L8215" t="str">
        <f>T("2024339679")</f>
        <v>2024339679</v>
      </c>
    </row>
    <row r="8216" spans="1:12" x14ac:dyDescent="0.35">
      <c r="A8216" t="str">
        <f t="shared" si="3067"/>
        <v>OPEN</v>
      </c>
      <c r="B8216" t="str">
        <f>T("8TH AND I ST SE")</f>
        <v>8TH AND I ST SE</v>
      </c>
      <c r="C8216" t="str">
        <f>T("")</f>
        <v/>
      </c>
      <c r="D8216" t="str">
        <f t="shared" si="3062"/>
        <v>WASHINGTON</v>
      </c>
      <c r="E8216" t="str">
        <f t="shared" si="3063"/>
        <v>DC</v>
      </c>
      <c r="F8216" t="str">
        <f t="shared" si="3064"/>
        <v>203900001</v>
      </c>
      <c r="G8216" t="str">
        <f>T("8TH AND I ST SE")</f>
        <v>8TH AND I ST SE</v>
      </c>
      <c r="H8216" t="str">
        <f>T("")</f>
        <v/>
      </c>
      <c r="I8216" t="str">
        <f t="shared" si="3065"/>
        <v>WASHINGTON</v>
      </c>
      <c r="J8216" t="str">
        <f t="shared" si="3066"/>
        <v>DC</v>
      </c>
      <c r="K8216" t="str">
        <f>T("000000000000000000")</f>
        <v>000000000000000000</v>
      </c>
      <c r="L8216" t="str">
        <f>T("2024334612")</f>
        <v>2024334612</v>
      </c>
    </row>
    <row r="8217" spans="1:12" x14ac:dyDescent="0.35">
      <c r="A8217" t="str">
        <f t="shared" si="3067"/>
        <v>OPEN</v>
      </c>
      <c r="B8217" t="str">
        <f>T("8TH AND I ST SE")</f>
        <v>8TH AND I ST SE</v>
      </c>
      <c r="C8217" t="str">
        <f>T("")</f>
        <v/>
      </c>
      <c r="D8217" t="str">
        <f t="shared" si="3062"/>
        <v>WASHINGTON</v>
      </c>
      <c r="E8217" t="str">
        <f t="shared" si="3063"/>
        <v>DC</v>
      </c>
      <c r="F8217" t="str">
        <f t="shared" si="3064"/>
        <v>203900001</v>
      </c>
      <c r="G8217" t="str">
        <f>T("MARINE BARRACKS")</f>
        <v>MARINE BARRACKS</v>
      </c>
      <c r="H8217" t="str">
        <f>T("8TH  I STEETS SE")</f>
        <v>8TH  I STEETS SE</v>
      </c>
      <c r="I8217" t="str">
        <f t="shared" si="3065"/>
        <v>WASHINGTON</v>
      </c>
      <c r="J8217" t="str">
        <f t="shared" si="3066"/>
        <v>DC</v>
      </c>
      <c r="K8217" t="str">
        <f>T("000000000000000000")</f>
        <v>000000000000000000</v>
      </c>
      <c r="L8217" t="str">
        <f>T("2024334612")</f>
        <v>2024334612</v>
      </c>
    </row>
    <row r="8218" spans="1:12" x14ac:dyDescent="0.35">
      <c r="A8218" t="str">
        <f t="shared" si="3067"/>
        <v>OPEN</v>
      </c>
      <c r="B8218" t="str">
        <f>T("9800 SAVAGE RD")</f>
        <v>9800 SAVAGE RD</v>
      </c>
      <c r="C8218" t="str">
        <f>T("STE 6585")</f>
        <v>STE 6585</v>
      </c>
      <c r="D8218" t="str">
        <f>T("FORT MEADE")</f>
        <v>FORT MEADE</v>
      </c>
      <c r="E8218" t="str">
        <f>T("MD")</f>
        <v>MD</v>
      </c>
      <c r="F8218" t="str">
        <f>T("207556585")</f>
        <v>207556585</v>
      </c>
      <c r="G8218" t="str">
        <f>T("9800 SAVAGE RD")</f>
        <v>9800 SAVAGE RD</v>
      </c>
      <c r="H8218" t="str">
        <f>T("")</f>
        <v/>
      </c>
      <c r="I8218" t="str">
        <f>T("FORT GEORGE G MEADE")</f>
        <v>FORT GEORGE G MEADE</v>
      </c>
      <c r="J8218" t="str">
        <f>T("MD")</f>
        <v>MD</v>
      </c>
      <c r="K8218" t="str">
        <f>T("000000000000000000")</f>
        <v>000000000000000000</v>
      </c>
      <c r="L8218" t="str">
        <f>T("4436341272")</f>
        <v>4436341272</v>
      </c>
    </row>
    <row r="8219" spans="1:12" x14ac:dyDescent="0.35">
      <c r="A8219" t="str">
        <f t="shared" si="3067"/>
        <v>OPEN</v>
      </c>
      <c r="B8219" t="str">
        <f>T("9800 SAVAGE RD")</f>
        <v>9800 SAVAGE RD</v>
      </c>
      <c r="C8219" t="str">
        <f>T("STE 6585")</f>
        <v>STE 6585</v>
      </c>
      <c r="D8219" t="str">
        <f>T("FORT MEADE")</f>
        <v>FORT MEADE</v>
      </c>
      <c r="E8219" t="str">
        <f>T("MD")</f>
        <v>MD</v>
      </c>
      <c r="F8219" t="str">
        <f>T("207556585")</f>
        <v>207556585</v>
      </c>
      <c r="G8219" t="str">
        <f>T("9800 SAVAGE RD")</f>
        <v>9800 SAVAGE RD</v>
      </c>
      <c r="H8219" t="str">
        <f>T("STE 6585")</f>
        <v>STE 6585</v>
      </c>
      <c r="I8219" t="str">
        <f>T("FORT MEADE")</f>
        <v>FORT MEADE</v>
      </c>
      <c r="J8219" t="str">
        <f>T("MD")</f>
        <v>MD</v>
      </c>
      <c r="K8219" t="str">
        <f>T("2403733756")</f>
        <v>2403733756</v>
      </c>
      <c r="L8219" t="str">
        <f>T("4436341276")</f>
        <v>4436341276</v>
      </c>
    </row>
    <row r="8220" spans="1:12" x14ac:dyDescent="0.35">
      <c r="A8220" t="str">
        <f t="shared" si="3067"/>
        <v>OPEN</v>
      </c>
      <c r="B8220" t="str">
        <f>T("9800 SAVAGE RD")</f>
        <v>9800 SAVAGE RD</v>
      </c>
      <c r="C8220" t="str">
        <f>T("STE 6585")</f>
        <v>STE 6585</v>
      </c>
      <c r="D8220" t="str">
        <f>T("FORT MEADE")</f>
        <v>FORT MEADE</v>
      </c>
      <c r="E8220" t="str">
        <f>T("MD")</f>
        <v>MD</v>
      </c>
      <c r="F8220" t="str">
        <f>T("207556585")</f>
        <v>207556585</v>
      </c>
      <c r="G8220" t="str">
        <f>T("9800 SAVAGE RD SUITE 6585")</f>
        <v>9800 SAVAGE RD SUITE 6585</v>
      </c>
      <c r="H8220" t="str">
        <f>T("")</f>
        <v/>
      </c>
      <c r="I8220" t="str">
        <f>T("FORT GEORGE G MEADE")</f>
        <v>FORT GEORGE G MEADE</v>
      </c>
      <c r="J8220" t="str">
        <f>T("MD")</f>
        <v>MD</v>
      </c>
      <c r="K8220" t="str">
        <f>T("2403734013")</f>
        <v>2403734013</v>
      </c>
      <c r="L8220" t="str">
        <f>T("2403733822")</f>
        <v>2403733822</v>
      </c>
    </row>
    <row r="8221" spans="1:12" x14ac:dyDescent="0.35">
      <c r="A8221" t="str">
        <f t="shared" si="3067"/>
        <v>OPEN</v>
      </c>
      <c r="B8221" t="str">
        <f>T("AR3 FISCAL OFFICE")</f>
        <v>AR3 FISCAL OFFICE</v>
      </c>
      <c r="C8221" t="str">
        <f>T("3000 MARINE CORP PENTAGON")</f>
        <v>3000 MARINE CORP PENTAGON</v>
      </c>
      <c r="D8221" t="str">
        <f>T("WASHINGTON")</f>
        <v>WASHINGTON</v>
      </c>
      <c r="E8221" t="str">
        <f>T("DC")</f>
        <v>DC</v>
      </c>
      <c r="F8221" t="str">
        <f>T("203503000")</f>
        <v>203503000</v>
      </c>
      <c r="G8221" t="str">
        <f>T("3000 MARINE CORPS PENTAGON")</f>
        <v>3000 MARINE CORPS PENTAGON</v>
      </c>
      <c r="H8221" t="str">
        <f>T("RM 2B253")</f>
        <v>RM 2B253</v>
      </c>
      <c r="I8221" t="str">
        <f>T("WASHINGTON")</f>
        <v>WASHINGTON</v>
      </c>
      <c r="J8221" t="str">
        <f>T("DC")</f>
        <v>DC</v>
      </c>
      <c r="K8221" t="str">
        <f>T("000000000000000000")</f>
        <v>000000000000000000</v>
      </c>
      <c r="L8221" t="str">
        <f>T("7036933088")</f>
        <v>7036933088</v>
      </c>
    </row>
    <row r="8222" spans="1:12" x14ac:dyDescent="0.35">
      <c r="A8222" t="str">
        <f t="shared" si="3067"/>
        <v>OPEN</v>
      </c>
      <c r="B8222" t="str">
        <f>T("AR3 FISCAL OFFICE")</f>
        <v>AR3 FISCAL OFFICE</v>
      </c>
      <c r="C8222" t="str">
        <f>T("3000 MARINE CORP PENTAGON")</f>
        <v>3000 MARINE CORP PENTAGON</v>
      </c>
      <c r="D8222" t="str">
        <f>T("WASHINGTON")</f>
        <v>WASHINGTON</v>
      </c>
      <c r="E8222" t="str">
        <f>T("DC")</f>
        <v>DC</v>
      </c>
      <c r="F8222" t="str">
        <f>T("203503000")</f>
        <v>203503000</v>
      </c>
      <c r="G8222" t="str">
        <f>T("3000 MARINE COURT PENTAGON")</f>
        <v>3000 MARINE COURT PENTAGON</v>
      </c>
      <c r="H8222" t="str">
        <f>T("ROOM 2D247")</f>
        <v>ROOM 2D247</v>
      </c>
      <c r="I8222" t="str">
        <f>T("WASHINGTON")</f>
        <v>WASHINGTON</v>
      </c>
      <c r="J8222" t="str">
        <f>T("DC")</f>
        <v>DC</v>
      </c>
      <c r="K8222" t="str">
        <f>T("000000000000000000")</f>
        <v>000000000000000000</v>
      </c>
      <c r="L8222" t="str">
        <f>T("7036141615")</f>
        <v>7036141615</v>
      </c>
    </row>
    <row r="8223" spans="1:12" x14ac:dyDescent="0.35">
      <c r="A8223" t="str">
        <f t="shared" si="3067"/>
        <v>OPEN</v>
      </c>
      <c r="B8223" t="str">
        <f>T("AR3 FISCAL OFFICE")</f>
        <v>AR3 FISCAL OFFICE</v>
      </c>
      <c r="C8223" t="str">
        <f>T("3000 MARINE CORP PENTAGON")</f>
        <v>3000 MARINE CORP PENTAGON</v>
      </c>
      <c r="D8223" t="str">
        <f>T("WASHINGTON")</f>
        <v>WASHINGTON</v>
      </c>
      <c r="E8223" t="str">
        <f>T("DC")</f>
        <v>DC</v>
      </c>
      <c r="F8223" t="str">
        <f>T("203503000")</f>
        <v>203503000</v>
      </c>
      <c r="G8223" t="str">
        <f>T("AR3 FISCAL OFFICE")</f>
        <v>AR3 FISCAL OFFICE</v>
      </c>
      <c r="H8223" t="str">
        <f>T("3000 MARINE CORP PENTAGON")</f>
        <v>3000 MARINE CORP PENTAGON</v>
      </c>
      <c r="I8223" t="str">
        <f>T("WASHINGTON")</f>
        <v>WASHINGTON</v>
      </c>
      <c r="J8223" t="str">
        <f>T("DC")</f>
        <v>DC</v>
      </c>
      <c r="K8223" t="str">
        <f>T("7036953550")</f>
        <v>7036953550</v>
      </c>
      <c r="L8223" t="str">
        <f>T("7036954727")</f>
        <v>7036954727</v>
      </c>
    </row>
    <row r="8224" spans="1:12" x14ac:dyDescent="0.35">
      <c r="A8224" t="str">
        <f t="shared" si="3067"/>
        <v>OPEN</v>
      </c>
      <c r="B8224" t="str">
        <f t="shared" ref="B8224:B8231" si="3068">T("BLDG 27404 MCB-1")</f>
        <v>BLDG 27404 MCB-1</v>
      </c>
      <c r="C8224" t="str">
        <f t="shared" ref="C8224:C8231" si="3069">T("")</f>
        <v/>
      </c>
      <c r="D8224" t="str">
        <f t="shared" ref="D8224:D8231" si="3070">T("QUANTICO")</f>
        <v>QUANTICO</v>
      </c>
      <c r="E8224" t="str">
        <f t="shared" ref="E8224:E8231" si="3071">T("VA")</f>
        <v>VA</v>
      </c>
      <c r="F8224" t="str">
        <f>T("221340000")</f>
        <v>221340000</v>
      </c>
      <c r="G8224" t="str">
        <f>T("BLDG 27040 MCB-1")</f>
        <v>BLDG 27040 MCB-1</v>
      </c>
      <c r="H8224" t="str">
        <f t="shared" ref="H8224:H8236" si="3072">T("")</f>
        <v/>
      </c>
      <c r="I8224" t="str">
        <f t="shared" ref="I8224:I8231" si="3073">T("QUANTICO")</f>
        <v>QUANTICO</v>
      </c>
      <c r="J8224" t="str">
        <f t="shared" ref="J8224:J8231" si="3074">T("VA")</f>
        <v>VA</v>
      </c>
      <c r="K8224" t="str">
        <f>T("000000000000000000")</f>
        <v>000000000000000000</v>
      </c>
      <c r="L8224" t="str">
        <f>T("7037845224")</f>
        <v>7037845224</v>
      </c>
    </row>
    <row r="8225" spans="1:12" x14ac:dyDescent="0.35">
      <c r="A8225" t="str">
        <f t="shared" si="3067"/>
        <v>OPEN</v>
      </c>
      <c r="B8225" t="str">
        <f t="shared" si="3068"/>
        <v>BLDG 27404 MCB-1</v>
      </c>
      <c r="C8225" t="str">
        <f t="shared" si="3069"/>
        <v/>
      </c>
      <c r="D8225" t="str">
        <f t="shared" si="3070"/>
        <v>QUANTICO</v>
      </c>
      <c r="E8225" t="str">
        <f t="shared" si="3071"/>
        <v>VA</v>
      </c>
      <c r="F8225" t="str">
        <f>T("221340000")</f>
        <v>221340000</v>
      </c>
      <c r="G8225" t="str">
        <f t="shared" ref="G8225:G8230" si="3075">T("BLDG 27404 MCB-1")</f>
        <v>BLDG 27404 MCB-1</v>
      </c>
      <c r="H8225" t="str">
        <f t="shared" si="3072"/>
        <v/>
      </c>
      <c r="I8225" t="str">
        <f t="shared" si="3073"/>
        <v>QUANTICO</v>
      </c>
      <c r="J8225" t="str">
        <f t="shared" si="3074"/>
        <v>VA</v>
      </c>
      <c r="K8225" t="str">
        <f>T("")</f>
        <v/>
      </c>
      <c r="L8225" t="str">
        <f>T("7037845621")</f>
        <v>7037845621</v>
      </c>
    </row>
    <row r="8226" spans="1:12" x14ac:dyDescent="0.35">
      <c r="A8226" t="str">
        <f t="shared" si="3067"/>
        <v>OPEN</v>
      </c>
      <c r="B8226" t="str">
        <f t="shared" si="3068"/>
        <v>BLDG 27404 MCB-1</v>
      </c>
      <c r="C8226" t="str">
        <f t="shared" si="3069"/>
        <v/>
      </c>
      <c r="D8226" t="str">
        <f t="shared" si="3070"/>
        <v>QUANTICO</v>
      </c>
      <c r="E8226" t="str">
        <f t="shared" si="3071"/>
        <v>VA</v>
      </c>
      <c r="F8226" t="str">
        <f>T("221340000")</f>
        <v>221340000</v>
      </c>
      <c r="G8226" t="str">
        <f t="shared" si="3075"/>
        <v>BLDG 27404 MCB-1</v>
      </c>
      <c r="H8226" t="str">
        <f t="shared" si="3072"/>
        <v/>
      </c>
      <c r="I8226" t="str">
        <f t="shared" si="3073"/>
        <v>QUANTICO</v>
      </c>
      <c r="J8226" t="str">
        <f t="shared" si="3074"/>
        <v>VA</v>
      </c>
      <c r="K8226" t="str">
        <f>T("000000000000000000")</f>
        <v>000000000000000000</v>
      </c>
      <c r="L8226" t="str">
        <f>T("7037845001")</f>
        <v>7037845001</v>
      </c>
    </row>
    <row r="8227" spans="1:12" x14ac:dyDescent="0.35">
      <c r="A8227" t="str">
        <f t="shared" si="3067"/>
        <v>OPEN</v>
      </c>
      <c r="B8227" t="str">
        <f t="shared" si="3068"/>
        <v>BLDG 27404 MCB-1</v>
      </c>
      <c r="C8227" t="str">
        <f t="shared" si="3069"/>
        <v/>
      </c>
      <c r="D8227" t="str">
        <f t="shared" si="3070"/>
        <v>QUANTICO</v>
      </c>
      <c r="E8227" t="str">
        <f t="shared" si="3071"/>
        <v>VA</v>
      </c>
      <c r="F8227" t="str">
        <f>T("221340000")</f>
        <v>221340000</v>
      </c>
      <c r="G8227" t="str">
        <f t="shared" si="3075"/>
        <v>BLDG 27404 MCB-1</v>
      </c>
      <c r="H8227" t="str">
        <f t="shared" si="3072"/>
        <v/>
      </c>
      <c r="I8227" t="str">
        <f t="shared" si="3073"/>
        <v>QUANTICO</v>
      </c>
      <c r="J8227" t="str">
        <f t="shared" si="3074"/>
        <v>VA</v>
      </c>
      <c r="K8227" t="str">
        <f>T("7037845486")</f>
        <v>7037845486</v>
      </c>
      <c r="L8227" t="str">
        <f>T("7037845339")</f>
        <v>7037845339</v>
      </c>
    </row>
    <row r="8228" spans="1:12" x14ac:dyDescent="0.35">
      <c r="A8228" t="str">
        <f t="shared" si="3067"/>
        <v>OPEN</v>
      </c>
      <c r="B8228" t="str">
        <f t="shared" si="3068"/>
        <v>BLDG 27404 MCB-1</v>
      </c>
      <c r="C8228" t="str">
        <f t="shared" si="3069"/>
        <v/>
      </c>
      <c r="D8228" t="str">
        <f t="shared" si="3070"/>
        <v>QUANTICO</v>
      </c>
      <c r="E8228" t="str">
        <f t="shared" si="3071"/>
        <v>VA</v>
      </c>
      <c r="F8228" t="str">
        <f>T("221345190")</f>
        <v>221345190</v>
      </c>
      <c r="G8228" t="str">
        <f t="shared" si="3075"/>
        <v>BLDG 27404 MCB-1</v>
      </c>
      <c r="H8228" t="str">
        <f t="shared" si="3072"/>
        <v/>
      </c>
      <c r="I8228" t="str">
        <f t="shared" si="3073"/>
        <v>QUANTICO</v>
      </c>
      <c r="J8228" t="str">
        <f t="shared" si="3074"/>
        <v>VA</v>
      </c>
      <c r="K8228" t="str">
        <f>T("")</f>
        <v/>
      </c>
      <c r="L8228" t="str">
        <f>T("7037845621")</f>
        <v>7037845621</v>
      </c>
    </row>
    <row r="8229" spans="1:12" x14ac:dyDescent="0.35">
      <c r="A8229" t="str">
        <f t="shared" si="3067"/>
        <v>OPEN</v>
      </c>
      <c r="B8229" t="str">
        <f t="shared" si="3068"/>
        <v>BLDG 27404 MCB-1</v>
      </c>
      <c r="C8229" t="str">
        <f t="shared" si="3069"/>
        <v/>
      </c>
      <c r="D8229" t="str">
        <f t="shared" si="3070"/>
        <v>QUANTICO</v>
      </c>
      <c r="E8229" t="str">
        <f t="shared" si="3071"/>
        <v>VA</v>
      </c>
      <c r="F8229" t="str">
        <f>T("221345190")</f>
        <v>221345190</v>
      </c>
      <c r="G8229" t="str">
        <f t="shared" si="3075"/>
        <v>BLDG 27404 MCB-1</v>
      </c>
      <c r="H8229" t="str">
        <f t="shared" si="3072"/>
        <v/>
      </c>
      <c r="I8229" t="str">
        <f t="shared" si="3073"/>
        <v>QUANTICO</v>
      </c>
      <c r="J8229" t="str">
        <f t="shared" si="3074"/>
        <v>VA</v>
      </c>
      <c r="K8229" t="str">
        <f>T("000000000000000000")</f>
        <v>000000000000000000</v>
      </c>
      <c r="L8229" t="str">
        <f>T("7037845001")</f>
        <v>7037845001</v>
      </c>
    </row>
    <row r="8230" spans="1:12" x14ac:dyDescent="0.35">
      <c r="A8230" t="str">
        <f t="shared" si="3067"/>
        <v>OPEN</v>
      </c>
      <c r="B8230" t="str">
        <f t="shared" si="3068"/>
        <v>BLDG 27404 MCB-1</v>
      </c>
      <c r="C8230" t="str">
        <f t="shared" si="3069"/>
        <v/>
      </c>
      <c r="D8230" t="str">
        <f t="shared" si="3070"/>
        <v>QUANTICO</v>
      </c>
      <c r="E8230" t="str">
        <f t="shared" si="3071"/>
        <v>VA</v>
      </c>
      <c r="F8230" t="str">
        <f>T("221345190")</f>
        <v>221345190</v>
      </c>
      <c r="G8230" t="str">
        <f t="shared" si="3075"/>
        <v>BLDG 27404 MCB-1</v>
      </c>
      <c r="H8230" t="str">
        <f t="shared" si="3072"/>
        <v/>
      </c>
      <c r="I8230" t="str">
        <f t="shared" si="3073"/>
        <v>QUANTICO</v>
      </c>
      <c r="J8230" t="str">
        <f t="shared" si="3074"/>
        <v>VA</v>
      </c>
      <c r="K8230" t="str">
        <f>T("7037845486")</f>
        <v>7037845486</v>
      </c>
      <c r="L8230" t="str">
        <f>T("7037845339")</f>
        <v>7037845339</v>
      </c>
    </row>
    <row r="8231" spans="1:12" x14ac:dyDescent="0.35">
      <c r="A8231" t="str">
        <f t="shared" si="3067"/>
        <v>OPEN</v>
      </c>
      <c r="B8231" t="str">
        <f t="shared" si="3068"/>
        <v>BLDG 27404 MCB-1</v>
      </c>
      <c r="C8231" t="str">
        <f t="shared" si="3069"/>
        <v/>
      </c>
      <c r="D8231" t="str">
        <f t="shared" si="3070"/>
        <v>QUANTICO</v>
      </c>
      <c r="E8231" t="str">
        <f t="shared" si="3071"/>
        <v>VA</v>
      </c>
      <c r="F8231" t="str">
        <f>T("221345190")</f>
        <v>221345190</v>
      </c>
      <c r="G8231" t="str">
        <f>T("BLDG27404 MCB-1")</f>
        <v>BLDG27404 MCB-1</v>
      </c>
      <c r="H8231" t="str">
        <f t="shared" si="3072"/>
        <v/>
      </c>
      <c r="I8231" t="str">
        <f t="shared" si="3073"/>
        <v>QUANTICO</v>
      </c>
      <c r="J8231" t="str">
        <f t="shared" si="3074"/>
        <v>VA</v>
      </c>
      <c r="K8231" t="str">
        <f>T("000000000000000000")</f>
        <v>000000000000000000</v>
      </c>
      <c r="L8231" t="str">
        <f>T("7037845224")</f>
        <v>7037845224</v>
      </c>
    </row>
    <row r="8232" spans="1:12" x14ac:dyDescent="0.35">
      <c r="A8232" t="str">
        <f t="shared" si="3067"/>
        <v>OPEN</v>
      </c>
      <c r="B8232" t="str">
        <f t="shared" ref="B8232:B8237" si="3076">T("CBIRF")</f>
        <v>CBIRF</v>
      </c>
      <c r="C8232" t="str">
        <f t="shared" ref="C8232:C8237" si="3077">T("521 PATTERSON ROAD")</f>
        <v>521 PATTERSON ROAD</v>
      </c>
      <c r="D8232" t="str">
        <f t="shared" ref="D8232:D8237" si="3078">T("INDIAN HEAD")</f>
        <v>INDIAN HEAD</v>
      </c>
      <c r="E8232" t="str">
        <f t="shared" ref="E8232:E8237" si="3079">T("MD")</f>
        <v>MD</v>
      </c>
      <c r="F8232" t="str">
        <f t="shared" ref="F8232:F8237" si="3080">T("206400000")</f>
        <v>206400000</v>
      </c>
      <c r="G8232" t="str">
        <f>T("3399 STRAUSS AVE")</f>
        <v>3399 STRAUSS AVE</v>
      </c>
      <c r="H8232" t="str">
        <f t="shared" si="3072"/>
        <v/>
      </c>
      <c r="I8232" t="str">
        <f t="shared" ref="I8232:I8237" si="3081">T("INDIAN HEAD")</f>
        <v>INDIAN HEAD</v>
      </c>
      <c r="J8232" t="str">
        <f t="shared" ref="J8232:J8237" si="3082">T("MD")</f>
        <v>MD</v>
      </c>
      <c r="K8232" t="str">
        <f>T("3017442052")</f>
        <v>3017442052</v>
      </c>
      <c r="L8232" t="str">
        <f>T("3017441022")</f>
        <v>3017441022</v>
      </c>
    </row>
    <row r="8233" spans="1:12" x14ac:dyDescent="0.35">
      <c r="A8233" t="str">
        <f t="shared" si="3067"/>
        <v>OPEN</v>
      </c>
      <c r="B8233" t="str">
        <f t="shared" si="3076"/>
        <v>CBIRF</v>
      </c>
      <c r="C8233" t="str">
        <f t="shared" si="3077"/>
        <v>521 PATTERSON ROAD</v>
      </c>
      <c r="D8233" t="str">
        <f t="shared" si="3078"/>
        <v>INDIAN HEAD</v>
      </c>
      <c r="E8233" t="str">
        <f t="shared" si="3079"/>
        <v>MD</v>
      </c>
      <c r="F8233" t="str">
        <f t="shared" si="3080"/>
        <v>206400000</v>
      </c>
      <c r="G8233" t="str">
        <f>T("521 PATTERSON RD")</f>
        <v>521 PATTERSON RD</v>
      </c>
      <c r="H8233" t="str">
        <f t="shared" si="3072"/>
        <v/>
      </c>
      <c r="I8233" t="str">
        <f t="shared" si="3081"/>
        <v>INDIAN HEAD</v>
      </c>
      <c r="J8233" t="str">
        <f t="shared" si="3082"/>
        <v>MD</v>
      </c>
      <c r="K8233" t="str">
        <f>T("000000000000000000")</f>
        <v>000000000000000000</v>
      </c>
      <c r="L8233" t="str">
        <f>T("3017441023")</f>
        <v>3017441023</v>
      </c>
    </row>
    <row r="8234" spans="1:12" x14ac:dyDescent="0.35">
      <c r="A8234" t="str">
        <f t="shared" si="3067"/>
        <v>OPEN</v>
      </c>
      <c r="B8234" t="str">
        <f t="shared" si="3076"/>
        <v>CBIRF</v>
      </c>
      <c r="C8234" t="str">
        <f t="shared" si="3077"/>
        <v>521 PATTERSON ROAD</v>
      </c>
      <c r="D8234" t="str">
        <f t="shared" si="3078"/>
        <v>INDIAN HEAD</v>
      </c>
      <c r="E8234" t="str">
        <f t="shared" si="3079"/>
        <v>MD</v>
      </c>
      <c r="F8234" t="str">
        <f t="shared" si="3080"/>
        <v>206400000</v>
      </c>
      <c r="G8234" t="str">
        <f>T("521 PATTERSON ROAD")</f>
        <v>521 PATTERSON ROAD</v>
      </c>
      <c r="H8234" t="str">
        <f t="shared" si="3072"/>
        <v/>
      </c>
      <c r="I8234" t="str">
        <f t="shared" si="3081"/>
        <v>INDIAN HEAD</v>
      </c>
      <c r="J8234" t="str">
        <f t="shared" si="3082"/>
        <v>MD</v>
      </c>
      <c r="K8234" t="str">
        <f>T("000000000000000000")</f>
        <v>000000000000000000</v>
      </c>
      <c r="L8234" t="str">
        <f>T("1111111111")</f>
        <v>1111111111</v>
      </c>
    </row>
    <row r="8235" spans="1:12" x14ac:dyDescent="0.35">
      <c r="A8235" t="str">
        <f t="shared" si="3067"/>
        <v>OPEN</v>
      </c>
      <c r="B8235" t="str">
        <f t="shared" si="3076"/>
        <v>CBIRF</v>
      </c>
      <c r="C8235" t="str">
        <f t="shared" si="3077"/>
        <v>521 PATTERSON ROAD</v>
      </c>
      <c r="D8235" t="str">
        <f t="shared" si="3078"/>
        <v>INDIAN HEAD</v>
      </c>
      <c r="E8235" t="str">
        <f t="shared" si="3079"/>
        <v>MD</v>
      </c>
      <c r="F8235" t="str">
        <f t="shared" si="3080"/>
        <v>206400000</v>
      </c>
      <c r="G8235" t="str">
        <f>T("521 PATTERSON ROAD")</f>
        <v>521 PATTERSON ROAD</v>
      </c>
      <c r="H8235" t="str">
        <f t="shared" si="3072"/>
        <v/>
      </c>
      <c r="I8235" t="str">
        <f t="shared" si="3081"/>
        <v>INDIAN HEAD</v>
      </c>
      <c r="J8235" t="str">
        <f t="shared" si="3082"/>
        <v>MD</v>
      </c>
      <c r="K8235" t="str">
        <f>T("000000000000000000")</f>
        <v>000000000000000000</v>
      </c>
      <c r="L8235" t="str">
        <f>T("3017441023")</f>
        <v>3017441023</v>
      </c>
    </row>
    <row r="8236" spans="1:12" x14ac:dyDescent="0.35">
      <c r="A8236" t="str">
        <f t="shared" si="3067"/>
        <v>OPEN</v>
      </c>
      <c r="B8236" t="str">
        <f t="shared" si="3076"/>
        <v>CBIRF</v>
      </c>
      <c r="C8236" t="str">
        <f t="shared" si="3077"/>
        <v>521 PATTERSON ROAD</v>
      </c>
      <c r="D8236" t="str">
        <f t="shared" si="3078"/>
        <v>INDIAN HEAD</v>
      </c>
      <c r="E8236" t="str">
        <f t="shared" si="3079"/>
        <v>MD</v>
      </c>
      <c r="F8236" t="str">
        <f t="shared" si="3080"/>
        <v>206400000</v>
      </c>
      <c r="G8236" t="str">
        <f>T("521 PATTERSON ROAD")</f>
        <v>521 PATTERSON ROAD</v>
      </c>
      <c r="H8236" t="str">
        <f t="shared" si="3072"/>
        <v/>
      </c>
      <c r="I8236" t="str">
        <f t="shared" si="3081"/>
        <v>INDIAN HEAD</v>
      </c>
      <c r="J8236" t="str">
        <f t="shared" si="3082"/>
        <v>MD</v>
      </c>
      <c r="K8236" t="str">
        <f>T("000000000000000000")</f>
        <v>000000000000000000</v>
      </c>
      <c r="L8236" t="str">
        <f>T("3017442006")</f>
        <v>3017442006</v>
      </c>
    </row>
    <row r="8237" spans="1:12" x14ac:dyDescent="0.35">
      <c r="A8237" t="str">
        <f t="shared" si="3067"/>
        <v>OPEN</v>
      </c>
      <c r="B8237" t="str">
        <f t="shared" si="3076"/>
        <v>CBIRF</v>
      </c>
      <c r="C8237" t="str">
        <f t="shared" si="3077"/>
        <v>521 PATTERSON ROAD</v>
      </c>
      <c r="D8237" t="str">
        <f t="shared" si="3078"/>
        <v>INDIAN HEAD</v>
      </c>
      <c r="E8237" t="str">
        <f t="shared" si="3079"/>
        <v>MD</v>
      </c>
      <c r="F8237" t="str">
        <f t="shared" si="3080"/>
        <v>206400000</v>
      </c>
      <c r="G8237" t="str">
        <f>T("CBIRF")</f>
        <v>CBIRF</v>
      </c>
      <c r="H8237" t="str">
        <f>T("521 PATTERSON ROAD")</f>
        <v>521 PATTERSON ROAD</v>
      </c>
      <c r="I8237" t="str">
        <f t="shared" si="3081"/>
        <v>INDIAN HEAD</v>
      </c>
      <c r="J8237" t="str">
        <f t="shared" si="3082"/>
        <v>MD</v>
      </c>
      <c r="K8237" t="str">
        <f>T("3017441063")</f>
        <v>3017441063</v>
      </c>
      <c r="L8237" t="str">
        <f>T("3017442007")</f>
        <v>3017442007</v>
      </c>
    </row>
    <row r="8238" spans="1:12" x14ac:dyDescent="0.35">
      <c r="A8238" t="str">
        <f t="shared" si="3067"/>
        <v>OPEN</v>
      </c>
      <c r="B8238" t="str">
        <f>T("CMC PROTOCOL")</f>
        <v>CMC PROTOCOL</v>
      </c>
      <c r="C8238" t="str">
        <f>T("3000 MC PENTAGON RM 4A524")</f>
        <v>3000 MC PENTAGON RM 4A524</v>
      </c>
      <c r="D8238" t="str">
        <f>T("WASHINGTON")</f>
        <v>WASHINGTON</v>
      </c>
      <c r="E8238" t="str">
        <f>T("DC")</f>
        <v>DC</v>
      </c>
      <c r="F8238" t="str">
        <f>T("203010001")</f>
        <v>203010001</v>
      </c>
      <c r="G8238" t="str">
        <f>T("3000 MARINE CORPS PENTAGON")</f>
        <v>3000 MARINE CORPS PENTAGON</v>
      </c>
      <c r="H8238" t="str">
        <f>T("")</f>
        <v/>
      </c>
      <c r="I8238" t="str">
        <f>T("WASHINGTON")</f>
        <v>WASHINGTON</v>
      </c>
      <c r="J8238" t="str">
        <f>T("DC")</f>
        <v>DC</v>
      </c>
      <c r="K8238" t="str">
        <f>T("7036934414")</f>
        <v>7036934414</v>
      </c>
      <c r="L8238" t="str">
        <f>T("7036141872")</f>
        <v>7036141872</v>
      </c>
    </row>
    <row r="8239" spans="1:12" x14ac:dyDescent="0.35">
      <c r="A8239" t="str">
        <f t="shared" si="3067"/>
        <v>OPEN</v>
      </c>
      <c r="B8239" t="str">
        <f>T("CMC PROTOCOL")</f>
        <v>CMC PROTOCOL</v>
      </c>
      <c r="C8239" t="str">
        <f>T("3000 MC PENTAGON RM 4A524")</f>
        <v>3000 MC PENTAGON RM 4A524</v>
      </c>
      <c r="D8239" t="str">
        <f>T("WASHINGTON")</f>
        <v>WASHINGTON</v>
      </c>
      <c r="E8239" t="str">
        <f>T("DC")</f>
        <v>DC</v>
      </c>
      <c r="F8239" t="str">
        <f>T("203010001")</f>
        <v>203010001</v>
      </c>
      <c r="G8239" t="str">
        <f>T("3000 MARINE CORPS PENTAGON")</f>
        <v>3000 MARINE CORPS PENTAGON</v>
      </c>
      <c r="H8239" t="str">
        <f>T("RM 4C645")</f>
        <v>RM 4C645</v>
      </c>
      <c r="I8239" t="str">
        <f>T("WASHINGTON")</f>
        <v>WASHINGTON</v>
      </c>
      <c r="J8239" t="str">
        <f>T("DC")</f>
        <v>DC</v>
      </c>
      <c r="K8239" t="str">
        <f>T("7036934414")</f>
        <v>7036934414</v>
      </c>
      <c r="L8239" t="str">
        <f>T("7036141872")</f>
        <v>7036141872</v>
      </c>
    </row>
    <row r="8240" spans="1:12" x14ac:dyDescent="0.35">
      <c r="A8240" t="str">
        <f t="shared" si="3067"/>
        <v>OPEN</v>
      </c>
      <c r="B8240" t="str">
        <f>T("CMC PROTOCOL")</f>
        <v>CMC PROTOCOL</v>
      </c>
      <c r="C8240" t="str">
        <f>T("3000 MC PENTAGON RM 4A524")</f>
        <v>3000 MC PENTAGON RM 4A524</v>
      </c>
      <c r="D8240" t="str">
        <f>T("WASHINGTON")</f>
        <v>WASHINGTON</v>
      </c>
      <c r="E8240" t="str">
        <f>T("DC")</f>
        <v>DC</v>
      </c>
      <c r="F8240" t="str">
        <f>T("203010001")</f>
        <v>203010001</v>
      </c>
      <c r="G8240" t="str">
        <f>T("CMC PROTOCOL")</f>
        <v>CMC PROTOCOL</v>
      </c>
      <c r="H8240" t="str">
        <f>T("3000 MC PENTAGON RM 4A524")</f>
        <v>3000 MC PENTAGON RM 4A524</v>
      </c>
      <c r="I8240" t="str">
        <f>T("WASHINGTON")</f>
        <v>WASHINGTON</v>
      </c>
      <c r="J8240" t="str">
        <f>T("DC")</f>
        <v>DC</v>
      </c>
      <c r="K8240" t="str">
        <f>T("7036934414")</f>
        <v>7036934414</v>
      </c>
      <c r="L8240" t="str">
        <f>T("7036140054")</f>
        <v>7036140054</v>
      </c>
    </row>
    <row r="8241" spans="1:12" x14ac:dyDescent="0.35">
      <c r="A8241" t="str">
        <f t="shared" si="3067"/>
        <v>OPEN</v>
      </c>
      <c r="B8241" t="str">
        <f>T("FB 2 ROOM 3202")</f>
        <v>FB 2 ROOM 3202</v>
      </c>
      <c r="C8241" t="str">
        <f>T("")</f>
        <v/>
      </c>
      <c r="D8241" t="str">
        <f>T("WASHINGTON")</f>
        <v>WASHINGTON</v>
      </c>
      <c r="E8241" t="str">
        <f>T("DC")</f>
        <v>DC</v>
      </c>
      <c r="F8241" t="str">
        <f>T("203800001")</f>
        <v>203800001</v>
      </c>
      <c r="G8241" t="str">
        <f>T("3028A ZEILIN ROAD")</f>
        <v>3028A ZEILIN ROAD</v>
      </c>
      <c r="H8241" t="str">
        <f>T("")</f>
        <v/>
      </c>
      <c r="I8241" t="str">
        <f>T("QUANTICO")</f>
        <v>QUANTICO</v>
      </c>
      <c r="J8241" t="str">
        <f>T("VA")</f>
        <v>VA</v>
      </c>
      <c r="K8241" t="str">
        <f>T("7034322819")</f>
        <v>7034322819</v>
      </c>
      <c r="L8241" t="str">
        <f>T("7034322725")</f>
        <v>7034322725</v>
      </c>
    </row>
    <row r="8242" spans="1:12" x14ac:dyDescent="0.35">
      <c r="A8242" t="str">
        <f t="shared" si="3067"/>
        <v>OPEN</v>
      </c>
      <c r="B8242" t="str">
        <f>T("FB 2 ROOM 3202")</f>
        <v>FB 2 ROOM 3202</v>
      </c>
      <c r="C8242" t="str">
        <f>T("")</f>
        <v/>
      </c>
      <c r="D8242" t="str">
        <f>T("WASHINGTON")</f>
        <v>WASHINGTON</v>
      </c>
      <c r="E8242" t="str">
        <f>T("DC")</f>
        <v>DC</v>
      </c>
      <c r="F8242" t="str">
        <f>T("203800001")</f>
        <v>203800001</v>
      </c>
      <c r="G8242" t="str">
        <f>T("FB 2 ROOM 3202")</f>
        <v>FB 2 ROOM 3202</v>
      </c>
      <c r="H8242" t="str">
        <f>T("")</f>
        <v/>
      </c>
      <c r="I8242" t="str">
        <f>T("WASHINGTON")</f>
        <v>WASHINGTON</v>
      </c>
      <c r="J8242" t="str">
        <f>T("DC")</f>
        <v>DC</v>
      </c>
      <c r="K8242" t="str">
        <f>T("7036142458")</f>
        <v>7036142458</v>
      </c>
      <c r="L8242" t="str">
        <f>T("7036141289")</f>
        <v>7036141289</v>
      </c>
    </row>
    <row r="8243" spans="1:12" x14ac:dyDescent="0.35">
      <c r="A8243" t="str">
        <f t="shared" si="3067"/>
        <v>OPEN</v>
      </c>
      <c r="B8243" t="str">
        <f>T("FLOOR 21 STE 2130")</f>
        <v>FLOOR 21 STE 2130</v>
      </c>
      <c r="C8243" t="str">
        <f>T("135 N PENNSYLVANIA")</f>
        <v>135 N PENNSYLVANIA</v>
      </c>
      <c r="D8243" t="str">
        <f>T("INDIANAPOLIS")</f>
        <v>INDIANAPOLIS</v>
      </c>
      <c r="E8243" t="str">
        <f>T("IN")</f>
        <v>IN</v>
      </c>
      <c r="F8243" t="str">
        <f>T("462042400")</f>
        <v>462042400</v>
      </c>
      <c r="G8243" t="str">
        <f>T("135 N PENNSYLVANIA ST")</f>
        <v>135 N PENNSYLVANIA ST</v>
      </c>
      <c r="H8243" t="str">
        <f>T("")</f>
        <v/>
      </c>
      <c r="I8243" t="str">
        <f>T("INDIANAPOLIS")</f>
        <v>INDIANAPOLIS</v>
      </c>
      <c r="J8243" t="str">
        <f>T("IN")</f>
        <v>IN</v>
      </c>
      <c r="K8243" t="str">
        <f>T("000000000000000000")</f>
        <v>000000000000000000</v>
      </c>
      <c r="L8243" t="str">
        <f>T("3172003444")</f>
        <v>3172003444</v>
      </c>
    </row>
    <row r="8244" spans="1:12" x14ac:dyDescent="0.35">
      <c r="A8244" t="str">
        <f t="shared" ref="A8244:A8275" si="3083">T("OPEN")</f>
        <v>OPEN</v>
      </c>
      <c r="B8244" t="str">
        <f>T("FLOOR 21 STE 2130")</f>
        <v>FLOOR 21 STE 2130</v>
      </c>
      <c r="C8244" t="str">
        <f>T("135 N PENNSYLVANIA")</f>
        <v>135 N PENNSYLVANIA</v>
      </c>
      <c r="D8244" t="str">
        <f>T("INDIANAPOLIS")</f>
        <v>INDIANAPOLIS</v>
      </c>
      <c r="E8244" t="str">
        <f>T("IN")</f>
        <v>IN</v>
      </c>
      <c r="F8244" t="str">
        <f>T("462042400")</f>
        <v>462042400</v>
      </c>
      <c r="G8244" t="str">
        <f>T("135 N PENNSYLVANIA STREET")</f>
        <v>135 N PENNSYLVANIA STREET</v>
      </c>
      <c r="H8244" t="str">
        <f>T("")</f>
        <v/>
      </c>
      <c r="I8244" t="str">
        <f>T("INDIANAPOLIS")</f>
        <v>INDIANAPOLIS</v>
      </c>
      <c r="J8244" t="str">
        <f>T("IN")</f>
        <v>IN</v>
      </c>
      <c r="K8244" t="str">
        <f>T("000000000000000000")</f>
        <v>000000000000000000</v>
      </c>
      <c r="L8244" t="str">
        <f>T("3712003572")</f>
        <v>3712003572</v>
      </c>
    </row>
    <row r="8245" spans="1:12" x14ac:dyDescent="0.35">
      <c r="A8245" t="str">
        <f t="shared" si="3083"/>
        <v>OPEN</v>
      </c>
      <c r="B8245" t="str">
        <f>T("FLOOR 21 STE 2130")</f>
        <v>FLOOR 21 STE 2130</v>
      </c>
      <c r="C8245" t="str">
        <f>T("135 N PENNSYLVANIA")</f>
        <v>135 N PENNSYLVANIA</v>
      </c>
      <c r="D8245" t="str">
        <f>T("INDIANAPOLIS")</f>
        <v>INDIANAPOLIS</v>
      </c>
      <c r="E8245" t="str">
        <f>T("IN")</f>
        <v>IN</v>
      </c>
      <c r="F8245" t="str">
        <f>T("462042400")</f>
        <v>462042400</v>
      </c>
      <c r="G8245" t="str">
        <f>T("FLOOR 21 STE 2130")</f>
        <v>FLOOR 21 STE 2130</v>
      </c>
      <c r="H8245" t="str">
        <f>T("135 N PENNSYLVANIA")</f>
        <v>135 N PENNSYLVANIA</v>
      </c>
      <c r="I8245" t="str">
        <f>T("INDIANAPOLIS")</f>
        <v>INDIANAPOLIS</v>
      </c>
      <c r="J8245" t="str">
        <f>T("IN")</f>
        <v>IN</v>
      </c>
      <c r="K8245" t="str">
        <f>T("3172003575")</f>
        <v>3172003575</v>
      </c>
      <c r="L8245" t="str">
        <f>T("3172003401")</f>
        <v>3172003401</v>
      </c>
    </row>
    <row r="8246" spans="1:12" x14ac:dyDescent="0.35">
      <c r="A8246" t="str">
        <f t="shared" si="3083"/>
        <v>OPEN</v>
      </c>
      <c r="B8246" t="str">
        <f>T("FLOOR 21 STE 2130")</f>
        <v>FLOOR 21 STE 2130</v>
      </c>
      <c r="C8246" t="str">
        <f>T("135 N PENNSYLVANIA STREET")</f>
        <v>135 N PENNSYLVANIA STREET</v>
      </c>
      <c r="D8246" t="str">
        <f>T("INDIANAPOLIS")</f>
        <v>INDIANAPOLIS</v>
      </c>
      <c r="E8246" t="str">
        <f>T("IN")</f>
        <v>IN</v>
      </c>
      <c r="F8246" t="str">
        <f>T("462042400")</f>
        <v>462042400</v>
      </c>
      <c r="G8246" t="str">
        <f>T("135 N PENNSYLVANIA ST")</f>
        <v>135 N PENNSYLVANIA ST</v>
      </c>
      <c r="H8246" t="str">
        <f>T("")</f>
        <v/>
      </c>
      <c r="I8246" t="str">
        <f>T("INDIANAPOLIS")</f>
        <v>INDIANAPOLIS</v>
      </c>
      <c r="J8246" t="str">
        <f>T("IN")</f>
        <v>IN</v>
      </c>
      <c r="K8246" t="str">
        <f>T("000000000000000000")</f>
        <v>000000000000000000</v>
      </c>
      <c r="L8246" t="str">
        <f>T("3172003444")</f>
        <v>3172003444</v>
      </c>
    </row>
    <row r="8247" spans="1:12" x14ac:dyDescent="0.35">
      <c r="A8247" t="str">
        <f t="shared" si="3083"/>
        <v>OPEN</v>
      </c>
      <c r="B8247" t="str">
        <f>T("FLOOR 21 STE 2130")</f>
        <v>FLOOR 21 STE 2130</v>
      </c>
      <c r="C8247" t="str">
        <f>T("135 N PENNSYLVANIA STREET")</f>
        <v>135 N PENNSYLVANIA STREET</v>
      </c>
      <c r="D8247" t="str">
        <f>T("INDIANAPOLIS")</f>
        <v>INDIANAPOLIS</v>
      </c>
      <c r="E8247" t="str">
        <f>T("IN")</f>
        <v>IN</v>
      </c>
      <c r="F8247" t="str">
        <f>T("462042400")</f>
        <v>462042400</v>
      </c>
      <c r="G8247" t="str">
        <f>T("FLOOR 21 STE 2130")</f>
        <v>FLOOR 21 STE 2130</v>
      </c>
      <c r="H8247" t="str">
        <f>T("135 N PENNSYLVANIA STREET")</f>
        <v>135 N PENNSYLVANIA STREET</v>
      </c>
      <c r="I8247" t="str">
        <f>T("INDIANAPOLIS")</f>
        <v>INDIANAPOLIS</v>
      </c>
      <c r="J8247" t="str">
        <f>T("IN")</f>
        <v>IN</v>
      </c>
      <c r="K8247" t="str">
        <f>T("3172003575")</f>
        <v>3172003575</v>
      </c>
      <c r="L8247" t="str">
        <f>T("3172003401")</f>
        <v>3172003401</v>
      </c>
    </row>
    <row r="8248" spans="1:12" x14ac:dyDescent="0.35">
      <c r="A8248" t="str">
        <f t="shared" si="3083"/>
        <v>OPEN</v>
      </c>
      <c r="B8248" t="str">
        <f t="shared" ref="B8248:B8253" si="3084">T("HEADQUARTERS USMC ARH")</f>
        <v>HEADQUARTERS USMC ARH</v>
      </c>
      <c r="C8248" t="str">
        <f>T("701 COURTHOUSE RD STE 230")</f>
        <v>701 COURTHOUSE RD STE 230</v>
      </c>
      <c r="D8248" t="str">
        <f t="shared" ref="D8248:D8253" si="3085">T("ARLINGTON")</f>
        <v>ARLINGTON</v>
      </c>
      <c r="E8248" t="str">
        <f t="shared" ref="E8248:E8253" si="3086">T("VA")</f>
        <v>VA</v>
      </c>
      <c r="F8248" t="str">
        <f t="shared" ref="F8248:F8253" si="3087">T("222042190")</f>
        <v>222042190</v>
      </c>
      <c r="G8248" t="str">
        <f>T("3000 MARINE CORP PENTAGON")</f>
        <v>3000 MARINE CORP PENTAGON</v>
      </c>
      <c r="H8248" t="str">
        <f>T("RM 2C253")</f>
        <v>RM 2C253</v>
      </c>
      <c r="I8248" t="str">
        <f>T("WASHINGTON")</f>
        <v>WASHINGTON</v>
      </c>
      <c r="J8248" t="str">
        <f>T("DC")</f>
        <v>DC</v>
      </c>
      <c r="K8248" t="str">
        <f>T("7036046661")</f>
        <v>7036046661</v>
      </c>
      <c r="L8248" t="str">
        <f>T("7036149093")</f>
        <v>7036149093</v>
      </c>
    </row>
    <row r="8249" spans="1:12" x14ac:dyDescent="0.35">
      <c r="A8249" t="str">
        <f t="shared" si="3083"/>
        <v>OPEN</v>
      </c>
      <c r="B8249" t="str">
        <f t="shared" si="3084"/>
        <v>HEADQUARTERS USMC ARH</v>
      </c>
      <c r="C8249" t="str">
        <f>T("701 COURTHOUSE RD STE 230")</f>
        <v>701 COURTHOUSE RD STE 230</v>
      </c>
      <c r="D8249" t="str">
        <f t="shared" si="3085"/>
        <v>ARLINGTON</v>
      </c>
      <c r="E8249" t="str">
        <f t="shared" si="3086"/>
        <v>VA</v>
      </c>
      <c r="F8249" t="str">
        <f t="shared" si="3087"/>
        <v>222042190</v>
      </c>
      <c r="G8249" t="str">
        <f>T("ARH RM 2C253")</f>
        <v>ARH RM 2C253</v>
      </c>
      <c r="H8249" t="str">
        <f>T("MARINE CORPS PENTAGON")</f>
        <v>MARINE CORPS PENTAGON</v>
      </c>
      <c r="I8249" t="str">
        <f>T("WASHINGTON")</f>
        <v>WASHINGTON</v>
      </c>
      <c r="J8249" t="str">
        <f>T("DC")</f>
        <v>DC</v>
      </c>
      <c r="K8249" t="str">
        <f>T("000000000000000000")</f>
        <v>000000000000000000</v>
      </c>
      <c r="L8249" t="str">
        <f>T("7036044465")</f>
        <v>7036044465</v>
      </c>
    </row>
    <row r="8250" spans="1:12" x14ac:dyDescent="0.35">
      <c r="A8250" t="str">
        <f t="shared" si="3083"/>
        <v>OPEN</v>
      </c>
      <c r="B8250" t="str">
        <f t="shared" si="3084"/>
        <v>HEADQUARTERS USMC ARH</v>
      </c>
      <c r="C8250" t="str">
        <f>T("701 COURTHOUSE RD STE 230")</f>
        <v>701 COURTHOUSE RD STE 230</v>
      </c>
      <c r="D8250" t="str">
        <f t="shared" si="3085"/>
        <v>ARLINGTON</v>
      </c>
      <c r="E8250" t="str">
        <f t="shared" si="3086"/>
        <v>VA</v>
      </c>
      <c r="F8250" t="str">
        <f t="shared" si="3087"/>
        <v>222042190</v>
      </c>
      <c r="G8250" t="str">
        <f>T("HEADQUARTERS USMC ARH")</f>
        <v>HEADQUARTERS USMC ARH</v>
      </c>
      <c r="H8250" t="str">
        <f>T("701 COURTHOUSE RD STE 230")</f>
        <v>701 COURTHOUSE RD STE 230</v>
      </c>
      <c r="I8250" t="str">
        <f>T("ARLINGTON")</f>
        <v>ARLINGTON</v>
      </c>
      <c r="J8250" t="str">
        <f>T("VA")</f>
        <v>VA</v>
      </c>
      <c r="K8250" t="str">
        <f>T("7036046661")</f>
        <v>7036046661</v>
      </c>
      <c r="L8250" t="str">
        <f>T("7036044619")</f>
        <v>7036044619</v>
      </c>
    </row>
    <row r="8251" spans="1:12" x14ac:dyDescent="0.35">
      <c r="A8251" t="str">
        <f t="shared" si="3083"/>
        <v>OPEN</v>
      </c>
      <c r="B8251" t="str">
        <f t="shared" si="3084"/>
        <v>HEADQUARTERS USMC ARH</v>
      </c>
      <c r="C8251" t="str">
        <f>T("701S COURTHOURSE RD STE 230")</f>
        <v>701S COURTHOURSE RD STE 230</v>
      </c>
      <c r="D8251" t="str">
        <f t="shared" si="3085"/>
        <v>ARLINGTON</v>
      </c>
      <c r="E8251" t="str">
        <f t="shared" si="3086"/>
        <v>VA</v>
      </c>
      <c r="F8251" t="str">
        <f t="shared" si="3087"/>
        <v>222042190</v>
      </c>
      <c r="G8251" t="str">
        <f>T("3000 MARINE CORP PENTAGON")</f>
        <v>3000 MARINE CORP PENTAGON</v>
      </c>
      <c r="H8251" t="str">
        <f>T("RM 2C253")</f>
        <v>RM 2C253</v>
      </c>
      <c r="I8251" t="str">
        <f>T("WASHINGTON")</f>
        <v>WASHINGTON</v>
      </c>
      <c r="J8251" t="str">
        <f>T("DC")</f>
        <v>DC</v>
      </c>
      <c r="K8251" t="str">
        <f>T("7036046661")</f>
        <v>7036046661</v>
      </c>
      <c r="L8251" t="str">
        <f>T("7036149093")</f>
        <v>7036149093</v>
      </c>
    </row>
    <row r="8252" spans="1:12" x14ac:dyDescent="0.35">
      <c r="A8252" t="str">
        <f t="shared" si="3083"/>
        <v>OPEN</v>
      </c>
      <c r="B8252" t="str">
        <f t="shared" si="3084"/>
        <v>HEADQUARTERS USMC ARH</v>
      </c>
      <c r="C8252" t="str">
        <f>T("701S COURTHOURSE RD STE 230")</f>
        <v>701S COURTHOURSE RD STE 230</v>
      </c>
      <c r="D8252" t="str">
        <f t="shared" si="3085"/>
        <v>ARLINGTON</v>
      </c>
      <c r="E8252" t="str">
        <f t="shared" si="3086"/>
        <v>VA</v>
      </c>
      <c r="F8252" t="str">
        <f t="shared" si="3087"/>
        <v>222042190</v>
      </c>
      <c r="G8252" t="str">
        <f>T("ARH RM 2C253")</f>
        <v>ARH RM 2C253</v>
      </c>
      <c r="H8252" t="str">
        <f>T("MARINE CORPS PENTAGON")</f>
        <v>MARINE CORPS PENTAGON</v>
      </c>
      <c r="I8252" t="str">
        <f>T("WASHINGTON")</f>
        <v>WASHINGTON</v>
      </c>
      <c r="J8252" t="str">
        <f>T("DC")</f>
        <v>DC</v>
      </c>
      <c r="K8252" t="str">
        <f>T("000000000000000000")</f>
        <v>000000000000000000</v>
      </c>
      <c r="L8252" t="str">
        <f>T("7036044465")</f>
        <v>7036044465</v>
      </c>
    </row>
    <row r="8253" spans="1:12" x14ac:dyDescent="0.35">
      <c r="A8253" t="str">
        <f t="shared" si="3083"/>
        <v>OPEN</v>
      </c>
      <c r="B8253" t="str">
        <f t="shared" si="3084"/>
        <v>HEADQUARTERS USMC ARH</v>
      </c>
      <c r="C8253" t="str">
        <f>T("701S COURTHOURSE RD STE 230")</f>
        <v>701S COURTHOURSE RD STE 230</v>
      </c>
      <c r="D8253" t="str">
        <f t="shared" si="3085"/>
        <v>ARLINGTON</v>
      </c>
      <c r="E8253" t="str">
        <f t="shared" si="3086"/>
        <v>VA</v>
      </c>
      <c r="F8253" t="str">
        <f t="shared" si="3087"/>
        <v>222042190</v>
      </c>
      <c r="G8253" t="str">
        <f>T("HEADQUARTERS USMC ARH")</f>
        <v>HEADQUARTERS USMC ARH</v>
      </c>
      <c r="H8253" t="str">
        <f>T("701S COURTHOURSE RD STE 230")</f>
        <v>701S COURTHOURSE RD STE 230</v>
      </c>
      <c r="I8253" t="str">
        <f>T("ARLINGTON")</f>
        <v>ARLINGTON</v>
      </c>
      <c r="J8253" t="str">
        <f>T("VA")</f>
        <v>VA</v>
      </c>
      <c r="K8253" t="str">
        <f>T("7036046661")</f>
        <v>7036046661</v>
      </c>
      <c r="L8253" t="str">
        <f>T("7036044619")</f>
        <v>7036044619</v>
      </c>
    </row>
    <row r="8254" spans="1:12" x14ac:dyDescent="0.35">
      <c r="A8254" t="str">
        <f t="shared" si="3083"/>
        <v>OPEN</v>
      </c>
      <c r="B8254" t="str">
        <f>T("HQ PROGRAM &amp; RESOURCES")</f>
        <v>HQ PROGRAM &amp; RESOURCES</v>
      </c>
      <c r="C8254" t="str">
        <f>T("3000 MARINE CORPS PENTAGON")</f>
        <v>3000 MARINE CORPS PENTAGON</v>
      </c>
      <c r="D8254" t="str">
        <f>T("WASHINGTON")</f>
        <v>WASHINGTON</v>
      </c>
      <c r="E8254" t="str">
        <f>T("DC")</f>
        <v>DC</v>
      </c>
      <c r="F8254" t="str">
        <f>T("203503000")</f>
        <v>203503000</v>
      </c>
      <c r="G8254" t="str">
        <f>T("2010 HENDERSON ROAD")</f>
        <v>2010 HENDERSON ROAD</v>
      </c>
      <c r="H8254" t="str">
        <f>T("RM 210")</f>
        <v>RM 210</v>
      </c>
      <c r="I8254" t="str">
        <f>T("QUANTICO")</f>
        <v>QUANTICO</v>
      </c>
      <c r="J8254" t="str">
        <f>T("VA")</f>
        <v>VA</v>
      </c>
      <c r="K8254" t="str">
        <f>T("000000000000000000")</f>
        <v>000000000000000000</v>
      </c>
      <c r="L8254" t="str">
        <f>T("7036975021")</f>
        <v>7036975021</v>
      </c>
    </row>
    <row r="8255" spans="1:12" x14ac:dyDescent="0.35">
      <c r="A8255" t="str">
        <f t="shared" si="3083"/>
        <v>OPEN</v>
      </c>
      <c r="B8255" t="str">
        <f>T("HQ PROGRAM &amp; RESOURCES")</f>
        <v>HQ PROGRAM &amp; RESOURCES</v>
      </c>
      <c r="C8255" t="str">
        <f>T("3000 MARINE CORPS PENTAGON")</f>
        <v>3000 MARINE CORPS PENTAGON</v>
      </c>
      <c r="D8255" t="str">
        <f>T("WASHINGTON")</f>
        <v>WASHINGTON</v>
      </c>
      <c r="E8255" t="str">
        <f>T("DC")</f>
        <v>DC</v>
      </c>
      <c r="F8255" t="str">
        <f>T("203503000")</f>
        <v>203503000</v>
      </c>
      <c r="G8255" t="str">
        <f>T("3000 MARINE CORPS PENTAGON")</f>
        <v>3000 MARINE CORPS PENTAGON</v>
      </c>
      <c r="H8255" t="str">
        <f>T("")</f>
        <v/>
      </c>
      <c r="I8255" t="str">
        <f>T("WASHINGTON")</f>
        <v>WASHINGTON</v>
      </c>
      <c r="J8255" t="str">
        <f>T("DC")</f>
        <v>DC</v>
      </c>
      <c r="K8255" t="str">
        <f>T("000000000000000000")</f>
        <v>000000000000000000</v>
      </c>
      <c r="L8255" t="str">
        <f>T("7036141080")</f>
        <v>7036141080</v>
      </c>
    </row>
    <row r="8256" spans="1:12" x14ac:dyDescent="0.35">
      <c r="A8256" t="str">
        <f t="shared" si="3083"/>
        <v>OPEN</v>
      </c>
      <c r="B8256" t="str">
        <f>T("HQ PROGRAM &amp; RESOURCES")</f>
        <v>HQ PROGRAM &amp; RESOURCES</v>
      </c>
      <c r="C8256" t="str">
        <f>T("3000 MARINE CORPS PENTAGON")</f>
        <v>3000 MARINE CORPS PENTAGON</v>
      </c>
      <c r="D8256" t="str">
        <f>T("WASHINGTON")</f>
        <v>WASHINGTON</v>
      </c>
      <c r="E8256" t="str">
        <f>T("DC")</f>
        <v>DC</v>
      </c>
      <c r="F8256" t="str">
        <f>T("203503000")</f>
        <v>203503000</v>
      </c>
      <c r="G8256" t="str">
        <f>T("HQ PROGRAM &amp; RESOURCES")</f>
        <v>HQ PROGRAM &amp; RESOURCES</v>
      </c>
      <c r="H8256" t="str">
        <f>T("3000 MARINE CORPS PENTAGON")</f>
        <v>3000 MARINE CORPS PENTAGON</v>
      </c>
      <c r="I8256" t="str">
        <f>T("WASHINGTON")</f>
        <v>WASHINGTON</v>
      </c>
      <c r="J8256" t="str">
        <f>T("DC")</f>
        <v>DC</v>
      </c>
      <c r="K8256" t="str">
        <f>T("7036925382")</f>
        <v>7036925382</v>
      </c>
      <c r="L8256" t="str">
        <f>T("7036141080")</f>
        <v>7036141080</v>
      </c>
    </row>
    <row r="8257" spans="1:12" x14ac:dyDescent="0.35">
      <c r="A8257" t="str">
        <f t="shared" si="3083"/>
        <v>OPEN</v>
      </c>
      <c r="B8257" t="str">
        <f>T("HQMC HQBN HENDERSON HALL")</f>
        <v>HQMC HQBN HENDERSON HALL</v>
      </c>
      <c r="C8257" t="str">
        <f>T("1555 SOUTHGATE RD")</f>
        <v>1555 SOUTHGATE RD</v>
      </c>
      <c r="D8257" t="str">
        <f>T("ARLINGTON")</f>
        <v>ARLINGTON</v>
      </c>
      <c r="E8257" t="str">
        <f t="shared" ref="E8257:E8264" si="3088">T("VA")</f>
        <v>VA</v>
      </c>
      <c r="F8257" t="str">
        <f>T("222145001")</f>
        <v>222145001</v>
      </c>
      <c r="G8257" t="str">
        <f>T("1555 SOUTHGATE ROAD")</f>
        <v>1555 SOUTHGATE ROAD</v>
      </c>
      <c r="H8257" t="str">
        <f>T("BLDG 28")</f>
        <v>BLDG 28</v>
      </c>
      <c r="I8257" t="str">
        <f>T("ARLINGTON")</f>
        <v>ARLINGTON</v>
      </c>
      <c r="J8257" t="str">
        <f t="shared" ref="J8257:J8264" si="3089">T("VA")</f>
        <v>VA</v>
      </c>
      <c r="K8257" t="str">
        <f>T("7036958747")</f>
        <v>7036958747</v>
      </c>
      <c r="L8257" t="str">
        <f>T("7036147131")</f>
        <v>7036147131</v>
      </c>
    </row>
    <row r="8258" spans="1:12" x14ac:dyDescent="0.35">
      <c r="A8258" t="str">
        <f t="shared" si="3083"/>
        <v>OPEN</v>
      </c>
      <c r="B8258" t="str">
        <f>T("HQMC HQBN HENDERSON HALL")</f>
        <v>HQMC HQBN HENDERSON HALL</v>
      </c>
      <c r="C8258" t="str">
        <f>T("1555 SOUTHGATE RD")</f>
        <v>1555 SOUTHGATE RD</v>
      </c>
      <c r="D8258" t="str">
        <f>T("ARLINGTON")</f>
        <v>ARLINGTON</v>
      </c>
      <c r="E8258" t="str">
        <f t="shared" si="3088"/>
        <v>VA</v>
      </c>
      <c r="F8258" t="str">
        <f>T("222145001")</f>
        <v>222145001</v>
      </c>
      <c r="G8258" t="str">
        <f>T("1555 SOUTHGATE ROAD BLDG 28")</f>
        <v>1555 SOUTHGATE ROAD BLDG 28</v>
      </c>
      <c r="H8258" t="str">
        <f>T("")</f>
        <v/>
      </c>
      <c r="I8258" t="str">
        <f>T("ARLINGTON")</f>
        <v>ARLINGTON</v>
      </c>
      <c r="J8258" t="str">
        <f t="shared" si="3089"/>
        <v>VA</v>
      </c>
      <c r="K8258" t="str">
        <f>T("7036958747")</f>
        <v>7036958747</v>
      </c>
      <c r="L8258" t="str">
        <f>T("7036147131")</f>
        <v>7036147131</v>
      </c>
    </row>
    <row r="8259" spans="1:12" x14ac:dyDescent="0.35">
      <c r="A8259" t="str">
        <f t="shared" si="3083"/>
        <v>OPEN</v>
      </c>
      <c r="B8259" t="str">
        <f>T("HQMC HQBN HENDERSON HALL")</f>
        <v>HQMC HQBN HENDERSON HALL</v>
      </c>
      <c r="C8259" t="str">
        <f>T("1555 SOUTHGATE RD")</f>
        <v>1555 SOUTHGATE RD</v>
      </c>
      <c r="D8259" t="str">
        <f>T("ARLINGTON")</f>
        <v>ARLINGTON</v>
      </c>
      <c r="E8259" t="str">
        <f t="shared" si="3088"/>
        <v>VA</v>
      </c>
      <c r="F8259" t="str">
        <f>T("222145001")</f>
        <v>222145001</v>
      </c>
      <c r="G8259" t="str">
        <f>T("HQMC HQBN HENDERSON HALL")</f>
        <v>HQMC HQBN HENDERSON HALL</v>
      </c>
      <c r="H8259" t="str">
        <f>T("1555 SOUTHGATE RD")</f>
        <v>1555 SOUTHGATE RD</v>
      </c>
      <c r="I8259" t="str">
        <f>T("ARLINGTON")</f>
        <v>ARLINGTON</v>
      </c>
      <c r="J8259" t="str">
        <f t="shared" si="3089"/>
        <v>VA</v>
      </c>
      <c r="K8259" t="str">
        <f>T("703 695 8747")</f>
        <v>703 695 8747</v>
      </c>
      <c r="L8259" t="str">
        <f>T("7036147131")</f>
        <v>7036147131</v>
      </c>
    </row>
    <row r="8260" spans="1:12" x14ac:dyDescent="0.35">
      <c r="A8260" t="str">
        <f t="shared" si="3083"/>
        <v>OPEN</v>
      </c>
      <c r="B8260" t="str">
        <f>T("HQMC M&amp;RA")</f>
        <v>HQMC M&amp;RA</v>
      </c>
      <c r="C8260" t="str">
        <f>T("3280 RUSSELL RD BLDG 3280")</f>
        <v>3280 RUSSELL RD BLDG 3280</v>
      </c>
      <c r="D8260" t="str">
        <f>T("QUANTICO")</f>
        <v>QUANTICO</v>
      </c>
      <c r="E8260" t="str">
        <f t="shared" si="3088"/>
        <v>VA</v>
      </c>
      <c r="F8260" t="str">
        <f>T("221345143")</f>
        <v>221345143</v>
      </c>
      <c r="G8260" t="str">
        <f>T("3280 RUSSELL RD")</f>
        <v>3280 RUSSELL RD</v>
      </c>
      <c r="H8260" t="str">
        <f>T("")</f>
        <v/>
      </c>
      <c r="I8260" t="str">
        <f>T("QUANTICO")</f>
        <v>QUANTICO</v>
      </c>
      <c r="J8260" t="str">
        <f t="shared" si="3089"/>
        <v>VA</v>
      </c>
      <c r="K8260" t="str">
        <f>T("7037849805")</f>
        <v>7037849805</v>
      </c>
      <c r="L8260" t="str">
        <f>T("7037849100")</f>
        <v>7037849100</v>
      </c>
    </row>
    <row r="8261" spans="1:12" x14ac:dyDescent="0.35">
      <c r="A8261" t="str">
        <f t="shared" si="3083"/>
        <v>OPEN</v>
      </c>
      <c r="B8261" t="str">
        <f>T("HQMC M&amp;RA")</f>
        <v>HQMC M&amp;RA</v>
      </c>
      <c r="C8261" t="str">
        <f>T("3280 RUSSELL RD BLDG 3280")</f>
        <v>3280 RUSSELL RD BLDG 3280</v>
      </c>
      <c r="D8261" t="str">
        <f>T("QUANTICO")</f>
        <v>QUANTICO</v>
      </c>
      <c r="E8261" t="str">
        <f t="shared" si="3088"/>
        <v>VA</v>
      </c>
      <c r="F8261" t="str">
        <f>T("221345143")</f>
        <v>221345143</v>
      </c>
      <c r="G8261" t="str">
        <f>T("HQMC M&amp;RA")</f>
        <v>HQMC M&amp;RA</v>
      </c>
      <c r="H8261" t="str">
        <f>T("3280 RUSSELL RD BLDG 3280")</f>
        <v>3280 RUSSELL RD BLDG 3280</v>
      </c>
      <c r="I8261" t="str">
        <f>T("QUANTICO")</f>
        <v>QUANTICO</v>
      </c>
      <c r="J8261" t="str">
        <f t="shared" si="3089"/>
        <v>VA</v>
      </c>
      <c r="K8261" t="str">
        <f>T("7037849805")</f>
        <v>7037849805</v>
      </c>
      <c r="L8261" t="str">
        <f>T("7037840500")</f>
        <v>7037840500</v>
      </c>
    </row>
    <row r="8262" spans="1:12" x14ac:dyDescent="0.35">
      <c r="A8262" t="str">
        <f t="shared" si="3083"/>
        <v>OPEN</v>
      </c>
      <c r="B8262" t="str">
        <f>T("HQMC M&amp;RA WW REGIMENT")</f>
        <v>HQMC M&amp;RA WW REGIMENT</v>
      </c>
      <c r="C8262" t="str">
        <f>T("3025 JOHN QUICK ROAD")</f>
        <v>3025 JOHN QUICK ROAD</v>
      </c>
      <c r="D8262" t="str">
        <f>T("QUANTICO")</f>
        <v>QUANTICO</v>
      </c>
      <c r="E8262" t="str">
        <f t="shared" si="3088"/>
        <v>VA</v>
      </c>
      <c r="F8262" t="str">
        <f>T("221345162")</f>
        <v>221345162</v>
      </c>
      <c r="G8262" t="str">
        <f>T("3025 JOHN QUICK RD")</f>
        <v>3025 JOHN QUICK RD</v>
      </c>
      <c r="H8262" t="str">
        <f>T("")</f>
        <v/>
      </c>
      <c r="I8262" t="str">
        <f>T("QUANTICO")</f>
        <v>QUANTICO</v>
      </c>
      <c r="J8262" t="str">
        <f t="shared" si="3089"/>
        <v>VA</v>
      </c>
      <c r="K8262" t="str">
        <f>T("000000000000000000")</f>
        <v>000000000000000000</v>
      </c>
      <c r="L8262" t="str">
        <f>T("7034321876")</f>
        <v>7034321876</v>
      </c>
    </row>
    <row r="8263" spans="1:12" x14ac:dyDescent="0.35">
      <c r="A8263" t="str">
        <f t="shared" si="3083"/>
        <v>OPEN</v>
      </c>
      <c r="B8263" t="str">
        <f>T("HQMC M&amp;RA WW REGIMENT")</f>
        <v>HQMC M&amp;RA WW REGIMENT</v>
      </c>
      <c r="C8263" t="str">
        <f>T("3025 JOHN QUICK ROAD")</f>
        <v>3025 JOHN QUICK ROAD</v>
      </c>
      <c r="D8263" t="str">
        <f>T("QUANTICO")</f>
        <v>QUANTICO</v>
      </c>
      <c r="E8263" t="str">
        <f t="shared" si="3088"/>
        <v>VA</v>
      </c>
      <c r="F8263" t="str">
        <f>T("221345162")</f>
        <v>221345162</v>
      </c>
      <c r="G8263" t="str">
        <f>T("3025 JOHN QUICK ROAD")</f>
        <v>3025 JOHN QUICK ROAD</v>
      </c>
      <c r="H8263" t="str">
        <f>T("")</f>
        <v/>
      </c>
      <c r="I8263" t="str">
        <f>T("QUANTICO")</f>
        <v>QUANTICO</v>
      </c>
      <c r="J8263" t="str">
        <f t="shared" si="3089"/>
        <v>VA</v>
      </c>
      <c r="K8263" t="str">
        <f>T("000000000000000000")</f>
        <v>000000000000000000</v>
      </c>
      <c r="L8263" t="str">
        <f>T("7034321865")</f>
        <v>7034321865</v>
      </c>
    </row>
    <row r="8264" spans="1:12" x14ac:dyDescent="0.35">
      <c r="A8264" t="str">
        <f t="shared" si="3083"/>
        <v>OPEN</v>
      </c>
      <c r="B8264" t="str">
        <f>T("HQMC M&amp;RA WW REGIMENT")</f>
        <v>HQMC M&amp;RA WW REGIMENT</v>
      </c>
      <c r="C8264" t="str">
        <f>T("3025 JOHN QUICK ROAD")</f>
        <v>3025 JOHN QUICK ROAD</v>
      </c>
      <c r="D8264" t="str">
        <f>T("QUANTICO")</f>
        <v>QUANTICO</v>
      </c>
      <c r="E8264" t="str">
        <f t="shared" si="3088"/>
        <v>VA</v>
      </c>
      <c r="F8264" t="str">
        <f>T("221345162")</f>
        <v>221345162</v>
      </c>
      <c r="G8264" t="str">
        <f>T("HQMC M&amp;RA WW REGIMENT")</f>
        <v>HQMC M&amp;RA WW REGIMENT</v>
      </c>
      <c r="H8264" t="str">
        <f>T("3025 JOHN QUICK ROAD")</f>
        <v>3025 JOHN QUICK ROAD</v>
      </c>
      <c r="I8264" t="str">
        <f>T("QUANTICO")</f>
        <v>QUANTICO</v>
      </c>
      <c r="J8264" t="str">
        <f t="shared" si="3089"/>
        <v>VA</v>
      </c>
      <c r="K8264" t="str">
        <f>T("7034321869")</f>
        <v>7034321869</v>
      </c>
      <c r="L8264" t="str">
        <f>T("7034321862")</f>
        <v>7034321862</v>
      </c>
    </row>
    <row r="8265" spans="1:12" x14ac:dyDescent="0.35">
      <c r="A8265" t="str">
        <f t="shared" si="3083"/>
        <v>OPEN</v>
      </c>
      <c r="B8265" t="str">
        <f>T("MARINE BARRACKS POST SUPPLY")</f>
        <v>MARINE BARRACKS POST SUPPLY</v>
      </c>
      <c r="C8265" t="str">
        <f>T("8TH &amp; I STREETS SE")</f>
        <v>8TH &amp; I STREETS SE</v>
      </c>
      <c r="D8265" t="str">
        <f t="shared" ref="D8265:D8276" si="3090">T("WASHINGTON")</f>
        <v>WASHINGTON</v>
      </c>
      <c r="E8265" t="str">
        <f t="shared" ref="E8265:E8276" si="3091">T("DC")</f>
        <v>DC</v>
      </c>
      <c r="F8265" t="str">
        <f t="shared" ref="F8265:F8276" si="3092">T("203900001")</f>
        <v>203900001</v>
      </c>
      <c r="G8265" t="str">
        <f>T("912 CHARLES POOR ST")</f>
        <v>912 CHARLES POOR ST</v>
      </c>
      <c r="H8265" t="str">
        <f>T("SE 20391")</f>
        <v>SE 20391</v>
      </c>
      <c r="I8265" t="str">
        <f t="shared" ref="I8265:I8276" si="3093">T("WASHINGTON")</f>
        <v>WASHINGTON</v>
      </c>
      <c r="J8265" t="str">
        <f t="shared" ref="J8265:J8276" si="3094">T("DC")</f>
        <v>DC</v>
      </c>
      <c r="K8265" t="str">
        <f>T("000000000000000000")</f>
        <v>000000000000000000</v>
      </c>
      <c r="L8265" t="str">
        <f>T("2024332400")</f>
        <v>2024332400</v>
      </c>
    </row>
    <row r="8266" spans="1:12" x14ac:dyDescent="0.35">
      <c r="A8266" t="str">
        <f t="shared" si="3083"/>
        <v>OPEN</v>
      </c>
      <c r="B8266" t="str">
        <f>T("MARINE BARRACKS POST SUPPLY")</f>
        <v>MARINE BARRACKS POST SUPPLY</v>
      </c>
      <c r="C8266" t="str">
        <f>T("8TH &amp; I STREETS SE")</f>
        <v>8TH &amp; I STREETS SE</v>
      </c>
      <c r="D8266" t="str">
        <f t="shared" si="3090"/>
        <v>WASHINGTON</v>
      </c>
      <c r="E8266" t="str">
        <f t="shared" si="3091"/>
        <v>DC</v>
      </c>
      <c r="F8266" t="str">
        <f t="shared" si="3092"/>
        <v>203900001</v>
      </c>
      <c r="G8266" t="str">
        <f>T("912 CHARLES POOR ST SE")</f>
        <v>912 CHARLES POOR ST SE</v>
      </c>
      <c r="H8266" t="str">
        <f>T("BLDG 169")</f>
        <v>BLDG 169</v>
      </c>
      <c r="I8266" t="str">
        <f t="shared" si="3093"/>
        <v>WASHINGTON</v>
      </c>
      <c r="J8266" t="str">
        <f t="shared" si="3094"/>
        <v>DC</v>
      </c>
      <c r="K8266" t="str">
        <f>T("000000000000000000")</f>
        <v>000000000000000000</v>
      </c>
      <c r="L8266" t="str">
        <f>T("2024332400")</f>
        <v>2024332400</v>
      </c>
    </row>
    <row r="8267" spans="1:12" x14ac:dyDescent="0.35">
      <c r="A8267" t="str">
        <f t="shared" si="3083"/>
        <v>OPEN</v>
      </c>
      <c r="B8267" t="str">
        <f>T("MARINE BARRACKS POST SUPPLY")</f>
        <v>MARINE BARRACKS POST SUPPLY</v>
      </c>
      <c r="C8267" t="str">
        <f>T("8TH &amp; I STREETS SE")</f>
        <v>8TH &amp; I STREETS SE</v>
      </c>
      <c r="D8267" t="str">
        <f t="shared" si="3090"/>
        <v>WASHINGTON</v>
      </c>
      <c r="E8267" t="str">
        <f t="shared" si="3091"/>
        <v>DC</v>
      </c>
      <c r="F8267" t="str">
        <f t="shared" si="3092"/>
        <v>203900001</v>
      </c>
      <c r="G8267" t="str">
        <f>T("912 CHARLES POOR ST SE")</f>
        <v>912 CHARLES POOR ST SE</v>
      </c>
      <c r="H8267" t="str">
        <f>T("BLDG 169")</f>
        <v>BLDG 169</v>
      </c>
      <c r="I8267" t="str">
        <f t="shared" si="3093"/>
        <v>WASHINGTON</v>
      </c>
      <c r="J8267" t="str">
        <f t="shared" si="3094"/>
        <v>DC</v>
      </c>
      <c r="K8267" t="str">
        <f>T("000000000000000000")</f>
        <v>000000000000000000</v>
      </c>
      <c r="L8267" t="str">
        <f>T("2024334746")</f>
        <v>2024334746</v>
      </c>
    </row>
    <row r="8268" spans="1:12" x14ac:dyDescent="0.35">
      <c r="A8268" t="str">
        <f t="shared" si="3083"/>
        <v>OPEN</v>
      </c>
      <c r="B8268" t="str">
        <f>T("MARINE BARRACKS POST SUPPLY")</f>
        <v>MARINE BARRACKS POST SUPPLY</v>
      </c>
      <c r="C8268" t="str">
        <f>T("8TH &amp; I STREETS SE")</f>
        <v>8TH &amp; I STREETS SE</v>
      </c>
      <c r="D8268" t="str">
        <f t="shared" si="3090"/>
        <v>WASHINGTON</v>
      </c>
      <c r="E8268" t="str">
        <f t="shared" si="3091"/>
        <v>DC</v>
      </c>
      <c r="F8268" t="str">
        <f t="shared" si="3092"/>
        <v>203900001</v>
      </c>
      <c r="G8268" t="str">
        <f>T("912 CHARLES POORT ST SE")</f>
        <v>912 CHARLES POORT ST SE</v>
      </c>
      <c r="H8268" t="str">
        <f>T("BLDG 169")</f>
        <v>BLDG 169</v>
      </c>
      <c r="I8268" t="str">
        <f t="shared" si="3093"/>
        <v>WASHINGTON</v>
      </c>
      <c r="J8268" t="str">
        <f t="shared" si="3094"/>
        <v>DC</v>
      </c>
      <c r="K8268" t="str">
        <f>T("000000000000000000")</f>
        <v>000000000000000000</v>
      </c>
      <c r="L8268" t="str">
        <f>T("2024334746")</f>
        <v>2024334746</v>
      </c>
    </row>
    <row r="8269" spans="1:12" x14ac:dyDescent="0.35">
      <c r="A8269" t="str">
        <f t="shared" si="3083"/>
        <v>OPEN</v>
      </c>
      <c r="B8269" t="str">
        <f>T("MARINE BARRACKS POST SUPPLY")</f>
        <v>MARINE BARRACKS POST SUPPLY</v>
      </c>
      <c r="C8269" t="str">
        <f>T("8TH &amp; I STREETS SE")</f>
        <v>8TH &amp; I STREETS SE</v>
      </c>
      <c r="D8269" t="str">
        <f t="shared" si="3090"/>
        <v>WASHINGTON</v>
      </c>
      <c r="E8269" t="str">
        <f t="shared" si="3091"/>
        <v>DC</v>
      </c>
      <c r="F8269" t="str">
        <f t="shared" si="3092"/>
        <v>203900001</v>
      </c>
      <c r="G8269" t="str">
        <f>T("MARINE BARRACKS POST SUPPLY")</f>
        <v>MARINE BARRACKS POST SUPPLY</v>
      </c>
      <c r="H8269" t="str">
        <f>T("8TH &amp; I STREETS SE")</f>
        <v>8TH &amp; I STREETS SE</v>
      </c>
      <c r="I8269" t="str">
        <f t="shared" si="3093"/>
        <v>WASHINGTON</v>
      </c>
      <c r="J8269" t="str">
        <f t="shared" si="3094"/>
        <v>DC</v>
      </c>
      <c r="K8269" t="str">
        <f>T("2024334702")</f>
        <v>2024334702</v>
      </c>
      <c r="L8269" t="str">
        <f>T("2024333968")</f>
        <v>2024333968</v>
      </c>
    </row>
    <row r="8270" spans="1:12" x14ac:dyDescent="0.35">
      <c r="A8270" t="str">
        <f t="shared" si="3083"/>
        <v>OPEN</v>
      </c>
      <c r="B8270" t="str">
        <f t="shared" ref="B8270:B8276" si="3095">T("MARINE BARRACKS WASHINGTON")</f>
        <v>MARINE BARRACKS WASHINGTON</v>
      </c>
      <c r="C8270" t="str">
        <f t="shared" ref="C8270:C8276" si="3096">T("8TH AND I STREETS SE")</f>
        <v>8TH AND I STREETS SE</v>
      </c>
      <c r="D8270" t="str">
        <f t="shared" si="3090"/>
        <v>WASHINGTON</v>
      </c>
      <c r="E8270" t="str">
        <f t="shared" si="3091"/>
        <v>DC</v>
      </c>
      <c r="F8270" t="str">
        <f t="shared" si="3092"/>
        <v>203900001</v>
      </c>
      <c r="G8270" t="str">
        <f>T("8TH &amp; I SE")</f>
        <v>8TH &amp; I SE</v>
      </c>
      <c r="H8270" t="str">
        <f>T("")</f>
        <v/>
      </c>
      <c r="I8270" t="str">
        <f t="shared" si="3093"/>
        <v>WASHINGTON</v>
      </c>
      <c r="J8270" t="str">
        <f t="shared" si="3094"/>
        <v>DC</v>
      </c>
      <c r="K8270" t="str">
        <f>T("2024332686")</f>
        <v>2024332686</v>
      </c>
      <c r="L8270" t="str">
        <f>T("2024333766")</f>
        <v>2024333766</v>
      </c>
    </row>
    <row r="8271" spans="1:12" x14ac:dyDescent="0.35">
      <c r="A8271" t="str">
        <f t="shared" si="3083"/>
        <v>OPEN</v>
      </c>
      <c r="B8271" t="str">
        <f t="shared" si="3095"/>
        <v>MARINE BARRACKS WASHINGTON</v>
      </c>
      <c r="C8271" t="str">
        <f t="shared" si="3096"/>
        <v>8TH AND I STREETS SE</v>
      </c>
      <c r="D8271" t="str">
        <f t="shared" si="3090"/>
        <v>WASHINGTON</v>
      </c>
      <c r="E8271" t="str">
        <f t="shared" si="3091"/>
        <v>DC</v>
      </c>
      <c r="F8271" t="str">
        <f t="shared" si="3092"/>
        <v>203900001</v>
      </c>
      <c r="G8271" t="str">
        <f>T("8TH &amp; I STS SE")</f>
        <v>8TH &amp; I STS SE</v>
      </c>
      <c r="H8271" t="str">
        <f>T("")</f>
        <v/>
      </c>
      <c r="I8271" t="str">
        <f t="shared" si="3093"/>
        <v>WASHINGTON</v>
      </c>
      <c r="J8271" t="str">
        <f t="shared" si="3094"/>
        <v>DC</v>
      </c>
      <c r="K8271" t="str">
        <f>T("2024332686")</f>
        <v>2024332686</v>
      </c>
      <c r="L8271" t="str">
        <f>T("2024333766")</f>
        <v>2024333766</v>
      </c>
    </row>
    <row r="8272" spans="1:12" x14ac:dyDescent="0.35">
      <c r="A8272" t="str">
        <f t="shared" si="3083"/>
        <v>OPEN</v>
      </c>
      <c r="B8272" t="str">
        <f t="shared" si="3095"/>
        <v>MARINE BARRACKS WASHINGTON</v>
      </c>
      <c r="C8272" t="str">
        <f t="shared" si="3096"/>
        <v>8TH AND I STREETS SE</v>
      </c>
      <c r="D8272" t="str">
        <f t="shared" si="3090"/>
        <v>WASHINGTON</v>
      </c>
      <c r="E8272" t="str">
        <f t="shared" si="3091"/>
        <v>DC</v>
      </c>
      <c r="F8272" t="str">
        <f t="shared" si="3092"/>
        <v>203900001</v>
      </c>
      <c r="G8272" t="str">
        <f>T("8TH AND I STEETS SE")</f>
        <v>8TH AND I STEETS SE</v>
      </c>
      <c r="H8272" t="str">
        <f>T("")</f>
        <v/>
      </c>
      <c r="I8272" t="str">
        <f t="shared" si="3093"/>
        <v>WASHINGTON</v>
      </c>
      <c r="J8272" t="str">
        <f t="shared" si="3094"/>
        <v>DC</v>
      </c>
      <c r="K8272" t="str">
        <f>T("2024332686")</f>
        <v>2024332686</v>
      </c>
      <c r="L8272" t="str">
        <f>T("2024332779")</f>
        <v>2024332779</v>
      </c>
    </row>
    <row r="8273" spans="1:12" x14ac:dyDescent="0.35">
      <c r="A8273" t="str">
        <f t="shared" si="3083"/>
        <v>OPEN</v>
      </c>
      <c r="B8273" t="str">
        <f t="shared" si="3095"/>
        <v>MARINE BARRACKS WASHINGTON</v>
      </c>
      <c r="C8273" t="str">
        <f t="shared" si="3096"/>
        <v>8TH AND I STREETS SE</v>
      </c>
      <c r="D8273" t="str">
        <f t="shared" si="3090"/>
        <v>WASHINGTON</v>
      </c>
      <c r="E8273" t="str">
        <f t="shared" si="3091"/>
        <v>DC</v>
      </c>
      <c r="F8273" t="str">
        <f t="shared" si="3092"/>
        <v>203900001</v>
      </c>
      <c r="G8273" t="str">
        <f>T("8TH AND I STS SE")</f>
        <v>8TH AND I STS SE</v>
      </c>
      <c r="H8273" t="str">
        <f>T("")</f>
        <v/>
      </c>
      <c r="I8273" t="str">
        <f t="shared" si="3093"/>
        <v>WASHINGTON</v>
      </c>
      <c r="J8273" t="str">
        <f t="shared" si="3094"/>
        <v>DC</v>
      </c>
      <c r="K8273" t="str">
        <f>T("2024332686")</f>
        <v>2024332686</v>
      </c>
      <c r="L8273" t="str">
        <f>T("2024332779")</f>
        <v>2024332779</v>
      </c>
    </row>
    <row r="8274" spans="1:12" x14ac:dyDescent="0.35">
      <c r="A8274" t="str">
        <f t="shared" si="3083"/>
        <v>OPEN</v>
      </c>
      <c r="B8274" t="str">
        <f t="shared" si="3095"/>
        <v>MARINE BARRACKS WASHINGTON</v>
      </c>
      <c r="C8274" t="str">
        <f t="shared" si="3096"/>
        <v>8TH AND I STREETS SE</v>
      </c>
      <c r="D8274" t="str">
        <f t="shared" si="3090"/>
        <v>WASHINGTON</v>
      </c>
      <c r="E8274" t="str">
        <f t="shared" si="3091"/>
        <v>DC</v>
      </c>
      <c r="F8274" t="str">
        <f t="shared" si="3092"/>
        <v>203900001</v>
      </c>
      <c r="G8274" t="str">
        <f>T("MARINE BARRACKS WASHINGTON")</f>
        <v>MARINE BARRACKS WASHINGTON</v>
      </c>
      <c r="H8274" t="str">
        <f>T("8TH AND I STREETS SE")</f>
        <v>8TH AND I STREETS SE</v>
      </c>
      <c r="I8274" t="str">
        <f t="shared" si="3093"/>
        <v>WASHINGTON</v>
      </c>
      <c r="J8274" t="str">
        <f t="shared" si="3094"/>
        <v>DC</v>
      </c>
      <c r="K8274" t="str">
        <f>T("")</f>
        <v/>
      </c>
      <c r="L8274" t="str">
        <f>T("2024335689")</f>
        <v>2024335689</v>
      </c>
    </row>
    <row r="8275" spans="1:12" x14ac:dyDescent="0.35">
      <c r="A8275" t="str">
        <f t="shared" si="3083"/>
        <v>OPEN</v>
      </c>
      <c r="B8275" t="str">
        <f t="shared" si="3095"/>
        <v>MARINE BARRACKS WASHINGTON</v>
      </c>
      <c r="C8275" t="str">
        <f t="shared" si="3096"/>
        <v>8TH AND I STREETS SE</v>
      </c>
      <c r="D8275" t="str">
        <f t="shared" si="3090"/>
        <v>WASHINGTON</v>
      </c>
      <c r="E8275" t="str">
        <f t="shared" si="3091"/>
        <v>DC</v>
      </c>
      <c r="F8275" t="str">
        <f t="shared" si="3092"/>
        <v>203900001</v>
      </c>
      <c r="G8275" t="str">
        <f>T("MARINE BARRACKS WASHINGTON")</f>
        <v>MARINE BARRACKS WASHINGTON</v>
      </c>
      <c r="H8275" t="str">
        <f>T("8TH AND I STREETS SE")</f>
        <v>8TH AND I STREETS SE</v>
      </c>
      <c r="I8275" t="str">
        <f t="shared" si="3093"/>
        <v>WASHINGTON</v>
      </c>
      <c r="J8275" t="str">
        <f t="shared" si="3094"/>
        <v>DC</v>
      </c>
      <c r="K8275" t="str">
        <f>T("2024333884")</f>
        <v>2024333884</v>
      </c>
      <c r="L8275" t="str">
        <f>T("2024335714")</f>
        <v>2024335714</v>
      </c>
    </row>
    <row r="8276" spans="1:12" x14ac:dyDescent="0.35">
      <c r="A8276" t="str">
        <f t="shared" ref="A8276:A8310" si="3097">T("OPEN")</f>
        <v>OPEN</v>
      </c>
      <c r="B8276" t="str">
        <f t="shared" si="3095"/>
        <v>MARINE BARRACKS WASHINGTON</v>
      </c>
      <c r="C8276" t="str">
        <f t="shared" si="3096"/>
        <v>8TH AND I STREETS SE</v>
      </c>
      <c r="D8276" t="str">
        <f t="shared" si="3090"/>
        <v>WASHINGTON</v>
      </c>
      <c r="E8276" t="str">
        <f t="shared" si="3091"/>
        <v>DC</v>
      </c>
      <c r="F8276" t="str">
        <f t="shared" si="3092"/>
        <v>203900001</v>
      </c>
      <c r="G8276" t="str">
        <f>T("MARINE CORPS BAND")</f>
        <v>MARINE CORPS BAND</v>
      </c>
      <c r="H8276" t="str">
        <f>T("8TH AND I STREETS SE")</f>
        <v>8TH AND I STREETS SE</v>
      </c>
      <c r="I8276" t="str">
        <f t="shared" si="3093"/>
        <v>WASHINGTON</v>
      </c>
      <c r="J8276" t="str">
        <f t="shared" si="3094"/>
        <v>DC</v>
      </c>
      <c r="K8276" t="str">
        <f>T("2024333884")</f>
        <v>2024333884</v>
      </c>
      <c r="L8276" t="str">
        <f>T("2024333990")</f>
        <v>2024333990</v>
      </c>
    </row>
    <row r="8277" spans="1:12" x14ac:dyDescent="0.35">
      <c r="A8277" t="str">
        <f t="shared" si="3097"/>
        <v>OPEN</v>
      </c>
      <c r="B8277" t="str">
        <f>T("MC DISB OPS &amp; SYS SECT")</f>
        <v>MC DISB OPS &amp; SYS SECT</v>
      </c>
      <c r="C8277" t="str">
        <f>T("2306 E 95TH STREET")</f>
        <v>2306 E 95TH STREET</v>
      </c>
      <c r="D8277" t="str">
        <f>T("KANSAS CITY")</f>
        <v>KANSAS CITY</v>
      </c>
      <c r="E8277" t="str">
        <f>T("MO")</f>
        <v>MO</v>
      </c>
      <c r="F8277" t="str">
        <f>T("641708500")</f>
        <v>641708500</v>
      </c>
      <c r="G8277" t="str">
        <f>T("2306 E BANNISTER ROAD")</f>
        <v>2306 E BANNISTER ROAD</v>
      </c>
      <c r="H8277" t="str">
        <f>T("")</f>
        <v/>
      </c>
      <c r="I8277" t="str">
        <f>T("KANSAS CITY")</f>
        <v>KANSAS CITY</v>
      </c>
      <c r="J8277" t="str">
        <f>T("MO")</f>
        <v>MO</v>
      </c>
      <c r="K8277" t="str">
        <f>T("000000000000000000")</f>
        <v>000000000000000000</v>
      </c>
      <c r="L8277" t="str">
        <f>T("8163947281")</f>
        <v>8163947281</v>
      </c>
    </row>
    <row r="8278" spans="1:12" x14ac:dyDescent="0.35">
      <c r="A8278" t="str">
        <f t="shared" si="3097"/>
        <v>OPEN</v>
      </c>
      <c r="B8278" t="str">
        <f>T("MC DISB OPS &amp; SYS SECT")</f>
        <v>MC DISB OPS &amp; SYS SECT</v>
      </c>
      <c r="C8278" t="str">
        <f>T("2306 E 95TH STREET")</f>
        <v>2306 E 95TH STREET</v>
      </c>
      <c r="D8278" t="str">
        <f>T("KANSAS CITY")</f>
        <v>KANSAS CITY</v>
      </c>
      <c r="E8278" t="str">
        <f>T("MO")</f>
        <v>MO</v>
      </c>
      <c r="F8278" t="str">
        <f>T("641708500")</f>
        <v>641708500</v>
      </c>
      <c r="G8278" t="str">
        <f>T("2306 E BANNISTER ROAD")</f>
        <v>2306 E BANNISTER ROAD</v>
      </c>
      <c r="H8278" t="str">
        <f>T("")</f>
        <v/>
      </c>
      <c r="I8278" t="str">
        <f>T("KANSAS CITY")</f>
        <v>KANSAS CITY</v>
      </c>
      <c r="J8278" t="str">
        <f>T("MO")</f>
        <v>MO</v>
      </c>
      <c r="K8278" t="str">
        <f>T("8163947435")</f>
        <v>8163947435</v>
      </c>
      <c r="L8278" t="str">
        <f>T("8163947439")</f>
        <v>8163947439</v>
      </c>
    </row>
    <row r="8279" spans="1:12" x14ac:dyDescent="0.35">
      <c r="A8279" t="str">
        <f t="shared" si="3097"/>
        <v>OPEN</v>
      </c>
      <c r="B8279" t="str">
        <f>T("MC DISB OPS &amp; SYS SECT")</f>
        <v>MC DISB OPS &amp; SYS SECT</v>
      </c>
      <c r="C8279" t="str">
        <f>T("2306 E 95TH STREET")</f>
        <v>2306 E 95TH STREET</v>
      </c>
      <c r="D8279" t="str">
        <f>T("KANSAS CITY")</f>
        <v>KANSAS CITY</v>
      </c>
      <c r="E8279" t="str">
        <f>T("MO")</f>
        <v>MO</v>
      </c>
      <c r="F8279" t="str">
        <f>T("641708500")</f>
        <v>641708500</v>
      </c>
      <c r="G8279" t="str">
        <f>T("MC DISB OPS &amp; SYS SECT")</f>
        <v>MC DISB OPS &amp; SYS SECT</v>
      </c>
      <c r="H8279" t="str">
        <f>T("2306 E 95TH STREET")</f>
        <v>2306 E 95TH STREET</v>
      </c>
      <c r="I8279" t="str">
        <f>T("KANSAS CITY")</f>
        <v>KANSAS CITY</v>
      </c>
      <c r="J8279" t="str">
        <f>T("MO")</f>
        <v>MO</v>
      </c>
      <c r="K8279" t="str">
        <f>T("8163947435")</f>
        <v>8163947435</v>
      </c>
      <c r="L8279" t="str">
        <f>T("8163947434")</f>
        <v>8163947434</v>
      </c>
    </row>
    <row r="8280" spans="1:12" x14ac:dyDescent="0.35">
      <c r="A8280" t="str">
        <f t="shared" si="3097"/>
        <v>OPEN</v>
      </c>
      <c r="B8280" t="str">
        <f>T("MC INTEL ACTIVITY")</f>
        <v>MC INTEL ACTIVITY</v>
      </c>
      <c r="C8280" t="str">
        <f>T("2033 BARNETT AVE")</f>
        <v>2033 BARNETT AVE</v>
      </c>
      <c r="D8280" t="str">
        <f>T("QUANTICO")</f>
        <v>QUANTICO</v>
      </c>
      <c r="E8280" t="str">
        <f t="shared" ref="E8280:E8285" si="3098">T("VA")</f>
        <v>VA</v>
      </c>
      <c r="F8280" t="str">
        <f>T("221345103")</f>
        <v>221345103</v>
      </c>
      <c r="G8280" t="str">
        <f>T("2033 BARNETT AVE")</f>
        <v>2033 BARNETT AVE</v>
      </c>
      <c r="H8280" t="str">
        <f>T("")</f>
        <v/>
      </c>
      <c r="I8280" t="str">
        <f>T("QUANTICO")</f>
        <v>QUANTICO</v>
      </c>
      <c r="J8280" t="str">
        <f t="shared" ref="J8280:J8285" si="3099">T("VA")</f>
        <v>VA</v>
      </c>
      <c r="K8280" t="str">
        <f>T("000000000000000000")</f>
        <v>000000000000000000</v>
      </c>
      <c r="L8280" t="str">
        <f>T("7034327548")</f>
        <v>7034327548</v>
      </c>
    </row>
    <row r="8281" spans="1:12" x14ac:dyDescent="0.35">
      <c r="A8281" t="str">
        <f t="shared" si="3097"/>
        <v>OPEN</v>
      </c>
      <c r="B8281" t="str">
        <f>T("MC INTEL ACTIVITY")</f>
        <v>MC INTEL ACTIVITY</v>
      </c>
      <c r="C8281" t="str">
        <f>T("2033 BARNETT AVE")</f>
        <v>2033 BARNETT AVE</v>
      </c>
      <c r="D8281" t="str">
        <f>T("QUANTICO")</f>
        <v>QUANTICO</v>
      </c>
      <c r="E8281" t="str">
        <f t="shared" si="3098"/>
        <v>VA</v>
      </c>
      <c r="F8281" t="str">
        <f>T("221345103")</f>
        <v>221345103</v>
      </c>
      <c r="G8281" t="str">
        <f>T("2033 BARNETT AVENUE")</f>
        <v>2033 BARNETT AVENUE</v>
      </c>
      <c r="H8281" t="str">
        <f>T("ATTENTION S8")</f>
        <v>ATTENTION S8</v>
      </c>
      <c r="I8281" t="str">
        <f>T("QUANTICO")</f>
        <v>QUANTICO</v>
      </c>
      <c r="J8281" t="str">
        <f t="shared" si="3099"/>
        <v>VA</v>
      </c>
      <c r="K8281" t="str">
        <f>T("7034327836")</f>
        <v>7034327836</v>
      </c>
      <c r="L8281" t="str">
        <f>T("7034327539")</f>
        <v>7034327539</v>
      </c>
    </row>
    <row r="8282" spans="1:12" x14ac:dyDescent="0.35">
      <c r="A8282" t="str">
        <f t="shared" si="3097"/>
        <v>OPEN</v>
      </c>
      <c r="B8282" t="str">
        <f>T("MC INTEL ACTIVITY")</f>
        <v>MC INTEL ACTIVITY</v>
      </c>
      <c r="C8282" t="str">
        <f>T("2033 BARNETT AVE")</f>
        <v>2033 BARNETT AVE</v>
      </c>
      <c r="D8282" t="str">
        <f>T("QUANTICO")</f>
        <v>QUANTICO</v>
      </c>
      <c r="E8282" t="str">
        <f t="shared" si="3098"/>
        <v>VA</v>
      </c>
      <c r="F8282" t="str">
        <f>T("221345103")</f>
        <v>221345103</v>
      </c>
      <c r="G8282" t="str">
        <f>T("MC INTEL ACTIVITY")</f>
        <v>MC INTEL ACTIVITY</v>
      </c>
      <c r="H8282" t="str">
        <f>T("2033 BARNETT AVE")</f>
        <v>2033 BARNETT AVE</v>
      </c>
      <c r="I8282" t="str">
        <f>T("QUANTICO")</f>
        <v>QUANTICO</v>
      </c>
      <c r="J8282" t="str">
        <f t="shared" si="3099"/>
        <v>VA</v>
      </c>
      <c r="K8282" t="str">
        <f>T("7034327836")</f>
        <v>7034327836</v>
      </c>
      <c r="L8282" t="str">
        <f>T("7034327545")</f>
        <v>7034327545</v>
      </c>
    </row>
    <row r="8283" spans="1:12" x14ac:dyDescent="0.35">
      <c r="A8283" t="str">
        <f t="shared" si="3097"/>
        <v>OPEN</v>
      </c>
      <c r="B8283" t="str">
        <f>T("MC INTEL ACTIVITY")</f>
        <v>MC INTEL ACTIVITY</v>
      </c>
      <c r="C8283" t="str">
        <f>T("2033 BARNETT AVE")</f>
        <v>2033 BARNETT AVE</v>
      </c>
      <c r="D8283" t="str">
        <f>T("QUANTICO")</f>
        <v>QUANTICO</v>
      </c>
      <c r="E8283" t="str">
        <f t="shared" si="3098"/>
        <v>VA</v>
      </c>
      <c r="F8283" t="str">
        <f>T("221345103")</f>
        <v>221345103</v>
      </c>
      <c r="G8283" t="str">
        <f>T("RMD")</f>
        <v>RMD</v>
      </c>
      <c r="H8283" t="str">
        <f>T("2033 BARNETT AVE")</f>
        <v>2033 BARNETT AVE</v>
      </c>
      <c r="I8283" t="str">
        <f>T("QUANTICO")</f>
        <v>QUANTICO</v>
      </c>
      <c r="J8283" t="str">
        <f t="shared" si="3099"/>
        <v>VA</v>
      </c>
      <c r="K8283" t="str">
        <f>T("7034327836")</f>
        <v>7034327836</v>
      </c>
      <c r="L8283" t="str">
        <f>T("7034327548")</f>
        <v>7034327548</v>
      </c>
    </row>
    <row r="8284" spans="1:12" x14ac:dyDescent="0.35">
      <c r="A8284" t="str">
        <f t="shared" si="3097"/>
        <v>OPEN</v>
      </c>
      <c r="B8284" t="str">
        <f>T("MCICOM G6 ROOM 2R225")</f>
        <v>MCICOM G6 ROOM 2R225</v>
      </c>
      <c r="C8284" t="str">
        <f>T("701 S COURTHOUSE ROAD")</f>
        <v>701 S COURTHOUSE ROAD</v>
      </c>
      <c r="D8284" t="str">
        <f>T("ARLINGTON")</f>
        <v>ARLINGTON</v>
      </c>
      <c r="E8284" t="str">
        <f t="shared" si="3098"/>
        <v>VA</v>
      </c>
      <c r="F8284" t="str">
        <f>T("222042190")</f>
        <v>222042190</v>
      </c>
      <c r="G8284" t="str">
        <f>T("701 SOUTH COURTHOUSE ROAD")</f>
        <v>701 SOUTH COURTHOUSE ROAD</v>
      </c>
      <c r="H8284" t="str">
        <f>T("")</f>
        <v/>
      </c>
      <c r="I8284" t="str">
        <f>T("ARLINGTON")</f>
        <v>ARLINGTON</v>
      </c>
      <c r="J8284" t="str">
        <f t="shared" si="3099"/>
        <v>VA</v>
      </c>
      <c r="K8284" t="str">
        <f>T("000000000000000000")</f>
        <v>000000000000000000</v>
      </c>
      <c r="L8284" t="str">
        <f>T("7036044377")</f>
        <v>7036044377</v>
      </c>
    </row>
    <row r="8285" spans="1:12" x14ac:dyDescent="0.35">
      <c r="A8285" t="str">
        <f t="shared" si="3097"/>
        <v>OPEN</v>
      </c>
      <c r="B8285" t="str">
        <f>T("MCICOM G6 ROOM 2R225")</f>
        <v>MCICOM G6 ROOM 2R225</v>
      </c>
      <c r="C8285" t="str">
        <f>T("701 S COURTHOUSE ROAD")</f>
        <v>701 S COURTHOUSE ROAD</v>
      </c>
      <c r="D8285" t="str">
        <f>T("ARLINGTON")</f>
        <v>ARLINGTON</v>
      </c>
      <c r="E8285" t="str">
        <f t="shared" si="3098"/>
        <v>VA</v>
      </c>
      <c r="F8285" t="str">
        <f>T("222042190")</f>
        <v>222042190</v>
      </c>
      <c r="G8285" t="str">
        <f>T("MCICOM G6 ROOM 2R225")</f>
        <v>MCICOM G6 ROOM 2R225</v>
      </c>
      <c r="H8285" t="str">
        <f>T("701 S COURTHOUSE ROAD")</f>
        <v>701 S COURTHOUSE ROAD</v>
      </c>
      <c r="I8285" t="str">
        <f>T("ARLINGTON")</f>
        <v>ARLINGTON</v>
      </c>
      <c r="J8285" t="str">
        <f t="shared" si="3099"/>
        <v>VA</v>
      </c>
      <c r="K8285" t="str">
        <f>T("")</f>
        <v/>
      </c>
      <c r="L8285" t="str">
        <f>T("7036044369")</f>
        <v>7036044369</v>
      </c>
    </row>
    <row r="8286" spans="1:12" x14ac:dyDescent="0.35">
      <c r="A8286" t="str">
        <f t="shared" si="3097"/>
        <v>OPEN</v>
      </c>
      <c r="B8286" t="str">
        <f>T("MCPA")</f>
        <v>MCPA</v>
      </c>
      <c r="C8286" t="str">
        <f>T("3000 MC PENTAGON RM 4B548")</f>
        <v>3000 MC PENTAGON RM 4B548</v>
      </c>
      <c r="D8286" t="str">
        <f>T("WASHINGTON")</f>
        <v>WASHINGTON</v>
      </c>
      <c r="E8286" t="str">
        <f>T("DC")</f>
        <v>DC</v>
      </c>
      <c r="F8286" t="str">
        <f>T("203503000")</f>
        <v>203503000</v>
      </c>
      <c r="G8286" t="str">
        <f>T("3000 MARINE CORPS PENTAGON")</f>
        <v>3000 MARINE CORPS PENTAGON</v>
      </c>
      <c r="H8286" t="str">
        <f>T("RM 4B548")</f>
        <v>RM 4B548</v>
      </c>
      <c r="I8286" t="str">
        <f>T("WASHINGTON")</f>
        <v>WASHINGTON</v>
      </c>
      <c r="J8286" t="str">
        <f>T("DC")</f>
        <v>DC</v>
      </c>
      <c r="K8286" t="str">
        <f>T("7036975367")</f>
        <v>7036975367</v>
      </c>
      <c r="L8286" t="str">
        <f>T("7036148010")</f>
        <v>7036148010</v>
      </c>
    </row>
    <row r="8287" spans="1:12" x14ac:dyDescent="0.35">
      <c r="A8287" t="str">
        <f t="shared" si="3097"/>
        <v>OPEN</v>
      </c>
      <c r="B8287" t="str">
        <f>T("MCPA")</f>
        <v>MCPA</v>
      </c>
      <c r="C8287" t="str">
        <f>T("3000 MC PENTAGON RM 4B548")</f>
        <v>3000 MC PENTAGON RM 4B548</v>
      </c>
      <c r="D8287" t="str">
        <f>T("WASHINGTON")</f>
        <v>WASHINGTON</v>
      </c>
      <c r="E8287" t="str">
        <f>T("DC")</f>
        <v>DC</v>
      </c>
      <c r="F8287" t="str">
        <f>T("203503000")</f>
        <v>203503000</v>
      </c>
      <c r="G8287" t="str">
        <f>T("3000 MARINE CORPS PENTAGON")</f>
        <v>3000 MARINE CORPS PENTAGON</v>
      </c>
      <c r="H8287" t="str">
        <f>T("RM 4B548")</f>
        <v>RM 4B548</v>
      </c>
      <c r="I8287" t="str">
        <f>T("WASHINGTON")</f>
        <v>WASHINGTON</v>
      </c>
      <c r="J8287" t="str">
        <f>T("DC")</f>
        <v>DC</v>
      </c>
      <c r="K8287" t="str">
        <f>T("7036975367")</f>
        <v>7036975367</v>
      </c>
      <c r="L8287" t="str">
        <f>T("7036934905")</f>
        <v>7036934905</v>
      </c>
    </row>
    <row r="8288" spans="1:12" x14ac:dyDescent="0.35">
      <c r="A8288" t="str">
        <f t="shared" si="3097"/>
        <v>OPEN</v>
      </c>
      <c r="B8288" t="str">
        <f>T("MCPA")</f>
        <v>MCPA</v>
      </c>
      <c r="C8288" t="str">
        <f>T("3000 MC PENTAGON RM 4B548")</f>
        <v>3000 MC PENTAGON RM 4B548</v>
      </c>
      <c r="D8288" t="str">
        <f>T("WASHINGTON")</f>
        <v>WASHINGTON</v>
      </c>
      <c r="E8288" t="str">
        <f>T("DC")</f>
        <v>DC</v>
      </c>
      <c r="F8288" t="str">
        <f>T("203503000")</f>
        <v>203503000</v>
      </c>
      <c r="G8288" t="str">
        <f>T("MCPA")</f>
        <v>MCPA</v>
      </c>
      <c r="H8288" t="str">
        <f>T("3000 MC PENTAGON RM 4B548")</f>
        <v>3000 MC PENTAGON RM 4B548</v>
      </c>
      <c r="I8288" t="str">
        <f>T("WASHINGTON")</f>
        <v>WASHINGTON</v>
      </c>
      <c r="J8288" t="str">
        <f>T("DC")</f>
        <v>DC</v>
      </c>
      <c r="K8288" t="str">
        <f>T("7036975362")</f>
        <v>7036975362</v>
      </c>
      <c r="L8288" t="str">
        <f>T("7036148010")</f>
        <v>7036148010</v>
      </c>
    </row>
    <row r="8289" spans="1:12" x14ac:dyDescent="0.35">
      <c r="A8289" t="str">
        <f t="shared" si="3097"/>
        <v>OPEN</v>
      </c>
      <c r="B8289" t="str">
        <f>T("MI DIV M&amp;RA MARSH BUILDING")</f>
        <v>MI DIV M&amp;RA MARSH BUILDING</v>
      </c>
      <c r="C8289" t="str">
        <f>T("3280 RUSSELL ROAD")</f>
        <v>3280 RUSSELL ROAD</v>
      </c>
      <c r="D8289" t="str">
        <f>T("QUANTICO")</f>
        <v>QUANTICO</v>
      </c>
      <c r="E8289" t="str">
        <f>T("VA")</f>
        <v>VA</v>
      </c>
      <c r="F8289" t="str">
        <f>T("221345143")</f>
        <v>221345143</v>
      </c>
      <c r="G8289" t="str">
        <f>T("3280 RUSSELL ROAD")</f>
        <v>3280 RUSSELL ROAD</v>
      </c>
      <c r="H8289" t="str">
        <f>T("")</f>
        <v/>
      </c>
      <c r="I8289" t="str">
        <f>T("QUANTICO")</f>
        <v>QUANTICO</v>
      </c>
      <c r="J8289" t="str">
        <f>T("VA")</f>
        <v>VA</v>
      </c>
      <c r="K8289" t="str">
        <f>T("000000000000000000")</f>
        <v>000000000000000000</v>
      </c>
      <c r="L8289" t="str">
        <f>T("7034326024")</f>
        <v>7034326024</v>
      </c>
    </row>
    <row r="8290" spans="1:12" x14ac:dyDescent="0.35">
      <c r="A8290" t="str">
        <f t="shared" si="3097"/>
        <v>OPEN</v>
      </c>
      <c r="B8290" t="str">
        <f>T("MI DIV M&amp;RA MARSH BUILDING")</f>
        <v>MI DIV M&amp;RA MARSH BUILDING</v>
      </c>
      <c r="C8290" t="str">
        <f>T("3280 RUSSELL ROAD")</f>
        <v>3280 RUSSELL ROAD</v>
      </c>
      <c r="D8290" t="str">
        <f>T("QUANTICO")</f>
        <v>QUANTICO</v>
      </c>
      <c r="E8290" t="str">
        <f>T("VA")</f>
        <v>VA</v>
      </c>
      <c r="F8290" t="str">
        <f>T("221345143")</f>
        <v>221345143</v>
      </c>
      <c r="G8290" t="str">
        <f>T("MI DIV M&amp;RA MARSH BUILDING")</f>
        <v>MI DIV M&amp;RA MARSH BUILDING</v>
      </c>
      <c r="H8290" t="str">
        <f>T("3280 RUSSELL ROAD")</f>
        <v>3280 RUSSELL ROAD</v>
      </c>
      <c r="I8290" t="str">
        <f>T("QUANTICO")</f>
        <v>QUANTICO</v>
      </c>
      <c r="J8290" t="str">
        <f>T("VA")</f>
        <v>VA</v>
      </c>
      <c r="K8290" t="str">
        <f>T("000000000000000000")</f>
        <v>000000000000000000</v>
      </c>
      <c r="L8290" t="str">
        <f>T("7034326088")</f>
        <v>7034326088</v>
      </c>
    </row>
    <row r="8291" spans="1:12" x14ac:dyDescent="0.35">
      <c r="A8291" t="str">
        <f t="shared" si="3097"/>
        <v>OPEN</v>
      </c>
      <c r="B8291" t="str">
        <f>T("PP1 RECOVERY WAY")</f>
        <v>PP1 RECOVERY WAY</v>
      </c>
      <c r="C8291" t="str">
        <f>T("")</f>
        <v/>
      </c>
      <c r="D8291" t="str">
        <f>T("CAMP LEJEUNE")</f>
        <v>CAMP LEJEUNE</v>
      </c>
      <c r="E8291" t="str">
        <f>T("NC")</f>
        <v>NC</v>
      </c>
      <c r="F8291" t="str">
        <f>T("285420000")</f>
        <v>285420000</v>
      </c>
      <c r="G8291" t="str">
        <f>T("PP1 RECOVERY WAY")</f>
        <v>PP1 RECOVERY WAY</v>
      </c>
      <c r="H8291" t="str">
        <f>T("")</f>
        <v/>
      </c>
      <c r="I8291" t="str">
        <f>T("CAMP LEJEUNE")</f>
        <v>CAMP LEJEUNE</v>
      </c>
      <c r="J8291" t="str">
        <f>T("NC")</f>
        <v>NC</v>
      </c>
      <c r="K8291" t="str">
        <f>T("000000000000000000")</f>
        <v>000000000000000000</v>
      </c>
      <c r="L8291" t="str">
        <f>T("2109168238")</f>
        <v>2109168238</v>
      </c>
    </row>
    <row r="8292" spans="1:12" x14ac:dyDescent="0.35">
      <c r="A8292" t="str">
        <f t="shared" si="3097"/>
        <v>OPEN</v>
      </c>
      <c r="B8292" t="str">
        <f>T("PP1 RECOVERY WAY")</f>
        <v>PP1 RECOVERY WAY</v>
      </c>
      <c r="C8292" t="str">
        <f>T("")</f>
        <v/>
      </c>
      <c r="D8292" t="str">
        <f>T("CAMP LEJEUNE")</f>
        <v>CAMP LEJEUNE</v>
      </c>
      <c r="E8292" t="str">
        <f>T("NC")</f>
        <v>NC</v>
      </c>
      <c r="F8292" t="str">
        <f>T("285420000")</f>
        <v>285420000</v>
      </c>
      <c r="G8292" t="str">
        <f>T("PP1 RECOVERY WAY")</f>
        <v>PP1 RECOVERY WAY</v>
      </c>
      <c r="H8292" t="str">
        <f>T("")</f>
        <v/>
      </c>
      <c r="I8292" t="str">
        <f>T("CAMP LEJEUNE")</f>
        <v>CAMP LEJEUNE</v>
      </c>
      <c r="J8292" t="str">
        <f>T("NC")</f>
        <v>NC</v>
      </c>
      <c r="K8292" t="str">
        <f>T("9104505446")</f>
        <v>9104505446</v>
      </c>
      <c r="L8292" t="str">
        <f>T("9104505438")</f>
        <v>9104505438</v>
      </c>
    </row>
    <row r="8293" spans="1:12" x14ac:dyDescent="0.35">
      <c r="A8293" t="str">
        <f t="shared" si="3097"/>
        <v>OPEN</v>
      </c>
      <c r="B8293" t="str">
        <f>T("PP1 RECOVERY WAY")</f>
        <v>PP1 RECOVERY WAY</v>
      </c>
      <c r="C8293" t="str">
        <f>T("")</f>
        <v/>
      </c>
      <c r="D8293" t="str">
        <f>T("CAMP LEJEUNE")</f>
        <v>CAMP LEJEUNE</v>
      </c>
      <c r="E8293" t="str">
        <f>T("NC")</f>
        <v>NC</v>
      </c>
      <c r="F8293" t="str">
        <f>T("285420000")</f>
        <v>285420000</v>
      </c>
      <c r="G8293" t="str">
        <f>T("PP1 RECOVERY WAY")</f>
        <v>PP1 RECOVERY WAY</v>
      </c>
      <c r="H8293" t="str">
        <f>T("")</f>
        <v/>
      </c>
      <c r="I8293" t="str">
        <f>T("CAMP LEJEUNE")</f>
        <v>CAMP LEJEUNE</v>
      </c>
      <c r="J8293" t="str">
        <f>T("NC")</f>
        <v>NC</v>
      </c>
      <c r="K8293" t="str">
        <f>T("9104505446")</f>
        <v>9104505446</v>
      </c>
      <c r="L8293" t="str">
        <f>T("9104505444")</f>
        <v>9104505444</v>
      </c>
    </row>
    <row r="8294" spans="1:12" x14ac:dyDescent="0.35">
      <c r="A8294" t="str">
        <f t="shared" si="3097"/>
        <v>OPEN</v>
      </c>
      <c r="B8294" t="str">
        <f>T("PP1 RECOVERY WAY")</f>
        <v>PP1 RECOVERY WAY</v>
      </c>
      <c r="C8294" t="str">
        <f>T("")</f>
        <v/>
      </c>
      <c r="D8294" t="str">
        <f>T("CAMP LEJEUNE")</f>
        <v>CAMP LEJEUNE</v>
      </c>
      <c r="E8294" t="str">
        <f>T("NC")</f>
        <v>NC</v>
      </c>
      <c r="F8294" t="str">
        <f>T("285420000")</f>
        <v>285420000</v>
      </c>
      <c r="G8294" t="str">
        <f>T("PP1 RECOVERY WAY")</f>
        <v>PP1 RECOVERY WAY</v>
      </c>
      <c r="H8294" t="str">
        <f>T("")</f>
        <v/>
      </c>
      <c r="I8294" t="str">
        <f>T("CAMP LEJUENE")</f>
        <v>CAMP LEJUENE</v>
      </c>
      <c r="J8294" t="str">
        <f>T("NC")</f>
        <v>NC</v>
      </c>
      <c r="K8294" t="str">
        <f>T("000000000000000000")</f>
        <v>000000000000000000</v>
      </c>
      <c r="L8294" t="str">
        <f>T("9104505438")</f>
        <v>9104505438</v>
      </c>
    </row>
    <row r="8295" spans="1:12" x14ac:dyDescent="0.35">
      <c r="A8295" t="str">
        <f t="shared" si="3097"/>
        <v>OPEN</v>
      </c>
      <c r="B8295" t="str">
        <f>T("PROGRAM &amp; RESOURCES")</f>
        <v>PROGRAM &amp; RESOURCES</v>
      </c>
      <c r="C8295" t="str">
        <f>T("3000 MARINE CORPS PENTAGON")</f>
        <v>3000 MARINE CORPS PENTAGON</v>
      </c>
      <c r="D8295" t="str">
        <f t="shared" ref="D8295:D8305" si="3100">T("WASHINGTON")</f>
        <v>WASHINGTON</v>
      </c>
      <c r="E8295" t="str">
        <f t="shared" ref="E8295:E8305" si="3101">T("DC")</f>
        <v>DC</v>
      </c>
      <c r="F8295" t="str">
        <f>T("203503000")</f>
        <v>203503000</v>
      </c>
      <c r="G8295" t="str">
        <f>T("2010 HENDERSON ROAD")</f>
        <v>2010 HENDERSON ROAD</v>
      </c>
      <c r="H8295" t="str">
        <f>T("RM 210")</f>
        <v>RM 210</v>
      </c>
      <c r="I8295" t="str">
        <f>T("QUANTICO")</f>
        <v>QUANTICO</v>
      </c>
      <c r="J8295" t="str">
        <f>T("VA")</f>
        <v>VA</v>
      </c>
      <c r="K8295" t="str">
        <f>T("000000000000000000")</f>
        <v>000000000000000000</v>
      </c>
      <c r="L8295" t="str">
        <f>T("7036975021")</f>
        <v>7036975021</v>
      </c>
    </row>
    <row r="8296" spans="1:12" x14ac:dyDescent="0.35">
      <c r="A8296" t="str">
        <f t="shared" si="3097"/>
        <v>OPEN</v>
      </c>
      <c r="B8296" t="str">
        <f>T("PROGRAM &amp; RESOURCES")</f>
        <v>PROGRAM &amp; RESOURCES</v>
      </c>
      <c r="C8296" t="str">
        <f>T("3000 MARINE CORPS PENTAGON")</f>
        <v>3000 MARINE CORPS PENTAGON</v>
      </c>
      <c r="D8296" t="str">
        <f t="shared" si="3100"/>
        <v>WASHINGTON</v>
      </c>
      <c r="E8296" t="str">
        <f t="shared" si="3101"/>
        <v>DC</v>
      </c>
      <c r="F8296" t="str">
        <f>T("203503000")</f>
        <v>203503000</v>
      </c>
      <c r="G8296" t="str">
        <f>T("3000 MARINE CORPS PENTAGON")</f>
        <v>3000 MARINE CORPS PENTAGON</v>
      </c>
      <c r="H8296" t="str">
        <f>T("")</f>
        <v/>
      </c>
      <c r="I8296" t="str">
        <f>T("WASHINGTON")</f>
        <v>WASHINGTON</v>
      </c>
      <c r="J8296" t="str">
        <f>T("DC")</f>
        <v>DC</v>
      </c>
      <c r="K8296" t="str">
        <f>T("000000000000000000")</f>
        <v>000000000000000000</v>
      </c>
      <c r="L8296" t="str">
        <f>T("7036141080")</f>
        <v>7036141080</v>
      </c>
    </row>
    <row r="8297" spans="1:12" x14ac:dyDescent="0.35">
      <c r="A8297" t="str">
        <f t="shared" si="3097"/>
        <v>OPEN</v>
      </c>
      <c r="B8297" t="str">
        <f>T("PROGRAM &amp; RESOURCES")</f>
        <v>PROGRAM &amp; RESOURCES</v>
      </c>
      <c r="C8297" t="str">
        <f>T("3000 MARINE CORPS PENTAGON")</f>
        <v>3000 MARINE CORPS PENTAGON</v>
      </c>
      <c r="D8297" t="str">
        <f t="shared" si="3100"/>
        <v>WASHINGTON</v>
      </c>
      <c r="E8297" t="str">
        <f t="shared" si="3101"/>
        <v>DC</v>
      </c>
      <c r="F8297" t="str">
        <f>T("203503000")</f>
        <v>203503000</v>
      </c>
      <c r="G8297" t="str">
        <f>T("PROGRAM &amp; RESOURCES")</f>
        <v>PROGRAM &amp; RESOURCES</v>
      </c>
      <c r="H8297" t="str">
        <f>T("3000 MARINE CORPS PENTAGON")</f>
        <v>3000 MARINE CORPS PENTAGON</v>
      </c>
      <c r="I8297" t="str">
        <f>T("WASHINGTON")</f>
        <v>WASHINGTON</v>
      </c>
      <c r="J8297" t="str">
        <f>T("DC")</f>
        <v>DC</v>
      </c>
      <c r="K8297" t="str">
        <f>T("7036925382")</f>
        <v>7036925382</v>
      </c>
      <c r="L8297" t="str">
        <f>T("7036141080")</f>
        <v>7036141080</v>
      </c>
    </row>
    <row r="8298" spans="1:12" x14ac:dyDescent="0.35">
      <c r="A8298" t="str">
        <f t="shared" si="3097"/>
        <v>OPEN</v>
      </c>
      <c r="B8298" t="str">
        <f>T("RM 4B688A")</f>
        <v>RM 4B688A</v>
      </c>
      <c r="C8298" t="str">
        <f>T("3000 MARINE CORPS PENTAGON")</f>
        <v>3000 MARINE CORPS PENTAGON</v>
      </c>
      <c r="D8298" t="str">
        <f t="shared" si="3100"/>
        <v>WASHINGTON</v>
      </c>
      <c r="E8298" t="str">
        <f t="shared" si="3101"/>
        <v>DC</v>
      </c>
      <c r="F8298" t="str">
        <f>T("203503000")</f>
        <v>203503000</v>
      </c>
      <c r="G8298" t="str">
        <f>T("3000 MARINE CORPS PENTAGON")</f>
        <v>3000 MARINE CORPS PENTAGON</v>
      </c>
      <c r="H8298" t="str">
        <f>T("RM 2B253")</f>
        <v>RM 2B253</v>
      </c>
      <c r="I8298" t="str">
        <f>T("WASHINGTON")</f>
        <v>WASHINGTON</v>
      </c>
      <c r="J8298" t="str">
        <f>T("DC")</f>
        <v>DC</v>
      </c>
      <c r="K8298" t="str">
        <f>T("7036972572")</f>
        <v>7036972572</v>
      </c>
      <c r="L8298" t="str">
        <f>T("7036935154")</f>
        <v>7036935154</v>
      </c>
    </row>
    <row r="8299" spans="1:12" x14ac:dyDescent="0.35">
      <c r="A8299" t="str">
        <f t="shared" si="3097"/>
        <v>OPEN</v>
      </c>
      <c r="B8299" t="str">
        <f>T("RM 4B688A")</f>
        <v>RM 4B688A</v>
      </c>
      <c r="C8299" t="str">
        <f>T("3000 MARINE CORPS PENTAGON")</f>
        <v>3000 MARINE CORPS PENTAGON</v>
      </c>
      <c r="D8299" t="str">
        <f t="shared" si="3100"/>
        <v>WASHINGTON</v>
      </c>
      <c r="E8299" t="str">
        <f t="shared" si="3101"/>
        <v>DC</v>
      </c>
      <c r="F8299" t="str">
        <f>T("203503000")</f>
        <v>203503000</v>
      </c>
      <c r="G8299" t="str">
        <f>T("RM 4B688A")</f>
        <v>RM 4B688A</v>
      </c>
      <c r="H8299" t="str">
        <f>T("3000 MARINE CORPS PENTAGON")</f>
        <v>3000 MARINE CORPS PENTAGON</v>
      </c>
      <c r="I8299" t="str">
        <f>T("WASHINGTON")</f>
        <v>WASHINGTON</v>
      </c>
      <c r="J8299" t="str">
        <f>T("DC")</f>
        <v>DC</v>
      </c>
      <c r="K8299" t="str">
        <f>T("703-697-2572")</f>
        <v>703-697-2572</v>
      </c>
      <c r="L8299" t="str">
        <f>T("7036925151")</f>
        <v>7036925151</v>
      </c>
    </row>
    <row r="8300" spans="1:12" x14ac:dyDescent="0.35">
      <c r="A8300" t="str">
        <f t="shared" si="3097"/>
        <v>OPEN</v>
      </c>
      <c r="B8300" t="str">
        <f>T("SEC AND LAW ENFRCMNT POS-4")</f>
        <v>SEC AND LAW ENFRCMNT POS-4</v>
      </c>
      <c r="C8300" t="str">
        <f>T("3000 PENTAGON")</f>
        <v>3000 PENTAGON</v>
      </c>
      <c r="D8300" t="str">
        <f t="shared" si="3100"/>
        <v>WASHINGTON</v>
      </c>
      <c r="E8300" t="str">
        <f t="shared" si="3101"/>
        <v>DC</v>
      </c>
      <c r="F8300" t="str">
        <f>T("203500001")</f>
        <v>203500001</v>
      </c>
      <c r="G8300" t="str">
        <f>T("3000 MARINE CORPS PENTAGONE")</f>
        <v>3000 MARINE CORPS PENTAGONE</v>
      </c>
      <c r="H8300" t="str">
        <f>T("RM 4B337")</f>
        <v>RM 4B337</v>
      </c>
      <c r="I8300" t="str">
        <f>T("WASHINGTON")</f>
        <v>WASHINGTON</v>
      </c>
      <c r="J8300" t="str">
        <f>T("DC")</f>
        <v>DC</v>
      </c>
      <c r="K8300" t="str">
        <f>T("7036141420")</f>
        <v>7036141420</v>
      </c>
      <c r="L8300" t="str">
        <f>T("1111111111")</f>
        <v>1111111111</v>
      </c>
    </row>
    <row r="8301" spans="1:12" x14ac:dyDescent="0.35">
      <c r="A8301" t="str">
        <f t="shared" si="3097"/>
        <v>OPEN</v>
      </c>
      <c r="B8301" t="str">
        <f>T("SEC AND LAW ENFRCMNT POS-4")</f>
        <v>SEC AND LAW ENFRCMNT POS-4</v>
      </c>
      <c r="C8301" t="str">
        <f>T("3000 PENTAGON")</f>
        <v>3000 PENTAGON</v>
      </c>
      <c r="D8301" t="str">
        <f t="shared" si="3100"/>
        <v>WASHINGTON</v>
      </c>
      <c r="E8301" t="str">
        <f t="shared" si="3101"/>
        <v>DC</v>
      </c>
      <c r="F8301" t="str">
        <f>T("203500001")</f>
        <v>203500001</v>
      </c>
      <c r="G8301" t="str">
        <f>T("JON SCOTT SNYDER")</f>
        <v>JON SCOTT SNYDER</v>
      </c>
      <c r="H8301" t="str">
        <f>T("5023 PINE VALLEY CT")</f>
        <v>5023 PINE VALLEY CT</v>
      </c>
      <c r="I8301" t="str">
        <f>T("GLEN ROCK")</f>
        <v>GLEN ROCK</v>
      </c>
      <c r="J8301" t="str">
        <f>T("PA")</f>
        <v>PA</v>
      </c>
      <c r="K8301" t="str">
        <f>T("000000000000000000")</f>
        <v>000000000000000000</v>
      </c>
      <c r="L8301" t="str">
        <f>T("7178783526")</f>
        <v>7178783526</v>
      </c>
    </row>
    <row r="8302" spans="1:12" x14ac:dyDescent="0.35">
      <c r="A8302" t="str">
        <f t="shared" si="3097"/>
        <v>OPEN</v>
      </c>
      <c r="B8302" t="str">
        <f>T("SEC AND LAW ENFRCMNT POS-4")</f>
        <v>SEC AND LAW ENFRCMNT POS-4</v>
      </c>
      <c r="C8302" t="str">
        <f>T("3000 PENTAGON")</f>
        <v>3000 PENTAGON</v>
      </c>
      <c r="D8302" t="str">
        <f t="shared" si="3100"/>
        <v>WASHINGTON</v>
      </c>
      <c r="E8302" t="str">
        <f t="shared" si="3101"/>
        <v>DC</v>
      </c>
      <c r="F8302" t="str">
        <f>T("203500001")</f>
        <v>203500001</v>
      </c>
      <c r="G8302" t="str">
        <f>T("SEC AND LAW ENFRCMNT POS-4")</f>
        <v>SEC AND LAW ENFRCMNT POS-4</v>
      </c>
      <c r="H8302" t="str">
        <f>T("3000 PENTAGON")</f>
        <v>3000 PENTAGON</v>
      </c>
      <c r="I8302" t="str">
        <f>T("WASHINGTON")</f>
        <v>WASHINGTON</v>
      </c>
      <c r="J8302" t="str">
        <f>T("DC")</f>
        <v>DC</v>
      </c>
      <c r="K8302" t="str">
        <f>T("000000000000000000")</f>
        <v>000000000000000000</v>
      </c>
      <c r="L8302" t="str">
        <f>T("7036924261")</f>
        <v>7036924261</v>
      </c>
    </row>
    <row r="8303" spans="1:12" x14ac:dyDescent="0.35">
      <c r="A8303" t="str">
        <f t="shared" si="3097"/>
        <v>OPEN</v>
      </c>
      <c r="B8303" t="str">
        <f>T("US DRUM BUGLE CORP")</f>
        <v>US DRUM BUGLE CORP</v>
      </c>
      <c r="C8303" t="str">
        <f>T("8TH &amp; I STREETS SE")</f>
        <v>8TH &amp; I STREETS SE</v>
      </c>
      <c r="D8303" t="str">
        <f t="shared" si="3100"/>
        <v>WASHINGTON</v>
      </c>
      <c r="E8303" t="str">
        <f t="shared" si="3101"/>
        <v>DC</v>
      </c>
      <c r="F8303" t="str">
        <f>T("203900001")</f>
        <v>203900001</v>
      </c>
      <c r="G8303" t="str">
        <f>T("8 &amp; I STREET SE")</f>
        <v>8 &amp; I STREET SE</v>
      </c>
      <c r="H8303" t="str">
        <f>T("BLDG 9")</f>
        <v>BLDG 9</v>
      </c>
      <c r="I8303" t="str">
        <f>T("WASHINGTON")</f>
        <v>WASHINGTON</v>
      </c>
      <c r="J8303" t="str">
        <f>T("DC")</f>
        <v>DC</v>
      </c>
      <c r="K8303" t="str">
        <f>T("2024333884")</f>
        <v>2024333884</v>
      </c>
      <c r="L8303" t="str">
        <f>T("2024336399")</f>
        <v>2024336399</v>
      </c>
    </row>
    <row r="8304" spans="1:12" x14ac:dyDescent="0.35">
      <c r="A8304" t="str">
        <f t="shared" si="3097"/>
        <v>OPEN</v>
      </c>
      <c r="B8304" t="str">
        <f>T("US DRUM BUGLE CORP")</f>
        <v>US DRUM BUGLE CORP</v>
      </c>
      <c r="C8304" t="str">
        <f>T("8TH &amp; I STREETS SE")</f>
        <v>8TH &amp; I STREETS SE</v>
      </c>
      <c r="D8304" t="str">
        <f t="shared" si="3100"/>
        <v>WASHINGTON</v>
      </c>
      <c r="E8304" t="str">
        <f t="shared" si="3101"/>
        <v>DC</v>
      </c>
      <c r="F8304" t="str">
        <f>T("203900001")</f>
        <v>203900001</v>
      </c>
      <c r="G8304" t="str">
        <f>T("8TH &amp; I STREETS SE")</f>
        <v>8TH &amp; I STREETS SE</v>
      </c>
      <c r="H8304" t="str">
        <f>T("")</f>
        <v/>
      </c>
      <c r="I8304" t="str">
        <f>T("WASHINGTON")</f>
        <v>WASHINGTON</v>
      </c>
      <c r="J8304" t="str">
        <f>T("DC")</f>
        <v>DC</v>
      </c>
      <c r="K8304" t="str">
        <f>T("2024332949")</f>
        <v>2024332949</v>
      </c>
      <c r="L8304" t="str">
        <f>T("2024332927")</f>
        <v>2024332927</v>
      </c>
    </row>
    <row r="8305" spans="1:12" x14ac:dyDescent="0.35">
      <c r="A8305" t="str">
        <f t="shared" si="3097"/>
        <v>OPEN</v>
      </c>
      <c r="B8305" t="str">
        <f>T("US DRUM BUGLE CORP")</f>
        <v>US DRUM BUGLE CORP</v>
      </c>
      <c r="C8305" t="str">
        <f>T("8TH &amp; I STREETS SE")</f>
        <v>8TH &amp; I STREETS SE</v>
      </c>
      <c r="D8305" t="str">
        <f t="shared" si="3100"/>
        <v>WASHINGTON</v>
      </c>
      <c r="E8305" t="str">
        <f t="shared" si="3101"/>
        <v>DC</v>
      </c>
      <c r="F8305" t="str">
        <f>T("203900001")</f>
        <v>203900001</v>
      </c>
      <c r="G8305" t="str">
        <f>T("US DRUM BUGLE CORP")</f>
        <v>US DRUM BUGLE CORP</v>
      </c>
      <c r="H8305" t="str">
        <f>T("8TH &amp; I STREETS SE")</f>
        <v>8TH &amp; I STREETS SE</v>
      </c>
      <c r="I8305" t="str">
        <f>T("WASHINGTON")</f>
        <v>WASHINGTON</v>
      </c>
      <c r="J8305" t="str">
        <f>T("DC")</f>
        <v>DC</v>
      </c>
      <c r="K8305" t="str">
        <f>T("2024333884")</f>
        <v>2024333884</v>
      </c>
      <c r="L8305" t="str">
        <f>T("2024336526")</f>
        <v>2024336526</v>
      </c>
    </row>
    <row r="8306" spans="1:12" x14ac:dyDescent="0.35">
      <c r="A8306" t="str">
        <f t="shared" si="3097"/>
        <v>OPEN</v>
      </c>
      <c r="B8306" t="str">
        <f>T("USACGSC")</f>
        <v>USACGSC</v>
      </c>
      <c r="C8306" t="str">
        <f>T("100 STIMSON AVE")</f>
        <v>100 STIMSON AVE</v>
      </c>
      <c r="D8306" t="str">
        <f>T("FT LEAVNWRTH")</f>
        <v>FT LEAVNWRTH</v>
      </c>
      <c r="E8306" t="str">
        <f>T("KS")</f>
        <v>KS</v>
      </c>
      <c r="F8306" t="str">
        <f>T("660272301")</f>
        <v>660272301</v>
      </c>
      <c r="G8306" t="str">
        <f>T("1301 N WAREHOUSE ROAD")</f>
        <v>1301 N WAREHOUSE ROAD</v>
      </c>
      <c r="H8306" t="str">
        <f>T("")</f>
        <v/>
      </c>
      <c r="I8306" t="str">
        <f>T("FORT LEAVENWORTH")</f>
        <v>FORT LEAVENWORTH</v>
      </c>
      <c r="J8306" t="str">
        <f>T("KS")</f>
        <v>KS</v>
      </c>
      <c r="K8306" t="str">
        <f>T("9137583821")</f>
        <v>9137583821</v>
      </c>
      <c r="L8306" t="str">
        <f>T("9137583832")</f>
        <v>9137583832</v>
      </c>
    </row>
    <row r="8307" spans="1:12" x14ac:dyDescent="0.35">
      <c r="A8307" t="str">
        <f t="shared" si="3097"/>
        <v>OPEN</v>
      </c>
      <c r="B8307" t="str">
        <f>T("USACGSC")</f>
        <v>USACGSC</v>
      </c>
      <c r="C8307" t="str">
        <f>T("100 STIMSON AVE")</f>
        <v>100 STIMSON AVE</v>
      </c>
      <c r="D8307" t="str">
        <f>T("FT LEAVNWRTH")</f>
        <v>FT LEAVNWRTH</v>
      </c>
      <c r="E8307" t="str">
        <f>T("KS")</f>
        <v>KS</v>
      </c>
      <c r="F8307" t="str">
        <f>T("660272301")</f>
        <v>660272301</v>
      </c>
      <c r="G8307" t="str">
        <f>T("USACGSC")</f>
        <v>USACGSC</v>
      </c>
      <c r="H8307" t="str">
        <f>T("100 STIMSON AVE")</f>
        <v>100 STIMSON AVE</v>
      </c>
      <c r="I8307" t="str">
        <f>T("FT LEAVNWRTH")</f>
        <v>FT LEAVNWRTH</v>
      </c>
      <c r="J8307" t="str">
        <f>T("KS")</f>
        <v>KS</v>
      </c>
      <c r="K8307" t="str">
        <f>T("9136842771")</f>
        <v>9136842771</v>
      </c>
      <c r="L8307" t="str">
        <f>T("9136844673")</f>
        <v>9136844673</v>
      </c>
    </row>
    <row r="8308" spans="1:12" x14ac:dyDescent="0.35">
      <c r="A8308" t="str">
        <f t="shared" si="3097"/>
        <v>OPEN</v>
      </c>
      <c r="B8308" t="str">
        <f>T("USMC, HQBN HENDERSON HALL")</f>
        <v>USMC, HQBN HENDERSON HALL</v>
      </c>
      <c r="C8308" t="str">
        <f>T("1555 SOUTHGATE RD")</f>
        <v>1555 SOUTHGATE RD</v>
      </c>
      <c r="D8308" t="str">
        <f>T("ARLINGTON")</f>
        <v>ARLINGTON</v>
      </c>
      <c r="E8308" t="str">
        <f t="shared" ref="E8308:E8350" si="3102">T("VA")</f>
        <v>VA</v>
      </c>
      <c r="F8308" t="str">
        <f>T("222145001")</f>
        <v>222145001</v>
      </c>
      <c r="G8308" t="str">
        <f>T("1555 SOUTHGATE ROAD")</f>
        <v>1555 SOUTHGATE ROAD</v>
      </c>
      <c r="H8308" t="str">
        <f>T("BLDG 28")</f>
        <v>BLDG 28</v>
      </c>
      <c r="I8308" t="str">
        <f>T("ARLINGTON")</f>
        <v>ARLINGTON</v>
      </c>
      <c r="J8308" t="str">
        <f t="shared" ref="J8308:J8350" si="3103">T("VA")</f>
        <v>VA</v>
      </c>
      <c r="K8308" t="str">
        <f>T("7036958747")</f>
        <v>7036958747</v>
      </c>
      <c r="L8308" t="str">
        <f>T("7036147131")</f>
        <v>7036147131</v>
      </c>
    </row>
    <row r="8309" spans="1:12" x14ac:dyDescent="0.35">
      <c r="A8309" t="str">
        <f t="shared" si="3097"/>
        <v>OPEN</v>
      </c>
      <c r="B8309" t="str">
        <f>T("USMC, HQBN HENDERSON HALL")</f>
        <v>USMC, HQBN HENDERSON HALL</v>
      </c>
      <c r="C8309" t="str">
        <f>T("1555 SOUTHGATE RD")</f>
        <v>1555 SOUTHGATE RD</v>
      </c>
      <c r="D8309" t="str">
        <f>T("ARLINGTON")</f>
        <v>ARLINGTON</v>
      </c>
      <c r="E8309" t="str">
        <f t="shared" si="3102"/>
        <v>VA</v>
      </c>
      <c r="F8309" t="str">
        <f>T("222145001")</f>
        <v>222145001</v>
      </c>
      <c r="G8309" t="str">
        <f>T("1555 SOUTHGATE ROAD BLDG 28")</f>
        <v>1555 SOUTHGATE ROAD BLDG 28</v>
      </c>
      <c r="H8309" t="str">
        <f>T("")</f>
        <v/>
      </c>
      <c r="I8309" t="str">
        <f>T("ARLINGTON")</f>
        <v>ARLINGTON</v>
      </c>
      <c r="J8309" t="str">
        <f t="shared" si="3103"/>
        <v>VA</v>
      </c>
      <c r="K8309" t="str">
        <f>T("7036958747")</f>
        <v>7036958747</v>
      </c>
      <c r="L8309" t="str">
        <f>T("7036147131")</f>
        <v>7036147131</v>
      </c>
    </row>
    <row r="8310" spans="1:12" x14ac:dyDescent="0.35">
      <c r="A8310" t="str">
        <f t="shared" si="3097"/>
        <v>OPEN</v>
      </c>
      <c r="B8310" t="str">
        <f>T("USMC, HQBN HENDERSON HALL")</f>
        <v>USMC, HQBN HENDERSON HALL</v>
      </c>
      <c r="C8310" t="str">
        <f>T("1555 SOUTHGATE RD")</f>
        <v>1555 SOUTHGATE RD</v>
      </c>
      <c r="D8310" t="str">
        <f>T("ARLINGTON")</f>
        <v>ARLINGTON</v>
      </c>
      <c r="E8310" t="str">
        <f t="shared" si="3102"/>
        <v>VA</v>
      </c>
      <c r="F8310" t="str">
        <f>T("222145001")</f>
        <v>222145001</v>
      </c>
      <c r="G8310" t="str">
        <f>T("USMC, HQBN HENDERSON HALL")</f>
        <v>USMC, HQBN HENDERSON HALL</v>
      </c>
      <c r="H8310" t="str">
        <f>T("1555 SOUTHGATE RD")</f>
        <v>1555 SOUTHGATE RD</v>
      </c>
      <c r="I8310" t="str">
        <f>T("ARLINGTON")</f>
        <v>ARLINGTON</v>
      </c>
      <c r="J8310" t="str">
        <f t="shared" si="3103"/>
        <v>VA</v>
      </c>
      <c r="K8310" t="str">
        <f>T("703 695 8747")</f>
        <v>703 695 8747</v>
      </c>
      <c r="L8310" t="str">
        <f>T("7036147131")</f>
        <v>7036147131</v>
      </c>
    </row>
    <row r="8311" spans="1:12" x14ac:dyDescent="0.35">
      <c r="A8311" t="str">
        <f t="shared" ref="A8311:A8342" si="3104">T("RCO NE")</f>
        <v>RCO NE</v>
      </c>
      <c r="B8311" t="str">
        <f>T("1300 8TH STREET")</f>
        <v>1300 8TH STREET</v>
      </c>
      <c r="C8311" t="str">
        <f>T("")</f>
        <v/>
      </c>
      <c r="D8311" t="str">
        <f>T("VIRGINIA BCH")</f>
        <v>VIRGINIA BCH</v>
      </c>
      <c r="E8311" t="str">
        <f t="shared" si="3102"/>
        <v>VA</v>
      </c>
      <c r="F8311" t="str">
        <f>T("234590000")</f>
        <v>234590000</v>
      </c>
      <c r="G8311" t="str">
        <f>T("1300 8TH STREET")</f>
        <v>1300 8TH STREET</v>
      </c>
      <c r="H8311" t="str">
        <f>T("")</f>
        <v/>
      </c>
      <c r="I8311" t="str">
        <f>T("VIRGINIA BCH")</f>
        <v>VIRGINIA BCH</v>
      </c>
      <c r="J8311" t="str">
        <f t="shared" si="3103"/>
        <v>VA</v>
      </c>
      <c r="K8311" t="str">
        <f>T("7574627294")</f>
        <v>7574627294</v>
      </c>
      <c r="L8311" t="str">
        <f>T("7574625109")</f>
        <v>7574625109</v>
      </c>
    </row>
    <row r="8312" spans="1:12" x14ac:dyDescent="0.35">
      <c r="A8312" t="str">
        <f t="shared" si="3104"/>
        <v>RCO NE</v>
      </c>
      <c r="B8312" t="str">
        <f>T("1300 8TH STREET")</f>
        <v>1300 8TH STREET</v>
      </c>
      <c r="C8312" t="str">
        <f>T("")</f>
        <v/>
      </c>
      <c r="D8312" t="str">
        <f>T("VIRGINIA BCH")</f>
        <v>VIRGINIA BCH</v>
      </c>
      <c r="E8312" t="str">
        <f t="shared" si="3102"/>
        <v>VA</v>
      </c>
      <c r="F8312" t="str">
        <f>T("234590000")</f>
        <v>234590000</v>
      </c>
      <c r="G8312" t="str">
        <f>T("1420 GATOR BLVD")</f>
        <v>1420 GATOR BLVD</v>
      </c>
      <c r="H8312" t="str">
        <f>T("")</f>
        <v/>
      </c>
      <c r="I8312" t="str">
        <f>T("VIRGINIA BEACH")</f>
        <v>VIRGINIA BEACH</v>
      </c>
      <c r="J8312" t="str">
        <f t="shared" si="3103"/>
        <v>VA</v>
      </c>
      <c r="K8312" t="str">
        <f>T("7574627294")</f>
        <v>7574627294</v>
      </c>
      <c r="L8312" t="str">
        <f>T("7574625109")</f>
        <v>7574625109</v>
      </c>
    </row>
    <row r="8313" spans="1:12" x14ac:dyDescent="0.35">
      <c r="A8313" t="str">
        <f t="shared" si="3104"/>
        <v>RCO NE</v>
      </c>
      <c r="B8313" t="str">
        <f>T("18900 JEFFERSON DAVIS HWY")</f>
        <v>18900 JEFFERSON DAVIS HWY</v>
      </c>
      <c r="C8313" t="str">
        <f>T("")</f>
        <v/>
      </c>
      <c r="D8313" t="str">
        <f>T("TRIANGLE")</f>
        <v>TRIANGLE</v>
      </c>
      <c r="E8313" t="str">
        <f t="shared" si="3102"/>
        <v>VA</v>
      </c>
      <c r="F8313" t="str">
        <f>T("221721938")</f>
        <v>221721938</v>
      </c>
      <c r="G8313" t="str">
        <f>T("18900 JEFFERSON DAVIS HWY")</f>
        <v>18900 JEFFERSON DAVIS HWY</v>
      </c>
      <c r="H8313" t="str">
        <f>T("")</f>
        <v/>
      </c>
      <c r="I8313" t="str">
        <f>T("TRIANGLE")</f>
        <v>TRIANGLE</v>
      </c>
      <c r="J8313" t="str">
        <f t="shared" si="3103"/>
        <v>VA</v>
      </c>
      <c r="K8313" t="str">
        <f>T("")</f>
        <v/>
      </c>
      <c r="L8313" t="str">
        <f>T("7037846116")</f>
        <v>7037846116</v>
      </c>
    </row>
    <row r="8314" spans="1:12" x14ac:dyDescent="0.35">
      <c r="A8314" t="str">
        <f t="shared" si="3104"/>
        <v>RCO NE</v>
      </c>
      <c r="B8314" t="str">
        <f>T("18900 JEFFERSON DAVIS HWY")</f>
        <v>18900 JEFFERSON DAVIS HWY</v>
      </c>
      <c r="C8314" t="str">
        <f>T("")</f>
        <v/>
      </c>
      <c r="D8314" t="str">
        <f>T("TRIANGLE")</f>
        <v>TRIANGLE</v>
      </c>
      <c r="E8314" t="str">
        <f t="shared" si="3102"/>
        <v>VA</v>
      </c>
      <c r="F8314" t="str">
        <f>T("221721938")</f>
        <v>221721938</v>
      </c>
      <c r="G8314" t="str">
        <f>T("18900 JEFFERSON DAVIS HWY")</f>
        <v>18900 JEFFERSON DAVIS HWY</v>
      </c>
      <c r="H8314" t="str">
        <f>T("MCU MUSEUM")</f>
        <v>MCU MUSEUM</v>
      </c>
      <c r="I8314" t="str">
        <f>T("TRIANGLE")</f>
        <v>TRIANGLE</v>
      </c>
      <c r="J8314" t="str">
        <f t="shared" si="3103"/>
        <v>VA</v>
      </c>
      <c r="K8314" t="str">
        <f>T("7037320029")</f>
        <v>7037320029</v>
      </c>
      <c r="L8314" t="str">
        <f>T("7037844532")</f>
        <v>7037844532</v>
      </c>
    </row>
    <row r="8315" spans="1:12" x14ac:dyDescent="0.35">
      <c r="A8315" t="str">
        <f t="shared" si="3104"/>
        <v>RCO NE</v>
      </c>
      <c r="B8315" t="str">
        <f t="shared" ref="B8315:B8324" si="3105">T("2034 BARNETT AVE")</f>
        <v>2034 BARNETT AVE</v>
      </c>
      <c r="C8315" t="str">
        <f t="shared" ref="C8315:C8321" si="3106">T("RM 1 BASEMENT")</f>
        <v>RM 1 BASEMENT</v>
      </c>
      <c r="D8315" t="str">
        <f t="shared" ref="D8315:D8328" si="3107">T("QUANTICO")</f>
        <v>QUANTICO</v>
      </c>
      <c r="E8315" t="str">
        <f t="shared" si="3102"/>
        <v>VA</v>
      </c>
      <c r="F8315" t="str">
        <f t="shared" ref="F8315:F8324" si="3108">T("221345103")</f>
        <v>221345103</v>
      </c>
      <c r="G8315" t="str">
        <f>T("1019 ELLIOT RD")</f>
        <v>1019 ELLIOT RD</v>
      </c>
      <c r="H8315" t="str">
        <f>T("")</f>
        <v/>
      </c>
      <c r="I8315" t="str">
        <f t="shared" ref="I8315:I8328" si="3109">T("QUANTICO")</f>
        <v>QUANTICO</v>
      </c>
      <c r="J8315" t="str">
        <f t="shared" si="3103"/>
        <v>VA</v>
      </c>
      <c r="K8315" t="str">
        <f>T("000000000000000000")</f>
        <v>000000000000000000</v>
      </c>
      <c r="L8315" t="str">
        <f>T("7034321764")</f>
        <v>7034321764</v>
      </c>
    </row>
    <row r="8316" spans="1:12" x14ac:dyDescent="0.35">
      <c r="A8316" t="str">
        <f t="shared" si="3104"/>
        <v>RCO NE</v>
      </c>
      <c r="B8316" t="str">
        <f t="shared" si="3105"/>
        <v>2034 BARNETT AVE</v>
      </c>
      <c r="C8316" t="str">
        <f t="shared" si="3106"/>
        <v>RM 1 BASEMENT</v>
      </c>
      <c r="D8316" t="str">
        <f t="shared" si="3107"/>
        <v>QUANTICO</v>
      </c>
      <c r="E8316" t="str">
        <f t="shared" si="3102"/>
        <v>VA</v>
      </c>
      <c r="F8316" t="str">
        <f t="shared" si="3108"/>
        <v>221345103</v>
      </c>
      <c r="G8316" t="str">
        <f>T("1019 ELLIOT RD")</f>
        <v>1019 ELLIOT RD</v>
      </c>
      <c r="H8316" t="str">
        <f>T("")</f>
        <v/>
      </c>
      <c r="I8316" t="str">
        <f t="shared" si="3109"/>
        <v>QUANTICO</v>
      </c>
      <c r="J8316" t="str">
        <f t="shared" si="3103"/>
        <v>VA</v>
      </c>
      <c r="K8316" t="str">
        <f t="shared" ref="K8316:K8324" si="3110">T("7034321768")</f>
        <v>7034321768</v>
      </c>
      <c r="L8316" t="str">
        <f>T("7034321760")</f>
        <v>7034321760</v>
      </c>
    </row>
    <row r="8317" spans="1:12" x14ac:dyDescent="0.35">
      <c r="A8317" t="str">
        <f t="shared" si="3104"/>
        <v>RCO NE</v>
      </c>
      <c r="B8317" t="str">
        <f t="shared" si="3105"/>
        <v>2034 BARNETT AVE</v>
      </c>
      <c r="C8317" t="str">
        <f t="shared" si="3106"/>
        <v>RM 1 BASEMENT</v>
      </c>
      <c r="D8317" t="str">
        <f t="shared" si="3107"/>
        <v>QUANTICO</v>
      </c>
      <c r="E8317" t="str">
        <f t="shared" si="3102"/>
        <v>VA</v>
      </c>
      <c r="F8317" t="str">
        <f t="shared" si="3108"/>
        <v>221345103</v>
      </c>
      <c r="G8317" t="str">
        <f>T("1019 ELLIOT RD")</f>
        <v>1019 ELLIOT RD</v>
      </c>
      <c r="H8317" t="str">
        <f>T("")</f>
        <v/>
      </c>
      <c r="I8317" t="str">
        <f t="shared" si="3109"/>
        <v>QUANTICO</v>
      </c>
      <c r="J8317" t="str">
        <f t="shared" si="3103"/>
        <v>VA</v>
      </c>
      <c r="K8317" t="str">
        <f t="shared" si="3110"/>
        <v>7034321768</v>
      </c>
      <c r="L8317" t="str">
        <f>T("7034321762")</f>
        <v>7034321762</v>
      </c>
    </row>
    <row r="8318" spans="1:12" x14ac:dyDescent="0.35">
      <c r="A8318" t="str">
        <f t="shared" si="3104"/>
        <v>RCO NE</v>
      </c>
      <c r="B8318" t="str">
        <f t="shared" si="3105"/>
        <v>2034 BARNETT AVE</v>
      </c>
      <c r="C8318" t="str">
        <f t="shared" si="3106"/>
        <v>RM 1 BASEMENT</v>
      </c>
      <c r="D8318" t="str">
        <f t="shared" si="3107"/>
        <v>QUANTICO</v>
      </c>
      <c r="E8318" t="str">
        <f t="shared" si="3102"/>
        <v>VA</v>
      </c>
      <c r="F8318" t="str">
        <f t="shared" si="3108"/>
        <v>221345103</v>
      </c>
      <c r="G8318" t="str">
        <f>T("1019 ELLIOT RD")</f>
        <v>1019 ELLIOT RD</v>
      </c>
      <c r="H8318" t="str">
        <f>T("")</f>
        <v/>
      </c>
      <c r="I8318" t="str">
        <f t="shared" si="3109"/>
        <v>QUANTICO</v>
      </c>
      <c r="J8318" t="str">
        <f t="shared" si="3103"/>
        <v>VA</v>
      </c>
      <c r="K8318" t="str">
        <f t="shared" si="3110"/>
        <v>7034321768</v>
      </c>
      <c r="L8318" t="str">
        <f>T("7034321765")</f>
        <v>7034321765</v>
      </c>
    </row>
    <row r="8319" spans="1:12" x14ac:dyDescent="0.35">
      <c r="A8319" t="str">
        <f t="shared" si="3104"/>
        <v>RCO NE</v>
      </c>
      <c r="B8319" t="str">
        <f t="shared" si="3105"/>
        <v>2034 BARNETT AVE</v>
      </c>
      <c r="C8319" t="str">
        <f t="shared" si="3106"/>
        <v>RM 1 BASEMENT</v>
      </c>
      <c r="D8319" t="str">
        <f t="shared" si="3107"/>
        <v>QUANTICO</v>
      </c>
      <c r="E8319" t="str">
        <f t="shared" si="3102"/>
        <v>VA</v>
      </c>
      <c r="F8319" t="str">
        <f t="shared" si="3108"/>
        <v>221345103</v>
      </c>
      <c r="G8319" t="str">
        <f>T("2034 BARNETT AVE")</f>
        <v>2034 BARNETT AVE</v>
      </c>
      <c r="H8319" t="str">
        <f>T("RM 1 BASEMENT")</f>
        <v>RM 1 BASEMENT</v>
      </c>
      <c r="I8319" t="str">
        <f t="shared" si="3109"/>
        <v>QUANTICO</v>
      </c>
      <c r="J8319" t="str">
        <f t="shared" si="3103"/>
        <v>VA</v>
      </c>
      <c r="K8319" t="str">
        <f t="shared" si="3110"/>
        <v>7034321768</v>
      </c>
      <c r="L8319" t="str">
        <f>T("7037843742")</f>
        <v>7037843742</v>
      </c>
    </row>
    <row r="8320" spans="1:12" x14ac:dyDescent="0.35">
      <c r="A8320" t="str">
        <f t="shared" si="3104"/>
        <v>RCO NE</v>
      </c>
      <c r="B8320" t="str">
        <f t="shared" si="3105"/>
        <v>2034 BARNETT AVE</v>
      </c>
      <c r="C8320" t="str">
        <f t="shared" si="3106"/>
        <v>RM 1 BASEMENT</v>
      </c>
      <c r="D8320" t="str">
        <f t="shared" si="3107"/>
        <v>QUANTICO</v>
      </c>
      <c r="E8320" t="str">
        <f t="shared" si="3102"/>
        <v>VA</v>
      </c>
      <c r="F8320" t="str">
        <f t="shared" si="3108"/>
        <v>221345103</v>
      </c>
      <c r="G8320" t="str">
        <f>T("2034 BARNETT AVENUE")</f>
        <v>2034 BARNETT AVENUE</v>
      </c>
      <c r="H8320" t="str">
        <f>T("ROOM 1 BASEMENT")</f>
        <v>ROOM 1 BASEMENT</v>
      </c>
      <c r="I8320" t="str">
        <f t="shared" si="3109"/>
        <v>QUANTICO</v>
      </c>
      <c r="J8320" t="str">
        <f t="shared" si="3103"/>
        <v>VA</v>
      </c>
      <c r="K8320" t="str">
        <f t="shared" si="3110"/>
        <v>7034321768</v>
      </c>
      <c r="L8320" t="str">
        <f>T("7034321762")</f>
        <v>7034321762</v>
      </c>
    </row>
    <row r="8321" spans="1:12" x14ac:dyDescent="0.35">
      <c r="A8321" t="str">
        <f t="shared" si="3104"/>
        <v>RCO NE</v>
      </c>
      <c r="B8321" t="str">
        <f t="shared" si="3105"/>
        <v>2034 BARNETT AVE</v>
      </c>
      <c r="C8321" t="str">
        <f t="shared" si="3106"/>
        <v>RM 1 BASEMENT</v>
      </c>
      <c r="D8321" t="str">
        <f t="shared" si="3107"/>
        <v>QUANTICO</v>
      </c>
      <c r="E8321" t="str">
        <f t="shared" si="3102"/>
        <v>VA</v>
      </c>
      <c r="F8321" t="str">
        <f t="shared" si="3108"/>
        <v>221345103</v>
      </c>
      <c r="G8321" t="str">
        <f>T("COMMAND GENERAL TCOM C46JR")</f>
        <v>COMMAND GENERAL TCOM C46JR</v>
      </c>
      <c r="H8321" t="str">
        <f>T("1019 ELLIOT RD")</f>
        <v>1019 ELLIOT RD</v>
      </c>
      <c r="I8321" t="str">
        <f t="shared" si="3109"/>
        <v>QUANTICO</v>
      </c>
      <c r="J8321" t="str">
        <f t="shared" si="3103"/>
        <v>VA</v>
      </c>
      <c r="K8321" t="str">
        <f t="shared" si="3110"/>
        <v>7034321768</v>
      </c>
      <c r="L8321" t="str">
        <f>T("7034321760")</f>
        <v>7034321760</v>
      </c>
    </row>
    <row r="8322" spans="1:12" x14ac:dyDescent="0.35">
      <c r="A8322" t="str">
        <f t="shared" si="3104"/>
        <v>RCO NE</v>
      </c>
      <c r="B8322" t="str">
        <f t="shared" si="3105"/>
        <v>2034 BARNETT AVE</v>
      </c>
      <c r="C8322" t="str">
        <f>T("RM 1 BASEMENT 1105")</f>
        <v>RM 1 BASEMENT 1105</v>
      </c>
      <c r="D8322" t="str">
        <f t="shared" si="3107"/>
        <v>QUANTICO</v>
      </c>
      <c r="E8322" t="str">
        <f t="shared" si="3102"/>
        <v>VA</v>
      </c>
      <c r="F8322" t="str">
        <f t="shared" si="3108"/>
        <v>221345103</v>
      </c>
      <c r="G8322" t="str">
        <f>T("1019 ELLIOT RD")</f>
        <v>1019 ELLIOT RD</v>
      </c>
      <c r="H8322" t="str">
        <f>T("")</f>
        <v/>
      </c>
      <c r="I8322" t="str">
        <f t="shared" si="3109"/>
        <v>QUANTICO</v>
      </c>
      <c r="J8322" t="str">
        <f t="shared" si="3103"/>
        <v>VA</v>
      </c>
      <c r="K8322" t="str">
        <f t="shared" si="3110"/>
        <v>7034321768</v>
      </c>
      <c r="L8322" t="str">
        <f>T("7034321765")</f>
        <v>7034321765</v>
      </c>
    </row>
    <row r="8323" spans="1:12" x14ac:dyDescent="0.35">
      <c r="A8323" t="str">
        <f t="shared" si="3104"/>
        <v>RCO NE</v>
      </c>
      <c r="B8323" t="str">
        <f t="shared" si="3105"/>
        <v>2034 BARNETT AVE</v>
      </c>
      <c r="C8323" t="str">
        <f>T("RM 1 BASEMENT 1105")</f>
        <v>RM 1 BASEMENT 1105</v>
      </c>
      <c r="D8323" t="str">
        <f t="shared" si="3107"/>
        <v>QUANTICO</v>
      </c>
      <c r="E8323" t="str">
        <f t="shared" si="3102"/>
        <v>VA</v>
      </c>
      <c r="F8323" t="str">
        <f t="shared" si="3108"/>
        <v>221345103</v>
      </c>
      <c r="G8323" t="str">
        <f>T("1019 ELLIOT RD")</f>
        <v>1019 ELLIOT RD</v>
      </c>
      <c r="H8323" t="str">
        <f>T("")</f>
        <v/>
      </c>
      <c r="I8323" t="str">
        <f t="shared" si="3109"/>
        <v>QUANTICO</v>
      </c>
      <c r="J8323" t="str">
        <f t="shared" si="3103"/>
        <v>VA</v>
      </c>
      <c r="K8323" t="str">
        <f t="shared" si="3110"/>
        <v>7034321768</v>
      </c>
      <c r="L8323" t="str">
        <f>T("7034321767")</f>
        <v>7034321767</v>
      </c>
    </row>
    <row r="8324" spans="1:12" x14ac:dyDescent="0.35">
      <c r="A8324" t="str">
        <f t="shared" si="3104"/>
        <v>RCO NE</v>
      </c>
      <c r="B8324" t="str">
        <f t="shared" si="3105"/>
        <v>2034 BARNETT AVE</v>
      </c>
      <c r="C8324" t="str">
        <f>T("RM 1 BASEMENT 1105")</f>
        <v>RM 1 BASEMENT 1105</v>
      </c>
      <c r="D8324" t="str">
        <f t="shared" si="3107"/>
        <v>QUANTICO</v>
      </c>
      <c r="E8324" t="str">
        <f t="shared" si="3102"/>
        <v>VA</v>
      </c>
      <c r="F8324" t="str">
        <f t="shared" si="3108"/>
        <v>221345103</v>
      </c>
      <c r="G8324" t="str">
        <f>T("2034 BARNETT AVE")</f>
        <v>2034 BARNETT AVE</v>
      </c>
      <c r="H8324" t="str">
        <f>T("RM 1 BASEMENT 1105")</f>
        <v>RM 1 BASEMENT 1105</v>
      </c>
      <c r="I8324" t="str">
        <f t="shared" si="3109"/>
        <v>QUANTICO</v>
      </c>
      <c r="J8324" t="str">
        <f t="shared" si="3103"/>
        <v>VA</v>
      </c>
      <c r="K8324" t="str">
        <f t="shared" si="3110"/>
        <v>7034321768</v>
      </c>
      <c r="L8324" t="str">
        <f>T("7034321766")</f>
        <v>7034321766</v>
      </c>
    </row>
    <row r="8325" spans="1:12" x14ac:dyDescent="0.35">
      <c r="A8325" t="str">
        <f t="shared" si="3104"/>
        <v>RCO NE</v>
      </c>
      <c r="B8325" t="str">
        <f>T("2040 BROADWAY ST")</f>
        <v>2040 BROADWAY ST</v>
      </c>
      <c r="C8325" t="str">
        <f>T("")</f>
        <v/>
      </c>
      <c r="D8325" t="str">
        <f t="shared" si="3107"/>
        <v>QUANTICO</v>
      </c>
      <c r="E8325" t="str">
        <f t="shared" si="3102"/>
        <v>VA</v>
      </c>
      <c r="F8325" t="str">
        <f>T("221345139")</f>
        <v>221345139</v>
      </c>
      <c r="G8325" t="str">
        <f>T("2040 BROADWAY ST")</f>
        <v>2040 BROADWAY ST</v>
      </c>
      <c r="H8325" t="str">
        <f>T("")</f>
        <v/>
      </c>
      <c r="I8325" t="str">
        <f t="shared" si="3109"/>
        <v>QUANTICO</v>
      </c>
      <c r="J8325" t="str">
        <f t="shared" si="3103"/>
        <v>VA</v>
      </c>
      <c r="K8325" t="str">
        <f>T("7037844306")</f>
        <v>7037844306</v>
      </c>
      <c r="L8325" t="str">
        <f>T("7034325239")</f>
        <v>7034325239</v>
      </c>
    </row>
    <row r="8326" spans="1:12" x14ac:dyDescent="0.35">
      <c r="A8326" t="str">
        <f t="shared" si="3104"/>
        <v>RCO NE</v>
      </c>
      <c r="B8326" t="str">
        <f>T("2040 BROADWAY ST")</f>
        <v>2040 BROADWAY ST</v>
      </c>
      <c r="C8326" t="str">
        <f>T("")</f>
        <v/>
      </c>
      <c r="D8326" t="str">
        <f t="shared" si="3107"/>
        <v>QUANTICO</v>
      </c>
      <c r="E8326" t="str">
        <f t="shared" si="3102"/>
        <v>VA</v>
      </c>
      <c r="F8326" t="str">
        <f>T("221345139")</f>
        <v>221345139</v>
      </c>
      <c r="G8326" t="str">
        <f>T("2040 BROADWAY ST")</f>
        <v>2040 BROADWAY ST</v>
      </c>
      <c r="H8326" t="str">
        <f>T("")</f>
        <v/>
      </c>
      <c r="I8326" t="str">
        <f t="shared" si="3109"/>
        <v>QUANTICO</v>
      </c>
      <c r="J8326" t="str">
        <f t="shared" si="3103"/>
        <v>VA</v>
      </c>
      <c r="K8326" t="str">
        <f>T("7037844306")</f>
        <v>7037844306</v>
      </c>
      <c r="L8326" t="str">
        <f>T("7037842248")</f>
        <v>7037842248</v>
      </c>
    </row>
    <row r="8327" spans="1:12" x14ac:dyDescent="0.35">
      <c r="A8327" t="str">
        <f t="shared" si="3104"/>
        <v>RCO NE</v>
      </c>
      <c r="B8327" t="str">
        <f>T("2076 SOUTH ST")</f>
        <v>2076 SOUTH ST</v>
      </c>
      <c r="C8327" t="str">
        <f>T("")</f>
        <v/>
      </c>
      <c r="D8327" t="str">
        <f t="shared" si="3107"/>
        <v>QUANTICO</v>
      </c>
      <c r="E8327" t="str">
        <f t="shared" si="3102"/>
        <v>VA</v>
      </c>
      <c r="F8327" t="str">
        <f>T("221345129")</f>
        <v>221345129</v>
      </c>
      <c r="G8327" t="str">
        <f>T("2076 SOUTH ST")</f>
        <v>2076 SOUTH ST</v>
      </c>
      <c r="H8327" t="str">
        <f>T("")</f>
        <v/>
      </c>
      <c r="I8327" t="str">
        <f t="shared" si="3109"/>
        <v>QUANTICO</v>
      </c>
      <c r="J8327" t="str">
        <f t="shared" si="3103"/>
        <v>VA</v>
      </c>
      <c r="K8327" t="str">
        <f>T("7034325193")</f>
        <v>7034325193</v>
      </c>
      <c r="L8327" t="str">
        <f>T("7034324851")</f>
        <v>7034324851</v>
      </c>
    </row>
    <row r="8328" spans="1:12" x14ac:dyDescent="0.35">
      <c r="A8328" t="str">
        <f t="shared" si="3104"/>
        <v>RCO NE</v>
      </c>
      <c r="B8328" t="str">
        <f>T("2076 SOUTH ST")</f>
        <v>2076 SOUTH ST</v>
      </c>
      <c r="C8328" t="str">
        <f>T("")</f>
        <v/>
      </c>
      <c r="D8328" t="str">
        <f t="shared" si="3107"/>
        <v>QUANTICO</v>
      </c>
      <c r="E8328" t="str">
        <f t="shared" si="3102"/>
        <v>VA</v>
      </c>
      <c r="F8328" t="str">
        <f>T("221345129")</f>
        <v>221345129</v>
      </c>
      <c r="G8328" t="str">
        <f>T("2076 SOUTH STREET")</f>
        <v>2076 SOUTH STREET</v>
      </c>
      <c r="H8328" t="str">
        <f>T("")</f>
        <v/>
      </c>
      <c r="I8328" t="str">
        <f t="shared" si="3109"/>
        <v>QUANTICO</v>
      </c>
      <c r="J8328" t="str">
        <f t="shared" si="3103"/>
        <v>VA</v>
      </c>
      <c r="K8328" t="str">
        <f>T("7037846833")</f>
        <v>7037846833</v>
      </c>
      <c r="L8328" t="str">
        <f>T("7034325515")</f>
        <v>7034325515</v>
      </c>
    </row>
    <row r="8329" spans="1:12" x14ac:dyDescent="0.35">
      <c r="A8329" t="str">
        <f t="shared" si="3104"/>
        <v>RCO NE</v>
      </c>
      <c r="B8329" t="str">
        <f t="shared" ref="B8329:B8335" si="3111">T("2088 REGULUS AVE")</f>
        <v>2088 REGULUS AVE</v>
      </c>
      <c r="C8329" t="str">
        <f t="shared" ref="C8329:C8335" si="3112">T("BLDG 420")</f>
        <v>BLDG 420</v>
      </c>
      <c r="D8329" t="str">
        <f t="shared" ref="D8329:D8335" si="3113">T("VIRGINIA BEACH")</f>
        <v>VIRGINIA BEACH</v>
      </c>
      <c r="E8329" t="str">
        <f t="shared" si="3102"/>
        <v>VA</v>
      </c>
      <c r="F8329" t="str">
        <f t="shared" ref="F8329:F8335" si="3114">T("234612017")</f>
        <v>234612017</v>
      </c>
      <c r="G8329" t="str">
        <f t="shared" ref="G8329:G8334" si="3115">T("2088 REGULUS AVE")</f>
        <v>2088 REGULUS AVE</v>
      </c>
      <c r="H8329" t="str">
        <f>T("")</f>
        <v/>
      </c>
      <c r="I8329" t="str">
        <f t="shared" ref="I8329:I8335" si="3116">T("VIRGINIA BEACH")</f>
        <v>VIRGINIA BEACH</v>
      </c>
      <c r="J8329" t="str">
        <f t="shared" si="3103"/>
        <v>VA</v>
      </c>
      <c r="K8329" t="str">
        <f>T("7574920021")</f>
        <v>7574920021</v>
      </c>
      <c r="L8329" t="str">
        <f>T("7574920281")</f>
        <v>7574920281</v>
      </c>
    </row>
    <row r="8330" spans="1:12" x14ac:dyDescent="0.35">
      <c r="A8330" t="str">
        <f t="shared" si="3104"/>
        <v>RCO NE</v>
      </c>
      <c r="B8330" t="str">
        <f t="shared" si="3111"/>
        <v>2088 REGULUS AVE</v>
      </c>
      <c r="C8330" t="str">
        <f t="shared" si="3112"/>
        <v>BLDG 420</v>
      </c>
      <c r="D8330" t="str">
        <f t="shared" si="3113"/>
        <v>VIRGINIA BEACH</v>
      </c>
      <c r="E8330" t="str">
        <f t="shared" si="3102"/>
        <v>VA</v>
      </c>
      <c r="F8330" t="str">
        <f t="shared" si="3114"/>
        <v>234612017</v>
      </c>
      <c r="G8330" t="str">
        <f t="shared" si="3115"/>
        <v>2088 REGULUS AVE</v>
      </c>
      <c r="H8330" t="str">
        <f>T("BLDG 420")</f>
        <v>BLDG 420</v>
      </c>
      <c r="I8330" t="str">
        <f t="shared" si="3116"/>
        <v>VIRGINIA BEACH</v>
      </c>
      <c r="J8330" t="str">
        <f t="shared" si="3103"/>
        <v>VA</v>
      </c>
      <c r="K8330" t="str">
        <f>T("7574920021")</f>
        <v>7574920021</v>
      </c>
      <c r="L8330" t="str">
        <f>T("7574920239")</f>
        <v>7574920239</v>
      </c>
    </row>
    <row r="8331" spans="1:12" x14ac:dyDescent="0.35">
      <c r="A8331" t="str">
        <f t="shared" si="3104"/>
        <v>RCO NE</v>
      </c>
      <c r="B8331" t="str">
        <f t="shared" si="3111"/>
        <v>2088 REGULUS AVE</v>
      </c>
      <c r="C8331" t="str">
        <f t="shared" si="3112"/>
        <v>BLDG 420</v>
      </c>
      <c r="D8331" t="str">
        <f t="shared" si="3113"/>
        <v>VIRGINIA BEACH</v>
      </c>
      <c r="E8331" t="str">
        <f t="shared" si="3102"/>
        <v>VA</v>
      </c>
      <c r="F8331" t="str">
        <f t="shared" si="3114"/>
        <v>234612017</v>
      </c>
      <c r="G8331" t="str">
        <f t="shared" si="3115"/>
        <v>2088 REGULUS AVE</v>
      </c>
      <c r="H8331" t="str">
        <f>T("BLDG 420")</f>
        <v>BLDG 420</v>
      </c>
      <c r="I8331" t="str">
        <f t="shared" si="3116"/>
        <v>VIRGINIA BEACH</v>
      </c>
      <c r="J8331" t="str">
        <f t="shared" si="3103"/>
        <v>VA</v>
      </c>
      <c r="K8331" t="str">
        <f>T("7574920021")</f>
        <v>7574920021</v>
      </c>
      <c r="L8331" t="str">
        <f>T("7574920409")</f>
        <v>7574920409</v>
      </c>
    </row>
    <row r="8332" spans="1:12" x14ac:dyDescent="0.35">
      <c r="A8332" t="str">
        <f t="shared" si="3104"/>
        <v>RCO NE</v>
      </c>
      <c r="B8332" t="str">
        <f t="shared" si="3111"/>
        <v>2088 REGULUS AVE</v>
      </c>
      <c r="C8332" t="str">
        <f t="shared" si="3112"/>
        <v>BLDG 420</v>
      </c>
      <c r="D8332" t="str">
        <f t="shared" si="3113"/>
        <v>VIRGINIA BEACH</v>
      </c>
      <c r="E8332" t="str">
        <f t="shared" si="3102"/>
        <v>VA</v>
      </c>
      <c r="F8332" t="str">
        <f t="shared" si="3114"/>
        <v>234612017</v>
      </c>
      <c r="G8332" t="str">
        <f t="shared" si="3115"/>
        <v>2088 REGULUS AVE</v>
      </c>
      <c r="H8332" t="str">
        <f>T("BLDG 420")</f>
        <v>BLDG 420</v>
      </c>
      <c r="I8332" t="str">
        <f t="shared" si="3116"/>
        <v>VIRGINIA BEACH</v>
      </c>
      <c r="J8332" t="str">
        <f t="shared" si="3103"/>
        <v>VA</v>
      </c>
      <c r="K8332" t="str">
        <f>T("7574920021")</f>
        <v>7574920021</v>
      </c>
      <c r="L8332" t="str">
        <f>T("7574920576")</f>
        <v>7574920576</v>
      </c>
    </row>
    <row r="8333" spans="1:12" x14ac:dyDescent="0.35">
      <c r="A8333" t="str">
        <f t="shared" si="3104"/>
        <v>RCO NE</v>
      </c>
      <c r="B8333" t="str">
        <f t="shared" si="3111"/>
        <v>2088 REGULUS AVE</v>
      </c>
      <c r="C8333" t="str">
        <f t="shared" si="3112"/>
        <v>BLDG 420</v>
      </c>
      <c r="D8333" t="str">
        <f t="shared" si="3113"/>
        <v>VIRGINIA BEACH</v>
      </c>
      <c r="E8333" t="str">
        <f t="shared" si="3102"/>
        <v>VA</v>
      </c>
      <c r="F8333" t="str">
        <f t="shared" si="3114"/>
        <v>234612017</v>
      </c>
      <c r="G8333" t="str">
        <f t="shared" si="3115"/>
        <v>2088 REGULUS AVE</v>
      </c>
      <c r="H8333" t="str">
        <f>T("BLDG 420")</f>
        <v>BLDG 420</v>
      </c>
      <c r="I8333" t="str">
        <f t="shared" si="3116"/>
        <v>VIRGINIA BEACH</v>
      </c>
      <c r="J8333" t="str">
        <f t="shared" si="3103"/>
        <v>VA</v>
      </c>
      <c r="K8333" t="str">
        <f>T("7574920021")</f>
        <v>7574920021</v>
      </c>
      <c r="L8333" t="str">
        <f>T("7574920596")</f>
        <v>7574920596</v>
      </c>
    </row>
    <row r="8334" spans="1:12" x14ac:dyDescent="0.35">
      <c r="A8334" t="str">
        <f t="shared" si="3104"/>
        <v>RCO NE</v>
      </c>
      <c r="B8334" t="str">
        <f t="shared" si="3111"/>
        <v>2088 REGULUS AVE</v>
      </c>
      <c r="C8334" t="str">
        <f t="shared" si="3112"/>
        <v>BLDG 420</v>
      </c>
      <c r="D8334" t="str">
        <f t="shared" si="3113"/>
        <v>VIRGINIA BEACH</v>
      </c>
      <c r="E8334" t="str">
        <f t="shared" si="3102"/>
        <v>VA</v>
      </c>
      <c r="F8334" t="str">
        <f t="shared" si="3114"/>
        <v>234612017</v>
      </c>
      <c r="G8334" t="str">
        <f t="shared" si="3115"/>
        <v>2088 REGULUS AVE</v>
      </c>
      <c r="H8334" t="str">
        <f>T("BLDG 420")</f>
        <v>BLDG 420</v>
      </c>
      <c r="I8334" t="str">
        <f t="shared" si="3116"/>
        <v>VIRGINIA BEACH</v>
      </c>
      <c r="J8334" t="str">
        <f t="shared" si="3103"/>
        <v>VA</v>
      </c>
      <c r="K8334" t="str">
        <f>T("7574920431")</f>
        <v>7574920431</v>
      </c>
      <c r="L8334" t="str">
        <f>T("7574920230")</f>
        <v>7574920230</v>
      </c>
    </row>
    <row r="8335" spans="1:12" x14ac:dyDescent="0.35">
      <c r="A8335" t="str">
        <f t="shared" si="3104"/>
        <v>RCO NE</v>
      </c>
      <c r="B8335" t="str">
        <f t="shared" si="3111"/>
        <v>2088 REGULUS AVE</v>
      </c>
      <c r="C8335" t="str">
        <f t="shared" si="3112"/>
        <v>BLDG 420</v>
      </c>
      <c r="D8335" t="str">
        <f t="shared" si="3113"/>
        <v>VIRGINIA BEACH</v>
      </c>
      <c r="E8335" t="str">
        <f t="shared" si="3102"/>
        <v>VA</v>
      </c>
      <c r="F8335" t="str">
        <f t="shared" si="3114"/>
        <v>234612017</v>
      </c>
      <c r="G8335" t="str">
        <f>T("2088 REGULUS AVE BLDG 420")</f>
        <v>2088 REGULUS AVE BLDG 420</v>
      </c>
      <c r="H8335" t="str">
        <f>T("")</f>
        <v/>
      </c>
      <c r="I8335" t="str">
        <f t="shared" si="3116"/>
        <v>VIRGINIA BEACH</v>
      </c>
      <c r="J8335" t="str">
        <f t="shared" si="3103"/>
        <v>VA</v>
      </c>
      <c r="K8335" t="str">
        <f>T("7574920021")</f>
        <v>7574920021</v>
      </c>
      <c r="L8335" t="str">
        <f>T("7574920239")</f>
        <v>7574920239</v>
      </c>
    </row>
    <row r="8336" spans="1:12" x14ac:dyDescent="0.35">
      <c r="A8336" t="str">
        <f t="shared" si="3104"/>
        <v>RCO NE</v>
      </c>
      <c r="B8336" t="str">
        <f>T("2189 ELROD AVENUE")</f>
        <v>2189 ELROD AVENUE</v>
      </c>
      <c r="C8336" t="str">
        <f>T("BLDG 3202")</f>
        <v>BLDG 3202</v>
      </c>
      <c r="D8336" t="str">
        <f t="shared" ref="D8336:D8350" si="3117">T("QUANTICO")</f>
        <v>QUANTICO</v>
      </c>
      <c r="E8336" t="str">
        <f t="shared" si="3102"/>
        <v>VA</v>
      </c>
      <c r="F8336" t="str">
        <f>T("221345113")</f>
        <v>221345113</v>
      </c>
      <c r="G8336" t="str">
        <f>T("2189 ELROD AVE")</f>
        <v>2189 ELROD AVE</v>
      </c>
      <c r="H8336" t="str">
        <f>T("")</f>
        <v/>
      </c>
      <c r="I8336" t="str">
        <f t="shared" ref="I8336:I8350" si="3118">T("QUANTICO")</f>
        <v>QUANTICO</v>
      </c>
      <c r="J8336" t="str">
        <f t="shared" si="3103"/>
        <v>VA</v>
      </c>
      <c r="K8336" t="str">
        <f>T("000000000000000000")</f>
        <v>000000000000000000</v>
      </c>
      <c r="L8336" t="str">
        <f>T("7037842086")</f>
        <v>7037842086</v>
      </c>
    </row>
    <row r="8337" spans="1:12" x14ac:dyDescent="0.35">
      <c r="A8337" t="str">
        <f t="shared" si="3104"/>
        <v>RCO NE</v>
      </c>
      <c r="B8337" t="str">
        <f>T("2189 ELROD AVENUE")</f>
        <v>2189 ELROD AVENUE</v>
      </c>
      <c r="C8337" t="str">
        <f>T("BLDG 3202")</f>
        <v>BLDG 3202</v>
      </c>
      <c r="D8337" t="str">
        <f t="shared" si="3117"/>
        <v>QUANTICO</v>
      </c>
      <c r="E8337" t="str">
        <f t="shared" si="3102"/>
        <v>VA</v>
      </c>
      <c r="F8337" t="str">
        <f>T("221345113")</f>
        <v>221345113</v>
      </c>
      <c r="G8337" t="str">
        <f>T("2189 ELROD AVE")</f>
        <v>2189 ELROD AVE</v>
      </c>
      <c r="H8337" t="str">
        <f>T("")</f>
        <v/>
      </c>
      <c r="I8337" t="str">
        <f t="shared" si="3118"/>
        <v>QUANTICO</v>
      </c>
      <c r="J8337" t="str">
        <f t="shared" si="3103"/>
        <v>VA</v>
      </c>
      <c r="K8337" t="str">
        <f>T("000000000000000000")</f>
        <v>000000000000000000</v>
      </c>
      <c r="L8337" t="str">
        <f>T("7037842904")</f>
        <v>7037842904</v>
      </c>
    </row>
    <row r="8338" spans="1:12" x14ac:dyDescent="0.35">
      <c r="A8338" t="str">
        <f t="shared" si="3104"/>
        <v>RCO NE</v>
      </c>
      <c r="B8338" t="str">
        <f>T("2189 ELROD AVENUE")</f>
        <v>2189 ELROD AVENUE</v>
      </c>
      <c r="C8338" t="str">
        <f>T("BLDG 3202")</f>
        <v>BLDG 3202</v>
      </c>
      <c r="D8338" t="str">
        <f t="shared" si="3117"/>
        <v>QUANTICO</v>
      </c>
      <c r="E8338" t="str">
        <f t="shared" si="3102"/>
        <v>VA</v>
      </c>
      <c r="F8338" t="str">
        <f>T("221345113")</f>
        <v>221345113</v>
      </c>
      <c r="G8338" t="str">
        <f>T("2189 ELROD AVENUE")</f>
        <v>2189 ELROD AVENUE</v>
      </c>
      <c r="H8338" t="str">
        <f>T("")</f>
        <v/>
      </c>
      <c r="I8338" t="str">
        <f t="shared" si="3118"/>
        <v>QUANTICO</v>
      </c>
      <c r="J8338" t="str">
        <f t="shared" si="3103"/>
        <v>VA</v>
      </c>
      <c r="K8338" t="str">
        <f>T("000000000000000000")</f>
        <v>000000000000000000</v>
      </c>
      <c r="L8338" t="str">
        <f>T("7034842086")</f>
        <v>7034842086</v>
      </c>
    </row>
    <row r="8339" spans="1:12" x14ac:dyDescent="0.35">
      <c r="A8339" t="str">
        <f t="shared" si="3104"/>
        <v>RCO NE</v>
      </c>
      <c r="B8339" t="str">
        <f>T("2189 ELROD AVENUE")</f>
        <v>2189 ELROD AVENUE</v>
      </c>
      <c r="C8339" t="str">
        <f>T("BLDG 3202")</f>
        <v>BLDG 3202</v>
      </c>
      <c r="D8339" t="str">
        <f t="shared" si="3117"/>
        <v>QUANTICO</v>
      </c>
      <c r="E8339" t="str">
        <f t="shared" si="3102"/>
        <v>VA</v>
      </c>
      <c r="F8339" t="str">
        <f>T("221345113")</f>
        <v>221345113</v>
      </c>
      <c r="G8339" t="str">
        <f>T("2189 ELROD AVENUE")</f>
        <v>2189 ELROD AVENUE</v>
      </c>
      <c r="H8339" t="str">
        <f>T("BLDG 3202")</f>
        <v>BLDG 3202</v>
      </c>
      <c r="I8339" t="str">
        <f t="shared" si="3118"/>
        <v>QUANTICO</v>
      </c>
      <c r="J8339" t="str">
        <f t="shared" si="3103"/>
        <v>VA</v>
      </c>
      <c r="K8339" t="str">
        <f>T("7037844117")</f>
        <v>7037844117</v>
      </c>
      <c r="L8339" t="str">
        <f>T("7037842927")</f>
        <v>7037842927</v>
      </c>
    </row>
    <row r="8340" spans="1:12" x14ac:dyDescent="0.35">
      <c r="A8340" t="str">
        <f t="shared" si="3104"/>
        <v>RCO NE</v>
      </c>
      <c r="B8340" t="str">
        <f>T("2300 A LOUIS RD")</f>
        <v>2300 A LOUIS RD</v>
      </c>
      <c r="C8340" t="str">
        <f t="shared" ref="C8340:C8350" si="3119">T("")</f>
        <v/>
      </c>
      <c r="D8340" t="str">
        <f t="shared" si="3117"/>
        <v>QUANTICO</v>
      </c>
      <c r="E8340" t="str">
        <f t="shared" si="3102"/>
        <v>VA</v>
      </c>
      <c r="F8340" t="str">
        <f t="shared" ref="F8340:F8348" si="3120">T("221345188")</f>
        <v>221345188</v>
      </c>
      <c r="G8340" t="str">
        <f>T("2300 A LOUIS RD")</f>
        <v>2300 A LOUIS RD</v>
      </c>
      <c r="H8340" t="str">
        <f t="shared" ref="H8340:H8350" si="3121">T("")</f>
        <v/>
      </c>
      <c r="I8340" t="str">
        <f t="shared" si="3118"/>
        <v>QUANTICO</v>
      </c>
      <c r="J8340" t="str">
        <f t="shared" si="3103"/>
        <v>VA</v>
      </c>
      <c r="K8340" t="str">
        <f>T("7034320003")</f>
        <v>7034320003</v>
      </c>
      <c r="L8340" t="str">
        <f>T("7034322244")</f>
        <v>7034322244</v>
      </c>
    </row>
    <row r="8341" spans="1:12" x14ac:dyDescent="0.35">
      <c r="A8341" t="str">
        <f t="shared" si="3104"/>
        <v>RCO NE</v>
      </c>
      <c r="B8341" t="str">
        <f>T("2300 A LOUIS ROAD")</f>
        <v>2300 A LOUIS ROAD</v>
      </c>
      <c r="C8341" t="str">
        <f t="shared" si="3119"/>
        <v/>
      </c>
      <c r="D8341" t="str">
        <f t="shared" si="3117"/>
        <v>QUANTICO</v>
      </c>
      <c r="E8341" t="str">
        <f t="shared" si="3102"/>
        <v>VA</v>
      </c>
      <c r="F8341" t="str">
        <f t="shared" si="3120"/>
        <v>221345188</v>
      </c>
      <c r="G8341" t="str">
        <f>T("2300 A LOUIS ROAD")</f>
        <v>2300 A LOUIS ROAD</v>
      </c>
      <c r="H8341" t="str">
        <f t="shared" si="3121"/>
        <v/>
      </c>
      <c r="I8341" t="str">
        <f t="shared" si="3118"/>
        <v>QUANTICO</v>
      </c>
      <c r="J8341" t="str">
        <f t="shared" si="3103"/>
        <v>VA</v>
      </c>
      <c r="K8341" t="str">
        <f>T("7034320003")</f>
        <v>7034320003</v>
      </c>
      <c r="L8341" t="str">
        <f>T("7034322244")</f>
        <v>7034322244</v>
      </c>
    </row>
    <row r="8342" spans="1:12" x14ac:dyDescent="0.35">
      <c r="A8342" t="str">
        <f t="shared" si="3104"/>
        <v>RCO NE</v>
      </c>
      <c r="B8342" t="str">
        <f>T("2300 LOUIS RD")</f>
        <v>2300 LOUIS RD</v>
      </c>
      <c r="C8342" t="str">
        <f t="shared" si="3119"/>
        <v/>
      </c>
      <c r="D8342" t="str">
        <f t="shared" si="3117"/>
        <v>QUANTICO</v>
      </c>
      <c r="E8342" t="str">
        <f t="shared" si="3102"/>
        <v>VA</v>
      </c>
      <c r="F8342" t="str">
        <f t="shared" si="3120"/>
        <v>221345188</v>
      </c>
      <c r="G8342" t="str">
        <f>T("2300 LOUIS RD")</f>
        <v>2300 LOUIS RD</v>
      </c>
      <c r="H8342" t="str">
        <f t="shared" si="3121"/>
        <v/>
      </c>
      <c r="I8342" t="str">
        <f t="shared" si="3118"/>
        <v>QUANTICO</v>
      </c>
      <c r="J8342" t="str">
        <f t="shared" si="3103"/>
        <v>VA</v>
      </c>
      <c r="K8342" t="str">
        <f>T("000000000000000000")</f>
        <v>000000000000000000</v>
      </c>
      <c r="L8342" t="str">
        <f>T("7034322020")</f>
        <v>7034322020</v>
      </c>
    </row>
    <row r="8343" spans="1:12" x14ac:dyDescent="0.35">
      <c r="A8343" t="str">
        <f t="shared" ref="A8343:A8374" si="3122">T("RCO NE")</f>
        <v>RCO NE</v>
      </c>
      <c r="B8343" t="str">
        <f>T("2300 LOUIS RD")</f>
        <v>2300 LOUIS RD</v>
      </c>
      <c r="C8343" t="str">
        <f t="shared" si="3119"/>
        <v/>
      </c>
      <c r="D8343" t="str">
        <f t="shared" si="3117"/>
        <v>QUANTICO</v>
      </c>
      <c r="E8343" t="str">
        <f t="shared" si="3102"/>
        <v>VA</v>
      </c>
      <c r="F8343" t="str">
        <f t="shared" si="3120"/>
        <v>221345188</v>
      </c>
      <c r="G8343" t="str">
        <f>T("2300A LOUIS ROAD")</f>
        <v>2300A LOUIS ROAD</v>
      </c>
      <c r="H8343" t="str">
        <f t="shared" si="3121"/>
        <v/>
      </c>
      <c r="I8343" t="str">
        <f t="shared" si="3118"/>
        <v>QUANTICO</v>
      </c>
      <c r="J8343" t="str">
        <f t="shared" si="3103"/>
        <v>VA</v>
      </c>
      <c r="K8343" t="str">
        <f>T("000000000000000000")</f>
        <v>000000000000000000</v>
      </c>
      <c r="L8343" t="str">
        <f>T("7034322248")</f>
        <v>7034322248</v>
      </c>
    </row>
    <row r="8344" spans="1:12" x14ac:dyDescent="0.35">
      <c r="A8344" t="str">
        <f t="shared" si="3122"/>
        <v>RCO NE</v>
      </c>
      <c r="B8344" t="str">
        <f>T("2300 LOUIS ROAD")</f>
        <v>2300 LOUIS ROAD</v>
      </c>
      <c r="C8344" t="str">
        <f t="shared" si="3119"/>
        <v/>
      </c>
      <c r="D8344" t="str">
        <f t="shared" si="3117"/>
        <v>QUANTICO</v>
      </c>
      <c r="E8344" t="str">
        <f t="shared" si="3102"/>
        <v>VA</v>
      </c>
      <c r="F8344" t="str">
        <f t="shared" si="3120"/>
        <v>221345188</v>
      </c>
      <c r="G8344" t="str">
        <f>T("2300 A LOUIS ROAD")</f>
        <v>2300 A LOUIS ROAD</v>
      </c>
      <c r="H8344" t="str">
        <f t="shared" si="3121"/>
        <v/>
      </c>
      <c r="I8344" t="str">
        <f t="shared" si="3118"/>
        <v>QUANTICO</v>
      </c>
      <c r="J8344" t="str">
        <f t="shared" si="3103"/>
        <v>VA</v>
      </c>
      <c r="K8344" t="str">
        <f>T("7034320003")</f>
        <v>7034320003</v>
      </c>
      <c r="L8344" t="str">
        <f>T("7034322245")</f>
        <v>7034322245</v>
      </c>
    </row>
    <row r="8345" spans="1:12" x14ac:dyDescent="0.35">
      <c r="A8345" t="str">
        <f t="shared" si="3122"/>
        <v>RCO NE</v>
      </c>
      <c r="B8345" t="str">
        <f>T("2300 LOUIS ROAD")</f>
        <v>2300 LOUIS ROAD</v>
      </c>
      <c r="C8345" t="str">
        <f t="shared" si="3119"/>
        <v/>
      </c>
      <c r="D8345" t="str">
        <f t="shared" si="3117"/>
        <v>QUANTICO</v>
      </c>
      <c r="E8345" t="str">
        <f t="shared" si="3102"/>
        <v>VA</v>
      </c>
      <c r="F8345" t="str">
        <f t="shared" si="3120"/>
        <v>221345188</v>
      </c>
      <c r="G8345" t="str">
        <f>T("2300 LOUIS ROAD")</f>
        <v>2300 LOUIS ROAD</v>
      </c>
      <c r="H8345" t="str">
        <f t="shared" si="3121"/>
        <v/>
      </c>
      <c r="I8345" t="str">
        <f t="shared" si="3118"/>
        <v>QUANTICO</v>
      </c>
      <c r="J8345" t="str">
        <f t="shared" si="3103"/>
        <v>VA</v>
      </c>
      <c r="K8345" t="str">
        <f>T("000000000000000000")</f>
        <v>000000000000000000</v>
      </c>
      <c r="L8345" t="str">
        <f>T("7034322020")</f>
        <v>7034322020</v>
      </c>
    </row>
    <row r="8346" spans="1:12" x14ac:dyDescent="0.35">
      <c r="A8346" t="str">
        <f t="shared" si="3122"/>
        <v>RCO NE</v>
      </c>
      <c r="B8346" t="str">
        <f>T("2300 LOUIS ROAD")</f>
        <v>2300 LOUIS ROAD</v>
      </c>
      <c r="C8346" t="str">
        <f t="shared" si="3119"/>
        <v/>
      </c>
      <c r="D8346" t="str">
        <f t="shared" si="3117"/>
        <v>QUANTICO</v>
      </c>
      <c r="E8346" t="str">
        <f t="shared" si="3102"/>
        <v>VA</v>
      </c>
      <c r="F8346" t="str">
        <f t="shared" si="3120"/>
        <v>221345188</v>
      </c>
      <c r="G8346" t="str">
        <f>T("2300 LOUIS ROAD")</f>
        <v>2300 LOUIS ROAD</v>
      </c>
      <c r="H8346" t="str">
        <f t="shared" si="3121"/>
        <v/>
      </c>
      <c r="I8346" t="str">
        <f t="shared" si="3118"/>
        <v>QUANTICO</v>
      </c>
      <c r="J8346" t="str">
        <f t="shared" si="3103"/>
        <v>VA</v>
      </c>
      <c r="K8346" t="str">
        <f>T("703-432-0003")</f>
        <v>703-432-0003</v>
      </c>
      <c r="L8346" t="str">
        <f>T("7034322020")</f>
        <v>7034322020</v>
      </c>
    </row>
    <row r="8347" spans="1:12" x14ac:dyDescent="0.35">
      <c r="A8347" t="str">
        <f t="shared" si="3122"/>
        <v>RCO NE</v>
      </c>
      <c r="B8347" t="str">
        <f>T("2300 LOUIS ROAD")</f>
        <v>2300 LOUIS ROAD</v>
      </c>
      <c r="C8347" t="str">
        <f t="shared" si="3119"/>
        <v/>
      </c>
      <c r="D8347" t="str">
        <f t="shared" si="3117"/>
        <v>QUANTICO</v>
      </c>
      <c r="E8347" t="str">
        <f t="shared" si="3102"/>
        <v>VA</v>
      </c>
      <c r="F8347" t="str">
        <f t="shared" si="3120"/>
        <v>221345188</v>
      </c>
      <c r="G8347" t="str">
        <f>T("2300A LOUIS ROAD")</f>
        <v>2300A LOUIS ROAD</v>
      </c>
      <c r="H8347" t="str">
        <f t="shared" si="3121"/>
        <v/>
      </c>
      <c r="I8347" t="str">
        <f t="shared" si="3118"/>
        <v>QUANTICO</v>
      </c>
      <c r="J8347" t="str">
        <f t="shared" si="3103"/>
        <v>VA</v>
      </c>
      <c r="K8347" t="str">
        <f>T("000000000000000000")</f>
        <v>000000000000000000</v>
      </c>
      <c r="L8347" t="str">
        <f>T("7034322248")</f>
        <v>7034322248</v>
      </c>
    </row>
    <row r="8348" spans="1:12" x14ac:dyDescent="0.35">
      <c r="A8348" t="str">
        <f t="shared" si="3122"/>
        <v>RCO NE</v>
      </c>
      <c r="B8348" t="str">
        <f>T("2300 LOUIS ROAD")</f>
        <v>2300 LOUIS ROAD</v>
      </c>
      <c r="C8348" t="str">
        <f t="shared" si="3119"/>
        <v/>
      </c>
      <c r="D8348" t="str">
        <f t="shared" si="3117"/>
        <v>QUANTICO</v>
      </c>
      <c r="E8348" t="str">
        <f t="shared" si="3102"/>
        <v>VA</v>
      </c>
      <c r="F8348" t="str">
        <f t="shared" si="3120"/>
        <v>221345188</v>
      </c>
      <c r="G8348" t="str">
        <f>T("2300A LOUIS ROAD")</f>
        <v>2300A LOUIS ROAD</v>
      </c>
      <c r="H8348" t="str">
        <f t="shared" si="3121"/>
        <v/>
      </c>
      <c r="I8348" t="str">
        <f t="shared" si="3118"/>
        <v>QUANTICO</v>
      </c>
      <c r="J8348" t="str">
        <f t="shared" si="3103"/>
        <v>VA</v>
      </c>
      <c r="K8348" t="str">
        <f>T("7034320003")</f>
        <v>7034320003</v>
      </c>
      <c r="L8348" t="str">
        <f>T("7034322433")</f>
        <v>7034322433</v>
      </c>
    </row>
    <row r="8349" spans="1:12" x14ac:dyDescent="0.35">
      <c r="A8349" t="str">
        <f t="shared" si="3122"/>
        <v>RCO NE</v>
      </c>
      <c r="B8349" t="str">
        <f>T("3028 UPSUR")</f>
        <v>3028 UPSUR</v>
      </c>
      <c r="C8349" t="str">
        <f t="shared" si="3119"/>
        <v/>
      </c>
      <c r="D8349" t="str">
        <f t="shared" si="3117"/>
        <v>QUANTICO</v>
      </c>
      <c r="E8349" t="str">
        <f t="shared" si="3102"/>
        <v>VA</v>
      </c>
      <c r="F8349" t="str">
        <f>T("221345119")</f>
        <v>221345119</v>
      </c>
      <c r="G8349" t="str">
        <f>T("3028 UPSUR")</f>
        <v>3028 UPSUR</v>
      </c>
      <c r="H8349" t="str">
        <f t="shared" si="3121"/>
        <v/>
      </c>
      <c r="I8349" t="str">
        <f t="shared" si="3118"/>
        <v>QUANTICO</v>
      </c>
      <c r="J8349" t="str">
        <f t="shared" si="3103"/>
        <v>VA</v>
      </c>
      <c r="K8349" t="str">
        <f>T("7034325054")</f>
        <v>7034325054</v>
      </c>
      <c r="L8349" t="str">
        <f>T("7034325058")</f>
        <v>7034325058</v>
      </c>
    </row>
    <row r="8350" spans="1:12" x14ac:dyDescent="0.35">
      <c r="A8350" t="str">
        <f t="shared" si="3122"/>
        <v>RCO NE</v>
      </c>
      <c r="B8350" t="str">
        <f>T("3028 UPSUR")</f>
        <v>3028 UPSUR</v>
      </c>
      <c r="C8350" t="str">
        <f t="shared" si="3119"/>
        <v/>
      </c>
      <c r="D8350" t="str">
        <f t="shared" si="3117"/>
        <v>QUANTICO</v>
      </c>
      <c r="E8350" t="str">
        <f t="shared" si="3102"/>
        <v>VA</v>
      </c>
      <c r="F8350" t="str">
        <f>T("221345119")</f>
        <v>221345119</v>
      </c>
      <c r="G8350" t="str">
        <f>T("3078 UPSHUR AVE")</f>
        <v>3078 UPSHUR AVE</v>
      </c>
      <c r="H8350" t="str">
        <f t="shared" si="3121"/>
        <v/>
      </c>
      <c r="I8350" t="str">
        <f t="shared" si="3118"/>
        <v>QUANTICO</v>
      </c>
      <c r="J8350" t="str">
        <f t="shared" si="3103"/>
        <v>VA</v>
      </c>
      <c r="K8350" t="str">
        <f>T("7034325054")</f>
        <v>7034325054</v>
      </c>
      <c r="L8350" t="str">
        <f>T("7034324877")</f>
        <v>7034324877</v>
      </c>
    </row>
    <row r="8351" spans="1:12" x14ac:dyDescent="0.35">
      <c r="A8351" t="str">
        <f t="shared" si="3122"/>
        <v>RCO NE</v>
      </c>
      <c r="B8351" t="str">
        <f>T("640 ROBERTS AVE")</f>
        <v>640 ROBERTS AVE</v>
      </c>
      <c r="C8351" t="str">
        <f>T("BLDG 502 RM 202E")</f>
        <v>BLDG 502 RM 202E</v>
      </c>
      <c r="D8351" t="str">
        <f>T("PENSACOLA")</f>
        <v>PENSACOLA</v>
      </c>
      <c r="E8351" t="str">
        <f>T("FL")</f>
        <v>FL</v>
      </c>
      <c r="F8351" t="str">
        <f>T("325110001")</f>
        <v>325110001</v>
      </c>
      <c r="G8351" t="str">
        <f>T("640 ROBERTS AVE")</f>
        <v>640 ROBERTS AVE</v>
      </c>
      <c r="H8351" t="str">
        <f>T("BLDG 502 RM 202E")</f>
        <v>BLDG 502 RM 202E</v>
      </c>
      <c r="I8351" t="str">
        <f>T("PENSACOLA")</f>
        <v>PENSACOLA</v>
      </c>
      <c r="J8351" t="str">
        <f>T("FL")</f>
        <v>FL</v>
      </c>
      <c r="K8351" t="str">
        <f>T("8506344")</f>
        <v>8506344</v>
      </c>
      <c r="L8351" t="str">
        <f>T("8504526581")</f>
        <v>8504526581</v>
      </c>
    </row>
    <row r="8352" spans="1:12" x14ac:dyDescent="0.35">
      <c r="A8352" t="str">
        <f t="shared" si="3122"/>
        <v>RCO NE</v>
      </c>
      <c r="B8352" t="str">
        <f>T("761 MCNAIR RD")</f>
        <v>761 MCNAIR RD</v>
      </c>
      <c r="C8352" t="str">
        <f>T("")</f>
        <v/>
      </c>
      <c r="D8352" t="str">
        <f>T("FORT SILL")</f>
        <v>FORT SILL</v>
      </c>
      <c r="E8352" t="str">
        <f>T("OK")</f>
        <v>OK</v>
      </c>
      <c r="F8352" t="str">
        <f>T("735034436")</f>
        <v>735034436</v>
      </c>
      <c r="G8352" t="str">
        <f>T("761 MCNAIR RD")</f>
        <v>761 MCNAIR RD</v>
      </c>
      <c r="H8352" t="str">
        <f>T("")</f>
        <v/>
      </c>
      <c r="I8352" t="str">
        <f>T("FORT SILL")</f>
        <v>FORT SILL</v>
      </c>
      <c r="J8352" t="str">
        <f>T("OK")</f>
        <v>OK</v>
      </c>
      <c r="K8352" t="str">
        <f>T("000000000000000000")</f>
        <v>000000000000000000</v>
      </c>
      <c r="L8352" t="str">
        <f>T("8804426585")</f>
        <v>8804426585</v>
      </c>
    </row>
    <row r="8353" spans="1:12" x14ac:dyDescent="0.35">
      <c r="A8353" t="str">
        <f t="shared" si="3122"/>
        <v>RCO NE</v>
      </c>
      <c r="B8353" t="str">
        <f>T("BLDG 2079 BARNETT AVE")</f>
        <v>BLDG 2079 BARNETT AVE</v>
      </c>
      <c r="C8353" t="str">
        <f>T("1ST FLOOR DALY HALL")</f>
        <v>1ST FLOOR DALY HALL</v>
      </c>
      <c r="D8353" t="str">
        <f>T("QUANTICO")</f>
        <v>QUANTICO</v>
      </c>
      <c r="E8353" t="str">
        <f>T("VA")</f>
        <v>VA</v>
      </c>
      <c r="F8353" t="str">
        <f>T("221345103")</f>
        <v>221345103</v>
      </c>
      <c r="G8353" t="str">
        <f>T("BLDG 2079 BARNETT AVE")</f>
        <v>BLDG 2079 BARNETT AVE</v>
      </c>
      <c r="H8353" t="str">
        <f>T("1ST FLOOR DALY HALL")</f>
        <v>1ST FLOOR DALY HALL</v>
      </c>
      <c r="I8353" t="str">
        <f>T("QUANTICO")</f>
        <v>QUANTICO</v>
      </c>
      <c r="J8353" t="str">
        <f>T("VA")</f>
        <v>VA</v>
      </c>
      <c r="K8353" t="str">
        <f>T("7037844089")</f>
        <v>7037844089</v>
      </c>
      <c r="L8353" t="str">
        <f>T("7037844089")</f>
        <v>7037844089</v>
      </c>
    </row>
    <row r="8354" spans="1:12" x14ac:dyDescent="0.35">
      <c r="A8354" t="str">
        <f t="shared" si="3122"/>
        <v>RCO NE</v>
      </c>
      <c r="B8354" t="str">
        <f>T("BLDG 629B RIFLE RANGE RD")</f>
        <v>BLDG 629B RIFLE RANGE RD</v>
      </c>
      <c r="C8354" t="str">
        <f>T("")</f>
        <v/>
      </c>
      <c r="D8354" t="str">
        <f>T("MONTEREY")</f>
        <v>MONTEREY</v>
      </c>
      <c r="E8354" t="str">
        <f>T("CA")</f>
        <v>CA</v>
      </c>
      <c r="F8354" t="str">
        <f>T("939440000")</f>
        <v>939440000</v>
      </c>
      <c r="G8354" t="str">
        <f>T("629B RIFLE RANGE RD")</f>
        <v>629B RIFLE RANGE RD</v>
      </c>
      <c r="H8354" t="str">
        <f>T("")</f>
        <v/>
      </c>
      <c r="I8354" t="str">
        <f>T("MONTEREY")</f>
        <v>MONTEREY</v>
      </c>
      <c r="J8354" t="str">
        <f>T("CA")</f>
        <v>CA</v>
      </c>
      <c r="K8354" t="str">
        <f>T("8312426143")</f>
        <v>8312426143</v>
      </c>
      <c r="L8354" t="str">
        <f>T("8312425854")</f>
        <v>8312425854</v>
      </c>
    </row>
    <row r="8355" spans="1:12" x14ac:dyDescent="0.35">
      <c r="A8355" t="str">
        <f t="shared" si="3122"/>
        <v>RCO NE</v>
      </c>
      <c r="B8355" t="str">
        <f>T("BLDG 629B RIFLE RANGE RD")</f>
        <v>BLDG 629B RIFLE RANGE RD</v>
      </c>
      <c r="C8355" t="str">
        <f>T("")</f>
        <v/>
      </c>
      <c r="D8355" t="str">
        <f>T("MONTEREY")</f>
        <v>MONTEREY</v>
      </c>
      <c r="E8355" t="str">
        <f>T("CA")</f>
        <v>CA</v>
      </c>
      <c r="F8355" t="str">
        <f>T("939440000")</f>
        <v>939440000</v>
      </c>
      <c r="G8355" t="str">
        <f>T("BLDG 629B RIFLE RANGE RD")</f>
        <v>BLDG 629B RIFLE RANGE RD</v>
      </c>
      <c r="H8355" t="str">
        <f>T("")</f>
        <v/>
      </c>
      <c r="I8355" t="str">
        <f>T("MONTEREY")</f>
        <v>MONTEREY</v>
      </c>
      <c r="J8355" t="str">
        <f>T("CA")</f>
        <v>CA</v>
      </c>
      <c r="K8355" t="str">
        <f>T("8312426143")</f>
        <v>8312426143</v>
      </c>
      <c r="L8355" t="str">
        <f>T("8312427908")</f>
        <v>8312427908</v>
      </c>
    </row>
    <row r="8356" spans="1:12" x14ac:dyDescent="0.35">
      <c r="A8356" t="str">
        <f t="shared" si="3122"/>
        <v>RCO NE</v>
      </c>
      <c r="B8356" t="str">
        <f>T("CG TECOM MSTP CENTER C467")</f>
        <v>CG TECOM MSTP CENTER C467</v>
      </c>
      <c r="C8356" t="str">
        <f>T("3300 RUSSELLL RD")</f>
        <v>3300 RUSSELLL RD</v>
      </c>
      <c r="D8356" t="str">
        <f>T("QUANTICO")</f>
        <v>QUANTICO</v>
      </c>
      <c r="E8356" t="str">
        <f>T("VA")</f>
        <v>VA</v>
      </c>
      <c r="F8356" t="str">
        <f>T("221345135")</f>
        <v>221345135</v>
      </c>
      <c r="G8356" t="str">
        <f>T("CG TECOM MSTP CENTER C467")</f>
        <v>CG TECOM MSTP CENTER C467</v>
      </c>
      <c r="H8356" t="str">
        <f>T("3300 RUSSELLL RD")</f>
        <v>3300 RUSSELLL RD</v>
      </c>
      <c r="I8356" t="str">
        <f>T("QUANTICO")</f>
        <v>QUANTICO</v>
      </c>
      <c r="J8356" t="str">
        <f>T("VA")</f>
        <v>VA</v>
      </c>
      <c r="K8356" t="str">
        <f>T("703 432 4719")</f>
        <v>703 432 4719</v>
      </c>
      <c r="L8356" t="str">
        <f>T("7034324597")</f>
        <v>7034324597</v>
      </c>
    </row>
    <row r="8357" spans="1:12" x14ac:dyDescent="0.35">
      <c r="A8357" t="str">
        <f t="shared" si="3122"/>
        <v>RCO NE</v>
      </c>
      <c r="B8357" t="str">
        <f>T("EWS")</f>
        <v>EWS</v>
      </c>
      <c r="C8357" t="str">
        <f>T("2077 GEIGER ROAD")</f>
        <v>2077 GEIGER ROAD</v>
      </c>
      <c r="D8357" t="str">
        <f>T("QUANTICO")</f>
        <v>QUANTICO</v>
      </c>
      <c r="E8357" t="str">
        <f>T("VA")</f>
        <v>VA</v>
      </c>
      <c r="F8357" t="str">
        <f>T("221345116")</f>
        <v>221345116</v>
      </c>
      <c r="G8357" t="str">
        <f>T("2077 GEIGER RD")</f>
        <v>2077 GEIGER RD</v>
      </c>
      <c r="H8357" t="str">
        <f>T("")</f>
        <v/>
      </c>
      <c r="I8357" t="str">
        <f>T("QUANTICO")</f>
        <v>QUANTICO</v>
      </c>
      <c r="J8357" t="str">
        <f>T("VA")</f>
        <v>VA</v>
      </c>
      <c r="K8357" t="str">
        <f>T("7037842582")</f>
        <v>7037842582</v>
      </c>
      <c r="L8357" t="str">
        <f>T("7034320112")</f>
        <v>7034320112</v>
      </c>
    </row>
    <row r="8358" spans="1:12" x14ac:dyDescent="0.35">
      <c r="A8358" t="str">
        <f t="shared" si="3122"/>
        <v>RCO NE</v>
      </c>
      <c r="B8358" t="str">
        <f>T("EWS")</f>
        <v>EWS</v>
      </c>
      <c r="C8358" t="str">
        <f>T("2077 GEIGER ROAD")</f>
        <v>2077 GEIGER ROAD</v>
      </c>
      <c r="D8358" t="str">
        <f>T("QUANTICO")</f>
        <v>QUANTICO</v>
      </c>
      <c r="E8358" t="str">
        <f>T("VA")</f>
        <v>VA</v>
      </c>
      <c r="F8358" t="str">
        <f>T("221345116")</f>
        <v>221345116</v>
      </c>
      <c r="G8358" t="str">
        <f>T("EWS")</f>
        <v>EWS</v>
      </c>
      <c r="H8358" t="str">
        <f>T("2077 GEIGER ROAD")</f>
        <v>2077 GEIGER ROAD</v>
      </c>
      <c r="I8358" t="str">
        <f>T("QUANTICO")</f>
        <v>QUANTICO</v>
      </c>
      <c r="J8358" t="str">
        <f>T("VA")</f>
        <v>VA</v>
      </c>
      <c r="K8358" t="str">
        <f>T("7037842582")</f>
        <v>7037842582</v>
      </c>
      <c r="L8358" t="str">
        <f>T("7034320032")</f>
        <v>7034320032</v>
      </c>
    </row>
    <row r="8359" spans="1:12" x14ac:dyDescent="0.35">
      <c r="A8359" t="str">
        <f t="shared" si="3122"/>
        <v>RCO NE</v>
      </c>
      <c r="B8359" t="str">
        <f>T("GOODFELLOW AFB")</f>
        <v>GOODFELLOW AFB</v>
      </c>
      <c r="C8359" t="str">
        <f>T("224 APACHE TRAIL")</f>
        <v>224 APACHE TRAIL</v>
      </c>
      <c r="D8359" t="str">
        <f>T("GOODFELOW AFB")</f>
        <v>GOODFELOW AFB</v>
      </c>
      <c r="E8359" t="str">
        <f>T("TX")</f>
        <v>TX</v>
      </c>
      <c r="F8359" t="str">
        <f>T("769083103")</f>
        <v>769083103</v>
      </c>
      <c r="G8359" t="str">
        <f>T("GOODFELLOW AFB")</f>
        <v>GOODFELLOW AFB</v>
      </c>
      <c r="H8359" t="str">
        <f>T("224 APACHE TRAIL")</f>
        <v>224 APACHE TRAIL</v>
      </c>
      <c r="I8359" t="str">
        <f>T("GOODFELLOW AFB")</f>
        <v>GOODFELLOW AFB</v>
      </c>
      <c r="J8359" t="str">
        <f>T("TX")</f>
        <v>TX</v>
      </c>
      <c r="K8359" t="str">
        <f>T("000000000000000000")</f>
        <v>000000000000000000</v>
      </c>
      <c r="L8359" t="str">
        <f>T("3256545312")</f>
        <v>3256545312</v>
      </c>
    </row>
    <row r="8360" spans="1:12" x14ac:dyDescent="0.35">
      <c r="A8360" t="str">
        <f t="shared" si="3122"/>
        <v>RCO NE</v>
      </c>
      <c r="B8360" t="str">
        <f>T("GOODFELLOW AFB")</f>
        <v>GOODFELLOW AFB</v>
      </c>
      <c r="C8360" t="str">
        <f>T("224 APACHE TRAIL")</f>
        <v>224 APACHE TRAIL</v>
      </c>
      <c r="D8360" t="str">
        <f>T("GOODFELOW AFB")</f>
        <v>GOODFELOW AFB</v>
      </c>
      <c r="E8360" t="str">
        <f>T("TX")</f>
        <v>TX</v>
      </c>
      <c r="F8360" t="str">
        <f>T("769083103")</f>
        <v>769083103</v>
      </c>
      <c r="G8360" t="str">
        <f>T("GOODFELLOW AFB")</f>
        <v>GOODFELLOW AFB</v>
      </c>
      <c r="H8360" t="str">
        <f>T("224 APACHE TRAIL")</f>
        <v>224 APACHE TRAIL</v>
      </c>
      <c r="I8360" t="str">
        <f>T("GOODFELOW AFB")</f>
        <v>GOODFELOW AFB</v>
      </c>
      <c r="J8360" t="str">
        <f>T("TX")</f>
        <v>TX</v>
      </c>
      <c r="K8360" t="str">
        <f>T("3256545113")</f>
        <v>3256545113</v>
      </c>
      <c r="L8360" t="str">
        <f>T("3256545312")</f>
        <v>3256545312</v>
      </c>
    </row>
    <row r="8361" spans="1:12" x14ac:dyDescent="0.35">
      <c r="A8361" t="str">
        <f t="shared" si="3122"/>
        <v>RCO NE</v>
      </c>
      <c r="B8361" t="str">
        <f>T("MARCORDET FT BENNINGS")</f>
        <v>MARCORDET FT BENNINGS</v>
      </c>
      <c r="C8361" t="str">
        <f>T("6998 OLD CUSSETA HWY BLDG 4200")</f>
        <v>6998 OLD CUSSETA HWY BLDG 4200</v>
      </c>
      <c r="D8361" t="str">
        <f>T("FORT BENNING")</f>
        <v>FORT BENNING</v>
      </c>
      <c r="E8361" t="str">
        <f>T("GA")</f>
        <v>GA</v>
      </c>
      <c r="F8361" t="str">
        <f>T("319055431")</f>
        <v>319055431</v>
      </c>
      <c r="G8361" t="str">
        <f>T("6000 OLD CUSSETA HWY")</f>
        <v>6000 OLD CUSSETA HWY</v>
      </c>
      <c r="H8361" t="str">
        <f>T("BLDG 4230 ATTN MADONNA SMITH")</f>
        <v>BLDG 4230 ATTN MADONNA SMITH</v>
      </c>
      <c r="I8361" t="str">
        <f>T("FORT BENNING")</f>
        <v>FORT BENNING</v>
      </c>
      <c r="J8361" t="str">
        <f>T("GA")</f>
        <v>GA</v>
      </c>
      <c r="K8361" t="str">
        <f>T("000000000000000000")</f>
        <v>000000000000000000</v>
      </c>
      <c r="L8361" t="str">
        <f>T("7066267160")</f>
        <v>7066267160</v>
      </c>
    </row>
    <row r="8362" spans="1:12" x14ac:dyDescent="0.35">
      <c r="A8362" t="str">
        <f t="shared" si="3122"/>
        <v>RCO NE</v>
      </c>
      <c r="B8362" t="str">
        <f>T("MARCORDET FT BENNINGS")</f>
        <v>MARCORDET FT BENNINGS</v>
      </c>
      <c r="C8362" t="str">
        <f>T("6998 OLD CUSSETA HWY BLDG 4200")</f>
        <v>6998 OLD CUSSETA HWY BLDG 4200</v>
      </c>
      <c r="D8362" t="str">
        <f>T("FORT BENNING")</f>
        <v>FORT BENNING</v>
      </c>
      <c r="E8362" t="str">
        <f>T("GA")</f>
        <v>GA</v>
      </c>
      <c r="F8362" t="str">
        <f>T("319055431")</f>
        <v>319055431</v>
      </c>
      <c r="G8362" t="str">
        <f>T("6998 OLD CUSSETA RD")</f>
        <v>6998 OLD CUSSETA RD</v>
      </c>
      <c r="H8362" t="str">
        <f>T("")</f>
        <v/>
      </c>
      <c r="I8362" t="str">
        <f>T("FORT BENNING")</f>
        <v>FORT BENNING</v>
      </c>
      <c r="J8362" t="str">
        <f>T("GA")</f>
        <v>GA</v>
      </c>
      <c r="K8362" t="str">
        <f>T("000000000000000000")</f>
        <v>000000000000000000</v>
      </c>
      <c r="L8362" t="str">
        <f>T("7066265038")</f>
        <v>7066265038</v>
      </c>
    </row>
    <row r="8363" spans="1:12" x14ac:dyDescent="0.35">
      <c r="A8363" t="str">
        <f t="shared" si="3122"/>
        <v>RCO NE</v>
      </c>
      <c r="B8363" t="str">
        <f>T("MARCORDET FT BENNINGS")</f>
        <v>MARCORDET FT BENNINGS</v>
      </c>
      <c r="C8363" t="str">
        <f>T("6998 OLD CUSSETA HWY BLDG 4200")</f>
        <v>6998 OLD CUSSETA HWY BLDG 4200</v>
      </c>
      <c r="D8363" t="str">
        <f>T("FORT BENNING")</f>
        <v>FORT BENNING</v>
      </c>
      <c r="E8363" t="str">
        <f>T("GA")</f>
        <v>GA</v>
      </c>
      <c r="F8363" t="str">
        <f>T("319055431")</f>
        <v>319055431</v>
      </c>
      <c r="G8363" t="str">
        <f>T("6998 PLD CUSSETA HWY")</f>
        <v>6998 PLD CUSSETA HWY</v>
      </c>
      <c r="H8363" t="str">
        <f>T("BLDG 4200")</f>
        <v>BLDG 4200</v>
      </c>
      <c r="I8363" t="str">
        <f>T("FORT BENNING")</f>
        <v>FORT BENNING</v>
      </c>
      <c r="J8363" t="str">
        <f>T("GA")</f>
        <v>GA</v>
      </c>
      <c r="K8363" t="str">
        <f>T("7066265013")</f>
        <v>7066265013</v>
      </c>
      <c r="L8363" t="str">
        <f>T("7066265002")</f>
        <v>7066265002</v>
      </c>
    </row>
    <row r="8364" spans="1:12" x14ac:dyDescent="0.35">
      <c r="A8364" t="str">
        <f t="shared" si="3122"/>
        <v>RCO NE</v>
      </c>
      <c r="B8364" t="str">
        <f>T("MARCORDET FT BENNINGS")</f>
        <v>MARCORDET FT BENNINGS</v>
      </c>
      <c r="C8364" t="str">
        <f>T("6998 OLD CUSSETA HWY BLDG 4200")</f>
        <v>6998 OLD CUSSETA HWY BLDG 4200</v>
      </c>
      <c r="D8364" t="str">
        <f>T("FORT BENNING")</f>
        <v>FORT BENNING</v>
      </c>
      <c r="E8364" t="str">
        <f>T("GA")</f>
        <v>GA</v>
      </c>
      <c r="F8364" t="str">
        <f>T("319055431")</f>
        <v>319055431</v>
      </c>
      <c r="G8364" t="str">
        <f>T("MARCORDET FT BENNINGS")</f>
        <v>MARCORDET FT BENNINGS</v>
      </c>
      <c r="H8364" t="str">
        <f>T("6998 OLD CUSSETA HWY BLDG 4200")</f>
        <v>6998 OLD CUSSETA HWY BLDG 4200</v>
      </c>
      <c r="I8364" t="str">
        <f>T("FORT BENNING")</f>
        <v>FORT BENNING</v>
      </c>
      <c r="J8364" t="str">
        <f>T("GA")</f>
        <v>GA</v>
      </c>
      <c r="K8364" t="str">
        <f>T("7066265013")</f>
        <v>7066265013</v>
      </c>
      <c r="L8364" t="str">
        <f>T("7066265009")</f>
        <v>7066265009</v>
      </c>
    </row>
    <row r="8365" spans="1:12" x14ac:dyDescent="0.35">
      <c r="A8365" t="str">
        <f t="shared" si="3122"/>
        <v>RCO NE</v>
      </c>
      <c r="B8365" t="str">
        <f t="shared" ref="B8365:B8370" si="3123">T("MARINE CORPS UNIVERSITY")</f>
        <v>MARINE CORPS UNIVERSITY</v>
      </c>
      <c r="C8365" t="str">
        <f t="shared" ref="C8365:C8370" si="3124">T("2076 SOUTH STREET RM025")</f>
        <v>2076 SOUTH STREET RM025</v>
      </c>
      <c r="D8365" t="str">
        <f t="shared" ref="D8365:D8370" si="3125">T("QUANTICO")</f>
        <v>QUANTICO</v>
      </c>
      <c r="E8365" t="str">
        <f t="shared" ref="E8365:E8373" si="3126">T("VA")</f>
        <v>VA</v>
      </c>
      <c r="F8365" t="str">
        <f t="shared" ref="F8365:F8370" si="3127">T("221345129")</f>
        <v>221345129</v>
      </c>
      <c r="G8365" t="str">
        <f>T("2076 SOUTH ST")</f>
        <v>2076 SOUTH ST</v>
      </c>
      <c r="H8365" t="str">
        <f>T("")</f>
        <v/>
      </c>
      <c r="I8365" t="str">
        <f t="shared" ref="I8365:I8370" si="3128">T("QUANTICO")</f>
        <v>QUANTICO</v>
      </c>
      <c r="J8365" t="str">
        <f t="shared" ref="J8365:J8373" si="3129">T("VA")</f>
        <v>VA</v>
      </c>
      <c r="K8365" t="str">
        <f>T("000000000000000000")</f>
        <v>000000000000000000</v>
      </c>
      <c r="L8365" t="str">
        <f>T("7034325549")</f>
        <v>7034325549</v>
      </c>
    </row>
    <row r="8366" spans="1:12" x14ac:dyDescent="0.35">
      <c r="A8366" t="str">
        <f t="shared" si="3122"/>
        <v>RCO NE</v>
      </c>
      <c r="B8366" t="str">
        <f t="shared" si="3123"/>
        <v>MARINE CORPS UNIVERSITY</v>
      </c>
      <c r="C8366" t="str">
        <f t="shared" si="3124"/>
        <v>2076 SOUTH STREET RM025</v>
      </c>
      <c r="D8366" t="str">
        <f t="shared" si="3125"/>
        <v>QUANTICO</v>
      </c>
      <c r="E8366" t="str">
        <f t="shared" si="3126"/>
        <v>VA</v>
      </c>
      <c r="F8366" t="str">
        <f t="shared" si="3127"/>
        <v>221345129</v>
      </c>
      <c r="G8366" t="str">
        <f>T("2076 SOUTH STREET")</f>
        <v>2076 SOUTH STREET</v>
      </c>
      <c r="H8366" t="str">
        <f>T("")</f>
        <v/>
      </c>
      <c r="I8366" t="str">
        <f t="shared" si="3128"/>
        <v>QUANTICO</v>
      </c>
      <c r="J8366" t="str">
        <f t="shared" si="3129"/>
        <v>VA</v>
      </c>
      <c r="K8366" t="str">
        <f>T("000000000000000000")</f>
        <v>000000000000000000</v>
      </c>
      <c r="L8366" t="str">
        <f>T("7034325581")</f>
        <v>7034325581</v>
      </c>
    </row>
    <row r="8367" spans="1:12" x14ac:dyDescent="0.35">
      <c r="A8367" t="str">
        <f t="shared" si="3122"/>
        <v>RCO NE</v>
      </c>
      <c r="B8367" t="str">
        <f t="shared" si="3123"/>
        <v>MARINE CORPS UNIVERSITY</v>
      </c>
      <c r="C8367" t="str">
        <f t="shared" si="3124"/>
        <v>2076 SOUTH STREET RM025</v>
      </c>
      <c r="D8367" t="str">
        <f t="shared" si="3125"/>
        <v>QUANTICO</v>
      </c>
      <c r="E8367" t="str">
        <f t="shared" si="3126"/>
        <v>VA</v>
      </c>
      <c r="F8367" t="str">
        <f t="shared" si="3127"/>
        <v>221345129</v>
      </c>
      <c r="G8367" t="str">
        <f>T("2076 SOUTH STREET")</f>
        <v>2076 SOUTH STREET</v>
      </c>
      <c r="H8367" t="str">
        <f>T("")</f>
        <v/>
      </c>
      <c r="I8367" t="str">
        <f t="shared" si="3128"/>
        <v>QUANTICO</v>
      </c>
      <c r="J8367" t="str">
        <f t="shared" si="3129"/>
        <v>VA</v>
      </c>
      <c r="K8367" t="str">
        <f>T("7037846833")</f>
        <v>7037846833</v>
      </c>
      <c r="L8367" t="str">
        <f>T("7034325304")</f>
        <v>7034325304</v>
      </c>
    </row>
    <row r="8368" spans="1:12" x14ac:dyDescent="0.35">
      <c r="A8368" t="str">
        <f t="shared" si="3122"/>
        <v>RCO NE</v>
      </c>
      <c r="B8368" t="str">
        <f t="shared" si="3123"/>
        <v>MARINE CORPS UNIVERSITY</v>
      </c>
      <c r="C8368" t="str">
        <f t="shared" si="3124"/>
        <v>2076 SOUTH STREET RM025</v>
      </c>
      <c r="D8368" t="str">
        <f t="shared" si="3125"/>
        <v>QUANTICO</v>
      </c>
      <c r="E8368" t="str">
        <f t="shared" si="3126"/>
        <v>VA</v>
      </c>
      <c r="F8368" t="str">
        <f t="shared" si="3127"/>
        <v>221345129</v>
      </c>
      <c r="G8368" t="str">
        <f>T("2076 SOUTH STREET")</f>
        <v>2076 SOUTH STREET</v>
      </c>
      <c r="H8368" t="str">
        <f>T("")</f>
        <v/>
      </c>
      <c r="I8368" t="str">
        <f t="shared" si="3128"/>
        <v>QUANTICO</v>
      </c>
      <c r="J8368" t="str">
        <f t="shared" si="3129"/>
        <v>VA</v>
      </c>
      <c r="K8368" t="str">
        <f>T("7037846833")</f>
        <v>7037846833</v>
      </c>
      <c r="L8368" t="str">
        <f>T("7034325515")</f>
        <v>7034325515</v>
      </c>
    </row>
    <row r="8369" spans="1:12" x14ac:dyDescent="0.35">
      <c r="A8369" t="str">
        <f t="shared" si="3122"/>
        <v>RCO NE</v>
      </c>
      <c r="B8369" t="str">
        <f t="shared" si="3123"/>
        <v>MARINE CORPS UNIVERSITY</v>
      </c>
      <c r="C8369" t="str">
        <f t="shared" si="3124"/>
        <v>2076 SOUTH STREET RM025</v>
      </c>
      <c r="D8369" t="str">
        <f t="shared" si="3125"/>
        <v>QUANTICO</v>
      </c>
      <c r="E8369" t="str">
        <f t="shared" si="3126"/>
        <v>VA</v>
      </c>
      <c r="F8369" t="str">
        <f t="shared" si="3127"/>
        <v>221345129</v>
      </c>
      <c r="G8369" t="str">
        <f>T("2076 SOUTH STREET")</f>
        <v>2076 SOUTH STREET</v>
      </c>
      <c r="H8369" t="str">
        <f>T("")</f>
        <v/>
      </c>
      <c r="I8369" t="str">
        <f t="shared" si="3128"/>
        <v>QUANTICO</v>
      </c>
      <c r="J8369" t="str">
        <f t="shared" si="3129"/>
        <v>VA</v>
      </c>
      <c r="K8369" t="str">
        <f>T("7037846833")</f>
        <v>7037846833</v>
      </c>
      <c r="L8369" t="str">
        <f>T("7037841055")</f>
        <v>7037841055</v>
      </c>
    </row>
    <row r="8370" spans="1:12" x14ac:dyDescent="0.35">
      <c r="A8370" t="str">
        <f t="shared" si="3122"/>
        <v>RCO NE</v>
      </c>
      <c r="B8370" t="str">
        <f t="shared" si="3123"/>
        <v>MARINE CORPS UNIVERSITY</v>
      </c>
      <c r="C8370" t="str">
        <f t="shared" si="3124"/>
        <v>2076 SOUTH STREET RM025</v>
      </c>
      <c r="D8370" t="str">
        <f t="shared" si="3125"/>
        <v>QUANTICO</v>
      </c>
      <c r="E8370" t="str">
        <f t="shared" si="3126"/>
        <v>VA</v>
      </c>
      <c r="F8370" t="str">
        <f t="shared" si="3127"/>
        <v>221345129</v>
      </c>
      <c r="G8370" t="str">
        <f>T("MARINE CORPS UNIVERSITY")</f>
        <v>MARINE CORPS UNIVERSITY</v>
      </c>
      <c r="H8370" t="str">
        <f>T("2076 SOUTH STREET RM025")</f>
        <v>2076 SOUTH STREET RM025</v>
      </c>
      <c r="I8370" t="str">
        <f t="shared" si="3128"/>
        <v>QUANTICO</v>
      </c>
      <c r="J8370" t="str">
        <f t="shared" si="3129"/>
        <v>VA</v>
      </c>
      <c r="K8370" t="str">
        <f>T("7037846833")</f>
        <v>7037846833</v>
      </c>
      <c r="L8370" t="str">
        <f>T("7037846833")</f>
        <v>7037846833</v>
      </c>
    </row>
    <row r="8371" spans="1:12" x14ac:dyDescent="0.35">
      <c r="A8371" t="str">
        <f t="shared" si="3122"/>
        <v>RCO NE</v>
      </c>
      <c r="B8371" t="str">
        <f>T("MCD FORT LEE")</f>
        <v>MCD FORT LEE</v>
      </c>
      <c r="C8371" t="str">
        <f>T("2001 31ST STREET")</f>
        <v>2001 31ST STREET</v>
      </c>
      <c r="D8371" t="str">
        <f>T("FORT LEE")</f>
        <v>FORT LEE</v>
      </c>
      <c r="E8371" t="str">
        <f t="shared" si="3126"/>
        <v>VA</v>
      </c>
      <c r="F8371" t="str">
        <f>T("238011726")</f>
        <v>238011726</v>
      </c>
      <c r="G8371" t="str">
        <f>T("2001 31ST STREET")</f>
        <v>2001 31ST STREET</v>
      </c>
      <c r="H8371" t="str">
        <f>T("")</f>
        <v/>
      </c>
      <c r="I8371" t="str">
        <f>T("FORT LEE")</f>
        <v>FORT LEE</v>
      </c>
      <c r="J8371" t="str">
        <f t="shared" si="3129"/>
        <v>VA</v>
      </c>
      <c r="K8371" t="str">
        <f>T("000000000000000000")</f>
        <v>000000000000000000</v>
      </c>
      <c r="L8371" t="str">
        <f>T("8047346240")</f>
        <v>8047346240</v>
      </c>
    </row>
    <row r="8372" spans="1:12" x14ac:dyDescent="0.35">
      <c r="A8372" t="str">
        <f t="shared" si="3122"/>
        <v>RCO NE</v>
      </c>
      <c r="B8372" t="str">
        <f>T("MCD FORT LEE")</f>
        <v>MCD FORT LEE</v>
      </c>
      <c r="C8372" t="str">
        <f>T("2001 31ST STREET")</f>
        <v>2001 31ST STREET</v>
      </c>
      <c r="D8372" t="str">
        <f>T("FORT LEE")</f>
        <v>FORT LEE</v>
      </c>
      <c r="E8372" t="str">
        <f t="shared" si="3126"/>
        <v>VA</v>
      </c>
      <c r="F8372" t="str">
        <f>T("238011726")</f>
        <v>238011726</v>
      </c>
      <c r="G8372" t="str">
        <f>T("2001 31ST STREET")</f>
        <v>2001 31ST STREET</v>
      </c>
      <c r="H8372" t="str">
        <f>T("")</f>
        <v/>
      </c>
      <c r="I8372" t="str">
        <f>T("FORT LEE")</f>
        <v>FORT LEE</v>
      </c>
      <c r="J8372" t="str">
        <f t="shared" si="3129"/>
        <v>VA</v>
      </c>
      <c r="K8372" t="str">
        <f>T("000000000000000000")</f>
        <v>000000000000000000</v>
      </c>
      <c r="L8372" t="str">
        <f>T("8047346242")</f>
        <v>8047346242</v>
      </c>
    </row>
    <row r="8373" spans="1:12" x14ac:dyDescent="0.35">
      <c r="A8373" t="str">
        <f t="shared" si="3122"/>
        <v>RCO NE</v>
      </c>
      <c r="B8373" t="str">
        <f>T("MCD FORT LEE")</f>
        <v>MCD FORT LEE</v>
      </c>
      <c r="C8373" t="str">
        <f>T("2001 31ST STREET")</f>
        <v>2001 31ST STREET</v>
      </c>
      <c r="D8373" t="str">
        <f>T("FORT LEE")</f>
        <v>FORT LEE</v>
      </c>
      <c r="E8373" t="str">
        <f t="shared" si="3126"/>
        <v>VA</v>
      </c>
      <c r="F8373" t="str">
        <f>T("238011726")</f>
        <v>238011726</v>
      </c>
      <c r="G8373" t="str">
        <f>T("MCD FORT LEE")</f>
        <v>MCD FORT LEE</v>
      </c>
      <c r="H8373" t="str">
        <f>T("2001 31ST STREET")</f>
        <v>2001 31ST STREET</v>
      </c>
      <c r="I8373" t="str">
        <f>T("FORT LEE")</f>
        <v>FORT LEE</v>
      </c>
      <c r="J8373" t="str">
        <f t="shared" si="3129"/>
        <v>VA</v>
      </c>
      <c r="K8373" t="str">
        <f>T("8047346316")</f>
        <v>8047346316</v>
      </c>
      <c r="L8373" t="str">
        <f>T("8047347721")</f>
        <v>8047347721</v>
      </c>
    </row>
    <row r="8374" spans="1:12" x14ac:dyDescent="0.35">
      <c r="A8374" t="str">
        <f t="shared" si="3122"/>
        <v>RCO NE</v>
      </c>
      <c r="B8374" t="str">
        <f>T("MCDET NEWPORT RI")</f>
        <v>MCDET NEWPORT RI</v>
      </c>
      <c r="C8374" t="str">
        <f>T("1112 KOLLMEYER ST")</f>
        <v>1112 KOLLMEYER ST</v>
      </c>
      <c r="D8374" t="str">
        <f>T("NEWPORT")</f>
        <v>NEWPORT</v>
      </c>
      <c r="E8374" t="str">
        <f>T("RI")</f>
        <v>RI</v>
      </c>
      <c r="F8374" t="str">
        <f>T("028411604")</f>
        <v>028411604</v>
      </c>
      <c r="G8374" t="str">
        <f>T("1112 BULLDOG BLVD")</f>
        <v>1112 BULLDOG BLVD</v>
      </c>
      <c r="H8374" t="str">
        <f>T("")</f>
        <v/>
      </c>
      <c r="I8374" t="str">
        <f>T("NEWPORT")</f>
        <v>NEWPORT</v>
      </c>
      <c r="J8374" t="str">
        <f>T("RI")</f>
        <v>RI</v>
      </c>
      <c r="K8374" t="str">
        <f>T("4018413202")</f>
        <v>4018413202</v>
      </c>
      <c r="L8374" t="str">
        <f>T("4018414295")</f>
        <v>4018414295</v>
      </c>
    </row>
    <row r="8375" spans="1:12" x14ac:dyDescent="0.35">
      <c r="A8375" t="str">
        <f t="shared" ref="A8375:A8397" si="3130">T("RCO NE")</f>
        <v>RCO NE</v>
      </c>
      <c r="B8375" t="str">
        <f>T("MCDET NEWPORT RI")</f>
        <v>MCDET NEWPORT RI</v>
      </c>
      <c r="C8375" t="str">
        <f>T("1112 KOLLMEYER ST")</f>
        <v>1112 KOLLMEYER ST</v>
      </c>
      <c r="D8375" t="str">
        <f>T("NEWPORT")</f>
        <v>NEWPORT</v>
      </c>
      <c r="E8375" t="str">
        <f>T("RI")</f>
        <v>RI</v>
      </c>
      <c r="F8375" t="str">
        <f>T("028411604")</f>
        <v>028411604</v>
      </c>
      <c r="G8375" t="str">
        <f>T("MCDET NEWPORT RI")</f>
        <v>MCDET NEWPORT RI</v>
      </c>
      <c r="H8375" t="str">
        <f>T("1112 KOLLMEYER ST")</f>
        <v>1112 KOLLMEYER ST</v>
      </c>
      <c r="I8375" t="str">
        <f>T("NEWPORT")</f>
        <v>NEWPORT</v>
      </c>
      <c r="J8375" t="str">
        <f>T("RI")</f>
        <v>RI</v>
      </c>
      <c r="K8375" t="str">
        <f>T("4018413202")</f>
        <v>4018413202</v>
      </c>
      <c r="L8375" t="str">
        <f>T("4018414088")</f>
        <v>4018414088</v>
      </c>
    </row>
    <row r="8376" spans="1:12" x14ac:dyDescent="0.35">
      <c r="A8376" t="str">
        <f t="shared" si="3130"/>
        <v>RCO NE</v>
      </c>
      <c r="B8376" t="str">
        <f>T("PO BOX 1183")</f>
        <v>PO BOX 1183</v>
      </c>
      <c r="C8376" t="str">
        <f>T("")</f>
        <v/>
      </c>
      <c r="D8376" t="str">
        <f t="shared" ref="D8376:D8397" si="3131">T("QUANTICO")</f>
        <v>QUANTICO</v>
      </c>
      <c r="E8376" t="str">
        <f t="shared" ref="E8376:E8397" si="3132">T("VA")</f>
        <v>VA</v>
      </c>
      <c r="F8376" t="str">
        <f>T("221341183")</f>
        <v>221341183</v>
      </c>
      <c r="G8376" t="str">
        <f>T("189 JEFFERSON DAVIS HWY")</f>
        <v>189 JEFFERSON DAVIS HWY</v>
      </c>
      <c r="H8376" t="str">
        <f>T("MARINE CORPS UNIVERSITY")</f>
        <v>MARINE CORPS UNIVERSITY</v>
      </c>
      <c r="I8376" t="str">
        <f>T("TRIANGLE")</f>
        <v>TRIANGLE</v>
      </c>
      <c r="J8376" t="str">
        <f t="shared" ref="J8376:J8397" si="3133">T("VA")</f>
        <v>VA</v>
      </c>
      <c r="K8376" t="str">
        <f>T("7034320029")</f>
        <v>7034320029</v>
      </c>
      <c r="L8376" t="str">
        <f>T("7037844532")</f>
        <v>7037844532</v>
      </c>
    </row>
    <row r="8377" spans="1:12" x14ac:dyDescent="0.35">
      <c r="A8377" t="str">
        <f t="shared" si="3130"/>
        <v>RCO NE</v>
      </c>
      <c r="B8377" t="str">
        <f>T("PO BOX 1183")</f>
        <v>PO BOX 1183</v>
      </c>
      <c r="C8377" t="str">
        <f>T("")</f>
        <v/>
      </c>
      <c r="D8377" t="str">
        <f t="shared" si="3131"/>
        <v>QUANTICO</v>
      </c>
      <c r="E8377" t="str">
        <f t="shared" si="3132"/>
        <v>VA</v>
      </c>
      <c r="F8377" t="str">
        <f>T("221341183")</f>
        <v>221341183</v>
      </c>
      <c r="G8377" t="str">
        <f>T("18900 JEFFERSON DAVIS HWY")</f>
        <v>18900 JEFFERSON DAVIS HWY</v>
      </c>
      <c r="H8377" t="str">
        <f>T("")</f>
        <v/>
      </c>
      <c r="I8377" t="str">
        <f t="shared" ref="I8377:I8397" si="3134">T("QUANTICO")</f>
        <v>QUANTICO</v>
      </c>
      <c r="J8377" t="str">
        <f t="shared" si="3133"/>
        <v>VA</v>
      </c>
      <c r="K8377" t="str">
        <f>T("000000000000000000")</f>
        <v>000000000000000000</v>
      </c>
      <c r="L8377" t="str">
        <f>T("7037844451")</f>
        <v>7037844451</v>
      </c>
    </row>
    <row r="8378" spans="1:12" x14ac:dyDescent="0.35">
      <c r="A8378" t="str">
        <f t="shared" si="3130"/>
        <v>RCO NE</v>
      </c>
      <c r="B8378" t="str">
        <f>T("PO BOX 1183")</f>
        <v>PO BOX 1183</v>
      </c>
      <c r="C8378" t="str">
        <f>T("")</f>
        <v/>
      </c>
      <c r="D8378" t="str">
        <f t="shared" si="3131"/>
        <v>QUANTICO</v>
      </c>
      <c r="E8378" t="str">
        <f t="shared" si="3132"/>
        <v>VA</v>
      </c>
      <c r="F8378" t="str">
        <f>T("221341183")</f>
        <v>221341183</v>
      </c>
      <c r="G8378" t="str">
        <f>T("18900 JEFFERSON DAVIS HWY")</f>
        <v>18900 JEFFERSON DAVIS HWY</v>
      </c>
      <c r="H8378" t="str">
        <f>T("")</f>
        <v/>
      </c>
      <c r="I8378" t="str">
        <f t="shared" si="3134"/>
        <v>QUANTICO</v>
      </c>
      <c r="J8378" t="str">
        <f t="shared" si="3133"/>
        <v>VA</v>
      </c>
      <c r="K8378" t="str">
        <f>T("7034320029")</f>
        <v>7034320029</v>
      </c>
      <c r="L8378" t="str">
        <f>T("7037846117")</f>
        <v>7037846117</v>
      </c>
    </row>
    <row r="8379" spans="1:12" x14ac:dyDescent="0.35">
      <c r="A8379" t="str">
        <f t="shared" si="3130"/>
        <v>RCO NE</v>
      </c>
      <c r="B8379" t="str">
        <f>T("PO BOX 1183")</f>
        <v>PO BOX 1183</v>
      </c>
      <c r="C8379" t="str">
        <f>T("")</f>
        <v/>
      </c>
      <c r="D8379" t="str">
        <f t="shared" si="3131"/>
        <v>QUANTICO</v>
      </c>
      <c r="E8379" t="str">
        <f t="shared" si="3132"/>
        <v>VA</v>
      </c>
      <c r="F8379" t="str">
        <f>T("221341183")</f>
        <v>221341183</v>
      </c>
      <c r="G8379" t="str">
        <f>T("2014 ANDERSON AVENUE")</f>
        <v>2014 ANDERSON AVENUE</v>
      </c>
      <c r="H8379" t="str">
        <f>T("MARINE CORPS UNIVERSITY MUSEUM")</f>
        <v>MARINE CORPS UNIVERSITY MUSEUM</v>
      </c>
      <c r="I8379" t="str">
        <f t="shared" si="3134"/>
        <v>QUANTICO</v>
      </c>
      <c r="J8379" t="str">
        <f t="shared" si="3133"/>
        <v>VA</v>
      </c>
      <c r="K8379" t="str">
        <f>T("7037845856")</f>
        <v>7037845856</v>
      </c>
      <c r="L8379" t="str">
        <f>T("7037841269")</f>
        <v>7037841269</v>
      </c>
    </row>
    <row r="8380" spans="1:12" x14ac:dyDescent="0.35">
      <c r="A8380" t="str">
        <f t="shared" si="3130"/>
        <v>RCO NE</v>
      </c>
      <c r="B8380" t="str">
        <f>T("PO BOX 1183")</f>
        <v>PO BOX 1183</v>
      </c>
      <c r="C8380" t="str">
        <f>T("")</f>
        <v/>
      </c>
      <c r="D8380" t="str">
        <f t="shared" si="3131"/>
        <v>QUANTICO</v>
      </c>
      <c r="E8380" t="str">
        <f t="shared" si="3132"/>
        <v>VA</v>
      </c>
      <c r="F8380" t="str">
        <f>T("221341183")</f>
        <v>221341183</v>
      </c>
      <c r="G8380" t="str">
        <f>T("PO BOX 1183")</f>
        <v>PO BOX 1183</v>
      </c>
      <c r="H8380" t="str">
        <f>T("")</f>
        <v/>
      </c>
      <c r="I8380" t="str">
        <f t="shared" si="3134"/>
        <v>QUANTICO</v>
      </c>
      <c r="J8380" t="str">
        <f t="shared" si="3133"/>
        <v>VA</v>
      </c>
      <c r="K8380" t="str">
        <f>T("7034320029")</f>
        <v>7034320029</v>
      </c>
      <c r="L8380" t="str">
        <f>T("7037846116")</f>
        <v>7037846116</v>
      </c>
    </row>
    <row r="8381" spans="1:12" x14ac:dyDescent="0.35">
      <c r="A8381" t="str">
        <f t="shared" si="3130"/>
        <v>RCO NE</v>
      </c>
      <c r="B8381" t="str">
        <f t="shared" ref="B8381:B8386" si="3135">T("TBS")</f>
        <v>TBS</v>
      </c>
      <c r="C8381" t="str">
        <f>T("24164 BALLEAU AVE")</f>
        <v>24164 BALLEAU AVE</v>
      </c>
      <c r="D8381" t="str">
        <f t="shared" si="3131"/>
        <v>QUANTICO</v>
      </c>
      <c r="E8381" t="str">
        <f t="shared" si="3132"/>
        <v>VA</v>
      </c>
      <c r="F8381" t="str">
        <f t="shared" ref="F8381:F8386" si="3136">T("221345106")</f>
        <v>221345106</v>
      </c>
      <c r="G8381" t="str">
        <f>T("24006 MONTEZUMA AVE")</f>
        <v>24006 MONTEZUMA AVE</v>
      </c>
      <c r="H8381" t="str">
        <f>T("")</f>
        <v/>
      </c>
      <c r="I8381" t="str">
        <f t="shared" si="3134"/>
        <v>QUANTICO</v>
      </c>
      <c r="J8381" t="str">
        <f t="shared" si="3133"/>
        <v>VA</v>
      </c>
      <c r="K8381" t="str">
        <f>T("000000000000000000")</f>
        <v>000000000000000000</v>
      </c>
      <c r="L8381" t="str">
        <f>T("7034326594")</f>
        <v>7034326594</v>
      </c>
    </row>
    <row r="8382" spans="1:12" x14ac:dyDescent="0.35">
      <c r="A8382" t="str">
        <f t="shared" si="3130"/>
        <v>RCO NE</v>
      </c>
      <c r="B8382" t="str">
        <f t="shared" si="3135"/>
        <v>TBS</v>
      </c>
      <c r="C8382" t="str">
        <f>T("24164 BALLEAU AVE")</f>
        <v>24164 BALLEAU AVE</v>
      </c>
      <c r="D8382" t="str">
        <f t="shared" si="3131"/>
        <v>QUANTICO</v>
      </c>
      <c r="E8382" t="str">
        <f t="shared" si="3132"/>
        <v>VA</v>
      </c>
      <c r="F8382" t="str">
        <f t="shared" si="3136"/>
        <v>221345106</v>
      </c>
      <c r="G8382" t="str">
        <f>T("24193 GILBERT ROAD")</f>
        <v>24193 GILBERT ROAD</v>
      </c>
      <c r="H8382" t="str">
        <f>T("")</f>
        <v/>
      </c>
      <c r="I8382" t="str">
        <f t="shared" si="3134"/>
        <v>QUANTICO</v>
      </c>
      <c r="J8382" t="str">
        <f t="shared" si="3133"/>
        <v>VA</v>
      </c>
      <c r="K8382" t="str">
        <f>T("000000000000000000")</f>
        <v>000000000000000000</v>
      </c>
      <c r="L8382" t="str">
        <f>T("7034326594")</f>
        <v>7034326594</v>
      </c>
    </row>
    <row r="8383" spans="1:12" x14ac:dyDescent="0.35">
      <c r="A8383" t="str">
        <f t="shared" si="3130"/>
        <v>RCO NE</v>
      </c>
      <c r="B8383" t="str">
        <f t="shared" si="3135"/>
        <v>TBS</v>
      </c>
      <c r="C8383" t="str">
        <f>T("24164 BALLEAU AVE")</f>
        <v>24164 BALLEAU AVE</v>
      </c>
      <c r="D8383" t="str">
        <f t="shared" si="3131"/>
        <v>QUANTICO</v>
      </c>
      <c r="E8383" t="str">
        <f t="shared" si="3132"/>
        <v>VA</v>
      </c>
      <c r="F8383" t="str">
        <f t="shared" si="3136"/>
        <v>221345106</v>
      </c>
      <c r="G8383" t="str">
        <f>T("24194 BELLEAU AVE")</f>
        <v>24194 BELLEAU AVE</v>
      </c>
      <c r="H8383" t="str">
        <f>T("")</f>
        <v/>
      </c>
      <c r="I8383" t="str">
        <f t="shared" si="3134"/>
        <v>QUANTICO</v>
      </c>
      <c r="J8383" t="str">
        <f t="shared" si="3133"/>
        <v>VA</v>
      </c>
      <c r="K8383" t="str">
        <f>T("7034326365")</f>
        <v>7034326365</v>
      </c>
      <c r="L8383" t="str">
        <f>T("7037844922")</f>
        <v>7037844922</v>
      </c>
    </row>
    <row r="8384" spans="1:12" x14ac:dyDescent="0.35">
      <c r="A8384" t="str">
        <f t="shared" si="3130"/>
        <v>RCO NE</v>
      </c>
      <c r="B8384" t="str">
        <f t="shared" si="3135"/>
        <v>TBS</v>
      </c>
      <c r="C8384" t="str">
        <f>T("24164 BALLEAU AVE")</f>
        <v>24164 BALLEAU AVE</v>
      </c>
      <c r="D8384" t="str">
        <f t="shared" si="3131"/>
        <v>QUANTICO</v>
      </c>
      <c r="E8384" t="str">
        <f t="shared" si="3132"/>
        <v>VA</v>
      </c>
      <c r="F8384" t="str">
        <f t="shared" si="3136"/>
        <v>221345106</v>
      </c>
      <c r="G8384" t="str">
        <f>T("TBS")</f>
        <v>TBS</v>
      </c>
      <c r="H8384" t="str">
        <f>T("24164 BALLEAU AVE")</f>
        <v>24164 BALLEAU AVE</v>
      </c>
      <c r="I8384" t="str">
        <f t="shared" si="3134"/>
        <v>QUANTICO</v>
      </c>
      <c r="J8384" t="str">
        <f t="shared" si="3133"/>
        <v>VA</v>
      </c>
      <c r="K8384" t="str">
        <f>T("7034326365")</f>
        <v>7034326365</v>
      </c>
      <c r="L8384" t="str">
        <f>T("7034326591")</f>
        <v>7034326591</v>
      </c>
    </row>
    <row r="8385" spans="1:12" x14ac:dyDescent="0.35">
      <c r="A8385" t="str">
        <f t="shared" si="3130"/>
        <v>RCO NE</v>
      </c>
      <c r="B8385" t="str">
        <f t="shared" si="3135"/>
        <v>TBS</v>
      </c>
      <c r="C8385" t="str">
        <f>T("24164 BELLEAU AVE")</f>
        <v>24164 BELLEAU AVE</v>
      </c>
      <c r="D8385" t="str">
        <f t="shared" si="3131"/>
        <v>QUANTICO</v>
      </c>
      <c r="E8385" t="str">
        <f t="shared" si="3132"/>
        <v>VA</v>
      </c>
      <c r="F8385" t="str">
        <f t="shared" si="3136"/>
        <v>221345106</v>
      </c>
      <c r="G8385" t="str">
        <f>T("24006 MONTEZUMA AVE")</f>
        <v>24006 MONTEZUMA AVE</v>
      </c>
      <c r="H8385" t="str">
        <f>T("")</f>
        <v/>
      </c>
      <c r="I8385" t="str">
        <f t="shared" si="3134"/>
        <v>QUANTICO</v>
      </c>
      <c r="J8385" t="str">
        <f t="shared" si="3133"/>
        <v>VA</v>
      </c>
      <c r="K8385" t="str">
        <f>T("000000000000000000")</f>
        <v>000000000000000000</v>
      </c>
      <c r="L8385" t="str">
        <f>T("7034326594")</f>
        <v>7034326594</v>
      </c>
    </row>
    <row r="8386" spans="1:12" x14ac:dyDescent="0.35">
      <c r="A8386" t="str">
        <f t="shared" si="3130"/>
        <v>RCO NE</v>
      </c>
      <c r="B8386" t="str">
        <f t="shared" si="3135"/>
        <v>TBS</v>
      </c>
      <c r="C8386" t="str">
        <f>T("24164 BELLEAU AVE")</f>
        <v>24164 BELLEAU AVE</v>
      </c>
      <c r="D8386" t="str">
        <f t="shared" si="3131"/>
        <v>QUANTICO</v>
      </c>
      <c r="E8386" t="str">
        <f t="shared" si="3132"/>
        <v>VA</v>
      </c>
      <c r="F8386" t="str">
        <f t="shared" si="3136"/>
        <v>221345106</v>
      </c>
      <c r="G8386" t="str">
        <f>T("TBS")</f>
        <v>TBS</v>
      </c>
      <c r="H8386" t="str">
        <f>T("24164 BELLEAU AVE")</f>
        <v>24164 BELLEAU AVE</v>
      </c>
      <c r="I8386" t="str">
        <f t="shared" si="3134"/>
        <v>QUANTICO</v>
      </c>
      <c r="J8386" t="str">
        <f t="shared" si="3133"/>
        <v>VA</v>
      </c>
      <c r="K8386" t="str">
        <f>T("7034326365")</f>
        <v>7034326365</v>
      </c>
      <c r="L8386" t="str">
        <f>T("7034326591")</f>
        <v>7034326591</v>
      </c>
    </row>
    <row r="8387" spans="1:12" x14ac:dyDescent="0.35">
      <c r="A8387" t="str">
        <f t="shared" si="3130"/>
        <v>RCO NE</v>
      </c>
      <c r="B8387" t="str">
        <f>T("TRAINING COMMAND G4")</f>
        <v>TRAINING COMMAND G4</v>
      </c>
      <c r="C8387" t="str">
        <f>T("2300 LOUIS RD")</f>
        <v>2300 LOUIS RD</v>
      </c>
      <c r="D8387" t="str">
        <f t="shared" si="3131"/>
        <v>QUANTICO</v>
      </c>
      <c r="E8387" t="str">
        <f t="shared" si="3132"/>
        <v>VA</v>
      </c>
      <c r="F8387" t="str">
        <f>T("221345188")</f>
        <v>221345188</v>
      </c>
      <c r="G8387" t="str">
        <f>T("2300 A LOUIS RD")</f>
        <v>2300 A LOUIS RD</v>
      </c>
      <c r="H8387" t="str">
        <f>T("")</f>
        <v/>
      </c>
      <c r="I8387" t="str">
        <f t="shared" si="3134"/>
        <v>QUANTICO</v>
      </c>
      <c r="J8387" t="str">
        <f t="shared" si="3133"/>
        <v>VA</v>
      </c>
      <c r="K8387" t="str">
        <f>T("000000000000000000")</f>
        <v>000000000000000000</v>
      </c>
      <c r="L8387" t="str">
        <f>T("7034322245")</f>
        <v>7034322245</v>
      </c>
    </row>
    <row r="8388" spans="1:12" x14ac:dyDescent="0.35">
      <c r="A8388" t="str">
        <f t="shared" si="3130"/>
        <v>RCO NE</v>
      </c>
      <c r="B8388" t="str">
        <f>T("TRAINING COMMAND G4")</f>
        <v>TRAINING COMMAND G4</v>
      </c>
      <c r="C8388" t="str">
        <f>T("2300 LOUIS RD")</f>
        <v>2300 LOUIS RD</v>
      </c>
      <c r="D8388" t="str">
        <f t="shared" si="3131"/>
        <v>QUANTICO</v>
      </c>
      <c r="E8388" t="str">
        <f t="shared" si="3132"/>
        <v>VA</v>
      </c>
      <c r="F8388" t="str">
        <f>T("221345188")</f>
        <v>221345188</v>
      </c>
      <c r="G8388" t="str">
        <f>T("2300A LOUIS RD")</f>
        <v>2300A LOUIS RD</v>
      </c>
      <c r="H8388" t="str">
        <f>T("")</f>
        <v/>
      </c>
      <c r="I8388" t="str">
        <f t="shared" si="3134"/>
        <v>QUANTICO</v>
      </c>
      <c r="J8388" t="str">
        <f t="shared" si="3133"/>
        <v>VA</v>
      </c>
      <c r="K8388" t="str">
        <f>T("000000000000000000")</f>
        <v>000000000000000000</v>
      </c>
      <c r="L8388" t="str">
        <f>T("7034322433")</f>
        <v>7034322433</v>
      </c>
    </row>
    <row r="8389" spans="1:12" x14ac:dyDescent="0.35">
      <c r="A8389" t="str">
        <f t="shared" si="3130"/>
        <v>RCO NE</v>
      </c>
      <c r="B8389" t="str">
        <f>T("TRAINING COMMAND G4")</f>
        <v>TRAINING COMMAND G4</v>
      </c>
      <c r="C8389" t="str">
        <f>T("2300 LOUIS RD")</f>
        <v>2300 LOUIS RD</v>
      </c>
      <c r="D8389" t="str">
        <f t="shared" si="3131"/>
        <v>QUANTICO</v>
      </c>
      <c r="E8389" t="str">
        <f t="shared" si="3132"/>
        <v>VA</v>
      </c>
      <c r="F8389" t="str">
        <f>T("221345188")</f>
        <v>221345188</v>
      </c>
      <c r="G8389" t="str">
        <f>T("TRAINING COMMAND G4")</f>
        <v>TRAINING COMMAND G4</v>
      </c>
      <c r="H8389" t="str">
        <f>T("2300 LOUIS RD")</f>
        <v>2300 LOUIS RD</v>
      </c>
      <c r="I8389" t="str">
        <f t="shared" si="3134"/>
        <v>QUANTICO</v>
      </c>
      <c r="J8389" t="str">
        <f t="shared" si="3133"/>
        <v>VA</v>
      </c>
      <c r="K8389" t="str">
        <f>T("7034320003")</f>
        <v>7034320003</v>
      </c>
      <c r="L8389" t="str">
        <f>T("7034322020")</f>
        <v>7034322020</v>
      </c>
    </row>
    <row r="8390" spans="1:12" x14ac:dyDescent="0.35">
      <c r="A8390" t="str">
        <f t="shared" si="3130"/>
        <v>RCO NE</v>
      </c>
      <c r="B8390" t="str">
        <f t="shared" ref="B8390:B8397" si="3137">T("WTBN")</f>
        <v>WTBN</v>
      </c>
      <c r="C8390" t="str">
        <f>T("27211 GARAND RD")</f>
        <v>27211 GARAND RD</v>
      </c>
      <c r="D8390" t="str">
        <f t="shared" si="3131"/>
        <v>QUANTICO</v>
      </c>
      <c r="E8390" t="str">
        <f t="shared" si="3132"/>
        <v>VA</v>
      </c>
      <c r="F8390" t="str">
        <f t="shared" ref="F8390:F8397" si="3138">T("221345115")</f>
        <v>221345115</v>
      </c>
      <c r="G8390" t="str">
        <f>T("27211 GARAND RD")</f>
        <v>27211 GARAND RD</v>
      </c>
      <c r="H8390" t="str">
        <f>T("")</f>
        <v/>
      </c>
      <c r="I8390" t="str">
        <f t="shared" si="3134"/>
        <v>QUANTICO</v>
      </c>
      <c r="J8390" t="str">
        <f t="shared" si="3133"/>
        <v>VA</v>
      </c>
      <c r="K8390" t="str">
        <f>T("000000000000000000")</f>
        <v>000000000000000000</v>
      </c>
      <c r="L8390" t="str">
        <f>T("7034322699")</f>
        <v>7034322699</v>
      </c>
    </row>
    <row r="8391" spans="1:12" x14ac:dyDescent="0.35">
      <c r="A8391" t="str">
        <f t="shared" si="3130"/>
        <v>RCO NE</v>
      </c>
      <c r="B8391" t="str">
        <f t="shared" si="3137"/>
        <v>WTBN</v>
      </c>
      <c r="C8391" t="str">
        <f>T("27211 GARAND RD")</f>
        <v>27211 GARAND RD</v>
      </c>
      <c r="D8391" t="str">
        <f t="shared" si="3131"/>
        <v>QUANTICO</v>
      </c>
      <c r="E8391" t="str">
        <f t="shared" si="3132"/>
        <v>VA</v>
      </c>
      <c r="F8391" t="str">
        <f t="shared" si="3138"/>
        <v>221345115</v>
      </c>
      <c r="G8391" t="str">
        <f>T("27211 GARAND RD")</f>
        <v>27211 GARAND RD</v>
      </c>
      <c r="H8391" t="str">
        <f>T("")</f>
        <v/>
      </c>
      <c r="I8391" t="str">
        <f t="shared" si="3134"/>
        <v>QUANTICO</v>
      </c>
      <c r="J8391" t="str">
        <f t="shared" si="3133"/>
        <v>VA</v>
      </c>
      <c r="K8391" t="str">
        <f>T("7037845277")</f>
        <v>7037845277</v>
      </c>
      <c r="L8391" t="str">
        <f>T("7037845250")</f>
        <v>7037845250</v>
      </c>
    </row>
    <row r="8392" spans="1:12" x14ac:dyDescent="0.35">
      <c r="A8392" t="str">
        <f t="shared" si="3130"/>
        <v>RCO NE</v>
      </c>
      <c r="B8392" t="str">
        <f t="shared" si="3137"/>
        <v>WTBN</v>
      </c>
      <c r="C8392" t="str">
        <f>T("27211 GARAND RD")</f>
        <v>27211 GARAND RD</v>
      </c>
      <c r="D8392" t="str">
        <f t="shared" si="3131"/>
        <v>QUANTICO</v>
      </c>
      <c r="E8392" t="str">
        <f t="shared" si="3132"/>
        <v>VA</v>
      </c>
      <c r="F8392" t="str">
        <f t="shared" si="3138"/>
        <v>221345115</v>
      </c>
      <c r="G8392" t="str">
        <f>T("WTBN")</f>
        <v>WTBN</v>
      </c>
      <c r="H8392" t="str">
        <f>T("27211 GARAND RD")</f>
        <v>27211 GARAND RD</v>
      </c>
      <c r="I8392" t="str">
        <f t="shared" si="3134"/>
        <v>QUANTICO</v>
      </c>
      <c r="J8392" t="str">
        <f t="shared" si="3133"/>
        <v>VA</v>
      </c>
      <c r="K8392" t="str">
        <f>T("7037845277")</f>
        <v>7037845277</v>
      </c>
      <c r="L8392" t="str">
        <f>T("7034327316")</f>
        <v>7034327316</v>
      </c>
    </row>
    <row r="8393" spans="1:12" x14ac:dyDescent="0.35">
      <c r="A8393" t="str">
        <f t="shared" si="3130"/>
        <v>RCO NE</v>
      </c>
      <c r="B8393" t="str">
        <f t="shared" si="3137"/>
        <v>WTBN</v>
      </c>
      <c r="C8393" t="str">
        <f>T("27211 GARAND ROAD")</f>
        <v>27211 GARAND ROAD</v>
      </c>
      <c r="D8393" t="str">
        <f t="shared" si="3131"/>
        <v>QUANTICO</v>
      </c>
      <c r="E8393" t="str">
        <f t="shared" si="3132"/>
        <v>VA</v>
      </c>
      <c r="F8393" t="str">
        <f t="shared" si="3138"/>
        <v>221345115</v>
      </c>
      <c r="G8393" t="str">
        <f>T("27211 GARAND RD")</f>
        <v>27211 GARAND RD</v>
      </c>
      <c r="H8393" t="str">
        <f>T("")</f>
        <v/>
      </c>
      <c r="I8393" t="str">
        <f t="shared" si="3134"/>
        <v>QUANTICO</v>
      </c>
      <c r="J8393" t="str">
        <f t="shared" si="3133"/>
        <v>VA</v>
      </c>
      <c r="K8393" t="str">
        <f>T("000000000000000000")</f>
        <v>000000000000000000</v>
      </c>
      <c r="L8393" t="str">
        <f>T("7037845250")</f>
        <v>7037845250</v>
      </c>
    </row>
    <row r="8394" spans="1:12" x14ac:dyDescent="0.35">
      <c r="A8394" t="str">
        <f t="shared" si="3130"/>
        <v>RCO NE</v>
      </c>
      <c r="B8394" t="str">
        <f t="shared" si="3137"/>
        <v>WTBN</v>
      </c>
      <c r="C8394" t="str">
        <f>T("27211 GARAND ROAD")</f>
        <v>27211 GARAND ROAD</v>
      </c>
      <c r="D8394" t="str">
        <f t="shared" si="3131"/>
        <v>QUANTICO</v>
      </c>
      <c r="E8394" t="str">
        <f t="shared" si="3132"/>
        <v>VA</v>
      </c>
      <c r="F8394" t="str">
        <f t="shared" si="3138"/>
        <v>221345115</v>
      </c>
      <c r="G8394" t="str">
        <f>T("27211 GARAND RD")</f>
        <v>27211 GARAND RD</v>
      </c>
      <c r="H8394" t="str">
        <f>T("")</f>
        <v/>
      </c>
      <c r="I8394" t="str">
        <f t="shared" si="3134"/>
        <v>QUANTICO</v>
      </c>
      <c r="J8394" t="str">
        <f t="shared" si="3133"/>
        <v>VA</v>
      </c>
      <c r="K8394" t="str">
        <f>T("7037845277")</f>
        <v>7037845277</v>
      </c>
      <c r="L8394" t="str">
        <f>T("7037845250")</f>
        <v>7037845250</v>
      </c>
    </row>
    <row r="8395" spans="1:12" x14ac:dyDescent="0.35">
      <c r="A8395" t="str">
        <f t="shared" si="3130"/>
        <v>RCO NE</v>
      </c>
      <c r="B8395" t="str">
        <f t="shared" si="3137"/>
        <v>WTBN</v>
      </c>
      <c r="C8395" t="str">
        <f>T("27211 GARAND ROAD")</f>
        <v>27211 GARAND ROAD</v>
      </c>
      <c r="D8395" t="str">
        <f t="shared" si="3131"/>
        <v>QUANTICO</v>
      </c>
      <c r="E8395" t="str">
        <f t="shared" si="3132"/>
        <v>VA</v>
      </c>
      <c r="F8395" t="str">
        <f t="shared" si="3138"/>
        <v>221345115</v>
      </c>
      <c r="G8395" t="str">
        <f>T("3094 T UPSHUR AVE")</f>
        <v>3094 T UPSHUR AVE</v>
      </c>
      <c r="H8395" t="str">
        <f>T("")</f>
        <v/>
      </c>
      <c r="I8395" t="str">
        <f t="shared" si="3134"/>
        <v>QUANTICO</v>
      </c>
      <c r="J8395" t="str">
        <f t="shared" si="3133"/>
        <v>VA</v>
      </c>
      <c r="K8395" t="str">
        <f>T("7037843034")</f>
        <v>7037843034</v>
      </c>
      <c r="L8395" t="str">
        <f>T("7037844759")</f>
        <v>7037844759</v>
      </c>
    </row>
    <row r="8396" spans="1:12" x14ac:dyDescent="0.35">
      <c r="A8396" t="str">
        <f t="shared" si="3130"/>
        <v>RCO NE</v>
      </c>
      <c r="B8396" t="str">
        <f t="shared" si="3137"/>
        <v>WTBN</v>
      </c>
      <c r="C8396" t="str">
        <f>T("27211 GARAND ROAD")</f>
        <v>27211 GARAND ROAD</v>
      </c>
      <c r="D8396" t="str">
        <f t="shared" si="3131"/>
        <v>QUANTICO</v>
      </c>
      <c r="E8396" t="str">
        <f t="shared" si="3132"/>
        <v>VA</v>
      </c>
      <c r="F8396" t="str">
        <f t="shared" si="3138"/>
        <v>221345115</v>
      </c>
      <c r="G8396" t="str">
        <f>T("3094T UPSHUR AVE")</f>
        <v>3094T UPSHUR AVE</v>
      </c>
      <c r="H8396" t="str">
        <f>T("")</f>
        <v/>
      </c>
      <c r="I8396" t="str">
        <f t="shared" si="3134"/>
        <v>QUANTICO</v>
      </c>
      <c r="J8396" t="str">
        <f t="shared" si="3133"/>
        <v>VA</v>
      </c>
      <c r="K8396" t="str">
        <f>T("7037843034")</f>
        <v>7037843034</v>
      </c>
      <c r="L8396" t="str">
        <f>T("7034325325")</f>
        <v>7034325325</v>
      </c>
    </row>
    <row r="8397" spans="1:12" x14ac:dyDescent="0.35">
      <c r="A8397" t="str">
        <f t="shared" si="3130"/>
        <v>RCO NE</v>
      </c>
      <c r="B8397" t="str">
        <f t="shared" si="3137"/>
        <v>WTBN</v>
      </c>
      <c r="C8397" t="str">
        <f>T("27211 GARAND ROAD")</f>
        <v>27211 GARAND ROAD</v>
      </c>
      <c r="D8397" t="str">
        <f t="shared" si="3131"/>
        <v>QUANTICO</v>
      </c>
      <c r="E8397" t="str">
        <f t="shared" si="3132"/>
        <v>VA</v>
      </c>
      <c r="F8397" t="str">
        <f t="shared" si="3138"/>
        <v>221345115</v>
      </c>
      <c r="G8397" t="str">
        <f>T("WTBN")</f>
        <v>WTBN</v>
      </c>
      <c r="H8397" t="str">
        <f>T("27211 GARAND ROAD")</f>
        <v>27211 GARAND ROAD</v>
      </c>
      <c r="I8397" t="str">
        <f t="shared" si="3134"/>
        <v>QUANTICO</v>
      </c>
      <c r="J8397" t="str">
        <f t="shared" si="3133"/>
        <v>VA</v>
      </c>
      <c r="K8397" t="str">
        <f>T("7037845277")</f>
        <v>7037845277</v>
      </c>
      <c r="L8397" t="str">
        <f>T("7034327316")</f>
        <v>7034327316</v>
      </c>
    </row>
    <row r="8398" spans="1:12" x14ac:dyDescent="0.35">
      <c r="A8398" t="str">
        <f t="shared" ref="A8398:A8429" si="3139">T("MCBH KANEOHE BAY SUP DEP")</f>
        <v>MCBH KANEOHE BAY SUP DEP</v>
      </c>
      <c r="B8398" t="str">
        <f>T("BASE PROPERTY CONTROL")</f>
        <v>BASE PROPERTY CONTROL</v>
      </c>
      <c r="C8398" t="str">
        <f>T("BOX 63063")</f>
        <v>BOX 63063</v>
      </c>
      <c r="D8398" t="str">
        <f>T("MCBH KANEOHE BAY")</f>
        <v>MCBH KANEOHE BAY</v>
      </c>
      <c r="E8398" t="str">
        <f t="shared" ref="E8398:E8429" si="3140">T("HI")</f>
        <v>HI</v>
      </c>
      <c r="F8398" t="str">
        <f>T("968633063")</f>
        <v>968633063</v>
      </c>
      <c r="G8398" t="str">
        <f>T("BASE PROPERTY CONTROL")</f>
        <v>BASE PROPERTY CONTROL</v>
      </c>
      <c r="H8398" t="str">
        <f>T("BOX 63063")</f>
        <v>BOX 63063</v>
      </c>
      <c r="I8398" t="str">
        <f>T("MCBH KANEOHE BAY")</f>
        <v>MCBH KANEOHE BAY</v>
      </c>
      <c r="J8398" t="str">
        <f t="shared" ref="J8398:J8429" si="3141">T("HI")</f>
        <v>HI</v>
      </c>
      <c r="K8398" t="str">
        <f>T("000000000000000000")</f>
        <v>000000000000000000</v>
      </c>
      <c r="L8398" t="str">
        <f>T("8082572236")</f>
        <v>8082572236</v>
      </c>
    </row>
    <row r="8399" spans="1:12" x14ac:dyDescent="0.35">
      <c r="A8399" t="str">
        <f t="shared" si="3139"/>
        <v>MCBH KANEOHE BAY SUP DEP</v>
      </c>
      <c r="B8399" t="str">
        <f>T("BASE SAFETY DIRECTORATE")</f>
        <v>BASE SAFETY DIRECTORATE</v>
      </c>
      <c r="C8399" t="str">
        <f>T("BOX 63002")</f>
        <v>BOX 63002</v>
      </c>
      <c r="D8399" t="str">
        <f>T("MCBH K BAY")</f>
        <v>MCBH K BAY</v>
      </c>
      <c r="E8399" t="str">
        <f t="shared" si="3140"/>
        <v>HI</v>
      </c>
      <c r="F8399" t="str">
        <f>T("968633002")</f>
        <v>968633002</v>
      </c>
      <c r="G8399" t="str">
        <f>T("BASE SAFETY")</f>
        <v>BASE SAFETY</v>
      </c>
      <c r="H8399" t="str">
        <f>T("BOX 63002")</f>
        <v>BOX 63002</v>
      </c>
      <c r="I8399" t="str">
        <f>T("MCBH KANEOHE BAY")</f>
        <v>MCBH KANEOHE BAY</v>
      </c>
      <c r="J8399" t="str">
        <f t="shared" si="3141"/>
        <v>HI</v>
      </c>
      <c r="K8399" t="str">
        <f>T("8082571619")</f>
        <v>8082571619</v>
      </c>
      <c r="L8399" t="str">
        <f>T("8082571608")</f>
        <v>8082571608</v>
      </c>
    </row>
    <row r="8400" spans="1:12" x14ac:dyDescent="0.35">
      <c r="A8400" t="str">
        <f t="shared" si="3139"/>
        <v>MCBH KANEOHE BAY SUP DEP</v>
      </c>
      <c r="B8400" t="str">
        <f>T("BASE SAFETY DIRECTORATE")</f>
        <v>BASE SAFETY DIRECTORATE</v>
      </c>
      <c r="C8400" t="str">
        <f>T("BOX 63002")</f>
        <v>BOX 63002</v>
      </c>
      <c r="D8400" t="str">
        <f>T("MCBH K BAY")</f>
        <v>MCBH K BAY</v>
      </c>
      <c r="E8400" t="str">
        <f t="shared" si="3140"/>
        <v>HI</v>
      </c>
      <c r="F8400" t="str">
        <f>T("968633002")</f>
        <v>968633002</v>
      </c>
      <c r="G8400" t="str">
        <f>T("BASE SAFETY DIRECTORATE")</f>
        <v>BASE SAFETY DIRECTORATE</v>
      </c>
      <c r="H8400" t="str">
        <f>T("BOX 63002")</f>
        <v>BOX 63002</v>
      </c>
      <c r="I8400" t="str">
        <f>T("MCBH K BAY")</f>
        <v>MCBH K BAY</v>
      </c>
      <c r="J8400" t="str">
        <f t="shared" si="3141"/>
        <v>HI</v>
      </c>
      <c r="K8400" t="str">
        <f>T("8082571619")</f>
        <v>8082571619</v>
      </c>
      <c r="L8400" t="str">
        <f>T("8082573408")</f>
        <v>8082573408</v>
      </c>
    </row>
    <row r="8401" spans="1:12" x14ac:dyDescent="0.35">
      <c r="A8401" t="str">
        <f t="shared" si="3139"/>
        <v>MCBH KANEOHE BAY SUP DEP</v>
      </c>
      <c r="B8401" t="str">
        <f>T("BASE SAFETY DIRECTORATE")</f>
        <v>BASE SAFETY DIRECTORATE</v>
      </c>
      <c r="C8401" t="str">
        <f>T("BOX 63002")</f>
        <v>BOX 63002</v>
      </c>
      <c r="D8401" t="str">
        <f>T("MCBH K BAY")</f>
        <v>MCBH K BAY</v>
      </c>
      <c r="E8401" t="str">
        <f t="shared" si="3140"/>
        <v>HI</v>
      </c>
      <c r="F8401" t="str">
        <f>T("968633002")</f>
        <v>968633002</v>
      </c>
      <c r="G8401" t="str">
        <f>T("BASE SAFETY MCB HAWAII")</f>
        <v>BASE SAFETY MCB HAWAII</v>
      </c>
      <c r="H8401" t="str">
        <f>T("BOX 63002")</f>
        <v>BOX 63002</v>
      </c>
      <c r="I8401" t="str">
        <f t="shared" ref="I8401:I8408" si="3142">T("MCBH KANEOHE BAY")</f>
        <v>MCBH KANEOHE BAY</v>
      </c>
      <c r="J8401" t="str">
        <f t="shared" si="3141"/>
        <v>HI</v>
      </c>
      <c r="K8401" t="str">
        <f>T("8082571619")</f>
        <v>8082571619</v>
      </c>
      <c r="L8401" t="str">
        <f>T("8083484552")</f>
        <v>8083484552</v>
      </c>
    </row>
    <row r="8402" spans="1:12" x14ac:dyDescent="0.35">
      <c r="A8402" t="str">
        <f t="shared" si="3139"/>
        <v>MCBH KANEOHE BAY SUP DEP</v>
      </c>
      <c r="B8402" t="str">
        <f>T("BUSINESS PERFORMANCE OFFICE")</f>
        <v>BUSINESS PERFORMANCE OFFICE</v>
      </c>
      <c r="C8402" t="str">
        <f>T("BOX 63068")</f>
        <v>BOX 63068</v>
      </c>
      <c r="D8402" t="str">
        <f t="shared" ref="D8402:D8408" si="3143">T("MCBH KANEOHE BAY")</f>
        <v>MCBH KANEOHE BAY</v>
      </c>
      <c r="E8402" t="str">
        <f t="shared" si="3140"/>
        <v>HI</v>
      </c>
      <c r="F8402" t="str">
        <f>T("968633068")</f>
        <v>968633068</v>
      </c>
      <c r="G8402" t="str">
        <f>T("BUSINESS PERFORMANCE OFFICE")</f>
        <v>BUSINESS PERFORMANCE OFFICE</v>
      </c>
      <c r="H8402" t="str">
        <f>T("BOX 63002")</f>
        <v>BOX 63002</v>
      </c>
      <c r="I8402" t="str">
        <f t="shared" si="3142"/>
        <v>MCBH KANEOHE BAY</v>
      </c>
      <c r="J8402" t="str">
        <f t="shared" si="3141"/>
        <v>HI</v>
      </c>
      <c r="K8402" t="str">
        <f>T("8082572753")</f>
        <v>8082572753</v>
      </c>
      <c r="L8402" t="str">
        <f>T("8082572141")</f>
        <v>8082572141</v>
      </c>
    </row>
    <row r="8403" spans="1:12" x14ac:dyDescent="0.35">
      <c r="A8403" t="str">
        <f t="shared" si="3139"/>
        <v>MCBH KANEOHE BAY SUP DEP</v>
      </c>
      <c r="B8403" t="str">
        <f>T("BUSINESS PERFORMANCE OFFICE")</f>
        <v>BUSINESS PERFORMANCE OFFICE</v>
      </c>
      <c r="C8403" t="str">
        <f>T("BOX 63068")</f>
        <v>BOX 63068</v>
      </c>
      <c r="D8403" t="str">
        <f t="shared" si="3143"/>
        <v>MCBH KANEOHE BAY</v>
      </c>
      <c r="E8403" t="str">
        <f t="shared" si="3140"/>
        <v>HI</v>
      </c>
      <c r="F8403" t="str">
        <f>T("968633068")</f>
        <v>968633068</v>
      </c>
      <c r="G8403" t="str">
        <f>T("BUSINESS PERFORMANCE OFFICE")</f>
        <v>BUSINESS PERFORMANCE OFFICE</v>
      </c>
      <c r="H8403" t="str">
        <f>T("BOX 63068")</f>
        <v>BOX 63068</v>
      </c>
      <c r="I8403" t="str">
        <f t="shared" si="3142"/>
        <v>MCBH KANEOHE BAY</v>
      </c>
      <c r="J8403" t="str">
        <f t="shared" si="3141"/>
        <v>HI</v>
      </c>
      <c r="K8403" t="str">
        <f>T("808-257-2753")</f>
        <v>808-257-2753</v>
      </c>
      <c r="L8403" t="str">
        <f>T("8082571283")</f>
        <v>8082571283</v>
      </c>
    </row>
    <row r="8404" spans="1:12" x14ac:dyDescent="0.35">
      <c r="A8404" t="str">
        <f t="shared" si="3139"/>
        <v>MCBH KANEOHE BAY SUP DEP</v>
      </c>
      <c r="B8404" t="str">
        <f>T("BUSINESS PERFORMANCE OFFICE")</f>
        <v>BUSINESS PERFORMANCE OFFICE</v>
      </c>
      <c r="C8404" t="str">
        <f>T("BOX 63068")</f>
        <v>BOX 63068</v>
      </c>
      <c r="D8404" t="str">
        <f t="shared" si="3143"/>
        <v>MCBH KANEOHE BAY</v>
      </c>
      <c r="E8404" t="str">
        <f t="shared" si="3140"/>
        <v>HI</v>
      </c>
      <c r="F8404" t="str">
        <f>T("968633068")</f>
        <v>968633068</v>
      </c>
      <c r="G8404" t="str">
        <f>T("BUSINESS PERFORMANCE OFFICE")</f>
        <v>BUSINESS PERFORMANCE OFFICE</v>
      </c>
      <c r="H8404" t="str">
        <f>T("BOX 63068")</f>
        <v>BOX 63068</v>
      </c>
      <c r="I8404" t="str">
        <f t="shared" si="3142"/>
        <v>MCBH KANEOHE BAY</v>
      </c>
      <c r="J8404" t="str">
        <f t="shared" si="3141"/>
        <v>HI</v>
      </c>
      <c r="K8404" t="str">
        <f>T("8082572753")</f>
        <v>8082572753</v>
      </c>
      <c r="L8404" t="str">
        <f>T("8082572141")</f>
        <v>8082572141</v>
      </c>
    </row>
    <row r="8405" spans="1:12" x14ac:dyDescent="0.35">
      <c r="A8405" t="str">
        <f t="shared" si="3139"/>
        <v>MCBH KANEOHE BAY SUP DEP</v>
      </c>
      <c r="B8405" t="str">
        <f>T("CISD")</f>
        <v>CISD</v>
      </c>
      <c r="C8405" t="str">
        <f t="shared" ref="C8405:C8412" si="3144">T("BOX 63002")</f>
        <v>BOX 63002</v>
      </c>
      <c r="D8405" t="str">
        <f t="shared" si="3143"/>
        <v>MCBH KANEOHE BAY</v>
      </c>
      <c r="E8405" t="str">
        <f t="shared" si="3140"/>
        <v>HI</v>
      </c>
      <c r="F8405" t="str">
        <f t="shared" ref="F8405:F8412" si="3145">T("968633002")</f>
        <v>968633002</v>
      </c>
      <c r="G8405" t="str">
        <f>T("CISD")</f>
        <v>CISD</v>
      </c>
      <c r="H8405" t="str">
        <f t="shared" ref="H8405:H8411" si="3146">T("BOX 63002")</f>
        <v>BOX 63002</v>
      </c>
      <c r="I8405" t="str">
        <f t="shared" si="3142"/>
        <v>MCBH KANEOHE BAY</v>
      </c>
      <c r="J8405" t="str">
        <f t="shared" si="3141"/>
        <v>HI</v>
      </c>
      <c r="K8405" t="str">
        <f>T("8082571025")</f>
        <v>8082571025</v>
      </c>
      <c r="L8405" t="str">
        <f>T("8082571925")</f>
        <v>8082571925</v>
      </c>
    </row>
    <row r="8406" spans="1:12" x14ac:dyDescent="0.35">
      <c r="A8406" t="str">
        <f t="shared" si="3139"/>
        <v>MCBH KANEOHE BAY SUP DEP</v>
      </c>
      <c r="B8406" t="str">
        <f>T("CISD")</f>
        <v>CISD</v>
      </c>
      <c r="C8406" t="str">
        <f t="shared" si="3144"/>
        <v>BOX 63002</v>
      </c>
      <c r="D8406" t="str">
        <f t="shared" si="3143"/>
        <v>MCBH KANEOHE BAY</v>
      </c>
      <c r="E8406" t="str">
        <f t="shared" si="3140"/>
        <v>HI</v>
      </c>
      <c r="F8406" t="str">
        <f t="shared" si="3145"/>
        <v>968633002</v>
      </c>
      <c r="G8406" t="str">
        <f>T("CISD")</f>
        <v>CISD</v>
      </c>
      <c r="H8406" t="str">
        <f t="shared" si="3146"/>
        <v>BOX 63002</v>
      </c>
      <c r="I8406" t="str">
        <f t="shared" si="3142"/>
        <v>MCBH KANEOHE BAY</v>
      </c>
      <c r="J8406" t="str">
        <f t="shared" si="3141"/>
        <v>HI</v>
      </c>
      <c r="K8406" t="str">
        <f>T("808257125")</f>
        <v>808257125</v>
      </c>
      <c r="L8406" t="str">
        <f>T("8082579570")</f>
        <v>8082579570</v>
      </c>
    </row>
    <row r="8407" spans="1:12" x14ac:dyDescent="0.35">
      <c r="A8407" t="str">
        <f t="shared" si="3139"/>
        <v>MCBH KANEOHE BAY SUP DEP</v>
      </c>
      <c r="B8407" t="str">
        <f>T("CISD")</f>
        <v>CISD</v>
      </c>
      <c r="C8407" t="str">
        <f t="shared" si="3144"/>
        <v>BOX 63002</v>
      </c>
      <c r="D8407" t="str">
        <f t="shared" si="3143"/>
        <v>MCBH KANEOHE BAY</v>
      </c>
      <c r="E8407" t="str">
        <f t="shared" si="3140"/>
        <v>HI</v>
      </c>
      <c r="F8407" t="str">
        <f t="shared" si="3145"/>
        <v>968633002</v>
      </c>
      <c r="G8407" t="str">
        <f>T("MAGTF IT SUPPORT CENTER MID PAC")</f>
        <v>MAGTF IT SUPPORT CENTER MID PAC</v>
      </c>
      <c r="H8407" t="str">
        <f t="shared" si="3146"/>
        <v>BOX 63002</v>
      </c>
      <c r="I8407" t="str">
        <f t="shared" si="3142"/>
        <v>MCBH KANEOHE BAY</v>
      </c>
      <c r="J8407" t="str">
        <f t="shared" si="3141"/>
        <v>HI</v>
      </c>
      <c r="K8407" t="str">
        <f>T("8082570797")</f>
        <v>8082570797</v>
      </c>
      <c r="L8407" t="str">
        <f>T("8082670790")</f>
        <v>8082670790</v>
      </c>
    </row>
    <row r="8408" spans="1:12" x14ac:dyDescent="0.35">
      <c r="A8408" t="str">
        <f t="shared" si="3139"/>
        <v>MCBH KANEOHE BAY SUP DEP</v>
      </c>
      <c r="B8408" t="str">
        <f>T("CISD")</f>
        <v>CISD</v>
      </c>
      <c r="C8408" t="str">
        <f t="shared" si="3144"/>
        <v>BOX 63002</v>
      </c>
      <c r="D8408" t="str">
        <f t="shared" si="3143"/>
        <v>MCBH KANEOHE BAY</v>
      </c>
      <c r="E8408" t="str">
        <f t="shared" si="3140"/>
        <v>HI</v>
      </c>
      <c r="F8408" t="str">
        <f t="shared" si="3145"/>
        <v>968633002</v>
      </c>
      <c r="G8408" t="str">
        <f>T("MCBH S6")</f>
        <v>MCBH S6</v>
      </c>
      <c r="H8408" t="str">
        <f t="shared" si="3146"/>
        <v>BOX 63002</v>
      </c>
      <c r="I8408" t="str">
        <f t="shared" si="3142"/>
        <v>MCBH KANEOHE BAY</v>
      </c>
      <c r="J8408" t="str">
        <f t="shared" si="3141"/>
        <v>HI</v>
      </c>
      <c r="K8408" t="str">
        <f>T("000000000000000000")</f>
        <v>000000000000000000</v>
      </c>
      <c r="L8408" t="str">
        <f>T("8082573037")</f>
        <v>8082573037</v>
      </c>
    </row>
    <row r="8409" spans="1:12" x14ac:dyDescent="0.35">
      <c r="A8409" t="str">
        <f t="shared" si="3139"/>
        <v>MCBH KANEOHE BAY SUP DEP</v>
      </c>
      <c r="B8409" t="str">
        <f>T("COMPTROLLER DEPARTMENT")</f>
        <v>COMPTROLLER DEPARTMENT</v>
      </c>
      <c r="C8409" t="str">
        <f t="shared" si="3144"/>
        <v>BOX 63002</v>
      </c>
      <c r="D8409" t="str">
        <f t="shared" ref="D8409:D8423" si="3147">T("M C B H KANEOHE BAY")</f>
        <v>M C B H KANEOHE BAY</v>
      </c>
      <c r="E8409" t="str">
        <f t="shared" si="3140"/>
        <v>HI</v>
      </c>
      <c r="F8409" t="str">
        <f t="shared" si="3145"/>
        <v>968633002</v>
      </c>
      <c r="G8409" t="str">
        <f>T("COMPTROLLER ACCOUNTING")</f>
        <v>COMPTROLLER ACCOUNTING</v>
      </c>
      <c r="H8409" t="str">
        <f t="shared" si="3146"/>
        <v>BOX 63002</v>
      </c>
      <c r="I8409" t="str">
        <f>T("M C B H KANEOHE BAY")</f>
        <v>M C B H KANEOHE BAY</v>
      </c>
      <c r="J8409" t="str">
        <f t="shared" si="3141"/>
        <v>HI</v>
      </c>
      <c r="K8409" t="str">
        <f>T("8082572438")</f>
        <v>8082572438</v>
      </c>
      <c r="L8409" t="str">
        <f>T("8082577732")</f>
        <v>8082577732</v>
      </c>
    </row>
    <row r="8410" spans="1:12" x14ac:dyDescent="0.35">
      <c r="A8410" t="str">
        <f t="shared" si="3139"/>
        <v>MCBH KANEOHE BAY SUP DEP</v>
      </c>
      <c r="B8410" t="str">
        <f>T("COMPTROLLER DEPARTMENT")</f>
        <v>COMPTROLLER DEPARTMENT</v>
      </c>
      <c r="C8410" t="str">
        <f t="shared" si="3144"/>
        <v>BOX 63002</v>
      </c>
      <c r="D8410" t="str">
        <f t="shared" si="3147"/>
        <v>M C B H KANEOHE BAY</v>
      </c>
      <c r="E8410" t="str">
        <f t="shared" si="3140"/>
        <v>HI</v>
      </c>
      <c r="F8410" t="str">
        <f t="shared" si="3145"/>
        <v>968633002</v>
      </c>
      <c r="G8410" t="str">
        <f>T("COMPTROLLER ACCOUNTING")</f>
        <v>COMPTROLLER ACCOUNTING</v>
      </c>
      <c r="H8410" t="str">
        <f t="shared" si="3146"/>
        <v>BOX 63002</v>
      </c>
      <c r="I8410" t="str">
        <f>T("MCBH KANEOHE BAY")</f>
        <v>MCBH KANEOHE BAY</v>
      </c>
      <c r="J8410" t="str">
        <f t="shared" si="3141"/>
        <v>HI</v>
      </c>
      <c r="K8410" t="str">
        <f>T("000000000000000000")</f>
        <v>000000000000000000</v>
      </c>
      <c r="L8410" t="str">
        <f>T("8082577749")</f>
        <v>8082577749</v>
      </c>
    </row>
    <row r="8411" spans="1:12" x14ac:dyDescent="0.35">
      <c r="A8411" t="str">
        <f t="shared" si="3139"/>
        <v>MCBH KANEOHE BAY SUP DEP</v>
      </c>
      <c r="B8411" t="str">
        <f>T("COMPTROLLER DEPARTMENT")</f>
        <v>COMPTROLLER DEPARTMENT</v>
      </c>
      <c r="C8411" t="str">
        <f t="shared" si="3144"/>
        <v>BOX 63002</v>
      </c>
      <c r="D8411" t="str">
        <f t="shared" si="3147"/>
        <v>M C B H KANEOHE BAY</v>
      </c>
      <c r="E8411" t="str">
        <f t="shared" si="3140"/>
        <v>HI</v>
      </c>
      <c r="F8411" t="str">
        <f t="shared" si="3145"/>
        <v>968633002</v>
      </c>
      <c r="G8411" t="str">
        <f>T("COMPTROLLER DEPARTMENT")</f>
        <v>COMPTROLLER DEPARTMENT</v>
      </c>
      <c r="H8411" t="str">
        <f t="shared" si="3146"/>
        <v>BOX 63002</v>
      </c>
      <c r="I8411" t="str">
        <f>T("M C B H KANEOHE BAY")</f>
        <v>M C B H KANEOHE BAY</v>
      </c>
      <c r="J8411" t="str">
        <f t="shared" si="3141"/>
        <v>HI</v>
      </c>
      <c r="K8411" t="str">
        <f>T("8082572438")</f>
        <v>8082572438</v>
      </c>
      <c r="L8411" t="str">
        <f>T("8082577732")</f>
        <v>8082577732</v>
      </c>
    </row>
    <row r="8412" spans="1:12" x14ac:dyDescent="0.35">
      <c r="A8412" t="str">
        <f t="shared" si="3139"/>
        <v>MCBH KANEOHE BAY SUP DEP</v>
      </c>
      <c r="B8412" t="str">
        <f>T("COMPTROLLER DEPARTMENT")</f>
        <v>COMPTROLLER DEPARTMENT</v>
      </c>
      <c r="C8412" t="str">
        <f t="shared" si="3144"/>
        <v>BOX 63002</v>
      </c>
      <c r="D8412" t="str">
        <f t="shared" si="3147"/>
        <v>M C B H KANEOHE BAY</v>
      </c>
      <c r="E8412" t="str">
        <f t="shared" si="3140"/>
        <v>HI</v>
      </c>
      <c r="F8412" t="str">
        <f t="shared" si="3145"/>
        <v>968633002</v>
      </c>
      <c r="G8412" t="str">
        <f>T("MCBH KANEOHE BAY CHAPEL")</f>
        <v>MCBH KANEOHE BAY CHAPEL</v>
      </c>
      <c r="H8412" t="str">
        <f>T("BOX 63083")</f>
        <v>BOX 63083</v>
      </c>
      <c r="I8412" t="str">
        <f>T("MCBH KANEOHE BAY")</f>
        <v>MCBH KANEOHE BAY</v>
      </c>
      <c r="J8412" t="str">
        <f t="shared" si="3141"/>
        <v>HI</v>
      </c>
      <c r="K8412" t="str">
        <f>T("000000000000000000")</f>
        <v>000000000000000000</v>
      </c>
      <c r="L8412" t="str">
        <f>T("8082574463")</f>
        <v>8082574463</v>
      </c>
    </row>
    <row r="8413" spans="1:12" x14ac:dyDescent="0.35">
      <c r="A8413" t="str">
        <f t="shared" si="3139"/>
        <v>MCBH KANEOHE BAY SUP DEP</v>
      </c>
      <c r="B8413" t="str">
        <f>T("ENVIROMENTAL DEPT")</f>
        <v>ENVIROMENTAL DEPT</v>
      </c>
      <c r="C8413" t="str">
        <f>T("BOX 63062")</f>
        <v>BOX 63062</v>
      </c>
      <c r="D8413" t="str">
        <f t="shared" si="3147"/>
        <v>M C B H KANEOHE BAY</v>
      </c>
      <c r="E8413" t="str">
        <f t="shared" si="3140"/>
        <v>HI</v>
      </c>
      <c r="F8413" t="str">
        <f>T("968633062")</f>
        <v>968633062</v>
      </c>
      <c r="G8413" t="str">
        <f>T("ENVIROMENTAL DEPT")</f>
        <v>ENVIROMENTAL DEPT</v>
      </c>
      <c r="H8413" t="str">
        <f>T("BOX 63062")</f>
        <v>BOX 63062</v>
      </c>
      <c r="I8413" t="str">
        <f>T("M C B H KANEOHE BAY")</f>
        <v>M C B H KANEOHE BAY</v>
      </c>
      <c r="J8413" t="str">
        <f t="shared" si="3141"/>
        <v>HI</v>
      </c>
      <c r="K8413" t="str">
        <f>T("8082579430")</f>
        <v>8082579430</v>
      </c>
      <c r="L8413" t="str">
        <f>T("8082577127")</f>
        <v>8082577127</v>
      </c>
    </row>
    <row r="8414" spans="1:12" x14ac:dyDescent="0.35">
      <c r="A8414" t="str">
        <f t="shared" si="3139"/>
        <v>MCBH KANEOHE BAY SUP DEP</v>
      </c>
      <c r="B8414" t="str">
        <f>T("ENVIROMENTAL DEPT")</f>
        <v>ENVIROMENTAL DEPT</v>
      </c>
      <c r="C8414" t="str">
        <f>T("BOX 63062")</f>
        <v>BOX 63062</v>
      </c>
      <c r="D8414" t="str">
        <f t="shared" si="3147"/>
        <v>M C B H KANEOHE BAY</v>
      </c>
      <c r="E8414" t="str">
        <f t="shared" si="3140"/>
        <v>HI</v>
      </c>
      <c r="F8414" t="str">
        <f>T("968633062")</f>
        <v>968633062</v>
      </c>
      <c r="G8414" t="str">
        <f>T("ENVIRONMENTAL DEPARTMENT")</f>
        <v>ENVIRONMENTAL DEPARTMENT</v>
      </c>
      <c r="H8414" t="str">
        <f>T("BOX 63062")</f>
        <v>BOX 63062</v>
      </c>
      <c r="I8414" t="str">
        <f>T("M C B H KANEOHE BAY")</f>
        <v>M C B H KANEOHE BAY</v>
      </c>
      <c r="J8414" t="str">
        <f t="shared" si="3141"/>
        <v>HI</v>
      </c>
      <c r="K8414" t="str">
        <f>T("000000000000000000")</f>
        <v>000000000000000000</v>
      </c>
      <c r="L8414" t="str">
        <f>T("8082572860")</f>
        <v>8082572860</v>
      </c>
    </row>
    <row r="8415" spans="1:12" x14ac:dyDescent="0.35">
      <c r="A8415" t="str">
        <f t="shared" si="3139"/>
        <v>MCBH KANEOHE BAY SUP DEP</v>
      </c>
      <c r="B8415" t="str">
        <f>T("ENVIROMENTAL DEPT")</f>
        <v>ENVIROMENTAL DEPT</v>
      </c>
      <c r="C8415" t="str">
        <f>T("BOX 63062")</f>
        <v>BOX 63062</v>
      </c>
      <c r="D8415" t="str">
        <f t="shared" si="3147"/>
        <v>M C B H KANEOHE BAY</v>
      </c>
      <c r="E8415" t="str">
        <f t="shared" si="3140"/>
        <v>HI</v>
      </c>
      <c r="F8415" t="str">
        <f>T("968633062")</f>
        <v>968633062</v>
      </c>
      <c r="G8415" t="str">
        <f>T("ENVIRONMENTAL DEPARTMENT")</f>
        <v>ENVIRONMENTAL DEPARTMENT</v>
      </c>
      <c r="H8415" t="str">
        <f>T("BOX 63062")</f>
        <v>BOX 63062</v>
      </c>
      <c r="I8415" t="str">
        <f>T("M C B H KANEOHE BAY")</f>
        <v>M C B H KANEOHE BAY</v>
      </c>
      <c r="J8415" t="str">
        <f t="shared" si="3141"/>
        <v>HI</v>
      </c>
      <c r="K8415" t="str">
        <f>T("000000000000000000")</f>
        <v>000000000000000000</v>
      </c>
      <c r="L8415" t="str">
        <f>T("8082579974")</f>
        <v>8082579974</v>
      </c>
    </row>
    <row r="8416" spans="1:12" x14ac:dyDescent="0.35">
      <c r="A8416" t="str">
        <f t="shared" si="3139"/>
        <v>MCBH KANEOHE BAY SUP DEP</v>
      </c>
      <c r="B8416" t="str">
        <f>T("ENVIROMENTAL DEPT")</f>
        <v>ENVIROMENTAL DEPT</v>
      </c>
      <c r="C8416" t="str">
        <f>T("BOX 63062")</f>
        <v>BOX 63062</v>
      </c>
      <c r="D8416" t="str">
        <f t="shared" si="3147"/>
        <v>M C B H KANEOHE BAY</v>
      </c>
      <c r="E8416" t="str">
        <f t="shared" si="3140"/>
        <v>HI</v>
      </c>
      <c r="F8416" t="str">
        <f>T("968633062")</f>
        <v>968633062</v>
      </c>
      <c r="G8416" t="str">
        <f>T("MCB HAWAII ENVIRONMENTAL DEPT")</f>
        <v>MCB HAWAII ENVIRONMENTAL DEPT</v>
      </c>
      <c r="H8416" t="str">
        <f>T("BOX 63062")</f>
        <v>BOX 63062</v>
      </c>
      <c r="I8416" t="str">
        <f t="shared" ref="I8416:I8421" si="3148">T("MCBH KANEOHE BAY")</f>
        <v>MCBH KANEOHE BAY</v>
      </c>
      <c r="J8416" t="str">
        <f t="shared" si="3141"/>
        <v>HI</v>
      </c>
      <c r="K8416" t="str">
        <f>T("8082572794")</f>
        <v>8082572794</v>
      </c>
      <c r="L8416" t="str">
        <f>T("8082167135")</f>
        <v>8082167135</v>
      </c>
    </row>
    <row r="8417" spans="1:12" x14ac:dyDescent="0.35">
      <c r="A8417" t="str">
        <f t="shared" si="3139"/>
        <v>MCBH KANEOHE BAY SUP DEP</v>
      </c>
      <c r="B8417" t="str">
        <f t="shared" ref="B8417:B8425" si="3149">T("FACILITIES DEPARTMENT")</f>
        <v>FACILITIES DEPARTMENT</v>
      </c>
      <c r="C8417" t="str">
        <f t="shared" ref="C8417:C8437" si="3150">T("BOX 63082")</f>
        <v>BOX 63082</v>
      </c>
      <c r="D8417" t="str">
        <f t="shared" si="3147"/>
        <v>M C B H KANEOHE BAY</v>
      </c>
      <c r="E8417" t="str">
        <f t="shared" si="3140"/>
        <v>HI</v>
      </c>
      <c r="F8417" t="str">
        <f t="shared" ref="F8417:F8437" si="3151">T("968633082")</f>
        <v>968633082</v>
      </c>
      <c r="G8417" t="str">
        <f t="shared" ref="G8417:G8424" si="3152">T("FACILITIES DEPARTMENT")</f>
        <v>FACILITIES DEPARTMENT</v>
      </c>
      <c r="H8417" t="str">
        <f>T("BOX 63002")</f>
        <v>BOX 63002</v>
      </c>
      <c r="I8417" t="str">
        <f t="shared" si="3148"/>
        <v>MCBH KANEOHE BAY</v>
      </c>
      <c r="J8417" t="str">
        <f t="shared" si="3141"/>
        <v>HI</v>
      </c>
      <c r="K8417" t="str">
        <f>T("000000000000000000")</f>
        <v>000000000000000000</v>
      </c>
      <c r="L8417" t="str">
        <f>T("8082571104")</f>
        <v>8082571104</v>
      </c>
    </row>
    <row r="8418" spans="1:12" x14ac:dyDescent="0.35">
      <c r="A8418" t="str">
        <f t="shared" si="3139"/>
        <v>MCBH KANEOHE BAY SUP DEP</v>
      </c>
      <c r="B8418" t="str">
        <f t="shared" si="3149"/>
        <v>FACILITIES DEPARTMENT</v>
      </c>
      <c r="C8418" t="str">
        <f t="shared" si="3150"/>
        <v>BOX 63082</v>
      </c>
      <c r="D8418" t="str">
        <f t="shared" si="3147"/>
        <v>M C B H KANEOHE BAY</v>
      </c>
      <c r="E8418" t="str">
        <f t="shared" si="3140"/>
        <v>HI</v>
      </c>
      <c r="F8418" t="str">
        <f t="shared" si="3151"/>
        <v>968633082</v>
      </c>
      <c r="G8418" t="str">
        <f t="shared" si="3152"/>
        <v>FACILITIES DEPARTMENT</v>
      </c>
      <c r="H8418" t="str">
        <f>T("BOX 63002")</f>
        <v>BOX 63002</v>
      </c>
      <c r="I8418" t="str">
        <f t="shared" si="3148"/>
        <v>MCBH KANEOHE BAY</v>
      </c>
      <c r="J8418" t="str">
        <f t="shared" si="3141"/>
        <v>HI</v>
      </c>
      <c r="K8418" t="str">
        <f>T("000000000000000000")</f>
        <v>000000000000000000</v>
      </c>
      <c r="L8418" t="str">
        <f>T("8082571724")</f>
        <v>8082571724</v>
      </c>
    </row>
    <row r="8419" spans="1:12" x14ac:dyDescent="0.35">
      <c r="A8419" t="str">
        <f t="shared" si="3139"/>
        <v>MCBH KANEOHE BAY SUP DEP</v>
      </c>
      <c r="B8419" t="str">
        <f t="shared" si="3149"/>
        <v>FACILITIES DEPARTMENT</v>
      </c>
      <c r="C8419" t="str">
        <f t="shared" si="3150"/>
        <v>BOX 63082</v>
      </c>
      <c r="D8419" t="str">
        <f t="shared" si="3147"/>
        <v>M C B H KANEOHE BAY</v>
      </c>
      <c r="E8419" t="str">
        <f t="shared" si="3140"/>
        <v>HI</v>
      </c>
      <c r="F8419" t="str">
        <f t="shared" si="3151"/>
        <v>968633082</v>
      </c>
      <c r="G8419" t="str">
        <f t="shared" si="3152"/>
        <v>FACILITIES DEPARTMENT</v>
      </c>
      <c r="H8419" t="str">
        <f>T("BOX 63002")</f>
        <v>BOX 63002</v>
      </c>
      <c r="I8419" t="str">
        <f t="shared" si="3148"/>
        <v>MCBH KANEOHE BAY</v>
      </c>
      <c r="J8419" t="str">
        <f t="shared" si="3141"/>
        <v>HI</v>
      </c>
      <c r="K8419" t="str">
        <f>T("000000000000000000")</f>
        <v>000000000000000000</v>
      </c>
      <c r="L8419" t="str">
        <f>T("8082573377")</f>
        <v>8082573377</v>
      </c>
    </row>
    <row r="8420" spans="1:12" x14ac:dyDescent="0.35">
      <c r="A8420" t="str">
        <f t="shared" si="3139"/>
        <v>MCBH KANEOHE BAY SUP DEP</v>
      </c>
      <c r="B8420" t="str">
        <f t="shared" si="3149"/>
        <v>FACILITIES DEPARTMENT</v>
      </c>
      <c r="C8420" t="str">
        <f t="shared" si="3150"/>
        <v>BOX 63082</v>
      </c>
      <c r="D8420" t="str">
        <f t="shared" si="3147"/>
        <v>M C B H KANEOHE BAY</v>
      </c>
      <c r="E8420" t="str">
        <f t="shared" si="3140"/>
        <v>HI</v>
      </c>
      <c r="F8420" t="str">
        <f t="shared" si="3151"/>
        <v>968633082</v>
      </c>
      <c r="G8420" t="str">
        <f t="shared" si="3152"/>
        <v>FACILITIES DEPARTMENT</v>
      </c>
      <c r="H8420" t="str">
        <f>T("BOX 63002")</f>
        <v>BOX 63002</v>
      </c>
      <c r="I8420" t="str">
        <f t="shared" si="3148"/>
        <v>MCBH KANEOHE BAY</v>
      </c>
      <c r="J8420" t="str">
        <f t="shared" si="3141"/>
        <v>HI</v>
      </c>
      <c r="K8420" t="str">
        <f>T("8082573541")</f>
        <v>8082573541</v>
      </c>
      <c r="L8420" t="str">
        <f>T("8086201558")</f>
        <v>8086201558</v>
      </c>
    </row>
    <row r="8421" spans="1:12" x14ac:dyDescent="0.35">
      <c r="A8421" t="str">
        <f t="shared" si="3139"/>
        <v>MCBH KANEOHE BAY SUP DEP</v>
      </c>
      <c r="B8421" t="str">
        <f t="shared" si="3149"/>
        <v>FACILITIES DEPARTMENT</v>
      </c>
      <c r="C8421" t="str">
        <f t="shared" si="3150"/>
        <v>BOX 63082</v>
      </c>
      <c r="D8421" t="str">
        <f t="shared" si="3147"/>
        <v>M C B H KANEOHE BAY</v>
      </c>
      <c r="E8421" t="str">
        <f t="shared" si="3140"/>
        <v>HI</v>
      </c>
      <c r="F8421" t="str">
        <f t="shared" si="3151"/>
        <v>968633082</v>
      </c>
      <c r="G8421" t="str">
        <f t="shared" si="3152"/>
        <v>FACILITIES DEPARTMENT</v>
      </c>
      <c r="H8421" t="str">
        <f>T("BOX 63002")</f>
        <v>BOX 63002</v>
      </c>
      <c r="I8421" t="str">
        <f t="shared" si="3148"/>
        <v>MCBH KANEOHE BAY</v>
      </c>
      <c r="J8421" t="str">
        <f t="shared" si="3141"/>
        <v>HI</v>
      </c>
      <c r="K8421" t="str">
        <f>T("8082579945")</f>
        <v>8082579945</v>
      </c>
      <c r="L8421" t="str">
        <f>T("8082574054")</f>
        <v>8082574054</v>
      </c>
    </row>
    <row r="8422" spans="1:12" x14ac:dyDescent="0.35">
      <c r="A8422" t="str">
        <f t="shared" si="3139"/>
        <v>MCBH KANEOHE BAY SUP DEP</v>
      </c>
      <c r="B8422" t="str">
        <f t="shared" si="3149"/>
        <v>FACILITIES DEPARTMENT</v>
      </c>
      <c r="C8422" t="str">
        <f t="shared" si="3150"/>
        <v>BOX 63082</v>
      </c>
      <c r="D8422" t="str">
        <f t="shared" si="3147"/>
        <v>M C B H KANEOHE BAY</v>
      </c>
      <c r="E8422" t="str">
        <f t="shared" si="3140"/>
        <v>HI</v>
      </c>
      <c r="F8422" t="str">
        <f t="shared" si="3151"/>
        <v>968633082</v>
      </c>
      <c r="G8422" t="str">
        <f t="shared" si="3152"/>
        <v>FACILITIES DEPARTMENT</v>
      </c>
      <c r="H8422" t="str">
        <f t="shared" ref="H8422:H8431" si="3153">T("BOX 63082")</f>
        <v>BOX 63082</v>
      </c>
      <c r="I8422" t="str">
        <f>T("M C B H KANEOHE BAY")</f>
        <v>M C B H KANEOHE BAY</v>
      </c>
      <c r="J8422" t="str">
        <f t="shared" si="3141"/>
        <v>HI</v>
      </c>
      <c r="K8422" t="str">
        <f>T("8082571524")</f>
        <v>8082571524</v>
      </c>
      <c r="L8422" t="str">
        <f>T("8082574054")</f>
        <v>8082574054</v>
      </c>
    </row>
    <row r="8423" spans="1:12" x14ac:dyDescent="0.35">
      <c r="A8423" t="str">
        <f t="shared" si="3139"/>
        <v>MCBH KANEOHE BAY SUP DEP</v>
      </c>
      <c r="B8423" t="str">
        <f t="shared" si="3149"/>
        <v>FACILITIES DEPARTMENT</v>
      </c>
      <c r="C8423" t="str">
        <f t="shared" si="3150"/>
        <v>BOX 63082</v>
      </c>
      <c r="D8423" t="str">
        <f t="shared" si="3147"/>
        <v>M C B H KANEOHE BAY</v>
      </c>
      <c r="E8423" t="str">
        <f t="shared" si="3140"/>
        <v>HI</v>
      </c>
      <c r="F8423" t="str">
        <f t="shared" si="3151"/>
        <v>968633082</v>
      </c>
      <c r="G8423" t="str">
        <f t="shared" si="3152"/>
        <v>FACILITIES DEPARTMENT</v>
      </c>
      <c r="H8423" t="str">
        <f t="shared" si="3153"/>
        <v>BOX 63082</v>
      </c>
      <c r="I8423" t="str">
        <f>T("M C B H KANEOHE BAY")</f>
        <v>M C B H KANEOHE BAY</v>
      </c>
      <c r="J8423" t="str">
        <f t="shared" si="3141"/>
        <v>HI</v>
      </c>
      <c r="K8423" t="str">
        <f>T("8082575746")</f>
        <v>8082575746</v>
      </c>
      <c r="L8423" t="str">
        <f>T("8082575846")</f>
        <v>8082575846</v>
      </c>
    </row>
    <row r="8424" spans="1:12" x14ac:dyDescent="0.35">
      <c r="A8424" t="str">
        <f t="shared" si="3139"/>
        <v>MCBH KANEOHE BAY SUP DEP</v>
      </c>
      <c r="B8424" t="str">
        <f t="shared" si="3149"/>
        <v>FACILITIES DEPARTMENT</v>
      </c>
      <c r="C8424" t="str">
        <f t="shared" si="3150"/>
        <v>BOX 63082</v>
      </c>
      <c r="D8424" t="str">
        <f>T("MCBH K BAY")</f>
        <v>MCBH K BAY</v>
      </c>
      <c r="E8424" t="str">
        <f t="shared" si="3140"/>
        <v>HI</v>
      </c>
      <c r="F8424" t="str">
        <f t="shared" si="3151"/>
        <v>968633082</v>
      </c>
      <c r="G8424" t="str">
        <f t="shared" si="3152"/>
        <v>FACILITIES DEPARTMENT</v>
      </c>
      <c r="H8424" t="str">
        <f t="shared" si="3153"/>
        <v>BOX 63082</v>
      </c>
      <c r="I8424" t="str">
        <f>T("MCBH K BAY")</f>
        <v>MCBH K BAY</v>
      </c>
      <c r="J8424" t="str">
        <f t="shared" si="3141"/>
        <v>HI</v>
      </c>
      <c r="K8424" t="str">
        <f>T("8082575746")</f>
        <v>8082575746</v>
      </c>
      <c r="L8424" t="str">
        <f>T("8082576896")</f>
        <v>8082576896</v>
      </c>
    </row>
    <row r="8425" spans="1:12" x14ac:dyDescent="0.35">
      <c r="A8425" t="str">
        <f t="shared" si="3139"/>
        <v>MCBH KANEOHE BAY SUP DEP</v>
      </c>
      <c r="B8425" t="str">
        <f t="shared" si="3149"/>
        <v>FACILITIES DEPARTMENT</v>
      </c>
      <c r="C8425" t="str">
        <f t="shared" si="3150"/>
        <v>BOX 63082</v>
      </c>
      <c r="D8425" t="str">
        <f>T("MCBH K BAY")</f>
        <v>MCBH K BAY</v>
      </c>
      <c r="E8425" t="str">
        <f t="shared" si="3140"/>
        <v>HI</v>
      </c>
      <c r="F8425" t="str">
        <f t="shared" si="3151"/>
        <v>968633082</v>
      </c>
      <c r="G8425" t="str">
        <f>T("FACILITIES DEPARTMENT MCD")</f>
        <v>FACILITIES DEPARTMENT MCD</v>
      </c>
      <c r="H8425" t="str">
        <f t="shared" si="3153"/>
        <v>BOX 63082</v>
      </c>
      <c r="I8425" t="str">
        <f>T("M C B H KANEOHE BAY")</f>
        <v>M C B H KANEOHE BAY</v>
      </c>
      <c r="J8425" t="str">
        <f t="shared" si="3141"/>
        <v>HI</v>
      </c>
      <c r="K8425" t="str">
        <f>T("000000000000000000")</f>
        <v>000000000000000000</v>
      </c>
      <c r="L8425" t="str">
        <f>T("8082575840")</f>
        <v>8082575840</v>
      </c>
    </row>
    <row r="8426" spans="1:12" x14ac:dyDescent="0.35">
      <c r="A8426" t="str">
        <f t="shared" si="3139"/>
        <v>MCBH KANEOHE BAY SUP DEP</v>
      </c>
      <c r="B8426" t="str">
        <f>T("FACILITIES DEPARTMENT KBAY EMALL")</f>
        <v>FACILITIES DEPARTMENT KBAY EMALL</v>
      </c>
      <c r="C8426" t="str">
        <f t="shared" si="3150"/>
        <v>BOX 63082</v>
      </c>
      <c r="D8426" t="str">
        <f>T("MCBH K BAY")</f>
        <v>MCBH K BAY</v>
      </c>
      <c r="E8426" t="str">
        <f t="shared" si="3140"/>
        <v>HI</v>
      </c>
      <c r="F8426" t="str">
        <f t="shared" si="3151"/>
        <v>968633082</v>
      </c>
      <c r="G8426" t="str">
        <f>T("FACILITIES DEPARTMENT KBAY EMALL")</f>
        <v>FACILITIES DEPARTMENT KBAY EMALL</v>
      </c>
      <c r="H8426" t="str">
        <f t="shared" si="3153"/>
        <v>BOX 63082</v>
      </c>
      <c r="I8426" t="str">
        <f>T("MCBH K BAY")</f>
        <v>MCBH K BAY</v>
      </c>
      <c r="J8426" t="str">
        <f t="shared" si="3141"/>
        <v>HI</v>
      </c>
      <c r="K8426" t="str">
        <f>T("000000000000000000")</f>
        <v>000000000000000000</v>
      </c>
      <c r="L8426" t="str">
        <f>T("8082576896")</f>
        <v>8082576896</v>
      </c>
    </row>
    <row r="8427" spans="1:12" x14ac:dyDescent="0.35">
      <c r="A8427" t="str">
        <f t="shared" si="3139"/>
        <v>MCBH KANEOHE BAY SUP DEP</v>
      </c>
      <c r="B8427" t="str">
        <f>T("FACILITIES DEPARTMENT KBAY EMALL")</f>
        <v>FACILITIES DEPARTMENT KBAY EMALL</v>
      </c>
      <c r="C8427" t="str">
        <f t="shared" si="3150"/>
        <v>BOX 63082</v>
      </c>
      <c r="D8427" t="str">
        <f>T("MCBH K BAY")</f>
        <v>MCBH K BAY</v>
      </c>
      <c r="E8427" t="str">
        <f t="shared" si="3140"/>
        <v>HI</v>
      </c>
      <c r="F8427" t="str">
        <f t="shared" si="3151"/>
        <v>968633082</v>
      </c>
      <c r="G8427" t="str">
        <f>T("MCBH FACILITIES MCD")</f>
        <v>MCBH FACILITIES MCD</v>
      </c>
      <c r="H8427" t="str">
        <f t="shared" si="3153"/>
        <v>BOX 63082</v>
      </c>
      <c r="I8427" t="str">
        <f>T("MCBH KANEOHE BAY")</f>
        <v>MCBH KANEOHE BAY</v>
      </c>
      <c r="J8427" t="str">
        <f t="shared" si="3141"/>
        <v>HI</v>
      </c>
      <c r="K8427" t="str">
        <f>T("8082575746")</f>
        <v>8082575746</v>
      </c>
      <c r="L8427" t="str">
        <f>T("8082575840")</f>
        <v>8082575840</v>
      </c>
    </row>
    <row r="8428" spans="1:12" x14ac:dyDescent="0.35">
      <c r="A8428" t="str">
        <f t="shared" si="3139"/>
        <v>MCBH KANEOHE BAY SUP DEP</v>
      </c>
      <c r="B8428" t="str">
        <f>T("FACILITIES DEPARTMENT MCB HAWAII")</f>
        <v>FACILITIES DEPARTMENT MCB HAWAII</v>
      </c>
      <c r="C8428" t="str">
        <f t="shared" si="3150"/>
        <v>BOX 63082</v>
      </c>
      <c r="D8428" t="str">
        <f>T("MCBH KANEOHE BAY")</f>
        <v>MCBH KANEOHE BAY</v>
      </c>
      <c r="E8428" t="str">
        <f t="shared" si="3140"/>
        <v>HI</v>
      </c>
      <c r="F8428" t="str">
        <f t="shared" si="3151"/>
        <v>968633082</v>
      </c>
      <c r="G8428" t="str">
        <f>T("FACILITIES DEPARTMENT MCB HAWAII")</f>
        <v>FACILITIES DEPARTMENT MCB HAWAII</v>
      </c>
      <c r="H8428" t="str">
        <f t="shared" si="3153"/>
        <v>BOX 63082</v>
      </c>
      <c r="I8428" t="str">
        <f>T("MCBH KANEOHE BAY")</f>
        <v>MCBH KANEOHE BAY</v>
      </c>
      <c r="J8428" t="str">
        <f t="shared" si="3141"/>
        <v>HI</v>
      </c>
      <c r="K8428" t="str">
        <f>T("8082573549")</f>
        <v>8082573549</v>
      </c>
      <c r="L8428" t="str">
        <f>T("8082575846")</f>
        <v>8082575846</v>
      </c>
    </row>
    <row r="8429" spans="1:12" x14ac:dyDescent="0.35">
      <c r="A8429" t="str">
        <f t="shared" si="3139"/>
        <v>MCBH KANEOHE BAY SUP DEP</v>
      </c>
      <c r="B8429" t="str">
        <f>T("FACILITIES DEPARTMENT MCB HAWAII")</f>
        <v>FACILITIES DEPARTMENT MCB HAWAII</v>
      </c>
      <c r="C8429" t="str">
        <f t="shared" si="3150"/>
        <v>BOX 63082</v>
      </c>
      <c r="D8429" t="str">
        <f>T("MCBH KANEOHE BAY")</f>
        <v>MCBH KANEOHE BAY</v>
      </c>
      <c r="E8429" t="str">
        <f t="shared" si="3140"/>
        <v>HI</v>
      </c>
      <c r="F8429" t="str">
        <f t="shared" si="3151"/>
        <v>968633082</v>
      </c>
      <c r="G8429" t="str">
        <f>T("FACILITIES DEPARTMENT WC-MM/WRF")</f>
        <v>FACILITIES DEPARTMENT WC-MM/WRF</v>
      </c>
      <c r="H8429" t="str">
        <f t="shared" si="3153"/>
        <v>BOX 63082</v>
      </c>
      <c r="I8429" t="str">
        <f>T("MCBH KANEOHE BAY")</f>
        <v>MCBH KANEOHE BAY</v>
      </c>
      <c r="J8429" t="str">
        <f t="shared" si="3141"/>
        <v>HI</v>
      </c>
      <c r="K8429" t="str">
        <f>T("8082578600")</f>
        <v>8082578600</v>
      </c>
      <c r="L8429" t="str">
        <f>T("8082572217")</f>
        <v>8082572217</v>
      </c>
    </row>
    <row r="8430" spans="1:12" x14ac:dyDescent="0.35">
      <c r="A8430" t="str">
        <f t="shared" ref="A8430:A8461" si="3154">T("MCBH KANEOHE BAY SUP DEP")</f>
        <v>MCBH KANEOHE BAY SUP DEP</v>
      </c>
      <c r="B8430" t="str">
        <f>T("FACILITIES DEPT UPH")</f>
        <v>FACILITIES DEPT UPH</v>
      </c>
      <c r="C8430" t="str">
        <f t="shared" si="3150"/>
        <v>BOX 63082</v>
      </c>
      <c r="D8430" t="str">
        <f>T("MCBH KANEOHE BAY")</f>
        <v>MCBH KANEOHE BAY</v>
      </c>
      <c r="E8430" t="str">
        <f t="shared" ref="E8430:E8461" si="3155">T("HI")</f>
        <v>HI</v>
      </c>
      <c r="F8430" t="str">
        <f t="shared" si="3151"/>
        <v>968633082</v>
      </c>
      <c r="G8430" t="str">
        <f>T("FACILITIES DEPARTMENT UPH")</f>
        <v>FACILITIES DEPARTMENT UPH</v>
      </c>
      <c r="H8430" t="str">
        <f t="shared" si="3153"/>
        <v>BOX 63082</v>
      </c>
      <c r="I8430" t="str">
        <f>T("MCBH KANEOHE BAY")</f>
        <v>MCBH KANEOHE BAY</v>
      </c>
      <c r="J8430" t="str">
        <f t="shared" ref="J8430:J8461" si="3156">T("HI")</f>
        <v>HI</v>
      </c>
      <c r="K8430" t="str">
        <f>T("8082571318")</f>
        <v>8082571318</v>
      </c>
      <c r="L8430" t="str">
        <f>T("8082574170")</f>
        <v>8082574170</v>
      </c>
    </row>
    <row r="8431" spans="1:12" x14ac:dyDescent="0.35">
      <c r="A8431" t="str">
        <f t="shared" si="3154"/>
        <v>MCBH KANEOHE BAY SUP DEP</v>
      </c>
      <c r="B8431" t="str">
        <f>T("FACILITIES DEPT UPH")</f>
        <v>FACILITIES DEPT UPH</v>
      </c>
      <c r="C8431" t="str">
        <f t="shared" si="3150"/>
        <v>BOX 63082</v>
      </c>
      <c r="D8431" t="str">
        <f>T("MCBH KANEOHE BAY")</f>
        <v>MCBH KANEOHE BAY</v>
      </c>
      <c r="E8431" t="str">
        <f t="shared" si="3155"/>
        <v>HI</v>
      </c>
      <c r="F8431" t="str">
        <f t="shared" si="3151"/>
        <v>968633082</v>
      </c>
      <c r="G8431" t="str">
        <f>T("FACILITIES DEPT UPH")</f>
        <v>FACILITIES DEPT UPH</v>
      </c>
      <c r="H8431" t="str">
        <f t="shared" si="3153"/>
        <v>BOX 63082</v>
      </c>
      <c r="I8431" t="str">
        <f>T("MCBH KANEOHE BAY")</f>
        <v>MCBH KANEOHE BAY</v>
      </c>
      <c r="J8431" t="str">
        <f t="shared" si="3156"/>
        <v>HI</v>
      </c>
      <c r="K8431" t="str">
        <f>T("000000000000000000")</f>
        <v>000000000000000000</v>
      </c>
      <c r="L8431" t="str">
        <f>T("8082570800")</f>
        <v>8082570800</v>
      </c>
    </row>
    <row r="8432" spans="1:12" x14ac:dyDescent="0.35">
      <c r="A8432" t="str">
        <f t="shared" si="3154"/>
        <v>MCBH KANEOHE BAY SUP DEP</v>
      </c>
      <c r="B8432" t="str">
        <f>T("FACILITIES DEPT.")</f>
        <v>FACILITIES DEPT.</v>
      </c>
      <c r="C8432" t="str">
        <f t="shared" si="3150"/>
        <v>BOX 63082</v>
      </c>
      <c r="D8432" t="str">
        <f>T("M C B H KANEOHE BAY")</f>
        <v>M C B H KANEOHE BAY</v>
      </c>
      <c r="E8432" t="str">
        <f t="shared" si="3155"/>
        <v>HI</v>
      </c>
      <c r="F8432" t="str">
        <f t="shared" si="3151"/>
        <v>968633082</v>
      </c>
      <c r="G8432" t="str">
        <f>T("FACILITIES DEPARTMENT")</f>
        <v>FACILITIES DEPARTMENT</v>
      </c>
      <c r="H8432" t="str">
        <f>T("BOX 63062")</f>
        <v>BOX 63062</v>
      </c>
      <c r="I8432" t="str">
        <f>T("M C B H KANEOHE BAY")</f>
        <v>M C B H KANEOHE BAY</v>
      </c>
      <c r="J8432" t="str">
        <f t="shared" si="3156"/>
        <v>HI</v>
      </c>
      <c r="K8432" t="str">
        <f>T("000000000000000000")</f>
        <v>000000000000000000</v>
      </c>
      <c r="L8432" t="str">
        <f>T("8082572992")</f>
        <v>8082572992</v>
      </c>
    </row>
    <row r="8433" spans="1:12" x14ac:dyDescent="0.35">
      <c r="A8433" t="str">
        <f t="shared" si="3154"/>
        <v>MCBH KANEOHE BAY SUP DEP</v>
      </c>
      <c r="B8433" t="str">
        <f>T("FACILITIES DEPT.")</f>
        <v>FACILITIES DEPT.</v>
      </c>
      <c r="C8433" t="str">
        <f t="shared" si="3150"/>
        <v>BOX 63082</v>
      </c>
      <c r="D8433" t="str">
        <f>T("M C B H KANEOHE BAY")</f>
        <v>M C B H KANEOHE BAY</v>
      </c>
      <c r="E8433" t="str">
        <f t="shared" si="3155"/>
        <v>HI</v>
      </c>
      <c r="F8433" t="str">
        <f t="shared" si="3151"/>
        <v>968633082</v>
      </c>
      <c r="G8433" t="str">
        <f>T("FACILITIES DEPT.")</f>
        <v>FACILITIES DEPT.</v>
      </c>
      <c r="H8433" t="str">
        <f>T("BOX 63082")</f>
        <v>BOX 63082</v>
      </c>
      <c r="I8433" t="str">
        <f>T("M C B H KANEOHE BAY")</f>
        <v>M C B H KANEOHE BAY</v>
      </c>
      <c r="J8433" t="str">
        <f t="shared" si="3156"/>
        <v>HI</v>
      </c>
      <c r="K8433" t="str">
        <f>T("8082573549")</f>
        <v>8082573549</v>
      </c>
      <c r="L8433" t="str">
        <f>T("8082570800")</f>
        <v>8082570800</v>
      </c>
    </row>
    <row r="8434" spans="1:12" x14ac:dyDescent="0.35">
      <c r="A8434" t="str">
        <f t="shared" si="3154"/>
        <v>MCBH KANEOHE BAY SUP DEP</v>
      </c>
      <c r="B8434" t="str">
        <f>T("FACILITIES DEPT.")</f>
        <v>FACILITIES DEPT.</v>
      </c>
      <c r="C8434" t="str">
        <f t="shared" si="3150"/>
        <v>BOX 63082</v>
      </c>
      <c r="D8434" t="str">
        <f>T("M C B H KANEOHE BAY")</f>
        <v>M C B H KANEOHE BAY</v>
      </c>
      <c r="E8434" t="str">
        <f t="shared" si="3155"/>
        <v>HI</v>
      </c>
      <c r="F8434" t="str">
        <f t="shared" si="3151"/>
        <v>968633082</v>
      </c>
      <c r="G8434" t="str">
        <f>T("MCB HAWAII FACILITIES DEPT")</f>
        <v>MCB HAWAII FACILITIES DEPT</v>
      </c>
      <c r="H8434" t="str">
        <f>T("BOX 63082")</f>
        <v>BOX 63082</v>
      </c>
      <c r="I8434" t="str">
        <f>T("MCBH KANEOHE BAY")</f>
        <v>MCBH KANEOHE BAY</v>
      </c>
      <c r="J8434" t="str">
        <f t="shared" si="3156"/>
        <v>HI</v>
      </c>
      <c r="K8434" t="str">
        <f>T("000000000000000000")</f>
        <v>000000000000000000</v>
      </c>
      <c r="L8434" t="str">
        <f>T("8082570738")</f>
        <v>8082570738</v>
      </c>
    </row>
    <row r="8435" spans="1:12" x14ac:dyDescent="0.35">
      <c r="A8435" t="str">
        <f t="shared" si="3154"/>
        <v>MCBH KANEOHE BAY SUP DEP</v>
      </c>
      <c r="B8435" t="str">
        <f>T("FACILITIES SELF-HELP")</f>
        <v>FACILITIES SELF-HELP</v>
      </c>
      <c r="C8435" t="str">
        <f t="shared" si="3150"/>
        <v>BOX 63082</v>
      </c>
      <c r="D8435" t="str">
        <f>T("MCBH KANEOHE BAY")</f>
        <v>MCBH KANEOHE BAY</v>
      </c>
      <c r="E8435" t="str">
        <f t="shared" si="3155"/>
        <v>HI</v>
      </c>
      <c r="F8435" t="str">
        <f t="shared" si="3151"/>
        <v>968633082</v>
      </c>
      <c r="G8435" t="str">
        <f>T("FACILITIES SELF HELP")</f>
        <v>FACILITIES SELF HELP</v>
      </c>
      <c r="H8435" t="str">
        <f>T("BOX 63082")</f>
        <v>BOX 63082</v>
      </c>
      <c r="I8435" t="str">
        <f>T("KANEOHE BAY")</f>
        <v>KANEOHE BAY</v>
      </c>
      <c r="J8435" t="str">
        <f t="shared" si="3156"/>
        <v>HI</v>
      </c>
      <c r="K8435" t="str">
        <f>T("000000000000000000")</f>
        <v>000000000000000000</v>
      </c>
      <c r="L8435" t="str">
        <f>T("8082573186")</f>
        <v>8082573186</v>
      </c>
    </row>
    <row r="8436" spans="1:12" x14ac:dyDescent="0.35">
      <c r="A8436" t="str">
        <f t="shared" si="3154"/>
        <v>MCBH KANEOHE BAY SUP DEP</v>
      </c>
      <c r="B8436" t="str">
        <f>T("FACILITIES SELF-HELP")</f>
        <v>FACILITIES SELF-HELP</v>
      </c>
      <c r="C8436" t="str">
        <f t="shared" si="3150"/>
        <v>BOX 63082</v>
      </c>
      <c r="D8436" t="str">
        <f>T("MCBH KANEOHE BAY")</f>
        <v>MCBH KANEOHE BAY</v>
      </c>
      <c r="E8436" t="str">
        <f t="shared" si="3155"/>
        <v>HI</v>
      </c>
      <c r="F8436" t="str">
        <f t="shared" si="3151"/>
        <v>968633082</v>
      </c>
      <c r="G8436" t="str">
        <f>T("FACILITIES SELF-HELP")</f>
        <v>FACILITIES SELF-HELP</v>
      </c>
      <c r="H8436" t="str">
        <f>T("BOX 63082")</f>
        <v>BOX 63082</v>
      </c>
      <c r="I8436" t="str">
        <f>T("MCBH KANEOHE BAY")</f>
        <v>MCBH KANEOHE BAY</v>
      </c>
      <c r="J8436" t="str">
        <f t="shared" si="3156"/>
        <v>HI</v>
      </c>
      <c r="K8436" t="str">
        <f>T("")</f>
        <v/>
      </c>
      <c r="L8436" t="str">
        <f>T("8082573186")</f>
        <v>8082573186</v>
      </c>
    </row>
    <row r="8437" spans="1:12" x14ac:dyDescent="0.35">
      <c r="A8437" t="str">
        <f t="shared" si="3154"/>
        <v>MCBH KANEOHE BAY SUP DEP</v>
      </c>
      <c r="B8437" t="str">
        <f>T("FACILITIES SELF-HELP")</f>
        <v>FACILITIES SELF-HELP</v>
      </c>
      <c r="C8437" t="str">
        <f t="shared" si="3150"/>
        <v>BOX 63082</v>
      </c>
      <c r="D8437" t="str">
        <f>T("MCBH KANEOHE BAY")</f>
        <v>MCBH KANEOHE BAY</v>
      </c>
      <c r="E8437" t="str">
        <f t="shared" si="3155"/>
        <v>HI</v>
      </c>
      <c r="F8437" t="str">
        <f t="shared" si="3151"/>
        <v>968633082</v>
      </c>
      <c r="G8437" t="str">
        <f>T("FACILITIES SELF-HELP")</f>
        <v>FACILITIES SELF-HELP</v>
      </c>
      <c r="H8437" t="str">
        <f>T("BOX 63082")</f>
        <v>BOX 63082</v>
      </c>
      <c r="I8437" t="str">
        <f>T("MCBH KANEOHE BAY")</f>
        <v>MCBH KANEOHE BAY</v>
      </c>
      <c r="J8437" t="str">
        <f t="shared" si="3156"/>
        <v>HI</v>
      </c>
      <c r="K8437" t="str">
        <f>T("000000000000000000")</f>
        <v>000000000000000000</v>
      </c>
      <c r="L8437" t="str">
        <f>T("8082573186")</f>
        <v>8082573186</v>
      </c>
    </row>
    <row r="8438" spans="1:12" x14ac:dyDescent="0.35">
      <c r="A8438" t="str">
        <f t="shared" si="3154"/>
        <v>MCBH KANEOHE BAY SUP DEP</v>
      </c>
      <c r="B8438" t="str">
        <f>T("HOUSING OFFICE")</f>
        <v>HOUSING OFFICE</v>
      </c>
      <c r="C8438" t="str">
        <f>T("BOX 63003")</f>
        <v>BOX 63003</v>
      </c>
      <c r="D8438" t="str">
        <f>T("M C B H KANEOHE BAY")</f>
        <v>M C B H KANEOHE BAY</v>
      </c>
      <c r="E8438" t="str">
        <f t="shared" si="3155"/>
        <v>HI</v>
      </c>
      <c r="F8438" t="str">
        <f>T("968633003")</f>
        <v>968633003</v>
      </c>
      <c r="G8438" t="str">
        <f>T("FAMILY HOUSING DEPARTMENT")</f>
        <v>FAMILY HOUSING DEPARTMENT</v>
      </c>
      <c r="H8438" t="str">
        <f>T("BOX 63003")</f>
        <v>BOX 63003</v>
      </c>
      <c r="I8438" t="str">
        <f>T("M C B H KANEOHE BAY")</f>
        <v>M C B H KANEOHE BAY</v>
      </c>
      <c r="J8438" t="str">
        <f t="shared" si="3156"/>
        <v>HI</v>
      </c>
      <c r="K8438" t="str">
        <f>T("8082571259")</f>
        <v>8082571259</v>
      </c>
      <c r="L8438" t="str">
        <f>T("8082571661")</f>
        <v>8082571661</v>
      </c>
    </row>
    <row r="8439" spans="1:12" x14ac:dyDescent="0.35">
      <c r="A8439" t="str">
        <f t="shared" si="3154"/>
        <v>MCBH KANEOHE BAY SUP DEP</v>
      </c>
      <c r="B8439" t="str">
        <f>T("HOUSING OFFICE")</f>
        <v>HOUSING OFFICE</v>
      </c>
      <c r="C8439" t="str">
        <f>T("BOX 63003")</f>
        <v>BOX 63003</v>
      </c>
      <c r="D8439" t="str">
        <f>T("M C B H KANEOHE BAY")</f>
        <v>M C B H KANEOHE BAY</v>
      </c>
      <c r="E8439" t="str">
        <f t="shared" si="3155"/>
        <v>HI</v>
      </c>
      <c r="F8439" t="str">
        <f>T("968633003")</f>
        <v>968633003</v>
      </c>
      <c r="G8439" t="str">
        <f>T("FAMILY HOUSING DEPARTMENT")</f>
        <v>FAMILY HOUSING DEPARTMENT</v>
      </c>
      <c r="H8439" t="str">
        <f>T("BOX 63003")</f>
        <v>BOX 63003</v>
      </c>
      <c r="I8439" t="str">
        <f>T("MCBH KANEOHE BAY")</f>
        <v>MCBH KANEOHE BAY</v>
      </c>
      <c r="J8439" t="str">
        <f t="shared" si="3156"/>
        <v>HI</v>
      </c>
      <c r="K8439" t="str">
        <f>T("8082571259")</f>
        <v>8082571259</v>
      </c>
      <c r="L8439" t="str">
        <f>T("8082571254")</f>
        <v>8082571254</v>
      </c>
    </row>
    <row r="8440" spans="1:12" x14ac:dyDescent="0.35">
      <c r="A8440" t="str">
        <f t="shared" si="3154"/>
        <v>MCBH KANEOHE BAY SUP DEP</v>
      </c>
      <c r="B8440" t="str">
        <f>T("HOUSING OFFICE")</f>
        <v>HOUSING OFFICE</v>
      </c>
      <c r="C8440" t="str">
        <f>T("BOX 63003")</f>
        <v>BOX 63003</v>
      </c>
      <c r="D8440" t="str">
        <f>T("M C B H KANEOHE BAY")</f>
        <v>M C B H KANEOHE BAY</v>
      </c>
      <c r="E8440" t="str">
        <f t="shared" si="3155"/>
        <v>HI</v>
      </c>
      <c r="F8440" t="str">
        <f>T("968633003")</f>
        <v>968633003</v>
      </c>
      <c r="G8440" t="str">
        <f>T("HOUSING OFFICE")</f>
        <v>HOUSING OFFICE</v>
      </c>
      <c r="H8440" t="str">
        <f>T("BOX 63003")</f>
        <v>BOX 63003</v>
      </c>
      <c r="I8440" t="str">
        <f>T("M C B H KANEOHE BAY")</f>
        <v>M C B H KANEOHE BAY</v>
      </c>
      <c r="J8440" t="str">
        <f t="shared" si="3156"/>
        <v>HI</v>
      </c>
      <c r="K8440" t="str">
        <f>T("8082571107")</f>
        <v>8082571107</v>
      </c>
      <c r="L8440" t="str">
        <f>T("8082570978")</f>
        <v>8082570978</v>
      </c>
    </row>
    <row r="8441" spans="1:12" x14ac:dyDescent="0.35">
      <c r="A8441" t="str">
        <f t="shared" si="3154"/>
        <v>MCBH KANEOHE BAY SUP DEP</v>
      </c>
      <c r="B8441" t="str">
        <f>T("HQBN")</f>
        <v>HQBN</v>
      </c>
      <c r="C8441" t="str">
        <f>T("BOX 63063")</f>
        <v>BOX 63063</v>
      </c>
      <c r="D8441" t="str">
        <f t="shared" ref="D8441:D8448" si="3157">T("MCBH KANEOHE BAY")</f>
        <v>MCBH KANEOHE BAY</v>
      </c>
      <c r="E8441" t="str">
        <f t="shared" si="3155"/>
        <v>HI</v>
      </c>
      <c r="F8441" t="str">
        <f>T("968633063")</f>
        <v>968633063</v>
      </c>
      <c r="G8441" t="str">
        <f>T("BASE PROPERTY HQBN")</f>
        <v>BASE PROPERTY HQBN</v>
      </c>
      <c r="H8441" t="str">
        <f>T("BOX 63063")</f>
        <v>BOX 63063</v>
      </c>
      <c r="I8441" t="str">
        <f t="shared" ref="I8441:I8448" si="3158">T("MCBH KANEOHE BAY")</f>
        <v>MCBH KANEOHE BAY</v>
      </c>
      <c r="J8441" t="str">
        <f t="shared" si="3156"/>
        <v>HI</v>
      </c>
      <c r="K8441" t="str">
        <f>T("000000000000000000")</f>
        <v>000000000000000000</v>
      </c>
      <c r="L8441" t="str">
        <f>T("8082576711")</f>
        <v>8082576711</v>
      </c>
    </row>
    <row r="8442" spans="1:12" x14ac:dyDescent="0.35">
      <c r="A8442" t="str">
        <f t="shared" si="3154"/>
        <v>MCBH KANEOHE BAY SUP DEP</v>
      </c>
      <c r="B8442" t="str">
        <f>T("HQBN")</f>
        <v>HQBN</v>
      </c>
      <c r="C8442" t="str">
        <f>T("BOX 63063")</f>
        <v>BOX 63063</v>
      </c>
      <c r="D8442" t="str">
        <f t="shared" si="3157"/>
        <v>MCBH KANEOHE BAY</v>
      </c>
      <c r="E8442" t="str">
        <f t="shared" si="3155"/>
        <v>HI</v>
      </c>
      <c r="F8442" t="str">
        <f>T("968633063")</f>
        <v>968633063</v>
      </c>
      <c r="G8442" t="str">
        <f>T("HQBN")</f>
        <v>HQBN</v>
      </c>
      <c r="H8442" t="str">
        <f>T("BOX 63063")</f>
        <v>BOX 63063</v>
      </c>
      <c r="I8442" t="str">
        <f t="shared" si="3158"/>
        <v>MCBH KANEOHE BAY</v>
      </c>
      <c r="J8442" t="str">
        <f t="shared" si="3156"/>
        <v>HI</v>
      </c>
      <c r="K8442" t="str">
        <f>T("000000000000000000")</f>
        <v>000000000000000000</v>
      </c>
      <c r="L8442" t="str">
        <f>T("8082572236")</f>
        <v>8082572236</v>
      </c>
    </row>
    <row r="8443" spans="1:12" x14ac:dyDescent="0.35">
      <c r="A8443" t="str">
        <f t="shared" si="3154"/>
        <v>MCBH KANEOHE BAY SUP DEP</v>
      </c>
      <c r="B8443" t="str">
        <f>T("HQBN COMBAT CAMERA")</f>
        <v>HQBN COMBAT CAMERA</v>
      </c>
      <c r="C8443" t="str">
        <f>T("PO BOX 63062")</f>
        <v>PO BOX 63062</v>
      </c>
      <c r="D8443" t="str">
        <f t="shared" si="3157"/>
        <v>MCBH KANEOHE BAY</v>
      </c>
      <c r="E8443" t="str">
        <f t="shared" si="3155"/>
        <v>HI</v>
      </c>
      <c r="F8443" t="str">
        <f>T("968633062")</f>
        <v>968633062</v>
      </c>
      <c r="G8443" t="str">
        <f>T("HQBN COMBAT CAMERA")</f>
        <v>HQBN COMBAT CAMERA</v>
      </c>
      <c r="H8443" t="str">
        <f>T("PO BOX 63062")</f>
        <v>PO BOX 63062</v>
      </c>
      <c r="I8443" t="str">
        <f t="shared" si="3158"/>
        <v>MCBH KANEOHE BAY</v>
      </c>
      <c r="J8443" t="str">
        <f t="shared" si="3156"/>
        <v>HI</v>
      </c>
      <c r="K8443" t="str">
        <f>T("8082572467")</f>
        <v>8082572467</v>
      </c>
      <c r="L8443" t="str">
        <f>T("8082571397")</f>
        <v>8082571397</v>
      </c>
    </row>
    <row r="8444" spans="1:12" x14ac:dyDescent="0.35">
      <c r="A8444" t="str">
        <f t="shared" si="3154"/>
        <v>MCBH KANEOHE BAY SUP DEP</v>
      </c>
      <c r="B8444" t="str">
        <f>T("HQBN COMBAT CAMERA")</f>
        <v>HQBN COMBAT CAMERA</v>
      </c>
      <c r="C8444" t="str">
        <f>T("PO BOX 63062")</f>
        <v>PO BOX 63062</v>
      </c>
      <c r="D8444" t="str">
        <f t="shared" si="3157"/>
        <v>MCBH KANEOHE BAY</v>
      </c>
      <c r="E8444" t="str">
        <f t="shared" si="3155"/>
        <v>HI</v>
      </c>
      <c r="F8444" t="str">
        <f>T("968633062")</f>
        <v>968633062</v>
      </c>
      <c r="G8444" t="str">
        <f>T("PUBLIC AFFAIRS OFFICE")</f>
        <v>PUBLIC AFFAIRS OFFICE</v>
      </c>
      <c r="H8444" t="str">
        <f>T("BOX 63002")</f>
        <v>BOX 63002</v>
      </c>
      <c r="I8444" t="str">
        <f t="shared" si="3158"/>
        <v>MCBH KANEOHE BAY</v>
      </c>
      <c r="J8444" t="str">
        <f t="shared" si="3156"/>
        <v>HI</v>
      </c>
      <c r="K8444" t="str">
        <f>T("8082573290")</f>
        <v>8082573290</v>
      </c>
      <c r="L8444" t="str">
        <f>T("8082578840")</f>
        <v>8082578840</v>
      </c>
    </row>
    <row r="8445" spans="1:12" x14ac:dyDescent="0.35">
      <c r="A8445" t="str">
        <f t="shared" si="3154"/>
        <v>MCBH KANEOHE BAY SUP DEP</v>
      </c>
      <c r="B8445" t="str">
        <f>T("HQBN WATERFRONT OPERATIONS")</f>
        <v>HQBN WATERFRONT OPERATIONS</v>
      </c>
      <c r="C8445" t="str">
        <f>T("BOX 63062")</f>
        <v>BOX 63062</v>
      </c>
      <c r="D8445" t="str">
        <f t="shared" si="3157"/>
        <v>MCBH KANEOHE BAY</v>
      </c>
      <c r="E8445" t="str">
        <f t="shared" si="3155"/>
        <v>HI</v>
      </c>
      <c r="F8445" t="str">
        <f>T("968633062")</f>
        <v>968633062</v>
      </c>
      <c r="G8445" t="str">
        <f>T("HQBN WATERFRONT OPERATIONS")</f>
        <v>HQBN WATERFRONT OPERATIONS</v>
      </c>
      <c r="H8445" t="str">
        <f>T("BOX 63062")</f>
        <v>BOX 63062</v>
      </c>
      <c r="I8445" t="str">
        <f t="shared" si="3158"/>
        <v>MCBH KANEOHE BAY</v>
      </c>
      <c r="J8445" t="str">
        <f t="shared" si="3156"/>
        <v>HI</v>
      </c>
      <c r="K8445" t="str">
        <f>T("")</f>
        <v/>
      </c>
      <c r="L8445" t="str">
        <f>T("8082572555")</f>
        <v>8082572555</v>
      </c>
    </row>
    <row r="8446" spans="1:12" x14ac:dyDescent="0.35">
      <c r="A8446" t="str">
        <f t="shared" si="3154"/>
        <v>MCBH KANEOHE BAY SUP DEP</v>
      </c>
      <c r="B8446" t="str">
        <f>T("HQBN WATERFRONT OPERATIONS")</f>
        <v>HQBN WATERFRONT OPERATIONS</v>
      </c>
      <c r="C8446" t="str">
        <f>T("BOX 63062")</f>
        <v>BOX 63062</v>
      </c>
      <c r="D8446" t="str">
        <f t="shared" si="3157"/>
        <v>MCBH KANEOHE BAY</v>
      </c>
      <c r="E8446" t="str">
        <f t="shared" si="3155"/>
        <v>HI</v>
      </c>
      <c r="F8446" t="str">
        <f>T("968633062")</f>
        <v>968633062</v>
      </c>
      <c r="G8446" t="str">
        <f>T("WATERFRONT OPERATIONS")</f>
        <v>WATERFRONT OPERATIONS</v>
      </c>
      <c r="H8446" t="str">
        <f>T("BOX 63062")</f>
        <v>BOX 63062</v>
      </c>
      <c r="I8446" t="str">
        <f t="shared" si="3158"/>
        <v>MCBH KANEOHE BAY</v>
      </c>
      <c r="J8446" t="str">
        <f t="shared" si="3156"/>
        <v>HI</v>
      </c>
      <c r="K8446" t="str">
        <f>T("000000000000000000")</f>
        <v>000000000000000000</v>
      </c>
      <c r="L8446" t="str">
        <f>T("8082572941")</f>
        <v>8082572941</v>
      </c>
    </row>
    <row r="8447" spans="1:12" x14ac:dyDescent="0.35">
      <c r="A8447" t="str">
        <f t="shared" si="3154"/>
        <v>MCBH KANEOHE BAY SUP DEP</v>
      </c>
      <c r="B8447" t="str">
        <f>T("HUMAN RESOURCES OFFICE")</f>
        <v>HUMAN RESOURCES OFFICE</v>
      </c>
      <c r="C8447" t="str">
        <f>T("BOX 63071")</f>
        <v>BOX 63071</v>
      </c>
      <c r="D8447" t="str">
        <f t="shared" si="3157"/>
        <v>MCBH KANEOHE BAY</v>
      </c>
      <c r="E8447" t="str">
        <f t="shared" si="3155"/>
        <v>HI</v>
      </c>
      <c r="F8447" t="str">
        <f>T("968633071")</f>
        <v>968633071</v>
      </c>
      <c r="G8447" t="str">
        <f>T("HUMAN RESOURCES OFFICE")</f>
        <v>HUMAN RESOURCES OFFICE</v>
      </c>
      <c r="H8447" t="str">
        <f>T("BOX 63071")</f>
        <v>BOX 63071</v>
      </c>
      <c r="I8447" t="str">
        <f t="shared" si="3158"/>
        <v>MCBH KANEOHE BAY</v>
      </c>
      <c r="J8447" t="str">
        <f t="shared" si="3156"/>
        <v>HI</v>
      </c>
      <c r="K8447" t="str">
        <f>T("808-257-1353")</f>
        <v>808-257-1353</v>
      </c>
      <c r="L8447" t="str">
        <f>T("8082571376")</f>
        <v>8082571376</v>
      </c>
    </row>
    <row r="8448" spans="1:12" x14ac:dyDescent="0.35">
      <c r="A8448" t="str">
        <f t="shared" si="3154"/>
        <v>MCBH KANEOHE BAY SUP DEP</v>
      </c>
      <c r="B8448" t="str">
        <f>T("HUMAN RESOURCES OFFICE")</f>
        <v>HUMAN RESOURCES OFFICE</v>
      </c>
      <c r="C8448" t="str">
        <f>T("BOX 63071")</f>
        <v>BOX 63071</v>
      </c>
      <c r="D8448" t="str">
        <f t="shared" si="3157"/>
        <v>MCBH KANEOHE BAY</v>
      </c>
      <c r="E8448" t="str">
        <f t="shared" si="3155"/>
        <v>HI</v>
      </c>
      <c r="F8448" t="str">
        <f>T("968633071")</f>
        <v>968633071</v>
      </c>
      <c r="G8448" t="str">
        <f>T("HUMAN RESOURCES OFFICE")</f>
        <v>HUMAN RESOURCES OFFICE</v>
      </c>
      <c r="H8448" t="str">
        <f>T("BOX 63071")</f>
        <v>BOX 63071</v>
      </c>
      <c r="I8448" t="str">
        <f t="shared" si="3158"/>
        <v>MCBH KANEOHE BAY</v>
      </c>
      <c r="J8448" t="str">
        <f t="shared" si="3156"/>
        <v>HI</v>
      </c>
      <c r="K8448" t="str">
        <f>T("8082571353")</f>
        <v>8082571353</v>
      </c>
      <c r="L8448" t="str">
        <f>T("8082570731")</f>
        <v>8082570731</v>
      </c>
    </row>
    <row r="8449" spans="1:12" x14ac:dyDescent="0.35">
      <c r="A8449" t="str">
        <f t="shared" si="3154"/>
        <v>MCBH KANEOHE BAY SUP DEP</v>
      </c>
      <c r="B8449" t="str">
        <f>T("LFT MOTOR TRANSPORT DIV")</f>
        <v>LFT MOTOR TRANSPORT DIV</v>
      </c>
      <c r="C8449" t="str">
        <f>T("BOX 63082")</f>
        <v>BOX 63082</v>
      </c>
      <c r="D8449" t="str">
        <f>T("M C B H KANEOHE BAY")</f>
        <v>M C B H KANEOHE BAY</v>
      </c>
      <c r="E8449" t="str">
        <f t="shared" si="3155"/>
        <v>HI</v>
      </c>
      <c r="F8449" t="str">
        <f>T("968633082")</f>
        <v>968633082</v>
      </c>
      <c r="G8449" t="str">
        <f>T("LFT MOTOR TRANSPORT DIV")</f>
        <v>LFT MOTOR TRANSPORT DIV</v>
      </c>
      <c r="H8449" t="str">
        <f>T("BOX 63082")</f>
        <v>BOX 63082</v>
      </c>
      <c r="I8449" t="str">
        <f>T("M C B H KANEOHE BAY")</f>
        <v>M C B H KANEOHE BAY</v>
      </c>
      <c r="J8449" t="str">
        <f t="shared" si="3156"/>
        <v>HI</v>
      </c>
      <c r="K8449" t="str">
        <f>T("8082575866")</f>
        <v>8082575866</v>
      </c>
      <c r="L8449" t="str">
        <f>T("8082166244")</f>
        <v>8082166244</v>
      </c>
    </row>
    <row r="8450" spans="1:12" x14ac:dyDescent="0.35">
      <c r="A8450" t="str">
        <f t="shared" si="3154"/>
        <v>MCBH KANEOHE BAY SUP DEP</v>
      </c>
      <c r="B8450" t="str">
        <f>T("LFT MOTOR TRANSPORT DIV")</f>
        <v>LFT MOTOR TRANSPORT DIV</v>
      </c>
      <c r="C8450" t="str">
        <f>T("BOX 63082")</f>
        <v>BOX 63082</v>
      </c>
      <c r="D8450" t="str">
        <f>T("M C B H KANEOHE BAY")</f>
        <v>M C B H KANEOHE BAY</v>
      </c>
      <c r="E8450" t="str">
        <f t="shared" si="3155"/>
        <v>HI</v>
      </c>
      <c r="F8450" t="str">
        <f>T("968633082")</f>
        <v>968633082</v>
      </c>
      <c r="G8450" t="str">
        <f>T("LOGISTICS FACILITIES TRANSPORTATION")</f>
        <v>LOGISTICS FACILITIES TRANSPORTATION</v>
      </c>
      <c r="H8450" t="str">
        <f>T("BOX 63082")</f>
        <v>BOX 63082</v>
      </c>
      <c r="I8450" t="str">
        <f>T("M C B H KANEOHE BAY")</f>
        <v>M C B H KANEOHE BAY</v>
      </c>
      <c r="J8450" t="str">
        <f t="shared" si="3156"/>
        <v>HI</v>
      </c>
      <c r="K8450" t="str">
        <f>T("000000000000000000")</f>
        <v>000000000000000000</v>
      </c>
      <c r="L8450" t="str">
        <f>T("8082165073")</f>
        <v>8082165073</v>
      </c>
    </row>
    <row r="8451" spans="1:12" x14ac:dyDescent="0.35">
      <c r="A8451" t="str">
        <f t="shared" si="3154"/>
        <v>MCBH KANEOHE BAY SUP DEP</v>
      </c>
      <c r="B8451" t="str">
        <f>T("MCAS")</f>
        <v>MCAS</v>
      </c>
      <c r="C8451" t="str">
        <f>T("BOX 63061")</f>
        <v>BOX 63061</v>
      </c>
      <c r="D8451" t="str">
        <f>T("MCBH KANEOHE BAY")</f>
        <v>MCBH KANEOHE BAY</v>
      </c>
      <c r="E8451" t="str">
        <f t="shared" si="3155"/>
        <v>HI</v>
      </c>
      <c r="F8451" t="str">
        <f>T("968633061")</f>
        <v>968633061</v>
      </c>
      <c r="G8451" t="str">
        <f>T("MARINE CORPS AIR STATION")</f>
        <v>MARINE CORPS AIR STATION</v>
      </c>
      <c r="H8451" t="str">
        <f>T("BOX 63061")</f>
        <v>BOX 63061</v>
      </c>
      <c r="I8451" t="str">
        <f>T("MCBH KANEOHE BAY")</f>
        <v>MCBH KANEOHE BAY</v>
      </c>
      <c r="J8451" t="str">
        <f t="shared" si="3156"/>
        <v>HI</v>
      </c>
      <c r="K8451" t="str">
        <f>T("000000000000000000")</f>
        <v>000000000000000000</v>
      </c>
      <c r="L8451" t="str">
        <f>T("8082577066")</f>
        <v>8082577066</v>
      </c>
    </row>
    <row r="8452" spans="1:12" x14ac:dyDescent="0.35">
      <c r="A8452" t="str">
        <f t="shared" si="3154"/>
        <v>MCBH KANEOHE BAY SUP DEP</v>
      </c>
      <c r="B8452" t="str">
        <f>T("MCAS")</f>
        <v>MCAS</v>
      </c>
      <c r="C8452" t="str">
        <f>T("BOX 63061")</f>
        <v>BOX 63061</v>
      </c>
      <c r="D8452" t="str">
        <f>T("MCBH KANEOHE BAY")</f>
        <v>MCBH KANEOHE BAY</v>
      </c>
      <c r="E8452" t="str">
        <f t="shared" si="3155"/>
        <v>HI</v>
      </c>
      <c r="F8452" t="str">
        <f>T("968633061")</f>
        <v>968633061</v>
      </c>
      <c r="G8452" t="str">
        <f>T("MCAS")</f>
        <v>MCAS</v>
      </c>
      <c r="H8452" t="str">
        <f>T("BOX 63061")</f>
        <v>BOX 63061</v>
      </c>
      <c r="I8452" t="str">
        <f>T("MCBH KANEOHE BAY")</f>
        <v>MCBH KANEOHE BAY</v>
      </c>
      <c r="J8452" t="str">
        <f t="shared" si="3156"/>
        <v>HI</v>
      </c>
      <c r="K8452" t="str">
        <f>T("")</f>
        <v/>
      </c>
      <c r="L8452" t="str">
        <f>T("8082570765")</f>
        <v>8082570765</v>
      </c>
    </row>
    <row r="8453" spans="1:12" x14ac:dyDescent="0.35">
      <c r="A8453" t="str">
        <f t="shared" si="3154"/>
        <v>MCBH KANEOHE BAY SUP DEP</v>
      </c>
      <c r="B8453" t="str">
        <f>T("MCAS")</f>
        <v>MCAS</v>
      </c>
      <c r="C8453" t="str">
        <f>T("BOX 63061")</f>
        <v>BOX 63061</v>
      </c>
      <c r="D8453" t="str">
        <f>T("MCBH KANEOHE BAY")</f>
        <v>MCBH KANEOHE BAY</v>
      </c>
      <c r="E8453" t="str">
        <f t="shared" si="3155"/>
        <v>HI</v>
      </c>
      <c r="F8453" t="str">
        <f>T("968633061")</f>
        <v>968633061</v>
      </c>
      <c r="G8453" t="str">
        <f>T("MCAS SUPPLY")</f>
        <v>MCAS SUPPLY</v>
      </c>
      <c r="H8453" t="str">
        <f>T("BOX 63061")</f>
        <v>BOX 63061</v>
      </c>
      <c r="I8453" t="str">
        <f>T("MCBH KANEOHE BAY")</f>
        <v>MCBH KANEOHE BAY</v>
      </c>
      <c r="J8453" t="str">
        <f t="shared" si="3156"/>
        <v>HI</v>
      </c>
      <c r="K8453" t="str">
        <f>T("8082573397")</f>
        <v>8082573397</v>
      </c>
      <c r="L8453" t="str">
        <f>T("8082577066")</f>
        <v>8082577066</v>
      </c>
    </row>
    <row r="8454" spans="1:12" x14ac:dyDescent="0.35">
      <c r="A8454" t="str">
        <f t="shared" si="3154"/>
        <v>MCBH KANEOHE BAY SUP DEP</v>
      </c>
      <c r="B8454" t="str">
        <f>T("MCBH ANDERSON HALL")</f>
        <v>MCBH ANDERSON HALL</v>
      </c>
      <c r="C8454" t="str">
        <f t="shared" ref="C8454:C8459" si="3159">T("BOX 63062")</f>
        <v>BOX 63062</v>
      </c>
      <c r="D8454" t="str">
        <f>T("MCBH K BAY")</f>
        <v>MCBH K BAY</v>
      </c>
      <c r="E8454" t="str">
        <f t="shared" si="3155"/>
        <v>HI</v>
      </c>
      <c r="F8454" t="str">
        <f t="shared" ref="F8454:F8459" si="3160">T("968633062")</f>
        <v>968633062</v>
      </c>
      <c r="G8454" t="str">
        <f>T("ANDERSON HALL")</f>
        <v>ANDERSON HALL</v>
      </c>
      <c r="H8454" t="str">
        <f t="shared" ref="H8454:H8459" si="3161">T("BOX 63062")</f>
        <v>BOX 63062</v>
      </c>
      <c r="I8454" t="str">
        <f>T("MCBH KANEOHE BAY")</f>
        <v>MCBH KANEOHE BAY</v>
      </c>
      <c r="J8454" t="str">
        <f t="shared" si="3156"/>
        <v>HI</v>
      </c>
      <c r="K8454" t="str">
        <f>T("000000000000000000")</f>
        <v>000000000000000000</v>
      </c>
      <c r="L8454" t="str">
        <f>T("8082572079")</f>
        <v>8082572079</v>
      </c>
    </row>
    <row r="8455" spans="1:12" x14ac:dyDescent="0.35">
      <c r="A8455" t="str">
        <f t="shared" si="3154"/>
        <v>MCBH KANEOHE BAY SUP DEP</v>
      </c>
      <c r="B8455" t="str">
        <f>T("MCBH ANDERSON HALL")</f>
        <v>MCBH ANDERSON HALL</v>
      </c>
      <c r="C8455" t="str">
        <f t="shared" si="3159"/>
        <v>BOX 63062</v>
      </c>
      <c r="D8455" t="str">
        <f>T("MCBH K BAY")</f>
        <v>MCBH K BAY</v>
      </c>
      <c r="E8455" t="str">
        <f t="shared" si="3155"/>
        <v>HI</v>
      </c>
      <c r="F8455" t="str">
        <f t="shared" si="3160"/>
        <v>968633062</v>
      </c>
      <c r="G8455" t="str">
        <f>T("HEADQUARTERS BN")</f>
        <v>HEADQUARTERS BN</v>
      </c>
      <c r="H8455" t="str">
        <f t="shared" si="3161"/>
        <v>BOX 63062</v>
      </c>
      <c r="I8455" t="str">
        <f>T("MCBH KANEOHE BAY")</f>
        <v>MCBH KANEOHE BAY</v>
      </c>
      <c r="J8455" t="str">
        <f t="shared" si="3156"/>
        <v>HI</v>
      </c>
      <c r="K8455" t="str">
        <f>T("000000000000000000")</f>
        <v>000000000000000000</v>
      </c>
      <c r="L8455" t="str">
        <f>T("8082572079")</f>
        <v>8082572079</v>
      </c>
    </row>
    <row r="8456" spans="1:12" x14ac:dyDescent="0.35">
      <c r="A8456" t="str">
        <f t="shared" si="3154"/>
        <v>MCBH KANEOHE BAY SUP DEP</v>
      </c>
      <c r="B8456" t="str">
        <f>T("MCBH ANDERSON HALL")</f>
        <v>MCBH ANDERSON HALL</v>
      </c>
      <c r="C8456" t="str">
        <f t="shared" si="3159"/>
        <v>BOX 63062</v>
      </c>
      <c r="D8456" t="str">
        <f>T("MCBH K BAY")</f>
        <v>MCBH K BAY</v>
      </c>
      <c r="E8456" t="str">
        <f t="shared" si="3155"/>
        <v>HI</v>
      </c>
      <c r="F8456" t="str">
        <f t="shared" si="3160"/>
        <v>968633062</v>
      </c>
      <c r="G8456" t="str">
        <f>T("MCBH ANDERSON HALL")</f>
        <v>MCBH ANDERSON HALL</v>
      </c>
      <c r="H8456" t="str">
        <f t="shared" si="3161"/>
        <v>BOX 63062</v>
      </c>
      <c r="I8456" t="str">
        <f>T("MCBH K BAY")</f>
        <v>MCBH K BAY</v>
      </c>
      <c r="J8456" t="str">
        <f t="shared" si="3156"/>
        <v>HI</v>
      </c>
      <c r="K8456" t="str">
        <f>T("8082571070")</f>
        <v>8082571070</v>
      </c>
      <c r="L8456" t="str">
        <f>T("8082573509")</f>
        <v>8082573509</v>
      </c>
    </row>
    <row r="8457" spans="1:12" x14ac:dyDescent="0.35">
      <c r="A8457" t="str">
        <f t="shared" si="3154"/>
        <v>MCBH KANEOHE BAY SUP DEP</v>
      </c>
      <c r="B8457" t="str">
        <f>T("MCBH EOD")</f>
        <v>MCBH EOD</v>
      </c>
      <c r="C8457" t="str">
        <f t="shared" si="3159"/>
        <v>BOX 63062</v>
      </c>
      <c r="D8457" t="str">
        <f>T("MCBH KANEOHE BAY")</f>
        <v>MCBH KANEOHE BAY</v>
      </c>
      <c r="E8457" t="str">
        <f t="shared" si="3155"/>
        <v>HI</v>
      </c>
      <c r="F8457" t="str">
        <f t="shared" si="3160"/>
        <v>968633062</v>
      </c>
      <c r="G8457" t="str">
        <f>T("EXPLOSIVE ORDNANCE DISPOSAL")</f>
        <v>EXPLOSIVE ORDNANCE DISPOSAL</v>
      </c>
      <c r="H8457" t="str">
        <f t="shared" si="3161"/>
        <v>BOX 63062</v>
      </c>
      <c r="I8457" t="str">
        <f>T("MCBH KANEOHE BAY")</f>
        <v>MCBH KANEOHE BAY</v>
      </c>
      <c r="J8457" t="str">
        <f t="shared" si="3156"/>
        <v>HI</v>
      </c>
      <c r="K8457" t="str">
        <f>T("000000000000000000")</f>
        <v>000000000000000000</v>
      </c>
      <c r="L8457" t="str">
        <f>T("8082577112")</f>
        <v>8082577112</v>
      </c>
    </row>
    <row r="8458" spans="1:12" x14ac:dyDescent="0.35">
      <c r="A8458" t="str">
        <f t="shared" si="3154"/>
        <v>MCBH KANEOHE BAY SUP DEP</v>
      </c>
      <c r="B8458" t="str">
        <f>T("MCBH EOD")</f>
        <v>MCBH EOD</v>
      </c>
      <c r="C8458" t="str">
        <f t="shared" si="3159"/>
        <v>BOX 63062</v>
      </c>
      <c r="D8458" t="str">
        <f>T("MCBH KANEOHE BAY")</f>
        <v>MCBH KANEOHE BAY</v>
      </c>
      <c r="E8458" t="str">
        <f t="shared" si="3155"/>
        <v>HI</v>
      </c>
      <c r="F8458" t="str">
        <f t="shared" si="3160"/>
        <v>968633062</v>
      </c>
      <c r="G8458" t="str">
        <f>T("HQBN EXPLOSIVE ORDNANCE DISPOSAL")</f>
        <v>HQBN EXPLOSIVE ORDNANCE DISPOSAL</v>
      </c>
      <c r="H8458" t="str">
        <f t="shared" si="3161"/>
        <v>BOX 63062</v>
      </c>
      <c r="I8458" t="str">
        <f>T("MCBH KANEOHE BAY")</f>
        <v>MCBH KANEOHE BAY</v>
      </c>
      <c r="J8458" t="str">
        <f t="shared" si="3156"/>
        <v>HI</v>
      </c>
      <c r="K8458" t="str">
        <f>T("000000000000000000")</f>
        <v>000000000000000000</v>
      </c>
      <c r="L8458" t="str">
        <f>T("8082572553")</f>
        <v>8082572553</v>
      </c>
    </row>
    <row r="8459" spans="1:12" x14ac:dyDescent="0.35">
      <c r="A8459" t="str">
        <f t="shared" si="3154"/>
        <v>MCBH KANEOHE BAY SUP DEP</v>
      </c>
      <c r="B8459" t="str">
        <f>T("MCBH EOD")</f>
        <v>MCBH EOD</v>
      </c>
      <c r="C8459" t="str">
        <f t="shared" si="3159"/>
        <v>BOX 63062</v>
      </c>
      <c r="D8459" t="str">
        <f>T("MCBH KANEOHE BAY")</f>
        <v>MCBH KANEOHE BAY</v>
      </c>
      <c r="E8459" t="str">
        <f t="shared" si="3155"/>
        <v>HI</v>
      </c>
      <c r="F8459" t="str">
        <f t="shared" si="3160"/>
        <v>968633062</v>
      </c>
      <c r="G8459" t="str">
        <f>T("MCBH EOD")</f>
        <v>MCBH EOD</v>
      </c>
      <c r="H8459" t="str">
        <f t="shared" si="3161"/>
        <v>BOX 63062</v>
      </c>
      <c r="I8459" t="str">
        <f>T("MCBH KANEOHE BAY")</f>
        <v>MCBH KANEOHE BAY</v>
      </c>
      <c r="J8459" t="str">
        <f t="shared" si="3156"/>
        <v>HI</v>
      </c>
      <c r="K8459" t="str">
        <f>T("")</f>
        <v/>
      </c>
      <c r="L8459" t="str">
        <f>T("8082572555")</f>
        <v>8082572555</v>
      </c>
    </row>
    <row r="8460" spans="1:12" x14ac:dyDescent="0.35">
      <c r="A8460" t="str">
        <f t="shared" si="3154"/>
        <v>MCBH KANEOHE BAY SUP DEP</v>
      </c>
      <c r="B8460" t="str">
        <f>T("MCBH FACILITIES DEPARTMENT")</f>
        <v>MCBH FACILITIES DEPARTMENT</v>
      </c>
      <c r="C8460" t="str">
        <f>T("BOX 64122 BLDG 3B")</f>
        <v>BOX 64122 BLDG 3B</v>
      </c>
      <c r="D8460" t="str">
        <f>T("CAMP H M SMITH")</f>
        <v>CAMP H M SMITH</v>
      </c>
      <c r="E8460" t="str">
        <f t="shared" si="3155"/>
        <v>HI</v>
      </c>
      <c r="F8460" t="str">
        <f>T("968614122")</f>
        <v>968614122</v>
      </c>
      <c r="G8460" t="str">
        <f>T("MCBH FACILITIES DEPARTMENT")</f>
        <v>MCBH FACILITIES DEPARTMENT</v>
      </c>
      <c r="H8460" t="str">
        <f>T("BOX 64122 BLDG 3B")</f>
        <v>BOX 64122 BLDG 3B</v>
      </c>
      <c r="I8460" t="str">
        <f>T("CAMP H M SMITH")</f>
        <v>CAMP H M SMITH</v>
      </c>
      <c r="J8460" t="str">
        <f t="shared" si="3156"/>
        <v>HI</v>
      </c>
      <c r="K8460" t="str">
        <f>T("")</f>
        <v/>
      </c>
      <c r="L8460" t="str">
        <f>T("8083682637")</f>
        <v>8083682637</v>
      </c>
    </row>
    <row r="8461" spans="1:12" x14ac:dyDescent="0.35">
      <c r="A8461" t="str">
        <f t="shared" si="3154"/>
        <v>MCBH KANEOHE BAY SUP DEP</v>
      </c>
      <c r="B8461" t="str">
        <f>T("MCBH FACILITIES DEPARTMENT")</f>
        <v>MCBH FACILITIES DEPARTMENT</v>
      </c>
      <c r="C8461" t="str">
        <f>T("BOX 64122 BLDG 3B")</f>
        <v>BOX 64122 BLDG 3B</v>
      </c>
      <c r="D8461" t="str">
        <f>T("CAMP H M SMITH")</f>
        <v>CAMP H M SMITH</v>
      </c>
      <c r="E8461" t="str">
        <f t="shared" si="3155"/>
        <v>HI</v>
      </c>
      <c r="F8461" t="str">
        <f>T("968614122")</f>
        <v>968614122</v>
      </c>
      <c r="G8461" t="str">
        <f>T("MCBH FACILITIES DEPARTMENT")</f>
        <v>MCBH FACILITIES DEPARTMENT</v>
      </c>
      <c r="H8461" t="str">
        <f>T("BOX 64122 BLDG 3B")</f>
        <v>BOX 64122 BLDG 3B</v>
      </c>
      <c r="I8461" t="str">
        <f>T("CAMP H M SMITH")</f>
        <v>CAMP H M SMITH</v>
      </c>
      <c r="J8461" t="str">
        <f t="shared" si="3156"/>
        <v>HI</v>
      </c>
      <c r="K8461" t="str">
        <f>T("8084778675")</f>
        <v>8084778675</v>
      </c>
      <c r="L8461" t="str">
        <f>T("8084778806")</f>
        <v>8084778806</v>
      </c>
    </row>
    <row r="8462" spans="1:12" x14ac:dyDescent="0.35">
      <c r="A8462" t="str">
        <f t="shared" ref="A8462:A8484" si="3162">T("MCBH KANEOHE BAY SUP DEP")</f>
        <v>MCBH KANEOHE BAY SUP DEP</v>
      </c>
      <c r="B8462" t="str">
        <f>T("MCBH FACILITIES DEPT")</f>
        <v>MCBH FACILITIES DEPT</v>
      </c>
      <c r="C8462" t="str">
        <f>T("BOX 64122")</f>
        <v>BOX 64122</v>
      </c>
      <c r="D8462" t="str">
        <f>T("CAMP H M SMITH")</f>
        <v>CAMP H M SMITH</v>
      </c>
      <c r="E8462" t="str">
        <f t="shared" ref="E8462:E8484" si="3163">T("HI")</f>
        <v>HI</v>
      </c>
      <c r="F8462" t="str">
        <f>T("968614122")</f>
        <v>968614122</v>
      </c>
      <c r="G8462" t="str">
        <f>T("FACILITIES DEPARTMENT")</f>
        <v>FACILITIES DEPARTMENT</v>
      </c>
      <c r="H8462" t="str">
        <f>T("BOX 64122")</f>
        <v>BOX 64122</v>
      </c>
      <c r="I8462" t="str">
        <f>T("CAMP H M SMITH")</f>
        <v>CAMP H M SMITH</v>
      </c>
      <c r="J8462" t="str">
        <f t="shared" ref="J8462:J8484" si="3164">T("HI")</f>
        <v>HI</v>
      </c>
      <c r="K8462" t="str">
        <f>T("8084778675")</f>
        <v>8084778675</v>
      </c>
      <c r="L8462" t="str">
        <f>T("8084778806")</f>
        <v>8084778806</v>
      </c>
    </row>
    <row r="8463" spans="1:12" x14ac:dyDescent="0.35">
      <c r="A8463" t="str">
        <f t="shared" si="3162"/>
        <v>MCBH KANEOHE BAY SUP DEP</v>
      </c>
      <c r="B8463" t="str">
        <f>T("MCBH FACILITIES DEPT")</f>
        <v>MCBH FACILITIES DEPT</v>
      </c>
      <c r="C8463" t="str">
        <f>T("BOX 64122")</f>
        <v>BOX 64122</v>
      </c>
      <c r="D8463" t="str">
        <f>T("CAMP H M SMITH")</f>
        <v>CAMP H M SMITH</v>
      </c>
      <c r="E8463" t="str">
        <f t="shared" si="3163"/>
        <v>HI</v>
      </c>
      <c r="F8463" t="str">
        <f>T("968614122")</f>
        <v>968614122</v>
      </c>
      <c r="G8463" t="str">
        <f>T("MCBH FACILITIES DEPT")</f>
        <v>MCBH FACILITIES DEPT</v>
      </c>
      <c r="H8463" t="str">
        <f>T("BOX 64122")</f>
        <v>BOX 64122</v>
      </c>
      <c r="I8463" t="str">
        <f>T("CAMP H M SMITH")</f>
        <v>CAMP H M SMITH</v>
      </c>
      <c r="J8463" t="str">
        <f t="shared" si="3164"/>
        <v>HI</v>
      </c>
      <c r="K8463" t="str">
        <f>T("")</f>
        <v/>
      </c>
      <c r="L8463" t="str">
        <f>T("8083682637")</f>
        <v>8083682637</v>
      </c>
    </row>
    <row r="8464" spans="1:12" x14ac:dyDescent="0.35">
      <c r="A8464" t="str">
        <f t="shared" si="3162"/>
        <v>MCBH KANEOHE BAY SUP DEP</v>
      </c>
      <c r="B8464" t="str">
        <f>T("MCBH HAWAII SSEC")</f>
        <v>MCBH HAWAII SSEC</v>
      </c>
      <c r="C8464" t="str">
        <f t="shared" ref="C8464:C8474" si="3165">T("BOX 63002")</f>
        <v>BOX 63002</v>
      </c>
      <c r="D8464" t="str">
        <f>T("MCBH KANEOHE BAY")</f>
        <v>MCBH KANEOHE BAY</v>
      </c>
      <c r="E8464" t="str">
        <f t="shared" si="3163"/>
        <v>HI</v>
      </c>
      <c r="F8464" t="str">
        <f t="shared" ref="F8464:F8474" si="3166">T("968633002")</f>
        <v>968633002</v>
      </c>
      <c r="G8464" t="str">
        <f>T("MCB HAWAII SSEC")</f>
        <v>MCB HAWAII SSEC</v>
      </c>
      <c r="H8464" t="str">
        <f>T("BOX 63002")</f>
        <v>BOX 63002</v>
      </c>
      <c r="I8464" t="str">
        <f>T("MCBH KANEOHE BAY")</f>
        <v>MCBH KANEOHE BAY</v>
      </c>
      <c r="J8464" t="str">
        <f t="shared" si="3164"/>
        <v>HI</v>
      </c>
      <c r="K8464" t="str">
        <f>T("000000000000000000")</f>
        <v>000000000000000000</v>
      </c>
      <c r="L8464" t="str">
        <f>T("8082578863")</f>
        <v>8082578863</v>
      </c>
    </row>
    <row r="8465" spans="1:12" x14ac:dyDescent="0.35">
      <c r="A8465" t="str">
        <f t="shared" si="3162"/>
        <v>MCBH KANEOHE BAY SUP DEP</v>
      </c>
      <c r="B8465" t="str">
        <f>T("MCBH HAWAII SSEC")</f>
        <v>MCBH HAWAII SSEC</v>
      </c>
      <c r="C8465" t="str">
        <f t="shared" si="3165"/>
        <v>BOX 63002</v>
      </c>
      <c r="D8465" t="str">
        <f>T("MCBH KANEOHE BAY")</f>
        <v>MCBH KANEOHE BAY</v>
      </c>
      <c r="E8465" t="str">
        <f t="shared" si="3163"/>
        <v>HI</v>
      </c>
      <c r="F8465" t="str">
        <f t="shared" si="3166"/>
        <v>968633002</v>
      </c>
      <c r="G8465" t="str">
        <f>T("MCBH HAWAII SSEC")</f>
        <v>MCBH HAWAII SSEC</v>
      </c>
      <c r="H8465" t="str">
        <f>T("BOX 63002")</f>
        <v>BOX 63002</v>
      </c>
      <c r="I8465" t="str">
        <f>T("MCBH KANEOHE BAY")</f>
        <v>MCBH KANEOHE BAY</v>
      </c>
      <c r="J8465" t="str">
        <f t="shared" si="3164"/>
        <v>HI</v>
      </c>
      <c r="K8465" t="str">
        <f>T("8082578785")</f>
        <v>8082578785</v>
      </c>
      <c r="L8465" t="str">
        <f>T("8082578877")</f>
        <v>8082578877</v>
      </c>
    </row>
    <row r="8466" spans="1:12" x14ac:dyDescent="0.35">
      <c r="A8466" t="str">
        <f t="shared" si="3162"/>
        <v>MCBH KANEOHE BAY SUP DEP</v>
      </c>
      <c r="B8466" t="str">
        <f>T("MCBH MP&amp;A")</f>
        <v>MCBH MP&amp;A</v>
      </c>
      <c r="C8466" t="str">
        <f t="shared" si="3165"/>
        <v>BOX 63002</v>
      </c>
      <c r="D8466" t="str">
        <f>T("MCBH K BAY")</f>
        <v>MCBH K BAY</v>
      </c>
      <c r="E8466" t="str">
        <f t="shared" si="3163"/>
        <v>HI</v>
      </c>
      <c r="F8466" t="str">
        <f t="shared" si="3166"/>
        <v>968633002</v>
      </c>
      <c r="G8466" t="str">
        <f>T("HQBN POST OFFICE")</f>
        <v>HQBN POST OFFICE</v>
      </c>
      <c r="H8466" t="str">
        <f>T("BOX 63000")</f>
        <v>BOX 63000</v>
      </c>
      <c r="I8466" t="str">
        <f>T("MCBH KANEOHE BAY")</f>
        <v>MCBH KANEOHE BAY</v>
      </c>
      <c r="J8466" t="str">
        <f t="shared" si="3164"/>
        <v>HI</v>
      </c>
      <c r="K8466" t="str">
        <f>T("8082570574")</f>
        <v>8082570574</v>
      </c>
      <c r="L8466" t="str">
        <f>T("8082572008")</f>
        <v>8082572008</v>
      </c>
    </row>
    <row r="8467" spans="1:12" x14ac:dyDescent="0.35">
      <c r="A8467" t="str">
        <f t="shared" si="3162"/>
        <v>MCBH KANEOHE BAY SUP DEP</v>
      </c>
      <c r="B8467" t="str">
        <f>T("MCBH MP&amp;A")</f>
        <v>MCBH MP&amp;A</v>
      </c>
      <c r="C8467" t="str">
        <f t="shared" si="3165"/>
        <v>BOX 63002</v>
      </c>
      <c r="D8467" t="str">
        <f>T("MCBH K BAY")</f>
        <v>MCBH K BAY</v>
      </c>
      <c r="E8467" t="str">
        <f t="shared" si="3163"/>
        <v>HI</v>
      </c>
      <c r="F8467" t="str">
        <f t="shared" si="3166"/>
        <v>968633002</v>
      </c>
      <c r="G8467" t="str">
        <f>T("IPAC")</f>
        <v>IPAC</v>
      </c>
      <c r="H8467" t="str">
        <f>T("BOX 63062")</f>
        <v>BOX 63062</v>
      </c>
      <c r="I8467" t="str">
        <f>T("MCBH KANEOHE BAY")</f>
        <v>MCBH KANEOHE BAY</v>
      </c>
      <c r="J8467" t="str">
        <f t="shared" si="3164"/>
        <v>HI</v>
      </c>
      <c r="K8467" t="str">
        <f>T("000000000000000000")</f>
        <v>000000000000000000</v>
      </c>
      <c r="L8467" t="str">
        <f>T("8082575184")</f>
        <v>8082575184</v>
      </c>
    </row>
    <row r="8468" spans="1:12" x14ac:dyDescent="0.35">
      <c r="A8468" t="str">
        <f t="shared" si="3162"/>
        <v>MCBH KANEOHE BAY SUP DEP</v>
      </c>
      <c r="B8468" t="str">
        <f>T("MCBH MP&amp;A")</f>
        <v>MCBH MP&amp;A</v>
      </c>
      <c r="C8468" t="str">
        <f t="shared" si="3165"/>
        <v>BOX 63002</v>
      </c>
      <c r="D8468" t="str">
        <f>T("MCBH K BAY")</f>
        <v>MCBH K BAY</v>
      </c>
      <c r="E8468" t="str">
        <f t="shared" si="3163"/>
        <v>HI</v>
      </c>
      <c r="F8468" t="str">
        <f t="shared" si="3166"/>
        <v>968633002</v>
      </c>
      <c r="G8468" t="str">
        <f>T("MCBH MP&amp;A")</f>
        <v>MCBH MP&amp;A</v>
      </c>
      <c r="H8468" t="str">
        <f>T("BOX 63002")</f>
        <v>BOX 63002</v>
      </c>
      <c r="I8468" t="str">
        <f>T("MCBH K BAY")</f>
        <v>MCBH K BAY</v>
      </c>
      <c r="J8468" t="str">
        <f t="shared" si="3164"/>
        <v>HI</v>
      </c>
      <c r="K8468" t="str">
        <f>T("8082578785")</f>
        <v>8082578785</v>
      </c>
      <c r="L8468" t="str">
        <f>T("8082578858")</f>
        <v>8082578858</v>
      </c>
    </row>
    <row r="8469" spans="1:12" x14ac:dyDescent="0.35">
      <c r="A8469" t="str">
        <f t="shared" si="3162"/>
        <v>MCBH KANEOHE BAY SUP DEP</v>
      </c>
      <c r="B8469" t="str">
        <f>T("MCBH MP&amp;A")</f>
        <v>MCBH MP&amp;A</v>
      </c>
      <c r="C8469" t="str">
        <f t="shared" si="3165"/>
        <v>BOX 63002</v>
      </c>
      <c r="D8469" t="str">
        <f>T("MCBH K BAY")</f>
        <v>MCBH K BAY</v>
      </c>
      <c r="E8469" t="str">
        <f t="shared" si="3163"/>
        <v>HI</v>
      </c>
      <c r="F8469" t="str">
        <f t="shared" si="3166"/>
        <v>968633002</v>
      </c>
      <c r="G8469" t="str">
        <f>T("MCBH MPA")</f>
        <v>MCBH MPA</v>
      </c>
      <c r="H8469" t="str">
        <f>T("BOX 63002")</f>
        <v>BOX 63002</v>
      </c>
      <c r="I8469" t="str">
        <f>T("MCBH KANEOHE BAY")</f>
        <v>MCBH KANEOHE BAY</v>
      </c>
      <c r="J8469" t="str">
        <f t="shared" si="3164"/>
        <v>HI</v>
      </c>
      <c r="K8469" t="str">
        <f>T("000000000000000000")</f>
        <v>000000000000000000</v>
      </c>
      <c r="L8469" t="str">
        <f>T("8082577722")</f>
        <v>8082577722</v>
      </c>
    </row>
    <row r="8470" spans="1:12" x14ac:dyDescent="0.35">
      <c r="A8470" t="str">
        <f t="shared" si="3162"/>
        <v>MCBH KANEOHE BAY SUP DEP</v>
      </c>
      <c r="B8470" t="str">
        <f>T("MCBH RANG CONTROL O&amp;T")</f>
        <v>MCBH RANG CONTROL O&amp;T</v>
      </c>
      <c r="C8470" t="str">
        <f t="shared" si="3165"/>
        <v>BOX 63002</v>
      </c>
      <c r="D8470" t="str">
        <f>T("MCBH KANEOHE BAY")</f>
        <v>MCBH KANEOHE BAY</v>
      </c>
      <c r="E8470" t="str">
        <f t="shared" si="3163"/>
        <v>HI</v>
      </c>
      <c r="F8470" t="str">
        <f t="shared" si="3166"/>
        <v>968633002</v>
      </c>
      <c r="G8470" t="str">
        <f>T("HQBN/PRTF")</f>
        <v>HQBN/PRTF</v>
      </c>
      <c r="H8470" t="str">
        <f>T("1 PUULOA RIFLE RANGE RD")</f>
        <v>1 PUULOA RIFLE RANGE RD</v>
      </c>
      <c r="I8470" t="str">
        <f>T("EWA BEACH")</f>
        <v>EWA BEACH</v>
      </c>
      <c r="J8470" t="str">
        <f t="shared" si="3164"/>
        <v>HI</v>
      </c>
      <c r="K8470" t="str">
        <f>T("000000000000000000")</f>
        <v>000000000000000000</v>
      </c>
      <c r="L8470" t="str">
        <f>T("8084748057")</f>
        <v>8084748057</v>
      </c>
    </row>
    <row r="8471" spans="1:12" x14ac:dyDescent="0.35">
      <c r="A8471" t="str">
        <f t="shared" si="3162"/>
        <v>MCBH KANEOHE BAY SUP DEP</v>
      </c>
      <c r="B8471" t="str">
        <f>T("MCBH RANG CONTROL O&amp;T")</f>
        <v>MCBH RANG CONTROL O&amp;T</v>
      </c>
      <c r="C8471" t="str">
        <f t="shared" si="3165"/>
        <v>BOX 63002</v>
      </c>
      <c r="D8471" t="str">
        <f>T("MCBH KANEOHE BAY")</f>
        <v>MCBH KANEOHE BAY</v>
      </c>
      <c r="E8471" t="str">
        <f t="shared" si="3163"/>
        <v>HI</v>
      </c>
      <c r="F8471" t="str">
        <f t="shared" si="3166"/>
        <v>968633002</v>
      </c>
      <c r="G8471" t="str">
        <f>T("MCBH RANG CONTROL O&amp;T")</f>
        <v>MCBH RANG CONTROL O&amp;T</v>
      </c>
      <c r="H8471" t="str">
        <f>T("BOX 63002")</f>
        <v>BOX 63002</v>
      </c>
      <c r="I8471" t="str">
        <f>T("MCBH KANEOHE BAY")</f>
        <v>MCBH KANEOHE BAY</v>
      </c>
      <c r="J8471" t="str">
        <f t="shared" si="3164"/>
        <v>HI</v>
      </c>
      <c r="K8471" t="str">
        <f>T("")</f>
        <v/>
      </c>
      <c r="L8471" t="str">
        <f>T("8082572067")</f>
        <v>8082572067</v>
      </c>
    </row>
    <row r="8472" spans="1:12" x14ac:dyDescent="0.35">
      <c r="A8472" t="str">
        <f t="shared" si="3162"/>
        <v>MCBH KANEOHE BAY SUP DEP</v>
      </c>
      <c r="B8472" t="str">
        <f>T("MCBH RANG CONTROL O&amp;T")</f>
        <v>MCBH RANG CONTROL O&amp;T</v>
      </c>
      <c r="C8472" t="str">
        <f t="shared" si="3165"/>
        <v>BOX 63002</v>
      </c>
      <c r="D8472" t="str">
        <f>T("MCBH KANEOHE BAY")</f>
        <v>MCBH KANEOHE BAY</v>
      </c>
      <c r="E8472" t="str">
        <f t="shared" si="3163"/>
        <v>HI</v>
      </c>
      <c r="F8472" t="str">
        <f t="shared" si="3166"/>
        <v>968633002</v>
      </c>
      <c r="G8472" t="str">
        <f>T("PU ULOA RANGE TRAINING FACILITY")</f>
        <v>PU ULOA RANGE TRAINING FACILITY</v>
      </c>
      <c r="H8472" t="str">
        <f>T("1 PU ULOA RIFLE RANGE RD")</f>
        <v>1 PU ULOA RIFLE RANGE RD</v>
      </c>
      <c r="I8472" t="str">
        <f>T("EWA BEACH")</f>
        <v>EWA BEACH</v>
      </c>
      <c r="J8472" t="str">
        <f t="shared" si="3164"/>
        <v>HI</v>
      </c>
      <c r="K8472" t="str">
        <f>T("000000000000000000")</f>
        <v>000000000000000000</v>
      </c>
      <c r="L8472" t="str">
        <f>T("8082162818")</f>
        <v>8082162818</v>
      </c>
    </row>
    <row r="8473" spans="1:12" x14ac:dyDescent="0.35">
      <c r="A8473" t="str">
        <f t="shared" si="3162"/>
        <v>MCBH KANEOHE BAY SUP DEP</v>
      </c>
      <c r="B8473" t="str">
        <f>T("MCBH RANGE CONTROL")</f>
        <v>MCBH RANGE CONTROL</v>
      </c>
      <c r="C8473" t="str">
        <f t="shared" si="3165"/>
        <v>BOX 63002</v>
      </c>
      <c r="D8473" t="str">
        <f>T("MCBH K BAY")</f>
        <v>MCBH K BAY</v>
      </c>
      <c r="E8473" t="str">
        <f t="shared" si="3163"/>
        <v>HI</v>
      </c>
      <c r="F8473" t="str">
        <f t="shared" si="3166"/>
        <v>968633002</v>
      </c>
      <c r="G8473" t="str">
        <f>T("HQBN G-3/TRAM KBAY RTF")</f>
        <v>HQBN G-3/TRAM KBAY RTF</v>
      </c>
      <c r="H8473" t="str">
        <f>T("BOX 63063")</f>
        <v>BOX 63063</v>
      </c>
      <c r="I8473" t="str">
        <f>T("MCBH KANEOHE BAY")</f>
        <v>MCBH KANEOHE BAY</v>
      </c>
      <c r="J8473" t="str">
        <f t="shared" si="3164"/>
        <v>HI</v>
      </c>
      <c r="K8473" t="str">
        <f>T("000000000000000000")</f>
        <v>000000000000000000</v>
      </c>
      <c r="L8473" t="str">
        <f>T("8082573180")</f>
        <v>8082573180</v>
      </c>
    </row>
    <row r="8474" spans="1:12" x14ac:dyDescent="0.35">
      <c r="A8474" t="str">
        <f t="shared" si="3162"/>
        <v>MCBH KANEOHE BAY SUP DEP</v>
      </c>
      <c r="B8474" t="str">
        <f>T("MCBH RANGE CONTROL")</f>
        <v>MCBH RANGE CONTROL</v>
      </c>
      <c r="C8474" t="str">
        <f t="shared" si="3165"/>
        <v>BOX 63002</v>
      </c>
      <c r="D8474" t="str">
        <f>T("MCBH K BAY")</f>
        <v>MCBH K BAY</v>
      </c>
      <c r="E8474" t="str">
        <f t="shared" si="3163"/>
        <v>HI</v>
      </c>
      <c r="F8474" t="str">
        <f t="shared" si="3166"/>
        <v>968633002</v>
      </c>
      <c r="G8474" t="str">
        <f>T("MCBH RANGE CONTROL")</f>
        <v>MCBH RANGE CONTROL</v>
      </c>
      <c r="H8474" t="str">
        <f>T("BOX 63002")</f>
        <v>BOX 63002</v>
      </c>
      <c r="I8474" t="str">
        <f>T("MCBH K BAY")</f>
        <v>MCBH K BAY</v>
      </c>
      <c r="J8474" t="str">
        <f t="shared" si="3164"/>
        <v>HI</v>
      </c>
      <c r="K8474" t="str">
        <f>T("")</f>
        <v/>
      </c>
      <c r="L8474" t="str">
        <f>T("8082572067")</f>
        <v>8082572067</v>
      </c>
    </row>
    <row r="8475" spans="1:12" x14ac:dyDescent="0.35">
      <c r="A8475" t="str">
        <f t="shared" si="3162"/>
        <v>MCBH KANEOHE BAY SUP DEP</v>
      </c>
      <c r="B8475" t="str">
        <f>T("MILITARY POLICE DEPARTMENT")</f>
        <v>MILITARY POLICE DEPARTMENT</v>
      </c>
      <c r="C8475" t="str">
        <f>T("BOX 63062")</f>
        <v>BOX 63062</v>
      </c>
      <c r="D8475" t="str">
        <f>T("M C B H KANEOHE BAY")</f>
        <v>M C B H KANEOHE BAY</v>
      </c>
      <c r="E8475" t="str">
        <f t="shared" si="3163"/>
        <v>HI</v>
      </c>
      <c r="F8475" t="str">
        <f>T("968633062")</f>
        <v>968633062</v>
      </c>
      <c r="G8475" t="str">
        <f>T("HQBN PMO")</f>
        <v>HQBN PMO</v>
      </c>
      <c r="H8475" t="str">
        <f>T("BOX 63002")</f>
        <v>BOX 63002</v>
      </c>
      <c r="I8475" t="str">
        <f>T("MCBH KANEOHE BAY")</f>
        <v>MCBH KANEOHE BAY</v>
      </c>
      <c r="J8475" t="str">
        <f t="shared" si="3164"/>
        <v>HI</v>
      </c>
      <c r="K8475" t="str">
        <f>T("000000000000000000")</f>
        <v>000000000000000000</v>
      </c>
      <c r="L8475" t="str">
        <f>T("8082570813")</f>
        <v>8082570813</v>
      </c>
    </row>
    <row r="8476" spans="1:12" x14ac:dyDescent="0.35">
      <c r="A8476" t="str">
        <f t="shared" si="3162"/>
        <v>MCBH KANEOHE BAY SUP DEP</v>
      </c>
      <c r="B8476" t="str">
        <f>T("MILITARY POLICE DEPARTMENT")</f>
        <v>MILITARY POLICE DEPARTMENT</v>
      </c>
      <c r="C8476" t="str">
        <f>T("BOX 63062")</f>
        <v>BOX 63062</v>
      </c>
      <c r="D8476" t="str">
        <f>T("M C B H KANEOHE BAY")</f>
        <v>M C B H KANEOHE BAY</v>
      </c>
      <c r="E8476" t="str">
        <f t="shared" si="3163"/>
        <v>HI</v>
      </c>
      <c r="F8476" t="str">
        <f>T("968633062")</f>
        <v>968633062</v>
      </c>
      <c r="G8476" t="str">
        <f>T("MILITARY POLICE DEPARTMENT")</f>
        <v>MILITARY POLICE DEPARTMENT</v>
      </c>
      <c r="H8476" t="str">
        <f>T("BOX 63062")</f>
        <v>BOX 63062</v>
      </c>
      <c r="I8476" t="str">
        <f>T("M C B H KANEOHE BAY")</f>
        <v>M C B H KANEOHE BAY</v>
      </c>
      <c r="J8476" t="str">
        <f t="shared" si="3164"/>
        <v>HI</v>
      </c>
      <c r="K8476" t="str">
        <f>T("8082571439")</f>
        <v>8082571439</v>
      </c>
      <c r="L8476" t="str">
        <f>T("8082576971")</f>
        <v>8082576971</v>
      </c>
    </row>
    <row r="8477" spans="1:12" x14ac:dyDescent="0.35">
      <c r="A8477" t="str">
        <f t="shared" si="3162"/>
        <v>MCBH KANEOHE BAY SUP DEP</v>
      </c>
      <c r="B8477" t="str">
        <f>T("MILITARY POLICE DEPARTMENT")</f>
        <v>MILITARY POLICE DEPARTMENT</v>
      </c>
      <c r="C8477" t="str">
        <f>T("BOX 63062")</f>
        <v>BOX 63062</v>
      </c>
      <c r="D8477" t="str">
        <f>T("M C B H KANEOHE BAY")</f>
        <v>M C B H KANEOHE BAY</v>
      </c>
      <c r="E8477" t="str">
        <f t="shared" si="3163"/>
        <v>HI</v>
      </c>
      <c r="F8477" t="str">
        <f>T("968633062")</f>
        <v>968633062</v>
      </c>
      <c r="G8477" t="str">
        <f>T("PMO")</f>
        <v>PMO</v>
      </c>
      <c r="H8477" t="str">
        <f>T("BOX 63062")</f>
        <v>BOX 63062</v>
      </c>
      <c r="I8477" t="str">
        <f t="shared" ref="I8477:I8483" si="3167">T("MCBH KANEOHE BAY")</f>
        <v>MCBH KANEOHE BAY</v>
      </c>
      <c r="J8477" t="str">
        <f t="shared" si="3164"/>
        <v>HI</v>
      </c>
      <c r="K8477" t="str">
        <f>T("000000000000000000")</f>
        <v>000000000000000000</v>
      </c>
      <c r="L8477" t="str">
        <f>T("8082576991")</f>
        <v>8082576991</v>
      </c>
    </row>
    <row r="8478" spans="1:12" x14ac:dyDescent="0.35">
      <c r="A8478" t="str">
        <f t="shared" si="3162"/>
        <v>MCBH KANEOHE BAY SUP DEP</v>
      </c>
      <c r="B8478" t="str">
        <f>T("OPERATIONS AND TRAINING")</f>
        <v>OPERATIONS AND TRAINING</v>
      </c>
      <c r="C8478" t="str">
        <f>T("BOX 63002")</f>
        <v>BOX 63002</v>
      </c>
      <c r="D8478" t="str">
        <f>T("MCBH KANEOHE BAY")</f>
        <v>MCBH KANEOHE BAY</v>
      </c>
      <c r="E8478" t="str">
        <f t="shared" si="3163"/>
        <v>HI</v>
      </c>
      <c r="F8478" t="str">
        <f>T("968633002")</f>
        <v>968633002</v>
      </c>
      <c r="G8478" t="str">
        <f>T("MISSION ASSURANCE")</f>
        <v>MISSION ASSURANCE</v>
      </c>
      <c r="H8478" t="str">
        <f>T("BOX 63002")</f>
        <v>BOX 63002</v>
      </c>
      <c r="I8478" t="str">
        <f t="shared" si="3167"/>
        <v>MCBH KANEOHE BAY</v>
      </c>
      <c r="J8478" t="str">
        <f t="shared" si="3164"/>
        <v>HI</v>
      </c>
      <c r="K8478" t="str">
        <f>T("8082571378")</f>
        <v>8082571378</v>
      </c>
      <c r="L8478" t="str">
        <f>T("8082578460")</f>
        <v>8082578460</v>
      </c>
    </row>
    <row r="8479" spans="1:12" x14ac:dyDescent="0.35">
      <c r="A8479" t="str">
        <f t="shared" si="3162"/>
        <v>MCBH KANEOHE BAY SUP DEP</v>
      </c>
      <c r="B8479" t="str">
        <f>T("OPERATIONS AND TRAINING")</f>
        <v>OPERATIONS AND TRAINING</v>
      </c>
      <c r="C8479" t="str">
        <f>T("BOX 63002")</f>
        <v>BOX 63002</v>
      </c>
      <c r="D8479" t="str">
        <f>T("MCBH KANEOHE BAY")</f>
        <v>MCBH KANEOHE BAY</v>
      </c>
      <c r="E8479" t="str">
        <f t="shared" si="3163"/>
        <v>HI</v>
      </c>
      <c r="F8479" t="str">
        <f>T("968633002")</f>
        <v>968633002</v>
      </c>
      <c r="G8479" t="str">
        <f>T("OPERATIONS AND TRAINING")</f>
        <v>OPERATIONS AND TRAINING</v>
      </c>
      <c r="H8479" t="str">
        <f>T("BOX 63002")</f>
        <v>BOX 63002</v>
      </c>
      <c r="I8479" t="str">
        <f t="shared" si="3167"/>
        <v>MCBH KANEOHE BAY</v>
      </c>
      <c r="J8479" t="str">
        <f t="shared" si="3164"/>
        <v>HI</v>
      </c>
      <c r="K8479" t="str">
        <f>T("000000000000000000")</f>
        <v>000000000000000000</v>
      </c>
      <c r="L8479" t="str">
        <f>T("8082578819")</f>
        <v>8082578819</v>
      </c>
    </row>
    <row r="8480" spans="1:12" x14ac:dyDescent="0.35">
      <c r="A8480" t="str">
        <f t="shared" si="3162"/>
        <v>MCBH KANEOHE BAY SUP DEP</v>
      </c>
      <c r="B8480" t="str">
        <f>T("SUPPLY DEPARTMENT LSA")</f>
        <v>SUPPLY DEPARTMENT LSA</v>
      </c>
      <c r="C8480" t="str">
        <f>T("BOX 63063")</f>
        <v>BOX 63063</v>
      </c>
      <c r="D8480" t="str">
        <f>T("M C B H KANEOHE BAY")</f>
        <v>M C B H KANEOHE BAY</v>
      </c>
      <c r="E8480" t="str">
        <f t="shared" si="3163"/>
        <v>HI</v>
      </c>
      <c r="F8480" t="str">
        <f>T("968633063")</f>
        <v>968633063</v>
      </c>
      <c r="G8480" t="str">
        <f>T("BASE FUELS")</f>
        <v>BASE FUELS</v>
      </c>
      <c r="H8480" t="str">
        <f>T("BOX 63063")</f>
        <v>BOX 63063</v>
      </c>
      <c r="I8480" t="str">
        <f t="shared" si="3167"/>
        <v>MCBH KANEOHE BAY</v>
      </c>
      <c r="J8480" t="str">
        <f t="shared" si="3164"/>
        <v>HI</v>
      </c>
      <c r="K8480" t="str">
        <f>T("000000000000000000")</f>
        <v>000000000000000000</v>
      </c>
      <c r="L8480" t="str">
        <f>T("8082572234")</f>
        <v>8082572234</v>
      </c>
    </row>
    <row r="8481" spans="1:12" x14ac:dyDescent="0.35">
      <c r="A8481" t="str">
        <f t="shared" si="3162"/>
        <v>MCBH KANEOHE BAY SUP DEP</v>
      </c>
      <c r="B8481" t="str">
        <f>T("SUPPLY DEPARTMENT LSA")</f>
        <v>SUPPLY DEPARTMENT LSA</v>
      </c>
      <c r="C8481" t="str">
        <f>T("BOX 63063")</f>
        <v>BOX 63063</v>
      </c>
      <c r="D8481" t="str">
        <f>T("M C B H KANEOHE BAY")</f>
        <v>M C B H KANEOHE BAY</v>
      </c>
      <c r="E8481" t="str">
        <f t="shared" si="3163"/>
        <v>HI</v>
      </c>
      <c r="F8481" t="str">
        <f>T("968633063")</f>
        <v>968633063</v>
      </c>
      <c r="G8481" t="str">
        <f>T("MCBH KANEOHE FUEL")</f>
        <v>MCBH KANEOHE FUEL</v>
      </c>
      <c r="H8481" t="str">
        <f>T("BOX 63063")</f>
        <v>BOX 63063</v>
      </c>
      <c r="I8481" t="str">
        <f t="shared" si="3167"/>
        <v>MCBH KANEOHE BAY</v>
      </c>
      <c r="J8481" t="str">
        <f t="shared" si="3164"/>
        <v>HI</v>
      </c>
      <c r="K8481" t="str">
        <f>T("8082571435")</f>
        <v>8082571435</v>
      </c>
      <c r="L8481" t="str">
        <f>T("8082572234")</f>
        <v>8082572234</v>
      </c>
    </row>
    <row r="8482" spans="1:12" x14ac:dyDescent="0.35">
      <c r="A8482" t="str">
        <f t="shared" si="3162"/>
        <v>MCBH KANEOHE BAY SUP DEP</v>
      </c>
      <c r="B8482" t="str">
        <f>T("SUPPLY DEPARTMENT LSA")</f>
        <v>SUPPLY DEPARTMENT LSA</v>
      </c>
      <c r="C8482" t="str">
        <f>T("BOX 63063")</f>
        <v>BOX 63063</v>
      </c>
      <c r="D8482" t="str">
        <f>T("M C B H KANEOHE BAY")</f>
        <v>M C B H KANEOHE BAY</v>
      </c>
      <c r="E8482" t="str">
        <f t="shared" si="3163"/>
        <v>HI</v>
      </c>
      <c r="F8482" t="str">
        <f>T("968633063")</f>
        <v>968633063</v>
      </c>
      <c r="G8482" t="str">
        <f>T("MCBH SUPPLY DEPARTMENT")</f>
        <v>MCBH SUPPLY DEPARTMENT</v>
      </c>
      <c r="H8482" t="str">
        <f>T("BOX 63063")</f>
        <v>BOX 63063</v>
      </c>
      <c r="I8482" t="str">
        <f t="shared" si="3167"/>
        <v>MCBH KANEOHE BAY</v>
      </c>
      <c r="J8482" t="str">
        <f t="shared" si="3164"/>
        <v>HI</v>
      </c>
      <c r="K8482" t="str">
        <f>T("000000000000000000")</f>
        <v>000000000000000000</v>
      </c>
      <c r="L8482" t="str">
        <f>T("8082572775")</f>
        <v>8082572775</v>
      </c>
    </row>
    <row r="8483" spans="1:12" x14ac:dyDescent="0.35">
      <c r="A8483" t="str">
        <f t="shared" si="3162"/>
        <v>MCBH KANEOHE BAY SUP DEP</v>
      </c>
      <c r="B8483" t="str">
        <f>T("SUPPLY DEPARTMENT LSA")</f>
        <v>SUPPLY DEPARTMENT LSA</v>
      </c>
      <c r="C8483" t="str">
        <f>T("BOX 63063")</f>
        <v>BOX 63063</v>
      </c>
      <c r="D8483" t="str">
        <f>T("M C B H KANEOHE BAY")</f>
        <v>M C B H KANEOHE BAY</v>
      </c>
      <c r="E8483" t="str">
        <f t="shared" si="3163"/>
        <v>HI</v>
      </c>
      <c r="F8483" t="str">
        <f>T("968633063")</f>
        <v>968633063</v>
      </c>
      <c r="G8483" t="str">
        <f>T("MCBH SUPPLY DEPARTMENT")</f>
        <v>MCBH SUPPLY DEPARTMENT</v>
      </c>
      <c r="H8483" t="str">
        <f>T("BOX 63063")</f>
        <v>BOX 63063</v>
      </c>
      <c r="I8483" t="str">
        <f t="shared" si="3167"/>
        <v>MCBH KANEOHE BAY</v>
      </c>
      <c r="J8483" t="str">
        <f t="shared" si="3164"/>
        <v>HI</v>
      </c>
      <c r="K8483" t="str">
        <f>T("000000000000000000")</f>
        <v>000000000000000000</v>
      </c>
      <c r="L8483" t="str">
        <f>T("8082572910")</f>
        <v>8082572910</v>
      </c>
    </row>
    <row r="8484" spans="1:12" x14ac:dyDescent="0.35">
      <c r="A8484" t="str">
        <f t="shared" si="3162"/>
        <v>MCBH KANEOHE BAY SUP DEP</v>
      </c>
      <c r="B8484" t="str">
        <f>T("SUPPLY DEPARTMENT LSA")</f>
        <v>SUPPLY DEPARTMENT LSA</v>
      </c>
      <c r="C8484" t="str">
        <f>T("BOX 63063")</f>
        <v>BOX 63063</v>
      </c>
      <c r="D8484" t="str">
        <f>T("M C B H KANEOHE BAY")</f>
        <v>M C B H KANEOHE BAY</v>
      </c>
      <c r="E8484" t="str">
        <f t="shared" si="3163"/>
        <v>HI</v>
      </c>
      <c r="F8484" t="str">
        <f>T("968633063")</f>
        <v>968633063</v>
      </c>
      <c r="G8484" t="str">
        <f>T("SUPPLY DEPARTMENT LSA")</f>
        <v>SUPPLY DEPARTMENT LSA</v>
      </c>
      <c r="H8484" t="str">
        <f>T("BOX 63063")</f>
        <v>BOX 63063</v>
      </c>
      <c r="I8484" t="str">
        <f>T("M C B H KANEOHE BAY")</f>
        <v>M C B H KANEOHE BAY</v>
      </c>
      <c r="J8484" t="str">
        <f t="shared" si="3164"/>
        <v>HI</v>
      </c>
      <c r="K8484" t="str">
        <f>T("8082572859")</f>
        <v>8082572859</v>
      </c>
      <c r="L8484" t="str">
        <f>T("8082572917")</f>
        <v>8082572917</v>
      </c>
    </row>
    <row r="8485" spans="1:12" x14ac:dyDescent="0.35">
      <c r="A8485" t="str">
        <f t="shared" ref="A8485:A8499" si="3168">T("DON SUP DEPT MCB HI")</f>
        <v>DON SUP DEPT MCB HI</v>
      </c>
      <c r="B8485" t="str">
        <f>T("FCE")</f>
        <v>FCE</v>
      </c>
      <c r="C8485" t="str">
        <f>T("UNIT 76114")</f>
        <v>UNIT 76114</v>
      </c>
      <c r="D8485" t="str">
        <f>T("FPO")</f>
        <v>FPO</v>
      </c>
      <c r="E8485" t="str">
        <f>T("AP")</f>
        <v>AP</v>
      </c>
      <c r="F8485" t="str">
        <f>T("964276114")</f>
        <v>964276114</v>
      </c>
      <c r="G8485" t="str">
        <f>T("FCE")</f>
        <v>FCE</v>
      </c>
      <c r="H8485" t="str">
        <f>T("UNIT 76114")</f>
        <v>UNIT 76114</v>
      </c>
      <c r="I8485" t="str">
        <f>T("FPO")</f>
        <v>FPO</v>
      </c>
      <c r="J8485" t="str">
        <f>T("AP")</f>
        <v>AP</v>
      </c>
      <c r="K8485" t="str">
        <f>T("000000000000000000")</f>
        <v>000000000000000000</v>
      </c>
      <c r="L8485" t="str">
        <f>T("1111111111")</f>
        <v>1111111111</v>
      </c>
    </row>
    <row r="8486" spans="1:12" x14ac:dyDescent="0.35">
      <c r="A8486" t="str">
        <f t="shared" si="3168"/>
        <v>DON SUP DEPT MCB HI</v>
      </c>
      <c r="B8486" t="str">
        <f>T("FCE")</f>
        <v>FCE</v>
      </c>
      <c r="C8486" t="str">
        <f>T("UNIT 76114")</f>
        <v>UNIT 76114</v>
      </c>
      <c r="D8486" t="str">
        <f>T("FPO")</f>
        <v>FPO</v>
      </c>
      <c r="E8486" t="str">
        <f>T("AP")</f>
        <v>AP</v>
      </c>
      <c r="F8486" t="str">
        <f>T("964276114")</f>
        <v>964276114</v>
      </c>
      <c r="G8486" t="str">
        <f>T("FCE UNIT 76114")</f>
        <v>FCE UNIT 76114</v>
      </c>
      <c r="H8486" t="str">
        <f>T("FPO AP")</f>
        <v>FPO AP</v>
      </c>
      <c r="I8486" t="str">
        <f>T("DARWIN AUSTRALIA")</f>
        <v>DARWIN AUSTRALIA</v>
      </c>
      <c r="J8486" t="str">
        <f>T("AP")</f>
        <v>AP</v>
      </c>
      <c r="K8486" t="str">
        <f>T("610889358491")</f>
        <v>610889358491</v>
      </c>
      <c r="L8486" t="str">
        <f>T("1111111111")</f>
        <v>1111111111</v>
      </c>
    </row>
    <row r="8487" spans="1:12" x14ac:dyDescent="0.35">
      <c r="A8487" t="str">
        <f t="shared" si="3168"/>
        <v>DON SUP DEPT MCB HI</v>
      </c>
      <c r="B8487" t="str">
        <f t="shared" ref="B8487:B8494" si="3169">T("HQSVCBN MARFORPAC")</f>
        <v>HQSVCBN MARFORPAC</v>
      </c>
      <c r="C8487" t="str">
        <f t="shared" ref="C8487:C8494" si="3170">T("BOX 64115")</f>
        <v>BOX 64115</v>
      </c>
      <c r="D8487" t="str">
        <f t="shared" ref="D8487:D8494" si="3171">T("CAMP H M SMITH")</f>
        <v>CAMP H M SMITH</v>
      </c>
      <c r="E8487" t="str">
        <f t="shared" ref="E8487:E8497" si="3172">T("HI")</f>
        <v>HI</v>
      </c>
      <c r="F8487" t="str">
        <f t="shared" ref="F8487:F8494" si="3173">T("968614115")</f>
        <v>968614115</v>
      </c>
      <c r="G8487" t="str">
        <f>T("COMCAM MARFORPAC")</f>
        <v>COMCAM MARFORPAC</v>
      </c>
      <c r="H8487" t="str">
        <f>T("BOX 64117")</f>
        <v>BOX 64117</v>
      </c>
      <c r="I8487" t="str">
        <f>T("CAMP H M SMITH")</f>
        <v>CAMP H M SMITH</v>
      </c>
      <c r="J8487" t="str">
        <f t="shared" ref="J8487:J8497" si="3174">T("HI")</f>
        <v>HI</v>
      </c>
      <c r="K8487" t="str">
        <f>T("000000000000000000")</f>
        <v>000000000000000000</v>
      </c>
      <c r="L8487" t="str">
        <f>T("8084778588")</f>
        <v>8084778588</v>
      </c>
    </row>
    <row r="8488" spans="1:12" x14ac:dyDescent="0.35">
      <c r="A8488" t="str">
        <f t="shared" si="3168"/>
        <v>DON SUP DEPT MCB HI</v>
      </c>
      <c r="B8488" t="str">
        <f t="shared" si="3169"/>
        <v>HQSVCBN MARFORPAC</v>
      </c>
      <c r="C8488" t="str">
        <f t="shared" si="3170"/>
        <v>BOX 64115</v>
      </c>
      <c r="D8488" t="str">
        <f t="shared" si="3171"/>
        <v>CAMP H M SMITH</v>
      </c>
      <c r="E8488" t="str">
        <f t="shared" si="3172"/>
        <v>HI</v>
      </c>
      <c r="F8488" t="str">
        <f t="shared" si="3173"/>
        <v>968614115</v>
      </c>
      <c r="G8488" t="str">
        <f>T("HQSVCBN MARFORPAC")</f>
        <v>HQSVCBN MARFORPAC</v>
      </c>
      <c r="H8488" t="str">
        <f>T("BOX 64115")</f>
        <v>BOX 64115</v>
      </c>
      <c r="I8488" t="str">
        <f>T("CAMP H M SMITH")</f>
        <v>CAMP H M SMITH</v>
      </c>
      <c r="J8488" t="str">
        <f t="shared" si="3174"/>
        <v>HI</v>
      </c>
      <c r="K8488" t="str">
        <f>T("000000000000000000")</f>
        <v>000000000000000000</v>
      </c>
      <c r="L8488" t="str">
        <f>T("8084778819")</f>
        <v>8084778819</v>
      </c>
    </row>
    <row r="8489" spans="1:12" x14ac:dyDescent="0.35">
      <c r="A8489" t="str">
        <f t="shared" si="3168"/>
        <v>DON SUP DEPT MCB HI</v>
      </c>
      <c r="B8489" t="str">
        <f t="shared" si="3169"/>
        <v>HQSVCBN MARFORPAC</v>
      </c>
      <c r="C8489" t="str">
        <f t="shared" si="3170"/>
        <v>BOX 64115</v>
      </c>
      <c r="D8489" t="str">
        <f t="shared" si="3171"/>
        <v>CAMP H M SMITH</v>
      </c>
      <c r="E8489" t="str">
        <f t="shared" si="3172"/>
        <v>HI</v>
      </c>
      <c r="F8489" t="str">
        <f t="shared" si="3173"/>
        <v>968614115</v>
      </c>
      <c r="G8489" t="str">
        <f>T("HQSVCBN MARFORPAC")</f>
        <v>HQSVCBN MARFORPAC</v>
      </c>
      <c r="H8489" t="str">
        <f>T("BOX 64115")</f>
        <v>BOX 64115</v>
      </c>
      <c r="I8489" t="str">
        <f>T("CAMP H M SMITH")</f>
        <v>CAMP H M SMITH</v>
      </c>
      <c r="J8489" t="str">
        <f t="shared" si="3174"/>
        <v>HI</v>
      </c>
      <c r="K8489" t="str">
        <f>T("8084778676")</f>
        <v>8084778676</v>
      </c>
      <c r="L8489" t="str">
        <f>T("8084778823")</f>
        <v>8084778823</v>
      </c>
    </row>
    <row r="8490" spans="1:12" x14ac:dyDescent="0.35">
      <c r="A8490" t="str">
        <f t="shared" si="3168"/>
        <v>DON SUP DEPT MCB HI</v>
      </c>
      <c r="B8490" t="str">
        <f t="shared" si="3169"/>
        <v>HQSVCBN MARFORPAC</v>
      </c>
      <c r="C8490" t="str">
        <f t="shared" si="3170"/>
        <v>BOX 64115</v>
      </c>
      <c r="D8490" t="str">
        <f t="shared" si="3171"/>
        <v>CAMP H M SMITH</v>
      </c>
      <c r="E8490" t="str">
        <f t="shared" si="3172"/>
        <v>HI</v>
      </c>
      <c r="F8490" t="str">
        <f t="shared" si="3173"/>
        <v>968614115</v>
      </c>
      <c r="G8490" t="str">
        <f>T("MARFORPAC")</f>
        <v>MARFORPAC</v>
      </c>
      <c r="H8490" t="str">
        <f>T("BOX 64115")</f>
        <v>BOX 64115</v>
      </c>
      <c r="I8490" t="str">
        <f>T("CAMP H M SMITH")</f>
        <v>CAMP H M SMITH</v>
      </c>
      <c r="J8490" t="str">
        <f t="shared" si="3174"/>
        <v>HI</v>
      </c>
      <c r="K8490" t="str">
        <f>T("000000000000000000")</f>
        <v>000000000000000000</v>
      </c>
      <c r="L8490" t="str">
        <f>T("8084778821")</f>
        <v>8084778821</v>
      </c>
    </row>
    <row r="8491" spans="1:12" x14ac:dyDescent="0.35">
      <c r="A8491" t="str">
        <f t="shared" si="3168"/>
        <v>DON SUP DEPT MCB HI</v>
      </c>
      <c r="B8491" t="str">
        <f t="shared" si="3169"/>
        <v>HQSVCBN MARFORPAC</v>
      </c>
      <c r="C8491" t="str">
        <f t="shared" si="3170"/>
        <v>BOX 64115</v>
      </c>
      <c r="D8491" t="str">
        <f t="shared" si="3171"/>
        <v>CAMP H M SMITH</v>
      </c>
      <c r="E8491" t="str">
        <f t="shared" si="3172"/>
        <v>HI</v>
      </c>
      <c r="F8491" t="str">
        <f t="shared" si="3173"/>
        <v>968614115</v>
      </c>
      <c r="G8491" t="str">
        <f>T("MARFORPAC")</f>
        <v>MARFORPAC</v>
      </c>
      <c r="H8491" t="str">
        <f>T("BOX 64131")</f>
        <v>BOX 64131</v>
      </c>
      <c r="I8491" t="str">
        <f>T("CAMP H M SMITH")</f>
        <v>CAMP H M SMITH</v>
      </c>
      <c r="J8491" t="str">
        <f t="shared" si="3174"/>
        <v>HI</v>
      </c>
      <c r="K8491" t="str">
        <f>T("8084778676")</f>
        <v>8084778676</v>
      </c>
      <c r="L8491" t="str">
        <f>T("8084778820")</f>
        <v>8084778820</v>
      </c>
    </row>
    <row r="8492" spans="1:12" x14ac:dyDescent="0.35">
      <c r="A8492" t="str">
        <f t="shared" si="3168"/>
        <v>DON SUP DEPT MCB HI</v>
      </c>
      <c r="B8492" t="str">
        <f t="shared" si="3169"/>
        <v>HQSVCBN MARFORPAC</v>
      </c>
      <c r="C8492" t="str">
        <f t="shared" si="3170"/>
        <v>BOX 64115</v>
      </c>
      <c r="D8492" t="str">
        <f t="shared" si="3171"/>
        <v>CAMP H M SMITH</v>
      </c>
      <c r="E8492" t="str">
        <f t="shared" si="3172"/>
        <v>HI</v>
      </c>
      <c r="F8492" t="str">
        <f t="shared" si="3173"/>
        <v>968614115</v>
      </c>
      <c r="G8492" t="str">
        <f>T("MARFORPAC BAND")</f>
        <v>MARFORPAC BAND</v>
      </c>
      <c r="H8492" t="str">
        <f>T("BOX 6307")</f>
        <v>BOX 6307</v>
      </c>
      <c r="I8492" t="str">
        <f>T("MCBH KANEOHE BAY")</f>
        <v>MCBH KANEOHE BAY</v>
      </c>
      <c r="J8492" t="str">
        <f t="shared" si="3174"/>
        <v>HI</v>
      </c>
      <c r="K8492" t="str">
        <f>T("000000000000000000")</f>
        <v>000000000000000000</v>
      </c>
      <c r="L8492" t="str">
        <f>T("8082577440")</f>
        <v>8082577440</v>
      </c>
    </row>
    <row r="8493" spans="1:12" x14ac:dyDescent="0.35">
      <c r="A8493" t="str">
        <f t="shared" si="3168"/>
        <v>DON SUP DEPT MCB HI</v>
      </c>
      <c r="B8493" t="str">
        <f t="shared" si="3169"/>
        <v>HQSVCBN MARFORPAC</v>
      </c>
      <c r="C8493" t="str">
        <f t="shared" si="3170"/>
        <v>BOX 64115</v>
      </c>
      <c r="D8493" t="str">
        <f t="shared" si="3171"/>
        <v>CAMP H M SMITH</v>
      </c>
      <c r="E8493" t="str">
        <f t="shared" si="3172"/>
        <v>HI</v>
      </c>
      <c r="F8493" t="str">
        <f t="shared" si="3173"/>
        <v>968614115</v>
      </c>
      <c r="G8493" t="str">
        <f>T("MARINE FORCES PACIFIC BAND")</f>
        <v>MARINE FORCES PACIFIC BAND</v>
      </c>
      <c r="H8493" t="str">
        <f>T("BOX 63087")</f>
        <v>BOX 63087</v>
      </c>
      <c r="I8493" t="str">
        <f>T("MCBH KANEOHE BAY")</f>
        <v>MCBH KANEOHE BAY</v>
      </c>
      <c r="J8493" t="str">
        <f t="shared" si="3174"/>
        <v>HI</v>
      </c>
      <c r="K8493" t="str">
        <f>T("8082576840")</f>
        <v>8082576840</v>
      </c>
      <c r="L8493" t="str">
        <f>T("8082577440")</f>
        <v>8082577440</v>
      </c>
    </row>
    <row r="8494" spans="1:12" x14ac:dyDescent="0.35">
      <c r="A8494" t="str">
        <f t="shared" si="3168"/>
        <v>DON SUP DEPT MCB HI</v>
      </c>
      <c r="B8494" t="str">
        <f t="shared" si="3169"/>
        <v>HQSVCBN MARFORPAC</v>
      </c>
      <c r="C8494" t="str">
        <f t="shared" si="3170"/>
        <v>BOX 64115</v>
      </c>
      <c r="D8494" t="str">
        <f t="shared" si="3171"/>
        <v>CAMP H M SMITH</v>
      </c>
      <c r="E8494" t="str">
        <f t="shared" si="3172"/>
        <v>HI</v>
      </c>
      <c r="F8494" t="str">
        <f t="shared" si="3173"/>
        <v>968614115</v>
      </c>
      <c r="G8494" t="str">
        <f>T("USMC MARFORPAC HQSVB")</f>
        <v>USMC MARFORPAC HQSVB</v>
      </c>
      <c r="H8494" t="str">
        <f>T("BOX 64115")</f>
        <v>BOX 64115</v>
      </c>
      <c r="I8494" t="str">
        <f>T("CAMP H M SMITH")</f>
        <v>CAMP H M SMITH</v>
      </c>
      <c r="J8494" t="str">
        <f t="shared" si="3174"/>
        <v>HI</v>
      </c>
      <c r="K8494" t="str">
        <f>T("000000000000000000")</f>
        <v>000000000000000000</v>
      </c>
      <c r="L8494" t="str">
        <f>T("8084778818")</f>
        <v>8084778818</v>
      </c>
    </row>
    <row r="8495" spans="1:12" x14ac:dyDescent="0.35">
      <c r="A8495" t="str">
        <f t="shared" si="3168"/>
        <v>DON SUP DEPT MCB HI</v>
      </c>
      <c r="B8495" t="str">
        <f>T("MARFORPAC SSEC")</f>
        <v>MARFORPAC SSEC</v>
      </c>
      <c r="C8495" t="str">
        <f>T("POX BOX 64139")</f>
        <v>POX BOX 64139</v>
      </c>
      <c r="D8495" t="str">
        <f>T("CAMP SMITH")</f>
        <v>CAMP SMITH</v>
      </c>
      <c r="E8495" t="str">
        <f t="shared" si="3172"/>
        <v>HI</v>
      </c>
      <c r="F8495" t="str">
        <f>T("968614139")</f>
        <v>968614139</v>
      </c>
      <c r="G8495" t="str">
        <f>T("MARFORPAC PROTOCOL")</f>
        <v>MARFORPAC PROTOCOL</v>
      </c>
      <c r="H8495" t="str">
        <f>T("BOX 64139")</f>
        <v>BOX 64139</v>
      </c>
      <c r="I8495" t="str">
        <f>T("CAMP H M SMITH")</f>
        <v>CAMP H M SMITH</v>
      </c>
      <c r="J8495" t="str">
        <f t="shared" si="3174"/>
        <v>HI</v>
      </c>
      <c r="K8495" t="str">
        <f>T("8084778721")</f>
        <v>8084778721</v>
      </c>
      <c r="L8495" t="str">
        <f>T("8084778611")</f>
        <v>8084778611</v>
      </c>
    </row>
    <row r="8496" spans="1:12" x14ac:dyDescent="0.35">
      <c r="A8496" t="str">
        <f t="shared" si="3168"/>
        <v>DON SUP DEPT MCB HI</v>
      </c>
      <c r="B8496" t="str">
        <f>T("MARFORPAC SSEC")</f>
        <v>MARFORPAC SSEC</v>
      </c>
      <c r="C8496" t="str">
        <f>T("POX BOX 64139")</f>
        <v>POX BOX 64139</v>
      </c>
      <c r="D8496" t="str">
        <f>T("CAMP SMITH")</f>
        <v>CAMP SMITH</v>
      </c>
      <c r="E8496" t="str">
        <f t="shared" si="3172"/>
        <v>HI</v>
      </c>
      <c r="F8496" t="str">
        <f>T("968614139")</f>
        <v>968614139</v>
      </c>
      <c r="G8496" t="str">
        <f>T("MARFORPAC PROTOCOL")</f>
        <v>MARFORPAC PROTOCOL</v>
      </c>
      <c r="H8496" t="str">
        <f>T("PO BOX 64139")</f>
        <v>PO BOX 64139</v>
      </c>
      <c r="I8496" t="str">
        <f>T("CAMP H M SMITH")</f>
        <v>CAMP H M SMITH</v>
      </c>
      <c r="J8496" t="str">
        <f t="shared" si="3174"/>
        <v>HI</v>
      </c>
      <c r="K8496" t="str">
        <f>T("8084778721")</f>
        <v>8084778721</v>
      </c>
      <c r="L8496" t="str">
        <f>T("8084778611")</f>
        <v>8084778611</v>
      </c>
    </row>
    <row r="8497" spans="1:12" x14ac:dyDescent="0.35">
      <c r="A8497" t="str">
        <f t="shared" si="3168"/>
        <v>DON SUP DEPT MCB HI</v>
      </c>
      <c r="B8497" t="str">
        <f>T("MARFORPAC SSEC")</f>
        <v>MARFORPAC SSEC</v>
      </c>
      <c r="C8497" t="str">
        <f>T("POX BOX 64139")</f>
        <v>POX BOX 64139</v>
      </c>
      <c r="D8497" t="str">
        <f>T("CAMP SMITH")</f>
        <v>CAMP SMITH</v>
      </c>
      <c r="E8497" t="str">
        <f t="shared" si="3172"/>
        <v>HI</v>
      </c>
      <c r="F8497" t="str">
        <f>T("968614139")</f>
        <v>968614139</v>
      </c>
      <c r="G8497" t="str">
        <f>T("MARFORPAC SSEC")</f>
        <v>MARFORPAC SSEC</v>
      </c>
      <c r="H8497" t="str">
        <f>T("POX BOX 64139")</f>
        <v>POX BOX 64139</v>
      </c>
      <c r="I8497" t="str">
        <f>T("CAMP SMITH")</f>
        <v>CAMP SMITH</v>
      </c>
      <c r="J8497" t="str">
        <f t="shared" si="3174"/>
        <v>HI</v>
      </c>
      <c r="K8497" t="str">
        <f>T("")</f>
        <v/>
      </c>
      <c r="L8497" t="str">
        <f>T("8084778605")</f>
        <v>8084778605</v>
      </c>
    </row>
    <row r="8498" spans="1:12" x14ac:dyDescent="0.35">
      <c r="A8498" t="str">
        <f t="shared" si="3168"/>
        <v>DON SUP DEPT MCB HI</v>
      </c>
      <c r="B8498" t="str">
        <f>T("MARINE CORPS ACTIVITY GUAM")</f>
        <v>MARINE CORPS ACTIVITY GUAM</v>
      </c>
      <c r="C8498" t="str">
        <f>T("PSC 488 BOX 105")</f>
        <v>PSC 488 BOX 105</v>
      </c>
      <c r="D8498" t="str">
        <f>T("FPO")</f>
        <v>FPO</v>
      </c>
      <c r="E8498" t="str">
        <f>T("AP")</f>
        <v>AP</v>
      </c>
      <c r="F8498" t="str">
        <f>T("965370149")</f>
        <v>965370149</v>
      </c>
      <c r="G8498" t="str">
        <f>T("MARINE CORPS ACTIVITY GUAM")</f>
        <v>MARINE CORPS ACTIVITY GUAM</v>
      </c>
      <c r="H8498" t="str">
        <f>T("PSC 488 BOX 105")</f>
        <v>PSC 488 BOX 105</v>
      </c>
      <c r="I8498" t="str">
        <f>T("FPO")</f>
        <v>FPO</v>
      </c>
      <c r="J8498" t="str">
        <f>T("AP")</f>
        <v>AP</v>
      </c>
      <c r="K8498" t="str">
        <f>T("000000000000000000")</f>
        <v>000000000000000000</v>
      </c>
      <c r="L8498" t="str">
        <f>T("6713552342")</f>
        <v>6713552342</v>
      </c>
    </row>
    <row r="8499" spans="1:12" x14ac:dyDescent="0.35">
      <c r="A8499" t="str">
        <f t="shared" si="3168"/>
        <v>DON SUP DEPT MCB HI</v>
      </c>
      <c r="B8499" t="str">
        <f>T("MARINE CORPS ACTIVITY GUAM")</f>
        <v>MARINE CORPS ACTIVITY GUAM</v>
      </c>
      <c r="C8499" t="str">
        <f>T("PSC 488 BOX 105")</f>
        <v>PSC 488 BOX 105</v>
      </c>
      <c r="D8499" t="str">
        <f>T("FPO")</f>
        <v>FPO</v>
      </c>
      <c r="E8499" t="str">
        <f>T("AP")</f>
        <v>AP</v>
      </c>
      <c r="F8499" t="str">
        <f>T("965370149")</f>
        <v>965370149</v>
      </c>
      <c r="G8499" t="str">
        <f>T("MARINE CORPS ACTIVITY GUAM")</f>
        <v>MARINE CORPS ACTIVITY GUAM</v>
      </c>
      <c r="H8499" t="str">
        <f>T("PSC 488 BOX 105")</f>
        <v>PSC 488 BOX 105</v>
      </c>
      <c r="I8499" t="str">
        <f>T("FPO")</f>
        <v>FPO</v>
      </c>
      <c r="J8499" t="str">
        <f>T("AP")</f>
        <v>AP</v>
      </c>
      <c r="K8499" t="str">
        <f>T("000000000000000000")</f>
        <v>000000000000000000</v>
      </c>
      <c r="L8499" t="str">
        <f>T("6713555378")</f>
        <v>6713555378</v>
      </c>
    </row>
    <row r="8500" spans="1:12" x14ac:dyDescent="0.35">
      <c r="A8500" t="str">
        <f t="shared" ref="A8500:A8507" si="3175">T("DIR/SSP")</f>
        <v>DIR/SSP</v>
      </c>
      <c r="B8500" t="str">
        <f>T("1250 10TH ST SE")</f>
        <v>1250 10TH ST SE</v>
      </c>
      <c r="C8500" t="str">
        <f>T("STE 3600")</f>
        <v>STE 3600</v>
      </c>
      <c r="D8500" t="str">
        <f t="shared" ref="D8500:D8507" si="3176">T("WASHINGTON NAVY YARD")</f>
        <v>WASHINGTON NAVY YARD</v>
      </c>
      <c r="E8500" t="str">
        <f t="shared" ref="E8500:E8507" si="3177">T("DC")</f>
        <v>DC</v>
      </c>
      <c r="F8500" t="str">
        <f t="shared" ref="F8500:F8507" si="3178">T("203745127")</f>
        <v>203745127</v>
      </c>
      <c r="G8500" t="str">
        <f>T("1250 10TH ST SE")</f>
        <v>1250 10TH ST SE</v>
      </c>
      <c r="H8500" t="str">
        <f>T("STE 3600")</f>
        <v>STE 3600</v>
      </c>
      <c r="I8500" t="str">
        <f>T("WASHINGTON NAVY YARD")</f>
        <v>WASHINGTON NAVY YARD</v>
      </c>
      <c r="J8500" t="str">
        <f t="shared" ref="J8500:J8507" si="3179">T("DC")</f>
        <v>DC</v>
      </c>
      <c r="K8500" t="str">
        <f>T("")</f>
        <v/>
      </c>
      <c r="L8500" t="str">
        <f>T("2024337812")</f>
        <v>2024337812</v>
      </c>
    </row>
    <row r="8501" spans="1:12" x14ac:dyDescent="0.35">
      <c r="A8501" t="str">
        <f t="shared" si="3175"/>
        <v>DIR/SSP</v>
      </c>
      <c r="B8501" t="str">
        <f>T("1250 10TH ST SE")</f>
        <v>1250 10TH ST SE</v>
      </c>
      <c r="C8501" t="str">
        <f>T("STE 3600")</f>
        <v>STE 3600</v>
      </c>
      <c r="D8501" t="str">
        <f t="shared" si="3176"/>
        <v>WASHINGTON NAVY YARD</v>
      </c>
      <c r="E8501" t="str">
        <f t="shared" si="3177"/>
        <v>DC</v>
      </c>
      <c r="F8501" t="str">
        <f t="shared" si="3178"/>
        <v>203745127</v>
      </c>
      <c r="G8501" t="str">
        <f>T("1250 10TH STREET SE")</f>
        <v>1250 10TH STREET SE</v>
      </c>
      <c r="H8501" t="str">
        <f>T("STE 3600")</f>
        <v>STE 3600</v>
      </c>
      <c r="I8501" t="str">
        <f>T("WASHINGTON")</f>
        <v>WASHINGTON</v>
      </c>
      <c r="J8501" t="str">
        <f t="shared" si="3179"/>
        <v>DC</v>
      </c>
      <c r="K8501" t="str">
        <f>T("000000000000000000")</f>
        <v>000000000000000000</v>
      </c>
      <c r="L8501" t="str">
        <f>T("2024337811")</f>
        <v>2024337811</v>
      </c>
    </row>
    <row r="8502" spans="1:12" x14ac:dyDescent="0.35">
      <c r="A8502" t="str">
        <f t="shared" si="3175"/>
        <v>DIR/SSP</v>
      </c>
      <c r="B8502" t="str">
        <f>T("1250 10TH ST SE")</f>
        <v>1250 10TH ST SE</v>
      </c>
      <c r="C8502" t="str">
        <f>T("STE 3600")</f>
        <v>STE 3600</v>
      </c>
      <c r="D8502" t="str">
        <f t="shared" si="3176"/>
        <v>WASHINGTON NAVY YARD</v>
      </c>
      <c r="E8502" t="str">
        <f t="shared" si="3177"/>
        <v>DC</v>
      </c>
      <c r="F8502" t="str">
        <f t="shared" si="3178"/>
        <v>203745127</v>
      </c>
      <c r="G8502" t="str">
        <f>T("1250 10TH STREET SE STE 3600")</f>
        <v>1250 10TH STREET SE STE 3600</v>
      </c>
      <c r="H8502" t="str">
        <f t="shared" ref="H8502:H8507" si="3180">T("")</f>
        <v/>
      </c>
      <c r="I8502" t="str">
        <f>T("WASHINGTON")</f>
        <v>WASHINGTON</v>
      </c>
      <c r="J8502" t="str">
        <f t="shared" si="3179"/>
        <v>DC</v>
      </c>
      <c r="K8502" t="str">
        <f>T("000000000000000000")</f>
        <v>000000000000000000</v>
      </c>
      <c r="L8502" t="str">
        <f>T("2024337814")</f>
        <v>2024337814</v>
      </c>
    </row>
    <row r="8503" spans="1:12" x14ac:dyDescent="0.35">
      <c r="A8503" t="str">
        <f t="shared" si="3175"/>
        <v>DIR/SSP</v>
      </c>
      <c r="B8503" t="str">
        <f>T("1250 10TH ST SE")</f>
        <v>1250 10TH ST SE</v>
      </c>
      <c r="C8503" t="str">
        <f>T("STE 3600")</f>
        <v>STE 3600</v>
      </c>
      <c r="D8503" t="str">
        <f t="shared" si="3176"/>
        <v>WASHINGTON NAVY YARD</v>
      </c>
      <c r="E8503" t="str">
        <f t="shared" si="3177"/>
        <v>DC</v>
      </c>
      <c r="F8503" t="str">
        <f t="shared" si="3178"/>
        <v>203745127</v>
      </c>
      <c r="G8503" t="str">
        <f>T("1250 10TH STREET SE STE 3600")</f>
        <v>1250 10TH STREET SE STE 3600</v>
      </c>
      <c r="H8503" t="str">
        <f t="shared" si="3180"/>
        <v/>
      </c>
      <c r="I8503" t="str">
        <f>T("WASHINGTON")</f>
        <v>WASHINGTON</v>
      </c>
      <c r="J8503" t="str">
        <f t="shared" si="3179"/>
        <v>DC</v>
      </c>
      <c r="K8503" t="str">
        <f>T("000000000000000000")</f>
        <v>000000000000000000</v>
      </c>
      <c r="L8503" t="str">
        <f>T("2024337815")</f>
        <v>2024337815</v>
      </c>
    </row>
    <row r="8504" spans="1:12" x14ac:dyDescent="0.35">
      <c r="A8504" t="str">
        <f t="shared" si="3175"/>
        <v>DIR/SSP</v>
      </c>
      <c r="B8504" t="str">
        <f>T("1250 10TH ST SE STE 3600")</f>
        <v>1250 10TH ST SE STE 3600</v>
      </c>
      <c r="C8504" t="str">
        <f>T("")</f>
        <v/>
      </c>
      <c r="D8504" t="str">
        <f t="shared" si="3176"/>
        <v>WASHINGTON NAVY YARD</v>
      </c>
      <c r="E8504" t="str">
        <f t="shared" si="3177"/>
        <v>DC</v>
      </c>
      <c r="F8504" t="str">
        <f t="shared" si="3178"/>
        <v>203745127</v>
      </c>
      <c r="G8504" t="str">
        <f>T("1250 10TH ST SE STE 3600")</f>
        <v>1250 10TH ST SE STE 3600</v>
      </c>
      <c r="H8504" t="str">
        <f t="shared" si="3180"/>
        <v/>
      </c>
      <c r="I8504" t="str">
        <f>T("WASHINGTON NAVY YARD")</f>
        <v>WASHINGTON NAVY YARD</v>
      </c>
      <c r="J8504" t="str">
        <f t="shared" si="3179"/>
        <v>DC</v>
      </c>
      <c r="K8504" t="str">
        <f>T("")</f>
        <v/>
      </c>
      <c r="L8504" t="str">
        <f>T("2024335510")</f>
        <v>2024335510</v>
      </c>
    </row>
    <row r="8505" spans="1:12" x14ac:dyDescent="0.35">
      <c r="A8505" t="str">
        <f t="shared" si="3175"/>
        <v>DIR/SSP</v>
      </c>
      <c r="B8505" t="str">
        <f>T("1250 10TH ST SE STE 3600")</f>
        <v>1250 10TH ST SE STE 3600</v>
      </c>
      <c r="C8505" t="str">
        <f>T("")</f>
        <v/>
      </c>
      <c r="D8505" t="str">
        <f t="shared" si="3176"/>
        <v>WASHINGTON NAVY YARD</v>
      </c>
      <c r="E8505" t="str">
        <f t="shared" si="3177"/>
        <v>DC</v>
      </c>
      <c r="F8505" t="str">
        <f t="shared" si="3178"/>
        <v>203745127</v>
      </c>
      <c r="G8505" t="str">
        <f>T("1250 10TH STREET SE STE 3600")</f>
        <v>1250 10TH STREET SE STE 3600</v>
      </c>
      <c r="H8505" t="str">
        <f t="shared" si="3180"/>
        <v/>
      </c>
      <c r="I8505" t="str">
        <f>T("WASHINGTON")</f>
        <v>WASHINGTON</v>
      </c>
      <c r="J8505" t="str">
        <f t="shared" si="3179"/>
        <v>DC</v>
      </c>
      <c r="K8505" t="str">
        <f>T("000000000000000000")</f>
        <v>000000000000000000</v>
      </c>
      <c r="L8505" t="str">
        <f>T("2024335518")</f>
        <v>2024335518</v>
      </c>
    </row>
    <row r="8506" spans="1:12" x14ac:dyDescent="0.35">
      <c r="A8506" t="str">
        <f t="shared" si="3175"/>
        <v>DIR/SSP</v>
      </c>
      <c r="B8506" t="str">
        <f>T("1250 10TH ST SE STE 3600")</f>
        <v>1250 10TH ST SE STE 3600</v>
      </c>
      <c r="C8506" t="str">
        <f>T("")</f>
        <v/>
      </c>
      <c r="D8506" t="str">
        <f t="shared" si="3176"/>
        <v>WASHINGTON NAVY YARD</v>
      </c>
      <c r="E8506" t="str">
        <f t="shared" si="3177"/>
        <v>DC</v>
      </c>
      <c r="F8506" t="str">
        <f t="shared" si="3178"/>
        <v>203745127</v>
      </c>
      <c r="G8506" t="str">
        <f>T("1250 10TH STREET SE STE 3600")</f>
        <v>1250 10TH STREET SE STE 3600</v>
      </c>
      <c r="H8506" t="str">
        <f t="shared" si="3180"/>
        <v/>
      </c>
      <c r="I8506" t="str">
        <f>T("WASHINGTON")</f>
        <v>WASHINGTON</v>
      </c>
      <c r="J8506" t="str">
        <f t="shared" si="3179"/>
        <v>DC</v>
      </c>
      <c r="K8506" t="str">
        <f>T("000000000000000000")</f>
        <v>000000000000000000</v>
      </c>
      <c r="L8506" t="str">
        <f>T("2024338220")</f>
        <v>2024338220</v>
      </c>
    </row>
    <row r="8507" spans="1:12" x14ac:dyDescent="0.35">
      <c r="A8507" t="str">
        <f t="shared" si="3175"/>
        <v>DIR/SSP</v>
      </c>
      <c r="B8507" t="str">
        <f>T("1250 10TH ST SE STE 3600")</f>
        <v>1250 10TH ST SE STE 3600</v>
      </c>
      <c r="C8507" t="str">
        <f>T("")</f>
        <v/>
      </c>
      <c r="D8507" t="str">
        <f t="shared" si="3176"/>
        <v>WASHINGTON NAVY YARD</v>
      </c>
      <c r="E8507" t="str">
        <f t="shared" si="3177"/>
        <v>DC</v>
      </c>
      <c r="F8507" t="str">
        <f t="shared" si="3178"/>
        <v>203745127</v>
      </c>
      <c r="G8507" t="str">
        <f>T("1250 10TH STREET SE STE 3600")</f>
        <v>1250 10TH STREET SE STE 3600</v>
      </c>
      <c r="H8507" t="str">
        <f t="shared" si="3180"/>
        <v/>
      </c>
      <c r="I8507" t="str">
        <f>T("WASHINGTON NAVY YARD")</f>
        <v>WASHINGTON NAVY YARD</v>
      </c>
      <c r="J8507" t="str">
        <f t="shared" si="3179"/>
        <v>DC</v>
      </c>
      <c r="K8507" t="str">
        <f>T("000000000000000000")</f>
        <v>000000000000000000</v>
      </c>
      <c r="L8507" t="str">
        <f>T("2024335512")</f>
        <v>2024335512</v>
      </c>
    </row>
    <row r="8508" spans="1:12" x14ac:dyDescent="0.35">
      <c r="A8508" t="str">
        <f>T("NAVAL ORDNANCE TEST UNIT")</f>
        <v>NAVAL ORDNANCE TEST UNIT</v>
      </c>
      <c r="B8508" t="str">
        <f>T("PO BOX 1623")</f>
        <v>PO BOX 1623</v>
      </c>
      <c r="C8508" t="str">
        <f>T("CCAFS")</f>
        <v>CCAFS</v>
      </c>
      <c r="D8508" t="str">
        <f>T("CAPE CANAVERAL")</f>
        <v>CAPE CANAVERAL</v>
      </c>
      <c r="E8508" t="str">
        <f>T("FL")</f>
        <v>FL</v>
      </c>
      <c r="F8508" t="str">
        <f>T("329201623")</f>
        <v>329201623</v>
      </c>
      <c r="G8508" t="str">
        <f>T("NAVAL ORDNANCE TEST UNIT")</f>
        <v>NAVAL ORDNANCE TEST UNIT</v>
      </c>
      <c r="H8508" t="str">
        <f>T("BLDG 81701 PIER RD")</f>
        <v>BLDG 81701 PIER RD</v>
      </c>
      <c r="I8508" t="str">
        <f>T("CAPE CANAVERAL")</f>
        <v>CAPE CANAVERAL</v>
      </c>
      <c r="J8508" t="str">
        <f>T("FL")</f>
        <v>FL</v>
      </c>
      <c r="K8508" t="str">
        <f>T("3218533434")</f>
        <v>3218533434</v>
      </c>
      <c r="L8508" t="str">
        <f>T("3218531217")</f>
        <v>3218531217</v>
      </c>
    </row>
    <row r="8509" spans="1:12" x14ac:dyDescent="0.35">
      <c r="A8509" t="str">
        <f>T("NAVAL ORDNANCE TEST UNIT")</f>
        <v>NAVAL ORDNANCE TEST UNIT</v>
      </c>
      <c r="B8509" t="str">
        <f>T("PO BOX 1623")</f>
        <v>PO BOX 1623</v>
      </c>
      <c r="C8509" t="str">
        <f>T("CCAFS")</f>
        <v>CCAFS</v>
      </c>
      <c r="D8509" t="str">
        <f>T("CAPE CANAVERAL")</f>
        <v>CAPE CANAVERAL</v>
      </c>
      <c r="E8509" t="str">
        <f>T("FL")</f>
        <v>FL</v>
      </c>
      <c r="F8509" t="str">
        <f>T("329201623")</f>
        <v>329201623</v>
      </c>
      <c r="G8509" t="str">
        <f>T("NAVAL ORDNANCE TEST UNIT")</f>
        <v>NAVAL ORDNANCE TEST UNIT</v>
      </c>
      <c r="H8509" t="str">
        <f>T("BLDG 81701 PIER RD")</f>
        <v>BLDG 81701 PIER RD</v>
      </c>
      <c r="I8509" t="str">
        <f>T("CAPE CANAVERAL")</f>
        <v>CAPE CANAVERAL</v>
      </c>
      <c r="J8509" t="str">
        <f>T("FL")</f>
        <v>FL</v>
      </c>
      <c r="K8509" t="str">
        <f>T("3218533434")</f>
        <v>3218533434</v>
      </c>
      <c r="L8509" t="str">
        <f>T("3218532144")</f>
        <v>3218532144</v>
      </c>
    </row>
    <row r="8510" spans="1:12" x14ac:dyDescent="0.35">
      <c r="A8510" t="str">
        <f>T("NAVAL ORDNANCE TEST UNIT")</f>
        <v>NAVAL ORDNANCE TEST UNIT</v>
      </c>
      <c r="B8510" t="str">
        <f>T("PO BOX 1623")</f>
        <v>PO BOX 1623</v>
      </c>
      <c r="C8510" t="str">
        <f>T("CCAFS")</f>
        <v>CCAFS</v>
      </c>
      <c r="D8510" t="str">
        <f>T("CAPE CANAVERAL")</f>
        <v>CAPE CANAVERAL</v>
      </c>
      <c r="E8510" t="str">
        <f>T("FL")</f>
        <v>FL</v>
      </c>
      <c r="F8510" t="str">
        <f>T("329201623")</f>
        <v>329201623</v>
      </c>
      <c r="G8510" t="str">
        <f>T("PO BOX 1623")</f>
        <v>PO BOX 1623</v>
      </c>
      <c r="H8510" t="str">
        <f>T("")</f>
        <v/>
      </c>
      <c r="I8510" t="str">
        <f>T("CAPE CANAVERAL")</f>
        <v>CAPE CANAVERAL</v>
      </c>
      <c r="J8510" t="str">
        <f>T("FL")</f>
        <v>FL</v>
      </c>
      <c r="K8510" t="str">
        <f>T("3218533434")</f>
        <v>3218533434</v>
      </c>
      <c r="L8510" t="str">
        <f>T("3218532144")</f>
        <v>3218532144</v>
      </c>
    </row>
    <row r="8511" spans="1:12" x14ac:dyDescent="0.35">
      <c r="A8511" t="str">
        <f>T("NAVAL ORDNANCE TEST UNIT")</f>
        <v>NAVAL ORDNANCE TEST UNIT</v>
      </c>
      <c r="B8511" t="str">
        <f>T("PO BOX 1623")</f>
        <v>PO BOX 1623</v>
      </c>
      <c r="C8511" t="str">
        <f>T("CCAFS")</f>
        <v>CCAFS</v>
      </c>
      <c r="D8511" t="str">
        <f>T("CAPE CANAVERAL")</f>
        <v>CAPE CANAVERAL</v>
      </c>
      <c r="E8511" t="str">
        <f>T("FL")</f>
        <v>FL</v>
      </c>
      <c r="F8511" t="str">
        <f>T("329201623")</f>
        <v>329201623</v>
      </c>
      <c r="G8511" t="str">
        <f>T("PO BOX 1623")</f>
        <v>PO BOX 1623</v>
      </c>
      <c r="H8511" t="str">
        <f>T("CCAFS")</f>
        <v>CCAFS</v>
      </c>
      <c r="I8511" t="str">
        <f>T("CAPE CANAVERAL")</f>
        <v>CAPE CANAVERAL</v>
      </c>
      <c r="J8511" t="str">
        <f>T("FL")</f>
        <v>FL</v>
      </c>
      <c r="K8511" t="str">
        <f>T("3218533434")</f>
        <v>3218533434</v>
      </c>
      <c r="L8511" t="str">
        <f>T("3218532182")</f>
        <v>3218532182</v>
      </c>
    </row>
    <row r="8512" spans="1:12" x14ac:dyDescent="0.35">
      <c r="A8512" t="str">
        <f>T("PMOSSP FLIGHT SYSTEMS")</f>
        <v>PMOSSP FLIGHT SYSTEMS</v>
      </c>
      <c r="B8512" t="str">
        <f>T("PO BOX 64776")</f>
        <v>PO BOX 64776</v>
      </c>
      <c r="C8512" t="str">
        <f>T("")</f>
        <v/>
      </c>
      <c r="D8512" t="str">
        <f>T("SUNNYVALE")</f>
        <v>SUNNYVALE</v>
      </c>
      <c r="E8512" t="str">
        <f>T("CA")</f>
        <v>CA</v>
      </c>
      <c r="F8512" t="str">
        <f>T("940884776")</f>
        <v>940884776</v>
      </c>
      <c r="G8512" t="str">
        <f>T("1111 LOCKHEED MARTIN WAY")</f>
        <v>1111 LOCKHEED MARTIN WAY</v>
      </c>
      <c r="H8512" t="str">
        <f>T("B/176 DOCK G")</f>
        <v>B/176 DOCK G</v>
      </c>
      <c r="I8512" t="str">
        <f>T("SUNNYVALE")</f>
        <v>SUNNYVALE</v>
      </c>
      <c r="J8512" t="str">
        <f>T("CA")</f>
        <v>CA</v>
      </c>
      <c r="K8512" t="str">
        <f>T("000000000000000000")</f>
        <v>000000000000000000</v>
      </c>
      <c r="L8512" t="str">
        <f>T("4087420581")</f>
        <v>4087420581</v>
      </c>
    </row>
    <row r="8513" spans="1:12" x14ac:dyDescent="0.35">
      <c r="A8513" t="str">
        <f>T("PMOSSP FLIGHT SYSTEMS")</f>
        <v>PMOSSP FLIGHT SYSTEMS</v>
      </c>
      <c r="B8513" t="str">
        <f>T("PO BOX 64776")</f>
        <v>PO BOX 64776</v>
      </c>
      <c r="C8513" t="str">
        <f>T("")</f>
        <v/>
      </c>
      <c r="D8513" t="str">
        <f>T("SUNNYVALE")</f>
        <v>SUNNYVALE</v>
      </c>
      <c r="E8513" t="str">
        <f>T("CA")</f>
        <v>CA</v>
      </c>
      <c r="F8513" t="str">
        <f>T("940884776")</f>
        <v>940884776</v>
      </c>
      <c r="G8513" t="str">
        <f>T("1111 LOCKHEED MARTIN WAY, B/176 DOCK")</f>
        <v>1111 LOCKHEED MARTIN WAY, B/176 DOCK</v>
      </c>
      <c r="H8513" t="str">
        <f>T("")</f>
        <v/>
      </c>
      <c r="I8513" t="str">
        <f>T("SUNNYVALE")</f>
        <v>SUNNYVALE</v>
      </c>
      <c r="J8513" t="str">
        <f>T("CA")</f>
        <v>CA</v>
      </c>
      <c r="K8513" t="str">
        <f>T("4087564316")</f>
        <v>4087564316</v>
      </c>
      <c r="L8513" t="str">
        <f>T("4087420393")</f>
        <v>4087420393</v>
      </c>
    </row>
    <row r="8514" spans="1:12" x14ac:dyDescent="0.35">
      <c r="A8514" t="str">
        <f>T("PMOSSP FLIGHT SYSTEMS")</f>
        <v>PMOSSP FLIGHT SYSTEMS</v>
      </c>
      <c r="B8514" t="str">
        <f>T("PO BOX 64776")</f>
        <v>PO BOX 64776</v>
      </c>
      <c r="C8514" t="str">
        <f>T("")</f>
        <v/>
      </c>
      <c r="D8514" t="str">
        <f>T("SUNNYVALE")</f>
        <v>SUNNYVALE</v>
      </c>
      <c r="E8514" t="str">
        <f>T("CA")</f>
        <v>CA</v>
      </c>
      <c r="F8514" t="str">
        <f>T("940884776")</f>
        <v>940884776</v>
      </c>
      <c r="G8514" t="str">
        <f>T("1111 LOCKHEED MARTIN, B/176 DOCK G")</f>
        <v>1111 LOCKHEED MARTIN, B/176 DOCK G</v>
      </c>
      <c r="H8514" t="str">
        <f>T("")</f>
        <v/>
      </c>
      <c r="I8514" t="str">
        <f>T("SUNNYVALE")</f>
        <v>SUNNYVALE</v>
      </c>
      <c r="J8514" t="str">
        <f>T("CA")</f>
        <v>CA</v>
      </c>
      <c r="K8514" t="str">
        <f>T("4087564316")</f>
        <v>4087564316</v>
      </c>
      <c r="L8514" t="str">
        <f>T("4087420393")</f>
        <v>4087420393</v>
      </c>
    </row>
    <row r="8515" spans="1:12" x14ac:dyDescent="0.35">
      <c r="A8515" t="str">
        <f>T("PMOSSP FLIGHT SYSTEMS")</f>
        <v>PMOSSP FLIGHT SYSTEMS</v>
      </c>
      <c r="B8515" t="str">
        <f>T("PO BOX 64776")</f>
        <v>PO BOX 64776</v>
      </c>
      <c r="C8515" t="str">
        <f>T("")</f>
        <v/>
      </c>
      <c r="D8515" t="str">
        <f>T("SUNNYVALE")</f>
        <v>SUNNYVALE</v>
      </c>
      <c r="E8515" t="str">
        <f>T("CA")</f>
        <v>CA</v>
      </c>
      <c r="F8515" t="str">
        <f>T("940884776")</f>
        <v>940884776</v>
      </c>
      <c r="G8515" t="str">
        <f>T("PO BOX 64776")</f>
        <v>PO BOX 64776</v>
      </c>
      <c r="H8515" t="str">
        <f>T("")</f>
        <v/>
      </c>
      <c r="I8515" t="str">
        <f>T("SUNNYVALE")</f>
        <v>SUNNYVALE</v>
      </c>
      <c r="J8515" t="str">
        <f>T("CA")</f>
        <v>CA</v>
      </c>
      <c r="K8515" t="str">
        <f>T("4087422571")</f>
        <v>4087422571</v>
      </c>
      <c r="L8515" t="str">
        <f>T("4087426564")</f>
        <v>4087426564</v>
      </c>
    </row>
    <row r="8516" spans="1:12" x14ac:dyDescent="0.35">
      <c r="A8516" t="str">
        <f>T("PROGRAM MGMT OFFICE")</f>
        <v>PROGRAM MGMT OFFICE</v>
      </c>
      <c r="B8516" t="str">
        <f>T("100 PLASTICS AVE")</f>
        <v>100 PLASTICS AVE</v>
      </c>
      <c r="C8516" t="str">
        <f>T("BLDG 1123")</f>
        <v>BLDG 1123</v>
      </c>
      <c r="D8516" t="str">
        <f>T("PITTSFIELD")</f>
        <v>PITTSFIELD</v>
      </c>
      <c r="E8516" t="str">
        <f>T("MA")</f>
        <v>MA</v>
      </c>
      <c r="F8516" t="str">
        <f>T("012013632")</f>
        <v>012013632</v>
      </c>
      <c r="G8516" t="str">
        <f>T("100 PLASTICS AVE")</f>
        <v>100 PLASTICS AVE</v>
      </c>
      <c r="H8516" t="str">
        <f>T("BLDG 1123")</f>
        <v>BLDG 1123</v>
      </c>
      <c r="I8516" t="str">
        <f>T("PITTSFIELD")</f>
        <v>PITTSFIELD</v>
      </c>
      <c r="J8516" t="str">
        <f>T("MA")</f>
        <v>MA</v>
      </c>
      <c r="K8516" t="str">
        <f>T("41349426476")</f>
        <v>41349426476</v>
      </c>
      <c r="L8516" t="str">
        <f>T("4134942712")</f>
        <v>4134942712</v>
      </c>
    </row>
    <row r="8517" spans="1:12" x14ac:dyDescent="0.35">
      <c r="A8517" t="str">
        <f>T("PROGRAM MGMT OFFICE")</f>
        <v>PROGRAM MGMT OFFICE</v>
      </c>
      <c r="B8517" t="str">
        <f>T("100 PLASTICS AVE")</f>
        <v>100 PLASTICS AVE</v>
      </c>
      <c r="C8517" t="str">
        <f>T("BLDG 1123")</f>
        <v>BLDG 1123</v>
      </c>
      <c r="D8517" t="str">
        <f>T("PITTSFIELD")</f>
        <v>PITTSFIELD</v>
      </c>
      <c r="E8517" t="str">
        <f>T("MA")</f>
        <v>MA</v>
      </c>
      <c r="F8517" t="str">
        <f>T("012013632")</f>
        <v>012013632</v>
      </c>
      <c r="G8517" t="str">
        <f>T("100 PLASTICS AVENUE")</f>
        <v>100 PLASTICS AVENUE</v>
      </c>
      <c r="H8517" t="str">
        <f>T("")</f>
        <v/>
      </c>
      <c r="I8517" t="str">
        <f>T("PITTSFIELD")</f>
        <v>PITTSFIELD</v>
      </c>
      <c r="J8517" t="str">
        <f>T("MA")</f>
        <v>MA</v>
      </c>
      <c r="K8517" t="str">
        <f>T("4134946476")</f>
        <v>4134946476</v>
      </c>
      <c r="L8517" t="str">
        <f>T("4134942003")</f>
        <v>4134942003</v>
      </c>
    </row>
    <row r="8518" spans="1:12" x14ac:dyDescent="0.35">
      <c r="A8518" t="str">
        <f>T("PROGRAM MGMT OFFICE")</f>
        <v>PROGRAM MGMT OFFICE</v>
      </c>
      <c r="B8518" t="str">
        <f>T("100 PLASTICS AVE")</f>
        <v>100 PLASTICS AVE</v>
      </c>
      <c r="C8518" t="str">
        <f>T("BLDG 1123")</f>
        <v>BLDG 1123</v>
      </c>
      <c r="D8518" t="str">
        <f>T("PITTSFIELD")</f>
        <v>PITTSFIELD</v>
      </c>
      <c r="E8518" t="str">
        <f>T("MA")</f>
        <v>MA</v>
      </c>
      <c r="F8518" t="str">
        <f>T("012013632")</f>
        <v>012013632</v>
      </c>
      <c r="G8518" t="str">
        <f>T("100 PLASTICS AVENUE")</f>
        <v>100 PLASTICS AVENUE</v>
      </c>
      <c r="H8518" t="str">
        <f>T("")</f>
        <v/>
      </c>
      <c r="I8518" t="str">
        <f>T("PITTSFIELD")</f>
        <v>PITTSFIELD</v>
      </c>
      <c r="J8518" t="str">
        <f>T("MA")</f>
        <v>MA</v>
      </c>
      <c r="K8518" t="str">
        <f>T("4134946476")</f>
        <v>4134946476</v>
      </c>
      <c r="L8518" t="str">
        <f>T("4134942191")</f>
        <v>4134942191</v>
      </c>
    </row>
    <row r="8519" spans="1:12" x14ac:dyDescent="0.35">
      <c r="A8519" t="str">
        <f t="shared" ref="A8519:B8523" si="3181">T("SWFLANT")</f>
        <v>SWFLANT</v>
      </c>
      <c r="B8519" t="str">
        <f t="shared" si="3181"/>
        <v>SWFLANT</v>
      </c>
      <c r="C8519" t="str">
        <f>T("1150 LOS ANGELES RD")</f>
        <v>1150 LOS ANGELES RD</v>
      </c>
      <c r="D8519" t="str">
        <f>T("KINGS BAY")</f>
        <v>KINGS BAY</v>
      </c>
      <c r="E8519" t="str">
        <f>T("GA")</f>
        <v>GA</v>
      </c>
      <c r="F8519" t="str">
        <f>T("315472637")</f>
        <v>315472637</v>
      </c>
      <c r="G8519" t="str">
        <f>T("SWFLANT")</f>
        <v>SWFLANT</v>
      </c>
      <c r="H8519" t="str">
        <f>T("1150 LOS ANGELES RD")</f>
        <v>1150 LOS ANGELES RD</v>
      </c>
      <c r="I8519" t="str">
        <f>T("KINGS BAY")</f>
        <v>KINGS BAY</v>
      </c>
      <c r="J8519" t="str">
        <f>T("GA")</f>
        <v>GA</v>
      </c>
      <c r="K8519" t="str">
        <f>T("9125734274")</f>
        <v>9125734274</v>
      </c>
      <c r="L8519" t="str">
        <f>T("9125739347")</f>
        <v>9125739347</v>
      </c>
    </row>
    <row r="8520" spans="1:12" x14ac:dyDescent="0.35">
      <c r="A8520" t="str">
        <f t="shared" si="3181"/>
        <v>SWFLANT</v>
      </c>
      <c r="B8520" t="str">
        <f t="shared" si="3181"/>
        <v>SWFLANT</v>
      </c>
      <c r="C8520" t="str">
        <f>T("1150 LOS ANGELES RD")</f>
        <v>1150 LOS ANGELES RD</v>
      </c>
      <c r="D8520" t="str">
        <f>T("KINGS BAY")</f>
        <v>KINGS BAY</v>
      </c>
      <c r="E8520" t="str">
        <f>T("GA")</f>
        <v>GA</v>
      </c>
      <c r="F8520" t="str">
        <f>T("315472637")</f>
        <v>315472637</v>
      </c>
      <c r="G8520" t="str">
        <f>T("SWFLANT 1150 USS LOS ANGELES RD")</f>
        <v>SWFLANT 1150 USS LOS ANGELES RD</v>
      </c>
      <c r="H8520" t="str">
        <f>T("BDLG 6005")</f>
        <v>BDLG 6005</v>
      </c>
      <c r="I8520" t="str">
        <f>T("KINGS BAY")</f>
        <v>KINGS BAY</v>
      </c>
      <c r="J8520" t="str">
        <f>T("GA")</f>
        <v>GA</v>
      </c>
      <c r="K8520" t="str">
        <f>T("000000000000000000")</f>
        <v>000000000000000000</v>
      </c>
      <c r="L8520" t="str">
        <f>T("9125733625")</f>
        <v>9125733625</v>
      </c>
    </row>
    <row r="8521" spans="1:12" x14ac:dyDescent="0.35">
      <c r="A8521" t="str">
        <f t="shared" si="3181"/>
        <v>SWFLANT</v>
      </c>
      <c r="B8521" t="str">
        <f t="shared" si="3181"/>
        <v>SWFLANT</v>
      </c>
      <c r="C8521" t="str">
        <f>T("1150 LOS ANGELES RD")</f>
        <v>1150 LOS ANGELES RD</v>
      </c>
      <c r="D8521" t="str">
        <f>T("KINGS BAY")</f>
        <v>KINGS BAY</v>
      </c>
      <c r="E8521" t="str">
        <f>T("GA")</f>
        <v>GA</v>
      </c>
      <c r="F8521" t="str">
        <f>T("315472637")</f>
        <v>315472637</v>
      </c>
      <c r="G8521" t="str">
        <f>T("SWFLANT 1150 USS LOS ANGELES RD")</f>
        <v>SWFLANT 1150 USS LOS ANGELES RD</v>
      </c>
      <c r="H8521" t="str">
        <f>T("BLDG 6005")</f>
        <v>BLDG 6005</v>
      </c>
      <c r="I8521" t="str">
        <f>T("KINGS BAY")</f>
        <v>KINGS BAY</v>
      </c>
      <c r="J8521" t="str">
        <f>T("GA")</f>
        <v>GA</v>
      </c>
      <c r="K8521" t="str">
        <f>T("000000000000000000")</f>
        <v>000000000000000000</v>
      </c>
      <c r="L8521" t="str">
        <f>T("9125733625")</f>
        <v>9125733625</v>
      </c>
    </row>
    <row r="8522" spans="1:12" x14ac:dyDescent="0.35">
      <c r="A8522" t="str">
        <f t="shared" si="3181"/>
        <v>SWFLANT</v>
      </c>
      <c r="B8522" t="str">
        <f t="shared" si="3181"/>
        <v>SWFLANT</v>
      </c>
      <c r="C8522" t="str">
        <f>T("1150 USS LOS ANGELES RD")</f>
        <v>1150 USS LOS ANGELES RD</v>
      </c>
      <c r="D8522" t="str">
        <f>T("KINGS BAY")</f>
        <v>KINGS BAY</v>
      </c>
      <c r="E8522" t="str">
        <f>T("GA")</f>
        <v>GA</v>
      </c>
      <c r="F8522" t="str">
        <f>T("315472637")</f>
        <v>315472637</v>
      </c>
      <c r="G8522" t="str">
        <f>T("SWFLANT")</f>
        <v>SWFLANT</v>
      </c>
      <c r="H8522" t="str">
        <f>T("1150 USS LOS ANGELES RD")</f>
        <v>1150 USS LOS ANGELES RD</v>
      </c>
      <c r="I8522" t="str">
        <f>T("KINGS BAY")</f>
        <v>KINGS BAY</v>
      </c>
      <c r="J8522" t="str">
        <f>T("GA")</f>
        <v>GA</v>
      </c>
      <c r="K8522" t="str">
        <f>T("9125734274")</f>
        <v>9125734274</v>
      </c>
      <c r="L8522" t="str">
        <f>T("9125739347")</f>
        <v>9125739347</v>
      </c>
    </row>
    <row r="8523" spans="1:12" x14ac:dyDescent="0.35">
      <c r="A8523" t="str">
        <f t="shared" si="3181"/>
        <v>SWFLANT</v>
      </c>
      <c r="B8523" t="str">
        <f t="shared" si="3181"/>
        <v>SWFLANT</v>
      </c>
      <c r="C8523" t="str">
        <f>T("1150 USS LOS ANGELES RD")</f>
        <v>1150 USS LOS ANGELES RD</v>
      </c>
      <c r="D8523" t="str">
        <f>T("KINGS BAY")</f>
        <v>KINGS BAY</v>
      </c>
      <c r="E8523" t="str">
        <f>T("GA")</f>
        <v>GA</v>
      </c>
      <c r="F8523" t="str">
        <f>T("315472637")</f>
        <v>315472637</v>
      </c>
      <c r="G8523" t="str">
        <f>T("SWFLANT 1150 USS LOS ANGELES RD")</f>
        <v>SWFLANT 1150 USS LOS ANGELES RD</v>
      </c>
      <c r="H8523" t="str">
        <f>T("BLDG 6005")</f>
        <v>BLDG 6005</v>
      </c>
      <c r="I8523" t="str">
        <f>T("KINGS BAY")</f>
        <v>KINGS BAY</v>
      </c>
      <c r="J8523" t="str">
        <f>T("GA")</f>
        <v>GA</v>
      </c>
      <c r="K8523" t="str">
        <f>T("000000000000000000")</f>
        <v>000000000000000000</v>
      </c>
      <c r="L8523" t="str">
        <f>T("9125733625")</f>
        <v>9125733625</v>
      </c>
    </row>
    <row r="8524" spans="1:12" x14ac:dyDescent="0.35">
      <c r="A8524" t="str">
        <f>T("SWFPAC")</f>
        <v>SWFPAC</v>
      </c>
      <c r="B8524" t="str">
        <f>T("6403 SKIP JACK CIRCLE")</f>
        <v>6403 SKIP JACK CIRCLE</v>
      </c>
      <c r="C8524" t="str">
        <f t="shared" ref="C8524:C8534" si="3182">T("")</f>
        <v/>
      </c>
      <c r="D8524" t="str">
        <f>T("SILVERDALE")</f>
        <v>SILVERDALE</v>
      </c>
      <c r="E8524" t="str">
        <f>T("WA")</f>
        <v>WA</v>
      </c>
      <c r="F8524" t="str">
        <f>T("983156400")</f>
        <v>983156400</v>
      </c>
      <c r="G8524" t="str">
        <f>T("6403 SKIP JACK CIRCLE")</f>
        <v>6403 SKIP JACK CIRCLE</v>
      </c>
      <c r="H8524" t="str">
        <f t="shared" ref="H8524:H8530" si="3183">T("")</f>
        <v/>
      </c>
      <c r="I8524" t="str">
        <f>T("SILVERDALE")</f>
        <v>SILVERDALE</v>
      </c>
      <c r="J8524" t="str">
        <f>T("WA")</f>
        <v>WA</v>
      </c>
      <c r="K8524" t="str">
        <f>T("000000000000000000")</f>
        <v>000000000000000000</v>
      </c>
      <c r="L8524" t="str">
        <f>T("3603151591")</f>
        <v>3603151591</v>
      </c>
    </row>
    <row r="8525" spans="1:12" x14ac:dyDescent="0.35">
      <c r="A8525" t="str">
        <f>T("SWFPAC")</f>
        <v>SWFPAC</v>
      </c>
      <c r="B8525" t="str">
        <f>T("6403 SKIP JACK CIRCLE")</f>
        <v>6403 SKIP JACK CIRCLE</v>
      </c>
      <c r="C8525" t="str">
        <f t="shared" si="3182"/>
        <v/>
      </c>
      <c r="D8525" t="str">
        <f>T("SILVERDALE")</f>
        <v>SILVERDALE</v>
      </c>
      <c r="E8525" t="str">
        <f>T("WA")</f>
        <v>WA</v>
      </c>
      <c r="F8525" t="str">
        <f>T("983156400")</f>
        <v>983156400</v>
      </c>
      <c r="G8525" t="str">
        <f>T("6403 SKIPJACK CIRCLE")</f>
        <v>6403 SKIPJACK CIRCLE</v>
      </c>
      <c r="H8525" t="str">
        <f t="shared" si="3183"/>
        <v/>
      </c>
      <c r="I8525" t="str">
        <f>T("SILVERDALE")</f>
        <v>SILVERDALE</v>
      </c>
      <c r="J8525" t="str">
        <f>T("WA")</f>
        <v>WA</v>
      </c>
      <c r="K8525" t="str">
        <f>T("000000000000000000")</f>
        <v>000000000000000000</v>
      </c>
      <c r="L8525" t="str">
        <f>T("3603151582")</f>
        <v>3603151582</v>
      </c>
    </row>
    <row r="8526" spans="1:12" x14ac:dyDescent="0.35">
      <c r="A8526" t="str">
        <f>T("SWFPAC")</f>
        <v>SWFPAC</v>
      </c>
      <c r="B8526" t="str">
        <f>T("6403 SKIP JACK CIRCLE")</f>
        <v>6403 SKIP JACK CIRCLE</v>
      </c>
      <c r="C8526" t="str">
        <f t="shared" si="3182"/>
        <v/>
      </c>
      <c r="D8526" t="str">
        <f>T("SILVERDALE")</f>
        <v>SILVERDALE</v>
      </c>
      <c r="E8526" t="str">
        <f>T("WA")</f>
        <v>WA</v>
      </c>
      <c r="F8526" t="str">
        <f>T("983156400")</f>
        <v>983156400</v>
      </c>
      <c r="G8526" t="str">
        <f>T("6403 SKIPJACK CIRCLE")</f>
        <v>6403 SKIPJACK CIRCLE</v>
      </c>
      <c r="H8526" t="str">
        <f t="shared" si="3183"/>
        <v/>
      </c>
      <c r="I8526" t="str">
        <f>T("SILVERDALE")</f>
        <v>SILVERDALE</v>
      </c>
      <c r="J8526" t="str">
        <f>T("WA")</f>
        <v>WA</v>
      </c>
      <c r="K8526" t="str">
        <f>T("000000000000000000")</f>
        <v>000000000000000000</v>
      </c>
      <c r="L8526" t="str">
        <f>T("3603151591")</f>
        <v>3603151591</v>
      </c>
    </row>
    <row r="8527" spans="1:12" x14ac:dyDescent="0.35">
      <c r="A8527" t="str">
        <f>T("SWFPAC")</f>
        <v>SWFPAC</v>
      </c>
      <c r="B8527" t="str">
        <f>T("6403 SKIP JACK CIRCLE")</f>
        <v>6403 SKIP JACK CIRCLE</v>
      </c>
      <c r="C8527" t="str">
        <f t="shared" si="3182"/>
        <v/>
      </c>
      <c r="D8527" t="str">
        <f>T("SILVERDALE")</f>
        <v>SILVERDALE</v>
      </c>
      <c r="E8527" t="str">
        <f>T("WA")</f>
        <v>WA</v>
      </c>
      <c r="F8527" t="str">
        <f>T("983156400")</f>
        <v>983156400</v>
      </c>
      <c r="G8527" t="str">
        <f>T("6403 SKIPJACK CIRCLE")</f>
        <v>6403 SKIPJACK CIRCLE</v>
      </c>
      <c r="H8527" t="str">
        <f t="shared" si="3183"/>
        <v/>
      </c>
      <c r="I8527" t="str">
        <f>T("SILVERDALE")</f>
        <v>SILVERDALE</v>
      </c>
      <c r="J8527" t="str">
        <f>T("WA")</f>
        <v>WA</v>
      </c>
      <c r="K8527" t="str">
        <f>T("000000000000000000")</f>
        <v>000000000000000000</v>
      </c>
      <c r="L8527" t="str">
        <f>T("3603968912")</f>
        <v>3603968912</v>
      </c>
    </row>
    <row r="8528" spans="1:12" x14ac:dyDescent="0.35">
      <c r="A8528" t="str">
        <f>T("SPUK")</f>
        <v>SPUK</v>
      </c>
      <c r="B8528" t="str">
        <f>T("UNIT 4550")</f>
        <v>UNIT 4550</v>
      </c>
      <c r="C8528" t="str">
        <f t="shared" si="3182"/>
        <v/>
      </c>
      <c r="D8528" t="str">
        <f>T("APO")</f>
        <v>APO</v>
      </c>
      <c r="E8528" t="str">
        <f>T("AE")</f>
        <v>AE</v>
      </c>
      <c r="F8528" t="str">
        <f>T("094214550")</f>
        <v>094214550</v>
      </c>
      <c r="G8528" t="str">
        <f>T("UNIT 4550")</f>
        <v>UNIT 4550</v>
      </c>
      <c r="H8528" t="str">
        <f t="shared" si="3183"/>
        <v/>
      </c>
      <c r="I8528" t="str">
        <f>T("APO")</f>
        <v>APO</v>
      </c>
      <c r="J8528" t="str">
        <f>T("AE")</f>
        <v>AE</v>
      </c>
      <c r="K8528" t="str">
        <f>T("")</f>
        <v/>
      </c>
      <c r="L8528" t="str">
        <f>T("1111111111")</f>
        <v>1111111111</v>
      </c>
    </row>
    <row r="8529" spans="1:12" x14ac:dyDescent="0.35">
      <c r="A8529" t="str">
        <f t="shared" ref="A8529:A8560" si="3184">T("MSC DC")</f>
        <v>MSC DC</v>
      </c>
      <c r="B8529" t="str">
        <f t="shared" ref="B8529:B8534" si="3185">T("1029 HIGHWAY 33 EAST")</f>
        <v>1029 HIGHWAY 33 EAST</v>
      </c>
      <c r="C8529" t="str">
        <f t="shared" si="3182"/>
        <v/>
      </c>
      <c r="D8529" t="str">
        <f t="shared" ref="D8529:D8534" si="3186">T("FREEHOLD")</f>
        <v>FREEHOLD</v>
      </c>
      <c r="E8529" t="str">
        <f t="shared" ref="E8529:E8534" si="3187">T("NJ")</f>
        <v>NJ</v>
      </c>
      <c r="F8529" t="str">
        <f t="shared" ref="F8529:F8534" si="3188">T("077288440")</f>
        <v>077288440</v>
      </c>
      <c r="G8529" t="str">
        <f>T("1029 HIGHWAY 33 EAST")</f>
        <v>1029 HIGHWAY 33 EAST</v>
      </c>
      <c r="H8529" t="str">
        <f t="shared" si="3183"/>
        <v/>
      </c>
      <c r="I8529" t="str">
        <f t="shared" ref="I8529:I8534" si="3189">T("FREEHOLD")</f>
        <v>FREEHOLD</v>
      </c>
      <c r="J8529" t="str">
        <f t="shared" ref="J8529:J8534" si="3190">T("NJ")</f>
        <v>NJ</v>
      </c>
      <c r="K8529" t="str">
        <f>T("000000000000000000")</f>
        <v>000000000000000000</v>
      </c>
      <c r="L8529" t="str">
        <f>T("7329384979")</f>
        <v>7329384979</v>
      </c>
    </row>
    <row r="8530" spans="1:12" x14ac:dyDescent="0.35">
      <c r="A8530" t="str">
        <f t="shared" si="3184"/>
        <v>MSC DC</v>
      </c>
      <c r="B8530" t="str">
        <f t="shared" si="3185"/>
        <v>1029 HIGHWAY 33 EAST</v>
      </c>
      <c r="C8530" t="str">
        <f t="shared" si="3182"/>
        <v/>
      </c>
      <c r="D8530" t="str">
        <f t="shared" si="3186"/>
        <v>FREEHOLD</v>
      </c>
      <c r="E8530" t="str">
        <f t="shared" si="3187"/>
        <v>NJ</v>
      </c>
      <c r="F8530" t="str">
        <f t="shared" si="3188"/>
        <v>077288440</v>
      </c>
      <c r="G8530" t="str">
        <f>T("1029 HWY 33E")</f>
        <v>1029 HWY 33E</v>
      </c>
      <c r="H8530" t="str">
        <f t="shared" si="3183"/>
        <v/>
      </c>
      <c r="I8530" t="str">
        <f t="shared" si="3189"/>
        <v>FREEHOLD</v>
      </c>
      <c r="J8530" t="str">
        <f t="shared" si="3190"/>
        <v>NJ</v>
      </c>
      <c r="K8530" t="str">
        <f>T("7329384615")</f>
        <v>7329384615</v>
      </c>
      <c r="L8530" t="str">
        <f>T("7329384979")</f>
        <v>7329384979</v>
      </c>
    </row>
    <row r="8531" spans="1:12" x14ac:dyDescent="0.35">
      <c r="A8531" t="str">
        <f t="shared" si="3184"/>
        <v>MSC DC</v>
      </c>
      <c r="B8531" t="str">
        <f t="shared" si="3185"/>
        <v>1029 HIGHWAY 33 EAST</v>
      </c>
      <c r="C8531" t="str">
        <f t="shared" si="3182"/>
        <v/>
      </c>
      <c r="D8531" t="str">
        <f t="shared" si="3186"/>
        <v>FREEHOLD</v>
      </c>
      <c r="E8531" t="str">
        <f t="shared" si="3187"/>
        <v>NJ</v>
      </c>
      <c r="F8531" t="str">
        <f t="shared" si="3188"/>
        <v>077288440</v>
      </c>
      <c r="G8531" t="str">
        <f>T("MSC FIRE SCHOOL")</f>
        <v>MSC FIRE SCHOOL</v>
      </c>
      <c r="H8531" t="str">
        <f>T("1029 HWY 33")</f>
        <v>1029 HWY 33</v>
      </c>
      <c r="I8531" t="str">
        <f t="shared" si="3189"/>
        <v>FREEHOLD</v>
      </c>
      <c r="J8531" t="str">
        <f t="shared" si="3190"/>
        <v>NJ</v>
      </c>
      <c r="K8531" t="str">
        <f>T("000000000000000000")</f>
        <v>000000000000000000</v>
      </c>
      <c r="L8531" t="str">
        <f>T("7574432798")</f>
        <v>7574432798</v>
      </c>
    </row>
    <row r="8532" spans="1:12" x14ac:dyDescent="0.35">
      <c r="A8532" t="str">
        <f t="shared" si="3184"/>
        <v>MSC DC</v>
      </c>
      <c r="B8532" t="str">
        <f t="shared" si="3185"/>
        <v>1029 HIGHWAY 33 EAST</v>
      </c>
      <c r="C8532" t="str">
        <f t="shared" si="3182"/>
        <v/>
      </c>
      <c r="D8532" t="str">
        <f t="shared" si="3186"/>
        <v>FREEHOLD</v>
      </c>
      <c r="E8532" t="str">
        <f t="shared" si="3187"/>
        <v>NJ</v>
      </c>
      <c r="F8532" t="str">
        <f t="shared" si="3188"/>
        <v>077288440</v>
      </c>
      <c r="G8532" t="str">
        <f>T("MSC FIRE SCHOOL")</f>
        <v>MSC FIRE SCHOOL</v>
      </c>
      <c r="H8532" t="str">
        <f>T("1029 HWY 33 E")</f>
        <v>1029 HWY 33 E</v>
      </c>
      <c r="I8532" t="str">
        <f t="shared" si="3189"/>
        <v>FREEHOLD</v>
      </c>
      <c r="J8532" t="str">
        <f t="shared" si="3190"/>
        <v>NJ</v>
      </c>
      <c r="K8532" t="str">
        <f>T("000000000000000000")</f>
        <v>000000000000000000</v>
      </c>
      <c r="L8532" t="str">
        <f>T("1111111111")</f>
        <v>1111111111</v>
      </c>
    </row>
    <row r="8533" spans="1:12" x14ac:dyDescent="0.35">
      <c r="A8533" t="str">
        <f t="shared" si="3184"/>
        <v>MSC DC</v>
      </c>
      <c r="B8533" t="str">
        <f t="shared" si="3185"/>
        <v>1029 HIGHWAY 33 EAST</v>
      </c>
      <c r="C8533" t="str">
        <f t="shared" si="3182"/>
        <v/>
      </c>
      <c r="D8533" t="str">
        <f t="shared" si="3186"/>
        <v>FREEHOLD</v>
      </c>
      <c r="E8533" t="str">
        <f t="shared" si="3187"/>
        <v>NJ</v>
      </c>
      <c r="F8533" t="str">
        <f t="shared" si="3188"/>
        <v>077288440</v>
      </c>
      <c r="G8533" t="str">
        <f>T("MSC FIRE SCHOOL")</f>
        <v>MSC FIRE SCHOOL</v>
      </c>
      <c r="H8533" t="str">
        <f>T("1029 HWY 33 EAST")</f>
        <v>1029 HWY 33 EAST</v>
      </c>
      <c r="I8533" t="str">
        <f t="shared" si="3189"/>
        <v>FREEHOLD</v>
      </c>
      <c r="J8533" t="str">
        <f t="shared" si="3190"/>
        <v>NJ</v>
      </c>
      <c r="K8533" t="str">
        <f>T("000000000000000000")</f>
        <v>000000000000000000</v>
      </c>
      <c r="L8533" t="str">
        <f>T("1111111111")</f>
        <v>1111111111</v>
      </c>
    </row>
    <row r="8534" spans="1:12" x14ac:dyDescent="0.35">
      <c r="A8534" t="str">
        <f t="shared" si="3184"/>
        <v>MSC DC</v>
      </c>
      <c r="B8534" t="str">
        <f t="shared" si="3185"/>
        <v>1029 HIGHWAY 33 EAST</v>
      </c>
      <c r="C8534" t="str">
        <f t="shared" si="3182"/>
        <v/>
      </c>
      <c r="D8534" t="str">
        <f t="shared" si="3186"/>
        <v>FREEHOLD</v>
      </c>
      <c r="E8534" t="str">
        <f t="shared" si="3187"/>
        <v>NJ</v>
      </c>
      <c r="F8534" t="str">
        <f t="shared" si="3188"/>
        <v>077288440</v>
      </c>
      <c r="G8534" t="str">
        <f>T("MSC FIRE SCHOOL")</f>
        <v>MSC FIRE SCHOOL</v>
      </c>
      <c r="H8534" t="str">
        <f>T("1029 HWY 33 EAST")</f>
        <v>1029 HWY 33 EAST</v>
      </c>
      <c r="I8534" t="str">
        <f t="shared" si="3189"/>
        <v>FREEHOLD</v>
      </c>
      <c r="J8534" t="str">
        <f t="shared" si="3190"/>
        <v>NJ</v>
      </c>
      <c r="K8534" t="str">
        <f>T("000000000000000000")</f>
        <v>000000000000000000</v>
      </c>
      <c r="L8534" t="str">
        <f>T("7329384979")</f>
        <v>7329384979</v>
      </c>
    </row>
    <row r="8535" spans="1:12" x14ac:dyDescent="0.35">
      <c r="A8535" t="str">
        <f t="shared" si="3184"/>
        <v>MSC DC</v>
      </c>
      <c r="B8535" t="str">
        <f>T("1283 TOW WAY DRIVE")</f>
        <v>1283 TOW WAY DRIVE</v>
      </c>
      <c r="C8535" t="str">
        <f>T("BLDG R52")</f>
        <v>BLDG R52</v>
      </c>
      <c r="D8535" t="str">
        <f t="shared" ref="D8535:D8566" si="3191">T("NORFOLK")</f>
        <v>NORFOLK</v>
      </c>
      <c r="E8535" t="str">
        <f t="shared" ref="E8535:E8566" si="3192">T("VA")</f>
        <v>VA</v>
      </c>
      <c r="F8535" t="str">
        <f>T("235112412")</f>
        <v>235112412</v>
      </c>
      <c r="G8535" t="str">
        <f>T("1050 REMOUNT RD")</f>
        <v>1050 REMOUNT RD</v>
      </c>
      <c r="H8535" t="str">
        <f>T("BLDG 3814")</f>
        <v>BLDG 3814</v>
      </c>
      <c r="I8535" t="str">
        <f>T("NORTH CHARLESTON")</f>
        <v>NORTH CHARLESTON</v>
      </c>
      <c r="J8535" t="str">
        <f>T("SC")</f>
        <v>SC</v>
      </c>
      <c r="K8535" t="str">
        <f>T("000000000000000000")</f>
        <v>000000000000000000</v>
      </c>
      <c r="L8535" t="str">
        <f>T("8437430566")</f>
        <v>8437430566</v>
      </c>
    </row>
    <row r="8536" spans="1:12" x14ac:dyDescent="0.35">
      <c r="A8536" t="str">
        <f t="shared" si="3184"/>
        <v>MSC DC</v>
      </c>
      <c r="B8536" t="str">
        <f>T("1283 TOW WAY DRIVE")</f>
        <v>1283 TOW WAY DRIVE</v>
      </c>
      <c r="C8536" t="str">
        <f>T("BLDG R52")</f>
        <v>BLDG R52</v>
      </c>
      <c r="D8536" t="str">
        <f t="shared" si="3191"/>
        <v>NORFOLK</v>
      </c>
      <c r="E8536" t="str">
        <f t="shared" si="3192"/>
        <v>VA</v>
      </c>
      <c r="F8536" t="str">
        <f>T("235112412")</f>
        <v>235112412</v>
      </c>
      <c r="G8536" t="str">
        <f>T("1283 TOW WAY DRIVE")</f>
        <v>1283 TOW WAY DRIVE</v>
      </c>
      <c r="H8536" t="str">
        <f>T("BLDG R52")</f>
        <v>BLDG R52</v>
      </c>
      <c r="I8536" t="str">
        <f t="shared" ref="I8536:I8580" si="3193">T("NORFOLK")</f>
        <v>NORFOLK</v>
      </c>
      <c r="J8536" t="str">
        <f t="shared" ref="J8536:J8580" si="3194">T("VA")</f>
        <v>VA</v>
      </c>
      <c r="K8536" t="str">
        <f>T("7574435609")</f>
        <v>7574435609</v>
      </c>
      <c r="L8536" t="str">
        <f>T("7574435645")</f>
        <v>7574435645</v>
      </c>
    </row>
    <row r="8537" spans="1:12" x14ac:dyDescent="0.35">
      <c r="A8537" t="str">
        <f t="shared" si="3184"/>
        <v>MSC DC</v>
      </c>
      <c r="B8537" t="str">
        <f>T("1283 TOW WAY DRIVE")</f>
        <v>1283 TOW WAY DRIVE</v>
      </c>
      <c r="C8537" t="str">
        <f>T("BLDG R52")</f>
        <v>BLDG R52</v>
      </c>
      <c r="D8537" t="str">
        <f t="shared" si="3191"/>
        <v>NORFOLK</v>
      </c>
      <c r="E8537" t="str">
        <f t="shared" si="3192"/>
        <v>VA</v>
      </c>
      <c r="F8537" t="str">
        <f>T("235112412")</f>
        <v>235112412</v>
      </c>
      <c r="G8537" t="str">
        <f>T("471 EAST C ST")</f>
        <v>471 EAST C ST</v>
      </c>
      <c r="H8537" t="str">
        <f>T("BLDG SP-15")</f>
        <v>BLDG SP-15</v>
      </c>
      <c r="I8537" t="str">
        <f t="shared" si="3193"/>
        <v>NORFOLK</v>
      </c>
      <c r="J8537" t="str">
        <f t="shared" si="3194"/>
        <v>VA</v>
      </c>
      <c r="K8537" t="str">
        <f>T("7574435609")</f>
        <v>7574435609</v>
      </c>
      <c r="L8537" t="str">
        <f>T("7574433997")</f>
        <v>7574433997</v>
      </c>
    </row>
    <row r="8538" spans="1:12" x14ac:dyDescent="0.35">
      <c r="A8538" t="str">
        <f t="shared" si="3184"/>
        <v>MSC DC</v>
      </c>
      <c r="B8538" t="str">
        <f>T("1653 MORRIS STREET")</f>
        <v>1653 MORRIS STREET</v>
      </c>
      <c r="C8538" t="str">
        <f>T("BUILDING K-BB")</f>
        <v>BUILDING K-BB</v>
      </c>
      <c r="D8538" t="str">
        <f t="shared" si="3191"/>
        <v>NORFOLK</v>
      </c>
      <c r="E8538" t="str">
        <f t="shared" si="3192"/>
        <v>VA</v>
      </c>
      <c r="F8538" t="str">
        <f>T("235112809")</f>
        <v>235112809</v>
      </c>
      <c r="G8538" t="str">
        <f>T("1653 MORRIS ST")</f>
        <v>1653 MORRIS ST</v>
      </c>
      <c r="H8538" t="str">
        <f>T("BLDG KBB")</f>
        <v>BLDG KBB</v>
      </c>
      <c r="I8538" t="str">
        <f t="shared" si="3193"/>
        <v>NORFOLK</v>
      </c>
      <c r="J8538" t="str">
        <f t="shared" si="3194"/>
        <v>VA</v>
      </c>
      <c r="K8538" t="str">
        <f>T("7574440843")</f>
        <v>7574440843</v>
      </c>
      <c r="L8538" t="str">
        <f>T("7574441203")</f>
        <v>7574441203</v>
      </c>
    </row>
    <row r="8539" spans="1:12" x14ac:dyDescent="0.35">
      <c r="A8539" t="str">
        <f t="shared" si="3184"/>
        <v>MSC DC</v>
      </c>
      <c r="B8539" t="str">
        <f>T("1653 MORRIS STREET")</f>
        <v>1653 MORRIS STREET</v>
      </c>
      <c r="C8539" t="str">
        <f>T("BUILDING K-BB")</f>
        <v>BUILDING K-BB</v>
      </c>
      <c r="D8539" t="str">
        <f t="shared" si="3191"/>
        <v>NORFOLK</v>
      </c>
      <c r="E8539" t="str">
        <f t="shared" si="3192"/>
        <v>VA</v>
      </c>
      <c r="F8539" t="str">
        <f>T("235112809")</f>
        <v>235112809</v>
      </c>
      <c r="G8539" t="str">
        <f>T("1653 MORRIS STREET")</f>
        <v>1653 MORRIS STREET</v>
      </c>
      <c r="H8539" t="str">
        <f>T("BUILDING K-BB")</f>
        <v>BUILDING K-BB</v>
      </c>
      <c r="I8539" t="str">
        <f t="shared" si="3193"/>
        <v>NORFOLK</v>
      </c>
      <c r="J8539" t="str">
        <f t="shared" si="3194"/>
        <v>VA</v>
      </c>
      <c r="K8539" t="str">
        <f>T("7574440843")</f>
        <v>7574440843</v>
      </c>
      <c r="L8539" t="str">
        <f>T("7574441382")</f>
        <v>7574441382</v>
      </c>
    </row>
    <row r="8540" spans="1:12" x14ac:dyDescent="0.35">
      <c r="A8540" t="str">
        <f t="shared" si="3184"/>
        <v>MSC DC</v>
      </c>
      <c r="B8540" t="str">
        <f>T("1653 MORRIS STREET")</f>
        <v>1653 MORRIS STREET</v>
      </c>
      <c r="C8540" t="str">
        <f>T("BUILDING K-BB")</f>
        <v>BUILDING K-BB</v>
      </c>
      <c r="D8540" t="str">
        <f t="shared" si="3191"/>
        <v>NORFOLK</v>
      </c>
      <c r="E8540" t="str">
        <f t="shared" si="3192"/>
        <v>VA</v>
      </c>
      <c r="F8540" t="str">
        <f>T("235112809")</f>
        <v>235112809</v>
      </c>
      <c r="G8540" t="str">
        <f>T("471 EAST C ST")</f>
        <v>471 EAST C ST</v>
      </c>
      <c r="H8540" t="str">
        <f>T("BLDG SP64")</f>
        <v>BLDG SP64</v>
      </c>
      <c r="I8540" t="str">
        <f t="shared" si="3193"/>
        <v>NORFOLK</v>
      </c>
      <c r="J8540" t="str">
        <f t="shared" si="3194"/>
        <v>VA</v>
      </c>
      <c r="K8540" t="str">
        <f>T("000000000000000000")</f>
        <v>000000000000000000</v>
      </c>
      <c r="L8540" t="str">
        <f>T("7574432890")</f>
        <v>7574432890</v>
      </c>
    </row>
    <row r="8541" spans="1:12" x14ac:dyDescent="0.35">
      <c r="A8541" t="str">
        <f t="shared" si="3184"/>
        <v>MSC DC</v>
      </c>
      <c r="B8541" t="str">
        <f>T("2425 STALWART RD")</f>
        <v>2425 STALWART RD</v>
      </c>
      <c r="C8541" t="str">
        <f>T("SUITE 200")</f>
        <v>SUITE 200</v>
      </c>
      <c r="D8541" t="str">
        <f t="shared" si="3191"/>
        <v>NORFOLK</v>
      </c>
      <c r="E8541" t="str">
        <f t="shared" si="3192"/>
        <v>VA</v>
      </c>
      <c r="F8541" t="str">
        <f>T("234599327")</f>
        <v>234599327</v>
      </c>
      <c r="G8541" t="str">
        <f>T("2425 STALWART RD")</f>
        <v>2425 STALWART RD</v>
      </c>
      <c r="H8541" t="str">
        <f>T("SUITE 200")</f>
        <v>SUITE 200</v>
      </c>
      <c r="I8541" t="str">
        <f t="shared" si="3193"/>
        <v>NORFOLK</v>
      </c>
      <c r="J8541" t="str">
        <f t="shared" si="3194"/>
        <v>VA</v>
      </c>
      <c r="K8541" t="str">
        <f>T("7574687876")</f>
        <v>7574687876</v>
      </c>
      <c r="L8541" t="str">
        <f>T("7574623097")</f>
        <v>7574623097</v>
      </c>
    </row>
    <row r="8542" spans="1:12" x14ac:dyDescent="0.35">
      <c r="A8542" t="str">
        <f t="shared" si="3184"/>
        <v>MSC DC</v>
      </c>
      <c r="B8542" t="str">
        <f>T("471 C ST SP-48 C-WING")</f>
        <v>471 C ST SP-48 C-WING</v>
      </c>
      <c r="C8542" t="str">
        <f>T("")</f>
        <v/>
      </c>
      <c r="D8542" t="str">
        <f t="shared" si="3191"/>
        <v>NORFOLK</v>
      </c>
      <c r="E8542" t="str">
        <f t="shared" si="3192"/>
        <v>VA</v>
      </c>
      <c r="F8542" t="str">
        <f t="shared" ref="F8542:F8556" si="3195">T("235113905")</f>
        <v>235113905</v>
      </c>
      <c r="G8542" t="str">
        <f>T("471 C ST SP-48 C-WING")</f>
        <v>471 C ST SP-48 C-WING</v>
      </c>
      <c r="H8542" t="str">
        <f>T("")</f>
        <v/>
      </c>
      <c r="I8542" t="str">
        <f t="shared" si="3193"/>
        <v>NORFOLK</v>
      </c>
      <c r="J8542" t="str">
        <f t="shared" si="3194"/>
        <v>VA</v>
      </c>
      <c r="K8542" t="str">
        <f>T("2026855160")</f>
        <v>2026855160</v>
      </c>
      <c r="L8542" t="str">
        <f>T("7574431802")</f>
        <v>7574431802</v>
      </c>
    </row>
    <row r="8543" spans="1:12" x14ac:dyDescent="0.35">
      <c r="A8543" t="str">
        <f t="shared" si="3184"/>
        <v>MSC DC</v>
      </c>
      <c r="B8543" t="str">
        <f>T("471 C ST SP-48 C-WING")</f>
        <v>471 C ST SP-48 C-WING</v>
      </c>
      <c r="C8543" t="str">
        <f>T("")</f>
        <v/>
      </c>
      <c r="D8543" t="str">
        <f t="shared" si="3191"/>
        <v>NORFOLK</v>
      </c>
      <c r="E8543" t="str">
        <f t="shared" si="3192"/>
        <v>VA</v>
      </c>
      <c r="F8543" t="str">
        <f t="shared" si="3195"/>
        <v>235113905</v>
      </c>
      <c r="G8543" t="str">
        <f>T("471 E C STREET")</f>
        <v>471 E C STREET</v>
      </c>
      <c r="H8543" t="str">
        <f>T("2ND FLOOR C WING")</f>
        <v>2ND FLOOR C WING</v>
      </c>
      <c r="I8543" t="str">
        <f t="shared" si="3193"/>
        <v>NORFOLK</v>
      </c>
      <c r="J8543" t="str">
        <f t="shared" si="3194"/>
        <v>VA</v>
      </c>
      <c r="K8543" t="str">
        <f>T("000000000000000000")</f>
        <v>000000000000000000</v>
      </c>
      <c r="L8543" t="str">
        <f>T("7574432359")</f>
        <v>7574432359</v>
      </c>
    </row>
    <row r="8544" spans="1:12" x14ac:dyDescent="0.35">
      <c r="A8544" t="str">
        <f t="shared" si="3184"/>
        <v>MSC DC</v>
      </c>
      <c r="B8544" t="str">
        <f>T("471 C STREET")</f>
        <v>471 C STREET</v>
      </c>
      <c r="C8544" t="str">
        <f>T("BLDG SP-48")</f>
        <v>BLDG SP-48</v>
      </c>
      <c r="D8544" t="str">
        <f t="shared" si="3191"/>
        <v>NORFOLK</v>
      </c>
      <c r="E8544" t="str">
        <f t="shared" si="3192"/>
        <v>VA</v>
      </c>
      <c r="F8544" t="str">
        <f t="shared" si="3195"/>
        <v>235113905</v>
      </c>
      <c r="G8544" t="str">
        <f>T("471 C STREET")</f>
        <v>471 C STREET</v>
      </c>
      <c r="H8544" t="str">
        <f>T("BLDG SP-48")</f>
        <v>BLDG SP-48</v>
      </c>
      <c r="I8544" t="str">
        <f t="shared" si="3193"/>
        <v>NORFOLK</v>
      </c>
      <c r="J8544" t="str">
        <f t="shared" si="3194"/>
        <v>VA</v>
      </c>
      <c r="K8544" t="str">
        <f>T("000000000000000000")</f>
        <v>000000000000000000</v>
      </c>
      <c r="L8544" t="str">
        <f>T("7574430966")</f>
        <v>7574430966</v>
      </c>
    </row>
    <row r="8545" spans="1:12" x14ac:dyDescent="0.35">
      <c r="A8545" t="str">
        <f t="shared" si="3184"/>
        <v>MSC DC</v>
      </c>
      <c r="B8545" t="str">
        <f>T("471 C STREET")</f>
        <v>471 C STREET</v>
      </c>
      <c r="C8545" t="str">
        <f>T("BLDG SP-48")</f>
        <v>BLDG SP-48</v>
      </c>
      <c r="D8545" t="str">
        <f t="shared" si="3191"/>
        <v>NORFOLK</v>
      </c>
      <c r="E8545" t="str">
        <f t="shared" si="3192"/>
        <v>VA</v>
      </c>
      <c r="F8545" t="str">
        <f t="shared" si="3195"/>
        <v>235113905</v>
      </c>
      <c r="G8545" t="str">
        <f>T("471 EAST C ST")</f>
        <v>471 EAST C ST</v>
      </c>
      <c r="H8545" t="str">
        <f>T("SP64")</f>
        <v>SP64</v>
      </c>
      <c r="I8545" t="str">
        <f t="shared" si="3193"/>
        <v>NORFOLK</v>
      </c>
      <c r="J8545" t="str">
        <f t="shared" si="3194"/>
        <v>VA</v>
      </c>
      <c r="K8545" t="str">
        <f>T("000000000000000000")</f>
        <v>000000000000000000</v>
      </c>
      <c r="L8545" t="str">
        <f>T("7574430969")</f>
        <v>7574430969</v>
      </c>
    </row>
    <row r="8546" spans="1:12" x14ac:dyDescent="0.35">
      <c r="A8546" t="str">
        <f t="shared" si="3184"/>
        <v>MSC DC</v>
      </c>
      <c r="B8546" t="str">
        <f>T("471 EAST C ST")</f>
        <v>471 EAST C ST</v>
      </c>
      <c r="C8546" t="str">
        <f>T("BLDG SP64")</f>
        <v>BLDG SP64</v>
      </c>
      <c r="D8546" t="str">
        <f t="shared" si="3191"/>
        <v>NORFOLK</v>
      </c>
      <c r="E8546" t="str">
        <f t="shared" si="3192"/>
        <v>VA</v>
      </c>
      <c r="F8546" t="str">
        <f t="shared" si="3195"/>
        <v>235113905</v>
      </c>
      <c r="G8546" t="str">
        <f>T("459 CHAPEL RD BLDG SP 15")</f>
        <v>459 CHAPEL RD BLDG SP 15</v>
      </c>
      <c r="H8546" t="str">
        <f>T("")</f>
        <v/>
      </c>
      <c r="I8546" t="str">
        <f t="shared" si="3193"/>
        <v>NORFOLK</v>
      </c>
      <c r="J8546" t="str">
        <f t="shared" si="3194"/>
        <v>VA</v>
      </c>
      <c r="K8546" t="str">
        <f>T("000000000000000000")</f>
        <v>000000000000000000</v>
      </c>
      <c r="L8546" t="str">
        <f>T("7574433116")</f>
        <v>7574433116</v>
      </c>
    </row>
    <row r="8547" spans="1:12" x14ac:dyDescent="0.35">
      <c r="A8547" t="str">
        <f t="shared" si="3184"/>
        <v>MSC DC</v>
      </c>
      <c r="B8547" t="str">
        <f>T("471 EAST C ST")</f>
        <v>471 EAST C ST</v>
      </c>
      <c r="C8547" t="str">
        <f>T("BLDG SP64")</f>
        <v>BLDG SP64</v>
      </c>
      <c r="D8547" t="str">
        <f t="shared" si="3191"/>
        <v>NORFOLK</v>
      </c>
      <c r="E8547" t="str">
        <f t="shared" si="3192"/>
        <v>VA</v>
      </c>
      <c r="F8547" t="str">
        <f t="shared" si="3195"/>
        <v>235113905</v>
      </c>
      <c r="G8547" t="str">
        <f>T("471 EAST C ST")</f>
        <v>471 EAST C ST</v>
      </c>
      <c r="H8547" t="str">
        <f>T("BLDG SP64")</f>
        <v>BLDG SP64</v>
      </c>
      <c r="I8547" t="str">
        <f t="shared" si="3193"/>
        <v>NORFOLK</v>
      </c>
      <c r="J8547" t="str">
        <f t="shared" si="3194"/>
        <v>VA</v>
      </c>
      <c r="K8547" t="str">
        <f>T("")</f>
        <v/>
      </c>
      <c r="L8547" t="str">
        <f>T("7574432949")</f>
        <v>7574432949</v>
      </c>
    </row>
    <row r="8548" spans="1:12" x14ac:dyDescent="0.35">
      <c r="A8548" t="str">
        <f t="shared" si="3184"/>
        <v>MSC DC</v>
      </c>
      <c r="B8548" t="str">
        <f>T("471 EAST C ST")</f>
        <v>471 EAST C ST</v>
      </c>
      <c r="C8548" t="str">
        <f>T("BLDG SP64")</f>
        <v>BLDG SP64</v>
      </c>
      <c r="D8548" t="str">
        <f t="shared" si="3191"/>
        <v>NORFOLK</v>
      </c>
      <c r="E8548" t="str">
        <f t="shared" si="3192"/>
        <v>VA</v>
      </c>
      <c r="F8548" t="str">
        <f t="shared" si="3195"/>
        <v>235113905</v>
      </c>
      <c r="G8548" t="str">
        <f>T("471 EAST C STREET")</f>
        <v>471 EAST C STREET</v>
      </c>
      <c r="H8548" t="str">
        <f>T("")</f>
        <v/>
      </c>
      <c r="I8548" t="str">
        <f t="shared" si="3193"/>
        <v>NORFOLK</v>
      </c>
      <c r="J8548" t="str">
        <f t="shared" si="3194"/>
        <v>VA</v>
      </c>
      <c r="K8548" t="str">
        <f>T("000000000000000000")</f>
        <v>000000000000000000</v>
      </c>
      <c r="L8548" t="str">
        <f>T("7574433117")</f>
        <v>7574433117</v>
      </c>
    </row>
    <row r="8549" spans="1:12" x14ac:dyDescent="0.35">
      <c r="A8549" t="str">
        <f t="shared" si="3184"/>
        <v>MSC DC</v>
      </c>
      <c r="B8549" t="str">
        <f>T("471 EAST C ST BLDG SP47")</f>
        <v>471 EAST C ST BLDG SP47</v>
      </c>
      <c r="C8549" t="str">
        <f>T("")</f>
        <v/>
      </c>
      <c r="D8549" t="str">
        <f t="shared" si="3191"/>
        <v>NORFOLK</v>
      </c>
      <c r="E8549" t="str">
        <f t="shared" si="3192"/>
        <v>VA</v>
      </c>
      <c r="F8549" t="str">
        <f t="shared" si="3195"/>
        <v>235113905</v>
      </c>
      <c r="G8549" t="str">
        <f>T("471 EAST C ST BLDG SP47")</f>
        <v>471 EAST C ST BLDG SP47</v>
      </c>
      <c r="H8549" t="str">
        <f>T("")</f>
        <v/>
      </c>
      <c r="I8549" t="str">
        <f t="shared" si="3193"/>
        <v>NORFOLK</v>
      </c>
      <c r="J8549" t="str">
        <f t="shared" si="3194"/>
        <v>VA</v>
      </c>
      <c r="K8549" t="str">
        <f>T("000000000000000000")</f>
        <v>000000000000000000</v>
      </c>
      <c r="L8549" t="str">
        <f>T("7574430926")</f>
        <v>7574430926</v>
      </c>
    </row>
    <row r="8550" spans="1:12" x14ac:dyDescent="0.35">
      <c r="A8550" t="str">
        <f t="shared" si="3184"/>
        <v>MSC DC</v>
      </c>
      <c r="B8550" t="str">
        <f t="shared" ref="B8550:B8579" si="3196">T("471 EAST C STREET")</f>
        <v>471 EAST C STREET</v>
      </c>
      <c r="C8550" t="str">
        <f t="shared" ref="C8550:C8556" si="3197">T("BLDG SP-64")</f>
        <v>BLDG SP-64</v>
      </c>
      <c r="D8550" t="str">
        <f t="shared" si="3191"/>
        <v>NORFOLK</v>
      </c>
      <c r="E8550" t="str">
        <f t="shared" si="3192"/>
        <v>VA</v>
      </c>
      <c r="F8550" t="str">
        <f t="shared" si="3195"/>
        <v>235113905</v>
      </c>
      <c r="G8550" t="str">
        <f>T("471 E C ST")</f>
        <v>471 E C ST</v>
      </c>
      <c r="H8550" t="str">
        <f>T("BLDG SP-64")</f>
        <v>BLDG SP-64</v>
      </c>
      <c r="I8550" t="str">
        <f t="shared" si="3193"/>
        <v>NORFOLK</v>
      </c>
      <c r="J8550" t="str">
        <f t="shared" si="3194"/>
        <v>VA</v>
      </c>
      <c r="K8550" t="str">
        <f>T("7574435978")</f>
        <v>7574435978</v>
      </c>
      <c r="L8550" t="str">
        <f>T("7574432752")</f>
        <v>7574432752</v>
      </c>
    </row>
    <row r="8551" spans="1:12" x14ac:dyDescent="0.35">
      <c r="A8551" t="str">
        <f t="shared" si="3184"/>
        <v>MSC DC</v>
      </c>
      <c r="B8551" t="str">
        <f t="shared" si="3196"/>
        <v>471 EAST C STREET</v>
      </c>
      <c r="C8551" t="str">
        <f t="shared" si="3197"/>
        <v>BLDG SP-64</v>
      </c>
      <c r="D8551" t="str">
        <f t="shared" si="3191"/>
        <v>NORFOLK</v>
      </c>
      <c r="E8551" t="str">
        <f t="shared" si="3192"/>
        <v>VA</v>
      </c>
      <c r="F8551" t="str">
        <f t="shared" si="3195"/>
        <v>235113905</v>
      </c>
      <c r="G8551" t="str">
        <f>T("471 E C ST BLDG SP64")</f>
        <v>471 E C ST BLDG SP64</v>
      </c>
      <c r="H8551" t="str">
        <f>T("")</f>
        <v/>
      </c>
      <c r="I8551" t="str">
        <f t="shared" si="3193"/>
        <v>NORFOLK</v>
      </c>
      <c r="J8551" t="str">
        <f t="shared" si="3194"/>
        <v>VA</v>
      </c>
      <c r="K8551" t="str">
        <f>T("000000000000000000")</f>
        <v>000000000000000000</v>
      </c>
      <c r="L8551" t="str">
        <f>T("7574435802")</f>
        <v>7574435802</v>
      </c>
    </row>
    <row r="8552" spans="1:12" x14ac:dyDescent="0.35">
      <c r="A8552" t="str">
        <f t="shared" si="3184"/>
        <v>MSC DC</v>
      </c>
      <c r="B8552" t="str">
        <f t="shared" si="3196"/>
        <v>471 EAST C STREET</v>
      </c>
      <c r="C8552" t="str">
        <f t="shared" si="3197"/>
        <v>BLDG SP-64</v>
      </c>
      <c r="D8552" t="str">
        <f t="shared" si="3191"/>
        <v>NORFOLK</v>
      </c>
      <c r="E8552" t="str">
        <f t="shared" si="3192"/>
        <v>VA</v>
      </c>
      <c r="F8552" t="str">
        <f t="shared" si="3195"/>
        <v>235113905</v>
      </c>
      <c r="G8552" t="str">
        <f>T("471 EAST C ST")</f>
        <v>471 EAST C ST</v>
      </c>
      <c r="H8552" t="str">
        <f>T("BLDG SP-16")</f>
        <v>BLDG SP-16</v>
      </c>
      <c r="I8552" t="str">
        <f t="shared" si="3193"/>
        <v>NORFOLK</v>
      </c>
      <c r="J8552" t="str">
        <f t="shared" si="3194"/>
        <v>VA</v>
      </c>
      <c r="K8552" t="str">
        <f>T("000000000000000000")</f>
        <v>000000000000000000</v>
      </c>
      <c r="L8552" t="str">
        <f>T("7574433940")</f>
        <v>7574433940</v>
      </c>
    </row>
    <row r="8553" spans="1:12" x14ac:dyDescent="0.35">
      <c r="A8553" t="str">
        <f t="shared" si="3184"/>
        <v>MSC DC</v>
      </c>
      <c r="B8553" t="str">
        <f t="shared" si="3196"/>
        <v>471 EAST C STREET</v>
      </c>
      <c r="C8553" t="str">
        <f t="shared" si="3197"/>
        <v>BLDG SP-64</v>
      </c>
      <c r="D8553" t="str">
        <f t="shared" si="3191"/>
        <v>NORFOLK</v>
      </c>
      <c r="E8553" t="str">
        <f t="shared" si="3192"/>
        <v>VA</v>
      </c>
      <c r="F8553" t="str">
        <f t="shared" si="3195"/>
        <v>235113905</v>
      </c>
      <c r="G8553" t="str">
        <f>T("471 EAST C ST")</f>
        <v>471 EAST C ST</v>
      </c>
      <c r="H8553" t="str">
        <f>T("BLDG SP-64")</f>
        <v>BLDG SP-64</v>
      </c>
      <c r="I8553" t="str">
        <f t="shared" si="3193"/>
        <v>NORFOLK</v>
      </c>
      <c r="J8553" t="str">
        <f t="shared" si="3194"/>
        <v>VA</v>
      </c>
      <c r="K8553" t="str">
        <f>T("000000000000000000")</f>
        <v>000000000000000000</v>
      </c>
      <c r="L8553" t="str">
        <f>T("7573413439")</f>
        <v>7573413439</v>
      </c>
    </row>
    <row r="8554" spans="1:12" x14ac:dyDescent="0.35">
      <c r="A8554" t="str">
        <f t="shared" si="3184"/>
        <v>MSC DC</v>
      </c>
      <c r="B8554" t="str">
        <f t="shared" si="3196"/>
        <v>471 EAST C STREET</v>
      </c>
      <c r="C8554" t="str">
        <f t="shared" si="3197"/>
        <v>BLDG SP-64</v>
      </c>
      <c r="D8554" t="str">
        <f t="shared" si="3191"/>
        <v>NORFOLK</v>
      </c>
      <c r="E8554" t="str">
        <f t="shared" si="3192"/>
        <v>VA</v>
      </c>
      <c r="F8554" t="str">
        <f t="shared" si="3195"/>
        <v>235113905</v>
      </c>
      <c r="G8554" t="str">
        <f>T("471 EAST C STREET")</f>
        <v>471 EAST C STREET</v>
      </c>
      <c r="H8554" t="str">
        <f>T("BLDG SP-64")</f>
        <v>BLDG SP-64</v>
      </c>
      <c r="I8554" t="str">
        <f t="shared" si="3193"/>
        <v>NORFOLK</v>
      </c>
      <c r="J8554" t="str">
        <f t="shared" si="3194"/>
        <v>VA</v>
      </c>
      <c r="K8554" t="str">
        <f>T("")</f>
        <v/>
      </c>
      <c r="L8554" t="str">
        <f>T("7574435800")</f>
        <v>7574435800</v>
      </c>
    </row>
    <row r="8555" spans="1:12" x14ac:dyDescent="0.35">
      <c r="A8555" t="str">
        <f t="shared" si="3184"/>
        <v>MSC DC</v>
      </c>
      <c r="B8555" t="str">
        <f t="shared" si="3196"/>
        <v>471 EAST C STREET</v>
      </c>
      <c r="C8555" t="str">
        <f t="shared" si="3197"/>
        <v>BLDG SP-64</v>
      </c>
      <c r="D8555" t="str">
        <f t="shared" si="3191"/>
        <v>NORFOLK</v>
      </c>
      <c r="E8555" t="str">
        <f t="shared" si="3192"/>
        <v>VA</v>
      </c>
      <c r="F8555" t="str">
        <f t="shared" si="3195"/>
        <v>235113905</v>
      </c>
      <c r="G8555" t="str">
        <f>T("471 EAST C STREET")</f>
        <v>471 EAST C STREET</v>
      </c>
      <c r="H8555" t="str">
        <f>T("BLDG SP-64")</f>
        <v>BLDG SP-64</v>
      </c>
      <c r="I8555" t="str">
        <f t="shared" si="3193"/>
        <v>NORFOLK</v>
      </c>
      <c r="J8555" t="str">
        <f t="shared" si="3194"/>
        <v>VA</v>
      </c>
      <c r="K8555" t="str">
        <f t="shared" ref="K8555:K8561" si="3198">T("000000000000000000")</f>
        <v>000000000000000000</v>
      </c>
      <c r="L8555" t="str">
        <f>T("7574433940")</f>
        <v>7574433940</v>
      </c>
    </row>
    <row r="8556" spans="1:12" x14ac:dyDescent="0.35">
      <c r="A8556" t="str">
        <f t="shared" si="3184"/>
        <v>MSC DC</v>
      </c>
      <c r="B8556" t="str">
        <f t="shared" si="3196"/>
        <v>471 EAST C STREET</v>
      </c>
      <c r="C8556" t="str">
        <f t="shared" si="3197"/>
        <v>BLDG SP-64</v>
      </c>
      <c r="D8556" t="str">
        <f t="shared" si="3191"/>
        <v>NORFOLK</v>
      </c>
      <c r="E8556" t="str">
        <f t="shared" si="3192"/>
        <v>VA</v>
      </c>
      <c r="F8556" t="str">
        <f t="shared" si="3195"/>
        <v>235113905</v>
      </c>
      <c r="G8556" t="str">
        <f>T("471 EAST C STREET")</f>
        <v>471 EAST C STREET</v>
      </c>
      <c r="H8556" t="str">
        <f>T("BLDG SP64")</f>
        <v>BLDG SP64</v>
      </c>
      <c r="I8556" t="str">
        <f t="shared" si="3193"/>
        <v>NORFOLK</v>
      </c>
      <c r="J8556" t="str">
        <f t="shared" si="3194"/>
        <v>VA</v>
      </c>
      <c r="K8556" t="str">
        <f t="shared" si="3198"/>
        <v>000000000000000000</v>
      </c>
      <c r="L8556" t="str">
        <f>T("7574432924")</f>
        <v>7574432924</v>
      </c>
    </row>
    <row r="8557" spans="1:12" x14ac:dyDescent="0.35">
      <c r="A8557" t="str">
        <f t="shared" si="3184"/>
        <v>MSC DC</v>
      </c>
      <c r="B8557" t="str">
        <f t="shared" si="3196"/>
        <v>471 EAST C STREET</v>
      </c>
      <c r="C8557" t="str">
        <f t="shared" ref="C8557:C8563" si="3199">T("BLDG W-143")</f>
        <v>BLDG W-143</v>
      </c>
      <c r="D8557" t="str">
        <f t="shared" si="3191"/>
        <v>NORFOLK</v>
      </c>
      <c r="E8557" t="str">
        <f t="shared" si="3192"/>
        <v>VA</v>
      </c>
      <c r="F8557" t="str">
        <f t="shared" ref="F8557:F8563" si="3200">T("235112419")</f>
        <v>235112419</v>
      </c>
      <c r="G8557" t="str">
        <f>T("1968 GILBERT ST")</f>
        <v>1968 GILBERT ST</v>
      </c>
      <c r="H8557" t="str">
        <f>T("BLDG W-143")</f>
        <v>BLDG W-143</v>
      </c>
      <c r="I8557" t="str">
        <f t="shared" si="3193"/>
        <v>NORFOLK</v>
      </c>
      <c r="J8557" t="str">
        <f t="shared" si="3194"/>
        <v>VA</v>
      </c>
      <c r="K8557" t="str">
        <f t="shared" si="3198"/>
        <v>000000000000000000</v>
      </c>
      <c r="L8557" t="str">
        <f>T("7574433889")</f>
        <v>7574433889</v>
      </c>
    </row>
    <row r="8558" spans="1:12" x14ac:dyDescent="0.35">
      <c r="A8558" t="str">
        <f t="shared" si="3184"/>
        <v>MSC DC</v>
      </c>
      <c r="B8558" t="str">
        <f t="shared" si="3196"/>
        <v>471 EAST C STREET</v>
      </c>
      <c r="C8558" t="str">
        <f t="shared" si="3199"/>
        <v>BLDG W-143</v>
      </c>
      <c r="D8558" t="str">
        <f t="shared" si="3191"/>
        <v>NORFOLK</v>
      </c>
      <c r="E8558" t="str">
        <f t="shared" si="3192"/>
        <v>VA</v>
      </c>
      <c r="F8558" t="str">
        <f t="shared" si="3200"/>
        <v>235112419</v>
      </c>
      <c r="G8558" t="str">
        <f>T("471 EAST C STREET")</f>
        <v>471 EAST C STREET</v>
      </c>
      <c r="H8558" t="str">
        <f>T("BLDG SP64")</f>
        <v>BLDG SP64</v>
      </c>
      <c r="I8558" t="str">
        <f t="shared" si="3193"/>
        <v>NORFOLK</v>
      </c>
      <c r="J8558" t="str">
        <f t="shared" si="3194"/>
        <v>VA</v>
      </c>
      <c r="K8558" t="str">
        <f t="shared" si="3198"/>
        <v>000000000000000000</v>
      </c>
      <c r="L8558" t="str">
        <f>T("7574433881")</f>
        <v>7574433881</v>
      </c>
    </row>
    <row r="8559" spans="1:12" x14ac:dyDescent="0.35">
      <c r="A8559" t="str">
        <f t="shared" si="3184"/>
        <v>MSC DC</v>
      </c>
      <c r="B8559" t="str">
        <f t="shared" si="3196"/>
        <v>471 EAST C STREET</v>
      </c>
      <c r="C8559" t="str">
        <f t="shared" si="3199"/>
        <v>BLDG W-143</v>
      </c>
      <c r="D8559" t="str">
        <f t="shared" si="3191"/>
        <v>NORFOLK</v>
      </c>
      <c r="E8559" t="str">
        <f t="shared" si="3192"/>
        <v>VA</v>
      </c>
      <c r="F8559" t="str">
        <f t="shared" si="3200"/>
        <v>235112419</v>
      </c>
      <c r="G8559" t="str">
        <f>T("471 EAST C STREET")</f>
        <v>471 EAST C STREET</v>
      </c>
      <c r="H8559" t="str">
        <f>T("BLDG SP64")</f>
        <v>BLDG SP64</v>
      </c>
      <c r="I8559" t="str">
        <f t="shared" si="3193"/>
        <v>NORFOLK</v>
      </c>
      <c r="J8559" t="str">
        <f t="shared" si="3194"/>
        <v>VA</v>
      </c>
      <c r="K8559" t="str">
        <f t="shared" si="3198"/>
        <v>000000000000000000</v>
      </c>
      <c r="L8559" t="str">
        <f>T("7574433885")</f>
        <v>7574433885</v>
      </c>
    </row>
    <row r="8560" spans="1:12" x14ac:dyDescent="0.35">
      <c r="A8560" t="str">
        <f t="shared" si="3184"/>
        <v>MSC DC</v>
      </c>
      <c r="B8560" t="str">
        <f t="shared" si="3196"/>
        <v>471 EAST C STREET</v>
      </c>
      <c r="C8560" t="str">
        <f t="shared" si="3199"/>
        <v>BLDG W-143</v>
      </c>
      <c r="D8560" t="str">
        <f t="shared" si="3191"/>
        <v>NORFOLK</v>
      </c>
      <c r="E8560" t="str">
        <f t="shared" si="3192"/>
        <v>VA</v>
      </c>
      <c r="F8560" t="str">
        <f t="shared" si="3200"/>
        <v>235112419</v>
      </c>
      <c r="G8560" t="str">
        <f>T("471 EAST C STREET")</f>
        <v>471 EAST C STREET</v>
      </c>
      <c r="H8560" t="str">
        <f>T("BLDG SP64")</f>
        <v>BLDG SP64</v>
      </c>
      <c r="I8560" t="str">
        <f t="shared" si="3193"/>
        <v>NORFOLK</v>
      </c>
      <c r="J8560" t="str">
        <f t="shared" si="3194"/>
        <v>VA</v>
      </c>
      <c r="K8560" t="str">
        <f t="shared" si="3198"/>
        <v>000000000000000000</v>
      </c>
      <c r="L8560" t="str">
        <f>T("7574433886")</f>
        <v>7574433886</v>
      </c>
    </row>
    <row r="8561" spans="1:12" x14ac:dyDescent="0.35">
      <c r="A8561" t="str">
        <f t="shared" ref="A8561:A8592" si="3201">T("MSC DC")</f>
        <v>MSC DC</v>
      </c>
      <c r="B8561" t="str">
        <f t="shared" si="3196"/>
        <v>471 EAST C STREET</v>
      </c>
      <c r="C8561" t="str">
        <f t="shared" si="3199"/>
        <v>BLDG W-143</v>
      </c>
      <c r="D8561" t="str">
        <f t="shared" si="3191"/>
        <v>NORFOLK</v>
      </c>
      <c r="E8561" t="str">
        <f t="shared" si="3192"/>
        <v>VA</v>
      </c>
      <c r="F8561" t="str">
        <f t="shared" si="3200"/>
        <v>235112419</v>
      </c>
      <c r="G8561" t="str">
        <f>T("471 EAST C STREET")</f>
        <v>471 EAST C STREET</v>
      </c>
      <c r="H8561" t="str">
        <f>T("BLDG W-143")</f>
        <v>BLDG W-143</v>
      </c>
      <c r="I8561" t="str">
        <f t="shared" si="3193"/>
        <v>NORFOLK</v>
      </c>
      <c r="J8561" t="str">
        <f t="shared" si="3194"/>
        <v>VA</v>
      </c>
      <c r="K8561" t="str">
        <f t="shared" si="3198"/>
        <v>000000000000000000</v>
      </c>
      <c r="L8561" t="str">
        <f>T("7574431460")</f>
        <v>7574431460</v>
      </c>
    </row>
    <row r="8562" spans="1:12" x14ac:dyDescent="0.35">
      <c r="A8562" t="str">
        <f t="shared" si="3201"/>
        <v>MSC DC</v>
      </c>
      <c r="B8562" t="str">
        <f t="shared" si="3196"/>
        <v>471 EAST C STREET</v>
      </c>
      <c r="C8562" t="str">
        <f t="shared" si="3199"/>
        <v>BLDG W-143</v>
      </c>
      <c r="D8562" t="str">
        <f t="shared" si="3191"/>
        <v>NORFOLK</v>
      </c>
      <c r="E8562" t="str">
        <f t="shared" si="3192"/>
        <v>VA</v>
      </c>
      <c r="F8562" t="str">
        <f t="shared" si="3200"/>
        <v>235112419</v>
      </c>
      <c r="G8562" t="str">
        <f>T("9276 THIRD AVE")</f>
        <v>9276 THIRD AVE</v>
      </c>
      <c r="H8562" t="str">
        <f>T("BUILDING LP-26")</f>
        <v>BUILDING LP-26</v>
      </c>
      <c r="I8562" t="str">
        <f t="shared" si="3193"/>
        <v>NORFOLK</v>
      </c>
      <c r="J8562" t="str">
        <f t="shared" si="3194"/>
        <v>VA</v>
      </c>
      <c r="K8562" t="str">
        <f>T("7574433909")</f>
        <v>7574433909</v>
      </c>
      <c r="L8562" t="str">
        <f>T("7574433883")</f>
        <v>7574433883</v>
      </c>
    </row>
    <row r="8563" spans="1:12" x14ac:dyDescent="0.35">
      <c r="A8563" t="str">
        <f t="shared" si="3201"/>
        <v>MSC DC</v>
      </c>
      <c r="B8563" t="str">
        <f t="shared" si="3196"/>
        <v>471 EAST C STREET</v>
      </c>
      <c r="C8563" t="str">
        <f t="shared" si="3199"/>
        <v>BLDG W-143</v>
      </c>
      <c r="D8563" t="str">
        <f t="shared" si="3191"/>
        <v>NORFOLK</v>
      </c>
      <c r="E8563" t="str">
        <f t="shared" si="3192"/>
        <v>VA</v>
      </c>
      <c r="F8563" t="str">
        <f t="shared" si="3200"/>
        <v>235112419</v>
      </c>
      <c r="G8563" t="str">
        <f>T("MILITARY SEALIFT COMMAND CODE N48")</f>
        <v>MILITARY SEALIFT COMMAND CODE N48</v>
      </c>
      <c r="H8563" t="str">
        <f>T("BLDG W143 FLR 4 1968 GILBERT STREET")</f>
        <v>BLDG W143 FLR 4 1968 GILBERT STREET</v>
      </c>
      <c r="I8563" t="str">
        <f t="shared" si="3193"/>
        <v>NORFOLK</v>
      </c>
      <c r="J8563" t="str">
        <f t="shared" si="3194"/>
        <v>VA</v>
      </c>
      <c r="K8563" t="str">
        <f>T("7573412315")</f>
        <v>7573412315</v>
      </c>
      <c r="L8563" t="str">
        <f>T("7573412291")</f>
        <v>7573412291</v>
      </c>
    </row>
    <row r="8564" spans="1:12" x14ac:dyDescent="0.35">
      <c r="A8564" t="str">
        <f t="shared" si="3201"/>
        <v>MSC DC</v>
      </c>
      <c r="B8564" t="str">
        <f t="shared" si="3196"/>
        <v>471 EAST C STREET</v>
      </c>
      <c r="C8564" t="str">
        <f>T("BLDG. SP-48")</f>
        <v>BLDG. SP-48</v>
      </c>
      <c r="D8564" t="str">
        <f t="shared" si="3191"/>
        <v>NORFOLK</v>
      </c>
      <c r="E8564" t="str">
        <f t="shared" si="3192"/>
        <v>VA</v>
      </c>
      <c r="F8564" t="str">
        <f t="shared" ref="F8564:F8586" si="3202">T("235113905")</f>
        <v>235113905</v>
      </c>
      <c r="G8564" t="str">
        <f>T("471 EAST C STREET")</f>
        <v>471 EAST C STREET</v>
      </c>
      <c r="H8564" t="str">
        <f>T("BLDG SP 257 RM 215")</f>
        <v>BLDG SP 257 RM 215</v>
      </c>
      <c r="I8564" t="str">
        <f t="shared" si="3193"/>
        <v>NORFOLK</v>
      </c>
      <c r="J8564" t="str">
        <f t="shared" si="3194"/>
        <v>VA</v>
      </c>
      <c r="K8564" t="str">
        <f>T("000000000000000000")</f>
        <v>000000000000000000</v>
      </c>
      <c r="L8564" t="str">
        <f>T("7574432287")</f>
        <v>7574432287</v>
      </c>
    </row>
    <row r="8565" spans="1:12" x14ac:dyDescent="0.35">
      <c r="A8565" t="str">
        <f t="shared" si="3201"/>
        <v>MSC DC</v>
      </c>
      <c r="B8565" t="str">
        <f t="shared" si="3196"/>
        <v>471 EAST C STREET</v>
      </c>
      <c r="C8565" t="str">
        <f>T("BLDG. SP-48")</f>
        <v>BLDG. SP-48</v>
      </c>
      <c r="D8565" t="str">
        <f t="shared" si="3191"/>
        <v>NORFOLK</v>
      </c>
      <c r="E8565" t="str">
        <f t="shared" si="3192"/>
        <v>VA</v>
      </c>
      <c r="F8565" t="str">
        <f t="shared" si="3202"/>
        <v>235113905</v>
      </c>
      <c r="G8565" t="str">
        <f>T("471 EAST C STREET")</f>
        <v>471 EAST C STREET</v>
      </c>
      <c r="H8565" t="str">
        <f>T("BLDG. SP-48")</f>
        <v>BLDG. SP-48</v>
      </c>
      <c r="I8565" t="str">
        <f t="shared" si="3193"/>
        <v>NORFOLK</v>
      </c>
      <c r="J8565" t="str">
        <f t="shared" si="3194"/>
        <v>VA</v>
      </c>
      <c r="K8565" t="str">
        <f>T("000000000000000000")</f>
        <v>000000000000000000</v>
      </c>
      <c r="L8565" t="str">
        <f>T("7574432955")</f>
        <v>7574432955</v>
      </c>
    </row>
    <row r="8566" spans="1:12" x14ac:dyDescent="0.35">
      <c r="A8566" t="str">
        <f t="shared" si="3201"/>
        <v>MSC DC</v>
      </c>
      <c r="B8566" t="str">
        <f t="shared" si="3196"/>
        <v>471 EAST C STREET</v>
      </c>
      <c r="C8566" t="str">
        <f>T("BLDG. SP-48")</f>
        <v>BLDG. SP-48</v>
      </c>
      <c r="D8566" t="str">
        <f t="shared" si="3191"/>
        <v>NORFOLK</v>
      </c>
      <c r="E8566" t="str">
        <f t="shared" si="3192"/>
        <v>VA</v>
      </c>
      <c r="F8566" t="str">
        <f t="shared" si="3202"/>
        <v>235113905</v>
      </c>
      <c r="G8566" t="str">
        <f>T("471 EAST C STREET BLDG SP 64")</f>
        <v>471 EAST C STREET BLDG SP 64</v>
      </c>
      <c r="H8566" t="str">
        <f>T("")</f>
        <v/>
      </c>
      <c r="I8566" t="str">
        <f t="shared" si="3193"/>
        <v>NORFOLK</v>
      </c>
      <c r="J8566" t="str">
        <f t="shared" si="3194"/>
        <v>VA</v>
      </c>
      <c r="K8566" t="str">
        <f>T("000000000000000000")</f>
        <v>000000000000000000</v>
      </c>
      <c r="L8566" t="str">
        <f>T("7574432969")</f>
        <v>7574432969</v>
      </c>
    </row>
    <row r="8567" spans="1:12" x14ac:dyDescent="0.35">
      <c r="A8567" t="str">
        <f t="shared" si="3201"/>
        <v>MSC DC</v>
      </c>
      <c r="B8567" t="str">
        <f t="shared" si="3196"/>
        <v>471 EAST C STREET</v>
      </c>
      <c r="C8567" t="str">
        <f>T("BLDG. SP-48")</f>
        <v>BLDG. SP-48</v>
      </c>
      <c r="D8567" t="str">
        <f t="shared" ref="D8567:D8586" si="3203">T("NORFOLK")</f>
        <v>NORFOLK</v>
      </c>
      <c r="E8567" t="str">
        <f t="shared" ref="E8567:E8586" si="3204">T("VA")</f>
        <v>VA</v>
      </c>
      <c r="F8567" t="str">
        <f t="shared" si="3202"/>
        <v>235113905</v>
      </c>
      <c r="G8567" t="str">
        <f>T("NAVAL STATION NORFOLK BUILDING SP-25")</f>
        <v>NAVAL STATION NORFOLK BUILDING SP-25</v>
      </c>
      <c r="H8567" t="str">
        <f>T("")</f>
        <v/>
      </c>
      <c r="I8567" t="str">
        <f t="shared" si="3193"/>
        <v>NORFOLK</v>
      </c>
      <c r="J8567" t="str">
        <f t="shared" si="3194"/>
        <v>VA</v>
      </c>
      <c r="K8567" t="str">
        <f>T("7574433066")</f>
        <v>7574433066</v>
      </c>
      <c r="L8567" t="str">
        <f>T("7574433053")</f>
        <v>7574433053</v>
      </c>
    </row>
    <row r="8568" spans="1:12" x14ac:dyDescent="0.35">
      <c r="A8568" t="str">
        <f t="shared" si="3201"/>
        <v>MSC DC</v>
      </c>
      <c r="B8568" t="str">
        <f t="shared" si="3196"/>
        <v>471 EAST C STREET</v>
      </c>
      <c r="C8568" t="str">
        <f t="shared" ref="C8568:C8575" si="3205">T("BLDG. SP-64")</f>
        <v>BLDG. SP-64</v>
      </c>
      <c r="D8568" t="str">
        <f t="shared" si="3203"/>
        <v>NORFOLK</v>
      </c>
      <c r="E8568" t="str">
        <f t="shared" si="3204"/>
        <v>VA</v>
      </c>
      <c r="F8568" t="str">
        <f t="shared" si="3202"/>
        <v>235113905</v>
      </c>
      <c r="G8568" t="str">
        <f>T("471 E C ST BLDG SP64")</f>
        <v>471 E C ST BLDG SP64</v>
      </c>
      <c r="H8568" t="str">
        <f>T("2ND FLOOR")</f>
        <v>2ND FLOOR</v>
      </c>
      <c r="I8568" t="str">
        <f t="shared" si="3193"/>
        <v>NORFOLK</v>
      </c>
      <c r="J8568" t="str">
        <f t="shared" si="3194"/>
        <v>VA</v>
      </c>
      <c r="K8568" t="str">
        <f>T("000000000000000000")</f>
        <v>000000000000000000</v>
      </c>
      <c r="L8568" t="str">
        <f>T("7574433041")</f>
        <v>7574433041</v>
      </c>
    </row>
    <row r="8569" spans="1:12" x14ac:dyDescent="0.35">
      <c r="A8569" t="str">
        <f t="shared" si="3201"/>
        <v>MSC DC</v>
      </c>
      <c r="B8569" t="str">
        <f t="shared" si="3196"/>
        <v>471 EAST C STREET</v>
      </c>
      <c r="C8569" t="str">
        <f t="shared" si="3205"/>
        <v>BLDG. SP-64</v>
      </c>
      <c r="D8569" t="str">
        <f t="shared" si="3203"/>
        <v>NORFOLK</v>
      </c>
      <c r="E8569" t="str">
        <f t="shared" si="3204"/>
        <v>VA</v>
      </c>
      <c r="F8569" t="str">
        <f t="shared" si="3202"/>
        <v>235113905</v>
      </c>
      <c r="G8569" t="str">
        <f t="shared" ref="G8569:G8574" si="3206">T("471 EAST C STREET")</f>
        <v>471 EAST C STREET</v>
      </c>
      <c r="H8569" t="str">
        <f>T("BLDG SP64")</f>
        <v>BLDG SP64</v>
      </c>
      <c r="I8569" t="str">
        <f t="shared" si="3193"/>
        <v>NORFOLK</v>
      </c>
      <c r="J8569" t="str">
        <f t="shared" si="3194"/>
        <v>VA</v>
      </c>
      <c r="K8569" t="str">
        <f>T("000000000000000000")</f>
        <v>000000000000000000</v>
      </c>
      <c r="L8569" t="str">
        <f>T("7574174876")</f>
        <v>7574174876</v>
      </c>
    </row>
    <row r="8570" spans="1:12" x14ac:dyDescent="0.35">
      <c r="A8570" t="str">
        <f t="shared" si="3201"/>
        <v>MSC DC</v>
      </c>
      <c r="B8570" t="str">
        <f t="shared" si="3196"/>
        <v>471 EAST C STREET</v>
      </c>
      <c r="C8570" t="str">
        <f t="shared" si="3205"/>
        <v>BLDG. SP-64</v>
      </c>
      <c r="D8570" t="str">
        <f t="shared" si="3203"/>
        <v>NORFOLK</v>
      </c>
      <c r="E8570" t="str">
        <f t="shared" si="3204"/>
        <v>VA</v>
      </c>
      <c r="F8570" t="str">
        <f t="shared" si="3202"/>
        <v>235113905</v>
      </c>
      <c r="G8570" t="str">
        <f t="shared" si="3206"/>
        <v>471 EAST C STREET</v>
      </c>
      <c r="H8570" t="str">
        <f>T("BLDG SP64")</f>
        <v>BLDG SP64</v>
      </c>
      <c r="I8570" t="str">
        <f t="shared" si="3193"/>
        <v>NORFOLK</v>
      </c>
      <c r="J8570" t="str">
        <f t="shared" si="3194"/>
        <v>VA</v>
      </c>
      <c r="K8570" t="str">
        <f>T("000000000000000000")</f>
        <v>000000000000000000</v>
      </c>
      <c r="L8570" t="str">
        <f>T("7574432729")</f>
        <v>7574432729</v>
      </c>
    </row>
    <row r="8571" spans="1:12" x14ac:dyDescent="0.35">
      <c r="A8571" t="str">
        <f t="shared" si="3201"/>
        <v>MSC DC</v>
      </c>
      <c r="B8571" t="str">
        <f t="shared" si="3196"/>
        <v>471 EAST C STREET</v>
      </c>
      <c r="C8571" t="str">
        <f t="shared" si="3205"/>
        <v>BLDG. SP-64</v>
      </c>
      <c r="D8571" t="str">
        <f t="shared" si="3203"/>
        <v>NORFOLK</v>
      </c>
      <c r="E8571" t="str">
        <f t="shared" si="3204"/>
        <v>VA</v>
      </c>
      <c r="F8571" t="str">
        <f t="shared" si="3202"/>
        <v>235113905</v>
      </c>
      <c r="G8571" t="str">
        <f t="shared" si="3206"/>
        <v>471 EAST C STREET</v>
      </c>
      <c r="H8571" t="str">
        <f>T("BLDG SP64")</f>
        <v>BLDG SP64</v>
      </c>
      <c r="I8571" t="str">
        <f t="shared" si="3193"/>
        <v>NORFOLK</v>
      </c>
      <c r="J8571" t="str">
        <f t="shared" si="3194"/>
        <v>VA</v>
      </c>
      <c r="K8571" t="str">
        <f>T("000000000000000000")</f>
        <v>000000000000000000</v>
      </c>
      <c r="L8571" t="str">
        <f>T("7574433004")</f>
        <v>7574433004</v>
      </c>
    </row>
    <row r="8572" spans="1:12" x14ac:dyDescent="0.35">
      <c r="A8572" t="str">
        <f t="shared" si="3201"/>
        <v>MSC DC</v>
      </c>
      <c r="B8572" t="str">
        <f t="shared" si="3196"/>
        <v>471 EAST C STREET</v>
      </c>
      <c r="C8572" t="str">
        <f t="shared" si="3205"/>
        <v>BLDG. SP-64</v>
      </c>
      <c r="D8572" t="str">
        <f t="shared" si="3203"/>
        <v>NORFOLK</v>
      </c>
      <c r="E8572" t="str">
        <f t="shared" si="3204"/>
        <v>VA</v>
      </c>
      <c r="F8572" t="str">
        <f t="shared" si="3202"/>
        <v>235113905</v>
      </c>
      <c r="G8572" t="str">
        <f t="shared" si="3206"/>
        <v>471 EAST C STREET</v>
      </c>
      <c r="H8572" t="str">
        <f>T("BLDG SP64")</f>
        <v>BLDG SP64</v>
      </c>
      <c r="I8572" t="str">
        <f t="shared" si="3193"/>
        <v>NORFOLK</v>
      </c>
      <c r="J8572" t="str">
        <f t="shared" si="3194"/>
        <v>VA</v>
      </c>
      <c r="K8572" t="str">
        <f>T("000000000000000000")</f>
        <v>000000000000000000</v>
      </c>
      <c r="L8572" t="str">
        <f>T("7574433040")</f>
        <v>7574433040</v>
      </c>
    </row>
    <row r="8573" spans="1:12" x14ac:dyDescent="0.35">
      <c r="A8573" t="str">
        <f t="shared" si="3201"/>
        <v>MSC DC</v>
      </c>
      <c r="B8573" t="str">
        <f t="shared" si="3196"/>
        <v>471 EAST C STREET</v>
      </c>
      <c r="C8573" t="str">
        <f t="shared" si="3205"/>
        <v>BLDG. SP-64</v>
      </c>
      <c r="D8573" t="str">
        <f t="shared" si="3203"/>
        <v>NORFOLK</v>
      </c>
      <c r="E8573" t="str">
        <f t="shared" si="3204"/>
        <v>VA</v>
      </c>
      <c r="F8573" t="str">
        <f t="shared" si="3202"/>
        <v>235113905</v>
      </c>
      <c r="G8573" t="str">
        <f t="shared" si="3206"/>
        <v>471 EAST C STREET</v>
      </c>
      <c r="H8573" t="str">
        <f>T("BLDG SP64")</f>
        <v>BLDG SP64</v>
      </c>
      <c r="I8573" t="str">
        <f t="shared" si="3193"/>
        <v>NORFOLK</v>
      </c>
      <c r="J8573" t="str">
        <f t="shared" si="3194"/>
        <v>VA</v>
      </c>
      <c r="K8573" t="str">
        <f>T("7574432981")</f>
        <v>7574432981</v>
      </c>
      <c r="L8573" t="str">
        <f>T("7474433004")</f>
        <v>7474433004</v>
      </c>
    </row>
    <row r="8574" spans="1:12" x14ac:dyDescent="0.35">
      <c r="A8574" t="str">
        <f t="shared" si="3201"/>
        <v>MSC DC</v>
      </c>
      <c r="B8574" t="str">
        <f t="shared" si="3196"/>
        <v>471 EAST C STREET</v>
      </c>
      <c r="C8574" t="str">
        <f t="shared" si="3205"/>
        <v>BLDG. SP-64</v>
      </c>
      <c r="D8574" t="str">
        <f t="shared" si="3203"/>
        <v>NORFOLK</v>
      </c>
      <c r="E8574" t="str">
        <f t="shared" si="3204"/>
        <v>VA</v>
      </c>
      <c r="F8574" t="str">
        <f t="shared" si="3202"/>
        <v>235113905</v>
      </c>
      <c r="G8574" t="str">
        <f t="shared" si="3206"/>
        <v>471 EAST C STREET</v>
      </c>
      <c r="H8574" t="str">
        <f>T("BLDG. SP-64")</f>
        <v>BLDG. SP-64</v>
      </c>
      <c r="I8574" t="str">
        <f t="shared" si="3193"/>
        <v>NORFOLK</v>
      </c>
      <c r="J8574" t="str">
        <f t="shared" si="3194"/>
        <v>VA</v>
      </c>
      <c r="K8574" t="str">
        <f>T("000000000000000000")</f>
        <v>000000000000000000</v>
      </c>
      <c r="L8574" t="str">
        <f>T("7574432973")</f>
        <v>7574432973</v>
      </c>
    </row>
    <row r="8575" spans="1:12" x14ac:dyDescent="0.35">
      <c r="A8575" t="str">
        <f t="shared" si="3201"/>
        <v>MSC DC</v>
      </c>
      <c r="B8575" t="str">
        <f t="shared" si="3196"/>
        <v>471 EAST C STREET</v>
      </c>
      <c r="C8575" t="str">
        <f t="shared" si="3205"/>
        <v>BLDG. SP-64</v>
      </c>
      <c r="D8575" t="str">
        <f t="shared" si="3203"/>
        <v>NORFOLK</v>
      </c>
      <c r="E8575" t="str">
        <f t="shared" si="3204"/>
        <v>VA</v>
      </c>
      <c r="F8575" t="str">
        <f t="shared" si="3202"/>
        <v>235113905</v>
      </c>
      <c r="G8575" t="str">
        <f>T("BLDG SP-257 RM 215")</f>
        <v>BLDG SP-257 RM 215</v>
      </c>
      <c r="H8575" t="str">
        <f>T("9276 3RD AVE")</f>
        <v>9276 3RD AVE</v>
      </c>
      <c r="I8575" t="str">
        <f t="shared" si="3193"/>
        <v>NORFOLK</v>
      </c>
      <c r="J8575" t="str">
        <f t="shared" si="3194"/>
        <v>VA</v>
      </c>
      <c r="K8575" t="str">
        <f>T("7574432982")</f>
        <v>7574432982</v>
      </c>
      <c r="L8575" t="str">
        <f>T("7574435926")</f>
        <v>7574435926</v>
      </c>
    </row>
    <row r="8576" spans="1:12" x14ac:dyDescent="0.35">
      <c r="A8576" t="str">
        <f t="shared" si="3201"/>
        <v>MSC DC</v>
      </c>
      <c r="B8576" t="str">
        <f t="shared" si="3196"/>
        <v>471 EAST C STREET</v>
      </c>
      <c r="C8576" t="str">
        <f>T("SP-47")</f>
        <v>SP-47</v>
      </c>
      <c r="D8576" t="str">
        <f t="shared" si="3203"/>
        <v>NORFOLK</v>
      </c>
      <c r="E8576" t="str">
        <f t="shared" si="3204"/>
        <v>VA</v>
      </c>
      <c r="F8576" t="str">
        <f t="shared" si="3202"/>
        <v>235113905</v>
      </c>
      <c r="G8576" t="str">
        <f>T("471 EAST C ST")</f>
        <v>471 EAST C ST</v>
      </c>
      <c r="H8576" t="str">
        <f>T("")</f>
        <v/>
      </c>
      <c r="I8576" t="str">
        <f t="shared" si="3193"/>
        <v>NORFOLK</v>
      </c>
      <c r="J8576" t="str">
        <f t="shared" si="3194"/>
        <v>VA</v>
      </c>
      <c r="K8576" t="str">
        <f>T("000000000000000000")</f>
        <v>000000000000000000</v>
      </c>
      <c r="L8576" t="str">
        <f>T("7574432922")</f>
        <v>7574432922</v>
      </c>
    </row>
    <row r="8577" spans="1:12" x14ac:dyDescent="0.35">
      <c r="A8577" t="str">
        <f t="shared" si="3201"/>
        <v>MSC DC</v>
      </c>
      <c r="B8577" t="str">
        <f t="shared" si="3196"/>
        <v>471 EAST C STREET</v>
      </c>
      <c r="C8577" t="str">
        <f>T("SP-47")</f>
        <v>SP-47</v>
      </c>
      <c r="D8577" t="str">
        <f t="shared" si="3203"/>
        <v>NORFOLK</v>
      </c>
      <c r="E8577" t="str">
        <f t="shared" si="3204"/>
        <v>VA</v>
      </c>
      <c r="F8577" t="str">
        <f t="shared" si="3202"/>
        <v>235113905</v>
      </c>
      <c r="G8577" t="str">
        <f>T("471 EAST C ST")</f>
        <v>471 EAST C ST</v>
      </c>
      <c r="H8577" t="str">
        <f>T("")</f>
        <v/>
      </c>
      <c r="I8577" t="str">
        <f t="shared" si="3193"/>
        <v>NORFOLK</v>
      </c>
      <c r="J8577" t="str">
        <f t="shared" si="3194"/>
        <v>VA</v>
      </c>
      <c r="K8577" t="str">
        <f>T("000000000000000000")</f>
        <v>000000000000000000</v>
      </c>
      <c r="L8577" t="str">
        <f>T("7574435939")</f>
        <v>7574435939</v>
      </c>
    </row>
    <row r="8578" spans="1:12" x14ac:dyDescent="0.35">
      <c r="A8578" t="str">
        <f t="shared" si="3201"/>
        <v>MSC DC</v>
      </c>
      <c r="B8578" t="str">
        <f t="shared" si="3196"/>
        <v>471 EAST C STREET</v>
      </c>
      <c r="C8578" t="str">
        <f>T("SP-47")</f>
        <v>SP-47</v>
      </c>
      <c r="D8578" t="str">
        <f t="shared" si="3203"/>
        <v>NORFOLK</v>
      </c>
      <c r="E8578" t="str">
        <f t="shared" si="3204"/>
        <v>VA</v>
      </c>
      <c r="F8578" t="str">
        <f t="shared" si="3202"/>
        <v>235113905</v>
      </c>
      <c r="G8578" t="str">
        <f>T("471 EAST C ST")</f>
        <v>471 EAST C ST</v>
      </c>
      <c r="H8578" t="str">
        <f>T("SP64")</f>
        <v>SP64</v>
      </c>
      <c r="I8578" t="str">
        <f t="shared" si="3193"/>
        <v>NORFOLK</v>
      </c>
      <c r="J8578" t="str">
        <f t="shared" si="3194"/>
        <v>VA</v>
      </c>
      <c r="K8578" t="str">
        <f>T("000000000000000000")</f>
        <v>000000000000000000</v>
      </c>
      <c r="L8578" t="str">
        <f>T("7574432890")</f>
        <v>7574432890</v>
      </c>
    </row>
    <row r="8579" spans="1:12" x14ac:dyDescent="0.35">
      <c r="A8579" t="str">
        <f t="shared" si="3201"/>
        <v>MSC DC</v>
      </c>
      <c r="B8579" t="str">
        <f t="shared" si="3196"/>
        <v>471 EAST C STREET</v>
      </c>
      <c r="C8579" t="str">
        <f>T("SP-47")</f>
        <v>SP-47</v>
      </c>
      <c r="D8579" t="str">
        <f t="shared" si="3203"/>
        <v>NORFOLK</v>
      </c>
      <c r="E8579" t="str">
        <f t="shared" si="3204"/>
        <v>VA</v>
      </c>
      <c r="F8579" t="str">
        <f t="shared" si="3202"/>
        <v>235113905</v>
      </c>
      <c r="G8579" t="str">
        <f>T("471 EAST C STREET")</f>
        <v>471 EAST C STREET</v>
      </c>
      <c r="H8579" t="str">
        <f>T("SP-47")</f>
        <v>SP-47</v>
      </c>
      <c r="I8579" t="str">
        <f t="shared" si="3193"/>
        <v>NORFOLK</v>
      </c>
      <c r="J8579" t="str">
        <f t="shared" si="3194"/>
        <v>VA</v>
      </c>
      <c r="K8579" t="str">
        <f>T("7574432935")</f>
        <v>7574432935</v>
      </c>
      <c r="L8579" t="str">
        <f>T("7574432807")</f>
        <v>7574432807</v>
      </c>
    </row>
    <row r="8580" spans="1:12" x14ac:dyDescent="0.35">
      <c r="A8580" t="str">
        <f t="shared" si="3201"/>
        <v>MSC DC</v>
      </c>
      <c r="B8580" t="str">
        <f>T("471 EAST C STREET BLDG SP-30")</f>
        <v>471 EAST C STREET BLDG SP-30</v>
      </c>
      <c r="C8580" t="str">
        <f>T("NAVAL STATION NORFOLK")</f>
        <v>NAVAL STATION NORFOLK</v>
      </c>
      <c r="D8580" t="str">
        <f t="shared" si="3203"/>
        <v>NORFOLK</v>
      </c>
      <c r="E8580" t="str">
        <f t="shared" si="3204"/>
        <v>VA</v>
      </c>
      <c r="F8580" t="str">
        <f t="shared" si="3202"/>
        <v>235113905</v>
      </c>
      <c r="G8580" t="str">
        <f>T("471 EAST C STREET BLDG SP-30")</f>
        <v>471 EAST C STREET BLDG SP-30</v>
      </c>
      <c r="H8580" t="str">
        <f>T("NAVAL STATION NORFOLK")</f>
        <v>NAVAL STATION NORFOLK</v>
      </c>
      <c r="I8580" t="str">
        <f t="shared" si="3193"/>
        <v>NORFOLK</v>
      </c>
      <c r="J8580" t="str">
        <f t="shared" si="3194"/>
        <v>VA</v>
      </c>
      <c r="K8580" t="str">
        <f>T("2026855223")</f>
        <v>2026855223</v>
      </c>
      <c r="L8580" t="str">
        <f>T("7574433945")</f>
        <v>7574433945</v>
      </c>
    </row>
    <row r="8581" spans="1:12" x14ac:dyDescent="0.35">
      <c r="A8581" t="str">
        <f t="shared" si="3201"/>
        <v>MSC DC</v>
      </c>
      <c r="B8581" t="str">
        <f>T("471 EAST C STREET BLDG SP-30")</f>
        <v>471 EAST C STREET BLDG SP-30</v>
      </c>
      <c r="C8581" t="str">
        <f>T("NAVAL STATION NORFOLK")</f>
        <v>NAVAL STATION NORFOLK</v>
      </c>
      <c r="D8581" t="str">
        <f t="shared" si="3203"/>
        <v>NORFOLK</v>
      </c>
      <c r="E8581" t="str">
        <f t="shared" si="3204"/>
        <v>VA</v>
      </c>
      <c r="F8581" t="str">
        <f t="shared" si="3202"/>
        <v>235113905</v>
      </c>
      <c r="G8581" t="str">
        <f>T("914 CHARLES MORRIS COURT SE")</f>
        <v>914 CHARLES MORRIS COURT SE</v>
      </c>
      <c r="H8581" t="str">
        <f>T("")</f>
        <v/>
      </c>
      <c r="I8581" t="str">
        <f>T("WASHINGTON NAVY YARD")</f>
        <v>WASHINGTON NAVY YARD</v>
      </c>
      <c r="J8581" t="str">
        <f>T("DC")</f>
        <v>DC</v>
      </c>
      <c r="K8581" t="str">
        <f>T("000000000000000000")</f>
        <v>000000000000000000</v>
      </c>
      <c r="L8581" t="str">
        <f>T("2026855725")</f>
        <v>2026855725</v>
      </c>
    </row>
    <row r="8582" spans="1:12" x14ac:dyDescent="0.35">
      <c r="A8582" t="str">
        <f t="shared" si="3201"/>
        <v>MSC DC</v>
      </c>
      <c r="B8582" t="str">
        <f>T("471 EAST C STREET BLDG SP-30")</f>
        <v>471 EAST C STREET BLDG SP-30</v>
      </c>
      <c r="C8582" t="str">
        <f>T("NAVAL STATION NORFOLK")</f>
        <v>NAVAL STATION NORFOLK</v>
      </c>
      <c r="D8582" t="str">
        <f t="shared" si="3203"/>
        <v>NORFOLK</v>
      </c>
      <c r="E8582" t="str">
        <f t="shared" si="3204"/>
        <v>VA</v>
      </c>
      <c r="F8582" t="str">
        <f t="shared" si="3202"/>
        <v>235113905</v>
      </c>
      <c r="G8582" t="str">
        <f>T("9276 THIRD AVE")</f>
        <v>9276 THIRD AVE</v>
      </c>
      <c r="H8582" t="str">
        <f>T("BLDG LP-26 BAY 2")</f>
        <v>BLDG LP-26 BAY 2</v>
      </c>
      <c r="I8582" t="str">
        <f>T("NORFOLK")</f>
        <v>NORFOLK</v>
      </c>
      <c r="J8582" t="str">
        <f>T("VA")</f>
        <v>VA</v>
      </c>
      <c r="K8582" t="str">
        <f>T("7574432690")</f>
        <v>7574432690</v>
      </c>
      <c r="L8582" t="str">
        <f>T("7574432696")</f>
        <v>7574432696</v>
      </c>
    </row>
    <row r="8583" spans="1:12" x14ac:dyDescent="0.35">
      <c r="A8583" t="str">
        <f t="shared" si="3201"/>
        <v>MSC DC</v>
      </c>
      <c r="B8583" t="str">
        <f>T("477 C STREET")</f>
        <v>477 C STREET</v>
      </c>
      <c r="C8583" t="str">
        <f>T("BLDG SP-48")</f>
        <v>BLDG SP-48</v>
      </c>
      <c r="D8583" t="str">
        <f t="shared" si="3203"/>
        <v>NORFOLK</v>
      </c>
      <c r="E8583" t="str">
        <f t="shared" si="3204"/>
        <v>VA</v>
      </c>
      <c r="F8583" t="str">
        <f t="shared" si="3202"/>
        <v>235113905</v>
      </c>
      <c r="G8583" t="str">
        <f>T("471 EAST C ST")</f>
        <v>471 EAST C ST</v>
      </c>
      <c r="H8583" t="str">
        <f>T("SP 64")</f>
        <v>SP 64</v>
      </c>
      <c r="I8583" t="str">
        <f>T("NORFOLK")</f>
        <v>NORFOLK</v>
      </c>
      <c r="J8583" t="str">
        <f>T("VA")</f>
        <v>VA</v>
      </c>
      <c r="K8583" t="str">
        <f>T("000000000000000000")</f>
        <v>000000000000000000</v>
      </c>
      <c r="L8583" t="str">
        <f>T("7574430896")</f>
        <v>7574430896</v>
      </c>
    </row>
    <row r="8584" spans="1:12" x14ac:dyDescent="0.35">
      <c r="A8584" t="str">
        <f t="shared" si="3201"/>
        <v>MSC DC</v>
      </c>
      <c r="B8584" t="str">
        <f>T("477 C STREET")</f>
        <v>477 C STREET</v>
      </c>
      <c r="C8584" t="str">
        <f>T("BLDG SP-48")</f>
        <v>BLDG SP-48</v>
      </c>
      <c r="D8584" t="str">
        <f t="shared" si="3203"/>
        <v>NORFOLK</v>
      </c>
      <c r="E8584" t="str">
        <f t="shared" si="3204"/>
        <v>VA</v>
      </c>
      <c r="F8584" t="str">
        <f t="shared" si="3202"/>
        <v>235113905</v>
      </c>
      <c r="G8584" t="str">
        <f>T("471 EAST C ST")</f>
        <v>471 EAST C ST</v>
      </c>
      <c r="H8584" t="str">
        <f>T("SP64")</f>
        <v>SP64</v>
      </c>
      <c r="I8584" t="str">
        <f>T("NORFOLK")</f>
        <v>NORFOLK</v>
      </c>
      <c r="J8584" t="str">
        <f>T("VA")</f>
        <v>VA</v>
      </c>
      <c r="K8584" t="str">
        <f>T("000000000000000000")</f>
        <v>000000000000000000</v>
      </c>
      <c r="L8584" t="str">
        <f>T("7574430891")</f>
        <v>7574430891</v>
      </c>
    </row>
    <row r="8585" spans="1:12" x14ac:dyDescent="0.35">
      <c r="A8585" t="str">
        <f t="shared" si="3201"/>
        <v>MSC DC</v>
      </c>
      <c r="B8585" t="str">
        <f>T("477 C STREET")</f>
        <v>477 C STREET</v>
      </c>
      <c r="C8585" t="str">
        <f>T("BLDG SP-48")</f>
        <v>BLDG SP-48</v>
      </c>
      <c r="D8585" t="str">
        <f t="shared" si="3203"/>
        <v>NORFOLK</v>
      </c>
      <c r="E8585" t="str">
        <f t="shared" si="3204"/>
        <v>VA</v>
      </c>
      <c r="F8585" t="str">
        <f t="shared" si="3202"/>
        <v>235113905</v>
      </c>
      <c r="G8585" t="str">
        <f>T("471 EAST C STREET")</f>
        <v>471 EAST C STREET</v>
      </c>
      <c r="H8585" t="str">
        <f>T("SP64")</f>
        <v>SP64</v>
      </c>
      <c r="I8585" t="str">
        <f>T("NORFOLK")</f>
        <v>NORFOLK</v>
      </c>
      <c r="J8585" t="str">
        <f>T("VA")</f>
        <v>VA</v>
      </c>
      <c r="K8585" t="str">
        <f>T("000000000000000000")</f>
        <v>000000000000000000</v>
      </c>
      <c r="L8585" t="str">
        <f>T("7574430924")</f>
        <v>7574430924</v>
      </c>
    </row>
    <row r="8586" spans="1:12" x14ac:dyDescent="0.35">
      <c r="A8586" t="str">
        <f t="shared" si="3201"/>
        <v>MSC DC</v>
      </c>
      <c r="B8586" t="str">
        <f>T("477 C STREET")</f>
        <v>477 C STREET</v>
      </c>
      <c r="C8586" t="str">
        <f>T("BLDG SP-48")</f>
        <v>BLDG SP-48</v>
      </c>
      <c r="D8586" t="str">
        <f t="shared" si="3203"/>
        <v>NORFOLK</v>
      </c>
      <c r="E8586" t="str">
        <f t="shared" si="3204"/>
        <v>VA</v>
      </c>
      <c r="F8586" t="str">
        <f t="shared" si="3202"/>
        <v>235113905</v>
      </c>
      <c r="G8586" t="str">
        <f>T("477 C STREET")</f>
        <v>477 C STREET</v>
      </c>
      <c r="H8586" t="str">
        <f>T("BLDG SP-48")</f>
        <v>BLDG SP-48</v>
      </c>
      <c r="I8586" t="str">
        <f>T("NORFOLK")</f>
        <v>NORFOLK</v>
      </c>
      <c r="J8586" t="str">
        <f>T("VA")</f>
        <v>VA</v>
      </c>
      <c r="K8586" t="str">
        <f>T("000000000000000000")</f>
        <v>000000000000000000</v>
      </c>
      <c r="L8586" t="str">
        <f>T("7574174447")</f>
        <v>7574174447</v>
      </c>
    </row>
    <row r="8587" spans="1:12" x14ac:dyDescent="0.35">
      <c r="A8587" t="str">
        <f t="shared" si="3201"/>
        <v>MSC DC</v>
      </c>
      <c r="B8587" t="str">
        <f>T("914 CHARLES MORRIS COURT SE")</f>
        <v>914 CHARLES MORRIS COURT SE</v>
      </c>
      <c r="C8587" t="str">
        <f>T("WASHINGTON NAVY YARD")</f>
        <v>WASHINGTON NAVY YARD</v>
      </c>
      <c r="D8587" t="str">
        <f>T("WASHINGTON")</f>
        <v>WASHINGTON</v>
      </c>
      <c r="E8587" t="str">
        <f t="shared" ref="E8587:E8600" si="3207">T("DC")</f>
        <v>DC</v>
      </c>
      <c r="F8587" t="str">
        <f t="shared" ref="F8587:F8600" si="3208">T("203985540")</f>
        <v>203985540</v>
      </c>
      <c r="G8587" t="str">
        <f>T("914 CHARLES MORRIS COURT SE")</f>
        <v>914 CHARLES MORRIS COURT SE</v>
      </c>
      <c r="H8587" t="str">
        <f>T("WASHINGTON NAVY YARD")</f>
        <v>WASHINGTON NAVY YARD</v>
      </c>
      <c r="I8587" t="str">
        <f>T("WASHINGTON")</f>
        <v>WASHINGTON</v>
      </c>
      <c r="J8587" t="str">
        <f>T("DC")</f>
        <v>DC</v>
      </c>
      <c r="K8587" t="str">
        <f>T("")</f>
        <v/>
      </c>
      <c r="L8587" t="str">
        <f>T("2026855004")</f>
        <v>2026855004</v>
      </c>
    </row>
    <row r="8588" spans="1:12" x14ac:dyDescent="0.35">
      <c r="A8588" t="str">
        <f t="shared" si="3201"/>
        <v>MSC DC</v>
      </c>
      <c r="B8588" t="str">
        <f t="shared" ref="B8588:B8598" si="3209">T("914 CHARLES MORRIS CT SE")</f>
        <v>914 CHARLES MORRIS CT SE</v>
      </c>
      <c r="C8588" t="str">
        <f t="shared" ref="C8588:C8598" si="3210">T("")</f>
        <v/>
      </c>
      <c r="D8588" t="str">
        <f t="shared" ref="D8588:D8598" si="3211">T("WASHGTON NVY YRD")</f>
        <v>WASHGTON NVY YRD</v>
      </c>
      <c r="E8588" t="str">
        <f t="shared" si="3207"/>
        <v>DC</v>
      </c>
      <c r="F8588" t="str">
        <f t="shared" si="3208"/>
        <v>203985540</v>
      </c>
      <c r="G8588" t="str">
        <f>T("471 C STREET")</f>
        <v>471 C STREET</v>
      </c>
      <c r="H8588" t="str">
        <f>T("BUILDING SP-64")</f>
        <v>BUILDING SP-64</v>
      </c>
      <c r="I8588" t="str">
        <f>T("NORFOLK")</f>
        <v>NORFOLK</v>
      </c>
      <c r="J8588" t="str">
        <f>T("VA")</f>
        <v>VA</v>
      </c>
      <c r="K8588" t="str">
        <f>T("7574435979")</f>
        <v>7574435979</v>
      </c>
      <c r="L8588" t="str">
        <f>T("7574435891")</f>
        <v>7574435891</v>
      </c>
    </row>
    <row r="8589" spans="1:12" x14ac:dyDescent="0.35">
      <c r="A8589" t="str">
        <f t="shared" si="3201"/>
        <v>MSC DC</v>
      </c>
      <c r="B8589" t="str">
        <f t="shared" si="3209"/>
        <v>914 CHARLES MORRIS CT SE</v>
      </c>
      <c r="C8589" t="str">
        <f t="shared" si="3210"/>
        <v/>
      </c>
      <c r="D8589" t="str">
        <f t="shared" si="3211"/>
        <v>WASHGTON NVY YRD</v>
      </c>
      <c r="E8589" t="str">
        <f t="shared" si="3207"/>
        <v>DC</v>
      </c>
      <c r="F8589" t="str">
        <f t="shared" si="3208"/>
        <v>203985540</v>
      </c>
      <c r="G8589" t="str">
        <f>T("471 E C STREET")</f>
        <v>471 E C STREET</v>
      </c>
      <c r="H8589" t="str">
        <f>T("BLDG SP-48")</f>
        <v>BLDG SP-48</v>
      </c>
      <c r="I8589" t="str">
        <f>T("NORFOLK")</f>
        <v>NORFOLK</v>
      </c>
      <c r="J8589" t="str">
        <f>T("VA")</f>
        <v>VA</v>
      </c>
      <c r="K8589" t="str">
        <f>T("7574435974")</f>
        <v>7574435974</v>
      </c>
      <c r="L8589" t="str">
        <f>T("7574433854")</f>
        <v>7574433854</v>
      </c>
    </row>
    <row r="8590" spans="1:12" x14ac:dyDescent="0.35">
      <c r="A8590" t="str">
        <f t="shared" si="3201"/>
        <v>MSC DC</v>
      </c>
      <c r="B8590" t="str">
        <f t="shared" si="3209"/>
        <v>914 CHARLES MORRIS CT SE</v>
      </c>
      <c r="C8590" t="str">
        <f t="shared" si="3210"/>
        <v/>
      </c>
      <c r="D8590" t="str">
        <f t="shared" si="3211"/>
        <v>WASHGTON NVY YRD</v>
      </c>
      <c r="E8590" t="str">
        <f t="shared" si="3207"/>
        <v>DC</v>
      </c>
      <c r="F8590" t="str">
        <f t="shared" si="3208"/>
        <v>203985540</v>
      </c>
      <c r="G8590" t="str">
        <f>T("471 EAST C STREET")</f>
        <v>471 EAST C STREET</v>
      </c>
      <c r="H8590" t="str">
        <f>T("BLDG SP-16")</f>
        <v>BLDG SP-16</v>
      </c>
      <c r="I8590" t="str">
        <f>T("NORFOLK")</f>
        <v>NORFOLK</v>
      </c>
      <c r="J8590" t="str">
        <f>T("VA")</f>
        <v>VA</v>
      </c>
      <c r="K8590" t="str">
        <f>T("000000000000000000")</f>
        <v>000000000000000000</v>
      </c>
      <c r="L8590" t="str">
        <f>T("7574433966")</f>
        <v>7574433966</v>
      </c>
    </row>
    <row r="8591" spans="1:12" x14ac:dyDescent="0.35">
      <c r="A8591" t="str">
        <f t="shared" si="3201"/>
        <v>MSC DC</v>
      </c>
      <c r="B8591" t="str">
        <f t="shared" si="3209"/>
        <v>914 CHARLES MORRIS CT SE</v>
      </c>
      <c r="C8591" t="str">
        <f t="shared" si="3210"/>
        <v/>
      </c>
      <c r="D8591" t="str">
        <f t="shared" si="3211"/>
        <v>WASHGTON NVY YRD</v>
      </c>
      <c r="E8591" t="str">
        <f t="shared" si="3207"/>
        <v>DC</v>
      </c>
      <c r="F8591" t="str">
        <f t="shared" si="3208"/>
        <v>203985540</v>
      </c>
      <c r="G8591" t="str">
        <f>T("471 EAST C STREET")</f>
        <v>471 EAST C STREET</v>
      </c>
      <c r="H8591" t="str">
        <f>T("BLDG SP-16")</f>
        <v>BLDG SP-16</v>
      </c>
      <c r="I8591" t="str">
        <f>T("NORFOLK")</f>
        <v>NORFOLK</v>
      </c>
      <c r="J8591" t="str">
        <f>T("VA")</f>
        <v>VA</v>
      </c>
      <c r="K8591" t="str">
        <f>T("7574435974")</f>
        <v>7574435974</v>
      </c>
      <c r="L8591" t="str">
        <f>T("8044755394")</f>
        <v>8044755394</v>
      </c>
    </row>
    <row r="8592" spans="1:12" x14ac:dyDescent="0.35">
      <c r="A8592" t="str">
        <f t="shared" si="3201"/>
        <v>MSC DC</v>
      </c>
      <c r="B8592" t="str">
        <f t="shared" si="3209"/>
        <v>914 CHARLES MORRIS CT SE</v>
      </c>
      <c r="C8592" t="str">
        <f t="shared" si="3210"/>
        <v/>
      </c>
      <c r="D8592" t="str">
        <f t="shared" si="3211"/>
        <v>WASHGTON NVY YRD</v>
      </c>
      <c r="E8592" t="str">
        <f t="shared" si="3207"/>
        <v>DC</v>
      </c>
      <c r="F8592" t="str">
        <f t="shared" si="3208"/>
        <v>203985540</v>
      </c>
      <c r="G8592" t="str">
        <f>T("471 EAST C STREET")</f>
        <v>471 EAST C STREET</v>
      </c>
      <c r="H8592" t="str">
        <f>T("BLDG SP-64")</f>
        <v>BLDG SP-64</v>
      </c>
      <c r="I8592" t="str">
        <f>T("NORFOLK")</f>
        <v>NORFOLK</v>
      </c>
      <c r="J8592" t="str">
        <f>T("VA")</f>
        <v>VA</v>
      </c>
      <c r="K8592" t="str">
        <f>T("7574431506")</f>
        <v>7574431506</v>
      </c>
      <c r="L8592" t="str">
        <f>T("7574432824")</f>
        <v>7574432824</v>
      </c>
    </row>
    <row r="8593" spans="1:12" x14ac:dyDescent="0.35">
      <c r="A8593" t="str">
        <f t="shared" ref="A8593:A8608" si="3212">T("MSC DC")</f>
        <v>MSC DC</v>
      </c>
      <c r="B8593" t="str">
        <f t="shared" si="3209"/>
        <v>914 CHARLES MORRIS CT SE</v>
      </c>
      <c r="C8593" t="str">
        <f t="shared" si="3210"/>
        <v/>
      </c>
      <c r="D8593" t="str">
        <f t="shared" si="3211"/>
        <v>WASHGTON NVY YRD</v>
      </c>
      <c r="E8593" t="str">
        <f t="shared" si="3207"/>
        <v>DC</v>
      </c>
      <c r="F8593" t="str">
        <f t="shared" si="3208"/>
        <v>203985540</v>
      </c>
      <c r="G8593" t="str">
        <f>T("914 CHARLES MORRIS COURT")</f>
        <v>914 CHARLES MORRIS COURT</v>
      </c>
      <c r="H8593" t="str">
        <f>T("WNY BLDG 210")</f>
        <v>WNY BLDG 210</v>
      </c>
      <c r="I8593" t="str">
        <f>T("WASHINGTON")</f>
        <v>WASHINGTON</v>
      </c>
      <c r="J8593" t="str">
        <f>T("DC")</f>
        <v>DC</v>
      </c>
      <c r="K8593" t="str">
        <f>T("000000000000000000")</f>
        <v>000000000000000000</v>
      </c>
      <c r="L8593" t="str">
        <f>T("2026855845")</f>
        <v>2026855845</v>
      </c>
    </row>
    <row r="8594" spans="1:12" x14ac:dyDescent="0.35">
      <c r="A8594" t="str">
        <f t="shared" si="3212"/>
        <v>MSC DC</v>
      </c>
      <c r="B8594" t="str">
        <f t="shared" si="3209"/>
        <v>914 CHARLES MORRIS CT SE</v>
      </c>
      <c r="C8594" t="str">
        <f t="shared" si="3210"/>
        <v/>
      </c>
      <c r="D8594" t="str">
        <f t="shared" si="3211"/>
        <v>WASHGTON NVY YRD</v>
      </c>
      <c r="E8594" t="str">
        <f t="shared" si="3207"/>
        <v>DC</v>
      </c>
      <c r="F8594" t="str">
        <f t="shared" si="3208"/>
        <v>203985540</v>
      </c>
      <c r="G8594" t="str">
        <f>T("914 CHARLES MORRIS CT SE")</f>
        <v>914 CHARLES MORRIS CT SE</v>
      </c>
      <c r="H8594" t="str">
        <f>T("")</f>
        <v/>
      </c>
      <c r="I8594" t="str">
        <f>T("WASHGTON NVY YRD")</f>
        <v>WASHGTON NVY YRD</v>
      </c>
      <c r="J8594" t="str">
        <f>T("DC")</f>
        <v>DC</v>
      </c>
      <c r="K8594" t="str">
        <f>T("2026855540")</f>
        <v>2026855540</v>
      </c>
      <c r="L8594" t="str">
        <f>T("2026855540")</f>
        <v>2026855540</v>
      </c>
    </row>
    <row r="8595" spans="1:12" x14ac:dyDescent="0.35">
      <c r="A8595" t="str">
        <f t="shared" si="3212"/>
        <v>MSC DC</v>
      </c>
      <c r="B8595" t="str">
        <f t="shared" si="3209"/>
        <v>914 CHARLES MORRIS CT SE</v>
      </c>
      <c r="C8595" t="str">
        <f t="shared" si="3210"/>
        <v/>
      </c>
      <c r="D8595" t="str">
        <f t="shared" si="3211"/>
        <v>WASHGTON NVY YRD</v>
      </c>
      <c r="E8595" t="str">
        <f t="shared" si="3207"/>
        <v>DC</v>
      </c>
      <c r="F8595" t="str">
        <f t="shared" si="3208"/>
        <v>203985540</v>
      </c>
      <c r="G8595" t="str">
        <f>T("914 CHARLES MORRIS CT SE")</f>
        <v>914 CHARLES MORRIS CT SE</v>
      </c>
      <c r="H8595" t="str">
        <f>T("")</f>
        <v/>
      </c>
      <c r="I8595" t="str">
        <f>T("WASHGTON NVY YRD")</f>
        <v>WASHGTON NVY YRD</v>
      </c>
      <c r="J8595" t="str">
        <f>T("DC")</f>
        <v>DC</v>
      </c>
      <c r="K8595" t="str">
        <f>T("2026855965")</f>
        <v>2026855965</v>
      </c>
      <c r="L8595" t="str">
        <f>T("2026855992")</f>
        <v>2026855992</v>
      </c>
    </row>
    <row r="8596" spans="1:12" x14ac:dyDescent="0.35">
      <c r="A8596" t="str">
        <f t="shared" si="3212"/>
        <v>MSC DC</v>
      </c>
      <c r="B8596" t="str">
        <f t="shared" si="3209"/>
        <v>914 CHARLES MORRIS CT SE</v>
      </c>
      <c r="C8596" t="str">
        <f t="shared" si="3210"/>
        <v/>
      </c>
      <c r="D8596" t="str">
        <f t="shared" si="3211"/>
        <v>WASHGTON NVY YRD</v>
      </c>
      <c r="E8596" t="str">
        <f t="shared" si="3207"/>
        <v>DC</v>
      </c>
      <c r="F8596" t="str">
        <f t="shared" si="3208"/>
        <v>203985540</v>
      </c>
      <c r="G8596" t="str">
        <f>T("COMPSRON THREE")</f>
        <v>COMPSRON THREE</v>
      </c>
      <c r="H8596" t="str">
        <f>T("UNIT 200114 BOX 1")</f>
        <v>UNIT 200114 BOX 1</v>
      </c>
      <c r="I8596" t="str">
        <f>T("FPO")</f>
        <v>FPO</v>
      </c>
      <c r="J8596" t="str">
        <f>T("AP")</f>
        <v>AP</v>
      </c>
      <c r="K8596" t="str">
        <f>T("000000000000000000")</f>
        <v>000000000000000000</v>
      </c>
      <c r="L8596" t="str">
        <f>T("6716875277")</f>
        <v>6716875277</v>
      </c>
    </row>
    <row r="8597" spans="1:12" x14ac:dyDescent="0.35">
      <c r="A8597" t="str">
        <f t="shared" si="3212"/>
        <v>MSC DC</v>
      </c>
      <c r="B8597" t="str">
        <f t="shared" si="3209"/>
        <v>914 CHARLES MORRIS CT SE</v>
      </c>
      <c r="C8597" t="str">
        <f t="shared" si="3210"/>
        <v/>
      </c>
      <c r="D8597" t="str">
        <f t="shared" si="3211"/>
        <v>WASHGTON NVY YRD</v>
      </c>
      <c r="E8597" t="str">
        <f t="shared" si="3207"/>
        <v>DC</v>
      </c>
      <c r="F8597" t="str">
        <f t="shared" si="3208"/>
        <v>203985540</v>
      </c>
      <c r="G8597" t="str">
        <f>T("COMPSRON THREE")</f>
        <v>COMPSRON THREE</v>
      </c>
      <c r="H8597" t="str">
        <f>T("UNIT 25101")</f>
        <v>UNIT 25101</v>
      </c>
      <c r="I8597" t="str">
        <f>T("FPO")</f>
        <v>FPO</v>
      </c>
      <c r="J8597" t="str">
        <f>T("AP")</f>
        <v>AP</v>
      </c>
      <c r="K8597" t="str">
        <f>T("000000000000000000")</f>
        <v>000000000000000000</v>
      </c>
      <c r="L8597" t="str">
        <f>T("6195446989")</f>
        <v>6195446989</v>
      </c>
    </row>
    <row r="8598" spans="1:12" x14ac:dyDescent="0.35">
      <c r="A8598" t="str">
        <f t="shared" si="3212"/>
        <v>MSC DC</v>
      </c>
      <c r="B8598" t="str">
        <f t="shared" si="3209"/>
        <v>914 CHARLES MORRIS CT SE</v>
      </c>
      <c r="C8598" t="str">
        <f t="shared" si="3210"/>
        <v/>
      </c>
      <c r="D8598" t="str">
        <f t="shared" si="3211"/>
        <v>WASHGTON NVY YRD</v>
      </c>
      <c r="E8598" t="str">
        <f t="shared" si="3207"/>
        <v>DC</v>
      </c>
      <c r="F8598" t="str">
        <f t="shared" si="3208"/>
        <v>203985540</v>
      </c>
      <c r="G8598" t="str">
        <f>T("COMPSRON TWO")</f>
        <v>COMPSRON TWO</v>
      </c>
      <c r="H8598" t="str">
        <f>T("UNIT 200118 BOX 10")</f>
        <v>UNIT 200118 BOX 10</v>
      </c>
      <c r="I8598" t="str">
        <f>T("FPO")</f>
        <v>FPO</v>
      </c>
      <c r="J8598" t="str">
        <f>T("AP")</f>
        <v>AP</v>
      </c>
      <c r="K8598" t="str">
        <f>T("000000000000000000")</f>
        <v>000000000000000000</v>
      </c>
      <c r="L8598" t="str">
        <f>T("6195447105")</f>
        <v>6195447105</v>
      </c>
    </row>
    <row r="8599" spans="1:12" x14ac:dyDescent="0.35">
      <c r="A8599" t="str">
        <f t="shared" si="3212"/>
        <v>MSC DC</v>
      </c>
      <c r="B8599" t="str">
        <f>T("MILITARY SEALIFT COMMAND")</f>
        <v>MILITARY SEALIFT COMMAND</v>
      </c>
      <c r="C8599" t="str">
        <f>T("914 CHARLES MORRIS COURT SE")</f>
        <v>914 CHARLES MORRIS COURT SE</v>
      </c>
      <c r="D8599" t="str">
        <f>T("WASHINGTON")</f>
        <v>WASHINGTON</v>
      </c>
      <c r="E8599" t="str">
        <f t="shared" si="3207"/>
        <v>DC</v>
      </c>
      <c r="F8599" t="str">
        <f t="shared" si="3208"/>
        <v>203985540</v>
      </c>
      <c r="G8599" t="str">
        <f>T("471 EAST C ST")</f>
        <v>471 EAST C ST</v>
      </c>
      <c r="H8599" t="str">
        <f>T("BLDG SP-64")</f>
        <v>BLDG SP-64</v>
      </c>
      <c r="I8599" t="str">
        <f>T("NORFOLK")</f>
        <v>NORFOLK</v>
      </c>
      <c r="J8599" t="str">
        <f>T("VA")</f>
        <v>VA</v>
      </c>
      <c r="K8599" t="str">
        <f>T("2026855966")</f>
        <v>2026855966</v>
      </c>
      <c r="L8599" t="str">
        <f>T("7573414628")</f>
        <v>7573414628</v>
      </c>
    </row>
    <row r="8600" spans="1:12" x14ac:dyDescent="0.35">
      <c r="A8600" t="str">
        <f t="shared" si="3212"/>
        <v>MSC DC</v>
      </c>
      <c r="B8600" t="str">
        <f>T("MILITARY SEALIFT COMMAND")</f>
        <v>MILITARY SEALIFT COMMAND</v>
      </c>
      <c r="C8600" t="str">
        <f>T("914 CHARLES MORRIS COURT SE")</f>
        <v>914 CHARLES MORRIS COURT SE</v>
      </c>
      <c r="D8600" t="str">
        <f>T("WASHINGTON")</f>
        <v>WASHINGTON</v>
      </c>
      <c r="E8600" t="str">
        <f t="shared" si="3207"/>
        <v>DC</v>
      </c>
      <c r="F8600" t="str">
        <f t="shared" si="3208"/>
        <v>203985540</v>
      </c>
      <c r="G8600" t="str">
        <f>T("MILITARY SEALIFT COMMAND")</f>
        <v>MILITARY SEALIFT COMMAND</v>
      </c>
      <c r="H8600" t="str">
        <f>T("914 CHARLES MORRIS COURT SE")</f>
        <v>914 CHARLES MORRIS COURT SE</v>
      </c>
      <c r="I8600" t="str">
        <f>T("WASHINGTON")</f>
        <v>WASHINGTON</v>
      </c>
      <c r="J8600" t="str">
        <f>T("DC")</f>
        <v>DC</v>
      </c>
      <c r="K8600" t="str">
        <f>T("")</f>
        <v/>
      </c>
      <c r="L8600" t="str">
        <f>T("2026855957")</f>
        <v>2026855957</v>
      </c>
    </row>
    <row r="8601" spans="1:12" x14ac:dyDescent="0.35">
      <c r="A8601" t="str">
        <f t="shared" si="3212"/>
        <v>MSC DC</v>
      </c>
      <c r="B8601" t="str">
        <f>T("MILLITARY SEALIFT CMND")</f>
        <v>MILLITARY SEALIFT CMND</v>
      </c>
      <c r="C8601" t="str">
        <f>T("477 C STREET")</f>
        <v>477 C STREET</v>
      </c>
      <c r="D8601" t="str">
        <f>T("NORFOLK")</f>
        <v>NORFOLK</v>
      </c>
      <c r="E8601" t="str">
        <f t="shared" ref="E8601:E8606" si="3213">T("VA")</f>
        <v>VA</v>
      </c>
      <c r="F8601" t="str">
        <f>T("235113905")</f>
        <v>235113905</v>
      </c>
      <c r="G8601" t="str">
        <f>T("914 CHARLES MORRIS CT SE")</f>
        <v>914 CHARLES MORRIS CT SE</v>
      </c>
      <c r="H8601" t="str">
        <f>T("")</f>
        <v/>
      </c>
      <c r="I8601" t="str">
        <f>T("WASHINGTON NAVY YARD")</f>
        <v>WASHINGTON NAVY YARD</v>
      </c>
      <c r="J8601" t="str">
        <f>T("DC")</f>
        <v>DC</v>
      </c>
      <c r="K8601" t="str">
        <f>T("000000000000000000")</f>
        <v>000000000000000000</v>
      </c>
      <c r="L8601" t="str">
        <f>T("2026855432")</f>
        <v>2026855432</v>
      </c>
    </row>
    <row r="8602" spans="1:12" x14ac:dyDescent="0.35">
      <c r="A8602" t="str">
        <f t="shared" si="3212"/>
        <v>MSC DC</v>
      </c>
      <c r="B8602" t="str">
        <f>T("MILLITARY SEALIFT CMND")</f>
        <v>MILLITARY SEALIFT CMND</v>
      </c>
      <c r="C8602" t="str">
        <f>T("477 C STREET")</f>
        <v>477 C STREET</v>
      </c>
      <c r="D8602" t="str">
        <f>T("NORFOLK")</f>
        <v>NORFOLK</v>
      </c>
      <c r="E8602" t="str">
        <f t="shared" si="3213"/>
        <v>VA</v>
      </c>
      <c r="F8602" t="str">
        <f>T("235113905")</f>
        <v>235113905</v>
      </c>
      <c r="G8602" t="str">
        <f>T("MILLITARY SEALIFT CMND")</f>
        <v>MILLITARY SEALIFT CMND</v>
      </c>
      <c r="H8602" t="str">
        <f>T("477 C STREET")</f>
        <v>477 C STREET</v>
      </c>
      <c r="I8602" t="str">
        <f>T("NORFOLK")</f>
        <v>NORFOLK</v>
      </c>
      <c r="J8602" t="str">
        <f>T("VA")</f>
        <v>VA</v>
      </c>
      <c r="K8602" t="str">
        <f>T("7574432939")</f>
        <v>7574432939</v>
      </c>
      <c r="L8602" t="str">
        <f>T("7574430896")</f>
        <v>7574430896</v>
      </c>
    </row>
    <row r="8603" spans="1:12" x14ac:dyDescent="0.35">
      <c r="A8603" t="str">
        <f t="shared" si="3212"/>
        <v>MSC DC</v>
      </c>
      <c r="B8603" t="str">
        <f>T("MSC UNREP TRAINING CENTER")</f>
        <v>MSC UNREP TRAINING CENTER</v>
      </c>
      <c r="C8603" t="str">
        <f>T("JEB LITTLE CREEK 1142 5TH STREET")</f>
        <v>JEB LITTLE CREEK 1142 5TH STREET</v>
      </c>
      <c r="D8603" t="str">
        <f>T("VIRGINIA BEACH")</f>
        <v>VIRGINIA BEACH</v>
      </c>
      <c r="E8603" t="str">
        <f t="shared" si="3213"/>
        <v>VA</v>
      </c>
      <c r="F8603" t="str">
        <f>T("234598206")</f>
        <v>234598206</v>
      </c>
      <c r="G8603" t="str">
        <f>T("MSC UNREP TRAINING CENTER")</f>
        <v>MSC UNREP TRAINING CENTER</v>
      </c>
      <c r="H8603" t="str">
        <f>T("JEB LITTLE CREEK 1142 5TH STREET")</f>
        <v>JEB LITTLE CREEK 1142 5TH STREET</v>
      </c>
      <c r="I8603" t="str">
        <f>T("VIRGINIA BEACH")</f>
        <v>VIRGINIA BEACH</v>
      </c>
      <c r="J8603" t="str">
        <f>T("VA")</f>
        <v>VA</v>
      </c>
      <c r="K8603" t="str">
        <f>T("757-462-8949")</f>
        <v>757-462-8949</v>
      </c>
      <c r="L8603" t="str">
        <f>T("7574621732")</f>
        <v>7574621732</v>
      </c>
    </row>
    <row r="8604" spans="1:12" x14ac:dyDescent="0.35">
      <c r="A8604" t="str">
        <f t="shared" si="3212"/>
        <v>MSC DC</v>
      </c>
      <c r="B8604" t="str">
        <f>T("MSC UNREP TRAINING CENTER")</f>
        <v>MSC UNREP TRAINING CENTER</v>
      </c>
      <c r="C8604" t="str">
        <f>T("JEB LITTLE CREEK 1142 5TH STREET")</f>
        <v>JEB LITTLE CREEK 1142 5TH STREET</v>
      </c>
      <c r="D8604" t="str">
        <f>T("VIRGINIA BEACH")</f>
        <v>VIRGINIA BEACH</v>
      </c>
      <c r="E8604" t="str">
        <f t="shared" si="3213"/>
        <v>VA</v>
      </c>
      <c r="F8604" t="str">
        <f>T("234598206")</f>
        <v>234598206</v>
      </c>
      <c r="G8604" t="str">
        <f>T("MUTC/ JEB LITTLE CREEK")</f>
        <v>MUTC/ JEB LITTLE CREEK</v>
      </c>
      <c r="H8604" t="str">
        <f>T("1142 5TH ST")</f>
        <v>1142 5TH ST</v>
      </c>
      <c r="I8604" t="str">
        <f>T("VIRGINIA BEACH")</f>
        <v>VIRGINIA BEACH</v>
      </c>
      <c r="J8604" t="str">
        <f>T("VA")</f>
        <v>VA</v>
      </c>
      <c r="K8604" t="str">
        <f>T("000000000000000000")</f>
        <v>000000000000000000</v>
      </c>
      <c r="L8604" t="str">
        <f>T("7574621750")</f>
        <v>7574621750</v>
      </c>
    </row>
    <row r="8605" spans="1:12" x14ac:dyDescent="0.35">
      <c r="A8605" t="str">
        <f t="shared" si="3212"/>
        <v>MSC DC</v>
      </c>
      <c r="B8605" t="str">
        <f>T("N13 BLDG SP-64")</f>
        <v>N13 BLDG SP-64</v>
      </c>
      <c r="C8605" t="str">
        <f>T("471 E C ST")</f>
        <v>471 E C ST</v>
      </c>
      <c r="D8605" t="str">
        <f>T("NORFOLK")</f>
        <v>NORFOLK</v>
      </c>
      <c r="E8605" t="str">
        <f t="shared" si="3213"/>
        <v>VA</v>
      </c>
      <c r="F8605" t="str">
        <f>T("235113905")</f>
        <v>235113905</v>
      </c>
      <c r="G8605" t="str">
        <f>T("471 C STREET")</f>
        <v>471 C STREET</v>
      </c>
      <c r="H8605" t="str">
        <f>T("BLDG SP 312")</f>
        <v>BLDG SP 312</v>
      </c>
      <c r="I8605" t="str">
        <f>T("NORFOLK")</f>
        <v>NORFOLK</v>
      </c>
      <c r="J8605" t="str">
        <f>T("VA")</f>
        <v>VA</v>
      </c>
      <c r="K8605" t="str">
        <f>T("7574435767")</f>
        <v>7574435767</v>
      </c>
      <c r="L8605" t="str">
        <f>T("7573413422")</f>
        <v>7573413422</v>
      </c>
    </row>
    <row r="8606" spans="1:12" x14ac:dyDescent="0.35">
      <c r="A8606" t="str">
        <f t="shared" si="3212"/>
        <v>MSC DC</v>
      </c>
      <c r="B8606" t="str">
        <f>T("N13 BLDG SP-64")</f>
        <v>N13 BLDG SP-64</v>
      </c>
      <c r="C8606" t="str">
        <f>T("471 E C ST")</f>
        <v>471 E C ST</v>
      </c>
      <c r="D8606" t="str">
        <f>T("NORFOLK")</f>
        <v>NORFOLK</v>
      </c>
      <c r="E8606" t="str">
        <f t="shared" si="3213"/>
        <v>VA</v>
      </c>
      <c r="F8606" t="str">
        <f>T("235113905")</f>
        <v>235113905</v>
      </c>
      <c r="G8606" t="str">
        <f>T("N13 BLDG SP-64")</f>
        <v>N13 BLDG SP-64</v>
      </c>
      <c r="H8606" t="str">
        <f>T("471 E C ST")</f>
        <v>471 E C ST</v>
      </c>
      <c r="I8606" t="str">
        <f>T("NORFOLK")</f>
        <v>NORFOLK</v>
      </c>
      <c r="J8606" t="str">
        <f>T("VA")</f>
        <v>VA</v>
      </c>
      <c r="K8606" t="str">
        <f>T("")</f>
        <v/>
      </c>
      <c r="L8606" t="str">
        <f>T("7574435771")</f>
        <v>7574435771</v>
      </c>
    </row>
    <row r="8607" spans="1:12" x14ac:dyDescent="0.35">
      <c r="A8607" t="str">
        <f t="shared" si="3212"/>
        <v>MSC DC</v>
      </c>
      <c r="B8607" t="str">
        <f>T("TCCC-J/S")</f>
        <v>TCCC-J/S</v>
      </c>
      <c r="C8607" t="str">
        <f>T("508 SCOTT DRIVE")</f>
        <v>508 SCOTT DRIVE</v>
      </c>
      <c r="D8607" t="str">
        <f>T("SCOTT AFB")</f>
        <v>SCOTT AFB</v>
      </c>
      <c r="E8607" t="str">
        <f>T("IL")</f>
        <v>IL</v>
      </c>
      <c r="F8607" t="str">
        <f>T("622255313")</f>
        <v>622255313</v>
      </c>
      <c r="G8607" t="str">
        <f>T("TCCC JS MSC DETACHMENT")</f>
        <v>TCCC JS MSC DETACHMENT</v>
      </c>
      <c r="H8607" t="str">
        <f>T("508 SCOTT DRIVE")</f>
        <v>508 SCOTT DRIVE</v>
      </c>
      <c r="I8607" t="str">
        <f>T("SCOTT AFB")</f>
        <v>SCOTT AFB</v>
      </c>
      <c r="J8607" t="str">
        <f>T("IL")</f>
        <v>IL</v>
      </c>
      <c r="K8607" t="str">
        <f>T("6182206695")</f>
        <v>6182206695</v>
      </c>
      <c r="L8607" t="str">
        <f>T("6182207671")</f>
        <v>6182207671</v>
      </c>
    </row>
    <row r="8608" spans="1:12" x14ac:dyDescent="0.35">
      <c r="A8608" t="str">
        <f t="shared" si="3212"/>
        <v>MSC DC</v>
      </c>
      <c r="B8608" t="str">
        <f>T("TCCC-J/S")</f>
        <v>TCCC-J/S</v>
      </c>
      <c r="C8608" t="str">
        <f>T("508 SCOTT DRIVE")</f>
        <v>508 SCOTT DRIVE</v>
      </c>
      <c r="D8608" t="str">
        <f>T("SCOTT AFB")</f>
        <v>SCOTT AFB</v>
      </c>
      <c r="E8608" t="str">
        <f>T("IL")</f>
        <v>IL</v>
      </c>
      <c r="F8608" t="str">
        <f>T("622255313")</f>
        <v>622255313</v>
      </c>
      <c r="G8608" t="str">
        <f>T("TCCC-J/S")</f>
        <v>TCCC-J/S</v>
      </c>
      <c r="H8608" t="str">
        <f>T("508 SCOTT DRIVE")</f>
        <v>508 SCOTT DRIVE</v>
      </c>
      <c r="I8608" t="str">
        <f>T("SCOTT AFB")</f>
        <v>SCOTT AFB</v>
      </c>
      <c r="J8608" t="str">
        <f>T("IL")</f>
        <v>IL</v>
      </c>
      <c r="K8608" t="str">
        <f>T("")</f>
        <v/>
      </c>
      <c r="L8608" t="str">
        <f>T("6182207671")</f>
        <v>6182207671</v>
      </c>
    </row>
    <row r="8609" spans="1:12" x14ac:dyDescent="0.35">
      <c r="A8609" t="str">
        <f t="shared" ref="A8609:A8640" si="3214">T("MSC NORFOLK")</f>
        <v>MSC NORFOLK</v>
      </c>
      <c r="B8609" t="str">
        <f>T("471 EAST C ST")</f>
        <v>471 EAST C ST</v>
      </c>
      <c r="C8609" t="str">
        <f>T("BLDG SP-64 2D FL")</f>
        <v>BLDG SP-64 2D FL</v>
      </c>
      <c r="D8609" t="str">
        <f>T("NORFOLK")</f>
        <v>NORFOLK</v>
      </c>
      <c r="E8609" t="str">
        <f>T("VA")</f>
        <v>VA</v>
      </c>
      <c r="F8609" t="str">
        <f>T("235113905")</f>
        <v>235113905</v>
      </c>
      <c r="G8609" t="str">
        <f>T("471 EAST C ST")</f>
        <v>471 EAST C ST</v>
      </c>
      <c r="H8609" t="str">
        <f>T("BLDG SP-64 2D FL")</f>
        <v>BLDG SP-64 2D FL</v>
      </c>
      <c r="I8609" t="str">
        <f>T("NORFOLK")</f>
        <v>NORFOLK</v>
      </c>
      <c r="J8609" t="str">
        <f>T("VA")</f>
        <v>VA</v>
      </c>
      <c r="K8609" t="str">
        <f>T("")</f>
        <v/>
      </c>
      <c r="L8609" t="str">
        <f>T("6178990080")</f>
        <v>6178990080</v>
      </c>
    </row>
    <row r="8610" spans="1:12" x14ac:dyDescent="0.35">
      <c r="A8610" t="str">
        <f t="shared" si="3214"/>
        <v>MSC NORFOLK</v>
      </c>
      <c r="B8610" t="str">
        <f>T("471 EAST C ST")</f>
        <v>471 EAST C ST</v>
      </c>
      <c r="C8610" t="str">
        <f>T("BLDG SP-64 2D FL")</f>
        <v>BLDG SP-64 2D FL</v>
      </c>
      <c r="D8610" t="str">
        <f>T("NORFOLK")</f>
        <v>NORFOLK</v>
      </c>
      <c r="E8610" t="str">
        <f>T("VA")</f>
        <v>VA</v>
      </c>
      <c r="F8610" t="str">
        <f>T("235113905")</f>
        <v>235113905</v>
      </c>
      <c r="G8610" t="str">
        <f>T("USNS COMFORT T-AH 20")</f>
        <v>USNS COMFORT T-AH 20</v>
      </c>
      <c r="H8610" t="str">
        <f>T("UNIT 100362 BOX 1")</f>
        <v>UNIT 100362 BOX 1</v>
      </c>
      <c r="I8610" t="str">
        <f>T("FPO")</f>
        <v>FPO</v>
      </c>
      <c r="J8610" t="str">
        <f>T("AE")</f>
        <v>AE</v>
      </c>
      <c r="K8610" t="str">
        <f>T("000000000000000000")</f>
        <v>000000000000000000</v>
      </c>
      <c r="L8610" t="str">
        <f>T("7574456247")</f>
        <v>7574456247</v>
      </c>
    </row>
    <row r="8611" spans="1:12" x14ac:dyDescent="0.35">
      <c r="A8611" t="str">
        <f t="shared" si="3214"/>
        <v>MSC NORFOLK</v>
      </c>
      <c r="B8611" t="str">
        <f>T("471 EAST C ST")</f>
        <v>471 EAST C ST</v>
      </c>
      <c r="C8611" t="str">
        <f>T("BLDG SP-64 2D FL")</f>
        <v>BLDG SP-64 2D FL</v>
      </c>
      <c r="D8611" t="str">
        <f>T("NORFOLK")</f>
        <v>NORFOLK</v>
      </c>
      <c r="E8611" t="str">
        <f>T("VA")</f>
        <v>VA</v>
      </c>
      <c r="F8611" t="str">
        <f>T("235113905")</f>
        <v>235113905</v>
      </c>
      <c r="G8611" t="str">
        <f>T("USNS COMFORT T-AH 20")</f>
        <v>USNS COMFORT T-AH 20</v>
      </c>
      <c r="H8611" t="str">
        <f>T("UNIT 100362 BOX 1")</f>
        <v>UNIT 100362 BOX 1</v>
      </c>
      <c r="I8611" t="str">
        <f>T("FPO")</f>
        <v>FPO</v>
      </c>
      <c r="J8611" t="str">
        <f>T("AP")</f>
        <v>AP</v>
      </c>
      <c r="K8611" t="str">
        <f>T("000000000000000000")</f>
        <v>000000000000000000</v>
      </c>
      <c r="L8611" t="str">
        <f>T("7574467520")</f>
        <v>7574467520</v>
      </c>
    </row>
    <row r="8612" spans="1:12" x14ac:dyDescent="0.35">
      <c r="A8612" t="str">
        <f t="shared" si="3214"/>
        <v>MSC NORFOLK</v>
      </c>
      <c r="B8612" t="str">
        <f>T("471 EAST C ST")</f>
        <v>471 EAST C ST</v>
      </c>
      <c r="C8612" t="str">
        <f>T("BLDG SP-64 2D FL")</f>
        <v>BLDG SP-64 2D FL</v>
      </c>
      <c r="D8612" t="str">
        <f>T("NORFOLK")</f>
        <v>NORFOLK</v>
      </c>
      <c r="E8612" t="str">
        <f>T("VA")</f>
        <v>VA</v>
      </c>
      <c r="F8612" t="str">
        <f>T("235113905")</f>
        <v>235113905</v>
      </c>
      <c r="G8612" t="str">
        <f>T("USNS COMFORT TAH 20")</f>
        <v>USNS COMFORT TAH 20</v>
      </c>
      <c r="H8612" t="str">
        <f>T("UNIT 100362 BOX 1")</f>
        <v>UNIT 100362 BOX 1</v>
      </c>
      <c r="I8612" t="str">
        <f>T("FPO")</f>
        <v>FPO</v>
      </c>
      <c r="J8612" t="str">
        <f>T("AE")</f>
        <v>AE</v>
      </c>
      <c r="K8612" t="str">
        <f>T("61954471188")</f>
        <v>61954471188</v>
      </c>
      <c r="L8612" t="str">
        <f>T("1111111111")</f>
        <v>1111111111</v>
      </c>
    </row>
    <row r="8613" spans="1:12" x14ac:dyDescent="0.35">
      <c r="A8613" t="str">
        <f t="shared" si="3214"/>
        <v>MSC NORFOLK</v>
      </c>
      <c r="B8613" t="str">
        <f>T("471 EAST C STREET BLDG SP-64")</f>
        <v>471 EAST C STREET BLDG SP-64</v>
      </c>
      <c r="C8613" t="str">
        <f>T("2ND FLR")</f>
        <v>2ND FLR</v>
      </c>
      <c r="D8613" t="str">
        <f>T("NORFOLK")</f>
        <v>NORFOLK</v>
      </c>
      <c r="E8613" t="str">
        <f>T("VA")</f>
        <v>VA</v>
      </c>
      <c r="F8613" t="str">
        <f>T("235113905")</f>
        <v>235113905</v>
      </c>
      <c r="G8613" t="str">
        <f>T("471 EAST C STREET BLDG SP-64")</f>
        <v>471 EAST C STREET BLDG SP-64</v>
      </c>
      <c r="H8613" t="str">
        <f>T("2ND FLR")</f>
        <v>2ND FLR</v>
      </c>
      <c r="I8613" t="str">
        <f>T("NORFOLK")</f>
        <v>NORFOLK</v>
      </c>
      <c r="J8613" t="str">
        <f>T("VA")</f>
        <v>VA</v>
      </c>
      <c r="K8613" t="str">
        <f>T("")</f>
        <v/>
      </c>
      <c r="L8613" t="str">
        <f>T("7574435800")</f>
        <v>7574435800</v>
      </c>
    </row>
    <row r="8614" spans="1:12" x14ac:dyDescent="0.35">
      <c r="A8614" t="str">
        <f t="shared" si="3214"/>
        <v>MSC NORFOLK</v>
      </c>
      <c r="B8614" t="str">
        <f>T("MSC NORFOLK DEPT OF NAVY")</f>
        <v>MSC NORFOLK DEPT OF NAVY</v>
      </c>
      <c r="C8614" t="str">
        <f>T("USNS ZEUS T-ARC 7")</f>
        <v>USNS ZEUS T-ARC 7</v>
      </c>
      <c r="D8614" t="str">
        <f t="shared" ref="D8614:D8645" si="3215">T("FPO")</f>
        <v>FPO</v>
      </c>
      <c r="E8614" t="str">
        <f>T("AP")</f>
        <v>AP</v>
      </c>
      <c r="F8614" t="str">
        <f>T("966874076")</f>
        <v>966874076</v>
      </c>
      <c r="G8614" t="str">
        <f>T("MSC NORFOLK DEPT OF NAVY")</f>
        <v>MSC NORFOLK DEPT OF NAVY</v>
      </c>
      <c r="H8614" t="str">
        <f>T("USNS ZEUS T-ARC 7")</f>
        <v>USNS ZEUS T-ARC 7</v>
      </c>
      <c r="I8614" t="str">
        <f t="shared" ref="I8614:I8621" si="3216">T("FPO")</f>
        <v>FPO</v>
      </c>
      <c r="J8614" t="str">
        <f>T("AP")</f>
        <v>AP</v>
      </c>
      <c r="K8614" t="str">
        <f>T("")</f>
        <v/>
      </c>
      <c r="L8614" t="str">
        <f>T("6195337288")</f>
        <v>6195337288</v>
      </c>
    </row>
    <row r="8615" spans="1:12" x14ac:dyDescent="0.35">
      <c r="A8615" t="str">
        <f t="shared" si="3214"/>
        <v>MSC NORFOLK</v>
      </c>
      <c r="B8615" t="str">
        <f>T("MSC NORFOLK DEPT OF NAVY")</f>
        <v>MSC NORFOLK DEPT OF NAVY</v>
      </c>
      <c r="C8615" t="str">
        <f>T("USNS ZEUS T-ARC 7")</f>
        <v>USNS ZEUS T-ARC 7</v>
      </c>
      <c r="D8615" t="str">
        <f t="shared" si="3215"/>
        <v>FPO</v>
      </c>
      <c r="E8615" t="str">
        <f>T("AP")</f>
        <v>AP</v>
      </c>
      <c r="F8615" t="str">
        <f>T("966874076")</f>
        <v>966874076</v>
      </c>
      <c r="G8615" t="str">
        <f>T("USNS ZEUS T ARC")</f>
        <v>USNS ZEUS T ARC</v>
      </c>
      <c r="H8615" t="str">
        <f>T("UNIT 100407 BOX 1")</f>
        <v>UNIT 100407 BOX 1</v>
      </c>
      <c r="I8615" t="str">
        <f t="shared" si="3216"/>
        <v>FPO</v>
      </c>
      <c r="J8615" t="str">
        <f t="shared" ref="J8615:J8621" si="3217">T("AE")</f>
        <v>AE</v>
      </c>
      <c r="K8615" t="str">
        <f>T("000000000000000000")</f>
        <v>000000000000000000</v>
      </c>
      <c r="L8615" t="str">
        <f>T("6195337289")</f>
        <v>6195337289</v>
      </c>
    </row>
    <row r="8616" spans="1:12" x14ac:dyDescent="0.35">
      <c r="A8616" t="str">
        <f t="shared" si="3214"/>
        <v>MSC NORFOLK</v>
      </c>
      <c r="B8616" t="str">
        <f>T("MSC NORFOLK DEPT OF NAVY")</f>
        <v>MSC NORFOLK DEPT OF NAVY</v>
      </c>
      <c r="C8616" t="str">
        <f>T("USNS ZEUS T-ARC 7")</f>
        <v>USNS ZEUS T-ARC 7</v>
      </c>
      <c r="D8616" t="str">
        <f t="shared" si="3215"/>
        <v>FPO</v>
      </c>
      <c r="E8616" t="str">
        <f>T("AP")</f>
        <v>AP</v>
      </c>
      <c r="F8616" t="str">
        <f>T("966874076")</f>
        <v>966874076</v>
      </c>
      <c r="G8616" t="str">
        <f>T("USNS ZEUS T-ARC 7")</f>
        <v>USNS ZEUS T-ARC 7</v>
      </c>
      <c r="H8616" t="str">
        <f>T("UNIT 100407 BOX 1")</f>
        <v>UNIT 100407 BOX 1</v>
      </c>
      <c r="I8616" t="str">
        <f t="shared" si="3216"/>
        <v>FPO</v>
      </c>
      <c r="J8616" t="str">
        <f t="shared" si="3217"/>
        <v>AE</v>
      </c>
      <c r="K8616" t="str">
        <f>T("000000000000000000")</f>
        <v>000000000000000000</v>
      </c>
      <c r="L8616" t="str">
        <f>T("6195337288")</f>
        <v>6195337288</v>
      </c>
    </row>
    <row r="8617" spans="1:12" x14ac:dyDescent="0.35">
      <c r="A8617" t="str">
        <f t="shared" si="3214"/>
        <v>MSC NORFOLK</v>
      </c>
      <c r="B8617" t="str">
        <f>T("MSC NORFOLK DEPT OF NAVY")</f>
        <v>MSC NORFOLK DEPT OF NAVY</v>
      </c>
      <c r="C8617" t="str">
        <f>T("USNS ZEUS T-ARC 7")</f>
        <v>USNS ZEUS T-ARC 7</v>
      </c>
      <c r="D8617" t="str">
        <f t="shared" si="3215"/>
        <v>FPO</v>
      </c>
      <c r="E8617" t="str">
        <f>T("AP")</f>
        <v>AP</v>
      </c>
      <c r="F8617" t="str">
        <f>T("966874076")</f>
        <v>966874076</v>
      </c>
      <c r="G8617" t="str">
        <f>T("USNS ZEUS T-ARC 7")</f>
        <v>USNS ZEUS T-ARC 7</v>
      </c>
      <c r="H8617" t="str">
        <f>T("UNIT 100407 BOX 1")</f>
        <v>UNIT 100407 BOX 1</v>
      </c>
      <c r="I8617" t="str">
        <f t="shared" si="3216"/>
        <v>FPO</v>
      </c>
      <c r="J8617" t="str">
        <f t="shared" si="3217"/>
        <v>AE</v>
      </c>
      <c r="K8617" t="str">
        <f>T("000000000000000000")</f>
        <v>000000000000000000</v>
      </c>
      <c r="L8617" t="str">
        <f>T("6195337289")</f>
        <v>6195337289</v>
      </c>
    </row>
    <row r="8618" spans="1:12" x14ac:dyDescent="0.35">
      <c r="A8618" t="str">
        <f t="shared" si="3214"/>
        <v>MSC NORFOLK</v>
      </c>
      <c r="B8618" t="str">
        <f>T("PSC 451 BOX 350")</f>
        <v>PSC 451 BOX 350</v>
      </c>
      <c r="C8618" t="str">
        <f>T("")</f>
        <v/>
      </c>
      <c r="D8618" t="str">
        <f t="shared" si="3215"/>
        <v>FPO</v>
      </c>
      <c r="E8618" t="str">
        <f t="shared" ref="E8618:E8649" si="3218">T("AE")</f>
        <v>AE</v>
      </c>
      <c r="F8618" t="str">
        <f>T("098340004")</f>
        <v>098340004</v>
      </c>
      <c r="G8618" t="str">
        <f>T("MSC SSU- BAHRAIN")</f>
        <v>MSC SSU- BAHRAIN</v>
      </c>
      <c r="H8618" t="str">
        <f>T("PSC 851 BOX 350")</f>
        <v>PSC 851 BOX 350</v>
      </c>
      <c r="I8618" t="str">
        <f t="shared" si="3216"/>
        <v>FPO</v>
      </c>
      <c r="J8618" t="str">
        <f t="shared" si="3217"/>
        <v>AE</v>
      </c>
      <c r="K8618" t="str">
        <f>T("01197317859129")</f>
        <v>01197317859129</v>
      </c>
      <c r="L8618" t="str">
        <f>T("1111111111")</f>
        <v>1111111111</v>
      </c>
    </row>
    <row r="8619" spans="1:12" x14ac:dyDescent="0.35">
      <c r="A8619" t="str">
        <f t="shared" si="3214"/>
        <v>MSC NORFOLK</v>
      </c>
      <c r="B8619" t="str">
        <f>T("PSC 451 BOX 350")</f>
        <v>PSC 451 BOX 350</v>
      </c>
      <c r="C8619" t="str">
        <f>T("")</f>
        <v/>
      </c>
      <c r="D8619" t="str">
        <f t="shared" si="3215"/>
        <v>FPO</v>
      </c>
      <c r="E8619" t="str">
        <f t="shared" si="3218"/>
        <v>AE</v>
      </c>
      <c r="F8619" t="str">
        <f>T("098340004")</f>
        <v>098340004</v>
      </c>
      <c r="G8619" t="str">
        <f>T("PSC 451 BOX 350")</f>
        <v>PSC 451 BOX 350</v>
      </c>
      <c r="H8619" t="str">
        <f>T("")</f>
        <v/>
      </c>
      <c r="I8619" t="str">
        <f t="shared" si="3216"/>
        <v>FPO</v>
      </c>
      <c r="J8619" t="str">
        <f t="shared" si="3217"/>
        <v>AE</v>
      </c>
      <c r="K8619" t="str">
        <f>T("")</f>
        <v/>
      </c>
      <c r="L8619" t="str">
        <f>T("1111111111")</f>
        <v>1111111111</v>
      </c>
    </row>
    <row r="8620" spans="1:12" x14ac:dyDescent="0.35">
      <c r="A8620" t="str">
        <f t="shared" si="3214"/>
        <v>MSC NORFOLK</v>
      </c>
      <c r="B8620" t="str">
        <f>T("PSC 817 BOX 23")</f>
        <v>PSC 817 BOX 23</v>
      </c>
      <c r="C8620" t="str">
        <f>T("")</f>
        <v/>
      </c>
      <c r="D8620" t="str">
        <f t="shared" si="3215"/>
        <v>FPO</v>
      </c>
      <c r="E8620" t="str">
        <f t="shared" si="3218"/>
        <v>AE</v>
      </c>
      <c r="F8620" t="str">
        <f>T("096220001")</f>
        <v>096220001</v>
      </c>
      <c r="G8620" t="str">
        <f>T("MSC SSU NAPLES ITALY")</f>
        <v>MSC SSU NAPLES ITALY</v>
      </c>
      <c r="H8620" t="str">
        <f>T("PSC 817 BOX 2763")</f>
        <v>PSC 817 BOX 2763</v>
      </c>
      <c r="I8620" t="str">
        <f t="shared" si="3216"/>
        <v>FPO</v>
      </c>
      <c r="J8620" t="str">
        <f t="shared" si="3217"/>
        <v>AE</v>
      </c>
      <c r="K8620" t="str">
        <f>T("390815686011")</f>
        <v>390815686011</v>
      </c>
      <c r="L8620" t="str">
        <f>T("1111111111")</f>
        <v>1111111111</v>
      </c>
    </row>
    <row r="8621" spans="1:12" x14ac:dyDescent="0.35">
      <c r="A8621" t="str">
        <f t="shared" si="3214"/>
        <v>MSC NORFOLK</v>
      </c>
      <c r="B8621" t="str">
        <f>T("PSC 817 BOX 23")</f>
        <v>PSC 817 BOX 23</v>
      </c>
      <c r="C8621" t="str">
        <f>T("")</f>
        <v/>
      </c>
      <c r="D8621" t="str">
        <f t="shared" si="3215"/>
        <v>FPO</v>
      </c>
      <c r="E8621" t="str">
        <f t="shared" si="3218"/>
        <v>AE</v>
      </c>
      <c r="F8621" t="str">
        <f>T("096220001")</f>
        <v>096220001</v>
      </c>
      <c r="G8621" t="str">
        <f>T("PSC 817 BOX 23")</f>
        <v>PSC 817 BOX 23</v>
      </c>
      <c r="H8621" t="str">
        <f>T("")</f>
        <v/>
      </c>
      <c r="I8621" t="str">
        <f t="shared" si="3216"/>
        <v>FPO</v>
      </c>
      <c r="J8621" t="str">
        <f t="shared" si="3217"/>
        <v>AE</v>
      </c>
      <c r="K8621" t="str">
        <f>T("390815683570")</f>
        <v>390815683570</v>
      </c>
      <c r="L8621" t="str">
        <f>T("1111111111")</f>
        <v>1111111111</v>
      </c>
    </row>
    <row r="8622" spans="1:12" x14ac:dyDescent="0.35">
      <c r="A8622" t="str">
        <f t="shared" si="3214"/>
        <v>MSC NORFOLK</v>
      </c>
      <c r="B8622" t="str">
        <f>T("U S NAVY MSC")</f>
        <v>U S NAVY MSC</v>
      </c>
      <c r="C8622" t="str">
        <f>T("USS MOUNT WHITNEY LCC-20")</f>
        <v>USS MOUNT WHITNEY LCC-20</v>
      </c>
      <c r="D8622" t="str">
        <f t="shared" si="3215"/>
        <v>FPO</v>
      </c>
      <c r="E8622" t="str">
        <f t="shared" si="3218"/>
        <v>AE</v>
      </c>
      <c r="F8622" t="str">
        <f>T("095173310")</f>
        <v>095173310</v>
      </c>
      <c r="G8622" t="str">
        <f>T("471 C ST")</f>
        <v>471 C ST</v>
      </c>
      <c r="H8622" t="str">
        <f>T("BLDG SP-64 2D FL")</f>
        <v>BLDG SP-64 2D FL</v>
      </c>
      <c r="I8622" t="str">
        <f>T("NORFOLK")</f>
        <v>NORFOLK</v>
      </c>
      <c r="J8622" t="str">
        <f>T("VA")</f>
        <v>VA</v>
      </c>
      <c r="K8622" t="str">
        <f>T("000000000000000000")</f>
        <v>000000000000000000</v>
      </c>
      <c r="L8622" t="str">
        <f>T("7574437208")</f>
        <v>7574437208</v>
      </c>
    </row>
    <row r="8623" spans="1:12" x14ac:dyDescent="0.35">
      <c r="A8623" t="str">
        <f t="shared" si="3214"/>
        <v>MSC NORFOLK</v>
      </c>
      <c r="B8623" t="str">
        <f>T("U S NAVY MSC")</f>
        <v>U S NAVY MSC</v>
      </c>
      <c r="C8623" t="str">
        <f>T("USS MOUNT WHITNEY LCC-20")</f>
        <v>USS MOUNT WHITNEY LCC-20</v>
      </c>
      <c r="D8623" t="str">
        <f t="shared" si="3215"/>
        <v>FPO</v>
      </c>
      <c r="E8623" t="str">
        <f t="shared" si="3218"/>
        <v>AE</v>
      </c>
      <c r="F8623" t="str">
        <f>T("095173310")</f>
        <v>095173310</v>
      </c>
      <c r="G8623" t="str">
        <f>T("471 EAST C STREET")</f>
        <v>471 EAST C STREET</v>
      </c>
      <c r="H8623" t="str">
        <f>T("BLDG SP-64 2ND FLOOR")</f>
        <v>BLDG SP-64 2ND FLOOR</v>
      </c>
      <c r="I8623" t="str">
        <f>T("NORFOLK")</f>
        <v>NORFOLK</v>
      </c>
      <c r="J8623" t="str">
        <f>T("VA")</f>
        <v>VA</v>
      </c>
      <c r="K8623" t="str">
        <f>T("000000000000000000")</f>
        <v>000000000000000000</v>
      </c>
      <c r="L8623" t="str">
        <f>T("7574437200")</f>
        <v>7574437200</v>
      </c>
    </row>
    <row r="8624" spans="1:12" x14ac:dyDescent="0.35">
      <c r="A8624" t="str">
        <f t="shared" si="3214"/>
        <v>MSC NORFOLK</v>
      </c>
      <c r="B8624" t="str">
        <f>T("U S NAVY MSC")</f>
        <v>U S NAVY MSC</v>
      </c>
      <c r="C8624" t="str">
        <f>T("USS MOUNT WHITNEY LCC-20")</f>
        <v>USS MOUNT WHITNEY LCC-20</v>
      </c>
      <c r="D8624" t="str">
        <f t="shared" si="3215"/>
        <v>FPO</v>
      </c>
      <c r="E8624" t="str">
        <f t="shared" si="3218"/>
        <v>AE</v>
      </c>
      <c r="F8624" t="str">
        <f>T("095173310")</f>
        <v>095173310</v>
      </c>
      <c r="G8624" t="str">
        <f>T("U S NAVY MSC")</f>
        <v>U S NAVY MSC</v>
      </c>
      <c r="H8624" t="str">
        <f>T("USS MOUNT WHITNEY LCC-20")</f>
        <v>USS MOUNT WHITNEY LCC-20</v>
      </c>
      <c r="I8624" t="str">
        <f>T("FPO")</f>
        <v>FPO</v>
      </c>
      <c r="J8624" t="str">
        <f>T("AE")</f>
        <v>AE</v>
      </c>
      <c r="K8624" t="str">
        <f>T("")</f>
        <v/>
      </c>
      <c r="L8624" t="str">
        <f>T("7574437200")</f>
        <v>7574437200</v>
      </c>
    </row>
    <row r="8625" spans="1:12" x14ac:dyDescent="0.35">
      <c r="A8625" t="str">
        <f t="shared" si="3214"/>
        <v>MSC NORFOLK</v>
      </c>
      <c r="B8625" t="str">
        <f>T("U S NAVY MSC")</f>
        <v>U S NAVY MSC</v>
      </c>
      <c r="C8625" t="str">
        <f>T("USS MOUNT WHITNEY LCC-20")</f>
        <v>USS MOUNT WHITNEY LCC-20</v>
      </c>
      <c r="D8625" t="str">
        <f t="shared" si="3215"/>
        <v>FPO</v>
      </c>
      <c r="E8625" t="str">
        <f t="shared" si="3218"/>
        <v>AE</v>
      </c>
      <c r="F8625" t="str">
        <f>T("095173310")</f>
        <v>095173310</v>
      </c>
      <c r="G8625" t="str">
        <f>T("USS MOUNT WHITNEY LCC 20")</f>
        <v>USS MOUNT WHITNEY LCC 20</v>
      </c>
      <c r="H8625" t="str">
        <f>T("UNIT 100234 BOX 1")</f>
        <v>UNIT 100234 BOX 1</v>
      </c>
      <c r="I8625" t="str">
        <f>T("FPO")</f>
        <v>FPO</v>
      </c>
      <c r="J8625" t="str">
        <f>T("AE")</f>
        <v>AE</v>
      </c>
      <c r="K8625" t="str">
        <f>T("000000000000000000")</f>
        <v>000000000000000000</v>
      </c>
      <c r="L8625" t="str">
        <f>T("7574437200")</f>
        <v>7574437200</v>
      </c>
    </row>
    <row r="8626" spans="1:12" x14ac:dyDescent="0.35">
      <c r="A8626" t="str">
        <f t="shared" si="3214"/>
        <v>MSC NORFOLK</v>
      </c>
      <c r="B8626" t="str">
        <f>T("UNIT 100352 BOX 1")</f>
        <v>UNIT 100352 BOX 1</v>
      </c>
      <c r="C8626" t="str">
        <f>T("")</f>
        <v/>
      </c>
      <c r="D8626" t="str">
        <f t="shared" si="3215"/>
        <v>FPO</v>
      </c>
      <c r="E8626" t="str">
        <f t="shared" si="3218"/>
        <v>AE</v>
      </c>
      <c r="F8626" t="str">
        <f>T("095835200")</f>
        <v>095835200</v>
      </c>
      <c r="G8626" t="str">
        <f>T("471 EAST C STREET")</f>
        <v>471 EAST C STREET</v>
      </c>
      <c r="H8626" t="str">
        <f>T("BLDG SP-64 2ND FL")</f>
        <v>BLDG SP-64 2ND FL</v>
      </c>
      <c r="I8626" t="str">
        <f>T("NORFOLK")</f>
        <v>NORFOLK</v>
      </c>
      <c r="J8626" t="str">
        <f>T("VA")</f>
        <v>VA</v>
      </c>
      <c r="K8626" t="str">
        <f>T("000000000000000000")</f>
        <v>000000000000000000</v>
      </c>
      <c r="L8626" t="str">
        <f>T("1111111111")</f>
        <v>1111111111</v>
      </c>
    </row>
    <row r="8627" spans="1:12" x14ac:dyDescent="0.35">
      <c r="A8627" t="str">
        <f t="shared" si="3214"/>
        <v>MSC NORFOLK</v>
      </c>
      <c r="B8627" t="str">
        <f>T("UNIT 100352 BOX 1")</f>
        <v>UNIT 100352 BOX 1</v>
      </c>
      <c r="C8627" t="str">
        <f>T("")</f>
        <v/>
      </c>
      <c r="D8627" t="str">
        <f t="shared" si="3215"/>
        <v>FPO</v>
      </c>
      <c r="E8627" t="str">
        <f t="shared" si="3218"/>
        <v>AE</v>
      </c>
      <c r="F8627" t="str">
        <f>T("095835200")</f>
        <v>095835200</v>
      </c>
      <c r="G8627" t="str">
        <f>T("UNIT 100352 BOX 1")</f>
        <v>UNIT 100352 BOX 1</v>
      </c>
      <c r="H8627" t="str">
        <f>T("")</f>
        <v/>
      </c>
      <c r="I8627" t="str">
        <f>T("FPO")</f>
        <v>FPO</v>
      </c>
      <c r="J8627" t="str">
        <f>T("AE")</f>
        <v>AE</v>
      </c>
      <c r="K8627" t="str">
        <f>T("000000000000000000")</f>
        <v>000000000000000000</v>
      </c>
      <c r="L8627" t="str">
        <f>T("7574437582")</f>
        <v>7574437582</v>
      </c>
    </row>
    <row r="8628" spans="1:12" x14ac:dyDescent="0.35">
      <c r="A8628" t="str">
        <f t="shared" si="3214"/>
        <v>MSC NORFOLK</v>
      </c>
      <c r="B8628" t="str">
        <f>T("UNIT 100352 BOX 1")</f>
        <v>UNIT 100352 BOX 1</v>
      </c>
      <c r="C8628" t="str">
        <f>T("")</f>
        <v/>
      </c>
      <c r="D8628" t="str">
        <f t="shared" si="3215"/>
        <v>FPO</v>
      </c>
      <c r="E8628" t="str">
        <f t="shared" si="3218"/>
        <v>AE</v>
      </c>
      <c r="F8628" t="str">
        <f>T("095835200")</f>
        <v>095835200</v>
      </c>
      <c r="G8628" t="str">
        <f>T("USNS CARSON CITY T-EPF 7")</f>
        <v>USNS CARSON CITY T-EPF 7</v>
      </c>
      <c r="H8628" t="str">
        <f>T("471 EAST C STREET BLDG SP-64")</f>
        <v>471 EAST C STREET BLDG SP-64</v>
      </c>
      <c r="I8628" t="str">
        <f>T("NORFOLK")</f>
        <v>NORFOLK</v>
      </c>
      <c r="J8628" t="str">
        <f>T("VA")</f>
        <v>VA</v>
      </c>
      <c r="K8628" t="str">
        <f>T("000000000000000000")</f>
        <v>000000000000000000</v>
      </c>
      <c r="L8628" t="str">
        <f>T("7577730384")</f>
        <v>7577730384</v>
      </c>
    </row>
    <row r="8629" spans="1:12" x14ac:dyDescent="0.35">
      <c r="A8629" t="str">
        <f t="shared" si="3214"/>
        <v>MSC NORFOLK</v>
      </c>
      <c r="B8629" t="str">
        <f>T("USNS APACHE T-ATF 172")</f>
        <v>USNS APACHE T-ATF 172</v>
      </c>
      <c r="C8629" t="str">
        <f>T("UNIT 100353 BOX 1")</f>
        <v>UNIT 100353 BOX 1</v>
      </c>
      <c r="D8629" t="str">
        <f t="shared" si="3215"/>
        <v>FPO</v>
      </c>
      <c r="E8629" t="str">
        <f t="shared" si="3218"/>
        <v>AE</v>
      </c>
      <c r="F8629" t="str">
        <f>T("095645300")</f>
        <v>095645300</v>
      </c>
      <c r="G8629" t="str">
        <f>T("USNS APACHE T-ATF 172")</f>
        <v>USNS APACHE T-ATF 172</v>
      </c>
      <c r="H8629" t="str">
        <f>T("")</f>
        <v/>
      </c>
      <c r="I8629" t="str">
        <f t="shared" ref="I8629:I8646" si="3219">T("FPO")</f>
        <v>FPO</v>
      </c>
      <c r="J8629" t="str">
        <f t="shared" ref="J8629:J8646" si="3220">T("AE")</f>
        <v>AE</v>
      </c>
      <c r="K8629" t="str">
        <f>T("000000000000000000")</f>
        <v>000000000000000000</v>
      </c>
      <c r="L8629" t="str">
        <f>T("6195447132")</f>
        <v>6195447132</v>
      </c>
    </row>
    <row r="8630" spans="1:12" x14ac:dyDescent="0.35">
      <c r="A8630" t="str">
        <f t="shared" si="3214"/>
        <v>MSC NORFOLK</v>
      </c>
      <c r="B8630" t="str">
        <f>T("USNS APACHE T-ATF 172")</f>
        <v>USNS APACHE T-ATF 172</v>
      </c>
      <c r="C8630" t="str">
        <f>T("UNIT 100353 BOX 1")</f>
        <v>UNIT 100353 BOX 1</v>
      </c>
      <c r="D8630" t="str">
        <f t="shared" si="3215"/>
        <v>FPO</v>
      </c>
      <c r="E8630" t="str">
        <f t="shared" si="3218"/>
        <v>AE</v>
      </c>
      <c r="F8630" t="str">
        <f>T("095645300")</f>
        <v>095645300</v>
      </c>
      <c r="G8630" t="str">
        <f>T("USNS APACHE T-ATF 172")</f>
        <v>USNS APACHE T-ATF 172</v>
      </c>
      <c r="H8630" t="str">
        <f>T("UNIT 100353 BOX 1")</f>
        <v>UNIT 100353 BOX 1</v>
      </c>
      <c r="I8630" t="str">
        <f t="shared" si="3219"/>
        <v>FPO</v>
      </c>
      <c r="J8630" t="str">
        <f t="shared" si="3220"/>
        <v>AE</v>
      </c>
      <c r="K8630" t="str">
        <f>T("")</f>
        <v/>
      </c>
      <c r="L8630" t="str">
        <f>T("6195447130")</f>
        <v>6195447130</v>
      </c>
    </row>
    <row r="8631" spans="1:12" x14ac:dyDescent="0.35">
      <c r="A8631" t="str">
        <f t="shared" si="3214"/>
        <v>MSC NORFOLK</v>
      </c>
      <c r="B8631" t="str">
        <f>T("USNS APACHE T-ATF 172")</f>
        <v>USNS APACHE T-ATF 172</v>
      </c>
      <c r="C8631" t="str">
        <f>T("UNIT 100353 BOX 1")</f>
        <v>UNIT 100353 BOX 1</v>
      </c>
      <c r="D8631" t="str">
        <f t="shared" si="3215"/>
        <v>FPO</v>
      </c>
      <c r="E8631" t="str">
        <f t="shared" si="3218"/>
        <v>AE</v>
      </c>
      <c r="F8631" t="str">
        <f>T("095645300")</f>
        <v>095645300</v>
      </c>
      <c r="G8631" t="str">
        <f>T("USNS APACHE T-ATF 172")</f>
        <v>USNS APACHE T-ATF 172</v>
      </c>
      <c r="H8631" t="str">
        <f>T("UNIT 100353 BOX 1")</f>
        <v>UNIT 100353 BOX 1</v>
      </c>
      <c r="I8631" t="str">
        <f t="shared" si="3219"/>
        <v>FPO</v>
      </c>
      <c r="J8631" t="str">
        <f t="shared" si="3220"/>
        <v>AE</v>
      </c>
      <c r="K8631" t="str">
        <f>T("000000000000000000")</f>
        <v>000000000000000000</v>
      </c>
      <c r="L8631" t="str">
        <f>T("6195447132")</f>
        <v>6195447132</v>
      </c>
    </row>
    <row r="8632" spans="1:12" x14ac:dyDescent="0.35">
      <c r="A8632" t="str">
        <f t="shared" si="3214"/>
        <v>MSC NORFOLK</v>
      </c>
      <c r="B8632" t="str">
        <f>T("USNS ARCTIC T-AOE 8")</f>
        <v>USNS ARCTIC T-AOE 8</v>
      </c>
      <c r="C8632" t="str">
        <f>T("UNIT 100354 BOX 1")</f>
        <v>UNIT 100354 BOX 1</v>
      </c>
      <c r="D8632" t="str">
        <f t="shared" si="3215"/>
        <v>FPO</v>
      </c>
      <c r="E8632" t="str">
        <f t="shared" si="3218"/>
        <v>AE</v>
      </c>
      <c r="F8632" t="str">
        <f>T("095645400")</f>
        <v>095645400</v>
      </c>
      <c r="G8632" t="str">
        <f>T("USNS ARCTIC T-AOE 8")</f>
        <v>USNS ARCTIC T-AOE 8</v>
      </c>
      <c r="H8632" t="str">
        <f>T("")</f>
        <v/>
      </c>
      <c r="I8632" t="str">
        <f t="shared" si="3219"/>
        <v>FPO</v>
      </c>
      <c r="J8632" t="str">
        <f t="shared" si="3220"/>
        <v>AE</v>
      </c>
      <c r="K8632" t="str">
        <f>T("000000000000000000")</f>
        <v>000000000000000000</v>
      </c>
      <c r="L8632" t="str">
        <f>T("6195447195")</f>
        <v>6195447195</v>
      </c>
    </row>
    <row r="8633" spans="1:12" x14ac:dyDescent="0.35">
      <c r="A8633" t="str">
        <f t="shared" si="3214"/>
        <v>MSC NORFOLK</v>
      </c>
      <c r="B8633" t="str">
        <f>T("USNS ARCTIC T-AOE 8")</f>
        <v>USNS ARCTIC T-AOE 8</v>
      </c>
      <c r="C8633" t="str">
        <f>T("UNIT 100354 BOX 1")</f>
        <v>UNIT 100354 BOX 1</v>
      </c>
      <c r="D8633" t="str">
        <f t="shared" si="3215"/>
        <v>FPO</v>
      </c>
      <c r="E8633" t="str">
        <f t="shared" si="3218"/>
        <v>AE</v>
      </c>
      <c r="F8633" t="str">
        <f>T("095645400")</f>
        <v>095645400</v>
      </c>
      <c r="G8633" t="str">
        <f>T("USNS ARCTIC T-AOE 8")</f>
        <v>USNS ARCTIC T-AOE 8</v>
      </c>
      <c r="H8633" t="str">
        <f>T("")</f>
        <v/>
      </c>
      <c r="I8633" t="str">
        <f t="shared" si="3219"/>
        <v>FPO</v>
      </c>
      <c r="J8633" t="str">
        <f t="shared" si="3220"/>
        <v>AE</v>
      </c>
      <c r="K8633" t="str">
        <f>T("000000000000000000")</f>
        <v>000000000000000000</v>
      </c>
      <c r="L8633" t="str">
        <f>T("7576732823")</f>
        <v>7576732823</v>
      </c>
    </row>
    <row r="8634" spans="1:12" x14ac:dyDescent="0.35">
      <c r="A8634" t="str">
        <f t="shared" si="3214"/>
        <v>MSC NORFOLK</v>
      </c>
      <c r="B8634" t="str">
        <f>T("USNS ARCTIC T-AOE 8")</f>
        <v>USNS ARCTIC T-AOE 8</v>
      </c>
      <c r="C8634" t="str">
        <f>T("UNIT 100354 BOX 1")</f>
        <v>UNIT 100354 BOX 1</v>
      </c>
      <c r="D8634" t="str">
        <f t="shared" si="3215"/>
        <v>FPO</v>
      </c>
      <c r="E8634" t="str">
        <f t="shared" si="3218"/>
        <v>AE</v>
      </c>
      <c r="F8634" t="str">
        <f>T("095645400")</f>
        <v>095645400</v>
      </c>
      <c r="G8634" t="str">
        <f>T("USNS ARCTIC T-AOE 8")</f>
        <v>USNS ARCTIC T-AOE 8</v>
      </c>
      <c r="H8634" t="str">
        <f>T("UNIT 100354 BOX")</f>
        <v>UNIT 100354 BOX</v>
      </c>
      <c r="I8634" t="str">
        <f t="shared" si="3219"/>
        <v>FPO</v>
      </c>
      <c r="J8634" t="str">
        <f t="shared" si="3220"/>
        <v>AE</v>
      </c>
      <c r="K8634" t="str">
        <f>T("000000000000000000")</f>
        <v>000000000000000000</v>
      </c>
      <c r="L8634" t="str">
        <f>T("6195447197")</f>
        <v>6195447197</v>
      </c>
    </row>
    <row r="8635" spans="1:12" x14ac:dyDescent="0.35">
      <c r="A8635" t="str">
        <f t="shared" si="3214"/>
        <v>MSC NORFOLK</v>
      </c>
      <c r="B8635" t="str">
        <f>T("USNS ARCTIC T-AOE 8")</f>
        <v>USNS ARCTIC T-AOE 8</v>
      </c>
      <c r="C8635" t="str">
        <f>T("UNIT 100354 BOX 1")</f>
        <v>UNIT 100354 BOX 1</v>
      </c>
      <c r="D8635" t="str">
        <f t="shared" si="3215"/>
        <v>FPO</v>
      </c>
      <c r="E8635" t="str">
        <f t="shared" si="3218"/>
        <v>AE</v>
      </c>
      <c r="F8635" t="str">
        <f>T("095645400")</f>
        <v>095645400</v>
      </c>
      <c r="G8635" t="str">
        <f>T("USNS ARCTIC T-AOE 8")</f>
        <v>USNS ARCTIC T-AOE 8</v>
      </c>
      <c r="H8635" t="str">
        <f>T("UNIT 100354 BOX 1")</f>
        <v>UNIT 100354 BOX 1</v>
      </c>
      <c r="I8635" t="str">
        <f t="shared" si="3219"/>
        <v>FPO</v>
      </c>
      <c r="J8635" t="str">
        <f t="shared" si="3220"/>
        <v>AE</v>
      </c>
      <c r="K8635" t="str">
        <f>T("")</f>
        <v/>
      </c>
      <c r="L8635" t="str">
        <f>T("6195447195")</f>
        <v>6195447195</v>
      </c>
    </row>
    <row r="8636" spans="1:12" x14ac:dyDescent="0.35">
      <c r="A8636" t="str">
        <f t="shared" si="3214"/>
        <v>MSC NORFOLK</v>
      </c>
      <c r="B8636" t="str">
        <f>T("USNS BIG HORN T-AO 198")</f>
        <v>USNS BIG HORN T-AO 198</v>
      </c>
      <c r="C8636" t="str">
        <f>T("UNIT 100356 BOX 1")</f>
        <v>UNIT 100356 BOX 1</v>
      </c>
      <c r="D8636" t="str">
        <f t="shared" si="3215"/>
        <v>FPO</v>
      </c>
      <c r="E8636" t="str">
        <f t="shared" si="3218"/>
        <v>AE</v>
      </c>
      <c r="F8636" t="str">
        <f>T("095655600")</f>
        <v>095655600</v>
      </c>
      <c r="G8636" t="str">
        <f>T("MSC DEPT OF NAVY")</f>
        <v>MSC DEPT OF NAVY</v>
      </c>
      <c r="H8636" t="str">
        <f>T("USNS BIG HORN T-AO 198")</f>
        <v>USNS BIG HORN T-AO 198</v>
      </c>
      <c r="I8636" t="str">
        <f t="shared" si="3219"/>
        <v>FPO</v>
      </c>
      <c r="J8636" t="str">
        <f t="shared" si="3220"/>
        <v>AE</v>
      </c>
      <c r="K8636" t="str">
        <f>T("000000000000000000")</f>
        <v>000000000000000000</v>
      </c>
      <c r="L8636" t="str">
        <f>T("6195447172")</f>
        <v>6195447172</v>
      </c>
    </row>
    <row r="8637" spans="1:12" x14ac:dyDescent="0.35">
      <c r="A8637" t="str">
        <f t="shared" si="3214"/>
        <v>MSC NORFOLK</v>
      </c>
      <c r="B8637" t="str">
        <f>T("USNS BIG HORN T-AO 198")</f>
        <v>USNS BIG HORN T-AO 198</v>
      </c>
      <c r="C8637" t="str">
        <f>T("UNIT 100356 BOX 1")</f>
        <v>UNIT 100356 BOX 1</v>
      </c>
      <c r="D8637" t="str">
        <f t="shared" si="3215"/>
        <v>FPO</v>
      </c>
      <c r="E8637" t="str">
        <f t="shared" si="3218"/>
        <v>AE</v>
      </c>
      <c r="F8637" t="str">
        <f>T("095655600")</f>
        <v>095655600</v>
      </c>
      <c r="G8637" t="str">
        <f>T("USNS BIG HORN")</f>
        <v>USNS BIG HORN</v>
      </c>
      <c r="H8637" t="str">
        <f>T("ATTN - SUPPLY OFFICER")</f>
        <v>ATTN - SUPPLY OFFICER</v>
      </c>
      <c r="I8637" t="str">
        <f t="shared" si="3219"/>
        <v>FPO</v>
      </c>
      <c r="J8637" t="str">
        <f t="shared" si="3220"/>
        <v>AE</v>
      </c>
      <c r="K8637" t="str">
        <f>T("000000000000000000")</f>
        <v>000000000000000000</v>
      </c>
      <c r="L8637" t="str">
        <f>T("6195447174")</f>
        <v>6195447174</v>
      </c>
    </row>
    <row r="8638" spans="1:12" x14ac:dyDescent="0.35">
      <c r="A8638" t="str">
        <f t="shared" si="3214"/>
        <v>MSC NORFOLK</v>
      </c>
      <c r="B8638" t="str">
        <f>T("USNS BIG HORN T-AO 198")</f>
        <v>USNS BIG HORN T-AO 198</v>
      </c>
      <c r="C8638" t="str">
        <f>T("UNIT 100356 BOX 1")</f>
        <v>UNIT 100356 BOX 1</v>
      </c>
      <c r="D8638" t="str">
        <f t="shared" si="3215"/>
        <v>FPO</v>
      </c>
      <c r="E8638" t="str">
        <f t="shared" si="3218"/>
        <v>AE</v>
      </c>
      <c r="F8638" t="str">
        <f>T("095655600")</f>
        <v>095655600</v>
      </c>
      <c r="G8638" t="str">
        <f>T("USNS BIG HORN T-AO 198")</f>
        <v>USNS BIG HORN T-AO 198</v>
      </c>
      <c r="H8638" t="str">
        <f>T("UNIT 100356 BOX 1")</f>
        <v>UNIT 100356 BOX 1</v>
      </c>
      <c r="I8638" t="str">
        <f t="shared" si="3219"/>
        <v>FPO</v>
      </c>
      <c r="J8638" t="str">
        <f t="shared" si="3220"/>
        <v>AE</v>
      </c>
      <c r="K8638" t="str">
        <f>T("")</f>
        <v/>
      </c>
      <c r="L8638" t="str">
        <f>T("6195447172")</f>
        <v>6195447172</v>
      </c>
    </row>
    <row r="8639" spans="1:12" x14ac:dyDescent="0.35">
      <c r="A8639" t="str">
        <f t="shared" si="3214"/>
        <v>MSC NORFOLK</v>
      </c>
      <c r="B8639" t="str">
        <f>T("USNS BIG HORN T-AO 198")</f>
        <v>USNS BIG HORN T-AO 198</v>
      </c>
      <c r="C8639" t="str">
        <f>T("UNIT 100356 BOX 1")</f>
        <v>UNIT 100356 BOX 1</v>
      </c>
      <c r="D8639" t="str">
        <f t="shared" si="3215"/>
        <v>FPO</v>
      </c>
      <c r="E8639" t="str">
        <f t="shared" si="3218"/>
        <v>AE</v>
      </c>
      <c r="F8639" t="str">
        <f>T("095655600")</f>
        <v>095655600</v>
      </c>
      <c r="G8639" t="str">
        <f>T("USNS BIG HORN T-AO 198")</f>
        <v>USNS BIG HORN T-AO 198</v>
      </c>
      <c r="H8639" t="str">
        <f>T("UNIT 100356 BOX 1")</f>
        <v>UNIT 100356 BOX 1</v>
      </c>
      <c r="I8639" t="str">
        <f t="shared" si="3219"/>
        <v>FPO</v>
      </c>
      <c r="J8639" t="str">
        <f t="shared" si="3220"/>
        <v>AE</v>
      </c>
      <c r="K8639" t="str">
        <f>T("000000000000000000")</f>
        <v>000000000000000000</v>
      </c>
      <c r="L8639" t="str">
        <f>T("6195447174")</f>
        <v>6195447174</v>
      </c>
    </row>
    <row r="8640" spans="1:12" x14ac:dyDescent="0.35">
      <c r="A8640" t="str">
        <f t="shared" si="3214"/>
        <v>MSC NORFOLK</v>
      </c>
      <c r="B8640" t="str">
        <f>T("USNS BIG HORN T-AO 198")</f>
        <v>USNS BIG HORN T-AO 198</v>
      </c>
      <c r="C8640" t="str">
        <f>T("UNIT 100356 BOX 1")</f>
        <v>UNIT 100356 BOX 1</v>
      </c>
      <c r="D8640" t="str">
        <f t="shared" si="3215"/>
        <v>FPO</v>
      </c>
      <c r="E8640" t="str">
        <f t="shared" si="3218"/>
        <v>AE</v>
      </c>
      <c r="F8640" t="str">
        <f>T("095655600")</f>
        <v>095655600</v>
      </c>
      <c r="G8640" t="str">
        <f>T("USNS BIG HORN T-AO-198")</f>
        <v>USNS BIG HORN T-AO-198</v>
      </c>
      <c r="H8640" t="str">
        <f>T("")</f>
        <v/>
      </c>
      <c r="I8640" t="str">
        <f t="shared" si="3219"/>
        <v>FPO</v>
      </c>
      <c r="J8640" t="str">
        <f t="shared" si="3220"/>
        <v>AE</v>
      </c>
      <c r="K8640" t="str">
        <f>T("000000000000000000")</f>
        <v>000000000000000000</v>
      </c>
      <c r="L8640" t="str">
        <f>T("6195447174")</f>
        <v>6195447174</v>
      </c>
    </row>
    <row r="8641" spans="1:12" x14ac:dyDescent="0.35">
      <c r="A8641" t="str">
        <f t="shared" ref="A8641:A8672" si="3221">T("MSC NORFOLK")</f>
        <v>MSC NORFOLK</v>
      </c>
      <c r="B8641" t="str">
        <f>T("USNS CHOCTAW COUNTY JHSV 2")</f>
        <v>USNS CHOCTAW COUNTY JHSV 2</v>
      </c>
      <c r="C8641" t="str">
        <f>T("UNIT 100360 BOX 1")</f>
        <v>UNIT 100360 BOX 1</v>
      </c>
      <c r="D8641" t="str">
        <f t="shared" si="3215"/>
        <v>FPO</v>
      </c>
      <c r="E8641" t="str">
        <f t="shared" si="3218"/>
        <v>AE</v>
      </c>
      <c r="F8641" t="str">
        <f>T("095666000")</f>
        <v>095666000</v>
      </c>
      <c r="G8641" t="str">
        <f>T("USNS CHOCTAW COUNTY JHSV 2")</f>
        <v>USNS CHOCTAW COUNTY JHSV 2</v>
      </c>
      <c r="H8641" t="str">
        <f>T("UNIT 100360 BOX 1")</f>
        <v>UNIT 100360 BOX 1</v>
      </c>
      <c r="I8641" t="str">
        <f t="shared" si="3219"/>
        <v>FPO</v>
      </c>
      <c r="J8641" t="str">
        <f t="shared" si="3220"/>
        <v>AE</v>
      </c>
      <c r="K8641" t="str">
        <f>T("")</f>
        <v/>
      </c>
      <c r="L8641" t="str">
        <f>T("7575739697")</f>
        <v>7575739697</v>
      </c>
    </row>
    <row r="8642" spans="1:12" x14ac:dyDescent="0.35">
      <c r="A8642" t="str">
        <f t="shared" si="3221"/>
        <v>MSC NORFOLK</v>
      </c>
      <c r="B8642" t="str">
        <f>T("USNS CHOCTAW COUNTY JHSV 2")</f>
        <v>USNS CHOCTAW COUNTY JHSV 2</v>
      </c>
      <c r="C8642" t="str">
        <f>T("UNIT 100360 BOX 1")</f>
        <v>UNIT 100360 BOX 1</v>
      </c>
      <c r="D8642" t="str">
        <f t="shared" si="3215"/>
        <v>FPO</v>
      </c>
      <c r="E8642" t="str">
        <f t="shared" si="3218"/>
        <v>AE</v>
      </c>
      <c r="F8642" t="str">
        <f>T("095666000")</f>
        <v>095666000</v>
      </c>
      <c r="G8642" t="str">
        <f>T("USNS CHOCTAW COUNTY T-EPF 2")</f>
        <v>USNS CHOCTAW COUNTY T-EPF 2</v>
      </c>
      <c r="H8642" t="str">
        <f>T("UNIT 100360 BOX 1")</f>
        <v>UNIT 100360 BOX 1</v>
      </c>
      <c r="I8642" t="str">
        <f t="shared" si="3219"/>
        <v>FPO</v>
      </c>
      <c r="J8642" t="str">
        <f t="shared" si="3220"/>
        <v>AE</v>
      </c>
      <c r="K8642" t="str">
        <f>T("000000000000000000")</f>
        <v>000000000000000000</v>
      </c>
      <c r="L8642" t="str">
        <f>T("7574437332")</f>
        <v>7574437332</v>
      </c>
    </row>
    <row r="8643" spans="1:12" x14ac:dyDescent="0.35">
      <c r="A8643" t="str">
        <f t="shared" si="3221"/>
        <v>MSC NORFOLK</v>
      </c>
      <c r="B8643" t="str">
        <f>T("USNS CHOCTAW COUNTY JHSV 2")</f>
        <v>USNS CHOCTAW COUNTY JHSV 2</v>
      </c>
      <c r="C8643" t="str">
        <f>T("UNIT 100360 BOX 1")</f>
        <v>UNIT 100360 BOX 1</v>
      </c>
      <c r="D8643" t="str">
        <f t="shared" si="3215"/>
        <v>FPO</v>
      </c>
      <c r="E8643" t="str">
        <f t="shared" si="3218"/>
        <v>AE</v>
      </c>
      <c r="F8643" t="str">
        <f>T("095666000")</f>
        <v>095666000</v>
      </c>
      <c r="G8643" t="str">
        <f>T("USNS CHOCTAW COUNTY T-EPF 2")</f>
        <v>USNS CHOCTAW COUNTY T-EPF 2</v>
      </c>
      <c r="H8643" t="str">
        <f>T("UNIT 100360 BOX 1")</f>
        <v>UNIT 100360 BOX 1</v>
      </c>
      <c r="I8643" t="str">
        <f t="shared" si="3219"/>
        <v>FPO</v>
      </c>
      <c r="J8643" t="str">
        <f t="shared" si="3220"/>
        <v>AE</v>
      </c>
      <c r="K8643" t="str">
        <f>T("000000000000000000")</f>
        <v>000000000000000000</v>
      </c>
      <c r="L8643" t="str">
        <f>T("7574437334")</f>
        <v>7574437334</v>
      </c>
    </row>
    <row r="8644" spans="1:12" x14ac:dyDescent="0.35">
      <c r="A8644" t="str">
        <f t="shared" si="3221"/>
        <v>MSC NORFOLK</v>
      </c>
      <c r="B8644" t="str">
        <f>T("USNS COMFORT MTF T-AH20")</f>
        <v>USNS COMFORT MTF T-AH20</v>
      </c>
      <c r="C8644" t="str">
        <f>T("UNIT 100362 BOX 1")</f>
        <v>UNIT 100362 BOX 1</v>
      </c>
      <c r="D8644" t="str">
        <f t="shared" si="3215"/>
        <v>FPO</v>
      </c>
      <c r="E8644" t="str">
        <f t="shared" si="3218"/>
        <v>AE</v>
      </c>
      <c r="F8644" t="str">
        <f>T("095666200")</f>
        <v>095666200</v>
      </c>
      <c r="G8644" t="str">
        <f>T("USNS COMFORT MTF T-AH20")</f>
        <v>USNS COMFORT MTF T-AH20</v>
      </c>
      <c r="H8644" t="str">
        <f>T("UNIT 100362 BOX 1")</f>
        <v>UNIT 100362 BOX 1</v>
      </c>
      <c r="I8644" t="str">
        <f t="shared" si="3219"/>
        <v>FPO</v>
      </c>
      <c r="J8644" t="str">
        <f t="shared" si="3220"/>
        <v>AE</v>
      </c>
      <c r="K8644" t="str">
        <f>T("")</f>
        <v/>
      </c>
      <c r="L8644" t="str">
        <f>T("7574442503")</f>
        <v>7574442503</v>
      </c>
    </row>
    <row r="8645" spans="1:12" x14ac:dyDescent="0.35">
      <c r="A8645" t="str">
        <f t="shared" si="3221"/>
        <v>MSC NORFOLK</v>
      </c>
      <c r="B8645" t="str">
        <f>T("USNS COMFORT MTF T-AH20")</f>
        <v>USNS COMFORT MTF T-AH20</v>
      </c>
      <c r="C8645" t="str">
        <f>T("UNIT 100362 BOX 1")</f>
        <v>UNIT 100362 BOX 1</v>
      </c>
      <c r="D8645" t="str">
        <f t="shared" si="3215"/>
        <v>FPO</v>
      </c>
      <c r="E8645" t="str">
        <f t="shared" si="3218"/>
        <v>AE</v>
      </c>
      <c r="F8645" t="str">
        <f>T("095666200")</f>
        <v>095666200</v>
      </c>
      <c r="G8645" t="str">
        <f>T("USNS COMFORT T-AH 20")</f>
        <v>USNS COMFORT T-AH 20</v>
      </c>
      <c r="H8645" t="str">
        <f>T("UNIT 100362 BOX 1")</f>
        <v>UNIT 100362 BOX 1</v>
      </c>
      <c r="I8645" t="str">
        <f t="shared" si="3219"/>
        <v>FPO</v>
      </c>
      <c r="J8645" t="str">
        <f t="shared" si="3220"/>
        <v>AE</v>
      </c>
      <c r="K8645" t="str">
        <f>T("75744562577343")</f>
        <v>75744562577343</v>
      </c>
      <c r="L8645" t="str">
        <f>T("7574456125")</f>
        <v>7574456125</v>
      </c>
    </row>
    <row r="8646" spans="1:12" x14ac:dyDescent="0.35">
      <c r="A8646" t="str">
        <f t="shared" si="3221"/>
        <v>MSC NORFOLK</v>
      </c>
      <c r="B8646" t="str">
        <f>T("USNS COMFORT MTF T-AH20")</f>
        <v>USNS COMFORT MTF T-AH20</v>
      </c>
      <c r="C8646" t="str">
        <f>T("UNIT 100362 BOX 1")</f>
        <v>UNIT 100362 BOX 1</v>
      </c>
      <c r="D8646" t="str">
        <f t="shared" ref="D8646:D8677" si="3222">T("FPO")</f>
        <v>FPO</v>
      </c>
      <c r="E8646" t="str">
        <f t="shared" si="3218"/>
        <v>AE</v>
      </c>
      <c r="F8646" t="str">
        <f>T("095666200")</f>
        <v>095666200</v>
      </c>
      <c r="G8646" t="str">
        <f>T("USNS COMFORT T-AH20 MTF")</f>
        <v>USNS COMFORT T-AH20 MTF</v>
      </c>
      <c r="H8646" t="str">
        <f>T("UNIT 100362 BOX 1")</f>
        <v>UNIT 100362 BOX 1</v>
      </c>
      <c r="I8646" t="str">
        <f t="shared" si="3219"/>
        <v>FPO</v>
      </c>
      <c r="J8646" t="str">
        <f t="shared" si="3220"/>
        <v>AE</v>
      </c>
      <c r="K8646" t="str">
        <f>T("000000000000000000")</f>
        <v>000000000000000000</v>
      </c>
      <c r="L8646" t="str">
        <f>T("7574438288")</f>
        <v>7574438288</v>
      </c>
    </row>
    <row r="8647" spans="1:12" x14ac:dyDescent="0.35">
      <c r="A8647" t="str">
        <f t="shared" si="3221"/>
        <v>MSC NORFOLK</v>
      </c>
      <c r="B8647" t="str">
        <f>T("USNS GRAPPLE T-ARS 53")</f>
        <v>USNS GRAPPLE T-ARS 53</v>
      </c>
      <c r="C8647" t="str">
        <f>T("UNIT 100373 BOX 1")</f>
        <v>UNIT 100373 BOX 1</v>
      </c>
      <c r="D8647" t="str">
        <f t="shared" si="3222"/>
        <v>FPO</v>
      </c>
      <c r="E8647" t="str">
        <f t="shared" si="3218"/>
        <v>AE</v>
      </c>
      <c r="F8647" t="str">
        <f>T("095707300")</f>
        <v>095707300</v>
      </c>
      <c r="G8647" t="str">
        <f>T("471 C ST")</f>
        <v>471 C ST</v>
      </c>
      <c r="H8647" t="str">
        <f>T("BLDG SP-64 2D FL")</f>
        <v>BLDG SP-64 2D FL</v>
      </c>
      <c r="I8647" t="str">
        <f>T("NORFOLK")</f>
        <v>NORFOLK</v>
      </c>
      <c r="J8647" t="str">
        <f>T("VA")</f>
        <v>VA</v>
      </c>
      <c r="K8647" t="str">
        <f>T("000000000000000000")</f>
        <v>000000000000000000</v>
      </c>
      <c r="L8647" t="str">
        <f>T("6195447134")</f>
        <v>6195447134</v>
      </c>
    </row>
    <row r="8648" spans="1:12" x14ac:dyDescent="0.35">
      <c r="A8648" t="str">
        <f t="shared" si="3221"/>
        <v>MSC NORFOLK</v>
      </c>
      <c r="B8648" t="str">
        <f>T("USNS GRAPPLE T-ARS 53")</f>
        <v>USNS GRAPPLE T-ARS 53</v>
      </c>
      <c r="C8648" t="str">
        <f>T("UNIT 100373 BOX 1")</f>
        <v>UNIT 100373 BOX 1</v>
      </c>
      <c r="D8648" t="str">
        <f t="shared" si="3222"/>
        <v>FPO</v>
      </c>
      <c r="E8648" t="str">
        <f t="shared" si="3218"/>
        <v>AE</v>
      </c>
      <c r="F8648" t="str">
        <f>T("095707300")</f>
        <v>095707300</v>
      </c>
      <c r="G8648" t="str">
        <f>T("USNS GRAPPLE T-ARS 53")</f>
        <v>USNS GRAPPLE T-ARS 53</v>
      </c>
      <c r="H8648" t="str">
        <f>T("UNIT 100373 BOX 1")</f>
        <v>UNIT 100373 BOX 1</v>
      </c>
      <c r="I8648" t="str">
        <f>T("FPO")</f>
        <v>FPO</v>
      </c>
      <c r="J8648" t="str">
        <f>T("AE")</f>
        <v>AE</v>
      </c>
      <c r="K8648" t="str">
        <f>T("")</f>
        <v/>
      </c>
      <c r="L8648" t="str">
        <f>T("6195447133")</f>
        <v>6195447133</v>
      </c>
    </row>
    <row r="8649" spans="1:12" x14ac:dyDescent="0.35">
      <c r="A8649" t="str">
        <f t="shared" si="3221"/>
        <v>MSC NORFOLK</v>
      </c>
      <c r="B8649" t="str">
        <f>T("USNS GRAPPLE T-ARS 53")</f>
        <v>USNS GRAPPLE T-ARS 53</v>
      </c>
      <c r="C8649" t="str">
        <f>T("UNIT 100373 BOX 1")</f>
        <v>UNIT 100373 BOX 1</v>
      </c>
      <c r="D8649" t="str">
        <f t="shared" si="3222"/>
        <v>FPO</v>
      </c>
      <c r="E8649" t="str">
        <f t="shared" si="3218"/>
        <v>AE</v>
      </c>
      <c r="F8649" t="str">
        <f>T("095707300")</f>
        <v>095707300</v>
      </c>
      <c r="G8649" t="str">
        <f>T("USNS GRAPPLE T-ARS 53")</f>
        <v>USNS GRAPPLE T-ARS 53</v>
      </c>
      <c r="H8649" t="str">
        <f>T("UNIT 100373 BOX 1")</f>
        <v>UNIT 100373 BOX 1</v>
      </c>
      <c r="I8649" t="str">
        <f>T("FPO")</f>
        <v>FPO</v>
      </c>
      <c r="J8649" t="str">
        <f>T("AE")</f>
        <v>AE</v>
      </c>
      <c r="K8649" t="str">
        <f>T("000000000000000000")</f>
        <v>000000000000000000</v>
      </c>
      <c r="L8649" t="str">
        <f>T("6192886315")</f>
        <v>6192886315</v>
      </c>
    </row>
    <row r="8650" spans="1:12" x14ac:dyDescent="0.35">
      <c r="A8650" t="str">
        <f t="shared" si="3221"/>
        <v>MSC NORFOLK</v>
      </c>
      <c r="B8650" t="str">
        <f>T("USNS GRASP T-ARS 51")</f>
        <v>USNS GRASP T-ARS 51</v>
      </c>
      <c r="C8650" t="str">
        <f>T("UNIT 100372 BOX 1")</f>
        <v>UNIT 100372 BOX 1</v>
      </c>
      <c r="D8650" t="str">
        <f t="shared" si="3222"/>
        <v>FPO</v>
      </c>
      <c r="E8650" t="str">
        <f t="shared" ref="E8650:E8675" si="3223">T("AE")</f>
        <v>AE</v>
      </c>
      <c r="F8650" t="str">
        <f>T("095707200")</f>
        <v>095707200</v>
      </c>
      <c r="G8650" t="str">
        <f>T("USNS GRASP T-ARS 51")</f>
        <v>USNS GRASP T-ARS 51</v>
      </c>
      <c r="H8650" t="str">
        <f>T("KEITH HAVARD")</f>
        <v>KEITH HAVARD</v>
      </c>
      <c r="I8650" t="str">
        <f>T("FPO")</f>
        <v>FPO</v>
      </c>
      <c r="J8650" t="str">
        <f>T("AE")</f>
        <v>AE</v>
      </c>
      <c r="K8650" t="str">
        <f>T("000000000000000000")</f>
        <v>000000000000000000</v>
      </c>
      <c r="L8650" t="str">
        <f>T("6195337217")</f>
        <v>6195337217</v>
      </c>
    </row>
    <row r="8651" spans="1:12" x14ac:dyDescent="0.35">
      <c r="A8651" t="str">
        <f t="shared" si="3221"/>
        <v>MSC NORFOLK</v>
      </c>
      <c r="B8651" t="str">
        <f>T("USNS GRASP T-ARS 51")</f>
        <v>USNS GRASP T-ARS 51</v>
      </c>
      <c r="C8651" t="str">
        <f>T("UNIT 100372 BOX 1")</f>
        <v>UNIT 100372 BOX 1</v>
      </c>
      <c r="D8651" t="str">
        <f t="shared" si="3222"/>
        <v>FPO</v>
      </c>
      <c r="E8651" t="str">
        <f t="shared" si="3223"/>
        <v>AE</v>
      </c>
      <c r="F8651" t="str">
        <f>T("095707200")</f>
        <v>095707200</v>
      </c>
      <c r="G8651" t="str">
        <f>T("USNS GRASP T-ARS 51")</f>
        <v>USNS GRASP T-ARS 51</v>
      </c>
      <c r="H8651" t="str">
        <f>T("UNIT 100372 BOX 1")</f>
        <v>UNIT 100372 BOX 1</v>
      </c>
      <c r="I8651" t="str">
        <f>T("FPO")</f>
        <v>FPO</v>
      </c>
      <c r="J8651" t="str">
        <f>T("AE")</f>
        <v>AE</v>
      </c>
      <c r="K8651" t="str">
        <f>T("")</f>
        <v/>
      </c>
      <c r="L8651" t="str">
        <f>T("6195337216")</f>
        <v>6195337216</v>
      </c>
    </row>
    <row r="8652" spans="1:12" x14ac:dyDescent="0.35">
      <c r="A8652" t="str">
        <f t="shared" si="3221"/>
        <v>MSC NORFOLK</v>
      </c>
      <c r="B8652" t="str">
        <f>T("USNS GRASP T-ARS 51")</f>
        <v>USNS GRASP T-ARS 51</v>
      </c>
      <c r="C8652" t="str">
        <f>T("UNIT 100372 BOX 1")</f>
        <v>UNIT 100372 BOX 1</v>
      </c>
      <c r="D8652" t="str">
        <f t="shared" si="3222"/>
        <v>FPO</v>
      </c>
      <c r="E8652" t="str">
        <f t="shared" si="3223"/>
        <v>AE</v>
      </c>
      <c r="F8652" t="str">
        <f>T("095707200")</f>
        <v>095707200</v>
      </c>
      <c r="G8652" t="str">
        <f>T("USNS GRASP T-ARS 51")</f>
        <v>USNS GRASP T-ARS 51</v>
      </c>
      <c r="H8652" t="str">
        <f>T("UNIT 100372 BOX 1")</f>
        <v>UNIT 100372 BOX 1</v>
      </c>
      <c r="I8652" t="str">
        <f>T("FPO")</f>
        <v>FPO</v>
      </c>
      <c r="J8652" t="str">
        <f>T("AE")</f>
        <v>AE</v>
      </c>
      <c r="K8652" t="str">
        <f>T("000000000000000000")</f>
        <v>000000000000000000</v>
      </c>
      <c r="L8652" t="str">
        <f>T("6195337218")</f>
        <v>6195337218</v>
      </c>
    </row>
    <row r="8653" spans="1:12" x14ac:dyDescent="0.35">
      <c r="A8653" t="str">
        <f t="shared" si="3221"/>
        <v>MSC NORFOLK</v>
      </c>
      <c r="B8653" t="str">
        <f>T("USNS JOHN LENTHALL T-AO 189")</f>
        <v>USNS JOHN LENTHALL T-AO 189</v>
      </c>
      <c r="C8653" t="str">
        <f>T("UNIT 100380 BOX 1")</f>
        <v>UNIT 100380 BOX 1</v>
      </c>
      <c r="D8653" t="str">
        <f t="shared" si="3222"/>
        <v>FPO</v>
      </c>
      <c r="E8653" t="str">
        <f t="shared" si="3223"/>
        <v>AE</v>
      </c>
      <c r="F8653" t="str">
        <f>T("095778000")</f>
        <v>095778000</v>
      </c>
      <c r="G8653" t="str">
        <f>T("471 EAST C STREET")</f>
        <v>471 EAST C STREET</v>
      </c>
      <c r="H8653" t="str">
        <f>T("BLDG SP-64 2ND FLOOR")</f>
        <v>BLDG SP-64 2ND FLOOR</v>
      </c>
      <c r="I8653" t="str">
        <f>T("NORFOLK")</f>
        <v>NORFOLK</v>
      </c>
      <c r="J8653" t="str">
        <f>T("VA")</f>
        <v>VA</v>
      </c>
      <c r="K8653" t="str">
        <f>T("000000000000000000")</f>
        <v>000000000000000000</v>
      </c>
      <c r="L8653" t="str">
        <f>T("9196076193")</f>
        <v>9196076193</v>
      </c>
    </row>
    <row r="8654" spans="1:12" x14ac:dyDescent="0.35">
      <c r="A8654" t="str">
        <f t="shared" si="3221"/>
        <v>MSC NORFOLK</v>
      </c>
      <c r="B8654" t="str">
        <f>T("USNS JOHN LENTHALL T-AO 189")</f>
        <v>USNS JOHN LENTHALL T-AO 189</v>
      </c>
      <c r="C8654" t="str">
        <f>T("UNIT 100380 BOX 1")</f>
        <v>UNIT 100380 BOX 1</v>
      </c>
      <c r="D8654" t="str">
        <f t="shared" si="3222"/>
        <v>FPO</v>
      </c>
      <c r="E8654" t="str">
        <f t="shared" si="3223"/>
        <v>AE</v>
      </c>
      <c r="F8654" t="str">
        <f>T("095778000")</f>
        <v>095778000</v>
      </c>
      <c r="G8654" t="str">
        <f>T("USNS JOHN LENTHALL T-AO 189")</f>
        <v>USNS JOHN LENTHALL T-AO 189</v>
      </c>
      <c r="H8654" t="str">
        <f>T("UNIT 100380 BOX 1")</f>
        <v>UNIT 100380 BOX 1</v>
      </c>
      <c r="I8654" t="str">
        <f t="shared" ref="I8654:I8659" si="3224">T("FPO")</f>
        <v>FPO</v>
      </c>
      <c r="J8654" t="str">
        <f t="shared" ref="J8654:J8659" si="3225">T("AE")</f>
        <v>AE</v>
      </c>
      <c r="K8654" t="str">
        <f>T("")</f>
        <v/>
      </c>
      <c r="L8654" t="str">
        <f>T("6195447158")</f>
        <v>6195447158</v>
      </c>
    </row>
    <row r="8655" spans="1:12" x14ac:dyDescent="0.35">
      <c r="A8655" t="str">
        <f t="shared" si="3221"/>
        <v>MSC NORFOLK</v>
      </c>
      <c r="B8655" t="str">
        <f>T("USNS JOHN LENTHALL T-AO 189")</f>
        <v>USNS JOHN LENTHALL T-AO 189</v>
      </c>
      <c r="C8655" t="str">
        <f>T("UNIT 100380 BOX 1")</f>
        <v>UNIT 100380 BOX 1</v>
      </c>
      <c r="D8655" t="str">
        <f t="shared" si="3222"/>
        <v>FPO</v>
      </c>
      <c r="E8655" t="str">
        <f t="shared" si="3223"/>
        <v>AE</v>
      </c>
      <c r="F8655" t="str">
        <f>T("095778000")</f>
        <v>095778000</v>
      </c>
      <c r="G8655" t="str">
        <f>T("USNS JOHN LENTHALL T-AO 189")</f>
        <v>USNS JOHN LENTHALL T-AO 189</v>
      </c>
      <c r="H8655" t="str">
        <f>T("UNIT 100380 BOX 1")</f>
        <v>UNIT 100380 BOX 1</v>
      </c>
      <c r="I8655" t="str">
        <f t="shared" si="3224"/>
        <v>FPO</v>
      </c>
      <c r="J8655" t="str">
        <f t="shared" si="3225"/>
        <v>AE</v>
      </c>
      <c r="K8655" t="str">
        <f>T("000000000000000000")</f>
        <v>000000000000000000</v>
      </c>
      <c r="L8655" t="str">
        <f>T("6195447157")</f>
        <v>6195447157</v>
      </c>
    </row>
    <row r="8656" spans="1:12" x14ac:dyDescent="0.35">
      <c r="A8656" t="str">
        <f t="shared" si="3221"/>
        <v>MSC NORFOLK</v>
      </c>
      <c r="B8656" t="str">
        <f>T("USNS JOHN LENTHALL T-AO 189")</f>
        <v>USNS JOHN LENTHALL T-AO 189</v>
      </c>
      <c r="C8656" t="str">
        <f>T("UNIT 100380 BOX 1")</f>
        <v>UNIT 100380 BOX 1</v>
      </c>
      <c r="D8656" t="str">
        <f t="shared" si="3222"/>
        <v>FPO</v>
      </c>
      <c r="E8656" t="str">
        <f t="shared" si="3223"/>
        <v>AE</v>
      </c>
      <c r="F8656" t="str">
        <f>T("095778000")</f>
        <v>095778000</v>
      </c>
      <c r="G8656" t="str">
        <f>T("USNS JOHN LENTHALL T-AO 189")</f>
        <v>USNS JOHN LENTHALL T-AO 189</v>
      </c>
      <c r="H8656" t="str">
        <f>T("UNIT 100380 BOX 1")</f>
        <v>UNIT 100380 BOX 1</v>
      </c>
      <c r="I8656" t="str">
        <f t="shared" si="3224"/>
        <v>FPO</v>
      </c>
      <c r="J8656" t="str">
        <f t="shared" si="3225"/>
        <v>AE</v>
      </c>
      <c r="K8656" t="str">
        <f>T("000000000000000000")</f>
        <v>000000000000000000</v>
      </c>
      <c r="L8656" t="str">
        <f>T("6195447159")</f>
        <v>6195447159</v>
      </c>
    </row>
    <row r="8657" spans="1:12" x14ac:dyDescent="0.35">
      <c r="A8657" t="str">
        <f t="shared" si="3221"/>
        <v>MSC NORFOLK</v>
      </c>
      <c r="B8657" t="str">
        <f>T("USNS JOSHUA HUMPHREYS T-AO 188")</f>
        <v>USNS JOSHUA HUMPHREYS T-AO 188</v>
      </c>
      <c r="C8657" t="str">
        <f>T("UNIT 100375 BOX 1")</f>
        <v>UNIT 100375 BOX 1</v>
      </c>
      <c r="D8657" t="str">
        <f t="shared" si="3222"/>
        <v>FPO</v>
      </c>
      <c r="E8657" t="str">
        <f t="shared" si="3223"/>
        <v>AE</v>
      </c>
      <c r="F8657" t="str">
        <f>T("095737500")</f>
        <v>095737500</v>
      </c>
      <c r="G8657" t="str">
        <f>T("USNS JOSHUA HUMPHREYS T-AO 188")</f>
        <v>USNS JOSHUA HUMPHREYS T-AO 188</v>
      </c>
      <c r="H8657" t="str">
        <f>T("")</f>
        <v/>
      </c>
      <c r="I8657" t="str">
        <f t="shared" si="3224"/>
        <v>FPO</v>
      </c>
      <c r="J8657" t="str">
        <f t="shared" si="3225"/>
        <v>AE</v>
      </c>
      <c r="K8657" t="str">
        <f>T("000000000000000000")</f>
        <v>000000000000000000</v>
      </c>
      <c r="L8657" t="str">
        <f>T("1111111111")</f>
        <v>1111111111</v>
      </c>
    </row>
    <row r="8658" spans="1:12" x14ac:dyDescent="0.35">
      <c r="A8658" t="str">
        <f t="shared" si="3221"/>
        <v>MSC NORFOLK</v>
      </c>
      <c r="B8658" t="str">
        <f>T("USNS JOSHUA HUMPHREYS T-AO 188")</f>
        <v>USNS JOSHUA HUMPHREYS T-AO 188</v>
      </c>
      <c r="C8658" t="str">
        <f>T("UNIT 100375 BOX 1")</f>
        <v>UNIT 100375 BOX 1</v>
      </c>
      <c r="D8658" t="str">
        <f t="shared" si="3222"/>
        <v>FPO</v>
      </c>
      <c r="E8658" t="str">
        <f t="shared" si="3223"/>
        <v>AE</v>
      </c>
      <c r="F8658" t="str">
        <f>T("095737500")</f>
        <v>095737500</v>
      </c>
      <c r="G8658" t="str">
        <f>T("USNS JOSHUA HUMPHREYS T-AO 188")</f>
        <v>USNS JOSHUA HUMPHREYS T-AO 188</v>
      </c>
      <c r="H8658" t="str">
        <f>T("UNIT 100375 BOX 1")</f>
        <v>UNIT 100375 BOX 1</v>
      </c>
      <c r="I8658" t="str">
        <f t="shared" si="3224"/>
        <v>FPO</v>
      </c>
      <c r="J8658" t="str">
        <f t="shared" si="3225"/>
        <v>AE</v>
      </c>
      <c r="K8658" t="str">
        <f>T("")</f>
        <v/>
      </c>
      <c r="L8658" t="str">
        <f>T("6195447160")</f>
        <v>6195447160</v>
      </c>
    </row>
    <row r="8659" spans="1:12" x14ac:dyDescent="0.35">
      <c r="A8659" t="str">
        <f t="shared" si="3221"/>
        <v>MSC NORFOLK</v>
      </c>
      <c r="B8659" t="str">
        <f>T("USNS JOSHUA HUMPHREYS T-AO 188")</f>
        <v>USNS JOSHUA HUMPHREYS T-AO 188</v>
      </c>
      <c r="C8659" t="str">
        <f>T("UNIT 100375 BOX 1")</f>
        <v>UNIT 100375 BOX 1</v>
      </c>
      <c r="D8659" t="str">
        <f t="shared" si="3222"/>
        <v>FPO</v>
      </c>
      <c r="E8659" t="str">
        <f t="shared" si="3223"/>
        <v>AE</v>
      </c>
      <c r="F8659" t="str">
        <f>T("095737500")</f>
        <v>095737500</v>
      </c>
      <c r="G8659" t="str">
        <f>T("USNS JOSHUA HUMPHREYS T-AO 188")</f>
        <v>USNS JOSHUA HUMPHREYS T-AO 188</v>
      </c>
      <c r="H8659" t="str">
        <f>T("UNIT 100375 BOX 1")</f>
        <v>UNIT 100375 BOX 1</v>
      </c>
      <c r="I8659" t="str">
        <f t="shared" si="3224"/>
        <v>FPO</v>
      </c>
      <c r="J8659" t="str">
        <f t="shared" si="3225"/>
        <v>AE</v>
      </c>
      <c r="K8659" t="str">
        <f>T("000000000000000000")</f>
        <v>000000000000000000</v>
      </c>
      <c r="L8659" t="str">
        <f>T("6195447160")</f>
        <v>6195447160</v>
      </c>
    </row>
    <row r="8660" spans="1:12" x14ac:dyDescent="0.35">
      <c r="A8660" t="str">
        <f t="shared" si="3221"/>
        <v>MSC NORFOLK</v>
      </c>
      <c r="B8660" t="str">
        <f>T("USNS KANAWHA T-AO 196")</f>
        <v>USNS KANAWHA T-AO 196</v>
      </c>
      <c r="C8660" t="str">
        <f>T("UNIT 100377 BOX 1")</f>
        <v>UNIT 100377 BOX 1</v>
      </c>
      <c r="D8660" t="str">
        <f t="shared" si="3222"/>
        <v>FPO</v>
      </c>
      <c r="E8660" t="str">
        <f t="shared" si="3223"/>
        <v>AE</v>
      </c>
      <c r="F8660" t="str">
        <f>T("095767700")</f>
        <v>095767700</v>
      </c>
      <c r="G8660" t="str">
        <f>T("471 EAST C STREET")</f>
        <v>471 EAST C STREET</v>
      </c>
      <c r="H8660" t="str">
        <f>T("BLDG SP-64 2ND FLOOR")</f>
        <v>BLDG SP-64 2ND FLOOR</v>
      </c>
      <c r="I8660" t="str">
        <f>T("NORFOLK")</f>
        <v>NORFOLK</v>
      </c>
      <c r="J8660" t="str">
        <f>T("VA")</f>
        <v>VA</v>
      </c>
      <c r="K8660" t="str">
        <f>T("000000000000000000")</f>
        <v>000000000000000000</v>
      </c>
      <c r="L8660" t="str">
        <f>T("6195447171")</f>
        <v>6195447171</v>
      </c>
    </row>
    <row r="8661" spans="1:12" x14ac:dyDescent="0.35">
      <c r="A8661" t="str">
        <f t="shared" si="3221"/>
        <v>MSC NORFOLK</v>
      </c>
      <c r="B8661" t="str">
        <f>T("USNS KANAWHA T-AO 196")</f>
        <v>USNS KANAWHA T-AO 196</v>
      </c>
      <c r="C8661" t="str">
        <f>T("UNIT 100377 BOX 1")</f>
        <v>UNIT 100377 BOX 1</v>
      </c>
      <c r="D8661" t="str">
        <f t="shared" si="3222"/>
        <v>FPO</v>
      </c>
      <c r="E8661" t="str">
        <f t="shared" si="3223"/>
        <v>AE</v>
      </c>
      <c r="F8661" t="str">
        <f>T("095767700")</f>
        <v>095767700</v>
      </c>
      <c r="G8661" t="str">
        <f>T("USNS KANAWHA")</f>
        <v>USNS KANAWHA</v>
      </c>
      <c r="H8661" t="str">
        <f>T("SUPPLY OFFICER")</f>
        <v>SUPPLY OFFICER</v>
      </c>
      <c r="I8661" t="str">
        <f>T("FPO")</f>
        <v>FPO</v>
      </c>
      <c r="J8661" t="str">
        <f>T("AE")</f>
        <v>AE</v>
      </c>
      <c r="K8661" t="str">
        <f>T("000000000000000000")</f>
        <v>000000000000000000</v>
      </c>
      <c r="L8661" t="str">
        <f>T("6195447171")</f>
        <v>6195447171</v>
      </c>
    </row>
    <row r="8662" spans="1:12" x14ac:dyDescent="0.35">
      <c r="A8662" t="str">
        <f t="shared" si="3221"/>
        <v>MSC NORFOLK</v>
      </c>
      <c r="B8662" t="str">
        <f>T("USNS KANAWHA T-AO 196")</f>
        <v>USNS KANAWHA T-AO 196</v>
      </c>
      <c r="C8662" t="str">
        <f>T("UNIT 100377 BOX 1")</f>
        <v>UNIT 100377 BOX 1</v>
      </c>
      <c r="D8662" t="str">
        <f t="shared" si="3222"/>
        <v>FPO</v>
      </c>
      <c r="E8662" t="str">
        <f t="shared" si="3223"/>
        <v>AE</v>
      </c>
      <c r="F8662" t="str">
        <f>T("095767700")</f>
        <v>095767700</v>
      </c>
      <c r="G8662" t="str">
        <f>T("USNS KANAWHA T-AO 196")</f>
        <v>USNS KANAWHA T-AO 196</v>
      </c>
      <c r="H8662" t="str">
        <f>T("UNIT 100377 BOX 1")</f>
        <v>UNIT 100377 BOX 1</v>
      </c>
      <c r="I8662" t="str">
        <f>T("FPO")</f>
        <v>FPO</v>
      </c>
      <c r="J8662" t="str">
        <f>T("AE")</f>
        <v>AE</v>
      </c>
      <c r="K8662" t="str">
        <f>T("")</f>
        <v/>
      </c>
      <c r="L8662" t="str">
        <f>T("6195447169")</f>
        <v>6195447169</v>
      </c>
    </row>
    <row r="8663" spans="1:12" x14ac:dyDescent="0.35">
      <c r="A8663" t="str">
        <f t="shared" si="3221"/>
        <v>MSC NORFOLK</v>
      </c>
      <c r="B8663" t="str">
        <f>T("USNS KANAWHA T-AO 196")</f>
        <v>USNS KANAWHA T-AO 196</v>
      </c>
      <c r="C8663" t="str">
        <f>T("UNIT 100377 BOX 1")</f>
        <v>UNIT 100377 BOX 1</v>
      </c>
      <c r="D8663" t="str">
        <f t="shared" si="3222"/>
        <v>FPO</v>
      </c>
      <c r="E8663" t="str">
        <f t="shared" si="3223"/>
        <v>AE</v>
      </c>
      <c r="F8663" t="str">
        <f>T("095767700")</f>
        <v>095767700</v>
      </c>
      <c r="G8663" t="str">
        <f>T("USNS KANAWHA TAO-196")</f>
        <v>USNS KANAWHA TAO-196</v>
      </c>
      <c r="H8663" t="str">
        <f>T("UNIT 100377 BOX 805")</f>
        <v>UNIT 100377 BOX 805</v>
      </c>
      <c r="I8663" t="str">
        <f>T("FPO")</f>
        <v>FPO</v>
      </c>
      <c r="J8663" t="str">
        <f>T("AE")</f>
        <v>AE</v>
      </c>
      <c r="K8663" t="str">
        <f>T("000000000000000000")</f>
        <v>000000000000000000</v>
      </c>
      <c r="L8663" t="str">
        <f>T("6192069387")</f>
        <v>6192069387</v>
      </c>
    </row>
    <row r="8664" spans="1:12" x14ac:dyDescent="0.35">
      <c r="A8664" t="str">
        <f t="shared" si="3221"/>
        <v>MSC NORFOLK</v>
      </c>
      <c r="B8664" t="str">
        <f>T("USNS LARAMIE T-AO 203")</f>
        <v>USNS LARAMIE T-AO 203</v>
      </c>
      <c r="C8664" t="str">
        <f>T("UNIT 100379 BOX 1")</f>
        <v>UNIT 100379 BOX 1</v>
      </c>
      <c r="D8664" t="str">
        <f t="shared" si="3222"/>
        <v>FPO</v>
      </c>
      <c r="E8664" t="str">
        <f t="shared" si="3223"/>
        <v>AE</v>
      </c>
      <c r="F8664" t="str">
        <f>T("095777900")</f>
        <v>095777900</v>
      </c>
      <c r="G8664" t="str">
        <f>T("471 C ST")</f>
        <v>471 C ST</v>
      </c>
      <c r="H8664" t="str">
        <f>T("BLDG SP-64 2D FL")</f>
        <v>BLDG SP-64 2D FL</v>
      </c>
      <c r="I8664" t="str">
        <f>T("NORFOLK")</f>
        <v>NORFOLK</v>
      </c>
      <c r="J8664" t="str">
        <f>T("VA")</f>
        <v>VA</v>
      </c>
      <c r="K8664" t="str">
        <f>T("000000000000000000")</f>
        <v>000000000000000000</v>
      </c>
      <c r="L8664" t="str">
        <f>T("6195447139")</f>
        <v>6195447139</v>
      </c>
    </row>
    <row r="8665" spans="1:12" x14ac:dyDescent="0.35">
      <c r="A8665" t="str">
        <f t="shared" si="3221"/>
        <v>MSC NORFOLK</v>
      </c>
      <c r="B8665" t="str">
        <f>T("USNS LARAMIE T-AO 203")</f>
        <v>USNS LARAMIE T-AO 203</v>
      </c>
      <c r="C8665" t="str">
        <f>T("UNIT 100379 BOX 1")</f>
        <v>UNIT 100379 BOX 1</v>
      </c>
      <c r="D8665" t="str">
        <f t="shared" si="3222"/>
        <v>FPO</v>
      </c>
      <c r="E8665" t="str">
        <f t="shared" si="3223"/>
        <v>AE</v>
      </c>
      <c r="F8665" t="str">
        <f>T("095777900")</f>
        <v>095777900</v>
      </c>
      <c r="G8665" t="str">
        <f>T("USNS LARAMIE T-AO 203")</f>
        <v>USNS LARAMIE T-AO 203</v>
      </c>
      <c r="H8665" t="str">
        <f>T("UNIT 100379 1")</f>
        <v>UNIT 100379 1</v>
      </c>
      <c r="I8665" t="str">
        <f t="shared" ref="I8665:I8675" si="3226">T("FPO")</f>
        <v>FPO</v>
      </c>
      <c r="J8665" t="str">
        <f t="shared" ref="J8665:J8675" si="3227">T("AE")</f>
        <v>AE</v>
      </c>
      <c r="K8665" t="str">
        <f>T("000000000000000000")</f>
        <v>000000000000000000</v>
      </c>
      <c r="L8665" t="str">
        <f>T("6195447141")</f>
        <v>6195447141</v>
      </c>
    </row>
    <row r="8666" spans="1:12" x14ac:dyDescent="0.35">
      <c r="A8666" t="str">
        <f t="shared" si="3221"/>
        <v>MSC NORFOLK</v>
      </c>
      <c r="B8666" t="str">
        <f>T("USNS LARAMIE T-AO 203")</f>
        <v>USNS LARAMIE T-AO 203</v>
      </c>
      <c r="C8666" t="str">
        <f>T("UNIT 100379 BOX 1")</f>
        <v>UNIT 100379 BOX 1</v>
      </c>
      <c r="D8666" t="str">
        <f t="shared" si="3222"/>
        <v>FPO</v>
      </c>
      <c r="E8666" t="str">
        <f t="shared" si="3223"/>
        <v>AE</v>
      </c>
      <c r="F8666" t="str">
        <f>T("095777900")</f>
        <v>095777900</v>
      </c>
      <c r="G8666" t="str">
        <f>T("USNS LARAMIE T-AO 203")</f>
        <v>USNS LARAMIE T-AO 203</v>
      </c>
      <c r="H8666" t="str">
        <f>T("UNIT 100379 BOX 1")</f>
        <v>UNIT 100379 BOX 1</v>
      </c>
      <c r="I8666" t="str">
        <f t="shared" si="3226"/>
        <v>FPO</v>
      </c>
      <c r="J8666" t="str">
        <f t="shared" si="3227"/>
        <v>AE</v>
      </c>
      <c r="K8666" t="str">
        <f>T("")</f>
        <v/>
      </c>
      <c r="L8666" t="str">
        <f>T("6195447141")</f>
        <v>6195447141</v>
      </c>
    </row>
    <row r="8667" spans="1:12" x14ac:dyDescent="0.35">
      <c r="A8667" t="str">
        <f t="shared" si="3221"/>
        <v>MSC NORFOLK</v>
      </c>
      <c r="B8667" t="str">
        <f>T("USNS LARAMIE T-AO 203")</f>
        <v>USNS LARAMIE T-AO 203</v>
      </c>
      <c r="C8667" t="str">
        <f>T("UNIT 100379 BOX 1")</f>
        <v>UNIT 100379 BOX 1</v>
      </c>
      <c r="D8667" t="str">
        <f t="shared" si="3222"/>
        <v>FPO</v>
      </c>
      <c r="E8667" t="str">
        <f t="shared" si="3223"/>
        <v>AE</v>
      </c>
      <c r="F8667" t="str">
        <f>T("095777900")</f>
        <v>095777900</v>
      </c>
      <c r="G8667" t="str">
        <f>T("USNS LARAMIE T-AO 203")</f>
        <v>USNS LARAMIE T-AO 203</v>
      </c>
      <c r="H8667" t="str">
        <f>T("UNIT 100379 BOX 1")</f>
        <v>UNIT 100379 BOX 1</v>
      </c>
      <c r="I8667" t="str">
        <f t="shared" si="3226"/>
        <v>FPO</v>
      </c>
      <c r="J8667" t="str">
        <f t="shared" si="3227"/>
        <v>AE</v>
      </c>
      <c r="K8667" t="str">
        <f>T("000000000000000000")</f>
        <v>000000000000000000</v>
      </c>
      <c r="L8667" t="str">
        <f>T("6195447141")</f>
        <v>6195447141</v>
      </c>
    </row>
    <row r="8668" spans="1:12" x14ac:dyDescent="0.35">
      <c r="A8668" t="str">
        <f t="shared" si="3221"/>
        <v>MSC NORFOLK</v>
      </c>
      <c r="B8668" t="str">
        <f>T("USNS LEROY GRUMMAN T-AO 195")</f>
        <v>USNS LEROY GRUMMAN T-AO 195</v>
      </c>
      <c r="C8668" t="str">
        <f>T("UNIT 100371 BOX 1")</f>
        <v>UNIT 100371 BOX 1</v>
      </c>
      <c r="D8668" t="str">
        <f t="shared" si="3222"/>
        <v>FPO</v>
      </c>
      <c r="E8668" t="str">
        <f t="shared" si="3223"/>
        <v>AE</v>
      </c>
      <c r="F8668" t="str">
        <f>T("095704095")</f>
        <v>095704095</v>
      </c>
      <c r="G8668" t="str">
        <f>T("USNS LEROY GRUMMAN T-AO 195")</f>
        <v>USNS LEROY GRUMMAN T-AO 195</v>
      </c>
      <c r="H8668" t="str">
        <f>T("")</f>
        <v/>
      </c>
      <c r="I8668" t="str">
        <f t="shared" si="3226"/>
        <v>FPO</v>
      </c>
      <c r="J8668" t="str">
        <f t="shared" si="3227"/>
        <v>AE</v>
      </c>
      <c r="K8668" t="str">
        <f>T("000000000000000000")</f>
        <v>000000000000000000</v>
      </c>
      <c r="L8668" t="str">
        <f>T("6195447156")</f>
        <v>6195447156</v>
      </c>
    </row>
    <row r="8669" spans="1:12" x14ac:dyDescent="0.35">
      <c r="A8669" t="str">
        <f t="shared" si="3221"/>
        <v>MSC NORFOLK</v>
      </c>
      <c r="B8669" t="str">
        <f>T("USNS LEROY GRUMMAN T-AO 195")</f>
        <v>USNS LEROY GRUMMAN T-AO 195</v>
      </c>
      <c r="C8669" t="str">
        <f>T("UNIT 100371 BOX 1")</f>
        <v>UNIT 100371 BOX 1</v>
      </c>
      <c r="D8669" t="str">
        <f t="shared" si="3222"/>
        <v>FPO</v>
      </c>
      <c r="E8669" t="str">
        <f t="shared" si="3223"/>
        <v>AE</v>
      </c>
      <c r="F8669" t="str">
        <f>T("095704095")</f>
        <v>095704095</v>
      </c>
      <c r="G8669" t="str">
        <f>T("USNS LEROY GRUMMAN T-AO 195")</f>
        <v>USNS LEROY GRUMMAN T-AO 195</v>
      </c>
      <c r="H8669" t="str">
        <f>T("UNIT 100371 BOX 1")</f>
        <v>UNIT 100371 BOX 1</v>
      </c>
      <c r="I8669" t="str">
        <f t="shared" si="3226"/>
        <v>FPO</v>
      </c>
      <c r="J8669" t="str">
        <f t="shared" si="3227"/>
        <v>AE</v>
      </c>
      <c r="K8669" t="str">
        <f>T("")</f>
        <v/>
      </c>
      <c r="L8669" t="str">
        <f>T("6195447155")</f>
        <v>6195447155</v>
      </c>
    </row>
    <row r="8670" spans="1:12" x14ac:dyDescent="0.35">
      <c r="A8670" t="str">
        <f t="shared" si="3221"/>
        <v>MSC NORFOLK</v>
      </c>
      <c r="B8670" t="str">
        <f>T("USNS LEROY GRUMMAN T-AO 195")</f>
        <v>USNS LEROY GRUMMAN T-AO 195</v>
      </c>
      <c r="C8670" t="str">
        <f>T("UNIT 100371 BOX 1")</f>
        <v>UNIT 100371 BOX 1</v>
      </c>
      <c r="D8670" t="str">
        <f t="shared" si="3222"/>
        <v>FPO</v>
      </c>
      <c r="E8670" t="str">
        <f t="shared" si="3223"/>
        <v>AE</v>
      </c>
      <c r="F8670" t="str">
        <f>T("095704095")</f>
        <v>095704095</v>
      </c>
      <c r="G8670" t="str">
        <f>T("USNS LEROY GRUMMAN T-AO 195")</f>
        <v>USNS LEROY GRUMMAN T-AO 195</v>
      </c>
      <c r="H8670" t="str">
        <f>T("UNIT 100371 BOX 1")</f>
        <v>UNIT 100371 BOX 1</v>
      </c>
      <c r="I8670" t="str">
        <f t="shared" si="3226"/>
        <v>FPO</v>
      </c>
      <c r="J8670" t="str">
        <f t="shared" si="3227"/>
        <v>AE</v>
      </c>
      <c r="K8670" t="str">
        <f>T("6195447141830")</f>
        <v>6195447141830</v>
      </c>
      <c r="L8670" t="str">
        <f>T("6195447154")</f>
        <v>6195447154</v>
      </c>
    </row>
    <row r="8671" spans="1:12" x14ac:dyDescent="0.35">
      <c r="A8671" t="str">
        <f t="shared" si="3221"/>
        <v>MSC NORFOLK</v>
      </c>
      <c r="B8671" t="str">
        <f>T("USNS LEROY GRUMMAN T-AO 195")</f>
        <v>USNS LEROY GRUMMAN T-AO 195</v>
      </c>
      <c r="C8671" t="str">
        <f>T("UNIT 100371 BOX 1")</f>
        <v>UNIT 100371 BOX 1</v>
      </c>
      <c r="D8671" t="str">
        <f t="shared" si="3222"/>
        <v>FPO</v>
      </c>
      <c r="E8671" t="str">
        <f t="shared" si="3223"/>
        <v>AE</v>
      </c>
      <c r="F8671" t="str">
        <f>T("095704095")</f>
        <v>095704095</v>
      </c>
      <c r="G8671" t="str">
        <f>T("USNS LEROY GRUMMAN T-AO195")</f>
        <v>USNS LEROY GRUMMAN T-AO195</v>
      </c>
      <c r="H8671" t="str">
        <f>T("UNIT 100371 BOX 1")</f>
        <v>UNIT 100371 BOX 1</v>
      </c>
      <c r="I8671" t="str">
        <f t="shared" si="3226"/>
        <v>FPO</v>
      </c>
      <c r="J8671" t="str">
        <f t="shared" si="3227"/>
        <v>AE</v>
      </c>
      <c r="K8671" t="str">
        <f>T("000000000000000000")</f>
        <v>000000000000000000</v>
      </c>
      <c r="L8671" t="str">
        <f>T("6195447154")</f>
        <v>6195447154</v>
      </c>
    </row>
    <row r="8672" spans="1:12" x14ac:dyDescent="0.35">
      <c r="A8672" t="str">
        <f t="shared" si="3221"/>
        <v>MSC NORFOLK</v>
      </c>
      <c r="B8672" t="str">
        <f>T("USNS MEDGAR EVERS T-AKE 13")</f>
        <v>USNS MEDGAR EVERS T-AKE 13</v>
      </c>
      <c r="C8672" t="str">
        <f>T("UNIT 100366 BOX 1")</f>
        <v>UNIT 100366 BOX 1</v>
      </c>
      <c r="D8672" t="str">
        <f t="shared" si="3222"/>
        <v>FPO</v>
      </c>
      <c r="E8672" t="str">
        <f t="shared" si="3223"/>
        <v>AE</v>
      </c>
      <c r="F8672" t="str">
        <f>T("095686600")</f>
        <v>095686600</v>
      </c>
      <c r="G8672" t="str">
        <f>T("USNS MEDGAR EVERS T-AKE 13")</f>
        <v>USNS MEDGAR EVERS T-AKE 13</v>
      </c>
      <c r="H8672" t="str">
        <f>T("UNIT 1000366 BOX 1")</f>
        <v>UNIT 1000366 BOX 1</v>
      </c>
      <c r="I8672" t="str">
        <f t="shared" si="3226"/>
        <v>FPO</v>
      </c>
      <c r="J8672" t="str">
        <f t="shared" si="3227"/>
        <v>AE</v>
      </c>
      <c r="K8672" t="str">
        <f>T("000000000000000000")</f>
        <v>000000000000000000</v>
      </c>
      <c r="L8672" t="str">
        <f>T("7574045711")</f>
        <v>7574045711</v>
      </c>
    </row>
    <row r="8673" spans="1:12" x14ac:dyDescent="0.35">
      <c r="A8673" t="str">
        <f t="shared" ref="A8673:A8702" si="3228">T("MSC NORFOLK")</f>
        <v>MSC NORFOLK</v>
      </c>
      <c r="B8673" t="str">
        <f>T("USNS MEDGAR EVERS T-AKE 13")</f>
        <v>USNS MEDGAR EVERS T-AKE 13</v>
      </c>
      <c r="C8673" t="str">
        <f>T("UNIT 100366 BOX 1")</f>
        <v>UNIT 100366 BOX 1</v>
      </c>
      <c r="D8673" t="str">
        <f t="shared" si="3222"/>
        <v>FPO</v>
      </c>
      <c r="E8673" t="str">
        <f t="shared" si="3223"/>
        <v>AE</v>
      </c>
      <c r="F8673" t="str">
        <f>T("095686600")</f>
        <v>095686600</v>
      </c>
      <c r="G8673" t="str">
        <f>T("USNS MEDGAR EVERS T-AKE 13")</f>
        <v>USNS MEDGAR EVERS T-AKE 13</v>
      </c>
      <c r="H8673" t="str">
        <f>T("UNIT 100366 BOX 1")</f>
        <v>UNIT 100366 BOX 1</v>
      </c>
      <c r="I8673" t="str">
        <f t="shared" si="3226"/>
        <v>FPO</v>
      </c>
      <c r="J8673" t="str">
        <f t="shared" si="3227"/>
        <v>AE</v>
      </c>
      <c r="K8673" t="str">
        <f>T("")</f>
        <v/>
      </c>
      <c r="L8673" t="str">
        <f>T("6195337282")</f>
        <v>6195337282</v>
      </c>
    </row>
    <row r="8674" spans="1:12" x14ac:dyDescent="0.35">
      <c r="A8674" t="str">
        <f t="shared" si="3228"/>
        <v>MSC NORFOLK</v>
      </c>
      <c r="B8674" t="str">
        <f>T("USNS MEDGAR EVERS T-AKE 13")</f>
        <v>USNS MEDGAR EVERS T-AKE 13</v>
      </c>
      <c r="C8674" t="str">
        <f>T("UNIT 100366 BOX 1")</f>
        <v>UNIT 100366 BOX 1</v>
      </c>
      <c r="D8674" t="str">
        <f t="shared" si="3222"/>
        <v>FPO</v>
      </c>
      <c r="E8674" t="str">
        <f t="shared" si="3223"/>
        <v>AE</v>
      </c>
      <c r="F8674" t="str">
        <f>T("095686600")</f>
        <v>095686600</v>
      </c>
      <c r="G8674" t="str">
        <f>T("USNS MEDGAR EVERS T-AKE 13")</f>
        <v>USNS MEDGAR EVERS T-AKE 13</v>
      </c>
      <c r="H8674" t="str">
        <f>T("UNIT 100366 BOX 1")</f>
        <v>UNIT 100366 BOX 1</v>
      </c>
      <c r="I8674" t="str">
        <f t="shared" si="3226"/>
        <v>FPO</v>
      </c>
      <c r="J8674" t="str">
        <f t="shared" si="3227"/>
        <v>AE</v>
      </c>
      <c r="K8674" t="str">
        <f>T("000000000000000000")</f>
        <v>000000000000000000</v>
      </c>
      <c r="L8674" t="str">
        <f>T("6195337281")</f>
        <v>6195337281</v>
      </c>
    </row>
    <row r="8675" spans="1:12" x14ac:dyDescent="0.35">
      <c r="A8675" t="str">
        <f t="shared" si="3228"/>
        <v>MSC NORFOLK</v>
      </c>
      <c r="B8675" t="str">
        <f>T("USNS MEDGAR EVERS T-AKE 13")</f>
        <v>USNS MEDGAR EVERS T-AKE 13</v>
      </c>
      <c r="C8675" t="str">
        <f>T("UNIT 100366 BOX 1")</f>
        <v>UNIT 100366 BOX 1</v>
      </c>
      <c r="D8675" t="str">
        <f t="shared" si="3222"/>
        <v>FPO</v>
      </c>
      <c r="E8675" t="str">
        <f t="shared" si="3223"/>
        <v>AE</v>
      </c>
      <c r="F8675" t="str">
        <f>T("095686600")</f>
        <v>095686600</v>
      </c>
      <c r="G8675" t="str">
        <f>T("USNS MEDGAR EVERS T-AKE 13")</f>
        <v>USNS MEDGAR EVERS T-AKE 13</v>
      </c>
      <c r="H8675" t="str">
        <f>T("UNIT 100366 BOX 1")</f>
        <v>UNIT 100366 BOX 1</v>
      </c>
      <c r="I8675" t="str">
        <f t="shared" si="3226"/>
        <v>FPO</v>
      </c>
      <c r="J8675" t="str">
        <f t="shared" si="3227"/>
        <v>AE</v>
      </c>
      <c r="K8675" t="str">
        <f>T("000000000000000000")</f>
        <v>000000000000000000</v>
      </c>
      <c r="L8675" t="str">
        <f>T("6195337282")</f>
        <v>6195337282</v>
      </c>
    </row>
    <row r="8676" spans="1:12" x14ac:dyDescent="0.35">
      <c r="A8676" t="str">
        <f t="shared" si="3228"/>
        <v>MSC NORFOLK</v>
      </c>
      <c r="B8676" t="str">
        <f>T("USNS MILLINOCKET JHSV 3")</f>
        <v>USNS MILLINOCKET JHSV 3</v>
      </c>
      <c r="C8676" t="str">
        <f>T("UNTI 100382 BOX 1")</f>
        <v>UNTI 100382 BOX 1</v>
      </c>
      <c r="D8676" t="str">
        <f t="shared" si="3222"/>
        <v>FPO</v>
      </c>
      <c r="E8676" t="str">
        <f>T("AP")</f>
        <v>AP</v>
      </c>
      <c r="F8676" t="str">
        <f>T("966722806")</f>
        <v>966722806</v>
      </c>
      <c r="G8676" t="str">
        <f>T("471 EAST C STREET")</f>
        <v>471 EAST C STREET</v>
      </c>
      <c r="H8676" t="str">
        <f>T("BLDG SP-64 2ND FLOOR")</f>
        <v>BLDG SP-64 2ND FLOOR</v>
      </c>
      <c r="I8676" t="str">
        <f>T("NORFOLK")</f>
        <v>NORFOLK</v>
      </c>
      <c r="J8676" t="str">
        <f>T("VA")</f>
        <v>VA</v>
      </c>
      <c r="K8676" t="str">
        <f>T("000000000000000000")</f>
        <v>000000000000000000</v>
      </c>
      <c r="L8676" t="str">
        <f>T("6198508171")</f>
        <v>6198508171</v>
      </c>
    </row>
    <row r="8677" spans="1:12" x14ac:dyDescent="0.35">
      <c r="A8677" t="str">
        <f t="shared" si="3228"/>
        <v>MSC NORFOLK</v>
      </c>
      <c r="B8677" t="str">
        <f>T("USNS MILLINOCKET JHSV 3")</f>
        <v>USNS MILLINOCKET JHSV 3</v>
      </c>
      <c r="C8677" t="str">
        <f>T("UNTI 100382 BOX 1")</f>
        <v>UNTI 100382 BOX 1</v>
      </c>
      <c r="D8677" t="str">
        <f t="shared" si="3222"/>
        <v>FPO</v>
      </c>
      <c r="E8677" t="str">
        <f>T("AP")</f>
        <v>AP</v>
      </c>
      <c r="F8677" t="str">
        <f>T("966722806")</f>
        <v>966722806</v>
      </c>
      <c r="G8677" t="str">
        <f>T("USNS MILLINOCKET JHSV 3")</f>
        <v>USNS MILLINOCKET JHSV 3</v>
      </c>
      <c r="H8677" t="str">
        <f>T("UNTI 100382 BOX 1")</f>
        <v>UNTI 100382 BOX 1</v>
      </c>
      <c r="I8677" t="str">
        <f>T("FPO")</f>
        <v>FPO</v>
      </c>
      <c r="J8677" t="str">
        <f>T("AP")</f>
        <v>AP</v>
      </c>
      <c r="K8677" t="str">
        <f>T("000000000000000000")</f>
        <v>000000000000000000</v>
      </c>
      <c r="L8677" t="str">
        <f>T("6195954766")</f>
        <v>6195954766</v>
      </c>
    </row>
    <row r="8678" spans="1:12" x14ac:dyDescent="0.35">
      <c r="A8678" t="str">
        <f t="shared" si="3228"/>
        <v>MSC NORFOLK</v>
      </c>
      <c r="B8678" t="str">
        <f>T("USNS PATUXENT T-AO 201")</f>
        <v>USNS PATUXENT T-AO 201</v>
      </c>
      <c r="C8678" t="str">
        <f>T("UNIT 100390 BOX 1")</f>
        <v>UNIT 100390 BOX 1</v>
      </c>
      <c r="D8678" t="str">
        <f t="shared" ref="D8678:D8702" si="3229">T("FPO")</f>
        <v>FPO</v>
      </c>
      <c r="E8678" t="str">
        <f t="shared" ref="E8678:E8702" si="3230">T("AE")</f>
        <v>AE</v>
      </c>
      <c r="F8678" t="str">
        <f>T("095829000")</f>
        <v>095829000</v>
      </c>
      <c r="G8678" t="str">
        <f>T("USNS PATUXENT T-AO 201")</f>
        <v>USNS PATUXENT T-AO 201</v>
      </c>
      <c r="H8678" t="str">
        <f>T("MASTER")</f>
        <v>MASTER</v>
      </c>
      <c r="I8678" t="str">
        <f>T("FPO")</f>
        <v>FPO</v>
      </c>
      <c r="J8678" t="str">
        <f>T("AE")</f>
        <v>AE</v>
      </c>
      <c r="K8678" t="str">
        <f>T("000000000000000000")</f>
        <v>000000000000000000</v>
      </c>
      <c r="L8678" t="str">
        <f>T("7575751225")</f>
        <v>7575751225</v>
      </c>
    </row>
    <row r="8679" spans="1:12" x14ac:dyDescent="0.35">
      <c r="A8679" t="str">
        <f t="shared" si="3228"/>
        <v>MSC NORFOLK</v>
      </c>
      <c r="B8679" t="str">
        <f>T("USNS PATUXENT T-AO 201")</f>
        <v>USNS PATUXENT T-AO 201</v>
      </c>
      <c r="C8679" t="str">
        <f>T("UNIT 100390 BOX 1")</f>
        <v>UNIT 100390 BOX 1</v>
      </c>
      <c r="D8679" t="str">
        <f t="shared" si="3229"/>
        <v>FPO</v>
      </c>
      <c r="E8679" t="str">
        <f t="shared" si="3230"/>
        <v>AE</v>
      </c>
      <c r="F8679" t="str">
        <f>T("095829000")</f>
        <v>095829000</v>
      </c>
      <c r="G8679" t="str">
        <f>T("USNS PATUXENT T-AO 201")</f>
        <v>USNS PATUXENT T-AO 201</v>
      </c>
      <c r="H8679" t="str">
        <f>T("UNIT 100390 BOX 1")</f>
        <v>UNIT 100390 BOX 1</v>
      </c>
      <c r="I8679" t="str">
        <f>T("FPO")</f>
        <v>FPO</v>
      </c>
      <c r="J8679" t="str">
        <f>T("AE")</f>
        <v>AE</v>
      </c>
      <c r="K8679" t="str">
        <f>T("")</f>
        <v/>
      </c>
      <c r="L8679" t="str">
        <f>T("6195447166")</f>
        <v>6195447166</v>
      </c>
    </row>
    <row r="8680" spans="1:12" x14ac:dyDescent="0.35">
      <c r="A8680" t="str">
        <f t="shared" si="3228"/>
        <v>MSC NORFOLK</v>
      </c>
      <c r="B8680" t="str">
        <f>T("USNS PATUXENT T-AO 201")</f>
        <v>USNS PATUXENT T-AO 201</v>
      </c>
      <c r="C8680" t="str">
        <f>T("UNIT 100390 BOX 1")</f>
        <v>UNIT 100390 BOX 1</v>
      </c>
      <c r="D8680" t="str">
        <f t="shared" si="3229"/>
        <v>FPO</v>
      </c>
      <c r="E8680" t="str">
        <f t="shared" si="3230"/>
        <v>AE</v>
      </c>
      <c r="F8680" t="str">
        <f>T("095829000")</f>
        <v>095829000</v>
      </c>
      <c r="G8680" t="str">
        <f>T("USNS PATUXENT T-AO 201")</f>
        <v>USNS PATUXENT T-AO 201</v>
      </c>
      <c r="H8680" t="str">
        <f>T("UNIT 100390 BOX 1")</f>
        <v>UNIT 100390 BOX 1</v>
      </c>
      <c r="I8680" t="str">
        <f>T("FPO")</f>
        <v>FPO</v>
      </c>
      <c r="J8680" t="str">
        <f>T("AE")</f>
        <v>AE</v>
      </c>
      <c r="K8680" t="str">
        <f>T("000000000000000000")</f>
        <v>000000000000000000</v>
      </c>
      <c r="L8680" t="str">
        <f>T("6195447166")</f>
        <v>6195447166</v>
      </c>
    </row>
    <row r="8681" spans="1:12" x14ac:dyDescent="0.35">
      <c r="A8681" t="str">
        <f t="shared" si="3228"/>
        <v>MSC NORFOLK</v>
      </c>
      <c r="B8681" t="str">
        <f>T("USNS PATUXENT T-AO 201")</f>
        <v>USNS PATUXENT T-AO 201</v>
      </c>
      <c r="C8681" t="str">
        <f>T("UNIT 100390 BOX 1")</f>
        <v>UNIT 100390 BOX 1</v>
      </c>
      <c r="D8681" t="str">
        <f t="shared" si="3229"/>
        <v>FPO</v>
      </c>
      <c r="E8681" t="str">
        <f t="shared" si="3230"/>
        <v>AE</v>
      </c>
      <c r="F8681" t="str">
        <f>T("095829000")</f>
        <v>095829000</v>
      </c>
      <c r="G8681" t="str">
        <f>T("USNS PATUXENT T-AO 201")</f>
        <v>USNS PATUXENT T-AO 201</v>
      </c>
      <c r="H8681" t="str">
        <f>T("UNIT 100390 BOX 1")</f>
        <v>UNIT 100390 BOX 1</v>
      </c>
      <c r="I8681" t="str">
        <f>T("FPO")</f>
        <v>FPO</v>
      </c>
      <c r="J8681" t="str">
        <f>T("AE")</f>
        <v>AE</v>
      </c>
      <c r="K8681" t="str">
        <f>T("000000000000000000")</f>
        <v>000000000000000000</v>
      </c>
      <c r="L8681" t="str">
        <f>T("7574435903")</f>
        <v>7574435903</v>
      </c>
    </row>
    <row r="8682" spans="1:12" x14ac:dyDescent="0.35">
      <c r="A8682" t="str">
        <f t="shared" si="3228"/>
        <v>MSC NORFOLK</v>
      </c>
      <c r="B8682" t="str">
        <f>T("USNS ROBERT PEARY T-AKE5")</f>
        <v>USNS ROBERT PEARY T-AKE5</v>
      </c>
      <c r="C8682" t="str">
        <f>T("UNIT 100392 BOX 1")</f>
        <v>UNIT 100392 BOX 1</v>
      </c>
      <c r="D8682" t="str">
        <f t="shared" si="3229"/>
        <v>FPO</v>
      </c>
      <c r="E8682" t="str">
        <f t="shared" si="3230"/>
        <v>AE</v>
      </c>
      <c r="F8682" t="str">
        <f>T("095829200")</f>
        <v>095829200</v>
      </c>
      <c r="G8682" t="str">
        <f>T("471 EAST C ST")</f>
        <v>471 EAST C ST</v>
      </c>
      <c r="H8682" t="str">
        <f>T("BLDG SP-64 2D FL")</f>
        <v>BLDG SP-64 2D FL</v>
      </c>
      <c r="I8682" t="str">
        <f>T("NORFOLK")</f>
        <v>NORFOLK</v>
      </c>
      <c r="J8682" t="str">
        <f>T("VA")</f>
        <v>VA</v>
      </c>
      <c r="K8682" t="str">
        <f>T("000000000000000000")</f>
        <v>000000000000000000</v>
      </c>
      <c r="L8682" t="str">
        <f>T("6195447122")</f>
        <v>6195447122</v>
      </c>
    </row>
    <row r="8683" spans="1:12" x14ac:dyDescent="0.35">
      <c r="A8683" t="str">
        <f t="shared" si="3228"/>
        <v>MSC NORFOLK</v>
      </c>
      <c r="B8683" t="str">
        <f>T("USNS ROBERT PEARY T-AKE5")</f>
        <v>USNS ROBERT PEARY T-AKE5</v>
      </c>
      <c r="C8683" t="str">
        <f>T("UNIT 100392 BOX 1")</f>
        <v>UNIT 100392 BOX 1</v>
      </c>
      <c r="D8683" t="str">
        <f t="shared" si="3229"/>
        <v>FPO</v>
      </c>
      <c r="E8683" t="str">
        <f t="shared" si="3230"/>
        <v>AE</v>
      </c>
      <c r="F8683" t="str">
        <f>T("095829200")</f>
        <v>095829200</v>
      </c>
      <c r="G8683" t="str">
        <f>T("471 EAST C STREET")</f>
        <v>471 EAST C STREET</v>
      </c>
      <c r="H8683" t="str">
        <f>T("BLDG SP-64 2ND FLOOR")</f>
        <v>BLDG SP-64 2ND FLOOR</v>
      </c>
      <c r="I8683" t="str">
        <f>T("NORFOLK")</f>
        <v>NORFOLK</v>
      </c>
      <c r="J8683" t="str">
        <f>T("VA")</f>
        <v>VA</v>
      </c>
      <c r="K8683" t="str">
        <f>T("000000000000000000")</f>
        <v>000000000000000000</v>
      </c>
      <c r="L8683" t="str">
        <f>T("6195447122")</f>
        <v>6195447122</v>
      </c>
    </row>
    <row r="8684" spans="1:12" x14ac:dyDescent="0.35">
      <c r="A8684" t="str">
        <f t="shared" si="3228"/>
        <v>MSC NORFOLK</v>
      </c>
      <c r="B8684" t="str">
        <f>T("USNS ROBERT PEARY T-AKE5")</f>
        <v>USNS ROBERT PEARY T-AKE5</v>
      </c>
      <c r="C8684" t="str">
        <f>T("UNIT 100392 BOX 1")</f>
        <v>UNIT 100392 BOX 1</v>
      </c>
      <c r="D8684" t="str">
        <f t="shared" si="3229"/>
        <v>FPO</v>
      </c>
      <c r="E8684" t="str">
        <f t="shared" si="3230"/>
        <v>AE</v>
      </c>
      <c r="F8684" t="str">
        <f>T("095829200")</f>
        <v>095829200</v>
      </c>
      <c r="G8684" t="str">
        <f>T("USNS ROBERT PEARY T-AKE5")</f>
        <v>USNS ROBERT PEARY T-AKE5</v>
      </c>
      <c r="H8684" t="str">
        <f>T("UNIT 100392 BOX 1")</f>
        <v>UNIT 100392 BOX 1</v>
      </c>
      <c r="I8684" t="str">
        <f t="shared" ref="I8684:I8692" si="3231">T("FPO")</f>
        <v>FPO</v>
      </c>
      <c r="J8684" t="str">
        <f t="shared" ref="J8684:J8692" si="3232">T("AE")</f>
        <v>AE</v>
      </c>
      <c r="K8684" t="str">
        <f>T("")</f>
        <v/>
      </c>
      <c r="L8684" t="str">
        <f>T("6195447121")</f>
        <v>6195447121</v>
      </c>
    </row>
    <row r="8685" spans="1:12" x14ac:dyDescent="0.35">
      <c r="A8685" t="str">
        <f t="shared" si="3228"/>
        <v>MSC NORFOLK</v>
      </c>
      <c r="B8685" t="str">
        <f>T("USNS SPEARHEAD JHSV-1")</f>
        <v>USNS SPEARHEAD JHSV-1</v>
      </c>
      <c r="C8685" t="str">
        <f>T("UNIT 100393 BOX 1")</f>
        <v>UNIT 100393 BOX 1</v>
      </c>
      <c r="D8685" t="str">
        <f t="shared" si="3229"/>
        <v>FPO</v>
      </c>
      <c r="E8685" t="str">
        <f t="shared" si="3230"/>
        <v>AE</v>
      </c>
      <c r="F8685" t="str">
        <f>T("095879300")</f>
        <v>095879300</v>
      </c>
      <c r="G8685" t="str">
        <f>T("USNS SPEARHEAD JHSV-1")</f>
        <v>USNS SPEARHEAD JHSV-1</v>
      </c>
      <c r="H8685" t="str">
        <f>T("UNIT 100393 BOX 1")</f>
        <v>UNIT 100393 BOX 1</v>
      </c>
      <c r="I8685" t="str">
        <f t="shared" si="3231"/>
        <v>FPO</v>
      </c>
      <c r="J8685" t="str">
        <f t="shared" si="3232"/>
        <v>AE</v>
      </c>
      <c r="K8685" t="str">
        <f>T("")</f>
        <v/>
      </c>
      <c r="L8685" t="str">
        <f>T("7572743535")</f>
        <v>7572743535</v>
      </c>
    </row>
    <row r="8686" spans="1:12" x14ac:dyDescent="0.35">
      <c r="A8686" t="str">
        <f t="shared" si="3228"/>
        <v>MSC NORFOLK</v>
      </c>
      <c r="B8686" t="str">
        <f>T("USNS SPEARHEAD JHSV-1")</f>
        <v>USNS SPEARHEAD JHSV-1</v>
      </c>
      <c r="C8686" t="str">
        <f>T("UNIT 100393 BOX 1")</f>
        <v>UNIT 100393 BOX 1</v>
      </c>
      <c r="D8686" t="str">
        <f t="shared" si="3229"/>
        <v>FPO</v>
      </c>
      <c r="E8686" t="str">
        <f t="shared" si="3230"/>
        <v>AE</v>
      </c>
      <c r="F8686" t="str">
        <f>T("095879300")</f>
        <v>095879300</v>
      </c>
      <c r="G8686" t="str">
        <f>T("USNS SPEARHEAD T-EPF 1")</f>
        <v>USNS SPEARHEAD T-EPF 1</v>
      </c>
      <c r="H8686" t="str">
        <f>T("UNIT 100393 BOX 1")</f>
        <v>UNIT 100393 BOX 1</v>
      </c>
      <c r="I8686" t="str">
        <f t="shared" si="3231"/>
        <v>FPO</v>
      </c>
      <c r="J8686" t="str">
        <f t="shared" si="3232"/>
        <v>AE</v>
      </c>
      <c r="K8686" t="str">
        <f>T("000000000000000000")</f>
        <v>000000000000000000</v>
      </c>
      <c r="L8686" t="str">
        <f>T("6195446996")</f>
        <v>6195446996</v>
      </c>
    </row>
    <row r="8687" spans="1:12" x14ac:dyDescent="0.35">
      <c r="A8687" t="str">
        <f t="shared" si="3228"/>
        <v>MSC NORFOLK</v>
      </c>
      <c r="B8687" t="str">
        <f t="shared" ref="B8687:B8692" si="3233">T("USNS SUPPLY T-AOE 6")</f>
        <v>USNS SUPPLY T-AOE 6</v>
      </c>
      <c r="C8687" t="str">
        <f t="shared" ref="C8687:C8692" si="3234">T("UNIT 100397 BOX 1")</f>
        <v>UNIT 100397 BOX 1</v>
      </c>
      <c r="D8687" t="str">
        <f t="shared" si="3229"/>
        <v>FPO</v>
      </c>
      <c r="E8687" t="str">
        <f t="shared" si="3230"/>
        <v>AE</v>
      </c>
      <c r="F8687" t="str">
        <f t="shared" ref="F8687:F8692" si="3235">T("095879700")</f>
        <v>095879700</v>
      </c>
      <c r="G8687" t="str">
        <f>T("USNS SUPPLY T-AOE")</f>
        <v>USNS SUPPLY T-AOE</v>
      </c>
      <c r="H8687" t="str">
        <f>T("UNIT 100397 BOX 1")</f>
        <v>UNIT 100397 BOX 1</v>
      </c>
      <c r="I8687" t="str">
        <f t="shared" si="3231"/>
        <v>FPO</v>
      </c>
      <c r="J8687" t="str">
        <f t="shared" si="3232"/>
        <v>AE</v>
      </c>
      <c r="K8687" t="str">
        <f>T("000000000000000000")</f>
        <v>000000000000000000</v>
      </c>
      <c r="L8687" t="str">
        <f>T("6195447117")</f>
        <v>6195447117</v>
      </c>
    </row>
    <row r="8688" spans="1:12" x14ac:dyDescent="0.35">
      <c r="A8688" t="str">
        <f t="shared" si="3228"/>
        <v>MSC NORFOLK</v>
      </c>
      <c r="B8688" t="str">
        <f t="shared" si="3233"/>
        <v>USNS SUPPLY T-AOE 6</v>
      </c>
      <c r="C8688" t="str">
        <f t="shared" si="3234"/>
        <v>UNIT 100397 BOX 1</v>
      </c>
      <c r="D8688" t="str">
        <f t="shared" si="3229"/>
        <v>FPO</v>
      </c>
      <c r="E8688" t="str">
        <f t="shared" si="3230"/>
        <v>AE</v>
      </c>
      <c r="F8688" t="str">
        <f t="shared" si="3235"/>
        <v>095879700</v>
      </c>
      <c r="G8688" t="str">
        <f>T("USNS SUPPLY T-AOE 6")</f>
        <v>USNS SUPPLY T-AOE 6</v>
      </c>
      <c r="H8688" t="str">
        <f>T("")</f>
        <v/>
      </c>
      <c r="I8688" t="str">
        <f t="shared" si="3231"/>
        <v>FPO</v>
      </c>
      <c r="J8688" t="str">
        <f t="shared" si="3232"/>
        <v>AE</v>
      </c>
      <c r="K8688" t="str">
        <f>T("000000000000000000")</f>
        <v>000000000000000000</v>
      </c>
      <c r="L8688" t="str">
        <f>T("6195447115")</f>
        <v>6195447115</v>
      </c>
    </row>
    <row r="8689" spans="1:12" x14ac:dyDescent="0.35">
      <c r="A8689" t="str">
        <f t="shared" si="3228"/>
        <v>MSC NORFOLK</v>
      </c>
      <c r="B8689" t="str">
        <f t="shared" si="3233"/>
        <v>USNS SUPPLY T-AOE 6</v>
      </c>
      <c r="C8689" t="str">
        <f t="shared" si="3234"/>
        <v>UNIT 100397 BOX 1</v>
      </c>
      <c r="D8689" t="str">
        <f t="shared" si="3229"/>
        <v>FPO</v>
      </c>
      <c r="E8689" t="str">
        <f t="shared" si="3230"/>
        <v>AE</v>
      </c>
      <c r="F8689" t="str">
        <f t="shared" si="3235"/>
        <v>095879700</v>
      </c>
      <c r="G8689" t="str">
        <f>T("USNS SUPPLY T-AOE 6")</f>
        <v>USNS SUPPLY T-AOE 6</v>
      </c>
      <c r="H8689" t="str">
        <f>T("UNIT 100397 BOX 1")</f>
        <v>UNIT 100397 BOX 1</v>
      </c>
      <c r="I8689" t="str">
        <f t="shared" si="3231"/>
        <v>FPO</v>
      </c>
      <c r="J8689" t="str">
        <f t="shared" si="3232"/>
        <v>AE</v>
      </c>
      <c r="K8689" t="str">
        <f>T("")</f>
        <v/>
      </c>
      <c r="L8689" t="str">
        <f>T("6195447115")</f>
        <v>6195447115</v>
      </c>
    </row>
    <row r="8690" spans="1:12" x14ac:dyDescent="0.35">
      <c r="A8690" t="str">
        <f t="shared" si="3228"/>
        <v>MSC NORFOLK</v>
      </c>
      <c r="B8690" t="str">
        <f t="shared" si="3233"/>
        <v>USNS SUPPLY T-AOE 6</v>
      </c>
      <c r="C8690" t="str">
        <f t="shared" si="3234"/>
        <v>UNIT 100397 BOX 1</v>
      </c>
      <c r="D8690" t="str">
        <f t="shared" si="3229"/>
        <v>FPO</v>
      </c>
      <c r="E8690" t="str">
        <f t="shared" si="3230"/>
        <v>AE</v>
      </c>
      <c r="F8690" t="str">
        <f t="shared" si="3235"/>
        <v>095879700</v>
      </c>
      <c r="G8690" t="str">
        <f>T("USNS SUPPLY T-AOE 6")</f>
        <v>USNS SUPPLY T-AOE 6</v>
      </c>
      <c r="H8690" t="str">
        <f>T("UNIT 100397 BOX 1")</f>
        <v>UNIT 100397 BOX 1</v>
      </c>
      <c r="I8690" t="str">
        <f t="shared" si="3231"/>
        <v>FPO</v>
      </c>
      <c r="J8690" t="str">
        <f t="shared" si="3232"/>
        <v>AE</v>
      </c>
      <c r="K8690" t="str">
        <f t="shared" ref="K8690:K8696" si="3236">T("000000000000000000")</f>
        <v>000000000000000000</v>
      </c>
      <c r="L8690" t="str">
        <f>T("6195447115")</f>
        <v>6195447115</v>
      </c>
    </row>
    <row r="8691" spans="1:12" x14ac:dyDescent="0.35">
      <c r="A8691" t="str">
        <f t="shared" si="3228"/>
        <v>MSC NORFOLK</v>
      </c>
      <c r="B8691" t="str">
        <f t="shared" si="3233"/>
        <v>USNS SUPPLY T-AOE 6</v>
      </c>
      <c r="C8691" t="str">
        <f t="shared" si="3234"/>
        <v>UNIT 100397 BOX 1</v>
      </c>
      <c r="D8691" t="str">
        <f t="shared" si="3229"/>
        <v>FPO</v>
      </c>
      <c r="E8691" t="str">
        <f t="shared" si="3230"/>
        <v>AE</v>
      </c>
      <c r="F8691" t="str">
        <f t="shared" si="3235"/>
        <v>095879700</v>
      </c>
      <c r="G8691" t="str">
        <f>T("USNS SUPPLY T-AOE 6")</f>
        <v>USNS SUPPLY T-AOE 6</v>
      </c>
      <c r="H8691" t="str">
        <f>T("UNIT 100397 BOX 1")</f>
        <v>UNIT 100397 BOX 1</v>
      </c>
      <c r="I8691" t="str">
        <f t="shared" si="3231"/>
        <v>FPO</v>
      </c>
      <c r="J8691" t="str">
        <f t="shared" si="3232"/>
        <v>AE</v>
      </c>
      <c r="K8691" t="str">
        <f t="shared" si="3236"/>
        <v>000000000000000000</v>
      </c>
      <c r="L8691" t="str">
        <f>T("6195447117")</f>
        <v>6195447117</v>
      </c>
    </row>
    <row r="8692" spans="1:12" x14ac:dyDescent="0.35">
      <c r="A8692" t="str">
        <f t="shared" si="3228"/>
        <v>MSC NORFOLK</v>
      </c>
      <c r="B8692" t="str">
        <f t="shared" si="3233"/>
        <v>USNS SUPPLY T-AOE 6</v>
      </c>
      <c r="C8692" t="str">
        <f t="shared" si="3234"/>
        <v>UNIT 100397 BOX 1</v>
      </c>
      <c r="D8692" t="str">
        <f t="shared" si="3229"/>
        <v>FPO</v>
      </c>
      <c r="E8692" t="str">
        <f t="shared" si="3230"/>
        <v>AE</v>
      </c>
      <c r="F8692" t="str">
        <f t="shared" si="3235"/>
        <v>095879700</v>
      </c>
      <c r="G8692" t="str">
        <f>T("USNS SUPPLY T-AOE 6")</f>
        <v>USNS SUPPLY T-AOE 6</v>
      </c>
      <c r="H8692" t="str">
        <f>T("UNITE 100397 BOX 1")</f>
        <v>UNITE 100397 BOX 1</v>
      </c>
      <c r="I8692" t="str">
        <f t="shared" si="3231"/>
        <v>FPO</v>
      </c>
      <c r="J8692" t="str">
        <f t="shared" si="3232"/>
        <v>AE</v>
      </c>
      <c r="K8692" t="str">
        <f t="shared" si="3236"/>
        <v>000000000000000000</v>
      </c>
      <c r="L8692" t="str">
        <f>T("6195441771")</f>
        <v>6195441771</v>
      </c>
    </row>
    <row r="8693" spans="1:12" x14ac:dyDescent="0.35">
      <c r="A8693" t="str">
        <f t="shared" si="3228"/>
        <v>MSC NORFOLK</v>
      </c>
      <c r="B8693" t="str">
        <f>T("USNS TRENTON T-EPF 5")</f>
        <v>USNS TRENTON T-EPF 5</v>
      </c>
      <c r="C8693" t="str">
        <f>T("UNIT 100358 BOX 802-1")</f>
        <v>UNIT 100358 BOX 802-1</v>
      </c>
      <c r="D8693" t="str">
        <f t="shared" si="3229"/>
        <v>FPO</v>
      </c>
      <c r="E8693" t="str">
        <f t="shared" si="3230"/>
        <v>AE</v>
      </c>
      <c r="F8693" t="str">
        <f>T("095830000")</f>
        <v>095830000</v>
      </c>
      <c r="G8693" t="str">
        <f>T("USNS TRENTON JHSV 5")</f>
        <v>USNS TRENTON JHSV 5</v>
      </c>
      <c r="H8693" t="str">
        <f>T("471 EAST C STREET BLDG SP-64 2ND F")</f>
        <v>471 EAST C STREET BLDG SP-64 2ND F</v>
      </c>
      <c r="I8693" t="str">
        <f>T("NORFOLK")</f>
        <v>NORFOLK</v>
      </c>
      <c r="J8693" t="str">
        <f>T("VA")</f>
        <v>VA</v>
      </c>
      <c r="K8693" t="str">
        <f t="shared" si="3236"/>
        <v>000000000000000000</v>
      </c>
      <c r="L8693" t="str">
        <f>T("7573382452")</f>
        <v>7573382452</v>
      </c>
    </row>
    <row r="8694" spans="1:12" x14ac:dyDescent="0.35">
      <c r="A8694" t="str">
        <f t="shared" si="3228"/>
        <v>MSC NORFOLK</v>
      </c>
      <c r="B8694" t="str">
        <f>T("USNS TRENTON T-EPF 5")</f>
        <v>USNS TRENTON T-EPF 5</v>
      </c>
      <c r="C8694" t="str">
        <f>T("UNIT 100358 BOX 802-1")</f>
        <v>UNIT 100358 BOX 802-1</v>
      </c>
      <c r="D8694" t="str">
        <f t="shared" si="3229"/>
        <v>FPO</v>
      </c>
      <c r="E8694" t="str">
        <f t="shared" si="3230"/>
        <v>AE</v>
      </c>
      <c r="F8694" t="str">
        <f>T("095830000")</f>
        <v>095830000</v>
      </c>
      <c r="G8694" t="str">
        <f>T("USNS TRENTON T-EPF 5")</f>
        <v>USNS TRENTON T-EPF 5</v>
      </c>
      <c r="H8694" t="str">
        <f>T("UNIT 100358 BOX 802-1")</f>
        <v>UNIT 100358 BOX 802-1</v>
      </c>
      <c r="I8694" t="str">
        <f>T("FPO")</f>
        <v>FPO</v>
      </c>
      <c r="J8694" t="str">
        <f>T("AE")</f>
        <v>AE</v>
      </c>
      <c r="K8694" t="str">
        <f t="shared" si="3236"/>
        <v>000000000000000000</v>
      </c>
      <c r="L8694" t="str">
        <f>T("7574435903")</f>
        <v>7574435903</v>
      </c>
    </row>
    <row r="8695" spans="1:12" x14ac:dyDescent="0.35">
      <c r="A8695" t="str">
        <f t="shared" si="3228"/>
        <v>MSC NORFOLK</v>
      </c>
      <c r="B8695" t="str">
        <f>T("USNS WILLIAM MCLEAN T-AKE 12")</f>
        <v>USNS WILLIAM MCLEAN T-AKE 12</v>
      </c>
      <c r="C8695" t="str">
        <f>T("UNIT 100387 BOX 1")</f>
        <v>UNIT 100387 BOX 1</v>
      </c>
      <c r="D8695" t="str">
        <f t="shared" si="3229"/>
        <v>FPO</v>
      </c>
      <c r="E8695" t="str">
        <f t="shared" si="3230"/>
        <v>AE</v>
      </c>
      <c r="F8695" t="str">
        <f>T("095788700")</f>
        <v>095788700</v>
      </c>
      <c r="G8695" t="str">
        <f>T("471 C ST")</f>
        <v>471 C ST</v>
      </c>
      <c r="H8695" t="str">
        <f>T("BLDG SP-64 2D FL")</f>
        <v>BLDG SP-64 2D FL</v>
      </c>
      <c r="I8695" t="str">
        <f>T("NORFOLK")</f>
        <v>NORFOLK</v>
      </c>
      <c r="J8695" t="str">
        <f>T("VA")</f>
        <v>VA</v>
      </c>
      <c r="K8695" t="str">
        <f t="shared" si="3236"/>
        <v>000000000000000000</v>
      </c>
      <c r="L8695" t="str">
        <f>T("7574435910")</f>
        <v>7574435910</v>
      </c>
    </row>
    <row r="8696" spans="1:12" x14ac:dyDescent="0.35">
      <c r="A8696" t="str">
        <f t="shared" si="3228"/>
        <v>MSC NORFOLK</v>
      </c>
      <c r="B8696" t="str">
        <f>T("USNS WILLIAM MCLEAN T-AKE 12")</f>
        <v>USNS WILLIAM MCLEAN T-AKE 12</v>
      </c>
      <c r="C8696" t="str">
        <f>T("UNIT 100387 BOX 1")</f>
        <v>UNIT 100387 BOX 1</v>
      </c>
      <c r="D8696" t="str">
        <f t="shared" si="3229"/>
        <v>FPO</v>
      </c>
      <c r="E8696" t="str">
        <f t="shared" si="3230"/>
        <v>AE</v>
      </c>
      <c r="F8696" t="str">
        <f>T("095788700")</f>
        <v>095788700</v>
      </c>
      <c r="G8696" t="str">
        <f>T("USNS WILLIAM MCLEAN T-AKE 12")</f>
        <v>USNS WILLIAM MCLEAN T-AKE 12</v>
      </c>
      <c r="H8696" t="str">
        <f>T("")</f>
        <v/>
      </c>
      <c r="I8696" t="str">
        <f t="shared" ref="I8696:I8702" si="3237">T("FPO")</f>
        <v>FPO</v>
      </c>
      <c r="J8696" t="str">
        <f t="shared" ref="J8696:J8702" si="3238">T("AE")</f>
        <v>AE</v>
      </c>
      <c r="K8696" t="str">
        <f t="shared" si="3236"/>
        <v>000000000000000000</v>
      </c>
      <c r="L8696" t="str">
        <f>T("6195337259")</f>
        <v>6195337259</v>
      </c>
    </row>
    <row r="8697" spans="1:12" x14ac:dyDescent="0.35">
      <c r="A8697" t="str">
        <f t="shared" si="3228"/>
        <v>MSC NORFOLK</v>
      </c>
      <c r="B8697" t="str">
        <f>T("USNS WILLIAM MCLEAN T-AKE 12")</f>
        <v>USNS WILLIAM MCLEAN T-AKE 12</v>
      </c>
      <c r="C8697" t="str">
        <f>T("UNIT 100387 BOX 1")</f>
        <v>UNIT 100387 BOX 1</v>
      </c>
      <c r="D8697" t="str">
        <f t="shared" si="3229"/>
        <v>FPO</v>
      </c>
      <c r="E8697" t="str">
        <f t="shared" si="3230"/>
        <v>AE</v>
      </c>
      <c r="F8697" t="str">
        <f>T("095788700")</f>
        <v>095788700</v>
      </c>
      <c r="G8697" t="str">
        <f>T("USNS WILLIAM MCLEAN T-AKE 12")</f>
        <v>USNS WILLIAM MCLEAN T-AKE 12</v>
      </c>
      <c r="H8697" t="str">
        <f>T("UNIT 100387 BOX 1")</f>
        <v>UNIT 100387 BOX 1</v>
      </c>
      <c r="I8697" t="str">
        <f t="shared" si="3237"/>
        <v>FPO</v>
      </c>
      <c r="J8697" t="str">
        <f t="shared" si="3238"/>
        <v>AE</v>
      </c>
      <c r="K8697" t="str">
        <f>T("")</f>
        <v/>
      </c>
      <c r="L8697" t="str">
        <f>T("6195337259")</f>
        <v>6195337259</v>
      </c>
    </row>
    <row r="8698" spans="1:12" x14ac:dyDescent="0.35">
      <c r="A8698" t="str">
        <f t="shared" si="3228"/>
        <v>MSC NORFOLK</v>
      </c>
      <c r="B8698" t="str">
        <f>T("USNS WILLIAM MCLEAN T-AKE 12")</f>
        <v>USNS WILLIAM MCLEAN T-AKE 12</v>
      </c>
      <c r="C8698" t="str">
        <f>T("UNIT 100387 BOX 1")</f>
        <v>UNIT 100387 BOX 1</v>
      </c>
      <c r="D8698" t="str">
        <f t="shared" si="3229"/>
        <v>FPO</v>
      </c>
      <c r="E8698" t="str">
        <f t="shared" si="3230"/>
        <v>AE</v>
      </c>
      <c r="F8698" t="str">
        <f>T("095788700")</f>
        <v>095788700</v>
      </c>
      <c r="G8698" t="str">
        <f>T("USNS WILLIAMS MCLEAN T-AKE 12")</f>
        <v>USNS WILLIAMS MCLEAN T-AKE 12</v>
      </c>
      <c r="H8698" t="str">
        <f>T("UNIT 100387 BOX 1")</f>
        <v>UNIT 100387 BOX 1</v>
      </c>
      <c r="I8698" t="str">
        <f t="shared" si="3237"/>
        <v>FPO</v>
      </c>
      <c r="J8698" t="str">
        <f t="shared" si="3238"/>
        <v>AE</v>
      </c>
      <c r="K8698" t="str">
        <f>T("000000000000000000")</f>
        <v>000000000000000000</v>
      </c>
      <c r="L8698" t="str">
        <f>T("7574438900")</f>
        <v>7574438900</v>
      </c>
    </row>
    <row r="8699" spans="1:12" x14ac:dyDescent="0.35">
      <c r="A8699" t="str">
        <f t="shared" si="3228"/>
        <v>MSC NORFOLK</v>
      </c>
      <c r="B8699" t="str">
        <f>T("USS PONCE AFSB 15")</f>
        <v>USS PONCE AFSB 15</v>
      </c>
      <c r="C8699" t="str">
        <f>T("UNIT 100235 BOX 1")</f>
        <v>UNIT 100235 BOX 1</v>
      </c>
      <c r="D8699" t="str">
        <f t="shared" si="3229"/>
        <v>FPO</v>
      </c>
      <c r="E8699" t="str">
        <f t="shared" si="3230"/>
        <v>AE</v>
      </c>
      <c r="F8699" t="str">
        <f>T("095823500")</f>
        <v>095823500</v>
      </c>
      <c r="G8699" t="str">
        <f>T("USS PONCE AFSB 15")</f>
        <v>USS PONCE AFSB 15</v>
      </c>
      <c r="H8699" t="str">
        <f>T("UNIT 100235 BOX 1")</f>
        <v>UNIT 100235 BOX 1</v>
      </c>
      <c r="I8699" t="str">
        <f t="shared" si="3237"/>
        <v>FPO</v>
      </c>
      <c r="J8699" t="str">
        <f t="shared" si="3238"/>
        <v>AE</v>
      </c>
      <c r="K8699" t="str">
        <f>T("")</f>
        <v/>
      </c>
      <c r="L8699" t="str">
        <f>T("7574438142")</f>
        <v>7574438142</v>
      </c>
    </row>
    <row r="8700" spans="1:12" x14ac:dyDescent="0.35">
      <c r="A8700" t="str">
        <f t="shared" si="3228"/>
        <v>MSC NORFOLK</v>
      </c>
      <c r="B8700" t="str">
        <f>T("USS PONCE AFSB 15")</f>
        <v>USS PONCE AFSB 15</v>
      </c>
      <c r="C8700" t="str">
        <f>T("UNIT 100235 BOX 1")</f>
        <v>UNIT 100235 BOX 1</v>
      </c>
      <c r="D8700" t="str">
        <f t="shared" si="3229"/>
        <v>FPO</v>
      </c>
      <c r="E8700" t="str">
        <f t="shared" si="3230"/>
        <v>AE</v>
      </c>
      <c r="F8700" t="str">
        <f>T("095823500")</f>
        <v>095823500</v>
      </c>
      <c r="G8700" t="str">
        <f>T("USS PONCE AFSB 15")</f>
        <v>USS PONCE AFSB 15</v>
      </c>
      <c r="H8700" t="str">
        <f>T("UNIT 100235 BOX 1")</f>
        <v>UNIT 100235 BOX 1</v>
      </c>
      <c r="I8700" t="str">
        <f t="shared" si="3237"/>
        <v>FPO</v>
      </c>
      <c r="J8700" t="str">
        <f t="shared" si="3238"/>
        <v>AE</v>
      </c>
      <c r="K8700" t="str">
        <f>T("000000000000000000")</f>
        <v>000000000000000000</v>
      </c>
      <c r="L8700" t="str">
        <f>T("7574438141")</f>
        <v>7574438141</v>
      </c>
    </row>
    <row r="8701" spans="1:12" x14ac:dyDescent="0.35">
      <c r="A8701" t="str">
        <f t="shared" si="3228"/>
        <v>MSC NORFOLK</v>
      </c>
      <c r="B8701" t="str">
        <f>T("USS PONCE AFSB 15")</f>
        <v>USS PONCE AFSB 15</v>
      </c>
      <c r="C8701" t="str">
        <f>T("UNIT 100235 BOX 1")</f>
        <v>UNIT 100235 BOX 1</v>
      </c>
      <c r="D8701" t="str">
        <f t="shared" si="3229"/>
        <v>FPO</v>
      </c>
      <c r="E8701" t="str">
        <f t="shared" si="3230"/>
        <v>AE</v>
      </c>
      <c r="F8701" t="str">
        <f>T("095823500")</f>
        <v>095823500</v>
      </c>
      <c r="G8701" t="str">
        <f>T("USS PONCE AFSBI 15")</f>
        <v>USS PONCE AFSBI 15</v>
      </c>
      <c r="H8701" t="str">
        <f>T("UNIT 100235 BOX 1")</f>
        <v>UNIT 100235 BOX 1</v>
      </c>
      <c r="I8701" t="str">
        <f t="shared" si="3237"/>
        <v>FPO</v>
      </c>
      <c r="J8701" t="str">
        <f t="shared" si="3238"/>
        <v>AE</v>
      </c>
      <c r="K8701" t="str">
        <f>T("000000000000000000")</f>
        <v>000000000000000000</v>
      </c>
      <c r="L8701" t="str">
        <f>T("7574438146")</f>
        <v>7574438146</v>
      </c>
    </row>
    <row r="8702" spans="1:12" x14ac:dyDescent="0.35">
      <c r="A8702" t="str">
        <f t="shared" si="3228"/>
        <v>MSC NORFOLK</v>
      </c>
      <c r="B8702" t="str">
        <f>T("USS PONCE AFSB 15")</f>
        <v>USS PONCE AFSB 15</v>
      </c>
      <c r="C8702" t="str">
        <f>T("UNIT 100235 BOX 1")</f>
        <v>UNIT 100235 BOX 1</v>
      </c>
      <c r="D8702" t="str">
        <f t="shared" si="3229"/>
        <v>FPO</v>
      </c>
      <c r="E8702" t="str">
        <f t="shared" si="3230"/>
        <v>AE</v>
      </c>
      <c r="F8702" t="str">
        <f>T("095823500")</f>
        <v>095823500</v>
      </c>
      <c r="G8702" t="str">
        <f>T("USS PONCE AFSBI-15")</f>
        <v>USS PONCE AFSBI-15</v>
      </c>
      <c r="H8702" t="str">
        <f>T("UNIT 100235 BOX 1")</f>
        <v>UNIT 100235 BOX 1</v>
      </c>
      <c r="I8702" t="str">
        <f t="shared" si="3237"/>
        <v>FPO</v>
      </c>
      <c r="J8702" t="str">
        <f t="shared" si="3238"/>
        <v>AE</v>
      </c>
      <c r="K8702" t="str">
        <f>T("000000000000000000")</f>
        <v>000000000000000000</v>
      </c>
      <c r="L8702" t="str">
        <f>T("7574438141")</f>
        <v>7574438141</v>
      </c>
    </row>
    <row r="8703" spans="1:12" x14ac:dyDescent="0.35">
      <c r="A8703" t="str">
        <f t="shared" ref="A8703:A8734" si="3239">T("MSC SAN DIEGO")</f>
        <v>MSC SAN DIEGO</v>
      </c>
      <c r="B8703" t="str">
        <f>T("140 SYLVESTER RD")</f>
        <v>140 SYLVESTER RD</v>
      </c>
      <c r="C8703" t="str">
        <f>T("BLDG 570")</f>
        <v>BLDG 570</v>
      </c>
      <c r="D8703" t="str">
        <f>T("SAN DIEGO")</f>
        <v>SAN DIEGO</v>
      </c>
      <c r="E8703" t="str">
        <f>T("CA")</f>
        <v>CA</v>
      </c>
      <c r="F8703" t="str">
        <f>T("921063521")</f>
        <v>921063521</v>
      </c>
      <c r="G8703" t="str">
        <f>T("140 SYLVESTER RD")</f>
        <v>140 SYLVESTER RD</v>
      </c>
      <c r="H8703" t="str">
        <f>T("BLDG 570")</f>
        <v>BLDG 570</v>
      </c>
      <c r="I8703" t="str">
        <f>T("SAN DIEGO")</f>
        <v>SAN DIEGO</v>
      </c>
      <c r="J8703" t="str">
        <f>T("CA")</f>
        <v>CA</v>
      </c>
      <c r="K8703" t="str">
        <f>T("")</f>
        <v/>
      </c>
      <c r="L8703" t="str">
        <f>T("6195249732")</f>
        <v>6195249732</v>
      </c>
    </row>
    <row r="8704" spans="1:12" x14ac:dyDescent="0.35">
      <c r="A8704" t="str">
        <f t="shared" si="3239"/>
        <v>MSC SAN DIEGO</v>
      </c>
      <c r="B8704" t="str">
        <f>T("140 SYLVESTER RD")</f>
        <v>140 SYLVESTER RD</v>
      </c>
      <c r="C8704" t="str">
        <f>T("BLDG 570")</f>
        <v>BLDG 570</v>
      </c>
      <c r="D8704" t="str">
        <f>T("SAN DIEGO")</f>
        <v>SAN DIEGO</v>
      </c>
      <c r="E8704" t="str">
        <f>T("CA")</f>
        <v>CA</v>
      </c>
      <c r="F8704" t="str">
        <f>T("921063521")</f>
        <v>921063521</v>
      </c>
      <c r="G8704" t="str">
        <f>T("140 SYLVESTOR ROAD")</f>
        <v>140 SYLVESTOR ROAD</v>
      </c>
      <c r="H8704" t="str">
        <f>T("BLDG3 570")</f>
        <v>BLDG3 570</v>
      </c>
      <c r="I8704" t="str">
        <f>T("SAN DIEGO")</f>
        <v>SAN DIEGO</v>
      </c>
      <c r="J8704" t="str">
        <f>T("CA")</f>
        <v>CA</v>
      </c>
      <c r="K8704" t="str">
        <f>T("000000000000000000")</f>
        <v>000000000000000000</v>
      </c>
      <c r="L8704" t="str">
        <f>T("6195249657")</f>
        <v>6195249657</v>
      </c>
    </row>
    <row r="8705" spans="1:12" x14ac:dyDescent="0.35">
      <c r="A8705" t="str">
        <f t="shared" si="3239"/>
        <v>MSC SAN DIEGO</v>
      </c>
      <c r="B8705" t="str">
        <f>T("471 EAST C STREET")</f>
        <v>471 EAST C STREET</v>
      </c>
      <c r="C8705" t="str">
        <f>T("BLDG SP-64 2ND STREET")</f>
        <v>BLDG SP-64 2ND STREET</v>
      </c>
      <c r="D8705" t="str">
        <f>T("NORFOLK")</f>
        <v>NORFOLK</v>
      </c>
      <c r="E8705" t="str">
        <f>T("VA")</f>
        <v>VA</v>
      </c>
      <c r="F8705" t="str">
        <f>T("235113905")</f>
        <v>235113905</v>
      </c>
      <c r="G8705" t="str">
        <f>T("471 EAST C STREET")</f>
        <v>471 EAST C STREET</v>
      </c>
      <c r="H8705" t="str">
        <f>T("BLDG SP-64 2ND STREET")</f>
        <v>BLDG SP-64 2ND STREET</v>
      </c>
      <c r="I8705" t="str">
        <f>T("NORFOLK")</f>
        <v>NORFOLK</v>
      </c>
      <c r="J8705" t="str">
        <f>T("VA")</f>
        <v>VA</v>
      </c>
      <c r="K8705" t="str">
        <f>T("000000000000000000")</f>
        <v>000000000000000000</v>
      </c>
      <c r="L8705" t="str">
        <f>T("7574726979")</f>
        <v>7574726979</v>
      </c>
    </row>
    <row r="8706" spans="1:12" x14ac:dyDescent="0.35">
      <c r="A8706" t="str">
        <f t="shared" si="3239"/>
        <v>MSC SAN DIEGO</v>
      </c>
      <c r="B8706" t="str">
        <f>T("471 EAST C STREET")</f>
        <v>471 EAST C STREET</v>
      </c>
      <c r="C8706" t="str">
        <f>T("BLDG SP-64 2ND STREET")</f>
        <v>BLDG SP-64 2ND STREET</v>
      </c>
      <c r="D8706" t="str">
        <f>T("NORFOLK")</f>
        <v>NORFOLK</v>
      </c>
      <c r="E8706" t="str">
        <f>T("VA")</f>
        <v>VA</v>
      </c>
      <c r="F8706" t="str">
        <f>T("235113905")</f>
        <v>235113905</v>
      </c>
      <c r="G8706" t="str">
        <f>T("USNS BRUNSWICK T-EPF6")</f>
        <v>USNS BRUNSWICK T-EPF6</v>
      </c>
      <c r="H8706" t="str">
        <f>T("471 EAST C STREET BLDG SP-64 2ND ST")</f>
        <v>471 EAST C STREET BLDG SP-64 2ND ST</v>
      </c>
      <c r="I8706" t="str">
        <f>T("NORFOLK")</f>
        <v>NORFOLK</v>
      </c>
      <c r="J8706" t="str">
        <f>T("VA")</f>
        <v>VA</v>
      </c>
      <c r="K8706" t="str">
        <f>T("000000000000000000")</f>
        <v>000000000000000000</v>
      </c>
      <c r="L8706" t="str">
        <f>T("7574726979")</f>
        <v>7574726979</v>
      </c>
    </row>
    <row r="8707" spans="1:12" x14ac:dyDescent="0.35">
      <c r="A8707" t="str">
        <f t="shared" si="3239"/>
        <v>MSC SAN DIEGO</v>
      </c>
      <c r="B8707" t="str">
        <f>T("471 EAST C STREET")</f>
        <v>471 EAST C STREET</v>
      </c>
      <c r="C8707" t="str">
        <f>T("BLDG SP-64 2ND STREET")</f>
        <v>BLDG SP-64 2ND STREET</v>
      </c>
      <c r="D8707" t="str">
        <f>T("NORFOLK")</f>
        <v>NORFOLK</v>
      </c>
      <c r="E8707" t="str">
        <f>T("VA")</f>
        <v>VA</v>
      </c>
      <c r="F8707" t="str">
        <f>T("235113905")</f>
        <v>235113905</v>
      </c>
      <c r="G8707" t="str">
        <f>T("USNS BRUNSWICK T-EPF6")</f>
        <v>USNS BRUNSWICK T-EPF6</v>
      </c>
      <c r="H8707" t="str">
        <f>T("UNIT 100106")</f>
        <v>UNIT 100106</v>
      </c>
      <c r="I8707" t="str">
        <f>T("FPO")</f>
        <v>FPO</v>
      </c>
      <c r="J8707" t="str">
        <f>T("AE")</f>
        <v>AE</v>
      </c>
      <c r="K8707" t="str">
        <f>T("000000000000000000")</f>
        <v>000000000000000000</v>
      </c>
      <c r="L8707" t="str">
        <f>T("7574437480")</f>
        <v>7574437480</v>
      </c>
    </row>
    <row r="8708" spans="1:12" x14ac:dyDescent="0.35">
      <c r="A8708" t="str">
        <f t="shared" si="3239"/>
        <v>MSC SAN DIEGO</v>
      </c>
      <c r="B8708" t="str">
        <f>T("MASTER AMELIA EARHART")</f>
        <v>MASTER AMELIA EARHART</v>
      </c>
      <c r="C8708" t="str">
        <f>T("")</f>
        <v/>
      </c>
      <c r="D8708" t="str">
        <f>T("FPO")</f>
        <v>FPO</v>
      </c>
      <c r="E8708" t="str">
        <f>T("AP")</f>
        <v>AP</v>
      </c>
      <c r="F8708" t="str">
        <f>T("966644114")</f>
        <v>966644114</v>
      </c>
      <c r="G8708" t="str">
        <f>T("MASTER AMELIA EARHART")</f>
        <v>MASTER AMELIA EARHART</v>
      </c>
      <c r="H8708" t="str">
        <f>T("")</f>
        <v/>
      </c>
      <c r="I8708" t="str">
        <f>T("FPO")</f>
        <v>FPO</v>
      </c>
      <c r="J8708" t="str">
        <f>T("AP")</f>
        <v>AP</v>
      </c>
      <c r="K8708" t="str">
        <f>T("6195447189")</f>
        <v>6195447189</v>
      </c>
      <c r="L8708" t="str">
        <f>T("6195447189")</f>
        <v>6195447189</v>
      </c>
    </row>
    <row r="8709" spans="1:12" x14ac:dyDescent="0.35">
      <c r="A8709" t="str">
        <f t="shared" si="3239"/>
        <v>MSC SAN DIEGO</v>
      </c>
      <c r="B8709" t="str">
        <f>T("MASTER AMELIA EARHART")</f>
        <v>MASTER AMELIA EARHART</v>
      </c>
      <c r="C8709" t="str">
        <f>T("")</f>
        <v/>
      </c>
      <c r="D8709" t="str">
        <f>T("FPO")</f>
        <v>FPO</v>
      </c>
      <c r="E8709" t="str">
        <f>T("AP")</f>
        <v>AP</v>
      </c>
      <c r="F8709" t="str">
        <f>T("966644114")</f>
        <v>966644114</v>
      </c>
      <c r="G8709" t="str">
        <f>T("USNS AMELIA EARHART T-AKE 6")</f>
        <v>USNS AMELIA EARHART T-AKE 6</v>
      </c>
      <c r="H8709" t="str">
        <f>T("")</f>
        <v/>
      </c>
      <c r="I8709" t="str">
        <f>T("FPO")</f>
        <v>FPO</v>
      </c>
      <c r="J8709" t="str">
        <f>T("AP")</f>
        <v>AP</v>
      </c>
      <c r="K8709" t="str">
        <f>T("000000000000000000")</f>
        <v>000000000000000000</v>
      </c>
      <c r="L8709" t="str">
        <f>T("6195447189")</f>
        <v>6195447189</v>
      </c>
    </row>
    <row r="8710" spans="1:12" x14ac:dyDescent="0.35">
      <c r="A8710" t="str">
        <f t="shared" si="3239"/>
        <v>MSC SAN DIEGO</v>
      </c>
      <c r="B8710" t="str">
        <f>T("MASTER AMELIA EARHART")</f>
        <v>MASTER AMELIA EARHART</v>
      </c>
      <c r="C8710" t="str">
        <f>T("")</f>
        <v/>
      </c>
      <c r="D8710" t="str">
        <f>T("FPO")</f>
        <v>FPO</v>
      </c>
      <c r="E8710" t="str">
        <f>T("AP")</f>
        <v>AP</v>
      </c>
      <c r="F8710" t="str">
        <f>T("966644114")</f>
        <v>966644114</v>
      </c>
      <c r="G8710" t="str">
        <f>T("USNS AMELIA EARHART T-AKE 6")</f>
        <v>USNS AMELIA EARHART T-AKE 6</v>
      </c>
      <c r="H8710" t="str">
        <f>T("UNIT 100453 BOX 1")</f>
        <v>UNIT 100453 BOX 1</v>
      </c>
      <c r="I8710" t="str">
        <f>T("FPO")</f>
        <v>FPO</v>
      </c>
      <c r="J8710" t="str">
        <f>T("AP")</f>
        <v>AP</v>
      </c>
      <c r="K8710" t="str">
        <f>T("000000000000000000")</f>
        <v>000000000000000000</v>
      </c>
      <c r="L8710" t="str">
        <f>T("6195447187")</f>
        <v>6195447187</v>
      </c>
    </row>
    <row r="8711" spans="1:12" x14ac:dyDescent="0.35">
      <c r="A8711" t="str">
        <f t="shared" si="3239"/>
        <v>MSC SAN DIEGO</v>
      </c>
      <c r="B8711" t="str">
        <f>T("MASTER AMELIA EARHART")</f>
        <v>MASTER AMELIA EARHART</v>
      </c>
      <c r="C8711" t="str">
        <f>T("")</f>
        <v/>
      </c>
      <c r="D8711" t="str">
        <f>T("FPO")</f>
        <v>FPO</v>
      </c>
      <c r="E8711" t="str">
        <f>T("AP")</f>
        <v>AP</v>
      </c>
      <c r="F8711" t="str">
        <f>T("966644114")</f>
        <v>966644114</v>
      </c>
      <c r="G8711" t="str">
        <f>T("USNS AMELIA EARHART T-AKE 6")</f>
        <v>USNS AMELIA EARHART T-AKE 6</v>
      </c>
      <c r="H8711" t="str">
        <f>T("UNIT 100453 BOX 1")</f>
        <v>UNIT 100453 BOX 1</v>
      </c>
      <c r="I8711" t="str">
        <f>T("FPO")</f>
        <v>FPO</v>
      </c>
      <c r="J8711" t="str">
        <f>T("AP")</f>
        <v>AP</v>
      </c>
      <c r="K8711" t="str">
        <f>T("6195447187509")</f>
        <v>6195447187509</v>
      </c>
      <c r="L8711" t="str">
        <f>T("1111111111")</f>
        <v>1111111111</v>
      </c>
    </row>
    <row r="8712" spans="1:12" x14ac:dyDescent="0.35">
      <c r="A8712" t="str">
        <f t="shared" si="3239"/>
        <v>MSC SAN DIEGO</v>
      </c>
      <c r="B8712" t="str">
        <f>T("MILITARY SEALIFT CMD N-753")</f>
        <v>MILITARY SEALIFT CMD N-753</v>
      </c>
      <c r="C8712" t="str">
        <f>T("3975 NORMAN SCOTT RD STE 1")</f>
        <v>3975 NORMAN SCOTT RD STE 1</v>
      </c>
      <c r="D8712" t="str">
        <f>T("SAN DIEGO")</f>
        <v>SAN DIEGO</v>
      </c>
      <c r="E8712" t="str">
        <f>T("CA")</f>
        <v>CA</v>
      </c>
      <c r="F8712" t="str">
        <f>T("921365588")</f>
        <v>921365588</v>
      </c>
      <c r="G8712" t="str">
        <f>T("MILITARY SEALIFT CMD N-753")</f>
        <v>MILITARY SEALIFT CMD N-753</v>
      </c>
      <c r="H8712" t="str">
        <f>T("3975 NORMAN SCOTT RD STE 1")</f>
        <v>3975 NORMAN SCOTT RD STE 1</v>
      </c>
      <c r="I8712" t="str">
        <f>T("SAN DIEGO")</f>
        <v>SAN DIEGO</v>
      </c>
      <c r="J8712" t="str">
        <f>T("CA")</f>
        <v>CA</v>
      </c>
      <c r="K8712" t="str">
        <f>T("")</f>
        <v/>
      </c>
      <c r="L8712" t="str">
        <f>T("6195569465")</f>
        <v>6195569465</v>
      </c>
    </row>
    <row r="8713" spans="1:12" x14ac:dyDescent="0.35">
      <c r="A8713" t="str">
        <f t="shared" si="3239"/>
        <v>MSC SAN DIEGO</v>
      </c>
      <c r="B8713" t="str">
        <f>T("MILITARY SEALIFT CMD N-753")</f>
        <v>MILITARY SEALIFT CMD N-753</v>
      </c>
      <c r="C8713" t="str">
        <f>T("3975 NORMAN SCOTT RD STE 1")</f>
        <v>3975 NORMAN SCOTT RD STE 1</v>
      </c>
      <c r="D8713" t="str">
        <f>T("SAN DIEGO")</f>
        <v>SAN DIEGO</v>
      </c>
      <c r="E8713" t="str">
        <f>T("CA")</f>
        <v>CA</v>
      </c>
      <c r="F8713" t="str">
        <f>T("921365588")</f>
        <v>921365588</v>
      </c>
      <c r="G8713" t="str">
        <f>T("MSC TC WEST")</f>
        <v>MSC TC WEST</v>
      </c>
      <c r="H8713" t="str">
        <f>T("3975 NORMAN SCOTT RD SUITE 205")</f>
        <v>3975 NORMAN SCOTT RD SUITE 205</v>
      </c>
      <c r="I8713" t="str">
        <f>T("SAN DIEGO")</f>
        <v>SAN DIEGO</v>
      </c>
      <c r="J8713" t="str">
        <f>T("CA")</f>
        <v>CA</v>
      </c>
      <c r="K8713" t="str">
        <f>T("000000000000000000")</f>
        <v>000000000000000000</v>
      </c>
      <c r="L8713" t="str">
        <f>T("6195569909")</f>
        <v>6195569909</v>
      </c>
    </row>
    <row r="8714" spans="1:12" x14ac:dyDescent="0.35">
      <c r="A8714" t="str">
        <f t="shared" si="3239"/>
        <v>MSC SAN DIEGO</v>
      </c>
      <c r="B8714" t="str">
        <f>T("MILITARY SEALIFT CMD N-753")</f>
        <v>MILITARY SEALIFT CMD N-753</v>
      </c>
      <c r="C8714" t="str">
        <f>T("3975 NORMAN SCOTT RD STE 1")</f>
        <v>3975 NORMAN SCOTT RD STE 1</v>
      </c>
      <c r="D8714" t="str">
        <f>T("SAN DIEGO")</f>
        <v>SAN DIEGO</v>
      </c>
      <c r="E8714" t="str">
        <f>T("CA")</f>
        <v>CA</v>
      </c>
      <c r="F8714" t="str">
        <f>T("921365588")</f>
        <v>921365588</v>
      </c>
      <c r="G8714" t="str">
        <f>T("MSC TC WEST")</f>
        <v>MSC TC WEST</v>
      </c>
      <c r="H8714" t="str">
        <f>T("3975 NORMAN SCOTT ROAD")</f>
        <v>3975 NORMAN SCOTT ROAD</v>
      </c>
      <c r="I8714" t="str">
        <f>T("SAN DIEGO")</f>
        <v>SAN DIEGO</v>
      </c>
      <c r="J8714" t="str">
        <f>T("CA")</f>
        <v>CA</v>
      </c>
      <c r="K8714" t="str">
        <f>T("6195536879")</f>
        <v>6195536879</v>
      </c>
      <c r="L8714" t="str">
        <f>T("6195569470")</f>
        <v>6195569470</v>
      </c>
    </row>
    <row r="8715" spans="1:12" x14ac:dyDescent="0.35">
      <c r="A8715" t="str">
        <f t="shared" si="3239"/>
        <v>MSC SAN DIEGO</v>
      </c>
      <c r="B8715" t="str">
        <f>T("MSC PACIFIC")</f>
        <v>MSC PACIFIC</v>
      </c>
      <c r="C8715" t="str">
        <f>T("140 SYLVESTER ROAD BLDG 570")</f>
        <v>140 SYLVESTER ROAD BLDG 570</v>
      </c>
      <c r="D8715" t="str">
        <f>T("SAN DIEGO")</f>
        <v>SAN DIEGO</v>
      </c>
      <c r="E8715" t="str">
        <f>T("CA")</f>
        <v>CA</v>
      </c>
      <c r="F8715" t="str">
        <f>T("921063521")</f>
        <v>921063521</v>
      </c>
      <c r="G8715" t="str">
        <f>T("MSC PACIFIC")</f>
        <v>MSC PACIFIC</v>
      </c>
      <c r="H8715" t="str">
        <f>T("140 SYLVESTER ROAD BLDG 570")</f>
        <v>140 SYLVESTER ROAD BLDG 570</v>
      </c>
      <c r="I8715" t="str">
        <f>T("SAN DIEGO")</f>
        <v>SAN DIEGO</v>
      </c>
      <c r="J8715" t="str">
        <f>T("CA")</f>
        <v>CA</v>
      </c>
      <c r="K8715" t="str">
        <f>T("")</f>
        <v/>
      </c>
      <c r="L8715" t="str">
        <f>T("6195538253")</f>
        <v>6195538253</v>
      </c>
    </row>
    <row r="8716" spans="1:12" x14ac:dyDescent="0.35">
      <c r="A8716" t="str">
        <f t="shared" si="3239"/>
        <v>MSC SAN DIEGO</v>
      </c>
      <c r="B8716" t="str">
        <f>T("MSC PACIFIC")</f>
        <v>MSC PACIFIC</v>
      </c>
      <c r="C8716" t="str">
        <f>T("140 SYLVESTER ROAD BLDG 570")</f>
        <v>140 SYLVESTER ROAD BLDG 570</v>
      </c>
      <c r="D8716" t="str">
        <f>T("SAN DIEGO")</f>
        <v>SAN DIEGO</v>
      </c>
      <c r="E8716" t="str">
        <f>T("CA")</f>
        <v>CA</v>
      </c>
      <c r="F8716" t="str">
        <f>T("921063521")</f>
        <v>921063521</v>
      </c>
      <c r="G8716" t="str">
        <f>T("MSC PACIFIC N4")</f>
        <v>MSC PACIFIC N4</v>
      </c>
      <c r="H8716" t="str">
        <f>T("140 SYLVESTER ROAD BLDG 570")</f>
        <v>140 SYLVESTER ROAD BLDG 570</v>
      </c>
      <c r="I8716" t="str">
        <f>T("SAN DIEGO")</f>
        <v>SAN DIEGO</v>
      </c>
      <c r="J8716" t="str">
        <f>T("CA")</f>
        <v>CA</v>
      </c>
      <c r="K8716" t="str">
        <f>T("000000000000000000")</f>
        <v>000000000000000000</v>
      </c>
      <c r="L8716" t="str">
        <f>T("6195249696")</f>
        <v>6195249696</v>
      </c>
    </row>
    <row r="8717" spans="1:12" x14ac:dyDescent="0.35">
      <c r="A8717" t="str">
        <f t="shared" si="3239"/>
        <v>MSC SAN DIEGO</v>
      </c>
      <c r="B8717" t="str">
        <f>T("MSCO PEARL")</f>
        <v>MSCO PEARL</v>
      </c>
      <c r="C8717" t="str">
        <f>T("2293 VICTOR WHARF ACCESS RD")</f>
        <v>2293 VICTOR WHARF ACCESS RD</v>
      </c>
      <c r="D8717" t="str">
        <f>T("PEARL CITY")</f>
        <v>PEARL CITY</v>
      </c>
      <c r="E8717" t="str">
        <f>T("HI")</f>
        <v>HI</v>
      </c>
      <c r="F8717" t="str">
        <f>T("967823473")</f>
        <v>967823473</v>
      </c>
      <c r="G8717" t="str">
        <f>T("2293 VICTOR WHARF ACCESS RD")</f>
        <v>2293 VICTOR WHARF ACCESS RD</v>
      </c>
      <c r="H8717" t="str">
        <f>T("BLDG 992")</f>
        <v>BLDG 992</v>
      </c>
      <c r="I8717" t="str">
        <f>T("PEARL CITY")</f>
        <v>PEARL CITY</v>
      </c>
      <c r="J8717" t="str">
        <f>T("HI")</f>
        <v>HI</v>
      </c>
      <c r="K8717" t="str">
        <f>T("000000000000000000")</f>
        <v>000000000000000000</v>
      </c>
      <c r="L8717" t="str">
        <f>T("8084710001")</f>
        <v>8084710001</v>
      </c>
    </row>
    <row r="8718" spans="1:12" x14ac:dyDescent="0.35">
      <c r="A8718" t="str">
        <f t="shared" si="3239"/>
        <v>MSC SAN DIEGO</v>
      </c>
      <c r="B8718" t="str">
        <f>T("MSCO PEARL")</f>
        <v>MSCO PEARL</v>
      </c>
      <c r="C8718" t="str">
        <f>T("2293 VICTOR WHARF ACCESS RD")</f>
        <v>2293 VICTOR WHARF ACCESS RD</v>
      </c>
      <c r="D8718" t="str">
        <f>T("PEARL CITY")</f>
        <v>PEARL CITY</v>
      </c>
      <c r="E8718" t="str">
        <f>T("HI")</f>
        <v>HI</v>
      </c>
      <c r="F8718" t="str">
        <f>T("967823473")</f>
        <v>967823473</v>
      </c>
      <c r="G8718" t="str">
        <f>T("MSCO PEARL")</f>
        <v>MSCO PEARL</v>
      </c>
      <c r="H8718" t="str">
        <f>T("2293 VICTOR WHARF ACCESS RD")</f>
        <v>2293 VICTOR WHARF ACCESS RD</v>
      </c>
      <c r="I8718" t="str">
        <f>T("PEARL CITY")</f>
        <v>PEARL CITY</v>
      </c>
      <c r="J8718" t="str">
        <f>T("HI")</f>
        <v>HI</v>
      </c>
      <c r="K8718" t="str">
        <f>T("")</f>
        <v/>
      </c>
      <c r="L8718" t="str">
        <f>T("8084712113")</f>
        <v>8084712113</v>
      </c>
    </row>
    <row r="8719" spans="1:12" x14ac:dyDescent="0.35">
      <c r="A8719" t="str">
        <f t="shared" si="3239"/>
        <v>MSC SAN DIEGO</v>
      </c>
      <c r="B8719" t="str">
        <f>T("MSFSC SSU SD LOGISTICS DIR N4")</f>
        <v>MSFSC SSU SD LOGISTICS DIR N4</v>
      </c>
      <c r="C8719" t="str">
        <f>T("140 SYLVESTER RD BLDG 570")</f>
        <v>140 SYLVESTER RD BLDG 570</v>
      </c>
      <c r="D8719" t="str">
        <f>T("SAN DIEGO")</f>
        <v>SAN DIEGO</v>
      </c>
      <c r="E8719" t="str">
        <f>T("CA")</f>
        <v>CA</v>
      </c>
      <c r="F8719" t="str">
        <f>T("921063521")</f>
        <v>921063521</v>
      </c>
      <c r="G8719" t="str">
        <f>T("140 SYLVESTER ROAD")</f>
        <v>140 SYLVESTER ROAD</v>
      </c>
      <c r="H8719" t="str">
        <f>T("BLDG 570")</f>
        <v>BLDG 570</v>
      </c>
      <c r="I8719" t="str">
        <f>T("SAN DIEGO")</f>
        <v>SAN DIEGO</v>
      </c>
      <c r="J8719" t="str">
        <f>T("CA")</f>
        <v>CA</v>
      </c>
      <c r="K8719" t="str">
        <f>T("000000000000000000")</f>
        <v>000000000000000000</v>
      </c>
      <c r="L8719" t="str">
        <f>T("6195249613")</f>
        <v>6195249613</v>
      </c>
    </row>
    <row r="8720" spans="1:12" x14ac:dyDescent="0.35">
      <c r="A8720" t="str">
        <f t="shared" si="3239"/>
        <v>MSC SAN DIEGO</v>
      </c>
      <c r="B8720" t="str">
        <f>T("MSFSC SSU SD LOGISTICS DIR N4")</f>
        <v>MSFSC SSU SD LOGISTICS DIR N4</v>
      </c>
      <c r="C8720" t="str">
        <f>T("140 SYLVESTER RD BLDG 570")</f>
        <v>140 SYLVESTER RD BLDG 570</v>
      </c>
      <c r="D8720" t="str">
        <f>T("SAN DIEGO")</f>
        <v>SAN DIEGO</v>
      </c>
      <c r="E8720" t="str">
        <f>T("CA")</f>
        <v>CA</v>
      </c>
      <c r="F8720" t="str">
        <f>T("921063521")</f>
        <v>921063521</v>
      </c>
      <c r="G8720" t="str">
        <f>T("140 SYLVESTER ROAD")</f>
        <v>140 SYLVESTER ROAD</v>
      </c>
      <c r="H8720" t="str">
        <f>T("BLDG 570")</f>
        <v>BLDG 570</v>
      </c>
      <c r="I8720" t="str">
        <f>T("SAN DIEGO")</f>
        <v>SAN DIEGO</v>
      </c>
      <c r="J8720" t="str">
        <f>T("CA")</f>
        <v>CA</v>
      </c>
      <c r="K8720" t="str">
        <f>T("6197674570")</f>
        <v>6197674570</v>
      </c>
      <c r="L8720" t="str">
        <f>T("6195249686")</f>
        <v>6195249686</v>
      </c>
    </row>
    <row r="8721" spans="1:12" x14ac:dyDescent="0.35">
      <c r="A8721" t="str">
        <f t="shared" si="3239"/>
        <v>MSC SAN DIEGO</v>
      </c>
      <c r="B8721" t="str">
        <f>T("MSFSC SSU SD LOGISTICS DIR N4")</f>
        <v>MSFSC SSU SD LOGISTICS DIR N4</v>
      </c>
      <c r="C8721" t="str">
        <f>T("140 SYLVESTER RD BLDG 570")</f>
        <v>140 SYLVESTER RD BLDG 570</v>
      </c>
      <c r="D8721" t="str">
        <f>T("SAN DIEGO")</f>
        <v>SAN DIEGO</v>
      </c>
      <c r="E8721" t="str">
        <f>T("CA")</f>
        <v>CA</v>
      </c>
      <c r="F8721" t="str">
        <f>T("921063521")</f>
        <v>921063521</v>
      </c>
      <c r="G8721" t="str">
        <f>T("MSFSC SSU SD LOGISTICS DIR N4")</f>
        <v>MSFSC SSU SD LOGISTICS DIR N4</v>
      </c>
      <c r="H8721" t="str">
        <f>T("140 SYLVESTER RD BLDG 570")</f>
        <v>140 SYLVESTER RD BLDG 570</v>
      </c>
      <c r="I8721" t="str">
        <f>T("SAN DIEGO")</f>
        <v>SAN DIEGO</v>
      </c>
      <c r="J8721" t="str">
        <f>T("CA")</f>
        <v>CA</v>
      </c>
      <c r="K8721" t="str">
        <f>T("6195249901")</f>
        <v>6195249901</v>
      </c>
      <c r="L8721" t="str">
        <f>T("6195249852")</f>
        <v>6195249852</v>
      </c>
    </row>
    <row r="8722" spans="1:12" x14ac:dyDescent="0.35">
      <c r="A8722" t="str">
        <f t="shared" si="3239"/>
        <v>MSC SAN DIEGO</v>
      </c>
      <c r="B8722" t="str">
        <f>T("NAVAL STATION EVERETT")</f>
        <v>NAVAL STATION EVERETT</v>
      </c>
      <c r="C8722" t="str">
        <f>T("BLDG 2000 RM 147")</f>
        <v>BLDG 2000 RM 147</v>
      </c>
      <c r="D8722" t="str">
        <f>T("EVERETT")</f>
        <v>EVERETT</v>
      </c>
      <c r="E8722" t="str">
        <f>T("WA")</f>
        <v>WA</v>
      </c>
      <c r="F8722" t="str">
        <f>T("982070001")</f>
        <v>982070001</v>
      </c>
      <c r="G8722" t="str">
        <f>T("2000 W MARINE VIEW DR")</f>
        <v>2000 W MARINE VIEW DR</v>
      </c>
      <c r="H8722" t="str">
        <f>T("")</f>
        <v/>
      </c>
      <c r="I8722" t="str">
        <f>T("EVERETT")</f>
        <v>EVERETT</v>
      </c>
      <c r="J8722" t="str">
        <f>T("WA")</f>
        <v>WA</v>
      </c>
      <c r="K8722" t="str">
        <f>T("000000000000000000")</f>
        <v>000000000000000000</v>
      </c>
      <c r="L8722" t="str">
        <f>T("4253044853")</f>
        <v>4253044853</v>
      </c>
    </row>
    <row r="8723" spans="1:12" x14ac:dyDescent="0.35">
      <c r="A8723" t="str">
        <f t="shared" si="3239"/>
        <v>MSC SAN DIEGO</v>
      </c>
      <c r="B8723" t="str">
        <f>T("NAVAL STATION EVERETT")</f>
        <v>NAVAL STATION EVERETT</v>
      </c>
      <c r="C8723" t="str">
        <f>T("BLDG 2000 RM 147")</f>
        <v>BLDG 2000 RM 147</v>
      </c>
      <c r="D8723" t="str">
        <f>T("EVERETT")</f>
        <v>EVERETT</v>
      </c>
      <c r="E8723" t="str">
        <f>T("WA")</f>
        <v>WA</v>
      </c>
      <c r="F8723" t="str">
        <f>T("982070001")</f>
        <v>982070001</v>
      </c>
      <c r="G8723" t="str">
        <f>T("NAVAL STATION EVERETT")</f>
        <v>NAVAL STATION EVERETT</v>
      </c>
      <c r="H8723" t="str">
        <f>T("BLDG 2000 RM 147")</f>
        <v>BLDG 2000 RM 147</v>
      </c>
      <c r="I8723" t="str">
        <f>T("EVERETT")</f>
        <v>EVERETT</v>
      </c>
      <c r="J8723" t="str">
        <f>T("WA")</f>
        <v>WA</v>
      </c>
      <c r="K8723" t="str">
        <f>T("000000000000000000")</f>
        <v>000000000000000000</v>
      </c>
      <c r="L8723" t="str">
        <f>T("4253044852")</f>
        <v>4253044852</v>
      </c>
    </row>
    <row r="8724" spans="1:12" x14ac:dyDescent="0.35">
      <c r="A8724" t="str">
        <f t="shared" si="3239"/>
        <v>MSC SAN DIEGO</v>
      </c>
      <c r="B8724" t="str">
        <f>T("USNS ALAN SHEPARD T-AKE 3")</f>
        <v>USNS ALAN SHEPARD T-AKE 3</v>
      </c>
      <c r="C8724" t="str">
        <f>T("ATTN MASTER/FIRST OFFICER")</f>
        <v>ATTN MASTER/FIRST OFFICER</v>
      </c>
      <c r="D8724" t="str">
        <f t="shared" ref="D8724:D8755" si="3240">T("FPO")</f>
        <v>FPO</v>
      </c>
      <c r="E8724" t="str">
        <f t="shared" ref="E8724:E8746" si="3241">T("AP")</f>
        <v>AP</v>
      </c>
      <c r="F8724" t="str">
        <f>T("966162876")</f>
        <v>966162876</v>
      </c>
      <c r="G8724" t="str">
        <f>T("USNS ALAN SHEPARD")</f>
        <v>USNS ALAN SHEPARD</v>
      </c>
      <c r="H8724" t="str">
        <f>T("UNIT 100494 BOX 1")</f>
        <v>UNIT 100494 BOX 1</v>
      </c>
      <c r="I8724" t="str">
        <f>T("FPO")</f>
        <v>FPO</v>
      </c>
      <c r="J8724" t="str">
        <f>T("AP")</f>
        <v>AP</v>
      </c>
      <c r="K8724" t="str">
        <f>T("000000000000000000")</f>
        <v>000000000000000000</v>
      </c>
      <c r="L8724" t="str">
        <f>T("3058796111")</f>
        <v>3058796111</v>
      </c>
    </row>
    <row r="8725" spans="1:12" x14ac:dyDescent="0.35">
      <c r="A8725" t="str">
        <f t="shared" si="3239"/>
        <v>MSC SAN DIEGO</v>
      </c>
      <c r="B8725" t="str">
        <f>T("USNS ALAN SHEPARD T-AKE 3")</f>
        <v>USNS ALAN SHEPARD T-AKE 3</v>
      </c>
      <c r="C8725" t="str">
        <f>T("ATTN MASTER/FIRST OFFICER")</f>
        <v>ATTN MASTER/FIRST OFFICER</v>
      </c>
      <c r="D8725" t="str">
        <f t="shared" si="3240"/>
        <v>FPO</v>
      </c>
      <c r="E8725" t="str">
        <f t="shared" si="3241"/>
        <v>AP</v>
      </c>
      <c r="F8725" t="str">
        <f>T("966162876")</f>
        <v>966162876</v>
      </c>
      <c r="G8725" t="str">
        <f>T("USNS ALAN SHEPARD")</f>
        <v>USNS ALAN SHEPARD</v>
      </c>
      <c r="H8725" t="str">
        <f>T("UNIT 100494 BOX 1")</f>
        <v>UNIT 100494 BOX 1</v>
      </c>
      <c r="I8725" t="str">
        <f>T("FPO")</f>
        <v>FPO</v>
      </c>
      <c r="J8725" t="str">
        <f>T("AP")</f>
        <v>AP</v>
      </c>
      <c r="K8725" t="str">
        <f>T("6195530144")</f>
        <v>6195530144</v>
      </c>
      <c r="L8725" t="str">
        <f>T("6195337250")</f>
        <v>6195337250</v>
      </c>
    </row>
    <row r="8726" spans="1:12" x14ac:dyDescent="0.35">
      <c r="A8726" t="str">
        <f t="shared" si="3239"/>
        <v>MSC SAN DIEGO</v>
      </c>
      <c r="B8726" t="str">
        <f>T("USNS ALAN SHEPARD T-AKE 3")</f>
        <v>USNS ALAN SHEPARD T-AKE 3</v>
      </c>
      <c r="C8726" t="str">
        <f>T("ATTN MASTER/FIRST OFFICER")</f>
        <v>ATTN MASTER/FIRST OFFICER</v>
      </c>
      <c r="D8726" t="str">
        <f t="shared" si="3240"/>
        <v>FPO</v>
      </c>
      <c r="E8726" t="str">
        <f t="shared" si="3241"/>
        <v>AP</v>
      </c>
      <c r="F8726" t="str">
        <f>T("966162876")</f>
        <v>966162876</v>
      </c>
      <c r="G8726" t="str">
        <f>T("USNS ALAN SHEPARD T-AKE 3")</f>
        <v>USNS ALAN SHEPARD T-AKE 3</v>
      </c>
      <c r="H8726" t="str">
        <f>T("ATTN MASTER/FIRST OFFICER")</f>
        <v>ATTN MASTER/FIRST OFFICER</v>
      </c>
      <c r="I8726" t="str">
        <f>T("FPO")</f>
        <v>FPO</v>
      </c>
      <c r="J8726" t="str">
        <f>T("AP")</f>
        <v>AP</v>
      </c>
      <c r="K8726" t="str">
        <f>T("")</f>
        <v/>
      </c>
      <c r="L8726" t="str">
        <f>T("6195337251")</f>
        <v>6195337251</v>
      </c>
    </row>
    <row r="8727" spans="1:12" x14ac:dyDescent="0.35">
      <c r="A8727" t="str">
        <f t="shared" si="3239"/>
        <v>MSC SAN DIEGO</v>
      </c>
      <c r="B8727" t="str">
        <f>T("USNS ALAN SHEPARD T-AKE 3")</f>
        <v>USNS ALAN SHEPARD T-AKE 3</v>
      </c>
      <c r="C8727" t="str">
        <f>T("ATTN MASTER/FIRST OFFICER")</f>
        <v>ATTN MASTER/FIRST OFFICER</v>
      </c>
      <c r="D8727" t="str">
        <f t="shared" si="3240"/>
        <v>FPO</v>
      </c>
      <c r="E8727" t="str">
        <f t="shared" si="3241"/>
        <v>AP</v>
      </c>
      <c r="F8727" t="str">
        <f>T("966162876")</f>
        <v>966162876</v>
      </c>
      <c r="G8727" t="str">
        <f>T("USNS ALAN SHEPARD T-AKE 3")</f>
        <v>USNS ALAN SHEPARD T-AKE 3</v>
      </c>
      <c r="H8727" t="str">
        <f>T("UNIT 100494 BOX 1")</f>
        <v>UNIT 100494 BOX 1</v>
      </c>
      <c r="I8727" t="str">
        <f>T("FPO")</f>
        <v>FPO</v>
      </c>
      <c r="J8727" t="str">
        <f>T("AP")</f>
        <v>AP</v>
      </c>
      <c r="K8727" t="str">
        <f>T("000000000000000000")</f>
        <v>000000000000000000</v>
      </c>
      <c r="L8727" t="str">
        <f>T("6195337250")</f>
        <v>6195337250</v>
      </c>
    </row>
    <row r="8728" spans="1:12" x14ac:dyDescent="0.35">
      <c r="A8728" t="str">
        <f t="shared" si="3239"/>
        <v>MSC SAN DIEGO</v>
      </c>
      <c r="B8728" t="str">
        <f>T("USNS CESAR CHAVEZ T-AKE 14")</f>
        <v>USNS CESAR CHAVEZ T-AKE 14</v>
      </c>
      <c r="C8728" t="str">
        <f>T("ATTN MASTER")</f>
        <v>ATTN MASTER</v>
      </c>
      <c r="D8728" t="str">
        <f t="shared" si="3240"/>
        <v>FPO</v>
      </c>
      <c r="E8728" t="str">
        <f t="shared" si="3241"/>
        <v>AP</v>
      </c>
      <c r="F8728" t="str">
        <f>T("966621421")</f>
        <v>966621421</v>
      </c>
      <c r="G8728" t="str">
        <f>T("MSC BATS WAREHOUSE")</f>
        <v>MSC BATS WAREHOUSE</v>
      </c>
      <c r="H8728" t="str">
        <f>T("9284 BALBOA AVE")</f>
        <v>9284 BALBOA AVE</v>
      </c>
      <c r="I8728" t="str">
        <f>T("SAN DIEGO")</f>
        <v>SAN DIEGO</v>
      </c>
      <c r="J8728" t="str">
        <f>T("CA")</f>
        <v>CA</v>
      </c>
      <c r="K8728" t="str">
        <f>T("000000000000000000")</f>
        <v>000000000000000000</v>
      </c>
      <c r="L8728" t="str">
        <f>T("6195457749")</f>
        <v>6195457749</v>
      </c>
    </row>
    <row r="8729" spans="1:12" x14ac:dyDescent="0.35">
      <c r="A8729" t="str">
        <f t="shared" si="3239"/>
        <v>MSC SAN DIEGO</v>
      </c>
      <c r="B8729" t="str">
        <f>T("USNS CESAR CHAVEZ T-AKE 14")</f>
        <v>USNS CESAR CHAVEZ T-AKE 14</v>
      </c>
      <c r="C8729" t="str">
        <f>T("ATTN MASTER")</f>
        <v>ATTN MASTER</v>
      </c>
      <c r="D8729" t="str">
        <f t="shared" si="3240"/>
        <v>FPO</v>
      </c>
      <c r="E8729" t="str">
        <f t="shared" si="3241"/>
        <v>AP</v>
      </c>
      <c r="F8729" t="str">
        <f>T("966621421")</f>
        <v>966621421</v>
      </c>
      <c r="G8729" t="str">
        <f>T("USNS CESAR CHAVEZ")</f>
        <v>USNS CESAR CHAVEZ</v>
      </c>
      <c r="H8729" t="str">
        <f>T("UNIT 100428 BOX 1")</f>
        <v>UNIT 100428 BOX 1</v>
      </c>
      <c r="I8729" t="str">
        <f t="shared" ref="I8729:I8750" si="3242">T("FPO")</f>
        <v>FPO</v>
      </c>
      <c r="J8729" t="str">
        <f t="shared" ref="J8729:J8746" si="3243">T("AP")</f>
        <v>AP</v>
      </c>
      <c r="K8729" t="str">
        <f>T("619 553 0144")</f>
        <v>619 553 0144</v>
      </c>
      <c r="L8729" t="str">
        <f>T("1111111111")</f>
        <v>1111111111</v>
      </c>
    </row>
    <row r="8730" spans="1:12" x14ac:dyDescent="0.35">
      <c r="A8730" t="str">
        <f t="shared" si="3239"/>
        <v>MSC SAN DIEGO</v>
      </c>
      <c r="B8730" t="str">
        <f>T("USNS CESAR CHAVEZ T-AKE 14")</f>
        <v>USNS CESAR CHAVEZ T-AKE 14</v>
      </c>
      <c r="C8730" t="str">
        <f>T("ATTN MASTER")</f>
        <v>ATTN MASTER</v>
      </c>
      <c r="D8730" t="str">
        <f t="shared" si="3240"/>
        <v>FPO</v>
      </c>
      <c r="E8730" t="str">
        <f t="shared" si="3241"/>
        <v>AP</v>
      </c>
      <c r="F8730" t="str">
        <f>T("966621421")</f>
        <v>966621421</v>
      </c>
      <c r="G8730" t="str">
        <f>T("USNS CESAR CHAVEZ T-AKE 14")</f>
        <v>USNS CESAR CHAVEZ T-AKE 14</v>
      </c>
      <c r="H8730" t="str">
        <f>T("ATTN MASTER")</f>
        <v>ATTN MASTER</v>
      </c>
      <c r="I8730" t="str">
        <f t="shared" si="3242"/>
        <v>FPO</v>
      </c>
      <c r="J8730" t="str">
        <f t="shared" si="3243"/>
        <v>AP</v>
      </c>
      <c r="K8730" t="str">
        <f>T("")</f>
        <v/>
      </c>
      <c r="L8730" t="str">
        <f>T("6195457749")</f>
        <v>6195457749</v>
      </c>
    </row>
    <row r="8731" spans="1:12" x14ac:dyDescent="0.35">
      <c r="A8731" t="str">
        <f t="shared" si="3239"/>
        <v>MSC SAN DIEGO</v>
      </c>
      <c r="B8731" t="str">
        <f>T("USNS CESAR CHAVEZ T-AKE 14")</f>
        <v>USNS CESAR CHAVEZ T-AKE 14</v>
      </c>
      <c r="C8731" t="str">
        <f>T("ATTN MASTER")</f>
        <v>ATTN MASTER</v>
      </c>
      <c r="D8731" t="str">
        <f t="shared" si="3240"/>
        <v>FPO</v>
      </c>
      <c r="E8731" t="str">
        <f t="shared" si="3241"/>
        <v>AP</v>
      </c>
      <c r="F8731" t="str">
        <f>T("966621421")</f>
        <v>966621421</v>
      </c>
      <c r="G8731" t="str">
        <f>T("USNS CESAR CHAVEZ T-AKE 14")</f>
        <v>USNS CESAR CHAVEZ T-AKE 14</v>
      </c>
      <c r="H8731" t="str">
        <f>T("UNIT 100428 BOX 1")</f>
        <v>UNIT 100428 BOX 1</v>
      </c>
      <c r="I8731" t="str">
        <f t="shared" si="3242"/>
        <v>FPO</v>
      </c>
      <c r="J8731" t="str">
        <f t="shared" si="3243"/>
        <v>AP</v>
      </c>
      <c r="K8731" t="str">
        <f>T("6195457794508")</f>
        <v>6195457794508</v>
      </c>
      <c r="L8731" t="str">
        <f>T("1111111111")</f>
        <v>1111111111</v>
      </c>
    </row>
    <row r="8732" spans="1:12" x14ac:dyDescent="0.35">
      <c r="A8732" t="str">
        <f t="shared" si="3239"/>
        <v>MSC SAN DIEGO</v>
      </c>
      <c r="B8732" t="str">
        <f>T("USNS CESAR CHAVEZ T-AKE 14")</f>
        <v>USNS CESAR CHAVEZ T-AKE 14</v>
      </c>
      <c r="C8732" t="str">
        <f>T("ATTN MASTER")</f>
        <v>ATTN MASTER</v>
      </c>
      <c r="D8732" t="str">
        <f t="shared" si="3240"/>
        <v>FPO</v>
      </c>
      <c r="E8732" t="str">
        <f t="shared" si="3241"/>
        <v>AP</v>
      </c>
      <c r="F8732" t="str">
        <f>T("966621421")</f>
        <v>966621421</v>
      </c>
      <c r="G8732" t="str">
        <f>T("USNS CESAR CHAVEZ T-AKE 14")</f>
        <v>USNS CESAR CHAVEZ T-AKE 14</v>
      </c>
      <c r="H8732" t="str">
        <f>T("UNIT 100428 BOX 1")</f>
        <v>UNIT 100428 BOX 1</v>
      </c>
      <c r="I8732" t="str">
        <f t="shared" si="3242"/>
        <v>FPO</v>
      </c>
      <c r="J8732" t="str">
        <f t="shared" si="3243"/>
        <v>AP</v>
      </c>
      <c r="K8732" t="str">
        <f>T("6195530144")</f>
        <v>6195530144</v>
      </c>
      <c r="L8732" t="str">
        <f>T("6195337286")</f>
        <v>6195337286</v>
      </c>
    </row>
    <row r="8733" spans="1:12" x14ac:dyDescent="0.35">
      <c r="A8733" t="str">
        <f t="shared" si="3239"/>
        <v>MSC SAN DIEGO</v>
      </c>
      <c r="B8733" t="str">
        <f>T("USNS CHARLES DREW")</f>
        <v>USNS CHARLES DREW</v>
      </c>
      <c r="C8733" t="str">
        <f>T("UNIT 100448 BOX 1")</f>
        <v>UNIT 100448 BOX 1</v>
      </c>
      <c r="D8733" t="str">
        <f t="shared" si="3240"/>
        <v>FPO</v>
      </c>
      <c r="E8733" t="str">
        <f t="shared" si="3241"/>
        <v>AP</v>
      </c>
      <c r="F8733" t="str">
        <f>T("966634800")</f>
        <v>966634800</v>
      </c>
      <c r="G8733" t="str">
        <f>T("USNS CHARLES DREW")</f>
        <v>USNS CHARLES DREW</v>
      </c>
      <c r="H8733" t="str">
        <f>T("UNIT 100448 BOX 1")</f>
        <v>UNIT 100448 BOX 1</v>
      </c>
      <c r="I8733" t="str">
        <f t="shared" si="3242"/>
        <v>FPO</v>
      </c>
      <c r="J8733" t="str">
        <f t="shared" si="3243"/>
        <v>AP</v>
      </c>
      <c r="K8733" t="str">
        <f>T("619553144")</f>
        <v>619553144</v>
      </c>
      <c r="L8733" t="str">
        <f>T("6195337275")</f>
        <v>6195337275</v>
      </c>
    </row>
    <row r="8734" spans="1:12" x14ac:dyDescent="0.35">
      <c r="A8734" t="str">
        <f t="shared" si="3239"/>
        <v>MSC SAN DIEGO</v>
      </c>
      <c r="B8734" t="str">
        <f>T("USNS CHARLES DREW")</f>
        <v>USNS CHARLES DREW</v>
      </c>
      <c r="C8734" t="str">
        <f>T("UNIT 100448 BOX 1")</f>
        <v>UNIT 100448 BOX 1</v>
      </c>
      <c r="D8734" t="str">
        <f t="shared" si="3240"/>
        <v>FPO</v>
      </c>
      <c r="E8734" t="str">
        <f t="shared" si="3241"/>
        <v>AP</v>
      </c>
      <c r="F8734" t="str">
        <f>T("966634800")</f>
        <v>966634800</v>
      </c>
      <c r="G8734" t="str">
        <f>T("USNS CHARLES DREW T-AKE 10")</f>
        <v>USNS CHARLES DREW T-AKE 10</v>
      </c>
      <c r="H8734" t="str">
        <f>T("UNIT 100448 BOX 1")</f>
        <v>UNIT 100448 BOX 1</v>
      </c>
      <c r="I8734" t="str">
        <f t="shared" si="3242"/>
        <v>FPO</v>
      </c>
      <c r="J8734" t="str">
        <f t="shared" si="3243"/>
        <v>AP</v>
      </c>
      <c r="K8734" t="str">
        <f>T("000000000000000000")</f>
        <v>000000000000000000</v>
      </c>
      <c r="L8734" t="str">
        <f>T("6195337275")</f>
        <v>6195337275</v>
      </c>
    </row>
    <row r="8735" spans="1:12" x14ac:dyDescent="0.35">
      <c r="A8735" t="str">
        <f t="shared" ref="A8735:A8766" si="3244">T("MSC SAN DIEGO")</f>
        <v>MSC SAN DIEGO</v>
      </c>
      <c r="B8735" t="str">
        <f>T("USNS CHARLES DREW")</f>
        <v>USNS CHARLES DREW</v>
      </c>
      <c r="C8735" t="str">
        <f>T("UNIT 100448 BOX 1")</f>
        <v>UNIT 100448 BOX 1</v>
      </c>
      <c r="D8735" t="str">
        <f t="shared" si="3240"/>
        <v>FPO</v>
      </c>
      <c r="E8735" t="str">
        <f t="shared" si="3241"/>
        <v>AP</v>
      </c>
      <c r="F8735" t="str">
        <f>T("966634800")</f>
        <v>966634800</v>
      </c>
      <c r="G8735" t="str">
        <f>T("USNS CHARLES DREW T-AKE 10")</f>
        <v>USNS CHARLES DREW T-AKE 10</v>
      </c>
      <c r="H8735" t="str">
        <f>T("UNIT 100448 BOX 1")</f>
        <v>UNIT 100448 BOX 1</v>
      </c>
      <c r="I8735" t="str">
        <f t="shared" si="3242"/>
        <v>FPO</v>
      </c>
      <c r="J8735" t="str">
        <f t="shared" si="3243"/>
        <v>AP</v>
      </c>
      <c r="K8735" t="str">
        <f>T("6195530144")</f>
        <v>6195530144</v>
      </c>
      <c r="L8735" t="str">
        <f>T("6195337275")</f>
        <v>6195337275</v>
      </c>
    </row>
    <row r="8736" spans="1:12" x14ac:dyDescent="0.35">
      <c r="A8736" t="str">
        <f t="shared" si="3244"/>
        <v>MSC SAN DIEGO</v>
      </c>
      <c r="B8736" t="str">
        <f>T("USNS FALL RIVER T-EPF-4")</f>
        <v>USNS FALL RIVER T-EPF-4</v>
      </c>
      <c r="C8736" t="str">
        <f>T("UNIT 100140 BOX 1")</f>
        <v>UNIT 100140 BOX 1</v>
      </c>
      <c r="D8736" t="str">
        <f t="shared" si="3240"/>
        <v>FPO</v>
      </c>
      <c r="E8736" t="str">
        <f t="shared" si="3241"/>
        <v>AP</v>
      </c>
      <c r="F8736" t="str">
        <f>T("966914000")</f>
        <v>966914000</v>
      </c>
      <c r="G8736" t="str">
        <f>T("USNS FALL RIVER T-EPF 4")</f>
        <v>USNS FALL RIVER T-EPF 4</v>
      </c>
      <c r="H8736" t="str">
        <f>T("UNIT 100140 BOX 1")</f>
        <v>UNIT 100140 BOX 1</v>
      </c>
      <c r="I8736" t="str">
        <f t="shared" si="3242"/>
        <v>FPO</v>
      </c>
      <c r="J8736" t="str">
        <f t="shared" si="3243"/>
        <v>AP</v>
      </c>
      <c r="K8736" t="str">
        <f t="shared" ref="K8736:K8741" si="3245">T("000000000000000000")</f>
        <v>000000000000000000</v>
      </c>
      <c r="L8736" t="str">
        <f>T("7576397589")</f>
        <v>7576397589</v>
      </c>
    </row>
    <row r="8737" spans="1:12" x14ac:dyDescent="0.35">
      <c r="A8737" t="str">
        <f t="shared" si="3244"/>
        <v>MSC SAN DIEGO</v>
      </c>
      <c r="B8737" t="str">
        <f>T("USNS FALL RIVER T-EPF-4")</f>
        <v>USNS FALL RIVER T-EPF-4</v>
      </c>
      <c r="C8737" t="str">
        <f>T("UNIT 100140 BOX 1")</f>
        <v>UNIT 100140 BOX 1</v>
      </c>
      <c r="D8737" t="str">
        <f t="shared" si="3240"/>
        <v>FPO</v>
      </c>
      <c r="E8737" t="str">
        <f t="shared" si="3241"/>
        <v>AP</v>
      </c>
      <c r="F8737" t="str">
        <f>T("966914000")</f>
        <v>966914000</v>
      </c>
      <c r="G8737" t="str">
        <f>T("USNS FALL RIVER T-EPF-4")</f>
        <v>USNS FALL RIVER T-EPF-4</v>
      </c>
      <c r="H8737" t="str">
        <f>T("UNIT 100140 BOX 1")</f>
        <v>UNIT 100140 BOX 1</v>
      </c>
      <c r="I8737" t="str">
        <f t="shared" si="3242"/>
        <v>FPO</v>
      </c>
      <c r="J8737" t="str">
        <f t="shared" si="3243"/>
        <v>AP</v>
      </c>
      <c r="K8737" t="str">
        <f t="shared" si="3245"/>
        <v>000000000000000000</v>
      </c>
      <c r="L8737" t="str">
        <f>T("6195954763")</f>
        <v>6195954763</v>
      </c>
    </row>
    <row r="8738" spans="1:12" x14ac:dyDescent="0.35">
      <c r="A8738" t="str">
        <f t="shared" si="3244"/>
        <v>MSC SAN DIEGO</v>
      </c>
      <c r="B8738" t="str">
        <f>T("USNS FALL RIVER T-EPF-4")</f>
        <v>USNS FALL RIVER T-EPF-4</v>
      </c>
      <c r="C8738" t="str">
        <f>T("UNIT 100140 BOX 1")</f>
        <v>UNIT 100140 BOX 1</v>
      </c>
      <c r="D8738" t="str">
        <f t="shared" si="3240"/>
        <v>FPO</v>
      </c>
      <c r="E8738" t="str">
        <f t="shared" si="3241"/>
        <v>AP</v>
      </c>
      <c r="F8738" t="str">
        <f>T("966914000")</f>
        <v>966914000</v>
      </c>
      <c r="G8738" t="str">
        <f>T("USNS FALL RIVER T-EPF-4")</f>
        <v>USNS FALL RIVER T-EPF-4</v>
      </c>
      <c r="H8738" t="str">
        <f>T("UNIT 100140 BOX 1")</f>
        <v>UNIT 100140 BOX 1</v>
      </c>
      <c r="I8738" t="str">
        <f t="shared" si="3242"/>
        <v>FPO</v>
      </c>
      <c r="J8738" t="str">
        <f t="shared" si="3243"/>
        <v>AP</v>
      </c>
      <c r="K8738" t="str">
        <f t="shared" si="3245"/>
        <v>000000000000000000</v>
      </c>
      <c r="L8738" t="str">
        <f>T("7574435903")</f>
        <v>7574435903</v>
      </c>
    </row>
    <row r="8739" spans="1:12" x14ac:dyDescent="0.35">
      <c r="A8739" t="str">
        <f t="shared" si="3244"/>
        <v>MSC SAN DIEGO</v>
      </c>
      <c r="B8739" t="str">
        <f>T("USNS FALL RIVER T-EPF-4")</f>
        <v>USNS FALL RIVER T-EPF-4</v>
      </c>
      <c r="C8739" t="str">
        <f>T("UNIT 100140 BOX 1")</f>
        <v>UNIT 100140 BOX 1</v>
      </c>
      <c r="D8739" t="str">
        <f t="shared" si="3240"/>
        <v>FPO</v>
      </c>
      <c r="E8739" t="str">
        <f t="shared" si="3241"/>
        <v>AP</v>
      </c>
      <c r="F8739" t="str">
        <f>T("966914000")</f>
        <v>966914000</v>
      </c>
      <c r="G8739" t="str">
        <f>T("USNS FALL RIVER T-EPT 4")</f>
        <v>USNS FALL RIVER T-EPT 4</v>
      </c>
      <c r="H8739" t="str">
        <f>T("UNIT 100140 BOX 1")</f>
        <v>UNIT 100140 BOX 1</v>
      </c>
      <c r="I8739" t="str">
        <f t="shared" si="3242"/>
        <v>FPO</v>
      </c>
      <c r="J8739" t="str">
        <f t="shared" si="3243"/>
        <v>AP</v>
      </c>
      <c r="K8739" t="str">
        <f t="shared" si="3245"/>
        <v>000000000000000000</v>
      </c>
      <c r="L8739" t="str">
        <f>T("7574437347")</f>
        <v>7574437347</v>
      </c>
    </row>
    <row r="8740" spans="1:12" x14ac:dyDescent="0.35">
      <c r="A8740" t="str">
        <f t="shared" si="3244"/>
        <v>MSC SAN DIEGO</v>
      </c>
      <c r="B8740" t="str">
        <f>T("USNS GUADALUPE T-AO 200")</f>
        <v>USNS GUADALUPE T-AO 200</v>
      </c>
      <c r="C8740" t="str">
        <f t="shared" ref="C8740:C8747" si="3246">T("ATTN MASTER")</f>
        <v>ATTN MASTER</v>
      </c>
      <c r="D8740" t="str">
        <f t="shared" si="3240"/>
        <v>FPO</v>
      </c>
      <c r="E8740" t="str">
        <f t="shared" si="3241"/>
        <v>AP</v>
      </c>
      <c r="F8740" t="str">
        <f>T("966664030")</f>
        <v>966664030</v>
      </c>
      <c r="G8740" t="str">
        <f>T("USNS GUADALUPE T-AO 200")</f>
        <v>USNS GUADALUPE T-AO 200</v>
      </c>
      <c r="H8740" t="str">
        <f>T("")</f>
        <v/>
      </c>
      <c r="I8740" t="str">
        <f t="shared" si="3242"/>
        <v>FPO</v>
      </c>
      <c r="J8740" t="str">
        <f t="shared" si="3243"/>
        <v>AP</v>
      </c>
      <c r="K8740" t="str">
        <f t="shared" si="3245"/>
        <v>000000000000000000</v>
      </c>
      <c r="L8740" t="str">
        <f>T("6195447153")</f>
        <v>6195447153</v>
      </c>
    </row>
    <row r="8741" spans="1:12" x14ac:dyDescent="0.35">
      <c r="A8741" t="str">
        <f t="shared" si="3244"/>
        <v>MSC SAN DIEGO</v>
      </c>
      <c r="B8741" t="str">
        <f>T("USNS GUADALUPE T-AO 200")</f>
        <v>USNS GUADALUPE T-AO 200</v>
      </c>
      <c r="C8741" t="str">
        <f t="shared" si="3246"/>
        <v>ATTN MASTER</v>
      </c>
      <c r="D8741" t="str">
        <f t="shared" si="3240"/>
        <v>FPO</v>
      </c>
      <c r="E8741" t="str">
        <f t="shared" si="3241"/>
        <v>AP</v>
      </c>
      <c r="F8741" t="str">
        <f>T("966664030")</f>
        <v>966664030</v>
      </c>
      <c r="G8741" t="str">
        <f>T("USNS GUADALUPE T-AO 200")</f>
        <v>USNS GUADALUPE T-AO 200</v>
      </c>
      <c r="H8741" t="str">
        <f>T("")</f>
        <v/>
      </c>
      <c r="I8741" t="str">
        <f t="shared" si="3242"/>
        <v>FPO</v>
      </c>
      <c r="J8741" t="str">
        <f t="shared" si="3243"/>
        <v>AP</v>
      </c>
      <c r="K8741" t="str">
        <f t="shared" si="3245"/>
        <v>000000000000000000</v>
      </c>
      <c r="L8741" t="str">
        <f>T("8436970910")</f>
        <v>8436970910</v>
      </c>
    </row>
    <row r="8742" spans="1:12" x14ac:dyDescent="0.35">
      <c r="A8742" t="str">
        <f t="shared" si="3244"/>
        <v>MSC SAN DIEGO</v>
      </c>
      <c r="B8742" t="str">
        <f>T("USNS GUADALUPE T-AO 200")</f>
        <v>USNS GUADALUPE T-AO 200</v>
      </c>
      <c r="C8742" t="str">
        <f t="shared" si="3246"/>
        <v>ATTN MASTER</v>
      </c>
      <c r="D8742" t="str">
        <f t="shared" si="3240"/>
        <v>FPO</v>
      </c>
      <c r="E8742" t="str">
        <f t="shared" si="3241"/>
        <v>AP</v>
      </c>
      <c r="F8742" t="str">
        <f>T("966664030")</f>
        <v>966664030</v>
      </c>
      <c r="G8742" t="str">
        <f>T("USNS GUADALUPE T-AO 200")</f>
        <v>USNS GUADALUPE T-AO 200</v>
      </c>
      <c r="H8742" t="str">
        <f>T("ATTN MASTER")</f>
        <v>ATTN MASTER</v>
      </c>
      <c r="I8742" t="str">
        <f t="shared" si="3242"/>
        <v>FPO</v>
      </c>
      <c r="J8742" t="str">
        <f t="shared" si="3243"/>
        <v>AP</v>
      </c>
      <c r="K8742" t="str">
        <f>T("6195530144")</f>
        <v>6195530144</v>
      </c>
      <c r="L8742" t="str">
        <f>T("6195447151")</f>
        <v>6195447151</v>
      </c>
    </row>
    <row r="8743" spans="1:12" x14ac:dyDescent="0.35">
      <c r="A8743" t="str">
        <f t="shared" si="3244"/>
        <v>MSC SAN DIEGO</v>
      </c>
      <c r="B8743" t="str">
        <f>T("USNS GUADALUPE T-AO 200")</f>
        <v>USNS GUADALUPE T-AO 200</v>
      </c>
      <c r="C8743" t="str">
        <f t="shared" si="3246"/>
        <v>ATTN MASTER</v>
      </c>
      <c r="D8743" t="str">
        <f t="shared" si="3240"/>
        <v>FPO</v>
      </c>
      <c r="E8743" t="str">
        <f t="shared" si="3241"/>
        <v>AP</v>
      </c>
      <c r="F8743" t="str">
        <f>T("966664030")</f>
        <v>966664030</v>
      </c>
      <c r="G8743" t="str">
        <f>T("USNS GUADALUPE T-AO 200")</f>
        <v>USNS GUADALUPE T-AO 200</v>
      </c>
      <c r="H8743" t="str">
        <f>T("UNIT 100458 BOX 1")</f>
        <v>UNIT 100458 BOX 1</v>
      </c>
      <c r="I8743" t="str">
        <f t="shared" si="3242"/>
        <v>FPO</v>
      </c>
      <c r="J8743" t="str">
        <f t="shared" si="3243"/>
        <v>AP</v>
      </c>
      <c r="K8743" t="str">
        <f>T("000000000000000000")</f>
        <v>000000000000000000</v>
      </c>
      <c r="L8743" t="str">
        <f>T("6197574032")</f>
        <v>6197574032</v>
      </c>
    </row>
    <row r="8744" spans="1:12" x14ac:dyDescent="0.35">
      <c r="A8744" t="str">
        <f t="shared" si="3244"/>
        <v>MSC SAN DIEGO</v>
      </c>
      <c r="B8744" t="str">
        <f>T("USNS HENRY J KAISER T-AO 187")</f>
        <v>USNS HENRY J KAISER T-AO 187</v>
      </c>
      <c r="C8744" t="str">
        <f t="shared" si="3246"/>
        <v>ATTN MASTER</v>
      </c>
      <c r="D8744" t="str">
        <f t="shared" si="3240"/>
        <v>FPO</v>
      </c>
      <c r="E8744" t="str">
        <f t="shared" si="3241"/>
        <v>AP</v>
      </c>
      <c r="F8744" t="str">
        <f>T("966704086")</f>
        <v>966704086</v>
      </c>
      <c r="G8744" t="str">
        <f>T("USNS HENRY J KAISER T-AO 187")</f>
        <v>USNS HENRY J KAISER T-AO 187</v>
      </c>
      <c r="H8744" t="str">
        <f>T("ATTN MASTER")</f>
        <v>ATTN MASTER</v>
      </c>
      <c r="I8744" t="str">
        <f t="shared" si="3242"/>
        <v>FPO</v>
      </c>
      <c r="J8744" t="str">
        <f t="shared" si="3243"/>
        <v>AP</v>
      </c>
      <c r="K8744" t="str">
        <f>T("")</f>
        <v/>
      </c>
      <c r="L8744" t="str">
        <f>T("6195337230")</f>
        <v>6195337230</v>
      </c>
    </row>
    <row r="8745" spans="1:12" x14ac:dyDescent="0.35">
      <c r="A8745" t="str">
        <f t="shared" si="3244"/>
        <v>MSC SAN DIEGO</v>
      </c>
      <c r="B8745" t="str">
        <f>T("USNS HENRY J KAISER T-AO 187")</f>
        <v>USNS HENRY J KAISER T-AO 187</v>
      </c>
      <c r="C8745" t="str">
        <f t="shared" si="3246"/>
        <v>ATTN MASTER</v>
      </c>
      <c r="D8745" t="str">
        <f t="shared" si="3240"/>
        <v>FPO</v>
      </c>
      <c r="E8745" t="str">
        <f t="shared" si="3241"/>
        <v>AP</v>
      </c>
      <c r="F8745" t="str">
        <f>T("966704086")</f>
        <v>966704086</v>
      </c>
      <c r="G8745" t="str">
        <f>T("USNS HENRY J KAISER T-AO 187")</f>
        <v>USNS HENRY J KAISER T-AO 187</v>
      </c>
      <c r="H8745" t="str">
        <f>T("UNIT 100463 BOX 1")</f>
        <v>UNIT 100463 BOX 1</v>
      </c>
      <c r="I8745" t="str">
        <f t="shared" si="3242"/>
        <v>FPO</v>
      </c>
      <c r="J8745" t="str">
        <f t="shared" si="3243"/>
        <v>AP</v>
      </c>
      <c r="K8745" t="str">
        <f>T("000000000000000000")</f>
        <v>000000000000000000</v>
      </c>
      <c r="L8745" t="str">
        <f>T("6195337229")</f>
        <v>6195337229</v>
      </c>
    </row>
    <row r="8746" spans="1:12" x14ac:dyDescent="0.35">
      <c r="A8746" t="str">
        <f t="shared" si="3244"/>
        <v>MSC SAN DIEGO</v>
      </c>
      <c r="B8746" t="str">
        <f>T("USNS HENRY J KAISER T-AO 187")</f>
        <v>USNS HENRY J KAISER T-AO 187</v>
      </c>
      <c r="C8746" t="str">
        <f t="shared" si="3246"/>
        <v>ATTN MASTER</v>
      </c>
      <c r="D8746" t="str">
        <f t="shared" si="3240"/>
        <v>FPO</v>
      </c>
      <c r="E8746" t="str">
        <f t="shared" si="3241"/>
        <v>AP</v>
      </c>
      <c r="F8746" t="str">
        <f>T("966704086")</f>
        <v>966704086</v>
      </c>
      <c r="G8746" t="str">
        <f>T("USNS HENRY J KAISER T-AO 187")</f>
        <v>USNS HENRY J KAISER T-AO 187</v>
      </c>
      <c r="H8746" t="str">
        <f>T("UNIT 100463 BOX 1")</f>
        <v>UNIT 100463 BOX 1</v>
      </c>
      <c r="I8746" t="str">
        <f t="shared" si="3242"/>
        <v>FPO</v>
      </c>
      <c r="J8746" t="str">
        <f t="shared" si="3243"/>
        <v>AP</v>
      </c>
      <c r="K8746" t="str">
        <f>T("6195337229731")</f>
        <v>6195337229731</v>
      </c>
      <c r="L8746" t="str">
        <f>T("1111111111")</f>
        <v>1111111111</v>
      </c>
    </row>
    <row r="8747" spans="1:12" x14ac:dyDescent="0.35">
      <c r="A8747" t="str">
        <f t="shared" si="3244"/>
        <v>MSC SAN DIEGO</v>
      </c>
      <c r="B8747" t="str">
        <f>T("USNS HOWARD O LORENZEN")</f>
        <v>USNS HOWARD O LORENZEN</v>
      </c>
      <c r="C8747" t="str">
        <f t="shared" si="3246"/>
        <v>ATTN MASTER</v>
      </c>
      <c r="D8747" t="str">
        <f t="shared" si="3240"/>
        <v>FPO</v>
      </c>
      <c r="E8747" t="str">
        <f>T("AE")</f>
        <v>AE</v>
      </c>
      <c r="F8747" t="str">
        <f>T("095770000")</f>
        <v>095770000</v>
      </c>
      <c r="G8747" t="str">
        <f>T("USNS HOWARD O LORENZEN")</f>
        <v>USNS HOWARD O LORENZEN</v>
      </c>
      <c r="H8747" t="str">
        <f>T("ATTN MASTER")</f>
        <v>ATTN MASTER</v>
      </c>
      <c r="I8747" t="str">
        <f t="shared" si="3242"/>
        <v>FPO</v>
      </c>
      <c r="J8747" t="str">
        <f>T("AE")</f>
        <v>AE</v>
      </c>
      <c r="K8747" t="str">
        <f>T("6195530144")</f>
        <v>6195530144</v>
      </c>
      <c r="L8747" t="str">
        <f>T("7574438967")</f>
        <v>7574438967</v>
      </c>
    </row>
    <row r="8748" spans="1:12" x14ac:dyDescent="0.35">
      <c r="A8748" t="str">
        <f t="shared" si="3244"/>
        <v>MSC SAN DIEGO</v>
      </c>
      <c r="B8748" t="str">
        <f>T("USNS LEWIS AND CLARK")</f>
        <v>USNS LEWIS AND CLARK</v>
      </c>
      <c r="C8748" t="str">
        <f>T("")</f>
        <v/>
      </c>
      <c r="D8748" t="str">
        <f t="shared" si="3240"/>
        <v>FPO</v>
      </c>
      <c r="E8748" t="str">
        <f>T("AP")</f>
        <v>AP</v>
      </c>
      <c r="F8748" t="str">
        <f>T("966714077")</f>
        <v>966714077</v>
      </c>
      <c r="G8748" t="str">
        <f>T("USNS LEWIS  CLARK T-AKE 1")</f>
        <v>USNS LEWIS  CLARK T-AKE 1</v>
      </c>
      <c r="H8748" t="str">
        <f>T("UNIT 100465 BOX 1")</f>
        <v>UNIT 100465 BOX 1</v>
      </c>
      <c r="I8748" t="str">
        <f t="shared" si="3242"/>
        <v>FPO</v>
      </c>
      <c r="J8748" t="str">
        <f>T("AP")</f>
        <v>AP</v>
      </c>
      <c r="K8748" t="str">
        <f>T("000000000000000000")</f>
        <v>000000000000000000</v>
      </c>
      <c r="L8748" t="str">
        <f>T("6195337292")</f>
        <v>6195337292</v>
      </c>
    </row>
    <row r="8749" spans="1:12" x14ac:dyDescent="0.35">
      <c r="A8749" t="str">
        <f t="shared" si="3244"/>
        <v>MSC SAN DIEGO</v>
      </c>
      <c r="B8749" t="str">
        <f>T("USNS LEWIS AND CLARK")</f>
        <v>USNS LEWIS AND CLARK</v>
      </c>
      <c r="C8749" t="str">
        <f>T("")</f>
        <v/>
      </c>
      <c r="D8749" t="str">
        <f t="shared" si="3240"/>
        <v>FPO</v>
      </c>
      <c r="E8749" t="str">
        <f>T("AP")</f>
        <v>AP</v>
      </c>
      <c r="F8749" t="str">
        <f>T("966714077")</f>
        <v>966714077</v>
      </c>
      <c r="G8749" t="str">
        <f>T("USNS LEWIS AND CLARK")</f>
        <v>USNS LEWIS AND CLARK</v>
      </c>
      <c r="H8749" t="str">
        <f>T("")</f>
        <v/>
      </c>
      <c r="I8749" t="str">
        <f t="shared" si="3242"/>
        <v>FPO</v>
      </c>
      <c r="J8749" t="str">
        <f>T("AP")</f>
        <v>AP</v>
      </c>
      <c r="K8749" t="str">
        <f>T("6195337292")</f>
        <v>6195337292</v>
      </c>
      <c r="L8749" t="str">
        <f>T("6195337292")</f>
        <v>6195337292</v>
      </c>
    </row>
    <row r="8750" spans="1:12" x14ac:dyDescent="0.35">
      <c r="A8750" t="str">
        <f t="shared" si="3244"/>
        <v>MSC SAN DIEGO</v>
      </c>
      <c r="B8750" t="str">
        <f>T("USNS LEWIS AND CLARK")</f>
        <v>USNS LEWIS AND CLARK</v>
      </c>
      <c r="C8750" t="str">
        <f>T("")</f>
        <v/>
      </c>
      <c r="D8750" t="str">
        <f t="shared" si="3240"/>
        <v>FPO</v>
      </c>
      <c r="E8750" t="str">
        <f>T("AP")</f>
        <v>AP</v>
      </c>
      <c r="F8750" t="str">
        <f>T("966714077")</f>
        <v>966714077</v>
      </c>
      <c r="G8750" t="str">
        <f>T("USNS LEWIS AND CLARK T-AKE 1")</f>
        <v>USNS LEWIS AND CLARK T-AKE 1</v>
      </c>
      <c r="H8750" t="str">
        <f>T("UNIT 100465 BOX 1")</f>
        <v>UNIT 100465 BOX 1</v>
      </c>
      <c r="I8750" t="str">
        <f t="shared" si="3242"/>
        <v>FPO</v>
      </c>
      <c r="J8750" t="str">
        <f>T("AP")</f>
        <v>AP</v>
      </c>
      <c r="K8750" t="str">
        <f>T("000000000000000000")</f>
        <v>000000000000000000</v>
      </c>
      <c r="L8750" t="str">
        <f>T("6195337292")</f>
        <v>6195337292</v>
      </c>
    </row>
    <row r="8751" spans="1:12" x14ac:dyDescent="0.35">
      <c r="A8751" t="str">
        <f t="shared" si="3244"/>
        <v>MSC SAN DIEGO</v>
      </c>
      <c r="B8751" t="str">
        <f>T("USNS LEWIS B PULLER")</f>
        <v>USNS LEWIS B PULLER</v>
      </c>
      <c r="C8751" t="str">
        <f>T("UNIT 100195 BOX 1")</f>
        <v>UNIT 100195 BOX 1</v>
      </c>
      <c r="D8751" t="str">
        <f t="shared" si="3240"/>
        <v>FPO</v>
      </c>
      <c r="E8751" t="str">
        <f>T("AE")</f>
        <v>AE</v>
      </c>
      <c r="F8751" t="str">
        <f>T("095919500")</f>
        <v>095919500</v>
      </c>
      <c r="G8751" t="str">
        <f>T("471 EAST C ST")</f>
        <v>471 EAST C ST</v>
      </c>
      <c r="H8751" t="str">
        <f>T("BLDG SP-64 2D FL")</f>
        <v>BLDG SP-64 2D FL</v>
      </c>
      <c r="I8751" t="str">
        <f>T("NORFOLK")</f>
        <v>NORFOLK</v>
      </c>
      <c r="J8751" t="str">
        <f>T("VA")</f>
        <v>VA</v>
      </c>
      <c r="K8751" t="str">
        <f>T("000000000000000000")</f>
        <v>000000000000000000</v>
      </c>
      <c r="L8751" t="str">
        <f>T("8045641389")</f>
        <v>8045641389</v>
      </c>
    </row>
    <row r="8752" spans="1:12" x14ac:dyDescent="0.35">
      <c r="A8752" t="str">
        <f t="shared" si="3244"/>
        <v>MSC SAN DIEGO</v>
      </c>
      <c r="B8752" t="str">
        <f>T("USNS LEWIS B PULLER")</f>
        <v>USNS LEWIS B PULLER</v>
      </c>
      <c r="C8752" t="str">
        <f>T("UNIT 100195 BOX 1")</f>
        <v>UNIT 100195 BOX 1</v>
      </c>
      <c r="D8752" t="str">
        <f t="shared" si="3240"/>
        <v>FPO</v>
      </c>
      <c r="E8752" t="str">
        <f>T("AE")</f>
        <v>AE</v>
      </c>
      <c r="F8752" t="str">
        <f>T("095919500")</f>
        <v>095919500</v>
      </c>
      <c r="G8752" t="str">
        <f>T("USNS LEWIS B PULLER")</f>
        <v>USNS LEWIS B PULLER</v>
      </c>
      <c r="H8752" t="str">
        <f>T("2-ESD3 UNIT 100195 BOX 1")</f>
        <v>2-ESD3 UNIT 100195 BOX 1</v>
      </c>
      <c r="I8752" t="str">
        <f t="shared" ref="I8752:I8757" si="3247">T("FPO")</f>
        <v>FPO</v>
      </c>
      <c r="J8752" t="str">
        <f>T("AE")</f>
        <v>AE</v>
      </c>
      <c r="K8752" t="str">
        <f>T("000000000000000000")</f>
        <v>000000000000000000</v>
      </c>
      <c r="L8752" t="str">
        <f>T("6195448888")</f>
        <v>6195448888</v>
      </c>
    </row>
    <row r="8753" spans="1:12" x14ac:dyDescent="0.35">
      <c r="A8753" t="str">
        <f t="shared" si="3244"/>
        <v>MSC SAN DIEGO</v>
      </c>
      <c r="B8753" t="str">
        <f>T("USNS LEWIS B PULLER")</f>
        <v>USNS LEWIS B PULLER</v>
      </c>
      <c r="C8753" t="str">
        <f>T("UNIT 100195 BOX 1")</f>
        <v>UNIT 100195 BOX 1</v>
      </c>
      <c r="D8753" t="str">
        <f t="shared" si="3240"/>
        <v>FPO</v>
      </c>
      <c r="E8753" t="str">
        <f>T("AE")</f>
        <v>AE</v>
      </c>
      <c r="F8753" t="str">
        <f>T("095919500")</f>
        <v>095919500</v>
      </c>
      <c r="G8753" t="str">
        <f>T("USNS LEWIS B PULLER")</f>
        <v>USNS LEWIS B PULLER</v>
      </c>
      <c r="H8753" t="str">
        <f>T("UNIT 100195 BOX 1")</f>
        <v>UNIT 100195 BOX 1</v>
      </c>
      <c r="I8753" t="str">
        <f t="shared" si="3247"/>
        <v>FPO</v>
      </c>
      <c r="J8753" t="str">
        <f>T("AE")</f>
        <v>AE</v>
      </c>
      <c r="K8753" t="str">
        <f>T("000000000000000000")</f>
        <v>000000000000000000</v>
      </c>
      <c r="L8753" t="str">
        <f>T("6195337257")</f>
        <v>6195337257</v>
      </c>
    </row>
    <row r="8754" spans="1:12" x14ac:dyDescent="0.35">
      <c r="A8754" t="str">
        <f t="shared" si="3244"/>
        <v>MSC SAN DIEGO</v>
      </c>
      <c r="B8754" t="str">
        <f>T("USNS MATTHEW PERRY")</f>
        <v>USNS MATTHEW PERRY</v>
      </c>
      <c r="C8754" t="str">
        <f>T("UNIT 100479 BOX 802-01")</f>
        <v>UNIT 100479 BOX 802-01</v>
      </c>
      <c r="D8754" t="str">
        <f t="shared" si="3240"/>
        <v>FPO</v>
      </c>
      <c r="E8754" t="str">
        <f t="shared" ref="E8754:E8785" si="3248">T("AP")</f>
        <v>AP</v>
      </c>
      <c r="F8754" t="str">
        <f>T("966754108")</f>
        <v>966754108</v>
      </c>
      <c r="G8754" t="str">
        <f>T("USNS MATTHEW PERRY")</f>
        <v>USNS MATTHEW PERRY</v>
      </c>
      <c r="H8754" t="str">
        <f>T("UNIT 100479 BOX 802-01")</f>
        <v>UNIT 100479 BOX 802-01</v>
      </c>
      <c r="I8754" t="str">
        <f t="shared" si="3247"/>
        <v>FPO</v>
      </c>
      <c r="J8754" t="str">
        <f>T("AP")</f>
        <v>AP</v>
      </c>
      <c r="K8754" t="str">
        <f>T("")</f>
        <v/>
      </c>
      <c r="L8754" t="str">
        <f>T("6195447127")</f>
        <v>6195447127</v>
      </c>
    </row>
    <row r="8755" spans="1:12" x14ac:dyDescent="0.35">
      <c r="A8755" t="str">
        <f t="shared" si="3244"/>
        <v>MSC SAN DIEGO</v>
      </c>
      <c r="B8755" t="str">
        <f>T("USNS MATTHEW PERRY")</f>
        <v>USNS MATTHEW PERRY</v>
      </c>
      <c r="C8755" t="str">
        <f>T("UNIT 100479 BOX 802-01")</f>
        <v>UNIT 100479 BOX 802-01</v>
      </c>
      <c r="D8755" t="str">
        <f t="shared" si="3240"/>
        <v>FPO</v>
      </c>
      <c r="E8755" t="str">
        <f t="shared" si="3248"/>
        <v>AP</v>
      </c>
      <c r="F8755" t="str">
        <f>T("966754108")</f>
        <v>966754108</v>
      </c>
      <c r="G8755" t="str">
        <f>T("USNS MATTHEW PERRY")</f>
        <v>USNS MATTHEW PERRY</v>
      </c>
      <c r="H8755" t="str">
        <f>T("UNIT 100479 BOX 80202")</f>
        <v>UNIT 100479 BOX 80202</v>
      </c>
      <c r="I8755" t="str">
        <f t="shared" si="3247"/>
        <v>FPO</v>
      </c>
      <c r="J8755" t="str">
        <f>T("AP")</f>
        <v>AP</v>
      </c>
      <c r="K8755" t="str">
        <f>T("000000000000000000")</f>
        <v>000000000000000000</v>
      </c>
      <c r="L8755" t="str">
        <f>T("6195447128")</f>
        <v>6195447128</v>
      </c>
    </row>
    <row r="8756" spans="1:12" x14ac:dyDescent="0.35">
      <c r="A8756" t="str">
        <f t="shared" si="3244"/>
        <v>MSC SAN DIEGO</v>
      </c>
      <c r="B8756" t="str">
        <f>T("USNS MATTHEW PERRY")</f>
        <v>USNS MATTHEW PERRY</v>
      </c>
      <c r="C8756" t="str">
        <f>T("UNIT 100479 BOX 802-01")</f>
        <v>UNIT 100479 BOX 802-01</v>
      </c>
      <c r="D8756" t="str">
        <f t="shared" ref="D8756:D8787" si="3249">T("FPO")</f>
        <v>FPO</v>
      </c>
      <c r="E8756" t="str">
        <f t="shared" si="3248"/>
        <v>AP</v>
      </c>
      <c r="F8756" t="str">
        <f>T("966754108")</f>
        <v>966754108</v>
      </c>
      <c r="G8756" t="str">
        <f>T("USNS MATTHEW PERRY T-AKE 9")</f>
        <v>USNS MATTHEW PERRY T-AKE 9</v>
      </c>
      <c r="H8756" t="str">
        <f>T("UNIT 100479 BOX 1")</f>
        <v>UNIT 100479 BOX 1</v>
      </c>
      <c r="I8756" t="str">
        <f t="shared" si="3247"/>
        <v>FPO</v>
      </c>
      <c r="J8756" t="str">
        <f>T("AP")</f>
        <v>AP</v>
      </c>
      <c r="K8756" t="str">
        <f>T("6195447128464")</f>
        <v>6195447128464</v>
      </c>
      <c r="L8756" t="str">
        <f>T("1111111111")</f>
        <v>1111111111</v>
      </c>
    </row>
    <row r="8757" spans="1:12" x14ac:dyDescent="0.35">
      <c r="A8757" t="str">
        <f t="shared" si="3244"/>
        <v>MSC SAN DIEGO</v>
      </c>
      <c r="B8757" t="str">
        <f>T("USNS MATTHEW PERRY")</f>
        <v>USNS MATTHEW PERRY</v>
      </c>
      <c r="C8757" t="str">
        <f>T("UNIT 100479 BOX 802-01")</f>
        <v>UNIT 100479 BOX 802-01</v>
      </c>
      <c r="D8757" t="str">
        <f t="shared" si="3249"/>
        <v>FPO</v>
      </c>
      <c r="E8757" t="str">
        <f t="shared" si="3248"/>
        <v>AP</v>
      </c>
      <c r="F8757" t="str">
        <f>T("966754108")</f>
        <v>966754108</v>
      </c>
      <c r="G8757" t="str">
        <f>T("USNS MATTHEW PERRY T-AKE 9")</f>
        <v>USNS MATTHEW PERRY T-AKE 9</v>
      </c>
      <c r="H8757" t="str">
        <f>T("UNIT 100479 BOX 801")</f>
        <v>UNIT 100479 BOX 801</v>
      </c>
      <c r="I8757" t="str">
        <f t="shared" si="3247"/>
        <v>FPO</v>
      </c>
      <c r="J8757" t="str">
        <f>T("AP")</f>
        <v>AP</v>
      </c>
      <c r="K8757" t="str">
        <f>T("6195530144")</f>
        <v>6195530144</v>
      </c>
      <c r="L8757" t="str">
        <f>T("6195447128")</f>
        <v>6195447128</v>
      </c>
    </row>
    <row r="8758" spans="1:12" x14ac:dyDescent="0.35">
      <c r="A8758" t="str">
        <f t="shared" si="3244"/>
        <v>MSC SAN DIEGO</v>
      </c>
      <c r="B8758" t="str">
        <f>T("USNS MERCY MTF T-AH-19")</f>
        <v>USNS MERCY MTF T-AH-19</v>
      </c>
      <c r="C8758" t="str">
        <f>T("S1 DIVISION")</f>
        <v>S1 DIVISION</v>
      </c>
      <c r="D8758" t="str">
        <f t="shared" si="3249"/>
        <v>FPO</v>
      </c>
      <c r="E8758" t="str">
        <f t="shared" si="3248"/>
        <v>AP</v>
      </c>
      <c r="F8758" t="str">
        <f t="shared" ref="F8758:F8764" si="3250">T("966724090")</f>
        <v>966724090</v>
      </c>
      <c r="G8758" t="str">
        <f>T("USNS MERCY")</f>
        <v>USNS MERCY</v>
      </c>
      <c r="H8758" t="str">
        <f>T("32ND STREET NAVAL BASE PIER 1")</f>
        <v>32ND STREET NAVAL BASE PIER 1</v>
      </c>
      <c r="I8758" t="str">
        <f>T("SAN DIEGO")</f>
        <v>SAN DIEGO</v>
      </c>
      <c r="J8758" t="str">
        <f>T("CA")</f>
        <v>CA</v>
      </c>
      <c r="K8758" t="str">
        <f>T("000000000000000000")</f>
        <v>000000000000000000</v>
      </c>
      <c r="L8758" t="str">
        <f>T("6197676209")</f>
        <v>6197676209</v>
      </c>
    </row>
    <row r="8759" spans="1:12" x14ac:dyDescent="0.35">
      <c r="A8759" t="str">
        <f t="shared" si="3244"/>
        <v>MSC SAN DIEGO</v>
      </c>
      <c r="B8759" t="str">
        <f>T("USNS MERCY MTF T-AH-19")</f>
        <v>USNS MERCY MTF T-AH-19</v>
      </c>
      <c r="C8759" t="str">
        <f>T("S1 DIVISION")</f>
        <v>S1 DIVISION</v>
      </c>
      <c r="D8759" t="str">
        <f t="shared" si="3249"/>
        <v>FPO</v>
      </c>
      <c r="E8759" t="str">
        <f t="shared" si="3248"/>
        <v>AP</v>
      </c>
      <c r="F8759" t="str">
        <f t="shared" si="3250"/>
        <v>966724090</v>
      </c>
      <c r="G8759" t="str">
        <f>T("USNS MERCY 32ND ST")</f>
        <v>USNS MERCY 32ND ST</v>
      </c>
      <c r="H8759" t="str">
        <f>T("NAVAL BASE PIER 2")</f>
        <v>NAVAL BASE PIER 2</v>
      </c>
      <c r="I8759" t="str">
        <f>T("SAN DIEGO")</f>
        <v>SAN DIEGO</v>
      </c>
      <c r="J8759" t="str">
        <f>T("CA")</f>
        <v>CA</v>
      </c>
      <c r="K8759" t="str">
        <f>T("000000000000000000")</f>
        <v>000000000000000000</v>
      </c>
      <c r="L8759" t="str">
        <f>T("6199904752")</f>
        <v>6199904752</v>
      </c>
    </row>
    <row r="8760" spans="1:12" x14ac:dyDescent="0.35">
      <c r="A8760" t="str">
        <f t="shared" si="3244"/>
        <v>MSC SAN DIEGO</v>
      </c>
      <c r="B8760" t="str">
        <f>T("USNS MERCY MTF T-AH-19")</f>
        <v>USNS MERCY MTF T-AH-19</v>
      </c>
      <c r="C8760" t="str">
        <f>T("S1 DIVISION")</f>
        <v>S1 DIVISION</v>
      </c>
      <c r="D8760" t="str">
        <f t="shared" si="3249"/>
        <v>FPO</v>
      </c>
      <c r="E8760" t="str">
        <f t="shared" si="3248"/>
        <v>AP</v>
      </c>
      <c r="F8760" t="str">
        <f t="shared" si="3250"/>
        <v>966724090</v>
      </c>
      <c r="G8760" t="str">
        <f>T("USNS MERCY MTF T-AH-19")</f>
        <v>USNS MERCY MTF T-AH-19</v>
      </c>
      <c r="H8760" t="str">
        <f>T("S1 DIVISION")</f>
        <v>S1 DIVISION</v>
      </c>
      <c r="I8760" t="str">
        <f t="shared" ref="I8760:I8799" si="3251">T("FPO")</f>
        <v>FPO</v>
      </c>
      <c r="J8760" t="str">
        <f t="shared" ref="J8760:J8799" si="3252">T("AP")</f>
        <v>AP</v>
      </c>
      <c r="K8760" t="str">
        <f>T("6195330144")</f>
        <v>6195330144</v>
      </c>
      <c r="L8760" t="str">
        <f>T("6197676209")</f>
        <v>6197676209</v>
      </c>
    </row>
    <row r="8761" spans="1:12" x14ac:dyDescent="0.35">
      <c r="A8761" t="str">
        <f t="shared" si="3244"/>
        <v>MSC SAN DIEGO</v>
      </c>
      <c r="B8761" t="str">
        <f>T("USNS MERCY T-AH 19")</f>
        <v>USNS MERCY T-AH 19</v>
      </c>
      <c r="C8761" t="str">
        <f>T("MASTER")</f>
        <v>MASTER</v>
      </c>
      <c r="D8761" t="str">
        <f t="shared" si="3249"/>
        <v>FPO</v>
      </c>
      <c r="E8761" t="str">
        <f t="shared" si="3248"/>
        <v>AP</v>
      </c>
      <c r="F8761" t="str">
        <f t="shared" si="3250"/>
        <v>966724090</v>
      </c>
      <c r="G8761" t="str">
        <f>T("USNS MERCY")</f>
        <v>USNS MERCY</v>
      </c>
      <c r="H8761" t="str">
        <f>T("")</f>
        <v/>
      </c>
      <c r="I8761" t="str">
        <f t="shared" si="3251"/>
        <v>FPO</v>
      </c>
      <c r="J8761" t="str">
        <f t="shared" si="3252"/>
        <v>AP</v>
      </c>
      <c r="K8761" t="str">
        <f>T("000000000000000000")</f>
        <v>000000000000000000</v>
      </c>
      <c r="L8761" t="str">
        <f>T("6197444598")</f>
        <v>6197444598</v>
      </c>
    </row>
    <row r="8762" spans="1:12" x14ac:dyDescent="0.35">
      <c r="A8762" t="str">
        <f t="shared" si="3244"/>
        <v>MSC SAN DIEGO</v>
      </c>
      <c r="B8762" t="str">
        <f>T("USNS MERCY T-AH 19")</f>
        <v>USNS MERCY T-AH 19</v>
      </c>
      <c r="C8762" t="str">
        <f>T("MASTER")</f>
        <v>MASTER</v>
      </c>
      <c r="D8762" t="str">
        <f t="shared" si="3249"/>
        <v>FPO</v>
      </c>
      <c r="E8762" t="str">
        <f t="shared" si="3248"/>
        <v>AP</v>
      </c>
      <c r="F8762" t="str">
        <f t="shared" si="3250"/>
        <v>966724090</v>
      </c>
      <c r="G8762" t="str">
        <f>T("USNS MERCY")</f>
        <v>USNS MERCY</v>
      </c>
      <c r="H8762" t="str">
        <f>T("")</f>
        <v/>
      </c>
      <c r="I8762" t="str">
        <f t="shared" si="3251"/>
        <v>FPO</v>
      </c>
      <c r="J8762" t="str">
        <f t="shared" si="3252"/>
        <v>AP</v>
      </c>
      <c r="K8762" t="str">
        <f>T("6197676202")</f>
        <v>6197676202</v>
      </c>
      <c r="L8762" t="str">
        <f>T("6197444598")</f>
        <v>6197444598</v>
      </c>
    </row>
    <row r="8763" spans="1:12" x14ac:dyDescent="0.35">
      <c r="A8763" t="str">
        <f t="shared" si="3244"/>
        <v>MSC SAN DIEGO</v>
      </c>
      <c r="B8763" t="str">
        <f>T("USNS MERCY T-AH 19")</f>
        <v>USNS MERCY T-AH 19</v>
      </c>
      <c r="C8763" t="str">
        <f>T("MASTER")</f>
        <v>MASTER</v>
      </c>
      <c r="D8763" t="str">
        <f t="shared" si="3249"/>
        <v>FPO</v>
      </c>
      <c r="E8763" t="str">
        <f t="shared" si="3248"/>
        <v>AP</v>
      </c>
      <c r="F8763" t="str">
        <f t="shared" si="3250"/>
        <v>966724090</v>
      </c>
      <c r="G8763" t="str">
        <f>T("USNS MERCY T-AH 19")</f>
        <v>USNS MERCY T-AH 19</v>
      </c>
      <c r="H8763" t="str">
        <f>T("MASTER")</f>
        <v>MASTER</v>
      </c>
      <c r="I8763" t="str">
        <f t="shared" si="3251"/>
        <v>FPO</v>
      </c>
      <c r="J8763" t="str">
        <f t="shared" si="3252"/>
        <v>AP</v>
      </c>
      <c r="K8763" t="str">
        <f>T("6197676227")</f>
        <v>6197676227</v>
      </c>
      <c r="L8763" t="str">
        <f>T("6197676206")</f>
        <v>6197676206</v>
      </c>
    </row>
    <row r="8764" spans="1:12" x14ac:dyDescent="0.35">
      <c r="A8764" t="str">
        <f t="shared" si="3244"/>
        <v>MSC SAN DIEGO</v>
      </c>
      <c r="B8764" t="str">
        <f>T("USNS MERCY T-AH 19")</f>
        <v>USNS MERCY T-AH 19</v>
      </c>
      <c r="C8764" t="str">
        <f>T("MASTER")</f>
        <v>MASTER</v>
      </c>
      <c r="D8764" t="str">
        <f t="shared" si="3249"/>
        <v>FPO</v>
      </c>
      <c r="E8764" t="str">
        <f t="shared" si="3248"/>
        <v>AP</v>
      </c>
      <c r="F8764" t="str">
        <f t="shared" si="3250"/>
        <v>966724090</v>
      </c>
      <c r="G8764" t="str">
        <f>T("USNS MERCY T-AH 19")</f>
        <v>USNS MERCY T-AH 19</v>
      </c>
      <c r="H8764" t="str">
        <f>T("UNIT 100128 BOX 2001")</f>
        <v>UNIT 100128 BOX 2001</v>
      </c>
      <c r="I8764" t="str">
        <f t="shared" si="3251"/>
        <v>FPO</v>
      </c>
      <c r="J8764" t="str">
        <f t="shared" si="3252"/>
        <v>AP</v>
      </c>
      <c r="K8764" t="str">
        <f>T("6197676202")</f>
        <v>6197676202</v>
      </c>
      <c r="L8764" t="str">
        <f>T("6195337234")</f>
        <v>6195337234</v>
      </c>
    </row>
    <row r="8765" spans="1:12" x14ac:dyDescent="0.35">
      <c r="A8765" t="str">
        <f t="shared" si="3244"/>
        <v>MSC SAN DIEGO</v>
      </c>
      <c r="B8765" t="str">
        <f>T("USNS NAVAJO T-ATF 169")</f>
        <v>USNS NAVAJO T-ATF 169</v>
      </c>
      <c r="C8765" t="str">
        <f t="shared" ref="C8765:C8781" si="3253">T("ATTN MASTER")</f>
        <v>ATTN MASTER</v>
      </c>
      <c r="D8765" t="str">
        <f t="shared" si="3249"/>
        <v>FPO</v>
      </c>
      <c r="E8765" t="str">
        <f t="shared" si="3248"/>
        <v>AP</v>
      </c>
      <c r="F8765" t="str">
        <f>T("966734036")</f>
        <v>966734036</v>
      </c>
      <c r="G8765" t="str">
        <f>T("USNS NAVAJO T-ATF 169")</f>
        <v>USNS NAVAJO T-ATF 169</v>
      </c>
      <c r="H8765" t="str">
        <f>T("ATTN MASTER")</f>
        <v>ATTN MASTER</v>
      </c>
      <c r="I8765" t="str">
        <f t="shared" si="3251"/>
        <v>FPO</v>
      </c>
      <c r="J8765" t="str">
        <f t="shared" si="3252"/>
        <v>AP</v>
      </c>
      <c r="K8765" t="str">
        <f>T("")</f>
        <v/>
      </c>
      <c r="L8765" t="str">
        <f>T("6195337235")</f>
        <v>6195337235</v>
      </c>
    </row>
    <row r="8766" spans="1:12" x14ac:dyDescent="0.35">
      <c r="A8766" t="str">
        <f t="shared" si="3244"/>
        <v>MSC SAN DIEGO</v>
      </c>
      <c r="B8766" t="str">
        <f>T("USNS NAVAJO T-ATF 169")</f>
        <v>USNS NAVAJO T-ATF 169</v>
      </c>
      <c r="C8766" t="str">
        <f t="shared" si="3253"/>
        <v>ATTN MASTER</v>
      </c>
      <c r="D8766" t="str">
        <f t="shared" si="3249"/>
        <v>FPO</v>
      </c>
      <c r="E8766" t="str">
        <f t="shared" si="3248"/>
        <v>AP</v>
      </c>
      <c r="F8766" t="str">
        <f>T("966734036")</f>
        <v>966734036</v>
      </c>
      <c r="G8766" t="str">
        <f>T("USNS NAVAJO T-ATF 169")</f>
        <v>USNS NAVAJO T-ATF 169</v>
      </c>
      <c r="H8766" t="str">
        <f>T("UNIT 100474 BOX 1")</f>
        <v>UNIT 100474 BOX 1</v>
      </c>
      <c r="I8766" t="str">
        <f t="shared" si="3251"/>
        <v>FPO</v>
      </c>
      <c r="J8766" t="str">
        <f t="shared" si="3252"/>
        <v>AP</v>
      </c>
      <c r="K8766" t="str">
        <f>T("000000000000000000")</f>
        <v>000000000000000000</v>
      </c>
      <c r="L8766" t="str">
        <f>T("6195337235")</f>
        <v>6195337235</v>
      </c>
    </row>
    <row r="8767" spans="1:12" x14ac:dyDescent="0.35">
      <c r="A8767" t="str">
        <f t="shared" ref="A8767:A8796" si="3254">T("MSC SAN DIEGO")</f>
        <v>MSC SAN DIEGO</v>
      </c>
      <c r="B8767" t="str">
        <f>T("USNS NAVAJO T-ATF 169")</f>
        <v>USNS NAVAJO T-ATF 169</v>
      </c>
      <c r="C8767" t="str">
        <f t="shared" si="3253"/>
        <v>ATTN MASTER</v>
      </c>
      <c r="D8767" t="str">
        <f t="shared" si="3249"/>
        <v>FPO</v>
      </c>
      <c r="E8767" t="str">
        <f t="shared" si="3248"/>
        <v>AP</v>
      </c>
      <c r="F8767" t="str">
        <f>T("966734036")</f>
        <v>966734036</v>
      </c>
      <c r="G8767" t="str">
        <f>T("USNS NAVAJO T-ATF 169")</f>
        <v>USNS NAVAJO T-ATF 169</v>
      </c>
      <c r="H8767" t="str">
        <f>T("UNIT 100474 BOX 1")</f>
        <v>UNIT 100474 BOX 1</v>
      </c>
      <c r="I8767" t="str">
        <f t="shared" si="3251"/>
        <v>FPO</v>
      </c>
      <c r="J8767" t="str">
        <f t="shared" si="3252"/>
        <v>AP</v>
      </c>
      <c r="K8767" t="str">
        <f>T("6195530144")</f>
        <v>6195530144</v>
      </c>
      <c r="L8767" t="str">
        <f>T("6195337235")</f>
        <v>6195337235</v>
      </c>
    </row>
    <row r="8768" spans="1:12" x14ac:dyDescent="0.35">
      <c r="A8768" t="str">
        <f t="shared" si="3254"/>
        <v>MSC SAN DIEGO</v>
      </c>
      <c r="B8768" t="str">
        <f>T("USNS NAVAJO T-ATF 169")</f>
        <v>USNS NAVAJO T-ATF 169</v>
      </c>
      <c r="C8768" t="str">
        <f t="shared" si="3253"/>
        <v>ATTN MASTER</v>
      </c>
      <c r="D8768" t="str">
        <f t="shared" si="3249"/>
        <v>FPO</v>
      </c>
      <c r="E8768" t="str">
        <f t="shared" si="3248"/>
        <v>AP</v>
      </c>
      <c r="F8768" t="str">
        <f>T("966734036")</f>
        <v>966734036</v>
      </c>
      <c r="G8768" t="str">
        <f>T("USNS NAVAJO T-ATF 169")</f>
        <v>USNS NAVAJO T-ATF 169</v>
      </c>
      <c r="H8768" t="str">
        <f>T("UNIT 100474 BOX 3")</f>
        <v>UNIT 100474 BOX 3</v>
      </c>
      <c r="I8768" t="str">
        <f t="shared" si="3251"/>
        <v>FPO</v>
      </c>
      <c r="J8768" t="str">
        <f t="shared" si="3252"/>
        <v>AP</v>
      </c>
      <c r="K8768" t="str">
        <f>T("6195530144")</f>
        <v>6195530144</v>
      </c>
      <c r="L8768" t="str">
        <f>T("6195337235")</f>
        <v>6195337235</v>
      </c>
    </row>
    <row r="8769" spans="1:12" x14ac:dyDescent="0.35">
      <c r="A8769" t="str">
        <f t="shared" si="3254"/>
        <v>MSC SAN DIEGO</v>
      </c>
      <c r="B8769" t="str">
        <f>T("USNS RICHARD BYRD T-AKE 4")</f>
        <v>USNS RICHARD BYRD T-AKE 4</v>
      </c>
      <c r="C8769" t="str">
        <f t="shared" si="3253"/>
        <v>ATTN MASTER</v>
      </c>
      <c r="D8769" t="str">
        <f t="shared" si="3249"/>
        <v>FPO</v>
      </c>
      <c r="E8769" t="str">
        <f t="shared" si="3248"/>
        <v>AP</v>
      </c>
      <c r="F8769" t="str">
        <f>T("966614104")</f>
        <v>966614104</v>
      </c>
      <c r="G8769" t="str">
        <f>T("USNS RICHARD BYRD")</f>
        <v>USNS RICHARD BYRD</v>
      </c>
      <c r="H8769" t="str">
        <f>T("USNS RICHARD BYRD T-AKE 4")</f>
        <v>USNS RICHARD BYRD T-AKE 4</v>
      </c>
      <c r="I8769" t="str">
        <f t="shared" si="3251"/>
        <v>FPO</v>
      </c>
      <c r="J8769" t="str">
        <f t="shared" si="3252"/>
        <v>AP</v>
      </c>
      <c r="K8769" t="str">
        <f>T("000000000000000000")</f>
        <v>000000000000000000</v>
      </c>
      <c r="L8769" t="str">
        <f>T("6195337254")</f>
        <v>6195337254</v>
      </c>
    </row>
    <row r="8770" spans="1:12" x14ac:dyDescent="0.35">
      <c r="A8770" t="str">
        <f t="shared" si="3254"/>
        <v>MSC SAN DIEGO</v>
      </c>
      <c r="B8770" t="str">
        <f>T("USNS RICHARD BYRD T-AKE 4")</f>
        <v>USNS RICHARD BYRD T-AKE 4</v>
      </c>
      <c r="C8770" t="str">
        <f t="shared" si="3253"/>
        <v>ATTN MASTER</v>
      </c>
      <c r="D8770" t="str">
        <f t="shared" si="3249"/>
        <v>FPO</v>
      </c>
      <c r="E8770" t="str">
        <f t="shared" si="3248"/>
        <v>AP</v>
      </c>
      <c r="F8770" t="str">
        <f>T("966614104")</f>
        <v>966614104</v>
      </c>
      <c r="G8770" t="str">
        <f>T("USNS RICHARD BYRD T-AKE 4")</f>
        <v>USNS RICHARD BYRD T-AKE 4</v>
      </c>
      <c r="H8770" t="str">
        <f>T("")</f>
        <v/>
      </c>
      <c r="I8770" t="str">
        <f t="shared" si="3251"/>
        <v>FPO</v>
      </c>
      <c r="J8770" t="str">
        <f t="shared" si="3252"/>
        <v>AP</v>
      </c>
      <c r="K8770" t="str">
        <f>T("000000000000000000")</f>
        <v>000000000000000000</v>
      </c>
      <c r="L8770" t="str">
        <f>T("6195452626")</f>
        <v>6195452626</v>
      </c>
    </row>
    <row r="8771" spans="1:12" x14ac:dyDescent="0.35">
      <c r="A8771" t="str">
        <f t="shared" si="3254"/>
        <v>MSC SAN DIEGO</v>
      </c>
      <c r="B8771" t="str">
        <f>T("USNS RICHARD BYRD T-AKE 4")</f>
        <v>USNS RICHARD BYRD T-AKE 4</v>
      </c>
      <c r="C8771" t="str">
        <f t="shared" si="3253"/>
        <v>ATTN MASTER</v>
      </c>
      <c r="D8771" t="str">
        <f t="shared" si="3249"/>
        <v>FPO</v>
      </c>
      <c r="E8771" t="str">
        <f t="shared" si="3248"/>
        <v>AP</v>
      </c>
      <c r="F8771" t="str">
        <f>T("966614104")</f>
        <v>966614104</v>
      </c>
      <c r="G8771" t="str">
        <f>T("USNS RICHARD BYRD T-AKE 4")</f>
        <v>USNS RICHARD BYRD T-AKE 4</v>
      </c>
      <c r="H8771" t="str">
        <f>T("ATTN MASTER")</f>
        <v>ATTN MASTER</v>
      </c>
      <c r="I8771" t="str">
        <f t="shared" si="3251"/>
        <v>FPO</v>
      </c>
      <c r="J8771" t="str">
        <f t="shared" si="3252"/>
        <v>AP</v>
      </c>
      <c r="K8771" t="str">
        <f>T("")</f>
        <v/>
      </c>
      <c r="L8771" t="str">
        <f>T("6195337252")</f>
        <v>6195337252</v>
      </c>
    </row>
    <row r="8772" spans="1:12" x14ac:dyDescent="0.35">
      <c r="A8772" t="str">
        <f t="shared" si="3254"/>
        <v>MSC SAN DIEGO</v>
      </c>
      <c r="B8772" t="str">
        <f>T("USNS RICHARD BYRD T-AKE 4")</f>
        <v>USNS RICHARD BYRD T-AKE 4</v>
      </c>
      <c r="C8772" t="str">
        <f t="shared" si="3253"/>
        <v>ATTN MASTER</v>
      </c>
      <c r="D8772" t="str">
        <f t="shared" si="3249"/>
        <v>FPO</v>
      </c>
      <c r="E8772" t="str">
        <f t="shared" si="3248"/>
        <v>AP</v>
      </c>
      <c r="F8772" t="str">
        <f>T("966614104")</f>
        <v>966614104</v>
      </c>
      <c r="G8772" t="str">
        <f>T("USNS RICHARD E BYRD TAKE 4")</f>
        <v>USNS RICHARD E BYRD TAKE 4</v>
      </c>
      <c r="H8772" t="str">
        <f>T("UNIT 100424 BOX 1")</f>
        <v>UNIT 100424 BOX 1</v>
      </c>
      <c r="I8772" t="str">
        <f t="shared" si="3251"/>
        <v>FPO</v>
      </c>
      <c r="J8772" t="str">
        <f t="shared" si="3252"/>
        <v>AP</v>
      </c>
      <c r="K8772" t="str">
        <f>T("000000000000000000")</f>
        <v>000000000000000000</v>
      </c>
      <c r="L8772" t="str">
        <f>T("6195453626")</f>
        <v>6195453626</v>
      </c>
    </row>
    <row r="8773" spans="1:12" x14ac:dyDescent="0.35">
      <c r="A8773" t="str">
        <f t="shared" si="3254"/>
        <v>MSC SAN DIEGO</v>
      </c>
      <c r="B8773" t="str">
        <f>T("USNS SACAGAWEA T-AKE 2")</f>
        <v>USNS SACAGAWEA T-AKE 2</v>
      </c>
      <c r="C8773" t="str">
        <f t="shared" si="3253"/>
        <v>ATTN MASTER</v>
      </c>
      <c r="D8773" t="str">
        <f t="shared" si="3249"/>
        <v>FPO</v>
      </c>
      <c r="E8773" t="str">
        <f t="shared" si="3248"/>
        <v>AP</v>
      </c>
      <c r="F8773" t="str">
        <f>T("966784178")</f>
        <v>966784178</v>
      </c>
      <c r="G8773" t="str">
        <f>T("USNS SACAGAWEA")</f>
        <v>USNS SACAGAWEA</v>
      </c>
      <c r="H8773" t="str">
        <f>T("")</f>
        <v/>
      </c>
      <c r="I8773" t="str">
        <f t="shared" si="3251"/>
        <v>FPO</v>
      </c>
      <c r="J8773" t="str">
        <f t="shared" si="3252"/>
        <v>AP</v>
      </c>
      <c r="K8773" t="str">
        <f>T("6195447124")</f>
        <v>6195447124</v>
      </c>
      <c r="L8773" t="str">
        <f>T("6195447124")</f>
        <v>6195447124</v>
      </c>
    </row>
    <row r="8774" spans="1:12" x14ac:dyDescent="0.35">
      <c r="A8774" t="str">
        <f t="shared" si="3254"/>
        <v>MSC SAN DIEGO</v>
      </c>
      <c r="B8774" t="str">
        <f>T("USNS SACAGAWEA T-AKE 2")</f>
        <v>USNS SACAGAWEA T-AKE 2</v>
      </c>
      <c r="C8774" t="str">
        <f t="shared" si="3253"/>
        <v>ATTN MASTER</v>
      </c>
      <c r="D8774" t="str">
        <f t="shared" si="3249"/>
        <v>FPO</v>
      </c>
      <c r="E8774" t="str">
        <f t="shared" si="3248"/>
        <v>AP</v>
      </c>
      <c r="F8774" t="str">
        <f>T("966784178")</f>
        <v>966784178</v>
      </c>
      <c r="G8774" t="str">
        <f>T("USNS SACAGAWEA T-AKE 2")</f>
        <v>USNS SACAGAWEA T-AKE 2</v>
      </c>
      <c r="H8774" t="str">
        <f>T("")</f>
        <v/>
      </c>
      <c r="I8774" t="str">
        <f t="shared" si="3251"/>
        <v>FPO</v>
      </c>
      <c r="J8774" t="str">
        <f t="shared" si="3252"/>
        <v>AP</v>
      </c>
      <c r="K8774" t="str">
        <f>T("6195447124")</f>
        <v>6195447124</v>
      </c>
      <c r="L8774" t="str">
        <f>T("6195447124")</f>
        <v>6195447124</v>
      </c>
    </row>
    <row r="8775" spans="1:12" x14ac:dyDescent="0.35">
      <c r="A8775" t="str">
        <f t="shared" si="3254"/>
        <v>MSC SAN DIEGO</v>
      </c>
      <c r="B8775" t="str">
        <f>T("USNS SACAGAWEA T-AKE 2")</f>
        <v>USNS SACAGAWEA T-AKE 2</v>
      </c>
      <c r="C8775" t="str">
        <f t="shared" si="3253"/>
        <v>ATTN MASTER</v>
      </c>
      <c r="D8775" t="str">
        <f t="shared" si="3249"/>
        <v>FPO</v>
      </c>
      <c r="E8775" t="str">
        <f t="shared" si="3248"/>
        <v>AP</v>
      </c>
      <c r="F8775" t="str">
        <f>T("966784178")</f>
        <v>966784178</v>
      </c>
      <c r="G8775" t="str">
        <f>T("USNS SACAGAWEA T-AKE 2")</f>
        <v>USNS SACAGAWEA T-AKE 2</v>
      </c>
      <c r="H8775" t="str">
        <f>T("ATTN MASTER")</f>
        <v>ATTN MASTER</v>
      </c>
      <c r="I8775" t="str">
        <f t="shared" si="3251"/>
        <v>FPO</v>
      </c>
      <c r="J8775" t="str">
        <f t="shared" si="3252"/>
        <v>AP</v>
      </c>
      <c r="K8775" t="str">
        <f>T("6195447124")</f>
        <v>6195447124</v>
      </c>
      <c r="L8775" t="str">
        <f>T("6195447125")</f>
        <v>6195447125</v>
      </c>
    </row>
    <row r="8776" spans="1:12" x14ac:dyDescent="0.35">
      <c r="A8776" t="str">
        <f t="shared" si="3254"/>
        <v>MSC SAN DIEGO</v>
      </c>
      <c r="B8776" t="str">
        <f>T("USNS SAFEGUARD T-ARS 50")</f>
        <v>USNS SAFEGUARD T-ARS 50</v>
      </c>
      <c r="C8776" t="str">
        <f t="shared" si="3253"/>
        <v>ATTN MASTER</v>
      </c>
      <c r="D8776" t="str">
        <f t="shared" si="3249"/>
        <v>FPO</v>
      </c>
      <c r="E8776" t="str">
        <f t="shared" si="3248"/>
        <v>AP</v>
      </c>
      <c r="F8776" t="str">
        <f>T("966784103")</f>
        <v>966784103</v>
      </c>
      <c r="G8776" t="str">
        <f>T("USNS SAFEGUARD T-ARS 50")</f>
        <v>USNS SAFEGUARD T-ARS 50</v>
      </c>
      <c r="H8776" t="str">
        <f>T("ATTN MASTER")</f>
        <v>ATTN MASTER</v>
      </c>
      <c r="I8776" t="str">
        <f t="shared" si="3251"/>
        <v>FPO</v>
      </c>
      <c r="J8776" t="str">
        <f t="shared" si="3252"/>
        <v>AP</v>
      </c>
      <c r="K8776" t="str">
        <f>T("6195530144")</f>
        <v>6195530144</v>
      </c>
      <c r="L8776" t="str">
        <f>T("6195337211")</f>
        <v>6195337211</v>
      </c>
    </row>
    <row r="8777" spans="1:12" x14ac:dyDescent="0.35">
      <c r="A8777" t="str">
        <f t="shared" si="3254"/>
        <v>MSC SAN DIEGO</v>
      </c>
      <c r="B8777" t="str">
        <f>T("USNS SAFEGUARD T-ARS 50")</f>
        <v>USNS SAFEGUARD T-ARS 50</v>
      </c>
      <c r="C8777" t="str">
        <f t="shared" si="3253"/>
        <v>ATTN MASTER</v>
      </c>
      <c r="D8777" t="str">
        <f t="shared" si="3249"/>
        <v>FPO</v>
      </c>
      <c r="E8777" t="str">
        <f t="shared" si="3248"/>
        <v>AP</v>
      </c>
      <c r="F8777" t="str">
        <f>T("966784103")</f>
        <v>966784103</v>
      </c>
      <c r="G8777" t="str">
        <f>T("USNS SAFEGUARD T-ARS 50")</f>
        <v>USNS SAFEGUARD T-ARS 50</v>
      </c>
      <c r="H8777" t="str">
        <f>T("UNIT 100493 BOX 1")</f>
        <v>UNIT 100493 BOX 1</v>
      </c>
      <c r="I8777" t="str">
        <f t="shared" si="3251"/>
        <v>FPO</v>
      </c>
      <c r="J8777" t="str">
        <f t="shared" si="3252"/>
        <v>AP</v>
      </c>
      <c r="K8777" t="str">
        <f>T("000000000000000000")</f>
        <v>000000000000000000</v>
      </c>
      <c r="L8777" t="str">
        <f>T("6195447189")</f>
        <v>6195447189</v>
      </c>
    </row>
    <row r="8778" spans="1:12" x14ac:dyDescent="0.35">
      <c r="A8778" t="str">
        <f t="shared" si="3254"/>
        <v>MSC SAN DIEGO</v>
      </c>
      <c r="B8778" t="str">
        <f>T("USNS SAFEGUARD T-ARS 50")</f>
        <v>USNS SAFEGUARD T-ARS 50</v>
      </c>
      <c r="C8778" t="str">
        <f t="shared" si="3253"/>
        <v>ATTN MASTER</v>
      </c>
      <c r="D8778" t="str">
        <f t="shared" si="3249"/>
        <v>FPO</v>
      </c>
      <c r="E8778" t="str">
        <f t="shared" si="3248"/>
        <v>AP</v>
      </c>
      <c r="F8778" t="str">
        <f>T("966784103")</f>
        <v>966784103</v>
      </c>
      <c r="G8778" t="str">
        <f>T("USNS SAFEGUARD T-ARS 50")</f>
        <v>USNS SAFEGUARD T-ARS 50</v>
      </c>
      <c r="H8778" t="str">
        <f>T("UNIT 100493 BOX 1")</f>
        <v>UNIT 100493 BOX 1</v>
      </c>
      <c r="I8778" t="str">
        <f t="shared" si="3251"/>
        <v>FPO</v>
      </c>
      <c r="J8778" t="str">
        <f t="shared" si="3252"/>
        <v>AP</v>
      </c>
      <c r="K8778" t="str">
        <f>T("6195530144")</f>
        <v>6195530144</v>
      </c>
      <c r="L8778" t="str">
        <f>T("6195447189")</f>
        <v>6195447189</v>
      </c>
    </row>
    <row r="8779" spans="1:12" x14ac:dyDescent="0.35">
      <c r="A8779" t="str">
        <f t="shared" si="3254"/>
        <v>MSC SAN DIEGO</v>
      </c>
      <c r="B8779" t="str">
        <f>T("USNS SALVOR T-ARS 52")</f>
        <v>USNS SALVOR T-ARS 52</v>
      </c>
      <c r="C8779" t="str">
        <f t="shared" si="3253"/>
        <v>ATTN MASTER</v>
      </c>
      <c r="D8779" t="str">
        <f t="shared" si="3249"/>
        <v>FPO</v>
      </c>
      <c r="E8779" t="str">
        <f t="shared" si="3248"/>
        <v>AP</v>
      </c>
      <c r="F8779" t="str">
        <f>T("966789600")</f>
        <v>966789600</v>
      </c>
      <c r="G8779" t="str">
        <f>T("USNS SALVOR T-ARS 52")</f>
        <v>USNS SALVOR T-ARS 52</v>
      </c>
      <c r="H8779" t="str">
        <f>T("ATTN MASTER")</f>
        <v>ATTN MASTER</v>
      </c>
      <c r="I8779" t="str">
        <f t="shared" si="3251"/>
        <v>FPO</v>
      </c>
      <c r="J8779" t="str">
        <f t="shared" si="3252"/>
        <v>AP</v>
      </c>
      <c r="K8779" t="str">
        <f>T("6195530144")</f>
        <v>6195530144</v>
      </c>
      <c r="L8779" t="str">
        <f>T("6195337271")</f>
        <v>6195337271</v>
      </c>
    </row>
    <row r="8780" spans="1:12" x14ac:dyDescent="0.35">
      <c r="A8780" t="str">
        <f t="shared" si="3254"/>
        <v>MSC SAN DIEGO</v>
      </c>
      <c r="B8780" t="str">
        <f>T("USNS SALVOR T-ARS 52")</f>
        <v>USNS SALVOR T-ARS 52</v>
      </c>
      <c r="C8780" t="str">
        <f t="shared" si="3253"/>
        <v>ATTN MASTER</v>
      </c>
      <c r="D8780" t="str">
        <f t="shared" si="3249"/>
        <v>FPO</v>
      </c>
      <c r="E8780" t="str">
        <f t="shared" si="3248"/>
        <v>AP</v>
      </c>
      <c r="F8780" t="str">
        <f>T("966789600")</f>
        <v>966789600</v>
      </c>
      <c r="G8780" t="str">
        <f>T("USNS SALVOR T-ARS 52")</f>
        <v>USNS SALVOR T-ARS 52</v>
      </c>
      <c r="H8780" t="str">
        <f>T("UNIT 100496 BOX 1")</f>
        <v>UNIT 100496 BOX 1</v>
      </c>
      <c r="I8780" t="str">
        <f t="shared" si="3251"/>
        <v>FPO</v>
      </c>
      <c r="J8780" t="str">
        <f t="shared" si="3252"/>
        <v>AP</v>
      </c>
      <c r="K8780" t="str">
        <f>T("6195530144")</f>
        <v>6195530144</v>
      </c>
      <c r="L8780" t="str">
        <f>T("6195337212")</f>
        <v>6195337212</v>
      </c>
    </row>
    <row r="8781" spans="1:12" x14ac:dyDescent="0.35">
      <c r="A8781" t="str">
        <f t="shared" si="3254"/>
        <v>MSC SAN DIEGO</v>
      </c>
      <c r="B8781" t="str">
        <f>T("USNS SALVOR T-ARS 52")</f>
        <v>USNS SALVOR T-ARS 52</v>
      </c>
      <c r="C8781" t="str">
        <f t="shared" si="3253"/>
        <v>ATTN MASTER</v>
      </c>
      <c r="D8781" t="str">
        <f t="shared" si="3249"/>
        <v>FPO</v>
      </c>
      <c r="E8781" t="str">
        <f t="shared" si="3248"/>
        <v>AP</v>
      </c>
      <c r="F8781" t="str">
        <f>T("966789600")</f>
        <v>966789600</v>
      </c>
      <c r="G8781" t="str">
        <f>T("USNS SALVOR T-ARS 52")</f>
        <v>USNS SALVOR T-ARS 52</v>
      </c>
      <c r="H8781" t="str">
        <f>T("UNIT 100496, BOX 1")</f>
        <v>UNIT 100496, BOX 1</v>
      </c>
      <c r="I8781" t="str">
        <f t="shared" si="3251"/>
        <v>FPO</v>
      </c>
      <c r="J8781" t="str">
        <f t="shared" si="3252"/>
        <v>AP</v>
      </c>
      <c r="K8781" t="str">
        <f>T("000000000000000000")</f>
        <v>000000000000000000</v>
      </c>
      <c r="L8781" t="str">
        <f>T("6195337212")</f>
        <v>6195337212</v>
      </c>
    </row>
    <row r="8782" spans="1:12" x14ac:dyDescent="0.35">
      <c r="A8782" t="str">
        <f t="shared" si="3254"/>
        <v>MSC SAN DIEGO</v>
      </c>
      <c r="B8782" t="str">
        <f>T("USNS SIOUX T-ATF 171")</f>
        <v>USNS SIOUX T-ATF 171</v>
      </c>
      <c r="C8782" t="str">
        <f>T("MASTER")</f>
        <v>MASTER</v>
      </c>
      <c r="D8782" t="str">
        <f t="shared" si="3249"/>
        <v>FPO</v>
      </c>
      <c r="E8782" t="str">
        <f t="shared" si="3248"/>
        <v>AP</v>
      </c>
      <c r="F8782" t="str">
        <f>T("966780000")</f>
        <v>966780000</v>
      </c>
      <c r="G8782" t="str">
        <f>T("USNS SIOUX T-ATF 171")</f>
        <v>USNS SIOUX T-ATF 171</v>
      </c>
      <c r="H8782" t="str">
        <f>T("")</f>
        <v/>
      </c>
      <c r="I8782" t="str">
        <f t="shared" si="3251"/>
        <v>FPO</v>
      </c>
      <c r="J8782" t="str">
        <f t="shared" si="3252"/>
        <v>AP</v>
      </c>
      <c r="K8782" t="str">
        <f>T("000000000000000000")</f>
        <v>000000000000000000</v>
      </c>
      <c r="L8782" t="str">
        <f>T("6195337273")</f>
        <v>6195337273</v>
      </c>
    </row>
    <row r="8783" spans="1:12" x14ac:dyDescent="0.35">
      <c r="A8783" t="str">
        <f t="shared" si="3254"/>
        <v>MSC SAN DIEGO</v>
      </c>
      <c r="B8783" t="str">
        <f>T("USNS SIOUX T-ATF 171")</f>
        <v>USNS SIOUX T-ATF 171</v>
      </c>
      <c r="C8783" t="str">
        <f>T("MASTER")</f>
        <v>MASTER</v>
      </c>
      <c r="D8783" t="str">
        <f t="shared" si="3249"/>
        <v>FPO</v>
      </c>
      <c r="E8783" t="str">
        <f t="shared" si="3248"/>
        <v>AP</v>
      </c>
      <c r="F8783" t="str">
        <f>T("966780000")</f>
        <v>966780000</v>
      </c>
      <c r="G8783" t="str">
        <f>T("USNS SIOUX T-ATF 171")</f>
        <v>USNS SIOUX T-ATF 171</v>
      </c>
      <c r="H8783" t="str">
        <f>T("MASTER")</f>
        <v>MASTER</v>
      </c>
      <c r="I8783" t="str">
        <f t="shared" si="3251"/>
        <v>FPO</v>
      </c>
      <c r="J8783" t="str">
        <f t="shared" si="3252"/>
        <v>AP</v>
      </c>
      <c r="K8783" t="str">
        <f>T("")</f>
        <v/>
      </c>
      <c r="L8783" t="str">
        <f>T("6195337238")</f>
        <v>6195337238</v>
      </c>
    </row>
    <row r="8784" spans="1:12" x14ac:dyDescent="0.35">
      <c r="A8784" t="str">
        <f t="shared" si="3254"/>
        <v>MSC SAN DIEGO</v>
      </c>
      <c r="B8784" t="str">
        <f>T("USNS SIOUX T-ATF 171")</f>
        <v>USNS SIOUX T-ATF 171</v>
      </c>
      <c r="C8784" t="str">
        <f>T("MASTER")</f>
        <v>MASTER</v>
      </c>
      <c r="D8784" t="str">
        <f t="shared" si="3249"/>
        <v>FPO</v>
      </c>
      <c r="E8784" t="str">
        <f t="shared" si="3248"/>
        <v>AP</v>
      </c>
      <c r="F8784" t="str">
        <f>T("966780000")</f>
        <v>966780000</v>
      </c>
      <c r="G8784" t="str">
        <f>T("USNS SIOUX T-ATF 171")</f>
        <v>USNS SIOUX T-ATF 171</v>
      </c>
      <c r="H8784" t="str">
        <f>T("UNIT 100491 BOX 1")</f>
        <v>UNIT 100491 BOX 1</v>
      </c>
      <c r="I8784" t="str">
        <f t="shared" si="3251"/>
        <v>FPO</v>
      </c>
      <c r="J8784" t="str">
        <f t="shared" si="3252"/>
        <v>AP</v>
      </c>
      <c r="K8784" t="str">
        <f>T("000000000000000000")</f>
        <v>000000000000000000</v>
      </c>
      <c r="L8784" t="str">
        <f>T("6195337239")</f>
        <v>6195337239</v>
      </c>
    </row>
    <row r="8785" spans="1:12" x14ac:dyDescent="0.35">
      <c r="A8785" t="str">
        <f t="shared" si="3254"/>
        <v>MSC SAN DIEGO</v>
      </c>
      <c r="B8785" t="str">
        <f>T("USNS TIPPECANOE T-AO 199")</f>
        <v>USNS TIPPECANOE T-AO 199</v>
      </c>
      <c r="C8785" t="str">
        <f>T("ATTN MASTER")</f>
        <v>ATTN MASTER</v>
      </c>
      <c r="D8785" t="str">
        <f t="shared" si="3249"/>
        <v>FPO</v>
      </c>
      <c r="E8785" t="str">
        <f t="shared" si="3248"/>
        <v>AP</v>
      </c>
      <c r="F8785" t="str">
        <f>T("966794040")</f>
        <v>966794040</v>
      </c>
      <c r="G8785" t="str">
        <f>T("USNS TIPPECANOE T-AO 199")</f>
        <v>USNS TIPPECANOE T-AO 199</v>
      </c>
      <c r="H8785" t="str">
        <f>T("")</f>
        <v/>
      </c>
      <c r="I8785" t="str">
        <f t="shared" si="3251"/>
        <v>FPO</v>
      </c>
      <c r="J8785" t="str">
        <f t="shared" si="3252"/>
        <v>AP</v>
      </c>
      <c r="K8785" t="str">
        <f>T("000000000000000000")</f>
        <v>000000000000000000</v>
      </c>
      <c r="L8785" t="str">
        <f>T("7574353374")</f>
        <v>7574353374</v>
      </c>
    </row>
    <row r="8786" spans="1:12" x14ac:dyDescent="0.35">
      <c r="A8786" t="str">
        <f t="shared" si="3254"/>
        <v>MSC SAN DIEGO</v>
      </c>
      <c r="B8786" t="str">
        <f>T("USNS TIPPECANOE T-AO 199")</f>
        <v>USNS TIPPECANOE T-AO 199</v>
      </c>
      <c r="C8786" t="str">
        <f>T("ATTN MASTER")</f>
        <v>ATTN MASTER</v>
      </c>
      <c r="D8786" t="str">
        <f t="shared" si="3249"/>
        <v>FPO</v>
      </c>
      <c r="E8786" t="str">
        <f t="shared" ref="E8786:E8817" si="3255">T("AP")</f>
        <v>AP</v>
      </c>
      <c r="F8786" t="str">
        <f>T("966794040")</f>
        <v>966794040</v>
      </c>
      <c r="G8786" t="str">
        <f>T("USNS TIPPECANOE T-AO 199")</f>
        <v>USNS TIPPECANOE T-AO 199</v>
      </c>
      <c r="H8786" t="str">
        <f>T("")</f>
        <v/>
      </c>
      <c r="I8786" t="str">
        <f t="shared" si="3251"/>
        <v>FPO</v>
      </c>
      <c r="J8786" t="str">
        <f t="shared" si="3252"/>
        <v>AP</v>
      </c>
      <c r="K8786" t="str">
        <f>T("6195446982")</f>
        <v>6195446982</v>
      </c>
      <c r="L8786" t="str">
        <f>T("6195446981")</f>
        <v>6195446981</v>
      </c>
    </row>
    <row r="8787" spans="1:12" x14ac:dyDescent="0.35">
      <c r="A8787" t="str">
        <f t="shared" si="3254"/>
        <v>MSC SAN DIEGO</v>
      </c>
      <c r="B8787" t="str">
        <f>T("USNS TIPPECANOE T-AO 199")</f>
        <v>USNS TIPPECANOE T-AO 199</v>
      </c>
      <c r="C8787" t="str">
        <f>T("ATTN MASTER")</f>
        <v>ATTN MASTER</v>
      </c>
      <c r="D8787" t="str">
        <f t="shared" si="3249"/>
        <v>FPO</v>
      </c>
      <c r="E8787" t="str">
        <f t="shared" si="3255"/>
        <v>AP</v>
      </c>
      <c r="F8787" t="str">
        <f>T("966794040")</f>
        <v>966794040</v>
      </c>
      <c r="G8787" t="str">
        <f>T("USNS TIPPECANOE T-AO 199")</f>
        <v>USNS TIPPECANOE T-AO 199</v>
      </c>
      <c r="H8787" t="str">
        <f>T("ATTN MASTER")</f>
        <v>ATTN MASTER</v>
      </c>
      <c r="I8787" t="str">
        <f t="shared" si="3251"/>
        <v>FPO</v>
      </c>
      <c r="J8787" t="str">
        <f t="shared" si="3252"/>
        <v>AP</v>
      </c>
      <c r="K8787" t="str">
        <f>T("6195446982")</f>
        <v>6195446982</v>
      </c>
      <c r="L8787" t="str">
        <f>T("6195446981")</f>
        <v>6195446981</v>
      </c>
    </row>
    <row r="8788" spans="1:12" x14ac:dyDescent="0.35">
      <c r="A8788" t="str">
        <f t="shared" si="3254"/>
        <v>MSC SAN DIEGO</v>
      </c>
      <c r="B8788" t="str">
        <f>T("USNS WALLY SCHIRRA")</f>
        <v>USNS WALLY SCHIRRA</v>
      </c>
      <c r="C8788" t="str">
        <f>T("UNIT 100495 BOX 1")</f>
        <v>UNIT 100495 BOX 1</v>
      </c>
      <c r="D8788" t="str">
        <f t="shared" ref="D8788:D8807" si="3256">T("FPO")</f>
        <v>FPO</v>
      </c>
      <c r="E8788" t="str">
        <f t="shared" si="3255"/>
        <v>AP</v>
      </c>
      <c r="F8788" t="str">
        <f>T("966789500")</f>
        <v>966789500</v>
      </c>
      <c r="G8788" t="str">
        <f>T("USNS WALLY SCHIRRA")</f>
        <v>USNS WALLY SCHIRRA</v>
      </c>
      <c r="H8788" t="str">
        <f>T("UNIT 100495 BOX 1")</f>
        <v>UNIT 100495 BOX 1</v>
      </c>
      <c r="I8788" t="str">
        <f t="shared" si="3251"/>
        <v>FPO</v>
      </c>
      <c r="J8788" t="str">
        <f t="shared" si="3252"/>
        <v>AP</v>
      </c>
      <c r="K8788" t="str">
        <f>T("")</f>
        <v/>
      </c>
      <c r="L8788" t="str">
        <f>T("6195337265")</f>
        <v>6195337265</v>
      </c>
    </row>
    <row r="8789" spans="1:12" x14ac:dyDescent="0.35">
      <c r="A8789" t="str">
        <f t="shared" si="3254"/>
        <v>MSC SAN DIEGO</v>
      </c>
      <c r="B8789" t="str">
        <f>T("USNS WALLY SCHIRRA")</f>
        <v>USNS WALLY SCHIRRA</v>
      </c>
      <c r="C8789" t="str">
        <f>T("UNIT 100495 BOX 1")</f>
        <v>UNIT 100495 BOX 1</v>
      </c>
      <c r="D8789" t="str">
        <f t="shared" si="3256"/>
        <v>FPO</v>
      </c>
      <c r="E8789" t="str">
        <f t="shared" si="3255"/>
        <v>AP</v>
      </c>
      <c r="F8789" t="str">
        <f>T("966789500")</f>
        <v>966789500</v>
      </c>
      <c r="G8789" t="str">
        <f>T("USNS WALLY SCHIRRA")</f>
        <v>USNS WALLY SCHIRRA</v>
      </c>
      <c r="H8789" t="str">
        <f>T("UNIT 100495 BOX 1")</f>
        <v>UNIT 100495 BOX 1</v>
      </c>
      <c r="I8789" t="str">
        <f t="shared" si="3251"/>
        <v>FPO</v>
      </c>
      <c r="J8789" t="str">
        <f t="shared" si="3252"/>
        <v>AP</v>
      </c>
      <c r="K8789" t="str">
        <f>T("6195530144")</f>
        <v>6195530144</v>
      </c>
      <c r="L8789" t="str">
        <f>T("6195337267")</f>
        <v>6195337267</v>
      </c>
    </row>
    <row r="8790" spans="1:12" x14ac:dyDescent="0.35">
      <c r="A8790" t="str">
        <f t="shared" si="3254"/>
        <v>MSC SAN DIEGO</v>
      </c>
      <c r="B8790" t="str">
        <f>T("USNS WALLY SCHIRRA")</f>
        <v>USNS WALLY SCHIRRA</v>
      </c>
      <c r="C8790" t="str">
        <f>T("UNIT 100495 BOX 1")</f>
        <v>UNIT 100495 BOX 1</v>
      </c>
      <c r="D8790" t="str">
        <f t="shared" si="3256"/>
        <v>FPO</v>
      </c>
      <c r="E8790" t="str">
        <f t="shared" si="3255"/>
        <v>AP</v>
      </c>
      <c r="F8790" t="str">
        <f>T("966789500")</f>
        <v>966789500</v>
      </c>
      <c r="G8790" t="str">
        <f>T("USNS WALLY SCHIRRA")</f>
        <v>USNS WALLY SCHIRRA</v>
      </c>
      <c r="H8790" t="str">
        <f>T("UNIT 100495 BOX 1")</f>
        <v>UNIT 100495 BOX 1</v>
      </c>
      <c r="I8790" t="str">
        <f t="shared" si="3251"/>
        <v>FPO</v>
      </c>
      <c r="J8790" t="str">
        <f t="shared" si="3252"/>
        <v>AP</v>
      </c>
      <c r="K8790" t="str">
        <f>T("6195530144")</f>
        <v>6195530144</v>
      </c>
      <c r="L8790" t="str">
        <f>T("6195455140")</f>
        <v>6195455140</v>
      </c>
    </row>
    <row r="8791" spans="1:12" x14ac:dyDescent="0.35">
      <c r="A8791" t="str">
        <f t="shared" si="3254"/>
        <v>MSC SAN DIEGO</v>
      </c>
      <c r="B8791" t="str">
        <f>T("USNS WALLY SCHIRRA")</f>
        <v>USNS WALLY SCHIRRA</v>
      </c>
      <c r="C8791" t="str">
        <f>T("UNIT 100495 BOX 1")</f>
        <v>UNIT 100495 BOX 1</v>
      </c>
      <c r="D8791" t="str">
        <f t="shared" si="3256"/>
        <v>FPO</v>
      </c>
      <c r="E8791" t="str">
        <f t="shared" si="3255"/>
        <v>AP</v>
      </c>
      <c r="F8791" t="str">
        <f>T("966789500")</f>
        <v>966789500</v>
      </c>
      <c r="G8791" t="str">
        <f>T("USNS WALLY SCHIRRA T-AKE 8")</f>
        <v>USNS WALLY SCHIRRA T-AKE 8</v>
      </c>
      <c r="H8791" t="str">
        <f>T("UNIT 100495 BOX 1")</f>
        <v>UNIT 100495 BOX 1</v>
      </c>
      <c r="I8791" t="str">
        <f t="shared" si="3251"/>
        <v>FPO</v>
      </c>
      <c r="J8791" t="str">
        <f t="shared" si="3252"/>
        <v>AP</v>
      </c>
      <c r="K8791" t="str">
        <f>T("000000000000000000")</f>
        <v>000000000000000000</v>
      </c>
      <c r="L8791" t="str">
        <f>T("6195337267")</f>
        <v>6195337267</v>
      </c>
    </row>
    <row r="8792" spans="1:12" x14ac:dyDescent="0.35">
      <c r="A8792" t="str">
        <f t="shared" si="3254"/>
        <v>MSC SAN DIEGO</v>
      </c>
      <c r="B8792" t="str">
        <f>T("USNS WASHINGTON CHAMBERS")</f>
        <v>USNS WASHINGTON CHAMBERS</v>
      </c>
      <c r="C8792" t="str">
        <f>T("T-AKE 11 ATTN MASTER")</f>
        <v>T-AKE 11 ATTN MASTER</v>
      </c>
      <c r="D8792" t="str">
        <f t="shared" si="3256"/>
        <v>FPO</v>
      </c>
      <c r="E8792" t="str">
        <f t="shared" si="3255"/>
        <v>AP</v>
      </c>
      <c r="F8792" t="str">
        <f>T("966624011")</f>
        <v>966624011</v>
      </c>
      <c r="G8792" t="str">
        <f>T("USNS WASHINGTON CHAMBERS")</f>
        <v>USNS WASHINGTON CHAMBERS</v>
      </c>
      <c r="H8792" t="str">
        <f>T("T-AKE 11 ATTN MASTER")</f>
        <v>T-AKE 11 ATTN MASTER</v>
      </c>
      <c r="I8792" t="str">
        <f t="shared" si="3251"/>
        <v>FPO</v>
      </c>
      <c r="J8792" t="str">
        <f t="shared" si="3252"/>
        <v>AP</v>
      </c>
      <c r="K8792" t="str">
        <f>T("6195456963")</f>
        <v>6195456963</v>
      </c>
      <c r="L8792" t="str">
        <f>T("6195456963")</f>
        <v>6195456963</v>
      </c>
    </row>
    <row r="8793" spans="1:12" x14ac:dyDescent="0.35">
      <c r="A8793" t="str">
        <f t="shared" si="3254"/>
        <v>MSC SAN DIEGO</v>
      </c>
      <c r="B8793" t="str">
        <f>T("USNS WASHINGTON CHAMBERS")</f>
        <v>USNS WASHINGTON CHAMBERS</v>
      </c>
      <c r="C8793" t="str">
        <f>T("T-AKE 11 ATTN MASTER")</f>
        <v>T-AKE 11 ATTN MASTER</v>
      </c>
      <c r="D8793" t="str">
        <f t="shared" si="3256"/>
        <v>FPO</v>
      </c>
      <c r="E8793" t="str">
        <f t="shared" si="3255"/>
        <v>AP</v>
      </c>
      <c r="F8793" t="str">
        <f>T("966624011")</f>
        <v>966624011</v>
      </c>
      <c r="G8793" t="str">
        <f>T("USNS WASHINGTON CHAMBERS")</f>
        <v>USNS WASHINGTON CHAMBERS</v>
      </c>
      <c r="H8793" t="str">
        <f>T("UNIT 100425 BOX 1")</f>
        <v>UNIT 100425 BOX 1</v>
      </c>
      <c r="I8793" t="str">
        <f t="shared" si="3251"/>
        <v>FPO</v>
      </c>
      <c r="J8793" t="str">
        <f t="shared" si="3252"/>
        <v>AP</v>
      </c>
      <c r="K8793" t="str">
        <f>T("000000000000000000")</f>
        <v>000000000000000000</v>
      </c>
      <c r="L8793" t="str">
        <f>T("6195456963")</f>
        <v>6195456963</v>
      </c>
    </row>
    <row r="8794" spans="1:12" x14ac:dyDescent="0.35">
      <c r="A8794" t="str">
        <f t="shared" si="3254"/>
        <v>MSC SAN DIEGO</v>
      </c>
      <c r="B8794" t="str">
        <f>T("USNS WASHINGTON CHAMBERS")</f>
        <v>USNS WASHINGTON CHAMBERS</v>
      </c>
      <c r="C8794" t="str">
        <f>T("T-AKE 11 ATTN MASTER")</f>
        <v>T-AKE 11 ATTN MASTER</v>
      </c>
      <c r="D8794" t="str">
        <f t="shared" si="3256"/>
        <v>FPO</v>
      </c>
      <c r="E8794" t="str">
        <f t="shared" si="3255"/>
        <v>AP</v>
      </c>
      <c r="F8794" t="str">
        <f>T("966624011")</f>
        <v>966624011</v>
      </c>
      <c r="G8794" t="str">
        <f>T("USNS WASHINGTON CHAMBERS T-AKE 11")</f>
        <v>USNS WASHINGTON CHAMBERS T-AKE 11</v>
      </c>
      <c r="H8794" t="str">
        <f>T("")</f>
        <v/>
      </c>
      <c r="I8794" t="str">
        <f t="shared" si="3251"/>
        <v>FPO</v>
      </c>
      <c r="J8794" t="str">
        <f t="shared" si="3252"/>
        <v>AP</v>
      </c>
      <c r="K8794" t="str">
        <f>T("000000000000000000")</f>
        <v>000000000000000000</v>
      </c>
      <c r="L8794" t="str">
        <f>T("6195456963")</f>
        <v>6195456963</v>
      </c>
    </row>
    <row r="8795" spans="1:12" x14ac:dyDescent="0.35">
      <c r="A8795" t="str">
        <f t="shared" si="3254"/>
        <v>MSC SAN DIEGO</v>
      </c>
      <c r="B8795" t="str">
        <f>T("USNS YUKON")</f>
        <v>USNS YUKON</v>
      </c>
      <c r="C8795" t="str">
        <f>T("UNIT 100509 BOX 1")</f>
        <v>UNIT 100509 BOX 1</v>
      </c>
      <c r="D8795" t="str">
        <f t="shared" si="3256"/>
        <v>FPO</v>
      </c>
      <c r="E8795" t="str">
        <f t="shared" si="3255"/>
        <v>AP</v>
      </c>
      <c r="F8795" t="str">
        <f>T("966860900")</f>
        <v>966860900</v>
      </c>
      <c r="G8795" t="str">
        <f>T("USNS YUKON")</f>
        <v>USNS YUKON</v>
      </c>
      <c r="H8795" t="str">
        <f>T("UNIT 100509 BOX 1")</f>
        <v>UNIT 100509 BOX 1</v>
      </c>
      <c r="I8795" t="str">
        <f t="shared" si="3251"/>
        <v>FPO</v>
      </c>
      <c r="J8795" t="str">
        <f t="shared" si="3252"/>
        <v>AP</v>
      </c>
      <c r="K8795" t="str">
        <f>T("")</f>
        <v/>
      </c>
      <c r="L8795" t="str">
        <f>T("6195447175")</f>
        <v>6195447175</v>
      </c>
    </row>
    <row r="8796" spans="1:12" x14ac:dyDescent="0.35">
      <c r="A8796" t="str">
        <f t="shared" si="3254"/>
        <v>MSC SAN DIEGO</v>
      </c>
      <c r="B8796" t="str">
        <f>T("USNS YUKON")</f>
        <v>USNS YUKON</v>
      </c>
      <c r="C8796" t="str">
        <f>T("UNIT 100509 BOX 1")</f>
        <v>UNIT 100509 BOX 1</v>
      </c>
      <c r="D8796" t="str">
        <f t="shared" si="3256"/>
        <v>FPO</v>
      </c>
      <c r="E8796" t="str">
        <f t="shared" si="3255"/>
        <v>AP</v>
      </c>
      <c r="F8796" t="str">
        <f>T("966860900")</f>
        <v>966860900</v>
      </c>
      <c r="G8796" t="str">
        <f>T("USNS YUKON T-AO 202")</f>
        <v>USNS YUKON T-AO 202</v>
      </c>
      <c r="H8796" t="str">
        <f>T("UNIT 100509 BOX 1")</f>
        <v>UNIT 100509 BOX 1</v>
      </c>
      <c r="I8796" t="str">
        <f t="shared" si="3251"/>
        <v>FPO</v>
      </c>
      <c r="J8796" t="str">
        <f t="shared" si="3252"/>
        <v>AP</v>
      </c>
      <c r="K8796" t="str">
        <f>T("000000000000000000")</f>
        <v>000000000000000000</v>
      </c>
      <c r="L8796" t="str">
        <f>T("6195447175")</f>
        <v>6195447175</v>
      </c>
    </row>
    <row r="8797" spans="1:12" x14ac:dyDescent="0.35">
      <c r="A8797" t="str">
        <f t="shared" ref="A8797:B8800" si="3257">T("MSC SSU GUAM")</f>
        <v>MSC SSU GUAM</v>
      </c>
      <c r="B8797" t="str">
        <f t="shared" si="3257"/>
        <v>MSC SSU GUAM</v>
      </c>
      <c r="C8797" t="str">
        <f>T("PSC 455 BOX 198")</f>
        <v>PSC 455 BOX 198</v>
      </c>
      <c r="D8797" t="str">
        <f t="shared" si="3256"/>
        <v>FPO</v>
      </c>
      <c r="E8797" t="str">
        <f t="shared" si="3255"/>
        <v>AP</v>
      </c>
      <c r="F8797" t="str">
        <f>T("965400002")</f>
        <v>965400002</v>
      </c>
      <c r="G8797" t="str">
        <f>T("MSC SSU GUAM")</f>
        <v>MSC SSU GUAM</v>
      </c>
      <c r="H8797" t="str">
        <f>T("PSC 455 BOX 198")</f>
        <v>PSC 455 BOX 198</v>
      </c>
      <c r="I8797" t="str">
        <f t="shared" si="3251"/>
        <v>FPO</v>
      </c>
      <c r="J8797" t="str">
        <f t="shared" si="3252"/>
        <v>AP</v>
      </c>
      <c r="K8797" t="str">
        <f>T("000000000000000000")</f>
        <v>000000000000000000</v>
      </c>
      <c r="L8797" t="str">
        <f>T("6713394088")</f>
        <v>6713394088</v>
      </c>
    </row>
    <row r="8798" spans="1:12" x14ac:dyDescent="0.35">
      <c r="A8798" t="str">
        <f t="shared" si="3257"/>
        <v>MSC SSU GUAM</v>
      </c>
      <c r="B8798" t="str">
        <f t="shared" si="3257"/>
        <v>MSC SSU GUAM</v>
      </c>
      <c r="C8798" t="str">
        <f>T("PSC 455 BOX 198")</f>
        <v>PSC 455 BOX 198</v>
      </c>
      <c r="D8798" t="str">
        <f t="shared" si="3256"/>
        <v>FPO</v>
      </c>
      <c r="E8798" t="str">
        <f t="shared" si="3255"/>
        <v>AP</v>
      </c>
      <c r="F8798" t="str">
        <f>T("965400002")</f>
        <v>965400002</v>
      </c>
      <c r="G8798" t="str">
        <f>T("MSC SSU GUAM")</f>
        <v>MSC SSU GUAM</v>
      </c>
      <c r="H8798" t="str">
        <f>T("PSC 455 BOX 198")</f>
        <v>PSC 455 BOX 198</v>
      </c>
      <c r="I8798" t="str">
        <f t="shared" si="3251"/>
        <v>FPO</v>
      </c>
      <c r="J8798" t="str">
        <f t="shared" si="3252"/>
        <v>AP</v>
      </c>
      <c r="K8798" t="str">
        <f>T("000000000000000000")</f>
        <v>000000000000000000</v>
      </c>
      <c r="L8798" t="str">
        <f>T("6713398244")</f>
        <v>6713398244</v>
      </c>
    </row>
    <row r="8799" spans="1:12" x14ac:dyDescent="0.35">
      <c r="A8799" t="str">
        <f t="shared" si="3257"/>
        <v>MSC SSU GUAM</v>
      </c>
      <c r="B8799" t="str">
        <f t="shared" si="3257"/>
        <v>MSC SSU GUAM</v>
      </c>
      <c r="C8799" t="str">
        <f>T("PSC 455 BOX 198")</f>
        <v>PSC 455 BOX 198</v>
      </c>
      <c r="D8799" t="str">
        <f t="shared" si="3256"/>
        <v>FPO</v>
      </c>
      <c r="E8799" t="str">
        <f t="shared" si="3255"/>
        <v>AP</v>
      </c>
      <c r="F8799" t="str">
        <f>T("965400002")</f>
        <v>965400002</v>
      </c>
      <c r="G8799" t="str">
        <f>T("MSC SSU GUAM")</f>
        <v>MSC SSU GUAM</v>
      </c>
      <c r="H8799" t="str">
        <f>T("PSC 455 BOX 198")</f>
        <v>PSC 455 BOX 198</v>
      </c>
      <c r="I8799" t="str">
        <f t="shared" si="3251"/>
        <v>FPO</v>
      </c>
      <c r="J8799" t="str">
        <f t="shared" si="3252"/>
        <v>AP</v>
      </c>
      <c r="K8799" t="str">
        <f>T("6713395209")</f>
        <v>6713395209</v>
      </c>
      <c r="L8799" t="str">
        <f>T("6713398045")</f>
        <v>6713398045</v>
      </c>
    </row>
    <row r="8800" spans="1:12" x14ac:dyDescent="0.35">
      <c r="A8800" t="str">
        <f t="shared" si="3257"/>
        <v>MSC SSU GUAM</v>
      </c>
      <c r="B8800" t="str">
        <f t="shared" si="3257"/>
        <v>MSC SSU GUAM</v>
      </c>
      <c r="C8800" t="str">
        <f>T("PSC 455 BOX 198")</f>
        <v>PSC 455 BOX 198</v>
      </c>
      <c r="D8800" t="str">
        <f t="shared" si="3256"/>
        <v>FPO</v>
      </c>
      <c r="E8800" t="str">
        <f t="shared" si="3255"/>
        <v>AP</v>
      </c>
      <c r="F8800" t="str">
        <f>T("965400002")</f>
        <v>965400002</v>
      </c>
      <c r="G8800" t="str">
        <f>T("NAVAL BASE GUAM")</f>
        <v>NAVAL BASE GUAM</v>
      </c>
      <c r="H8800" t="str">
        <f>T("BLDG 3110")</f>
        <v>BLDG 3110</v>
      </c>
      <c r="I8800" t="str">
        <f>T("SANTA RITA")</f>
        <v>SANTA RITA</v>
      </c>
      <c r="J8800" t="str">
        <f>T("GU")</f>
        <v>GU</v>
      </c>
      <c r="K8800" t="str">
        <f>T("6713395209")</f>
        <v>6713395209</v>
      </c>
      <c r="L8800" t="str">
        <f>T("6713394052")</f>
        <v>6713394052</v>
      </c>
    </row>
    <row r="8801" spans="1:12" x14ac:dyDescent="0.35">
      <c r="A8801" t="str">
        <f t="shared" ref="A8801:A8841" si="3258">T("MSC SSU GUAM")</f>
        <v>MSC SSU GUAM</v>
      </c>
      <c r="B8801" t="str">
        <f>T("MSCO OKINAWA UNIT 35164")</f>
        <v>MSCO OKINAWA UNIT 35164</v>
      </c>
      <c r="C8801" t="str">
        <f>T("")</f>
        <v/>
      </c>
      <c r="D8801" t="str">
        <f t="shared" si="3256"/>
        <v>FPO</v>
      </c>
      <c r="E8801" t="str">
        <f t="shared" si="3255"/>
        <v>AP</v>
      </c>
      <c r="F8801" t="str">
        <f>T("963735164")</f>
        <v>963735164</v>
      </c>
      <c r="G8801" t="str">
        <f>T("MSCO OKINAWA")</f>
        <v>MSCO OKINAWA</v>
      </c>
      <c r="H8801" t="str">
        <f>T("UNIT 35164")</f>
        <v>UNIT 35164</v>
      </c>
      <c r="I8801" t="str">
        <f t="shared" ref="I8801:I8807" si="3259">T("FPO")</f>
        <v>FPO</v>
      </c>
      <c r="J8801" t="str">
        <f t="shared" ref="J8801:J8832" si="3260">T("AP")</f>
        <v>AP</v>
      </c>
      <c r="K8801" t="str">
        <f>T("8592473")</f>
        <v>8592473</v>
      </c>
      <c r="L8801" t="str">
        <f>T("0988578204")</f>
        <v>0988578204</v>
      </c>
    </row>
    <row r="8802" spans="1:12" x14ac:dyDescent="0.35">
      <c r="A8802" t="str">
        <f t="shared" si="3258"/>
        <v>MSC SSU GUAM</v>
      </c>
      <c r="B8802" t="str">
        <f>T("MSCO OKINAWA UNIT 35164")</f>
        <v>MSCO OKINAWA UNIT 35164</v>
      </c>
      <c r="C8802" t="str">
        <f>T("")</f>
        <v/>
      </c>
      <c r="D8802" t="str">
        <f t="shared" si="3256"/>
        <v>FPO</v>
      </c>
      <c r="E8802" t="str">
        <f t="shared" si="3255"/>
        <v>AP</v>
      </c>
      <c r="F8802" t="str">
        <f>T("963735164")</f>
        <v>963735164</v>
      </c>
      <c r="G8802" t="str">
        <f>T("MSCO OKINAWA UNIT 35164")</f>
        <v>MSCO OKINAWA UNIT 35164</v>
      </c>
      <c r="H8802" t="str">
        <f>T("")</f>
        <v/>
      </c>
      <c r="I8802" t="str">
        <f t="shared" si="3259"/>
        <v>FPO</v>
      </c>
      <c r="J8802" t="str">
        <f t="shared" si="3260"/>
        <v>AP</v>
      </c>
      <c r="K8802" t="str">
        <f>T("81363694774")</f>
        <v>81363694774</v>
      </c>
      <c r="L8802" t="str">
        <f>T("1111111111")</f>
        <v>1111111111</v>
      </c>
    </row>
    <row r="8803" spans="1:12" x14ac:dyDescent="0.35">
      <c r="A8803" t="str">
        <f t="shared" si="3258"/>
        <v>MSC SSU GUAM</v>
      </c>
      <c r="B8803" t="str">
        <f>T("PSC 470")</f>
        <v>PSC 470</v>
      </c>
      <c r="C8803" t="str">
        <f>T("BOX 2210")</f>
        <v>BOX 2210</v>
      </c>
      <c r="D8803" t="str">
        <f t="shared" si="3256"/>
        <v>FPO</v>
      </c>
      <c r="E8803" t="str">
        <f t="shared" si="3255"/>
        <v>AP</v>
      </c>
      <c r="F8803" t="str">
        <f>T("965340023")</f>
        <v>965340023</v>
      </c>
      <c r="G8803" t="str">
        <f>T("MSC SSU SINGAPORE")</f>
        <v>MSC SSU SINGAPORE</v>
      </c>
      <c r="H8803" t="str">
        <f>T("PSC 470 BOX 2210")</f>
        <v>PSC 470 BOX 2210</v>
      </c>
      <c r="I8803" t="str">
        <f t="shared" si="3259"/>
        <v>FPO</v>
      </c>
      <c r="J8803" t="str">
        <f t="shared" si="3260"/>
        <v>AP</v>
      </c>
      <c r="K8803" t="str">
        <f>T("6567502325")</f>
        <v>6567502325</v>
      </c>
      <c r="L8803" t="str">
        <f>T("6567502424")</f>
        <v>6567502424</v>
      </c>
    </row>
    <row r="8804" spans="1:12" x14ac:dyDescent="0.35">
      <c r="A8804" t="str">
        <f t="shared" si="3258"/>
        <v>MSC SSU GUAM</v>
      </c>
      <c r="B8804" t="str">
        <f>T("PSC 470")</f>
        <v>PSC 470</v>
      </c>
      <c r="C8804" t="str">
        <f>T("BOX 2210")</f>
        <v>BOX 2210</v>
      </c>
      <c r="D8804" t="str">
        <f t="shared" si="3256"/>
        <v>FPO</v>
      </c>
      <c r="E8804" t="str">
        <f t="shared" si="3255"/>
        <v>AP</v>
      </c>
      <c r="F8804" t="str">
        <f>T("965340023")</f>
        <v>965340023</v>
      </c>
      <c r="G8804" t="str">
        <f>T("MSC SSU SINGAPORE")</f>
        <v>MSC SSU SINGAPORE</v>
      </c>
      <c r="H8804" t="str">
        <f>T("PSC 470 BOX 3014")</f>
        <v>PSC 470 BOX 3014</v>
      </c>
      <c r="I8804" t="str">
        <f t="shared" si="3259"/>
        <v>FPO</v>
      </c>
      <c r="J8804" t="str">
        <f t="shared" si="3260"/>
        <v>AP</v>
      </c>
      <c r="K8804" t="str">
        <f>T("6567502752")</f>
        <v>6567502752</v>
      </c>
      <c r="L8804" t="str">
        <f>T("3154212731")</f>
        <v>3154212731</v>
      </c>
    </row>
    <row r="8805" spans="1:12" x14ac:dyDescent="0.35">
      <c r="A8805" t="str">
        <f t="shared" si="3258"/>
        <v>MSC SSU GUAM</v>
      </c>
      <c r="B8805" t="str">
        <f>T("PSC 470")</f>
        <v>PSC 470</v>
      </c>
      <c r="C8805" t="str">
        <f>T("BOX 2210")</f>
        <v>BOX 2210</v>
      </c>
      <c r="D8805" t="str">
        <f t="shared" si="3256"/>
        <v>FPO</v>
      </c>
      <c r="E8805" t="str">
        <f t="shared" si="3255"/>
        <v>AP</v>
      </c>
      <c r="F8805" t="str">
        <f>T("965340023")</f>
        <v>965340023</v>
      </c>
      <c r="G8805" t="str">
        <f>T("PSC 470")</f>
        <v>PSC 470</v>
      </c>
      <c r="H8805" t="str">
        <f>T("BOX 2210")</f>
        <v>BOX 2210</v>
      </c>
      <c r="I8805" t="str">
        <f t="shared" si="3259"/>
        <v>FPO</v>
      </c>
      <c r="J8805" t="str">
        <f t="shared" si="3260"/>
        <v>AP</v>
      </c>
      <c r="K8805" t="str">
        <f>T("0116567502325")</f>
        <v>0116567502325</v>
      </c>
      <c r="L8805" t="str">
        <f>T("1111111111")</f>
        <v>1111111111</v>
      </c>
    </row>
    <row r="8806" spans="1:12" x14ac:dyDescent="0.35">
      <c r="A8806" t="str">
        <f t="shared" si="3258"/>
        <v>MSC SSU GUAM</v>
      </c>
      <c r="B8806" t="str">
        <f>T("PSC 471")</f>
        <v>PSC 471</v>
      </c>
      <c r="C8806" t="str">
        <f>T("")</f>
        <v/>
      </c>
      <c r="D8806" t="str">
        <f t="shared" si="3256"/>
        <v>FPO</v>
      </c>
      <c r="E8806" t="str">
        <f t="shared" si="3255"/>
        <v>AP</v>
      </c>
      <c r="F8806" t="str">
        <f>T("963479998")</f>
        <v>963479998</v>
      </c>
      <c r="G8806" t="str">
        <f>T("MSC SSU JAPAN")</f>
        <v>MSC SSU JAPAN</v>
      </c>
      <c r="H8806" t="str">
        <f>T("PSC 471")</f>
        <v>PSC 471</v>
      </c>
      <c r="I8806" t="str">
        <f t="shared" si="3259"/>
        <v>FPO</v>
      </c>
      <c r="J8806" t="str">
        <f t="shared" si="3260"/>
        <v>AP</v>
      </c>
      <c r="K8806" t="str">
        <f>T("000000000000000000")</f>
        <v>000000000000000000</v>
      </c>
      <c r="L8806" t="str">
        <f>T("1111111111")</f>
        <v>1111111111</v>
      </c>
    </row>
    <row r="8807" spans="1:12" x14ac:dyDescent="0.35">
      <c r="A8807" t="str">
        <f t="shared" si="3258"/>
        <v>MSC SSU GUAM</v>
      </c>
      <c r="B8807" t="str">
        <f>T("PSC 471")</f>
        <v>PSC 471</v>
      </c>
      <c r="C8807" t="str">
        <f>T("")</f>
        <v/>
      </c>
      <c r="D8807" t="str">
        <f t="shared" si="3256"/>
        <v>FPO</v>
      </c>
      <c r="E8807" t="str">
        <f t="shared" si="3255"/>
        <v>AP</v>
      </c>
      <c r="F8807" t="str">
        <f>T("963479998")</f>
        <v>963479998</v>
      </c>
      <c r="G8807" t="str">
        <f>T("PSC 471")</f>
        <v>PSC 471</v>
      </c>
      <c r="H8807" t="str">
        <f>T("")</f>
        <v/>
      </c>
      <c r="I8807" t="str">
        <f t="shared" si="3259"/>
        <v>FPO</v>
      </c>
      <c r="J8807" t="str">
        <f t="shared" si="3260"/>
        <v>AP</v>
      </c>
      <c r="K8807" t="str">
        <f>T("01181454413400")</f>
        <v>01181454413400</v>
      </c>
      <c r="L8807" t="str">
        <f>T("1111111111")</f>
        <v>1111111111</v>
      </c>
    </row>
    <row r="8808" spans="1:12" x14ac:dyDescent="0.35">
      <c r="A8808" t="str">
        <f t="shared" si="3258"/>
        <v>MSC SSU GUAM</v>
      </c>
      <c r="B8808" t="str">
        <f>T("UNIT 15175")</f>
        <v>UNIT 15175</v>
      </c>
      <c r="C8808" t="str">
        <f>T("")</f>
        <v/>
      </c>
      <c r="D8808" t="str">
        <f>T("APO")</f>
        <v>APO</v>
      </c>
      <c r="E8808" t="str">
        <f t="shared" si="3255"/>
        <v>AP</v>
      </c>
      <c r="F8808" t="str">
        <f>T("962145175")</f>
        <v>962145175</v>
      </c>
      <c r="G8808" t="str">
        <f>T("N0319A MSCO KOREA")</f>
        <v>N0319A MSCO KOREA</v>
      </c>
      <c r="H8808" t="str">
        <f>T("UNIT 15175")</f>
        <v>UNIT 15175</v>
      </c>
      <c r="I8808" t="str">
        <f>T("APO")</f>
        <v>APO</v>
      </c>
      <c r="J8808" t="str">
        <f t="shared" si="3260"/>
        <v>AP</v>
      </c>
      <c r="K8808" t="str">
        <f>T("000000000000000000")</f>
        <v>000000000000000000</v>
      </c>
      <c r="L8808" t="str">
        <f>T("3157633866")</f>
        <v>3157633866</v>
      </c>
    </row>
    <row r="8809" spans="1:12" x14ac:dyDescent="0.35">
      <c r="A8809" t="str">
        <f t="shared" si="3258"/>
        <v>MSC SSU GUAM</v>
      </c>
      <c r="B8809" t="str">
        <f>T("UNIT 15175")</f>
        <v>UNIT 15175</v>
      </c>
      <c r="C8809" t="str">
        <f>T("")</f>
        <v/>
      </c>
      <c r="D8809" t="str">
        <f>T("APO")</f>
        <v>APO</v>
      </c>
      <c r="E8809" t="str">
        <f t="shared" si="3255"/>
        <v>AP</v>
      </c>
      <c r="F8809" t="str">
        <f>T("962145175")</f>
        <v>962145175</v>
      </c>
      <c r="G8809" t="str">
        <f>T("UNIT 15175")</f>
        <v>UNIT 15175</v>
      </c>
      <c r="H8809" t="str">
        <f>T("")</f>
        <v/>
      </c>
      <c r="I8809" t="str">
        <f>T("APO")</f>
        <v>APO</v>
      </c>
      <c r="J8809" t="str">
        <f t="shared" si="3260"/>
        <v>AP</v>
      </c>
      <c r="K8809" t="str">
        <f>T("3157633864")</f>
        <v>3157633864</v>
      </c>
      <c r="L8809" t="str">
        <f>T("3157633098")</f>
        <v>3157633098</v>
      </c>
    </row>
    <row r="8810" spans="1:12" x14ac:dyDescent="0.35">
      <c r="A8810" t="str">
        <f t="shared" si="3258"/>
        <v>MSC SSU GUAM</v>
      </c>
      <c r="B8810" t="str">
        <f>T("UNIT 15175")</f>
        <v>UNIT 15175</v>
      </c>
      <c r="C8810" t="str">
        <f>T("")</f>
        <v/>
      </c>
      <c r="D8810" t="str">
        <f>T("APO")</f>
        <v>APO</v>
      </c>
      <c r="E8810" t="str">
        <f t="shared" si="3255"/>
        <v>AP</v>
      </c>
      <c r="F8810" t="str">
        <f>T("962145175")</f>
        <v>962145175</v>
      </c>
      <c r="G8810" t="str">
        <f>T("UNIT 15175")</f>
        <v>UNIT 15175</v>
      </c>
      <c r="H8810" t="str">
        <f>T("")</f>
        <v/>
      </c>
      <c r="I8810" t="str">
        <f>T("APO")</f>
        <v>APO</v>
      </c>
      <c r="J8810" t="str">
        <f t="shared" si="3260"/>
        <v>AP</v>
      </c>
      <c r="K8810" t="str">
        <f>T("3157636864")</f>
        <v>3157636864</v>
      </c>
      <c r="L8810" t="str">
        <f>T("3157636864")</f>
        <v>3157636864</v>
      </c>
    </row>
    <row r="8811" spans="1:12" x14ac:dyDescent="0.35">
      <c r="A8811" t="str">
        <f t="shared" si="3258"/>
        <v>MSC SSU GUAM</v>
      </c>
      <c r="B8811" t="str">
        <f>T("USNS CARL BRASHEAR T-AKE 7")</f>
        <v>USNS CARL BRASHEAR T-AKE 7</v>
      </c>
      <c r="C8811" t="str">
        <f t="shared" ref="C8811:C8827" si="3261">T("ATTN MASTER")</f>
        <v>ATTN MASTER</v>
      </c>
      <c r="D8811" t="str">
        <f t="shared" ref="D8811:D8841" si="3262">T("FPO")</f>
        <v>FPO</v>
      </c>
      <c r="E8811" t="str">
        <f t="shared" si="3255"/>
        <v>AP</v>
      </c>
      <c r="F8811" t="str">
        <f>T("966614107")</f>
        <v>966614107</v>
      </c>
      <c r="G8811" t="str">
        <f>T("SUPPLY OFFICER")</f>
        <v>SUPPLY OFFICER</v>
      </c>
      <c r="H8811" t="str">
        <f>T("USNS CARL BRASHEAR T-AKE 7")</f>
        <v>USNS CARL BRASHEAR T-AKE 7</v>
      </c>
      <c r="I8811" t="str">
        <f t="shared" ref="I8811:I8832" si="3263">T("FPO")</f>
        <v>FPO</v>
      </c>
      <c r="J8811" t="str">
        <f t="shared" si="3260"/>
        <v>AP</v>
      </c>
      <c r="K8811" t="str">
        <f>T("000000000000000000")</f>
        <v>000000000000000000</v>
      </c>
      <c r="L8811" t="str">
        <f>T("6197441303")</f>
        <v>6197441303</v>
      </c>
    </row>
    <row r="8812" spans="1:12" x14ac:dyDescent="0.35">
      <c r="A8812" t="str">
        <f t="shared" si="3258"/>
        <v>MSC SSU GUAM</v>
      </c>
      <c r="B8812" t="str">
        <f>T("USNS CARL BRASHEAR T-AKE 7")</f>
        <v>USNS CARL BRASHEAR T-AKE 7</v>
      </c>
      <c r="C8812" t="str">
        <f t="shared" si="3261"/>
        <v>ATTN MASTER</v>
      </c>
      <c r="D8812" t="str">
        <f t="shared" si="3262"/>
        <v>FPO</v>
      </c>
      <c r="E8812" t="str">
        <f t="shared" si="3255"/>
        <v>AP</v>
      </c>
      <c r="F8812" t="str">
        <f>T("966614107")</f>
        <v>966614107</v>
      </c>
      <c r="G8812" t="str">
        <f>T("USNS CARL BRASHEAR T-AKE 7")</f>
        <v>USNS CARL BRASHEAR T-AKE 7</v>
      </c>
      <c r="H8812" t="str">
        <f>T("")</f>
        <v/>
      </c>
      <c r="I8812" t="str">
        <f t="shared" si="3263"/>
        <v>FPO</v>
      </c>
      <c r="J8812" t="str">
        <f t="shared" si="3260"/>
        <v>AP</v>
      </c>
      <c r="K8812" t="str">
        <f>T("000000000000000000")</f>
        <v>000000000000000000</v>
      </c>
      <c r="L8812" t="str">
        <f>T("6195446993")</f>
        <v>6195446993</v>
      </c>
    </row>
    <row r="8813" spans="1:12" x14ac:dyDescent="0.35">
      <c r="A8813" t="str">
        <f t="shared" si="3258"/>
        <v>MSC SSU GUAM</v>
      </c>
      <c r="B8813" t="str">
        <f>T("USNS CARL BRASHEAR T-AKE 7")</f>
        <v>USNS CARL BRASHEAR T-AKE 7</v>
      </c>
      <c r="C8813" t="str">
        <f t="shared" si="3261"/>
        <v>ATTN MASTER</v>
      </c>
      <c r="D8813" t="str">
        <f t="shared" si="3262"/>
        <v>FPO</v>
      </c>
      <c r="E8813" t="str">
        <f t="shared" si="3255"/>
        <v>AP</v>
      </c>
      <c r="F8813" t="str">
        <f>T("966614107")</f>
        <v>966614107</v>
      </c>
      <c r="G8813" t="str">
        <f>T("USNS CARL BRASHEAR T-AKE 7")</f>
        <v>USNS CARL BRASHEAR T-AKE 7</v>
      </c>
      <c r="H8813" t="str">
        <f>T("ATTN MASTER")</f>
        <v>ATTN MASTER</v>
      </c>
      <c r="I8813" t="str">
        <f t="shared" si="3263"/>
        <v>FPO</v>
      </c>
      <c r="J8813" t="str">
        <f t="shared" si="3260"/>
        <v>AP</v>
      </c>
      <c r="K8813" t="str">
        <f>T("6195446994")</f>
        <v>6195446994</v>
      </c>
      <c r="L8813" t="str">
        <f>T("6195446992")</f>
        <v>6195446992</v>
      </c>
    </row>
    <row r="8814" spans="1:12" x14ac:dyDescent="0.35">
      <c r="A8814" t="str">
        <f t="shared" si="3258"/>
        <v>MSC SSU GUAM</v>
      </c>
      <c r="B8814" t="str">
        <f>T("USNS CATAWBA T-ATF 168")</f>
        <v>USNS CATAWBA T-ATF 168</v>
      </c>
      <c r="C8814" t="str">
        <f t="shared" si="3261"/>
        <v>ATTN MASTER</v>
      </c>
      <c r="D8814" t="str">
        <f t="shared" si="3262"/>
        <v>FPO</v>
      </c>
      <c r="E8814" t="str">
        <f t="shared" si="3255"/>
        <v>AP</v>
      </c>
      <c r="F8814" t="str">
        <f>T("966624007")</f>
        <v>966624007</v>
      </c>
      <c r="G8814" t="str">
        <f>T("USNS CATAWBA T-ATF 168")</f>
        <v>USNS CATAWBA T-ATF 168</v>
      </c>
      <c r="H8814" t="str">
        <f>T("")</f>
        <v/>
      </c>
      <c r="I8814" t="str">
        <f t="shared" si="3263"/>
        <v>FPO</v>
      </c>
      <c r="J8814" t="str">
        <f t="shared" si="3260"/>
        <v>AP</v>
      </c>
      <c r="K8814" t="str">
        <f>T("000000000000000000")</f>
        <v>000000000000000000</v>
      </c>
      <c r="L8814" t="str">
        <f>T("6195447183")</f>
        <v>6195447183</v>
      </c>
    </row>
    <row r="8815" spans="1:12" x14ac:dyDescent="0.35">
      <c r="A8815" t="str">
        <f t="shared" si="3258"/>
        <v>MSC SSU GUAM</v>
      </c>
      <c r="B8815" t="str">
        <f>T("USNS CATAWBA T-ATF 168")</f>
        <v>USNS CATAWBA T-ATF 168</v>
      </c>
      <c r="C8815" t="str">
        <f t="shared" si="3261"/>
        <v>ATTN MASTER</v>
      </c>
      <c r="D8815" t="str">
        <f t="shared" si="3262"/>
        <v>FPO</v>
      </c>
      <c r="E8815" t="str">
        <f t="shared" si="3255"/>
        <v>AP</v>
      </c>
      <c r="F8815" t="str">
        <f>T("966624007")</f>
        <v>966624007</v>
      </c>
      <c r="G8815" t="str">
        <f>T("USNS CATAWBA T-ATF 168")</f>
        <v>USNS CATAWBA T-ATF 168</v>
      </c>
      <c r="H8815" t="str">
        <f>T("ATTN MASTER")</f>
        <v>ATTN MASTER</v>
      </c>
      <c r="I8815" t="str">
        <f t="shared" si="3263"/>
        <v>FPO</v>
      </c>
      <c r="J8815" t="str">
        <f t="shared" si="3260"/>
        <v>AP</v>
      </c>
      <c r="K8815" t="str">
        <f>T("")</f>
        <v/>
      </c>
      <c r="L8815" t="str">
        <f>T("6195447138")</f>
        <v>6195447138</v>
      </c>
    </row>
    <row r="8816" spans="1:12" x14ac:dyDescent="0.35">
      <c r="A8816" t="str">
        <f t="shared" si="3258"/>
        <v>MSC SSU GUAM</v>
      </c>
      <c r="B8816" t="str">
        <f>T("USNS JOHN ERICSSON T-AO 194")</f>
        <v>USNS JOHN ERICSSON T-AO 194</v>
      </c>
      <c r="C8816" t="str">
        <f t="shared" si="3261"/>
        <v>ATTN MASTER</v>
      </c>
      <c r="D8816" t="str">
        <f t="shared" si="3262"/>
        <v>FPO</v>
      </c>
      <c r="E8816" t="str">
        <f t="shared" si="3255"/>
        <v>AP</v>
      </c>
      <c r="F8816" t="str">
        <f>T("966644071")</f>
        <v>966644071</v>
      </c>
      <c r="G8816" t="str">
        <f>T("USNS JOHN ERICSSON T AO 194")</f>
        <v>USNS JOHN ERICSSON T AO 194</v>
      </c>
      <c r="H8816" t="str">
        <f>T("UNIT 100451 BOX 1")</f>
        <v>UNIT 100451 BOX 1</v>
      </c>
      <c r="I8816" t="str">
        <f t="shared" si="3263"/>
        <v>FPO</v>
      </c>
      <c r="J8816" t="str">
        <f t="shared" si="3260"/>
        <v>AP</v>
      </c>
      <c r="K8816" t="str">
        <f>T("000000000000000000")</f>
        <v>000000000000000000</v>
      </c>
      <c r="L8816" t="str">
        <f>T("6195447178")</f>
        <v>6195447178</v>
      </c>
    </row>
    <row r="8817" spans="1:12" x14ac:dyDescent="0.35">
      <c r="A8817" t="str">
        <f t="shared" si="3258"/>
        <v>MSC SSU GUAM</v>
      </c>
      <c r="B8817" t="str">
        <f>T("USNS JOHN ERICSSON T-AO 194")</f>
        <v>USNS JOHN ERICSSON T-AO 194</v>
      </c>
      <c r="C8817" t="str">
        <f t="shared" si="3261"/>
        <v>ATTN MASTER</v>
      </c>
      <c r="D8817" t="str">
        <f t="shared" si="3262"/>
        <v>FPO</v>
      </c>
      <c r="E8817" t="str">
        <f t="shared" si="3255"/>
        <v>AP</v>
      </c>
      <c r="F8817" t="str">
        <f>T("966644071")</f>
        <v>966644071</v>
      </c>
      <c r="G8817" t="str">
        <f>T("USNS JOHN ERICSSON T-AO 194")</f>
        <v>USNS JOHN ERICSSON T-AO 194</v>
      </c>
      <c r="H8817" t="str">
        <f>T("")</f>
        <v/>
      </c>
      <c r="I8817" t="str">
        <f t="shared" si="3263"/>
        <v>FPO</v>
      </c>
      <c r="J8817" t="str">
        <f t="shared" si="3260"/>
        <v>AP</v>
      </c>
      <c r="K8817" t="str">
        <f>T("61954471788")</f>
        <v>61954471788</v>
      </c>
      <c r="L8817" t="str">
        <f>T("1111111111")</f>
        <v>1111111111</v>
      </c>
    </row>
    <row r="8818" spans="1:12" x14ac:dyDescent="0.35">
      <c r="A8818" t="str">
        <f t="shared" si="3258"/>
        <v>MSC SSU GUAM</v>
      </c>
      <c r="B8818" t="str">
        <f>T("USNS JOHN ERICSSON T-AO 194")</f>
        <v>USNS JOHN ERICSSON T-AO 194</v>
      </c>
      <c r="C8818" t="str">
        <f t="shared" si="3261"/>
        <v>ATTN MASTER</v>
      </c>
      <c r="D8818" t="str">
        <f t="shared" si="3262"/>
        <v>FPO</v>
      </c>
      <c r="E8818" t="str">
        <f t="shared" ref="E8818:E8841" si="3264">T("AP")</f>
        <v>AP</v>
      </c>
      <c r="F8818" t="str">
        <f>T("966644071")</f>
        <v>966644071</v>
      </c>
      <c r="G8818" t="str">
        <f>T("USNS JOHN ERICSSON T-AO 194")</f>
        <v>USNS JOHN ERICSSON T-AO 194</v>
      </c>
      <c r="H8818" t="str">
        <f>T("ATTN MASTER")</f>
        <v>ATTN MASTER</v>
      </c>
      <c r="I8818" t="str">
        <f t="shared" si="3263"/>
        <v>FPO</v>
      </c>
      <c r="J8818" t="str">
        <f t="shared" si="3260"/>
        <v>AP</v>
      </c>
      <c r="K8818" t="str">
        <f>T("6195447178")</f>
        <v>6195447178</v>
      </c>
      <c r="L8818" t="str">
        <f>T("6195447180")</f>
        <v>6195447180</v>
      </c>
    </row>
    <row r="8819" spans="1:12" x14ac:dyDescent="0.35">
      <c r="A8819" t="str">
        <f t="shared" si="3258"/>
        <v>MSC SSU GUAM</v>
      </c>
      <c r="B8819" t="str">
        <f>T("USNS JOHN ERICSSON T-AO 194")</f>
        <v>USNS JOHN ERICSSON T-AO 194</v>
      </c>
      <c r="C8819" t="str">
        <f t="shared" si="3261"/>
        <v>ATTN MASTER</v>
      </c>
      <c r="D8819" t="str">
        <f t="shared" si="3262"/>
        <v>FPO</v>
      </c>
      <c r="E8819" t="str">
        <f t="shared" si="3264"/>
        <v>AP</v>
      </c>
      <c r="F8819" t="str">
        <f>T("966644071")</f>
        <v>966644071</v>
      </c>
      <c r="G8819" t="str">
        <f>T("USNS JOHN ERICSSON T-AO 194")</f>
        <v>USNS JOHN ERICSSON T-AO 194</v>
      </c>
      <c r="H8819" t="str">
        <f>T("UNIT 100451 BOX 1")</f>
        <v>UNIT 100451 BOX 1</v>
      </c>
      <c r="I8819" t="str">
        <f t="shared" si="3263"/>
        <v>FPO</v>
      </c>
      <c r="J8819" t="str">
        <f t="shared" si="3260"/>
        <v>AP</v>
      </c>
      <c r="K8819" t="str">
        <f>T("000000000000000000")</f>
        <v>000000000000000000</v>
      </c>
      <c r="L8819" t="str">
        <f>T("6195447178")</f>
        <v>6195447178</v>
      </c>
    </row>
    <row r="8820" spans="1:12" x14ac:dyDescent="0.35">
      <c r="A8820" t="str">
        <f t="shared" si="3258"/>
        <v>MSC SSU GUAM</v>
      </c>
      <c r="B8820" t="str">
        <f>T("USNS JOHN ERICSSON T-AO 194")</f>
        <v>USNS JOHN ERICSSON T-AO 194</v>
      </c>
      <c r="C8820" t="str">
        <f t="shared" si="3261"/>
        <v>ATTN MASTER</v>
      </c>
      <c r="D8820" t="str">
        <f t="shared" si="3262"/>
        <v>FPO</v>
      </c>
      <c r="E8820" t="str">
        <f t="shared" si="3264"/>
        <v>AP</v>
      </c>
      <c r="F8820" t="str">
        <f>T("966644071")</f>
        <v>966644071</v>
      </c>
      <c r="G8820" t="str">
        <f>T("USNS JOHN ERICSSON T-AO 194")</f>
        <v>USNS JOHN ERICSSON T-AO 194</v>
      </c>
      <c r="H8820" t="str">
        <f>T("UNIT 100451 BOX 1")</f>
        <v>UNIT 100451 BOX 1</v>
      </c>
      <c r="I8820" t="str">
        <f t="shared" si="3263"/>
        <v>FPO</v>
      </c>
      <c r="J8820" t="str">
        <f t="shared" si="3260"/>
        <v>AP</v>
      </c>
      <c r="K8820" t="str">
        <f>T("000000000000000000")</f>
        <v>000000000000000000</v>
      </c>
      <c r="L8820" t="str">
        <f>T("6195547178")</f>
        <v>6195547178</v>
      </c>
    </row>
    <row r="8821" spans="1:12" x14ac:dyDescent="0.35">
      <c r="A8821" t="str">
        <f t="shared" si="3258"/>
        <v>MSC SSU GUAM</v>
      </c>
      <c r="B8821" t="str">
        <f>T("USNS PECOS T-AO 197")</f>
        <v>USNS PECOS T-AO 197</v>
      </c>
      <c r="C8821" t="str">
        <f t="shared" si="3261"/>
        <v>ATTN MASTER</v>
      </c>
      <c r="D8821" t="str">
        <f t="shared" si="3262"/>
        <v>FPO</v>
      </c>
      <c r="E8821" t="str">
        <f t="shared" si="3264"/>
        <v>AP</v>
      </c>
      <c r="F8821" t="str">
        <f>T("966754099")</f>
        <v>966754099</v>
      </c>
      <c r="G8821" t="str">
        <f>T("USNS PECOS T-AO 197")</f>
        <v>USNS PECOS T-AO 197</v>
      </c>
      <c r="H8821" t="str">
        <f>T("ATTN MASTER")</f>
        <v>ATTN MASTER</v>
      </c>
      <c r="I8821" t="str">
        <f t="shared" si="3263"/>
        <v>FPO</v>
      </c>
      <c r="J8821" t="str">
        <f t="shared" si="3260"/>
        <v>AP</v>
      </c>
      <c r="K8821" t="str">
        <f>T("6195447120")</f>
        <v>6195447120</v>
      </c>
      <c r="L8821" t="str">
        <f>T("6195447119")</f>
        <v>6195447119</v>
      </c>
    </row>
    <row r="8822" spans="1:12" x14ac:dyDescent="0.35">
      <c r="A8822" t="str">
        <f t="shared" si="3258"/>
        <v>MSC SSU GUAM</v>
      </c>
      <c r="B8822" t="str">
        <f>T("USNS PECOS T-AO 197")</f>
        <v>USNS PECOS T-AO 197</v>
      </c>
      <c r="C8822" t="str">
        <f t="shared" si="3261"/>
        <v>ATTN MASTER</v>
      </c>
      <c r="D8822" t="str">
        <f t="shared" si="3262"/>
        <v>FPO</v>
      </c>
      <c r="E8822" t="str">
        <f t="shared" si="3264"/>
        <v>AP</v>
      </c>
      <c r="F8822" t="str">
        <f>T("966754099")</f>
        <v>966754099</v>
      </c>
      <c r="G8822" t="str">
        <f>T("USNS PECOS T-AO 197")</f>
        <v>USNS PECOS T-AO 197</v>
      </c>
      <c r="H8822" t="str">
        <f>T("UNIT 100478 BOX 1")</f>
        <v>UNIT 100478 BOX 1</v>
      </c>
      <c r="I8822" t="str">
        <f t="shared" si="3263"/>
        <v>FPO</v>
      </c>
      <c r="J8822" t="str">
        <f t="shared" si="3260"/>
        <v>AP</v>
      </c>
      <c r="K8822" t="str">
        <f>T("000000000000000000")</f>
        <v>000000000000000000</v>
      </c>
      <c r="L8822" t="str">
        <f>T("6195447118")</f>
        <v>6195447118</v>
      </c>
    </row>
    <row r="8823" spans="1:12" x14ac:dyDescent="0.35">
      <c r="A8823" t="str">
        <f t="shared" si="3258"/>
        <v>MSC SSU GUAM</v>
      </c>
      <c r="B8823" t="str">
        <f>T("USNS PECOS T-AO 197")</f>
        <v>USNS PECOS T-AO 197</v>
      </c>
      <c r="C8823" t="str">
        <f t="shared" si="3261"/>
        <v>ATTN MASTER</v>
      </c>
      <c r="D8823" t="str">
        <f t="shared" si="3262"/>
        <v>FPO</v>
      </c>
      <c r="E8823" t="str">
        <f t="shared" si="3264"/>
        <v>AP</v>
      </c>
      <c r="F8823" t="str">
        <f>T("966754099")</f>
        <v>966754099</v>
      </c>
      <c r="G8823" t="str">
        <f>T("USNS PECOS TAO 197")</f>
        <v>USNS PECOS TAO 197</v>
      </c>
      <c r="H8823" t="str">
        <f>T("")</f>
        <v/>
      </c>
      <c r="I8823" t="str">
        <f t="shared" si="3263"/>
        <v>FPO</v>
      </c>
      <c r="J8823" t="str">
        <f t="shared" si="3260"/>
        <v>AP</v>
      </c>
      <c r="K8823" t="str">
        <f>T("000000000000000000")</f>
        <v>000000000000000000</v>
      </c>
      <c r="L8823" t="str">
        <f>T("6195447118")</f>
        <v>6195447118</v>
      </c>
    </row>
    <row r="8824" spans="1:12" x14ac:dyDescent="0.35">
      <c r="A8824" t="str">
        <f t="shared" si="3258"/>
        <v>MSC SSU GUAM</v>
      </c>
      <c r="B8824" t="str">
        <f>T("USNS PECOS T-AO 197")</f>
        <v>USNS PECOS T-AO 197</v>
      </c>
      <c r="C8824" t="str">
        <f t="shared" si="3261"/>
        <v>ATTN MASTER</v>
      </c>
      <c r="D8824" t="str">
        <f t="shared" si="3262"/>
        <v>FPO</v>
      </c>
      <c r="E8824" t="str">
        <f t="shared" si="3264"/>
        <v>AP</v>
      </c>
      <c r="F8824" t="str">
        <f>T("966754099")</f>
        <v>966754099</v>
      </c>
      <c r="G8824" t="str">
        <f>T("USNS PECOS TAO 197")</f>
        <v>USNS PECOS TAO 197</v>
      </c>
      <c r="H8824" t="str">
        <f>T("UNIT 100478 BOX 1")</f>
        <v>UNIT 100478 BOX 1</v>
      </c>
      <c r="I8824" t="str">
        <f t="shared" si="3263"/>
        <v>FPO</v>
      </c>
      <c r="J8824" t="str">
        <f t="shared" si="3260"/>
        <v>AP</v>
      </c>
      <c r="K8824" t="str">
        <f>T("000000000000000000")</f>
        <v>000000000000000000</v>
      </c>
      <c r="L8824" t="str">
        <f>T("6195447118")</f>
        <v>6195447118</v>
      </c>
    </row>
    <row r="8825" spans="1:12" x14ac:dyDescent="0.35">
      <c r="A8825" t="str">
        <f t="shared" si="3258"/>
        <v>MSC SSU GUAM</v>
      </c>
      <c r="B8825" t="str">
        <f>T("USNS RAINIER T-AOE 7")</f>
        <v>USNS RAINIER T-AOE 7</v>
      </c>
      <c r="C8825" t="str">
        <f t="shared" si="3261"/>
        <v>ATTN MASTER</v>
      </c>
      <c r="D8825" t="str">
        <f t="shared" si="3262"/>
        <v>FPO</v>
      </c>
      <c r="E8825" t="str">
        <f t="shared" si="3264"/>
        <v>AP</v>
      </c>
      <c r="F8825" t="str">
        <f>T("966774005")</f>
        <v>966774005</v>
      </c>
      <c r="G8825" t="str">
        <f>T("USNS RAINIER T-AOE 7")</f>
        <v>USNS RAINIER T-AOE 7</v>
      </c>
      <c r="H8825" t="str">
        <f>T("")</f>
        <v/>
      </c>
      <c r="I8825" t="str">
        <f t="shared" si="3263"/>
        <v>FPO</v>
      </c>
      <c r="J8825" t="str">
        <f t="shared" si="3260"/>
        <v>AP</v>
      </c>
      <c r="K8825" t="str">
        <f>T("000000000000000000")</f>
        <v>000000000000000000</v>
      </c>
      <c r="L8825" t="str">
        <f>T("6195337243")</f>
        <v>6195337243</v>
      </c>
    </row>
    <row r="8826" spans="1:12" x14ac:dyDescent="0.35">
      <c r="A8826" t="str">
        <f t="shared" si="3258"/>
        <v>MSC SSU GUAM</v>
      </c>
      <c r="B8826" t="str">
        <f>T("USNS RAINIER T-AOE 7")</f>
        <v>USNS RAINIER T-AOE 7</v>
      </c>
      <c r="C8826" t="str">
        <f t="shared" si="3261"/>
        <v>ATTN MASTER</v>
      </c>
      <c r="D8826" t="str">
        <f t="shared" si="3262"/>
        <v>FPO</v>
      </c>
      <c r="E8826" t="str">
        <f t="shared" si="3264"/>
        <v>AP</v>
      </c>
      <c r="F8826" t="str">
        <f>T("966774005")</f>
        <v>966774005</v>
      </c>
      <c r="G8826" t="str">
        <f>T("USNS RAINIER T-AOE 7")</f>
        <v>USNS RAINIER T-AOE 7</v>
      </c>
      <c r="H8826" t="str">
        <f>T("")</f>
        <v/>
      </c>
      <c r="I8826" t="str">
        <f t="shared" si="3263"/>
        <v>FPO</v>
      </c>
      <c r="J8826" t="str">
        <f t="shared" si="3260"/>
        <v>AP</v>
      </c>
      <c r="K8826" t="str">
        <f>T("000000000000000000")</f>
        <v>000000000000000000</v>
      </c>
      <c r="L8826" t="str">
        <f>T("6195537243")</f>
        <v>6195537243</v>
      </c>
    </row>
    <row r="8827" spans="1:12" x14ac:dyDescent="0.35">
      <c r="A8827" t="str">
        <f t="shared" si="3258"/>
        <v>MSC SSU GUAM</v>
      </c>
      <c r="B8827" t="str">
        <f>T("USNS RAINIER T-AOE 7")</f>
        <v>USNS RAINIER T-AOE 7</v>
      </c>
      <c r="C8827" t="str">
        <f t="shared" si="3261"/>
        <v>ATTN MASTER</v>
      </c>
      <c r="D8827" t="str">
        <f t="shared" si="3262"/>
        <v>FPO</v>
      </c>
      <c r="E8827" t="str">
        <f t="shared" si="3264"/>
        <v>AP</v>
      </c>
      <c r="F8827" t="str">
        <f>T("966774005")</f>
        <v>966774005</v>
      </c>
      <c r="G8827" t="str">
        <f>T("USNS RAINIER T-AOE 7")</f>
        <v>USNS RAINIER T-AOE 7</v>
      </c>
      <c r="H8827" t="str">
        <f>T("ATTN MASTER")</f>
        <v>ATTN MASTER</v>
      </c>
      <c r="I8827" t="str">
        <f t="shared" si="3263"/>
        <v>FPO</v>
      </c>
      <c r="J8827" t="str">
        <f t="shared" si="3260"/>
        <v>AP</v>
      </c>
      <c r="K8827" t="str">
        <f>T("")</f>
        <v/>
      </c>
      <c r="L8827" t="str">
        <f>T("6195337241")</f>
        <v>6195337241</v>
      </c>
    </row>
    <row r="8828" spans="1:12" x14ac:dyDescent="0.35">
      <c r="A8828" t="str">
        <f t="shared" si="3258"/>
        <v>MSC SSU GUAM</v>
      </c>
      <c r="B8828" t="str">
        <f>T("USNS RAPPAHANNOCK T-AO 204")</f>
        <v>USNS RAPPAHANNOCK T-AO 204</v>
      </c>
      <c r="C8828" t="str">
        <f>T("UNIT 100484 BOX 301")</f>
        <v>UNIT 100484 BOX 301</v>
      </c>
      <c r="D8828" t="str">
        <f t="shared" si="3262"/>
        <v>FPO</v>
      </c>
      <c r="E8828" t="str">
        <f t="shared" si="3264"/>
        <v>AP</v>
      </c>
      <c r="F8828" t="str">
        <f>T("966778403")</f>
        <v>966778403</v>
      </c>
      <c r="G8828" t="str">
        <f>T("USNS RAPPAHANNOCK T-AO 204")</f>
        <v>USNS RAPPAHANNOCK T-AO 204</v>
      </c>
      <c r="H8828" t="str">
        <f>T("")</f>
        <v/>
      </c>
      <c r="I8828" t="str">
        <f t="shared" si="3263"/>
        <v>FPO</v>
      </c>
      <c r="J8828" t="str">
        <f t="shared" si="3260"/>
        <v>AP</v>
      </c>
      <c r="K8828" t="str">
        <f>T("6195249962")</f>
        <v>6195249962</v>
      </c>
      <c r="L8828" t="str">
        <f>T("6196322189")</f>
        <v>6196322189</v>
      </c>
    </row>
    <row r="8829" spans="1:12" x14ac:dyDescent="0.35">
      <c r="A8829" t="str">
        <f t="shared" si="3258"/>
        <v>MSC SSU GUAM</v>
      </c>
      <c r="B8829" t="str">
        <f>T("USNS RAPPAHANNOCK T-AO 204")</f>
        <v>USNS RAPPAHANNOCK T-AO 204</v>
      </c>
      <c r="C8829" t="str">
        <f>T("UNIT 100484 BOX 301")</f>
        <v>UNIT 100484 BOX 301</v>
      </c>
      <c r="D8829" t="str">
        <f t="shared" si="3262"/>
        <v>FPO</v>
      </c>
      <c r="E8829" t="str">
        <f t="shared" si="3264"/>
        <v>AP</v>
      </c>
      <c r="F8829" t="str">
        <f>T("966778403")</f>
        <v>966778403</v>
      </c>
      <c r="G8829" t="str">
        <f>T("USNS RAPPAHANNOCK T-AO 204")</f>
        <v>USNS RAPPAHANNOCK T-AO 204</v>
      </c>
      <c r="H8829" t="str">
        <f>T("UNIT 100484 BOX 301")</f>
        <v>UNIT 100484 BOX 301</v>
      </c>
      <c r="I8829" t="str">
        <f t="shared" si="3263"/>
        <v>FPO</v>
      </c>
      <c r="J8829" t="str">
        <f t="shared" si="3260"/>
        <v>AP</v>
      </c>
      <c r="K8829" t="str">
        <f>T("")</f>
        <v/>
      </c>
      <c r="L8829" t="str">
        <f>T("6195446985")</f>
        <v>6195446985</v>
      </c>
    </row>
    <row r="8830" spans="1:12" x14ac:dyDescent="0.35">
      <c r="A8830" t="str">
        <f t="shared" si="3258"/>
        <v>MSC SSU GUAM</v>
      </c>
      <c r="B8830" t="str">
        <f>T("USNS WALTER S. DIEHL T-AO 193")</f>
        <v>USNS WALTER S. DIEHL T-AO 193</v>
      </c>
      <c r="C8830" t="str">
        <f>T("UNIT 100446 BOX 1")</f>
        <v>UNIT 100446 BOX 1</v>
      </c>
      <c r="D8830" t="str">
        <f t="shared" si="3262"/>
        <v>FPO</v>
      </c>
      <c r="E8830" t="str">
        <f t="shared" si="3264"/>
        <v>AP</v>
      </c>
      <c r="F8830" t="str">
        <f>T("966634600")</f>
        <v>966634600</v>
      </c>
      <c r="G8830" t="str">
        <f>T("USNS WALTER S DIEHL T-AO 193")</f>
        <v>USNS WALTER S DIEHL T-AO 193</v>
      </c>
      <c r="H8830" t="str">
        <f>T("")</f>
        <v/>
      </c>
      <c r="I8830" t="str">
        <f t="shared" si="3263"/>
        <v>FPO</v>
      </c>
      <c r="J8830" t="str">
        <f t="shared" si="3260"/>
        <v>AP</v>
      </c>
      <c r="K8830" t="str">
        <f>T("000000000000000000")</f>
        <v>000000000000000000</v>
      </c>
      <c r="L8830" t="str">
        <f>T("6195447142")</f>
        <v>6195447142</v>
      </c>
    </row>
    <row r="8831" spans="1:12" x14ac:dyDescent="0.35">
      <c r="A8831" t="str">
        <f t="shared" si="3258"/>
        <v>MSC SSU GUAM</v>
      </c>
      <c r="B8831" t="str">
        <f>T("USNS WALTER S. DIEHL T-AO 193")</f>
        <v>USNS WALTER S. DIEHL T-AO 193</v>
      </c>
      <c r="C8831" t="str">
        <f>T("UNIT 100446 BOX 1")</f>
        <v>UNIT 100446 BOX 1</v>
      </c>
      <c r="D8831" t="str">
        <f t="shared" si="3262"/>
        <v>FPO</v>
      </c>
      <c r="E8831" t="str">
        <f t="shared" si="3264"/>
        <v>AP</v>
      </c>
      <c r="F8831" t="str">
        <f>T("966634600")</f>
        <v>966634600</v>
      </c>
      <c r="G8831" t="str">
        <f>T("USNS WALTER S DIEHL T-AO 193")</f>
        <v>USNS WALTER S DIEHL T-AO 193</v>
      </c>
      <c r="H8831" t="str">
        <f>T("")</f>
        <v/>
      </c>
      <c r="I8831" t="str">
        <f t="shared" si="3263"/>
        <v>FPO</v>
      </c>
      <c r="J8831" t="str">
        <f t="shared" si="3260"/>
        <v>AP</v>
      </c>
      <c r="K8831" t="str">
        <f>T("000000000000000000")</f>
        <v>000000000000000000</v>
      </c>
      <c r="L8831" t="str">
        <f>T("6195447144")</f>
        <v>6195447144</v>
      </c>
    </row>
    <row r="8832" spans="1:12" x14ac:dyDescent="0.35">
      <c r="A8832" t="str">
        <f t="shared" si="3258"/>
        <v>MSC SSU GUAM</v>
      </c>
      <c r="B8832" t="str">
        <f>T("USNS WALTER S. DIEHL T-AO 193")</f>
        <v>USNS WALTER S. DIEHL T-AO 193</v>
      </c>
      <c r="C8832" t="str">
        <f>T("UNIT 100446 BOX 1")</f>
        <v>UNIT 100446 BOX 1</v>
      </c>
      <c r="D8832" t="str">
        <f t="shared" si="3262"/>
        <v>FPO</v>
      </c>
      <c r="E8832" t="str">
        <f t="shared" si="3264"/>
        <v>AP</v>
      </c>
      <c r="F8832" t="str">
        <f>T("966634600")</f>
        <v>966634600</v>
      </c>
      <c r="G8832" t="str">
        <f>T("USNS WALTER S. DIEHL T-AO 193")</f>
        <v>USNS WALTER S. DIEHL T-AO 193</v>
      </c>
      <c r="H8832" t="str">
        <f>T("UNIT 100446 BOX 1")</f>
        <v>UNIT 100446 BOX 1</v>
      </c>
      <c r="I8832" t="str">
        <f t="shared" si="3263"/>
        <v>FPO</v>
      </c>
      <c r="J8832" t="str">
        <f t="shared" si="3260"/>
        <v>AP</v>
      </c>
      <c r="K8832" t="str">
        <f>T("6195447143")</f>
        <v>6195447143</v>
      </c>
      <c r="L8832" t="str">
        <f>T("6195447144")</f>
        <v>6195447144</v>
      </c>
    </row>
    <row r="8833" spans="1:12" x14ac:dyDescent="0.35">
      <c r="A8833" t="str">
        <f t="shared" si="3258"/>
        <v>MSC SSU GUAM</v>
      </c>
      <c r="B8833" t="str">
        <f>T("USS EMORY S LAND AS 39")</f>
        <v>USS EMORY S LAND AS 39</v>
      </c>
      <c r="C8833" t="str">
        <f>T("ATTN MASTER")</f>
        <v>ATTN MASTER</v>
      </c>
      <c r="D8833" t="str">
        <f t="shared" si="3262"/>
        <v>FPO</v>
      </c>
      <c r="E8833" t="str">
        <f t="shared" si="3264"/>
        <v>AP</v>
      </c>
      <c r="F8833" t="str">
        <f>T("966672610")</f>
        <v>966672610</v>
      </c>
      <c r="G8833" t="str">
        <f>T("MSC SSU GUAM M/F USS EMORY S LAND")</f>
        <v>MSC SSU GUAM M/F USS EMORY S LAND</v>
      </c>
      <c r="H8833" t="str">
        <f>T("BLDG 3110 SUMAY ROAD")</f>
        <v>BLDG 3110 SUMAY ROAD</v>
      </c>
      <c r="I8833" t="str">
        <f>T("SANTA RITA")</f>
        <v>SANTA RITA</v>
      </c>
      <c r="J8833" t="str">
        <f>T("GU")</f>
        <v>GU</v>
      </c>
      <c r="K8833" t="str">
        <f>T("6195458098")</f>
        <v>6195458098</v>
      </c>
      <c r="L8833" t="str">
        <f>T("6713431124")</f>
        <v>6713431124</v>
      </c>
    </row>
    <row r="8834" spans="1:12" x14ac:dyDescent="0.35">
      <c r="A8834" t="str">
        <f t="shared" si="3258"/>
        <v>MSC SSU GUAM</v>
      </c>
      <c r="B8834" t="str">
        <f>T("USS EMORY S LAND AS 39")</f>
        <v>USS EMORY S LAND AS 39</v>
      </c>
      <c r="C8834" t="str">
        <f>T("ATTN MASTER")</f>
        <v>ATTN MASTER</v>
      </c>
      <c r="D8834" t="str">
        <f t="shared" si="3262"/>
        <v>FPO</v>
      </c>
      <c r="E8834" t="str">
        <f t="shared" si="3264"/>
        <v>AP</v>
      </c>
      <c r="F8834" t="str">
        <f>T("966672610")</f>
        <v>966672610</v>
      </c>
      <c r="G8834" t="str">
        <f>T("UNIT 100104 BOX 1")</f>
        <v>UNIT 100104 BOX 1</v>
      </c>
      <c r="H8834" t="str">
        <f>T("")</f>
        <v/>
      </c>
      <c r="I8834" t="str">
        <f t="shared" ref="I8834:I8841" si="3265">T("FPO")</f>
        <v>FPO</v>
      </c>
      <c r="J8834" t="str">
        <f t="shared" ref="J8834:J8841" si="3266">T("AP")</f>
        <v>AP</v>
      </c>
      <c r="K8834" t="str">
        <f>T("6195458098")</f>
        <v>6195458098</v>
      </c>
      <c r="L8834" t="str">
        <f>T("6195458700")</f>
        <v>6195458700</v>
      </c>
    </row>
    <row r="8835" spans="1:12" x14ac:dyDescent="0.35">
      <c r="A8835" t="str">
        <f t="shared" si="3258"/>
        <v>MSC SSU GUAM</v>
      </c>
      <c r="B8835" t="str">
        <f>T("USS EMORY S LAND AS 39")</f>
        <v>USS EMORY S LAND AS 39</v>
      </c>
      <c r="C8835" t="str">
        <f>T("ATTN MASTER")</f>
        <v>ATTN MASTER</v>
      </c>
      <c r="D8835" t="str">
        <f t="shared" si="3262"/>
        <v>FPO</v>
      </c>
      <c r="E8835" t="str">
        <f t="shared" si="3264"/>
        <v>AP</v>
      </c>
      <c r="F8835" t="str">
        <f>T("966672610")</f>
        <v>966672610</v>
      </c>
      <c r="G8835" t="str">
        <f>T("UNIT 100104 BOX 1")</f>
        <v>UNIT 100104 BOX 1</v>
      </c>
      <c r="H8835" t="str">
        <f>T("")</f>
        <v/>
      </c>
      <c r="I8835" t="str">
        <f t="shared" si="3265"/>
        <v>FPO</v>
      </c>
      <c r="J8835" t="str">
        <f t="shared" si="3266"/>
        <v>AP</v>
      </c>
      <c r="K8835" t="str">
        <f>T("6718584702")</f>
        <v>6718584702</v>
      </c>
      <c r="L8835" t="str">
        <f>T("6713394516")</f>
        <v>6713394516</v>
      </c>
    </row>
    <row r="8836" spans="1:12" x14ac:dyDescent="0.35">
      <c r="A8836" t="str">
        <f t="shared" si="3258"/>
        <v>MSC SSU GUAM</v>
      </c>
      <c r="B8836" t="str">
        <f>T("USS EMORY S LAND AS 39")</f>
        <v>USS EMORY S LAND AS 39</v>
      </c>
      <c r="C8836" t="str">
        <f>T("ATTN MASTER")</f>
        <v>ATTN MASTER</v>
      </c>
      <c r="D8836" t="str">
        <f t="shared" si="3262"/>
        <v>FPO</v>
      </c>
      <c r="E8836" t="str">
        <f t="shared" si="3264"/>
        <v>AP</v>
      </c>
      <c r="F8836" t="str">
        <f>T("966672610")</f>
        <v>966672610</v>
      </c>
      <c r="G8836" t="str">
        <f>T("USS EMORY S LAND AS 39")</f>
        <v>USS EMORY S LAND AS 39</v>
      </c>
      <c r="H8836" t="str">
        <f>T("ATTN MASTER")</f>
        <v>ATTN MASTER</v>
      </c>
      <c r="I8836" t="str">
        <f t="shared" si="3265"/>
        <v>FPO</v>
      </c>
      <c r="J8836" t="str">
        <f t="shared" si="3266"/>
        <v>AP</v>
      </c>
      <c r="K8836" t="str">
        <f>T("6195458098")</f>
        <v>6195458098</v>
      </c>
      <c r="L8836" t="str">
        <f>T("6714895430")</f>
        <v>6714895430</v>
      </c>
    </row>
    <row r="8837" spans="1:12" x14ac:dyDescent="0.35">
      <c r="A8837" t="str">
        <f t="shared" si="3258"/>
        <v>MSC SSU GUAM</v>
      </c>
      <c r="B8837" t="str">
        <f>T("USS EMORY S LAND AS 39")</f>
        <v>USS EMORY S LAND AS 39</v>
      </c>
      <c r="C8837" t="str">
        <f>T("ATTN MASTER")</f>
        <v>ATTN MASTER</v>
      </c>
      <c r="D8837" t="str">
        <f t="shared" si="3262"/>
        <v>FPO</v>
      </c>
      <c r="E8837" t="str">
        <f t="shared" si="3264"/>
        <v>AP</v>
      </c>
      <c r="F8837" t="str">
        <f>T("966672610")</f>
        <v>966672610</v>
      </c>
      <c r="G8837" t="str">
        <f>T("USS EMORY S LAND AS-39")</f>
        <v>USS EMORY S LAND AS-39</v>
      </c>
      <c r="H8837" t="str">
        <f>T("UNIT 100104 BOX 1")</f>
        <v>UNIT 100104 BOX 1</v>
      </c>
      <c r="I8837" t="str">
        <f t="shared" si="3265"/>
        <v>FPO</v>
      </c>
      <c r="J8837" t="str">
        <f t="shared" si="3266"/>
        <v>AP</v>
      </c>
      <c r="K8837" t="str">
        <f>T("67134309236522")</f>
        <v>67134309236522</v>
      </c>
      <c r="L8837" t="str">
        <f>T("1111111111")</f>
        <v>1111111111</v>
      </c>
    </row>
    <row r="8838" spans="1:12" x14ac:dyDescent="0.35">
      <c r="A8838" t="str">
        <f t="shared" si="3258"/>
        <v>MSC SSU GUAM</v>
      </c>
      <c r="B8838" t="str">
        <f>T("USS FRANK CABLE AS 40")</f>
        <v>USS FRANK CABLE AS 40</v>
      </c>
      <c r="C8838" t="str">
        <f>T("")</f>
        <v/>
      </c>
      <c r="D8838" t="str">
        <f t="shared" si="3262"/>
        <v>FPO</v>
      </c>
      <c r="E8838" t="str">
        <f t="shared" si="3264"/>
        <v>AP</v>
      </c>
      <c r="F8838" t="str">
        <f>T("966572615")</f>
        <v>966572615</v>
      </c>
      <c r="G8838" t="str">
        <f>T("USS FRANK CABLE AS 40")</f>
        <v>USS FRANK CABLE AS 40</v>
      </c>
      <c r="H8838" t="str">
        <f>T("")</f>
        <v/>
      </c>
      <c r="I8838" t="str">
        <f t="shared" si="3265"/>
        <v>FPO</v>
      </c>
      <c r="J8838" t="str">
        <f t="shared" si="3266"/>
        <v>AP</v>
      </c>
      <c r="K8838" t="str">
        <f>T("000000000000000000")</f>
        <v>000000000000000000</v>
      </c>
      <c r="L8838" t="str">
        <f>T("6713432545")</f>
        <v>6713432545</v>
      </c>
    </row>
    <row r="8839" spans="1:12" x14ac:dyDescent="0.35">
      <c r="A8839" t="str">
        <f t="shared" si="3258"/>
        <v>MSC SSU GUAM</v>
      </c>
      <c r="B8839" t="str">
        <f>T("USS FRANK CABLE AS 40")</f>
        <v>USS FRANK CABLE AS 40</v>
      </c>
      <c r="C8839" t="str">
        <f>T("")</f>
        <v/>
      </c>
      <c r="D8839" t="str">
        <f t="shared" si="3262"/>
        <v>FPO</v>
      </c>
      <c r="E8839" t="str">
        <f t="shared" si="3264"/>
        <v>AP</v>
      </c>
      <c r="F8839" t="str">
        <f>T("966572615")</f>
        <v>966572615</v>
      </c>
      <c r="G8839" t="str">
        <f>T("USS FRANK CABLE AS 40")</f>
        <v>USS FRANK CABLE AS 40</v>
      </c>
      <c r="H8839" t="str">
        <f>T("")</f>
        <v/>
      </c>
      <c r="I8839" t="str">
        <f t="shared" si="3265"/>
        <v>FPO</v>
      </c>
      <c r="J8839" t="str">
        <f t="shared" si="3266"/>
        <v>AP</v>
      </c>
      <c r="K8839" t="str">
        <f>T("6716876574")</f>
        <v>6716876574</v>
      </c>
      <c r="L8839" t="str">
        <f>T("6713432545")</f>
        <v>6713432545</v>
      </c>
    </row>
    <row r="8840" spans="1:12" x14ac:dyDescent="0.35">
      <c r="A8840" t="str">
        <f t="shared" si="3258"/>
        <v>MSC SSU GUAM</v>
      </c>
      <c r="B8840" t="str">
        <f>T("USS FRANK CABLE AS 40")</f>
        <v>USS FRANK CABLE AS 40</v>
      </c>
      <c r="C8840" t="str">
        <f>T("")</f>
        <v/>
      </c>
      <c r="D8840" t="str">
        <f t="shared" si="3262"/>
        <v>FPO</v>
      </c>
      <c r="E8840" t="str">
        <f t="shared" si="3264"/>
        <v>AP</v>
      </c>
      <c r="F8840" t="str">
        <f>T("966572615")</f>
        <v>966572615</v>
      </c>
      <c r="G8840" t="str">
        <f>T("USS FRANK CABLE AS 40")</f>
        <v>USS FRANK CABLE AS 40</v>
      </c>
      <c r="H8840" t="str">
        <f>T("UNIT 100105 BOX 1")</f>
        <v>UNIT 100105 BOX 1</v>
      </c>
      <c r="I8840" t="str">
        <f t="shared" si="3265"/>
        <v>FPO</v>
      </c>
      <c r="J8840" t="str">
        <f t="shared" si="3266"/>
        <v>AP</v>
      </c>
      <c r="K8840" t="str">
        <f>T("000000000000000000")</f>
        <v>000000000000000000</v>
      </c>
      <c r="L8840" t="str">
        <f>T("6713432545")</f>
        <v>6713432545</v>
      </c>
    </row>
    <row r="8841" spans="1:12" x14ac:dyDescent="0.35">
      <c r="A8841" t="str">
        <f t="shared" si="3258"/>
        <v>MSC SSU GUAM</v>
      </c>
      <c r="B8841" t="str">
        <f>T("USS FRANK CABLE AS 40")</f>
        <v>USS FRANK CABLE AS 40</v>
      </c>
      <c r="C8841" t="str">
        <f>T("")</f>
        <v/>
      </c>
      <c r="D8841" t="str">
        <f t="shared" si="3262"/>
        <v>FPO</v>
      </c>
      <c r="E8841" t="str">
        <f t="shared" si="3264"/>
        <v>AP</v>
      </c>
      <c r="F8841" t="str">
        <f>T("966572615")</f>
        <v>966572615</v>
      </c>
      <c r="G8841" t="str">
        <f>T("USS FRANK CABLE AS 40")</f>
        <v>USS FRANK CABLE AS 40</v>
      </c>
      <c r="H8841" t="str">
        <f>T("UNIT 100105 BOX 1")</f>
        <v>UNIT 100105 BOX 1</v>
      </c>
      <c r="I8841" t="str">
        <f t="shared" si="3265"/>
        <v>FPO</v>
      </c>
      <c r="J8841" t="str">
        <f t="shared" si="3266"/>
        <v>AP</v>
      </c>
      <c r="K8841" t="str">
        <f>T("67134325457814")</f>
        <v>67134325457814</v>
      </c>
      <c r="L8841" t="str">
        <f>T("1111111111")</f>
        <v>1111111111</v>
      </c>
    </row>
    <row r="8842" spans="1:12" x14ac:dyDescent="0.35">
      <c r="A8842" t="str">
        <f t="shared" ref="A8842:A8905" si="3267">T("SSA PACIFIC")</f>
        <v>SSA PACIFIC</v>
      </c>
      <c r="B8842" t="str">
        <f>T("")</f>
        <v/>
      </c>
      <c r="C8842" t="str">
        <f>T("")</f>
        <v/>
      </c>
      <c r="D8842" t="str">
        <f>T("")</f>
        <v/>
      </c>
      <c r="E8842" t="str">
        <f>T("")</f>
        <v/>
      </c>
      <c r="F8842" t="str">
        <f>T("")</f>
        <v/>
      </c>
      <c r="G8842" t="str">
        <f>T("53560 HULL STREET")</f>
        <v>53560 HULL STREET</v>
      </c>
      <c r="H8842" t="str">
        <f>T("CODE 43110")</f>
        <v>CODE 43110</v>
      </c>
      <c r="I8842" t="str">
        <f t="shared" ref="I8842:I8873" si="3268">T("SAN DIEGO")</f>
        <v>SAN DIEGO</v>
      </c>
      <c r="J8842" t="str">
        <f t="shared" ref="J8842:J8873" si="3269">T("CA")</f>
        <v>CA</v>
      </c>
      <c r="K8842" t="str">
        <f t="shared" ref="K8842:K8873" si="3270">T("000000000000000000")</f>
        <v>000000000000000000</v>
      </c>
      <c r="L8842" t="str">
        <f>T("6195243582")</f>
        <v>6195243582</v>
      </c>
    </row>
    <row r="8843" spans="1:12" x14ac:dyDescent="0.35">
      <c r="A8843" t="str">
        <f t="shared" si="3267"/>
        <v>SSA PACIFIC</v>
      </c>
      <c r="B8843" t="str">
        <f t="shared" ref="B8843:B8850" si="3271">T("53560 HULL ST")</f>
        <v>53560 HULL ST</v>
      </c>
      <c r="C8843" t="str">
        <f>T("CODE 41250")</f>
        <v>CODE 41250</v>
      </c>
      <c r="D8843" t="str">
        <f t="shared" ref="D8843:D8906" si="3272">T("SAN DIEGO")</f>
        <v>SAN DIEGO</v>
      </c>
      <c r="E8843" t="str">
        <f t="shared" ref="E8843:E8906" si="3273">T("CA")</f>
        <v>CA</v>
      </c>
      <c r="F8843" t="str">
        <f t="shared" ref="F8843:F8850" si="3274">T("921520001")</f>
        <v>921520001</v>
      </c>
      <c r="G8843" t="str">
        <f>T("53560 HULL ST")</f>
        <v>53560 HULL ST</v>
      </c>
      <c r="H8843" t="str">
        <f>T("CODE 41250")</f>
        <v>CODE 41250</v>
      </c>
      <c r="I8843" t="str">
        <f t="shared" si="3268"/>
        <v>SAN DIEGO</v>
      </c>
      <c r="J8843" t="str">
        <f t="shared" si="3269"/>
        <v>CA</v>
      </c>
      <c r="K8843" t="str">
        <f t="shared" si="3270"/>
        <v>000000000000000000</v>
      </c>
      <c r="L8843" t="str">
        <f>T("6195242153")</f>
        <v>6195242153</v>
      </c>
    </row>
    <row r="8844" spans="1:12" x14ac:dyDescent="0.35">
      <c r="A8844" t="str">
        <f t="shared" si="3267"/>
        <v>SSA PACIFIC</v>
      </c>
      <c r="B8844" t="str">
        <f t="shared" si="3271"/>
        <v>53560 HULL ST</v>
      </c>
      <c r="C8844" t="str">
        <f>T("CODE 41250")</f>
        <v>CODE 41250</v>
      </c>
      <c r="D8844" t="str">
        <f t="shared" si="3272"/>
        <v>SAN DIEGO</v>
      </c>
      <c r="E8844" t="str">
        <f t="shared" si="3273"/>
        <v>CA</v>
      </c>
      <c r="F8844" t="str">
        <f t="shared" si="3274"/>
        <v>921520001</v>
      </c>
      <c r="G8844" t="str">
        <f>T("53560 HULL ST")</f>
        <v>53560 HULL ST</v>
      </c>
      <c r="H8844" t="str">
        <f>T("CODE 41250")</f>
        <v>CODE 41250</v>
      </c>
      <c r="I8844" t="str">
        <f t="shared" si="3268"/>
        <v>SAN DIEGO</v>
      </c>
      <c r="J8844" t="str">
        <f t="shared" si="3269"/>
        <v>CA</v>
      </c>
      <c r="K8844" t="str">
        <f t="shared" si="3270"/>
        <v>000000000000000000</v>
      </c>
      <c r="L8844" t="str">
        <f>T("6195243718")</f>
        <v>6195243718</v>
      </c>
    </row>
    <row r="8845" spans="1:12" x14ac:dyDescent="0.35">
      <c r="A8845" t="str">
        <f t="shared" si="3267"/>
        <v>SSA PACIFIC</v>
      </c>
      <c r="B8845" t="str">
        <f t="shared" si="3271"/>
        <v>53560 HULL ST</v>
      </c>
      <c r="C8845" t="str">
        <f>T("CODE 55250")</f>
        <v>CODE 55250</v>
      </c>
      <c r="D8845" t="str">
        <f t="shared" si="3272"/>
        <v>SAN DIEGO</v>
      </c>
      <c r="E8845" t="str">
        <f t="shared" si="3273"/>
        <v>CA</v>
      </c>
      <c r="F8845" t="str">
        <f t="shared" si="3274"/>
        <v>921520001</v>
      </c>
      <c r="G8845" t="str">
        <f>T("53560 HULL ST")</f>
        <v>53560 HULL ST</v>
      </c>
      <c r="H8845" t="str">
        <f>T("CODE 55250")</f>
        <v>CODE 55250</v>
      </c>
      <c r="I8845" t="str">
        <f t="shared" si="3268"/>
        <v>SAN DIEGO</v>
      </c>
      <c r="J8845" t="str">
        <f t="shared" si="3269"/>
        <v>CA</v>
      </c>
      <c r="K8845" t="str">
        <f t="shared" si="3270"/>
        <v>000000000000000000</v>
      </c>
      <c r="L8845" t="str">
        <f>T("6195531729")</f>
        <v>6195531729</v>
      </c>
    </row>
    <row r="8846" spans="1:12" x14ac:dyDescent="0.35">
      <c r="A8846" t="str">
        <f t="shared" si="3267"/>
        <v>SSA PACIFIC</v>
      </c>
      <c r="B8846" t="str">
        <f t="shared" si="3271"/>
        <v>53560 HULL ST</v>
      </c>
      <c r="C8846" t="str">
        <f>T("CODE 58110")</f>
        <v>CODE 58110</v>
      </c>
      <c r="D8846" t="str">
        <f t="shared" si="3272"/>
        <v>SAN DIEGO</v>
      </c>
      <c r="E8846" t="str">
        <f t="shared" si="3273"/>
        <v>CA</v>
      </c>
      <c r="F8846" t="str">
        <f t="shared" si="3274"/>
        <v>921520001</v>
      </c>
      <c r="G8846" t="str">
        <f>T("53560 HULL ST")</f>
        <v>53560 HULL ST</v>
      </c>
      <c r="H8846" t="str">
        <f>T("CODE 58110")</f>
        <v>CODE 58110</v>
      </c>
      <c r="I8846" t="str">
        <f t="shared" si="3268"/>
        <v>SAN DIEGO</v>
      </c>
      <c r="J8846" t="str">
        <f t="shared" si="3269"/>
        <v>CA</v>
      </c>
      <c r="K8846" t="str">
        <f t="shared" si="3270"/>
        <v>000000000000000000</v>
      </c>
      <c r="L8846" t="str">
        <f>T("6195535233")</f>
        <v>6195535233</v>
      </c>
    </row>
    <row r="8847" spans="1:12" x14ac:dyDescent="0.35">
      <c r="A8847" t="str">
        <f t="shared" si="3267"/>
        <v>SSA PACIFIC</v>
      </c>
      <c r="B8847" t="str">
        <f t="shared" si="3271"/>
        <v>53560 HULL ST</v>
      </c>
      <c r="C8847" t="str">
        <f>T("CODE 58110")</f>
        <v>CODE 58110</v>
      </c>
      <c r="D8847" t="str">
        <f t="shared" si="3272"/>
        <v>SAN DIEGO</v>
      </c>
      <c r="E8847" t="str">
        <f t="shared" si="3273"/>
        <v>CA</v>
      </c>
      <c r="F8847" t="str">
        <f t="shared" si="3274"/>
        <v>921520001</v>
      </c>
      <c r="G8847" t="str">
        <f>T("53560 HULL STREET")</f>
        <v>53560 HULL STREET</v>
      </c>
      <c r="H8847" t="str">
        <f>T("CODE 58110")</f>
        <v>CODE 58110</v>
      </c>
      <c r="I8847" t="str">
        <f t="shared" si="3268"/>
        <v>SAN DIEGO</v>
      </c>
      <c r="J8847" t="str">
        <f t="shared" si="3269"/>
        <v>CA</v>
      </c>
      <c r="K8847" t="str">
        <f t="shared" si="3270"/>
        <v>000000000000000000</v>
      </c>
      <c r="L8847" t="str">
        <f>T("6195534174")</f>
        <v>6195534174</v>
      </c>
    </row>
    <row r="8848" spans="1:12" x14ac:dyDescent="0.35">
      <c r="A8848" t="str">
        <f t="shared" si="3267"/>
        <v>SSA PACIFIC</v>
      </c>
      <c r="B8848" t="str">
        <f t="shared" si="3271"/>
        <v>53560 HULL ST</v>
      </c>
      <c r="C8848" t="str">
        <f>T("CODE 58110")</f>
        <v>CODE 58110</v>
      </c>
      <c r="D8848" t="str">
        <f t="shared" si="3272"/>
        <v>SAN DIEGO</v>
      </c>
      <c r="E8848" t="str">
        <f t="shared" si="3273"/>
        <v>CA</v>
      </c>
      <c r="F8848" t="str">
        <f t="shared" si="3274"/>
        <v>921520001</v>
      </c>
      <c r="G8848" t="str">
        <f>T("53560 HULL STREET")</f>
        <v>53560 HULL STREET</v>
      </c>
      <c r="H8848" t="str">
        <f>T("CODE 58120")</f>
        <v>CODE 58120</v>
      </c>
      <c r="I8848" t="str">
        <f t="shared" si="3268"/>
        <v>SAN DIEGO</v>
      </c>
      <c r="J8848" t="str">
        <f t="shared" si="3269"/>
        <v>CA</v>
      </c>
      <c r="K8848" t="str">
        <f t="shared" si="3270"/>
        <v>000000000000000000</v>
      </c>
      <c r="L8848" t="str">
        <f>T("6195533761")</f>
        <v>6195533761</v>
      </c>
    </row>
    <row r="8849" spans="1:12" x14ac:dyDescent="0.35">
      <c r="A8849" t="str">
        <f t="shared" si="3267"/>
        <v>SSA PACIFIC</v>
      </c>
      <c r="B8849" t="str">
        <f t="shared" si="3271"/>
        <v>53560 HULL ST</v>
      </c>
      <c r="C8849" t="str">
        <f>T("CODE 71760")</f>
        <v>CODE 71760</v>
      </c>
      <c r="D8849" t="str">
        <f t="shared" si="3272"/>
        <v>SAN DIEGO</v>
      </c>
      <c r="E8849" t="str">
        <f t="shared" si="3273"/>
        <v>CA</v>
      </c>
      <c r="F8849" t="str">
        <f t="shared" si="3274"/>
        <v>921520001</v>
      </c>
      <c r="G8849" t="str">
        <f t="shared" ref="G8849:G8854" si="3275">T("53560 HULL ST")</f>
        <v>53560 HULL ST</v>
      </c>
      <c r="H8849" t="str">
        <f>T("CODE 71760")</f>
        <v>CODE 71760</v>
      </c>
      <c r="I8849" t="str">
        <f t="shared" si="3268"/>
        <v>SAN DIEGO</v>
      </c>
      <c r="J8849" t="str">
        <f t="shared" si="3269"/>
        <v>CA</v>
      </c>
      <c r="K8849" t="str">
        <f t="shared" si="3270"/>
        <v>000000000000000000</v>
      </c>
      <c r="L8849" t="str">
        <f>T("6195532776")</f>
        <v>6195532776</v>
      </c>
    </row>
    <row r="8850" spans="1:12" x14ac:dyDescent="0.35">
      <c r="A8850" t="str">
        <f t="shared" si="3267"/>
        <v>SSA PACIFIC</v>
      </c>
      <c r="B8850" t="str">
        <f t="shared" si="3271"/>
        <v>53560 HULL ST</v>
      </c>
      <c r="C8850" t="str">
        <f>T("CODE 83540")</f>
        <v>CODE 83540</v>
      </c>
      <c r="D8850" t="str">
        <f t="shared" si="3272"/>
        <v>SAN DIEGO</v>
      </c>
      <c r="E8850" t="str">
        <f t="shared" si="3273"/>
        <v>CA</v>
      </c>
      <c r="F8850" t="str">
        <f t="shared" si="3274"/>
        <v>921520001</v>
      </c>
      <c r="G8850" t="str">
        <f t="shared" si="3275"/>
        <v>53560 HULL ST</v>
      </c>
      <c r="H8850" t="str">
        <f>T("CODE 83540")</f>
        <v>CODE 83540</v>
      </c>
      <c r="I8850" t="str">
        <f t="shared" si="3268"/>
        <v>SAN DIEGO</v>
      </c>
      <c r="J8850" t="str">
        <f t="shared" si="3269"/>
        <v>CA</v>
      </c>
      <c r="K8850" t="str">
        <f t="shared" si="3270"/>
        <v>000000000000000000</v>
      </c>
      <c r="L8850" t="str">
        <f>T("6195533835")</f>
        <v>6195533835</v>
      </c>
    </row>
    <row r="8851" spans="1:12" x14ac:dyDescent="0.35">
      <c r="A8851" t="str">
        <f t="shared" si="3267"/>
        <v>SSA PACIFIC</v>
      </c>
      <c r="B8851" t="str">
        <f t="shared" ref="B8851:B8914" si="3276">T("53560 HULL STREET")</f>
        <v>53560 HULL STREET</v>
      </c>
      <c r="C8851" t="str">
        <f t="shared" ref="C8851:C8872" si="3277">T("")</f>
        <v/>
      </c>
      <c r="D8851" t="str">
        <f t="shared" si="3272"/>
        <v>SAN DIEGO</v>
      </c>
      <c r="E8851" t="str">
        <f t="shared" si="3273"/>
        <v>CA</v>
      </c>
      <c r="F8851" t="str">
        <f t="shared" ref="F8851:F8875" si="3278">T("921525001")</f>
        <v>921525001</v>
      </c>
      <c r="G8851" t="str">
        <f t="shared" si="3275"/>
        <v>53560 HULL ST</v>
      </c>
      <c r="H8851" t="str">
        <f>T("CODE 52380")</f>
        <v>CODE 52380</v>
      </c>
      <c r="I8851" t="str">
        <f t="shared" si="3268"/>
        <v>SAN DIEGO</v>
      </c>
      <c r="J8851" t="str">
        <f t="shared" si="3269"/>
        <v>CA</v>
      </c>
      <c r="K8851" t="str">
        <f t="shared" si="3270"/>
        <v>000000000000000000</v>
      </c>
      <c r="L8851" t="str">
        <f>T("6195534457")</f>
        <v>6195534457</v>
      </c>
    </row>
    <row r="8852" spans="1:12" x14ac:dyDescent="0.35">
      <c r="A8852" t="str">
        <f t="shared" si="3267"/>
        <v>SSA PACIFIC</v>
      </c>
      <c r="B8852" t="str">
        <f t="shared" si="3276"/>
        <v>53560 HULL STREET</v>
      </c>
      <c r="C8852" t="str">
        <f t="shared" si="3277"/>
        <v/>
      </c>
      <c r="D8852" t="str">
        <f t="shared" si="3272"/>
        <v>SAN DIEGO</v>
      </c>
      <c r="E8852" t="str">
        <f t="shared" si="3273"/>
        <v>CA</v>
      </c>
      <c r="F8852" t="str">
        <f t="shared" si="3278"/>
        <v>921525001</v>
      </c>
      <c r="G8852" t="str">
        <f t="shared" si="3275"/>
        <v>53560 HULL ST</v>
      </c>
      <c r="H8852" t="str">
        <f>T("CODE 53208")</f>
        <v>CODE 53208</v>
      </c>
      <c r="I8852" t="str">
        <f t="shared" si="3268"/>
        <v>SAN DIEGO</v>
      </c>
      <c r="J8852" t="str">
        <f t="shared" si="3269"/>
        <v>CA</v>
      </c>
      <c r="K8852" t="str">
        <f t="shared" si="3270"/>
        <v>000000000000000000</v>
      </c>
      <c r="L8852" t="str">
        <f>T("6195538675")</f>
        <v>6195538675</v>
      </c>
    </row>
    <row r="8853" spans="1:12" x14ac:dyDescent="0.35">
      <c r="A8853" t="str">
        <f t="shared" si="3267"/>
        <v>SSA PACIFIC</v>
      </c>
      <c r="B8853" t="str">
        <f t="shared" si="3276"/>
        <v>53560 HULL STREET</v>
      </c>
      <c r="C8853" t="str">
        <f t="shared" si="3277"/>
        <v/>
      </c>
      <c r="D8853" t="str">
        <f t="shared" si="3272"/>
        <v>SAN DIEGO</v>
      </c>
      <c r="E8853" t="str">
        <f t="shared" si="3273"/>
        <v>CA</v>
      </c>
      <c r="F8853" t="str">
        <f t="shared" si="3278"/>
        <v>921525001</v>
      </c>
      <c r="G8853" t="str">
        <f t="shared" si="3275"/>
        <v>53560 HULL ST</v>
      </c>
      <c r="H8853" t="str">
        <f>T("CODE 53529")</f>
        <v>CODE 53529</v>
      </c>
      <c r="I8853" t="str">
        <f t="shared" si="3268"/>
        <v>SAN DIEGO</v>
      </c>
      <c r="J8853" t="str">
        <f t="shared" si="3269"/>
        <v>CA</v>
      </c>
      <c r="K8853" t="str">
        <f t="shared" si="3270"/>
        <v>000000000000000000</v>
      </c>
      <c r="L8853" t="str">
        <f>T("6197674700")</f>
        <v>6197674700</v>
      </c>
    </row>
    <row r="8854" spans="1:12" x14ac:dyDescent="0.35">
      <c r="A8854" t="str">
        <f t="shared" si="3267"/>
        <v>SSA PACIFIC</v>
      </c>
      <c r="B8854" t="str">
        <f t="shared" si="3276"/>
        <v>53560 HULL STREET</v>
      </c>
      <c r="C8854" t="str">
        <f t="shared" si="3277"/>
        <v/>
      </c>
      <c r="D8854" t="str">
        <f t="shared" si="3272"/>
        <v>SAN DIEGO</v>
      </c>
      <c r="E8854" t="str">
        <f t="shared" si="3273"/>
        <v>CA</v>
      </c>
      <c r="F8854" t="str">
        <f t="shared" si="3278"/>
        <v>921525001</v>
      </c>
      <c r="G8854" t="str">
        <f t="shared" si="3275"/>
        <v>53560 HULL ST</v>
      </c>
      <c r="H8854" t="str">
        <f>T("CODE 55160")</f>
        <v>CODE 55160</v>
      </c>
      <c r="I8854" t="str">
        <f t="shared" si="3268"/>
        <v>SAN DIEGO</v>
      </c>
      <c r="J8854" t="str">
        <f t="shared" si="3269"/>
        <v>CA</v>
      </c>
      <c r="K8854" t="str">
        <f t="shared" si="3270"/>
        <v>000000000000000000</v>
      </c>
      <c r="L8854" t="str">
        <f>T("6195532928")</f>
        <v>6195532928</v>
      </c>
    </row>
    <row r="8855" spans="1:12" x14ac:dyDescent="0.35">
      <c r="A8855" t="str">
        <f t="shared" si="3267"/>
        <v>SSA PACIFIC</v>
      </c>
      <c r="B8855" t="str">
        <f t="shared" si="3276"/>
        <v>53560 HULL STREET</v>
      </c>
      <c r="C8855" t="str">
        <f t="shared" si="3277"/>
        <v/>
      </c>
      <c r="D8855" t="str">
        <f t="shared" si="3272"/>
        <v>SAN DIEGO</v>
      </c>
      <c r="E8855" t="str">
        <f t="shared" si="3273"/>
        <v>CA</v>
      </c>
      <c r="F8855" t="str">
        <f t="shared" si="3278"/>
        <v>921525001</v>
      </c>
      <c r="G8855" t="str">
        <f t="shared" ref="G8855:G8896" si="3279">T("53560 HULL STREET")</f>
        <v>53560 HULL STREET</v>
      </c>
      <c r="H8855" t="str">
        <f t="shared" ref="H8855:H8861" si="3280">T("")</f>
        <v/>
      </c>
      <c r="I8855" t="str">
        <f t="shared" si="3268"/>
        <v>SAN DIEGO</v>
      </c>
      <c r="J8855" t="str">
        <f t="shared" si="3269"/>
        <v>CA</v>
      </c>
      <c r="K8855" t="str">
        <f t="shared" si="3270"/>
        <v>000000000000000000</v>
      </c>
      <c r="L8855" t="str">
        <f>T("6192215235")</f>
        <v>6192215235</v>
      </c>
    </row>
    <row r="8856" spans="1:12" x14ac:dyDescent="0.35">
      <c r="A8856" t="str">
        <f t="shared" si="3267"/>
        <v>SSA PACIFIC</v>
      </c>
      <c r="B8856" t="str">
        <f t="shared" si="3276"/>
        <v>53560 HULL STREET</v>
      </c>
      <c r="C8856" t="str">
        <f t="shared" si="3277"/>
        <v/>
      </c>
      <c r="D8856" t="str">
        <f t="shared" si="3272"/>
        <v>SAN DIEGO</v>
      </c>
      <c r="E8856" t="str">
        <f t="shared" si="3273"/>
        <v>CA</v>
      </c>
      <c r="F8856" t="str">
        <f t="shared" si="3278"/>
        <v>921525001</v>
      </c>
      <c r="G8856" t="str">
        <f t="shared" si="3279"/>
        <v>53560 HULL STREET</v>
      </c>
      <c r="H8856" t="str">
        <f t="shared" si="3280"/>
        <v/>
      </c>
      <c r="I8856" t="str">
        <f t="shared" si="3268"/>
        <v>SAN DIEGO</v>
      </c>
      <c r="J8856" t="str">
        <f t="shared" si="3269"/>
        <v>CA</v>
      </c>
      <c r="K8856" t="str">
        <f t="shared" si="3270"/>
        <v>000000000000000000</v>
      </c>
      <c r="L8856" t="str">
        <f>T("6192265110")</f>
        <v>6192265110</v>
      </c>
    </row>
    <row r="8857" spans="1:12" x14ac:dyDescent="0.35">
      <c r="A8857" t="str">
        <f t="shared" si="3267"/>
        <v>SSA PACIFIC</v>
      </c>
      <c r="B8857" t="str">
        <f t="shared" si="3276"/>
        <v>53560 HULL STREET</v>
      </c>
      <c r="C8857" t="str">
        <f t="shared" si="3277"/>
        <v/>
      </c>
      <c r="D8857" t="str">
        <f t="shared" si="3272"/>
        <v>SAN DIEGO</v>
      </c>
      <c r="E8857" t="str">
        <f t="shared" si="3273"/>
        <v>CA</v>
      </c>
      <c r="F8857" t="str">
        <f t="shared" si="3278"/>
        <v>921525001</v>
      </c>
      <c r="G8857" t="str">
        <f t="shared" si="3279"/>
        <v>53560 HULL STREET</v>
      </c>
      <c r="H8857" t="str">
        <f t="shared" si="3280"/>
        <v/>
      </c>
      <c r="I8857" t="str">
        <f t="shared" si="3268"/>
        <v>SAN DIEGO</v>
      </c>
      <c r="J8857" t="str">
        <f t="shared" si="3269"/>
        <v>CA</v>
      </c>
      <c r="K8857" t="str">
        <f t="shared" si="3270"/>
        <v>000000000000000000</v>
      </c>
      <c r="L8857" t="str">
        <f>T("6195531024")</f>
        <v>6195531024</v>
      </c>
    </row>
    <row r="8858" spans="1:12" x14ac:dyDescent="0.35">
      <c r="A8858" t="str">
        <f t="shared" si="3267"/>
        <v>SSA PACIFIC</v>
      </c>
      <c r="B8858" t="str">
        <f t="shared" si="3276"/>
        <v>53560 HULL STREET</v>
      </c>
      <c r="C8858" t="str">
        <f t="shared" si="3277"/>
        <v/>
      </c>
      <c r="D8858" t="str">
        <f t="shared" si="3272"/>
        <v>SAN DIEGO</v>
      </c>
      <c r="E8858" t="str">
        <f t="shared" si="3273"/>
        <v>CA</v>
      </c>
      <c r="F8858" t="str">
        <f t="shared" si="3278"/>
        <v>921525001</v>
      </c>
      <c r="G8858" t="str">
        <f t="shared" si="3279"/>
        <v>53560 HULL STREET</v>
      </c>
      <c r="H8858" t="str">
        <f t="shared" si="3280"/>
        <v/>
      </c>
      <c r="I8858" t="str">
        <f t="shared" si="3268"/>
        <v>SAN DIEGO</v>
      </c>
      <c r="J8858" t="str">
        <f t="shared" si="3269"/>
        <v>CA</v>
      </c>
      <c r="K8858" t="str">
        <f t="shared" si="3270"/>
        <v>000000000000000000</v>
      </c>
      <c r="L8858" t="str">
        <f>T("6195531546")</f>
        <v>6195531546</v>
      </c>
    </row>
    <row r="8859" spans="1:12" x14ac:dyDescent="0.35">
      <c r="A8859" t="str">
        <f t="shared" si="3267"/>
        <v>SSA PACIFIC</v>
      </c>
      <c r="B8859" t="str">
        <f t="shared" si="3276"/>
        <v>53560 HULL STREET</v>
      </c>
      <c r="C8859" t="str">
        <f t="shared" si="3277"/>
        <v/>
      </c>
      <c r="D8859" t="str">
        <f t="shared" si="3272"/>
        <v>SAN DIEGO</v>
      </c>
      <c r="E8859" t="str">
        <f t="shared" si="3273"/>
        <v>CA</v>
      </c>
      <c r="F8859" t="str">
        <f t="shared" si="3278"/>
        <v>921525001</v>
      </c>
      <c r="G8859" t="str">
        <f t="shared" si="3279"/>
        <v>53560 HULL STREET</v>
      </c>
      <c r="H8859" t="str">
        <f t="shared" si="3280"/>
        <v/>
      </c>
      <c r="I8859" t="str">
        <f t="shared" si="3268"/>
        <v>SAN DIEGO</v>
      </c>
      <c r="J8859" t="str">
        <f t="shared" si="3269"/>
        <v>CA</v>
      </c>
      <c r="K8859" t="str">
        <f t="shared" si="3270"/>
        <v>000000000000000000</v>
      </c>
      <c r="L8859" t="str">
        <f>T("6195534053")</f>
        <v>6195534053</v>
      </c>
    </row>
    <row r="8860" spans="1:12" x14ac:dyDescent="0.35">
      <c r="A8860" t="str">
        <f t="shared" si="3267"/>
        <v>SSA PACIFIC</v>
      </c>
      <c r="B8860" t="str">
        <f t="shared" si="3276"/>
        <v>53560 HULL STREET</v>
      </c>
      <c r="C8860" t="str">
        <f t="shared" si="3277"/>
        <v/>
      </c>
      <c r="D8860" t="str">
        <f t="shared" si="3272"/>
        <v>SAN DIEGO</v>
      </c>
      <c r="E8860" t="str">
        <f t="shared" si="3273"/>
        <v>CA</v>
      </c>
      <c r="F8860" t="str">
        <f t="shared" si="3278"/>
        <v>921525001</v>
      </c>
      <c r="G8860" t="str">
        <f t="shared" si="3279"/>
        <v>53560 HULL STREET</v>
      </c>
      <c r="H8860" t="str">
        <f t="shared" si="3280"/>
        <v/>
      </c>
      <c r="I8860" t="str">
        <f t="shared" si="3268"/>
        <v>SAN DIEGO</v>
      </c>
      <c r="J8860" t="str">
        <f t="shared" si="3269"/>
        <v>CA</v>
      </c>
      <c r="K8860" t="str">
        <f t="shared" si="3270"/>
        <v>000000000000000000</v>
      </c>
      <c r="L8860" t="str">
        <f>T("6195538376")</f>
        <v>6195538376</v>
      </c>
    </row>
    <row r="8861" spans="1:12" x14ac:dyDescent="0.35">
      <c r="A8861" t="str">
        <f t="shared" si="3267"/>
        <v>SSA PACIFIC</v>
      </c>
      <c r="B8861" t="str">
        <f t="shared" si="3276"/>
        <v>53560 HULL STREET</v>
      </c>
      <c r="C8861" t="str">
        <f t="shared" si="3277"/>
        <v/>
      </c>
      <c r="D8861" t="str">
        <f t="shared" si="3272"/>
        <v>SAN DIEGO</v>
      </c>
      <c r="E8861" t="str">
        <f t="shared" si="3273"/>
        <v>CA</v>
      </c>
      <c r="F8861" t="str">
        <f t="shared" si="3278"/>
        <v>921525001</v>
      </c>
      <c r="G8861" t="str">
        <f t="shared" si="3279"/>
        <v>53560 HULL STREET</v>
      </c>
      <c r="H8861" t="str">
        <f t="shared" si="3280"/>
        <v/>
      </c>
      <c r="I8861" t="str">
        <f t="shared" si="3268"/>
        <v>SAN DIEGO</v>
      </c>
      <c r="J8861" t="str">
        <f t="shared" si="3269"/>
        <v>CA</v>
      </c>
      <c r="K8861" t="str">
        <f t="shared" si="3270"/>
        <v>000000000000000000</v>
      </c>
      <c r="L8861" t="str">
        <f>T("6197674759")</f>
        <v>6197674759</v>
      </c>
    </row>
    <row r="8862" spans="1:12" x14ac:dyDescent="0.35">
      <c r="A8862" t="str">
        <f t="shared" si="3267"/>
        <v>SSA PACIFIC</v>
      </c>
      <c r="B8862" t="str">
        <f t="shared" si="3276"/>
        <v>53560 HULL STREET</v>
      </c>
      <c r="C8862" t="str">
        <f t="shared" si="3277"/>
        <v/>
      </c>
      <c r="D8862" t="str">
        <f t="shared" si="3272"/>
        <v>SAN DIEGO</v>
      </c>
      <c r="E8862" t="str">
        <f t="shared" si="3273"/>
        <v>CA</v>
      </c>
      <c r="F8862" t="str">
        <f t="shared" si="3278"/>
        <v>921525001</v>
      </c>
      <c r="G8862" t="str">
        <f t="shared" si="3279"/>
        <v>53560 HULL STREET</v>
      </c>
      <c r="H8862" t="str">
        <f>T("54530")</f>
        <v>54530</v>
      </c>
      <c r="I8862" t="str">
        <f t="shared" si="3268"/>
        <v>SAN DIEGO</v>
      </c>
      <c r="J8862" t="str">
        <f t="shared" si="3269"/>
        <v>CA</v>
      </c>
      <c r="K8862" t="str">
        <f t="shared" si="3270"/>
        <v>000000000000000000</v>
      </c>
      <c r="L8862" t="str">
        <f>T("6195532874")</f>
        <v>6195532874</v>
      </c>
    </row>
    <row r="8863" spans="1:12" x14ac:dyDescent="0.35">
      <c r="A8863" t="str">
        <f t="shared" si="3267"/>
        <v>SSA PACIFIC</v>
      </c>
      <c r="B8863" t="str">
        <f t="shared" si="3276"/>
        <v>53560 HULL STREET</v>
      </c>
      <c r="C8863" t="str">
        <f t="shared" si="3277"/>
        <v/>
      </c>
      <c r="D8863" t="str">
        <f t="shared" si="3272"/>
        <v>SAN DIEGO</v>
      </c>
      <c r="E8863" t="str">
        <f t="shared" si="3273"/>
        <v>CA</v>
      </c>
      <c r="F8863" t="str">
        <f t="shared" si="3278"/>
        <v>921525001</v>
      </c>
      <c r="G8863" t="str">
        <f t="shared" si="3279"/>
        <v>53560 HULL STREET</v>
      </c>
      <c r="H8863" t="str">
        <f>T("CODE 53208")</f>
        <v>CODE 53208</v>
      </c>
      <c r="I8863" t="str">
        <f t="shared" si="3268"/>
        <v>SAN DIEGO</v>
      </c>
      <c r="J8863" t="str">
        <f t="shared" si="3269"/>
        <v>CA</v>
      </c>
      <c r="K8863" t="str">
        <f t="shared" si="3270"/>
        <v>000000000000000000</v>
      </c>
      <c r="L8863" t="str">
        <f>T("6195534650")</f>
        <v>6195534650</v>
      </c>
    </row>
    <row r="8864" spans="1:12" x14ac:dyDescent="0.35">
      <c r="A8864" t="str">
        <f t="shared" si="3267"/>
        <v>SSA PACIFIC</v>
      </c>
      <c r="B8864" t="str">
        <f t="shared" si="3276"/>
        <v>53560 HULL STREET</v>
      </c>
      <c r="C8864" t="str">
        <f t="shared" si="3277"/>
        <v/>
      </c>
      <c r="D8864" t="str">
        <f t="shared" si="3272"/>
        <v>SAN DIEGO</v>
      </c>
      <c r="E8864" t="str">
        <f t="shared" si="3273"/>
        <v>CA</v>
      </c>
      <c r="F8864" t="str">
        <f t="shared" si="3278"/>
        <v>921525001</v>
      </c>
      <c r="G8864" t="str">
        <f t="shared" si="3279"/>
        <v>53560 HULL STREET</v>
      </c>
      <c r="H8864" t="str">
        <f>T("CODE 53208")</f>
        <v>CODE 53208</v>
      </c>
      <c r="I8864" t="str">
        <f t="shared" si="3268"/>
        <v>SAN DIEGO</v>
      </c>
      <c r="J8864" t="str">
        <f t="shared" si="3269"/>
        <v>CA</v>
      </c>
      <c r="K8864" t="str">
        <f t="shared" si="3270"/>
        <v>000000000000000000</v>
      </c>
      <c r="L8864" t="str">
        <f>T("6195536120")</f>
        <v>6195536120</v>
      </c>
    </row>
    <row r="8865" spans="1:12" x14ac:dyDescent="0.35">
      <c r="A8865" t="str">
        <f t="shared" si="3267"/>
        <v>SSA PACIFIC</v>
      </c>
      <c r="B8865" t="str">
        <f t="shared" si="3276"/>
        <v>53560 HULL STREET</v>
      </c>
      <c r="C8865" t="str">
        <f t="shared" si="3277"/>
        <v/>
      </c>
      <c r="D8865" t="str">
        <f t="shared" si="3272"/>
        <v>SAN DIEGO</v>
      </c>
      <c r="E8865" t="str">
        <f t="shared" si="3273"/>
        <v>CA</v>
      </c>
      <c r="F8865" t="str">
        <f t="shared" si="3278"/>
        <v>921525001</v>
      </c>
      <c r="G8865" t="str">
        <f t="shared" si="3279"/>
        <v>53560 HULL STREET</v>
      </c>
      <c r="H8865" t="str">
        <f>T("CODE 53208")</f>
        <v>CODE 53208</v>
      </c>
      <c r="I8865" t="str">
        <f t="shared" si="3268"/>
        <v>SAN DIEGO</v>
      </c>
      <c r="J8865" t="str">
        <f t="shared" si="3269"/>
        <v>CA</v>
      </c>
      <c r="K8865" t="str">
        <f t="shared" si="3270"/>
        <v>000000000000000000</v>
      </c>
      <c r="L8865" t="str">
        <f>T("6195538789")</f>
        <v>6195538789</v>
      </c>
    </row>
    <row r="8866" spans="1:12" x14ac:dyDescent="0.35">
      <c r="A8866" t="str">
        <f t="shared" si="3267"/>
        <v>SSA PACIFIC</v>
      </c>
      <c r="B8866" t="str">
        <f t="shared" si="3276"/>
        <v>53560 HULL STREET</v>
      </c>
      <c r="C8866" t="str">
        <f t="shared" si="3277"/>
        <v/>
      </c>
      <c r="D8866" t="str">
        <f t="shared" si="3272"/>
        <v>SAN DIEGO</v>
      </c>
      <c r="E8866" t="str">
        <f t="shared" si="3273"/>
        <v>CA</v>
      </c>
      <c r="F8866" t="str">
        <f t="shared" si="3278"/>
        <v>921525001</v>
      </c>
      <c r="G8866" t="str">
        <f t="shared" si="3279"/>
        <v>53560 HULL STREET</v>
      </c>
      <c r="H8866" t="str">
        <f>T("CODE 53501")</f>
        <v>CODE 53501</v>
      </c>
      <c r="I8866" t="str">
        <f t="shared" si="3268"/>
        <v>SAN DIEGO</v>
      </c>
      <c r="J8866" t="str">
        <f t="shared" si="3269"/>
        <v>CA</v>
      </c>
      <c r="K8866" t="str">
        <f t="shared" si="3270"/>
        <v>000000000000000000</v>
      </c>
      <c r="L8866" t="str">
        <f>T("6195535408")</f>
        <v>6195535408</v>
      </c>
    </row>
    <row r="8867" spans="1:12" x14ac:dyDescent="0.35">
      <c r="A8867" t="str">
        <f t="shared" si="3267"/>
        <v>SSA PACIFIC</v>
      </c>
      <c r="B8867" t="str">
        <f t="shared" si="3276"/>
        <v>53560 HULL STREET</v>
      </c>
      <c r="C8867" t="str">
        <f t="shared" si="3277"/>
        <v/>
      </c>
      <c r="D8867" t="str">
        <f t="shared" si="3272"/>
        <v>SAN DIEGO</v>
      </c>
      <c r="E8867" t="str">
        <f t="shared" si="3273"/>
        <v>CA</v>
      </c>
      <c r="F8867" t="str">
        <f t="shared" si="3278"/>
        <v>921525001</v>
      </c>
      <c r="G8867" t="str">
        <f t="shared" si="3279"/>
        <v>53560 HULL STREET</v>
      </c>
      <c r="H8867" t="str">
        <f>T("CODE 53501")</f>
        <v>CODE 53501</v>
      </c>
      <c r="I8867" t="str">
        <f t="shared" si="3268"/>
        <v>SAN DIEGO</v>
      </c>
      <c r="J8867" t="str">
        <f t="shared" si="3269"/>
        <v>CA</v>
      </c>
      <c r="K8867" t="str">
        <f t="shared" si="3270"/>
        <v>000000000000000000</v>
      </c>
      <c r="L8867" t="str">
        <f>T("6195537472")</f>
        <v>6195537472</v>
      </c>
    </row>
    <row r="8868" spans="1:12" x14ac:dyDescent="0.35">
      <c r="A8868" t="str">
        <f t="shared" si="3267"/>
        <v>SSA PACIFIC</v>
      </c>
      <c r="B8868" t="str">
        <f t="shared" si="3276"/>
        <v>53560 HULL STREET</v>
      </c>
      <c r="C8868" t="str">
        <f t="shared" si="3277"/>
        <v/>
      </c>
      <c r="D8868" t="str">
        <f t="shared" si="3272"/>
        <v>SAN DIEGO</v>
      </c>
      <c r="E8868" t="str">
        <f t="shared" si="3273"/>
        <v>CA</v>
      </c>
      <c r="F8868" t="str">
        <f t="shared" si="3278"/>
        <v>921525001</v>
      </c>
      <c r="G8868" t="str">
        <f t="shared" si="3279"/>
        <v>53560 HULL STREET</v>
      </c>
      <c r="H8868" t="str">
        <f>T("CODE 53503")</f>
        <v>CODE 53503</v>
      </c>
      <c r="I8868" t="str">
        <f t="shared" si="3268"/>
        <v>SAN DIEGO</v>
      </c>
      <c r="J8868" t="str">
        <f t="shared" si="3269"/>
        <v>CA</v>
      </c>
      <c r="K8868" t="str">
        <f t="shared" si="3270"/>
        <v>000000000000000000</v>
      </c>
      <c r="L8868" t="str">
        <f>T("6195530738")</f>
        <v>6195530738</v>
      </c>
    </row>
    <row r="8869" spans="1:12" x14ac:dyDescent="0.35">
      <c r="A8869" t="str">
        <f t="shared" si="3267"/>
        <v>SSA PACIFIC</v>
      </c>
      <c r="B8869" t="str">
        <f t="shared" si="3276"/>
        <v>53560 HULL STREET</v>
      </c>
      <c r="C8869" t="str">
        <f t="shared" si="3277"/>
        <v/>
      </c>
      <c r="D8869" t="str">
        <f t="shared" si="3272"/>
        <v>SAN DIEGO</v>
      </c>
      <c r="E8869" t="str">
        <f t="shared" si="3273"/>
        <v>CA</v>
      </c>
      <c r="F8869" t="str">
        <f t="shared" si="3278"/>
        <v>921525001</v>
      </c>
      <c r="G8869" t="str">
        <f t="shared" si="3279"/>
        <v>53560 HULL STREET</v>
      </c>
      <c r="H8869" t="str">
        <f>T("CODE 53522")</f>
        <v>CODE 53522</v>
      </c>
      <c r="I8869" t="str">
        <f t="shared" si="3268"/>
        <v>SAN DIEGO</v>
      </c>
      <c r="J8869" t="str">
        <f t="shared" si="3269"/>
        <v>CA</v>
      </c>
      <c r="K8869" t="str">
        <f t="shared" si="3270"/>
        <v>000000000000000000</v>
      </c>
      <c r="L8869" t="str">
        <f>T("6195539607")</f>
        <v>6195539607</v>
      </c>
    </row>
    <row r="8870" spans="1:12" x14ac:dyDescent="0.35">
      <c r="A8870" t="str">
        <f t="shared" si="3267"/>
        <v>SSA PACIFIC</v>
      </c>
      <c r="B8870" t="str">
        <f t="shared" si="3276"/>
        <v>53560 HULL STREET</v>
      </c>
      <c r="C8870" t="str">
        <f t="shared" si="3277"/>
        <v/>
      </c>
      <c r="D8870" t="str">
        <f t="shared" si="3272"/>
        <v>SAN DIEGO</v>
      </c>
      <c r="E8870" t="str">
        <f t="shared" si="3273"/>
        <v>CA</v>
      </c>
      <c r="F8870" t="str">
        <f t="shared" si="3278"/>
        <v>921525001</v>
      </c>
      <c r="G8870" t="str">
        <f t="shared" si="3279"/>
        <v>53560 HULL STREET</v>
      </c>
      <c r="H8870" t="str">
        <f>T("CODE 53529")</f>
        <v>CODE 53529</v>
      </c>
      <c r="I8870" t="str">
        <f t="shared" si="3268"/>
        <v>SAN DIEGO</v>
      </c>
      <c r="J8870" t="str">
        <f t="shared" si="3269"/>
        <v>CA</v>
      </c>
      <c r="K8870" t="str">
        <f t="shared" si="3270"/>
        <v>000000000000000000</v>
      </c>
      <c r="L8870" t="str">
        <f>T("6195535476")</f>
        <v>6195535476</v>
      </c>
    </row>
    <row r="8871" spans="1:12" x14ac:dyDescent="0.35">
      <c r="A8871" t="str">
        <f t="shared" si="3267"/>
        <v>SSA PACIFIC</v>
      </c>
      <c r="B8871" t="str">
        <f t="shared" si="3276"/>
        <v>53560 HULL STREET</v>
      </c>
      <c r="C8871" t="str">
        <f t="shared" si="3277"/>
        <v/>
      </c>
      <c r="D8871" t="str">
        <f t="shared" si="3272"/>
        <v>SAN DIEGO</v>
      </c>
      <c r="E8871" t="str">
        <f t="shared" si="3273"/>
        <v>CA</v>
      </c>
      <c r="F8871" t="str">
        <f t="shared" si="3278"/>
        <v>921525001</v>
      </c>
      <c r="G8871" t="str">
        <f t="shared" si="3279"/>
        <v>53560 HULL STREET</v>
      </c>
      <c r="H8871" t="str">
        <f>T("CODE 55130")</f>
        <v>CODE 55130</v>
      </c>
      <c r="I8871" t="str">
        <f t="shared" si="3268"/>
        <v>SAN DIEGO</v>
      </c>
      <c r="J8871" t="str">
        <f t="shared" si="3269"/>
        <v>CA</v>
      </c>
      <c r="K8871" t="str">
        <f t="shared" si="3270"/>
        <v>000000000000000000</v>
      </c>
      <c r="L8871" t="str">
        <f>T("6195532872")</f>
        <v>6195532872</v>
      </c>
    </row>
    <row r="8872" spans="1:12" x14ac:dyDescent="0.35">
      <c r="A8872" t="str">
        <f t="shared" si="3267"/>
        <v>SSA PACIFIC</v>
      </c>
      <c r="B8872" t="str">
        <f t="shared" si="3276"/>
        <v>53560 HULL STREET</v>
      </c>
      <c r="C8872" t="str">
        <f t="shared" si="3277"/>
        <v/>
      </c>
      <c r="D8872" t="str">
        <f t="shared" si="3272"/>
        <v>SAN DIEGO</v>
      </c>
      <c r="E8872" t="str">
        <f t="shared" si="3273"/>
        <v>CA</v>
      </c>
      <c r="F8872" t="str">
        <f t="shared" si="3278"/>
        <v>921525001</v>
      </c>
      <c r="G8872" t="str">
        <f t="shared" si="3279"/>
        <v>53560 HULL STREET</v>
      </c>
      <c r="H8872" t="str">
        <f>T("CODE 843")</f>
        <v>CODE 843</v>
      </c>
      <c r="I8872" t="str">
        <f t="shared" si="3268"/>
        <v>SAN DIEGO</v>
      </c>
      <c r="J8872" t="str">
        <f t="shared" si="3269"/>
        <v>CA</v>
      </c>
      <c r="K8872" t="str">
        <f t="shared" si="3270"/>
        <v>000000000000000000</v>
      </c>
      <c r="L8872" t="str">
        <f>T("6195535715")</f>
        <v>6195535715</v>
      </c>
    </row>
    <row r="8873" spans="1:12" x14ac:dyDescent="0.35">
      <c r="A8873" t="str">
        <f t="shared" si="3267"/>
        <v>SSA PACIFIC</v>
      </c>
      <c r="B8873" t="str">
        <f t="shared" si="3276"/>
        <v>53560 HULL STREET</v>
      </c>
      <c r="C8873" t="str">
        <f>T("83310")</f>
        <v>83310</v>
      </c>
      <c r="D8873" t="str">
        <f t="shared" si="3272"/>
        <v>SAN DIEGO</v>
      </c>
      <c r="E8873" t="str">
        <f t="shared" si="3273"/>
        <v>CA</v>
      </c>
      <c r="F8873" t="str">
        <f t="shared" si="3278"/>
        <v>921525001</v>
      </c>
      <c r="G8873" t="str">
        <f t="shared" si="3279"/>
        <v>53560 HULL STREET</v>
      </c>
      <c r="H8873" t="str">
        <f>T("83310")</f>
        <v>83310</v>
      </c>
      <c r="I8873" t="str">
        <f t="shared" si="3268"/>
        <v>SAN DIEGO</v>
      </c>
      <c r="J8873" t="str">
        <f t="shared" si="3269"/>
        <v>CA</v>
      </c>
      <c r="K8873" t="str">
        <f t="shared" si="3270"/>
        <v>000000000000000000</v>
      </c>
      <c r="L8873" t="str">
        <f>T("6195533186")</f>
        <v>6195533186</v>
      </c>
    </row>
    <row r="8874" spans="1:12" x14ac:dyDescent="0.35">
      <c r="A8874" t="str">
        <f t="shared" si="3267"/>
        <v>SSA PACIFIC</v>
      </c>
      <c r="B8874" t="str">
        <f t="shared" si="3276"/>
        <v>53560 HULL STREET</v>
      </c>
      <c r="C8874" t="str">
        <f>T("83310")</f>
        <v>83310</v>
      </c>
      <c r="D8874" t="str">
        <f t="shared" si="3272"/>
        <v>SAN DIEGO</v>
      </c>
      <c r="E8874" t="str">
        <f t="shared" si="3273"/>
        <v>CA</v>
      </c>
      <c r="F8874" t="str">
        <f t="shared" si="3278"/>
        <v>921525001</v>
      </c>
      <c r="G8874" t="str">
        <f t="shared" si="3279"/>
        <v>53560 HULL STREET</v>
      </c>
      <c r="H8874" t="str">
        <f>T("CODE 83310")</f>
        <v>CODE 83310</v>
      </c>
      <c r="I8874" t="str">
        <f t="shared" ref="I8874:I8905" si="3281">T("SAN DIEGO")</f>
        <v>SAN DIEGO</v>
      </c>
      <c r="J8874" t="str">
        <f t="shared" ref="J8874:J8905" si="3282">T("CA")</f>
        <v>CA</v>
      </c>
      <c r="K8874" t="str">
        <f t="shared" ref="K8874:K8905" si="3283">T("000000000000000000")</f>
        <v>000000000000000000</v>
      </c>
      <c r="L8874" t="str">
        <f>T("6195533208")</f>
        <v>6195533208</v>
      </c>
    </row>
    <row r="8875" spans="1:12" x14ac:dyDescent="0.35">
      <c r="A8875" t="str">
        <f t="shared" si="3267"/>
        <v>SSA PACIFIC</v>
      </c>
      <c r="B8875" t="str">
        <f t="shared" si="3276"/>
        <v>53560 HULL STREET</v>
      </c>
      <c r="C8875" t="str">
        <f>T("83310")</f>
        <v>83310</v>
      </c>
      <c r="D8875" t="str">
        <f t="shared" si="3272"/>
        <v>SAN DIEGO</v>
      </c>
      <c r="E8875" t="str">
        <f t="shared" si="3273"/>
        <v>CA</v>
      </c>
      <c r="F8875" t="str">
        <f t="shared" si="3278"/>
        <v>921525001</v>
      </c>
      <c r="G8875" t="str">
        <f t="shared" si="3279"/>
        <v>53560 HULL STREET</v>
      </c>
      <c r="H8875" t="str">
        <f>T("CODE 83320")</f>
        <v>CODE 83320</v>
      </c>
      <c r="I8875" t="str">
        <f t="shared" si="3281"/>
        <v>SAN DIEGO</v>
      </c>
      <c r="J8875" t="str">
        <f t="shared" si="3282"/>
        <v>CA</v>
      </c>
      <c r="K8875" t="str">
        <f t="shared" si="3283"/>
        <v>000000000000000000</v>
      </c>
      <c r="L8875" t="str">
        <f>T("6195534619")</f>
        <v>6195534619</v>
      </c>
    </row>
    <row r="8876" spans="1:12" x14ac:dyDescent="0.35">
      <c r="A8876" t="str">
        <f t="shared" si="3267"/>
        <v>SSA PACIFIC</v>
      </c>
      <c r="B8876" t="str">
        <f t="shared" si="3276"/>
        <v>53560 HULL STREET</v>
      </c>
      <c r="C8876" t="str">
        <f>T("CODE 11130")</f>
        <v>CODE 11130</v>
      </c>
      <c r="D8876" t="str">
        <f t="shared" si="3272"/>
        <v>SAN DIEGO</v>
      </c>
      <c r="E8876" t="str">
        <f t="shared" si="3273"/>
        <v>CA</v>
      </c>
      <c r="F8876" t="str">
        <f>T("921520001")</f>
        <v>921520001</v>
      </c>
      <c r="G8876" t="str">
        <f t="shared" si="3279"/>
        <v>53560 HULL STREET</v>
      </c>
      <c r="H8876" t="str">
        <f>T("CODE 11130")</f>
        <v>CODE 11130</v>
      </c>
      <c r="I8876" t="str">
        <f t="shared" si="3281"/>
        <v>SAN DIEGO</v>
      </c>
      <c r="J8876" t="str">
        <f t="shared" si="3282"/>
        <v>CA</v>
      </c>
      <c r="K8876" t="str">
        <f t="shared" si="3283"/>
        <v>000000000000000000</v>
      </c>
      <c r="L8876" t="str">
        <f>T("6195533249")</f>
        <v>6195533249</v>
      </c>
    </row>
    <row r="8877" spans="1:12" x14ac:dyDescent="0.35">
      <c r="A8877" t="str">
        <f t="shared" si="3267"/>
        <v>SSA PACIFIC</v>
      </c>
      <c r="B8877" t="str">
        <f t="shared" si="3276"/>
        <v>53560 HULL STREET</v>
      </c>
      <c r="C8877" t="str">
        <f>T("CODE 11130")</f>
        <v>CODE 11130</v>
      </c>
      <c r="D8877" t="str">
        <f t="shared" si="3272"/>
        <v>SAN DIEGO</v>
      </c>
      <c r="E8877" t="str">
        <f t="shared" si="3273"/>
        <v>CA</v>
      </c>
      <c r="F8877" t="str">
        <f>T("921520001")</f>
        <v>921520001</v>
      </c>
      <c r="G8877" t="str">
        <f t="shared" si="3279"/>
        <v>53560 HULL STREET</v>
      </c>
      <c r="H8877" t="str">
        <f>T("CODE 11130")</f>
        <v>CODE 11130</v>
      </c>
      <c r="I8877" t="str">
        <f t="shared" si="3281"/>
        <v>SAN DIEGO</v>
      </c>
      <c r="J8877" t="str">
        <f t="shared" si="3282"/>
        <v>CA</v>
      </c>
      <c r="K8877" t="str">
        <f t="shared" si="3283"/>
        <v>000000000000000000</v>
      </c>
      <c r="L8877" t="str">
        <f>T("6195534427")</f>
        <v>6195534427</v>
      </c>
    </row>
    <row r="8878" spans="1:12" x14ac:dyDescent="0.35">
      <c r="A8878" t="str">
        <f t="shared" si="3267"/>
        <v>SSA PACIFIC</v>
      </c>
      <c r="B8878" t="str">
        <f t="shared" si="3276"/>
        <v>53560 HULL STREET</v>
      </c>
      <c r="C8878" t="str">
        <f>T("CODE 22150")</f>
        <v>CODE 22150</v>
      </c>
      <c r="D8878" t="str">
        <f t="shared" si="3272"/>
        <v>SAN DIEGO</v>
      </c>
      <c r="E8878" t="str">
        <f t="shared" si="3273"/>
        <v>CA</v>
      </c>
      <c r="F8878" t="str">
        <f>T("921525001")</f>
        <v>921525001</v>
      </c>
      <c r="G8878" t="str">
        <f t="shared" si="3279"/>
        <v>53560 HULL STREET</v>
      </c>
      <c r="H8878" t="str">
        <f>T("23600")</f>
        <v>23600</v>
      </c>
      <c r="I8878" t="str">
        <f t="shared" si="3281"/>
        <v>SAN DIEGO</v>
      </c>
      <c r="J8878" t="str">
        <f t="shared" si="3282"/>
        <v>CA</v>
      </c>
      <c r="K8878" t="str">
        <f t="shared" si="3283"/>
        <v>000000000000000000</v>
      </c>
      <c r="L8878" t="str">
        <f>T("6195533856")</f>
        <v>6195533856</v>
      </c>
    </row>
    <row r="8879" spans="1:12" x14ac:dyDescent="0.35">
      <c r="A8879" t="str">
        <f t="shared" si="3267"/>
        <v>SSA PACIFIC</v>
      </c>
      <c r="B8879" t="str">
        <f t="shared" si="3276"/>
        <v>53560 HULL STREET</v>
      </c>
      <c r="C8879" t="str">
        <f>T("CODE 22150")</f>
        <v>CODE 22150</v>
      </c>
      <c r="D8879" t="str">
        <f t="shared" si="3272"/>
        <v>SAN DIEGO</v>
      </c>
      <c r="E8879" t="str">
        <f t="shared" si="3273"/>
        <v>CA</v>
      </c>
      <c r="F8879" t="str">
        <f>T("921525001")</f>
        <v>921525001</v>
      </c>
      <c r="G8879" t="str">
        <f t="shared" si="3279"/>
        <v>53560 HULL STREET</v>
      </c>
      <c r="H8879" t="str">
        <f>T("CODE 22150")</f>
        <v>CODE 22150</v>
      </c>
      <c r="I8879" t="str">
        <f t="shared" si="3281"/>
        <v>SAN DIEGO</v>
      </c>
      <c r="J8879" t="str">
        <f t="shared" si="3282"/>
        <v>CA</v>
      </c>
      <c r="K8879" t="str">
        <f t="shared" si="3283"/>
        <v>000000000000000000</v>
      </c>
      <c r="L8879" t="str">
        <f>T("6195536117")</f>
        <v>6195536117</v>
      </c>
    </row>
    <row r="8880" spans="1:12" x14ac:dyDescent="0.35">
      <c r="A8880" t="str">
        <f t="shared" si="3267"/>
        <v>SSA PACIFIC</v>
      </c>
      <c r="B8880" t="str">
        <f t="shared" si="3276"/>
        <v>53560 HULL STREET</v>
      </c>
      <c r="C8880" t="str">
        <f>T("CODE 22220")</f>
        <v>CODE 22220</v>
      </c>
      <c r="D8880" t="str">
        <f t="shared" si="3272"/>
        <v>SAN DIEGO</v>
      </c>
      <c r="E8880" t="str">
        <f t="shared" si="3273"/>
        <v>CA</v>
      </c>
      <c r="F8880" t="str">
        <f>T("921525001")</f>
        <v>921525001</v>
      </c>
      <c r="G8880" t="str">
        <f t="shared" si="3279"/>
        <v>53560 HULL STREET</v>
      </c>
      <c r="H8880" t="str">
        <f>T("CODE 22220")</f>
        <v>CODE 22220</v>
      </c>
      <c r="I8880" t="str">
        <f t="shared" si="3281"/>
        <v>SAN DIEGO</v>
      </c>
      <c r="J8880" t="str">
        <f t="shared" si="3282"/>
        <v>CA</v>
      </c>
      <c r="K8880" t="str">
        <f t="shared" si="3283"/>
        <v>000000000000000000</v>
      </c>
      <c r="L8880" t="str">
        <f>T("6195531918")</f>
        <v>6195531918</v>
      </c>
    </row>
    <row r="8881" spans="1:12" x14ac:dyDescent="0.35">
      <c r="A8881" t="str">
        <f t="shared" si="3267"/>
        <v>SSA PACIFIC</v>
      </c>
      <c r="B8881" t="str">
        <f t="shared" si="3276"/>
        <v>53560 HULL STREET</v>
      </c>
      <c r="C8881" t="str">
        <f>T("CODE 23000")</f>
        <v>CODE 23000</v>
      </c>
      <c r="D8881" t="str">
        <f t="shared" si="3272"/>
        <v>SAN DIEGO</v>
      </c>
      <c r="E8881" t="str">
        <f t="shared" si="3273"/>
        <v>CA</v>
      </c>
      <c r="F8881" t="str">
        <f t="shared" ref="F8881:F8887" si="3284">T("921520001")</f>
        <v>921520001</v>
      </c>
      <c r="G8881" t="str">
        <f t="shared" si="3279"/>
        <v>53560 HULL STREET</v>
      </c>
      <c r="H8881" t="str">
        <f>T("CODE 22000")</f>
        <v>CODE 22000</v>
      </c>
      <c r="I8881" t="str">
        <f t="shared" si="3281"/>
        <v>SAN DIEGO</v>
      </c>
      <c r="J8881" t="str">
        <f t="shared" si="3282"/>
        <v>CA</v>
      </c>
      <c r="K8881" t="str">
        <f t="shared" si="3283"/>
        <v>000000000000000000</v>
      </c>
      <c r="L8881" t="str">
        <f>T("6195533200")</f>
        <v>6195533200</v>
      </c>
    </row>
    <row r="8882" spans="1:12" x14ac:dyDescent="0.35">
      <c r="A8882" t="str">
        <f t="shared" si="3267"/>
        <v>SSA PACIFIC</v>
      </c>
      <c r="B8882" t="str">
        <f t="shared" si="3276"/>
        <v>53560 HULL STREET</v>
      </c>
      <c r="C8882" t="str">
        <f>T("CODE 23000")</f>
        <v>CODE 23000</v>
      </c>
      <c r="D8882" t="str">
        <f t="shared" si="3272"/>
        <v>SAN DIEGO</v>
      </c>
      <c r="E8882" t="str">
        <f t="shared" si="3273"/>
        <v>CA</v>
      </c>
      <c r="F8882" t="str">
        <f t="shared" si="3284"/>
        <v>921520001</v>
      </c>
      <c r="G8882" t="str">
        <f t="shared" si="3279"/>
        <v>53560 HULL STREET</v>
      </c>
      <c r="H8882" t="str">
        <f>T("CODE 23000")</f>
        <v>CODE 23000</v>
      </c>
      <c r="I8882" t="str">
        <f t="shared" si="3281"/>
        <v>SAN DIEGO</v>
      </c>
      <c r="J8882" t="str">
        <f t="shared" si="3282"/>
        <v>CA</v>
      </c>
      <c r="K8882" t="str">
        <f t="shared" si="3283"/>
        <v>000000000000000000</v>
      </c>
      <c r="L8882" t="str">
        <f>T("6195534462")</f>
        <v>6195534462</v>
      </c>
    </row>
    <row r="8883" spans="1:12" x14ac:dyDescent="0.35">
      <c r="A8883" t="str">
        <f t="shared" si="3267"/>
        <v>SSA PACIFIC</v>
      </c>
      <c r="B8883" t="str">
        <f t="shared" si="3276"/>
        <v>53560 HULL STREET</v>
      </c>
      <c r="C8883" t="str">
        <f>T("CODE 23000")</f>
        <v>CODE 23000</v>
      </c>
      <c r="D8883" t="str">
        <f t="shared" si="3272"/>
        <v>SAN DIEGO</v>
      </c>
      <c r="E8883" t="str">
        <f t="shared" si="3273"/>
        <v>CA</v>
      </c>
      <c r="F8883" t="str">
        <f t="shared" si="3284"/>
        <v>921520001</v>
      </c>
      <c r="G8883" t="str">
        <f t="shared" si="3279"/>
        <v>53560 HULL STREET</v>
      </c>
      <c r="H8883" t="str">
        <f>T("CODE 23000")</f>
        <v>CODE 23000</v>
      </c>
      <c r="I8883" t="str">
        <f t="shared" si="3281"/>
        <v>SAN DIEGO</v>
      </c>
      <c r="J8883" t="str">
        <f t="shared" si="3282"/>
        <v>CA</v>
      </c>
      <c r="K8883" t="str">
        <f t="shared" si="3283"/>
        <v>000000000000000000</v>
      </c>
      <c r="L8883" t="str">
        <f>T("6195534531")</f>
        <v>6195534531</v>
      </c>
    </row>
    <row r="8884" spans="1:12" x14ac:dyDescent="0.35">
      <c r="A8884" t="str">
        <f t="shared" si="3267"/>
        <v>SSA PACIFIC</v>
      </c>
      <c r="B8884" t="str">
        <f t="shared" si="3276"/>
        <v>53560 HULL STREET</v>
      </c>
      <c r="C8884" t="str">
        <f>T("CODE 23000")</f>
        <v>CODE 23000</v>
      </c>
      <c r="D8884" t="str">
        <f t="shared" si="3272"/>
        <v>SAN DIEGO</v>
      </c>
      <c r="E8884" t="str">
        <f t="shared" si="3273"/>
        <v>CA</v>
      </c>
      <c r="F8884" t="str">
        <f t="shared" si="3284"/>
        <v>921520001</v>
      </c>
      <c r="G8884" t="str">
        <f t="shared" si="3279"/>
        <v>53560 HULL STREET</v>
      </c>
      <c r="H8884" t="str">
        <f>T("CODE 23000")</f>
        <v>CODE 23000</v>
      </c>
      <c r="I8884" t="str">
        <f t="shared" si="3281"/>
        <v>SAN DIEGO</v>
      </c>
      <c r="J8884" t="str">
        <f t="shared" si="3282"/>
        <v>CA</v>
      </c>
      <c r="K8884" t="str">
        <f t="shared" si="3283"/>
        <v>000000000000000000</v>
      </c>
      <c r="L8884" t="str">
        <f>T("6195536720")</f>
        <v>6195536720</v>
      </c>
    </row>
    <row r="8885" spans="1:12" x14ac:dyDescent="0.35">
      <c r="A8885" t="str">
        <f t="shared" si="3267"/>
        <v>SSA PACIFIC</v>
      </c>
      <c r="B8885" t="str">
        <f t="shared" si="3276"/>
        <v>53560 HULL STREET</v>
      </c>
      <c r="C8885" t="str">
        <f>T("CODE 23000")</f>
        <v>CODE 23000</v>
      </c>
      <c r="D8885" t="str">
        <f t="shared" si="3272"/>
        <v>SAN DIEGO</v>
      </c>
      <c r="E8885" t="str">
        <f t="shared" si="3273"/>
        <v>CA</v>
      </c>
      <c r="F8885" t="str">
        <f t="shared" si="3284"/>
        <v>921520001</v>
      </c>
      <c r="G8885" t="str">
        <f t="shared" si="3279"/>
        <v>53560 HULL STREET</v>
      </c>
      <c r="H8885" t="str">
        <f>T("CODE 23000")</f>
        <v>CODE 23000</v>
      </c>
      <c r="I8885" t="str">
        <f t="shared" si="3281"/>
        <v>SAN DIEGO</v>
      </c>
      <c r="J8885" t="str">
        <f t="shared" si="3282"/>
        <v>CA</v>
      </c>
      <c r="K8885" t="str">
        <f t="shared" si="3283"/>
        <v>000000000000000000</v>
      </c>
      <c r="L8885" t="str">
        <f>T("6195539497")</f>
        <v>6195539497</v>
      </c>
    </row>
    <row r="8886" spans="1:12" x14ac:dyDescent="0.35">
      <c r="A8886" t="str">
        <f t="shared" si="3267"/>
        <v>SSA PACIFIC</v>
      </c>
      <c r="B8886" t="str">
        <f t="shared" si="3276"/>
        <v>53560 HULL STREET</v>
      </c>
      <c r="C8886" t="str">
        <f>T("CODE 35200")</f>
        <v>CODE 35200</v>
      </c>
      <c r="D8886" t="str">
        <f t="shared" si="3272"/>
        <v>SAN DIEGO</v>
      </c>
      <c r="E8886" t="str">
        <f t="shared" si="3273"/>
        <v>CA</v>
      </c>
      <c r="F8886" t="str">
        <f t="shared" si="3284"/>
        <v>921520001</v>
      </c>
      <c r="G8886" t="str">
        <f t="shared" si="3279"/>
        <v>53560 HULL STREET</v>
      </c>
      <c r="H8886" t="str">
        <f>T("CODE 35200")</f>
        <v>CODE 35200</v>
      </c>
      <c r="I8886" t="str">
        <f t="shared" si="3281"/>
        <v>SAN DIEGO</v>
      </c>
      <c r="J8886" t="str">
        <f t="shared" si="3282"/>
        <v>CA</v>
      </c>
      <c r="K8886" t="str">
        <f t="shared" si="3283"/>
        <v>000000000000000000</v>
      </c>
      <c r="L8886" t="str">
        <f>T("6195534609")</f>
        <v>6195534609</v>
      </c>
    </row>
    <row r="8887" spans="1:12" x14ac:dyDescent="0.35">
      <c r="A8887" t="str">
        <f t="shared" si="3267"/>
        <v>SSA PACIFIC</v>
      </c>
      <c r="B8887" t="str">
        <f t="shared" si="3276"/>
        <v>53560 HULL STREET</v>
      </c>
      <c r="C8887" t="str">
        <f>T("CODE 35200")</f>
        <v>CODE 35200</v>
      </c>
      <c r="D8887" t="str">
        <f t="shared" si="3272"/>
        <v>SAN DIEGO</v>
      </c>
      <c r="E8887" t="str">
        <f t="shared" si="3273"/>
        <v>CA</v>
      </c>
      <c r="F8887" t="str">
        <f t="shared" si="3284"/>
        <v>921520001</v>
      </c>
      <c r="G8887" t="str">
        <f t="shared" si="3279"/>
        <v>53560 HULL STREET</v>
      </c>
      <c r="H8887" t="str">
        <f>T("CODE 35200")</f>
        <v>CODE 35200</v>
      </c>
      <c r="I8887" t="str">
        <f t="shared" si="3281"/>
        <v>SAN DIEGO</v>
      </c>
      <c r="J8887" t="str">
        <f t="shared" si="3282"/>
        <v>CA</v>
      </c>
      <c r="K8887" t="str">
        <f t="shared" si="3283"/>
        <v>000000000000000000</v>
      </c>
      <c r="L8887" t="str">
        <f>T("6195534720")</f>
        <v>6195534720</v>
      </c>
    </row>
    <row r="8888" spans="1:12" x14ac:dyDescent="0.35">
      <c r="A8888" t="str">
        <f t="shared" si="3267"/>
        <v>SSA PACIFIC</v>
      </c>
      <c r="B8888" t="str">
        <f t="shared" si="3276"/>
        <v>53560 HULL STREET</v>
      </c>
      <c r="C8888" t="str">
        <f>T("CODE 41101")</f>
        <v>CODE 41101</v>
      </c>
      <c r="D8888" t="str">
        <f t="shared" si="3272"/>
        <v>SAN DIEGO</v>
      </c>
      <c r="E8888" t="str">
        <f t="shared" si="3273"/>
        <v>CA</v>
      </c>
      <c r="F8888" t="str">
        <f>T("921525001")</f>
        <v>921525001</v>
      </c>
      <c r="G8888" t="str">
        <f t="shared" si="3279"/>
        <v>53560 HULL STREET</v>
      </c>
      <c r="H8888" t="str">
        <f>T("CODE 41101")</f>
        <v>CODE 41101</v>
      </c>
      <c r="I8888" t="str">
        <f t="shared" si="3281"/>
        <v>SAN DIEGO</v>
      </c>
      <c r="J8888" t="str">
        <f t="shared" si="3282"/>
        <v>CA</v>
      </c>
      <c r="K8888" t="str">
        <f t="shared" si="3283"/>
        <v>000000000000000000</v>
      </c>
      <c r="L8888" t="str">
        <f>T("6195242993")</f>
        <v>6195242993</v>
      </c>
    </row>
    <row r="8889" spans="1:12" x14ac:dyDescent="0.35">
      <c r="A8889" t="str">
        <f t="shared" si="3267"/>
        <v>SSA PACIFIC</v>
      </c>
      <c r="B8889" t="str">
        <f t="shared" si="3276"/>
        <v>53560 HULL STREET</v>
      </c>
      <c r="C8889" t="str">
        <f>T("CODE 4111")</f>
        <v>CODE 4111</v>
      </c>
      <c r="D8889" t="str">
        <f t="shared" si="3272"/>
        <v>SAN DIEGO</v>
      </c>
      <c r="E8889" t="str">
        <f t="shared" si="3273"/>
        <v>CA</v>
      </c>
      <c r="F8889" t="str">
        <f>T("921520001")</f>
        <v>921520001</v>
      </c>
      <c r="G8889" t="str">
        <f t="shared" si="3279"/>
        <v>53560 HULL STREET</v>
      </c>
      <c r="H8889" t="str">
        <f>T("CODE 4111")</f>
        <v>CODE 4111</v>
      </c>
      <c r="I8889" t="str">
        <f t="shared" si="3281"/>
        <v>SAN DIEGO</v>
      </c>
      <c r="J8889" t="str">
        <f t="shared" si="3282"/>
        <v>CA</v>
      </c>
      <c r="K8889" t="str">
        <f t="shared" si="3283"/>
        <v>000000000000000000</v>
      </c>
      <c r="L8889" t="str">
        <f>T("6195243961")</f>
        <v>6195243961</v>
      </c>
    </row>
    <row r="8890" spans="1:12" x14ac:dyDescent="0.35">
      <c r="A8890" t="str">
        <f t="shared" si="3267"/>
        <v>SSA PACIFIC</v>
      </c>
      <c r="B8890" t="str">
        <f t="shared" si="3276"/>
        <v>53560 HULL STREET</v>
      </c>
      <c r="C8890" t="str">
        <f>T("CODE 41250")</f>
        <v>CODE 41250</v>
      </c>
      <c r="D8890" t="str">
        <f t="shared" si="3272"/>
        <v>SAN DIEGO</v>
      </c>
      <c r="E8890" t="str">
        <f t="shared" si="3273"/>
        <v>CA</v>
      </c>
      <c r="F8890" t="str">
        <f>T("921525001")</f>
        <v>921525001</v>
      </c>
      <c r="G8890" t="str">
        <f t="shared" si="3279"/>
        <v>53560 HULL STREET</v>
      </c>
      <c r="H8890" t="str">
        <f>T("CODE 41250")</f>
        <v>CODE 41250</v>
      </c>
      <c r="I8890" t="str">
        <f t="shared" si="3281"/>
        <v>SAN DIEGO</v>
      </c>
      <c r="J8890" t="str">
        <f t="shared" si="3282"/>
        <v>CA</v>
      </c>
      <c r="K8890" t="str">
        <f t="shared" si="3283"/>
        <v>000000000000000000</v>
      </c>
      <c r="L8890" t="str">
        <f>T("6195242153")</f>
        <v>6195242153</v>
      </c>
    </row>
    <row r="8891" spans="1:12" x14ac:dyDescent="0.35">
      <c r="A8891" t="str">
        <f t="shared" si="3267"/>
        <v>SSA PACIFIC</v>
      </c>
      <c r="B8891" t="str">
        <f t="shared" si="3276"/>
        <v>53560 HULL STREET</v>
      </c>
      <c r="C8891" t="str">
        <f>T("CODE 41250")</f>
        <v>CODE 41250</v>
      </c>
      <c r="D8891" t="str">
        <f t="shared" si="3272"/>
        <v>SAN DIEGO</v>
      </c>
      <c r="E8891" t="str">
        <f t="shared" si="3273"/>
        <v>CA</v>
      </c>
      <c r="F8891" t="str">
        <f>T("921525001")</f>
        <v>921525001</v>
      </c>
      <c r="G8891" t="str">
        <f t="shared" si="3279"/>
        <v>53560 HULL STREET</v>
      </c>
      <c r="H8891" t="str">
        <f>T("CODE 41250")</f>
        <v>CODE 41250</v>
      </c>
      <c r="I8891" t="str">
        <f t="shared" si="3281"/>
        <v>SAN DIEGO</v>
      </c>
      <c r="J8891" t="str">
        <f t="shared" si="3282"/>
        <v>CA</v>
      </c>
      <c r="K8891" t="str">
        <f t="shared" si="3283"/>
        <v>000000000000000000</v>
      </c>
      <c r="L8891" t="str">
        <f>T("6195242545")</f>
        <v>6195242545</v>
      </c>
    </row>
    <row r="8892" spans="1:12" x14ac:dyDescent="0.35">
      <c r="A8892" t="str">
        <f t="shared" si="3267"/>
        <v>SSA PACIFIC</v>
      </c>
      <c r="B8892" t="str">
        <f t="shared" si="3276"/>
        <v>53560 HULL STREET</v>
      </c>
      <c r="C8892" t="str">
        <f>T("CODE 41260")</f>
        <v>CODE 41260</v>
      </c>
      <c r="D8892" t="str">
        <f t="shared" si="3272"/>
        <v>SAN DIEGO</v>
      </c>
      <c r="E8892" t="str">
        <f t="shared" si="3273"/>
        <v>CA</v>
      </c>
      <c r="F8892" t="str">
        <f>T("921520001")</f>
        <v>921520001</v>
      </c>
      <c r="G8892" t="str">
        <f t="shared" si="3279"/>
        <v>53560 HULL STREET</v>
      </c>
      <c r="H8892" t="str">
        <f>T("CODE 41260")</f>
        <v>CODE 41260</v>
      </c>
      <c r="I8892" t="str">
        <f t="shared" si="3281"/>
        <v>SAN DIEGO</v>
      </c>
      <c r="J8892" t="str">
        <f t="shared" si="3282"/>
        <v>CA</v>
      </c>
      <c r="K8892" t="str">
        <f t="shared" si="3283"/>
        <v>000000000000000000</v>
      </c>
      <c r="L8892" t="str">
        <f>T("6195243573")</f>
        <v>6195243573</v>
      </c>
    </row>
    <row r="8893" spans="1:12" x14ac:dyDescent="0.35">
      <c r="A8893" t="str">
        <f t="shared" si="3267"/>
        <v>SSA PACIFIC</v>
      </c>
      <c r="B8893" t="str">
        <f t="shared" si="3276"/>
        <v>53560 HULL STREET</v>
      </c>
      <c r="C8893" t="str">
        <f>T("CODE 41330")</f>
        <v>CODE 41330</v>
      </c>
      <c r="D8893" t="str">
        <f t="shared" si="3272"/>
        <v>SAN DIEGO</v>
      </c>
      <c r="E8893" t="str">
        <f t="shared" si="3273"/>
        <v>CA</v>
      </c>
      <c r="F8893" t="str">
        <f t="shared" ref="F8893:F8902" si="3285">T("921525001")</f>
        <v>921525001</v>
      </c>
      <c r="G8893" t="str">
        <f t="shared" si="3279"/>
        <v>53560 HULL STREET</v>
      </c>
      <c r="H8893" t="str">
        <f>T("CODE 4133")</f>
        <v>CODE 4133</v>
      </c>
      <c r="I8893" t="str">
        <f t="shared" si="3281"/>
        <v>SAN DIEGO</v>
      </c>
      <c r="J8893" t="str">
        <f t="shared" si="3282"/>
        <v>CA</v>
      </c>
      <c r="K8893" t="str">
        <f t="shared" si="3283"/>
        <v>000000000000000000</v>
      </c>
      <c r="L8893" t="str">
        <f>T("6195566916")</f>
        <v>6195566916</v>
      </c>
    </row>
    <row r="8894" spans="1:12" x14ac:dyDescent="0.35">
      <c r="A8894" t="str">
        <f t="shared" si="3267"/>
        <v>SSA PACIFIC</v>
      </c>
      <c r="B8894" t="str">
        <f t="shared" si="3276"/>
        <v>53560 HULL STREET</v>
      </c>
      <c r="C8894" t="str">
        <f>T("CODE 41330")</f>
        <v>CODE 41330</v>
      </c>
      <c r="D8894" t="str">
        <f t="shared" si="3272"/>
        <v>SAN DIEGO</v>
      </c>
      <c r="E8894" t="str">
        <f t="shared" si="3273"/>
        <v>CA</v>
      </c>
      <c r="F8894" t="str">
        <f t="shared" si="3285"/>
        <v>921525001</v>
      </c>
      <c r="G8894" t="str">
        <f t="shared" si="3279"/>
        <v>53560 HULL STREET</v>
      </c>
      <c r="H8894" t="str">
        <f>T("CODE 41330")</f>
        <v>CODE 41330</v>
      </c>
      <c r="I8894" t="str">
        <f t="shared" si="3281"/>
        <v>SAN DIEGO</v>
      </c>
      <c r="J8894" t="str">
        <f t="shared" si="3282"/>
        <v>CA</v>
      </c>
      <c r="K8894" t="str">
        <f t="shared" si="3283"/>
        <v>000000000000000000</v>
      </c>
      <c r="L8894" t="str">
        <f>T("6195566920")</f>
        <v>6195566920</v>
      </c>
    </row>
    <row r="8895" spans="1:12" x14ac:dyDescent="0.35">
      <c r="A8895" t="str">
        <f t="shared" si="3267"/>
        <v>SSA PACIFIC</v>
      </c>
      <c r="B8895" t="str">
        <f t="shared" si="3276"/>
        <v>53560 HULL STREET</v>
      </c>
      <c r="C8895" t="str">
        <f>T("CODE 4134")</f>
        <v>CODE 4134</v>
      </c>
      <c r="D8895" t="str">
        <f t="shared" si="3272"/>
        <v>SAN DIEGO</v>
      </c>
      <c r="E8895" t="str">
        <f t="shared" si="3273"/>
        <v>CA</v>
      </c>
      <c r="F8895" t="str">
        <f t="shared" si="3285"/>
        <v>921525001</v>
      </c>
      <c r="G8895" t="str">
        <f t="shared" si="3279"/>
        <v>53560 HULL STREET</v>
      </c>
      <c r="H8895" t="str">
        <f>T("CODE 41210")</f>
        <v>CODE 41210</v>
      </c>
      <c r="I8895" t="str">
        <f t="shared" si="3281"/>
        <v>SAN DIEGO</v>
      </c>
      <c r="J8895" t="str">
        <f t="shared" si="3282"/>
        <v>CA</v>
      </c>
      <c r="K8895" t="str">
        <f t="shared" si="3283"/>
        <v>000000000000000000</v>
      </c>
      <c r="L8895" t="str">
        <f>T("6195242904")</f>
        <v>6195242904</v>
      </c>
    </row>
    <row r="8896" spans="1:12" x14ac:dyDescent="0.35">
      <c r="A8896" t="str">
        <f t="shared" si="3267"/>
        <v>SSA PACIFIC</v>
      </c>
      <c r="B8896" t="str">
        <f t="shared" si="3276"/>
        <v>53560 HULL STREET</v>
      </c>
      <c r="C8896" t="str">
        <f>T("CODE 4134")</f>
        <v>CODE 4134</v>
      </c>
      <c r="D8896" t="str">
        <f t="shared" si="3272"/>
        <v>SAN DIEGO</v>
      </c>
      <c r="E8896" t="str">
        <f t="shared" si="3273"/>
        <v>CA</v>
      </c>
      <c r="F8896" t="str">
        <f t="shared" si="3285"/>
        <v>921525001</v>
      </c>
      <c r="G8896" t="str">
        <f t="shared" si="3279"/>
        <v>53560 HULL STREET</v>
      </c>
      <c r="H8896" t="str">
        <f>T("CODE 4134")</f>
        <v>CODE 4134</v>
      </c>
      <c r="I8896" t="str">
        <f t="shared" si="3281"/>
        <v>SAN DIEGO</v>
      </c>
      <c r="J8896" t="str">
        <f t="shared" si="3282"/>
        <v>CA</v>
      </c>
      <c r="K8896" t="str">
        <f t="shared" si="3283"/>
        <v>000000000000000000</v>
      </c>
      <c r="L8896" t="str">
        <f>T("6195242060")</f>
        <v>6195242060</v>
      </c>
    </row>
    <row r="8897" spans="1:12" x14ac:dyDescent="0.35">
      <c r="A8897" t="str">
        <f t="shared" si="3267"/>
        <v>SSA PACIFIC</v>
      </c>
      <c r="B8897" t="str">
        <f t="shared" si="3276"/>
        <v>53560 HULL STREET</v>
      </c>
      <c r="C8897" t="str">
        <f>T("CODE 41420")</f>
        <v>CODE 41420</v>
      </c>
      <c r="D8897" t="str">
        <f t="shared" si="3272"/>
        <v>SAN DIEGO</v>
      </c>
      <c r="E8897" t="str">
        <f t="shared" si="3273"/>
        <v>CA</v>
      </c>
      <c r="F8897" t="str">
        <f t="shared" si="3285"/>
        <v>921525001</v>
      </c>
      <c r="G8897" t="str">
        <f>T("53560 HULL ST")</f>
        <v>53560 HULL ST</v>
      </c>
      <c r="H8897" t="str">
        <f>T("CODE 4122")</f>
        <v>CODE 4122</v>
      </c>
      <c r="I8897" t="str">
        <f t="shared" si="3281"/>
        <v>SAN DIEGO</v>
      </c>
      <c r="J8897" t="str">
        <f t="shared" si="3282"/>
        <v>CA</v>
      </c>
      <c r="K8897" t="str">
        <f t="shared" si="3283"/>
        <v>000000000000000000</v>
      </c>
      <c r="L8897" t="str">
        <f>T("6195242664")</f>
        <v>6195242664</v>
      </c>
    </row>
    <row r="8898" spans="1:12" x14ac:dyDescent="0.35">
      <c r="A8898" t="str">
        <f t="shared" si="3267"/>
        <v>SSA PACIFIC</v>
      </c>
      <c r="B8898" t="str">
        <f t="shared" si="3276"/>
        <v>53560 HULL STREET</v>
      </c>
      <c r="C8898" t="str">
        <f>T("CODE 41420")</f>
        <v>CODE 41420</v>
      </c>
      <c r="D8898" t="str">
        <f t="shared" si="3272"/>
        <v>SAN DIEGO</v>
      </c>
      <c r="E8898" t="str">
        <f t="shared" si="3273"/>
        <v>CA</v>
      </c>
      <c r="F8898" t="str">
        <f t="shared" si="3285"/>
        <v>921525001</v>
      </c>
      <c r="G8898" t="str">
        <f>T("53560 HULL ST")</f>
        <v>53560 HULL ST</v>
      </c>
      <c r="H8898" t="str">
        <f>T("CODE 41420")</f>
        <v>CODE 41420</v>
      </c>
      <c r="I8898" t="str">
        <f t="shared" si="3281"/>
        <v>SAN DIEGO</v>
      </c>
      <c r="J8898" t="str">
        <f t="shared" si="3282"/>
        <v>CA</v>
      </c>
      <c r="K8898" t="str">
        <f t="shared" si="3283"/>
        <v>000000000000000000</v>
      </c>
      <c r="L8898" t="str">
        <f>T("6195242950")</f>
        <v>6195242950</v>
      </c>
    </row>
    <row r="8899" spans="1:12" x14ac:dyDescent="0.35">
      <c r="A8899" t="str">
        <f t="shared" si="3267"/>
        <v>SSA PACIFIC</v>
      </c>
      <c r="B8899" t="str">
        <f t="shared" si="3276"/>
        <v>53560 HULL STREET</v>
      </c>
      <c r="C8899" t="str">
        <f>T("CODE 41420")</f>
        <v>CODE 41420</v>
      </c>
      <c r="D8899" t="str">
        <f t="shared" si="3272"/>
        <v>SAN DIEGO</v>
      </c>
      <c r="E8899" t="str">
        <f t="shared" si="3273"/>
        <v>CA</v>
      </c>
      <c r="F8899" t="str">
        <f t="shared" si="3285"/>
        <v>921525001</v>
      </c>
      <c r="G8899" t="str">
        <f>T("53560 HULL STREET")</f>
        <v>53560 HULL STREET</v>
      </c>
      <c r="H8899" t="str">
        <f>T("CODE 41250")</f>
        <v>CODE 41250</v>
      </c>
      <c r="I8899" t="str">
        <f t="shared" si="3281"/>
        <v>SAN DIEGO</v>
      </c>
      <c r="J8899" t="str">
        <f t="shared" si="3282"/>
        <v>CA</v>
      </c>
      <c r="K8899" t="str">
        <f t="shared" si="3283"/>
        <v>000000000000000000</v>
      </c>
      <c r="L8899" t="str">
        <f>T("6195243718")</f>
        <v>6195243718</v>
      </c>
    </row>
    <row r="8900" spans="1:12" x14ac:dyDescent="0.35">
      <c r="A8900" t="str">
        <f t="shared" si="3267"/>
        <v>SSA PACIFIC</v>
      </c>
      <c r="B8900" t="str">
        <f t="shared" si="3276"/>
        <v>53560 HULL STREET</v>
      </c>
      <c r="C8900" t="str">
        <f>T("CODE 41420")</f>
        <v>CODE 41420</v>
      </c>
      <c r="D8900" t="str">
        <f t="shared" si="3272"/>
        <v>SAN DIEGO</v>
      </c>
      <c r="E8900" t="str">
        <f t="shared" si="3273"/>
        <v>CA</v>
      </c>
      <c r="F8900" t="str">
        <f t="shared" si="3285"/>
        <v>921525001</v>
      </c>
      <c r="G8900" t="str">
        <f>T("53560 HULL STREET")</f>
        <v>53560 HULL STREET</v>
      </c>
      <c r="H8900" t="str">
        <f>T("CODE 41420")</f>
        <v>CODE 41420</v>
      </c>
      <c r="I8900" t="str">
        <f t="shared" si="3281"/>
        <v>SAN DIEGO</v>
      </c>
      <c r="J8900" t="str">
        <f t="shared" si="3282"/>
        <v>CA</v>
      </c>
      <c r="K8900" t="str">
        <f t="shared" si="3283"/>
        <v>000000000000000000</v>
      </c>
      <c r="L8900" t="str">
        <f>T("6195243236")</f>
        <v>6195243236</v>
      </c>
    </row>
    <row r="8901" spans="1:12" x14ac:dyDescent="0.35">
      <c r="A8901" t="str">
        <f t="shared" si="3267"/>
        <v>SSA PACIFIC</v>
      </c>
      <c r="B8901" t="str">
        <f t="shared" si="3276"/>
        <v>53560 HULL STREET</v>
      </c>
      <c r="C8901" t="str">
        <f>T("CODE 41430")</f>
        <v>CODE 41430</v>
      </c>
      <c r="D8901" t="str">
        <f t="shared" si="3272"/>
        <v>SAN DIEGO</v>
      </c>
      <c r="E8901" t="str">
        <f t="shared" si="3273"/>
        <v>CA</v>
      </c>
      <c r="F8901" t="str">
        <f t="shared" si="3285"/>
        <v>921525001</v>
      </c>
      <c r="G8901" t="str">
        <f>T("53560 HULL STREET")</f>
        <v>53560 HULL STREET</v>
      </c>
      <c r="H8901" t="str">
        <f>T("CODE 41430")</f>
        <v>CODE 41430</v>
      </c>
      <c r="I8901" t="str">
        <f t="shared" si="3281"/>
        <v>SAN DIEGO</v>
      </c>
      <c r="J8901" t="str">
        <f t="shared" si="3282"/>
        <v>CA</v>
      </c>
      <c r="K8901" t="str">
        <f t="shared" si="3283"/>
        <v>000000000000000000</v>
      </c>
      <c r="L8901" t="str">
        <f>T("6195242212")</f>
        <v>6195242212</v>
      </c>
    </row>
    <row r="8902" spans="1:12" x14ac:dyDescent="0.35">
      <c r="A8902" t="str">
        <f t="shared" si="3267"/>
        <v>SSA PACIFIC</v>
      </c>
      <c r="B8902" t="str">
        <f t="shared" si="3276"/>
        <v>53560 HULL STREET</v>
      </c>
      <c r="C8902" t="str">
        <f>T("CODE 41430")</f>
        <v>CODE 41430</v>
      </c>
      <c r="D8902" t="str">
        <f t="shared" si="3272"/>
        <v>SAN DIEGO</v>
      </c>
      <c r="E8902" t="str">
        <f t="shared" si="3273"/>
        <v>CA</v>
      </c>
      <c r="F8902" t="str">
        <f t="shared" si="3285"/>
        <v>921525001</v>
      </c>
      <c r="G8902" t="str">
        <f>T("CODE 4146")</f>
        <v>CODE 4146</v>
      </c>
      <c r="H8902" t="str">
        <f>T("53560 HULL STREET")</f>
        <v>53560 HULL STREET</v>
      </c>
      <c r="I8902" t="str">
        <f t="shared" si="3281"/>
        <v>SAN DIEGO</v>
      </c>
      <c r="J8902" t="str">
        <f t="shared" si="3282"/>
        <v>CA</v>
      </c>
      <c r="K8902" t="str">
        <f t="shared" si="3283"/>
        <v>000000000000000000</v>
      </c>
      <c r="L8902" t="str">
        <f>T("6195243024")</f>
        <v>6195243024</v>
      </c>
    </row>
    <row r="8903" spans="1:12" x14ac:dyDescent="0.35">
      <c r="A8903" t="str">
        <f t="shared" si="3267"/>
        <v>SSA PACIFIC</v>
      </c>
      <c r="B8903" t="str">
        <f t="shared" si="3276"/>
        <v>53560 HULL STREET</v>
      </c>
      <c r="C8903" t="str">
        <f>T("CODE 4144")</f>
        <v>CODE 4144</v>
      </c>
      <c r="D8903" t="str">
        <f t="shared" si="3272"/>
        <v>SAN DIEGO</v>
      </c>
      <c r="E8903" t="str">
        <f t="shared" si="3273"/>
        <v>CA</v>
      </c>
      <c r="F8903" t="str">
        <f>T("921520001")</f>
        <v>921520001</v>
      </c>
      <c r="G8903" t="str">
        <f t="shared" ref="G8903:G8908" si="3286">T("53560 HULL STREET")</f>
        <v>53560 HULL STREET</v>
      </c>
      <c r="H8903" t="str">
        <f>T("")</f>
        <v/>
      </c>
      <c r="I8903" t="str">
        <f t="shared" si="3281"/>
        <v>SAN DIEGO</v>
      </c>
      <c r="J8903" t="str">
        <f t="shared" si="3282"/>
        <v>CA</v>
      </c>
      <c r="K8903" t="str">
        <f t="shared" si="3283"/>
        <v>000000000000000000</v>
      </c>
      <c r="L8903" t="str">
        <f>T("6195242918")</f>
        <v>6195242918</v>
      </c>
    </row>
    <row r="8904" spans="1:12" x14ac:dyDescent="0.35">
      <c r="A8904" t="str">
        <f t="shared" si="3267"/>
        <v>SSA PACIFIC</v>
      </c>
      <c r="B8904" t="str">
        <f t="shared" si="3276"/>
        <v>53560 HULL STREET</v>
      </c>
      <c r="C8904" t="str">
        <f>T("CODE 4144")</f>
        <v>CODE 4144</v>
      </c>
      <c r="D8904" t="str">
        <f t="shared" si="3272"/>
        <v>SAN DIEGO</v>
      </c>
      <c r="E8904" t="str">
        <f t="shared" si="3273"/>
        <v>CA</v>
      </c>
      <c r="F8904" t="str">
        <f>T("921520001")</f>
        <v>921520001</v>
      </c>
      <c r="G8904" t="str">
        <f t="shared" si="3286"/>
        <v>53560 HULL STREET</v>
      </c>
      <c r="H8904" t="str">
        <f>T("4144")</f>
        <v>4144</v>
      </c>
      <c r="I8904" t="str">
        <f t="shared" si="3281"/>
        <v>SAN DIEGO</v>
      </c>
      <c r="J8904" t="str">
        <f t="shared" si="3282"/>
        <v>CA</v>
      </c>
      <c r="K8904" t="str">
        <f t="shared" si="3283"/>
        <v>000000000000000000</v>
      </c>
      <c r="L8904" t="str">
        <f>T("6195247879")</f>
        <v>6195247879</v>
      </c>
    </row>
    <row r="8905" spans="1:12" x14ac:dyDescent="0.35">
      <c r="A8905" t="str">
        <f t="shared" si="3267"/>
        <v>SSA PACIFIC</v>
      </c>
      <c r="B8905" t="str">
        <f t="shared" si="3276"/>
        <v>53560 HULL STREET</v>
      </c>
      <c r="C8905" t="str">
        <f>T("CODE 4144")</f>
        <v>CODE 4144</v>
      </c>
      <c r="D8905" t="str">
        <f t="shared" si="3272"/>
        <v>SAN DIEGO</v>
      </c>
      <c r="E8905" t="str">
        <f t="shared" si="3273"/>
        <v>CA</v>
      </c>
      <c r="F8905" t="str">
        <f>T("921520001")</f>
        <v>921520001</v>
      </c>
      <c r="G8905" t="str">
        <f t="shared" si="3286"/>
        <v>53560 HULL STREET</v>
      </c>
      <c r="H8905" t="str">
        <f>T("CODE 4144")</f>
        <v>CODE 4144</v>
      </c>
      <c r="I8905" t="str">
        <f t="shared" si="3281"/>
        <v>SAN DIEGO</v>
      </c>
      <c r="J8905" t="str">
        <f t="shared" si="3282"/>
        <v>CA</v>
      </c>
      <c r="K8905" t="str">
        <f t="shared" si="3283"/>
        <v>000000000000000000</v>
      </c>
      <c r="L8905" t="str">
        <f>T("6195533226")</f>
        <v>6195533226</v>
      </c>
    </row>
    <row r="8906" spans="1:12" x14ac:dyDescent="0.35">
      <c r="A8906" t="str">
        <f t="shared" ref="A8906:A8969" si="3287">T("SSA PACIFIC")</f>
        <v>SSA PACIFIC</v>
      </c>
      <c r="B8906" t="str">
        <f t="shared" si="3276"/>
        <v>53560 HULL STREET</v>
      </c>
      <c r="C8906" t="str">
        <f>T("CODE 41560")</f>
        <v>CODE 41560</v>
      </c>
      <c r="D8906" t="str">
        <f t="shared" si="3272"/>
        <v>SAN DIEGO</v>
      </c>
      <c r="E8906" t="str">
        <f t="shared" si="3273"/>
        <v>CA</v>
      </c>
      <c r="F8906" t="str">
        <f>T("921525001")</f>
        <v>921525001</v>
      </c>
      <c r="G8906" t="str">
        <f t="shared" si="3286"/>
        <v>53560 HULL STREET</v>
      </c>
      <c r="H8906" t="str">
        <f>T("CODE 41560")</f>
        <v>CODE 41560</v>
      </c>
      <c r="I8906" t="str">
        <f t="shared" ref="I8906:I8937" si="3288">T("SAN DIEGO")</f>
        <v>SAN DIEGO</v>
      </c>
      <c r="J8906" t="str">
        <f t="shared" ref="J8906:J8937" si="3289">T("CA")</f>
        <v>CA</v>
      </c>
      <c r="K8906" t="str">
        <f t="shared" ref="K8906:K8937" si="3290">T("000000000000000000")</f>
        <v>000000000000000000</v>
      </c>
      <c r="L8906" t="str">
        <f>T("6195242844")</f>
        <v>6195242844</v>
      </c>
    </row>
    <row r="8907" spans="1:12" x14ac:dyDescent="0.35">
      <c r="A8907" t="str">
        <f t="shared" si="3287"/>
        <v>SSA PACIFIC</v>
      </c>
      <c r="B8907" t="str">
        <f t="shared" si="3276"/>
        <v>53560 HULL STREET</v>
      </c>
      <c r="C8907" t="str">
        <f>T("CODE 41560")</f>
        <v>CODE 41560</v>
      </c>
      <c r="D8907" t="str">
        <f t="shared" ref="D8907:D8970" si="3291">T("SAN DIEGO")</f>
        <v>SAN DIEGO</v>
      </c>
      <c r="E8907" t="str">
        <f t="shared" ref="E8907:E8970" si="3292">T("CA")</f>
        <v>CA</v>
      </c>
      <c r="F8907" t="str">
        <f>T("921525001")</f>
        <v>921525001</v>
      </c>
      <c r="G8907" t="str">
        <f t="shared" si="3286"/>
        <v>53560 HULL STREET</v>
      </c>
      <c r="H8907" t="str">
        <f>T("CODE 56410")</f>
        <v>CODE 56410</v>
      </c>
      <c r="I8907" t="str">
        <f t="shared" si="3288"/>
        <v>SAN DIEGO</v>
      </c>
      <c r="J8907" t="str">
        <f t="shared" si="3289"/>
        <v>CA</v>
      </c>
      <c r="K8907" t="str">
        <f t="shared" si="3290"/>
        <v>000000000000000000</v>
      </c>
      <c r="L8907" t="str">
        <f>T("6195532631")</f>
        <v>6195532631</v>
      </c>
    </row>
    <row r="8908" spans="1:12" x14ac:dyDescent="0.35">
      <c r="A8908" t="str">
        <f t="shared" si="3287"/>
        <v>SSA PACIFIC</v>
      </c>
      <c r="B8908" t="str">
        <f t="shared" si="3276"/>
        <v>53560 HULL STREET</v>
      </c>
      <c r="C8908" t="str">
        <f>T("CODE 41560")</f>
        <v>CODE 41560</v>
      </c>
      <c r="D8908" t="str">
        <f t="shared" si="3291"/>
        <v>SAN DIEGO</v>
      </c>
      <c r="E8908" t="str">
        <f t="shared" si="3292"/>
        <v>CA</v>
      </c>
      <c r="F8908" t="str">
        <f>T("921525001")</f>
        <v>921525001</v>
      </c>
      <c r="G8908" t="str">
        <f t="shared" si="3286"/>
        <v>53560 HULL STREET</v>
      </c>
      <c r="H8908" t="str">
        <f>T("CODE 56480")</f>
        <v>CODE 56480</v>
      </c>
      <c r="I8908" t="str">
        <f t="shared" si="3288"/>
        <v>SAN DIEGO</v>
      </c>
      <c r="J8908" t="str">
        <f t="shared" si="3289"/>
        <v>CA</v>
      </c>
      <c r="K8908" t="str">
        <f t="shared" si="3290"/>
        <v>000000000000000000</v>
      </c>
      <c r="L8908" t="str">
        <f>T("6195531385")</f>
        <v>6195531385</v>
      </c>
    </row>
    <row r="8909" spans="1:12" x14ac:dyDescent="0.35">
      <c r="A8909" t="str">
        <f t="shared" si="3287"/>
        <v>SSA PACIFIC</v>
      </c>
      <c r="B8909" t="str">
        <f t="shared" si="3276"/>
        <v>53560 HULL STREET</v>
      </c>
      <c r="C8909" t="str">
        <f>T("CODE 42150")</f>
        <v>CODE 42150</v>
      </c>
      <c r="D8909" t="str">
        <f t="shared" si="3291"/>
        <v>SAN DIEGO</v>
      </c>
      <c r="E8909" t="str">
        <f t="shared" si="3292"/>
        <v>CA</v>
      </c>
      <c r="F8909" t="str">
        <f>T("921520001")</f>
        <v>921520001</v>
      </c>
      <c r="G8909" t="str">
        <f>T("53560 HULL ST")</f>
        <v>53560 HULL ST</v>
      </c>
      <c r="H8909" t="str">
        <f>T("CODE 421S")</f>
        <v>CODE 421S</v>
      </c>
      <c r="I8909" t="str">
        <f t="shared" si="3288"/>
        <v>SAN DIEGO</v>
      </c>
      <c r="J8909" t="str">
        <f t="shared" si="3289"/>
        <v>CA</v>
      </c>
      <c r="K8909" t="str">
        <f t="shared" si="3290"/>
        <v>000000000000000000</v>
      </c>
      <c r="L8909" t="str">
        <f>T("6195243538")</f>
        <v>6195243538</v>
      </c>
    </row>
    <row r="8910" spans="1:12" x14ac:dyDescent="0.35">
      <c r="A8910" t="str">
        <f t="shared" si="3287"/>
        <v>SSA PACIFIC</v>
      </c>
      <c r="B8910" t="str">
        <f t="shared" si="3276"/>
        <v>53560 HULL STREET</v>
      </c>
      <c r="C8910" t="str">
        <f>T("CODE 42150")</f>
        <v>CODE 42150</v>
      </c>
      <c r="D8910" t="str">
        <f t="shared" si="3291"/>
        <v>SAN DIEGO</v>
      </c>
      <c r="E8910" t="str">
        <f t="shared" si="3292"/>
        <v>CA</v>
      </c>
      <c r="F8910" t="str">
        <f>T("921520001")</f>
        <v>921520001</v>
      </c>
      <c r="G8910" t="str">
        <f t="shared" ref="G8910:G8915" si="3293">T("53560 HULL STREET")</f>
        <v>53560 HULL STREET</v>
      </c>
      <c r="H8910" t="str">
        <f>T("CODE 42150")</f>
        <v>CODE 42150</v>
      </c>
      <c r="I8910" t="str">
        <f t="shared" si="3288"/>
        <v>SAN DIEGO</v>
      </c>
      <c r="J8910" t="str">
        <f t="shared" si="3289"/>
        <v>CA</v>
      </c>
      <c r="K8910" t="str">
        <f t="shared" si="3290"/>
        <v>000000000000000000</v>
      </c>
      <c r="L8910" t="str">
        <f>T("6195242498")</f>
        <v>6195242498</v>
      </c>
    </row>
    <row r="8911" spans="1:12" x14ac:dyDescent="0.35">
      <c r="A8911" t="str">
        <f t="shared" si="3287"/>
        <v>SSA PACIFIC</v>
      </c>
      <c r="B8911" t="str">
        <f t="shared" si="3276"/>
        <v>53560 HULL STREET</v>
      </c>
      <c r="C8911" t="str">
        <f>T("CODE 42150")</f>
        <v>CODE 42150</v>
      </c>
      <c r="D8911" t="str">
        <f t="shared" si="3291"/>
        <v>SAN DIEGO</v>
      </c>
      <c r="E8911" t="str">
        <f t="shared" si="3292"/>
        <v>CA</v>
      </c>
      <c r="F8911" t="str">
        <f>T("921520001")</f>
        <v>921520001</v>
      </c>
      <c r="G8911" t="str">
        <f t="shared" si="3293"/>
        <v>53560 HULL STREET</v>
      </c>
      <c r="H8911" t="str">
        <f>T("CODE 42150")</f>
        <v>CODE 42150</v>
      </c>
      <c r="I8911" t="str">
        <f t="shared" si="3288"/>
        <v>SAN DIEGO</v>
      </c>
      <c r="J8911" t="str">
        <f t="shared" si="3289"/>
        <v>CA</v>
      </c>
      <c r="K8911" t="str">
        <f t="shared" si="3290"/>
        <v>000000000000000000</v>
      </c>
      <c r="L8911" t="str">
        <f>T("6195243214")</f>
        <v>6195243214</v>
      </c>
    </row>
    <row r="8912" spans="1:12" x14ac:dyDescent="0.35">
      <c r="A8912" t="str">
        <f t="shared" si="3287"/>
        <v>SSA PACIFIC</v>
      </c>
      <c r="B8912" t="str">
        <f t="shared" si="3276"/>
        <v>53560 HULL STREET</v>
      </c>
      <c r="C8912" t="str">
        <f>T("CODE 42210")</f>
        <v>CODE 42210</v>
      </c>
      <c r="D8912" t="str">
        <f t="shared" si="3291"/>
        <v>SAN DIEGO</v>
      </c>
      <c r="E8912" t="str">
        <f t="shared" si="3292"/>
        <v>CA</v>
      </c>
      <c r="F8912" t="str">
        <f>T("921525001")</f>
        <v>921525001</v>
      </c>
      <c r="G8912" t="str">
        <f t="shared" si="3293"/>
        <v>53560 HULL STREET</v>
      </c>
      <c r="H8912" t="str">
        <f>T("CODE 42210")</f>
        <v>CODE 42210</v>
      </c>
      <c r="I8912" t="str">
        <f t="shared" si="3288"/>
        <v>SAN DIEGO</v>
      </c>
      <c r="J8912" t="str">
        <f t="shared" si="3289"/>
        <v>CA</v>
      </c>
      <c r="K8912" t="str">
        <f t="shared" si="3290"/>
        <v>000000000000000000</v>
      </c>
      <c r="L8912" t="str">
        <f>T("6195567683")</f>
        <v>6195567683</v>
      </c>
    </row>
    <row r="8913" spans="1:12" x14ac:dyDescent="0.35">
      <c r="A8913" t="str">
        <f t="shared" si="3287"/>
        <v>SSA PACIFIC</v>
      </c>
      <c r="B8913" t="str">
        <f t="shared" si="3276"/>
        <v>53560 HULL STREET</v>
      </c>
      <c r="C8913" t="str">
        <f>T("CODE 42210")</f>
        <v>CODE 42210</v>
      </c>
      <c r="D8913" t="str">
        <f t="shared" si="3291"/>
        <v>SAN DIEGO</v>
      </c>
      <c r="E8913" t="str">
        <f t="shared" si="3292"/>
        <v>CA</v>
      </c>
      <c r="F8913" t="str">
        <f>T("921525001")</f>
        <v>921525001</v>
      </c>
      <c r="G8913" t="str">
        <f t="shared" si="3293"/>
        <v>53560 HULL STREET</v>
      </c>
      <c r="H8913" t="str">
        <f>T("CODE 42210")</f>
        <v>CODE 42210</v>
      </c>
      <c r="I8913" t="str">
        <f t="shared" si="3288"/>
        <v>SAN DIEGO</v>
      </c>
      <c r="J8913" t="str">
        <f t="shared" si="3289"/>
        <v>CA</v>
      </c>
      <c r="K8913" t="str">
        <f t="shared" si="3290"/>
        <v>000000000000000000</v>
      </c>
      <c r="L8913" t="str">
        <f>T("6195569094")</f>
        <v>6195569094</v>
      </c>
    </row>
    <row r="8914" spans="1:12" x14ac:dyDescent="0.35">
      <c r="A8914" t="str">
        <f t="shared" si="3287"/>
        <v>SSA PACIFIC</v>
      </c>
      <c r="B8914" t="str">
        <f t="shared" si="3276"/>
        <v>53560 HULL STREET</v>
      </c>
      <c r="C8914" t="str">
        <f>T("CODE 42210")</f>
        <v>CODE 42210</v>
      </c>
      <c r="D8914" t="str">
        <f t="shared" si="3291"/>
        <v>SAN DIEGO</v>
      </c>
      <c r="E8914" t="str">
        <f t="shared" si="3292"/>
        <v>CA</v>
      </c>
      <c r="F8914" t="str">
        <f>T("921525001")</f>
        <v>921525001</v>
      </c>
      <c r="G8914" t="str">
        <f t="shared" si="3293"/>
        <v>53560 HULL STREET</v>
      </c>
      <c r="H8914" t="str">
        <f>T("CODE 42250")</f>
        <v>CODE 42250</v>
      </c>
      <c r="I8914" t="str">
        <f t="shared" si="3288"/>
        <v>SAN DIEGO</v>
      </c>
      <c r="J8914" t="str">
        <f t="shared" si="3289"/>
        <v>CA</v>
      </c>
      <c r="K8914" t="str">
        <f t="shared" si="3290"/>
        <v>000000000000000000</v>
      </c>
      <c r="L8914" t="str">
        <f>T("6195569854")</f>
        <v>6195569854</v>
      </c>
    </row>
    <row r="8915" spans="1:12" x14ac:dyDescent="0.35">
      <c r="A8915" t="str">
        <f t="shared" si="3287"/>
        <v>SSA PACIFIC</v>
      </c>
      <c r="B8915" t="str">
        <f t="shared" ref="B8915:B8978" si="3294">T("53560 HULL STREET")</f>
        <v>53560 HULL STREET</v>
      </c>
      <c r="C8915" t="str">
        <f>T("CODE 42HWP")</f>
        <v>CODE 42HWP</v>
      </c>
      <c r="D8915" t="str">
        <f t="shared" si="3291"/>
        <v>SAN DIEGO</v>
      </c>
      <c r="E8915" t="str">
        <f t="shared" si="3292"/>
        <v>CA</v>
      </c>
      <c r="F8915" t="str">
        <f t="shared" ref="F8915:F8920" si="3295">T("921520001")</f>
        <v>921520001</v>
      </c>
      <c r="G8915" t="str">
        <f t="shared" si="3293"/>
        <v>53560 HULL STREET</v>
      </c>
      <c r="H8915" t="str">
        <f>T("CODE 42HWP")</f>
        <v>CODE 42HWP</v>
      </c>
      <c r="I8915" t="str">
        <f t="shared" si="3288"/>
        <v>SAN DIEGO</v>
      </c>
      <c r="J8915" t="str">
        <f t="shared" si="3289"/>
        <v>CA</v>
      </c>
      <c r="K8915" t="str">
        <f t="shared" si="3290"/>
        <v>000000000000000000</v>
      </c>
      <c r="L8915" t="str">
        <f>T("1111111111")</f>
        <v>1111111111</v>
      </c>
    </row>
    <row r="8916" spans="1:12" x14ac:dyDescent="0.35">
      <c r="A8916" t="str">
        <f t="shared" si="3287"/>
        <v>SSA PACIFIC</v>
      </c>
      <c r="B8916" t="str">
        <f t="shared" si="3294"/>
        <v>53560 HULL STREET</v>
      </c>
      <c r="C8916" t="str">
        <f>T("CODE 42HWP")</f>
        <v>CODE 42HWP</v>
      </c>
      <c r="D8916" t="str">
        <f t="shared" si="3291"/>
        <v>SAN DIEGO</v>
      </c>
      <c r="E8916" t="str">
        <f t="shared" si="3292"/>
        <v>CA</v>
      </c>
      <c r="F8916" t="str">
        <f t="shared" si="3295"/>
        <v>921520001</v>
      </c>
      <c r="G8916" t="str">
        <f>T("CODE HWP42")</f>
        <v>CODE HWP42</v>
      </c>
      <c r="H8916" t="str">
        <f>T("53560 HULL STREET")</f>
        <v>53560 HULL STREET</v>
      </c>
      <c r="I8916" t="str">
        <f t="shared" si="3288"/>
        <v>SAN DIEGO</v>
      </c>
      <c r="J8916" t="str">
        <f t="shared" si="3289"/>
        <v>CA</v>
      </c>
      <c r="K8916" t="str">
        <f t="shared" si="3290"/>
        <v>000000000000000000</v>
      </c>
      <c r="L8916" t="str">
        <f>T("3152436231")</f>
        <v>3152436231</v>
      </c>
    </row>
    <row r="8917" spans="1:12" x14ac:dyDescent="0.35">
      <c r="A8917" t="str">
        <f t="shared" si="3287"/>
        <v>SSA PACIFIC</v>
      </c>
      <c r="B8917" t="str">
        <f t="shared" si="3294"/>
        <v>53560 HULL STREET</v>
      </c>
      <c r="C8917" t="str">
        <f>T("CODE 43110")</f>
        <v>CODE 43110</v>
      </c>
      <c r="D8917" t="str">
        <f t="shared" si="3291"/>
        <v>SAN DIEGO</v>
      </c>
      <c r="E8917" t="str">
        <f t="shared" si="3292"/>
        <v>CA</v>
      </c>
      <c r="F8917" t="str">
        <f t="shared" si="3295"/>
        <v>921520001</v>
      </c>
      <c r="G8917" t="str">
        <f t="shared" ref="G8917:G8929" si="3296">T("53560 HULL STREET")</f>
        <v>53560 HULL STREET</v>
      </c>
      <c r="H8917" t="str">
        <f>T("CODE 43110")</f>
        <v>CODE 43110</v>
      </c>
      <c r="I8917" t="str">
        <f t="shared" si="3288"/>
        <v>SAN DIEGO</v>
      </c>
      <c r="J8917" t="str">
        <f t="shared" si="3289"/>
        <v>CA</v>
      </c>
      <c r="K8917" t="str">
        <f t="shared" si="3290"/>
        <v>000000000000000000</v>
      </c>
      <c r="L8917" t="str">
        <f>T("6195242946")</f>
        <v>6195242946</v>
      </c>
    </row>
    <row r="8918" spans="1:12" x14ac:dyDescent="0.35">
      <c r="A8918" t="str">
        <f t="shared" si="3287"/>
        <v>SSA PACIFIC</v>
      </c>
      <c r="B8918" t="str">
        <f t="shared" si="3294"/>
        <v>53560 HULL STREET</v>
      </c>
      <c r="C8918" t="str">
        <f>T("CODE 43110")</f>
        <v>CODE 43110</v>
      </c>
      <c r="D8918" t="str">
        <f t="shared" si="3291"/>
        <v>SAN DIEGO</v>
      </c>
      <c r="E8918" t="str">
        <f t="shared" si="3292"/>
        <v>CA</v>
      </c>
      <c r="F8918" t="str">
        <f t="shared" si="3295"/>
        <v>921520001</v>
      </c>
      <c r="G8918" t="str">
        <f t="shared" si="3296"/>
        <v>53560 HULL STREET</v>
      </c>
      <c r="H8918" t="str">
        <f>T("CODE 43110")</f>
        <v>CODE 43110</v>
      </c>
      <c r="I8918" t="str">
        <f t="shared" si="3288"/>
        <v>SAN DIEGO</v>
      </c>
      <c r="J8918" t="str">
        <f t="shared" si="3289"/>
        <v>CA</v>
      </c>
      <c r="K8918" t="str">
        <f t="shared" si="3290"/>
        <v>000000000000000000</v>
      </c>
      <c r="L8918" t="str">
        <f>T("6195243582")</f>
        <v>6195243582</v>
      </c>
    </row>
    <row r="8919" spans="1:12" x14ac:dyDescent="0.35">
      <c r="A8919" t="str">
        <f t="shared" si="3287"/>
        <v>SSA PACIFIC</v>
      </c>
      <c r="B8919" t="str">
        <f t="shared" si="3294"/>
        <v>53560 HULL STREET</v>
      </c>
      <c r="C8919" t="str">
        <f>T("CODE 43110")</f>
        <v>CODE 43110</v>
      </c>
      <c r="D8919" t="str">
        <f t="shared" si="3291"/>
        <v>SAN DIEGO</v>
      </c>
      <c r="E8919" t="str">
        <f t="shared" si="3292"/>
        <v>CA</v>
      </c>
      <c r="F8919" t="str">
        <f t="shared" si="3295"/>
        <v>921520001</v>
      </c>
      <c r="G8919" t="str">
        <f t="shared" si="3296"/>
        <v>53560 HULL STREET</v>
      </c>
      <c r="H8919" t="str">
        <f>T("CODE 43140")</f>
        <v>CODE 43140</v>
      </c>
      <c r="I8919" t="str">
        <f t="shared" si="3288"/>
        <v>SAN DIEGO</v>
      </c>
      <c r="J8919" t="str">
        <f t="shared" si="3289"/>
        <v>CA</v>
      </c>
      <c r="K8919" t="str">
        <f t="shared" si="3290"/>
        <v>000000000000000000</v>
      </c>
      <c r="L8919" t="str">
        <f>T("6195242198")</f>
        <v>6195242198</v>
      </c>
    </row>
    <row r="8920" spans="1:12" x14ac:dyDescent="0.35">
      <c r="A8920" t="str">
        <f t="shared" si="3287"/>
        <v>SSA PACIFIC</v>
      </c>
      <c r="B8920" t="str">
        <f t="shared" si="3294"/>
        <v>53560 HULL STREET</v>
      </c>
      <c r="C8920" t="str">
        <f>T("CODE 43110")</f>
        <v>CODE 43110</v>
      </c>
      <c r="D8920" t="str">
        <f t="shared" si="3291"/>
        <v>SAN DIEGO</v>
      </c>
      <c r="E8920" t="str">
        <f t="shared" si="3292"/>
        <v>CA</v>
      </c>
      <c r="F8920" t="str">
        <f t="shared" si="3295"/>
        <v>921520001</v>
      </c>
      <c r="G8920" t="str">
        <f t="shared" si="3296"/>
        <v>53560 HULL STREET</v>
      </c>
      <c r="H8920" t="str">
        <f>T("CODE 43150")</f>
        <v>CODE 43150</v>
      </c>
      <c r="I8920" t="str">
        <f t="shared" si="3288"/>
        <v>SAN DIEGO</v>
      </c>
      <c r="J8920" t="str">
        <f t="shared" si="3289"/>
        <v>CA</v>
      </c>
      <c r="K8920" t="str">
        <f t="shared" si="3290"/>
        <v>000000000000000000</v>
      </c>
      <c r="L8920" t="str">
        <f>T("6195242743")</f>
        <v>6195242743</v>
      </c>
    </row>
    <row r="8921" spans="1:12" x14ac:dyDescent="0.35">
      <c r="A8921" t="str">
        <f t="shared" si="3287"/>
        <v>SSA PACIFIC</v>
      </c>
      <c r="B8921" t="str">
        <f t="shared" si="3294"/>
        <v>53560 HULL STREET</v>
      </c>
      <c r="C8921" t="str">
        <f>T("CODE 43140")</f>
        <v>CODE 43140</v>
      </c>
      <c r="D8921" t="str">
        <f t="shared" si="3291"/>
        <v>SAN DIEGO</v>
      </c>
      <c r="E8921" t="str">
        <f t="shared" si="3292"/>
        <v>CA</v>
      </c>
      <c r="F8921" t="str">
        <f>T("921525001")</f>
        <v>921525001</v>
      </c>
      <c r="G8921" t="str">
        <f t="shared" si="3296"/>
        <v>53560 HULL STREET</v>
      </c>
      <c r="H8921" t="str">
        <f>T("CODE 43140")</f>
        <v>CODE 43140</v>
      </c>
      <c r="I8921" t="str">
        <f t="shared" si="3288"/>
        <v>SAN DIEGO</v>
      </c>
      <c r="J8921" t="str">
        <f t="shared" si="3289"/>
        <v>CA</v>
      </c>
      <c r="K8921" t="str">
        <f t="shared" si="3290"/>
        <v>000000000000000000</v>
      </c>
      <c r="L8921" t="str">
        <f>T("6195243260")</f>
        <v>6195243260</v>
      </c>
    </row>
    <row r="8922" spans="1:12" x14ac:dyDescent="0.35">
      <c r="A8922" t="str">
        <f t="shared" si="3287"/>
        <v>SSA PACIFIC</v>
      </c>
      <c r="B8922" t="str">
        <f t="shared" si="3294"/>
        <v>53560 HULL STREET</v>
      </c>
      <c r="C8922" t="str">
        <f>T("CODE 52240")</f>
        <v>CODE 52240</v>
      </c>
      <c r="D8922" t="str">
        <f t="shared" si="3291"/>
        <v>SAN DIEGO</v>
      </c>
      <c r="E8922" t="str">
        <f t="shared" si="3292"/>
        <v>CA</v>
      </c>
      <c r="F8922" t="str">
        <f t="shared" ref="F8922:F8941" si="3297">T("921520001")</f>
        <v>921520001</v>
      </c>
      <c r="G8922" t="str">
        <f t="shared" si="3296"/>
        <v>53560 HULL STREET</v>
      </c>
      <c r="H8922" t="str">
        <f>T("CODE 52240")</f>
        <v>CODE 52240</v>
      </c>
      <c r="I8922" t="str">
        <f t="shared" si="3288"/>
        <v>SAN DIEGO</v>
      </c>
      <c r="J8922" t="str">
        <f t="shared" si="3289"/>
        <v>CA</v>
      </c>
      <c r="K8922" t="str">
        <f t="shared" si="3290"/>
        <v>000000000000000000</v>
      </c>
      <c r="L8922" t="str">
        <f>T("6195530026")</f>
        <v>6195530026</v>
      </c>
    </row>
    <row r="8923" spans="1:12" x14ac:dyDescent="0.35">
      <c r="A8923" t="str">
        <f t="shared" si="3287"/>
        <v>SSA PACIFIC</v>
      </c>
      <c r="B8923" t="str">
        <f t="shared" si="3294"/>
        <v>53560 HULL STREET</v>
      </c>
      <c r="C8923" t="str">
        <f>T("CODE 52240")</f>
        <v>CODE 52240</v>
      </c>
      <c r="D8923" t="str">
        <f t="shared" si="3291"/>
        <v>SAN DIEGO</v>
      </c>
      <c r="E8923" t="str">
        <f t="shared" si="3292"/>
        <v>CA</v>
      </c>
      <c r="F8923" t="str">
        <f t="shared" si="3297"/>
        <v>921520001</v>
      </c>
      <c r="G8923" t="str">
        <f t="shared" si="3296"/>
        <v>53560 HULL STREET</v>
      </c>
      <c r="H8923" t="str">
        <f>T("CODE 52240")</f>
        <v>CODE 52240</v>
      </c>
      <c r="I8923" t="str">
        <f t="shared" si="3288"/>
        <v>SAN DIEGO</v>
      </c>
      <c r="J8923" t="str">
        <f t="shared" si="3289"/>
        <v>CA</v>
      </c>
      <c r="K8923" t="str">
        <f t="shared" si="3290"/>
        <v>000000000000000000</v>
      </c>
      <c r="L8923" t="str">
        <f>T("6195531197")</f>
        <v>6195531197</v>
      </c>
    </row>
    <row r="8924" spans="1:12" x14ac:dyDescent="0.35">
      <c r="A8924" t="str">
        <f t="shared" si="3287"/>
        <v>SSA PACIFIC</v>
      </c>
      <c r="B8924" t="str">
        <f t="shared" si="3294"/>
        <v>53560 HULL STREET</v>
      </c>
      <c r="C8924" t="str">
        <f>T("CODE 52240")</f>
        <v>CODE 52240</v>
      </c>
      <c r="D8924" t="str">
        <f t="shared" si="3291"/>
        <v>SAN DIEGO</v>
      </c>
      <c r="E8924" t="str">
        <f t="shared" si="3292"/>
        <v>CA</v>
      </c>
      <c r="F8924" t="str">
        <f t="shared" si="3297"/>
        <v>921520001</v>
      </c>
      <c r="G8924" t="str">
        <f t="shared" si="3296"/>
        <v>53560 HULL STREET</v>
      </c>
      <c r="H8924" t="str">
        <f>T("CODE 52240")</f>
        <v>CODE 52240</v>
      </c>
      <c r="I8924" t="str">
        <f t="shared" si="3288"/>
        <v>SAN DIEGO</v>
      </c>
      <c r="J8924" t="str">
        <f t="shared" si="3289"/>
        <v>CA</v>
      </c>
      <c r="K8924" t="str">
        <f t="shared" si="3290"/>
        <v>000000000000000000</v>
      </c>
      <c r="L8924" t="str">
        <f>T("6195537947")</f>
        <v>6195537947</v>
      </c>
    </row>
    <row r="8925" spans="1:12" x14ac:dyDescent="0.35">
      <c r="A8925" t="str">
        <f t="shared" si="3287"/>
        <v>SSA PACIFIC</v>
      </c>
      <c r="B8925" t="str">
        <f t="shared" si="3294"/>
        <v>53560 HULL STREET</v>
      </c>
      <c r="C8925" t="str">
        <f>T("CODE 52250")</f>
        <v>CODE 52250</v>
      </c>
      <c r="D8925" t="str">
        <f t="shared" si="3291"/>
        <v>SAN DIEGO</v>
      </c>
      <c r="E8925" t="str">
        <f t="shared" si="3292"/>
        <v>CA</v>
      </c>
      <c r="F8925" t="str">
        <f t="shared" si="3297"/>
        <v>921520001</v>
      </c>
      <c r="G8925" t="str">
        <f t="shared" si="3296"/>
        <v>53560 HULL STREET</v>
      </c>
      <c r="H8925" t="str">
        <f>T("CODE 52250")</f>
        <v>CODE 52250</v>
      </c>
      <c r="I8925" t="str">
        <f t="shared" si="3288"/>
        <v>SAN DIEGO</v>
      </c>
      <c r="J8925" t="str">
        <f t="shared" si="3289"/>
        <v>CA</v>
      </c>
      <c r="K8925" t="str">
        <f t="shared" si="3290"/>
        <v>000000000000000000</v>
      </c>
      <c r="L8925" t="str">
        <f>T("6195534261")</f>
        <v>6195534261</v>
      </c>
    </row>
    <row r="8926" spans="1:12" x14ac:dyDescent="0.35">
      <c r="A8926" t="str">
        <f t="shared" si="3287"/>
        <v>SSA PACIFIC</v>
      </c>
      <c r="B8926" t="str">
        <f t="shared" si="3294"/>
        <v>53560 HULL STREET</v>
      </c>
      <c r="C8926" t="str">
        <f>T("CODE 52250")</f>
        <v>CODE 52250</v>
      </c>
      <c r="D8926" t="str">
        <f t="shared" si="3291"/>
        <v>SAN DIEGO</v>
      </c>
      <c r="E8926" t="str">
        <f t="shared" si="3292"/>
        <v>CA</v>
      </c>
      <c r="F8926" t="str">
        <f t="shared" si="3297"/>
        <v>921520001</v>
      </c>
      <c r="G8926" t="str">
        <f t="shared" si="3296"/>
        <v>53560 HULL STREET</v>
      </c>
      <c r="H8926" t="str">
        <f>T("CODE 52250")</f>
        <v>CODE 52250</v>
      </c>
      <c r="I8926" t="str">
        <f t="shared" si="3288"/>
        <v>SAN DIEGO</v>
      </c>
      <c r="J8926" t="str">
        <f t="shared" si="3289"/>
        <v>CA</v>
      </c>
      <c r="K8926" t="str">
        <f t="shared" si="3290"/>
        <v>000000000000000000</v>
      </c>
      <c r="L8926" t="str">
        <f>T("6195534322")</f>
        <v>6195534322</v>
      </c>
    </row>
    <row r="8927" spans="1:12" x14ac:dyDescent="0.35">
      <c r="A8927" t="str">
        <f t="shared" si="3287"/>
        <v>SSA PACIFIC</v>
      </c>
      <c r="B8927" t="str">
        <f t="shared" si="3294"/>
        <v>53560 HULL STREET</v>
      </c>
      <c r="C8927" t="str">
        <f>T("CODE 52250")</f>
        <v>CODE 52250</v>
      </c>
      <c r="D8927" t="str">
        <f t="shared" si="3291"/>
        <v>SAN DIEGO</v>
      </c>
      <c r="E8927" t="str">
        <f t="shared" si="3292"/>
        <v>CA</v>
      </c>
      <c r="F8927" t="str">
        <f t="shared" si="3297"/>
        <v>921520001</v>
      </c>
      <c r="G8927" t="str">
        <f t="shared" si="3296"/>
        <v>53560 HULL STREET</v>
      </c>
      <c r="H8927" t="str">
        <f>T("CODE 52250")</f>
        <v>CODE 52250</v>
      </c>
      <c r="I8927" t="str">
        <f t="shared" si="3288"/>
        <v>SAN DIEGO</v>
      </c>
      <c r="J8927" t="str">
        <f t="shared" si="3289"/>
        <v>CA</v>
      </c>
      <c r="K8927" t="str">
        <f t="shared" si="3290"/>
        <v>000000000000000000</v>
      </c>
      <c r="L8927" t="str">
        <f>T("6195536139")</f>
        <v>6195536139</v>
      </c>
    </row>
    <row r="8928" spans="1:12" x14ac:dyDescent="0.35">
      <c r="A8928" t="str">
        <f t="shared" si="3287"/>
        <v>SSA PACIFIC</v>
      </c>
      <c r="B8928" t="str">
        <f t="shared" si="3294"/>
        <v>53560 HULL STREET</v>
      </c>
      <c r="C8928" t="str">
        <f>T("CODE 52270")</f>
        <v>CODE 52270</v>
      </c>
      <c r="D8928" t="str">
        <f t="shared" si="3291"/>
        <v>SAN DIEGO</v>
      </c>
      <c r="E8928" t="str">
        <f t="shared" si="3292"/>
        <v>CA</v>
      </c>
      <c r="F8928" t="str">
        <f t="shared" si="3297"/>
        <v>921520001</v>
      </c>
      <c r="G8928" t="str">
        <f t="shared" si="3296"/>
        <v>53560 HULL STREET</v>
      </c>
      <c r="H8928" t="str">
        <f>T("CODE 52270")</f>
        <v>CODE 52270</v>
      </c>
      <c r="I8928" t="str">
        <f t="shared" si="3288"/>
        <v>SAN DIEGO</v>
      </c>
      <c r="J8928" t="str">
        <f t="shared" si="3289"/>
        <v>CA</v>
      </c>
      <c r="K8928" t="str">
        <f t="shared" si="3290"/>
        <v>000000000000000000</v>
      </c>
      <c r="L8928" t="str">
        <f>T("6195533797")</f>
        <v>6195533797</v>
      </c>
    </row>
    <row r="8929" spans="1:12" x14ac:dyDescent="0.35">
      <c r="A8929" t="str">
        <f t="shared" si="3287"/>
        <v>SSA PACIFIC</v>
      </c>
      <c r="B8929" t="str">
        <f t="shared" si="3294"/>
        <v>53560 HULL STREET</v>
      </c>
      <c r="C8929" t="str">
        <f>T("CODE 52270")</f>
        <v>CODE 52270</v>
      </c>
      <c r="D8929" t="str">
        <f t="shared" si="3291"/>
        <v>SAN DIEGO</v>
      </c>
      <c r="E8929" t="str">
        <f t="shared" si="3292"/>
        <v>CA</v>
      </c>
      <c r="F8929" t="str">
        <f t="shared" si="3297"/>
        <v>921520001</v>
      </c>
      <c r="G8929" t="str">
        <f t="shared" si="3296"/>
        <v>53560 HULL STREET</v>
      </c>
      <c r="H8929" t="str">
        <f>T("CODE 52270")</f>
        <v>CODE 52270</v>
      </c>
      <c r="I8929" t="str">
        <f t="shared" si="3288"/>
        <v>SAN DIEGO</v>
      </c>
      <c r="J8929" t="str">
        <f t="shared" si="3289"/>
        <v>CA</v>
      </c>
      <c r="K8929" t="str">
        <f t="shared" si="3290"/>
        <v>000000000000000000</v>
      </c>
      <c r="L8929" t="str">
        <f>T("6195536344")</f>
        <v>6195536344</v>
      </c>
    </row>
    <row r="8930" spans="1:12" x14ac:dyDescent="0.35">
      <c r="A8930" t="str">
        <f t="shared" si="3287"/>
        <v>SSA PACIFIC</v>
      </c>
      <c r="B8930" t="str">
        <f t="shared" si="3294"/>
        <v>53560 HULL STREET</v>
      </c>
      <c r="C8930" t="str">
        <f>T("CODE 52280")</f>
        <v>CODE 52280</v>
      </c>
      <c r="D8930" t="str">
        <f t="shared" si="3291"/>
        <v>SAN DIEGO</v>
      </c>
      <c r="E8930" t="str">
        <f t="shared" si="3292"/>
        <v>CA</v>
      </c>
      <c r="F8930" t="str">
        <f t="shared" si="3297"/>
        <v>921520001</v>
      </c>
      <c r="G8930" t="str">
        <f>T("53560 HULL ST")</f>
        <v>53560 HULL ST</v>
      </c>
      <c r="H8930" t="str">
        <f>T("CODE 52280")</f>
        <v>CODE 52280</v>
      </c>
      <c r="I8930" t="str">
        <f t="shared" si="3288"/>
        <v>SAN DIEGO</v>
      </c>
      <c r="J8930" t="str">
        <f t="shared" si="3289"/>
        <v>CA</v>
      </c>
      <c r="K8930" t="str">
        <f t="shared" si="3290"/>
        <v>000000000000000000</v>
      </c>
      <c r="L8930" t="str">
        <f>T("6195535504")</f>
        <v>6195535504</v>
      </c>
    </row>
    <row r="8931" spans="1:12" x14ac:dyDescent="0.35">
      <c r="A8931" t="str">
        <f t="shared" si="3287"/>
        <v>SSA PACIFIC</v>
      </c>
      <c r="B8931" t="str">
        <f t="shared" si="3294"/>
        <v>53560 HULL STREET</v>
      </c>
      <c r="C8931" t="str">
        <f>T("CODE 52280")</f>
        <v>CODE 52280</v>
      </c>
      <c r="D8931" t="str">
        <f t="shared" si="3291"/>
        <v>SAN DIEGO</v>
      </c>
      <c r="E8931" t="str">
        <f t="shared" si="3292"/>
        <v>CA</v>
      </c>
      <c r="F8931" t="str">
        <f t="shared" si="3297"/>
        <v>921520001</v>
      </c>
      <c r="G8931" t="str">
        <f t="shared" ref="G8931:G8956" si="3298">T("53560 HULL STREET")</f>
        <v>53560 HULL STREET</v>
      </c>
      <c r="H8931" t="str">
        <f>T("CODE 52280")</f>
        <v>CODE 52280</v>
      </c>
      <c r="I8931" t="str">
        <f t="shared" si="3288"/>
        <v>SAN DIEGO</v>
      </c>
      <c r="J8931" t="str">
        <f t="shared" si="3289"/>
        <v>CA</v>
      </c>
      <c r="K8931" t="str">
        <f t="shared" si="3290"/>
        <v>000000000000000000</v>
      </c>
      <c r="L8931" t="str">
        <f>T("6195532030")</f>
        <v>6195532030</v>
      </c>
    </row>
    <row r="8932" spans="1:12" x14ac:dyDescent="0.35">
      <c r="A8932" t="str">
        <f t="shared" si="3287"/>
        <v>SSA PACIFIC</v>
      </c>
      <c r="B8932" t="str">
        <f t="shared" si="3294"/>
        <v>53560 HULL STREET</v>
      </c>
      <c r="C8932" t="str">
        <f>T("CODE 52280")</f>
        <v>CODE 52280</v>
      </c>
      <c r="D8932" t="str">
        <f t="shared" si="3291"/>
        <v>SAN DIEGO</v>
      </c>
      <c r="E8932" t="str">
        <f t="shared" si="3292"/>
        <v>CA</v>
      </c>
      <c r="F8932" t="str">
        <f t="shared" si="3297"/>
        <v>921520001</v>
      </c>
      <c r="G8932" t="str">
        <f t="shared" si="3298"/>
        <v>53560 HULL STREET</v>
      </c>
      <c r="H8932" t="str">
        <f>T("CODE 52280")</f>
        <v>CODE 52280</v>
      </c>
      <c r="I8932" t="str">
        <f t="shared" si="3288"/>
        <v>SAN DIEGO</v>
      </c>
      <c r="J8932" t="str">
        <f t="shared" si="3289"/>
        <v>CA</v>
      </c>
      <c r="K8932" t="str">
        <f t="shared" si="3290"/>
        <v>000000000000000000</v>
      </c>
      <c r="L8932" t="str">
        <f>T("6195532602")</f>
        <v>6195532602</v>
      </c>
    </row>
    <row r="8933" spans="1:12" x14ac:dyDescent="0.35">
      <c r="A8933" t="str">
        <f t="shared" si="3287"/>
        <v>SSA PACIFIC</v>
      </c>
      <c r="B8933" t="str">
        <f t="shared" si="3294"/>
        <v>53560 HULL STREET</v>
      </c>
      <c r="C8933" t="str">
        <f>T("CODE 52280")</f>
        <v>CODE 52280</v>
      </c>
      <c r="D8933" t="str">
        <f t="shared" si="3291"/>
        <v>SAN DIEGO</v>
      </c>
      <c r="E8933" t="str">
        <f t="shared" si="3292"/>
        <v>CA</v>
      </c>
      <c r="F8933" t="str">
        <f t="shared" si="3297"/>
        <v>921520001</v>
      </c>
      <c r="G8933" t="str">
        <f t="shared" si="3298"/>
        <v>53560 HULL STREET</v>
      </c>
      <c r="H8933" t="str">
        <f>T("CODE 52280")</f>
        <v>CODE 52280</v>
      </c>
      <c r="I8933" t="str">
        <f t="shared" si="3288"/>
        <v>SAN DIEGO</v>
      </c>
      <c r="J8933" t="str">
        <f t="shared" si="3289"/>
        <v>CA</v>
      </c>
      <c r="K8933" t="str">
        <f t="shared" si="3290"/>
        <v>000000000000000000</v>
      </c>
      <c r="L8933" t="str">
        <f>T("6195539333")</f>
        <v>6195539333</v>
      </c>
    </row>
    <row r="8934" spans="1:12" x14ac:dyDescent="0.35">
      <c r="A8934" t="str">
        <f t="shared" si="3287"/>
        <v>SSA PACIFIC</v>
      </c>
      <c r="B8934" t="str">
        <f t="shared" si="3294"/>
        <v>53560 HULL STREET</v>
      </c>
      <c r="C8934" t="str">
        <f t="shared" ref="C8934:C8941" si="3299">T("CODE 52R20")</f>
        <v>CODE 52R20</v>
      </c>
      <c r="D8934" t="str">
        <f t="shared" si="3291"/>
        <v>SAN DIEGO</v>
      </c>
      <c r="E8934" t="str">
        <f t="shared" si="3292"/>
        <v>CA</v>
      </c>
      <c r="F8934" t="str">
        <f t="shared" si="3297"/>
        <v>921520001</v>
      </c>
      <c r="G8934" t="str">
        <f t="shared" si="3298"/>
        <v>53560 HULL STREET</v>
      </c>
      <c r="H8934" t="str">
        <f>T("CODE 52201")</f>
        <v>CODE 52201</v>
      </c>
      <c r="I8934" t="str">
        <f t="shared" si="3288"/>
        <v>SAN DIEGO</v>
      </c>
      <c r="J8934" t="str">
        <f t="shared" si="3289"/>
        <v>CA</v>
      </c>
      <c r="K8934" t="str">
        <f t="shared" si="3290"/>
        <v>000000000000000000</v>
      </c>
      <c r="L8934" t="str">
        <f>T("6195531018")</f>
        <v>6195531018</v>
      </c>
    </row>
    <row r="8935" spans="1:12" x14ac:dyDescent="0.35">
      <c r="A8935" t="str">
        <f t="shared" si="3287"/>
        <v>SSA PACIFIC</v>
      </c>
      <c r="B8935" t="str">
        <f t="shared" si="3294"/>
        <v>53560 HULL STREET</v>
      </c>
      <c r="C8935" t="str">
        <f t="shared" si="3299"/>
        <v>CODE 52R20</v>
      </c>
      <c r="D8935" t="str">
        <f t="shared" si="3291"/>
        <v>SAN DIEGO</v>
      </c>
      <c r="E8935" t="str">
        <f t="shared" si="3292"/>
        <v>CA</v>
      </c>
      <c r="F8935" t="str">
        <f t="shared" si="3297"/>
        <v>921520001</v>
      </c>
      <c r="G8935" t="str">
        <f t="shared" si="3298"/>
        <v>53560 HULL STREET</v>
      </c>
      <c r="H8935" t="str">
        <f>T("CODE 52220")</f>
        <v>CODE 52220</v>
      </c>
      <c r="I8935" t="str">
        <f t="shared" si="3288"/>
        <v>SAN DIEGO</v>
      </c>
      <c r="J8935" t="str">
        <f t="shared" si="3289"/>
        <v>CA</v>
      </c>
      <c r="K8935" t="str">
        <f t="shared" si="3290"/>
        <v>000000000000000000</v>
      </c>
      <c r="L8935" t="str">
        <f>T("6195536490")</f>
        <v>6195536490</v>
      </c>
    </row>
    <row r="8936" spans="1:12" x14ac:dyDescent="0.35">
      <c r="A8936" t="str">
        <f t="shared" si="3287"/>
        <v>SSA PACIFIC</v>
      </c>
      <c r="B8936" t="str">
        <f t="shared" si="3294"/>
        <v>53560 HULL STREET</v>
      </c>
      <c r="C8936" t="str">
        <f t="shared" si="3299"/>
        <v>CODE 52R20</v>
      </c>
      <c r="D8936" t="str">
        <f t="shared" si="3291"/>
        <v>SAN DIEGO</v>
      </c>
      <c r="E8936" t="str">
        <f t="shared" si="3292"/>
        <v>CA</v>
      </c>
      <c r="F8936" t="str">
        <f t="shared" si="3297"/>
        <v>921520001</v>
      </c>
      <c r="G8936" t="str">
        <f t="shared" si="3298"/>
        <v>53560 HULL STREET</v>
      </c>
      <c r="H8936" t="str">
        <f>T("CODE 52250")</f>
        <v>CODE 52250</v>
      </c>
      <c r="I8936" t="str">
        <f t="shared" si="3288"/>
        <v>SAN DIEGO</v>
      </c>
      <c r="J8936" t="str">
        <f t="shared" si="3289"/>
        <v>CA</v>
      </c>
      <c r="K8936" t="str">
        <f t="shared" si="3290"/>
        <v>000000000000000000</v>
      </c>
      <c r="L8936" t="str">
        <f>T("6195531033")</f>
        <v>6195531033</v>
      </c>
    </row>
    <row r="8937" spans="1:12" x14ac:dyDescent="0.35">
      <c r="A8937" t="str">
        <f t="shared" si="3287"/>
        <v>SSA PACIFIC</v>
      </c>
      <c r="B8937" t="str">
        <f t="shared" si="3294"/>
        <v>53560 HULL STREET</v>
      </c>
      <c r="C8937" t="str">
        <f t="shared" si="3299"/>
        <v>CODE 52R20</v>
      </c>
      <c r="D8937" t="str">
        <f t="shared" si="3291"/>
        <v>SAN DIEGO</v>
      </c>
      <c r="E8937" t="str">
        <f t="shared" si="3292"/>
        <v>CA</v>
      </c>
      <c r="F8937" t="str">
        <f t="shared" si="3297"/>
        <v>921520001</v>
      </c>
      <c r="G8937" t="str">
        <f t="shared" si="3298"/>
        <v>53560 HULL STREET</v>
      </c>
      <c r="H8937" t="str">
        <f>T("CODE 52250")</f>
        <v>CODE 52250</v>
      </c>
      <c r="I8937" t="str">
        <f t="shared" si="3288"/>
        <v>SAN DIEGO</v>
      </c>
      <c r="J8937" t="str">
        <f t="shared" si="3289"/>
        <v>CA</v>
      </c>
      <c r="K8937" t="str">
        <f t="shared" si="3290"/>
        <v>000000000000000000</v>
      </c>
      <c r="L8937" t="str">
        <f>T("6195536015")</f>
        <v>6195536015</v>
      </c>
    </row>
    <row r="8938" spans="1:12" x14ac:dyDescent="0.35">
      <c r="A8938" t="str">
        <f t="shared" si="3287"/>
        <v>SSA PACIFIC</v>
      </c>
      <c r="B8938" t="str">
        <f t="shared" si="3294"/>
        <v>53560 HULL STREET</v>
      </c>
      <c r="C8938" t="str">
        <f t="shared" si="3299"/>
        <v>CODE 52R20</v>
      </c>
      <c r="D8938" t="str">
        <f t="shared" si="3291"/>
        <v>SAN DIEGO</v>
      </c>
      <c r="E8938" t="str">
        <f t="shared" si="3292"/>
        <v>CA</v>
      </c>
      <c r="F8938" t="str">
        <f t="shared" si="3297"/>
        <v>921520001</v>
      </c>
      <c r="G8938" t="str">
        <f t="shared" si="3298"/>
        <v>53560 HULL STREET</v>
      </c>
      <c r="H8938" t="str">
        <f>T("CODE 52300")</f>
        <v>CODE 52300</v>
      </c>
      <c r="I8938" t="str">
        <f t="shared" ref="I8938:I8957" si="3300">T("SAN DIEGO")</f>
        <v>SAN DIEGO</v>
      </c>
      <c r="J8938" t="str">
        <f t="shared" ref="J8938:J8957" si="3301">T("CA")</f>
        <v>CA</v>
      </c>
      <c r="K8938" t="str">
        <f t="shared" ref="K8938:K8969" si="3302">T("000000000000000000")</f>
        <v>000000000000000000</v>
      </c>
      <c r="L8938" t="str">
        <f>T("6195533336")</f>
        <v>6195533336</v>
      </c>
    </row>
    <row r="8939" spans="1:12" x14ac:dyDescent="0.35">
      <c r="A8939" t="str">
        <f t="shared" si="3287"/>
        <v>SSA PACIFIC</v>
      </c>
      <c r="B8939" t="str">
        <f t="shared" si="3294"/>
        <v>53560 HULL STREET</v>
      </c>
      <c r="C8939" t="str">
        <f t="shared" si="3299"/>
        <v>CODE 52R20</v>
      </c>
      <c r="D8939" t="str">
        <f t="shared" si="3291"/>
        <v>SAN DIEGO</v>
      </c>
      <c r="E8939" t="str">
        <f t="shared" si="3292"/>
        <v>CA</v>
      </c>
      <c r="F8939" t="str">
        <f t="shared" si="3297"/>
        <v>921520001</v>
      </c>
      <c r="G8939" t="str">
        <f t="shared" si="3298"/>
        <v>53560 HULL STREET</v>
      </c>
      <c r="H8939" t="str">
        <f>T("CODE 52300")</f>
        <v>CODE 52300</v>
      </c>
      <c r="I8939" t="str">
        <f t="shared" si="3300"/>
        <v>SAN DIEGO</v>
      </c>
      <c r="J8939" t="str">
        <f t="shared" si="3301"/>
        <v>CA</v>
      </c>
      <c r="K8939" t="str">
        <f t="shared" si="3302"/>
        <v>000000000000000000</v>
      </c>
      <c r="L8939" t="str">
        <f>T("6195536270")</f>
        <v>6195536270</v>
      </c>
    </row>
    <row r="8940" spans="1:12" x14ac:dyDescent="0.35">
      <c r="A8940" t="str">
        <f t="shared" si="3287"/>
        <v>SSA PACIFIC</v>
      </c>
      <c r="B8940" t="str">
        <f t="shared" si="3294"/>
        <v>53560 HULL STREET</v>
      </c>
      <c r="C8940" t="str">
        <f t="shared" si="3299"/>
        <v>CODE 52R20</v>
      </c>
      <c r="D8940" t="str">
        <f t="shared" si="3291"/>
        <v>SAN DIEGO</v>
      </c>
      <c r="E8940" t="str">
        <f t="shared" si="3292"/>
        <v>CA</v>
      </c>
      <c r="F8940" t="str">
        <f t="shared" si="3297"/>
        <v>921520001</v>
      </c>
      <c r="G8940" t="str">
        <f t="shared" si="3298"/>
        <v>53560 HULL STREET</v>
      </c>
      <c r="H8940" t="str">
        <f>T("CODE 52360")</f>
        <v>CODE 52360</v>
      </c>
      <c r="I8940" t="str">
        <f t="shared" si="3300"/>
        <v>SAN DIEGO</v>
      </c>
      <c r="J8940" t="str">
        <f t="shared" si="3301"/>
        <v>CA</v>
      </c>
      <c r="K8940" t="str">
        <f t="shared" si="3302"/>
        <v>000000000000000000</v>
      </c>
      <c r="L8940" t="str">
        <f>T("6195531464")</f>
        <v>6195531464</v>
      </c>
    </row>
    <row r="8941" spans="1:12" x14ac:dyDescent="0.35">
      <c r="A8941" t="str">
        <f t="shared" si="3287"/>
        <v>SSA PACIFIC</v>
      </c>
      <c r="B8941" t="str">
        <f t="shared" si="3294"/>
        <v>53560 HULL STREET</v>
      </c>
      <c r="C8941" t="str">
        <f t="shared" si="3299"/>
        <v>CODE 52R20</v>
      </c>
      <c r="D8941" t="str">
        <f t="shared" si="3291"/>
        <v>SAN DIEGO</v>
      </c>
      <c r="E8941" t="str">
        <f t="shared" si="3292"/>
        <v>CA</v>
      </c>
      <c r="F8941" t="str">
        <f t="shared" si="3297"/>
        <v>921520001</v>
      </c>
      <c r="G8941" t="str">
        <f t="shared" si="3298"/>
        <v>53560 HULL STREET</v>
      </c>
      <c r="H8941" t="str">
        <f>T("CODE 52R20")</f>
        <v>CODE 52R20</v>
      </c>
      <c r="I8941" t="str">
        <f t="shared" si="3300"/>
        <v>SAN DIEGO</v>
      </c>
      <c r="J8941" t="str">
        <f t="shared" si="3301"/>
        <v>CA</v>
      </c>
      <c r="K8941" t="str">
        <f t="shared" si="3302"/>
        <v>000000000000000000</v>
      </c>
      <c r="L8941" t="str">
        <f>T("6195532114")</f>
        <v>6195532114</v>
      </c>
    </row>
    <row r="8942" spans="1:12" x14ac:dyDescent="0.35">
      <c r="A8942" t="str">
        <f t="shared" si="3287"/>
        <v>SSA PACIFIC</v>
      </c>
      <c r="B8942" t="str">
        <f t="shared" si="3294"/>
        <v>53560 HULL STREET</v>
      </c>
      <c r="C8942" t="str">
        <f>T("CODE 53201")</f>
        <v>CODE 53201</v>
      </c>
      <c r="D8942" t="str">
        <f t="shared" si="3291"/>
        <v>SAN DIEGO</v>
      </c>
      <c r="E8942" t="str">
        <f t="shared" si="3292"/>
        <v>CA</v>
      </c>
      <c r="F8942" t="str">
        <f t="shared" ref="F8942:F8947" si="3303">T("921525001")</f>
        <v>921525001</v>
      </c>
      <c r="G8942" t="str">
        <f t="shared" si="3298"/>
        <v>53560 HULL STREET</v>
      </c>
      <c r="H8942" t="str">
        <f>T("CODE 53201")</f>
        <v>CODE 53201</v>
      </c>
      <c r="I8942" t="str">
        <f t="shared" si="3300"/>
        <v>SAN DIEGO</v>
      </c>
      <c r="J8942" t="str">
        <f t="shared" si="3301"/>
        <v>CA</v>
      </c>
      <c r="K8942" t="str">
        <f t="shared" si="3302"/>
        <v>000000000000000000</v>
      </c>
      <c r="L8942" t="str">
        <f>T("6195533929")</f>
        <v>6195533929</v>
      </c>
    </row>
    <row r="8943" spans="1:12" x14ac:dyDescent="0.35">
      <c r="A8943" t="str">
        <f t="shared" si="3287"/>
        <v>SSA PACIFIC</v>
      </c>
      <c r="B8943" t="str">
        <f t="shared" si="3294"/>
        <v>53560 HULL STREET</v>
      </c>
      <c r="C8943" t="str">
        <f>T("CODE 53201")</f>
        <v>CODE 53201</v>
      </c>
      <c r="D8943" t="str">
        <f t="shared" si="3291"/>
        <v>SAN DIEGO</v>
      </c>
      <c r="E8943" t="str">
        <f t="shared" si="3292"/>
        <v>CA</v>
      </c>
      <c r="F8943" t="str">
        <f t="shared" si="3303"/>
        <v>921525001</v>
      </c>
      <c r="G8943" t="str">
        <f t="shared" si="3298"/>
        <v>53560 HULL STREET</v>
      </c>
      <c r="H8943" t="str">
        <f>T("CODE 53201")</f>
        <v>CODE 53201</v>
      </c>
      <c r="I8943" t="str">
        <f t="shared" si="3300"/>
        <v>SAN DIEGO</v>
      </c>
      <c r="J8943" t="str">
        <f t="shared" si="3301"/>
        <v>CA</v>
      </c>
      <c r="K8943" t="str">
        <f t="shared" si="3302"/>
        <v>000000000000000000</v>
      </c>
      <c r="L8943" t="str">
        <f>T("6195534067")</f>
        <v>6195534067</v>
      </c>
    </row>
    <row r="8944" spans="1:12" x14ac:dyDescent="0.35">
      <c r="A8944" t="str">
        <f t="shared" si="3287"/>
        <v>SSA PACIFIC</v>
      </c>
      <c r="B8944" t="str">
        <f t="shared" si="3294"/>
        <v>53560 HULL STREET</v>
      </c>
      <c r="C8944" t="str">
        <f>T("CODE 53201")</f>
        <v>CODE 53201</v>
      </c>
      <c r="D8944" t="str">
        <f t="shared" si="3291"/>
        <v>SAN DIEGO</v>
      </c>
      <c r="E8944" t="str">
        <f t="shared" si="3292"/>
        <v>CA</v>
      </c>
      <c r="F8944" t="str">
        <f t="shared" si="3303"/>
        <v>921525001</v>
      </c>
      <c r="G8944" t="str">
        <f t="shared" si="3298"/>
        <v>53560 HULL STREET</v>
      </c>
      <c r="H8944" t="str">
        <f>T("CODE 53201")</f>
        <v>CODE 53201</v>
      </c>
      <c r="I8944" t="str">
        <f t="shared" si="3300"/>
        <v>SAN DIEGO</v>
      </c>
      <c r="J8944" t="str">
        <f t="shared" si="3301"/>
        <v>CA</v>
      </c>
      <c r="K8944" t="str">
        <f t="shared" si="3302"/>
        <v>000000000000000000</v>
      </c>
      <c r="L8944" t="str">
        <f>T("6195538683")</f>
        <v>6195538683</v>
      </c>
    </row>
    <row r="8945" spans="1:12" x14ac:dyDescent="0.35">
      <c r="A8945" t="str">
        <f t="shared" si="3287"/>
        <v>SSA PACIFIC</v>
      </c>
      <c r="B8945" t="str">
        <f t="shared" si="3294"/>
        <v>53560 HULL STREET</v>
      </c>
      <c r="C8945" t="str">
        <f>T("CODE 53201")</f>
        <v>CODE 53201</v>
      </c>
      <c r="D8945" t="str">
        <f t="shared" si="3291"/>
        <v>SAN DIEGO</v>
      </c>
      <c r="E8945" t="str">
        <f t="shared" si="3292"/>
        <v>CA</v>
      </c>
      <c r="F8945" t="str">
        <f t="shared" si="3303"/>
        <v>921525001</v>
      </c>
      <c r="G8945" t="str">
        <f t="shared" si="3298"/>
        <v>53560 HULL STREET</v>
      </c>
      <c r="H8945" t="str">
        <f>T("CODE 53201")</f>
        <v>CODE 53201</v>
      </c>
      <c r="I8945" t="str">
        <f t="shared" si="3300"/>
        <v>SAN DIEGO</v>
      </c>
      <c r="J8945" t="str">
        <f t="shared" si="3301"/>
        <v>CA</v>
      </c>
      <c r="K8945" t="str">
        <f t="shared" si="3302"/>
        <v>000000000000000000</v>
      </c>
      <c r="L8945" t="str">
        <f>T("6195539539")</f>
        <v>6195539539</v>
      </c>
    </row>
    <row r="8946" spans="1:12" x14ac:dyDescent="0.35">
      <c r="A8946" t="str">
        <f t="shared" si="3287"/>
        <v>SSA PACIFIC</v>
      </c>
      <c r="B8946" t="str">
        <f t="shared" si="3294"/>
        <v>53560 HULL STREET</v>
      </c>
      <c r="C8946" t="str">
        <f>T("CODE 53201")</f>
        <v>CODE 53201</v>
      </c>
      <c r="D8946" t="str">
        <f t="shared" si="3291"/>
        <v>SAN DIEGO</v>
      </c>
      <c r="E8946" t="str">
        <f t="shared" si="3292"/>
        <v>CA</v>
      </c>
      <c r="F8946" t="str">
        <f t="shared" si="3303"/>
        <v>921525001</v>
      </c>
      <c r="G8946" t="str">
        <f t="shared" si="3298"/>
        <v>53560 HULL STREET</v>
      </c>
      <c r="H8946" t="str">
        <f>T("CODE 53227")</f>
        <v>CODE 53227</v>
      </c>
      <c r="I8946" t="str">
        <f t="shared" si="3300"/>
        <v>SAN DIEGO</v>
      </c>
      <c r="J8946" t="str">
        <f t="shared" si="3301"/>
        <v>CA</v>
      </c>
      <c r="K8946" t="str">
        <f t="shared" si="3302"/>
        <v>000000000000000000</v>
      </c>
      <c r="L8946" t="str">
        <f>T("6195539631")</f>
        <v>6195539631</v>
      </c>
    </row>
    <row r="8947" spans="1:12" x14ac:dyDescent="0.35">
      <c r="A8947" t="str">
        <f t="shared" si="3287"/>
        <v>SSA PACIFIC</v>
      </c>
      <c r="B8947" t="str">
        <f t="shared" si="3294"/>
        <v>53560 HULL STREET</v>
      </c>
      <c r="C8947" t="str">
        <f>T("CODE 53522")</f>
        <v>CODE 53522</v>
      </c>
      <c r="D8947" t="str">
        <f t="shared" si="3291"/>
        <v>SAN DIEGO</v>
      </c>
      <c r="E8947" t="str">
        <f t="shared" si="3292"/>
        <v>CA</v>
      </c>
      <c r="F8947" t="str">
        <f t="shared" si="3303"/>
        <v>921525001</v>
      </c>
      <c r="G8947" t="str">
        <f t="shared" si="3298"/>
        <v>53560 HULL STREET</v>
      </c>
      <c r="H8947" t="str">
        <f>T("CODE 53522")</f>
        <v>CODE 53522</v>
      </c>
      <c r="I8947" t="str">
        <f t="shared" si="3300"/>
        <v>SAN DIEGO</v>
      </c>
      <c r="J8947" t="str">
        <f t="shared" si="3301"/>
        <v>CA</v>
      </c>
      <c r="K8947" t="str">
        <f t="shared" si="3302"/>
        <v>000000000000000000</v>
      </c>
      <c r="L8947" t="str">
        <f>T("6195539617")</f>
        <v>6195539617</v>
      </c>
    </row>
    <row r="8948" spans="1:12" x14ac:dyDescent="0.35">
      <c r="A8948" t="str">
        <f t="shared" si="3287"/>
        <v>SSA PACIFIC</v>
      </c>
      <c r="B8948" t="str">
        <f t="shared" si="3294"/>
        <v>53560 HULL STREET</v>
      </c>
      <c r="C8948" t="str">
        <f>T("CODE 53523")</f>
        <v>CODE 53523</v>
      </c>
      <c r="D8948" t="str">
        <f t="shared" si="3291"/>
        <v>SAN DIEGO</v>
      </c>
      <c r="E8948" t="str">
        <f t="shared" si="3292"/>
        <v>CA</v>
      </c>
      <c r="F8948" t="str">
        <f>T("921520001")</f>
        <v>921520001</v>
      </c>
      <c r="G8948" t="str">
        <f t="shared" si="3298"/>
        <v>53560 HULL STREET</v>
      </c>
      <c r="H8948" t="str">
        <f>T("CODE 52523")</f>
        <v>CODE 52523</v>
      </c>
      <c r="I8948" t="str">
        <f t="shared" si="3300"/>
        <v>SAN DIEGO</v>
      </c>
      <c r="J8948" t="str">
        <f t="shared" si="3301"/>
        <v>CA</v>
      </c>
      <c r="K8948" t="str">
        <f t="shared" si="3302"/>
        <v>000000000000000000</v>
      </c>
      <c r="L8948" t="str">
        <f>T("6195530059")</f>
        <v>6195530059</v>
      </c>
    </row>
    <row r="8949" spans="1:12" x14ac:dyDescent="0.35">
      <c r="A8949" t="str">
        <f t="shared" si="3287"/>
        <v>SSA PACIFIC</v>
      </c>
      <c r="B8949" t="str">
        <f t="shared" si="3294"/>
        <v>53560 HULL STREET</v>
      </c>
      <c r="C8949" t="str">
        <f>T("CODE 53523")</f>
        <v>CODE 53523</v>
      </c>
      <c r="D8949" t="str">
        <f t="shared" si="3291"/>
        <v>SAN DIEGO</v>
      </c>
      <c r="E8949" t="str">
        <f t="shared" si="3292"/>
        <v>CA</v>
      </c>
      <c r="F8949" t="str">
        <f>T("921520001")</f>
        <v>921520001</v>
      </c>
      <c r="G8949" t="str">
        <f t="shared" si="3298"/>
        <v>53560 HULL STREET</v>
      </c>
      <c r="H8949" t="str">
        <f>T("CODE 53523")</f>
        <v>CODE 53523</v>
      </c>
      <c r="I8949" t="str">
        <f t="shared" si="3300"/>
        <v>SAN DIEGO</v>
      </c>
      <c r="J8949" t="str">
        <f t="shared" si="3301"/>
        <v>CA</v>
      </c>
      <c r="K8949" t="str">
        <f t="shared" si="3302"/>
        <v>000000000000000000</v>
      </c>
      <c r="L8949" t="str">
        <f>T("6195533544")</f>
        <v>6195533544</v>
      </c>
    </row>
    <row r="8950" spans="1:12" x14ac:dyDescent="0.35">
      <c r="A8950" t="str">
        <f t="shared" si="3287"/>
        <v>SSA PACIFIC</v>
      </c>
      <c r="B8950" t="str">
        <f t="shared" si="3294"/>
        <v>53560 HULL STREET</v>
      </c>
      <c r="C8950" t="str">
        <f>T("CODE 53529")</f>
        <v>CODE 53529</v>
      </c>
      <c r="D8950" t="str">
        <f t="shared" si="3291"/>
        <v>SAN DIEGO</v>
      </c>
      <c r="E8950" t="str">
        <f t="shared" si="3292"/>
        <v>CA</v>
      </c>
      <c r="F8950" t="str">
        <f>T("921520001")</f>
        <v>921520001</v>
      </c>
      <c r="G8950" t="str">
        <f t="shared" si="3298"/>
        <v>53560 HULL STREET</v>
      </c>
      <c r="H8950" t="str">
        <f>T("CODE 53529")</f>
        <v>CODE 53529</v>
      </c>
      <c r="I8950" t="str">
        <f t="shared" si="3300"/>
        <v>SAN DIEGO</v>
      </c>
      <c r="J8950" t="str">
        <f t="shared" si="3301"/>
        <v>CA</v>
      </c>
      <c r="K8950" t="str">
        <f t="shared" si="3302"/>
        <v>000000000000000000</v>
      </c>
      <c r="L8950" t="str">
        <f>T("6195535476")</f>
        <v>6195535476</v>
      </c>
    </row>
    <row r="8951" spans="1:12" x14ac:dyDescent="0.35">
      <c r="A8951" t="str">
        <f t="shared" si="3287"/>
        <v>SSA PACIFIC</v>
      </c>
      <c r="B8951" t="str">
        <f t="shared" si="3294"/>
        <v>53560 HULL STREET</v>
      </c>
      <c r="C8951" t="str">
        <f>T("CODE 53529")</f>
        <v>CODE 53529</v>
      </c>
      <c r="D8951" t="str">
        <f t="shared" si="3291"/>
        <v>SAN DIEGO</v>
      </c>
      <c r="E8951" t="str">
        <f t="shared" si="3292"/>
        <v>CA</v>
      </c>
      <c r="F8951" t="str">
        <f>T("921520001")</f>
        <v>921520001</v>
      </c>
      <c r="G8951" t="str">
        <f t="shared" si="3298"/>
        <v>53560 HULL STREET</v>
      </c>
      <c r="H8951" t="str">
        <f>T("CODE 53529")</f>
        <v>CODE 53529</v>
      </c>
      <c r="I8951" t="str">
        <f t="shared" si="3300"/>
        <v>SAN DIEGO</v>
      </c>
      <c r="J8951" t="str">
        <f t="shared" si="3301"/>
        <v>CA</v>
      </c>
      <c r="K8951" t="str">
        <f t="shared" si="3302"/>
        <v>000000000000000000</v>
      </c>
      <c r="L8951" t="str">
        <f>T("6195539563")</f>
        <v>6195539563</v>
      </c>
    </row>
    <row r="8952" spans="1:12" x14ac:dyDescent="0.35">
      <c r="A8952" t="str">
        <f t="shared" si="3287"/>
        <v>SSA PACIFIC</v>
      </c>
      <c r="B8952" t="str">
        <f t="shared" si="3294"/>
        <v>53560 HULL STREET</v>
      </c>
      <c r="C8952" t="str">
        <f>T("CODE 536206")</f>
        <v>CODE 536206</v>
      </c>
      <c r="D8952" t="str">
        <f t="shared" si="3291"/>
        <v>SAN DIEGO</v>
      </c>
      <c r="E8952" t="str">
        <f t="shared" si="3292"/>
        <v>CA</v>
      </c>
      <c r="F8952" t="str">
        <f t="shared" ref="F8952:F8957" si="3304">T("921525001")</f>
        <v>921525001</v>
      </c>
      <c r="G8952" t="str">
        <f t="shared" si="3298"/>
        <v>53560 HULL STREET</v>
      </c>
      <c r="H8952" t="str">
        <f>T("CODE 536204")</f>
        <v>CODE 536204</v>
      </c>
      <c r="I8952" t="str">
        <f t="shared" si="3300"/>
        <v>SAN DIEGO</v>
      </c>
      <c r="J8952" t="str">
        <f t="shared" si="3301"/>
        <v>CA</v>
      </c>
      <c r="K8952" t="str">
        <f t="shared" si="3302"/>
        <v>000000000000000000</v>
      </c>
      <c r="L8952" t="str">
        <f>T("6195535550")</f>
        <v>6195535550</v>
      </c>
    </row>
    <row r="8953" spans="1:12" x14ac:dyDescent="0.35">
      <c r="A8953" t="str">
        <f t="shared" si="3287"/>
        <v>SSA PACIFIC</v>
      </c>
      <c r="B8953" t="str">
        <f t="shared" si="3294"/>
        <v>53560 HULL STREET</v>
      </c>
      <c r="C8953" t="str">
        <f>T("CODE 536206")</f>
        <v>CODE 536206</v>
      </c>
      <c r="D8953" t="str">
        <f t="shared" si="3291"/>
        <v>SAN DIEGO</v>
      </c>
      <c r="E8953" t="str">
        <f t="shared" si="3292"/>
        <v>CA</v>
      </c>
      <c r="F8953" t="str">
        <f t="shared" si="3304"/>
        <v>921525001</v>
      </c>
      <c r="G8953" t="str">
        <f t="shared" si="3298"/>
        <v>53560 HULL STREET</v>
      </c>
      <c r="H8953" t="str">
        <f>T("CODE 536206")</f>
        <v>CODE 536206</v>
      </c>
      <c r="I8953" t="str">
        <f t="shared" si="3300"/>
        <v>SAN DIEGO</v>
      </c>
      <c r="J8953" t="str">
        <f t="shared" si="3301"/>
        <v>CA</v>
      </c>
      <c r="K8953" t="str">
        <f t="shared" si="3302"/>
        <v>000000000000000000</v>
      </c>
      <c r="L8953" t="str">
        <f>T("6195530851")</f>
        <v>6195530851</v>
      </c>
    </row>
    <row r="8954" spans="1:12" x14ac:dyDescent="0.35">
      <c r="A8954" t="str">
        <f t="shared" si="3287"/>
        <v>SSA PACIFIC</v>
      </c>
      <c r="B8954" t="str">
        <f t="shared" si="3294"/>
        <v>53560 HULL STREET</v>
      </c>
      <c r="C8954" t="str">
        <f>T("CODE 536207")</f>
        <v>CODE 536207</v>
      </c>
      <c r="D8954" t="str">
        <f t="shared" si="3291"/>
        <v>SAN DIEGO</v>
      </c>
      <c r="E8954" t="str">
        <f t="shared" si="3292"/>
        <v>CA</v>
      </c>
      <c r="F8954" t="str">
        <f t="shared" si="3304"/>
        <v>921525001</v>
      </c>
      <c r="G8954" t="str">
        <f t="shared" si="3298"/>
        <v>53560 HULL STREET</v>
      </c>
      <c r="H8954" t="str">
        <f>T("CODE 536207")</f>
        <v>CODE 536207</v>
      </c>
      <c r="I8954" t="str">
        <f t="shared" si="3300"/>
        <v>SAN DIEGO</v>
      </c>
      <c r="J8954" t="str">
        <f t="shared" si="3301"/>
        <v>CA</v>
      </c>
      <c r="K8954" t="str">
        <f t="shared" si="3302"/>
        <v>000000000000000000</v>
      </c>
      <c r="L8954" t="str">
        <f>T("6195535410")</f>
        <v>6195535410</v>
      </c>
    </row>
    <row r="8955" spans="1:12" x14ac:dyDescent="0.35">
      <c r="A8955" t="str">
        <f t="shared" si="3287"/>
        <v>SSA PACIFIC</v>
      </c>
      <c r="B8955" t="str">
        <f t="shared" si="3294"/>
        <v>53560 HULL STREET</v>
      </c>
      <c r="C8955" t="str">
        <f>T("CODE 536210")</f>
        <v>CODE 536210</v>
      </c>
      <c r="D8955" t="str">
        <f t="shared" si="3291"/>
        <v>SAN DIEGO</v>
      </c>
      <c r="E8955" t="str">
        <f t="shared" si="3292"/>
        <v>CA</v>
      </c>
      <c r="F8955" t="str">
        <f t="shared" si="3304"/>
        <v>921525001</v>
      </c>
      <c r="G8955" t="str">
        <f t="shared" si="3298"/>
        <v>53560 HULL STREET</v>
      </c>
      <c r="H8955" t="str">
        <f>T("CODE 53608")</f>
        <v>CODE 53608</v>
      </c>
      <c r="I8955" t="str">
        <f t="shared" si="3300"/>
        <v>SAN DIEGO</v>
      </c>
      <c r="J8955" t="str">
        <f t="shared" si="3301"/>
        <v>CA</v>
      </c>
      <c r="K8955" t="str">
        <f t="shared" si="3302"/>
        <v>000000000000000000</v>
      </c>
      <c r="L8955" t="str">
        <f>T("6195327245")</f>
        <v>6195327245</v>
      </c>
    </row>
    <row r="8956" spans="1:12" x14ac:dyDescent="0.35">
      <c r="A8956" t="str">
        <f t="shared" si="3287"/>
        <v>SSA PACIFIC</v>
      </c>
      <c r="B8956" t="str">
        <f t="shared" si="3294"/>
        <v>53560 HULL STREET</v>
      </c>
      <c r="C8956" t="str">
        <f>T("CODE 536210")</f>
        <v>CODE 536210</v>
      </c>
      <c r="D8956" t="str">
        <f t="shared" si="3291"/>
        <v>SAN DIEGO</v>
      </c>
      <c r="E8956" t="str">
        <f t="shared" si="3292"/>
        <v>CA</v>
      </c>
      <c r="F8956" t="str">
        <f t="shared" si="3304"/>
        <v>921525001</v>
      </c>
      <c r="G8956" t="str">
        <f t="shared" si="3298"/>
        <v>53560 HULL STREET</v>
      </c>
      <c r="H8956" t="str">
        <f>T("CODE 536210")</f>
        <v>CODE 536210</v>
      </c>
      <c r="I8956" t="str">
        <f t="shared" si="3300"/>
        <v>SAN DIEGO</v>
      </c>
      <c r="J8956" t="str">
        <f t="shared" si="3301"/>
        <v>CA</v>
      </c>
      <c r="K8956" t="str">
        <f t="shared" si="3302"/>
        <v>000000000000000000</v>
      </c>
      <c r="L8956" t="str">
        <f>T("6195533647")</f>
        <v>6195533647</v>
      </c>
    </row>
    <row r="8957" spans="1:12" x14ac:dyDescent="0.35">
      <c r="A8957" t="str">
        <f t="shared" si="3287"/>
        <v>SSA PACIFIC</v>
      </c>
      <c r="B8957" t="str">
        <f t="shared" si="3294"/>
        <v>53560 HULL STREET</v>
      </c>
      <c r="C8957" t="str">
        <f>T("CODE 536210")</f>
        <v>CODE 536210</v>
      </c>
      <c r="D8957" t="str">
        <f t="shared" si="3291"/>
        <v>SAN DIEGO</v>
      </c>
      <c r="E8957" t="str">
        <f t="shared" si="3292"/>
        <v>CA</v>
      </c>
      <c r="F8957" t="str">
        <f t="shared" si="3304"/>
        <v>921525001</v>
      </c>
      <c r="G8957" t="str">
        <f>T("CODE 536210")</f>
        <v>CODE 536210</v>
      </c>
      <c r="H8957" t="str">
        <f>T("53560 HULL STREET")</f>
        <v>53560 HULL STREET</v>
      </c>
      <c r="I8957" t="str">
        <f t="shared" si="3300"/>
        <v>SAN DIEGO</v>
      </c>
      <c r="J8957" t="str">
        <f t="shared" si="3301"/>
        <v>CA</v>
      </c>
      <c r="K8957" t="str">
        <f t="shared" si="3302"/>
        <v>000000000000000000</v>
      </c>
      <c r="L8957" t="str">
        <f>T("6195533661")</f>
        <v>6195533661</v>
      </c>
    </row>
    <row r="8958" spans="1:12" x14ac:dyDescent="0.35">
      <c r="A8958" t="str">
        <f t="shared" si="3287"/>
        <v>SSA PACIFIC</v>
      </c>
      <c r="B8958" t="str">
        <f t="shared" si="3294"/>
        <v>53560 HULL STREET</v>
      </c>
      <c r="C8958" t="str">
        <f>T("CODE 53629")</f>
        <v>CODE 53629</v>
      </c>
      <c r="D8958" t="str">
        <f t="shared" si="3291"/>
        <v>SAN DIEGO</v>
      </c>
      <c r="E8958" t="str">
        <f t="shared" si="3292"/>
        <v>CA</v>
      </c>
      <c r="F8958" t="str">
        <f t="shared" ref="F8958:F8967" si="3305">T("921520001")</f>
        <v>921520001</v>
      </c>
      <c r="G8958" t="str">
        <f>T("116 LAKEVIEW PARKWAY")</f>
        <v>116 LAKEVIEW PARKWAY</v>
      </c>
      <c r="H8958" t="str">
        <f>T("CODE 53629")</f>
        <v>CODE 53629</v>
      </c>
      <c r="I8958" t="str">
        <f>T("SUFFOLK")</f>
        <v>SUFFOLK</v>
      </c>
      <c r="J8958" t="str">
        <f>T("VA")</f>
        <v>VA</v>
      </c>
      <c r="K8958" t="str">
        <f t="shared" si="3302"/>
        <v>000000000000000000</v>
      </c>
      <c r="L8958" t="str">
        <f>T("7572037949")</f>
        <v>7572037949</v>
      </c>
    </row>
    <row r="8959" spans="1:12" x14ac:dyDescent="0.35">
      <c r="A8959" t="str">
        <f t="shared" si="3287"/>
        <v>SSA PACIFIC</v>
      </c>
      <c r="B8959" t="str">
        <f t="shared" si="3294"/>
        <v>53560 HULL STREET</v>
      </c>
      <c r="C8959" t="str">
        <f>T("CODE 53629")</f>
        <v>CODE 53629</v>
      </c>
      <c r="D8959" t="str">
        <f t="shared" si="3291"/>
        <v>SAN DIEGO</v>
      </c>
      <c r="E8959" t="str">
        <f t="shared" si="3292"/>
        <v>CA</v>
      </c>
      <c r="F8959" t="str">
        <f t="shared" si="3305"/>
        <v>921520001</v>
      </c>
      <c r="G8959" t="str">
        <f t="shared" ref="G8959:G8975" si="3306">T("53560 HULL STREET")</f>
        <v>53560 HULL STREET</v>
      </c>
      <c r="H8959" t="str">
        <f>T("CODE 53629")</f>
        <v>CODE 53629</v>
      </c>
      <c r="I8959" t="str">
        <f t="shared" ref="I8959:I8989" si="3307">T("SAN DIEGO")</f>
        <v>SAN DIEGO</v>
      </c>
      <c r="J8959" t="str">
        <f t="shared" ref="J8959:J8990" si="3308">T("CA")</f>
        <v>CA</v>
      </c>
      <c r="K8959" t="str">
        <f t="shared" si="3302"/>
        <v>000000000000000000</v>
      </c>
      <c r="L8959" t="str">
        <f>T("6195532389")</f>
        <v>6195532389</v>
      </c>
    </row>
    <row r="8960" spans="1:12" x14ac:dyDescent="0.35">
      <c r="A8960" t="str">
        <f t="shared" si="3287"/>
        <v>SSA PACIFIC</v>
      </c>
      <c r="B8960" t="str">
        <f t="shared" si="3294"/>
        <v>53560 HULL STREET</v>
      </c>
      <c r="C8960" t="str">
        <f>T("CODE 53821")</f>
        <v>CODE 53821</v>
      </c>
      <c r="D8960" t="str">
        <f t="shared" si="3291"/>
        <v>SAN DIEGO</v>
      </c>
      <c r="E8960" t="str">
        <f t="shared" si="3292"/>
        <v>CA</v>
      </c>
      <c r="F8960" t="str">
        <f t="shared" si="3305"/>
        <v>921520001</v>
      </c>
      <c r="G8960" t="str">
        <f t="shared" si="3306"/>
        <v>53560 HULL STREET</v>
      </c>
      <c r="H8960" t="str">
        <f>T("CODE 53821")</f>
        <v>CODE 53821</v>
      </c>
      <c r="I8960" t="str">
        <f t="shared" si="3307"/>
        <v>SAN DIEGO</v>
      </c>
      <c r="J8960" t="str">
        <f t="shared" si="3308"/>
        <v>CA</v>
      </c>
      <c r="K8960" t="str">
        <f t="shared" si="3302"/>
        <v>000000000000000000</v>
      </c>
      <c r="L8960" t="str">
        <f>T("2152148046")</f>
        <v>2152148046</v>
      </c>
    </row>
    <row r="8961" spans="1:12" x14ac:dyDescent="0.35">
      <c r="A8961" t="str">
        <f t="shared" si="3287"/>
        <v>SSA PACIFIC</v>
      </c>
      <c r="B8961" t="str">
        <f t="shared" si="3294"/>
        <v>53560 HULL STREET</v>
      </c>
      <c r="C8961" t="str">
        <f>T("CODE 53821")</f>
        <v>CODE 53821</v>
      </c>
      <c r="D8961" t="str">
        <f t="shared" si="3291"/>
        <v>SAN DIEGO</v>
      </c>
      <c r="E8961" t="str">
        <f t="shared" si="3292"/>
        <v>CA</v>
      </c>
      <c r="F8961" t="str">
        <f t="shared" si="3305"/>
        <v>921520001</v>
      </c>
      <c r="G8961" t="str">
        <f t="shared" si="3306"/>
        <v>53560 HULL STREET</v>
      </c>
      <c r="H8961" t="str">
        <f>T("CODE 53821")</f>
        <v>CODE 53821</v>
      </c>
      <c r="I8961" t="str">
        <f t="shared" si="3307"/>
        <v>SAN DIEGO</v>
      </c>
      <c r="J8961" t="str">
        <f t="shared" si="3308"/>
        <v>CA</v>
      </c>
      <c r="K8961" t="str">
        <f t="shared" si="3302"/>
        <v>000000000000000000</v>
      </c>
      <c r="L8961" t="str">
        <f>T("2152148065")</f>
        <v>2152148065</v>
      </c>
    </row>
    <row r="8962" spans="1:12" x14ac:dyDescent="0.35">
      <c r="A8962" t="str">
        <f t="shared" si="3287"/>
        <v>SSA PACIFIC</v>
      </c>
      <c r="B8962" t="str">
        <f t="shared" si="3294"/>
        <v>53560 HULL STREET</v>
      </c>
      <c r="C8962" t="str">
        <f>T("CODE 53821")</f>
        <v>CODE 53821</v>
      </c>
      <c r="D8962" t="str">
        <f t="shared" si="3291"/>
        <v>SAN DIEGO</v>
      </c>
      <c r="E8962" t="str">
        <f t="shared" si="3292"/>
        <v>CA</v>
      </c>
      <c r="F8962" t="str">
        <f t="shared" si="3305"/>
        <v>921520001</v>
      </c>
      <c r="G8962" t="str">
        <f t="shared" si="3306"/>
        <v>53560 HULL STREET</v>
      </c>
      <c r="H8962" t="str">
        <f>T("CODE 53823")</f>
        <v>CODE 53823</v>
      </c>
      <c r="I8962" t="str">
        <f t="shared" si="3307"/>
        <v>SAN DIEGO</v>
      </c>
      <c r="J8962" t="str">
        <f t="shared" si="3308"/>
        <v>CA</v>
      </c>
      <c r="K8962" t="str">
        <f t="shared" si="3302"/>
        <v>000000000000000000</v>
      </c>
      <c r="L8962" t="str">
        <f>T("2152148001")</f>
        <v>2152148001</v>
      </c>
    </row>
    <row r="8963" spans="1:12" x14ac:dyDescent="0.35">
      <c r="A8963" t="str">
        <f t="shared" si="3287"/>
        <v>SSA PACIFIC</v>
      </c>
      <c r="B8963" t="str">
        <f t="shared" si="3294"/>
        <v>53560 HULL STREET</v>
      </c>
      <c r="C8963" t="str">
        <f>T("CODE 54320")</f>
        <v>CODE 54320</v>
      </c>
      <c r="D8963" t="str">
        <f t="shared" si="3291"/>
        <v>SAN DIEGO</v>
      </c>
      <c r="E8963" t="str">
        <f t="shared" si="3292"/>
        <v>CA</v>
      </c>
      <c r="F8963" t="str">
        <f t="shared" si="3305"/>
        <v>921520001</v>
      </c>
      <c r="G8963" t="str">
        <f t="shared" si="3306"/>
        <v>53560 HULL STREET</v>
      </c>
      <c r="H8963" t="str">
        <f>T("CODE 54320")</f>
        <v>CODE 54320</v>
      </c>
      <c r="I8963" t="str">
        <f t="shared" si="3307"/>
        <v>SAN DIEGO</v>
      </c>
      <c r="J8963" t="str">
        <f t="shared" si="3308"/>
        <v>CA</v>
      </c>
      <c r="K8963" t="str">
        <f t="shared" si="3302"/>
        <v>000000000000000000</v>
      </c>
      <c r="L8963" t="str">
        <f>T("6195533391")</f>
        <v>6195533391</v>
      </c>
    </row>
    <row r="8964" spans="1:12" x14ac:dyDescent="0.35">
      <c r="A8964" t="str">
        <f t="shared" si="3287"/>
        <v>SSA PACIFIC</v>
      </c>
      <c r="B8964" t="str">
        <f t="shared" si="3294"/>
        <v>53560 HULL STREET</v>
      </c>
      <c r="C8964" t="str">
        <f>T("CODE 54320")</f>
        <v>CODE 54320</v>
      </c>
      <c r="D8964" t="str">
        <f t="shared" si="3291"/>
        <v>SAN DIEGO</v>
      </c>
      <c r="E8964" t="str">
        <f t="shared" si="3292"/>
        <v>CA</v>
      </c>
      <c r="F8964" t="str">
        <f t="shared" si="3305"/>
        <v>921520001</v>
      </c>
      <c r="G8964" t="str">
        <f t="shared" si="3306"/>
        <v>53560 HULL STREET</v>
      </c>
      <c r="H8964" t="str">
        <f>T("CODE 54320")</f>
        <v>CODE 54320</v>
      </c>
      <c r="I8964" t="str">
        <f t="shared" si="3307"/>
        <v>SAN DIEGO</v>
      </c>
      <c r="J8964" t="str">
        <f t="shared" si="3308"/>
        <v>CA</v>
      </c>
      <c r="K8964" t="str">
        <f t="shared" si="3302"/>
        <v>000000000000000000</v>
      </c>
      <c r="L8964" t="str">
        <f>T("6197674603")</f>
        <v>6197674603</v>
      </c>
    </row>
    <row r="8965" spans="1:12" x14ac:dyDescent="0.35">
      <c r="A8965" t="str">
        <f t="shared" si="3287"/>
        <v>SSA PACIFIC</v>
      </c>
      <c r="B8965" t="str">
        <f t="shared" si="3294"/>
        <v>53560 HULL STREET</v>
      </c>
      <c r="C8965" t="str">
        <f>T("CODE 54510")</f>
        <v>CODE 54510</v>
      </c>
      <c r="D8965" t="str">
        <f t="shared" si="3291"/>
        <v>SAN DIEGO</v>
      </c>
      <c r="E8965" t="str">
        <f t="shared" si="3292"/>
        <v>CA</v>
      </c>
      <c r="F8965" t="str">
        <f t="shared" si="3305"/>
        <v>921520001</v>
      </c>
      <c r="G8965" t="str">
        <f t="shared" si="3306"/>
        <v>53560 HULL STREET</v>
      </c>
      <c r="H8965" t="str">
        <f>T("CODE 54510")</f>
        <v>CODE 54510</v>
      </c>
      <c r="I8965" t="str">
        <f t="shared" si="3307"/>
        <v>SAN DIEGO</v>
      </c>
      <c r="J8965" t="str">
        <f t="shared" si="3308"/>
        <v>CA</v>
      </c>
      <c r="K8965" t="str">
        <f t="shared" si="3302"/>
        <v>000000000000000000</v>
      </c>
      <c r="L8965" t="str">
        <f>T("6195532703")</f>
        <v>6195532703</v>
      </c>
    </row>
    <row r="8966" spans="1:12" x14ac:dyDescent="0.35">
      <c r="A8966" t="str">
        <f t="shared" si="3287"/>
        <v>SSA PACIFIC</v>
      </c>
      <c r="B8966" t="str">
        <f t="shared" si="3294"/>
        <v>53560 HULL STREET</v>
      </c>
      <c r="C8966" t="str">
        <f>T("CODE 54510")</f>
        <v>CODE 54510</v>
      </c>
      <c r="D8966" t="str">
        <f t="shared" si="3291"/>
        <v>SAN DIEGO</v>
      </c>
      <c r="E8966" t="str">
        <f t="shared" si="3292"/>
        <v>CA</v>
      </c>
      <c r="F8966" t="str">
        <f t="shared" si="3305"/>
        <v>921520001</v>
      </c>
      <c r="G8966" t="str">
        <f t="shared" si="3306"/>
        <v>53560 HULL STREET</v>
      </c>
      <c r="H8966" t="str">
        <f>T("CODE 54510")</f>
        <v>CODE 54510</v>
      </c>
      <c r="I8966" t="str">
        <f t="shared" si="3307"/>
        <v>SAN DIEGO</v>
      </c>
      <c r="J8966" t="str">
        <f t="shared" si="3308"/>
        <v>CA</v>
      </c>
      <c r="K8966" t="str">
        <f t="shared" si="3302"/>
        <v>000000000000000000</v>
      </c>
      <c r="L8966" t="str">
        <f>T("6195535520")</f>
        <v>6195535520</v>
      </c>
    </row>
    <row r="8967" spans="1:12" x14ac:dyDescent="0.35">
      <c r="A8967" t="str">
        <f t="shared" si="3287"/>
        <v>SSA PACIFIC</v>
      </c>
      <c r="B8967" t="str">
        <f t="shared" si="3294"/>
        <v>53560 HULL STREET</v>
      </c>
      <c r="C8967" t="str">
        <f>T("CODE 55001")</f>
        <v>CODE 55001</v>
      </c>
      <c r="D8967" t="str">
        <f t="shared" si="3291"/>
        <v>SAN DIEGO</v>
      </c>
      <c r="E8967" t="str">
        <f t="shared" si="3292"/>
        <v>CA</v>
      </c>
      <c r="F8967" t="str">
        <f t="shared" si="3305"/>
        <v>921520001</v>
      </c>
      <c r="G8967" t="str">
        <f t="shared" si="3306"/>
        <v>53560 HULL STREET</v>
      </c>
      <c r="H8967" t="str">
        <f>T("CODE 55001")</f>
        <v>CODE 55001</v>
      </c>
      <c r="I8967" t="str">
        <f t="shared" si="3307"/>
        <v>SAN DIEGO</v>
      </c>
      <c r="J8967" t="str">
        <f t="shared" si="3308"/>
        <v>CA</v>
      </c>
      <c r="K8967" t="str">
        <f t="shared" si="3302"/>
        <v>000000000000000000</v>
      </c>
      <c r="L8967" t="str">
        <f>T("6195536132")</f>
        <v>6195536132</v>
      </c>
    </row>
    <row r="8968" spans="1:12" x14ac:dyDescent="0.35">
      <c r="A8968" t="str">
        <f t="shared" si="3287"/>
        <v>SSA PACIFIC</v>
      </c>
      <c r="B8968" t="str">
        <f t="shared" si="3294"/>
        <v>53560 HULL STREET</v>
      </c>
      <c r="C8968" t="str">
        <f>T("CODE 55102")</f>
        <v>CODE 55102</v>
      </c>
      <c r="D8968" t="str">
        <f t="shared" si="3291"/>
        <v>SAN DIEGO</v>
      </c>
      <c r="E8968" t="str">
        <f t="shared" si="3292"/>
        <v>CA</v>
      </c>
      <c r="F8968" t="str">
        <f>T("921525001")</f>
        <v>921525001</v>
      </c>
      <c r="G8968" t="str">
        <f t="shared" si="3306"/>
        <v>53560 HULL STREET</v>
      </c>
      <c r="H8968" t="str">
        <f>T("CODE 55102")</f>
        <v>CODE 55102</v>
      </c>
      <c r="I8968" t="str">
        <f t="shared" si="3307"/>
        <v>SAN DIEGO</v>
      </c>
      <c r="J8968" t="str">
        <f t="shared" si="3308"/>
        <v>CA</v>
      </c>
      <c r="K8968" t="str">
        <f t="shared" si="3302"/>
        <v>000000000000000000</v>
      </c>
      <c r="L8968" t="str">
        <f>T("6195535078")</f>
        <v>6195535078</v>
      </c>
    </row>
    <row r="8969" spans="1:12" x14ac:dyDescent="0.35">
      <c r="A8969" t="str">
        <f t="shared" si="3287"/>
        <v>SSA PACIFIC</v>
      </c>
      <c r="B8969" t="str">
        <f t="shared" si="3294"/>
        <v>53560 HULL STREET</v>
      </c>
      <c r="C8969" t="str">
        <f>T("CODE 55102")</f>
        <v>CODE 55102</v>
      </c>
      <c r="D8969" t="str">
        <f t="shared" si="3291"/>
        <v>SAN DIEGO</v>
      </c>
      <c r="E8969" t="str">
        <f t="shared" si="3292"/>
        <v>CA</v>
      </c>
      <c r="F8969" t="str">
        <f>T("921525001")</f>
        <v>921525001</v>
      </c>
      <c r="G8969" t="str">
        <f t="shared" si="3306"/>
        <v>53560 HULL STREET</v>
      </c>
      <c r="H8969" t="str">
        <f>T("CODE 55R10")</f>
        <v>CODE 55R10</v>
      </c>
      <c r="I8969" t="str">
        <f t="shared" si="3307"/>
        <v>SAN DIEGO</v>
      </c>
      <c r="J8969" t="str">
        <f t="shared" si="3308"/>
        <v>CA</v>
      </c>
      <c r="K8969" t="str">
        <f t="shared" si="3302"/>
        <v>000000000000000000</v>
      </c>
      <c r="L8969" t="str">
        <f>T("6195535083")</f>
        <v>6195535083</v>
      </c>
    </row>
    <row r="8970" spans="1:12" x14ac:dyDescent="0.35">
      <c r="A8970" t="str">
        <f t="shared" ref="A8970:A9033" si="3309">T("SSA PACIFIC")</f>
        <v>SSA PACIFIC</v>
      </c>
      <c r="B8970" t="str">
        <f t="shared" si="3294"/>
        <v>53560 HULL STREET</v>
      </c>
      <c r="C8970" t="str">
        <f>T("CODE 55110")</f>
        <v>CODE 55110</v>
      </c>
      <c r="D8970" t="str">
        <f t="shared" si="3291"/>
        <v>SAN DIEGO</v>
      </c>
      <c r="E8970" t="str">
        <f t="shared" si="3292"/>
        <v>CA</v>
      </c>
      <c r="F8970" t="str">
        <f>T("921520001")</f>
        <v>921520001</v>
      </c>
      <c r="G8970" t="str">
        <f t="shared" si="3306"/>
        <v>53560 HULL STREET</v>
      </c>
      <c r="H8970" t="str">
        <f>T("55140")</f>
        <v>55140</v>
      </c>
      <c r="I8970" t="str">
        <f t="shared" si="3307"/>
        <v>SAN DIEGO</v>
      </c>
      <c r="J8970" t="str">
        <f t="shared" si="3308"/>
        <v>CA</v>
      </c>
      <c r="K8970" t="str">
        <f t="shared" ref="K8970:K9001" si="3310">T("000000000000000000")</f>
        <v>000000000000000000</v>
      </c>
      <c r="L8970" t="str">
        <f>T("6195533424")</f>
        <v>6195533424</v>
      </c>
    </row>
    <row r="8971" spans="1:12" x14ac:dyDescent="0.35">
      <c r="A8971" t="str">
        <f t="shared" si="3309"/>
        <v>SSA PACIFIC</v>
      </c>
      <c r="B8971" t="str">
        <f t="shared" si="3294"/>
        <v>53560 HULL STREET</v>
      </c>
      <c r="C8971" t="str">
        <f>T("CODE 55110")</f>
        <v>CODE 55110</v>
      </c>
      <c r="D8971" t="str">
        <f t="shared" ref="D8971:D9034" si="3311">T("SAN DIEGO")</f>
        <v>SAN DIEGO</v>
      </c>
      <c r="E8971" t="str">
        <f t="shared" ref="E8971:E9034" si="3312">T("CA")</f>
        <v>CA</v>
      </c>
      <c r="F8971" t="str">
        <f>T("921520001")</f>
        <v>921520001</v>
      </c>
      <c r="G8971" t="str">
        <f t="shared" si="3306"/>
        <v>53560 HULL STREET</v>
      </c>
      <c r="H8971" t="str">
        <f>T("CODE 55110")</f>
        <v>CODE 55110</v>
      </c>
      <c r="I8971" t="str">
        <f t="shared" si="3307"/>
        <v>SAN DIEGO</v>
      </c>
      <c r="J8971" t="str">
        <f t="shared" si="3308"/>
        <v>CA</v>
      </c>
      <c r="K8971" t="str">
        <f t="shared" si="3310"/>
        <v>000000000000000000</v>
      </c>
      <c r="L8971" t="str">
        <f>T("6195539553")</f>
        <v>6195539553</v>
      </c>
    </row>
    <row r="8972" spans="1:12" x14ac:dyDescent="0.35">
      <c r="A8972" t="str">
        <f t="shared" si="3309"/>
        <v>SSA PACIFIC</v>
      </c>
      <c r="B8972" t="str">
        <f t="shared" si="3294"/>
        <v>53560 HULL STREET</v>
      </c>
      <c r="C8972" t="str">
        <f>T("CODE 55120")</f>
        <v>CODE 55120</v>
      </c>
      <c r="D8972" t="str">
        <f t="shared" si="3311"/>
        <v>SAN DIEGO</v>
      </c>
      <c r="E8972" t="str">
        <f t="shared" si="3312"/>
        <v>CA</v>
      </c>
      <c r="F8972" t="str">
        <f>T("921520001")</f>
        <v>921520001</v>
      </c>
      <c r="G8972" t="str">
        <f t="shared" si="3306"/>
        <v>53560 HULL STREET</v>
      </c>
      <c r="H8972" t="str">
        <f>T("CODE 55100")</f>
        <v>CODE 55100</v>
      </c>
      <c r="I8972" t="str">
        <f t="shared" si="3307"/>
        <v>SAN DIEGO</v>
      </c>
      <c r="J8972" t="str">
        <f t="shared" si="3308"/>
        <v>CA</v>
      </c>
      <c r="K8972" t="str">
        <f t="shared" si="3310"/>
        <v>000000000000000000</v>
      </c>
      <c r="L8972" t="str">
        <f>T("6195532571")</f>
        <v>6195532571</v>
      </c>
    </row>
    <row r="8973" spans="1:12" x14ac:dyDescent="0.35">
      <c r="A8973" t="str">
        <f t="shared" si="3309"/>
        <v>SSA PACIFIC</v>
      </c>
      <c r="B8973" t="str">
        <f t="shared" si="3294"/>
        <v>53560 HULL STREET</v>
      </c>
      <c r="C8973" t="str">
        <f>T("CODE 55120")</f>
        <v>CODE 55120</v>
      </c>
      <c r="D8973" t="str">
        <f t="shared" si="3311"/>
        <v>SAN DIEGO</v>
      </c>
      <c r="E8973" t="str">
        <f t="shared" si="3312"/>
        <v>CA</v>
      </c>
      <c r="F8973" t="str">
        <f>T("921520001")</f>
        <v>921520001</v>
      </c>
      <c r="G8973" t="str">
        <f t="shared" si="3306"/>
        <v>53560 HULL STREET</v>
      </c>
      <c r="H8973" t="str">
        <f>T("CODE 55120")</f>
        <v>CODE 55120</v>
      </c>
      <c r="I8973" t="str">
        <f t="shared" si="3307"/>
        <v>SAN DIEGO</v>
      </c>
      <c r="J8973" t="str">
        <f t="shared" si="3308"/>
        <v>CA</v>
      </c>
      <c r="K8973" t="str">
        <f t="shared" si="3310"/>
        <v>000000000000000000</v>
      </c>
      <c r="L8973" t="str">
        <f>T("6195530341")</f>
        <v>6195530341</v>
      </c>
    </row>
    <row r="8974" spans="1:12" x14ac:dyDescent="0.35">
      <c r="A8974" t="str">
        <f t="shared" si="3309"/>
        <v>SSA PACIFIC</v>
      </c>
      <c r="B8974" t="str">
        <f t="shared" si="3294"/>
        <v>53560 HULL STREET</v>
      </c>
      <c r="C8974" t="str">
        <f>T("CODE 55120")</f>
        <v>CODE 55120</v>
      </c>
      <c r="D8974" t="str">
        <f t="shared" si="3311"/>
        <v>SAN DIEGO</v>
      </c>
      <c r="E8974" t="str">
        <f t="shared" si="3312"/>
        <v>CA</v>
      </c>
      <c r="F8974" t="str">
        <f>T("921520001")</f>
        <v>921520001</v>
      </c>
      <c r="G8974" t="str">
        <f t="shared" si="3306"/>
        <v>53560 HULL STREET</v>
      </c>
      <c r="H8974" t="str">
        <f>T("CODE 55120")</f>
        <v>CODE 55120</v>
      </c>
      <c r="I8974" t="str">
        <f t="shared" si="3307"/>
        <v>SAN DIEGO</v>
      </c>
      <c r="J8974" t="str">
        <f t="shared" si="3308"/>
        <v>CA</v>
      </c>
      <c r="K8974" t="str">
        <f t="shared" si="3310"/>
        <v>000000000000000000</v>
      </c>
      <c r="L8974" t="str">
        <f>T("6195531068")</f>
        <v>6195531068</v>
      </c>
    </row>
    <row r="8975" spans="1:12" x14ac:dyDescent="0.35">
      <c r="A8975" t="str">
        <f t="shared" si="3309"/>
        <v>SSA PACIFIC</v>
      </c>
      <c r="B8975" t="str">
        <f t="shared" si="3294"/>
        <v>53560 HULL STREET</v>
      </c>
      <c r="C8975" t="str">
        <f>T("CODE 55160")</f>
        <v>CODE 55160</v>
      </c>
      <c r="D8975" t="str">
        <f t="shared" si="3311"/>
        <v>SAN DIEGO</v>
      </c>
      <c r="E8975" t="str">
        <f t="shared" si="3312"/>
        <v>CA</v>
      </c>
      <c r="F8975" t="str">
        <f>T("921525001")</f>
        <v>921525001</v>
      </c>
      <c r="G8975" t="str">
        <f t="shared" si="3306"/>
        <v>53560 HULL STREET</v>
      </c>
      <c r="H8975" t="str">
        <f>T("CODE 55160")</f>
        <v>CODE 55160</v>
      </c>
      <c r="I8975" t="str">
        <f t="shared" si="3307"/>
        <v>SAN DIEGO</v>
      </c>
      <c r="J8975" t="str">
        <f t="shared" si="3308"/>
        <v>CA</v>
      </c>
      <c r="K8975" t="str">
        <f t="shared" si="3310"/>
        <v>000000000000000000</v>
      </c>
      <c r="L8975" t="str">
        <f>T("6195534703")</f>
        <v>6195534703</v>
      </c>
    </row>
    <row r="8976" spans="1:12" x14ac:dyDescent="0.35">
      <c r="A8976" t="str">
        <f t="shared" si="3309"/>
        <v>SSA PACIFIC</v>
      </c>
      <c r="B8976" t="str">
        <f t="shared" si="3294"/>
        <v>53560 HULL STREET</v>
      </c>
      <c r="C8976" t="str">
        <f>T("CODE 55240")</f>
        <v>CODE 55240</v>
      </c>
      <c r="D8976" t="str">
        <f t="shared" si="3311"/>
        <v>SAN DIEGO</v>
      </c>
      <c r="E8976" t="str">
        <f t="shared" si="3312"/>
        <v>CA</v>
      </c>
      <c r="F8976" t="str">
        <f t="shared" ref="F8976:F8986" si="3313">T("921520001")</f>
        <v>921520001</v>
      </c>
      <c r="G8976" t="str">
        <f>T("53560 HULL ST")</f>
        <v>53560 HULL ST</v>
      </c>
      <c r="H8976" t="str">
        <f>T("CODE 55201")</f>
        <v>CODE 55201</v>
      </c>
      <c r="I8976" t="str">
        <f t="shared" si="3307"/>
        <v>SAN DIEGO</v>
      </c>
      <c r="J8976" t="str">
        <f t="shared" si="3308"/>
        <v>CA</v>
      </c>
      <c r="K8976" t="str">
        <f t="shared" si="3310"/>
        <v>000000000000000000</v>
      </c>
      <c r="L8976" t="str">
        <f>T("6195533898")</f>
        <v>6195533898</v>
      </c>
    </row>
    <row r="8977" spans="1:12" x14ac:dyDescent="0.35">
      <c r="A8977" t="str">
        <f t="shared" si="3309"/>
        <v>SSA PACIFIC</v>
      </c>
      <c r="B8977" t="str">
        <f t="shared" si="3294"/>
        <v>53560 HULL STREET</v>
      </c>
      <c r="C8977" t="str">
        <f>T("CODE 55240")</f>
        <v>CODE 55240</v>
      </c>
      <c r="D8977" t="str">
        <f t="shared" si="3311"/>
        <v>SAN DIEGO</v>
      </c>
      <c r="E8977" t="str">
        <f t="shared" si="3312"/>
        <v>CA</v>
      </c>
      <c r="F8977" t="str">
        <f t="shared" si="3313"/>
        <v>921520001</v>
      </c>
      <c r="G8977" t="str">
        <f>T("53560 HULL STREET")</f>
        <v>53560 HULL STREET</v>
      </c>
      <c r="H8977" t="str">
        <f>T("CODE 55201")</f>
        <v>CODE 55201</v>
      </c>
      <c r="I8977" t="str">
        <f t="shared" si="3307"/>
        <v>SAN DIEGO</v>
      </c>
      <c r="J8977" t="str">
        <f t="shared" si="3308"/>
        <v>CA</v>
      </c>
      <c r="K8977" t="str">
        <f t="shared" si="3310"/>
        <v>000000000000000000</v>
      </c>
      <c r="L8977" t="str">
        <f>T("6195531937")</f>
        <v>6195531937</v>
      </c>
    </row>
    <row r="8978" spans="1:12" x14ac:dyDescent="0.35">
      <c r="A8978" t="str">
        <f t="shared" si="3309"/>
        <v>SSA PACIFIC</v>
      </c>
      <c r="B8978" t="str">
        <f t="shared" si="3294"/>
        <v>53560 HULL STREET</v>
      </c>
      <c r="C8978" t="str">
        <f>T("CODE 55240")</f>
        <v>CODE 55240</v>
      </c>
      <c r="D8978" t="str">
        <f t="shared" si="3311"/>
        <v>SAN DIEGO</v>
      </c>
      <c r="E8978" t="str">
        <f t="shared" si="3312"/>
        <v>CA</v>
      </c>
      <c r="F8978" t="str">
        <f t="shared" si="3313"/>
        <v>921520001</v>
      </c>
      <c r="G8978" t="str">
        <f>T("53560 HULL STREET")</f>
        <v>53560 HULL STREET</v>
      </c>
      <c r="H8978" t="str">
        <f>T("CODE 55240")</f>
        <v>CODE 55240</v>
      </c>
      <c r="I8978" t="str">
        <f t="shared" si="3307"/>
        <v>SAN DIEGO</v>
      </c>
      <c r="J8978" t="str">
        <f t="shared" si="3308"/>
        <v>CA</v>
      </c>
      <c r="K8978" t="str">
        <f t="shared" si="3310"/>
        <v>000000000000000000</v>
      </c>
      <c r="L8978" t="str">
        <f>T("6195531157")</f>
        <v>6195531157</v>
      </c>
    </row>
    <row r="8979" spans="1:12" x14ac:dyDescent="0.35">
      <c r="A8979" t="str">
        <f t="shared" si="3309"/>
        <v>SSA PACIFIC</v>
      </c>
      <c r="B8979" t="str">
        <f t="shared" ref="B8979:B9042" si="3314">T("53560 HULL STREET")</f>
        <v>53560 HULL STREET</v>
      </c>
      <c r="C8979" t="str">
        <f>T("CODE 55240")</f>
        <v>CODE 55240</v>
      </c>
      <c r="D8979" t="str">
        <f t="shared" si="3311"/>
        <v>SAN DIEGO</v>
      </c>
      <c r="E8979" t="str">
        <f t="shared" si="3312"/>
        <v>CA</v>
      </c>
      <c r="F8979" t="str">
        <f t="shared" si="3313"/>
        <v>921520001</v>
      </c>
      <c r="G8979" t="str">
        <f>T("53560 HULL STREET")</f>
        <v>53560 HULL STREET</v>
      </c>
      <c r="H8979" t="str">
        <f>T("CODE 55240")</f>
        <v>CODE 55240</v>
      </c>
      <c r="I8979" t="str">
        <f t="shared" si="3307"/>
        <v>SAN DIEGO</v>
      </c>
      <c r="J8979" t="str">
        <f t="shared" si="3308"/>
        <v>CA</v>
      </c>
      <c r="K8979" t="str">
        <f t="shared" si="3310"/>
        <v>000000000000000000</v>
      </c>
      <c r="L8979" t="str">
        <f>T("6195532153")</f>
        <v>6195532153</v>
      </c>
    </row>
    <row r="8980" spans="1:12" x14ac:dyDescent="0.35">
      <c r="A8980" t="str">
        <f t="shared" si="3309"/>
        <v>SSA PACIFIC</v>
      </c>
      <c r="B8980" t="str">
        <f t="shared" si="3314"/>
        <v>53560 HULL STREET</v>
      </c>
      <c r="C8980" t="str">
        <f>T("CODE 55240")</f>
        <v>CODE 55240</v>
      </c>
      <c r="D8980" t="str">
        <f t="shared" si="3311"/>
        <v>SAN DIEGO</v>
      </c>
      <c r="E8980" t="str">
        <f t="shared" si="3312"/>
        <v>CA</v>
      </c>
      <c r="F8980" t="str">
        <f t="shared" si="3313"/>
        <v>921520001</v>
      </c>
      <c r="G8980" t="str">
        <f>T("53560 HULL STREET")</f>
        <v>53560 HULL STREET</v>
      </c>
      <c r="H8980" t="str">
        <f>T("CODE 55250")</f>
        <v>CODE 55250</v>
      </c>
      <c r="I8980" t="str">
        <f t="shared" si="3307"/>
        <v>SAN DIEGO</v>
      </c>
      <c r="J8980" t="str">
        <f t="shared" si="3308"/>
        <v>CA</v>
      </c>
      <c r="K8980" t="str">
        <f t="shared" si="3310"/>
        <v>000000000000000000</v>
      </c>
      <c r="L8980" t="str">
        <f>T("6195533908")</f>
        <v>6195533908</v>
      </c>
    </row>
    <row r="8981" spans="1:12" x14ac:dyDescent="0.35">
      <c r="A8981" t="str">
        <f t="shared" si="3309"/>
        <v>SSA PACIFIC</v>
      </c>
      <c r="B8981" t="str">
        <f t="shared" si="3314"/>
        <v>53560 HULL STREET</v>
      </c>
      <c r="C8981" t="str">
        <f t="shared" ref="C8981:C8986" si="3315">T("CODE 55310")</f>
        <v>CODE 55310</v>
      </c>
      <c r="D8981" t="str">
        <f t="shared" si="3311"/>
        <v>SAN DIEGO</v>
      </c>
      <c r="E8981" t="str">
        <f t="shared" si="3312"/>
        <v>CA</v>
      </c>
      <c r="F8981" t="str">
        <f t="shared" si="3313"/>
        <v>921520001</v>
      </c>
      <c r="G8981" t="str">
        <f>T("53560 HULL ST")</f>
        <v>53560 HULL ST</v>
      </c>
      <c r="H8981" t="str">
        <f>T("CODE 55310")</f>
        <v>CODE 55310</v>
      </c>
      <c r="I8981" t="str">
        <f t="shared" si="3307"/>
        <v>SAN DIEGO</v>
      </c>
      <c r="J8981" t="str">
        <f t="shared" si="3308"/>
        <v>CA</v>
      </c>
      <c r="K8981" t="str">
        <f t="shared" si="3310"/>
        <v>000000000000000000</v>
      </c>
      <c r="L8981" t="str">
        <f>T("6195534567")</f>
        <v>6195534567</v>
      </c>
    </row>
    <row r="8982" spans="1:12" x14ac:dyDescent="0.35">
      <c r="A8982" t="str">
        <f t="shared" si="3309"/>
        <v>SSA PACIFIC</v>
      </c>
      <c r="B8982" t="str">
        <f t="shared" si="3314"/>
        <v>53560 HULL STREET</v>
      </c>
      <c r="C8982" t="str">
        <f t="shared" si="3315"/>
        <v>CODE 55310</v>
      </c>
      <c r="D8982" t="str">
        <f t="shared" si="3311"/>
        <v>SAN DIEGO</v>
      </c>
      <c r="E8982" t="str">
        <f t="shared" si="3312"/>
        <v>CA</v>
      </c>
      <c r="F8982" t="str">
        <f t="shared" si="3313"/>
        <v>921520001</v>
      </c>
      <c r="G8982" t="str">
        <f>T("53560 HULL ST")</f>
        <v>53560 HULL ST</v>
      </c>
      <c r="H8982" t="str">
        <f>T("CODE 55310")</f>
        <v>CODE 55310</v>
      </c>
      <c r="I8982" t="str">
        <f t="shared" si="3307"/>
        <v>SAN DIEGO</v>
      </c>
      <c r="J8982" t="str">
        <f t="shared" si="3308"/>
        <v>CA</v>
      </c>
      <c r="K8982" t="str">
        <f t="shared" si="3310"/>
        <v>000000000000000000</v>
      </c>
      <c r="L8982" t="str">
        <f>T("6195535360")</f>
        <v>6195535360</v>
      </c>
    </row>
    <row r="8983" spans="1:12" x14ac:dyDescent="0.35">
      <c r="A8983" t="str">
        <f t="shared" si="3309"/>
        <v>SSA PACIFIC</v>
      </c>
      <c r="B8983" t="str">
        <f t="shared" si="3314"/>
        <v>53560 HULL STREET</v>
      </c>
      <c r="C8983" t="str">
        <f t="shared" si="3315"/>
        <v>CODE 55310</v>
      </c>
      <c r="D8983" t="str">
        <f t="shared" si="3311"/>
        <v>SAN DIEGO</v>
      </c>
      <c r="E8983" t="str">
        <f t="shared" si="3312"/>
        <v>CA</v>
      </c>
      <c r="F8983" t="str">
        <f t="shared" si="3313"/>
        <v>921520001</v>
      </c>
      <c r="G8983" t="str">
        <f t="shared" ref="G8983:G9005" si="3316">T("53560 HULL STREET")</f>
        <v>53560 HULL STREET</v>
      </c>
      <c r="H8983" t="str">
        <f>T("CODE 55310")</f>
        <v>CODE 55310</v>
      </c>
      <c r="I8983" t="str">
        <f t="shared" si="3307"/>
        <v>SAN DIEGO</v>
      </c>
      <c r="J8983" t="str">
        <f t="shared" si="3308"/>
        <v>CA</v>
      </c>
      <c r="K8983" t="str">
        <f t="shared" si="3310"/>
        <v>000000000000000000</v>
      </c>
      <c r="L8983" t="str">
        <f>T("6195534166")</f>
        <v>6195534166</v>
      </c>
    </row>
    <row r="8984" spans="1:12" x14ac:dyDescent="0.35">
      <c r="A8984" t="str">
        <f t="shared" si="3309"/>
        <v>SSA PACIFIC</v>
      </c>
      <c r="B8984" t="str">
        <f t="shared" si="3314"/>
        <v>53560 HULL STREET</v>
      </c>
      <c r="C8984" t="str">
        <f t="shared" si="3315"/>
        <v>CODE 55310</v>
      </c>
      <c r="D8984" t="str">
        <f t="shared" si="3311"/>
        <v>SAN DIEGO</v>
      </c>
      <c r="E8984" t="str">
        <f t="shared" si="3312"/>
        <v>CA</v>
      </c>
      <c r="F8984" t="str">
        <f t="shared" si="3313"/>
        <v>921520001</v>
      </c>
      <c r="G8984" t="str">
        <f t="shared" si="3316"/>
        <v>53560 HULL STREET</v>
      </c>
      <c r="H8984" t="str">
        <f>T("CODE 55310")</f>
        <v>CODE 55310</v>
      </c>
      <c r="I8984" t="str">
        <f t="shared" si="3307"/>
        <v>SAN DIEGO</v>
      </c>
      <c r="J8984" t="str">
        <f t="shared" si="3308"/>
        <v>CA</v>
      </c>
      <c r="K8984" t="str">
        <f t="shared" si="3310"/>
        <v>000000000000000000</v>
      </c>
      <c r="L8984" t="str">
        <f>T("6195539402")</f>
        <v>6195539402</v>
      </c>
    </row>
    <row r="8985" spans="1:12" x14ac:dyDescent="0.35">
      <c r="A8985" t="str">
        <f t="shared" si="3309"/>
        <v>SSA PACIFIC</v>
      </c>
      <c r="B8985" t="str">
        <f t="shared" si="3314"/>
        <v>53560 HULL STREET</v>
      </c>
      <c r="C8985" t="str">
        <f t="shared" si="3315"/>
        <v>CODE 55310</v>
      </c>
      <c r="D8985" t="str">
        <f t="shared" si="3311"/>
        <v>SAN DIEGO</v>
      </c>
      <c r="E8985" t="str">
        <f t="shared" si="3312"/>
        <v>CA</v>
      </c>
      <c r="F8985" t="str">
        <f t="shared" si="3313"/>
        <v>921520001</v>
      </c>
      <c r="G8985" t="str">
        <f t="shared" si="3316"/>
        <v>53560 HULL STREET</v>
      </c>
      <c r="H8985" t="str">
        <f>T("CODE 55340")</f>
        <v>CODE 55340</v>
      </c>
      <c r="I8985" t="str">
        <f t="shared" si="3307"/>
        <v>SAN DIEGO</v>
      </c>
      <c r="J8985" t="str">
        <f t="shared" si="3308"/>
        <v>CA</v>
      </c>
      <c r="K8985" t="str">
        <f t="shared" si="3310"/>
        <v>000000000000000000</v>
      </c>
      <c r="L8985" t="str">
        <f>T("8583425715")</f>
        <v>8583425715</v>
      </c>
    </row>
    <row r="8986" spans="1:12" x14ac:dyDescent="0.35">
      <c r="A8986" t="str">
        <f t="shared" si="3309"/>
        <v>SSA PACIFIC</v>
      </c>
      <c r="B8986" t="str">
        <f t="shared" si="3314"/>
        <v>53560 HULL STREET</v>
      </c>
      <c r="C8986" t="str">
        <f t="shared" si="3315"/>
        <v>CODE 55310</v>
      </c>
      <c r="D8986" t="str">
        <f t="shared" si="3311"/>
        <v>SAN DIEGO</v>
      </c>
      <c r="E8986" t="str">
        <f t="shared" si="3312"/>
        <v>CA</v>
      </c>
      <c r="F8986" t="str">
        <f t="shared" si="3313"/>
        <v>921520001</v>
      </c>
      <c r="G8986" t="str">
        <f t="shared" si="3316"/>
        <v>53560 HULL STREET</v>
      </c>
      <c r="H8986" t="str">
        <f>T("CODE 55350")</f>
        <v>CODE 55350</v>
      </c>
      <c r="I8986" t="str">
        <f t="shared" si="3307"/>
        <v>SAN DIEGO</v>
      </c>
      <c r="J8986" t="str">
        <f t="shared" si="3308"/>
        <v>CA</v>
      </c>
      <c r="K8986" t="str">
        <f t="shared" si="3310"/>
        <v>000000000000000000</v>
      </c>
      <c r="L8986" t="str">
        <f>T("6195532893")</f>
        <v>6195532893</v>
      </c>
    </row>
    <row r="8987" spans="1:12" x14ac:dyDescent="0.35">
      <c r="A8987" t="str">
        <f t="shared" si="3309"/>
        <v>SSA PACIFIC</v>
      </c>
      <c r="B8987" t="str">
        <f t="shared" si="3314"/>
        <v>53560 HULL STREET</v>
      </c>
      <c r="C8987" t="str">
        <f>T("CODE 55320")</f>
        <v>CODE 55320</v>
      </c>
      <c r="D8987" t="str">
        <f t="shared" si="3311"/>
        <v>SAN DIEGO</v>
      </c>
      <c r="E8987" t="str">
        <f t="shared" si="3312"/>
        <v>CA</v>
      </c>
      <c r="F8987" t="str">
        <f>T("921525001")</f>
        <v>921525001</v>
      </c>
      <c r="G8987" t="str">
        <f t="shared" si="3316"/>
        <v>53560 HULL STREET</v>
      </c>
      <c r="H8987" t="str">
        <f>T("CODE 55320")</f>
        <v>CODE 55320</v>
      </c>
      <c r="I8987" t="str">
        <f t="shared" si="3307"/>
        <v>SAN DIEGO</v>
      </c>
      <c r="J8987" t="str">
        <f t="shared" si="3308"/>
        <v>CA</v>
      </c>
      <c r="K8987" t="str">
        <f t="shared" si="3310"/>
        <v>000000000000000000</v>
      </c>
      <c r="L8987" t="str">
        <f>T("6195533238")</f>
        <v>6195533238</v>
      </c>
    </row>
    <row r="8988" spans="1:12" x14ac:dyDescent="0.35">
      <c r="A8988" t="str">
        <f t="shared" si="3309"/>
        <v>SSA PACIFIC</v>
      </c>
      <c r="B8988" t="str">
        <f t="shared" si="3314"/>
        <v>53560 HULL STREET</v>
      </c>
      <c r="C8988" t="str">
        <f>T("CODE 55320")</f>
        <v>CODE 55320</v>
      </c>
      <c r="D8988" t="str">
        <f t="shared" si="3311"/>
        <v>SAN DIEGO</v>
      </c>
      <c r="E8988" t="str">
        <f t="shared" si="3312"/>
        <v>CA</v>
      </c>
      <c r="F8988" t="str">
        <f>T("921525001")</f>
        <v>921525001</v>
      </c>
      <c r="G8988" t="str">
        <f t="shared" si="3316"/>
        <v>53560 HULL STREET</v>
      </c>
      <c r="H8988" t="str">
        <f>T("CODE 55330")</f>
        <v>CODE 55330</v>
      </c>
      <c r="I8988" t="str">
        <f t="shared" si="3307"/>
        <v>SAN DIEGO</v>
      </c>
      <c r="J8988" t="str">
        <f t="shared" si="3308"/>
        <v>CA</v>
      </c>
      <c r="K8988" t="str">
        <f t="shared" si="3310"/>
        <v>000000000000000000</v>
      </c>
      <c r="L8988" t="str">
        <f>T("6195245581")</f>
        <v>6195245581</v>
      </c>
    </row>
    <row r="8989" spans="1:12" x14ac:dyDescent="0.35">
      <c r="A8989" t="str">
        <f t="shared" si="3309"/>
        <v>SSA PACIFIC</v>
      </c>
      <c r="B8989" t="str">
        <f t="shared" si="3314"/>
        <v>53560 HULL STREET</v>
      </c>
      <c r="C8989" t="str">
        <f>T("CODE 55330")</f>
        <v>CODE 55330</v>
      </c>
      <c r="D8989" t="str">
        <f t="shared" si="3311"/>
        <v>SAN DIEGO</v>
      </c>
      <c r="E8989" t="str">
        <f t="shared" si="3312"/>
        <v>CA</v>
      </c>
      <c r="F8989" t="str">
        <f t="shared" ref="F8989:F8996" si="3317">T("921520001")</f>
        <v>921520001</v>
      </c>
      <c r="G8989" t="str">
        <f t="shared" si="3316"/>
        <v>53560 HULL STREET</v>
      </c>
      <c r="H8989" t="str">
        <f>T("CODE 55330")</f>
        <v>CODE 55330</v>
      </c>
      <c r="I8989" t="str">
        <f t="shared" si="3307"/>
        <v>SAN DIEGO</v>
      </c>
      <c r="J8989" t="str">
        <f t="shared" si="3308"/>
        <v>CA</v>
      </c>
      <c r="K8989" t="str">
        <f t="shared" si="3310"/>
        <v>000000000000000000</v>
      </c>
      <c r="L8989" t="str">
        <f>T("6195243040")</f>
        <v>6195243040</v>
      </c>
    </row>
    <row r="8990" spans="1:12" x14ac:dyDescent="0.35">
      <c r="A8990" t="str">
        <f t="shared" si="3309"/>
        <v>SSA PACIFIC</v>
      </c>
      <c r="B8990" t="str">
        <f t="shared" si="3314"/>
        <v>53560 HULL STREET</v>
      </c>
      <c r="C8990" t="str">
        <f t="shared" ref="C8990:C8996" si="3318">T("CODE 55360")</f>
        <v>CODE 55360</v>
      </c>
      <c r="D8990" t="str">
        <f t="shared" si="3311"/>
        <v>SAN DIEGO</v>
      </c>
      <c r="E8990" t="str">
        <f t="shared" si="3312"/>
        <v>CA</v>
      </c>
      <c r="F8990" t="str">
        <f t="shared" si="3317"/>
        <v>921520001</v>
      </c>
      <c r="G8990" t="str">
        <f t="shared" si="3316"/>
        <v>53560 HULL STREET</v>
      </c>
      <c r="H8990" t="str">
        <f t="shared" ref="H8990:H8996" si="3319">T("CODE 55360")</f>
        <v>CODE 55360</v>
      </c>
      <c r="I8990" t="str">
        <f>T("53560 HULL STREET")</f>
        <v>53560 HULL STREET</v>
      </c>
      <c r="J8990" t="str">
        <f t="shared" si="3308"/>
        <v>CA</v>
      </c>
      <c r="K8990" t="str">
        <f t="shared" si="3310"/>
        <v>000000000000000000</v>
      </c>
      <c r="L8990" t="str">
        <f>T("6195531614")</f>
        <v>6195531614</v>
      </c>
    </row>
    <row r="8991" spans="1:12" x14ac:dyDescent="0.35">
      <c r="A8991" t="str">
        <f t="shared" si="3309"/>
        <v>SSA PACIFIC</v>
      </c>
      <c r="B8991" t="str">
        <f t="shared" si="3314"/>
        <v>53560 HULL STREET</v>
      </c>
      <c r="C8991" t="str">
        <f t="shared" si="3318"/>
        <v>CODE 55360</v>
      </c>
      <c r="D8991" t="str">
        <f t="shared" si="3311"/>
        <v>SAN DIEGO</v>
      </c>
      <c r="E8991" t="str">
        <f t="shared" si="3312"/>
        <v>CA</v>
      </c>
      <c r="F8991" t="str">
        <f t="shared" si="3317"/>
        <v>921520001</v>
      </c>
      <c r="G8991" t="str">
        <f t="shared" si="3316"/>
        <v>53560 HULL STREET</v>
      </c>
      <c r="H8991" t="str">
        <f t="shared" si="3319"/>
        <v>CODE 55360</v>
      </c>
      <c r="I8991" t="str">
        <f t="shared" ref="I8991:I9022" si="3320">T("SAN DIEGO")</f>
        <v>SAN DIEGO</v>
      </c>
      <c r="J8991" t="str">
        <f t="shared" ref="J8991:J9022" si="3321">T("CA")</f>
        <v>CA</v>
      </c>
      <c r="K8991" t="str">
        <f t="shared" si="3310"/>
        <v>000000000000000000</v>
      </c>
      <c r="L8991" t="str">
        <f>T("6195532540")</f>
        <v>6195532540</v>
      </c>
    </row>
    <row r="8992" spans="1:12" x14ac:dyDescent="0.35">
      <c r="A8992" t="str">
        <f t="shared" si="3309"/>
        <v>SSA PACIFIC</v>
      </c>
      <c r="B8992" t="str">
        <f t="shared" si="3314"/>
        <v>53560 HULL STREET</v>
      </c>
      <c r="C8992" t="str">
        <f t="shared" si="3318"/>
        <v>CODE 55360</v>
      </c>
      <c r="D8992" t="str">
        <f t="shared" si="3311"/>
        <v>SAN DIEGO</v>
      </c>
      <c r="E8992" t="str">
        <f t="shared" si="3312"/>
        <v>CA</v>
      </c>
      <c r="F8992" t="str">
        <f t="shared" si="3317"/>
        <v>921520001</v>
      </c>
      <c r="G8992" t="str">
        <f t="shared" si="3316"/>
        <v>53560 HULL STREET</v>
      </c>
      <c r="H8992" t="str">
        <f t="shared" si="3319"/>
        <v>CODE 55360</v>
      </c>
      <c r="I8992" t="str">
        <f t="shared" si="3320"/>
        <v>SAN DIEGO</v>
      </c>
      <c r="J8992" t="str">
        <f t="shared" si="3321"/>
        <v>CA</v>
      </c>
      <c r="K8992" t="str">
        <f t="shared" si="3310"/>
        <v>000000000000000000</v>
      </c>
      <c r="L8992" t="str">
        <f>T("6195536012")</f>
        <v>6195536012</v>
      </c>
    </row>
    <row r="8993" spans="1:12" x14ac:dyDescent="0.35">
      <c r="A8993" t="str">
        <f t="shared" si="3309"/>
        <v>SSA PACIFIC</v>
      </c>
      <c r="B8993" t="str">
        <f t="shared" si="3314"/>
        <v>53560 HULL STREET</v>
      </c>
      <c r="C8993" t="str">
        <f t="shared" si="3318"/>
        <v>CODE 55360</v>
      </c>
      <c r="D8993" t="str">
        <f t="shared" si="3311"/>
        <v>SAN DIEGO</v>
      </c>
      <c r="E8993" t="str">
        <f t="shared" si="3312"/>
        <v>CA</v>
      </c>
      <c r="F8993" t="str">
        <f t="shared" si="3317"/>
        <v>921520001</v>
      </c>
      <c r="G8993" t="str">
        <f t="shared" si="3316"/>
        <v>53560 HULL STREET</v>
      </c>
      <c r="H8993" t="str">
        <f t="shared" si="3319"/>
        <v>CODE 55360</v>
      </c>
      <c r="I8993" t="str">
        <f t="shared" si="3320"/>
        <v>SAN DIEGO</v>
      </c>
      <c r="J8993" t="str">
        <f t="shared" si="3321"/>
        <v>CA</v>
      </c>
      <c r="K8993" t="str">
        <f t="shared" si="3310"/>
        <v>000000000000000000</v>
      </c>
      <c r="L8993" t="str">
        <f>T("6195536047")</f>
        <v>6195536047</v>
      </c>
    </row>
    <row r="8994" spans="1:12" x14ac:dyDescent="0.35">
      <c r="A8994" t="str">
        <f t="shared" si="3309"/>
        <v>SSA PACIFIC</v>
      </c>
      <c r="B8994" t="str">
        <f t="shared" si="3314"/>
        <v>53560 HULL STREET</v>
      </c>
      <c r="C8994" t="str">
        <f t="shared" si="3318"/>
        <v>CODE 55360</v>
      </c>
      <c r="D8994" t="str">
        <f t="shared" si="3311"/>
        <v>SAN DIEGO</v>
      </c>
      <c r="E8994" t="str">
        <f t="shared" si="3312"/>
        <v>CA</v>
      </c>
      <c r="F8994" t="str">
        <f t="shared" si="3317"/>
        <v>921520001</v>
      </c>
      <c r="G8994" t="str">
        <f t="shared" si="3316"/>
        <v>53560 HULL STREET</v>
      </c>
      <c r="H8994" t="str">
        <f t="shared" si="3319"/>
        <v>CODE 55360</v>
      </c>
      <c r="I8994" t="str">
        <f t="shared" si="3320"/>
        <v>SAN DIEGO</v>
      </c>
      <c r="J8994" t="str">
        <f t="shared" si="3321"/>
        <v>CA</v>
      </c>
      <c r="K8994" t="str">
        <f t="shared" si="3310"/>
        <v>000000000000000000</v>
      </c>
      <c r="L8994" t="str">
        <f>T("6195539125")</f>
        <v>6195539125</v>
      </c>
    </row>
    <row r="8995" spans="1:12" x14ac:dyDescent="0.35">
      <c r="A8995" t="str">
        <f t="shared" si="3309"/>
        <v>SSA PACIFIC</v>
      </c>
      <c r="B8995" t="str">
        <f t="shared" si="3314"/>
        <v>53560 HULL STREET</v>
      </c>
      <c r="C8995" t="str">
        <f t="shared" si="3318"/>
        <v>CODE 55360</v>
      </c>
      <c r="D8995" t="str">
        <f t="shared" si="3311"/>
        <v>SAN DIEGO</v>
      </c>
      <c r="E8995" t="str">
        <f t="shared" si="3312"/>
        <v>CA</v>
      </c>
      <c r="F8995" t="str">
        <f t="shared" si="3317"/>
        <v>921520001</v>
      </c>
      <c r="G8995" t="str">
        <f t="shared" si="3316"/>
        <v>53560 HULL STREET</v>
      </c>
      <c r="H8995" t="str">
        <f t="shared" si="3319"/>
        <v>CODE 55360</v>
      </c>
      <c r="I8995" t="str">
        <f t="shared" si="3320"/>
        <v>SAN DIEGO</v>
      </c>
      <c r="J8995" t="str">
        <f t="shared" si="3321"/>
        <v>CA</v>
      </c>
      <c r="K8995" t="str">
        <f t="shared" si="3310"/>
        <v>000000000000000000</v>
      </c>
      <c r="L8995" t="str">
        <f>T("6197674078")</f>
        <v>6197674078</v>
      </c>
    </row>
    <row r="8996" spans="1:12" x14ac:dyDescent="0.35">
      <c r="A8996" t="str">
        <f t="shared" si="3309"/>
        <v>SSA PACIFIC</v>
      </c>
      <c r="B8996" t="str">
        <f t="shared" si="3314"/>
        <v>53560 HULL STREET</v>
      </c>
      <c r="C8996" t="str">
        <f t="shared" si="3318"/>
        <v>CODE 55360</v>
      </c>
      <c r="D8996" t="str">
        <f t="shared" si="3311"/>
        <v>SAN DIEGO</v>
      </c>
      <c r="E8996" t="str">
        <f t="shared" si="3312"/>
        <v>CA</v>
      </c>
      <c r="F8996" t="str">
        <f t="shared" si="3317"/>
        <v>921520001</v>
      </c>
      <c r="G8996" t="str">
        <f t="shared" si="3316"/>
        <v>53560 HULL STREET</v>
      </c>
      <c r="H8996" t="str">
        <f t="shared" si="3319"/>
        <v>CODE 55360</v>
      </c>
      <c r="I8996" t="str">
        <f t="shared" si="3320"/>
        <v>SAN DIEGO</v>
      </c>
      <c r="J8996" t="str">
        <f t="shared" si="3321"/>
        <v>CA</v>
      </c>
      <c r="K8996" t="str">
        <f t="shared" si="3310"/>
        <v>000000000000000000</v>
      </c>
      <c r="L8996" t="str">
        <f>T("6197674172")</f>
        <v>6197674172</v>
      </c>
    </row>
    <row r="8997" spans="1:12" x14ac:dyDescent="0.35">
      <c r="A8997" t="str">
        <f t="shared" si="3309"/>
        <v>SSA PACIFIC</v>
      </c>
      <c r="B8997" t="str">
        <f t="shared" si="3314"/>
        <v>53560 HULL STREET</v>
      </c>
      <c r="C8997" t="str">
        <f>T("CODE 55420")</f>
        <v>CODE 55420</v>
      </c>
      <c r="D8997" t="str">
        <f t="shared" si="3311"/>
        <v>SAN DIEGO</v>
      </c>
      <c r="E8997" t="str">
        <f t="shared" si="3312"/>
        <v>CA</v>
      </c>
      <c r="F8997" t="str">
        <f t="shared" ref="F8997:F9008" si="3322">T("921525001")</f>
        <v>921525001</v>
      </c>
      <c r="G8997" t="str">
        <f t="shared" si="3316"/>
        <v>53560 HULL STREET</v>
      </c>
      <c r="H8997" t="str">
        <f>T("CODE 52250")</f>
        <v>CODE 52250</v>
      </c>
      <c r="I8997" t="str">
        <f t="shared" si="3320"/>
        <v>SAN DIEGO</v>
      </c>
      <c r="J8997" t="str">
        <f t="shared" si="3321"/>
        <v>CA</v>
      </c>
      <c r="K8997" t="str">
        <f t="shared" si="3310"/>
        <v>000000000000000000</v>
      </c>
      <c r="L8997" t="str">
        <f>T("6195535086")</f>
        <v>6195535086</v>
      </c>
    </row>
    <row r="8998" spans="1:12" x14ac:dyDescent="0.35">
      <c r="A8998" t="str">
        <f t="shared" si="3309"/>
        <v>SSA PACIFIC</v>
      </c>
      <c r="B8998" t="str">
        <f t="shared" si="3314"/>
        <v>53560 HULL STREET</v>
      </c>
      <c r="C8998" t="str">
        <f>T("CODE 55420")</f>
        <v>CODE 55420</v>
      </c>
      <c r="D8998" t="str">
        <f t="shared" si="3311"/>
        <v>SAN DIEGO</v>
      </c>
      <c r="E8998" t="str">
        <f t="shared" si="3312"/>
        <v>CA</v>
      </c>
      <c r="F8998" t="str">
        <f t="shared" si="3322"/>
        <v>921525001</v>
      </c>
      <c r="G8998" t="str">
        <f t="shared" si="3316"/>
        <v>53560 HULL STREET</v>
      </c>
      <c r="H8998" t="str">
        <f>T("CODE 52260")</f>
        <v>CODE 52260</v>
      </c>
      <c r="I8998" t="str">
        <f t="shared" si="3320"/>
        <v>SAN DIEGO</v>
      </c>
      <c r="J8998" t="str">
        <f t="shared" si="3321"/>
        <v>CA</v>
      </c>
      <c r="K8998" t="str">
        <f t="shared" si="3310"/>
        <v>000000000000000000</v>
      </c>
      <c r="L8998" t="str">
        <f>T("6195533586")</f>
        <v>6195533586</v>
      </c>
    </row>
    <row r="8999" spans="1:12" x14ac:dyDescent="0.35">
      <c r="A8999" t="str">
        <f t="shared" si="3309"/>
        <v>SSA PACIFIC</v>
      </c>
      <c r="B8999" t="str">
        <f t="shared" si="3314"/>
        <v>53560 HULL STREET</v>
      </c>
      <c r="C8999" t="str">
        <f>T("CODE 55420")</f>
        <v>CODE 55420</v>
      </c>
      <c r="D8999" t="str">
        <f t="shared" si="3311"/>
        <v>SAN DIEGO</v>
      </c>
      <c r="E8999" t="str">
        <f t="shared" si="3312"/>
        <v>CA</v>
      </c>
      <c r="F8999" t="str">
        <f t="shared" si="3322"/>
        <v>921525001</v>
      </c>
      <c r="G8999" t="str">
        <f t="shared" si="3316"/>
        <v>53560 HULL STREET</v>
      </c>
      <c r="H8999" t="str">
        <f>T("CODE 55420")</f>
        <v>CODE 55420</v>
      </c>
      <c r="I8999" t="str">
        <f t="shared" si="3320"/>
        <v>SAN DIEGO</v>
      </c>
      <c r="J8999" t="str">
        <f t="shared" si="3321"/>
        <v>CA</v>
      </c>
      <c r="K8999" t="str">
        <f t="shared" si="3310"/>
        <v>000000000000000000</v>
      </c>
      <c r="L8999" t="str">
        <f>T("6195535941")</f>
        <v>6195535941</v>
      </c>
    </row>
    <row r="9000" spans="1:12" x14ac:dyDescent="0.35">
      <c r="A9000" t="str">
        <f t="shared" si="3309"/>
        <v>SSA PACIFIC</v>
      </c>
      <c r="B9000" t="str">
        <f t="shared" si="3314"/>
        <v>53560 HULL STREET</v>
      </c>
      <c r="C9000" t="str">
        <f>T("CODE 55430")</f>
        <v>CODE 55430</v>
      </c>
      <c r="D9000" t="str">
        <f t="shared" si="3311"/>
        <v>SAN DIEGO</v>
      </c>
      <c r="E9000" t="str">
        <f t="shared" si="3312"/>
        <v>CA</v>
      </c>
      <c r="F9000" t="str">
        <f t="shared" si="3322"/>
        <v>921525001</v>
      </c>
      <c r="G9000" t="str">
        <f t="shared" si="3316"/>
        <v>53560 HULL STREET</v>
      </c>
      <c r="H9000" t="str">
        <f>T("CODE 55430")</f>
        <v>CODE 55430</v>
      </c>
      <c r="I9000" t="str">
        <f t="shared" si="3320"/>
        <v>SAN DIEGO</v>
      </c>
      <c r="J9000" t="str">
        <f t="shared" si="3321"/>
        <v>CA</v>
      </c>
      <c r="K9000" t="str">
        <f t="shared" si="3310"/>
        <v>000000000000000000</v>
      </c>
      <c r="L9000" t="str">
        <f>T("6195537561")</f>
        <v>6195537561</v>
      </c>
    </row>
    <row r="9001" spans="1:12" x14ac:dyDescent="0.35">
      <c r="A9001" t="str">
        <f t="shared" si="3309"/>
        <v>SSA PACIFIC</v>
      </c>
      <c r="B9001" t="str">
        <f t="shared" si="3314"/>
        <v>53560 HULL STREET</v>
      </c>
      <c r="C9001" t="str">
        <f>T("CODE 55480")</f>
        <v>CODE 55480</v>
      </c>
      <c r="D9001" t="str">
        <f t="shared" si="3311"/>
        <v>SAN DIEGO</v>
      </c>
      <c r="E9001" t="str">
        <f t="shared" si="3312"/>
        <v>CA</v>
      </c>
      <c r="F9001" t="str">
        <f t="shared" si="3322"/>
        <v>921525001</v>
      </c>
      <c r="G9001" t="str">
        <f t="shared" si="3316"/>
        <v>53560 HULL STREET</v>
      </c>
      <c r="H9001" t="str">
        <f>T("55280")</f>
        <v>55280</v>
      </c>
      <c r="I9001" t="str">
        <f t="shared" si="3320"/>
        <v>SAN DIEGO</v>
      </c>
      <c r="J9001" t="str">
        <f t="shared" si="3321"/>
        <v>CA</v>
      </c>
      <c r="K9001" t="str">
        <f t="shared" si="3310"/>
        <v>000000000000000000</v>
      </c>
      <c r="L9001" t="str">
        <f>T("6195531700")</f>
        <v>6195531700</v>
      </c>
    </row>
    <row r="9002" spans="1:12" x14ac:dyDescent="0.35">
      <c r="A9002" t="str">
        <f t="shared" si="3309"/>
        <v>SSA PACIFIC</v>
      </c>
      <c r="B9002" t="str">
        <f t="shared" si="3314"/>
        <v>53560 HULL STREET</v>
      </c>
      <c r="C9002" t="str">
        <f>T("CODE 55480")</f>
        <v>CODE 55480</v>
      </c>
      <c r="D9002" t="str">
        <f t="shared" si="3311"/>
        <v>SAN DIEGO</v>
      </c>
      <c r="E9002" t="str">
        <f t="shared" si="3312"/>
        <v>CA</v>
      </c>
      <c r="F9002" t="str">
        <f t="shared" si="3322"/>
        <v>921525001</v>
      </c>
      <c r="G9002" t="str">
        <f t="shared" si="3316"/>
        <v>53560 HULL STREET</v>
      </c>
      <c r="H9002" t="str">
        <f>T("CODE 52280")</f>
        <v>CODE 52280</v>
      </c>
      <c r="I9002" t="str">
        <f t="shared" si="3320"/>
        <v>SAN DIEGO</v>
      </c>
      <c r="J9002" t="str">
        <f t="shared" si="3321"/>
        <v>CA</v>
      </c>
      <c r="K9002" t="str">
        <f t="shared" ref="K9002:K9012" si="3323">T("000000000000000000")</f>
        <v>000000000000000000</v>
      </c>
      <c r="L9002" t="str">
        <f>T("6195533268")</f>
        <v>6195533268</v>
      </c>
    </row>
    <row r="9003" spans="1:12" x14ac:dyDescent="0.35">
      <c r="A9003" t="str">
        <f t="shared" si="3309"/>
        <v>SSA PACIFIC</v>
      </c>
      <c r="B9003" t="str">
        <f t="shared" si="3314"/>
        <v>53560 HULL STREET</v>
      </c>
      <c r="C9003" t="str">
        <f>T("CODE 55480")</f>
        <v>CODE 55480</v>
      </c>
      <c r="D9003" t="str">
        <f t="shared" si="3311"/>
        <v>SAN DIEGO</v>
      </c>
      <c r="E9003" t="str">
        <f t="shared" si="3312"/>
        <v>CA</v>
      </c>
      <c r="F9003" t="str">
        <f t="shared" si="3322"/>
        <v>921525001</v>
      </c>
      <c r="G9003" t="str">
        <f t="shared" si="3316"/>
        <v>53560 HULL STREET</v>
      </c>
      <c r="H9003" t="str">
        <f>T("CODE 55280")</f>
        <v>CODE 55280</v>
      </c>
      <c r="I9003" t="str">
        <f t="shared" si="3320"/>
        <v>SAN DIEGO</v>
      </c>
      <c r="J9003" t="str">
        <f t="shared" si="3321"/>
        <v>CA</v>
      </c>
      <c r="K9003" t="str">
        <f t="shared" si="3323"/>
        <v>000000000000000000</v>
      </c>
      <c r="L9003" t="str">
        <f>T("6195531419")</f>
        <v>6195531419</v>
      </c>
    </row>
    <row r="9004" spans="1:12" x14ac:dyDescent="0.35">
      <c r="A9004" t="str">
        <f t="shared" si="3309"/>
        <v>SSA PACIFIC</v>
      </c>
      <c r="B9004" t="str">
        <f t="shared" si="3314"/>
        <v>53560 HULL STREET</v>
      </c>
      <c r="C9004" t="str">
        <f>T("CODE 55480")</f>
        <v>CODE 55480</v>
      </c>
      <c r="D9004" t="str">
        <f t="shared" si="3311"/>
        <v>SAN DIEGO</v>
      </c>
      <c r="E9004" t="str">
        <f t="shared" si="3312"/>
        <v>CA</v>
      </c>
      <c r="F9004" t="str">
        <f t="shared" si="3322"/>
        <v>921525001</v>
      </c>
      <c r="G9004" t="str">
        <f t="shared" si="3316"/>
        <v>53560 HULL STREET</v>
      </c>
      <c r="H9004" t="str">
        <f>T("CODE 55280")</f>
        <v>CODE 55280</v>
      </c>
      <c r="I9004" t="str">
        <f t="shared" si="3320"/>
        <v>SAN DIEGO</v>
      </c>
      <c r="J9004" t="str">
        <f t="shared" si="3321"/>
        <v>CA</v>
      </c>
      <c r="K9004" t="str">
        <f t="shared" si="3323"/>
        <v>000000000000000000</v>
      </c>
      <c r="L9004" t="str">
        <f>T("6195537665")</f>
        <v>6195537665</v>
      </c>
    </row>
    <row r="9005" spans="1:12" x14ac:dyDescent="0.35">
      <c r="A9005" t="str">
        <f t="shared" si="3309"/>
        <v>SSA PACIFIC</v>
      </c>
      <c r="B9005" t="str">
        <f t="shared" si="3314"/>
        <v>53560 HULL STREET</v>
      </c>
      <c r="C9005" t="str">
        <f>T("CODE 55480")</f>
        <v>CODE 55480</v>
      </c>
      <c r="D9005" t="str">
        <f t="shared" si="3311"/>
        <v>SAN DIEGO</v>
      </c>
      <c r="E9005" t="str">
        <f t="shared" si="3312"/>
        <v>CA</v>
      </c>
      <c r="F9005" t="str">
        <f t="shared" si="3322"/>
        <v>921525001</v>
      </c>
      <c r="G9005" t="str">
        <f t="shared" si="3316"/>
        <v>53560 HULL STREET</v>
      </c>
      <c r="H9005" t="str">
        <f>T("CODE 55480")</f>
        <v>CODE 55480</v>
      </c>
      <c r="I9005" t="str">
        <f t="shared" si="3320"/>
        <v>SAN DIEGO</v>
      </c>
      <c r="J9005" t="str">
        <f t="shared" si="3321"/>
        <v>CA</v>
      </c>
      <c r="K9005" t="str">
        <f t="shared" si="3323"/>
        <v>000000000000000000</v>
      </c>
      <c r="L9005" t="str">
        <f>T("6195531418")</f>
        <v>6195531418</v>
      </c>
    </row>
    <row r="9006" spans="1:12" x14ac:dyDescent="0.35">
      <c r="A9006" t="str">
        <f t="shared" si="3309"/>
        <v>SSA PACIFIC</v>
      </c>
      <c r="B9006" t="str">
        <f t="shared" si="3314"/>
        <v>53560 HULL STREET</v>
      </c>
      <c r="C9006" t="str">
        <f>T("CODE 55620")</f>
        <v>CODE 55620</v>
      </c>
      <c r="D9006" t="str">
        <f t="shared" si="3311"/>
        <v>SAN DIEGO</v>
      </c>
      <c r="E9006" t="str">
        <f t="shared" si="3312"/>
        <v>CA</v>
      </c>
      <c r="F9006" t="str">
        <f t="shared" si="3322"/>
        <v>921525001</v>
      </c>
      <c r="G9006" t="str">
        <f>T("53560 HULL ST")</f>
        <v>53560 HULL ST</v>
      </c>
      <c r="H9006" t="str">
        <f>T("CODE 58001")</f>
        <v>CODE 58001</v>
      </c>
      <c r="I9006" t="str">
        <f t="shared" si="3320"/>
        <v>SAN DIEGO</v>
      </c>
      <c r="J9006" t="str">
        <f t="shared" si="3321"/>
        <v>CA</v>
      </c>
      <c r="K9006" t="str">
        <f t="shared" si="3323"/>
        <v>000000000000000000</v>
      </c>
      <c r="L9006" t="str">
        <f>T("6195535205")</f>
        <v>6195535205</v>
      </c>
    </row>
    <row r="9007" spans="1:12" x14ac:dyDescent="0.35">
      <c r="A9007" t="str">
        <f t="shared" si="3309"/>
        <v>SSA PACIFIC</v>
      </c>
      <c r="B9007" t="str">
        <f t="shared" si="3314"/>
        <v>53560 HULL STREET</v>
      </c>
      <c r="C9007" t="str">
        <f>T("CODE 55620")</f>
        <v>CODE 55620</v>
      </c>
      <c r="D9007" t="str">
        <f t="shared" si="3311"/>
        <v>SAN DIEGO</v>
      </c>
      <c r="E9007" t="str">
        <f t="shared" si="3312"/>
        <v>CA</v>
      </c>
      <c r="F9007" t="str">
        <f t="shared" si="3322"/>
        <v>921525001</v>
      </c>
      <c r="G9007" t="str">
        <f t="shared" ref="G9007:G9014" si="3324">T("53560 HULL STREET")</f>
        <v>53560 HULL STREET</v>
      </c>
      <c r="H9007" t="str">
        <f>T("CODE 55620")</f>
        <v>CODE 55620</v>
      </c>
      <c r="I9007" t="str">
        <f t="shared" si="3320"/>
        <v>SAN DIEGO</v>
      </c>
      <c r="J9007" t="str">
        <f t="shared" si="3321"/>
        <v>CA</v>
      </c>
      <c r="K9007" t="str">
        <f t="shared" si="3323"/>
        <v>000000000000000000</v>
      </c>
      <c r="L9007" t="str">
        <f>T("6195539421")</f>
        <v>6195539421</v>
      </c>
    </row>
    <row r="9008" spans="1:12" x14ac:dyDescent="0.35">
      <c r="A9008" t="str">
        <f t="shared" si="3309"/>
        <v>SSA PACIFIC</v>
      </c>
      <c r="B9008" t="str">
        <f t="shared" si="3314"/>
        <v>53560 HULL STREET</v>
      </c>
      <c r="C9008" t="str">
        <f>T("CODE 55660")</f>
        <v>CODE 55660</v>
      </c>
      <c r="D9008" t="str">
        <f t="shared" si="3311"/>
        <v>SAN DIEGO</v>
      </c>
      <c r="E9008" t="str">
        <f t="shared" si="3312"/>
        <v>CA</v>
      </c>
      <c r="F9008" t="str">
        <f t="shared" si="3322"/>
        <v>921525001</v>
      </c>
      <c r="G9008" t="str">
        <f t="shared" si="3324"/>
        <v>53560 HULL STREET</v>
      </c>
      <c r="H9008" t="str">
        <f>T("CODE 55660")</f>
        <v>CODE 55660</v>
      </c>
      <c r="I9008" t="str">
        <f t="shared" si="3320"/>
        <v>SAN DIEGO</v>
      </c>
      <c r="J9008" t="str">
        <f t="shared" si="3321"/>
        <v>CA</v>
      </c>
      <c r="K9008" t="str">
        <f t="shared" si="3323"/>
        <v>000000000000000000</v>
      </c>
      <c r="L9008" t="str">
        <f>T("6195533914")</f>
        <v>6195533914</v>
      </c>
    </row>
    <row r="9009" spans="1:12" x14ac:dyDescent="0.35">
      <c r="A9009" t="str">
        <f t="shared" si="3309"/>
        <v>SSA PACIFIC</v>
      </c>
      <c r="B9009" t="str">
        <f t="shared" si="3314"/>
        <v>53560 HULL STREET</v>
      </c>
      <c r="C9009" t="str">
        <f>T("CODE 56101")</f>
        <v>CODE 56101</v>
      </c>
      <c r="D9009" t="str">
        <f t="shared" si="3311"/>
        <v>SAN DIEGO</v>
      </c>
      <c r="E9009" t="str">
        <f t="shared" si="3312"/>
        <v>CA</v>
      </c>
      <c r="F9009" t="str">
        <f>T("921520001")</f>
        <v>921520001</v>
      </c>
      <c r="G9009" t="str">
        <f t="shared" si="3324"/>
        <v>53560 HULL STREET</v>
      </c>
      <c r="H9009" t="str">
        <f>T("CODE 56101")</f>
        <v>CODE 56101</v>
      </c>
      <c r="I9009" t="str">
        <f t="shared" si="3320"/>
        <v>SAN DIEGO</v>
      </c>
      <c r="J9009" t="str">
        <f t="shared" si="3321"/>
        <v>CA</v>
      </c>
      <c r="K9009" t="str">
        <f t="shared" si="3323"/>
        <v>000000000000000000</v>
      </c>
      <c r="L9009" t="str">
        <f>T("6195531518")</f>
        <v>6195531518</v>
      </c>
    </row>
    <row r="9010" spans="1:12" x14ac:dyDescent="0.35">
      <c r="A9010" t="str">
        <f t="shared" si="3309"/>
        <v>SSA PACIFIC</v>
      </c>
      <c r="B9010" t="str">
        <f t="shared" si="3314"/>
        <v>53560 HULL STREET</v>
      </c>
      <c r="C9010" t="str">
        <f>T("CODE 56101")</f>
        <v>CODE 56101</v>
      </c>
      <c r="D9010" t="str">
        <f t="shared" si="3311"/>
        <v>SAN DIEGO</v>
      </c>
      <c r="E9010" t="str">
        <f t="shared" si="3312"/>
        <v>CA</v>
      </c>
      <c r="F9010" t="str">
        <f>T("921520001")</f>
        <v>921520001</v>
      </c>
      <c r="G9010" t="str">
        <f t="shared" si="3324"/>
        <v>53560 HULL STREET</v>
      </c>
      <c r="H9010" t="str">
        <f>T("CODE 56101")</f>
        <v>CODE 56101</v>
      </c>
      <c r="I9010" t="str">
        <f t="shared" si="3320"/>
        <v>SAN DIEGO</v>
      </c>
      <c r="J9010" t="str">
        <f t="shared" si="3321"/>
        <v>CA</v>
      </c>
      <c r="K9010" t="str">
        <f t="shared" si="3323"/>
        <v>000000000000000000</v>
      </c>
      <c r="L9010" t="str">
        <f>T("6195532325")</f>
        <v>6195532325</v>
      </c>
    </row>
    <row r="9011" spans="1:12" x14ac:dyDescent="0.35">
      <c r="A9011" t="str">
        <f t="shared" si="3309"/>
        <v>SSA PACIFIC</v>
      </c>
      <c r="B9011" t="str">
        <f t="shared" si="3314"/>
        <v>53560 HULL STREET</v>
      </c>
      <c r="C9011" t="str">
        <f>T("CODE 56101")</f>
        <v>CODE 56101</v>
      </c>
      <c r="D9011" t="str">
        <f t="shared" si="3311"/>
        <v>SAN DIEGO</v>
      </c>
      <c r="E9011" t="str">
        <f t="shared" si="3312"/>
        <v>CA</v>
      </c>
      <c r="F9011" t="str">
        <f>T("921520001")</f>
        <v>921520001</v>
      </c>
      <c r="G9011" t="str">
        <f t="shared" si="3324"/>
        <v>53560 HULL STREET</v>
      </c>
      <c r="H9011" t="str">
        <f>T("CODE 56190")</f>
        <v>CODE 56190</v>
      </c>
      <c r="I9011" t="str">
        <f t="shared" si="3320"/>
        <v>SAN DIEGO</v>
      </c>
      <c r="J9011" t="str">
        <f t="shared" si="3321"/>
        <v>CA</v>
      </c>
      <c r="K9011" t="str">
        <f t="shared" si="3323"/>
        <v>000000000000000000</v>
      </c>
      <c r="L9011" t="str">
        <f>T("6195532324")</f>
        <v>6195532324</v>
      </c>
    </row>
    <row r="9012" spans="1:12" x14ac:dyDescent="0.35">
      <c r="A9012" t="str">
        <f t="shared" si="3309"/>
        <v>SSA PACIFIC</v>
      </c>
      <c r="B9012" t="str">
        <f t="shared" si="3314"/>
        <v>53560 HULL STREET</v>
      </c>
      <c r="C9012" t="str">
        <f>T("CODE 56301")</f>
        <v>CODE 56301</v>
      </c>
      <c r="D9012" t="str">
        <f t="shared" si="3311"/>
        <v>SAN DIEGO</v>
      </c>
      <c r="E9012" t="str">
        <f t="shared" si="3312"/>
        <v>CA</v>
      </c>
      <c r="F9012" t="str">
        <f>T("921525001")</f>
        <v>921525001</v>
      </c>
      <c r="G9012" t="str">
        <f t="shared" si="3324"/>
        <v>53560 HULL STREET</v>
      </c>
      <c r="H9012" t="str">
        <f>T("CODE 56300")</f>
        <v>CODE 56300</v>
      </c>
      <c r="I9012" t="str">
        <f t="shared" si="3320"/>
        <v>SAN DIEGO</v>
      </c>
      <c r="J9012" t="str">
        <f t="shared" si="3321"/>
        <v>CA</v>
      </c>
      <c r="K9012" t="str">
        <f t="shared" si="3323"/>
        <v>000000000000000000</v>
      </c>
      <c r="L9012" t="str">
        <f>T("6195531568")</f>
        <v>6195531568</v>
      </c>
    </row>
    <row r="9013" spans="1:12" x14ac:dyDescent="0.35">
      <c r="A9013" t="str">
        <f t="shared" si="3309"/>
        <v>SSA PACIFIC</v>
      </c>
      <c r="B9013" t="str">
        <f t="shared" si="3314"/>
        <v>53560 HULL STREET</v>
      </c>
      <c r="C9013" t="str">
        <f>T("CODE 56301")</f>
        <v>CODE 56301</v>
      </c>
      <c r="D9013" t="str">
        <f t="shared" si="3311"/>
        <v>SAN DIEGO</v>
      </c>
      <c r="E9013" t="str">
        <f t="shared" si="3312"/>
        <v>CA</v>
      </c>
      <c r="F9013" t="str">
        <f>T("921525001")</f>
        <v>921525001</v>
      </c>
      <c r="G9013" t="str">
        <f t="shared" si="3324"/>
        <v>53560 HULL STREET</v>
      </c>
      <c r="H9013" t="str">
        <f>T("CODE 56301")</f>
        <v>CODE 56301</v>
      </c>
      <c r="I9013" t="str">
        <f t="shared" si="3320"/>
        <v>SAN DIEGO</v>
      </c>
      <c r="J9013" t="str">
        <f t="shared" si="3321"/>
        <v>CA</v>
      </c>
      <c r="K9013" t="str">
        <f>T("")</f>
        <v/>
      </c>
      <c r="L9013" t="str">
        <f>T("6195532380")</f>
        <v>6195532380</v>
      </c>
    </row>
    <row r="9014" spans="1:12" x14ac:dyDescent="0.35">
      <c r="A9014" t="str">
        <f t="shared" si="3309"/>
        <v>SSA PACIFIC</v>
      </c>
      <c r="B9014" t="str">
        <f t="shared" si="3314"/>
        <v>53560 HULL STREET</v>
      </c>
      <c r="C9014" t="str">
        <f>T("CODE 56301")</f>
        <v>CODE 56301</v>
      </c>
      <c r="D9014" t="str">
        <f t="shared" si="3311"/>
        <v>SAN DIEGO</v>
      </c>
      <c r="E9014" t="str">
        <f t="shared" si="3312"/>
        <v>CA</v>
      </c>
      <c r="F9014" t="str">
        <f>T("921525001")</f>
        <v>921525001</v>
      </c>
      <c r="G9014" t="str">
        <f t="shared" si="3324"/>
        <v>53560 HULL STREET</v>
      </c>
      <c r="H9014" t="str">
        <f>T("CODE 56301")</f>
        <v>CODE 56301</v>
      </c>
      <c r="I9014" t="str">
        <f t="shared" si="3320"/>
        <v>SAN DIEGO</v>
      </c>
      <c r="J9014" t="str">
        <f t="shared" si="3321"/>
        <v>CA</v>
      </c>
      <c r="K9014" t="str">
        <f t="shared" ref="K9014:K9045" si="3325">T("000000000000000000")</f>
        <v>000000000000000000</v>
      </c>
      <c r="L9014" t="str">
        <f>T("6195532501")</f>
        <v>6195532501</v>
      </c>
    </row>
    <row r="9015" spans="1:12" x14ac:dyDescent="0.35">
      <c r="A9015" t="str">
        <f t="shared" si="3309"/>
        <v>SSA PACIFIC</v>
      </c>
      <c r="B9015" t="str">
        <f t="shared" si="3314"/>
        <v>53560 HULL STREET</v>
      </c>
      <c r="C9015" t="str">
        <f>T("CODE 56402")</f>
        <v>CODE 56402</v>
      </c>
      <c r="D9015" t="str">
        <f t="shared" si="3311"/>
        <v>SAN DIEGO</v>
      </c>
      <c r="E9015" t="str">
        <f t="shared" si="3312"/>
        <v>CA</v>
      </c>
      <c r="F9015" t="str">
        <f t="shared" ref="F9015:F9020" si="3326">T("921520001")</f>
        <v>921520001</v>
      </c>
      <c r="G9015" t="str">
        <f>T("53560 HULL ST")</f>
        <v>53560 HULL ST</v>
      </c>
      <c r="H9015" t="str">
        <f>T("56402")</f>
        <v>56402</v>
      </c>
      <c r="I9015" t="str">
        <f t="shared" si="3320"/>
        <v>SAN DIEGO</v>
      </c>
      <c r="J9015" t="str">
        <f t="shared" si="3321"/>
        <v>CA</v>
      </c>
      <c r="K9015" t="str">
        <f t="shared" si="3325"/>
        <v>000000000000000000</v>
      </c>
      <c r="L9015" t="str">
        <f>T("6195536692")</f>
        <v>6195536692</v>
      </c>
    </row>
    <row r="9016" spans="1:12" x14ac:dyDescent="0.35">
      <c r="A9016" t="str">
        <f t="shared" si="3309"/>
        <v>SSA PACIFIC</v>
      </c>
      <c r="B9016" t="str">
        <f t="shared" si="3314"/>
        <v>53560 HULL STREET</v>
      </c>
      <c r="C9016" t="str">
        <f>T("CODE 56402")</f>
        <v>CODE 56402</v>
      </c>
      <c r="D9016" t="str">
        <f t="shared" si="3311"/>
        <v>SAN DIEGO</v>
      </c>
      <c r="E9016" t="str">
        <f t="shared" si="3312"/>
        <v>CA</v>
      </c>
      <c r="F9016" t="str">
        <f t="shared" si="3326"/>
        <v>921520001</v>
      </c>
      <c r="G9016" t="str">
        <f t="shared" ref="G9016:G9059" si="3327">T("53560 HULL STREET")</f>
        <v>53560 HULL STREET</v>
      </c>
      <c r="H9016" t="str">
        <f>T("CODE 56102")</f>
        <v>CODE 56102</v>
      </c>
      <c r="I9016" t="str">
        <f t="shared" si="3320"/>
        <v>SAN DIEGO</v>
      </c>
      <c r="J9016" t="str">
        <f t="shared" si="3321"/>
        <v>CA</v>
      </c>
      <c r="K9016" t="str">
        <f t="shared" si="3325"/>
        <v>000000000000000000</v>
      </c>
      <c r="L9016" t="str">
        <f>T("6195531518")</f>
        <v>6195531518</v>
      </c>
    </row>
    <row r="9017" spans="1:12" x14ac:dyDescent="0.35">
      <c r="A9017" t="str">
        <f t="shared" si="3309"/>
        <v>SSA PACIFIC</v>
      </c>
      <c r="B9017" t="str">
        <f t="shared" si="3314"/>
        <v>53560 HULL STREET</v>
      </c>
      <c r="C9017" t="str">
        <f>T("CODE 56402")</f>
        <v>CODE 56402</v>
      </c>
      <c r="D9017" t="str">
        <f t="shared" si="3311"/>
        <v>SAN DIEGO</v>
      </c>
      <c r="E9017" t="str">
        <f t="shared" si="3312"/>
        <v>CA</v>
      </c>
      <c r="F9017" t="str">
        <f t="shared" si="3326"/>
        <v>921520001</v>
      </c>
      <c r="G9017" t="str">
        <f t="shared" si="3327"/>
        <v>53560 HULL STREET</v>
      </c>
      <c r="H9017" t="str">
        <f>T("CODE 56402")</f>
        <v>CODE 56402</v>
      </c>
      <c r="I9017" t="str">
        <f t="shared" si="3320"/>
        <v>SAN DIEGO</v>
      </c>
      <c r="J9017" t="str">
        <f t="shared" si="3321"/>
        <v>CA</v>
      </c>
      <c r="K9017" t="str">
        <f t="shared" si="3325"/>
        <v>000000000000000000</v>
      </c>
      <c r="L9017" t="str">
        <f>T("6195531879")</f>
        <v>6195531879</v>
      </c>
    </row>
    <row r="9018" spans="1:12" x14ac:dyDescent="0.35">
      <c r="A9018" t="str">
        <f t="shared" si="3309"/>
        <v>SSA PACIFIC</v>
      </c>
      <c r="B9018" t="str">
        <f t="shared" si="3314"/>
        <v>53560 HULL STREET</v>
      </c>
      <c r="C9018" t="str">
        <f>T("CODE 56402")</f>
        <v>CODE 56402</v>
      </c>
      <c r="D9018" t="str">
        <f t="shared" si="3311"/>
        <v>SAN DIEGO</v>
      </c>
      <c r="E9018" t="str">
        <f t="shared" si="3312"/>
        <v>CA</v>
      </c>
      <c r="F9018" t="str">
        <f t="shared" si="3326"/>
        <v>921520001</v>
      </c>
      <c r="G9018" t="str">
        <f t="shared" si="3327"/>
        <v>53560 HULL STREET</v>
      </c>
      <c r="H9018" t="str">
        <f>T("CODE 56402")</f>
        <v>CODE 56402</v>
      </c>
      <c r="I9018" t="str">
        <f t="shared" si="3320"/>
        <v>SAN DIEGO</v>
      </c>
      <c r="J9018" t="str">
        <f t="shared" si="3321"/>
        <v>CA</v>
      </c>
      <c r="K9018" t="str">
        <f t="shared" si="3325"/>
        <v>000000000000000000</v>
      </c>
      <c r="L9018" t="str">
        <f>T("6195538143")</f>
        <v>6195538143</v>
      </c>
    </row>
    <row r="9019" spans="1:12" x14ac:dyDescent="0.35">
      <c r="A9019" t="str">
        <f t="shared" si="3309"/>
        <v>SSA PACIFIC</v>
      </c>
      <c r="B9019" t="str">
        <f t="shared" si="3314"/>
        <v>53560 HULL STREET</v>
      </c>
      <c r="C9019" t="str">
        <f>T("CODE 56440")</f>
        <v>CODE 56440</v>
      </c>
      <c r="D9019" t="str">
        <f t="shared" si="3311"/>
        <v>SAN DIEGO</v>
      </c>
      <c r="E9019" t="str">
        <f t="shared" si="3312"/>
        <v>CA</v>
      </c>
      <c r="F9019" t="str">
        <f t="shared" si="3326"/>
        <v>921520001</v>
      </c>
      <c r="G9019" t="str">
        <f t="shared" si="3327"/>
        <v>53560 HULL STREET</v>
      </c>
      <c r="H9019" t="str">
        <f>T("CODE 56440")</f>
        <v>CODE 56440</v>
      </c>
      <c r="I9019" t="str">
        <f t="shared" si="3320"/>
        <v>SAN DIEGO</v>
      </c>
      <c r="J9019" t="str">
        <f t="shared" si="3321"/>
        <v>CA</v>
      </c>
      <c r="K9019" t="str">
        <f t="shared" si="3325"/>
        <v>000000000000000000</v>
      </c>
      <c r="L9019" t="str">
        <f>T("6195533827")</f>
        <v>6195533827</v>
      </c>
    </row>
    <row r="9020" spans="1:12" x14ac:dyDescent="0.35">
      <c r="A9020" t="str">
        <f t="shared" si="3309"/>
        <v>SSA PACIFIC</v>
      </c>
      <c r="B9020" t="str">
        <f t="shared" si="3314"/>
        <v>53560 HULL STREET</v>
      </c>
      <c r="C9020" t="str">
        <f>T("CODE 56440")</f>
        <v>CODE 56440</v>
      </c>
      <c r="D9020" t="str">
        <f t="shared" si="3311"/>
        <v>SAN DIEGO</v>
      </c>
      <c r="E9020" t="str">
        <f t="shared" si="3312"/>
        <v>CA</v>
      </c>
      <c r="F9020" t="str">
        <f t="shared" si="3326"/>
        <v>921520001</v>
      </c>
      <c r="G9020" t="str">
        <f t="shared" si="3327"/>
        <v>53560 HULL STREET</v>
      </c>
      <c r="H9020" t="str">
        <f>T("CODE 56441")</f>
        <v>CODE 56441</v>
      </c>
      <c r="I9020" t="str">
        <f t="shared" si="3320"/>
        <v>SAN DIEGO</v>
      </c>
      <c r="J9020" t="str">
        <f t="shared" si="3321"/>
        <v>CA</v>
      </c>
      <c r="K9020" t="str">
        <f t="shared" si="3325"/>
        <v>000000000000000000</v>
      </c>
      <c r="L9020" t="str">
        <f>T("6195532057")</f>
        <v>6195532057</v>
      </c>
    </row>
    <row r="9021" spans="1:12" x14ac:dyDescent="0.35">
      <c r="A9021" t="str">
        <f t="shared" si="3309"/>
        <v>SSA PACIFIC</v>
      </c>
      <c r="B9021" t="str">
        <f t="shared" si="3314"/>
        <v>53560 HULL STREET</v>
      </c>
      <c r="C9021" t="str">
        <f>T("CODE 56501")</f>
        <v>CODE 56501</v>
      </c>
      <c r="D9021" t="str">
        <f t="shared" si="3311"/>
        <v>SAN DIEGO</v>
      </c>
      <c r="E9021" t="str">
        <f t="shared" si="3312"/>
        <v>CA</v>
      </c>
      <c r="F9021" t="str">
        <f>T("921525001")</f>
        <v>921525001</v>
      </c>
      <c r="G9021" t="str">
        <f t="shared" si="3327"/>
        <v>53560 HULL STREET</v>
      </c>
      <c r="H9021" t="str">
        <f>T("CODE 56501")</f>
        <v>CODE 56501</v>
      </c>
      <c r="I9021" t="str">
        <f t="shared" si="3320"/>
        <v>SAN DIEGO</v>
      </c>
      <c r="J9021" t="str">
        <f t="shared" si="3321"/>
        <v>CA</v>
      </c>
      <c r="K9021" t="str">
        <f t="shared" si="3325"/>
        <v>000000000000000000</v>
      </c>
      <c r="L9021" t="str">
        <f>T("6195531444")</f>
        <v>6195531444</v>
      </c>
    </row>
    <row r="9022" spans="1:12" x14ac:dyDescent="0.35">
      <c r="A9022" t="str">
        <f t="shared" si="3309"/>
        <v>SSA PACIFIC</v>
      </c>
      <c r="B9022" t="str">
        <f t="shared" si="3314"/>
        <v>53560 HULL STREET</v>
      </c>
      <c r="C9022" t="str">
        <f>T("CODE 56501")</f>
        <v>CODE 56501</v>
      </c>
      <c r="D9022" t="str">
        <f t="shared" si="3311"/>
        <v>SAN DIEGO</v>
      </c>
      <c r="E9022" t="str">
        <f t="shared" si="3312"/>
        <v>CA</v>
      </c>
      <c r="F9022" t="str">
        <f>T("921525001")</f>
        <v>921525001</v>
      </c>
      <c r="G9022" t="str">
        <f t="shared" si="3327"/>
        <v>53560 HULL STREET</v>
      </c>
      <c r="H9022" t="str">
        <f>T("CODE 56501")</f>
        <v>CODE 56501</v>
      </c>
      <c r="I9022" t="str">
        <f t="shared" si="3320"/>
        <v>SAN DIEGO</v>
      </c>
      <c r="J9022" t="str">
        <f t="shared" si="3321"/>
        <v>CA</v>
      </c>
      <c r="K9022" t="str">
        <f t="shared" si="3325"/>
        <v>000000000000000000</v>
      </c>
      <c r="L9022" t="str">
        <f>T("6197674784")</f>
        <v>6197674784</v>
      </c>
    </row>
    <row r="9023" spans="1:12" x14ac:dyDescent="0.35">
      <c r="A9023" t="str">
        <f t="shared" si="3309"/>
        <v>SSA PACIFIC</v>
      </c>
      <c r="B9023" t="str">
        <f t="shared" si="3314"/>
        <v>53560 HULL STREET</v>
      </c>
      <c r="C9023" t="str">
        <f>T("CODE 56501")</f>
        <v>CODE 56501</v>
      </c>
      <c r="D9023" t="str">
        <f t="shared" si="3311"/>
        <v>SAN DIEGO</v>
      </c>
      <c r="E9023" t="str">
        <f t="shared" si="3312"/>
        <v>CA</v>
      </c>
      <c r="F9023" t="str">
        <f>T("921525001")</f>
        <v>921525001</v>
      </c>
      <c r="G9023" t="str">
        <f t="shared" si="3327"/>
        <v>53560 HULL STREET</v>
      </c>
      <c r="H9023" t="str">
        <f>T("CODE 56504")</f>
        <v>CODE 56504</v>
      </c>
      <c r="I9023" t="str">
        <f t="shared" ref="I9023:I9054" si="3328">T("SAN DIEGO")</f>
        <v>SAN DIEGO</v>
      </c>
      <c r="J9023" t="str">
        <f t="shared" ref="J9023:J9054" si="3329">T("CA")</f>
        <v>CA</v>
      </c>
      <c r="K9023" t="str">
        <f t="shared" si="3325"/>
        <v>000000000000000000</v>
      </c>
      <c r="L9023" t="str">
        <f>T("6195532235")</f>
        <v>6195532235</v>
      </c>
    </row>
    <row r="9024" spans="1:12" x14ac:dyDescent="0.35">
      <c r="A9024" t="str">
        <f t="shared" si="3309"/>
        <v>SSA PACIFIC</v>
      </c>
      <c r="B9024" t="str">
        <f t="shared" si="3314"/>
        <v>53560 HULL STREET</v>
      </c>
      <c r="C9024" t="str">
        <f>T("CODE 58001")</f>
        <v>CODE 58001</v>
      </c>
      <c r="D9024" t="str">
        <f t="shared" si="3311"/>
        <v>SAN DIEGO</v>
      </c>
      <c r="E9024" t="str">
        <f t="shared" si="3312"/>
        <v>CA</v>
      </c>
      <c r="F9024" t="str">
        <f t="shared" ref="F9024:F9034" si="3330">T("921520001")</f>
        <v>921520001</v>
      </c>
      <c r="G9024" t="str">
        <f t="shared" si="3327"/>
        <v>53560 HULL STREET</v>
      </c>
      <c r="H9024" t="str">
        <f>T("CODE 58001")</f>
        <v>CODE 58001</v>
      </c>
      <c r="I9024" t="str">
        <f t="shared" si="3328"/>
        <v>SAN DIEGO</v>
      </c>
      <c r="J9024" t="str">
        <f t="shared" si="3329"/>
        <v>CA</v>
      </c>
      <c r="K9024" t="str">
        <f t="shared" si="3325"/>
        <v>000000000000000000</v>
      </c>
      <c r="L9024" t="str">
        <f>T("6195534969")</f>
        <v>6195534969</v>
      </c>
    </row>
    <row r="9025" spans="1:12" x14ac:dyDescent="0.35">
      <c r="A9025" t="str">
        <f t="shared" si="3309"/>
        <v>SSA PACIFIC</v>
      </c>
      <c r="B9025" t="str">
        <f t="shared" si="3314"/>
        <v>53560 HULL STREET</v>
      </c>
      <c r="C9025" t="str">
        <f>T("CODE 58001")</f>
        <v>CODE 58001</v>
      </c>
      <c r="D9025" t="str">
        <f t="shared" si="3311"/>
        <v>SAN DIEGO</v>
      </c>
      <c r="E9025" t="str">
        <f t="shared" si="3312"/>
        <v>CA</v>
      </c>
      <c r="F9025" t="str">
        <f t="shared" si="3330"/>
        <v>921520001</v>
      </c>
      <c r="G9025" t="str">
        <f t="shared" si="3327"/>
        <v>53560 HULL STREET</v>
      </c>
      <c r="H9025" t="str">
        <f>T("CODE 58001")</f>
        <v>CODE 58001</v>
      </c>
      <c r="I9025" t="str">
        <f t="shared" si="3328"/>
        <v>SAN DIEGO</v>
      </c>
      <c r="J9025" t="str">
        <f t="shared" si="3329"/>
        <v>CA</v>
      </c>
      <c r="K9025" t="str">
        <f t="shared" si="3325"/>
        <v>000000000000000000</v>
      </c>
      <c r="L9025" t="str">
        <f>T("6195535205")</f>
        <v>6195535205</v>
      </c>
    </row>
    <row r="9026" spans="1:12" x14ac:dyDescent="0.35">
      <c r="A9026" t="str">
        <f t="shared" si="3309"/>
        <v>SSA PACIFIC</v>
      </c>
      <c r="B9026" t="str">
        <f t="shared" si="3314"/>
        <v>53560 HULL STREET</v>
      </c>
      <c r="C9026" t="str">
        <f>T("CODE 58001")</f>
        <v>CODE 58001</v>
      </c>
      <c r="D9026" t="str">
        <f t="shared" si="3311"/>
        <v>SAN DIEGO</v>
      </c>
      <c r="E9026" t="str">
        <f t="shared" si="3312"/>
        <v>CA</v>
      </c>
      <c r="F9026" t="str">
        <f t="shared" si="3330"/>
        <v>921520001</v>
      </c>
      <c r="G9026" t="str">
        <f t="shared" si="3327"/>
        <v>53560 HULL STREET</v>
      </c>
      <c r="H9026" t="str">
        <f>T("CODE 58220")</f>
        <v>CODE 58220</v>
      </c>
      <c r="I9026" t="str">
        <f t="shared" si="3328"/>
        <v>SAN DIEGO</v>
      </c>
      <c r="J9026" t="str">
        <f t="shared" si="3329"/>
        <v>CA</v>
      </c>
      <c r="K9026" t="str">
        <f t="shared" si="3325"/>
        <v>000000000000000000</v>
      </c>
      <c r="L9026" t="str">
        <f>T("6195532496")</f>
        <v>6195532496</v>
      </c>
    </row>
    <row r="9027" spans="1:12" x14ac:dyDescent="0.35">
      <c r="A9027" t="str">
        <f t="shared" si="3309"/>
        <v>SSA PACIFIC</v>
      </c>
      <c r="B9027" t="str">
        <f t="shared" si="3314"/>
        <v>53560 HULL STREET</v>
      </c>
      <c r="C9027" t="str">
        <f>T("CODE 58001")</f>
        <v>CODE 58001</v>
      </c>
      <c r="D9027" t="str">
        <f t="shared" si="3311"/>
        <v>SAN DIEGO</v>
      </c>
      <c r="E9027" t="str">
        <f t="shared" si="3312"/>
        <v>CA</v>
      </c>
      <c r="F9027" t="str">
        <f t="shared" si="3330"/>
        <v>921520001</v>
      </c>
      <c r="G9027" t="str">
        <f t="shared" si="3327"/>
        <v>53560 HULL STREET</v>
      </c>
      <c r="H9027" t="str">
        <f>T("CODE 58250")</f>
        <v>CODE 58250</v>
      </c>
      <c r="I9027" t="str">
        <f t="shared" si="3328"/>
        <v>SAN DIEGO</v>
      </c>
      <c r="J9027" t="str">
        <f t="shared" si="3329"/>
        <v>CA</v>
      </c>
      <c r="K9027" t="str">
        <f t="shared" si="3325"/>
        <v>000000000000000000</v>
      </c>
      <c r="L9027" t="str">
        <f>T("6192265256")</f>
        <v>6192265256</v>
      </c>
    </row>
    <row r="9028" spans="1:12" x14ac:dyDescent="0.35">
      <c r="A9028" t="str">
        <f t="shared" si="3309"/>
        <v>SSA PACIFIC</v>
      </c>
      <c r="B9028" t="str">
        <f t="shared" si="3314"/>
        <v>53560 HULL STREET</v>
      </c>
      <c r="C9028" t="str">
        <f>T("CODE 58001")</f>
        <v>CODE 58001</v>
      </c>
      <c r="D9028" t="str">
        <f t="shared" si="3311"/>
        <v>SAN DIEGO</v>
      </c>
      <c r="E9028" t="str">
        <f t="shared" si="3312"/>
        <v>CA</v>
      </c>
      <c r="F9028" t="str">
        <f t="shared" si="3330"/>
        <v>921520001</v>
      </c>
      <c r="G9028" t="str">
        <f t="shared" si="3327"/>
        <v>53560 HULL STREET</v>
      </c>
      <c r="H9028" t="str">
        <f>T("CODE 58320")</f>
        <v>CODE 58320</v>
      </c>
      <c r="I9028" t="str">
        <f t="shared" si="3328"/>
        <v>SAN DIEGO</v>
      </c>
      <c r="J9028" t="str">
        <f t="shared" si="3329"/>
        <v>CA</v>
      </c>
      <c r="K9028" t="str">
        <f t="shared" si="3325"/>
        <v>000000000000000000</v>
      </c>
      <c r="L9028" t="str">
        <f>T("6195531924")</f>
        <v>6195531924</v>
      </c>
    </row>
    <row r="9029" spans="1:12" x14ac:dyDescent="0.35">
      <c r="A9029" t="str">
        <f t="shared" si="3309"/>
        <v>SSA PACIFIC</v>
      </c>
      <c r="B9029" t="str">
        <f t="shared" si="3314"/>
        <v>53560 HULL STREET</v>
      </c>
      <c r="C9029" t="str">
        <f t="shared" ref="C9029:C9035" si="3331">T("CODE 59001")</f>
        <v>CODE 59001</v>
      </c>
      <c r="D9029" t="str">
        <f t="shared" si="3311"/>
        <v>SAN DIEGO</v>
      </c>
      <c r="E9029" t="str">
        <f t="shared" si="3312"/>
        <v>CA</v>
      </c>
      <c r="F9029" t="str">
        <f t="shared" si="3330"/>
        <v>921520001</v>
      </c>
      <c r="G9029" t="str">
        <f t="shared" si="3327"/>
        <v>53560 HULL STREET</v>
      </c>
      <c r="H9029" t="str">
        <f>T("CODE 59001")</f>
        <v>CODE 59001</v>
      </c>
      <c r="I9029" t="str">
        <f t="shared" si="3328"/>
        <v>SAN DIEGO</v>
      </c>
      <c r="J9029" t="str">
        <f t="shared" si="3329"/>
        <v>CA</v>
      </c>
      <c r="K9029" t="str">
        <f t="shared" si="3325"/>
        <v>000000000000000000</v>
      </c>
      <c r="L9029" t="str">
        <f>T("6195530267")</f>
        <v>6195530267</v>
      </c>
    </row>
    <row r="9030" spans="1:12" x14ac:dyDescent="0.35">
      <c r="A9030" t="str">
        <f t="shared" si="3309"/>
        <v>SSA PACIFIC</v>
      </c>
      <c r="B9030" t="str">
        <f t="shared" si="3314"/>
        <v>53560 HULL STREET</v>
      </c>
      <c r="C9030" t="str">
        <f t="shared" si="3331"/>
        <v>CODE 59001</v>
      </c>
      <c r="D9030" t="str">
        <f t="shared" si="3311"/>
        <v>SAN DIEGO</v>
      </c>
      <c r="E9030" t="str">
        <f t="shared" si="3312"/>
        <v>CA</v>
      </c>
      <c r="F9030" t="str">
        <f t="shared" si="3330"/>
        <v>921520001</v>
      </c>
      <c r="G9030" t="str">
        <f t="shared" si="3327"/>
        <v>53560 HULL STREET</v>
      </c>
      <c r="H9030" t="str">
        <f>T("CODE 59001")</f>
        <v>CODE 59001</v>
      </c>
      <c r="I9030" t="str">
        <f t="shared" si="3328"/>
        <v>SAN DIEGO</v>
      </c>
      <c r="J9030" t="str">
        <f t="shared" si="3329"/>
        <v>CA</v>
      </c>
      <c r="K9030" t="str">
        <f t="shared" si="3325"/>
        <v>000000000000000000</v>
      </c>
      <c r="L9030" t="str">
        <f>T("6195539277")</f>
        <v>6195539277</v>
      </c>
    </row>
    <row r="9031" spans="1:12" x14ac:dyDescent="0.35">
      <c r="A9031" t="str">
        <f t="shared" si="3309"/>
        <v>SSA PACIFIC</v>
      </c>
      <c r="B9031" t="str">
        <f t="shared" si="3314"/>
        <v>53560 HULL STREET</v>
      </c>
      <c r="C9031" t="str">
        <f t="shared" si="3331"/>
        <v>CODE 59001</v>
      </c>
      <c r="D9031" t="str">
        <f t="shared" si="3311"/>
        <v>SAN DIEGO</v>
      </c>
      <c r="E9031" t="str">
        <f t="shared" si="3312"/>
        <v>CA</v>
      </c>
      <c r="F9031" t="str">
        <f t="shared" si="3330"/>
        <v>921520001</v>
      </c>
      <c r="G9031" t="str">
        <f t="shared" si="3327"/>
        <v>53560 HULL STREET</v>
      </c>
      <c r="H9031" t="str">
        <f>T("CODE 59013")</f>
        <v>CODE 59013</v>
      </c>
      <c r="I9031" t="str">
        <f t="shared" si="3328"/>
        <v>SAN DIEGO</v>
      </c>
      <c r="J9031" t="str">
        <f t="shared" si="3329"/>
        <v>CA</v>
      </c>
      <c r="K9031" t="str">
        <f t="shared" si="3325"/>
        <v>000000000000000000</v>
      </c>
      <c r="L9031" t="str">
        <f>T("6195538510")</f>
        <v>6195538510</v>
      </c>
    </row>
    <row r="9032" spans="1:12" x14ac:dyDescent="0.35">
      <c r="A9032" t="str">
        <f t="shared" si="3309"/>
        <v>SSA PACIFIC</v>
      </c>
      <c r="B9032" t="str">
        <f t="shared" si="3314"/>
        <v>53560 HULL STREET</v>
      </c>
      <c r="C9032" t="str">
        <f t="shared" si="3331"/>
        <v>CODE 59001</v>
      </c>
      <c r="D9032" t="str">
        <f t="shared" si="3311"/>
        <v>SAN DIEGO</v>
      </c>
      <c r="E9032" t="str">
        <f t="shared" si="3312"/>
        <v>CA</v>
      </c>
      <c r="F9032" t="str">
        <f t="shared" si="3330"/>
        <v>921520001</v>
      </c>
      <c r="G9032" t="str">
        <f t="shared" si="3327"/>
        <v>53560 HULL STREET</v>
      </c>
      <c r="H9032" t="str">
        <f>T("CODE 59122")</f>
        <v>CODE 59122</v>
      </c>
      <c r="I9032" t="str">
        <f t="shared" si="3328"/>
        <v>SAN DIEGO</v>
      </c>
      <c r="J9032" t="str">
        <f t="shared" si="3329"/>
        <v>CA</v>
      </c>
      <c r="K9032" t="str">
        <f t="shared" si="3325"/>
        <v>000000000000000000</v>
      </c>
      <c r="L9032" t="str">
        <f>T("7574445509")</f>
        <v>7574445509</v>
      </c>
    </row>
    <row r="9033" spans="1:12" x14ac:dyDescent="0.35">
      <c r="A9033" t="str">
        <f t="shared" si="3309"/>
        <v>SSA PACIFIC</v>
      </c>
      <c r="B9033" t="str">
        <f t="shared" si="3314"/>
        <v>53560 HULL STREET</v>
      </c>
      <c r="C9033" t="str">
        <f t="shared" si="3331"/>
        <v>CODE 59001</v>
      </c>
      <c r="D9033" t="str">
        <f t="shared" si="3311"/>
        <v>SAN DIEGO</v>
      </c>
      <c r="E9033" t="str">
        <f t="shared" si="3312"/>
        <v>CA</v>
      </c>
      <c r="F9033" t="str">
        <f t="shared" si="3330"/>
        <v>921520001</v>
      </c>
      <c r="G9033" t="str">
        <f t="shared" si="3327"/>
        <v>53560 HULL STREET</v>
      </c>
      <c r="H9033" t="str">
        <f>T("CODE 59123")</f>
        <v>CODE 59123</v>
      </c>
      <c r="I9033" t="str">
        <f t="shared" si="3328"/>
        <v>SAN DIEGO</v>
      </c>
      <c r="J9033" t="str">
        <f t="shared" si="3329"/>
        <v>CA</v>
      </c>
      <c r="K9033" t="str">
        <f t="shared" si="3325"/>
        <v>000000000000000000</v>
      </c>
      <c r="L9033" t="str">
        <f>T("3152437941")</f>
        <v>3152437941</v>
      </c>
    </row>
    <row r="9034" spans="1:12" x14ac:dyDescent="0.35">
      <c r="A9034" t="str">
        <f t="shared" ref="A9034:A9097" si="3332">T("SSA PACIFIC")</f>
        <v>SSA PACIFIC</v>
      </c>
      <c r="B9034" t="str">
        <f t="shared" si="3314"/>
        <v>53560 HULL STREET</v>
      </c>
      <c r="C9034" t="str">
        <f t="shared" si="3331"/>
        <v>CODE 59001</v>
      </c>
      <c r="D9034" t="str">
        <f t="shared" si="3311"/>
        <v>SAN DIEGO</v>
      </c>
      <c r="E9034" t="str">
        <f t="shared" si="3312"/>
        <v>CA</v>
      </c>
      <c r="F9034" t="str">
        <f t="shared" si="3330"/>
        <v>921520001</v>
      </c>
      <c r="G9034" t="str">
        <f t="shared" si="3327"/>
        <v>53560 HULL STREET</v>
      </c>
      <c r="H9034" t="str">
        <f>T("CODE 59142")</f>
        <v>CODE 59142</v>
      </c>
      <c r="I9034" t="str">
        <f t="shared" si="3328"/>
        <v>SAN DIEGO</v>
      </c>
      <c r="J9034" t="str">
        <f t="shared" si="3329"/>
        <v>CA</v>
      </c>
      <c r="K9034" t="str">
        <f t="shared" si="3325"/>
        <v>000000000000000000</v>
      </c>
      <c r="L9034" t="str">
        <f>T("6195530624")</f>
        <v>6195530624</v>
      </c>
    </row>
    <row r="9035" spans="1:12" x14ac:dyDescent="0.35">
      <c r="A9035" t="str">
        <f t="shared" si="3332"/>
        <v>SSA PACIFIC</v>
      </c>
      <c r="B9035" t="str">
        <f t="shared" si="3314"/>
        <v>53560 HULL STREET</v>
      </c>
      <c r="C9035" t="str">
        <f t="shared" si="3331"/>
        <v>CODE 59001</v>
      </c>
      <c r="D9035" t="str">
        <f t="shared" ref="D9035:D9098" si="3333">T("SAN DIEGO")</f>
        <v>SAN DIEGO</v>
      </c>
      <c r="E9035" t="str">
        <f t="shared" ref="E9035:E9098" si="3334">T("CA")</f>
        <v>CA</v>
      </c>
      <c r="F9035" t="str">
        <f>T("921525001")</f>
        <v>921525001</v>
      </c>
      <c r="G9035" t="str">
        <f t="shared" si="3327"/>
        <v>53560 HULL STREET</v>
      </c>
      <c r="H9035" t="str">
        <f>T("CODE 59001")</f>
        <v>CODE 59001</v>
      </c>
      <c r="I9035" t="str">
        <f t="shared" si="3328"/>
        <v>SAN DIEGO</v>
      </c>
      <c r="J9035" t="str">
        <f t="shared" si="3329"/>
        <v>CA</v>
      </c>
      <c r="K9035" t="str">
        <f t="shared" si="3325"/>
        <v>000000000000000000</v>
      </c>
      <c r="L9035" t="str">
        <f>T("6195539851")</f>
        <v>6195539851</v>
      </c>
    </row>
    <row r="9036" spans="1:12" x14ac:dyDescent="0.35">
      <c r="A9036" t="str">
        <f t="shared" si="3332"/>
        <v>SSA PACIFIC</v>
      </c>
      <c r="B9036" t="str">
        <f t="shared" si="3314"/>
        <v>53560 HULL STREET</v>
      </c>
      <c r="C9036" t="str">
        <f>T("CODE 63200")</f>
        <v>CODE 63200</v>
      </c>
      <c r="D9036" t="str">
        <f t="shared" si="3333"/>
        <v>SAN DIEGO</v>
      </c>
      <c r="E9036" t="str">
        <f t="shared" si="3334"/>
        <v>CA</v>
      </c>
      <c r="F9036" t="str">
        <f t="shared" ref="F9036:F9041" si="3335">T("921520001")</f>
        <v>921520001</v>
      </c>
      <c r="G9036" t="str">
        <f t="shared" si="3327"/>
        <v>53560 HULL STREET</v>
      </c>
      <c r="H9036" t="str">
        <f>T("CODE 60000")</f>
        <v>CODE 60000</v>
      </c>
      <c r="I9036" t="str">
        <f t="shared" si="3328"/>
        <v>SAN DIEGO</v>
      </c>
      <c r="J9036" t="str">
        <f t="shared" si="3329"/>
        <v>CA</v>
      </c>
      <c r="K9036" t="str">
        <f t="shared" si="3325"/>
        <v>000000000000000000</v>
      </c>
      <c r="L9036" t="str">
        <f>T("6195532968")</f>
        <v>6195532968</v>
      </c>
    </row>
    <row r="9037" spans="1:12" x14ac:dyDescent="0.35">
      <c r="A9037" t="str">
        <f t="shared" si="3332"/>
        <v>SSA PACIFIC</v>
      </c>
      <c r="B9037" t="str">
        <f t="shared" si="3314"/>
        <v>53560 HULL STREET</v>
      </c>
      <c r="C9037" t="str">
        <f>T("CODE 63200")</f>
        <v>CODE 63200</v>
      </c>
      <c r="D9037" t="str">
        <f t="shared" si="3333"/>
        <v>SAN DIEGO</v>
      </c>
      <c r="E9037" t="str">
        <f t="shared" si="3334"/>
        <v>CA</v>
      </c>
      <c r="F9037" t="str">
        <f t="shared" si="3335"/>
        <v>921520001</v>
      </c>
      <c r="G9037" t="str">
        <f t="shared" si="3327"/>
        <v>53560 HULL STREET</v>
      </c>
      <c r="H9037" t="str">
        <f>T("CODE 63200")</f>
        <v>CODE 63200</v>
      </c>
      <c r="I9037" t="str">
        <f t="shared" si="3328"/>
        <v>SAN DIEGO</v>
      </c>
      <c r="J9037" t="str">
        <f t="shared" si="3329"/>
        <v>CA</v>
      </c>
      <c r="K9037" t="str">
        <f t="shared" si="3325"/>
        <v>000000000000000000</v>
      </c>
      <c r="L9037" t="str">
        <f>T("6195534283")</f>
        <v>6195534283</v>
      </c>
    </row>
    <row r="9038" spans="1:12" x14ac:dyDescent="0.35">
      <c r="A9038" t="str">
        <f t="shared" si="3332"/>
        <v>SSA PACIFIC</v>
      </c>
      <c r="B9038" t="str">
        <f t="shared" si="3314"/>
        <v>53560 HULL STREET</v>
      </c>
      <c r="C9038" t="str">
        <f>T("CODE 71501")</f>
        <v>CODE 71501</v>
      </c>
      <c r="D9038" t="str">
        <f t="shared" si="3333"/>
        <v>SAN DIEGO</v>
      </c>
      <c r="E9038" t="str">
        <f t="shared" si="3334"/>
        <v>CA</v>
      </c>
      <c r="F9038" t="str">
        <f t="shared" si="3335"/>
        <v>921520001</v>
      </c>
      <c r="G9038" t="str">
        <f t="shared" si="3327"/>
        <v>53560 HULL STREET</v>
      </c>
      <c r="H9038" t="str">
        <f>T("CODE 71501")</f>
        <v>CODE 71501</v>
      </c>
      <c r="I9038" t="str">
        <f t="shared" si="3328"/>
        <v>SAN DIEGO</v>
      </c>
      <c r="J9038" t="str">
        <f t="shared" si="3329"/>
        <v>CA</v>
      </c>
      <c r="K9038" t="str">
        <f t="shared" si="3325"/>
        <v>000000000000000000</v>
      </c>
      <c r="L9038" t="str">
        <f>T("6195530822")</f>
        <v>6195530822</v>
      </c>
    </row>
    <row r="9039" spans="1:12" x14ac:dyDescent="0.35">
      <c r="A9039" t="str">
        <f t="shared" si="3332"/>
        <v>SSA PACIFIC</v>
      </c>
      <c r="B9039" t="str">
        <f t="shared" si="3314"/>
        <v>53560 HULL STREET</v>
      </c>
      <c r="C9039" t="str">
        <f>T("CODE 71501")</f>
        <v>CODE 71501</v>
      </c>
      <c r="D9039" t="str">
        <f t="shared" si="3333"/>
        <v>SAN DIEGO</v>
      </c>
      <c r="E9039" t="str">
        <f t="shared" si="3334"/>
        <v>CA</v>
      </c>
      <c r="F9039" t="str">
        <f t="shared" si="3335"/>
        <v>921520001</v>
      </c>
      <c r="G9039" t="str">
        <f t="shared" si="3327"/>
        <v>53560 HULL STREET</v>
      </c>
      <c r="H9039" t="str">
        <f>T("CODE 71501")</f>
        <v>CODE 71501</v>
      </c>
      <c r="I9039" t="str">
        <f t="shared" si="3328"/>
        <v>SAN DIEGO</v>
      </c>
      <c r="J9039" t="str">
        <f t="shared" si="3329"/>
        <v>CA</v>
      </c>
      <c r="K9039" t="str">
        <f t="shared" si="3325"/>
        <v>000000000000000000</v>
      </c>
      <c r="L9039" t="str">
        <f>T("6195531348")</f>
        <v>6195531348</v>
      </c>
    </row>
    <row r="9040" spans="1:12" x14ac:dyDescent="0.35">
      <c r="A9040" t="str">
        <f t="shared" si="3332"/>
        <v>SSA PACIFIC</v>
      </c>
      <c r="B9040" t="str">
        <f t="shared" si="3314"/>
        <v>53560 HULL STREET</v>
      </c>
      <c r="C9040" t="str">
        <f>T("CODE 71501")</f>
        <v>CODE 71501</v>
      </c>
      <c r="D9040" t="str">
        <f t="shared" si="3333"/>
        <v>SAN DIEGO</v>
      </c>
      <c r="E9040" t="str">
        <f t="shared" si="3334"/>
        <v>CA</v>
      </c>
      <c r="F9040" t="str">
        <f t="shared" si="3335"/>
        <v>921520001</v>
      </c>
      <c r="G9040" t="str">
        <f t="shared" si="3327"/>
        <v>53560 HULL STREET</v>
      </c>
      <c r="H9040" t="str">
        <f>T("CODE 71501")</f>
        <v>CODE 71501</v>
      </c>
      <c r="I9040" t="str">
        <f t="shared" si="3328"/>
        <v>SAN DIEGO</v>
      </c>
      <c r="J9040" t="str">
        <f t="shared" si="3329"/>
        <v>CA</v>
      </c>
      <c r="K9040" t="str">
        <f t="shared" si="3325"/>
        <v>000000000000000000</v>
      </c>
      <c r="L9040" t="str">
        <f>T("6195531368")</f>
        <v>6195531368</v>
      </c>
    </row>
    <row r="9041" spans="1:12" x14ac:dyDescent="0.35">
      <c r="A9041" t="str">
        <f t="shared" si="3332"/>
        <v>SSA PACIFIC</v>
      </c>
      <c r="B9041" t="str">
        <f t="shared" si="3314"/>
        <v>53560 HULL STREET</v>
      </c>
      <c r="C9041" t="str">
        <f>T("CODE 71501")</f>
        <v>CODE 71501</v>
      </c>
      <c r="D9041" t="str">
        <f t="shared" si="3333"/>
        <v>SAN DIEGO</v>
      </c>
      <c r="E9041" t="str">
        <f t="shared" si="3334"/>
        <v>CA</v>
      </c>
      <c r="F9041" t="str">
        <f t="shared" si="3335"/>
        <v>921520001</v>
      </c>
      <c r="G9041" t="str">
        <f t="shared" si="3327"/>
        <v>53560 HULL STREET</v>
      </c>
      <c r="H9041" t="str">
        <f>T("CODE 71501")</f>
        <v>CODE 71501</v>
      </c>
      <c r="I9041" t="str">
        <f t="shared" si="3328"/>
        <v>SAN DIEGO</v>
      </c>
      <c r="J9041" t="str">
        <f t="shared" si="3329"/>
        <v>CA</v>
      </c>
      <c r="K9041" t="str">
        <f t="shared" si="3325"/>
        <v>000000000000000000</v>
      </c>
      <c r="L9041" t="str">
        <f>T("6195537838")</f>
        <v>6195537838</v>
      </c>
    </row>
    <row r="9042" spans="1:12" x14ac:dyDescent="0.35">
      <c r="A9042" t="str">
        <f t="shared" si="3332"/>
        <v>SSA PACIFIC</v>
      </c>
      <c r="B9042" t="str">
        <f t="shared" si="3314"/>
        <v>53560 HULL STREET</v>
      </c>
      <c r="C9042" t="str">
        <f>T("CODE 7153")</f>
        <v>CODE 7153</v>
      </c>
      <c r="D9042" t="str">
        <f t="shared" si="3333"/>
        <v>SAN DIEGO</v>
      </c>
      <c r="E9042" t="str">
        <f t="shared" si="3334"/>
        <v>CA</v>
      </c>
      <c r="F9042" t="str">
        <f>T("921525001")</f>
        <v>921525001</v>
      </c>
      <c r="G9042" t="str">
        <f t="shared" si="3327"/>
        <v>53560 HULL STREET</v>
      </c>
      <c r="H9042" t="str">
        <f>T("CODE 71502")</f>
        <v>CODE 71502</v>
      </c>
      <c r="I9042" t="str">
        <f t="shared" si="3328"/>
        <v>SAN DIEGO</v>
      </c>
      <c r="J9042" t="str">
        <f t="shared" si="3329"/>
        <v>CA</v>
      </c>
      <c r="K9042" t="str">
        <f t="shared" si="3325"/>
        <v>000000000000000000</v>
      </c>
      <c r="L9042" t="str">
        <f>T("6196188900")</f>
        <v>6196188900</v>
      </c>
    </row>
    <row r="9043" spans="1:12" x14ac:dyDescent="0.35">
      <c r="A9043" t="str">
        <f t="shared" si="3332"/>
        <v>SSA PACIFIC</v>
      </c>
      <c r="B9043" t="str">
        <f t="shared" ref="B9043:B9109" si="3336">T("53560 HULL STREET")</f>
        <v>53560 HULL STREET</v>
      </c>
      <c r="C9043" t="str">
        <f>T("CODE 7153")</f>
        <v>CODE 7153</v>
      </c>
      <c r="D9043" t="str">
        <f t="shared" si="3333"/>
        <v>SAN DIEGO</v>
      </c>
      <c r="E9043" t="str">
        <f t="shared" si="3334"/>
        <v>CA</v>
      </c>
      <c r="F9043" t="str">
        <f>T("921525001")</f>
        <v>921525001</v>
      </c>
      <c r="G9043" t="str">
        <f t="shared" si="3327"/>
        <v>53560 HULL STREET</v>
      </c>
      <c r="H9043" t="str">
        <f>T("CODE 71504")</f>
        <v>CODE 71504</v>
      </c>
      <c r="I9043" t="str">
        <f t="shared" si="3328"/>
        <v>SAN DIEGO</v>
      </c>
      <c r="J9043" t="str">
        <f t="shared" si="3329"/>
        <v>CA</v>
      </c>
      <c r="K9043" t="str">
        <f t="shared" si="3325"/>
        <v>000000000000000000</v>
      </c>
      <c r="L9043" t="str">
        <f>T("6195535273")</f>
        <v>6195535273</v>
      </c>
    </row>
    <row r="9044" spans="1:12" x14ac:dyDescent="0.35">
      <c r="A9044" t="str">
        <f t="shared" si="3332"/>
        <v>SSA PACIFIC</v>
      </c>
      <c r="B9044" t="str">
        <f t="shared" si="3336"/>
        <v>53560 HULL STREET</v>
      </c>
      <c r="C9044" t="str">
        <f>T("CODE 7153")</f>
        <v>CODE 7153</v>
      </c>
      <c r="D9044" t="str">
        <f t="shared" si="3333"/>
        <v>SAN DIEGO</v>
      </c>
      <c r="E9044" t="str">
        <f t="shared" si="3334"/>
        <v>CA</v>
      </c>
      <c r="F9044" t="str">
        <f>T("921525001")</f>
        <v>921525001</v>
      </c>
      <c r="G9044" t="str">
        <f t="shared" si="3327"/>
        <v>53560 HULL STREET</v>
      </c>
      <c r="H9044" t="str">
        <f>T("CODE 7153")</f>
        <v>CODE 7153</v>
      </c>
      <c r="I9044" t="str">
        <f t="shared" si="3328"/>
        <v>SAN DIEGO</v>
      </c>
      <c r="J9044" t="str">
        <f t="shared" si="3329"/>
        <v>CA</v>
      </c>
      <c r="K9044" t="str">
        <f t="shared" si="3325"/>
        <v>000000000000000000</v>
      </c>
      <c r="L9044" t="str">
        <f>T("6195531363")</f>
        <v>6195531363</v>
      </c>
    </row>
    <row r="9045" spans="1:12" x14ac:dyDescent="0.35">
      <c r="A9045" t="str">
        <f t="shared" si="3332"/>
        <v>SSA PACIFIC</v>
      </c>
      <c r="B9045" t="str">
        <f t="shared" si="3336"/>
        <v>53560 HULL STREET</v>
      </c>
      <c r="C9045" t="str">
        <f>T("CODE 7153")</f>
        <v>CODE 7153</v>
      </c>
      <c r="D9045" t="str">
        <f t="shared" si="3333"/>
        <v>SAN DIEGO</v>
      </c>
      <c r="E9045" t="str">
        <f t="shared" si="3334"/>
        <v>CA</v>
      </c>
      <c r="F9045" t="str">
        <f>T("921525001")</f>
        <v>921525001</v>
      </c>
      <c r="G9045" t="str">
        <f t="shared" si="3327"/>
        <v>53560 HULL STREET</v>
      </c>
      <c r="H9045" t="str">
        <f>T("CODE 71530")</f>
        <v>CODE 71530</v>
      </c>
      <c r="I9045" t="str">
        <f t="shared" si="3328"/>
        <v>SAN DIEGO</v>
      </c>
      <c r="J9045" t="str">
        <f t="shared" si="3329"/>
        <v>CA</v>
      </c>
      <c r="K9045" t="str">
        <f t="shared" si="3325"/>
        <v>000000000000000000</v>
      </c>
      <c r="L9045" t="str">
        <f>T("6197081712")</f>
        <v>6197081712</v>
      </c>
    </row>
    <row r="9046" spans="1:12" x14ac:dyDescent="0.35">
      <c r="A9046" t="str">
        <f t="shared" si="3332"/>
        <v>SSA PACIFIC</v>
      </c>
      <c r="B9046" t="str">
        <f t="shared" si="3336"/>
        <v>53560 HULL STREET</v>
      </c>
      <c r="C9046" t="str">
        <f t="shared" ref="C9046:C9055" si="3337">T("CODE 71701")</f>
        <v>CODE 71701</v>
      </c>
      <c r="D9046" t="str">
        <f t="shared" si="3333"/>
        <v>SAN DIEGO</v>
      </c>
      <c r="E9046" t="str">
        <f t="shared" si="3334"/>
        <v>CA</v>
      </c>
      <c r="F9046" t="str">
        <f t="shared" ref="F9046:F9053" si="3338">T("921520001")</f>
        <v>921520001</v>
      </c>
      <c r="G9046" t="str">
        <f t="shared" si="3327"/>
        <v>53560 HULL STREET</v>
      </c>
      <c r="H9046" t="str">
        <f>T("CODE 61200")</f>
        <v>CODE 61200</v>
      </c>
      <c r="I9046" t="str">
        <f t="shared" si="3328"/>
        <v>SAN DIEGO</v>
      </c>
      <c r="J9046" t="str">
        <f t="shared" si="3329"/>
        <v>CA</v>
      </c>
      <c r="K9046" t="str">
        <f t="shared" ref="K9046:K9077" si="3339">T("000000000000000000")</f>
        <v>000000000000000000</v>
      </c>
      <c r="L9046" t="str">
        <f>T("6195532826")</f>
        <v>6195532826</v>
      </c>
    </row>
    <row r="9047" spans="1:12" x14ac:dyDescent="0.35">
      <c r="A9047" t="str">
        <f t="shared" si="3332"/>
        <v>SSA PACIFIC</v>
      </c>
      <c r="B9047" t="str">
        <f t="shared" si="3336"/>
        <v>53560 HULL STREET</v>
      </c>
      <c r="C9047" t="str">
        <f t="shared" si="3337"/>
        <v>CODE 71701</v>
      </c>
      <c r="D9047" t="str">
        <f t="shared" si="3333"/>
        <v>SAN DIEGO</v>
      </c>
      <c r="E9047" t="str">
        <f t="shared" si="3334"/>
        <v>CA</v>
      </c>
      <c r="F9047" t="str">
        <f t="shared" si="3338"/>
        <v>921520001</v>
      </c>
      <c r="G9047" t="str">
        <f t="shared" si="3327"/>
        <v>53560 HULL STREET</v>
      </c>
      <c r="H9047" t="str">
        <f>T("CODE 61200")</f>
        <v>CODE 61200</v>
      </c>
      <c r="I9047" t="str">
        <f t="shared" si="3328"/>
        <v>SAN DIEGO</v>
      </c>
      <c r="J9047" t="str">
        <f t="shared" si="3329"/>
        <v>CA</v>
      </c>
      <c r="K9047" t="str">
        <f t="shared" si="3339"/>
        <v>000000000000000000</v>
      </c>
      <c r="L9047" t="str">
        <f>T("6195537668")</f>
        <v>6195537668</v>
      </c>
    </row>
    <row r="9048" spans="1:12" x14ac:dyDescent="0.35">
      <c r="A9048" t="str">
        <f t="shared" si="3332"/>
        <v>SSA PACIFIC</v>
      </c>
      <c r="B9048" t="str">
        <f t="shared" si="3336"/>
        <v>53560 HULL STREET</v>
      </c>
      <c r="C9048" t="str">
        <f t="shared" si="3337"/>
        <v>CODE 71701</v>
      </c>
      <c r="D9048" t="str">
        <f t="shared" si="3333"/>
        <v>SAN DIEGO</v>
      </c>
      <c r="E9048" t="str">
        <f t="shared" si="3334"/>
        <v>CA</v>
      </c>
      <c r="F9048" t="str">
        <f t="shared" si="3338"/>
        <v>921520001</v>
      </c>
      <c r="G9048" t="str">
        <f t="shared" si="3327"/>
        <v>53560 HULL STREET</v>
      </c>
      <c r="H9048" t="str">
        <f>T("CODE 71700")</f>
        <v>CODE 71700</v>
      </c>
      <c r="I9048" t="str">
        <f t="shared" si="3328"/>
        <v>SAN DIEGO</v>
      </c>
      <c r="J9048" t="str">
        <f t="shared" si="3329"/>
        <v>CA</v>
      </c>
      <c r="K9048" t="str">
        <f t="shared" si="3339"/>
        <v>000000000000000000</v>
      </c>
      <c r="L9048" t="str">
        <f>T("6195535838")</f>
        <v>6195535838</v>
      </c>
    </row>
    <row r="9049" spans="1:12" x14ac:dyDescent="0.35">
      <c r="A9049" t="str">
        <f t="shared" si="3332"/>
        <v>SSA PACIFIC</v>
      </c>
      <c r="B9049" t="str">
        <f t="shared" si="3336"/>
        <v>53560 HULL STREET</v>
      </c>
      <c r="C9049" t="str">
        <f t="shared" si="3337"/>
        <v>CODE 71701</v>
      </c>
      <c r="D9049" t="str">
        <f t="shared" si="3333"/>
        <v>SAN DIEGO</v>
      </c>
      <c r="E9049" t="str">
        <f t="shared" si="3334"/>
        <v>CA</v>
      </c>
      <c r="F9049" t="str">
        <f t="shared" si="3338"/>
        <v>921520001</v>
      </c>
      <c r="G9049" t="str">
        <f t="shared" si="3327"/>
        <v>53560 HULL STREET</v>
      </c>
      <c r="H9049" t="str">
        <f>T("CODE 71701")</f>
        <v>CODE 71701</v>
      </c>
      <c r="I9049" t="str">
        <f t="shared" si="3328"/>
        <v>SAN DIEGO</v>
      </c>
      <c r="J9049" t="str">
        <f t="shared" si="3329"/>
        <v>CA</v>
      </c>
      <c r="K9049" t="str">
        <f t="shared" si="3339"/>
        <v>000000000000000000</v>
      </c>
      <c r="L9049" t="str">
        <f>T("6195531262")</f>
        <v>6195531262</v>
      </c>
    </row>
    <row r="9050" spans="1:12" x14ac:dyDescent="0.35">
      <c r="A9050" t="str">
        <f t="shared" si="3332"/>
        <v>SSA PACIFIC</v>
      </c>
      <c r="B9050" t="str">
        <f t="shared" si="3336"/>
        <v>53560 HULL STREET</v>
      </c>
      <c r="C9050" t="str">
        <f t="shared" si="3337"/>
        <v>CODE 71701</v>
      </c>
      <c r="D9050" t="str">
        <f t="shared" si="3333"/>
        <v>SAN DIEGO</v>
      </c>
      <c r="E9050" t="str">
        <f t="shared" si="3334"/>
        <v>CA</v>
      </c>
      <c r="F9050" t="str">
        <f t="shared" si="3338"/>
        <v>921520001</v>
      </c>
      <c r="G9050" t="str">
        <f t="shared" si="3327"/>
        <v>53560 HULL STREET</v>
      </c>
      <c r="H9050" t="str">
        <f>T("CODE 71701")</f>
        <v>CODE 71701</v>
      </c>
      <c r="I9050" t="str">
        <f t="shared" si="3328"/>
        <v>SAN DIEGO</v>
      </c>
      <c r="J9050" t="str">
        <f t="shared" si="3329"/>
        <v>CA</v>
      </c>
      <c r="K9050" t="str">
        <f t="shared" si="3339"/>
        <v>000000000000000000</v>
      </c>
      <c r="L9050" t="str">
        <f>T("6195533666")</f>
        <v>6195533666</v>
      </c>
    </row>
    <row r="9051" spans="1:12" x14ac:dyDescent="0.35">
      <c r="A9051" t="str">
        <f t="shared" si="3332"/>
        <v>SSA PACIFIC</v>
      </c>
      <c r="B9051" t="str">
        <f t="shared" si="3336"/>
        <v>53560 HULL STREET</v>
      </c>
      <c r="C9051" t="str">
        <f t="shared" si="3337"/>
        <v>CODE 71701</v>
      </c>
      <c r="D9051" t="str">
        <f t="shared" si="3333"/>
        <v>SAN DIEGO</v>
      </c>
      <c r="E9051" t="str">
        <f t="shared" si="3334"/>
        <v>CA</v>
      </c>
      <c r="F9051" t="str">
        <f t="shared" si="3338"/>
        <v>921520001</v>
      </c>
      <c r="G9051" t="str">
        <f t="shared" si="3327"/>
        <v>53560 HULL STREET</v>
      </c>
      <c r="H9051" t="str">
        <f>T("CODE 71701")</f>
        <v>CODE 71701</v>
      </c>
      <c r="I9051" t="str">
        <f t="shared" si="3328"/>
        <v>SAN DIEGO</v>
      </c>
      <c r="J9051" t="str">
        <f t="shared" si="3329"/>
        <v>CA</v>
      </c>
      <c r="K9051" t="str">
        <f t="shared" si="3339"/>
        <v>000000000000000000</v>
      </c>
      <c r="L9051" t="str">
        <f>T("6195565253")</f>
        <v>6195565253</v>
      </c>
    </row>
    <row r="9052" spans="1:12" x14ac:dyDescent="0.35">
      <c r="A9052" t="str">
        <f t="shared" si="3332"/>
        <v>SSA PACIFIC</v>
      </c>
      <c r="B9052" t="str">
        <f t="shared" si="3336"/>
        <v>53560 HULL STREET</v>
      </c>
      <c r="C9052" t="str">
        <f t="shared" si="3337"/>
        <v>CODE 71701</v>
      </c>
      <c r="D9052" t="str">
        <f t="shared" si="3333"/>
        <v>SAN DIEGO</v>
      </c>
      <c r="E9052" t="str">
        <f t="shared" si="3334"/>
        <v>CA</v>
      </c>
      <c r="F9052" t="str">
        <f t="shared" si="3338"/>
        <v>921520001</v>
      </c>
      <c r="G9052" t="str">
        <f t="shared" si="3327"/>
        <v>53560 HULL STREET</v>
      </c>
      <c r="H9052" t="str">
        <f>T("CODE 71720")</f>
        <v>CODE 71720</v>
      </c>
      <c r="I9052" t="str">
        <f t="shared" si="3328"/>
        <v>SAN DIEGO</v>
      </c>
      <c r="J9052" t="str">
        <f t="shared" si="3329"/>
        <v>CA</v>
      </c>
      <c r="K9052" t="str">
        <f t="shared" si="3339"/>
        <v>000000000000000000</v>
      </c>
      <c r="L9052" t="str">
        <f>T("6197674272")</f>
        <v>6197674272</v>
      </c>
    </row>
    <row r="9053" spans="1:12" x14ac:dyDescent="0.35">
      <c r="A9053" t="str">
        <f t="shared" si="3332"/>
        <v>SSA PACIFIC</v>
      </c>
      <c r="B9053" t="str">
        <f t="shared" si="3336"/>
        <v>53560 HULL STREET</v>
      </c>
      <c r="C9053" t="str">
        <f t="shared" si="3337"/>
        <v>CODE 71701</v>
      </c>
      <c r="D9053" t="str">
        <f t="shared" si="3333"/>
        <v>SAN DIEGO</v>
      </c>
      <c r="E9053" t="str">
        <f t="shared" si="3334"/>
        <v>CA</v>
      </c>
      <c r="F9053" t="str">
        <f t="shared" si="3338"/>
        <v>921520001</v>
      </c>
      <c r="G9053" t="str">
        <f t="shared" si="3327"/>
        <v>53560 HULL STREET</v>
      </c>
      <c r="H9053" t="str">
        <f>T("CODE 71730")</f>
        <v>CODE 71730</v>
      </c>
      <c r="I9053" t="str">
        <f t="shared" si="3328"/>
        <v>SAN DIEGO</v>
      </c>
      <c r="J9053" t="str">
        <f t="shared" si="3329"/>
        <v>CA</v>
      </c>
      <c r="K9053" t="str">
        <f t="shared" si="3339"/>
        <v>000000000000000000</v>
      </c>
      <c r="L9053" t="str">
        <f>T("6195531510")</f>
        <v>6195531510</v>
      </c>
    </row>
    <row r="9054" spans="1:12" x14ac:dyDescent="0.35">
      <c r="A9054" t="str">
        <f t="shared" si="3332"/>
        <v>SSA PACIFIC</v>
      </c>
      <c r="B9054" t="str">
        <f t="shared" si="3336"/>
        <v>53560 HULL STREET</v>
      </c>
      <c r="C9054" t="str">
        <f t="shared" si="3337"/>
        <v>CODE 71701</v>
      </c>
      <c r="D9054" t="str">
        <f t="shared" si="3333"/>
        <v>SAN DIEGO</v>
      </c>
      <c r="E9054" t="str">
        <f t="shared" si="3334"/>
        <v>CA</v>
      </c>
      <c r="F9054" t="str">
        <f>T("921525001")</f>
        <v>921525001</v>
      </c>
      <c r="G9054" t="str">
        <f t="shared" si="3327"/>
        <v>53560 HULL STREET</v>
      </c>
      <c r="H9054" t="str">
        <f>T("CODE 71701")</f>
        <v>CODE 71701</v>
      </c>
      <c r="I9054" t="str">
        <f t="shared" si="3328"/>
        <v>SAN DIEGO</v>
      </c>
      <c r="J9054" t="str">
        <f t="shared" si="3329"/>
        <v>CA</v>
      </c>
      <c r="K9054" t="str">
        <f t="shared" si="3339"/>
        <v>000000000000000000</v>
      </c>
      <c r="L9054" t="str">
        <f>T("6195531510")</f>
        <v>6195531510</v>
      </c>
    </row>
    <row r="9055" spans="1:12" x14ac:dyDescent="0.35">
      <c r="A9055" t="str">
        <f t="shared" si="3332"/>
        <v>SSA PACIFIC</v>
      </c>
      <c r="B9055" t="str">
        <f t="shared" si="3336"/>
        <v>53560 HULL STREET</v>
      </c>
      <c r="C9055" t="str">
        <f t="shared" si="3337"/>
        <v>CODE 71701</v>
      </c>
      <c r="D9055" t="str">
        <f t="shared" si="3333"/>
        <v>SAN DIEGO</v>
      </c>
      <c r="E9055" t="str">
        <f t="shared" si="3334"/>
        <v>CA</v>
      </c>
      <c r="F9055" t="str">
        <f>T("921525001")</f>
        <v>921525001</v>
      </c>
      <c r="G9055" t="str">
        <f t="shared" si="3327"/>
        <v>53560 HULL STREET</v>
      </c>
      <c r="H9055" t="str">
        <f>T("CODE 71750")</f>
        <v>CODE 71750</v>
      </c>
      <c r="I9055" t="str">
        <f t="shared" ref="I9055:I9086" si="3340">T("SAN DIEGO")</f>
        <v>SAN DIEGO</v>
      </c>
      <c r="J9055" t="str">
        <f t="shared" ref="J9055:J9086" si="3341">T("CA")</f>
        <v>CA</v>
      </c>
      <c r="K9055" t="str">
        <f t="shared" si="3339"/>
        <v>000000000000000000</v>
      </c>
      <c r="L9055" t="str">
        <f>T("6195530956")</f>
        <v>6195530956</v>
      </c>
    </row>
    <row r="9056" spans="1:12" x14ac:dyDescent="0.35">
      <c r="A9056" t="str">
        <f t="shared" si="3332"/>
        <v>SSA PACIFIC</v>
      </c>
      <c r="B9056" t="str">
        <f t="shared" si="3336"/>
        <v>53560 HULL STREET</v>
      </c>
      <c r="C9056" t="str">
        <f>T("CODE 71710")</f>
        <v>CODE 71710</v>
      </c>
      <c r="D9056" t="str">
        <f t="shared" si="3333"/>
        <v>SAN DIEGO</v>
      </c>
      <c r="E9056" t="str">
        <f t="shared" si="3334"/>
        <v>CA</v>
      </c>
      <c r="F9056" t="str">
        <f>T("921520001")</f>
        <v>921520001</v>
      </c>
      <c r="G9056" t="str">
        <f t="shared" si="3327"/>
        <v>53560 HULL STREET</v>
      </c>
      <c r="H9056" t="str">
        <f>T("CODE 71710")</f>
        <v>CODE 71710</v>
      </c>
      <c r="I9056" t="str">
        <f t="shared" si="3340"/>
        <v>SAN DIEGO</v>
      </c>
      <c r="J9056" t="str">
        <f t="shared" si="3341"/>
        <v>CA</v>
      </c>
      <c r="K9056" t="str">
        <f t="shared" si="3339"/>
        <v>000000000000000000</v>
      </c>
      <c r="L9056" t="str">
        <f>T("6195533789")</f>
        <v>6195533789</v>
      </c>
    </row>
    <row r="9057" spans="1:12" x14ac:dyDescent="0.35">
      <c r="A9057" t="str">
        <f t="shared" si="3332"/>
        <v>SSA PACIFIC</v>
      </c>
      <c r="B9057" t="str">
        <f t="shared" si="3336"/>
        <v>53560 HULL STREET</v>
      </c>
      <c r="C9057" t="str">
        <f>T("CODE 71710")</f>
        <v>CODE 71710</v>
      </c>
      <c r="D9057" t="str">
        <f t="shared" si="3333"/>
        <v>SAN DIEGO</v>
      </c>
      <c r="E9057" t="str">
        <f t="shared" si="3334"/>
        <v>CA</v>
      </c>
      <c r="F9057" t="str">
        <f>T("921525001")</f>
        <v>921525001</v>
      </c>
      <c r="G9057" t="str">
        <f t="shared" si="3327"/>
        <v>53560 HULL STREET</v>
      </c>
      <c r="H9057" t="str">
        <f>T("CODE 71710")</f>
        <v>CODE 71710</v>
      </c>
      <c r="I9057" t="str">
        <f t="shared" si="3340"/>
        <v>SAN DIEGO</v>
      </c>
      <c r="J9057" t="str">
        <f t="shared" si="3341"/>
        <v>CA</v>
      </c>
      <c r="K9057" t="str">
        <f t="shared" si="3339"/>
        <v>000000000000000000</v>
      </c>
      <c r="L9057" t="str">
        <f>T("6195531871")</f>
        <v>6195531871</v>
      </c>
    </row>
    <row r="9058" spans="1:12" x14ac:dyDescent="0.35">
      <c r="A9058" t="str">
        <f t="shared" si="3332"/>
        <v>SSA PACIFIC</v>
      </c>
      <c r="B9058" t="str">
        <f t="shared" si="3336"/>
        <v>53560 HULL STREET</v>
      </c>
      <c r="C9058" t="str">
        <f>T("CODE 71710")</f>
        <v>CODE 71710</v>
      </c>
      <c r="D9058" t="str">
        <f t="shared" si="3333"/>
        <v>SAN DIEGO</v>
      </c>
      <c r="E9058" t="str">
        <f t="shared" si="3334"/>
        <v>CA</v>
      </c>
      <c r="F9058" t="str">
        <f>T("921525001")</f>
        <v>921525001</v>
      </c>
      <c r="G9058" t="str">
        <f t="shared" si="3327"/>
        <v>53560 HULL STREET</v>
      </c>
      <c r="H9058" t="str">
        <f>T("CODE 71720")</f>
        <v>CODE 71720</v>
      </c>
      <c r="I9058" t="str">
        <f t="shared" si="3340"/>
        <v>SAN DIEGO</v>
      </c>
      <c r="J9058" t="str">
        <f t="shared" si="3341"/>
        <v>CA</v>
      </c>
      <c r="K9058" t="str">
        <f t="shared" si="3339"/>
        <v>000000000000000000</v>
      </c>
      <c r="L9058" t="str">
        <f>T("6195537732")</f>
        <v>6195537732</v>
      </c>
    </row>
    <row r="9059" spans="1:12" x14ac:dyDescent="0.35">
      <c r="A9059" t="str">
        <f t="shared" si="3332"/>
        <v>SSA PACIFIC</v>
      </c>
      <c r="B9059" t="str">
        <f t="shared" si="3336"/>
        <v>53560 HULL STREET</v>
      </c>
      <c r="C9059" t="str">
        <f>T("CODE 71720")</f>
        <v>CODE 71720</v>
      </c>
      <c r="D9059" t="str">
        <f t="shared" si="3333"/>
        <v>SAN DIEGO</v>
      </c>
      <c r="E9059" t="str">
        <f t="shared" si="3334"/>
        <v>CA</v>
      </c>
      <c r="F9059" t="str">
        <f>T("921520001")</f>
        <v>921520001</v>
      </c>
      <c r="G9059" t="str">
        <f t="shared" si="3327"/>
        <v>53560 HULL STREET</v>
      </c>
      <c r="H9059" t="str">
        <f>T("CODE 71720")</f>
        <v>CODE 71720</v>
      </c>
      <c r="I9059" t="str">
        <f t="shared" si="3340"/>
        <v>SAN DIEGO</v>
      </c>
      <c r="J9059" t="str">
        <f t="shared" si="3341"/>
        <v>CA</v>
      </c>
      <c r="K9059" t="str">
        <f t="shared" si="3339"/>
        <v>000000000000000000</v>
      </c>
      <c r="L9059" t="str">
        <f>T("6195535462")</f>
        <v>6195535462</v>
      </c>
    </row>
    <row r="9060" spans="1:12" x14ac:dyDescent="0.35">
      <c r="A9060" t="str">
        <f t="shared" si="3332"/>
        <v>SSA PACIFIC</v>
      </c>
      <c r="B9060" t="str">
        <f t="shared" si="3336"/>
        <v>53560 HULL STREET</v>
      </c>
      <c r="C9060" t="str">
        <f t="shared" ref="C9060:C9067" si="3342">T("CODE 71730")</f>
        <v>CODE 71730</v>
      </c>
      <c r="D9060" t="str">
        <f t="shared" si="3333"/>
        <v>SAN DIEGO</v>
      </c>
      <c r="E9060" t="str">
        <f t="shared" si="3334"/>
        <v>CA</v>
      </c>
      <c r="F9060" t="str">
        <f t="shared" ref="F9060:F9067" si="3343">T("921525001")</f>
        <v>921525001</v>
      </c>
      <c r="G9060" t="str">
        <f>T("52560 HULL STREET")</f>
        <v>52560 HULL STREET</v>
      </c>
      <c r="H9060" t="str">
        <f>T("CODE 71742")</f>
        <v>CODE 71742</v>
      </c>
      <c r="I9060" t="str">
        <f t="shared" si="3340"/>
        <v>SAN DIEGO</v>
      </c>
      <c r="J9060" t="str">
        <f t="shared" si="3341"/>
        <v>CA</v>
      </c>
      <c r="K9060" t="str">
        <f t="shared" si="3339"/>
        <v>000000000000000000</v>
      </c>
      <c r="L9060" t="str">
        <f>T("6195531626")</f>
        <v>6195531626</v>
      </c>
    </row>
    <row r="9061" spans="1:12" x14ac:dyDescent="0.35">
      <c r="A9061" t="str">
        <f t="shared" si="3332"/>
        <v>SSA PACIFIC</v>
      </c>
      <c r="B9061" t="str">
        <f t="shared" si="3336"/>
        <v>53560 HULL STREET</v>
      </c>
      <c r="C9061" t="str">
        <f t="shared" si="3342"/>
        <v>CODE 71730</v>
      </c>
      <c r="D9061" t="str">
        <f t="shared" si="3333"/>
        <v>SAN DIEGO</v>
      </c>
      <c r="E9061" t="str">
        <f t="shared" si="3334"/>
        <v>CA</v>
      </c>
      <c r="F9061" t="str">
        <f t="shared" si="3343"/>
        <v>921525001</v>
      </c>
      <c r="G9061" t="str">
        <f>T("53560 HULL ST")</f>
        <v>53560 HULL ST</v>
      </c>
      <c r="H9061" t="str">
        <f>T("CODE 71730")</f>
        <v>CODE 71730</v>
      </c>
      <c r="I9061" t="str">
        <f t="shared" si="3340"/>
        <v>SAN DIEGO</v>
      </c>
      <c r="J9061" t="str">
        <f t="shared" si="3341"/>
        <v>CA</v>
      </c>
      <c r="K9061" t="str">
        <f t="shared" si="3339"/>
        <v>000000000000000000</v>
      </c>
      <c r="L9061" t="str">
        <f>T("6195535951")</f>
        <v>6195535951</v>
      </c>
    </row>
    <row r="9062" spans="1:12" x14ac:dyDescent="0.35">
      <c r="A9062" t="str">
        <f t="shared" si="3332"/>
        <v>SSA PACIFIC</v>
      </c>
      <c r="B9062" t="str">
        <f t="shared" si="3336"/>
        <v>53560 HULL STREET</v>
      </c>
      <c r="C9062" t="str">
        <f t="shared" si="3342"/>
        <v>CODE 71730</v>
      </c>
      <c r="D9062" t="str">
        <f t="shared" si="3333"/>
        <v>SAN DIEGO</v>
      </c>
      <c r="E9062" t="str">
        <f t="shared" si="3334"/>
        <v>CA</v>
      </c>
      <c r="F9062" t="str">
        <f t="shared" si="3343"/>
        <v>921525001</v>
      </c>
      <c r="G9062" t="str">
        <f>T("53560 HULL STREET")</f>
        <v>53560 HULL STREET</v>
      </c>
      <c r="H9062" t="str">
        <f>T("CODE 71701")</f>
        <v>CODE 71701</v>
      </c>
      <c r="I9062" t="str">
        <f t="shared" si="3340"/>
        <v>SAN DIEGO</v>
      </c>
      <c r="J9062" t="str">
        <f t="shared" si="3341"/>
        <v>CA</v>
      </c>
      <c r="K9062" t="str">
        <f t="shared" si="3339"/>
        <v>000000000000000000</v>
      </c>
      <c r="L9062" t="str">
        <f>T("6195532760")</f>
        <v>6195532760</v>
      </c>
    </row>
    <row r="9063" spans="1:12" x14ac:dyDescent="0.35">
      <c r="A9063" t="str">
        <f t="shared" si="3332"/>
        <v>SSA PACIFIC</v>
      </c>
      <c r="B9063" t="str">
        <f t="shared" si="3336"/>
        <v>53560 HULL STREET</v>
      </c>
      <c r="C9063" t="str">
        <f t="shared" si="3342"/>
        <v>CODE 71730</v>
      </c>
      <c r="D9063" t="str">
        <f t="shared" si="3333"/>
        <v>SAN DIEGO</v>
      </c>
      <c r="E9063" t="str">
        <f t="shared" si="3334"/>
        <v>CA</v>
      </c>
      <c r="F9063" t="str">
        <f t="shared" si="3343"/>
        <v>921525001</v>
      </c>
      <c r="G9063" t="str">
        <f>T("53560 HULL STREET")</f>
        <v>53560 HULL STREET</v>
      </c>
      <c r="H9063" t="str">
        <f>T("CODE 71730")</f>
        <v>CODE 71730</v>
      </c>
      <c r="I9063" t="str">
        <f t="shared" si="3340"/>
        <v>SAN DIEGO</v>
      </c>
      <c r="J9063" t="str">
        <f t="shared" si="3341"/>
        <v>CA</v>
      </c>
      <c r="K9063" t="str">
        <f t="shared" si="3339"/>
        <v>000000000000000000</v>
      </c>
      <c r="L9063" t="str">
        <f>T("6195531251")</f>
        <v>6195531251</v>
      </c>
    </row>
    <row r="9064" spans="1:12" x14ac:dyDescent="0.35">
      <c r="A9064" t="str">
        <f t="shared" si="3332"/>
        <v>SSA PACIFIC</v>
      </c>
      <c r="B9064" t="str">
        <f t="shared" si="3336"/>
        <v>53560 HULL STREET</v>
      </c>
      <c r="C9064" t="str">
        <f t="shared" si="3342"/>
        <v>CODE 71730</v>
      </c>
      <c r="D9064" t="str">
        <f t="shared" si="3333"/>
        <v>SAN DIEGO</v>
      </c>
      <c r="E9064" t="str">
        <f t="shared" si="3334"/>
        <v>CA</v>
      </c>
      <c r="F9064" t="str">
        <f t="shared" si="3343"/>
        <v>921525001</v>
      </c>
      <c r="G9064" t="str">
        <f>T("53560 HULL STREET")</f>
        <v>53560 HULL STREET</v>
      </c>
      <c r="H9064" t="str">
        <f>T("CODE 71730")</f>
        <v>CODE 71730</v>
      </c>
      <c r="I9064" t="str">
        <f t="shared" si="3340"/>
        <v>SAN DIEGO</v>
      </c>
      <c r="J9064" t="str">
        <f t="shared" si="3341"/>
        <v>CA</v>
      </c>
      <c r="K9064" t="str">
        <f t="shared" si="3339"/>
        <v>000000000000000000</v>
      </c>
      <c r="L9064" t="str">
        <f>T("6195531618")</f>
        <v>6195531618</v>
      </c>
    </row>
    <row r="9065" spans="1:12" x14ac:dyDescent="0.35">
      <c r="A9065" t="str">
        <f t="shared" si="3332"/>
        <v>SSA PACIFIC</v>
      </c>
      <c r="B9065" t="str">
        <f t="shared" si="3336"/>
        <v>53560 HULL STREET</v>
      </c>
      <c r="C9065" t="str">
        <f t="shared" si="3342"/>
        <v>CODE 71730</v>
      </c>
      <c r="D9065" t="str">
        <f t="shared" si="3333"/>
        <v>SAN DIEGO</v>
      </c>
      <c r="E9065" t="str">
        <f t="shared" si="3334"/>
        <v>CA</v>
      </c>
      <c r="F9065" t="str">
        <f t="shared" si="3343"/>
        <v>921525001</v>
      </c>
      <c r="G9065" t="str">
        <f>T("53560 HULL STREET")</f>
        <v>53560 HULL STREET</v>
      </c>
      <c r="H9065" t="str">
        <f>T("CODE 71730")</f>
        <v>CODE 71730</v>
      </c>
      <c r="I9065" t="str">
        <f t="shared" si="3340"/>
        <v>SAN DIEGO</v>
      </c>
      <c r="J9065" t="str">
        <f t="shared" si="3341"/>
        <v>CA</v>
      </c>
      <c r="K9065" t="str">
        <f t="shared" si="3339"/>
        <v>000000000000000000</v>
      </c>
      <c r="L9065" t="str">
        <f>T("6195535610")</f>
        <v>6195535610</v>
      </c>
    </row>
    <row r="9066" spans="1:12" x14ac:dyDescent="0.35">
      <c r="A9066" t="str">
        <f t="shared" si="3332"/>
        <v>SSA PACIFIC</v>
      </c>
      <c r="B9066" t="str">
        <f t="shared" si="3336"/>
        <v>53560 HULL STREET</v>
      </c>
      <c r="C9066" t="str">
        <f t="shared" si="3342"/>
        <v>CODE 71730</v>
      </c>
      <c r="D9066" t="str">
        <f t="shared" si="3333"/>
        <v>SAN DIEGO</v>
      </c>
      <c r="E9066" t="str">
        <f t="shared" si="3334"/>
        <v>CA</v>
      </c>
      <c r="F9066" t="str">
        <f t="shared" si="3343"/>
        <v>921525001</v>
      </c>
      <c r="G9066" t="str">
        <f>T("53560 HULL STREET")</f>
        <v>53560 HULL STREET</v>
      </c>
      <c r="H9066" t="str">
        <f>T("CODE 71750")</f>
        <v>CODE 71750</v>
      </c>
      <c r="I9066" t="str">
        <f t="shared" si="3340"/>
        <v>SAN DIEGO</v>
      </c>
      <c r="J9066" t="str">
        <f t="shared" si="3341"/>
        <v>CA</v>
      </c>
      <c r="K9066" t="str">
        <f t="shared" si="3339"/>
        <v>000000000000000000</v>
      </c>
      <c r="L9066" t="str">
        <f>T("6195539479")</f>
        <v>6195539479</v>
      </c>
    </row>
    <row r="9067" spans="1:12" x14ac:dyDescent="0.35">
      <c r="A9067" t="str">
        <f t="shared" si="3332"/>
        <v>SSA PACIFIC</v>
      </c>
      <c r="B9067" t="str">
        <f t="shared" si="3336"/>
        <v>53560 HULL STREET</v>
      </c>
      <c r="C9067" t="str">
        <f t="shared" si="3342"/>
        <v>CODE 71730</v>
      </c>
      <c r="D9067" t="str">
        <f t="shared" si="3333"/>
        <v>SAN DIEGO</v>
      </c>
      <c r="E9067" t="str">
        <f t="shared" si="3334"/>
        <v>CA</v>
      </c>
      <c r="F9067" t="str">
        <f t="shared" si="3343"/>
        <v>921525001</v>
      </c>
      <c r="G9067" t="str">
        <f>T("CODE 71730")</f>
        <v>CODE 71730</v>
      </c>
      <c r="H9067" t="str">
        <f>T("53560 HULL STREET")</f>
        <v>53560 HULL STREET</v>
      </c>
      <c r="I9067" t="str">
        <f t="shared" si="3340"/>
        <v>SAN DIEGO</v>
      </c>
      <c r="J9067" t="str">
        <f t="shared" si="3341"/>
        <v>CA</v>
      </c>
      <c r="K9067" t="str">
        <f t="shared" si="3339"/>
        <v>000000000000000000</v>
      </c>
      <c r="L9067" t="str">
        <f>T("6195531364")</f>
        <v>6195531364</v>
      </c>
    </row>
    <row r="9068" spans="1:12" x14ac:dyDescent="0.35">
      <c r="A9068" t="str">
        <f t="shared" si="3332"/>
        <v>SSA PACIFIC</v>
      </c>
      <c r="B9068" t="str">
        <f t="shared" si="3336"/>
        <v>53560 HULL STREET</v>
      </c>
      <c r="C9068" t="str">
        <f>T("CODE 71750")</f>
        <v>CODE 71750</v>
      </c>
      <c r="D9068" t="str">
        <f t="shared" si="3333"/>
        <v>SAN DIEGO</v>
      </c>
      <c r="E9068" t="str">
        <f t="shared" si="3334"/>
        <v>CA</v>
      </c>
      <c r="F9068" t="str">
        <f>T("921520001")</f>
        <v>921520001</v>
      </c>
      <c r="G9068" t="str">
        <f t="shared" ref="G9068:G9077" si="3344">T("53560 HULL STREET")</f>
        <v>53560 HULL STREET</v>
      </c>
      <c r="H9068" t="str">
        <f>T("CODE 71750")</f>
        <v>CODE 71750</v>
      </c>
      <c r="I9068" t="str">
        <f t="shared" si="3340"/>
        <v>SAN DIEGO</v>
      </c>
      <c r="J9068" t="str">
        <f t="shared" si="3341"/>
        <v>CA</v>
      </c>
      <c r="K9068" t="str">
        <f t="shared" si="3339"/>
        <v>000000000000000000</v>
      </c>
      <c r="L9068" t="str">
        <f>T("6195530956")</f>
        <v>6195530956</v>
      </c>
    </row>
    <row r="9069" spans="1:12" x14ac:dyDescent="0.35">
      <c r="A9069" t="str">
        <f t="shared" si="3332"/>
        <v>SSA PACIFIC</v>
      </c>
      <c r="B9069" t="str">
        <f t="shared" si="3336"/>
        <v>53560 HULL STREET</v>
      </c>
      <c r="C9069" t="str">
        <f>T("CODE 71750")</f>
        <v>CODE 71750</v>
      </c>
      <c r="D9069" t="str">
        <f t="shared" si="3333"/>
        <v>SAN DIEGO</v>
      </c>
      <c r="E9069" t="str">
        <f t="shared" si="3334"/>
        <v>CA</v>
      </c>
      <c r="F9069" t="str">
        <f>T("921520001")</f>
        <v>921520001</v>
      </c>
      <c r="G9069" t="str">
        <f t="shared" si="3344"/>
        <v>53560 HULL STREET</v>
      </c>
      <c r="H9069" t="str">
        <f>T("CODE 71750")</f>
        <v>CODE 71750</v>
      </c>
      <c r="I9069" t="str">
        <f t="shared" si="3340"/>
        <v>SAN DIEGO</v>
      </c>
      <c r="J9069" t="str">
        <f t="shared" si="3341"/>
        <v>CA</v>
      </c>
      <c r="K9069" t="str">
        <f t="shared" si="3339"/>
        <v>000000000000000000</v>
      </c>
      <c r="L9069" t="str">
        <f>T("6195532768")</f>
        <v>6195532768</v>
      </c>
    </row>
    <row r="9070" spans="1:12" x14ac:dyDescent="0.35">
      <c r="A9070" t="str">
        <f t="shared" si="3332"/>
        <v>SSA PACIFIC</v>
      </c>
      <c r="B9070" t="str">
        <f t="shared" si="3336"/>
        <v>53560 HULL STREET</v>
      </c>
      <c r="C9070" t="str">
        <f>T("CODE 71750")</f>
        <v>CODE 71750</v>
      </c>
      <c r="D9070" t="str">
        <f t="shared" si="3333"/>
        <v>SAN DIEGO</v>
      </c>
      <c r="E9070" t="str">
        <f t="shared" si="3334"/>
        <v>CA</v>
      </c>
      <c r="F9070" t="str">
        <f>T("921520001")</f>
        <v>921520001</v>
      </c>
      <c r="G9070" t="str">
        <f t="shared" si="3344"/>
        <v>53560 HULL STREET</v>
      </c>
      <c r="H9070" t="str">
        <f>T("CODE 71760")</f>
        <v>CODE 71760</v>
      </c>
      <c r="I9070" t="str">
        <f t="shared" si="3340"/>
        <v>SAN DIEGO</v>
      </c>
      <c r="J9070" t="str">
        <f t="shared" si="3341"/>
        <v>CA</v>
      </c>
      <c r="K9070" t="str">
        <f t="shared" si="3339"/>
        <v>000000000000000000</v>
      </c>
      <c r="L9070" t="str">
        <f>T("6195534934")</f>
        <v>6195534934</v>
      </c>
    </row>
    <row r="9071" spans="1:12" x14ac:dyDescent="0.35">
      <c r="A9071" t="str">
        <f t="shared" si="3332"/>
        <v>SSA PACIFIC</v>
      </c>
      <c r="B9071" t="str">
        <f t="shared" si="3336"/>
        <v>53560 HULL STREET</v>
      </c>
      <c r="C9071" t="str">
        <f>T("CODE 71750")</f>
        <v>CODE 71750</v>
      </c>
      <c r="D9071" t="str">
        <f t="shared" si="3333"/>
        <v>SAN DIEGO</v>
      </c>
      <c r="E9071" t="str">
        <f t="shared" si="3334"/>
        <v>CA</v>
      </c>
      <c r="F9071" t="str">
        <f>T("921525001")</f>
        <v>921525001</v>
      </c>
      <c r="G9071" t="str">
        <f t="shared" si="3344"/>
        <v>53560 HULL STREET</v>
      </c>
      <c r="H9071" t="str">
        <f>T("CODE 71750")</f>
        <v>CODE 71750</v>
      </c>
      <c r="I9071" t="str">
        <f t="shared" si="3340"/>
        <v>SAN DIEGO</v>
      </c>
      <c r="J9071" t="str">
        <f t="shared" si="3341"/>
        <v>CA</v>
      </c>
      <c r="K9071" t="str">
        <f t="shared" si="3339"/>
        <v>000000000000000000</v>
      </c>
      <c r="L9071" t="str">
        <f>T("6195532804")</f>
        <v>6195532804</v>
      </c>
    </row>
    <row r="9072" spans="1:12" x14ac:dyDescent="0.35">
      <c r="A9072" t="str">
        <f t="shared" si="3332"/>
        <v>SSA PACIFIC</v>
      </c>
      <c r="B9072" t="str">
        <f t="shared" si="3336"/>
        <v>53560 HULL STREET</v>
      </c>
      <c r="C9072" t="str">
        <f>T("CODE 71750")</f>
        <v>CODE 71750</v>
      </c>
      <c r="D9072" t="str">
        <f t="shared" si="3333"/>
        <v>SAN DIEGO</v>
      </c>
      <c r="E9072" t="str">
        <f t="shared" si="3334"/>
        <v>CA</v>
      </c>
      <c r="F9072" t="str">
        <f>T("921525001")</f>
        <v>921525001</v>
      </c>
      <c r="G9072" t="str">
        <f t="shared" si="3344"/>
        <v>53560 HULL STREET</v>
      </c>
      <c r="H9072" t="str">
        <f>T("CODE 71750")</f>
        <v>CODE 71750</v>
      </c>
      <c r="I9072" t="str">
        <f t="shared" si="3340"/>
        <v>SAN DIEGO</v>
      </c>
      <c r="J9072" t="str">
        <f t="shared" si="3341"/>
        <v>CA</v>
      </c>
      <c r="K9072" t="str">
        <f t="shared" si="3339"/>
        <v>000000000000000000</v>
      </c>
      <c r="L9072" t="str">
        <f>T("6195535333")</f>
        <v>6195535333</v>
      </c>
    </row>
    <row r="9073" spans="1:12" x14ac:dyDescent="0.35">
      <c r="A9073" t="str">
        <f t="shared" si="3332"/>
        <v>SSA PACIFIC</v>
      </c>
      <c r="B9073" t="str">
        <f t="shared" si="3336"/>
        <v>53560 HULL STREET</v>
      </c>
      <c r="C9073" t="str">
        <f>T("CODE 73430")</f>
        <v>CODE 73430</v>
      </c>
      <c r="D9073" t="str">
        <f t="shared" si="3333"/>
        <v>SAN DIEGO</v>
      </c>
      <c r="E9073" t="str">
        <f t="shared" si="3334"/>
        <v>CA</v>
      </c>
      <c r="F9073" t="str">
        <f>T("921525001")</f>
        <v>921525001</v>
      </c>
      <c r="G9073" t="str">
        <f t="shared" si="3344"/>
        <v>53560 HULL STREET</v>
      </c>
      <c r="H9073" t="str">
        <f>T("CODE 73402")</f>
        <v>CODE 73402</v>
      </c>
      <c r="I9073" t="str">
        <f t="shared" si="3340"/>
        <v>SAN DIEGO</v>
      </c>
      <c r="J9073" t="str">
        <f t="shared" si="3341"/>
        <v>CA</v>
      </c>
      <c r="K9073" t="str">
        <f t="shared" si="3339"/>
        <v>000000000000000000</v>
      </c>
      <c r="L9073" t="str">
        <f>T("6195532258")</f>
        <v>6195532258</v>
      </c>
    </row>
    <row r="9074" spans="1:12" x14ac:dyDescent="0.35">
      <c r="A9074" t="str">
        <f t="shared" si="3332"/>
        <v>SSA PACIFIC</v>
      </c>
      <c r="B9074" t="str">
        <f t="shared" si="3336"/>
        <v>53560 HULL STREET</v>
      </c>
      <c r="C9074" t="str">
        <f>T("CODE 73430")</f>
        <v>CODE 73430</v>
      </c>
      <c r="D9074" t="str">
        <f t="shared" si="3333"/>
        <v>SAN DIEGO</v>
      </c>
      <c r="E9074" t="str">
        <f t="shared" si="3334"/>
        <v>CA</v>
      </c>
      <c r="F9074" t="str">
        <f>T("921525001")</f>
        <v>921525001</v>
      </c>
      <c r="G9074" t="str">
        <f t="shared" si="3344"/>
        <v>53560 HULL STREET</v>
      </c>
      <c r="H9074" t="str">
        <f>T("CODE 73430")</f>
        <v>CODE 73430</v>
      </c>
      <c r="I9074" t="str">
        <f t="shared" si="3340"/>
        <v>SAN DIEGO</v>
      </c>
      <c r="J9074" t="str">
        <f t="shared" si="3341"/>
        <v>CA</v>
      </c>
      <c r="K9074" t="str">
        <f t="shared" si="3339"/>
        <v>000000000000000000</v>
      </c>
      <c r="L9074" t="str">
        <f>T("6195533095")</f>
        <v>6195533095</v>
      </c>
    </row>
    <row r="9075" spans="1:12" x14ac:dyDescent="0.35">
      <c r="A9075" t="str">
        <f t="shared" si="3332"/>
        <v>SSA PACIFIC</v>
      </c>
      <c r="B9075" t="str">
        <f t="shared" si="3336"/>
        <v>53560 HULL STREET</v>
      </c>
      <c r="C9075" t="str">
        <f>T("CODE 73430")</f>
        <v>CODE 73430</v>
      </c>
      <c r="D9075" t="str">
        <f t="shared" si="3333"/>
        <v>SAN DIEGO</v>
      </c>
      <c r="E9075" t="str">
        <f t="shared" si="3334"/>
        <v>CA</v>
      </c>
      <c r="F9075" t="str">
        <f>T("921525001")</f>
        <v>921525001</v>
      </c>
      <c r="G9075" t="str">
        <f t="shared" si="3344"/>
        <v>53560 HULL STREET</v>
      </c>
      <c r="H9075" t="str">
        <f>T("CODE 82300")</f>
        <v>CODE 82300</v>
      </c>
      <c r="I9075" t="str">
        <f t="shared" si="3340"/>
        <v>SAN DIEGO</v>
      </c>
      <c r="J9075" t="str">
        <f t="shared" si="3341"/>
        <v>CA</v>
      </c>
      <c r="K9075" t="str">
        <f t="shared" si="3339"/>
        <v>000000000000000000</v>
      </c>
      <c r="L9075" t="str">
        <f>T("6195536354")</f>
        <v>6195536354</v>
      </c>
    </row>
    <row r="9076" spans="1:12" x14ac:dyDescent="0.35">
      <c r="A9076" t="str">
        <f t="shared" si="3332"/>
        <v>SSA PACIFIC</v>
      </c>
      <c r="B9076" t="str">
        <f t="shared" si="3336"/>
        <v>53560 HULL STREET</v>
      </c>
      <c r="C9076" t="str">
        <f>T("CODE 811")</f>
        <v>CODE 811</v>
      </c>
      <c r="D9076" t="str">
        <f t="shared" si="3333"/>
        <v>SAN DIEGO</v>
      </c>
      <c r="E9076" t="str">
        <f t="shared" si="3334"/>
        <v>CA</v>
      </c>
      <c r="F9076" t="str">
        <f t="shared" ref="F9076:F9082" si="3345">T("921520001")</f>
        <v>921520001</v>
      </c>
      <c r="G9076" t="str">
        <f t="shared" si="3344"/>
        <v>53560 HULL STREET</v>
      </c>
      <c r="H9076" t="str">
        <f>T("81100")</f>
        <v>81100</v>
      </c>
      <c r="I9076" t="str">
        <f t="shared" si="3340"/>
        <v>SAN DIEGO</v>
      </c>
      <c r="J9076" t="str">
        <f t="shared" si="3341"/>
        <v>CA</v>
      </c>
      <c r="K9076" t="str">
        <f t="shared" si="3339"/>
        <v>000000000000000000</v>
      </c>
      <c r="L9076" t="str">
        <f>T("6195531837")</f>
        <v>6195531837</v>
      </c>
    </row>
    <row r="9077" spans="1:12" x14ac:dyDescent="0.35">
      <c r="A9077" t="str">
        <f t="shared" si="3332"/>
        <v>SSA PACIFIC</v>
      </c>
      <c r="B9077" t="str">
        <f t="shared" si="3336"/>
        <v>53560 HULL STREET</v>
      </c>
      <c r="C9077" t="str">
        <f>T("CODE 811")</f>
        <v>CODE 811</v>
      </c>
      <c r="D9077" t="str">
        <f t="shared" si="3333"/>
        <v>SAN DIEGO</v>
      </c>
      <c r="E9077" t="str">
        <f t="shared" si="3334"/>
        <v>CA</v>
      </c>
      <c r="F9077" t="str">
        <f t="shared" si="3345"/>
        <v>921520001</v>
      </c>
      <c r="G9077" t="str">
        <f t="shared" si="3344"/>
        <v>53560 HULL STREET</v>
      </c>
      <c r="H9077" t="str">
        <f>T("CODE 811")</f>
        <v>CODE 811</v>
      </c>
      <c r="I9077" t="str">
        <f t="shared" si="3340"/>
        <v>SAN DIEGO</v>
      </c>
      <c r="J9077" t="str">
        <f t="shared" si="3341"/>
        <v>CA</v>
      </c>
      <c r="K9077" t="str">
        <f t="shared" si="3339"/>
        <v>000000000000000000</v>
      </c>
      <c r="L9077" t="str">
        <f>T("6195535120")</f>
        <v>6195535120</v>
      </c>
    </row>
    <row r="9078" spans="1:12" x14ac:dyDescent="0.35">
      <c r="A9078" t="str">
        <f t="shared" si="3332"/>
        <v>SSA PACIFIC</v>
      </c>
      <c r="B9078" t="str">
        <f t="shared" si="3336"/>
        <v>53560 HULL STREET</v>
      </c>
      <c r="C9078" t="str">
        <f>T("CODE 81300")</f>
        <v>CODE 81300</v>
      </c>
      <c r="D9078" t="str">
        <f t="shared" si="3333"/>
        <v>SAN DIEGO</v>
      </c>
      <c r="E9078" t="str">
        <f t="shared" si="3334"/>
        <v>CA</v>
      </c>
      <c r="F9078" t="str">
        <f t="shared" si="3345"/>
        <v>921520001</v>
      </c>
      <c r="G9078" t="str">
        <f>T("53560 HULL ST")</f>
        <v>53560 HULL ST</v>
      </c>
      <c r="H9078" t="str">
        <f>T("81310")</f>
        <v>81310</v>
      </c>
      <c r="I9078" t="str">
        <f t="shared" si="3340"/>
        <v>SAN DIEGO</v>
      </c>
      <c r="J9078" t="str">
        <f t="shared" si="3341"/>
        <v>CA</v>
      </c>
      <c r="K9078" t="str">
        <f t="shared" ref="K9078:K9109" si="3346">T("000000000000000000")</f>
        <v>000000000000000000</v>
      </c>
      <c r="L9078" t="str">
        <f>T("6195531823")</f>
        <v>6195531823</v>
      </c>
    </row>
    <row r="9079" spans="1:12" x14ac:dyDescent="0.35">
      <c r="A9079" t="str">
        <f t="shared" si="3332"/>
        <v>SSA PACIFIC</v>
      </c>
      <c r="B9079" t="str">
        <f t="shared" si="3336"/>
        <v>53560 HULL STREET</v>
      </c>
      <c r="C9079" t="str">
        <f>T("CODE 81300")</f>
        <v>CODE 81300</v>
      </c>
      <c r="D9079" t="str">
        <f t="shared" si="3333"/>
        <v>SAN DIEGO</v>
      </c>
      <c r="E9079" t="str">
        <f t="shared" si="3334"/>
        <v>CA</v>
      </c>
      <c r="F9079" t="str">
        <f t="shared" si="3345"/>
        <v>921520001</v>
      </c>
      <c r="G9079" t="str">
        <f t="shared" ref="G9079:G9097" si="3347">T("53560 HULL STREET")</f>
        <v>53560 HULL STREET</v>
      </c>
      <c r="H9079" t="str">
        <f>T("CODE 81300")</f>
        <v>CODE 81300</v>
      </c>
      <c r="I9079" t="str">
        <f t="shared" si="3340"/>
        <v>SAN DIEGO</v>
      </c>
      <c r="J9079" t="str">
        <f t="shared" si="3341"/>
        <v>CA</v>
      </c>
      <c r="K9079" t="str">
        <f t="shared" si="3346"/>
        <v>000000000000000000</v>
      </c>
      <c r="L9079" t="str">
        <f>T("6195531825")</f>
        <v>6195531825</v>
      </c>
    </row>
    <row r="9080" spans="1:12" x14ac:dyDescent="0.35">
      <c r="A9080" t="str">
        <f t="shared" si="3332"/>
        <v>SSA PACIFIC</v>
      </c>
      <c r="B9080" t="str">
        <f t="shared" si="3336"/>
        <v>53560 HULL STREET</v>
      </c>
      <c r="C9080" t="str">
        <f>T("CODE 81300")</f>
        <v>CODE 81300</v>
      </c>
      <c r="D9080" t="str">
        <f t="shared" si="3333"/>
        <v>SAN DIEGO</v>
      </c>
      <c r="E9080" t="str">
        <f t="shared" si="3334"/>
        <v>CA</v>
      </c>
      <c r="F9080" t="str">
        <f t="shared" si="3345"/>
        <v>921520001</v>
      </c>
      <c r="G9080" t="str">
        <f t="shared" si="3347"/>
        <v>53560 HULL STREET</v>
      </c>
      <c r="H9080" t="str">
        <f>T("CODE 81300")</f>
        <v>CODE 81300</v>
      </c>
      <c r="I9080" t="str">
        <f t="shared" si="3340"/>
        <v>SAN DIEGO</v>
      </c>
      <c r="J9080" t="str">
        <f t="shared" si="3341"/>
        <v>CA</v>
      </c>
      <c r="K9080" t="str">
        <f t="shared" si="3346"/>
        <v>000000000000000000</v>
      </c>
      <c r="L9080" t="str">
        <f>T("6195536868")</f>
        <v>6195536868</v>
      </c>
    </row>
    <row r="9081" spans="1:12" x14ac:dyDescent="0.35">
      <c r="A9081" t="str">
        <f t="shared" si="3332"/>
        <v>SSA PACIFIC</v>
      </c>
      <c r="B9081" t="str">
        <f t="shared" si="3336"/>
        <v>53560 HULL STREET</v>
      </c>
      <c r="C9081" t="str">
        <f>T("CODE 81300")</f>
        <v>CODE 81300</v>
      </c>
      <c r="D9081" t="str">
        <f t="shared" si="3333"/>
        <v>SAN DIEGO</v>
      </c>
      <c r="E9081" t="str">
        <f t="shared" si="3334"/>
        <v>CA</v>
      </c>
      <c r="F9081" t="str">
        <f t="shared" si="3345"/>
        <v>921520001</v>
      </c>
      <c r="G9081" t="str">
        <f t="shared" si="3347"/>
        <v>53560 HULL STREET</v>
      </c>
      <c r="H9081" t="str">
        <f>T("CODE 81310")</f>
        <v>CODE 81310</v>
      </c>
      <c r="I9081" t="str">
        <f t="shared" si="3340"/>
        <v>SAN DIEGO</v>
      </c>
      <c r="J9081" t="str">
        <f t="shared" si="3341"/>
        <v>CA</v>
      </c>
      <c r="K9081" t="str">
        <f t="shared" si="3346"/>
        <v>000000000000000000</v>
      </c>
      <c r="L9081" t="str">
        <f>T("6192265302")</f>
        <v>6192265302</v>
      </c>
    </row>
    <row r="9082" spans="1:12" x14ac:dyDescent="0.35">
      <c r="A9082" t="str">
        <f t="shared" si="3332"/>
        <v>SSA PACIFIC</v>
      </c>
      <c r="B9082" t="str">
        <f t="shared" si="3336"/>
        <v>53560 HULL STREET</v>
      </c>
      <c r="C9082" t="str">
        <f>T("CODE 81300")</f>
        <v>CODE 81300</v>
      </c>
      <c r="D9082" t="str">
        <f t="shared" si="3333"/>
        <v>SAN DIEGO</v>
      </c>
      <c r="E9082" t="str">
        <f t="shared" si="3334"/>
        <v>CA</v>
      </c>
      <c r="F9082" t="str">
        <f t="shared" si="3345"/>
        <v>921520001</v>
      </c>
      <c r="G9082" t="str">
        <f t="shared" si="3347"/>
        <v>53560 HULL STREET</v>
      </c>
      <c r="H9082" t="str">
        <f>T("CODE 81310")</f>
        <v>CODE 81310</v>
      </c>
      <c r="I9082" t="str">
        <f t="shared" si="3340"/>
        <v>SAN DIEGO</v>
      </c>
      <c r="J9082" t="str">
        <f t="shared" si="3341"/>
        <v>CA</v>
      </c>
      <c r="K9082" t="str">
        <f t="shared" si="3346"/>
        <v>000000000000000000</v>
      </c>
      <c r="L9082" t="str">
        <f>T("6195531824")</f>
        <v>6195531824</v>
      </c>
    </row>
    <row r="9083" spans="1:12" x14ac:dyDescent="0.35">
      <c r="A9083" t="str">
        <f t="shared" si="3332"/>
        <v>SSA PACIFIC</v>
      </c>
      <c r="B9083" t="str">
        <f t="shared" si="3336"/>
        <v>53560 HULL STREET</v>
      </c>
      <c r="C9083" t="str">
        <f>T("CODE 83310")</f>
        <v>CODE 83310</v>
      </c>
      <c r="D9083" t="str">
        <f t="shared" si="3333"/>
        <v>SAN DIEGO</v>
      </c>
      <c r="E9083" t="str">
        <f t="shared" si="3334"/>
        <v>CA</v>
      </c>
      <c r="F9083" t="str">
        <f>T("921525001")</f>
        <v>921525001</v>
      </c>
      <c r="G9083" t="str">
        <f t="shared" si="3347"/>
        <v>53560 HULL STREET</v>
      </c>
      <c r="H9083" t="str">
        <f>T("CODE 83300")</f>
        <v>CODE 83300</v>
      </c>
      <c r="I9083" t="str">
        <f t="shared" si="3340"/>
        <v>SAN DIEGO</v>
      </c>
      <c r="J9083" t="str">
        <f t="shared" si="3341"/>
        <v>CA</v>
      </c>
      <c r="K9083" t="str">
        <f t="shared" si="3346"/>
        <v>000000000000000000</v>
      </c>
      <c r="L9083" t="str">
        <f>T("6195533150")</f>
        <v>6195533150</v>
      </c>
    </row>
    <row r="9084" spans="1:12" x14ac:dyDescent="0.35">
      <c r="A9084" t="str">
        <f t="shared" si="3332"/>
        <v>SSA PACIFIC</v>
      </c>
      <c r="B9084" t="str">
        <f t="shared" si="3336"/>
        <v>53560 HULL STREET</v>
      </c>
      <c r="C9084" t="str">
        <f>T("CODE 83310")</f>
        <v>CODE 83310</v>
      </c>
      <c r="D9084" t="str">
        <f t="shared" si="3333"/>
        <v>SAN DIEGO</v>
      </c>
      <c r="E9084" t="str">
        <f t="shared" si="3334"/>
        <v>CA</v>
      </c>
      <c r="F9084" t="str">
        <f>T("921525001")</f>
        <v>921525001</v>
      </c>
      <c r="G9084" t="str">
        <f t="shared" si="3347"/>
        <v>53560 HULL STREET</v>
      </c>
      <c r="H9084" t="str">
        <f>T("CODE 83310")</f>
        <v>CODE 83310</v>
      </c>
      <c r="I9084" t="str">
        <f t="shared" si="3340"/>
        <v>SAN DIEGO</v>
      </c>
      <c r="J9084" t="str">
        <f t="shared" si="3341"/>
        <v>CA</v>
      </c>
      <c r="K9084" t="str">
        <f t="shared" si="3346"/>
        <v>000000000000000000</v>
      </c>
      <c r="L9084" t="str">
        <f>T("6195533186")</f>
        <v>6195533186</v>
      </c>
    </row>
    <row r="9085" spans="1:12" x14ac:dyDescent="0.35">
      <c r="A9085" t="str">
        <f t="shared" si="3332"/>
        <v>SSA PACIFIC</v>
      </c>
      <c r="B9085" t="str">
        <f t="shared" si="3336"/>
        <v>53560 HULL STREET</v>
      </c>
      <c r="C9085" t="str">
        <f>T("CODE 83352")</f>
        <v>CODE 83352</v>
      </c>
      <c r="D9085" t="str">
        <f t="shared" si="3333"/>
        <v>SAN DIEGO</v>
      </c>
      <c r="E9085" t="str">
        <f t="shared" si="3334"/>
        <v>CA</v>
      </c>
      <c r="F9085" t="str">
        <f>T("921525001")</f>
        <v>921525001</v>
      </c>
      <c r="G9085" t="str">
        <f t="shared" si="3347"/>
        <v>53560 HULL STREET</v>
      </c>
      <c r="H9085" t="str">
        <f>T("CODE 83310")</f>
        <v>CODE 83310</v>
      </c>
      <c r="I9085" t="str">
        <f t="shared" si="3340"/>
        <v>SAN DIEGO</v>
      </c>
      <c r="J9085" t="str">
        <f t="shared" si="3341"/>
        <v>CA</v>
      </c>
      <c r="K9085" t="str">
        <f t="shared" si="3346"/>
        <v>000000000000000000</v>
      </c>
      <c r="L9085" t="str">
        <f>T("6195533208")</f>
        <v>6195533208</v>
      </c>
    </row>
    <row r="9086" spans="1:12" x14ac:dyDescent="0.35">
      <c r="A9086" t="str">
        <f t="shared" si="3332"/>
        <v>SSA PACIFIC</v>
      </c>
      <c r="B9086" t="str">
        <f t="shared" si="3336"/>
        <v>53560 HULL STREET</v>
      </c>
      <c r="C9086" t="str">
        <f>T("CODE 83352")</f>
        <v>CODE 83352</v>
      </c>
      <c r="D9086" t="str">
        <f t="shared" si="3333"/>
        <v>SAN DIEGO</v>
      </c>
      <c r="E9086" t="str">
        <f t="shared" si="3334"/>
        <v>CA</v>
      </c>
      <c r="F9086" t="str">
        <f>T("921525001")</f>
        <v>921525001</v>
      </c>
      <c r="G9086" t="str">
        <f t="shared" si="3347"/>
        <v>53560 HULL STREET</v>
      </c>
      <c r="H9086" t="str">
        <f>T("CODE 83320")</f>
        <v>CODE 83320</v>
      </c>
      <c r="I9086" t="str">
        <f t="shared" si="3340"/>
        <v>SAN DIEGO</v>
      </c>
      <c r="J9086" t="str">
        <f t="shared" si="3341"/>
        <v>CA</v>
      </c>
      <c r="K9086" t="str">
        <f t="shared" si="3346"/>
        <v>000000000000000000</v>
      </c>
      <c r="L9086" t="str">
        <f>T("6195534619")</f>
        <v>6195534619</v>
      </c>
    </row>
    <row r="9087" spans="1:12" x14ac:dyDescent="0.35">
      <c r="A9087" t="str">
        <f t="shared" si="3332"/>
        <v>SSA PACIFIC</v>
      </c>
      <c r="B9087" t="str">
        <f t="shared" si="3336"/>
        <v>53560 HULL STREET</v>
      </c>
      <c r="C9087" t="str">
        <f>T("CODE 83352")</f>
        <v>CODE 83352</v>
      </c>
      <c r="D9087" t="str">
        <f t="shared" si="3333"/>
        <v>SAN DIEGO</v>
      </c>
      <c r="E9087" t="str">
        <f t="shared" si="3334"/>
        <v>CA</v>
      </c>
      <c r="F9087" t="str">
        <f>T("921525001")</f>
        <v>921525001</v>
      </c>
      <c r="G9087" t="str">
        <f t="shared" si="3347"/>
        <v>53560 HULL STREET</v>
      </c>
      <c r="H9087" t="str">
        <f>T("CODE 83352")</f>
        <v>CODE 83352</v>
      </c>
      <c r="I9087" t="str">
        <f t="shared" ref="I9087:I9113" si="3348">T("SAN DIEGO")</f>
        <v>SAN DIEGO</v>
      </c>
      <c r="J9087" t="str">
        <f t="shared" ref="J9087:J9113" si="3349">T("CA")</f>
        <v>CA</v>
      </c>
      <c r="K9087" t="str">
        <f t="shared" si="3346"/>
        <v>000000000000000000</v>
      </c>
      <c r="L9087" t="str">
        <f>T("6195534237")</f>
        <v>6195534237</v>
      </c>
    </row>
    <row r="9088" spans="1:12" x14ac:dyDescent="0.35">
      <c r="A9088" t="str">
        <f t="shared" si="3332"/>
        <v>SSA PACIFIC</v>
      </c>
      <c r="B9088" t="str">
        <f t="shared" si="3336"/>
        <v>53560 HULL STREET</v>
      </c>
      <c r="C9088" t="str">
        <f>T("CODE 83400")</f>
        <v>CODE 83400</v>
      </c>
      <c r="D9088" t="str">
        <f t="shared" si="3333"/>
        <v>SAN DIEGO</v>
      </c>
      <c r="E9088" t="str">
        <f t="shared" si="3334"/>
        <v>CA</v>
      </c>
      <c r="F9088" t="str">
        <f t="shared" ref="F9088:F9094" si="3350">T("921520001")</f>
        <v>921520001</v>
      </c>
      <c r="G9088" t="str">
        <f t="shared" si="3347"/>
        <v>53560 HULL STREET</v>
      </c>
      <c r="H9088" t="str">
        <f>T("CCODE 83420")</f>
        <v>CCODE 83420</v>
      </c>
      <c r="I9088" t="str">
        <f t="shared" si="3348"/>
        <v>SAN DIEGO</v>
      </c>
      <c r="J9088" t="str">
        <f t="shared" si="3349"/>
        <v>CA</v>
      </c>
      <c r="K9088" t="str">
        <f t="shared" si="3346"/>
        <v>000000000000000000</v>
      </c>
      <c r="L9088" t="str">
        <f>T("6192265108")</f>
        <v>6192265108</v>
      </c>
    </row>
    <row r="9089" spans="1:12" x14ac:dyDescent="0.35">
      <c r="A9089" t="str">
        <f t="shared" si="3332"/>
        <v>SSA PACIFIC</v>
      </c>
      <c r="B9089" t="str">
        <f t="shared" si="3336"/>
        <v>53560 HULL STREET</v>
      </c>
      <c r="C9089" t="str">
        <f>T("CODE 83400")</f>
        <v>CODE 83400</v>
      </c>
      <c r="D9089" t="str">
        <f t="shared" si="3333"/>
        <v>SAN DIEGO</v>
      </c>
      <c r="E9089" t="str">
        <f t="shared" si="3334"/>
        <v>CA</v>
      </c>
      <c r="F9089" t="str">
        <f t="shared" si="3350"/>
        <v>921520001</v>
      </c>
      <c r="G9089" t="str">
        <f t="shared" si="3347"/>
        <v>53560 HULL STREET</v>
      </c>
      <c r="H9089" t="str">
        <f>T("CODE 83400")</f>
        <v>CODE 83400</v>
      </c>
      <c r="I9089" t="str">
        <f t="shared" si="3348"/>
        <v>SAN DIEGO</v>
      </c>
      <c r="J9089" t="str">
        <f t="shared" si="3349"/>
        <v>CA</v>
      </c>
      <c r="K9089" t="str">
        <f t="shared" si="3346"/>
        <v>000000000000000000</v>
      </c>
      <c r="L9089" t="str">
        <f>T("6195533052")</f>
        <v>6195533052</v>
      </c>
    </row>
    <row r="9090" spans="1:12" x14ac:dyDescent="0.35">
      <c r="A9090" t="str">
        <f t="shared" si="3332"/>
        <v>SSA PACIFIC</v>
      </c>
      <c r="B9090" t="str">
        <f t="shared" si="3336"/>
        <v>53560 HULL STREET</v>
      </c>
      <c r="C9090" t="str">
        <f>T("CODE 83510")</f>
        <v>CODE 83510</v>
      </c>
      <c r="D9090" t="str">
        <f t="shared" si="3333"/>
        <v>SAN DIEGO</v>
      </c>
      <c r="E9090" t="str">
        <f t="shared" si="3334"/>
        <v>CA</v>
      </c>
      <c r="F9090" t="str">
        <f t="shared" si="3350"/>
        <v>921520001</v>
      </c>
      <c r="G9090" t="str">
        <f t="shared" si="3347"/>
        <v>53560 HULL STREET</v>
      </c>
      <c r="H9090" t="str">
        <f>T("CODE 83384")</f>
        <v>CODE 83384</v>
      </c>
      <c r="I9090" t="str">
        <f t="shared" si="3348"/>
        <v>SAN DIEGO</v>
      </c>
      <c r="J9090" t="str">
        <f t="shared" si="3349"/>
        <v>CA</v>
      </c>
      <c r="K9090" t="str">
        <f t="shared" si="3346"/>
        <v>000000000000000000</v>
      </c>
      <c r="L9090" t="str">
        <f>T("6195537464")</f>
        <v>6195537464</v>
      </c>
    </row>
    <row r="9091" spans="1:12" x14ac:dyDescent="0.35">
      <c r="A9091" t="str">
        <f t="shared" si="3332"/>
        <v>SSA PACIFIC</v>
      </c>
      <c r="B9091" t="str">
        <f t="shared" si="3336"/>
        <v>53560 HULL STREET</v>
      </c>
      <c r="C9091" t="str">
        <f>T("CODE 83510")</f>
        <v>CODE 83510</v>
      </c>
      <c r="D9091" t="str">
        <f t="shared" si="3333"/>
        <v>SAN DIEGO</v>
      </c>
      <c r="E9091" t="str">
        <f t="shared" si="3334"/>
        <v>CA</v>
      </c>
      <c r="F9091" t="str">
        <f t="shared" si="3350"/>
        <v>921520001</v>
      </c>
      <c r="G9091" t="str">
        <f t="shared" si="3347"/>
        <v>53560 HULL STREET</v>
      </c>
      <c r="H9091" t="str">
        <f>T("CODE 83510")</f>
        <v>CODE 83510</v>
      </c>
      <c r="I9091" t="str">
        <f t="shared" si="3348"/>
        <v>SAN DIEGO</v>
      </c>
      <c r="J9091" t="str">
        <f t="shared" si="3349"/>
        <v>CA</v>
      </c>
      <c r="K9091" t="str">
        <f t="shared" si="3346"/>
        <v>000000000000000000</v>
      </c>
      <c r="L9091" t="str">
        <f>T("6195535019")</f>
        <v>6195535019</v>
      </c>
    </row>
    <row r="9092" spans="1:12" x14ac:dyDescent="0.35">
      <c r="A9092" t="str">
        <f t="shared" si="3332"/>
        <v>SSA PACIFIC</v>
      </c>
      <c r="B9092" t="str">
        <f t="shared" si="3336"/>
        <v>53560 HULL STREET</v>
      </c>
      <c r="C9092" t="str">
        <f>T("CODE 83510")</f>
        <v>CODE 83510</v>
      </c>
      <c r="D9092" t="str">
        <f t="shared" si="3333"/>
        <v>SAN DIEGO</v>
      </c>
      <c r="E9092" t="str">
        <f t="shared" si="3334"/>
        <v>CA</v>
      </c>
      <c r="F9092" t="str">
        <f t="shared" si="3350"/>
        <v>921520001</v>
      </c>
      <c r="G9092" t="str">
        <f t="shared" si="3347"/>
        <v>53560 HULL STREET</v>
      </c>
      <c r="H9092" t="str">
        <f>T("CODE 83510")</f>
        <v>CODE 83510</v>
      </c>
      <c r="I9092" t="str">
        <f t="shared" si="3348"/>
        <v>SAN DIEGO</v>
      </c>
      <c r="J9092" t="str">
        <f t="shared" si="3349"/>
        <v>CA</v>
      </c>
      <c r="K9092" t="str">
        <f t="shared" si="3346"/>
        <v>000000000000000000</v>
      </c>
      <c r="L9092" t="str">
        <f>T("6195535024")</f>
        <v>6195535024</v>
      </c>
    </row>
    <row r="9093" spans="1:12" x14ac:dyDescent="0.35">
      <c r="A9093" t="str">
        <f t="shared" si="3332"/>
        <v>SSA PACIFIC</v>
      </c>
      <c r="B9093" t="str">
        <f t="shared" si="3336"/>
        <v>53560 HULL STREET</v>
      </c>
      <c r="C9093" t="str">
        <f>T("CODE 83510")</f>
        <v>CODE 83510</v>
      </c>
      <c r="D9093" t="str">
        <f t="shared" si="3333"/>
        <v>SAN DIEGO</v>
      </c>
      <c r="E9093" t="str">
        <f t="shared" si="3334"/>
        <v>CA</v>
      </c>
      <c r="F9093" t="str">
        <f t="shared" si="3350"/>
        <v>921520001</v>
      </c>
      <c r="G9093" t="str">
        <f t="shared" si="3347"/>
        <v>53560 HULL STREET</v>
      </c>
      <c r="H9093" t="str">
        <f>T("CODE 83540")</f>
        <v>CODE 83540</v>
      </c>
      <c r="I9093" t="str">
        <f t="shared" si="3348"/>
        <v>SAN DIEGO</v>
      </c>
      <c r="J9093" t="str">
        <f t="shared" si="3349"/>
        <v>CA</v>
      </c>
      <c r="K9093" t="str">
        <f t="shared" si="3346"/>
        <v>000000000000000000</v>
      </c>
      <c r="L9093" t="str">
        <f>T("6195532688")</f>
        <v>6195532688</v>
      </c>
    </row>
    <row r="9094" spans="1:12" x14ac:dyDescent="0.35">
      <c r="A9094" t="str">
        <f t="shared" si="3332"/>
        <v>SSA PACIFIC</v>
      </c>
      <c r="B9094" t="str">
        <f t="shared" si="3336"/>
        <v>53560 HULL STREET</v>
      </c>
      <c r="C9094" t="str">
        <f>T("CODE 83510")</f>
        <v>CODE 83510</v>
      </c>
      <c r="D9094" t="str">
        <f t="shared" si="3333"/>
        <v>SAN DIEGO</v>
      </c>
      <c r="E9094" t="str">
        <f t="shared" si="3334"/>
        <v>CA</v>
      </c>
      <c r="F9094" t="str">
        <f t="shared" si="3350"/>
        <v>921520001</v>
      </c>
      <c r="G9094" t="str">
        <f t="shared" si="3347"/>
        <v>53560 HULL STREET</v>
      </c>
      <c r="H9094" t="str">
        <f>T("CODE 83540")</f>
        <v>CODE 83540</v>
      </c>
      <c r="I9094" t="str">
        <f t="shared" si="3348"/>
        <v>SAN DIEGO</v>
      </c>
      <c r="J9094" t="str">
        <f t="shared" si="3349"/>
        <v>CA</v>
      </c>
      <c r="K9094" t="str">
        <f t="shared" si="3346"/>
        <v>000000000000000000</v>
      </c>
      <c r="L9094" t="str">
        <f>T("6195533837")</f>
        <v>6195533837</v>
      </c>
    </row>
    <row r="9095" spans="1:12" x14ac:dyDescent="0.35">
      <c r="A9095" t="str">
        <f t="shared" si="3332"/>
        <v>SSA PACIFIC</v>
      </c>
      <c r="B9095" t="str">
        <f t="shared" si="3336"/>
        <v>53560 HULL STREET</v>
      </c>
      <c r="C9095" t="str">
        <f>T("CODE 85003")</f>
        <v>CODE 85003</v>
      </c>
      <c r="D9095" t="str">
        <f t="shared" si="3333"/>
        <v>SAN DIEGO</v>
      </c>
      <c r="E9095" t="str">
        <f t="shared" si="3334"/>
        <v>CA</v>
      </c>
      <c r="F9095" t="str">
        <f>T("921525001")</f>
        <v>921525001</v>
      </c>
      <c r="G9095" t="str">
        <f t="shared" si="3347"/>
        <v>53560 HULL STREET</v>
      </c>
      <c r="H9095" t="str">
        <f>T("CODE 85003")</f>
        <v>CODE 85003</v>
      </c>
      <c r="I9095" t="str">
        <f t="shared" si="3348"/>
        <v>SAN DIEGO</v>
      </c>
      <c r="J9095" t="str">
        <f t="shared" si="3349"/>
        <v>CA</v>
      </c>
      <c r="K9095" t="str">
        <f t="shared" si="3346"/>
        <v>000000000000000000</v>
      </c>
      <c r="L9095" t="str">
        <f>T("6195532725")</f>
        <v>6195532725</v>
      </c>
    </row>
    <row r="9096" spans="1:12" x14ac:dyDescent="0.35">
      <c r="A9096" t="str">
        <f t="shared" si="3332"/>
        <v>SSA PACIFIC</v>
      </c>
      <c r="B9096" t="str">
        <f t="shared" si="3336"/>
        <v>53560 HULL STREET</v>
      </c>
      <c r="C9096" t="str">
        <f>T("CODE 85003")</f>
        <v>CODE 85003</v>
      </c>
      <c r="D9096" t="str">
        <f t="shared" si="3333"/>
        <v>SAN DIEGO</v>
      </c>
      <c r="E9096" t="str">
        <f t="shared" si="3334"/>
        <v>CA</v>
      </c>
      <c r="F9096" t="str">
        <f>T("921525001")</f>
        <v>921525001</v>
      </c>
      <c r="G9096" t="str">
        <f t="shared" si="3347"/>
        <v>53560 HULL STREET</v>
      </c>
      <c r="H9096" t="str">
        <f>T("CODE 85003")</f>
        <v>CODE 85003</v>
      </c>
      <c r="I9096" t="str">
        <f t="shared" si="3348"/>
        <v>SAN DIEGO</v>
      </c>
      <c r="J9096" t="str">
        <f t="shared" si="3349"/>
        <v>CA</v>
      </c>
      <c r="K9096" t="str">
        <f t="shared" si="3346"/>
        <v>000000000000000000</v>
      </c>
      <c r="L9096" t="str">
        <f>T("6195533011")</f>
        <v>6195533011</v>
      </c>
    </row>
    <row r="9097" spans="1:12" x14ac:dyDescent="0.35">
      <c r="A9097" t="str">
        <f t="shared" si="3332"/>
        <v>SSA PACIFIC</v>
      </c>
      <c r="B9097" t="str">
        <f t="shared" si="3336"/>
        <v>53560 HULL STREET</v>
      </c>
      <c r="C9097" t="str">
        <f>T("CODE 85003")</f>
        <v>CODE 85003</v>
      </c>
      <c r="D9097" t="str">
        <f t="shared" si="3333"/>
        <v>SAN DIEGO</v>
      </c>
      <c r="E9097" t="str">
        <f t="shared" si="3334"/>
        <v>CA</v>
      </c>
      <c r="F9097" t="str">
        <f>T("921525001")</f>
        <v>921525001</v>
      </c>
      <c r="G9097" t="str">
        <f t="shared" si="3347"/>
        <v>53560 HULL STREET</v>
      </c>
      <c r="H9097" t="str">
        <f>T("CODE 85300")</f>
        <v>CODE 85300</v>
      </c>
      <c r="I9097" t="str">
        <f t="shared" si="3348"/>
        <v>SAN DIEGO</v>
      </c>
      <c r="J9097" t="str">
        <f t="shared" si="3349"/>
        <v>CA</v>
      </c>
      <c r="K9097" t="str">
        <f t="shared" si="3346"/>
        <v>000000000000000000</v>
      </c>
      <c r="L9097" t="str">
        <f>T("6195534851")</f>
        <v>6195534851</v>
      </c>
    </row>
    <row r="9098" spans="1:12" x14ac:dyDescent="0.35">
      <c r="A9098" t="str">
        <f t="shared" ref="A9098:A9121" si="3351">T("SSA PACIFIC")</f>
        <v>SSA PACIFIC</v>
      </c>
      <c r="B9098" t="str">
        <f t="shared" si="3336"/>
        <v>53560 HULL STREET</v>
      </c>
      <c r="C9098" t="str">
        <f>T("CODE 87017")</f>
        <v>CODE 87017</v>
      </c>
      <c r="D9098" t="str">
        <f t="shared" si="3333"/>
        <v>SAN DIEGO</v>
      </c>
      <c r="E9098" t="str">
        <f t="shared" si="3334"/>
        <v>CA</v>
      </c>
      <c r="F9098" t="str">
        <f>T("921525001")</f>
        <v>921525001</v>
      </c>
      <c r="G9098" t="str">
        <f>T("53560 HULL ST")</f>
        <v>53560 HULL ST</v>
      </c>
      <c r="H9098" t="str">
        <f>T("CODE 87017")</f>
        <v>CODE 87017</v>
      </c>
      <c r="I9098" t="str">
        <f t="shared" si="3348"/>
        <v>SAN DIEGO</v>
      </c>
      <c r="J9098" t="str">
        <f t="shared" si="3349"/>
        <v>CA</v>
      </c>
      <c r="K9098" t="str">
        <f t="shared" si="3346"/>
        <v>000000000000000000</v>
      </c>
      <c r="L9098" t="str">
        <f>T("6195535132")</f>
        <v>6195535132</v>
      </c>
    </row>
    <row r="9099" spans="1:12" x14ac:dyDescent="0.35">
      <c r="A9099" t="str">
        <f t="shared" si="3351"/>
        <v>SSA PACIFIC</v>
      </c>
      <c r="B9099" t="str">
        <f t="shared" si="3336"/>
        <v>53560 HULL STREET</v>
      </c>
      <c r="C9099" t="str">
        <f>T("CODE 87017")</f>
        <v>CODE 87017</v>
      </c>
      <c r="D9099" t="str">
        <f t="shared" ref="D9099:D9109" si="3352">T("SAN DIEGO")</f>
        <v>SAN DIEGO</v>
      </c>
      <c r="E9099" t="str">
        <f t="shared" ref="E9099:E9109" si="3353">T("CA")</f>
        <v>CA</v>
      </c>
      <c r="F9099" t="str">
        <f>T("921525001")</f>
        <v>921525001</v>
      </c>
      <c r="G9099" t="str">
        <f t="shared" ref="G9099:G9109" si="3354">T("53560 HULL STREET")</f>
        <v>53560 HULL STREET</v>
      </c>
      <c r="H9099" t="str">
        <f>T("CODE 87017")</f>
        <v>CODE 87017</v>
      </c>
      <c r="I9099" t="str">
        <f t="shared" si="3348"/>
        <v>SAN DIEGO</v>
      </c>
      <c r="J9099" t="str">
        <f t="shared" si="3349"/>
        <v>CA</v>
      </c>
      <c r="K9099" t="str">
        <f t="shared" si="3346"/>
        <v>000000000000000000</v>
      </c>
      <c r="L9099" t="str">
        <f>T("6195535814")</f>
        <v>6195535814</v>
      </c>
    </row>
    <row r="9100" spans="1:12" x14ac:dyDescent="0.35">
      <c r="A9100" t="str">
        <f t="shared" si="3351"/>
        <v>SSA PACIFIC</v>
      </c>
      <c r="B9100" t="str">
        <f t="shared" si="3336"/>
        <v>53560 HULL STREET</v>
      </c>
      <c r="C9100" t="str">
        <f>T("CODE H530X")</f>
        <v>CODE H530X</v>
      </c>
      <c r="D9100" t="str">
        <f t="shared" si="3352"/>
        <v>SAN DIEGO</v>
      </c>
      <c r="E9100" t="str">
        <f t="shared" si="3353"/>
        <v>CA</v>
      </c>
      <c r="F9100" t="str">
        <f t="shared" ref="F9100:F9105" si="3355">T("921520001")</f>
        <v>921520001</v>
      </c>
      <c r="G9100" t="str">
        <f t="shared" si="3354"/>
        <v>53560 HULL STREET</v>
      </c>
      <c r="H9100" t="str">
        <f>T("CODE H530X")</f>
        <v>CODE H530X</v>
      </c>
      <c r="I9100" t="str">
        <f t="shared" si="3348"/>
        <v>SAN DIEGO</v>
      </c>
      <c r="J9100" t="str">
        <f t="shared" si="3349"/>
        <v>CA</v>
      </c>
      <c r="K9100" t="str">
        <f t="shared" si="3346"/>
        <v>000000000000000000</v>
      </c>
      <c r="L9100" t="str">
        <f>T("6195539950")</f>
        <v>6195539950</v>
      </c>
    </row>
    <row r="9101" spans="1:12" x14ac:dyDescent="0.35">
      <c r="A9101" t="str">
        <f t="shared" si="3351"/>
        <v>SSA PACIFIC</v>
      </c>
      <c r="B9101" t="str">
        <f t="shared" si="3336"/>
        <v>53560 HULL STREET</v>
      </c>
      <c r="C9101" t="str">
        <f>T("CODE H530X")</f>
        <v>CODE H530X</v>
      </c>
      <c r="D9101" t="str">
        <f t="shared" si="3352"/>
        <v>SAN DIEGO</v>
      </c>
      <c r="E9101" t="str">
        <f t="shared" si="3353"/>
        <v>CA</v>
      </c>
      <c r="F9101" t="str">
        <f t="shared" si="3355"/>
        <v>921520001</v>
      </c>
      <c r="G9101" t="str">
        <f t="shared" si="3354"/>
        <v>53560 HULL STREET</v>
      </c>
      <c r="H9101" t="str">
        <f>T("CODE H530X")</f>
        <v>CODE H530X</v>
      </c>
      <c r="I9101" t="str">
        <f t="shared" si="3348"/>
        <v>SAN DIEGO</v>
      </c>
      <c r="J9101" t="str">
        <f t="shared" si="3349"/>
        <v>CA</v>
      </c>
      <c r="K9101" t="str">
        <f t="shared" si="3346"/>
        <v>000000000000000000</v>
      </c>
      <c r="L9101" t="str">
        <f>T("8084711637")</f>
        <v>8084711637</v>
      </c>
    </row>
    <row r="9102" spans="1:12" x14ac:dyDescent="0.35">
      <c r="A9102" t="str">
        <f t="shared" si="3351"/>
        <v>SSA PACIFIC</v>
      </c>
      <c r="B9102" t="str">
        <f t="shared" si="3336"/>
        <v>53560 HULL STREET</v>
      </c>
      <c r="C9102" t="str">
        <f>T("CODE H530X")</f>
        <v>CODE H530X</v>
      </c>
      <c r="D9102" t="str">
        <f t="shared" si="3352"/>
        <v>SAN DIEGO</v>
      </c>
      <c r="E9102" t="str">
        <f t="shared" si="3353"/>
        <v>CA</v>
      </c>
      <c r="F9102" t="str">
        <f t="shared" si="3355"/>
        <v>921520001</v>
      </c>
      <c r="G9102" t="str">
        <f t="shared" si="3354"/>
        <v>53560 HULL STREET</v>
      </c>
      <c r="H9102" t="str">
        <f>T("CODE H530X")</f>
        <v>CODE H530X</v>
      </c>
      <c r="I9102" t="str">
        <f t="shared" si="3348"/>
        <v>SAN DIEGO</v>
      </c>
      <c r="J9102" t="str">
        <f t="shared" si="3349"/>
        <v>CA</v>
      </c>
      <c r="K9102" t="str">
        <f t="shared" si="3346"/>
        <v>000000000000000000</v>
      </c>
      <c r="L9102" t="str">
        <f>T("8084712035")</f>
        <v>8084712035</v>
      </c>
    </row>
    <row r="9103" spans="1:12" x14ac:dyDescent="0.35">
      <c r="A9103" t="str">
        <f t="shared" si="3351"/>
        <v>SSA PACIFIC</v>
      </c>
      <c r="B9103" t="str">
        <f t="shared" si="3336"/>
        <v>53560 HULL STREET</v>
      </c>
      <c r="C9103" t="str">
        <f>T("CODE HR040")</f>
        <v>CODE HR040</v>
      </c>
      <c r="D9103" t="str">
        <f t="shared" si="3352"/>
        <v>SAN DIEGO</v>
      </c>
      <c r="E9103" t="str">
        <f t="shared" si="3353"/>
        <v>CA</v>
      </c>
      <c r="F9103" t="str">
        <f t="shared" si="3355"/>
        <v>921520001</v>
      </c>
      <c r="G9103" t="str">
        <f t="shared" si="3354"/>
        <v>53560 HULL STREET</v>
      </c>
      <c r="H9103" t="str">
        <f>T("CODE H530X")</f>
        <v>CODE H530X</v>
      </c>
      <c r="I9103" t="str">
        <f t="shared" si="3348"/>
        <v>SAN DIEGO</v>
      </c>
      <c r="J9103" t="str">
        <f t="shared" si="3349"/>
        <v>CA</v>
      </c>
      <c r="K9103" t="str">
        <f t="shared" si="3346"/>
        <v>000000000000000000</v>
      </c>
      <c r="L9103" t="str">
        <f>T("8084713730")</f>
        <v>8084713730</v>
      </c>
    </row>
    <row r="9104" spans="1:12" x14ac:dyDescent="0.35">
      <c r="A9104" t="str">
        <f t="shared" si="3351"/>
        <v>SSA PACIFIC</v>
      </c>
      <c r="B9104" t="str">
        <f t="shared" si="3336"/>
        <v>53560 HULL STREET</v>
      </c>
      <c r="C9104" t="str">
        <f>T("CODE HR040")</f>
        <v>CODE HR040</v>
      </c>
      <c r="D9104" t="str">
        <f t="shared" si="3352"/>
        <v>SAN DIEGO</v>
      </c>
      <c r="E9104" t="str">
        <f t="shared" si="3353"/>
        <v>CA</v>
      </c>
      <c r="F9104" t="str">
        <f t="shared" si="3355"/>
        <v>921520001</v>
      </c>
      <c r="G9104" t="str">
        <f t="shared" si="3354"/>
        <v>53560 HULL STREET</v>
      </c>
      <c r="H9104" t="str">
        <f>T("CODE HR040")</f>
        <v>CODE HR040</v>
      </c>
      <c r="I9104" t="str">
        <f t="shared" si="3348"/>
        <v>SAN DIEGO</v>
      </c>
      <c r="J9104" t="str">
        <f t="shared" si="3349"/>
        <v>CA</v>
      </c>
      <c r="K9104" t="str">
        <f t="shared" si="3346"/>
        <v>000000000000000000</v>
      </c>
      <c r="L9104" t="str">
        <f>T("8084711898")</f>
        <v>8084711898</v>
      </c>
    </row>
    <row r="9105" spans="1:12" x14ac:dyDescent="0.35">
      <c r="A9105" t="str">
        <f t="shared" si="3351"/>
        <v>SSA PACIFIC</v>
      </c>
      <c r="B9105" t="str">
        <f t="shared" si="3336"/>
        <v>53560 HULL STREET</v>
      </c>
      <c r="C9105" t="str">
        <f>T("CODE HR040")</f>
        <v>CODE HR040</v>
      </c>
      <c r="D9105" t="str">
        <f t="shared" si="3352"/>
        <v>SAN DIEGO</v>
      </c>
      <c r="E9105" t="str">
        <f t="shared" si="3353"/>
        <v>CA</v>
      </c>
      <c r="F9105" t="str">
        <f t="shared" si="3355"/>
        <v>921520001</v>
      </c>
      <c r="G9105" t="str">
        <f t="shared" si="3354"/>
        <v>53560 HULL STREET</v>
      </c>
      <c r="H9105" t="str">
        <f>T("CODE HR040")</f>
        <v>CODE HR040</v>
      </c>
      <c r="I9105" t="str">
        <f t="shared" si="3348"/>
        <v>SAN DIEGO</v>
      </c>
      <c r="J9105" t="str">
        <f t="shared" si="3349"/>
        <v>CA</v>
      </c>
      <c r="K9105" t="str">
        <f t="shared" si="3346"/>
        <v>000000000000000000</v>
      </c>
      <c r="L9105" t="str">
        <f>T("8084712050")</f>
        <v>8084712050</v>
      </c>
    </row>
    <row r="9106" spans="1:12" x14ac:dyDescent="0.35">
      <c r="A9106" t="str">
        <f t="shared" si="3351"/>
        <v>SSA PACIFIC</v>
      </c>
      <c r="B9106" t="str">
        <f t="shared" si="3336"/>
        <v>53560 HULL STREET</v>
      </c>
      <c r="C9106" t="str">
        <f>T("CODE HR040")</f>
        <v>CODE HR040</v>
      </c>
      <c r="D9106" t="str">
        <f t="shared" si="3352"/>
        <v>SAN DIEGO</v>
      </c>
      <c r="E9106" t="str">
        <f t="shared" si="3353"/>
        <v>CA</v>
      </c>
      <c r="F9106" t="str">
        <f>T("921525001")</f>
        <v>921525001</v>
      </c>
      <c r="G9106" t="str">
        <f t="shared" si="3354"/>
        <v>53560 HULL STREET</v>
      </c>
      <c r="H9106" t="str">
        <f>T("CODE HR040")</f>
        <v>CODE HR040</v>
      </c>
      <c r="I9106" t="str">
        <f t="shared" si="3348"/>
        <v>SAN DIEGO</v>
      </c>
      <c r="J9106" t="str">
        <f t="shared" si="3349"/>
        <v>CA</v>
      </c>
      <c r="K9106" t="str">
        <f t="shared" si="3346"/>
        <v>000000000000000000</v>
      </c>
      <c r="L9106" t="str">
        <f>T("8084717148")</f>
        <v>8084717148</v>
      </c>
    </row>
    <row r="9107" spans="1:12" x14ac:dyDescent="0.35">
      <c r="A9107" t="str">
        <f t="shared" si="3351"/>
        <v>SSA PACIFIC</v>
      </c>
      <c r="B9107" t="str">
        <f t="shared" si="3336"/>
        <v>53560 HULL STREET</v>
      </c>
      <c r="C9107" t="str">
        <f>T("CODE55270")</f>
        <v>CODE55270</v>
      </c>
      <c r="D9107" t="str">
        <f t="shared" si="3352"/>
        <v>SAN DIEGO</v>
      </c>
      <c r="E9107" t="str">
        <f t="shared" si="3353"/>
        <v>CA</v>
      </c>
      <c r="F9107" t="str">
        <f>T("921520001")</f>
        <v>921520001</v>
      </c>
      <c r="G9107" t="str">
        <f t="shared" si="3354"/>
        <v>53560 HULL STREET</v>
      </c>
      <c r="H9107" t="str">
        <f>T("CODE 55230")</f>
        <v>CODE 55230</v>
      </c>
      <c r="I9107" t="str">
        <f t="shared" si="3348"/>
        <v>SAN DIEGO</v>
      </c>
      <c r="J9107" t="str">
        <f t="shared" si="3349"/>
        <v>CA</v>
      </c>
      <c r="K9107" t="str">
        <f t="shared" si="3346"/>
        <v>000000000000000000</v>
      </c>
      <c r="L9107" t="str">
        <f>T("6195539649")</f>
        <v>6195539649</v>
      </c>
    </row>
    <row r="9108" spans="1:12" x14ac:dyDescent="0.35">
      <c r="A9108" t="str">
        <f t="shared" si="3351"/>
        <v>SSA PACIFIC</v>
      </c>
      <c r="B9108" t="str">
        <f t="shared" si="3336"/>
        <v>53560 HULL STREET</v>
      </c>
      <c r="C9108" t="str">
        <f>T("CODE55270")</f>
        <v>CODE55270</v>
      </c>
      <c r="D9108" t="str">
        <f t="shared" si="3352"/>
        <v>SAN DIEGO</v>
      </c>
      <c r="E9108" t="str">
        <f t="shared" si="3353"/>
        <v>CA</v>
      </c>
      <c r="F9108" t="str">
        <f>T("921520001")</f>
        <v>921520001</v>
      </c>
      <c r="G9108" t="str">
        <f t="shared" si="3354"/>
        <v>53560 HULL STREET</v>
      </c>
      <c r="H9108" t="str">
        <f>T("CODE 55270")</f>
        <v>CODE 55270</v>
      </c>
      <c r="I9108" t="str">
        <f t="shared" si="3348"/>
        <v>SAN DIEGO</v>
      </c>
      <c r="J9108" t="str">
        <f t="shared" si="3349"/>
        <v>CA</v>
      </c>
      <c r="K9108" t="str">
        <f t="shared" si="3346"/>
        <v>000000000000000000</v>
      </c>
      <c r="L9108" t="str">
        <f>T("6195531749")</f>
        <v>6195531749</v>
      </c>
    </row>
    <row r="9109" spans="1:12" x14ac:dyDescent="0.35">
      <c r="A9109" t="str">
        <f t="shared" si="3351"/>
        <v>SSA PACIFIC</v>
      </c>
      <c r="B9109" t="str">
        <f t="shared" si="3336"/>
        <v>53560 HULL STREET</v>
      </c>
      <c r="C9109" t="str">
        <f>T("CODE55270")</f>
        <v>CODE55270</v>
      </c>
      <c r="D9109" t="str">
        <f t="shared" si="3352"/>
        <v>SAN DIEGO</v>
      </c>
      <c r="E9109" t="str">
        <f t="shared" si="3353"/>
        <v>CA</v>
      </c>
      <c r="F9109" t="str">
        <f>T("921520001")</f>
        <v>921520001</v>
      </c>
      <c r="G9109" t="str">
        <f t="shared" si="3354"/>
        <v>53560 HULL STREET</v>
      </c>
      <c r="H9109" t="str">
        <f>T("CODE55270")</f>
        <v>CODE55270</v>
      </c>
      <c r="I9109" t="str">
        <f t="shared" si="3348"/>
        <v>SAN DIEGO</v>
      </c>
      <c r="J9109" t="str">
        <f t="shared" si="3349"/>
        <v>CA</v>
      </c>
      <c r="K9109" t="str">
        <f t="shared" si="3346"/>
        <v>000000000000000000</v>
      </c>
      <c r="L9109" t="str">
        <f>T("6195535320")</f>
        <v>6195535320</v>
      </c>
    </row>
    <row r="9110" spans="1:12" x14ac:dyDescent="0.35">
      <c r="A9110" t="str">
        <f t="shared" si="3351"/>
        <v>SSA PACIFIC</v>
      </c>
      <c r="B9110" t="str">
        <f>T("57 AMMON AVE")</f>
        <v>57 AMMON AVE</v>
      </c>
      <c r="C9110" t="str">
        <f>T("CODE HWP01")</f>
        <v>CODE HWP01</v>
      </c>
      <c r="D9110" t="str">
        <f>T("BARRIGADA")</f>
        <v>BARRIGADA</v>
      </c>
      <c r="E9110" t="str">
        <f>T("GU")</f>
        <v>GU</v>
      </c>
      <c r="F9110" t="str">
        <f>T("969132208")</f>
        <v>969132208</v>
      </c>
      <c r="G9110" t="str">
        <f>T("53560 HULL ST")</f>
        <v>53560 HULL ST</v>
      </c>
      <c r="H9110" t="str">
        <f>T("CODE HWP01")</f>
        <v>CODE HWP01</v>
      </c>
      <c r="I9110" t="str">
        <f t="shared" si="3348"/>
        <v>SAN DIEGO</v>
      </c>
      <c r="J9110" t="str">
        <f t="shared" si="3349"/>
        <v>CA</v>
      </c>
      <c r="K9110" t="str">
        <f t="shared" ref="K9110:K9136" si="3356">T("000000000000000000")</f>
        <v>000000000000000000</v>
      </c>
      <c r="L9110" t="str">
        <f>T("3152438279")</f>
        <v>3152438279</v>
      </c>
    </row>
    <row r="9111" spans="1:12" x14ac:dyDescent="0.35">
      <c r="A9111" t="str">
        <f t="shared" si="3351"/>
        <v>SSA PACIFIC</v>
      </c>
      <c r="B9111" t="str">
        <f>T("57 AMMON AVE")</f>
        <v>57 AMMON AVE</v>
      </c>
      <c r="C9111" t="str">
        <f>T("CODE HWP01")</f>
        <v>CODE HWP01</v>
      </c>
      <c r="D9111" t="str">
        <f>T("BARRIGADA")</f>
        <v>BARRIGADA</v>
      </c>
      <c r="E9111" t="str">
        <f>T("GU")</f>
        <v>GU</v>
      </c>
      <c r="F9111" t="str">
        <f>T("969132208")</f>
        <v>969132208</v>
      </c>
      <c r="G9111" t="str">
        <f>T("53560 HULL STREET")</f>
        <v>53560 HULL STREET</v>
      </c>
      <c r="H9111" t="str">
        <f>T("CODE HWP01")</f>
        <v>CODE HWP01</v>
      </c>
      <c r="I9111" t="str">
        <f t="shared" si="3348"/>
        <v>SAN DIEGO</v>
      </c>
      <c r="J9111" t="str">
        <f t="shared" si="3349"/>
        <v>CA</v>
      </c>
      <c r="K9111" t="str">
        <f t="shared" si="3356"/>
        <v>000000000000000000</v>
      </c>
      <c r="L9111" t="str">
        <f>T("1111111111")</f>
        <v>1111111111</v>
      </c>
    </row>
    <row r="9112" spans="1:12" x14ac:dyDescent="0.35">
      <c r="A9112" t="str">
        <f t="shared" si="3351"/>
        <v>SSA PACIFIC</v>
      </c>
      <c r="B9112" t="str">
        <f>T("57 AMMON AVE")</f>
        <v>57 AMMON AVE</v>
      </c>
      <c r="C9112" t="str">
        <f>T("CODE HWP01")</f>
        <v>CODE HWP01</v>
      </c>
      <c r="D9112" t="str">
        <f>T("BARRIGADA")</f>
        <v>BARRIGADA</v>
      </c>
      <c r="E9112" t="str">
        <f>T("GU")</f>
        <v>GU</v>
      </c>
      <c r="F9112" t="str">
        <f>T("969132208")</f>
        <v>969132208</v>
      </c>
      <c r="G9112" t="str">
        <f>T("53560 HULL STREET")</f>
        <v>53560 HULL STREET</v>
      </c>
      <c r="H9112" t="str">
        <f>T("CODE HWP01")</f>
        <v>CODE HWP01</v>
      </c>
      <c r="I9112" t="str">
        <f t="shared" si="3348"/>
        <v>SAN DIEGO</v>
      </c>
      <c r="J9112" t="str">
        <f t="shared" si="3349"/>
        <v>CA</v>
      </c>
      <c r="K9112" t="str">
        <f t="shared" si="3356"/>
        <v>000000000000000000</v>
      </c>
      <c r="L9112" t="str">
        <f>T("6713335171")</f>
        <v>6713335171</v>
      </c>
    </row>
    <row r="9113" spans="1:12" x14ac:dyDescent="0.35">
      <c r="A9113" t="str">
        <f t="shared" si="3351"/>
        <v>SSA PACIFIC</v>
      </c>
      <c r="B9113" t="str">
        <f>T("57 AMMON AVE")</f>
        <v>57 AMMON AVE</v>
      </c>
      <c r="C9113" t="str">
        <f>T("CODE HWP01")</f>
        <v>CODE HWP01</v>
      </c>
      <c r="D9113" t="str">
        <f>T("BARRIGADA")</f>
        <v>BARRIGADA</v>
      </c>
      <c r="E9113" t="str">
        <f>T("GU")</f>
        <v>GU</v>
      </c>
      <c r="F9113" t="str">
        <f>T("969132208")</f>
        <v>969132208</v>
      </c>
      <c r="G9113" t="str">
        <f>T("53560 HULL STREET")</f>
        <v>53560 HULL STREET</v>
      </c>
      <c r="H9113" t="str">
        <f>T("CODE HWP01")</f>
        <v>CODE HWP01</v>
      </c>
      <c r="I9113" t="str">
        <f t="shared" si="3348"/>
        <v>SAN DIEGO</v>
      </c>
      <c r="J9113" t="str">
        <f t="shared" si="3349"/>
        <v>CA</v>
      </c>
      <c r="K9113" t="str">
        <f t="shared" si="3356"/>
        <v>000000000000000000</v>
      </c>
      <c r="L9113" t="str">
        <f>T("6713335181")</f>
        <v>6713335181</v>
      </c>
    </row>
    <row r="9114" spans="1:12" x14ac:dyDescent="0.35">
      <c r="A9114" t="str">
        <f t="shared" si="3351"/>
        <v>SSA PACIFIC</v>
      </c>
      <c r="B9114" t="str">
        <f>T("57 AMMON AVE")</f>
        <v>57 AMMON AVE</v>
      </c>
      <c r="C9114" t="str">
        <f>T("CODE HWP01")</f>
        <v>CODE HWP01</v>
      </c>
      <c r="D9114" t="str">
        <f>T("BARRIGADA")</f>
        <v>BARRIGADA</v>
      </c>
      <c r="E9114" t="str">
        <f>T("GU")</f>
        <v>GU</v>
      </c>
      <c r="F9114" t="str">
        <f>T("969132208")</f>
        <v>969132208</v>
      </c>
      <c r="G9114" t="str">
        <f>T("57 AMMON AVE")</f>
        <v>57 AMMON AVE</v>
      </c>
      <c r="H9114" t="str">
        <f>T("CODE HWP01")</f>
        <v>CODE HWP01</v>
      </c>
      <c r="I9114" t="str">
        <f>T("BARRIGADA")</f>
        <v>BARRIGADA</v>
      </c>
      <c r="J9114" t="str">
        <f>T("GU")</f>
        <v>GU</v>
      </c>
      <c r="K9114" t="str">
        <f t="shared" si="3356"/>
        <v>000000000000000000</v>
      </c>
      <c r="L9114" t="str">
        <f>T("6713335155")</f>
        <v>6713335155</v>
      </c>
    </row>
    <row r="9115" spans="1:12" x14ac:dyDescent="0.35">
      <c r="A9115" t="str">
        <f t="shared" si="3351"/>
        <v>SSA PACIFIC</v>
      </c>
      <c r="B9115" t="str">
        <f>T("700 ROBBINS AVENUE")</f>
        <v>700 ROBBINS AVENUE</v>
      </c>
      <c r="C9115" t="str">
        <f>T("CODE 53232")</f>
        <v>CODE 53232</v>
      </c>
      <c r="D9115" t="str">
        <f>T("PHILADELPHIA")</f>
        <v>PHILADELPHIA</v>
      </c>
      <c r="E9115" t="str">
        <f>T("PA")</f>
        <v>PA</v>
      </c>
      <c r="F9115" t="str">
        <f>T("191115008")</f>
        <v>191115008</v>
      </c>
      <c r="G9115" t="str">
        <f>T("53560 HULL STREET")</f>
        <v>53560 HULL STREET</v>
      </c>
      <c r="H9115" t="str">
        <f>T("")</f>
        <v/>
      </c>
      <c r="I9115" t="str">
        <f>T("SAN DIEGO")</f>
        <v>SAN DIEGO</v>
      </c>
      <c r="J9115" t="str">
        <f>T("CA")</f>
        <v>CA</v>
      </c>
      <c r="K9115" t="str">
        <f t="shared" si="3356"/>
        <v>000000000000000000</v>
      </c>
      <c r="L9115" t="str">
        <f>T("2152148126")</f>
        <v>2152148126</v>
      </c>
    </row>
    <row r="9116" spans="1:12" x14ac:dyDescent="0.35">
      <c r="A9116" t="str">
        <f t="shared" si="3351"/>
        <v>SSA PACIFIC</v>
      </c>
      <c r="B9116" t="str">
        <f>T("700 ROBBINS AVENUE")</f>
        <v>700 ROBBINS AVENUE</v>
      </c>
      <c r="C9116" t="str">
        <f>T("CODE 53232")</f>
        <v>CODE 53232</v>
      </c>
      <c r="D9116" t="str">
        <f>T("PHILADELPHIA")</f>
        <v>PHILADELPHIA</v>
      </c>
      <c r="E9116" t="str">
        <f>T("PA")</f>
        <v>PA</v>
      </c>
      <c r="F9116" t="str">
        <f>T("191115008")</f>
        <v>191115008</v>
      </c>
      <c r="G9116" t="str">
        <f>T("53560 HULL STREET")</f>
        <v>53560 HULL STREET</v>
      </c>
      <c r="H9116" t="str">
        <f>T("CODE 53808")</f>
        <v>CODE 53808</v>
      </c>
      <c r="I9116" t="str">
        <f>T("SAN DIEGO")</f>
        <v>SAN DIEGO</v>
      </c>
      <c r="J9116" t="str">
        <f>T("CA")</f>
        <v>CA</v>
      </c>
      <c r="K9116" t="str">
        <f t="shared" si="3356"/>
        <v>000000000000000000</v>
      </c>
      <c r="L9116" t="str">
        <f>T("2156972543")</f>
        <v>2156972543</v>
      </c>
    </row>
    <row r="9117" spans="1:12" x14ac:dyDescent="0.35">
      <c r="A9117" t="str">
        <f t="shared" si="3351"/>
        <v>SSA PACIFIC</v>
      </c>
      <c r="B9117" t="str">
        <f>T("700 ROBBINS AVENUE")</f>
        <v>700 ROBBINS AVENUE</v>
      </c>
      <c r="C9117" t="str">
        <f>T("CODE 53232")</f>
        <v>CODE 53232</v>
      </c>
      <c r="D9117" t="str">
        <f>T("PHILADELPHIA")</f>
        <v>PHILADELPHIA</v>
      </c>
      <c r="E9117" t="str">
        <f>T("PA")</f>
        <v>PA</v>
      </c>
      <c r="F9117" t="str">
        <f>T("191115008")</f>
        <v>191115008</v>
      </c>
      <c r="G9117" t="str">
        <f>T("700 ROBBINS AVE BLDG 2A")</f>
        <v>700 ROBBINS AVE BLDG 2A</v>
      </c>
      <c r="H9117" t="str">
        <f>T("CODE 53821")</f>
        <v>CODE 53821</v>
      </c>
      <c r="I9117" t="str">
        <f>T("PHILADELPHIA")</f>
        <v>PHILADELPHIA</v>
      </c>
      <c r="J9117" t="str">
        <f>T("PA")</f>
        <v>PA</v>
      </c>
      <c r="K9117" t="str">
        <f t="shared" si="3356"/>
        <v>000000000000000000</v>
      </c>
      <c r="L9117" t="str">
        <f>T("2152148080")</f>
        <v>2152148080</v>
      </c>
    </row>
    <row r="9118" spans="1:12" x14ac:dyDescent="0.35">
      <c r="A9118" t="str">
        <f t="shared" si="3351"/>
        <v>SSA PACIFIC</v>
      </c>
      <c r="B9118" t="str">
        <f>T("700 ROBBINS AVENUE")</f>
        <v>700 ROBBINS AVENUE</v>
      </c>
      <c r="C9118" t="str">
        <f>T("CODE 53232")</f>
        <v>CODE 53232</v>
      </c>
      <c r="D9118" t="str">
        <f>T("PHILADELPHIA")</f>
        <v>PHILADELPHIA</v>
      </c>
      <c r="E9118" t="str">
        <f>T("PA")</f>
        <v>PA</v>
      </c>
      <c r="F9118" t="str">
        <f>T("191115008")</f>
        <v>191115008</v>
      </c>
      <c r="G9118" t="str">
        <f>T("700 ROBBINS AVENUE")</f>
        <v>700 ROBBINS AVENUE</v>
      </c>
      <c r="H9118" t="str">
        <f>T("CODE 53232")</f>
        <v>CODE 53232</v>
      </c>
      <c r="I9118" t="str">
        <f>T("PHILADELPHIA")</f>
        <v>PHILADELPHIA</v>
      </c>
      <c r="J9118" t="str">
        <f>T("PA")</f>
        <v>PA</v>
      </c>
      <c r="K9118" t="str">
        <f t="shared" si="3356"/>
        <v>000000000000000000</v>
      </c>
      <c r="L9118" t="str">
        <f>T("2152148050")</f>
        <v>2152148050</v>
      </c>
    </row>
    <row r="9119" spans="1:12" x14ac:dyDescent="0.35">
      <c r="A9119" t="str">
        <f t="shared" si="3351"/>
        <v>SSA PACIFIC</v>
      </c>
      <c r="B9119" t="str">
        <f>T("PSC 473 BOX 5")</f>
        <v>PSC 473 BOX 5</v>
      </c>
      <c r="C9119" t="str">
        <f>T("CODE HR030")</f>
        <v>CODE HR030</v>
      </c>
      <c r="D9119" t="str">
        <f>T("FPO")</f>
        <v>FPO</v>
      </c>
      <c r="E9119" t="str">
        <f>T("AP")</f>
        <v>AP</v>
      </c>
      <c r="F9119" t="str">
        <f>T("963490001")</f>
        <v>963490001</v>
      </c>
      <c r="G9119" t="str">
        <f>T("PSC 473 BOX 5")</f>
        <v>PSC 473 BOX 5</v>
      </c>
      <c r="H9119" t="str">
        <f>T("CODE HR030")</f>
        <v>CODE HR030</v>
      </c>
      <c r="I9119" t="str">
        <f>T("FPO")</f>
        <v>FPO</v>
      </c>
      <c r="J9119" t="str">
        <f>T("AP")</f>
        <v>AP</v>
      </c>
      <c r="K9119" t="str">
        <f t="shared" si="3356"/>
        <v>000000000000000000</v>
      </c>
      <c r="L9119" t="str">
        <f>T("1111111111")</f>
        <v>1111111111</v>
      </c>
    </row>
    <row r="9120" spans="1:12" x14ac:dyDescent="0.35">
      <c r="A9120" t="str">
        <f t="shared" si="3351"/>
        <v>SSA PACIFIC</v>
      </c>
      <c r="B9120" t="str">
        <f>T("SPAWARSYSCEN SD")</f>
        <v>SPAWARSYSCEN SD</v>
      </c>
      <c r="C9120" t="str">
        <f>T("53560 HULL ST CODE 56604")</f>
        <v>53560 HULL ST CODE 56604</v>
      </c>
      <c r="D9120" t="str">
        <f>T("SAN DIEGO")</f>
        <v>SAN DIEGO</v>
      </c>
      <c r="E9120" t="str">
        <f>T("CA")</f>
        <v>CA</v>
      </c>
      <c r="F9120" t="str">
        <f>T("921525001")</f>
        <v>921525001</v>
      </c>
      <c r="G9120" t="str">
        <f>T("CODE 56409")</f>
        <v>CODE 56409</v>
      </c>
      <c r="H9120" t="str">
        <f>T("52560 HULL STREET")</f>
        <v>52560 HULL STREET</v>
      </c>
      <c r="I9120" t="str">
        <f>T("SAN DIEGO")</f>
        <v>SAN DIEGO</v>
      </c>
      <c r="J9120" t="str">
        <f>T("CA")</f>
        <v>CA</v>
      </c>
      <c r="K9120" t="str">
        <f t="shared" si="3356"/>
        <v>000000000000000000</v>
      </c>
      <c r="L9120" t="str">
        <f>T("6197674625")</f>
        <v>6197674625</v>
      </c>
    </row>
    <row r="9121" spans="1:12" x14ac:dyDescent="0.35">
      <c r="A9121" t="str">
        <f t="shared" si="3351"/>
        <v>SSA PACIFIC</v>
      </c>
      <c r="B9121" t="str">
        <f>T("SPAWARSYSCEN SD")</f>
        <v>SPAWARSYSCEN SD</v>
      </c>
      <c r="C9121" t="str">
        <f>T("53560 HULL ST CODE 56604")</f>
        <v>53560 HULL ST CODE 56604</v>
      </c>
      <c r="D9121" t="str">
        <f>T("SAN DIEGO")</f>
        <v>SAN DIEGO</v>
      </c>
      <c r="E9121" t="str">
        <f>T("CA")</f>
        <v>CA</v>
      </c>
      <c r="F9121" t="str">
        <f>T("921525001")</f>
        <v>921525001</v>
      </c>
      <c r="G9121" t="str">
        <f>T("SPAWARSYSCEN SD")</f>
        <v>SPAWARSYSCEN SD</v>
      </c>
      <c r="H9121" t="str">
        <f>T("53560 HULL ST CODE 56604")</f>
        <v>53560 HULL ST CODE 56604</v>
      </c>
      <c r="I9121" t="str">
        <f>T("SAN DIEGO")</f>
        <v>SAN DIEGO</v>
      </c>
      <c r="J9121" t="str">
        <f>T("CA")</f>
        <v>CA</v>
      </c>
      <c r="K9121" t="str">
        <f t="shared" si="3356"/>
        <v>000000000000000000</v>
      </c>
      <c r="L9121" t="str">
        <f>T("6195533973")</f>
        <v>6195533973</v>
      </c>
    </row>
    <row r="9122" spans="1:12" x14ac:dyDescent="0.35">
      <c r="A9122" t="str">
        <f t="shared" ref="A9122:A9153" si="3357">T("SPAWARSYSCEN CHARLESTON")</f>
        <v>SPAWARSYSCEN CHARLESTON</v>
      </c>
      <c r="B9122" t="str">
        <f>T("2251 LAKESHORE DRIVE")</f>
        <v>2251 LAKESHORE DRIVE</v>
      </c>
      <c r="C9122" t="str">
        <f>T("")</f>
        <v/>
      </c>
      <c r="D9122" t="str">
        <f>T("NEW ORLEANS")</f>
        <v>NEW ORLEANS</v>
      </c>
      <c r="E9122" t="str">
        <f>T("LA")</f>
        <v>LA</v>
      </c>
      <c r="F9122" t="str">
        <f>T("701223533")</f>
        <v>701223533</v>
      </c>
      <c r="G9122" t="str">
        <f>T("2251 LAKESHORE DRIVE")</f>
        <v>2251 LAKESHORE DRIVE</v>
      </c>
      <c r="H9122" t="str">
        <f>T("")</f>
        <v/>
      </c>
      <c r="I9122" t="str">
        <f>T("NEW ORLEANS")</f>
        <v>NEW ORLEANS</v>
      </c>
      <c r="J9122" t="str">
        <f>T("LA")</f>
        <v>LA</v>
      </c>
      <c r="K9122" t="str">
        <f t="shared" si="3356"/>
        <v>000000000000000000</v>
      </c>
      <c r="L9122" t="str">
        <f>T("5046975594")</f>
        <v>5046975594</v>
      </c>
    </row>
    <row r="9123" spans="1:12" x14ac:dyDescent="0.35">
      <c r="A9123" t="str">
        <f t="shared" si="3357"/>
        <v>SPAWARSYSCEN CHARLESTON</v>
      </c>
      <c r="B9123" t="str">
        <f>T("2251 LAKESHORE DRIVE")</f>
        <v>2251 LAKESHORE DRIVE</v>
      </c>
      <c r="C9123" t="str">
        <f>T("")</f>
        <v/>
      </c>
      <c r="D9123" t="str">
        <f>T("NEW ORLEANS")</f>
        <v>NEW ORLEANS</v>
      </c>
      <c r="E9123" t="str">
        <f>T("LA")</f>
        <v>LA</v>
      </c>
      <c r="F9123" t="str">
        <f>T("701223533")</f>
        <v>701223533</v>
      </c>
      <c r="G9123" t="str">
        <f>T("2251 LAKESHORE DRIVE")</f>
        <v>2251 LAKESHORE DRIVE</v>
      </c>
      <c r="H9123" t="str">
        <f>T("CODE 22320")</f>
        <v>CODE 22320</v>
      </c>
      <c r="I9123" t="str">
        <f>T("NEW ORLEANS")</f>
        <v>NEW ORLEANS</v>
      </c>
      <c r="J9123" t="str">
        <f>T("LA")</f>
        <v>LA</v>
      </c>
      <c r="K9123" t="str">
        <f t="shared" si="3356"/>
        <v>000000000000000000</v>
      </c>
      <c r="L9123" t="str">
        <f>T("5046975536")</f>
        <v>5046975536</v>
      </c>
    </row>
    <row r="9124" spans="1:12" x14ac:dyDescent="0.35">
      <c r="A9124" t="str">
        <f t="shared" si="3357"/>
        <v>SPAWARSYSCEN CHARLESTON</v>
      </c>
      <c r="B9124" t="str">
        <f>T("2251 LAKESHORE DRIVE")</f>
        <v>2251 LAKESHORE DRIVE</v>
      </c>
      <c r="C9124" t="str">
        <f>T("")</f>
        <v/>
      </c>
      <c r="D9124" t="str">
        <f>T("NEW ORLEANS")</f>
        <v>NEW ORLEANS</v>
      </c>
      <c r="E9124" t="str">
        <f>T("LA")</f>
        <v>LA</v>
      </c>
      <c r="F9124" t="str">
        <f>T("701223533")</f>
        <v>701223533</v>
      </c>
      <c r="G9124" t="str">
        <f>T("2251 LAKESHORE DRIVE")</f>
        <v>2251 LAKESHORE DRIVE</v>
      </c>
      <c r="H9124" t="str">
        <f>T("CODE 813NO")</f>
        <v>CODE 813NO</v>
      </c>
      <c r="I9124" t="str">
        <f>T("NEW ORLEANS")</f>
        <v>NEW ORLEANS</v>
      </c>
      <c r="J9124" t="str">
        <f>T("LA")</f>
        <v>LA</v>
      </c>
      <c r="K9124" t="str">
        <f t="shared" si="3356"/>
        <v>000000000000000000</v>
      </c>
      <c r="L9124" t="str">
        <f>T("5046975518")</f>
        <v>5046975518</v>
      </c>
    </row>
    <row r="9125" spans="1:12" x14ac:dyDescent="0.35">
      <c r="A9125" t="str">
        <f t="shared" si="3357"/>
        <v>SPAWARSYSCEN CHARLESTON</v>
      </c>
      <c r="B9125" t="str">
        <f>T("P O BOX 1376")</f>
        <v>P O BOX 1376</v>
      </c>
      <c r="C9125" t="str">
        <f>T("CODE 11T00")</f>
        <v>CODE 11T00</v>
      </c>
      <c r="D9125" t="str">
        <f>T("NORFOLK")</f>
        <v>NORFOLK</v>
      </c>
      <c r="E9125" t="str">
        <f>T("VA")</f>
        <v>VA</v>
      </c>
      <c r="F9125" t="str">
        <f>T("235011376")</f>
        <v>235011376</v>
      </c>
      <c r="G9125" t="str">
        <f>T("1837 MORRIS ST STE 3311")</f>
        <v>1837 MORRIS ST STE 3311</v>
      </c>
      <c r="H9125" t="str">
        <f>T("CODE 813")</f>
        <v>CODE 813</v>
      </c>
      <c r="I9125" t="str">
        <f>T("NORFOLK")</f>
        <v>NORFOLK</v>
      </c>
      <c r="J9125" t="str">
        <f>T("VA")</f>
        <v>VA</v>
      </c>
      <c r="K9125" t="str">
        <f t="shared" si="3356"/>
        <v>000000000000000000</v>
      </c>
      <c r="L9125" t="str">
        <f>T("7574430118")</f>
        <v>7574430118</v>
      </c>
    </row>
    <row r="9126" spans="1:12" x14ac:dyDescent="0.35">
      <c r="A9126" t="str">
        <f t="shared" si="3357"/>
        <v>SPAWARSYSCEN CHARLESTON</v>
      </c>
      <c r="B9126" t="str">
        <f>T("P O BOX 1376")</f>
        <v>P O BOX 1376</v>
      </c>
      <c r="C9126" t="str">
        <f>T("CODE 11T00")</f>
        <v>CODE 11T00</v>
      </c>
      <c r="D9126" t="str">
        <f>T("NORFOLK")</f>
        <v>NORFOLK</v>
      </c>
      <c r="E9126" t="str">
        <f>T("VA")</f>
        <v>VA</v>
      </c>
      <c r="F9126" t="str">
        <f>T("235011376")</f>
        <v>235011376</v>
      </c>
      <c r="G9126" t="str">
        <f>T("P O BOX 1376")</f>
        <v>P O BOX 1376</v>
      </c>
      <c r="H9126" t="str">
        <f>T("CODE 11T00")</f>
        <v>CODE 11T00</v>
      </c>
      <c r="I9126" t="str">
        <f>T("NORFOLK")</f>
        <v>NORFOLK</v>
      </c>
      <c r="J9126" t="str">
        <f>T("VA")</f>
        <v>VA</v>
      </c>
      <c r="K9126" t="str">
        <f t="shared" si="3356"/>
        <v>000000000000000000</v>
      </c>
      <c r="L9126" t="str">
        <f>T("7573331315")</f>
        <v>7573331315</v>
      </c>
    </row>
    <row r="9127" spans="1:12" x14ac:dyDescent="0.35">
      <c r="A9127" t="str">
        <f t="shared" si="3357"/>
        <v>SPAWARSYSCEN CHARLESTON</v>
      </c>
      <c r="B9127" t="str">
        <f>T("P O BOX 1376")</f>
        <v>P O BOX 1376</v>
      </c>
      <c r="C9127" t="str">
        <f>T("CODE 11T00")</f>
        <v>CODE 11T00</v>
      </c>
      <c r="D9127" t="str">
        <f>T("NORFOLK")</f>
        <v>NORFOLK</v>
      </c>
      <c r="E9127" t="str">
        <f>T("VA")</f>
        <v>VA</v>
      </c>
      <c r="F9127" t="str">
        <f>T("235011376")</f>
        <v>235011376</v>
      </c>
      <c r="G9127" t="str">
        <f>T("P O BOX 1376")</f>
        <v>P O BOX 1376</v>
      </c>
      <c r="H9127" t="str">
        <f>T("CODE 11T00")</f>
        <v>CODE 11T00</v>
      </c>
      <c r="I9127" t="str">
        <f>T("NORFOLK")</f>
        <v>NORFOLK</v>
      </c>
      <c r="J9127" t="str">
        <f>T("VA")</f>
        <v>VA</v>
      </c>
      <c r="K9127" t="str">
        <f t="shared" si="3356"/>
        <v>000000000000000000</v>
      </c>
      <c r="L9127" t="str">
        <f>T("7574430121")</f>
        <v>7574430121</v>
      </c>
    </row>
    <row r="9128" spans="1:12" x14ac:dyDescent="0.35">
      <c r="A9128" t="str">
        <f t="shared" si="3357"/>
        <v>SPAWARSYSCEN CHARLESTON</v>
      </c>
      <c r="B9128" t="str">
        <f>T("P O BOX 1376")</f>
        <v>P O BOX 1376</v>
      </c>
      <c r="C9128" t="str">
        <f>T("CODE 11T00")</f>
        <v>CODE 11T00</v>
      </c>
      <c r="D9128" t="str">
        <f>T("NORFOLK")</f>
        <v>NORFOLK</v>
      </c>
      <c r="E9128" t="str">
        <f>T("VA")</f>
        <v>VA</v>
      </c>
      <c r="F9128" t="str">
        <f>T("235011376")</f>
        <v>235011376</v>
      </c>
      <c r="G9128" t="str">
        <f>T("P O BOX 1376")</f>
        <v>P O BOX 1376</v>
      </c>
      <c r="H9128" t="str">
        <f>T("CODE 11T00")</f>
        <v>CODE 11T00</v>
      </c>
      <c r="I9128" t="str">
        <f>T("NORFOLK")</f>
        <v>NORFOLK</v>
      </c>
      <c r="J9128" t="str">
        <f>T("VA")</f>
        <v>VA</v>
      </c>
      <c r="K9128" t="str">
        <f t="shared" si="3356"/>
        <v>000000000000000000</v>
      </c>
      <c r="L9128" t="str">
        <f>T("7574430133")</f>
        <v>7574430133</v>
      </c>
    </row>
    <row r="9129" spans="1:12" x14ac:dyDescent="0.35">
      <c r="A9129" t="str">
        <f t="shared" si="3357"/>
        <v>SPAWARSYSCEN CHARLESTON</v>
      </c>
      <c r="B9129" t="str">
        <f>T("P O BOX 1376")</f>
        <v>P O BOX 1376</v>
      </c>
      <c r="C9129" t="str">
        <f>T("CODE 11T00")</f>
        <v>CODE 11T00</v>
      </c>
      <c r="D9129" t="str">
        <f>T("NORFOLK")</f>
        <v>NORFOLK</v>
      </c>
      <c r="E9129" t="str">
        <f>T("VA")</f>
        <v>VA</v>
      </c>
      <c r="F9129" t="str">
        <f>T("235011376")</f>
        <v>235011376</v>
      </c>
      <c r="G9129" t="str">
        <f>T("PO BOX 1376")</f>
        <v>PO BOX 1376</v>
      </c>
      <c r="H9129" t="str">
        <f>T("CODE11530")</f>
        <v>CODE11530</v>
      </c>
      <c r="I9129" t="str">
        <f>T("NORFOLK")</f>
        <v>NORFOLK</v>
      </c>
      <c r="J9129" t="str">
        <f>T("VA")</f>
        <v>VA</v>
      </c>
      <c r="K9129" t="str">
        <f t="shared" si="3356"/>
        <v>000000000000000000</v>
      </c>
      <c r="L9129" t="str">
        <f>T("7574430123")</f>
        <v>7574430123</v>
      </c>
    </row>
    <row r="9130" spans="1:12" x14ac:dyDescent="0.35">
      <c r="A9130" t="str">
        <f t="shared" si="3357"/>
        <v>SPAWARSYSCEN CHARLESTON</v>
      </c>
      <c r="B9130" t="str">
        <f t="shared" ref="B9130:B9138" si="3358">T("P O BOX 190022")</f>
        <v>P O BOX 190022</v>
      </c>
      <c r="C9130" t="str">
        <f>T("CODE 43160")</f>
        <v>CODE 43160</v>
      </c>
      <c r="D9130" t="str">
        <f t="shared" ref="D9130:D9148" si="3359">T("NORTH CHARLESTON")</f>
        <v>NORTH CHARLESTON</v>
      </c>
      <c r="E9130" t="str">
        <f t="shared" ref="E9130:E9153" si="3360">T("SC")</f>
        <v>SC</v>
      </c>
      <c r="F9130" t="str">
        <f t="shared" ref="F9130:F9153" si="3361">T("294199022")</f>
        <v>294199022</v>
      </c>
      <c r="G9130" t="str">
        <f>T("P O BOX 190022")</f>
        <v>P O BOX 190022</v>
      </c>
      <c r="H9130" t="str">
        <f>T("CODE 43160")</f>
        <v>CODE 43160</v>
      </c>
      <c r="I9130" t="str">
        <f t="shared" ref="I9130:I9139" si="3362">T("NORTH CHARLESTON")</f>
        <v>NORTH CHARLESTON</v>
      </c>
      <c r="J9130" t="str">
        <f t="shared" ref="J9130:J9139" si="3363">T("SC")</f>
        <v>SC</v>
      </c>
      <c r="K9130" t="str">
        <f t="shared" si="3356"/>
        <v>000000000000000000</v>
      </c>
      <c r="L9130" t="str">
        <f>T("8432184379")</f>
        <v>8432184379</v>
      </c>
    </row>
    <row r="9131" spans="1:12" x14ac:dyDescent="0.35">
      <c r="A9131" t="str">
        <f t="shared" si="3357"/>
        <v>SPAWARSYSCEN CHARLESTON</v>
      </c>
      <c r="B9131" t="str">
        <f t="shared" si="3358"/>
        <v>P O BOX 190022</v>
      </c>
      <c r="C9131" t="str">
        <f>T("CODE 43160")</f>
        <v>CODE 43160</v>
      </c>
      <c r="D9131" t="str">
        <f t="shared" si="3359"/>
        <v>NORTH CHARLESTON</v>
      </c>
      <c r="E9131" t="str">
        <f t="shared" si="3360"/>
        <v>SC</v>
      </c>
      <c r="F9131" t="str">
        <f t="shared" si="3361"/>
        <v>294199022</v>
      </c>
      <c r="G9131" t="str">
        <f>T("PO BOX 190022")</f>
        <v>PO BOX 190022</v>
      </c>
      <c r="H9131" t="str">
        <f>T("CODE 43120")</f>
        <v>CODE 43120</v>
      </c>
      <c r="I9131" t="str">
        <f t="shared" si="3362"/>
        <v>NORTH CHARLESTON</v>
      </c>
      <c r="J9131" t="str">
        <f t="shared" si="3363"/>
        <v>SC</v>
      </c>
      <c r="K9131" t="str">
        <f t="shared" si="3356"/>
        <v>000000000000000000</v>
      </c>
      <c r="L9131" t="str">
        <f>T("8432186656")</f>
        <v>8432186656</v>
      </c>
    </row>
    <row r="9132" spans="1:12" x14ac:dyDescent="0.35">
      <c r="A9132" t="str">
        <f t="shared" si="3357"/>
        <v>SPAWARSYSCEN CHARLESTON</v>
      </c>
      <c r="B9132" t="str">
        <f t="shared" si="3358"/>
        <v>P O BOX 190022</v>
      </c>
      <c r="C9132" t="str">
        <f>T("CODE 43160")</f>
        <v>CODE 43160</v>
      </c>
      <c r="D9132" t="str">
        <f t="shared" si="3359"/>
        <v>NORTH CHARLESTON</v>
      </c>
      <c r="E9132" t="str">
        <f t="shared" si="3360"/>
        <v>SC</v>
      </c>
      <c r="F9132" t="str">
        <f t="shared" si="3361"/>
        <v>294199022</v>
      </c>
      <c r="G9132" t="str">
        <f>T("PO BOX 190022")</f>
        <v>PO BOX 190022</v>
      </c>
      <c r="H9132" t="str">
        <f>T("CODE 43220")</f>
        <v>CODE 43220</v>
      </c>
      <c r="I9132" t="str">
        <f t="shared" si="3362"/>
        <v>NORTH CHARLESTON</v>
      </c>
      <c r="J9132" t="str">
        <f t="shared" si="3363"/>
        <v>SC</v>
      </c>
      <c r="K9132" t="str">
        <f t="shared" si="3356"/>
        <v>000000000000000000</v>
      </c>
      <c r="L9132" t="str">
        <f>T("8432182150")</f>
        <v>8432182150</v>
      </c>
    </row>
    <row r="9133" spans="1:12" x14ac:dyDescent="0.35">
      <c r="A9133" t="str">
        <f t="shared" si="3357"/>
        <v>SPAWARSYSCEN CHARLESTON</v>
      </c>
      <c r="B9133" t="str">
        <f t="shared" si="3358"/>
        <v>P O BOX 190022</v>
      </c>
      <c r="C9133" t="str">
        <f>T("CODE 43160")</f>
        <v>CODE 43160</v>
      </c>
      <c r="D9133" t="str">
        <f t="shared" si="3359"/>
        <v>NORTH CHARLESTON</v>
      </c>
      <c r="E9133" t="str">
        <f t="shared" si="3360"/>
        <v>SC</v>
      </c>
      <c r="F9133" t="str">
        <f t="shared" si="3361"/>
        <v>294199022</v>
      </c>
      <c r="G9133" t="str">
        <f>T("PO BOX 190022")</f>
        <v>PO BOX 190022</v>
      </c>
      <c r="H9133" t="str">
        <f>T("CODE 43410")</f>
        <v>CODE 43410</v>
      </c>
      <c r="I9133" t="str">
        <f t="shared" si="3362"/>
        <v>NORTH CHARLESTON</v>
      </c>
      <c r="J9133" t="str">
        <f t="shared" si="3363"/>
        <v>SC</v>
      </c>
      <c r="K9133" t="str">
        <f t="shared" si="3356"/>
        <v>000000000000000000</v>
      </c>
      <c r="L9133" t="str">
        <f>T("8432183796")</f>
        <v>8432183796</v>
      </c>
    </row>
    <row r="9134" spans="1:12" x14ac:dyDescent="0.35">
      <c r="A9134" t="str">
        <f t="shared" si="3357"/>
        <v>SPAWARSYSCEN CHARLESTON</v>
      </c>
      <c r="B9134" t="str">
        <f t="shared" si="3358"/>
        <v>P O BOX 190022</v>
      </c>
      <c r="C9134" t="str">
        <f>T("CODE 43160")</f>
        <v>CODE 43160</v>
      </c>
      <c r="D9134" t="str">
        <f t="shared" si="3359"/>
        <v>NORTH CHARLESTON</v>
      </c>
      <c r="E9134" t="str">
        <f t="shared" si="3360"/>
        <v>SC</v>
      </c>
      <c r="F9134" t="str">
        <f t="shared" si="3361"/>
        <v>294199022</v>
      </c>
      <c r="G9134" t="str">
        <f>T("PO BOX 190022")</f>
        <v>PO BOX 190022</v>
      </c>
      <c r="H9134" t="str">
        <f>T("CODE43130")</f>
        <v>CODE43130</v>
      </c>
      <c r="I9134" t="str">
        <f t="shared" si="3362"/>
        <v>NORTH CHARLESTON</v>
      </c>
      <c r="J9134" t="str">
        <f t="shared" si="3363"/>
        <v>SC</v>
      </c>
      <c r="K9134" t="str">
        <f t="shared" si="3356"/>
        <v>000000000000000000</v>
      </c>
      <c r="L9134" t="str">
        <f>T("8432182919")</f>
        <v>8432182919</v>
      </c>
    </row>
    <row r="9135" spans="1:12" x14ac:dyDescent="0.35">
      <c r="A9135" t="str">
        <f t="shared" si="3357"/>
        <v>SPAWARSYSCEN CHARLESTON</v>
      </c>
      <c r="B9135" t="str">
        <f t="shared" si="3358"/>
        <v>P O BOX 190022</v>
      </c>
      <c r="C9135" t="str">
        <f>T("CODE 43210")</f>
        <v>CODE 43210</v>
      </c>
      <c r="D9135" t="str">
        <f t="shared" si="3359"/>
        <v>NORTH CHARLESTON</v>
      </c>
      <c r="E9135" t="str">
        <f t="shared" si="3360"/>
        <v>SC</v>
      </c>
      <c r="F9135" t="str">
        <f t="shared" si="3361"/>
        <v>294199022</v>
      </c>
      <c r="G9135" t="str">
        <f>T("P O BOX 190022")</f>
        <v>P O BOX 190022</v>
      </c>
      <c r="H9135" t="str">
        <f>T("CODE 43210")</f>
        <v>CODE 43210</v>
      </c>
      <c r="I9135" t="str">
        <f t="shared" si="3362"/>
        <v>NORTH CHARLESTON</v>
      </c>
      <c r="J9135" t="str">
        <f t="shared" si="3363"/>
        <v>SC</v>
      </c>
      <c r="K9135" t="str">
        <f t="shared" si="3356"/>
        <v>000000000000000000</v>
      </c>
      <c r="L9135" t="str">
        <f>T("8432186353")</f>
        <v>8432186353</v>
      </c>
    </row>
    <row r="9136" spans="1:12" x14ac:dyDescent="0.35">
      <c r="A9136" t="str">
        <f t="shared" si="3357"/>
        <v>SPAWARSYSCEN CHARLESTON</v>
      </c>
      <c r="B9136" t="str">
        <f t="shared" si="3358"/>
        <v>P O BOX 190022</v>
      </c>
      <c r="C9136" t="str">
        <f>T("CODE 43210")</f>
        <v>CODE 43210</v>
      </c>
      <c r="D9136" t="str">
        <f t="shared" si="3359"/>
        <v>NORTH CHARLESTON</v>
      </c>
      <c r="E9136" t="str">
        <f t="shared" si="3360"/>
        <v>SC</v>
      </c>
      <c r="F9136" t="str">
        <f t="shared" si="3361"/>
        <v>294199022</v>
      </c>
      <c r="G9136" t="str">
        <f>T("PO BOX 190022")</f>
        <v>PO BOX 190022</v>
      </c>
      <c r="H9136" t="str">
        <f>T("CODE 43120")</f>
        <v>CODE 43120</v>
      </c>
      <c r="I9136" t="str">
        <f t="shared" si="3362"/>
        <v>NORTH CHARLESTON</v>
      </c>
      <c r="J9136" t="str">
        <f t="shared" si="3363"/>
        <v>SC</v>
      </c>
      <c r="K9136" t="str">
        <f t="shared" si="3356"/>
        <v>000000000000000000</v>
      </c>
      <c r="L9136" t="str">
        <f>T("8432183080")</f>
        <v>8432183080</v>
      </c>
    </row>
    <row r="9137" spans="1:12" x14ac:dyDescent="0.35">
      <c r="A9137" t="str">
        <f t="shared" si="3357"/>
        <v>SPAWARSYSCEN CHARLESTON</v>
      </c>
      <c r="B9137" t="str">
        <f t="shared" si="3358"/>
        <v>P O BOX 190022</v>
      </c>
      <c r="C9137" t="str">
        <f>T("CODE 43210")</f>
        <v>CODE 43210</v>
      </c>
      <c r="D9137" t="str">
        <f t="shared" si="3359"/>
        <v>NORTH CHARLESTON</v>
      </c>
      <c r="E9137" t="str">
        <f t="shared" si="3360"/>
        <v>SC</v>
      </c>
      <c r="F9137" t="str">
        <f t="shared" si="3361"/>
        <v>294199022</v>
      </c>
      <c r="G9137" t="str">
        <f>T("PO BOX 190022")</f>
        <v>PO BOX 190022</v>
      </c>
      <c r="H9137" t="str">
        <f>T("CODE 43410")</f>
        <v>CODE 43410</v>
      </c>
      <c r="I9137" t="str">
        <f t="shared" si="3362"/>
        <v>NORTH CHARLESTON</v>
      </c>
      <c r="J9137" t="str">
        <f t="shared" si="3363"/>
        <v>SC</v>
      </c>
      <c r="K9137" t="str">
        <f>T("7575415130")</f>
        <v>7575415130</v>
      </c>
      <c r="L9137" t="str">
        <f>T("7575416740")</f>
        <v>7575416740</v>
      </c>
    </row>
    <row r="9138" spans="1:12" x14ac:dyDescent="0.35">
      <c r="A9138" t="str">
        <f t="shared" si="3357"/>
        <v>SPAWARSYSCEN CHARLESTON</v>
      </c>
      <c r="B9138" t="str">
        <f t="shared" si="3358"/>
        <v>P O BOX 190022</v>
      </c>
      <c r="C9138" t="str">
        <f>T("CODE 43210")</f>
        <v>CODE 43210</v>
      </c>
      <c r="D9138" t="str">
        <f t="shared" si="3359"/>
        <v>NORTH CHARLESTON</v>
      </c>
      <c r="E9138" t="str">
        <f t="shared" si="3360"/>
        <v>SC</v>
      </c>
      <c r="F9138" t="str">
        <f t="shared" si="3361"/>
        <v>294199022</v>
      </c>
      <c r="G9138" t="str">
        <f>T("PO BOX 190022")</f>
        <v>PO BOX 190022</v>
      </c>
      <c r="H9138" t="str">
        <f>T("CODE 43420")</f>
        <v>CODE 43420</v>
      </c>
      <c r="I9138" t="str">
        <f t="shared" si="3362"/>
        <v>NORTH CHARLESTON</v>
      </c>
      <c r="J9138" t="str">
        <f t="shared" si="3363"/>
        <v>SC</v>
      </c>
      <c r="K9138" t="str">
        <f t="shared" ref="K9138:K9149" si="3364">T("000000000000000000")</f>
        <v>000000000000000000</v>
      </c>
      <c r="L9138" t="str">
        <f>T("8432186661")</f>
        <v>8432186661</v>
      </c>
    </row>
    <row r="9139" spans="1:12" x14ac:dyDescent="0.35">
      <c r="A9139" t="str">
        <f t="shared" si="3357"/>
        <v>SPAWARSYSCEN CHARLESTON</v>
      </c>
      <c r="B9139" t="str">
        <f t="shared" ref="B9139:B9153" si="3365">T("PO BOX 190022")</f>
        <v>PO BOX 190022</v>
      </c>
      <c r="C9139" t="str">
        <f t="shared" ref="C9139:C9148" si="3366">T("CODE 43220")</f>
        <v>CODE 43220</v>
      </c>
      <c r="D9139" t="str">
        <f t="shared" si="3359"/>
        <v>NORTH CHARLESTON</v>
      </c>
      <c r="E9139" t="str">
        <f t="shared" si="3360"/>
        <v>SC</v>
      </c>
      <c r="F9139" t="str">
        <f t="shared" si="3361"/>
        <v>294199022</v>
      </c>
      <c r="G9139" t="str">
        <f>T("CODE 43410")</f>
        <v>CODE 43410</v>
      </c>
      <c r="H9139" t="str">
        <f>T("PO BOX 190022")</f>
        <v>PO BOX 190022</v>
      </c>
      <c r="I9139" t="str">
        <f t="shared" si="3362"/>
        <v>NORTH CHARLESTON</v>
      </c>
      <c r="J9139" t="str">
        <f t="shared" si="3363"/>
        <v>SC</v>
      </c>
      <c r="K9139" t="str">
        <f t="shared" si="3364"/>
        <v>000000000000000000</v>
      </c>
      <c r="L9139" t="str">
        <f>T("8432186823")</f>
        <v>8432186823</v>
      </c>
    </row>
    <row r="9140" spans="1:12" x14ac:dyDescent="0.35">
      <c r="A9140" t="str">
        <f t="shared" si="3357"/>
        <v>SPAWARSYSCEN CHARLESTON</v>
      </c>
      <c r="B9140" t="str">
        <f t="shared" si="3365"/>
        <v>PO BOX 190022</v>
      </c>
      <c r="C9140" t="str">
        <f t="shared" si="3366"/>
        <v>CODE 43220</v>
      </c>
      <c r="D9140" t="str">
        <f t="shared" si="3359"/>
        <v>NORTH CHARLESTON</v>
      </c>
      <c r="E9140" t="str">
        <f t="shared" si="3360"/>
        <v>SC</v>
      </c>
      <c r="F9140" t="str">
        <f t="shared" si="3361"/>
        <v>294199022</v>
      </c>
      <c r="G9140" t="str">
        <f>T("DRAWER 1376")</f>
        <v>DRAWER 1376</v>
      </c>
      <c r="H9140" t="str">
        <f>T("CODE 43220")</f>
        <v>CODE 43220</v>
      </c>
      <c r="I9140" t="str">
        <f>T("NORFOLK")</f>
        <v>NORFOLK</v>
      </c>
      <c r="J9140" t="str">
        <f>T("VA")</f>
        <v>VA</v>
      </c>
      <c r="K9140" t="str">
        <f t="shared" si="3364"/>
        <v>000000000000000000</v>
      </c>
      <c r="L9140" t="str">
        <f>T("7575416817")</f>
        <v>7575416817</v>
      </c>
    </row>
    <row r="9141" spans="1:12" x14ac:dyDescent="0.35">
      <c r="A9141" t="str">
        <f t="shared" si="3357"/>
        <v>SPAWARSYSCEN CHARLESTON</v>
      </c>
      <c r="B9141" t="str">
        <f t="shared" si="3365"/>
        <v>PO BOX 190022</v>
      </c>
      <c r="C9141" t="str">
        <f t="shared" si="3366"/>
        <v>CODE 43220</v>
      </c>
      <c r="D9141" t="str">
        <f t="shared" si="3359"/>
        <v>NORTH CHARLESTON</v>
      </c>
      <c r="E9141" t="str">
        <f t="shared" si="3360"/>
        <v>SC</v>
      </c>
      <c r="F9141" t="str">
        <f t="shared" si="3361"/>
        <v>294199022</v>
      </c>
      <c r="G9141" t="str">
        <f>T("DRAWER 190022")</f>
        <v>DRAWER 190022</v>
      </c>
      <c r="H9141" t="str">
        <f>T("CODE 55270")</f>
        <v>CODE 55270</v>
      </c>
      <c r="I9141" t="str">
        <f t="shared" ref="I9141:I9149" si="3367">T("NORTH CHARLESTON")</f>
        <v>NORTH CHARLESTON</v>
      </c>
      <c r="J9141" t="str">
        <f t="shared" ref="J9141:J9153" si="3368">T("SC")</f>
        <v>SC</v>
      </c>
      <c r="K9141" t="str">
        <f t="shared" si="3364"/>
        <v>000000000000000000</v>
      </c>
      <c r="L9141" t="str">
        <f>T("8132696373")</f>
        <v>8132696373</v>
      </c>
    </row>
    <row r="9142" spans="1:12" x14ac:dyDescent="0.35">
      <c r="A9142" t="str">
        <f t="shared" si="3357"/>
        <v>SPAWARSYSCEN CHARLESTON</v>
      </c>
      <c r="B9142" t="str">
        <f t="shared" si="3365"/>
        <v>PO BOX 190022</v>
      </c>
      <c r="C9142" t="str">
        <f t="shared" si="3366"/>
        <v>CODE 43220</v>
      </c>
      <c r="D9142" t="str">
        <f t="shared" si="3359"/>
        <v>NORTH CHARLESTON</v>
      </c>
      <c r="E9142" t="str">
        <f t="shared" si="3360"/>
        <v>SC</v>
      </c>
      <c r="F9142" t="str">
        <f t="shared" si="3361"/>
        <v>294199022</v>
      </c>
      <c r="G9142" t="str">
        <f t="shared" ref="G9142:G9148" si="3369">T("PO BOX 190022")</f>
        <v>PO BOX 190022</v>
      </c>
      <c r="H9142" t="str">
        <f>T("")</f>
        <v/>
      </c>
      <c r="I9142" t="str">
        <f t="shared" si="3367"/>
        <v>NORTH CHARLESTON</v>
      </c>
      <c r="J9142" t="str">
        <f t="shared" si="3368"/>
        <v>SC</v>
      </c>
      <c r="K9142" t="str">
        <f t="shared" si="3364"/>
        <v>000000000000000000</v>
      </c>
      <c r="L9142" t="str">
        <f>T("8432184337")</f>
        <v>8432184337</v>
      </c>
    </row>
    <row r="9143" spans="1:12" x14ac:dyDescent="0.35">
      <c r="A9143" t="str">
        <f t="shared" si="3357"/>
        <v>SPAWARSYSCEN CHARLESTON</v>
      </c>
      <c r="B9143" t="str">
        <f t="shared" si="3365"/>
        <v>PO BOX 190022</v>
      </c>
      <c r="C9143" t="str">
        <f t="shared" si="3366"/>
        <v>CODE 43220</v>
      </c>
      <c r="D9143" t="str">
        <f t="shared" si="3359"/>
        <v>NORTH CHARLESTON</v>
      </c>
      <c r="E9143" t="str">
        <f t="shared" si="3360"/>
        <v>SC</v>
      </c>
      <c r="F9143" t="str">
        <f t="shared" si="3361"/>
        <v>294199022</v>
      </c>
      <c r="G9143" t="str">
        <f t="shared" si="3369"/>
        <v>PO BOX 190022</v>
      </c>
      <c r="H9143" t="str">
        <f>T("CODE 4 3 2")</f>
        <v>CODE 4 3 2</v>
      </c>
      <c r="I9143" t="str">
        <f t="shared" si="3367"/>
        <v>NORTH CHARLESTON</v>
      </c>
      <c r="J9143" t="str">
        <f t="shared" si="3368"/>
        <v>SC</v>
      </c>
      <c r="K9143" t="str">
        <f t="shared" si="3364"/>
        <v>000000000000000000</v>
      </c>
      <c r="L9143" t="str">
        <f>T("7575416608")</f>
        <v>7575416608</v>
      </c>
    </row>
    <row r="9144" spans="1:12" x14ac:dyDescent="0.35">
      <c r="A9144" t="str">
        <f t="shared" si="3357"/>
        <v>SPAWARSYSCEN CHARLESTON</v>
      </c>
      <c r="B9144" t="str">
        <f t="shared" si="3365"/>
        <v>PO BOX 190022</v>
      </c>
      <c r="C9144" t="str">
        <f t="shared" si="3366"/>
        <v>CODE 43220</v>
      </c>
      <c r="D9144" t="str">
        <f t="shared" si="3359"/>
        <v>NORTH CHARLESTON</v>
      </c>
      <c r="E9144" t="str">
        <f t="shared" si="3360"/>
        <v>SC</v>
      </c>
      <c r="F9144" t="str">
        <f t="shared" si="3361"/>
        <v>294199022</v>
      </c>
      <c r="G9144" t="str">
        <f t="shared" si="3369"/>
        <v>PO BOX 190022</v>
      </c>
      <c r="H9144" t="str">
        <f>T("CODE 43120")</f>
        <v>CODE 43120</v>
      </c>
      <c r="I9144" t="str">
        <f t="shared" si="3367"/>
        <v>NORTH CHARLESTON</v>
      </c>
      <c r="J9144" t="str">
        <f t="shared" si="3368"/>
        <v>SC</v>
      </c>
      <c r="K9144" t="str">
        <f t="shared" si="3364"/>
        <v>000000000000000000</v>
      </c>
      <c r="L9144" t="str">
        <f>T("8432185618")</f>
        <v>8432185618</v>
      </c>
    </row>
    <row r="9145" spans="1:12" x14ac:dyDescent="0.35">
      <c r="A9145" t="str">
        <f t="shared" si="3357"/>
        <v>SPAWARSYSCEN CHARLESTON</v>
      </c>
      <c r="B9145" t="str">
        <f t="shared" si="3365"/>
        <v>PO BOX 190022</v>
      </c>
      <c r="C9145" t="str">
        <f t="shared" si="3366"/>
        <v>CODE 43220</v>
      </c>
      <c r="D9145" t="str">
        <f t="shared" si="3359"/>
        <v>NORTH CHARLESTON</v>
      </c>
      <c r="E9145" t="str">
        <f t="shared" si="3360"/>
        <v>SC</v>
      </c>
      <c r="F9145" t="str">
        <f t="shared" si="3361"/>
        <v>294199022</v>
      </c>
      <c r="G9145" t="str">
        <f t="shared" si="3369"/>
        <v>PO BOX 190022</v>
      </c>
      <c r="H9145" t="str">
        <f>T("CODE 43220")</f>
        <v>CODE 43220</v>
      </c>
      <c r="I9145" t="str">
        <f t="shared" si="3367"/>
        <v>NORTH CHARLESTON</v>
      </c>
      <c r="J9145" t="str">
        <f t="shared" si="3368"/>
        <v>SC</v>
      </c>
      <c r="K9145" t="str">
        <f t="shared" si="3364"/>
        <v>000000000000000000</v>
      </c>
      <c r="L9145" t="str">
        <f>T("7575415629")</f>
        <v>7575415629</v>
      </c>
    </row>
    <row r="9146" spans="1:12" x14ac:dyDescent="0.35">
      <c r="A9146" t="str">
        <f t="shared" si="3357"/>
        <v>SPAWARSYSCEN CHARLESTON</v>
      </c>
      <c r="B9146" t="str">
        <f t="shared" si="3365"/>
        <v>PO BOX 190022</v>
      </c>
      <c r="C9146" t="str">
        <f t="shared" si="3366"/>
        <v>CODE 43220</v>
      </c>
      <c r="D9146" t="str">
        <f t="shared" si="3359"/>
        <v>NORTH CHARLESTON</v>
      </c>
      <c r="E9146" t="str">
        <f t="shared" si="3360"/>
        <v>SC</v>
      </c>
      <c r="F9146" t="str">
        <f t="shared" si="3361"/>
        <v>294199022</v>
      </c>
      <c r="G9146" t="str">
        <f t="shared" si="3369"/>
        <v>PO BOX 190022</v>
      </c>
      <c r="H9146" t="str">
        <f>T("CODE 43220")</f>
        <v>CODE 43220</v>
      </c>
      <c r="I9146" t="str">
        <f t="shared" si="3367"/>
        <v>NORTH CHARLESTON</v>
      </c>
      <c r="J9146" t="str">
        <f t="shared" si="3368"/>
        <v>SC</v>
      </c>
      <c r="K9146" t="str">
        <f t="shared" si="3364"/>
        <v>000000000000000000</v>
      </c>
      <c r="L9146" t="str">
        <f>T("8432184100")</f>
        <v>8432184100</v>
      </c>
    </row>
    <row r="9147" spans="1:12" x14ac:dyDescent="0.35">
      <c r="A9147" t="str">
        <f t="shared" si="3357"/>
        <v>SPAWARSYSCEN CHARLESTON</v>
      </c>
      <c r="B9147" t="str">
        <f t="shared" si="3365"/>
        <v>PO BOX 190022</v>
      </c>
      <c r="C9147" t="str">
        <f t="shared" si="3366"/>
        <v>CODE 43220</v>
      </c>
      <c r="D9147" t="str">
        <f t="shared" si="3359"/>
        <v>NORTH CHARLESTON</v>
      </c>
      <c r="E9147" t="str">
        <f t="shared" si="3360"/>
        <v>SC</v>
      </c>
      <c r="F9147" t="str">
        <f t="shared" si="3361"/>
        <v>294199022</v>
      </c>
      <c r="G9147" t="str">
        <f t="shared" si="3369"/>
        <v>PO BOX 190022</v>
      </c>
      <c r="H9147" t="str">
        <f>T("CODE 43220")</f>
        <v>CODE 43220</v>
      </c>
      <c r="I9147" t="str">
        <f t="shared" si="3367"/>
        <v>NORTH CHARLESTON</v>
      </c>
      <c r="J9147" t="str">
        <f t="shared" si="3368"/>
        <v>SC</v>
      </c>
      <c r="K9147" t="str">
        <f t="shared" si="3364"/>
        <v>000000000000000000</v>
      </c>
      <c r="L9147" t="str">
        <f>T("8432184133")</f>
        <v>8432184133</v>
      </c>
    </row>
    <row r="9148" spans="1:12" x14ac:dyDescent="0.35">
      <c r="A9148" t="str">
        <f t="shared" si="3357"/>
        <v>SPAWARSYSCEN CHARLESTON</v>
      </c>
      <c r="B9148" t="str">
        <f t="shared" si="3365"/>
        <v>PO BOX 190022</v>
      </c>
      <c r="C9148" t="str">
        <f t="shared" si="3366"/>
        <v>CODE 43220</v>
      </c>
      <c r="D9148" t="str">
        <f t="shared" si="3359"/>
        <v>NORTH CHARLESTON</v>
      </c>
      <c r="E9148" t="str">
        <f t="shared" si="3360"/>
        <v>SC</v>
      </c>
      <c r="F9148" t="str">
        <f t="shared" si="3361"/>
        <v>294199022</v>
      </c>
      <c r="G9148" t="str">
        <f t="shared" si="3369"/>
        <v>PO BOX 190022</v>
      </c>
      <c r="H9148" t="str">
        <f>T("CODE 43220")</f>
        <v>CODE 43220</v>
      </c>
      <c r="I9148" t="str">
        <f t="shared" si="3367"/>
        <v>NORTH CHARLESTON</v>
      </c>
      <c r="J9148" t="str">
        <f t="shared" si="3368"/>
        <v>SC</v>
      </c>
      <c r="K9148" t="str">
        <f t="shared" si="3364"/>
        <v>000000000000000000</v>
      </c>
      <c r="L9148" t="str">
        <f>T("8432185193")</f>
        <v>8432185193</v>
      </c>
    </row>
    <row r="9149" spans="1:12" x14ac:dyDescent="0.35">
      <c r="A9149" t="str">
        <f t="shared" si="3357"/>
        <v>SPAWARSYSCEN CHARLESTON</v>
      </c>
      <c r="B9149" t="str">
        <f t="shared" si="3365"/>
        <v>PO BOX 190022</v>
      </c>
      <c r="C9149" t="str">
        <f>T("CODE 81300")</f>
        <v>CODE 81300</v>
      </c>
      <c r="D9149" t="str">
        <f>T("N CHARLESTON")</f>
        <v>N CHARLESTON</v>
      </c>
      <c r="E9149" t="str">
        <f t="shared" si="3360"/>
        <v>SC</v>
      </c>
      <c r="F9149" t="str">
        <f t="shared" si="3361"/>
        <v>294199022</v>
      </c>
      <c r="G9149" t="str">
        <f>T("CODE 81300")</f>
        <v>CODE 81300</v>
      </c>
      <c r="H9149" t="str">
        <f>T("P O BOX 190022")</f>
        <v>P O BOX 190022</v>
      </c>
      <c r="I9149" t="str">
        <f t="shared" si="3367"/>
        <v>NORTH CHARLESTON</v>
      </c>
      <c r="J9149" t="str">
        <f t="shared" si="3368"/>
        <v>SC</v>
      </c>
      <c r="K9149" t="str">
        <f t="shared" si="3364"/>
        <v>000000000000000000</v>
      </c>
      <c r="L9149" t="str">
        <f>T("8432186810")</f>
        <v>8432186810</v>
      </c>
    </row>
    <row r="9150" spans="1:12" x14ac:dyDescent="0.35">
      <c r="A9150" t="str">
        <f t="shared" si="3357"/>
        <v>SPAWARSYSCEN CHARLESTON</v>
      </c>
      <c r="B9150" t="str">
        <f t="shared" si="3365"/>
        <v>PO BOX 190022</v>
      </c>
      <c r="C9150" t="str">
        <f>T("CODE 81300")</f>
        <v>CODE 81300</v>
      </c>
      <c r="D9150" t="str">
        <f>T("N CHARLESTON")</f>
        <v>N CHARLESTON</v>
      </c>
      <c r="E9150" t="str">
        <f t="shared" si="3360"/>
        <v>SC</v>
      </c>
      <c r="F9150" t="str">
        <f t="shared" si="3361"/>
        <v>294199022</v>
      </c>
      <c r="G9150" t="str">
        <f>T("PO BOX 190022")</f>
        <v>PO BOX 190022</v>
      </c>
      <c r="H9150" t="str">
        <f>T("CODE 81300")</f>
        <v>CODE 81300</v>
      </c>
      <c r="I9150" t="str">
        <f>T("N CHARLESTON")</f>
        <v>N CHARLESTON</v>
      </c>
      <c r="J9150" t="str">
        <f t="shared" si="3368"/>
        <v>SC</v>
      </c>
      <c r="K9150" t="str">
        <f>T("8432184776")</f>
        <v>8432184776</v>
      </c>
      <c r="L9150" t="str">
        <f>T("8432184776")</f>
        <v>8432184776</v>
      </c>
    </row>
    <row r="9151" spans="1:12" x14ac:dyDescent="0.35">
      <c r="A9151" t="str">
        <f t="shared" si="3357"/>
        <v>SPAWARSYSCEN CHARLESTON</v>
      </c>
      <c r="B9151" t="str">
        <f t="shared" si="3365"/>
        <v>PO BOX 190022</v>
      </c>
      <c r="C9151" t="str">
        <f>T("CODE 81300")</f>
        <v>CODE 81300</v>
      </c>
      <c r="D9151" t="str">
        <f>T("N CHARLESTON")</f>
        <v>N CHARLESTON</v>
      </c>
      <c r="E9151" t="str">
        <f t="shared" si="3360"/>
        <v>SC</v>
      </c>
      <c r="F9151" t="str">
        <f t="shared" si="3361"/>
        <v>294199022</v>
      </c>
      <c r="G9151" t="str">
        <f>T("PO BOX 190022")</f>
        <v>PO BOX 190022</v>
      </c>
      <c r="H9151" t="str">
        <f>T("CODE 81300")</f>
        <v>CODE 81300</v>
      </c>
      <c r="I9151" t="str">
        <f>T("NORTH CHARLESTON")</f>
        <v>NORTH CHARLESTON</v>
      </c>
      <c r="J9151" t="str">
        <f t="shared" si="3368"/>
        <v>SC</v>
      </c>
      <c r="K9151" t="str">
        <f>T("000000000000000000")</f>
        <v>000000000000000000</v>
      </c>
      <c r="L9151" t="str">
        <f>T("8432186442")</f>
        <v>8432186442</v>
      </c>
    </row>
    <row r="9152" spans="1:12" x14ac:dyDescent="0.35">
      <c r="A9152" t="str">
        <f t="shared" si="3357"/>
        <v>SPAWARSYSCEN CHARLESTON</v>
      </c>
      <c r="B9152" t="str">
        <f t="shared" si="3365"/>
        <v>PO BOX 190022</v>
      </c>
      <c r="C9152" t="str">
        <f>T("CODE 81300")</f>
        <v>CODE 81300</v>
      </c>
      <c r="D9152" t="str">
        <f>T("N CHARLESTON")</f>
        <v>N CHARLESTON</v>
      </c>
      <c r="E9152" t="str">
        <f t="shared" si="3360"/>
        <v>SC</v>
      </c>
      <c r="F9152" t="str">
        <f t="shared" si="3361"/>
        <v>294199022</v>
      </c>
      <c r="G9152" t="str">
        <f>T("PO BOX 190022")</f>
        <v>PO BOX 190022</v>
      </c>
      <c r="H9152" t="str">
        <f>T("CODE 81310")</f>
        <v>CODE 81310</v>
      </c>
      <c r="I9152" t="str">
        <f>T("NORTH CHARLESTON")</f>
        <v>NORTH CHARLESTON</v>
      </c>
      <c r="J9152" t="str">
        <f t="shared" si="3368"/>
        <v>SC</v>
      </c>
      <c r="K9152" t="str">
        <f>T("000000000000000000")</f>
        <v>000000000000000000</v>
      </c>
      <c r="L9152" t="str">
        <f>T("8432186456")</f>
        <v>8432186456</v>
      </c>
    </row>
    <row r="9153" spans="1:12" x14ac:dyDescent="0.35">
      <c r="A9153" t="str">
        <f t="shared" si="3357"/>
        <v>SPAWARSYSCEN CHARLESTON</v>
      </c>
      <c r="B9153" t="str">
        <f t="shared" si="3365"/>
        <v>PO BOX 190022</v>
      </c>
      <c r="C9153" t="str">
        <f>T("CODE 81300")</f>
        <v>CODE 81300</v>
      </c>
      <c r="D9153" t="str">
        <f>T("N CHARLESTON")</f>
        <v>N CHARLESTON</v>
      </c>
      <c r="E9153" t="str">
        <f t="shared" si="3360"/>
        <v>SC</v>
      </c>
      <c r="F9153" t="str">
        <f t="shared" si="3361"/>
        <v>294199022</v>
      </c>
      <c r="G9153" t="str">
        <f>T("PO BOX 190022")</f>
        <v>PO BOX 190022</v>
      </c>
      <c r="H9153" t="str">
        <f>T("CODE 83100")</f>
        <v>CODE 83100</v>
      </c>
      <c r="I9153" t="str">
        <f>T("NORTH CHARLESTON")</f>
        <v>NORTH CHARLESTON</v>
      </c>
      <c r="J9153" t="str">
        <f t="shared" si="3368"/>
        <v>SC</v>
      </c>
      <c r="K9153" t="str">
        <f>T("000000000000000000")</f>
        <v>000000000000000000</v>
      </c>
      <c r="L9153" t="str">
        <f>T("8432185342")</f>
        <v>8432185342</v>
      </c>
    </row>
    <row r="9154" spans="1:12" x14ac:dyDescent="0.35">
      <c r="A9154" t="str">
        <f t="shared" ref="A9154:A9181" si="3370">T("SPAWARSYSCOM")</f>
        <v>SPAWARSYSCOM</v>
      </c>
      <c r="B9154" t="str">
        <f t="shared" ref="B9154:B9160" si="3371">T("4301 PACIFIC HIGHWAY")</f>
        <v>4301 PACIFIC HIGHWAY</v>
      </c>
      <c r="C9154" t="str">
        <f>T("CODE 1.0")</f>
        <v>CODE 1.0</v>
      </c>
      <c r="D9154" t="str">
        <f t="shared" ref="D9154:D9181" si="3372">T("SAN DIEGO")</f>
        <v>SAN DIEGO</v>
      </c>
      <c r="E9154" t="str">
        <f t="shared" ref="E9154:E9181" si="3373">T("CA")</f>
        <v>CA</v>
      </c>
      <c r="F9154" t="str">
        <f t="shared" ref="F9154:F9181" si="3374">T("921103127")</f>
        <v>921103127</v>
      </c>
      <c r="G9154" t="str">
        <f>T("4301 PACIFIC HIGHWAY")</f>
        <v>4301 PACIFIC HIGHWAY</v>
      </c>
      <c r="H9154" t="str">
        <f>T("CODE 1.0")</f>
        <v>CODE 1.0</v>
      </c>
      <c r="I9154" t="str">
        <f t="shared" ref="I9154:I9181" si="3375">T("SAN DIEGO")</f>
        <v>SAN DIEGO</v>
      </c>
      <c r="J9154" t="str">
        <f t="shared" ref="J9154:J9181" si="3376">T("CA")</f>
        <v>CA</v>
      </c>
      <c r="K9154" t="str">
        <f>T("8585370622")</f>
        <v>8585370622</v>
      </c>
      <c r="L9154" t="str">
        <f>T("6195247106")</f>
        <v>6195247106</v>
      </c>
    </row>
    <row r="9155" spans="1:12" x14ac:dyDescent="0.35">
      <c r="A9155" t="str">
        <f t="shared" si="3370"/>
        <v>SPAWARSYSCOM</v>
      </c>
      <c r="B9155" t="str">
        <f t="shared" si="3371"/>
        <v>4301 PACIFIC HIGHWAY</v>
      </c>
      <c r="C9155" t="str">
        <f>T("CODE 1.0")</f>
        <v>CODE 1.0</v>
      </c>
      <c r="D9155" t="str">
        <f t="shared" si="3372"/>
        <v>SAN DIEGO</v>
      </c>
      <c r="E9155" t="str">
        <f t="shared" si="3373"/>
        <v>CA</v>
      </c>
      <c r="F9155" t="str">
        <f t="shared" si="3374"/>
        <v>921103127</v>
      </c>
      <c r="G9155" t="str">
        <f>T("4301 PACIFIC HWY")</f>
        <v>4301 PACIFIC HWY</v>
      </c>
      <c r="H9155" t="str">
        <f>T("CODE 1 0")</f>
        <v>CODE 1 0</v>
      </c>
      <c r="I9155" t="str">
        <f t="shared" si="3375"/>
        <v>SAN DIEGO</v>
      </c>
      <c r="J9155" t="str">
        <f t="shared" si="3376"/>
        <v>CA</v>
      </c>
      <c r="K9155" t="str">
        <f>T("8585370622")</f>
        <v>8585370622</v>
      </c>
      <c r="L9155" t="str">
        <f>T("6195247077")</f>
        <v>6195247077</v>
      </c>
    </row>
    <row r="9156" spans="1:12" x14ac:dyDescent="0.35">
      <c r="A9156" t="str">
        <f t="shared" si="3370"/>
        <v>SPAWARSYSCOM</v>
      </c>
      <c r="B9156" t="str">
        <f t="shared" si="3371"/>
        <v>4301 PACIFIC HIGHWAY</v>
      </c>
      <c r="C9156" t="str">
        <f>T("CODE 1.0")</f>
        <v>CODE 1.0</v>
      </c>
      <c r="D9156" t="str">
        <f t="shared" si="3372"/>
        <v>SAN DIEGO</v>
      </c>
      <c r="E9156" t="str">
        <f t="shared" si="3373"/>
        <v>CA</v>
      </c>
      <c r="F9156" t="str">
        <f t="shared" si="3374"/>
        <v>921103127</v>
      </c>
      <c r="G9156" t="str">
        <f>T("4301 PACIFIC HWY")</f>
        <v>4301 PACIFIC HWY</v>
      </c>
      <c r="H9156" t="str">
        <f>T("CODE 10")</f>
        <v>CODE 10</v>
      </c>
      <c r="I9156" t="str">
        <f t="shared" si="3375"/>
        <v>SAN DIEGO</v>
      </c>
      <c r="J9156" t="str">
        <f t="shared" si="3376"/>
        <v>CA</v>
      </c>
      <c r="K9156" t="str">
        <f>T("8585370622")</f>
        <v>8585370622</v>
      </c>
      <c r="L9156" t="str">
        <f>T("6195242849")</f>
        <v>6195242849</v>
      </c>
    </row>
    <row r="9157" spans="1:12" x14ac:dyDescent="0.35">
      <c r="A9157" t="str">
        <f t="shared" si="3370"/>
        <v>SPAWARSYSCOM</v>
      </c>
      <c r="B9157" t="str">
        <f t="shared" si="3371"/>
        <v>4301 PACIFIC HIGHWAY</v>
      </c>
      <c r="C9157" t="str">
        <f>T("CODE 8.3.4")</f>
        <v>CODE 8.3.4</v>
      </c>
      <c r="D9157" t="str">
        <f t="shared" si="3372"/>
        <v>SAN DIEGO</v>
      </c>
      <c r="E9157" t="str">
        <f t="shared" si="3373"/>
        <v>CA</v>
      </c>
      <c r="F9157" t="str">
        <f t="shared" si="3374"/>
        <v>921103127</v>
      </c>
      <c r="G9157" t="str">
        <f>T("4301 PACIFIC HIGHWAY")</f>
        <v>4301 PACIFIC HIGHWAY</v>
      </c>
      <c r="H9157" t="str">
        <f>T("CODE 8.3.4")</f>
        <v>CODE 8.3.4</v>
      </c>
      <c r="I9157" t="str">
        <f t="shared" si="3375"/>
        <v>SAN DIEGO</v>
      </c>
      <c r="J9157" t="str">
        <f t="shared" si="3376"/>
        <v>CA</v>
      </c>
      <c r="K9157" t="str">
        <f>T("8585370622")</f>
        <v>8585370622</v>
      </c>
      <c r="L9157" t="str">
        <f>T("6195247752")</f>
        <v>6195247752</v>
      </c>
    </row>
    <row r="9158" spans="1:12" x14ac:dyDescent="0.35">
      <c r="A9158" t="str">
        <f t="shared" si="3370"/>
        <v>SPAWARSYSCOM</v>
      </c>
      <c r="B9158" t="str">
        <f t="shared" si="3371"/>
        <v>4301 PACIFIC HIGHWAY</v>
      </c>
      <c r="C9158" t="str">
        <f>T("CODE 8.3.4")</f>
        <v>CODE 8.3.4</v>
      </c>
      <c r="D9158" t="str">
        <f t="shared" si="3372"/>
        <v>SAN DIEGO</v>
      </c>
      <c r="E9158" t="str">
        <f t="shared" si="3373"/>
        <v>CA</v>
      </c>
      <c r="F9158" t="str">
        <f t="shared" si="3374"/>
        <v>921103127</v>
      </c>
      <c r="G9158" t="str">
        <f>T("SPAWARSYSCOM")</f>
        <v>SPAWARSYSCOM</v>
      </c>
      <c r="H9158" t="str">
        <f>T("4301 PACIFIC HWY CODE 5 0")</f>
        <v>4301 PACIFIC HWY CODE 5 0</v>
      </c>
      <c r="I9158" t="str">
        <f t="shared" si="3375"/>
        <v>SAN DIEGO</v>
      </c>
      <c r="J9158" t="str">
        <f t="shared" si="3376"/>
        <v>CA</v>
      </c>
      <c r="K9158" t="str">
        <f>T("000000000000000000")</f>
        <v>000000000000000000</v>
      </c>
      <c r="L9158" t="str">
        <f>T("8585370150")</f>
        <v>8585370150</v>
      </c>
    </row>
    <row r="9159" spans="1:12" x14ac:dyDescent="0.35">
      <c r="A9159" t="str">
        <f t="shared" si="3370"/>
        <v>SPAWARSYSCOM</v>
      </c>
      <c r="B9159" t="str">
        <f t="shared" si="3371"/>
        <v>4301 PACIFIC HIGHWAY</v>
      </c>
      <c r="C9159" t="str">
        <f>T("SPAWAR PEO-EIS/NEBS")</f>
        <v>SPAWAR PEO-EIS/NEBS</v>
      </c>
      <c r="D9159" t="str">
        <f t="shared" si="3372"/>
        <v>SAN DIEGO</v>
      </c>
      <c r="E9159" t="str">
        <f t="shared" si="3373"/>
        <v>CA</v>
      </c>
      <c r="F9159" t="str">
        <f t="shared" si="3374"/>
        <v>921103127</v>
      </c>
      <c r="G9159" t="str">
        <f>T("4301 PACIFIC HIGHWAY")</f>
        <v>4301 PACIFIC HIGHWAY</v>
      </c>
      <c r="H9159" t="str">
        <f>T("SPAWAR PEO-EIS/NEBS")</f>
        <v>SPAWAR PEO-EIS/NEBS</v>
      </c>
      <c r="I9159" t="str">
        <f t="shared" si="3375"/>
        <v>SAN DIEGO</v>
      </c>
      <c r="J9159" t="str">
        <f t="shared" si="3376"/>
        <v>CA</v>
      </c>
      <c r="K9159" t="str">
        <f>T("000000000000000000")</f>
        <v>000000000000000000</v>
      </c>
      <c r="L9159" t="str">
        <f>T("2024330581")</f>
        <v>2024330581</v>
      </c>
    </row>
    <row r="9160" spans="1:12" x14ac:dyDescent="0.35">
      <c r="A9160" t="str">
        <f t="shared" si="3370"/>
        <v>SPAWARSYSCOM</v>
      </c>
      <c r="B9160" t="str">
        <f t="shared" si="3371"/>
        <v>4301 PACIFIC HIGHWAY</v>
      </c>
      <c r="C9160" t="str">
        <f>T("SPAWAR PEO-EIS/NEBS")</f>
        <v>SPAWAR PEO-EIS/NEBS</v>
      </c>
      <c r="D9160" t="str">
        <f t="shared" si="3372"/>
        <v>SAN DIEGO</v>
      </c>
      <c r="E9160" t="str">
        <f t="shared" si="3373"/>
        <v>CA</v>
      </c>
      <c r="F9160" t="str">
        <f t="shared" si="3374"/>
        <v>921103127</v>
      </c>
      <c r="G9160" t="str">
        <f t="shared" ref="G9160:G9181" si="3377">T("4301 PACIFIC HWY")</f>
        <v>4301 PACIFIC HWY</v>
      </c>
      <c r="H9160" t="str">
        <f>T("PEO EIS - NEBS")</f>
        <v>PEO EIS - NEBS</v>
      </c>
      <c r="I9160" t="str">
        <f t="shared" si="3375"/>
        <v>SAN DIEGO</v>
      </c>
      <c r="J9160" t="str">
        <f t="shared" si="3376"/>
        <v>CA</v>
      </c>
      <c r="K9160" t="str">
        <f>T("000000000000000000")</f>
        <v>000000000000000000</v>
      </c>
      <c r="L9160" t="str">
        <f>T("2024338984")</f>
        <v>2024338984</v>
      </c>
    </row>
    <row r="9161" spans="1:12" x14ac:dyDescent="0.35">
      <c r="A9161" t="str">
        <f t="shared" si="3370"/>
        <v>SPAWARSYSCOM</v>
      </c>
      <c r="B9161" t="str">
        <f t="shared" ref="B9161:B9181" si="3378">T("4301 PACIFIC HWY")</f>
        <v>4301 PACIFIC HWY</v>
      </c>
      <c r="C9161" t="str">
        <f>T("CODE 3.0")</f>
        <v>CODE 3.0</v>
      </c>
      <c r="D9161" t="str">
        <f t="shared" si="3372"/>
        <v>SAN DIEGO</v>
      </c>
      <c r="E9161" t="str">
        <f t="shared" si="3373"/>
        <v>CA</v>
      </c>
      <c r="F9161" t="str">
        <f t="shared" si="3374"/>
        <v>921103127</v>
      </c>
      <c r="G9161" t="str">
        <f t="shared" si="3377"/>
        <v>4301 PACIFIC HWY</v>
      </c>
      <c r="H9161" t="str">
        <f>T("CODE 3.0")</f>
        <v>CODE 3.0</v>
      </c>
      <c r="I9161" t="str">
        <f t="shared" si="3375"/>
        <v>SAN DIEGO</v>
      </c>
      <c r="J9161" t="str">
        <f t="shared" si="3376"/>
        <v>CA</v>
      </c>
      <c r="K9161" t="str">
        <f t="shared" ref="K9161:K9166" si="3379">T("8585370622")</f>
        <v>8585370622</v>
      </c>
      <c r="L9161" t="str">
        <f>T("6195247043")</f>
        <v>6195247043</v>
      </c>
    </row>
    <row r="9162" spans="1:12" x14ac:dyDescent="0.35">
      <c r="A9162" t="str">
        <f t="shared" si="3370"/>
        <v>SPAWARSYSCOM</v>
      </c>
      <c r="B9162" t="str">
        <f t="shared" si="3378"/>
        <v>4301 PACIFIC HWY</v>
      </c>
      <c r="C9162" t="str">
        <f>T("CODE PEO SS PMW 146")</f>
        <v>CODE PEO SS PMW 146</v>
      </c>
      <c r="D9162" t="str">
        <f t="shared" si="3372"/>
        <v>SAN DIEGO</v>
      </c>
      <c r="E9162" t="str">
        <f t="shared" si="3373"/>
        <v>CA</v>
      </c>
      <c r="F9162" t="str">
        <f t="shared" si="3374"/>
        <v>921103127</v>
      </c>
      <c r="G9162" t="str">
        <f t="shared" si="3377"/>
        <v>4301 PACIFIC HWY</v>
      </c>
      <c r="H9162" t="str">
        <f>T("CODE PEO SS PMW 146")</f>
        <v>CODE PEO SS PMW 146</v>
      </c>
      <c r="I9162" t="str">
        <f t="shared" si="3375"/>
        <v>SAN DIEGO</v>
      </c>
      <c r="J9162" t="str">
        <f t="shared" si="3376"/>
        <v>CA</v>
      </c>
      <c r="K9162" t="str">
        <f t="shared" si="3379"/>
        <v>8585370622</v>
      </c>
      <c r="L9162" t="str">
        <f>T("7036045548")</f>
        <v>7036045548</v>
      </c>
    </row>
    <row r="9163" spans="1:12" x14ac:dyDescent="0.35">
      <c r="A9163" t="str">
        <f t="shared" si="3370"/>
        <v>SPAWARSYSCOM</v>
      </c>
      <c r="B9163" t="str">
        <f t="shared" si="3378"/>
        <v>4301 PACIFIC HWY</v>
      </c>
      <c r="C9163" t="str">
        <f>T("CODE PEO-EIS")</f>
        <v>CODE PEO-EIS</v>
      </c>
      <c r="D9163" t="str">
        <f t="shared" si="3372"/>
        <v>SAN DIEGO</v>
      </c>
      <c r="E9163" t="str">
        <f t="shared" si="3373"/>
        <v>CA</v>
      </c>
      <c r="F9163" t="str">
        <f t="shared" si="3374"/>
        <v>921103127</v>
      </c>
      <c r="G9163" t="str">
        <f t="shared" si="3377"/>
        <v>4301 PACIFIC HWY</v>
      </c>
      <c r="H9163" t="str">
        <f>T("CODE NEN")</f>
        <v>CODE NEN</v>
      </c>
      <c r="I9163" t="str">
        <f t="shared" si="3375"/>
        <v>SAN DIEGO</v>
      </c>
      <c r="J9163" t="str">
        <f t="shared" si="3376"/>
        <v>CA</v>
      </c>
      <c r="K9163" t="str">
        <f t="shared" si="3379"/>
        <v>8585370622</v>
      </c>
      <c r="L9163" t="str">
        <f>T("2026850028")</f>
        <v>2026850028</v>
      </c>
    </row>
    <row r="9164" spans="1:12" x14ac:dyDescent="0.35">
      <c r="A9164" t="str">
        <f t="shared" si="3370"/>
        <v>SPAWARSYSCOM</v>
      </c>
      <c r="B9164" t="str">
        <f t="shared" si="3378"/>
        <v>4301 PACIFIC HWY</v>
      </c>
      <c r="C9164" t="str">
        <f>T("CODE PEO-EIS")</f>
        <v>CODE PEO-EIS</v>
      </c>
      <c r="D9164" t="str">
        <f t="shared" si="3372"/>
        <v>SAN DIEGO</v>
      </c>
      <c r="E9164" t="str">
        <f t="shared" si="3373"/>
        <v>CA</v>
      </c>
      <c r="F9164" t="str">
        <f t="shared" si="3374"/>
        <v>921103127</v>
      </c>
      <c r="G9164" t="str">
        <f t="shared" si="3377"/>
        <v>4301 PACIFIC HWY</v>
      </c>
      <c r="H9164" t="str">
        <f>T("CODE PEO-EIS")</f>
        <v>CODE PEO-EIS</v>
      </c>
      <c r="I9164" t="str">
        <f t="shared" si="3375"/>
        <v>SAN DIEGO</v>
      </c>
      <c r="J9164" t="str">
        <f t="shared" si="3376"/>
        <v>CA</v>
      </c>
      <c r="K9164" t="str">
        <f t="shared" si="3379"/>
        <v>8585370622</v>
      </c>
      <c r="L9164" t="str">
        <f>T("7036993274")</f>
        <v>7036993274</v>
      </c>
    </row>
    <row r="9165" spans="1:12" x14ac:dyDescent="0.35">
      <c r="A9165" t="str">
        <f t="shared" si="3370"/>
        <v>SPAWARSYSCOM</v>
      </c>
      <c r="B9165" t="str">
        <f t="shared" si="3378"/>
        <v>4301 PACIFIC HWY</v>
      </c>
      <c r="C9165" t="str">
        <f>T("CODE PEOC4I")</f>
        <v>CODE PEOC4I</v>
      </c>
      <c r="D9165" t="str">
        <f t="shared" si="3372"/>
        <v>SAN DIEGO</v>
      </c>
      <c r="E9165" t="str">
        <f t="shared" si="3373"/>
        <v>CA</v>
      </c>
      <c r="F9165" t="str">
        <f t="shared" si="3374"/>
        <v>921103127</v>
      </c>
      <c r="G9165" t="str">
        <f t="shared" si="3377"/>
        <v>4301 PACIFIC HWY</v>
      </c>
      <c r="H9165" t="str">
        <f>T("CODE PEOC4I")</f>
        <v>CODE PEOC4I</v>
      </c>
      <c r="I9165" t="str">
        <f t="shared" si="3375"/>
        <v>SAN DIEGO</v>
      </c>
      <c r="J9165" t="str">
        <f t="shared" si="3376"/>
        <v>CA</v>
      </c>
      <c r="K9165" t="str">
        <f t="shared" si="3379"/>
        <v>8585370622</v>
      </c>
      <c r="L9165" t="str">
        <f>T("6195247258")</f>
        <v>6195247258</v>
      </c>
    </row>
    <row r="9166" spans="1:12" x14ac:dyDescent="0.35">
      <c r="A9166" t="str">
        <f t="shared" si="3370"/>
        <v>SPAWARSYSCOM</v>
      </c>
      <c r="B9166" t="str">
        <f t="shared" si="3378"/>
        <v>4301 PACIFIC HWY</v>
      </c>
      <c r="C9166" t="str">
        <f>T("CODE PEOC4I")</f>
        <v>CODE PEOC4I</v>
      </c>
      <c r="D9166" t="str">
        <f t="shared" si="3372"/>
        <v>SAN DIEGO</v>
      </c>
      <c r="E9166" t="str">
        <f t="shared" si="3373"/>
        <v>CA</v>
      </c>
      <c r="F9166" t="str">
        <f t="shared" si="3374"/>
        <v>921103127</v>
      </c>
      <c r="G9166" t="str">
        <f t="shared" si="3377"/>
        <v>4301 PACIFIC HWY</v>
      </c>
      <c r="H9166" t="str">
        <f>T("CODE PEOC4I")</f>
        <v>CODE PEOC4I</v>
      </c>
      <c r="I9166" t="str">
        <f t="shared" si="3375"/>
        <v>SAN DIEGO</v>
      </c>
      <c r="J9166" t="str">
        <f t="shared" si="3376"/>
        <v>CA</v>
      </c>
      <c r="K9166" t="str">
        <f t="shared" si="3379"/>
        <v>8585370622</v>
      </c>
      <c r="L9166" t="str">
        <f>T("8585370620")</f>
        <v>8585370620</v>
      </c>
    </row>
    <row r="9167" spans="1:12" x14ac:dyDescent="0.35">
      <c r="A9167" t="str">
        <f t="shared" si="3370"/>
        <v>SPAWARSYSCOM</v>
      </c>
      <c r="B9167" t="str">
        <f t="shared" si="3378"/>
        <v>4301 PACIFIC HWY</v>
      </c>
      <c r="C9167" t="str">
        <f>T("MIDS PROGRAM OFFICE")</f>
        <v>MIDS PROGRAM OFFICE</v>
      </c>
      <c r="D9167" t="str">
        <f t="shared" si="3372"/>
        <v>SAN DIEGO</v>
      </c>
      <c r="E9167" t="str">
        <f t="shared" si="3373"/>
        <v>CA</v>
      </c>
      <c r="F9167" t="str">
        <f t="shared" si="3374"/>
        <v>921103127</v>
      </c>
      <c r="G9167" t="str">
        <f t="shared" si="3377"/>
        <v>4301 PACIFIC HWY</v>
      </c>
      <c r="H9167" t="str">
        <f>T("MIDS PROGRAM OFFICE")</f>
        <v>MIDS PROGRAM OFFICE</v>
      </c>
      <c r="I9167" t="str">
        <f t="shared" si="3375"/>
        <v>SAN DIEGO</v>
      </c>
      <c r="J9167" t="str">
        <f t="shared" si="3376"/>
        <v>CA</v>
      </c>
      <c r="K9167" t="str">
        <f t="shared" ref="K9167:K9175" si="3380">T("000000000000000000")</f>
        <v>000000000000000000</v>
      </c>
      <c r="L9167" t="str">
        <f>T("6195241402")</f>
        <v>6195241402</v>
      </c>
    </row>
    <row r="9168" spans="1:12" x14ac:dyDescent="0.35">
      <c r="A9168" t="str">
        <f t="shared" si="3370"/>
        <v>SPAWARSYSCOM</v>
      </c>
      <c r="B9168" t="str">
        <f t="shared" si="3378"/>
        <v>4301 PACIFIC HWY</v>
      </c>
      <c r="C9168" t="str">
        <f>T("SPAWAR 2.0")</f>
        <v>SPAWAR 2.0</v>
      </c>
      <c r="D9168" t="str">
        <f t="shared" si="3372"/>
        <v>SAN DIEGO</v>
      </c>
      <c r="E9168" t="str">
        <f t="shared" si="3373"/>
        <v>CA</v>
      </c>
      <c r="F9168" t="str">
        <f t="shared" si="3374"/>
        <v>921103127</v>
      </c>
      <c r="G9168" t="str">
        <f t="shared" si="3377"/>
        <v>4301 PACIFIC HWY</v>
      </c>
      <c r="H9168" t="str">
        <f>T("2.0 OT4")</f>
        <v>2.0 OT4</v>
      </c>
      <c r="I9168" t="str">
        <f t="shared" si="3375"/>
        <v>SAN DIEGO</v>
      </c>
      <c r="J9168" t="str">
        <f t="shared" si="3376"/>
        <v>CA</v>
      </c>
      <c r="K9168" t="str">
        <f t="shared" si="3380"/>
        <v>000000000000000000</v>
      </c>
      <c r="L9168" t="str">
        <f>T("6195247014")</f>
        <v>6195247014</v>
      </c>
    </row>
    <row r="9169" spans="1:12" x14ac:dyDescent="0.35">
      <c r="A9169" t="str">
        <f t="shared" si="3370"/>
        <v>SPAWARSYSCOM</v>
      </c>
      <c r="B9169" t="str">
        <f t="shared" si="3378"/>
        <v>4301 PACIFIC HWY</v>
      </c>
      <c r="C9169" t="str">
        <f>T("SPAWAR 2.0")</f>
        <v>SPAWAR 2.0</v>
      </c>
      <c r="D9169" t="str">
        <f t="shared" si="3372"/>
        <v>SAN DIEGO</v>
      </c>
      <c r="E9169" t="str">
        <f t="shared" si="3373"/>
        <v>CA</v>
      </c>
      <c r="F9169" t="str">
        <f t="shared" si="3374"/>
        <v>921103127</v>
      </c>
      <c r="G9169" t="str">
        <f t="shared" si="3377"/>
        <v>4301 PACIFIC HWY</v>
      </c>
      <c r="H9169" t="str">
        <f>T("2.0 OT4")</f>
        <v>2.0 OT4</v>
      </c>
      <c r="I9169" t="str">
        <f t="shared" si="3375"/>
        <v>SAN DIEGO</v>
      </c>
      <c r="J9169" t="str">
        <f t="shared" si="3376"/>
        <v>CA</v>
      </c>
      <c r="K9169" t="str">
        <f t="shared" si="3380"/>
        <v>000000000000000000</v>
      </c>
      <c r="L9169" t="str">
        <f>T("6195247396")</f>
        <v>6195247396</v>
      </c>
    </row>
    <row r="9170" spans="1:12" x14ac:dyDescent="0.35">
      <c r="A9170" t="str">
        <f t="shared" si="3370"/>
        <v>SPAWARSYSCOM</v>
      </c>
      <c r="B9170" t="str">
        <f t="shared" si="3378"/>
        <v>4301 PACIFIC HWY</v>
      </c>
      <c r="C9170" t="str">
        <f>T("SPAWAR 2.0")</f>
        <v>SPAWAR 2.0</v>
      </c>
      <c r="D9170" t="str">
        <f t="shared" si="3372"/>
        <v>SAN DIEGO</v>
      </c>
      <c r="E9170" t="str">
        <f t="shared" si="3373"/>
        <v>CA</v>
      </c>
      <c r="F9170" t="str">
        <f t="shared" si="3374"/>
        <v>921103127</v>
      </c>
      <c r="G9170" t="str">
        <f t="shared" si="3377"/>
        <v>4301 PACIFIC HWY</v>
      </c>
      <c r="H9170" t="str">
        <f>T("SPAWAR 2.0")</f>
        <v>SPAWAR 2.0</v>
      </c>
      <c r="I9170" t="str">
        <f t="shared" si="3375"/>
        <v>SAN DIEGO</v>
      </c>
      <c r="J9170" t="str">
        <f t="shared" si="3376"/>
        <v>CA</v>
      </c>
      <c r="K9170" t="str">
        <f t="shared" si="3380"/>
        <v>000000000000000000</v>
      </c>
      <c r="L9170" t="str">
        <f>T("8585378757")</f>
        <v>8585378757</v>
      </c>
    </row>
    <row r="9171" spans="1:12" x14ac:dyDescent="0.35">
      <c r="A9171" t="str">
        <f t="shared" si="3370"/>
        <v>SPAWARSYSCOM</v>
      </c>
      <c r="B9171" t="str">
        <f t="shared" si="3378"/>
        <v>4301 PACIFIC HWY</v>
      </c>
      <c r="C9171" t="str">
        <f>T("SPAWAR 2.0 OT4")</f>
        <v>SPAWAR 2.0 OT4</v>
      </c>
      <c r="D9171" t="str">
        <f t="shared" si="3372"/>
        <v>SAN DIEGO</v>
      </c>
      <c r="E9171" t="str">
        <f t="shared" si="3373"/>
        <v>CA</v>
      </c>
      <c r="F9171" t="str">
        <f t="shared" si="3374"/>
        <v>921103127</v>
      </c>
      <c r="G9171" t="str">
        <f t="shared" si="3377"/>
        <v>4301 PACIFIC HWY</v>
      </c>
      <c r="H9171" t="str">
        <f>T("SPAWAR 2.0 OT4")</f>
        <v>SPAWAR 2.0 OT4</v>
      </c>
      <c r="I9171" t="str">
        <f t="shared" si="3375"/>
        <v>SAN DIEGO</v>
      </c>
      <c r="J9171" t="str">
        <f t="shared" si="3376"/>
        <v>CA</v>
      </c>
      <c r="K9171" t="str">
        <f t="shared" si="3380"/>
        <v>000000000000000000</v>
      </c>
      <c r="L9171" t="str">
        <f>T("6195247194")</f>
        <v>6195247194</v>
      </c>
    </row>
    <row r="9172" spans="1:12" x14ac:dyDescent="0.35">
      <c r="A9172" t="str">
        <f t="shared" si="3370"/>
        <v>SPAWARSYSCOM</v>
      </c>
      <c r="B9172" t="str">
        <f t="shared" si="3378"/>
        <v>4301 PACIFIC HWY</v>
      </c>
      <c r="C9172" t="str">
        <f>T("SPAWAR 4.0")</f>
        <v>SPAWAR 4.0</v>
      </c>
      <c r="D9172" t="str">
        <f t="shared" si="3372"/>
        <v>SAN DIEGO</v>
      </c>
      <c r="E9172" t="str">
        <f t="shared" si="3373"/>
        <v>CA</v>
      </c>
      <c r="F9172" t="str">
        <f t="shared" si="3374"/>
        <v>921103127</v>
      </c>
      <c r="G9172" t="str">
        <f t="shared" si="3377"/>
        <v>4301 PACIFIC HWY</v>
      </c>
      <c r="H9172" t="str">
        <f>T("NO 4.0")</f>
        <v>NO 4.0</v>
      </c>
      <c r="I9172" t="str">
        <f t="shared" si="3375"/>
        <v>SAN DIEGO</v>
      </c>
      <c r="J9172" t="str">
        <f t="shared" si="3376"/>
        <v>CA</v>
      </c>
      <c r="K9172" t="str">
        <f t="shared" si="3380"/>
        <v>000000000000000000</v>
      </c>
      <c r="L9172" t="str">
        <f>T("6195247288")</f>
        <v>6195247288</v>
      </c>
    </row>
    <row r="9173" spans="1:12" x14ac:dyDescent="0.35">
      <c r="A9173" t="str">
        <f t="shared" si="3370"/>
        <v>SPAWARSYSCOM</v>
      </c>
      <c r="B9173" t="str">
        <f t="shared" si="3378"/>
        <v>4301 PACIFIC HWY</v>
      </c>
      <c r="C9173" t="str">
        <f>T("SPAWAR 4.0")</f>
        <v>SPAWAR 4.0</v>
      </c>
      <c r="D9173" t="str">
        <f t="shared" si="3372"/>
        <v>SAN DIEGO</v>
      </c>
      <c r="E9173" t="str">
        <f t="shared" si="3373"/>
        <v>CA</v>
      </c>
      <c r="F9173" t="str">
        <f t="shared" si="3374"/>
        <v>921103127</v>
      </c>
      <c r="G9173" t="str">
        <f t="shared" si="3377"/>
        <v>4301 PACIFIC HWY</v>
      </c>
      <c r="H9173" t="str">
        <f>T("NO 4.0")</f>
        <v>NO 4.0</v>
      </c>
      <c r="I9173" t="str">
        <f t="shared" si="3375"/>
        <v>SAN DIEGO</v>
      </c>
      <c r="J9173" t="str">
        <f t="shared" si="3376"/>
        <v>CA</v>
      </c>
      <c r="K9173" t="str">
        <f t="shared" si="3380"/>
        <v>000000000000000000</v>
      </c>
      <c r="L9173" t="str">
        <f>T("8585370517")</f>
        <v>8585370517</v>
      </c>
    </row>
    <row r="9174" spans="1:12" x14ac:dyDescent="0.35">
      <c r="A9174" t="str">
        <f t="shared" si="3370"/>
        <v>SPAWARSYSCOM</v>
      </c>
      <c r="B9174" t="str">
        <f t="shared" si="3378"/>
        <v>4301 PACIFIC HWY</v>
      </c>
      <c r="C9174" t="str">
        <f>T("SPAWAR 4.0")</f>
        <v>SPAWAR 4.0</v>
      </c>
      <c r="D9174" t="str">
        <f t="shared" si="3372"/>
        <v>SAN DIEGO</v>
      </c>
      <c r="E9174" t="str">
        <f t="shared" si="3373"/>
        <v>CA</v>
      </c>
      <c r="F9174" t="str">
        <f t="shared" si="3374"/>
        <v>921103127</v>
      </c>
      <c r="G9174" t="str">
        <f t="shared" si="3377"/>
        <v>4301 PACIFIC HWY</v>
      </c>
      <c r="H9174" t="str">
        <f>T("SPAWAR 4.0")</f>
        <v>SPAWAR 4.0</v>
      </c>
      <c r="I9174" t="str">
        <f t="shared" si="3375"/>
        <v>SAN DIEGO</v>
      </c>
      <c r="J9174" t="str">
        <f t="shared" si="3376"/>
        <v>CA</v>
      </c>
      <c r="K9174" t="str">
        <f t="shared" si="3380"/>
        <v>000000000000000000</v>
      </c>
      <c r="L9174" t="str">
        <f>T("6195247251")</f>
        <v>6195247251</v>
      </c>
    </row>
    <row r="9175" spans="1:12" x14ac:dyDescent="0.35">
      <c r="A9175" t="str">
        <f t="shared" si="3370"/>
        <v>SPAWARSYSCOM</v>
      </c>
      <c r="B9175" t="str">
        <f t="shared" si="3378"/>
        <v>4301 PACIFIC HWY</v>
      </c>
      <c r="C9175" t="str">
        <f>T("SPAWAR 8.0")</f>
        <v>SPAWAR 8.0</v>
      </c>
      <c r="D9175" t="str">
        <f t="shared" si="3372"/>
        <v>SAN DIEGO</v>
      </c>
      <c r="E9175" t="str">
        <f t="shared" si="3373"/>
        <v>CA</v>
      </c>
      <c r="F9175" t="str">
        <f t="shared" si="3374"/>
        <v>921103127</v>
      </c>
      <c r="G9175" t="str">
        <f t="shared" si="3377"/>
        <v>4301 PACIFIC HWY</v>
      </c>
      <c r="H9175" t="str">
        <f>T("")</f>
        <v/>
      </c>
      <c r="I9175" t="str">
        <f t="shared" si="3375"/>
        <v>SAN DIEGO</v>
      </c>
      <c r="J9175" t="str">
        <f t="shared" si="3376"/>
        <v>CA</v>
      </c>
      <c r="K9175" t="str">
        <f t="shared" si="3380"/>
        <v>000000000000000000</v>
      </c>
      <c r="L9175" t="str">
        <f>T("6195242247")</f>
        <v>6195242247</v>
      </c>
    </row>
    <row r="9176" spans="1:12" x14ac:dyDescent="0.35">
      <c r="A9176" t="str">
        <f t="shared" si="3370"/>
        <v>SPAWARSYSCOM</v>
      </c>
      <c r="B9176" t="str">
        <f t="shared" si="3378"/>
        <v>4301 PACIFIC HWY</v>
      </c>
      <c r="C9176" t="str">
        <f>T("SPAWAR 8.0")</f>
        <v>SPAWAR 8.0</v>
      </c>
      <c r="D9176" t="str">
        <f t="shared" si="3372"/>
        <v>SAN DIEGO</v>
      </c>
      <c r="E9176" t="str">
        <f t="shared" si="3373"/>
        <v>CA</v>
      </c>
      <c r="F9176" t="str">
        <f t="shared" si="3374"/>
        <v>921103127</v>
      </c>
      <c r="G9176" t="str">
        <f t="shared" si="3377"/>
        <v>4301 PACIFIC HWY</v>
      </c>
      <c r="H9176" t="str">
        <f>T("CODE 8 4")</f>
        <v>CODE 8 4</v>
      </c>
      <c r="I9176" t="str">
        <f t="shared" si="3375"/>
        <v>SAN DIEGO</v>
      </c>
      <c r="J9176" t="str">
        <f t="shared" si="3376"/>
        <v>CA</v>
      </c>
      <c r="K9176" t="str">
        <f>T("8585370622")</f>
        <v>8585370622</v>
      </c>
      <c r="L9176" t="str">
        <f>T("8585370608")</f>
        <v>8585370608</v>
      </c>
    </row>
    <row r="9177" spans="1:12" x14ac:dyDescent="0.35">
      <c r="A9177" t="str">
        <f t="shared" si="3370"/>
        <v>SPAWARSYSCOM</v>
      </c>
      <c r="B9177" t="str">
        <f t="shared" si="3378"/>
        <v>4301 PACIFIC HWY</v>
      </c>
      <c r="C9177" t="str">
        <f>T("SPAWAR 8.0")</f>
        <v>SPAWAR 8.0</v>
      </c>
      <c r="D9177" t="str">
        <f t="shared" si="3372"/>
        <v>SAN DIEGO</v>
      </c>
      <c r="E9177" t="str">
        <f t="shared" si="3373"/>
        <v>CA</v>
      </c>
      <c r="F9177" t="str">
        <f t="shared" si="3374"/>
        <v>921103127</v>
      </c>
      <c r="G9177" t="str">
        <f t="shared" si="3377"/>
        <v>4301 PACIFIC HWY</v>
      </c>
      <c r="H9177" t="str">
        <f>T("NO 8.3")</f>
        <v>NO 8.3</v>
      </c>
      <c r="I9177" t="str">
        <f t="shared" si="3375"/>
        <v>SAN DIEGO</v>
      </c>
      <c r="J9177" t="str">
        <f t="shared" si="3376"/>
        <v>CA</v>
      </c>
      <c r="K9177" t="str">
        <f>T("000000000000000000")</f>
        <v>000000000000000000</v>
      </c>
      <c r="L9177" t="str">
        <f>T("8585378598")</f>
        <v>8585378598</v>
      </c>
    </row>
    <row r="9178" spans="1:12" x14ac:dyDescent="0.35">
      <c r="A9178" t="str">
        <f t="shared" si="3370"/>
        <v>SPAWARSYSCOM</v>
      </c>
      <c r="B9178" t="str">
        <f t="shared" si="3378"/>
        <v>4301 PACIFIC HWY</v>
      </c>
      <c r="C9178" t="str">
        <f>T("SPAWAR 8.0")</f>
        <v>SPAWAR 8.0</v>
      </c>
      <c r="D9178" t="str">
        <f t="shared" si="3372"/>
        <v>SAN DIEGO</v>
      </c>
      <c r="E9178" t="str">
        <f t="shared" si="3373"/>
        <v>CA</v>
      </c>
      <c r="F9178" t="str">
        <f t="shared" si="3374"/>
        <v>921103127</v>
      </c>
      <c r="G9178" t="str">
        <f t="shared" si="3377"/>
        <v>4301 PACIFIC HWY</v>
      </c>
      <c r="H9178" t="str">
        <f>T("SPAWAR 8.0")</f>
        <v>SPAWAR 8.0</v>
      </c>
      <c r="I9178" t="str">
        <f t="shared" si="3375"/>
        <v>SAN DIEGO</v>
      </c>
      <c r="J9178" t="str">
        <f t="shared" si="3376"/>
        <v>CA</v>
      </c>
      <c r="K9178" t="str">
        <f>T("000000000000000000")</f>
        <v>000000000000000000</v>
      </c>
      <c r="L9178" t="str">
        <f>T("8585378913")</f>
        <v>8585378913</v>
      </c>
    </row>
    <row r="9179" spans="1:12" x14ac:dyDescent="0.35">
      <c r="A9179" t="str">
        <f t="shared" si="3370"/>
        <v>SPAWARSYSCOM</v>
      </c>
      <c r="B9179" t="str">
        <f t="shared" si="3378"/>
        <v>4301 PACIFIC HWY</v>
      </c>
      <c r="C9179" t="str">
        <f>T("SPAWAR FRD OT4")</f>
        <v>SPAWAR FRD OT4</v>
      </c>
      <c r="D9179" t="str">
        <f t="shared" si="3372"/>
        <v>SAN DIEGO</v>
      </c>
      <c r="E9179" t="str">
        <f t="shared" si="3373"/>
        <v>CA</v>
      </c>
      <c r="F9179" t="str">
        <f t="shared" si="3374"/>
        <v>921103127</v>
      </c>
      <c r="G9179" t="str">
        <f t="shared" si="3377"/>
        <v>4301 PACIFIC HWY</v>
      </c>
      <c r="H9179" t="str">
        <f>T("FRD OT4")</f>
        <v>FRD OT4</v>
      </c>
      <c r="I9179" t="str">
        <f t="shared" si="3375"/>
        <v>SAN DIEGO</v>
      </c>
      <c r="J9179" t="str">
        <f t="shared" si="3376"/>
        <v>CA</v>
      </c>
      <c r="K9179" t="str">
        <f>T("000000000000000000")</f>
        <v>000000000000000000</v>
      </c>
      <c r="L9179" t="str">
        <f>T("6195243377")</f>
        <v>6195243377</v>
      </c>
    </row>
    <row r="9180" spans="1:12" x14ac:dyDescent="0.35">
      <c r="A9180" t="str">
        <f t="shared" si="3370"/>
        <v>SPAWARSYSCOM</v>
      </c>
      <c r="B9180" t="str">
        <f t="shared" si="3378"/>
        <v>4301 PACIFIC HWY</v>
      </c>
      <c r="C9180" t="str">
        <f>T("SPAWAR FRD OT4")</f>
        <v>SPAWAR FRD OT4</v>
      </c>
      <c r="D9180" t="str">
        <f t="shared" si="3372"/>
        <v>SAN DIEGO</v>
      </c>
      <c r="E9180" t="str">
        <f t="shared" si="3373"/>
        <v>CA</v>
      </c>
      <c r="F9180" t="str">
        <f t="shared" si="3374"/>
        <v>921103127</v>
      </c>
      <c r="G9180" t="str">
        <f t="shared" si="3377"/>
        <v>4301 PACIFIC HWY</v>
      </c>
      <c r="H9180" t="str">
        <f>T("SPAWAR FRD OT4")</f>
        <v>SPAWAR FRD OT4</v>
      </c>
      <c r="I9180" t="str">
        <f t="shared" si="3375"/>
        <v>SAN DIEGO</v>
      </c>
      <c r="J9180" t="str">
        <f t="shared" si="3376"/>
        <v>CA</v>
      </c>
      <c r="K9180" t="str">
        <f>T("000000000000000000")</f>
        <v>000000000000000000</v>
      </c>
      <c r="L9180" t="str">
        <f>T("6195247823")</f>
        <v>6195247823</v>
      </c>
    </row>
    <row r="9181" spans="1:12" x14ac:dyDescent="0.35">
      <c r="A9181" t="str">
        <f t="shared" si="3370"/>
        <v>SPAWARSYSCOM</v>
      </c>
      <c r="B9181" t="str">
        <f t="shared" si="3378"/>
        <v>4301 PACIFIC HWY</v>
      </c>
      <c r="C9181" t="str">
        <f>T("SPAWAR PEO-EIS/WLO")</f>
        <v>SPAWAR PEO-EIS/WLO</v>
      </c>
      <c r="D9181" t="str">
        <f t="shared" si="3372"/>
        <v>SAN DIEGO</v>
      </c>
      <c r="E9181" t="str">
        <f t="shared" si="3373"/>
        <v>CA</v>
      </c>
      <c r="F9181" t="str">
        <f t="shared" si="3374"/>
        <v>921103127</v>
      </c>
      <c r="G9181" t="str">
        <f t="shared" si="3377"/>
        <v>4301 PACIFIC HWY</v>
      </c>
      <c r="H9181" t="str">
        <f>T("SPAWAR PEO-EIS/WLO")</f>
        <v>SPAWAR PEO-EIS/WLO</v>
      </c>
      <c r="I9181" t="str">
        <f t="shared" si="3375"/>
        <v>SAN DIEGO</v>
      </c>
      <c r="J9181" t="str">
        <f t="shared" si="3376"/>
        <v>CA</v>
      </c>
      <c r="K9181" t="str">
        <f>T("000000000000000000")</f>
        <v>000000000000000000</v>
      </c>
      <c r="L9181" t="str">
        <f>T("7036045411")</f>
        <v>7036045411</v>
      </c>
    </row>
    <row r="9182" spans="1:12" x14ac:dyDescent="0.35">
      <c r="A9182" t="str">
        <f t="shared" ref="A9182:A9222" si="3381">T("NAVY ENGINEERING LOGS OF")</f>
        <v>NAVY ENGINEERING LOGS OF</v>
      </c>
      <c r="B9182" t="str">
        <f>T("391 BROOKELY AVE SW")</f>
        <v>391 BROOKELY AVE SW</v>
      </c>
      <c r="C9182" t="str">
        <f t="shared" ref="C9182:C9194" si="3382">T("STE W100")</f>
        <v>STE W100</v>
      </c>
      <c r="D9182" t="str">
        <f t="shared" ref="D9182:D9194" si="3383">T("JBAB")</f>
        <v>JBAB</v>
      </c>
      <c r="E9182" t="str">
        <f t="shared" ref="E9182:E9207" si="3384">T("DC")</f>
        <v>DC</v>
      </c>
      <c r="F9182" t="str">
        <f t="shared" ref="F9182:F9198" si="3385">T("203735123")</f>
        <v>203735123</v>
      </c>
      <c r="G9182" t="str">
        <f>T("391 BROOKELY AVE SW")</f>
        <v>391 BROOKELY AVE SW</v>
      </c>
      <c r="H9182" t="str">
        <f t="shared" ref="H9182:H9188" si="3386">T("STE W100")</f>
        <v>STE W100</v>
      </c>
      <c r="I9182" t="str">
        <f>T("JBAB")</f>
        <v>JBAB</v>
      </c>
      <c r="J9182" t="str">
        <f t="shared" ref="J9182:J9207" si="3387">T("DC")</f>
        <v>DC</v>
      </c>
      <c r="K9182" t="str">
        <f>T("")</f>
        <v/>
      </c>
      <c r="L9182" t="str">
        <f>T("2024335642")</f>
        <v>2024335642</v>
      </c>
    </row>
    <row r="9183" spans="1:12" x14ac:dyDescent="0.35">
      <c r="A9183" t="str">
        <f t="shared" si="3381"/>
        <v>NAVY ENGINEERING LOGS OF</v>
      </c>
      <c r="B9183" t="str">
        <f>T("391 BROOKELY AVE SW")</f>
        <v>391 BROOKELY AVE SW</v>
      </c>
      <c r="C9183" t="str">
        <f t="shared" si="3382"/>
        <v>STE W100</v>
      </c>
      <c r="D9183" t="str">
        <f t="shared" si="3383"/>
        <v>JBAB</v>
      </c>
      <c r="E9183" t="str">
        <f t="shared" si="3384"/>
        <v>DC</v>
      </c>
      <c r="F9183" t="str">
        <f t="shared" si="3385"/>
        <v>203735123</v>
      </c>
      <c r="G9183" t="str">
        <f>T("391 BROOKLEY AVE, S.W.")</f>
        <v>391 BROOKLEY AVE, S.W.</v>
      </c>
      <c r="H9183" t="str">
        <f t="shared" si="3386"/>
        <v>STE W100</v>
      </c>
      <c r="I9183" t="str">
        <f>T("JBAB")</f>
        <v>JBAB</v>
      </c>
      <c r="J9183" t="str">
        <f t="shared" si="3387"/>
        <v>DC</v>
      </c>
      <c r="K9183" t="str">
        <f>T("")</f>
        <v/>
      </c>
      <c r="L9183" t="str">
        <f>T("1111111111")</f>
        <v>1111111111</v>
      </c>
    </row>
    <row r="9184" spans="1:12" x14ac:dyDescent="0.35">
      <c r="A9184" t="str">
        <f t="shared" si="3381"/>
        <v>NAVY ENGINEERING LOGS OF</v>
      </c>
      <c r="B9184" t="str">
        <f t="shared" ref="B9184:B9202" si="3388">T("391 BROOKLEY AVE SW")</f>
        <v>391 BROOKLEY AVE SW</v>
      </c>
      <c r="C9184" t="str">
        <f t="shared" si="3382"/>
        <v>STE W100</v>
      </c>
      <c r="D9184" t="str">
        <f t="shared" si="3383"/>
        <v>JBAB</v>
      </c>
      <c r="E9184" t="str">
        <f t="shared" si="3384"/>
        <v>DC</v>
      </c>
      <c r="F9184" t="str">
        <f t="shared" si="3385"/>
        <v>203735123</v>
      </c>
      <c r="G9184" t="str">
        <f>T("391 BROOKLEY AVE")</f>
        <v>391 BROOKLEY AVE</v>
      </c>
      <c r="H9184" t="str">
        <f t="shared" si="3386"/>
        <v>STE W100</v>
      </c>
      <c r="I9184" t="str">
        <f>T("WASHINGTON")</f>
        <v>WASHINGTON</v>
      </c>
      <c r="J9184" t="str">
        <f t="shared" si="3387"/>
        <v>DC</v>
      </c>
      <c r="K9184" t="str">
        <f>T("2022841417")</f>
        <v>2022841417</v>
      </c>
      <c r="L9184" t="str">
        <f>T("2022841128")</f>
        <v>2022841128</v>
      </c>
    </row>
    <row r="9185" spans="1:12" x14ac:dyDescent="0.35">
      <c r="A9185" t="str">
        <f t="shared" si="3381"/>
        <v>NAVY ENGINEERING LOGS OF</v>
      </c>
      <c r="B9185" t="str">
        <f t="shared" si="3388"/>
        <v>391 BROOKLEY AVE SW</v>
      </c>
      <c r="C9185" t="str">
        <f t="shared" si="3382"/>
        <v>STE W100</v>
      </c>
      <c r="D9185" t="str">
        <f t="shared" si="3383"/>
        <v>JBAB</v>
      </c>
      <c r="E9185" t="str">
        <f t="shared" si="3384"/>
        <v>DC</v>
      </c>
      <c r="F9185" t="str">
        <f t="shared" si="3385"/>
        <v>203735123</v>
      </c>
      <c r="G9185" t="str">
        <f>T("391 BROOKLEY AVE SW")</f>
        <v>391 BROOKLEY AVE SW</v>
      </c>
      <c r="H9185" t="str">
        <f t="shared" si="3386"/>
        <v>STE W100</v>
      </c>
      <c r="I9185" t="str">
        <f>T("JBAB")</f>
        <v>JBAB</v>
      </c>
      <c r="J9185" t="str">
        <f t="shared" si="3387"/>
        <v>DC</v>
      </c>
      <c r="K9185" t="str">
        <f>T("")</f>
        <v/>
      </c>
      <c r="L9185" t="str">
        <f>T("2022841036")</f>
        <v>2022841036</v>
      </c>
    </row>
    <row r="9186" spans="1:12" x14ac:dyDescent="0.35">
      <c r="A9186" t="str">
        <f t="shared" si="3381"/>
        <v>NAVY ENGINEERING LOGS OF</v>
      </c>
      <c r="B9186" t="str">
        <f t="shared" si="3388"/>
        <v>391 BROOKLEY AVE SW</v>
      </c>
      <c r="C9186" t="str">
        <f t="shared" si="3382"/>
        <v>STE W100</v>
      </c>
      <c r="D9186" t="str">
        <f t="shared" si="3383"/>
        <v>JBAB</v>
      </c>
      <c r="E9186" t="str">
        <f t="shared" si="3384"/>
        <v>DC</v>
      </c>
      <c r="F9186" t="str">
        <f t="shared" si="3385"/>
        <v>203735123</v>
      </c>
      <c r="G9186" t="str">
        <f>T("391 BROOKLEY AVE SW")</f>
        <v>391 BROOKLEY AVE SW</v>
      </c>
      <c r="H9186" t="str">
        <f t="shared" si="3386"/>
        <v>STE W100</v>
      </c>
      <c r="I9186" t="str">
        <f>T("JBAB")</f>
        <v>JBAB</v>
      </c>
      <c r="J9186" t="str">
        <f t="shared" si="3387"/>
        <v>DC</v>
      </c>
      <c r="K9186" t="str">
        <f>T("")</f>
        <v/>
      </c>
      <c r="L9186" t="str">
        <f>T("2022841413")</f>
        <v>2022841413</v>
      </c>
    </row>
    <row r="9187" spans="1:12" x14ac:dyDescent="0.35">
      <c r="A9187" t="str">
        <f t="shared" si="3381"/>
        <v>NAVY ENGINEERING LOGS OF</v>
      </c>
      <c r="B9187" t="str">
        <f t="shared" si="3388"/>
        <v>391 BROOKLEY AVE SW</v>
      </c>
      <c r="C9187" t="str">
        <f t="shared" si="3382"/>
        <v>STE W100</v>
      </c>
      <c r="D9187" t="str">
        <f t="shared" si="3383"/>
        <v>JBAB</v>
      </c>
      <c r="E9187" t="str">
        <f t="shared" si="3384"/>
        <v>DC</v>
      </c>
      <c r="F9187" t="str">
        <f t="shared" si="3385"/>
        <v>203735123</v>
      </c>
      <c r="G9187" t="str">
        <f>T("391 BROOKLEY AVE SW")</f>
        <v>391 BROOKLEY AVE SW</v>
      </c>
      <c r="H9187" t="str">
        <f t="shared" si="3386"/>
        <v>STE W100</v>
      </c>
      <c r="I9187" t="str">
        <f>T("JBAB")</f>
        <v>JBAB</v>
      </c>
      <c r="J9187" t="str">
        <f t="shared" si="3387"/>
        <v>DC</v>
      </c>
      <c r="K9187" t="str">
        <f>T("")</f>
        <v/>
      </c>
      <c r="L9187" t="str">
        <f>T("2022841674")</f>
        <v>2022841674</v>
      </c>
    </row>
    <row r="9188" spans="1:12" x14ac:dyDescent="0.35">
      <c r="A9188" t="str">
        <f t="shared" si="3381"/>
        <v>NAVY ENGINEERING LOGS OF</v>
      </c>
      <c r="B9188" t="str">
        <f t="shared" si="3388"/>
        <v>391 BROOKLEY AVE SW</v>
      </c>
      <c r="C9188" t="str">
        <f t="shared" si="3382"/>
        <v>STE W100</v>
      </c>
      <c r="D9188" t="str">
        <f t="shared" si="3383"/>
        <v>JBAB</v>
      </c>
      <c r="E9188" t="str">
        <f t="shared" si="3384"/>
        <v>DC</v>
      </c>
      <c r="F9188" t="str">
        <f t="shared" si="3385"/>
        <v>203735123</v>
      </c>
      <c r="G9188" t="str">
        <f>T("391 BROOKLEY AVE SW")</f>
        <v>391 BROOKLEY AVE SW</v>
      </c>
      <c r="H9188" t="str">
        <f t="shared" si="3386"/>
        <v>STE W100</v>
      </c>
      <c r="I9188" t="str">
        <f>T("JBAB")</f>
        <v>JBAB</v>
      </c>
      <c r="J9188" t="str">
        <f t="shared" si="3387"/>
        <v>DC</v>
      </c>
      <c r="K9188" t="str">
        <f>T("")</f>
        <v/>
      </c>
      <c r="L9188" t="str">
        <f>T("2022841701")</f>
        <v>2022841701</v>
      </c>
    </row>
    <row r="9189" spans="1:12" x14ac:dyDescent="0.35">
      <c r="A9189" t="str">
        <f t="shared" si="3381"/>
        <v>NAVY ENGINEERING LOGS OF</v>
      </c>
      <c r="B9189" t="str">
        <f t="shared" si="3388"/>
        <v>391 BROOKLEY AVE SW</v>
      </c>
      <c r="C9189" t="str">
        <f t="shared" si="3382"/>
        <v>STE W100</v>
      </c>
      <c r="D9189" t="str">
        <f t="shared" si="3383"/>
        <v>JBAB</v>
      </c>
      <c r="E9189" t="str">
        <f t="shared" si="3384"/>
        <v>DC</v>
      </c>
      <c r="F9189" t="str">
        <f t="shared" si="3385"/>
        <v>203735123</v>
      </c>
      <c r="G9189" t="str">
        <f>T("391 BROOKLEY AVE SW STE W100")</f>
        <v>391 BROOKLEY AVE SW STE W100</v>
      </c>
      <c r="H9189" t="str">
        <f>T("")</f>
        <v/>
      </c>
      <c r="I9189" t="str">
        <f>T("JBAB")</f>
        <v>JBAB</v>
      </c>
      <c r="J9189" t="str">
        <f t="shared" si="3387"/>
        <v>DC</v>
      </c>
      <c r="K9189" t="str">
        <f>T("2022841446")</f>
        <v>2022841446</v>
      </c>
      <c r="L9189" t="str">
        <f>T("2022841428")</f>
        <v>2022841428</v>
      </c>
    </row>
    <row r="9190" spans="1:12" x14ac:dyDescent="0.35">
      <c r="A9190" t="str">
        <f t="shared" si="3381"/>
        <v>NAVY ENGINEERING LOGS OF</v>
      </c>
      <c r="B9190" t="str">
        <f t="shared" si="3388"/>
        <v>391 BROOKLEY AVE SW</v>
      </c>
      <c r="C9190" t="str">
        <f t="shared" si="3382"/>
        <v>STE W100</v>
      </c>
      <c r="D9190" t="str">
        <f t="shared" si="3383"/>
        <v>JBAB</v>
      </c>
      <c r="E9190" t="str">
        <f t="shared" si="3384"/>
        <v>DC</v>
      </c>
      <c r="F9190" t="str">
        <f t="shared" si="3385"/>
        <v>203735123</v>
      </c>
      <c r="G9190" t="str">
        <f>T("391 BROOKLEY AVE SW STE W100")</f>
        <v>391 BROOKLEY AVE SW STE W100</v>
      </c>
      <c r="H9190" t="str">
        <f>T("JBAB RM 1040 02 ATTN: PEGGY DIXON")</f>
        <v>JBAB RM 1040 02 ATTN: PEGGY DIXON</v>
      </c>
      <c r="I9190" t="str">
        <f>T("WASHINGTON")</f>
        <v>WASHINGTON</v>
      </c>
      <c r="J9190" t="str">
        <f t="shared" si="3387"/>
        <v>DC</v>
      </c>
      <c r="K9190" t="str">
        <f>T("2022841417")</f>
        <v>2022841417</v>
      </c>
      <c r="L9190" t="str">
        <f>T("2022841257")</f>
        <v>2022841257</v>
      </c>
    </row>
    <row r="9191" spans="1:12" x14ac:dyDescent="0.35">
      <c r="A9191" t="str">
        <f t="shared" si="3381"/>
        <v>NAVY ENGINEERING LOGS OF</v>
      </c>
      <c r="B9191" t="str">
        <f t="shared" si="3388"/>
        <v>391 BROOKLEY AVE SW</v>
      </c>
      <c r="C9191" t="str">
        <f t="shared" si="3382"/>
        <v>STE W100</v>
      </c>
      <c r="D9191" t="str">
        <f t="shared" si="3383"/>
        <v>JBAB</v>
      </c>
      <c r="E9191" t="str">
        <f t="shared" si="3384"/>
        <v>DC</v>
      </c>
      <c r="F9191" t="str">
        <f t="shared" si="3385"/>
        <v>203735123</v>
      </c>
      <c r="G9191" t="str">
        <f>T("391 BROOKLEY AVE SW STE W100")</f>
        <v>391 BROOKLEY AVE SW STE W100</v>
      </c>
      <c r="H9191" t="str">
        <f>T("RM 3000-25")</f>
        <v>RM 3000-25</v>
      </c>
      <c r="I9191" t="str">
        <f>T("JBAB")</f>
        <v>JBAB</v>
      </c>
      <c r="J9191" t="str">
        <f t="shared" si="3387"/>
        <v>DC</v>
      </c>
      <c r="K9191" t="str">
        <f>T("")</f>
        <v/>
      </c>
      <c r="L9191" t="str">
        <f>T("7036994416")</f>
        <v>7036994416</v>
      </c>
    </row>
    <row r="9192" spans="1:12" x14ac:dyDescent="0.35">
      <c r="A9192" t="str">
        <f t="shared" si="3381"/>
        <v>NAVY ENGINEERING LOGS OF</v>
      </c>
      <c r="B9192" t="str">
        <f t="shared" si="3388"/>
        <v>391 BROOKLEY AVE SW</v>
      </c>
      <c r="C9192" t="str">
        <f t="shared" si="3382"/>
        <v>STE W100</v>
      </c>
      <c r="D9192" t="str">
        <f t="shared" si="3383"/>
        <v>JBAB</v>
      </c>
      <c r="E9192" t="str">
        <f t="shared" si="3384"/>
        <v>DC</v>
      </c>
      <c r="F9192" t="str">
        <f t="shared" si="3385"/>
        <v>203735123</v>
      </c>
      <c r="G9192" t="str">
        <f>T("391 BROOKLEY AVE SW STE W100")</f>
        <v>391 BROOKLEY AVE SW STE W100</v>
      </c>
      <c r="H9192" t="str">
        <f>T("RM 3010-05")</f>
        <v>RM 3010-05</v>
      </c>
      <c r="I9192" t="str">
        <f>T("JBAB")</f>
        <v>JBAB</v>
      </c>
      <c r="J9192" t="str">
        <f t="shared" si="3387"/>
        <v>DC</v>
      </c>
      <c r="K9192" t="str">
        <f>T("7036994314")</f>
        <v>7036994314</v>
      </c>
      <c r="L9192" t="str">
        <f>T("1111111111")</f>
        <v>1111111111</v>
      </c>
    </row>
    <row r="9193" spans="1:12" x14ac:dyDescent="0.35">
      <c r="A9193" t="str">
        <f t="shared" si="3381"/>
        <v>NAVY ENGINEERING LOGS OF</v>
      </c>
      <c r="B9193" t="str">
        <f t="shared" si="3388"/>
        <v>391 BROOKLEY AVE SW</v>
      </c>
      <c r="C9193" t="str">
        <f t="shared" si="3382"/>
        <v>STE W100</v>
      </c>
      <c r="D9193" t="str">
        <f t="shared" si="3383"/>
        <v>JBAB</v>
      </c>
      <c r="E9193" t="str">
        <f t="shared" si="3384"/>
        <v>DC</v>
      </c>
      <c r="F9193" t="str">
        <f t="shared" si="3385"/>
        <v>203735123</v>
      </c>
      <c r="G9193" t="str">
        <f>T("NELO")</f>
        <v>NELO</v>
      </c>
      <c r="H9193" t="str">
        <f>T("391 BROOKLEY AVENUE")</f>
        <v>391 BROOKLEY AVENUE</v>
      </c>
      <c r="I9193" t="str">
        <f>T("SW STE W100")</f>
        <v>SW STE W100</v>
      </c>
      <c r="J9193" t="str">
        <f t="shared" si="3387"/>
        <v>DC</v>
      </c>
      <c r="K9193" t="str">
        <f>T("2022841417")</f>
        <v>2022841417</v>
      </c>
      <c r="L9193" t="str">
        <f>T("2022841128")</f>
        <v>2022841128</v>
      </c>
    </row>
    <row r="9194" spans="1:12" x14ac:dyDescent="0.35">
      <c r="A9194" t="str">
        <f t="shared" si="3381"/>
        <v>NAVY ENGINEERING LOGS OF</v>
      </c>
      <c r="B9194" t="str">
        <f t="shared" si="3388"/>
        <v>391 BROOKLEY AVE SW</v>
      </c>
      <c r="C9194" t="str">
        <f t="shared" si="3382"/>
        <v>STE W100</v>
      </c>
      <c r="D9194" t="str">
        <f t="shared" si="3383"/>
        <v>JBAB</v>
      </c>
      <c r="E9194" t="str">
        <f t="shared" si="3384"/>
        <v>DC</v>
      </c>
      <c r="F9194" t="str">
        <f t="shared" si="3385"/>
        <v>203735123</v>
      </c>
      <c r="G9194" t="str">
        <f>T("NELO 391 BROOKLEY AVE SW")</f>
        <v>NELO 391 BROOKLEY AVE SW</v>
      </c>
      <c r="H9194" t="str">
        <f>T("STE W100")</f>
        <v>STE W100</v>
      </c>
      <c r="I9194" t="str">
        <f>T("JBAB")</f>
        <v>JBAB</v>
      </c>
      <c r="J9194" t="str">
        <f t="shared" si="3387"/>
        <v>DC</v>
      </c>
      <c r="K9194" t="str">
        <f>T("2022841446")</f>
        <v>2022841446</v>
      </c>
      <c r="L9194" t="str">
        <f>T("2022841108")</f>
        <v>2022841108</v>
      </c>
    </row>
    <row r="9195" spans="1:12" x14ac:dyDescent="0.35">
      <c r="A9195" t="str">
        <f t="shared" si="3381"/>
        <v>NAVY ENGINEERING LOGS OF</v>
      </c>
      <c r="B9195" t="str">
        <f t="shared" si="3388"/>
        <v>391 BROOKLEY AVE SW</v>
      </c>
      <c r="C9195" t="str">
        <f>T("STE W100 JBAB")</f>
        <v>STE W100 JBAB</v>
      </c>
      <c r="D9195" t="str">
        <f>T("WASHINGTON")</f>
        <v>WASHINGTON</v>
      </c>
      <c r="E9195" t="str">
        <f t="shared" si="3384"/>
        <v>DC</v>
      </c>
      <c r="F9195" t="str">
        <f t="shared" si="3385"/>
        <v>203735123</v>
      </c>
      <c r="G9195" t="str">
        <f>T("391 BROOKLEY AVE S W")</f>
        <v>391 BROOKLEY AVE S W</v>
      </c>
      <c r="H9195" t="str">
        <f>T("STE W100")</f>
        <v>STE W100</v>
      </c>
      <c r="I9195" t="str">
        <f>T("JBAB")</f>
        <v>JBAB</v>
      </c>
      <c r="J9195" t="str">
        <f t="shared" si="3387"/>
        <v>DC</v>
      </c>
      <c r="K9195" t="str">
        <f>T("000000000000000000")</f>
        <v>000000000000000000</v>
      </c>
      <c r="L9195" t="str">
        <f>T("2022841185")</f>
        <v>2022841185</v>
      </c>
    </row>
    <row r="9196" spans="1:12" x14ac:dyDescent="0.35">
      <c r="A9196" t="str">
        <f t="shared" si="3381"/>
        <v>NAVY ENGINEERING LOGS OF</v>
      </c>
      <c r="B9196" t="str">
        <f t="shared" si="3388"/>
        <v>391 BROOKLEY AVE SW</v>
      </c>
      <c r="C9196" t="str">
        <f>T("STE W100 JBAB")</f>
        <v>STE W100 JBAB</v>
      </c>
      <c r="D9196" t="str">
        <f>T("WASHINGTON")</f>
        <v>WASHINGTON</v>
      </c>
      <c r="E9196" t="str">
        <f t="shared" si="3384"/>
        <v>DC</v>
      </c>
      <c r="F9196" t="str">
        <f t="shared" si="3385"/>
        <v>203735123</v>
      </c>
      <c r="G9196" t="str">
        <f>T("391 BROOKLEY AVE SW")</f>
        <v>391 BROOKLEY AVE SW</v>
      </c>
      <c r="H9196" t="str">
        <f>T("STE W100 JBAB")</f>
        <v>STE W100 JBAB</v>
      </c>
      <c r="I9196" t="str">
        <f>T("WASHINGTON")</f>
        <v>WASHINGTON</v>
      </c>
      <c r="J9196" t="str">
        <f t="shared" si="3387"/>
        <v>DC</v>
      </c>
      <c r="K9196" t="str">
        <f>T("2022841920")</f>
        <v>2022841920</v>
      </c>
      <c r="L9196" t="str">
        <f>T("2022841693")</f>
        <v>2022841693</v>
      </c>
    </row>
    <row r="9197" spans="1:12" x14ac:dyDescent="0.35">
      <c r="A9197" t="str">
        <f t="shared" si="3381"/>
        <v>NAVY ENGINEERING LOGS OF</v>
      </c>
      <c r="B9197" t="str">
        <f t="shared" si="3388"/>
        <v>391 BROOKLEY AVE SW</v>
      </c>
      <c r="C9197" t="str">
        <f>T("STE W100 JBAB")</f>
        <v>STE W100 JBAB</v>
      </c>
      <c r="D9197" t="str">
        <f>T("WASHINGTON")</f>
        <v>WASHINGTON</v>
      </c>
      <c r="E9197" t="str">
        <f t="shared" si="3384"/>
        <v>DC</v>
      </c>
      <c r="F9197" t="str">
        <f t="shared" si="3385"/>
        <v>203735123</v>
      </c>
      <c r="G9197" t="str">
        <f>T("391 BROOKLEY AVE SW STE W100")</f>
        <v>391 BROOKLEY AVE SW STE W100</v>
      </c>
      <c r="H9197" t="str">
        <f>T("")</f>
        <v/>
      </c>
      <c r="I9197" t="str">
        <f>T("JBAB WASHINGTON")</f>
        <v>JBAB WASHINGTON</v>
      </c>
      <c r="J9197" t="str">
        <f t="shared" si="3387"/>
        <v>DC</v>
      </c>
      <c r="K9197" t="str">
        <f>T("2022841920")</f>
        <v>2022841920</v>
      </c>
      <c r="L9197" t="str">
        <f>T("2022841263")</f>
        <v>2022841263</v>
      </c>
    </row>
    <row r="9198" spans="1:12" x14ac:dyDescent="0.35">
      <c r="A9198" t="str">
        <f t="shared" si="3381"/>
        <v>NAVY ENGINEERING LOGS OF</v>
      </c>
      <c r="B9198" t="str">
        <f t="shared" si="3388"/>
        <v>391 BROOKLEY AVE SW</v>
      </c>
      <c r="C9198" t="str">
        <f>T("STE W100 JBAB")</f>
        <v>STE W100 JBAB</v>
      </c>
      <c r="D9198" t="str">
        <f>T("WASHINGTON")</f>
        <v>WASHINGTON</v>
      </c>
      <c r="E9198" t="str">
        <f t="shared" si="3384"/>
        <v>DC</v>
      </c>
      <c r="F9198" t="str">
        <f t="shared" si="3385"/>
        <v>203735123</v>
      </c>
      <c r="G9198" t="str">
        <f>T("391 BROOKLEY AVE SW SUITE W100")</f>
        <v>391 BROOKLEY AVE SW SUITE W100</v>
      </c>
      <c r="H9198" t="str">
        <f>T("JBAB")</f>
        <v>JBAB</v>
      </c>
      <c r="I9198" t="str">
        <f>T("WASHINGTON")</f>
        <v>WASHINGTON</v>
      </c>
      <c r="J9198" t="str">
        <f t="shared" si="3387"/>
        <v>DC</v>
      </c>
      <c r="K9198" t="str">
        <f>T("000000000000000000")</f>
        <v>000000000000000000</v>
      </c>
      <c r="L9198" t="str">
        <f>T("2022841661")</f>
        <v>2022841661</v>
      </c>
    </row>
    <row r="9199" spans="1:12" x14ac:dyDescent="0.35">
      <c r="A9199" t="str">
        <f t="shared" si="3381"/>
        <v>NAVY ENGINEERING LOGS OF</v>
      </c>
      <c r="B9199" t="str">
        <f t="shared" si="3388"/>
        <v>391 BROOKLEY AVE SW</v>
      </c>
      <c r="C9199" t="str">
        <f>T("SUITE 4010")</f>
        <v>SUITE 4010</v>
      </c>
      <c r="D9199" t="str">
        <f>T("JBAB")</f>
        <v>JBAB</v>
      </c>
      <c r="E9199" t="str">
        <f t="shared" si="3384"/>
        <v>DC</v>
      </c>
      <c r="F9199" t="str">
        <f>T("203735121")</f>
        <v>203735121</v>
      </c>
      <c r="G9199" t="str">
        <f>T("391 BROOKLEY AVE SW")</f>
        <v>391 BROOKLEY AVE SW</v>
      </c>
      <c r="H9199" t="str">
        <f>T("SUITE 4010")</f>
        <v>SUITE 4010</v>
      </c>
      <c r="I9199" t="str">
        <f>T("JBAB")</f>
        <v>JBAB</v>
      </c>
      <c r="J9199" t="str">
        <f t="shared" si="3387"/>
        <v>DC</v>
      </c>
      <c r="K9199" t="str">
        <f>T("2022842272")</f>
        <v>2022842272</v>
      </c>
      <c r="L9199" t="str">
        <f>T("2022842267")</f>
        <v>2022842267</v>
      </c>
    </row>
    <row r="9200" spans="1:12" x14ac:dyDescent="0.35">
      <c r="A9200" t="str">
        <f t="shared" si="3381"/>
        <v>NAVY ENGINEERING LOGS OF</v>
      </c>
      <c r="B9200" t="str">
        <f t="shared" si="3388"/>
        <v>391 BROOKLEY AVE SW</v>
      </c>
      <c r="C9200" t="str">
        <f>T("SUITE 4010")</f>
        <v>SUITE 4010</v>
      </c>
      <c r="D9200" t="str">
        <f>T("JBAB")</f>
        <v>JBAB</v>
      </c>
      <c r="E9200" t="str">
        <f t="shared" si="3384"/>
        <v>DC</v>
      </c>
      <c r="F9200" t="str">
        <f>T("203735121")</f>
        <v>203735121</v>
      </c>
      <c r="G9200" t="str">
        <f>T("NELO")</f>
        <v>NELO</v>
      </c>
      <c r="H9200" t="str">
        <f>T("391 BROOKLEY AVE SW STE W100")</f>
        <v>391 BROOKLEY AVE SW STE W100</v>
      </c>
      <c r="I9200" t="str">
        <f>T("JBAB")</f>
        <v>JBAB</v>
      </c>
      <c r="J9200" t="str">
        <f t="shared" si="3387"/>
        <v>DC</v>
      </c>
      <c r="K9200" t="str">
        <f>T("2022842272")</f>
        <v>2022842272</v>
      </c>
      <c r="L9200" t="str">
        <f>T("2022842292")</f>
        <v>2022842292</v>
      </c>
    </row>
    <row r="9201" spans="1:12" x14ac:dyDescent="0.35">
      <c r="A9201" t="str">
        <f t="shared" si="3381"/>
        <v>NAVY ENGINEERING LOGS OF</v>
      </c>
      <c r="B9201" t="str">
        <f t="shared" si="3388"/>
        <v>391 BROOKLEY AVE SW</v>
      </c>
      <c r="C9201" t="str">
        <f>T("SUITE W100")</f>
        <v>SUITE W100</v>
      </c>
      <c r="D9201" t="str">
        <f>T("JBAB")</f>
        <v>JBAB</v>
      </c>
      <c r="E9201" t="str">
        <f t="shared" si="3384"/>
        <v>DC</v>
      </c>
      <c r="F9201" t="str">
        <f>T("203735123")</f>
        <v>203735123</v>
      </c>
      <c r="G9201" t="str">
        <f>T("391 BROOKLEY AVE SW")</f>
        <v>391 BROOKLEY AVE SW</v>
      </c>
      <c r="H9201" t="str">
        <f>T("SUITE W100")</f>
        <v>SUITE W100</v>
      </c>
      <c r="I9201" t="str">
        <f>T("JBAB")</f>
        <v>JBAB</v>
      </c>
      <c r="J9201" t="str">
        <f t="shared" si="3387"/>
        <v>DC</v>
      </c>
      <c r="K9201" t="str">
        <f>T("202-284-1417")</f>
        <v>202-284-1417</v>
      </c>
      <c r="L9201" t="str">
        <f>T("2022841139")</f>
        <v>2022841139</v>
      </c>
    </row>
    <row r="9202" spans="1:12" x14ac:dyDescent="0.35">
      <c r="A9202" t="str">
        <f t="shared" si="3381"/>
        <v>NAVY ENGINEERING LOGS OF</v>
      </c>
      <c r="B9202" t="str">
        <f t="shared" si="3388"/>
        <v>391 BROOKLEY AVE SW</v>
      </c>
      <c r="C9202" t="str">
        <f>T("SUITE W100")</f>
        <v>SUITE W100</v>
      </c>
      <c r="D9202" t="str">
        <f>T("JBAB")</f>
        <v>JBAB</v>
      </c>
      <c r="E9202" t="str">
        <f t="shared" si="3384"/>
        <v>DC</v>
      </c>
      <c r="F9202" t="str">
        <f>T("203735123")</f>
        <v>203735123</v>
      </c>
      <c r="G9202" t="str">
        <f>T("NAVY ENGINEERING LOGISTICS OFFICE")</f>
        <v>NAVY ENGINEERING LOGISTICS OFFICE</v>
      </c>
      <c r="H9202" t="str">
        <f>T("391 BROOKLEY AVENUE SUITE 1040")</f>
        <v>391 BROOKLEY AVENUE SUITE 1040</v>
      </c>
      <c r="I9202" t="str">
        <f>T("WASHINGTON")</f>
        <v>WASHINGTON</v>
      </c>
      <c r="J9202" t="str">
        <f t="shared" si="3387"/>
        <v>DC</v>
      </c>
      <c r="K9202" t="str">
        <f>T("2022841417")</f>
        <v>2022841417</v>
      </c>
      <c r="L9202" t="str">
        <f>T("2022841474")</f>
        <v>2022841474</v>
      </c>
    </row>
    <row r="9203" spans="1:12" x14ac:dyDescent="0.35">
      <c r="A9203" t="str">
        <f t="shared" si="3381"/>
        <v>NAVY ENGINEERING LOGS OF</v>
      </c>
      <c r="B9203" t="str">
        <f>T("391 BROOKLEY AVE SW STE 1040")</f>
        <v>391 BROOKLEY AVE SW STE 1040</v>
      </c>
      <c r="C9203" t="str">
        <f>T("JBAB")</f>
        <v>JBAB</v>
      </c>
      <c r="D9203" t="str">
        <f>T("WASHINGTON")</f>
        <v>WASHINGTON</v>
      </c>
      <c r="E9203" t="str">
        <f t="shared" si="3384"/>
        <v>DC</v>
      </c>
      <c r="F9203" t="str">
        <f>T("203730001")</f>
        <v>203730001</v>
      </c>
      <c r="G9203" t="str">
        <f>T("391 BROOKLEY AVE SW STE 1040")</f>
        <v>391 BROOKLEY AVE SW STE 1040</v>
      </c>
      <c r="H9203" t="str">
        <f>T("JBAB")</f>
        <v>JBAB</v>
      </c>
      <c r="I9203" t="str">
        <f>T("WASHINGTON")</f>
        <v>WASHINGTON</v>
      </c>
      <c r="J9203" t="str">
        <f t="shared" si="3387"/>
        <v>DC</v>
      </c>
      <c r="K9203" t="str">
        <f>T("202-284-1667")</f>
        <v>202-284-1667</v>
      </c>
      <c r="L9203" t="str">
        <f>T("2022841669")</f>
        <v>2022841669</v>
      </c>
    </row>
    <row r="9204" spans="1:12" x14ac:dyDescent="0.35">
      <c r="A9204" t="str">
        <f t="shared" si="3381"/>
        <v>NAVY ENGINEERING LOGS OF</v>
      </c>
      <c r="B9204" t="str">
        <f>T("391 BROOKLEY AVE SW STE 1040")</f>
        <v>391 BROOKLEY AVE SW STE 1040</v>
      </c>
      <c r="C9204" t="str">
        <f>T("JBAB")</f>
        <v>JBAB</v>
      </c>
      <c r="D9204" t="str">
        <f>T("WASHINGTON")</f>
        <v>WASHINGTON</v>
      </c>
      <c r="E9204" t="str">
        <f t="shared" si="3384"/>
        <v>DC</v>
      </c>
      <c r="F9204" t="str">
        <f>T("203730001")</f>
        <v>203730001</v>
      </c>
      <c r="G9204" t="str">
        <f>T("NAVY ENGINEERING LOGISTICS OFFICE")</f>
        <v>NAVY ENGINEERING LOGISTICS OFFICE</v>
      </c>
      <c r="H9204" t="str">
        <f>T("391 BROOKELY AVENUE SUITE 2000")</f>
        <v>391 BROOKELY AVENUE SUITE 2000</v>
      </c>
      <c r="I9204" t="str">
        <f>T("WASHINGTON")</f>
        <v>WASHINGTON</v>
      </c>
      <c r="J9204" t="str">
        <f t="shared" si="3387"/>
        <v>DC</v>
      </c>
      <c r="K9204" t="str">
        <f>T("2022841667")</f>
        <v>2022841667</v>
      </c>
      <c r="L9204" t="str">
        <f>T("2022841654")</f>
        <v>2022841654</v>
      </c>
    </row>
    <row r="9205" spans="1:12" x14ac:dyDescent="0.35">
      <c r="A9205" t="str">
        <f t="shared" si="3381"/>
        <v>NAVY ENGINEERING LOGS OF</v>
      </c>
      <c r="B9205" t="str">
        <f>T("391 BROOKLEY AVE SW STE W")</f>
        <v>391 BROOKLEY AVE SW STE W</v>
      </c>
      <c r="C9205" t="str">
        <f>T("RM 1150")</f>
        <v>RM 1150</v>
      </c>
      <c r="D9205" t="str">
        <f>T("JBAB")</f>
        <v>JBAB</v>
      </c>
      <c r="E9205" t="str">
        <f t="shared" si="3384"/>
        <v>DC</v>
      </c>
      <c r="F9205" t="str">
        <f>T("203730001")</f>
        <v>203730001</v>
      </c>
      <c r="G9205" t="str">
        <f>T("391 BROOKLEY AVE SW STE W")</f>
        <v>391 BROOKLEY AVE SW STE W</v>
      </c>
      <c r="H9205" t="str">
        <f>T("RM 1150")</f>
        <v>RM 1150</v>
      </c>
      <c r="I9205" t="str">
        <f>T("JBAB")</f>
        <v>JBAB</v>
      </c>
      <c r="J9205" t="str">
        <f t="shared" si="3387"/>
        <v>DC</v>
      </c>
      <c r="K9205" t="str">
        <f>T("2022841613")</f>
        <v>2022841613</v>
      </c>
      <c r="L9205" t="str">
        <f>T("2022841597")</f>
        <v>2022841597</v>
      </c>
    </row>
    <row r="9206" spans="1:12" x14ac:dyDescent="0.35">
      <c r="A9206" t="str">
        <f t="shared" si="3381"/>
        <v>NAVY ENGINEERING LOGS OF</v>
      </c>
      <c r="B9206" t="str">
        <f>T("391 BROOKLEY AVE SW STE W")</f>
        <v>391 BROOKLEY AVE SW STE W</v>
      </c>
      <c r="C9206" t="str">
        <f>T("RM 1150")</f>
        <v>RM 1150</v>
      </c>
      <c r="D9206" t="str">
        <f>T("JBAB")</f>
        <v>JBAB</v>
      </c>
      <c r="E9206" t="str">
        <f t="shared" si="3384"/>
        <v>DC</v>
      </c>
      <c r="F9206" t="str">
        <f>T("203730001")</f>
        <v>203730001</v>
      </c>
      <c r="G9206" t="str">
        <f>T("391 BROOKLEY AVE SW STE W100")</f>
        <v>391 BROOKLEY AVE SW STE W100</v>
      </c>
      <c r="H9206" t="str">
        <f>T("RM 1150-05")</f>
        <v>RM 1150-05</v>
      </c>
      <c r="I9206" t="str">
        <f>T("JBAB")</f>
        <v>JBAB</v>
      </c>
      <c r="J9206" t="str">
        <f t="shared" si="3387"/>
        <v>DC</v>
      </c>
      <c r="K9206" t="str">
        <f>T("7036994497")</f>
        <v>7036994497</v>
      </c>
      <c r="L9206" t="str">
        <f>T("1111111111")</f>
        <v>1111111111</v>
      </c>
    </row>
    <row r="9207" spans="1:12" x14ac:dyDescent="0.35">
      <c r="A9207" t="str">
        <f t="shared" si="3381"/>
        <v>NAVY ENGINEERING LOGS OF</v>
      </c>
      <c r="B9207" t="str">
        <f>T("391 BROOKLEY AVE SW STE W")</f>
        <v>391 BROOKLEY AVE SW STE W</v>
      </c>
      <c r="C9207" t="str">
        <f>T("RM 1150")</f>
        <v>RM 1150</v>
      </c>
      <c r="D9207" t="str">
        <f>T("JBAB")</f>
        <v>JBAB</v>
      </c>
      <c r="E9207" t="str">
        <f t="shared" si="3384"/>
        <v>DC</v>
      </c>
      <c r="F9207" t="str">
        <f>T("203730001")</f>
        <v>203730001</v>
      </c>
      <c r="G9207" t="str">
        <f>T("391 BROOKLEY AVE SW STE W100")</f>
        <v>391 BROOKLEY AVE SW STE W100</v>
      </c>
      <c r="H9207" t="str">
        <f>T("RM 1150A")</f>
        <v>RM 1150A</v>
      </c>
      <c r="I9207" t="str">
        <f>T("JBAB")</f>
        <v>JBAB</v>
      </c>
      <c r="J9207" t="str">
        <f t="shared" si="3387"/>
        <v>DC</v>
      </c>
      <c r="K9207" t="str">
        <f>T("")</f>
        <v/>
      </c>
      <c r="L9207" t="str">
        <f>T("1111111111")</f>
        <v>1111111111</v>
      </c>
    </row>
    <row r="9208" spans="1:12" x14ac:dyDescent="0.35">
      <c r="A9208" t="str">
        <f t="shared" si="3381"/>
        <v>NAVY ENGINEERING LOGS OF</v>
      </c>
      <c r="B9208" t="str">
        <f>T("875 N RANDOLPH STREET")</f>
        <v>875 N RANDOLPH STREET</v>
      </c>
      <c r="C9208" t="str">
        <f>T("SUITE 930")</f>
        <v>SUITE 930</v>
      </c>
      <c r="D9208" t="str">
        <f>T("ARLINGTON")</f>
        <v>ARLINGTON</v>
      </c>
      <c r="E9208" t="str">
        <f>T("VA")</f>
        <v>VA</v>
      </c>
      <c r="F9208" t="str">
        <f>T("222031986")</f>
        <v>222031986</v>
      </c>
      <c r="G9208" t="str">
        <f>T("875 N RANDOLPH STREET")</f>
        <v>875 N RANDOLPH STREET</v>
      </c>
      <c r="H9208" t="str">
        <f>T("SUITE 930")</f>
        <v>SUITE 930</v>
      </c>
      <c r="I9208" t="str">
        <f>T("ARLINGTON")</f>
        <v>ARLINGTON</v>
      </c>
      <c r="J9208" t="str">
        <f>T("VA")</f>
        <v>VA</v>
      </c>
      <c r="K9208" t="str">
        <f>T("000000000000000000")</f>
        <v>000000000000000000</v>
      </c>
      <c r="L9208" t="str">
        <f>T("7035882259")</f>
        <v>7035882259</v>
      </c>
    </row>
    <row r="9209" spans="1:12" x14ac:dyDescent="0.35">
      <c r="A9209" t="str">
        <f t="shared" si="3381"/>
        <v>NAVY ENGINEERING LOGS OF</v>
      </c>
      <c r="B9209" t="str">
        <f>T("875 N RANDOLPH STREET")</f>
        <v>875 N RANDOLPH STREET</v>
      </c>
      <c r="C9209" t="str">
        <f>T("SUITE 930")</f>
        <v>SUITE 930</v>
      </c>
      <c r="D9209" t="str">
        <f>T("ARLINGTON")</f>
        <v>ARLINGTON</v>
      </c>
      <c r="E9209" t="str">
        <f>T("VA")</f>
        <v>VA</v>
      </c>
      <c r="F9209" t="str">
        <f>T("222031986")</f>
        <v>222031986</v>
      </c>
      <c r="G9209" t="str">
        <f>T("875 N RANDOLPH STREET")</f>
        <v>875 N RANDOLPH STREET</v>
      </c>
      <c r="H9209" t="str">
        <f>T("SUITE 930")</f>
        <v>SUITE 930</v>
      </c>
      <c r="I9209" t="str">
        <f>T("ARLINGTON")</f>
        <v>ARLINGTON</v>
      </c>
      <c r="J9209" t="str">
        <f>T("VA")</f>
        <v>VA</v>
      </c>
      <c r="K9209" t="str">
        <f>T("000000000000000000")</f>
        <v>000000000000000000</v>
      </c>
      <c r="L9209" t="str">
        <f>T("7036960110")</f>
        <v>7036960110</v>
      </c>
    </row>
    <row r="9210" spans="1:12" x14ac:dyDescent="0.35">
      <c r="A9210" t="str">
        <f t="shared" si="3381"/>
        <v>NAVY ENGINEERING LOGS OF</v>
      </c>
      <c r="B9210" t="str">
        <f>T("DON PENTAGON")</f>
        <v>DON PENTAGON</v>
      </c>
      <c r="C9210" t="str">
        <f>T("CNO N89 REGISTRY RM SE456")</f>
        <v>CNO N89 REGISTRY RM SE456</v>
      </c>
      <c r="D9210" t="str">
        <f>T("WASHINGTON")</f>
        <v>WASHINGTON</v>
      </c>
      <c r="E9210" t="str">
        <f t="shared" ref="E9210:E9226" si="3389">T("DC")</f>
        <v>DC</v>
      </c>
      <c r="F9210" t="str">
        <f>T("203500001")</f>
        <v>203500001</v>
      </c>
      <c r="G9210" t="str">
        <f>T("COMMANDER US FLEET FORCES COMMAND")</f>
        <v>COMMANDER US FLEET FORCES COMMAND</v>
      </c>
      <c r="H9210" t="str">
        <f>T("1562 MITSCHER AVENUE STE 250")</f>
        <v>1562 MITSCHER AVENUE STE 250</v>
      </c>
      <c r="I9210" t="str">
        <f>T("NORFOLK")</f>
        <v>NORFOLK</v>
      </c>
      <c r="J9210" t="str">
        <f>T("VA")</f>
        <v>VA</v>
      </c>
      <c r="K9210" t="str">
        <f>T("7578365644")</f>
        <v>7578365644</v>
      </c>
      <c r="L9210" t="str">
        <f>T("7578365730")</f>
        <v>7578365730</v>
      </c>
    </row>
    <row r="9211" spans="1:12" x14ac:dyDescent="0.35">
      <c r="A9211" t="str">
        <f t="shared" si="3381"/>
        <v>NAVY ENGINEERING LOGS OF</v>
      </c>
      <c r="B9211" t="str">
        <f>T("DON PENTAGON")</f>
        <v>DON PENTAGON</v>
      </c>
      <c r="C9211" t="str">
        <f>T("CNO N89 REGISTRY RM SE456")</f>
        <v>CNO N89 REGISTRY RM SE456</v>
      </c>
      <c r="D9211" t="str">
        <f>T("WASHINGTON")</f>
        <v>WASHINGTON</v>
      </c>
      <c r="E9211" t="str">
        <f t="shared" si="3389"/>
        <v>DC</v>
      </c>
      <c r="F9211" t="str">
        <f>T("203500001")</f>
        <v>203500001</v>
      </c>
      <c r="G9211" t="str">
        <f>T("COMPACFLT")</f>
        <v>COMPACFLT</v>
      </c>
      <c r="H9211" t="str">
        <f>T("250 MAKALAPA DRIVE BUILDING 259")</f>
        <v>250 MAKALAPA DRIVE BUILDING 259</v>
      </c>
      <c r="I9211" t="str">
        <f>T("JOINT BASE PEARL HARBOR")</f>
        <v>JOINT BASE PEARL HARBOR</v>
      </c>
      <c r="J9211" t="str">
        <f>T("HI")</f>
        <v>HI</v>
      </c>
      <c r="K9211" t="str">
        <f>T("8084746952")</f>
        <v>8084746952</v>
      </c>
      <c r="L9211" t="str">
        <f>T("8084718744")</f>
        <v>8084718744</v>
      </c>
    </row>
    <row r="9212" spans="1:12" x14ac:dyDescent="0.35">
      <c r="A9212" t="str">
        <f t="shared" si="3381"/>
        <v>NAVY ENGINEERING LOGS OF</v>
      </c>
      <c r="B9212" t="str">
        <f>T("DON PENTAGON")</f>
        <v>DON PENTAGON</v>
      </c>
      <c r="C9212" t="str">
        <f>T("CNO N89 REGISTRY RM SE456")</f>
        <v>CNO N89 REGISTRY RM SE456</v>
      </c>
      <c r="D9212" t="str">
        <f>T("WASHINGTON")</f>
        <v>WASHINGTON</v>
      </c>
      <c r="E9212" t="str">
        <f t="shared" si="3389"/>
        <v>DC</v>
      </c>
      <c r="F9212" t="str">
        <f>T("203500001")</f>
        <v>203500001</v>
      </c>
      <c r="G9212" t="str">
        <f>T("DON PENTAGON")</f>
        <v>DON PENTAGON</v>
      </c>
      <c r="H9212" t="str">
        <f>T("CNO N89 REGISTRY RM SE456")</f>
        <v>CNO N89 REGISTRY RM SE456</v>
      </c>
      <c r="I9212" t="str">
        <f>T("WASHINGTON")</f>
        <v>WASHINGTON</v>
      </c>
      <c r="J9212" t="str">
        <f t="shared" ref="J9212:J9220" si="3390">T("DC")</f>
        <v>DC</v>
      </c>
      <c r="K9212" t="str">
        <f>T("")</f>
        <v/>
      </c>
      <c r="L9212" t="str">
        <f>T("7036929452")</f>
        <v>7036929452</v>
      </c>
    </row>
    <row r="9213" spans="1:12" x14ac:dyDescent="0.35">
      <c r="A9213" t="str">
        <f t="shared" si="3381"/>
        <v>NAVY ENGINEERING LOGS OF</v>
      </c>
      <c r="B9213" t="str">
        <f>T("NELO")</f>
        <v>NELO</v>
      </c>
      <c r="C9213" t="str">
        <f>T("391 BROOKLEY AVE SW STE 4000")</f>
        <v>391 BROOKLEY AVE SW STE 4000</v>
      </c>
      <c r="D9213" t="str">
        <f>T("JBAB")</f>
        <v>JBAB</v>
      </c>
      <c r="E9213" t="str">
        <f t="shared" si="3389"/>
        <v>DC</v>
      </c>
      <c r="F9213" t="str">
        <f>T("203735119")</f>
        <v>203735119</v>
      </c>
      <c r="G9213" t="str">
        <f>T("391 BROOKLEY AVE SW STE W100")</f>
        <v>391 BROOKLEY AVE SW STE W100</v>
      </c>
      <c r="H9213" t="str">
        <f>T("RM 1081-02")</f>
        <v>RM 1081-02</v>
      </c>
      <c r="I9213" t="str">
        <f>T("JBAB")</f>
        <v>JBAB</v>
      </c>
      <c r="J9213" t="str">
        <f t="shared" si="3390"/>
        <v>DC</v>
      </c>
      <c r="K9213" t="str">
        <f>T("")</f>
        <v/>
      </c>
      <c r="L9213" t="str">
        <f>T("1111111111")</f>
        <v>1111111111</v>
      </c>
    </row>
    <row r="9214" spans="1:12" x14ac:dyDescent="0.35">
      <c r="A9214" t="str">
        <f t="shared" si="3381"/>
        <v>NAVY ENGINEERING LOGS OF</v>
      </c>
      <c r="B9214" t="str">
        <f>T("NELO")</f>
        <v>NELO</v>
      </c>
      <c r="C9214" t="str">
        <f>T("391 BROOKLEY AVE SW STE 4000")</f>
        <v>391 BROOKLEY AVE SW STE 4000</v>
      </c>
      <c r="D9214" t="str">
        <f>T("JBAB")</f>
        <v>JBAB</v>
      </c>
      <c r="E9214" t="str">
        <f t="shared" si="3389"/>
        <v>DC</v>
      </c>
      <c r="F9214" t="str">
        <f>T("203735119")</f>
        <v>203735119</v>
      </c>
      <c r="G9214" t="str">
        <f>T("391 BROOKLEY AVE SW STE W1000")</f>
        <v>391 BROOKLEY AVE SW STE W1000</v>
      </c>
      <c r="H9214" t="str">
        <f>T("JBAB")</f>
        <v>JBAB</v>
      </c>
      <c r="I9214" t="str">
        <f>T("WASHINGTON")</f>
        <v>WASHINGTON</v>
      </c>
      <c r="J9214" t="str">
        <f t="shared" si="3390"/>
        <v>DC</v>
      </c>
      <c r="K9214" t="str">
        <f>T("000000000000000000")</f>
        <v>000000000000000000</v>
      </c>
      <c r="L9214" t="str">
        <f>T("2022841105")</f>
        <v>2022841105</v>
      </c>
    </row>
    <row r="9215" spans="1:12" x14ac:dyDescent="0.35">
      <c r="A9215" t="str">
        <f t="shared" si="3381"/>
        <v>NAVY ENGINEERING LOGS OF</v>
      </c>
      <c r="B9215" t="str">
        <f>T("NELO")</f>
        <v>NELO</v>
      </c>
      <c r="C9215" t="str">
        <f>T("391 BROOKLEY AVE SW STE 4000")</f>
        <v>391 BROOKLEY AVE SW STE 4000</v>
      </c>
      <c r="D9215" t="str">
        <f>T("JBAB")</f>
        <v>JBAB</v>
      </c>
      <c r="E9215" t="str">
        <f t="shared" si="3389"/>
        <v>DC</v>
      </c>
      <c r="F9215" t="str">
        <f>T("203735119")</f>
        <v>203735119</v>
      </c>
      <c r="G9215" t="str">
        <f>T("NELO")</f>
        <v>NELO</v>
      </c>
      <c r="H9215" t="str">
        <f>T("391 BROOKLEY AVE SW STE 4000")</f>
        <v>391 BROOKLEY AVE SW STE 4000</v>
      </c>
      <c r="I9215" t="str">
        <f>T("JBAB")</f>
        <v>JBAB</v>
      </c>
      <c r="J9215" t="str">
        <f t="shared" si="3390"/>
        <v>DC</v>
      </c>
      <c r="K9215" t="str">
        <f>T("")</f>
        <v/>
      </c>
      <c r="L9215" t="str">
        <f>T("2022841144")</f>
        <v>2022841144</v>
      </c>
    </row>
    <row r="9216" spans="1:12" x14ac:dyDescent="0.35">
      <c r="A9216" t="str">
        <f t="shared" si="3381"/>
        <v>NAVY ENGINEERING LOGS OF</v>
      </c>
      <c r="B9216" t="str">
        <f>T("NELO 391 BROOKLEY AVE SW")</f>
        <v>NELO 391 BROOKLEY AVE SW</v>
      </c>
      <c r="C9216" t="str">
        <f>T("STE W100 JBAB")</f>
        <v>STE W100 JBAB</v>
      </c>
      <c r="D9216" t="str">
        <f>T("WASHINGTON")</f>
        <v>WASHINGTON</v>
      </c>
      <c r="E9216" t="str">
        <f t="shared" si="3389"/>
        <v>DC</v>
      </c>
      <c r="F9216" t="str">
        <f>T("203735123")</f>
        <v>203735123</v>
      </c>
      <c r="G9216" t="str">
        <f>T("391 BROOKLEY AVE SW STE W100")</f>
        <v>391 BROOKLEY AVE SW STE W100</v>
      </c>
      <c r="H9216" t="str">
        <f>T("RM 2000-11")</f>
        <v>RM 2000-11</v>
      </c>
      <c r="I9216" t="str">
        <f>T("JBAB")</f>
        <v>JBAB</v>
      </c>
      <c r="J9216" t="str">
        <f t="shared" si="3390"/>
        <v>DC</v>
      </c>
      <c r="K9216" t="str">
        <f>T("000000000000000000")</f>
        <v>000000000000000000</v>
      </c>
      <c r="L9216" t="str">
        <f>T("1111111111")</f>
        <v>1111111111</v>
      </c>
    </row>
    <row r="9217" spans="1:12" x14ac:dyDescent="0.35">
      <c r="A9217" t="str">
        <f t="shared" si="3381"/>
        <v>NAVY ENGINEERING LOGS OF</v>
      </c>
      <c r="B9217" t="str">
        <f>T("NELO 391 BROOKLEY AVE SW")</f>
        <v>NELO 391 BROOKLEY AVE SW</v>
      </c>
      <c r="C9217" t="str">
        <f>T("STE W100 JBAB")</f>
        <v>STE W100 JBAB</v>
      </c>
      <c r="D9217" t="str">
        <f>T("WASHINGTON")</f>
        <v>WASHINGTON</v>
      </c>
      <c r="E9217" t="str">
        <f t="shared" si="3389"/>
        <v>DC</v>
      </c>
      <c r="F9217" t="str">
        <f>T("203735123")</f>
        <v>203735123</v>
      </c>
      <c r="G9217" t="str">
        <f>T("391 BROOKLEY AVE SW STE W100")</f>
        <v>391 BROOKLEY AVE SW STE W100</v>
      </c>
      <c r="H9217" t="str">
        <f>T("RM 2000-42")</f>
        <v>RM 2000-42</v>
      </c>
      <c r="I9217" t="str">
        <f>T("JBAB")</f>
        <v>JBAB</v>
      </c>
      <c r="J9217" t="str">
        <f t="shared" si="3390"/>
        <v>DC</v>
      </c>
      <c r="K9217" t="str">
        <f>T("")</f>
        <v/>
      </c>
      <c r="L9217" t="str">
        <f>T("1111111111")</f>
        <v>1111111111</v>
      </c>
    </row>
    <row r="9218" spans="1:12" x14ac:dyDescent="0.35">
      <c r="A9218" t="str">
        <f t="shared" si="3381"/>
        <v>NAVY ENGINEERING LOGS OF</v>
      </c>
      <c r="B9218" t="str">
        <f>T("NELO 391 BROOKLEY AVE SW")</f>
        <v>NELO 391 BROOKLEY AVE SW</v>
      </c>
      <c r="C9218" t="str">
        <f>T("STE W100 JBAB")</f>
        <v>STE W100 JBAB</v>
      </c>
      <c r="D9218" t="str">
        <f>T("WASHINGTON")</f>
        <v>WASHINGTON</v>
      </c>
      <c r="E9218" t="str">
        <f t="shared" si="3389"/>
        <v>DC</v>
      </c>
      <c r="F9218" t="str">
        <f>T("203735123")</f>
        <v>203735123</v>
      </c>
      <c r="G9218" t="str">
        <f>T("NAVY ENGINEERING LOGISTICS OFFICE")</f>
        <v>NAVY ENGINEERING LOGISTICS OFFICE</v>
      </c>
      <c r="H9218" t="str">
        <f>T("391 BROOKLEY AVENUE SUITE 2000")</f>
        <v>391 BROOKLEY AVENUE SUITE 2000</v>
      </c>
      <c r="I9218" t="str">
        <f>T("WASHINGTON")</f>
        <v>WASHINGTON</v>
      </c>
      <c r="J9218" t="str">
        <f t="shared" si="3390"/>
        <v>DC</v>
      </c>
      <c r="K9218" t="str">
        <f>T("2022841920")</f>
        <v>2022841920</v>
      </c>
      <c r="L9218" t="str">
        <f>T("2022841009")</f>
        <v>2022841009</v>
      </c>
    </row>
    <row r="9219" spans="1:12" x14ac:dyDescent="0.35">
      <c r="A9219" t="str">
        <f t="shared" si="3381"/>
        <v>NAVY ENGINEERING LOGS OF</v>
      </c>
      <c r="B9219" t="str">
        <f>T("NELO 391 BROOKLEY AVE SW")</f>
        <v>NELO 391 BROOKLEY AVE SW</v>
      </c>
      <c r="C9219" t="str">
        <f>T("STE W100 JBAB")</f>
        <v>STE W100 JBAB</v>
      </c>
      <c r="D9219" t="str">
        <f>T("WASHINGTON")</f>
        <v>WASHINGTON</v>
      </c>
      <c r="E9219" t="str">
        <f t="shared" si="3389"/>
        <v>DC</v>
      </c>
      <c r="F9219" t="str">
        <f>T("203735123")</f>
        <v>203735123</v>
      </c>
      <c r="G9219" t="str">
        <f>T("NELO 391 BROOKLEY AVE SW")</f>
        <v>NELO 391 BROOKLEY AVE SW</v>
      </c>
      <c r="H9219" t="str">
        <f>T("STE W100 JBAB")</f>
        <v>STE W100 JBAB</v>
      </c>
      <c r="I9219" t="str">
        <f>T("WASHINGTON")</f>
        <v>WASHINGTON</v>
      </c>
      <c r="J9219" t="str">
        <f t="shared" si="3390"/>
        <v>DC</v>
      </c>
      <c r="K9219" t="str">
        <f>T("2022841920")</f>
        <v>2022841920</v>
      </c>
      <c r="L9219" t="str">
        <f>T("2022841762")</f>
        <v>2022841762</v>
      </c>
    </row>
    <row r="9220" spans="1:12" x14ac:dyDescent="0.35">
      <c r="A9220" t="str">
        <f t="shared" si="3381"/>
        <v>NAVY ENGINEERING LOGS OF</v>
      </c>
      <c r="B9220" t="str">
        <f>T("NELO 391 BROOKLEY AVE SW STE W")</f>
        <v>NELO 391 BROOKLEY AVE SW STE W</v>
      </c>
      <c r="C9220" t="str">
        <f>T("PENTAGON RM SE46")</f>
        <v>PENTAGON RM SE46</v>
      </c>
      <c r="D9220" t="str">
        <f>T("JBAB")</f>
        <v>JBAB</v>
      </c>
      <c r="E9220" t="str">
        <f t="shared" si="3389"/>
        <v>DC</v>
      </c>
      <c r="F9220" t="str">
        <f>T("203730001")</f>
        <v>203730001</v>
      </c>
      <c r="G9220" t="str">
        <f>T("391 BROOKLEY AVE SW STE W100")</f>
        <v>391 BROOKLEY AVE SW STE W100</v>
      </c>
      <c r="H9220" t="str">
        <f>T("ATTN BARBARA SCHRUMPF, PENTAGON")</f>
        <v>ATTN BARBARA SCHRUMPF, PENTAGON</v>
      </c>
      <c r="I9220" t="str">
        <f>T("JBAB")</f>
        <v>JBAB</v>
      </c>
      <c r="J9220" t="str">
        <f t="shared" si="3390"/>
        <v>DC</v>
      </c>
      <c r="K9220" t="str">
        <f>T("")</f>
        <v/>
      </c>
      <c r="L9220" t="str">
        <f>T("1111111111")</f>
        <v>1111111111</v>
      </c>
    </row>
    <row r="9221" spans="1:12" x14ac:dyDescent="0.35">
      <c r="A9221" t="str">
        <f t="shared" si="3381"/>
        <v>NAVY ENGINEERING LOGS OF</v>
      </c>
      <c r="B9221" t="str">
        <f>T("NELO 391 BROOKLEY AVE SW STE W")</f>
        <v>NELO 391 BROOKLEY AVE SW STE W</v>
      </c>
      <c r="C9221" t="str">
        <f>T("PENTAGON RM SE46")</f>
        <v>PENTAGON RM SE46</v>
      </c>
      <c r="D9221" t="str">
        <f>T("JBAB")</f>
        <v>JBAB</v>
      </c>
      <c r="E9221" t="str">
        <f t="shared" si="3389"/>
        <v>DC</v>
      </c>
      <c r="F9221" t="str">
        <f>T("203730001")</f>
        <v>203730001</v>
      </c>
      <c r="G9221" t="str">
        <f>T("701 S COURTHOUSE ROAD")</f>
        <v>701 S COURTHOUSE ROAD</v>
      </c>
      <c r="H9221" t="str">
        <f>T("BUILDING 12 ROOM 2J240")</f>
        <v>BUILDING 12 ROOM 2J240</v>
      </c>
      <c r="I9221" t="str">
        <f>T("ARLINGTON")</f>
        <v>ARLINGTON</v>
      </c>
      <c r="J9221" t="str">
        <f>T("VA")</f>
        <v>VA</v>
      </c>
      <c r="K9221" t="str">
        <f>T("7036040067")</f>
        <v>7036040067</v>
      </c>
      <c r="L9221" t="str">
        <f>T("7036043790")</f>
        <v>7036043790</v>
      </c>
    </row>
    <row r="9222" spans="1:12" x14ac:dyDescent="0.35">
      <c r="A9222" t="str">
        <f t="shared" si="3381"/>
        <v>NAVY ENGINEERING LOGS OF</v>
      </c>
      <c r="B9222" t="str">
        <f>T("NELO 391 BROOKLEY AVE SW STE W")</f>
        <v>NELO 391 BROOKLEY AVE SW STE W</v>
      </c>
      <c r="C9222" t="str">
        <f>T("PENTAGON RM SE46")</f>
        <v>PENTAGON RM SE46</v>
      </c>
      <c r="D9222" t="str">
        <f>T("JBAB")</f>
        <v>JBAB</v>
      </c>
      <c r="E9222" t="str">
        <f t="shared" si="3389"/>
        <v>DC</v>
      </c>
      <c r="F9222" t="str">
        <f>T("203730001")</f>
        <v>203730001</v>
      </c>
      <c r="G9222" t="str">
        <f>T("NELO 391 BROOKLEY AVE SW STE W")</f>
        <v>NELO 391 BROOKLEY AVE SW STE W</v>
      </c>
      <c r="H9222" t="str">
        <f>T("PENTAGON RM SE46")</f>
        <v>PENTAGON RM SE46</v>
      </c>
      <c r="I9222" t="str">
        <f>T("JBAB")</f>
        <v>JBAB</v>
      </c>
      <c r="J9222" t="str">
        <f>T("DC")</f>
        <v>DC</v>
      </c>
      <c r="K9222" t="str">
        <f>T("7036928072")</f>
        <v>7036928072</v>
      </c>
      <c r="L9222" t="str">
        <f>T("7036929433")</f>
        <v>7036929433</v>
      </c>
    </row>
    <row r="9223" spans="1:12" x14ac:dyDescent="0.35">
      <c r="A9223" t="str">
        <f>T("NELO")</f>
        <v>NELO</v>
      </c>
      <c r="B9223" t="str">
        <f>T("4251 SUITLAND RD")</f>
        <v>4251 SUITLAND RD</v>
      </c>
      <c r="C9223" t="str">
        <f>T("ROOM 3C108")</f>
        <v>ROOM 3C108</v>
      </c>
      <c r="D9223" t="str">
        <f>T("WASHINGTON")</f>
        <v>WASHINGTON</v>
      </c>
      <c r="E9223" t="str">
        <f t="shared" si="3389"/>
        <v>DC</v>
      </c>
      <c r="F9223" t="str">
        <f>T("203950001")</f>
        <v>203950001</v>
      </c>
      <c r="G9223" t="str">
        <f>T("4251 SUITLAND RD")</f>
        <v>4251 SUITLAND RD</v>
      </c>
      <c r="H9223" t="str">
        <f>T("ROOM 3C108")</f>
        <v>ROOM 3C108</v>
      </c>
      <c r="I9223" t="str">
        <f>T("WASHINGTON")</f>
        <v>WASHINGTON</v>
      </c>
      <c r="J9223" t="str">
        <f>T("DC")</f>
        <v>DC</v>
      </c>
      <c r="K9223" t="str">
        <f>T("3016692117")</f>
        <v>3016692117</v>
      </c>
      <c r="L9223" t="str">
        <f>T("3016692106")</f>
        <v>3016692106</v>
      </c>
    </row>
    <row r="9224" spans="1:12" x14ac:dyDescent="0.35">
      <c r="A9224" t="str">
        <f>T("NELO")</f>
        <v>NELO</v>
      </c>
      <c r="B9224" t="str">
        <f>T("4251 SUITLAND RD")</f>
        <v>4251 SUITLAND RD</v>
      </c>
      <c r="C9224" t="str">
        <f>T("ROOM 3C108")</f>
        <v>ROOM 3C108</v>
      </c>
      <c r="D9224" t="str">
        <f>T("WASHINGTON")</f>
        <v>WASHINGTON</v>
      </c>
      <c r="E9224" t="str">
        <f t="shared" si="3389"/>
        <v>DC</v>
      </c>
      <c r="F9224" t="str">
        <f>T("203950001")</f>
        <v>203950001</v>
      </c>
      <c r="G9224" t="str">
        <f>T("4251 SUITLAND ROAD")</f>
        <v>4251 SUITLAND ROAD</v>
      </c>
      <c r="H9224" t="str">
        <f>T("")</f>
        <v/>
      </c>
      <c r="I9224" t="str">
        <f>T("WASHINGTON")</f>
        <v>WASHINGTON</v>
      </c>
      <c r="J9224" t="str">
        <f>T("DC")</f>
        <v>DC</v>
      </c>
      <c r="K9224" t="str">
        <f>T("3016692117")</f>
        <v>3016692117</v>
      </c>
      <c r="L9224" t="str">
        <f>T("3016696289")</f>
        <v>3016696289</v>
      </c>
    </row>
    <row r="9225" spans="1:12" x14ac:dyDescent="0.35">
      <c r="A9225" t="str">
        <f>T("NELO")</f>
        <v>NELO</v>
      </c>
      <c r="B9225" t="str">
        <f>T("BLDG 56 STE 101")</f>
        <v>BLDG 56 STE 101</v>
      </c>
      <c r="C9225" t="str">
        <f>T("3400 MASSACHUSETTS AVE NW")</f>
        <v>3400 MASSACHUSETTS AVE NW</v>
      </c>
      <c r="D9225" t="str">
        <f>T("WASHINGTON")</f>
        <v>WASHINGTON</v>
      </c>
      <c r="E9225" t="str">
        <f t="shared" si="3389"/>
        <v>DC</v>
      </c>
      <c r="F9225" t="str">
        <f>T("203920001")</f>
        <v>203920001</v>
      </c>
      <c r="G9225" t="str">
        <f>T("3450 MASSACHUSETTS AVENUE NW BLD 52")</f>
        <v>3450 MASSACHUSETTS AVENUE NW BLD 52</v>
      </c>
      <c r="H9225" t="str">
        <f>T("")</f>
        <v/>
      </c>
      <c r="I9225" t="str">
        <f>T("WASHINGTON")</f>
        <v>WASHINGTON</v>
      </c>
      <c r="J9225" t="str">
        <f>T("DC")</f>
        <v>DC</v>
      </c>
      <c r="K9225" t="str">
        <f>T("2027620821")</f>
        <v>2027620821</v>
      </c>
      <c r="L9225" t="str">
        <f>T("2027620842")</f>
        <v>2027620842</v>
      </c>
    </row>
    <row r="9226" spans="1:12" x14ac:dyDescent="0.35">
      <c r="A9226" t="str">
        <f>T("NELO")</f>
        <v>NELO</v>
      </c>
      <c r="B9226" t="str">
        <f>T("BLDG 56 STE 101")</f>
        <v>BLDG 56 STE 101</v>
      </c>
      <c r="C9226" t="str">
        <f>T("3400 MASSACHUSETTS AVE NW")</f>
        <v>3400 MASSACHUSETTS AVE NW</v>
      </c>
      <c r="D9226" t="str">
        <f>T("WASHINGTON")</f>
        <v>WASHINGTON</v>
      </c>
      <c r="E9226" t="str">
        <f t="shared" si="3389"/>
        <v>DC</v>
      </c>
      <c r="F9226" t="str">
        <f>T("203920001")</f>
        <v>203920001</v>
      </c>
      <c r="G9226" t="str">
        <f>T("BLDG 56 STE 101")</f>
        <v>BLDG 56 STE 101</v>
      </c>
      <c r="H9226" t="str">
        <f>T("3400 MASSACHUSETTS AVE NW")</f>
        <v>3400 MASSACHUSETTS AVE NW</v>
      </c>
      <c r="I9226" t="str">
        <f>T("WASHINGTON")</f>
        <v>WASHINGTON</v>
      </c>
      <c r="J9226" t="str">
        <f>T("DC")</f>
        <v>DC</v>
      </c>
      <c r="K9226" t="str">
        <f>T("2027640390")</f>
        <v>2027640390</v>
      </c>
      <c r="L9226" t="str">
        <f>T("2027620804")</f>
        <v>2027620804</v>
      </c>
    </row>
    <row r="9227" spans="1:12" x14ac:dyDescent="0.35">
      <c r="A9227" t="str">
        <f t="shared" ref="A9227:A9234" si="3391">T("NELO-PAX")</f>
        <v>NELO-PAX</v>
      </c>
      <c r="B9227" t="str">
        <f>T("21467 COMPASS COURT")</f>
        <v>21467 COMPASS COURT</v>
      </c>
      <c r="C9227" t="str">
        <f>T("")</f>
        <v/>
      </c>
      <c r="D9227" t="str">
        <f>T("LEXINGTON PARK")</f>
        <v>LEXINGTON PARK</v>
      </c>
      <c r="E9227" t="str">
        <f>T("MD")</f>
        <v>MD</v>
      </c>
      <c r="F9227" t="str">
        <f>T("206532878")</f>
        <v>206532878</v>
      </c>
      <c r="G9227" t="str">
        <f>T("21467 COMPASS COURT")</f>
        <v>21467 COMPASS COURT</v>
      </c>
      <c r="H9227" t="str">
        <f>T("")</f>
        <v/>
      </c>
      <c r="I9227" t="str">
        <f>T("LEXINGTON PARK")</f>
        <v>LEXINGTON PARK</v>
      </c>
      <c r="J9227" t="str">
        <f>T("MD")</f>
        <v>MD</v>
      </c>
      <c r="K9227" t="str">
        <f>T("301 757 7520")</f>
        <v>301 757 7520</v>
      </c>
      <c r="L9227" t="str">
        <f>T("3017577378")</f>
        <v>3017577378</v>
      </c>
    </row>
    <row r="9228" spans="1:12" x14ac:dyDescent="0.35">
      <c r="A9228" t="str">
        <f t="shared" si="3391"/>
        <v>NELO-PAX</v>
      </c>
      <c r="B9228" t="str">
        <f>T("21467 COMPASS COURT")</f>
        <v>21467 COMPASS COURT</v>
      </c>
      <c r="C9228" t="str">
        <f>T("")</f>
        <v/>
      </c>
      <c r="D9228" t="str">
        <f>T("LEXINGTON PARK")</f>
        <v>LEXINGTON PARK</v>
      </c>
      <c r="E9228" t="str">
        <f>T("MD")</f>
        <v>MD</v>
      </c>
      <c r="F9228" t="str">
        <f>T("206532878")</f>
        <v>206532878</v>
      </c>
      <c r="G9228" t="str">
        <f>T("47123 BUSE RD")</f>
        <v>47123 BUSE RD</v>
      </c>
      <c r="H9228" t="str">
        <f>T("B2272 RM 445")</f>
        <v>B2272 RM 445</v>
      </c>
      <c r="I9228" t="str">
        <f>T("PATUXENT RIVER")</f>
        <v>PATUXENT RIVER</v>
      </c>
      <c r="J9228" t="str">
        <f>T("MD")</f>
        <v>MD</v>
      </c>
      <c r="K9228" t="str">
        <f>T("000000000000000000")</f>
        <v>000000000000000000</v>
      </c>
      <c r="L9228" t="str">
        <f>T("3017577372")</f>
        <v>3017577372</v>
      </c>
    </row>
    <row r="9229" spans="1:12" x14ac:dyDescent="0.35">
      <c r="A9229" t="str">
        <f t="shared" si="3391"/>
        <v>NELO-PAX</v>
      </c>
      <c r="B9229" t="str">
        <f>T("47123 BUSE RD")</f>
        <v>47123 BUSE RD</v>
      </c>
      <c r="C9229" t="str">
        <f>T("BLDG 2272, STE 449")</f>
        <v>BLDG 2272, STE 449</v>
      </c>
      <c r="D9229" t="str">
        <f>T("PATUXENT RIVER")</f>
        <v>PATUXENT RIVER</v>
      </c>
      <c r="E9229" t="str">
        <f>T("MD")</f>
        <v>MD</v>
      </c>
      <c r="F9229" t="str">
        <f>T("206701547")</f>
        <v>206701547</v>
      </c>
      <c r="G9229" t="str">
        <f>T("47123 BUSE RD")</f>
        <v>47123 BUSE RD</v>
      </c>
      <c r="H9229" t="str">
        <f>T("BLDG 2272, STE 449")</f>
        <v>BLDG 2272, STE 449</v>
      </c>
      <c r="I9229" t="str">
        <f>T("PATUXENT RIVER")</f>
        <v>PATUXENT RIVER</v>
      </c>
      <c r="J9229" t="str">
        <f>T("MD")</f>
        <v>MD</v>
      </c>
      <c r="K9229" t="str">
        <f>T("000000000000000000")</f>
        <v>000000000000000000</v>
      </c>
      <c r="L9229" t="str">
        <f>T("3017577259")</f>
        <v>3017577259</v>
      </c>
    </row>
    <row r="9230" spans="1:12" x14ac:dyDescent="0.35">
      <c r="A9230" t="str">
        <f t="shared" si="3391"/>
        <v>NELO-PAX</v>
      </c>
      <c r="B9230" t="str">
        <f>T("624 WARRINGTON AVE")</f>
        <v>624 WARRINGTON AVE</v>
      </c>
      <c r="C9230" t="str">
        <f>T("SE BLDG 183")</f>
        <v>SE BLDG 183</v>
      </c>
      <c r="D9230" t="str">
        <f>T("WASHINGTON")</f>
        <v>WASHINGTON</v>
      </c>
      <c r="E9230" t="str">
        <f>T("DC")</f>
        <v>DC</v>
      </c>
      <c r="F9230" t="str">
        <f>T("203745128")</f>
        <v>203745128</v>
      </c>
      <c r="G9230" t="str">
        <f>T("624 WARRINGTON AVE")</f>
        <v>624 WARRINGTON AVE</v>
      </c>
      <c r="H9230" t="str">
        <f>T("SE BLDG 183")</f>
        <v>SE BLDG 183</v>
      </c>
      <c r="I9230" t="str">
        <f>T("WASHINGTON")</f>
        <v>WASHINGTON</v>
      </c>
      <c r="J9230" t="str">
        <f>T("DC")</f>
        <v>DC</v>
      </c>
      <c r="K9230" t="str">
        <f>T("")</f>
        <v/>
      </c>
      <c r="L9230" t="str">
        <f>T("7036047973")</f>
        <v>7036047973</v>
      </c>
    </row>
    <row r="9231" spans="1:12" x14ac:dyDescent="0.35">
      <c r="A9231" t="str">
        <f t="shared" si="3391"/>
        <v>NELO-PAX</v>
      </c>
      <c r="B9231" t="str">
        <f>T("NAVAIR ADPO")</f>
        <v>NAVAIR ADPO</v>
      </c>
      <c r="C9231" t="str">
        <f>T("48110 SHAW RD, B2187, RM 3A32")</f>
        <v>48110 SHAW RD, B2187, RM 3A32</v>
      </c>
      <c r="D9231" t="str">
        <f>T("PATUXENT RIVER")</f>
        <v>PATUXENT RIVER</v>
      </c>
      <c r="E9231" t="str">
        <f>T("MD")</f>
        <v>MD</v>
      </c>
      <c r="F9231" t="str">
        <f>T("206701906")</f>
        <v>206701906</v>
      </c>
      <c r="G9231" t="str">
        <f>T("391 BROOKLEY AVE")</f>
        <v>391 BROOKLEY AVE</v>
      </c>
      <c r="H9231" t="str">
        <f>T("")</f>
        <v/>
      </c>
      <c r="I9231" t="str">
        <f>T("JBAB")</f>
        <v>JBAB</v>
      </c>
      <c r="J9231" t="str">
        <f>T("DC")</f>
        <v>DC</v>
      </c>
      <c r="K9231" t="str">
        <f>T("3013425706")</f>
        <v>3013425706</v>
      </c>
      <c r="L9231" t="str">
        <f>T("3013424858")</f>
        <v>3013424858</v>
      </c>
    </row>
    <row r="9232" spans="1:12" x14ac:dyDescent="0.35">
      <c r="A9232" t="str">
        <f t="shared" si="3391"/>
        <v>NELO-PAX</v>
      </c>
      <c r="B9232" t="str">
        <f>T("NAVAIR ADPO")</f>
        <v>NAVAIR ADPO</v>
      </c>
      <c r="C9232" t="str">
        <f>T("48110 SHAW RD, B2187, RM 3A32")</f>
        <v>48110 SHAW RD, B2187, RM 3A32</v>
      </c>
      <c r="D9232" t="str">
        <f>T("PATUXENT RIVER")</f>
        <v>PATUXENT RIVER</v>
      </c>
      <c r="E9232" t="str">
        <f>T("MD")</f>
        <v>MD</v>
      </c>
      <c r="F9232" t="str">
        <f>T("206701906")</f>
        <v>206701906</v>
      </c>
      <c r="G9232" t="str">
        <f>T("NAVAIR ADPO")</f>
        <v>NAVAIR ADPO</v>
      </c>
      <c r="H9232" t="str">
        <f>T("48110 SHAW RD, B2187, RM 3A32")</f>
        <v>48110 SHAW RD, B2187, RM 3A32</v>
      </c>
      <c r="I9232" t="str">
        <f>T("PATUXENT RIVER")</f>
        <v>PATUXENT RIVER</v>
      </c>
      <c r="J9232" t="str">
        <f>T("MD")</f>
        <v>MD</v>
      </c>
      <c r="K9232" t="str">
        <f>T("301342570")</f>
        <v>301342570</v>
      </c>
      <c r="L9232" t="str">
        <f>T("3019954773")</f>
        <v>3019954773</v>
      </c>
    </row>
    <row r="9233" spans="1:12" x14ac:dyDescent="0.35">
      <c r="A9233" t="str">
        <f t="shared" si="3391"/>
        <v>NELO-PAX</v>
      </c>
      <c r="B9233" t="str">
        <f>T("PO BOX 1338")</f>
        <v>PO BOX 1338</v>
      </c>
      <c r="C9233" t="str">
        <f>T("")</f>
        <v/>
      </c>
      <c r="D9233" t="str">
        <f>T("CALIFORNIA")</f>
        <v>CALIFORNIA</v>
      </c>
      <c r="E9233" t="str">
        <f>T("MD")</f>
        <v>MD</v>
      </c>
      <c r="F9233" t="str">
        <f>T("206191338")</f>
        <v>206191338</v>
      </c>
      <c r="G9233" t="str">
        <f>T("391 BROOKLEY AVE")</f>
        <v>391 BROOKLEY AVE</v>
      </c>
      <c r="H9233" t="str">
        <f>T("")</f>
        <v/>
      </c>
      <c r="I9233" t="str">
        <f>T("JBAB")</f>
        <v>JBAB</v>
      </c>
      <c r="J9233" t="str">
        <f>T("DC")</f>
        <v>DC</v>
      </c>
      <c r="K9233" t="str">
        <f>T("301 3427821")</f>
        <v>301 3427821</v>
      </c>
      <c r="L9233" t="str">
        <f>T("3013426649")</f>
        <v>3013426649</v>
      </c>
    </row>
    <row r="9234" spans="1:12" x14ac:dyDescent="0.35">
      <c r="A9234" t="str">
        <f t="shared" si="3391"/>
        <v>NELO-PAX</v>
      </c>
      <c r="B9234" t="str">
        <f>T("PO BOX 1338")</f>
        <v>PO BOX 1338</v>
      </c>
      <c r="C9234" t="str">
        <f>T("")</f>
        <v/>
      </c>
      <c r="D9234" t="str">
        <f>T("CALIFORNIA")</f>
        <v>CALIFORNIA</v>
      </c>
      <c r="E9234" t="str">
        <f>T("MD")</f>
        <v>MD</v>
      </c>
      <c r="F9234" t="str">
        <f>T("206191338")</f>
        <v>206191338</v>
      </c>
      <c r="G9234" t="str">
        <f>T("PO BOX 1338")</f>
        <v>PO BOX 1338</v>
      </c>
      <c r="H9234" t="str">
        <f>T("")</f>
        <v/>
      </c>
      <c r="I9234" t="str">
        <f>T("CALIFORNIA")</f>
        <v>CALIFORNIA</v>
      </c>
      <c r="J9234" t="str">
        <f>T("MD")</f>
        <v>MD</v>
      </c>
      <c r="K9234" t="str">
        <f>T("")</f>
        <v/>
      </c>
      <c r="L9234" t="str">
        <f>T("3013426988")</f>
        <v>3013426988</v>
      </c>
    </row>
    <row r="9235" spans="1:12" x14ac:dyDescent="0.35">
      <c r="A9235" t="str">
        <f>T("NELO")</f>
        <v>NELO</v>
      </c>
      <c r="B9235" t="str">
        <f>T("ANACOSTIA NAVAL ANNEX")</f>
        <v>ANACOSTIA NAVAL ANNEX</v>
      </c>
      <c r="C9235" t="str">
        <f>T("250 MURRAY LANE SW BLDG 410 DOOR 123")</f>
        <v>250 MURRAY LANE SW BLDG 410 DOOR 123</v>
      </c>
      <c r="D9235" t="str">
        <f t="shared" ref="D9235:D9256" si="3392">T("WASHINGTON")</f>
        <v>WASHINGTON</v>
      </c>
      <c r="E9235" t="str">
        <f t="shared" ref="E9235:E9256" si="3393">T("DC")</f>
        <v>DC</v>
      </c>
      <c r="F9235" t="str">
        <f>T("205090001")</f>
        <v>205090001</v>
      </c>
      <c r="G9235" t="str">
        <f>T("1300 CRYSTAL DR")</f>
        <v>1300 CRYSTAL DR</v>
      </c>
      <c r="H9235" t="str">
        <f>T("")</f>
        <v/>
      </c>
      <c r="I9235" t="str">
        <f>T("ARLINGTON")</f>
        <v>ARLINGTON</v>
      </c>
      <c r="J9235" t="str">
        <f>T("VA")</f>
        <v>VA</v>
      </c>
      <c r="K9235" t="str">
        <f>T("2024569300")</f>
        <v>2024569300</v>
      </c>
      <c r="L9235" t="str">
        <f>T("2024569323")</f>
        <v>2024569323</v>
      </c>
    </row>
    <row r="9236" spans="1:12" x14ac:dyDescent="0.35">
      <c r="A9236" t="str">
        <f>T("NELO")</f>
        <v>NELO</v>
      </c>
      <c r="B9236" t="str">
        <f>T("ANACOSTIA NAVAL ANNEX")</f>
        <v>ANACOSTIA NAVAL ANNEX</v>
      </c>
      <c r="C9236" t="str">
        <f>T("250 MURRAY LANE SW BLDG 410 DOOR 123")</f>
        <v>250 MURRAY LANE SW BLDG 410 DOOR 123</v>
      </c>
      <c r="D9236" t="str">
        <f t="shared" si="3392"/>
        <v>WASHINGTON</v>
      </c>
      <c r="E9236" t="str">
        <f t="shared" si="3393"/>
        <v>DC</v>
      </c>
      <c r="F9236" t="str">
        <f>T("205090001")</f>
        <v>205090001</v>
      </c>
      <c r="G9236" t="str">
        <f>T("ANACOSTIA NAVAL ANNEX")</f>
        <v>ANACOSTIA NAVAL ANNEX</v>
      </c>
      <c r="H9236" t="str">
        <f>T("250 MURRAY LANE SW BLDG 410 DOOR 123")</f>
        <v>250 MURRAY LANE SW BLDG 410 DOOR 123</v>
      </c>
      <c r="I9236" t="str">
        <f t="shared" ref="I9236:I9247" si="3394">T("WASHINGTON")</f>
        <v>WASHINGTON</v>
      </c>
      <c r="J9236" t="str">
        <f t="shared" ref="J9236:J9249" si="3395">T("DC")</f>
        <v>DC</v>
      </c>
      <c r="K9236" t="str">
        <f>T("202 456 9310")</f>
        <v>202 456 9310</v>
      </c>
      <c r="L9236" t="str">
        <f>T("2024563900")</f>
        <v>2024563900</v>
      </c>
    </row>
    <row r="9237" spans="1:12" x14ac:dyDescent="0.35">
      <c r="A9237" t="str">
        <f t="shared" ref="A9237:A9249" si="3396">T("MO")</f>
        <v>MO</v>
      </c>
      <c r="B9237" t="str">
        <f t="shared" ref="B9237:B9245" si="3397">T("DON/09F")</f>
        <v>DON/09F</v>
      </c>
      <c r="C9237" t="str">
        <f t="shared" ref="C9237:C9249" si="3398">T("1314 HARWOOD ST BOX 6")</f>
        <v>1314 HARWOOD ST BOX 6</v>
      </c>
      <c r="D9237" t="str">
        <f t="shared" si="3392"/>
        <v>WASHINGTON</v>
      </c>
      <c r="E9237" t="str">
        <f t="shared" si="3393"/>
        <v>DC</v>
      </c>
      <c r="F9237" t="str">
        <f t="shared" ref="F9237:F9249" si="3399">T("203745150")</f>
        <v>203745150</v>
      </c>
      <c r="G9237" t="str">
        <f>T("1314 HARWOOD ST BOX 6")</f>
        <v>1314 HARWOOD ST BOX 6</v>
      </c>
      <c r="H9237" t="str">
        <f>T("")</f>
        <v/>
      </c>
      <c r="I9237" t="str">
        <f t="shared" si="3394"/>
        <v>WASHINGTON</v>
      </c>
      <c r="J9237" t="str">
        <f t="shared" si="3395"/>
        <v>DC</v>
      </c>
      <c r="K9237" t="str">
        <f>T("2027571949")</f>
        <v>2027571949</v>
      </c>
      <c r="L9237" t="str">
        <f>T("2027574438")</f>
        <v>2027574438</v>
      </c>
    </row>
    <row r="9238" spans="1:12" x14ac:dyDescent="0.35">
      <c r="A9238" t="str">
        <f t="shared" si="3396"/>
        <v>MO</v>
      </c>
      <c r="B9238" t="str">
        <f t="shared" si="3397"/>
        <v>DON/09F</v>
      </c>
      <c r="C9238" t="str">
        <f t="shared" si="3398"/>
        <v>1314 HARWOOD ST BOX 6</v>
      </c>
      <c r="D9238" t="str">
        <f t="shared" si="3392"/>
        <v>WASHINGTON</v>
      </c>
      <c r="E9238" t="str">
        <f t="shared" si="3393"/>
        <v>DC</v>
      </c>
      <c r="F9238" t="str">
        <f t="shared" si="3399"/>
        <v>203745150</v>
      </c>
      <c r="G9238" t="str">
        <f>T("1314 HARWOOD ST BOX 6")</f>
        <v>1314 HARWOOD ST BOX 6</v>
      </c>
      <c r="H9238" t="str">
        <f>T("")</f>
        <v/>
      </c>
      <c r="I9238" t="str">
        <f t="shared" si="3394"/>
        <v>WASHINGTON</v>
      </c>
      <c r="J9238" t="str">
        <f t="shared" si="3395"/>
        <v>DC</v>
      </c>
      <c r="K9238" t="str">
        <f>T("2027572529")</f>
        <v>2027572529</v>
      </c>
      <c r="L9238" t="str">
        <f>T("2027572499")</f>
        <v>2027572499</v>
      </c>
    </row>
    <row r="9239" spans="1:12" x14ac:dyDescent="0.35">
      <c r="A9239" t="str">
        <f t="shared" si="3396"/>
        <v>MO</v>
      </c>
      <c r="B9239" t="str">
        <f t="shared" si="3397"/>
        <v>DON/09F</v>
      </c>
      <c r="C9239" t="str">
        <f t="shared" si="3398"/>
        <v>1314 HARWOOD ST BOX 6</v>
      </c>
      <c r="D9239" t="str">
        <f t="shared" si="3392"/>
        <v>WASHINGTON</v>
      </c>
      <c r="E9239" t="str">
        <f t="shared" si="3393"/>
        <v>DC</v>
      </c>
      <c r="F9239" t="str">
        <f t="shared" si="3399"/>
        <v>203745150</v>
      </c>
      <c r="G9239" t="str">
        <f>T("1314 HARWOOD STREET")</f>
        <v>1314 HARWOOD STREET</v>
      </c>
      <c r="H9239" t="str">
        <f>T("BOX 6")</f>
        <v>BOX 6</v>
      </c>
      <c r="I9239" t="str">
        <f t="shared" si="3394"/>
        <v>WASHINGTON</v>
      </c>
      <c r="J9239" t="str">
        <f t="shared" si="3395"/>
        <v>DC</v>
      </c>
      <c r="K9239" t="str">
        <f>T("2027571949")</f>
        <v>2027571949</v>
      </c>
      <c r="L9239" t="str">
        <f>T("7036716205")</f>
        <v>7036716205</v>
      </c>
    </row>
    <row r="9240" spans="1:12" x14ac:dyDescent="0.35">
      <c r="A9240" t="str">
        <f t="shared" si="3396"/>
        <v>MO</v>
      </c>
      <c r="B9240" t="str">
        <f t="shared" si="3397"/>
        <v>DON/09F</v>
      </c>
      <c r="C9240" t="str">
        <f t="shared" si="3398"/>
        <v>1314 HARWOOD ST BOX 6</v>
      </c>
      <c r="D9240" t="str">
        <f t="shared" si="3392"/>
        <v>WASHINGTON</v>
      </c>
      <c r="E9240" t="str">
        <f t="shared" si="3393"/>
        <v>DC</v>
      </c>
      <c r="F9240" t="str">
        <f t="shared" si="3399"/>
        <v>203745150</v>
      </c>
      <c r="G9240" t="str">
        <f>T("1314 HARWOOD STREET BOX 6")</f>
        <v>1314 HARWOOD STREET BOX 6</v>
      </c>
      <c r="H9240" t="str">
        <f>T("")</f>
        <v/>
      </c>
      <c r="I9240" t="str">
        <f t="shared" si="3394"/>
        <v>WASHINGTON</v>
      </c>
      <c r="J9240" t="str">
        <f t="shared" si="3395"/>
        <v>DC</v>
      </c>
      <c r="K9240" t="str">
        <f>T("000000000000000000")</f>
        <v>000000000000000000</v>
      </c>
      <c r="L9240" t="str">
        <f>T("2027574060")</f>
        <v>2027574060</v>
      </c>
    </row>
    <row r="9241" spans="1:12" x14ac:dyDescent="0.35">
      <c r="A9241" t="str">
        <f t="shared" si="3396"/>
        <v>MO</v>
      </c>
      <c r="B9241" t="str">
        <f t="shared" si="3397"/>
        <v>DON/09F</v>
      </c>
      <c r="C9241" t="str">
        <f t="shared" si="3398"/>
        <v>1314 HARWOOD ST BOX 6</v>
      </c>
      <c r="D9241" t="str">
        <f t="shared" si="3392"/>
        <v>WASHINGTON</v>
      </c>
      <c r="E9241" t="str">
        <f t="shared" si="3393"/>
        <v>DC</v>
      </c>
      <c r="F9241" t="str">
        <f t="shared" si="3399"/>
        <v>203745150</v>
      </c>
      <c r="G9241" t="str">
        <f>T("1314 HARWOOD STREET BOX 6")</f>
        <v>1314 HARWOOD STREET BOX 6</v>
      </c>
      <c r="H9241" t="str">
        <f>T("")</f>
        <v/>
      </c>
      <c r="I9241" t="str">
        <f t="shared" si="3394"/>
        <v>WASHINGTON</v>
      </c>
      <c r="J9241" t="str">
        <f t="shared" si="3395"/>
        <v>DC</v>
      </c>
      <c r="K9241" t="str">
        <f>T("000000000000000000")</f>
        <v>000000000000000000</v>
      </c>
      <c r="L9241" t="str">
        <f>T("2027574262")</f>
        <v>2027574262</v>
      </c>
    </row>
    <row r="9242" spans="1:12" x14ac:dyDescent="0.35">
      <c r="A9242" t="str">
        <f t="shared" si="3396"/>
        <v>MO</v>
      </c>
      <c r="B9242" t="str">
        <f t="shared" si="3397"/>
        <v>DON/09F</v>
      </c>
      <c r="C9242" t="str">
        <f t="shared" si="3398"/>
        <v>1314 HARWOOD ST BOX 6</v>
      </c>
      <c r="D9242" t="str">
        <f t="shared" si="3392"/>
        <v>WASHINGTON</v>
      </c>
      <c r="E9242" t="str">
        <f t="shared" si="3393"/>
        <v>DC</v>
      </c>
      <c r="F9242" t="str">
        <f t="shared" si="3399"/>
        <v>203745150</v>
      </c>
      <c r="G9242" t="str">
        <f>T("1314 HARWOOD STREET BOX 6")</f>
        <v>1314 HARWOOD STREET BOX 6</v>
      </c>
      <c r="H9242" t="str">
        <f>T("")</f>
        <v/>
      </c>
      <c r="I9242" t="str">
        <f t="shared" si="3394"/>
        <v>WASHINGTON</v>
      </c>
      <c r="J9242" t="str">
        <f t="shared" si="3395"/>
        <v>DC</v>
      </c>
      <c r="K9242" t="str">
        <f>T("2027571949")</f>
        <v>2027571949</v>
      </c>
      <c r="L9242" t="str">
        <f>T("2027571685")</f>
        <v>2027571685</v>
      </c>
    </row>
    <row r="9243" spans="1:12" x14ac:dyDescent="0.35">
      <c r="A9243" t="str">
        <f t="shared" si="3396"/>
        <v>MO</v>
      </c>
      <c r="B9243" t="str">
        <f t="shared" si="3397"/>
        <v>DON/09F</v>
      </c>
      <c r="C9243" t="str">
        <f t="shared" si="3398"/>
        <v>1314 HARWOOD ST BOX 6</v>
      </c>
      <c r="D9243" t="str">
        <f t="shared" si="3392"/>
        <v>WASHINGTON</v>
      </c>
      <c r="E9243" t="str">
        <f t="shared" si="3393"/>
        <v>DC</v>
      </c>
      <c r="F9243" t="str">
        <f t="shared" si="3399"/>
        <v>203745150</v>
      </c>
      <c r="G9243" t="str">
        <f>T("1314 HARWOOD STREET BOX 6")</f>
        <v>1314 HARWOOD STREET BOX 6</v>
      </c>
      <c r="H9243" t="str">
        <f>T("")</f>
        <v/>
      </c>
      <c r="I9243" t="str">
        <f t="shared" si="3394"/>
        <v>WASHINGTON</v>
      </c>
      <c r="J9243" t="str">
        <f t="shared" si="3395"/>
        <v>DC</v>
      </c>
      <c r="K9243" t="str">
        <f>T("2027574048")</f>
        <v>2027574048</v>
      </c>
      <c r="L9243" t="str">
        <f>T("2027574438")</f>
        <v>2027574438</v>
      </c>
    </row>
    <row r="9244" spans="1:12" x14ac:dyDescent="0.35">
      <c r="A9244" t="str">
        <f t="shared" si="3396"/>
        <v>MO</v>
      </c>
      <c r="B9244" t="str">
        <f t="shared" si="3397"/>
        <v>DON/09F</v>
      </c>
      <c r="C9244" t="str">
        <f t="shared" si="3398"/>
        <v>1314 HARWOOD ST BOX 6</v>
      </c>
      <c r="D9244" t="str">
        <f t="shared" si="3392"/>
        <v>WASHINGTON</v>
      </c>
      <c r="E9244" t="str">
        <f t="shared" si="3393"/>
        <v>DC</v>
      </c>
      <c r="F9244" t="str">
        <f t="shared" si="3399"/>
        <v>203745150</v>
      </c>
      <c r="G9244" t="str">
        <f>T("DEPARTMENT OF THE NAVY")</f>
        <v>DEPARTMENT OF THE NAVY</v>
      </c>
      <c r="H9244" t="str">
        <f>T("1314 HARWOOD STREET BOX 6")</f>
        <v>1314 HARWOOD STREET BOX 6</v>
      </c>
      <c r="I9244" t="str">
        <f t="shared" si="3394"/>
        <v>WASHINGTON</v>
      </c>
      <c r="J9244" t="str">
        <f t="shared" si="3395"/>
        <v>DC</v>
      </c>
      <c r="K9244" t="str">
        <f>T("2027571949")</f>
        <v>2027571949</v>
      </c>
      <c r="L9244" t="str">
        <f>T("2027571929")</f>
        <v>2027571929</v>
      </c>
    </row>
    <row r="9245" spans="1:12" x14ac:dyDescent="0.35">
      <c r="A9245" t="str">
        <f t="shared" si="3396"/>
        <v>MO</v>
      </c>
      <c r="B9245" t="str">
        <f t="shared" si="3397"/>
        <v>DON/09F</v>
      </c>
      <c r="C9245" t="str">
        <f t="shared" si="3398"/>
        <v>1314 HARWOOD ST BOX 6</v>
      </c>
      <c r="D9245" t="str">
        <f t="shared" si="3392"/>
        <v>WASHINGTON</v>
      </c>
      <c r="E9245" t="str">
        <f t="shared" si="3393"/>
        <v>DC</v>
      </c>
      <c r="F9245" t="str">
        <f t="shared" si="3399"/>
        <v>203745150</v>
      </c>
      <c r="G9245" t="str">
        <f>T("DON/09F")</f>
        <v>DON/09F</v>
      </c>
      <c r="H9245" t="str">
        <f>T("1314 HARWOOD ST BOX 6")</f>
        <v>1314 HARWOOD ST BOX 6</v>
      </c>
      <c r="I9245" t="str">
        <f t="shared" si="3394"/>
        <v>WASHINGTON</v>
      </c>
      <c r="J9245" t="str">
        <f t="shared" si="3395"/>
        <v>DC</v>
      </c>
      <c r="K9245" t="str">
        <f>T("2027571949")</f>
        <v>2027571949</v>
      </c>
      <c r="L9245" t="str">
        <f>T("2027571923")</f>
        <v>2027571923</v>
      </c>
    </row>
    <row r="9246" spans="1:12" x14ac:dyDescent="0.35">
      <c r="A9246" t="str">
        <f t="shared" si="3396"/>
        <v>MO</v>
      </c>
      <c r="B9246" t="str">
        <f>T("DON/90F")</f>
        <v>DON/90F</v>
      </c>
      <c r="C9246" t="str">
        <f t="shared" si="3398"/>
        <v>1314 HARWOOD ST BOX 6</v>
      </c>
      <c r="D9246" t="str">
        <f t="shared" si="3392"/>
        <v>WASHINGTON</v>
      </c>
      <c r="E9246" t="str">
        <f t="shared" si="3393"/>
        <v>DC</v>
      </c>
      <c r="F9246" t="str">
        <f t="shared" si="3399"/>
        <v>203745150</v>
      </c>
      <c r="G9246" t="str">
        <f>T("1314 HARWOOD ST")</f>
        <v>1314 HARWOOD ST</v>
      </c>
      <c r="H9246" t="str">
        <f>T("BOX 6")</f>
        <v>BOX 6</v>
      </c>
      <c r="I9246" t="str">
        <f t="shared" si="3394"/>
        <v>WASHINGTON</v>
      </c>
      <c r="J9246" t="str">
        <f t="shared" si="3395"/>
        <v>DC</v>
      </c>
      <c r="K9246" t="str">
        <f>T("2027571949")</f>
        <v>2027571949</v>
      </c>
      <c r="L9246" t="str">
        <f>T("2027571433")</f>
        <v>2027571433</v>
      </c>
    </row>
    <row r="9247" spans="1:12" x14ac:dyDescent="0.35">
      <c r="A9247" t="str">
        <f t="shared" si="3396"/>
        <v>MO</v>
      </c>
      <c r="B9247" t="str">
        <f>T("DON/90F")</f>
        <v>DON/90F</v>
      </c>
      <c r="C9247" t="str">
        <f t="shared" si="3398"/>
        <v>1314 HARWOOD ST BOX 6</v>
      </c>
      <c r="D9247" t="str">
        <f t="shared" si="3392"/>
        <v>WASHINGTON</v>
      </c>
      <c r="E9247" t="str">
        <f t="shared" si="3393"/>
        <v>DC</v>
      </c>
      <c r="F9247" t="str">
        <f t="shared" si="3399"/>
        <v>203745150</v>
      </c>
      <c r="G9247" t="str">
        <f>T("1314 HARWOOD ST BOX 6")</f>
        <v>1314 HARWOOD ST BOX 6</v>
      </c>
      <c r="H9247" t="str">
        <f>T("")</f>
        <v/>
      </c>
      <c r="I9247" t="str">
        <f t="shared" si="3394"/>
        <v>WASHINGTON</v>
      </c>
      <c r="J9247" t="str">
        <f t="shared" si="3395"/>
        <v>DC</v>
      </c>
      <c r="K9247" t="str">
        <f>T("2027571949")</f>
        <v>2027571949</v>
      </c>
      <c r="L9247" t="str">
        <f>T("2027570700")</f>
        <v>2027570700</v>
      </c>
    </row>
    <row r="9248" spans="1:12" x14ac:dyDescent="0.35">
      <c r="A9248" t="str">
        <f t="shared" si="3396"/>
        <v>MO</v>
      </c>
      <c r="B9248" t="str">
        <f>T("DON/90F")</f>
        <v>DON/90F</v>
      </c>
      <c r="C9248" t="str">
        <f t="shared" si="3398"/>
        <v>1314 HARWOOD ST BOX 6</v>
      </c>
      <c r="D9248" t="str">
        <f t="shared" si="3392"/>
        <v>WASHINGTON</v>
      </c>
      <c r="E9248" t="str">
        <f t="shared" si="3393"/>
        <v>DC</v>
      </c>
      <c r="F9248" t="str">
        <f t="shared" si="3399"/>
        <v>203745150</v>
      </c>
      <c r="G9248" t="str">
        <f>T("1314 HARWOOD ST BOX 6")</f>
        <v>1314 HARWOOD ST BOX 6</v>
      </c>
      <c r="H9248" t="str">
        <f>T("")</f>
        <v/>
      </c>
      <c r="I9248" t="str">
        <f>T("WASHINGTON NAVY YARD")</f>
        <v>WASHINGTON NAVY YARD</v>
      </c>
      <c r="J9248" t="str">
        <f t="shared" si="3395"/>
        <v>DC</v>
      </c>
      <c r="K9248" t="str">
        <f>T("3012711592")</f>
        <v>3012711592</v>
      </c>
      <c r="L9248" t="str">
        <f>T("3012711437")</f>
        <v>3012711437</v>
      </c>
    </row>
    <row r="9249" spans="1:12" x14ac:dyDescent="0.35">
      <c r="A9249" t="str">
        <f t="shared" si="3396"/>
        <v>MO</v>
      </c>
      <c r="B9249" t="str">
        <f>T("DON/90F")</f>
        <v>DON/90F</v>
      </c>
      <c r="C9249" t="str">
        <f t="shared" si="3398"/>
        <v>1314 HARWOOD ST BOX 6</v>
      </c>
      <c r="D9249" t="str">
        <f t="shared" si="3392"/>
        <v>WASHINGTON</v>
      </c>
      <c r="E9249" t="str">
        <f t="shared" si="3393"/>
        <v>DC</v>
      </c>
      <c r="F9249" t="str">
        <f t="shared" si="3399"/>
        <v>203745150</v>
      </c>
      <c r="G9249" t="str">
        <f>T("DON/90F")</f>
        <v>DON/90F</v>
      </c>
      <c r="H9249" t="str">
        <f>T("1314 HARWOOD ST BOX 6")</f>
        <v>1314 HARWOOD ST BOX 6</v>
      </c>
      <c r="I9249" t="str">
        <f>T("WASHINGTON")</f>
        <v>WASHINGTON</v>
      </c>
      <c r="J9249" t="str">
        <f t="shared" si="3395"/>
        <v>DC</v>
      </c>
      <c r="K9249" t="str">
        <f>T("3012711438")</f>
        <v>3012711438</v>
      </c>
      <c r="L9249" t="str">
        <f>T("3012711434")</f>
        <v>3012711434</v>
      </c>
    </row>
    <row r="9250" spans="1:12" x14ac:dyDescent="0.35">
      <c r="A9250" t="str">
        <f t="shared" ref="A9250:A9270" si="3400">T("NELO")</f>
        <v>NELO</v>
      </c>
      <c r="B9250" t="str">
        <f>T("391 BROOKLEY AVE., SW STE W100")</f>
        <v>391 BROOKLEY AVE., SW STE W100</v>
      </c>
      <c r="C9250" t="str">
        <f>T("")</f>
        <v/>
      </c>
      <c r="D9250" t="str">
        <f t="shared" si="3392"/>
        <v>WASHINGTON</v>
      </c>
      <c r="E9250" t="str">
        <f t="shared" si="3393"/>
        <v>DC</v>
      </c>
      <c r="F9250" t="str">
        <f t="shared" ref="F9250:F9256" si="3401">T("203735123")</f>
        <v>203735123</v>
      </c>
      <c r="G9250" t="str">
        <f>T("2008 STUMP NECK RD")</f>
        <v>2008 STUMP NECK RD</v>
      </c>
      <c r="H9250" t="str">
        <f>T("")</f>
        <v/>
      </c>
      <c r="I9250" t="str">
        <f>T("INDIAN HEAD")</f>
        <v>INDIAN HEAD</v>
      </c>
      <c r="J9250" t="str">
        <f>T("MD")</f>
        <v>MD</v>
      </c>
      <c r="K9250" t="str">
        <f>T("000000000000000000")</f>
        <v>000000000000000000</v>
      </c>
      <c r="L9250" t="str">
        <f>T("3017445183")</f>
        <v>3017445183</v>
      </c>
    </row>
    <row r="9251" spans="1:12" x14ac:dyDescent="0.35">
      <c r="A9251" t="str">
        <f t="shared" si="3400"/>
        <v>NELO</v>
      </c>
      <c r="B9251" t="str">
        <f>T("391 BROOKLEY AVE., SW STE W100")</f>
        <v>391 BROOKLEY AVE., SW STE W100</v>
      </c>
      <c r="C9251" t="str">
        <f>T("")</f>
        <v/>
      </c>
      <c r="D9251" t="str">
        <f t="shared" si="3392"/>
        <v>WASHINGTON</v>
      </c>
      <c r="E9251" t="str">
        <f t="shared" si="3393"/>
        <v>DC</v>
      </c>
      <c r="F9251" t="str">
        <f t="shared" si="3401"/>
        <v>203735123</v>
      </c>
      <c r="G9251" t="str">
        <f>T("391 BROOKLEY AVE., SW STE W100")</f>
        <v>391 BROOKLEY AVE., SW STE W100</v>
      </c>
      <c r="H9251" t="str">
        <f>T("")</f>
        <v/>
      </c>
      <c r="I9251" t="str">
        <f>T("WASHINGTON")</f>
        <v>WASHINGTON</v>
      </c>
      <c r="J9251" t="str">
        <f t="shared" ref="J9251:J9256" si="3402">T("DC")</f>
        <v>DC</v>
      </c>
      <c r="K9251" t="str">
        <f>T("3017445357")</f>
        <v>3017445357</v>
      </c>
      <c r="L9251" t="str">
        <f>T("3017445131")</f>
        <v>3017445131</v>
      </c>
    </row>
    <row r="9252" spans="1:12" x14ac:dyDescent="0.35">
      <c r="A9252" t="str">
        <f t="shared" si="3400"/>
        <v>NELO</v>
      </c>
      <c r="B9252" t="str">
        <f>T("NELO 391 BROOKLEY AVE S W STE W100")</f>
        <v>NELO 391 BROOKLEY AVE S W STE W100</v>
      </c>
      <c r="C9252" t="str">
        <f>T("JBAB")</f>
        <v>JBAB</v>
      </c>
      <c r="D9252" t="str">
        <f t="shared" si="3392"/>
        <v>WASHINGTON</v>
      </c>
      <c r="E9252" t="str">
        <f t="shared" si="3393"/>
        <v>DC</v>
      </c>
      <c r="F9252" t="str">
        <f t="shared" si="3401"/>
        <v>203735123</v>
      </c>
      <c r="G9252" t="str">
        <f>T("391 BROOKLEY AVE SW STE W100")</f>
        <v>391 BROOKLEY AVE SW STE W100</v>
      </c>
      <c r="H9252" t="str">
        <f>T("JOINT BASE ANACOSTIA BOLLING DC 203")</f>
        <v>JOINT BASE ANACOSTIA BOLLING DC 203</v>
      </c>
      <c r="I9252" t="str">
        <f>T("WASHINGTON")</f>
        <v>WASHINGTON</v>
      </c>
      <c r="J9252" t="str">
        <f t="shared" si="3402"/>
        <v>DC</v>
      </c>
      <c r="K9252" t="str">
        <f>T("2022841550")</f>
        <v>2022841550</v>
      </c>
      <c r="L9252" t="str">
        <f>T("2022841547")</f>
        <v>2022841547</v>
      </c>
    </row>
    <row r="9253" spans="1:12" x14ac:dyDescent="0.35">
      <c r="A9253" t="str">
        <f t="shared" si="3400"/>
        <v>NELO</v>
      </c>
      <c r="B9253" t="str">
        <f>T("NELO 391 BROOKLEY AVE S W STE W100")</f>
        <v>NELO 391 BROOKLEY AVE S W STE W100</v>
      </c>
      <c r="C9253" t="str">
        <f>T("JBAB")</f>
        <v>JBAB</v>
      </c>
      <c r="D9253" t="str">
        <f t="shared" si="3392"/>
        <v>WASHINGTON</v>
      </c>
      <c r="E9253" t="str">
        <f t="shared" si="3393"/>
        <v>DC</v>
      </c>
      <c r="F9253" t="str">
        <f t="shared" si="3401"/>
        <v>203735123</v>
      </c>
      <c r="G9253" t="str">
        <f>T("391 BROOKLEY AVE SW STE W100")</f>
        <v>391 BROOKLEY AVE SW STE W100</v>
      </c>
      <c r="H9253" t="str">
        <f>T("RM W110-09")</f>
        <v>RM W110-09</v>
      </c>
      <c r="I9253" t="str">
        <f>T("JBAB")</f>
        <v>JBAB</v>
      </c>
      <c r="J9253" t="str">
        <f t="shared" si="3402"/>
        <v>DC</v>
      </c>
      <c r="K9253" t="str">
        <f>T("7036994515")</f>
        <v>7036994515</v>
      </c>
      <c r="L9253" t="str">
        <f>T("7036994560")</f>
        <v>7036994560</v>
      </c>
    </row>
    <row r="9254" spans="1:12" x14ac:dyDescent="0.35">
      <c r="A9254" t="str">
        <f t="shared" si="3400"/>
        <v>NELO</v>
      </c>
      <c r="B9254" t="str">
        <f>T("NELO 391 BROOKLEY AVE S W STE W100")</f>
        <v>NELO 391 BROOKLEY AVE S W STE W100</v>
      </c>
      <c r="C9254" t="str">
        <f>T("JBAB")</f>
        <v>JBAB</v>
      </c>
      <c r="D9254" t="str">
        <f t="shared" si="3392"/>
        <v>WASHINGTON</v>
      </c>
      <c r="E9254" t="str">
        <f t="shared" si="3393"/>
        <v>DC</v>
      </c>
      <c r="F9254" t="str">
        <f t="shared" si="3401"/>
        <v>203735123</v>
      </c>
      <c r="G9254" t="str">
        <f>T("391 BROOKLEY AVENUE SW")</f>
        <v>391 BROOKLEY AVENUE SW</v>
      </c>
      <c r="H9254" t="str">
        <f>T("SUITE W100")</f>
        <v>SUITE W100</v>
      </c>
      <c r="I9254" t="str">
        <f>T("WASHINGTON")</f>
        <v>WASHINGTON</v>
      </c>
      <c r="J9254" t="str">
        <f t="shared" si="3402"/>
        <v>DC</v>
      </c>
      <c r="K9254" t="str">
        <f>T("2022841550")</f>
        <v>2022841550</v>
      </c>
      <c r="L9254" t="str">
        <f>T("2022841523")</f>
        <v>2022841523</v>
      </c>
    </row>
    <row r="9255" spans="1:12" x14ac:dyDescent="0.35">
      <c r="A9255" t="str">
        <f t="shared" si="3400"/>
        <v>NELO</v>
      </c>
      <c r="B9255" t="str">
        <f>T("NELO 391 BROOKLEY AVE S W STE W100")</f>
        <v>NELO 391 BROOKLEY AVE S W STE W100</v>
      </c>
      <c r="C9255" t="str">
        <f>T("JBAB")</f>
        <v>JBAB</v>
      </c>
      <c r="D9255" t="str">
        <f t="shared" si="3392"/>
        <v>WASHINGTON</v>
      </c>
      <c r="E9255" t="str">
        <f t="shared" si="3393"/>
        <v>DC</v>
      </c>
      <c r="F9255" t="str">
        <f t="shared" si="3401"/>
        <v>203735123</v>
      </c>
      <c r="G9255" t="str">
        <f>T("NELO 391 BROOKLEY AVE S W STE W100")</f>
        <v>NELO 391 BROOKLEY AVE S W STE W100</v>
      </c>
      <c r="H9255" t="str">
        <f>T("JBAB")</f>
        <v>JBAB</v>
      </c>
      <c r="I9255" t="str">
        <f>T("WASHINGTON")</f>
        <v>WASHINGTON</v>
      </c>
      <c r="J9255" t="str">
        <f t="shared" si="3402"/>
        <v>DC</v>
      </c>
      <c r="K9255" t="str">
        <f>T("")</f>
        <v/>
      </c>
      <c r="L9255" t="str">
        <f>T("2022841548")</f>
        <v>2022841548</v>
      </c>
    </row>
    <row r="9256" spans="1:12" x14ac:dyDescent="0.35">
      <c r="A9256" t="str">
        <f t="shared" si="3400"/>
        <v>NELO</v>
      </c>
      <c r="B9256" t="str">
        <f>T("NELO 391 BROOKLEY AVE S W STE W100")</f>
        <v>NELO 391 BROOKLEY AVE S W STE W100</v>
      </c>
      <c r="C9256" t="str">
        <f>T("JBAB")</f>
        <v>JBAB</v>
      </c>
      <c r="D9256" t="str">
        <f t="shared" si="3392"/>
        <v>WASHINGTON</v>
      </c>
      <c r="E9256" t="str">
        <f t="shared" si="3393"/>
        <v>DC</v>
      </c>
      <c r="F9256" t="str">
        <f t="shared" si="3401"/>
        <v>203735123</v>
      </c>
      <c r="G9256" t="str">
        <f>T("NELO 391 BROOKLEY AVE SW STE W100")</f>
        <v>NELO 391 BROOKLEY AVE SW STE W100</v>
      </c>
      <c r="H9256" t="str">
        <f>T("RM W110E")</f>
        <v>RM W110E</v>
      </c>
      <c r="I9256" t="str">
        <f>T("JBAB")</f>
        <v>JBAB</v>
      </c>
      <c r="J9256" t="str">
        <f t="shared" si="3402"/>
        <v>DC</v>
      </c>
      <c r="K9256" t="str">
        <f>T("2022841550")</f>
        <v>2022841550</v>
      </c>
      <c r="L9256" t="str">
        <f>T("2022841522")</f>
        <v>2022841522</v>
      </c>
    </row>
    <row r="9257" spans="1:12" x14ac:dyDescent="0.35">
      <c r="A9257" t="str">
        <f t="shared" si="3400"/>
        <v>NELO</v>
      </c>
      <c r="B9257" t="str">
        <f>T("PO BOX 15279")</f>
        <v>PO BOX 15279</v>
      </c>
      <c r="C9257" t="str">
        <f t="shared" ref="C9257:C9270" si="3403">T("")</f>
        <v/>
      </c>
      <c r="D9257" t="str">
        <f>T("NORFOLK")</f>
        <v>NORFOLK</v>
      </c>
      <c r="E9257" t="str">
        <f>T("VA")</f>
        <v>VA</v>
      </c>
      <c r="F9257" t="str">
        <f>T("235110279")</f>
        <v>235110279</v>
      </c>
      <c r="G9257" t="str">
        <f>T("NELO DET")</f>
        <v>NELO DET</v>
      </c>
      <c r="H9257" t="str">
        <f>T("DRAWER 15279")</f>
        <v>DRAWER 15279</v>
      </c>
      <c r="I9257" t="str">
        <f>T("NORFOLK")</f>
        <v>NORFOLK</v>
      </c>
      <c r="J9257" t="str">
        <f>T("VA")</f>
        <v>VA</v>
      </c>
      <c r="K9257" t="str">
        <f>T("000000000000000000")</f>
        <v>000000000000000000</v>
      </c>
      <c r="L9257" t="str">
        <f>T("7574441473")</f>
        <v>7574441473</v>
      </c>
    </row>
    <row r="9258" spans="1:12" x14ac:dyDescent="0.35">
      <c r="A9258" t="str">
        <f t="shared" si="3400"/>
        <v>NELO</v>
      </c>
      <c r="B9258" t="str">
        <f>T("PO BOX 15279")</f>
        <v>PO BOX 15279</v>
      </c>
      <c r="C9258" t="str">
        <f t="shared" si="3403"/>
        <v/>
      </c>
      <c r="D9258" t="str">
        <f>T("NORFOLK")</f>
        <v>NORFOLK</v>
      </c>
      <c r="E9258" t="str">
        <f>T("VA")</f>
        <v>VA</v>
      </c>
      <c r="F9258" t="str">
        <f>T("235110279")</f>
        <v>235110279</v>
      </c>
      <c r="G9258" t="str">
        <f>T("NELODET NORFOLK")</f>
        <v>NELODET NORFOLK</v>
      </c>
      <c r="H9258" t="str">
        <f>T("P O BOX 15279")</f>
        <v>P O BOX 15279</v>
      </c>
      <c r="I9258" t="str">
        <f>T("NORFOLK")</f>
        <v>NORFOLK</v>
      </c>
      <c r="J9258" t="str">
        <f>T("VA")</f>
        <v>VA</v>
      </c>
      <c r="K9258" t="str">
        <f>T("7574441474233")</f>
        <v>7574441474233</v>
      </c>
      <c r="L9258" t="str">
        <f>T("7574441474")</f>
        <v>7574441474</v>
      </c>
    </row>
    <row r="9259" spans="1:12" x14ac:dyDescent="0.35">
      <c r="A9259" t="str">
        <f t="shared" si="3400"/>
        <v>NELO</v>
      </c>
      <c r="B9259" t="str">
        <f>T("PO BOX 15279")</f>
        <v>PO BOX 15279</v>
      </c>
      <c r="C9259" t="str">
        <f t="shared" si="3403"/>
        <v/>
      </c>
      <c r="D9259" t="str">
        <f>T("NORFOLK")</f>
        <v>NORFOLK</v>
      </c>
      <c r="E9259" t="str">
        <f>T("VA")</f>
        <v>VA</v>
      </c>
      <c r="F9259" t="str">
        <f>T("235110279")</f>
        <v>235110279</v>
      </c>
      <c r="G9259" t="str">
        <f>T("P O BOX 15279")</f>
        <v>P O BOX 15279</v>
      </c>
      <c r="H9259" t="str">
        <f t="shared" ref="H9259:H9267" si="3404">T("")</f>
        <v/>
      </c>
      <c r="I9259" t="str">
        <f>T("NORFOLK")</f>
        <v>NORFOLK</v>
      </c>
      <c r="J9259" t="str">
        <f>T("VA")</f>
        <v>VA</v>
      </c>
      <c r="K9259" t="str">
        <f>T("7574451180")</f>
        <v>7574451180</v>
      </c>
      <c r="L9259" t="str">
        <f>T("1111111111")</f>
        <v>1111111111</v>
      </c>
    </row>
    <row r="9260" spans="1:12" x14ac:dyDescent="0.35">
      <c r="A9260" t="str">
        <f t="shared" si="3400"/>
        <v>NELO</v>
      </c>
      <c r="B9260" t="str">
        <f>T("PO BOX 15279")</f>
        <v>PO BOX 15279</v>
      </c>
      <c r="C9260" t="str">
        <f t="shared" si="3403"/>
        <v/>
      </c>
      <c r="D9260" t="str">
        <f>T("NORFOLK")</f>
        <v>NORFOLK</v>
      </c>
      <c r="E9260" t="str">
        <f>T("VA")</f>
        <v>VA</v>
      </c>
      <c r="F9260" t="str">
        <f>T("235110279")</f>
        <v>235110279</v>
      </c>
      <c r="G9260" t="str">
        <f>T("PO BOX 15279")</f>
        <v>PO BOX 15279</v>
      </c>
      <c r="H9260" t="str">
        <f t="shared" si="3404"/>
        <v/>
      </c>
      <c r="I9260" t="str">
        <f>T("NORFOLK")</f>
        <v>NORFOLK</v>
      </c>
      <c r="J9260" t="str">
        <f>T("VA")</f>
        <v>VA</v>
      </c>
      <c r="K9260" t="str">
        <f>T("000000000000000000")</f>
        <v>000000000000000000</v>
      </c>
      <c r="L9260" t="str">
        <f>T("7574450913")</f>
        <v>7574450913</v>
      </c>
    </row>
    <row r="9261" spans="1:12" x14ac:dyDescent="0.35">
      <c r="A9261" t="str">
        <f t="shared" si="3400"/>
        <v>NELO</v>
      </c>
      <c r="B9261" t="str">
        <f>T("PO BOX 15279")</f>
        <v>PO BOX 15279</v>
      </c>
      <c r="C9261" t="str">
        <f t="shared" si="3403"/>
        <v/>
      </c>
      <c r="D9261" t="str">
        <f>T("NORFOLK")</f>
        <v>NORFOLK</v>
      </c>
      <c r="E9261" t="str">
        <f>T("VA")</f>
        <v>VA</v>
      </c>
      <c r="F9261" t="str">
        <f>T("235110279")</f>
        <v>235110279</v>
      </c>
      <c r="G9261" t="str">
        <f>T("PO BOX 15279")</f>
        <v>PO BOX 15279</v>
      </c>
      <c r="H9261" t="str">
        <f t="shared" si="3404"/>
        <v/>
      </c>
      <c r="I9261" t="str">
        <f>T("NORFOLK")</f>
        <v>NORFOLK</v>
      </c>
      <c r="J9261" t="str">
        <f>T("VA")</f>
        <v>VA</v>
      </c>
      <c r="K9261" t="str">
        <f>T("7574451180")</f>
        <v>7574451180</v>
      </c>
      <c r="L9261" t="str">
        <f>T("7574441474")</f>
        <v>7574441474</v>
      </c>
    </row>
    <row r="9262" spans="1:12" x14ac:dyDescent="0.35">
      <c r="A9262" t="str">
        <f t="shared" si="3400"/>
        <v>NELO</v>
      </c>
      <c r="B9262" t="str">
        <f t="shared" ref="B9262:B9268" si="3405">T("2555 SPORTS ARENA BLVD")</f>
        <v>2555 SPORTS ARENA BLVD</v>
      </c>
      <c r="C9262" t="str">
        <f t="shared" si="3403"/>
        <v/>
      </c>
      <c r="D9262" t="str">
        <f t="shared" ref="D9262:D9268" si="3406">T("SAN DIEGO")</f>
        <v>SAN DIEGO</v>
      </c>
      <c r="E9262" t="str">
        <f t="shared" ref="E9262:E9270" si="3407">T("CA")</f>
        <v>CA</v>
      </c>
      <c r="F9262" t="str">
        <f t="shared" ref="F9262:F9268" si="3408">T("921103283")</f>
        <v>921103283</v>
      </c>
      <c r="G9262" t="str">
        <f>T("2555 SPORTS ARENA BLVD")</f>
        <v>2555 SPORTS ARENA BLVD</v>
      </c>
      <c r="H9262" t="str">
        <f t="shared" si="3404"/>
        <v/>
      </c>
      <c r="I9262" t="str">
        <f t="shared" ref="I9262:I9268" si="3409">T("SAN DIEGO")</f>
        <v>SAN DIEGO</v>
      </c>
      <c r="J9262" t="str">
        <f t="shared" ref="J9262:J9270" si="3410">T("CA")</f>
        <v>CA</v>
      </c>
      <c r="K9262" t="str">
        <f>T("000000000000000000")</f>
        <v>000000000000000000</v>
      </c>
      <c r="L9262" t="str">
        <f>T("6192211421")</f>
        <v>6192211421</v>
      </c>
    </row>
    <row r="9263" spans="1:12" x14ac:dyDescent="0.35">
      <c r="A9263" t="str">
        <f t="shared" si="3400"/>
        <v>NELO</v>
      </c>
      <c r="B9263" t="str">
        <f t="shared" si="3405"/>
        <v>2555 SPORTS ARENA BLVD</v>
      </c>
      <c r="C9263" t="str">
        <f t="shared" si="3403"/>
        <v/>
      </c>
      <c r="D9263" t="str">
        <f t="shared" si="3406"/>
        <v>SAN DIEGO</v>
      </c>
      <c r="E9263" t="str">
        <f t="shared" si="3407"/>
        <v>CA</v>
      </c>
      <c r="F9263" t="str">
        <f t="shared" si="3408"/>
        <v>921103283</v>
      </c>
      <c r="G9263" t="str">
        <f>T("2555 SPORTS ARENA BLVD")</f>
        <v>2555 SPORTS ARENA BLVD</v>
      </c>
      <c r="H9263" t="str">
        <f t="shared" si="3404"/>
        <v/>
      </c>
      <c r="I9263" t="str">
        <f t="shared" si="3409"/>
        <v>SAN DIEGO</v>
      </c>
      <c r="J9263" t="str">
        <f t="shared" si="3410"/>
        <v>CA</v>
      </c>
      <c r="K9263" t="str">
        <f>T("000000000000000000")</f>
        <v>000000000000000000</v>
      </c>
      <c r="L9263" t="str">
        <f>T("6192211428")</f>
        <v>6192211428</v>
      </c>
    </row>
    <row r="9264" spans="1:12" x14ac:dyDescent="0.35">
      <c r="A9264" t="str">
        <f t="shared" si="3400"/>
        <v>NELO</v>
      </c>
      <c r="B9264" t="str">
        <f t="shared" si="3405"/>
        <v>2555 SPORTS ARENA BLVD</v>
      </c>
      <c r="C9264" t="str">
        <f t="shared" si="3403"/>
        <v/>
      </c>
      <c r="D9264" t="str">
        <f t="shared" si="3406"/>
        <v>SAN DIEGO</v>
      </c>
      <c r="E9264" t="str">
        <f t="shared" si="3407"/>
        <v>CA</v>
      </c>
      <c r="F9264" t="str">
        <f t="shared" si="3408"/>
        <v>921103283</v>
      </c>
      <c r="G9264" t="str">
        <f>T("2555 SPORTS ARENA BLVD")</f>
        <v>2555 SPORTS ARENA BLVD</v>
      </c>
      <c r="H9264" t="str">
        <f t="shared" si="3404"/>
        <v/>
      </c>
      <c r="I9264" t="str">
        <f t="shared" si="3409"/>
        <v>SAN DIEGO</v>
      </c>
      <c r="J9264" t="str">
        <f t="shared" si="3410"/>
        <v>CA</v>
      </c>
      <c r="K9264" t="str">
        <f>T("000000000000000000")</f>
        <v>000000000000000000</v>
      </c>
      <c r="L9264" t="str">
        <f>T("6192211450")</f>
        <v>6192211450</v>
      </c>
    </row>
    <row r="9265" spans="1:12" x14ac:dyDescent="0.35">
      <c r="A9265" t="str">
        <f t="shared" si="3400"/>
        <v>NELO</v>
      </c>
      <c r="B9265" t="str">
        <f t="shared" si="3405"/>
        <v>2555 SPORTS ARENA BLVD</v>
      </c>
      <c r="C9265" t="str">
        <f t="shared" si="3403"/>
        <v/>
      </c>
      <c r="D9265" t="str">
        <f t="shared" si="3406"/>
        <v>SAN DIEGO</v>
      </c>
      <c r="E9265" t="str">
        <f t="shared" si="3407"/>
        <v>CA</v>
      </c>
      <c r="F9265" t="str">
        <f t="shared" si="3408"/>
        <v>921103283</v>
      </c>
      <c r="G9265" t="str">
        <f>T("2555 SPORTS ARENA BLVD")</f>
        <v>2555 SPORTS ARENA BLVD</v>
      </c>
      <c r="H9265" t="str">
        <f t="shared" si="3404"/>
        <v/>
      </c>
      <c r="I9265" t="str">
        <f t="shared" si="3409"/>
        <v>SAN DIEGO</v>
      </c>
      <c r="J9265" t="str">
        <f t="shared" si="3410"/>
        <v>CA</v>
      </c>
      <c r="K9265" t="str">
        <f>T("6192211498")</f>
        <v>6192211498</v>
      </c>
      <c r="L9265" t="str">
        <f>T("6192211425")</f>
        <v>6192211425</v>
      </c>
    </row>
    <row r="9266" spans="1:12" x14ac:dyDescent="0.35">
      <c r="A9266" t="str">
        <f t="shared" si="3400"/>
        <v>NELO</v>
      </c>
      <c r="B9266" t="str">
        <f t="shared" si="3405"/>
        <v>2555 SPORTS ARENA BLVD</v>
      </c>
      <c r="C9266" t="str">
        <f t="shared" si="3403"/>
        <v/>
      </c>
      <c r="D9266" t="str">
        <f t="shared" si="3406"/>
        <v>SAN DIEGO</v>
      </c>
      <c r="E9266" t="str">
        <f t="shared" si="3407"/>
        <v>CA</v>
      </c>
      <c r="F9266" t="str">
        <f t="shared" si="3408"/>
        <v>921103283</v>
      </c>
      <c r="G9266" t="str">
        <f>T("2555 SPORTS ARENA BLVD")</f>
        <v>2555 SPORTS ARENA BLVD</v>
      </c>
      <c r="H9266" t="str">
        <f t="shared" si="3404"/>
        <v/>
      </c>
      <c r="I9266" t="str">
        <f t="shared" si="3409"/>
        <v>SAN DIEGO</v>
      </c>
      <c r="J9266" t="str">
        <f t="shared" si="3410"/>
        <v>CA</v>
      </c>
      <c r="K9266" t="str">
        <f>T("6192211498")</f>
        <v>6192211498</v>
      </c>
      <c r="L9266" t="str">
        <f>T("6192211456")</f>
        <v>6192211456</v>
      </c>
    </row>
    <row r="9267" spans="1:12" x14ac:dyDescent="0.35">
      <c r="A9267" t="str">
        <f t="shared" si="3400"/>
        <v>NELO</v>
      </c>
      <c r="B9267" t="str">
        <f t="shared" si="3405"/>
        <v>2555 SPORTS ARENA BLVD</v>
      </c>
      <c r="C9267" t="str">
        <f t="shared" si="3403"/>
        <v/>
      </c>
      <c r="D9267" t="str">
        <f t="shared" si="3406"/>
        <v>SAN DIEGO</v>
      </c>
      <c r="E9267" t="str">
        <f t="shared" si="3407"/>
        <v>CA</v>
      </c>
      <c r="F9267" t="str">
        <f t="shared" si="3408"/>
        <v>921103283</v>
      </c>
      <c r="G9267" t="str">
        <f>T("2555 SPORTS ARENA BOULEVARD")</f>
        <v>2555 SPORTS ARENA BOULEVARD</v>
      </c>
      <c r="H9267" t="str">
        <f t="shared" si="3404"/>
        <v/>
      </c>
      <c r="I9267" t="str">
        <f t="shared" si="3409"/>
        <v>SAN DIEGO</v>
      </c>
      <c r="J9267" t="str">
        <f t="shared" si="3410"/>
        <v>CA</v>
      </c>
      <c r="K9267" t="str">
        <f>T("6192211435")</f>
        <v>6192211435</v>
      </c>
      <c r="L9267" t="str">
        <f>T("6192211432")</f>
        <v>6192211432</v>
      </c>
    </row>
    <row r="9268" spans="1:12" x14ac:dyDescent="0.35">
      <c r="A9268" t="str">
        <f t="shared" si="3400"/>
        <v>NELO</v>
      </c>
      <c r="B9268" t="str">
        <f t="shared" si="3405"/>
        <v>2555 SPORTS ARENA BLVD</v>
      </c>
      <c r="C9268" t="str">
        <f t="shared" si="3403"/>
        <v/>
      </c>
      <c r="D9268" t="str">
        <f t="shared" si="3406"/>
        <v>SAN DIEGO</v>
      </c>
      <c r="E9268" t="str">
        <f t="shared" si="3407"/>
        <v>CA</v>
      </c>
      <c r="F9268" t="str">
        <f t="shared" si="3408"/>
        <v>921103283</v>
      </c>
      <c r="G9268" t="str">
        <f>T("NRPEO CO/CHARMAINE JOWORSKI")</f>
        <v>NRPEO CO/CHARMAINE JOWORSKI</v>
      </c>
      <c r="H9268" t="str">
        <f>T("2555 SPORTS ARENA BLVD")</f>
        <v>2555 SPORTS ARENA BLVD</v>
      </c>
      <c r="I9268" t="str">
        <f t="shared" si="3409"/>
        <v>SAN DIEGO</v>
      </c>
      <c r="J9268" t="str">
        <f t="shared" si="3410"/>
        <v>CA</v>
      </c>
      <c r="K9268" t="str">
        <f>T("6192211498")</f>
        <v>6192211498</v>
      </c>
      <c r="L9268" t="str">
        <f>T("6192211491")</f>
        <v>6192211491</v>
      </c>
    </row>
    <row r="9269" spans="1:12" x14ac:dyDescent="0.35">
      <c r="A9269" t="str">
        <f t="shared" si="3400"/>
        <v>NELO</v>
      </c>
      <c r="B9269" t="str">
        <f>T("PO BOX 489")</f>
        <v>PO BOX 489</v>
      </c>
      <c r="C9269" t="str">
        <f t="shared" si="3403"/>
        <v/>
      </c>
      <c r="D9269" t="str">
        <f>T("PORT HUENEME")</f>
        <v>PORT HUENEME</v>
      </c>
      <c r="E9269" t="str">
        <f t="shared" si="3407"/>
        <v>CA</v>
      </c>
      <c r="F9269" t="str">
        <f>T("930440489")</f>
        <v>930440489</v>
      </c>
      <c r="G9269" t="str">
        <f>T("4833 STETHEM ROAD")</f>
        <v>4833 STETHEM ROAD</v>
      </c>
      <c r="H9269" t="str">
        <f>T("")</f>
        <v/>
      </c>
      <c r="I9269" t="str">
        <f>T("PORT HUENEME")</f>
        <v>PORT HUENEME</v>
      </c>
      <c r="J9269" t="str">
        <f t="shared" si="3410"/>
        <v>CA</v>
      </c>
      <c r="K9269" t="str">
        <f>T("000000000000000000")</f>
        <v>000000000000000000</v>
      </c>
      <c r="L9269" t="str">
        <f>T("8059845000")</f>
        <v>8059845000</v>
      </c>
    </row>
    <row r="9270" spans="1:12" x14ac:dyDescent="0.35">
      <c r="A9270" t="str">
        <f t="shared" si="3400"/>
        <v>NELO</v>
      </c>
      <c r="B9270" t="str">
        <f>T("PO BOX 489")</f>
        <v>PO BOX 489</v>
      </c>
      <c r="C9270" t="str">
        <f t="shared" si="3403"/>
        <v/>
      </c>
      <c r="D9270" t="str">
        <f>T("PORT HUENEME")</f>
        <v>PORT HUENEME</v>
      </c>
      <c r="E9270" t="str">
        <f t="shared" si="3407"/>
        <v>CA</v>
      </c>
      <c r="F9270" t="str">
        <f>T("930440489")</f>
        <v>930440489</v>
      </c>
      <c r="G9270" t="str">
        <f>T("PO BOX 489")</f>
        <v>PO BOX 489</v>
      </c>
      <c r="H9270" t="str">
        <f>T("")</f>
        <v/>
      </c>
      <c r="I9270" t="str">
        <f>T("PORT HUENEME")</f>
        <v>PORT HUENEME</v>
      </c>
      <c r="J9270" t="str">
        <f t="shared" si="3410"/>
        <v>CA</v>
      </c>
      <c r="K9270" t="str">
        <f>T("8059824835")</f>
        <v>8059824835</v>
      </c>
      <c r="L9270" t="str">
        <f>T("1111111111")</f>
        <v>1111111111</v>
      </c>
    </row>
    <row r="9271" spans="1:12" x14ac:dyDescent="0.35">
      <c r="A9271" t="str">
        <f t="shared" ref="A9271:A9284" si="3411">T("DEPT OF NAVY")</f>
        <v>DEPT OF NAVY</v>
      </c>
      <c r="B9271" t="str">
        <f>T("1339 PATTERSON AVE")</f>
        <v>1339 PATTERSON AVE</v>
      </c>
      <c r="C9271" t="str">
        <f>T("SE STOP 7026")</f>
        <v>SE STOP 7026</v>
      </c>
      <c r="D9271" t="str">
        <f>T("WASHINGTON")</f>
        <v>WASHINGTON</v>
      </c>
      <c r="E9271" t="str">
        <f>T("DC")</f>
        <v>DC</v>
      </c>
      <c r="F9271" t="str">
        <f>T("203768800")</f>
        <v>203768800</v>
      </c>
      <c r="G9271" t="str">
        <f>T("1339 PATTERSON AVE")</f>
        <v>1339 PATTERSON AVE</v>
      </c>
      <c r="H9271" t="str">
        <f>T("SE STOP 7026")</f>
        <v>SE STOP 7026</v>
      </c>
      <c r="I9271" t="str">
        <f>T("WASHINGTON")</f>
        <v>WASHINGTON</v>
      </c>
      <c r="J9271" t="str">
        <f>T("DC")</f>
        <v>DC</v>
      </c>
      <c r="K9271" t="str">
        <f>T("2027817380")</f>
        <v>2027817380</v>
      </c>
      <c r="L9271" t="str">
        <f>T("2027817435")</f>
        <v>2027817435</v>
      </c>
    </row>
    <row r="9272" spans="1:12" x14ac:dyDescent="0.35">
      <c r="A9272" t="str">
        <f t="shared" si="3411"/>
        <v>DEPT OF NAVY</v>
      </c>
      <c r="B9272" t="str">
        <f>T("1339 PATTERSON AVE")</f>
        <v>1339 PATTERSON AVE</v>
      </c>
      <c r="C9272" t="str">
        <f>T("SE STOP 7026")</f>
        <v>SE STOP 7026</v>
      </c>
      <c r="D9272" t="str">
        <f>T("WASHINGTON")</f>
        <v>WASHINGTON</v>
      </c>
      <c r="E9272" t="str">
        <f>T("DC")</f>
        <v>DC</v>
      </c>
      <c r="F9272" t="str">
        <f>T("203768800")</f>
        <v>203768800</v>
      </c>
      <c r="G9272" t="str">
        <f>T("391 BROOKLEY AVENUE SW")</f>
        <v>391 BROOKLEY AVENUE SW</v>
      </c>
      <c r="H9272" t="str">
        <f>T("STE W100")</f>
        <v>STE W100</v>
      </c>
      <c r="I9272" t="str">
        <f>T("JBAB")</f>
        <v>JBAB</v>
      </c>
      <c r="J9272" t="str">
        <f>T("DC")</f>
        <v>DC</v>
      </c>
      <c r="K9272" t="str">
        <f>T("2027817380")</f>
        <v>2027817380</v>
      </c>
      <c r="L9272" t="str">
        <f>T("2027817342")</f>
        <v>2027817342</v>
      </c>
    </row>
    <row r="9273" spans="1:12" x14ac:dyDescent="0.35">
      <c r="A9273" t="str">
        <f t="shared" si="3411"/>
        <v>DEPT OF NAVY</v>
      </c>
      <c r="B9273" t="str">
        <f>T("1339 PATTERSON AVE")</f>
        <v>1339 PATTERSON AVE</v>
      </c>
      <c r="C9273" t="str">
        <f>T("SE STOP 7026")</f>
        <v>SE STOP 7026</v>
      </c>
      <c r="D9273" t="str">
        <f>T("WASHINGTON")</f>
        <v>WASHINGTON</v>
      </c>
      <c r="E9273" t="str">
        <f>T("DC")</f>
        <v>DC</v>
      </c>
      <c r="F9273" t="str">
        <f>T("203768800")</f>
        <v>203768800</v>
      </c>
      <c r="G9273" t="str">
        <f>T("391 BROOKLEY AVENUE SW, STE W100")</f>
        <v>391 BROOKLEY AVENUE SW, STE W100</v>
      </c>
      <c r="H9273" t="str">
        <f>T("JBAB")</f>
        <v>JBAB</v>
      </c>
      <c r="I9273" t="str">
        <f>T("WASHINGTON")</f>
        <v>WASHINGTON</v>
      </c>
      <c r="J9273" t="str">
        <f>T("DC")</f>
        <v>DC</v>
      </c>
      <c r="K9273" t="str">
        <f>T("2027817380")</f>
        <v>2027817380</v>
      </c>
      <c r="L9273" t="str">
        <f>T("2027817443")</f>
        <v>2027817443</v>
      </c>
    </row>
    <row r="9274" spans="1:12" x14ac:dyDescent="0.35">
      <c r="A9274" t="str">
        <f t="shared" si="3411"/>
        <v>DEPT OF NAVY</v>
      </c>
      <c r="B9274" t="str">
        <f>T("391 BROOKLEY AVE SW")</f>
        <v>391 BROOKLEY AVE SW</v>
      </c>
      <c r="C9274" t="str">
        <f>T("SUITE W100")</f>
        <v>SUITE W100</v>
      </c>
      <c r="D9274" t="str">
        <f>T("JBAB DC 203")</f>
        <v>JBAB DC 203</v>
      </c>
      <c r="E9274" t="str">
        <f>T("73")</f>
        <v>73</v>
      </c>
      <c r="F9274" t="str">
        <f t="shared" ref="F9274:F9284" si="3412">T("203500001")</f>
        <v>203500001</v>
      </c>
      <c r="G9274" t="str">
        <f>T("391 BROOKLEY AVE SW")</f>
        <v>391 BROOKLEY AVE SW</v>
      </c>
      <c r="H9274" t="str">
        <f>T("SUITE W100")</f>
        <v>SUITE W100</v>
      </c>
      <c r="I9274" t="str">
        <f>T("JBAB DC 203")</f>
        <v>JBAB DC 203</v>
      </c>
      <c r="J9274" t="str">
        <f>T("73")</f>
        <v>73</v>
      </c>
      <c r="K9274" t="str">
        <f>T("4018322826")</f>
        <v>4018322826</v>
      </c>
      <c r="L9274" t="str">
        <f>T("4018328573")</f>
        <v>4018328573</v>
      </c>
    </row>
    <row r="9275" spans="1:12" x14ac:dyDescent="0.35">
      <c r="A9275" t="str">
        <f t="shared" si="3411"/>
        <v>DEPT OF NAVY</v>
      </c>
      <c r="B9275" t="str">
        <f>T("391 BROOKLEY AVE SW")</f>
        <v>391 BROOKLEY AVE SW</v>
      </c>
      <c r="C9275" t="str">
        <f>T("SUITE W100")</f>
        <v>SUITE W100</v>
      </c>
      <c r="D9275" t="str">
        <f>T("JBAB DC 203")</f>
        <v>JBAB DC 203</v>
      </c>
      <c r="E9275" t="str">
        <f>T("73")</f>
        <v>73</v>
      </c>
      <c r="F9275" t="str">
        <f t="shared" si="3412"/>
        <v>203500001</v>
      </c>
      <c r="G9275" t="str">
        <f>T("391 BROOKLEY AVENUE SW, STE W100")</f>
        <v>391 BROOKLEY AVENUE SW, STE W100</v>
      </c>
      <c r="H9275" t="str">
        <f t="shared" ref="H9275:H9280" si="3413">T("JBAB")</f>
        <v>JBAB</v>
      </c>
      <c r="I9275" t="str">
        <f t="shared" ref="I9275:I9284" si="3414">T("WASHINGTON")</f>
        <v>WASHINGTON</v>
      </c>
      <c r="J9275" t="str">
        <f t="shared" ref="J9275:J9284" si="3415">T("DC")</f>
        <v>DC</v>
      </c>
      <c r="K9275" t="str">
        <f>T("000000000000000000")</f>
        <v>000000000000000000</v>
      </c>
      <c r="L9275" t="str">
        <f>T("4018321747")</f>
        <v>4018321747</v>
      </c>
    </row>
    <row r="9276" spans="1:12" x14ac:dyDescent="0.35">
      <c r="A9276" t="str">
        <f t="shared" si="3411"/>
        <v>DEPT OF NAVY</v>
      </c>
      <c r="B9276" t="str">
        <f t="shared" ref="B9276:B9284" si="3416">T("DON 2000 NAVY PENTAGON")</f>
        <v>DON 2000 NAVY PENTAGON</v>
      </c>
      <c r="C9276" t="str">
        <f t="shared" ref="C9276:C9284" si="3417">T("PENTAGON 1C510")</f>
        <v>PENTAGON 1C510</v>
      </c>
      <c r="D9276" t="str">
        <f t="shared" ref="D9276:D9284" si="3418">T("WASHINGTON")</f>
        <v>WASHINGTON</v>
      </c>
      <c r="E9276" t="str">
        <f t="shared" ref="E9276:E9284" si="3419">T("DC")</f>
        <v>DC</v>
      </c>
      <c r="F9276" t="str">
        <f t="shared" si="3412"/>
        <v>203500001</v>
      </c>
      <c r="G9276" t="str">
        <f>T("391 BROOKLEY AVE SW STE W100")</f>
        <v>391 BROOKLEY AVE SW STE W100</v>
      </c>
      <c r="H9276" t="str">
        <f t="shared" si="3413"/>
        <v>JBAB</v>
      </c>
      <c r="I9276" t="str">
        <f t="shared" si="3414"/>
        <v>WASHINGTON</v>
      </c>
      <c r="J9276" t="str">
        <f t="shared" si="3415"/>
        <v>DC</v>
      </c>
      <c r="K9276" t="str">
        <f>T("000000000000000000")</f>
        <v>000000000000000000</v>
      </c>
      <c r="L9276" t="str">
        <f>T("2027817428")</f>
        <v>2027817428</v>
      </c>
    </row>
    <row r="9277" spans="1:12" x14ac:dyDescent="0.35">
      <c r="A9277" t="str">
        <f t="shared" si="3411"/>
        <v>DEPT OF NAVY</v>
      </c>
      <c r="B9277" t="str">
        <f t="shared" si="3416"/>
        <v>DON 2000 NAVY PENTAGON</v>
      </c>
      <c r="C9277" t="str">
        <f t="shared" si="3417"/>
        <v>PENTAGON 1C510</v>
      </c>
      <c r="D9277" t="str">
        <f t="shared" si="3418"/>
        <v>WASHINGTON</v>
      </c>
      <c r="E9277" t="str">
        <f t="shared" si="3419"/>
        <v>DC</v>
      </c>
      <c r="F9277" t="str">
        <f t="shared" si="3412"/>
        <v>203500001</v>
      </c>
      <c r="G9277" t="str">
        <f>T("391 BROOKLEY AVENUE SW, STE W100")</f>
        <v>391 BROOKLEY AVENUE SW, STE W100</v>
      </c>
      <c r="H9277" t="str">
        <f t="shared" si="3413"/>
        <v>JBAB</v>
      </c>
      <c r="I9277" t="str">
        <f t="shared" si="3414"/>
        <v>WASHINGTON</v>
      </c>
      <c r="J9277" t="str">
        <f t="shared" si="3415"/>
        <v>DC</v>
      </c>
      <c r="K9277" t="str">
        <f>T("2027817377")</f>
        <v>2027817377</v>
      </c>
      <c r="L9277" t="str">
        <f>T("2027817432")</f>
        <v>2027817432</v>
      </c>
    </row>
    <row r="9278" spans="1:12" x14ac:dyDescent="0.35">
      <c r="A9278" t="str">
        <f t="shared" si="3411"/>
        <v>DEPT OF NAVY</v>
      </c>
      <c r="B9278" t="str">
        <f t="shared" si="3416"/>
        <v>DON 2000 NAVY PENTAGON</v>
      </c>
      <c r="C9278" t="str">
        <f t="shared" si="3417"/>
        <v>PENTAGON 1C510</v>
      </c>
      <c r="D9278" t="str">
        <f t="shared" si="3418"/>
        <v>WASHINGTON</v>
      </c>
      <c r="E9278" t="str">
        <f t="shared" si="3419"/>
        <v>DC</v>
      </c>
      <c r="F9278" t="str">
        <f t="shared" si="3412"/>
        <v>203500001</v>
      </c>
      <c r="G9278" t="str">
        <f>T("391 BROOKLEY AVENUE SW, STE W100")</f>
        <v>391 BROOKLEY AVENUE SW, STE W100</v>
      </c>
      <c r="H9278" t="str">
        <f t="shared" si="3413"/>
        <v>JBAB</v>
      </c>
      <c r="I9278" t="str">
        <f t="shared" si="3414"/>
        <v>WASHINGTON</v>
      </c>
      <c r="J9278" t="str">
        <f t="shared" si="3415"/>
        <v>DC</v>
      </c>
      <c r="K9278" t="str">
        <f>T("2027817454")</f>
        <v>2027817454</v>
      </c>
      <c r="L9278" t="str">
        <f>T("2027817428")</f>
        <v>2027817428</v>
      </c>
    </row>
    <row r="9279" spans="1:12" x14ac:dyDescent="0.35">
      <c r="A9279" t="str">
        <f t="shared" si="3411"/>
        <v>DEPT OF NAVY</v>
      </c>
      <c r="B9279" t="str">
        <f t="shared" si="3416"/>
        <v>DON 2000 NAVY PENTAGON</v>
      </c>
      <c r="C9279" t="str">
        <f t="shared" si="3417"/>
        <v>PENTAGON 1C510</v>
      </c>
      <c r="D9279" t="str">
        <f t="shared" si="3418"/>
        <v>WASHINGTON</v>
      </c>
      <c r="E9279" t="str">
        <f t="shared" si="3419"/>
        <v>DC</v>
      </c>
      <c r="F9279" t="str">
        <f t="shared" si="3412"/>
        <v>203500001</v>
      </c>
      <c r="G9279" t="str">
        <f>T("391 BROOKLEY AVENUE SW, STE W100")</f>
        <v>391 BROOKLEY AVENUE SW, STE W100</v>
      </c>
      <c r="H9279" t="str">
        <f t="shared" si="3413"/>
        <v>JBAB</v>
      </c>
      <c r="I9279" t="str">
        <f t="shared" si="3414"/>
        <v>WASHINGTON</v>
      </c>
      <c r="J9279" t="str">
        <f t="shared" si="3415"/>
        <v>DC</v>
      </c>
      <c r="K9279" t="str">
        <f>T("703 697-4605")</f>
        <v>703 697-4605</v>
      </c>
      <c r="L9279" t="str">
        <f>T("7032515596")</f>
        <v>7032515596</v>
      </c>
    </row>
    <row r="9280" spans="1:12" x14ac:dyDescent="0.35">
      <c r="A9280" t="str">
        <f t="shared" si="3411"/>
        <v>DEPT OF NAVY</v>
      </c>
      <c r="B9280" t="str">
        <f t="shared" si="3416"/>
        <v>DON 2000 NAVY PENTAGON</v>
      </c>
      <c r="C9280" t="str">
        <f t="shared" si="3417"/>
        <v>PENTAGON 1C510</v>
      </c>
      <c r="D9280" t="str">
        <f t="shared" si="3418"/>
        <v>WASHINGTON</v>
      </c>
      <c r="E9280" t="str">
        <f t="shared" si="3419"/>
        <v>DC</v>
      </c>
      <c r="F9280" t="str">
        <f t="shared" si="3412"/>
        <v>203500001</v>
      </c>
      <c r="G9280" t="str">
        <f>T("391 BROOKLEY AVENUE SW, STE W100")</f>
        <v>391 BROOKLEY AVENUE SW, STE W100</v>
      </c>
      <c r="H9280" t="str">
        <f t="shared" si="3413"/>
        <v>JBAB</v>
      </c>
      <c r="I9280" t="str">
        <f t="shared" si="3414"/>
        <v>WASHINGTON</v>
      </c>
      <c r="J9280" t="str">
        <f t="shared" si="3415"/>
        <v>DC</v>
      </c>
      <c r="K9280" t="str">
        <f>T("7036974605")</f>
        <v>7036974605</v>
      </c>
      <c r="L9280" t="str">
        <f>T("7036934511")</f>
        <v>7036934511</v>
      </c>
    </row>
    <row r="9281" spans="1:12" x14ac:dyDescent="0.35">
      <c r="A9281" t="str">
        <f t="shared" si="3411"/>
        <v>DEPT OF NAVY</v>
      </c>
      <c r="B9281" t="str">
        <f t="shared" si="3416"/>
        <v>DON 2000 NAVY PENTAGON</v>
      </c>
      <c r="C9281" t="str">
        <f t="shared" si="3417"/>
        <v>PENTAGON 1C510</v>
      </c>
      <c r="D9281" t="str">
        <f t="shared" si="3418"/>
        <v>WASHINGTON</v>
      </c>
      <c r="E9281" t="str">
        <f t="shared" si="3419"/>
        <v>DC</v>
      </c>
      <c r="F9281" t="str">
        <f t="shared" si="3412"/>
        <v>203500001</v>
      </c>
      <c r="G9281" t="str">
        <f>T("DON 2000 NAVY PENTAGON")</f>
        <v>DON 2000 NAVY PENTAGON</v>
      </c>
      <c r="H9281" t="str">
        <f>T("PENTAGON 1C510")</f>
        <v>PENTAGON 1C510</v>
      </c>
      <c r="I9281" t="str">
        <f t="shared" si="3414"/>
        <v>WASHINGTON</v>
      </c>
      <c r="J9281" t="str">
        <f t="shared" si="3415"/>
        <v>DC</v>
      </c>
      <c r="K9281" t="str">
        <f>T("202-781-7377")</f>
        <v>202-781-7377</v>
      </c>
      <c r="L9281" t="str">
        <f>T("2027817470")</f>
        <v>2027817470</v>
      </c>
    </row>
    <row r="9282" spans="1:12" x14ac:dyDescent="0.35">
      <c r="A9282" t="str">
        <f t="shared" si="3411"/>
        <v>DEPT OF NAVY</v>
      </c>
      <c r="B9282" t="str">
        <f t="shared" si="3416"/>
        <v>DON 2000 NAVY PENTAGON</v>
      </c>
      <c r="C9282" t="str">
        <f t="shared" si="3417"/>
        <v>PENTAGON 1C510</v>
      </c>
      <c r="D9282" t="str">
        <f t="shared" si="3418"/>
        <v>WASHINGTON</v>
      </c>
      <c r="E9282" t="str">
        <f t="shared" si="3419"/>
        <v>DC</v>
      </c>
      <c r="F9282" t="str">
        <f t="shared" si="3412"/>
        <v>203500001</v>
      </c>
      <c r="G9282" t="str">
        <f>T("DON 2000 NAVY PENTAGON")</f>
        <v>DON 2000 NAVY PENTAGON</v>
      </c>
      <c r="H9282" t="str">
        <f>T("PENTAGON 1C510")</f>
        <v>PENTAGON 1C510</v>
      </c>
      <c r="I9282" t="str">
        <f t="shared" si="3414"/>
        <v>WASHINGTON</v>
      </c>
      <c r="J9282" t="str">
        <f t="shared" si="3415"/>
        <v>DC</v>
      </c>
      <c r="K9282" t="str">
        <f>T("2027817454")</f>
        <v>2027817454</v>
      </c>
      <c r="L9282" t="str">
        <f>T("2027817301")</f>
        <v>2027817301</v>
      </c>
    </row>
    <row r="9283" spans="1:12" x14ac:dyDescent="0.35">
      <c r="A9283" t="str">
        <f t="shared" si="3411"/>
        <v>DEPT OF NAVY</v>
      </c>
      <c r="B9283" t="str">
        <f t="shared" si="3416"/>
        <v>DON 2000 NAVY PENTAGON</v>
      </c>
      <c r="C9283" t="str">
        <f t="shared" si="3417"/>
        <v>PENTAGON 1C510</v>
      </c>
      <c r="D9283" t="str">
        <f t="shared" si="3418"/>
        <v>WASHINGTON</v>
      </c>
      <c r="E9283" t="str">
        <f t="shared" si="3419"/>
        <v>DC</v>
      </c>
      <c r="F9283" t="str">
        <f t="shared" si="3412"/>
        <v>203500001</v>
      </c>
      <c r="G9283" t="str">
        <f>T("DON 2000 NAVY PENTAGON")</f>
        <v>DON 2000 NAVY PENTAGON</v>
      </c>
      <c r="H9283" t="str">
        <f>T("PENTAGON 1C510")</f>
        <v>PENTAGON 1C510</v>
      </c>
      <c r="I9283" t="str">
        <f t="shared" si="3414"/>
        <v>WASHINGTON</v>
      </c>
      <c r="J9283" t="str">
        <f t="shared" si="3415"/>
        <v>DC</v>
      </c>
      <c r="K9283" t="str">
        <f>T("7036974305")</f>
        <v>7036974305</v>
      </c>
      <c r="L9283" t="str">
        <f>T("7032452043")</f>
        <v>7032452043</v>
      </c>
    </row>
    <row r="9284" spans="1:12" x14ac:dyDescent="0.35">
      <c r="A9284" t="str">
        <f t="shared" si="3411"/>
        <v>DEPT OF NAVY</v>
      </c>
      <c r="B9284" t="str">
        <f t="shared" si="3416"/>
        <v>DON 2000 NAVY PENTAGON</v>
      </c>
      <c r="C9284" t="str">
        <f t="shared" si="3417"/>
        <v>PENTAGON 1C510</v>
      </c>
      <c r="D9284" t="str">
        <f t="shared" si="3418"/>
        <v>WASHINGTON</v>
      </c>
      <c r="E9284" t="str">
        <f t="shared" si="3419"/>
        <v>DC</v>
      </c>
      <c r="F9284" t="str">
        <f t="shared" si="3412"/>
        <v>203500001</v>
      </c>
      <c r="G9284" t="str">
        <f>T("NELO")</f>
        <v>NELO</v>
      </c>
      <c r="H9284" t="str">
        <f>T("391 BROOKLEY AVENUE SUITE W100")</f>
        <v>391 BROOKLEY AVENUE SUITE W100</v>
      </c>
      <c r="I9284" t="str">
        <f t="shared" si="3414"/>
        <v>WASHINGTON</v>
      </c>
      <c r="J9284" t="str">
        <f t="shared" si="3415"/>
        <v>DC</v>
      </c>
      <c r="K9284" t="str">
        <f>T("01197317859091")</f>
        <v>01197317859091</v>
      </c>
      <c r="L9284" t="str">
        <f>T("1111111111")</f>
        <v>1111111111</v>
      </c>
    </row>
    <row r="9285" spans="1:12" x14ac:dyDescent="0.35">
      <c r="A9285" t="str">
        <f t="shared" ref="A9285:A9303" si="3420">T("NELO XD")</f>
        <v>NELO XD</v>
      </c>
      <c r="B9285" t="str">
        <f>T("13510 N CENTRAL EXPY")</f>
        <v>13510 N CENTRAL EXPY</v>
      </c>
      <c r="C9285" t="str">
        <f>T("")</f>
        <v/>
      </c>
      <c r="D9285" t="str">
        <f>T("DALLAS")</f>
        <v>DALLAS</v>
      </c>
      <c r="E9285" t="str">
        <f>T("TX")</f>
        <v>TX</v>
      </c>
      <c r="F9285" t="str">
        <f>T("752431108")</f>
        <v>752431108</v>
      </c>
      <c r="G9285" t="str">
        <f>T("126 SMOKEY TERRACE LN")</f>
        <v>126 SMOKEY TERRACE LN</v>
      </c>
      <c r="H9285" t="str">
        <f>T("")</f>
        <v/>
      </c>
      <c r="I9285" t="str">
        <f>T("WEATHERFORD")</f>
        <v>WEATHERFORD</v>
      </c>
      <c r="J9285" t="str">
        <f>T("TX")</f>
        <v>TX</v>
      </c>
      <c r="K9285" t="str">
        <f>T("9723443401")</f>
        <v>9723443401</v>
      </c>
      <c r="L9285" t="str">
        <f>T("9723447324")</f>
        <v>9723447324</v>
      </c>
    </row>
    <row r="9286" spans="1:12" x14ac:dyDescent="0.35">
      <c r="A9286" t="str">
        <f t="shared" si="3420"/>
        <v>NELO XD</v>
      </c>
      <c r="B9286" t="str">
        <f>T("13510 N CENTRAL EXPY")</f>
        <v>13510 N CENTRAL EXPY</v>
      </c>
      <c r="C9286" t="str">
        <f>T("")</f>
        <v/>
      </c>
      <c r="D9286" t="str">
        <f>T("DALLAS")</f>
        <v>DALLAS</v>
      </c>
      <c r="E9286" t="str">
        <f>T("TX")</f>
        <v>TX</v>
      </c>
      <c r="F9286" t="str">
        <f>T("752431108")</f>
        <v>752431108</v>
      </c>
      <c r="G9286" t="str">
        <f>T("13510 N CENTRAL EXPY")</f>
        <v>13510 N CENTRAL EXPY</v>
      </c>
      <c r="H9286" t="str">
        <f>T("")</f>
        <v/>
      </c>
      <c r="I9286" t="str">
        <f>T("DALLAS")</f>
        <v>DALLAS</v>
      </c>
      <c r="J9286" t="str">
        <f>T("TX")</f>
        <v>TX</v>
      </c>
      <c r="K9286" t="str">
        <f>T("")</f>
        <v/>
      </c>
      <c r="L9286" t="str">
        <f>T("9723447383")</f>
        <v>9723447383</v>
      </c>
    </row>
    <row r="9287" spans="1:12" x14ac:dyDescent="0.35">
      <c r="A9287" t="str">
        <f t="shared" si="3420"/>
        <v>NELO XD</v>
      </c>
      <c r="B9287" t="str">
        <f>T("13510 N CENTRAL EXPY")</f>
        <v>13510 N CENTRAL EXPY</v>
      </c>
      <c r="C9287" t="str">
        <f>T("")</f>
        <v/>
      </c>
      <c r="D9287" t="str">
        <f>T("DALLAS")</f>
        <v>DALLAS</v>
      </c>
      <c r="E9287" t="str">
        <f>T("TX")</f>
        <v>TX</v>
      </c>
      <c r="F9287" t="str">
        <f>T("752431108")</f>
        <v>752431108</v>
      </c>
      <c r="G9287" t="str">
        <f>T("13510 NORTH CENTRAL EXPRESSWAY")</f>
        <v>13510 NORTH CENTRAL EXPRESSWAY</v>
      </c>
      <c r="H9287" t="str">
        <f>T("")</f>
        <v/>
      </c>
      <c r="I9287" t="str">
        <f>T("DALLAS")</f>
        <v>DALLAS</v>
      </c>
      <c r="J9287" t="str">
        <f>T("TX")</f>
        <v>TX</v>
      </c>
      <c r="K9287" t="str">
        <f>T("000000000000000000")</f>
        <v>000000000000000000</v>
      </c>
      <c r="L9287" t="str">
        <f>T("9723447851")</f>
        <v>9723447851</v>
      </c>
    </row>
    <row r="9288" spans="1:12" x14ac:dyDescent="0.35">
      <c r="A9288" t="str">
        <f t="shared" si="3420"/>
        <v>NELO XD</v>
      </c>
      <c r="B9288" t="str">
        <f>T("391 BROOKLEY AVE SW STE 5000")</f>
        <v>391 BROOKLEY AVE SW STE 5000</v>
      </c>
      <c r="C9288" t="str">
        <f>T("RM 5005-02")</f>
        <v>RM 5005-02</v>
      </c>
      <c r="D9288" t="str">
        <f>T("JBAB")</f>
        <v>JBAB</v>
      </c>
      <c r="E9288" t="str">
        <f>T("DC")</f>
        <v>DC</v>
      </c>
      <c r="F9288" t="str">
        <f>T("203735122")</f>
        <v>203735122</v>
      </c>
      <c r="G9288" t="str">
        <f>T("391 BROOKLEY AVE SW STE 5000")</f>
        <v>391 BROOKLEY AVE SW STE 5000</v>
      </c>
      <c r="H9288" t="str">
        <f>T("RM 5005-02")</f>
        <v>RM 5005-02</v>
      </c>
      <c r="I9288" t="str">
        <f>T("JBAB")</f>
        <v>JBAB</v>
      </c>
      <c r="J9288" t="str">
        <f>T("DC")</f>
        <v>DC</v>
      </c>
      <c r="K9288" t="str">
        <f>T("")</f>
        <v/>
      </c>
      <c r="L9288" t="str">
        <f>T("2022842354")</f>
        <v>2022842354</v>
      </c>
    </row>
    <row r="9289" spans="1:12" x14ac:dyDescent="0.35">
      <c r="A9289" t="str">
        <f t="shared" si="3420"/>
        <v>NELO XD</v>
      </c>
      <c r="B9289" t="str">
        <f>T("391 BROOKLEY AVE SW STE 5000")</f>
        <v>391 BROOKLEY AVE SW STE 5000</v>
      </c>
      <c r="C9289" t="str">
        <f>T("RM 5005-02")</f>
        <v>RM 5005-02</v>
      </c>
      <c r="D9289" t="str">
        <f>T("JBAB")</f>
        <v>JBAB</v>
      </c>
      <c r="E9289" t="str">
        <f>T("DC")</f>
        <v>DC</v>
      </c>
      <c r="F9289" t="str">
        <f>T("203735122")</f>
        <v>203735122</v>
      </c>
      <c r="G9289" t="str">
        <f>T("391 BROOKLEY AVE SW STE W100")</f>
        <v>391 BROOKLEY AVE SW STE W100</v>
      </c>
      <c r="H9289" t="str">
        <f>T("")</f>
        <v/>
      </c>
      <c r="I9289" t="str">
        <f>T("JBAB")</f>
        <v>JBAB</v>
      </c>
      <c r="J9289" t="str">
        <f>T("DC")</f>
        <v>DC</v>
      </c>
      <c r="K9289" t="str">
        <f>T("2022842561")</f>
        <v>2022842561</v>
      </c>
      <c r="L9289" t="str">
        <f>T("2022842436")</f>
        <v>2022842436</v>
      </c>
    </row>
    <row r="9290" spans="1:12" x14ac:dyDescent="0.35">
      <c r="A9290" t="str">
        <f t="shared" si="3420"/>
        <v>NELO XD</v>
      </c>
      <c r="B9290" t="str">
        <f>T("391 BROOKLEY AVE SW STE 5000")</f>
        <v>391 BROOKLEY AVE SW STE 5000</v>
      </c>
      <c r="C9290" t="str">
        <f>T("RM 5005-02")</f>
        <v>RM 5005-02</v>
      </c>
      <c r="D9290" t="str">
        <f>T("JBAB")</f>
        <v>JBAB</v>
      </c>
      <c r="E9290" t="str">
        <f>T("DC")</f>
        <v>DC</v>
      </c>
      <c r="F9290" t="str">
        <f>T("203735122")</f>
        <v>203735122</v>
      </c>
      <c r="G9290" t="str">
        <f>T("391 BROOKLEY AVE SW SUITE 5000")</f>
        <v>391 BROOKLEY AVE SW SUITE 5000</v>
      </c>
      <c r="H9290" t="str">
        <f>T("JOINT BASE ANACOSTIA BOLLING")</f>
        <v>JOINT BASE ANACOSTIA BOLLING</v>
      </c>
      <c r="I9290" t="str">
        <f>T("WASHINGTON")</f>
        <v>WASHINGTON</v>
      </c>
      <c r="J9290" t="str">
        <f>T("DC")</f>
        <v>DC</v>
      </c>
      <c r="K9290" t="str">
        <f>T("2022841417")</f>
        <v>2022841417</v>
      </c>
      <c r="L9290" t="str">
        <f>T("2022842465")</f>
        <v>2022842465</v>
      </c>
    </row>
    <row r="9291" spans="1:12" x14ac:dyDescent="0.35">
      <c r="A9291" t="str">
        <f t="shared" si="3420"/>
        <v>NELO XD</v>
      </c>
      <c r="B9291" t="str">
        <f>T("391 BROOKLEY AVE SW STE 5000")</f>
        <v>391 BROOKLEY AVE SW STE 5000</v>
      </c>
      <c r="C9291" t="str">
        <f>T("RM 5005-02")</f>
        <v>RM 5005-02</v>
      </c>
      <c r="D9291" t="str">
        <f>T("JBAB")</f>
        <v>JBAB</v>
      </c>
      <c r="E9291" t="str">
        <f>T("DC")</f>
        <v>DC</v>
      </c>
      <c r="F9291" t="str">
        <f>T("203735122")</f>
        <v>203735122</v>
      </c>
      <c r="G9291" t="str">
        <f>T("PMO-35 391 BROOKLEY AVE SW")</f>
        <v>PMO-35 391 BROOKLEY AVE SW</v>
      </c>
      <c r="H9291" t="str">
        <f>T("STE 5000 RM 5004-03 JBAB")</f>
        <v>STE 5000 RM 5004-03 JBAB</v>
      </c>
      <c r="I9291" t="str">
        <f>T("WASHINGTON")</f>
        <v>WASHINGTON</v>
      </c>
      <c r="J9291" t="str">
        <f>T("DC")</f>
        <v>DC</v>
      </c>
      <c r="K9291" t="str">
        <f>T("2022842561")</f>
        <v>2022842561</v>
      </c>
      <c r="L9291" t="str">
        <f>T("2022842444")</f>
        <v>2022842444</v>
      </c>
    </row>
    <row r="9292" spans="1:12" x14ac:dyDescent="0.35">
      <c r="A9292" t="str">
        <f t="shared" si="3420"/>
        <v>NELO XD</v>
      </c>
      <c r="B9292" t="str">
        <f>T("BLDG 2185 SUITE 3A20")</f>
        <v>BLDG 2185 SUITE 3A20</v>
      </c>
      <c r="C9292" t="str">
        <f>T("22347 CEDAR POINT RD")</f>
        <v>22347 CEDAR POINT RD</v>
      </c>
      <c r="D9292" t="str">
        <f>T("PATUXENT RIVER")</f>
        <v>PATUXENT RIVER</v>
      </c>
      <c r="E9292" t="str">
        <f>T("MD")</f>
        <v>MD</v>
      </c>
      <c r="F9292" t="str">
        <f>T("206701161")</f>
        <v>206701161</v>
      </c>
      <c r="G9292" t="str">
        <f>T("BLDG 2185 SUITE 3A20")</f>
        <v>BLDG 2185 SUITE 3A20</v>
      </c>
      <c r="H9292" t="str">
        <f>T("22347 CEDAR POINT RD")</f>
        <v>22347 CEDAR POINT RD</v>
      </c>
      <c r="I9292" t="str">
        <f>T("PATUXENT RIVER")</f>
        <v>PATUXENT RIVER</v>
      </c>
      <c r="J9292" t="str">
        <f>T("MD")</f>
        <v>MD</v>
      </c>
      <c r="K9292" t="str">
        <f>T("3013427179")</f>
        <v>3013427179</v>
      </c>
      <c r="L9292" t="str">
        <f>T("3013427175")</f>
        <v>3013427175</v>
      </c>
    </row>
    <row r="9293" spans="1:12" x14ac:dyDescent="0.35">
      <c r="A9293" t="str">
        <f t="shared" si="3420"/>
        <v>NELO XD</v>
      </c>
      <c r="B9293" t="str">
        <f>T("BLDG 2185 SUITE 3A20")</f>
        <v>BLDG 2185 SUITE 3A20</v>
      </c>
      <c r="C9293" t="str">
        <f>T("22347 CEDAR POINT RD")</f>
        <v>22347 CEDAR POINT RD</v>
      </c>
      <c r="D9293" t="str">
        <f>T("PATUXENT RIVER")</f>
        <v>PATUXENT RIVER</v>
      </c>
      <c r="E9293" t="str">
        <f>T("MD")</f>
        <v>MD</v>
      </c>
      <c r="F9293" t="str">
        <f>T("206701161")</f>
        <v>206701161</v>
      </c>
      <c r="G9293" t="str">
        <f>T("BUPERS S/D PATUXENT RIVER")</f>
        <v>BUPERS S/D PATUXENT RIVER</v>
      </c>
      <c r="H9293" t="str">
        <f>T("BLDG 2185 STE 3A26")</f>
        <v>BLDG 2185 STE 3A26</v>
      </c>
      <c r="I9293" t="str">
        <f>T("PATUXENT RIVER")</f>
        <v>PATUXENT RIVER</v>
      </c>
      <c r="J9293" t="str">
        <f>T("MD")</f>
        <v>MD</v>
      </c>
      <c r="K9293" t="str">
        <f>T("3013427179")</f>
        <v>3013427179</v>
      </c>
      <c r="L9293" t="str">
        <f>T("3013427167")</f>
        <v>3013427167</v>
      </c>
    </row>
    <row r="9294" spans="1:12" x14ac:dyDescent="0.35">
      <c r="A9294" t="str">
        <f t="shared" si="3420"/>
        <v>NELO XD</v>
      </c>
      <c r="B9294" t="str">
        <f>T("BUPERS SDC")</f>
        <v>BUPERS SDC</v>
      </c>
      <c r="C9294" t="str">
        <f>T("BOX 129")</f>
        <v>BOX 129</v>
      </c>
      <c r="D9294" t="str">
        <f>T("POINT MUGU NAWC")</f>
        <v>POINT MUGU NAWC</v>
      </c>
      <c r="E9294" t="str">
        <f>T("CA")</f>
        <v>CA</v>
      </c>
      <c r="F9294" t="str">
        <f>T("930420001")</f>
        <v>930420001</v>
      </c>
      <c r="G9294" t="str">
        <f>T("BUPERS SDC")</f>
        <v>BUPERS SDC</v>
      </c>
      <c r="H9294" t="str">
        <f>T("BOX 129")</f>
        <v>BOX 129</v>
      </c>
      <c r="I9294" t="str">
        <f>T("POINT MUGU NAWC")</f>
        <v>POINT MUGU NAWC</v>
      </c>
      <c r="J9294" t="str">
        <f>T("CA")</f>
        <v>CA</v>
      </c>
      <c r="K9294" t="str">
        <f>T("8059893114")</f>
        <v>8059893114</v>
      </c>
      <c r="L9294" t="str">
        <f>T("8059893100")</f>
        <v>8059893100</v>
      </c>
    </row>
    <row r="9295" spans="1:12" x14ac:dyDescent="0.35">
      <c r="A9295" t="str">
        <f t="shared" si="3420"/>
        <v>NELO XD</v>
      </c>
      <c r="B9295" t="str">
        <f>T("BUPERS SDC")</f>
        <v>BUPERS SDC</v>
      </c>
      <c r="C9295" t="str">
        <f>T("BOX 129")</f>
        <v>BOX 129</v>
      </c>
      <c r="D9295" t="str">
        <f>T("POINT MUGU NAWC")</f>
        <v>POINT MUGU NAWC</v>
      </c>
      <c r="E9295" t="str">
        <f>T("CA")</f>
        <v>CA</v>
      </c>
      <c r="F9295" t="str">
        <f>T("930420001")</f>
        <v>930420001</v>
      </c>
      <c r="G9295" t="str">
        <f>T("BUPERS SDC")</f>
        <v>BUPERS SDC</v>
      </c>
      <c r="H9295" t="str">
        <f>T("BOX 129 POINT MAGU NAWC")</f>
        <v>BOX 129 POINT MAGU NAWC</v>
      </c>
      <c r="I9295" t="str">
        <f>T("POINT MUGU NAWC")</f>
        <v>POINT MUGU NAWC</v>
      </c>
      <c r="J9295" t="str">
        <f>T("CA")</f>
        <v>CA</v>
      </c>
      <c r="K9295" t="str">
        <f>T("8059897874108")</f>
        <v>8059897874108</v>
      </c>
      <c r="L9295" t="str">
        <f>T("1111111111")</f>
        <v>1111111111</v>
      </c>
    </row>
    <row r="9296" spans="1:12" x14ac:dyDescent="0.35">
      <c r="A9296" t="str">
        <f t="shared" si="3420"/>
        <v>NELO XD</v>
      </c>
      <c r="B9296" t="str">
        <f>T("BUPERS SDC")</f>
        <v>BUPERS SDC</v>
      </c>
      <c r="C9296" t="str">
        <f>T("BOX 129")</f>
        <v>BOX 129</v>
      </c>
      <c r="D9296" t="str">
        <f>T("POINT MUGU NAWC")</f>
        <v>POINT MUGU NAWC</v>
      </c>
      <c r="E9296" t="str">
        <f>T("CA")</f>
        <v>CA</v>
      </c>
      <c r="F9296" t="str">
        <f>T("930420001")</f>
        <v>930420001</v>
      </c>
      <c r="G9296" t="str">
        <f>T("BUPERS SDC")</f>
        <v>BUPERS SDC</v>
      </c>
      <c r="H9296" t="str">
        <f>T("P O BOX 129 POINT MAGU NAWC")</f>
        <v>P O BOX 129 POINT MAGU NAWC</v>
      </c>
      <c r="I9296" t="str">
        <f>T("POINT MUGU NAWC")</f>
        <v>POINT MUGU NAWC</v>
      </c>
      <c r="J9296" t="str">
        <f>T("CA")</f>
        <v>CA</v>
      </c>
      <c r="K9296" t="str">
        <f>T("8059893114")</f>
        <v>8059893114</v>
      </c>
      <c r="L9296" t="str">
        <f>T("8059893100")</f>
        <v>8059893100</v>
      </c>
    </row>
    <row r="9297" spans="1:12" x14ac:dyDescent="0.35">
      <c r="A9297" t="str">
        <f t="shared" si="3420"/>
        <v>NELO XD</v>
      </c>
      <c r="B9297" t="str">
        <f>T("BUPERS SDC")</f>
        <v>BUPERS SDC</v>
      </c>
      <c r="C9297" t="str">
        <f>T("BOX 129")</f>
        <v>BOX 129</v>
      </c>
      <c r="D9297" t="str">
        <f>T("POINT MUGU NAWC")</f>
        <v>POINT MUGU NAWC</v>
      </c>
      <c r="E9297" t="str">
        <f>T("CA")</f>
        <v>CA</v>
      </c>
      <c r="F9297" t="str">
        <f>T("930420001")</f>
        <v>930420001</v>
      </c>
      <c r="G9297" t="str">
        <f>T("BUPERS SDC")</f>
        <v>BUPERS SDC</v>
      </c>
      <c r="H9297" t="str">
        <f>T("PO BOX 129 POINT MAGU NAWC")</f>
        <v>PO BOX 129 POINT MAGU NAWC</v>
      </c>
      <c r="I9297" t="str">
        <f>T("POINT MUGU NAWC")</f>
        <v>POINT MUGU NAWC</v>
      </c>
      <c r="J9297" t="str">
        <f>T("CA")</f>
        <v>CA</v>
      </c>
      <c r="K9297" t="str">
        <f>T("8059893114")</f>
        <v>8059893114</v>
      </c>
      <c r="L9297" t="str">
        <f>T("8059893100")</f>
        <v>8059893100</v>
      </c>
    </row>
    <row r="9298" spans="1:12" x14ac:dyDescent="0.35">
      <c r="A9298" t="str">
        <f t="shared" si="3420"/>
        <v>NELO XD</v>
      </c>
      <c r="B9298" t="str">
        <f t="shared" ref="B9298:B9303" si="3421">T("PO BOX 35747")</f>
        <v>PO BOX 35747</v>
      </c>
      <c r="C9298" t="str">
        <f t="shared" ref="C9298:C9324" si="3422">T("")</f>
        <v/>
      </c>
      <c r="D9298" t="str">
        <f t="shared" ref="D9298:D9303" si="3423">T("DALLAS")</f>
        <v>DALLAS</v>
      </c>
      <c r="E9298" t="str">
        <f t="shared" ref="E9298:E9303" si="3424">T("TX")</f>
        <v>TX</v>
      </c>
      <c r="F9298" t="str">
        <f t="shared" ref="F9298:F9303" si="3425">T("752350747")</f>
        <v>752350747</v>
      </c>
      <c r="G9298" t="str">
        <f>T("BUPERS SCD")</f>
        <v>BUPERS SCD</v>
      </c>
      <c r="H9298" t="str">
        <f>T("P O BOX 35747")</f>
        <v>P O BOX 35747</v>
      </c>
      <c r="I9298" t="str">
        <f>T("DALLAS")</f>
        <v>DALLAS</v>
      </c>
      <c r="J9298" t="str">
        <f t="shared" ref="J9298:J9303" si="3426">T("TX")</f>
        <v>TX</v>
      </c>
      <c r="K9298" t="str">
        <f>T("9723445929")</f>
        <v>9723445929</v>
      </c>
      <c r="L9298" t="str">
        <f>T("9723442144")</f>
        <v>9723442144</v>
      </c>
    </row>
    <row r="9299" spans="1:12" x14ac:dyDescent="0.35">
      <c r="A9299" t="str">
        <f t="shared" si="3420"/>
        <v>NELO XD</v>
      </c>
      <c r="B9299" t="str">
        <f t="shared" si="3421"/>
        <v>PO BOX 35747</v>
      </c>
      <c r="C9299" t="str">
        <f t="shared" si="3422"/>
        <v/>
      </c>
      <c r="D9299" t="str">
        <f t="shared" si="3423"/>
        <v>DALLAS</v>
      </c>
      <c r="E9299" t="str">
        <f t="shared" si="3424"/>
        <v>TX</v>
      </c>
      <c r="F9299" t="str">
        <f t="shared" si="3425"/>
        <v>752350747</v>
      </c>
      <c r="G9299" t="str">
        <f>T("BUPERS SDC")</f>
        <v>BUPERS SDC</v>
      </c>
      <c r="H9299" t="str">
        <f>T("P O BOX 35747")</f>
        <v>P O BOX 35747</v>
      </c>
      <c r="I9299" t="str">
        <f>T("DALLAS")</f>
        <v>DALLAS</v>
      </c>
      <c r="J9299" t="str">
        <f t="shared" si="3426"/>
        <v>TX</v>
      </c>
      <c r="K9299" t="str">
        <f>T("9723445929")</f>
        <v>9723445929</v>
      </c>
      <c r="L9299" t="str">
        <f>T("9723446651")</f>
        <v>9723446651</v>
      </c>
    </row>
    <row r="9300" spans="1:12" x14ac:dyDescent="0.35">
      <c r="A9300" t="str">
        <f t="shared" si="3420"/>
        <v>NELO XD</v>
      </c>
      <c r="B9300" t="str">
        <f t="shared" si="3421"/>
        <v>PO BOX 35747</v>
      </c>
      <c r="C9300" t="str">
        <f t="shared" si="3422"/>
        <v/>
      </c>
      <c r="D9300" t="str">
        <f t="shared" si="3423"/>
        <v>DALLAS</v>
      </c>
      <c r="E9300" t="str">
        <f t="shared" si="3424"/>
        <v>TX</v>
      </c>
      <c r="F9300" t="str">
        <f t="shared" si="3425"/>
        <v>752350747</v>
      </c>
      <c r="G9300" t="str">
        <f>T("BUPERS SDC DALLAS")</f>
        <v>BUPERS SDC DALLAS</v>
      </c>
      <c r="H9300" t="str">
        <f>T("P O BOX 35747")</f>
        <v>P O BOX 35747</v>
      </c>
      <c r="I9300" t="str">
        <f>T("DALLAS")</f>
        <v>DALLAS</v>
      </c>
      <c r="J9300" t="str">
        <f t="shared" si="3426"/>
        <v>TX</v>
      </c>
      <c r="K9300" t="str">
        <f>T("9723445929")</f>
        <v>9723445929</v>
      </c>
      <c r="L9300" t="str">
        <f>T("9723445747")</f>
        <v>9723445747</v>
      </c>
    </row>
    <row r="9301" spans="1:12" x14ac:dyDescent="0.35">
      <c r="A9301" t="str">
        <f t="shared" si="3420"/>
        <v>NELO XD</v>
      </c>
      <c r="B9301" t="str">
        <f t="shared" si="3421"/>
        <v>PO BOX 35747</v>
      </c>
      <c r="C9301" t="str">
        <f t="shared" si="3422"/>
        <v/>
      </c>
      <c r="D9301" t="str">
        <f t="shared" si="3423"/>
        <v>DALLAS</v>
      </c>
      <c r="E9301" t="str">
        <f t="shared" si="3424"/>
        <v>TX</v>
      </c>
      <c r="F9301" t="str">
        <f t="shared" si="3425"/>
        <v>752350747</v>
      </c>
      <c r="G9301" t="str">
        <f>T("NSMA")</f>
        <v>NSMA</v>
      </c>
      <c r="H9301" t="str">
        <f>T("BUPERS SDC")</f>
        <v>BUPERS SDC</v>
      </c>
      <c r="I9301" t="str">
        <f>T("P O BOX 35747")</f>
        <v>P O BOX 35747</v>
      </c>
      <c r="J9301" t="str">
        <f t="shared" si="3426"/>
        <v>TX</v>
      </c>
      <c r="K9301" t="str">
        <f>T("9723445929")</f>
        <v>9723445929</v>
      </c>
      <c r="L9301" t="str">
        <f>T("9723447851")</f>
        <v>9723447851</v>
      </c>
    </row>
    <row r="9302" spans="1:12" x14ac:dyDescent="0.35">
      <c r="A9302" t="str">
        <f t="shared" si="3420"/>
        <v>NELO XD</v>
      </c>
      <c r="B9302" t="str">
        <f t="shared" si="3421"/>
        <v>PO BOX 35747</v>
      </c>
      <c r="C9302" t="str">
        <f t="shared" si="3422"/>
        <v/>
      </c>
      <c r="D9302" t="str">
        <f t="shared" si="3423"/>
        <v>DALLAS</v>
      </c>
      <c r="E9302" t="str">
        <f t="shared" si="3424"/>
        <v>TX</v>
      </c>
      <c r="F9302" t="str">
        <f t="shared" si="3425"/>
        <v>752350747</v>
      </c>
      <c r="G9302" t="str">
        <f>T("P O BOX 35747")</f>
        <v>P O BOX 35747</v>
      </c>
      <c r="H9302" t="str">
        <f>T("")</f>
        <v/>
      </c>
      <c r="I9302" t="str">
        <f>T("DALLAS")</f>
        <v>DALLAS</v>
      </c>
      <c r="J9302" t="str">
        <f t="shared" si="3426"/>
        <v>TX</v>
      </c>
      <c r="K9302" t="str">
        <f>T("8882810737")</f>
        <v>8882810737</v>
      </c>
      <c r="L9302" t="str">
        <f>T("9725761218")</f>
        <v>9725761218</v>
      </c>
    </row>
    <row r="9303" spans="1:12" x14ac:dyDescent="0.35">
      <c r="A9303" t="str">
        <f t="shared" si="3420"/>
        <v>NELO XD</v>
      </c>
      <c r="B9303" t="str">
        <f t="shared" si="3421"/>
        <v>PO BOX 35747</v>
      </c>
      <c r="C9303" t="str">
        <f t="shared" si="3422"/>
        <v/>
      </c>
      <c r="D9303" t="str">
        <f t="shared" si="3423"/>
        <v>DALLAS</v>
      </c>
      <c r="E9303" t="str">
        <f t="shared" si="3424"/>
        <v>TX</v>
      </c>
      <c r="F9303" t="str">
        <f t="shared" si="3425"/>
        <v>752350747</v>
      </c>
      <c r="G9303" t="str">
        <f>T("PO BOX 35747")</f>
        <v>PO BOX 35747</v>
      </c>
      <c r="H9303" t="str">
        <f>T("")</f>
        <v/>
      </c>
      <c r="I9303" t="str">
        <f>T("DALLAS")</f>
        <v>DALLAS</v>
      </c>
      <c r="J9303" t="str">
        <f t="shared" si="3426"/>
        <v>TX</v>
      </c>
      <c r="K9303" t="str">
        <f>T("")</f>
        <v/>
      </c>
      <c r="L9303" t="str">
        <f>T("9723442057")</f>
        <v>9723442057</v>
      </c>
    </row>
    <row r="9304" spans="1:12" x14ac:dyDescent="0.35">
      <c r="A9304" t="str">
        <f t="shared" ref="A9304:A9324" si="3427">T("NELO")</f>
        <v>NELO</v>
      </c>
      <c r="B9304" t="str">
        <f t="shared" ref="B9304:B9318" si="3428">T("P O BOX 1000")</f>
        <v>P O BOX 1000</v>
      </c>
      <c r="C9304" t="str">
        <f t="shared" si="3422"/>
        <v/>
      </c>
      <c r="D9304" t="str">
        <f t="shared" ref="D9304:D9324" si="3429">T("THURMONT")</f>
        <v>THURMONT</v>
      </c>
      <c r="E9304" t="str">
        <f t="shared" ref="E9304:E9324" si="3430">T("MD")</f>
        <v>MD</v>
      </c>
      <c r="F9304" t="str">
        <f t="shared" ref="F9304:F9324" si="3431">T("217885001")</f>
        <v>217885001</v>
      </c>
      <c r="G9304" t="str">
        <f>T("14900 PARK CENTRAL RD")</f>
        <v>14900 PARK CENTRAL RD</v>
      </c>
      <c r="H9304" t="str">
        <f>T("")</f>
        <v/>
      </c>
      <c r="I9304" t="str">
        <f t="shared" ref="I9304:I9324" si="3432">T("THURMONT")</f>
        <v>THURMONT</v>
      </c>
      <c r="J9304" t="str">
        <f t="shared" ref="J9304:J9324" si="3433">T("MD")</f>
        <v>MD</v>
      </c>
      <c r="K9304" t="str">
        <f>T("000000000000000000")</f>
        <v>000000000000000000</v>
      </c>
      <c r="L9304" t="str">
        <f>T("3012711480")</f>
        <v>3012711480</v>
      </c>
    </row>
    <row r="9305" spans="1:12" x14ac:dyDescent="0.35">
      <c r="A9305" t="str">
        <f t="shared" si="3427"/>
        <v>NELO</v>
      </c>
      <c r="B9305" t="str">
        <f t="shared" si="3428"/>
        <v>P O BOX 1000</v>
      </c>
      <c r="C9305" t="str">
        <f t="shared" si="3422"/>
        <v/>
      </c>
      <c r="D9305" t="str">
        <f t="shared" si="3429"/>
        <v>THURMONT</v>
      </c>
      <c r="E9305" t="str">
        <f t="shared" si="3430"/>
        <v>MD</v>
      </c>
      <c r="F9305" t="str">
        <f t="shared" si="3431"/>
        <v>217885001</v>
      </c>
      <c r="G9305" t="str">
        <f>T("14900 PARK CENTRAL ROAD")</f>
        <v>14900 PARK CENTRAL ROAD</v>
      </c>
      <c r="H9305" t="str">
        <f>T("")</f>
        <v/>
      </c>
      <c r="I9305" t="str">
        <f t="shared" si="3432"/>
        <v>THURMONT</v>
      </c>
      <c r="J9305" t="str">
        <f t="shared" si="3433"/>
        <v>MD</v>
      </c>
      <c r="K9305" t="str">
        <f>T("000000000000000000")</f>
        <v>000000000000000000</v>
      </c>
      <c r="L9305" t="str">
        <f>T("3012711480")</f>
        <v>3012711480</v>
      </c>
    </row>
    <row r="9306" spans="1:12" x14ac:dyDescent="0.35">
      <c r="A9306" t="str">
        <f t="shared" si="3427"/>
        <v>NELO</v>
      </c>
      <c r="B9306" t="str">
        <f t="shared" si="3428"/>
        <v>P O BOX 1000</v>
      </c>
      <c r="C9306" t="str">
        <f t="shared" si="3422"/>
        <v/>
      </c>
      <c r="D9306" t="str">
        <f t="shared" si="3429"/>
        <v>THURMONT</v>
      </c>
      <c r="E9306" t="str">
        <f t="shared" si="3430"/>
        <v>MD</v>
      </c>
      <c r="F9306" t="str">
        <f t="shared" si="3431"/>
        <v>217885001</v>
      </c>
      <c r="G9306" t="str">
        <f>T("14900 PARK CENTRAL ROAD")</f>
        <v>14900 PARK CENTRAL ROAD</v>
      </c>
      <c r="H9306" t="str">
        <f>T("")</f>
        <v/>
      </c>
      <c r="I9306" t="str">
        <f t="shared" si="3432"/>
        <v>THURMONT</v>
      </c>
      <c r="J9306" t="str">
        <f t="shared" si="3433"/>
        <v>MD</v>
      </c>
      <c r="K9306" t="str">
        <f>T("3012711363")</f>
        <v>3012711363</v>
      </c>
      <c r="L9306" t="str">
        <f>T("3012711499")</f>
        <v>3012711499</v>
      </c>
    </row>
    <row r="9307" spans="1:12" x14ac:dyDescent="0.35">
      <c r="A9307" t="str">
        <f t="shared" si="3427"/>
        <v>NELO</v>
      </c>
      <c r="B9307" t="str">
        <f t="shared" si="3428"/>
        <v>P O BOX 1000</v>
      </c>
      <c r="C9307" t="str">
        <f t="shared" si="3422"/>
        <v/>
      </c>
      <c r="D9307" t="str">
        <f t="shared" si="3429"/>
        <v>THURMONT</v>
      </c>
      <c r="E9307" t="str">
        <f t="shared" si="3430"/>
        <v>MD</v>
      </c>
      <c r="F9307" t="str">
        <f t="shared" si="3431"/>
        <v>217885001</v>
      </c>
      <c r="G9307" t="str">
        <f>T("NAVAL SUPPORT FACILITY THURMONT")</f>
        <v>NAVAL SUPPORT FACILITY THURMONT</v>
      </c>
      <c r="H9307" t="str">
        <f t="shared" ref="H9307:H9312" si="3434">T("P O BOX 1000")</f>
        <v>P O BOX 1000</v>
      </c>
      <c r="I9307" t="str">
        <f t="shared" si="3432"/>
        <v>THURMONT</v>
      </c>
      <c r="J9307" t="str">
        <f t="shared" si="3433"/>
        <v>MD</v>
      </c>
      <c r="K9307" t="str">
        <f>T("3012711365")</f>
        <v>3012711365</v>
      </c>
      <c r="L9307" t="str">
        <f>T("3012711459")</f>
        <v>3012711459</v>
      </c>
    </row>
    <row r="9308" spans="1:12" x14ac:dyDescent="0.35">
      <c r="A9308" t="str">
        <f t="shared" si="3427"/>
        <v>NELO</v>
      </c>
      <c r="B9308" t="str">
        <f t="shared" si="3428"/>
        <v>P O BOX 1000</v>
      </c>
      <c r="C9308" t="str">
        <f t="shared" si="3422"/>
        <v/>
      </c>
      <c r="D9308" t="str">
        <f t="shared" si="3429"/>
        <v>THURMONT</v>
      </c>
      <c r="E9308" t="str">
        <f t="shared" si="3430"/>
        <v>MD</v>
      </c>
      <c r="F9308" t="str">
        <f t="shared" si="3431"/>
        <v>217885001</v>
      </c>
      <c r="G9308" t="str">
        <f>T("NAVAL SUPPORT FACILITY THURMONT")</f>
        <v>NAVAL SUPPORT FACILITY THURMONT</v>
      </c>
      <c r="H9308" t="str">
        <f t="shared" si="3434"/>
        <v>P O BOX 1000</v>
      </c>
      <c r="I9308" t="str">
        <f t="shared" si="3432"/>
        <v>THURMONT</v>
      </c>
      <c r="J9308" t="str">
        <f t="shared" si="3433"/>
        <v>MD</v>
      </c>
      <c r="K9308" t="str">
        <f>T("3012711366")</f>
        <v>3012711366</v>
      </c>
      <c r="L9308" t="str">
        <f>T("3012711400")</f>
        <v>3012711400</v>
      </c>
    </row>
    <row r="9309" spans="1:12" x14ac:dyDescent="0.35">
      <c r="A9309" t="str">
        <f t="shared" si="3427"/>
        <v>NELO</v>
      </c>
      <c r="B9309" t="str">
        <f t="shared" si="3428"/>
        <v>P O BOX 1000</v>
      </c>
      <c r="C9309" t="str">
        <f t="shared" si="3422"/>
        <v/>
      </c>
      <c r="D9309" t="str">
        <f t="shared" si="3429"/>
        <v>THURMONT</v>
      </c>
      <c r="E9309" t="str">
        <f t="shared" si="3430"/>
        <v>MD</v>
      </c>
      <c r="F9309" t="str">
        <f t="shared" si="3431"/>
        <v>217885001</v>
      </c>
      <c r="G9309" t="str">
        <f>T("NSF THURMONT")</f>
        <v>NSF THURMONT</v>
      </c>
      <c r="H9309" t="str">
        <f t="shared" si="3434"/>
        <v>P O BOX 1000</v>
      </c>
      <c r="I9309" t="str">
        <f t="shared" si="3432"/>
        <v>THURMONT</v>
      </c>
      <c r="J9309" t="str">
        <f t="shared" si="3433"/>
        <v>MD</v>
      </c>
      <c r="K9309" t="str">
        <f>T("000000000000000000")</f>
        <v>000000000000000000</v>
      </c>
      <c r="L9309" t="str">
        <f>T("3012711496")</f>
        <v>3012711496</v>
      </c>
    </row>
    <row r="9310" spans="1:12" x14ac:dyDescent="0.35">
      <c r="A9310" t="str">
        <f t="shared" si="3427"/>
        <v>NELO</v>
      </c>
      <c r="B9310" t="str">
        <f t="shared" si="3428"/>
        <v>P O BOX 1000</v>
      </c>
      <c r="C9310" t="str">
        <f t="shared" si="3422"/>
        <v/>
      </c>
      <c r="D9310" t="str">
        <f t="shared" si="3429"/>
        <v>THURMONT</v>
      </c>
      <c r="E9310" t="str">
        <f t="shared" si="3430"/>
        <v>MD</v>
      </c>
      <c r="F9310" t="str">
        <f t="shared" si="3431"/>
        <v>217885001</v>
      </c>
      <c r="G9310" t="str">
        <f>T("NSF THURMONT")</f>
        <v>NSF THURMONT</v>
      </c>
      <c r="H9310" t="str">
        <f t="shared" si="3434"/>
        <v>P O BOX 1000</v>
      </c>
      <c r="I9310" t="str">
        <f t="shared" si="3432"/>
        <v>THURMONT</v>
      </c>
      <c r="J9310" t="str">
        <f t="shared" si="3433"/>
        <v>MD</v>
      </c>
      <c r="K9310" t="str">
        <f>T("3012711365")</f>
        <v>3012711365</v>
      </c>
      <c r="L9310" t="str">
        <f>T("3012711486")</f>
        <v>3012711486</v>
      </c>
    </row>
    <row r="9311" spans="1:12" x14ac:dyDescent="0.35">
      <c r="A9311" t="str">
        <f t="shared" si="3427"/>
        <v>NELO</v>
      </c>
      <c r="B9311" t="str">
        <f t="shared" si="3428"/>
        <v>P O BOX 1000</v>
      </c>
      <c r="C9311" t="str">
        <f t="shared" si="3422"/>
        <v/>
      </c>
      <c r="D9311" t="str">
        <f t="shared" si="3429"/>
        <v>THURMONT</v>
      </c>
      <c r="E9311" t="str">
        <f t="shared" si="3430"/>
        <v>MD</v>
      </c>
      <c r="F9311" t="str">
        <f t="shared" si="3431"/>
        <v>217885001</v>
      </c>
      <c r="G9311" t="str">
        <f>T("NSF THURMONT")</f>
        <v>NSF THURMONT</v>
      </c>
      <c r="H9311" t="str">
        <f t="shared" si="3434"/>
        <v>P O BOX 1000</v>
      </c>
      <c r="I9311" t="str">
        <f t="shared" si="3432"/>
        <v>THURMONT</v>
      </c>
      <c r="J9311" t="str">
        <f t="shared" si="3433"/>
        <v>MD</v>
      </c>
      <c r="K9311" t="str">
        <f>T("3012711366")</f>
        <v>3012711366</v>
      </c>
      <c r="L9311" t="str">
        <f>T("3012711494")</f>
        <v>3012711494</v>
      </c>
    </row>
    <row r="9312" spans="1:12" x14ac:dyDescent="0.35">
      <c r="A9312" t="str">
        <f t="shared" si="3427"/>
        <v>NELO</v>
      </c>
      <c r="B9312" t="str">
        <f t="shared" si="3428"/>
        <v>P O BOX 1000</v>
      </c>
      <c r="C9312" t="str">
        <f t="shared" si="3422"/>
        <v/>
      </c>
      <c r="D9312" t="str">
        <f t="shared" si="3429"/>
        <v>THURMONT</v>
      </c>
      <c r="E9312" t="str">
        <f t="shared" si="3430"/>
        <v>MD</v>
      </c>
      <c r="F9312" t="str">
        <f t="shared" si="3431"/>
        <v>217885001</v>
      </c>
      <c r="G9312" t="str">
        <f>T("NSF THURMONT")</f>
        <v>NSF THURMONT</v>
      </c>
      <c r="H9312" t="str">
        <f t="shared" si="3434"/>
        <v>P O BOX 1000</v>
      </c>
      <c r="I9312" t="str">
        <f t="shared" si="3432"/>
        <v>THURMONT</v>
      </c>
      <c r="J9312" t="str">
        <f t="shared" si="3433"/>
        <v>MD</v>
      </c>
      <c r="K9312" t="str">
        <f>T("3012711442")</f>
        <v>3012711442</v>
      </c>
      <c r="L9312" t="str">
        <f>T("3012711442")</f>
        <v>3012711442</v>
      </c>
    </row>
    <row r="9313" spans="1:12" x14ac:dyDescent="0.35">
      <c r="A9313" t="str">
        <f t="shared" si="3427"/>
        <v>NELO</v>
      </c>
      <c r="B9313" t="str">
        <f t="shared" si="3428"/>
        <v>P O BOX 1000</v>
      </c>
      <c r="C9313" t="str">
        <f t="shared" si="3422"/>
        <v/>
      </c>
      <c r="D9313" t="str">
        <f t="shared" si="3429"/>
        <v>THURMONT</v>
      </c>
      <c r="E9313" t="str">
        <f t="shared" si="3430"/>
        <v>MD</v>
      </c>
      <c r="F9313" t="str">
        <f t="shared" si="3431"/>
        <v>217885001</v>
      </c>
      <c r="G9313" t="str">
        <f>T("NSF THURMONT")</f>
        <v>NSF THURMONT</v>
      </c>
      <c r="H9313" t="str">
        <f>T("PO BOX 1000")</f>
        <v>PO BOX 1000</v>
      </c>
      <c r="I9313" t="str">
        <f t="shared" si="3432"/>
        <v>THURMONT</v>
      </c>
      <c r="J9313" t="str">
        <f t="shared" si="3433"/>
        <v>MD</v>
      </c>
      <c r="K9313" t="str">
        <f>T("3012711365")</f>
        <v>3012711365</v>
      </c>
      <c r="L9313" t="str">
        <f>T("3012711452")</f>
        <v>3012711452</v>
      </c>
    </row>
    <row r="9314" spans="1:12" x14ac:dyDescent="0.35">
      <c r="A9314" t="str">
        <f t="shared" si="3427"/>
        <v>NELO</v>
      </c>
      <c r="B9314" t="str">
        <f t="shared" si="3428"/>
        <v>P O BOX 1000</v>
      </c>
      <c r="C9314" t="str">
        <f t="shared" si="3422"/>
        <v/>
      </c>
      <c r="D9314" t="str">
        <f t="shared" si="3429"/>
        <v>THURMONT</v>
      </c>
      <c r="E9314" t="str">
        <f t="shared" si="3430"/>
        <v>MD</v>
      </c>
      <c r="F9314" t="str">
        <f t="shared" si="3431"/>
        <v>217885001</v>
      </c>
      <c r="G9314" t="str">
        <f>T("P O BOX 1000")</f>
        <v>P O BOX 1000</v>
      </c>
      <c r="H9314" t="str">
        <f>T("")</f>
        <v/>
      </c>
      <c r="I9314" t="str">
        <f t="shared" si="3432"/>
        <v>THURMONT</v>
      </c>
      <c r="J9314" t="str">
        <f t="shared" si="3433"/>
        <v>MD</v>
      </c>
      <c r="K9314" t="str">
        <f>T("301-271-1365")</f>
        <v>301-271-1365</v>
      </c>
      <c r="L9314" t="str">
        <f>T("3012711440")</f>
        <v>3012711440</v>
      </c>
    </row>
    <row r="9315" spans="1:12" x14ac:dyDescent="0.35">
      <c r="A9315" t="str">
        <f t="shared" si="3427"/>
        <v>NELO</v>
      </c>
      <c r="B9315" t="str">
        <f t="shared" si="3428"/>
        <v>P O BOX 1000</v>
      </c>
      <c r="C9315" t="str">
        <f t="shared" si="3422"/>
        <v/>
      </c>
      <c r="D9315" t="str">
        <f t="shared" si="3429"/>
        <v>THURMONT</v>
      </c>
      <c r="E9315" t="str">
        <f t="shared" si="3430"/>
        <v>MD</v>
      </c>
      <c r="F9315" t="str">
        <f t="shared" si="3431"/>
        <v>217885001</v>
      </c>
      <c r="G9315" t="str">
        <f>T("P O BOX 1000")</f>
        <v>P O BOX 1000</v>
      </c>
      <c r="H9315" t="str">
        <f>T("")</f>
        <v/>
      </c>
      <c r="I9315" t="str">
        <f t="shared" si="3432"/>
        <v>THURMONT</v>
      </c>
      <c r="J9315" t="str">
        <f t="shared" si="3433"/>
        <v>MD</v>
      </c>
      <c r="K9315" t="str">
        <f>T("301-271-1527")</f>
        <v>301-271-1527</v>
      </c>
      <c r="L9315" t="str">
        <f>T("3012711420")</f>
        <v>3012711420</v>
      </c>
    </row>
    <row r="9316" spans="1:12" x14ac:dyDescent="0.35">
      <c r="A9316" t="str">
        <f t="shared" si="3427"/>
        <v>NELO</v>
      </c>
      <c r="B9316" t="str">
        <f t="shared" si="3428"/>
        <v>P O BOX 1000</v>
      </c>
      <c r="C9316" t="str">
        <f t="shared" si="3422"/>
        <v/>
      </c>
      <c r="D9316" t="str">
        <f t="shared" si="3429"/>
        <v>THURMONT</v>
      </c>
      <c r="E9316" t="str">
        <f t="shared" si="3430"/>
        <v>MD</v>
      </c>
      <c r="F9316" t="str">
        <f t="shared" si="3431"/>
        <v>217885001</v>
      </c>
      <c r="G9316" t="str">
        <f>T("P O BOX 1000")</f>
        <v>P O BOX 1000</v>
      </c>
      <c r="H9316" t="str">
        <f>T("")</f>
        <v/>
      </c>
      <c r="I9316" t="str">
        <f t="shared" si="3432"/>
        <v>THURMONT</v>
      </c>
      <c r="J9316" t="str">
        <f t="shared" si="3433"/>
        <v>MD</v>
      </c>
      <c r="K9316" t="str">
        <f t="shared" ref="K9316:K9321" si="3435">T("3012711365")</f>
        <v>3012711365</v>
      </c>
      <c r="L9316" t="str">
        <f>T("3012711440")</f>
        <v>3012711440</v>
      </c>
    </row>
    <row r="9317" spans="1:12" x14ac:dyDescent="0.35">
      <c r="A9317" t="str">
        <f t="shared" si="3427"/>
        <v>NELO</v>
      </c>
      <c r="B9317" t="str">
        <f t="shared" si="3428"/>
        <v>P O BOX 1000</v>
      </c>
      <c r="C9317" t="str">
        <f t="shared" si="3422"/>
        <v/>
      </c>
      <c r="D9317" t="str">
        <f t="shared" si="3429"/>
        <v>THURMONT</v>
      </c>
      <c r="E9317" t="str">
        <f t="shared" si="3430"/>
        <v>MD</v>
      </c>
      <c r="F9317" t="str">
        <f t="shared" si="3431"/>
        <v>217885001</v>
      </c>
      <c r="G9317" t="str">
        <f>T("P O BOX 1000")</f>
        <v>P O BOX 1000</v>
      </c>
      <c r="H9317" t="str">
        <f>T("")</f>
        <v/>
      </c>
      <c r="I9317" t="str">
        <f t="shared" si="3432"/>
        <v>THURMONT</v>
      </c>
      <c r="J9317" t="str">
        <f t="shared" si="3433"/>
        <v>MD</v>
      </c>
      <c r="K9317" t="str">
        <f t="shared" si="3435"/>
        <v>3012711365</v>
      </c>
      <c r="L9317" t="str">
        <f>T("3012711480")</f>
        <v>3012711480</v>
      </c>
    </row>
    <row r="9318" spans="1:12" x14ac:dyDescent="0.35">
      <c r="A9318" t="str">
        <f t="shared" si="3427"/>
        <v>NELO</v>
      </c>
      <c r="B9318" t="str">
        <f t="shared" si="3428"/>
        <v>P O BOX 1000</v>
      </c>
      <c r="C9318" t="str">
        <f t="shared" si="3422"/>
        <v/>
      </c>
      <c r="D9318" t="str">
        <f t="shared" si="3429"/>
        <v>THURMONT</v>
      </c>
      <c r="E9318" t="str">
        <f t="shared" si="3430"/>
        <v>MD</v>
      </c>
      <c r="F9318" t="str">
        <f t="shared" si="3431"/>
        <v>217885001</v>
      </c>
      <c r="G9318" t="str">
        <f>T("PO BOX 1000")</f>
        <v>PO BOX 1000</v>
      </c>
      <c r="H9318" t="str">
        <f>T("")</f>
        <v/>
      </c>
      <c r="I9318" t="str">
        <f t="shared" si="3432"/>
        <v>THURMONT</v>
      </c>
      <c r="J9318" t="str">
        <f t="shared" si="3433"/>
        <v>MD</v>
      </c>
      <c r="K9318" t="str">
        <f t="shared" si="3435"/>
        <v>3012711365</v>
      </c>
      <c r="L9318" t="str">
        <f>T("3012711440")</f>
        <v>3012711440</v>
      </c>
    </row>
    <row r="9319" spans="1:12" x14ac:dyDescent="0.35">
      <c r="A9319" t="str">
        <f t="shared" si="3427"/>
        <v>NELO</v>
      </c>
      <c r="B9319" t="str">
        <f t="shared" ref="B9319:B9324" si="3436">T("PO BOX 1000")</f>
        <v>PO BOX 1000</v>
      </c>
      <c r="C9319" t="str">
        <f t="shared" si="3422"/>
        <v/>
      </c>
      <c r="D9319" t="str">
        <f t="shared" si="3429"/>
        <v>THURMONT</v>
      </c>
      <c r="E9319" t="str">
        <f t="shared" si="3430"/>
        <v>MD</v>
      </c>
      <c r="F9319" t="str">
        <f t="shared" si="3431"/>
        <v>217885001</v>
      </c>
      <c r="G9319" t="str">
        <f>T("NSF THURMONT")</f>
        <v>NSF THURMONT</v>
      </c>
      <c r="H9319" t="str">
        <f>T("P O BOX 1000")</f>
        <v>P O BOX 1000</v>
      </c>
      <c r="I9319" t="str">
        <f t="shared" si="3432"/>
        <v>THURMONT</v>
      </c>
      <c r="J9319" t="str">
        <f t="shared" si="3433"/>
        <v>MD</v>
      </c>
      <c r="K9319" t="str">
        <f t="shared" si="3435"/>
        <v>3012711365</v>
      </c>
      <c r="L9319" t="str">
        <f>T("2028141423")</f>
        <v>2028141423</v>
      </c>
    </row>
    <row r="9320" spans="1:12" x14ac:dyDescent="0.35">
      <c r="A9320" t="str">
        <f t="shared" si="3427"/>
        <v>NELO</v>
      </c>
      <c r="B9320" t="str">
        <f t="shared" si="3436"/>
        <v>PO BOX 1000</v>
      </c>
      <c r="C9320" t="str">
        <f t="shared" si="3422"/>
        <v/>
      </c>
      <c r="D9320" t="str">
        <f t="shared" si="3429"/>
        <v>THURMONT</v>
      </c>
      <c r="E9320" t="str">
        <f t="shared" si="3430"/>
        <v>MD</v>
      </c>
      <c r="F9320" t="str">
        <f t="shared" si="3431"/>
        <v>217885001</v>
      </c>
      <c r="G9320" t="str">
        <f>T("NSF THURMONT")</f>
        <v>NSF THURMONT</v>
      </c>
      <c r="H9320" t="str">
        <f>T("P O BOX 1000")</f>
        <v>P O BOX 1000</v>
      </c>
      <c r="I9320" t="str">
        <f t="shared" si="3432"/>
        <v>THURMONT</v>
      </c>
      <c r="J9320" t="str">
        <f t="shared" si="3433"/>
        <v>MD</v>
      </c>
      <c r="K9320" t="str">
        <f t="shared" si="3435"/>
        <v>3012711365</v>
      </c>
      <c r="L9320" t="str">
        <f>T("3012711283")</f>
        <v>3012711283</v>
      </c>
    </row>
    <row r="9321" spans="1:12" x14ac:dyDescent="0.35">
      <c r="A9321" t="str">
        <f t="shared" si="3427"/>
        <v>NELO</v>
      </c>
      <c r="B9321" t="str">
        <f t="shared" si="3436"/>
        <v>PO BOX 1000</v>
      </c>
      <c r="C9321" t="str">
        <f t="shared" si="3422"/>
        <v/>
      </c>
      <c r="D9321" t="str">
        <f t="shared" si="3429"/>
        <v>THURMONT</v>
      </c>
      <c r="E9321" t="str">
        <f t="shared" si="3430"/>
        <v>MD</v>
      </c>
      <c r="F9321" t="str">
        <f t="shared" si="3431"/>
        <v>217885001</v>
      </c>
      <c r="G9321" t="str">
        <f>T("NSF THURMONT")</f>
        <v>NSF THURMONT</v>
      </c>
      <c r="H9321" t="str">
        <f>T("P O BOX 1000")</f>
        <v>P O BOX 1000</v>
      </c>
      <c r="I9321" t="str">
        <f t="shared" si="3432"/>
        <v>THURMONT</v>
      </c>
      <c r="J9321" t="str">
        <f t="shared" si="3433"/>
        <v>MD</v>
      </c>
      <c r="K9321" t="str">
        <f t="shared" si="3435"/>
        <v>3012711365</v>
      </c>
      <c r="L9321" t="str">
        <f>T("3012711577")</f>
        <v>3012711577</v>
      </c>
    </row>
    <row r="9322" spans="1:12" x14ac:dyDescent="0.35">
      <c r="A9322" t="str">
        <f t="shared" si="3427"/>
        <v>NELO</v>
      </c>
      <c r="B9322" t="str">
        <f t="shared" si="3436"/>
        <v>PO BOX 1000</v>
      </c>
      <c r="C9322" t="str">
        <f t="shared" si="3422"/>
        <v/>
      </c>
      <c r="D9322" t="str">
        <f t="shared" si="3429"/>
        <v>THURMONT</v>
      </c>
      <c r="E9322" t="str">
        <f t="shared" si="3430"/>
        <v>MD</v>
      </c>
      <c r="F9322" t="str">
        <f t="shared" si="3431"/>
        <v>217885001</v>
      </c>
      <c r="G9322" t="str">
        <f>T("NSF THURMONT")</f>
        <v>NSF THURMONT</v>
      </c>
      <c r="H9322" t="str">
        <f>T("P O BOX 1000")</f>
        <v>P O BOX 1000</v>
      </c>
      <c r="I9322" t="str">
        <f t="shared" si="3432"/>
        <v>THURMONT</v>
      </c>
      <c r="J9322" t="str">
        <f t="shared" si="3433"/>
        <v>MD</v>
      </c>
      <c r="K9322" t="str">
        <f>T("3012711527")</f>
        <v>3012711527</v>
      </c>
      <c r="L9322" t="str">
        <f>T("3012711283")</f>
        <v>3012711283</v>
      </c>
    </row>
    <row r="9323" spans="1:12" x14ac:dyDescent="0.35">
      <c r="A9323" t="str">
        <f t="shared" si="3427"/>
        <v>NELO</v>
      </c>
      <c r="B9323" t="str">
        <f t="shared" si="3436"/>
        <v>PO BOX 1000</v>
      </c>
      <c r="C9323" t="str">
        <f t="shared" si="3422"/>
        <v/>
      </c>
      <c r="D9323" t="str">
        <f t="shared" si="3429"/>
        <v>THURMONT</v>
      </c>
      <c r="E9323" t="str">
        <f t="shared" si="3430"/>
        <v>MD</v>
      </c>
      <c r="F9323" t="str">
        <f t="shared" si="3431"/>
        <v>217885001</v>
      </c>
      <c r="G9323" t="str">
        <f>T("NSF THURMONT")</f>
        <v>NSF THURMONT</v>
      </c>
      <c r="H9323" t="str">
        <f>T("P O BOX 1000")</f>
        <v>P O BOX 1000</v>
      </c>
      <c r="I9323" t="str">
        <f t="shared" si="3432"/>
        <v>THURMONT</v>
      </c>
      <c r="J9323" t="str">
        <f t="shared" si="3433"/>
        <v>MD</v>
      </c>
      <c r="K9323" t="str">
        <f>T("3012711527")</f>
        <v>3012711527</v>
      </c>
      <c r="L9323" t="str">
        <f>T("3012711420")</f>
        <v>3012711420</v>
      </c>
    </row>
    <row r="9324" spans="1:12" x14ac:dyDescent="0.35">
      <c r="A9324" t="str">
        <f t="shared" si="3427"/>
        <v>NELO</v>
      </c>
      <c r="B9324" t="str">
        <f t="shared" si="3436"/>
        <v>PO BOX 1000</v>
      </c>
      <c r="C9324" t="str">
        <f t="shared" si="3422"/>
        <v/>
      </c>
      <c r="D9324" t="str">
        <f t="shared" si="3429"/>
        <v>THURMONT</v>
      </c>
      <c r="E9324" t="str">
        <f t="shared" si="3430"/>
        <v>MD</v>
      </c>
      <c r="F9324" t="str">
        <f t="shared" si="3431"/>
        <v>217885001</v>
      </c>
      <c r="G9324" t="str">
        <f>T("PO BOX 1000")</f>
        <v>PO BOX 1000</v>
      </c>
      <c r="H9324" t="str">
        <f>T("")</f>
        <v/>
      </c>
      <c r="I9324" t="str">
        <f t="shared" si="3432"/>
        <v>THURMONT</v>
      </c>
      <c r="J9324" t="str">
        <f t="shared" si="3433"/>
        <v>MD</v>
      </c>
      <c r="K9324" t="str">
        <f>T("3012711527")</f>
        <v>3012711527</v>
      </c>
      <c r="L9324" t="str">
        <f>T("3012711429")</f>
        <v>3012711429</v>
      </c>
    </row>
    <row r="9325" spans="1:12" x14ac:dyDescent="0.35">
      <c r="A9325" t="str">
        <f t="shared" ref="A9325:A9346" si="3437">T("NELO OMNI")</f>
        <v>NELO OMNI</v>
      </c>
      <c r="B9325" t="str">
        <f>T("391 BROOKLEY AVE SW")</f>
        <v>391 BROOKLEY AVE SW</v>
      </c>
      <c r="C9325" t="str">
        <f>T("STE W100 RM 3092")</f>
        <v>STE W100 RM 3092</v>
      </c>
      <c r="D9325" t="str">
        <f t="shared" ref="D9325:D9330" si="3438">T("JBAB")</f>
        <v>JBAB</v>
      </c>
      <c r="E9325" t="str">
        <f t="shared" ref="E9325:E9330" si="3439">T("DC")</f>
        <v>DC</v>
      </c>
      <c r="F9325" t="str">
        <f>T("203735123")</f>
        <v>203735123</v>
      </c>
      <c r="G9325" t="str">
        <f>T("391 BROOKLEY AVE SW")</f>
        <v>391 BROOKLEY AVE SW</v>
      </c>
      <c r="H9325" t="str">
        <f>T("STE W100")</f>
        <v>STE W100</v>
      </c>
      <c r="I9325" t="str">
        <f>T("WASHINGTON")</f>
        <v>WASHINGTON</v>
      </c>
      <c r="J9325" t="str">
        <f>T("DC")</f>
        <v>DC</v>
      </c>
      <c r="K9325" t="str">
        <f>T("2022841964")</f>
        <v>2022841964</v>
      </c>
      <c r="L9325" t="str">
        <f>T("2022841167")</f>
        <v>2022841167</v>
      </c>
    </row>
    <row r="9326" spans="1:12" x14ac:dyDescent="0.35">
      <c r="A9326" t="str">
        <f t="shared" si="3437"/>
        <v>NELO OMNI</v>
      </c>
      <c r="B9326" t="str">
        <f>T("391 BROOKLEY AVE SW")</f>
        <v>391 BROOKLEY AVE SW</v>
      </c>
      <c r="C9326" t="str">
        <f>T("STE W100 RM 3092")</f>
        <v>STE W100 RM 3092</v>
      </c>
      <c r="D9326" t="str">
        <f t="shared" si="3438"/>
        <v>JBAB</v>
      </c>
      <c r="E9326" t="str">
        <f t="shared" si="3439"/>
        <v>DC</v>
      </c>
      <c r="F9326" t="str">
        <f>T("203735123")</f>
        <v>203735123</v>
      </c>
      <c r="G9326" t="str">
        <f>T("391 BROOKLEY AVE SW")</f>
        <v>391 BROOKLEY AVE SW</v>
      </c>
      <c r="H9326" t="str">
        <f>T("STE W100 RM 3092")</f>
        <v>STE W100 RM 3092</v>
      </c>
      <c r="I9326" t="str">
        <f>T("JBAB")</f>
        <v>JBAB</v>
      </c>
      <c r="J9326" t="str">
        <f>T("DC")</f>
        <v>DC</v>
      </c>
      <c r="K9326" t="str">
        <f>T("202-284-1964")</f>
        <v>202-284-1964</v>
      </c>
      <c r="L9326" t="str">
        <f>T("2022841341")</f>
        <v>2022841341</v>
      </c>
    </row>
    <row r="9327" spans="1:12" x14ac:dyDescent="0.35">
      <c r="A9327" t="str">
        <f t="shared" si="3437"/>
        <v>NELO OMNI</v>
      </c>
      <c r="B9327" t="str">
        <f>T("391 BROOKLEY AVE SW")</f>
        <v>391 BROOKLEY AVE SW</v>
      </c>
      <c r="C9327" t="str">
        <f>T("STE W100 RM 3092")</f>
        <v>STE W100 RM 3092</v>
      </c>
      <c r="D9327" t="str">
        <f t="shared" si="3438"/>
        <v>JBAB</v>
      </c>
      <c r="E9327" t="str">
        <f t="shared" si="3439"/>
        <v>DC</v>
      </c>
      <c r="F9327" t="str">
        <f>T("203735123")</f>
        <v>203735123</v>
      </c>
      <c r="G9327" t="str">
        <f>T("391 BROOKLEY AVE SW SUITE 3090")</f>
        <v>391 BROOKLEY AVE SW SUITE 3090</v>
      </c>
      <c r="H9327" t="str">
        <f>T("")</f>
        <v/>
      </c>
      <c r="I9327" t="str">
        <f>T("JBAB")</f>
        <v>JBAB</v>
      </c>
      <c r="J9327" t="str">
        <f>T("DC")</f>
        <v>DC</v>
      </c>
      <c r="K9327" t="str">
        <f>T("2022841694")</f>
        <v>2022841694</v>
      </c>
      <c r="L9327" t="str">
        <f>T("2022841366")</f>
        <v>2022841366</v>
      </c>
    </row>
    <row r="9328" spans="1:12" x14ac:dyDescent="0.35">
      <c r="A9328" t="str">
        <f t="shared" si="3437"/>
        <v>NELO OMNI</v>
      </c>
      <c r="B9328" t="str">
        <f>T("391 BROOKLEY AVE SW STE W1")</f>
        <v>391 BROOKLEY AVE SW STE W1</v>
      </c>
      <c r="C9328" t="str">
        <f>T("RM W110E")</f>
        <v>RM W110E</v>
      </c>
      <c r="D9328" t="str">
        <f t="shared" si="3438"/>
        <v>JBAB</v>
      </c>
      <c r="E9328" t="str">
        <f t="shared" si="3439"/>
        <v>DC</v>
      </c>
      <c r="F9328" t="str">
        <f>T("203730001")</f>
        <v>203730001</v>
      </c>
      <c r="G9328" t="str">
        <f>T("3 ADMINISTRATION AVE")</f>
        <v>3 ADMINISTRATION AVE</v>
      </c>
      <c r="H9328" t="str">
        <f>T("")</f>
        <v/>
      </c>
      <c r="I9328" t="str">
        <f>T("PORTSMOUTH")</f>
        <v>PORTSMOUTH</v>
      </c>
      <c r="J9328" t="str">
        <f>T("VA")</f>
        <v>VA</v>
      </c>
      <c r="K9328" t="str">
        <f>T("7579672424")</f>
        <v>7579672424</v>
      </c>
      <c r="L9328" t="str">
        <f>T("7579672916")</f>
        <v>7579672916</v>
      </c>
    </row>
    <row r="9329" spans="1:12" x14ac:dyDescent="0.35">
      <c r="A9329" t="str">
        <f t="shared" si="3437"/>
        <v>NELO OMNI</v>
      </c>
      <c r="B9329" t="str">
        <f>T("391 BROOKLEY AVE SW STE W1")</f>
        <v>391 BROOKLEY AVE SW STE W1</v>
      </c>
      <c r="C9329" t="str">
        <f>T("RM W110E")</f>
        <v>RM W110E</v>
      </c>
      <c r="D9329" t="str">
        <f t="shared" si="3438"/>
        <v>JBAB</v>
      </c>
      <c r="E9329" t="str">
        <f t="shared" si="3439"/>
        <v>DC</v>
      </c>
      <c r="F9329" t="str">
        <f>T("203730001")</f>
        <v>203730001</v>
      </c>
      <c r="G9329" t="str">
        <f>T("391 BROOKLEY AVE SW STE W1")</f>
        <v>391 BROOKLEY AVE SW STE W1</v>
      </c>
      <c r="H9329" t="str">
        <f>T("RM W110E")</f>
        <v>RM W110E</v>
      </c>
      <c r="I9329" t="str">
        <f>T("JBAB")</f>
        <v>JBAB</v>
      </c>
      <c r="J9329" t="str">
        <f>T("DC")</f>
        <v>DC</v>
      </c>
      <c r="K9329" t="str">
        <f>T("7036994550")</f>
        <v>7036994550</v>
      </c>
      <c r="L9329" t="str">
        <f>T("2022841548")</f>
        <v>2022841548</v>
      </c>
    </row>
    <row r="9330" spans="1:12" x14ac:dyDescent="0.35">
      <c r="A9330" t="str">
        <f t="shared" si="3437"/>
        <v>NELO OMNI</v>
      </c>
      <c r="B9330" t="str">
        <f>T("391 BROOKLEY AVE SW STE W1")</f>
        <v>391 BROOKLEY AVE SW STE W1</v>
      </c>
      <c r="C9330" t="str">
        <f>T("RM W110E")</f>
        <v>RM W110E</v>
      </c>
      <c r="D9330" t="str">
        <f t="shared" si="3438"/>
        <v>JBAB</v>
      </c>
      <c r="E9330" t="str">
        <f t="shared" si="3439"/>
        <v>DC</v>
      </c>
      <c r="F9330" t="str">
        <f>T("203730001")</f>
        <v>203730001</v>
      </c>
      <c r="G9330" t="str">
        <f>T("391 BROOKLEY AVE SW STE W100")</f>
        <v>391 BROOKLEY AVE SW STE W100</v>
      </c>
      <c r="H9330" t="str">
        <f>T("RM W110-18")</f>
        <v>RM W110-18</v>
      </c>
      <c r="I9330" t="str">
        <f>T("JBAB")</f>
        <v>JBAB</v>
      </c>
      <c r="J9330" t="str">
        <f>T("DC")</f>
        <v>DC</v>
      </c>
      <c r="K9330" t="str">
        <f>T("")</f>
        <v/>
      </c>
      <c r="L9330" t="str">
        <f>T("1111111111")</f>
        <v>1111111111</v>
      </c>
    </row>
    <row r="9331" spans="1:12" x14ac:dyDescent="0.35">
      <c r="A9331" t="str">
        <f t="shared" si="3437"/>
        <v>NELO OMNI</v>
      </c>
      <c r="B9331" t="str">
        <f>T("4800 MARK CENTER DRIVE")</f>
        <v>4800 MARK CENTER DRIVE</v>
      </c>
      <c r="C9331" t="str">
        <f>T("SUITE 13E13")</f>
        <v>SUITE 13E13</v>
      </c>
      <c r="D9331" t="str">
        <f t="shared" ref="D9331:D9338" si="3440">T("ALEXANDRIA")</f>
        <v>ALEXANDRIA</v>
      </c>
      <c r="E9331" t="str">
        <f t="shared" ref="E9331:E9338" si="3441">T("VA")</f>
        <v>VA</v>
      </c>
      <c r="F9331" t="str">
        <f t="shared" ref="F9331:F9338" si="3442">T("223500002")</f>
        <v>223500002</v>
      </c>
      <c r="G9331" t="str">
        <f>T("4800 MARK CENTER DRIVE")</f>
        <v>4800 MARK CENTER DRIVE</v>
      </c>
      <c r="H9331" t="str">
        <f>T("13STE13")</f>
        <v>13STE13</v>
      </c>
      <c r="I9331" t="str">
        <f>T("ALEXANDRIA")</f>
        <v>ALEXANDRIA</v>
      </c>
      <c r="J9331" t="str">
        <f>T("VA")</f>
        <v>VA</v>
      </c>
      <c r="K9331" t="str">
        <f>T("5713727363")</f>
        <v>5713727363</v>
      </c>
      <c r="L9331" t="str">
        <f>T("5713727338")</f>
        <v>5713727338</v>
      </c>
    </row>
    <row r="9332" spans="1:12" x14ac:dyDescent="0.35">
      <c r="A9332" t="str">
        <f t="shared" si="3437"/>
        <v>NELO OMNI</v>
      </c>
      <c r="B9332" t="str">
        <f>T("4800 MARK CENTER DRIVE")</f>
        <v>4800 MARK CENTER DRIVE</v>
      </c>
      <c r="C9332" t="str">
        <f>T("SUITE 13E13")</f>
        <v>SUITE 13E13</v>
      </c>
      <c r="D9332" t="str">
        <f t="shared" si="3440"/>
        <v>ALEXANDRIA</v>
      </c>
      <c r="E9332" t="str">
        <f t="shared" si="3441"/>
        <v>VA</v>
      </c>
      <c r="F9332" t="str">
        <f t="shared" si="3442"/>
        <v>223500002</v>
      </c>
      <c r="G9332" t="str">
        <f>T("4800 MARK CENTER DRIVE")</f>
        <v>4800 MARK CENTER DRIVE</v>
      </c>
      <c r="H9332" t="str">
        <f>T("SUITE 13E13")</f>
        <v>SUITE 13E13</v>
      </c>
      <c r="I9332" t="str">
        <f>T("ALEXANDRIA")</f>
        <v>ALEXANDRIA</v>
      </c>
      <c r="J9332" t="str">
        <f>T("VA")</f>
        <v>VA</v>
      </c>
      <c r="K9332" t="str">
        <f>T("5713727363")</f>
        <v>5713727363</v>
      </c>
      <c r="L9332" t="str">
        <f>T("5713727317")</f>
        <v>5713727317</v>
      </c>
    </row>
    <row r="9333" spans="1:12" x14ac:dyDescent="0.35">
      <c r="A9333" t="str">
        <f t="shared" si="3437"/>
        <v>NELO OMNI</v>
      </c>
      <c r="B9333" t="str">
        <f>T("4800 MARK CENTER DRIVE")</f>
        <v>4800 MARK CENTER DRIVE</v>
      </c>
      <c r="C9333" t="str">
        <f>T("SUITE 13E13")</f>
        <v>SUITE 13E13</v>
      </c>
      <c r="D9333" t="str">
        <f t="shared" si="3440"/>
        <v>ALEXANDRIA</v>
      </c>
      <c r="E9333" t="str">
        <f t="shared" si="3441"/>
        <v>VA</v>
      </c>
      <c r="F9333" t="str">
        <f t="shared" si="3442"/>
        <v>223500002</v>
      </c>
      <c r="G9333" t="str">
        <f>T("4800 MARK CENTER DRIVE SUITE 13E13")</f>
        <v>4800 MARK CENTER DRIVE SUITE 13E13</v>
      </c>
      <c r="H9333" t="str">
        <f>T("")</f>
        <v/>
      </c>
      <c r="I9333" t="str">
        <f>T("ALEXANDRIA")</f>
        <v>ALEXANDRIA</v>
      </c>
      <c r="J9333" t="str">
        <f>T("VA")</f>
        <v>VA</v>
      </c>
      <c r="K9333" t="str">
        <f>T("5713727244")</f>
        <v>5713727244</v>
      </c>
      <c r="L9333" t="str">
        <f>T("5713727287")</f>
        <v>5713727287</v>
      </c>
    </row>
    <row r="9334" spans="1:12" x14ac:dyDescent="0.35">
      <c r="A9334" t="str">
        <f t="shared" si="3437"/>
        <v>NELO OMNI</v>
      </c>
      <c r="B9334" t="str">
        <f>T("4800 MARK CENTER DRIVE")</f>
        <v>4800 MARK CENTER DRIVE</v>
      </c>
      <c r="C9334" t="str">
        <f>T("SUITE 13E13")</f>
        <v>SUITE 13E13</v>
      </c>
      <c r="D9334" t="str">
        <f t="shared" si="3440"/>
        <v>ALEXANDRIA</v>
      </c>
      <c r="E9334" t="str">
        <f t="shared" si="3441"/>
        <v>VA</v>
      </c>
      <c r="F9334" t="str">
        <f t="shared" si="3442"/>
        <v>223500002</v>
      </c>
      <c r="G9334" t="str">
        <f>T("CTTSO")</f>
        <v>CTTSO</v>
      </c>
      <c r="H9334" t="str">
        <f>T("4800 MARK CENTER DRIVE SUITE 13E13")</f>
        <v>4800 MARK CENTER DRIVE SUITE 13E13</v>
      </c>
      <c r="I9334" t="str">
        <f>T("ALEXANDRIA")</f>
        <v>ALEXANDRIA</v>
      </c>
      <c r="J9334" t="str">
        <f>T("VA")</f>
        <v>VA</v>
      </c>
      <c r="K9334" t="str">
        <f>T("5713727244")</f>
        <v>5713727244</v>
      </c>
      <c r="L9334" t="str">
        <f>T("5713727342")</f>
        <v>5713727342</v>
      </c>
    </row>
    <row r="9335" spans="1:12" x14ac:dyDescent="0.35">
      <c r="A9335" t="str">
        <f t="shared" si="3437"/>
        <v>NELO OMNI</v>
      </c>
      <c r="B9335" t="str">
        <f>T("NELO")</f>
        <v>NELO</v>
      </c>
      <c r="C9335" t="str">
        <f>T("4800 MARK CENTER DR SUITE 13E13")</f>
        <v>4800 MARK CENTER DR SUITE 13E13</v>
      </c>
      <c r="D9335" t="str">
        <f t="shared" si="3440"/>
        <v>ALEXANDRIA</v>
      </c>
      <c r="E9335" t="str">
        <f t="shared" si="3441"/>
        <v>VA</v>
      </c>
      <c r="F9335" t="str">
        <f t="shared" si="3442"/>
        <v>223500002</v>
      </c>
      <c r="G9335" t="str">
        <f>T("391 BROOKLEY AVE SUITE 3094")</f>
        <v>391 BROOKLEY AVE SUITE 3094</v>
      </c>
      <c r="H9335" t="str">
        <f>T("JBAB")</f>
        <v>JBAB</v>
      </c>
      <c r="I9335" t="str">
        <f>T("WASHINGTON")</f>
        <v>WASHINGTON</v>
      </c>
      <c r="J9335" t="str">
        <f>T("DC")</f>
        <v>DC</v>
      </c>
      <c r="K9335" t="str">
        <f>T("2022841040")</f>
        <v>2022841040</v>
      </c>
      <c r="L9335" t="str">
        <f>T("2022841423")</f>
        <v>2022841423</v>
      </c>
    </row>
    <row r="9336" spans="1:12" x14ac:dyDescent="0.35">
      <c r="A9336" t="str">
        <f t="shared" si="3437"/>
        <v>NELO OMNI</v>
      </c>
      <c r="B9336" t="str">
        <f>T("NELO")</f>
        <v>NELO</v>
      </c>
      <c r="C9336" t="str">
        <f>T("4800 MARK CENTER DR SUITE 13E13")</f>
        <v>4800 MARK CENTER DR SUITE 13E13</v>
      </c>
      <c r="D9336" t="str">
        <f t="shared" si="3440"/>
        <v>ALEXANDRIA</v>
      </c>
      <c r="E9336" t="str">
        <f t="shared" si="3441"/>
        <v>VA</v>
      </c>
      <c r="F9336" t="str">
        <f t="shared" si="3442"/>
        <v>223500002</v>
      </c>
      <c r="G9336" t="str">
        <f>T("391 BROOKLEY AVENUE")</f>
        <v>391 BROOKLEY AVENUE</v>
      </c>
      <c r="H9336" t="str">
        <f>T("")</f>
        <v/>
      </c>
      <c r="I9336" t="str">
        <f>T("WASHINGTON")</f>
        <v>WASHINGTON</v>
      </c>
      <c r="J9336" t="str">
        <f>T("DC")</f>
        <v>DC</v>
      </c>
      <c r="K9336" t="str">
        <f>T("2022841040")</f>
        <v>2022841040</v>
      </c>
      <c r="L9336" t="str">
        <f>T("2022841460")</f>
        <v>2022841460</v>
      </c>
    </row>
    <row r="9337" spans="1:12" x14ac:dyDescent="0.35">
      <c r="A9337" t="str">
        <f t="shared" si="3437"/>
        <v>NELO OMNI</v>
      </c>
      <c r="B9337" t="str">
        <f>T("NELO")</f>
        <v>NELO</v>
      </c>
      <c r="C9337" t="str">
        <f>T("4800 MARK CENTER DR SUITE 13E13")</f>
        <v>4800 MARK CENTER DR SUITE 13E13</v>
      </c>
      <c r="D9337" t="str">
        <f t="shared" si="3440"/>
        <v>ALEXANDRIA</v>
      </c>
      <c r="E9337" t="str">
        <f t="shared" si="3441"/>
        <v>VA</v>
      </c>
      <c r="F9337" t="str">
        <f t="shared" si="3442"/>
        <v>223500002</v>
      </c>
      <c r="G9337" t="str">
        <f>T("NELO")</f>
        <v>NELO</v>
      </c>
      <c r="H9337" t="str">
        <f>T("391 BROOKLEY AVENUE SW SUITE 3094")</f>
        <v>391 BROOKLEY AVENUE SW SUITE 3094</v>
      </c>
      <c r="I9337" t="str">
        <f>T("JBAB")</f>
        <v>JBAB</v>
      </c>
      <c r="J9337" t="str">
        <f>T("DC")</f>
        <v>DC</v>
      </c>
      <c r="K9337" t="str">
        <f>T("2022841040")</f>
        <v>2022841040</v>
      </c>
      <c r="L9337" t="str">
        <f>T("2022841333")</f>
        <v>2022841333</v>
      </c>
    </row>
    <row r="9338" spans="1:12" x14ac:dyDescent="0.35">
      <c r="A9338" t="str">
        <f t="shared" si="3437"/>
        <v>NELO OMNI</v>
      </c>
      <c r="B9338" t="str">
        <f>T("NELO")</f>
        <v>NELO</v>
      </c>
      <c r="C9338" t="str">
        <f>T("4800 MARK CENTER DR SUITE 13E13")</f>
        <v>4800 MARK CENTER DR SUITE 13E13</v>
      </c>
      <c r="D9338" t="str">
        <f t="shared" si="3440"/>
        <v>ALEXANDRIA</v>
      </c>
      <c r="E9338" t="str">
        <f t="shared" si="3441"/>
        <v>VA</v>
      </c>
      <c r="F9338" t="str">
        <f t="shared" si="3442"/>
        <v>223500002</v>
      </c>
      <c r="G9338" t="str">
        <f>T("NELO")</f>
        <v>NELO</v>
      </c>
      <c r="H9338" t="str">
        <f>T("4800 MARK CENTER DR SUITE 13E13")</f>
        <v>4800 MARK CENTER DR SUITE 13E13</v>
      </c>
      <c r="I9338" t="str">
        <f>T("ALEXANDRIA")</f>
        <v>ALEXANDRIA</v>
      </c>
      <c r="J9338" t="str">
        <f>T("VA")</f>
        <v>VA</v>
      </c>
      <c r="K9338" t="str">
        <f>T("")</f>
        <v/>
      </c>
      <c r="L9338" t="str">
        <f>T("5713727317")</f>
        <v>5713727317</v>
      </c>
    </row>
    <row r="9339" spans="1:12" x14ac:dyDescent="0.35">
      <c r="A9339" t="str">
        <f t="shared" si="3437"/>
        <v>NELO OMNI</v>
      </c>
      <c r="B9339" t="str">
        <f>T("NELO 2300")</f>
        <v>NELO 2300</v>
      </c>
      <c r="C9339" t="str">
        <f>T("391 BROOKELY AVE SW STE W100")</f>
        <v>391 BROOKELY AVE SW STE W100</v>
      </c>
      <c r="D9339" t="str">
        <f>T("JBAB")</f>
        <v>JBAB</v>
      </c>
      <c r="E9339" t="str">
        <f t="shared" ref="E9339:E9346" si="3443">T("DC")</f>
        <v>DC</v>
      </c>
      <c r="F9339" t="str">
        <f t="shared" ref="F9339:F9346" si="3444">T("203735123")</f>
        <v>203735123</v>
      </c>
      <c r="G9339" t="str">
        <f>T("391 BROOKLEY AVE SW STE W100")</f>
        <v>391 BROOKLEY AVE SW STE W100</v>
      </c>
      <c r="H9339" t="str">
        <f>T("ATTN PENTAGON 2300")</f>
        <v>ATTN PENTAGON 2300</v>
      </c>
      <c r="I9339" t="str">
        <f>T("JBAB")</f>
        <v>JBAB</v>
      </c>
      <c r="J9339" t="str">
        <f t="shared" ref="J9339:J9346" si="3445">T("DC")</f>
        <v>DC</v>
      </c>
      <c r="K9339" t="str">
        <f>T("7036966470")</f>
        <v>7036966470</v>
      </c>
      <c r="L9339" t="str">
        <f>T("7036966449")</f>
        <v>7036966449</v>
      </c>
    </row>
    <row r="9340" spans="1:12" x14ac:dyDescent="0.35">
      <c r="A9340" t="str">
        <f t="shared" si="3437"/>
        <v>NELO OMNI</v>
      </c>
      <c r="B9340" t="str">
        <f>T("NELO 2300")</f>
        <v>NELO 2300</v>
      </c>
      <c r="C9340" t="str">
        <f>T("391 BROOKELY AVE SW STE W100")</f>
        <v>391 BROOKELY AVE SW STE W100</v>
      </c>
      <c r="D9340" t="str">
        <f>T("JBAB")</f>
        <v>JBAB</v>
      </c>
      <c r="E9340" t="str">
        <f t="shared" si="3443"/>
        <v>DC</v>
      </c>
      <c r="F9340" t="str">
        <f t="shared" si="3444"/>
        <v>203735123</v>
      </c>
      <c r="G9340" t="str">
        <f>T("NELO")</f>
        <v>NELO</v>
      </c>
      <c r="H9340" t="str">
        <f>T("391 BROOKLEY AVENUE SW STE W100 JBAB")</f>
        <v>391 BROOKLEY AVENUE SW STE W100 JBAB</v>
      </c>
      <c r="I9340" t="str">
        <f>T("WASHINGTON")</f>
        <v>WASHINGTON</v>
      </c>
      <c r="J9340" t="str">
        <f t="shared" si="3445"/>
        <v>DC</v>
      </c>
      <c r="K9340" t="str">
        <f>T("7036966470")</f>
        <v>7036966470</v>
      </c>
      <c r="L9340" t="str">
        <f>T("7036966450")</f>
        <v>7036966450</v>
      </c>
    </row>
    <row r="9341" spans="1:12" x14ac:dyDescent="0.35">
      <c r="A9341" t="str">
        <f t="shared" si="3437"/>
        <v>NELO OMNI</v>
      </c>
      <c r="B9341" t="str">
        <f>T("NELO 2300")</f>
        <v>NELO 2300</v>
      </c>
      <c r="C9341" t="str">
        <f>T("391 BROOKELY AVE SW STE W100")</f>
        <v>391 BROOKELY AVE SW STE W100</v>
      </c>
      <c r="D9341" t="str">
        <f>T("JBAB")</f>
        <v>JBAB</v>
      </c>
      <c r="E9341" t="str">
        <f t="shared" si="3443"/>
        <v>DC</v>
      </c>
      <c r="F9341" t="str">
        <f t="shared" si="3444"/>
        <v>203735123</v>
      </c>
      <c r="G9341" t="str">
        <f>T("NELO 2300")</f>
        <v>NELO 2300</v>
      </c>
      <c r="H9341" t="str">
        <f>T("391 BROOKELY AVE SW STE W100")</f>
        <v>391 BROOKELY AVE SW STE W100</v>
      </c>
      <c r="I9341" t="str">
        <f>T("JBAB")</f>
        <v>JBAB</v>
      </c>
      <c r="J9341" t="str">
        <f t="shared" si="3445"/>
        <v>DC</v>
      </c>
      <c r="K9341" t="str">
        <f>T("")</f>
        <v/>
      </c>
      <c r="L9341" t="str">
        <f>T("7036966447")</f>
        <v>7036966447</v>
      </c>
    </row>
    <row r="9342" spans="1:12" x14ac:dyDescent="0.35">
      <c r="A9342" t="str">
        <f t="shared" si="3437"/>
        <v>NELO OMNI</v>
      </c>
      <c r="B9342" t="str">
        <f>T("NELO-")</f>
        <v>NELO-</v>
      </c>
      <c r="C9342" t="str">
        <f>T("391 BROOKLEY AVE SW STE W100")</f>
        <v>391 BROOKLEY AVE SW STE W100</v>
      </c>
      <c r="D9342" t="str">
        <f>T("JBAB DC")</f>
        <v>JBAB DC</v>
      </c>
      <c r="E9342" t="str">
        <f t="shared" si="3443"/>
        <v>DC</v>
      </c>
      <c r="F9342" t="str">
        <f t="shared" si="3444"/>
        <v>203735123</v>
      </c>
      <c r="G9342" t="str">
        <f>T("391 BROOKLEY AVE SW STE W100")</f>
        <v>391 BROOKLEY AVE SW STE W100</v>
      </c>
      <c r="H9342" t="str">
        <f>T("")</f>
        <v/>
      </c>
      <c r="I9342" t="str">
        <f>T("JBAB")</f>
        <v>JBAB</v>
      </c>
      <c r="J9342" t="str">
        <f t="shared" si="3445"/>
        <v>DC</v>
      </c>
      <c r="K9342" t="str">
        <f>T("4104232174")</f>
        <v>4104232174</v>
      </c>
      <c r="L9342" t="str">
        <f>T("4104232721")</f>
        <v>4104232721</v>
      </c>
    </row>
    <row r="9343" spans="1:12" x14ac:dyDescent="0.35">
      <c r="A9343" t="str">
        <f t="shared" si="3437"/>
        <v>NELO OMNI</v>
      </c>
      <c r="B9343" t="str">
        <f>T("NELO-")</f>
        <v>NELO-</v>
      </c>
      <c r="C9343" t="str">
        <f>T("391 BROOKLEY AVE SW STE W100")</f>
        <v>391 BROOKLEY AVE SW STE W100</v>
      </c>
      <c r="D9343" t="str">
        <f>T("JBAB DC")</f>
        <v>JBAB DC</v>
      </c>
      <c r="E9343" t="str">
        <f t="shared" si="3443"/>
        <v>DC</v>
      </c>
      <c r="F9343" t="str">
        <f t="shared" si="3444"/>
        <v>203735123</v>
      </c>
      <c r="G9343" t="str">
        <f>T("391 BROOKLEY AVE SW STE W100")</f>
        <v>391 BROOKLEY AVE SW STE W100</v>
      </c>
      <c r="H9343" t="str">
        <f>T("JBAB")</f>
        <v>JBAB</v>
      </c>
      <c r="I9343" t="str">
        <f>T("WASHINGTON")</f>
        <v>WASHINGTON</v>
      </c>
      <c r="J9343" t="str">
        <f t="shared" si="3445"/>
        <v>DC</v>
      </c>
      <c r="K9343" t="str">
        <f>T("000000000000000000")</f>
        <v>000000000000000000</v>
      </c>
      <c r="L9343" t="str">
        <f>T("4104232720")</f>
        <v>4104232720</v>
      </c>
    </row>
    <row r="9344" spans="1:12" x14ac:dyDescent="0.35">
      <c r="A9344" t="str">
        <f t="shared" si="3437"/>
        <v>NELO OMNI</v>
      </c>
      <c r="B9344" t="str">
        <f>T("NELO-")</f>
        <v>NELO-</v>
      </c>
      <c r="C9344" t="str">
        <f>T("391 BROOKLEY AVE SW STE W100")</f>
        <v>391 BROOKLEY AVE SW STE W100</v>
      </c>
      <c r="D9344" t="str">
        <f>T("JBAB DC")</f>
        <v>JBAB DC</v>
      </c>
      <c r="E9344" t="str">
        <f t="shared" si="3443"/>
        <v>DC</v>
      </c>
      <c r="F9344" t="str">
        <f t="shared" si="3444"/>
        <v>203735123</v>
      </c>
      <c r="G9344" t="str">
        <f>T("NELO")</f>
        <v>NELO</v>
      </c>
      <c r="H9344" t="str">
        <f>T("391 BROOKLEY AVE SW STE W100")</f>
        <v>391 BROOKLEY AVE SW STE W100</v>
      </c>
      <c r="I9344" t="str">
        <f>T("JBAB")</f>
        <v>JBAB</v>
      </c>
      <c r="J9344" t="str">
        <f t="shared" si="3445"/>
        <v>DC</v>
      </c>
      <c r="K9344" t="str">
        <f>T("000000000000000000")</f>
        <v>000000000000000000</v>
      </c>
      <c r="L9344" t="str">
        <f>T("4106944490")</f>
        <v>4106944490</v>
      </c>
    </row>
    <row r="9345" spans="1:12" x14ac:dyDescent="0.35">
      <c r="A9345" t="str">
        <f t="shared" si="3437"/>
        <v>NELO OMNI</v>
      </c>
      <c r="B9345" t="str">
        <f>T("NELO-")</f>
        <v>NELO-</v>
      </c>
      <c r="C9345" t="str">
        <f>T("391 BROOKLEY AVE SW STE W100")</f>
        <v>391 BROOKLEY AVE SW STE W100</v>
      </c>
      <c r="D9345" t="str">
        <f>T("JBAB DC")</f>
        <v>JBAB DC</v>
      </c>
      <c r="E9345" t="str">
        <f t="shared" si="3443"/>
        <v>DC</v>
      </c>
      <c r="F9345" t="str">
        <f t="shared" si="3444"/>
        <v>203735123</v>
      </c>
      <c r="G9345" t="str">
        <f>T("NELO")</f>
        <v>NELO</v>
      </c>
      <c r="H9345" t="str">
        <f>T("391 BROOKLEY AVENUE SUITE W100")</f>
        <v>391 BROOKLEY AVENUE SUITE W100</v>
      </c>
      <c r="I9345" t="str">
        <f>T("JBAB WASHINGTON")</f>
        <v>JBAB WASHINGTON</v>
      </c>
      <c r="J9345" t="str">
        <f t="shared" si="3445"/>
        <v>DC</v>
      </c>
      <c r="K9345" t="str">
        <f>T("4104232174")</f>
        <v>4104232174</v>
      </c>
      <c r="L9345" t="str">
        <f>T("4104232718")</f>
        <v>4104232718</v>
      </c>
    </row>
    <row r="9346" spans="1:12" x14ac:dyDescent="0.35">
      <c r="A9346" t="str">
        <f t="shared" si="3437"/>
        <v>NELO OMNI</v>
      </c>
      <c r="B9346" t="str">
        <f>T("NELO-")</f>
        <v>NELO-</v>
      </c>
      <c r="C9346" t="str">
        <f>T("391 BROOKLEY AVE SW STE W100")</f>
        <v>391 BROOKLEY AVE SW STE W100</v>
      </c>
      <c r="D9346" t="str">
        <f>T("JBAB DC")</f>
        <v>JBAB DC</v>
      </c>
      <c r="E9346" t="str">
        <f t="shared" si="3443"/>
        <v>DC</v>
      </c>
      <c r="F9346" t="str">
        <f t="shared" si="3444"/>
        <v>203735123</v>
      </c>
      <c r="G9346" t="str">
        <f>T("NELO-")</f>
        <v>NELO-</v>
      </c>
      <c r="H9346" t="str">
        <f>T("391 BROOKLEY AVE SW STE W100")</f>
        <v>391 BROOKLEY AVE SW STE W100</v>
      </c>
      <c r="I9346" t="str">
        <f>T("JBAB DC")</f>
        <v>JBAB DC</v>
      </c>
      <c r="J9346" t="str">
        <f t="shared" si="3445"/>
        <v>DC</v>
      </c>
      <c r="K9346" t="str">
        <f>T("000000000000000000")</f>
        <v>000000000000000000</v>
      </c>
      <c r="L9346" t="str">
        <f>T("4108651919")</f>
        <v>4108651919</v>
      </c>
    </row>
    <row r="9347" spans="1:12" x14ac:dyDescent="0.35">
      <c r="A9347" t="str">
        <f>T("NELO-TSG")</f>
        <v>NELO-TSG</v>
      </c>
      <c r="B9347" t="str">
        <f>T("TSG")</f>
        <v>TSG</v>
      </c>
      <c r="C9347" t="str">
        <f>T("PO BOX 8581")</f>
        <v>PO BOX 8581</v>
      </c>
      <c r="D9347" t="str">
        <f t="shared" ref="D9347:D9358" si="3446">T("NORFOLK")</f>
        <v>NORFOLK</v>
      </c>
      <c r="E9347" t="str">
        <f t="shared" ref="E9347:E9358" si="3447">T("VA")</f>
        <v>VA</v>
      </c>
      <c r="F9347" t="str">
        <f>T("235030581")</f>
        <v>235030581</v>
      </c>
      <c r="G9347" t="str">
        <f>T("NELO EADS")</f>
        <v>NELO EADS</v>
      </c>
      <c r="H9347" t="str">
        <f>T("P O BOX 8581")</f>
        <v>P O BOX 8581</v>
      </c>
      <c r="I9347" t="str">
        <f t="shared" ref="I9347:I9358" si="3448">T("NORFOLK")</f>
        <v>NORFOLK</v>
      </c>
      <c r="J9347" t="str">
        <f t="shared" ref="J9347:J9358" si="3449">T("VA")</f>
        <v>VA</v>
      </c>
      <c r="K9347" t="str">
        <f>T("000000000000000000")</f>
        <v>000000000000000000</v>
      </c>
      <c r="L9347" t="str">
        <f>T("7574459657")</f>
        <v>7574459657</v>
      </c>
    </row>
    <row r="9348" spans="1:12" x14ac:dyDescent="0.35">
      <c r="A9348" t="str">
        <f>T("NELO-TSG")</f>
        <v>NELO-TSG</v>
      </c>
      <c r="B9348" t="str">
        <f>T("TSG")</f>
        <v>TSG</v>
      </c>
      <c r="C9348" t="str">
        <f>T("PO BOX 8581")</f>
        <v>PO BOX 8581</v>
      </c>
      <c r="D9348" t="str">
        <f t="shared" si="3446"/>
        <v>NORFOLK</v>
      </c>
      <c r="E9348" t="str">
        <f t="shared" si="3447"/>
        <v>VA</v>
      </c>
      <c r="F9348" t="str">
        <f>T("235030581")</f>
        <v>235030581</v>
      </c>
      <c r="G9348" t="str">
        <f>T("TSG")</f>
        <v>TSG</v>
      </c>
      <c r="H9348" t="str">
        <f>T("P O BOX 8581")</f>
        <v>P O BOX 8581</v>
      </c>
      <c r="I9348" t="str">
        <f t="shared" si="3448"/>
        <v>NORFOLK</v>
      </c>
      <c r="J9348" t="str">
        <f t="shared" si="3449"/>
        <v>VA</v>
      </c>
      <c r="K9348" t="str">
        <f>T("000000000000000000")</f>
        <v>000000000000000000</v>
      </c>
      <c r="L9348" t="str">
        <f>T("7574459657")</f>
        <v>7574459657</v>
      </c>
    </row>
    <row r="9349" spans="1:12" x14ac:dyDescent="0.35">
      <c r="A9349" t="str">
        <f>T("NELO-TSG")</f>
        <v>NELO-TSG</v>
      </c>
      <c r="B9349" t="str">
        <f>T("TSG")</f>
        <v>TSG</v>
      </c>
      <c r="C9349" t="str">
        <f>T("PO BOX 8581")</f>
        <v>PO BOX 8581</v>
      </c>
      <c r="D9349" t="str">
        <f t="shared" si="3446"/>
        <v>NORFOLK</v>
      </c>
      <c r="E9349" t="str">
        <f t="shared" si="3447"/>
        <v>VA</v>
      </c>
      <c r="F9349" t="str">
        <f>T("235030581")</f>
        <v>235030581</v>
      </c>
      <c r="G9349" t="str">
        <f>T("TSG")</f>
        <v>TSG</v>
      </c>
      <c r="H9349" t="str">
        <f>T("PO BOX 8581")</f>
        <v>PO BOX 8581</v>
      </c>
      <c r="I9349" t="str">
        <f t="shared" si="3448"/>
        <v>NORFOLK</v>
      </c>
      <c r="J9349" t="str">
        <f t="shared" si="3449"/>
        <v>VA</v>
      </c>
      <c r="K9349" t="str">
        <f>T("7574450917")</f>
        <v>7574450917</v>
      </c>
      <c r="L9349" t="str">
        <f>T("7574459657")</f>
        <v>7574459657</v>
      </c>
    </row>
    <row r="9350" spans="1:12" x14ac:dyDescent="0.35">
      <c r="A9350" t="str">
        <f t="shared" ref="A9350:A9358" si="3450">T("CNIC N8 NORFOLK")</f>
        <v>CNIC N8 NORFOLK</v>
      </c>
      <c r="B9350" t="str">
        <f t="shared" ref="B9350:B9358" si="3451">T("1837 MORRIS ST")</f>
        <v>1837 MORRIS ST</v>
      </c>
      <c r="C9350" t="str">
        <f>T("BLDG Z-133")</f>
        <v>BLDG Z-133</v>
      </c>
      <c r="D9350" t="str">
        <f t="shared" si="3446"/>
        <v>NORFOLK</v>
      </c>
      <c r="E9350" t="str">
        <f t="shared" si="3447"/>
        <v>VA</v>
      </c>
      <c r="F9350" t="str">
        <f t="shared" ref="F9350:F9358" si="3452">T("235113498")</f>
        <v>235113498</v>
      </c>
      <c r="G9350" t="str">
        <f t="shared" ref="G9350:G9356" si="3453">T("1837 MORRIS ST")</f>
        <v>1837 MORRIS ST</v>
      </c>
      <c r="H9350" t="str">
        <f>T("BLDG Z-133")</f>
        <v>BLDG Z-133</v>
      </c>
      <c r="I9350" t="str">
        <f t="shared" si="3448"/>
        <v>NORFOLK</v>
      </c>
      <c r="J9350" t="str">
        <f t="shared" si="3449"/>
        <v>VA</v>
      </c>
      <c r="K9350" t="str">
        <f>T("")</f>
        <v/>
      </c>
      <c r="L9350" t="str">
        <f>T("7574434447")</f>
        <v>7574434447</v>
      </c>
    </row>
    <row r="9351" spans="1:12" x14ac:dyDescent="0.35">
      <c r="A9351" t="str">
        <f t="shared" si="3450"/>
        <v>CNIC N8 NORFOLK</v>
      </c>
      <c r="B9351" t="str">
        <f t="shared" si="3451"/>
        <v>1837 MORRIS ST</v>
      </c>
      <c r="C9351" t="str">
        <f>T("BLDG Z-133")</f>
        <v>BLDG Z-133</v>
      </c>
      <c r="D9351" t="str">
        <f t="shared" si="3446"/>
        <v>NORFOLK</v>
      </c>
      <c r="E9351" t="str">
        <f t="shared" si="3447"/>
        <v>VA</v>
      </c>
      <c r="F9351" t="str">
        <f t="shared" si="3452"/>
        <v>235113498</v>
      </c>
      <c r="G9351" t="str">
        <f t="shared" si="3453"/>
        <v>1837 MORRIS ST</v>
      </c>
      <c r="H9351" t="str">
        <f>T("BLDG Z133")</f>
        <v>BLDG Z133</v>
      </c>
      <c r="I9351" t="str">
        <f t="shared" si="3448"/>
        <v>NORFOLK</v>
      </c>
      <c r="J9351" t="str">
        <f t="shared" si="3449"/>
        <v>VA</v>
      </c>
      <c r="K9351" t="str">
        <f>T("000000000000000000")</f>
        <v>000000000000000000</v>
      </c>
      <c r="L9351" t="str">
        <f>T("7574434721")</f>
        <v>7574434721</v>
      </c>
    </row>
    <row r="9352" spans="1:12" x14ac:dyDescent="0.35">
      <c r="A9352" t="str">
        <f t="shared" si="3450"/>
        <v>CNIC N8 NORFOLK</v>
      </c>
      <c r="B9352" t="str">
        <f t="shared" si="3451"/>
        <v>1837 MORRIS ST</v>
      </c>
      <c r="C9352" t="str">
        <f t="shared" ref="C9352:C9358" si="3454">T("BLDG Z133")</f>
        <v>BLDG Z133</v>
      </c>
      <c r="D9352" t="str">
        <f t="shared" si="3446"/>
        <v>NORFOLK</v>
      </c>
      <c r="E9352" t="str">
        <f t="shared" si="3447"/>
        <v>VA</v>
      </c>
      <c r="F9352" t="str">
        <f t="shared" si="3452"/>
        <v>235113498</v>
      </c>
      <c r="G9352" t="str">
        <f t="shared" si="3453"/>
        <v>1837 MORRIS ST</v>
      </c>
      <c r="H9352" t="str">
        <f>T("")</f>
        <v/>
      </c>
      <c r="I9352" t="str">
        <f t="shared" si="3448"/>
        <v>NORFOLK</v>
      </c>
      <c r="J9352" t="str">
        <f t="shared" si="3449"/>
        <v>VA</v>
      </c>
      <c r="K9352" t="str">
        <f>T("000000000000000000")</f>
        <v>000000000000000000</v>
      </c>
      <c r="L9352" t="str">
        <f>T("7574434517")</f>
        <v>7574434517</v>
      </c>
    </row>
    <row r="9353" spans="1:12" x14ac:dyDescent="0.35">
      <c r="A9353" t="str">
        <f t="shared" si="3450"/>
        <v>CNIC N8 NORFOLK</v>
      </c>
      <c r="B9353" t="str">
        <f t="shared" si="3451"/>
        <v>1837 MORRIS ST</v>
      </c>
      <c r="C9353" t="str">
        <f t="shared" si="3454"/>
        <v>BLDG Z133</v>
      </c>
      <c r="D9353" t="str">
        <f t="shared" si="3446"/>
        <v>NORFOLK</v>
      </c>
      <c r="E9353" t="str">
        <f t="shared" si="3447"/>
        <v>VA</v>
      </c>
      <c r="F9353" t="str">
        <f t="shared" si="3452"/>
        <v>235113498</v>
      </c>
      <c r="G9353" t="str">
        <f t="shared" si="3453"/>
        <v>1837 MORRIS ST</v>
      </c>
      <c r="H9353" t="str">
        <f>T("")</f>
        <v/>
      </c>
      <c r="I9353" t="str">
        <f t="shared" si="3448"/>
        <v>NORFOLK</v>
      </c>
      <c r="J9353" t="str">
        <f t="shared" si="3449"/>
        <v>VA</v>
      </c>
      <c r="K9353" t="str">
        <f>T("000000000000000000")</f>
        <v>000000000000000000</v>
      </c>
      <c r="L9353" t="str">
        <f>T("7574434521")</f>
        <v>7574434521</v>
      </c>
    </row>
    <row r="9354" spans="1:12" x14ac:dyDescent="0.35">
      <c r="A9354" t="str">
        <f t="shared" si="3450"/>
        <v>CNIC N8 NORFOLK</v>
      </c>
      <c r="B9354" t="str">
        <f t="shared" si="3451"/>
        <v>1837 MORRIS ST</v>
      </c>
      <c r="C9354" t="str">
        <f t="shared" si="3454"/>
        <v>BLDG Z133</v>
      </c>
      <c r="D9354" t="str">
        <f t="shared" si="3446"/>
        <v>NORFOLK</v>
      </c>
      <c r="E9354" t="str">
        <f t="shared" si="3447"/>
        <v>VA</v>
      </c>
      <c r="F9354" t="str">
        <f t="shared" si="3452"/>
        <v>235113498</v>
      </c>
      <c r="G9354" t="str">
        <f t="shared" si="3453"/>
        <v>1837 MORRIS ST</v>
      </c>
      <c r="H9354" t="str">
        <f>T("")</f>
        <v/>
      </c>
      <c r="I9354" t="str">
        <f t="shared" si="3448"/>
        <v>NORFOLK</v>
      </c>
      <c r="J9354" t="str">
        <f t="shared" si="3449"/>
        <v>VA</v>
      </c>
      <c r="K9354" t="str">
        <f>T("7574444110")</f>
        <v>7574444110</v>
      </c>
      <c r="L9354" t="str">
        <f>T("7574434317")</f>
        <v>7574434317</v>
      </c>
    </row>
    <row r="9355" spans="1:12" x14ac:dyDescent="0.35">
      <c r="A9355" t="str">
        <f t="shared" si="3450"/>
        <v>CNIC N8 NORFOLK</v>
      </c>
      <c r="B9355" t="str">
        <f t="shared" si="3451"/>
        <v>1837 MORRIS ST</v>
      </c>
      <c r="C9355" t="str">
        <f t="shared" si="3454"/>
        <v>BLDG Z133</v>
      </c>
      <c r="D9355" t="str">
        <f t="shared" si="3446"/>
        <v>NORFOLK</v>
      </c>
      <c r="E9355" t="str">
        <f t="shared" si="3447"/>
        <v>VA</v>
      </c>
      <c r="F9355" t="str">
        <f t="shared" si="3452"/>
        <v>235113498</v>
      </c>
      <c r="G9355" t="str">
        <f t="shared" si="3453"/>
        <v>1837 MORRIS ST</v>
      </c>
      <c r="H9355" t="str">
        <f>T("BLDG Z133")</f>
        <v>BLDG Z133</v>
      </c>
      <c r="I9355" t="str">
        <f t="shared" si="3448"/>
        <v>NORFOLK</v>
      </c>
      <c r="J9355" t="str">
        <f t="shared" si="3449"/>
        <v>VA</v>
      </c>
      <c r="K9355" t="str">
        <f>T("7574434009")</f>
        <v>7574434009</v>
      </c>
      <c r="L9355" t="str">
        <f>T("7574434325")</f>
        <v>7574434325</v>
      </c>
    </row>
    <row r="9356" spans="1:12" x14ac:dyDescent="0.35">
      <c r="A9356" t="str">
        <f t="shared" si="3450"/>
        <v>CNIC N8 NORFOLK</v>
      </c>
      <c r="B9356" t="str">
        <f t="shared" si="3451"/>
        <v>1837 MORRIS ST</v>
      </c>
      <c r="C9356" t="str">
        <f t="shared" si="3454"/>
        <v>BLDG Z133</v>
      </c>
      <c r="D9356" t="str">
        <f t="shared" si="3446"/>
        <v>NORFOLK</v>
      </c>
      <c r="E9356" t="str">
        <f t="shared" si="3447"/>
        <v>VA</v>
      </c>
      <c r="F9356" t="str">
        <f t="shared" si="3452"/>
        <v>235113498</v>
      </c>
      <c r="G9356" t="str">
        <f t="shared" si="3453"/>
        <v>1837 MORRIS ST</v>
      </c>
      <c r="H9356" t="str">
        <f>T("BLDG Z133")</f>
        <v>BLDG Z133</v>
      </c>
      <c r="I9356" t="str">
        <f t="shared" si="3448"/>
        <v>NORFOLK</v>
      </c>
      <c r="J9356" t="str">
        <f t="shared" si="3449"/>
        <v>VA</v>
      </c>
      <c r="K9356" t="str">
        <f>T("7574434110")</f>
        <v>7574434110</v>
      </c>
      <c r="L9356" t="str">
        <f>T("7574434447")</f>
        <v>7574434447</v>
      </c>
    </row>
    <row r="9357" spans="1:12" x14ac:dyDescent="0.35">
      <c r="A9357" t="str">
        <f t="shared" si="3450"/>
        <v>CNIC N8 NORFOLK</v>
      </c>
      <c r="B9357" t="str">
        <f t="shared" si="3451"/>
        <v>1837 MORRIS ST</v>
      </c>
      <c r="C9357" t="str">
        <f t="shared" si="3454"/>
        <v>BLDG Z133</v>
      </c>
      <c r="D9357" t="str">
        <f t="shared" si="3446"/>
        <v>NORFOLK</v>
      </c>
      <c r="E9357" t="str">
        <f t="shared" si="3447"/>
        <v>VA</v>
      </c>
      <c r="F9357" t="str">
        <f t="shared" si="3452"/>
        <v>235113498</v>
      </c>
      <c r="G9357" t="str">
        <f>T("1837 MORRIS STREET")</f>
        <v>1837 MORRIS STREET</v>
      </c>
      <c r="H9357" t="str">
        <f>T("BLDG Z-133")</f>
        <v>BLDG Z-133</v>
      </c>
      <c r="I9357" t="str">
        <f t="shared" si="3448"/>
        <v>NORFOLK</v>
      </c>
      <c r="J9357" t="str">
        <f t="shared" si="3449"/>
        <v>VA</v>
      </c>
      <c r="K9357" t="str">
        <f>T("000000000000000000")</f>
        <v>000000000000000000</v>
      </c>
      <c r="L9357" t="str">
        <f>T("7574434721")</f>
        <v>7574434721</v>
      </c>
    </row>
    <row r="9358" spans="1:12" x14ac:dyDescent="0.35">
      <c r="A9358" t="str">
        <f t="shared" si="3450"/>
        <v>CNIC N8 NORFOLK</v>
      </c>
      <c r="B9358" t="str">
        <f t="shared" si="3451"/>
        <v>1837 MORRIS ST</v>
      </c>
      <c r="C9358" t="str">
        <f t="shared" si="3454"/>
        <v>BLDG Z133</v>
      </c>
      <c r="D9358" t="str">
        <f t="shared" si="3446"/>
        <v>NORFOLK</v>
      </c>
      <c r="E9358" t="str">
        <f t="shared" si="3447"/>
        <v>VA</v>
      </c>
      <c r="F9358" t="str">
        <f t="shared" si="3452"/>
        <v>235113498</v>
      </c>
      <c r="G9358" t="str">
        <f>T("1837 MORRIS STREET")</f>
        <v>1837 MORRIS STREET</v>
      </c>
      <c r="H9358" t="str">
        <f>T("BLDG Z-133 STE 200")</f>
        <v>BLDG Z-133 STE 200</v>
      </c>
      <c r="I9358" t="str">
        <f t="shared" si="3448"/>
        <v>NORFOLK</v>
      </c>
      <c r="J9358" t="str">
        <f t="shared" si="3449"/>
        <v>VA</v>
      </c>
      <c r="K9358" t="str">
        <f>T("")</f>
        <v/>
      </c>
      <c r="L9358" t="str">
        <f>T("7574434638")</f>
        <v>7574434638</v>
      </c>
    </row>
    <row r="9359" spans="1:12" x14ac:dyDescent="0.35">
      <c r="A9359" t="str">
        <f t="shared" ref="A9359:A9387" si="3455">T("NAVAL DIST WASHINGTON HQ")</f>
        <v>NAVAL DIST WASHINGTON HQ</v>
      </c>
      <c r="B9359" t="str">
        <f t="shared" ref="B9359:B9372" si="3456">T("1411 PARSONS AVE SE")</f>
        <v>1411 PARSONS AVE SE</v>
      </c>
      <c r="C9359" t="str">
        <f>T("BLDG 101")</f>
        <v>BLDG 101</v>
      </c>
      <c r="D9359" t="str">
        <f t="shared" ref="D9359:D9375" si="3457">T("WASHINGTON")</f>
        <v>WASHINGTON</v>
      </c>
      <c r="E9359" t="str">
        <f t="shared" ref="E9359:E9375" si="3458">T("DC")</f>
        <v>DC</v>
      </c>
      <c r="F9359" t="str">
        <f>T("203745119")</f>
        <v>203745119</v>
      </c>
      <c r="G9359" t="str">
        <f>T("1343 DAHLGREN AVE SE")</f>
        <v>1343 DAHLGREN AVE SE</v>
      </c>
      <c r="H9359" t="str">
        <f>T("")</f>
        <v/>
      </c>
      <c r="I9359" t="str">
        <f t="shared" ref="I9359:I9375" si="3459">T("WASHINGTON")</f>
        <v>WASHINGTON</v>
      </c>
      <c r="J9359" t="str">
        <f t="shared" ref="J9359:J9375" si="3460">T("DC")</f>
        <v>DC</v>
      </c>
      <c r="K9359" t="str">
        <f>T("000000000000000000")</f>
        <v>000000000000000000</v>
      </c>
      <c r="L9359" t="str">
        <f>T("2024332777")</f>
        <v>2024332777</v>
      </c>
    </row>
    <row r="9360" spans="1:12" x14ac:dyDescent="0.35">
      <c r="A9360" t="str">
        <f t="shared" si="3455"/>
        <v>NAVAL DIST WASHINGTON HQ</v>
      </c>
      <c r="B9360" t="str">
        <f t="shared" si="3456"/>
        <v>1411 PARSONS AVE SE</v>
      </c>
      <c r="C9360" t="str">
        <f>T("BLDG 101")</f>
        <v>BLDG 101</v>
      </c>
      <c r="D9360" t="str">
        <f t="shared" si="3457"/>
        <v>WASHINGTON</v>
      </c>
      <c r="E9360" t="str">
        <f t="shared" si="3458"/>
        <v>DC</v>
      </c>
      <c r="F9360" t="str">
        <f>T("203745119")</f>
        <v>203745119</v>
      </c>
      <c r="G9360" t="str">
        <f>T("1411 PARSONS AVE SE")</f>
        <v>1411 PARSONS AVE SE</v>
      </c>
      <c r="H9360" t="str">
        <f>T("BLDG 101")</f>
        <v>BLDG 101</v>
      </c>
      <c r="I9360" t="str">
        <f t="shared" si="3459"/>
        <v>WASHINGTON</v>
      </c>
      <c r="J9360" t="str">
        <f t="shared" si="3460"/>
        <v>DC</v>
      </c>
      <c r="K9360" t="str">
        <f>T("2026850140")</f>
        <v>2026850140</v>
      </c>
      <c r="L9360" t="str">
        <f>T("2026851568")</f>
        <v>2026851568</v>
      </c>
    </row>
    <row r="9361" spans="1:12" x14ac:dyDescent="0.35">
      <c r="A9361" t="str">
        <f t="shared" si="3455"/>
        <v>NAVAL DIST WASHINGTON HQ</v>
      </c>
      <c r="B9361" t="str">
        <f t="shared" si="3456"/>
        <v>1411 PARSONS AVE SE</v>
      </c>
      <c r="C9361" t="str">
        <f>T("BLDG 101")</f>
        <v>BLDG 101</v>
      </c>
      <c r="D9361" t="str">
        <f t="shared" si="3457"/>
        <v>WASHINGTON</v>
      </c>
      <c r="E9361" t="str">
        <f t="shared" si="3458"/>
        <v>DC</v>
      </c>
      <c r="F9361" t="str">
        <f>T("203745119")</f>
        <v>203745119</v>
      </c>
      <c r="G9361" t="str">
        <f>T("1411 PARSONS AVE SE")</f>
        <v>1411 PARSONS AVE SE</v>
      </c>
      <c r="H9361" t="str">
        <f>T("BLDG 101 FL 1 RM 100")</f>
        <v>BLDG 101 FL 1 RM 100</v>
      </c>
      <c r="I9361" t="str">
        <f t="shared" si="3459"/>
        <v>WASHINGTON</v>
      </c>
      <c r="J9361" t="str">
        <f t="shared" si="3460"/>
        <v>DC</v>
      </c>
      <c r="K9361" t="str">
        <f>T("000000000000000000")</f>
        <v>000000000000000000</v>
      </c>
      <c r="L9361" t="str">
        <f>T("2026851885")</f>
        <v>2026851885</v>
      </c>
    </row>
    <row r="9362" spans="1:12" x14ac:dyDescent="0.35">
      <c r="A9362" t="str">
        <f t="shared" si="3455"/>
        <v>NAVAL DIST WASHINGTON HQ</v>
      </c>
      <c r="B9362" t="str">
        <f t="shared" si="3456"/>
        <v>1411 PARSONS AVE SE</v>
      </c>
      <c r="C9362" t="str">
        <f>T("BLDG 101 STE 200")</f>
        <v>BLDG 101 STE 200</v>
      </c>
      <c r="D9362" t="str">
        <f t="shared" si="3457"/>
        <v>WASHINGTON</v>
      </c>
      <c r="E9362" t="str">
        <f t="shared" si="3458"/>
        <v>DC</v>
      </c>
      <c r="F9362" t="str">
        <f>T("203745000")</f>
        <v>203745000</v>
      </c>
      <c r="G9362" t="str">
        <f>T("1411 PARSONS AVE SE")</f>
        <v>1411 PARSONS AVE SE</v>
      </c>
      <c r="H9362" t="str">
        <f>T("BLDG 101")</f>
        <v>BLDG 101</v>
      </c>
      <c r="I9362" t="str">
        <f t="shared" si="3459"/>
        <v>WASHINGTON</v>
      </c>
      <c r="J9362" t="str">
        <f t="shared" si="3460"/>
        <v>DC</v>
      </c>
      <c r="K9362" t="str">
        <f>T("000000000000000000")</f>
        <v>000000000000000000</v>
      </c>
      <c r="L9362" t="str">
        <f>T("2024330834")</f>
        <v>2024330834</v>
      </c>
    </row>
    <row r="9363" spans="1:12" x14ac:dyDescent="0.35">
      <c r="A9363" t="str">
        <f t="shared" si="3455"/>
        <v>NAVAL DIST WASHINGTON HQ</v>
      </c>
      <c r="B9363" t="str">
        <f t="shared" si="3456"/>
        <v>1411 PARSONS AVE SE</v>
      </c>
      <c r="C9363" t="str">
        <f>T("BLDG 101 STE 200")</f>
        <v>BLDG 101 STE 200</v>
      </c>
      <c r="D9363" t="str">
        <f t="shared" si="3457"/>
        <v>WASHINGTON</v>
      </c>
      <c r="E9363" t="str">
        <f t="shared" si="3458"/>
        <v>DC</v>
      </c>
      <c r="F9363" t="str">
        <f>T("203745000")</f>
        <v>203745000</v>
      </c>
      <c r="G9363" t="str">
        <f>T("1411 PARSONS AVE SE")</f>
        <v>1411 PARSONS AVE SE</v>
      </c>
      <c r="H9363" t="str">
        <f>T("BLDG 101 STE 200")</f>
        <v>BLDG 101 STE 200</v>
      </c>
      <c r="I9363" t="str">
        <f t="shared" si="3459"/>
        <v>WASHINGTON</v>
      </c>
      <c r="J9363" t="str">
        <f t="shared" si="3460"/>
        <v>DC</v>
      </c>
      <c r="K9363" t="str">
        <f>T("2024333745")</f>
        <v>2024333745</v>
      </c>
      <c r="L9363" t="str">
        <f>T("2024332272")</f>
        <v>2024332272</v>
      </c>
    </row>
    <row r="9364" spans="1:12" x14ac:dyDescent="0.35">
      <c r="A9364" t="str">
        <f t="shared" si="3455"/>
        <v>NAVAL DIST WASHINGTON HQ</v>
      </c>
      <c r="B9364" t="str">
        <f t="shared" si="3456"/>
        <v>1411 PARSONS AVE SE</v>
      </c>
      <c r="C9364" t="str">
        <f>T("BLDG 101 STE 200")</f>
        <v>BLDG 101 STE 200</v>
      </c>
      <c r="D9364" t="str">
        <f t="shared" si="3457"/>
        <v>WASHINGTON</v>
      </c>
      <c r="E9364" t="str">
        <f t="shared" si="3458"/>
        <v>DC</v>
      </c>
      <c r="F9364" t="str">
        <f>T("203745000")</f>
        <v>203745000</v>
      </c>
      <c r="G9364" t="str">
        <f>T("1411 PARSONS AVE SE BLDG 101")</f>
        <v>1411 PARSONS AVE SE BLDG 101</v>
      </c>
      <c r="H9364" t="str">
        <f>T("2ND FL RM 200")</f>
        <v>2ND FL RM 200</v>
      </c>
      <c r="I9364" t="str">
        <f t="shared" si="3459"/>
        <v>WASHINGTON</v>
      </c>
      <c r="J9364" t="str">
        <f t="shared" si="3460"/>
        <v>DC</v>
      </c>
      <c r="K9364" t="str">
        <f>T("2024336158")</f>
        <v>2024336158</v>
      </c>
      <c r="L9364" t="str">
        <f>T("2024334364")</f>
        <v>2024334364</v>
      </c>
    </row>
    <row r="9365" spans="1:12" x14ac:dyDescent="0.35">
      <c r="A9365" t="str">
        <f t="shared" si="3455"/>
        <v>NAVAL DIST WASHINGTON HQ</v>
      </c>
      <c r="B9365" t="str">
        <f t="shared" si="3456"/>
        <v>1411 PARSONS AVE SE</v>
      </c>
      <c r="C9365" t="str">
        <f>T("BLDG 101 STE 226")</f>
        <v>BLDG 101 STE 226</v>
      </c>
      <c r="D9365" t="str">
        <f t="shared" si="3457"/>
        <v>WASHINGTON</v>
      </c>
      <c r="E9365" t="str">
        <f t="shared" si="3458"/>
        <v>DC</v>
      </c>
      <c r="F9365" t="str">
        <f t="shared" ref="F9365:F9375" si="3461">T("203745119")</f>
        <v>203745119</v>
      </c>
      <c r="G9365" t="str">
        <f>T("1411 PARSONS AVE SE")</f>
        <v>1411 PARSONS AVE SE</v>
      </c>
      <c r="H9365" t="str">
        <f>T("BLDG 101 STE 226")</f>
        <v>BLDG 101 STE 226</v>
      </c>
      <c r="I9365" t="str">
        <f t="shared" si="3459"/>
        <v>WASHINGTON</v>
      </c>
      <c r="J9365" t="str">
        <f t="shared" si="3460"/>
        <v>DC</v>
      </c>
      <c r="K9365" t="str">
        <f>T("2024339706")</f>
        <v>2024339706</v>
      </c>
      <c r="L9365" t="str">
        <f>T("2024332427")</f>
        <v>2024332427</v>
      </c>
    </row>
    <row r="9366" spans="1:12" x14ac:dyDescent="0.35">
      <c r="A9366" t="str">
        <f t="shared" si="3455"/>
        <v>NAVAL DIST WASHINGTON HQ</v>
      </c>
      <c r="B9366" t="str">
        <f t="shared" si="3456"/>
        <v>1411 PARSONS AVE SE</v>
      </c>
      <c r="C9366" t="str">
        <f>T("BLDG 101 STE 226")</f>
        <v>BLDG 101 STE 226</v>
      </c>
      <c r="D9366" t="str">
        <f t="shared" si="3457"/>
        <v>WASHINGTON</v>
      </c>
      <c r="E9366" t="str">
        <f t="shared" si="3458"/>
        <v>DC</v>
      </c>
      <c r="F9366" t="str">
        <f t="shared" si="3461"/>
        <v>203745119</v>
      </c>
      <c r="G9366" t="str">
        <f>T("HQ NDW BLDG 101 STE 226")</f>
        <v>HQ NDW BLDG 101 STE 226</v>
      </c>
      <c r="H9366" t="str">
        <f>T("1411 PARSONS AVE SE")</f>
        <v>1411 PARSONS AVE SE</v>
      </c>
      <c r="I9366" t="str">
        <f t="shared" si="3459"/>
        <v>WASHINGTON</v>
      </c>
      <c r="J9366" t="str">
        <f t="shared" si="3460"/>
        <v>DC</v>
      </c>
      <c r="K9366" t="str">
        <f>T("000000000000000000")</f>
        <v>000000000000000000</v>
      </c>
      <c r="L9366" t="str">
        <f>T("2024336916")</f>
        <v>2024336916</v>
      </c>
    </row>
    <row r="9367" spans="1:12" x14ac:dyDescent="0.35">
      <c r="A9367" t="str">
        <f t="shared" si="3455"/>
        <v>NAVAL DIST WASHINGTON HQ</v>
      </c>
      <c r="B9367" t="str">
        <f t="shared" si="3456"/>
        <v>1411 PARSONS AVE SE</v>
      </c>
      <c r="C9367" t="str">
        <f>T("BLDG 101 STE 238")</f>
        <v>BLDG 101 STE 238</v>
      </c>
      <c r="D9367" t="str">
        <f t="shared" si="3457"/>
        <v>WASHINGTON</v>
      </c>
      <c r="E9367" t="str">
        <f t="shared" si="3458"/>
        <v>DC</v>
      </c>
      <c r="F9367" t="str">
        <f t="shared" si="3461"/>
        <v>203745119</v>
      </c>
      <c r="G9367" t="str">
        <f>T("1411 PARSON AVE S E")</f>
        <v>1411 PARSON AVE S E</v>
      </c>
      <c r="H9367" t="str">
        <f>T("")</f>
        <v/>
      </c>
      <c r="I9367" t="str">
        <f t="shared" si="3459"/>
        <v>WASHINGTON</v>
      </c>
      <c r="J9367" t="str">
        <f t="shared" si="3460"/>
        <v>DC</v>
      </c>
      <c r="K9367" t="str">
        <f>T("000000000000000000")</f>
        <v>000000000000000000</v>
      </c>
      <c r="L9367" t="str">
        <f>T("2026855264")</f>
        <v>2026855264</v>
      </c>
    </row>
    <row r="9368" spans="1:12" x14ac:dyDescent="0.35">
      <c r="A9368" t="str">
        <f t="shared" si="3455"/>
        <v>NAVAL DIST WASHINGTON HQ</v>
      </c>
      <c r="B9368" t="str">
        <f t="shared" si="3456"/>
        <v>1411 PARSONS AVE SE</v>
      </c>
      <c r="C9368" t="str">
        <f>T("BLDG 101 STE 238")</f>
        <v>BLDG 101 STE 238</v>
      </c>
      <c r="D9368" t="str">
        <f t="shared" si="3457"/>
        <v>WASHINGTON</v>
      </c>
      <c r="E9368" t="str">
        <f t="shared" si="3458"/>
        <v>DC</v>
      </c>
      <c r="F9368" t="str">
        <f t="shared" si="3461"/>
        <v>203745119</v>
      </c>
      <c r="G9368" t="str">
        <f t="shared" ref="G9368:G9373" si="3462">T("1411 PARSONS AVE SE")</f>
        <v>1411 PARSONS AVE SE</v>
      </c>
      <c r="H9368" t="str">
        <f>T("BLDG 101 STE 238")</f>
        <v>BLDG 101 STE 238</v>
      </c>
      <c r="I9368" t="str">
        <f t="shared" si="3459"/>
        <v>WASHINGTON</v>
      </c>
      <c r="J9368" t="str">
        <f t="shared" si="3460"/>
        <v>DC</v>
      </c>
      <c r="K9368" t="str">
        <f>T("2024330526")</f>
        <v>2024330526</v>
      </c>
      <c r="L9368" t="str">
        <f>T("2024332563")</f>
        <v>2024332563</v>
      </c>
    </row>
    <row r="9369" spans="1:12" x14ac:dyDescent="0.35">
      <c r="A9369" t="str">
        <f t="shared" si="3455"/>
        <v>NAVAL DIST WASHINGTON HQ</v>
      </c>
      <c r="B9369" t="str">
        <f t="shared" si="3456"/>
        <v>1411 PARSONS AVE SE</v>
      </c>
      <c r="C9369" t="str">
        <f>T("BLDG 101 STE 238")</f>
        <v>BLDG 101 STE 238</v>
      </c>
      <c r="D9369" t="str">
        <f t="shared" si="3457"/>
        <v>WASHINGTON</v>
      </c>
      <c r="E9369" t="str">
        <f t="shared" si="3458"/>
        <v>DC</v>
      </c>
      <c r="F9369" t="str">
        <f t="shared" si="3461"/>
        <v>203745119</v>
      </c>
      <c r="G9369" t="str">
        <f t="shared" si="3462"/>
        <v>1411 PARSONS AVE SE</v>
      </c>
      <c r="H9369" t="str">
        <f>T("BLDG 101 SUITE 238")</f>
        <v>BLDG 101 SUITE 238</v>
      </c>
      <c r="I9369" t="str">
        <f t="shared" si="3459"/>
        <v>WASHINGTON</v>
      </c>
      <c r="J9369" t="str">
        <f t="shared" si="3460"/>
        <v>DC</v>
      </c>
      <c r="K9369" t="str">
        <f>T("2024330526")</f>
        <v>2024330526</v>
      </c>
      <c r="L9369" t="str">
        <f>T("2024330136")</f>
        <v>2024330136</v>
      </c>
    </row>
    <row r="9370" spans="1:12" x14ac:dyDescent="0.35">
      <c r="A9370" t="str">
        <f t="shared" si="3455"/>
        <v>NAVAL DIST WASHINGTON HQ</v>
      </c>
      <c r="B9370" t="str">
        <f t="shared" si="3456"/>
        <v>1411 PARSONS AVE SE</v>
      </c>
      <c r="C9370" t="str">
        <f>T("BLDG 101 STE 238")</f>
        <v>BLDG 101 STE 238</v>
      </c>
      <c r="D9370" t="str">
        <f t="shared" si="3457"/>
        <v>WASHINGTON</v>
      </c>
      <c r="E9370" t="str">
        <f t="shared" si="3458"/>
        <v>DC</v>
      </c>
      <c r="F9370" t="str">
        <f t="shared" si="3461"/>
        <v>203745119</v>
      </c>
      <c r="G9370" t="str">
        <f t="shared" si="3462"/>
        <v>1411 PARSONS AVE SE</v>
      </c>
      <c r="H9370" t="str">
        <f>T("SUITE 230")</f>
        <v>SUITE 230</v>
      </c>
      <c r="I9370" t="str">
        <f t="shared" si="3459"/>
        <v>WASHINGTON</v>
      </c>
      <c r="J9370" t="str">
        <f t="shared" si="3460"/>
        <v>DC</v>
      </c>
      <c r="K9370" t="str">
        <f>T("2024330526")</f>
        <v>2024330526</v>
      </c>
      <c r="L9370" t="str">
        <f>T("2024330180")</f>
        <v>2024330180</v>
      </c>
    </row>
    <row r="9371" spans="1:12" x14ac:dyDescent="0.35">
      <c r="A9371" t="str">
        <f t="shared" si="3455"/>
        <v>NAVAL DIST WASHINGTON HQ</v>
      </c>
      <c r="B9371" t="str">
        <f t="shared" si="3456"/>
        <v>1411 PARSONS AVE SE</v>
      </c>
      <c r="C9371" t="str">
        <f>T("BUILDING 101 STE 226")</f>
        <v>BUILDING 101 STE 226</v>
      </c>
      <c r="D9371" t="str">
        <f t="shared" si="3457"/>
        <v>WASHINGTON</v>
      </c>
      <c r="E9371" t="str">
        <f t="shared" si="3458"/>
        <v>DC</v>
      </c>
      <c r="F9371" t="str">
        <f t="shared" si="3461"/>
        <v>203745119</v>
      </c>
      <c r="G9371" t="str">
        <f t="shared" si="3462"/>
        <v>1411 PARSONS AVE SE</v>
      </c>
      <c r="H9371" t="str">
        <f>T("BLDG 101 STE 226")</f>
        <v>BLDG 101 STE 226</v>
      </c>
      <c r="I9371" t="str">
        <f t="shared" si="3459"/>
        <v>WASHINGTON</v>
      </c>
      <c r="J9371" t="str">
        <f t="shared" si="3460"/>
        <v>DC</v>
      </c>
      <c r="K9371" t="str">
        <f>T("2024339706")</f>
        <v>2024339706</v>
      </c>
      <c r="L9371" t="str">
        <f>T("2024336916")</f>
        <v>2024336916</v>
      </c>
    </row>
    <row r="9372" spans="1:12" x14ac:dyDescent="0.35">
      <c r="A9372" t="str">
        <f t="shared" si="3455"/>
        <v>NAVAL DIST WASHINGTON HQ</v>
      </c>
      <c r="B9372" t="str">
        <f t="shared" si="3456"/>
        <v>1411 PARSONS AVE SE</v>
      </c>
      <c r="C9372" t="str">
        <f>T("BUILDING 101 STE 226")</f>
        <v>BUILDING 101 STE 226</v>
      </c>
      <c r="D9372" t="str">
        <f t="shared" si="3457"/>
        <v>WASHINGTON</v>
      </c>
      <c r="E9372" t="str">
        <f t="shared" si="3458"/>
        <v>DC</v>
      </c>
      <c r="F9372" t="str">
        <f t="shared" si="3461"/>
        <v>203745119</v>
      </c>
      <c r="G9372" t="str">
        <f t="shared" si="3462"/>
        <v>1411 PARSONS AVE SE</v>
      </c>
      <c r="H9372" t="str">
        <f>T("BUILDING 101 STE 226")</f>
        <v>BUILDING 101 STE 226</v>
      </c>
      <c r="I9372" t="str">
        <f t="shared" si="3459"/>
        <v>WASHINGTON</v>
      </c>
      <c r="J9372" t="str">
        <f t="shared" si="3460"/>
        <v>DC</v>
      </c>
      <c r="K9372" t="str">
        <f>T("")</f>
        <v/>
      </c>
      <c r="L9372" t="str">
        <f>T("2024332427")</f>
        <v>2024332427</v>
      </c>
    </row>
    <row r="9373" spans="1:12" x14ac:dyDescent="0.35">
      <c r="A9373" t="str">
        <f t="shared" si="3455"/>
        <v>NAVAL DIST WASHINGTON HQ</v>
      </c>
      <c r="B9373" t="str">
        <f>T("1411 PARSONS AVE SE BLDG 101")</f>
        <v>1411 PARSONS AVE SE BLDG 101</v>
      </c>
      <c r="C9373" t="str">
        <f>T("")</f>
        <v/>
      </c>
      <c r="D9373" t="str">
        <f t="shared" si="3457"/>
        <v>WASHINGTON</v>
      </c>
      <c r="E9373" t="str">
        <f t="shared" si="3458"/>
        <v>DC</v>
      </c>
      <c r="F9373" t="str">
        <f t="shared" si="3461"/>
        <v>203745119</v>
      </c>
      <c r="G9373" t="str">
        <f t="shared" si="3462"/>
        <v>1411 PARSONS AVE SE</v>
      </c>
      <c r="H9373" t="str">
        <f>T("BLDG 101 3RD FLOOR")</f>
        <v>BLDG 101 3RD FLOOR</v>
      </c>
      <c r="I9373" t="str">
        <f t="shared" si="3459"/>
        <v>WASHINGTON</v>
      </c>
      <c r="J9373" t="str">
        <f t="shared" si="3460"/>
        <v>DC</v>
      </c>
      <c r="K9373" t="str">
        <f>T("000000000000000000")</f>
        <v>000000000000000000</v>
      </c>
      <c r="L9373" t="str">
        <f>T("2024330288")</f>
        <v>2024330288</v>
      </c>
    </row>
    <row r="9374" spans="1:12" x14ac:dyDescent="0.35">
      <c r="A9374" t="str">
        <f t="shared" si="3455"/>
        <v>NAVAL DIST WASHINGTON HQ</v>
      </c>
      <c r="B9374" t="str">
        <f>T("1411 PARSONS AVE SE BLDG 101")</f>
        <v>1411 PARSONS AVE SE BLDG 101</v>
      </c>
      <c r="C9374" t="str">
        <f>T("")</f>
        <v/>
      </c>
      <c r="D9374" t="str">
        <f t="shared" si="3457"/>
        <v>WASHINGTON</v>
      </c>
      <c r="E9374" t="str">
        <f t="shared" si="3458"/>
        <v>DC</v>
      </c>
      <c r="F9374" t="str">
        <f t="shared" si="3461"/>
        <v>203745119</v>
      </c>
      <c r="G9374" t="str">
        <f>T("1411 PARSONS AVE SE BLDG 101")</f>
        <v>1411 PARSONS AVE SE BLDG 101</v>
      </c>
      <c r="H9374" t="str">
        <f>T("")</f>
        <v/>
      </c>
      <c r="I9374" t="str">
        <f t="shared" si="3459"/>
        <v>WASHINGTON</v>
      </c>
      <c r="J9374" t="str">
        <f t="shared" si="3460"/>
        <v>DC</v>
      </c>
      <c r="K9374" t="str">
        <f>T("")</f>
        <v/>
      </c>
      <c r="L9374" t="str">
        <f>T("2026851568")</f>
        <v>2026851568</v>
      </c>
    </row>
    <row r="9375" spans="1:12" x14ac:dyDescent="0.35">
      <c r="A9375" t="str">
        <f t="shared" si="3455"/>
        <v>NAVAL DIST WASHINGTON HQ</v>
      </c>
      <c r="B9375" t="str">
        <f>T("1411 PARSONS AVE SE BLDG 101")</f>
        <v>1411 PARSONS AVE SE BLDG 101</v>
      </c>
      <c r="C9375" t="str">
        <f>T("")</f>
        <v/>
      </c>
      <c r="D9375" t="str">
        <f t="shared" si="3457"/>
        <v>WASHINGTON</v>
      </c>
      <c r="E9375" t="str">
        <f t="shared" si="3458"/>
        <v>DC</v>
      </c>
      <c r="F9375" t="str">
        <f t="shared" si="3461"/>
        <v>203745119</v>
      </c>
      <c r="G9375" t="str">
        <f>T("HRO DEPT BLDG 101 STE 300")</f>
        <v>HRO DEPT BLDG 101 STE 300</v>
      </c>
      <c r="H9375" t="str">
        <f>T("1411 PARSONS AVE SE")</f>
        <v>1411 PARSONS AVE SE</v>
      </c>
      <c r="I9375" t="str">
        <f t="shared" si="3459"/>
        <v>WASHINGTON</v>
      </c>
      <c r="J9375" t="str">
        <f t="shared" si="3460"/>
        <v>DC</v>
      </c>
      <c r="K9375" t="str">
        <f>T("000000000000000000")</f>
        <v>000000000000000000</v>
      </c>
      <c r="L9375" t="str">
        <f>T("2026850078")</f>
        <v>2026850078</v>
      </c>
    </row>
    <row r="9376" spans="1:12" x14ac:dyDescent="0.35">
      <c r="A9376" t="str">
        <f t="shared" si="3455"/>
        <v>NAVAL DIST WASHINGTON HQ</v>
      </c>
      <c r="B9376" t="str">
        <f>T("18329 THOMPSON RD")</f>
        <v>18329 THOMPSON RD</v>
      </c>
      <c r="C9376" t="str">
        <f>T("SUITE 226")</f>
        <v>SUITE 226</v>
      </c>
      <c r="D9376" t="str">
        <f>T("DAHLGREN")</f>
        <v>DAHLGREN</v>
      </c>
      <c r="E9376" t="str">
        <f>T("VA")</f>
        <v>VA</v>
      </c>
      <c r="F9376" t="str">
        <f>T("224485179")</f>
        <v>224485179</v>
      </c>
      <c r="G9376" t="str">
        <f>T("18329 THOMPSON RD")</f>
        <v>18329 THOMPSON RD</v>
      </c>
      <c r="H9376" t="str">
        <f>T("SUITE 226")</f>
        <v>SUITE 226</v>
      </c>
      <c r="I9376" t="str">
        <f>T("DAHLGREN")</f>
        <v>DAHLGREN</v>
      </c>
      <c r="J9376" t="str">
        <f>T("VA")</f>
        <v>VA</v>
      </c>
      <c r="K9376" t="str">
        <f>T("5406536242")</f>
        <v>5406536242</v>
      </c>
      <c r="L9376" t="str">
        <f>T("5406535071")</f>
        <v>5406535071</v>
      </c>
    </row>
    <row r="9377" spans="1:12" x14ac:dyDescent="0.35">
      <c r="A9377" t="str">
        <f t="shared" si="3455"/>
        <v>NAVAL DIST WASHINGTON HQ</v>
      </c>
      <c r="B9377" t="str">
        <f>T("18329 THOMPSON RD")</f>
        <v>18329 THOMPSON RD</v>
      </c>
      <c r="C9377" t="str">
        <f>T("SUITE 226")</f>
        <v>SUITE 226</v>
      </c>
      <c r="D9377" t="str">
        <f>T("DAHLGREN")</f>
        <v>DAHLGREN</v>
      </c>
      <c r="E9377" t="str">
        <f>T("VA")</f>
        <v>VA</v>
      </c>
      <c r="F9377" t="str">
        <f>T("224485179")</f>
        <v>224485179</v>
      </c>
      <c r="G9377" t="str">
        <f>T("18329 THOMPSON ROAD SUITE 226")</f>
        <v>18329 THOMPSON ROAD SUITE 226</v>
      </c>
      <c r="H9377" t="str">
        <f>T("")</f>
        <v/>
      </c>
      <c r="I9377" t="str">
        <f>T("DAHLGREN")</f>
        <v>DAHLGREN</v>
      </c>
      <c r="J9377" t="str">
        <f>T("VA")</f>
        <v>VA</v>
      </c>
      <c r="K9377" t="str">
        <f>T("000000000000000000")</f>
        <v>000000000000000000</v>
      </c>
      <c r="L9377" t="str">
        <f>T("5406532336")</f>
        <v>5406532336</v>
      </c>
    </row>
    <row r="9378" spans="1:12" x14ac:dyDescent="0.35">
      <c r="A9378" t="str">
        <f t="shared" si="3455"/>
        <v>NAVAL DIST WASHINGTON HQ</v>
      </c>
      <c r="B9378" t="str">
        <f>T("22445 PEARY RD")</f>
        <v>22445 PEARY RD</v>
      </c>
      <c r="C9378" t="str">
        <f>T("BLDG 504 RM D159")</f>
        <v>BLDG 504 RM D159</v>
      </c>
      <c r="D9378" t="str">
        <f>T("PATUXENT RIVER")</f>
        <v>PATUXENT RIVER</v>
      </c>
      <c r="E9378" t="str">
        <f>T("MD")</f>
        <v>MD</v>
      </c>
      <c r="F9378" t="str">
        <f>T("206701635")</f>
        <v>206701635</v>
      </c>
      <c r="G9378" t="str">
        <f>T("22445 PEARY RD")</f>
        <v>22445 PEARY RD</v>
      </c>
      <c r="H9378" t="str">
        <f>T("BLDG 504 RM D159")</f>
        <v>BLDG 504 RM D159</v>
      </c>
      <c r="I9378" t="str">
        <f>T("PATUXENT RIVER")</f>
        <v>PATUXENT RIVER</v>
      </c>
      <c r="J9378" t="str">
        <f>T("MD")</f>
        <v>MD</v>
      </c>
      <c r="K9378" t="str">
        <f>T("3013423030")</f>
        <v>3013423030</v>
      </c>
      <c r="L9378" t="str">
        <f>T("3017574766")</f>
        <v>3017574766</v>
      </c>
    </row>
    <row r="9379" spans="1:12" x14ac:dyDescent="0.35">
      <c r="A9379" t="str">
        <f t="shared" si="3455"/>
        <v>NAVAL DIST WASHINGTON HQ</v>
      </c>
      <c r="B9379" t="str">
        <f>T("22445 PEARY RD")</f>
        <v>22445 PEARY RD</v>
      </c>
      <c r="C9379" t="str">
        <f>T("BLDG 504 RM D159")</f>
        <v>BLDG 504 RM D159</v>
      </c>
      <c r="D9379" t="str">
        <f>T("PATUXENT RIVER")</f>
        <v>PATUXENT RIVER</v>
      </c>
      <c r="E9379" t="str">
        <f>T("MD")</f>
        <v>MD</v>
      </c>
      <c r="F9379" t="str">
        <f>T("206701635")</f>
        <v>206701635</v>
      </c>
      <c r="G9379" t="str">
        <f>T("NDW ENV DEPT")</f>
        <v>NDW ENV DEPT</v>
      </c>
      <c r="H9379" t="str">
        <f>T("22445 PEARY RD BLDG 504")</f>
        <v>22445 PEARY RD BLDG 504</v>
      </c>
      <c r="I9379" t="str">
        <f>T("PATUXENT RIVER")</f>
        <v>PATUXENT RIVER</v>
      </c>
      <c r="J9379" t="str">
        <f>T("MD")</f>
        <v>MD</v>
      </c>
      <c r="K9379" t="str">
        <f>T("000000000000000000")</f>
        <v>000000000000000000</v>
      </c>
      <c r="L9379" t="str">
        <f>T("3017574953")</f>
        <v>3017574953</v>
      </c>
    </row>
    <row r="9380" spans="1:12" x14ac:dyDescent="0.35">
      <c r="A9380" t="str">
        <f t="shared" si="3455"/>
        <v>NAVAL DIST WASHINGTON HQ</v>
      </c>
      <c r="B9380" t="str">
        <f>T("2691 MITSCHER RD BLDG 414")</f>
        <v>2691 MITSCHER RD BLDG 414</v>
      </c>
      <c r="C9380" t="str">
        <f>T("")</f>
        <v/>
      </c>
      <c r="D9380" t="str">
        <f>T("WASHINGTON")</f>
        <v>WASHINGTON</v>
      </c>
      <c r="E9380" t="str">
        <f>T("DC")</f>
        <v>DC</v>
      </c>
      <c r="F9380" t="str">
        <f>T("203735108")</f>
        <v>203735108</v>
      </c>
      <c r="G9380" t="str">
        <f>T("2691 MITSCHER RD BLDG 414")</f>
        <v>2691 MITSCHER RD BLDG 414</v>
      </c>
      <c r="H9380" t="str">
        <f>T("")</f>
        <v/>
      </c>
      <c r="I9380" t="str">
        <f>T("WASHINGTON")</f>
        <v>WASHINGTON</v>
      </c>
      <c r="J9380" t="str">
        <f>T("DC")</f>
        <v>DC</v>
      </c>
      <c r="K9380" t="str">
        <f>T("000000000000000000")</f>
        <v>000000000000000000</v>
      </c>
      <c r="L9380" t="str">
        <f>T("2024330838")</f>
        <v>2024330838</v>
      </c>
    </row>
    <row r="9381" spans="1:12" x14ac:dyDescent="0.35">
      <c r="A9381" t="str">
        <f t="shared" si="3455"/>
        <v>NAVAL DIST WASHINGTON HQ</v>
      </c>
      <c r="B9381" t="str">
        <f>T("2691 MITSCHER RD BLDG 414")</f>
        <v>2691 MITSCHER RD BLDG 414</v>
      </c>
      <c r="C9381" t="str">
        <f>T("")</f>
        <v/>
      </c>
      <c r="D9381" t="str">
        <f>T("WASHINGTON")</f>
        <v>WASHINGTON</v>
      </c>
      <c r="E9381" t="str">
        <f>T("DC")</f>
        <v>DC</v>
      </c>
      <c r="F9381" t="str">
        <f>T("203735108")</f>
        <v>203735108</v>
      </c>
      <c r="G9381" t="str">
        <f>T("2691 MITSCHER RD BLDG 414")</f>
        <v>2691 MITSCHER RD BLDG 414</v>
      </c>
      <c r="H9381" t="str">
        <f>T("")</f>
        <v/>
      </c>
      <c r="I9381" t="str">
        <f>T("WASHINGTON")</f>
        <v>WASHINGTON</v>
      </c>
      <c r="J9381" t="str">
        <f>T("DC")</f>
        <v>DC</v>
      </c>
      <c r="K9381" t="str">
        <f>T("000000000000000000")</f>
        <v>000000000000000000</v>
      </c>
      <c r="L9381" t="str">
        <f>T("2024333563")</f>
        <v>2024333563</v>
      </c>
    </row>
    <row r="9382" spans="1:12" x14ac:dyDescent="0.35">
      <c r="A9382" t="str">
        <f t="shared" si="3455"/>
        <v>NAVAL DIST WASHINGTON HQ</v>
      </c>
      <c r="B9382" t="str">
        <f>T("2798 DOHERTY DR SW")</f>
        <v>2798 DOHERTY DR SW</v>
      </c>
      <c r="C9382" t="str">
        <f>T("")</f>
        <v/>
      </c>
      <c r="D9382" t="str">
        <f>T("WASHINGTON")</f>
        <v>WASHINGTON</v>
      </c>
      <c r="E9382" t="str">
        <f>T("DC")</f>
        <v>DC</v>
      </c>
      <c r="F9382" t="str">
        <f>T("203735800")</f>
        <v>203735800</v>
      </c>
      <c r="G9382" t="str">
        <f>T("2798 DOHERTY DR SW")</f>
        <v>2798 DOHERTY DR SW</v>
      </c>
      <c r="H9382" t="str">
        <f>T("")</f>
        <v/>
      </c>
      <c r="I9382" t="str">
        <f>T("WASHINGTON")</f>
        <v>WASHINGTON</v>
      </c>
      <c r="J9382" t="str">
        <f>T("DC")</f>
        <v>DC</v>
      </c>
      <c r="K9382" t="str">
        <f>T("")</f>
        <v/>
      </c>
      <c r="L9382" t="str">
        <f>T("2024339094")</f>
        <v>2024339094</v>
      </c>
    </row>
    <row r="9383" spans="1:12" x14ac:dyDescent="0.35">
      <c r="A9383" t="str">
        <f t="shared" si="3455"/>
        <v>NAVAL DIST WASHINGTON HQ</v>
      </c>
      <c r="B9383" t="str">
        <f>T("2798 DOHERTY DR SW")</f>
        <v>2798 DOHERTY DR SW</v>
      </c>
      <c r="C9383" t="str">
        <f>T("")</f>
        <v/>
      </c>
      <c r="D9383" t="str">
        <f>T("WASHINGTON")</f>
        <v>WASHINGTON</v>
      </c>
      <c r="E9383" t="str">
        <f>T("DC")</f>
        <v>DC</v>
      </c>
      <c r="F9383" t="str">
        <f>T("203735800")</f>
        <v>203735800</v>
      </c>
      <c r="G9383" t="str">
        <f>T("2798 DOHERTY DR SW")</f>
        <v>2798 DOHERTY DR SW</v>
      </c>
      <c r="H9383" t="str">
        <f>T("")</f>
        <v/>
      </c>
      <c r="I9383" t="str">
        <f>T("WASHINGTON")</f>
        <v>WASHINGTON</v>
      </c>
      <c r="J9383" t="str">
        <f>T("DC")</f>
        <v>DC</v>
      </c>
      <c r="K9383" t="str">
        <f>T("000000000000000000")</f>
        <v>000000000000000000</v>
      </c>
      <c r="L9383" t="str">
        <f>T("2024339188")</f>
        <v>2024339188</v>
      </c>
    </row>
    <row r="9384" spans="1:12" x14ac:dyDescent="0.35">
      <c r="A9384" t="str">
        <f t="shared" si="3455"/>
        <v>NAVAL DIST WASHINGTON HQ</v>
      </c>
      <c r="B9384" t="str">
        <f>T("47402 BUSE RD")</f>
        <v>47402 BUSE RD</v>
      </c>
      <c r="C9384" t="str">
        <f>T("BLDG 467 STE A")</f>
        <v>BLDG 467 STE A</v>
      </c>
      <c r="D9384" t="str">
        <f>T("PATUXENT RVR")</f>
        <v>PATUXENT RVR</v>
      </c>
      <c r="E9384" t="str">
        <f>T("MD")</f>
        <v>MD</v>
      </c>
      <c r="F9384" t="str">
        <f>T("206701537")</f>
        <v>206701537</v>
      </c>
      <c r="G9384" t="str">
        <f>T("47402 BUSE RD")</f>
        <v>47402 BUSE RD</v>
      </c>
      <c r="H9384" t="str">
        <f>T("BLDG 467 STE A")</f>
        <v>BLDG 467 STE A</v>
      </c>
      <c r="I9384" t="str">
        <f>T("PATUXENT RVR")</f>
        <v>PATUXENT RVR</v>
      </c>
      <c r="J9384" t="str">
        <f>T("MD")</f>
        <v>MD</v>
      </c>
      <c r="K9384" t="str">
        <f>T("3013423635")</f>
        <v>3013423635</v>
      </c>
      <c r="L9384" t="str">
        <f>T("7175808689")</f>
        <v>7175808689</v>
      </c>
    </row>
    <row r="9385" spans="1:12" x14ac:dyDescent="0.35">
      <c r="A9385" t="str">
        <f t="shared" si="3455"/>
        <v>NAVAL DIST WASHINGTON HQ</v>
      </c>
      <c r="B9385" t="str">
        <f>T("47402 BUSE RD")</f>
        <v>47402 BUSE RD</v>
      </c>
      <c r="C9385" t="str">
        <f>T("BLDG 467 STE A")</f>
        <v>BLDG 467 STE A</v>
      </c>
      <c r="D9385" t="str">
        <f>T("PATUXENT RVR")</f>
        <v>PATUXENT RVR</v>
      </c>
      <c r="E9385" t="str">
        <f>T("MD")</f>
        <v>MD</v>
      </c>
      <c r="F9385" t="str">
        <f>T("206701537")</f>
        <v>206701537</v>
      </c>
      <c r="G9385" t="str">
        <f>T("47402 BUSE ROAD BLDG 467")</f>
        <v>47402 BUSE ROAD BLDG 467</v>
      </c>
      <c r="H9385" t="str">
        <f>T("")</f>
        <v/>
      </c>
      <c r="I9385" t="str">
        <f>T("PATUXENT RIVER")</f>
        <v>PATUXENT RIVER</v>
      </c>
      <c r="J9385" t="str">
        <f>T("MD")</f>
        <v>MD</v>
      </c>
      <c r="K9385" t="str">
        <f>T("000000000000000000")</f>
        <v>000000000000000000</v>
      </c>
      <c r="L9385" t="str">
        <f>T("3013420949")</f>
        <v>3013420949</v>
      </c>
    </row>
    <row r="9386" spans="1:12" x14ac:dyDescent="0.35">
      <c r="A9386" t="str">
        <f t="shared" si="3455"/>
        <v>NAVAL DIST WASHINGTON HQ</v>
      </c>
      <c r="B9386" t="str">
        <f>T("N6 18306 THOMPSON RD STE 227")</f>
        <v>N6 18306 THOMPSON RD STE 227</v>
      </c>
      <c r="C9386" t="str">
        <f>T("BLD 108")</f>
        <v>BLD 108</v>
      </c>
      <c r="D9386" t="str">
        <f>T("DAHLGREN")</f>
        <v>DAHLGREN</v>
      </c>
      <c r="E9386" t="str">
        <f>T("VA")</f>
        <v>VA</v>
      </c>
      <c r="F9386" t="str">
        <f>T("224485177")</f>
        <v>224485177</v>
      </c>
      <c r="G9386" t="str">
        <f>T("6380 WELSH ROAD")</f>
        <v>6380 WELSH ROAD</v>
      </c>
      <c r="H9386" t="str">
        <f>T("BLDG 246")</f>
        <v>BLDG 246</v>
      </c>
      <c r="I9386" t="str">
        <f>T("DAHLGREN")</f>
        <v>DAHLGREN</v>
      </c>
      <c r="J9386" t="str">
        <f>T("VA")</f>
        <v>VA</v>
      </c>
      <c r="K9386" t="str">
        <f>T("5406537177")</f>
        <v>5406537177</v>
      </c>
      <c r="L9386" t="str">
        <f>T("5402840876")</f>
        <v>5402840876</v>
      </c>
    </row>
    <row r="9387" spans="1:12" x14ac:dyDescent="0.35">
      <c r="A9387" t="str">
        <f t="shared" si="3455"/>
        <v>NAVAL DIST WASHINGTON HQ</v>
      </c>
      <c r="B9387" t="str">
        <f>T("N6 18306 THOMPSON RD STE 227")</f>
        <v>N6 18306 THOMPSON RD STE 227</v>
      </c>
      <c r="C9387" t="str">
        <f>T("BLD 108")</f>
        <v>BLD 108</v>
      </c>
      <c r="D9387" t="str">
        <f>T("DAHLGREN")</f>
        <v>DAHLGREN</v>
      </c>
      <c r="E9387" t="str">
        <f>T("VA")</f>
        <v>VA</v>
      </c>
      <c r="F9387" t="str">
        <f>T("224485177")</f>
        <v>224485177</v>
      </c>
      <c r="G9387" t="str">
        <f>T("N6 18306 THOMPSON RD STE 227")</f>
        <v>N6 18306 THOMPSON RD STE 227</v>
      </c>
      <c r="H9387" t="str">
        <f>T("BLD 108")</f>
        <v>BLD 108</v>
      </c>
      <c r="I9387" t="str">
        <f>T("DAHLGREN")</f>
        <v>DAHLGREN</v>
      </c>
      <c r="J9387" t="str">
        <f>T("VA")</f>
        <v>VA</v>
      </c>
      <c r="K9387" t="str">
        <f>T("5406536847")</f>
        <v>5406536847</v>
      </c>
      <c r="L9387" t="str">
        <f>T("5406531022")</f>
        <v>5406531022</v>
      </c>
    </row>
    <row r="9388" spans="1:12" x14ac:dyDescent="0.35">
      <c r="A9388" t="str">
        <f t="shared" ref="A9388:A9393" si="3463">T("NAS PATUXENT RIVER")</f>
        <v>NAS PATUXENT RIVER</v>
      </c>
      <c r="B9388" t="str">
        <f>T("47354 BUSE ROAD")</f>
        <v>47354 BUSE ROAD</v>
      </c>
      <c r="C9388" t="str">
        <f>T("")</f>
        <v/>
      </c>
      <c r="D9388" t="str">
        <f>T("PATUXENT RVR")</f>
        <v>PATUXENT RVR</v>
      </c>
      <c r="E9388" t="str">
        <f t="shared" ref="E9388:E9403" si="3464">T("MD")</f>
        <v>MD</v>
      </c>
      <c r="F9388" t="str">
        <f>T("206701502")</f>
        <v>206701502</v>
      </c>
      <c r="G9388" t="str">
        <f>T("1400 BUSE RD BLDG 1455")</f>
        <v>1400 BUSE RD BLDG 1455</v>
      </c>
      <c r="H9388" t="str">
        <f>T("")</f>
        <v/>
      </c>
      <c r="I9388" t="str">
        <f>T("PATUXENT RIVER")</f>
        <v>PATUXENT RIVER</v>
      </c>
      <c r="J9388" t="str">
        <f t="shared" ref="J9388:J9403" si="3465">T("MD")</f>
        <v>MD</v>
      </c>
      <c r="K9388" t="str">
        <f>T("000000000000000000")</f>
        <v>000000000000000000</v>
      </c>
      <c r="L9388" t="str">
        <f>T("3019953604")</f>
        <v>3019953604</v>
      </c>
    </row>
    <row r="9389" spans="1:12" x14ac:dyDescent="0.35">
      <c r="A9389" t="str">
        <f t="shared" si="3463"/>
        <v>NAS PATUXENT RIVER</v>
      </c>
      <c r="B9389" t="str">
        <f>T("47354 BUSE ROAD")</f>
        <v>47354 BUSE ROAD</v>
      </c>
      <c r="C9389" t="str">
        <f>T("")</f>
        <v/>
      </c>
      <c r="D9389" t="str">
        <f>T("PATUXENT RVR")</f>
        <v>PATUXENT RVR</v>
      </c>
      <c r="E9389" t="str">
        <f t="shared" si="3464"/>
        <v>MD</v>
      </c>
      <c r="F9389" t="str">
        <f>T("206701502")</f>
        <v>206701502</v>
      </c>
      <c r="G9389" t="str">
        <f>T("47354 BUSE ROAD")</f>
        <v>47354 BUSE ROAD</v>
      </c>
      <c r="H9389" t="str">
        <f>T("")</f>
        <v/>
      </c>
      <c r="I9389" t="str">
        <f>T("PATUXENT RVR")</f>
        <v>PATUXENT RVR</v>
      </c>
      <c r="J9389" t="str">
        <f t="shared" si="3465"/>
        <v>MD</v>
      </c>
      <c r="K9389" t="str">
        <f>T("3017570200")</f>
        <v>3017570200</v>
      </c>
      <c r="L9389" t="str">
        <f>T("3017575517")</f>
        <v>3017575517</v>
      </c>
    </row>
    <row r="9390" spans="1:12" x14ac:dyDescent="0.35">
      <c r="A9390" t="str">
        <f t="shared" si="3463"/>
        <v>NAS PATUXENT RIVER</v>
      </c>
      <c r="B9390" t="str">
        <f>T("47372 BUSE RD")</f>
        <v>47372 BUSE RD</v>
      </c>
      <c r="C9390" t="str">
        <f>T("BLDG 469")</f>
        <v>BLDG 469</v>
      </c>
      <c r="D9390" t="str">
        <f>T("PATUXENT RIV")</f>
        <v>PATUXENT RIV</v>
      </c>
      <c r="E9390" t="str">
        <f t="shared" si="3464"/>
        <v>MD</v>
      </c>
      <c r="F9390" t="str">
        <f>T("206701577")</f>
        <v>206701577</v>
      </c>
      <c r="G9390" t="str">
        <f>T("47372 BUSE RD")</f>
        <v>47372 BUSE RD</v>
      </c>
      <c r="H9390" t="str">
        <f>T("BLDG 469")</f>
        <v>BLDG 469</v>
      </c>
      <c r="I9390" t="str">
        <f>T("PATUXENT RIV")</f>
        <v>PATUXENT RIV</v>
      </c>
      <c r="J9390" t="str">
        <f t="shared" si="3465"/>
        <v>MD</v>
      </c>
      <c r="K9390" t="str">
        <f>T("3017570200")</f>
        <v>3017570200</v>
      </c>
      <c r="L9390" t="str">
        <f>T("3013421818")</f>
        <v>3013421818</v>
      </c>
    </row>
    <row r="9391" spans="1:12" x14ac:dyDescent="0.35">
      <c r="A9391" t="str">
        <f t="shared" si="3463"/>
        <v>NAS PATUXENT RIVER</v>
      </c>
      <c r="B9391" t="str">
        <f>T("47372 BUSE RD")</f>
        <v>47372 BUSE RD</v>
      </c>
      <c r="C9391" t="str">
        <f>T("BLDG 469")</f>
        <v>BLDG 469</v>
      </c>
      <c r="D9391" t="str">
        <f>T("PATUXENT RIV")</f>
        <v>PATUXENT RIV</v>
      </c>
      <c r="E9391" t="str">
        <f t="shared" si="3464"/>
        <v>MD</v>
      </c>
      <c r="F9391" t="str">
        <f>T("206701577")</f>
        <v>206701577</v>
      </c>
      <c r="G9391" t="str">
        <f>T("47372 BUSE RD")</f>
        <v>47372 BUSE RD</v>
      </c>
      <c r="H9391" t="str">
        <f>T("BLDG 469")</f>
        <v>BLDG 469</v>
      </c>
      <c r="I9391" t="str">
        <f>T("PATUXENT RIVER")</f>
        <v>PATUXENT RIVER</v>
      </c>
      <c r="J9391" t="str">
        <f t="shared" si="3465"/>
        <v>MD</v>
      </c>
      <c r="K9391" t="str">
        <f>T("3017570200")</f>
        <v>3017570200</v>
      </c>
      <c r="L9391" t="str">
        <f>T("3017579795")</f>
        <v>3017579795</v>
      </c>
    </row>
    <row r="9392" spans="1:12" x14ac:dyDescent="0.35">
      <c r="A9392" t="str">
        <f t="shared" si="3463"/>
        <v>NAS PATUXENT RIVER</v>
      </c>
      <c r="B9392" t="str">
        <f>T("47795 JACKSON RD")</f>
        <v>47795 JACKSON RD</v>
      </c>
      <c r="C9392" t="str">
        <f>T("BLDG 103")</f>
        <v>BLDG 103</v>
      </c>
      <c r="D9392" t="str">
        <f>T("PATUXENT RVR")</f>
        <v>PATUXENT RVR</v>
      </c>
      <c r="E9392" t="str">
        <f t="shared" si="3464"/>
        <v>MD</v>
      </c>
      <c r="F9392" t="str">
        <f>T("206701473")</f>
        <v>206701473</v>
      </c>
      <c r="G9392" t="str">
        <f>T("22434 MILLSTONE RD RM 206")</f>
        <v>22434 MILLSTONE RD RM 206</v>
      </c>
      <c r="H9392" t="str">
        <f>T("")</f>
        <v/>
      </c>
      <c r="I9392" t="str">
        <f>T("PATUXENT RIVER")</f>
        <v>PATUXENT RIVER</v>
      </c>
      <c r="J9392" t="str">
        <f t="shared" si="3465"/>
        <v>MD</v>
      </c>
      <c r="K9392" t="str">
        <f>T("000000000000000000")</f>
        <v>000000000000000000</v>
      </c>
      <c r="L9392" t="str">
        <f>T("3017579951")</f>
        <v>3017579951</v>
      </c>
    </row>
    <row r="9393" spans="1:12" x14ac:dyDescent="0.35">
      <c r="A9393" t="str">
        <f t="shared" si="3463"/>
        <v>NAS PATUXENT RIVER</v>
      </c>
      <c r="B9393" t="str">
        <f>T("47795 JACKSON RD")</f>
        <v>47795 JACKSON RD</v>
      </c>
      <c r="C9393" t="str">
        <f>T("BLDG 103")</f>
        <v>BLDG 103</v>
      </c>
      <c r="D9393" t="str">
        <f>T("PATUXENT RVR")</f>
        <v>PATUXENT RVR</v>
      </c>
      <c r="E9393" t="str">
        <f t="shared" si="3464"/>
        <v>MD</v>
      </c>
      <c r="F9393" t="str">
        <f>T("206701473")</f>
        <v>206701473</v>
      </c>
      <c r="G9393" t="str">
        <f>T("47795 JACKSON RD")</f>
        <v>47795 JACKSON RD</v>
      </c>
      <c r="H9393" t="str">
        <f>T("BLDG 103")</f>
        <v>BLDG 103</v>
      </c>
      <c r="I9393" t="str">
        <f>T("PATUXENT RVR")</f>
        <v>PATUXENT RVR</v>
      </c>
      <c r="J9393" t="str">
        <f t="shared" si="3465"/>
        <v>MD</v>
      </c>
      <c r="K9393" t="str">
        <f>T("3013423928")</f>
        <v>3013423928</v>
      </c>
      <c r="L9393" t="str">
        <f>T("3013429632")</f>
        <v>3013429632</v>
      </c>
    </row>
    <row r="9394" spans="1:12" x14ac:dyDescent="0.35">
      <c r="A9394" t="str">
        <f t="shared" ref="A9394:A9401" si="3466">T("NAVAL SUPPORT ACTIVITY BETHESD")</f>
        <v>NAVAL SUPPORT ACTIVITY BETHESD</v>
      </c>
      <c r="B9394" t="str">
        <f t="shared" ref="B9394:B9401" si="3467">T("8901 WISCONSIN AVE")</f>
        <v>8901 WISCONSIN AVE</v>
      </c>
      <c r="C9394" t="str">
        <f t="shared" ref="C9394:C9401" si="3468">T("")</f>
        <v/>
      </c>
      <c r="D9394" t="str">
        <f t="shared" ref="D9394:D9401" si="3469">T("BETHESDA")</f>
        <v>BETHESDA</v>
      </c>
      <c r="E9394" t="str">
        <f t="shared" si="3464"/>
        <v>MD</v>
      </c>
      <c r="F9394" t="str">
        <f>T("208890000")</f>
        <v>208890000</v>
      </c>
      <c r="G9394" t="str">
        <f>T("4655 TAYLOR RD")</f>
        <v>4655 TAYLOR RD</v>
      </c>
      <c r="H9394" t="str">
        <f>T("3RD FLOOR ROOM 314")</f>
        <v>3RD FLOOR ROOM 314</v>
      </c>
      <c r="I9394" t="str">
        <f t="shared" ref="I9394:I9401" si="3470">T("BETHESDA")</f>
        <v>BETHESDA</v>
      </c>
      <c r="J9394" t="str">
        <f t="shared" si="3465"/>
        <v>MD</v>
      </c>
      <c r="K9394" t="str">
        <f>T("000000000000000000")</f>
        <v>000000000000000000</v>
      </c>
      <c r="L9394" t="str">
        <f>T("3013192118")</f>
        <v>3013192118</v>
      </c>
    </row>
    <row r="9395" spans="1:12" x14ac:dyDescent="0.35">
      <c r="A9395" t="str">
        <f t="shared" si="3466"/>
        <v>NAVAL SUPPORT ACTIVITY BETHESD</v>
      </c>
      <c r="B9395" t="str">
        <f t="shared" si="3467"/>
        <v>8901 WISCONSIN AVE</v>
      </c>
      <c r="C9395" t="str">
        <f t="shared" si="3468"/>
        <v/>
      </c>
      <c r="D9395" t="str">
        <f t="shared" si="3469"/>
        <v>BETHESDA</v>
      </c>
      <c r="E9395" t="str">
        <f t="shared" si="3464"/>
        <v>MD</v>
      </c>
      <c r="F9395" t="str">
        <f>T("208890000")</f>
        <v>208890000</v>
      </c>
      <c r="G9395" t="str">
        <f>T("8901 WISCONSIN AVE")</f>
        <v>8901 WISCONSIN AVE</v>
      </c>
      <c r="H9395" t="str">
        <f>T("")</f>
        <v/>
      </c>
      <c r="I9395" t="str">
        <f t="shared" si="3470"/>
        <v>BETHESDA</v>
      </c>
      <c r="J9395" t="str">
        <f t="shared" si="3465"/>
        <v>MD</v>
      </c>
      <c r="K9395" t="str">
        <f>T("")</f>
        <v/>
      </c>
      <c r="L9395" t="str">
        <f>T("3013192560")</f>
        <v>3013192560</v>
      </c>
    </row>
    <row r="9396" spans="1:12" x14ac:dyDescent="0.35">
      <c r="A9396" t="str">
        <f t="shared" si="3466"/>
        <v>NAVAL SUPPORT ACTIVITY BETHESD</v>
      </c>
      <c r="B9396" t="str">
        <f t="shared" si="3467"/>
        <v>8901 WISCONSIN AVE</v>
      </c>
      <c r="C9396" t="str">
        <f t="shared" si="3468"/>
        <v/>
      </c>
      <c r="D9396" t="str">
        <f t="shared" si="3469"/>
        <v>BETHESDA</v>
      </c>
      <c r="E9396" t="str">
        <f t="shared" si="3464"/>
        <v>MD</v>
      </c>
      <c r="F9396" t="str">
        <f>T("208890000")</f>
        <v>208890000</v>
      </c>
      <c r="G9396" t="str">
        <f>T("8901 WISCONSIN AVE")</f>
        <v>8901 WISCONSIN AVE</v>
      </c>
      <c r="H9396" t="str">
        <f>T("")</f>
        <v/>
      </c>
      <c r="I9396" t="str">
        <f t="shared" si="3470"/>
        <v>BETHESDA</v>
      </c>
      <c r="J9396" t="str">
        <f t="shared" si="3465"/>
        <v>MD</v>
      </c>
      <c r="K9396" t="str">
        <f>T("000000000000000000")</f>
        <v>000000000000000000</v>
      </c>
      <c r="L9396" t="str">
        <f>T("3012955099")</f>
        <v>3012955099</v>
      </c>
    </row>
    <row r="9397" spans="1:12" x14ac:dyDescent="0.35">
      <c r="A9397" t="str">
        <f t="shared" si="3466"/>
        <v>NAVAL SUPPORT ACTIVITY BETHESD</v>
      </c>
      <c r="B9397" t="str">
        <f t="shared" si="3467"/>
        <v>8901 WISCONSIN AVE</v>
      </c>
      <c r="C9397" t="str">
        <f t="shared" si="3468"/>
        <v/>
      </c>
      <c r="D9397" t="str">
        <f t="shared" si="3469"/>
        <v>BETHESDA</v>
      </c>
      <c r="E9397" t="str">
        <f t="shared" si="3464"/>
        <v>MD</v>
      </c>
      <c r="F9397" t="str">
        <f>T("208890000")</f>
        <v>208890000</v>
      </c>
      <c r="G9397" t="str">
        <f>T("8901 WISCONSIN AVE")</f>
        <v>8901 WISCONSIN AVE</v>
      </c>
      <c r="H9397" t="str">
        <f>T("")</f>
        <v/>
      </c>
      <c r="I9397" t="str">
        <f t="shared" si="3470"/>
        <v>BETHESDA</v>
      </c>
      <c r="J9397" t="str">
        <f t="shared" si="3465"/>
        <v>MD</v>
      </c>
      <c r="K9397" t="str">
        <f>T("000000000000000000")</f>
        <v>000000000000000000</v>
      </c>
      <c r="L9397" t="str">
        <f>T("3013192560")</f>
        <v>3013192560</v>
      </c>
    </row>
    <row r="9398" spans="1:12" x14ac:dyDescent="0.35">
      <c r="A9398" t="str">
        <f t="shared" si="3466"/>
        <v>NAVAL SUPPORT ACTIVITY BETHESD</v>
      </c>
      <c r="B9398" t="str">
        <f t="shared" si="3467"/>
        <v>8901 WISCONSIN AVE</v>
      </c>
      <c r="C9398" t="str">
        <f t="shared" si="3468"/>
        <v/>
      </c>
      <c r="D9398" t="str">
        <f t="shared" si="3469"/>
        <v>BETHESDA</v>
      </c>
      <c r="E9398" t="str">
        <f t="shared" si="3464"/>
        <v>MD</v>
      </c>
      <c r="F9398" t="str">
        <f>T("208890004")</f>
        <v>208890004</v>
      </c>
      <c r="G9398" t="str">
        <f>T("4650 TAYLOR RIDGE RD")</f>
        <v>4650 TAYLOR RIDGE RD</v>
      </c>
      <c r="H9398" t="str">
        <f>T("BLDG 17B SUITE 3D")</f>
        <v>BLDG 17B SUITE 3D</v>
      </c>
      <c r="I9398" t="str">
        <f t="shared" si="3470"/>
        <v>BETHESDA</v>
      </c>
      <c r="J9398" t="str">
        <f t="shared" si="3465"/>
        <v>MD</v>
      </c>
      <c r="K9398" t="str">
        <f>T("3012954850")</f>
        <v>3012954850</v>
      </c>
      <c r="L9398" t="str">
        <f>T("3012951138")</f>
        <v>3012951138</v>
      </c>
    </row>
    <row r="9399" spans="1:12" x14ac:dyDescent="0.35">
      <c r="A9399" t="str">
        <f t="shared" si="3466"/>
        <v>NAVAL SUPPORT ACTIVITY BETHESD</v>
      </c>
      <c r="B9399" t="str">
        <f t="shared" si="3467"/>
        <v>8901 WISCONSIN AVE</v>
      </c>
      <c r="C9399" t="str">
        <f t="shared" si="3468"/>
        <v/>
      </c>
      <c r="D9399" t="str">
        <f t="shared" si="3469"/>
        <v>BETHESDA</v>
      </c>
      <c r="E9399" t="str">
        <f t="shared" si="3464"/>
        <v>MD</v>
      </c>
      <c r="F9399" t="str">
        <f>T("208890004")</f>
        <v>208890004</v>
      </c>
      <c r="G9399" t="str">
        <f>T("8901 WISCONSIN AVE")</f>
        <v>8901 WISCONSIN AVE</v>
      </c>
      <c r="H9399" t="str">
        <f>T("")</f>
        <v/>
      </c>
      <c r="I9399" t="str">
        <f t="shared" si="3470"/>
        <v>BETHESDA</v>
      </c>
      <c r="J9399" t="str">
        <f t="shared" si="3465"/>
        <v>MD</v>
      </c>
      <c r="K9399" t="str">
        <f>T("3012950994")</f>
        <v>3012950994</v>
      </c>
      <c r="L9399" t="str">
        <f>T("3013192560")</f>
        <v>3013192560</v>
      </c>
    </row>
    <row r="9400" spans="1:12" x14ac:dyDescent="0.35">
      <c r="A9400" t="str">
        <f t="shared" si="3466"/>
        <v>NAVAL SUPPORT ACTIVITY BETHESD</v>
      </c>
      <c r="B9400" t="str">
        <f t="shared" si="3467"/>
        <v>8901 WISCONSIN AVE</v>
      </c>
      <c r="C9400" t="str">
        <f t="shared" si="3468"/>
        <v/>
      </c>
      <c r="D9400" t="str">
        <f t="shared" si="3469"/>
        <v>BETHESDA</v>
      </c>
      <c r="E9400" t="str">
        <f t="shared" si="3464"/>
        <v>MD</v>
      </c>
      <c r="F9400" t="str">
        <f>T("208895600")</f>
        <v>208895600</v>
      </c>
      <c r="G9400" t="str">
        <f>T("8901 WISCONSIN AVE")</f>
        <v>8901 WISCONSIN AVE</v>
      </c>
      <c r="H9400" t="str">
        <f>T("")</f>
        <v/>
      </c>
      <c r="I9400" t="str">
        <f t="shared" si="3470"/>
        <v>BETHESDA</v>
      </c>
      <c r="J9400" t="str">
        <f t="shared" si="3465"/>
        <v>MD</v>
      </c>
      <c r="K9400" t="str">
        <f>T("")</f>
        <v/>
      </c>
      <c r="L9400" t="str">
        <f>T("3012956737")</f>
        <v>3012956737</v>
      </c>
    </row>
    <row r="9401" spans="1:12" x14ac:dyDescent="0.35">
      <c r="A9401" t="str">
        <f t="shared" si="3466"/>
        <v>NAVAL SUPPORT ACTIVITY BETHESD</v>
      </c>
      <c r="B9401" t="str">
        <f t="shared" si="3467"/>
        <v>8901 WISCONSIN AVE</v>
      </c>
      <c r="C9401" t="str">
        <f t="shared" si="3468"/>
        <v/>
      </c>
      <c r="D9401" t="str">
        <f t="shared" si="3469"/>
        <v>BETHESDA</v>
      </c>
      <c r="E9401" t="str">
        <f t="shared" si="3464"/>
        <v>MD</v>
      </c>
      <c r="F9401" t="str">
        <f>T("208895600")</f>
        <v>208895600</v>
      </c>
      <c r="G9401" t="str">
        <f>T("8901 WISCONSIN AVE")</f>
        <v>8901 WISCONSIN AVE</v>
      </c>
      <c r="H9401" t="str">
        <f>T("BLDG 17 BASEMENT STE B1")</f>
        <v>BLDG 17 BASEMENT STE B1</v>
      </c>
      <c r="I9401" t="str">
        <f t="shared" si="3470"/>
        <v>BETHESDA</v>
      </c>
      <c r="J9401" t="str">
        <f t="shared" si="3465"/>
        <v>MD</v>
      </c>
      <c r="K9401" t="str">
        <f>T("3012954610")</f>
        <v>3012954610</v>
      </c>
      <c r="L9401" t="str">
        <f>T("3013192560")</f>
        <v>3013192560</v>
      </c>
    </row>
    <row r="9402" spans="1:12" x14ac:dyDescent="0.35">
      <c r="A9402" t="str">
        <f t="shared" ref="A9402:A9409" si="3471">T("NSA SOUTH POTOMAC")</f>
        <v>NSA SOUTH POTOMAC</v>
      </c>
      <c r="B9402" t="str">
        <f>T("101 STRAUSS AVE")</f>
        <v>101 STRAUSS AVE</v>
      </c>
      <c r="C9402" t="str">
        <f>T("SUITE 902")</f>
        <v>SUITE 902</v>
      </c>
      <c r="D9402" t="str">
        <f>T("INDIAN HEAD")</f>
        <v>INDIAN HEAD</v>
      </c>
      <c r="E9402" t="str">
        <f t="shared" si="3464"/>
        <v>MD</v>
      </c>
      <c r="F9402" t="str">
        <f>T("206401579")</f>
        <v>206401579</v>
      </c>
      <c r="G9402" t="str">
        <f>T("101 STRAUSS AVE")</f>
        <v>101 STRAUSS AVE</v>
      </c>
      <c r="H9402" t="str">
        <f>T("SUITE 902")</f>
        <v>SUITE 902</v>
      </c>
      <c r="I9402" t="str">
        <f>T("INDIAN HEAD")</f>
        <v>INDIAN HEAD</v>
      </c>
      <c r="J9402" t="str">
        <f t="shared" si="3465"/>
        <v>MD</v>
      </c>
      <c r="K9402" t="str">
        <f>T("3017444225")</f>
        <v>3017444225</v>
      </c>
      <c r="L9402" t="str">
        <f>T("3017444225")</f>
        <v>3017444225</v>
      </c>
    </row>
    <row r="9403" spans="1:12" x14ac:dyDescent="0.35">
      <c r="A9403" t="str">
        <f t="shared" si="3471"/>
        <v>NSA SOUTH POTOMAC</v>
      </c>
      <c r="B9403" t="str">
        <f>T("101 STRAUSS AVE")</f>
        <v>101 STRAUSS AVE</v>
      </c>
      <c r="C9403" t="str">
        <f>T("SUITE 902")</f>
        <v>SUITE 902</v>
      </c>
      <c r="D9403" t="str">
        <f>T("INDIAN HEAD")</f>
        <v>INDIAN HEAD</v>
      </c>
      <c r="E9403" t="str">
        <f t="shared" si="3464"/>
        <v>MD</v>
      </c>
      <c r="F9403" t="str">
        <f>T("206401579")</f>
        <v>206401579</v>
      </c>
      <c r="G9403" t="str">
        <f>T("NSF INDIAN HEAD")</f>
        <v>NSF INDIAN HEAD</v>
      </c>
      <c r="H9403" t="str">
        <f>T("4234 STEVES WAY BLDG. D-327, RM. 106")</f>
        <v>4234 STEVES WAY BLDG. D-327, RM. 106</v>
      </c>
      <c r="I9403" t="str">
        <f>T("INDIAN HEAD")</f>
        <v>INDIAN HEAD</v>
      </c>
      <c r="J9403" t="str">
        <f t="shared" si="3465"/>
        <v>MD</v>
      </c>
      <c r="K9403" t="str">
        <f>T("3017446629")</f>
        <v>3017446629</v>
      </c>
      <c r="L9403" t="str">
        <f>T("3017444721")</f>
        <v>3017444721</v>
      </c>
    </row>
    <row r="9404" spans="1:12" x14ac:dyDescent="0.35">
      <c r="A9404" t="str">
        <f t="shared" si="3471"/>
        <v>NSA SOUTH POTOMAC</v>
      </c>
      <c r="B9404" t="str">
        <f>T("17658 DAHLGREN ROAD")</f>
        <v>17658 DAHLGREN ROAD</v>
      </c>
      <c r="C9404" t="str">
        <f>T("BLDG 411")</f>
        <v>BLDG 411</v>
      </c>
      <c r="D9404" t="str">
        <f>T("DAHLGREN")</f>
        <v>DAHLGREN</v>
      </c>
      <c r="E9404" t="str">
        <f>T("VA")</f>
        <v>VA</v>
      </c>
      <c r="F9404" t="str">
        <f>T("224485118")</f>
        <v>224485118</v>
      </c>
      <c r="G9404" t="str">
        <f>T("17658 DAHLGREN RD")</f>
        <v>17658 DAHLGREN RD</v>
      </c>
      <c r="H9404" t="str">
        <f>T("")</f>
        <v/>
      </c>
      <c r="I9404" t="str">
        <f>T("DAHLGREN")</f>
        <v>DAHLGREN</v>
      </c>
      <c r="J9404" t="str">
        <f>T("VA")</f>
        <v>VA</v>
      </c>
      <c r="K9404" t="str">
        <f>T("5406536466")</f>
        <v>5406536466</v>
      </c>
      <c r="L9404" t="str">
        <f>T("5406536673")</f>
        <v>5406536673</v>
      </c>
    </row>
    <row r="9405" spans="1:12" x14ac:dyDescent="0.35">
      <c r="A9405" t="str">
        <f t="shared" si="3471"/>
        <v>NSA SOUTH POTOMAC</v>
      </c>
      <c r="B9405" t="str">
        <f>T("17658 DAHLGREN ROAD")</f>
        <v>17658 DAHLGREN ROAD</v>
      </c>
      <c r="C9405" t="str">
        <f>T("BLDG 411")</f>
        <v>BLDG 411</v>
      </c>
      <c r="D9405" t="str">
        <f>T("DAHLGREN")</f>
        <v>DAHLGREN</v>
      </c>
      <c r="E9405" t="str">
        <f>T("VA")</f>
        <v>VA</v>
      </c>
      <c r="F9405" t="str">
        <f>T("224485118")</f>
        <v>224485118</v>
      </c>
      <c r="G9405" t="str">
        <f>T("17658 DAHLGREN ROAD")</f>
        <v>17658 DAHLGREN ROAD</v>
      </c>
      <c r="H9405" t="str">
        <f>T("BLDG 411")</f>
        <v>BLDG 411</v>
      </c>
      <c r="I9405" t="str">
        <f>T("DAHLGREN")</f>
        <v>DAHLGREN</v>
      </c>
      <c r="J9405" t="str">
        <f>T("VA")</f>
        <v>VA</v>
      </c>
      <c r="K9405" t="str">
        <f>T("")</f>
        <v/>
      </c>
      <c r="L9405" t="str">
        <f>T("5406533369")</f>
        <v>5406533369</v>
      </c>
    </row>
    <row r="9406" spans="1:12" x14ac:dyDescent="0.35">
      <c r="A9406" t="str">
        <f t="shared" si="3471"/>
        <v>NSA SOUTH POTOMAC</v>
      </c>
      <c r="B9406" t="str">
        <f>T("17658 DAHLGREN ROAD")</f>
        <v>17658 DAHLGREN ROAD</v>
      </c>
      <c r="C9406" t="str">
        <f>T("BLDG 411")</f>
        <v>BLDG 411</v>
      </c>
      <c r="D9406" t="str">
        <f>T("DAHLGREN")</f>
        <v>DAHLGREN</v>
      </c>
      <c r="E9406" t="str">
        <f>T("VA")</f>
        <v>VA</v>
      </c>
      <c r="F9406" t="str">
        <f>T("224485118")</f>
        <v>224485118</v>
      </c>
      <c r="G9406" t="str">
        <f>T("4193 W PATTERSON RD")</f>
        <v>4193 W PATTERSON RD</v>
      </c>
      <c r="H9406" t="str">
        <f>T("BLDG 878")</f>
        <v>BLDG 878</v>
      </c>
      <c r="I9406" t="str">
        <f>T("INDIAN HEAD")</f>
        <v>INDIAN HEAD</v>
      </c>
      <c r="J9406" t="str">
        <f>T("MD")</f>
        <v>MD</v>
      </c>
      <c r="K9406" t="str">
        <f>T("3017444449")</f>
        <v>3017444449</v>
      </c>
      <c r="L9406" t="str">
        <f>T("3017444259")</f>
        <v>3017444259</v>
      </c>
    </row>
    <row r="9407" spans="1:12" x14ac:dyDescent="0.35">
      <c r="A9407" t="str">
        <f t="shared" si="3471"/>
        <v>NSA SOUTH POTOMAC</v>
      </c>
      <c r="B9407" t="str">
        <f>T("3399 STRAUSS AVENUE")</f>
        <v>3399 STRAUSS AVENUE</v>
      </c>
      <c r="C9407" t="str">
        <f>T("BLDG 902 GALLEY")</f>
        <v>BLDG 902 GALLEY</v>
      </c>
      <c r="D9407" t="str">
        <f>T("INDIAN HEAD")</f>
        <v>INDIAN HEAD</v>
      </c>
      <c r="E9407" t="str">
        <f>T("MD")</f>
        <v>MD</v>
      </c>
      <c r="F9407" t="str">
        <f>T("206405164")</f>
        <v>206405164</v>
      </c>
      <c r="G9407" t="str">
        <f>T("3399 STRAUSS AVENUE")</f>
        <v>3399 STRAUSS AVENUE</v>
      </c>
      <c r="H9407" t="str">
        <f>T("BLDG 902 GALLEY")</f>
        <v>BLDG 902 GALLEY</v>
      </c>
      <c r="I9407" t="str">
        <f>T("INDIAN HEAD")</f>
        <v>INDIAN HEAD</v>
      </c>
      <c r="J9407" t="str">
        <f>T("MD")</f>
        <v>MD</v>
      </c>
      <c r="K9407" t="str">
        <f>T("5406534269")</f>
        <v>5406534269</v>
      </c>
      <c r="L9407" t="str">
        <f>T("3017444371")</f>
        <v>3017444371</v>
      </c>
    </row>
    <row r="9408" spans="1:12" x14ac:dyDescent="0.35">
      <c r="A9408" t="str">
        <f t="shared" si="3471"/>
        <v>NSA SOUTH POTOMAC</v>
      </c>
      <c r="B9408" t="str">
        <f>T("3399 STRAUSS AVENUE")</f>
        <v>3399 STRAUSS AVENUE</v>
      </c>
      <c r="C9408" t="str">
        <f>T("BLDG 902 GALLEY")</f>
        <v>BLDG 902 GALLEY</v>
      </c>
      <c r="D9408" t="str">
        <f>T("INDIAN HEAD")</f>
        <v>INDIAN HEAD</v>
      </c>
      <c r="E9408" t="str">
        <f>T("MD")</f>
        <v>MD</v>
      </c>
      <c r="F9408" t="str">
        <f>T("206405164")</f>
        <v>206405164</v>
      </c>
      <c r="G9408" t="str">
        <f>T("6509 SAMPSON RD")</f>
        <v>6509 SAMPSON RD</v>
      </c>
      <c r="H9408" t="str">
        <f>T("")</f>
        <v/>
      </c>
      <c r="I9408" t="str">
        <f>T("DAHLGREN")</f>
        <v>DAHLGREN</v>
      </c>
      <c r="J9408" t="str">
        <f>T("VA")</f>
        <v>VA</v>
      </c>
      <c r="K9408" t="str">
        <f>T("000000000000000000")</f>
        <v>000000000000000000</v>
      </c>
      <c r="L9408" t="str">
        <f>T("5406530563")</f>
        <v>5406530563</v>
      </c>
    </row>
    <row r="9409" spans="1:12" x14ac:dyDescent="0.35">
      <c r="A9409" t="str">
        <f t="shared" si="3471"/>
        <v>NSA SOUTH POTOMAC</v>
      </c>
      <c r="B9409" t="str">
        <f>T("3399 STRAUSS AVENUE")</f>
        <v>3399 STRAUSS AVENUE</v>
      </c>
      <c r="C9409" t="str">
        <f>T("BLDG 902 GALLEY")</f>
        <v>BLDG 902 GALLEY</v>
      </c>
      <c r="D9409" t="str">
        <f>T("INDIAN HEAD")</f>
        <v>INDIAN HEAD</v>
      </c>
      <c r="E9409" t="str">
        <f>T("MD")</f>
        <v>MD</v>
      </c>
      <c r="F9409" t="str">
        <f>T("206405164")</f>
        <v>206405164</v>
      </c>
      <c r="G9409" t="str">
        <f>T("6509 SAMPSON ROAD")</f>
        <v>6509 SAMPSON ROAD</v>
      </c>
      <c r="H9409" t="str">
        <f>T("SUITE 217")</f>
        <v>SUITE 217</v>
      </c>
      <c r="I9409" t="str">
        <f>T("DAHLGREN")</f>
        <v>DAHLGREN</v>
      </c>
      <c r="J9409" t="str">
        <f>T("VA")</f>
        <v>VA</v>
      </c>
      <c r="K9409" t="str">
        <f>T("000000000000000000")</f>
        <v>000000000000000000</v>
      </c>
      <c r="L9409" t="str">
        <f>T("5406534689")</f>
        <v>5406534689</v>
      </c>
    </row>
    <row r="9410" spans="1:12" x14ac:dyDescent="0.35">
      <c r="A9410" t="str">
        <f t="shared" ref="A9410:A9430" si="3472">T("JBAB")</f>
        <v>JBAB</v>
      </c>
      <c r="B9410" t="str">
        <f>T("118 BROOKLEY AVE")</f>
        <v>118 BROOKLEY AVE</v>
      </c>
      <c r="C9410" t="str">
        <f>T("SUITE 100")</f>
        <v>SUITE 100</v>
      </c>
      <c r="D9410" t="str">
        <f>T("BOLLING AFB")</f>
        <v>BOLLING AFB</v>
      </c>
      <c r="E9410" t="str">
        <f t="shared" ref="E9410:E9430" si="3473">T("DC")</f>
        <v>DC</v>
      </c>
      <c r="F9410" t="str">
        <f>T("200327703")</f>
        <v>200327703</v>
      </c>
      <c r="G9410" t="str">
        <f>T("118 BROOKLEY AVE")</f>
        <v>118 BROOKLEY AVE</v>
      </c>
      <c r="H9410" t="str">
        <f>T("SUITE 100")</f>
        <v>SUITE 100</v>
      </c>
      <c r="I9410" t="str">
        <f>T("BOLLING AFB")</f>
        <v>BOLLING AFB</v>
      </c>
      <c r="J9410" t="str">
        <f t="shared" ref="J9410:J9430" si="3474">T("DC")</f>
        <v>DC</v>
      </c>
      <c r="K9410" t="str">
        <f>T("2027674482")</f>
        <v>2027674482</v>
      </c>
      <c r="L9410" t="str">
        <f>T("2027670450")</f>
        <v>2027670450</v>
      </c>
    </row>
    <row r="9411" spans="1:12" x14ac:dyDescent="0.35">
      <c r="A9411" t="str">
        <f t="shared" si="3472"/>
        <v>JBAB</v>
      </c>
      <c r="B9411" t="str">
        <f>T("1411 PARSONS AVE SE")</f>
        <v>1411 PARSONS AVE SE</v>
      </c>
      <c r="C9411" t="str">
        <f>T("BLDG 101 SUITE 226")</f>
        <v>BLDG 101 SUITE 226</v>
      </c>
      <c r="D9411" t="str">
        <f>T("WASHINGTON")</f>
        <v>WASHINGTON</v>
      </c>
      <c r="E9411" t="str">
        <f t="shared" si="3473"/>
        <v>DC</v>
      </c>
      <c r="F9411" t="str">
        <f>T("203745119")</f>
        <v>203745119</v>
      </c>
      <c r="G9411" t="str">
        <f>T("1411 PARSONS AVE SE")</f>
        <v>1411 PARSONS AVE SE</v>
      </c>
      <c r="H9411" t="str">
        <f>T("BLDG 101 SUITE 226")</f>
        <v>BLDG 101 SUITE 226</v>
      </c>
      <c r="I9411" t="str">
        <f>T("WASHINGTON")</f>
        <v>WASHINGTON</v>
      </c>
      <c r="J9411" t="str">
        <f t="shared" si="3474"/>
        <v>DC</v>
      </c>
      <c r="K9411" t="str">
        <f>T("2024339706")</f>
        <v>2024339706</v>
      </c>
      <c r="L9411" t="str">
        <f>T("2024332427")</f>
        <v>2024332427</v>
      </c>
    </row>
    <row r="9412" spans="1:12" x14ac:dyDescent="0.35">
      <c r="A9412" t="str">
        <f t="shared" si="3472"/>
        <v>JBAB</v>
      </c>
      <c r="B9412" t="str">
        <f>T("1411 PARSONS AVE SE")</f>
        <v>1411 PARSONS AVE SE</v>
      </c>
      <c r="C9412" t="str">
        <f>T("BLDG 101 SUITE 226")</f>
        <v>BLDG 101 SUITE 226</v>
      </c>
      <c r="D9412" t="str">
        <f>T("WASHINGTON")</f>
        <v>WASHINGTON</v>
      </c>
      <c r="E9412" t="str">
        <f t="shared" si="3473"/>
        <v>DC</v>
      </c>
      <c r="F9412" t="str">
        <f>T("203745119")</f>
        <v>203745119</v>
      </c>
      <c r="G9412" t="str">
        <f>T("1411 PARSONS AVE SE")</f>
        <v>1411 PARSONS AVE SE</v>
      </c>
      <c r="H9412" t="str">
        <f>T("SUITE 226")</f>
        <v>SUITE 226</v>
      </c>
      <c r="I9412" t="str">
        <f>T("WASHINGTON")</f>
        <v>WASHINGTON</v>
      </c>
      <c r="J9412" t="str">
        <f t="shared" si="3474"/>
        <v>DC</v>
      </c>
      <c r="K9412" t="str">
        <f>T("2024339706")</f>
        <v>2024339706</v>
      </c>
      <c r="L9412" t="str">
        <f>T("2024333009")</f>
        <v>2024333009</v>
      </c>
    </row>
    <row r="9413" spans="1:12" x14ac:dyDescent="0.35">
      <c r="A9413" t="str">
        <f t="shared" si="3472"/>
        <v>JBAB</v>
      </c>
      <c r="B9413" t="str">
        <f t="shared" ref="B9413:B9418" si="3475">T("201 MCCHORD ST")</f>
        <v>201 MCCHORD ST</v>
      </c>
      <c r="C9413" t="str">
        <f t="shared" ref="C9413:C9421" si="3476">T("")</f>
        <v/>
      </c>
      <c r="D9413" t="str">
        <f t="shared" ref="D9413:D9418" si="3477">T("BOLLING AFB")</f>
        <v>BOLLING AFB</v>
      </c>
      <c r="E9413" t="str">
        <f t="shared" si="3473"/>
        <v>DC</v>
      </c>
      <c r="F9413" t="str">
        <f t="shared" ref="F9413:F9421" si="3478">T("200327709")</f>
        <v>200327709</v>
      </c>
      <c r="G9413" t="str">
        <f>T("201 MC CHORD ST SW")</f>
        <v>201 MC CHORD ST SW</v>
      </c>
      <c r="H9413" t="str">
        <f>T("JBAB")</f>
        <v>JBAB</v>
      </c>
      <c r="I9413" t="str">
        <f>T("BOLLING AFB")</f>
        <v>BOLLING AFB</v>
      </c>
      <c r="J9413" t="str">
        <f t="shared" si="3474"/>
        <v>DC</v>
      </c>
      <c r="K9413" t="str">
        <f>T("000000000000000000")</f>
        <v>000000000000000000</v>
      </c>
      <c r="L9413" t="str">
        <f>T("2027674119")</f>
        <v>2027674119</v>
      </c>
    </row>
    <row r="9414" spans="1:12" x14ac:dyDescent="0.35">
      <c r="A9414" t="str">
        <f t="shared" si="3472"/>
        <v>JBAB</v>
      </c>
      <c r="B9414" t="str">
        <f t="shared" si="3475"/>
        <v>201 MCCHORD ST</v>
      </c>
      <c r="C9414" t="str">
        <f t="shared" si="3476"/>
        <v/>
      </c>
      <c r="D9414" t="str">
        <f t="shared" si="3477"/>
        <v>BOLLING AFB</v>
      </c>
      <c r="E9414" t="str">
        <f t="shared" si="3473"/>
        <v>DC</v>
      </c>
      <c r="F9414" t="str">
        <f t="shared" si="3478"/>
        <v>200327709</v>
      </c>
      <c r="G9414" t="str">
        <f>T("201 MCCHORD")</f>
        <v>201 MCCHORD</v>
      </c>
      <c r="H9414" t="str">
        <f t="shared" ref="H9414:H9422" si="3479">T("")</f>
        <v/>
      </c>
      <c r="I9414" t="str">
        <f>T("WASHINGTON")</f>
        <v>WASHINGTON</v>
      </c>
      <c r="J9414" t="str">
        <f t="shared" si="3474"/>
        <v>DC</v>
      </c>
      <c r="K9414" t="str">
        <f>T("000000000000000000")</f>
        <v>000000000000000000</v>
      </c>
      <c r="L9414" t="str">
        <f>T("7034397878")</f>
        <v>7034397878</v>
      </c>
    </row>
    <row r="9415" spans="1:12" x14ac:dyDescent="0.35">
      <c r="A9415" t="str">
        <f t="shared" si="3472"/>
        <v>JBAB</v>
      </c>
      <c r="B9415" t="str">
        <f t="shared" si="3475"/>
        <v>201 MCCHORD ST</v>
      </c>
      <c r="C9415" t="str">
        <f t="shared" si="3476"/>
        <v/>
      </c>
      <c r="D9415" t="str">
        <f t="shared" si="3477"/>
        <v>BOLLING AFB</v>
      </c>
      <c r="E9415" t="str">
        <f t="shared" si="3473"/>
        <v>DC</v>
      </c>
      <c r="F9415" t="str">
        <f t="shared" si="3478"/>
        <v>200327709</v>
      </c>
      <c r="G9415" t="str">
        <f>T("201 MCCHORD ST")</f>
        <v>201 MCCHORD ST</v>
      </c>
      <c r="H9415" t="str">
        <f t="shared" si="3479"/>
        <v/>
      </c>
      <c r="I9415" t="str">
        <f>T("BOLLING AFB")</f>
        <v>BOLLING AFB</v>
      </c>
      <c r="J9415" t="str">
        <f t="shared" si="3474"/>
        <v>DC</v>
      </c>
      <c r="K9415" t="str">
        <f>T("2027678770")</f>
        <v>2027678770</v>
      </c>
      <c r="L9415" t="str">
        <f>T("5857644437")</f>
        <v>5857644437</v>
      </c>
    </row>
    <row r="9416" spans="1:12" x14ac:dyDescent="0.35">
      <c r="A9416" t="str">
        <f t="shared" si="3472"/>
        <v>JBAB</v>
      </c>
      <c r="B9416" t="str">
        <f t="shared" si="3475"/>
        <v>201 MCCHORD ST</v>
      </c>
      <c r="C9416" t="str">
        <f t="shared" si="3476"/>
        <v/>
      </c>
      <c r="D9416" t="str">
        <f t="shared" si="3477"/>
        <v>BOLLING AFB</v>
      </c>
      <c r="E9416" t="str">
        <f t="shared" si="3473"/>
        <v>DC</v>
      </c>
      <c r="F9416" t="str">
        <f t="shared" si="3478"/>
        <v>200327709</v>
      </c>
      <c r="G9416" t="str">
        <f>T("201 MCCHORD ST")</f>
        <v>201 MCCHORD ST</v>
      </c>
      <c r="H9416" t="str">
        <f t="shared" si="3479"/>
        <v/>
      </c>
      <c r="I9416" t="str">
        <f t="shared" ref="I9416:I9423" si="3480">T("WASHINGTON")</f>
        <v>WASHINGTON</v>
      </c>
      <c r="J9416" t="str">
        <f t="shared" si="3474"/>
        <v>DC</v>
      </c>
      <c r="K9416" t="str">
        <f>T("000000000000000000")</f>
        <v>000000000000000000</v>
      </c>
      <c r="L9416" t="str">
        <f>T("2027677920")</f>
        <v>2027677920</v>
      </c>
    </row>
    <row r="9417" spans="1:12" x14ac:dyDescent="0.35">
      <c r="A9417" t="str">
        <f t="shared" si="3472"/>
        <v>JBAB</v>
      </c>
      <c r="B9417" t="str">
        <f t="shared" si="3475"/>
        <v>201 MCCHORD ST</v>
      </c>
      <c r="C9417" t="str">
        <f t="shared" si="3476"/>
        <v/>
      </c>
      <c r="D9417" t="str">
        <f t="shared" si="3477"/>
        <v>BOLLING AFB</v>
      </c>
      <c r="E9417" t="str">
        <f t="shared" si="3473"/>
        <v>DC</v>
      </c>
      <c r="F9417" t="str">
        <f t="shared" si="3478"/>
        <v>200327709</v>
      </c>
      <c r="G9417" t="str">
        <f>T("201 MCCHORD ST SW")</f>
        <v>201 MCCHORD ST SW</v>
      </c>
      <c r="H9417" t="str">
        <f t="shared" si="3479"/>
        <v/>
      </c>
      <c r="I9417" t="str">
        <f t="shared" si="3480"/>
        <v>WASHINGTON</v>
      </c>
      <c r="J9417" t="str">
        <f t="shared" si="3474"/>
        <v>DC</v>
      </c>
      <c r="K9417" t="str">
        <f>T("000000000000000000")</f>
        <v>000000000000000000</v>
      </c>
      <c r="L9417" t="str">
        <f>T("2027677920")</f>
        <v>2027677920</v>
      </c>
    </row>
    <row r="9418" spans="1:12" x14ac:dyDescent="0.35">
      <c r="A9418" t="str">
        <f t="shared" si="3472"/>
        <v>JBAB</v>
      </c>
      <c r="B9418" t="str">
        <f t="shared" si="3475"/>
        <v>201 MCCHORD ST</v>
      </c>
      <c r="C9418" t="str">
        <f t="shared" si="3476"/>
        <v/>
      </c>
      <c r="D9418" t="str">
        <f t="shared" si="3477"/>
        <v>BOLLING AFB</v>
      </c>
      <c r="E9418" t="str">
        <f t="shared" si="3473"/>
        <v>DC</v>
      </c>
      <c r="F9418" t="str">
        <f t="shared" si="3478"/>
        <v>200327709</v>
      </c>
      <c r="G9418" t="str">
        <f>T("201 MCCORD ST")</f>
        <v>201 MCCORD ST</v>
      </c>
      <c r="H9418" t="str">
        <f t="shared" si="3479"/>
        <v/>
      </c>
      <c r="I9418" t="str">
        <f t="shared" si="3480"/>
        <v>WASHINGTON</v>
      </c>
      <c r="J9418" t="str">
        <f t="shared" si="3474"/>
        <v>DC</v>
      </c>
      <c r="K9418" t="str">
        <f>T("000000000000000000")</f>
        <v>000000000000000000</v>
      </c>
      <c r="L9418" t="str">
        <f>T("2027677920")</f>
        <v>2027677920</v>
      </c>
    </row>
    <row r="9419" spans="1:12" x14ac:dyDescent="0.35">
      <c r="A9419" t="str">
        <f t="shared" si="3472"/>
        <v>JBAB</v>
      </c>
      <c r="B9419" t="str">
        <f>T("201 MCCORD ST")</f>
        <v>201 MCCORD ST</v>
      </c>
      <c r="C9419" t="str">
        <f t="shared" si="3476"/>
        <v/>
      </c>
      <c r="D9419" t="str">
        <f>T("WASHINGTON")</f>
        <v>WASHINGTON</v>
      </c>
      <c r="E9419" t="str">
        <f t="shared" si="3473"/>
        <v>DC</v>
      </c>
      <c r="F9419" t="str">
        <f t="shared" si="3478"/>
        <v>200327709</v>
      </c>
      <c r="G9419" t="str">
        <f>T("201 MCCORD ST")</f>
        <v>201 MCCORD ST</v>
      </c>
      <c r="H9419" t="str">
        <f t="shared" si="3479"/>
        <v/>
      </c>
      <c r="I9419" t="str">
        <f t="shared" si="3480"/>
        <v>WASHINGTON</v>
      </c>
      <c r="J9419" t="str">
        <f t="shared" si="3474"/>
        <v>DC</v>
      </c>
      <c r="K9419" t="str">
        <f>T("2027678770")</f>
        <v>2027678770</v>
      </c>
      <c r="L9419" t="str">
        <f>T("5857644437")</f>
        <v>5857644437</v>
      </c>
    </row>
    <row r="9420" spans="1:12" x14ac:dyDescent="0.35">
      <c r="A9420" t="str">
        <f t="shared" si="3472"/>
        <v>JBAB</v>
      </c>
      <c r="B9420" t="str">
        <f>T("201 MCCORD ST")</f>
        <v>201 MCCORD ST</v>
      </c>
      <c r="C9420" t="str">
        <f t="shared" si="3476"/>
        <v/>
      </c>
      <c r="D9420" t="str">
        <f>T("WASHINGTON")</f>
        <v>WASHINGTON</v>
      </c>
      <c r="E9420" t="str">
        <f t="shared" si="3473"/>
        <v>DC</v>
      </c>
      <c r="F9420" t="str">
        <f t="shared" si="3478"/>
        <v>200327709</v>
      </c>
      <c r="G9420" t="str">
        <f>T("50 DUNCAN AVENUE")</f>
        <v>50 DUNCAN AVENUE</v>
      </c>
      <c r="H9420" t="str">
        <f t="shared" si="3479"/>
        <v/>
      </c>
      <c r="I9420" t="str">
        <f t="shared" si="3480"/>
        <v>WASHINGTON</v>
      </c>
      <c r="J9420" t="str">
        <f t="shared" si="3474"/>
        <v>DC</v>
      </c>
      <c r="K9420" t="str">
        <f>T("000000000000000000")</f>
        <v>000000000000000000</v>
      </c>
      <c r="L9420" t="str">
        <f>T("2024047542")</f>
        <v>2024047542</v>
      </c>
    </row>
    <row r="9421" spans="1:12" x14ac:dyDescent="0.35">
      <c r="A9421" t="str">
        <f t="shared" si="3472"/>
        <v>JBAB</v>
      </c>
      <c r="B9421" t="str">
        <f>T("201 MCCORD ST")</f>
        <v>201 MCCORD ST</v>
      </c>
      <c r="C9421" t="str">
        <f t="shared" si="3476"/>
        <v/>
      </c>
      <c r="D9421" t="str">
        <f>T("WASHINGTON")</f>
        <v>WASHINGTON</v>
      </c>
      <c r="E9421" t="str">
        <f t="shared" si="3473"/>
        <v>DC</v>
      </c>
      <c r="F9421" t="str">
        <f t="shared" si="3478"/>
        <v>200327709</v>
      </c>
      <c r="G9421" t="str">
        <f>T("7100 BROOKLEY AVE SW")</f>
        <v>7100 BROOKLEY AVE SW</v>
      </c>
      <c r="H9421" t="str">
        <f t="shared" si="3479"/>
        <v/>
      </c>
      <c r="I9421" t="str">
        <f t="shared" si="3480"/>
        <v>WASHINGTON</v>
      </c>
      <c r="J9421" t="str">
        <f t="shared" si="3474"/>
        <v>DC</v>
      </c>
      <c r="K9421" t="str">
        <f>T("000000000000000000")</f>
        <v>000000000000000000</v>
      </c>
      <c r="L9421" t="str">
        <f>T("2027674371")</f>
        <v>2027674371</v>
      </c>
    </row>
    <row r="9422" spans="1:12" x14ac:dyDescent="0.35">
      <c r="A9422" t="str">
        <f t="shared" si="3472"/>
        <v>JBAB</v>
      </c>
      <c r="B9422" t="str">
        <f>T("21 MACDILL BLVD")</f>
        <v>21 MACDILL BLVD</v>
      </c>
      <c r="C9422" t="str">
        <f>T("JBAB")</f>
        <v>JBAB</v>
      </c>
      <c r="D9422" t="str">
        <f>T("WASHINGTON")</f>
        <v>WASHINGTON</v>
      </c>
      <c r="E9422" t="str">
        <f t="shared" si="3473"/>
        <v>DC</v>
      </c>
      <c r="F9422" t="str">
        <f>T("200327710")</f>
        <v>200327710</v>
      </c>
      <c r="G9422" t="str">
        <f>T("21 MACDILL BLVD")</f>
        <v>21 MACDILL BLVD</v>
      </c>
      <c r="H9422" t="str">
        <f t="shared" si="3479"/>
        <v/>
      </c>
      <c r="I9422" t="str">
        <f t="shared" si="3480"/>
        <v>WASHINGTON</v>
      </c>
      <c r="J9422" t="str">
        <f t="shared" si="3474"/>
        <v>DC</v>
      </c>
      <c r="K9422" t="str">
        <f>T("2024330587")</f>
        <v>2024330587</v>
      </c>
      <c r="L9422" t="str">
        <f>T("2024046159")</f>
        <v>2024046159</v>
      </c>
    </row>
    <row r="9423" spans="1:12" x14ac:dyDescent="0.35">
      <c r="A9423" t="str">
        <f t="shared" si="3472"/>
        <v>JBAB</v>
      </c>
      <c r="B9423" t="str">
        <f>T("21 MACDILL BLVD")</f>
        <v>21 MACDILL BLVD</v>
      </c>
      <c r="C9423" t="str">
        <f>T("JBAB")</f>
        <v>JBAB</v>
      </c>
      <c r="D9423" t="str">
        <f>T("WASHINGTON")</f>
        <v>WASHINGTON</v>
      </c>
      <c r="E9423" t="str">
        <f t="shared" si="3473"/>
        <v>DC</v>
      </c>
      <c r="F9423" t="str">
        <f>T("200327710")</f>
        <v>200327710</v>
      </c>
      <c r="G9423" t="str">
        <f>T("21 MACDILL BLVD")</f>
        <v>21 MACDILL BLVD</v>
      </c>
      <c r="H9423" t="str">
        <f>T("JBAB")</f>
        <v>JBAB</v>
      </c>
      <c r="I9423" t="str">
        <f t="shared" si="3480"/>
        <v>WASHINGTON</v>
      </c>
      <c r="J9423" t="str">
        <f t="shared" si="3474"/>
        <v>DC</v>
      </c>
      <c r="K9423" t="str">
        <f>T("2024041604")</f>
        <v>2024041604</v>
      </c>
      <c r="L9423" t="str">
        <f>T("2024046159")</f>
        <v>2024046159</v>
      </c>
    </row>
    <row r="9424" spans="1:12" x14ac:dyDescent="0.35">
      <c r="A9424" t="str">
        <f t="shared" si="3472"/>
        <v>JBAB</v>
      </c>
      <c r="B9424" t="str">
        <f>T("310 ANGELL STREET")</f>
        <v>310 ANGELL STREET</v>
      </c>
      <c r="C9424" t="str">
        <f>T("")</f>
        <v/>
      </c>
      <c r="D9424" t="str">
        <f>T("JBAB")</f>
        <v>JBAB</v>
      </c>
      <c r="E9424" t="str">
        <f t="shared" si="3473"/>
        <v>DC</v>
      </c>
      <c r="F9424" t="str">
        <f>T("200327707")</f>
        <v>200327707</v>
      </c>
      <c r="G9424" t="str">
        <f>T("310 ANGELL STREET")</f>
        <v>310 ANGELL STREET</v>
      </c>
      <c r="H9424" t="str">
        <f>T("")</f>
        <v/>
      </c>
      <c r="I9424" t="str">
        <f>T("JBAB")</f>
        <v>JBAB</v>
      </c>
      <c r="J9424" t="str">
        <f t="shared" si="3474"/>
        <v>DC</v>
      </c>
      <c r="K9424" t="str">
        <f>T("2024048184")</f>
        <v>2024048184</v>
      </c>
      <c r="L9424" t="str">
        <f>T("2027675900")</f>
        <v>2027675900</v>
      </c>
    </row>
    <row r="9425" spans="1:12" x14ac:dyDescent="0.35">
      <c r="A9425" t="str">
        <f t="shared" si="3472"/>
        <v>JBAB</v>
      </c>
      <c r="B9425" t="str">
        <f>T("310 ANGELL STREET")</f>
        <v>310 ANGELL STREET</v>
      </c>
      <c r="C9425" t="str">
        <f>T("")</f>
        <v/>
      </c>
      <c r="D9425" t="str">
        <f>T("JBAB")</f>
        <v>JBAB</v>
      </c>
      <c r="E9425" t="str">
        <f t="shared" si="3473"/>
        <v>DC</v>
      </c>
      <c r="F9425" t="str">
        <f>T("200327707")</f>
        <v>200327707</v>
      </c>
      <c r="G9425" t="str">
        <f>T("310 ANGELL STREET SW")</f>
        <v>310 ANGELL STREET SW</v>
      </c>
      <c r="H9425" t="str">
        <f>T("")</f>
        <v/>
      </c>
      <c r="I9425" t="str">
        <f>T("JBAB")</f>
        <v>JBAB</v>
      </c>
      <c r="J9425" t="str">
        <f t="shared" si="3474"/>
        <v>DC</v>
      </c>
      <c r="K9425" t="str">
        <f>T("2024048184")</f>
        <v>2024048184</v>
      </c>
      <c r="L9425" t="str">
        <f>T("2024046984")</f>
        <v>2024046984</v>
      </c>
    </row>
    <row r="9426" spans="1:12" x14ac:dyDescent="0.35">
      <c r="A9426" t="str">
        <f t="shared" si="3472"/>
        <v>JBAB</v>
      </c>
      <c r="B9426" t="str">
        <f>T("421 BROOKLEY AVE")</f>
        <v>421 BROOKLEY AVE</v>
      </c>
      <c r="C9426" t="str">
        <f>T("")</f>
        <v/>
      </c>
      <c r="D9426" t="str">
        <f>T("BOLLING AFB")</f>
        <v>BOLLING AFB</v>
      </c>
      <c r="E9426" t="str">
        <f t="shared" si="3473"/>
        <v>DC</v>
      </c>
      <c r="F9426" t="str">
        <f>T("200327711")</f>
        <v>200327711</v>
      </c>
      <c r="G9426" t="str">
        <f>T("421 BROOKLEY AVE")</f>
        <v>421 BROOKLEY AVE</v>
      </c>
      <c r="H9426" t="str">
        <f>T("")</f>
        <v/>
      </c>
      <c r="I9426" t="str">
        <f>T("BOLLING AFB")</f>
        <v>BOLLING AFB</v>
      </c>
      <c r="J9426" t="str">
        <f t="shared" si="3474"/>
        <v>DC</v>
      </c>
      <c r="K9426" t="str">
        <f>T("")</f>
        <v/>
      </c>
      <c r="L9426" t="str">
        <f>T("2027548880")</f>
        <v>2027548880</v>
      </c>
    </row>
    <row r="9427" spans="1:12" x14ac:dyDescent="0.35">
      <c r="A9427" t="str">
        <f t="shared" si="3472"/>
        <v>JBAB</v>
      </c>
      <c r="B9427" t="str">
        <f>T("421 BROOKLEY AVE")</f>
        <v>421 BROOKLEY AVE</v>
      </c>
      <c r="C9427" t="str">
        <f>T("")</f>
        <v/>
      </c>
      <c r="D9427" t="str">
        <f>T("BOLLING AFB")</f>
        <v>BOLLING AFB</v>
      </c>
      <c r="E9427" t="str">
        <f t="shared" si="3473"/>
        <v>DC</v>
      </c>
      <c r="F9427" t="str">
        <f>T("200327711")</f>
        <v>200327711</v>
      </c>
      <c r="G9427" t="str">
        <f>T("421 BROOKLEY AVE")</f>
        <v>421 BROOKLEY AVE</v>
      </c>
      <c r="H9427" t="str">
        <f>T("")</f>
        <v/>
      </c>
      <c r="I9427" t="str">
        <f>T("WASHINGTON")</f>
        <v>WASHINGTON</v>
      </c>
      <c r="J9427" t="str">
        <f t="shared" si="3474"/>
        <v>DC</v>
      </c>
      <c r="K9427" t="str">
        <f>T("2027670381")</f>
        <v>2027670381</v>
      </c>
      <c r="L9427" t="str">
        <f>T("2027678961")</f>
        <v>2027678961</v>
      </c>
    </row>
    <row r="9428" spans="1:12" x14ac:dyDescent="0.35">
      <c r="A9428" t="str">
        <f t="shared" si="3472"/>
        <v>JBAB</v>
      </c>
      <c r="B9428" t="str">
        <f>T("421 BROOKLEY AVE")</f>
        <v>421 BROOKLEY AVE</v>
      </c>
      <c r="C9428" t="str">
        <f>T("")</f>
        <v/>
      </c>
      <c r="D9428" t="str">
        <f>T("BOLLING AFB")</f>
        <v>BOLLING AFB</v>
      </c>
      <c r="E9428" t="str">
        <f t="shared" si="3473"/>
        <v>DC</v>
      </c>
      <c r="F9428" t="str">
        <f>T("200327711")</f>
        <v>200327711</v>
      </c>
      <c r="G9428" t="str">
        <f>T("421 BROOKLY AVE SW")</f>
        <v>421 BROOKLY AVE SW</v>
      </c>
      <c r="H9428" t="str">
        <f>T("")</f>
        <v/>
      </c>
      <c r="I9428" t="str">
        <f>T("WASHINGTON")</f>
        <v>WASHINGTON</v>
      </c>
      <c r="J9428" t="str">
        <f t="shared" si="3474"/>
        <v>DC</v>
      </c>
      <c r="K9428" t="str">
        <f>T("000000000000000000")</f>
        <v>000000000000000000</v>
      </c>
      <c r="L9428" t="str">
        <f>T("2024042930")</f>
        <v>2024042930</v>
      </c>
    </row>
    <row r="9429" spans="1:12" x14ac:dyDescent="0.35">
      <c r="A9429" t="str">
        <f t="shared" si="3472"/>
        <v>JBAB</v>
      </c>
      <c r="B9429" t="str">
        <f>T("JBAB 220 BROOKLEY AVE")</f>
        <v>JBAB 220 BROOKLEY AVE</v>
      </c>
      <c r="C9429" t="str">
        <f>T("2ND FLOOR")</f>
        <v>2ND FLOOR</v>
      </c>
      <c r="D9429" t="str">
        <f>T("WASHINGTON")</f>
        <v>WASHINGTON</v>
      </c>
      <c r="E9429" t="str">
        <f t="shared" si="3473"/>
        <v>DC</v>
      </c>
      <c r="F9429" t="str">
        <f>T("200320000")</f>
        <v>200320000</v>
      </c>
      <c r="G9429" t="str">
        <f>T("JBAB 220 BROOKLEY AVE")</f>
        <v>JBAB 220 BROOKLEY AVE</v>
      </c>
      <c r="H9429" t="str">
        <f>T("2ND FLOOR")</f>
        <v>2ND FLOOR</v>
      </c>
      <c r="I9429" t="str">
        <f>T("WASHINGTON")</f>
        <v>WASHINGTON</v>
      </c>
      <c r="J9429" t="str">
        <f t="shared" si="3474"/>
        <v>DC</v>
      </c>
      <c r="K9429" t="str">
        <f>T("000000000000000000")</f>
        <v>000000000000000000</v>
      </c>
      <c r="L9429" t="str">
        <f>T("2024046580")</f>
        <v>2024046580</v>
      </c>
    </row>
    <row r="9430" spans="1:12" x14ac:dyDescent="0.35">
      <c r="A9430" t="str">
        <f t="shared" si="3472"/>
        <v>JBAB</v>
      </c>
      <c r="B9430" t="str">
        <f>T("JBAB 220 BROOKLEY AVE")</f>
        <v>JBAB 220 BROOKLEY AVE</v>
      </c>
      <c r="C9430" t="str">
        <f>T("2ND FLOOR")</f>
        <v>2ND FLOOR</v>
      </c>
      <c r="D9430" t="str">
        <f>T("WASHINGTON")</f>
        <v>WASHINGTON</v>
      </c>
      <c r="E9430" t="str">
        <f t="shared" si="3473"/>
        <v>DC</v>
      </c>
      <c r="F9430" t="str">
        <f>T("200320000")</f>
        <v>200320000</v>
      </c>
      <c r="G9430" t="str">
        <f>T("JBAB 220 BROOKLEY AVE")</f>
        <v>JBAB 220 BROOKLEY AVE</v>
      </c>
      <c r="H9430" t="str">
        <f>T("BLDG 4")</f>
        <v>BLDG 4</v>
      </c>
      <c r="I9430" t="str">
        <f>T("WASHINGTON")</f>
        <v>WASHINGTON</v>
      </c>
      <c r="J9430" t="str">
        <f t="shared" si="3474"/>
        <v>DC</v>
      </c>
      <c r="K9430" t="str">
        <f>T("000000000000000000")</f>
        <v>000000000000000000</v>
      </c>
      <c r="L9430" t="str">
        <f>T("2024046580")</f>
        <v>2024046580</v>
      </c>
    </row>
    <row r="9431" spans="1:12" x14ac:dyDescent="0.35">
      <c r="A9431" t="str">
        <f>T("NSA ANNAPOLIS")</f>
        <v>NSA ANNAPOLIS</v>
      </c>
      <c r="B9431" t="str">
        <f>T("58 BENNION RD")</f>
        <v>58 BENNION RD</v>
      </c>
      <c r="C9431" t="str">
        <f>T("")</f>
        <v/>
      </c>
      <c r="D9431" t="str">
        <f>T("ANNAPOLIS")</f>
        <v>ANNAPOLIS</v>
      </c>
      <c r="E9431" t="str">
        <f>T("MD")</f>
        <v>MD</v>
      </c>
      <c r="F9431" t="str">
        <f>T("214021119")</f>
        <v>214021119</v>
      </c>
      <c r="G9431" t="str">
        <f>T("257 LONGSHAW ROAD")</f>
        <v>257 LONGSHAW ROAD</v>
      </c>
      <c r="H9431" t="str">
        <f>T("")</f>
        <v/>
      </c>
      <c r="I9431" t="str">
        <f>T("ANNAPOLIS")</f>
        <v>ANNAPOLIS</v>
      </c>
      <c r="J9431" t="str">
        <f>T("MD")</f>
        <v>MD</v>
      </c>
      <c r="K9431" t="str">
        <f>T("4102934849")</f>
        <v>4102934849</v>
      </c>
      <c r="L9431" t="str">
        <f>T("4102935765")</f>
        <v>4102935765</v>
      </c>
    </row>
    <row r="9432" spans="1:12" x14ac:dyDescent="0.35">
      <c r="A9432" t="str">
        <f>T("NSA ANNAPOLIS")</f>
        <v>NSA ANNAPOLIS</v>
      </c>
      <c r="B9432" t="str">
        <f>T("58 BENNION RD")</f>
        <v>58 BENNION RD</v>
      </c>
      <c r="C9432" t="str">
        <f>T("")</f>
        <v/>
      </c>
      <c r="D9432" t="str">
        <f>T("ANNAPOLIS")</f>
        <v>ANNAPOLIS</v>
      </c>
      <c r="E9432" t="str">
        <f>T("MD")</f>
        <v>MD</v>
      </c>
      <c r="F9432" t="str">
        <f>T("214021119")</f>
        <v>214021119</v>
      </c>
      <c r="G9432" t="str">
        <f>T("58 BENNION RD")</f>
        <v>58 BENNION RD</v>
      </c>
      <c r="H9432" t="str">
        <f>T("")</f>
        <v/>
      </c>
      <c r="I9432" t="str">
        <f>T("ANNAPOLIS")</f>
        <v>ANNAPOLIS</v>
      </c>
      <c r="J9432" t="str">
        <f>T("MD")</f>
        <v>MD</v>
      </c>
      <c r="K9432" t="str">
        <f>T("")</f>
        <v/>
      </c>
      <c r="L9432" t="str">
        <f>T("4102939342")</f>
        <v>4102939342</v>
      </c>
    </row>
    <row r="9433" spans="1:12" x14ac:dyDescent="0.35">
      <c r="A9433" t="str">
        <f>T("NSA ANNAPOLIS")</f>
        <v>NSA ANNAPOLIS</v>
      </c>
      <c r="B9433" t="str">
        <f>T("58 BENNION RD")</f>
        <v>58 BENNION RD</v>
      </c>
      <c r="C9433" t="str">
        <f>T("")</f>
        <v/>
      </c>
      <c r="D9433" t="str">
        <f>T("ANNAPOLIS")</f>
        <v>ANNAPOLIS</v>
      </c>
      <c r="E9433" t="str">
        <f>T("MD")</f>
        <v>MD</v>
      </c>
      <c r="F9433" t="str">
        <f>T("214021119")</f>
        <v>214021119</v>
      </c>
      <c r="G9433" t="str">
        <f>T("58 BENNION RD")</f>
        <v>58 BENNION RD</v>
      </c>
      <c r="H9433" t="str">
        <f>T("")</f>
        <v/>
      </c>
      <c r="I9433" t="str">
        <f>T("ANNAPOLIS")</f>
        <v>ANNAPOLIS</v>
      </c>
      <c r="J9433" t="str">
        <f>T("MD")</f>
        <v>MD</v>
      </c>
      <c r="K9433" t="str">
        <f>T("000000000000000000")</f>
        <v>000000000000000000</v>
      </c>
      <c r="L9433" t="str">
        <f>T("4102939325")</f>
        <v>4102939325</v>
      </c>
    </row>
    <row r="9434" spans="1:12" x14ac:dyDescent="0.35">
      <c r="A9434" t="str">
        <f>T("NSA ANNAPOLIS")</f>
        <v>NSA ANNAPOLIS</v>
      </c>
      <c r="B9434" t="str">
        <f>T("58 BENNION RD")</f>
        <v>58 BENNION RD</v>
      </c>
      <c r="C9434" t="str">
        <f>T("")</f>
        <v/>
      </c>
      <c r="D9434" t="str">
        <f>T("ANNAPOLIS")</f>
        <v>ANNAPOLIS</v>
      </c>
      <c r="E9434" t="str">
        <f>T("MD")</f>
        <v>MD</v>
      </c>
      <c r="F9434" t="str">
        <f>T("214021119")</f>
        <v>214021119</v>
      </c>
      <c r="G9434" t="str">
        <f>T("58 BENNION ROAD")</f>
        <v>58 BENNION ROAD</v>
      </c>
      <c r="H9434" t="str">
        <f>T("")</f>
        <v/>
      </c>
      <c r="I9434" t="str">
        <f>T("ANNAPOLIS")</f>
        <v>ANNAPOLIS</v>
      </c>
      <c r="J9434" t="str">
        <f>T("MD")</f>
        <v>MD</v>
      </c>
      <c r="K9434" t="str">
        <f>T("4102939328")</f>
        <v>4102939328</v>
      </c>
      <c r="L9434" t="str">
        <f>T("4102939331")</f>
        <v>4102939331</v>
      </c>
    </row>
    <row r="9435" spans="1:12" x14ac:dyDescent="0.35">
      <c r="A9435" t="str">
        <f>T("NSA ANNAPOLIS")</f>
        <v>NSA ANNAPOLIS</v>
      </c>
      <c r="B9435" t="str">
        <f>T("58 BENNION RD")</f>
        <v>58 BENNION RD</v>
      </c>
      <c r="C9435" t="str">
        <f>T("")</f>
        <v/>
      </c>
      <c r="D9435" t="str">
        <f>T("ANNAPOLIS")</f>
        <v>ANNAPOLIS</v>
      </c>
      <c r="E9435" t="str">
        <f>T("MD")</f>
        <v>MD</v>
      </c>
      <c r="F9435" t="str">
        <f>T("214021119")</f>
        <v>214021119</v>
      </c>
      <c r="G9435" t="str">
        <f>T("UNIT 180")</f>
        <v>UNIT 180</v>
      </c>
      <c r="H9435" t="str">
        <f>T("BLDG 46 BENNION RD")</f>
        <v>BLDG 46 BENNION RD</v>
      </c>
      <c r="I9435" t="str">
        <f>T("ANNAPOLIS")</f>
        <v>ANNAPOLIS</v>
      </c>
      <c r="J9435" t="str">
        <f>T("MD")</f>
        <v>MD</v>
      </c>
      <c r="K9435" t="str">
        <f>T("4102939069")</f>
        <v>4102939069</v>
      </c>
      <c r="L9435" t="str">
        <f>T("4102939067")</f>
        <v>4102939067</v>
      </c>
    </row>
    <row r="9436" spans="1:12" x14ac:dyDescent="0.35">
      <c r="A9436" t="str">
        <f t="shared" ref="A9436:A9443" si="3481">T("NSA WASHINGTON")</f>
        <v>NSA WASHINGTON</v>
      </c>
      <c r="B9436" t="str">
        <f>T("1013 O ST SE")</f>
        <v>1013 O ST SE</v>
      </c>
      <c r="C9436" t="str">
        <f>T("BLDG 166")</f>
        <v>BLDG 166</v>
      </c>
      <c r="D9436" t="str">
        <f>T("WASHINGTON NAVY YARD")</f>
        <v>WASHINGTON NAVY YARD</v>
      </c>
      <c r="E9436" t="str">
        <f t="shared" ref="E9436:E9443" si="3482">T("DC")</f>
        <v>DC</v>
      </c>
      <c r="F9436" t="str">
        <f>T("203745108")</f>
        <v>203745108</v>
      </c>
      <c r="G9436" t="str">
        <f>T("1013 O ST SE")</f>
        <v>1013 O ST SE</v>
      </c>
      <c r="H9436" t="str">
        <f>T("BLDG 166")</f>
        <v>BLDG 166</v>
      </c>
      <c r="I9436" t="str">
        <f>T("WASHINGTON NAVY YARD")</f>
        <v>WASHINGTON NAVY YARD</v>
      </c>
      <c r="J9436" t="str">
        <f t="shared" ref="J9436:J9443" si="3483">T("DC")</f>
        <v>DC</v>
      </c>
      <c r="K9436" t="str">
        <f>T("")</f>
        <v/>
      </c>
      <c r="L9436" t="str">
        <f>T("2024330950")</f>
        <v>2024330950</v>
      </c>
    </row>
    <row r="9437" spans="1:12" x14ac:dyDescent="0.35">
      <c r="A9437" t="str">
        <f t="shared" si="3481"/>
        <v>NSA WASHINGTON</v>
      </c>
      <c r="B9437" t="str">
        <f>T("1013 O ST SE")</f>
        <v>1013 O ST SE</v>
      </c>
      <c r="C9437" t="str">
        <f>T("BLDG 166")</f>
        <v>BLDG 166</v>
      </c>
      <c r="D9437" t="str">
        <f>T("WASHINGTON NAVY YARD")</f>
        <v>WASHINGTON NAVY YARD</v>
      </c>
      <c r="E9437" t="str">
        <f t="shared" si="3482"/>
        <v>DC</v>
      </c>
      <c r="F9437" t="str">
        <f>T("203745108")</f>
        <v>203745108</v>
      </c>
      <c r="G9437" t="str">
        <f>T("1013 O STREET BLDG 166 2ND FLOOR")</f>
        <v>1013 O STREET BLDG 166 2ND FLOOR</v>
      </c>
      <c r="H9437" t="str">
        <f>T("")</f>
        <v/>
      </c>
      <c r="I9437" t="str">
        <f t="shared" ref="I9437:I9443" si="3484">T("WASHINGTON")</f>
        <v>WASHINGTON</v>
      </c>
      <c r="J9437" t="str">
        <f t="shared" si="3483"/>
        <v>DC</v>
      </c>
      <c r="K9437" t="str">
        <f>T("2024334312")</f>
        <v>2024334312</v>
      </c>
      <c r="L9437" t="str">
        <f>T("2024330943")</f>
        <v>2024330943</v>
      </c>
    </row>
    <row r="9438" spans="1:12" x14ac:dyDescent="0.35">
      <c r="A9438" t="str">
        <f t="shared" si="3481"/>
        <v>NSA WASHINGTON</v>
      </c>
      <c r="B9438" t="str">
        <f>T("1205 WARRNGTON AVE")</f>
        <v>1205 WARRNGTON AVE</v>
      </c>
      <c r="C9438" t="str">
        <f>T("")</f>
        <v/>
      </c>
      <c r="D9438" t="str">
        <f t="shared" ref="D9438:D9443" si="3485">T("WASHINGTON")</f>
        <v>WASHINGTON</v>
      </c>
      <c r="E9438" t="str">
        <f t="shared" si="3482"/>
        <v>DC</v>
      </c>
      <c r="F9438" t="str">
        <f>T("203745104")</f>
        <v>203745104</v>
      </c>
      <c r="G9438" t="str">
        <f>T("1205 WARRINGTON AVE SE")</f>
        <v>1205 WARRINGTON AVE SE</v>
      </c>
      <c r="H9438" t="str">
        <f>T("")</f>
        <v/>
      </c>
      <c r="I9438" t="str">
        <f t="shared" si="3484"/>
        <v>WASHINGTON</v>
      </c>
      <c r="J9438" t="str">
        <f t="shared" si="3483"/>
        <v>DC</v>
      </c>
      <c r="K9438" t="str">
        <f>T("000000000000000000")</f>
        <v>000000000000000000</v>
      </c>
      <c r="L9438" t="str">
        <f>T("2026856638")</f>
        <v>2026856638</v>
      </c>
    </row>
    <row r="9439" spans="1:12" x14ac:dyDescent="0.35">
      <c r="A9439" t="str">
        <f t="shared" si="3481"/>
        <v>NSA WASHINGTON</v>
      </c>
      <c r="B9439" t="str">
        <f>T("1205 WARRNGTON AVE")</f>
        <v>1205 WARRNGTON AVE</v>
      </c>
      <c r="C9439" t="str">
        <f>T("")</f>
        <v/>
      </c>
      <c r="D9439" t="str">
        <f t="shared" si="3485"/>
        <v>WASHINGTON</v>
      </c>
      <c r="E9439" t="str">
        <f t="shared" si="3482"/>
        <v>DC</v>
      </c>
      <c r="F9439" t="str">
        <f>T("203745104")</f>
        <v>203745104</v>
      </c>
      <c r="G9439" t="str">
        <f>T("1205 WARRNGTON AVE")</f>
        <v>1205 WARRNGTON AVE</v>
      </c>
      <c r="H9439" t="str">
        <f>T("")</f>
        <v/>
      </c>
      <c r="I9439" t="str">
        <f t="shared" si="3484"/>
        <v>WASHINGTON</v>
      </c>
      <c r="J9439" t="str">
        <f t="shared" si="3483"/>
        <v>DC</v>
      </c>
      <c r="K9439" t="str">
        <f>T("2024336927")</f>
        <v>2024336927</v>
      </c>
      <c r="L9439" t="str">
        <f>T("2024330245")</f>
        <v>2024330245</v>
      </c>
    </row>
    <row r="9440" spans="1:12" x14ac:dyDescent="0.35">
      <c r="A9440" t="str">
        <f t="shared" si="3481"/>
        <v>NSA WASHINGTON</v>
      </c>
      <c r="B9440" t="str">
        <f>T("1411 PARSONS AVE SE")</f>
        <v>1411 PARSONS AVE SE</v>
      </c>
      <c r="C9440" t="str">
        <f>T("BLDG 101 SUITE 340")</f>
        <v>BLDG 101 SUITE 340</v>
      </c>
      <c r="D9440" t="str">
        <f t="shared" si="3485"/>
        <v>WASHINGTON</v>
      </c>
      <c r="E9440" t="str">
        <f t="shared" si="3482"/>
        <v>DC</v>
      </c>
      <c r="F9440" t="str">
        <f>T("203745119")</f>
        <v>203745119</v>
      </c>
      <c r="G9440" t="str">
        <f>T("1411 PARSONS AVE SE")</f>
        <v>1411 PARSONS AVE SE</v>
      </c>
      <c r="H9440" t="str">
        <f>T("BLDG 101 SUITE 340")</f>
        <v>BLDG 101 SUITE 340</v>
      </c>
      <c r="I9440" t="str">
        <f t="shared" si="3484"/>
        <v>WASHINGTON</v>
      </c>
      <c r="J9440" t="str">
        <f t="shared" si="3483"/>
        <v>DC</v>
      </c>
      <c r="K9440" t="str">
        <f>T("")</f>
        <v/>
      </c>
      <c r="L9440" t="str">
        <f>T("2024332046")</f>
        <v>2024332046</v>
      </c>
    </row>
    <row r="9441" spans="1:12" x14ac:dyDescent="0.35">
      <c r="A9441" t="str">
        <f t="shared" si="3481"/>
        <v>NSA WASHINGTON</v>
      </c>
      <c r="B9441" t="str">
        <f>T("1411 PARSONS AVE SE")</f>
        <v>1411 PARSONS AVE SE</v>
      </c>
      <c r="C9441" t="str">
        <f>T("BLDG 101 SUITE 340")</f>
        <v>BLDG 101 SUITE 340</v>
      </c>
      <c r="D9441" t="str">
        <f t="shared" si="3485"/>
        <v>WASHINGTON</v>
      </c>
      <c r="E9441" t="str">
        <f t="shared" si="3482"/>
        <v>DC</v>
      </c>
      <c r="F9441" t="str">
        <f>T("203745119")</f>
        <v>203745119</v>
      </c>
      <c r="G9441" t="str">
        <f>T("JBAB PORT OPS")</f>
        <v>JBAB PORT OPS</v>
      </c>
      <c r="H9441" t="str">
        <f>T("")</f>
        <v/>
      </c>
      <c r="I9441" t="str">
        <f t="shared" si="3484"/>
        <v>WASHINGTON</v>
      </c>
      <c r="J9441" t="str">
        <f t="shared" si="3483"/>
        <v>DC</v>
      </c>
      <c r="K9441" t="str">
        <f>T("000000000000000000")</f>
        <v>000000000000000000</v>
      </c>
      <c r="L9441" t="str">
        <f>T("2026851200")</f>
        <v>2026851200</v>
      </c>
    </row>
    <row r="9442" spans="1:12" x14ac:dyDescent="0.35">
      <c r="A9442" t="str">
        <f t="shared" si="3481"/>
        <v>NSA WASHINGTON</v>
      </c>
      <c r="B9442" t="str">
        <f>T("1411 PARSONS AVE SE")</f>
        <v>1411 PARSONS AVE SE</v>
      </c>
      <c r="C9442" t="str">
        <f>T("SUITE 340")</f>
        <v>SUITE 340</v>
      </c>
      <c r="D9442" t="str">
        <f t="shared" si="3485"/>
        <v>WASHINGTON</v>
      </c>
      <c r="E9442" t="str">
        <f t="shared" si="3482"/>
        <v>DC</v>
      </c>
      <c r="F9442" t="str">
        <f>T("203745119")</f>
        <v>203745119</v>
      </c>
      <c r="G9442" t="str">
        <f>T("1411 PARSONS AVE SE")</f>
        <v>1411 PARSONS AVE SE</v>
      </c>
      <c r="H9442" t="str">
        <f>T("SUITE 340")</f>
        <v>SUITE 340</v>
      </c>
      <c r="I9442" t="str">
        <f t="shared" si="3484"/>
        <v>WASHINGTON</v>
      </c>
      <c r="J9442" t="str">
        <f t="shared" si="3483"/>
        <v>DC</v>
      </c>
      <c r="K9442" t="str">
        <f>T("")</f>
        <v/>
      </c>
      <c r="L9442" t="str">
        <f>T("2026850255")</f>
        <v>2026850255</v>
      </c>
    </row>
    <row r="9443" spans="1:12" x14ac:dyDescent="0.35">
      <c r="A9443" t="str">
        <f t="shared" si="3481"/>
        <v>NSA WASHINGTON</v>
      </c>
      <c r="B9443" t="str">
        <f>T("1411 PARSONS AVE SE")</f>
        <v>1411 PARSONS AVE SE</v>
      </c>
      <c r="C9443" t="str">
        <f>T("SUITE 340")</f>
        <v>SUITE 340</v>
      </c>
      <c r="D9443" t="str">
        <f t="shared" si="3485"/>
        <v>WASHINGTON</v>
      </c>
      <c r="E9443" t="str">
        <f t="shared" si="3482"/>
        <v>DC</v>
      </c>
      <c r="F9443" t="str">
        <f>T("203745119")</f>
        <v>203745119</v>
      </c>
      <c r="G9443" t="str">
        <f>T("1411 PARSONS AVE SE")</f>
        <v>1411 PARSONS AVE SE</v>
      </c>
      <c r="H9443" t="str">
        <f>T("SUITE 340")</f>
        <v>SUITE 340</v>
      </c>
      <c r="I9443" t="str">
        <f t="shared" si="3484"/>
        <v>WASHINGTON</v>
      </c>
      <c r="J9443" t="str">
        <f t="shared" si="3483"/>
        <v>DC</v>
      </c>
      <c r="K9443" t="str">
        <f>T("000000000000000000")</f>
        <v>000000000000000000</v>
      </c>
      <c r="L9443" t="str">
        <f>T("2024332046")</f>
        <v>2024332046</v>
      </c>
    </row>
    <row r="9444" spans="1:12" x14ac:dyDescent="0.35">
      <c r="A9444" t="str">
        <f t="shared" ref="A9444:A9489" si="3486">T("NAVAL BASE SAN DIEGO")</f>
        <v>NAVAL BASE SAN DIEGO</v>
      </c>
      <c r="B9444" t="str">
        <f>T("2450 MCHUGH STREET")</f>
        <v>2450 MCHUGH STREET</v>
      </c>
      <c r="C9444" t="str">
        <f t="shared" ref="C9444:C9451" si="3487">T("")</f>
        <v/>
      </c>
      <c r="D9444" t="str">
        <f t="shared" ref="D9444:D9475" si="3488">T("SAN DIEGO")</f>
        <v>SAN DIEGO</v>
      </c>
      <c r="E9444" t="str">
        <f t="shared" ref="E9444:E9475" si="3489">T("CA")</f>
        <v>CA</v>
      </c>
      <c r="F9444" t="str">
        <f>T("921365395")</f>
        <v>921365395</v>
      </c>
      <c r="G9444" t="str">
        <f>T("2450 MCHUGH STREET")</f>
        <v>2450 MCHUGH STREET</v>
      </c>
      <c r="H9444" t="str">
        <f>T("")</f>
        <v/>
      </c>
      <c r="I9444" t="str">
        <f t="shared" ref="I9444:I9476" si="3490">T("SAN DIEGO")</f>
        <v>SAN DIEGO</v>
      </c>
      <c r="J9444" t="str">
        <f t="shared" ref="J9444:J9475" si="3491">T("CA")</f>
        <v>CA</v>
      </c>
      <c r="K9444" t="str">
        <f>T("")</f>
        <v/>
      </c>
      <c r="L9444" t="str">
        <f>T("6197265361")</f>
        <v>6197265361</v>
      </c>
    </row>
    <row r="9445" spans="1:12" x14ac:dyDescent="0.35">
      <c r="A9445" t="str">
        <f t="shared" si="3486"/>
        <v>NAVAL BASE SAN DIEGO</v>
      </c>
      <c r="B9445" t="str">
        <f>T("2450 MCHUGH STREET")</f>
        <v>2450 MCHUGH STREET</v>
      </c>
      <c r="C9445" t="str">
        <f t="shared" si="3487"/>
        <v/>
      </c>
      <c r="D9445" t="str">
        <f t="shared" si="3488"/>
        <v>SAN DIEGO</v>
      </c>
      <c r="E9445" t="str">
        <f t="shared" si="3489"/>
        <v>CA</v>
      </c>
      <c r="F9445" t="str">
        <f>T("921365395")</f>
        <v>921365395</v>
      </c>
      <c r="G9445" t="str">
        <f>T("2450 MCHUGH STRETT")</f>
        <v>2450 MCHUGH STRETT</v>
      </c>
      <c r="H9445" t="str">
        <f>T("")</f>
        <v/>
      </c>
      <c r="I9445" t="str">
        <f t="shared" si="3490"/>
        <v>SAN DIEGO</v>
      </c>
      <c r="J9445" t="str">
        <f t="shared" si="3491"/>
        <v>CA</v>
      </c>
      <c r="K9445" t="str">
        <f>T("000000000000000000")</f>
        <v>000000000000000000</v>
      </c>
      <c r="L9445" t="str">
        <f>T("6199214266")</f>
        <v>6199214266</v>
      </c>
    </row>
    <row r="9446" spans="1:12" x14ac:dyDescent="0.35">
      <c r="A9446" t="str">
        <f t="shared" si="3486"/>
        <v>NAVAL BASE SAN DIEGO</v>
      </c>
      <c r="B9446" t="str">
        <f>T("2450 MCHUGH STREET")</f>
        <v>2450 MCHUGH STREET</v>
      </c>
      <c r="C9446" t="str">
        <f t="shared" si="3487"/>
        <v/>
      </c>
      <c r="D9446" t="str">
        <f t="shared" si="3488"/>
        <v>SAN DIEGO</v>
      </c>
      <c r="E9446" t="str">
        <f t="shared" si="3489"/>
        <v>CA</v>
      </c>
      <c r="F9446" t="str">
        <f>T("921365395")</f>
        <v>921365395</v>
      </c>
      <c r="G9446" t="str">
        <f>T("3434 CUMMINGS ROAD")</f>
        <v>3434 CUMMINGS ROAD</v>
      </c>
      <c r="H9446" t="str">
        <f>T("")</f>
        <v/>
      </c>
      <c r="I9446" t="str">
        <f t="shared" si="3490"/>
        <v>SAN DIEGO</v>
      </c>
      <c r="J9446" t="str">
        <f t="shared" si="3491"/>
        <v>CA</v>
      </c>
      <c r="K9446" t="str">
        <f>T("000000000000000000")</f>
        <v>000000000000000000</v>
      </c>
      <c r="L9446" t="str">
        <f>T("6195567456")</f>
        <v>6195567456</v>
      </c>
    </row>
    <row r="9447" spans="1:12" x14ac:dyDescent="0.35">
      <c r="A9447" t="str">
        <f t="shared" si="3486"/>
        <v>NAVAL BASE SAN DIEGO</v>
      </c>
      <c r="B9447" t="str">
        <f>T("2450 MCHUGH STREET")</f>
        <v>2450 MCHUGH STREET</v>
      </c>
      <c r="C9447" t="str">
        <f t="shared" si="3487"/>
        <v/>
      </c>
      <c r="D9447" t="str">
        <f t="shared" si="3488"/>
        <v>SAN DIEGO</v>
      </c>
      <c r="E9447" t="str">
        <f t="shared" si="3489"/>
        <v>CA</v>
      </c>
      <c r="F9447" t="str">
        <f>T("921365395")</f>
        <v>921365395</v>
      </c>
      <c r="G9447" t="str">
        <f>T("937 N HARBOR DR")</f>
        <v>937 N HARBOR DR</v>
      </c>
      <c r="H9447" t="str">
        <f>T("BLDG 1 5TH FLOOR")</f>
        <v>BLDG 1 5TH FLOOR</v>
      </c>
      <c r="I9447" t="str">
        <f t="shared" si="3490"/>
        <v>SAN DIEGO</v>
      </c>
      <c r="J9447" t="str">
        <f t="shared" si="3491"/>
        <v>CA</v>
      </c>
      <c r="K9447" t="str">
        <f>T("000000000000000000")</f>
        <v>000000000000000000</v>
      </c>
      <c r="L9447" t="str">
        <f>T("6195563603")</f>
        <v>6195563603</v>
      </c>
    </row>
    <row r="9448" spans="1:12" x14ac:dyDescent="0.35">
      <c r="A9448" t="str">
        <f t="shared" si="3486"/>
        <v>NAVAL BASE SAN DIEGO</v>
      </c>
      <c r="B9448" t="str">
        <f>T("2450 MCHUGH STREET")</f>
        <v>2450 MCHUGH STREET</v>
      </c>
      <c r="C9448" t="str">
        <f t="shared" si="3487"/>
        <v/>
      </c>
      <c r="D9448" t="str">
        <f t="shared" si="3488"/>
        <v>SAN DIEGO</v>
      </c>
      <c r="E9448" t="str">
        <f t="shared" si="3489"/>
        <v>CA</v>
      </c>
      <c r="F9448" t="str">
        <f>T("921365395")</f>
        <v>921365395</v>
      </c>
      <c r="G9448" t="str">
        <f>T("937 N. HARBOR DRIVE")</f>
        <v>937 N. HARBOR DRIVE</v>
      </c>
      <c r="H9448" t="str">
        <f>T("BLDG 1, 5TH FLOOR")</f>
        <v>BLDG 1, 5TH FLOOR</v>
      </c>
      <c r="I9448" t="str">
        <f t="shared" si="3490"/>
        <v>SAN DIEGO</v>
      </c>
      <c r="J9448" t="str">
        <f t="shared" si="3491"/>
        <v>CA</v>
      </c>
      <c r="K9448" t="str">
        <f>T("6195567442")</f>
        <v>6195567442</v>
      </c>
      <c r="L9448" t="str">
        <f>T("6195567456")</f>
        <v>6195567456</v>
      </c>
    </row>
    <row r="9449" spans="1:12" x14ac:dyDescent="0.35">
      <c r="A9449" t="str">
        <f t="shared" si="3486"/>
        <v>NAVAL BASE SAN DIEGO</v>
      </c>
      <c r="B9449" t="str">
        <f>T("2625 LEHARDY ST")</f>
        <v>2625 LEHARDY ST</v>
      </c>
      <c r="C9449" t="str">
        <f t="shared" si="3487"/>
        <v/>
      </c>
      <c r="D9449" t="str">
        <f t="shared" si="3488"/>
        <v>SAN DIEGO</v>
      </c>
      <c r="E9449" t="str">
        <f t="shared" si="3489"/>
        <v>CA</v>
      </c>
      <c r="F9449" t="str">
        <f>T("921360001")</f>
        <v>921360001</v>
      </c>
      <c r="G9449" t="str">
        <f>T("2625 LEHARDY ST")</f>
        <v>2625 LEHARDY ST</v>
      </c>
      <c r="H9449" t="str">
        <f>T("")</f>
        <v/>
      </c>
      <c r="I9449" t="str">
        <f t="shared" si="3490"/>
        <v>SAN DIEGO</v>
      </c>
      <c r="J9449" t="str">
        <f t="shared" si="3491"/>
        <v>CA</v>
      </c>
      <c r="K9449" t="str">
        <f>T("6195569313")</f>
        <v>6195569313</v>
      </c>
      <c r="L9449" t="str">
        <f>T("6195569743")</f>
        <v>6195569743</v>
      </c>
    </row>
    <row r="9450" spans="1:12" x14ac:dyDescent="0.35">
      <c r="A9450" t="str">
        <f t="shared" si="3486"/>
        <v>NAVAL BASE SAN DIEGO</v>
      </c>
      <c r="B9450" t="str">
        <f>T("2625 LEHARDY ST")</f>
        <v>2625 LEHARDY ST</v>
      </c>
      <c r="C9450" t="str">
        <f t="shared" si="3487"/>
        <v/>
      </c>
      <c r="D9450" t="str">
        <f t="shared" si="3488"/>
        <v>SAN DIEGO</v>
      </c>
      <c r="E9450" t="str">
        <f t="shared" si="3489"/>
        <v>CA</v>
      </c>
      <c r="F9450" t="str">
        <f>T("921360001")</f>
        <v>921360001</v>
      </c>
      <c r="G9450" t="str">
        <f>T("2625 LEHARDY ST BLDG 3544")</f>
        <v>2625 LEHARDY ST BLDG 3544</v>
      </c>
      <c r="H9450" t="str">
        <f>T("")</f>
        <v/>
      </c>
      <c r="I9450" t="str">
        <f t="shared" si="3490"/>
        <v>SAN DIEGO</v>
      </c>
      <c r="J9450" t="str">
        <f t="shared" si="3491"/>
        <v>CA</v>
      </c>
      <c r="K9450" t="str">
        <f>T("6195569313")</f>
        <v>6195569313</v>
      </c>
      <c r="L9450" t="str">
        <f>T("6195569614")</f>
        <v>6195569614</v>
      </c>
    </row>
    <row r="9451" spans="1:12" x14ac:dyDescent="0.35">
      <c r="A9451" t="str">
        <f t="shared" si="3486"/>
        <v>NAVAL BASE SAN DIEGO</v>
      </c>
      <c r="B9451" t="str">
        <f>T("2625 LEHARDY ST")</f>
        <v>2625 LEHARDY ST</v>
      </c>
      <c r="C9451" t="str">
        <f t="shared" si="3487"/>
        <v/>
      </c>
      <c r="D9451" t="str">
        <f t="shared" si="3488"/>
        <v>SAN DIEGO</v>
      </c>
      <c r="E9451" t="str">
        <f t="shared" si="3489"/>
        <v>CA</v>
      </c>
      <c r="F9451" t="str">
        <f>T("921360001")</f>
        <v>921360001</v>
      </c>
      <c r="G9451" t="str">
        <f>T("2625 LEHARDY STREET")</f>
        <v>2625 LEHARDY STREET</v>
      </c>
      <c r="H9451" t="str">
        <f>T("BLDG 3544")</f>
        <v>BLDG 3544</v>
      </c>
      <c r="I9451" t="str">
        <f t="shared" si="3490"/>
        <v>SAN DIEGO</v>
      </c>
      <c r="J9451" t="str">
        <f t="shared" si="3491"/>
        <v>CA</v>
      </c>
      <c r="K9451" t="str">
        <f>T("000000000000000000")</f>
        <v>000000000000000000</v>
      </c>
      <c r="L9451" t="str">
        <f>T("6195569614")</f>
        <v>6195569614</v>
      </c>
    </row>
    <row r="9452" spans="1:12" x14ac:dyDescent="0.35">
      <c r="A9452" t="str">
        <f t="shared" si="3486"/>
        <v>NAVAL BASE SAN DIEGO</v>
      </c>
      <c r="B9452" t="str">
        <f>T("2625 LEHARDY ST")</f>
        <v>2625 LEHARDY ST</v>
      </c>
      <c r="C9452" t="str">
        <f>T("BLDG 3544")</f>
        <v>BLDG 3544</v>
      </c>
      <c r="D9452" t="str">
        <f t="shared" si="3488"/>
        <v>SAN DIEGO</v>
      </c>
      <c r="E9452" t="str">
        <f t="shared" si="3489"/>
        <v>CA</v>
      </c>
      <c r="F9452" t="str">
        <f>T("921360001")</f>
        <v>921360001</v>
      </c>
      <c r="G9452" t="str">
        <f>T("2625 LEHARDY ST")</f>
        <v>2625 LEHARDY ST</v>
      </c>
      <c r="H9452" t="str">
        <f>T("BLDG 3544")</f>
        <v>BLDG 3544</v>
      </c>
      <c r="I9452" t="str">
        <f t="shared" si="3490"/>
        <v>SAN DIEGO</v>
      </c>
      <c r="J9452" t="str">
        <f t="shared" si="3491"/>
        <v>CA</v>
      </c>
      <c r="K9452" t="str">
        <f>T("6195568840")</f>
        <v>6195568840</v>
      </c>
      <c r="L9452" t="str">
        <f>T("6195567654")</f>
        <v>6195567654</v>
      </c>
    </row>
    <row r="9453" spans="1:12" x14ac:dyDescent="0.35">
      <c r="A9453" t="str">
        <f t="shared" si="3486"/>
        <v>NAVAL BASE SAN DIEGO</v>
      </c>
      <c r="B9453" t="str">
        <f>T("2625 LEHARDY ST")</f>
        <v>2625 LEHARDY ST</v>
      </c>
      <c r="C9453" t="str">
        <f>T("BLDG 3544")</f>
        <v>BLDG 3544</v>
      </c>
      <c r="D9453" t="str">
        <f t="shared" si="3488"/>
        <v>SAN DIEGO</v>
      </c>
      <c r="E9453" t="str">
        <f t="shared" si="3489"/>
        <v>CA</v>
      </c>
      <c r="F9453" t="str">
        <f>T("921360001")</f>
        <v>921360001</v>
      </c>
      <c r="G9453" t="str">
        <f>T("937 NORTH HARBOR DRIVE")</f>
        <v>937 NORTH HARBOR DRIVE</v>
      </c>
      <c r="H9453" t="str">
        <f>T("BLDG 1 / 4TH FLOOR")</f>
        <v>BLDG 1 / 4TH FLOOR</v>
      </c>
      <c r="I9453" t="str">
        <f t="shared" si="3490"/>
        <v>SAN DIEGO</v>
      </c>
      <c r="J9453" t="str">
        <f t="shared" si="3491"/>
        <v>CA</v>
      </c>
      <c r="K9453" t="str">
        <f>T("6195324470")</f>
        <v>6195324470</v>
      </c>
      <c r="L9453" t="str">
        <f>T("6195322585")</f>
        <v>6195322585</v>
      </c>
    </row>
    <row r="9454" spans="1:12" x14ac:dyDescent="0.35">
      <c r="A9454" t="str">
        <f t="shared" si="3486"/>
        <v>NAVAL BASE SAN DIEGO</v>
      </c>
      <c r="B9454" t="str">
        <f t="shared" ref="B9454:B9460" si="3492">T("2730 MCKEAN ST")</f>
        <v>2730 MCKEAN ST</v>
      </c>
      <c r="C9454" t="str">
        <f>T("BLDG 121")</f>
        <v>BLDG 121</v>
      </c>
      <c r="D9454" t="str">
        <f t="shared" si="3488"/>
        <v>SAN DIEGO</v>
      </c>
      <c r="E9454" t="str">
        <f t="shared" si="3489"/>
        <v>CA</v>
      </c>
      <c r="F9454" t="str">
        <f>T("921365220")</f>
        <v>921365220</v>
      </c>
      <c r="G9454" t="str">
        <f>T("1220 PACIFIC HIGHWAY")</f>
        <v>1220 PACIFIC HIGHWAY</v>
      </c>
      <c r="H9454" t="str">
        <f>T("")</f>
        <v/>
      </c>
      <c r="I9454" t="str">
        <f t="shared" si="3490"/>
        <v>SAN DIEGO</v>
      </c>
      <c r="J9454" t="str">
        <f t="shared" si="3491"/>
        <v>CA</v>
      </c>
      <c r="K9454" t="str">
        <f>T("000000000000000000")</f>
        <v>000000000000000000</v>
      </c>
      <c r="L9454" t="str">
        <f>T("6195566012")</f>
        <v>6195566012</v>
      </c>
    </row>
    <row r="9455" spans="1:12" x14ac:dyDescent="0.35">
      <c r="A9455" t="str">
        <f t="shared" si="3486"/>
        <v>NAVAL BASE SAN DIEGO</v>
      </c>
      <c r="B9455" t="str">
        <f t="shared" si="3492"/>
        <v>2730 MCKEAN ST</v>
      </c>
      <c r="C9455" t="str">
        <f>T("BLDG 121")</f>
        <v>BLDG 121</v>
      </c>
      <c r="D9455" t="str">
        <f t="shared" si="3488"/>
        <v>SAN DIEGO</v>
      </c>
      <c r="E9455" t="str">
        <f t="shared" si="3489"/>
        <v>CA</v>
      </c>
      <c r="F9455" t="str">
        <f>T("921365220")</f>
        <v>921365220</v>
      </c>
      <c r="G9455" t="str">
        <f>T("2730 MCKEAN ST")</f>
        <v>2730 MCKEAN ST</v>
      </c>
      <c r="H9455" t="str">
        <f>T("BLDG 121")</f>
        <v>BLDG 121</v>
      </c>
      <c r="I9455" t="str">
        <f t="shared" si="3490"/>
        <v>SAN DIEGO</v>
      </c>
      <c r="J9455" t="str">
        <f t="shared" si="3491"/>
        <v>CA</v>
      </c>
      <c r="K9455" t="str">
        <f>T("6195563190")</f>
        <v>6195563190</v>
      </c>
      <c r="L9455" t="str">
        <f>T("6197676114")</f>
        <v>6197676114</v>
      </c>
    </row>
    <row r="9456" spans="1:12" x14ac:dyDescent="0.35">
      <c r="A9456" t="str">
        <f t="shared" si="3486"/>
        <v>NAVAL BASE SAN DIEGO</v>
      </c>
      <c r="B9456" t="str">
        <f t="shared" si="3492"/>
        <v>2730 MCKEAN ST</v>
      </c>
      <c r="C9456" t="str">
        <f>T("BLDG 121")</f>
        <v>BLDG 121</v>
      </c>
      <c r="D9456" t="str">
        <f t="shared" si="3488"/>
        <v>SAN DIEGO</v>
      </c>
      <c r="E9456" t="str">
        <f t="shared" si="3489"/>
        <v>CA</v>
      </c>
      <c r="F9456" t="str">
        <f>T("921365220")</f>
        <v>921365220</v>
      </c>
      <c r="G9456" t="str">
        <f>T("3266 MOLE ROAD")</f>
        <v>3266 MOLE ROAD</v>
      </c>
      <c r="H9456" t="str">
        <f>T("")</f>
        <v/>
      </c>
      <c r="I9456" t="str">
        <f t="shared" si="3490"/>
        <v>SAN DIEGO</v>
      </c>
      <c r="J9456" t="str">
        <f t="shared" si="3491"/>
        <v>CA</v>
      </c>
      <c r="K9456" t="str">
        <f>T("000000000000000000")</f>
        <v>000000000000000000</v>
      </c>
      <c r="L9456" t="str">
        <f>T("6195556012")</f>
        <v>6195556012</v>
      </c>
    </row>
    <row r="9457" spans="1:12" x14ac:dyDescent="0.35">
      <c r="A9457" t="str">
        <f t="shared" si="3486"/>
        <v>NAVAL BASE SAN DIEGO</v>
      </c>
      <c r="B9457" t="str">
        <f t="shared" si="3492"/>
        <v>2730 MCKEAN ST</v>
      </c>
      <c r="C9457" t="str">
        <f>T("BLDG 121")</f>
        <v>BLDG 121</v>
      </c>
      <c r="D9457" t="str">
        <f t="shared" si="3488"/>
        <v>SAN DIEGO</v>
      </c>
      <c r="E9457" t="str">
        <f t="shared" si="3489"/>
        <v>CA</v>
      </c>
      <c r="F9457" t="str">
        <f>T("921365220")</f>
        <v>921365220</v>
      </c>
      <c r="G9457" t="str">
        <f>T("3266 MOLE ROAD")</f>
        <v>3266 MOLE ROAD</v>
      </c>
      <c r="H9457" t="str">
        <f>T("")</f>
        <v/>
      </c>
      <c r="I9457" t="str">
        <f t="shared" si="3490"/>
        <v>SAN DIEGO</v>
      </c>
      <c r="J9457" t="str">
        <f t="shared" si="3491"/>
        <v>CA</v>
      </c>
      <c r="K9457" t="str">
        <f>T("6195565621")</f>
        <v>6195565621</v>
      </c>
      <c r="L9457" t="str">
        <f>T("6195566012")</f>
        <v>6195566012</v>
      </c>
    </row>
    <row r="9458" spans="1:12" x14ac:dyDescent="0.35">
      <c r="A9458" t="str">
        <f t="shared" si="3486"/>
        <v>NAVAL BASE SAN DIEGO</v>
      </c>
      <c r="B9458" t="str">
        <f t="shared" si="3492"/>
        <v>2730 MCKEAN ST</v>
      </c>
      <c r="C9458" t="str">
        <f>T("STE 2 BLDG 291")</f>
        <v>STE 2 BLDG 291</v>
      </c>
      <c r="D9458" t="str">
        <f t="shared" si="3488"/>
        <v>SAN DIEGO</v>
      </c>
      <c r="E9458" t="str">
        <f t="shared" si="3489"/>
        <v>CA</v>
      </c>
      <c r="F9458" t="str">
        <f>T("921365210")</f>
        <v>921365210</v>
      </c>
      <c r="G9458" t="str">
        <f>T("2730 MCKEAN ST")</f>
        <v>2730 MCKEAN ST</v>
      </c>
      <c r="H9458" t="str">
        <f>T("BLDG 121 2ND FLR")</f>
        <v>BLDG 121 2ND FLR</v>
      </c>
      <c r="I9458" t="str">
        <f t="shared" si="3490"/>
        <v>SAN DIEGO</v>
      </c>
      <c r="J9458" t="str">
        <f t="shared" si="3491"/>
        <v>CA</v>
      </c>
      <c r="K9458" t="str">
        <f>T("000000000000000000")</f>
        <v>000000000000000000</v>
      </c>
      <c r="L9458" t="str">
        <f>T("6195560320")</f>
        <v>6195560320</v>
      </c>
    </row>
    <row r="9459" spans="1:12" x14ac:dyDescent="0.35">
      <c r="A9459" t="str">
        <f t="shared" si="3486"/>
        <v>NAVAL BASE SAN DIEGO</v>
      </c>
      <c r="B9459" t="str">
        <f t="shared" si="3492"/>
        <v>2730 MCKEAN ST</v>
      </c>
      <c r="C9459" t="str">
        <f>T("STE 2 BLDG 291")</f>
        <v>STE 2 BLDG 291</v>
      </c>
      <c r="D9459" t="str">
        <f t="shared" si="3488"/>
        <v>SAN DIEGO</v>
      </c>
      <c r="E9459" t="str">
        <f t="shared" si="3489"/>
        <v>CA</v>
      </c>
      <c r="F9459" t="str">
        <f>T("921365210")</f>
        <v>921365210</v>
      </c>
      <c r="G9459" t="str">
        <f>T("2730 MCKEAN ST")</f>
        <v>2730 MCKEAN ST</v>
      </c>
      <c r="H9459" t="str">
        <f>T("BLDG 291")</f>
        <v>BLDG 291</v>
      </c>
      <c r="I9459" t="str">
        <f t="shared" si="3490"/>
        <v>SAN DIEGO</v>
      </c>
      <c r="J9459" t="str">
        <f t="shared" si="3491"/>
        <v>CA</v>
      </c>
      <c r="K9459" t="str">
        <f>T("000000000000000000")</f>
        <v>000000000000000000</v>
      </c>
      <c r="L9459" t="str">
        <f>T("6195561321")</f>
        <v>6195561321</v>
      </c>
    </row>
    <row r="9460" spans="1:12" x14ac:dyDescent="0.35">
      <c r="A9460" t="str">
        <f t="shared" si="3486"/>
        <v>NAVAL BASE SAN DIEGO</v>
      </c>
      <c r="B9460" t="str">
        <f t="shared" si="3492"/>
        <v>2730 MCKEAN ST</v>
      </c>
      <c r="C9460" t="str">
        <f>T("STE 2 BLDG 291")</f>
        <v>STE 2 BLDG 291</v>
      </c>
      <c r="D9460" t="str">
        <f t="shared" si="3488"/>
        <v>SAN DIEGO</v>
      </c>
      <c r="E9460" t="str">
        <f t="shared" si="3489"/>
        <v>CA</v>
      </c>
      <c r="F9460" t="str">
        <f>T("921365210")</f>
        <v>921365210</v>
      </c>
      <c r="G9460" t="str">
        <f>T("2730 MCKEAN ST")</f>
        <v>2730 MCKEAN ST</v>
      </c>
      <c r="H9460" t="str">
        <f>T("STE 2 BLDG 291")</f>
        <v>STE 2 BLDG 291</v>
      </c>
      <c r="I9460" t="str">
        <f t="shared" si="3490"/>
        <v>SAN DIEGO</v>
      </c>
      <c r="J9460" t="str">
        <f t="shared" si="3491"/>
        <v>CA</v>
      </c>
      <c r="K9460" t="str">
        <f>T("6195563190")</f>
        <v>6195563190</v>
      </c>
      <c r="L9460" t="str">
        <f>T("6195561319")</f>
        <v>6195561319</v>
      </c>
    </row>
    <row r="9461" spans="1:12" x14ac:dyDescent="0.35">
      <c r="A9461" t="str">
        <f t="shared" si="3486"/>
        <v>NAVAL BASE SAN DIEGO</v>
      </c>
      <c r="B9461" t="str">
        <f>T("3315 BUCHANAN ST")</f>
        <v>3315 BUCHANAN ST</v>
      </c>
      <c r="C9461" t="str">
        <f>T("NAVY PORT OPERATIONS")</f>
        <v>NAVY PORT OPERATIONS</v>
      </c>
      <c r="D9461" t="str">
        <f t="shared" si="3488"/>
        <v>SAN DIEGO</v>
      </c>
      <c r="E9461" t="str">
        <f t="shared" si="3489"/>
        <v>CA</v>
      </c>
      <c r="F9461" t="str">
        <f>T("921365093")</f>
        <v>921365093</v>
      </c>
      <c r="G9461" t="str">
        <f>T("20004 QUAY RD")</f>
        <v>20004 QUAY RD</v>
      </c>
      <c r="H9461" t="str">
        <f>T("")</f>
        <v/>
      </c>
      <c r="I9461" t="str">
        <f t="shared" si="3490"/>
        <v>SAN DIEGO</v>
      </c>
      <c r="J9461" t="str">
        <f t="shared" si="3491"/>
        <v>CA</v>
      </c>
      <c r="K9461" t="str">
        <f>T("000000000000000000")</f>
        <v>000000000000000000</v>
      </c>
      <c r="L9461" t="str">
        <f>T("6197671141")</f>
        <v>6197671141</v>
      </c>
    </row>
    <row r="9462" spans="1:12" x14ac:dyDescent="0.35">
      <c r="A9462" t="str">
        <f t="shared" si="3486"/>
        <v>NAVAL BASE SAN DIEGO</v>
      </c>
      <c r="B9462" t="str">
        <f>T("3315 BUCHANAN ST")</f>
        <v>3315 BUCHANAN ST</v>
      </c>
      <c r="C9462" t="str">
        <f>T("NAVY PORT OPERATIONS")</f>
        <v>NAVY PORT OPERATIONS</v>
      </c>
      <c r="D9462" t="str">
        <f t="shared" si="3488"/>
        <v>SAN DIEGO</v>
      </c>
      <c r="E9462" t="str">
        <f t="shared" si="3489"/>
        <v>CA</v>
      </c>
      <c r="F9462" t="str">
        <f>T("921365093")</f>
        <v>921365093</v>
      </c>
      <c r="G9462" t="str">
        <f>T("3315 BUCHANAN ST")</f>
        <v>3315 BUCHANAN ST</v>
      </c>
      <c r="H9462" t="str">
        <f>T("NAVY PORT OPERATIONS")</f>
        <v>NAVY PORT OPERATIONS</v>
      </c>
      <c r="I9462" t="str">
        <f t="shared" si="3490"/>
        <v>SAN DIEGO</v>
      </c>
      <c r="J9462" t="str">
        <f t="shared" si="3491"/>
        <v>CA</v>
      </c>
      <c r="K9462" t="str">
        <f>T("")</f>
        <v/>
      </c>
      <c r="L9462" t="str">
        <f>T("6195562500")</f>
        <v>6195562500</v>
      </c>
    </row>
    <row r="9463" spans="1:12" x14ac:dyDescent="0.35">
      <c r="A9463" t="str">
        <f t="shared" si="3486"/>
        <v>NAVAL BASE SAN DIEGO</v>
      </c>
      <c r="B9463" t="str">
        <f>T("3315 BUCHANAN ST")</f>
        <v>3315 BUCHANAN ST</v>
      </c>
      <c r="C9463" t="str">
        <f>T("NAVY PORT OPERATIONS")</f>
        <v>NAVY PORT OPERATIONS</v>
      </c>
      <c r="D9463" t="str">
        <f t="shared" si="3488"/>
        <v>SAN DIEGO</v>
      </c>
      <c r="E9463" t="str">
        <f t="shared" si="3489"/>
        <v>CA</v>
      </c>
      <c r="F9463" t="str">
        <f>T("921365093")</f>
        <v>921365093</v>
      </c>
      <c r="G9463" t="str">
        <f>T("3315 BUCHANAN STREET")</f>
        <v>3315 BUCHANAN STREET</v>
      </c>
      <c r="H9463" t="str">
        <f>T("BLDG 150")</f>
        <v>BLDG 150</v>
      </c>
      <c r="I9463" t="str">
        <f t="shared" si="3490"/>
        <v>SAN DIEGO</v>
      </c>
      <c r="J9463" t="str">
        <f t="shared" si="3491"/>
        <v>CA</v>
      </c>
      <c r="K9463" t="str">
        <f>T("000000000000000000")</f>
        <v>000000000000000000</v>
      </c>
      <c r="L9463" t="str">
        <f>T("6195565625")</f>
        <v>6195565625</v>
      </c>
    </row>
    <row r="9464" spans="1:12" x14ac:dyDescent="0.35">
      <c r="A9464" t="str">
        <f t="shared" si="3486"/>
        <v>NAVAL BASE SAN DIEGO</v>
      </c>
      <c r="B9464" t="str">
        <f>T("3315 BUCHANAN ST")</f>
        <v>3315 BUCHANAN ST</v>
      </c>
      <c r="C9464" t="str">
        <f>T("NAVY PORT OPERATIONS")</f>
        <v>NAVY PORT OPERATIONS</v>
      </c>
      <c r="D9464" t="str">
        <f t="shared" si="3488"/>
        <v>SAN DIEGO</v>
      </c>
      <c r="E9464" t="str">
        <f t="shared" si="3489"/>
        <v>CA</v>
      </c>
      <c r="F9464" t="str">
        <f>T("921365093")</f>
        <v>921365093</v>
      </c>
      <c r="G9464" t="str">
        <f>T("BLDG 150 RM 139")</f>
        <v>BLDG 150 RM 139</v>
      </c>
      <c r="H9464" t="str">
        <f>T("")</f>
        <v/>
      </c>
      <c r="I9464" t="str">
        <f t="shared" si="3490"/>
        <v>SAN DIEGO</v>
      </c>
      <c r="J9464" t="str">
        <f t="shared" si="3491"/>
        <v>CA</v>
      </c>
      <c r="K9464" t="str">
        <f>T("6195562584")</f>
        <v>6195562584</v>
      </c>
      <c r="L9464" t="str">
        <f>T("6195561193")</f>
        <v>6195561193</v>
      </c>
    </row>
    <row r="9465" spans="1:12" x14ac:dyDescent="0.35">
      <c r="A9465" t="str">
        <f t="shared" si="3486"/>
        <v>NAVAL BASE SAN DIEGO</v>
      </c>
      <c r="B9465" t="str">
        <f>T("3395 STURTEVANT STREET")</f>
        <v>3395 STURTEVANT STREET</v>
      </c>
      <c r="C9465" t="str">
        <f>T("SUITE 9")</f>
        <v>SUITE 9</v>
      </c>
      <c r="D9465" t="str">
        <f t="shared" si="3488"/>
        <v>SAN DIEGO</v>
      </c>
      <c r="E9465" t="str">
        <f t="shared" si="3489"/>
        <v>CA</v>
      </c>
      <c r="F9465" t="str">
        <f>T("921365026")</f>
        <v>921365026</v>
      </c>
      <c r="G9465" t="str">
        <f>T("3395 STURTEVANT STREET")</f>
        <v>3395 STURTEVANT STREET</v>
      </c>
      <c r="H9465" t="str">
        <f>T("")</f>
        <v/>
      </c>
      <c r="I9465" t="str">
        <f t="shared" si="3490"/>
        <v>SAN DIEGO</v>
      </c>
      <c r="J9465" t="str">
        <f t="shared" si="3491"/>
        <v>CA</v>
      </c>
      <c r="K9465" t="str">
        <f>T("000000000000000000")</f>
        <v>000000000000000000</v>
      </c>
      <c r="L9465" t="str">
        <f>T("6195581721")</f>
        <v>6195581721</v>
      </c>
    </row>
    <row r="9466" spans="1:12" x14ac:dyDescent="0.35">
      <c r="A9466" t="str">
        <f t="shared" si="3486"/>
        <v>NAVAL BASE SAN DIEGO</v>
      </c>
      <c r="B9466" t="str">
        <f>T("3395 STURTEVANT STREET")</f>
        <v>3395 STURTEVANT STREET</v>
      </c>
      <c r="C9466" t="str">
        <f>T("SUITE 9")</f>
        <v>SUITE 9</v>
      </c>
      <c r="D9466" t="str">
        <f t="shared" si="3488"/>
        <v>SAN DIEGO</v>
      </c>
      <c r="E9466" t="str">
        <f t="shared" si="3489"/>
        <v>CA</v>
      </c>
      <c r="F9466" t="str">
        <f>T("921365026")</f>
        <v>921365026</v>
      </c>
      <c r="G9466" t="str">
        <f>T("3395 STURTEVANT STREET")</f>
        <v>3395 STURTEVANT STREET</v>
      </c>
      <c r="H9466" t="str">
        <f>T("SUITE 9")</f>
        <v>SUITE 9</v>
      </c>
      <c r="I9466" t="str">
        <f t="shared" si="3490"/>
        <v>SAN DIEGO</v>
      </c>
      <c r="J9466" t="str">
        <f t="shared" si="3491"/>
        <v>CA</v>
      </c>
      <c r="K9466" t="str">
        <f>T("")</f>
        <v/>
      </c>
      <c r="L9466" t="str">
        <f>T("6195561721")</f>
        <v>6195561721</v>
      </c>
    </row>
    <row r="9467" spans="1:12" x14ac:dyDescent="0.35">
      <c r="A9467" t="str">
        <f t="shared" si="3486"/>
        <v>NAVAL BASE SAN DIEGO</v>
      </c>
      <c r="B9467" t="str">
        <f>T("3455 SENN RD")</f>
        <v>3455 SENN RD</v>
      </c>
      <c r="C9467" t="str">
        <f>T("BLDG 72")</f>
        <v>BLDG 72</v>
      </c>
      <c r="D9467" t="str">
        <f t="shared" si="3488"/>
        <v>SAN DIEGO</v>
      </c>
      <c r="E9467" t="str">
        <f t="shared" si="3489"/>
        <v>CA</v>
      </c>
      <c r="F9467" t="str">
        <f>T("921365030")</f>
        <v>921365030</v>
      </c>
      <c r="G9467" t="str">
        <f>T("3455 SENN RD")</f>
        <v>3455 SENN RD</v>
      </c>
      <c r="H9467" t="str">
        <f>T("BLDG 72")</f>
        <v>BLDG 72</v>
      </c>
      <c r="I9467" t="str">
        <f t="shared" si="3490"/>
        <v>SAN DIEGO</v>
      </c>
      <c r="J9467" t="str">
        <f t="shared" si="3491"/>
        <v>CA</v>
      </c>
      <c r="K9467" t="str">
        <f>T("6195561837")</f>
        <v>6195561837</v>
      </c>
      <c r="L9467" t="str">
        <f>T("6195565917")</f>
        <v>6195565917</v>
      </c>
    </row>
    <row r="9468" spans="1:12" x14ac:dyDescent="0.35">
      <c r="A9468" t="str">
        <f t="shared" si="3486"/>
        <v>NAVAL BASE SAN DIEGO</v>
      </c>
      <c r="B9468" t="str">
        <f>T("3455 SENN RD")</f>
        <v>3455 SENN RD</v>
      </c>
      <c r="C9468" t="str">
        <f>T("BLDG 72")</f>
        <v>BLDG 72</v>
      </c>
      <c r="D9468" t="str">
        <f t="shared" si="3488"/>
        <v>SAN DIEGO</v>
      </c>
      <c r="E9468" t="str">
        <f t="shared" si="3489"/>
        <v>CA</v>
      </c>
      <c r="F9468" t="str">
        <f>T("921365030")</f>
        <v>921365030</v>
      </c>
      <c r="G9468" t="str">
        <f>T("NAVAL BASE SAN DIEGO COMMAND ADMIN")</f>
        <v>NAVAL BASE SAN DIEGO COMMAND ADMIN</v>
      </c>
      <c r="H9468" t="str">
        <f>T("3455 SENN RD BLDG 72 RM 128")</f>
        <v>3455 SENN RD BLDG 72 RM 128</v>
      </c>
      <c r="I9468" t="str">
        <f t="shared" si="3490"/>
        <v>SAN DIEGO</v>
      </c>
      <c r="J9468" t="str">
        <f t="shared" si="3491"/>
        <v>CA</v>
      </c>
      <c r="K9468" t="str">
        <f>T("000000000000000000")</f>
        <v>000000000000000000</v>
      </c>
      <c r="L9468" t="str">
        <f>T("6195565941")</f>
        <v>6195565941</v>
      </c>
    </row>
    <row r="9469" spans="1:12" x14ac:dyDescent="0.35">
      <c r="A9469" t="str">
        <f t="shared" si="3486"/>
        <v>NAVAL BASE SAN DIEGO</v>
      </c>
      <c r="B9469" t="str">
        <f>T("34800 BOB WILSON DRIVE")</f>
        <v>34800 BOB WILSON DRIVE</v>
      </c>
      <c r="C9469" t="str">
        <f>T("")</f>
        <v/>
      </c>
      <c r="D9469" t="str">
        <f t="shared" si="3488"/>
        <v>SAN DIEGO</v>
      </c>
      <c r="E9469" t="str">
        <f t="shared" si="3489"/>
        <v>CA</v>
      </c>
      <c r="F9469" t="str">
        <f>T("921341098")</f>
        <v>921341098</v>
      </c>
      <c r="G9469" t="str">
        <f>T("34800 BOB WILSON DRIVE")</f>
        <v>34800 BOB WILSON DRIVE</v>
      </c>
      <c r="H9469" t="str">
        <f>T("")</f>
        <v/>
      </c>
      <c r="I9469" t="str">
        <f t="shared" si="3490"/>
        <v>SAN DIEGO</v>
      </c>
      <c r="J9469" t="str">
        <f t="shared" si="3491"/>
        <v>CA</v>
      </c>
      <c r="K9469" t="str">
        <f>T("6195568888")</f>
        <v>6195568888</v>
      </c>
      <c r="L9469" t="str">
        <f>T("6195328577")</f>
        <v>6195328577</v>
      </c>
    </row>
    <row r="9470" spans="1:12" x14ac:dyDescent="0.35">
      <c r="A9470" t="str">
        <f t="shared" si="3486"/>
        <v>NAVAL BASE SAN DIEGO</v>
      </c>
      <c r="B9470" t="str">
        <f>T("4790 CUMMINGS RD")</f>
        <v>4790 CUMMINGS RD</v>
      </c>
      <c r="C9470" t="str">
        <f>T("BLDG 3570")</f>
        <v>BLDG 3570</v>
      </c>
      <c r="D9470" t="str">
        <f t="shared" si="3488"/>
        <v>SAN DIEGO</v>
      </c>
      <c r="E9470" t="str">
        <f t="shared" si="3489"/>
        <v>CA</v>
      </c>
      <c r="F9470" t="str">
        <f>T("921365610")</f>
        <v>921365610</v>
      </c>
      <c r="G9470" t="str">
        <f>T("4790 CUMMINGS RD")</f>
        <v>4790 CUMMINGS RD</v>
      </c>
      <c r="H9470" t="str">
        <f>T("BLDG 3570")</f>
        <v>BLDG 3570</v>
      </c>
      <c r="I9470" t="str">
        <f t="shared" si="3490"/>
        <v>SAN DIEGO</v>
      </c>
      <c r="J9470" t="str">
        <f t="shared" si="3491"/>
        <v>CA</v>
      </c>
      <c r="K9470" t="str">
        <f>T("000000000000000000")</f>
        <v>000000000000000000</v>
      </c>
      <c r="L9470" t="str">
        <f>T("6195568558")</f>
        <v>6195568558</v>
      </c>
    </row>
    <row r="9471" spans="1:12" x14ac:dyDescent="0.35">
      <c r="A9471" t="str">
        <f t="shared" si="3486"/>
        <v>NAVAL BASE SAN DIEGO</v>
      </c>
      <c r="B9471" t="str">
        <f>T("4790 CUMMINGS RD")</f>
        <v>4790 CUMMINGS RD</v>
      </c>
      <c r="C9471" t="str">
        <f>T("BLDG 3570")</f>
        <v>BLDG 3570</v>
      </c>
      <c r="D9471" t="str">
        <f t="shared" si="3488"/>
        <v>SAN DIEGO</v>
      </c>
      <c r="E9471" t="str">
        <f t="shared" si="3489"/>
        <v>CA</v>
      </c>
      <c r="F9471" t="str">
        <f>T("921365610")</f>
        <v>921365610</v>
      </c>
      <c r="G9471" t="str">
        <f>T("4790 CUMMINGS RD")</f>
        <v>4790 CUMMINGS RD</v>
      </c>
      <c r="H9471" t="str">
        <f>T("BLDG 3570")</f>
        <v>BLDG 3570</v>
      </c>
      <c r="I9471" t="str">
        <f t="shared" si="3490"/>
        <v>SAN DIEGO</v>
      </c>
      <c r="J9471" t="str">
        <f t="shared" si="3491"/>
        <v>CA</v>
      </c>
      <c r="K9471" t="str">
        <f>T("000000000000000000")</f>
        <v>000000000000000000</v>
      </c>
      <c r="L9471" t="str">
        <f>T("6195667222")</f>
        <v>6195667222</v>
      </c>
    </row>
    <row r="9472" spans="1:12" x14ac:dyDescent="0.35">
      <c r="A9472" t="str">
        <f t="shared" si="3486"/>
        <v>NAVAL BASE SAN DIEGO</v>
      </c>
      <c r="B9472" t="str">
        <f>T("937 HARBOR DRIVE")</f>
        <v>937 HARBOR DRIVE</v>
      </c>
      <c r="C9472" t="str">
        <f>T("BLDG 1 ROOM 214")</f>
        <v>BLDG 1 ROOM 214</v>
      </c>
      <c r="D9472" t="str">
        <f t="shared" si="3488"/>
        <v>SAN DIEGO</v>
      </c>
      <c r="E9472" t="str">
        <f t="shared" si="3489"/>
        <v>CA</v>
      </c>
      <c r="F9472" t="str">
        <f>T("921320001")</f>
        <v>921320001</v>
      </c>
      <c r="G9472" t="str">
        <f>T("937 HARBOR DRIVE")</f>
        <v>937 HARBOR DRIVE</v>
      </c>
      <c r="H9472" t="str">
        <f>T("BLDG 1 ROOM 214")</f>
        <v>BLDG 1 ROOM 214</v>
      </c>
      <c r="I9472" t="str">
        <f t="shared" si="3490"/>
        <v>SAN DIEGO</v>
      </c>
      <c r="J9472" t="str">
        <f t="shared" si="3491"/>
        <v>CA</v>
      </c>
      <c r="K9472" t="str">
        <f>T("6195324022")</f>
        <v>6195324022</v>
      </c>
      <c r="L9472" t="str">
        <f>T("6195321889")</f>
        <v>6195321889</v>
      </c>
    </row>
    <row r="9473" spans="1:12" x14ac:dyDescent="0.35">
      <c r="A9473" t="str">
        <f t="shared" si="3486"/>
        <v>NAVAL BASE SAN DIEGO</v>
      </c>
      <c r="B9473" t="str">
        <f>T("937 HARBOR DRIVE")</f>
        <v>937 HARBOR DRIVE</v>
      </c>
      <c r="C9473" t="str">
        <f>T("BLDG 1 ROOM 214")</f>
        <v>BLDG 1 ROOM 214</v>
      </c>
      <c r="D9473" t="str">
        <f t="shared" si="3488"/>
        <v>SAN DIEGO</v>
      </c>
      <c r="E9473" t="str">
        <f t="shared" si="3489"/>
        <v>CA</v>
      </c>
      <c r="F9473" t="str">
        <f>T("921320001")</f>
        <v>921320001</v>
      </c>
      <c r="G9473" t="str">
        <f>T("937 HARBOR DRIVE")</f>
        <v>937 HARBOR DRIVE</v>
      </c>
      <c r="H9473" t="str">
        <f>T("BLDG 1 ROOM 214")</f>
        <v>BLDG 1 ROOM 214</v>
      </c>
      <c r="I9473" t="str">
        <f t="shared" si="3490"/>
        <v>SAN DIEGO</v>
      </c>
      <c r="J9473" t="str">
        <f t="shared" si="3491"/>
        <v>CA</v>
      </c>
      <c r="K9473" t="str">
        <f>T("6195569473")</f>
        <v>6195569473</v>
      </c>
      <c r="L9473" t="str">
        <f>T("6192524500")</f>
        <v>6192524500</v>
      </c>
    </row>
    <row r="9474" spans="1:12" x14ac:dyDescent="0.35">
      <c r="A9474" t="str">
        <f t="shared" si="3486"/>
        <v>NAVAL BASE SAN DIEGO</v>
      </c>
      <c r="B9474" t="str">
        <f>T("937 HARBOR DRIVE")</f>
        <v>937 HARBOR DRIVE</v>
      </c>
      <c r="C9474" t="str">
        <f>T("BLDG 1 ROOM 214")</f>
        <v>BLDG 1 ROOM 214</v>
      </c>
      <c r="D9474" t="str">
        <f t="shared" si="3488"/>
        <v>SAN DIEGO</v>
      </c>
      <c r="E9474" t="str">
        <f t="shared" si="3489"/>
        <v>CA</v>
      </c>
      <c r="F9474" t="str">
        <f>T("921320001")</f>
        <v>921320001</v>
      </c>
      <c r="G9474" t="str">
        <f>T("937 N HARBOR DRIVE")</f>
        <v>937 N HARBOR DRIVE</v>
      </c>
      <c r="H9474" t="str">
        <f>T("BOX 74")</f>
        <v>BOX 74</v>
      </c>
      <c r="I9474" t="str">
        <f t="shared" si="3490"/>
        <v>SAN DIEGO</v>
      </c>
      <c r="J9474" t="str">
        <f t="shared" si="3491"/>
        <v>CA</v>
      </c>
      <c r="K9474" t="str">
        <f>T("000000000000000000")</f>
        <v>000000000000000000</v>
      </c>
      <c r="L9474" t="str">
        <f>T("6197677270")</f>
        <v>6197677270</v>
      </c>
    </row>
    <row r="9475" spans="1:12" x14ac:dyDescent="0.35">
      <c r="A9475" t="str">
        <f t="shared" si="3486"/>
        <v>NAVAL BASE SAN DIEGO</v>
      </c>
      <c r="B9475" t="str">
        <f>T("937 N HARBOR DRIVE")</f>
        <v>937 N HARBOR DRIVE</v>
      </c>
      <c r="C9475" t="str">
        <f>T("BLDG 1 FLR RM 419")</f>
        <v>BLDG 1 FLR RM 419</v>
      </c>
      <c r="D9475" t="str">
        <f t="shared" si="3488"/>
        <v>SAN DIEGO</v>
      </c>
      <c r="E9475" t="str">
        <f t="shared" si="3489"/>
        <v>CA</v>
      </c>
      <c r="F9475" t="str">
        <f t="shared" ref="F9475:F9482" si="3493">T("921325001")</f>
        <v>921325001</v>
      </c>
      <c r="G9475" t="str">
        <f>T("937 N HARBOR DRIVE")</f>
        <v>937 N HARBOR DRIVE</v>
      </c>
      <c r="H9475" t="str">
        <f>T("BLDG 1 FLR RM 419")</f>
        <v>BLDG 1 FLR RM 419</v>
      </c>
      <c r="I9475" t="str">
        <f t="shared" si="3490"/>
        <v>SAN DIEGO</v>
      </c>
      <c r="J9475" t="str">
        <f t="shared" si="3491"/>
        <v>CA</v>
      </c>
      <c r="K9475" t="str">
        <f>T("000000000000000000")</f>
        <v>000000000000000000</v>
      </c>
      <c r="L9475" t="str">
        <f>T("6195568614")</f>
        <v>6195568614</v>
      </c>
    </row>
    <row r="9476" spans="1:12" x14ac:dyDescent="0.35">
      <c r="A9476" t="str">
        <f t="shared" si="3486"/>
        <v>NAVAL BASE SAN DIEGO</v>
      </c>
      <c r="B9476" t="str">
        <f>T("937 N HARBOR DRIVE")</f>
        <v>937 N HARBOR DRIVE</v>
      </c>
      <c r="C9476" t="str">
        <f>T("BLDG 1 FLR RM 419")</f>
        <v>BLDG 1 FLR RM 419</v>
      </c>
      <c r="D9476" t="str">
        <f t="shared" ref="D9476:D9507" si="3494">T("SAN DIEGO")</f>
        <v>SAN DIEGO</v>
      </c>
      <c r="E9476" t="str">
        <f t="shared" ref="E9476:E9507" si="3495">T("CA")</f>
        <v>CA</v>
      </c>
      <c r="F9476" t="str">
        <f t="shared" si="3493"/>
        <v>921325001</v>
      </c>
      <c r="G9476" t="str">
        <f>T("937 N. HARBOR DRIVE")</f>
        <v>937 N. HARBOR DRIVE</v>
      </c>
      <c r="H9476" t="str">
        <f>T("BLDG 1, 4TH FLOOR, ROOM 419")</f>
        <v>BLDG 1, 4TH FLOOR, ROOM 419</v>
      </c>
      <c r="I9476" t="str">
        <f t="shared" si="3490"/>
        <v>SAN DIEGO</v>
      </c>
      <c r="J9476" t="str">
        <f t="shared" ref="J9476:J9507" si="3496">T("CA")</f>
        <v>CA</v>
      </c>
      <c r="K9476" t="str">
        <f>T("6195323941")</f>
        <v>6195323941</v>
      </c>
      <c r="L9476" t="str">
        <f>T("6195323981")</f>
        <v>6195323981</v>
      </c>
    </row>
    <row r="9477" spans="1:12" x14ac:dyDescent="0.35">
      <c r="A9477" t="str">
        <f t="shared" si="3486"/>
        <v>NAVAL BASE SAN DIEGO</v>
      </c>
      <c r="B9477" t="str">
        <f t="shared" ref="B9477:B9482" si="3497">T("CNRSW")</f>
        <v>CNRSW</v>
      </c>
      <c r="C9477" t="str">
        <f t="shared" ref="C9477:C9482" si="3498">T("937 N HARBOR DRIVE")</f>
        <v>937 N HARBOR DRIVE</v>
      </c>
      <c r="D9477" t="str">
        <f t="shared" si="3494"/>
        <v>SAN DIEGO</v>
      </c>
      <c r="E9477" t="str">
        <f t="shared" si="3495"/>
        <v>CA</v>
      </c>
      <c r="F9477" t="str">
        <f t="shared" si="3493"/>
        <v>921325001</v>
      </c>
      <c r="G9477" t="str">
        <f>T("1000 THIRD AVE")</f>
        <v>1000 THIRD AVE</v>
      </c>
      <c r="H9477" t="str">
        <f>T("BLDG 1433")</f>
        <v>BLDG 1433</v>
      </c>
      <c r="I9477" t="str">
        <f>T("PORT HUENEME")</f>
        <v>PORT HUENEME</v>
      </c>
      <c r="J9477" t="str">
        <f t="shared" si="3496"/>
        <v>CA</v>
      </c>
      <c r="K9477" t="str">
        <f>T("000000000000000000")</f>
        <v>000000000000000000</v>
      </c>
      <c r="L9477" t="str">
        <f>T("8059824358")</f>
        <v>8059824358</v>
      </c>
    </row>
    <row r="9478" spans="1:12" x14ac:dyDescent="0.35">
      <c r="A9478" t="str">
        <f t="shared" si="3486"/>
        <v>NAVAL BASE SAN DIEGO</v>
      </c>
      <c r="B9478" t="str">
        <f t="shared" si="3497"/>
        <v>CNRSW</v>
      </c>
      <c r="C9478" t="str">
        <f t="shared" si="3498"/>
        <v>937 N HARBOR DRIVE</v>
      </c>
      <c r="D9478" t="str">
        <f t="shared" si="3494"/>
        <v>SAN DIEGO</v>
      </c>
      <c r="E9478" t="str">
        <f t="shared" si="3495"/>
        <v>CA</v>
      </c>
      <c r="F9478" t="str">
        <f t="shared" si="3493"/>
        <v>921325001</v>
      </c>
      <c r="G9478" t="str">
        <f>T("3200 SANTO ROAD")</f>
        <v>3200 SANTO ROAD</v>
      </c>
      <c r="H9478" t="str">
        <f>T("")</f>
        <v/>
      </c>
      <c r="I9478" t="str">
        <f>T("SAN DIEGO")</f>
        <v>SAN DIEGO</v>
      </c>
      <c r="J9478" t="str">
        <f t="shared" si="3496"/>
        <v>CA</v>
      </c>
      <c r="K9478" t="str">
        <f>T("000000000000000000")</f>
        <v>000000000000000000</v>
      </c>
      <c r="L9478" t="str">
        <f>T("6195562658")</f>
        <v>6195562658</v>
      </c>
    </row>
    <row r="9479" spans="1:12" x14ac:dyDescent="0.35">
      <c r="A9479" t="str">
        <f t="shared" si="3486"/>
        <v>NAVAL BASE SAN DIEGO</v>
      </c>
      <c r="B9479" t="str">
        <f t="shared" si="3497"/>
        <v>CNRSW</v>
      </c>
      <c r="C9479" t="str">
        <f t="shared" si="3498"/>
        <v>937 N HARBOR DRIVE</v>
      </c>
      <c r="D9479" t="str">
        <f t="shared" si="3494"/>
        <v>SAN DIEGO</v>
      </c>
      <c r="E9479" t="str">
        <f t="shared" si="3495"/>
        <v>CA</v>
      </c>
      <c r="F9479" t="str">
        <f t="shared" si="3493"/>
        <v>921325001</v>
      </c>
      <c r="G9479" t="str">
        <f>T("3200 SANTO ROAD")</f>
        <v>3200 SANTO ROAD</v>
      </c>
      <c r="H9479" t="str">
        <f>T("")</f>
        <v/>
      </c>
      <c r="I9479" t="str">
        <f>T("SAN DIEGO")</f>
        <v>SAN DIEGO</v>
      </c>
      <c r="J9479" t="str">
        <f t="shared" si="3496"/>
        <v>CA</v>
      </c>
      <c r="K9479" t="str">
        <f>T("000000000000000000")</f>
        <v>000000000000000000</v>
      </c>
      <c r="L9479" t="str">
        <f>T("8582682250")</f>
        <v>8582682250</v>
      </c>
    </row>
    <row r="9480" spans="1:12" x14ac:dyDescent="0.35">
      <c r="A9480" t="str">
        <f t="shared" si="3486"/>
        <v>NAVAL BASE SAN DIEGO</v>
      </c>
      <c r="B9480" t="str">
        <f t="shared" si="3497"/>
        <v>CNRSW</v>
      </c>
      <c r="C9480" t="str">
        <f t="shared" si="3498"/>
        <v>937 N HARBOR DRIVE</v>
      </c>
      <c r="D9480" t="str">
        <f t="shared" si="3494"/>
        <v>SAN DIEGO</v>
      </c>
      <c r="E9480" t="str">
        <f t="shared" si="3495"/>
        <v>CA</v>
      </c>
      <c r="F9480" t="str">
        <f t="shared" si="3493"/>
        <v>921325001</v>
      </c>
      <c r="G9480" t="str">
        <f>T("650 MCCAIN BLVD")</f>
        <v>650 MCCAIN BLVD</v>
      </c>
      <c r="H9480" t="str">
        <f>T("")</f>
        <v/>
      </c>
      <c r="I9480" t="str">
        <f>T("SAN DIEGO")</f>
        <v>SAN DIEGO</v>
      </c>
      <c r="J9480" t="str">
        <f t="shared" si="3496"/>
        <v>CA</v>
      </c>
      <c r="K9480" t="str">
        <f>T("000000000000000000")</f>
        <v>000000000000000000</v>
      </c>
      <c r="L9480" t="str">
        <f>T("6195459209")</f>
        <v>6195459209</v>
      </c>
    </row>
    <row r="9481" spans="1:12" x14ac:dyDescent="0.35">
      <c r="A9481" t="str">
        <f t="shared" si="3486"/>
        <v>NAVAL BASE SAN DIEGO</v>
      </c>
      <c r="B9481" t="str">
        <f t="shared" si="3497"/>
        <v>CNRSW</v>
      </c>
      <c r="C9481" t="str">
        <f t="shared" si="3498"/>
        <v>937 N HARBOR DRIVE</v>
      </c>
      <c r="D9481" t="str">
        <f t="shared" si="3494"/>
        <v>SAN DIEGO</v>
      </c>
      <c r="E9481" t="str">
        <f t="shared" si="3495"/>
        <v>CA</v>
      </c>
      <c r="F9481" t="str">
        <f t="shared" si="3493"/>
        <v>921325001</v>
      </c>
      <c r="G9481" t="str">
        <f>T("810 AVENGER AVENUE")</f>
        <v>810 AVENGER AVENUE</v>
      </c>
      <c r="H9481" t="str">
        <f>T("")</f>
        <v/>
      </c>
      <c r="I9481" t="str">
        <f>T("LEMOORE")</f>
        <v>LEMOORE</v>
      </c>
      <c r="J9481" t="str">
        <f t="shared" si="3496"/>
        <v>CA</v>
      </c>
      <c r="K9481" t="str">
        <f>T("000000000000000000")</f>
        <v>000000000000000000</v>
      </c>
      <c r="L9481" t="str">
        <f>T("5599984618")</f>
        <v>5599984618</v>
      </c>
    </row>
    <row r="9482" spans="1:12" x14ac:dyDescent="0.35">
      <c r="A9482" t="str">
        <f t="shared" si="3486"/>
        <v>NAVAL BASE SAN DIEGO</v>
      </c>
      <c r="B9482" t="str">
        <f t="shared" si="3497"/>
        <v>CNRSW</v>
      </c>
      <c r="C9482" t="str">
        <f t="shared" si="3498"/>
        <v>937 N HARBOR DRIVE</v>
      </c>
      <c r="D9482" t="str">
        <f t="shared" si="3494"/>
        <v>SAN DIEGO</v>
      </c>
      <c r="E9482" t="str">
        <f t="shared" si="3495"/>
        <v>CA</v>
      </c>
      <c r="F9482" t="str">
        <f t="shared" si="3493"/>
        <v>921325001</v>
      </c>
      <c r="G9482" t="str">
        <f>T("CNRSW")</f>
        <v>CNRSW</v>
      </c>
      <c r="H9482" t="str">
        <f>T("937 N HARBOR DRIVE")</f>
        <v>937 N HARBOR DRIVE</v>
      </c>
      <c r="I9482" t="str">
        <f t="shared" ref="I9482:I9512" si="3499">T("SAN DIEGO")</f>
        <v>SAN DIEGO</v>
      </c>
      <c r="J9482" t="str">
        <f t="shared" si="3496"/>
        <v>CA</v>
      </c>
      <c r="K9482" t="str">
        <f>T("6195323058")</f>
        <v>6195323058</v>
      </c>
      <c r="L9482" t="str">
        <f>T("6195324820")</f>
        <v>6195324820</v>
      </c>
    </row>
    <row r="9483" spans="1:12" x14ac:dyDescent="0.35">
      <c r="A9483" t="str">
        <f t="shared" si="3486"/>
        <v>NAVAL BASE SAN DIEGO</v>
      </c>
      <c r="B9483" t="str">
        <f>T("ENVIRONMENTAL COMPLIANCE")</f>
        <v>ENVIRONMENTAL COMPLIANCE</v>
      </c>
      <c r="C9483" t="str">
        <f>T("")</f>
        <v/>
      </c>
      <c r="D9483" t="str">
        <f t="shared" si="3494"/>
        <v>SAN DIEGO</v>
      </c>
      <c r="E9483" t="str">
        <f t="shared" si="3495"/>
        <v>CA</v>
      </c>
      <c r="F9483" t="str">
        <f t="shared" ref="F9483:F9489" si="3500">T("921360001")</f>
        <v>921360001</v>
      </c>
      <c r="G9483" t="str">
        <f>T("3455 SENN RD BLDG 72")</f>
        <v>3455 SENN RD BLDG 72</v>
      </c>
      <c r="H9483" t="str">
        <f>T("")</f>
        <v/>
      </c>
      <c r="I9483" t="str">
        <f t="shared" si="3499"/>
        <v>SAN DIEGO</v>
      </c>
      <c r="J9483" t="str">
        <f t="shared" si="3496"/>
        <v>CA</v>
      </c>
      <c r="K9483" t="str">
        <f>T("000000000000000000")</f>
        <v>000000000000000000</v>
      </c>
      <c r="L9483" t="str">
        <f>T("6195565418")</f>
        <v>6195565418</v>
      </c>
    </row>
    <row r="9484" spans="1:12" x14ac:dyDescent="0.35">
      <c r="A9484" t="str">
        <f t="shared" si="3486"/>
        <v>NAVAL BASE SAN DIEGO</v>
      </c>
      <c r="B9484" t="str">
        <f>T("ENVIRONMENTAL COMPLIANCE")</f>
        <v>ENVIRONMENTAL COMPLIANCE</v>
      </c>
      <c r="C9484" t="str">
        <f>T("")</f>
        <v/>
      </c>
      <c r="D9484" t="str">
        <f t="shared" si="3494"/>
        <v>SAN DIEGO</v>
      </c>
      <c r="E9484" t="str">
        <f t="shared" si="3495"/>
        <v>CA</v>
      </c>
      <c r="F9484" t="str">
        <f t="shared" si="3500"/>
        <v>921360001</v>
      </c>
      <c r="G9484" t="str">
        <f>T("ENVIRONMENTAL COMPLIANCE")</f>
        <v>ENVIRONMENTAL COMPLIANCE</v>
      </c>
      <c r="H9484" t="str">
        <f>T("")</f>
        <v/>
      </c>
      <c r="I9484" t="str">
        <f t="shared" si="3499"/>
        <v>SAN DIEGO</v>
      </c>
      <c r="J9484" t="str">
        <f t="shared" si="3496"/>
        <v>CA</v>
      </c>
      <c r="K9484" t="str">
        <f>T("000000000000000000")</f>
        <v>000000000000000000</v>
      </c>
      <c r="L9484" t="str">
        <f>T("6195561532")</f>
        <v>6195561532</v>
      </c>
    </row>
    <row r="9485" spans="1:12" x14ac:dyDescent="0.35">
      <c r="A9485" t="str">
        <f t="shared" si="3486"/>
        <v>NAVAL BASE SAN DIEGO</v>
      </c>
      <c r="B9485" t="str">
        <f>T("NRSW TPU BLDG 3142")</f>
        <v>NRSW TPU BLDG 3142</v>
      </c>
      <c r="C9485" t="str">
        <f>T("2375 MCKEAN STREET")</f>
        <v>2375 MCKEAN STREET</v>
      </c>
      <c r="D9485" t="str">
        <f t="shared" si="3494"/>
        <v>SAN DIEGO</v>
      </c>
      <c r="E9485" t="str">
        <f t="shared" si="3495"/>
        <v>CA</v>
      </c>
      <c r="F9485" t="str">
        <f t="shared" si="3500"/>
        <v>921360001</v>
      </c>
      <c r="G9485" t="str">
        <f>T("2475 MCKEAN STREET")</f>
        <v>2475 MCKEAN STREET</v>
      </c>
      <c r="H9485" t="str">
        <f>T("BLDG 3142")</f>
        <v>BLDG 3142</v>
      </c>
      <c r="I9485" t="str">
        <f t="shared" si="3499"/>
        <v>SAN DIEGO</v>
      </c>
      <c r="J9485" t="str">
        <f t="shared" si="3496"/>
        <v>CA</v>
      </c>
      <c r="K9485" t="str">
        <f>T("000000000000000000")</f>
        <v>000000000000000000</v>
      </c>
      <c r="L9485" t="str">
        <f>T("6195563182")</f>
        <v>6195563182</v>
      </c>
    </row>
    <row r="9486" spans="1:12" x14ac:dyDescent="0.35">
      <c r="A9486" t="str">
        <f t="shared" si="3486"/>
        <v>NAVAL BASE SAN DIEGO</v>
      </c>
      <c r="B9486" t="str">
        <f>T("NRSW TPU BLDG 3142")</f>
        <v>NRSW TPU BLDG 3142</v>
      </c>
      <c r="C9486" t="str">
        <f>T("2375 MCKEAN STREET")</f>
        <v>2375 MCKEAN STREET</v>
      </c>
      <c r="D9486" t="str">
        <f t="shared" si="3494"/>
        <v>SAN DIEGO</v>
      </c>
      <c r="E9486" t="str">
        <f t="shared" si="3495"/>
        <v>CA</v>
      </c>
      <c r="F9486" t="str">
        <f t="shared" si="3500"/>
        <v>921360001</v>
      </c>
      <c r="G9486" t="str">
        <f>T("2475 MCKEAN STREET")</f>
        <v>2475 MCKEAN STREET</v>
      </c>
      <c r="H9486" t="str">
        <f>T("BLDG 3142")</f>
        <v>BLDG 3142</v>
      </c>
      <c r="I9486" t="str">
        <f t="shared" si="3499"/>
        <v>SAN DIEGO</v>
      </c>
      <c r="J9486" t="str">
        <f t="shared" si="3496"/>
        <v>CA</v>
      </c>
      <c r="K9486" t="str">
        <f>T("000000000000000000")</f>
        <v>000000000000000000</v>
      </c>
      <c r="L9486" t="str">
        <f>T("6195564986")</f>
        <v>6195564986</v>
      </c>
    </row>
    <row r="9487" spans="1:12" x14ac:dyDescent="0.35">
      <c r="A9487" t="str">
        <f t="shared" si="3486"/>
        <v>NAVAL BASE SAN DIEGO</v>
      </c>
      <c r="B9487" t="str">
        <f>T("NRSW TPU BLDG 3142")</f>
        <v>NRSW TPU BLDG 3142</v>
      </c>
      <c r="C9487" t="str">
        <f>T("2375 MCKEAN STREET")</f>
        <v>2375 MCKEAN STREET</v>
      </c>
      <c r="D9487" t="str">
        <f t="shared" si="3494"/>
        <v>SAN DIEGO</v>
      </c>
      <c r="E9487" t="str">
        <f t="shared" si="3495"/>
        <v>CA</v>
      </c>
      <c r="F9487" t="str">
        <f t="shared" si="3500"/>
        <v>921360001</v>
      </c>
      <c r="G9487" t="str">
        <f>T("2475 MCKEAN STREET")</f>
        <v>2475 MCKEAN STREET</v>
      </c>
      <c r="H9487" t="str">
        <f>T("BLDG 3142")</f>
        <v>BLDG 3142</v>
      </c>
      <c r="I9487" t="str">
        <f t="shared" si="3499"/>
        <v>SAN DIEGO</v>
      </c>
      <c r="J9487" t="str">
        <f t="shared" si="3496"/>
        <v>CA</v>
      </c>
      <c r="K9487" t="str">
        <f>T("6195567331")</f>
        <v>6195567331</v>
      </c>
      <c r="L9487" t="str">
        <f>T("6195564986")</f>
        <v>6195564986</v>
      </c>
    </row>
    <row r="9488" spans="1:12" x14ac:dyDescent="0.35">
      <c r="A9488" t="str">
        <f t="shared" si="3486"/>
        <v>NAVAL BASE SAN DIEGO</v>
      </c>
      <c r="B9488" t="str">
        <f>T("NRSW TPU BLDG 3142")</f>
        <v>NRSW TPU BLDG 3142</v>
      </c>
      <c r="C9488" t="str">
        <f>T("2375 MCKEAN STREET")</f>
        <v>2375 MCKEAN STREET</v>
      </c>
      <c r="D9488" t="str">
        <f t="shared" si="3494"/>
        <v>SAN DIEGO</v>
      </c>
      <c r="E9488" t="str">
        <f t="shared" si="3495"/>
        <v>CA</v>
      </c>
      <c r="F9488" t="str">
        <f t="shared" si="3500"/>
        <v>921360001</v>
      </c>
      <c r="G9488" t="str">
        <f>T("2476 MCKEAN STREET")</f>
        <v>2476 MCKEAN STREET</v>
      </c>
      <c r="H9488" t="str">
        <f>T("BLDG 3142")</f>
        <v>BLDG 3142</v>
      </c>
      <c r="I9488" t="str">
        <f t="shared" si="3499"/>
        <v>SAN DIEGO</v>
      </c>
      <c r="J9488" t="str">
        <f t="shared" si="3496"/>
        <v>CA</v>
      </c>
      <c r="K9488" t="str">
        <f>T("000000000000000000")</f>
        <v>000000000000000000</v>
      </c>
      <c r="L9488" t="str">
        <f>T("6195564986")</f>
        <v>6195564986</v>
      </c>
    </row>
    <row r="9489" spans="1:12" x14ac:dyDescent="0.35">
      <c r="A9489" t="str">
        <f t="shared" si="3486"/>
        <v>NAVAL BASE SAN DIEGO</v>
      </c>
      <c r="B9489" t="str">
        <f>T("NRSW TPU BLDG 3142")</f>
        <v>NRSW TPU BLDG 3142</v>
      </c>
      <c r="C9489" t="str">
        <f>T("2375 MCKEAN STREET")</f>
        <v>2375 MCKEAN STREET</v>
      </c>
      <c r="D9489" t="str">
        <f t="shared" si="3494"/>
        <v>SAN DIEGO</v>
      </c>
      <c r="E9489" t="str">
        <f t="shared" si="3495"/>
        <v>CA</v>
      </c>
      <c r="F9489" t="str">
        <f t="shared" si="3500"/>
        <v>921360001</v>
      </c>
      <c r="G9489" t="str">
        <f>T("NRSW TPU BLDG 3142")</f>
        <v>NRSW TPU BLDG 3142</v>
      </c>
      <c r="H9489" t="str">
        <f>T("2375 MCKEAN STREET")</f>
        <v>2375 MCKEAN STREET</v>
      </c>
      <c r="I9489" t="str">
        <f t="shared" si="3499"/>
        <v>SAN DIEGO</v>
      </c>
      <c r="J9489" t="str">
        <f t="shared" si="3496"/>
        <v>CA</v>
      </c>
      <c r="K9489" t="str">
        <f>T("")</f>
        <v/>
      </c>
      <c r="L9489" t="str">
        <f>T("6195560268")</f>
        <v>6195560268</v>
      </c>
    </row>
    <row r="9490" spans="1:12" x14ac:dyDescent="0.35">
      <c r="A9490" t="str">
        <f t="shared" ref="A9490:A9508" si="3501">T("NAVAL AIR STATION CORONADO")</f>
        <v>NAVAL AIR STATION CORONADO</v>
      </c>
      <c r="B9490" t="str">
        <f>T("937 N HARBOR DRIVE")</f>
        <v>937 N HARBOR DRIVE</v>
      </c>
      <c r="C9490" t="str">
        <f>T("BLDG 1 4TH FLOOR")</f>
        <v>BLDG 1 4TH FLOOR</v>
      </c>
      <c r="D9490" t="str">
        <f t="shared" si="3494"/>
        <v>SAN DIEGO</v>
      </c>
      <c r="E9490" t="str">
        <f t="shared" si="3495"/>
        <v>CA</v>
      </c>
      <c r="F9490" t="str">
        <f>T("921325001")</f>
        <v>921325001</v>
      </c>
      <c r="G9490" t="str">
        <f>T("937 N HARBOR DR 4TH FLR")</f>
        <v>937 N HARBOR DR 4TH FLR</v>
      </c>
      <c r="H9490" t="str">
        <f>T("")</f>
        <v/>
      </c>
      <c r="I9490" t="str">
        <f t="shared" si="3499"/>
        <v>SAN DIEGO</v>
      </c>
      <c r="J9490" t="str">
        <f t="shared" si="3496"/>
        <v>CA</v>
      </c>
      <c r="K9490" t="str">
        <f>T("000000000000000000")</f>
        <v>000000000000000000</v>
      </c>
      <c r="L9490" t="str">
        <f>T("6195322467")</f>
        <v>6195322467</v>
      </c>
    </row>
    <row r="9491" spans="1:12" x14ac:dyDescent="0.35">
      <c r="A9491" t="str">
        <f t="shared" si="3501"/>
        <v>NAVAL AIR STATION CORONADO</v>
      </c>
      <c r="B9491" t="str">
        <f>T("937 N HARBOR DRIVE")</f>
        <v>937 N HARBOR DRIVE</v>
      </c>
      <c r="C9491" t="str">
        <f>T("BLDG 1 4TH FLOOR")</f>
        <v>BLDG 1 4TH FLOOR</v>
      </c>
      <c r="D9491" t="str">
        <f t="shared" si="3494"/>
        <v>SAN DIEGO</v>
      </c>
      <c r="E9491" t="str">
        <f t="shared" si="3495"/>
        <v>CA</v>
      </c>
      <c r="F9491" t="str">
        <f>T("921325001")</f>
        <v>921325001</v>
      </c>
      <c r="G9491" t="str">
        <f>T("937 N HARBOR DRIVE")</f>
        <v>937 N HARBOR DRIVE</v>
      </c>
      <c r="H9491" t="str">
        <f>T("BLDG 1 4TH FLOOR")</f>
        <v>BLDG 1 4TH FLOOR</v>
      </c>
      <c r="I9491" t="str">
        <f t="shared" si="3499"/>
        <v>SAN DIEGO</v>
      </c>
      <c r="J9491" t="str">
        <f t="shared" si="3496"/>
        <v>CA</v>
      </c>
      <c r="K9491" t="str">
        <f>T("")</f>
        <v/>
      </c>
      <c r="L9491" t="str">
        <f>T("6195332465")</f>
        <v>6195332465</v>
      </c>
    </row>
    <row r="9492" spans="1:12" x14ac:dyDescent="0.35">
      <c r="A9492" t="str">
        <f t="shared" si="3501"/>
        <v>NAVAL AIR STATION CORONADO</v>
      </c>
      <c r="B9492" t="str">
        <f>T("937 N HARBOR DRIVE")</f>
        <v>937 N HARBOR DRIVE</v>
      </c>
      <c r="C9492" t="str">
        <f>T("BLDG 1 4TH FLOOR")</f>
        <v>BLDG 1 4TH FLOOR</v>
      </c>
      <c r="D9492" t="str">
        <f t="shared" si="3494"/>
        <v>SAN DIEGO</v>
      </c>
      <c r="E9492" t="str">
        <f t="shared" si="3495"/>
        <v>CA</v>
      </c>
      <c r="F9492" t="str">
        <f>T("921325001")</f>
        <v>921325001</v>
      </c>
      <c r="G9492" t="str">
        <f>T("NAVY REGION DINING SVCS")</f>
        <v>NAVY REGION DINING SVCS</v>
      </c>
      <c r="H9492" t="str">
        <f>T("937 N HARBOR DR BLDG-1 4TH FL")</f>
        <v>937 N HARBOR DR BLDG-1 4TH FL</v>
      </c>
      <c r="I9492" t="str">
        <f t="shared" si="3499"/>
        <v>SAN DIEGO</v>
      </c>
      <c r="J9492" t="str">
        <f t="shared" si="3496"/>
        <v>CA</v>
      </c>
      <c r="K9492" t="str">
        <f>T("6195322673")</f>
        <v>6195322673</v>
      </c>
      <c r="L9492" t="str">
        <f>T("6195322511")</f>
        <v>6195322511</v>
      </c>
    </row>
    <row r="9493" spans="1:12" x14ac:dyDescent="0.35">
      <c r="A9493" t="str">
        <f t="shared" si="3501"/>
        <v>NAVAL AIR STATION CORONADO</v>
      </c>
      <c r="B9493" t="str">
        <f>T("937 N HARBOR DRIVE")</f>
        <v>937 N HARBOR DRIVE</v>
      </c>
      <c r="C9493" t="str">
        <f>T("BLDG 1 4TH FLOOR")</f>
        <v>BLDG 1 4TH FLOOR</v>
      </c>
      <c r="D9493" t="str">
        <f t="shared" si="3494"/>
        <v>SAN DIEGO</v>
      </c>
      <c r="E9493" t="str">
        <f t="shared" si="3495"/>
        <v>CA</v>
      </c>
      <c r="F9493" t="str">
        <f>T("921325001")</f>
        <v>921325001</v>
      </c>
      <c r="G9493" t="str">
        <f>T("NRSW/ DINING SERVICES")</f>
        <v>NRSW/ DINING SERVICES</v>
      </c>
      <c r="H9493" t="str">
        <f>T("937 N HARBOR DR BLDG-1/ 4TH FL")</f>
        <v>937 N HARBOR DR BLDG-1/ 4TH FL</v>
      </c>
      <c r="I9493" t="str">
        <f t="shared" si="3499"/>
        <v>SAN DIEGO</v>
      </c>
      <c r="J9493" t="str">
        <f t="shared" si="3496"/>
        <v>CA</v>
      </c>
      <c r="K9493" t="str">
        <f>T("6195322673")</f>
        <v>6195322673</v>
      </c>
      <c r="L9493" t="str">
        <f>T("6195322459")</f>
        <v>6195322459</v>
      </c>
    </row>
    <row r="9494" spans="1:12" x14ac:dyDescent="0.35">
      <c r="A9494" t="str">
        <f t="shared" si="3501"/>
        <v>NAVAL AIR STATION CORONADO</v>
      </c>
      <c r="B9494" t="str">
        <f>T("937 N HARBOR DRIVE")</f>
        <v>937 N HARBOR DRIVE</v>
      </c>
      <c r="C9494" t="str">
        <f>T("BLDG 1 4TH FLOOR")</f>
        <v>BLDG 1 4TH FLOOR</v>
      </c>
      <c r="D9494" t="str">
        <f t="shared" si="3494"/>
        <v>SAN DIEGO</v>
      </c>
      <c r="E9494" t="str">
        <f t="shared" si="3495"/>
        <v>CA</v>
      </c>
      <c r="F9494" t="str">
        <f>T("921325001")</f>
        <v>921325001</v>
      </c>
      <c r="G9494" t="str">
        <f>T("REGION DINING SERVICES")</f>
        <v>REGION DINING SERVICES</v>
      </c>
      <c r="H9494" t="str">
        <f>T("937 N HARBOR DR BLDG-1 4TH FL")</f>
        <v>937 N HARBOR DR BLDG-1 4TH FL</v>
      </c>
      <c r="I9494" t="str">
        <f t="shared" si="3499"/>
        <v>SAN DIEGO</v>
      </c>
      <c r="J9494" t="str">
        <f t="shared" si="3496"/>
        <v>CA</v>
      </c>
      <c r="K9494" t="str">
        <f>T("000000000000000000")</f>
        <v>000000000000000000</v>
      </c>
      <c r="L9494" t="str">
        <f>T("6195322545")</f>
        <v>6195322545</v>
      </c>
    </row>
    <row r="9495" spans="1:12" x14ac:dyDescent="0.35">
      <c r="A9495" t="str">
        <f t="shared" si="3501"/>
        <v>NAVAL AIR STATION CORONADO</v>
      </c>
      <c r="B9495" t="str">
        <f>T("BOX 357040")</f>
        <v>BOX 357040</v>
      </c>
      <c r="C9495" t="str">
        <f>T("3 WRIGHT ST BLDG 3")</f>
        <v>3 WRIGHT ST BLDG 3</v>
      </c>
      <c r="D9495" t="str">
        <f t="shared" si="3494"/>
        <v>SAN DIEGO</v>
      </c>
      <c r="E9495" t="str">
        <f t="shared" si="3495"/>
        <v>CA</v>
      </c>
      <c r="F9495" t="str">
        <f>T("921357040")</f>
        <v>921357040</v>
      </c>
      <c r="G9495" t="str">
        <f>T("BOX 357040")</f>
        <v>BOX 357040</v>
      </c>
      <c r="H9495" t="str">
        <f>T("3 WRIGHT ST BLDG 3")</f>
        <v>3 WRIGHT ST BLDG 3</v>
      </c>
      <c r="I9495" t="str">
        <f t="shared" si="3499"/>
        <v>SAN DIEGO</v>
      </c>
      <c r="J9495" t="str">
        <f t="shared" si="3496"/>
        <v>CA</v>
      </c>
      <c r="K9495" t="str">
        <f>T("619 767 7348")</f>
        <v>619 767 7348</v>
      </c>
      <c r="L9495" t="str">
        <f>T("6195451207")</f>
        <v>6195451207</v>
      </c>
    </row>
    <row r="9496" spans="1:12" x14ac:dyDescent="0.35">
      <c r="A9496" t="str">
        <f t="shared" si="3501"/>
        <v>NAVAL AIR STATION CORONADO</v>
      </c>
      <c r="B9496" t="str">
        <f>T("BOX 357040")</f>
        <v>BOX 357040</v>
      </c>
      <c r="C9496" t="str">
        <f>T("3 WRIGHT ST BLDG 3")</f>
        <v>3 WRIGHT ST BLDG 3</v>
      </c>
      <c r="D9496" t="str">
        <f t="shared" si="3494"/>
        <v>SAN DIEGO</v>
      </c>
      <c r="E9496" t="str">
        <f t="shared" si="3495"/>
        <v>CA</v>
      </c>
      <c r="F9496" t="str">
        <f>T("921357040")</f>
        <v>921357040</v>
      </c>
      <c r="G9496" t="str">
        <f>T("P O BOX 357040")</f>
        <v>P O BOX 357040</v>
      </c>
      <c r="H9496" t="str">
        <f>T("3 WRIGHT AVE FL 2 BLDG 3")</f>
        <v>3 WRIGHT AVE FL 2 BLDG 3</v>
      </c>
      <c r="I9496" t="str">
        <f t="shared" si="3499"/>
        <v>SAN DIEGO</v>
      </c>
      <c r="J9496" t="str">
        <f t="shared" si="3496"/>
        <v>CA</v>
      </c>
      <c r="K9496" t="str">
        <f>T("000000000000000000")</f>
        <v>000000000000000000</v>
      </c>
      <c r="L9496" t="str">
        <f>T("6195451113")</f>
        <v>6195451113</v>
      </c>
    </row>
    <row r="9497" spans="1:12" x14ac:dyDescent="0.35">
      <c r="A9497" t="str">
        <f t="shared" si="3501"/>
        <v>NAVAL AIR STATION CORONADO</v>
      </c>
      <c r="B9497" t="str">
        <f>T("NASNI BLDG 678")</f>
        <v>NASNI BLDG 678</v>
      </c>
      <c r="C9497" t="str">
        <f>T("")</f>
        <v/>
      </c>
      <c r="D9497" t="str">
        <f t="shared" si="3494"/>
        <v>SAN DIEGO</v>
      </c>
      <c r="E9497" t="str">
        <f t="shared" si="3495"/>
        <v>CA</v>
      </c>
      <c r="F9497" t="str">
        <f t="shared" ref="F9497:F9504" si="3502">T("921350000")</f>
        <v>921350000</v>
      </c>
      <c r="G9497" t="str">
        <f>T("NASNI BLDG 678")</f>
        <v>NASNI BLDG 678</v>
      </c>
      <c r="H9497" t="str">
        <f>T("")</f>
        <v/>
      </c>
      <c r="I9497" t="str">
        <f t="shared" si="3499"/>
        <v>SAN DIEGO</v>
      </c>
      <c r="J9497" t="str">
        <f t="shared" si="3496"/>
        <v>CA</v>
      </c>
      <c r="K9497" t="str">
        <f>T("6195451101")</f>
        <v>6195451101</v>
      </c>
      <c r="L9497" t="str">
        <f>T("6195457826")</f>
        <v>6195457826</v>
      </c>
    </row>
    <row r="9498" spans="1:12" x14ac:dyDescent="0.35">
      <c r="A9498" t="str">
        <f t="shared" si="3501"/>
        <v>NAVAL AIR STATION CORONADO</v>
      </c>
      <c r="B9498" t="str">
        <f>T("NASNI BLDG 678")</f>
        <v>NASNI BLDG 678</v>
      </c>
      <c r="C9498" t="str">
        <f>T("")</f>
        <v/>
      </c>
      <c r="D9498" t="str">
        <f t="shared" si="3494"/>
        <v>SAN DIEGO</v>
      </c>
      <c r="E9498" t="str">
        <f t="shared" si="3495"/>
        <v>CA</v>
      </c>
      <c r="F9498" t="str">
        <f t="shared" si="3502"/>
        <v>921350000</v>
      </c>
      <c r="G9498" t="str">
        <f>T("NBC COMMAND SUPPORT")</f>
        <v>NBC COMMAND SUPPORT</v>
      </c>
      <c r="H9498" t="str">
        <f>T("678 MCCAIN BLVD BLDG 678 RM 201")</f>
        <v>678 MCCAIN BLVD BLDG 678 RM 201</v>
      </c>
      <c r="I9498" t="str">
        <f t="shared" si="3499"/>
        <v>SAN DIEGO</v>
      </c>
      <c r="J9498" t="str">
        <f t="shared" si="3496"/>
        <v>CA</v>
      </c>
      <c r="K9498" t="str">
        <f>T("000000000000000000")</f>
        <v>000000000000000000</v>
      </c>
      <c r="L9498" t="str">
        <f>T("6197677816")</f>
        <v>6197677816</v>
      </c>
    </row>
    <row r="9499" spans="1:12" x14ac:dyDescent="0.35">
      <c r="A9499" t="str">
        <f t="shared" si="3501"/>
        <v>NAVAL AIR STATION CORONADO</v>
      </c>
      <c r="B9499" t="str">
        <f>T("NASNI BLDG 678")</f>
        <v>NASNI BLDG 678</v>
      </c>
      <c r="C9499" t="str">
        <f>T("")</f>
        <v/>
      </c>
      <c r="D9499" t="str">
        <f t="shared" si="3494"/>
        <v>SAN DIEGO</v>
      </c>
      <c r="E9499" t="str">
        <f t="shared" si="3495"/>
        <v>CA</v>
      </c>
      <c r="F9499" t="str">
        <f t="shared" si="3502"/>
        <v>921350000</v>
      </c>
      <c r="G9499" t="str">
        <f>T("NBC COMMAND SUPPORT")</f>
        <v>NBC COMMAND SUPPORT</v>
      </c>
      <c r="H9499" t="str">
        <f>T("678 MCCAIN BLVD BLDG 678 RM 201")</f>
        <v>678 MCCAIN BLVD BLDG 678 RM 201</v>
      </c>
      <c r="I9499" t="str">
        <f t="shared" si="3499"/>
        <v>SAN DIEGO</v>
      </c>
      <c r="J9499" t="str">
        <f t="shared" si="3496"/>
        <v>CA</v>
      </c>
      <c r="K9499" t="str">
        <f>T("6195456168")</f>
        <v>6195456168</v>
      </c>
      <c r="L9499" t="str">
        <f>T("6195458166")</f>
        <v>6195458166</v>
      </c>
    </row>
    <row r="9500" spans="1:12" x14ac:dyDescent="0.35">
      <c r="A9500" t="str">
        <f t="shared" si="3501"/>
        <v>NAVAL AIR STATION CORONADO</v>
      </c>
      <c r="B9500" t="str">
        <f>T("NAVAL BASE CORONADO / AIR OPS")</f>
        <v>NAVAL BASE CORONADO / AIR OPS</v>
      </c>
      <c r="C9500" t="str">
        <f>T("BLDG 516")</f>
        <v>BLDG 516</v>
      </c>
      <c r="D9500" t="str">
        <f t="shared" si="3494"/>
        <v>SAN DIEGO</v>
      </c>
      <c r="E9500" t="str">
        <f t="shared" si="3495"/>
        <v>CA</v>
      </c>
      <c r="F9500" t="str">
        <f t="shared" si="3502"/>
        <v>921350000</v>
      </c>
      <c r="G9500" t="str">
        <f>T("NAVAL BASE CORONADO / AIR OPS")</f>
        <v>NAVAL BASE CORONADO / AIR OPS</v>
      </c>
      <c r="H9500" t="str">
        <f>T("BLDG 516")</f>
        <v>BLDG 516</v>
      </c>
      <c r="I9500" t="str">
        <f t="shared" si="3499"/>
        <v>SAN DIEGO</v>
      </c>
      <c r="J9500" t="str">
        <f t="shared" si="3496"/>
        <v>CA</v>
      </c>
      <c r="K9500" t="str">
        <f>T("6195450196")</f>
        <v>6195450196</v>
      </c>
      <c r="L9500" t="str">
        <f>T("6195458261")</f>
        <v>6195458261</v>
      </c>
    </row>
    <row r="9501" spans="1:12" x14ac:dyDescent="0.35">
      <c r="A9501" t="str">
        <f t="shared" si="3501"/>
        <v>NAVAL AIR STATION CORONADO</v>
      </c>
      <c r="B9501" t="str">
        <f>T("NAVAL BASE CORONADO / AIR OPS")</f>
        <v>NAVAL BASE CORONADO / AIR OPS</v>
      </c>
      <c r="C9501" t="str">
        <f>T("BLDG 516")</f>
        <v>BLDG 516</v>
      </c>
      <c r="D9501" t="str">
        <f t="shared" si="3494"/>
        <v>SAN DIEGO</v>
      </c>
      <c r="E9501" t="str">
        <f t="shared" si="3495"/>
        <v>CA</v>
      </c>
      <c r="F9501" t="str">
        <f t="shared" si="3502"/>
        <v>921350000</v>
      </c>
      <c r="G9501" t="str">
        <f>T("NBC AIR OPS")</f>
        <v>NBC AIR OPS</v>
      </c>
      <c r="H9501" t="str">
        <f>T("AIR OPS BLDG 516 FLOOR 1")</f>
        <v>AIR OPS BLDG 516 FLOOR 1</v>
      </c>
      <c r="I9501" t="str">
        <f t="shared" si="3499"/>
        <v>SAN DIEGO</v>
      </c>
      <c r="J9501" t="str">
        <f t="shared" si="3496"/>
        <v>CA</v>
      </c>
      <c r="K9501" t="str">
        <f>T("6195457025")</f>
        <v>6195457025</v>
      </c>
      <c r="L9501" t="str">
        <f>T("6195458263")</f>
        <v>6195458263</v>
      </c>
    </row>
    <row r="9502" spans="1:12" x14ac:dyDescent="0.35">
      <c r="A9502" t="str">
        <f t="shared" si="3501"/>
        <v>NAVAL AIR STATION CORONADO</v>
      </c>
      <c r="B9502" t="str">
        <f>T("NAVAL BASE CORONADO CBH")</f>
        <v>NAVAL BASE CORONADO CBH</v>
      </c>
      <c r="C9502" t="str">
        <f>T("P O BOX 357033")</f>
        <v>P O BOX 357033</v>
      </c>
      <c r="D9502" t="str">
        <f t="shared" si="3494"/>
        <v>SAN DIEGO</v>
      </c>
      <c r="E9502" t="str">
        <f t="shared" si="3495"/>
        <v>CA</v>
      </c>
      <c r="F9502" t="str">
        <f t="shared" si="3502"/>
        <v>921350000</v>
      </c>
      <c r="G9502" t="str">
        <f>T("NAVAL BASE CORONADO BACHELOR QUARTER")</f>
        <v>NAVAL BASE CORONADO BACHELOR QUARTER</v>
      </c>
      <c r="H9502" t="str">
        <f>T("P O BOX 357033")</f>
        <v>P O BOX 357033</v>
      </c>
      <c r="I9502" t="str">
        <f t="shared" si="3499"/>
        <v>SAN DIEGO</v>
      </c>
      <c r="J9502" t="str">
        <f t="shared" si="3496"/>
        <v>CA</v>
      </c>
      <c r="K9502" t="str">
        <f>T("000000000000000000")</f>
        <v>000000000000000000</v>
      </c>
      <c r="L9502" t="str">
        <f>T("6195457494")</f>
        <v>6195457494</v>
      </c>
    </row>
    <row r="9503" spans="1:12" x14ac:dyDescent="0.35">
      <c r="A9503" t="str">
        <f t="shared" si="3501"/>
        <v>NAVAL AIR STATION CORONADO</v>
      </c>
      <c r="B9503" t="str">
        <f>T("NAVAL BASE CORONADO CBH")</f>
        <v>NAVAL BASE CORONADO CBH</v>
      </c>
      <c r="C9503" t="str">
        <f>T("P O BOX 357033")</f>
        <v>P O BOX 357033</v>
      </c>
      <c r="D9503" t="str">
        <f t="shared" si="3494"/>
        <v>SAN DIEGO</v>
      </c>
      <c r="E9503" t="str">
        <f t="shared" si="3495"/>
        <v>CA</v>
      </c>
      <c r="F9503" t="str">
        <f t="shared" si="3502"/>
        <v>921350000</v>
      </c>
      <c r="G9503" t="str">
        <f>T("NAVAL BASE CORONADO CBH")</f>
        <v>NAVAL BASE CORONADO CBH</v>
      </c>
      <c r="H9503" t="str">
        <f>T("P O BOX 357033")</f>
        <v>P O BOX 357033</v>
      </c>
      <c r="I9503" t="str">
        <f t="shared" si="3499"/>
        <v>SAN DIEGO</v>
      </c>
      <c r="J9503" t="str">
        <f t="shared" si="3496"/>
        <v>CA</v>
      </c>
      <c r="K9503" t="str">
        <f>T("")</f>
        <v/>
      </c>
      <c r="L9503" t="str">
        <f>T("6195454141")</f>
        <v>6195454141</v>
      </c>
    </row>
    <row r="9504" spans="1:12" x14ac:dyDescent="0.35">
      <c r="A9504" t="str">
        <f t="shared" si="3501"/>
        <v>NAVAL AIR STATION CORONADO</v>
      </c>
      <c r="B9504" t="str">
        <f>T("NAVAL BASE CORONADO CBH")</f>
        <v>NAVAL BASE CORONADO CBH</v>
      </c>
      <c r="C9504" t="str">
        <f>T("P O BOX 357033")</f>
        <v>P O BOX 357033</v>
      </c>
      <c r="D9504" t="str">
        <f t="shared" si="3494"/>
        <v>SAN DIEGO</v>
      </c>
      <c r="E9504" t="str">
        <f t="shared" si="3495"/>
        <v>CA</v>
      </c>
      <c r="F9504" t="str">
        <f t="shared" si="3502"/>
        <v>921350000</v>
      </c>
      <c r="G9504" t="str">
        <f>T("NAVAL BASE CORONADO CBH")</f>
        <v>NAVAL BASE CORONADO CBH</v>
      </c>
      <c r="H9504" t="str">
        <f>T("P O BOX 357033")</f>
        <v>P O BOX 357033</v>
      </c>
      <c r="I9504" t="str">
        <f t="shared" si="3499"/>
        <v>SAN DIEGO</v>
      </c>
      <c r="J9504" t="str">
        <f t="shared" si="3496"/>
        <v>CA</v>
      </c>
      <c r="K9504" t="str">
        <f>T("6195456227")</f>
        <v>6195456227</v>
      </c>
      <c r="L9504" t="str">
        <f>T("6195459220")</f>
        <v>6195459220</v>
      </c>
    </row>
    <row r="9505" spans="1:12" x14ac:dyDescent="0.35">
      <c r="A9505" t="str">
        <f t="shared" si="3501"/>
        <v>NAVAL AIR STATION CORONADO</v>
      </c>
      <c r="B9505" t="str">
        <f>T("NAVFAC SELF HELP")</f>
        <v>NAVFAC SELF HELP</v>
      </c>
      <c r="C9505" t="str">
        <f>T("WRIGHT AVE BLDG 3")</f>
        <v>WRIGHT AVE BLDG 3</v>
      </c>
      <c r="D9505" t="str">
        <f t="shared" si="3494"/>
        <v>SAN DIEGO</v>
      </c>
      <c r="E9505" t="str">
        <f t="shared" si="3495"/>
        <v>CA</v>
      </c>
      <c r="F9505" t="str">
        <f>T("992132135")</f>
        <v>992132135</v>
      </c>
      <c r="G9505" t="str">
        <f>T("NAVAL BASE CORONADO/ PWD/ SLF HELP")</f>
        <v>NAVAL BASE CORONADO/ PWD/ SLF HELP</v>
      </c>
      <c r="H9505" t="str">
        <f>T("WRIGHT AVE BLDG-3")</f>
        <v>WRIGHT AVE BLDG-3</v>
      </c>
      <c r="I9505" t="str">
        <f t="shared" si="3499"/>
        <v>SAN DIEGO</v>
      </c>
      <c r="J9505" t="str">
        <f t="shared" si="3496"/>
        <v>CA</v>
      </c>
      <c r="K9505" t="str">
        <f>T("000000000000000000")</f>
        <v>000000000000000000</v>
      </c>
      <c r="L9505" t="str">
        <f>T("6195455327")</f>
        <v>6195455327</v>
      </c>
    </row>
    <row r="9506" spans="1:12" x14ac:dyDescent="0.35">
      <c r="A9506" t="str">
        <f t="shared" si="3501"/>
        <v>NAVAL AIR STATION CORONADO</v>
      </c>
      <c r="B9506" t="str">
        <f>T("NAVFAC SELF HELP")</f>
        <v>NAVFAC SELF HELP</v>
      </c>
      <c r="C9506" t="str">
        <f>T("WRIGHT AVE BLDG 3")</f>
        <v>WRIGHT AVE BLDG 3</v>
      </c>
      <c r="D9506" t="str">
        <f t="shared" si="3494"/>
        <v>SAN DIEGO</v>
      </c>
      <c r="E9506" t="str">
        <f t="shared" si="3495"/>
        <v>CA</v>
      </c>
      <c r="F9506" t="str">
        <f>T("992132135")</f>
        <v>992132135</v>
      </c>
      <c r="G9506" t="str">
        <f>T("NAVFAC SELF HELP")</f>
        <v>NAVFAC SELF HELP</v>
      </c>
      <c r="H9506" t="str">
        <f>T("WRIGHT AVE BLDG 3")</f>
        <v>WRIGHT AVE BLDG 3</v>
      </c>
      <c r="I9506" t="str">
        <f t="shared" si="3499"/>
        <v>SAN DIEGO</v>
      </c>
      <c r="J9506" t="str">
        <f t="shared" si="3496"/>
        <v>CA</v>
      </c>
      <c r="K9506" t="str">
        <f>T("6195451109")</f>
        <v>6195451109</v>
      </c>
      <c r="L9506" t="str">
        <f>T("6195455327")</f>
        <v>6195455327</v>
      </c>
    </row>
    <row r="9507" spans="1:12" x14ac:dyDescent="0.35">
      <c r="A9507" t="str">
        <f t="shared" si="3501"/>
        <v>NAVAL AIR STATION CORONADO</v>
      </c>
      <c r="B9507" t="str">
        <f>T("NBC NALF SAN CLEMENTE IS")</f>
        <v>NBC NALF SAN CLEMENTE IS</v>
      </c>
      <c r="C9507" t="str">
        <f>T("P O BOX 357054")</f>
        <v>P O BOX 357054</v>
      </c>
      <c r="D9507" t="str">
        <f t="shared" si="3494"/>
        <v>SAN DIEGO</v>
      </c>
      <c r="E9507" t="str">
        <f t="shared" si="3495"/>
        <v>CA</v>
      </c>
      <c r="F9507" t="str">
        <f>T("921357054")</f>
        <v>921357054</v>
      </c>
      <c r="G9507" t="str">
        <f>T("NALF SAN CLEMENTE ISLAND")</f>
        <v>NALF SAN CLEMENTE ISLAND</v>
      </c>
      <c r="H9507" t="str">
        <f>T("P O BOX 857054")</f>
        <v>P O BOX 857054</v>
      </c>
      <c r="I9507" t="str">
        <f t="shared" si="3499"/>
        <v>SAN DIEGO</v>
      </c>
      <c r="J9507" t="str">
        <f t="shared" si="3496"/>
        <v>CA</v>
      </c>
      <c r="K9507" t="str">
        <f>T("000000000000000000")</f>
        <v>000000000000000000</v>
      </c>
      <c r="L9507" t="str">
        <f>T("6195249232")</f>
        <v>6195249232</v>
      </c>
    </row>
    <row r="9508" spans="1:12" x14ac:dyDescent="0.35">
      <c r="A9508" t="str">
        <f t="shared" si="3501"/>
        <v>NAVAL AIR STATION CORONADO</v>
      </c>
      <c r="B9508" t="str">
        <f>T("NBC NALF SAN CLEMENTE IS")</f>
        <v>NBC NALF SAN CLEMENTE IS</v>
      </c>
      <c r="C9508" t="str">
        <f>T("P O BOX 357054")</f>
        <v>P O BOX 357054</v>
      </c>
      <c r="D9508" t="str">
        <f t="shared" ref="D9508:D9544" si="3503">T("SAN DIEGO")</f>
        <v>SAN DIEGO</v>
      </c>
      <c r="E9508" t="str">
        <f t="shared" ref="E9508:E9539" si="3504">T("CA")</f>
        <v>CA</v>
      </c>
      <c r="F9508" t="str">
        <f>T("921357054")</f>
        <v>921357054</v>
      </c>
      <c r="G9508" t="str">
        <f>T("NBC NALF SAN CLEMENTE IS")</f>
        <v>NBC NALF SAN CLEMENTE IS</v>
      </c>
      <c r="H9508" t="str">
        <f>T("P O BOX 357054")</f>
        <v>P O BOX 357054</v>
      </c>
      <c r="I9508" t="str">
        <f t="shared" si="3499"/>
        <v>SAN DIEGO</v>
      </c>
      <c r="J9508" t="str">
        <f t="shared" ref="J9508:J9539" si="3505">T("CA")</f>
        <v>CA</v>
      </c>
      <c r="K9508" t="str">
        <f>T("6195249226")</f>
        <v>6195249226</v>
      </c>
      <c r="L9508" t="str">
        <f>T("6195249000")</f>
        <v>6195249000</v>
      </c>
    </row>
    <row r="9509" spans="1:12" x14ac:dyDescent="0.35">
      <c r="A9509" t="str">
        <f t="shared" ref="A9509:A9544" si="3506">T("BLDG 1 NRSW")</f>
        <v>BLDG 1 NRSW</v>
      </c>
      <c r="B9509" t="str">
        <f>T("1220 PACIFIC HIGHWAY")</f>
        <v>1220 PACIFIC HIGHWAY</v>
      </c>
      <c r="C9509" t="str">
        <f>T("BLDG 127/ CUBICLE 285")</f>
        <v>BLDG 127/ CUBICLE 285</v>
      </c>
      <c r="D9509" t="str">
        <f t="shared" si="3503"/>
        <v>SAN DIEGO</v>
      </c>
      <c r="E9509" t="str">
        <f t="shared" si="3504"/>
        <v>CA</v>
      </c>
      <c r="F9509" t="str">
        <f>T("921325190")</f>
        <v>921325190</v>
      </c>
      <c r="G9509" t="str">
        <f>T("1220 PACIFIC HIGHWAY")</f>
        <v>1220 PACIFIC HIGHWAY</v>
      </c>
      <c r="H9509" t="str">
        <f>T("BLDG 127/ CUBICLE 285")</f>
        <v>BLDG 127/ CUBICLE 285</v>
      </c>
      <c r="I9509" t="str">
        <f t="shared" si="3499"/>
        <v>SAN DIEGO</v>
      </c>
      <c r="J9509" t="str">
        <f t="shared" si="3505"/>
        <v>CA</v>
      </c>
      <c r="K9509" t="str">
        <f>T("")</f>
        <v/>
      </c>
      <c r="L9509" t="str">
        <f>T("6195321380")</f>
        <v>6195321380</v>
      </c>
    </row>
    <row r="9510" spans="1:12" x14ac:dyDescent="0.35">
      <c r="A9510" t="str">
        <f t="shared" si="3506"/>
        <v>BLDG 1 NRSW</v>
      </c>
      <c r="B9510" t="str">
        <f>T("1220 PACIFIC HIGHWAY")</f>
        <v>1220 PACIFIC HIGHWAY</v>
      </c>
      <c r="C9510" t="str">
        <f>T("BLDG 127/ CUBICLE 285")</f>
        <v>BLDG 127/ CUBICLE 285</v>
      </c>
      <c r="D9510" t="str">
        <f t="shared" si="3503"/>
        <v>SAN DIEGO</v>
      </c>
      <c r="E9510" t="str">
        <f t="shared" si="3504"/>
        <v>CA</v>
      </c>
      <c r="F9510" t="str">
        <f>T("921325190")</f>
        <v>921325190</v>
      </c>
      <c r="G9510" t="str">
        <f>T("NRSW NAVFAC")</f>
        <v>NRSW NAVFAC</v>
      </c>
      <c r="H9510" t="str">
        <f>T("937 N HARBOR DRIVE BLDG 12")</f>
        <v>937 N HARBOR DRIVE BLDG 12</v>
      </c>
      <c r="I9510" t="str">
        <f t="shared" si="3499"/>
        <v>SAN DIEGO</v>
      </c>
      <c r="J9510" t="str">
        <f t="shared" si="3505"/>
        <v>CA</v>
      </c>
      <c r="K9510" t="str">
        <f>T("000000000000000000")</f>
        <v>000000000000000000</v>
      </c>
      <c r="L9510" t="str">
        <f>T("6195324376")</f>
        <v>6195324376</v>
      </c>
    </row>
    <row r="9511" spans="1:12" x14ac:dyDescent="0.35">
      <c r="A9511" t="str">
        <f t="shared" si="3506"/>
        <v>BLDG 1 NRSW</v>
      </c>
      <c r="B9511" t="str">
        <f>T("3901 NORTH HARBOR DRIVE")</f>
        <v>3901 NORTH HARBOR DRIVE</v>
      </c>
      <c r="C9511" t="str">
        <f>T("BLDG 600")</f>
        <v>BLDG 600</v>
      </c>
      <c r="D9511" t="str">
        <f t="shared" si="3503"/>
        <v>SAN DIEGO</v>
      </c>
      <c r="E9511" t="str">
        <f t="shared" si="3504"/>
        <v>CA</v>
      </c>
      <c r="F9511" t="str">
        <f>T("921011031")</f>
        <v>921011031</v>
      </c>
      <c r="G9511" t="str">
        <f>T("3901 NORTH HARBOR DRIVE")</f>
        <v>3901 NORTH HARBOR DRIVE</v>
      </c>
      <c r="H9511" t="str">
        <f>T("BLDG 600")</f>
        <v>BLDG 600</v>
      </c>
      <c r="I9511" t="str">
        <f t="shared" si="3499"/>
        <v>SAN DIEGO</v>
      </c>
      <c r="J9511" t="str">
        <f t="shared" si="3505"/>
        <v>CA</v>
      </c>
      <c r="K9511" t="str">
        <f>T("000000000000000000")</f>
        <v>000000000000000000</v>
      </c>
      <c r="L9511" t="str">
        <f>T("6195241357")</f>
        <v>6195241357</v>
      </c>
    </row>
    <row r="9512" spans="1:12" x14ac:dyDescent="0.35">
      <c r="A9512" t="str">
        <f t="shared" si="3506"/>
        <v>BLDG 1 NRSW</v>
      </c>
      <c r="B9512" t="str">
        <f>T("3901 NORTH HARBOR DRIVE")</f>
        <v>3901 NORTH HARBOR DRIVE</v>
      </c>
      <c r="C9512" t="str">
        <f>T("BLDG 600")</f>
        <v>BLDG 600</v>
      </c>
      <c r="D9512" t="str">
        <f t="shared" si="3503"/>
        <v>SAN DIEGO</v>
      </c>
      <c r="E9512" t="str">
        <f t="shared" si="3504"/>
        <v>CA</v>
      </c>
      <c r="F9512" t="str">
        <f>T("921011031")</f>
        <v>921011031</v>
      </c>
      <c r="G9512" t="str">
        <f>T("CNRSW / N37")</f>
        <v>CNRSW / N37</v>
      </c>
      <c r="H9512" t="str">
        <f>T("3901 NORTH HARBOR DRIVE")</f>
        <v>3901 NORTH HARBOR DRIVE</v>
      </c>
      <c r="I9512" t="str">
        <f t="shared" si="3499"/>
        <v>SAN DIEGO</v>
      </c>
      <c r="J9512" t="str">
        <f t="shared" si="3505"/>
        <v>CA</v>
      </c>
      <c r="K9512" t="str">
        <f>T("6195244829")</f>
        <v>6195244829</v>
      </c>
      <c r="L9512" t="str">
        <f>T("6195241301")</f>
        <v>6195241301</v>
      </c>
    </row>
    <row r="9513" spans="1:12" x14ac:dyDescent="0.35">
      <c r="A9513" t="str">
        <f t="shared" si="3506"/>
        <v>BLDG 1 NRSW</v>
      </c>
      <c r="B9513" t="str">
        <f t="shared" ref="B9513:B9519" si="3507">T("937 N HARBOR DR")</f>
        <v>937 N HARBOR DR</v>
      </c>
      <c r="C9513" t="str">
        <f>T("")</f>
        <v/>
      </c>
      <c r="D9513" t="str">
        <f t="shared" si="3503"/>
        <v>SAN DIEGO</v>
      </c>
      <c r="E9513" t="str">
        <f t="shared" si="3504"/>
        <v>CA</v>
      </c>
      <c r="F9513" t="str">
        <f>T("921325001")</f>
        <v>921325001</v>
      </c>
      <c r="G9513" t="str">
        <f>T("10076 NUERTO LN")</f>
        <v>10076 NUERTO LN</v>
      </c>
      <c r="H9513" t="str">
        <f>T("")</f>
        <v/>
      </c>
      <c r="I9513" t="str">
        <f>T("SPRING VALLEY")</f>
        <v>SPRING VALLEY</v>
      </c>
      <c r="J9513" t="str">
        <f t="shared" si="3505"/>
        <v>CA</v>
      </c>
      <c r="K9513" t="str">
        <f>T("000000000000000000")</f>
        <v>000000000000000000</v>
      </c>
      <c r="L9513" t="str">
        <f>T("6197786865")</f>
        <v>6197786865</v>
      </c>
    </row>
    <row r="9514" spans="1:12" x14ac:dyDescent="0.35">
      <c r="A9514" t="str">
        <f t="shared" si="3506"/>
        <v>BLDG 1 NRSW</v>
      </c>
      <c r="B9514" t="str">
        <f t="shared" si="3507"/>
        <v>937 N HARBOR DR</v>
      </c>
      <c r="C9514" t="str">
        <f>T("")</f>
        <v/>
      </c>
      <c r="D9514" t="str">
        <f t="shared" si="3503"/>
        <v>SAN DIEGO</v>
      </c>
      <c r="E9514" t="str">
        <f t="shared" si="3504"/>
        <v>CA</v>
      </c>
      <c r="F9514" t="str">
        <f>T("921325001")</f>
        <v>921325001</v>
      </c>
      <c r="G9514" t="str">
        <f>T("937 N HARBOR DR")</f>
        <v>937 N HARBOR DR</v>
      </c>
      <c r="H9514" t="str">
        <f>T("")</f>
        <v/>
      </c>
      <c r="I9514" t="str">
        <f t="shared" ref="I9514:I9544" si="3508">T("SAN DIEGO")</f>
        <v>SAN DIEGO</v>
      </c>
      <c r="J9514" t="str">
        <f t="shared" si="3505"/>
        <v>CA</v>
      </c>
      <c r="K9514" t="str">
        <f>T("000000000000000000")</f>
        <v>000000000000000000</v>
      </c>
      <c r="L9514" t="str">
        <f>T("6195322929")</f>
        <v>6195322929</v>
      </c>
    </row>
    <row r="9515" spans="1:12" x14ac:dyDescent="0.35">
      <c r="A9515" t="str">
        <f t="shared" si="3506"/>
        <v>BLDG 1 NRSW</v>
      </c>
      <c r="B9515" t="str">
        <f t="shared" si="3507"/>
        <v>937 N HARBOR DR</v>
      </c>
      <c r="C9515" t="str">
        <f>T("")</f>
        <v/>
      </c>
      <c r="D9515" t="str">
        <f t="shared" si="3503"/>
        <v>SAN DIEGO</v>
      </c>
      <c r="E9515" t="str">
        <f t="shared" si="3504"/>
        <v>CA</v>
      </c>
      <c r="F9515" t="str">
        <f>T("921325001")</f>
        <v>921325001</v>
      </c>
      <c r="G9515" t="str">
        <f>T("937 N HARBOR DR")</f>
        <v>937 N HARBOR DR</v>
      </c>
      <c r="H9515" t="str">
        <f>T("")</f>
        <v/>
      </c>
      <c r="I9515" t="str">
        <f t="shared" si="3508"/>
        <v>SAN DIEGO</v>
      </c>
      <c r="J9515" t="str">
        <f t="shared" si="3505"/>
        <v>CA</v>
      </c>
      <c r="K9515" t="str">
        <f>T("619 532 1399")</f>
        <v>619 532 1399</v>
      </c>
      <c r="L9515" t="str">
        <f>T("6195322929")</f>
        <v>6195322929</v>
      </c>
    </row>
    <row r="9516" spans="1:12" x14ac:dyDescent="0.35">
      <c r="A9516" t="str">
        <f t="shared" si="3506"/>
        <v>BLDG 1 NRSW</v>
      </c>
      <c r="B9516" t="str">
        <f t="shared" si="3507"/>
        <v>937 N HARBOR DR</v>
      </c>
      <c r="C9516" t="str">
        <f>T("")</f>
        <v/>
      </c>
      <c r="D9516" t="str">
        <f t="shared" si="3503"/>
        <v>SAN DIEGO</v>
      </c>
      <c r="E9516" t="str">
        <f t="shared" si="3504"/>
        <v>CA</v>
      </c>
      <c r="F9516" t="str">
        <f>T("921325001")</f>
        <v>921325001</v>
      </c>
      <c r="G9516" t="str">
        <f>T("937 N HARBOR DR 1")</f>
        <v>937 N HARBOR DR 1</v>
      </c>
      <c r="H9516" t="str">
        <f>T("")</f>
        <v/>
      </c>
      <c r="I9516" t="str">
        <f t="shared" si="3508"/>
        <v>SAN DIEGO</v>
      </c>
      <c r="J9516" t="str">
        <f t="shared" si="3505"/>
        <v>CA</v>
      </c>
      <c r="K9516" t="str">
        <f>T("000000000000000000")</f>
        <v>000000000000000000</v>
      </c>
      <c r="L9516" t="str">
        <f>T("5303149186")</f>
        <v>5303149186</v>
      </c>
    </row>
    <row r="9517" spans="1:12" x14ac:dyDescent="0.35">
      <c r="A9517" t="str">
        <f t="shared" si="3506"/>
        <v>BLDG 1 NRSW</v>
      </c>
      <c r="B9517" t="str">
        <f t="shared" si="3507"/>
        <v>937 N HARBOR DR</v>
      </c>
      <c r="C9517" t="str">
        <f>T("SUITE 501 5TH FLOOR CODE N51")</f>
        <v>SUITE 501 5TH FLOOR CODE N51</v>
      </c>
      <c r="D9517" t="str">
        <f t="shared" si="3503"/>
        <v>SAN DIEGO</v>
      </c>
      <c r="E9517" t="str">
        <f t="shared" si="3504"/>
        <v>CA</v>
      </c>
      <c r="F9517" t="str">
        <f>T("921320001")</f>
        <v>921320001</v>
      </c>
      <c r="G9517" t="str">
        <f>T("937 N HARBOR DR")</f>
        <v>937 N HARBOR DR</v>
      </c>
      <c r="H9517" t="str">
        <f>T("SUITE 501 5TH FLOOR CODE N51")</f>
        <v>SUITE 501 5TH FLOOR CODE N51</v>
      </c>
      <c r="I9517" t="str">
        <f t="shared" si="3508"/>
        <v>SAN DIEGO</v>
      </c>
      <c r="J9517" t="str">
        <f t="shared" si="3505"/>
        <v>CA</v>
      </c>
      <c r="K9517" t="str">
        <f>T("")</f>
        <v/>
      </c>
      <c r="L9517" t="str">
        <f>T("6195324908")</f>
        <v>6195324908</v>
      </c>
    </row>
    <row r="9518" spans="1:12" x14ac:dyDescent="0.35">
      <c r="A9518" t="str">
        <f t="shared" si="3506"/>
        <v>BLDG 1 NRSW</v>
      </c>
      <c r="B9518" t="str">
        <f t="shared" si="3507"/>
        <v>937 N HARBOR DR</v>
      </c>
      <c r="C9518" t="str">
        <f>T("SUITE 501 5TH FLOOR CODE N51")</f>
        <v>SUITE 501 5TH FLOOR CODE N51</v>
      </c>
      <c r="D9518" t="str">
        <f t="shared" si="3503"/>
        <v>SAN DIEGO</v>
      </c>
      <c r="E9518" t="str">
        <f t="shared" si="3504"/>
        <v>CA</v>
      </c>
      <c r="F9518" t="str">
        <f>T("921320001")</f>
        <v>921320001</v>
      </c>
      <c r="G9518" t="str">
        <f>T("COMNAVREG SW")</f>
        <v>COMNAVREG SW</v>
      </c>
      <c r="H9518" t="str">
        <f>T("N8 5TH FLOOR")</f>
        <v>N8 5TH FLOOR</v>
      </c>
      <c r="I9518" t="str">
        <f t="shared" si="3508"/>
        <v>SAN DIEGO</v>
      </c>
      <c r="J9518" t="str">
        <f t="shared" si="3505"/>
        <v>CA</v>
      </c>
      <c r="K9518" t="str">
        <f>T("6195324917")</f>
        <v>6195324917</v>
      </c>
      <c r="L9518" t="str">
        <f>T("6195324907")</f>
        <v>6195324907</v>
      </c>
    </row>
    <row r="9519" spans="1:12" x14ac:dyDescent="0.35">
      <c r="A9519" t="str">
        <f t="shared" si="3506"/>
        <v>BLDG 1 NRSW</v>
      </c>
      <c r="B9519" t="str">
        <f t="shared" si="3507"/>
        <v>937 N HARBOR DR</v>
      </c>
      <c r="C9519" t="str">
        <f>T("SUITE 501 5TH FLOOR CODE N51")</f>
        <v>SUITE 501 5TH FLOOR CODE N51</v>
      </c>
      <c r="D9519" t="str">
        <f t="shared" si="3503"/>
        <v>SAN DIEGO</v>
      </c>
      <c r="E9519" t="str">
        <f t="shared" si="3504"/>
        <v>CA</v>
      </c>
      <c r="F9519" t="str">
        <f>T("921320001")</f>
        <v>921320001</v>
      </c>
      <c r="G9519" t="str">
        <f>T("NRSW/ BUSINESS OFFICE")</f>
        <v>NRSW/ BUSINESS OFFICE</v>
      </c>
      <c r="H9519" t="str">
        <f>T("937 N HARBOR DR BLDG 1 RM 522")</f>
        <v>937 N HARBOR DR BLDG 1 RM 522</v>
      </c>
      <c r="I9519" t="str">
        <f t="shared" si="3508"/>
        <v>SAN DIEGO</v>
      </c>
      <c r="J9519" t="str">
        <f t="shared" si="3505"/>
        <v>CA</v>
      </c>
      <c r="K9519" t="str">
        <f>T("000000000000000000")</f>
        <v>000000000000000000</v>
      </c>
      <c r="L9519" t="str">
        <f>T("6195322807")</f>
        <v>6195322807</v>
      </c>
    </row>
    <row r="9520" spans="1:12" x14ac:dyDescent="0.35">
      <c r="A9520" t="str">
        <f t="shared" si="3506"/>
        <v>BLDG 1 NRSW</v>
      </c>
      <c r="B9520" t="str">
        <f t="shared" ref="B9520:B9528" si="3509">T("937 N HARBOR DRIVE")</f>
        <v>937 N HARBOR DRIVE</v>
      </c>
      <c r="C9520" t="str">
        <f>T("")</f>
        <v/>
      </c>
      <c r="D9520" t="str">
        <f t="shared" si="3503"/>
        <v>SAN DIEGO</v>
      </c>
      <c r="E9520" t="str">
        <f t="shared" si="3504"/>
        <v>CA</v>
      </c>
      <c r="F9520" t="str">
        <f>T("921325001")</f>
        <v>921325001</v>
      </c>
      <c r="G9520" t="str">
        <f>T("937 N HARBOR DR")</f>
        <v>937 N HARBOR DR</v>
      </c>
      <c r="H9520" t="str">
        <f>T("")</f>
        <v/>
      </c>
      <c r="I9520" t="str">
        <f t="shared" si="3508"/>
        <v>SAN DIEGO</v>
      </c>
      <c r="J9520" t="str">
        <f t="shared" si="3505"/>
        <v>CA</v>
      </c>
      <c r="K9520" t="str">
        <f>T("000000000000000000")</f>
        <v>000000000000000000</v>
      </c>
      <c r="L9520" t="str">
        <f>T("6195322929")</f>
        <v>6195322929</v>
      </c>
    </row>
    <row r="9521" spans="1:12" x14ac:dyDescent="0.35">
      <c r="A9521" t="str">
        <f t="shared" si="3506"/>
        <v>BLDG 1 NRSW</v>
      </c>
      <c r="B9521" t="str">
        <f t="shared" si="3509"/>
        <v>937 N HARBOR DRIVE</v>
      </c>
      <c r="C9521" t="str">
        <f>T("")</f>
        <v/>
      </c>
      <c r="D9521" t="str">
        <f t="shared" si="3503"/>
        <v>SAN DIEGO</v>
      </c>
      <c r="E9521" t="str">
        <f t="shared" si="3504"/>
        <v>CA</v>
      </c>
      <c r="F9521" t="str">
        <f>T("921325001")</f>
        <v>921325001</v>
      </c>
      <c r="G9521" t="str">
        <f>T("937 N HARBOR DRIVE")</f>
        <v>937 N HARBOR DRIVE</v>
      </c>
      <c r="H9521" t="str">
        <f>T("")</f>
        <v/>
      </c>
      <c r="I9521" t="str">
        <f t="shared" si="3508"/>
        <v>SAN DIEGO</v>
      </c>
      <c r="J9521" t="str">
        <f t="shared" si="3505"/>
        <v>CA</v>
      </c>
      <c r="K9521" t="str">
        <f>T("000000000000000000")</f>
        <v>000000000000000000</v>
      </c>
      <c r="L9521" t="str">
        <f>T("6195322929")</f>
        <v>6195322929</v>
      </c>
    </row>
    <row r="9522" spans="1:12" x14ac:dyDescent="0.35">
      <c r="A9522" t="str">
        <f t="shared" si="3506"/>
        <v>BLDG 1 NRSW</v>
      </c>
      <c r="B9522" t="str">
        <f t="shared" si="3509"/>
        <v>937 N HARBOR DRIVE</v>
      </c>
      <c r="C9522" t="str">
        <f>T("BLDG-1 2ND FLR CODE N6")</f>
        <v>BLDG-1 2ND FLR CODE N6</v>
      </c>
      <c r="D9522" t="str">
        <f t="shared" si="3503"/>
        <v>SAN DIEGO</v>
      </c>
      <c r="E9522" t="str">
        <f t="shared" si="3504"/>
        <v>CA</v>
      </c>
      <c r="F9522" t="str">
        <f>T("921320001")</f>
        <v>921320001</v>
      </c>
      <c r="G9522" t="str">
        <f>T("937 N HARBOR DR")</f>
        <v>937 N HARBOR DR</v>
      </c>
      <c r="H9522" t="str">
        <f>T("2ND FLR RM 221")</f>
        <v>2ND FLR RM 221</v>
      </c>
      <c r="I9522" t="str">
        <f t="shared" si="3508"/>
        <v>SAN DIEGO</v>
      </c>
      <c r="J9522" t="str">
        <f t="shared" si="3505"/>
        <v>CA</v>
      </c>
      <c r="K9522" t="str">
        <f>T("6195323416")</f>
        <v>6195323416</v>
      </c>
      <c r="L9522" t="str">
        <f>T("6195322956")</f>
        <v>6195322956</v>
      </c>
    </row>
    <row r="9523" spans="1:12" x14ac:dyDescent="0.35">
      <c r="A9523" t="str">
        <f t="shared" si="3506"/>
        <v>BLDG 1 NRSW</v>
      </c>
      <c r="B9523" t="str">
        <f t="shared" si="3509"/>
        <v>937 N HARBOR DRIVE</v>
      </c>
      <c r="C9523" t="str">
        <f>T("BLDG-1 2ND FLR CODE N6")</f>
        <v>BLDG-1 2ND FLR CODE N6</v>
      </c>
      <c r="D9523" t="str">
        <f t="shared" si="3503"/>
        <v>SAN DIEGO</v>
      </c>
      <c r="E9523" t="str">
        <f t="shared" si="3504"/>
        <v>CA</v>
      </c>
      <c r="F9523" t="str">
        <f>T("921320001")</f>
        <v>921320001</v>
      </c>
      <c r="G9523" t="str">
        <f>T("937 N HARBOR DRIVE")</f>
        <v>937 N HARBOR DRIVE</v>
      </c>
      <c r="H9523" t="str">
        <f>T("BLDG-1 2ND FLR CODE N6")</f>
        <v>BLDG-1 2ND FLR CODE N6</v>
      </c>
      <c r="I9523" t="str">
        <f t="shared" si="3508"/>
        <v>SAN DIEGO</v>
      </c>
      <c r="J9523" t="str">
        <f t="shared" si="3505"/>
        <v>CA</v>
      </c>
      <c r="K9523" t="str">
        <f>T("000000000000000000")</f>
        <v>000000000000000000</v>
      </c>
      <c r="L9523" t="str">
        <f>T("6195323118")</f>
        <v>6195323118</v>
      </c>
    </row>
    <row r="9524" spans="1:12" x14ac:dyDescent="0.35">
      <c r="A9524" t="str">
        <f t="shared" si="3506"/>
        <v>BLDG 1 NRSW</v>
      </c>
      <c r="B9524" t="str">
        <f t="shared" si="3509"/>
        <v>937 N HARBOR DRIVE</v>
      </c>
      <c r="C9524" t="str">
        <f>T("BLDG-1 2ND FLR CODE N6")</f>
        <v>BLDG-1 2ND FLR CODE N6</v>
      </c>
      <c r="D9524" t="str">
        <f t="shared" si="3503"/>
        <v>SAN DIEGO</v>
      </c>
      <c r="E9524" t="str">
        <f t="shared" si="3504"/>
        <v>CA</v>
      </c>
      <c r="F9524" t="str">
        <f>T("921320001")</f>
        <v>921320001</v>
      </c>
      <c r="G9524" t="str">
        <f>T("937 NORTH HARBOR DRIVE")</f>
        <v>937 NORTH HARBOR DRIVE</v>
      </c>
      <c r="H9524" t="str">
        <f>T("BLDG 1 / 5TH FLOOR / RM 513")</f>
        <v>BLDG 1 / 5TH FLOOR / RM 513</v>
      </c>
      <c r="I9524" t="str">
        <f t="shared" si="3508"/>
        <v>SAN DIEGO</v>
      </c>
      <c r="J9524" t="str">
        <f t="shared" si="3505"/>
        <v>CA</v>
      </c>
      <c r="K9524" t="str">
        <f>T("000000000000000000")</f>
        <v>000000000000000000</v>
      </c>
      <c r="L9524" t="str">
        <f>T("6195322958")</f>
        <v>6195322958</v>
      </c>
    </row>
    <row r="9525" spans="1:12" x14ac:dyDescent="0.35">
      <c r="A9525" t="str">
        <f t="shared" si="3506"/>
        <v>BLDG 1 NRSW</v>
      </c>
      <c r="B9525" t="str">
        <f t="shared" si="3509"/>
        <v>937 N HARBOR DRIVE</v>
      </c>
      <c r="C9525" t="str">
        <f>T("BLDG-1 2ND FLR CODE N6")</f>
        <v>BLDG-1 2ND FLR CODE N6</v>
      </c>
      <c r="D9525" t="str">
        <f t="shared" si="3503"/>
        <v>SAN DIEGO</v>
      </c>
      <c r="E9525" t="str">
        <f t="shared" si="3504"/>
        <v>CA</v>
      </c>
      <c r="F9525" t="str">
        <f>T("921320001")</f>
        <v>921320001</v>
      </c>
      <c r="G9525" t="str">
        <f>T("CNRSW / CODE N6")</f>
        <v>CNRSW / CODE N6</v>
      </c>
      <c r="H9525" t="str">
        <f>T("937 N HARBOR DR BLDG 1 2ND FL RM221")</f>
        <v>937 N HARBOR DR BLDG 1 2ND FL RM221</v>
      </c>
      <c r="I9525" t="str">
        <f t="shared" si="3508"/>
        <v>SAN DIEGO</v>
      </c>
      <c r="J9525" t="str">
        <f t="shared" si="3505"/>
        <v>CA</v>
      </c>
      <c r="K9525" t="str">
        <f>T("6195323460")</f>
        <v>6195323460</v>
      </c>
      <c r="L9525" t="str">
        <f>T("6195322137")</f>
        <v>6195322137</v>
      </c>
    </row>
    <row r="9526" spans="1:12" x14ac:dyDescent="0.35">
      <c r="A9526" t="str">
        <f t="shared" si="3506"/>
        <v>BLDG 1 NRSW</v>
      </c>
      <c r="B9526" t="str">
        <f t="shared" si="3509"/>
        <v>937 N HARBOR DRIVE</v>
      </c>
      <c r="C9526" t="str">
        <f>T("BLDG-1 2ND FLR CODE N6")</f>
        <v>BLDG-1 2ND FLR CODE N6</v>
      </c>
      <c r="D9526" t="str">
        <f t="shared" si="3503"/>
        <v>SAN DIEGO</v>
      </c>
      <c r="E9526" t="str">
        <f t="shared" si="3504"/>
        <v>CA</v>
      </c>
      <c r="F9526" t="str">
        <f>T("921320001")</f>
        <v>921320001</v>
      </c>
      <c r="G9526" t="str">
        <f>T("REGION IT")</f>
        <v>REGION IT</v>
      </c>
      <c r="H9526" t="str">
        <f>T("2ND FLOOR 937 N HARBOR DRIVE")</f>
        <v>2ND FLOOR 937 N HARBOR DRIVE</v>
      </c>
      <c r="I9526" t="str">
        <f t="shared" si="3508"/>
        <v>SAN DIEGO</v>
      </c>
      <c r="J9526" t="str">
        <f t="shared" si="3505"/>
        <v>CA</v>
      </c>
      <c r="K9526" t="str">
        <f>T("6195322429")</f>
        <v>6195322429</v>
      </c>
      <c r="L9526" t="str">
        <f>T("6195322330")</f>
        <v>6195322330</v>
      </c>
    </row>
    <row r="9527" spans="1:12" x14ac:dyDescent="0.35">
      <c r="A9527" t="str">
        <f t="shared" si="3506"/>
        <v>BLDG 1 NRSW</v>
      </c>
      <c r="B9527" t="str">
        <f t="shared" si="3509"/>
        <v>937 N HARBOR DRIVE</v>
      </c>
      <c r="C9527" t="str">
        <f>T("ROOM 105")</f>
        <v>ROOM 105</v>
      </c>
      <c r="D9527" t="str">
        <f t="shared" si="3503"/>
        <v>SAN DIEGO</v>
      </c>
      <c r="E9527" t="str">
        <f t="shared" si="3504"/>
        <v>CA</v>
      </c>
      <c r="F9527" t="str">
        <f>T("921325001")</f>
        <v>921325001</v>
      </c>
      <c r="G9527" t="str">
        <f>T("937 N HARBOR DRIVE")</f>
        <v>937 N HARBOR DRIVE</v>
      </c>
      <c r="H9527" t="str">
        <f>T("ROOM 105")</f>
        <v>ROOM 105</v>
      </c>
      <c r="I9527" t="str">
        <f t="shared" si="3508"/>
        <v>SAN DIEGO</v>
      </c>
      <c r="J9527" t="str">
        <f t="shared" si="3505"/>
        <v>CA</v>
      </c>
      <c r="K9527" t="str">
        <f>T("6195321426")</f>
        <v>6195321426</v>
      </c>
      <c r="L9527" t="str">
        <f>T("6195321419")</f>
        <v>6195321419</v>
      </c>
    </row>
    <row r="9528" spans="1:12" x14ac:dyDescent="0.35">
      <c r="A9528" t="str">
        <f t="shared" si="3506"/>
        <v>BLDG 1 NRSW</v>
      </c>
      <c r="B9528" t="str">
        <f t="shared" si="3509"/>
        <v>937 N HARBOR DRIVE</v>
      </c>
      <c r="C9528" t="str">
        <f>T("ROOM 105")</f>
        <v>ROOM 105</v>
      </c>
      <c r="D9528" t="str">
        <f t="shared" si="3503"/>
        <v>SAN DIEGO</v>
      </c>
      <c r="E9528" t="str">
        <f t="shared" si="3504"/>
        <v>CA</v>
      </c>
      <c r="F9528" t="str">
        <f>T("921325001")</f>
        <v>921325001</v>
      </c>
      <c r="G9528" t="str">
        <f>T("CNRSW/OFFICE OF GENERAL COUNSEL")</f>
        <v>CNRSW/OFFICE OF GENERAL COUNSEL</v>
      </c>
      <c r="H9528" t="str">
        <f>T("937 N HARBOR DRIVE SUITE 100")</f>
        <v>937 N HARBOR DRIVE SUITE 100</v>
      </c>
      <c r="I9528" t="str">
        <f t="shared" si="3508"/>
        <v>SAN DIEGO</v>
      </c>
      <c r="J9528" t="str">
        <f t="shared" si="3505"/>
        <v>CA</v>
      </c>
      <c r="K9528" t="str">
        <f>T("6195320000")</f>
        <v>6195320000</v>
      </c>
      <c r="L9528" t="str">
        <f>T("6195324248")</f>
        <v>6195324248</v>
      </c>
    </row>
    <row r="9529" spans="1:12" x14ac:dyDescent="0.35">
      <c r="A9529" t="str">
        <f t="shared" si="3506"/>
        <v>BLDG 1 NRSW</v>
      </c>
      <c r="B9529" t="str">
        <f>T("937 NORTH HARBOR DRIVE")</f>
        <v>937 NORTH HARBOR DRIVE</v>
      </c>
      <c r="C9529" t="str">
        <f>T("2ND FLOOR")</f>
        <v>2ND FLOOR</v>
      </c>
      <c r="D9529" t="str">
        <f t="shared" si="3503"/>
        <v>SAN DIEGO</v>
      </c>
      <c r="E9529" t="str">
        <f t="shared" si="3504"/>
        <v>CA</v>
      </c>
      <c r="F9529" t="str">
        <f>T("921320002")</f>
        <v>921320002</v>
      </c>
      <c r="G9529" t="str">
        <f>T("937 N HARBOR DR")</f>
        <v>937 N HARBOR DR</v>
      </c>
      <c r="H9529" t="str">
        <f>T("6TH FL RM 637")</f>
        <v>6TH FL RM 637</v>
      </c>
      <c r="I9529" t="str">
        <f t="shared" si="3508"/>
        <v>SAN DIEGO</v>
      </c>
      <c r="J9529" t="str">
        <f t="shared" si="3505"/>
        <v>CA</v>
      </c>
      <c r="K9529" t="str">
        <f>T("6195321307")</f>
        <v>6195321307</v>
      </c>
      <c r="L9529" t="str">
        <f>T("6195321047")</f>
        <v>6195321047</v>
      </c>
    </row>
    <row r="9530" spans="1:12" x14ac:dyDescent="0.35">
      <c r="A9530" t="str">
        <f t="shared" si="3506"/>
        <v>BLDG 1 NRSW</v>
      </c>
      <c r="B9530" t="str">
        <f>T("937 NORTH HARBOR DRIVE")</f>
        <v>937 NORTH HARBOR DRIVE</v>
      </c>
      <c r="C9530" t="str">
        <f>T("2ND FLOOR")</f>
        <v>2ND FLOOR</v>
      </c>
      <c r="D9530" t="str">
        <f t="shared" si="3503"/>
        <v>SAN DIEGO</v>
      </c>
      <c r="E9530" t="str">
        <f t="shared" si="3504"/>
        <v>CA</v>
      </c>
      <c r="F9530" t="str">
        <f>T("921320002")</f>
        <v>921320002</v>
      </c>
      <c r="G9530" t="str">
        <f>T("937 N HARBOR DR")</f>
        <v>937 N HARBOR DR</v>
      </c>
      <c r="H9530" t="str">
        <f>T("BLDG 1 FLR 6")</f>
        <v>BLDG 1 FLR 6</v>
      </c>
      <c r="I9530" t="str">
        <f t="shared" si="3508"/>
        <v>SAN DIEGO</v>
      </c>
      <c r="J9530" t="str">
        <f t="shared" si="3505"/>
        <v>CA</v>
      </c>
      <c r="K9530" t="str">
        <f>T("000000000000000000")</f>
        <v>000000000000000000</v>
      </c>
      <c r="L9530" t="str">
        <f>T("6195323528")</f>
        <v>6195323528</v>
      </c>
    </row>
    <row r="9531" spans="1:12" x14ac:dyDescent="0.35">
      <c r="A9531" t="str">
        <f t="shared" si="3506"/>
        <v>BLDG 1 NRSW</v>
      </c>
      <c r="B9531" t="str">
        <f>T("937 NORTH HARBOR DRIVE")</f>
        <v>937 NORTH HARBOR DRIVE</v>
      </c>
      <c r="C9531" t="str">
        <f>T("2ND FLOOR")</f>
        <v>2ND FLOOR</v>
      </c>
      <c r="D9531" t="str">
        <f t="shared" si="3503"/>
        <v>SAN DIEGO</v>
      </c>
      <c r="E9531" t="str">
        <f t="shared" si="3504"/>
        <v>CA</v>
      </c>
      <c r="F9531" t="str">
        <f>T("921320002")</f>
        <v>921320002</v>
      </c>
      <c r="G9531" t="str">
        <f>T("937 N HARBOR DRIVE")</f>
        <v>937 N HARBOR DRIVE</v>
      </c>
      <c r="H9531" t="str">
        <f>T("BLDG 1 6TH FLOOR RM 637")</f>
        <v>BLDG 1 6TH FLOOR RM 637</v>
      </c>
      <c r="I9531" t="str">
        <f t="shared" si="3508"/>
        <v>SAN DIEGO</v>
      </c>
      <c r="J9531" t="str">
        <f t="shared" si="3505"/>
        <v>CA</v>
      </c>
      <c r="K9531" t="str">
        <f>T("6195321307")</f>
        <v>6195321307</v>
      </c>
      <c r="L9531" t="str">
        <f>T("6195321047")</f>
        <v>6195321047</v>
      </c>
    </row>
    <row r="9532" spans="1:12" x14ac:dyDescent="0.35">
      <c r="A9532" t="str">
        <f t="shared" si="3506"/>
        <v>BLDG 1 NRSW</v>
      </c>
      <c r="B9532" t="str">
        <f>T("937 NORTH HARBOR DRIVE")</f>
        <v>937 NORTH HARBOR DRIVE</v>
      </c>
      <c r="C9532" t="str">
        <f>T("2ND FLOOR")</f>
        <v>2ND FLOOR</v>
      </c>
      <c r="D9532" t="str">
        <f t="shared" si="3503"/>
        <v>SAN DIEGO</v>
      </c>
      <c r="E9532" t="str">
        <f t="shared" si="3504"/>
        <v>CA</v>
      </c>
      <c r="F9532" t="str">
        <f>T("921320002")</f>
        <v>921320002</v>
      </c>
      <c r="G9532" t="str">
        <f>T("937 NORTH HARBOR DRIVE")</f>
        <v>937 NORTH HARBOR DRIVE</v>
      </c>
      <c r="H9532" t="str">
        <f>T("2ND FLOOR")</f>
        <v>2ND FLOOR</v>
      </c>
      <c r="I9532" t="str">
        <f t="shared" si="3508"/>
        <v>SAN DIEGO</v>
      </c>
      <c r="J9532" t="str">
        <f t="shared" si="3505"/>
        <v>CA</v>
      </c>
      <c r="K9532" t="str">
        <f>T("619 532 4299")</f>
        <v>619 532 4299</v>
      </c>
      <c r="L9532" t="str">
        <f>T("6195321270")</f>
        <v>6195321270</v>
      </c>
    </row>
    <row r="9533" spans="1:12" x14ac:dyDescent="0.35">
      <c r="A9533" t="str">
        <f t="shared" si="3506"/>
        <v>BLDG 1 NRSW</v>
      </c>
      <c r="B9533" t="str">
        <f>T("COMNAVREGSW")</f>
        <v>COMNAVREGSW</v>
      </c>
      <c r="C9533" t="str">
        <f>T("937 N HARBOR DR BLDG 1/ 5TH FLR")</f>
        <v>937 N HARBOR DR BLDG 1/ 5TH FLR</v>
      </c>
      <c r="D9533" t="str">
        <f t="shared" si="3503"/>
        <v>SAN DIEGO</v>
      </c>
      <c r="E9533" t="str">
        <f t="shared" si="3504"/>
        <v>CA</v>
      </c>
      <c r="F9533" t="str">
        <f>T("921325001")</f>
        <v>921325001</v>
      </c>
      <c r="G9533" t="str">
        <f>T("937 N HARBOR DRIVE")</f>
        <v>937 N HARBOR DRIVE</v>
      </c>
      <c r="H9533" t="str">
        <f>T("BLDG-1 / 5TH FLOOR")</f>
        <v>BLDG-1 / 5TH FLOOR</v>
      </c>
      <c r="I9533" t="str">
        <f t="shared" si="3508"/>
        <v>SAN DIEGO</v>
      </c>
      <c r="J9533" t="str">
        <f t="shared" si="3505"/>
        <v>CA</v>
      </c>
      <c r="K9533" t="str">
        <f>T("000000000000000000")</f>
        <v>000000000000000000</v>
      </c>
      <c r="L9533" t="str">
        <f>T("6195321107")</f>
        <v>6195321107</v>
      </c>
    </row>
    <row r="9534" spans="1:12" x14ac:dyDescent="0.35">
      <c r="A9534" t="str">
        <f t="shared" si="3506"/>
        <v>BLDG 1 NRSW</v>
      </c>
      <c r="B9534" t="str">
        <f>T("COMNAVREGSW")</f>
        <v>COMNAVREGSW</v>
      </c>
      <c r="C9534" t="str">
        <f>T("937 N HARBOR DR BLDG 1/ 5TH FLR")</f>
        <v>937 N HARBOR DR BLDG 1/ 5TH FLR</v>
      </c>
      <c r="D9534" t="str">
        <f t="shared" si="3503"/>
        <v>SAN DIEGO</v>
      </c>
      <c r="E9534" t="str">
        <f t="shared" si="3504"/>
        <v>CA</v>
      </c>
      <c r="F9534" t="str">
        <f>T("921325001")</f>
        <v>921325001</v>
      </c>
      <c r="G9534" t="str">
        <f>T("COMNAVREGSW")</f>
        <v>COMNAVREGSW</v>
      </c>
      <c r="H9534" t="str">
        <f>T("937 N HARBOR DR BLDG 1/ 5TH FLR")</f>
        <v>937 N HARBOR DR BLDG 1/ 5TH FLR</v>
      </c>
      <c r="I9534" t="str">
        <f t="shared" si="3508"/>
        <v>SAN DIEGO</v>
      </c>
      <c r="J9534" t="str">
        <f t="shared" si="3505"/>
        <v>CA</v>
      </c>
      <c r="K9534" t="str">
        <f>T("")</f>
        <v/>
      </c>
      <c r="L9534" t="str">
        <f>T("6195324823")</f>
        <v>6195324823</v>
      </c>
    </row>
    <row r="9535" spans="1:12" x14ac:dyDescent="0.35">
      <c r="A9535" t="str">
        <f t="shared" si="3506"/>
        <v>BLDG 1 NRSW</v>
      </c>
      <c r="B9535" t="str">
        <f>T("COMNAVREGSW")</f>
        <v>COMNAVREGSW</v>
      </c>
      <c r="C9535" t="str">
        <f>T("937 N HARBOR DR BLDG 1/ 5TH FLR")</f>
        <v>937 N HARBOR DR BLDG 1/ 5TH FLR</v>
      </c>
      <c r="D9535" t="str">
        <f t="shared" si="3503"/>
        <v>SAN DIEGO</v>
      </c>
      <c r="E9535" t="str">
        <f t="shared" si="3504"/>
        <v>CA</v>
      </c>
      <c r="F9535" t="str">
        <f>T("921325001")</f>
        <v>921325001</v>
      </c>
      <c r="G9535" t="str">
        <f>T("NAVY REGION SOUTHWEST CODE N8")</f>
        <v>NAVY REGION SOUTHWEST CODE N8</v>
      </c>
      <c r="H9535" t="str">
        <f>T("937 N HARBOR DR BLDG 1 5FL RM 502")</f>
        <v>937 N HARBOR DR BLDG 1 5FL RM 502</v>
      </c>
      <c r="I9535" t="str">
        <f t="shared" si="3508"/>
        <v>SAN DIEGO</v>
      </c>
      <c r="J9535" t="str">
        <f t="shared" si="3505"/>
        <v>CA</v>
      </c>
      <c r="K9535" t="str">
        <f>T("000000000000000000")</f>
        <v>000000000000000000</v>
      </c>
      <c r="L9535" t="str">
        <f>T("6195324993")</f>
        <v>6195324993</v>
      </c>
    </row>
    <row r="9536" spans="1:12" x14ac:dyDescent="0.35">
      <c r="A9536" t="str">
        <f t="shared" si="3506"/>
        <v>BLDG 1 NRSW</v>
      </c>
      <c r="B9536" t="str">
        <f>T("COMNAVREGSW")</f>
        <v>COMNAVREGSW</v>
      </c>
      <c r="C9536" t="str">
        <f>T("937 N HARBOR DR BLDG 1/ 5TH FLR")</f>
        <v>937 N HARBOR DR BLDG 1/ 5TH FLR</v>
      </c>
      <c r="D9536" t="str">
        <f t="shared" si="3503"/>
        <v>SAN DIEGO</v>
      </c>
      <c r="E9536" t="str">
        <f t="shared" si="3504"/>
        <v>CA</v>
      </c>
      <c r="F9536" t="str">
        <f>T("921325001")</f>
        <v>921325001</v>
      </c>
      <c r="G9536" t="str">
        <f>T("NAVY REGION SOUTWEST CODE N8")</f>
        <v>NAVY REGION SOUTWEST CODE N8</v>
      </c>
      <c r="H9536" t="str">
        <f>T("937 N HARBOR DR BLDG 1 5FL RM502")</f>
        <v>937 N HARBOR DR BLDG 1 5FL RM502</v>
      </c>
      <c r="I9536" t="str">
        <f t="shared" si="3508"/>
        <v>SAN DIEGO</v>
      </c>
      <c r="J9536" t="str">
        <f t="shared" si="3505"/>
        <v>CA</v>
      </c>
      <c r="K9536" t="str">
        <f>T("000000000000000000")</f>
        <v>000000000000000000</v>
      </c>
      <c r="L9536" t="str">
        <f>T("6195324993")</f>
        <v>6195324993</v>
      </c>
    </row>
    <row r="9537" spans="1:12" x14ac:dyDescent="0.35">
      <c r="A9537" t="str">
        <f t="shared" si="3506"/>
        <v>BLDG 1 NRSW</v>
      </c>
      <c r="B9537" t="str">
        <f>T("COMNAVREGSW")</f>
        <v>COMNAVREGSW</v>
      </c>
      <c r="C9537" t="str">
        <f>T("937 N HARBOR DR BLDG 1/ 5TH FLR")</f>
        <v>937 N HARBOR DR BLDG 1/ 5TH FLR</v>
      </c>
      <c r="D9537" t="str">
        <f t="shared" si="3503"/>
        <v>SAN DIEGO</v>
      </c>
      <c r="E9537" t="str">
        <f t="shared" si="3504"/>
        <v>CA</v>
      </c>
      <c r="F9537" t="str">
        <f>T("921325001")</f>
        <v>921325001</v>
      </c>
      <c r="G9537" t="str">
        <f>T("RESOURCE MGMNT OFFICE")</f>
        <v>RESOURCE MGMNT OFFICE</v>
      </c>
      <c r="H9537" t="str">
        <f>T("937 N HARBOR DR BLDG 1 / 5TH FL")</f>
        <v>937 N HARBOR DR BLDG 1 / 5TH FL</v>
      </c>
      <c r="I9537" t="str">
        <f t="shared" si="3508"/>
        <v>SAN DIEGO</v>
      </c>
      <c r="J9537" t="str">
        <f t="shared" si="3505"/>
        <v>CA</v>
      </c>
      <c r="K9537" t="str">
        <f>T("6195321184")</f>
        <v>6195321184</v>
      </c>
      <c r="L9537" t="str">
        <f>T("6195321107")</f>
        <v>6195321107</v>
      </c>
    </row>
    <row r="9538" spans="1:12" x14ac:dyDescent="0.35">
      <c r="A9538" t="str">
        <f t="shared" si="3506"/>
        <v>BLDG 1 NRSW</v>
      </c>
      <c r="B9538" t="str">
        <f>T("NAVY REGION SOUTHWEST")</f>
        <v>NAVY REGION SOUTHWEST</v>
      </c>
      <c r="C9538" t="str">
        <f>T("937 N HARBOR DR BLDG-1 2ND FL")</f>
        <v>937 N HARBOR DR BLDG-1 2ND FL</v>
      </c>
      <c r="D9538" t="str">
        <f t="shared" si="3503"/>
        <v>SAN DIEGO</v>
      </c>
      <c r="E9538" t="str">
        <f t="shared" si="3504"/>
        <v>CA</v>
      </c>
      <c r="F9538" t="str">
        <f>T("921320001")</f>
        <v>921320001</v>
      </c>
      <c r="G9538" t="str">
        <f>T("937 N HARBOR DRIVE")</f>
        <v>937 N HARBOR DRIVE</v>
      </c>
      <c r="H9538" t="str">
        <f>T("")</f>
        <v/>
      </c>
      <c r="I9538" t="str">
        <f t="shared" si="3508"/>
        <v>SAN DIEGO</v>
      </c>
      <c r="J9538" t="str">
        <f t="shared" si="3505"/>
        <v>CA</v>
      </c>
      <c r="K9538" t="str">
        <f>T("6195324986")</f>
        <v>6195324986</v>
      </c>
      <c r="L9538" t="str">
        <f>T("6195324921")</f>
        <v>6195324921</v>
      </c>
    </row>
    <row r="9539" spans="1:12" x14ac:dyDescent="0.35">
      <c r="A9539" t="str">
        <f t="shared" si="3506"/>
        <v>BLDG 1 NRSW</v>
      </c>
      <c r="B9539" t="str">
        <f>T("NAVY REGION SOUTHWEST")</f>
        <v>NAVY REGION SOUTHWEST</v>
      </c>
      <c r="C9539" t="str">
        <f>T("937 N HARBOR DR BLDG-1 2ND FL")</f>
        <v>937 N HARBOR DR BLDG-1 2ND FL</v>
      </c>
      <c r="D9539" t="str">
        <f t="shared" si="3503"/>
        <v>SAN DIEGO</v>
      </c>
      <c r="E9539" t="str">
        <f t="shared" si="3504"/>
        <v>CA</v>
      </c>
      <c r="F9539" t="str">
        <f>T("921320001")</f>
        <v>921320001</v>
      </c>
      <c r="G9539" t="str">
        <f>T("CNRSW FLAG OFFICE")</f>
        <v>CNRSW FLAG OFFICE</v>
      </c>
      <c r="H9539" t="str">
        <f>T("937 N HARBOR DRIVE")</f>
        <v>937 N HARBOR DRIVE</v>
      </c>
      <c r="I9539" t="str">
        <f t="shared" si="3508"/>
        <v>SAN DIEGO</v>
      </c>
      <c r="J9539" t="str">
        <f t="shared" si="3505"/>
        <v>CA</v>
      </c>
      <c r="K9539" t="str">
        <f>T("6195321400")</f>
        <v>6195321400</v>
      </c>
      <c r="L9539" t="str">
        <f>T("6195322925")</f>
        <v>6195322925</v>
      </c>
    </row>
    <row r="9540" spans="1:12" x14ac:dyDescent="0.35">
      <c r="A9540" t="str">
        <f t="shared" si="3506"/>
        <v>BLDG 1 NRSW</v>
      </c>
      <c r="B9540" t="str">
        <f>T("NAVY REGION SOUTHWEST")</f>
        <v>NAVY REGION SOUTHWEST</v>
      </c>
      <c r="C9540" t="str">
        <f>T("937 N HARBOR DR BLDG-1 2ND FL")</f>
        <v>937 N HARBOR DR BLDG-1 2ND FL</v>
      </c>
      <c r="D9540" t="str">
        <f t="shared" si="3503"/>
        <v>SAN DIEGO</v>
      </c>
      <c r="E9540" t="str">
        <f t="shared" ref="E9540:E9565" si="3510">T("CA")</f>
        <v>CA</v>
      </c>
      <c r="F9540" t="str">
        <f>T("921320001")</f>
        <v>921320001</v>
      </c>
      <c r="G9540" t="str">
        <f>T("NAVY REG SW CODE N 11")</f>
        <v>NAVY REG SW CODE N 11</v>
      </c>
      <c r="H9540" t="str">
        <f>T("937 N HARBOR DR")</f>
        <v>937 N HARBOR DR</v>
      </c>
      <c r="I9540" t="str">
        <f t="shared" si="3508"/>
        <v>SAN DIEGO</v>
      </c>
      <c r="J9540" t="str">
        <f t="shared" ref="J9540:J9565" si="3511">T("CA")</f>
        <v>CA</v>
      </c>
      <c r="K9540" t="str">
        <f>T("000000000000000000")</f>
        <v>000000000000000000</v>
      </c>
      <c r="L9540" t="str">
        <f>T("6195324921")</f>
        <v>6195324921</v>
      </c>
    </row>
    <row r="9541" spans="1:12" x14ac:dyDescent="0.35">
      <c r="A9541" t="str">
        <f t="shared" si="3506"/>
        <v>BLDG 1 NRSW</v>
      </c>
      <c r="B9541" t="str">
        <f>T("NAVY REGION SOUTHWEST")</f>
        <v>NAVY REGION SOUTHWEST</v>
      </c>
      <c r="C9541" t="str">
        <f>T("937 N HARBOR DR BLDG-1 2ND FL")</f>
        <v>937 N HARBOR DR BLDG-1 2ND FL</v>
      </c>
      <c r="D9541" t="str">
        <f t="shared" si="3503"/>
        <v>SAN DIEGO</v>
      </c>
      <c r="E9541" t="str">
        <f t="shared" si="3510"/>
        <v>CA</v>
      </c>
      <c r="F9541" t="str">
        <f>T("921320001")</f>
        <v>921320001</v>
      </c>
      <c r="G9541" t="str">
        <f>T("NAVY REGION SOUTHWEST")</f>
        <v>NAVY REGION SOUTHWEST</v>
      </c>
      <c r="H9541" t="str">
        <f>T("937 N HARBOR DR BLDG-1 2ND FL")</f>
        <v>937 N HARBOR DR BLDG-1 2ND FL</v>
      </c>
      <c r="I9541" t="str">
        <f t="shared" si="3508"/>
        <v>SAN DIEGO</v>
      </c>
      <c r="J9541" t="str">
        <f t="shared" si="3511"/>
        <v>CA</v>
      </c>
      <c r="K9541" t="str">
        <f>T("619 532 4986")</f>
        <v>619 532 4986</v>
      </c>
      <c r="L9541" t="str">
        <f>T("6195321270")</f>
        <v>6195321270</v>
      </c>
    </row>
    <row r="9542" spans="1:12" x14ac:dyDescent="0.35">
      <c r="A9542" t="str">
        <f t="shared" si="3506"/>
        <v>BLDG 1 NRSW</v>
      </c>
      <c r="B9542" t="str">
        <f>T("NAVY REGION SOUTHWEST")</f>
        <v>NAVY REGION SOUTHWEST</v>
      </c>
      <c r="C9542" t="str">
        <f>T("937 N HARBOR DR BLDG-1 2ND FL")</f>
        <v>937 N HARBOR DR BLDG-1 2ND FL</v>
      </c>
      <c r="D9542" t="str">
        <f t="shared" si="3503"/>
        <v>SAN DIEGO</v>
      </c>
      <c r="E9542" t="str">
        <f t="shared" si="3510"/>
        <v>CA</v>
      </c>
      <c r="F9542" t="str">
        <f>T("921320001")</f>
        <v>921320001</v>
      </c>
      <c r="G9542" t="str">
        <f>T("NRSW REGION ADMIN")</f>
        <v>NRSW REGION ADMIN</v>
      </c>
      <c r="H9542" t="str">
        <f>T("937 N HARBOR DR BLDG 1 2ND FLOOR")</f>
        <v>937 N HARBOR DR BLDG 1 2ND FLOOR</v>
      </c>
      <c r="I9542" t="str">
        <f t="shared" si="3508"/>
        <v>SAN DIEGO</v>
      </c>
      <c r="J9542" t="str">
        <f t="shared" si="3511"/>
        <v>CA</v>
      </c>
      <c r="K9542" t="str">
        <f>T("000000000000000000")</f>
        <v>000000000000000000</v>
      </c>
      <c r="L9542" t="str">
        <f>T("6192153248")</f>
        <v>6192153248</v>
      </c>
    </row>
    <row r="9543" spans="1:12" x14ac:dyDescent="0.35">
      <c r="A9543" t="str">
        <f t="shared" si="3506"/>
        <v>BLDG 1 NRSW</v>
      </c>
      <c r="B9543" t="str">
        <f>T("NAVY REGION SOUTHWEST IG")</f>
        <v>NAVY REGION SOUTHWEST IG</v>
      </c>
      <c r="C9543" t="str">
        <f>T("937 N HARBOR DRIVE BLDG1 RM M")</f>
        <v>937 N HARBOR DRIVE BLDG1 RM M</v>
      </c>
      <c r="D9543" t="str">
        <f t="shared" si="3503"/>
        <v>SAN DIEGO</v>
      </c>
      <c r="E9543" t="str">
        <f t="shared" si="3510"/>
        <v>CA</v>
      </c>
      <c r="F9543" t="str">
        <f>T("921325001")</f>
        <v>921325001</v>
      </c>
      <c r="G9543" t="str">
        <f>T("937 N HARBOR DR")</f>
        <v>937 N HARBOR DR</v>
      </c>
      <c r="H9543" t="str">
        <f>T("BLDG 1 RM M111")</f>
        <v>BLDG 1 RM M111</v>
      </c>
      <c r="I9543" t="str">
        <f t="shared" si="3508"/>
        <v>SAN DIEGO</v>
      </c>
      <c r="J9543" t="str">
        <f t="shared" si="3511"/>
        <v>CA</v>
      </c>
      <c r="K9543" t="str">
        <f>T("000000000000000000")</f>
        <v>000000000000000000</v>
      </c>
      <c r="L9543" t="str">
        <f>T("6195321646")</f>
        <v>6195321646</v>
      </c>
    </row>
    <row r="9544" spans="1:12" x14ac:dyDescent="0.35">
      <c r="A9544" t="str">
        <f t="shared" si="3506"/>
        <v>BLDG 1 NRSW</v>
      </c>
      <c r="B9544" t="str">
        <f>T("NAVY REGION SOUTHWEST IG")</f>
        <v>NAVY REGION SOUTHWEST IG</v>
      </c>
      <c r="C9544" t="str">
        <f>T("937 N HARBOR DRIVE BLDG1 RM M")</f>
        <v>937 N HARBOR DRIVE BLDG1 RM M</v>
      </c>
      <c r="D9544" t="str">
        <f t="shared" si="3503"/>
        <v>SAN DIEGO</v>
      </c>
      <c r="E9544" t="str">
        <f t="shared" si="3510"/>
        <v>CA</v>
      </c>
      <c r="F9544" t="str">
        <f>T("921325001")</f>
        <v>921325001</v>
      </c>
      <c r="G9544" t="str">
        <f>T("NAVY REGION SOUTHWEST IG")</f>
        <v>NAVY REGION SOUTHWEST IG</v>
      </c>
      <c r="H9544" t="str">
        <f>T("937 N HARBOR DRIVE BLDG1 RM M")</f>
        <v>937 N HARBOR DRIVE BLDG1 RM M</v>
      </c>
      <c r="I9544" t="str">
        <f t="shared" si="3508"/>
        <v>SAN DIEGO</v>
      </c>
      <c r="J9544" t="str">
        <f t="shared" si="3511"/>
        <v>CA</v>
      </c>
      <c r="K9544" t="str">
        <f>T("000000000000000000")</f>
        <v>000000000000000000</v>
      </c>
      <c r="L9544" t="str">
        <f>T("6195324300")</f>
        <v>6195324300</v>
      </c>
    </row>
    <row r="9545" spans="1:12" x14ac:dyDescent="0.35">
      <c r="A9545" t="str">
        <f t="shared" ref="A9545:A9556" si="3512">T("NAVAL AIR WARFARE CHINA LAKE")</f>
        <v>NAVAL AIR WARFARE CHINA LAKE</v>
      </c>
      <c r="B9545" t="str">
        <f>T("1 ADMINISTRATION CIR")</f>
        <v>1 ADMINISTRATION CIR</v>
      </c>
      <c r="C9545" t="str">
        <f>T("ROOM 1044")</f>
        <v>ROOM 1044</v>
      </c>
      <c r="D9545" t="str">
        <f t="shared" ref="D9545:D9552" si="3513">T("RIDGECREST")</f>
        <v>RIDGECREST</v>
      </c>
      <c r="E9545" t="str">
        <f t="shared" si="3510"/>
        <v>CA</v>
      </c>
      <c r="F9545" t="str">
        <f t="shared" ref="F9545:F9550" si="3514">T("935556104")</f>
        <v>935556104</v>
      </c>
      <c r="G9545" t="str">
        <f>T("1 ADMINISTRATION CIR")</f>
        <v>1 ADMINISTRATION CIR</v>
      </c>
      <c r="H9545" t="str">
        <f>T("ROOM 1044")</f>
        <v>ROOM 1044</v>
      </c>
      <c r="I9545" t="str">
        <f>T("RIDGECREST")</f>
        <v>RIDGECREST</v>
      </c>
      <c r="J9545" t="str">
        <f t="shared" si="3511"/>
        <v>CA</v>
      </c>
      <c r="K9545" t="str">
        <f>T("000000000000000000")</f>
        <v>000000000000000000</v>
      </c>
      <c r="L9545" t="str">
        <f>T("7609392098")</f>
        <v>7609392098</v>
      </c>
    </row>
    <row r="9546" spans="1:12" x14ac:dyDescent="0.35">
      <c r="A9546" t="str">
        <f t="shared" si="3512"/>
        <v>NAVAL AIR WARFARE CHINA LAKE</v>
      </c>
      <c r="B9546" t="str">
        <f>T("1 ADMINISTRATION CIR")</f>
        <v>1 ADMINISTRATION CIR</v>
      </c>
      <c r="C9546" t="str">
        <f>T("ROOM 1044")</f>
        <v>ROOM 1044</v>
      </c>
      <c r="D9546" t="str">
        <f t="shared" si="3513"/>
        <v>RIDGECREST</v>
      </c>
      <c r="E9546" t="str">
        <f t="shared" si="3510"/>
        <v>CA</v>
      </c>
      <c r="F9546" t="str">
        <f t="shared" si="3514"/>
        <v>935556104</v>
      </c>
      <c r="G9546" t="str">
        <f>T("1 ADMINISTRATION CIRCLE")</f>
        <v>1 ADMINISTRATION CIRCLE</v>
      </c>
      <c r="H9546" t="str">
        <f>T("MAIL STOP 1003")</f>
        <v>MAIL STOP 1003</v>
      </c>
      <c r="I9546" t="str">
        <f>T("CHINA LAKE")</f>
        <v>CHINA LAKE</v>
      </c>
      <c r="J9546" t="str">
        <f t="shared" si="3511"/>
        <v>CA</v>
      </c>
      <c r="K9546" t="str">
        <f>T("7609391152")</f>
        <v>7609391152</v>
      </c>
      <c r="L9546" t="str">
        <f>T("7609391553")</f>
        <v>7609391553</v>
      </c>
    </row>
    <row r="9547" spans="1:12" x14ac:dyDescent="0.35">
      <c r="A9547" t="str">
        <f t="shared" si="3512"/>
        <v>NAVAL AIR WARFARE CHINA LAKE</v>
      </c>
      <c r="B9547" t="str">
        <f>T("1 ADMINISTRATION CIR")</f>
        <v>1 ADMINISTRATION CIR</v>
      </c>
      <c r="C9547" t="str">
        <f>T("ROOM 1044")</f>
        <v>ROOM 1044</v>
      </c>
      <c r="D9547" t="str">
        <f t="shared" si="3513"/>
        <v>RIDGECREST</v>
      </c>
      <c r="E9547" t="str">
        <f t="shared" si="3510"/>
        <v>CA</v>
      </c>
      <c r="F9547" t="str">
        <f t="shared" si="3514"/>
        <v>935556104</v>
      </c>
      <c r="G9547" t="str">
        <f>T("1 ADMINISTRATION CIRCLE")</f>
        <v>1 ADMINISTRATION CIRCLE</v>
      </c>
      <c r="H9547" t="str">
        <f>T("STOP 1003")</f>
        <v>STOP 1003</v>
      </c>
      <c r="I9547" t="str">
        <f t="shared" ref="I9547:I9552" si="3515">T("RIDGECREST")</f>
        <v>RIDGECREST</v>
      </c>
      <c r="J9547" t="str">
        <f t="shared" si="3511"/>
        <v>CA</v>
      </c>
      <c r="K9547" t="str">
        <f>T("000000000000000000")</f>
        <v>000000000000000000</v>
      </c>
      <c r="L9547" t="str">
        <f>T("7609392211")</f>
        <v>7609392211</v>
      </c>
    </row>
    <row r="9548" spans="1:12" x14ac:dyDescent="0.35">
      <c r="A9548" t="str">
        <f t="shared" si="3512"/>
        <v>NAVAL AIR WARFARE CHINA LAKE</v>
      </c>
      <c r="B9548" t="str">
        <f>T("1 ADMINSTRATION CIRCLE")</f>
        <v>1 ADMINSTRATION CIRCLE</v>
      </c>
      <c r="C9548" t="str">
        <f>T("CODE N31NS AIR OPS")</f>
        <v>CODE N31NS AIR OPS</v>
      </c>
      <c r="D9548" t="str">
        <f t="shared" si="3513"/>
        <v>RIDGECREST</v>
      </c>
      <c r="E9548" t="str">
        <f t="shared" si="3510"/>
        <v>CA</v>
      </c>
      <c r="F9548" t="str">
        <f t="shared" si="3514"/>
        <v>935556104</v>
      </c>
      <c r="G9548" t="str">
        <f>T("1 ADMINISTRATION CIRCLE")</f>
        <v>1 ADMINISTRATION CIRCLE</v>
      </c>
      <c r="H9548" t="str">
        <f>T("")</f>
        <v/>
      </c>
      <c r="I9548" t="str">
        <f t="shared" si="3515"/>
        <v>RIDGECREST</v>
      </c>
      <c r="J9548" t="str">
        <f t="shared" si="3511"/>
        <v>CA</v>
      </c>
      <c r="K9548" t="str">
        <f>T("000000000000000000")</f>
        <v>000000000000000000</v>
      </c>
      <c r="L9548" t="str">
        <f>T("7609395068")</f>
        <v>7609395068</v>
      </c>
    </row>
    <row r="9549" spans="1:12" x14ac:dyDescent="0.35">
      <c r="A9549" t="str">
        <f t="shared" si="3512"/>
        <v>NAVAL AIR WARFARE CHINA LAKE</v>
      </c>
      <c r="B9549" t="str">
        <f>T("1 ADMINSTRATION CIRCLE")</f>
        <v>1 ADMINSTRATION CIRCLE</v>
      </c>
      <c r="C9549" t="str">
        <f>T("CODE N31NS AIR OPS")</f>
        <v>CODE N31NS AIR OPS</v>
      </c>
      <c r="D9549" t="str">
        <f t="shared" si="3513"/>
        <v>RIDGECREST</v>
      </c>
      <c r="E9549" t="str">
        <f t="shared" si="3510"/>
        <v>CA</v>
      </c>
      <c r="F9549" t="str">
        <f t="shared" si="3514"/>
        <v>935556104</v>
      </c>
      <c r="G9549" t="str">
        <f>T("1 ADMINISTRATION CIRCLE")</f>
        <v>1 ADMINISTRATION CIRCLE</v>
      </c>
      <c r="H9549" t="str">
        <f>T("")</f>
        <v/>
      </c>
      <c r="I9549" t="str">
        <f t="shared" si="3515"/>
        <v>RIDGECREST</v>
      </c>
      <c r="J9549" t="str">
        <f t="shared" si="3511"/>
        <v>CA</v>
      </c>
      <c r="K9549" t="str">
        <f>T("7609390320")</f>
        <v>7609390320</v>
      </c>
      <c r="L9549" t="str">
        <f>T("7609395301")</f>
        <v>7609395301</v>
      </c>
    </row>
    <row r="9550" spans="1:12" x14ac:dyDescent="0.35">
      <c r="A9550" t="str">
        <f t="shared" si="3512"/>
        <v>NAVAL AIR WARFARE CHINA LAKE</v>
      </c>
      <c r="B9550" t="str">
        <f>T("1 ADMINSTRATION CIRCLE")</f>
        <v>1 ADMINSTRATION CIRCLE</v>
      </c>
      <c r="C9550" t="str">
        <f>T("CODE N31NS AIR OPS")</f>
        <v>CODE N31NS AIR OPS</v>
      </c>
      <c r="D9550" t="str">
        <f t="shared" si="3513"/>
        <v>RIDGECREST</v>
      </c>
      <c r="E9550" t="str">
        <f t="shared" si="3510"/>
        <v>CA</v>
      </c>
      <c r="F9550" t="str">
        <f t="shared" si="3514"/>
        <v>935556104</v>
      </c>
      <c r="G9550" t="str">
        <f>T("1 ADMINSTRATION CIRCLE")</f>
        <v>1 ADMINSTRATION CIRCLE</v>
      </c>
      <c r="H9550" t="str">
        <f>T("CODE N31NS AIR OPS")</f>
        <v>CODE N31NS AIR OPS</v>
      </c>
      <c r="I9550" t="str">
        <f t="shared" si="3515"/>
        <v>RIDGECREST</v>
      </c>
      <c r="J9550" t="str">
        <f t="shared" si="3511"/>
        <v>CA</v>
      </c>
      <c r="K9550" t="str">
        <f>T("")</f>
        <v/>
      </c>
      <c r="L9550" t="str">
        <f>T("7609395550")</f>
        <v>7609395550</v>
      </c>
    </row>
    <row r="9551" spans="1:12" x14ac:dyDescent="0.35">
      <c r="A9551" t="str">
        <f t="shared" si="3512"/>
        <v>NAVAL AIR WARFARE CHINA LAKE</v>
      </c>
      <c r="B9551" t="str">
        <f>T("429 E BOWEN RD STP 4014")</f>
        <v>429 E BOWEN RD STP 4014</v>
      </c>
      <c r="C9551" t="str">
        <f>T("")</f>
        <v/>
      </c>
      <c r="D9551" t="str">
        <f t="shared" si="3513"/>
        <v>RIDGECREST</v>
      </c>
      <c r="E9551" t="str">
        <f t="shared" si="3510"/>
        <v>CA</v>
      </c>
      <c r="F9551" t="str">
        <f>T("935556108")</f>
        <v>935556108</v>
      </c>
      <c r="G9551" t="str">
        <f>T("429 E BOWEN RD")</f>
        <v>429 E BOWEN RD</v>
      </c>
      <c r="H9551" t="str">
        <f>T("STOP 4014")</f>
        <v>STOP 4014</v>
      </c>
      <c r="I9551" t="str">
        <f t="shared" si="3515"/>
        <v>RIDGECREST</v>
      </c>
      <c r="J9551" t="str">
        <f t="shared" si="3511"/>
        <v>CA</v>
      </c>
      <c r="K9551" t="str">
        <f>T("000000000000000000")</f>
        <v>000000000000000000</v>
      </c>
      <c r="L9551" t="str">
        <f>T("7609392750")</f>
        <v>7609392750</v>
      </c>
    </row>
    <row r="9552" spans="1:12" x14ac:dyDescent="0.35">
      <c r="A9552" t="str">
        <f t="shared" si="3512"/>
        <v>NAVAL AIR WARFARE CHINA LAKE</v>
      </c>
      <c r="B9552" t="str">
        <f>T("429 E BOWEN RD STP 4014")</f>
        <v>429 E BOWEN RD STP 4014</v>
      </c>
      <c r="C9552" t="str">
        <f>T("")</f>
        <v/>
      </c>
      <c r="D9552" t="str">
        <f t="shared" si="3513"/>
        <v>RIDGECREST</v>
      </c>
      <c r="E9552" t="str">
        <f t="shared" si="3510"/>
        <v>CA</v>
      </c>
      <c r="F9552" t="str">
        <f>T("935556108")</f>
        <v>935556108</v>
      </c>
      <c r="G9552" t="str">
        <f>T("429 E BOWEN RD STP 4014")</f>
        <v>429 E BOWEN RD STP 4014</v>
      </c>
      <c r="H9552" t="str">
        <f>T("")</f>
        <v/>
      </c>
      <c r="I9552" t="str">
        <f t="shared" si="3515"/>
        <v>RIDGECREST</v>
      </c>
      <c r="J9552" t="str">
        <f t="shared" si="3511"/>
        <v>CA</v>
      </c>
      <c r="K9552" t="str">
        <f>T("")</f>
        <v/>
      </c>
      <c r="L9552" t="str">
        <f>T("7609393222")</f>
        <v>7609393222</v>
      </c>
    </row>
    <row r="9553" spans="1:12" x14ac:dyDescent="0.35">
      <c r="A9553" t="str">
        <f t="shared" si="3512"/>
        <v>NAVAL AIR WARFARE CHINA LAKE</v>
      </c>
      <c r="B9553" t="str">
        <f>T("CODE N23NOW")</f>
        <v>CODE N23NOW</v>
      </c>
      <c r="C9553" t="str">
        <f>T("1 ADMINISTRATION CIR")</f>
        <v>1 ADMINISTRATION CIR</v>
      </c>
      <c r="D9553" t="str">
        <f>T("CHINA LAKE")</f>
        <v>CHINA LAKE</v>
      </c>
      <c r="E9553" t="str">
        <f t="shared" si="3510"/>
        <v>CA</v>
      </c>
      <c r="F9553" t="str">
        <f>T("935556104")</f>
        <v>935556104</v>
      </c>
      <c r="G9553" t="str">
        <f>T("CODE N23NOW")</f>
        <v>CODE N23NOW</v>
      </c>
      <c r="H9553" t="str">
        <f>T("1 ADMINISTRATION CIR")</f>
        <v>1 ADMINISTRATION CIR</v>
      </c>
      <c r="I9553" t="str">
        <f>T("CHINA LAKE")</f>
        <v>CHINA LAKE</v>
      </c>
      <c r="J9553" t="str">
        <f t="shared" si="3511"/>
        <v>CA</v>
      </c>
      <c r="K9553" t="str">
        <f>T("7609394613")</f>
        <v>7609394613</v>
      </c>
      <c r="L9553" t="str">
        <f>T("7609394830")</f>
        <v>7609394830</v>
      </c>
    </row>
    <row r="9554" spans="1:12" x14ac:dyDescent="0.35">
      <c r="A9554" t="str">
        <f t="shared" si="3512"/>
        <v>NAVAL AIR WARFARE CHINA LAKE</v>
      </c>
      <c r="B9554" t="str">
        <f>T("CODE N23NOW")</f>
        <v>CODE N23NOW</v>
      </c>
      <c r="C9554" t="str">
        <f>T("1 ADMINISTRATION CIR")</f>
        <v>1 ADMINISTRATION CIR</v>
      </c>
      <c r="D9554" t="str">
        <f>T("CHINA LAKE")</f>
        <v>CHINA LAKE</v>
      </c>
      <c r="E9554" t="str">
        <f t="shared" si="3510"/>
        <v>CA</v>
      </c>
      <c r="F9554" t="str">
        <f>T("935556104")</f>
        <v>935556104</v>
      </c>
      <c r="G9554" t="str">
        <f>T("CODE N30 BLDG 02473")</f>
        <v>CODE N30 BLDG 02473</v>
      </c>
      <c r="H9554" t="str">
        <f>T("1 ADNINISTRATION CIRCLE")</f>
        <v>1 ADNINISTRATION CIRCLE</v>
      </c>
      <c r="I9554" t="str">
        <f>T("RIDGECREST")</f>
        <v>RIDGECREST</v>
      </c>
      <c r="J9554" t="str">
        <f t="shared" si="3511"/>
        <v>CA</v>
      </c>
      <c r="K9554" t="str">
        <f>T("7609394613")</f>
        <v>7609394613</v>
      </c>
      <c r="L9554" t="str">
        <f>T("7609391473")</f>
        <v>7609391473</v>
      </c>
    </row>
    <row r="9555" spans="1:12" x14ac:dyDescent="0.35">
      <c r="A9555" t="str">
        <f t="shared" si="3512"/>
        <v>NAVAL AIR WARFARE CHINA LAKE</v>
      </c>
      <c r="B9555" t="str">
        <f>T("NAWS M/X 1233")</f>
        <v>NAWS M/X 1233</v>
      </c>
      <c r="C9555" t="str">
        <f>T("1 ADMINISTRATION CIRCLE")</f>
        <v>1 ADMINISTRATION CIRCLE</v>
      </c>
      <c r="D9555" t="str">
        <f>T("RIDGECREST")</f>
        <v>RIDGECREST</v>
      </c>
      <c r="E9555" t="str">
        <f t="shared" si="3510"/>
        <v>CA</v>
      </c>
      <c r="F9555" t="str">
        <f>T("935556104")</f>
        <v>935556104</v>
      </c>
      <c r="G9555" t="str">
        <f>T("800 E INYOKERN RD")</f>
        <v>800 E INYOKERN RD</v>
      </c>
      <c r="H9555" t="str">
        <f>T("")</f>
        <v/>
      </c>
      <c r="I9555" t="str">
        <f>T("RIDGECREST")</f>
        <v>RIDGECREST</v>
      </c>
      <c r="J9555" t="str">
        <f t="shared" si="3511"/>
        <v>CA</v>
      </c>
      <c r="K9555" t="str">
        <f>T("000000000000000000")</f>
        <v>000000000000000000</v>
      </c>
      <c r="L9555" t="str">
        <f>T("7609393154")</f>
        <v>7609393154</v>
      </c>
    </row>
    <row r="9556" spans="1:12" x14ac:dyDescent="0.35">
      <c r="A9556" t="str">
        <f t="shared" si="3512"/>
        <v>NAVAL AIR WARFARE CHINA LAKE</v>
      </c>
      <c r="B9556" t="str">
        <f>T("NAWS M/X 1233")</f>
        <v>NAWS M/X 1233</v>
      </c>
      <c r="C9556" t="str">
        <f>T("1 ADMINISTRATION CIRCLE")</f>
        <v>1 ADMINISTRATION CIRCLE</v>
      </c>
      <c r="D9556" t="str">
        <f>T("RIDGECREST")</f>
        <v>RIDGECREST</v>
      </c>
      <c r="E9556" t="str">
        <f t="shared" si="3510"/>
        <v>CA</v>
      </c>
      <c r="F9556" t="str">
        <f>T("935556104")</f>
        <v>935556104</v>
      </c>
      <c r="G9556" t="str">
        <f>T("NAWS M/X 1233")</f>
        <v>NAWS M/X 1233</v>
      </c>
      <c r="H9556" t="str">
        <f>T("1 ADMINISTRATION CIRCLE")</f>
        <v>1 ADMINISTRATION CIRCLE</v>
      </c>
      <c r="I9556" t="str">
        <f>T("RIDGECREST")</f>
        <v>RIDGECREST</v>
      </c>
      <c r="J9556" t="str">
        <f t="shared" si="3511"/>
        <v>CA</v>
      </c>
      <c r="K9556" t="str">
        <f>T("760 939 2420")</f>
        <v>760 939 2420</v>
      </c>
      <c r="L9556" t="str">
        <f>T("7609393102")</f>
        <v>7609393102</v>
      </c>
    </row>
    <row r="9557" spans="1:12" x14ac:dyDescent="0.35">
      <c r="A9557" t="str">
        <f t="shared" ref="A9557:A9565" si="3516">T("NAVAL AIR FACILITY EL CENTRO")</f>
        <v>NAVAL AIR FACILITY EL CENTRO</v>
      </c>
      <c r="B9557" t="str">
        <f>T("1605 3RD ST")</f>
        <v>1605 3RD ST</v>
      </c>
      <c r="C9557" t="str">
        <f>T("BLDG 139")</f>
        <v>BLDG 139</v>
      </c>
      <c r="D9557" t="str">
        <f t="shared" ref="D9557:D9565" si="3517">T("EL CENTRO")</f>
        <v>EL CENTRO</v>
      </c>
      <c r="E9557" t="str">
        <f t="shared" si="3510"/>
        <v>CA</v>
      </c>
      <c r="F9557" t="str">
        <f t="shared" ref="F9557:F9565" si="3518">T("922435041")</f>
        <v>922435041</v>
      </c>
      <c r="G9557" t="str">
        <f>T("1605 3RD ST")</f>
        <v>1605 3RD ST</v>
      </c>
      <c r="H9557" t="str">
        <f>T("BLDG 139")</f>
        <v>BLDG 139</v>
      </c>
      <c r="I9557" t="str">
        <f t="shared" ref="I9557:I9565" si="3519">T("EL CENTRO")</f>
        <v>EL CENTRO</v>
      </c>
      <c r="J9557" t="str">
        <f t="shared" si="3511"/>
        <v>CA</v>
      </c>
      <c r="K9557" t="str">
        <f>T("7603392900")</f>
        <v>7603392900</v>
      </c>
      <c r="L9557" t="str">
        <f>T("7603392655")</f>
        <v>7603392655</v>
      </c>
    </row>
    <row r="9558" spans="1:12" x14ac:dyDescent="0.35">
      <c r="A9558" t="str">
        <f t="shared" si="3516"/>
        <v>NAVAL AIR FACILITY EL CENTRO</v>
      </c>
      <c r="B9558" t="str">
        <f>T("1605 3RD ST")</f>
        <v>1605 3RD ST</v>
      </c>
      <c r="C9558" t="str">
        <f>T("BLDG 139")</f>
        <v>BLDG 139</v>
      </c>
      <c r="D9558" t="str">
        <f t="shared" si="3517"/>
        <v>EL CENTRO</v>
      </c>
      <c r="E9558" t="str">
        <f t="shared" si="3510"/>
        <v>CA</v>
      </c>
      <c r="F9558" t="str">
        <f t="shared" si="3518"/>
        <v>922435041</v>
      </c>
      <c r="G9558" t="str">
        <f>T("1605 3RD STREET")</f>
        <v>1605 3RD STREET</v>
      </c>
      <c r="H9558" t="str">
        <f>T("BLDG 139")</f>
        <v>BLDG 139</v>
      </c>
      <c r="I9558" t="str">
        <f t="shared" si="3519"/>
        <v>EL CENTRO</v>
      </c>
      <c r="J9558" t="str">
        <f t="shared" si="3511"/>
        <v>CA</v>
      </c>
      <c r="K9558" t="str">
        <f>T("000000000000000000")</f>
        <v>000000000000000000</v>
      </c>
      <c r="L9558" t="str">
        <f>T("7603392411")</f>
        <v>7603392411</v>
      </c>
    </row>
    <row r="9559" spans="1:12" x14ac:dyDescent="0.35">
      <c r="A9559" t="str">
        <f t="shared" si="3516"/>
        <v>NAVAL AIR FACILITY EL CENTRO</v>
      </c>
      <c r="B9559" t="str">
        <f>T("1605 3RD ST")</f>
        <v>1605 3RD ST</v>
      </c>
      <c r="C9559" t="str">
        <f>T("BLDG 504")</f>
        <v>BLDG 504</v>
      </c>
      <c r="D9559" t="str">
        <f t="shared" si="3517"/>
        <v>EL CENTRO</v>
      </c>
      <c r="E9559" t="str">
        <f t="shared" si="3510"/>
        <v>CA</v>
      </c>
      <c r="F9559" t="str">
        <f t="shared" si="3518"/>
        <v>922435041</v>
      </c>
      <c r="G9559" t="str">
        <f>T("1605 3RD ST")</f>
        <v>1605 3RD ST</v>
      </c>
      <c r="H9559" t="str">
        <f>T("BLDG 504")</f>
        <v>BLDG 504</v>
      </c>
      <c r="I9559" t="str">
        <f t="shared" si="3519"/>
        <v>EL CENTRO</v>
      </c>
      <c r="J9559" t="str">
        <f t="shared" si="3511"/>
        <v>CA</v>
      </c>
      <c r="K9559" t="str">
        <f>T("000000000000000000")</f>
        <v>000000000000000000</v>
      </c>
      <c r="L9559" t="str">
        <f>T("7603392284")</f>
        <v>7603392284</v>
      </c>
    </row>
    <row r="9560" spans="1:12" x14ac:dyDescent="0.35">
      <c r="A9560" t="str">
        <f t="shared" si="3516"/>
        <v>NAVAL AIR FACILITY EL CENTRO</v>
      </c>
      <c r="B9560" t="str">
        <f>T("1605 3RD ST")</f>
        <v>1605 3RD ST</v>
      </c>
      <c r="C9560" t="str">
        <f>T("BLDG 504")</f>
        <v>BLDG 504</v>
      </c>
      <c r="D9560" t="str">
        <f t="shared" si="3517"/>
        <v>EL CENTRO</v>
      </c>
      <c r="E9560" t="str">
        <f t="shared" si="3510"/>
        <v>CA</v>
      </c>
      <c r="F9560" t="str">
        <f t="shared" si="3518"/>
        <v>922435041</v>
      </c>
      <c r="G9560" t="str">
        <f>T("1605 3RD ST")</f>
        <v>1605 3RD ST</v>
      </c>
      <c r="H9560" t="str">
        <f>T("BLDG 504")</f>
        <v>BLDG 504</v>
      </c>
      <c r="I9560" t="str">
        <f t="shared" si="3519"/>
        <v>EL CENTRO</v>
      </c>
      <c r="J9560" t="str">
        <f t="shared" si="3511"/>
        <v>CA</v>
      </c>
      <c r="K9560" t="str">
        <f>T("7603392439")</f>
        <v>7603392439</v>
      </c>
      <c r="L9560" t="str">
        <f>T("7603392202")</f>
        <v>7603392202</v>
      </c>
    </row>
    <row r="9561" spans="1:12" x14ac:dyDescent="0.35">
      <c r="A9561" t="str">
        <f t="shared" si="3516"/>
        <v>NAVAL AIR FACILITY EL CENTRO</v>
      </c>
      <c r="B9561" t="str">
        <f>T("1605 THIRD STREET")</f>
        <v>1605 THIRD STREET</v>
      </c>
      <c r="C9561" t="str">
        <f>T("BLDG 214")</f>
        <v>BLDG 214</v>
      </c>
      <c r="D9561" t="str">
        <f t="shared" si="3517"/>
        <v>EL CENTRO</v>
      </c>
      <c r="E9561" t="str">
        <f t="shared" si="3510"/>
        <v>CA</v>
      </c>
      <c r="F9561" t="str">
        <f t="shared" si="3518"/>
        <v>922435041</v>
      </c>
      <c r="G9561" t="str">
        <f>T("1605 THIRD STREET")</f>
        <v>1605 THIRD STREET</v>
      </c>
      <c r="H9561" t="str">
        <f>T("BLDG 214")</f>
        <v>BLDG 214</v>
      </c>
      <c r="I9561" t="str">
        <f t="shared" si="3519"/>
        <v>EL CENTRO</v>
      </c>
      <c r="J9561" t="str">
        <f t="shared" si="3511"/>
        <v>CA</v>
      </c>
      <c r="K9561" t="str">
        <f>T("000000000000000000")</f>
        <v>000000000000000000</v>
      </c>
      <c r="L9561" t="str">
        <f>T("7603392695")</f>
        <v>7603392695</v>
      </c>
    </row>
    <row r="9562" spans="1:12" x14ac:dyDescent="0.35">
      <c r="A9562" t="str">
        <f t="shared" si="3516"/>
        <v>NAVAL AIR FACILITY EL CENTRO</v>
      </c>
      <c r="B9562" t="str">
        <f>T("1605 THIRD STREET")</f>
        <v>1605 THIRD STREET</v>
      </c>
      <c r="C9562" t="str">
        <f>T("BLDG 214")</f>
        <v>BLDG 214</v>
      </c>
      <c r="D9562" t="str">
        <f t="shared" si="3517"/>
        <v>EL CENTRO</v>
      </c>
      <c r="E9562" t="str">
        <f t="shared" si="3510"/>
        <v>CA</v>
      </c>
      <c r="F9562" t="str">
        <f t="shared" si="3518"/>
        <v>922435041</v>
      </c>
      <c r="G9562" t="str">
        <f>T("1605 THIRD STREET")</f>
        <v>1605 THIRD STREET</v>
      </c>
      <c r="H9562" t="str">
        <f>T("BLDG 214")</f>
        <v>BLDG 214</v>
      </c>
      <c r="I9562" t="str">
        <f t="shared" si="3519"/>
        <v>EL CENTRO</v>
      </c>
      <c r="J9562" t="str">
        <f t="shared" si="3511"/>
        <v>CA</v>
      </c>
      <c r="K9562" t="str">
        <f>T("7603392593")</f>
        <v>7603392593</v>
      </c>
      <c r="L9562" t="str">
        <f>T("7603392556")</f>
        <v>7603392556</v>
      </c>
    </row>
    <row r="9563" spans="1:12" x14ac:dyDescent="0.35">
      <c r="A9563" t="str">
        <f t="shared" si="3516"/>
        <v>NAVAL AIR FACILITY EL CENTRO</v>
      </c>
      <c r="B9563" t="str">
        <f>T("1605 THIRD STREET")</f>
        <v>1605 THIRD STREET</v>
      </c>
      <c r="C9563" t="str">
        <f>T("BLDG 565")</f>
        <v>BLDG 565</v>
      </c>
      <c r="D9563" t="str">
        <f t="shared" si="3517"/>
        <v>EL CENTRO</v>
      </c>
      <c r="E9563" t="str">
        <f t="shared" si="3510"/>
        <v>CA</v>
      </c>
      <c r="F9563" t="str">
        <f t="shared" si="3518"/>
        <v>922435041</v>
      </c>
      <c r="G9563" t="str">
        <f>T("1605 THIRD STREET")</f>
        <v>1605 THIRD STREET</v>
      </c>
      <c r="H9563" t="str">
        <f>T("BLDG 565")</f>
        <v>BLDG 565</v>
      </c>
      <c r="I9563" t="str">
        <f t="shared" si="3519"/>
        <v>EL CENTRO</v>
      </c>
      <c r="J9563" t="str">
        <f t="shared" si="3511"/>
        <v>CA</v>
      </c>
      <c r="K9563" t="str">
        <f>T("7603392587")</f>
        <v>7603392587</v>
      </c>
      <c r="L9563" t="str">
        <f>T("7603392358")</f>
        <v>7603392358</v>
      </c>
    </row>
    <row r="9564" spans="1:12" x14ac:dyDescent="0.35">
      <c r="A9564" t="str">
        <f t="shared" si="3516"/>
        <v>NAVAL AIR FACILITY EL CENTRO</v>
      </c>
      <c r="B9564" t="str">
        <f>T("1605 THIRD STREET")</f>
        <v>1605 THIRD STREET</v>
      </c>
      <c r="C9564" t="str">
        <f>T("BLDG 565")</f>
        <v>BLDG 565</v>
      </c>
      <c r="D9564" t="str">
        <f t="shared" si="3517"/>
        <v>EL CENTRO</v>
      </c>
      <c r="E9564" t="str">
        <f t="shared" si="3510"/>
        <v>CA</v>
      </c>
      <c r="F9564" t="str">
        <f t="shared" si="3518"/>
        <v>922435041</v>
      </c>
      <c r="G9564" t="str">
        <f>T("1605 THIRD STREET")</f>
        <v>1605 THIRD STREET</v>
      </c>
      <c r="H9564" t="str">
        <f>T("BLDG 565")</f>
        <v>BLDG 565</v>
      </c>
      <c r="I9564" t="str">
        <f t="shared" si="3519"/>
        <v>EL CENTRO</v>
      </c>
      <c r="J9564" t="str">
        <f t="shared" si="3511"/>
        <v>CA</v>
      </c>
      <c r="K9564" t="str">
        <f>T("7603392587")</f>
        <v>7603392587</v>
      </c>
      <c r="L9564" t="str">
        <f>T("7603392542")</f>
        <v>7603392542</v>
      </c>
    </row>
    <row r="9565" spans="1:12" x14ac:dyDescent="0.35">
      <c r="A9565" t="str">
        <f t="shared" si="3516"/>
        <v>NAVAL AIR FACILITY EL CENTRO</v>
      </c>
      <c r="B9565" t="str">
        <f>T("1605 THIRD STREET")</f>
        <v>1605 THIRD STREET</v>
      </c>
      <c r="C9565" t="str">
        <f>T("BLDG 565")</f>
        <v>BLDG 565</v>
      </c>
      <c r="D9565" t="str">
        <f t="shared" si="3517"/>
        <v>EL CENTRO</v>
      </c>
      <c r="E9565" t="str">
        <f t="shared" si="3510"/>
        <v>CA</v>
      </c>
      <c r="F9565" t="str">
        <f t="shared" si="3518"/>
        <v>922435041</v>
      </c>
      <c r="G9565" t="str">
        <f>T("NAFL OF CENTRAL")</f>
        <v>NAFL OF CENTRAL</v>
      </c>
      <c r="H9565" t="str">
        <f>T("1605 THIRD ST BUILDING 565")</f>
        <v>1605 THIRD ST BUILDING 565</v>
      </c>
      <c r="I9565" t="str">
        <f t="shared" si="3519"/>
        <v>EL CENTRO</v>
      </c>
      <c r="J9565" t="str">
        <f t="shared" si="3511"/>
        <v>CA</v>
      </c>
      <c r="K9565" t="str">
        <f>T("7603392587")</f>
        <v>7603392587</v>
      </c>
      <c r="L9565" t="str">
        <f>T("7603392525")</f>
        <v>7603392525</v>
      </c>
    </row>
    <row r="9566" spans="1:12" x14ac:dyDescent="0.35">
      <c r="A9566" t="str">
        <f t="shared" ref="A9566:A9584" si="3520">T("NAVAL AIR STATION FALLON NV")</f>
        <v>NAVAL AIR STATION FALLON NV</v>
      </c>
      <c r="B9566" t="str">
        <f t="shared" ref="B9566:B9576" si="3521">T("4755 PASTURE RD")</f>
        <v>4755 PASTURE RD</v>
      </c>
      <c r="C9566" t="str">
        <f t="shared" ref="C9566:C9571" si="3522">T("")</f>
        <v/>
      </c>
      <c r="D9566" t="str">
        <f t="shared" ref="D9566:D9578" si="3523">T("FALLON")</f>
        <v>FALLON</v>
      </c>
      <c r="E9566" t="str">
        <f t="shared" ref="E9566:E9578" si="3524">T("NV")</f>
        <v>NV</v>
      </c>
      <c r="F9566" t="str">
        <f t="shared" ref="F9566:F9578" si="3525">T("894960001")</f>
        <v>894960001</v>
      </c>
      <c r="G9566" t="str">
        <f>T("4755 PASTURE RD")</f>
        <v>4755 PASTURE RD</v>
      </c>
      <c r="H9566" t="str">
        <f>T("")</f>
        <v/>
      </c>
      <c r="I9566" t="str">
        <f t="shared" ref="I9566:I9578" si="3526">T("FALLON")</f>
        <v>FALLON</v>
      </c>
      <c r="J9566" t="str">
        <f t="shared" ref="J9566:J9578" si="3527">T("NV")</f>
        <v>NV</v>
      </c>
      <c r="K9566" t="str">
        <f>T("")</f>
        <v/>
      </c>
      <c r="L9566" t="str">
        <f>T("7754263230")</f>
        <v>7754263230</v>
      </c>
    </row>
    <row r="9567" spans="1:12" x14ac:dyDescent="0.35">
      <c r="A9567" t="str">
        <f t="shared" si="3520"/>
        <v>NAVAL AIR STATION FALLON NV</v>
      </c>
      <c r="B9567" t="str">
        <f t="shared" si="3521"/>
        <v>4755 PASTURE RD</v>
      </c>
      <c r="C9567" t="str">
        <f t="shared" si="3522"/>
        <v/>
      </c>
      <c r="D9567" t="str">
        <f t="shared" si="3523"/>
        <v>FALLON</v>
      </c>
      <c r="E9567" t="str">
        <f t="shared" si="3524"/>
        <v>NV</v>
      </c>
      <c r="F9567" t="str">
        <f t="shared" si="3525"/>
        <v>894960001</v>
      </c>
      <c r="G9567" t="str">
        <f>T("4755 PASTURE RD")</f>
        <v>4755 PASTURE RD</v>
      </c>
      <c r="H9567" t="str">
        <f>T("")</f>
        <v/>
      </c>
      <c r="I9567" t="str">
        <f t="shared" si="3526"/>
        <v>FALLON</v>
      </c>
      <c r="J9567" t="str">
        <f t="shared" si="3527"/>
        <v>NV</v>
      </c>
      <c r="K9567" t="str">
        <f>T("")</f>
        <v/>
      </c>
      <c r="L9567" t="str">
        <f>T("7754263414")</f>
        <v>7754263414</v>
      </c>
    </row>
    <row r="9568" spans="1:12" x14ac:dyDescent="0.35">
      <c r="A9568" t="str">
        <f t="shared" si="3520"/>
        <v>NAVAL AIR STATION FALLON NV</v>
      </c>
      <c r="B9568" t="str">
        <f t="shared" si="3521"/>
        <v>4755 PASTURE RD</v>
      </c>
      <c r="C9568" t="str">
        <f t="shared" si="3522"/>
        <v/>
      </c>
      <c r="D9568" t="str">
        <f t="shared" si="3523"/>
        <v>FALLON</v>
      </c>
      <c r="E9568" t="str">
        <f t="shared" si="3524"/>
        <v>NV</v>
      </c>
      <c r="F9568" t="str">
        <f t="shared" si="3525"/>
        <v>894960001</v>
      </c>
      <c r="G9568" t="str">
        <f>T("4755 PASTURE RD")</f>
        <v>4755 PASTURE RD</v>
      </c>
      <c r="H9568" t="str">
        <f>T("BLDG 18")</f>
        <v>BLDG 18</v>
      </c>
      <c r="I9568" t="str">
        <f t="shared" si="3526"/>
        <v>FALLON</v>
      </c>
      <c r="J9568" t="str">
        <f t="shared" si="3527"/>
        <v>NV</v>
      </c>
      <c r="K9568" t="str">
        <f>T("000000000000000000")</f>
        <v>000000000000000000</v>
      </c>
      <c r="L9568" t="str">
        <f>T("7754263400")</f>
        <v>7754263400</v>
      </c>
    </row>
    <row r="9569" spans="1:12" x14ac:dyDescent="0.35">
      <c r="A9569" t="str">
        <f t="shared" si="3520"/>
        <v>NAVAL AIR STATION FALLON NV</v>
      </c>
      <c r="B9569" t="str">
        <f t="shared" si="3521"/>
        <v>4755 PASTURE RD</v>
      </c>
      <c r="C9569" t="str">
        <f t="shared" si="3522"/>
        <v/>
      </c>
      <c r="D9569" t="str">
        <f t="shared" si="3523"/>
        <v>FALLON</v>
      </c>
      <c r="E9569" t="str">
        <f t="shared" si="3524"/>
        <v>NV</v>
      </c>
      <c r="F9569" t="str">
        <f t="shared" si="3525"/>
        <v>894960001</v>
      </c>
      <c r="G9569" t="str">
        <f>T("4755 PASTURE RD")</f>
        <v>4755 PASTURE RD</v>
      </c>
      <c r="H9569" t="str">
        <f>T("BLDG 307 2ND FLOOR")</f>
        <v>BLDG 307 2ND FLOOR</v>
      </c>
      <c r="I9569" t="str">
        <f t="shared" si="3526"/>
        <v>FALLON</v>
      </c>
      <c r="J9569" t="str">
        <f t="shared" si="3527"/>
        <v>NV</v>
      </c>
      <c r="K9569" t="str">
        <f>T("000000000000000000")</f>
        <v>000000000000000000</v>
      </c>
      <c r="L9569" t="str">
        <f>T("7754263185")</f>
        <v>7754263185</v>
      </c>
    </row>
    <row r="9570" spans="1:12" x14ac:dyDescent="0.35">
      <c r="A9570" t="str">
        <f t="shared" si="3520"/>
        <v>NAVAL AIR STATION FALLON NV</v>
      </c>
      <c r="B9570" t="str">
        <f t="shared" si="3521"/>
        <v>4755 PASTURE RD</v>
      </c>
      <c r="C9570" t="str">
        <f t="shared" si="3522"/>
        <v/>
      </c>
      <c r="D9570" t="str">
        <f t="shared" si="3523"/>
        <v>FALLON</v>
      </c>
      <c r="E9570" t="str">
        <f t="shared" si="3524"/>
        <v>NV</v>
      </c>
      <c r="F9570" t="str">
        <f t="shared" si="3525"/>
        <v>894960001</v>
      </c>
      <c r="G9570" t="str">
        <f>T("4755 PASTURE ROAD")</f>
        <v>4755 PASTURE ROAD</v>
      </c>
      <c r="H9570" t="str">
        <f>T("BLDG 18")</f>
        <v>BLDG 18</v>
      </c>
      <c r="I9570" t="str">
        <f t="shared" si="3526"/>
        <v>FALLON</v>
      </c>
      <c r="J9570" t="str">
        <f t="shared" si="3527"/>
        <v>NV</v>
      </c>
      <c r="K9570" t="str">
        <f>T("7754263493")</f>
        <v>7754263493</v>
      </c>
      <c r="L9570" t="str">
        <f>T("7754263400")</f>
        <v>7754263400</v>
      </c>
    </row>
    <row r="9571" spans="1:12" x14ac:dyDescent="0.35">
      <c r="A9571" t="str">
        <f t="shared" si="3520"/>
        <v>NAVAL AIR STATION FALLON NV</v>
      </c>
      <c r="B9571" t="str">
        <f t="shared" si="3521"/>
        <v>4755 PASTURE RD</v>
      </c>
      <c r="C9571" t="str">
        <f t="shared" si="3522"/>
        <v/>
      </c>
      <c r="D9571" t="str">
        <f t="shared" si="3523"/>
        <v>FALLON</v>
      </c>
      <c r="E9571" t="str">
        <f t="shared" si="3524"/>
        <v>NV</v>
      </c>
      <c r="F9571" t="str">
        <f t="shared" si="3525"/>
        <v>894960001</v>
      </c>
      <c r="G9571" t="str">
        <f>T("NAS FALLON FEDERAL FIRE")</f>
        <v>NAS FALLON FEDERAL FIRE</v>
      </c>
      <c r="H9571" t="str">
        <f>T("4755 PASTURE ROAD BLDG 18")</f>
        <v>4755 PASTURE ROAD BLDG 18</v>
      </c>
      <c r="I9571" t="str">
        <f t="shared" si="3526"/>
        <v>FALLON</v>
      </c>
      <c r="J9571" t="str">
        <f t="shared" si="3527"/>
        <v>NV</v>
      </c>
      <c r="K9571" t="str">
        <f>T("000000000000000000")</f>
        <v>000000000000000000</v>
      </c>
      <c r="L9571" t="str">
        <f>T("7754263414")</f>
        <v>7754263414</v>
      </c>
    </row>
    <row r="9572" spans="1:12" x14ac:dyDescent="0.35">
      <c r="A9572" t="str">
        <f t="shared" si="3520"/>
        <v>NAVAL AIR STATION FALLON NV</v>
      </c>
      <c r="B9572" t="str">
        <f t="shared" si="3521"/>
        <v>4755 PASTURE RD</v>
      </c>
      <c r="C9572" t="str">
        <f>T("BLDG 307 3RD DECK")</f>
        <v>BLDG 307 3RD DECK</v>
      </c>
      <c r="D9572" t="str">
        <f t="shared" si="3523"/>
        <v>FALLON</v>
      </c>
      <c r="E9572" t="str">
        <f t="shared" si="3524"/>
        <v>NV</v>
      </c>
      <c r="F9572" t="str">
        <f t="shared" si="3525"/>
        <v>894960001</v>
      </c>
      <c r="G9572" t="str">
        <f>T("4755 PASTURE RD")</f>
        <v>4755 PASTURE RD</v>
      </c>
      <c r="H9572" t="str">
        <f>T("BLDG 307 3RD DECK")</f>
        <v>BLDG 307 3RD DECK</v>
      </c>
      <c r="I9572" t="str">
        <f t="shared" si="3526"/>
        <v>FALLON</v>
      </c>
      <c r="J9572" t="str">
        <f t="shared" si="3527"/>
        <v>NV</v>
      </c>
      <c r="K9572" t="str">
        <f>T("7754262663")</f>
        <v>7754262663</v>
      </c>
      <c r="L9572" t="str">
        <f>T("7754262244")</f>
        <v>7754262244</v>
      </c>
    </row>
    <row r="9573" spans="1:12" x14ac:dyDescent="0.35">
      <c r="A9573" t="str">
        <f t="shared" si="3520"/>
        <v>NAVAL AIR STATION FALLON NV</v>
      </c>
      <c r="B9573" t="str">
        <f t="shared" si="3521"/>
        <v>4755 PASTURE RD</v>
      </c>
      <c r="C9573" t="str">
        <f>T("BLDG 307 3RD DECK")</f>
        <v>BLDG 307 3RD DECK</v>
      </c>
      <c r="D9573" t="str">
        <f t="shared" si="3523"/>
        <v>FALLON</v>
      </c>
      <c r="E9573" t="str">
        <f t="shared" si="3524"/>
        <v>NV</v>
      </c>
      <c r="F9573" t="str">
        <f t="shared" si="3525"/>
        <v>894960001</v>
      </c>
      <c r="G9573" t="str">
        <f>T("4755 PASTURE ROAD")</f>
        <v>4755 PASTURE ROAD</v>
      </c>
      <c r="H9573" t="str">
        <f>T("BLDG 307 3RD FLOOR")</f>
        <v>BLDG 307 3RD FLOOR</v>
      </c>
      <c r="I9573" t="str">
        <f t="shared" si="3526"/>
        <v>FALLON</v>
      </c>
      <c r="J9573" t="str">
        <f t="shared" si="3527"/>
        <v>NV</v>
      </c>
      <c r="K9573" t="str">
        <f>T("7754262663")</f>
        <v>7754262663</v>
      </c>
      <c r="L9573" t="str">
        <f>T("7754262243")</f>
        <v>7754262243</v>
      </c>
    </row>
    <row r="9574" spans="1:12" x14ac:dyDescent="0.35">
      <c r="A9574" t="str">
        <f t="shared" si="3520"/>
        <v>NAVAL AIR STATION FALLON NV</v>
      </c>
      <c r="B9574" t="str">
        <f t="shared" si="3521"/>
        <v>4755 PASTURE RD</v>
      </c>
      <c r="C9574" t="str">
        <f>T("BLDG 427")</f>
        <v>BLDG 427</v>
      </c>
      <c r="D9574" t="str">
        <f t="shared" si="3523"/>
        <v>FALLON</v>
      </c>
      <c r="E9574" t="str">
        <f t="shared" si="3524"/>
        <v>NV</v>
      </c>
      <c r="F9574" t="str">
        <f t="shared" si="3525"/>
        <v>894960001</v>
      </c>
      <c r="G9574" t="str">
        <f>T("4755 PASTURE RD")</f>
        <v>4755 PASTURE RD</v>
      </c>
      <c r="H9574" t="str">
        <f>T("BLDG 427")</f>
        <v>BLDG 427</v>
      </c>
      <c r="I9574" t="str">
        <f t="shared" si="3526"/>
        <v>FALLON</v>
      </c>
      <c r="J9574" t="str">
        <f t="shared" si="3527"/>
        <v>NV</v>
      </c>
      <c r="K9574" t="str">
        <f>T("7754262802")</f>
        <v>7754262802</v>
      </c>
      <c r="L9574" t="str">
        <f>T("7754262430")</f>
        <v>7754262430</v>
      </c>
    </row>
    <row r="9575" spans="1:12" x14ac:dyDescent="0.35">
      <c r="A9575" t="str">
        <f t="shared" si="3520"/>
        <v>NAVAL AIR STATION FALLON NV</v>
      </c>
      <c r="B9575" t="str">
        <f t="shared" si="3521"/>
        <v>4755 PASTURE RD</v>
      </c>
      <c r="C9575" t="str">
        <f>T("BLDG 427")</f>
        <v>BLDG 427</v>
      </c>
      <c r="D9575" t="str">
        <f t="shared" si="3523"/>
        <v>FALLON</v>
      </c>
      <c r="E9575" t="str">
        <f t="shared" si="3524"/>
        <v>NV</v>
      </c>
      <c r="F9575" t="str">
        <f t="shared" si="3525"/>
        <v>894960001</v>
      </c>
      <c r="G9575" t="str">
        <f>T("4755 PASTURE ROAD")</f>
        <v>4755 PASTURE ROAD</v>
      </c>
      <c r="H9575" t="str">
        <f>T("BLDG 427")</f>
        <v>BLDG 427</v>
      </c>
      <c r="I9575" t="str">
        <f t="shared" si="3526"/>
        <v>FALLON</v>
      </c>
      <c r="J9575" t="str">
        <f t="shared" si="3527"/>
        <v>NV</v>
      </c>
      <c r="K9575" t="str">
        <f>T("7754262802")</f>
        <v>7754262802</v>
      </c>
      <c r="L9575" t="str">
        <f>T("7754262643")</f>
        <v>7754262643</v>
      </c>
    </row>
    <row r="9576" spans="1:12" x14ac:dyDescent="0.35">
      <c r="A9576" t="str">
        <f t="shared" si="3520"/>
        <v>NAVAL AIR STATION FALLON NV</v>
      </c>
      <c r="B9576" t="str">
        <f t="shared" si="3521"/>
        <v>4755 PASTURE RD</v>
      </c>
      <c r="C9576" t="str">
        <f>T("BLDG 427")</f>
        <v>BLDG 427</v>
      </c>
      <c r="D9576" t="str">
        <f t="shared" si="3523"/>
        <v>FALLON</v>
      </c>
      <c r="E9576" t="str">
        <f t="shared" si="3524"/>
        <v>NV</v>
      </c>
      <c r="F9576" t="str">
        <f t="shared" si="3525"/>
        <v>894960001</v>
      </c>
      <c r="G9576" t="str">
        <f>T("NAS FALLON SECURITY DEPT")</f>
        <v>NAS FALLON SECURITY DEPT</v>
      </c>
      <c r="H9576" t="str">
        <f>T("4755 PASTURE RD BLDG 427")</f>
        <v>4755 PASTURE RD BLDG 427</v>
      </c>
      <c r="I9576" t="str">
        <f t="shared" si="3526"/>
        <v>FALLON</v>
      </c>
      <c r="J9576" t="str">
        <f t="shared" si="3527"/>
        <v>NV</v>
      </c>
      <c r="K9576" t="str">
        <f>T("7754262802")</f>
        <v>7754262802</v>
      </c>
      <c r="L9576" t="str">
        <f>T("7754262643")</f>
        <v>7754262643</v>
      </c>
    </row>
    <row r="9577" spans="1:12" x14ac:dyDescent="0.35">
      <c r="A9577" t="str">
        <f t="shared" si="3520"/>
        <v>NAVAL AIR STATION FALLON NV</v>
      </c>
      <c r="B9577" t="str">
        <f>T("4755 PASTURE RD BLDG 350")</f>
        <v>4755 PASTURE RD BLDG 350</v>
      </c>
      <c r="C9577" t="str">
        <f>T("")</f>
        <v/>
      </c>
      <c r="D9577" t="str">
        <f t="shared" si="3523"/>
        <v>FALLON</v>
      </c>
      <c r="E9577" t="str">
        <f t="shared" si="3524"/>
        <v>NV</v>
      </c>
      <c r="F9577" t="str">
        <f t="shared" si="3525"/>
        <v>894960001</v>
      </c>
      <c r="G9577" t="str">
        <f>T("4755 PASTURE RD BLDG 350")</f>
        <v>4755 PASTURE RD BLDG 350</v>
      </c>
      <c r="H9577" t="str">
        <f>T("")</f>
        <v/>
      </c>
      <c r="I9577" t="str">
        <f t="shared" si="3526"/>
        <v>FALLON</v>
      </c>
      <c r="J9577" t="str">
        <f t="shared" si="3527"/>
        <v>NV</v>
      </c>
      <c r="K9577" t="str">
        <f>T("")</f>
        <v/>
      </c>
      <c r="L9577" t="str">
        <f>T("7754262703")</f>
        <v>7754262703</v>
      </c>
    </row>
    <row r="9578" spans="1:12" x14ac:dyDescent="0.35">
      <c r="A9578" t="str">
        <f t="shared" si="3520"/>
        <v>NAVAL AIR STATION FALLON NV</v>
      </c>
      <c r="B9578" t="str">
        <f>T("4755 PASTURE RD BLDG 350")</f>
        <v>4755 PASTURE RD BLDG 350</v>
      </c>
      <c r="C9578" t="str">
        <f>T("")</f>
        <v/>
      </c>
      <c r="D9578" t="str">
        <f t="shared" si="3523"/>
        <v>FALLON</v>
      </c>
      <c r="E9578" t="str">
        <f t="shared" si="3524"/>
        <v>NV</v>
      </c>
      <c r="F9578" t="str">
        <f t="shared" si="3525"/>
        <v>894960001</v>
      </c>
      <c r="G9578" t="str">
        <f>T("4790 PASTURE ROAD")</f>
        <v>4790 PASTURE ROAD</v>
      </c>
      <c r="H9578" t="str">
        <f>T("")</f>
        <v/>
      </c>
      <c r="I9578" t="str">
        <f t="shared" si="3526"/>
        <v>FALLON</v>
      </c>
      <c r="J9578" t="str">
        <f t="shared" si="3527"/>
        <v>NV</v>
      </c>
      <c r="K9578" t="str">
        <f>T("7754262950")</f>
        <v>7754262950</v>
      </c>
      <c r="L9578" t="str">
        <f>T("7754262525")</f>
        <v>7754262525</v>
      </c>
    </row>
    <row r="9579" spans="1:12" x14ac:dyDescent="0.35">
      <c r="A9579" t="str">
        <f t="shared" si="3520"/>
        <v>NAVAL AIR STATION FALLON NV</v>
      </c>
      <c r="B9579" t="str">
        <f>T("BLDG 318-2 SAUFLEY RD")</f>
        <v>BLDG 318-2 SAUFLEY RD</v>
      </c>
      <c r="C9579" t="str">
        <f>T("PO BOX 357036")</f>
        <v>PO BOX 357036</v>
      </c>
      <c r="D9579" t="str">
        <f>T("SAN DIEGO")</f>
        <v>SAN DIEGO</v>
      </c>
      <c r="E9579" t="str">
        <f>T("CA")</f>
        <v>CA</v>
      </c>
      <c r="F9579" t="str">
        <f>T("921357036")</f>
        <v>921357036</v>
      </c>
      <c r="G9579" t="str">
        <f>T("BLDG 318-2 SAUFLEY RD")</f>
        <v>BLDG 318-2 SAUFLEY RD</v>
      </c>
      <c r="H9579" t="str">
        <f>T("PO BOX 357036")</f>
        <v>PO BOX 357036</v>
      </c>
      <c r="I9579" t="str">
        <f>T("SAN DIEGO")</f>
        <v>SAN DIEGO</v>
      </c>
      <c r="J9579" t="str">
        <f>T("CA")</f>
        <v>CA</v>
      </c>
      <c r="K9579" t="str">
        <f>T("")</f>
        <v/>
      </c>
      <c r="L9579" t="str">
        <f>T("6195459031")</f>
        <v>6195459031</v>
      </c>
    </row>
    <row r="9580" spans="1:12" x14ac:dyDescent="0.35">
      <c r="A9580" t="str">
        <f t="shared" si="3520"/>
        <v>NAVAL AIR STATION FALLON NV</v>
      </c>
      <c r="B9580" t="str">
        <f>T("BLDG 318-2 SAUFLEY RD")</f>
        <v>BLDG 318-2 SAUFLEY RD</v>
      </c>
      <c r="C9580" t="str">
        <f>T("PO BOX 357036")</f>
        <v>PO BOX 357036</v>
      </c>
      <c r="D9580" t="str">
        <f>T("SAN DIEGO")</f>
        <v>SAN DIEGO</v>
      </c>
      <c r="E9580" t="str">
        <f>T("CA")</f>
        <v>CA</v>
      </c>
      <c r="F9580" t="str">
        <f>T("921357036")</f>
        <v>921357036</v>
      </c>
      <c r="G9580" t="str">
        <f>T("NAS FALLON/ N6")</f>
        <v>NAS FALLON/ N6</v>
      </c>
      <c r="H9580" t="str">
        <f>T("4755 PASTURE RD BLDG 304")</f>
        <v>4755 PASTURE RD BLDG 304</v>
      </c>
      <c r="I9580" t="str">
        <f>T("FALLON")</f>
        <v>FALLON</v>
      </c>
      <c r="J9580" t="str">
        <f>T("NV")</f>
        <v>NV</v>
      </c>
      <c r="K9580" t="str">
        <f>T("000000000000000000")</f>
        <v>000000000000000000</v>
      </c>
      <c r="L9580" t="str">
        <f>T("7754262454")</f>
        <v>7754262454</v>
      </c>
    </row>
    <row r="9581" spans="1:12" x14ac:dyDescent="0.35">
      <c r="A9581" t="str">
        <f t="shared" si="3520"/>
        <v>NAVAL AIR STATION FALLON NV</v>
      </c>
      <c r="B9581" t="str">
        <f>T("BLDG 318-2 SAUFLEY RD")</f>
        <v>BLDG 318-2 SAUFLEY RD</v>
      </c>
      <c r="C9581" t="str">
        <f>T("PO BOX 357036")</f>
        <v>PO BOX 357036</v>
      </c>
      <c r="D9581" t="str">
        <f>T("SAN DIEGO")</f>
        <v>SAN DIEGO</v>
      </c>
      <c r="E9581" t="str">
        <f>T("CA")</f>
        <v>CA</v>
      </c>
      <c r="F9581" t="str">
        <f>T("921357036")</f>
        <v>921357036</v>
      </c>
      <c r="G9581" t="str">
        <f>T("NAVAL AIR STATION FALLON")</f>
        <v>NAVAL AIR STATION FALLON</v>
      </c>
      <c r="H9581" t="str">
        <f>T("4755 PASTURE RD BLDG 304 2ND FL")</f>
        <v>4755 PASTURE RD BLDG 304 2ND FL</v>
      </c>
      <c r="I9581" t="str">
        <f>T("FALLON")</f>
        <v>FALLON</v>
      </c>
      <c r="J9581" t="str">
        <f>T("NV")</f>
        <v>NV</v>
      </c>
      <c r="K9581" t="str">
        <f>T("000000000000000000")</f>
        <v>000000000000000000</v>
      </c>
      <c r="L9581" t="str">
        <f>T("7754263288")</f>
        <v>7754263288</v>
      </c>
    </row>
    <row r="9582" spans="1:12" x14ac:dyDescent="0.35">
      <c r="A9582" t="str">
        <f t="shared" si="3520"/>
        <v>NAVAL AIR STATION FALLON NV</v>
      </c>
      <c r="B9582" t="str">
        <f>T("NRSW / NAS FALLON AIR OPS")</f>
        <v>NRSW / NAS FALLON AIR OPS</v>
      </c>
      <c r="C9582" t="str">
        <f>T("4755 PASTURE ROAD BLDG 466")</f>
        <v>4755 PASTURE ROAD BLDG 466</v>
      </c>
      <c r="D9582" t="str">
        <f>T("FALLON")</f>
        <v>FALLON</v>
      </c>
      <c r="E9582" t="str">
        <f>T("NV")</f>
        <v>NV</v>
      </c>
      <c r="F9582" t="str">
        <f>T("894960000")</f>
        <v>894960000</v>
      </c>
      <c r="G9582" t="str">
        <f>T("4755 PASTURE RD")</f>
        <v>4755 PASTURE RD</v>
      </c>
      <c r="H9582" t="str">
        <f>T("BLDG 466")</f>
        <v>BLDG 466</v>
      </c>
      <c r="I9582" t="str">
        <f>T("FALLON")</f>
        <v>FALLON</v>
      </c>
      <c r="J9582" t="str">
        <f>T("NV")</f>
        <v>NV</v>
      </c>
      <c r="K9582" t="str">
        <f>T("000000000000000000")</f>
        <v>000000000000000000</v>
      </c>
      <c r="L9582" t="str">
        <f>T("7754262411")</f>
        <v>7754262411</v>
      </c>
    </row>
    <row r="9583" spans="1:12" x14ac:dyDescent="0.35">
      <c r="A9583" t="str">
        <f t="shared" si="3520"/>
        <v>NAVAL AIR STATION FALLON NV</v>
      </c>
      <c r="B9583" t="str">
        <f>T("NRSW / NAS FALLON AIR OPS")</f>
        <v>NRSW / NAS FALLON AIR OPS</v>
      </c>
      <c r="C9583" t="str">
        <f>T("4755 PASTURE ROAD BLDG 466")</f>
        <v>4755 PASTURE ROAD BLDG 466</v>
      </c>
      <c r="D9583" t="str">
        <f>T("FALLON")</f>
        <v>FALLON</v>
      </c>
      <c r="E9583" t="str">
        <f>T("NV")</f>
        <v>NV</v>
      </c>
      <c r="F9583" t="str">
        <f>T("894960000")</f>
        <v>894960000</v>
      </c>
      <c r="G9583" t="str">
        <f>T("NAS FALLON AIR OPERATIONS")</f>
        <v>NAS FALLON AIR OPERATIONS</v>
      </c>
      <c r="H9583" t="str">
        <f>T("4755 PASTURE RD BLDG 466")</f>
        <v>4755 PASTURE RD BLDG 466</v>
      </c>
      <c r="I9583" t="str">
        <f>T("FALLON")</f>
        <v>FALLON</v>
      </c>
      <c r="J9583" t="str">
        <f>T("NV")</f>
        <v>NV</v>
      </c>
      <c r="K9583" t="str">
        <f>T("7754262336")</f>
        <v>7754262336</v>
      </c>
      <c r="L9583" t="str">
        <f>T("7754262426")</f>
        <v>7754262426</v>
      </c>
    </row>
    <row r="9584" spans="1:12" x14ac:dyDescent="0.35">
      <c r="A9584" t="str">
        <f t="shared" si="3520"/>
        <v>NAVAL AIR STATION FALLON NV</v>
      </c>
      <c r="B9584" t="str">
        <f>T("NRSW / NAS FALLON AIR OPS")</f>
        <v>NRSW / NAS FALLON AIR OPS</v>
      </c>
      <c r="C9584" t="str">
        <f>T("4755 PASTURE ROAD BLDG 466")</f>
        <v>4755 PASTURE ROAD BLDG 466</v>
      </c>
      <c r="D9584" t="str">
        <f>T("FALLON")</f>
        <v>FALLON</v>
      </c>
      <c r="E9584" t="str">
        <f>T("NV")</f>
        <v>NV</v>
      </c>
      <c r="F9584" t="str">
        <f>T("894960000")</f>
        <v>894960000</v>
      </c>
      <c r="G9584" t="str">
        <f>T("NRSW / NAS FALLON AIR OPS")</f>
        <v>NRSW / NAS FALLON AIR OPS</v>
      </c>
      <c r="H9584" t="str">
        <f>T("4755 PASTURE ROAD BLDG 466")</f>
        <v>4755 PASTURE ROAD BLDG 466</v>
      </c>
      <c r="I9584" t="str">
        <f>T("FALLON")</f>
        <v>FALLON</v>
      </c>
      <c r="J9584" t="str">
        <f>T("NV")</f>
        <v>NV</v>
      </c>
      <c r="K9584" t="str">
        <f>T("")</f>
        <v/>
      </c>
      <c r="L9584" t="str">
        <f>T("7754262417")</f>
        <v>7754262417</v>
      </c>
    </row>
    <row r="9585" spans="1:12" x14ac:dyDescent="0.35">
      <c r="A9585" t="str">
        <f t="shared" ref="A9585:A9591" si="3528">T("NAVAL SUPPORT ACTY MONTEREY")</f>
        <v>NAVAL SUPPORT ACTY MONTEREY</v>
      </c>
      <c r="B9585" t="str">
        <f>T("NAVFAC SW/PWD NSA MONTEREY")</f>
        <v>NAVFAC SW/PWD NSA MONTEREY</v>
      </c>
      <c r="C9585" t="str">
        <f>T("511 GARDNERS ROAD BLDG 426")</f>
        <v>511 GARDNERS ROAD BLDG 426</v>
      </c>
      <c r="D9585" t="str">
        <f t="shared" ref="D9585:D9591" si="3529">T("MONTEREY")</f>
        <v>MONTEREY</v>
      </c>
      <c r="E9585" t="str">
        <f t="shared" ref="E9585:E9616" si="3530">T("CA")</f>
        <v>CA</v>
      </c>
      <c r="F9585" t="str">
        <f>T("939435394")</f>
        <v>939435394</v>
      </c>
      <c r="G9585" t="str">
        <f>T("NAVFAC SW/PWD NSA MONTEREY")</f>
        <v>NAVFAC SW/PWD NSA MONTEREY</v>
      </c>
      <c r="H9585" t="str">
        <f>T("511 GARDNERS ROAD BLDG 426")</f>
        <v>511 GARDNERS ROAD BLDG 426</v>
      </c>
      <c r="I9585" t="str">
        <f t="shared" ref="I9585:I9591" si="3531">T("MONTEREY")</f>
        <v>MONTEREY</v>
      </c>
      <c r="J9585" t="str">
        <f t="shared" ref="J9585:J9616" si="3532">T("CA")</f>
        <v>CA</v>
      </c>
      <c r="K9585" t="str">
        <f>T("")</f>
        <v/>
      </c>
      <c r="L9585" t="str">
        <f>T("8316566278")</f>
        <v>8316566278</v>
      </c>
    </row>
    <row r="9586" spans="1:12" x14ac:dyDescent="0.35">
      <c r="A9586" t="str">
        <f t="shared" si="3528"/>
        <v>NAVAL SUPPORT ACTY MONTEREY</v>
      </c>
      <c r="B9586" t="str">
        <f>T("NAVFAC SW/PWD NSA MONTEREY")</f>
        <v>NAVFAC SW/PWD NSA MONTEREY</v>
      </c>
      <c r="C9586" t="str">
        <f>T("511 GARDNERS ROAD BLDG 426")</f>
        <v>511 GARDNERS ROAD BLDG 426</v>
      </c>
      <c r="D9586" t="str">
        <f t="shared" si="3529"/>
        <v>MONTEREY</v>
      </c>
      <c r="E9586" t="str">
        <f t="shared" si="3530"/>
        <v>CA</v>
      </c>
      <c r="F9586" t="str">
        <f>T("939435394")</f>
        <v>939435394</v>
      </c>
      <c r="G9586" t="str">
        <f>T("NSA MONTEREY NAVFAC")</f>
        <v>NSA MONTEREY NAVFAC</v>
      </c>
      <c r="H9586" t="str">
        <f>T("511 GARDNERS RD BLDG 427")</f>
        <v>511 GARDNERS RD BLDG 427</v>
      </c>
      <c r="I9586" t="str">
        <f t="shared" si="3531"/>
        <v>MONTEREY</v>
      </c>
      <c r="J9586" t="str">
        <f t="shared" si="3532"/>
        <v>CA</v>
      </c>
      <c r="K9586" t="str">
        <f>T("8316563399")</f>
        <v>8316563399</v>
      </c>
      <c r="L9586" t="str">
        <f>T("8316567992")</f>
        <v>8316567992</v>
      </c>
    </row>
    <row r="9587" spans="1:12" x14ac:dyDescent="0.35">
      <c r="A9587" t="str">
        <f t="shared" si="3528"/>
        <v>NAVAL SUPPORT ACTY MONTEREY</v>
      </c>
      <c r="B9587" t="str">
        <f>T("NSA MONTEREY")</f>
        <v>NSA MONTEREY</v>
      </c>
      <c r="C9587" t="str">
        <f>T("271 STONE ROAD")</f>
        <v>271 STONE ROAD</v>
      </c>
      <c r="D9587" t="str">
        <f t="shared" si="3529"/>
        <v>MONTEREY</v>
      </c>
      <c r="E9587" t="str">
        <f t="shared" si="3530"/>
        <v>CA</v>
      </c>
      <c r="F9587" t="str">
        <f>T("939435189")</f>
        <v>939435189</v>
      </c>
      <c r="G9587" t="str">
        <f>T("NAVAL SUPPORT ACTIVITY MONTEREY")</f>
        <v>NAVAL SUPPORT ACTIVITY MONTEREY</v>
      </c>
      <c r="H9587" t="str">
        <f>T("271 STONE RD BLDG 271")</f>
        <v>271 STONE RD BLDG 271</v>
      </c>
      <c r="I9587" t="str">
        <f t="shared" si="3531"/>
        <v>MONTEREY</v>
      </c>
      <c r="J9587" t="str">
        <f t="shared" si="3532"/>
        <v>CA</v>
      </c>
      <c r="K9587" t="str">
        <f>T("000000000000000000")</f>
        <v>000000000000000000</v>
      </c>
      <c r="L9587" t="str">
        <f>T("8316563895")</f>
        <v>8316563895</v>
      </c>
    </row>
    <row r="9588" spans="1:12" x14ac:dyDescent="0.35">
      <c r="A9588" t="str">
        <f t="shared" si="3528"/>
        <v>NAVAL SUPPORT ACTY MONTEREY</v>
      </c>
      <c r="B9588" t="str">
        <f>T("NSA MONTEREY")</f>
        <v>NSA MONTEREY</v>
      </c>
      <c r="C9588" t="str">
        <f>T("271 STONE ROAD")</f>
        <v>271 STONE ROAD</v>
      </c>
      <c r="D9588" t="str">
        <f t="shared" si="3529"/>
        <v>MONTEREY</v>
      </c>
      <c r="E9588" t="str">
        <f t="shared" si="3530"/>
        <v>CA</v>
      </c>
      <c r="F9588" t="str">
        <f>T("939435189")</f>
        <v>939435189</v>
      </c>
      <c r="G9588" t="str">
        <f>T("NSA MONTEREY")</f>
        <v>NSA MONTEREY</v>
      </c>
      <c r="H9588" t="str">
        <f>T("271 STONE ROAD")</f>
        <v>271 STONE ROAD</v>
      </c>
      <c r="I9588" t="str">
        <f t="shared" si="3531"/>
        <v>MONTEREY</v>
      </c>
      <c r="J9588" t="str">
        <f t="shared" si="3532"/>
        <v>CA</v>
      </c>
      <c r="K9588" t="str">
        <f>T("")</f>
        <v/>
      </c>
      <c r="L9588" t="str">
        <f>T("8316563098")</f>
        <v>8316563098</v>
      </c>
    </row>
    <row r="9589" spans="1:12" x14ac:dyDescent="0.35">
      <c r="A9589" t="str">
        <f t="shared" si="3528"/>
        <v>NAVAL SUPPORT ACTY MONTEREY</v>
      </c>
      <c r="B9589" t="str">
        <f>T("NSA MONTEREY")</f>
        <v>NSA MONTEREY</v>
      </c>
      <c r="C9589" t="str">
        <f>T("271 STONE ROAD")</f>
        <v>271 STONE ROAD</v>
      </c>
      <c r="D9589" t="str">
        <f t="shared" si="3529"/>
        <v>MONTEREY</v>
      </c>
      <c r="E9589" t="str">
        <f t="shared" si="3530"/>
        <v>CA</v>
      </c>
      <c r="F9589" t="str">
        <f>T("939435189")</f>
        <v>939435189</v>
      </c>
      <c r="G9589" t="str">
        <f>T("NSA MONTEREY")</f>
        <v>NSA MONTEREY</v>
      </c>
      <c r="H9589" t="str">
        <f>T("271 STONE ROAD")</f>
        <v>271 STONE ROAD</v>
      </c>
      <c r="I9589" t="str">
        <f t="shared" si="3531"/>
        <v>MONTEREY</v>
      </c>
      <c r="J9589" t="str">
        <f t="shared" si="3532"/>
        <v>CA</v>
      </c>
      <c r="K9589" t="str">
        <f>T("000000000000000000")</f>
        <v>000000000000000000</v>
      </c>
      <c r="L9589" t="str">
        <f>T("8316562279")</f>
        <v>8316562279</v>
      </c>
    </row>
    <row r="9590" spans="1:12" x14ac:dyDescent="0.35">
      <c r="A9590" t="str">
        <f t="shared" si="3528"/>
        <v>NAVAL SUPPORT ACTY MONTEREY</v>
      </c>
      <c r="B9590" t="str">
        <f>T("NSA MONTEREY")</f>
        <v>NSA MONTEREY</v>
      </c>
      <c r="C9590" t="str">
        <f>T("511 GARDNERS ROAD")</f>
        <v>511 GARDNERS ROAD</v>
      </c>
      <c r="D9590" t="str">
        <f t="shared" si="3529"/>
        <v>MONTEREY</v>
      </c>
      <c r="E9590" t="str">
        <f t="shared" si="3530"/>
        <v>CA</v>
      </c>
      <c r="F9590" t="str">
        <f>T("939435394")</f>
        <v>939435394</v>
      </c>
      <c r="G9590" t="str">
        <f>T("511 GARDNERS ROAD")</f>
        <v>511 GARDNERS ROAD</v>
      </c>
      <c r="H9590" t="str">
        <f>T("")</f>
        <v/>
      </c>
      <c r="I9590" t="str">
        <f t="shared" si="3531"/>
        <v>MONTEREY</v>
      </c>
      <c r="J9590" t="str">
        <f t="shared" si="3532"/>
        <v>CA</v>
      </c>
      <c r="K9590" t="str">
        <f>T("8316563656")</f>
        <v>8316563656</v>
      </c>
      <c r="L9590" t="str">
        <f>T("8316562841")</f>
        <v>8316562841</v>
      </c>
    </row>
    <row r="9591" spans="1:12" x14ac:dyDescent="0.35">
      <c r="A9591" t="str">
        <f t="shared" si="3528"/>
        <v>NAVAL SUPPORT ACTY MONTEREY</v>
      </c>
      <c r="B9591" t="str">
        <f>T("NSA MONTEREY")</f>
        <v>NSA MONTEREY</v>
      </c>
      <c r="C9591" t="str">
        <f>T("511 GARDNERS ROAD")</f>
        <v>511 GARDNERS ROAD</v>
      </c>
      <c r="D9591" t="str">
        <f t="shared" si="3529"/>
        <v>MONTEREY</v>
      </c>
      <c r="E9591" t="str">
        <f t="shared" si="3530"/>
        <v>CA</v>
      </c>
      <c r="F9591" t="str">
        <f>T("939435394")</f>
        <v>939435394</v>
      </c>
      <c r="G9591" t="str">
        <f>T("NSA MONTEREY")</f>
        <v>NSA MONTEREY</v>
      </c>
      <c r="H9591" t="str">
        <f>T("511 GARDNERS ROAD")</f>
        <v>511 GARDNERS ROAD</v>
      </c>
      <c r="I9591" t="str">
        <f t="shared" si="3531"/>
        <v>MONTEREY</v>
      </c>
      <c r="J9591" t="str">
        <f t="shared" si="3532"/>
        <v>CA</v>
      </c>
      <c r="K9591" t="str">
        <f>T("8316566654")</f>
        <v>8316566654</v>
      </c>
      <c r="L9591" t="str">
        <f>T("8316567746")</f>
        <v>8316567746</v>
      </c>
    </row>
    <row r="9592" spans="1:12" x14ac:dyDescent="0.35">
      <c r="A9592" t="str">
        <f t="shared" ref="A9592:A9601" si="3533">T("NAVAL WEAPONS STA SEAL BEACH")</f>
        <v>NAVAL WEAPONS STA SEAL BEACH</v>
      </c>
      <c r="B9592" t="str">
        <f t="shared" ref="B9592:B9598" si="3534">T("800 SEAL BEACH BLVD")</f>
        <v>800 SEAL BEACH BLVD</v>
      </c>
      <c r="C9592" t="str">
        <f>T("")</f>
        <v/>
      </c>
      <c r="D9592" t="str">
        <f t="shared" ref="D9592:D9601" si="3535">T("SEAL BEACH")</f>
        <v>SEAL BEACH</v>
      </c>
      <c r="E9592" t="str">
        <f t="shared" si="3530"/>
        <v>CA</v>
      </c>
      <c r="F9592" t="str">
        <f t="shared" ref="F9592:F9601" si="3536">T("907405607")</f>
        <v>907405607</v>
      </c>
      <c r="G9592" t="str">
        <f>T("800 SEAL BEACH BLVD")</f>
        <v>800 SEAL BEACH BLVD</v>
      </c>
      <c r="H9592" t="str">
        <f>T("")</f>
        <v/>
      </c>
      <c r="I9592" t="str">
        <f>T("SEAL BEACH")</f>
        <v>SEAL BEACH</v>
      </c>
      <c r="J9592" t="str">
        <f t="shared" si="3532"/>
        <v>CA</v>
      </c>
      <c r="K9592" t="str">
        <f>T("")</f>
        <v/>
      </c>
      <c r="L9592" t="str">
        <f>T("5626267755")</f>
        <v>5626267755</v>
      </c>
    </row>
    <row r="9593" spans="1:12" x14ac:dyDescent="0.35">
      <c r="A9593" t="str">
        <f t="shared" si="3533"/>
        <v>NAVAL WEAPONS STA SEAL BEACH</v>
      </c>
      <c r="B9593" t="str">
        <f t="shared" si="3534"/>
        <v>800 SEAL BEACH BLVD</v>
      </c>
      <c r="C9593" t="str">
        <f>T("CODE N45W BLDG 110")</f>
        <v>CODE N45W BLDG 110</v>
      </c>
      <c r="D9593" t="str">
        <f t="shared" si="3535"/>
        <v>SEAL BEACH</v>
      </c>
      <c r="E9593" t="str">
        <f t="shared" si="3530"/>
        <v>CA</v>
      </c>
      <c r="F9593" t="str">
        <f t="shared" si="3536"/>
        <v>907405607</v>
      </c>
      <c r="G9593" t="str">
        <f>T("20082 MIDLAND LN")</f>
        <v>20082 MIDLAND LN</v>
      </c>
      <c r="H9593" t="str">
        <f>T("")</f>
        <v/>
      </c>
      <c r="I9593" t="str">
        <f>T("HUNTINGTON BEACH")</f>
        <v>HUNTINGTON BEACH</v>
      </c>
      <c r="J9593" t="str">
        <f t="shared" si="3532"/>
        <v>CA</v>
      </c>
      <c r="K9593" t="str">
        <f>T("000000000000000000")</f>
        <v>000000000000000000</v>
      </c>
      <c r="L9593" t="str">
        <f>T("5626267637")</f>
        <v>5626267637</v>
      </c>
    </row>
    <row r="9594" spans="1:12" x14ac:dyDescent="0.35">
      <c r="A9594" t="str">
        <f t="shared" si="3533"/>
        <v>NAVAL WEAPONS STA SEAL BEACH</v>
      </c>
      <c r="B9594" t="str">
        <f t="shared" si="3534"/>
        <v>800 SEAL BEACH BLVD</v>
      </c>
      <c r="C9594" t="str">
        <f>T("CODE N45W BLDG 110")</f>
        <v>CODE N45W BLDG 110</v>
      </c>
      <c r="D9594" t="str">
        <f t="shared" si="3535"/>
        <v>SEAL BEACH</v>
      </c>
      <c r="E9594" t="str">
        <f t="shared" si="3530"/>
        <v>CA</v>
      </c>
      <c r="F9594" t="str">
        <f t="shared" si="3536"/>
        <v>907405607</v>
      </c>
      <c r="G9594" t="str">
        <f t="shared" ref="G9594:G9600" si="3537">T("800 SEAL BEACH BLVD")</f>
        <v>800 SEAL BEACH BLVD</v>
      </c>
      <c r="H9594" t="str">
        <f>T("BLDG 230")</f>
        <v>BLDG 230</v>
      </c>
      <c r="I9594" t="str">
        <f t="shared" ref="I9594:I9601" si="3538">T("SEAL BEACH")</f>
        <v>SEAL BEACH</v>
      </c>
      <c r="J9594" t="str">
        <f t="shared" si="3532"/>
        <v>CA</v>
      </c>
      <c r="K9594" t="str">
        <f>T("000000000000000000")</f>
        <v>000000000000000000</v>
      </c>
      <c r="L9594" t="str">
        <f>T("5626267650")</f>
        <v>5626267650</v>
      </c>
    </row>
    <row r="9595" spans="1:12" x14ac:dyDescent="0.35">
      <c r="A9595" t="str">
        <f t="shared" si="3533"/>
        <v>NAVAL WEAPONS STA SEAL BEACH</v>
      </c>
      <c r="B9595" t="str">
        <f t="shared" si="3534"/>
        <v>800 SEAL BEACH BLVD</v>
      </c>
      <c r="C9595" t="str">
        <f>T("CODE N45W BLDG 110")</f>
        <v>CODE N45W BLDG 110</v>
      </c>
      <c r="D9595" t="str">
        <f t="shared" si="3535"/>
        <v>SEAL BEACH</v>
      </c>
      <c r="E9595" t="str">
        <f t="shared" si="3530"/>
        <v>CA</v>
      </c>
      <c r="F9595" t="str">
        <f t="shared" si="3536"/>
        <v>907405607</v>
      </c>
      <c r="G9595" t="str">
        <f t="shared" si="3537"/>
        <v>800 SEAL BEACH BLVD</v>
      </c>
      <c r="H9595" t="str">
        <f>T("BLDG B-230")</f>
        <v>BLDG B-230</v>
      </c>
      <c r="I9595" t="str">
        <f t="shared" si="3538"/>
        <v>SEAL BEACH</v>
      </c>
      <c r="J9595" t="str">
        <f t="shared" si="3532"/>
        <v>CA</v>
      </c>
      <c r="K9595" t="str">
        <f>T("000000000000000000")</f>
        <v>000000000000000000</v>
      </c>
      <c r="L9595" t="str">
        <f>T("5626267608")</f>
        <v>5626267608</v>
      </c>
    </row>
    <row r="9596" spans="1:12" x14ac:dyDescent="0.35">
      <c r="A9596" t="str">
        <f t="shared" si="3533"/>
        <v>NAVAL WEAPONS STA SEAL BEACH</v>
      </c>
      <c r="B9596" t="str">
        <f t="shared" si="3534"/>
        <v>800 SEAL BEACH BLVD</v>
      </c>
      <c r="C9596" t="str">
        <f>T("CODE N45W BLDG 110")</f>
        <v>CODE N45W BLDG 110</v>
      </c>
      <c r="D9596" t="str">
        <f t="shared" si="3535"/>
        <v>SEAL BEACH</v>
      </c>
      <c r="E9596" t="str">
        <f t="shared" si="3530"/>
        <v>CA</v>
      </c>
      <c r="F9596" t="str">
        <f t="shared" si="3536"/>
        <v>907405607</v>
      </c>
      <c r="G9596" t="str">
        <f t="shared" si="3537"/>
        <v>800 SEAL BEACH BLVD</v>
      </c>
      <c r="H9596" t="str">
        <f>T("CODE N45W BLDG 110")</f>
        <v>CODE N45W BLDG 110</v>
      </c>
      <c r="I9596" t="str">
        <f t="shared" si="3538"/>
        <v>SEAL BEACH</v>
      </c>
      <c r="J9596" t="str">
        <f t="shared" si="3532"/>
        <v>CA</v>
      </c>
      <c r="K9596" t="str">
        <f>T("")</f>
        <v/>
      </c>
      <c r="L9596" t="str">
        <f>T("5626266067")</f>
        <v>5626266067</v>
      </c>
    </row>
    <row r="9597" spans="1:12" x14ac:dyDescent="0.35">
      <c r="A9597" t="str">
        <f t="shared" si="3533"/>
        <v>NAVAL WEAPONS STA SEAL BEACH</v>
      </c>
      <c r="B9597" t="str">
        <f t="shared" si="3534"/>
        <v>800 SEAL BEACH BLVD</v>
      </c>
      <c r="C9597" t="str">
        <f>T("N03WS BLDG 204")</f>
        <v>N03WS BLDG 204</v>
      </c>
      <c r="D9597" t="str">
        <f t="shared" si="3535"/>
        <v>SEAL BEACH</v>
      </c>
      <c r="E9597" t="str">
        <f t="shared" si="3530"/>
        <v>CA</v>
      </c>
      <c r="F9597" t="str">
        <f t="shared" si="3536"/>
        <v>907405607</v>
      </c>
      <c r="G9597" t="str">
        <f t="shared" si="3537"/>
        <v>800 SEAL BEACH BLVD</v>
      </c>
      <c r="H9597" t="str">
        <f>T("BLDG 204")</f>
        <v>BLDG 204</v>
      </c>
      <c r="I9597" t="str">
        <f t="shared" si="3538"/>
        <v>SEAL BEACH</v>
      </c>
      <c r="J9597" t="str">
        <f t="shared" si="3532"/>
        <v>CA</v>
      </c>
      <c r="K9597" t="str">
        <f>T("000000000000000000")</f>
        <v>000000000000000000</v>
      </c>
      <c r="L9597" t="str">
        <f>T("5626267659")</f>
        <v>5626267659</v>
      </c>
    </row>
    <row r="9598" spans="1:12" x14ac:dyDescent="0.35">
      <c r="A9598" t="str">
        <f t="shared" si="3533"/>
        <v>NAVAL WEAPONS STA SEAL BEACH</v>
      </c>
      <c r="B9598" t="str">
        <f t="shared" si="3534"/>
        <v>800 SEAL BEACH BLVD</v>
      </c>
      <c r="C9598" t="str">
        <f>T("N03WS BLDG 204")</f>
        <v>N03WS BLDG 204</v>
      </c>
      <c r="D9598" t="str">
        <f t="shared" si="3535"/>
        <v>SEAL BEACH</v>
      </c>
      <c r="E9598" t="str">
        <f t="shared" si="3530"/>
        <v>CA</v>
      </c>
      <c r="F9598" t="str">
        <f t="shared" si="3536"/>
        <v>907405607</v>
      </c>
      <c r="G9598" t="str">
        <f t="shared" si="3537"/>
        <v>800 SEAL BEACH BLVD</v>
      </c>
      <c r="H9598" t="str">
        <f>T("N03WS BLDG 204")</f>
        <v>N03WS BLDG 204</v>
      </c>
      <c r="I9598" t="str">
        <f t="shared" si="3538"/>
        <v>SEAL BEACH</v>
      </c>
      <c r="J9598" t="str">
        <f t="shared" si="3532"/>
        <v>CA</v>
      </c>
      <c r="K9598" t="str">
        <f>T("")</f>
        <v/>
      </c>
      <c r="L9598" t="str">
        <f>T("6526267392")</f>
        <v>6526267392</v>
      </c>
    </row>
    <row r="9599" spans="1:12" x14ac:dyDescent="0.35">
      <c r="A9599" t="str">
        <f t="shared" si="3533"/>
        <v>NAVAL WEAPONS STA SEAL BEACH</v>
      </c>
      <c r="B9599" t="str">
        <f>T("NWSSB SECURITY")</f>
        <v>NWSSB SECURITY</v>
      </c>
      <c r="C9599" t="str">
        <f>T("800 SEAL BEACH BLVD B 10")</f>
        <v>800 SEAL BEACH BLVD B 10</v>
      </c>
      <c r="D9599" t="str">
        <f t="shared" si="3535"/>
        <v>SEAL BEACH</v>
      </c>
      <c r="E9599" t="str">
        <f t="shared" si="3530"/>
        <v>CA</v>
      </c>
      <c r="F9599" t="str">
        <f t="shared" si="3536"/>
        <v>907405607</v>
      </c>
      <c r="G9599" t="str">
        <f t="shared" si="3537"/>
        <v>800 SEAL BEACH BLVD</v>
      </c>
      <c r="H9599" t="str">
        <f>T("BLDG 10")</f>
        <v>BLDG 10</v>
      </c>
      <c r="I9599" t="str">
        <f t="shared" si="3538"/>
        <v>SEAL BEACH</v>
      </c>
      <c r="J9599" t="str">
        <f t="shared" si="3532"/>
        <v>CA</v>
      </c>
      <c r="K9599" t="str">
        <f>T("5626267142")</f>
        <v>5626267142</v>
      </c>
      <c r="L9599" t="str">
        <f>T("5626267134")</f>
        <v>5626267134</v>
      </c>
    </row>
    <row r="9600" spans="1:12" x14ac:dyDescent="0.35">
      <c r="A9600" t="str">
        <f t="shared" si="3533"/>
        <v>NAVAL WEAPONS STA SEAL BEACH</v>
      </c>
      <c r="B9600" t="str">
        <f>T("NWSSB SECURITY")</f>
        <v>NWSSB SECURITY</v>
      </c>
      <c r="C9600" t="str">
        <f>T("800 SEAL BEACH BLVD B 10")</f>
        <v>800 SEAL BEACH BLVD B 10</v>
      </c>
      <c r="D9600" t="str">
        <f t="shared" si="3535"/>
        <v>SEAL BEACH</v>
      </c>
      <c r="E9600" t="str">
        <f t="shared" si="3530"/>
        <v>CA</v>
      </c>
      <c r="F9600" t="str">
        <f t="shared" si="3536"/>
        <v>907405607</v>
      </c>
      <c r="G9600" t="str">
        <f t="shared" si="3537"/>
        <v>800 SEAL BEACH BLVD</v>
      </c>
      <c r="H9600" t="str">
        <f>T("BLDG 10")</f>
        <v>BLDG 10</v>
      </c>
      <c r="I9600" t="str">
        <f t="shared" si="3538"/>
        <v>SEAL BEACH</v>
      </c>
      <c r="J9600" t="str">
        <f t="shared" si="3532"/>
        <v>CA</v>
      </c>
      <c r="K9600" t="str">
        <f>T("5626267696")</f>
        <v>5626267696</v>
      </c>
      <c r="L9600" t="str">
        <f>T("5626266027")</f>
        <v>5626266027</v>
      </c>
    </row>
    <row r="9601" spans="1:12" x14ac:dyDescent="0.35">
      <c r="A9601" t="str">
        <f t="shared" si="3533"/>
        <v>NAVAL WEAPONS STA SEAL BEACH</v>
      </c>
      <c r="B9601" t="str">
        <f>T("NWSSB SECURITY")</f>
        <v>NWSSB SECURITY</v>
      </c>
      <c r="C9601" t="str">
        <f>T("800 SEAL BEACH BLVD B 10")</f>
        <v>800 SEAL BEACH BLVD B 10</v>
      </c>
      <c r="D9601" t="str">
        <f t="shared" si="3535"/>
        <v>SEAL BEACH</v>
      </c>
      <c r="E9601" t="str">
        <f t="shared" si="3530"/>
        <v>CA</v>
      </c>
      <c r="F9601" t="str">
        <f t="shared" si="3536"/>
        <v>907405607</v>
      </c>
      <c r="G9601" t="str">
        <f>T("NWSSB SECURITY")</f>
        <v>NWSSB SECURITY</v>
      </c>
      <c r="H9601" t="str">
        <f>T("800 SEAL BEACH BLVD B 10")</f>
        <v>800 SEAL BEACH BLVD B 10</v>
      </c>
      <c r="I9601" t="str">
        <f t="shared" si="3538"/>
        <v>SEAL BEACH</v>
      </c>
      <c r="J9601" t="str">
        <f t="shared" si="3532"/>
        <v>CA</v>
      </c>
      <c r="K9601" t="str">
        <f>T("5626267954")</f>
        <v>5626267954</v>
      </c>
      <c r="L9601" t="str">
        <f>T("5626267954")</f>
        <v>5626267954</v>
      </c>
    </row>
    <row r="9602" spans="1:12" x14ac:dyDescent="0.35">
      <c r="A9602" t="str">
        <f t="shared" ref="A9602:A9619" si="3539">T("NAVAL AIR STATION LEMOORE")</f>
        <v>NAVAL AIR STATION LEMOORE</v>
      </c>
      <c r="B9602" t="str">
        <f>T("NAS LEMOORE CMD ADMIN")</f>
        <v>NAS LEMOORE CMD ADMIN</v>
      </c>
      <c r="C9602" t="str">
        <f>T("700 AVENGER AVE BLDG 700")</f>
        <v>700 AVENGER AVE BLDG 700</v>
      </c>
      <c r="D9602" t="str">
        <f t="shared" ref="D9602:D9619" si="3540">T("LEMOORE")</f>
        <v>LEMOORE</v>
      </c>
      <c r="E9602" t="str">
        <f t="shared" si="3530"/>
        <v>CA</v>
      </c>
      <c r="F9602" t="str">
        <f>T("932463000")</f>
        <v>932463000</v>
      </c>
      <c r="G9602" t="str">
        <f>T("NAS LEMOORE ADMIN DEPT")</f>
        <v>NAS LEMOORE ADMIN DEPT</v>
      </c>
      <c r="H9602" t="str">
        <f>T("700 AVENGER AVE ROOM 221")</f>
        <v>700 AVENGER AVE ROOM 221</v>
      </c>
      <c r="I9602" t="str">
        <f t="shared" ref="I9602:I9619" si="3541">T("LEMOORE")</f>
        <v>LEMOORE</v>
      </c>
      <c r="J9602" t="str">
        <f t="shared" si="3532"/>
        <v>CA</v>
      </c>
      <c r="K9602" t="str">
        <f>T("5599982532")</f>
        <v>5599982532</v>
      </c>
      <c r="L9602" t="str">
        <f>T("5599983394")</f>
        <v>5599983394</v>
      </c>
    </row>
    <row r="9603" spans="1:12" x14ac:dyDescent="0.35">
      <c r="A9603" t="str">
        <f t="shared" si="3539"/>
        <v>NAVAL AIR STATION LEMOORE</v>
      </c>
      <c r="B9603" t="str">
        <f>T("NAS LEMOORE CMD ADMIN")</f>
        <v>NAS LEMOORE CMD ADMIN</v>
      </c>
      <c r="C9603" t="str">
        <f>T("700 AVENGER AVE BLDG 700")</f>
        <v>700 AVENGER AVE BLDG 700</v>
      </c>
      <c r="D9603" t="str">
        <f t="shared" si="3540"/>
        <v>LEMOORE</v>
      </c>
      <c r="E9603" t="str">
        <f t="shared" si="3530"/>
        <v>CA</v>
      </c>
      <c r="F9603" t="str">
        <f>T("932463000")</f>
        <v>932463000</v>
      </c>
      <c r="G9603" t="str">
        <f>T("NAS LEMOORE CMD ADMIN")</f>
        <v>NAS LEMOORE CMD ADMIN</v>
      </c>
      <c r="H9603" t="str">
        <f>T("700 AVENGER AVE BLDG 700")</f>
        <v>700 AVENGER AVE BLDG 700</v>
      </c>
      <c r="I9603" t="str">
        <f t="shared" si="3541"/>
        <v>LEMOORE</v>
      </c>
      <c r="J9603" t="str">
        <f t="shared" si="3532"/>
        <v>CA</v>
      </c>
      <c r="K9603" t="str">
        <f>T("5599982532")</f>
        <v>5599982532</v>
      </c>
      <c r="L9603" t="str">
        <f>T("5599983356")</f>
        <v>5599983356</v>
      </c>
    </row>
    <row r="9604" spans="1:12" x14ac:dyDescent="0.35">
      <c r="A9604" t="str">
        <f t="shared" si="3539"/>
        <v>NAVAL AIR STATION LEMOORE</v>
      </c>
      <c r="B9604" t="str">
        <f>T("NAS LEMOORE CMD ADMIN")</f>
        <v>NAS LEMOORE CMD ADMIN</v>
      </c>
      <c r="C9604" t="str">
        <f>T("700 AVENGER AVE BLDG 700")</f>
        <v>700 AVENGER AVE BLDG 700</v>
      </c>
      <c r="D9604" t="str">
        <f t="shared" si="3540"/>
        <v>LEMOORE</v>
      </c>
      <c r="E9604" t="str">
        <f t="shared" si="3530"/>
        <v>CA</v>
      </c>
      <c r="F9604" t="str">
        <f>T("932463000")</f>
        <v>932463000</v>
      </c>
      <c r="G9604" t="str">
        <f>T("NAVAL AIR STATION")</f>
        <v>NAVAL AIR STATION</v>
      </c>
      <c r="H9604" t="str">
        <f>T("700 AVENGER AVE")</f>
        <v>700 AVENGER AVE</v>
      </c>
      <c r="I9604" t="str">
        <f t="shared" si="3541"/>
        <v>LEMOORE</v>
      </c>
      <c r="J9604" t="str">
        <f t="shared" si="3532"/>
        <v>CA</v>
      </c>
      <c r="K9604" t="str">
        <f>T("5599982532")</f>
        <v>5599982532</v>
      </c>
      <c r="L9604" t="str">
        <f>T("5599983356")</f>
        <v>5599983356</v>
      </c>
    </row>
    <row r="9605" spans="1:12" x14ac:dyDescent="0.35">
      <c r="A9605" t="str">
        <f t="shared" si="3539"/>
        <v>NAVAL AIR STATION LEMOORE</v>
      </c>
      <c r="B9605" t="str">
        <f>T("NAS LEMOORE CMD ADMIN")</f>
        <v>NAS LEMOORE CMD ADMIN</v>
      </c>
      <c r="C9605" t="str">
        <f>T("700 AVENGER AVE BLDG 700")</f>
        <v>700 AVENGER AVE BLDG 700</v>
      </c>
      <c r="D9605" t="str">
        <f t="shared" si="3540"/>
        <v>LEMOORE</v>
      </c>
      <c r="E9605" t="str">
        <f t="shared" si="3530"/>
        <v>CA</v>
      </c>
      <c r="F9605" t="str">
        <f>T("932463000")</f>
        <v>932463000</v>
      </c>
      <c r="G9605" t="str">
        <f>T("NAVAL AIR STATION LEMOORE")</f>
        <v>NAVAL AIR STATION LEMOORE</v>
      </c>
      <c r="H9605" t="str">
        <f>T("700 AVENGER AVE ROOM 221")</f>
        <v>700 AVENGER AVE ROOM 221</v>
      </c>
      <c r="I9605" t="str">
        <f t="shared" si="3541"/>
        <v>LEMOORE</v>
      </c>
      <c r="J9605" t="str">
        <f t="shared" si="3532"/>
        <v>CA</v>
      </c>
      <c r="K9605" t="str">
        <f>T("5599982532")</f>
        <v>5599982532</v>
      </c>
      <c r="L9605" t="str">
        <f>T("5599983344")</f>
        <v>5599983344</v>
      </c>
    </row>
    <row r="9606" spans="1:12" x14ac:dyDescent="0.35">
      <c r="A9606" t="str">
        <f t="shared" si="3539"/>
        <v>NAVAL AIR STATION LEMOORE</v>
      </c>
      <c r="B9606" t="str">
        <f t="shared" ref="B9606:B9617" si="3542">T("NAVAL AIR STATION")</f>
        <v>NAVAL AIR STATION</v>
      </c>
      <c r="C9606" t="str">
        <f>T("750 ENTERPRISE AVE")</f>
        <v>750 ENTERPRISE AVE</v>
      </c>
      <c r="D9606" t="str">
        <f t="shared" si="3540"/>
        <v>LEMOORE</v>
      </c>
      <c r="E9606" t="str">
        <f t="shared" si="3530"/>
        <v>CA</v>
      </c>
      <c r="F9606" t="str">
        <f>T("932466300")</f>
        <v>932466300</v>
      </c>
      <c r="G9606" t="str">
        <f t="shared" ref="G9606:G9611" si="3543">T("NAVAL AIR STATION")</f>
        <v>NAVAL AIR STATION</v>
      </c>
      <c r="H9606" t="str">
        <f>T("750 ENTERPRISE AVE")</f>
        <v>750 ENTERPRISE AVE</v>
      </c>
      <c r="I9606" t="str">
        <f t="shared" si="3541"/>
        <v>LEMOORE</v>
      </c>
      <c r="J9606" t="str">
        <f t="shared" si="3532"/>
        <v>CA</v>
      </c>
      <c r="K9606" t="str">
        <f>T("5599984077")</f>
        <v>5599984077</v>
      </c>
      <c r="L9606" t="str">
        <f>T("5599982847")</f>
        <v>5599982847</v>
      </c>
    </row>
    <row r="9607" spans="1:12" x14ac:dyDescent="0.35">
      <c r="A9607" t="str">
        <f t="shared" si="3539"/>
        <v>NAVAL AIR STATION LEMOORE</v>
      </c>
      <c r="B9607" t="str">
        <f t="shared" si="3542"/>
        <v>NAVAL AIR STATION</v>
      </c>
      <c r="C9607" t="str">
        <f>T("750 ENTERPRISE AVE")</f>
        <v>750 ENTERPRISE AVE</v>
      </c>
      <c r="D9607" t="str">
        <f t="shared" si="3540"/>
        <v>LEMOORE</v>
      </c>
      <c r="E9607" t="str">
        <f t="shared" si="3530"/>
        <v>CA</v>
      </c>
      <c r="F9607" t="str">
        <f>T("932466300")</f>
        <v>932466300</v>
      </c>
      <c r="G9607" t="str">
        <f t="shared" si="3543"/>
        <v>NAVAL AIR STATION</v>
      </c>
      <c r="H9607" t="str">
        <f>T("750 ENTERPRISE AVE")</f>
        <v>750 ENTERPRISE AVE</v>
      </c>
      <c r="I9607" t="str">
        <f t="shared" si="3541"/>
        <v>LEMOORE</v>
      </c>
      <c r="J9607" t="str">
        <f t="shared" si="3532"/>
        <v>CA</v>
      </c>
      <c r="K9607" t="str">
        <f>T("5599984077")</f>
        <v>5599984077</v>
      </c>
      <c r="L9607" t="str">
        <f>T("5599983853")</f>
        <v>5599983853</v>
      </c>
    </row>
    <row r="9608" spans="1:12" x14ac:dyDescent="0.35">
      <c r="A9608" t="str">
        <f t="shared" si="3539"/>
        <v>NAVAL AIR STATION LEMOORE</v>
      </c>
      <c r="B9608" t="str">
        <f t="shared" si="3542"/>
        <v>NAVAL AIR STATION</v>
      </c>
      <c r="C9608" t="str">
        <f>T("750 ENTERPRISE AVE")</f>
        <v>750 ENTERPRISE AVE</v>
      </c>
      <c r="D9608" t="str">
        <f t="shared" si="3540"/>
        <v>LEMOORE</v>
      </c>
      <c r="E9608" t="str">
        <f t="shared" si="3530"/>
        <v>CA</v>
      </c>
      <c r="F9608" t="str">
        <f>T("932466300")</f>
        <v>932466300</v>
      </c>
      <c r="G9608" t="str">
        <f t="shared" si="3543"/>
        <v>NAVAL AIR STATION</v>
      </c>
      <c r="H9608" t="str">
        <f>T("750 ENTERPRISE AVE")</f>
        <v>750 ENTERPRISE AVE</v>
      </c>
      <c r="I9608" t="str">
        <f t="shared" si="3541"/>
        <v>LEMOORE</v>
      </c>
      <c r="J9608" t="str">
        <f t="shared" si="3532"/>
        <v>CA</v>
      </c>
      <c r="K9608" t="str">
        <f>T("5599984077")</f>
        <v>5599984077</v>
      </c>
      <c r="L9608" t="str">
        <f>T("5599984113")</f>
        <v>5599984113</v>
      </c>
    </row>
    <row r="9609" spans="1:12" x14ac:dyDescent="0.35">
      <c r="A9609" t="str">
        <f t="shared" si="3539"/>
        <v>NAVAL AIR STATION LEMOORE</v>
      </c>
      <c r="B9609" t="str">
        <f t="shared" si="3542"/>
        <v>NAVAL AIR STATION</v>
      </c>
      <c r="C9609" t="str">
        <f>T("767 FRANKLIN AVE")</f>
        <v>767 FRANKLIN AVE</v>
      </c>
      <c r="D9609" t="str">
        <f t="shared" si="3540"/>
        <v>LEMOORE</v>
      </c>
      <c r="E9609" t="str">
        <f t="shared" si="3530"/>
        <v>CA</v>
      </c>
      <c r="F9609" t="str">
        <f>T("932464000")</f>
        <v>932464000</v>
      </c>
      <c r="G9609" t="str">
        <f t="shared" si="3543"/>
        <v>NAVAL AIR STATION</v>
      </c>
      <c r="H9609" t="str">
        <f>T("767 FRANKLIN AVE")</f>
        <v>767 FRANKLIN AVE</v>
      </c>
      <c r="I9609" t="str">
        <f t="shared" si="3541"/>
        <v>LEMOORE</v>
      </c>
      <c r="J9609" t="str">
        <f t="shared" si="3532"/>
        <v>CA</v>
      </c>
      <c r="K9609" t="str">
        <f>T("5599983242")</f>
        <v>5599983242</v>
      </c>
      <c r="L9609" t="str">
        <f>T("5599981707")</f>
        <v>5599981707</v>
      </c>
    </row>
    <row r="9610" spans="1:12" x14ac:dyDescent="0.35">
      <c r="A9610" t="str">
        <f t="shared" si="3539"/>
        <v>NAVAL AIR STATION LEMOORE</v>
      </c>
      <c r="B9610" t="str">
        <f t="shared" si="3542"/>
        <v>NAVAL AIR STATION</v>
      </c>
      <c r="C9610" t="str">
        <f>T("767 FRANKLIN AVE")</f>
        <v>767 FRANKLIN AVE</v>
      </c>
      <c r="D9610" t="str">
        <f t="shared" si="3540"/>
        <v>LEMOORE</v>
      </c>
      <c r="E9610" t="str">
        <f t="shared" si="3530"/>
        <v>CA</v>
      </c>
      <c r="F9610" t="str">
        <f>T("932464000")</f>
        <v>932464000</v>
      </c>
      <c r="G9610" t="str">
        <f t="shared" si="3543"/>
        <v>NAVAL AIR STATION</v>
      </c>
      <c r="H9610" t="str">
        <f>T("767 FRANKLIN AVE")</f>
        <v>767 FRANKLIN AVE</v>
      </c>
      <c r="I9610" t="str">
        <f t="shared" si="3541"/>
        <v>LEMOORE</v>
      </c>
      <c r="J9610" t="str">
        <f t="shared" si="3532"/>
        <v>CA</v>
      </c>
      <c r="K9610" t="str">
        <f>T("5599983242")</f>
        <v>5599983242</v>
      </c>
      <c r="L9610" t="str">
        <f>T("5599983238")</f>
        <v>5599983238</v>
      </c>
    </row>
    <row r="9611" spans="1:12" x14ac:dyDescent="0.35">
      <c r="A9611" t="str">
        <f t="shared" si="3539"/>
        <v>NAVAL AIR STATION LEMOORE</v>
      </c>
      <c r="B9611" t="str">
        <f t="shared" si="3542"/>
        <v>NAVAL AIR STATION</v>
      </c>
      <c r="C9611" t="str">
        <f>T("767 FRANKLIN AVE")</f>
        <v>767 FRANKLIN AVE</v>
      </c>
      <c r="D9611" t="str">
        <f t="shared" si="3540"/>
        <v>LEMOORE</v>
      </c>
      <c r="E9611" t="str">
        <f t="shared" si="3530"/>
        <v>CA</v>
      </c>
      <c r="F9611" t="str">
        <f>T("932464000")</f>
        <v>932464000</v>
      </c>
      <c r="G9611" t="str">
        <f t="shared" si="3543"/>
        <v>NAVAL AIR STATION</v>
      </c>
      <c r="H9611" t="str">
        <f>T("767 FRANKLIN AVE")</f>
        <v>767 FRANKLIN AVE</v>
      </c>
      <c r="I9611" t="str">
        <f t="shared" si="3541"/>
        <v>LEMOORE</v>
      </c>
      <c r="J9611" t="str">
        <f t="shared" si="3532"/>
        <v>CA</v>
      </c>
      <c r="K9611" t="str">
        <f>T("5599983242")</f>
        <v>5599983242</v>
      </c>
      <c r="L9611" t="str">
        <f>T("5599983241")</f>
        <v>5599983241</v>
      </c>
    </row>
    <row r="9612" spans="1:12" x14ac:dyDescent="0.35">
      <c r="A9612" t="str">
        <f t="shared" si="3539"/>
        <v>NAVAL AIR STATION LEMOORE</v>
      </c>
      <c r="B9612" t="str">
        <f t="shared" si="3542"/>
        <v>NAVAL AIR STATION</v>
      </c>
      <c r="C9612" t="str">
        <f>T("804 BON HOMME RICHARD")</f>
        <v>804 BON HOMME RICHARD</v>
      </c>
      <c r="D9612" t="str">
        <f t="shared" si="3540"/>
        <v>LEMOORE</v>
      </c>
      <c r="E9612" t="str">
        <f t="shared" si="3530"/>
        <v>CA</v>
      </c>
      <c r="F9612" t="str">
        <f>T("932460001")</f>
        <v>932460001</v>
      </c>
      <c r="G9612" t="str">
        <f>T("NAS LEMOORE BACHELOR QUARTERS")</f>
        <v>NAS LEMOORE BACHELOR QUARTERS</v>
      </c>
      <c r="H9612" t="str">
        <f>T("BACHELOR QTRS BLDG 804 ROOM 105")</f>
        <v>BACHELOR QTRS BLDG 804 ROOM 105</v>
      </c>
      <c r="I9612" t="str">
        <f t="shared" si="3541"/>
        <v>LEMOORE</v>
      </c>
      <c r="J9612" t="str">
        <f t="shared" si="3532"/>
        <v>CA</v>
      </c>
      <c r="K9612" t="str">
        <f>T("5599980743")</f>
        <v>5599980743</v>
      </c>
      <c r="L9612" t="str">
        <f>T("5599983914")</f>
        <v>5599983914</v>
      </c>
    </row>
    <row r="9613" spans="1:12" x14ac:dyDescent="0.35">
      <c r="A9613" t="str">
        <f t="shared" si="3539"/>
        <v>NAVAL AIR STATION LEMOORE</v>
      </c>
      <c r="B9613" t="str">
        <f t="shared" si="3542"/>
        <v>NAVAL AIR STATION</v>
      </c>
      <c r="C9613" t="str">
        <f>T("804 BON HOMME RICHARD")</f>
        <v>804 BON HOMME RICHARD</v>
      </c>
      <c r="D9613" t="str">
        <f t="shared" si="3540"/>
        <v>LEMOORE</v>
      </c>
      <c r="E9613" t="str">
        <f t="shared" si="3530"/>
        <v>CA</v>
      </c>
      <c r="F9613" t="str">
        <f>T("932460001")</f>
        <v>932460001</v>
      </c>
      <c r="G9613" t="str">
        <f>T("NAVAL AIR STATION")</f>
        <v>NAVAL AIR STATION</v>
      </c>
      <c r="H9613" t="str">
        <f>T("804 BON HOMME RICHARD")</f>
        <v>804 BON HOMME RICHARD</v>
      </c>
      <c r="I9613" t="str">
        <f t="shared" si="3541"/>
        <v>LEMOORE</v>
      </c>
      <c r="J9613" t="str">
        <f t="shared" si="3532"/>
        <v>CA</v>
      </c>
      <c r="K9613" t="str">
        <f>T("5599984934")</f>
        <v>5599984934</v>
      </c>
      <c r="L9613" t="str">
        <f>T("5599984925")</f>
        <v>5599984925</v>
      </c>
    </row>
    <row r="9614" spans="1:12" x14ac:dyDescent="0.35">
      <c r="A9614" t="str">
        <f t="shared" si="3539"/>
        <v>NAVAL AIR STATION LEMOORE</v>
      </c>
      <c r="B9614" t="str">
        <f t="shared" si="3542"/>
        <v>NAVAL AIR STATION</v>
      </c>
      <c r="C9614" t="str">
        <f>T("804 BON HOMME RICHARD")</f>
        <v>804 BON HOMME RICHARD</v>
      </c>
      <c r="D9614" t="str">
        <f t="shared" si="3540"/>
        <v>LEMOORE</v>
      </c>
      <c r="E9614" t="str">
        <f t="shared" si="3530"/>
        <v>CA</v>
      </c>
      <c r="F9614" t="str">
        <f>T("932460001")</f>
        <v>932460001</v>
      </c>
      <c r="G9614" t="str">
        <f>T("NAVAL AIR STATION")</f>
        <v>NAVAL AIR STATION</v>
      </c>
      <c r="H9614" t="str">
        <f>T("804 BON HOMME RICHARD ROAD")</f>
        <v>804 BON HOMME RICHARD ROAD</v>
      </c>
      <c r="I9614" t="str">
        <f t="shared" si="3541"/>
        <v>LEMOORE</v>
      </c>
      <c r="J9614" t="str">
        <f t="shared" si="3532"/>
        <v>CA</v>
      </c>
      <c r="K9614" t="str">
        <f>T("5599980743")</f>
        <v>5599980743</v>
      </c>
      <c r="L9614" t="str">
        <f>T("5599984781")</f>
        <v>5599984781</v>
      </c>
    </row>
    <row r="9615" spans="1:12" x14ac:dyDescent="0.35">
      <c r="A9615" t="str">
        <f t="shared" si="3539"/>
        <v>NAVAL AIR STATION LEMOORE</v>
      </c>
      <c r="B9615" t="str">
        <f t="shared" si="3542"/>
        <v>NAVAL AIR STATION</v>
      </c>
      <c r="C9615" t="str">
        <f>T("966 FRANKLIN AVE")</f>
        <v>966 FRANKLIN AVE</v>
      </c>
      <c r="D9615" t="str">
        <f t="shared" si="3540"/>
        <v>LEMOORE</v>
      </c>
      <c r="E9615" t="str">
        <f t="shared" si="3530"/>
        <v>CA</v>
      </c>
      <c r="F9615" t="str">
        <f>T("932464900")</f>
        <v>932464900</v>
      </c>
      <c r="G9615" t="str">
        <f>T("NAVAL AIR STATION")</f>
        <v>NAVAL AIR STATION</v>
      </c>
      <c r="H9615" t="str">
        <f>T("966 FRANKLIN AVE")</f>
        <v>966 FRANKLIN AVE</v>
      </c>
      <c r="I9615" t="str">
        <f t="shared" si="3541"/>
        <v>LEMOORE</v>
      </c>
      <c r="J9615" t="str">
        <f t="shared" si="3532"/>
        <v>CA</v>
      </c>
      <c r="K9615" t="str">
        <f>T("5599984040")</f>
        <v>5599984040</v>
      </c>
      <c r="L9615" t="str">
        <f>T("5599984028")</f>
        <v>5599984028</v>
      </c>
    </row>
    <row r="9616" spans="1:12" x14ac:dyDescent="0.35">
      <c r="A9616" t="str">
        <f t="shared" si="3539"/>
        <v>NAVAL AIR STATION LEMOORE</v>
      </c>
      <c r="B9616" t="str">
        <f t="shared" si="3542"/>
        <v>NAVAL AIR STATION</v>
      </c>
      <c r="C9616" t="str">
        <f>T("K STREET BLDG 1 RM 103")</f>
        <v>K STREET BLDG 1 RM 103</v>
      </c>
      <c r="D9616" t="str">
        <f t="shared" si="3540"/>
        <v>LEMOORE</v>
      </c>
      <c r="E9616" t="str">
        <f t="shared" si="3530"/>
        <v>CA</v>
      </c>
      <c r="F9616" t="str">
        <f>T("932460001")</f>
        <v>932460001</v>
      </c>
      <c r="G9616" t="str">
        <f>T("NASL AIR OPERATIONS")</f>
        <v>NASL AIR OPERATIONS</v>
      </c>
      <c r="H9616" t="str">
        <f>T("K STREET BLDG-1 ROOM 103")</f>
        <v>K STREET BLDG-1 ROOM 103</v>
      </c>
      <c r="I9616" t="str">
        <f t="shared" si="3541"/>
        <v>LEMOORE</v>
      </c>
      <c r="J9616" t="str">
        <f t="shared" si="3532"/>
        <v>CA</v>
      </c>
      <c r="K9616" t="str">
        <f>T("5599981006")</f>
        <v>5599981006</v>
      </c>
      <c r="L9616" t="str">
        <f>T("5599981018")</f>
        <v>5599981018</v>
      </c>
    </row>
    <row r="9617" spans="1:12" x14ac:dyDescent="0.35">
      <c r="A9617" t="str">
        <f t="shared" si="3539"/>
        <v>NAVAL AIR STATION LEMOORE</v>
      </c>
      <c r="B9617" t="str">
        <f t="shared" si="3542"/>
        <v>NAVAL AIR STATION</v>
      </c>
      <c r="C9617" t="str">
        <f>T("K STREET BLDG 1 RM 103")</f>
        <v>K STREET BLDG 1 RM 103</v>
      </c>
      <c r="D9617" t="str">
        <f t="shared" si="3540"/>
        <v>LEMOORE</v>
      </c>
      <c r="E9617" t="str">
        <f t="shared" ref="E9617:E9648" si="3544">T("CA")</f>
        <v>CA</v>
      </c>
      <c r="F9617" t="str">
        <f>T("932460001")</f>
        <v>932460001</v>
      </c>
      <c r="G9617" t="str">
        <f>T("NAVAL AIR STATION")</f>
        <v>NAVAL AIR STATION</v>
      </c>
      <c r="H9617" t="str">
        <f>T("K STREET BLDG 1 RM 103")</f>
        <v>K STREET BLDG 1 RM 103</v>
      </c>
      <c r="I9617" t="str">
        <f t="shared" si="3541"/>
        <v>LEMOORE</v>
      </c>
      <c r="J9617" t="str">
        <f t="shared" ref="J9617:J9648" si="3545">T("CA")</f>
        <v>CA</v>
      </c>
      <c r="K9617" t="str">
        <f>T("5599981006")</f>
        <v>5599981006</v>
      </c>
      <c r="L9617" t="str">
        <f>T("5599981009")</f>
        <v>5599981009</v>
      </c>
    </row>
    <row r="9618" spans="1:12" x14ac:dyDescent="0.35">
      <c r="A9618" t="str">
        <f t="shared" si="3539"/>
        <v>NAVAL AIR STATION LEMOORE</v>
      </c>
      <c r="B9618" t="str">
        <f>T("NAVAL AIR STATION LEMOORE")</f>
        <v>NAVAL AIR STATION LEMOORE</v>
      </c>
      <c r="C9618" t="str">
        <f>T("BLDG 782 / SECURITY")</f>
        <v>BLDG 782 / SECURITY</v>
      </c>
      <c r="D9618" t="str">
        <f t="shared" si="3540"/>
        <v>LEMOORE</v>
      </c>
      <c r="E9618" t="str">
        <f t="shared" si="3544"/>
        <v>CA</v>
      </c>
      <c r="F9618" t="str">
        <f>T("921450000")</f>
        <v>921450000</v>
      </c>
      <c r="G9618" t="str">
        <f>T("NAVAL AIR STATION")</f>
        <v>NAVAL AIR STATION</v>
      </c>
      <c r="H9618" t="str">
        <f>T("BLDG 782 SECURITY")</f>
        <v>BLDG 782 SECURITY</v>
      </c>
      <c r="I9618" t="str">
        <f t="shared" si="3541"/>
        <v>LEMOORE</v>
      </c>
      <c r="J9618" t="str">
        <f t="shared" si="3545"/>
        <v>CA</v>
      </c>
      <c r="K9618" t="str">
        <f>T("5599984741")</f>
        <v>5599984741</v>
      </c>
      <c r="L9618" t="str">
        <f>T("5599984811")</f>
        <v>5599984811</v>
      </c>
    </row>
    <row r="9619" spans="1:12" x14ac:dyDescent="0.35">
      <c r="A9619" t="str">
        <f t="shared" si="3539"/>
        <v>NAVAL AIR STATION LEMOORE</v>
      </c>
      <c r="B9619" t="str">
        <f>T("NAVAL AIR STATION LEMOORE")</f>
        <v>NAVAL AIR STATION LEMOORE</v>
      </c>
      <c r="C9619" t="str">
        <f>T("BLDG 782 / SECURITY")</f>
        <v>BLDG 782 / SECURITY</v>
      </c>
      <c r="D9619" t="str">
        <f t="shared" si="3540"/>
        <v>LEMOORE</v>
      </c>
      <c r="E9619" t="str">
        <f t="shared" si="3544"/>
        <v>CA</v>
      </c>
      <c r="F9619" t="str">
        <f>T("921450000")</f>
        <v>921450000</v>
      </c>
      <c r="G9619" t="str">
        <f>T("NAVAL AIR STATION LEMOORE")</f>
        <v>NAVAL AIR STATION LEMOORE</v>
      </c>
      <c r="H9619" t="str">
        <f>T("BLDG 782 / SECURITY")</f>
        <v>BLDG 782 / SECURITY</v>
      </c>
      <c r="I9619" t="str">
        <f t="shared" si="3541"/>
        <v>LEMOORE</v>
      </c>
      <c r="J9619" t="str">
        <f t="shared" si="3545"/>
        <v>CA</v>
      </c>
      <c r="K9619" t="str">
        <f>T("5599984741")</f>
        <v>5599984741</v>
      </c>
      <c r="L9619" t="str">
        <f>T("5599984795")</f>
        <v>5599984795</v>
      </c>
    </row>
    <row r="9620" spans="1:12" x14ac:dyDescent="0.35">
      <c r="A9620" t="str">
        <f t="shared" ref="A9620:A9640" si="3546">T("NAVAL BASE POINT LOMA")</f>
        <v>NAVAL BASE POINT LOMA</v>
      </c>
      <c r="B9620" t="str">
        <f>T("CNRSW ENVIRONMENTAL")</f>
        <v>CNRSW ENVIRONMENTAL</v>
      </c>
      <c r="C9620" t="str">
        <f>T("140 SYLVESTER RD BLDG 140")</f>
        <v>140 SYLVESTER RD BLDG 140</v>
      </c>
      <c r="D9620" t="str">
        <f t="shared" ref="D9620:D9640" si="3547">T("SAN DIEGO")</f>
        <v>SAN DIEGO</v>
      </c>
      <c r="E9620" t="str">
        <f t="shared" si="3544"/>
        <v>CA</v>
      </c>
      <c r="F9620" t="str">
        <f>T("921063521")</f>
        <v>921063521</v>
      </c>
      <c r="G9620" t="str">
        <f>T("140 SYLVESTER RD")</f>
        <v>140 SYLVESTER RD</v>
      </c>
      <c r="H9620" t="str">
        <f>T("")</f>
        <v/>
      </c>
      <c r="I9620" t="str">
        <f t="shared" ref="I9620:I9640" si="3548">T("SAN DIEGO")</f>
        <v>SAN DIEGO</v>
      </c>
      <c r="J9620" t="str">
        <f t="shared" si="3545"/>
        <v>CA</v>
      </c>
      <c r="K9620" t="str">
        <f>T("6195538357")</f>
        <v>6195538357</v>
      </c>
      <c r="L9620" t="str">
        <f>T("6195538566")</f>
        <v>6195538566</v>
      </c>
    </row>
    <row r="9621" spans="1:12" x14ac:dyDescent="0.35">
      <c r="A9621" t="str">
        <f t="shared" si="3546"/>
        <v>NAVAL BASE POINT LOMA</v>
      </c>
      <c r="B9621" t="str">
        <f>T("CNRSW ENVIRONMENTAL")</f>
        <v>CNRSW ENVIRONMENTAL</v>
      </c>
      <c r="C9621" t="str">
        <f>T("140 SYLVESTER RD BLDG 140")</f>
        <v>140 SYLVESTER RD BLDG 140</v>
      </c>
      <c r="D9621" t="str">
        <f t="shared" si="3547"/>
        <v>SAN DIEGO</v>
      </c>
      <c r="E9621" t="str">
        <f t="shared" si="3544"/>
        <v>CA</v>
      </c>
      <c r="F9621" t="str">
        <f>T("921063521")</f>
        <v>921063521</v>
      </c>
      <c r="G9621" t="str">
        <f>T("CNRSW ENVIRONMENTAL")</f>
        <v>CNRSW ENVIRONMENTAL</v>
      </c>
      <c r="H9621" t="str">
        <f>T("140 SYLVESTER RD BLDG 140")</f>
        <v>140 SYLVESTER RD BLDG 140</v>
      </c>
      <c r="I9621" t="str">
        <f t="shared" si="3548"/>
        <v>SAN DIEGO</v>
      </c>
      <c r="J9621" t="str">
        <f t="shared" si="3545"/>
        <v>CA</v>
      </c>
      <c r="K9621" t="str">
        <f>T("")</f>
        <v/>
      </c>
      <c r="L9621" t="str">
        <f>T("6195248543")</f>
        <v>6195248543</v>
      </c>
    </row>
    <row r="9622" spans="1:12" x14ac:dyDescent="0.35">
      <c r="A9622" t="str">
        <f t="shared" si="3546"/>
        <v>NAVAL BASE POINT LOMA</v>
      </c>
      <c r="B9622" t="str">
        <f>T("NASNI PUBLIC WORKS OFFICE")</f>
        <v>NASNI PUBLIC WORKS OFFICE</v>
      </c>
      <c r="C9622" t="str">
        <f>T("PO BOX 357088")</f>
        <v>PO BOX 357088</v>
      </c>
      <c r="D9622" t="str">
        <f t="shared" si="3547"/>
        <v>SAN DIEGO</v>
      </c>
      <c r="E9622" t="str">
        <f t="shared" si="3544"/>
        <v>CA</v>
      </c>
      <c r="F9622" t="str">
        <f>T("921357088")</f>
        <v>921357088</v>
      </c>
      <c r="G9622" t="str">
        <f>T("NASNI PUBLIC WORKS OFFICE")</f>
        <v>NASNI PUBLIC WORKS OFFICE</v>
      </c>
      <c r="H9622" t="str">
        <f>T("PO BOX 357088")</f>
        <v>PO BOX 357088</v>
      </c>
      <c r="I9622" t="str">
        <f t="shared" si="3548"/>
        <v>SAN DIEGO</v>
      </c>
      <c r="J9622" t="str">
        <f t="shared" si="3545"/>
        <v>CA</v>
      </c>
      <c r="K9622" t="str">
        <f>T("6195452717")</f>
        <v>6195452717</v>
      </c>
      <c r="L9622" t="str">
        <f>T("6195453429")</f>
        <v>6195453429</v>
      </c>
    </row>
    <row r="9623" spans="1:12" x14ac:dyDescent="0.35">
      <c r="A9623" t="str">
        <f t="shared" si="3546"/>
        <v>NAVAL BASE POINT LOMA</v>
      </c>
      <c r="B9623" t="str">
        <f>T("NASNI PUBLIC WORKS OFFICE")</f>
        <v>NASNI PUBLIC WORKS OFFICE</v>
      </c>
      <c r="C9623" t="str">
        <f>T("PO BOX 357088")</f>
        <v>PO BOX 357088</v>
      </c>
      <c r="D9623" t="str">
        <f t="shared" si="3547"/>
        <v>SAN DIEGO</v>
      </c>
      <c r="E9623" t="str">
        <f t="shared" si="3544"/>
        <v>CA</v>
      </c>
      <c r="F9623" t="str">
        <f>T("921357088")</f>
        <v>921357088</v>
      </c>
      <c r="G9623" t="str">
        <f>T("NAVFAC SW NBC N45 PUBLIC WORKS")</f>
        <v>NAVFAC SW NBC N45 PUBLIC WORKS</v>
      </c>
      <c r="H9623" t="str">
        <f>T("BLDG 3 NBC PO BOX 357088")</f>
        <v>BLDG 3 NBC PO BOX 357088</v>
      </c>
      <c r="I9623" t="str">
        <f t="shared" si="3548"/>
        <v>SAN DIEGO</v>
      </c>
      <c r="J9623" t="str">
        <f t="shared" si="3545"/>
        <v>CA</v>
      </c>
      <c r="K9623" t="str">
        <f>T("6195452717")</f>
        <v>6195452717</v>
      </c>
      <c r="L9623" t="str">
        <f>T("6195451127")</f>
        <v>6195451127</v>
      </c>
    </row>
    <row r="9624" spans="1:12" x14ac:dyDescent="0.35">
      <c r="A9624" t="str">
        <f t="shared" si="3546"/>
        <v>NAVAL BASE POINT LOMA</v>
      </c>
      <c r="B9624" t="str">
        <f>T("NAVAL BASE POINT LOMA / BQ")</f>
        <v>NAVAL BASE POINT LOMA / BQ</v>
      </c>
      <c r="C9624" t="str">
        <f>T("32444 ECHO LANE SUITE 100")</f>
        <v>32444 ECHO LANE SUITE 100</v>
      </c>
      <c r="D9624" t="str">
        <f t="shared" si="3547"/>
        <v>SAN DIEGO</v>
      </c>
      <c r="E9624" t="str">
        <f t="shared" si="3544"/>
        <v>CA</v>
      </c>
      <c r="F9624" t="str">
        <f>T("921475199")</f>
        <v>921475199</v>
      </c>
      <c r="G9624" t="str">
        <f>T("NAVAL BASE POINT LOMA / BQ")</f>
        <v>NAVAL BASE POINT LOMA / BQ</v>
      </c>
      <c r="H9624" t="str">
        <f>T("32444 ECHO LANE SUITE 100")</f>
        <v>32444 ECHO LANE SUITE 100</v>
      </c>
      <c r="I9624" t="str">
        <f t="shared" si="3548"/>
        <v>SAN DIEGO</v>
      </c>
      <c r="J9624" t="str">
        <f t="shared" si="3545"/>
        <v>CA</v>
      </c>
      <c r="K9624" t="str">
        <f>T("6195246530")</f>
        <v>6195246530</v>
      </c>
      <c r="L9624" t="str">
        <f>T("6195241597")</f>
        <v>6195241597</v>
      </c>
    </row>
    <row r="9625" spans="1:12" x14ac:dyDescent="0.35">
      <c r="A9625" t="str">
        <f t="shared" si="3546"/>
        <v>NAVAL BASE POINT LOMA</v>
      </c>
      <c r="B9625" t="str">
        <f>T("NAVAL BASE POINT LOMA / BQ")</f>
        <v>NAVAL BASE POINT LOMA / BQ</v>
      </c>
      <c r="C9625" t="str">
        <f>T("32444 ECHO LANE SUITE 100")</f>
        <v>32444 ECHO LANE SUITE 100</v>
      </c>
      <c r="D9625" t="str">
        <f t="shared" si="3547"/>
        <v>SAN DIEGO</v>
      </c>
      <c r="E9625" t="str">
        <f t="shared" si="3544"/>
        <v>CA</v>
      </c>
      <c r="F9625" t="str">
        <f>T("921475199")</f>
        <v>921475199</v>
      </c>
      <c r="G9625" t="str">
        <f>T("NAVAL BASE POINT LOMA CBH")</f>
        <v>NAVAL BASE POINT LOMA CBH</v>
      </c>
      <c r="H9625" t="str">
        <f>T("140 SYLVESTER RD BLDG 635")</f>
        <v>140 SYLVESTER RD BLDG 635</v>
      </c>
      <c r="I9625" t="str">
        <f t="shared" si="3548"/>
        <v>SAN DIEGO</v>
      </c>
      <c r="J9625" t="str">
        <f t="shared" si="3545"/>
        <v>CA</v>
      </c>
      <c r="K9625" t="str">
        <f>T("000000000000000000")</f>
        <v>000000000000000000</v>
      </c>
      <c r="L9625" t="str">
        <f>T("6195537530")</f>
        <v>6195537530</v>
      </c>
    </row>
    <row r="9626" spans="1:12" x14ac:dyDescent="0.35">
      <c r="A9626" t="str">
        <f t="shared" si="3546"/>
        <v>NAVAL BASE POINT LOMA</v>
      </c>
      <c r="B9626" t="str">
        <f>T("NAVAL BASE POINT LOMA / BQ")</f>
        <v>NAVAL BASE POINT LOMA / BQ</v>
      </c>
      <c r="C9626" t="str">
        <f>T("32444 ECHO LANE SUITE 100")</f>
        <v>32444 ECHO LANE SUITE 100</v>
      </c>
      <c r="D9626" t="str">
        <f t="shared" si="3547"/>
        <v>SAN DIEGO</v>
      </c>
      <c r="E9626" t="str">
        <f t="shared" si="3544"/>
        <v>CA</v>
      </c>
      <c r="F9626" t="str">
        <f>T("921475199")</f>
        <v>921475199</v>
      </c>
      <c r="G9626" t="str">
        <f>T("NBPL / UNACCOMPANIED HOUSING")</f>
        <v>NBPL / UNACCOMPANIED HOUSING</v>
      </c>
      <c r="H9626" t="str">
        <f>T("140 SYLVESTER BLDG 634")</f>
        <v>140 SYLVESTER BLDG 634</v>
      </c>
      <c r="I9626" t="str">
        <f t="shared" si="3548"/>
        <v>SAN DIEGO</v>
      </c>
      <c r="J9626" t="str">
        <f t="shared" si="3545"/>
        <v>CA</v>
      </c>
      <c r="K9626" t="str">
        <f>T("6195246530")</f>
        <v>6195246530</v>
      </c>
      <c r="L9626" t="str">
        <f>T("6195537530")</f>
        <v>6195537530</v>
      </c>
    </row>
    <row r="9627" spans="1:12" x14ac:dyDescent="0.35">
      <c r="A9627" t="str">
        <f t="shared" si="3546"/>
        <v>NAVAL BASE POINT LOMA</v>
      </c>
      <c r="B9627" t="str">
        <f>T("NAVAL BASE POINT LOMA / SELF HELP")</f>
        <v>NAVAL BASE POINT LOMA / SELF HELP</v>
      </c>
      <c r="C9627" t="str">
        <f>T("4635 PACIFIC HIGHWAY")</f>
        <v>4635 PACIFIC HIGHWAY</v>
      </c>
      <c r="D9627" t="str">
        <f t="shared" si="3547"/>
        <v>SAN DIEGO</v>
      </c>
      <c r="E9627" t="str">
        <f t="shared" si="3544"/>
        <v>CA</v>
      </c>
      <c r="F9627" t="str">
        <f>T("921102756")</f>
        <v>921102756</v>
      </c>
      <c r="G9627" t="str">
        <f>T("140 SYLVESTER ROAD BLDG-634")</f>
        <v>140 SYLVESTER ROAD BLDG-634</v>
      </c>
      <c r="H9627" t="str">
        <f>T("NBPL NAVFAC SELF HELP")</f>
        <v>NBPL NAVFAC SELF HELP</v>
      </c>
      <c r="I9627" t="str">
        <f t="shared" si="3548"/>
        <v>SAN DIEGO</v>
      </c>
      <c r="J9627" t="str">
        <f t="shared" si="3545"/>
        <v>CA</v>
      </c>
      <c r="K9627" t="str">
        <f>T("000000000000000000")</f>
        <v>000000000000000000</v>
      </c>
      <c r="L9627" t="str">
        <f>T("6195538823")</f>
        <v>6195538823</v>
      </c>
    </row>
    <row r="9628" spans="1:12" x14ac:dyDescent="0.35">
      <c r="A9628" t="str">
        <f t="shared" si="3546"/>
        <v>NAVAL BASE POINT LOMA</v>
      </c>
      <c r="B9628" t="str">
        <f>T("NAVAL BASE POINT LOMA / SELF HELP")</f>
        <v>NAVAL BASE POINT LOMA / SELF HELP</v>
      </c>
      <c r="C9628" t="str">
        <f>T("4635 PACIFIC HIGHWAY")</f>
        <v>4635 PACIFIC HIGHWAY</v>
      </c>
      <c r="D9628" t="str">
        <f t="shared" si="3547"/>
        <v>SAN DIEGO</v>
      </c>
      <c r="E9628" t="str">
        <f t="shared" si="3544"/>
        <v>CA</v>
      </c>
      <c r="F9628" t="str">
        <f>T("921102756")</f>
        <v>921102756</v>
      </c>
      <c r="G9628" t="str">
        <f>T("140 SYLVESTER ROAD/ BLDG 634")</f>
        <v>140 SYLVESTER ROAD/ BLDG 634</v>
      </c>
      <c r="H9628" t="str">
        <f>T("NBPL SELF HELP")</f>
        <v>NBPL SELF HELP</v>
      </c>
      <c r="I9628" t="str">
        <f t="shared" si="3548"/>
        <v>SAN DIEGO</v>
      </c>
      <c r="J9628" t="str">
        <f t="shared" si="3545"/>
        <v>CA</v>
      </c>
      <c r="K9628" t="str">
        <f>T("000000000000000000")</f>
        <v>000000000000000000</v>
      </c>
      <c r="L9628" t="str">
        <f>T("6195538823")</f>
        <v>6195538823</v>
      </c>
    </row>
    <row r="9629" spans="1:12" x14ac:dyDescent="0.35">
      <c r="A9629" t="str">
        <f t="shared" si="3546"/>
        <v>NAVAL BASE POINT LOMA</v>
      </c>
      <c r="B9629" t="str">
        <f>T("NAVAL BASE POINT LOMA / SELF HELP")</f>
        <v>NAVAL BASE POINT LOMA / SELF HELP</v>
      </c>
      <c r="C9629" t="str">
        <f>T("4635 PACIFIC HIGHWAY")</f>
        <v>4635 PACIFIC HIGHWAY</v>
      </c>
      <c r="D9629" t="str">
        <f t="shared" si="3547"/>
        <v>SAN DIEGO</v>
      </c>
      <c r="E9629" t="str">
        <f t="shared" si="3544"/>
        <v>CA</v>
      </c>
      <c r="F9629" t="str">
        <f>T("921102756")</f>
        <v>921102756</v>
      </c>
      <c r="G9629" t="str">
        <f>T("NAVAL BASE POINT LOMA / SELF HELP")</f>
        <v>NAVAL BASE POINT LOMA / SELF HELP</v>
      </c>
      <c r="H9629" t="str">
        <f>T("4635 PACIFIC HIGHWAY")</f>
        <v>4635 PACIFIC HIGHWAY</v>
      </c>
      <c r="I9629" t="str">
        <f t="shared" si="3548"/>
        <v>SAN DIEGO</v>
      </c>
      <c r="J9629" t="str">
        <f t="shared" si="3545"/>
        <v>CA</v>
      </c>
      <c r="K9629" t="str">
        <f>T("6195537909")</f>
        <v>6195537909</v>
      </c>
      <c r="L9629" t="str">
        <f>T("6195248502")</f>
        <v>6195248502</v>
      </c>
    </row>
    <row r="9630" spans="1:12" x14ac:dyDescent="0.35">
      <c r="A9630" t="str">
        <f t="shared" si="3546"/>
        <v>NAVAL BASE POINT LOMA</v>
      </c>
      <c r="B9630" t="str">
        <f>T("NAVAL BASE POINT LOMA / SRM")</f>
        <v>NAVAL BASE POINT LOMA / SRM</v>
      </c>
      <c r="C9630" t="str">
        <f>T("4635 PACIFIC HIGHWAY")</f>
        <v>4635 PACIFIC HIGHWAY</v>
      </c>
      <c r="D9630" t="str">
        <f t="shared" si="3547"/>
        <v>SAN DIEGO</v>
      </c>
      <c r="E9630" t="str">
        <f t="shared" si="3544"/>
        <v>CA</v>
      </c>
      <c r="F9630" t="str">
        <f>T("921102756")</f>
        <v>921102756</v>
      </c>
      <c r="G9630" t="str">
        <f>T("4635 PACIFIC HWY")</f>
        <v>4635 PACIFIC HWY</v>
      </c>
      <c r="H9630" t="str">
        <f>T("")</f>
        <v/>
      </c>
      <c r="I9630" t="str">
        <f t="shared" si="3548"/>
        <v>SAN DIEGO</v>
      </c>
      <c r="J9630" t="str">
        <f t="shared" si="3545"/>
        <v>CA</v>
      </c>
      <c r="K9630" t="str">
        <f>T("000000000000000000")</f>
        <v>000000000000000000</v>
      </c>
      <c r="L9630" t="str">
        <f>T("6195248500")</f>
        <v>6195248500</v>
      </c>
    </row>
    <row r="9631" spans="1:12" x14ac:dyDescent="0.35">
      <c r="A9631" t="str">
        <f t="shared" si="3546"/>
        <v>NAVAL BASE POINT LOMA</v>
      </c>
      <c r="B9631" t="str">
        <f>T("NAVAL BASE POINT LOMA / SRM")</f>
        <v>NAVAL BASE POINT LOMA / SRM</v>
      </c>
      <c r="C9631" t="str">
        <f>T("4635 PACIFIC HIGHWAY")</f>
        <v>4635 PACIFIC HIGHWAY</v>
      </c>
      <c r="D9631" t="str">
        <f t="shared" si="3547"/>
        <v>SAN DIEGO</v>
      </c>
      <c r="E9631" t="str">
        <f t="shared" si="3544"/>
        <v>CA</v>
      </c>
      <c r="F9631" t="str">
        <f>T("921102756")</f>
        <v>921102756</v>
      </c>
      <c r="G9631" t="str">
        <f>T("NAVAL BASE POINT LOMA / SRM")</f>
        <v>NAVAL BASE POINT LOMA / SRM</v>
      </c>
      <c r="H9631" t="str">
        <f>T("4635 PACIFIC HIGHWAY")</f>
        <v>4635 PACIFIC HIGHWAY</v>
      </c>
      <c r="I9631" t="str">
        <f t="shared" si="3548"/>
        <v>SAN DIEGO</v>
      </c>
      <c r="J9631" t="str">
        <f t="shared" si="3545"/>
        <v>CA</v>
      </c>
      <c r="K9631" t="str">
        <f>T("6195242949")</f>
        <v>6195242949</v>
      </c>
      <c r="L9631" t="str">
        <f>T("6195328502")</f>
        <v>6195328502</v>
      </c>
    </row>
    <row r="9632" spans="1:12" x14ac:dyDescent="0.35">
      <c r="A9632" t="str">
        <f t="shared" si="3546"/>
        <v>NAVAL BASE POINT LOMA</v>
      </c>
      <c r="B9632" t="str">
        <f>T("NAVAL BASE POINT LOMA ADMIN")</f>
        <v>NAVAL BASE POINT LOMA ADMIN</v>
      </c>
      <c r="C9632" t="str">
        <f>T("140 SYLVESTER RD BLDG 140")</f>
        <v>140 SYLVESTER RD BLDG 140</v>
      </c>
      <c r="D9632" t="str">
        <f t="shared" si="3547"/>
        <v>SAN DIEGO</v>
      </c>
      <c r="E9632" t="str">
        <f t="shared" si="3544"/>
        <v>CA</v>
      </c>
      <c r="F9632" t="str">
        <f>T("921063521")</f>
        <v>921063521</v>
      </c>
      <c r="G9632" t="str">
        <f>T("NAVAL BASE POINT LOMA ADMIN")</f>
        <v>NAVAL BASE POINT LOMA ADMIN</v>
      </c>
      <c r="H9632" t="str">
        <f>T("140 SYLVESTER RD BLDG 140")</f>
        <v>140 SYLVESTER RD BLDG 140</v>
      </c>
      <c r="I9632" t="str">
        <f t="shared" si="3548"/>
        <v>SAN DIEGO</v>
      </c>
      <c r="J9632" t="str">
        <f t="shared" si="3545"/>
        <v>CA</v>
      </c>
      <c r="K9632" t="str">
        <f>T("6195538810")</f>
        <v>6195538810</v>
      </c>
      <c r="L9632" t="str">
        <f>T("6195530410")</f>
        <v>6195530410</v>
      </c>
    </row>
    <row r="9633" spans="1:12" x14ac:dyDescent="0.35">
      <c r="A9633" t="str">
        <f t="shared" si="3546"/>
        <v>NAVAL BASE POINT LOMA</v>
      </c>
      <c r="B9633" t="str">
        <f>T("NAVAL BASE POINT LOMA ADMIN")</f>
        <v>NAVAL BASE POINT LOMA ADMIN</v>
      </c>
      <c r="C9633" t="str">
        <f>T("140 SYLVESTER RD BLDG 140")</f>
        <v>140 SYLVESTER RD BLDG 140</v>
      </c>
      <c r="D9633" t="str">
        <f t="shared" si="3547"/>
        <v>SAN DIEGO</v>
      </c>
      <c r="E9633" t="str">
        <f t="shared" si="3544"/>
        <v>CA</v>
      </c>
      <c r="F9633" t="str">
        <f>T("921063521")</f>
        <v>921063521</v>
      </c>
      <c r="G9633" t="str">
        <f>T("NAVAL BASE POINT LOMA/ CMD ADMIN")</f>
        <v>NAVAL BASE POINT LOMA/ CMD ADMIN</v>
      </c>
      <c r="H9633" t="str">
        <f>T("140 SYLVESTER ROAD/ BLDG 140")</f>
        <v>140 SYLVESTER ROAD/ BLDG 140</v>
      </c>
      <c r="I9633" t="str">
        <f t="shared" si="3548"/>
        <v>SAN DIEGO</v>
      </c>
      <c r="J9633" t="str">
        <f t="shared" si="3545"/>
        <v>CA</v>
      </c>
      <c r="K9633" t="str">
        <f>T("6195538810")</f>
        <v>6195538810</v>
      </c>
      <c r="L9633" t="str">
        <f>T("6195530325")</f>
        <v>6195530325</v>
      </c>
    </row>
    <row r="9634" spans="1:12" x14ac:dyDescent="0.35">
      <c r="A9634" t="str">
        <f t="shared" si="3546"/>
        <v>NAVAL BASE POINT LOMA</v>
      </c>
      <c r="B9634" t="str">
        <f>T("NAVAL BASE POINT LOMA ADMIN")</f>
        <v>NAVAL BASE POINT LOMA ADMIN</v>
      </c>
      <c r="C9634" t="str">
        <f>T("140 SYLVESTER RD BLDG 140")</f>
        <v>140 SYLVESTER RD BLDG 140</v>
      </c>
      <c r="D9634" t="str">
        <f t="shared" si="3547"/>
        <v>SAN DIEGO</v>
      </c>
      <c r="E9634" t="str">
        <f t="shared" si="3544"/>
        <v>CA</v>
      </c>
      <c r="F9634" t="str">
        <f>T("921063521")</f>
        <v>921063521</v>
      </c>
      <c r="G9634" t="str">
        <f>T("NBPL COMMAND ADMIN")</f>
        <v>NBPL COMMAND ADMIN</v>
      </c>
      <c r="H9634" t="str">
        <f>T("140 SYLVESTER RD BLDG-140")</f>
        <v>140 SYLVESTER RD BLDG-140</v>
      </c>
      <c r="I9634" t="str">
        <f t="shared" si="3548"/>
        <v>SAN DIEGO</v>
      </c>
      <c r="J9634" t="str">
        <f t="shared" si="3545"/>
        <v>CA</v>
      </c>
      <c r="K9634" t="str">
        <f>T("6195538810")</f>
        <v>6195538810</v>
      </c>
      <c r="L9634" t="str">
        <f>T("6195530325")</f>
        <v>6195530325</v>
      </c>
    </row>
    <row r="9635" spans="1:12" x14ac:dyDescent="0.35">
      <c r="A9635" t="str">
        <f t="shared" si="3546"/>
        <v>NAVAL BASE POINT LOMA</v>
      </c>
      <c r="B9635" t="str">
        <f t="shared" ref="B9635:B9640" si="3549">T("NAVY REGION SOUTHWEST")</f>
        <v>NAVY REGION SOUTHWEST</v>
      </c>
      <c r="C9635" t="str">
        <f>T("937 N HARBOR DR BLDG 1 RM 309")</f>
        <v>937 N HARBOR DR BLDG 1 RM 309</v>
      </c>
      <c r="D9635" t="str">
        <f t="shared" si="3547"/>
        <v>SAN DIEGO</v>
      </c>
      <c r="E9635" t="str">
        <f t="shared" si="3544"/>
        <v>CA</v>
      </c>
      <c r="F9635" t="str">
        <f t="shared" ref="F9635:F9640" si="3550">T("921320001")</f>
        <v>921320001</v>
      </c>
      <c r="G9635" t="str">
        <f>T("937 NORTH HARBOR DRIVE")</f>
        <v>937 NORTH HARBOR DRIVE</v>
      </c>
      <c r="H9635" t="str">
        <f>T("BLDG-1 3RD FLOOR, ROOM 307")</f>
        <v>BLDG-1 3RD FLOOR, ROOM 307</v>
      </c>
      <c r="I9635" t="str">
        <f t="shared" si="3548"/>
        <v>SAN DIEGO</v>
      </c>
      <c r="J9635" t="str">
        <f t="shared" si="3545"/>
        <v>CA</v>
      </c>
      <c r="K9635" t="str">
        <f>T("6195321687")</f>
        <v>6195321687</v>
      </c>
      <c r="L9635" t="str">
        <f>T("6195321804")</f>
        <v>6195321804</v>
      </c>
    </row>
    <row r="9636" spans="1:12" x14ac:dyDescent="0.35">
      <c r="A9636" t="str">
        <f t="shared" si="3546"/>
        <v>NAVAL BASE POINT LOMA</v>
      </c>
      <c r="B9636" t="str">
        <f t="shared" si="3549"/>
        <v>NAVY REGION SOUTHWEST</v>
      </c>
      <c r="C9636" t="str">
        <f>T("937 N HARBOR DR BLDG 1 RM 309")</f>
        <v>937 N HARBOR DR BLDG 1 RM 309</v>
      </c>
      <c r="D9636" t="str">
        <f t="shared" si="3547"/>
        <v>SAN DIEGO</v>
      </c>
      <c r="E9636" t="str">
        <f t="shared" si="3544"/>
        <v>CA</v>
      </c>
      <c r="F9636" t="str">
        <f t="shared" si="3550"/>
        <v>921320001</v>
      </c>
      <c r="G9636" t="str">
        <f>T("CNRSW N3 BLDG 1 3RD FL RM 310")</f>
        <v>CNRSW N3 BLDG 1 3RD FL RM 310</v>
      </c>
      <c r="H9636" t="str">
        <f>T("937 N HARBOR DRIVE")</f>
        <v>937 N HARBOR DRIVE</v>
      </c>
      <c r="I9636" t="str">
        <f t="shared" si="3548"/>
        <v>SAN DIEGO</v>
      </c>
      <c r="J9636" t="str">
        <f t="shared" si="3545"/>
        <v>CA</v>
      </c>
      <c r="K9636" t="str">
        <f>T("6195321687")</f>
        <v>6195321687</v>
      </c>
      <c r="L9636" t="str">
        <f>T("6195321785")</f>
        <v>6195321785</v>
      </c>
    </row>
    <row r="9637" spans="1:12" x14ac:dyDescent="0.35">
      <c r="A9637" t="str">
        <f t="shared" si="3546"/>
        <v>NAVAL BASE POINT LOMA</v>
      </c>
      <c r="B9637" t="str">
        <f t="shared" si="3549"/>
        <v>NAVY REGION SOUTHWEST</v>
      </c>
      <c r="C9637" t="str">
        <f>T("937 N HARBOR DR BLDG 1 RM 309")</f>
        <v>937 N HARBOR DR BLDG 1 RM 309</v>
      </c>
      <c r="D9637" t="str">
        <f t="shared" si="3547"/>
        <v>SAN DIEGO</v>
      </c>
      <c r="E9637" t="str">
        <f t="shared" si="3544"/>
        <v>CA</v>
      </c>
      <c r="F9637" t="str">
        <f t="shared" si="3550"/>
        <v>921320001</v>
      </c>
      <c r="G9637" t="str">
        <f>T("FORCE PROTECTION OFFICE")</f>
        <v>FORCE PROTECTION OFFICE</v>
      </c>
      <c r="H9637" t="str">
        <f>T("937 N HARBOR DR BLDG-1 3RD FL 309")</f>
        <v>937 N HARBOR DR BLDG-1 3RD FL 309</v>
      </c>
      <c r="I9637" t="str">
        <f t="shared" si="3548"/>
        <v>SAN DIEGO</v>
      </c>
      <c r="J9637" t="str">
        <f t="shared" si="3545"/>
        <v>CA</v>
      </c>
      <c r="K9637" t="str">
        <f>T("6195321687")</f>
        <v>6195321687</v>
      </c>
      <c r="L9637" t="str">
        <f>T("6195321781")</f>
        <v>6195321781</v>
      </c>
    </row>
    <row r="9638" spans="1:12" x14ac:dyDescent="0.35">
      <c r="A9638" t="str">
        <f t="shared" si="3546"/>
        <v>NAVAL BASE POINT LOMA</v>
      </c>
      <c r="B9638" t="str">
        <f t="shared" si="3549"/>
        <v>NAVY REGION SOUTHWEST</v>
      </c>
      <c r="C9638" t="str">
        <f>T("937 N HARBOR DR BLDG 1 RM 309")</f>
        <v>937 N HARBOR DR BLDG 1 RM 309</v>
      </c>
      <c r="D9638" t="str">
        <f t="shared" si="3547"/>
        <v>SAN DIEGO</v>
      </c>
      <c r="E9638" t="str">
        <f t="shared" si="3544"/>
        <v>CA</v>
      </c>
      <c r="F9638" t="str">
        <f t="shared" si="3550"/>
        <v>921320001</v>
      </c>
      <c r="G9638" t="str">
        <f>T("NAVY REGION SOUTHWEST")</f>
        <v>NAVY REGION SOUTHWEST</v>
      </c>
      <c r="H9638" t="str">
        <f>T("937 N HARBOR DR BLDG 1 RM 309")</f>
        <v>937 N HARBOR DR BLDG 1 RM 309</v>
      </c>
      <c r="I9638" t="str">
        <f t="shared" si="3548"/>
        <v>SAN DIEGO</v>
      </c>
      <c r="J9638" t="str">
        <f t="shared" si="3545"/>
        <v>CA</v>
      </c>
      <c r="K9638" t="str">
        <f>T("")</f>
        <v/>
      </c>
      <c r="L9638" t="str">
        <f>T("6195321695")</f>
        <v>6195321695</v>
      </c>
    </row>
    <row r="9639" spans="1:12" x14ac:dyDescent="0.35">
      <c r="A9639" t="str">
        <f t="shared" si="3546"/>
        <v>NAVAL BASE POINT LOMA</v>
      </c>
      <c r="B9639" t="str">
        <f t="shared" si="3549"/>
        <v>NAVY REGION SOUTHWEST</v>
      </c>
      <c r="C9639" t="str">
        <f>T("937 N HARBOR DR BLDG-1 BOX 81")</f>
        <v>937 N HARBOR DR BLDG-1 BOX 81</v>
      </c>
      <c r="D9639" t="str">
        <f t="shared" si="3547"/>
        <v>SAN DIEGO</v>
      </c>
      <c r="E9639" t="str">
        <f t="shared" si="3544"/>
        <v>CA</v>
      </c>
      <c r="F9639" t="str">
        <f t="shared" si="3550"/>
        <v>921320001</v>
      </c>
      <c r="G9639" t="str">
        <f>T("937 N HARBOR DRIVE BLDG-1")</f>
        <v>937 N HARBOR DRIVE BLDG-1</v>
      </c>
      <c r="H9639" t="str">
        <f>T("P O BOX 81")</f>
        <v>P O BOX 81</v>
      </c>
      <c r="I9639" t="str">
        <f t="shared" si="3548"/>
        <v>SAN DIEGO</v>
      </c>
      <c r="J9639" t="str">
        <f t="shared" si="3545"/>
        <v>CA</v>
      </c>
      <c r="K9639" t="str">
        <f>T("000000000000000000")</f>
        <v>000000000000000000</v>
      </c>
      <c r="L9639" t="str">
        <f>T("6195322284")</f>
        <v>6195322284</v>
      </c>
    </row>
    <row r="9640" spans="1:12" x14ac:dyDescent="0.35">
      <c r="A9640" t="str">
        <f t="shared" si="3546"/>
        <v>NAVAL BASE POINT LOMA</v>
      </c>
      <c r="B9640" t="str">
        <f t="shared" si="3549"/>
        <v>NAVY REGION SOUTHWEST</v>
      </c>
      <c r="C9640" t="str">
        <f>T("937 N HARBOR DR BLDG-1 BOX 81")</f>
        <v>937 N HARBOR DR BLDG-1 BOX 81</v>
      </c>
      <c r="D9640" t="str">
        <f t="shared" si="3547"/>
        <v>SAN DIEGO</v>
      </c>
      <c r="E9640" t="str">
        <f t="shared" si="3544"/>
        <v>CA</v>
      </c>
      <c r="F9640" t="str">
        <f t="shared" si="3550"/>
        <v>921320001</v>
      </c>
      <c r="G9640" t="str">
        <f>T("NAVY REGION SOUTHWEST")</f>
        <v>NAVY REGION SOUTHWEST</v>
      </c>
      <c r="H9640" t="str">
        <f>T("937 N HARBOR DR BLDG-1 BOX 81")</f>
        <v>937 N HARBOR DR BLDG-1 BOX 81</v>
      </c>
      <c r="I9640" t="str">
        <f t="shared" si="3548"/>
        <v>SAN DIEGO</v>
      </c>
      <c r="J9640" t="str">
        <f t="shared" si="3545"/>
        <v>CA</v>
      </c>
      <c r="K9640" t="str">
        <f>T("6195322283")</f>
        <v>6195322283</v>
      </c>
      <c r="L9640" t="str">
        <f>T("6195322303")</f>
        <v>6195322303</v>
      </c>
    </row>
    <row r="9641" spans="1:12" x14ac:dyDescent="0.35">
      <c r="A9641" t="str">
        <f t="shared" ref="A9641:A9660" si="3551">T("NAVAL BASE VENTURA COUNTY")</f>
        <v>NAVAL BASE VENTURA COUNTY</v>
      </c>
      <c r="B9641" t="str">
        <f>T("2600 DODSON ST")</f>
        <v>2600 DODSON ST</v>
      </c>
      <c r="C9641" t="str">
        <f>T("FFSC")</f>
        <v>FFSC</v>
      </c>
      <c r="D9641" t="str">
        <f>T("PORT HUENEME")</f>
        <v>PORT HUENEME</v>
      </c>
      <c r="E9641" t="str">
        <f t="shared" si="3544"/>
        <v>CA</v>
      </c>
      <c r="F9641" t="str">
        <f>T("930434432")</f>
        <v>930434432</v>
      </c>
      <c r="G9641" t="str">
        <f>T("2600 DODSON ST")</f>
        <v>2600 DODSON ST</v>
      </c>
      <c r="H9641" t="str">
        <f>T("FFSC")</f>
        <v>FFSC</v>
      </c>
      <c r="I9641" t="str">
        <f>T("PORT HUENEME")</f>
        <v>PORT HUENEME</v>
      </c>
      <c r="J9641" t="str">
        <f t="shared" si="3545"/>
        <v>CA</v>
      </c>
      <c r="K9641" t="str">
        <f>T("")</f>
        <v/>
      </c>
      <c r="L9641" t="str">
        <f>T("8059825325")</f>
        <v>8059825325</v>
      </c>
    </row>
    <row r="9642" spans="1:12" x14ac:dyDescent="0.35">
      <c r="A9642" t="str">
        <f t="shared" si="3551"/>
        <v>NAVAL BASE VENTURA COUNTY</v>
      </c>
      <c r="B9642" t="str">
        <f>T("2600 DODSON ST BLDG 1169")</f>
        <v>2600 DODSON ST BLDG 1169</v>
      </c>
      <c r="C9642" t="str">
        <f>T("HOUSING OFFICE")</f>
        <v>HOUSING OFFICE</v>
      </c>
      <c r="D9642" t="str">
        <f>T("PORT HUENEME")</f>
        <v>PORT HUENEME</v>
      </c>
      <c r="E9642" t="str">
        <f t="shared" si="3544"/>
        <v>CA</v>
      </c>
      <c r="F9642" t="str">
        <f>T("930434432")</f>
        <v>930434432</v>
      </c>
      <c r="G9642" t="str">
        <f>T("2600 DODSON ST BLDG 1169")</f>
        <v>2600 DODSON ST BLDG 1169</v>
      </c>
      <c r="H9642" t="str">
        <f>T("HOUSING OFFICE")</f>
        <v>HOUSING OFFICE</v>
      </c>
      <c r="I9642" t="str">
        <f>T("PORT HUENEME")</f>
        <v>PORT HUENEME</v>
      </c>
      <c r="J9642" t="str">
        <f t="shared" si="3545"/>
        <v>CA</v>
      </c>
      <c r="K9642" t="str">
        <f>T("")</f>
        <v/>
      </c>
      <c r="L9642" t="str">
        <f>T("8059821242")</f>
        <v>8059821242</v>
      </c>
    </row>
    <row r="9643" spans="1:12" x14ac:dyDescent="0.35">
      <c r="A9643" t="str">
        <f t="shared" si="3551"/>
        <v>NAVAL BASE VENTURA COUNTY</v>
      </c>
      <c r="B9643" t="str">
        <f>T("2600 DODSON ST BLDG 1169")</f>
        <v>2600 DODSON ST BLDG 1169</v>
      </c>
      <c r="C9643" t="str">
        <f>T("HOUSING OFFICE")</f>
        <v>HOUSING OFFICE</v>
      </c>
      <c r="D9643" t="str">
        <f>T("PORT HUENEME")</f>
        <v>PORT HUENEME</v>
      </c>
      <c r="E9643" t="str">
        <f t="shared" si="3544"/>
        <v>CA</v>
      </c>
      <c r="F9643" t="str">
        <f>T("930434432")</f>
        <v>930434432</v>
      </c>
      <c r="G9643" t="str">
        <f>T("2600 DODSON STREET")</f>
        <v>2600 DODSON STREET</v>
      </c>
      <c r="H9643" t="str">
        <f>T("BLDG 1169 ROOM 1300")</f>
        <v>BLDG 1169 ROOM 1300</v>
      </c>
      <c r="I9643" t="str">
        <f>T("PORT HUENEME")</f>
        <v>PORT HUENEME</v>
      </c>
      <c r="J9643" t="str">
        <f t="shared" si="3545"/>
        <v>CA</v>
      </c>
      <c r="K9643" t="str">
        <f>T("000000000000000000")</f>
        <v>000000000000000000</v>
      </c>
      <c r="L9643" t="str">
        <f>T("8059823735")</f>
        <v>8059823735</v>
      </c>
    </row>
    <row r="9644" spans="1:12" x14ac:dyDescent="0.35">
      <c r="A9644" t="str">
        <f t="shared" si="3551"/>
        <v>NAVAL BASE VENTURA COUNTY</v>
      </c>
      <c r="B9644" t="str">
        <f>T("311 MAIN RD SUITE 1")</f>
        <v>311 MAIN RD SUITE 1</v>
      </c>
      <c r="C9644" t="str">
        <f>T("")</f>
        <v/>
      </c>
      <c r="D9644" t="str">
        <f>T("PT MUGU NAWC")</f>
        <v>PT MUGU NAWC</v>
      </c>
      <c r="E9644" t="str">
        <f t="shared" si="3544"/>
        <v>CA</v>
      </c>
      <c r="F9644" t="str">
        <f t="shared" ref="F9644:F9651" si="3552">T("930425004")</f>
        <v>930425004</v>
      </c>
      <c r="G9644" t="str">
        <f>T("311 MAIN RD SUITE 1")</f>
        <v>311 MAIN RD SUITE 1</v>
      </c>
      <c r="H9644" t="str">
        <f>T("")</f>
        <v/>
      </c>
      <c r="I9644" t="str">
        <f>T("PT MUGU NAWC")</f>
        <v>PT MUGU NAWC</v>
      </c>
      <c r="J9644" t="str">
        <f t="shared" si="3545"/>
        <v>CA</v>
      </c>
      <c r="K9644" t="str">
        <f>T("805 989 8302")</f>
        <v>805 989 8302</v>
      </c>
      <c r="L9644" t="str">
        <f>T("8059892332")</f>
        <v>8059892332</v>
      </c>
    </row>
    <row r="9645" spans="1:12" x14ac:dyDescent="0.35">
      <c r="A9645" t="str">
        <f t="shared" si="3551"/>
        <v>NAVAL BASE VENTURA COUNTY</v>
      </c>
      <c r="B9645" t="str">
        <f>T("311 MAIN RD SUITE 1")</f>
        <v>311 MAIN RD SUITE 1</v>
      </c>
      <c r="C9645" t="str">
        <f>T("")</f>
        <v/>
      </c>
      <c r="D9645" t="str">
        <f>T("PT MUGU NAWC")</f>
        <v>PT MUGU NAWC</v>
      </c>
      <c r="E9645" t="str">
        <f t="shared" si="3544"/>
        <v>CA</v>
      </c>
      <c r="F9645" t="str">
        <f t="shared" si="3552"/>
        <v>930425004</v>
      </c>
      <c r="G9645" t="str">
        <f>T("613 S LAGUNA ROAD")</f>
        <v>613 S LAGUNA ROAD</v>
      </c>
      <c r="H9645" t="str">
        <f>T("")</f>
        <v/>
      </c>
      <c r="I9645" t="str">
        <f>T("POINT MUGU NAWC")</f>
        <v>POINT MUGU NAWC</v>
      </c>
      <c r="J9645" t="str">
        <f t="shared" si="3545"/>
        <v>CA</v>
      </c>
      <c r="K9645" t="str">
        <f>T("000000000000000000")</f>
        <v>000000000000000000</v>
      </c>
      <c r="L9645" t="str">
        <f>T("8059897034")</f>
        <v>8059897034</v>
      </c>
    </row>
    <row r="9646" spans="1:12" x14ac:dyDescent="0.35">
      <c r="A9646" t="str">
        <f t="shared" si="3551"/>
        <v>NAVAL BASE VENTURA COUNTY</v>
      </c>
      <c r="B9646" t="str">
        <f>T("311 MAIN RD SUITE 1")</f>
        <v>311 MAIN RD SUITE 1</v>
      </c>
      <c r="C9646" t="str">
        <f>T("")</f>
        <v/>
      </c>
      <c r="D9646" t="str">
        <f>T("PT MUGU NAWC")</f>
        <v>PT MUGU NAWC</v>
      </c>
      <c r="E9646" t="str">
        <f t="shared" si="3544"/>
        <v>CA</v>
      </c>
      <c r="F9646" t="str">
        <f t="shared" si="3552"/>
        <v>930425004</v>
      </c>
      <c r="G9646" t="str">
        <f>T("613 SOUTH LAGUNA ROAD")</f>
        <v>613 SOUTH LAGUNA ROAD</v>
      </c>
      <c r="H9646" t="str">
        <f>T("")</f>
        <v/>
      </c>
      <c r="I9646" t="str">
        <f>T("POINT MUGU")</f>
        <v>POINT MUGU</v>
      </c>
      <c r="J9646" t="str">
        <f t="shared" si="3545"/>
        <v>CA</v>
      </c>
      <c r="K9646" t="str">
        <f>T("000000000000000000")</f>
        <v>000000000000000000</v>
      </c>
      <c r="L9646" t="str">
        <f>T("8059897034")</f>
        <v>8059897034</v>
      </c>
    </row>
    <row r="9647" spans="1:12" x14ac:dyDescent="0.35">
      <c r="A9647" t="str">
        <f t="shared" si="3551"/>
        <v>NAVAL BASE VENTURA COUNTY</v>
      </c>
      <c r="B9647" t="str">
        <f>T("311 MAIN RD SUITE 1")</f>
        <v>311 MAIN RD SUITE 1</v>
      </c>
      <c r="C9647" t="str">
        <f>T("")</f>
        <v/>
      </c>
      <c r="D9647" t="str">
        <f>T("PT MUGU NAWC")</f>
        <v>PT MUGU NAWC</v>
      </c>
      <c r="E9647" t="str">
        <f t="shared" si="3544"/>
        <v>CA</v>
      </c>
      <c r="F9647" t="str">
        <f t="shared" si="3552"/>
        <v>930425004</v>
      </c>
      <c r="G9647" t="str">
        <f>T("613 SOUTH LAGUNA ROAD")</f>
        <v>613 SOUTH LAGUNA ROAD</v>
      </c>
      <c r="H9647" t="str">
        <f>T("")</f>
        <v/>
      </c>
      <c r="I9647" t="str">
        <f>T("PORT MUGU")</f>
        <v>PORT MUGU</v>
      </c>
      <c r="J9647" t="str">
        <f t="shared" si="3545"/>
        <v>CA</v>
      </c>
      <c r="K9647" t="str">
        <f>T("000000000000000000")</f>
        <v>000000000000000000</v>
      </c>
      <c r="L9647" t="str">
        <f>T("8059897035")</f>
        <v>8059897035</v>
      </c>
    </row>
    <row r="9648" spans="1:12" x14ac:dyDescent="0.35">
      <c r="A9648" t="str">
        <f t="shared" si="3551"/>
        <v>NAVAL BASE VENTURA COUNTY</v>
      </c>
      <c r="B9648" t="str">
        <f>T("311 MAIN ROAD")</f>
        <v>311 MAIN ROAD</v>
      </c>
      <c r="C9648" t="str">
        <f>T("BLDG 355")</f>
        <v>BLDG 355</v>
      </c>
      <c r="D9648" t="str">
        <f>T("POINT MUGU NAWC")</f>
        <v>POINT MUGU NAWC</v>
      </c>
      <c r="E9648" t="str">
        <f t="shared" si="3544"/>
        <v>CA</v>
      </c>
      <c r="F9648" t="str">
        <f t="shared" si="3552"/>
        <v>930425004</v>
      </c>
      <c r="G9648" t="str">
        <f>T("1074B TINIAN CIRCLE")</f>
        <v>1074B TINIAN CIRCLE</v>
      </c>
      <c r="H9648" t="str">
        <f>T("")</f>
        <v/>
      </c>
      <c r="I9648" t="str">
        <f>T("PORT HUENEME")</f>
        <v>PORT HUENEME</v>
      </c>
      <c r="J9648" t="str">
        <f t="shared" si="3545"/>
        <v>CA</v>
      </c>
      <c r="K9648" t="str">
        <f>T("000000000000000000")</f>
        <v>000000000000000000</v>
      </c>
      <c r="L9648" t="str">
        <f>T("8059818521")</f>
        <v>8059818521</v>
      </c>
    </row>
    <row r="9649" spans="1:12" x14ac:dyDescent="0.35">
      <c r="A9649" t="str">
        <f t="shared" si="3551"/>
        <v>NAVAL BASE VENTURA COUNTY</v>
      </c>
      <c r="B9649" t="str">
        <f>T("311 MAIN ROAD")</f>
        <v>311 MAIN ROAD</v>
      </c>
      <c r="C9649" t="str">
        <f>T("BLDG 355")</f>
        <v>BLDG 355</v>
      </c>
      <c r="D9649" t="str">
        <f>T("POINT MUGU NAWC")</f>
        <v>POINT MUGU NAWC</v>
      </c>
      <c r="E9649" t="str">
        <f t="shared" ref="E9649:E9660" si="3553">T("CA")</f>
        <v>CA</v>
      </c>
      <c r="F9649" t="str">
        <f t="shared" si="3552"/>
        <v>930425004</v>
      </c>
      <c r="G9649" t="str">
        <f>T("2600 DODSON STREET")</f>
        <v>2600 DODSON STREET</v>
      </c>
      <c r="H9649" t="str">
        <f>T("BLDG 1169, ROOM 1200")</f>
        <v>BLDG 1169, ROOM 1200</v>
      </c>
      <c r="I9649" t="str">
        <f>T("PORT HUENEME")</f>
        <v>PORT HUENEME</v>
      </c>
      <c r="J9649" t="str">
        <f t="shared" ref="J9649:J9660" si="3554">T("CA")</f>
        <v>CA</v>
      </c>
      <c r="K9649" t="str">
        <f>T("000000000000000000")</f>
        <v>000000000000000000</v>
      </c>
      <c r="L9649" t="str">
        <f>T("8059897897")</f>
        <v>8059897897</v>
      </c>
    </row>
    <row r="9650" spans="1:12" x14ac:dyDescent="0.35">
      <c r="A9650" t="str">
        <f t="shared" si="3551"/>
        <v>NAVAL BASE VENTURA COUNTY</v>
      </c>
      <c r="B9650" t="str">
        <f>T("311 MAIN ROAD")</f>
        <v>311 MAIN ROAD</v>
      </c>
      <c r="C9650" t="str">
        <f>T("BLDG 355")</f>
        <v>BLDG 355</v>
      </c>
      <c r="D9650" t="str">
        <f>T("POINT MUGU NAWC")</f>
        <v>POINT MUGU NAWC</v>
      </c>
      <c r="E9650" t="str">
        <f t="shared" si="3553"/>
        <v>CA</v>
      </c>
      <c r="F9650" t="str">
        <f t="shared" si="3552"/>
        <v>930425004</v>
      </c>
      <c r="G9650" t="str">
        <f>T("311 MAIN RD BLDG 355")</f>
        <v>311 MAIN RD BLDG 355</v>
      </c>
      <c r="H9650" t="str">
        <f>T("")</f>
        <v/>
      </c>
      <c r="I9650" t="str">
        <f>T("POINT MUGU NAWC")</f>
        <v>POINT MUGU NAWC</v>
      </c>
      <c r="J9650" t="str">
        <f t="shared" si="3554"/>
        <v>CA</v>
      </c>
      <c r="K9650" t="str">
        <f>T("8059894794")</f>
        <v>8059894794</v>
      </c>
      <c r="L9650" t="str">
        <f>T("8059898521")</f>
        <v>8059898521</v>
      </c>
    </row>
    <row r="9651" spans="1:12" x14ac:dyDescent="0.35">
      <c r="A9651" t="str">
        <f t="shared" si="3551"/>
        <v>NAVAL BASE VENTURA COUNTY</v>
      </c>
      <c r="B9651" t="str">
        <f>T("311 MAIN ROAD")</f>
        <v>311 MAIN ROAD</v>
      </c>
      <c r="C9651" t="str">
        <f>T("BLDG 355")</f>
        <v>BLDG 355</v>
      </c>
      <c r="D9651" t="str">
        <f>T("POINT MUGU NAWC")</f>
        <v>POINT MUGU NAWC</v>
      </c>
      <c r="E9651" t="str">
        <f t="shared" si="3553"/>
        <v>CA</v>
      </c>
      <c r="F9651" t="str">
        <f t="shared" si="3552"/>
        <v>930425004</v>
      </c>
      <c r="G9651" t="str">
        <f>T("311 MAIN ROAD")</f>
        <v>311 MAIN ROAD</v>
      </c>
      <c r="H9651" t="str">
        <f>T("BLDG 355")</f>
        <v>BLDG 355</v>
      </c>
      <c r="I9651" t="str">
        <f>T("POINT MUGU NAWC")</f>
        <v>POINT MUGU NAWC</v>
      </c>
      <c r="J9651" t="str">
        <f t="shared" si="3554"/>
        <v>CA</v>
      </c>
      <c r="K9651" t="str">
        <f>T("8059898726")</f>
        <v>8059898726</v>
      </c>
      <c r="L9651" t="str">
        <f>T("8059897041")</f>
        <v>8059897041</v>
      </c>
    </row>
    <row r="9652" spans="1:12" x14ac:dyDescent="0.35">
      <c r="A9652" t="str">
        <f t="shared" si="3551"/>
        <v>NAVAL BASE VENTURA COUNTY</v>
      </c>
      <c r="B9652" t="str">
        <f>T("4111 SAN PEDRO ST")</f>
        <v>4111 SAN PEDRO ST</v>
      </c>
      <c r="C9652" t="str">
        <f>T("BLDG 1443")</f>
        <v>BLDG 1443</v>
      </c>
      <c r="D9652" t="str">
        <f>T("PORT HUENEME")</f>
        <v>PORT HUENEME</v>
      </c>
      <c r="E9652" t="str">
        <f t="shared" si="3553"/>
        <v>CA</v>
      </c>
      <c r="F9652" t="str">
        <f>T("930434436")</f>
        <v>930434436</v>
      </c>
      <c r="G9652" t="str">
        <f>T("4111 SAN PEDRO ST")</f>
        <v>4111 SAN PEDRO ST</v>
      </c>
      <c r="H9652" t="str">
        <f>T("BLDG 1443")</f>
        <v>BLDG 1443</v>
      </c>
      <c r="I9652" t="str">
        <f>T("PORT HUENEME")</f>
        <v>PORT HUENEME</v>
      </c>
      <c r="J9652" t="str">
        <f t="shared" si="3554"/>
        <v>CA</v>
      </c>
      <c r="K9652" t="str">
        <f>T("")</f>
        <v/>
      </c>
      <c r="L9652" t="str">
        <f>T("8059822744")</f>
        <v>8059822744</v>
      </c>
    </row>
    <row r="9653" spans="1:12" x14ac:dyDescent="0.35">
      <c r="A9653" t="str">
        <f t="shared" si="3551"/>
        <v>NAVAL BASE VENTURA COUNTY</v>
      </c>
      <c r="B9653" t="str">
        <f>T("4111 SAN PEDRO ST")</f>
        <v>4111 SAN PEDRO ST</v>
      </c>
      <c r="C9653" t="str">
        <f>T("BLDG 1443")</f>
        <v>BLDG 1443</v>
      </c>
      <c r="D9653" t="str">
        <f>T("PORT HUENEME")</f>
        <v>PORT HUENEME</v>
      </c>
      <c r="E9653" t="str">
        <f t="shared" si="3553"/>
        <v>CA</v>
      </c>
      <c r="F9653" t="str">
        <f>T("930434436")</f>
        <v>930434436</v>
      </c>
      <c r="G9653" t="str">
        <f>T("4111 SAN PEDRO ST BLDG 1443102E")</f>
        <v>4111 SAN PEDRO ST BLDG 1443102E</v>
      </c>
      <c r="H9653" t="str">
        <f>T("")</f>
        <v/>
      </c>
      <c r="I9653" t="str">
        <f>T("PORT HUENEME")</f>
        <v>PORT HUENEME</v>
      </c>
      <c r="J9653" t="str">
        <f t="shared" si="3554"/>
        <v>CA</v>
      </c>
      <c r="K9653" t="str">
        <f>T("000000000000000000")</f>
        <v>000000000000000000</v>
      </c>
      <c r="L9653" t="str">
        <f>T("8059823127")</f>
        <v>8059823127</v>
      </c>
    </row>
    <row r="9654" spans="1:12" x14ac:dyDescent="0.35">
      <c r="A9654" t="str">
        <f t="shared" si="3551"/>
        <v>NAVAL BASE VENTURA COUNTY</v>
      </c>
      <c r="B9654" t="str">
        <f>T("NBVC COMMAND ADMIN")</f>
        <v>NBVC COMMAND ADMIN</v>
      </c>
      <c r="C9654" t="str">
        <f>T("311 MAIN ROAD SUITE 1")</f>
        <v>311 MAIN ROAD SUITE 1</v>
      </c>
      <c r="D9654" t="str">
        <f t="shared" ref="D9654:D9660" si="3555">T("PT MUGU NAWC")</f>
        <v>PT MUGU NAWC</v>
      </c>
      <c r="E9654" t="str">
        <f t="shared" si="3553"/>
        <v>CA</v>
      </c>
      <c r="F9654" t="str">
        <f t="shared" ref="F9654:F9660" si="3556">T("930425004")</f>
        <v>930425004</v>
      </c>
      <c r="G9654" t="str">
        <f>T("311 MAIN ROAD")</f>
        <v>311 MAIN ROAD</v>
      </c>
      <c r="H9654" t="str">
        <f>T("SUITE 1")</f>
        <v>SUITE 1</v>
      </c>
      <c r="I9654" t="str">
        <f>T("POINT MUGU NAWC")</f>
        <v>POINT MUGU NAWC</v>
      </c>
      <c r="J9654" t="str">
        <f t="shared" si="3554"/>
        <v>CA</v>
      </c>
      <c r="K9654" t="str">
        <f>T("8059894819")</f>
        <v>8059894819</v>
      </c>
      <c r="L9654" t="str">
        <f>T("8059891719")</f>
        <v>8059891719</v>
      </c>
    </row>
    <row r="9655" spans="1:12" x14ac:dyDescent="0.35">
      <c r="A9655" t="str">
        <f t="shared" si="3551"/>
        <v>NAVAL BASE VENTURA COUNTY</v>
      </c>
      <c r="B9655" t="str">
        <f>T("NBVC COMMAND ADMIN")</f>
        <v>NBVC COMMAND ADMIN</v>
      </c>
      <c r="C9655" t="str">
        <f>T("311 MAIN ROAD SUITE 1")</f>
        <v>311 MAIN ROAD SUITE 1</v>
      </c>
      <c r="D9655" t="str">
        <f t="shared" si="3555"/>
        <v>PT MUGU NAWC</v>
      </c>
      <c r="E9655" t="str">
        <f t="shared" si="3553"/>
        <v>CA</v>
      </c>
      <c r="F9655" t="str">
        <f t="shared" si="3556"/>
        <v>930425004</v>
      </c>
      <c r="G9655" t="str">
        <f>T("NBVC COMMAND ADMIN")</f>
        <v>NBVC COMMAND ADMIN</v>
      </c>
      <c r="H9655" t="str">
        <f>T("311 MAIN ROAD SUITE 1")</f>
        <v>311 MAIN ROAD SUITE 1</v>
      </c>
      <c r="I9655" t="str">
        <f>T("PT MUGU NAWC")</f>
        <v>PT MUGU NAWC</v>
      </c>
      <c r="J9655" t="str">
        <f t="shared" si="3554"/>
        <v>CA</v>
      </c>
      <c r="K9655" t="str">
        <f>T("")</f>
        <v/>
      </c>
      <c r="L9655" t="str">
        <f>T("8059898876")</f>
        <v>8059898876</v>
      </c>
    </row>
    <row r="9656" spans="1:12" x14ac:dyDescent="0.35">
      <c r="A9656" t="str">
        <f t="shared" si="3551"/>
        <v>NAVAL BASE VENTURA COUNTY</v>
      </c>
      <c r="B9656" t="str">
        <f>T("NBVC ENVIRONMENTAL DIVISION")</f>
        <v>NBVC ENVIRONMENTAL DIVISION</v>
      </c>
      <c r="C9656" t="str">
        <f>T("311 MAIN ROAD SUIT 1")</f>
        <v>311 MAIN ROAD SUIT 1</v>
      </c>
      <c r="D9656" t="str">
        <f t="shared" si="3555"/>
        <v>PT MUGU NAWC</v>
      </c>
      <c r="E9656" t="str">
        <f t="shared" si="3553"/>
        <v>CA</v>
      </c>
      <c r="F9656" t="str">
        <f t="shared" si="3556"/>
        <v>930425004</v>
      </c>
      <c r="G9656" t="str">
        <f>T("2600 DODSON ST")</f>
        <v>2600 DODSON ST</v>
      </c>
      <c r="H9656" t="str">
        <f>T("")</f>
        <v/>
      </c>
      <c r="I9656" t="str">
        <f>T("PORT HUENEME")</f>
        <v>PORT HUENEME</v>
      </c>
      <c r="J9656" t="str">
        <f t="shared" si="3554"/>
        <v>CA</v>
      </c>
      <c r="K9656" t="str">
        <f>T("000000000000000000")</f>
        <v>000000000000000000</v>
      </c>
      <c r="L9656" t="str">
        <f>T("8059893202")</f>
        <v>8059893202</v>
      </c>
    </row>
    <row r="9657" spans="1:12" x14ac:dyDescent="0.35">
      <c r="A9657" t="str">
        <f t="shared" si="3551"/>
        <v>NAVAL BASE VENTURA COUNTY</v>
      </c>
      <c r="B9657" t="str">
        <f>T("NBVC ENVIRONMENTAL DIVISION")</f>
        <v>NBVC ENVIRONMENTAL DIVISION</v>
      </c>
      <c r="C9657" t="str">
        <f>T("311 MAIN ROAD SUIT 1")</f>
        <v>311 MAIN ROAD SUIT 1</v>
      </c>
      <c r="D9657" t="str">
        <f t="shared" si="3555"/>
        <v>PT MUGU NAWC</v>
      </c>
      <c r="E9657" t="str">
        <f t="shared" si="3553"/>
        <v>CA</v>
      </c>
      <c r="F9657" t="str">
        <f t="shared" si="3556"/>
        <v>930425004</v>
      </c>
      <c r="G9657" t="str">
        <f>T("2600 DODSON ST BLDG 1169")</f>
        <v>2600 DODSON ST BLDG 1169</v>
      </c>
      <c r="H9657" t="str">
        <f>T("")</f>
        <v/>
      </c>
      <c r="I9657" t="str">
        <f>T("PORT HUENEME")</f>
        <v>PORT HUENEME</v>
      </c>
      <c r="J9657" t="str">
        <f t="shared" si="3554"/>
        <v>CA</v>
      </c>
      <c r="K9657" t="str">
        <f>T("000000000000000000")</f>
        <v>000000000000000000</v>
      </c>
      <c r="L9657" t="str">
        <f>T("8059897412")</f>
        <v>8059897412</v>
      </c>
    </row>
    <row r="9658" spans="1:12" x14ac:dyDescent="0.35">
      <c r="A9658" t="str">
        <f t="shared" si="3551"/>
        <v>NAVAL BASE VENTURA COUNTY</v>
      </c>
      <c r="B9658" t="str">
        <f>T("NBVC ENVIRONMENTAL DIVISION")</f>
        <v>NBVC ENVIRONMENTAL DIVISION</v>
      </c>
      <c r="C9658" t="str">
        <f>T("311 MAIN ROAD SUIT 1")</f>
        <v>311 MAIN ROAD SUIT 1</v>
      </c>
      <c r="D9658" t="str">
        <f t="shared" si="3555"/>
        <v>PT MUGU NAWC</v>
      </c>
      <c r="E9658" t="str">
        <f t="shared" si="3553"/>
        <v>CA</v>
      </c>
      <c r="F9658" t="str">
        <f t="shared" si="3556"/>
        <v>930425004</v>
      </c>
      <c r="G9658" t="str">
        <f>T("2600 DODSON STREET")</f>
        <v>2600 DODSON STREET</v>
      </c>
      <c r="H9658" t="str">
        <f>T("BLDG 1169, ROOM 1200")</f>
        <v>BLDG 1169, ROOM 1200</v>
      </c>
      <c r="I9658" t="str">
        <f>T("PORT HUENEME")</f>
        <v>PORT HUENEME</v>
      </c>
      <c r="J9658" t="str">
        <f t="shared" si="3554"/>
        <v>CA</v>
      </c>
      <c r="K9658" t="str">
        <f>T("000000000000000000")</f>
        <v>000000000000000000</v>
      </c>
      <c r="L9658" t="str">
        <f>T("8059893037")</f>
        <v>8059893037</v>
      </c>
    </row>
    <row r="9659" spans="1:12" x14ac:dyDescent="0.35">
      <c r="A9659" t="str">
        <f t="shared" si="3551"/>
        <v>NAVAL BASE VENTURA COUNTY</v>
      </c>
      <c r="B9659" t="str">
        <f>T("NBVC ENVIRONMENTAL DIVISION")</f>
        <v>NBVC ENVIRONMENTAL DIVISION</v>
      </c>
      <c r="C9659" t="str">
        <f>T("311 MAIN ROAD SUIT 1")</f>
        <v>311 MAIN ROAD SUIT 1</v>
      </c>
      <c r="D9659" t="str">
        <f t="shared" si="3555"/>
        <v>PT MUGU NAWC</v>
      </c>
      <c r="E9659" t="str">
        <f t="shared" si="3553"/>
        <v>CA</v>
      </c>
      <c r="F9659" t="str">
        <f t="shared" si="3556"/>
        <v>930425004</v>
      </c>
      <c r="G9659" t="str">
        <f>T("311 MAIN ROAD BLDG 632")</f>
        <v>311 MAIN ROAD BLDG 632</v>
      </c>
      <c r="H9659" t="str">
        <f>T("")</f>
        <v/>
      </c>
      <c r="I9659" t="str">
        <f>T("POINT MUGU")</f>
        <v>POINT MUGU</v>
      </c>
      <c r="J9659" t="str">
        <f t="shared" si="3554"/>
        <v>CA</v>
      </c>
      <c r="K9659" t="str">
        <f>T("000000000000000000")</f>
        <v>000000000000000000</v>
      </c>
      <c r="L9659" t="str">
        <f>T("8059898501")</f>
        <v>8059898501</v>
      </c>
    </row>
    <row r="9660" spans="1:12" x14ac:dyDescent="0.35">
      <c r="A9660" t="str">
        <f t="shared" si="3551"/>
        <v>NAVAL BASE VENTURA COUNTY</v>
      </c>
      <c r="B9660" t="str">
        <f>T("NBVC ENVIRONMENTAL DIVISION")</f>
        <v>NBVC ENVIRONMENTAL DIVISION</v>
      </c>
      <c r="C9660" t="str">
        <f>T("311 MAIN ROAD SUIT 1")</f>
        <v>311 MAIN ROAD SUIT 1</v>
      </c>
      <c r="D9660" t="str">
        <f t="shared" si="3555"/>
        <v>PT MUGU NAWC</v>
      </c>
      <c r="E9660" t="str">
        <f t="shared" si="3553"/>
        <v>CA</v>
      </c>
      <c r="F9660" t="str">
        <f t="shared" si="3556"/>
        <v>930425004</v>
      </c>
      <c r="G9660" t="str">
        <f>T("NBVC ENVIRONMENTAL DIVISION")</f>
        <v>NBVC ENVIRONMENTAL DIVISION</v>
      </c>
      <c r="H9660" t="str">
        <f>T("311 MAIN ROAD SUIT 1")</f>
        <v>311 MAIN ROAD SUIT 1</v>
      </c>
      <c r="I9660" t="str">
        <f>T("PT MUGU NAWC")</f>
        <v>PT MUGU NAWC</v>
      </c>
      <c r="J9660" t="str">
        <f t="shared" si="3554"/>
        <v>CA</v>
      </c>
      <c r="K9660" t="str">
        <f>T("8059891011")</f>
        <v>8059891011</v>
      </c>
      <c r="L9660" t="str">
        <f>T("8059893805")</f>
        <v>8059893805</v>
      </c>
    </row>
    <row r="9661" spans="1:12" x14ac:dyDescent="0.35">
      <c r="A9661" t="str">
        <f t="shared" ref="A9661:A9697" si="3557">T("NAS SIGONELLA")</f>
        <v>NAS SIGONELLA</v>
      </c>
      <c r="B9661" t="str">
        <f>T("ATTN MS SALADINO APC")</f>
        <v>ATTN MS SALADINO APC</v>
      </c>
      <c r="C9661" t="str">
        <f>T("PSC 812 BOX 104")</f>
        <v>PSC 812 BOX 104</v>
      </c>
      <c r="D9661" t="str">
        <f t="shared" ref="D9661:D9692" si="3558">T("FPO")</f>
        <v>FPO</v>
      </c>
      <c r="E9661" t="str">
        <f t="shared" ref="E9661:E9692" si="3559">T("AE")</f>
        <v>AE</v>
      </c>
      <c r="F9661" t="str">
        <f>T("096270002")</f>
        <v>096270002</v>
      </c>
      <c r="G9661" t="str">
        <f>T("ATTN MS SALADINO APC")</f>
        <v>ATTN MS SALADINO APC</v>
      </c>
      <c r="H9661" t="str">
        <f>T("PSC 812 BOX 104")</f>
        <v>PSC 812 BOX 104</v>
      </c>
      <c r="I9661" t="str">
        <f t="shared" ref="I9661:I9692" si="3560">T("FPO")</f>
        <v>FPO</v>
      </c>
      <c r="J9661" t="str">
        <f t="shared" ref="J9661:J9692" si="3561">T("AE")</f>
        <v>AE</v>
      </c>
      <c r="K9661" t="str">
        <f>T("000000000000000000")</f>
        <v>000000000000000000</v>
      </c>
      <c r="L9661" t="str">
        <f t="shared" ref="L9661:L9666" si="3562">T("1111111111")</f>
        <v>1111111111</v>
      </c>
    </row>
    <row r="9662" spans="1:12" x14ac:dyDescent="0.35">
      <c r="A9662" t="str">
        <f t="shared" si="3557"/>
        <v>NAS SIGONELLA</v>
      </c>
      <c r="B9662" t="str">
        <f>T("ATTN MS SALADINO APC")</f>
        <v>ATTN MS SALADINO APC</v>
      </c>
      <c r="C9662" t="str">
        <f>T("PSC 812 BOX 104")</f>
        <v>PSC 812 BOX 104</v>
      </c>
      <c r="D9662" t="str">
        <f t="shared" si="3558"/>
        <v>FPO</v>
      </c>
      <c r="E9662" t="str">
        <f t="shared" si="3559"/>
        <v>AE</v>
      </c>
      <c r="F9662" t="str">
        <f>T("096270002")</f>
        <v>096270002</v>
      </c>
      <c r="G9662" t="str">
        <f>T("PSC 812 BOX 1")</f>
        <v>PSC 812 BOX 1</v>
      </c>
      <c r="H9662" t="str">
        <f t="shared" ref="H9662:H9667" si="3563">T("")</f>
        <v/>
      </c>
      <c r="I9662" t="str">
        <f t="shared" si="3560"/>
        <v>FPO</v>
      </c>
      <c r="J9662" t="str">
        <f t="shared" si="3561"/>
        <v>AE</v>
      </c>
      <c r="K9662" t="str">
        <f>T("01139095862897")</f>
        <v>01139095862897</v>
      </c>
      <c r="L9662" t="str">
        <f t="shared" si="3562"/>
        <v>1111111111</v>
      </c>
    </row>
    <row r="9663" spans="1:12" x14ac:dyDescent="0.35">
      <c r="A9663" t="str">
        <f t="shared" si="3557"/>
        <v>NAS SIGONELLA</v>
      </c>
      <c r="B9663" t="str">
        <f>T("ATTN MS SALADINO APC")</f>
        <v>ATTN MS SALADINO APC</v>
      </c>
      <c r="C9663" t="str">
        <f>T("PSC 812 BOX 104")</f>
        <v>PSC 812 BOX 104</v>
      </c>
      <c r="D9663" t="str">
        <f t="shared" si="3558"/>
        <v>FPO</v>
      </c>
      <c r="E9663" t="str">
        <f t="shared" si="3559"/>
        <v>AE</v>
      </c>
      <c r="F9663" t="str">
        <f>T("096270002")</f>
        <v>096270002</v>
      </c>
      <c r="G9663" t="str">
        <f>T("PSC 812 BOX 130")</f>
        <v>PSC 812 BOX 130</v>
      </c>
      <c r="H9663" t="str">
        <f t="shared" si="3563"/>
        <v/>
      </c>
      <c r="I9663" t="str">
        <f t="shared" si="3560"/>
        <v>FPO</v>
      </c>
      <c r="J9663" t="str">
        <f t="shared" si="3561"/>
        <v>AE</v>
      </c>
      <c r="K9663" t="str">
        <f>T("01139095862071")</f>
        <v>01139095862071</v>
      </c>
      <c r="L9663" t="str">
        <f t="shared" si="3562"/>
        <v>1111111111</v>
      </c>
    </row>
    <row r="9664" spans="1:12" x14ac:dyDescent="0.35">
      <c r="A9664" t="str">
        <f t="shared" si="3557"/>
        <v>NAS SIGONELLA</v>
      </c>
      <c r="B9664" t="str">
        <f>T("PSC 812 BOX 0018")</f>
        <v>PSC 812 BOX 0018</v>
      </c>
      <c r="C9664" t="str">
        <f>T("")</f>
        <v/>
      </c>
      <c r="D9664" t="str">
        <f t="shared" si="3558"/>
        <v>FPO</v>
      </c>
      <c r="E9664" t="str">
        <f t="shared" si="3559"/>
        <v>AE</v>
      </c>
      <c r="F9664" t="str">
        <f>T("096270001")</f>
        <v>096270001</v>
      </c>
      <c r="G9664" t="str">
        <f>T("PSC 812 BOX 0018")</f>
        <v>PSC 812 BOX 0018</v>
      </c>
      <c r="H9664" t="str">
        <f t="shared" si="3563"/>
        <v/>
      </c>
      <c r="I9664" t="str">
        <f t="shared" si="3560"/>
        <v>FPO</v>
      </c>
      <c r="J9664" t="str">
        <f t="shared" si="3561"/>
        <v>AE</v>
      </c>
      <c r="K9664" t="str">
        <f>T("1111111111")</f>
        <v>1111111111</v>
      </c>
      <c r="L9664" t="str">
        <f t="shared" si="3562"/>
        <v>1111111111</v>
      </c>
    </row>
    <row r="9665" spans="1:12" x14ac:dyDescent="0.35">
      <c r="A9665" t="str">
        <f t="shared" si="3557"/>
        <v>NAS SIGONELLA</v>
      </c>
      <c r="B9665" t="str">
        <f>T("PSC 812 BOX 0018")</f>
        <v>PSC 812 BOX 0018</v>
      </c>
      <c r="C9665" t="str">
        <f>T("")</f>
        <v/>
      </c>
      <c r="D9665" t="str">
        <f t="shared" si="3558"/>
        <v>FPO</v>
      </c>
      <c r="E9665" t="str">
        <f t="shared" si="3559"/>
        <v>AE</v>
      </c>
      <c r="F9665" t="str">
        <f>T("096270001")</f>
        <v>096270001</v>
      </c>
      <c r="G9665" t="str">
        <f>T("PSC 812 BOX 2580")</f>
        <v>PSC 812 BOX 2580</v>
      </c>
      <c r="H9665" t="str">
        <f t="shared" si="3563"/>
        <v/>
      </c>
      <c r="I9665" t="str">
        <f t="shared" si="3560"/>
        <v>FPO</v>
      </c>
      <c r="J9665" t="str">
        <f t="shared" si="3561"/>
        <v>AE</v>
      </c>
      <c r="K9665" t="str">
        <f>T("01139095842331")</f>
        <v>01139095842331</v>
      </c>
      <c r="L9665" t="str">
        <f t="shared" si="3562"/>
        <v>1111111111</v>
      </c>
    </row>
    <row r="9666" spans="1:12" x14ac:dyDescent="0.35">
      <c r="A9666" t="str">
        <f t="shared" si="3557"/>
        <v>NAS SIGONELLA</v>
      </c>
      <c r="B9666" t="str">
        <f>T("PSC 812 BOX 0018")</f>
        <v>PSC 812 BOX 0018</v>
      </c>
      <c r="C9666" t="str">
        <f>T("")</f>
        <v/>
      </c>
      <c r="D9666" t="str">
        <f t="shared" si="3558"/>
        <v>FPO</v>
      </c>
      <c r="E9666" t="str">
        <f t="shared" si="3559"/>
        <v>AE</v>
      </c>
      <c r="F9666" t="str">
        <f>T("096270001")</f>
        <v>096270001</v>
      </c>
      <c r="G9666" t="str">
        <f>T("PSC 812 BOX 2591")</f>
        <v>PSC 812 BOX 2591</v>
      </c>
      <c r="H9666" t="str">
        <f t="shared" si="3563"/>
        <v/>
      </c>
      <c r="I9666" t="str">
        <f t="shared" si="3560"/>
        <v>FPO</v>
      </c>
      <c r="J9666" t="str">
        <f t="shared" si="3561"/>
        <v>AE</v>
      </c>
      <c r="K9666" t="str">
        <f>T("01139095862331")</f>
        <v>01139095862331</v>
      </c>
      <c r="L9666" t="str">
        <f t="shared" si="3562"/>
        <v>1111111111</v>
      </c>
    </row>
    <row r="9667" spans="1:12" x14ac:dyDescent="0.35">
      <c r="A9667" t="str">
        <f t="shared" si="3557"/>
        <v>NAS SIGONELLA</v>
      </c>
      <c r="B9667" t="str">
        <f>T("PSC 812 BOX 1781")</f>
        <v>PSC 812 BOX 1781</v>
      </c>
      <c r="C9667" t="str">
        <f>T("US NAVAL AIR STATION")</f>
        <v>US NAVAL AIR STATION</v>
      </c>
      <c r="D9667" t="str">
        <f t="shared" si="3558"/>
        <v>FPO</v>
      </c>
      <c r="E9667" t="str">
        <f t="shared" si="3559"/>
        <v>AE</v>
      </c>
      <c r="F9667" t="str">
        <f>T("096270018")</f>
        <v>096270018</v>
      </c>
      <c r="G9667" t="str">
        <f>T("PSC 812 BOX 1705")</f>
        <v>PSC 812 BOX 1705</v>
      </c>
      <c r="H9667" t="str">
        <f t="shared" si="3563"/>
        <v/>
      </c>
      <c r="I9667" t="str">
        <f t="shared" si="3560"/>
        <v>FPO</v>
      </c>
      <c r="J9667" t="str">
        <f t="shared" si="3561"/>
        <v>AE</v>
      </c>
      <c r="K9667" t="str">
        <f>T("000000000000000000")</f>
        <v>000000000000000000</v>
      </c>
      <c r="L9667" t="str">
        <f>T("3146246261")</f>
        <v>3146246261</v>
      </c>
    </row>
    <row r="9668" spans="1:12" x14ac:dyDescent="0.35">
      <c r="A9668" t="str">
        <f t="shared" si="3557"/>
        <v>NAS SIGONELLA</v>
      </c>
      <c r="B9668" t="str">
        <f>T("PSC 812 BOX 1781")</f>
        <v>PSC 812 BOX 1781</v>
      </c>
      <c r="C9668" t="str">
        <f>T("US NAVAL AIR STATION")</f>
        <v>US NAVAL AIR STATION</v>
      </c>
      <c r="D9668" t="str">
        <f t="shared" si="3558"/>
        <v>FPO</v>
      </c>
      <c r="E9668" t="str">
        <f t="shared" si="3559"/>
        <v>AE</v>
      </c>
      <c r="F9668" t="str">
        <f>T("096270018")</f>
        <v>096270018</v>
      </c>
      <c r="G9668" t="str">
        <f>T("PSC 812 BOX 1781")</f>
        <v>PSC 812 BOX 1781</v>
      </c>
      <c r="H9668" t="str">
        <f>T("US NAVAL AIR STATION")</f>
        <v>US NAVAL AIR STATION</v>
      </c>
      <c r="I9668" t="str">
        <f t="shared" si="3560"/>
        <v>FPO</v>
      </c>
      <c r="J9668" t="str">
        <f t="shared" si="3561"/>
        <v>AE</v>
      </c>
      <c r="K9668" t="str">
        <f>T("000000000000000000")</f>
        <v>000000000000000000</v>
      </c>
      <c r="L9668" t="str">
        <f t="shared" ref="L9668:L9673" si="3564">T("1111111111")</f>
        <v>1111111111</v>
      </c>
    </row>
    <row r="9669" spans="1:12" x14ac:dyDescent="0.35">
      <c r="A9669" t="str">
        <f t="shared" si="3557"/>
        <v>NAS SIGONELLA</v>
      </c>
      <c r="B9669" t="str">
        <f>T("PSC 812 BOX 1781")</f>
        <v>PSC 812 BOX 1781</v>
      </c>
      <c r="C9669" t="str">
        <f>T("US NAVAL AIR STATION")</f>
        <v>US NAVAL AIR STATION</v>
      </c>
      <c r="D9669" t="str">
        <f t="shared" si="3558"/>
        <v>FPO</v>
      </c>
      <c r="E9669" t="str">
        <f t="shared" si="3559"/>
        <v>AE</v>
      </c>
      <c r="F9669" t="str">
        <f>T("096270018")</f>
        <v>096270018</v>
      </c>
      <c r="G9669" t="str">
        <f>T("SC 912 BOPX 1705")</f>
        <v>SC 912 BOPX 1705</v>
      </c>
      <c r="H9669" t="str">
        <f>T("")</f>
        <v/>
      </c>
      <c r="I9669" t="str">
        <f t="shared" si="3560"/>
        <v>FPO</v>
      </c>
      <c r="J9669" t="str">
        <f t="shared" si="3561"/>
        <v>AE</v>
      </c>
      <c r="K9669" t="str">
        <f>T("01139095866265")</f>
        <v>01139095866265</v>
      </c>
      <c r="L9669" t="str">
        <f t="shared" si="3564"/>
        <v>1111111111</v>
      </c>
    </row>
    <row r="9670" spans="1:12" x14ac:dyDescent="0.35">
      <c r="A9670" t="str">
        <f t="shared" si="3557"/>
        <v>NAS SIGONELLA</v>
      </c>
      <c r="B9670" t="str">
        <f>T("PSC 812 BOX 19")</f>
        <v>PSC 812 BOX 19</v>
      </c>
      <c r="C9670" t="str">
        <f t="shared" ref="C9670:C9676" si="3565">T("")</f>
        <v/>
      </c>
      <c r="D9670" t="str">
        <f t="shared" si="3558"/>
        <v>FPO</v>
      </c>
      <c r="E9670" t="str">
        <f t="shared" si="3559"/>
        <v>AE</v>
      </c>
      <c r="F9670" t="str">
        <f>T("096270001")</f>
        <v>096270001</v>
      </c>
      <c r="G9670" t="str">
        <f>T("PSC 812 BOX 19")</f>
        <v>PSC 812 BOX 19</v>
      </c>
      <c r="H9670" t="str">
        <f>T("")</f>
        <v/>
      </c>
      <c r="I9670" t="str">
        <f t="shared" si="3560"/>
        <v>FPO</v>
      </c>
      <c r="J9670" t="str">
        <f t="shared" si="3561"/>
        <v>AE</v>
      </c>
      <c r="K9670" t="str">
        <f>T("1111111111")</f>
        <v>1111111111</v>
      </c>
      <c r="L9670" t="str">
        <f t="shared" si="3564"/>
        <v>1111111111</v>
      </c>
    </row>
    <row r="9671" spans="1:12" x14ac:dyDescent="0.35">
      <c r="A9671" t="str">
        <f t="shared" si="3557"/>
        <v>NAS SIGONELLA</v>
      </c>
      <c r="B9671" t="str">
        <f>T("PSC 812 BOX 2630")</f>
        <v>PSC 812 BOX 2630</v>
      </c>
      <c r="C9671" t="str">
        <f t="shared" si="3565"/>
        <v/>
      </c>
      <c r="D9671" t="str">
        <f t="shared" si="3558"/>
        <v>FPO</v>
      </c>
      <c r="E9671" t="str">
        <f t="shared" si="3559"/>
        <v>AE</v>
      </c>
      <c r="F9671" t="str">
        <f t="shared" ref="F9671:F9676" si="3566">T("096270027")</f>
        <v>096270027</v>
      </c>
      <c r="G9671" t="str">
        <f>T("PSC 812 BOX 2630")</f>
        <v>PSC 812 BOX 2630</v>
      </c>
      <c r="H9671" t="str">
        <f>T("")</f>
        <v/>
      </c>
      <c r="I9671" t="str">
        <f t="shared" si="3560"/>
        <v>FPO</v>
      </c>
      <c r="J9671" t="str">
        <f t="shared" si="3561"/>
        <v>AE</v>
      </c>
      <c r="K9671" t="str">
        <f>T("000000000000000000")</f>
        <v>000000000000000000</v>
      </c>
      <c r="L9671" t="str">
        <f t="shared" si="3564"/>
        <v>1111111111</v>
      </c>
    </row>
    <row r="9672" spans="1:12" x14ac:dyDescent="0.35">
      <c r="A9672" t="str">
        <f t="shared" si="3557"/>
        <v>NAS SIGONELLA</v>
      </c>
      <c r="B9672" t="str">
        <f>T("PSC 812 BOX 2630")</f>
        <v>PSC 812 BOX 2630</v>
      </c>
      <c r="C9672" t="str">
        <f t="shared" si="3565"/>
        <v/>
      </c>
      <c r="D9672" t="str">
        <f t="shared" si="3558"/>
        <v>FPO</v>
      </c>
      <c r="E9672" t="str">
        <f t="shared" si="3559"/>
        <v>AE</v>
      </c>
      <c r="F9672" t="str">
        <f t="shared" si="3566"/>
        <v>096270027</v>
      </c>
      <c r="G9672" t="str">
        <f>T("U S NAVAL AIR STATION")</f>
        <v>U S NAVAL AIR STATION</v>
      </c>
      <c r="H9672" t="str">
        <f>T("PSC 824 BOX 10")</f>
        <v>PSC 824 BOX 10</v>
      </c>
      <c r="I9672" t="str">
        <f t="shared" si="3560"/>
        <v>FPO</v>
      </c>
      <c r="J9672" t="str">
        <f t="shared" si="3561"/>
        <v>AE</v>
      </c>
      <c r="K9672" t="str">
        <f>T("000000000000000000")</f>
        <v>000000000000000000</v>
      </c>
      <c r="L9672" t="str">
        <f t="shared" si="3564"/>
        <v>1111111111</v>
      </c>
    </row>
    <row r="9673" spans="1:12" x14ac:dyDescent="0.35">
      <c r="A9673" t="str">
        <f t="shared" si="3557"/>
        <v>NAS SIGONELLA</v>
      </c>
      <c r="B9673" t="str">
        <f>T("PSC 812 BOX 2640")</f>
        <v>PSC 812 BOX 2640</v>
      </c>
      <c r="C9673" t="str">
        <f t="shared" si="3565"/>
        <v/>
      </c>
      <c r="D9673" t="str">
        <f t="shared" si="3558"/>
        <v>FPO</v>
      </c>
      <c r="E9673" t="str">
        <f t="shared" si="3559"/>
        <v>AE</v>
      </c>
      <c r="F9673" t="str">
        <f t="shared" si="3566"/>
        <v>096270027</v>
      </c>
      <c r="G9673" t="str">
        <f>T("PSC 812 BOX 2640")</f>
        <v>PSC 812 BOX 2640</v>
      </c>
      <c r="H9673" t="str">
        <f t="shared" ref="H9673:H9679" si="3567">T("")</f>
        <v/>
      </c>
      <c r="I9673" t="str">
        <f t="shared" si="3560"/>
        <v>FPO</v>
      </c>
      <c r="J9673" t="str">
        <f t="shared" si="3561"/>
        <v>AE</v>
      </c>
      <c r="K9673" t="str">
        <f>T("1111111111")</f>
        <v>1111111111</v>
      </c>
      <c r="L9673" t="str">
        <f t="shared" si="3564"/>
        <v>1111111111</v>
      </c>
    </row>
    <row r="9674" spans="1:12" x14ac:dyDescent="0.35">
      <c r="A9674" t="str">
        <f t="shared" si="3557"/>
        <v>NAS SIGONELLA</v>
      </c>
      <c r="B9674" t="str">
        <f>T("PSC 812 BOX 2640")</f>
        <v>PSC 812 BOX 2640</v>
      </c>
      <c r="C9674" t="str">
        <f t="shared" si="3565"/>
        <v/>
      </c>
      <c r="D9674" t="str">
        <f t="shared" si="3558"/>
        <v>FPO</v>
      </c>
      <c r="E9674" t="str">
        <f t="shared" si="3559"/>
        <v>AE</v>
      </c>
      <c r="F9674" t="str">
        <f t="shared" si="3566"/>
        <v>096270027</v>
      </c>
      <c r="G9674" t="str">
        <f>T("PSC 824 BOX 9")</f>
        <v>PSC 824 BOX 9</v>
      </c>
      <c r="H9674" t="str">
        <f t="shared" si="3567"/>
        <v/>
      </c>
      <c r="I9674" t="str">
        <f t="shared" si="3560"/>
        <v>FPO</v>
      </c>
      <c r="J9674" t="str">
        <f t="shared" si="3561"/>
        <v>AE</v>
      </c>
      <c r="K9674" t="str">
        <f>T("000000000000000000")</f>
        <v>000000000000000000</v>
      </c>
      <c r="L9674" t="str">
        <f>T("3146243975")</f>
        <v>3146243975</v>
      </c>
    </row>
    <row r="9675" spans="1:12" x14ac:dyDescent="0.35">
      <c r="A9675" t="str">
        <f t="shared" si="3557"/>
        <v>NAS SIGONELLA</v>
      </c>
      <c r="B9675" t="str">
        <f>T("PSC 812 BOX 2640")</f>
        <v>PSC 812 BOX 2640</v>
      </c>
      <c r="C9675" t="str">
        <f t="shared" si="3565"/>
        <v/>
      </c>
      <c r="D9675" t="str">
        <f t="shared" si="3558"/>
        <v>FPO</v>
      </c>
      <c r="E9675" t="str">
        <f t="shared" si="3559"/>
        <v>AE</v>
      </c>
      <c r="F9675" t="str">
        <f t="shared" si="3566"/>
        <v>096270027</v>
      </c>
      <c r="G9675" t="str">
        <f>T("PSC 824 BOX 9")</f>
        <v>PSC 824 BOX 9</v>
      </c>
      <c r="H9675" t="str">
        <f t="shared" si="3567"/>
        <v/>
      </c>
      <c r="I9675" t="str">
        <f t="shared" si="3560"/>
        <v>FPO</v>
      </c>
      <c r="J9675" t="str">
        <f t="shared" si="3561"/>
        <v>AE</v>
      </c>
      <c r="K9675" t="str">
        <f>T("01139095563802")</f>
        <v>01139095563802</v>
      </c>
      <c r="L9675" t="str">
        <f t="shared" ref="L9675:L9683" si="3568">T("1111111111")</f>
        <v>1111111111</v>
      </c>
    </row>
    <row r="9676" spans="1:12" x14ac:dyDescent="0.35">
      <c r="A9676" t="str">
        <f t="shared" si="3557"/>
        <v>NAS SIGONELLA</v>
      </c>
      <c r="B9676" t="str">
        <f>T("PSC 812 BOX 2640")</f>
        <v>PSC 812 BOX 2640</v>
      </c>
      <c r="C9676" t="str">
        <f t="shared" si="3565"/>
        <v/>
      </c>
      <c r="D9676" t="str">
        <f t="shared" si="3558"/>
        <v>FPO</v>
      </c>
      <c r="E9676" t="str">
        <f t="shared" si="3559"/>
        <v>AE</v>
      </c>
      <c r="F9676" t="str">
        <f t="shared" si="3566"/>
        <v>096270027</v>
      </c>
      <c r="G9676" t="str">
        <f>T("PSC 824 BOX 9")</f>
        <v>PSC 824 BOX 9</v>
      </c>
      <c r="H9676" t="str">
        <f t="shared" si="3567"/>
        <v/>
      </c>
      <c r="I9676" t="str">
        <f t="shared" si="3560"/>
        <v>FPO</v>
      </c>
      <c r="J9676" t="str">
        <f t="shared" si="3561"/>
        <v>AE</v>
      </c>
      <c r="K9676" t="str">
        <f>T("01139095863802")</f>
        <v>01139095863802</v>
      </c>
      <c r="L9676" t="str">
        <f t="shared" si="3568"/>
        <v>1111111111</v>
      </c>
    </row>
    <row r="9677" spans="1:12" x14ac:dyDescent="0.35">
      <c r="A9677" t="str">
        <f t="shared" si="3557"/>
        <v>NAS SIGONELLA</v>
      </c>
      <c r="B9677" t="str">
        <f>T("PSC 812 BOX 3100")</f>
        <v>PSC 812 BOX 3100</v>
      </c>
      <c r="C9677" t="str">
        <f>T("US NAVAL AIR STATION")</f>
        <v>US NAVAL AIR STATION</v>
      </c>
      <c r="D9677" t="str">
        <f t="shared" si="3558"/>
        <v>FPO</v>
      </c>
      <c r="E9677" t="str">
        <f t="shared" si="3559"/>
        <v>AE</v>
      </c>
      <c r="F9677" t="str">
        <f>T("096273100")</f>
        <v>096273100</v>
      </c>
      <c r="G9677" t="str">
        <f>T("PSC 812 BOX 0015")</f>
        <v>PSC 812 BOX 0015</v>
      </c>
      <c r="H9677" t="str">
        <f t="shared" si="3567"/>
        <v/>
      </c>
      <c r="I9677" t="str">
        <f t="shared" si="3560"/>
        <v>FPO</v>
      </c>
      <c r="J9677" t="str">
        <f t="shared" si="3561"/>
        <v>AE</v>
      </c>
      <c r="K9677" t="str">
        <f>T("01139095865194")</f>
        <v>01139095865194</v>
      </c>
      <c r="L9677" t="str">
        <f t="shared" si="3568"/>
        <v>1111111111</v>
      </c>
    </row>
    <row r="9678" spans="1:12" x14ac:dyDescent="0.35">
      <c r="A9678" t="str">
        <f t="shared" si="3557"/>
        <v>NAS SIGONELLA</v>
      </c>
      <c r="B9678" t="str">
        <f>T("PSC 812 BOX 3100")</f>
        <v>PSC 812 BOX 3100</v>
      </c>
      <c r="C9678" t="str">
        <f>T("US NAVAL AIR STATION")</f>
        <v>US NAVAL AIR STATION</v>
      </c>
      <c r="D9678" t="str">
        <f t="shared" si="3558"/>
        <v>FPO</v>
      </c>
      <c r="E9678" t="str">
        <f t="shared" si="3559"/>
        <v>AE</v>
      </c>
      <c r="F9678" t="str">
        <f>T("096273100")</f>
        <v>096273100</v>
      </c>
      <c r="G9678" t="str">
        <f>T("PSC 812 BOX 0015")</f>
        <v>PSC 812 BOX 0015</v>
      </c>
      <c r="H9678" t="str">
        <f t="shared" si="3567"/>
        <v/>
      </c>
      <c r="I9678" t="str">
        <f t="shared" si="3560"/>
        <v>FPO</v>
      </c>
      <c r="J9678" t="str">
        <f t="shared" si="3561"/>
        <v>AE</v>
      </c>
      <c r="K9678" t="str">
        <f>T("01139096866485")</f>
        <v>01139096866485</v>
      </c>
      <c r="L9678" t="str">
        <f t="shared" si="3568"/>
        <v>1111111111</v>
      </c>
    </row>
    <row r="9679" spans="1:12" x14ac:dyDescent="0.35">
      <c r="A9679" t="str">
        <f t="shared" si="3557"/>
        <v>NAS SIGONELLA</v>
      </c>
      <c r="B9679" t="str">
        <f>T("PSC 812 BOX 3100")</f>
        <v>PSC 812 BOX 3100</v>
      </c>
      <c r="C9679" t="str">
        <f>T("US NAVAL AIR STATION")</f>
        <v>US NAVAL AIR STATION</v>
      </c>
      <c r="D9679" t="str">
        <f t="shared" si="3558"/>
        <v>FPO</v>
      </c>
      <c r="E9679" t="str">
        <f t="shared" si="3559"/>
        <v>AE</v>
      </c>
      <c r="F9679" t="str">
        <f>T("096273100")</f>
        <v>096273100</v>
      </c>
      <c r="G9679" t="str">
        <f>T("PSC 812 BOX 1791")</f>
        <v>PSC 812 BOX 1791</v>
      </c>
      <c r="H9679" t="str">
        <f t="shared" si="3567"/>
        <v/>
      </c>
      <c r="I9679" t="str">
        <f t="shared" si="3560"/>
        <v>FPO</v>
      </c>
      <c r="J9679" t="str">
        <f t="shared" si="3561"/>
        <v>AE</v>
      </c>
      <c r="K9679" t="str">
        <f>T("01139865191")</f>
        <v>01139865191</v>
      </c>
      <c r="L9679" t="str">
        <f t="shared" si="3568"/>
        <v>1111111111</v>
      </c>
    </row>
    <row r="9680" spans="1:12" x14ac:dyDescent="0.35">
      <c r="A9680" t="str">
        <f t="shared" si="3557"/>
        <v>NAS SIGONELLA</v>
      </c>
      <c r="B9680" t="str">
        <f>T("PSC 812 BOX 3100")</f>
        <v>PSC 812 BOX 3100</v>
      </c>
      <c r="C9680" t="str">
        <f>T("US NAVAL AIR STATION")</f>
        <v>US NAVAL AIR STATION</v>
      </c>
      <c r="D9680" t="str">
        <f t="shared" si="3558"/>
        <v>FPO</v>
      </c>
      <c r="E9680" t="str">
        <f t="shared" si="3559"/>
        <v>AE</v>
      </c>
      <c r="F9680" t="str">
        <f>T("096273100")</f>
        <v>096273100</v>
      </c>
      <c r="G9680" t="str">
        <f>T("PSC 812 BOX 3100")</f>
        <v>PSC 812 BOX 3100</v>
      </c>
      <c r="H9680" t="str">
        <f>T("US NAVAL AIR STATION")</f>
        <v>US NAVAL AIR STATION</v>
      </c>
      <c r="I9680" t="str">
        <f t="shared" si="3560"/>
        <v>FPO</v>
      </c>
      <c r="J9680" t="str">
        <f t="shared" si="3561"/>
        <v>AE</v>
      </c>
      <c r="K9680" t="str">
        <f>T("000000000000000000")</f>
        <v>000000000000000000</v>
      </c>
      <c r="L9680" t="str">
        <f t="shared" si="3568"/>
        <v>1111111111</v>
      </c>
    </row>
    <row r="9681" spans="1:12" x14ac:dyDescent="0.35">
      <c r="A9681" t="str">
        <f t="shared" si="3557"/>
        <v>NAS SIGONELLA</v>
      </c>
      <c r="B9681" t="str">
        <f>T("PSC 812 BOX 3160")</f>
        <v>PSC 812 BOX 3160</v>
      </c>
      <c r="C9681" t="str">
        <f t="shared" ref="C9681:C9693" si="3569">T("")</f>
        <v/>
      </c>
      <c r="D9681" t="str">
        <f t="shared" si="3558"/>
        <v>FPO</v>
      </c>
      <c r="E9681" t="str">
        <f t="shared" si="3559"/>
        <v>AE</v>
      </c>
      <c r="F9681" t="str">
        <f t="shared" ref="F9681:F9686" si="3570">T("096270032")</f>
        <v>096270032</v>
      </c>
      <c r="G9681" t="str">
        <f>T("PSC 812 BOX 1508")</f>
        <v>PSC 812 BOX 1508</v>
      </c>
      <c r="H9681" t="str">
        <f t="shared" ref="H9681:H9686" si="3571">T("")</f>
        <v/>
      </c>
      <c r="I9681" t="str">
        <f t="shared" si="3560"/>
        <v>FPO</v>
      </c>
      <c r="J9681" t="str">
        <f t="shared" si="3561"/>
        <v>AE</v>
      </c>
      <c r="K9681" t="str">
        <f>T("01139095865180")</f>
        <v>01139095865180</v>
      </c>
      <c r="L9681" t="str">
        <f t="shared" si="3568"/>
        <v>1111111111</v>
      </c>
    </row>
    <row r="9682" spans="1:12" x14ac:dyDescent="0.35">
      <c r="A9682" t="str">
        <f t="shared" si="3557"/>
        <v>NAS SIGONELLA</v>
      </c>
      <c r="B9682" t="str">
        <f>T("PSC 812 BOX 3160")</f>
        <v>PSC 812 BOX 3160</v>
      </c>
      <c r="C9682" t="str">
        <f t="shared" si="3569"/>
        <v/>
      </c>
      <c r="D9682" t="str">
        <f t="shared" si="3558"/>
        <v>FPO</v>
      </c>
      <c r="E9682" t="str">
        <f t="shared" si="3559"/>
        <v>AE</v>
      </c>
      <c r="F9682" t="str">
        <f t="shared" si="3570"/>
        <v>096270032</v>
      </c>
      <c r="G9682" t="str">
        <f>T("PSC 812 BOX 1509")</f>
        <v>PSC 812 BOX 1509</v>
      </c>
      <c r="H9682" t="str">
        <f t="shared" si="3571"/>
        <v/>
      </c>
      <c r="I9682" t="str">
        <f t="shared" si="3560"/>
        <v>FPO</v>
      </c>
      <c r="J9682" t="str">
        <f t="shared" si="3561"/>
        <v>AE</v>
      </c>
      <c r="K9682" t="str">
        <f>T("01139095865180")</f>
        <v>01139095865180</v>
      </c>
      <c r="L9682" t="str">
        <f t="shared" si="3568"/>
        <v>1111111111</v>
      </c>
    </row>
    <row r="9683" spans="1:12" x14ac:dyDescent="0.35">
      <c r="A9683" t="str">
        <f t="shared" si="3557"/>
        <v>NAS SIGONELLA</v>
      </c>
      <c r="B9683" t="str">
        <f>T("PSC 812 BOX 3160")</f>
        <v>PSC 812 BOX 3160</v>
      </c>
      <c r="C9683" t="str">
        <f t="shared" si="3569"/>
        <v/>
      </c>
      <c r="D9683" t="str">
        <f t="shared" si="3558"/>
        <v>FPO</v>
      </c>
      <c r="E9683" t="str">
        <f t="shared" si="3559"/>
        <v>AE</v>
      </c>
      <c r="F9683" t="str">
        <f t="shared" si="3570"/>
        <v>096270032</v>
      </c>
      <c r="G9683" t="str">
        <f>T("PSC 812 BOX 1512")</f>
        <v>PSC 812 BOX 1512</v>
      </c>
      <c r="H9683" t="str">
        <f t="shared" si="3571"/>
        <v/>
      </c>
      <c r="I9683" t="str">
        <f t="shared" si="3560"/>
        <v>FPO</v>
      </c>
      <c r="J9683" t="str">
        <f t="shared" si="3561"/>
        <v>AE</v>
      </c>
      <c r="K9683" t="str">
        <f>T("01139095865180")</f>
        <v>01139095865180</v>
      </c>
      <c r="L9683" t="str">
        <f t="shared" si="3568"/>
        <v>1111111111</v>
      </c>
    </row>
    <row r="9684" spans="1:12" x14ac:dyDescent="0.35">
      <c r="A9684" t="str">
        <f t="shared" si="3557"/>
        <v>NAS SIGONELLA</v>
      </c>
      <c r="B9684" t="str">
        <f>T("PSC 812 BOX 3160")</f>
        <v>PSC 812 BOX 3160</v>
      </c>
      <c r="C9684" t="str">
        <f t="shared" si="3569"/>
        <v/>
      </c>
      <c r="D9684" t="str">
        <f t="shared" si="3558"/>
        <v>FPO</v>
      </c>
      <c r="E9684" t="str">
        <f t="shared" si="3559"/>
        <v>AE</v>
      </c>
      <c r="F9684" t="str">
        <f t="shared" si="3570"/>
        <v>096270032</v>
      </c>
      <c r="G9684" t="str">
        <f>T("PSC 812 BOX 3160")</f>
        <v>PSC 812 BOX 3160</v>
      </c>
      <c r="H9684" t="str">
        <f t="shared" si="3571"/>
        <v/>
      </c>
      <c r="I9684" t="str">
        <f t="shared" si="3560"/>
        <v>FPO</v>
      </c>
      <c r="J9684" t="str">
        <f t="shared" si="3561"/>
        <v>AE</v>
      </c>
      <c r="K9684" t="str">
        <f>T("")</f>
        <v/>
      </c>
      <c r="L9684" t="str">
        <f>T("3146242525")</f>
        <v>3146242525</v>
      </c>
    </row>
    <row r="9685" spans="1:12" x14ac:dyDescent="0.35">
      <c r="A9685" t="str">
        <f t="shared" si="3557"/>
        <v>NAS SIGONELLA</v>
      </c>
      <c r="B9685" t="str">
        <f>T("PSC 812 BOX 3180")</f>
        <v>PSC 812 BOX 3180</v>
      </c>
      <c r="C9685" t="str">
        <f t="shared" si="3569"/>
        <v/>
      </c>
      <c r="D9685" t="str">
        <f t="shared" si="3558"/>
        <v>FPO</v>
      </c>
      <c r="E9685" t="str">
        <f t="shared" si="3559"/>
        <v>AE</v>
      </c>
      <c r="F9685" t="str">
        <f t="shared" si="3570"/>
        <v>096270032</v>
      </c>
      <c r="G9685" t="str">
        <f>T("PSC 812 BOX 1523")</f>
        <v>PSC 812 BOX 1523</v>
      </c>
      <c r="H9685" t="str">
        <f t="shared" si="3571"/>
        <v/>
      </c>
      <c r="I9685" t="str">
        <f t="shared" si="3560"/>
        <v>FPO</v>
      </c>
      <c r="J9685" t="str">
        <f t="shared" si="3561"/>
        <v>AE</v>
      </c>
      <c r="K9685" t="str">
        <f>T("01139095865186")</f>
        <v>01139095865186</v>
      </c>
      <c r="L9685" t="str">
        <f>T("1111111111")</f>
        <v>1111111111</v>
      </c>
    </row>
    <row r="9686" spans="1:12" x14ac:dyDescent="0.35">
      <c r="A9686" t="str">
        <f t="shared" si="3557"/>
        <v>NAS SIGONELLA</v>
      </c>
      <c r="B9686" t="str">
        <f>T("PSC 812 BOX 3180")</f>
        <v>PSC 812 BOX 3180</v>
      </c>
      <c r="C9686" t="str">
        <f t="shared" si="3569"/>
        <v/>
      </c>
      <c r="D9686" t="str">
        <f t="shared" si="3558"/>
        <v>FPO</v>
      </c>
      <c r="E9686" t="str">
        <f t="shared" si="3559"/>
        <v>AE</v>
      </c>
      <c r="F9686" t="str">
        <f t="shared" si="3570"/>
        <v>096270032</v>
      </c>
      <c r="G9686" t="str">
        <f>T("PSC 812 BOX 3180")</f>
        <v>PSC 812 BOX 3180</v>
      </c>
      <c r="H9686" t="str">
        <f t="shared" si="3571"/>
        <v/>
      </c>
      <c r="I9686" t="str">
        <f t="shared" si="3560"/>
        <v>FPO</v>
      </c>
      <c r="J9686" t="str">
        <f t="shared" si="3561"/>
        <v>AE</v>
      </c>
      <c r="K9686" t="str">
        <f>T("")</f>
        <v/>
      </c>
      <c r="L9686" t="str">
        <f>T("3146245188")</f>
        <v>3146245188</v>
      </c>
    </row>
    <row r="9687" spans="1:12" x14ac:dyDescent="0.35">
      <c r="A9687" t="str">
        <f t="shared" si="3557"/>
        <v>NAS SIGONELLA</v>
      </c>
      <c r="B9687" t="str">
        <f>T("PSC 812 BOX 3230")</f>
        <v>PSC 812 BOX 3230</v>
      </c>
      <c r="C9687" t="str">
        <f t="shared" si="3569"/>
        <v/>
      </c>
      <c r="D9687" t="str">
        <f t="shared" si="3558"/>
        <v>FPO</v>
      </c>
      <c r="E9687" t="str">
        <f t="shared" si="3559"/>
        <v>AE</v>
      </c>
      <c r="F9687" t="str">
        <f>T("096270033")</f>
        <v>096270033</v>
      </c>
      <c r="G9687" t="str">
        <f>T("HOUSING DEPT")</f>
        <v>HOUSING DEPT</v>
      </c>
      <c r="H9687" t="str">
        <f>T("PSC 824 B0X 16")</f>
        <v>PSC 824 B0X 16</v>
      </c>
      <c r="I9687" t="str">
        <f t="shared" si="3560"/>
        <v>FPO</v>
      </c>
      <c r="J9687" t="str">
        <f t="shared" si="3561"/>
        <v>AE</v>
      </c>
      <c r="K9687" t="str">
        <f>T("000000000000000000")</f>
        <v>000000000000000000</v>
      </c>
      <c r="L9687" t="str">
        <f>T("1111111111")</f>
        <v>1111111111</v>
      </c>
    </row>
    <row r="9688" spans="1:12" x14ac:dyDescent="0.35">
      <c r="A9688" t="str">
        <f t="shared" si="3557"/>
        <v>NAS SIGONELLA</v>
      </c>
      <c r="B9688" t="str">
        <f>T("PSC 812 BOX 3230")</f>
        <v>PSC 812 BOX 3230</v>
      </c>
      <c r="C9688" t="str">
        <f t="shared" si="3569"/>
        <v/>
      </c>
      <c r="D9688" t="str">
        <f t="shared" si="3558"/>
        <v>FPO</v>
      </c>
      <c r="E9688" t="str">
        <f t="shared" si="3559"/>
        <v>AE</v>
      </c>
      <c r="F9688" t="str">
        <f>T("096270033")</f>
        <v>096270033</v>
      </c>
      <c r="G9688" t="str">
        <f>T("PSC 812 BOX 3230")</f>
        <v>PSC 812 BOX 3230</v>
      </c>
      <c r="H9688" t="str">
        <f>T("")</f>
        <v/>
      </c>
      <c r="I9688" t="str">
        <f t="shared" si="3560"/>
        <v>FPO</v>
      </c>
      <c r="J9688" t="str">
        <f t="shared" si="3561"/>
        <v>AE</v>
      </c>
      <c r="K9688" t="str">
        <f>T("")</f>
        <v/>
      </c>
      <c r="L9688" t="str">
        <f>T("3146244075")</f>
        <v>3146244075</v>
      </c>
    </row>
    <row r="9689" spans="1:12" x14ac:dyDescent="0.35">
      <c r="A9689" t="str">
        <f t="shared" si="3557"/>
        <v>NAS SIGONELLA</v>
      </c>
      <c r="B9689" t="str">
        <f>T("PSC 812 BOX 3230")</f>
        <v>PSC 812 BOX 3230</v>
      </c>
      <c r="C9689" t="str">
        <f t="shared" si="3569"/>
        <v/>
      </c>
      <c r="D9689" t="str">
        <f t="shared" si="3558"/>
        <v>FPO</v>
      </c>
      <c r="E9689" t="str">
        <f t="shared" si="3559"/>
        <v>AE</v>
      </c>
      <c r="F9689" t="str">
        <f>T("096270033")</f>
        <v>096270033</v>
      </c>
      <c r="G9689" t="str">
        <f>T("PSC 812 BOX 3230")</f>
        <v>PSC 812 BOX 3230</v>
      </c>
      <c r="H9689" t="str">
        <f>T("")</f>
        <v/>
      </c>
      <c r="I9689" t="str">
        <f t="shared" si="3560"/>
        <v>FPO</v>
      </c>
      <c r="J9689" t="str">
        <f t="shared" si="3561"/>
        <v>AE</v>
      </c>
      <c r="K9689" t="str">
        <f>T("000000000000000000")</f>
        <v>000000000000000000</v>
      </c>
      <c r="L9689" t="str">
        <f t="shared" ref="L9689:L9696" si="3572">T("1111111111")</f>
        <v>1111111111</v>
      </c>
    </row>
    <row r="9690" spans="1:12" x14ac:dyDescent="0.35">
      <c r="A9690" t="str">
        <f t="shared" si="3557"/>
        <v>NAS SIGONELLA</v>
      </c>
      <c r="B9690" t="str">
        <f>T("PSC 812 BOX 3230")</f>
        <v>PSC 812 BOX 3230</v>
      </c>
      <c r="C9690" t="str">
        <f t="shared" si="3569"/>
        <v/>
      </c>
      <c r="D9690" t="str">
        <f t="shared" si="3558"/>
        <v>FPO</v>
      </c>
      <c r="E9690" t="str">
        <f t="shared" si="3559"/>
        <v>AE</v>
      </c>
      <c r="F9690" t="str">
        <f>T("096270033")</f>
        <v>096270033</v>
      </c>
      <c r="G9690" t="str">
        <f>T("U S NAVAL AIR STA SIGONELLA")</f>
        <v>U S NAVAL AIR STA SIGONELLA</v>
      </c>
      <c r="H9690" t="str">
        <f>T("PSC 812 BOX 0001")</f>
        <v>PSC 812 BOX 0001</v>
      </c>
      <c r="I9690" t="str">
        <f t="shared" si="3560"/>
        <v>FPO</v>
      </c>
      <c r="J9690" t="str">
        <f t="shared" si="3561"/>
        <v>AE</v>
      </c>
      <c r="K9690" t="str">
        <f>T("000000000000000000")</f>
        <v>000000000000000000</v>
      </c>
      <c r="L9690" t="str">
        <f t="shared" si="3572"/>
        <v>1111111111</v>
      </c>
    </row>
    <row r="9691" spans="1:12" x14ac:dyDescent="0.35">
      <c r="A9691" t="str">
        <f t="shared" si="3557"/>
        <v>NAS SIGONELLA</v>
      </c>
      <c r="B9691" t="str">
        <f>T("U S NAVAL AIR STATION")</f>
        <v>U S NAVAL AIR STATION</v>
      </c>
      <c r="C9691" t="str">
        <f t="shared" si="3569"/>
        <v/>
      </c>
      <c r="D9691" t="str">
        <f t="shared" si="3558"/>
        <v>FPO</v>
      </c>
      <c r="E9691" t="str">
        <f t="shared" si="3559"/>
        <v>AE</v>
      </c>
      <c r="F9691" t="str">
        <f>T("096270000")</f>
        <v>096270000</v>
      </c>
      <c r="G9691" t="str">
        <f>T("PSC 812 BOX 0015")</f>
        <v>PSC 812 BOX 0015</v>
      </c>
      <c r="H9691" t="str">
        <f>T("")</f>
        <v/>
      </c>
      <c r="I9691" t="str">
        <f t="shared" si="3560"/>
        <v>FPO</v>
      </c>
      <c r="J9691" t="str">
        <f t="shared" si="3561"/>
        <v>AE</v>
      </c>
      <c r="K9691" t="str">
        <f>T("011390956862211")</f>
        <v>011390956862211</v>
      </c>
      <c r="L9691" t="str">
        <f t="shared" si="3572"/>
        <v>1111111111</v>
      </c>
    </row>
    <row r="9692" spans="1:12" x14ac:dyDescent="0.35">
      <c r="A9692" t="str">
        <f t="shared" si="3557"/>
        <v>NAS SIGONELLA</v>
      </c>
      <c r="B9692" t="str">
        <f>T("U S NAVAL AIR STATION")</f>
        <v>U S NAVAL AIR STATION</v>
      </c>
      <c r="C9692" t="str">
        <f t="shared" si="3569"/>
        <v/>
      </c>
      <c r="D9692" t="str">
        <f t="shared" si="3558"/>
        <v>FPO</v>
      </c>
      <c r="E9692" t="str">
        <f t="shared" si="3559"/>
        <v>AE</v>
      </c>
      <c r="F9692" t="str">
        <f>T("096270000")</f>
        <v>096270000</v>
      </c>
      <c r="G9692" t="str">
        <f>T("PSC 812 BOX 1526")</f>
        <v>PSC 812 BOX 1526</v>
      </c>
      <c r="H9692" t="str">
        <f>T("")</f>
        <v/>
      </c>
      <c r="I9692" t="str">
        <f t="shared" si="3560"/>
        <v>FPO</v>
      </c>
      <c r="J9692" t="str">
        <f t="shared" si="3561"/>
        <v>AE</v>
      </c>
      <c r="K9692" t="str">
        <f>T("01139095865180")</f>
        <v>01139095865180</v>
      </c>
      <c r="L9692" t="str">
        <f t="shared" si="3572"/>
        <v>1111111111</v>
      </c>
    </row>
    <row r="9693" spans="1:12" x14ac:dyDescent="0.35">
      <c r="A9693" t="str">
        <f t="shared" si="3557"/>
        <v>NAS SIGONELLA</v>
      </c>
      <c r="B9693" t="str">
        <f>T("U S NAVAL AIR STATION")</f>
        <v>U S NAVAL AIR STATION</v>
      </c>
      <c r="C9693" t="str">
        <f t="shared" si="3569"/>
        <v/>
      </c>
      <c r="D9693" t="str">
        <f t="shared" ref="D9693:D9724" si="3573">T("FPO")</f>
        <v>FPO</v>
      </c>
      <c r="E9693" t="str">
        <f t="shared" ref="E9693:E9724" si="3574">T("AE")</f>
        <v>AE</v>
      </c>
      <c r="F9693" t="str">
        <f>T("096270000")</f>
        <v>096270000</v>
      </c>
      <c r="G9693" t="str">
        <f>T("U S NAVAL AIR STATION")</f>
        <v>U S NAVAL AIR STATION</v>
      </c>
      <c r="H9693" t="str">
        <f>T("")</f>
        <v/>
      </c>
      <c r="I9693" t="str">
        <f t="shared" ref="I9693:I9724" si="3575">T("FPO")</f>
        <v>FPO</v>
      </c>
      <c r="J9693" t="str">
        <f t="shared" ref="J9693:J9724" si="3576">T("AE")</f>
        <v>AE</v>
      </c>
      <c r="K9693" t="str">
        <f>T("")</f>
        <v/>
      </c>
      <c r="L9693" t="str">
        <f t="shared" si="3572"/>
        <v>1111111111</v>
      </c>
    </row>
    <row r="9694" spans="1:12" x14ac:dyDescent="0.35">
      <c r="A9694" t="str">
        <f t="shared" si="3557"/>
        <v>NAS SIGONELLA</v>
      </c>
      <c r="B9694" t="str">
        <f>T("US NAVAL AIR STATION")</f>
        <v>US NAVAL AIR STATION</v>
      </c>
      <c r="C9694" t="str">
        <f>T("PSC 812 BOX 0013")</f>
        <v>PSC 812 BOX 0013</v>
      </c>
      <c r="D9694" t="str">
        <f t="shared" si="3573"/>
        <v>FPO</v>
      </c>
      <c r="E9694" t="str">
        <f t="shared" si="3574"/>
        <v>AE</v>
      </c>
      <c r="F9694" t="str">
        <f>T("096270001")</f>
        <v>096270001</v>
      </c>
      <c r="G9694" t="str">
        <f>T("U S NAVAL AIR STATION")</f>
        <v>U S NAVAL AIR STATION</v>
      </c>
      <c r="H9694" t="str">
        <f>T("PSC 812 BOX 0013")</f>
        <v>PSC 812 BOX 0013</v>
      </c>
      <c r="I9694" t="str">
        <f t="shared" si="3575"/>
        <v>FPO</v>
      </c>
      <c r="J9694" t="str">
        <f t="shared" si="3576"/>
        <v>AE</v>
      </c>
      <c r="K9694" t="str">
        <f>T("000000000000000000")</f>
        <v>000000000000000000</v>
      </c>
      <c r="L9694" t="str">
        <f t="shared" si="3572"/>
        <v>1111111111</v>
      </c>
    </row>
    <row r="9695" spans="1:12" x14ac:dyDescent="0.35">
      <c r="A9695" t="str">
        <f t="shared" si="3557"/>
        <v>NAS SIGONELLA</v>
      </c>
      <c r="B9695" t="str">
        <f>T("US NAVAL AIR STATION")</f>
        <v>US NAVAL AIR STATION</v>
      </c>
      <c r="C9695" t="str">
        <f>T("PSC 812 BOX 0013")</f>
        <v>PSC 812 BOX 0013</v>
      </c>
      <c r="D9695" t="str">
        <f t="shared" si="3573"/>
        <v>FPO</v>
      </c>
      <c r="E9695" t="str">
        <f t="shared" si="3574"/>
        <v>AE</v>
      </c>
      <c r="F9695" t="str">
        <f>T("096270001")</f>
        <v>096270001</v>
      </c>
      <c r="G9695" t="str">
        <f>T("US NAVAL AIR STATION")</f>
        <v>US NAVAL AIR STATION</v>
      </c>
      <c r="H9695" t="str">
        <f>T("PSC 812 BOX 0013")</f>
        <v>PSC 812 BOX 0013</v>
      </c>
      <c r="I9695" t="str">
        <f t="shared" si="3575"/>
        <v>FPO</v>
      </c>
      <c r="J9695" t="str">
        <f t="shared" si="3576"/>
        <v>AE</v>
      </c>
      <c r="K9695" t="str">
        <f>T("1111111111")</f>
        <v>1111111111</v>
      </c>
      <c r="L9695" t="str">
        <f t="shared" si="3572"/>
        <v>1111111111</v>
      </c>
    </row>
    <row r="9696" spans="1:12" x14ac:dyDescent="0.35">
      <c r="A9696" t="str">
        <f t="shared" si="3557"/>
        <v>NAS SIGONELLA</v>
      </c>
      <c r="B9696" t="str">
        <f>T("US NAVAL AIR STATION")</f>
        <v>US NAVAL AIR STATION</v>
      </c>
      <c r="C9696" t="str">
        <f>T("PSC 812 BOX 18")</f>
        <v>PSC 812 BOX 18</v>
      </c>
      <c r="D9696" t="str">
        <f t="shared" si="3573"/>
        <v>FPO</v>
      </c>
      <c r="E9696" t="str">
        <f t="shared" si="3574"/>
        <v>AE</v>
      </c>
      <c r="F9696" t="str">
        <f>T("096270001")</f>
        <v>096270001</v>
      </c>
      <c r="G9696" t="str">
        <f>T("PSC 812 BOX 1751")</f>
        <v>PSC 812 BOX 1751</v>
      </c>
      <c r="H9696" t="str">
        <f>T("")</f>
        <v/>
      </c>
      <c r="I9696" t="str">
        <f t="shared" si="3575"/>
        <v>FPO</v>
      </c>
      <c r="J9696" t="str">
        <f t="shared" si="3576"/>
        <v>AE</v>
      </c>
      <c r="K9696" t="str">
        <f>T("01139095868290")</f>
        <v>01139095868290</v>
      </c>
      <c r="L9696" t="str">
        <f t="shared" si="3572"/>
        <v>1111111111</v>
      </c>
    </row>
    <row r="9697" spans="1:12" x14ac:dyDescent="0.35">
      <c r="A9697" t="str">
        <f t="shared" si="3557"/>
        <v>NAS SIGONELLA</v>
      </c>
      <c r="B9697" t="str">
        <f>T("US NAVAL AIR STATION")</f>
        <v>US NAVAL AIR STATION</v>
      </c>
      <c r="C9697" t="str">
        <f>T("PSC 812 BOX 18")</f>
        <v>PSC 812 BOX 18</v>
      </c>
      <c r="D9697" t="str">
        <f t="shared" si="3573"/>
        <v>FPO</v>
      </c>
      <c r="E9697" t="str">
        <f t="shared" si="3574"/>
        <v>AE</v>
      </c>
      <c r="F9697" t="str">
        <f>T("096270001")</f>
        <v>096270001</v>
      </c>
      <c r="G9697" t="str">
        <f>T("US NAVAL AIR STATION")</f>
        <v>US NAVAL AIR STATION</v>
      </c>
      <c r="H9697" t="str">
        <f>T("PSC 812 BOX 18")</f>
        <v>PSC 812 BOX 18</v>
      </c>
      <c r="I9697" t="str">
        <f t="shared" si="3575"/>
        <v>FPO</v>
      </c>
      <c r="J9697" t="str">
        <f t="shared" si="3576"/>
        <v>AE</v>
      </c>
      <c r="K9697" t="str">
        <f>T("000000000000000000")</f>
        <v>000000000000000000</v>
      </c>
      <c r="L9697" t="str">
        <f>T("3146245180")</f>
        <v>3146245180</v>
      </c>
    </row>
    <row r="9698" spans="1:12" x14ac:dyDescent="0.35">
      <c r="A9698" t="str">
        <f>T("COMMANDER NAVAL REGION EUROPE")</f>
        <v>COMMANDER NAVAL REGION EUROPE</v>
      </c>
      <c r="B9698" t="str">
        <f>T("COMMANDER NAVAL REGION EUROPE")</f>
        <v>COMMANDER NAVAL REGION EUROPE</v>
      </c>
      <c r="C9698" t="str">
        <f>T("PSC 812 BOX 0013")</f>
        <v>PSC 812 BOX 0013</v>
      </c>
      <c r="D9698" t="str">
        <f t="shared" si="3573"/>
        <v>FPO</v>
      </c>
      <c r="E9698" t="str">
        <f t="shared" si="3574"/>
        <v>AE</v>
      </c>
      <c r="F9698" t="str">
        <f>T("096270013")</f>
        <v>096270013</v>
      </c>
      <c r="G9698" t="str">
        <f>T("COMMANDER NAVAL REGION EUROPE")</f>
        <v>COMMANDER NAVAL REGION EUROPE</v>
      </c>
      <c r="H9698" t="str">
        <f>T("PSC 812 BOX 0013")</f>
        <v>PSC 812 BOX 0013</v>
      </c>
      <c r="I9698" t="str">
        <f t="shared" si="3575"/>
        <v>FPO</v>
      </c>
      <c r="J9698" t="str">
        <f t="shared" si="3576"/>
        <v>AE</v>
      </c>
      <c r="K9698" t="str">
        <f>T("")</f>
        <v/>
      </c>
      <c r="L9698" t="str">
        <f t="shared" ref="L9698:L9704" si="3577">T("1111111111")</f>
        <v>1111111111</v>
      </c>
    </row>
    <row r="9699" spans="1:12" x14ac:dyDescent="0.35">
      <c r="A9699" t="str">
        <f>T("COMMANDER NAVAL REGION EUROPE")</f>
        <v>COMMANDER NAVAL REGION EUROPE</v>
      </c>
      <c r="B9699" t="str">
        <f>T("COMMANDER NAVAL REGION EUROPE")</f>
        <v>COMMANDER NAVAL REGION EUROPE</v>
      </c>
      <c r="C9699" t="str">
        <f>T("PSC 812 BOX 0013")</f>
        <v>PSC 812 BOX 0013</v>
      </c>
      <c r="D9699" t="str">
        <f t="shared" si="3573"/>
        <v>FPO</v>
      </c>
      <c r="E9699" t="str">
        <f t="shared" si="3574"/>
        <v>AE</v>
      </c>
      <c r="F9699" t="str">
        <f>T("096270013")</f>
        <v>096270013</v>
      </c>
      <c r="G9699" t="str">
        <f>T("U S NAVAL AIR STATION")</f>
        <v>U S NAVAL AIR STATION</v>
      </c>
      <c r="H9699" t="str">
        <f>T("PSC 812 BOX 0013")</f>
        <v>PSC 812 BOX 0013</v>
      </c>
      <c r="I9699" t="str">
        <f t="shared" si="3575"/>
        <v>FPO</v>
      </c>
      <c r="J9699" t="str">
        <f t="shared" si="3576"/>
        <v>AE</v>
      </c>
      <c r="K9699" t="str">
        <f>T("000000000000000000")</f>
        <v>000000000000000000</v>
      </c>
      <c r="L9699" t="str">
        <f t="shared" si="3577"/>
        <v>1111111111</v>
      </c>
    </row>
    <row r="9700" spans="1:12" x14ac:dyDescent="0.35">
      <c r="A9700" t="str">
        <f t="shared" ref="A9700:A9733" si="3578">T("COMMANDER NAVAL REGION EUROPE")</f>
        <v>COMMANDER NAVAL REGION EUROPE</v>
      </c>
      <c r="B9700" t="str">
        <f>T("PSC 812 BOX 2650")</f>
        <v>PSC 812 BOX 2650</v>
      </c>
      <c r="C9700" t="str">
        <f t="shared" ref="C9700:C9731" si="3579">T("")</f>
        <v/>
      </c>
      <c r="D9700" t="str">
        <f t="shared" si="3573"/>
        <v>FPO</v>
      </c>
      <c r="E9700" t="str">
        <f t="shared" si="3574"/>
        <v>AE</v>
      </c>
      <c r="F9700" t="str">
        <f>T("096270027")</f>
        <v>096270027</v>
      </c>
      <c r="G9700" t="str">
        <f>T("PSC 812 BOX 2650")</f>
        <v>PSC 812 BOX 2650</v>
      </c>
      <c r="H9700" t="str">
        <f t="shared" ref="H9700:H9724" si="3580">T("")</f>
        <v/>
      </c>
      <c r="I9700" t="str">
        <f t="shared" si="3575"/>
        <v>FPO</v>
      </c>
      <c r="J9700" t="str">
        <f t="shared" si="3576"/>
        <v>AE</v>
      </c>
      <c r="K9700" t="str">
        <f>T("0113995564680")</f>
        <v>0113995564680</v>
      </c>
      <c r="L9700" t="str">
        <f t="shared" si="3577"/>
        <v>1111111111</v>
      </c>
    </row>
    <row r="9701" spans="1:12" x14ac:dyDescent="0.35">
      <c r="A9701" t="str">
        <f t="shared" si="3578"/>
        <v>COMMANDER NAVAL REGION EUROPE</v>
      </c>
      <c r="B9701" t="str">
        <f>T("PSC 812 BOX 2650")</f>
        <v>PSC 812 BOX 2650</v>
      </c>
      <c r="C9701" t="str">
        <f t="shared" si="3579"/>
        <v/>
      </c>
      <c r="D9701" t="str">
        <f t="shared" si="3573"/>
        <v>FPO</v>
      </c>
      <c r="E9701" t="str">
        <f t="shared" si="3574"/>
        <v>AE</v>
      </c>
      <c r="F9701" t="str">
        <f>T("096270027")</f>
        <v>096270027</v>
      </c>
      <c r="G9701" t="str">
        <f>T("PSC 817 BOX 108")</f>
        <v>PSC 817 BOX 108</v>
      </c>
      <c r="H9701" t="str">
        <f t="shared" si="3580"/>
        <v/>
      </c>
      <c r="I9701" t="str">
        <f t="shared" si="3575"/>
        <v>FPO</v>
      </c>
      <c r="J9701" t="str">
        <f t="shared" si="3576"/>
        <v>AE</v>
      </c>
      <c r="K9701" t="str">
        <f>T("000000000000000000")</f>
        <v>000000000000000000</v>
      </c>
      <c r="L9701" t="str">
        <f t="shared" si="3577"/>
        <v>1111111111</v>
      </c>
    </row>
    <row r="9702" spans="1:12" x14ac:dyDescent="0.35">
      <c r="A9702" t="str">
        <f t="shared" si="3578"/>
        <v>COMMANDER NAVAL REGION EUROPE</v>
      </c>
      <c r="B9702" t="str">
        <f>T("PSC 817 BOX 0013")</f>
        <v>PSC 817 BOX 0013</v>
      </c>
      <c r="C9702" t="str">
        <f t="shared" si="3579"/>
        <v/>
      </c>
      <c r="D9702" t="str">
        <f t="shared" si="3573"/>
        <v>FPO</v>
      </c>
      <c r="E9702" t="str">
        <f t="shared" si="3574"/>
        <v>AE</v>
      </c>
      <c r="F9702" t="str">
        <f>T("096220001")</f>
        <v>096220001</v>
      </c>
      <c r="G9702" t="str">
        <f>T("PSC 817 BOX 0013")</f>
        <v>PSC 817 BOX 0013</v>
      </c>
      <c r="H9702" t="str">
        <f t="shared" si="3580"/>
        <v/>
      </c>
      <c r="I9702" t="str">
        <f t="shared" si="3575"/>
        <v>FPO</v>
      </c>
      <c r="J9702" t="str">
        <f t="shared" si="3576"/>
        <v>AE</v>
      </c>
      <c r="K9702" t="str">
        <f>T("")</f>
        <v/>
      </c>
      <c r="L9702" t="str">
        <f t="shared" si="3577"/>
        <v>1111111111</v>
      </c>
    </row>
    <row r="9703" spans="1:12" x14ac:dyDescent="0.35">
      <c r="A9703" t="str">
        <f t="shared" si="3578"/>
        <v>COMMANDER NAVAL REGION EUROPE</v>
      </c>
      <c r="B9703" t="str">
        <f t="shared" ref="B9703:B9725" si="3581">T("PSC 817 BOX 108")</f>
        <v>PSC 817 BOX 108</v>
      </c>
      <c r="C9703" t="str">
        <f t="shared" si="3579"/>
        <v/>
      </c>
      <c r="D9703" t="str">
        <f t="shared" si="3573"/>
        <v>FPO</v>
      </c>
      <c r="E9703" t="str">
        <f t="shared" si="3574"/>
        <v>AE</v>
      </c>
      <c r="F9703" t="str">
        <f t="shared" ref="F9703:F9725" si="3582">T("096220002")</f>
        <v>096220002</v>
      </c>
      <c r="G9703" t="str">
        <f t="shared" ref="G9703:G9714" si="3583">T("PSC 817 BOX 108")</f>
        <v>PSC 817 BOX 108</v>
      </c>
      <c r="H9703" t="str">
        <f t="shared" si="3580"/>
        <v/>
      </c>
      <c r="I9703" t="str">
        <f t="shared" si="3575"/>
        <v>FPO</v>
      </c>
      <c r="J9703" t="str">
        <f t="shared" si="3576"/>
        <v>AE</v>
      </c>
      <c r="K9703" t="str">
        <f>T("")</f>
        <v/>
      </c>
      <c r="L9703" t="str">
        <f t="shared" si="3577"/>
        <v>1111111111</v>
      </c>
    </row>
    <row r="9704" spans="1:12" x14ac:dyDescent="0.35">
      <c r="A9704" t="str">
        <f t="shared" si="3578"/>
        <v>COMMANDER NAVAL REGION EUROPE</v>
      </c>
      <c r="B9704" t="str">
        <f t="shared" si="3581"/>
        <v>PSC 817 BOX 108</v>
      </c>
      <c r="C9704" t="str">
        <f t="shared" si="3579"/>
        <v/>
      </c>
      <c r="D9704" t="str">
        <f t="shared" si="3573"/>
        <v>FPO</v>
      </c>
      <c r="E9704" t="str">
        <f t="shared" si="3574"/>
        <v>AE</v>
      </c>
      <c r="F9704" t="str">
        <f t="shared" si="3582"/>
        <v>096220002</v>
      </c>
      <c r="G9704" t="str">
        <f t="shared" si="3583"/>
        <v>PSC 817 BOX 108</v>
      </c>
      <c r="H9704" t="str">
        <f t="shared" si="3580"/>
        <v/>
      </c>
      <c r="I9704" t="str">
        <f t="shared" si="3575"/>
        <v>FPO</v>
      </c>
      <c r="J9704" t="str">
        <f t="shared" si="3576"/>
        <v>AE</v>
      </c>
      <c r="K9704" t="str">
        <f>T("000000000000000000")</f>
        <v>000000000000000000</v>
      </c>
      <c r="L9704" t="str">
        <f t="shared" si="3577"/>
        <v>1111111111</v>
      </c>
    </row>
    <row r="9705" spans="1:12" x14ac:dyDescent="0.35">
      <c r="A9705" t="str">
        <f t="shared" si="3578"/>
        <v>COMMANDER NAVAL REGION EUROPE</v>
      </c>
      <c r="B9705" t="str">
        <f t="shared" si="3581"/>
        <v>PSC 817 BOX 108</v>
      </c>
      <c r="C9705" t="str">
        <f t="shared" si="3579"/>
        <v/>
      </c>
      <c r="D9705" t="str">
        <f t="shared" si="3573"/>
        <v>FPO</v>
      </c>
      <c r="E9705" t="str">
        <f t="shared" si="3574"/>
        <v>AE</v>
      </c>
      <c r="F9705" t="str">
        <f t="shared" si="3582"/>
        <v>096220002</v>
      </c>
      <c r="G9705" t="str">
        <f t="shared" si="3583"/>
        <v>PSC 817 BOX 108</v>
      </c>
      <c r="H9705" t="str">
        <f t="shared" si="3580"/>
        <v/>
      </c>
      <c r="I9705" t="str">
        <f t="shared" si="3575"/>
        <v>FPO</v>
      </c>
      <c r="J9705" t="str">
        <f t="shared" si="3576"/>
        <v>AE</v>
      </c>
      <c r="K9705" t="str">
        <f>T("000000000000000000")</f>
        <v>000000000000000000</v>
      </c>
      <c r="L9705" t="str">
        <f>T("3126454567")</f>
        <v>3126454567</v>
      </c>
    </row>
    <row r="9706" spans="1:12" x14ac:dyDescent="0.35">
      <c r="A9706" t="str">
        <f t="shared" si="3578"/>
        <v>COMMANDER NAVAL REGION EUROPE</v>
      </c>
      <c r="B9706" t="str">
        <f t="shared" si="3581"/>
        <v>PSC 817 BOX 108</v>
      </c>
      <c r="C9706" t="str">
        <f t="shared" si="3579"/>
        <v/>
      </c>
      <c r="D9706" t="str">
        <f t="shared" si="3573"/>
        <v>FPO</v>
      </c>
      <c r="E9706" t="str">
        <f t="shared" si="3574"/>
        <v>AE</v>
      </c>
      <c r="F9706" t="str">
        <f t="shared" si="3582"/>
        <v>096220002</v>
      </c>
      <c r="G9706" t="str">
        <f t="shared" si="3583"/>
        <v>PSC 817 BOX 108</v>
      </c>
      <c r="H9706" t="str">
        <f t="shared" si="3580"/>
        <v/>
      </c>
      <c r="I9706" t="str">
        <f t="shared" si="3575"/>
        <v>FPO</v>
      </c>
      <c r="J9706" t="str">
        <f t="shared" si="3576"/>
        <v>AE</v>
      </c>
      <c r="K9706" t="str">
        <f>T("0110815685947")</f>
        <v>0110815685947</v>
      </c>
      <c r="L9706" t="str">
        <f>T("1111111111")</f>
        <v>1111111111</v>
      </c>
    </row>
    <row r="9707" spans="1:12" x14ac:dyDescent="0.35">
      <c r="A9707" t="str">
        <f t="shared" si="3578"/>
        <v>COMMANDER NAVAL REGION EUROPE</v>
      </c>
      <c r="B9707" t="str">
        <f t="shared" si="3581"/>
        <v>PSC 817 BOX 108</v>
      </c>
      <c r="C9707" t="str">
        <f t="shared" si="3579"/>
        <v/>
      </c>
      <c r="D9707" t="str">
        <f t="shared" si="3573"/>
        <v>FPO</v>
      </c>
      <c r="E9707" t="str">
        <f t="shared" si="3574"/>
        <v>AE</v>
      </c>
      <c r="F9707" t="str">
        <f t="shared" si="3582"/>
        <v>096220002</v>
      </c>
      <c r="G9707" t="str">
        <f t="shared" si="3583"/>
        <v>PSC 817 BOX 108</v>
      </c>
      <c r="H9707" t="str">
        <f t="shared" si="3580"/>
        <v/>
      </c>
      <c r="I9707" t="str">
        <f t="shared" si="3575"/>
        <v>FPO</v>
      </c>
      <c r="J9707" t="str">
        <f t="shared" si="3576"/>
        <v>AE</v>
      </c>
      <c r="K9707" t="str">
        <f>T("011390815681528")</f>
        <v>011390815681528</v>
      </c>
      <c r="L9707" t="str">
        <f>T("1111111111")</f>
        <v>1111111111</v>
      </c>
    </row>
    <row r="9708" spans="1:12" x14ac:dyDescent="0.35">
      <c r="A9708" t="str">
        <f t="shared" si="3578"/>
        <v>COMMANDER NAVAL REGION EUROPE</v>
      </c>
      <c r="B9708" t="str">
        <f t="shared" si="3581"/>
        <v>PSC 817 BOX 108</v>
      </c>
      <c r="C9708" t="str">
        <f t="shared" si="3579"/>
        <v/>
      </c>
      <c r="D9708" t="str">
        <f t="shared" si="3573"/>
        <v>FPO</v>
      </c>
      <c r="E9708" t="str">
        <f t="shared" si="3574"/>
        <v>AE</v>
      </c>
      <c r="F9708" t="str">
        <f t="shared" si="3582"/>
        <v>096220002</v>
      </c>
      <c r="G9708" t="str">
        <f t="shared" si="3583"/>
        <v>PSC 817 BOX 108</v>
      </c>
      <c r="H9708" t="str">
        <f t="shared" si="3580"/>
        <v/>
      </c>
      <c r="I9708" t="str">
        <f t="shared" si="3575"/>
        <v>FPO</v>
      </c>
      <c r="J9708" t="str">
        <f t="shared" si="3576"/>
        <v>AE</v>
      </c>
      <c r="K9708" t="str">
        <f>T("011390815683005")</f>
        <v>011390815683005</v>
      </c>
      <c r="L9708" t="str">
        <f>T("1111111111")</f>
        <v>1111111111</v>
      </c>
    </row>
    <row r="9709" spans="1:12" x14ac:dyDescent="0.35">
      <c r="A9709" t="str">
        <f t="shared" si="3578"/>
        <v>COMMANDER NAVAL REGION EUROPE</v>
      </c>
      <c r="B9709" t="str">
        <f t="shared" si="3581"/>
        <v>PSC 817 BOX 108</v>
      </c>
      <c r="C9709" t="str">
        <f t="shared" si="3579"/>
        <v/>
      </c>
      <c r="D9709" t="str">
        <f t="shared" si="3573"/>
        <v>FPO</v>
      </c>
      <c r="E9709" t="str">
        <f t="shared" si="3574"/>
        <v>AE</v>
      </c>
      <c r="F9709" t="str">
        <f t="shared" si="3582"/>
        <v>096220002</v>
      </c>
      <c r="G9709" t="str">
        <f t="shared" si="3583"/>
        <v>PSC 817 BOX 108</v>
      </c>
      <c r="H9709" t="str">
        <f t="shared" si="3580"/>
        <v/>
      </c>
      <c r="I9709" t="str">
        <f t="shared" si="3575"/>
        <v>FPO</v>
      </c>
      <c r="J9709" t="str">
        <f t="shared" si="3576"/>
        <v>AE</v>
      </c>
      <c r="K9709" t="str">
        <f>T("011390815683448")</f>
        <v>011390815683448</v>
      </c>
      <c r="L9709" t="str">
        <f>T("0815683448")</f>
        <v>0815683448</v>
      </c>
    </row>
    <row r="9710" spans="1:12" x14ac:dyDescent="0.35">
      <c r="A9710" t="str">
        <f t="shared" si="3578"/>
        <v>COMMANDER NAVAL REGION EUROPE</v>
      </c>
      <c r="B9710" t="str">
        <f t="shared" si="3581"/>
        <v>PSC 817 BOX 108</v>
      </c>
      <c r="C9710" t="str">
        <f t="shared" si="3579"/>
        <v/>
      </c>
      <c r="D9710" t="str">
        <f t="shared" si="3573"/>
        <v>FPO</v>
      </c>
      <c r="E9710" t="str">
        <f t="shared" si="3574"/>
        <v>AE</v>
      </c>
      <c r="F9710" t="str">
        <f t="shared" si="3582"/>
        <v>096220002</v>
      </c>
      <c r="G9710" t="str">
        <f t="shared" si="3583"/>
        <v>PSC 817 BOX 108</v>
      </c>
      <c r="H9710" t="str">
        <f t="shared" si="3580"/>
        <v/>
      </c>
      <c r="I9710" t="str">
        <f t="shared" si="3575"/>
        <v>FPO</v>
      </c>
      <c r="J9710" t="str">
        <f t="shared" si="3576"/>
        <v>AE</v>
      </c>
      <c r="K9710" t="str">
        <f>T("011390815684527")</f>
        <v>011390815684527</v>
      </c>
      <c r="L9710" t="str">
        <f>T("1111111111")</f>
        <v>1111111111</v>
      </c>
    </row>
    <row r="9711" spans="1:12" x14ac:dyDescent="0.35">
      <c r="A9711" t="str">
        <f t="shared" si="3578"/>
        <v>COMMANDER NAVAL REGION EUROPE</v>
      </c>
      <c r="B9711" t="str">
        <f t="shared" si="3581"/>
        <v>PSC 817 BOX 108</v>
      </c>
      <c r="C9711" t="str">
        <f t="shared" si="3579"/>
        <v/>
      </c>
      <c r="D9711" t="str">
        <f t="shared" si="3573"/>
        <v>FPO</v>
      </c>
      <c r="E9711" t="str">
        <f t="shared" si="3574"/>
        <v>AE</v>
      </c>
      <c r="F9711" t="str">
        <f t="shared" si="3582"/>
        <v>096220002</v>
      </c>
      <c r="G9711" t="str">
        <f t="shared" si="3583"/>
        <v>PSC 817 BOX 108</v>
      </c>
      <c r="H9711" t="str">
        <f t="shared" si="3580"/>
        <v/>
      </c>
      <c r="I9711" t="str">
        <f t="shared" si="3575"/>
        <v>FPO</v>
      </c>
      <c r="J9711" t="str">
        <f t="shared" si="3576"/>
        <v>AE</v>
      </c>
      <c r="K9711" t="str">
        <f>T("011390815684726")</f>
        <v>011390815684726</v>
      </c>
      <c r="L9711" t="str">
        <f>T("1111111111")</f>
        <v>1111111111</v>
      </c>
    </row>
    <row r="9712" spans="1:12" x14ac:dyDescent="0.35">
      <c r="A9712" t="str">
        <f t="shared" si="3578"/>
        <v>COMMANDER NAVAL REGION EUROPE</v>
      </c>
      <c r="B9712" t="str">
        <f t="shared" si="3581"/>
        <v>PSC 817 BOX 108</v>
      </c>
      <c r="C9712" t="str">
        <f t="shared" si="3579"/>
        <v/>
      </c>
      <c r="D9712" t="str">
        <f t="shared" si="3573"/>
        <v>FPO</v>
      </c>
      <c r="E9712" t="str">
        <f t="shared" si="3574"/>
        <v>AE</v>
      </c>
      <c r="F9712" t="str">
        <f t="shared" si="3582"/>
        <v>096220002</v>
      </c>
      <c r="G9712" t="str">
        <f t="shared" si="3583"/>
        <v>PSC 817 BOX 108</v>
      </c>
      <c r="H9712" t="str">
        <f t="shared" si="3580"/>
        <v/>
      </c>
      <c r="I9712" t="str">
        <f t="shared" si="3575"/>
        <v>FPO</v>
      </c>
      <c r="J9712" t="str">
        <f t="shared" si="3576"/>
        <v>AE</v>
      </c>
      <c r="K9712" t="str">
        <f>T("01139081568569")</f>
        <v>01139081568569</v>
      </c>
      <c r="L9712" t="str">
        <f>T("1111111111")</f>
        <v>1111111111</v>
      </c>
    </row>
    <row r="9713" spans="1:12" x14ac:dyDescent="0.35">
      <c r="A9713" t="str">
        <f t="shared" si="3578"/>
        <v>COMMANDER NAVAL REGION EUROPE</v>
      </c>
      <c r="B9713" t="str">
        <f t="shared" si="3581"/>
        <v>PSC 817 BOX 108</v>
      </c>
      <c r="C9713" t="str">
        <f t="shared" si="3579"/>
        <v/>
      </c>
      <c r="D9713" t="str">
        <f t="shared" si="3573"/>
        <v>FPO</v>
      </c>
      <c r="E9713" t="str">
        <f t="shared" si="3574"/>
        <v>AE</v>
      </c>
      <c r="F9713" t="str">
        <f t="shared" si="3582"/>
        <v>096220002</v>
      </c>
      <c r="G9713" t="str">
        <f t="shared" si="3583"/>
        <v>PSC 817 BOX 108</v>
      </c>
      <c r="H9713" t="str">
        <f t="shared" si="3580"/>
        <v/>
      </c>
      <c r="I9713" t="str">
        <f t="shared" si="3575"/>
        <v>FPO</v>
      </c>
      <c r="J9713" t="str">
        <f t="shared" si="3576"/>
        <v>AE</v>
      </c>
      <c r="K9713" t="str">
        <f>T("011442075144109")</f>
        <v>011442075144109</v>
      </c>
      <c r="L9713" t="str">
        <f>T("0815685813")</f>
        <v>0815685813</v>
      </c>
    </row>
    <row r="9714" spans="1:12" x14ac:dyDescent="0.35">
      <c r="A9714" t="str">
        <f t="shared" si="3578"/>
        <v>COMMANDER NAVAL REGION EUROPE</v>
      </c>
      <c r="B9714" t="str">
        <f t="shared" si="3581"/>
        <v>PSC 817 BOX 108</v>
      </c>
      <c r="C9714" t="str">
        <f t="shared" si="3579"/>
        <v/>
      </c>
      <c r="D9714" t="str">
        <f t="shared" si="3573"/>
        <v>FPO</v>
      </c>
      <c r="E9714" t="str">
        <f t="shared" si="3574"/>
        <v>AE</v>
      </c>
      <c r="F9714" t="str">
        <f t="shared" si="3582"/>
        <v>096220002</v>
      </c>
      <c r="G9714" t="str">
        <f t="shared" si="3583"/>
        <v>PSC 817 BOX 108</v>
      </c>
      <c r="H9714" t="str">
        <f t="shared" si="3580"/>
        <v/>
      </c>
      <c r="I9714" t="str">
        <f t="shared" si="3575"/>
        <v>FPO</v>
      </c>
      <c r="J9714" t="str">
        <f t="shared" si="3576"/>
        <v>AE</v>
      </c>
      <c r="K9714" t="str">
        <f>T("081 568 5299")</f>
        <v>081 568 5299</v>
      </c>
      <c r="L9714" t="str">
        <f>T("3146265960")</f>
        <v>3146265960</v>
      </c>
    </row>
    <row r="9715" spans="1:12" x14ac:dyDescent="0.35">
      <c r="A9715" t="str">
        <f t="shared" si="3578"/>
        <v>COMMANDER NAVAL REGION EUROPE</v>
      </c>
      <c r="B9715" t="str">
        <f t="shared" si="3581"/>
        <v>PSC 817 BOX 108</v>
      </c>
      <c r="C9715" t="str">
        <f t="shared" si="3579"/>
        <v/>
      </c>
      <c r="D9715" t="str">
        <f t="shared" si="3573"/>
        <v>FPO</v>
      </c>
      <c r="E9715" t="str">
        <f t="shared" si="3574"/>
        <v>AE</v>
      </c>
      <c r="F9715" t="str">
        <f t="shared" si="3582"/>
        <v>096220002</v>
      </c>
      <c r="G9715" t="str">
        <f>T("PSC 817 BOX 14")</f>
        <v>PSC 817 BOX 14</v>
      </c>
      <c r="H9715" t="str">
        <f t="shared" si="3580"/>
        <v/>
      </c>
      <c r="I9715" t="str">
        <f t="shared" si="3575"/>
        <v>FPO</v>
      </c>
      <c r="J9715" t="str">
        <f t="shared" si="3576"/>
        <v>AE</v>
      </c>
      <c r="K9715" t="str">
        <f>T("000000000000000000")</f>
        <v>000000000000000000</v>
      </c>
      <c r="L9715" t="str">
        <f>T("9734392376")</f>
        <v>9734392376</v>
      </c>
    </row>
    <row r="9716" spans="1:12" x14ac:dyDescent="0.35">
      <c r="A9716" t="str">
        <f t="shared" si="3578"/>
        <v>COMMANDER NAVAL REGION EUROPE</v>
      </c>
      <c r="B9716" t="str">
        <f t="shared" si="3581"/>
        <v>PSC 817 BOX 108</v>
      </c>
      <c r="C9716" t="str">
        <f t="shared" si="3579"/>
        <v/>
      </c>
      <c r="D9716" t="str">
        <f t="shared" si="3573"/>
        <v>FPO</v>
      </c>
      <c r="E9716" t="str">
        <f t="shared" si="3574"/>
        <v>AE</v>
      </c>
      <c r="F9716" t="str">
        <f t="shared" si="3582"/>
        <v>096220002</v>
      </c>
      <c r="G9716" t="str">
        <f>T("PSC 817 BOX 14")</f>
        <v>PSC 817 BOX 14</v>
      </c>
      <c r="H9716" t="str">
        <f t="shared" si="3580"/>
        <v/>
      </c>
      <c r="I9716" t="str">
        <f t="shared" si="3575"/>
        <v>FPO</v>
      </c>
      <c r="J9716" t="str">
        <f t="shared" si="3576"/>
        <v>AE</v>
      </c>
      <c r="K9716" t="str">
        <f>T("011390815685755")</f>
        <v>011390815685755</v>
      </c>
      <c r="L9716" t="str">
        <f t="shared" ref="L9716:L9722" si="3584">T("1111111111")</f>
        <v>1111111111</v>
      </c>
    </row>
    <row r="9717" spans="1:12" x14ac:dyDescent="0.35">
      <c r="A9717" t="str">
        <f t="shared" si="3578"/>
        <v>COMMANDER NAVAL REGION EUROPE</v>
      </c>
      <c r="B9717" t="str">
        <f t="shared" si="3581"/>
        <v>PSC 817 BOX 108</v>
      </c>
      <c r="C9717" t="str">
        <f t="shared" si="3579"/>
        <v/>
      </c>
      <c r="D9717" t="str">
        <f t="shared" si="3573"/>
        <v>FPO</v>
      </c>
      <c r="E9717" t="str">
        <f t="shared" si="3574"/>
        <v>AE</v>
      </c>
      <c r="F9717" t="str">
        <f t="shared" si="3582"/>
        <v>096220002</v>
      </c>
      <c r="G9717" t="str">
        <f>T("PSC 817 BOX 14")</f>
        <v>PSC 817 BOX 14</v>
      </c>
      <c r="H9717" t="str">
        <f t="shared" si="3580"/>
        <v/>
      </c>
      <c r="I9717" t="str">
        <f t="shared" si="3575"/>
        <v>FPO</v>
      </c>
      <c r="J9717" t="str">
        <f t="shared" si="3576"/>
        <v>AE</v>
      </c>
      <c r="K9717" t="str">
        <f>T("01139816585255")</f>
        <v>01139816585255</v>
      </c>
      <c r="L9717" t="str">
        <f t="shared" si="3584"/>
        <v>1111111111</v>
      </c>
    </row>
    <row r="9718" spans="1:12" x14ac:dyDescent="0.35">
      <c r="A9718" t="str">
        <f t="shared" si="3578"/>
        <v>COMMANDER NAVAL REGION EUROPE</v>
      </c>
      <c r="B9718" t="str">
        <f t="shared" si="3581"/>
        <v>PSC 817 BOX 108</v>
      </c>
      <c r="C9718" t="str">
        <f t="shared" si="3579"/>
        <v/>
      </c>
      <c r="D9718" t="str">
        <f t="shared" si="3573"/>
        <v>FPO</v>
      </c>
      <c r="E9718" t="str">
        <f t="shared" si="3574"/>
        <v>AE</v>
      </c>
      <c r="F9718" t="str">
        <f t="shared" si="3582"/>
        <v>096220002</v>
      </c>
      <c r="G9718" t="str">
        <f>T("PSC 817 BOX 810")</f>
        <v>PSC 817 BOX 810</v>
      </c>
      <c r="H9718" t="str">
        <f t="shared" si="3580"/>
        <v/>
      </c>
      <c r="I9718" t="str">
        <f t="shared" si="3575"/>
        <v>FPO</v>
      </c>
      <c r="J9718" t="str">
        <f t="shared" si="3576"/>
        <v>AE</v>
      </c>
      <c r="K9718" t="str">
        <f>T("01139815684791")</f>
        <v>01139815684791</v>
      </c>
      <c r="L9718" t="str">
        <f t="shared" si="3584"/>
        <v>1111111111</v>
      </c>
    </row>
    <row r="9719" spans="1:12" x14ac:dyDescent="0.35">
      <c r="A9719" t="str">
        <f t="shared" si="3578"/>
        <v>COMMANDER NAVAL REGION EUROPE</v>
      </c>
      <c r="B9719" t="str">
        <f t="shared" si="3581"/>
        <v>PSC 817 BOX 108</v>
      </c>
      <c r="C9719" t="str">
        <f t="shared" si="3579"/>
        <v/>
      </c>
      <c r="D9719" t="str">
        <f t="shared" si="3573"/>
        <v>FPO</v>
      </c>
      <c r="E9719" t="str">
        <f t="shared" si="3574"/>
        <v>AE</v>
      </c>
      <c r="F9719" t="str">
        <f t="shared" si="3582"/>
        <v>096220002</v>
      </c>
      <c r="G9719" t="str">
        <f>T("PSC 817 BOX 833")</f>
        <v>PSC 817 BOX 833</v>
      </c>
      <c r="H9719" t="str">
        <f t="shared" si="3580"/>
        <v/>
      </c>
      <c r="I9719" t="str">
        <f t="shared" si="3575"/>
        <v>FPO</v>
      </c>
      <c r="J9719" t="str">
        <f t="shared" si="3576"/>
        <v>AE</v>
      </c>
      <c r="K9719" t="str">
        <f>T("011930815681695")</f>
        <v>011930815681695</v>
      </c>
      <c r="L9719" t="str">
        <f t="shared" si="3584"/>
        <v>1111111111</v>
      </c>
    </row>
    <row r="9720" spans="1:12" x14ac:dyDescent="0.35">
      <c r="A9720" t="str">
        <f t="shared" si="3578"/>
        <v>COMMANDER NAVAL REGION EUROPE</v>
      </c>
      <c r="B9720" t="str">
        <f t="shared" si="3581"/>
        <v>PSC 817 BOX 108</v>
      </c>
      <c r="C9720" t="str">
        <f t="shared" si="3579"/>
        <v/>
      </c>
      <c r="D9720" t="str">
        <f t="shared" si="3573"/>
        <v>FPO</v>
      </c>
      <c r="E9720" t="str">
        <f t="shared" si="3574"/>
        <v>AE</v>
      </c>
      <c r="F9720" t="str">
        <f t="shared" si="3582"/>
        <v>096220002</v>
      </c>
      <c r="G9720" t="str">
        <f>T("PSC 817 BOX 853")</f>
        <v>PSC 817 BOX 853</v>
      </c>
      <c r="H9720" t="str">
        <f t="shared" si="3580"/>
        <v/>
      </c>
      <c r="I9720" t="str">
        <f t="shared" si="3575"/>
        <v>FPO</v>
      </c>
      <c r="J9720" t="str">
        <f t="shared" si="3576"/>
        <v>AE</v>
      </c>
      <c r="K9720" t="str">
        <f>T("011390815686736")</f>
        <v>011390815686736</v>
      </c>
      <c r="L9720" t="str">
        <f t="shared" si="3584"/>
        <v>1111111111</v>
      </c>
    </row>
    <row r="9721" spans="1:12" x14ac:dyDescent="0.35">
      <c r="A9721" t="str">
        <f t="shared" si="3578"/>
        <v>COMMANDER NAVAL REGION EUROPE</v>
      </c>
      <c r="B9721" t="str">
        <f t="shared" si="3581"/>
        <v>PSC 817 BOX 108</v>
      </c>
      <c r="C9721" t="str">
        <f t="shared" si="3579"/>
        <v/>
      </c>
      <c r="D9721" t="str">
        <f t="shared" si="3573"/>
        <v>FPO</v>
      </c>
      <c r="E9721" t="str">
        <f t="shared" si="3574"/>
        <v>AE</v>
      </c>
      <c r="F9721" t="str">
        <f t="shared" si="3582"/>
        <v>096220002</v>
      </c>
      <c r="G9721" t="str">
        <f>T("PSC 817 BOX 887")</f>
        <v>PSC 817 BOX 887</v>
      </c>
      <c r="H9721" t="str">
        <f t="shared" si="3580"/>
        <v/>
      </c>
      <c r="I9721" t="str">
        <f t="shared" si="3575"/>
        <v>FPO</v>
      </c>
      <c r="J9721" t="str">
        <f t="shared" si="3576"/>
        <v>AE</v>
      </c>
      <c r="K9721" t="str">
        <f>T("011390815685575")</f>
        <v>011390815685575</v>
      </c>
      <c r="L9721" t="str">
        <f t="shared" si="3584"/>
        <v>1111111111</v>
      </c>
    </row>
    <row r="9722" spans="1:12" x14ac:dyDescent="0.35">
      <c r="A9722" t="str">
        <f t="shared" si="3578"/>
        <v>COMMANDER NAVAL REGION EUROPE</v>
      </c>
      <c r="B9722" t="str">
        <f t="shared" si="3581"/>
        <v>PSC 817 BOX 108</v>
      </c>
      <c r="C9722" t="str">
        <f t="shared" si="3579"/>
        <v/>
      </c>
      <c r="D9722" t="str">
        <f t="shared" si="3573"/>
        <v>FPO</v>
      </c>
      <c r="E9722" t="str">
        <f t="shared" si="3574"/>
        <v>AE</v>
      </c>
      <c r="F9722" t="str">
        <f t="shared" si="3582"/>
        <v>096220002</v>
      </c>
      <c r="G9722" t="str">
        <f>T("PSC 819 BOX 61")</f>
        <v>PSC 819 BOX 61</v>
      </c>
      <c r="H9722" t="str">
        <f t="shared" si="3580"/>
        <v/>
      </c>
      <c r="I9722" t="str">
        <f t="shared" si="3575"/>
        <v>FPO</v>
      </c>
      <c r="J9722" t="str">
        <f t="shared" si="3576"/>
        <v>AE</v>
      </c>
      <c r="K9722" t="str">
        <f>T("000000000000000000")</f>
        <v>000000000000000000</v>
      </c>
      <c r="L9722" t="str">
        <f t="shared" si="3584"/>
        <v>1111111111</v>
      </c>
    </row>
    <row r="9723" spans="1:12" x14ac:dyDescent="0.35">
      <c r="A9723" t="str">
        <f t="shared" si="3578"/>
        <v>COMMANDER NAVAL REGION EUROPE</v>
      </c>
      <c r="B9723" t="str">
        <f t="shared" si="3581"/>
        <v>PSC 817 BOX 108</v>
      </c>
      <c r="C9723" t="str">
        <f t="shared" si="3579"/>
        <v/>
      </c>
      <c r="D9723" t="str">
        <f t="shared" si="3573"/>
        <v>FPO</v>
      </c>
      <c r="E9723" t="str">
        <f t="shared" si="3574"/>
        <v>AE</v>
      </c>
      <c r="F9723" t="str">
        <f t="shared" si="3582"/>
        <v>096220002</v>
      </c>
      <c r="G9723" t="str">
        <f>T("PSC 825 BOX 113")</f>
        <v>PSC 825 BOX 113</v>
      </c>
      <c r="H9723" t="str">
        <f t="shared" si="3580"/>
        <v/>
      </c>
      <c r="I9723" t="str">
        <f t="shared" si="3575"/>
        <v>FPO</v>
      </c>
      <c r="J9723" t="str">
        <f t="shared" si="3576"/>
        <v>AE</v>
      </c>
      <c r="K9723" t="str">
        <f>T("000000000000000000")</f>
        <v>000000000000000000</v>
      </c>
      <c r="L9723" t="str">
        <f>T("3126454437")</f>
        <v>3126454437</v>
      </c>
    </row>
    <row r="9724" spans="1:12" x14ac:dyDescent="0.35">
      <c r="A9724" t="str">
        <f t="shared" si="3578"/>
        <v>COMMANDER NAVAL REGION EUROPE</v>
      </c>
      <c r="B9724" t="str">
        <f t="shared" si="3581"/>
        <v>PSC 817 BOX 108</v>
      </c>
      <c r="C9724" t="str">
        <f t="shared" si="3579"/>
        <v/>
      </c>
      <c r="D9724" t="str">
        <f t="shared" si="3573"/>
        <v>FPO</v>
      </c>
      <c r="E9724" t="str">
        <f t="shared" si="3574"/>
        <v>AE</v>
      </c>
      <c r="F9724" t="str">
        <f t="shared" si="3582"/>
        <v>096220002</v>
      </c>
      <c r="G9724" t="str">
        <f>T("PSC 825 BOX 113")</f>
        <v>PSC 825 BOX 113</v>
      </c>
      <c r="H9724" t="str">
        <f t="shared" si="3580"/>
        <v/>
      </c>
      <c r="I9724" t="str">
        <f t="shared" si="3575"/>
        <v>FPO</v>
      </c>
      <c r="J9724" t="str">
        <f t="shared" si="3576"/>
        <v>AE</v>
      </c>
      <c r="K9724" t="str">
        <f>T("000000000000000000")</f>
        <v>000000000000000000</v>
      </c>
      <c r="L9724" t="str">
        <f>T("3126454567")</f>
        <v>3126454567</v>
      </c>
    </row>
    <row r="9725" spans="1:12" x14ac:dyDescent="0.35">
      <c r="A9725" t="str">
        <f t="shared" si="3578"/>
        <v>COMMANDER NAVAL REGION EUROPE</v>
      </c>
      <c r="B9725" t="str">
        <f t="shared" si="3581"/>
        <v>PSC 817 BOX 108</v>
      </c>
      <c r="C9725" t="str">
        <f t="shared" si="3579"/>
        <v/>
      </c>
      <c r="D9725" t="str">
        <f t="shared" ref="D9725:D9756" si="3585">T("FPO")</f>
        <v>FPO</v>
      </c>
      <c r="E9725" t="str">
        <f t="shared" ref="E9725:E9756" si="3586">T("AE")</f>
        <v>AE</v>
      </c>
      <c r="F9725" t="str">
        <f t="shared" si="3582"/>
        <v>096220002</v>
      </c>
      <c r="G9725" t="str">
        <f>T("US NAVY REGION EUROPE")</f>
        <v>US NAVY REGION EUROPE</v>
      </c>
      <c r="H9725" t="str">
        <f>T("SAFETY DIVISION PSC 817 BOX 108")</f>
        <v>SAFETY DIVISION PSC 817 BOX 108</v>
      </c>
      <c r="I9725" t="str">
        <f t="shared" ref="I9725:I9756" si="3587">T("FPO")</f>
        <v>FPO</v>
      </c>
      <c r="J9725" t="str">
        <f t="shared" ref="J9725:J9756" si="3588">T("AE")</f>
        <v>AE</v>
      </c>
      <c r="K9725" t="str">
        <f>T("000000000000000000")</f>
        <v>000000000000000000</v>
      </c>
      <c r="L9725" t="str">
        <f>T("0815684004")</f>
        <v>0815684004</v>
      </c>
    </row>
    <row r="9726" spans="1:12" x14ac:dyDescent="0.35">
      <c r="A9726" t="str">
        <f t="shared" si="3578"/>
        <v>COMMANDER NAVAL REGION EUROPE</v>
      </c>
      <c r="B9726" t="str">
        <f>T("PSC 817 BOX 29")</f>
        <v>PSC 817 BOX 29</v>
      </c>
      <c r="C9726" t="str">
        <f t="shared" si="3579"/>
        <v/>
      </c>
      <c r="D9726" t="str">
        <f t="shared" si="3585"/>
        <v>FPO</v>
      </c>
      <c r="E9726" t="str">
        <f t="shared" si="3586"/>
        <v>AE</v>
      </c>
      <c r="F9726" t="str">
        <f>T("096220001")</f>
        <v>096220001</v>
      </c>
      <c r="G9726" t="str">
        <f>T("PSC 817 BOX 29")</f>
        <v>PSC 817 BOX 29</v>
      </c>
      <c r="H9726" t="str">
        <f t="shared" ref="H9726:H9741" si="3589">T("")</f>
        <v/>
      </c>
      <c r="I9726" t="str">
        <f t="shared" si="3587"/>
        <v>FPO</v>
      </c>
      <c r="J9726" t="str">
        <f t="shared" si="3588"/>
        <v>AE</v>
      </c>
      <c r="K9726" t="str">
        <f>T("")</f>
        <v/>
      </c>
      <c r="L9726" t="str">
        <f t="shared" ref="L9726:L9734" si="3590">T("1111111111")</f>
        <v>1111111111</v>
      </c>
    </row>
    <row r="9727" spans="1:12" x14ac:dyDescent="0.35">
      <c r="A9727" t="str">
        <f t="shared" si="3578"/>
        <v>COMMANDER NAVAL REGION EUROPE</v>
      </c>
      <c r="B9727" t="str">
        <f>T("PSC 817 BOX 29")</f>
        <v>PSC 817 BOX 29</v>
      </c>
      <c r="C9727" t="str">
        <f t="shared" si="3579"/>
        <v/>
      </c>
      <c r="D9727" t="str">
        <f t="shared" si="3585"/>
        <v>FPO</v>
      </c>
      <c r="E9727" t="str">
        <f t="shared" si="3586"/>
        <v>AE</v>
      </c>
      <c r="F9727" t="str">
        <f>T("096220001")</f>
        <v>096220001</v>
      </c>
      <c r="G9727" t="str">
        <f>T("PSC 817 BOX 29")</f>
        <v>PSC 817 BOX 29</v>
      </c>
      <c r="H9727" t="str">
        <f t="shared" si="3589"/>
        <v/>
      </c>
      <c r="I9727" t="str">
        <f t="shared" si="3587"/>
        <v>FPO</v>
      </c>
      <c r="J9727" t="str">
        <f t="shared" si="3588"/>
        <v>AE</v>
      </c>
      <c r="K9727" t="str">
        <f>T("000000000000000000")</f>
        <v>000000000000000000</v>
      </c>
      <c r="L9727" t="str">
        <f t="shared" si="3590"/>
        <v>1111111111</v>
      </c>
    </row>
    <row r="9728" spans="1:12" x14ac:dyDescent="0.35">
      <c r="A9728" t="str">
        <f t="shared" si="3578"/>
        <v>COMMANDER NAVAL REGION EUROPE</v>
      </c>
      <c r="B9728" t="str">
        <f>T("PSC 817 BOX 29")</f>
        <v>PSC 817 BOX 29</v>
      </c>
      <c r="C9728" t="str">
        <f t="shared" si="3579"/>
        <v/>
      </c>
      <c r="D9728" t="str">
        <f t="shared" si="3585"/>
        <v>FPO</v>
      </c>
      <c r="E9728" t="str">
        <f t="shared" si="3586"/>
        <v>AE</v>
      </c>
      <c r="F9728" t="str">
        <f>T("096220001")</f>
        <v>096220001</v>
      </c>
      <c r="G9728" t="str">
        <f>T("PSC 817 BOX 29")</f>
        <v>PSC 817 BOX 29</v>
      </c>
      <c r="H9728" t="str">
        <f t="shared" si="3589"/>
        <v/>
      </c>
      <c r="I9728" t="str">
        <f t="shared" si="3587"/>
        <v>FPO</v>
      </c>
      <c r="J9728" t="str">
        <f t="shared" si="3588"/>
        <v>AE</v>
      </c>
      <c r="K9728" t="str">
        <f>T("011390815685386")</f>
        <v>011390815685386</v>
      </c>
      <c r="L9728" t="str">
        <f t="shared" si="3590"/>
        <v>1111111111</v>
      </c>
    </row>
    <row r="9729" spans="1:12" x14ac:dyDescent="0.35">
      <c r="A9729" t="str">
        <f t="shared" si="3578"/>
        <v>COMMANDER NAVAL REGION EUROPE</v>
      </c>
      <c r="B9729" t="str">
        <f>T("PSC 817 BOX 908")</f>
        <v>PSC 817 BOX 908</v>
      </c>
      <c r="C9729" t="str">
        <f t="shared" si="3579"/>
        <v/>
      </c>
      <c r="D9729" t="str">
        <f t="shared" si="3585"/>
        <v>FPO</v>
      </c>
      <c r="E9729" t="str">
        <f t="shared" si="3586"/>
        <v>AE</v>
      </c>
      <c r="F9729" t="str">
        <f>T("096220010")</f>
        <v>096220010</v>
      </c>
      <c r="G9729" t="str">
        <f>T("PSC 812 BOX 815")</f>
        <v>PSC 812 BOX 815</v>
      </c>
      <c r="H9729" t="str">
        <f t="shared" si="3589"/>
        <v/>
      </c>
      <c r="I9729" t="str">
        <f t="shared" si="3587"/>
        <v>FPO</v>
      </c>
      <c r="J9729" t="str">
        <f t="shared" si="3588"/>
        <v>AE</v>
      </c>
      <c r="K9729" t="str">
        <f>T("011390815686957")</f>
        <v>011390815686957</v>
      </c>
      <c r="L9729" t="str">
        <f t="shared" si="3590"/>
        <v>1111111111</v>
      </c>
    </row>
    <row r="9730" spans="1:12" x14ac:dyDescent="0.35">
      <c r="A9730" t="str">
        <f t="shared" si="3578"/>
        <v>COMMANDER NAVAL REGION EUROPE</v>
      </c>
      <c r="B9730" t="str">
        <f>T("PSC 817 BOX 908")</f>
        <v>PSC 817 BOX 908</v>
      </c>
      <c r="C9730" t="str">
        <f t="shared" si="3579"/>
        <v/>
      </c>
      <c r="D9730" t="str">
        <f t="shared" si="3585"/>
        <v>FPO</v>
      </c>
      <c r="E9730" t="str">
        <f t="shared" si="3586"/>
        <v>AE</v>
      </c>
      <c r="F9730" t="str">
        <f>T("096220010")</f>
        <v>096220010</v>
      </c>
      <c r="G9730" t="str">
        <f>T("PSC 817 BOX 4365")</f>
        <v>PSC 817 BOX 4365</v>
      </c>
      <c r="H9730" t="str">
        <f t="shared" si="3589"/>
        <v/>
      </c>
      <c r="I9730" t="str">
        <f t="shared" si="3587"/>
        <v>FPO</v>
      </c>
      <c r="J9730" t="str">
        <f t="shared" si="3588"/>
        <v>AE</v>
      </c>
      <c r="K9730" t="str">
        <f>T("011395686499")</f>
        <v>011395686499</v>
      </c>
      <c r="L9730" t="str">
        <f t="shared" si="3590"/>
        <v>1111111111</v>
      </c>
    </row>
    <row r="9731" spans="1:12" x14ac:dyDescent="0.35">
      <c r="A9731" t="str">
        <f t="shared" si="3578"/>
        <v>COMMANDER NAVAL REGION EUROPE</v>
      </c>
      <c r="B9731" t="str">
        <f>T("PSC 817 BOX 908")</f>
        <v>PSC 817 BOX 908</v>
      </c>
      <c r="C9731" t="str">
        <f t="shared" si="3579"/>
        <v/>
      </c>
      <c r="D9731" t="str">
        <f t="shared" si="3585"/>
        <v>FPO</v>
      </c>
      <c r="E9731" t="str">
        <f t="shared" si="3586"/>
        <v>AE</v>
      </c>
      <c r="F9731" t="str">
        <f>T("096220010")</f>
        <v>096220010</v>
      </c>
      <c r="G9731" t="str">
        <f>T("PSC 817 BOX 908")</f>
        <v>PSC 817 BOX 908</v>
      </c>
      <c r="H9731" t="str">
        <f t="shared" si="3589"/>
        <v/>
      </c>
      <c r="I9731" t="str">
        <f t="shared" si="3587"/>
        <v>FPO</v>
      </c>
      <c r="J9731" t="str">
        <f t="shared" si="3588"/>
        <v>AE</v>
      </c>
      <c r="K9731" t="str">
        <f>T("000000000000000000")</f>
        <v>000000000000000000</v>
      </c>
      <c r="L9731" t="str">
        <f t="shared" si="3590"/>
        <v>1111111111</v>
      </c>
    </row>
    <row r="9732" spans="1:12" x14ac:dyDescent="0.35">
      <c r="A9732" t="str">
        <f t="shared" si="3578"/>
        <v>COMMANDER NAVAL REGION EUROPE</v>
      </c>
      <c r="B9732" t="str">
        <f>T("PSC 851 BOX 560")</f>
        <v>PSC 851 BOX 560</v>
      </c>
      <c r="C9732" t="str">
        <f t="shared" ref="C9732:C9756" si="3591">T("")</f>
        <v/>
      </c>
      <c r="D9732" t="str">
        <f t="shared" si="3585"/>
        <v>FPO</v>
      </c>
      <c r="E9732" t="str">
        <f t="shared" si="3586"/>
        <v>AE</v>
      </c>
      <c r="F9732" t="str">
        <f>T("098340006")</f>
        <v>098340006</v>
      </c>
      <c r="G9732" t="str">
        <f>T("PSC 851 BOX 560")</f>
        <v>PSC 851 BOX 560</v>
      </c>
      <c r="H9732" t="str">
        <f t="shared" si="3589"/>
        <v/>
      </c>
      <c r="I9732" t="str">
        <f t="shared" si="3587"/>
        <v>FPO</v>
      </c>
      <c r="J9732" t="str">
        <f t="shared" si="3588"/>
        <v>AE</v>
      </c>
      <c r="K9732" t="str">
        <f>T("")</f>
        <v/>
      </c>
      <c r="L9732" t="str">
        <f t="shared" si="3590"/>
        <v>1111111111</v>
      </c>
    </row>
    <row r="9733" spans="1:12" x14ac:dyDescent="0.35">
      <c r="A9733" t="str">
        <f t="shared" si="3578"/>
        <v>COMMANDER NAVAL REGION EUROPE</v>
      </c>
      <c r="B9733" t="str">
        <f>T("PSC 851 BOX 560")</f>
        <v>PSC 851 BOX 560</v>
      </c>
      <c r="C9733" t="str">
        <f t="shared" si="3591"/>
        <v/>
      </c>
      <c r="D9733" t="str">
        <f t="shared" si="3585"/>
        <v>FPO</v>
      </c>
      <c r="E9733" t="str">
        <f t="shared" si="3586"/>
        <v>AE</v>
      </c>
      <c r="F9733" t="str">
        <f>T("098340006")</f>
        <v>098340006</v>
      </c>
      <c r="G9733" t="str">
        <f>T("PSC 851 BOX 560")</f>
        <v>PSC 851 BOX 560</v>
      </c>
      <c r="H9733" t="str">
        <f t="shared" si="3589"/>
        <v/>
      </c>
      <c r="I9733" t="str">
        <f t="shared" si="3587"/>
        <v>FPO</v>
      </c>
      <c r="J9733" t="str">
        <f t="shared" si="3588"/>
        <v>AE</v>
      </c>
      <c r="K9733" t="str">
        <f>T("0097317856733")</f>
        <v>0097317856733</v>
      </c>
      <c r="L9733" t="str">
        <f t="shared" si="3590"/>
        <v>1111111111</v>
      </c>
    </row>
    <row r="9734" spans="1:12" x14ac:dyDescent="0.35">
      <c r="A9734" t="str">
        <f t="shared" ref="A9734:A9753" si="3592">T("CNREURAFSWA")</f>
        <v>CNREURAFSWA</v>
      </c>
      <c r="B9734" t="str">
        <f>T("PSC 451, BOX 440")</f>
        <v>PSC 451, BOX 440</v>
      </c>
      <c r="C9734" t="str">
        <f t="shared" si="3591"/>
        <v/>
      </c>
      <c r="D9734" t="str">
        <f t="shared" si="3585"/>
        <v>FPO</v>
      </c>
      <c r="E9734" t="str">
        <f t="shared" si="3586"/>
        <v>AE</v>
      </c>
      <c r="F9734" t="str">
        <f>T("098340005")</f>
        <v>098340005</v>
      </c>
      <c r="G9734" t="str">
        <f>T("PSC 451, BOX 440")</f>
        <v>PSC 451, BOX 440</v>
      </c>
      <c r="H9734" t="str">
        <f t="shared" si="3589"/>
        <v/>
      </c>
      <c r="I9734" t="str">
        <f t="shared" si="3587"/>
        <v>FPO</v>
      </c>
      <c r="J9734" t="str">
        <f t="shared" si="3588"/>
        <v>AE</v>
      </c>
      <c r="K9734" t="str">
        <f>T("111111111111")</f>
        <v>111111111111</v>
      </c>
      <c r="L9734" t="str">
        <f t="shared" si="3590"/>
        <v>1111111111</v>
      </c>
    </row>
    <row r="9735" spans="1:12" x14ac:dyDescent="0.35">
      <c r="A9735" t="str">
        <f t="shared" si="3592"/>
        <v>CNREURAFSWA</v>
      </c>
      <c r="B9735" t="str">
        <f>T("PSC 851 BOX 140")</f>
        <v>PSC 851 BOX 140</v>
      </c>
      <c r="C9735" t="str">
        <f t="shared" si="3591"/>
        <v/>
      </c>
      <c r="D9735" t="str">
        <f t="shared" si="3585"/>
        <v>FPO</v>
      </c>
      <c r="E9735" t="str">
        <f t="shared" si="3586"/>
        <v>AE</v>
      </c>
      <c r="F9735" t="str">
        <f>T("098340002")</f>
        <v>098340002</v>
      </c>
      <c r="G9735" t="str">
        <f>T("PSC 851 BOX 140")</f>
        <v>PSC 851 BOX 140</v>
      </c>
      <c r="H9735" t="str">
        <f t="shared" si="3589"/>
        <v/>
      </c>
      <c r="I9735" t="str">
        <f t="shared" si="3587"/>
        <v>FPO</v>
      </c>
      <c r="J9735" t="str">
        <f t="shared" si="3588"/>
        <v>AE</v>
      </c>
      <c r="K9735" t="str">
        <f>T("000000000000000000")</f>
        <v>000000000000000000</v>
      </c>
      <c r="L9735" t="str">
        <f>T("0017854227")</f>
        <v>0017854227</v>
      </c>
    </row>
    <row r="9736" spans="1:12" x14ac:dyDescent="0.35">
      <c r="A9736" t="str">
        <f t="shared" si="3592"/>
        <v>CNREURAFSWA</v>
      </c>
      <c r="B9736" t="str">
        <f>T("PSC 851 BOX 140")</f>
        <v>PSC 851 BOX 140</v>
      </c>
      <c r="C9736" t="str">
        <f t="shared" si="3591"/>
        <v/>
      </c>
      <c r="D9736" t="str">
        <f t="shared" si="3585"/>
        <v>FPO</v>
      </c>
      <c r="E9736" t="str">
        <f t="shared" si="3586"/>
        <v>AE</v>
      </c>
      <c r="F9736" t="str">
        <f>T("098340002")</f>
        <v>098340002</v>
      </c>
      <c r="G9736" t="str">
        <f>T("PSC 851 BOX 140")</f>
        <v>PSC 851 BOX 140</v>
      </c>
      <c r="H9736" t="str">
        <f t="shared" si="3589"/>
        <v/>
      </c>
      <c r="I9736" t="str">
        <f t="shared" si="3587"/>
        <v>FPO</v>
      </c>
      <c r="J9736" t="str">
        <f t="shared" si="3588"/>
        <v>AE</v>
      </c>
      <c r="K9736" t="str">
        <f>T("97317854371")</f>
        <v>97317854371</v>
      </c>
      <c r="L9736" t="str">
        <f>T("1111111111")</f>
        <v>1111111111</v>
      </c>
    </row>
    <row r="9737" spans="1:12" x14ac:dyDescent="0.35">
      <c r="A9737" t="str">
        <f t="shared" si="3592"/>
        <v>CNREURAFSWA</v>
      </c>
      <c r="B9737" t="str">
        <f>T("PSC 851 BOX 140")</f>
        <v>PSC 851 BOX 140</v>
      </c>
      <c r="C9737" t="str">
        <f t="shared" si="3591"/>
        <v/>
      </c>
      <c r="D9737" t="str">
        <f t="shared" si="3585"/>
        <v>FPO</v>
      </c>
      <c r="E9737" t="str">
        <f t="shared" si="3586"/>
        <v>AE</v>
      </c>
      <c r="F9737" t="str">
        <f>T("098340002")</f>
        <v>098340002</v>
      </c>
      <c r="G9737" t="str">
        <f>T("PSC 851 BOX 470")</f>
        <v>PSC 851 BOX 470</v>
      </c>
      <c r="H9737" t="str">
        <f t="shared" si="3589"/>
        <v/>
      </c>
      <c r="I9737" t="str">
        <f t="shared" si="3587"/>
        <v>FPO</v>
      </c>
      <c r="J9737" t="str">
        <f t="shared" si="3588"/>
        <v>AE</v>
      </c>
      <c r="K9737" t="str">
        <f>T("97317854623")</f>
        <v>97317854623</v>
      </c>
      <c r="L9737" t="str">
        <f>T("1111111111")</f>
        <v>1111111111</v>
      </c>
    </row>
    <row r="9738" spans="1:12" x14ac:dyDescent="0.35">
      <c r="A9738" t="str">
        <f t="shared" si="3592"/>
        <v>CNREURAFSWA</v>
      </c>
      <c r="B9738" t="str">
        <f>T("PSC 851 BOX 20")</f>
        <v>PSC 851 BOX 20</v>
      </c>
      <c r="C9738" t="str">
        <f t="shared" si="3591"/>
        <v/>
      </c>
      <c r="D9738" t="str">
        <f t="shared" si="3585"/>
        <v>FPO</v>
      </c>
      <c r="E9738" t="str">
        <f t="shared" si="3586"/>
        <v>AE</v>
      </c>
      <c r="F9738" t="str">
        <f>T("098340001")</f>
        <v>098340001</v>
      </c>
      <c r="G9738" t="str">
        <f>T("PSC 851 BOX 140")</f>
        <v>PSC 851 BOX 140</v>
      </c>
      <c r="H9738" t="str">
        <f t="shared" si="3589"/>
        <v/>
      </c>
      <c r="I9738" t="str">
        <f t="shared" si="3587"/>
        <v>FPO</v>
      </c>
      <c r="J9738" t="str">
        <f t="shared" si="3588"/>
        <v>AE</v>
      </c>
      <c r="K9738" t="str">
        <f>T("000000000000000000")</f>
        <v>000000000000000000</v>
      </c>
      <c r="L9738" t="str">
        <f>T("0017856666")</f>
        <v>0017856666</v>
      </c>
    </row>
    <row r="9739" spans="1:12" x14ac:dyDescent="0.35">
      <c r="A9739" t="str">
        <f t="shared" si="3592"/>
        <v>CNREURAFSWA</v>
      </c>
      <c r="B9739" t="str">
        <f>T("PSC 851 BOX 20")</f>
        <v>PSC 851 BOX 20</v>
      </c>
      <c r="C9739" t="str">
        <f t="shared" si="3591"/>
        <v/>
      </c>
      <c r="D9739" t="str">
        <f t="shared" si="3585"/>
        <v>FPO</v>
      </c>
      <c r="E9739" t="str">
        <f t="shared" si="3586"/>
        <v>AE</v>
      </c>
      <c r="F9739" t="str">
        <f>T("098340001")</f>
        <v>098340001</v>
      </c>
      <c r="G9739" t="str">
        <f>T("PSC 851 BOX 20")</f>
        <v>PSC 851 BOX 20</v>
      </c>
      <c r="H9739" t="str">
        <f t="shared" si="3589"/>
        <v/>
      </c>
      <c r="I9739" t="str">
        <f t="shared" si="3587"/>
        <v>FPO</v>
      </c>
      <c r="J9739" t="str">
        <f t="shared" si="3588"/>
        <v>AE</v>
      </c>
      <c r="K9739" t="str">
        <f>T("000000000000000000")</f>
        <v>000000000000000000</v>
      </c>
      <c r="L9739" t="str">
        <f t="shared" ref="L9739:L9749" si="3593">T("1111111111")</f>
        <v>1111111111</v>
      </c>
    </row>
    <row r="9740" spans="1:12" x14ac:dyDescent="0.35">
      <c r="A9740" t="str">
        <f t="shared" si="3592"/>
        <v>CNREURAFSWA</v>
      </c>
      <c r="B9740" t="str">
        <f>T("PSC 851 BOX 20")</f>
        <v>PSC 851 BOX 20</v>
      </c>
      <c r="C9740" t="str">
        <f t="shared" si="3591"/>
        <v/>
      </c>
      <c r="D9740" t="str">
        <f t="shared" si="3585"/>
        <v>FPO</v>
      </c>
      <c r="E9740" t="str">
        <f t="shared" si="3586"/>
        <v>AE</v>
      </c>
      <c r="F9740" t="str">
        <f>T("098340001")</f>
        <v>098340001</v>
      </c>
      <c r="G9740" t="str">
        <f>T("PSC 851 BOX 20")</f>
        <v>PSC 851 BOX 20</v>
      </c>
      <c r="H9740" t="str">
        <f t="shared" si="3589"/>
        <v/>
      </c>
      <c r="I9740" t="str">
        <f t="shared" si="3587"/>
        <v>FPO</v>
      </c>
      <c r="J9740" t="str">
        <f t="shared" si="3588"/>
        <v>AE</v>
      </c>
      <c r="K9740" t="str">
        <f>T("0097317853860")</f>
        <v>0097317853860</v>
      </c>
      <c r="L9740" t="str">
        <f t="shared" si="3593"/>
        <v>1111111111</v>
      </c>
    </row>
    <row r="9741" spans="1:12" x14ac:dyDescent="0.35">
      <c r="A9741" t="str">
        <f t="shared" si="3592"/>
        <v>CNREURAFSWA</v>
      </c>
      <c r="B9741" t="str">
        <f>T("PSC 851 BOX 250")</f>
        <v>PSC 851 BOX 250</v>
      </c>
      <c r="C9741" t="str">
        <f t="shared" si="3591"/>
        <v/>
      </c>
      <c r="D9741" t="str">
        <f t="shared" si="3585"/>
        <v>FPO</v>
      </c>
      <c r="E9741" t="str">
        <f t="shared" si="3586"/>
        <v>AE</v>
      </c>
      <c r="F9741" t="str">
        <f>T("098340003")</f>
        <v>098340003</v>
      </c>
      <c r="G9741" t="str">
        <f>T("PSC 851 BOX 250")</f>
        <v>PSC 851 BOX 250</v>
      </c>
      <c r="H9741" t="str">
        <f t="shared" si="3589"/>
        <v/>
      </c>
      <c r="I9741" t="str">
        <f t="shared" si="3587"/>
        <v>FPO</v>
      </c>
      <c r="J9741" t="str">
        <f t="shared" si="3588"/>
        <v>AE</v>
      </c>
      <c r="K9741" t="str">
        <f>T("000000000000000000")</f>
        <v>000000000000000000</v>
      </c>
      <c r="L9741" t="str">
        <f t="shared" si="3593"/>
        <v>1111111111</v>
      </c>
    </row>
    <row r="9742" spans="1:12" x14ac:dyDescent="0.35">
      <c r="A9742" t="str">
        <f t="shared" si="3592"/>
        <v>CNREURAFSWA</v>
      </c>
      <c r="B9742" t="str">
        <f>T("PSC 851 BOX 560")</f>
        <v>PSC 851 BOX 560</v>
      </c>
      <c r="C9742" t="str">
        <f t="shared" si="3591"/>
        <v/>
      </c>
      <c r="D9742" t="str">
        <f t="shared" si="3585"/>
        <v>FPO</v>
      </c>
      <c r="E9742" t="str">
        <f t="shared" si="3586"/>
        <v>AE</v>
      </c>
      <c r="F9742" t="str">
        <f>T("098340006")</f>
        <v>098340006</v>
      </c>
      <c r="G9742" t="str">
        <f>T("ATTN: FIGUERAS")</f>
        <v>ATTN: FIGUERAS</v>
      </c>
      <c r="H9742" t="str">
        <f>T("PSC 851 BOX 560")</f>
        <v>PSC 851 BOX 560</v>
      </c>
      <c r="I9742" t="str">
        <f t="shared" si="3587"/>
        <v>FPO</v>
      </c>
      <c r="J9742" t="str">
        <f t="shared" si="3588"/>
        <v>AE</v>
      </c>
      <c r="K9742" t="str">
        <f>T("097317854241")</f>
        <v>097317854241</v>
      </c>
      <c r="L9742" t="str">
        <f t="shared" si="3593"/>
        <v>1111111111</v>
      </c>
    </row>
    <row r="9743" spans="1:12" x14ac:dyDescent="0.35">
      <c r="A9743" t="str">
        <f t="shared" si="3592"/>
        <v>CNREURAFSWA</v>
      </c>
      <c r="B9743" t="str">
        <f>T("PSC 851 BOX 560")</f>
        <v>PSC 851 BOX 560</v>
      </c>
      <c r="C9743" t="str">
        <f t="shared" si="3591"/>
        <v/>
      </c>
      <c r="D9743" t="str">
        <f t="shared" si="3585"/>
        <v>FPO</v>
      </c>
      <c r="E9743" t="str">
        <f t="shared" si="3586"/>
        <v>AE</v>
      </c>
      <c r="F9743" t="str">
        <f>T("098340006")</f>
        <v>098340006</v>
      </c>
      <c r="G9743" t="str">
        <f>T("PSC 851 BOX 560")</f>
        <v>PSC 851 BOX 560</v>
      </c>
      <c r="H9743" t="str">
        <f t="shared" ref="H9743:H9756" si="3594">T("")</f>
        <v/>
      </c>
      <c r="I9743" t="str">
        <f t="shared" si="3587"/>
        <v>FPO</v>
      </c>
      <c r="J9743" t="str">
        <f t="shared" si="3588"/>
        <v>AE</v>
      </c>
      <c r="K9743" t="str">
        <f>T("97317854371")</f>
        <v>97317854371</v>
      </c>
      <c r="L9743" t="str">
        <f t="shared" si="3593"/>
        <v>1111111111</v>
      </c>
    </row>
    <row r="9744" spans="1:12" x14ac:dyDescent="0.35">
      <c r="A9744" t="str">
        <f t="shared" si="3592"/>
        <v>CNREURAFSWA</v>
      </c>
      <c r="B9744" t="str">
        <f>T("PSC 851 BOX 700")</f>
        <v>PSC 851 BOX 700</v>
      </c>
      <c r="C9744" t="str">
        <f t="shared" si="3591"/>
        <v/>
      </c>
      <c r="D9744" t="str">
        <f t="shared" si="3585"/>
        <v>FPO</v>
      </c>
      <c r="E9744" t="str">
        <f t="shared" si="3586"/>
        <v>AE</v>
      </c>
      <c r="F9744" t="str">
        <f>T("098340008")</f>
        <v>098340008</v>
      </c>
      <c r="G9744" t="str">
        <f>T("PSC 851 BOX 700")</f>
        <v>PSC 851 BOX 700</v>
      </c>
      <c r="H9744" t="str">
        <f t="shared" si="3594"/>
        <v/>
      </c>
      <c r="I9744" t="str">
        <f t="shared" si="3587"/>
        <v>FPO</v>
      </c>
      <c r="J9744" t="str">
        <f t="shared" si="3588"/>
        <v>AE</v>
      </c>
      <c r="K9744" t="str">
        <f>T("0097317854593")</f>
        <v>0097317854593</v>
      </c>
      <c r="L9744" t="str">
        <f t="shared" si="3593"/>
        <v>1111111111</v>
      </c>
    </row>
    <row r="9745" spans="1:12" x14ac:dyDescent="0.35">
      <c r="A9745" t="str">
        <f t="shared" si="3592"/>
        <v>CNREURAFSWA</v>
      </c>
      <c r="B9745" t="str">
        <f>T("PSC 851 BOX 700")</f>
        <v>PSC 851 BOX 700</v>
      </c>
      <c r="C9745" t="str">
        <f t="shared" si="3591"/>
        <v/>
      </c>
      <c r="D9745" t="str">
        <f t="shared" si="3585"/>
        <v>FPO</v>
      </c>
      <c r="E9745" t="str">
        <f t="shared" si="3586"/>
        <v>AE</v>
      </c>
      <c r="F9745" t="str">
        <f>T("098340008")</f>
        <v>098340008</v>
      </c>
      <c r="G9745" t="str">
        <f>T("PSC 851 BOX 700")</f>
        <v>PSC 851 BOX 700</v>
      </c>
      <c r="H9745" t="str">
        <f t="shared" si="3594"/>
        <v/>
      </c>
      <c r="I9745" t="str">
        <f t="shared" si="3587"/>
        <v>FPO</v>
      </c>
      <c r="J9745" t="str">
        <f t="shared" si="3588"/>
        <v>AE</v>
      </c>
      <c r="K9745" t="str">
        <f>T("97317854371")</f>
        <v>97317854371</v>
      </c>
      <c r="L9745" t="str">
        <f t="shared" si="3593"/>
        <v>1111111111</v>
      </c>
    </row>
    <row r="9746" spans="1:12" x14ac:dyDescent="0.35">
      <c r="A9746" t="str">
        <f t="shared" si="3592"/>
        <v>CNREURAFSWA</v>
      </c>
      <c r="B9746" t="str">
        <f>T("PSC 851 BOX 850")</f>
        <v>PSC 851 BOX 850</v>
      </c>
      <c r="C9746" t="str">
        <f t="shared" si="3591"/>
        <v/>
      </c>
      <c r="D9746" t="str">
        <f t="shared" si="3585"/>
        <v>FPO</v>
      </c>
      <c r="E9746" t="str">
        <f t="shared" si="3586"/>
        <v>AE</v>
      </c>
      <c r="F9746" t="str">
        <f>T("098340009")</f>
        <v>098340009</v>
      </c>
      <c r="G9746" t="str">
        <f>T("PSC 851 BOX 850")</f>
        <v>PSC 851 BOX 850</v>
      </c>
      <c r="H9746" t="str">
        <f t="shared" si="3594"/>
        <v/>
      </c>
      <c r="I9746" t="str">
        <f t="shared" si="3587"/>
        <v>FPO</v>
      </c>
      <c r="J9746" t="str">
        <f t="shared" si="3588"/>
        <v>AE</v>
      </c>
      <c r="K9746" t="str">
        <f>T("000000000000000000")</f>
        <v>000000000000000000</v>
      </c>
      <c r="L9746" t="str">
        <f t="shared" si="3593"/>
        <v>1111111111</v>
      </c>
    </row>
    <row r="9747" spans="1:12" x14ac:dyDescent="0.35">
      <c r="A9747" t="str">
        <f t="shared" si="3592"/>
        <v>CNREURAFSWA</v>
      </c>
      <c r="B9747" t="str">
        <f>T("PSC 851 BOX 850")</f>
        <v>PSC 851 BOX 850</v>
      </c>
      <c r="C9747" t="str">
        <f t="shared" si="3591"/>
        <v/>
      </c>
      <c r="D9747" t="str">
        <f t="shared" si="3585"/>
        <v>FPO</v>
      </c>
      <c r="E9747" t="str">
        <f t="shared" si="3586"/>
        <v>AE</v>
      </c>
      <c r="F9747" t="str">
        <f>T("098340009")</f>
        <v>098340009</v>
      </c>
      <c r="G9747" t="str">
        <f>T("PSC 851 BOX 850")</f>
        <v>PSC 851 BOX 850</v>
      </c>
      <c r="H9747" t="str">
        <f t="shared" si="3594"/>
        <v/>
      </c>
      <c r="I9747" t="str">
        <f t="shared" si="3587"/>
        <v>FPO</v>
      </c>
      <c r="J9747" t="str">
        <f t="shared" si="3588"/>
        <v>AE</v>
      </c>
      <c r="K9747" t="str">
        <f>T("97317859079")</f>
        <v>97317859079</v>
      </c>
      <c r="L9747" t="str">
        <f t="shared" si="3593"/>
        <v>1111111111</v>
      </c>
    </row>
    <row r="9748" spans="1:12" x14ac:dyDescent="0.35">
      <c r="A9748" t="str">
        <f t="shared" si="3592"/>
        <v>CNREURAFSWA</v>
      </c>
      <c r="B9748" t="str">
        <f>T("PSC 851 BOX 90")</f>
        <v>PSC 851 BOX 90</v>
      </c>
      <c r="C9748" t="str">
        <f t="shared" si="3591"/>
        <v/>
      </c>
      <c r="D9748" t="str">
        <f t="shared" si="3585"/>
        <v>FPO</v>
      </c>
      <c r="E9748" t="str">
        <f t="shared" si="3586"/>
        <v>AE</v>
      </c>
      <c r="F9748" t="str">
        <f>T("098340001")</f>
        <v>098340001</v>
      </c>
      <c r="G9748" t="str">
        <f>T("PSC 851 BOX 140")</f>
        <v>PSC 851 BOX 140</v>
      </c>
      <c r="H9748" t="str">
        <f t="shared" si="3594"/>
        <v/>
      </c>
      <c r="I9748" t="str">
        <f t="shared" si="3587"/>
        <v>FPO</v>
      </c>
      <c r="J9748" t="str">
        <f t="shared" si="3588"/>
        <v>AE</v>
      </c>
      <c r="K9748" t="str">
        <f>T("97317854303")</f>
        <v>97317854303</v>
      </c>
      <c r="L9748" t="str">
        <f t="shared" si="3593"/>
        <v>1111111111</v>
      </c>
    </row>
    <row r="9749" spans="1:12" x14ac:dyDescent="0.35">
      <c r="A9749" t="str">
        <f t="shared" si="3592"/>
        <v>CNREURAFSWA</v>
      </c>
      <c r="B9749" t="str">
        <f>T("PSC 851 BOX 90")</f>
        <v>PSC 851 BOX 90</v>
      </c>
      <c r="C9749" t="str">
        <f t="shared" si="3591"/>
        <v/>
      </c>
      <c r="D9749" t="str">
        <f t="shared" si="3585"/>
        <v>FPO</v>
      </c>
      <c r="E9749" t="str">
        <f t="shared" si="3586"/>
        <v>AE</v>
      </c>
      <c r="F9749" t="str">
        <f>T("098340001")</f>
        <v>098340001</v>
      </c>
      <c r="G9749" t="str">
        <f>T("PSC 851 BOX 90")</f>
        <v>PSC 851 BOX 90</v>
      </c>
      <c r="H9749" t="str">
        <f t="shared" si="3594"/>
        <v/>
      </c>
      <c r="I9749" t="str">
        <f t="shared" si="3587"/>
        <v>FPO</v>
      </c>
      <c r="J9749" t="str">
        <f t="shared" si="3588"/>
        <v>AE</v>
      </c>
      <c r="K9749" t="str">
        <f>T("97317854371")</f>
        <v>97317854371</v>
      </c>
      <c r="L9749" t="str">
        <f t="shared" si="3593"/>
        <v>1111111111</v>
      </c>
    </row>
    <row r="9750" spans="1:12" x14ac:dyDescent="0.35">
      <c r="A9750" t="str">
        <f t="shared" si="3592"/>
        <v>CNREURAFSWA</v>
      </c>
      <c r="B9750" t="str">
        <f>T("PSC 903 BOX 20010")</f>
        <v>PSC 903 BOX 20010</v>
      </c>
      <c r="C9750" t="str">
        <f t="shared" si="3591"/>
        <v/>
      </c>
      <c r="D9750" t="str">
        <f t="shared" si="3585"/>
        <v>FPO</v>
      </c>
      <c r="E9750" t="str">
        <f t="shared" si="3586"/>
        <v>AE</v>
      </c>
      <c r="F9750" t="str">
        <f>T("098590000")</f>
        <v>098590000</v>
      </c>
      <c r="G9750" t="str">
        <f>T("PSC 851 BOX 140")</f>
        <v>PSC 851 BOX 140</v>
      </c>
      <c r="H9750" t="str">
        <f t="shared" si="3594"/>
        <v/>
      </c>
      <c r="I9750" t="str">
        <f t="shared" si="3587"/>
        <v>FPO</v>
      </c>
      <c r="J9750" t="str">
        <f t="shared" si="3588"/>
        <v>AE</v>
      </c>
      <c r="K9750" t="str">
        <f t="shared" ref="K9750:K9756" si="3595">T("000000000000000000")</f>
        <v>000000000000000000</v>
      </c>
      <c r="L9750" t="str">
        <f>T("0017856666")</f>
        <v>0017856666</v>
      </c>
    </row>
    <row r="9751" spans="1:12" x14ac:dyDescent="0.35">
      <c r="A9751" t="str">
        <f t="shared" si="3592"/>
        <v>CNREURAFSWA</v>
      </c>
      <c r="B9751" t="str">
        <f>T("PSC 903 BOX 20010")</f>
        <v>PSC 903 BOX 20010</v>
      </c>
      <c r="C9751" t="str">
        <f t="shared" si="3591"/>
        <v/>
      </c>
      <c r="D9751" t="str">
        <f t="shared" si="3585"/>
        <v>FPO</v>
      </c>
      <c r="E9751" t="str">
        <f t="shared" si="3586"/>
        <v>AE</v>
      </c>
      <c r="F9751" t="str">
        <f>T("098590000")</f>
        <v>098590000</v>
      </c>
      <c r="G9751" t="str">
        <f>T("PSC 851 BOX 140")</f>
        <v>PSC 851 BOX 140</v>
      </c>
      <c r="H9751" t="str">
        <f t="shared" si="3594"/>
        <v/>
      </c>
      <c r="I9751" t="str">
        <f t="shared" si="3587"/>
        <v>FPO</v>
      </c>
      <c r="J9751" t="str">
        <f t="shared" si="3588"/>
        <v>AE</v>
      </c>
      <c r="K9751" t="str">
        <f t="shared" si="3595"/>
        <v>000000000000000000</v>
      </c>
      <c r="L9751" t="str">
        <f>T("0017951562")</f>
        <v>0017951562</v>
      </c>
    </row>
    <row r="9752" spans="1:12" x14ac:dyDescent="0.35">
      <c r="A9752" t="str">
        <f t="shared" si="3592"/>
        <v>CNREURAFSWA</v>
      </c>
      <c r="B9752" t="str">
        <f>T("PSC 903 BOX 20010")</f>
        <v>PSC 903 BOX 20010</v>
      </c>
      <c r="C9752" t="str">
        <f t="shared" si="3591"/>
        <v/>
      </c>
      <c r="D9752" t="str">
        <f t="shared" si="3585"/>
        <v>FPO</v>
      </c>
      <c r="E9752" t="str">
        <f t="shared" si="3586"/>
        <v>AE</v>
      </c>
      <c r="F9752" t="str">
        <f>T("098590000")</f>
        <v>098590000</v>
      </c>
      <c r="G9752" t="str">
        <f>T("PSC 903 BOX 20010")</f>
        <v>PSC 903 BOX 20010</v>
      </c>
      <c r="H9752" t="str">
        <f t="shared" si="3594"/>
        <v/>
      </c>
      <c r="I9752" t="str">
        <f t="shared" si="3587"/>
        <v>FPO</v>
      </c>
      <c r="J9752" t="str">
        <f t="shared" si="3588"/>
        <v>AE</v>
      </c>
      <c r="K9752" t="str">
        <f t="shared" si="3595"/>
        <v>000000000000000000</v>
      </c>
      <c r="L9752" t="str">
        <f>T("1111111111")</f>
        <v>1111111111</v>
      </c>
    </row>
    <row r="9753" spans="1:12" x14ac:dyDescent="0.35">
      <c r="A9753" t="str">
        <f t="shared" si="3592"/>
        <v>CNREURAFSWA</v>
      </c>
      <c r="B9753" t="str">
        <f>T("PSC 903 BOX 20010")</f>
        <v>PSC 903 BOX 20010</v>
      </c>
      <c r="C9753" t="str">
        <f t="shared" si="3591"/>
        <v/>
      </c>
      <c r="D9753" t="str">
        <f t="shared" si="3585"/>
        <v>FPO</v>
      </c>
      <c r="E9753" t="str">
        <f t="shared" si="3586"/>
        <v>AE</v>
      </c>
      <c r="F9753" t="str">
        <f>T("098590000")</f>
        <v>098590000</v>
      </c>
      <c r="G9753" t="str">
        <f>T("PSC 903 BOX 20013")</f>
        <v>PSC 903 BOX 20013</v>
      </c>
      <c r="H9753" t="str">
        <f t="shared" si="3594"/>
        <v/>
      </c>
      <c r="I9753" t="str">
        <f t="shared" si="3587"/>
        <v>FPO</v>
      </c>
      <c r="J9753" t="str">
        <f t="shared" si="3588"/>
        <v>AE</v>
      </c>
      <c r="K9753" t="str">
        <f t="shared" si="3595"/>
        <v>000000000000000000</v>
      </c>
      <c r="L9753" t="str">
        <f>T("0017856666")</f>
        <v>0017856666</v>
      </c>
    </row>
    <row r="9754" spans="1:12" x14ac:dyDescent="0.35">
      <c r="A9754" t="str">
        <f>T("US NAVY / CLDJ")</f>
        <v>US NAVY / CLDJ</v>
      </c>
      <c r="B9754" t="str">
        <f>T("PSC 831 BOX 0041")</f>
        <v>PSC 831 BOX 0041</v>
      </c>
      <c r="C9754" t="str">
        <f t="shared" si="3591"/>
        <v/>
      </c>
      <c r="D9754" t="str">
        <f t="shared" si="3585"/>
        <v>FPO</v>
      </c>
      <c r="E9754" t="str">
        <f t="shared" si="3586"/>
        <v>AE</v>
      </c>
      <c r="F9754" t="str">
        <f>T("093630001")</f>
        <v>093630001</v>
      </c>
      <c r="G9754" t="str">
        <f>T("PSC 831 BOX 0041")</f>
        <v>PSC 831 BOX 0041</v>
      </c>
      <c r="H9754" t="str">
        <f t="shared" si="3594"/>
        <v/>
      </c>
      <c r="I9754" t="str">
        <f t="shared" si="3587"/>
        <v>FPO</v>
      </c>
      <c r="J9754" t="str">
        <f t="shared" si="3588"/>
        <v>AE</v>
      </c>
      <c r="K9754" t="str">
        <f t="shared" si="3595"/>
        <v>000000000000000000</v>
      </c>
      <c r="L9754" t="str">
        <f>T("3118244275")</f>
        <v>3118244275</v>
      </c>
    </row>
    <row r="9755" spans="1:12" x14ac:dyDescent="0.35">
      <c r="A9755" t="str">
        <f>T("US NAVY / CLDJ")</f>
        <v>US NAVY / CLDJ</v>
      </c>
      <c r="B9755" t="str">
        <f>T("PSC 831 BOX 0041")</f>
        <v>PSC 831 BOX 0041</v>
      </c>
      <c r="C9755" t="str">
        <f t="shared" si="3591"/>
        <v/>
      </c>
      <c r="D9755" t="str">
        <f t="shared" si="3585"/>
        <v>FPO</v>
      </c>
      <c r="E9755" t="str">
        <f t="shared" si="3586"/>
        <v>AE</v>
      </c>
      <c r="F9755" t="str">
        <f>T("093630001")</f>
        <v>093630001</v>
      </c>
      <c r="G9755" t="str">
        <f>T("PSC 831 BOX 0041")</f>
        <v>PSC 831 BOX 0041</v>
      </c>
      <c r="H9755" t="str">
        <f t="shared" si="3594"/>
        <v/>
      </c>
      <c r="I9755" t="str">
        <f t="shared" si="3587"/>
        <v>FPO</v>
      </c>
      <c r="J9755" t="str">
        <f t="shared" si="3588"/>
        <v>AE</v>
      </c>
      <c r="K9755" t="str">
        <f t="shared" si="3595"/>
        <v>000000000000000000</v>
      </c>
      <c r="L9755" t="str">
        <f>T("3118244326")</f>
        <v>3118244326</v>
      </c>
    </row>
    <row r="9756" spans="1:12" x14ac:dyDescent="0.35">
      <c r="A9756" t="str">
        <f>T("US NAVY / CLDJ")</f>
        <v>US NAVY / CLDJ</v>
      </c>
      <c r="B9756" t="str">
        <f>T("PSC 831 BOX 0041")</f>
        <v>PSC 831 BOX 0041</v>
      </c>
      <c r="C9756" t="str">
        <f t="shared" si="3591"/>
        <v/>
      </c>
      <c r="D9756" t="str">
        <f t="shared" si="3585"/>
        <v>FPO</v>
      </c>
      <c r="E9756" t="str">
        <f t="shared" si="3586"/>
        <v>AE</v>
      </c>
      <c r="F9756" t="str">
        <f>T("093630001")</f>
        <v>093630001</v>
      </c>
      <c r="G9756" t="str">
        <f>T("PSC 831 BOX 0047")</f>
        <v>PSC 831 BOX 0047</v>
      </c>
      <c r="H9756" t="str">
        <f t="shared" si="3594"/>
        <v/>
      </c>
      <c r="I9756" t="str">
        <f t="shared" si="3587"/>
        <v>FPO</v>
      </c>
      <c r="J9756" t="str">
        <f t="shared" si="3588"/>
        <v>AE</v>
      </c>
      <c r="K9756" t="str">
        <f t="shared" si="3595"/>
        <v>000000000000000000</v>
      </c>
      <c r="L9756" t="str">
        <f>T("3118244036")</f>
        <v>3118244036</v>
      </c>
    </row>
    <row r="9757" spans="1:12" x14ac:dyDescent="0.35">
      <c r="A9757" t="str">
        <f t="shared" ref="A9757:A9778" si="3596">T("NSA NAPLES ITALY")</f>
        <v>NSA NAPLES ITALY</v>
      </c>
      <c r="B9757" t="str">
        <f>T("AIR OPS")</f>
        <v>AIR OPS</v>
      </c>
      <c r="C9757" t="str">
        <f t="shared" ref="C9757:C9762" si="3597">T("PSC 817 BOX 12")</f>
        <v>PSC 817 BOX 12</v>
      </c>
      <c r="D9757" t="str">
        <f t="shared" ref="D9757:D9780" si="3598">T("FPO")</f>
        <v>FPO</v>
      </c>
      <c r="E9757" t="str">
        <f t="shared" ref="E9757:E9788" si="3599">T("AE")</f>
        <v>AE</v>
      </c>
      <c r="F9757" t="str">
        <f t="shared" ref="F9757:F9762" si="3600">T("096220001")</f>
        <v>096220001</v>
      </c>
      <c r="G9757" t="str">
        <f>T("AIR OPS")</f>
        <v>AIR OPS</v>
      </c>
      <c r="H9757" t="str">
        <f>T("PSC 817 BOX 12")</f>
        <v>PSC 817 BOX 12</v>
      </c>
      <c r="I9757" t="str">
        <f t="shared" ref="I9757:I9780" si="3601">T("FPO")</f>
        <v>FPO</v>
      </c>
      <c r="J9757" t="str">
        <f t="shared" ref="J9757:J9788" si="3602">T("AE")</f>
        <v>AE</v>
      </c>
      <c r="K9757" t="str">
        <f>T("")</f>
        <v/>
      </c>
      <c r="L9757" t="str">
        <f>T("0815685256")</f>
        <v>0815685256</v>
      </c>
    </row>
    <row r="9758" spans="1:12" x14ac:dyDescent="0.35">
      <c r="A9758" t="str">
        <f t="shared" si="3596"/>
        <v>NSA NAPLES ITALY</v>
      </c>
      <c r="B9758" t="str">
        <f>T("AIR OPS")</f>
        <v>AIR OPS</v>
      </c>
      <c r="C9758" t="str">
        <f t="shared" si="3597"/>
        <v>PSC 817 BOX 12</v>
      </c>
      <c r="D9758" t="str">
        <f t="shared" si="3598"/>
        <v>FPO</v>
      </c>
      <c r="E9758" t="str">
        <f t="shared" si="3599"/>
        <v>AE</v>
      </c>
      <c r="F9758" t="str">
        <f t="shared" si="3600"/>
        <v>096220001</v>
      </c>
      <c r="G9758" t="str">
        <f>T("PSC 810 BOX 11")</f>
        <v>PSC 810 BOX 11</v>
      </c>
      <c r="H9758" t="str">
        <f>T("")</f>
        <v/>
      </c>
      <c r="I9758" t="str">
        <f t="shared" si="3601"/>
        <v>FPO</v>
      </c>
      <c r="J9758" t="str">
        <f t="shared" si="3602"/>
        <v>AE</v>
      </c>
      <c r="K9758" t="str">
        <f>T("011390815685107")</f>
        <v>011390815685107</v>
      </c>
      <c r="L9758" t="str">
        <f>T("1111111111")</f>
        <v>1111111111</v>
      </c>
    </row>
    <row r="9759" spans="1:12" x14ac:dyDescent="0.35">
      <c r="A9759" t="str">
        <f t="shared" si="3596"/>
        <v>NSA NAPLES ITALY</v>
      </c>
      <c r="B9759" t="str">
        <f>T("AIR OPS")</f>
        <v>AIR OPS</v>
      </c>
      <c r="C9759" t="str">
        <f t="shared" si="3597"/>
        <v>PSC 817 BOX 12</v>
      </c>
      <c r="D9759" t="str">
        <f t="shared" si="3598"/>
        <v>FPO</v>
      </c>
      <c r="E9759" t="str">
        <f t="shared" si="3599"/>
        <v>AE</v>
      </c>
      <c r="F9759" t="str">
        <f t="shared" si="3600"/>
        <v>096220001</v>
      </c>
      <c r="G9759" t="str">
        <f>T("PSC 817 BOX 228")</f>
        <v>PSC 817 BOX 228</v>
      </c>
      <c r="H9759" t="str">
        <f>T("")</f>
        <v/>
      </c>
      <c r="I9759" t="str">
        <f t="shared" si="3601"/>
        <v>FPO</v>
      </c>
      <c r="J9759" t="str">
        <f t="shared" si="3602"/>
        <v>AE</v>
      </c>
      <c r="K9759" t="str">
        <f>T("390815685256")</f>
        <v>390815685256</v>
      </c>
      <c r="L9759" t="str">
        <f>T("5146265256")</f>
        <v>5146265256</v>
      </c>
    </row>
    <row r="9760" spans="1:12" x14ac:dyDescent="0.35">
      <c r="A9760" t="str">
        <f t="shared" si="3596"/>
        <v>NSA NAPLES ITALY</v>
      </c>
      <c r="B9760" t="str">
        <f>T("AIR OPS")</f>
        <v>AIR OPS</v>
      </c>
      <c r="C9760" t="str">
        <f t="shared" si="3597"/>
        <v>PSC 817 BOX 12</v>
      </c>
      <c r="D9760" t="str">
        <f t="shared" si="3598"/>
        <v>FPO</v>
      </c>
      <c r="E9760" t="str">
        <f t="shared" si="3599"/>
        <v>AE</v>
      </c>
      <c r="F9760" t="str">
        <f t="shared" si="3600"/>
        <v>096220001</v>
      </c>
      <c r="G9760" t="str">
        <f>T("PSC 817 BOX 6312")</f>
        <v>PSC 817 BOX 6312</v>
      </c>
      <c r="H9760" t="str">
        <f>T("")</f>
        <v/>
      </c>
      <c r="I9760" t="str">
        <f t="shared" si="3601"/>
        <v>FPO</v>
      </c>
      <c r="J9760" t="str">
        <f t="shared" si="3602"/>
        <v>AE</v>
      </c>
      <c r="K9760" t="str">
        <f>T("01139081568558")</f>
        <v>01139081568558</v>
      </c>
      <c r="L9760" t="str">
        <f>T("1111111111")</f>
        <v>1111111111</v>
      </c>
    </row>
    <row r="9761" spans="1:12" x14ac:dyDescent="0.35">
      <c r="A9761" t="str">
        <f t="shared" si="3596"/>
        <v>NSA NAPLES ITALY</v>
      </c>
      <c r="B9761" t="str">
        <f>T("AIR TERMINAL")</f>
        <v>AIR TERMINAL</v>
      </c>
      <c r="C9761" t="str">
        <f t="shared" si="3597"/>
        <v>PSC 817 BOX 12</v>
      </c>
      <c r="D9761" t="str">
        <f t="shared" si="3598"/>
        <v>FPO</v>
      </c>
      <c r="E9761" t="str">
        <f t="shared" si="3599"/>
        <v>AE</v>
      </c>
      <c r="F9761" t="str">
        <f t="shared" si="3600"/>
        <v>096220001</v>
      </c>
      <c r="G9761" t="str">
        <f>T("AIR TERMINAL")</f>
        <v>AIR TERMINAL</v>
      </c>
      <c r="H9761" t="str">
        <f>T("PSC 817 BOX 12")</f>
        <v>PSC 817 BOX 12</v>
      </c>
      <c r="I9761" t="str">
        <f t="shared" si="3601"/>
        <v>FPO</v>
      </c>
      <c r="J9761" t="str">
        <f t="shared" si="3602"/>
        <v>AE</v>
      </c>
      <c r="K9761" t="str">
        <f>T("")</f>
        <v/>
      </c>
      <c r="L9761" t="str">
        <f>T("0815685256")</f>
        <v>0815685256</v>
      </c>
    </row>
    <row r="9762" spans="1:12" x14ac:dyDescent="0.35">
      <c r="A9762" t="str">
        <f t="shared" si="3596"/>
        <v>NSA NAPLES ITALY</v>
      </c>
      <c r="B9762" t="str">
        <f>T("AIR TERMINAL")</f>
        <v>AIR TERMINAL</v>
      </c>
      <c r="C9762" t="str">
        <f t="shared" si="3597"/>
        <v>PSC 817 BOX 12</v>
      </c>
      <c r="D9762" t="str">
        <f t="shared" si="3598"/>
        <v>FPO</v>
      </c>
      <c r="E9762" t="str">
        <f t="shared" si="3599"/>
        <v>AE</v>
      </c>
      <c r="F9762" t="str">
        <f t="shared" si="3600"/>
        <v>096220001</v>
      </c>
      <c r="G9762" t="str">
        <f>T("PSC 817 BOX 12")</f>
        <v>PSC 817 BOX 12</v>
      </c>
      <c r="H9762" t="str">
        <f>T("")</f>
        <v/>
      </c>
      <c r="I9762" t="str">
        <f t="shared" si="3601"/>
        <v>FPO</v>
      </c>
      <c r="J9762" t="str">
        <f t="shared" si="3602"/>
        <v>AE</v>
      </c>
      <c r="K9762" t="str">
        <f>T("000000000000000000")</f>
        <v>000000000000000000</v>
      </c>
      <c r="L9762" t="str">
        <f>T("1111111111")</f>
        <v>1111111111</v>
      </c>
    </row>
    <row r="9763" spans="1:12" x14ac:dyDescent="0.35">
      <c r="A9763" t="str">
        <f t="shared" si="3596"/>
        <v>NSA NAPLES ITALY</v>
      </c>
      <c r="B9763" t="str">
        <f>T("CHAPLAIN S OFFICE")</f>
        <v>CHAPLAIN S OFFICE</v>
      </c>
      <c r="C9763" t="str">
        <f>T("PSC 808 BOX 54")</f>
        <v>PSC 808 BOX 54</v>
      </c>
      <c r="D9763" t="str">
        <f t="shared" si="3598"/>
        <v>FPO</v>
      </c>
      <c r="E9763" t="str">
        <f t="shared" si="3599"/>
        <v>AE</v>
      </c>
      <c r="F9763" t="str">
        <f>T("096180001")</f>
        <v>096180001</v>
      </c>
      <c r="G9763" t="str">
        <f>T("CHAPLAIN S OFFICE")</f>
        <v>CHAPLAIN S OFFICE</v>
      </c>
      <c r="H9763" t="str">
        <f>T("PSC 808 BOX 54")</f>
        <v>PSC 808 BOX 54</v>
      </c>
      <c r="I9763" t="str">
        <f t="shared" si="3601"/>
        <v>FPO</v>
      </c>
      <c r="J9763" t="str">
        <f t="shared" si="3602"/>
        <v>AE</v>
      </c>
      <c r="K9763" t="str">
        <f>T("")</f>
        <v/>
      </c>
      <c r="L9763" t="str">
        <f>T("1111111111")</f>
        <v>1111111111</v>
      </c>
    </row>
    <row r="9764" spans="1:12" x14ac:dyDescent="0.35">
      <c r="A9764" t="str">
        <f t="shared" si="3596"/>
        <v>NSA NAPLES ITALY</v>
      </c>
      <c r="B9764" t="str">
        <f>T("CHAPLAIN S OFFICE")</f>
        <v>CHAPLAIN S OFFICE</v>
      </c>
      <c r="C9764" t="str">
        <f>T("PSC 808 BOX 54")</f>
        <v>PSC 808 BOX 54</v>
      </c>
      <c r="D9764" t="str">
        <f t="shared" si="3598"/>
        <v>FPO</v>
      </c>
      <c r="E9764" t="str">
        <f t="shared" si="3599"/>
        <v>AE</v>
      </c>
      <c r="F9764" t="str">
        <f>T("096180001")</f>
        <v>096180001</v>
      </c>
      <c r="G9764" t="str">
        <f>T("PSC 808 BOX 620")</f>
        <v>PSC 808 BOX 620</v>
      </c>
      <c r="H9764" t="str">
        <f>T("")</f>
        <v/>
      </c>
      <c r="I9764" t="str">
        <f t="shared" si="3601"/>
        <v>FPO</v>
      </c>
      <c r="J9764" t="str">
        <f t="shared" si="3602"/>
        <v>AE</v>
      </c>
      <c r="K9764" t="str">
        <f>T("011390815683539")</f>
        <v>011390815683539</v>
      </c>
      <c r="L9764" t="str">
        <f>T("1111111111")</f>
        <v>1111111111</v>
      </c>
    </row>
    <row r="9765" spans="1:12" x14ac:dyDescent="0.35">
      <c r="A9765" t="str">
        <f t="shared" si="3596"/>
        <v>NSA NAPLES ITALY</v>
      </c>
      <c r="B9765" t="str">
        <f>T("ISD NSA NAPLES")</f>
        <v>ISD NSA NAPLES</v>
      </c>
      <c r="C9765" t="str">
        <f>T("PSC 817 BOX 31")</f>
        <v>PSC 817 BOX 31</v>
      </c>
      <c r="D9765" t="str">
        <f t="shared" si="3598"/>
        <v>FPO</v>
      </c>
      <c r="E9765" t="str">
        <f t="shared" si="3599"/>
        <v>AE</v>
      </c>
      <c r="F9765" t="str">
        <f>T("096220001")</f>
        <v>096220001</v>
      </c>
      <c r="G9765" t="str">
        <f>T("ISD NSA NAPLES")</f>
        <v>ISD NSA NAPLES</v>
      </c>
      <c r="H9765" t="str">
        <f>T("PSC 817 BOX 31")</f>
        <v>PSC 817 BOX 31</v>
      </c>
      <c r="I9765" t="str">
        <f t="shared" si="3601"/>
        <v>FPO</v>
      </c>
      <c r="J9765" t="str">
        <f t="shared" si="3602"/>
        <v>AE</v>
      </c>
      <c r="K9765" t="str">
        <f>T("")</f>
        <v/>
      </c>
      <c r="L9765" t="str">
        <f>T("1111111111")</f>
        <v>1111111111</v>
      </c>
    </row>
    <row r="9766" spans="1:12" x14ac:dyDescent="0.35">
      <c r="A9766" t="str">
        <f t="shared" si="3596"/>
        <v>NSA NAPLES ITALY</v>
      </c>
      <c r="B9766" t="str">
        <f>T("NSA ADMIN")</f>
        <v>NSA ADMIN</v>
      </c>
      <c r="C9766" t="str">
        <f>T("PSC 817 BOX 1")</f>
        <v>PSC 817 BOX 1</v>
      </c>
      <c r="D9766" t="str">
        <f t="shared" si="3598"/>
        <v>FPO</v>
      </c>
      <c r="E9766" t="str">
        <f t="shared" si="3599"/>
        <v>AE</v>
      </c>
      <c r="F9766" t="str">
        <f>T("096220001")</f>
        <v>096220001</v>
      </c>
      <c r="G9766" t="str">
        <f>T("NSA ADMIN")</f>
        <v>NSA ADMIN</v>
      </c>
      <c r="H9766" t="str">
        <f>T("PSC 817 BOX 1")</f>
        <v>PSC 817 BOX 1</v>
      </c>
      <c r="I9766" t="str">
        <f t="shared" si="3601"/>
        <v>FPO</v>
      </c>
      <c r="J9766" t="str">
        <f t="shared" si="3602"/>
        <v>AE</v>
      </c>
      <c r="K9766" t="str">
        <f>T("000000000000000000")</f>
        <v>000000000000000000</v>
      </c>
      <c r="L9766" t="str">
        <f>T("0815685304")</f>
        <v>0815685304</v>
      </c>
    </row>
    <row r="9767" spans="1:12" x14ac:dyDescent="0.35">
      <c r="A9767" t="str">
        <f t="shared" si="3596"/>
        <v>NSA NAPLES ITALY</v>
      </c>
      <c r="B9767" t="str">
        <f>T("NSA ADMIN")</f>
        <v>NSA ADMIN</v>
      </c>
      <c r="C9767" t="str">
        <f>T("PSC 817 BOX 1")</f>
        <v>PSC 817 BOX 1</v>
      </c>
      <c r="D9767" t="str">
        <f t="shared" si="3598"/>
        <v>FPO</v>
      </c>
      <c r="E9767" t="str">
        <f t="shared" si="3599"/>
        <v>AE</v>
      </c>
      <c r="F9767" t="str">
        <f>T("096220001")</f>
        <v>096220001</v>
      </c>
      <c r="G9767" t="str">
        <f>T("PSC 817 BOX 1")</f>
        <v>PSC 817 BOX 1</v>
      </c>
      <c r="H9767" t="str">
        <f>T("")</f>
        <v/>
      </c>
      <c r="I9767" t="str">
        <f t="shared" si="3601"/>
        <v>FPO</v>
      </c>
      <c r="J9767" t="str">
        <f t="shared" si="3602"/>
        <v>AE</v>
      </c>
      <c r="K9767" t="str">
        <f>T("000000000000000000")</f>
        <v>000000000000000000</v>
      </c>
      <c r="L9767" t="str">
        <f t="shared" ref="L9767:L9772" si="3603">T("1111111111")</f>
        <v>1111111111</v>
      </c>
    </row>
    <row r="9768" spans="1:12" x14ac:dyDescent="0.35">
      <c r="A9768" t="str">
        <f t="shared" si="3596"/>
        <v>NSA NAPLES ITALY</v>
      </c>
      <c r="B9768" t="str">
        <f>T("OSH")</f>
        <v>OSH</v>
      </c>
      <c r="C9768" t="str">
        <f>T("PSC 817 BOX 225")</f>
        <v>PSC 817 BOX 225</v>
      </c>
      <c r="D9768" t="str">
        <f t="shared" si="3598"/>
        <v>FPO</v>
      </c>
      <c r="E9768" t="str">
        <f t="shared" si="3599"/>
        <v>AE</v>
      </c>
      <c r="F9768" t="str">
        <f>T("096220003")</f>
        <v>096220003</v>
      </c>
      <c r="G9768" t="str">
        <f>T("OSH")</f>
        <v>OSH</v>
      </c>
      <c r="H9768" t="str">
        <f>T("PSC 817 BOX 225")</f>
        <v>PSC 817 BOX 225</v>
      </c>
      <c r="I9768" t="str">
        <f t="shared" si="3601"/>
        <v>FPO</v>
      </c>
      <c r="J9768" t="str">
        <f t="shared" si="3602"/>
        <v>AE</v>
      </c>
      <c r="K9768" t="str">
        <f>T("")</f>
        <v/>
      </c>
      <c r="L9768" t="str">
        <f t="shared" si="3603"/>
        <v>1111111111</v>
      </c>
    </row>
    <row r="9769" spans="1:12" x14ac:dyDescent="0.35">
      <c r="A9769" t="str">
        <f t="shared" si="3596"/>
        <v>NSA NAPLES ITALY</v>
      </c>
      <c r="B9769" t="str">
        <f>T("OSH")</f>
        <v>OSH</v>
      </c>
      <c r="C9769" t="str">
        <f>T("PSC 817 BOX 225")</f>
        <v>PSC 817 BOX 225</v>
      </c>
      <c r="D9769" t="str">
        <f t="shared" si="3598"/>
        <v>FPO</v>
      </c>
      <c r="E9769" t="str">
        <f t="shared" si="3599"/>
        <v>AE</v>
      </c>
      <c r="F9769" t="str">
        <f>T("096220003")</f>
        <v>096220003</v>
      </c>
      <c r="G9769" t="str">
        <f>T("PSC 817 BOX 99")</f>
        <v>PSC 817 BOX 99</v>
      </c>
      <c r="H9769" t="str">
        <f t="shared" ref="H9769:H9777" si="3604">T("")</f>
        <v/>
      </c>
      <c r="I9769" t="str">
        <f t="shared" si="3601"/>
        <v>FPO</v>
      </c>
      <c r="J9769" t="str">
        <f t="shared" si="3602"/>
        <v>AE</v>
      </c>
      <c r="K9769" t="str">
        <f>T("000000000000000000")</f>
        <v>000000000000000000</v>
      </c>
      <c r="L9769" t="str">
        <f t="shared" si="3603"/>
        <v>1111111111</v>
      </c>
    </row>
    <row r="9770" spans="1:12" x14ac:dyDescent="0.35">
      <c r="A9770" t="str">
        <f t="shared" si="3596"/>
        <v>NSA NAPLES ITALY</v>
      </c>
      <c r="B9770" t="str">
        <f>T("PSC 808 BOX 53")</f>
        <v>PSC 808 BOX 53</v>
      </c>
      <c r="C9770" t="str">
        <f t="shared" ref="C9770:C9776" si="3605">T("")</f>
        <v/>
      </c>
      <c r="D9770" t="str">
        <f t="shared" si="3598"/>
        <v>FPO</v>
      </c>
      <c r="E9770" t="str">
        <f t="shared" si="3599"/>
        <v>AE</v>
      </c>
      <c r="F9770" t="str">
        <f>T("096180001")</f>
        <v>096180001</v>
      </c>
      <c r="G9770" t="str">
        <f>T("PSC 808 BOX 53")</f>
        <v>PSC 808 BOX 53</v>
      </c>
      <c r="H9770" t="str">
        <f t="shared" si="3604"/>
        <v/>
      </c>
      <c r="I9770" t="str">
        <f t="shared" si="3601"/>
        <v>FPO</v>
      </c>
      <c r="J9770" t="str">
        <f t="shared" si="3602"/>
        <v>AE</v>
      </c>
      <c r="K9770" t="str">
        <f>T("011390818116543")</f>
        <v>011390818116543</v>
      </c>
      <c r="L9770" t="str">
        <f t="shared" si="3603"/>
        <v>1111111111</v>
      </c>
    </row>
    <row r="9771" spans="1:12" x14ac:dyDescent="0.35">
      <c r="A9771" t="str">
        <f t="shared" si="3596"/>
        <v>NSA NAPLES ITALY</v>
      </c>
      <c r="B9771" t="str">
        <f>T("PSC 808 BOX 902")</f>
        <v>PSC 808 BOX 902</v>
      </c>
      <c r="C9771" t="str">
        <f t="shared" si="3605"/>
        <v/>
      </c>
      <c r="D9771" t="str">
        <f t="shared" si="3598"/>
        <v>FPO</v>
      </c>
      <c r="E9771" t="str">
        <f t="shared" si="3599"/>
        <v>AE</v>
      </c>
      <c r="F9771" t="str">
        <f>T("096180010")</f>
        <v>096180010</v>
      </c>
      <c r="G9771" t="str">
        <f>T("PSC 808 BOX 7")</f>
        <v>PSC 808 BOX 7</v>
      </c>
      <c r="H9771" t="str">
        <f t="shared" si="3604"/>
        <v/>
      </c>
      <c r="I9771" t="str">
        <f t="shared" si="3601"/>
        <v>FPO</v>
      </c>
      <c r="J9771" t="str">
        <f t="shared" si="3602"/>
        <v>AE</v>
      </c>
      <c r="K9771" t="str">
        <f>T("000000000000000000")</f>
        <v>000000000000000000</v>
      </c>
      <c r="L9771" t="str">
        <f t="shared" si="3603"/>
        <v>1111111111</v>
      </c>
    </row>
    <row r="9772" spans="1:12" x14ac:dyDescent="0.35">
      <c r="A9772" t="str">
        <f t="shared" si="3596"/>
        <v>NSA NAPLES ITALY</v>
      </c>
      <c r="B9772" t="str">
        <f>T("PSC 808 BOX 902")</f>
        <v>PSC 808 BOX 902</v>
      </c>
      <c r="C9772" t="str">
        <f t="shared" si="3605"/>
        <v/>
      </c>
      <c r="D9772" t="str">
        <f t="shared" si="3598"/>
        <v>FPO</v>
      </c>
      <c r="E9772" t="str">
        <f t="shared" si="3599"/>
        <v>AE</v>
      </c>
      <c r="F9772" t="str">
        <f>T("096180010")</f>
        <v>096180010</v>
      </c>
      <c r="G9772" t="str">
        <f>T("PSC 808 BOX 7")</f>
        <v>PSC 808 BOX 7</v>
      </c>
      <c r="H9772" t="str">
        <f t="shared" si="3604"/>
        <v/>
      </c>
      <c r="I9772" t="str">
        <f t="shared" si="3601"/>
        <v>FPO</v>
      </c>
      <c r="J9772" t="str">
        <f t="shared" si="3602"/>
        <v>AE</v>
      </c>
      <c r="K9772" t="str">
        <f>T("011390818134473")</f>
        <v>011390818134473</v>
      </c>
      <c r="L9772" t="str">
        <f t="shared" si="3603"/>
        <v>1111111111</v>
      </c>
    </row>
    <row r="9773" spans="1:12" x14ac:dyDescent="0.35">
      <c r="A9773" t="str">
        <f t="shared" si="3596"/>
        <v>NSA NAPLES ITALY</v>
      </c>
      <c r="B9773" t="str">
        <f>T("PSC 808 BOX 902")</f>
        <v>PSC 808 BOX 902</v>
      </c>
      <c r="C9773" t="str">
        <f t="shared" si="3605"/>
        <v/>
      </c>
      <c r="D9773" t="str">
        <f t="shared" si="3598"/>
        <v>FPO</v>
      </c>
      <c r="E9773" t="str">
        <f t="shared" si="3599"/>
        <v>AE</v>
      </c>
      <c r="F9773" t="str">
        <f>T("096180010")</f>
        <v>096180010</v>
      </c>
      <c r="G9773" t="str">
        <f>T("PSC 808 BOX 902")</f>
        <v>PSC 808 BOX 902</v>
      </c>
      <c r="H9773" t="str">
        <f t="shared" si="3604"/>
        <v/>
      </c>
      <c r="I9773" t="str">
        <f t="shared" si="3601"/>
        <v>FPO</v>
      </c>
      <c r="J9773" t="str">
        <f t="shared" si="3602"/>
        <v>AE</v>
      </c>
      <c r="K9773" t="str">
        <f>T("")</f>
        <v/>
      </c>
      <c r="L9773" t="str">
        <f>T("0815685100")</f>
        <v>0815685100</v>
      </c>
    </row>
    <row r="9774" spans="1:12" x14ac:dyDescent="0.35">
      <c r="A9774" t="str">
        <f t="shared" si="3596"/>
        <v>NSA NAPLES ITALY</v>
      </c>
      <c r="B9774" t="str">
        <f>T("PSC 817 BOX 12")</f>
        <v>PSC 817 BOX 12</v>
      </c>
      <c r="C9774" t="str">
        <f t="shared" si="3605"/>
        <v/>
      </c>
      <c r="D9774" t="str">
        <f t="shared" si="3598"/>
        <v>FPO</v>
      </c>
      <c r="E9774" t="str">
        <f t="shared" si="3599"/>
        <v>AE</v>
      </c>
      <c r="F9774" t="str">
        <f>T("096220001")</f>
        <v>096220001</v>
      </c>
      <c r="G9774" t="str">
        <f>T("PSC 817 BOX 10")</f>
        <v>PSC 817 BOX 10</v>
      </c>
      <c r="H9774" t="str">
        <f t="shared" si="3604"/>
        <v/>
      </c>
      <c r="I9774" t="str">
        <f t="shared" si="3601"/>
        <v>FPO</v>
      </c>
      <c r="J9774" t="str">
        <f t="shared" si="3602"/>
        <v>AE</v>
      </c>
      <c r="K9774" t="str">
        <f>T("011390818114853")</f>
        <v>011390818114853</v>
      </c>
      <c r="L9774" t="str">
        <f>T("1111111111")</f>
        <v>1111111111</v>
      </c>
    </row>
    <row r="9775" spans="1:12" x14ac:dyDescent="0.35">
      <c r="A9775" t="str">
        <f t="shared" si="3596"/>
        <v>NSA NAPLES ITALY</v>
      </c>
      <c r="B9775" t="str">
        <f>T("PSC 817 BOX 12")</f>
        <v>PSC 817 BOX 12</v>
      </c>
      <c r="C9775" t="str">
        <f t="shared" si="3605"/>
        <v/>
      </c>
      <c r="D9775" t="str">
        <f t="shared" si="3598"/>
        <v>FPO</v>
      </c>
      <c r="E9775" t="str">
        <f t="shared" si="3599"/>
        <v>AE</v>
      </c>
      <c r="F9775" t="str">
        <f>T("096220001")</f>
        <v>096220001</v>
      </c>
      <c r="G9775" t="str">
        <f>T("PSC 817 BOX 12")</f>
        <v>PSC 817 BOX 12</v>
      </c>
      <c r="H9775" t="str">
        <f t="shared" si="3604"/>
        <v/>
      </c>
      <c r="I9775" t="str">
        <f t="shared" si="3601"/>
        <v>FPO</v>
      </c>
      <c r="J9775" t="str">
        <f t="shared" si="3602"/>
        <v>AE</v>
      </c>
      <c r="K9775" t="str">
        <f>T("081568")</f>
        <v>081568</v>
      </c>
      <c r="L9775" t="str">
        <f>T("1111111111")</f>
        <v>1111111111</v>
      </c>
    </row>
    <row r="9776" spans="1:12" x14ac:dyDescent="0.35">
      <c r="A9776" t="str">
        <f t="shared" si="3596"/>
        <v>NSA NAPLES ITALY</v>
      </c>
      <c r="B9776" t="str">
        <f>T("PSC 817 BOX 12")</f>
        <v>PSC 817 BOX 12</v>
      </c>
      <c r="C9776" t="str">
        <f t="shared" si="3605"/>
        <v/>
      </c>
      <c r="D9776" t="str">
        <f t="shared" si="3598"/>
        <v>FPO</v>
      </c>
      <c r="E9776" t="str">
        <f t="shared" si="3599"/>
        <v>AE</v>
      </c>
      <c r="F9776" t="str">
        <f>T("096220001")</f>
        <v>096220001</v>
      </c>
      <c r="G9776" t="str">
        <f>T("PSC 817 BOX 1309")</f>
        <v>PSC 817 BOX 1309</v>
      </c>
      <c r="H9776" t="str">
        <f t="shared" si="3604"/>
        <v/>
      </c>
      <c r="I9776" t="str">
        <f t="shared" si="3601"/>
        <v>FPO</v>
      </c>
      <c r="J9776" t="str">
        <f t="shared" si="3602"/>
        <v>AE</v>
      </c>
      <c r="K9776" t="str">
        <f>T("011390815685921")</f>
        <v>011390815685921</v>
      </c>
      <c r="L9776" t="str">
        <f>T("1111111111")</f>
        <v>1111111111</v>
      </c>
    </row>
    <row r="9777" spans="1:12" x14ac:dyDescent="0.35">
      <c r="A9777" t="str">
        <f t="shared" si="3596"/>
        <v>NSA NAPLES ITALY</v>
      </c>
      <c r="B9777" t="str">
        <f>T("US NAVY ELEMENT")</f>
        <v>US NAVY ELEMENT</v>
      </c>
      <c r="C9777" t="str">
        <f>T("PSC 813 BOX 167")</f>
        <v>PSC 813 BOX 167</v>
      </c>
      <c r="D9777" t="str">
        <f t="shared" si="3598"/>
        <v>FPO</v>
      </c>
      <c r="E9777" t="str">
        <f t="shared" si="3599"/>
        <v>AE</v>
      </c>
      <c r="F9777" t="str">
        <f>T("096200002")</f>
        <v>096200002</v>
      </c>
      <c r="G9777" t="str">
        <f>T("PSC 813 BOX 933")</f>
        <v>PSC 813 BOX 933</v>
      </c>
      <c r="H9777" t="str">
        <f t="shared" si="3604"/>
        <v/>
      </c>
      <c r="I9777" t="str">
        <f t="shared" si="3601"/>
        <v>FPO</v>
      </c>
      <c r="J9777" t="str">
        <f t="shared" si="3602"/>
        <v>AE</v>
      </c>
      <c r="K9777" t="str">
        <f>T("011390814617832")</f>
        <v>011390814617832</v>
      </c>
      <c r="L9777" t="str">
        <f>T("1111111111")</f>
        <v>1111111111</v>
      </c>
    </row>
    <row r="9778" spans="1:12" x14ac:dyDescent="0.35">
      <c r="A9778" t="str">
        <f t="shared" si="3596"/>
        <v>NSA NAPLES ITALY</v>
      </c>
      <c r="B9778" t="str">
        <f>T("US NAVY ELEMENT")</f>
        <v>US NAVY ELEMENT</v>
      </c>
      <c r="C9778" t="str">
        <f>T("PSC 813 BOX 167")</f>
        <v>PSC 813 BOX 167</v>
      </c>
      <c r="D9778" t="str">
        <f t="shared" si="3598"/>
        <v>FPO</v>
      </c>
      <c r="E9778" t="str">
        <f t="shared" si="3599"/>
        <v>AE</v>
      </c>
      <c r="F9778" t="str">
        <f>T("096200002")</f>
        <v>096200002</v>
      </c>
      <c r="G9778" t="str">
        <f>T("US NAVY ELEMENT")</f>
        <v>US NAVY ELEMENT</v>
      </c>
      <c r="H9778" t="str">
        <f>T("PSC 813 BOX 167")</f>
        <v>PSC 813 BOX 167</v>
      </c>
      <c r="I9778" t="str">
        <f t="shared" si="3601"/>
        <v>FPO</v>
      </c>
      <c r="J9778" t="str">
        <f t="shared" si="3602"/>
        <v>AE</v>
      </c>
      <c r="K9778" t="str">
        <f>T("")</f>
        <v/>
      </c>
      <c r="L9778" t="str">
        <f>T("0817217380")</f>
        <v>0817217380</v>
      </c>
    </row>
    <row r="9779" spans="1:12" x14ac:dyDescent="0.35">
      <c r="A9779" t="str">
        <f t="shared" ref="A9779:A9814" si="3606">T("NAVAL STATION ROTA SPAIN")</f>
        <v>NAVAL STATION ROTA SPAIN</v>
      </c>
      <c r="B9779" t="str">
        <f>T("EOD UNIT 8")</f>
        <v>EOD UNIT 8</v>
      </c>
      <c r="C9779" t="str">
        <f>T("PSC 819 BOX 36")</f>
        <v>PSC 819 BOX 36</v>
      </c>
      <c r="D9779" t="str">
        <f t="shared" si="3598"/>
        <v>FPO</v>
      </c>
      <c r="E9779" t="str">
        <f t="shared" si="3599"/>
        <v>AE</v>
      </c>
      <c r="F9779" t="str">
        <f>T("096450001")</f>
        <v>096450001</v>
      </c>
      <c r="G9779" t="str">
        <f>T("EOD UNIT 8")</f>
        <v>EOD UNIT 8</v>
      </c>
      <c r="H9779" t="str">
        <f>T("PSC 819 BOX 36")</f>
        <v>PSC 819 BOX 36</v>
      </c>
      <c r="I9779" t="str">
        <f t="shared" si="3601"/>
        <v>FPO</v>
      </c>
      <c r="J9779" t="str">
        <f t="shared" si="3602"/>
        <v>AE</v>
      </c>
      <c r="K9779" t="str">
        <f>T("000000000000000000")</f>
        <v>000000000000000000</v>
      </c>
      <c r="L9779" t="str">
        <f>T("3147272003")</f>
        <v>3147272003</v>
      </c>
    </row>
    <row r="9780" spans="1:12" x14ac:dyDescent="0.35">
      <c r="A9780" t="str">
        <f t="shared" si="3606"/>
        <v>NAVAL STATION ROTA SPAIN</v>
      </c>
      <c r="B9780" t="str">
        <f>T("EOD UNIT 8")</f>
        <v>EOD UNIT 8</v>
      </c>
      <c r="C9780" t="str">
        <f>T("PSC 819 BOX 36")</f>
        <v>PSC 819 BOX 36</v>
      </c>
      <c r="D9780" t="str">
        <f t="shared" si="3598"/>
        <v>FPO</v>
      </c>
      <c r="E9780" t="str">
        <f t="shared" si="3599"/>
        <v>AE</v>
      </c>
      <c r="F9780" t="str">
        <f>T("096450001")</f>
        <v>096450001</v>
      </c>
      <c r="G9780" t="str">
        <f>T("PSC 819 BOX 36")</f>
        <v>PSC 819 BOX 36</v>
      </c>
      <c r="H9780" t="str">
        <f t="shared" ref="H9780:H9790" si="3607">T("")</f>
        <v/>
      </c>
      <c r="I9780" t="str">
        <f t="shared" si="3601"/>
        <v>FPO</v>
      </c>
      <c r="J9780" t="str">
        <f t="shared" si="3602"/>
        <v>AE</v>
      </c>
      <c r="K9780" t="str">
        <f>T("000000000000000000")</f>
        <v>000000000000000000</v>
      </c>
      <c r="L9780" t="str">
        <f>T("3147272003")</f>
        <v>3147272003</v>
      </c>
    </row>
    <row r="9781" spans="1:12" x14ac:dyDescent="0.35">
      <c r="A9781" t="str">
        <f t="shared" si="3606"/>
        <v>NAVAL STATION ROTA SPAIN</v>
      </c>
      <c r="B9781" t="str">
        <f>T("PSC 807 BOX 109")</f>
        <v>PSC 807 BOX 109</v>
      </c>
      <c r="C9781" t="str">
        <f t="shared" ref="C9781:C9790" si="3608">T("")</f>
        <v/>
      </c>
      <c r="D9781" t="str">
        <f>T("APO")</f>
        <v>APO</v>
      </c>
      <c r="E9781" t="str">
        <f t="shared" si="3599"/>
        <v>AE</v>
      </c>
      <c r="F9781" t="str">
        <f>T("097290002")</f>
        <v>097290002</v>
      </c>
      <c r="G9781" t="str">
        <f>T("PSC 807 BOX 109")</f>
        <v>PSC 807 BOX 109</v>
      </c>
      <c r="H9781" t="str">
        <f t="shared" si="3607"/>
        <v/>
      </c>
      <c r="I9781" t="str">
        <f>T("APO")</f>
        <v>APO</v>
      </c>
      <c r="J9781" t="str">
        <f t="shared" si="3602"/>
        <v>AE</v>
      </c>
      <c r="K9781" t="str">
        <f>T("")</f>
        <v/>
      </c>
      <c r="L9781" t="str">
        <f>T("3127274334")</f>
        <v>3127274334</v>
      </c>
    </row>
    <row r="9782" spans="1:12" x14ac:dyDescent="0.35">
      <c r="A9782" t="str">
        <f t="shared" si="3606"/>
        <v>NAVAL STATION ROTA SPAIN</v>
      </c>
      <c r="B9782" t="str">
        <f>T("PSC 807 BOX 109")</f>
        <v>PSC 807 BOX 109</v>
      </c>
      <c r="C9782" t="str">
        <f t="shared" si="3608"/>
        <v/>
      </c>
      <c r="D9782" t="str">
        <f>T("APO")</f>
        <v>APO</v>
      </c>
      <c r="E9782" t="str">
        <f t="shared" si="3599"/>
        <v>AE</v>
      </c>
      <c r="F9782" t="str">
        <f>T("097290002")</f>
        <v>097290002</v>
      </c>
      <c r="G9782" t="str">
        <f>T("PSC 807 BOX 17")</f>
        <v>PSC 807 BOX 17</v>
      </c>
      <c r="H9782" t="str">
        <f t="shared" si="3607"/>
        <v/>
      </c>
      <c r="I9782" t="str">
        <f t="shared" ref="I9782:I9813" si="3609">T("FPO")</f>
        <v>FPO</v>
      </c>
      <c r="J9782" t="str">
        <f t="shared" si="3602"/>
        <v>AE</v>
      </c>
      <c r="K9782" t="str">
        <f>T("00351214404446")</f>
        <v>00351214404446</v>
      </c>
      <c r="L9782" t="str">
        <f>T("1111111111")</f>
        <v>1111111111</v>
      </c>
    </row>
    <row r="9783" spans="1:12" x14ac:dyDescent="0.35">
      <c r="A9783" t="str">
        <f t="shared" si="3606"/>
        <v>NAVAL STATION ROTA SPAIN</v>
      </c>
      <c r="B9783" t="str">
        <f t="shared" ref="B9783:B9791" si="3610">T("PSC 819")</f>
        <v>PSC 819</v>
      </c>
      <c r="C9783" t="str">
        <f t="shared" si="3608"/>
        <v/>
      </c>
      <c r="D9783" t="str">
        <f t="shared" ref="D9783:D9814" si="3611">T("FPO")</f>
        <v>FPO</v>
      </c>
      <c r="E9783" t="str">
        <f t="shared" si="3599"/>
        <v>AE</v>
      </c>
      <c r="F9783" t="str">
        <f>T("096450000")</f>
        <v>096450000</v>
      </c>
      <c r="G9783" t="str">
        <f>T("PSC 819")</f>
        <v>PSC 819</v>
      </c>
      <c r="H9783" t="str">
        <f t="shared" si="3607"/>
        <v/>
      </c>
      <c r="I9783" t="str">
        <f t="shared" si="3609"/>
        <v>FPO</v>
      </c>
      <c r="J9783" t="str">
        <f t="shared" si="3602"/>
        <v>AE</v>
      </c>
      <c r="K9783" t="str">
        <f>T("")</f>
        <v/>
      </c>
      <c r="L9783" t="str">
        <f>T("3127272397")</f>
        <v>3127272397</v>
      </c>
    </row>
    <row r="9784" spans="1:12" x14ac:dyDescent="0.35">
      <c r="A9784" t="str">
        <f t="shared" si="3606"/>
        <v>NAVAL STATION ROTA SPAIN</v>
      </c>
      <c r="B9784" t="str">
        <f t="shared" si="3610"/>
        <v>PSC 819</v>
      </c>
      <c r="C9784" t="str">
        <f t="shared" si="3608"/>
        <v/>
      </c>
      <c r="D9784" t="str">
        <f t="shared" si="3611"/>
        <v>FPO</v>
      </c>
      <c r="E9784" t="str">
        <f t="shared" si="3599"/>
        <v>AE</v>
      </c>
      <c r="F9784" t="str">
        <f>T("096450000")</f>
        <v>096450000</v>
      </c>
      <c r="G9784" t="str">
        <f>T("PSC 819 BOX 20")</f>
        <v>PSC 819 BOX 20</v>
      </c>
      <c r="H9784" t="str">
        <f t="shared" si="3607"/>
        <v/>
      </c>
      <c r="I9784" t="str">
        <f t="shared" si="3609"/>
        <v>FPO</v>
      </c>
      <c r="J9784" t="str">
        <f t="shared" si="3602"/>
        <v>AE</v>
      </c>
      <c r="K9784" t="str">
        <f>T("000000000000000000")</f>
        <v>000000000000000000</v>
      </c>
      <c r="L9784" t="str">
        <f>T("3147272397")</f>
        <v>3147272397</v>
      </c>
    </row>
    <row r="9785" spans="1:12" x14ac:dyDescent="0.35">
      <c r="A9785" t="str">
        <f t="shared" si="3606"/>
        <v>NAVAL STATION ROTA SPAIN</v>
      </c>
      <c r="B9785" t="str">
        <f t="shared" si="3610"/>
        <v>PSC 819</v>
      </c>
      <c r="C9785" t="str">
        <f t="shared" si="3608"/>
        <v/>
      </c>
      <c r="D9785" t="str">
        <f t="shared" si="3611"/>
        <v>FPO</v>
      </c>
      <c r="E9785" t="str">
        <f t="shared" si="3599"/>
        <v>AE</v>
      </c>
      <c r="F9785" t="str">
        <f t="shared" ref="F9785:F9790" si="3612">T("096459998")</f>
        <v>096459998</v>
      </c>
      <c r="G9785" t="str">
        <f>T("PSC 819")</f>
        <v>PSC 819</v>
      </c>
      <c r="H9785" t="str">
        <f t="shared" si="3607"/>
        <v/>
      </c>
      <c r="I9785" t="str">
        <f t="shared" si="3609"/>
        <v>FPO</v>
      </c>
      <c r="J9785" t="str">
        <f t="shared" si="3602"/>
        <v>AE</v>
      </c>
      <c r="K9785" t="str">
        <f>T("")</f>
        <v/>
      </c>
      <c r="L9785" t="str">
        <f>T("1111111111")</f>
        <v>1111111111</v>
      </c>
    </row>
    <row r="9786" spans="1:12" x14ac:dyDescent="0.35">
      <c r="A9786" t="str">
        <f t="shared" si="3606"/>
        <v>NAVAL STATION ROTA SPAIN</v>
      </c>
      <c r="B9786" t="str">
        <f t="shared" si="3610"/>
        <v>PSC 819</v>
      </c>
      <c r="C9786" t="str">
        <f t="shared" si="3608"/>
        <v/>
      </c>
      <c r="D9786" t="str">
        <f t="shared" si="3611"/>
        <v>FPO</v>
      </c>
      <c r="E9786" t="str">
        <f t="shared" si="3599"/>
        <v>AE</v>
      </c>
      <c r="F9786" t="str">
        <f t="shared" si="3612"/>
        <v>096459998</v>
      </c>
      <c r="G9786" t="str">
        <f>T("PSC 819")</f>
        <v>PSC 819</v>
      </c>
      <c r="H9786" t="str">
        <f t="shared" si="3607"/>
        <v/>
      </c>
      <c r="I9786" t="str">
        <f t="shared" si="3609"/>
        <v>FPO</v>
      </c>
      <c r="J9786" t="str">
        <f t="shared" si="3602"/>
        <v>AE</v>
      </c>
      <c r="K9786" t="str">
        <f>T("")</f>
        <v/>
      </c>
      <c r="L9786" t="str">
        <f>T("3127274135")</f>
        <v>3127274135</v>
      </c>
    </row>
    <row r="9787" spans="1:12" x14ac:dyDescent="0.35">
      <c r="A9787" t="str">
        <f t="shared" si="3606"/>
        <v>NAVAL STATION ROTA SPAIN</v>
      </c>
      <c r="B9787" t="str">
        <f t="shared" si="3610"/>
        <v>PSC 819</v>
      </c>
      <c r="C9787" t="str">
        <f t="shared" si="3608"/>
        <v/>
      </c>
      <c r="D9787" t="str">
        <f t="shared" si="3611"/>
        <v>FPO</v>
      </c>
      <c r="E9787" t="str">
        <f t="shared" si="3599"/>
        <v>AE</v>
      </c>
      <c r="F9787" t="str">
        <f t="shared" si="3612"/>
        <v>096459998</v>
      </c>
      <c r="G9787" t="str">
        <f>T("PSC 819 BOX 57")</f>
        <v>PSC 819 BOX 57</v>
      </c>
      <c r="H9787" t="str">
        <f t="shared" si="3607"/>
        <v/>
      </c>
      <c r="I9787" t="str">
        <f t="shared" si="3609"/>
        <v>FPO</v>
      </c>
      <c r="J9787" t="str">
        <f t="shared" si="3602"/>
        <v>AE</v>
      </c>
      <c r="K9787" t="str">
        <f>T("000000000000000000")</f>
        <v>000000000000000000</v>
      </c>
      <c r="L9787" t="str">
        <f>T("3147273232")</f>
        <v>3147273232</v>
      </c>
    </row>
    <row r="9788" spans="1:12" x14ac:dyDescent="0.35">
      <c r="A9788" t="str">
        <f t="shared" si="3606"/>
        <v>NAVAL STATION ROTA SPAIN</v>
      </c>
      <c r="B9788" t="str">
        <f t="shared" si="3610"/>
        <v>PSC 819</v>
      </c>
      <c r="C9788" t="str">
        <f t="shared" si="3608"/>
        <v/>
      </c>
      <c r="D9788" t="str">
        <f t="shared" si="3611"/>
        <v>FPO</v>
      </c>
      <c r="E9788" t="str">
        <f t="shared" si="3599"/>
        <v>AE</v>
      </c>
      <c r="F9788" t="str">
        <f t="shared" si="3612"/>
        <v>096459998</v>
      </c>
      <c r="G9788" t="str">
        <f>T("PSC 819 BOX 625")</f>
        <v>PSC 819 BOX 625</v>
      </c>
      <c r="H9788" t="str">
        <f t="shared" si="3607"/>
        <v/>
      </c>
      <c r="I9788" t="str">
        <f t="shared" si="3609"/>
        <v>FPO</v>
      </c>
      <c r="J9788" t="str">
        <f t="shared" si="3602"/>
        <v>AE</v>
      </c>
      <c r="K9788" t="str">
        <f>T("000000000000000000")</f>
        <v>000000000000000000</v>
      </c>
      <c r="L9788" t="str">
        <f>T("3147272009")</f>
        <v>3147272009</v>
      </c>
    </row>
    <row r="9789" spans="1:12" x14ac:dyDescent="0.35">
      <c r="A9789" t="str">
        <f t="shared" si="3606"/>
        <v>NAVAL STATION ROTA SPAIN</v>
      </c>
      <c r="B9789" t="str">
        <f t="shared" si="3610"/>
        <v>PSC 819</v>
      </c>
      <c r="C9789" t="str">
        <f t="shared" si="3608"/>
        <v/>
      </c>
      <c r="D9789" t="str">
        <f t="shared" si="3611"/>
        <v>FPO</v>
      </c>
      <c r="E9789" t="str">
        <f t="shared" ref="E9789:E9820" si="3613">T("AE")</f>
        <v>AE</v>
      </c>
      <c r="F9789" t="str">
        <f t="shared" si="3612"/>
        <v>096459998</v>
      </c>
      <c r="G9789" t="str">
        <f>T("PSC 819 BOX 625")</f>
        <v>PSC 819 BOX 625</v>
      </c>
      <c r="H9789" t="str">
        <f t="shared" si="3607"/>
        <v/>
      </c>
      <c r="I9789" t="str">
        <f t="shared" si="3609"/>
        <v>FPO</v>
      </c>
      <c r="J9789" t="str">
        <f t="shared" ref="J9789:J9820" si="3614">T("AE")</f>
        <v>AE</v>
      </c>
      <c r="K9789" t="str">
        <f>T("000000000000000000")</f>
        <v>000000000000000000</v>
      </c>
      <c r="L9789" t="str">
        <f>T("3147272793")</f>
        <v>3147272793</v>
      </c>
    </row>
    <row r="9790" spans="1:12" x14ac:dyDescent="0.35">
      <c r="A9790" t="str">
        <f t="shared" si="3606"/>
        <v>NAVAL STATION ROTA SPAIN</v>
      </c>
      <c r="B9790" t="str">
        <f t="shared" si="3610"/>
        <v>PSC 819</v>
      </c>
      <c r="C9790" t="str">
        <f t="shared" si="3608"/>
        <v/>
      </c>
      <c r="D9790" t="str">
        <f t="shared" si="3611"/>
        <v>FPO</v>
      </c>
      <c r="E9790" t="str">
        <f t="shared" si="3613"/>
        <v>AE</v>
      </c>
      <c r="F9790" t="str">
        <f t="shared" si="3612"/>
        <v>096459998</v>
      </c>
      <c r="G9790" t="str">
        <f>T("PSC 819 BOX 625")</f>
        <v>PSC 819 BOX 625</v>
      </c>
      <c r="H9790" t="str">
        <f t="shared" si="3607"/>
        <v/>
      </c>
      <c r="I9790" t="str">
        <f t="shared" si="3609"/>
        <v>FPO</v>
      </c>
      <c r="J9790" t="str">
        <f t="shared" si="3614"/>
        <v>AE</v>
      </c>
      <c r="K9790" t="str">
        <f>T("34956822009")</f>
        <v>34956822009</v>
      </c>
      <c r="L9790" t="str">
        <f>T("1111111111")</f>
        <v>1111111111</v>
      </c>
    </row>
    <row r="9791" spans="1:12" x14ac:dyDescent="0.35">
      <c r="A9791" t="str">
        <f t="shared" si="3606"/>
        <v>NAVAL STATION ROTA SPAIN</v>
      </c>
      <c r="B9791" t="str">
        <f t="shared" si="3610"/>
        <v>PSC 819</v>
      </c>
      <c r="C9791" t="str">
        <f>T("BOX 11")</f>
        <v>BOX 11</v>
      </c>
      <c r="D9791" t="str">
        <f t="shared" si="3611"/>
        <v>FPO</v>
      </c>
      <c r="E9791" t="str">
        <f t="shared" si="3613"/>
        <v>AE</v>
      </c>
      <c r="F9791" t="str">
        <f t="shared" ref="F9791:F9810" si="3615">T("096450001")</f>
        <v>096450001</v>
      </c>
      <c r="G9791" t="str">
        <f>T("PSC 819")</f>
        <v>PSC 819</v>
      </c>
      <c r="H9791" t="str">
        <f>T("BOX 11")</f>
        <v>BOX 11</v>
      </c>
      <c r="I9791" t="str">
        <f t="shared" si="3609"/>
        <v>FPO</v>
      </c>
      <c r="J9791" t="str">
        <f t="shared" si="3614"/>
        <v>AE</v>
      </c>
      <c r="K9791" t="str">
        <f>T("")</f>
        <v/>
      </c>
      <c r="L9791" t="str">
        <f>T("3127272468")</f>
        <v>3127272468</v>
      </c>
    </row>
    <row r="9792" spans="1:12" x14ac:dyDescent="0.35">
      <c r="A9792" t="str">
        <f t="shared" si="3606"/>
        <v>NAVAL STATION ROTA SPAIN</v>
      </c>
      <c r="B9792" t="str">
        <f>T("PSC 819 62")</f>
        <v>PSC 819 62</v>
      </c>
      <c r="C9792" t="str">
        <f t="shared" ref="C9792:C9814" si="3616">T("")</f>
        <v/>
      </c>
      <c r="D9792" t="str">
        <f t="shared" si="3611"/>
        <v>FPO</v>
      </c>
      <c r="E9792" t="str">
        <f t="shared" si="3613"/>
        <v>AE</v>
      </c>
      <c r="F9792" t="str">
        <f t="shared" si="3615"/>
        <v>096450001</v>
      </c>
      <c r="G9792" t="str">
        <f>T("PSC 819 62")</f>
        <v>PSC 819 62</v>
      </c>
      <c r="H9792" t="str">
        <f t="shared" ref="H9792:H9802" si="3617">T("")</f>
        <v/>
      </c>
      <c r="I9792" t="str">
        <f t="shared" si="3609"/>
        <v>FPO</v>
      </c>
      <c r="J9792" t="str">
        <f t="shared" si="3614"/>
        <v>AE</v>
      </c>
      <c r="K9792" t="str">
        <f>T("")</f>
        <v/>
      </c>
      <c r="L9792" t="str">
        <f>T("3147272124")</f>
        <v>3147272124</v>
      </c>
    </row>
    <row r="9793" spans="1:12" x14ac:dyDescent="0.35">
      <c r="A9793" t="str">
        <f t="shared" si="3606"/>
        <v>NAVAL STATION ROTA SPAIN</v>
      </c>
      <c r="B9793" t="str">
        <f>T("PSC 819 62")</f>
        <v>PSC 819 62</v>
      </c>
      <c r="C9793" t="str">
        <f t="shared" si="3616"/>
        <v/>
      </c>
      <c r="D9793" t="str">
        <f t="shared" si="3611"/>
        <v>FPO</v>
      </c>
      <c r="E9793" t="str">
        <f t="shared" si="3613"/>
        <v>AE</v>
      </c>
      <c r="F9793" t="str">
        <f t="shared" si="3615"/>
        <v>096450001</v>
      </c>
      <c r="G9793" t="str">
        <f>T("PSC 819 BOX 33")</f>
        <v>PSC 819 BOX 33</v>
      </c>
      <c r="H9793" t="str">
        <f t="shared" si="3617"/>
        <v/>
      </c>
      <c r="I9793" t="str">
        <f t="shared" si="3609"/>
        <v>FPO</v>
      </c>
      <c r="J9793" t="str">
        <f t="shared" si="3614"/>
        <v>AE</v>
      </c>
      <c r="K9793" t="str">
        <f>T("01134956822644")</f>
        <v>01134956822644</v>
      </c>
      <c r="L9793" t="str">
        <f>T("1111111111")</f>
        <v>1111111111</v>
      </c>
    </row>
    <row r="9794" spans="1:12" x14ac:dyDescent="0.35">
      <c r="A9794" t="str">
        <f t="shared" si="3606"/>
        <v>NAVAL STATION ROTA SPAIN</v>
      </c>
      <c r="B9794" t="str">
        <f t="shared" ref="B9794:B9801" si="3618">T("PSC 819 BOX 1")</f>
        <v>PSC 819 BOX 1</v>
      </c>
      <c r="C9794" t="str">
        <f t="shared" si="3616"/>
        <v/>
      </c>
      <c r="D9794" t="str">
        <f t="shared" si="3611"/>
        <v>FPO</v>
      </c>
      <c r="E9794" t="str">
        <f t="shared" si="3613"/>
        <v>AE</v>
      </c>
      <c r="F9794" t="str">
        <f t="shared" si="3615"/>
        <v>096450001</v>
      </c>
      <c r="G9794" t="str">
        <f t="shared" ref="G9794:G9799" si="3619">T("PSC 819 BOX 1")</f>
        <v>PSC 819 BOX 1</v>
      </c>
      <c r="H9794" t="str">
        <f t="shared" si="3617"/>
        <v/>
      </c>
      <c r="I9794" t="str">
        <f t="shared" si="3609"/>
        <v>FPO</v>
      </c>
      <c r="J9794" t="str">
        <f t="shared" si="3614"/>
        <v>AE</v>
      </c>
      <c r="K9794" t="str">
        <f>T("")</f>
        <v/>
      </c>
      <c r="L9794" t="str">
        <f>T("1111111111")</f>
        <v>1111111111</v>
      </c>
    </row>
    <row r="9795" spans="1:12" x14ac:dyDescent="0.35">
      <c r="A9795" t="str">
        <f t="shared" si="3606"/>
        <v>NAVAL STATION ROTA SPAIN</v>
      </c>
      <c r="B9795" t="str">
        <f t="shared" si="3618"/>
        <v>PSC 819 BOX 1</v>
      </c>
      <c r="C9795" t="str">
        <f t="shared" si="3616"/>
        <v/>
      </c>
      <c r="D9795" t="str">
        <f t="shared" si="3611"/>
        <v>FPO</v>
      </c>
      <c r="E9795" t="str">
        <f t="shared" si="3613"/>
        <v>AE</v>
      </c>
      <c r="F9795" t="str">
        <f t="shared" si="3615"/>
        <v>096450001</v>
      </c>
      <c r="G9795" t="str">
        <f t="shared" si="3619"/>
        <v>PSC 819 BOX 1</v>
      </c>
      <c r="H9795" t="str">
        <f t="shared" si="3617"/>
        <v/>
      </c>
      <c r="I9795" t="str">
        <f t="shared" si="3609"/>
        <v>FPO</v>
      </c>
      <c r="J9795" t="str">
        <f t="shared" si="3614"/>
        <v>AE</v>
      </c>
      <c r="K9795" t="str">
        <f>T("")</f>
        <v/>
      </c>
      <c r="L9795" t="str">
        <f>T("3127272161")</f>
        <v>3127272161</v>
      </c>
    </row>
    <row r="9796" spans="1:12" x14ac:dyDescent="0.35">
      <c r="A9796" t="str">
        <f t="shared" si="3606"/>
        <v>NAVAL STATION ROTA SPAIN</v>
      </c>
      <c r="B9796" t="str">
        <f t="shared" si="3618"/>
        <v>PSC 819 BOX 1</v>
      </c>
      <c r="C9796" t="str">
        <f t="shared" si="3616"/>
        <v/>
      </c>
      <c r="D9796" t="str">
        <f t="shared" si="3611"/>
        <v>FPO</v>
      </c>
      <c r="E9796" t="str">
        <f t="shared" si="3613"/>
        <v>AE</v>
      </c>
      <c r="F9796" t="str">
        <f t="shared" si="3615"/>
        <v>096450001</v>
      </c>
      <c r="G9796" t="str">
        <f t="shared" si="3619"/>
        <v>PSC 819 BOX 1</v>
      </c>
      <c r="H9796" t="str">
        <f t="shared" si="3617"/>
        <v/>
      </c>
      <c r="I9796" t="str">
        <f t="shared" si="3609"/>
        <v>FPO</v>
      </c>
      <c r="J9796" t="str">
        <f t="shared" si="3614"/>
        <v>AE</v>
      </c>
      <c r="K9796" t="str">
        <f>T("")</f>
        <v/>
      </c>
      <c r="L9796" t="str">
        <f>T("3127272409")</f>
        <v>3127272409</v>
      </c>
    </row>
    <row r="9797" spans="1:12" x14ac:dyDescent="0.35">
      <c r="A9797" t="str">
        <f t="shared" si="3606"/>
        <v>NAVAL STATION ROTA SPAIN</v>
      </c>
      <c r="B9797" t="str">
        <f t="shared" si="3618"/>
        <v>PSC 819 BOX 1</v>
      </c>
      <c r="C9797" t="str">
        <f t="shared" si="3616"/>
        <v/>
      </c>
      <c r="D9797" t="str">
        <f t="shared" si="3611"/>
        <v>FPO</v>
      </c>
      <c r="E9797" t="str">
        <f t="shared" si="3613"/>
        <v>AE</v>
      </c>
      <c r="F9797" t="str">
        <f t="shared" si="3615"/>
        <v>096450001</v>
      </c>
      <c r="G9797" t="str">
        <f t="shared" si="3619"/>
        <v>PSC 819 BOX 1</v>
      </c>
      <c r="H9797" t="str">
        <f t="shared" si="3617"/>
        <v/>
      </c>
      <c r="I9797" t="str">
        <f t="shared" si="3609"/>
        <v>FPO</v>
      </c>
      <c r="J9797" t="str">
        <f t="shared" si="3614"/>
        <v>AE</v>
      </c>
      <c r="K9797" t="str">
        <f>T("")</f>
        <v/>
      </c>
      <c r="L9797" t="str">
        <f>T("3147273129")</f>
        <v>3147273129</v>
      </c>
    </row>
    <row r="9798" spans="1:12" x14ac:dyDescent="0.35">
      <c r="A9798" t="str">
        <f t="shared" si="3606"/>
        <v>NAVAL STATION ROTA SPAIN</v>
      </c>
      <c r="B9798" t="str">
        <f t="shared" si="3618"/>
        <v>PSC 819 BOX 1</v>
      </c>
      <c r="C9798" t="str">
        <f t="shared" si="3616"/>
        <v/>
      </c>
      <c r="D9798" t="str">
        <f t="shared" si="3611"/>
        <v>FPO</v>
      </c>
      <c r="E9798" t="str">
        <f t="shared" si="3613"/>
        <v>AE</v>
      </c>
      <c r="F9798" t="str">
        <f t="shared" si="3615"/>
        <v>096450001</v>
      </c>
      <c r="G9798" t="str">
        <f t="shared" si="3619"/>
        <v>PSC 819 BOX 1</v>
      </c>
      <c r="H9798" t="str">
        <f t="shared" si="3617"/>
        <v/>
      </c>
      <c r="I9798" t="str">
        <f t="shared" si="3609"/>
        <v>FPO</v>
      </c>
      <c r="J9798" t="str">
        <f t="shared" si="3614"/>
        <v>AE</v>
      </c>
      <c r="K9798" t="str">
        <f>T("000000000000000000")</f>
        <v>000000000000000000</v>
      </c>
      <c r="L9798" t="str">
        <f>T("1111111111")</f>
        <v>1111111111</v>
      </c>
    </row>
    <row r="9799" spans="1:12" x14ac:dyDescent="0.35">
      <c r="A9799" t="str">
        <f t="shared" si="3606"/>
        <v>NAVAL STATION ROTA SPAIN</v>
      </c>
      <c r="B9799" t="str">
        <f t="shared" si="3618"/>
        <v>PSC 819 BOX 1</v>
      </c>
      <c r="C9799" t="str">
        <f t="shared" si="3616"/>
        <v/>
      </c>
      <c r="D9799" t="str">
        <f t="shared" si="3611"/>
        <v>FPO</v>
      </c>
      <c r="E9799" t="str">
        <f t="shared" si="3613"/>
        <v>AE</v>
      </c>
      <c r="F9799" t="str">
        <f t="shared" si="3615"/>
        <v>096450001</v>
      </c>
      <c r="G9799" t="str">
        <f t="shared" si="3619"/>
        <v>PSC 819 BOX 1</v>
      </c>
      <c r="H9799" t="str">
        <f t="shared" si="3617"/>
        <v/>
      </c>
      <c r="I9799" t="str">
        <f t="shared" si="3609"/>
        <v>FPO</v>
      </c>
      <c r="J9799" t="str">
        <f t="shared" si="3614"/>
        <v>AE</v>
      </c>
      <c r="K9799" t="str">
        <f>T("000000000000000000")</f>
        <v>000000000000000000</v>
      </c>
      <c r="L9799" t="str">
        <f>T("3147272813")</f>
        <v>3147272813</v>
      </c>
    </row>
    <row r="9800" spans="1:12" x14ac:dyDescent="0.35">
      <c r="A9800" t="str">
        <f t="shared" si="3606"/>
        <v>NAVAL STATION ROTA SPAIN</v>
      </c>
      <c r="B9800" t="str">
        <f t="shared" si="3618"/>
        <v>PSC 819 BOX 1</v>
      </c>
      <c r="C9800" t="str">
        <f t="shared" si="3616"/>
        <v/>
      </c>
      <c r="D9800" t="str">
        <f t="shared" si="3611"/>
        <v>FPO</v>
      </c>
      <c r="E9800" t="str">
        <f t="shared" si="3613"/>
        <v>AE</v>
      </c>
      <c r="F9800" t="str">
        <f t="shared" si="3615"/>
        <v>096450001</v>
      </c>
      <c r="G9800" t="str">
        <f>T("PSC 819 BOX 12")</f>
        <v>PSC 819 BOX 12</v>
      </c>
      <c r="H9800" t="str">
        <f t="shared" si="3617"/>
        <v/>
      </c>
      <c r="I9800" t="str">
        <f t="shared" si="3609"/>
        <v>FPO</v>
      </c>
      <c r="J9800" t="str">
        <f t="shared" si="3614"/>
        <v>AE</v>
      </c>
      <c r="K9800" t="str">
        <f>T("000000000000000000")</f>
        <v>000000000000000000</v>
      </c>
      <c r="L9800" t="str">
        <f>T("3147272161")</f>
        <v>3147272161</v>
      </c>
    </row>
    <row r="9801" spans="1:12" x14ac:dyDescent="0.35">
      <c r="A9801" t="str">
        <f t="shared" si="3606"/>
        <v>NAVAL STATION ROTA SPAIN</v>
      </c>
      <c r="B9801" t="str">
        <f t="shared" si="3618"/>
        <v>PSC 819 BOX 1</v>
      </c>
      <c r="C9801" t="str">
        <f t="shared" si="3616"/>
        <v/>
      </c>
      <c r="D9801" t="str">
        <f t="shared" si="3611"/>
        <v>FPO</v>
      </c>
      <c r="E9801" t="str">
        <f t="shared" si="3613"/>
        <v>AE</v>
      </c>
      <c r="F9801" t="str">
        <f t="shared" si="3615"/>
        <v>096450001</v>
      </c>
      <c r="G9801" t="str">
        <f>T("PSC 819 BOX 37")</f>
        <v>PSC 819 BOX 37</v>
      </c>
      <c r="H9801" t="str">
        <f t="shared" si="3617"/>
        <v/>
      </c>
      <c r="I9801" t="str">
        <f t="shared" si="3609"/>
        <v>FPO</v>
      </c>
      <c r="J9801" t="str">
        <f t="shared" si="3614"/>
        <v>AE</v>
      </c>
      <c r="K9801" t="str">
        <f>T("31417271677")</f>
        <v>31417271677</v>
      </c>
      <c r="L9801" t="str">
        <f>T("1111111111")</f>
        <v>1111111111</v>
      </c>
    </row>
    <row r="9802" spans="1:12" x14ac:dyDescent="0.35">
      <c r="A9802" t="str">
        <f t="shared" si="3606"/>
        <v>NAVAL STATION ROTA SPAIN</v>
      </c>
      <c r="B9802" t="str">
        <f>T("PSC 819 BOX 16")</f>
        <v>PSC 819 BOX 16</v>
      </c>
      <c r="C9802" t="str">
        <f t="shared" si="3616"/>
        <v/>
      </c>
      <c r="D9802" t="str">
        <f t="shared" si="3611"/>
        <v>FPO</v>
      </c>
      <c r="E9802" t="str">
        <f t="shared" si="3613"/>
        <v>AE</v>
      </c>
      <c r="F9802" t="str">
        <f t="shared" si="3615"/>
        <v>096450001</v>
      </c>
      <c r="G9802" t="str">
        <f>T("PSC 819")</f>
        <v>PSC 819</v>
      </c>
      <c r="H9802" t="str">
        <f t="shared" si="3617"/>
        <v/>
      </c>
      <c r="I9802" t="str">
        <f t="shared" si="3609"/>
        <v>FPO</v>
      </c>
      <c r="J9802" t="str">
        <f t="shared" si="3614"/>
        <v>AE</v>
      </c>
      <c r="K9802" t="str">
        <f>T("34956821353")</f>
        <v>34956821353</v>
      </c>
      <c r="L9802" t="str">
        <f>T("1111111111")</f>
        <v>1111111111</v>
      </c>
    </row>
    <row r="9803" spans="1:12" x14ac:dyDescent="0.35">
      <c r="A9803" t="str">
        <f t="shared" si="3606"/>
        <v>NAVAL STATION ROTA SPAIN</v>
      </c>
      <c r="B9803" t="str">
        <f>T("PSC 819 BOX 16")</f>
        <v>PSC 819 BOX 16</v>
      </c>
      <c r="C9803" t="str">
        <f t="shared" si="3616"/>
        <v/>
      </c>
      <c r="D9803" t="str">
        <f t="shared" si="3611"/>
        <v>FPO</v>
      </c>
      <c r="E9803" t="str">
        <f t="shared" si="3613"/>
        <v>AE</v>
      </c>
      <c r="F9803" t="str">
        <f t="shared" si="3615"/>
        <v>096450001</v>
      </c>
      <c r="G9803" t="str">
        <f>T("PSC 819")</f>
        <v>PSC 819</v>
      </c>
      <c r="H9803" t="str">
        <f>T("BOX 16")</f>
        <v>BOX 16</v>
      </c>
      <c r="I9803" t="str">
        <f t="shared" si="3609"/>
        <v>FPO</v>
      </c>
      <c r="J9803" t="str">
        <f t="shared" si="3614"/>
        <v>AE</v>
      </c>
      <c r="K9803" t="str">
        <f>T("01134956822492")</f>
        <v>01134956822492</v>
      </c>
      <c r="L9803" t="str">
        <f>T("1111111111")</f>
        <v>1111111111</v>
      </c>
    </row>
    <row r="9804" spans="1:12" x14ac:dyDescent="0.35">
      <c r="A9804" t="str">
        <f t="shared" si="3606"/>
        <v>NAVAL STATION ROTA SPAIN</v>
      </c>
      <c r="B9804" t="str">
        <f>T("PSC 819 BOX 16")</f>
        <v>PSC 819 BOX 16</v>
      </c>
      <c r="C9804" t="str">
        <f t="shared" si="3616"/>
        <v/>
      </c>
      <c r="D9804" t="str">
        <f t="shared" si="3611"/>
        <v>FPO</v>
      </c>
      <c r="E9804" t="str">
        <f t="shared" si="3613"/>
        <v>AE</v>
      </c>
      <c r="F9804" t="str">
        <f t="shared" si="3615"/>
        <v>096450001</v>
      </c>
      <c r="G9804" t="str">
        <f>T("PSC 819 BOX 16")</f>
        <v>PSC 819 BOX 16</v>
      </c>
      <c r="H9804" t="str">
        <f t="shared" ref="H9804:H9814" si="3620">T("")</f>
        <v/>
      </c>
      <c r="I9804" t="str">
        <f t="shared" si="3609"/>
        <v>FPO</v>
      </c>
      <c r="J9804" t="str">
        <f t="shared" si="3614"/>
        <v>AE</v>
      </c>
      <c r="K9804" t="str">
        <f>T("")</f>
        <v/>
      </c>
      <c r="L9804" t="str">
        <f>T("3127272779")</f>
        <v>3127272779</v>
      </c>
    </row>
    <row r="9805" spans="1:12" x14ac:dyDescent="0.35">
      <c r="A9805" t="str">
        <f t="shared" si="3606"/>
        <v>NAVAL STATION ROTA SPAIN</v>
      </c>
      <c r="B9805" t="str">
        <f>T("PSC 819 BOX 47")</f>
        <v>PSC 819 BOX 47</v>
      </c>
      <c r="C9805" t="str">
        <f t="shared" si="3616"/>
        <v/>
      </c>
      <c r="D9805" t="str">
        <f t="shared" si="3611"/>
        <v>FPO</v>
      </c>
      <c r="E9805" t="str">
        <f t="shared" si="3613"/>
        <v>AE</v>
      </c>
      <c r="F9805" t="str">
        <f t="shared" si="3615"/>
        <v>096450001</v>
      </c>
      <c r="G9805" t="str">
        <f>T("PSC 819 BOX 47")</f>
        <v>PSC 819 BOX 47</v>
      </c>
      <c r="H9805" t="str">
        <f t="shared" si="3620"/>
        <v/>
      </c>
      <c r="I9805" t="str">
        <f t="shared" si="3609"/>
        <v>FPO</v>
      </c>
      <c r="J9805" t="str">
        <f t="shared" si="3614"/>
        <v>AE</v>
      </c>
      <c r="K9805" t="str">
        <f>T("")</f>
        <v/>
      </c>
      <c r="L9805" t="str">
        <f>T("1111111111")</f>
        <v>1111111111</v>
      </c>
    </row>
    <row r="9806" spans="1:12" x14ac:dyDescent="0.35">
      <c r="A9806" t="str">
        <f t="shared" si="3606"/>
        <v>NAVAL STATION ROTA SPAIN</v>
      </c>
      <c r="B9806" t="str">
        <f>T("PSC 819 BOX 47")</f>
        <v>PSC 819 BOX 47</v>
      </c>
      <c r="C9806" t="str">
        <f t="shared" si="3616"/>
        <v/>
      </c>
      <c r="D9806" t="str">
        <f t="shared" si="3611"/>
        <v>FPO</v>
      </c>
      <c r="E9806" t="str">
        <f t="shared" si="3613"/>
        <v>AE</v>
      </c>
      <c r="F9806" t="str">
        <f t="shared" si="3615"/>
        <v>096450001</v>
      </c>
      <c r="G9806" t="str">
        <f>T("PSC 819 BOX 47")</f>
        <v>PSC 819 BOX 47</v>
      </c>
      <c r="H9806" t="str">
        <f t="shared" si="3620"/>
        <v/>
      </c>
      <c r="I9806" t="str">
        <f t="shared" si="3609"/>
        <v>FPO</v>
      </c>
      <c r="J9806" t="str">
        <f t="shared" si="3614"/>
        <v>AE</v>
      </c>
      <c r="K9806" t="str">
        <f>T("00134606236304")</f>
        <v>00134606236304</v>
      </c>
      <c r="L9806" t="str">
        <f>T("1111111111")</f>
        <v>1111111111</v>
      </c>
    </row>
    <row r="9807" spans="1:12" x14ac:dyDescent="0.35">
      <c r="A9807" t="str">
        <f t="shared" si="3606"/>
        <v>NAVAL STATION ROTA SPAIN</v>
      </c>
      <c r="B9807" t="str">
        <f>T("PSC 819 BOX 6")</f>
        <v>PSC 819 BOX 6</v>
      </c>
      <c r="C9807" t="str">
        <f t="shared" si="3616"/>
        <v/>
      </c>
      <c r="D9807" t="str">
        <f t="shared" si="3611"/>
        <v>FPO</v>
      </c>
      <c r="E9807" t="str">
        <f t="shared" si="3613"/>
        <v>AE</v>
      </c>
      <c r="F9807" t="str">
        <f t="shared" si="3615"/>
        <v>096450001</v>
      </c>
      <c r="G9807" t="str">
        <f>T("PSC 819 BOX 6")</f>
        <v>PSC 819 BOX 6</v>
      </c>
      <c r="H9807" t="str">
        <f t="shared" si="3620"/>
        <v/>
      </c>
      <c r="I9807" t="str">
        <f t="shared" si="3609"/>
        <v>FPO</v>
      </c>
      <c r="J9807" t="str">
        <f t="shared" si="3614"/>
        <v>AE</v>
      </c>
      <c r="K9807" t="str">
        <f>T("")</f>
        <v/>
      </c>
      <c r="L9807" t="str">
        <f>T("3127271386")</f>
        <v>3127271386</v>
      </c>
    </row>
    <row r="9808" spans="1:12" x14ac:dyDescent="0.35">
      <c r="A9808" t="str">
        <f t="shared" si="3606"/>
        <v>NAVAL STATION ROTA SPAIN</v>
      </c>
      <c r="B9808" t="str">
        <f>T("PSC 819 BOX 6")</f>
        <v>PSC 819 BOX 6</v>
      </c>
      <c r="C9808" t="str">
        <f t="shared" si="3616"/>
        <v/>
      </c>
      <c r="D9808" t="str">
        <f t="shared" si="3611"/>
        <v>FPO</v>
      </c>
      <c r="E9808" t="str">
        <f t="shared" si="3613"/>
        <v>AE</v>
      </c>
      <c r="F9808" t="str">
        <f t="shared" si="3615"/>
        <v>096450001</v>
      </c>
      <c r="G9808" t="str">
        <f>T("PSC 819 BOX 6")</f>
        <v>PSC 819 BOX 6</v>
      </c>
      <c r="H9808" t="str">
        <f t="shared" si="3620"/>
        <v/>
      </c>
      <c r="I9808" t="str">
        <f t="shared" si="3609"/>
        <v>FPO</v>
      </c>
      <c r="J9808" t="str">
        <f t="shared" si="3614"/>
        <v>AE</v>
      </c>
      <c r="K9808" t="str">
        <f>T("01134956822032")</f>
        <v>01134956822032</v>
      </c>
      <c r="L9808" t="str">
        <f>T("1111111111")</f>
        <v>1111111111</v>
      </c>
    </row>
    <row r="9809" spans="1:12" x14ac:dyDescent="0.35">
      <c r="A9809" t="str">
        <f t="shared" si="3606"/>
        <v>NAVAL STATION ROTA SPAIN</v>
      </c>
      <c r="B9809" t="str">
        <f>T("PSC 819 BOX 69")</f>
        <v>PSC 819 BOX 69</v>
      </c>
      <c r="C9809" t="str">
        <f t="shared" si="3616"/>
        <v/>
      </c>
      <c r="D9809" t="str">
        <f t="shared" si="3611"/>
        <v>FPO</v>
      </c>
      <c r="E9809" t="str">
        <f t="shared" si="3613"/>
        <v>AE</v>
      </c>
      <c r="F9809" t="str">
        <f t="shared" si="3615"/>
        <v>096450001</v>
      </c>
      <c r="G9809" t="str">
        <f>T("PSC 819 BOX 69")</f>
        <v>PSC 819 BOX 69</v>
      </c>
      <c r="H9809" t="str">
        <f t="shared" si="3620"/>
        <v/>
      </c>
      <c r="I9809" t="str">
        <f t="shared" si="3609"/>
        <v>FPO</v>
      </c>
      <c r="J9809" t="str">
        <f t="shared" si="3614"/>
        <v>AE</v>
      </c>
      <c r="K9809" t="str">
        <f>T("")</f>
        <v/>
      </c>
      <c r="L9809" t="str">
        <f>T("3127273232")</f>
        <v>3127273232</v>
      </c>
    </row>
    <row r="9810" spans="1:12" x14ac:dyDescent="0.35">
      <c r="A9810" t="str">
        <f t="shared" si="3606"/>
        <v>NAVAL STATION ROTA SPAIN</v>
      </c>
      <c r="B9810" t="str">
        <f>T("PSC 819 BOX 69")</f>
        <v>PSC 819 BOX 69</v>
      </c>
      <c r="C9810" t="str">
        <f t="shared" si="3616"/>
        <v/>
      </c>
      <c r="D9810" t="str">
        <f t="shared" si="3611"/>
        <v>FPO</v>
      </c>
      <c r="E9810" t="str">
        <f t="shared" si="3613"/>
        <v>AE</v>
      </c>
      <c r="F9810" t="str">
        <f t="shared" si="3615"/>
        <v>096450001</v>
      </c>
      <c r="G9810" t="str">
        <f>T("PSC 819-BOX 69")</f>
        <v>PSC 819-BOX 69</v>
      </c>
      <c r="H9810" t="str">
        <f t="shared" si="3620"/>
        <v/>
      </c>
      <c r="I9810" t="str">
        <f t="shared" si="3609"/>
        <v>FPO</v>
      </c>
      <c r="J9810" t="str">
        <f t="shared" si="3614"/>
        <v>AE</v>
      </c>
      <c r="K9810" t="str">
        <f>T("011-34-956822388")</f>
        <v>011-34-956822388</v>
      </c>
      <c r="L9810" t="str">
        <f>T("1111111111")</f>
        <v>1111111111</v>
      </c>
    </row>
    <row r="9811" spans="1:12" x14ac:dyDescent="0.35">
      <c r="A9811" t="str">
        <f t="shared" si="3606"/>
        <v>NAVAL STATION ROTA SPAIN</v>
      </c>
      <c r="B9811" t="str">
        <f>T("PSC 820 BOX 1")</f>
        <v>PSC 820 BOX 1</v>
      </c>
      <c r="C9811" t="str">
        <f t="shared" si="3616"/>
        <v/>
      </c>
      <c r="D9811" t="str">
        <f t="shared" si="3611"/>
        <v>FPO</v>
      </c>
      <c r="E9811" t="str">
        <f t="shared" si="3613"/>
        <v>AE</v>
      </c>
      <c r="F9811" t="str">
        <f>T("096480001")</f>
        <v>096480001</v>
      </c>
      <c r="G9811" t="str">
        <f>T("PSC 820 BOX 1")</f>
        <v>PSC 820 BOX 1</v>
      </c>
      <c r="H9811" t="str">
        <f t="shared" si="3620"/>
        <v/>
      </c>
      <c r="I9811" t="str">
        <f t="shared" si="3609"/>
        <v>FPO</v>
      </c>
      <c r="J9811" t="str">
        <f t="shared" si="3614"/>
        <v>AE</v>
      </c>
      <c r="K9811" t="str">
        <f>T("")</f>
        <v/>
      </c>
      <c r="L9811" t="str">
        <f>T("1111111111")</f>
        <v>1111111111</v>
      </c>
    </row>
    <row r="9812" spans="1:12" x14ac:dyDescent="0.35">
      <c r="A9812" t="str">
        <f t="shared" si="3606"/>
        <v>NAVAL STATION ROTA SPAIN</v>
      </c>
      <c r="B9812" t="str">
        <f>T("PSC 820 BOX 1")</f>
        <v>PSC 820 BOX 1</v>
      </c>
      <c r="C9812" t="str">
        <f t="shared" si="3616"/>
        <v/>
      </c>
      <c r="D9812" t="str">
        <f t="shared" si="3611"/>
        <v>FPO</v>
      </c>
      <c r="E9812" t="str">
        <f t="shared" si="3613"/>
        <v>AE</v>
      </c>
      <c r="F9812" t="str">
        <f>T("096480001")</f>
        <v>096480001</v>
      </c>
      <c r="G9812" t="str">
        <f>T("PSC 820 BOX 27")</f>
        <v>PSC 820 BOX 27</v>
      </c>
      <c r="H9812" t="str">
        <f t="shared" si="3620"/>
        <v/>
      </c>
      <c r="I9812" t="str">
        <f t="shared" si="3609"/>
        <v>FPO</v>
      </c>
      <c r="J9812" t="str">
        <f t="shared" si="3614"/>
        <v>AE</v>
      </c>
      <c r="K9812" t="str">
        <f>T("34961605793")</f>
        <v>34961605793</v>
      </c>
      <c r="L9812" t="str">
        <f>T("1111111111")</f>
        <v>1111111111</v>
      </c>
    </row>
    <row r="9813" spans="1:12" x14ac:dyDescent="0.35">
      <c r="A9813" t="str">
        <f t="shared" si="3606"/>
        <v>NAVAL STATION ROTA SPAIN</v>
      </c>
      <c r="B9813" t="str">
        <f>T("PSC 840 BOX 33")</f>
        <v>PSC 840 BOX 33</v>
      </c>
      <c r="C9813" t="str">
        <f t="shared" si="3616"/>
        <v/>
      </c>
      <c r="D9813" t="str">
        <f t="shared" si="3611"/>
        <v>FPO</v>
      </c>
      <c r="E9813" t="str">
        <f t="shared" si="3613"/>
        <v>AE</v>
      </c>
      <c r="F9813" t="str">
        <f>T("096490001")</f>
        <v>096490001</v>
      </c>
      <c r="G9813" t="str">
        <f>T("PSC 840 BOX 33")</f>
        <v>PSC 840 BOX 33</v>
      </c>
      <c r="H9813" t="str">
        <f t="shared" si="3620"/>
        <v/>
      </c>
      <c r="I9813" t="str">
        <f t="shared" si="3609"/>
        <v>FPO</v>
      </c>
      <c r="J9813" t="str">
        <f t="shared" si="3614"/>
        <v>AE</v>
      </c>
      <c r="K9813" t="str">
        <f>T("")</f>
        <v/>
      </c>
      <c r="L9813" t="str">
        <f>T("3147272325")</f>
        <v>3147272325</v>
      </c>
    </row>
    <row r="9814" spans="1:12" x14ac:dyDescent="0.35">
      <c r="A9814" t="str">
        <f t="shared" si="3606"/>
        <v>NAVAL STATION ROTA SPAIN</v>
      </c>
      <c r="B9814" t="str">
        <f>T("PSC 840 BOX 33")</f>
        <v>PSC 840 BOX 33</v>
      </c>
      <c r="C9814" t="str">
        <f t="shared" si="3616"/>
        <v/>
      </c>
      <c r="D9814" t="str">
        <f t="shared" si="3611"/>
        <v>FPO</v>
      </c>
      <c r="E9814" t="str">
        <f t="shared" si="3613"/>
        <v>AE</v>
      </c>
      <c r="F9814" t="str">
        <f>T("096490001")</f>
        <v>096490001</v>
      </c>
      <c r="G9814" t="str">
        <f>T("PSC 840 BOX 33")</f>
        <v>PSC 840 BOX 33</v>
      </c>
      <c r="H9814" t="str">
        <f t="shared" si="3620"/>
        <v/>
      </c>
      <c r="I9814" t="str">
        <f t="shared" ref="I9814:I9836" si="3621">T("FPO")</f>
        <v>FPO</v>
      </c>
      <c r="J9814" t="str">
        <f t="shared" si="3614"/>
        <v>AE</v>
      </c>
      <c r="K9814" t="str">
        <f>T("0034639519439")</f>
        <v>0034639519439</v>
      </c>
      <c r="L9814" t="str">
        <f>T("1111111111")</f>
        <v>1111111111</v>
      </c>
    </row>
    <row r="9815" spans="1:12" x14ac:dyDescent="0.35">
      <c r="A9815" t="str">
        <f t="shared" ref="A9815:A9836" si="3622">T("NSA SOUDA BAY")</f>
        <v>NSA SOUDA BAY</v>
      </c>
      <c r="B9815" t="str">
        <f>T("HOUSING DEPARTMENT")</f>
        <v>HOUSING DEPARTMENT</v>
      </c>
      <c r="C9815" t="str">
        <f>T("PSC 814 BOX 37")</f>
        <v>PSC 814 BOX 37</v>
      </c>
      <c r="D9815" t="str">
        <f t="shared" ref="D9815:D9836" si="3623">T("FPO")</f>
        <v>FPO</v>
      </c>
      <c r="E9815" t="str">
        <f t="shared" si="3613"/>
        <v>AE</v>
      </c>
      <c r="F9815" t="str">
        <f t="shared" ref="F9815:F9836" si="3624">T("098650001")</f>
        <v>098650001</v>
      </c>
      <c r="G9815" t="str">
        <f>T("HOUSING DEPARTMENT")</f>
        <v>HOUSING DEPARTMENT</v>
      </c>
      <c r="H9815" t="str">
        <f>T("PSC 814 BOX 37")</f>
        <v>PSC 814 BOX 37</v>
      </c>
      <c r="I9815" t="str">
        <f t="shared" si="3621"/>
        <v>FPO</v>
      </c>
      <c r="J9815" t="str">
        <f t="shared" si="3614"/>
        <v>AE</v>
      </c>
      <c r="K9815" t="str">
        <f>T("")</f>
        <v/>
      </c>
      <c r="L9815" t="str">
        <f>T("1111111111")</f>
        <v>1111111111</v>
      </c>
    </row>
    <row r="9816" spans="1:12" x14ac:dyDescent="0.35">
      <c r="A9816" t="str">
        <f t="shared" si="3622"/>
        <v>NSA SOUDA BAY</v>
      </c>
      <c r="B9816" t="str">
        <f>T("HOUSING DEPARTMENT")</f>
        <v>HOUSING DEPARTMENT</v>
      </c>
      <c r="C9816" t="str">
        <f>T("PSC 814 BOX 37")</f>
        <v>PSC 814 BOX 37</v>
      </c>
      <c r="D9816" t="str">
        <f t="shared" si="3623"/>
        <v>FPO</v>
      </c>
      <c r="E9816" t="str">
        <f t="shared" si="3613"/>
        <v>AE</v>
      </c>
      <c r="F9816" t="str">
        <f t="shared" si="3624"/>
        <v>098650001</v>
      </c>
      <c r="G9816" t="str">
        <f>T("PSC 814 BOX 37")</f>
        <v>PSC 814 BOX 37</v>
      </c>
      <c r="H9816" t="str">
        <f>T("")</f>
        <v/>
      </c>
      <c r="I9816" t="str">
        <f t="shared" si="3621"/>
        <v>FPO</v>
      </c>
      <c r="J9816" t="str">
        <f t="shared" si="3614"/>
        <v>AE</v>
      </c>
      <c r="K9816" t="str">
        <f>T("011302821021569")</f>
        <v>011302821021569</v>
      </c>
      <c r="L9816" t="str">
        <f>T("1111111111")</f>
        <v>1111111111</v>
      </c>
    </row>
    <row r="9817" spans="1:12" x14ac:dyDescent="0.35">
      <c r="A9817" t="str">
        <f t="shared" si="3622"/>
        <v>NSA SOUDA BAY</v>
      </c>
      <c r="B9817" t="str">
        <f>T("PSC 814")</f>
        <v>PSC 814</v>
      </c>
      <c r="C9817" t="str">
        <f>T("BOX 37")</f>
        <v>BOX 37</v>
      </c>
      <c r="D9817" t="str">
        <f t="shared" si="3623"/>
        <v>FPO</v>
      </c>
      <c r="E9817" t="str">
        <f t="shared" si="3613"/>
        <v>AE</v>
      </c>
      <c r="F9817" t="str">
        <f t="shared" si="3624"/>
        <v>098650001</v>
      </c>
      <c r="G9817" t="str">
        <f t="shared" ref="G9817:G9823" si="3625">T("PSC 814")</f>
        <v>PSC 814</v>
      </c>
      <c r="H9817" t="str">
        <f t="shared" ref="H9817:H9823" si="3626">T("BOX 37")</f>
        <v>BOX 37</v>
      </c>
      <c r="I9817" t="str">
        <f t="shared" si="3621"/>
        <v>FPO</v>
      </c>
      <c r="J9817" t="str">
        <f t="shared" si="3614"/>
        <v>AE</v>
      </c>
      <c r="K9817" t="str">
        <f>T("")</f>
        <v/>
      </c>
      <c r="L9817" t="str">
        <f>T("1111111111")</f>
        <v>1111111111</v>
      </c>
    </row>
    <row r="9818" spans="1:12" x14ac:dyDescent="0.35">
      <c r="A9818" t="str">
        <f t="shared" si="3622"/>
        <v>NSA SOUDA BAY</v>
      </c>
      <c r="B9818" t="str">
        <f>T("PSC 814")</f>
        <v>PSC 814</v>
      </c>
      <c r="C9818" t="str">
        <f>T("BOX 37")</f>
        <v>BOX 37</v>
      </c>
      <c r="D9818" t="str">
        <f t="shared" si="3623"/>
        <v>FPO</v>
      </c>
      <c r="E9818" t="str">
        <f t="shared" si="3613"/>
        <v>AE</v>
      </c>
      <c r="F9818" t="str">
        <f t="shared" si="3624"/>
        <v>098650001</v>
      </c>
      <c r="G9818" t="str">
        <f t="shared" si="3625"/>
        <v>PSC 814</v>
      </c>
      <c r="H9818" t="str">
        <f t="shared" si="3626"/>
        <v>BOX 37</v>
      </c>
      <c r="I9818" t="str">
        <f t="shared" si="3621"/>
        <v>FPO</v>
      </c>
      <c r="J9818" t="str">
        <f t="shared" si="3614"/>
        <v>AE</v>
      </c>
      <c r="K9818" t="str">
        <f>T("011302821021271")</f>
        <v>011302821021271</v>
      </c>
      <c r="L9818" t="str">
        <f>T("1111111111")</f>
        <v>1111111111</v>
      </c>
    </row>
    <row r="9819" spans="1:12" x14ac:dyDescent="0.35">
      <c r="A9819" t="str">
        <f t="shared" si="3622"/>
        <v>NSA SOUDA BAY</v>
      </c>
      <c r="B9819" t="str">
        <f>T("PSC 814")</f>
        <v>PSC 814</v>
      </c>
      <c r="C9819" t="str">
        <f>T("BOX 37")</f>
        <v>BOX 37</v>
      </c>
      <c r="D9819" t="str">
        <f t="shared" si="3623"/>
        <v>FPO</v>
      </c>
      <c r="E9819" t="str">
        <f t="shared" si="3613"/>
        <v>AE</v>
      </c>
      <c r="F9819" t="str">
        <f t="shared" si="3624"/>
        <v>098650001</v>
      </c>
      <c r="G9819" t="str">
        <f t="shared" si="3625"/>
        <v>PSC 814</v>
      </c>
      <c r="H9819" t="str">
        <f t="shared" si="3626"/>
        <v>BOX 37</v>
      </c>
      <c r="I9819" t="str">
        <f t="shared" si="3621"/>
        <v>FPO</v>
      </c>
      <c r="J9819" t="str">
        <f t="shared" si="3614"/>
        <v>AE</v>
      </c>
      <c r="K9819" t="str">
        <f>T("011302821021277")</f>
        <v>011302821021277</v>
      </c>
      <c r="L9819" t="str">
        <f>T("6193194104")</f>
        <v>6193194104</v>
      </c>
    </row>
    <row r="9820" spans="1:12" x14ac:dyDescent="0.35">
      <c r="A9820" t="str">
        <f t="shared" si="3622"/>
        <v>NSA SOUDA BAY</v>
      </c>
      <c r="B9820" t="str">
        <f t="shared" ref="B9820:B9825" si="3627">T("PSC 814 BOX 37")</f>
        <v>PSC 814 BOX 37</v>
      </c>
      <c r="C9820" t="str">
        <f t="shared" ref="C9820:C9825" si="3628">T("")</f>
        <v/>
      </c>
      <c r="D9820" t="str">
        <f t="shared" si="3623"/>
        <v>FPO</v>
      </c>
      <c r="E9820" t="str">
        <f t="shared" si="3613"/>
        <v>AE</v>
      </c>
      <c r="F9820" t="str">
        <f t="shared" si="3624"/>
        <v>098650001</v>
      </c>
      <c r="G9820" t="str">
        <f t="shared" si="3625"/>
        <v>PSC 814</v>
      </c>
      <c r="H9820" t="str">
        <f t="shared" si="3626"/>
        <v>BOX 37</v>
      </c>
      <c r="I9820" t="str">
        <f t="shared" si="3621"/>
        <v>FPO</v>
      </c>
      <c r="J9820" t="str">
        <f t="shared" si="3614"/>
        <v>AE</v>
      </c>
      <c r="K9820" t="str">
        <f>T("001302821021272")</f>
        <v>001302821021272</v>
      </c>
      <c r="L9820" t="str">
        <f t="shared" ref="L9820:L9836" si="3629">T("1111111111")</f>
        <v>1111111111</v>
      </c>
    </row>
    <row r="9821" spans="1:12" x14ac:dyDescent="0.35">
      <c r="A9821" t="str">
        <f t="shared" si="3622"/>
        <v>NSA SOUDA BAY</v>
      </c>
      <c r="B9821" t="str">
        <f t="shared" si="3627"/>
        <v>PSC 814 BOX 37</v>
      </c>
      <c r="C9821" t="str">
        <f t="shared" si="3628"/>
        <v/>
      </c>
      <c r="D9821" t="str">
        <f t="shared" si="3623"/>
        <v>FPO</v>
      </c>
      <c r="E9821" t="str">
        <f t="shared" ref="E9821:E9836" si="3630">T("AE")</f>
        <v>AE</v>
      </c>
      <c r="F9821" t="str">
        <f t="shared" si="3624"/>
        <v>098650001</v>
      </c>
      <c r="G9821" t="str">
        <f t="shared" si="3625"/>
        <v>PSC 814</v>
      </c>
      <c r="H9821" t="str">
        <f t="shared" si="3626"/>
        <v>BOX 37</v>
      </c>
      <c r="I9821" t="str">
        <f t="shared" si="3621"/>
        <v>FPO</v>
      </c>
      <c r="J9821" t="str">
        <f t="shared" ref="J9821:J9836" si="3631">T("AE")</f>
        <v>AE</v>
      </c>
      <c r="K9821" t="str">
        <f>T("011302821021278")</f>
        <v>011302821021278</v>
      </c>
      <c r="L9821" t="str">
        <f t="shared" si="3629"/>
        <v>1111111111</v>
      </c>
    </row>
    <row r="9822" spans="1:12" x14ac:dyDescent="0.35">
      <c r="A9822" t="str">
        <f t="shared" si="3622"/>
        <v>NSA SOUDA BAY</v>
      </c>
      <c r="B9822" t="str">
        <f t="shared" si="3627"/>
        <v>PSC 814 BOX 37</v>
      </c>
      <c r="C9822" t="str">
        <f t="shared" si="3628"/>
        <v/>
      </c>
      <c r="D9822" t="str">
        <f t="shared" si="3623"/>
        <v>FPO</v>
      </c>
      <c r="E9822" t="str">
        <f t="shared" si="3630"/>
        <v>AE</v>
      </c>
      <c r="F9822" t="str">
        <f t="shared" si="3624"/>
        <v>098650001</v>
      </c>
      <c r="G9822" t="str">
        <f t="shared" si="3625"/>
        <v>PSC 814</v>
      </c>
      <c r="H9822" t="str">
        <f t="shared" si="3626"/>
        <v>BOX 37</v>
      </c>
      <c r="I9822" t="str">
        <f t="shared" si="3621"/>
        <v>FPO</v>
      </c>
      <c r="J9822" t="str">
        <f t="shared" si="3631"/>
        <v>AE</v>
      </c>
      <c r="K9822" t="str">
        <f>T("011302821021301")</f>
        <v>011302821021301</v>
      </c>
      <c r="L9822" t="str">
        <f t="shared" si="3629"/>
        <v>1111111111</v>
      </c>
    </row>
    <row r="9823" spans="1:12" x14ac:dyDescent="0.35">
      <c r="A9823" t="str">
        <f t="shared" si="3622"/>
        <v>NSA SOUDA BAY</v>
      </c>
      <c r="B9823" t="str">
        <f t="shared" si="3627"/>
        <v>PSC 814 BOX 37</v>
      </c>
      <c r="C9823" t="str">
        <f t="shared" si="3628"/>
        <v/>
      </c>
      <c r="D9823" t="str">
        <f t="shared" si="3623"/>
        <v>FPO</v>
      </c>
      <c r="E9823" t="str">
        <f t="shared" si="3630"/>
        <v>AE</v>
      </c>
      <c r="F9823" t="str">
        <f t="shared" si="3624"/>
        <v>098650001</v>
      </c>
      <c r="G9823" t="str">
        <f t="shared" si="3625"/>
        <v>PSC 814</v>
      </c>
      <c r="H9823" t="str">
        <f t="shared" si="3626"/>
        <v>BOX 37</v>
      </c>
      <c r="I9823" t="str">
        <f t="shared" si="3621"/>
        <v>FPO</v>
      </c>
      <c r="J9823" t="str">
        <f t="shared" si="3631"/>
        <v>AE</v>
      </c>
      <c r="K9823" t="str">
        <f>T("011302821021569")</f>
        <v>011302821021569</v>
      </c>
      <c r="L9823" t="str">
        <f t="shared" si="3629"/>
        <v>1111111111</v>
      </c>
    </row>
    <row r="9824" spans="1:12" x14ac:dyDescent="0.35">
      <c r="A9824" t="str">
        <f t="shared" si="3622"/>
        <v>NSA SOUDA BAY</v>
      </c>
      <c r="B9824" t="str">
        <f t="shared" si="3627"/>
        <v>PSC 814 BOX 37</v>
      </c>
      <c r="C9824" t="str">
        <f t="shared" si="3628"/>
        <v/>
      </c>
      <c r="D9824" t="str">
        <f t="shared" si="3623"/>
        <v>FPO</v>
      </c>
      <c r="E9824" t="str">
        <f t="shared" si="3630"/>
        <v>AE</v>
      </c>
      <c r="F9824" t="str">
        <f t="shared" si="3624"/>
        <v>098650001</v>
      </c>
      <c r="G9824" t="str">
        <f>T("PSC 814 BOX 37")</f>
        <v>PSC 814 BOX 37</v>
      </c>
      <c r="H9824" t="str">
        <f>T("")</f>
        <v/>
      </c>
      <c r="I9824" t="str">
        <f t="shared" si="3621"/>
        <v>FPO</v>
      </c>
      <c r="J9824" t="str">
        <f t="shared" si="3631"/>
        <v>AE</v>
      </c>
      <c r="K9824" t="str">
        <f>T("")</f>
        <v/>
      </c>
      <c r="L9824" t="str">
        <f t="shared" si="3629"/>
        <v>1111111111</v>
      </c>
    </row>
    <row r="9825" spans="1:12" x14ac:dyDescent="0.35">
      <c r="A9825" t="str">
        <f t="shared" si="3622"/>
        <v>NSA SOUDA BAY</v>
      </c>
      <c r="B9825" t="str">
        <f t="shared" si="3627"/>
        <v>PSC 814 BOX 37</v>
      </c>
      <c r="C9825" t="str">
        <f t="shared" si="3628"/>
        <v/>
      </c>
      <c r="D9825" t="str">
        <f t="shared" si="3623"/>
        <v>FPO</v>
      </c>
      <c r="E9825" t="str">
        <f t="shared" si="3630"/>
        <v>AE</v>
      </c>
      <c r="F9825" t="str">
        <f t="shared" si="3624"/>
        <v>098650001</v>
      </c>
      <c r="G9825" t="str">
        <f>T("PSC 814 BOX 37")</f>
        <v>PSC 814 BOX 37</v>
      </c>
      <c r="H9825" t="str">
        <f>T("")</f>
        <v/>
      </c>
      <c r="I9825" t="str">
        <f t="shared" si="3621"/>
        <v>FPO</v>
      </c>
      <c r="J9825" t="str">
        <f t="shared" si="3631"/>
        <v>AE</v>
      </c>
      <c r="K9825" t="str">
        <f>T("011302821021569")</f>
        <v>011302821021569</v>
      </c>
      <c r="L9825" t="str">
        <f t="shared" si="3629"/>
        <v>1111111111</v>
      </c>
    </row>
    <row r="9826" spans="1:12" x14ac:dyDescent="0.35">
      <c r="A9826" t="str">
        <f t="shared" si="3622"/>
        <v>NSA SOUDA BAY</v>
      </c>
      <c r="B9826" t="str">
        <f t="shared" ref="B9826:B9832" si="3632">T("US NAVSUPPACT")</f>
        <v>US NAVSUPPACT</v>
      </c>
      <c r="C9826" t="str">
        <f t="shared" ref="C9826:C9832" si="3633">T("PSC 814 BOX 37")</f>
        <v>PSC 814 BOX 37</v>
      </c>
      <c r="D9826" t="str">
        <f t="shared" si="3623"/>
        <v>FPO</v>
      </c>
      <c r="E9826" t="str">
        <f t="shared" si="3630"/>
        <v>AE</v>
      </c>
      <c r="F9826" t="str">
        <f t="shared" si="3624"/>
        <v>098650001</v>
      </c>
      <c r="G9826" t="str">
        <f>T("PSC 814")</f>
        <v>PSC 814</v>
      </c>
      <c r="H9826" t="str">
        <f>T("BOX 37")</f>
        <v>BOX 37</v>
      </c>
      <c r="I9826" t="str">
        <f t="shared" si="3621"/>
        <v>FPO</v>
      </c>
      <c r="J9826" t="str">
        <f t="shared" si="3631"/>
        <v>AE</v>
      </c>
      <c r="K9826" t="str">
        <f>T("011302821021462")</f>
        <v>011302821021462</v>
      </c>
      <c r="L9826" t="str">
        <f t="shared" si="3629"/>
        <v>1111111111</v>
      </c>
    </row>
    <row r="9827" spans="1:12" x14ac:dyDescent="0.35">
      <c r="A9827" t="str">
        <f t="shared" si="3622"/>
        <v>NSA SOUDA BAY</v>
      </c>
      <c r="B9827" t="str">
        <f t="shared" si="3632"/>
        <v>US NAVSUPPACT</v>
      </c>
      <c r="C9827" t="str">
        <f t="shared" si="3633"/>
        <v>PSC 814 BOX 37</v>
      </c>
      <c r="D9827" t="str">
        <f t="shared" si="3623"/>
        <v>FPO</v>
      </c>
      <c r="E9827" t="str">
        <f t="shared" si="3630"/>
        <v>AE</v>
      </c>
      <c r="F9827" t="str">
        <f t="shared" si="3624"/>
        <v>098650001</v>
      </c>
      <c r="G9827" t="str">
        <f>T("PSC 814")</f>
        <v>PSC 814</v>
      </c>
      <c r="H9827" t="str">
        <f>T("BOX 37")</f>
        <v>BOX 37</v>
      </c>
      <c r="I9827" t="str">
        <f t="shared" si="3621"/>
        <v>FPO</v>
      </c>
      <c r="J9827" t="str">
        <f t="shared" si="3631"/>
        <v>AE</v>
      </c>
      <c r="K9827" t="str">
        <f>T("011302821021532")</f>
        <v>011302821021532</v>
      </c>
      <c r="L9827" t="str">
        <f t="shared" si="3629"/>
        <v>1111111111</v>
      </c>
    </row>
    <row r="9828" spans="1:12" x14ac:dyDescent="0.35">
      <c r="A9828" t="str">
        <f t="shared" si="3622"/>
        <v>NSA SOUDA BAY</v>
      </c>
      <c r="B9828" t="str">
        <f t="shared" si="3632"/>
        <v>US NAVSUPPACT</v>
      </c>
      <c r="C9828" t="str">
        <f t="shared" si="3633"/>
        <v>PSC 814 BOX 37</v>
      </c>
      <c r="D9828" t="str">
        <f t="shared" si="3623"/>
        <v>FPO</v>
      </c>
      <c r="E9828" t="str">
        <f t="shared" si="3630"/>
        <v>AE</v>
      </c>
      <c r="F9828" t="str">
        <f t="shared" si="3624"/>
        <v>098650001</v>
      </c>
      <c r="G9828" t="str">
        <f>T("PSC 814")</f>
        <v>PSC 814</v>
      </c>
      <c r="H9828" t="str">
        <f>T("BOX 37")</f>
        <v>BOX 37</v>
      </c>
      <c r="I9828" t="str">
        <f t="shared" si="3621"/>
        <v>FPO</v>
      </c>
      <c r="J9828" t="str">
        <f t="shared" si="3631"/>
        <v>AE</v>
      </c>
      <c r="K9828" t="str">
        <f>T("011302821021569")</f>
        <v>011302821021569</v>
      </c>
      <c r="L9828" t="str">
        <f t="shared" si="3629"/>
        <v>1111111111</v>
      </c>
    </row>
    <row r="9829" spans="1:12" x14ac:dyDescent="0.35">
      <c r="A9829" t="str">
        <f t="shared" si="3622"/>
        <v>NSA SOUDA BAY</v>
      </c>
      <c r="B9829" t="str">
        <f t="shared" si="3632"/>
        <v>US NAVSUPPACT</v>
      </c>
      <c r="C9829" t="str">
        <f t="shared" si="3633"/>
        <v>PSC 814 BOX 37</v>
      </c>
      <c r="D9829" t="str">
        <f t="shared" si="3623"/>
        <v>FPO</v>
      </c>
      <c r="E9829" t="str">
        <f t="shared" si="3630"/>
        <v>AE</v>
      </c>
      <c r="F9829" t="str">
        <f t="shared" si="3624"/>
        <v>098650001</v>
      </c>
      <c r="G9829" t="str">
        <f>T("PSC 814 BOX 37")</f>
        <v>PSC 814 BOX 37</v>
      </c>
      <c r="H9829" t="str">
        <f>T("")</f>
        <v/>
      </c>
      <c r="I9829" t="str">
        <f t="shared" si="3621"/>
        <v>FPO</v>
      </c>
      <c r="J9829" t="str">
        <f t="shared" si="3631"/>
        <v>AE</v>
      </c>
      <c r="K9829" t="str">
        <f>T("011302821021203")</f>
        <v>011302821021203</v>
      </c>
      <c r="L9829" t="str">
        <f t="shared" si="3629"/>
        <v>1111111111</v>
      </c>
    </row>
    <row r="9830" spans="1:12" x14ac:dyDescent="0.35">
      <c r="A9830" t="str">
        <f t="shared" si="3622"/>
        <v>NSA SOUDA BAY</v>
      </c>
      <c r="B9830" t="str">
        <f t="shared" si="3632"/>
        <v>US NAVSUPPACT</v>
      </c>
      <c r="C9830" t="str">
        <f t="shared" si="3633"/>
        <v>PSC 814 BOX 37</v>
      </c>
      <c r="D9830" t="str">
        <f t="shared" si="3623"/>
        <v>FPO</v>
      </c>
      <c r="E9830" t="str">
        <f t="shared" si="3630"/>
        <v>AE</v>
      </c>
      <c r="F9830" t="str">
        <f t="shared" si="3624"/>
        <v>098650001</v>
      </c>
      <c r="G9830" t="str">
        <f>T("US NAVSUPPACT")</f>
        <v>US NAVSUPPACT</v>
      </c>
      <c r="H9830" t="str">
        <f>T("PSC 814 BOX 37")</f>
        <v>PSC 814 BOX 37</v>
      </c>
      <c r="I9830" t="str">
        <f t="shared" si="3621"/>
        <v>FPO</v>
      </c>
      <c r="J9830" t="str">
        <f t="shared" si="3631"/>
        <v>AE</v>
      </c>
      <c r="K9830" t="str">
        <f>T("")</f>
        <v/>
      </c>
      <c r="L9830" t="str">
        <f t="shared" si="3629"/>
        <v>1111111111</v>
      </c>
    </row>
    <row r="9831" spans="1:12" x14ac:dyDescent="0.35">
      <c r="A9831" t="str">
        <f t="shared" si="3622"/>
        <v>NSA SOUDA BAY</v>
      </c>
      <c r="B9831" t="str">
        <f t="shared" si="3632"/>
        <v>US NAVSUPPACT</v>
      </c>
      <c r="C9831" t="str">
        <f t="shared" si="3633"/>
        <v>PSC 814 BOX 37</v>
      </c>
      <c r="D9831" t="str">
        <f t="shared" si="3623"/>
        <v>FPO</v>
      </c>
      <c r="E9831" t="str">
        <f t="shared" si="3630"/>
        <v>AE</v>
      </c>
      <c r="F9831" t="str">
        <f t="shared" si="3624"/>
        <v>098650001</v>
      </c>
      <c r="G9831" t="str">
        <f>T("US NAVSUPPACT")</f>
        <v>US NAVSUPPACT</v>
      </c>
      <c r="H9831" t="str">
        <f>T("PSC 814 BOX 37")</f>
        <v>PSC 814 BOX 37</v>
      </c>
      <c r="I9831" t="str">
        <f t="shared" si="3621"/>
        <v>FPO</v>
      </c>
      <c r="J9831" t="str">
        <f t="shared" si="3631"/>
        <v>AE</v>
      </c>
      <c r="K9831" t="str">
        <f>T("000000000000000000")</f>
        <v>000000000000000000</v>
      </c>
      <c r="L9831" t="str">
        <f t="shared" si="3629"/>
        <v>1111111111</v>
      </c>
    </row>
    <row r="9832" spans="1:12" x14ac:dyDescent="0.35">
      <c r="A9832" t="str">
        <f t="shared" si="3622"/>
        <v>NSA SOUDA BAY</v>
      </c>
      <c r="B9832" t="str">
        <f t="shared" si="3632"/>
        <v>US NAVSUPPACT</v>
      </c>
      <c r="C9832" t="str">
        <f t="shared" si="3633"/>
        <v>PSC 814 BOX 37</v>
      </c>
      <c r="D9832" t="str">
        <f t="shared" si="3623"/>
        <v>FPO</v>
      </c>
      <c r="E9832" t="str">
        <f t="shared" si="3630"/>
        <v>AE</v>
      </c>
      <c r="F9832" t="str">
        <f t="shared" si="3624"/>
        <v>098650001</v>
      </c>
      <c r="G9832" t="str">
        <f>T("US NAVSUPPACT PSC 814")</f>
        <v>US NAVSUPPACT PSC 814</v>
      </c>
      <c r="H9832" t="str">
        <f>T("BOX 37")</f>
        <v>BOX 37</v>
      </c>
      <c r="I9832" t="str">
        <f t="shared" si="3621"/>
        <v>FPO</v>
      </c>
      <c r="J9832" t="str">
        <f t="shared" si="3631"/>
        <v>AE</v>
      </c>
      <c r="K9832" t="str">
        <f>T("000000000000000000")</f>
        <v>000000000000000000</v>
      </c>
      <c r="L9832" t="str">
        <f t="shared" si="3629"/>
        <v>1111111111</v>
      </c>
    </row>
    <row r="9833" spans="1:12" x14ac:dyDescent="0.35">
      <c r="A9833" t="str">
        <f t="shared" si="3622"/>
        <v>NSA SOUDA BAY</v>
      </c>
      <c r="B9833" t="str">
        <f>T("US NAVSUPPACT PSC 814")</f>
        <v>US NAVSUPPACT PSC 814</v>
      </c>
      <c r="C9833" t="str">
        <f>T("BOX 1")</f>
        <v>BOX 1</v>
      </c>
      <c r="D9833" t="str">
        <f t="shared" si="3623"/>
        <v>FPO</v>
      </c>
      <c r="E9833" t="str">
        <f t="shared" si="3630"/>
        <v>AE</v>
      </c>
      <c r="F9833" t="str">
        <f t="shared" si="3624"/>
        <v>098650001</v>
      </c>
      <c r="G9833" t="str">
        <f>T("PSC 814")</f>
        <v>PSC 814</v>
      </c>
      <c r="H9833" t="str">
        <f>T("BOX 37")</f>
        <v>BOX 37</v>
      </c>
      <c r="I9833" t="str">
        <f t="shared" si="3621"/>
        <v>FPO</v>
      </c>
      <c r="J9833" t="str">
        <f t="shared" si="3631"/>
        <v>AE</v>
      </c>
      <c r="K9833" t="str">
        <f>T("000000000000000000")</f>
        <v>000000000000000000</v>
      </c>
      <c r="L9833" t="str">
        <f t="shared" si="3629"/>
        <v>1111111111</v>
      </c>
    </row>
    <row r="9834" spans="1:12" x14ac:dyDescent="0.35">
      <c r="A9834" t="str">
        <f t="shared" si="3622"/>
        <v>NSA SOUDA BAY</v>
      </c>
      <c r="B9834" t="str">
        <f>T("US NAVSUPPACT PSC 814")</f>
        <v>US NAVSUPPACT PSC 814</v>
      </c>
      <c r="C9834" t="str">
        <f>T("BOX 1")</f>
        <v>BOX 1</v>
      </c>
      <c r="D9834" t="str">
        <f t="shared" si="3623"/>
        <v>FPO</v>
      </c>
      <c r="E9834" t="str">
        <f t="shared" si="3630"/>
        <v>AE</v>
      </c>
      <c r="F9834" t="str">
        <f t="shared" si="3624"/>
        <v>098650001</v>
      </c>
      <c r="G9834" t="str">
        <f>T("PSC 814")</f>
        <v>PSC 814</v>
      </c>
      <c r="H9834" t="str">
        <f>T("BOX 37")</f>
        <v>BOX 37</v>
      </c>
      <c r="I9834" t="str">
        <f t="shared" si="3621"/>
        <v>FPO</v>
      </c>
      <c r="J9834" t="str">
        <f t="shared" si="3631"/>
        <v>AE</v>
      </c>
      <c r="K9834" t="str">
        <f>T("011302821021569")</f>
        <v>011302821021569</v>
      </c>
      <c r="L9834" t="str">
        <f t="shared" si="3629"/>
        <v>1111111111</v>
      </c>
    </row>
    <row r="9835" spans="1:12" x14ac:dyDescent="0.35">
      <c r="A9835" t="str">
        <f t="shared" si="3622"/>
        <v>NSA SOUDA BAY</v>
      </c>
      <c r="B9835" t="str">
        <f>T("US NAVSUPPACT PSC 814")</f>
        <v>US NAVSUPPACT PSC 814</v>
      </c>
      <c r="C9835" t="str">
        <f>T("BOX 1")</f>
        <v>BOX 1</v>
      </c>
      <c r="D9835" t="str">
        <f t="shared" si="3623"/>
        <v>FPO</v>
      </c>
      <c r="E9835" t="str">
        <f t="shared" si="3630"/>
        <v>AE</v>
      </c>
      <c r="F9835" t="str">
        <f t="shared" si="3624"/>
        <v>098650001</v>
      </c>
      <c r="G9835" t="str">
        <f>T("PSC 814 BOX 37")</f>
        <v>PSC 814 BOX 37</v>
      </c>
      <c r="H9835" t="str">
        <f>T("")</f>
        <v/>
      </c>
      <c r="I9835" t="str">
        <f t="shared" si="3621"/>
        <v>FPO</v>
      </c>
      <c r="J9835" t="str">
        <f t="shared" si="3631"/>
        <v>AE</v>
      </c>
      <c r="K9835" t="str">
        <f>T("011302821021569")</f>
        <v>011302821021569</v>
      </c>
      <c r="L9835" t="str">
        <f t="shared" si="3629"/>
        <v>1111111111</v>
      </c>
    </row>
    <row r="9836" spans="1:12" x14ac:dyDescent="0.35">
      <c r="A9836" t="str">
        <f t="shared" si="3622"/>
        <v>NSA SOUDA BAY</v>
      </c>
      <c r="B9836" t="str">
        <f>T("US NAVSUPPACT PSC 814")</f>
        <v>US NAVSUPPACT PSC 814</v>
      </c>
      <c r="C9836" t="str">
        <f>T("BOX 1")</f>
        <v>BOX 1</v>
      </c>
      <c r="D9836" t="str">
        <f t="shared" si="3623"/>
        <v>FPO</v>
      </c>
      <c r="E9836" t="str">
        <f t="shared" si="3630"/>
        <v>AE</v>
      </c>
      <c r="F9836" t="str">
        <f t="shared" si="3624"/>
        <v>098650001</v>
      </c>
      <c r="G9836" t="str">
        <f>T("US NAVSUPPACT PSC 814")</f>
        <v>US NAVSUPPACT PSC 814</v>
      </c>
      <c r="H9836" t="str">
        <f>T("BOX 1")</f>
        <v>BOX 1</v>
      </c>
      <c r="I9836" t="str">
        <f t="shared" si="3621"/>
        <v>FPO</v>
      </c>
      <c r="J9836" t="str">
        <f t="shared" si="3631"/>
        <v>AE</v>
      </c>
      <c r="K9836" t="str">
        <f>T("000000000000000000")</f>
        <v>000000000000000000</v>
      </c>
      <c r="L9836" t="str">
        <f t="shared" si="3629"/>
        <v>1111111111</v>
      </c>
    </row>
    <row r="9837" spans="1:12" x14ac:dyDescent="0.35">
      <c r="A9837" t="str">
        <f t="shared" ref="A9837:A9875" si="3634">T("NAS PENSACOLA FL")</f>
        <v>NAS PENSACOLA FL</v>
      </c>
      <c r="B9837" t="str">
        <f>T("150 HASE RD")</f>
        <v>150 HASE RD</v>
      </c>
      <c r="C9837" t="str">
        <f>T("BLDG 4125")</f>
        <v>BLDG 4125</v>
      </c>
      <c r="D9837" t="str">
        <f t="shared" ref="D9837:D9875" si="3635">T("PENSACOLA")</f>
        <v>PENSACOLA</v>
      </c>
      <c r="E9837" t="str">
        <f t="shared" ref="E9837:E9875" si="3636">T("FL")</f>
        <v>FL</v>
      </c>
      <c r="F9837" t="str">
        <f t="shared" ref="F9837:F9851" si="3637">T("325081051")</f>
        <v>325081051</v>
      </c>
      <c r="G9837" t="str">
        <f>T("150 HASE RD")</f>
        <v>150 HASE RD</v>
      </c>
      <c r="H9837" t="str">
        <f>T("BLDG 4125")</f>
        <v>BLDG 4125</v>
      </c>
      <c r="I9837" t="str">
        <f t="shared" ref="I9837:I9848" si="3638">T("PENSACOLA")</f>
        <v>PENSACOLA</v>
      </c>
      <c r="J9837" t="str">
        <f t="shared" ref="J9837:J9875" si="3639">T("FL")</f>
        <v>FL</v>
      </c>
      <c r="K9837" t="str">
        <f>T("8504509302")</f>
        <v>8504509302</v>
      </c>
      <c r="L9837" t="str">
        <f>T("8504522834")</f>
        <v>8504522834</v>
      </c>
    </row>
    <row r="9838" spans="1:12" x14ac:dyDescent="0.35">
      <c r="A9838" t="str">
        <f t="shared" si="3634"/>
        <v>NAS PENSACOLA FL</v>
      </c>
      <c r="B9838" t="str">
        <f>T("150 HASE RD")</f>
        <v>150 HASE RD</v>
      </c>
      <c r="C9838" t="str">
        <f>T("BLDG 4125")</f>
        <v>BLDG 4125</v>
      </c>
      <c r="D9838" t="str">
        <f t="shared" si="3635"/>
        <v>PENSACOLA</v>
      </c>
      <c r="E9838" t="str">
        <f t="shared" si="3636"/>
        <v>FL</v>
      </c>
      <c r="F9838" t="str">
        <f t="shared" si="3637"/>
        <v>325081051</v>
      </c>
      <c r="G9838" t="str">
        <f>T("150 HASE RD BLDG 1500")</f>
        <v>150 HASE RD BLDG 1500</v>
      </c>
      <c r="H9838" t="str">
        <f>T("")</f>
        <v/>
      </c>
      <c r="I9838" t="str">
        <f t="shared" si="3638"/>
        <v>PENSACOLA</v>
      </c>
      <c r="J9838" t="str">
        <f t="shared" si="3639"/>
        <v>FL</v>
      </c>
      <c r="K9838" t="str">
        <f>T("000000000000000000")</f>
        <v>000000000000000000</v>
      </c>
      <c r="L9838" t="str">
        <f>T("8504523900")</f>
        <v>8504523900</v>
      </c>
    </row>
    <row r="9839" spans="1:12" x14ac:dyDescent="0.35">
      <c r="A9839" t="str">
        <f t="shared" si="3634"/>
        <v>NAS PENSACOLA FL</v>
      </c>
      <c r="B9839" t="str">
        <f>T("150 HASE RD")</f>
        <v>150 HASE RD</v>
      </c>
      <c r="C9839" t="str">
        <f>T("BLDG 4125")</f>
        <v>BLDG 4125</v>
      </c>
      <c r="D9839" t="str">
        <f t="shared" si="3635"/>
        <v>PENSACOLA</v>
      </c>
      <c r="E9839" t="str">
        <f t="shared" si="3636"/>
        <v>FL</v>
      </c>
      <c r="F9839" t="str">
        <f t="shared" si="3637"/>
        <v>325081051</v>
      </c>
      <c r="G9839" t="str">
        <f>T("FIRE AND EMERGENCY SERVICES")</f>
        <v>FIRE AND EMERGENCY SERVICES</v>
      </c>
      <c r="H9839" t="str">
        <f>T("150 HASE ROAD BUILDING 4125")</f>
        <v>150 HASE ROAD BUILDING 4125</v>
      </c>
      <c r="I9839" t="str">
        <f t="shared" si="3638"/>
        <v>PENSACOLA</v>
      </c>
      <c r="J9839" t="str">
        <f t="shared" si="3639"/>
        <v>FL</v>
      </c>
      <c r="K9839" t="str">
        <f>T("8504529838")</f>
        <v>8504529838</v>
      </c>
      <c r="L9839" t="str">
        <f>T("8504522401")</f>
        <v>8504522401</v>
      </c>
    </row>
    <row r="9840" spans="1:12" x14ac:dyDescent="0.35">
      <c r="A9840" t="str">
        <f t="shared" si="3634"/>
        <v>NAS PENSACOLA FL</v>
      </c>
      <c r="B9840" t="str">
        <f>T("150 HASE RD STE A")</f>
        <v>150 HASE RD STE A</v>
      </c>
      <c r="C9840" t="str">
        <f>T("NAS PENSACOLA AIR OPS")</f>
        <v>NAS PENSACOLA AIR OPS</v>
      </c>
      <c r="D9840" t="str">
        <f t="shared" si="3635"/>
        <v>PENSACOLA</v>
      </c>
      <c r="E9840" t="str">
        <f t="shared" si="3636"/>
        <v>FL</v>
      </c>
      <c r="F9840" t="str">
        <f t="shared" si="3637"/>
        <v>325081051</v>
      </c>
      <c r="G9840" t="str">
        <f>T("150 HASE RD STE A")</f>
        <v>150 HASE RD STE A</v>
      </c>
      <c r="H9840" t="str">
        <f>T("")</f>
        <v/>
      </c>
      <c r="I9840" t="str">
        <f t="shared" si="3638"/>
        <v>PENSACOLA</v>
      </c>
      <c r="J9840" t="str">
        <f t="shared" si="3639"/>
        <v>FL</v>
      </c>
      <c r="K9840" t="str">
        <f>T("000000000000000000")</f>
        <v>000000000000000000</v>
      </c>
      <c r="L9840" t="str">
        <f>T("8504523544")</f>
        <v>8504523544</v>
      </c>
    </row>
    <row r="9841" spans="1:12" x14ac:dyDescent="0.35">
      <c r="A9841" t="str">
        <f t="shared" si="3634"/>
        <v>NAS PENSACOLA FL</v>
      </c>
      <c r="B9841" t="str">
        <f>T("150 HASE RD STE A")</f>
        <v>150 HASE RD STE A</v>
      </c>
      <c r="C9841" t="str">
        <f>T("NAS PENSACOLA AIR OPS")</f>
        <v>NAS PENSACOLA AIR OPS</v>
      </c>
      <c r="D9841" t="str">
        <f t="shared" si="3635"/>
        <v>PENSACOLA</v>
      </c>
      <c r="E9841" t="str">
        <f t="shared" si="3636"/>
        <v>FL</v>
      </c>
      <c r="F9841" t="str">
        <f t="shared" si="3637"/>
        <v>325081051</v>
      </c>
      <c r="G9841" t="str">
        <f>T("150 HASE RD STE A")</f>
        <v>150 HASE RD STE A</v>
      </c>
      <c r="H9841" t="str">
        <f>T("NAS PENSACOLA AIR OPS")</f>
        <v>NAS PENSACOLA AIR OPS</v>
      </c>
      <c r="I9841" t="str">
        <f t="shared" si="3638"/>
        <v>PENSACOLA</v>
      </c>
      <c r="J9841" t="str">
        <f t="shared" si="3639"/>
        <v>FL</v>
      </c>
      <c r="K9841" t="str">
        <f>T("")</f>
        <v/>
      </c>
      <c r="L9841" t="str">
        <f>T("1111111111")</f>
        <v>1111111111</v>
      </c>
    </row>
    <row r="9842" spans="1:12" x14ac:dyDescent="0.35">
      <c r="A9842" t="str">
        <f t="shared" si="3634"/>
        <v>NAS PENSACOLA FL</v>
      </c>
      <c r="B9842" t="str">
        <f>T("150 HASE RD STE A")</f>
        <v>150 HASE RD STE A</v>
      </c>
      <c r="C9842" t="str">
        <f>T("NAS PENSACOLA AIR OPS")</f>
        <v>NAS PENSACOLA AIR OPS</v>
      </c>
      <c r="D9842" t="str">
        <f t="shared" si="3635"/>
        <v>PENSACOLA</v>
      </c>
      <c r="E9842" t="str">
        <f t="shared" si="3636"/>
        <v>FL</v>
      </c>
      <c r="F9842" t="str">
        <f t="shared" si="3637"/>
        <v>325081051</v>
      </c>
      <c r="G9842" t="str">
        <f>T("280 SKYHAWK DR")</f>
        <v>280 SKYHAWK DR</v>
      </c>
      <c r="H9842" t="str">
        <f>T("")</f>
        <v/>
      </c>
      <c r="I9842" t="str">
        <f t="shared" si="3638"/>
        <v>PENSACOLA</v>
      </c>
      <c r="J9842" t="str">
        <f t="shared" si="3639"/>
        <v>FL</v>
      </c>
      <c r="K9842" t="str">
        <f>T("8504522512")</f>
        <v>8504522512</v>
      </c>
      <c r="L9842" t="str">
        <f>T("8504524231")</f>
        <v>8504524231</v>
      </c>
    </row>
    <row r="9843" spans="1:12" x14ac:dyDescent="0.35">
      <c r="A9843" t="str">
        <f t="shared" si="3634"/>
        <v>NAS PENSACOLA FL</v>
      </c>
      <c r="B9843" t="str">
        <f t="shared" ref="B9843:B9849" si="3640">T("150 HASE ROAD")</f>
        <v>150 HASE ROAD</v>
      </c>
      <c r="C9843" t="str">
        <f>T("")</f>
        <v/>
      </c>
      <c r="D9843" t="str">
        <f t="shared" si="3635"/>
        <v>PENSACOLA</v>
      </c>
      <c r="E9843" t="str">
        <f t="shared" si="3636"/>
        <v>FL</v>
      </c>
      <c r="F9843" t="str">
        <f t="shared" si="3637"/>
        <v>325081051</v>
      </c>
      <c r="G9843" t="str">
        <f>T("150 HASE ROAD")</f>
        <v>150 HASE ROAD</v>
      </c>
      <c r="H9843" t="str">
        <f>T("")</f>
        <v/>
      </c>
      <c r="I9843" t="str">
        <f t="shared" si="3638"/>
        <v>PENSACOLA</v>
      </c>
      <c r="J9843" t="str">
        <f t="shared" si="3639"/>
        <v>FL</v>
      </c>
      <c r="K9843" t="str">
        <f>T("8504529302")</f>
        <v>8504529302</v>
      </c>
      <c r="L9843" t="str">
        <f>T("1111111111")</f>
        <v>1111111111</v>
      </c>
    </row>
    <row r="9844" spans="1:12" x14ac:dyDescent="0.35">
      <c r="A9844" t="str">
        <f t="shared" si="3634"/>
        <v>NAS PENSACOLA FL</v>
      </c>
      <c r="B9844" t="str">
        <f t="shared" si="3640"/>
        <v>150 HASE ROAD</v>
      </c>
      <c r="C9844" t="str">
        <f>T("")</f>
        <v/>
      </c>
      <c r="D9844" t="str">
        <f t="shared" si="3635"/>
        <v>PENSACOLA</v>
      </c>
      <c r="E9844" t="str">
        <f t="shared" si="3636"/>
        <v>FL</v>
      </c>
      <c r="F9844" t="str">
        <f t="shared" si="3637"/>
        <v>325081051</v>
      </c>
      <c r="G9844" t="str">
        <f>T("310 JOHN TOWERS ROAD")</f>
        <v>310 JOHN TOWERS ROAD</v>
      </c>
      <c r="H9844" t="str">
        <f>T("")</f>
        <v/>
      </c>
      <c r="I9844" t="str">
        <f t="shared" si="3638"/>
        <v>PENSACOLA</v>
      </c>
      <c r="J9844" t="str">
        <f t="shared" si="3639"/>
        <v>FL</v>
      </c>
      <c r="K9844" t="str">
        <f>T("85045231313040")</f>
        <v>85045231313040</v>
      </c>
      <c r="L9844" t="str">
        <f>T("8504523131")</f>
        <v>8504523131</v>
      </c>
    </row>
    <row r="9845" spans="1:12" x14ac:dyDescent="0.35">
      <c r="A9845" t="str">
        <f t="shared" si="3634"/>
        <v>NAS PENSACOLA FL</v>
      </c>
      <c r="B9845" t="str">
        <f t="shared" si="3640"/>
        <v>150 HASE ROAD</v>
      </c>
      <c r="C9845" t="str">
        <f>T("BUILDING 600A")</f>
        <v>BUILDING 600A</v>
      </c>
      <c r="D9845" t="str">
        <f t="shared" si="3635"/>
        <v>PENSACOLA</v>
      </c>
      <c r="E9845" t="str">
        <f t="shared" si="3636"/>
        <v>FL</v>
      </c>
      <c r="F9845" t="str">
        <f t="shared" si="3637"/>
        <v>325081051</v>
      </c>
      <c r="G9845" t="str">
        <f>T("150 HASE ROAD")</f>
        <v>150 HASE ROAD</v>
      </c>
      <c r="H9845" t="str">
        <f>T("BLDG 600A")</f>
        <v>BLDG 600A</v>
      </c>
      <c r="I9845" t="str">
        <f t="shared" si="3638"/>
        <v>PENSACOLA</v>
      </c>
      <c r="J9845" t="str">
        <f t="shared" si="3639"/>
        <v>FL</v>
      </c>
      <c r="K9845" t="str">
        <f>T("000000000000000000")</f>
        <v>000000000000000000</v>
      </c>
      <c r="L9845" t="str">
        <f>T("8504524149")</f>
        <v>8504524149</v>
      </c>
    </row>
    <row r="9846" spans="1:12" x14ac:dyDescent="0.35">
      <c r="A9846" t="str">
        <f t="shared" si="3634"/>
        <v>NAS PENSACOLA FL</v>
      </c>
      <c r="B9846" t="str">
        <f t="shared" si="3640"/>
        <v>150 HASE ROAD</v>
      </c>
      <c r="C9846" t="str">
        <f>T("BUILDING 600A")</f>
        <v>BUILDING 600A</v>
      </c>
      <c r="D9846" t="str">
        <f t="shared" si="3635"/>
        <v>PENSACOLA</v>
      </c>
      <c r="E9846" t="str">
        <f t="shared" si="3636"/>
        <v>FL</v>
      </c>
      <c r="F9846" t="str">
        <f t="shared" si="3637"/>
        <v>325081051</v>
      </c>
      <c r="G9846" t="str">
        <f>T("150 HASE ROAD")</f>
        <v>150 HASE ROAD</v>
      </c>
      <c r="H9846" t="str">
        <f>T("BUILDING 600A")</f>
        <v>BUILDING 600A</v>
      </c>
      <c r="I9846" t="str">
        <f t="shared" si="3638"/>
        <v>PENSACOLA</v>
      </c>
      <c r="J9846" t="str">
        <f t="shared" si="3639"/>
        <v>FL</v>
      </c>
      <c r="K9846" t="str">
        <f>T("8504525676")</f>
        <v>8504525676</v>
      </c>
      <c r="L9846" t="str">
        <f>T("8504523626")</f>
        <v>8504523626</v>
      </c>
    </row>
    <row r="9847" spans="1:12" x14ac:dyDescent="0.35">
      <c r="A9847" t="str">
        <f t="shared" si="3634"/>
        <v>NAS PENSACOLA FL</v>
      </c>
      <c r="B9847" t="str">
        <f t="shared" si="3640"/>
        <v>150 HASE ROAD</v>
      </c>
      <c r="C9847" t="str">
        <f>T("BUILDING 600A")</f>
        <v>BUILDING 600A</v>
      </c>
      <c r="D9847" t="str">
        <f t="shared" si="3635"/>
        <v>PENSACOLA</v>
      </c>
      <c r="E9847" t="str">
        <f t="shared" si="3636"/>
        <v>FL</v>
      </c>
      <c r="F9847" t="str">
        <f t="shared" si="3637"/>
        <v>325081051</v>
      </c>
      <c r="G9847" t="str">
        <f>T("150 HASE ROAD BLDG 1500")</f>
        <v>150 HASE ROAD BLDG 1500</v>
      </c>
      <c r="H9847" t="str">
        <f>T("SUITE A ROOM 247")</f>
        <v>SUITE A ROOM 247</v>
      </c>
      <c r="I9847" t="str">
        <f t="shared" si="3638"/>
        <v>PENSACOLA</v>
      </c>
      <c r="J9847" t="str">
        <f t="shared" si="3639"/>
        <v>FL</v>
      </c>
      <c r="K9847" t="str">
        <f>T("000000000000000000")</f>
        <v>000000000000000000</v>
      </c>
      <c r="L9847" t="str">
        <f>T("8504525499")</f>
        <v>8504525499</v>
      </c>
    </row>
    <row r="9848" spans="1:12" x14ac:dyDescent="0.35">
      <c r="A9848" t="str">
        <f t="shared" si="3634"/>
        <v>NAS PENSACOLA FL</v>
      </c>
      <c r="B9848" t="str">
        <f t="shared" si="3640"/>
        <v>150 HASE ROAD</v>
      </c>
      <c r="C9848" t="str">
        <f>T("BUILDING 600A")</f>
        <v>BUILDING 600A</v>
      </c>
      <c r="D9848" t="str">
        <f t="shared" si="3635"/>
        <v>PENSACOLA</v>
      </c>
      <c r="E9848" t="str">
        <f t="shared" si="3636"/>
        <v>FL</v>
      </c>
      <c r="F9848" t="str">
        <f t="shared" si="3637"/>
        <v>325081051</v>
      </c>
      <c r="G9848" t="str">
        <f>T("150 HASE ROAD BLDG 1500")</f>
        <v>150 HASE ROAD BLDG 1500</v>
      </c>
      <c r="H9848" t="str">
        <f>T("SUITE A ROOM 247")</f>
        <v>SUITE A ROOM 247</v>
      </c>
      <c r="I9848" t="str">
        <f t="shared" si="3638"/>
        <v>PENSACOLA</v>
      </c>
      <c r="J9848" t="str">
        <f t="shared" si="3639"/>
        <v>FL</v>
      </c>
      <c r="K9848" t="str">
        <f>T("8504529302")</f>
        <v>8504529302</v>
      </c>
      <c r="L9848" t="str">
        <f>T("8504527455")</f>
        <v>8504527455</v>
      </c>
    </row>
    <row r="9849" spans="1:12" x14ac:dyDescent="0.35">
      <c r="A9849" t="str">
        <f t="shared" si="3634"/>
        <v>NAS PENSACOLA FL</v>
      </c>
      <c r="B9849" t="str">
        <f t="shared" si="3640"/>
        <v>150 HASE ROAD</v>
      </c>
      <c r="C9849" t="str">
        <f>T("BUILDING 600A")</f>
        <v>BUILDING 600A</v>
      </c>
      <c r="D9849" t="str">
        <f t="shared" si="3635"/>
        <v>PENSACOLA</v>
      </c>
      <c r="E9849" t="str">
        <f t="shared" si="3636"/>
        <v>FL</v>
      </c>
      <c r="F9849" t="str">
        <f t="shared" si="3637"/>
        <v>325081051</v>
      </c>
      <c r="G9849" t="str">
        <f>T("201 E EGLIN BLVD")</f>
        <v>201 E EGLIN BLVD</v>
      </c>
      <c r="H9849" t="str">
        <f>T("BLDG 858")</f>
        <v>BLDG 858</v>
      </c>
      <c r="I9849" t="str">
        <f>T("EGLIN")</f>
        <v>EGLIN</v>
      </c>
      <c r="J9849" t="str">
        <f t="shared" si="3639"/>
        <v>FL</v>
      </c>
      <c r="K9849" t="str">
        <f>T("000000000000000000")</f>
        <v>000000000000000000</v>
      </c>
      <c r="L9849" t="str">
        <f>T("8508830358")</f>
        <v>8508830358</v>
      </c>
    </row>
    <row r="9850" spans="1:12" x14ac:dyDescent="0.35">
      <c r="A9850" t="str">
        <f t="shared" si="3634"/>
        <v>NAS PENSACOLA FL</v>
      </c>
      <c r="B9850" t="str">
        <f>T("150 HASE ROAD BLDG 1500")</f>
        <v>150 HASE ROAD BLDG 1500</v>
      </c>
      <c r="C9850" t="str">
        <f>T("")</f>
        <v/>
      </c>
      <c r="D9850" t="str">
        <f t="shared" si="3635"/>
        <v>PENSACOLA</v>
      </c>
      <c r="E9850" t="str">
        <f t="shared" si="3636"/>
        <v>FL</v>
      </c>
      <c r="F9850" t="str">
        <f t="shared" si="3637"/>
        <v>325081051</v>
      </c>
      <c r="G9850" t="str">
        <f>T("150 HASE ROAD BLDG 1500")</f>
        <v>150 HASE ROAD BLDG 1500</v>
      </c>
      <c r="H9850" t="str">
        <f>T("")</f>
        <v/>
      </c>
      <c r="I9850" t="str">
        <f t="shared" ref="I9850:I9865" si="3641">T("PENSACOLA")</f>
        <v>PENSACOLA</v>
      </c>
      <c r="J9850" t="str">
        <f t="shared" si="3639"/>
        <v>FL</v>
      </c>
      <c r="K9850" t="str">
        <f>T("")</f>
        <v/>
      </c>
      <c r="L9850" t="str">
        <f>T("8504522653")</f>
        <v>8504522653</v>
      </c>
    </row>
    <row r="9851" spans="1:12" x14ac:dyDescent="0.35">
      <c r="A9851" t="str">
        <f t="shared" si="3634"/>
        <v>NAS PENSACOLA FL</v>
      </c>
      <c r="B9851" t="str">
        <f>T("150 HASE ROAD BLDG 1500")</f>
        <v>150 HASE ROAD BLDG 1500</v>
      </c>
      <c r="C9851" t="str">
        <f>T("")</f>
        <v/>
      </c>
      <c r="D9851" t="str">
        <f t="shared" si="3635"/>
        <v>PENSACOLA</v>
      </c>
      <c r="E9851" t="str">
        <f t="shared" si="3636"/>
        <v>FL</v>
      </c>
      <c r="F9851" t="str">
        <f t="shared" si="3637"/>
        <v>325081051</v>
      </c>
      <c r="G9851" t="str">
        <f>T("150 HASE ROAD BLDG 1500")</f>
        <v>150 HASE ROAD BLDG 1500</v>
      </c>
      <c r="H9851" t="str">
        <f>T("SUITE A ROOM 247")</f>
        <v>SUITE A ROOM 247</v>
      </c>
      <c r="I9851" t="str">
        <f t="shared" si="3641"/>
        <v>PENSACOLA</v>
      </c>
      <c r="J9851" t="str">
        <f t="shared" si="3639"/>
        <v>FL</v>
      </c>
      <c r="K9851" t="str">
        <f>T("8504529302")</f>
        <v>8504529302</v>
      </c>
      <c r="L9851" t="str">
        <f>T("8504522654")</f>
        <v>8504522654</v>
      </c>
    </row>
    <row r="9852" spans="1:12" x14ac:dyDescent="0.35">
      <c r="A9852" t="str">
        <f t="shared" si="3634"/>
        <v>NAS PENSACOLA FL</v>
      </c>
      <c r="B9852" t="str">
        <f>T("1581 DUNCAN ROAD")</f>
        <v>1581 DUNCAN ROAD</v>
      </c>
      <c r="C9852" t="str">
        <f>T("")</f>
        <v/>
      </c>
      <c r="D9852" t="str">
        <f t="shared" si="3635"/>
        <v>PENSACOLA</v>
      </c>
      <c r="E9852" t="str">
        <f t="shared" si="3636"/>
        <v>FL</v>
      </c>
      <c r="F9852" t="str">
        <f>T("325085312")</f>
        <v>325085312</v>
      </c>
      <c r="G9852" t="str">
        <f>T("150 HASE ROAD BLDG 1500")</f>
        <v>150 HASE ROAD BLDG 1500</v>
      </c>
      <c r="H9852" t="str">
        <f>T("SUITE A ROOM 247")</f>
        <v>SUITE A ROOM 247</v>
      </c>
      <c r="I9852" t="str">
        <f t="shared" si="3641"/>
        <v>PENSACOLA</v>
      </c>
      <c r="J9852" t="str">
        <f t="shared" si="3639"/>
        <v>FL</v>
      </c>
      <c r="K9852" t="str">
        <f>T("000000000000000000")</f>
        <v>000000000000000000</v>
      </c>
      <c r="L9852" t="str">
        <f>T("8504525861")</f>
        <v>8504525861</v>
      </c>
    </row>
    <row r="9853" spans="1:12" x14ac:dyDescent="0.35">
      <c r="A9853" t="str">
        <f t="shared" si="3634"/>
        <v>NAS PENSACOLA FL</v>
      </c>
      <c r="B9853" t="str">
        <f>T("1581 DUNCAN ROAD")</f>
        <v>1581 DUNCAN ROAD</v>
      </c>
      <c r="C9853" t="str">
        <f>T("")</f>
        <v/>
      </c>
      <c r="D9853" t="str">
        <f t="shared" si="3635"/>
        <v>PENSACOLA</v>
      </c>
      <c r="E9853" t="str">
        <f t="shared" si="3636"/>
        <v>FL</v>
      </c>
      <c r="F9853" t="str">
        <f>T("325085312")</f>
        <v>325085312</v>
      </c>
      <c r="G9853" t="str">
        <f>T("1581 DUNCAN ROAD")</f>
        <v>1581 DUNCAN ROAD</v>
      </c>
      <c r="H9853" t="str">
        <f>T("")</f>
        <v/>
      </c>
      <c r="I9853" t="str">
        <f t="shared" si="3641"/>
        <v>PENSACOLA</v>
      </c>
      <c r="J9853" t="str">
        <f t="shared" si="3639"/>
        <v>FL</v>
      </c>
      <c r="K9853" t="str">
        <f>T("8504529302")</f>
        <v>8504529302</v>
      </c>
      <c r="L9853" t="str">
        <f>T("8504525111")</f>
        <v>8504525111</v>
      </c>
    </row>
    <row r="9854" spans="1:12" x14ac:dyDescent="0.35">
      <c r="A9854" t="str">
        <f t="shared" si="3634"/>
        <v>NAS PENSACOLA FL</v>
      </c>
      <c r="B9854" t="str">
        <f t="shared" ref="B9854:B9868" si="3642">T("190 RADFORD BLVD")</f>
        <v>190 RADFORD BLVD</v>
      </c>
      <c r="C9854" t="str">
        <f t="shared" ref="C9854:C9866" si="3643">T("RM 160")</f>
        <v>RM 160</v>
      </c>
      <c r="D9854" t="str">
        <f t="shared" si="3635"/>
        <v>PENSACOLA</v>
      </c>
      <c r="E9854" t="str">
        <f t="shared" si="3636"/>
        <v>FL</v>
      </c>
      <c r="F9854" t="str">
        <f t="shared" ref="F9854:F9871" si="3644">T("325085215")</f>
        <v>325085215</v>
      </c>
      <c r="G9854" t="str">
        <f>T("150 HASE RD BLDG 1500")</f>
        <v>150 HASE RD BLDG 1500</v>
      </c>
      <c r="H9854" t="str">
        <f>T("SUITE A ROOM 247")</f>
        <v>SUITE A ROOM 247</v>
      </c>
      <c r="I9854" t="str">
        <f t="shared" si="3641"/>
        <v>PENSACOLA</v>
      </c>
      <c r="J9854" t="str">
        <f t="shared" si="3639"/>
        <v>FL</v>
      </c>
      <c r="K9854" t="str">
        <f>T("000000000000000000")</f>
        <v>000000000000000000</v>
      </c>
      <c r="L9854" t="str">
        <f>T("8504522672")</f>
        <v>8504522672</v>
      </c>
    </row>
    <row r="9855" spans="1:12" x14ac:dyDescent="0.35">
      <c r="A9855" t="str">
        <f t="shared" si="3634"/>
        <v>NAS PENSACOLA FL</v>
      </c>
      <c r="B9855" t="str">
        <f t="shared" si="3642"/>
        <v>190 RADFORD BLVD</v>
      </c>
      <c r="C9855" t="str">
        <f t="shared" si="3643"/>
        <v>RM 160</v>
      </c>
      <c r="D9855" t="str">
        <f t="shared" si="3635"/>
        <v>PENSACOLA</v>
      </c>
      <c r="E9855" t="str">
        <f t="shared" si="3636"/>
        <v>FL</v>
      </c>
      <c r="F9855" t="str">
        <f t="shared" si="3644"/>
        <v>325085215</v>
      </c>
      <c r="G9855" t="str">
        <f>T("150 HASE ROAD BLDG 1500")</f>
        <v>150 HASE ROAD BLDG 1500</v>
      </c>
      <c r="H9855" t="str">
        <f>T("SUITE A ROOM 247")</f>
        <v>SUITE A ROOM 247</v>
      </c>
      <c r="I9855" t="str">
        <f t="shared" si="3641"/>
        <v>PENSACOLA</v>
      </c>
      <c r="J9855" t="str">
        <f t="shared" si="3639"/>
        <v>FL</v>
      </c>
      <c r="K9855" t="str">
        <f>T("850-452-3699")</f>
        <v>850-452-3699</v>
      </c>
      <c r="L9855" t="str">
        <f>T("1111111111")</f>
        <v>1111111111</v>
      </c>
    </row>
    <row r="9856" spans="1:12" x14ac:dyDescent="0.35">
      <c r="A9856" t="str">
        <f t="shared" si="3634"/>
        <v>NAS PENSACOLA FL</v>
      </c>
      <c r="B9856" t="str">
        <f t="shared" si="3642"/>
        <v>190 RADFORD BLVD</v>
      </c>
      <c r="C9856" t="str">
        <f t="shared" si="3643"/>
        <v>RM 160</v>
      </c>
      <c r="D9856" t="str">
        <f t="shared" si="3635"/>
        <v>PENSACOLA</v>
      </c>
      <c r="E9856" t="str">
        <f t="shared" si="3636"/>
        <v>FL</v>
      </c>
      <c r="F9856" t="str">
        <f t="shared" si="3644"/>
        <v>325085215</v>
      </c>
      <c r="G9856" t="str">
        <f>T("150 HASE ROAD SUITE A")</f>
        <v>150 HASE ROAD SUITE A</v>
      </c>
      <c r="H9856" t="str">
        <f>T("BLDG 1500")</f>
        <v>BLDG 1500</v>
      </c>
      <c r="I9856" t="str">
        <f t="shared" si="3641"/>
        <v>PENSACOLA</v>
      </c>
      <c r="J9856" t="str">
        <f t="shared" si="3639"/>
        <v>FL</v>
      </c>
      <c r="K9856" t="str">
        <f>T("000000000000000000")</f>
        <v>000000000000000000</v>
      </c>
      <c r="L9856" t="str">
        <f>T("8504527956")</f>
        <v>8504527956</v>
      </c>
    </row>
    <row r="9857" spans="1:12" x14ac:dyDescent="0.35">
      <c r="A9857" t="str">
        <f t="shared" si="3634"/>
        <v>NAS PENSACOLA FL</v>
      </c>
      <c r="B9857" t="str">
        <f t="shared" si="3642"/>
        <v>190 RADFORD BLVD</v>
      </c>
      <c r="C9857" t="str">
        <f t="shared" si="3643"/>
        <v>RM 160</v>
      </c>
      <c r="D9857" t="str">
        <f t="shared" si="3635"/>
        <v>PENSACOLA</v>
      </c>
      <c r="E9857" t="str">
        <f t="shared" si="3636"/>
        <v>FL</v>
      </c>
      <c r="F9857" t="str">
        <f t="shared" si="3644"/>
        <v>325085215</v>
      </c>
      <c r="G9857" t="str">
        <f>T("151 ELLYSON AVE")</f>
        <v>151 ELLYSON AVE</v>
      </c>
      <c r="H9857" t="str">
        <f>T("BLDG 625")</f>
        <v>BLDG 625</v>
      </c>
      <c r="I9857" t="str">
        <f t="shared" si="3641"/>
        <v>PENSACOLA</v>
      </c>
      <c r="J9857" t="str">
        <f t="shared" si="3639"/>
        <v>FL</v>
      </c>
      <c r="K9857" t="str">
        <f>T("000000000000000000")</f>
        <v>000000000000000000</v>
      </c>
      <c r="L9857" t="str">
        <f>T("8504527780")</f>
        <v>8504527780</v>
      </c>
    </row>
    <row r="9858" spans="1:12" x14ac:dyDescent="0.35">
      <c r="A9858" t="str">
        <f t="shared" si="3634"/>
        <v>NAS PENSACOLA FL</v>
      </c>
      <c r="B9858" t="str">
        <f t="shared" si="3642"/>
        <v>190 RADFORD BLVD</v>
      </c>
      <c r="C9858" t="str">
        <f t="shared" si="3643"/>
        <v>RM 160</v>
      </c>
      <c r="D9858" t="str">
        <f t="shared" si="3635"/>
        <v>PENSACOLA</v>
      </c>
      <c r="E9858" t="str">
        <f t="shared" si="3636"/>
        <v>FL</v>
      </c>
      <c r="F9858" t="str">
        <f t="shared" si="3644"/>
        <v>325085215</v>
      </c>
      <c r="G9858" t="str">
        <f t="shared" ref="G9858:G9863" si="3645">T("190 RADFORD BLVD")</f>
        <v>190 RADFORD BLVD</v>
      </c>
      <c r="H9858" t="str">
        <f t="shared" ref="H9858:H9863" si="3646">T("RM 160")</f>
        <v>RM 160</v>
      </c>
      <c r="I9858" t="str">
        <f t="shared" si="3641"/>
        <v>PENSACOLA</v>
      </c>
      <c r="J9858" t="str">
        <f t="shared" si="3639"/>
        <v>FL</v>
      </c>
      <c r="K9858" t="str">
        <f>T("8504522253")</f>
        <v>8504522253</v>
      </c>
      <c r="L9858" t="str">
        <f>T("8504522672")</f>
        <v>8504522672</v>
      </c>
    </row>
    <row r="9859" spans="1:12" x14ac:dyDescent="0.35">
      <c r="A9859" t="str">
        <f t="shared" si="3634"/>
        <v>NAS PENSACOLA FL</v>
      </c>
      <c r="B9859" t="str">
        <f t="shared" si="3642"/>
        <v>190 RADFORD BLVD</v>
      </c>
      <c r="C9859" t="str">
        <f t="shared" si="3643"/>
        <v>RM 160</v>
      </c>
      <c r="D9859" t="str">
        <f t="shared" si="3635"/>
        <v>PENSACOLA</v>
      </c>
      <c r="E9859" t="str">
        <f t="shared" si="3636"/>
        <v>FL</v>
      </c>
      <c r="F9859" t="str">
        <f t="shared" si="3644"/>
        <v>325085215</v>
      </c>
      <c r="G9859" t="str">
        <f t="shared" si="3645"/>
        <v>190 RADFORD BLVD</v>
      </c>
      <c r="H9859" t="str">
        <f t="shared" si="3646"/>
        <v>RM 160</v>
      </c>
      <c r="I9859" t="str">
        <f t="shared" si="3641"/>
        <v>PENSACOLA</v>
      </c>
      <c r="J9859" t="str">
        <f t="shared" si="3639"/>
        <v>FL</v>
      </c>
      <c r="K9859" t="str">
        <f>T("8504522867")</f>
        <v>8504522867</v>
      </c>
      <c r="L9859" t="str">
        <f>T("1111111111")</f>
        <v>1111111111</v>
      </c>
    </row>
    <row r="9860" spans="1:12" x14ac:dyDescent="0.35">
      <c r="A9860" t="str">
        <f t="shared" si="3634"/>
        <v>NAS PENSACOLA FL</v>
      </c>
      <c r="B9860" t="str">
        <f t="shared" si="3642"/>
        <v>190 RADFORD BLVD</v>
      </c>
      <c r="C9860" t="str">
        <f t="shared" si="3643"/>
        <v>RM 160</v>
      </c>
      <c r="D9860" t="str">
        <f t="shared" si="3635"/>
        <v>PENSACOLA</v>
      </c>
      <c r="E9860" t="str">
        <f t="shared" si="3636"/>
        <v>FL</v>
      </c>
      <c r="F9860" t="str">
        <f t="shared" si="3644"/>
        <v>325085215</v>
      </c>
      <c r="G9860" t="str">
        <f t="shared" si="3645"/>
        <v>190 RADFORD BLVD</v>
      </c>
      <c r="H9860" t="str">
        <f t="shared" si="3646"/>
        <v>RM 160</v>
      </c>
      <c r="I9860" t="str">
        <f t="shared" si="3641"/>
        <v>PENSACOLA</v>
      </c>
      <c r="J9860" t="str">
        <f t="shared" si="3639"/>
        <v>FL</v>
      </c>
      <c r="K9860" t="str">
        <f>T("8504529302")</f>
        <v>8504529302</v>
      </c>
      <c r="L9860" t="str">
        <f>T("1111111111")</f>
        <v>1111111111</v>
      </c>
    </row>
    <row r="9861" spans="1:12" x14ac:dyDescent="0.35">
      <c r="A9861" t="str">
        <f t="shared" si="3634"/>
        <v>NAS PENSACOLA FL</v>
      </c>
      <c r="B9861" t="str">
        <f t="shared" si="3642"/>
        <v>190 RADFORD BLVD</v>
      </c>
      <c r="C9861" t="str">
        <f t="shared" si="3643"/>
        <v>RM 160</v>
      </c>
      <c r="D9861" t="str">
        <f t="shared" si="3635"/>
        <v>PENSACOLA</v>
      </c>
      <c r="E9861" t="str">
        <f t="shared" si="3636"/>
        <v>FL</v>
      </c>
      <c r="F9861" t="str">
        <f t="shared" si="3644"/>
        <v>325085215</v>
      </c>
      <c r="G9861" t="str">
        <f t="shared" si="3645"/>
        <v>190 RADFORD BLVD</v>
      </c>
      <c r="H9861" t="str">
        <f t="shared" si="3646"/>
        <v>RM 160</v>
      </c>
      <c r="I9861" t="str">
        <f t="shared" si="3641"/>
        <v>PENSACOLA</v>
      </c>
      <c r="J9861" t="str">
        <f t="shared" si="3639"/>
        <v>FL</v>
      </c>
      <c r="K9861" t="str">
        <f>T("8504529302")</f>
        <v>8504529302</v>
      </c>
      <c r="L9861" t="str">
        <f>T("8504523312")</f>
        <v>8504523312</v>
      </c>
    </row>
    <row r="9862" spans="1:12" x14ac:dyDescent="0.35">
      <c r="A9862" t="str">
        <f t="shared" si="3634"/>
        <v>NAS PENSACOLA FL</v>
      </c>
      <c r="B9862" t="str">
        <f t="shared" si="3642"/>
        <v>190 RADFORD BLVD</v>
      </c>
      <c r="C9862" t="str">
        <f t="shared" si="3643"/>
        <v>RM 160</v>
      </c>
      <c r="D9862" t="str">
        <f t="shared" si="3635"/>
        <v>PENSACOLA</v>
      </c>
      <c r="E9862" t="str">
        <f t="shared" si="3636"/>
        <v>FL</v>
      </c>
      <c r="F9862" t="str">
        <f t="shared" si="3644"/>
        <v>325085215</v>
      </c>
      <c r="G9862" t="str">
        <f t="shared" si="3645"/>
        <v>190 RADFORD BLVD</v>
      </c>
      <c r="H9862" t="str">
        <f t="shared" si="3646"/>
        <v>RM 160</v>
      </c>
      <c r="I9862" t="str">
        <f t="shared" si="3641"/>
        <v>PENSACOLA</v>
      </c>
      <c r="J9862" t="str">
        <f t="shared" si="3639"/>
        <v>FL</v>
      </c>
      <c r="K9862" t="str">
        <f>T("8504529302")</f>
        <v>8504529302</v>
      </c>
      <c r="L9862" t="str">
        <f>T("8504527050")</f>
        <v>8504527050</v>
      </c>
    </row>
    <row r="9863" spans="1:12" x14ac:dyDescent="0.35">
      <c r="A9863" t="str">
        <f t="shared" si="3634"/>
        <v>NAS PENSACOLA FL</v>
      </c>
      <c r="B9863" t="str">
        <f t="shared" si="3642"/>
        <v>190 RADFORD BLVD</v>
      </c>
      <c r="C9863" t="str">
        <f t="shared" si="3643"/>
        <v>RM 160</v>
      </c>
      <c r="D9863" t="str">
        <f t="shared" si="3635"/>
        <v>PENSACOLA</v>
      </c>
      <c r="E9863" t="str">
        <f t="shared" si="3636"/>
        <v>FL</v>
      </c>
      <c r="F9863" t="str">
        <f t="shared" si="3644"/>
        <v>325085215</v>
      </c>
      <c r="G9863" t="str">
        <f t="shared" si="3645"/>
        <v>190 RADFORD BLVD</v>
      </c>
      <c r="H9863" t="str">
        <f t="shared" si="3646"/>
        <v>RM 160</v>
      </c>
      <c r="I9863" t="str">
        <f t="shared" si="3641"/>
        <v>PENSACOLA</v>
      </c>
      <c r="J9863" t="str">
        <f t="shared" si="3639"/>
        <v>FL</v>
      </c>
      <c r="K9863" t="str">
        <f>T("8504529302")</f>
        <v>8504529302</v>
      </c>
      <c r="L9863" t="str">
        <f>T("8504529441")</f>
        <v>8504529441</v>
      </c>
    </row>
    <row r="9864" spans="1:12" x14ac:dyDescent="0.35">
      <c r="A9864" t="str">
        <f t="shared" si="3634"/>
        <v>NAS PENSACOLA FL</v>
      </c>
      <c r="B9864" t="str">
        <f t="shared" si="3642"/>
        <v>190 RADFORD BLVD</v>
      </c>
      <c r="C9864" t="str">
        <f t="shared" si="3643"/>
        <v>RM 160</v>
      </c>
      <c r="D9864" t="str">
        <f t="shared" si="3635"/>
        <v>PENSACOLA</v>
      </c>
      <c r="E9864" t="str">
        <f t="shared" si="3636"/>
        <v>FL</v>
      </c>
      <c r="F9864" t="str">
        <f t="shared" si="3644"/>
        <v>325085215</v>
      </c>
      <c r="G9864" t="str">
        <f>T("190 RADFORD RD")</f>
        <v>190 RADFORD RD</v>
      </c>
      <c r="H9864" t="str">
        <f>T("")</f>
        <v/>
      </c>
      <c r="I9864" t="str">
        <f t="shared" si="3641"/>
        <v>PENSACOLA</v>
      </c>
      <c r="J9864" t="str">
        <f t="shared" si="3639"/>
        <v>FL</v>
      </c>
      <c r="K9864" t="str">
        <f>T("000000000000000000")</f>
        <v>000000000000000000</v>
      </c>
      <c r="L9864" t="str">
        <f>T("8504526464")</f>
        <v>8504526464</v>
      </c>
    </row>
    <row r="9865" spans="1:12" x14ac:dyDescent="0.35">
      <c r="A9865" t="str">
        <f t="shared" si="3634"/>
        <v>NAS PENSACOLA FL</v>
      </c>
      <c r="B9865" t="str">
        <f t="shared" si="3642"/>
        <v>190 RADFORD BLVD</v>
      </c>
      <c r="C9865" t="str">
        <f t="shared" si="3643"/>
        <v>RM 160</v>
      </c>
      <c r="D9865" t="str">
        <f t="shared" si="3635"/>
        <v>PENSACOLA</v>
      </c>
      <c r="E9865" t="str">
        <f t="shared" si="3636"/>
        <v>FL</v>
      </c>
      <c r="F9865" t="str">
        <f t="shared" si="3644"/>
        <v>325085215</v>
      </c>
      <c r="G9865" t="str">
        <f>T("280 SKYHAWK DRIVE BLDG 1852")</f>
        <v>280 SKYHAWK DRIVE BLDG 1852</v>
      </c>
      <c r="H9865" t="str">
        <f>T("AIR OPS GROUND ELECTRONICS")</f>
        <v>AIR OPS GROUND ELECTRONICS</v>
      </c>
      <c r="I9865" t="str">
        <f t="shared" si="3641"/>
        <v>PENSACOLA</v>
      </c>
      <c r="J9865" t="str">
        <f t="shared" si="3639"/>
        <v>FL</v>
      </c>
      <c r="K9865" t="str">
        <f>T("8504528803")</f>
        <v>8504528803</v>
      </c>
      <c r="L9865" t="str">
        <f>T("8504528512")</f>
        <v>8504528512</v>
      </c>
    </row>
    <row r="9866" spans="1:12" x14ac:dyDescent="0.35">
      <c r="A9866" t="str">
        <f t="shared" si="3634"/>
        <v>NAS PENSACOLA FL</v>
      </c>
      <c r="B9866" t="str">
        <f t="shared" si="3642"/>
        <v>190 RADFORD BLVD</v>
      </c>
      <c r="C9866" t="str">
        <f t="shared" si="3643"/>
        <v>RM 160</v>
      </c>
      <c r="D9866" t="str">
        <f t="shared" si="3635"/>
        <v>PENSACOLA</v>
      </c>
      <c r="E9866" t="str">
        <f t="shared" si="3636"/>
        <v>FL</v>
      </c>
      <c r="F9866" t="str">
        <f t="shared" si="3644"/>
        <v>325085215</v>
      </c>
      <c r="G9866" t="str">
        <f>T("7426 USS LEXINGTON CIRCLE")</f>
        <v>7426 USS LEXINGTON CIRCLE</v>
      </c>
      <c r="H9866" t="str">
        <f>T("BLDG 2942")</f>
        <v>BLDG 2942</v>
      </c>
      <c r="I9866" t="str">
        <f>T("MILTON")</f>
        <v>MILTON</v>
      </c>
      <c r="J9866" t="str">
        <f t="shared" si="3639"/>
        <v>FL</v>
      </c>
      <c r="K9866" t="str">
        <f>T("000000000000000000")</f>
        <v>000000000000000000</v>
      </c>
      <c r="L9866" t="str">
        <f>T("1111111111")</f>
        <v>1111111111</v>
      </c>
    </row>
    <row r="9867" spans="1:12" x14ac:dyDescent="0.35">
      <c r="A9867" t="str">
        <f t="shared" si="3634"/>
        <v>NAS PENSACOLA FL</v>
      </c>
      <c r="B9867" t="str">
        <f t="shared" si="3642"/>
        <v>190 RADFORD BLVD</v>
      </c>
      <c r="C9867" t="str">
        <f>T("RM160")</f>
        <v>RM160</v>
      </c>
      <c r="D9867" t="str">
        <f t="shared" si="3635"/>
        <v>PENSACOLA</v>
      </c>
      <c r="E9867" t="str">
        <f t="shared" si="3636"/>
        <v>FL</v>
      </c>
      <c r="F9867" t="str">
        <f t="shared" si="3644"/>
        <v>325085215</v>
      </c>
      <c r="G9867" t="str">
        <f>T("150 HASE ROAD BLDG 1500")</f>
        <v>150 HASE ROAD BLDG 1500</v>
      </c>
      <c r="H9867" t="str">
        <f>T("SUITE A ROOM 247")</f>
        <v>SUITE A ROOM 247</v>
      </c>
      <c r="I9867" t="str">
        <f t="shared" ref="I9867:I9872" si="3647">T("PENSACOLA")</f>
        <v>PENSACOLA</v>
      </c>
      <c r="J9867" t="str">
        <f t="shared" si="3639"/>
        <v>FL</v>
      </c>
      <c r="K9867" t="str">
        <f>T("850-452-9302")</f>
        <v>850-452-9302</v>
      </c>
      <c r="L9867" t="str">
        <f>T("8504524371")</f>
        <v>8504524371</v>
      </c>
    </row>
    <row r="9868" spans="1:12" x14ac:dyDescent="0.35">
      <c r="A9868" t="str">
        <f t="shared" si="3634"/>
        <v>NAS PENSACOLA FL</v>
      </c>
      <c r="B9868" t="str">
        <f t="shared" si="3642"/>
        <v>190 RADFORD BLVD</v>
      </c>
      <c r="C9868" t="str">
        <f>T("RM160")</f>
        <v>RM160</v>
      </c>
      <c r="D9868" t="str">
        <f t="shared" si="3635"/>
        <v>PENSACOLA</v>
      </c>
      <c r="E9868" t="str">
        <f t="shared" si="3636"/>
        <v>FL</v>
      </c>
      <c r="F9868" t="str">
        <f t="shared" si="3644"/>
        <v>325085215</v>
      </c>
      <c r="G9868" t="str">
        <f>T("190 RADFORD BLVD")</f>
        <v>190 RADFORD BLVD</v>
      </c>
      <c r="H9868" t="str">
        <f>T("RM160")</f>
        <v>RM160</v>
      </c>
      <c r="I9868" t="str">
        <f t="shared" si="3647"/>
        <v>PENSACOLA</v>
      </c>
      <c r="J9868" t="str">
        <f t="shared" si="3639"/>
        <v>FL</v>
      </c>
      <c r="K9868" t="str">
        <f>T("")</f>
        <v/>
      </c>
      <c r="L9868" t="str">
        <f>T("1111111111")</f>
        <v>1111111111</v>
      </c>
    </row>
    <row r="9869" spans="1:12" x14ac:dyDescent="0.35">
      <c r="A9869" t="str">
        <f t="shared" si="3634"/>
        <v>NAS PENSACOLA FL</v>
      </c>
      <c r="B9869" t="str">
        <f>T("190 RADFORD BLVD RM 160")</f>
        <v>190 RADFORD BLVD RM 160</v>
      </c>
      <c r="C9869" t="str">
        <f>T("")</f>
        <v/>
      </c>
      <c r="D9869" t="str">
        <f t="shared" si="3635"/>
        <v>PENSACOLA</v>
      </c>
      <c r="E9869" t="str">
        <f t="shared" si="3636"/>
        <v>FL</v>
      </c>
      <c r="F9869" t="str">
        <f t="shared" si="3644"/>
        <v>325085215</v>
      </c>
      <c r="G9869" t="str">
        <f>T("150 HASE ROAD BLDG 1500")</f>
        <v>150 HASE ROAD BLDG 1500</v>
      </c>
      <c r="H9869" t="str">
        <f>T("SUITE A ROOM 247")</f>
        <v>SUITE A ROOM 247</v>
      </c>
      <c r="I9869" t="str">
        <f t="shared" si="3647"/>
        <v>PENSACOLA</v>
      </c>
      <c r="J9869" t="str">
        <f t="shared" si="3639"/>
        <v>FL</v>
      </c>
      <c r="K9869" t="str">
        <f>T("000000000000000000")</f>
        <v>000000000000000000</v>
      </c>
      <c r="L9869" t="str">
        <f>T("8504523131")</f>
        <v>8504523131</v>
      </c>
    </row>
    <row r="9870" spans="1:12" x14ac:dyDescent="0.35">
      <c r="A9870" t="str">
        <f t="shared" si="3634"/>
        <v>NAS PENSACOLA FL</v>
      </c>
      <c r="B9870" t="str">
        <f>T("190 RADFORD BLVD RM 160")</f>
        <v>190 RADFORD BLVD RM 160</v>
      </c>
      <c r="C9870" t="str">
        <f>T("")</f>
        <v/>
      </c>
      <c r="D9870" t="str">
        <f t="shared" si="3635"/>
        <v>PENSACOLA</v>
      </c>
      <c r="E9870" t="str">
        <f t="shared" si="3636"/>
        <v>FL</v>
      </c>
      <c r="F9870" t="str">
        <f t="shared" si="3644"/>
        <v>325085215</v>
      </c>
      <c r="G9870" t="str">
        <f>T("190 RADFORD BLVD RM 160")</f>
        <v>190 RADFORD BLVD RM 160</v>
      </c>
      <c r="H9870" t="str">
        <f>T("")</f>
        <v/>
      </c>
      <c r="I9870" t="str">
        <f t="shared" si="3647"/>
        <v>PENSACOLA</v>
      </c>
      <c r="J9870" t="str">
        <f t="shared" si="3639"/>
        <v>FL</v>
      </c>
      <c r="K9870" t="str">
        <f>T("8504529302")</f>
        <v>8504529302</v>
      </c>
      <c r="L9870" t="str">
        <f>T("1111111111")</f>
        <v>1111111111</v>
      </c>
    </row>
    <row r="9871" spans="1:12" x14ac:dyDescent="0.35">
      <c r="A9871" t="str">
        <f t="shared" si="3634"/>
        <v>NAS PENSACOLA FL</v>
      </c>
      <c r="B9871" t="str">
        <f>T("190 RADFORD BLVD RM 160")</f>
        <v>190 RADFORD BLVD RM 160</v>
      </c>
      <c r="C9871" t="str">
        <f>T("")</f>
        <v/>
      </c>
      <c r="D9871" t="str">
        <f t="shared" si="3635"/>
        <v>PENSACOLA</v>
      </c>
      <c r="E9871" t="str">
        <f t="shared" si="3636"/>
        <v>FL</v>
      </c>
      <c r="F9871" t="str">
        <f t="shared" si="3644"/>
        <v>325085215</v>
      </c>
      <c r="G9871" t="str">
        <f>T("PUBLIC WORKS DEPT")</f>
        <v>PUBLIC WORKS DEPT</v>
      </c>
      <c r="H9871" t="str">
        <f>T("310 JOHN TOWERS RD")</f>
        <v>310 JOHN TOWERS RD</v>
      </c>
      <c r="I9871" t="str">
        <f t="shared" si="3647"/>
        <v>PENSACOLA</v>
      </c>
      <c r="J9871" t="str">
        <f t="shared" si="3639"/>
        <v>FL</v>
      </c>
      <c r="K9871" t="str">
        <f>T("8504523131 3011")</f>
        <v>8504523131 3011</v>
      </c>
      <c r="L9871" t="str">
        <f>T("8504523131")</f>
        <v>8504523131</v>
      </c>
    </row>
    <row r="9872" spans="1:12" x14ac:dyDescent="0.35">
      <c r="A9872" t="str">
        <f t="shared" si="3634"/>
        <v>NAS PENSACOLA FL</v>
      </c>
      <c r="B9872" t="str">
        <f>T("211 SOUTH AVE")</f>
        <v>211 SOUTH AVE</v>
      </c>
      <c r="C9872" t="str">
        <f>T("")</f>
        <v/>
      </c>
      <c r="D9872" t="str">
        <f t="shared" si="3635"/>
        <v>PENSACOLA</v>
      </c>
      <c r="E9872" t="str">
        <f t="shared" si="3636"/>
        <v>FL</v>
      </c>
      <c r="F9872" t="str">
        <f>T("325085116")</f>
        <v>325085116</v>
      </c>
      <c r="G9872" t="str">
        <f>T("211 SOUTH AVE")</f>
        <v>211 SOUTH AVE</v>
      </c>
      <c r="H9872" t="str">
        <f>T("")</f>
        <v/>
      </c>
      <c r="I9872" t="str">
        <f t="shared" si="3647"/>
        <v>PENSACOLA</v>
      </c>
      <c r="J9872" t="str">
        <f t="shared" si="3639"/>
        <v>FL</v>
      </c>
      <c r="K9872" t="str">
        <f>T("8504529302")</f>
        <v>8504529302</v>
      </c>
      <c r="L9872" t="str">
        <f>T("8504528790")</f>
        <v>8504528790</v>
      </c>
    </row>
    <row r="9873" spans="1:12" x14ac:dyDescent="0.35">
      <c r="A9873" t="str">
        <f t="shared" si="3634"/>
        <v>NAS PENSACOLA FL</v>
      </c>
      <c r="B9873" t="str">
        <f>T("211 SOUTH AVE")</f>
        <v>211 SOUTH AVE</v>
      </c>
      <c r="C9873" t="str">
        <f>T("")</f>
        <v/>
      </c>
      <c r="D9873" t="str">
        <f t="shared" si="3635"/>
        <v>PENSACOLA</v>
      </c>
      <c r="E9873" t="str">
        <f t="shared" si="3636"/>
        <v>FL</v>
      </c>
      <c r="F9873" t="str">
        <f>T("325085116")</f>
        <v>325085116</v>
      </c>
      <c r="G9873" t="str">
        <f>T("PORT OPERATIONS")</f>
        <v>PORT OPERATIONS</v>
      </c>
      <c r="H9873" t="str">
        <f>T("211 SOUTH AVE BLDG 38")</f>
        <v>211 SOUTH AVE BLDG 38</v>
      </c>
      <c r="I9873" t="str">
        <f>T("NAS PENSACOLA")</f>
        <v>NAS PENSACOLA</v>
      </c>
      <c r="J9873" t="str">
        <f t="shared" si="3639"/>
        <v>FL</v>
      </c>
      <c r="K9873" t="str">
        <f>T("000000000000000000")</f>
        <v>000000000000000000</v>
      </c>
      <c r="L9873" t="str">
        <f>T("8504528505")</f>
        <v>8504528505</v>
      </c>
    </row>
    <row r="9874" spans="1:12" x14ac:dyDescent="0.35">
      <c r="A9874" t="str">
        <f t="shared" si="3634"/>
        <v>NAS PENSACOLA FL</v>
      </c>
      <c r="B9874" t="str">
        <f>T("250 CHAMBERS AVE")</f>
        <v>250 CHAMBERS AVE</v>
      </c>
      <c r="C9874" t="str">
        <f>T("CHAPLAIN DEPARTMENT")</f>
        <v>CHAPLAIN DEPARTMENT</v>
      </c>
      <c r="D9874" t="str">
        <f t="shared" si="3635"/>
        <v>PENSACOLA</v>
      </c>
      <c r="E9874" t="str">
        <f t="shared" si="3636"/>
        <v>FL</v>
      </c>
      <c r="F9874" t="str">
        <f>T("325085264")</f>
        <v>325085264</v>
      </c>
      <c r="G9874" t="str">
        <f>T("150 HASE ROAD BLDG 1500")</f>
        <v>150 HASE ROAD BLDG 1500</v>
      </c>
      <c r="H9874" t="str">
        <f>T("SUITE A ROOM 247")</f>
        <v>SUITE A ROOM 247</v>
      </c>
      <c r="I9874" t="str">
        <f>T("PENSACOLA")</f>
        <v>PENSACOLA</v>
      </c>
      <c r="J9874" t="str">
        <f t="shared" si="3639"/>
        <v>FL</v>
      </c>
      <c r="K9874" t="str">
        <f>T("000000000000000000")</f>
        <v>000000000000000000</v>
      </c>
      <c r="L9874" t="str">
        <f>T("8504522341")</f>
        <v>8504522341</v>
      </c>
    </row>
    <row r="9875" spans="1:12" x14ac:dyDescent="0.35">
      <c r="A9875" t="str">
        <f t="shared" si="3634"/>
        <v>NAS PENSACOLA FL</v>
      </c>
      <c r="B9875" t="str">
        <f>T("250 CHAMBERS AVE")</f>
        <v>250 CHAMBERS AVE</v>
      </c>
      <c r="C9875" t="str">
        <f>T("CHAPLAIN DEPARTMENT")</f>
        <v>CHAPLAIN DEPARTMENT</v>
      </c>
      <c r="D9875" t="str">
        <f t="shared" si="3635"/>
        <v>PENSACOLA</v>
      </c>
      <c r="E9875" t="str">
        <f t="shared" si="3636"/>
        <v>FL</v>
      </c>
      <c r="F9875" t="str">
        <f>T("325085264")</f>
        <v>325085264</v>
      </c>
      <c r="G9875" t="str">
        <f>T("250 CHAMBERS AVE")</f>
        <v>250 CHAMBERS AVE</v>
      </c>
      <c r="H9875" t="str">
        <f>T("CHAPLAIN DEPARTMENT")</f>
        <v>CHAPLAIN DEPARTMENT</v>
      </c>
      <c r="I9875" t="str">
        <f>T("PENSACOLA")</f>
        <v>PENSACOLA</v>
      </c>
      <c r="J9875" t="str">
        <f t="shared" si="3639"/>
        <v>FL</v>
      </c>
      <c r="K9875" t="str">
        <f>T("")</f>
        <v/>
      </c>
      <c r="L9875" t="str">
        <f>T("8504522341")</f>
        <v>8504522341</v>
      </c>
    </row>
    <row r="9876" spans="1:12" x14ac:dyDescent="0.35">
      <c r="A9876" t="str">
        <f t="shared" ref="A9876:A9903" si="3648">T("JRB NEW ORLEANS")</f>
        <v>JRB NEW ORLEANS</v>
      </c>
      <c r="B9876" t="str">
        <f>T("1002 RUSSELL AVE")</f>
        <v>1002 RUSSELL AVE</v>
      </c>
      <c r="C9876" t="str">
        <f>T("NAS JRB NEW ORLEANS UH MANAGER")</f>
        <v>NAS JRB NEW ORLEANS UH MANAGER</v>
      </c>
      <c r="D9876" t="str">
        <f>T("BELLE CHASSE")</f>
        <v>BELLE CHASSE</v>
      </c>
      <c r="E9876" t="str">
        <f t="shared" ref="E9876:E9903" si="3649">T("LA")</f>
        <v>LA</v>
      </c>
      <c r="F9876" t="str">
        <f>T("700371007")</f>
        <v>700371007</v>
      </c>
      <c r="G9876" t="str">
        <f>T("1002 RUSSELL AVE")</f>
        <v>1002 RUSSELL AVE</v>
      </c>
      <c r="H9876" t="str">
        <f>T("BLDG 562")</f>
        <v>BLDG 562</v>
      </c>
      <c r="I9876" t="str">
        <f>T("BELLE CHASSE")</f>
        <v>BELLE CHASSE</v>
      </c>
      <c r="J9876" t="str">
        <f t="shared" ref="J9876:J9903" si="3650">T("LA")</f>
        <v>LA</v>
      </c>
      <c r="K9876" t="str">
        <f>T("000000000000000000")</f>
        <v>000000000000000000</v>
      </c>
      <c r="L9876" t="str">
        <f>T("5046783930")</f>
        <v>5046783930</v>
      </c>
    </row>
    <row r="9877" spans="1:12" x14ac:dyDescent="0.35">
      <c r="A9877" t="str">
        <f t="shared" si="3648"/>
        <v>JRB NEW ORLEANS</v>
      </c>
      <c r="B9877" t="str">
        <f>T("1002 RUSSELL AVE")</f>
        <v>1002 RUSSELL AVE</v>
      </c>
      <c r="C9877" t="str">
        <f>T("NAS JRB NEW ORLEANS UH MANAGER")</f>
        <v>NAS JRB NEW ORLEANS UH MANAGER</v>
      </c>
      <c r="D9877" t="str">
        <f>T("BELLE CHASSE")</f>
        <v>BELLE CHASSE</v>
      </c>
      <c r="E9877" t="str">
        <f t="shared" si="3649"/>
        <v>LA</v>
      </c>
      <c r="F9877" t="str">
        <f>T("700371007")</f>
        <v>700371007</v>
      </c>
      <c r="G9877" t="str">
        <f>T("1002 RUSSELL AVE")</f>
        <v>1002 RUSSELL AVE</v>
      </c>
      <c r="H9877" t="str">
        <f>T("NAS JRB NEW ORLEANS UH MANAGER")</f>
        <v>NAS JRB NEW ORLEANS UH MANAGER</v>
      </c>
      <c r="I9877" t="str">
        <f>T("BELLE CHASSE")</f>
        <v>BELLE CHASSE</v>
      </c>
      <c r="J9877" t="str">
        <f t="shared" si="3650"/>
        <v>LA</v>
      </c>
      <c r="K9877" t="str">
        <f>T("")</f>
        <v/>
      </c>
      <c r="L9877" t="str">
        <f>T("5046787054")</f>
        <v>5046787054</v>
      </c>
    </row>
    <row r="9878" spans="1:12" x14ac:dyDescent="0.35">
      <c r="A9878" t="str">
        <f t="shared" si="3648"/>
        <v>JRB NEW ORLEANS</v>
      </c>
      <c r="B9878" t="str">
        <f>T("1100 RUSSELL AVE")</f>
        <v>1100 RUSSELL AVE</v>
      </c>
      <c r="C9878" t="str">
        <f>T("")</f>
        <v/>
      </c>
      <c r="D9878" t="str">
        <f t="shared" ref="D9878:D9903" si="3651">T("NEW ORLEANS")</f>
        <v>NEW ORLEANS</v>
      </c>
      <c r="E9878" t="str">
        <f t="shared" si="3649"/>
        <v>LA</v>
      </c>
      <c r="F9878" t="str">
        <f>T("701430001")</f>
        <v>701430001</v>
      </c>
      <c r="G9878" t="str">
        <f>T("1100 RUSSELL AVE")</f>
        <v>1100 RUSSELL AVE</v>
      </c>
      <c r="H9878" t="str">
        <f>T("")</f>
        <v/>
      </c>
      <c r="I9878" t="str">
        <f>T("NEW ORLEANS")</f>
        <v>NEW ORLEANS</v>
      </c>
      <c r="J9878" t="str">
        <f t="shared" si="3650"/>
        <v>LA</v>
      </c>
      <c r="K9878" t="str">
        <f>T("000000000000000000")</f>
        <v>000000000000000000</v>
      </c>
      <c r="L9878" t="str">
        <f>T("5046784522")</f>
        <v>5046784522</v>
      </c>
    </row>
    <row r="9879" spans="1:12" x14ac:dyDescent="0.35">
      <c r="A9879" t="str">
        <f t="shared" si="3648"/>
        <v>JRB NEW ORLEANS</v>
      </c>
      <c r="B9879" t="str">
        <f>T("1100 RUSSELL AVE")</f>
        <v>1100 RUSSELL AVE</v>
      </c>
      <c r="C9879" t="str">
        <f>T("")</f>
        <v/>
      </c>
      <c r="D9879" t="str">
        <f t="shared" si="3651"/>
        <v>NEW ORLEANS</v>
      </c>
      <c r="E9879" t="str">
        <f t="shared" si="3649"/>
        <v>LA</v>
      </c>
      <c r="F9879" t="str">
        <f>T("701430001")</f>
        <v>701430001</v>
      </c>
      <c r="G9879" t="str">
        <f>T("400 RUSSELL AVE")</f>
        <v>400 RUSSELL AVE</v>
      </c>
      <c r="H9879" t="str">
        <f>T("BLDG 403")</f>
        <v>BLDG 403</v>
      </c>
      <c r="I9879" t="str">
        <f>T("BELLE CHASSE")</f>
        <v>BELLE CHASSE</v>
      </c>
      <c r="J9879" t="str">
        <f t="shared" si="3650"/>
        <v>LA</v>
      </c>
      <c r="K9879" t="str">
        <f>T("000000000000000000")</f>
        <v>000000000000000000</v>
      </c>
      <c r="L9879" t="str">
        <f>T("5046783525")</f>
        <v>5046783525</v>
      </c>
    </row>
    <row r="9880" spans="1:12" x14ac:dyDescent="0.35">
      <c r="A9880" t="str">
        <f t="shared" si="3648"/>
        <v>JRB NEW ORLEANS</v>
      </c>
      <c r="B9880" t="str">
        <f t="shared" ref="B9880:B9891" si="3652">T("400 RUSSELL AVE")</f>
        <v>400 RUSSELL AVE</v>
      </c>
      <c r="C9880" t="str">
        <f>T("")</f>
        <v/>
      </c>
      <c r="D9880" t="str">
        <f t="shared" si="3651"/>
        <v>NEW ORLEANS</v>
      </c>
      <c r="E9880" t="str">
        <f t="shared" si="3649"/>
        <v>LA</v>
      </c>
      <c r="F9880" t="str">
        <f t="shared" ref="F9880:F9903" si="3653">T("701435077")</f>
        <v>701435077</v>
      </c>
      <c r="G9880" t="str">
        <f>T("400 RUSSEL AVE")</f>
        <v>400 RUSSEL AVE</v>
      </c>
      <c r="H9880" t="str">
        <f>T("BLDG 552")</f>
        <v>BLDG 552</v>
      </c>
      <c r="I9880" t="str">
        <f t="shared" ref="I9880:I9891" si="3654">T("NEW ORLEANS")</f>
        <v>NEW ORLEANS</v>
      </c>
      <c r="J9880" t="str">
        <f t="shared" si="3650"/>
        <v>LA</v>
      </c>
      <c r="K9880" t="str">
        <f>T("000000000000000000")</f>
        <v>000000000000000000</v>
      </c>
      <c r="L9880" t="str">
        <f>T("5046784681")</f>
        <v>5046784681</v>
      </c>
    </row>
    <row r="9881" spans="1:12" x14ac:dyDescent="0.35">
      <c r="A9881" t="str">
        <f t="shared" si="3648"/>
        <v>JRB NEW ORLEANS</v>
      </c>
      <c r="B9881" t="str">
        <f t="shared" si="3652"/>
        <v>400 RUSSELL AVE</v>
      </c>
      <c r="C9881" t="str">
        <f>T("")</f>
        <v/>
      </c>
      <c r="D9881" t="str">
        <f t="shared" si="3651"/>
        <v>NEW ORLEANS</v>
      </c>
      <c r="E9881" t="str">
        <f t="shared" si="3649"/>
        <v>LA</v>
      </c>
      <c r="F9881" t="str">
        <f t="shared" si="3653"/>
        <v>701435077</v>
      </c>
      <c r="G9881" t="str">
        <f>T("400 RUSSELL AVE")</f>
        <v>400 RUSSELL AVE</v>
      </c>
      <c r="H9881" t="str">
        <f>T("")</f>
        <v/>
      </c>
      <c r="I9881" t="str">
        <f t="shared" si="3654"/>
        <v>NEW ORLEANS</v>
      </c>
      <c r="J9881" t="str">
        <f t="shared" si="3650"/>
        <v>LA</v>
      </c>
      <c r="K9881" t="str">
        <f>T("000000000000000000")</f>
        <v>000000000000000000</v>
      </c>
      <c r="L9881" t="str">
        <f>T("5046789074")</f>
        <v>5046789074</v>
      </c>
    </row>
    <row r="9882" spans="1:12" x14ac:dyDescent="0.35">
      <c r="A9882" t="str">
        <f t="shared" si="3648"/>
        <v>JRB NEW ORLEANS</v>
      </c>
      <c r="B9882" t="str">
        <f t="shared" si="3652"/>
        <v>400 RUSSELL AVE</v>
      </c>
      <c r="C9882" t="str">
        <f>T("")</f>
        <v/>
      </c>
      <c r="D9882" t="str">
        <f t="shared" si="3651"/>
        <v>NEW ORLEANS</v>
      </c>
      <c r="E9882" t="str">
        <f t="shared" si="3649"/>
        <v>LA</v>
      </c>
      <c r="F9882" t="str">
        <f t="shared" si="3653"/>
        <v>701435077</v>
      </c>
      <c r="G9882" t="str">
        <f>T("PUBLIC WORKS")</f>
        <v>PUBLIC WORKS</v>
      </c>
      <c r="H9882" t="str">
        <f>T("RINARD ROAD BLDG 552")</f>
        <v>RINARD ROAD BLDG 552</v>
      </c>
      <c r="I9882" t="str">
        <f t="shared" si="3654"/>
        <v>NEW ORLEANS</v>
      </c>
      <c r="J9882" t="str">
        <f t="shared" si="3650"/>
        <v>LA</v>
      </c>
      <c r="K9882" t="str">
        <f>T("000000000000000000")</f>
        <v>000000000000000000</v>
      </c>
      <c r="L9882" t="str">
        <f>T("5046789079")</f>
        <v>5046789079</v>
      </c>
    </row>
    <row r="9883" spans="1:12" x14ac:dyDescent="0.35">
      <c r="A9883" t="str">
        <f t="shared" si="3648"/>
        <v>JRB NEW ORLEANS</v>
      </c>
      <c r="B9883" t="str">
        <f t="shared" si="3652"/>
        <v>400 RUSSELL AVE</v>
      </c>
      <c r="C9883" t="str">
        <f>T("BLDG 1 GRND ELEC")</f>
        <v>BLDG 1 GRND ELEC</v>
      </c>
      <c r="D9883" t="str">
        <f t="shared" si="3651"/>
        <v>NEW ORLEANS</v>
      </c>
      <c r="E9883" t="str">
        <f t="shared" si="3649"/>
        <v>LA</v>
      </c>
      <c r="F9883" t="str">
        <f t="shared" si="3653"/>
        <v>701435077</v>
      </c>
      <c r="G9883" t="str">
        <f>T("400 RUSSELL AVE")</f>
        <v>400 RUSSELL AVE</v>
      </c>
      <c r="H9883" t="str">
        <f>T("BLDG 1 GRND ELEC")</f>
        <v>BLDG 1 GRND ELEC</v>
      </c>
      <c r="I9883" t="str">
        <f t="shared" si="3654"/>
        <v>NEW ORLEANS</v>
      </c>
      <c r="J9883" t="str">
        <f t="shared" si="3650"/>
        <v>LA</v>
      </c>
      <c r="K9883" t="str">
        <f>T("")</f>
        <v/>
      </c>
      <c r="L9883" t="str">
        <f>T("5046789813")</f>
        <v>5046789813</v>
      </c>
    </row>
    <row r="9884" spans="1:12" x14ac:dyDescent="0.35">
      <c r="A9884" t="str">
        <f t="shared" si="3648"/>
        <v>JRB NEW ORLEANS</v>
      </c>
      <c r="B9884" t="str">
        <f t="shared" si="3652"/>
        <v>400 RUSSELL AVE</v>
      </c>
      <c r="C9884" t="str">
        <f>T("BLDG 1 GRND ELEC")</f>
        <v>BLDG 1 GRND ELEC</v>
      </c>
      <c r="D9884" t="str">
        <f t="shared" si="3651"/>
        <v>NEW ORLEANS</v>
      </c>
      <c r="E9884" t="str">
        <f t="shared" si="3649"/>
        <v>LA</v>
      </c>
      <c r="F9884" t="str">
        <f t="shared" si="3653"/>
        <v>701435077</v>
      </c>
      <c r="G9884" t="str">
        <f>T("400 RUSSELL AVENUE")</f>
        <v>400 RUSSELL AVENUE</v>
      </c>
      <c r="H9884" t="str">
        <f>T("OPS DEPARTMENT BLDG 46")</f>
        <v>OPS DEPARTMENT BLDG 46</v>
      </c>
      <c r="I9884" t="str">
        <f t="shared" si="3654"/>
        <v>NEW ORLEANS</v>
      </c>
      <c r="J9884" t="str">
        <f t="shared" si="3650"/>
        <v>LA</v>
      </c>
      <c r="K9884" t="str">
        <f>T("000000000000000000")</f>
        <v>000000000000000000</v>
      </c>
      <c r="L9884" t="str">
        <f>T("5046789838")</f>
        <v>5046789838</v>
      </c>
    </row>
    <row r="9885" spans="1:12" x14ac:dyDescent="0.35">
      <c r="A9885" t="str">
        <f t="shared" si="3648"/>
        <v>JRB NEW ORLEANS</v>
      </c>
      <c r="B9885" t="str">
        <f t="shared" si="3652"/>
        <v>400 RUSSELL AVE</v>
      </c>
      <c r="C9885" t="str">
        <f>T("BLDG 1 GRND ELEC")</f>
        <v>BLDG 1 GRND ELEC</v>
      </c>
      <c r="D9885" t="str">
        <f t="shared" si="3651"/>
        <v>NEW ORLEANS</v>
      </c>
      <c r="E9885" t="str">
        <f t="shared" si="3649"/>
        <v>LA</v>
      </c>
      <c r="F9885" t="str">
        <f t="shared" si="3653"/>
        <v>701435077</v>
      </c>
      <c r="G9885" t="str">
        <f>T("OPS/GEMD BLDG 1")</f>
        <v>OPS/GEMD BLDG 1</v>
      </c>
      <c r="H9885" t="str">
        <f>T("400 RUSSELL AVE")</f>
        <v>400 RUSSELL AVE</v>
      </c>
      <c r="I9885" t="str">
        <f t="shared" si="3654"/>
        <v>NEW ORLEANS</v>
      </c>
      <c r="J9885" t="str">
        <f t="shared" si="3650"/>
        <v>LA</v>
      </c>
      <c r="K9885" t="str">
        <f>T("000000000000000000")</f>
        <v>000000000000000000</v>
      </c>
      <c r="L9885" t="str">
        <f>T("5046783407")</f>
        <v>5046783407</v>
      </c>
    </row>
    <row r="9886" spans="1:12" x14ac:dyDescent="0.35">
      <c r="A9886" t="str">
        <f t="shared" si="3648"/>
        <v>JRB NEW ORLEANS</v>
      </c>
      <c r="B9886" t="str">
        <f t="shared" si="3652"/>
        <v>400 RUSSELL AVE</v>
      </c>
      <c r="C9886" t="str">
        <f>T("BLDG 191")</f>
        <v>BLDG 191</v>
      </c>
      <c r="D9886" t="str">
        <f t="shared" si="3651"/>
        <v>NEW ORLEANS</v>
      </c>
      <c r="E9886" t="str">
        <f t="shared" si="3649"/>
        <v>LA</v>
      </c>
      <c r="F9886" t="str">
        <f t="shared" si="3653"/>
        <v>701435077</v>
      </c>
      <c r="G9886" t="str">
        <f>T("400 RUSSELL AVE")</f>
        <v>400 RUSSELL AVE</v>
      </c>
      <c r="H9886" t="str">
        <f>T("BLDG 191")</f>
        <v>BLDG 191</v>
      </c>
      <c r="I9886" t="str">
        <f t="shared" si="3654"/>
        <v>NEW ORLEANS</v>
      </c>
      <c r="J9886" t="str">
        <f t="shared" si="3650"/>
        <v>LA</v>
      </c>
      <c r="K9886" t="str">
        <f>T("")</f>
        <v/>
      </c>
      <c r="L9886" t="str">
        <f>T("5046789664")</f>
        <v>5046789664</v>
      </c>
    </row>
    <row r="9887" spans="1:12" x14ac:dyDescent="0.35">
      <c r="A9887" t="str">
        <f t="shared" si="3648"/>
        <v>JRB NEW ORLEANS</v>
      </c>
      <c r="B9887" t="str">
        <f t="shared" si="3652"/>
        <v>400 RUSSELL AVE</v>
      </c>
      <c r="C9887" t="str">
        <f>T("BLDG 191")</f>
        <v>BLDG 191</v>
      </c>
      <c r="D9887" t="str">
        <f t="shared" si="3651"/>
        <v>NEW ORLEANS</v>
      </c>
      <c r="E9887" t="str">
        <f t="shared" si="3649"/>
        <v>LA</v>
      </c>
      <c r="F9887" t="str">
        <f t="shared" si="3653"/>
        <v>701435077</v>
      </c>
      <c r="G9887" t="str">
        <f>T("SAFETY DEPT")</f>
        <v>SAFETY DEPT</v>
      </c>
      <c r="H9887" t="str">
        <f>T("400 RUSSELL AVENUE BLDG 46")</f>
        <v>400 RUSSELL AVENUE BLDG 46</v>
      </c>
      <c r="I9887" t="str">
        <f t="shared" si="3654"/>
        <v>NEW ORLEANS</v>
      </c>
      <c r="J9887" t="str">
        <f t="shared" si="3650"/>
        <v>LA</v>
      </c>
      <c r="K9887" t="str">
        <f>T("000000000000000000")</f>
        <v>000000000000000000</v>
      </c>
      <c r="L9887" t="str">
        <f>T("5046783331")</f>
        <v>5046783331</v>
      </c>
    </row>
    <row r="9888" spans="1:12" x14ac:dyDescent="0.35">
      <c r="A9888" t="str">
        <f t="shared" si="3648"/>
        <v>JRB NEW ORLEANS</v>
      </c>
      <c r="B9888" t="str">
        <f t="shared" si="3652"/>
        <v>400 RUSSELL AVE</v>
      </c>
      <c r="C9888" t="str">
        <f>T("BLDG 2")</f>
        <v>BLDG 2</v>
      </c>
      <c r="D9888" t="str">
        <f t="shared" si="3651"/>
        <v>NEW ORLEANS</v>
      </c>
      <c r="E9888" t="str">
        <f t="shared" si="3649"/>
        <v>LA</v>
      </c>
      <c r="F9888" t="str">
        <f t="shared" si="3653"/>
        <v>701435077</v>
      </c>
      <c r="G9888" t="str">
        <f>T("400 RUSSELL AVE")</f>
        <v>400 RUSSELL AVE</v>
      </c>
      <c r="H9888" t="str">
        <f>T("BLDG 2")</f>
        <v>BLDG 2</v>
      </c>
      <c r="I9888" t="str">
        <f t="shared" si="3654"/>
        <v>NEW ORLEANS</v>
      </c>
      <c r="J9888" t="str">
        <f t="shared" si="3650"/>
        <v>LA</v>
      </c>
      <c r="K9888" t="str">
        <f>T("")</f>
        <v/>
      </c>
      <c r="L9888" t="str">
        <f>T("5046789510")</f>
        <v>5046789510</v>
      </c>
    </row>
    <row r="9889" spans="1:12" x14ac:dyDescent="0.35">
      <c r="A9889" t="str">
        <f t="shared" si="3648"/>
        <v>JRB NEW ORLEANS</v>
      </c>
      <c r="B9889" t="str">
        <f t="shared" si="3652"/>
        <v>400 RUSSELL AVE</v>
      </c>
      <c r="C9889" t="str">
        <f>T("BLDG 2")</f>
        <v>BLDG 2</v>
      </c>
      <c r="D9889" t="str">
        <f t="shared" si="3651"/>
        <v>NEW ORLEANS</v>
      </c>
      <c r="E9889" t="str">
        <f t="shared" si="3649"/>
        <v>LA</v>
      </c>
      <c r="F9889" t="str">
        <f t="shared" si="3653"/>
        <v>701435077</v>
      </c>
      <c r="G9889" t="str">
        <f>T("400 RUSSELL AVE BLDG 2")</f>
        <v>400 RUSSELL AVE BLDG 2</v>
      </c>
      <c r="H9889" t="str">
        <f>T("NAS JRB FIRE HOUSE")</f>
        <v>NAS JRB FIRE HOUSE</v>
      </c>
      <c r="I9889" t="str">
        <f t="shared" si="3654"/>
        <v>NEW ORLEANS</v>
      </c>
      <c r="J9889" t="str">
        <f t="shared" si="3650"/>
        <v>LA</v>
      </c>
      <c r="K9889" t="str">
        <f>T("000000000000000000")</f>
        <v>000000000000000000</v>
      </c>
      <c r="L9889" t="str">
        <f>T("5046783845")</f>
        <v>5046783845</v>
      </c>
    </row>
    <row r="9890" spans="1:12" x14ac:dyDescent="0.35">
      <c r="A9890" t="str">
        <f t="shared" si="3648"/>
        <v>JRB NEW ORLEANS</v>
      </c>
      <c r="B9890" t="str">
        <f t="shared" si="3652"/>
        <v>400 RUSSELL AVE</v>
      </c>
      <c r="C9890" t="str">
        <f>T("BLDG 31")</f>
        <v>BLDG 31</v>
      </c>
      <c r="D9890" t="str">
        <f t="shared" si="3651"/>
        <v>NEW ORLEANS</v>
      </c>
      <c r="E9890" t="str">
        <f t="shared" si="3649"/>
        <v>LA</v>
      </c>
      <c r="F9890" t="str">
        <f t="shared" si="3653"/>
        <v>701435077</v>
      </c>
      <c r="G9890" t="str">
        <f>T("400 RUSSELL AVE")</f>
        <v>400 RUSSELL AVE</v>
      </c>
      <c r="H9890" t="str">
        <f>T("BLDG 31")</f>
        <v>BLDG 31</v>
      </c>
      <c r="I9890" t="str">
        <f t="shared" si="3654"/>
        <v>NEW ORLEANS</v>
      </c>
      <c r="J9890" t="str">
        <f t="shared" si="3650"/>
        <v>LA</v>
      </c>
      <c r="K9890" t="str">
        <f>T("5046789815")</f>
        <v>5046789815</v>
      </c>
      <c r="L9890" t="str">
        <f>T("5046782615")</f>
        <v>5046782615</v>
      </c>
    </row>
    <row r="9891" spans="1:12" x14ac:dyDescent="0.35">
      <c r="A9891" t="str">
        <f t="shared" si="3648"/>
        <v>JRB NEW ORLEANS</v>
      </c>
      <c r="B9891" t="str">
        <f t="shared" si="3652"/>
        <v>400 RUSSELL AVE</v>
      </c>
      <c r="C9891" t="str">
        <f>T("BLDG 46")</f>
        <v>BLDG 46</v>
      </c>
      <c r="D9891" t="str">
        <f t="shared" si="3651"/>
        <v>NEW ORLEANS</v>
      </c>
      <c r="E9891" t="str">
        <f t="shared" si="3649"/>
        <v>LA</v>
      </c>
      <c r="F9891" t="str">
        <f t="shared" si="3653"/>
        <v>701435077</v>
      </c>
      <c r="G9891" t="str">
        <f>T("400 RUSSELL AVE")</f>
        <v>400 RUSSELL AVE</v>
      </c>
      <c r="H9891" t="str">
        <f>T("BLDG 46")</f>
        <v>BLDG 46</v>
      </c>
      <c r="I9891" t="str">
        <f t="shared" si="3654"/>
        <v>NEW ORLEANS</v>
      </c>
      <c r="J9891" t="str">
        <f t="shared" si="3650"/>
        <v>LA</v>
      </c>
      <c r="K9891" t="str">
        <f>T("")</f>
        <v/>
      </c>
      <c r="L9891" t="str">
        <f>T("5046789901")</f>
        <v>5046789901</v>
      </c>
    </row>
    <row r="9892" spans="1:12" x14ac:dyDescent="0.35">
      <c r="A9892" t="str">
        <f t="shared" si="3648"/>
        <v>JRB NEW ORLEANS</v>
      </c>
      <c r="B9892" t="str">
        <f>T("400 RUSSELL AVE SECURITY DEPT")</f>
        <v>400 RUSSELL AVE SECURITY DEPT</v>
      </c>
      <c r="C9892" t="str">
        <f>T("BLDG 512")</f>
        <v>BLDG 512</v>
      </c>
      <c r="D9892" t="str">
        <f t="shared" si="3651"/>
        <v>NEW ORLEANS</v>
      </c>
      <c r="E9892" t="str">
        <f t="shared" si="3649"/>
        <v>LA</v>
      </c>
      <c r="F9892" t="str">
        <f t="shared" si="3653"/>
        <v>701435077</v>
      </c>
      <c r="G9892" t="str">
        <f>T("400 RUSSELL AVE")</f>
        <v>400 RUSSELL AVE</v>
      </c>
      <c r="H9892" t="str">
        <f>T("BLDG 492")</f>
        <v>BLDG 492</v>
      </c>
      <c r="I9892" t="str">
        <f>T("BELLE CHASSE")</f>
        <v>BELLE CHASSE</v>
      </c>
      <c r="J9892" t="str">
        <f t="shared" si="3650"/>
        <v>LA</v>
      </c>
      <c r="K9892" t="str">
        <f>T("000000000000000000")</f>
        <v>000000000000000000</v>
      </c>
      <c r="L9892" t="str">
        <f>T("5046783507")</f>
        <v>5046783507</v>
      </c>
    </row>
    <row r="9893" spans="1:12" x14ac:dyDescent="0.35">
      <c r="A9893" t="str">
        <f t="shared" si="3648"/>
        <v>JRB NEW ORLEANS</v>
      </c>
      <c r="B9893" t="str">
        <f>T("400 RUSSELL AVE SECURITY DEPT")</f>
        <v>400 RUSSELL AVE SECURITY DEPT</v>
      </c>
      <c r="C9893" t="str">
        <f>T("BLDG 512")</f>
        <v>BLDG 512</v>
      </c>
      <c r="D9893" t="str">
        <f t="shared" si="3651"/>
        <v>NEW ORLEANS</v>
      </c>
      <c r="E9893" t="str">
        <f t="shared" si="3649"/>
        <v>LA</v>
      </c>
      <c r="F9893" t="str">
        <f t="shared" si="3653"/>
        <v>701435077</v>
      </c>
      <c r="G9893" t="str">
        <f>T("400 RUSSELL AVE BLDG 512")</f>
        <v>400 RUSSELL AVE BLDG 512</v>
      </c>
      <c r="H9893" t="str">
        <f>T("")</f>
        <v/>
      </c>
      <c r="I9893" t="str">
        <f t="shared" ref="I9893:I9903" si="3655">T("NEW ORLEANS")</f>
        <v>NEW ORLEANS</v>
      </c>
      <c r="J9893" t="str">
        <f t="shared" si="3650"/>
        <v>LA</v>
      </c>
      <c r="K9893" t="str">
        <f>T("000000000000000000")</f>
        <v>000000000000000000</v>
      </c>
      <c r="L9893" t="str">
        <f>T("5046784504")</f>
        <v>5046784504</v>
      </c>
    </row>
    <row r="9894" spans="1:12" x14ac:dyDescent="0.35">
      <c r="A9894" t="str">
        <f t="shared" si="3648"/>
        <v>JRB NEW ORLEANS</v>
      </c>
      <c r="B9894" t="str">
        <f>T("400 RUSSELL AVE SECURITY DEPT")</f>
        <v>400 RUSSELL AVE SECURITY DEPT</v>
      </c>
      <c r="C9894" t="str">
        <f>T("BLDG 512")</f>
        <v>BLDG 512</v>
      </c>
      <c r="D9894" t="str">
        <f t="shared" si="3651"/>
        <v>NEW ORLEANS</v>
      </c>
      <c r="E9894" t="str">
        <f t="shared" si="3649"/>
        <v>LA</v>
      </c>
      <c r="F9894" t="str">
        <f t="shared" si="3653"/>
        <v>701435077</v>
      </c>
      <c r="G9894" t="str">
        <f>T("400 RUSSELL AVE SECURITY DEPT")</f>
        <v>400 RUSSELL AVE SECURITY DEPT</v>
      </c>
      <c r="H9894" t="str">
        <f>T("BLDG 512")</f>
        <v>BLDG 512</v>
      </c>
      <c r="I9894" t="str">
        <f t="shared" si="3655"/>
        <v>NEW ORLEANS</v>
      </c>
      <c r="J9894" t="str">
        <f t="shared" si="3650"/>
        <v>LA</v>
      </c>
      <c r="K9894" t="str">
        <f>T("504678 3699")</f>
        <v>504678 3699</v>
      </c>
      <c r="L9894" t="str">
        <f>T("5046783830")</f>
        <v>5046783830</v>
      </c>
    </row>
    <row r="9895" spans="1:12" x14ac:dyDescent="0.35">
      <c r="A9895" t="str">
        <f t="shared" si="3648"/>
        <v>JRB NEW ORLEANS</v>
      </c>
      <c r="B9895" t="str">
        <f>T("INFORMATION TECHNOLOGY")</f>
        <v>INFORMATION TECHNOLOGY</v>
      </c>
      <c r="C9895" t="str">
        <f>T("400 RUSSELL AVE BLDG 193")</f>
        <v>400 RUSSELL AVE BLDG 193</v>
      </c>
      <c r="D9895" t="str">
        <f t="shared" si="3651"/>
        <v>NEW ORLEANS</v>
      </c>
      <c r="E9895" t="str">
        <f t="shared" si="3649"/>
        <v>LA</v>
      </c>
      <c r="F9895" t="str">
        <f t="shared" si="3653"/>
        <v>701435077</v>
      </c>
      <c r="G9895" t="str">
        <f>T("INFORMATION TECHNOLOGY")</f>
        <v>INFORMATION TECHNOLOGY</v>
      </c>
      <c r="H9895" t="str">
        <f>T("400 RUSSELL AVE BLDG 193")</f>
        <v>400 RUSSELL AVE BLDG 193</v>
      </c>
      <c r="I9895" t="str">
        <f t="shared" si="3655"/>
        <v>NEW ORLEANS</v>
      </c>
      <c r="J9895" t="str">
        <f t="shared" si="3650"/>
        <v>LA</v>
      </c>
      <c r="K9895" t="str">
        <f>T("000000000000000000")</f>
        <v>000000000000000000</v>
      </c>
      <c r="L9895" t="str">
        <f>T("5046787408")</f>
        <v>5046787408</v>
      </c>
    </row>
    <row r="9896" spans="1:12" x14ac:dyDescent="0.35">
      <c r="A9896" t="str">
        <f t="shared" si="3648"/>
        <v>JRB NEW ORLEANS</v>
      </c>
      <c r="B9896" t="str">
        <f>T("INFORMATION TECHNOLOGY")</f>
        <v>INFORMATION TECHNOLOGY</v>
      </c>
      <c r="C9896" t="str">
        <f>T("400 RUSSELL AVE BLDG 193")</f>
        <v>400 RUSSELL AVE BLDG 193</v>
      </c>
      <c r="D9896" t="str">
        <f t="shared" si="3651"/>
        <v>NEW ORLEANS</v>
      </c>
      <c r="E9896" t="str">
        <f t="shared" si="3649"/>
        <v>LA</v>
      </c>
      <c r="F9896" t="str">
        <f t="shared" si="3653"/>
        <v>701435077</v>
      </c>
      <c r="G9896" t="str">
        <f>T("INFORMATION TECHNOLOGY DEPT")</f>
        <v>INFORMATION TECHNOLOGY DEPT</v>
      </c>
      <c r="H9896" t="str">
        <f>T("400 RUSSELL AVE BLDG 193")</f>
        <v>400 RUSSELL AVE BLDG 193</v>
      </c>
      <c r="I9896" t="str">
        <f t="shared" si="3655"/>
        <v>NEW ORLEANS</v>
      </c>
      <c r="J9896" t="str">
        <f t="shared" si="3650"/>
        <v>LA</v>
      </c>
      <c r="K9896" t="str">
        <f>T("000000000000000000")</f>
        <v>000000000000000000</v>
      </c>
      <c r="L9896" t="str">
        <f>T("5046789925")</f>
        <v>5046789925</v>
      </c>
    </row>
    <row r="9897" spans="1:12" x14ac:dyDescent="0.35">
      <c r="A9897" t="str">
        <f t="shared" si="3648"/>
        <v>JRB NEW ORLEANS</v>
      </c>
      <c r="B9897" t="str">
        <f>T("NAS FLEET &amp; FAMILY SUP CTR")</f>
        <v>NAS FLEET &amp; FAMILY SUP CTR</v>
      </c>
      <c r="C9897" t="str">
        <f>T("400 RUSSELL AVE BLDG 555")</f>
        <v>400 RUSSELL AVE BLDG 555</v>
      </c>
      <c r="D9897" t="str">
        <f t="shared" si="3651"/>
        <v>NEW ORLEANS</v>
      </c>
      <c r="E9897" t="str">
        <f t="shared" si="3649"/>
        <v>LA</v>
      </c>
      <c r="F9897" t="str">
        <f t="shared" si="3653"/>
        <v>701435077</v>
      </c>
      <c r="G9897" t="str">
        <f>T("400 RUSSELL AVENUE")</f>
        <v>400 RUSSELL AVENUE</v>
      </c>
      <c r="H9897" t="str">
        <f>T("BLDG 555")</f>
        <v>BLDG 555</v>
      </c>
      <c r="I9897" t="str">
        <f t="shared" si="3655"/>
        <v>NEW ORLEANS</v>
      </c>
      <c r="J9897" t="str">
        <f t="shared" si="3650"/>
        <v>LA</v>
      </c>
      <c r="K9897" t="str">
        <f>T("000000000000000000")</f>
        <v>000000000000000000</v>
      </c>
      <c r="L9897" t="str">
        <f>T("5046782948")</f>
        <v>5046782948</v>
      </c>
    </row>
    <row r="9898" spans="1:12" x14ac:dyDescent="0.35">
      <c r="A9898" t="str">
        <f t="shared" si="3648"/>
        <v>JRB NEW ORLEANS</v>
      </c>
      <c r="B9898" t="str">
        <f>T("NAS FLEET &amp; FAMILY SUP CTR")</f>
        <v>NAS FLEET &amp; FAMILY SUP CTR</v>
      </c>
      <c r="C9898" t="str">
        <f>T("400 RUSSELL AVE BLDG 555")</f>
        <v>400 RUSSELL AVE BLDG 555</v>
      </c>
      <c r="D9898" t="str">
        <f t="shared" si="3651"/>
        <v>NEW ORLEANS</v>
      </c>
      <c r="E9898" t="str">
        <f t="shared" si="3649"/>
        <v>LA</v>
      </c>
      <c r="F9898" t="str">
        <f t="shared" si="3653"/>
        <v>701435077</v>
      </c>
      <c r="G9898" t="str">
        <f>T("400 RUSSELL AVENUE")</f>
        <v>400 RUSSELL AVENUE</v>
      </c>
      <c r="H9898" t="str">
        <f>T("BLDG 555")</f>
        <v>BLDG 555</v>
      </c>
      <c r="I9898" t="str">
        <f t="shared" si="3655"/>
        <v>NEW ORLEANS</v>
      </c>
      <c r="J9898" t="str">
        <f t="shared" si="3650"/>
        <v>LA</v>
      </c>
      <c r="K9898" t="str">
        <f>T("5046789024")</f>
        <v>5046789024</v>
      </c>
      <c r="L9898" t="str">
        <f>T("5046782948")</f>
        <v>5046782948</v>
      </c>
    </row>
    <row r="9899" spans="1:12" x14ac:dyDescent="0.35">
      <c r="A9899" t="str">
        <f t="shared" si="3648"/>
        <v>JRB NEW ORLEANS</v>
      </c>
      <c r="B9899" t="str">
        <f>T("NAS FLEET &amp; FAMILY SUP CTR")</f>
        <v>NAS FLEET &amp; FAMILY SUP CTR</v>
      </c>
      <c r="C9899" t="str">
        <f>T("400 RUSSELL AVE BLDG 555")</f>
        <v>400 RUSSELL AVE BLDG 555</v>
      </c>
      <c r="D9899" t="str">
        <f t="shared" si="3651"/>
        <v>NEW ORLEANS</v>
      </c>
      <c r="E9899" t="str">
        <f t="shared" si="3649"/>
        <v>LA</v>
      </c>
      <c r="F9899" t="str">
        <f t="shared" si="3653"/>
        <v>701435077</v>
      </c>
      <c r="G9899" t="str">
        <f>T("NAS FLEET &amp; FAMILY SUP CTR")</f>
        <v>NAS FLEET &amp; FAMILY SUP CTR</v>
      </c>
      <c r="H9899" t="str">
        <f>T("400 RUSSELL AVE BLDG 555")</f>
        <v>400 RUSSELL AVE BLDG 555</v>
      </c>
      <c r="I9899" t="str">
        <f t="shared" si="3655"/>
        <v>NEW ORLEANS</v>
      </c>
      <c r="J9899" t="str">
        <f t="shared" si="3650"/>
        <v>LA</v>
      </c>
      <c r="K9899" t="str">
        <f>T("")</f>
        <v/>
      </c>
      <c r="L9899" t="str">
        <f>T("5046787569")</f>
        <v>5046787569</v>
      </c>
    </row>
    <row r="9900" spans="1:12" x14ac:dyDescent="0.35">
      <c r="A9900" t="str">
        <f t="shared" si="3648"/>
        <v>JRB NEW ORLEANS</v>
      </c>
      <c r="B9900" t="str">
        <f>T("NAS JRB ENVIRONMENTAL")</f>
        <v>NAS JRB ENVIRONMENTAL</v>
      </c>
      <c r="C9900" t="str">
        <f>T("400 RUSSELL AVE BLDG 501")</f>
        <v>400 RUSSELL AVE BLDG 501</v>
      </c>
      <c r="D9900" t="str">
        <f t="shared" si="3651"/>
        <v>NEW ORLEANS</v>
      </c>
      <c r="E9900" t="str">
        <f t="shared" si="3649"/>
        <v>LA</v>
      </c>
      <c r="F9900" t="str">
        <f t="shared" si="3653"/>
        <v>701435077</v>
      </c>
      <c r="G9900" t="str">
        <f>T("ENVIRONMENTAL DEPT")</f>
        <v>ENVIRONMENTAL DEPT</v>
      </c>
      <c r="H9900" t="str">
        <f>T("400 RUSSELL AVE BLDG 552")</f>
        <v>400 RUSSELL AVE BLDG 552</v>
      </c>
      <c r="I9900" t="str">
        <f t="shared" si="3655"/>
        <v>NEW ORLEANS</v>
      </c>
      <c r="J9900" t="str">
        <f t="shared" si="3650"/>
        <v>LA</v>
      </c>
      <c r="K9900" t="str">
        <f>T("000000000000000000")</f>
        <v>000000000000000000</v>
      </c>
      <c r="L9900" t="str">
        <f>T("5046783828")</f>
        <v>5046783828</v>
      </c>
    </row>
    <row r="9901" spans="1:12" x14ac:dyDescent="0.35">
      <c r="A9901" t="str">
        <f t="shared" si="3648"/>
        <v>JRB NEW ORLEANS</v>
      </c>
      <c r="B9901" t="str">
        <f>T("NAS JRB ENVIRONMENTAL")</f>
        <v>NAS JRB ENVIRONMENTAL</v>
      </c>
      <c r="C9901" t="str">
        <f>T("400 RUSSELL AVE BLDG 501")</f>
        <v>400 RUSSELL AVE BLDG 501</v>
      </c>
      <c r="D9901" t="str">
        <f t="shared" si="3651"/>
        <v>NEW ORLEANS</v>
      </c>
      <c r="E9901" t="str">
        <f t="shared" si="3649"/>
        <v>LA</v>
      </c>
      <c r="F9901" t="str">
        <f t="shared" si="3653"/>
        <v>701435077</v>
      </c>
      <c r="G9901" t="str">
        <f>T("NAS JRB ENVIRONMENTAL")</f>
        <v>NAS JRB ENVIRONMENTAL</v>
      </c>
      <c r="H9901" t="str">
        <f>T("400 RUSSELL AVE BLDG 501")</f>
        <v>400 RUSSELL AVE BLDG 501</v>
      </c>
      <c r="I9901" t="str">
        <f t="shared" si="3655"/>
        <v>NEW ORLEANS</v>
      </c>
      <c r="J9901" t="str">
        <f t="shared" si="3650"/>
        <v>LA</v>
      </c>
      <c r="K9901" t="str">
        <f>T("")</f>
        <v/>
      </c>
      <c r="L9901" t="str">
        <f>T("5046789589")</f>
        <v>5046789589</v>
      </c>
    </row>
    <row r="9902" spans="1:12" x14ac:dyDescent="0.35">
      <c r="A9902" t="str">
        <f t="shared" si="3648"/>
        <v>JRB NEW ORLEANS</v>
      </c>
      <c r="B9902" t="str">
        <f>T("NAS JRB OPS T-LINE")</f>
        <v>NAS JRB OPS T-LINE</v>
      </c>
      <c r="C9902" t="str">
        <f>T("400 RUSSELL AVE BLDG 1")</f>
        <v>400 RUSSELL AVE BLDG 1</v>
      </c>
      <c r="D9902" t="str">
        <f t="shared" si="3651"/>
        <v>NEW ORLEANS</v>
      </c>
      <c r="E9902" t="str">
        <f t="shared" si="3649"/>
        <v>LA</v>
      </c>
      <c r="F9902" t="str">
        <f t="shared" si="3653"/>
        <v>701435077</v>
      </c>
      <c r="G9902" t="str">
        <f>T("400 RUSSEL DRIVE")</f>
        <v>400 RUSSEL DRIVE</v>
      </c>
      <c r="H9902" t="str">
        <f>T("BLDG 46")</f>
        <v>BLDG 46</v>
      </c>
      <c r="I9902" t="str">
        <f t="shared" si="3655"/>
        <v>NEW ORLEANS</v>
      </c>
      <c r="J9902" t="str">
        <f t="shared" si="3650"/>
        <v>LA</v>
      </c>
      <c r="K9902" t="str">
        <f>T("000000000000000000")</f>
        <v>000000000000000000</v>
      </c>
      <c r="L9902" t="str">
        <f>T("5046783602")</f>
        <v>5046783602</v>
      </c>
    </row>
    <row r="9903" spans="1:12" x14ac:dyDescent="0.35">
      <c r="A9903" t="str">
        <f t="shared" si="3648"/>
        <v>JRB NEW ORLEANS</v>
      </c>
      <c r="B9903" t="str">
        <f>T("NAS JRB OPS T-LINE")</f>
        <v>NAS JRB OPS T-LINE</v>
      </c>
      <c r="C9903" t="str">
        <f>T("400 RUSSELL AVE BLDG 1")</f>
        <v>400 RUSSELL AVE BLDG 1</v>
      </c>
      <c r="D9903" t="str">
        <f t="shared" si="3651"/>
        <v>NEW ORLEANS</v>
      </c>
      <c r="E9903" t="str">
        <f t="shared" si="3649"/>
        <v>LA</v>
      </c>
      <c r="F9903" t="str">
        <f t="shared" si="3653"/>
        <v>701435077</v>
      </c>
      <c r="G9903" t="str">
        <f>T("NAS JRB OPS T-LINE")</f>
        <v>NAS JRB OPS T-LINE</v>
      </c>
      <c r="H9903" t="str">
        <f>T("400 RUSSELL AVE BLDG 1")</f>
        <v>400 RUSSELL AVE BLDG 1</v>
      </c>
      <c r="I9903" t="str">
        <f t="shared" si="3655"/>
        <v>NEW ORLEANS</v>
      </c>
      <c r="J9903" t="str">
        <f t="shared" si="3650"/>
        <v>LA</v>
      </c>
      <c r="K9903" t="str">
        <f>T("")</f>
        <v/>
      </c>
      <c r="L9903" t="str">
        <f>T("5046787599")</f>
        <v>5046787599</v>
      </c>
    </row>
    <row r="9904" spans="1:12" x14ac:dyDescent="0.35">
      <c r="A9904" t="str">
        <f t="shared" ref="A9904:A9947" si="3656">T("NAS JAX")</f>
        <v>NAS JAX</v>
      </c>
      <c r="B9904" t="str">
        <f>T("365 MAINE ST")</f>
        <v>365 MAINE ST</v>
      </c>
      <c r="C9904" t="str">
        <f>T("PO BOX 133")</f>
        <v>PO BOX 133</v>
      </c>
      <c r="D9904" t="str">
        <f t="shared" ref="D9904:D9947" si="3657">T("JACKSONVILLE")</f>
        <v>JACKSONVILLE</v>
      </c>
      <c r="E9904" t="str">
        <f t="shared" ref="E9904:E9935" si="3658">T("FL")</f>
        <v>FL</v>
      </c>
      <c r="F9904" t="str">
        <f>T("322120133")</f>
        <v>322120133</v>
      </c>
      <c r="G9904" t="str">
        <f>T("365 MAINE ST")</f>
        <v>365 MAINE ST</v>
      </c>
      <c r="H9904" t="str">
        <f>T("PO BOX 133")</f>
        <v>PO BOX 133</v>
      </c>
      <c r="I9904" t="str">
        <f t="shared" ref="I9904:I9947" si="3659">T("JACKSONVILLE")</f>
        <v>JACKSONVILLE</v>
      </c>
      <c r="J9904" t="str">
        <f t="shared" ref="J9904:J9935" si="3660">T("FL")</f>
        <v>FL</v>
      </c>
      <c r="K9904" t="str">
        <f>T("9042706192")</f>
        <v>9042706192</v>
      </c>
      <c r="L9904" t="str">
        <f>T("9042706625")</f>
        <v>9042706625</v>
      </c>
    </row>
    <row r="9905" spans="1:12" x14ac:dyDescent="0.35">
      <c r="A9905" t="str">
        <f t="shared" si="3656"/>
        <v>NAS JAX</v>
      </c>
      <c r="B9905" t="str">
        <f>T("365 MAINE ST")</f>
        <v>365 MAINE ST</v>
      </c>
      <c r="C9905" t="str">
        <f>T("PO BOX 133")</f>
        <v>PO BOX 133</v>
      </c>
      <c r="D9905" t="str">
        <f t="shared" si="3657"/>
        <v>JACKSONVILLE</v>
      </c>
      <c r="E9905" t="str">
        <f t="shared" si="3658"/>
        <v>FL</v>
      </c>
      <c r="F9905" t="str">
        <f>T("322120133")</f>
        <v>322120133</v>
      </c>
      <c r="G9905" t="str">
        <f>T("BLDG 365 MAIN STREET")</f>
        <v>BLDG 365 MAIN STREET</v>
      </c>
      <c r="H9905" t="str">
        <f>T("")</f>
        <v/>
      </c>
      <c r="I9905" t="str">
        <f t="shared" si="3659"/>
        <v>JACKSONVILLE</v>
      </c>
      <c r="J9905" t="str">
        <f t="shared" si="3660"/>
        <v>FL</v>
      </c>
      <c r="K9905" t="str">
        <f>T("000000000000000000")</f>
        <v>000000000000000000</v>
      </c>
      <c r="L9905" t="str">
        <f>T("9042705334")</f>
        <v>9042705334</v>
      </c>
    </row>
    <row r="9906" spans="1:12" x14ac:dyDescent="0.35">
      <c r="A9906" t="str">
        <f t="shared" si="3656"/>
        <v>NAS JAX</v>
      </c>
      <c r="B9906" t="str">
        <f>T("365 MAINE ST")</f>
        <v>365 MAINE ST</v>
      </c>
      <c r="C9906" t="str">
        <f>T("PO BOX 133")</f>
        <v>PO BOX 133</v>
      </c>
      <c r="D9906" t="str">
        <f t="shared" si="3657"/>
        <v>JACKSONVILLE</v>
      </c>
      <c r="E9906" t="str">
        <f t="shared" si="3658"/>
        <v>FL</v>
      </c>
      <c r="F9906" t="str">
        <f>T("322120133")</f>
        <v>322120133</v>
      </c>
      <c r="G9906" t="str">
        <f>T("NAVAL STATION MAYPORT FIRE DEPT")</f>
        <v>NAVAL STATION MAYPORT FIRE DEPT</v>
      </c>
      <c r="H9906" t="str">
        <f>T("PO BOX 280031")</f>
        <v>PO BOX 280031</v>
      </c>
      <c r="I9906" t="str">
        <f t="shared" si="3659"/>
        <v>JACKSONVILLE</v>
      </c>
      <c r="J9906" t="str">
        <f t="shared" si="3660"/>
        <v>FL</v>
      </c>
      <c r="K9906" t="str">
        <f>T("9042706192")</f>
        <v>9042706192</v>
      </c>
      <c r="L9906" t="str">
        <f>T("9042705334")</f>
        <v>9042705334</v>
      </c>
    </row>
    <row r="9907" spans="1:12" x14ac:dyDescent="0.35">
      <c r="A9907" t="str">
        <f t="shared" si="3656"/>
        <v>NAS JAX</v>
      </c>
      <c r="B9907" t="str">
        <f>T("365 MAINE ST")</f>
        <v>365 MAINE ST</v>
      </c>
      <c r="C9907" t="str">
        <f>T("PO BOX 133")</f>
        <v>PO BOX 133</v>
      </c>
      <c r="D9907" t="str">
        <f t="shared" si="3657"/>
        <v>JACKSONVILLE</v>
      </c>
      <c r="E9907" t="str">
        <f t="shared" si="3658"/>
        <v>FL</v>
      </c>
      <c r="F9907" t="str">
        <f>T("322120133")</f>
        <v>322120133</v>
      </c>
      <c r="G9907" t="str">
        <f>T("P O BOX 280031")</f>
        <v>P O BOX 280031</v>
      </c>
      <c r="H9907" t="str">
        <f>T("BLDG 365 NEW MAINE STREET")</f>
        <v>BLDG 365 NEW MAINE STREET</v>
      </c>
      <c r="I9907" t="str">
        <f t="shared" si="3659"/>
        <v>JACKSONVILLE</v>
      </c>
      <c r="J9907" t="str">
        <f t="shared" si="3660"/>
        <v>FL</v>
      </c>
      <c r="K9907" t="str">
        <f>T("000000000000000000")</f>
        <v>000000000000000000</v>
      </c>
      <c r="L9907" t="str">
        <f>T("9042705334")</f>
        <v>9042705334</v>
      </c>
    </row>
    <row r="9908" spans="1:12" x14ac:dyDescent="0.35">
      <c r="A9908" t="str">
        <f t="shared" si="3656"/>
        <v>NAS JAX</v>
      </c>
      <c r="B9908" t="str">
        <f>T("AIR OPS")</f>
        <v>AIR OPS</v>
      </c>
      <c r="C9908" t="str">
        <f>T("PO BOX 7")</f>
        <v>PO BOX 7</v>
      </c>
      <c r="D9908" t="str">
        <f t="shared" si="3657"/>
        <v>JACKSONVILLE</v>
      </c>
      <c r="E9908" t="str">
        <f t="shared" si="3658"/>
        <v>FL</v>
      </c>
      <c r="F9908" t="str">
        <f>T("322120007")</f>
        <v>322120007</v>
      </c>
      <c r="G9908" t="str">
        <f>T("AIR OPS")</f>
        <v>AIR OPS</v>
      </c>
      <c r="H9908" t="str">
        <f>T("PO BOX 7")</f>
        <v>PO BOX 7</v>
      </c>
      <c r="I9908" t="str">
        <f t="shared" si="3659"/>
        <v>JACKSONVILLE</v>
      </c>
      <c r="J9908" t="str">
        <f t="shared" si="3660"/>
        <v>FL</v>
      </c>
      <c r="K9908" t="str">
        <f>T("")</f>
        <v/>
      </c>
      <c r="L9908" t="str">
        <f>T("9045422151")</f>
        <v>9045422151</v>
      </c>
    </row>
    <row r="9909" spans="1:12" x14ac:dyDescent="0.35">
      <c r="A9909" t="str">
        <f t="shared" si="3656"/>
        <v>NAS JAX</v>
      </c>
      <c r="B9909" t="str">
        <f>T("AIR OPS")</f>
        <v>AIR OPS</v>
      </c>
      <c r="C9909" t="str">
        <f>T("PO BOX 7")</f>
        <v>PO BOX 7</v>
      </c>
      <c r="D9909" t="str">
        <f t="shared" si="3657"/>
        <v>JACKSONVILLE</v>
      </c>
      <c r="E9909" t="str">
        <f t="shared" si="3658"/>
        <v>FL</v>
      </c>
      <c r="F9909" t="str">
        <f>T("322120007")</f>
        <v>322120007</v>
      </c>
      <c r="G9909" t="str">
        <f>T("NAS JACKSONVILLE")</f>
        <v>NAS JACKSONVILLE</v>
      </c>
      <c r="H9909" t="str">
        <f>T("BLDG 118 ALBERMARLE AVE")</f>
        <v>BLDG 118 ALBERMARLE AVE</v>
      </c>
      <c r="I9909" t="str">
        <f t="shared" si="3659"/>
        <v>JACKSONVILLE</v>
      </c>
      <c r="J9909" t="str">
        <f t="shared" si="3660"/>
        <v>FL</v>
      </c>
      <c r="K9909" t="str">
        <f>T("000000000000000000")</f>
        <v>000000000000000000</v>
      </c>
      <c r="L9909" t="str">
        <f>T("9045423154")</f>
        <v>9045423154</v>
      </c>
    </row>
    <row r="9910" spans="1:12" x14ac:dyDescent="0.35">
      <c r="A9910" t="str">
        <f t="shared" si="3656"/>
        <v>NAS JAX</v>
      </c>
      <c r="B9910" t="str">
        <f>T("BLDG 1 ROOM 105 PO BOX 10")</f>
        <v>BLDG 1 ROOM 105 PO BOX 10</v>
      </c>
      <c r="C9910" t="str">
        <f>T("LANGLEY STREET NAS JAX")</f>
        <v>LANGLEY STREET NAS JAX</v>
      </c>
      <c r="D9910" t="str">
        <f t="shared" si="3657"/>
        <v>JACKSONVILLE</v>
      </c>
      <c r="E9910" t="str">
        <f t="shared" si="3658"/>
        <v>FL</v>
      </c>
      <c r="F9910" t="str">
        <f>T("322120010")</f>
        <v>322120010</v>
      </c>
      <c r="G9910" t="str">
        <f>T("BLDG 1 ROOM 105 PO BOX 10")</f>
        <v>BLDG 1 ROOM 105 PO BOX 10</v>
      </c>
      <c r="H9910" t="str">
        <f>T("LANGLEY STREET NAS JAX")</f>
        <v>LANGLEY STREET NAS JAX</v>
      </c>
      <c r="I9910" t="str">
        <f t="shared" si="3659"/>
        <v>JACKSONVILLE</v>
      </c>
      <c r="J9910" t="str">
        <f t="shared" si="3660"/>
        <v>FL</v>
      </c>
      <c r="K9910" t="str">
        <f>T("9045423082")</f>
        <v>9045423082</v>
      </c>
      <c r="L9910" t="str">
        <f>T("9045423082")</f>
        <v>9045423082</v>
      </c>
    </row>
    <row r="9911" spans="1:12" x14ac:dyDescent="0.35">
      <c r="A9911" t="str">
        <f t="shared" si="3656"/>
        <v>NAS JAX</v>
      </c>
      <c r="B9911" t="str">
        <f>T("BLDG 1 ROOM 105 PO BOX 10")</f>
        <v>BLDG 1 ROOM 105 PO BOX 10</v>
      </c>
      <c r="C9911" t="str">
        <f>T("LANGLEY STREET NAS JAX")</f>
        <v>LANGLEY STREET NAS JAX</v>
      </c>
      <c r="D9911" t="str">
        <f t="shared" si="3657"/>
        <v>JACKSONVILLE</v>
      </c>
      <c r="E9911" t="str">
        <f t="shared" si="3658"/>
        <v>FL</v>
      </c>
      <c r="F9911" t="str">
        <f>T("322120010")</f>
        <v>322120010</v>
      </c>
      <c r="G9911" t="str">
        <f>T("PO BOX 10 BLDG 1")</f>
        <v>PO BOX 10 BLDG 1</v>
      </c>
      <c r="H9911" t="str">
        <f>T("LANGLEY ST")</f>
        <v>LANGLEY ST</v>
      </c>
      <c r="I9911" t="str">
        <f t="shared" si="3659"/>
        <v>JACKSONVILLE</v>
      </c>
      <c r="J9911" t="str">
        <f t="shared" si="3660"/>
        <v>FL</v>
      </c>
      <c r="K9911" t="str">
        <f>T("9045423705")</f>
        <v>9045423705</v>
      </c>
      <c r="L9911" t="str">
        <f>T("9045424897")</f>
        <v>9045424897</v>
      </c>
    </row>
    <row r="9912" spans="1:12" x14ac:dyDescent="0.35">
      <c r="A9912" t="str">
        <f t="shared" si="3656"/>
        <v>NAS JAX</v>
      </c>
      <c r="B9912" t="str">
        <f>T("BOX 11")</f>
        <v>BOX 11</v>
      </c>
      <c r="C9912" t="str">
        <f>T("BLDG 822 SARATOGA AVENUE")</f>
        <v>BLDG 822 SARATOGA AVENUE</v>
      </c>
      <c r="D9912" t="str">
        <f t="shared" si="3657"/>
        <v>JACKSONVILLE</v>
      </c>
      <c r="E9912" t="str">
        <f t="shared" si="3658"/>
        <v>FL</v>
      </c>
      <c r="F9912" t="str">
        <f>T("322120011")</f>
        <v>322120011</v>
      </c>
      <c r="G9912" t="str">
        <f>T("822 SARATOGA AVE P O BOX 11")</f>
        <v>822 SARATOGA AVE P O BOX 11</v>
      </c>
      <c r="H9912" t="str">
        <f>T("")</f>
        <v/>
      </c>
      <c r="I9912" t="str">
        <f t="shared" si="3659"/>
        <v>JACKSONVILLE</v>
      </c>
      <c r="J9912" t="str">
        <f t="shared" si="3660"/>
        <v>FL</v>
      </c>
      <c r="K9912" t="str">
        <f>T("000000000000000000")</f>
        <v>000000000000000000</v>
      </c>
      <c r="L9912" t="str">
        <f>T("9045428195")</f>
        <v>9045428195</v>
      </c>
    </row>
    <row r="9913" spans="1:12" x14ac:dyDescent="0.35">
      <c r="A9913" t="str">
        <f t="shared" si="3656"/>
        <v>NAS JAX</v>
      </c>
      <c r="B9913" t="str">
        <f>T("BOX 11")</f>
        <v>BOX 11</v>
      </c>
      <c r="C9913" t="str">
        <f>T("BLDG 822 SARATOGA AVENUE")</f>
        <v>BLDG 822 SARATOGA AVENUE</v>
      </c>
      <c r="D9913" t="str">
        <f t="shared" si="3657"/>
        <v>JACKSONVILLE</v>
      </c>
      <c r="E9913" t="str">
        <f t="shared" si="3658"/>
        <v>FL</v>
      </c>
      <c r="F9913" t="str">
        <f>T("322120011")</f>
        <v>322120011</v>
      </c>
      <c r="G9913" t="str">
        <f>T("BOX 11")</f>
        <v>BOX 11</v>
      </c>
      <c r="H9913" t="str">
        <f>T("BLDG 822 SARATOGA AVENUE")</f>
        <v>BLDG 822 SARATOGA AVENUE</v>
      </c>
      <c r="I9913" t="str">
        <f t="shared" si="3659"/>
        <v>JACKSONVILLE</v>
      </c>
      <c r="J9913" t="str">
        <f t="shared" si="3660"/>
        <v>FL</v>
      </c>
      <c r="K9913" t="str">
        <f>T("90454819313")</f>
        <v>90454819313</v>
      </c>
      <c r="L9913" t="str">
        <f>T("9045428193")</f>
        <v>9045428193</v>
      </c>
    </row>
    <row r="9914" spans="1:12" x14ac:dyDescent="0.35">
      <c r="A9914" t="str">
        <f t="shared" si="3656"/>
        <v>NAS JAX</v>
      </c>
      <c r="B9914" t="str">
        <f>T("BOX 11")</f>
        <v>BOX 11</v>
      </c>
      <c r="C9914" t="str">
        <f>T("BLDG 822 SARATOGA AVENUE")</f>
        <v>BLDG 822 SARATOGA AVENUE</v>
      </c>
      <c r="D9914" t="str">
        <f t="shared" si="3657"/>
        <v>JACKSONVILLE</v>
      </c>
      <c r="E9914" t="str">
        <f t="shared" si="3658"/>
        <v>FL</v>
      </c>
      <c r="F9914" t="str">
        <f>T("322120011")</f>
        <v>322120011</v>
      </c>
      <c r="G9914" t="str">
        <f>T("MAS JAX CBQ BOX 11")</f>
        <v>MAS JAX CBQ BOX 11</v>
      </c>
      <c r="H9914" t="str">
        <f>T("BLDG 822 SARATOGA AVE")</f>
        <v>BLDG 822 SARATOGA AVE</v>
      </c>
      <c r="I9914" t="str">
        <f t="shared" si="3659"/>
        <v>JACKSONVILLE</v>
      </c>
      <c r="J9914" t="str">
        <f t="shared" si="3660"/>
        <v>FL</v>
      </c>
      <c r="K9914" t="str">
        <f>T("000000000000000000")</f>
        <v>000000000000000000</v>
      </c>
      <c r="L9914" t="str">
        <f>T("9045428195")</f>
        <v>9045428195</v>
      </c>
    </row>
    <row r="9915" spans="1:12" x14ac:dyDescent="0.35">
      <c r="A9915" t="str">
        <f t="shared" si="3656"/>
        <v>NAS JAX</v>
      </c>
      <c r="B9915" t="str">
        <f>T("BOX 21 BLDG 855")</f>
        <v>BOX 21 BLDG 855</v>
      </c>
      <c r="C9915" t="str">
        <f>T("MUSTIN ROAD")</f>
        <v>MUSTIN ROAD</v>
      </c>
      <c r="D9915" t="str">
        <f t="shared" si="3657"/>
        <v>JACKSONVILLE</v>
      </c>
      <c r="E9915" t="str">
        <f t="shared" si="3658"/>
        <v>FL</v>
      </c>
      <c r="F9915" t="str">
        <f>T("322120021")</f>
        <v>322120021</v>
      </c>
      <c r="G9915" t="str">
        <f>T("855 MUSTIN ROAD")</f>
        <v>855 MUSTIN ROAD</v>
      </c>
      <c r="H9915" t="str">
        <f>T("")</f>
        <v/>
      </c>
      <c r="I9915" t="str">
        <f t="shared" si="3659"/>
        <v>JACKSONVILLE</v>
      </c>
      <c r="J9915" t="str">
        <f t="shared" si="3660"/>
        <v>FL</v>
      </c>
      <c r="K9915" t="str">
        <f>T("000000000000000000")</f>
        <v>000000000000000000</v>
      </c>
      <c r="L9915" t="str">
        <f>T("9045423852")</f>
        <v>9045423852</v>
      </c>
    </row>
    <row r="9916" spans="1:12" x14ac:dyDescent="0.35">
      <c r="A9916" t="str">
        <f t="shared" si="3656"/>
        <v>NAS JAX</v>
      </c>
      <c r="B9916" t="str">
        <f>T("BOX 21 BLDG 855")</f>
        <v>BOX 21 BLDG 855</v>
      </c>
      <c r="C9916" t="str">
        <f>T("MUSTIN ROAD")</f>
        <v>MUSTIN ROAD</v>
      </c>
      <c r="D9916" t="str">
        <f t="shared" si="3657"/>
        <v>JACKSONVILLE</v>
      </c>
      <c r="E9916" t="str">
        <f t="shared" si="3658"/>
        <v>FL</v>
      </c>
      <c r="F9916" t="str">
        <f>T("322120021")</f>
        <v>322120021</v>
      </c>
      <c r="G9916" t="str">
        <f>T("BOX 21 BLDG 855")</f>
        <v>BOX 21 BLDG 855</v>
      </c>
      <c r="H9916" t="str">
        <f>T("MUSTIN ROAD")</f>
        <v>MUSTIN ROAD</v>
      </c>
      <c r="I9916" t="str">
        <f t="shared" si="3659"/>
        <v>JACKSONVILLE</v>
      </c>
      <c r="J9916" t="str">
        <f t="shared" si="3660"/>
        <v>FL</v>
      </c>
      <c r="K9916" t="str">
        <f>T("")</f>
        <v/>
      </c>
      <c r="L9916" t="str">
        <f>T("9045425124")</f>
        <v>9045425124</v>
      </c>
    </row>
    <row r="9917" spans="1:12" x14ac:dyDescent="0.35">
      <c r="A9917" t="str">
        <f t="shared" si="3656"/>
        <v>NAS JAX</v>
      </c>
      <c r="B9917" t="str">
        <f>T("BOX 21 BLDG 855")</f>
        <v>BOX 21 BLDG 855</v>
      </c>
      <c r="C9917" t="str">
        <f>T("MUSTIN ROAD")</f>
        <v>MUSTIN ROAD</v>
      </c>
      <c r="D9917" t="str">
        <f t="shared" si="3657"/>
        <v>JACKSONVILLE</v>
      </c>
      <c r="E9917" t="str">
        <f t="shared" si="3658"/>
        <v>FL</v>
      </c>
      <c r="F9917" t="str">
        <f>T("322120021")</f>
        <v>322120021</v>
      </c>
      <c r="G9917" t="str">
        <f>T("PO BOX 11")</f>
        <v>PO BOX 11</v>
      </c>
      <c r="H9917" t="str">
        <f>T("MUSTIN RD")</f>
        <v>MUSTIN RD</v>
      </c>
      <c r="I9917" t="str">
        <f t="shared" si="3659"/>
        <v>JACKSONVILLE</v>
      </c>
      <c r="J9917" t="str">
        <f t="shared" si="3660"/>
        <v>FL</v>
      </c>
      <c r="K9917" t="str">
        <f>T("000000000000000000")</f>
        <v>000000000000000000</v>
      </c>
      <c r="L9917" t="str">
        <f>T("9045425124")</f>
        <v>9045425124</v>
      </c>
    </row>
    <row r="9918" spans="1:12" x14ac:dyDescent="0.35">
      <c r="A9918" t="str">
        <f t="shared" si="3656"/>
        <v>NAS JAX</v>
      </c>
      <c r="B9918" t="str">
        <f t="shared" ref="B9918:B9923" si="3661">T("BOX 5 BLDG 27")</f>
        <v>BOX 5 BLDG 27</v>
      </c>
      <c r="C9918" t="str">
        <f t="shared" ref="C9918:C9923" si="3662">T("LANGLEY STREET")</f>
        <v>LANGLEY STREET</v>
      </c>
      <c r="D9918" t="str">
        <f t="shared" si="3657"/>
        <v>JACKSONVILLE</v>
      </c>
      <c r="E9918" t="str">
        <f t="shared" si="3658"/>
        <v>FL</v>
      </c>
      <c r="F9918" t="str">
        <f t="shared" ref="F9918:F9923" si="3663">T("322120005")</f>
        <v>322120005</v>
      </c>
      <c r="G9918" t="str">
        <f>T("BOX 5 BLDG 27")</f>
        <v>BOX 5 BLDG 27</v>
      </c>
      <c r="H9918" t="str">
        <f>T("LANGLEY STREET")</f>
        <v>LANGLEY STREET</v>
      </c>
      <c r="I9918" t="str">
        <f t="shared" si="3659"/>
        <v>JACKSONVILLE</v>
      </c>
      <c r="J9918" t="str">
        <f t="shared" si="3660"/>
        <v>FL</v>
      </c>
      <c r="K9918" t="str">
        <f>T("9045423858")</f>
        <v>9045423858</v>
      </c>
      <c r="L9918" t="str">
        <f>T("9045421829")</f>
        <v>9045421829</v>
      </c>
    </row>
    <row r="9919" spans="1:12" x14ac:dyDescent="0.35">
      <c r="A9919" t="str">
        <f t="shared" si="3656"/>
        <v>NAS JAX</v>
      </c>
      <c r="B9919" t="str">
        <f t="shared" si="3661"/>
        <v>BOX 5 BLDG 27</v>
      </c>
      <c r="C9919" t="str">
        <f t="shared" si="3662"/>
        <v>LANGLEY STREET</v>
      </c>
      <c r="D9919" t="str">
        <f t="shared" si="3657"/>
        <v>JACKSONVILLE</v>
      </c>
      <c r="E9919" t="str">
        <f t="shared" si="3658"/>
        <v>FL</v>
      </c>
      <c r="F9919" t="str">
        <f t="shared" si="3663"/>
        <v>322120005</v>
      </c>
      <c r="G9919" t="str">
        <f>T("BOX 5 BLDG 27")</f>
        <v>BOX 5 BLDG 27</v>
      </c>
      <c r="H9919" t="str">
        <f>T("LANGLEY STREET")</f>
        <v>LANGLEY STREET</v>
      </c>
      <c r="I9919" t="str">
        <f t="shared" si="3659"/>
        <v>JACKSONVILLE</v>
      </c>
      <c r="J9919" t="str">
        <f t="shared" si="3660"/>
        <v>FL</v>
      </c>
      <c r="K9919" t="str">
        <f>T("9045423858")</f>
        <v>9045423858</v>
      </c>
      <c r="L9919" t="str">
        <f>T("9045425427")</f>
        <v>9045425427</v>
      </c>
    </row>
    <row r="9920" spans="1:12" x14ac:dyDescent="0.35">
      <c r="A9920" t="str">
        <f t="shared" si="3656"/>
        <v>NAS JAX</v>
      </c>
      <c r="B9920" t="str">
        <f t="shared" si="3661"/>
        <v>BOX 5 BLDG 27</v>
      </c>
      <c r="C9920" t="str">
        <f t="shared" si="3662"/>
        <v>LANGLEY STREET</v>
      </c>
      <c r="D9920" t="str">
        <f t="shared" si="3657"/>
        <v>JACKSONVILLE</v>
      </c>
      <c r="E9920" t="str">
        <f t="shared" si="3658"/>
        <v>FL</v>
      </c>
      <c r="F9920" t="str">
        <f t="shared" si="3663"/>
        <v>322120005</v>
      </c>
      <c r="G9920" t="str">
        <f>T("NAVFAC SE PWD JAX")</f>
        <v>NAVFAC SE PWD JAX</v>
      </c>
      <c r="H9920" t="str">
        <f>T("PO BOX 5 BUILDING 27")</f>
        <v>PO BOX 5 BUILDING 27</v>
      </c>
      <c r="I9920" t="str">
        <f t="shared" si="3659"/>
        <v>JACKSONVILLE</v>
      </c>
      <c r="J9920" t="str">
        <f t="shared" si="3660"/>
        <v>FL</v>
      </c>
      <c r="K9920" t="str">
        <f>T("9045420144")</f>
        <v>9045420144</v>
      </c>
      <c r="L9920" t="str">
        <f>T("9045421826")</f>
        <v>9045421826</v>
      </c>
    </row>
    <row r="9921" spans="1:12" x14ac:dyDescent="0.35">
      <c r="A9921" t="str">
        <f t="shared" si="3656"/>
        <v>NAS JAX</v>
      </c>
      <c r="B9921" t="str">
        <f t="shared" si="3661"/>
        <v>BOX 5 BLDG 27</v>
      </c>
      <c r="C9921" t="str">
        <f t="shared" si="3662"/>
        <v>LANGLEY STREET</v>
      </c>
      <c r="D9921" t="str">
        <f t="shared" si="3657"/>
        <v>JACKSONVILLE</v>
      </c>
      <c r="E9921" t="str">
        <f t="shared" si="3658"/>
        <v>FL</v>
      </c>
      <c r="F9921" t="str">
        <f t="shared" si="3663"/>
        <v>322120005</v>
      </c>
      <c r="G9921" t="str">
        <f>T("P O BOX 5 BLDG 27")</f>
        <v>P O BOX 5 BLDG 27</v>
      </c>
      <c r="H9921" t="str">
        <f>T("LANGLEY STREET")</f>
        <v>LANGLEY STREET</v>
      </c>
      <c r="I9921" t="str">
        <f t="shared" si="3659"/>
        <v>JACKSONVILLE</v>
      </c>
      <c r="J9921" t="str">
        <f t="shared" si="3660"/>
        <v>FL</v>
      </c>
      <c r="K9921" t="str">
        <f>T("000000000000000000")</f>
        <v>000000000000000000</v>
      </c>
      <c r="L9921" t="str">
        <f>T("9045425427")</f>
        <v>9045425427</v>
      </c>
    </row>
    <row r="9922" spans="1:12" x14ac:dyDescent="0.35">
      <c r="A9922" t="str">
        <f t="shared" si="3656"/>
        <v>NAS JAX</v>
      </c>
      <c r="B9922" t="str">
        <f t="shared" si="3661"/>
        <v>BOX 5 BLDG 27</v>
      </c>
      <c r="C9922" t="str">
        <f t="shared" si="3662"/>
        <v>LANGLEY STREET</v>
      </c>
      <c r="D9922" t="str">
        <f t="shared" si="3657"/>
        <v>JACKSONVILLE</v>
      </c>
      <c r="E9922" t="str">
        <f t="shared" si="3658"/>
        <v>FL</v>
      </c>
      <c r="F9922" t="str">
        <f t="shared" si="3663"/>
        <v>322120005</v>
      </c>
      <c r="G9922" t="str">
        <f>T("PO BOX 5 BLDG 27")</f>
        <v>PO BOX 5 BLDG 27</v>
      </c>
      <c r="H9922" t="str">
        <f>T("ENTERPRISE AVE")</f>
        <v>ENTERPRISE AVE</v>
      </c>
      <c r="I9922" t="str">
        <f t="shared" si="3659"/>
        <v>JACKSONVILLE</v>
      </c>
      <c r="J9922" t="str">
        <f t="shared" si="3660"/>
        <v>FL</v>
      </c>
      <c r="K9922" t="str">
        <f>T("9045420144")</f>
        <v>9045420144</v>
      </c>
      <c r="L9922" t="str">
        <f>T("9045421828")</f>
        <v>9045421828</v>
      </c>
    </row>
    <row r="9923" spans="1:12" x14ac:dyDescent="0.35">
      <c r="A9923" t="str">
        <f t="shared" si="3656"/>
        <v>NAS JAX</v>
      </c>
      <c r="B9923" t="str">
        <f t="shared" si="3661"/>
        <v>BOX 5 BLDG 27</v>
      </c>
      <c r="C9923" t="str">
        <f t="shared" si="3662"/>
        <v>LANGLEY STREET</v>
      </c>
      <c r="D9923" t="str">
        <f t="shared" si="3657"/>
        <v>JACKSONVILLE</v>
      </c>
      <c r="E9923" t="str">
        <f t="shared" si="3658"/>
        <v>FL</v>
      </c>
      <c r="F9923" t="str">
        <f t="shared" si="3663"/>
        <v>322120005</v>
      </c>
      <c r="G9923" t="str">
        <f>T("PWD NAVFAC SOUTHEAST")</f>
        <v>PWD NAVFAC SOUTHEAST</v>
      </c>
      <c r="H9923" t="str">
        <f>T("PO BOX 5 BLDG 27 ENTERPRISE AVE")</f>
        <v>PO BOX 5 BLDG 27 ENTERPRISE AVE</v>
      </c>
      <c r="I9923" t="str">
        <f t="shared" si="3659"/>
        <v>JACKSONVILLE</v>
      </c>
      <c r="J9923" t="str">
        <f t="shared" si="3660"/>
        <v>FL</v>
      </c>
      <c r="K9923" t="str">
        <f>T("9045420144")</f>
        <v>9045420144</v>
      </c>
      <c r="L9923" t="str">
        <f>T("9045421825")</f>
        <v>9045421825</v>
      </c>
    </row>
    <row r="9924" spans="1:12" x14ac:dyDescent="0.35">
      <c r="A9924" t="str">
        <f t="shared" si="3656"/>
        <v>NAS JAX</v>
      </c>
      <c r="B9924" t="str">
        <f>T("GROUND ELECTRONICS")</f>
        <v>GROUND ELECTRONICS</v>
      </c>
      <c r="C9924" t="str">
        <f>T("PO BOX 7")</f>
        <v>PO BOX 7</v>
      </c>
      <c r="D9924" t="str">
        <f t="shared" si="3657"/>
        <v>JACKSONVILLE</v>
      </c>
      <c r="E9924" t="str">
        <f t="shared" si="3658"/>
        <v>FL</v>
      </c>
      <c r="F9924" t="str">
        <f>T("322120007")</f>
        <v>322120007</v>
      </c>
      <c r="G9924" t="str">
        <f>T("GROUND ELECTRONICS")</f>
        <v>GROUND ELECTRONICS</v>
      </c>
      <c r="H9924" t="str">
        <f>T("PO BOX 7")</f>
        <v>PO BOX 7</v>
      </c>
      <c r="I9924" t="str">
        <f t="shared" si="3659"/>
        <v>JACKSONVILLE</v>
      </c>
      <c r="J9924" t="str">
        <f t="shared" si="3660"/>
        <v>FL</v>
      </c>
      <c r="K9924" t="str">
        <f>T("9045423883")</f>
        <v>9045423883</v>
      </c>
      <c r="L9924" t="str">
        <f>T("9045425614")</f>
        <v>9045425614</v>
      </c>
    </row>
    <row r="9925" spans="1:12" x14ac:dyDescent="0.35">
      <c r="A9925" t="str">
        <f t="shared" si="3656"/>
        <v>NAS JAX</v>
      </c>
      <c r="B9925" t="str">
        <f>T("GROUND ELECTRONICS")</f>
        <v>GROUND ELECTRONICS</v>
      </c>
      <c r="C9925" t="str">
        <f>T("PO BOX 7")</f>
        <v>PO BOX 7</v>
      </c>
      <c r="D9925" t="str">
        <f t="shared" si="3657"/>
        <v>JACKSONVILLE</v>
      </c>
      <c r="E9925" t="str">
        <f t="shared" si="3658"/>
        <v>FL</v>
      </c>
      <c r="F9925" t="str">
        <f>T("322120007")</f>
        <v>322120007</v>
      </c>
      <c r="G9925" t="str">
        <f>T("NAS JAX GEMD OPS")</f>
        <v>NAS JAX GEMD OPS</v>
      </c>
      <c r="H9925" t="str">
        <f>T("PO BOX 7")</f>
        <v>PO BOX 7</v>
      </c>
      <c r="I9925" t="str">
        <f t="shared" si="3659"/>
        <v>JACKSONVILLE</v>
      </c>
      <c r="J9925" t="str">
        <f t="shared" si="3660"/>
        <v>FL</v>
      </c>
      <c r="K9925" t="str">
        <f>T("000000000000000000")</f>
        <v>000000000000000000</v>
      </c>
      <c r="L9925" t="str">
        <f>T("9045423152")</f>
        <v>9045423152</v>
      </c>
    </row>
    <row r="9926" spans="1:12" x14ac:dyDescent="0.35">
      <c r="A9926" t="str">
        <f t="shared" si="3656"/>
        <v>NAS JAX</v>
      </c>
      <c r="B9926" t="str">
        <f>T("P O BOX 133 BLDG 105")</f>
        <v>P O BOX 133 BLDG 105</v>
      </c>
      <c r="C9926" t="str">
        <f>T("RANGER ST AND YORKTOWN AVENUE")</f>
        <v>RANGER ST AND YORKTOWN AVENUE</v>
      </c>
      <c r="D9926" t="str">
        <f t="shared" si="3657"/>
        <v>JACKSONVILLE</v>
      </c>
      <c r="E9926" t="str">
        <f t="shared" si="3658"/>
        <v>FL</v>
      </c>
      <c r="F9926" t="str">
        <f>T("322120133")</f>
        <v>322120133</v>
      </c>
      <c r="G9926" t="str">
        <f>T("P O BOX 133 BLDG 105")</f>
        <v>P O BOX 133 BLDG 105</v>
      </c>
      <c r="H9926" t="str">
        <f>T("RANGER ST AND YORKTOWN AVENUE")</f>
        <v>RANGER ST AND YORKTOWN AVENUE</v>
      </c>
      <c r="I9926" t="str">
        <f t="shared" si="3659"/>
        <v>JACKSONVILLE</v>
      </c>
      <c r="J9926" t="str">
        <f t="shared" si="3660"/>
        <v>FL</v>
      </c>
      <c r="K9926" t="str">
        <f>T("9045423659")</f>
        <v>9045423659</v>
      </c>
      <c r="L9926" t="str">
        <f>T("1111111111")</f>
        <v>1111111111</v>
      </c>
    </row>
    <row r="9927" spans="1:12" x14ac:dyDescent="0.35">
      <c r="A9927" t="str">
        <f t="shared" si="3656"/>
        <v>NAS JAX</v>
      </c>
      <c r="B9927" t="str">
        <f>T("P O BOX 133 BLDG 105")</f>
        <v>P O BOX 133 BLDG 105</v>
      </c>
      <c r="C9927" t="str">
        <f>T("RANGER ST AND YORKTOWN AVENUE")</f>
        <v>RANGER ST AND YORKTOWN AVENUE</v>
      </c>
      <c r="D9927" t="str">
        <f t="shared" si="3657"/>
        <v>JACKSONVILLE</v>
      </c>
      <c r="E9927" t="str">
        <f t="shared" si="3658"/>
        <v>FL</v>
      </c>
      <c r="F9927" t="str">
        <f>T("322120133")</f>
        <v>322120133</v>
      </c>
      <c r="G9927" t="str">
        <f>T("P O BOX 133 BLDG 105")</f>
        <v>P O BOX 133 BLDG 105</v>
      </c>
      <c r="H9927" t="str">
        <f>T("RANGER ST AND YORKTOWN AVENUE")</f>
        <v>RANGER ST AND YORKTOWN AVENUE</v>
      </c>
      <c r="I9927" t="str">
        <f t="shared" si="3659"/>
        <v>JACKSONVILLE</v>
      </c>
      <c r="J9927" t="str">
        <f t="shared" si="3660"/>
        <v>FL</v>
      </c>
      <c r="K9927" t="str">
        <f>T("9045423659")</f>
        <v>9045423659</v>
      </c>
      <c r="L9927" t="str">
        <f>T("9045422342")</f>
        <v>9045422342</v>
      </c>
    </row>
    <row r="9928" spans="1:12" x14ac:dyDescent="0.35">
      <c r="A9928" t="str">
        <f t="shared" si="3656"/>
        <v>NAS JAX</v>
      </c>
      <c r="B9928" t="str">
        <f>T("P O BOX 133 BLDG 105")</f>
        <v>P O BOX 133 BLDG 105</v>
      </c>
      <c r="C9928" t="str">
        <f>T("RANGER ST AND YORKTOWN AVENUE")</f>
        <v>RANGER ST AND YORKTOWN AVENUE</v>
      </c>
      <c r="D9928" t="str">
        <f t="shared" si="3657"/>
        <v>JACKSONVILLE</v>
      </c>
      <c r="E9928" t="str">
        <f t="shared" si="3658"/>
        <v>FL</v>
      </c>
      <c r="F9928" t="str">
        <f>T("322120133")</f>
        <v>322120133</v>
      </c>
      <c r="G9928" t="str">
        <f>T("P O BOX 133 BLDG 105")</f>
        <v>P O BOX 133 BLDG 105</v>
      </c>
      <c r="H9928" t="str">
        <f>T("RANGER ST AND YORKTOWN AVENUE")</f>
        <v>RANGER ST AND YORKTOWN AVENUE</v>
      </c>
      <c r="I9928" t="str">
        <f t="shared" si="3659"/>
        <v>JACKSONVILLE</v>
      </c>
      <c r="J9928" t="str">
        <f t="shared" si="3660"/>
        <v>FL</v>
      </c>
      <c r="K9928" t="str">
        <f>T("9045423695")</f>
        <v>9045423695</v>
      </c>
      <c r="L9928" t="str">
        <f>T("9045422451")</f>
        <v>9045422451</v>
      </c>
    </row>
    <row r="9929" spans="1:12" x14ac:dyDescent="0.35">
      <c r="A9929" t="str">
        <f t="shared" si="3656"/>
        <v>NAS JAX</v>
      </c>
      <c r="B9929" t="str">
        <f>T("PO BOX 136 BLDG 554")</f>
        <v>PO BOX 136 BLDG 554</v>
      </c>
      <c r="C9929" t="str">
        <f>T("CHILD STREET")</f>
        <v>CHILD STREET</v>
      </c>
      <c r="D9929" t="str">
        <f t="shared" si="3657"/>
        <v>JACKSONVILLE</v>
      </c>
      <c r="E9929" t="str">
        <f t="shared" si="3658"/>
        <v>FL</v>
      </c>
      <c r="F9929" t="str">
        <f>T("322120136")</f>
        <v>322120136</v>
      </c>
      <c r="G9929" t="str">
        <f>T("554 CHILD ST BOX 136")</f>
        <v>554 CHILD ST BOX 136</v>
      </c>
      <c r="H9929" t="str">
        <f>T("")</f>
        <v/>
      </c>
      <c r="I9929" t="str">
        <f t="shared" si="3659"/>
        <v>JACKSONVILLE</v>
      </c>
      <c r="J9929" t="str">
        <f t="shared" si="3660"/>
        <v>FL</v>
      </c>
      <c r="K9929" t="str">
        <f>T("000000000000000000")</f>
        <v>000000000000000000</v>
      </c>
      <c r="L9929" t="str">
        <f>T("9045423128")</f>
        <v>9045423128</v>
      </c>
    </row>
    <row r="9930" spans="1:12" x14ac:dyDescent="0.35">
      <c r="A9930" t="str">
        <f t="shared" si="3656"/>
        <v>NAS JAX</v>
      </c>
      <c r="B9930" t="str">
        <f>T("PO BOX 136 BLDG 554")</f>
        <v>PO BOX 136 BLDG 554</v>
      </c>
      <c r="C9930" t="str">
        <f>T("CHILD STREET")</f>
        <v>CHILD STREET</v>
      </c>
      <c r="D9930" t="str">
        <f t="shared" si="3657"/>
        <v>JACKSONVILLE</v>
      </c>
      <c r="E9930" t="str">
        <f t="shared" si="3658"/>
        <v>FL</v>
      </c>
      <c r="F9930" t="str">
        <f>T("322120136")</f>
        <v>322120136</v>
      </c>
      <c r="G9930" t="str">
        <f>T("PO BOX 136 BLDG 554")</f>
        <v>PO BOX 136 BLDG 554</v>
      </c>
      <c r="H9930" t="str">
        <f>T("CHILD STREET")</f>
        <v>CHILD STREET</v>
      </c>
      <c r="I9930" t="str">
        <f t="shared" si="3659"/>
        <v>JACKSONVILLE</v>
      </c>
      <c r="J9930" t="str">
        <f t="shared" si="3660"/>
        <v>FL</v>
      </c>
      <c r="K9930" t="str">
        <f>T("9045425176")</f>
        <v>9045425176</v>
      </c>
      <c r="L9930" t="str">
        <f>T("9045422766")</f>
        <v>9045422766</v>
      </c>
    </row>
    <row r="9931" spans="1:12" x14ac:dyDescent="0.35">
      <c r="A9931" t="str">
        <f t="shared" si="3656"/>
        <v>NAS JAX</v>
      </c>
      <c r="B9931" t="str">
        <f>T("PO BOX 2")</f>
        <v>PO BOX 2</v>
      </c>
      <c r="C9931" t="str">
        <f>T("LANGLEY STREET")</f>
        <v>LANGLEY STREET</v>
      </c>
      <c r="D9931" t="str">
        <f t="shared" si="3657"/>
        <v>JACKSONVILLE</v>
      </c>
      <c r="E9931" t="str">
        <f t="shared" si="3658"/>
        <v>FL</v>
      </c>
      <c r="F9931" t="str">
        <f>T("322120002")</f>
        <v>322120002</v>
      </c>
      <c r="G9931" t="str">
        <f>T("PO BOX 2")</f>
        <v>PO BOX 2</v>
      </c>
      <c r="H9931" t="str">
        <f>T("LANGLEY STREET")</f>
        <v>LANGLEY STREET</v>
      </c>
      <c r="I9931" t="str">
        <f t="shared" si="3659"/>
        <v>JACKSONVILLE</v>
      </c>
      <c r="J9931" t="str">
        <f t="shared" si="3660"/>
        <v>FL</v>
      </c>
      <c r="K9931" t="str">
        <f>T("9045425044")</f>
        <v>9045425044</v>
      </c>
      <c r="L9931" t="str">
        <f>T("9045422104")</f>
        <v>9045422104</v>
      </c>
    </row>
    <row r="9932" spans="1:12" x14ac:dyDescent="0.35">
      <c r="A9932" t="str">
        <f t="shared" si="3656"/>
        <v>NAS JAX</v>
      </c>
      <c r="B9932" t="str">
        <f>T("PO BOX 2")</f>
        <v>PO BOX 2</v>
      </c>
      <c r="C9932" t="str">
        <f>T("LANGLEY STREET")</f>
        <v>LANGLEY STREET</v>
      </c>
      <c r="D9932" t="str">
        <f t="shared" si="3657"/>
        <v>JACKSONVILLE</v>
      </c>
      <c r="E9932" t="str">
        <f t="shared" si="3658"/>
        <v>FL</v>
      </c>
      <c r="F9932" t="str">
        <f>T("322120002")</f>
        <v>322120002</v>
      </c>
      <c r="G9932" t="str">
        <f>T("PO BOX 2 NAVAL AIR STATION")</f>
        <v>PO BOX 2 NAVAL AIR STATION</v>
      </c>
      <c r="H9932" t="str">
        <f>T("BLDG 1")</f>
        <v>BLDG 1</v>
      </c>
      <c r="I9932" t="str">
        <f t="shared" si="3659"/>
        <v>JACKSONVILLE</v>
      </c>
      <c r="J9932" t="str">
        <f t="shared" si="3660"/>
        <v>FL</v>
      </c>
      <c r="K9932" t="str">
        <f>T("9045425495")</f>
        <v>9045425495</v>
      </c>
      <c r="L9932" t="str">
        <f>T("9045424113")</f>
        <v>9045424113</v>
      </c>
    </row>
    <row r="9933" spans="1:12" x14ac:dyDescent="0.35">
      <c r="A9933" t="str">
        <f t="shared" si="3656"/>
        <v>NAS JAX</v>
      </c>
      <c r="B9933" t="str">
        <f>T("PO BOX 21")</f>
        <v>PO BOX 21</v>
      </c>
      <c r="C9933" t="str">
        <f>T("BLDG ONE LANGLEY STREET")</f>
        <v>BLDG ONE LANGLEY STREET</v>
      </c>
      <c r="D9933" t="str">
        <f t="shared" si="3657"/>
        <v>JACKSONVILLE</v>
      </c>
      <c r="E9933" t="str">
        <f t="shared" si="3658"/>
        <v>FL</v>
      </c>
      <c r="F9933" t="str">
        <f>T("322120021")</f>
        <v>322120021</v>
      </c>
      <c r="G9933" t="str">
        <f>T("BLDG 1 LANGLEY STREET")</f>
        <v>BLDG 1 LANGLEY STREET</v>
      </c>
      <c r="H9933" t="str">
        <f>T("")</f>
        <v/>
      </c>
      <c r="I9933" t="str">
        <f t="shared" si="3659"/>
        <v>JACKSONVILLE</v>
      </c>
      <c r="J9933" t="str">
        <f t="shared" si="3660"/>
        <v>FL</v>
      </c>
      <c r="K9933" t="str">
        <f>T("000000000000000000")</f>
        <v>000000000000000000</v>
      </c>
      <c r="L9933" t="str">
        <f>T("9045425580")</f>
        <v>9045425580</v>
      </c>
    </row>
    <row r="9934" spans="1:12" x14ac:dyDescent="0.35">
      <c r="A9934" t="str">
        <f t="shared" si="3656"/>
        <v>NAS JAX</v>
      </c>
      <c r="B9934" t="str">
        <f>T("PO BOX 21")</f>
        <v>PO BOX 21</v>
      </c>
      <c r="C9934" t="str">
        <f>T("BLDG ONE LANGLEY STREET")</f>
        <v>BLDG ONE LANGLEY STREET</v>
      </c>
      <c r="D9934" t="str">
        <f t="shared" si="3657"/>
        <v>JACKSONVILLE</v>
      </c>
      <c r="E9934" t="str">
        <f t="shared" si="3658"/>
        <v>FL</v>
      </c>
      <c r="F9934" t="str">
        <f>T("322120021")</f>
        <v>322120021</v>
      </c>
      <c r="G9934" t="str">
        <f>T("PO BOX 21")</f>
        <v>PO BOX 21</v>
      </c>
      <c r="H9934" t="str">
        <f>T("BLDG ONE LANGLEY STREET")</f>
        <v>BLDG ONE LANGLEY STREET</v>
      </c>
      <c r="I9934" t="str">
        <f t="shared" si="3659"/>
        <v>JACKSONVILLE</v>
      </c>
      <c r="J9934" t="str">
        <f t="shared" si="3660"/>
        <v>FL</v>
      </c>
      <c r="K9934" t="str">
        <f>T("9045428838")</f>
        <v>9045428838</v>
      </c>
      <c r="L9934" t="str">
        <f>T("9045425553")</f>
        <v>9045425553</v>
      </c>
    </row>
    <row r="9935" spans="1:12" x14ac:dyDescent="0.35">
      <c r="A9935" t="str">
        <f t="shared" si="3656"/>
        <v>NAS JAX</v>
      </c>
      <c r="B9935" t="str">
        <f>T("PO BOX 31 BLDG 876")</f>
        <v>PO BOX 31 BLDG 876</v>
      </c>
      <c r="C9935" t="str">
        <f>T("ALLEGHANY ROAD")</f>
        <v>ALLEGHANY ROAD</v>
      </c>
      <c r="D9935" t="str">
        <f t="shared" si="3657"/>
        <v>JACKSONVILLE</v>
      </c>
      <c r="E9935" t="str">
        <f t="shared" si="3658"/>
        <v>FL</v>
      </c>
      <c r="F9935" t="str">
        <f>T("322120031")</f>
        <v>322120031</v>
      </c>
      <c r="G9935" t="str">
        <f>T("P O BOX 31")</f>
        <v>P O BOX 31</v>
      </c>
      <c r="H9935" t="str">
        <f>T("BLDG 876 RM 222 HUMBOLDT AVE")</f>
        <v>BLDG 876 RM 222 HUMBOLDT AVE</v>
      </c>
      <c r="I9935" t="str">
        <f t="shared" si="3659"/>
        <v>JACKSONVILLE</v>
      </c>
      <c r="J9935" t="str">
        <f t="shared" si="3660"/>
        <v>FL</v>
      </c>
      <c r="K9935" t="str">
        <f>T("9045423525")</f>
        <v>9045423525</v>
      </c>
      <c r="L9935" t="str">
        <f>T("9045421474")</f>
        <v>9045421474</v>
      </c>
    </row>
    <row r="9936" spans="1:12" x14ac:dyDescent="0.35">
      <c r="A9936" t="str">
        <f t="shared" si="3656"/>
        <v>NAS JAX</v>
      </c>
      <c r="B9936" t="str">
        <f>T("PO BOX 31 BLDG 876")</f>
        <v>PO BOX 31 BLDG 876</v>
      </c>
      <c r="C9936" t="str">
        <f>T("ALLEGHANY ROAD")</f>
        <v>ALLEGHANY ROAD</v>
      </c>
      <c r="D9936" t="str">
        <f t="shared" si="3657"/>
        <v>JACKSONVILLE</v>
      </c>
      <c r="E9936" t="str">
        <f t="shared" ref="E9936:E9967" si="3664">T("FL")</f>
        <v>FL</v>
      </c>
      <c r="F9936" t="str">
        <f>T("322120031")</f>
        <v>322120031</v>
      </c>
      <c r="G9936" t="str">
        <f>T("PO BOX 31 BLDG 876")</f>
        <v>PO BOX 31 BLDG 876</v>
      </c>
      <c r="H9936" t="str">
        <f>T("ALLEGHANY ROAD")</f>
        <v>ALLEGHANY ROAD</v>
      </c>
      <c r="I9936" t="str">
        <f t="shared" si="3659"/>
        <v>JACKSONVILLE</v>
      </c>
      <c r="J9936" t="str">
        <f t="shared" ref="J9936:J9967" si="3665">T("FL")</f>
        <v>FL</v>
      </c>
      <c r="K9936" t="str">
        <f>T("9045423525")</f>
        <v>9045423525</v>
      </c>
      <c r="L9936" t="str">
        <f>T("9045420969")</f>
        <v>9045420969</v>
      </c>
    </row>
    <row r="9937" spans="1:12" x14ac:dyDescent="0.35">
      <c r="A9937" t="str">
        <f t="shared" si="3656"/>
        <v>NAS JAX</v>
      </c>
      <c r="B9937" t="str">
        <f>T("PO BOX 31 BLDG 876")</f>
        <v>PO BOX 31 BLDG 876</v>
      </c>
      <c r="C9937" t="str">
        <f>T("ALLEGHANY ROAD")</f>
        <v>ALLEGHANY ROAD</v>
      </c>
      <c r="D9937" t="str">
        <f t="shared" si="3657"/>
        <v>JACKSONVILLE</v>
      </c>
      <c r="E9937" t="str">
        <f t="shared" si="3664"/>
        <v>FL</v>
      </c>
      <c r="F9937" t="str">
        <f>T("322120031")</f>
        <v>322120031</v>
      </c>
      <c r="G9937" t="str">
        <f>T("PO BOX 31 SECURITY DEPT")</f>
        <v>PO BOX 31 SECURITY DEPT</v>
      </c>
      <c r="H9937" t="str">
        <f>T("HUMBOLDT AVE")</f>
        <v>HUMBOLDT AVE</v>
      </c>
      <c r="I9937" t="str">
        <f t="shared" si="3659"/>
        <v>JACKSONVILLE</v>
      </c>
      <c r="J9937" t="str">
        <f t="shared" si="3665"/>
        <v>FL</v>
      </c>
      <c r="K9937" t="str">
        <f>T("000000000000000000")</f>
        <v>000000000000000000</v>
      </c>
      <c r="L9937" t="str">
        <f>T("9045421470")</f>
        <v>9045421470</v>
      </c>
    </row>
    <row r="9938" spans="1:12" x14ac:dyDescent="0.35">
      <c r="A9938" t="str">
        <f t="shared" si="3656"/>
        <v>NAS JAX</v>
      </c>
      <c r="B9938" t="str">
        <f>T("PO BOX 31 BLDG 876")</f>
        <v>PO BOX 31 BLDG 876</v>
      </c>
      <c r="C9938" t="str">
        <f>T("ALLEGHANY ROAD")</f>
        <v>ALLEGHANY ROAD</v>
      </c>
      <c r="D9938" t="str">
        <f t="shared" si="3657"/>
        <v>JACKSONVILLE</v>
      </c>
      <c r="E9938" t="str">
        <f t="shared" si="3664"/>
        <v>FL</v>
      </c>
      <c r="F9938" t="str">
        <f>T("322120031")</f>
        <v>322120031</v>
      </c>
      <c r="G9938" t="str">
        <f>T("PO BOX 31 SECURITY DEPT")</f>
        <v>PO BOX 31 SECURITY DEPT</v>
      </c>
      <c r="H9938" t="str">
        <f>T("HUMBOLDT AVE")</f>
        <v>HUMBOLDT AVE</v>
      </c>
      <c r="I9938" t="str">
        <f t="shared" si="3659"/>
        <v>JACKSONVILLE</v>
      </c>
      <c r="J9938" t="str">
        <f t="shared" si="3665"/>
        <v>FL</v>
      </c>
      <c r="K9938" t="str">
        <f>T("000000000000000000")</f>
        <v>000000000000000000</v>
      </c>
      <c r="L9938" t="str">
        <f>T("9045425219")</f>
        <v>9045425219</v>
      </c>
    </row>
    <row r="9939" spans="1:12" x14ac:dyDescent="0.35">
      <c r="A9939" t="str">
        <f t="shared" si="3656"/>
        <v>NAS JAX</v>
      </c>
      <c r="B9939" t="str">
        <f>T("PO BOX 50 BLDG ONE")</f>
        <v>PO BOX 50 BLDG ONE</v>
      </c>
      <c r="C9939" t="str">
        <f>T("LANGLEY STREET")</f>
        <v>LANGLEY STREET</v>
      </c>
      <c r="D9939" t="str">
        <f t="shared" si="3657"/>
        <v>JACKSONVILLE</v>
      </c>
      <c r="E9939" t="str">
        <f t="shared" si="3664"/>
        <v>FL</v>
      </c>
      <c r="F9939" t="str">
        <f>T("322120050")</f>
        <v>322120050</v>
      </c>
      <c r="G9939" t="str">
        <f>T("FACILITIES DEPARTMENT")</f>
        <v>FACILITIES DEPARTMENT</v>
      </c>
      <c r="H9939" t="str">
        <f>T("PO BOX 50 BLDG ONE")</f>
        <v>PO BOX 50 BLDG ONE</v>
      </c>
      <c r="I9939" t="str">
        <f t="shared" si="3659"/>
        <v>JACKSONVILLE</v>
      </c>
      <c r="J9939" t="str">
        <f t="shared" si="3665"/>
        <v>FL</v>
      </c>
      <c r="K9939" t="str">
        <f>T("000000000000000000")</f>
        <v>000000000000000000</v>
      </c>
      <c r="L9939" t="str">
        <f>T("9045424283")</f>
        <v>9045424283</v>
      </c>
    </row>
    <row r="9940" spans="1:12" x14ac:dyDescent="0.35">
      <c r="A9940" t="str">
        <f t="shared" si="3656"/>
        <v>NAS JAX</v>
      </c>
      <c r="B9940" t="str">
        <f>T("PO BOX 50 BLDG ONE")</f>
        <v>PO BOX 50 BLDG ONE</v>
      </c>
      <c r="C9940" t="str">
        <f>T("LANGLEY STREET")</f>
        <v>LANGLEY STREET</v>
      </c>
      <c r="D9940" t="str">
        <f t="shared" si="3657"/>
        <v>JACKSONVILLE</v>
      </c>
      <c r="E9940" t="str">
        <f t="shared" si="3664"/>
        <v>FL</v>
      </c>
      <c r="F9940" t="str">
        <f>T("322120050")</f>
        <v>322120050</v>
      </c>
      <c r="G9940" t="str">
        <f>T("PO BOX 50 BLDG ONE")</f>
        <v>PO BOX 50 BLDG ONE</v>
      </c>
      <c r="H9940" t="str">
        <f>T("LANGLEY STREET")</f>
        <v>LANGLEY STREET</v>
      </c>
      <c r="I9940" t="str">
        <f t="shared" si="3659"/>
        <v>JACKSONVILLE</v>
      </c>
      <c r="J9940" t="str">
        <f t="shared" si="3665"/>
        <v>FL</v>
      </c>
      <c r="K9940" t="str">
        <f>T("000000000000000000")</f>
        <v>000000000000000000</v>
      </c>
      <c r="L9940" t="str">
        <f>T("9045425789")</f>
        <v>9045425789</v>
      </c>
    </row>
    <row r="9941" spans="1:12" x14ac:dyDescent="0.35">
      <c r="A9941" t="str">
        <f t="shared" si="3656"/>
        <v>NAS JAX</v>
      </c>
      <c r="B9941" t="str">
        <f>T("PO BOX 6")</f>
        <v>PO BOX 6</v>
      </c>
      <c r="C9941" t="str">
        <f>T("751 BIRMINGHAM AVE")</f>
        <v>751 BIRMINGHAM AVE</v>
      </c>
      <c r="D9941" t="str">
        <f t="shared" si="3657"/>
        <v>JACKSONVILLE</v>
      </c>
      <c r="E9941" t="str">
        <f t="shared" si="3664"/>
        <v>FL</v>
      </c>
      <c r="F9941" t="str">
        <f>T("322120006")</f>
        <v>322120006</v>
      </c>
      <c r="G9941" t="str">
        <f>T("751 BIRMINGHAM AVE")</f>
        <v>751 BIRMINGHAM AVE</v>
      </c>
      <c r="H9941" t="str">
        <f>T("PO BOX 6")</f>
        <v>PO BOX 6</v>
      </c>
      <c r="I9941" t="str">
        <f t="shared" si="3659"/>
        <v>JACKSONVILLE</v>
      </c>
      <c r="J9941" t="str">
        <f t="shared" si="3665"/>
        <v>FL</v>
      </c>
      <c r="K9941" t="str">
        <f>T("9045424014")</f>
        <v>9045424014</v>
      </c>
      <c r="L9941" t="str">
        <f>T("9045423051")</f>
        <v>9045423051</v>
      </c>
    </row>
    <row r="9942" spans="1:12" x14ac:dyDescent="0.35">
      <c r="A9942" t="str">
        <f t="shared" si="3656"/>
        <v>NAS JAX</v>
      </c>
      <c r="B9942" t="str">
        <f>T("PO BOX 6")</f>
        <v>PO BOX 6</v>
      </c>
      <c r="C9942" t="str">
        <f>T("751 BIRMINGHAM AVE")</f>
        <v>751 BIRMINGHAM AVE</v>
      </c>
      <c r="D9942" t="str">
        <f t="shared" si="3657"/>
        <v>JACKSONVILLE</v>
      </c>
      <c r="E9942" t="str">
        <f t="shared" si="3664"/>
        <v>FL</v>
      </c>
      <c r="F9942" t="str">
        <f>T("322120006")</f>
        <v>322120006</v>
      </c>
      <c r="G9942" t="str">
        <f>T("NAVAL AIR STATION JACKSONVILLE")</f>
        <v>NAVAL AIR STATION JACKSONVILLE</v>
      </c>
      <c r="H9942" t="str">
        <f>T("")</f>
        <v/>
      </c>
      <c r="I9942" t="str">
        <f t="shared" si="3659"/>
        <v>JACKSONVILLE</v>
      </c>
      <c r="J9942" t="str">
        <f t="shared" si="3665"/>
        <v>FL</v>
      </c>
      <c r="K9942" t="str">
        <f>T("000000000000000000")</f>
        <v>000000000000000000</v>
      </c>
      <c r="L9942" t="str">
        <f>T("9045423440")</f>
        <v>9045423440</v>
      </c>
    </row>
    <row r="9943" spans="1:12" x14ac:dyDescent="0.35">
      <c r="A9943" t="str">
        <f t="shared" si="3656"/>
        <v>NAS JAX</v>
      </c>
      <c r="B9943" t="str">
        <f>T("PO BOX 6")</f>
        <v>PO BOX 6</v>
      </c>
      <c r="C9943" t="str">
        <f>T("751 BIRMINGHAM AVE")</f>
        <v>751 BIRMINGHAM AVE</v>
      </c>
      <c r="D9943" t="str">
        <f t="shared" si="3657"/>
        <v>JACKSONVILLE</v>
      </c>
      <c r="E9943" t="str">
        <f t="shared" si="3664"/>
        <v>FL</v>
      </c>
      <c r="F9943" t="str">
        <f>T("322120006")</f>
        <v>322120006</v>
      </c>
      <c r="G9943" t="str">
        <f>T("PO BOX 6")</f>
        <v>PO BOX 6</v>
      </c>
      <c r="H9943" t="str">
        <f>T("751 BIRMINGHAM AVE")</f>
        <v>751 BIRMINGHAM AVE</v>
      </c>
      <c r="I9943" t="str">
        <f t="shared" si="3659"/>
        <v>JACKSONVILLE</v>
      </c>
      <c r="J9943" t="str">
        <f t="shared" si="3665"/>
        <v>FL</v>
      </c>
      <c r="K9943" t="str">
        <f>T("9045424014")</f>
        <v>9045424014</v>
      </c>
      <c r="L9943" t="str">
        <f>T("9045424014")</f>
        <v>9045424014</v>
      </c>
    </row>
    <row r="9944" spans="1:12" x14ac:dyDescent="0.35">
      <c r="A9944" t="str">
        <f t="shared" si="3656"/>
        <v>NAS JAX</v>
      </c>
      <c r="B9944" t="str">
        <f>T("PO BOX 7 AIR OPS")</f>
        <v>PO BOX 7 AIR OPS</v>
      </c>
      <c r="C9944" t="str">
        <f t="shared" ref="C9944:C9949" si="3666">T("")</f>
        <v/>
      </c>
      <c r="D9944" t="str">
        <f t="shared" si="3657"/>
        <v>JACKSONVILLE</v>
      </c>
      <c r="E9944" t="str">
        <f t="shared" si="3664"/>
        <v>FL</v>
      </c>
      <c r="F9944" t="str">
        <f>T("322120007")</f>
        <v>322120007</v>
      </c>
      <c r="G9944" t="str">
        <f>T("BOX 7 PORT OPS")</f>
        <v>BOX 7 PORT OPS</v>
      </c>
      <c r="H9944" t="str">
        <f>T("121 ALBERMARBLE AVE")</f>
        <v>121 ALBERMARBLE AVE</v>
      </c>
      <c r="I9944" t="str">
        <f t="shared" si="3659"/>
        <v>JACKSONVILLE</v>
      </c>
      <c r="J9944" t="str">
        <f t="shared" si="3665"/>
        <v>FL</v>
      </c>
      <c r="K9944" t="str">
        <f>T("000000000000000000")</f>
        <v>000000000000000000</v>
      </c>
      <c r="L9944" t="str">
        <f>T("9045422151")</f>
        <v>9045422151</v>
      </c>
    </row>
    <row r="9945" spans="1:12" x14ac:dyDescent="0.35">
      <c r="A9945" t="str">
        <f t="shared" si="3656"/>
        <v>NAS JAX</v>
      </c>
      <c r="B9945" t="str">
        <f>T("PO BOX 7 AIR OPS")</f>
        <v>PO BOX 7 AIR OPS</v>
      </c>
      <c r="C9945" t="str">
        <f t="shared" si="3666"/>
        <v/>
      </c>
      <c r="D9945" t="str">
        <f t="shared" si="3657"/>
        <v>JACKSONVILLE</v>
      </c>
      <c r="E9945" t="str">
        <f t="shared" si="3664"/>
        <v>FL</v>
      </c>
      <c r="F9945" t="str">
        <f>T("322120007")</f>
        <v>322120007</v>
      </c>
      <c r="G9945" t="str">
        <f>T("PO BOX 7 AIR OPS")</f>
        <v>PO BOX 7 AIR OPS</v>
      </c>
      <c r="H9945" t="str">
        <f>T("")</f>
        <v/>
      </c>
      <c r="I9945" t="str">
        <f t="shared" si="3659"/>
        <v>JACKSONVILLE</v>
      </c>
      <c r="J9945" t="str">
        <f t="shared" si="3665"/>
        <v>FL</v>
      </c>
      <c r="K9945" t="str">
        <f>T("9045423767")</f>
        <v>9045423767</v>
      </c>
      <c r="L9945" t="str">
        <f>T("9045423877")</f>
        <v>9045423877</v>
      </c>
    </row>
    <row r="9946" spans="1:12" x14ac:dyDescent="0.35">
      <c r="A9946" t="str">
        <f t="shared" si="3656"/>
        <v>NAS JAX</v>
      </c>
      <c r="B9946" t="str">
        <f>T("TPU/PCF BOX 86 BLDG 409")</f>
        <v>TPU/PCF BOX 86 BLDG 409</v>
      </c>
      <c r="C9946" t="str">
        <f t="shared" si="3666"/>
        <v/>
      </c>
      <c r="D9946" t="str">
        <f t="shared" si="3657"/>
        <v>JACKSONVILLE</v>
      </c>
      <c r="E9946" t="str">
        <f t="shared" si="3664"/>
        <v>FL</v>
      </c>
      <c r="F9946" t="str">
        <f>T("322120086")</f>
        <v>322120086</v>
      </c>
      <c r="G9946" t="str">
        <f>T("PO BOX 86")</f>
        <v>PO BOX 86</v>
      </c>
      <c r="H9946" t="str">
        <f>T("RANGER STREET NAS JAX")</f>
        <v>RANGER STREET NAS JAX</v>
      </c>
      <c r="I9946" t="str">
        <f t="shared" si="3659"/>
        <v>JACKSONVILLE</v>
      </c>
      <c r="J9946" t="str">
        <f t="shared" si="3665"/>
        <v>FL</v>
      </c>
      <c r="K9946" t="str">
        <f>T("000000000000000000")</f>
        <v>000000000000000000</v>
      </c>
      <c r="L9946" t="str">
        <f>T("9045424450")</f>
        <v>9045424450</v>
      </c>
    </row>
    <row r="9947" spans="1:12" x14ac:dyDescent="0.35">
      <c r="A9947" t="str">
        <f t="shared" si="3656"/>
        <v>NAS JAX</v>
      </c>
      <c r="B9947" t="str">
        <f>T("TPU/PCF BOX 86 BLDG 409")</f>
        <v>TPU/PCF BOX 86 BLDG 409</v>
      </c>
      <c r="C9947" t="str">
        <f t="shared" si="3666"/>
        <v/>
      </c>
      <c r="D9947" t="str">
        <f t="shared" si="3657"/>
        <v>JACKSONVILLE</v>
      </c>
      <c r="E9947" t="str">
        <f t="shared" si="3664"/>
        <v>FL</v>
      </c>
      <c r="F9947" t="str">
        <f>T("322120086")</f>
        <v>322120086</v>
      </c>
      <c r="G9947" t="str">
        <f>T("TPU/PCF BOX 86 BLDG 409")</f>
        <v>TPU/PCF BOX 86 BLDG 409</v>
      </c>
      <c r="H9947" t="str">
        <f>T("")</f>
        <v/>
      </c>
      <c r="I9947" t="str">
        <f t="shared" si="3659"/>
        <v>JACKSONVILLE</v>
      </c>
      <c r="J9947" t="str">
        <f t="shared" si="3665"/>
        <v>FL</v>
      </c>
      <c r="K9947" t="str">
        <f>T("9045424449")</f>
        <v>9045424449</v>
      </c>
      <c r="L9947" t="str">
        <f>T("9045424329")</f>
        <v>9045424329</v>
      </c>
    </row>
    <row r="9948" spans="1:12" x14ac:dyDescent="0.35">
      <c r="A9948" t="str">
        <f t="shared" ref="A9948:A9978" si="3667">T("NAS KEY WEST - BUS OPS")</f>
        <v>NAS KEY WEST - BUS OPS</v>
      </c>
      <c r="B9948" t="str">
        <f>T("1350 GARDINER STREET")</f>
        <v>1350 GARDINER STREET</v>
      </c>
      <c r="C9948" t="str">
        <f t="shared" si="3666"/>
        <v/>
      </c>
      <c r="D9948" t="str">
        <f t="shared" ref="D9948:D9978" si="3668">T("KEY WEST")</f>
        <v>KEY WEST</v>
      </c>
      <c r="E9948" t="str">
        <f t="shared" si="3664"/>
        <v>FL</v>
      </c>
      <c r="F9948" t="str">
        <f>T("330407606")</f>
        <v>330407606</v>
      </c>
      <c r="G9948" t="str">
        <f>T("1350 GARDINER ST")</f>
        <v>1350 GARDINER ST</v>
      </c>
      <c r="H9948" t="str">
        <f>T("RM 117")</f>
        <v>RM 117</v>
      </c>
      <c r="I9948" t="str">
        <f t="shared" ref="I9948:I9978" si="3669">T("KEY WEST")</f>
        <v>KEY WEST</v>
      </c>
      <c r="J9948" t="str">
        <f t="shared" si="3665"/>
        <v>FL</v>
      </c>
      <c r="K9948" t="str">
        <f>T("3052934116")</f>
        <v>3052934116</v>
      </c>
      <c r="L9948" t="str">
        <f>T("3052934127")</f>
        <v>3052934127</v>
      </c>
    </row>
    <row r="9949" spans="1:12" x14ac:dyDescent="0.35">
      <c r="A9949" t="str">
        <f t="shared" si="3667"/>
        <v>NAS KEY WEST - BUS OPS</v>
      </c>
      <c r="B9949" t="str">
        <f>T("1350 GARDINER STREET")</f>
        <v>1350 GARDINER STREET</v>
      </c>
      <c r="C9949" t="str">
        <f t="shared" si="3666"/>
        <v/>
      </c>
      <c r="D9949" t="str">
        <f t="shared" si="3668"/>
        <v>KEY WEST</v>
      </c>
      <c r="E9949" t="str">
        <f t="shared" si="3664"/>
        <v>FL</v>
      </c>
      <c r="F9949" t="str">
        <f>T("330407606")</f>
        <v>330407606</v>
      </c>
      <c r="G9949" t="str">
        <f>T("1350 GARDINER STREET")</f>
        <v>1350 GARDINER STREET</v>
      </c>
      <c r="H9949" t="str">
        <f>T("")</f>
        <v/>
      </c>
      <c r="I9949" t="str">
        <f t="shared" si="3669"/>
        <v>KEY WEST</v>
      </c>
      <c r="J9949" t="str">
        <f t="shared" si="3665"/>
        <v>FL</v>
      </c>
      <c r="K9949" t="str">
        <f>T("")</f>
        <v/>
      </c>
      <c r="L9949" t="str">
        <f>T("3052934466")</f>
        <v>3052934466</v>
      </c>
    </row>
    <row r="9950" spans="1:12" x14ac:dyDescent="0.35">
      <c r="A9950" t="str">
        <f t="shared" si="3667"/>
        <v>NAS KEY WEST - BUS OPS</v>
      </c>
      <c r="B9950" t="str">
        <f>T("BLDG A711-2")</f>
        <v>BLDG A711-2</v>
      </c>
      <c r="C9950" t="str">
        <f>T("NAVAL AIR STATION")</f>
        <v>NAVAL AIR STATION</v>
      </c>
      <c r="D9950" t="str">
        <f t="shared" si="3668"/>
        <v>KEY WEST</v>
      </c>
      <c r="E9950" t="str">
        <f t="shared" si="3664"/>
        <v>FL</v>
      </c>
      <c r="F9950" t="str">
        <f>T("330409030")</f>
        <v>330409030</v>
      </c>
      <c r="G9950" t="str">
        <f>T("BLDG A 7112")</f>
        <v>BLDG A 7112</v>
      </c>
      <c r="H9950" t="str">
        <f>T("NAS KEY WEST")</f>
        <v>NAS KEY WEST</v>
      </c>
      <c r="I9950" t="str">
        <f t="shared" si="3669"/>
        <v>KEY WEST</v>
      </c>
      <c r="J9950" t="str">
        <f t="shared" si="3665"/>
        <v>FL</v>
      </c>
      <c r="K9950" t="str">
        <f>T("3052932261")</f>
        <v>3052932261</v>
      </c>
      <c r="L9950" t="str">
        <f>T("3052932270")</f>
        <v>3052932270</v>
      </c>
    </row>
    <row r="9951" spans="1:12" x14ac:dyDescent="0.35">
      <c r="A9951" t="str">
        <f t="shared" si="3667"/>
        <v>NAS KEY WEST - BUS OPS</v>
      </c>
      <c r="B9951" t="str">
        <f>T("BLDG A711-2")</f>
        <v>BLDG A711-2</v>
      </c>
      <c r="C9951" t="str">
        <f>T("NAVAL AIR STATION")</f>
        <v>NAVAL AIR STATION</v>
      </c>
      <c r="D9951" t="str">
        <f t="shared" si="3668"/>
        <v>KEY WEST</v>
      </c>
      <c r="E9951" t="str">
        <f t="shared" si="3664"/>
        <v>FL</v>
      </c>
      <c r="F9951" t="str">
        <f>T("330409030")</f>
        <v>330409030</v>
      </c>
      <c r="G9951" t="str">
        <f>T("BLDG A711-2")</f>
        <v>BLDG A711-2</v>
      </c>
      <c r="H9951" t="str">
        <f>T("NAVAL AIR STATION")</f>
        <v>NAVAL AIR STATION</v>
      </c>
      <c r="I9951" t="str">
        <f t="shared" si="3669"/>
        <v>KEY WEST</v>
      </c>
      <c r="J9951" t="str">
        <f t="shared" si="3665"/>
        <v>FL</v>
      </c>
      <c r="K9951" t="str">
        <f>T("000000000000000000")</f>
        <v>000000000000000000</v>
      </c>
      <c r="L9951" t="str">
        <f>T("3052932530")</f>
        <v>3052932530</v>
      </c>
    </row>
    <row r="9952" spans="1:12" x14ac:dyDescent="0.35">
      <c r="A9952" t="str">
        <f t="shared" si="3667"/>
        <v>NAS KEY WEST - BUS OPS</v>
      </c>
      <c r="B9952" t="str">
        <f>T("CODE 01D PO BOX 9037")</f>
        <v>CODE 01D PO BOX 9037</v>
      </c>
      <c r="C9952" t="str">
        <f>T("804 SIGSBEE RD")</f>
        <v>804 SIGSBEE RD</v>
      </c>
      <c r="D9952" t="str">
        <f t="shared" si="3668"/>
        <v>KEY WEST</v>
      </c>
      <c r="E9952" t="str">
        <f t="shared" si="3664"/>
        <v>FL</v>
      </c>
      <c r="F9952" t="str">
        <f>T("330406793")</f>
        <v>330406793</v>
      </c>
      <c r="G9952" t="str">
        <f>T("804 SIGSBEE ROAD")</f>
        <v>804 SIGSBEE ROAD</v>
      </c>
      <c r="H9952" t="str">
        <f>T("")</f>
        <v/>
      </c>
      <c r="I9952" t="str">
        <f t="shared" si="3669"/>
        <v>KEY WEST</v>
      </c>
      <c r="J9952" t="str">
        <f t="shared" si="3665"/>
        <v>FL</v>
      </c>
      <c r="K9952" t="str">
        <f>T("3052934415")</f>
        <v>3052934415</v>
      </c>
      <c r="L9952" t="str">
        <f>T("3052932766")</f>
        <v>3052932766</v>
      </c>
    </row>
    <row r="9953" spans="1:12" x14ac:dyDescent="0.35">
      <c r="A9953" t="str">
        <f t="shared" si="3667"/>
        <v>NAS KEY WEST - BUS OPS</v>
      </c>
      <c r="B9953" t="str">
        <f>T("CODE 01D PO BOX 9037")</f>
        <v>CODE 01D PO BOX 9037</v>
      </c>
      <c r="C9953" t="str">
        <f>T("804 SIGSBEE RD")</f>
        <v>804 SIGSBEE RD</v>
      </c>
      <c r="D9953" t="str">
        <f t="shared" si="3668"/>
        <v>KEY WEST</v>
      </c>
      <c r="E9953" t="str">
        <f t="shared" si="3664"/>
        <v>FL</v>
      </c>
      <c r="F9953" t="str">
        <f>T("330406793")</f>
        <v>330406793</v>
      </c>
      <c r="G9953" t="str">
        <f>T("CODE 01D PO BOX 9037")</f>
        <v>CODE 01D PO BOX 9037</v>
      </c>
      <c r="H9953" t="str">
        <f>T("804 SIGSBEE RD")</f>
        <v>804 SIGSBEE RD</v>
      </c>
      <c r="I9953" t="str">
        <f t="shared" si="3669"/>
        <v>KEY WEST</v>
      </c>
      <c r="J9953" t="str">
        <f t="shared" si="3665"/>
        <v>FL</v>
      </c>
      <c r="K9953" t="str">
        <f>T("")</f>
        <v/>
      </c>
      <c r="L9953" t="str">
        <f>T("3052934412")</f>
        <v>3052934412</v>
      </c>
    </row>
    <row r="9954" spans="1:12" x14ac:dyDescent="0.35">
      <c r="A9954" t="str">
        <f t="shared" si="3667"/>
        <v>NAS KEY WEST - BUS OPS</v>
      </c>
      <c r="B9954" t="str">
        <f>T("CODE N1 POB 9001")</f>
        <v>CODE N1 POB 9001</v>
      </c>
      <c r="C9954" t="str">
        <f t="shared" ref="C9954:C9960" si="3670">T("NAVAL AIR STATION")</f>
        <v>NAVAL AIR STATION</v>
      </c>
      <c r="D9954" t="str">
        <f t="shared" si="3668"/>
        <v>KEY WEST</v>
      </c>
      <c r="E9954" t="str">
        <f t="shared" si="3664"/>
        <v>FL</v>
      </c>
      <c r="F9954" t="str">
        <f>T("330409001")</f>
        <v>330409001</v>
      </c>
      <c r="G9954" t="str">
        <f>T("BLDG A-324")</f>
        <v>BLDG A-324</v>
      </c>
      <c r="H9954" t="str">
        <f>T("FORESTALL AVENUE")</f>
        <v>FORESTALL AVENUE</v>
      </c>
      <c r="I9954" t="str">
        <f t="shared" si="3669"/>
        <v>KEY WEST</v>
      </c>
      <c r="J9954" t="str">
        <f t="shared" si="3665"/>
        <v>FL</v>
      </c>
      <c r="K9954" t="str">
        <f>T("3052932661")</f>
        <v>3052932661</v>
      </c>
      <c r="L9954" t="str">
        <f>T("3052932828")</f>
        <v>3052932828</v>
      </c>
    </row>
    <row r="9955" spans="1:12" x14ac:dyDescent="0.35">
      <c r="A9955" t="str">
        <f t="shared" si="3667"/>
        <v>NAS KEY WEST - BUS OPS</v>
      </c>
      <c r="B9955" t="str">
        <f>T("CODE N1 POB 9001")</f>
        <v>CODE N1 POB 9001</v>
      </c>
      <c r="C9955" t="str">
        <f t="shared" si="3670"/>
        <v>NAVAL AIR STATION</v>
      </c>
      <c r="D9955" t="str">
        <f t="shared" si="3668"/>
        <v>KEY WEST</v>
      </c>
      <c r="E9955" t="str">
        <f t="shared" si="3664"/>
        <v>FL</v>
      </c>
      <c r="F9955" t="str">
        <f>T("330409001")</f>
        <v>330409001</v>
      </c>
      <c r="G9955" t="str">
        <f>T("CODE N1 POB 9001")</f>
        <v>CODE N1 POB 9001</v>
      </c>
      <c r="H9955" t="str">
        <f>T("NAVAL AIR STATION")</f>
        <v>NAVAL AIR STATION</v>
      </c>
      <c r="I9955" t="str">
        <f t="shared" si="3669"/>
        <v>KEY WEST</v>
      </c>
      <c r="J9955" t="str">
        <f t="shared" si="3665"/>
        <v>FL</v>
      </c>
      <c r="K9955" t="str">
        <f>T("305 293 2126")</f>
        <v>305 293 2126</v>
      </c>
      <c r="L9955" t="str">
        <f>T("3052932619")</f>
        <v>3052932619</v>
      </c>
    </row>
    <row r="9956" spans="1:12" x14ac:dyDescent="0.35">
      <c r="A9956" t="str">
        <f t="shared" si="3667"/>
        <v>NAS KEY WEST - BUS OPS</v>
      </c>
      <c r="B9956" t="str">
        <f>T("CODE N1 POB 9001")</f>
        <v>CODE N1 POB 9001</v>
      </c>
      <c r="C9956" t="str">
        <f t="shared" si="3670"/>
        <v>NAVAL AIR STATION</v>
      </c>
      <c r="D9956" t="str">
        <f t="shared" si="3668"/>
        <v>KEY WEST</v>
      </c>
      <c r="E9956" t="str">
        <f t="shared" si="3664"/>
        <v>FL</v>
      </c>
      <c r="F9956" t="str">
        <f>T("330409001")</f>
        <v>330409001</v>
      </c>
      <c r="G9956" t="str">
        <f>T("P O BOX 9001")</f>
        <v>P O BOX 9001</v>
      </c>
      <c r="H9956" t="str">
        <f>T("")</f>
        <v/>
      </c>
      <c r="I9956" t="str">
        <f t="shared" si="3669"/>
        <v>KEY WEST</v>
      </c>
      <c r="J9956" t="str">
        <f t="shared" si="3665"/>
        <v>FL</v>
      </c>
      <c r="K9956" t="str">
        <f>T("3052932019")</f>
        <v>3052932019</v>
      </c>
      <c r="L9956" t="str">
        <f>T("3052932828")</f>
        <v>3052932828</v>
      </c>
    </row>
    <row r="9957" spans="1:12" x14ac:dyDescent="0.35">
      <c r="A9957" t="str">
        <f t="shared" si="3667"/>
        <v>NAS KEY WEST - BUS OPS</v>
      </c>
      <c r="B9957" t="str">
        <f>T("CODE N1 POB 9001")</f>
        <v>CODE N1 POB 9001</v>
      </c>
      <c r="C9957" t="str">
        <f t="shared" si="3670"/>
        <v>NAVAL AIR STATION</v>
      </c>
      <c r="D9957" t="str">
        <f t="shared" si="3668"/>
        <v>KEY WEST</v>
      </c>
      <c r="E9957" t="str">
        <f t="shared" si="3664"/>
        <v>FL</v>
      </c>
      <c r="F9957" t="str">
        <f>T("330409001")</f>
        <v>330409001</v>
      </c>
      <c r="G9957" t="str">
        <f>T("SIGSBEE RD")</f>
        <v>SIGSBEE RD</v>
      </c>
      <c r="H9957" t="str">
        <f>T("")</f>
        <v/>
      </c>
      <c r="I9957" t="str">
        <f t="shared" si="3669"/>
        <v>KEY WEST</v>
      </c>
      <c r="J9957" t="str">
        <f t="shared" si="3665"/>
        <v>FL</v>
      </c>
      <c r="K9957" t="str">
        <f>T("000000000000000000")</f>
        <v>000000000000000000</v>
      </c>
      <c r="L9957" t="str">
        <f>T("3052934408")</f>
        <v>3052934408</v>
      </c>
    </row>
    <row r="9958" spans="1:12" x14ac:dyDescent="0.35">
      <c r="A9958" t="str">
        <f t="shared" si="3667"/>
        <v>NAS KEY WEST - BUS OPS</v>
      </c>
      <c r="B9958" t="str">
        <f>T("CODE N2A POB 9029")</f>
        <v>CODE N2A POB 9029</v>
      </c>
      <c r="C9958" t="str">
        <f t="shared" si="3670"/>
        <v>NAVAL AIR STATION</v>
      </c>
      <c r="D9958" t="str">
        <f t="shared" si="3668"/>
        <v>KEY WEST</v>
      </c>
      <c r="E9958" t="str">
        <f t="shared" si="3664"/>
        <v>FL</v>
      </c>
      <c r="F9958" t="str">
        <f>T("330409029")</f>
        <v>330409029</v>
      </c>
      <c r="G9958" t="str">
        <f>T("BLDG 941 P O BOX 9001")</f>
        <v>BLDG 941 P O BOX 9001</v>
      </c>
      <c r="H9958" t="str">
        <f>T("")</f>
        <v/>
      </c>
      <c r="I9958" t="str">
        <f t="shared" si="3669"/>
        <v>KEY WEST</v>
      </c>
      <c r="J9958" t="str">
        <f t="shared" si="3665"/>
        <v>FL</v>
      </c>
      <c r="K9958" t="str">
        <f>T("3052932935")</f>
        <v>3052932935</v>
      </c>
      <c r="L9958" t="str">
        <f>T("3052932531")</f>
        <v>3052932531</v>
      </c>
    </row>
    <row r="9959" spans="1:12" x14ac:dyDescent="0.35">
      <c r="A9959" t="str">
        <f t="shared" si="3667"/>
        <v>NAS KEY WEST - BUS OPS</v>
      </c>
      <c r="B9959" t="str">
        <f>T("CODE N2A POB 9029")</f>
        <v>CODE N2A POB 9029</v>
      </c>
      <c r="C9959" t="str">
        <f t="shared" si="3670"/>
        <v>NAVAL AIR STATION</v>
      </c>
      <c r="D9959" t="str">
        <f t="shared" si="3668"/>
        <v>KEY WEST</v>
      </c>
      <c r="E9959" t="str">
        <f t="shared" si="3664"/>
        <v>FL</v>
      </c>
      <c r="F9959" t="str">
        <f>T("330409029")</f>
        <v>330409029</v>
      </c>
      <c r="G9959" t="str">
        <f>T("CODE 15B PO BOX 9029")</f>
        <v>CODE 15B PO BOX 9029</v>
      </c>
      <c r="H9959" t="str">
        <f>T("NAVAL AIR STATION")</f>
        <v>NAVAL AIR STATION</v>
      </c>
      <c r="I9959" t="str">
        <f t="shared" si="3669"/>
        <v>KEY WEST</v>
      </c>
      <c r="J9959" t="str">
        <f t="shared" si="3665"/>
        <v>FL</v>
      </c>
      <c r="K9959" t="str">
        <f>T("3052932640")</f>
        <v>3052932640</v>
      </c>
      <c r="L9959" t="str">
        <f>T("3052932925")</f>
        <v>3052932925</v>
      </c>
    </row>
    <row r="9960" spans="1:12" x14ac:dyDescent="0.35">
      <c r="A9960" t="str">
        <f t="shared" si="3667"/>
        <v>NAS KEY WEST - BUS OPS</v>
      </c>
      <c r="B9960" t="str">
        <f>T("CODE N2A POB 9029")</f>
        <v>CODE N2A POB 9029</v>
      </c>
      <c r="C9960" t="str">
        <f t="shared" si="3670"/>
        <v>NAVAL AIR STATION</v>
      </c>
      <c r="D9960" t="str">
        <f t="shared" si="3668"/>
        <v>KEY WEST</v>
      </c>
      <c r="E9960" t="str">
        <f t="shared" si="3664"/>
        <v>FL</v>
      </c>
      <c r="F9960" t="str">
        <f>T("330409029")</f>
        <v>330409029</v>
      </c>
      <c r="G9960" t="str">
        <f>T("CODE N2A POB 9029")</f>
        <v>CODE N2A POB 9029</v>
      </c>
      <c r="H9960" t="str">
        <f>T("NAVAL AIR STATION")</f>
        <v>NAVAL AIR STATION</v>
      </c>
      <c r="I9960" t="str">
        <f t="shared" si="3669"/>
        <v>KEY WEST</v>
      </c>
      <c r="J9960" t="str">
        <f t="shared" si="3665"/>
        <v>FL</v>
      </c>
      <c r="K9960" t="str">
        <f>T("")</f>
        <v/>
      </c>
      <c r="L9960" t="str">
        <f>T("3052932658")</f>
        <v>3052932658</v>
      </c>
    </row>
    <row r="9961" spans="1:12" x14ac:dyDescent="0.35">
      <c r="A9961" t="str">
        <f t="shared" si="3667"/>
        <v>NAS KEY WEST - BUS OPS</v>
      </c>
      <c r="B9961" t="str">
        <f>T("P O BOX 9031")</f>
        <v>P O BOX 9031</v>
      </c>
      <c r="C9961" t="str">
        <f>T("CODE N3")</f>
        <v>CODE N3</v>
      </c>
      <c r="D9961" t="str">
        <f t="shared" si="3668"/>
        <v>KEY WEST</v>
      </c>
      <c r="E9961" t="str">
        <f t="shared" si="3664"/>
        <v>FL</v>
      </c>
      <c r="F9961" t="str">
        <f>T("330409031")</f>
        <v>330409031</v>
      </c>
      <c r="G9961" t="str">
        <f>T("P O BOX 9031")</f>
        <v>P O BOX 9031</v>
      </c>
      <c r="H9961" t="str">
        <f>T("CODE N3")</f>
        <v>CODE N3</v>
      </c>
      <c r="I9961" t="str">
        <f t="shared" si="3669"/>
        <v>KEY WEST</v>
      </c>
      <c r="J9961" t="str">
        <f t="shared" si="3665"/>
        <v>FL</v>
      </c>
      <c r="K9961" t="str">
        <f>T("")</f>
        <v/>
      </c>
      <c r="L9961" t="str">
        <f>T("3052932428")</f>
        <v>3052932428</v>
      </c>
    </row>
    <row r="9962" spans="1:12" x14ac:dyDescent="0.35">
      <c r="A9962" t="str">
        <f t="shared" si="3667"/>
        <v>NAS KEY WEST - BUS OPS</v>
      </c>
      <c r="B9962" t="str">
        <f>T("P O BOX 9031")</f>
        <v>P O BOX 9031</v>
      </c>
      <c r="C9962" t="str">
        <f>T("CODE N3")</f>
        <v>CODE N3</v>
      </c>
      <c r="D9962" t="str">
        <f t="shared" si="3668"/>
        <v>KEY WEST</v>
      </c>
      <c r="E9962" t="str">
        <f t="shared" si="3664"/>
        <v>FL</v>
      </c>
      <c r="F9962" t="str">
        <f>T("330409031")</f>
        <v>330409031</v>
      </c>
      <c r="G9962" t="str">
        <f>T("PO BOX 9014")</f>
        <v>PO BOX 9014</v>
      </c>
      <c r="H9962" t="str">
        <f>T("")</f>
        <v/>
      </c>
      <c r="I9962" t="str">
        <f t="shared" si="3669"/>
        <v>KEY WEST</v>
      </c>
      <c r="J9962" t="str">
        <f t="shared" si="3665"/>
        <v>FL</v>
      </c>
      <c r="K9962" t="str">
        <f>T("000000000000000000")</f>
        <v>000000000000000000</v>
      </c>
      <c r="L9962" t="str">
        <f>T("3052932723")</f>
        <v>3052932723</v>
      </c>
    </row>
    <row r="9963" spans="1:12" x14ac:dyDescent="0.35">
      <c r="A9963" t="str">
        <f t="shared" si="3667"/>
        <v>NAS KEY WEST - BUS OPS</v>
      </c>
      <c r="B9963" t="str">
        <f>T("PO BOX 9001")</f>
        <v>PO BOX 9001</v>
      </c>
      <c r="C9963" t="str">
        <f>T("NAS")</f>
        <v>NAS</v>
      </c>
      <c r="D9963" t="str">
        <f t="shared" si="3668"/>
        <v>KEY WEST</v>
      </c>
      <c r="E9963" t="str">
        <f t="shared" si="3664"/>
        <v>FL</v>
      </c>
      <c r="F9963" t="str">
        <f>T("330409001")</f>
        <v>330409001</v>
      </c>
      <c r="G9963" t="str">
        <f>T("PO BOX 9001")</f>
        <v>PO BOX 9001</v>
      </c>
      <c r="H9963" t="str">
        <f>T("NAS")</f>
        <v>NAS</v>
      </c>
      <c r="I9963" t="str">
        <f t="shared" si="3669"/>
        <v>KEY WEST</v>
      </c>
      <c r="J9963" t="str">
        <f t="shared" si="3665"/>
        <v>FL</v>
      </c>
      <c r="K9963" t="str">
        <f>T("")</f>
        <v/>
      </c>
      <c r="L9963" t="str">
        <f>T("3052932027")</f>
        <v>3052932027</v>
      </c>
    </row>
    <row r="9964" spans="1:12" x14ac:dyDescent="0.35">
      <c r="A9964" t="str">
        <f t="shared" si="3667"/>
        <v>NAS KEY WEST - BUS OPS</v>
      </c>
      <c r="B9964" t="str">
        <f>T("PO BOX 9001")</f>
        <v>PO BOX 9001</v>
      </c>
      <c r="C9964" t="str">
        <f>T("NAS")</f>
        <v>NAS</v>
      </c>
      <c r="D9964" t="str">
        <f t="shared" si="3668"/>
        <v>KEY WEST</v>
      </c>
      <c r="E9964" t="str">
        <f t="shared" si="3664"/>
        <v>FL</v>
      </c>
      <c r="F9964" t="str">
        <f>T("330409001")</f>
        <v>330409001</v>
      </c>
      <c r="G9964" t="str">
        <f>T("PO BOX 9001")</f>
        <v>PO BOX 9001</v>
      </c>
      <c r="H9964" t="str">
        <f>T("NAVAL AIR STATION")</f>
        <v>NAVAL AIR STATION</v>
      </c>
      <c r="I9964" t="str">
        <f t="shared" si="3669"/>
        <v>KEY WEST</v>
      </c>
      <c r="J9964" t="str">
        <f t="shared" si="3665"/>
        <v>FL</v>
      </c>
      <c r="K9964" t="str">
        <f>T("000000000000000000")</f>
        <v>000000000000000000</v>
      </c>
      <c r="L9964" t="str">
        <f>T("3052932425")</f>
        <v>3052932425</v>
      </c>
    </row>
    <row r="9965" spans="1:12" x14ac:dyDescent="0.35">
      <c r="A9965" t="str">
        <f t="shared" si="3667"/>
        <v>NAS KEY WEST - BUS OPS</v>
      </c>
      <c r="B9965" t="str">
        <f>T("PO BOX 9001")</f>
        <v>PO BOX 9001</v>
      </c>
      <c r="C9965" t="str">
        <f>T("NAVAL AIR STATION")</f>
        <v>NAVAL AIR STATION</v>
      </c>
      <c r="D9965" t="str">
        <f t="shared" si="3668"/>
        <v>KEY WEST</v>
      </c>
      <c r="E9965" t="str">
        <f t="shared" si="3664"/>
        <v>FL</v>
      </c>
      <c r="F9965" t="str">
        <f>T("330409001")</f>
        <v>330409001</v>
      </c>
      <c r="G9965" t="str">
        <f>T("P O BOX 9047")</f>
        <v>P O BOX 9047</v>
      </c>
      <c r="H9965" t="str">
        <f>T("NAS KEY WEST")</f>
        <v>NAS KEY WEST</v>
      </c>
      <c r="I9965" t="str">
        <f t="shared" si="3669"/>
        <v>KEY WEST</v>
      </c>
      <c r="J9965" t="str">
        <f t="shared" si="3665"/>
        <v>FL</v>
      </c>
      <c r="K9965" t="str">
        <f>T("000000000000000000")</f>
        <v>000000000000000000</v>
      </c>
      <c r="L9965" t="str">
        <f>T("3052934755")</f>
        <v>3052934755</v>
      </c>
    </row>
    <row r="9966" spans="1:12" x14ac:dyDescent="0.35">
      <c r="A9966" t="str">
        <f t="shared" si="3667"/>
        <v>NAS KEY WEST - BUS OPS</v>
      </c>
      <c r="B9966" t="str">
        <f>T("PO BOX 9001")</f>
        <v>PO BOX 9001</v>
      </c>
      <c r="C9966" t="str">
        <f>T("NAVAL AIR STATION")</f>
        <v>NAVAL AIR STATION</v>
      </c>
      <c r="D9966" t="str">
        <f t="shared" si="3668"/>
        <v>KEY WEST</v>
      </c>
      <c r="E9966" t="str">
        <f t="shared" si="3664"/>
        <v>FL</v>
      </c>
      <c r="F9966" t="str">
        <f>T("330409001")</f>
        <v>330409001</v>
      </c>
      <c r="G9966" t="str">
        <f>T("PO BOX 9001")</f>
        <v>PO BOX 9001</v>
      </c>
      <c r="H9966" t="str">
        <f>T("NAVAL AIR STATION")</f>
        <v>NAVAL AIR STATION</v>
      </c>
      <c r="I9966" t="str">
        <f t="shared" si="3669"/>
        <v>KEY WEST</v>
      </c>
      <c r="J9966" t="str">
        <f t="shared" si="3665"/>
        <v>FL</v>
      </c>
      <c r="K9966" t="str">
        <f>T("")</f>
        <v/>
      </c>
      <c r="L9966" t="str">
        <f>T("3052934755")</f>
        <v>3052934755</v>
      </c>
    </row>
    <row r="9967" spans="1:12" x14ac:dyDescent="0.35">
      <c r="A9967" t="str">
        <f t="shared" si="3667"/>
        <v>NAS KEY WEST - BUS OPS</v>
      </c>
      <c r="B9967" t="str">
        <f>T("PO BOX 9007")</f>
        <v>PO BOX 9007</v>
      </c>
      <c r="C9967" t="str">
        <f>T("")</f>
        <v/>
      </c>
      <c r="D9967" t="str">
        <f t="shared" si="3668"/>
        <v>KEY WEST</v>
      </c>
      <c r="E9967" t="str">
        <f t="shared" si="3664"/>
        <v>FL</v>
      </c>
      <c r="F9967" t="str">
        <f>T("330409007")</f>
        <v>330409007</v>
      </c>
      <c r="G9967" t="str">
        <f>T("LANGLEY &amp; LEXINGTON A-629")</f>
        <v>LANGLEY &amp; LEXINGTON A-629</v>
      </c>
      <c r="H9967" t="str">
        <f>T("PO BOX 9007")</f>
        <v>PO BOX 9007</v>
      </c>
      <c r="I9967" t="str">
        <f t="shared" si="3669"/>
        <v>KEY WEST</v>
      </c>
      <c r="J9967" t="str">
        <f t="shared" si="3665"/>
        <v>FL</v>
      </c>
      <c r="K9967" t="str">
        <f>T("3052932825")</f>
        <v>3052932825</v>
      </c>
      <c r="L9967" t="str">
        <f>T("3052932340")</f>
        <v>3052932340</v>
      </c>
    </row>
    <row r="9968" spans="1:12" x14ac:dyDescent="0.35">
      <c r="A9968" t="str">
        <f t="shared" si="3667"/>
        <v>NAS KEY WEST - BUS OPS</v>
      </c>
      <c r="B9968" t="str">
        <f>T("PO BOX 9007")</f>
        <v>PO BOX 9007</v>
      </c>
      <c r="C9968" t="str">
        <f>T("")</f>
        <v/>
      </c>
      <c r="D9968" t="str">
        <f t="shared" si="3668"/>
        <v>KEY WEST</v>
      </c>
      <c r="E9968" t="str">
        <f t="shared" ref="E9968:E9978" si="3671">T("FL")</f>
        <v>FL</v>
      </c>
      <c r="F9968" t="str">
        <f>T("330409007")</f>
        <v>330409007</v>
      </c>
      <c r="G9968" t="str">
        <f>T("PO BOX 9007")</f>
        <v>PO BOX 9007</v>
      </c>
      <c r="H9968" t="str">
        <f>T("")</f>
        <v/>
      </c>
      <c r="I9968" t="str">
        <f t="shared" si="3669"/>
        <v>KEY WEST</v>
      </c>
      <c r="J9968" t="str">
        <f t="shared" ref="J9968:J9978" si="3672">T("FL")</f>
        <v>FL</v>
      </c>
      <c r="K9968" t="str">
        <f>T("")</f>
        <v/>
      </c>
      <c r="L9968" t="str">
        <f>T("3052932902")</f>
        <v>3052932902</v>
      </c>
    </row>
    <row r="9969" spans="1:12" x14ac:dyDescent="0.35">
      <c r="A9969" t="str">
        <f t="shared" si="3667"/>
        <v>NAS KEY WEST - BUS OPS</v>
      </c>
      <c r="B9969" t="str">
        <f>T("PO BOX 9007")</f>
        <v>PO BOX 9007</v>
      </c>
      <c r="C9969" t="str">
        <f>T("")</f>
        <v/>
      </c>
      <c r="D9969" t="str">
        <f t="shared" si="3668"/>
        <v>KEY WEST</v>
      </c>
      <c r="E9969" t="str">
        <f t="shared" si="3671"/>
        <v>FL</v>
      </c>
      <c r="F9969" t="str">
        <f>T("330409007")</f>
        <v>330409007</v>
      </c>
      <c r="G9969" t="str">
        <f>T("PO BOX 9007")</f>
        <v>PO BOX 9007</v>
      </c>
      <c r="H9969" t="str">
        <f>T("A-629 LANGLEY AVE")</f>
        <v>A-629 LANGLEY AVE</v>
      </c>
      <c r="I9969" t="str">
        <f t="shared" si="3669"/>
        <v>KEY WEST</v>
      </c>
      <c r="J9969" t="str">
        <f t="shared" si="3672"/>
        <v>FL</v>
      </c>
      <c r="K9969" t="str">
        <f>T("3052932825")</f>
        <v>3052932825</v>
      </c>
      <c r="L9969" t="str">
        <f>T("3052932903")</f>
        <v>3052932903</v>
      </c>
    </row>
    <row r="9970" spans="1:12" x14ac:dyDescent="0.35">
      <c r="A9970" t="str">
        <f t="shared" si="3667"/>
        <v>NAS KEY WEST - BUS OPS</v>
      </c>
      <c r="B9970" t="str">
        <f>T("PO BOX 9040")</f>
        <v>PO BOX 9040</v>
      </c>
      <c r="C9970" t="str">
        <f>T("CODE N6")</f>
        <v>CODE N6</v>
      </c>
      <c r="D9970" t="str">
        <f t="shared" si="3668"/>
        <v>KEY WEST</v>
      </c>
      <c r="E9970" t="str">
        <f t="shared" si="3671"/>
        <v>FL</v>
      </c>
      <c r="F9970" t="str">
        <f>T("330409040")</f>
        <v>330409040</v>
      </c>
      <c r="G9970" t="str">
        <f>T("P O BOX 9040 CODE N6")</f>
        <v>P O BOX 9040 CODE N6</v>
      </c>
      <c r="H9970" t="str">
        <f>T("NAVAL AIR STATION")</f>
        <v>NAVAL AIR STATION</v>
      </c>
      <c r="I9970" t="str">
        <f t="shared" si="3669"/>
        <v>KEY WEST</v>
      </c>
      <c r="J9970" t="str">
        <f t="shared" si="3672"/>
        <v>FL</v>
      </c>
      <c r="K9970" t="str">
        <f>T("000000000000000000")</f>
        <v>000000000000000000</v>
      </c>
      <c r="L9970" t="str">
        <f>T("3052932332")</f>
        <v>3052932332</v>
      </c>
    </row>
    <row r="9971" spans="1:12" x14ac:dyDescent="0.35">
      <c r="A9971" t="str">
        <f t="shared" si="3667"/>
        <v>NAS KEY WEST - BUS OPS</v>
      </c>
      <c r="B9971" t="str">
        <f>T("PO BOX 9040")</f>
        <v>PO BOX 9040</v>
      </c>
      <c r="C9971" t="str">
        <f>T("CODE N6")</f>
        <v>CODE N6</v>
      </c>
      <c r="D9971" t="str">
        <f t="shared" si="3668"/>
        <v>KEY WEST</v>
      </c>
      <c r="E9971" t="str">
        <f t="shared" si="3671"/>
        <v>FL</v>
      </c>
      <c r="F9971" t="str">
        <f>T("330409040")</f>
        <v>330409040</v>
      </c>
      <c r="G9971" t="str">
        <f>T("PO BOX 9040")</f>
        <v>PO BOX 9040</v>
      </c>
      <c r="H9971" t="str">
        <f>T("CODE N6")</f>
        <v>CODE N6</v>
      </c>
      <c r="I9971" t="str">
        <f t="shared" si="3669"/>
        <v>KEY WEST</v>
      </c>
      <c r="J9971" t="str">
        <f t="shared" si="3672"/>
        <v>FL</v>
      </c>
      <c r="K9971" t="str">
        <f>T("000000000000000000")</f>
        <v>000000000000000000</v>
      </c>
      <c r="L9971" t="str">
        <f>T("3052932353")</f>
        <v>3052932353</v>
      </c>
    </row>
    <row r="9972" spans="1:12" x14ac:dyDescent="0.35">
      <c r="A9972" t="str">
        <f t="shared" si="3667"/>
        <v>NAS KEY WEST - BUS OPS</v>
      </c>
      <c r="B9972" t="str">
        <f>T("PO BOX 9043")</f>
        <v>PO BOX 9043</v>
      </c>
      <c r="C9972" t="str">
        <f t="shared" ref="C9972:C9978" si="3673">T("NAVAL AIR STATION")</f>
        <v>NAVAL AIR STATION</v>
      </c>
      <c r="D9972" t="str">
        <f t="shared" si="3668"/>
        <v>KEY WEST</v>
      </c>
      <c r="E9972" t="str">
        <f t="shared" si="3671"/>
        <v>FL</v>
      </c>
      <c r="F9972" t="str">
        <f>T("330409043")</f>
        <v>330409043</v>
      </c>
      <c r="G9972" t="str">
        <f>T("PO BOX 9043")</f>
        <v>PO BOX 9043</v>
      </c>
      <c r="H9972" t="str">
        <f>T("NAS KEY WEST")</f>
        <v>NAS KEY WEST</v>
      </c>
      <c r="I9972" t="str">
        <f t="shared" si="3669"/>
        <v>KEY WEST</v>
      </c>
      <c r="J9972" t="str">
        <f t="shared" si="3672"/>
        <v>FL</v>
      </c>
      <c r="K9972" t="str">
        <f>T("3052935688")</f>
        <v>3052935688</v>
      </c>
      <c r="L9972" t="str">
        <f>T("3052935888")</f>
        <v>3052935888</v>
      </c>
    </row>
    <row r="9973" spans="1:12" x14ac:dyDescent="0.35">
      <c r="A9973" t="str">
        <f t="shared" si="3667"/>
        <v>NAS KEY WEST - BUS OPS</v>
      </c>
      <c r="B9973" t="str">
        <f>T("PO BOX 9043")</f>
        <v>PO BOX 9043</v>
      </c>
      <c r="C9973" t="str">
        <f t="shared" si="3673"/>
        <v>NAVAL AIR STATION</v>
      </c>
      <c r="D9973" t="str">
        <f t="shared" si="3668"/>
        <v>KEY WEST</v>
      </c>
      <c r="E9973" t="str">
        <f t="shared" si="3671"/>
        <v>FL</v>
      </c>
      <c r="F9973" t="str">
        <f>T("330409043")</f>
        <v>330409043</v>
      </c>
      <c r="G9973" t="str">
        <f>T("PO BOX 9043")</f>
        <v>PO BOX 9043</v>
      </c>
      <c r="H9973" t="str">
        <f>T("NAVAL AIR STATION")</f>
        <v>NAVAL AIR STATION</v>
      </c>
      <c r="I9973" t="str">
        <f t="shared" si="3669"/>
        <v>KEY WEST</v>
      </c>
      <c r="J9973" t="str">
        <f t="shared" si="3672"/>
        <v>FL</v>
      </c>
      <c r="K9973" t="str">
        <f>T("")</f>
        <v/>
      </c>
      <c r="L9973" t="str">
        <f>T("3052935888")</f>
        <v>3052935888</v>
      </c>
    </row>
    <row r="9974" spans="1:12" x14ac:dyDescent="0.35">
      <c r="A9974" t="str">
        <f t="shared" si="3667"/>
        <v>NAS KEY WEST - BUS OPS</v>
      </c>
      <c r="B9974" t="str">
        <f>T("POB 9001 CODE NO1OSH")</f>
        <v>POB 9001 CODE NO1OSH</v>
      </c>
      <c r="C9974" t="str">
        <f t="shared" si="3673"/>
        <v>NAVAL AIR STATION</v>
      </c>
      <c r="D9974" t="str">
        <f t="shared" si="3668"/>
        <v>KEY WEST</v>
      </c>
      <c r="E9974" t="str">
        <f t="shared" si="3671"/>
        <v>FL</v>
      </c>
      <c r="F9974" t="str">
        <f>T("330409001")</f>
        <v>330409001</v>
      </c>
      <c r="G9974" t="str">
        <f>T("NAS KEY WEST CODE N35 SAFETY")</f>
        <v>NAS KEY WEST CODE N35 SAFETY</v>
      </c>
      <c r="H9974" t="str">
        <f>T("BOX 9001")</f>
        <v>BOX 9001</v>
      </c>
      <c r="I9974" t="str">
        <f t="shared" si="3669"/>
        <v>KEY WEST</v>
      </c>
      <c r="J9974" t="str">
        <f t="shared" si="3672"/>
        <v>FL</v>
      </c>
      <c r="K9974" t="str">
        <f>T("3054832887")</f>
        <v>3054832887</v>
      </c>
      <c r="L9974" t="str">
        <f>T("3052932433")</f>
        <v>3052932433</v>
      </c>
    </row>
    <row r="9975" spans="1:12" x14ac:dyDescent="0.35">
      <c r="A9975" t="str">
        <f t="shared" si="3667"/>
        <v>NAS KEY WEST - BUS OPS</v>
      </c>
      <c r="B9975" t="str">
        <f>T("POB 9001 CODE NO1OSH")</f>
        <v>POB 9001 CODE NO1OSH</v>
      </c>
      <c r="C9975" t="str">
        <f t="shared" si="3673"/>
        <v>NAVAL AIR STATION</v>
      </c>
      <c r="D9975" t="str">
        <f t="shared" si="3668"/>
        <v>KEY WEST</v>
      </c>
      <c r="E9975" t="str">
        <f t="shared" si="3671"/>
        <v>FL</v>
      </c>
      <c r="F9975" t="str">
        <f>T("330409001")</f>
        <v>330409001</v>
      </c>
      <c r="G9975" t="str">
        <f>T("P O BOX 9023")</f>
        <v>P O BOX 9023</v>
      </c>
      <c r="H9975" t="str">
        <f>T("")</f>
        <v/>
      </c>
      <c r="I9975" t="str">
        <f t="shared" si="3669"/>
        <v>KEY WEST</v>
      </c>
      <c r="J9975" t="str">
        <f t="shared" si="3672"/>
        <v>FL</v>
      </c>
      <c r="K9975" t="str">
        <f>T("000000000000000000")</f>
        <v>000000000000000000</v>
      </c>
      <c r="L9975" t="str">
        <f>T("3052932318")</f>
        <v>3052932318</v>
      </c>
    </row>
    <row r="9976" spans="1:12" x14ac:dyDescent="0.35">
      <c r="A9976" t="str">
        <f t="shared" si="3667"/>
        <v>NAS KEY WEST - BUS OPS</v>
      </c>
      <c r="B9976" t="str">
        <f>T("POB 9001 CODE NO1OSH")</f>
        <v>POB 9001 CODE NO1OSH</v>
      </c>
      <c r="C9976" t="str">
        <f t="shared" si="3673"/>
        <v>NAVAL AIR STATION</v>
      </c>
      <c r="D9976" t="str">
        <f t="shared" si="3668"/>
        <v>KEY WEST</v>
      </c>
      <c r="E9976" t="str">
        <f t="shared" si="3671"/>
        <v>FL</v>
      </c>
      <c r="F9976" t="str">
        <f>T("330409001")</f>
        <v>330409001</v>
      </c>
      <c r="G9976" t="str">
        <f>T("POB 9001 CODE NO1OSH")</f>
        <v>POB 9001 CODE NO1OSH</v>
      </c>
      <c r="H9976" t="str">
        <f>T("NAVAL AIR STATION")</f>
        <v>NAVAL AIR STATION</v>
      </c>
      <c r="I9976" t="str">
        <f t="shared" si="3669"/>
        <v>KEY WEST</v>
      </c>
      <c r="J9976" t="str">
        <f t="shared" si="3672"/>
        <v>FL</v>
      </c>
      <c r="K9976" t="str">
        <f>T("000000000000000000")</f>
        <v>000000000000000000</v>
      </c>
      <c r="L9976" t="str">
        <f>T("3052932314")</f>
        <v>3052932314</v>
      </c>
    </row>
    <row r="9977" spans="1:12" x14ac:dyDescent="0.35">
      <c r="A9977" t="str">
        <f t="shared" si="3667"/>
        <v>NAS KEY WEST - BUS OPS</v>
      </c>
      <c r="B9977" t="str">
        <f>T("POB 9007 CODE N4P")</f>
        <v>POB 9007 CODE N4P</v>
      </c>
      <c r="C9977" t="str">
        <f t="shared" si="3673"/>
        <v>NAVAL AIR STATION</v>
      </c>
      <c r="D9977" t="str">
        <f t="shared" si="3668"/>
        <v>KEY WEST</v>
      </c>
      <c r="E9977" t="str">
        <f t="shared" si="3671"/>
        <v>FL</v>
      </c>
      <c r="F9977" t="str">
        <f>T("330409007")</f>
        <v>330409007</v>
      </c>
      <c r="G9977" t="str">
        <f>T("PO BOX 9007 CODE PRKW4")</f>
        <v>PO BOX 9007 CODE PRKW4</v>
      </c>
      <c r="H9977" t="str">
        <f>T("NAVAL AIR STATION")</f>
        <v>NAVAL AIR STATION</v>
      </c>
      <c r="I9977" t="str">
        <f t="shared" si="3669"/>
        <v>KEY WEST</v>
      </c>
      <c r="J9977" t="str">
        <f t="shared" si="3672"/>
        <v>FL</v>
      </c>
      <c r="K9977" t="str">
        <f>T("000000000000000000")</f>
        <v>000000000000000000</v>
      </c>
      <c r="L9977" t="str">
        <f>T("3057979924")</f>
        <v>3057979924</v>
      </c>
    </row>
    <row r="9978" spans="1:12" x14ac:dyDescent="0.35">
      <c r="A9978" t="str">
        <f t="shared" si="3667"/>
        <v>NAS KEY WEST - BUS OPS</v>
      </c>
      <c r="B9978" t="str">
        <f>T("POB 9007 CODE N4P")</f>
        <v>POB 9007 CODE N4P</v>
      </c>
      <c r="C9978" t="str">
        <f t="shared" si="3673"/>
        <v>NAVAL AIR STATION</v>
      </c>
      <c r="D9978" t="str">
        <f t="shared" si="3668"/>
        <v>KEY WEST</v>
      </c>
      <c r="E9978" t="str">
        <f t="shared" si="3671"/>
        <v>FL</v>
      </c>
      <c r="F9978" t="str">
        <f>T("330409007")</f>
        <v>330409007</v>
      </c>
      <c r="G9978" t="str">
        <f>T("POB 9007 CODE N4P")</f>
        <v>POB 9007 CODE N4P</v>
      </c>
      <c r="H9978" t="str">
        <f>T("NAVAL AIR STATION")</f>
        <v>NAVAL AIR STATION</v>
      </c>
      <c r="I9978" t="str">
        <f t="shared" si="3669"/>
        <v>KEY WEST</v>
      </c>
      <c r="J9978" t="str">
        <f t="shared" si="3672"/>
        <v>FL</v>
      </c>
      <c r="K9978" t="str">
        <f>T("000000000000000000")</f>
        <v>000000000000000000</v>
      </c>
      <c r="L9978" t="str">
        <f>T("3052932911")</f>
        <v>3052932911</v>
      </c>
    </row>
    <row r="9979" spans="1:12" x14ac:dyDescent="0.35">
      <c r="A9979" t="str">
        <f t="shared" ref="A9979:A10007" si="3674">T("NAS CORPUS CHRISTI")</f>
        <v>NAS CORPUS CHRISTI</v>
      </c>
      <c r="B9979" t="str">
        <f>T("10651 E ST BLDG H100")</f>
        <v>10651 E ST BLDG H100</v>
      </c>
      <c r="C9979" t="str">
        <f>T("")</f>
        <v/>
      </c>
      <c r="D9979" t="str">
        <f>T("CORPUS CHRISTI")</f>
        <v>CORPUS CHRISTI</v>
      </c>
      <c r="E9979" t="str">
        <f t="shared" ref="E9979:E10007" si="3675">T("TX")</f>
        <v>TX</v>
      </c>
      <c r="F9979" t="str">
        <f>T("784195130")</f>
        <v>784195130</v>
      </c>
      <c r="G9979" t="str">
        <f>T("10651 E ST BLDG H100")</f>
        <v>10651 E ST BLDG H100</v>
      </c>
      <c r="H9979" t="str">
        <f>T("")</f>
        <v/>
      </c>
      <c r="I9979" t="str">
        <f>T("CORPUS CHRISTI")</f>
        <v>CORPUS CHRISTI</v>
      </c>
      <c r="J9979" t="str">
        <f t="shared" ref="J9979:J10007" si="3676">T("TX")</f>
        <v>TX</v>
      </c>
      <c r="K9979" t="str">
        <f>T("361-961-3797")</f>
        <v>361-961-3797</v>
      </c>
      <c r="L9979" t="str">
        <f>T("3619612860")</f>
        <v>3619612860</v>
      </c>
    </row>
    <row r="9980" spans="1:12" x14ac:dyDescent="0.35">
      <c r="A9980" t="str">
        <f t="shared" si="3674"/>
        <v>NAS CORPUS CHRISTI</v>
      </c>
      <c r="B9980" t="str">
        <f>T("10651 E ST BLDG H100")</f>
        <v>10651 E ST BLDG H100</v>
      </c>
      <c r="C9980" t="str">
        <f>T("")</f>
        <v/>
      </c>
      <c r="D9980" t="str">
        <f>T("CORPUS CHRISTI")</f>
        <v>CORPUS CHRISTI</v>
      </c>
      <c r="E9980" t="str">
        <f t="shared" si="3675"/>
        <v>TX</v>
      </c>
      <c r="F9980" t="str">
        <f>T("784195130")</f>
        <v>784195130</v>
      </c>
      <c r="G9980" t="str">
        <f>T("11001 D STREET")</f>
        <v>11001 D STREET</v>
      </c>
      <c r="H9980" t="str">
        <f>T("ATTN FFSC")</f>
        <v>ATTN FFSC</v>
      </c>
      <c r="I9980" t="str">
        <f>T("CORPUS CHRISTI")</f>
        <v>CORPUS CHRISTI</v>
      </c>
      <c r="J9980" t="str">
        <f t="shared" si="3676"/>
        <v>TX</v>
      </c>
      <c r="K9980" t="str">
        <f>T("000000000000000000")</f>
        <v>000000000000000000</v>
      </c>
      <c r="L9980" t="str">
        <f>T("3619614337")</f>
        <v>3619614337</v>
      </c>
    </row>
    <row r="9981" spans="1:12" x14ac:dyDescent="0.35">
      <c r="A9981" t="str">
        <f t="shared" si="3674"/>
        <v>NAS CORPUS CHRISTI</v>
      </c>
      <c r="B9981" t="str">
        <f>T("10800 D STREET")</f>
        <v>10800 D STREET</v>
      </c>
      <c r="C9981" t="str">
        <f>T("BLDG 7")</f>
        <v>BLDG 7</v>
      </c>
      <c r="D9981" t="str">
        <f>T("CORP CHRISTI")</f>
        <v>CORP CHRISTI</v>
      </c>
      <c r="E9981" t="str">
        <f t="shared" si="3675"/>
        <v>TX</v>
      </c>
      <c r="F9981" t="str">
        <f>T("784190000")</f>
        <v>784190000</v>
      </c>
      <c r="G9981" t="str">
        <f>T("10800 AVENUE D")</f>
        <v>10800 AVENUE D</v>
      </c>
      <c r="H9981" t="str">
        <f>T("ROOM 170")</f>
        <v>ROOM 170</v>
      </c>
      <c r="I9981" t="str">
        <f>T("CORPUS CHRISTI")</f>
        <v>CORPUS CHRISTI</v>
      </c>
      <c r="J9981" t="str">
        <f t="shared" si="3676"/>
        <v>TX</v>
      </c>
      <c r="K9981" t="str">
        <f>T("3619611722")</f>
        <v>3619611722</v>
      </c>
      <c r="L9981" t="str">
        <f>T("3619611706")</f>
        <v>3619611706</v>
      </c>
    </row>
    <row r="9982" spans="1:12" x14ac:dyDescent="0.35">
      <c r="A9982" t="str">
        <f t="shared" si="3674"/>
        <v>NAS CORPUS CHRISTI</v>
      </c>
      <c r="B9982" t="str">
        <f>T("10800 D STREET")</f>
        <v>10800 D STREET</v>
      </c>
      <c r="C9982" t="str">
        <f>T("BLDG 7")</f>
        <v>BLDG 7</v>
      </c>
      <c r="D9982" t="str">
        <f>T("CORP CHRISTI")</f>
        <v>CORP CHRISTI</v>
      </c>
      <c r="E9982" t="str">
        <f t="shared" si="3675"/>
        <v>TX</v>
      </c>
      <c r="F9982" t="str">
        <f>T("784190000")</f>
        <v>784190000</v>
      </c>
      <c r="G9982" t="str">
        <f>T("10800 D STREET")</f>
        <v>10800 D STREET</v>
      </c>
      <c r="H9982" t="str">
        <f>T("BLDG 7")</f>
        <v>BLDG 7</v>
      </c>
      <c r="I9982" t="str">
        <f>T("CORP CHRISTI")</f>
        <v>CORP CHRISTI</v>
      </c>
      <c r="J9982" t="str">
        <f t="shared" si="3676"/>
        <v>TX</v>
      </c>
      <c r="K9982" t="str">
        <f>T("")</f>
        <v/>
      </c>
      <c r="L9982" t="str">
        <f>T("3619613332")</f>
        <v>3619613332</v>
      </c>
    </row>
    <row r="9983" spans="1:12" x14ac:dyDescent="0.35">
      <c r="A9983" t="str">
        <f t="shared" si="3674"/>
        <v>NAS CORPUS CHRISTI</v>
      </c>
      <c r="B9983" t="str">
        <f>T("10800 D STREET")</f>
        <v>10800 D STREET</v>
      </c>
      <c r="C9983" t="str">
        <f>T("BLDG 7")</f>
        <v>BLDG 7</v>
      </c>
      <c r="D9983" t="str">
        <f>T("CORP CHRISTI")</f>
        <v>CORP CHRISTI</v>
      </c>
      <c r="E9983" t="str">
        <f t="shared" si="3675"/>
        <v>TX</v>
      </c>
      <c r="F9983" t="str">
        <f>T("784190000")</f>
        <v>784190000</v>
      </c>
      <c r="G9983" t="str">
        <f>T("10800 D STREET")</f>
        <v>10800 D STREET</v>
      </c>
      <c r="H9983" t="str">
        <f>T("BLDG 7")</f>
        <v>BLDG 7</v>
      </c>
      <c r="I9983" t="str">
        <f t="shared" ref="I9983:I9991" si="3677">T("CORPUS CHRISTI")</f>
        <v>CORPUS CHRISTI</v>
      </c>
      <c r="J9983" t="str">
        <f t="shared" si="3676"/>
        <v>TX</v>
      </c>
      <c r="K9983" t="str">
        <f>T("000000000000000000")</f>
        <v>000000000000000000</v>
      </c>
      <c r="L9983" t="str">
        <f>T("3619611706")</f>
        <v>3619611706</v>
      </c>
    </row>
    <row r="9984" spans="1:12" x14ac:dyDescent="0.35">
      <c r="A9984" t="str">
        <f t="shared" si="3674"/>
        <v>NAS CORPUS CHRISTI</v>
      </c>
      <c r="B9984" t="str">
        <f t="shared" ref="B9984:B9989" si="3678">T("11001 D ST")</f>
        <v>11001 D ST</v>
      </c>
      <c r="C9984" t="str">
        <f>T("")</f>
        <v/>
      </c>
      <c r="D9984" t="str">
        <f t="shared" ref="D9984:D9991" si="3679">T("CORPUS CHRISTI")</f>
        <v>CORPUS CHRISTI</v>
      </c>
      <c r="E9984" t="str">
        <f t="shared" si="3675"/>
        <v>TX</v>
      </c>
      <c r="F9984" t="str">
        <f>T("784195020")</f>
        <v>784195020</v>
      </c>
      <c r="G9984" t="str">
        <f>T("11001 D ST")</f>
        <v>11001 D ST</v>
      </c>
      <c r="H9984" t="str">
        <f>T("")</f>
        <v/>
      </c>
      <c r="I9984" t="str">
        <f t="shared" si="3677"/>
        <v>CORPUS CHRISTI</v>
      </c>
      <c r="J9984" t="str">
        <f t="shared" si="3676"/>
        <v>TX</v>
      </c>
      <c r="K9984" t="str">
        <f>T("")</f>
        <v/>
      </c>
      <c r="L9984" t="str">
        <f>T("3619612170")</f>
        <v>3619612170</v>
      </c>
    </row>
    <row r="9985" spans="1:12" x14ac:dyDescent="0.35">
      <c r="A9985" t="str">
        <f t="shared" si="3674"/>
        <v>NAS CORPUS CHRISTI</v>
      </c>
      <c r="B9985" t="str">
        <f t="shared" si="3678"/>
        <v>11001 D ST</v>
      </c>
      <c r="C9985" t="str">
        <f>T("")</f>
        <v/>
      </c>
      <c r="D9985" t="str">
        <f t="shared" si="3679"/>
        <v>CORPUS CHRISTI</v>
      </c>
      <c r="E9985" t="str">
        <f t="shared" si="3675"/>
        <v>TX</v>
      </c>
      <c r="F9985" t="str">
        <f>T("784195020")</f>
        <v>784195020</v>
      </c>
      <c r="G9985" t="str">
        <f>T("11001 D STREET")</f>
        <v>11001 D STREET</v>
      </c>
      <c r="H9985" t="str">
        <f>T("SUITE 121")</f>
        <v>SUITE 121</v>
      </c>
      <c r="I9985" t="str">
        <f t="shared" si="3677"/>
        <v>CORPUS CHRISTI</v>
      </c>
      <c r="J9985" t="str">
        <f t="shared" si="3676"/>
        <v>TX</v>
      </c>
      <c r="K9985" t="str">
        <f>T("000000000000000000")</f>
        <v>000000000000000000</v>
      </c>
      <c r="L9985" t="str">
        <f>T("3619615357")</f>
        <v>3619615357</v>
      </c>
    </row>
    <row r="9986" spans="1:12" x14ac:dyDescent="0.35">
      <c r="A9986" t="str">
        <f t="shared" si="3674"/>
        <v>NAS CORPUS CHRISTI</v>
      </c>
      <c r="B9986" t="str">
        <f t="shared" si="3678"/>
        <v>11001 D ST</v>
      </c>
      <c r="C9986" t="str">
        <f>T("BLDG 2 RM 205")</f>
        <v>BLDG 2 RM 205</v>
      </c>
      <c r="D9986" t="str">
        <f t="shared" si="3679"/>
        <v>CORPUS CHRISTI</v>
      </c>
      <c r="E9986" t="str">
        <f t="shared" si="3675"/>
        <v>TX</v>
      </c>
      <c r="F9986" t="str">
        <f>T("784195002")</f>
        <v>784195002</v>
      </c>
      <c r="G9986" t="str">
        <f>T("11001 D ST")</f>
        <v>11001 D ST</v>
      </c>
      <c r="H9986" t="str">
        <f>T("BLDG 2 RM 205")</f>
        <v>BLDG 2 RM 205</v>
      </c>
      <c r="I9986" t="str">
        <f t="shared" si="3677"/>
        <v>CORPUS CHRISTI</v>
      </c>
      <c r="J9986" t="str">
        <f t="shared" si="3676"/>
        <v>TX</v>
      </c>
      <c r="K9986" t="str">
        <f>T("3619614806")</f>
        <v>3619614806</v>
      </c>
      <c r="L9986" t="str">
        <f>T("3619613861")</f>
        <v>3619613861</v>
      </c>
    </row>
    <row r="9987" spans="1:12" x14ac:dyDescent="0.35">
      <c r="A9987" t="str">
        <f t="shared" si="3674"/>
        <v>NAS CORPUS CHRISTI</v>
      </c>
      <c r="B9987" t="str">
        <f t="shared" si="3678"/>
        <v>11001 D ST</v>
      </c>
      <c r="C9987" t="str">
        <f>T("BLDG 2 RM 205")</f>
        <v>BLDG 2 RM 205</v>
      </c>
      <c r="D9987" t="str">
        <f t="shared" si="3679"/>
        <v>CORPUS CHRISTI</v>
      </c>
      <c r="E9987" t="str">
        <f t="shared" si="3675"/>
        <v>TX</v>
      </c>
      <c r="F9987" t="str">
        <f>T("784195002")</f>
        <v>784195002</v>
      </c>
      <c r="G9987" t="str">
        <f>T("11001 D STREET BLDG 2 SUITE 213")</f>
        <v>11001 D STREET BLDG 2 SUITE 213</v>
      </c>
      <c r="H9987" t="str">
        <f>T("")</f>
        <v/>
      </c>
      <c r="I9987" t="str">
        <f t="shared" si="3677"/>
        <v>CORPUS CHRISTI</v>
      </c>
      <c r="J9987" t="str">
        <f t="shared" si="3676"/>
        <v>TX</v>
      </c>
      <c r="K9987" t="str">
        <f>T("000000000000000000")</f>
        <v>000000000000000000</v>
      </c>
      <c r="L9987" t="str">
        <f>T("3619612620")</f>
        <v>3619612620</v>
      </c>
    </row>
    <row r="9988" spans="1:12" x14ac:dyDescent="0.35">
      <c r="A9988" t="str">
        <f t="shared" si="3674"/>
        <v>NAS CORPUS CHRISTI</v>
      </c>
      <c r="B9988" t="str">
        <f t="shared" si="3678"/>
        <v>11001 D ST</v>
      </c>
      <c r="C9988" t="str">
        <f>T("SUITE 143")</f>
        <v>SUITE 143</v>
      </c>
      <c r="D9988" t="str">
        <f t="shared" si="3679"/>
        <v>CORPUS CHRISTI</v>
      </c>
      <c r="E9988" t="str">
        <f t="shared" si="3675"/>
        <v>TX</v>
      </c>
      <c r="F9988" t="str">
        <f t="shared" ref="F9988:F10005" si="3680">T("784195020")</f>
        <v>784195020</v>
      </c>
      <c r="G9988" t="str">
        <f>T("11001 D ST")</f>
        <v>11001 D ST</v>
      </c>
      <c r="H9988" t="str">
        <f>T("SUITE 143")</f>
        <v>SUITE 143</v>
      </c>
      <c r="I9988" t="str">
        <f t="shared" si="3677"/>
        <v>CORPUS CHRISTI</v>
      </c>
      <c r="J9988" t="str">
        <f t="shared" si="3676"/>
        <v>TX</v>
      </c>
      <c r="K9988" t="str">
        <f>T("3619613275")</f>
        <v>3619613275</v>
      </c>
      <c r="L9988" t="str">
        <f>T("3619612821")</f>
        <v>3619612821</v>
      </c>
    </row>
    <row r="9989" spans="1:12" x14ac:dyDescent="0.35">
      <c r="A9989" t="str">
        <f t="shared" si="3674"/>
        <v>NAS CORPUS CHRISTI</v>
      </c>
      <c r="B9989" t="str">
        <f t="shared" si="3678"/>
        <v>11001 D ST</v>
      </c>
      <c r="C9989" t="str">
        <f>T("SUITE 143")</f>
        <v>SUITE 143</v>
      </c>
      <c r="D9989" t="str">
        <f t="shared" si="3679"/>
        <v>CORPUS CHRISTI</v>
      </c>
      <c r="E9989" t="str">
        <f t="shared" si="3675"/>
        <v>TX</v>
      </c>
      <c r="F9989" t="str">
        <f t="shared" si="3680"/>
        <v>784195020</v>
      </c>
      <c r="G9989" t="str">
        <f>T("11001 D STREET")</f>
        <v>11001 D STREET</v>
      </c>
      <c r="H9989" t="str">
        <f>T("")</f>
        <v/>
      </c>
      <c r="I9989" t="str">
        <f t="shared" si="3677"/>
        <v>CORPUS CHRISTI</v>
      </c>
      <c r="J9989" t="str">
        <f t="shared" si="3676"/>
        <v>TX</v>
      </c>
      <c r="K9989" t="str">
        <f>T("000000000000000000")</f>
        <v>000000000000000000</v>
      </c>
      <c r="L9989" t="str">
        <f>T("3619614426")</f>
        <v>3619614426</v>
      </c>
    </row>
    <row r="9990" spans="1:12" x14ac:dyDescent="0.35">
      <c r="A9990" t="str">
        <f t="shared" si="3674"/>
        <v>NAS CORPUS CHRISTI</v>
      </c>
      <c r="B9990" t="str">
        <f>T("11001 D ST SUITE 143")</f>
        <v>11001 D ST SUITE 143</v>
      </c>
      <c r="C9990" t="str">
        <f t="shared" ref="C9990:C9999" si="3681">T("")</f>
        <v/>
      </c>
      <c r="D9990" t="str">
        <f t="shared" si="3679"/>
        <v>CORPUS CHRISTI</v>
      </c>
      <c r="E9990" t="str">
        <f t="shared" si="3675"/>
        <v>TX</v>
      </c>
      <c r="F9990" t="str">
        <f t="shared" si="3680"/>
        <v>784195020</v>
      </c>
      <c r="G9990" t="str">
        <f>T("11001 D ST SUITE 143")</f>
        <v>11001 D ST SUITE 143</v>
      </c>
      <c r="H9990" t="str">
        <f>T("")</f>
        <v/>
      </c>
      <c r="I9990" t="str">
        <f t="shared" si="3677"/>
        <v>CORPUS CHRISTI</v>
      </c>
      <c r="J9990" t="str">
        <f t="shared" si="3676"/>
        <v>TX</v>
      </c>
      <c r="K9990" t="str">
        <f>T("000000000000000000")</f>
        <v>000000000000000000</v>
      </c>
      <c r="L9990" t="str">
        <f>T("3619611702")</f>
        <v>3619611702</v>
      </c>
    </row>
    <row r="9991" spans="1:12" x14ac:dyDescent="0.35">
      <c r="A9991" t="str">
        <f t="shared" si="3674"/>
        <v>NAS CORPUS CHRISTI</v>
      </c>
      <c r="B9991" t="str">
        <f>T("11001 D ST SUITE 143")</f>
        <v>11001 D ST SUITE 143</v>
      </c>
      <c r="C9991" t="str">
        <f t="shared" si="3681"/>
        <v/>
      </c>
      <c r="D9991" t="str">
        <f t="shared" si="3679"/>
        <v>CORPUS CHRISTI</v>
      </c>
      <c r="E9991" t="str">
        <f t="shared" si="3675"/>
        <v>TX</v>
      </c>
      <c r="F9991" t="str">
        <f t="shared" si="3680"/>
        <v>784195020</v>
      </c>
      <c r="G9991" t="str">
        <f>T("11001 D STREET")</f>
        <v>11001 D STREET</v>
      </c>
      <c r="H9991" t="str">
        <f>T("SUITE 143")</f>
        <v>SUITE 143</v>
      </c>
      <c r="I9991" t="str">
        <f t="shared" si="3677"/>
        <v>CORPUS CHRISTI</v>
      </c>
      <c r="J9991" t="str">
        <f t="shared" si="3676"/>
        <v>TX</v>
      </c>
      <c r="K9991" t="str">
        <f>T("000000000000000000")</f>
        <v>000000000000000000</v>
      </c>
      <c r="L9991" t="str">
        <f>T("3619612869")</f>
        <v>3619612869</v>
      </c>
    </row>
    <row r="9992" spans="1:12" x14ac:dyDescent="0.35">
      <c r="A9992" t="str">
        <f t="shared" si="3674"/>
        <v>NAS CORPUS CHRISTI</v>
      </c>
      <c r="B9992" t="str">
        <f t="shared" ref="B9992:B10002" si="3682">T("11001 D STREET")</f>
        <v>11001 D STREET</v>
      </c>
      <c r="C9992" t="str">
        <f t="shared" si="3681"/>
        <v/>
      </c>
      <c r="D9992" t="str">
        <f>T("CORP CHRISTI")</f>
        <v>CORP CHRISTI</v>
      </c>
      <c r="E9992" t="str">
        <f t="shared" si="3675"/>
        <v>TX</v>
      </c>
      <c r="F9992" t="str">
        <f t="shared" si="3680"/>
        <v>784195020</v>
      </c>
      <c r="G9992" t="str">
        <f>T("11001 D STREET")</f>
        <v>11001 D STREET</v>
      </c>
      <c r="H9992" t="str">
        <f>T("")</f>
        <v/>
      </c>
      <c r="I9992" t="str">
        <f>T("CORP CHRISTI")</f>
        <v>CORP CHRISTI</v>
      </c>
      <c r="J9992" t="str">
        <f t="shared" si="3676"/>
        <v>TX</v>
      </c>
      <c r="K9992" t="str">
        <f>T("361 961 3229")</f>
        <v>361 961 3229</v>
      </c>
      <c r="L9992" t="str">
        <f>T("3619615011")</f>
        <v>3619615011</v>
      </c>
    </row>
    <row r="9993" spans="1:12" x14ac:dyDescent="0.35">
      <c r="A9993" t="str">
        <f t="shared" si="3674"/>
        <v>NAS CORPUS CHRISTI</v>
      </c>
      <c r="B9993" t="str">
        <f t="shared" si="3682"/>
        <v>11001 D STREET</v>
      </c>
      <c r="C9993" t="str">
        <f t="shared" si="3681"/>
        <v/>
      </c>
      <c r="D9993" t="str">
        <f>T("CORP CHRISTI")</f>
        <v>CORP CHRISTI</v>
      </c>
      <c r="E9993" t="str">
        <f t="shared" si="3675"/>
        <v>TX</v>
      </c>
      <c r="F9993" t="str">
        <f t="shared" si="3680"/>
        <v>784195020</v>
      </c>
      <c r="G9993" t="str">
        <f>T("11001 D STREET")</f>
        <v>11001 D STREET</v>
      </c>
      <c r="H9993" t="str">
        <f>T("BASE CHAPEL")</f>
        <v>BASE CHAPEL</v>
      </c>
      <c r="I9993" t="str">
        <f t="shared" ref="I9993:I10007" si="3683">T("CORPUS CHRISTI")</f>
        <v>CORPUS CHRISTI</v>
      </c>
      <c r="J9993" t="str">
        <f t="shared" si="3676"/>
        <v>TX</v>
      </c>
      <c r="K9993" t="str">
        <f>T("000000000000000000")</f>
        <v>000000000000000000</v>
      </c>
      <c r="L9993" t="str">
        <f>T("3619613751")</f>
        <v>3619613751</v>
      </c>
    </row>
    <row r="9994" spans="1:12" x14ac:dyDescent="0.35">
      <c r="A9994" t="str">
        <f t="shared" si="3674"/>
        <v>NAS CORPUS CHRISTI</v>
      </c>
      <c r="B9994" t="str">
        <f t="shared" si="3682"/>
        <v>11001 D STREET</v>
      </c>
      <c r="C9994" t="str">
        <f t="shared" si="3681"/>
        <v/>
      </c>
      <c r="D9994" t="str">
        <f t="shared" ref="D9994:D10007" si="3684">T("CORPUS CHRISTI")</f>
        <v>CORPUS CHRISTI</v>
      </c>
      <c r="E9994" t="str">
        <f t="shared" si="3675"/>
        <v>TX</v>
      </c>
      <c r="F9994" t="str">
        <f t="shared" si="3680"/>
        <v>784195020</v>
      </c>
      <c r="G9994" t="str">
        <f>T("10551 D STREET BLDG 104")</f>
        <v>10551 D STREET BLDG 104</v>
      </c>
      <c r="H9994" t="str">
        <f>T("")</f>
        <v/>
      </c>
      <c r="I9994" t="str">
        <f t="shared" si="3683"/>
        <v>CORPUS CHRISTI</v>
      </c>
      <c r="J9994" t="str">
        <f t="shared" si="3676"/>
        <v>TX</v>
      </c>
      <c r="K9994" t="str">
        <f>T("000000000000000000")</f>
        <v>000000000000000000</v>
      </c>
      <c r="L9994" t="str">
        <f>T("3619612677")</f>
        <v>3619612677</v>
      </c>
    </row>
    <row r="9995" spans="1:12" x14ac:dyDescent="0.35">
      <c r="A9995" t="str">
        <f t="shared" si="3674"/>
        <v>NAS CORPUS CHRISTI</v>
      </c>
      <c r="B9995" t="str">
        <f t="shared" si="3682"/>
        <v>11001 D STREET</v>
      </c>
      <c r="C9995" t="str">
        <f t="shared" si="3681"/>
        <v/>
      </c>
      <c r="D9995" t="str">
        <f t="shared" si="3684"/>
        <v>CORPUS CHRISTI</v>
      </c>
      <c r="E9995" t="str">
        <f t="shared" si="3675"/>
        <v>TX</v>
      </c>
      <c r="F9995" t="str">
        <f t="shared" si="3680"/>
        <v>784195020</v>
      </c>
      <c r="G9995" t="str">
        <f>T("10800 D STREET")</f>
        <v>10800 D STREET</v>
      </c>
      <c r="H9995" t="str">
        <f>T("BLDG 7")</f>
        <v>BLDG 7</v>
      </c>
      <c r="I9995" t="str">
        <f t="shared" si="3683"/>
        <v>CORPUS CHRISTI</v>
      </c>
      <c r="J9995" t="str">
        <f t="shared" si="3676"/>
        <v>TX</v>
      </c>
      <c r="K9995" t="str">
        <f>T("000000000000000000")</f>
        <v>000000000000000000</v>
      </c>
      <c r="L9995" t="str">
        <f>T("3619612627")</f>
        <v>3619612627</v>
      </c>
    </row>
    <row r="9996" spans="1:12" x14ac:dyDescent="0.35">
      <c r="A9996" t="str">
        <f t="shared" si="3674"/>
        <v>NAS CORPUS CHRISTI</v>
      </c>
      <c r="B9996" t="str">
        <f t="shared" si="3682"/>
        <v>11001 D STREET</v>
      </c>
      <c r="C9996" t="str">
        <f t="shared" si="3681"/>
        <v/>
      </c>
      <c r="D9996" t="str">
        <f t="shared" si="3684"/>
        <v>CORPUS CHRISTI</v>
      </c>
      <c r="E9996" t="str">
        <f t="shared" si="3675"/>
        <v>TX</v>
      </c>
      <c r="F9996" t="str">
        <f t="shared" si="3680"/>
        <v>784195020</v>
      </c>
      <c r="G9996" t="str">
        <f>T("11001 D ST SUITE 101")</f>
        <v>11001 D ST SUITE 101</v>
      </c>
      <c r="H9996" t="str">
        <f>T("")</f>
        <v/>
      </c>
      <c r="I9996" t="str">
        <f t="shared" si="3683"/>
        <v>CORPUS CHRISTI</v>
      </c>
      <c r="J9996" t="str">
        <f t="shared" si="3676"/>
        <v>TX</v>
      </c>
      <c r="K9996" t="str">
        <f>T("000000000000000000")</f>
        <v>000000000000000000</v>
      </c>
      <c r="L9996" t="str">
        <f>T("3619612246")</f>
        <v>3619612246</v>
      </c>
    </row>
    <row r="9997" spans="1:12" x14ac:dyDescent="0.35">
      <c r="A9997" t="str">
        <f t="shared" si="3674"/>
        <v>NAS CORPUS CHRISTI</v>
      </c>
      <c r="B9997" t="str">
        <f t="shared" si="3682"/>
        <v>11001 D STREET</v>
      </c>
      <c r="C9997" t="str">
        <f t="shared" si="3681"/>
        <v/>
      </c>
      <c r="D9997" t="str">
        <f t="shared" si="3684"/>
        <v>CORPUS CHRISTI</v>
      </c>
      <c r="E9997" t="str">
        <f t="shared" si="3675"/>
        <v>TX</v>
      </c>
      <c r="F9997" t="str">
        <f t="shared" si="3680"/>
        <v>784195020</v>
      </c>
      <c r="G9997" t="str">
        <f>T("11001 D STREET")</f>
        <v>11001 D STREET</v>
      </c>
      <c r="H9997" t="str">
        <f>T("")</f>
        <v/>
      </c>
      <c r="I9997" t="str">
        <f t="shared" si="3683"/>
        <v>CORPUS CHRISTI</v>
      </c>
      <c r="J9997" t="str">
        <f t="shared" si="3676"/>
        <v>TX</v>
      </c>
      <c r="K9997" t="str">
        <f>T("")</f>
        <v/>
      </c>
      <c r="L9997" t="str">
        <f>T("3619612246")</f>
        <v>3619612246</v>
      </c>
    </row>
    <row r="9998" spans="1:12" x14ac:dyDescent="0.35">
      <c r="A9998" t="str">
        <f t="shared" si="3674"/>
        <v>NAS CORPUS CHRISTI</v>
      </c>
      <c r="B9998" t="str">
        <f t="shared" si="3682"/>
        <v>11001 D STREET</v>
      </c>
      <c r="C9998" t="str">
        <f t="shared" si="3681"/>
        <v/>
      </c>
      <c r="D9998" t="str">
        <f t="shared" si="3684"/>
        <v>CORPUS CHRISTI</v>
      </c>
      <c r="E9998" t="str">
        <f t="shared" si="3675"/>
        <v>TX</v>
      </c>
      <c r="F9998" t="str">
        <f t="shared" si="3680"/>
        <v>784195020</v>
      </c>
      <c r="G9998" t="str">
        <f>T("11001 D STREET")</f>
        <v>11001 D STREET</v>
      </c>
      <c r="H9998" t="str">
        <f>T("")</f>
        <v/>
      </c>
      <c r="I9998" t="str">
        <f t="shared" si="3683"/>
        <v>CORPUS CHRISTI</v>
      </c>
      <c r="J9998" t="str">
        <f t="shared" si="3676"/>
        <v>TX</v>
      </c>
      <c r="K9998" t="str">
        <f>T("")</f>
        <v/>
      </c>
      <c r="L9998" t="str">
        <f>T("3619612880")</f>
        <v>3619612880</v>
      </c>
    </row>
    <row r="9999" spans="1:12" x14ac:dyDescent="0.35">
      <c r="A9999" t="str">
        <f t="shared" si="3674"/>
        <v>NAS CORPUS CHRISTI</v>
      </c>
      <c r="B9999" t="str">
        <f t="shared" si="3682"/>
        <v>11001 D STREET</v>
      </c>
      <c r="C9999" t="str">
        <f t="shared" si="3681"/>
        <v/>
      </c>
      <c r="D9999" t="str">
        <f t="shared" si="3684"/>
        <v>CORPUS CHRISTI</v>
      </c>
      <c r="E9999" t="str">
        <f t="shared" si="3675"/>
        <v>TX</v>
      </c>
      <c r="F9999" t="str">
        <f t="shared" si="3680"/>
        <v>784195020</v>
      </c>
      <c r="G9999" t="str">
        <f>T("11001 D STREET SUITE 101")</f>
        <v>11001 D STREET SUITE 101</v>
      </c>
      <c r="H9999" t="str">
        <f>T("")</f>
        <v/>
      </c>
      <c r="I9999" t="str">
        <f t="shared" si="3683"/>
        <v>CORPUS CHRISTI</v>
      </c>
      <c r="J9999" t="str">
        <f t="shared" si="3676"/>
        <v>TX</v>
      </c>
      <c r="K9999" t="str">
        <f>T("000000000000000000")</f>
        <v>000000000000000000</v>
      </c>
      <c r="L9999" t="str">
        <f>T("3619614216")</f>
        <v>3619614216</v>
      </c>
    </row>
    <row r="10000" spans="1:12" x14ac:dyDescent="0.35">
      <c r="A10000" t="str">
        <f t="shared" si="3674"/>
        <v>NAS CORPUS CHRISTI</v>
      </c>
      <c r="B10000" t="str">
        <f t="shared" si="3682"/>
        <v>11001 D STREET</v>
      </c>
      <c r="C10000" t="str">
        <f>T("BLDG 7")</f>
        <v>BLDG 7</v>
      </c>
      <c r="D10000" t="str">
        <f t="shared" si="3684"/>
        <v>CORPUS CHRISTI</v>
      </c>
      <c r="E10000" t="str">
        <f t="shared" si="3675"/>
        <v>TX</v>
      </c>
      <c r="F10000" t="str">
        <f t="shared" si="3680"/>
        <v>784195020</v>
      </c>
      <c r="G10000" t="str">
        <f>T("10800 D STREET BLDG 7")</f>
        <v>10800 D STREET BLDG 7</v>
      </c>
      <c r="H10000" t="str">
        <f>T("")</f>
        <v/>
      </c>
      <c r="I10000" t="str">
        <f t="shared" si="3683"/>
        <v>CORPUS CHRISTI</v>
      </c>
      <c r="J10000" t="str">
        <f t="shared" si="3676"/>
        <v>TX</v>
      </c>
      <c r="K10000" t="str">
        <f>T("000000000000000000")</f>
        <v>000000000000000000</v>
      </c>
      <c r="L10000" t="str">
        <f>T("3619612384")</f>
        <v>3619612384</v>
      </c>
    </row>
    <row r="10001" spans="1:12" x14ac:dyDescent="0.35">
      <c r="A10001" t="str">
        <f t="shared" si="3674"/>
        <v>NAS CORPUS CHRISTI</v>
      </c>
      <c r="B10001" t="str">
        <f t="shared" si="3682"/>
        <v>11001 D STREET</v>
      </c>
      <c r="C10001" t="str">
        <f>T("BLDG 7")</f>
        <v>BLDG 7</v>
      </c>
      <c r="D10001" t="str">
        <f t="shared" si="3684"/>
        <v>CORPUS CHRISTI</v>
      </c>
      <c r="E10001" t="str">
        <f t="shared" si="3675"/>
        <v>TX</v>
      </c>
      <c r="F10001" t="str">
        <f t="shared" si="3680"/>
        <v>784195020</v>
      </c>
      <c r="G10001" t="str">
        <f>T("11001 D STREET")</f>
        <v>11001 D STREET</v>
      </c>
      <c r="H10001" t="str">
        <f>T("BLDG 7")</f>
        <v>BLDG 7</v>
      </c>
      <c r="I10001" t="str">
        <f t="shared" si="3683"/>
        <v>CORPUS CHRISTI</v>
      </c>
      <c r="J10001" t="str">
        <f t="shared" si="3676"/>
        <v>TX</v>
      </c>
      <c r="K10001" t="str">
        <f>T("3619613165")</f>
        <v>3619613165</v>
      </c>
      <c r="L10001" t="str">
        <f>T("3619611725")</f>
        <v>3619611725</v>
      </c>
    </row>
    <row r="10002" spans="1:12" x14ac:dyDescent="0.35">
      <c r="A10002" t="str">
        <f t="shared" si="3674"/>
        <v>NAS CORPUS CHRISTI</v>
      </c>
      <c r="B10002" t="str">
        <f t="shared" si="3682"/>
        <v>11001 D STREET</v>
      </c>
      <c r="C10002" t="str">
        <f>T("BLDG 7")</f>
        <v>BLDG 7</v>
      </c>
      <c r="D10002" t="str">
        <f t="shared" si="3684"/>
        <v>CORPUS CHRISTI</v>
      </c>
      <c r="E10002" t="str">
        <f t="shared" si="3675"/>
        <v>TX</v>
      </c>
      <c r="F10002" t="str">
        <f t="shared" si="3680"/>
        <v>784195020</v>
      </c>
      <c r="G10002" t="str">
        <f>T("11001 D STREET BLD 7")</f>
        <v>11001 D STREET BLD 7</v>
      </c>
      <c r="H10002" t="str">
        <f>T("")</f>
        <v/>
      </c>
      <c r="I10002" t="str">
        <f t="shared" si="3683"/>
        <v>CORPUS CHRISTI</v>
      </c>
      <c r="J10002" t="str">
        <f t="shared" si="3676"/>
        <v>TX</v>
      </c>
      <c r="K10002" t="str">
        <f>T("000000000000000000")</f>
        <v>000000000000000000</v>
      </c>
      <c r="L10002" t="str">
        <f>T("3619611695")</f>
        <v>3619611695</v>
      </c>
    </row>
    <row r="10003" spans="1:12" x14ac:dyDescent="0.35">
      <c r="A10003" t="str">
        <f t="shared" si="3674"/>
        <v>NAS CORPUS CHRISTI</v>
      </c>
      <c r="B10003" t="str">
        <f>T("11001 D STREET SUITE 146")</f>
        <v>11001 D STREET SUITE 146</v>
      </c>
      <c r="C10003" t="str">
        <f>T("")</f>
        <v/>
      </c>
      <c r="D10003" t="str">
        <f t="shared" si="3684"/>
        <v>CORPUS CHRISTI</v>
      </c>
      <c r="E10003" t="str">
        <f t="shared" si="3675"/>
        <v>TX</v>
      </c>
      <c r="F10003" t="str">
        <f t="shared" si="3680"/>
        <v>784195020</v>
      </c>
      <c r="G10003" t="str">
        <f>T("11001 D STREET SUITE 146")</f>
        <v>11001 D STREET SUITE 146</v>
      </c>
      <c r="H10003" t="str">
        <f>T("")</f>
        <v/>
      </c>
      <c r="I10003" t="str">
        <f t="shared" si="3683"/>
        <v>CORPUS CHRISTI</v>
      </c>
      <c r="J10003" t="str">
        <f t="shared" si="3676"/>
        <v>TX</v>
      </c>
      <c r="K10003" t="str">
        <f>T("")</f>
        <v/>
      </c>
      <c r="L10003" t="str">
        <f>T("3619611123")</f>
        <v>3619611123</v>
      </c>
    </row>
    <row r="10004" spans="1:12" x14ac:dyDescent="0.35">
      <c r="A10004" t="str">
        <f t="shared" si="3674"/>
        <v>NAS CORPUS CHRISTI</v>
      </c>
      <c r="B10004" t="str">
        <f>T("11001 D STREET SUITE 146")</f>
        <v>11001 D STREET SUITE 146</v>
      </c>
      <c r="C10004" t="str">
        <f>T("")</f>
        <v/>
      </c>
      <c r="D10004" t="str">
        <f t="shared" si="3684"/>
        <v>CORPUS CHRISTI</v>
      </c>
      <c r="E10004" t="str">
        <f t="shared" si="3675"/>
        <v>TX</v>
      </c>
      <c r="F10004" t="str">
        <f t="shared" si="3680"/>
        <v>784195020</v>
      </c>
      <c r="G10004" t="str">
        <f>T("11001 D STREET SUITE 146")</f>
        <v>11001 D STREET SUITE 146</v>
      </c>
      <c r="H10004" t="str">
        <f>T("")</f>
        <v/>
      </c>
      <c r="I10004" t="str">
        <f t="shared" si="3683"/>
        <v>CORPUS CHRISTI</v>
      </c>
      <c r="J10004" t="str">
        <f t="shared" si="3676"/>
        <v>TX</v>
      </c>
      <c r="K10004" t="str">
        <f>T("000000000000000000")</f>
        <v>000000000000000000</v>
      </c>
      <c r="L10004" t="str">
        <f>T("3619611199")</f>
        <v>3619611199</v>
      </c>
    </row>
    <row r="10005" spans="1:12" x14ac:dyDescent="0.35">
      <c r="A10005" t="str">
        <f t="shared" si="3674"/>
        <v>NAS CORPUS CHRISTI</v>
      </c>
      <c r="B10005" t="str">
        <f>T("11001 D STREET SUITE 146")</f>
        <v>11001 D STREET SUITE 146</v>
      </c>
      <c r="C10005" t="str">
        <f>T("")</f>
        <v/>
      </c>
      <c r="D10005" t="str">
        <f t="shared" si="3684"/>
        <v>CORPUS CHRISTI</v>
      </c>
      <c r="E10005" t="str">
        <f t="shared" si="3675"/>
        <v>TX</v>
      </c>
      <c r="F10005" t="str">
        <f t="shared" si="3680"/>
        <v>784195020</v>
      </c>
      <c r="G10005" t="str">
        <f>T("1101 D STREET")</f>
        <v>1101 D STREET</v>
      </c>
      <c r="H10005" t="str">
        <f>T("")</f>
        <v/>
      </c>
      <c r="I10005" t="str">
        <f t="shared" si="3683"/>
        <v>CORPUS CHRISTI</v>
      </c>
      <c r="J10005" t="str">
        <f t="shared" si="3676"/>
        <v>TX</v>
      </c>
      <c r="K10005" t="str">
        <f>T("000000000000000000")</f>
        <v>000000000000000000</v>
      </c>
      <c r="L10005" t="str">
        <f>T("3619614163")</f>
        <v>3619614163</v>
      </c>
    </row>
    <row r="10006" spans="1:12" x14ac:dyDescent="0.35">
      <c r="A10006" t="str">
        <f t="shared" si="3674"/>
        <v>NAS CORPUS CHRISTI</v>
      </c>
      <c r="B10006" t="str">
        <f>T("8851 OCEAN DR")</f>
        <v>8851 OCEAN DR</v>
      </c>
      <c r="C10006" t="str">
        <f>T("BLDG 19")</f>
        <v>BLDG 19</v>
      </c>
      <c r="D10006" t="str">
        <f t="shared" si="3684"/>
        <v>CORPUS CHRISTI</v>
      </c>
      <c r="E10006" t="str">
        <f t="shared" si="3675"/>
        <v>TX</v>
      </c>
      <c r="F10006" t="str">
        <f>T("784195202")</f>
        <v>784195202</v>
      </c>
      <c r="G10006" t="str">
        <f>T("11001 D STREET")</f>
        <v>11001 D STREET</v>
      </c>
      <c r="H10006" t="str">
        <f>T("")</f>
        <v/>
      </c>
      <c r="I10006" t="str">
        <f t="shared" si="3683"/>
        <v>CORPUS CHRISTI</v>
      </c>
      <c r="J10006" t="str">
        <f t="shared" si="3676"/>
        <v>TX</v>
      </c>
      <c r="K10006" t="str">
        <f>T("000000000000000000")</f>
        <v>000000000000000000</v>
      </c>
      <c r="L10006" t="str">
        <f>T("3619612224")</f>
        <v>3619612224</v>
      </c>
    </row>
    <row r="10007" spans="1:12" x14ac:dyDescent="0.35">
      <c r="A10007" t="str">
        <f t="shared" si="3674"/>
        <v>NAS CORPUS CHRISTI</v>
      </c>
      <c r="B10007" t="str">
        <f>T("8851 OCEAN DR")</f>
        <v>8851 OCEAN DR</v>
      </c>
      <c r="C10007" t="str">
        <f>T("BLDG 19")</f>
        <v>BLDG 19</v>
      </c>
      <c r="D10007" t="str">
        <f t="shared" si="3684"/>
        <v>CORPUS CHRISTI</v>
      </c>
      <c r="E10007" t="str">
        <f t="shared" si="3675"/>
        <v>TX</v>
      </c>
      <c r="F10007" t="str">
        <f>T("784195202")</f>
        <v>784195202</v>
      </c>
      <c r="G10007" t="str">
        <f>T("8851 OCEAN DR")</f>
        <v>8851 OCEAN DR</v>
      </c>
      <c r="H10007" t="str">
        <f>T("BLDG 19")</f>
        <v>BLDG 19</v>
      </c>
      <c r="I10007" t="str">
        <f t="shared" si="3683"/>
        <v>CORPUS CHRISTI</v>
      </c>
      <c r="J10007" t="str">
        <f t="shared" si="3676"/>
        <v>TX</v>
      </c>
      <c r="K10007" t="str">
        <f>T("3619612081")</f>
        <v>3619612081</v>
      </c>
      <c r="L10007" t="str">
        <f>T("3619613114")</f>
        <v>3619613114</v>
      </c>
    </row>
    <row r="10008" spans="1:12" x14ac:dyDescent="0.35">
      <c r="A10008" t="str">
        <f t="shared" ref="A10008:A10038" si="3685">T("NAVSTA GUANTANAMO BAY CUBA")</f>
        <v>NAVSTA GUANTANAMO BAY CUBA</v>
      </c>
      <c r="B10008" t="str">
        <f t="shared" ref="B10008:B10016" si="3686">T("NAVSTA GTMO")</f>
        <v>NAVSTA GTMO</v>
      </c>
      <c r="C10008" t="str">
        <f>T("PSC 1005 BOX 15")</f>
        <v>PSC 1005 BOX 15</v>
      </c>
      <c r="D10008" t="str">
        <f t="shared" ref="D10008:D10038" si="3687">T("FPO")</f>
        <v>FPO</v>
      </c>
      <c r="E10008" t="str">
        <f t="shared" ref="E10008:E10038" si="3688">T("AE")</f>
        <v>AE</v>
      </c>
      <c r="F10008" t="str">
        <f t="shared" ref="F10008:F10038" si="3689">T("095930001")</f>
        <v>095930001</v>
      </c>
      <c r="G10008" t="str">
        <f>T("NAVSTA GTMO")</f>
        <v>NAVSTA GTMO</v>
      </c>
      <c r="H10008" t="str">
        <f>T("PSC 1005 BOX 15")</f>
        <v>PSC 1005 BOX 15</v>
      </c>
      <c r="I10008" t="str">
        <f t="shared" ref="I10008:I10038" si="3690">T("FPO")</f>
        <v>FPO</v>
      </c>
      <c r="J10008" t="str">
        <f t="shared" ref="J10008:J10038" si="3691">T("AE")</f>
        <v>AE</v>
      </c>
      <c r="K10008" t="str">
        <f>T("01153995299")</f>
        <v>01153995299</v>
      </c>
      <c r="L10008" t="str">
        <f>T("1111111111")</f>
        <v>1111111111</v>
      </c>
    </row>
    <row r="10009" spans="1:12" x14ac:dyDescent="0.35">
      <c r="A10009" t="str">
        <f t="shared" si="3685"/>
        <v>NAVSTA GUANTANAMO BAY CUBA</v>
      </c>
      <c r="B10009" t="str">
        <f t="shared" si="3686"/>
        <v>NAVSTA GTMO</v>
      </c>
      <c r="C10009" t="str">
        <f>T("PSC 1005 BOX 15")</f>
        <v>PSC 1005 BOX 15</v>
      </c>
      <c r="D10009" t="str">
        <f t="shared" si="3687"/>
        <v>FPO</v>
      </c>
      <c r="E10009" t="str">
        <f t="shared" si="3688"/>
        <v>AE</v>
      </c>
      <c r="F10009" t="str">
        <f t="shared" si="3689"/>
        <v>095930001</v>
      </c>
      <c r="G10009" t="str">
        <f>T("PSC 1005")</f>
        <v>PSC 1005</v>
      </c>
      <c r="H10009" t="str">
        <f>T("BOX 15")</f>
        <v>BOX 15</v>
      </c>
      <c r="I10009" t="str">
        <f t="shared" si="3690"/>
        <v>FPO</v>
      </c>
      <c r="J10009" t="str">
        <f t="shared" si="3691"/>
        <v>AE</v>
      </c>
      <c r="K10009" t="str">
        <f>T("01153994847")</f>
        <v>01153994847</v>
      </c>
      <c r="L10009" t="str">
        <f>T("1111111111")</f>
        <v>1111111111</v>
      </c>
    </row>
    <row r="10010" spans="1:12" x14ac:dyDescent="0.35">
      <c r="A10010" t="str">
        <f t="shared" si="3685"/>
        <v>NAVSTA GUANTANAMO BAY CUBA</v>
      </c>
      <c r="B10010" t="str">
        <f t="shared" si="3686"/>
        <v>NAVSTA GTMO</v>
      </c>
      <c r="C10010" t="str">
        <f>T("PSC 1005 BOX 15")</f>
        <v>PSC 1005 BOX 15</v>
      </c>
      <c r="D10010" t="str">
        <f t="shared" si="3687"/>
        <v>FPO</v>
      </c>
      <c r="E10010" t="str">
        <f t="shared" si="3688"/>
        <v>AE</v>
      </c>
      <c r="F10010" t="str">
        <f t="shared" si="3689"/>
        <v>095930001</v>
      </c>
      <c r="G10010" t="str">
        <f>T("PSC 1005 BOX 25")</f>
        <v>PSC 1005 BOX 25</v>
      </c>
      <c r="H10010" t="str">
        <f>T("")</f>
        <v/>
      </c>
      <c r="I10010" t="str">
        <f t="shared" si="3690"/>
        <v>FPO</v>
      </c>
      <c r="J10010" t="str">
        <f t="shared" si="3691"/>
        <v>AE</v>
      </c>
      <c r="K10010" t="str">
        <f>T("000000000000000000")</f>
        <v>000000000000000000</v>
      </c>
      <c r="L10010" t="str">
        <f>T("7574584847")</f>
        <v>7574584847</v>
      </c>
    </row>
    <row r="10011" spans="1:12" x14ac:dyDescent="0.35">
      <c r="A10011" t="str">
        <f t="shared" si="3685"/>
        <v>NAVSTA GUANTANAMO BAY CUBA</v>
      </c>
      <c r="B10011" t="str">
        <f t="shared" si="3686"/>
        <v>NAVSTA GTMO</v>
      </c>
      <c r="C10011" t="str">
        <f>T("PSC 1005 BOX 37")</f>
        <v>PSC 1005 BOX 37</v>
      </c>
      <c r="D10011" t="str">
        <f t="shared" si="3687"/>
        <v>FPO</v>
      </c>
      <c r="E10011" t="str">
        <f t="shared" si="3688"/>
        <v>AE</v>
      </c>
      <c r="F10011" t="str">
        <f t="shared" si="3689"/>
        <v>095930001</v>
      </c>
      <c r="G10011" t="str">
        <f>T("NAVSTA GTMO")</f>
        <v>NAVSTA GTMO</v>
      </c>
      <c r="H10011" t="str">
        <f>T("PSC 1005 BOX 37")</f>
        <v>PSC 1005 BOX 37</v>
      </c>
      <c r="I10011" t="str">
        <f t="shared" si="3690"/>
        <v>FPO</v>
      </c>
      <c r="J10011" t="str">
        <f t="shared" si="3691"/>
        <v>AE</v>
      </c>
      <c r="K10011" t="str">
        <f>T("01153995659")</f>
        <v>01153995659</v>
      </c>
      <c r="L10011" t="str">
        <f>T("1111111111")</f>
        <v>1111111111</v>
      </c>
    </row>
    <row r="10012" spans="1:12" x14ac:dyDescent="0.35">
      <c r="A10012" t="str">
        <f t="shared" si="3685"/>
        <v>NAVSTA GUANTANAMO BAY CUBA</v>
      </c>
      <c r="B10012" t="str">
        <f t="shared" si="3686"/>
        <v>NAVSTA GTMO</v>
      </c>
      <c r="C10012" t="str">
        <f>T("PSC 1005 BOX 37")</f>
        <v>PSC 1005 BOX 37</v>
      </c>
      <c r="D10012" t="str">
        <f t="shared" si="3687"/>
        <v>FPO</v>
      </c>
      <c r="E10012" t="str">
        <f t="shared" si="3688"/>
        <v>AE</v>
      </c>
      <c r="F10012" t="str">
        <f t="shared" si="3689"/>
        <v>095930001</v>
      </c>
      <c r="G10012" t="str">
        <f>T("PSC 1005 BOX 37")</f>
        <v>PSC 1005 BOX 37</v>
      </c>
      <c r="H10012" t="str">
        <f>T("")</f>
        <v/>
      </c>
      <c r="I10012" t="str">
        <f t="shared" si="3690"/>
        <v>FPO</v>
      </c>
      <c r="J10012" t="str">
        <f t="shared" si="3691"/>
        <v>AE</v>
      </c>
      <c r="K10012" t="str">
        <f>T("01153995657")</f>
        <v>01153995657</v>
      </c>
      <c r="L10012" t="str">
        <f>T("1111111111")</f>
        <v>1111111111</v>
      </c>
    </row>
    <row r="10013" spans="1:12" x14ac:dyDescent="0.35">
      <c r="A10013" t="str">
        <f t="shared" si="3685"/>
        <v>NAVSTA GUANTANAMO BAY CUBA</v>
      </c>
      <c r="B10013" t="str">
        <f t="shared" si="3686"/>
        <v>NAVSTA GTMO</v>
      </c>
      <c r="C10013" t="str">
        <f>T("PSC 1005 BOX 56")</f>
        <v>PSC 1005 BOX 56</v>
      </c>
      <c r="D10013" t="str">
        <f t="shared" si="3687"/>
        <v>FPO</v>
      </c>
      <c r="E10013" t="str">
        <f t="shared" si="3688"/>
        <v>AE</v>
      </c>
      <c r="F10013" t="str">
        <f t="shared" si="3689"/>
        <v>095930001</v>
      </c>
      <c r="G10013" t="str">
        <f>T("NAVSTA GTMO")</f>
        <v>NAVSTA GTMO</v>
      </c>
      <c r="H10013" t="str">
        <f>T("PSC 1005 BOX 56")</f>
        <v>PSC 1005 BOX 56</v>
      </c>
      <c r="I10013" t="str">
        <f t="shared" si="3690"/>
        <v>FPO</v>
      </c>
      <c r="J10013" t="str">
        <f t="shared" si="3691"/>
        <v>AE</v>
      </c>
      <c r="K10013" t="str">
        <f>T("")</f>
        <v/>
      </c>
      <c r="L10013" t="str">
        <f>T("1111111111")</f>
        <v>1111111111</v>
      </c>
    </row>
    <row r="10014" spans="1:12" x14ac:dyDescent="0.35">
      <c r="A10014" t="str">
        <f t="shared" si="3685"/>
        <v>NAVSTA GUANTANAMO BAY CUBA</v>
      </c>
      <c r="B10014" t="str">
        <f t="shared" si="3686"/>
        <v>NAVSTA GTMO</v>
      </c>
      <c r="C10014" t="str">
        <f>T("PSC 1005 BOX 56")</f>
        <v>PSC 1005 BOX 56</v>
      </c>
      <c r="D10014" t="str">
        <f t="shared" si="3687"/>
        <v>FPO</v>
      </c>
      <c r="E10014" t="str">
        <f t="shared" si="3688"/>
        <v>AE</v>
      </c>
      <c r="F10014" t="str">
        <f t="shared" si="3689"/>
        <v>095930001</v>
      </c>
      <c r="G10014" t="str">
        <f>T("PSC 1005 BOX 56")</f>
        <v>PSC 1005 BOX 56</v>
      </c>
      <c r="H10014" t="str">
        <f>T("")</f>
        <v/>
      </c>
      <c r="I10014" t="str">
        <f t="shared" si="3690"/>
        <v>FPO</v>
      </c>
      <c r="J10014" t="str">
        <f t="shared" si="3691"/>
        <v>AE</v>
      </c>
      <c r="K10014" t="str">
        <f>T("000000000000000000")</f>
        <v>000000000000000000</v>
      </c>
      <c r="L10014" t="str">
        <f>T("7574584174")</f>
        <v>7574584174</v>
      </c>
    </row>
    <row r="10015" spans="1:12" x14ac:dyDescent="0.35">
      <c r="A10015" t="str">
        <f t="shared" si="3685"/>
        <v>NAVSTA GUANTANAMO BAY CUBA</v>
      </c>
      <c r="B10015" t="str">
        <f t="shared" si="3686"/>
        <v>NAVSTA GTMO</v>
      </c>
      <c r="C10015" t="str">
        <f>T("PSC 1005 BOX 56")</f>
        <v>PSC 1005 BOX 56</v>
      </c>
      <c r="D10015" t="str">
        <f t="shared" si="3687"/>
        <v>FPO</v>
      </c>
      <c r="E10015" t="str">
        <f t="shared" si="3688"/>
        <v>AE</v>
      </c>
      <c r="F10015" t="str">
        <f t="shared" si="3689"/>
        <v>095930001</v>
      </c>
      <c r="G10015" t="str">
        <f>T("PSC 1005 BOX 56")</f>
        <v>PSC 1005 BOX 56</v>
      </c>
      <c r="H10015" t="str">
        <f>T("")</f>
        <v/>
      </c>
      <c r="I10015" t="str">
        <f t="shared" si="3690"/>
        <v>FPO</v>
      </c>
      <c r="J10015" t="str">
        <f t="shared" si="3691"/>
        <v>AE</v>
      </c>
      <c r="K10015" t="str">
        <f>T("000000000000000000")</f>
        <v>000000000000000000</v>
      </c>
      <c r="L10015" t="str">
        <f>T("7574584576")</f>
        <v>7574584576</v>
      </c>
    </row>
    <row r="10016" spans="1:12" x14ac:dyDescent="0.35">
      <c r="A10016" t="str">
        <f t="shared" si="3685"/>
        <v>NAVSTA GUANTANAMO BAY CUBA</v>
      </c>
      <c r="B10016" t="str">
        <f t="shared" si="3686"/>
        <v>NAVSTA GTMO</v>
      </c>
      <c r="C10016" t="str">
        <f>T("PSC 1005 BOX 56")</f>
        <v>PSC 1005 BOX 56</v>
      </c>
      <c r="D10016" t="str">
        <f t="shared" si="3687"/>
        <v>FPO</v>
      </c>
      <c r="E10016" t="str">
        <f t="shared" si="3688"/>
        <v>AE</v>
      </c>
      <c r="F10016" t="str">
        <f t="shared" si="3689"/>
        <v>095930001</v>
      </c>
      <c r="G10016" t="str">
        <f>T("PSC 1005 BOX 56")</f>
        <v>PSC 1005 BOX 56</v>
      </c>
      <c r="H10016" t="str">
        <f>T("")</f>
        <v/>
      </c>
      <c r="I10016" t="str">
        <f t="shared" si="3690"/>
        <v>FPO</v>
      </c>
      <c r="J10016" t="str">
        <f t="shared" si="3691"/>
        <v>AE</v>
      </c>
      <c r="K10016" t="str">
        <f>T("01153994081")</f>
        <v>01153994081</v>
      </c>
      <c r="L10016" t="str">
        <f>T("7574584081")</f>
        <v>7574584081</v>
      </c>
    </row>
    <row r="10017" spans="1:12" x14ac:dyDescent="0.35">
      <c r="A10017" t="str">
        <f t="shared" si="3685"/>
        <v>NAVSTA GUANTANAMO BAY CUBA</v>
      </c>
      <c r="B10017" t="str">
        <f>T("NAVSTA GTMO - SECURITY")</f>
        <v>NAVSTA GTMO - SECURITY</v>
      </c>
      <c r="C10017" t="str">
        <f>T("PSC 1005 BOX 60")</f>
        <v>PSC 1005 BOX 60</v>
      </c>
      <c r="D10017" t="str">
        <f t="shared" si="3687"/>
        <v>FPO</v>
      </c>
      <c r="E10017" t="str">
        <f t="shared" si="3688"/>
        <v>AE</v>
      </c>
      <c r="F10017" t="str">
        <f t="shared" si="3689"/>
        <v>095930001</v>
      </c>
      <c r="G10017" t="str">
        <f>T("NAVSTA GTMO - SECURITY")</f>
        <v>NAVSTA GTMO - SECURITY</v>
      </c>
      <c r="H10017" t="str">
        <f>T("PSC 1005 BOX 60")</f>
        <v>PSC 1005 BOX 60</v>
      </c>
      <c r="I10017" t="str">
        <f t="shared" si="3690"/>
        <v>FPO</v>
      </c>
      <c r="J10017" t="str">
        <f t="shared" si="3691"/>
        <v>AE</v>
      </c>
      <c r="K10017" t="str">
        <f>T("")</f>
        <v/>
      </c>
      <c r="L10017" t="str">
        <f>T("7574582460")</f>
        <v>7574582460</v>
      </c>
    </row>
    <row r="10018" spans="1:12" x14ac:dyDescent="0.35">
      <c r="A10018" t="str">
        <f t="shared" si="3685"/>
        <v>NAVSTA GUANTANAMO BAY CUBA</v>
      </c>
      <c r="B10018" t="str">
        <f>T("NAVSTA GTMO - SECURITY")</f>
        <v>NAVSTA GTMO - SECURITY</v>
      </c>
      <c r="C10018" t="str">
        <f>T("PSC 1005 BOX 60")</f>
        <v>PSC 1005 BOX 60</v>
      </c>
      <c r="D10018" t="str">
        <f t="shared" si="3687"/>
        <v>FPO</v>
      </c>
      <c r="E10018" t="str">
        <f t="shared" si="3688"/>
        <v>AE</v>
      </c>
      <c r="F10018" t="str">
        <f t="shared" si="3689"/>
        <v>095930001</v>
      </c>
      <c r="G10018" t="str">
        <f>T("PSC 1005 BOX 25")</f>
        <v>PSC 1005 BOX 25</v>
      </c>
      <c r="H10018" t="str">
        <f>T("")</f>
        <v/>
      </c>
      <c r="I10018" t="str">
        <f t="shared" si="3690"/>
        <v>FPO</v>
      </c>
      <c r="J10018" t="str">
        <f t="shared" si="3691"/>
        <v>AE</v>
      </c>
      <c r="K10018" t="str">
        <f>T("000000000000000000")</f>
        <v>000000000000000000</v>
      </c>
      <c r="L10018" t="str">
        <f>T("7574584359")</f>
        <v>7574584359</v>
      </c>
    </row>
    <row r="10019" spans="1:12" x14ac:dyDescent="0.35">
      <c r="A10019" t="str">
        <f t="shared" si="3685"/>
        <v>NAVSTA GUANTANAMO BAY CUBA</v>
      </c>
      <c r="B10019" t="str">
        <f>T("NAVSTA GTMO-FIRE DEPT")</f>
        <v>NAVSTA GTMO-FIRE DEPT</v>
      </c>
      <c r="C10019" t="str">
        <f>T("PSC 1005 BOX 48")</f>
        <v>PSC 1005 BOX 48</v>
      </c>
      <c r="D10019" t="str">
        <f t="shared" si="3687"/>
        <v>FPO</v>
      </c>
      <c r="E10019" t="str">
        <f t="shared" si="3688"/>
        <v>AE</v>
      </c>
      <c r="F10019" t="str">
        <f t="shared" si="3689"/>
        <v>095930001</v>
      </c>
      <c r="G10019" t="str">
        <f>T("NAVSTA GTMO-FIRE DEPT")</f>
        <v>NAVSTA GTMO-FIRE DEPT</v>
      </c>
      <c r="H10019" t="str">
        <f>T("PSC 1005 BOX 48")</f>
        <v>PSC 1005 BOX 48</v>
      </c>
      <c r="I10019" t="str">
        <f t="shared" si="3690"/>
        <v>FPO</v>
      </c>
      <c r="J10019" t="str">
        <f t="shared" si="3691"/>
        <v>AE</v>
      </c>
      <c r="K10019" t="str">
        <f>T("01153994609")</f>
        <v>01153994609</v>
      </c>
      <c r="L10019" t="str">
        <f>T("7574584175")</f>
        <v>7574584175</v>
      </c>
    </row>
    <row r="10020" spans="1:12" x14ac:dyDescent="0.35">
      <c r="A10020" t="str">
        <f t="shared" si="3685"/>
        <v>NAVSTA GUANTANAMO BAY CUBA</v>
      </c>
      <c r="B10020" t="str">
        <f>T("NAVSTA GTMO-FIRE DEPT")</f>
        <v>NAVSTA GTMO-FIRE DEPT</v>
      </c>
      <c r="C10020" t="str">
        <f>T("PSC 1005 BOX 48")</f>
        <v>PSC 1005 BOX 48</v>
      </c>
      <c r="D10020" t="str">
        <f t="shared" si="3687"/>
        <v>FPO</v>
      </c>
      <c r="E10020" t="str">
        <f t="shared" si="3688"/>
        <v>AE</v>
      </c>
      <c r="F10020" t="str">
        <f t="shared" si="3689"/>
        <v>095930001</v>
      </c>
      <c r="G10020" t="str">
        <f>T("PSC 1005 BOX 48")</f>
        <v>PSC 1005 BOX 48</v>
      </c>
      <c r="H10020" t="str">
        <f>T("")</f>
        <v/>
      </c>
      <c r="I10020" t="str">
        <f t="shared" si="3690"/>
        <v>FPO</v>
      </c>
      <c r="J10020" t="str">
        <f t="shared" si="3691"/>
        <v>AE</v>
      </c>
      <c r="K10020" t="str">
        <f>T("01153996166")</f>
        <v>01153996166</v>
      </c>
      <c r="L10020" t="str">
        <f>T("1111111111")</f>
        <v>1111111111</v>
      </c>
    </row>
    <row r="10021" spans="1:12" x14ac:dyDescent="0.35">
      <c r="A10021" t="str">
        <f t="shared" si="3685"/>
        <v>NAVSTA GUANTANAMO BAY CUBA</v>
      </c>
      <c r="B10021" t="str">
        <f>T("NAVSTA GUANTANAMO BAY")</f>
        <v>NAVSTA GUANTANAMO BAY</v>
      </c>
      <c r="C10021" t="str">
        <f>T("PSC 1005 BX 56")</f>
        <v>PSC 1005 BX 56</v>
      </c>
      <c r="D10021" t="str">
        <f t="shared" si="3687"/>
        <v>FPO</v>
      </c>
      <c r="E10021" t="str">
        <f t="shared" si="3688"/>
        <v>AE</v>
      </c>
      <c r="F10021" t="str">
        <f t="shared" si="3689"/>
        <v>095930001</v>
      </c>
      <c r="G10021" t="str">
        <f>T("NAVSTA GUANTANAMO BAY")</f>
        <v>NAVSTA GUANTANAMO BAY</v>
      </c>
      <c r="H10021" t="str">
        <f>T("PSC 1005 BX 56")</f>
        <v>PSC 1005 BX 56</v>
      </c>
      <c r="I10021" t="str">
        <f t="shared" si="3690"/>
        <v>FPO</v>
      </c>
      <c r="J10021" t="str">
        <f t="shared" si="3691"/>
        <v>AE</v>
      </c>
      <c r="K10021" t="str">
        <f>T("000000000000000000")</f>
        <v>000000000000000000</v>
      </c>
      <c r="L10021" t="str">
        <f>T("7574584287")</f>
        <v>7574584287</v>
      </c>
    </row>
    <row r="10022" spans="1:12" x14ac:dyDescent="0.35">
      <c r="A10022" t="str">
        <f t="shared" si="3685"/>
        <v>NAVSTA GUANTANAMO BAY CUBA</v>
      </c>
      <c r="B10022" t="str">
        <f>T("NAVSTA GUANTANAMO BAY")</f>
        <v>NAVSTA GUANTANAMO BAY</v>
      </c>
      <c r="C10022" t="str">
        <f>T("PSC 1005 BX 56")</f>
        <v>PSC 1005 BX 56</v>
      </c>
      <c r="D10022" t="str">
        <f t="shared" si="3687"/>
        <v>FPO</v>
      </c>
      <c r="E10022" t="str">
        <f t="shared" si="3688"/>
        <v>AE</v>
      </c>
      <c r="F10022" t="str">
        <f t="shared" si="3689"/>
        <v>095930001</v>
      </c>
      <c r="G10022" t="str">
        <f>T("PSC 1005 BOX 56")</f>
        <v>PSC 1005 BOX 56</v>
      </c>
      <c r="H10022" t="str">
        <f>T("")</f>
        <v/>
      </c>
      <c r="I10022" t="str">
        <f t="shared" si="3690"/>
        <v>FPO</v>
      </c>
      <c r="J10022" t="str">
        <f t="shared" si="3691"/>
        <v>AE</v>
      </c>
      <c r="K10022" t="str">
        <f>T("7574584981")</f>
        <v>7574584981</v>
      </c>
      <c r="L10022" t="str">
        <f>T("7574584917")</f>
        <v>7574584917</v>
      </c>
    </row>
    <row r="10023" spans="1:12" x14ac:dyDescent="0.35">
      <c r="A10023" t="str">
        <f t="shared" si="3685"/>
        <v>NAVSTA GUANTANAMO BAY CUBA</v>
      </c>
      <c r="B10023" t="str">
        <f>T("PSC 1005 BOX 10")</f>
        <v>PSC 1005 BOX 10</v>
      </c>
      <c r="C10023" t="str">
        <f t="shared" ref="C10023:C10038" si="3692">T("")</f>
        <v/>
      </c>
      <c r="D10023" t="str">
        <f t="shared" si="3687"/>
        <v>FPO</v>
      </c>
      <c r="E10023" t="str">
        <f t="shared" si="3688"/>
        <v>AE</v>
      </c>
      <c r="F10023" t="str">
        <f t="shared" si="3689"/>
        <v>095930001</v>
      </c>
      <c r="G10023" t="str">
        <f>T("PSC 1005 BOX 10")</f>
        <v>PSC 1005 BOX 10</v>
      </c>
      <c r="H10023" t="str">
        <f>T("")</f>
        <v/>
      </c>
      <c r="I10023" t="str">
        <f t="shared" si="3690"/>
        <v>FPO</v>
      </c>
      <c r="J10023" t="str">
        <f t="shared" si="3691"/>
        <v>AE</v>
      </c>
      <c r="K10023" t="str">
        <f>T("")</f>
        <v/>
      </c>
      <c r="L10023" t="str">
        <f>T("7574584842")</f>
        <v>7574584842</v>
      </c>
    </row>
    <row r="10024" spans="1:12" x14ac:dyDescent="0.35">
      <c r="A10024" t="str">
        <f t="shared" si="3685"/>
        <v>NAVSTA GUANTANAMO BAY CUBA</v>
      </c>
      <c r="B10024" t="str">
        <f>T("PSC 1005 BOX 10")</f>
        <v>PSC 1005 BOX 10</v>
      </c>
      <c r="C10024" t="str">
        <f t="shared" si="3692"/>
        <v/>
      </c>
      <c r="D10024" t="str">
        <f t="shared" si="3687"/>
        <v>FPO</v>
      </c>
      <c r="E10024" t="str">
        <f t="shared" si="3688"/>
        <v>AE</v>
      </c>
      <c r="F10024" t="str">
        <f t="shared" si="3689"/>
        <v>095930001</v>
      </c>
      <c r="G10024" t="str">
        <f>T("PSC 1005 BOX 10")</f>
        <v>PSC 1005 BOX 10</v>
      </c>
      <c r="H10024" t="str">
        <f>T("ISD")</f>
        <v>ISD</v>
      </c>
      <c r="I10024" t="str">
        <f t="shared" si="3690"/>
        <v>FPO</v>
      </c>
      <c r="J10024" t="str">
        <f t="shared" si="3691"/>
        <v>AE</v>
      </c>
      <c r="K10024" t="str">
        <f>T("000000000000000000")</f>
        <v>000000000000000000</v>
      </c>
      <c r="L10024" t="str">
        <f>T("7574585717")</f>
        <v>7574585717</v>
      </c>
    </row>
    <row r="10025" spans="1:12" x14ac:dyDescent="0.35">
      <c r="A10025" t="str">
        <f t="shared" si="3685"/>
        <v>NAVSTA GUANTANAMO BAY CUBA</v>
      </c>
      <c r="B10025" t="str">
        <f>T("PSC 1005 BOX 10")</f>
        <v>PSC 1005 BOX 10</v>
      </c>
      <c r="C10025" t="str">
        <f t="shared" si="3692"/>
        <v/>
      </c>
      <c r="D10025" t="str">
        <f t="shared" si="3687"/>
        <v>FPO</v>
      </c>
      <c r="E10025" t="str">
        <f t="shared" si="3688"/>
        <v>AE</v>
      </c>
      <c r="F10025" t="str">
        <f t="shared" si="3689"/>
        <v>095930001</v>
      </c>
      <c r="G10025" t="str">
        <f>T("PSC 1005 BOX 25")</f>
        <v>PSC 1005 BOX 25</v>
      </c>
      <c r="H10025" t="str">
        <f t="shared" ref="H10025:H10031" si="3693">T("")</f>
        <v/>
      </c>
      <c r="I10025" t="str">
        <f t="shared" si="3690"/>
        <v>FPO</v>
      </c>
      <c r="J10025" t="str">
        <f t="shared" si="3691"/>
        <v>AE</v>
      </c>
      <c r="K10025" t="str">
        <f>T("000000000000000000")</f>
        <v>000000000000000000</v>
      </c>
      <c r="L10025" t="str">
        <f>T("7574584599")</f>
        <v>7574584599</v>
      </c>
    </row>
    <row r="10026" spans="1:12" x14ac:dyDescent="0.35">
      <c r="A10026" t="str">
        <f t="shared" si="3685"/>
        <v>NAVSTA GUANTANAMO BAY CUBA</v>
      </c>
      <c r="B10026" t="str">
        <f>T("PSC 1005 BOX 11")</f>
        <v>PSC 1005 BOX 11</v>
      </c>
      <c r="C10026" t="str">
        <f t="shared" si="3692"/>
        <v/>
      </c>
      <c r="D10026" t="str">
        <f t="shared" si="3687"/>
        <v>FPO</v>
      </c>
      <c r="E10026" t="str">
        <f t="shared" si="3688"/>
        <v>AE</v>
      </c>
      <c r="F10026" t="str">
        <f t="shared" si="3689"/>
        <v>095930001</v>
      </c>
      <c r="G10026" t="str">
        <f>T("PSC 1005 BOX 11")</f>
        <v>PSC 1005 BOX 11</v>
      </c>
      <c r="H10026" t="str">
        <f t="shared" si="3693"/>
        <v/>
      </c>
      <c r="I10026" t="str">
        <f t="shared" si="3690"/>
        <v>FPO</v>
      </c>
      <c r="J10026" t="str">
        <f t="shared" si="3691"/>
        <v>AE</v>
      </c>
      <c r="K10026" t="str">
        <f>T("01153992074")</f>
        <v>01153992074</v>
      </c>
      <c r="L10026" t="str">
        <f>T("7574582258")</f>
        <v>7574582258</v>
      </c>
    </row>
    <row r="10027" spans="1:12" x14ac:dyDescent="0.35">
      <c r="A10027" t="str">
        <f t="shared" si="3685"/>
        <v>NAVSTA GUANTANAMO BAY CUBA</v>
      </c>
      <c r="B10027" t="str">
        <f>T("PSC 1005 BOX 11")</f>
        <v>PSC 1005 BOX 11</v>
      </c>
      <c r="C10027" t="str">
        <f t="shared" si="3692"/>
        <v/>
      </c>
      <c r="D10027" t="str">
        <f t="shared" si="3687"/>
        <v>FPO</v>
      </c>
      <c r="E10027" t="str">
        <f t="shared" si="3688"/>
        <v>AE</v>
      </c>
      <c r="F10027" t="str">
        <f t="shared" si="3689"/>
        <v>095930001</v>
      </c>
      <c r="G10027" t="str">
        <f>T("PSC 1005 BOX 25")</f>
        <v>PSC 1005 BOX 25</v>
      </c>
      <c r="H10027" t="str">
        <f t="shared" si="3693"/>
        <v/>
      </c>
      <c r="I10027" t="str">
        <f t="shared" si="3690"/>
        <v>FPO</v>
      </c>
      <c r="J10027" t="str">
        <f t="shared" si="3691"/>
        <v>AE</v>
      </c>
      <c r="K10027" t="str">
        <f>T("000000000000000000")</f>
        <v>000000000000000000</v>
      </c>
      <c r="L10027" t="str">
        <f>T("7574582323")</f>
        <v>7574582323</v>
      </c>
    </row>
    <row r="10028" spans="1:12" x14ac:dyDescent="0.35">
      <c r="A10028" t="str">
        <f t="shared" si="3685"/>
        <v>NAVSTA GUANTANAMO BAY CUBA</v>
      </c>
      <c r="B10028" t="str">
        <f>T("PSC 1005 BOX 25")</f>
        <v>PSC 1005 BOX 25</v>
      </c>
      <c r="C10028" t="str">
        <f t="shared" si="3692"/>
        <v/>
      </c>
      <c r="D10028" t="str">
        <f t="shared" si="3687"/>
        <v>FPO</v>
      </c>
      <c r="E10028" t="str">
        <f t="shared" si="3688"/>
        <v>AE</v>
      </c>
      <c r="F10028" t="str">
        <f t="shared" si="3689"/>
        <v>095930001</v>
      </c>
      <c r="G10028" t="str">
        <f>T("PSC 1005 BOX 25")</f>
        <v>PSC 1005 BOX 25</v>
      </c>
      <c r="H10028" t="str">
        <f t="shared" si="3693"/>
        <v/>
      </c>
      <c r="I10028" t="str">
        <f t="shared" si="3690"/>
        <v>FPO</v>
      </c>
      <c r="J10028" t="str">
        <f t="shared" si="3691"/>
        <v>AE</v>
      </c>
      <c r="K10028" t="str">
        <f>T("")</f>
        <v/>
      </c>
      <c r="L10028" t="str">
        <f>T("1111111111")</f>
        <v>1111111111</v>
      </c>
    </row>
    <row r="10029" spans="1:12" x14ac:dyDescent="0.35">
      <c r="A10029" t="str">
        <f t="shared" si="3685"/>
        <v>NAVSTA GUANTANAMO BAY CUBA</v>
      </c>
      <c r="B10029" t="str">
        <f>T("PSC 1005 BOX 25")</f>
        <v>PSC 1005 BOX 25</v>
      </c>
      <c r="C10029" t="str">
        <f t="shared" si="3692"/>
        <v/>
      </c>
      <c r="D10029" t="str">
        <f t="shared" si="3687"/>
        <v>FPO</v>
      </c>
      <c r="E10029" t="str">
        <f t="shared" si="3688"/>
        <v>AE</v>
      </c>
      <c r="F10029" t="str">
        <f t="shared" si="3689"/>
        <v>095930001</v>
      </c>
      <c r="G10029" t="str">
        <f>T("PSC 1005 BOX 25")</f>
        <v>PSC 1005 BOX 25</v>
      </c>
      <c r="H10029" t="str">
        <f t="shared" si="3693"/>
        <v/>
      </c>
      <c r="I10029" t="str">
        <f t="shared" si="3690"/>
        <v>FPO</v>
      </c>
      <c r="J10029" t="str">
        <f t="shared" si="3691"/>
        <v>AE</v>
      </c>
      <c r="K10029" t="str">
        <f>T("")</f>
        <v/>
      </c>
      <c r="L10029" t="str">
        <f>T("7574584488")</f>
        <v>7574584488</v>
      </c>
    </row>
    <row r="10030" spans="1:12" x14ac:dyDescent="0.35">
      <c r="A10030" t="str">
        <f t="shared" si="3685"/>
        <v>NAVSTA GUANTANAMO BAY CUBA</v>
      </c>
      <c r="B10030" t="str">
        <f>T("PSC 1005 BOX 25")</f>
        <v>PSC 1005 BOX 25</v>
      </c>
      <c r="C10030" t="str">
        <f t="shared" si="3692"/>
        <v/>
      </c>
      <c r="D10030" t="str">
        <f t="shared" si="3687"/>
        <v>FPO</v>
      </c>
      <c r="E10030" t="str">
        <f t="shared" si="3688"/>
        <v>AE</v>
      </c>
      <c r="F10030" t="str">
        <f t="shared" si="3689"/>
        <v>095930001</v>
      </c>
      <c r="G10030" t="str">
        <f>T("PSC 1005 BOX 25")</f>
        <v>PSC 1005 BOX 25</v>
      </c>
      <c r="H10030" t="str">
        <f t="shared" si="3693"/>
        <v/>
      </c>
      <c r="I10030" t="str">
        <f t="shared" si="3690"/>
        <v>FPO</v>
      </c>
      <c r="J10030" t="str">
        <f t="shared" si="3691"/>
        <v>AE</v>
      </c>
      <c r="K10030" t="str">
        <f>T("01153994403")</f>
        <v>01153994403</v>
      </c>
      <c r="L10030" t="str">
        <f>T("1111111111")</f>
        <v>1111111111</v>
      </c>
    </row>
    <row r="10031" spans="1:12" x14ac:dyDescent="0.35">
      <c r="A10031" t="str">
        <f t="shared" si="3685"/>
        <v>NAVSTA GUANTANAMO BAY CUBA</v>
      </c>
      <c r="B10031" t="str">
        <f>T("PSC 1005 BOX 25")</f>
        <v>PSC 1005 BOX 25</v>
      </c>
      <c r="C10031" t="str">
        <f t="shared" si="3692"/>
        <v/>
      </c>
      <c r="D10031" t="str">
        <f t="shared" si="3687"/>
        <v>FPO</v>
      </c>
      <c r="E10031" t="str">
        <f t="shared" si="3688"/>
        <v>AE</v>
      </c>
      <c r="F10031" t="str">
        <f t="shared" si="3689"/>
        <v>095930001</v>
      </c>
      <c r="G10031" t="str">
        <f>T("PSC 1005 BOX 25")</f>
        <v>PSC 1005 BOX 25</v>
      </c>
      <c r="H10031" t="str">
        <f t="shared" si="3693"/>
        <v/>
      </c>
      <c r="I10031" t="str">
        <f t="shared" si="3690"/>
        <v>FPO</v>
      </c>
      <c r="J10031" t="str">
        <f t="shared" si="3691"/>
        <v>AE</v>
      </c>
      <c r="K10031" t="str">
        <f>T("01153996115")</f>
        <v>01153996115</v>
      </c>
      <c r="L10031" t="str">
        <f>T("1111111111")</f>
        <v>1111111111</v>
      </c>
    </row>
    <row r="10032" spans="1:12" x14ac:dyDescent="0.35">
      <c r="A10032" t="str">
        <f t="shared" si="3685"/>
        <v>NAVSTA GUANTANAMO BAY CUBA</v>
      </c>
      <c r="B10032" t="str">
        <f>T("PSC 1005 BOX 29")</f>
        <v>PSC 1005 BOX 29</v>
      </c>
      <c r="C10032" t="str">
        <f t="shared" si="3692"/>
        <v/>
      </c>
      <c r="D10032" t="str">
        <f t="shared" si="3687"/>
        <v>FPO</v>
      </c>
      <c r="E10032" t="str">
        <f t="shared" si="3688"/>
        <v>AE</v>
      </c>
      <c r="F10032" t="str">
        <f t="shared" si="3689"/>
        <v>095930001</v>
      </c>
      <c r="G10032" t="str">
        <f>T("FFSC")</f>
        <v>FFSC</v>
      </c>
      <c r="H10032" t="str">
        <f>T("PSC 1005 BOX 29")</f>
        <v>PSC 1005 BOX 29</v>
      </c>
      <c r="I10032" t="str">
        <f t="shared" si="3690"/>
        <v>FPO</v>
      </c>
      <c r="J10032" t="str">
        <f t="shared" si="3691"/>
        <v>AE</v>
      </c>
      <c r="K10032" t="str">
        <f>T("01153994141")</f>
        <v>01153994141</v>
      </c>
      <c r="L10032" t="str">
        <f>T("1111111111")</f>
        <v>1111111111</v>
      </c>
    </row>
    <row r="10033" spans="1:12" x14ac:dyDescent="0.35">
      <c r="A10033" t="str">
        <f t="shared" si="3685"/>
        <v>NAVSTA GUANTANAMO BAY CUBA</v>
      </c>
      <c r="B10033" t="str">
        <f>T("PSC 1005 BOX 29")</f>
        <v>PSC 1005 BOX 29</v>
      </c>
      <c r="C10033" t="str">
        <f t="shared" si="3692"/>
        <v/>
      </c>
      <c r="D10033" t="str">
        <f t="shared" si="3687"/>
        <v>FPO</v>
      </c>
      <c r="E10033" t="str">
        <f t="shared" si="3688"/>
        <v>AE</v>
      </c>
      <c r="F10033" t="str">
        <f t="shared" si="3689"/>
        <v>095930001</v>
      </c>
      <c r="G10033" t="str">
        <f>T("PSC 1005 BOX 29")</f>
        <v>PSC 1005 BOX 29</v>
      </c>
      <c r="H10033" t="str">
        <f t="shared" ref="H10033:H10038" si="3694">T("")</f>
        <v/>
      </c>
      <c r="I10033" t="str">
        <f t="shared" si="3690"/>
        <v>FPO</v>
      </c>
      <c r="J10033" t="str">
        <f t="shared" si="3691"/>
        <v>AE</v>
      </c>
      <c r="K10033" t="str">
        <f>T("01153994429")</f>
        <v>01153994429</v>
      </c>
      <c r="L10033" t="str">
        <f>T("1111111111")</f>
        <v>1111111111</v>
      </c>
    </row>
    <row r="10034" spans="1:12" x14ac:dyDescent="0.35">
      <c r="A10034" t="str">
        <f t="shared" si="3685"/>
        <v>NAVSTA GUANTANAMO BAY CUBA</v>
      </c>
      <c r="B10034" t="str">
        <f>T("PSC 1005 BOX 33")</f>
        <v>PSC 1005 BOX 33</v>
      </c>
      <c r="C10034" t="str">
        <f t="shared" si="3692"/>
        <v/>
      </c>
      <c r="D10034" t="str">
        <f t="shared" si="3687"/>
        <v>FPO</v>
      </c>
      <c r="E10034" t="str">
        <f t="shared" si="3688"/>
        <v>AE</v>
      </c>
      <c r="F10034" t="str">
        <f t="shared" si="3689"/>
        <v>095930001</v>
      </c>
      <c r="G10034" t="str">
        <f>T("PSC 1005 BOX 33")</f>
        <v>PSC 1005 BOX 33</v>
      </c>
      <c r="H10034" t="str">
        <f t="shared" si="3694"/>
        <v/>
      </c>
      <c r="I10034" t="str">
        <f t="shared" si="3690"/>
        <v>FPO</v>
      </c>
      <c r="J10034" t="str">
        <f t="shared" si="3691"/>
        <v>AE</v>
      </c>
      <c r="K10034" t="str">
        <f>T("")</f>
        <v/>
      </c>
      <c r="L10034" t="str">
        <f>T("1111111111")</f>
        <v>1111111111</v>
      </c>
    </row>
    <row r="10035" spans="1:12" x14ac:dyDescent="0.35">
      <c r="A10035" t="str">
        <f t="shared" si="3685"/>
        <v>NAVSTA GUANTANAMO BAY CUBA</v>
      </c>
      <c r="B10035" t="str">
        <f>T("PSC 1005 BOX 33")</f>
        <v>PSC 1005 BOX 33</v>
      </c>
      <c r="C10035" t="str">
        <f t="shared" si="3692"/>
        <v/>
      </c>
      <c r="D10035" t="str">
        <f t="shared" si="3687"/>
        <v>FPO</v>
      </c>
      <c r="E10035" t="str">
        <f t="shared" si="3688"/>
        <v>AE</v>
      </c>
      <c r="F10035" t="str">
        <f t="shared" si="3689"/>
        <v>095930001</v>
      </c>
      <c r="G10035" t="str">
        <f>T("PSC 1005 BOX 33")</f>
        <v>PSC 1005 BOX 33</v>
      </c>
      <c r="H10035" t="str">
        <f t="shared" si="3694"/>
        <v/>
      </c>
      <c r="I10035" t="str">
        <f t="shared" si="3690"/>
        <v>FPO</v>
      </c>
      <c r="J10035" t="str">
        <f t="shared" si="3691"/>
        <v>AE</v>
      </c>
      <c r="K10035" t="str">
        <f>T("000000000000000000")</f>
        <v>000000000000000000</v>
      </c>
      <c r="L10035" t="str">
        <f>T("7574562231")</f>
        <v>7574562231</v>
      </c>
    </row>
    <row r="10036" spans="1:12" x14ac:dyDescent="0.35">
      <c r="A10036" t="str">
        <f t="shared" si="3685"/>
        <v>NAVSTA GUANTANAMO BAY CUBA</v>
      </c>
      <c r="B10036" t="str">
        <f>T("PSC 1005 BOX 37")</f>
        <v>PSC 1005 BOX 37</v>
      </c>
      <c r="C10036" t="str">
        <f t="shared" si="3692"/>
        <v/>
      </c>
      <c r="D10036" t="str">
        <f t="shared" si="3687"/>
        <v>FPO</v>
      </c>
      <c r="E10036" t="str">
        <f t="shared" si="3688"/>
        <v>AE</v>
      </c>
      <c r="F10036" t="str">
        <f t="shared" si="3689"/>
        <v>095930001</v>
      </c>
      <c r="G10036" t="str">
        <f>T("PSC 1005 BOX 37")</f>
        <v>PSC 1005 BOX 37</v>
      </c>
      <c r="H10036" t="str">
        <f t="shared" si="3694"/>
        <v/>
      </c>
      <c r="I10036" t="str">
        <f t="shared" si="3690"/>
        <v>FPO</v>
      </c>
      <c r="J10036" t="str">
        <f t="shared" si="3691"/>
        <v>AE</v>
      </c>
      <c r="K10036" t="str">
        <f>T("01153994397")</f>
        <v>01153994397</v>
      </c>
      <c r="L10036" t="str">
        <f>T("1111111111")</f>
        <v>1111111111</v>
      </c>
    </row>
    <row r="10037" spans="1:12" x14ac:dyDescent="0.35">
      <c r="A10037" t="str">
        <f t="shared" si="3685"/>
        <v>NAVSTA GUANTANAMO BAY CUBA</v>
      </c>
      <c r="B10037" t="str">
        <f>T("PSC 1005 BOX 57")</f>
        <v>PSC 1005 BOX 57</v>
      </c>
      <c r="C10037" t="str">
        <f t="shared" si="3692"/>
        <v/>
      </c>
      <c r="D10037" t="str">
        <f t="shared" si="3687"/>
        <v>FPO</v>
      </c>
      <c r="E10037" t="str">
        <f t="shared" si="3688"/>
        <v>AE</v>
      </c>
      <c r="F10037" t="str">
        <f t="shared" si="3689"/>
        <v>095930001</v>
      </c>
      <c r="G10037" t="str">
        <f>T("PSC 1005 BOX 57")</f>
        <v>PSC 1005 BOX 57</v>
      </c>
      <c r="H10037" t="str">
        <f t="shared" si="3694"/>
        <v/>
      </c>
      <c r="I10037" t="str">
        <f t="shared" si="3690"/>
        <v>FPO</v>
      </c>
      <c r="J10037" t="str">
        <f t="shared" si="3691"/>
        <v>AE</v>
      </c>
      <c r="K10037" t="str">
        <f>T("000000000000000000")</f>
        <v>000000000000000000</v>
      </c>
      <c r="L10037" t="str">
        <f>T("7574582998")</f>
        <v>7574582998</v>
      </c>
    </row>
    <row r="10038" spans="1:12" x14ac:dyDescent="0.35">
      <c r="A10038" t="str">
        <f t="shared" si="3685"/>
        <v>NAVSTA GUANTANAMO BAY CUBA</v>
      </c>
      <c r="B10038" t="str">
        <f>T("PSC 1005 BOX 57")</f>
        <v>PSC 1005 BOX 57</v>
      </c>
      <c r="C10038" t="str">
        <f t="shared" si="3692"/>
        <v/>
      </c>
      <c r="D10038" t="str">
        <f t="shared" si="3687"/>
        <v>FPO</v>
      </c>
      <c r="E10038" t="str">
        <f t="shared" si="3688"/>
        <v>AE</v>
      </c>
      <c r="F10038" t="str">
        <f t="shared" si="3689"/>
        <v>095930001</v>
      </c>
      <c r="G10038" t="str">
        <f>T("PSC 1005 BOX 57")</f>
        <v>PSC 1005 BOX 57</v>
      </c>
      <c r="H10038" t="str">
        <f t="shared" si="3694"/>
        <v/>
      </c>
      <c r="I10038" t="str">
        <f t="shared" si="3690"/>
        <v>FPO</v>
      </c>
      <c r="J10038" t="str">
        <f t="shared" si="3691"/>
        <v>AE</v>
      </c>
      <c r="K10038" t="str">
        <f>T("01153994779")</f>
        <v>01153994779</v>
      </c>
      <c r="L10038" t="str">
        <f>T("1111111111")</f>
        <v>1111111111</v>
      </c>
    </row>
    <row r="10039" spans="1:12" x14ac:dyDescent="0.35">
      <c r="A10039" t="str">
        <f t="shared" ref="A10039:A10050" si="3695">T("NSA MID SOUTH")</f>
        <v>NSA MID SOUTH</v>
      </c>
      <c r="B10039" t="str">
        <f t="shared" ref="B10039:B10050" si="3696">T("NAVAL SUPPORT ACTIVITY MID-SOUTH")</f>
        <v>NAVAL SUPPORT ACTIVITY MID-SOUTH</v>
      </c>
      <c r="C10039" t="str">
        <f>T("5722 INTEGRITY DR BLDG S-237")</f>
        <v>5722 INTEGRITY DR BLDG S-237</v>
      </c>
      <c r="D10039" t="str">
        <f t="shared" ref="D10039:D10050" si="3697">T("MILLINGTON")</f>
        <v>MILLINGTON</v>
      </c>
      <c r="E10039" t="str">
        <f t="shared" ref="E10039:E10050" si="3698">T("TN")</f>
        <v>TN</v>
      </c>
      <c r="F10039" t="str">
        <f>T("380545028")</f>
        <v>380545028</v>
      </c>
      <c r="G10039" t="str">
        <f>T("7700 HORNET AVE BLDG 455")</f>
        <v>7700 HORNET AVE BLDG 455</v>
      </c>
      <c r="H10039" t="str">
        <f>T("NAVAL SUPPORT ACTIVITY MID SOUTH")</f>
        <v>NAVAL SUPPORT ACTIVITY MID SOUTH</v>
      </c>
      <c r="I10039" t="str">
        <f t="shared" ref="I10039:I10050" si="3699">T("MILLINGTON")</f>
        <v>MILLINGTON</v>
      </c>
      <c r="J10039" t="str">
        <f t="shared" ref="J10039:J10050" si="3700">T("TN")</f>
        <v>TN</v>
      </c>
      <c r="K10039" t="str">
        <f>T("000000000000000000")</f>
        <v>000000000000000000</v>
      </c>
      <c r="L10039" t="str">
        <f>T("9018745539")</f>
        <v>9018745539</v>
      </c>
    </row>
    <row r="10040" spans="1:12" x14ac:dyDescent="0.35">
      <c r="A10040" t="str">
        <f t="shared" si="3695"/>
        <v>NSA MID SOUTH</v>
      </c>
      <c r="B10040" t="str">
        <f t="shared" si="3696"/>
        <v>NAVAL SUPPORT ACTIVITY MID-SOUTH</v>
      </c>
      <c r="C10040" t="str">
        <f>T("5722 INTEGRITY DR BLDG S-237")</f>
        <v>5722 INTEGRITY DR BLDG S-237</v>
      </c>
      <c r="D10040" t="str">
        <f t="shared" si="3697"/>
        <v>MILLINGTON</v>
      </c>
      <c r="E10040" t="str">
        <f t="shared" si="3698"/>
        <v>TN</v>
      </c>
      <c r="F10040" t="str">
        <f>T("380545028")</f>
        <v>380545028</v>
      </c>
      <c r="G10040" t="str">
        <f>T("NAVAL SUPPORT ACTIVITY MID-SOUTH")</f>
        <v>NAVAL SUPPORT ACTIVITY MID-SOUTH</v>
      </c>
      <c r="H10040" t="str">
        <f>T("5722 INTEGRITY DR BLDG S-237")</f>
        <v>5722 INTEGRITY DR BLDG S-237</v>
      </c>
      <c r="I10040" t="str">
        <f t="shared" si="3699"/>
        <v>MILLINGTON</v>
      </c>
      <c r="J10040" t="str">
        <f t="shared" si="3700"/>
        <v>TN</v>
      </c>
      <c r="K10040" t="str">
        <f>T("000000000000000000")</f>
        <v>000000000000000000</v>
      </c>
      <c r="L10040" t="str">
        <f>T("9018746929")</f>
        <v>9018746929</v>
      </c>
    </row>
    <row r="10041" spans="1:12" x14ac:dyDescent="0.35">
      <c r="A10041" t="str">
        <f t="shared" si="3695"/>
        <v>NSA MID SOUTH</v>
      </c>
      <c r="B10041" t="str">
        <f t="shared" si="3696"/>
        <v>NAVAL SUPPORT ACTIVITY MID-SOUTH</v>
      </c>
      <c r="C10041" t="str">
        <f t="shared" ref="C10041:C10050" si="3701">T("7700 HORNET AVE BLDG 455")</f>
        <v>7700 HORNET AVE BLDG 455</v>
      </c>
      <c r="D10041" t="str">
        <f t="shared" si="3697"/>
        <v>MILLINGTON</v>
      </c>
      <c r="E10041" t="str">
        <f t="shared" si="3698"/>
        <v>TN</v>
      </c>
      <c r="F10041" t="str">
        <f t="shared" ref="F10041:F10050" si="3702">T("380540000")</f>
        <v>380540000</v>
      </c>
      <c r="G10041" t="str">
        <f>T("5722 INTEGRITY DR BLDG 455")</f>
        <v>5722 INTEGRITY DR BLDG 455</v>
      </c>
      <c r="H10041" t="str">
        <f>T("")</f>
        <v/>
      </c>
      <c r="I10041" t="str">
        <f t="shared" si="3699"/>
        <v>MILLINGTON</v>
      </c>
      <c r="J10041" t="str">
        <f t="shared" si="3700"/>
        <v>TN</v>
      </c>
      <c r="K10041" t="str">
        <f>T("9018745649")</f>
        <v>9018745649</v>
      </c>
      <c r="L10041" t="str">
        <f>T("9018745431")</f>
        <v>9018745431</v>
      </c>
    </row>
    <row r="10042" spans="1:12" x14ac:dyDescent="0.35">
      <c r="A10042" t="str">
        <f t="shared" si="3695"/>
        <v>NSA MID SOUTH</v>
      </c>
      <c r="B10042" t="str">
        <f t="shared" si="3696"/>
        <v>NAVAL SUPPORT ACTIVITY MID-SOUTH</v>
      </c>
      <c r="C10042" t="str">
        <f t="shared" si="3701"/>
        <v>7700 HORNET AVE BLDG 455</v>
      </c>
      <c r="D10042" t="str">
        <f t="shared" si="3697"/>
        <v>MILLINGTON</v>
      </c>
      <c r="E10042" t="str">
        <f t="shared" si="3698"/>
        <v>TN</v>
      </c>
      <c r="F10042" t="str">
        <f t="shared" si="3702"/>
        <v>380540000</v>
      </c>
      <c r="G10042" t="str">
        <f>T("7700 HORNET AVE BLDG 455")</f>
        <v>7700 HORNET AVE BLDG 455</v>
      </c>
      <c r="H10042" t="str">
        <f>T("")</f>
        <v/>
      </c>
      <c r="I10042" t="str">
        <f t="shared" si="3699"/>
        <v>MILLINGTON</v>
      </c>
      <c r="J10042" t="str">
        <f t="shared" si="3700"/>
        <v>TN</v>
      </c>
      <c r="K10042" t="str">
        <f t="shared" ref="K10042:K10047" si="3703">T("000000000000000000")</f>
        <v>000000000000000000</v>
      </c>
      <c r="L10042" t="str">
        <f>T("9018745207")</f>
        <v>9018745207</v>
      </c>
    </row>
    <row r="10043" spans="1:12" x14ac:dyDescent="0.35">
      <c r="A10043" t="str">
        <f t="shared" si="3695"/>
        <v>NSA MID SOUTH</v>
      </c>
      <c r="B10043" t="str">
        <f t="shared" si="3696"/>
        <v>NAVAL SUPPORT ACTIVITY MID-SOUTH</v>
      </c>
      <c r="C10043" t="str">
        <f t="shared" si="3701"/>
        <v>7700 HORNET AVE BLDG 455</v>
      </c>
      <c r="D10043" t="str">
        <f t="shared" si="3697"/>
        <v>MILLINGTON</v>
      </c>
      <c r="E10043" t="str">
        <f t="shared" si="3698"/>
        <v>TN</v>
      </c>
      <c r="F10043" t="str">
        <f t="shared" si="3702"/>
        <v>380540000</v>
      </c>
      <c r="G10043" t="str">
        <f>T("NAVAL SUPPORT ACTIVITY MID SOUTH")</f>
        <v>NAVAL SUPPORT ACTIVITY MID SOUTH</v>
      </c>
      <c r="H10043" t="str">
        <f t="shared" ref="H10043:H10050" si="3704">T("7700 HORNET AVE BLDG 455")</f>
        <v>7700 HORNET AVE BLDG 455</v>
      </c>
      <c r="I10043" t="str">
        <f t="shared" si="3699"/>
        <v>MILLINGTON</v>
      </c>
      <c r="J10043" t="str">
        <f t="shared" si="3700"/>
        <v>TN</v>
      </c>
      <c r="K10043" t="str">
        <f t="shared" si="3703"/>
        <v>000000000000000000</v>
      </c>
      <c r="L10043" t="str">
        <f>T("8473665334")</f>
        <v>8473665334</v>
      </c>
    </row>
    <row r="10044" spans="1:12" x14ac:dyDescent="0.35">
      <c r="A10044" t="str">
        <f t="shared" si="3695"/>
        <v>NSA MID SOUTH</v>
      </c>
      <c r="B10044" t="str">
        <f t="shared" si="3696"/>
        <v>NAVAL SUPPORT ACTIVITY MID-SOUTH</v>
      </c>
      <c r="C10044" t="str">
        <f t="shared" si="3701"/>
        <v>7700 HORNET AVE BLDG 455</v>
      </c>
      <c r="D10044" t="str">
        <f t="shared" si="3697"/>
        <v>MILLINGTON</v>
      </c>
      <c r="E10044" t="str">
        <f t="shared" si="3698"/>
        <v>TN</v>
      </c>
      <c r="F10044" t="str">
        <f t="shared" si="3702"/>
        <v>380540000</v>
      </c>
      <c r="G10044" t="str">
        <f>T("NAVAL SUPPORT ACTIVITY MID SOUTH")</f>
        <v>NAVAL SUPPORT ACTIVITY MID SOUTH</v>
      </c>
      <c r="H10044" t="str">
        <f t="shared" si="3704"/>
        <v>7700 HORNET AVE BLDG 455</v>
      </c>
      <c r="I10044" t="str">
        <f t="shared" si="3699"/>
        <v>MILLINGTON</v>
      </c>
      <c r="J10044" t="str">
        <f t="shared" si="3700"/>
        <v>TN</v>
      </c>
      <c r="K10044" t="str">
        <f t="shared" si="3703"/>
        <v>000000000000000000</v>
      </c>
      <c r="L10044" t="str">
        <f>T("9018745076")</f>
        <v>9018745076</v>
      </c>
    </row>
    <row r="10045" spans="1:12" x14ac:dyDescent="0.35">
      <c r="A10045" t="str">
        <f t="shared" si="3695"/>
        <v>NSA MID SOUTH</v>
      </c>
      <c r="B10045" t="str">
        <f t="shared" si="3696"/>
        <v>NAVAL SUPPORT ACTIVITY MID-SOUTH</v>
      </c>
      <c r="C10045" t="str">
        <f t="shared" si="3701"/>
        <v>7700 HORNET AVE BLDG 455</v>
      </c>
      <c r="D10045" t="str">
        <f t="shared" si="3697"/>
        <v>MILLINGTON</v>
      </c>
      <c r="E10045" t="str">
        <f t="shared" si="3698"/>
        <v>TN</v>
      </c>
      <c r="F10045" t="str">
        <f t="shared" si="3702"/>
        <v>380540000</v>
      </c>
      <c r="G10045" t="str">
        <f>T("NAVAL SUPPORT ACTIVITY MID SOUTH")</f>
        <v>NAVAL SUPPORT ACTIVITY MID SOUTH</v>
      </c>
      <c r="H10045" t="str">
        <f t="shared" si="3704"/>
        <v>7700 HORNET AVE BLDG 455</v>
      </c>
      <c r="I10045" t="str">
        <f t="shared" si="3699"/>
        <v>MILLINGTON</v>
      </c>
      <c r="J10045" t="str">
        <f t="shared" si="3700"/>
        <v>TN</v>
      </c>
      <c r="K10045" t="str">
        <f t="shared" si="3703"/>
        <v>000000000000000000</v>
      </c>
      <c r="L10045" t="str">
        <f>T("9018745644")</f>
        <v>9018745644</v>
      </c>
    </row>
    <row r="10046" spans="1:12" x14ac:dyDescent="0.35">
      <c r="A10046" t="str">
        <f t="shared" si="3695"/>
        <v>NSA MID SOUTH</v>
      </c>
      <c r="B10046" t="str">
        <f t="shared" si="3696"/>
        <v>NAVAL SUPPORT ACTIVITY MID-SOUTH</v>
      </c>
      <c r="C10046" t="str">
        <f t="shared" si="3701"/>
        <v>7700 HORNET AVE BLDG 455</v>
      </c>
      <c r="D10046" t="str">
        <f t="shared" si="3697"/>
        <v>MILLINGTON</v>
      </c>
      <c r="E10046" t="str">
        <f t="shared" si="3698"/>
        <v>TN</v>
      </c>
      <c r="F10046" t="str">
        <f t="shared" si="3702"/>
        <v>380540000</v>
      </c>
      <c r="G10046" t="str">
        <f>T("NAVAL SUPPORT ACTIVITY MID-SOUTH")</f>
        <v>NAVAL SUPPORT ACTIVITY MID-SOUTH</v>
      </c>
      <c r="H10046" t="str">
        <f t="shared" si="3704"/>
        <v>7700 HORNET AVE BLDG 455</v>
      </c>
      <c r="I10046" t="str">
        <f t="shared" si="3699"/>
        <v>MILLINGTON</v>
      </c>
      <c r="J10046" t="str">
        <f t="shared" si="3700"/>
        <v>TN</v>
      </c>
      <c r="K10046" t="str">
        <f t="shared" si="3703"/>
        <v>000000000000000000</v>
      </c>
      <c r="L10046" t="str">
        <f>T("9018745073")</f>
        <v>9018745073</v>
      </c>
    </row>
    <row r="10047" spans="1:12" x14ac:dyDescent="0.35">
      <c r="A10047" t="str">
        <f t="shared" si="3695"/>
        <v>NSA MID SOUTH</v>
      </c>
      <c r="B10047" t="str">
        <f t="shared" si="3696"/>
        <v>NAVAL SUPPORT ACTIVITY MID-SOUTH</v>
      </c>
      <c r="C10047" t="str">
        <f t="shared" si="3701"/>
        <v>7700 HORNET AVE BLDG 455</v>
      </c>
      <c r="D10047" t="str">
        <f t="shared" si="3697"/>
        <v>MILLINGTON</v>
      </c>
      <c r="E10047" t="str">
        <f t="shared" si="3698"/>
        <v>TN</v>
      </c>
      <c r="F10047" t="str">
        <f t="shared" si="3702"/>
        <v>380540000</v>
      </c>
      <c r="G10047" t="str">
        <f>T("NAVAL SUPPORT ACTIVITY MID-SOUTH")</f>
        <v>NAVAL SUPPORT ACTIVITY MID-SOUTH</v>
      </c>
      <c r="H10047" t="str">
        <f t="shared" si="3704"/>
        <v>7700 HORNET AVE BLDG 455</v>
      </c>
      <c r="I10047" t="str">
        <f t="shared" si="3699"/>
        <v>MILLINGTON</v>
      </c>
      <c r="J10047" t="str">
        <f t="shared" si="3700"/>
        <v>TN</v>
      </c>
      <c r="K10047" t="str">
        <f t="shared" si="3703"/>
        <v>000000000000000000</v>
      </c>
      <c r="L10047" t="str">
        <f>T("9018747510")</f>
        <v>9018747510</v>
      </c>
    </row>
    <row r="10048" spans="1:12" x14ac:dyDescent="0.35">
      <c r="A10048" t="str">
        <f t="shared" si="3695"/>
        <v>NSA MID SOUTH</v>
      </c>
      <c r="B10048" t="str">
        <f t="shared" si="3696"/>
        <v>NAVAL SUPPORT ACTIVITY MID-SOUTH</v>
      </c>
      <c r="C10048" t="str">
        <f t="shared" si="3701"/>
        <v>7700 HORNET AVE BLDG 455</v>
      </c>
      <c r="D10048" t="str">
        <f t="shared" si="3697"/>
        <v>MILLINGTON</v>
      </c>
      <c r="E10048" t="str">
        <f t="shared" si="3698"/>
        <v>TN</v>
      </c>
      <c r="F10048" t="str">
        <f t="shared" si="3702"/>
        <v>380540000</v>
      </c>
      <c r="G10048" t="str">
        <f>T("NAVAL SUPPORT ACTIVITY MID-SOUTH")</f>
        <v>NAVAL SUPPORT ACTIVITY MID-SOUTH</v>
      </c>
      <c r="H10048" t="str">
        <f t="shared" si="3704"/>
        <v>7700 HORNET AVE BLDG 455</v>
      </c>
      <c r="I10048" t="str">
        <f t="shared" si="3699"/>
        <v>MILLINGTON</v>
      </c>
      <c r="J10048" t="str">
        <f t="shared" si="3700"/>
        <v>TN</v>
      </c>
      <c r="K10048" t="str">
        <f>T("901-874-5300")</f>
        <v>901-874-5300</v>
      </c>
      <c r="L10048" t="str">
        <f>T("9018745844")</f>
        <v>9018745844</v>
      </c>
    </row>
    <row r="10049" spans="1:12" x14ac:dyDescent="0.35">
      <c r="A10049" t="str">
        <f t="shared" si="3695"/>
        <v>NSA MID SOUTH</v>
      </c>
      <c r="B10049" t="str">
        <f t="shared" si="3696"/>
        <v>NAVAL SUPPORT ACTIVITY MID-SOUTH</v>
      </c>
      <c r="C10049" t="str">
        <f t="shared" si="3701"/>
        <v>7700 HORNET AVE BLDG 455</v>
      </c>
      <c r="D10049" t="str">
        <f t="shared" si="3697"/>
        <v>MILLINGTON</v>
      </c>
      <c r="E10049" t="str">
        <f t="shared" si="3698"/>
        <v>TN</v>
      </c>
      <c r="F10049" t="str">
        <f t="shared" si="3702"/>
        <v>380540000</v>
      </c>
      <c r="G10049" t="str">
        <f>T("NAVAL SUPPORT ACTIVITY MID-SOUTH")</f>
        <v>NAVAL SUPPORT ACTIVITY MID-SOUTH</v>
      </c>
      <c r="H10049" t="str">
        <f t="shared" si="3704"/>
        <v>7700 HORNET AVE BLDG 455</v>
      </c>
      <c r="I10049" t="str">
        <f t="shared" si="3699"/>
        <v>MILLINGTON</v>
      </c>
      <c r="J10049" t="str">
        <f t="shared" si="3700"/>
        <v>TN</v>
      </c>
      <c r="K10049" t="str">
        <f>T("901-874-5300")</f>
        <v>901-874-5300</v>
      </c>
      <c r="L10049" t="str">
        <f>T("9078745844")</f>
        <v>9078745844</v>
      </c>
    </row>
    <row r="10050" spans="1:12" x14ac:dyDescent="0.35">
      <c r="A10050" t="str">
        <f t="shared" si="3695"/>
        <v>NSA MID SOUTH</v>
      </c>
      <c r="B10050" t="str">
        <f t="shared" si="3696"/>
        <v>NAVAL SUPPORT ACTIVITY MID-SOUTH</v>
      </c>
      <c r="C10050" t="str">
        <f t="shared" si="3701"/>
        <v>7700 HORNET AVE BLDG 455</v>
      </c>
      <c r="D10050" t="str">
        <f t="shared" si="3697"/>
        <v>MILLINGTON</v>
      </c>
      <c r="E10050" t="str">
        <f t="shared" si="3698"/>
        <v>TN</v>
      </c>
      <c r="F10050" t="str">
        <f t="shared" si="3702"/>
        <v>380540000</v>
      </c>
      <c r="G10050" t="str">
        <f>T("NAVAL SUPPORT ACTIVITY MID-SOUTH")</f>
        <v>NAVAL SUPPORT ACTIVITY MID-SOUTH</v>
      </c>
      <c r="H10050" t="str">
        <f t="shared" si="3704"/>
        <v>7700 HORNET AVE BLDG 455</v>
      </c>
      <c r="I10050" t="str">
        <f t="shared" si="3699"/>
        <v>MILLINGTON</v>
      </c>
      <c r="J10050" t="str">
        <f t="shared" si="3700"/>
        <v>TN</v>
      </c>
      <c r="K10050" t="str">
        <f>T("901-874-7271")</f>
        <v>901-874-7271</v>
      </c>
      <c r="L10050" t="str">
        <f>T("9018745393")</f>
        <v>9018745393</v>
      </c>
    </row>
    <row r="10051" spans="1:12" x14ac:dyDescent="0.35">
      <c r="A10051" t="str">
        <f t="shared" ref="A10051:A10075" si="3705">T("NAVAL SUBMARINE BASE")</f>
        <v>NAVAL SUBMARINE BASE</v>
      </c>
      <c r="B10051" t="str">
        <f t="shared" ref="B10051:B10058" si="3706">T("1063 USS TENNESSEE AVE")</f>
        <v>1063 USS TENNESSEE AVE</v>
      </c>
      <c r="C10051" t="str">
        <f>T("")</f>
        <v/>
      </c>
      <c r="D10051" t="str">
        <f t="shared" ref="D10051:D10075" si="3707">T("KINGS BAY")</f>
        <v>KINGS BAY</v>
      </c>
      <c r="E10051" t="str">
        <f t="shared" ref="E10051:E10075" si="3708">T("GA")</f>
        <v>GA</v>
      </c>
      <c r="F10051" t="str">
        <f t="shared" ref="F10051:F10062" si="3709">T("315472602")</f>
        <v>315472602</v>
      </c>
      <c r="G10051" t="str">
        <f>T("1063 TENNESSEE AVE")</f>
        <v>1063 TENNESSEE AVE</v>
      </c>
      <c r="H10051" t="str">
        <f>T("")</f>
        <v/>
      </c>
      <c r="I10051" t="str">
        <f t="shared" ref="I10051:I10075" si="3710">T("KINGS BAY")</f>
        <v>KINGS BAY</v>
      </c>
      <c r="J10051" t="str">
        <f t="shared" ref="J10051:J10075" si="3711">T("GA")</f>
        <v>GA</v>
      </c>
      <c r="K10051" t="str">
        <f>T("000000000000000000")</f>
        <v>000000000000000000</v>
      </c>
      <c r="L10051" t="str">
        <f>T("9125731342")</f>
        <v>9125731342</v>
      </c>
    </row>
    <row r="10052" spans="1:12" x14ac:dyDescent="0.35">
      <c r="A10052" t="str">
        <f t="shared" si="3705"/>
        <v>NAVAL SUBMARINE BASE</v>
      </c>
      <c r="B10052" t="str">
        <f t="shared" si="3706"/>
        <v>1063 USS TENNESSEE AVE</v>
      </c>
      <c r="C10052" t="str">
        <f>T("")</f>
        <v/>
      </c>
      <c r="D10052" t="str">
        <f t="shared" si="3707"/>
        <v>KINGS BAY</v>
      </c>
      <c r="E10052" t="str">
        <f t="shared" si="3708"/>
        <v>GA</v>
      </c>
      <c r="F10052" t="str">
        <f t="shared" si="3709"/>
        <v>315472602</v>
      </c>
      <c r="G10052" t="str">
        <f>T("1063 USS TENNESSEE AVE")</f>
        <v>1063 USS TENNESSEE AVE</v>
      </c>
      <c r="H10052" t="str">
        <f>T("")</f>
        <v/>
      </c>
      <c r="I10052" t="str">
        <f t="shared" si="3710"/>
        <v>KINGS BAY</v>
      </c>
      <c r="J10052" t="str">
        <f t="shared" si="3711"/>
        <v>GA</v>
      </c>
      <c r="K10052" t="str">
        <f>T("9125733108")</f>
        <v>9125733108</v>
      </c>
      <c r="L10052" t="str">
        <f>T("9126746812")</f>
        <v>9126746812</v>
      </c>
    </row>
    <row r="10053" spans="1:12" x14ac:dyDescent="0.35">
      <c r="A10053" t="str">
        <f t="shared" si="3705"/>
        <v>NAVAL SUBMARINE BASE</v>
      </c>
      <c r="B10053" t="str">
        <f t="shared" si="3706"/>
        <v>1063 USS TENNESSEE AVE</v>
      </c>
      <c r="C10053" t="str">
        <f>T("")</f>
        <v/>
      </c>
      <c r="D10053" t="str">
        <f t="shared" si="3707"/>
        <v>KINGS BAY</v>
      </c>
      <c r="E10053" t="str">
        <f t="shared" si="3708"/>
        <v>GA</v>
      </c>
      <c r="F10053" t="str">
        <f t="shared" si="3709"/>
        <v>315472602</v>
      </c>
      <c r="G10053" t="str">
        <f>T("1063 USS TENNESSEE AVE")</f>
        <v>1063 USS TENNESSEE AVE</v>
      </c>
      <c r="H10053" t="str">
        <f>T("")</f>
        <v/>
      </c>
      <c r="I10053" t="str">
        <f t="shared" si="3710"/>
        <v>KINGS BAY</v>
      </c>
      <c r="J10053" t="str">
        <f t="shared" si="3711"/>
        <v>GA</v>
      </c>
      <c r="K10053" t="str">
        <f>T("9125734713")</f>
        <v>9125734713</v>
      </c>
      <c r="L10053" t="str">
        <f>T("9125732550")</f>
        <v>9125732550</v>
      </c>
    </row>
    <row r="10054" spans="1:12" x14ac:dyDescent="0.35">
      <c r="A10054" t="str">
        <f t="shared" si="3705"/>
        <v>NAVAL SUBMARINE BASE</v>
      </c>
      <c r="B10054" t="str">
        <f t="shared" si="3706"/>
        <v>1063 USS TENNESSEE AVE</v>
      </c>
      <c r="C10054" t="str">
        <f>T("")</f>
        <v/>
      </c>
      <c r="D10054" t="str">
        <f t="shared" si="3707"/>
        <v>KINGS BAY</v>
      </c>
      <c r="E10054" t="str">
        <f t="shared" si="3708"/>
        <v>GA</v>
      </c>
      <c r="F10054" t="str">
        <f t="shared" si="3709"/>
        <v>315472602</v>
      </c>
      <c r="G10054" t="str">
        <f>T("460 HENRY L STIMSON DR")</f>
        <v>460 HENRY L STIMSON DR</v>
      </c>
      <c r="H10054" t="str">
        <f>T("")</f>
        <v/>
      </c>
      <c r="I10054" t="str">
        <f t="shared" si="3710"/>
        <v>KINGS BAY</v>
      </c>
      <c r="J10054" t="str">
        <f t="shared" si="3711"/>
        <v>GA</v>
      </c>
      <c r="K10054" t="str">
        <f>T("9125734713")</f>
        <v>9125734713</v>
      </c>
      <c r="L10054" t="str">
        <f>T("9125733157")</f>
        <v>9125733157</v>
      </c>
    </row>
    <row r="10055" spans="1:12" x14ac:dyDescent="0.35">
      <c r="A10055" t="str">
        <f t="shared" si="3705"/>
        <v>NAVAL SUBMARINE BASE</v>
      </c>
      <c r="B10055" t="str">
        <f t="shared" si="3706"/>
        <v>1063 USS TENNESSEE AVE</v>
      </c>
      <c r="C10055" t="str">
        <f>T("CODE N30 FIRE AND EMERGENCY SERVCS")</f>
        <v>CODE N30 FIRE AND EMERGENCY SERVCS</v>
      </c>
      <c r="D10055" t="str">
        <f t="shared" si="3707"/>
        <v>KINGS BAY</v>
      </c>
      <c r="E10055" t="str">
        <f t="shared" si="3708"/>
        <v>GA</v>
      </c>
      <c r="F10055" t="str">
        <f t="shared" si="3709"/>
        <v>315472602</v>
      </c>
      <c r="G10055" t="str">
        <f>T("1063 USS TENNESSEE AVE")</f>
        <v>1063 USS TENNESSEE AVE</v>
      </c>
      <c r="H10055" t="str">
        <f>T("CODE N30 FIRE AND EMERGENCY SERVCS")</f>
        <v>CODE N30 FIRE AND EMERGENCY SERVCS</v>
      </c>
      <c r="I10055" t="str">
        <f t="shared" si="3710"/>
        <v>KINGS BAY</v>
      </c>
      <c r="J10055" t="str">
        <f t="shared" si="3711"/>
        <v>GA</v>
      </c>
      <c r="K10055" t="str">
        <f>T("")</f>
        <v/>
      </c>
      <c r="L10055" t="str">
        <f>T("9125732514")</f>
        <v>9125732514</v>
      </c>
    </row>
    <row r="10056" spans="1:12" x14ac:dyDescent="0.35">
      <c r="A10056" t="str">
        <f t="shared" si="3705"/>
        <v>NAVAL SUBMARINE BASE</v>
      </c>
      <c r="B10056" t="str">
        <f t="shared" si="3706"/>
        <v>1063 USS TENNESSEE AVE</v>
      </c>
      <c r="C10056" t="str">
        <f>T("CODE N30 FIRE AND EMERGENCY SERVCS")</f>
        <v>CODE N30 FIRE AND EMERGENCY SERVCS</v>
      </c>
      <c r="D10056" t="str">
        <f t="shared" si="3707"/>
        <v>KINGS BAY</v>
      </c>
      <c r="E10056" t="str">
        <f t="shared" si="3708"/>
        <v>GA</v>
      </c>
      <c r="F10056" t="str">
        <f t="shared" si="3709"/>
        <v>315472602</v>
      </c>
      <c r="G10056" t="str">
        <f>T("PO BOX 47248")</f>
        <v>PO BOX 47248</v>
      </c>
      <c r="H10056" t="str">
        <f>T("")</f>
        <v/>
      </c>
      <c r="I10056" t="str">
        <f t="shared" si="3710"/>
        <v>KINGS BAY</v>
      </c>
      <c r="J10056" t="str">
        <f t="shared" si="3711"/>
        <v>GA</v>
      </c>
      <c r="K10056" t="str">
        <f>T("9125732040")</f>
        <v>9125732040</v>
      </c>
      <c r="L10056" t="str">
        <f>T("9125732114")</f>
        <v>9125732114</v>
      </c>
    </row>
    <row r="10057" spans="1:12" x14ac:dyDescent="0.35">
      <c r="A10057" t="str">
        <f t="shared" si="3705"/>
        <v>NAVAL SUBMARINE BASE</v>
      </c>
      <c r="B10057" t="str">
        <f t="shared" si="3706"/>
        <v>1063 USS TENNESSEE AVE</v>
      </c>
      <c r="C10057" t="str">
        <f>T("PUBLIC WRKS DEPT")</f>
        <v>PUBLIC WRKS DEPT</v>
      </c>
      <c r="D10057" t="str">
        <f t="shared" si="3707"/>
        <v>KINGS BAY</v>
      </c>
      <c r="E10057" t="str">
        <f t="shared" si="3708"/>
        <v>GA</v>
      </c>
      <c r="F10057" t="str">
        <f t="shared" si="3709"/>
        <v>315472602</v>
      </c>
      <c r="G10057" t="str">
        <f>T("1063 USS TENNESSEE AVE")</f>
        <v>1063 USS TENNESSEE AVE</v>
      </c>
      <c r="H10057" t="str">
        <f>T("PUBLIC WRKS DEPT")</f>
        <v>PUBLIC WRKS DEPT</v>
      </c>
      <c r="I10057" t="str">
        <f t="shared" si="3710"/>
        <v>KINGS BAY</v>
      </c>
      <c r="J10057" t="str">
        <f t="shared" si="3711"/>
        <v>GA</v>
      </c>
      <c r="K10057" t="str">
        <f>T("912 573 2661")</f>
        <v>912 573 2661</v>
      </c>
      <c r="L10057" t="str">
        <f>T("9125732047")</f>
        <v>9125732047</v>
      </c>
    </row>
    <row r="10058" spans="1:12" x14ac:dyDescent="0.35">
      <c r="A10058" t="str">
        <f t="shared" si="3705"/>
        <v>NAVAL SUBMARINE BASE</v>
      </c>
      <c r="B10058" t="str">
        <f t="shared" si="3706"/>
        <v>1063 USS TENNESSEE AVE</v>
      </c>
      <c r="C10058" t="str">
        <f>T("PUBLIC WRKS DEPT")</f>
        <v>PUBLIC WRKS DEPT</v>
      </c>
      <c r="D10058" t="str">
        <f t="shared" si="3707"/>
        <v>KINGS BAY</v>
      </c>
      <c r="E10058" t="str">
        <f t="shared" si="3708"/>
        <v>GA</v>
      </c>
      <c r="F10058" t="str">
        <f t="shared" si="3709"/>
        <v>315472602</v>
      </c>
      <c r="G10058" t="str">
        <f>T("PUBLIC WORKS DEPT CODE PW1")</f>
        <v>PUBLIC WORKS DEPT CODE PW1</v>
      </c>
      <c r="H10058" t="str">
        <f>T("1063 USS TENNESSEE AVENUE")</f>
        <v>1063 USS TENNESSEE AVENUE</v>
      </c>
      <c r="I10058" t="str">
        <f t="shared" si="3710"/>
        <v>KINGS BAY</v>
      </c>
      <c r="J10058" t="str">
        <f t="shared" si="3711"/>
        <v>GA</v>
      </c>
      <c r="K10058" t="str">
        <f>T("9125732661")</f>
        <v>9125732661</v>
      </c>
      <c r="L10058" t="str">
        <f>T("9125734611")</f>
        <v>9125734611</v>
      </c>
    </row>
    <row r="10059" spans="1:12" x14ac:dyDescent="0.35">
      <c r="A10059" t="str">
        <f t="shared" si="3705"/>
        <v>NAVAL SUBMARINE BASE</v>
      </c>
      <c r="B10059" t="str">
        <f>T("1063 USS TENNESSEE AVENUE")</f>
        <v>1063 USS TENNESSEE AVENUE</v>
      </c>
      <c r="C10059" t="str">
        <f>T("CODE CM6")</f>
        <v>CODE CM6</v>
      </c>
      <c r="D10059" t="str">
        <f t="shared" si="3707"/>
        <v>KINGS BAY</v>
      </c>
      <c r="E10059" t="str">
        <f t="shared" si="3708"/>
        <v>GA</v>
      </c>
      <c r="F10059" t="str">
        <f t="shared" si="3709"/>
        <v>315472602</v>
      </c>
      <c r="G10059" t="str">
        <f>T("1063 USS TENNESSEE AVENUE")</f>
        <v>1063 USS TENNESSEE AVENUE</v>
      </c>
      <c r="H10059" t="str">
        <f>T("CODE CM6")</f>
        <v>CODE CM6</v>
      </c>
      <c r="I10059" t="str">
        <f t="shared" si="3710"/>
        <v>KINGS BAY</v>
      </c>
      <c r="J10059" t="str">
        <f t="shared" si="3711"/>
        <v>GA</v>
      </c>
      <c r="K10059" t="str">
        <f>T("9125734980")</f>
        <v>9125734980</v>
      </c>
      <c r="L10059" t="str">
        <f>T("9125734932")</f>
        <v>9125734932</v>
      </c>
    </row>
    <row r="10060" spans="1:12" x14ac:dyDescent="0.35">
      <c r="A10060" t="str">
        <f t="shared" si="3705"/>
        <v>NAVAL SUBMARINE BASE</v>
      </c>
      <c r="B10060" t="str">
        <f>T("1063 USS TENNESSEE AVENUE")</f>
        <v>1063 USS TENNESSEE AVENUE</v>
      </c>
      <c r="C10060" t="str">
        <f>T("CODE CM6")</f>
        <v>CODE CM6</v>
      </c>
      <c r="D10060" t="str">
        <f t="shared" si="3707"/>
        <v>KINGS BAY</v>
      </c>
      <c r="E10060" t="str">
        <f t="shared" si="3708"/>
        <v>GA</v>
      </c>
      <c r="F10060" t="str">
        <f t="shared" si="3709"/>
        <v>315472602</v>
      </c>
      <c r="G10060" t="str">
        <f>T("CODE CM6")</f>
        <v>CODE CM6</v>
      </c>
      <c r="H10060" t="str">
        <f>T("NSB 1063 USS TENNESSEE AVENUE")</f>
        <v>NSB 1063 USS TENNESSEE AVENUE</v>
      </c>
      <c r="I10060" t="str">
        <f t="shared" si="3710"/>
        <v>KINGS BAY</v>
      </c>
      <c r="J10060" t="str">
        <f t="shared" si="3711"/>
        <v>GA</v>
      </c>
      <c r="K10060" t="str">
        <f>T("000000000000000000")</f>
        <v>000000000000000000</v>
      </c>
      <c r="L10060" t="str">
        <f>T("9125739637")</f>
        <v>9125739637</v>
      </c>
    </row>
    <row r="10061" spans="1:12" x14ac:dyDescent="0.35">
      <c r="A10061" t="str">
        <f t="shared" si="3705"/>
        <v>NAVAL SUBMARINE BASE</v>
      </c>
      <c r="B10061" t="str">
        <f>T("1115 HENY CLAY BLVD")</f>
        <v>1115 HENY CLAY BLVD</v>
      </c>
      <c r="C10061" t="str">
        <f>T("CODE NP1")</f>
        <v>CODE NP1</v>
      </c>
      <c r="D10061" t="str">
        <f t="shared" si="3707"/>
        <v>KINGS BAY</v>
      </c>
      <c r="E10061" t="str">
        <f t="shared" si="3708"/>
        <v>GA</v>
      </c>
      <c r="F10061" t="str">
        <f t="shared" si="3709"/>
        <v>315472602</v>
      </c>
      <c r="G10061" t="str">
        <f>T("1115 HENRY CLAY BLVD")</f>
        <v>1115 HENRY CLAY BLVD</v>
      </c>
      <c r="H10061" t="str">
        <f>T("NSB BLDG 2026")</f>
        <v>NSB BLDG 2026</v>
      </c>
      <c r="I10061" t="str">
        <f t="shared" si="3710"/>
        <v>KINGS BAY</v>
      </c>
      <c r="J10061" t="str">
        <f t="shared" si="3711"/>
        <v>GA</v>
      </c>
      <c r="K10061" t="str">
        <f>T("9125732531")</f>
        <v>9125732531</v>
      </c>
      <c r="L10061" t="str">
        <f>T("9125734266")</f>
        <v>9125734266</v>
      </c>
    </row>
    <row r="10062" spans="1:12" x14ac:dyDescent="0.35">
      <c r="A10062" t="str">
        <f t="shared" si="3705"/>
        <v>NAVAL SUBMARINE BASE</v>
      </c>
      <c r="B10062" t="str">
        <f>T("1115 HENY CLAY BLVD")</f>
        <v>1115 HENY CLAY BLVD</v>
      </c>
      <c r="C10062" t="str">
        <f>T("CODE NP1")</f>
        <v>CODE NP1</v>
      </c>
      <c r="D10062" t="str">
        <f t="shared" si="3707"/>
        <v>KINGS BAY</v>
      </c>
      <c r="E10062" t="str">
        <f t="shared" si="3708"/>
        <v>GA</v>
      </c>
      <c r="F10062" t="str">
        <f t="shared" si="3709"/>
        <v>315472602</v>
      </c>
      <c r="G10062" t="str">
        <f>T("1115 HENY CLAY BLVD")</f>
        <v>1115 HENY CLAY BLVD</v>
      </c>
      <c r="H10062" t="str">
        <f>T("CODE NP1")</f>
        <v>CODE NP1</v>
      </c>
      <c r="I10062" t="str">
        <f t="shared" si="3710"/>
        <v>KINGS BAY</v>
      </c>
      <c r="J10062" t="str">
        <f t="shared" si="3711"/>
        <v>GA</v>
      </c>
      <c r="K10062" t="str">
        <f>T("9125732100")</f>
        <v>9125732100</v>
      </c>
      <c r="L10062" t="str">
        <f>T("9125739640")</f>
        <v>9125739640</v>
      </c>
    </row>
    <row r="10063" spans="1:12" x14ac:dyDescent="0.35">
      <c r="A10063" t="str">
        <f t="shared" si="3705"/>
        <v>NAVAL SUBMARINE BASE</v>
      </c>
      <c r="B10063" t="str">
        <f>T("1220 USS DANIEL BOONE DRIVE")</f>
        <v>1220 USS DANIEL BOONE DRIVE</v>
      </c>
      <c r="C10063" t="str">
        <f>T("")</f>
        <v/>
      </c>
      <c r="D10063" t="str">
        <f t="shared" si="3707"/>
        <v>KINGS BAY</v>
      </c>
      <c r="E10063" t="str">
        <f t="shared" si="3708"/>
        <v>GA</v>
      </c>
      <c r="F10063" t="str">
        <f>T("315472509")</f>
        <v>315472509</v>
      </c>
      <c r="G10063" t="str">
        <f>T("1063 USS TENNESSEE AVE")</f>
        <v>1063 USS TENNESSEE AVE</v>
      </c>
      <c r="H10063" t="str">
        <f>T("RM 237/ADMIN")</f>
        <v>RM 237/ADMIN</v>
      </c>
      <c r="I10063" t="str">
        <f t="shared" si="3710"/>
        <v>KINGS BAY</v>
      </c>
      <c r="J10063" t="str">
        <f t="shared" si="3711"/>
        <v>GA</v>
      </c>
      <c r="K10063" t="str">
        <f>T("9125734543")</f>
        <v>9125734543</v>
      </c>
      <c r="L10063" t="str">
        <f>T("9125734501")</f>
        <v>9125734501</v>
      </c>
    </row>
    <row r="10064" spans="1:12" x14ac:dyDescent="0.35">
      <c r="A10064" t="str">
        <f t="shared" si="3705"/>
        <v>NAVAL SUBMARINE BASE</v>
      </c>
      <c r="B10064" t="str">
        <f>T("1220 USS DANIEL BOONE DRIVE")</f>
        <v>1220 USS DANIEL BOONE DRIVE</v>
      </c>
      <c r="C10064" t="str">
        <f>T("")</f>
        <v/>
      </c>
      <c r="D10064" t="str">
        <f t="shared" si="3707"/>
        <v>KINGS BAY</v>
      </c>
      <c r="E10064" t="str">
        <f t="shared" si="3708"/>
        <v>GA</v>
      </c>
      <c r="F10064" t="str">
        <f>T("315472509")</f>
        <v>315472509</v>
      </c>
      <c r="G10064" t="str">
        <f>T("1220 USS DANIEL BOONE DRIVE")</f>
        <v>1220 USS DANIEL BOONE DRIVE</v>
      </c>
      <c r="H10064" t="str">
        <f>T("")</f>
        <v/>
      </c>
      <c r="I10064" t="str">
        <f t="shared" si="3710"/>
        <v>KINGS BAY</v>
      </c>
      <c r="J10064" t="str">
        <f t="shared" si="3711"/>
        <v>GA</v>
      </c>
      <c r="K10064" t="str">
        <f>T("9125734543")</f>
        <v>9125734543</v>
      </c>
      <c r="L10064" t="str">
        <f>T("9125734501")</f>
        <v>9125734501</v>
      </c>
    </row>
    <row r="10065" spans="1:12" x14ac:dyDescent="0.35">
      <c r="A10065" t="str">
        <f t="shared" si="3705"/>
        <v>NAVAL SUBMARINE BASE</v>
      </c>
      <c r="B10065" t="str">
        <f>T("860 USS HUNLEY AVE")</f>
        <v>860 USS HUNLEY AVE</v>
      </c>
      <c r="C10065" t="str">
        <f>T("EOD UNIT")</f>
        <v>EOD UNIT</v>
      </c>
      <c r="D10065" t="str">
        <f t="shared" si="3707"/>
        <v>KINGS BAY</v>
      </c>
      <c r="E10065" t="str">
        <f t="shared" si="3708"/>
        <v>GA</v>
      </c>
      <c r="F10065" t="str">
        <f>T("315472611")</f>
        <v>315472611</v>
      </c>
      <c r="G10065" t="str">
        <f>T("860 USS HUNLEY AVE")</f>
        <v>860 USS HUNLEY AVE</v>
      </c>
      <c r="H10065" t="str">
        <f>T("EOD UNIT")</f>
        <v>EOD UNIT</v>
      </c>
      <c r="I10065" t="str">
        <f t="shared" si="3710"/>
        <v>KINGS BAY</v>
      </c>
      <c r="J10065" t="str">
        <f t="shared" si="3711"/>
        <v>GA</v>
      </c>
      <c r="K10065" t="str">
        <f>T("9125732295")</f>
        <v>9125732295</v>
      </c>
      <c r="L10065" t="str">
        <f>T("9125732079")</f>
        <v>9125732079</v>
      </c>
    </row>
    <row r="10066" spans="1:12" x14ac:dyDescent="0.35">
      <c r="A10066" t="str">
        <f t="shared" si="3705"/>
        <v>NAVAL SUBMARINE BASE</v>
      </c>
      <c r="B10066" t="str">
        <f>T("860 USS HUNLEY AVE")</f>
        <v>860 USS HUNLEY AVE</v>
      </c>
      <c r="C10066" t="str">
        <f>T("EOD UNIT")</f>
        <v>EOD UNIT</v>
      </c>
      <c r="D10066" t="str">
        <f t="shared" si="3707"/>
        <v>KINGS BAY</v>
      </c>
      <c r="E10066" t="str">
        <f t="shared" si="3708"/>
        <v>GA</v>
      </c>
      <c r="F10066" t="str">
        <f>T("315472611")</f>
        <v>315472611</v>
      </c>
      <c r="G10066" t="str">
        <f>T("EODMU SIX DET KINGS BAY")</f>
        <v>EODMU SIX DET KINGS BAY</v>
      </c>
      <c r="H10066" t="str">
        <f>T("860 USS HUNLEY AVE")</f>
        <v>860 USS HUNLEY AVE</v>
      </c>
      <c r="I10066" t="str">
        <f t="shared" si="3710"/>
        <v>KINGS BAY</v>
      </c>
      <c r="J10066" t="str">
        <f t="shared" si="3711"/>
        <v>GA</v>
      </c>
      <c r="K10066" t="str">
        <f>T("000000000000000000")</f>
        <v>000000000000000000</v>
      </c>
      <c r="L10066" t="str">
        <f>T("9125732078")</f>
        <v>9125732078</v>
      </c>
    </row>
    <row r="10067" spans="1:12" x14ac:dyDescent="0.35">
      <c r="A10067" t="str">
        <f t="shared" si="3705"/>
        <v>NAVAL SUBMARINE BASE</v>
      </c>
      <c r="B10067" t="str">
        <f>T("890 USS HUNLEY AVENUE")</f>
        <v>890 USS HUNLEY AVENUE</v>
      </c>
      <c r="C10067" t="str">
        <f>T("NSB BLDG 2005 CODE N6")</f>
        <v>NSB BLDG 2005 CODE N6</v>
      </c>
      <c r="D10067" t="str">
        <f t="shared" si="3707"/>
        <v>KINGS BAY</v>
      </c>
      <c r="E10067" t="str">
        <f t="shared" si="3708"/>
        <v>GA</v>
      </c>
      <c r="F10067" t="str">
        <f>T("315472611")</f>
        <v>315472611</v>
      </c>
      <c r="G10067" t="str">
        <f>T("890 USS HUNLEY AVENUE")</f>
        <v>890 USS HUNLEY AVENUE</v>
      </c>
      <c r="H10067" t="str">
        <f>T("")</f>
        <v/>
      </c>
      <c r="I10067" t="str">
        <f t="shared" si="3710"/>
        <v>KINGS BAY</v>
      </c>
      <c r="J10067" t="str">
        <f t="shared" si="3711"/>
        <v>GA</v>
      </c>
      <c r="K10067" t="str">
        <f>T("9125733506")</f>
        <v>9125733506</v>
      </c>
      <c r="L10067" t="str">
        <f>T("9125734749")</f>
        <v>9125734749</v>
      </c>
    </row>
    <row r="10068" spans="1:12" x14ac:dyDescent="0.35">
      <c r="A10068" t="str">
        <f t="shared" si="3705"/>
        <v>NAVAL SUBMARINE BASE</v>
      </c>
      <c r="B10068" t="str">
        <f>T("890 USS HUNLEY AVENUE")</f>
        <v>890 USS HUNLEY AVENUE</v>
      </c>
      <c r="C10068" t="str">
        <f>T("NSB BLDG 2005 CODE N6")</f>
        <v>NSB BLDG 2005 CODE N6</v>
      </c>
      <c r="D10068" t="str">
        <f t="shared" si="3707"/>
        <v>KINGS BAY</v>
      </c>
      <c r="E10068" t="str">
        <f t="shared" si="3708"/>
        <v>GA</v>
      </c>
      <c r="F10068" t="str">
        <f>T("315472611")</f>
        <v>315472611</v>
      </c>
      <c r="G10068" t="str">
        <f>T("890 USS HUNLEY AVENUE")</f>
        <v>890 USS HUNLEY AVENUE</v>
      </c>
      <c r="H10068" t="str">
        <f>T("NSB BLDG 2005 CODE N6")</f>
        <v>NSB BLDG 2005 CODE N6</v>
      </c>
      <c r="I10068" t="str">
        <f t="shared" si="3710"/>
        <v>KINGS BAY</v>
      </c>
      <c r="J10068" t="str">
        <f t="shared" si="3711"/>
        <v>GA</v>
      </c>
      <c r="K10068" t="str">
        <f>T("9125733506")</f>
        <v>9125733506</v>
      </c>
      <c r="L10068" t="str">
        <f>T("9125738779")</f>
        <v>9125738779</v>
      </c>
    </row>
    <row r="10069" spans="1:12" x14ac:dyDescent="0.35">
      <c r="A10069" t="str">
        <f t="shared" si="3705"/>
        <v>NAVAL SUBMARINE BASE</v>
      </c>
      <c r="B10069" t="str">
        <f>T("910 USS HUNLEY AVENUE")</f>
        <v>910 USS HUNLEY AVENUE</v>
      </c>
      <c r="C10069" t="str">
        <f>T("BLDG 2015")</f>
        <v>BLDG 2015</v>
      </c>
      <c r="D10069" t="str">
        <f t="shared" si="3707"/>
        <v>KINGS BAY</v>
      </c>
      <c r="E10069" t="str">
        <f t="shared" si="3708"/>
        <v>GA</v>
      </c>
      <c r="F10069" t="str">
        <f>T("315472613")</f>
        <v>315472613</v>
      </c>
      <c r="G10069" t="str">
        <f>T("910 USS HUNLEY AVENUE")</f>
        <v>910 USS HUNLEY AVENUE</v>
      </c>
      <c r="H10069" t="str">
        <f>T("BLDG 2015")</f>
        <v>BLDG 2015</v>
      </c>
      <c r="I10069" t="str">
        <f t="shared" si="3710"/>
        <v>KINGS BAY</v>
      </c>
      <c r="J10069" t="str">
        <f t="shared" si="3711"/>
        <v>GA</v>
      </c>
      <c r="K10069" t="str">
        <f>T("")</f>
        <v/>
      </c>
      <c r="L10069" t="str">
        <f>T("9125738960")</f>
        <v>9125738960</v>
      </c>
    </row>
    <row r="10070" spans="1:12" x14ac:dyDescent="0.35">
      <c r="A10070" t="str">
        <f t="shared" si="3705"/>
        <v>NAVAL SUBMARINE BASE</v>
      </c>
      <c r="B10070" t="str">
        <f>T("910 USS HUNLEY AVENUE")</f>
        <v>910 USS HUNLEY AVENUE</v>
      </c>
      <c r="C10070" t="str">
        <f>T("BLDG 2015")</f>
        <v>BLDG 2015</v>
      </c>
      <c r="D10070" t="str">
        <f t="shared" si="3707"/>
        <v>KINGS BAY</v>
      </c>
      <c r="E10070" t="str">
        <f t="shared" si="3708"/>
        <v>GA</v>
      </c>
      <c r="F10070" t="str">
        <f>T("315472613")</f>
        <v>315472613</v>
      </c>
      <c r="G10070" t="str">
        <f>T("PUBLIC WORKS DEPT 910 USS HUNLEY")</f>
        <v>PUBLIC WORKS DEPT 910 USS HUNLEY</v>
      </c>
      <c r="H10070" t="str">
        <f>T("BLDG 2015")</f>
        <v>BLDG 2015</v>
      </c>
      <c r="I10070" t="str">
        <f t="shared" si="3710"/>
        <v>KINGS BAY</v>
      </c>
      <c r="J10070" t="str">
        <f t="shared" si="3711"/>
        <v>GA</v>
      </c>
      <c r="K10070" t="str">
        <f>T("9125734622")</f>
        <v>9125734622</v>
      </c>
      <c r="L10070" t="str">
        <f>T("9125732447")</f>
        <v>9125732447</v>
      </c>
    </row>
    <row r="10071" spans="1:12" x14ac:dyDescent="0.35">
      <c r="A10071" t="str">
        <f t="shared" si="3705"/>
        <v>NAVAL SUBMARINE BASE</v>
      </c>
      <c r="B10071" t="str">
        <f>T("NSB 1063 USS TENNESSEE AVE")</f>
        <v>NSB 1063 USS TENNESSEE AVE</v>
      </c>
      <c r="C10071" t="str">
        <f>T("BLDG 1051CODE QL11")</f>
        <v>BLDG 1051CODE QL11</v>
      </c>
      <c r="D10071" t="str">
        <f t="shared" si="3707"/>
        <v>KINGS BAY</v>
      </c>
      <c r="E10071" t="str">
        <f t="shared" si="3708"/>
        <v>GA</v>
      </c>
      <c r="F10071" t="str">
        <f>T("315470000")</f>
        <v>315470000</v>
      </c>
      <c r="G10071" t="str">
        <f>T("NSB 1063 USS TENNESSE AVENUE")</f>
        <v>NSB 1063 USS TENNESSE AVENUE</v>
      </c>
      <c r="H10071" t="str">
        <f>T("BLDG 1051 CODE QL11")</f>
        <v>BLDG 1051 CODE QL11</v>
      </c>
      <c r="I10071" t="str">
        <f t="shared" si="3710"/>
        <v>KINGS BAY</v>
      </c>
      <c r="J10071" t="str">
        <f t="shared" si="3711"/>
        <v>GA</v>
      </c>
      <c r="K10071" t="str">
        <f>T("000000000000000000")</f>
        <v>000000000000000000</v>
      </c>
      <c r="L10071" t="str">
        <f>T("9125734222")</f>
        <v>9125734222</v>
      </c>
    </row>
    <row r="10072" spans="1:12" x14ac:dyDescent="0.35">
      <c r="A10072" t="str">
        <f t="shared" si="3705"/>
        <v>NAVAL SUBMARINE BASE</v>
      </c>
      <c r="B10072" t="str">
        <f>T("NSB 1063 USS TENNESSEE AVE")</f>
        <v>NSB 1063 USS TENNESSEE AVE</v>
      </c>
      <c r="C10072" t="str">
        <f>T("BLDG 1051CODE QL11")</f>
        <v>BLDG 1051CODE QL11</v>
      </c>
      <c r="D10072" t="str">
        <f t="shared" si="3707"/>
        <v>KINGS BAY</v>
      </c>
      <c r="E10072" t="str">
        <f t="shared" si="3708"/>
        <v>GA</v>
      </c>
      <c r="F10072" t="str">
        <f>T("315470000")</f>
        <v>315470000</v>
      </c>
      <c r="G10072" t="str">
        <f>T("NSB 1063 USS TENNESSEE AVE")</f>
        <v>NSB 1063 USS TENNESSEE AVE</v>
      </c>
      <c r="H10072" t="str">
        <f>T("BLDG 1051CODE QL11")</f>
        <v>BLDG 1051CODE QL11</v>
      </c>
      <c r="I10072" t="str">
        <f t="shared" si="3710"/>
        <v>KINGS BAY</v>
      </c>
      <c r="J10072" t="str">
        <f t="shared" si="3711"/>
        <v>GA</v>
      </c>
      <c r="K10072" t="str">
        <f>T("9125732031")</f>
        <v>9125732031</v>
      </c>
      <c r="L10072" t="str">
        <f>T("9125734517")</f>
        <v>9125734517</v>
      </c>
    </row>
    <row r="10073" spans="1:12" x14ac:dyDescent="0.35">
      <c r="A10073" t="str">
        <f t="shared" si="3705"/>
        <v>NAVAL SUBMARINE BASE</v>
      </c>
      <c r="B10073" t="str">
        <f>T("NSB TVQ")</f>
        <v>NSB TVQ</v>
      </c>
      <c r="C10073" t="str">
        <f>T("952 USS JAMES MADISON ROAD")</f>
        <v>952 USS JAMES MADISON ROAD</v>
      </c>
      <c r="D10073" t="str">
        <f t="shared" si="3707"/>
        <v>KINGS BAY</v>
      </c>
      <c r="E10073" t="str">
        <f t="shared" si="3708"/>
        <v>GA</v>
      </c>
      <c r="F10073" t="str">
        <f>T("315472532")</f>
        <v>315472532</v>
      </c>
      <c r="G10073" t="str">
        <f>T("980 USS TENNESSE AVE")</f>
        <v>980 USS TENNESSE AVE</v>
      </c>
      <c r="H10073" t="str">
        <f>T("BLDG 1070")</f>
        <v>BLDG 1070</v>
      </c>
      <c r="I10073" t="str">
        <f t="shared" si="3710"/>
        <v>KINGS BAY</v>
      </c>
      <c r="J10073" t="str">
        <f t="shared" si="3711"/>
        <v>GA</v>
      </c>
      <c r="K10073" t="str">
        <f>T("000000000000000000")</f>
        <v>000000000000000000</v>
      </c>
      <c r="L10073" t="str">
        <f>T("9125731502")</f>
        <v>9125731502</v>
      </c>
    </row>
    <row r="10074" spans="1:12" x14ac:dyDescent="0.35">
      <c r="A10074" t="str">
        <f t="shared" si="3705"/>
        <v>NAVAL SUBMARINE BASE</v>
      </c>
      <c r="B10074" t="str">
        <f>T("NSB TVQ")</f>
        <v>NSB TVQ</v>
      </c>
      <c r="C10074" t="str">
        <f>T("952 USS JAMES MADISON ROAD")</f>
        <v>952 USS JAMES MADISON ROAD</v>
      </c>
      <c r="D10074" t="str">
        <f t="shared" si="3707"/>
        <v>KINGS BAY</v>
      </c>
      <c r="E10074" t="str">
        <f t="shared" si="3708"/>
        <v>GA</v>
      </c>
      <c r="F10074" t="str">
        <f>T("315472532")</f>
        <v>315472532</v>
      </c>
      <c r="G10074" t="str">
        <f>T("980 USS TENNESSEE")</f>
        <v>980 USS TENNESSEE</v>
      </c>
      <c r="H10074" t="str">
        <f>T("BLDG 1070 NAVAL SUBMARINE BASE")</f>
        <v>BLDG 1070 NAVAL SUBMARINE BASE</v>
      </c>
      <c r="I10074" t="str">
        <f t="shared" si="3710"/>
        <v>KINGS BAY</v>
      </c>
      <c r="J10074" t="str">
        <f t="shared" si="3711"/>
        <v>GA</v>
      </c>
      <c r="K10074" t="str">
        <f>T("9125733200")</f>
        <v>9125733200</v>
      </c>
      <c r="L10074" t="str">
        <f>T("9125731179")</f>
        <v>9125731179</v>
      </c>
    </row>
    <row r="10075" spans="1:12" x14ac:dyDescent="0.35">
      <c r="A10075" t="str">
        <f t="shared" si="3705"/>
        <v>NAVAL SUBMARINE BASE</v>
      </c>
      <c r="B10075" t="str">
        <f>T("NSB TVQ")</f>
        <v>NSB TVQ</v>
      </c>
      <c r="C10075" t="str">
        <f>T("952 USS JAMES MADISON ROAD")</f>
        <v>952 USS JAMES MADISON ROAD</v>
      </c>
      <c r="D10075" t="str">
        <f t="shared" si="3707"/>
        <v>KINGS BAY</v>
      </c>
      <c r="E10075" t="str">
        <f t="shared" si="3708"/>
        <v>GA</v>
      </c>
      <c r="F10075" t="str">
        <f>T("315472532")</f>
        <v>315472532</v>
      </c>
      <c r="G10075" t="str">
        <f>T("NSB TVQ")</f>
        <v>NSB TVQ</v>
      </c>
      <c r="H10075" t="str">
        <f>T("952 USS JAMES MADISON ROAD")</f>
        <v>952 USS JAMES MADISON ROAD</v>
      </c>
      <c r="I10075" t="str">
        <f t="shared" si="3710"/>
        <v>KINGS BAY</v>
      </c>
      <c r="J10075" t="str">
        <f t="shared" si="3711"/>
        <v>GA</v>
      </c>
      <c r="K10075" t="str">
        <f>T("9125732752")</f>
        <v>9125732752</v>
      </c>
      <c r="L10075" t="str">
        <f>T("9125732113")</f>
        <v>9125732113</v>
      </c>
    </row>
    <row r="10076" spans="1:12" x14ac:dyDescent="0.35">
      <c r="A10076" t="str">
        <f t="shared" ref="A10076:A10114" si="3712">T("CNRSE")</f>
        <v>CNRSE</v>
      </c>
      <c r="B10076" t="str">
        <f>T("1 PINCKNEY BLVD")</f>
        <v>1 PINCKNEY BLVD</v>
      </c>
      <c r="C10076" t="str">
        <f t="shared" ref="C10076:C10084" si="3713">T("")</f>
        <v/>
      </c>
      <c r="D10076" t="str">
        <f t="shared" ref="D10076:D10082" si="3714">T("BEAUFORT")</f>
        <v>BEAUFORT</v>
      </c>
      <c r="E10076" t="str">
        <f t="shared" ref="E10076:E10082" si="3715">T("SC")</f>
        <v>SC</v>
      </c>
      <c r="F10076" t="str">
        <f t="shared" ref="F10076:F10082" si="3716">T("299026122")</f>
        <v>299026122</v>
      </c>
      <c r="G10076" t="str">
        <f>T("1 PINCKNEY BLVD")</f>
        <v>1 PINCKNEY BLVD</v>
      </c>
      <c r="H10076" t="str">
        <f>T("")</f>
        <v/>
      </c>
      <c r="I10076" t="str">
        <f t="shared" ref="I10076:I10082" si="3717">T("BEAUFORT")</f>
        <v>BEAUFORT</v>
      </c>
      <c r="J10076" t="str">
        <f t="shared" ref="J10076:J10082" si="3718">T("SC")</f>
        <v>SC</v>
      </c>
      <c r="K10076" t="str">
        <f>T("000000000000000000")</f>
        <v>000000000000000000</v>
      </c>
      <c r="L10076" t="str">
        <f>T("8432285228")</f>
        <v>8432285228</v>
      </c>
    </row>
    <row r="10077" spans="1:12" x14ac:dyDescent="0.35">
      <c r="A10077" t="str">
        <f t="shared" si="3712"/>
        <v>CNRSE</v>
      </c>
      <c r="B10077" t="str">
        <f>T("1 PINCKNEY BLVD")</f>
        <v>1 PINCKNEY BLVD</v>
      </c>
      <c r="C10077" t="str">
        <f t="shared" si="3713"/>
        <v/>
      </c>
      <c r="D10077" t="str">
        <f t="shared" si="3714"/>
        <v>BEAUFORT</v>
      </c>
      <c r="E10077" t="str">
        <f t="shared" si="3715"/>
        <v>SC</v>
      </c>
      <c r="F10077" t="str">
        <f t="shared" si="3716"/>
        <v>299026122</v>
      </c>
      <c r="G10077" t="str">
        <f>T("1 PINCKNEY BLVD")</f>
        <v>1 PINCKNEY BLVD</v>
      </c>
      <c r="H10077" t="str">
        <f>T("")</f>
        <v/>
      </c>
      <c r="I10077" t="str">
        <f t="shared" si="3717"/>
        <v>BEAUFORT</v>
      </c>
      <c r="J10077" t="str">
        <f t="shared" si="3718"/>
        <v>SC</v>
      </c>
      <c r="K10077" t="str">
        <f>T("8532285320")</f>
        <v>8532285320</v>
      </c>
      <c r="L10077" t="str">
        <f>T("8432285418")</f>
        <v>8432285418</v>
      </c>
    </row>
    <row r="10078" spans="1:12" x14ac:dyDescent="0.35">
      <c r="A10078" t="str">
        <f t="shared" si="3712"/>
        <v>CNRSE</v>
      </c>
      <c r="B10078" t="str">
        <f>T("1 PINCKNEY BLVD")</f>
        <v>1 PINCKNEY BLVD</v>
      </c>
      <c r="C10078" t="str">
        <f t="shared" si="3713"/>
        <v/>
      </c>
      <c r="D10078" t="str">
        <f t="shared" si="3714"/>
        <v>BEAUFORT</v>
      </c>
      <c r="E10078" t="str">
        <f t="shared" si="3715"/>
        <v>SC</v>
      </c>
      <c r="F10078" t="str">
        <f t="shared" si="3716"/>
        <v>299026122</v>
      </c>
      <c r="G10078" t="str">
        <f>T("BEQ 148 1 PINKNEY BLVD")</f>
        <v>BEQ 148 1 PINKNEY BLVD</v>
      </c>
      <c r="H10078" t="str">
        <f>T("")</f>
        <v/>
      </c>
      <c r="I10078" t="str">
        <f t="shared" si="3717"/>
        <v>BEAUFORT</v>
      </c>
      <c r="J10078" t="str">
        <f t="shared" si="3718"/>
        <v>SC</v>
      </c>
      <c r="K10078" t="str">
        <f t="shared" ref="K10078:K10084" si="3719">T("000000000000000000")</f>
        <v>000000000000000000</v>
      </c>
      <c r="L10078" t="str">
        <f>T("8432285418")</f>
        <v>8432285418</v>
      </c>
    </row>
    <row r="10079" spans="1:12" x14ac:dyDescent="0.35">
      <c r="A10079" t="str">
        <f t="shared" si="3712"/>
        <v>CNRSE</v>
      </c>
      <c r="B10079" t="str">
        <f>T("1 PINCKNEY BLVD")</f>
        <v>1 PINCKNEY BLVD</v>
      </c>
      <c r="C10079" t="str">
        <f t="shared" si="3713"/>
        <v/>
      </c>
      <c r="D10079" t="str">
        <f t="shared" si="3714"/>
        <v>BEAUFORT</v>
      </c>
      <c r="E10079" t="str">
        <f t="shared" si="3715"/>
        <v>SC</v>
      </c>
      <c r="F10079" t="str">
        <f t="shared" si="3716"/>
        <v>299026122</v>
      </c>
      <c r="G10079" t="str">
        <f>T("NSF BEAUFORT")</f>
        <v>NSF BEAUFORT</v>
      </c>
      <c r="H10079" t="str">
        <f>T("1 PINCKNEY BLVD")</f>
        <v>1 PINCKNEY BLVD</v>
      </c>
      <c r="I10079" t="str">
        <f t="shared" si="3717"/>
        <v>BEAUFORT</v>
      </c>
      <c r="J10079" t="str">
        <f t="shared" si="3718"/>
        <v>SC</v>
      </c>
      <c r="K10079" t="str">
        <f t="shared" si="3719"/>
        <v>000000000000000000</v>
      </c>
      <c r="L10079" t="str">
        <f>T("8705503363")</f>
        <v>8705503363</v>
      </c>
    </row>
    <row r="10080" spans="1:12" x14ac:dyDescent="0.35">
      <c r="A10080" t="str">
        <f t="shared" si="3712"/>
        <v>CNRSE</v>
      </c>
      <c r="B10080" t="str">
        <f>T("1 PINCKNEY BLVD")</f>
        <v>1 PINCKNEY BLVD</v>
      </c>
      <c r="C10080" t="str">
        <f t="shared" si="3713"/>
        <v/>
      </c>
      <c r="D10080" t="str">
        <f t="shared" si="3714"/>
        <v>BEAUFORT</v>
      </c>
      <c r="E10080" t="str">
        <f t="shared" si="3715"/>
        <v>SC</v>
      </c>
      <c r="F10080" t="str">
        <f t="shared" si="3716"/>
        <v>299026122</v>
      </c>
      <c r="G10080" t="str">
        <f>T("NSF BEAUFORT SECURITY OPS")</f>
        <v>NSF BEAUFORT SECURITY OPS</v>
      </c>
      <c r="H10080" t="str">
        <f>T("1 PINCKNEY BLVD")</f>
        <v>1 PINCKNEY BLVD</v>
      </c>
      <c r="I10080" t="str">
        <f t="shared" si="3717"/>
        <v>BEAUFORT</v>
      </c>
      <c r="J10080" t="str">
        <f t="shared" si="3718"/>
        <v>SC</v>
      </c>
      <c r="K10080" t="str">
        <f t="shared" si="3719"/>
        <v>000000000000000000</v>
      </c>
      <c r="L10080" t="str">
        <f>T("8432285737")</f>
        <v>8432285737</v>
      </c>
    </row>
    <row r="10081" spans="1:12" x14ac:dyDescent="0.35">
      <c r="A10081" t="str">
        <f t="shared" si="3712"/>
        <v>CNRSE</v>
      </c>
      <c r="B10081" t="str">
        <f>T("1 PINCKNEY ROAD")</f>
        <v>1 PINCKNEY ROAD</v>
      </c>
      <c r="C10081" t="str">
        <f t="shared" si="3713"/>
        <v/>
      </c>
      <c r="D10081" t="str">
        <f t="shared" si="3714"/>
        <v>BEAUFORT</v>
      </c>
      <c r="E10081" t="str">
        <f t="shared" si="3715"/>
        <v>SC</v>
      </c>
      <c r="F10081" t="str">
        <f t="shared" si="3716"/>
        <v>299026122</v>
      </c>
      <c r="G10081" t="str">
        <f>T("1 PINCKNEY BLVD")</f>
        <v>1 PINCKNEY BLVD</v>
      </c>
      <c r="H10081" t="str">
        <f>T("")</f>
        <v/>
      </c>
      <c r="I10081" t="str">
        <f t="shared" si="3717"/>
        <v>BEAUFORT</v>
      </c>
      <c r="J10081" t="str">
        <f t="shared" si="3718"/>
        <v>SC</v>
      </c>
      <c r="K10081" t="str">
        <f t="shared" si="3719"/>
        <v>000000000000000000</v>
      </c>
      <c r="L10081" t="str">
        <f>T("8432285553")</f>
        <v>8432285553</v>
      </c>
    </row>
    <row r="10082" spans="1:12" x14ac:dyDescent="0.35">
      <c r="A10082" t="str">
        <f t="shared" si="3712"/>
        <v>CNRSE</v>
      </c>
      <c r="B10082" t="str">
        <f>T("1 PINCKNEY ROAD")</f>
        <v>1 PINCKNEY ROAD</v>
      </c>
      <c r="C10082" t="str">
        <f t="shared" si="3713"/>
        <v/>
      </c>
      <c r="D10082" t="str">
        <f t="shared" si="3714"/>
        <v>BEAUFORT</v>
      </c>
      <c r="E10082" t="str">
        <f t="shared" si="3715"/>
        <v>SC</v>
      </c>
      <c r="F10082" t="str">
        <f t="shared" si="3716"/>
        <v>299026122</v>
      </c>
      <c r="G10082" t="str">
        <f>T("1 PINCKNEY ROAD")</f>
        <v>1 PINCKNEY ROAD</v>
      </c>
      <c r="H10082" t="str">
        <f>T("")</f>
        <v/>
      </c>
      <c r="I10082" t="str">
        <f t="shared" si="3717"/>
        <v>BEAUFORT</v>
      </c>
      <c r="J10082" t="str">
        <f t="shared" si="3718"/>
        <v>SC</v>
      </c>
      <c r="K10082" t="str">
        <f t="shared" si="3719"/>
        <v>000000000000000000</v>
      </c>
      <c r="L10082" t="str">
        <f>T("8432285280")</f>
        <v>8432285280</v>
      </c>
    </row>
    <row r="10083" spans="1:12" x14ac:dyDescent="0.35">
      <c r="A10083" t="str">
        <f t="shared" si="3712"/>
        <v>CNRSE</v>
      </c>
      <c r="B10083" t="str">
        <f>T("919 LANGLEY STREET")</f>
        <v>919 LANGLEY STREET</v>
      </c>
      <c r="C10083" t="str">
        <f t="shared" si="3713"/>
        <v/>
      </c>
      <c r="D10083" t="str">
        <f>T("JACKSONVILLE")</f>
        <v>JACKSONVILLE</v>
      </c>
      <c r="E10083" t="str">
        <f t="shared" ref="E10083:E10114" si="3720">T("FL")</f>
        <v>FL</v>
      </c>
      <c r="F10083" t="str">
        <f>T("322120000")</f>
        <v>322120000</v>
      </c>
      <c r="G10083" t="str">
        <f>T("919 LANGLEY STREET")</f>
        <v>919 LANGLEY STREET</v>
      </c>
      <c r="H10083" t="str">
        <f>T("")</f>
        <v/>
      </c>
      <c r="I10083" t="str">
        <f>T("JACKSONVILLE")</f>
        <v>JACKSONVILLE</v>
      </c>
      <c r="J10083" t="str">
        <f t="shared" ref="J10083:J10114" si="3721">T("FL")</f>
        <v>FL</v>
      </c>
      <c r="K10083" t="str">
        <f t="shared" si="3719"/>
        <v>000000000000000000</v>
      </c>
      <c r="L10083" t="str">
        <f>T("9045426423")</f>
        <v>9045426423</v>
      </c>
    </row>
    <row r="10084" spans="1:12" x14ac:dyDescent="0.35">
      <c r="A10084" t="str">
        <f t="shared" si="3712"/>
        <v>CNRSE</v>
      </c>
      <c r="B10084" t="str">
        <f>T("919 LANGLEY STREET")</f>
        <v>919 LANGLEY STREET</v>
      </c>
      <c r="C10084" t="str">
        <f t="shared" si="3713"/>
        <v/>
      </c>
      <c r="D10084" t="str">
        <f>T("JACKSONVILLE")</f>
        <v>JACKSONVILLE</v>
      </c>
      <c r="E10084" t="str">
        <f t="shared" si="3720"/>
        <v>FL</v>
      </c>
      <c r="F10084" t="str">
        <f>T("322120000")</f>
        <v>322120000</v>
      </c>
      <c r="G10084" t="str">
        <f>T("BUILDING 919 LANGLEY STREET")</f>
        <v>BUILDING 919 LANGLEY STREET</v>
      </c>
      <c r="H10084" t="str">
        <f>T("BOX 102")</f>
        <v>BOX 102</v>
      </c>
      <c r="I10084" t="str">
        <f>T("JACKSONVILLE")</f>
        <v>JACKSONVILLE</v>
      </c>
      <c r="J10084" t="str">
        <f t="shared" si="3721"/>
        <v>FL</v>
      </c>
      <c r="K10084" t="str">
        <f t="shared" si="3719"/>
        <v>000000000000000000</v>
      </c>
      <c r="L10084" t="str">
        <f>T("9045428681")</f>
        <v>9045428681</v>
      </c>
    </row>
    <row r="10085" spans="1:12" x14ac:dyDescent="0.35">
      <c r="A10085" t="str">
        <f t="shared" si="3712"/>
        <v>CNRSE</v>
      </c>
      <c r="B10085" t="str">
        <f>T("BLDG 919")</f>
        <v>BLDG 919</v>
      </c>
      <c r="C10085" t="str">
        <f>T("LANGLEY STREET")</f>
        <v>LANGLEY STREET</v>
      </c>
      <c r="D10085" t="str">
        <f>T("NAS JACKSONVILL")</f>
        <v>NAS JACKSONVILL</v>
      </c>
      <c r="E10085" t="str">
        <f t="shared" si="3720"/>
        <v>FL</v>
      </c>
      <c r="F10085" t="str">
        <f>T("322120000")</f>
        <v>322120000</v>
      </c>
      <c r="G10085" t="str">
        <f>T("BLDG 919")</f>
        <v>BLDG 919</v>
      </c>
      <c r="H10085" t="str">
        <f>T("LANGLEY STREET")</f>
        <v>LANGLEY STREET</v>
      </c>
      <c r="I10085" t="str">
        <f>T("NAS JACKSONVILL")</f>
        <v>NAS JACKSONVILL</v>
      </c>
      <c r="J10085" t="str">
        <f t="shared" si="3721"/>
        <v>FL</v>
      </c>
      <c r="K10085" t="str">
        <f>T("9045429839")</f>
        <v>9045429839</v>
      </c>
      <c r="L10085" t="str">
        <f>T("9045428274")</f>
        <v>9045428274</v>
      </c>
    </row>
    <row r="10086" spans="1:12" x14ac:dyDescent="0.35">
      <c r="A10086" t="str">
        <f t="shared" si="3712"/>
        <v>CNRSE</v>
      </c>
      <c r="B10086" t="str">
        <f>T("BLDG 919")</f>
        <v>BLDG 919</v>
      </c>
      <c r="C10086" t="str">
        <f>T("LANGLEY STREET")</f>
        <v>LANGLEY STREET</v>
      </c>
      <c r="D10086" t="str">
        <f>T("NAS JACKSONVILL")</f>
        <v>NAS JACKSONVILL</v>
      </c>
      <c r="E10086" t="str">
        <f t="shared" si="3720"/>
        <v>FL</v>
      </c>
      <c r="F10086" t="str">
        <f>T("322120000")</f>
        <v>322120000</v>
      </c>
      <c r="G10086" t="str">
        <f>T("BLDG 919 LANGLEY STREET")</f>
        <v>BLDG 919 LANGLEY STREET</v>
      </c>
      <c r="H10086" t="str">
        <f>T("BOX 102")</f>
        <v>BOX 102</v>
      </c>
      <c r="I10086" t="str">
        <f t="shared" ref="I10086:I10101" si="3722">T("JACKSONVILLE")</f>
        <v>JACKSONVILLE</v>
      </c>
      <c r="J10086" t="str">
        <f t="shared" si="3721"/>
        <v>FL</v>
      </c>
      <c r="K10086" t="str">
        <f>T("9045429839")</f>
        <v>9045429839</v>
      </c>
      <c r="L10086" t="str">
        <f>T("9045426605")</f>
        <v>9045426605</v>
      </c>
    </row>
    <row r="10087" spans="1:12" x14ac:dyDescent="0.35">
      <c r="A10087" t="str">
        <f t="shared" si="3712"/>
        <v>CNRSE</v>
      </c>
      <c r="B10087" t="str">
        <f>T("BLDG 919 LANGLEY AVE")</f>
        <v>BLDG 919 LANGLEY AVE</v>
      </c>
      <c r="C10087" t="str">
        <f>T("BOX 102 NAVAL AIR STATION")</f>
        <v>BOX 102 NAVAL AIR STATION</v>
      </c>
      <c r="D10087" t="str">
        <f t="shared" ref="D10087:D10101" si="3723">T("JACKSONVILLE")</f>
        <v>JACKSONVILLE</v>
      </c>
      <c r="E10087" t="str">
        <f t="shared" si="3720"/>
        <v>FL</v>
      </c>
      <c r="F10087" t="str">
        <f t="shared" ref="F10087:F10097" si="3724">T("322120102")</f>
        <v>322120102</v>
      </c>
      <c r="G10087" t="str">
        <f>T("BLDG 919 LANGLEY AVE")</f>
        <v>BLDG 919 LANGLEY AVE</v>
      </c>
      <c r="H10087" t="str">
        <f>T("BOX 102 NAVAL AIR STATION")</f>
        <v>BOX 102 NAVAL AIR STATION</v>
      </c>
      <c r="I10087" t="str">
        <f t="shared" si="3722"/>
        <v>JACKSONVILLE</v>
      </c>
      <c r="J10087" t="str">
        <f t="shared" si="3721"/>
        <v>FL</v>
      </c>
      <c r="K10087" t="str">
        <f>T("9045420023")</f>
        <v>9045420023</v>
      </c>
      <c r="L10087" t="str">
        <f>T("9045424874")</f>
        <v>9045424874</v>
      </c>
    </row>
    <row r="10088" spans="1:12" x14ac:dyDescent="0.35">
      <c r="A10088" t="str">
        <f t="shared" si="3712"/>
        <v>CNRSE</v>
      </c>
      <c r="B10088" t="str">
        <f>T("BLDG 919 LANGLEY AVE")</f>
        <v>BLDG 919 LANGLEY AVE</v>
      </c>
      <c r="C10088" t="str">
        <f>T("BOX 102 NAVAL AIR STATION")</f>
        <v>BOX 102 NAVAL AIR STATION</v>
      </c>
      <c r="D10088" t="str">
        <f t="shared" si="3723"/>
        <v>JACKSONVILLE</v>
      </c>
      <c r="E10088" t="str">
        <f t="shared" si="3720"/>
        <v>FL</v>
      </c>
      <c r="F10088" t="str">
        <f t="shared" si="3724"/>
        <v>322120102</v>
      </c>
      <c r="G10088" t="str">
        <f>T("CODE N3AT PO BOX 102")</f>
        <v>CODE N3AT PO BOX 102</v>
      </c>
      <c r="H10088" t="str">
        <f>T("NAVAL AIR STATION")</f>
        <v>NAVAL AIR STATION</v>
      </c>
      <c r="I10088" t="str">
        <f t="shared" si="3722"/>
        <v>JACKSONVILLE</v>
      </c>
      <c r="J10088" t="str">
        <f t="shared" si="3721"/>
        <v>FL</v>
      </c>
      <c r="K10088" t="str">
        <f>T("9045420999")</f>
        <v>9045420999</v>
      </c>
      <c r="L10088" t="str">
        <f>T("9045423867")</f>
        <v>9045423867</v>
      </c>
    </row>
    <row r="10089" spans="1:12" x14ac:dyDescent="0.35">
      <c r="A10089" t="str">
        <f t="shared" si="3712"/>
        <v>CNRSE</v>
      </c>
      <c r="B10089" t="str">
        <f t="shared" ref="B10089:B10094" si="3725">T("BLDG 919 LANGLEY STREET")</f>
        <v>BLDG 919 LANGLEY STREET</v>
      </c>
      <c r="C10089" t="str">
        <f>T("")</f>
        <v/>
      </c>
      <c r="D10089" t="str">
        <f t="shared" si="3723"/>
        <v>JACKSONVILLE</v>
      </c>
      <c r="E10089" t="str">
        <f t="shared" si="3720"/>
        <v>FL</v>
      </c>
      <c r="F10089" t="str">
        <f t="shared" si="3724"/>
        <v>322120102</v>
      </c>
      <c r="G10089" t="str">
        <f>T("BLDG 919 LANGLEY STREET")</f>
        <v>BLDG 919 LANGLEY STREET</v>
      </c>
      <c r="H10089" t="str">
        <f>T("")</f>
        <v/>
      </c>
      <c r="I10089" t="str">
        <f t="shared" si="3722"/>
        <v>JACKSONVILLE</v>
      </c>
      <c r="J10089" t="str">
        <f t="shared" si="3721"/>
        <v>FL</v>
      </c>
      <c r="K10089" t="str">
        <f>T("")</f>
        <v/>
      </c>
      <c r="L10089" t="str">
        <f>T("9045426122")</f>
        <v>9045426122</v>
      </c>
    </row>
    <row r="10090" spans="1:12" x14ac:dyDescent="0.35">
      <c r="A10090" t="str">
        <f t="shared" si="3712"/>
        <v>CNRSE</v>
      </c>
      <c r="B10090" t="str">
        <f t="shared" si="3725"/>
        <v>BLDG 919 LANGLEY STREET</v>
      </c>
      <c r="C10090" t="str">
        <f>T("")</f>
        <v/>
      </c>
      <c r="D10090" t="str">
        <f t="shared" si="3723"/>
        <v>JACKSONVILLE</v>
      </c>
      <c r="E10090" t="str">
        <f t="shared" si="3720"/>
        <v>FL</v>
      </c>
      <c r="F10090" t="str">
        <f t="shared" si="3724"/>
        <v>322120102</v>
      </c>
      <c r="G10090" t="str">
        <f>T("BOX 102 NAVAL AIR STATION")</f>
        <v>BOX 102 NAVAL AIR STATION</v>
      </c>
      <c r="H10090" t="str">
        <f>T("BLDG 919 LANGLEY STREET")</f>
        <v>BLDG 919 LANGLEY STREET</v>
      </c>
      <c r="I10090" t="str">
        <f t="shared" si="3722"/>
        <v>JACKSONVILLE</v>
      </c>
      <c r="J10090" t="str">
        <f t="shared" si="3721"/>
        <v>FL</v>
      </c>
      <c r="K10090" t="str">
        <f>T("000000000000000000")</f>
        <v>000000000000000000</v>
      </c>
      <c r="L10090" t="str">
        <f>T("9045428484")</f>
        <v>9045428484</v>
      </c>
    </row>
    <row r="10091" spans="1:12" x14ac:dyDescent="0.35">
      <c r="A10091" t="str">
        <f t="shared" si="3712"/>
        <v>CNRSE</v>
      </c>
      <c r="B10091" t="str">
        <f t="shared" si="3725"/>
        <v>BLDG 919 LANGLEY STREET</v>
      </c>
      <c r="C10091" t="str">
        <f>T("BOX 102")</f>
        <v>BOX 102</v>
      </c>
      <c r="D10091" t="str">
        <f t="shared" si="3723"/>
        <v>JACKSONVILLE</v>
      </c>
      <c r="E10091" t="str">
        <f t="shared" si="3720"/>
        <v>FL</v>
      </c>
      <c r="F10091" t="str">
        <f t="shared" si="3724"/>
        <v>322120102</v>
      </c>
      <c r="G10091" t="str">
        <f>T("BLDG 919 LANGLEY STREET")</f>
        <v>BLDG 919 LANGLEY STREET</v>
      </c>
      <c r="H10091" t="str">
        <f>T("BOX 102")</f>
        <v>BOX 102</v>
      </c>
      <c r="I10091" t="str">
        <f t="shared" si="3722"/>
        <v>JACKSONVILLE</v>
      </c>
      <c r="J10091" t="str">
        <f t="shared" si="3721"/>
        <v>FL</v>
      </c>
      <c r="K10091" t="str">
        <f>T("000000000000000000")</f>
        <v>000000000000000000</v>
      </c>
      <c r="L10091" t="str">
        <f>T("9045423684")</f>
        <v>9045423684</v>
      </c>
    </row>
    <row r="10092" spans="1:12" x14ac:dyDescent="0.35">
      <c r="A10092" t="str">
        <f t="shared" si="3712"/>
        <v>CNRSE</v>
      </c>
      <c r="B10092" t="str">
        <f t="shared" si="3725"/>
        <v>BLDG 919 LANGLEY STREET</v>
      </c>
      <c r="C10092" t="str">
        <f>T("BOX 102")</f>
        <v>BOX 102</v>
      </c>
      <c r="D10092" t="str">
        <f t="shared" si="3723"/>
        <v>JACKSONVILLE</v>
      </c>
      <c r="E10092" t="str">
        <f t="shared" si="3720"/>
        <v>FL</v>
      </c>
      <c r="F10092" t="str">
        <f t="shared" si="3724"/>
        <v>322120102</v>
      </c>
      <c r="G10092" t="str">
        <f>T("BLDG 919 LANGLEY STREET")</f>
        <v>BLDG 919 LANGLEY STREET</v>
      </c>
      <c r="H10092" t="str">
        <f>T("BOX 102")</f>
        <v>BOX 102</v>
      </c>
      <c r="I10092" t="str">
        <f t="shared" si="3722"/>
        <v>JACKSONVILLE</v>
      </c>
      <c r="J10092" t="str">
        <f t="shared" si="3721"/>
        <v>FL</v>
      </c>
      <c r="K10092" t="str">
        <f>T("9045425423")</f>
        <v>9045425423</v>
      </c>
      <c r="L10092" t="str">
        <f>T("9045426166")</f>
        <v>9045426166</v>
      </c>
    </row>
    <row r="10093" spans="1:12" x14ac:dyDescent="0.35">
      <c r="A10093" t="str">
        <f t="shared" si="3712"/>
        <v>CNRSE</v>
      </c>
      <c r="B10093" t="str">
        <f t="shared" si="3725"/>
        <v>BLDG 919 LANGLEY STREET</v>
      </c>
      <c r="C10093" t="str">
        <f>T("BOX 102")</f>
        <v>BOX 102</v>
      </c>
      <c r="D10093" t="str">
        <f t="shared" si="3723"/>
        <v>JACKSONVILLE</v>
      </c>
      <c r="E10093" t="str">
        <f t="shared" si="3720"/>
        <v>FL</v>
      </c>
      <c r="F10093" t="str">
        <f t="shared" si="3724"/>
        <v>322120102</v>
      </c>
      <c r="G10093" t="str">
        <f>T("BLDG 919 LANGLEY STREET")</f>
        <v>BLDG 919 LANGLEY STREET</v>
      </c>
      <c r="H10093" t="str">
        <f>T("BOX 102")</f>
        <v>BOX 102</v>
      </c>
      <c r="I10093" t="str">
        <f t="shared" si="3722"/>
        <v>JACKSONVILLE</v>
      </c>
      <c r="J10093" t="str">
        <f t="shared" si="3721"/>
        <v>FL</v>
      </c>
      <c r="K10093" t="str">
        <f>T("9045425423")</f>
        <v>9045425423</v>
      </c>
      <c r="L10093" t="str">
        <f>T("9045426466")</f>
        <v>9045426466</v>
      </c>
    </row>
    <row r="10094" spans="1:12" x14ac:dyDescent="0.35">
      <c r="A10094" t="str">
        <f t="shared" si="3712"/>
        <v>CNRSE</v>
      </c>
      <c r="B10094" t="str">
        <f t="shared" si="3725"/>
        <v>BLDG 919 LANGLEY STREET</v>
      </c>
      <c r="C10094" t="str">
        <f>T("BOX 102")</f>
        <v>BOX 102</v>
      </c>
      <c r="D10094" t="str">
        <f t="shared" si="3723"/>
        <v>JACKSONVILLE</v>
      </c>
      <c r="E10094" t="str">
        <f t="shared" si="3720"/>
        <v>FL</v>
      </c>
      <c r="F10094" t="str">
        <f t="shared" si="3724"/>
        <v>322120102</v>
      </c>
      <c r="G10094" t="str">
        <f>T("LANGLEY STREET BUILDING 919")</f>
        <v>LANGLEY STREET BUILDING 919</v>
      </c>
      <c r="H10094" t="str">
        <f>T("PO BOX 102")</f>
        <v>PO BOX 102</v>
      </c>
      <c r="I10094" t="str">
        <f t="shared" si="3722"/>
        <v>JACKSONVILLE</v>
      </c>
      <c r="J10094" t="str">
        <f t="shared" si="3721"/>
        <v>FL</v>
      </c>
      <c r="K10094" t="str">
        <f>T("9045425314")</f>
        <v>9045425314</v>
      </c>
      <c r="L10094" t="str">
        <f>T("9045421293")</f>
        <v>9045421293</v>
      </c>
    </row>
    <row r="10095" spans="1:12" x14ac:dyDescent="0.35">
      <c r="A10095" t="str">
        <f t="shared" si="3712"/>
        <v>CNRSE</v>
      </c>
      <c r="B10095" t="str">
        <f>T("BOX 102")</f>
        <v>BOX 102</v>
      </c>
      <c r="C10095" t="str">
        <f>T("NAS LANGLEY STREET")</f>
        <v>NAS LANGLEY STREET</v>
      </c>
      <c r="D10095" t="str">
        <f t="shared" si="3723"/>
        <v>JACKSONVILLE</v>
      </c>
      <c r="E10095" t="str">
        <f t="shared" si="3720"/>
        <v>FL</v>
      </c>
      <c r="F10095" t="str">
        <f t="shared" si="3724"/>
        <v>322120102</v>
      </c>
      <c r="G10095" t="str">
        <f>T("919 LANGLEY STREET")</f>
        <v>919 LANGLEY STREET</v>
      </c>
      <c r="H10095" t="str">
        <f>T("")</f>
        <v/>
      </c>
      <c r="I10095" t="str">
        <f t="shared" si="3722"/>
        <v>JACKSONVILLE</v>
      </c>
      <c r="J10095" t="str">
        <f t="shared" si="3721"/>
        <v>FL</v>
      </c>
      <c r="K10095" t="str">
        <f>T("000000000000000000")</f>
        <v>000000000000000000</v>
      </c>
      <c r="L10095" t="str">
        <f>T("9045422324")</f>
        <v>9045422324</v>
      </c>
    </row>
    <row r="10096" spans="1:12" x14ac:dyDescent="0.35">
      <c r="A10096" t="str">
        <f t="shared" si="3712"/>
        <v>CNRSE</v>
      </c>
      <c r="B10096" t="str">
        <f>T("BOX 102")</f>
        <v>BOX 102</v>
      </c>
      <c r="C10096" t="str">
        <f>T("NAS LANGLEY STREET")</f>
        <v>NAS LANGLEY STREET</v>
      </c>
      <c r="D10096" t="str">
        <f t="shared" si="3723"/>
        <v>JACKSONVILLE</v>
      </c>
      <c r="E10096" t="str">
        <f t="shared" si="3720"/>
        <v>FL</v>
      </c>
      <c r="F10096" t="str">
        <f t="shared" si="3724"/>
        <v>322120102</v>
      </c>
      <c r="G10096" t="str">
        <f>T("BLDG 919 LANGLEY STREET")</f>
        <v>BLDG 919 LANGLEY STREET</v>
      </c>
      <c r="H10096" t="str">
        <f>T("")</f>
        <v/>
      </c>
      <c r="I10096" t="str">
        <f t="shared" si="3722"/>
        <v>JACKSONVILLE</v>
      </c>
      <c r="J10096" t="str">
        <f t="shared" si="3721"/>
        <v>FL</v>
      </c>
      <c r="K10096" t="str">
        <f>T("000000000000000000")</f>
        <v>000000000000000000</v>
      </c>
      <c r="L10096" t="str">
        <f>T("9045420435")</f>
        <v>9045420435</v>
      </c>
    </row>
    <row r="10097" spans="1:12" x14ac:dyDescent="0.35">
      <c r="A10097" t="str">
        <f t="shared" si="3712"/>
        <v>CNRSE</v>
      </c>
      <c r="B10097" t="str">
        <f>T("BOX 102")</f>
        <v>BOX 102</v>
      </c>
      <c r="C10097" t="str">
        <f>T("NAS LANGLEY STREET")</f>
        <v>NAS LANGLEY STREET</v>
      </c>
      <c r="D10097" t="str">
        <f t="shared" si="3723"/>
        <v>JACKSONVILLE</v>
      </c>
      <c r="E10097" t="str">
        <f t="shared" si="3720"/>
        <v>FL</v>
      </c>
      <c r="F10097" t="str">
        <f t="shared" si="3724"/>
        <v>322120102</v>
      </c>
      <c r="G10097" t="str">
        <f>T("BOX 102")</f>
        <v>BOX 102</v>
      </c>
      <c r="H10097" t="str">
        <f>T("NAS LANGLEY STREET")</f>
        <v>NAS LANGLEY STREET</v>
      </c>
      <c r="I10097" t="str">
        <f t="shared" si="3722"/>
        <v>JACKSONVILLE</v>
      </c>
      <c r="J10097" t="str">
        <f t="shared" si="3721"/>
        <v>FL</v>
      </c>
      <c r="K10097" t="str">
        <f>T("9045424009")</f>
        <v>9045424009</v>
      </c>
      <c r="L10097" t="str">
        <f>T("9045424855")</f>
        <v>9045424855</v>
      </c>
    </row>
    <row r="10098" spans="1:12" x14ac:dyDescent="0.35">
      <c r="A10098" t="str">
        <f t="shared" si="3712"/>
        <v>CNRSE</v>
      </c>
      <c r="B10098" t="str">
        <f>T("LANGLEY ST BLDG 919")</f>
        <v>LANGLEY ST BLDG 919</v>
      </c>
      <c r="C10098" t="str">
        <f>T("")</f>
        <v/>
      </c>
      <c r="D10098" t="str">
        <f t="shared" si="3723"/>
        <v>JACKSONVILLE</v>
      </c>
      <c r="E10098" t="str">
        <f t="shared" si="3720"/>
        <v>FL</v>
      </c>
      <c r="F10098" t="str">
        <f>T("322120000")</f>
        <v>322120000</v>
      </c>
      <c r="G10098" t="str">
        <f>T("BUILDING 919 LANGLEY STREET")</f>
        <v>BUILDING 919 LANGLEY STREET</v>
      </c>
      <c r="H10098" t="str">
        <f>T("BOX 102")</f>
        <v>BOX 102</v>
      </c>
      <c r="I10098" t="str">
        <f t="shared" si="3722"/>
        <v>JACKSONVILLE</v>
      </c>
      <c r="J10098" t="str">
        <f t="shared" si="3721"/>
        <v>FL</v>
      </c>
      <c r="K10098" t="str">
        <f>T("9045421524")</f>
        <v>9045421524</v>
      </c>
      <c r="L10098" t="str">
        <f>T("9045425387")</f>
        <v>9045425387</v>
      </c>
    </row>
    <row r="10099" spans="1:12" x14ac:dyDescent="0.35">
      <c r="A10099" t="str">
        <f t="shared" si="3712"/>
        <v>CNRSE</v>
      </c>
      <c r="B10099" t="str">
        <f>T("LANGLEY ST BLDG 919")</f>
        <v>LANGLEY ST BLDG 919</v>
      </c>
      <c r="C10099" t="str">
        <f>T("")</f>
        <v/>
      </c>
      <c r="D10099" t="str">
        <f t="shared" si="3723"/>
        <v>JACKSONVILLE</v>
      </c>
      <c r="E10099" t="str">
        <f t="shared" si="3720"/>
        <v>FL</v>
      </c>
      <c r="F10099" t="str">
        <f>T("322120000")</f>
        <v>322120000</v>
      </c>
      <c r="G10099" t="str">
        <f>T("LANGLEY ST BLDG 919")</f>
        <v>LANGLEY ST BLDG 919</v>
      </c>
      <c r="H10099" t="str">
        <f>T("")</f>
        <v/>
      </c>
      <c r="I10099" t="str">
        <f t="shared" si="3722"/>
        <v>JACKSONVILLE</v>
      </c>
      <c r="J10099" t="str">
        <f t="shared" si="3721"/>
        <v>FL</v>
      </c>
      <c r="K10099" t="str">
        <f>T("9045420422")</f>
        <v>9045420422</v>
      </c>
      <c r="L10099" t="str">
        <f>T("9045424875")</f>
        <v>9045424875</v>
      </c>
    </row>
    <row r="10100" spans="1:12" x14ac:dyDescent="0.35">
      <c r="A10100" t="str">
        <f t="shared" si="3712"/>
        <v>CNRSE</v>
      </c>
      <c r="B10100" t="str">
        <f>T("NAVFAC SE ENVIRONMENTAL")</f>
        <v>NAVFAC SE ENVIRONMENTAL</v>
      </c>
      <c r="C10100" t="str">
        <f>T("BOX 30 BLDG 903")</f>
        <v>BOX 30 BLDG 903</v>
      </c>
      <c r="D10100" t="str">
        <f t="shared" si="3723"/>
        <v>JACKSONVILLE</v>
      </c>
      <c r="E10100" t="str">
        <f t="shared" si="3720"/>
        <v>FL</v>
      </c>
      <c r="F10100" t="str">
        <f>T("322120030")</f>
        <v>322120030</v>
      </c>
      <c r="G10100" t="str">
        <f>T("BOX 30 BLDG 903 DEPT 300")</f>
        <v>BOX 30 BLDG 903 DEPT 300</v>
      </c>
      <c r="H10100" t="str">
        <f>T("")</f>
        <v/>
      </c>
      <c r="I10100" t="str">
        <f t="shared" si="3722"/>
        <v>JACKSONVILLE</v>
      </c>
      <c r="J10100" t="str">
        <f t="shared" si="3721"/>
        <v>FL</v>
      </c>
      <c r="K10100" t="str">
        <f>T("9045426345")</f>
        <v>9045426345</v>
      </c>
      <c r="L10100" t="str">
        <f>T("9045426988")</f>
        <v>9045426988</v>
      </c>
    </row>
    <row r="10101" spans="1:12" x14ac:dyDescent="0.35">
      <c r="A10101" t="str">
        <f t="shared" si="3712"/>
        <v>CNRSE</v>
      </c>
      <c r="B10101" t="str">
        <f>T("NAVFAC SE ENVIRONMENTAL")</f>
        <v>NAVFAC SE ENVIRONMENTAL</v>
      </c>
      <c r="C10101" t="str">
        <f>T("BOX 30 BLDG 903")</f>
        <v>BOX 30 BLDG 903</v>
      </c>
      <c r="D10101" t="str">
        <f t="shared" si="3723"/>
        <v>JACKSONVILLE</v>
      </c>
      <c r="E10101" t="str">
        <f t="shared" si="3720"/>
        <v>FL</v>
      </c>
      <c r="F10101" t="str">
        <f>T("322120030")</f>
        <v>322120030</v>
      </c>
      <c r="G10101" t="str">
        <f>T("NAVFAC SE ENVIRONMENTAL")</f>
        <v>NAVFAC SE ENVIRONMENTAL</v>
      </c>
      <c r="H10101" t="str">
        <f>T("BOX 30 BLDG 903")</f>
        <v>BOX 30 BLDG 903</v>
      </c>
      <c r="I10101" t="str">
        <f t="shared" si="3722"/>
        <v>JACKSONVILLE</v>
      </c>
      <c r="J10101" t="str">
        <f t="shared" si="3721"/>
        <v>FL</v>
      </c>
      <c r="K10101" t="str">
        <f>T("")</f>
        <v/>
      </c>
      <c r="L10101" t="str">
        <f>T("9045426829")</f>
        <v>9045426829</v>
      </c>
    </row>
    <row r="10102" spans="1:12" x14ac:dyDescent="0.35">
      <c r="A10102" t="str">
        <f t="shared" si="3712"/>
        <v>CNRSE</v>
      </c>
      <c r="B10102" t="str">
        <f>T("NOTU")</f>
        <v>NOTU</v>
      </c>
      <c r="C10102" t="str">
        <f>T("PO BOX 1623")</f>
        <v>PO BOX 1623</v>
      </c>
      <c r="D10102" t="str">
        <f>T("CAPE CANAVERAL")</f>
        <v>CAPE CANAVERAL</v>
      </c>
      <c r="E10102" t="str">
        <f t="shared" si="3720"/>
        <v>FL</v>
      </c>
      <c r="F10102" t="str">
        <f>T("329201623")</f>
        <v>329201623</v>
      </c>
      <c r="G10102" t="str">
        <f>T("BUILDING 81701 PIER ROAD")</f>
        <v>BUILDING 81701 PIER ROAD</v>
      </c>
      <c r="H10102" t="str">
        <f>T("CCAFS")</f>
        <v>CCAFS</v>
      </c>
      <c r="I10102" t="str">
        <f>T("CAPE CANAVERAL")</f>
        <v>CAPE CANAVERAL</v>
      </c>
      <c r="J10102" t="str">
        <f t="shared" si="3721"/>
        <v>FL</v>
      </c>
      <c r="K10102" t="str">
        <f>T("000000000000000000")</f>
        <v>000000000000000000</v>
      </c>
      <c r="L10102" t="str">
        <f>T("3218531262")</f>
        <v>3218531262</v>
      </c>
    </row>
    <row r="10103" spans="1:12" x14ac:dyDescent="0.35">
      <c r="A10103" t="str">
        <f t="shared" si="3712"/>
        <v>CNRSE</v>
      </c>
      <c r="B10103" t="str">
        <f>T("NOTU")</f>
        <v>NOTU</v>
      </c>
      <c r="C10103" t="str">
        <f>T("PO BOX 1623")</f>
        <v>PO BOX 1623</v>
      </c>
      <c r="D10103" t="str">
        <f>T("CAPE CANAVERAL")</f>
        <v>CAPE CANAVERAL</v>
      </c>
      <c r="E10103" t="str">
        <f t="shared" si="3720"/>
        <v>FL</v>
      </c>
      <c r="F10103" t="str">
        <f>T("329201623")</f>
        <v>329201623</v>
      </c>
      <c r="G10103" t="str">
        <f>T("NOTU")</f>
        <v>NOTU</v>
      </c>
      <c r="H10103" t="str">
        <f>T("PO BOX 1623")</f>
        <v>PO BOX 1623</v>
      </c>
      <c r="I10103" t="str">
        <f>T("CAPE CANAVERAL")</f>
        <v>CAPE CANAVERAL</v>
      </c>
      <c r="J10103" t="str">
        <f t="shared" si="3721"/>
        <v>FL</v>
      </c>
      <c r="K10103" t="str">
        <f>T("3218533434")</f>
        <v>3218533434</v>
      </c>
      <c r="L10103" t="str">
        <f>T("3218532133")</f>
        <v>3218532133</v>
      </c>
    </row>
    <row r="10104" spans="1:12" x14ac:dyDescent="0.35">
      <c r="A10104" t="str">
        <f t="shared" si="3712"/>
        <v>CNRSE</v>
      </c>
      <c r="B10104" t="str">
        <f>T("P O BOX 102 NAS")</f>
        <v>P O BOX 102 NAS</v>
      </c>
      <c r="C10104" t="str">
        <f t="shared" ref="C10104:C10111" si="3726">T("LANGLEY ST BLDG 919")</f>
        <v>LANGLEY ST BLDG 919</v>
      </c>
      <c r="D10104" t="str">
        <f t="shared" ref="D10104:D10143" si="3727">T("JACKSONVILLE")</f>
        <v>JACKSONVILLE</v>
      </c>
      <c r="E10104" t="str">
        <f t="shared" si="3720"/>
        <v>FL</v>
      </c>
      <c r="F10104" t="str">
        <f t="shared" ref="F10104:F10111" si="3728">T("322120102")</f>
        <v>322120102</v>
      </c>
      <c r="G10104" t="str">
        <f>T("BLDG 919 LANGLEY STREET")</f>
        <v>BLDG 919 LANGLEY STREET</v>
      </c>
      <c r="H10104" t="str">
        <f>T("BOX 102 NAS JACKSONVILLE")</f>
        <v>BOX 102 NAS JACKSONVILLE</v>
      </c>
      <c r="I10104" t="str">
        <f t="shared" ref="I10104:I10120" si="3729">T("JACKSONVILLE")</f>
        <v>JACKSONVILLE</v>
      </c>
      <c r="J10104" t="str">
        <f t="shared" si="3721"/>
        <v>FL</v>
      </c>
      <c r="K10104" t="str">
        <f>T("9045420023")</f>
        <v>9045420023</v>
      </c>
      <c r="L10104" t="str">
        <f>T("9045422933")</f>
        <v>9045422933</v>
      </c>
    </row>
    <row r="10105" spans="1:12" x14ac:dyDescent="0.35">
      <c r="A10105" t="str">
        <f t="shared" si="3712"/>
        <v>CNRSE</v>
      </c>
      <c r="B10105" t="str">
        <f>T("P O BOX 102 NAS")</f>
        <v>P O BOX 102 NAS</v>
      </c>
      <c r="C10105" t="str">
        <f t="shared" si="3726"/>
        <v>LANGLEY ST BLDG 919</v>
      </c>
      <c r="D10105" t="str">
        <f t="shared" si="3727"/>
        <v>JACKSONVILLE</v>
      </c>
      <c r="E10105" t="str">
        <f t="shared" si="3720"/>
        <v>FL</v>
      </c>
      <c r="F10105" t="str">
        <f t="shared" si="3728"/>
        <v>322120102</v>
      </c>
      <c r="G10105" t="str">
        <f>T("P O BOX 102 NAS")</f>
        <v>P O BOX 102 NAS</v>
      </c>
      <c r="H10105" t="str">
        <f>T("LANGLEY ST BLDG 919")</f>
        <v>LANGLEY ST BLDG 919</v>
      </c>
      <c r="I10105" t="str">
        <f t="shared" si="3729"/>
        <v>JACKSONVILLE</v>
      </c>
      <c r="J10105" t="str">
        <f t="shared" si="3721"/>
        <v>FL</v>
      </c>
      <c r="K10105" t="str">
        <f>T("9045420023")</f>
        <v>9045420023</v>
      </c>
      <c r="L10105" t="str">
        <f>T("9045422656")</f>
        <v>9045422656</v>
      </c>
    </row>
    <row r="10106" spans="1:12" x14ac:dyDescent="0.35">
      <c r="A10106" t="str">
        <f t="shared" si="3712"/>
        <v>CNRSE</v>
      </c>
      <c r="B10106" t="str">
        <f t="shared" ref="B10106:B10111" si="3730">T("PO BOX 102 NAS")</f>
        <v>PO BOX 102 NAS</v>
      </c>
      <c r="C10106" t="str">
        <f t="shared" si="3726"/>
        <v>LANGLEY ST BLDG 919</v>
      </c>
      <c r="D10106" t="str">
        <f t="shared" si="3727"/>
        <v>JACKSONVILLE</v>
      </c>
      <c r="E10106" t="str">
        <f t="shared" si="3720"/>
        <v>FL</v>
      </c>
      <c r="F10106" t="str">
        <f t="shared" si="3728"/>
        <v>322120102</v>
      </c>
      <c r="G10106" t="str">
        <f>T("BOX 102 NAS")</f>
        <v>BOX 102 NAS</v>
      </c>
      <c r="H10106" t="str">
        <f>T("")</f>
        <v/>
      </c>
      <c r="I10106" t="str">
        <f t="shared" si="3729"/>
        <v>JACKSONVILLE</v>
      </c>
      <c r="J10106" t="str">
        <f t="shared" si="3721"/>
        <v>FL</v>
      </c>
      <c r="K10106" t="str">
        <f>T("000000000000000000")</f>
        <v>000000000000000000</v>
      </c>
      <c r="L10106" t="str">
        <f>T("9045420097")</f>
        <v>9045420097</v>
      </c>
    </row>
    <row r="10107" spans="1:12" x14ac:dyDescent="0.35">
      <c r="A10107" t="str">
        <f t="shared" si="3712"/>
        <v>CNRSE</v>
      </c>
      <c r="B10107" t="str">
        <f t="shared" si="3730"/>
        <v>PO BOX 102 NAS</v>
      </c>
      <c r="C10107" t="str">
        <f t="shared" si="3726"/>
        <v>LANGLEY ST BLDG 919</v>
      </c>
      <c r="D10107" t="str">
        <f t="shared" si="3727"/>
        <v>JACKSONVILLE</v>
      </c>
      <c r="E10107" t="str">
        <f t="shared" si="3720"/>
        <v>FL</v>
      </c>
      <c r="F10107" t="str">
        <f t="shared" si="3728"/>
        <v>322120102</v>
      </c>
      <c r="G10107" t="str">
        <f>T("BOX 102 NAVAL AIR STATION")</f>
        <v>BOX 102 NAVAL AIR STATION</v>
      </c>
      <c r="H10107" t="str">
        <f>T("LANGLEY ST BLDG 919 2ND FLOOR")</f>
        <v>LANGLEY ST BLDG 919 2ND FLOOR</v>
      </c>
      <c r="I10107" t="str">
        <f t="shared" si="3729"/>
        <v>JACKSONVILLE</v>
      </c>
      <c r="J10107" t="str">
        <f t="shared" si="3721"/>
        <v>FL</v>
      </c>
      <c r="K10107" t="str">
        <f>T("000000000000000000")</f>
        <v>000000000000000000</v>
      </c>
      <c r="L10107" t="str">
        <f>T("9045425538")</f>
        <v>9045425538</v>
      </c>
    </row>
    <row r="10108" spans="1:12" x14ac:dyDescent="0.35">
      <c r="A10108" t="str">
        <f t="shared" si="3712"/>
        <v>CNRSE</v>
      </c>
      <c r="B10108" t="str">
        <f t="shared" si="3730"/>
        <v>PO BOX 102 NAS</v>
      </c>
      <c r="C10108" t="str">
        <f t="shared" si="3726"/>
        <v>LANGLEY ST BLDG 919</v>
      </c>
      <c r="D10108" t="str">
        <f t="shared" si="3727"/>
        <v>JACKSONVILLE</v>
      </c>
      <c r="E10108" t="str">
        <f t="shared" si="3720"/>
        <v>FL</v>
      </c>
      <c r="F10108" t="str">
        <f t="shared" si="3728"/>
        <v>322120102</v>
      </c>
      <c r="G10108" t="str">
        <f>T("BUILDING 919 LANGLEY STREET")</f>
        <v>BUILDING 919 LANGLEY STREET</v>
      </c>
      <c r="H10108" t="str">
        <f>T("PO BOX 102")</f>
        <v>PO BOX 102</v>
      </c>
      <c r="I10108" t="str">
        <f t="shared" si="3729"/>
        <v>JACKSONVILLE</v>
      </c>
      <c r="J10108" t="str">
        <f t="shared" si="3721"/>
        <v>FL</v>
      </c>
      <c r="K10108" t="str">
        <f>T("9045422314")</f>
        <v>9045422314</v>
      </c>
      <c r="L10108" t="str">
        <f>T("9045421663")</f>
        <v>9045421663</v>
      </c>
    </row>
    <row r="10109" spans="1:12" x14ac:dyDescent="0.35">
      <c r="A10109" t="str">
        <f t="shared" si="3712"/>
        <v>CNRSE</v>
      </c>
      <c r="B10109" t="str">
        <f t="shared" si="3730"/>
        <v>PO BOX 102 NAS</v>
      </c>
      <c r="C10109" t="str">
        <f t="shared" si="3726"/>
        <v>LANGLEY ST BLDG 919</v>
      </c>
      <c r="D10109" t="str">
        <f t="shared" si="3727"/>
        <v>JACKSONVILLE</v>
      </c>
      <c r="E10109" t="str">
        <f t="shared" si="3720"/>
        <v>FL</v>
      </c>
      <c r="F10109" t="str">
        <f t="shared" si="3728"/>
        <v>322120102</v>
      </c>
      <c r="G10109" t="str">
        <f>T("PO BOX 102 NAS")</f>
        <v>PO BOX 102 NAS</v>
      </c>
      <c r="H10109" t="str">
        <f>T("LANGLEY ST BLDG 919")</f>
        <v>LANGLEY ST BLDG 919</v>
      </c>
      <c r="I10109" t="str">
        <f t="shared" si="3729"/>
        <v>JACKSONVILLE</v>
      </c>
      <c r="J10109" t="str">
        <f t="shared" si="3721"/>
        <v>FL</v>
      </c>
      <c r="K10109" t="str">
        <f>T("9045421524")</f>
        <v>9045421524</v>
      </c>
      <c r="L10109" t="str">
        <f>T("9045423164")</f>
        <v>9045423164</v>
      </c>
    </row>
    <row r="10110" spans="1:12" x14ac:dyDescent="0.35">
      <c r="A10110" t="str">
        <f t="shared" si="3712"/>
        <v>CNRSE</v>
      </c>
      <c r="B10110" t="str">
        <f t="shared" si="3730"/>
        <v>PO BOX 102 NAS</v>
      </c>
      <c r="C10110" t="str">
        <f t="shared" si="3726"/>
        <v>LANGLEY ST BLDG 919</v>
      </c>
      <c r="D10110" t="str">
        <f t="shared" si="3727"/>
        <v>JACKSONVILLE</v>
      </c>
      <c r="E10110" t="str">
        <f t="shared" si="3720"/>
        <v>FL</v>
      </c>
      <c r="F10110" t="str">
        <f t="shared" si="3728"/>
        <v>322120102</v>
      </c>
      <c r="G10110" t="str">
        <f>T("PO BOX 102 NAS")</f>
        <v>PO BOX 102 NAS</v>
      </c>
      <c r="H10110" t="str">
        <f>T("LANGLEY ST BLDG 919")</f>
        <v>LANGLEY ST BLDG 919</v>
      </c>
      <c r="I10110" t="str">
        <f t="shared" si="3729"/>
        <v>JACKSONVILLE</v>
      </c>
      <c r="J10110" t="str">
        <f t="shared" si="3721"/>
        <v>FL</v>
      </c>
      <c r="K10110" t="str">
        <f>T("9045422413")</f>
        <v>9045422413</v>
      </c>
      <c r="L10110" t="str">
        <f>T("9045424032")</f>
        <v>9045424032</v>
      </c>
    </row>
    <row r="10111" spans="1:12" x14ac:dyDescent="0.35">
      <c r="A10111" t="str">
        <f t="shared" si="3712"/>
        <v>CNRSE</v>
      </c>
      <c r="B10111" t="str">
        <f t="shared" si="3730"/>
        <v>PO BOX 102 NAS</v>
      </c>
      <c r="C10111" t="str">
        <f t="shared" si="3726"/>
        <v>LANGLEY ST BLDG 919</v>
      </c>
      <c r="D10111" t="str">
        <f t="shared" si="3727"/>
        <v>JACKSONVILLE</v>
      </c>
      <c r="E10111" t="str">
        <f t="shared" si="3720"/>
        <v>FL</v>
      </c>
      <c r="F10111" t="str">
        <f t="shared" si="3728"/>
        <v>322120102</v>
      </c>
      <c r="G10111" t="str">
        <f>T("PO BOX 102 NAS")</f>
        <v>PO BOX 102 NAS</v>
      </c>
      <c r="H10111" t="str">
        <f>T("LANGLEY ST BLDG 919")</f>
        <v>LANGLEY ST BLDG 919</v>
      </c>
      <c r="I10111" t="str">
        <f t="shared" si="3729"/>
        <v>JACKSONVILLE</v>
      </c>
      <c r="J10111" t="str">
        <f t="shared" si="3721"/>
        <v>FL</v>
      </c>
      <c r="K10111" t="str">
        <f>T("9045428986")</f>
        <v>9045428986</v>
      </c>
      <c r="L10111" t="str">
        <f>T("9045423049")</f>
        <v>9045423049</v>
      </c>
    </row>
    <row r="10112" spans="1:12" x14ac:dyDescent="0.35">
      <c r="A10112" t="str">
        <f t="shared" si="3712"/>
        <v>CNRSE</v>
      </c>
      <c r="B10112" t="str">
        <f>T("PO BOX 6 BLDG 751")</f>
        <v>PO BOX 6 BLDG 751</v>
      </c>
      <c r="C10112" t="str">
        <f>T("")</f>
        <v/>
      </c>
      <c r="D10112" t="str">
        <f t="shared" si="3727"/>
        <v>JACKSONVILLE</v>
      </c>
      <c r="E10112" t="str">
        <f t="shared" si="3720"/>
        <v>FL</v>
      </c>
      <c r="F10112" t="str">
        <f>T("322120006")</f>
        <v>322120006</v>
      </c>
      <c r="G10112" t="str">
        <f>T("BLDG 751 BIRMINGHAM AVE")</f>
        <v>BLDG 751 BIRMINGHAM AVE</v>
      </c>
      <c r="H10112" t="str">
        <f>T("BOX 6")</f>
        <v>BOX 6</v>
      </c>
      <c r="I10112" t="str">
        <f t="shared" si="3729"/>
        <v>JACKSONVILLE</v>
      </c>
      <c r="J10112" t="str">
        <f t="shared" si="3721"/>
        <v>FL</v>
      </c>
      <c r="K10112" t="str">
        <f>T("9045421223")</f>
        <v>9045421223</v>
      </c>
      <c r="L10112" t="str">
        <f>T("9045423923")</f>
        <v>9045423923</v>
      </c>
    </row>
    <row r="10113" spans="1:12" x14ac:dyDescent="0.35">
      <c r="A10113" t="str">
        <f t="shared" si="3712"/>
        <v>CNRSE</v>
      </c>
      <c r="B10113" t="str">
        <f>T("PO BOX 6 BLDG 751")</f>
        <v>PO BOX 6 BLDG 751</v>
      </c>
      <c r="C10113" t="str">
        <f>T("")</f>
        <v/>
      </c>
      <c r="D10113" t="str">
        <f t="shared" si="3727"/>
        <v>JACKSONVILLE</v>
      </c>
      <c r="E10113" t="str">
        <f t="shared" si="3720"/>
        <v>FL</v>
      </c>
      <c r="F10113" t="str">
        <f>T("322120006")</f>
        <v>322120006</v>
      </c>
      <c r="G10113" t="str">
        <f>T("BLDG 751 BIRMINGHAM AVE S")</f>
        <v>BLDG 751 BIRMINGHAM AVE S</v>
      </c>
      <c r="H10113" t="str">
        <f>T("P O BOX 6")</f>
        <v>P O BOX 6</v>
      </c>
      <c r="I10113" t="str">
        <f t="shared" si="3729"/>
        <v>JACKSONVILLE</v>
      </c>
      <c r="J10113" t="str">
        <f t="shared" si="3721"/>
        <v>FL</v>
      </c>
      <c r="K10113" t="str">
        <f>T("000000000000000000")</f>
        <v>000000000000000000</v>
      </c>
      <c r="L10113" t="str">
        <f>T("9045423923")</f>
        <v>9045423923</v>
      </c>
    </row>
    <row r="10114" spans="1:12" x14ac:dyDescent="0.35">
      <c r="A10114" t="str">
        <f t="shared" si="3712"/>
        <v>CNRSE</v>
      </c>
      <c r="B10114" t="str">
        <f>T("PO BOX 6 BLDG 751")</f>
        <v>PO BOX 6 BLDG 751</v>
      </c>
      <c r="C10114" t="str">
        <f>T("")</f>
        <v/>
      </c>
      <c r="D10114" t="str">
        <f t="shared" si="3727"/>
        <v>JACKSONVILLE</v>
      </c>
      <c r="E10114" t="str">
        <f t="shared" si="3720"/>
        <v>FL</v>
      </c>
      <c r="F10114" t="str">
        <f>T("322120006")</f>
        <v>322120006</v>
      </c>
      <c r="G10114" t="str">
        <f>T("PO BOX 6 BLDG 751")</f>
        <v>PO BOX 6 BLDG 751</v>
      </c>
      <c r="H10114" t="str">
        <f>T("")</f>
        <v/>
      </c>
      <c r="I10114" t="str">
        <f t="shared" si="3729"/>
        <v>JACKSONVILLE</v>
      </c>
      <c r="J10114" t="str">
        <f t="shared" si="3721"/>
        <v>FL</v>
      </c>
      <c r="K10114" t="str">
        <f>T("9045424014")</f>
        <v>9045424014</v>
      </c>
      <c r="L10114" t="str">
        <f>T("9045423923")</f>
        <v>9045423923</v>
      </c>
    </row>
    <row r="10115" spans="1:12" x14ac:dyDescent="0.35">
      <c r="A10115" t="str">
        <f t="shared" ref="A10115:A10143" si="3731">T("NAVAL STATION MAYPORT")</f>
        <v>NAVAL STATION MAYPORT</v>
      </c>
      <c r="B10115" t="str">
        <f>T("BLDG 1 MASSEY AVE")</f>
        <v>BLDG 1 MASSEY AVE</v>
      </c>
      <c r="C10115" t="str">
        <f t="shared" ref="C10115:C10143" si="3732">T("NAVSTA MAYPORT")</f>
        <v>NAVSTA MAYPORT</v>
      </c>
      <c r="D10115" t="str">
        <f t="shared" si="3727"/>
        <v>JACKSONVILLE</v>
      </c>
      <c r="E10115" t="str">
        <f t="shared" ref="E10115:E10143" si="3733">T("FL")</f>
        <v>FL</v>
      </c>
      <c r="F10115" t="str">
        <f>T("322280000")</f>
        <v>322280000</v>
      </c>
      <c r="G10115" t="str">
        <f>T("1 MASSEY AVE RM 301 BLDG 1")</f>
        <v>1 MASSEY AVE RM 301 BLDG 1</v>
      </c>
      <c r="H10115" t="str">
        <f>T("NAVAL STATION MAYPORT")</f>
        <v>NAVAL STATION MAYPORT</v>
      </c>
      <c r="I10115" t="str">
        <f t="shared" si="3729"/>
        <v>JACKSONVILLE</v>
      </c>
      <c r="J10115" t="str">
        <f t="shared" ref="J10115:J10143" si="3734">T("FL")</f>
        <v>FL</v>
      </c>
      <c r="K10115" t="str">
        <f>T("90427052181528")</f>
        <v>90427052181528</v>
      </c>
      <c r="L10115" t="str">
        <f>T("9042705212")</f>
        <v>9042705212</v>
      </c>
    </row>
    <row r="10116" spans="1:12" x14ac:dyDescent="0.35">
      <c r="A10116" t="str">
        <f t="shared" si="3731"/>
        <v>NAVAL STATION MAYPORT</v>
      </c>
      <c r="B10116" t="str">
        <f>T("BLDG 1 MASSEY AVE")</f>
        <v>BLDG 1 MASSEY AVE</v>
      </c>
      <c r="C10116" t="str">
        <f t="shared" si="3732"/>
        <v>NAVSTA MAYPORT</v>
      </c>
      <c r="D10116" t="str">
        <f t="shared" si="3727"/>
        <v>JACKSONVILLE</v>
      </c>
      <c r="E10116" t="str">
        <f t="shared" si="3733"/>
        <v>FL</v>
      </c>
      <c r="F10116" t="str">
        <f>T("322280000")</f>
        <v>322280000</v>
      </c>
      <c r="G10116" t="str">
        <f>T("BLDG 1 MASSEY AVE")</f>
        <v>BLDG 1 MASSEY AVE</v>
      </c>
      <c r="H10116" t="str">
        <f>T("NAVSTA MAYPORT")</f>
        <v>NAVSTA MAYPORT</v>
      </c>
      <c r="I10116" t="str">
        <f t="shared" si="3729"/>
        <v>JACKSONVILLE</v>
      </c>
      <c r="J10116" t="str">
        <f t="shared" si="3734"/>
        <v>FL</v>
      </c>
      <c r="K10116" t="str">
        <f>T("")</f>
        <v/>
      </c>
      <c r="L10116" t="str">
        <f>T("1111111111")</f>
        <v>1111111111</v>
      </c>
    </row>
    <row r="10117" spans="1:12" x14ac:dyDescent="0.35">
      <c r="A10117" t="str">
        <f t="shared" si="3731"/>
        <v>NAVAL STATION MAYPORT</v>
      </c>
      <c r="B10117" t="str">
        <f>T("BLDG 1 MASSEY AVE")</f>
        <v>BLDG 1 MASSEY AVE</v>
      </c>
      <c r="C10117" t="str">
        <f t="shared" si="3732"/>
        <v>NAVSTA MAYPORT</v>
      </c>
      <c r="D10117" t="str">
        <f t="shared" si="3727"/>
        <v>JACKSONVILLE</v>
      </c>
      <c r="E10117" t="str">
        <f t="shared" si="3733"/>
        <v>FL</v>
      </c>
      <c r="F10117" t="str">
        <f>T("322280042")</f>
        <v>322280042</v>
      </c>
      <c r="G10117" t="str">
        <f>T("BLDG 1 MASSEY AVE")</f>
        <v>BLDG 1 MASSEY AVE</v>
      </c>
      <c r="H10117" t="str">
        <f>T("NAVSTA MAYPORT")</f>
        <v>NAVSTA MAYPORT</v>
      </c>
      <c r="I10117" t="str">
        <f t="shared" si="3729"/>
        <v>JACKSONVILLE</v>
      </c>
      <c r="J10117" t="str">
        <f t="shared" si="3734"/>
        <v>FL</v>
      </c>
      <c r="K10117" t="str">
        <f>T("")</f>
        <v/>
      </c>
      <c r="L10117" t="str">
        <f>T("1111111111")</f>
        <v>1111111111</v>
      </c>
    </row>
    <row r="10118" spans="1:12" x14ac:dyDescent="0.35">
      <c r="A10118" t="str">
        <f t="shared" si="3731"/>
        <v>NAVAL STATION MAYPORT</v>
      </c>
      <c r="B10118" t="str">
        <f>T("BLDG 1 MASSEY AVE")</f>
        <v>BLDG 1 MASSEY AVE</v>
      </c>
      <c r="C10118" t="str">
        <f t="shared" si="3732"/>
        <v>NAVSTA MAYPORT</v>
      </c>
      <c r="D10118" t="str">
        <f t="shared" si="3727"/>
        <v>JACKSONVILLE</v>
      </c>
      <c r="E10118" t="str">
        <f t="shared" si="3733"/>
        <v>FL</v>
      </c>
      <c r="F10118" t="str">
        <f>T("322280042")</f>
        <v>322280042</v>
      </c>
      <c r="G10118" t="str">
        <f>T("BUILDING 1 MASSEY AVE")</f>
        <v>BUILDING 1 MASSEY AVE</v>
      </c>
      <c r="H10118" t="str">
        <f>T("")</f>
        <v/>
      </c>
      <c r="I10118" t="str">
        <f t="shared" si="3729"/>
        <v>JACKSONVILLE</v>
      </c>
      <c r="J10118" t="str">
        <f t="shared" si="3734"/>
        <v>FL</v>
      </c>
      <c r="K10118" t="str">
        <f>T("9042705094")</f>
        <v>9042705094</v>
      </c>
      <c r="L10118" t="str">
        <f>T("9042701722")</f>
        <v>9042701722</v>
      </c>
    </row>
    <row r="10119" spans="1:12" x14ac:dyDescent="0.35">
      <c r="A10119" t="str">
        <f t="shared" si="3731"/>
        <v>NAVAL STATION MAYPORT</v>
      </c>
      <c r="B10119" t="str">
        <f>T("BLDG 1 MASSEY AVE RM 210A")</f>
        <v>BLDG 1 MASSEY AVE RM 210A</v>
      </c>
      <c r="C10119" t="str">
        <f t="shared" si="3732"/>
        <v>NAVSTA MAYPORT</v>
      </c>
      <c r="D10119" t="str">
        <f t="shared" si="3727"/>
        <v>JACKSONVILLE</v>
      </c>
      <c r="E10119" t="str">
        <f t="shared" si="3733"/>
        <v>FL</v>
      </c>
      <c r="F10119" t="str">
        <f t="shared" ref="F10119:F10124" si="3735">T("322280000")</f>
        <v>322280000</v>
      </c>
      <c r="G10119" t="str">
        <f>T("460 MASSEY AVE BLDG 1 RM 210A")</f>
        <v>460 MASSEY AVE BLDG 1 RM 210A</v>
      </c>
      <c r="H10119" t="str">
        <f>T("ADMIN DEPT")</f>
        <v>ADMIN DEPT</v>
      </c>
      <c r="I10119" t="str">
        <f t="shared" si="3729"/>
        <v>JACKSONVILLE</v>
      </c>
      <c r="J10119" t="str">
        <f t="shared" si="3734"/>
        <v>FL</v>
      </c>
      <c r="K10119" t="str">
        <f>T("000000000000000000")</f>
        <v>000000000000000000</v>
      </c>
      <c r="L10119" t="str">
        <f>T("9042707079")</f>
        <v>9042707079</v>
      </c>
    </row>
    <row r="10120" spans="1:12" x14ac:dyDescent="0.35">
      <c r="A10120" t="str">
        <f t="shared" si="3731"/>
        <v>NAVAL STATION MAYPORT</v>
      </c>
      <c r="B10120" t="str">
        <f>T("BLDG 1 MASSEY AVE RM 210A")</f>
        <v>BLDG 1 MASSEY AVE RM 210A</v>
      </c>
      <c r="C10120" t="str">
        <f t="shared" si="3732"/>
        <v>NAVSTA MAYPORT</v>
      </c>
      <c r="D10120" t="str">
        <f t="shared" si="3727"/>
        <v>JACKSONVILLE</v>
      </c>
      <c r="E10120" t="str">
        <f t="shared" si="3733"/>
        <v>FL</v>
      </c>
      <c r="F10120" t="str">
        <f t="shared" si="3735"/>
        <v>322280000</v>
      </c>
      <c r="G10120" t="str">
        <f>T("BLDG 1 MASSEY AVE RM 210A")</f>
        <v>BLDG 1 MASSEY AVE RM 210A</v>
      </c>
      <c r="H10120" t="str">
        <f>T("NAVSTA MAYPORT")</f>
        <v>NAVSTA MAYPORT</v>
      </c>
      <c r="I10120" t="str">
        <f t="shared" si="3729"/>
        <v>JACKSONVILLE</v>
      </c>
      <c r="J10120" t="str">
        <f t="shared" si="3734"/>
        <v>FL</v>
      </c>
      <c r="K10120" t="str">
        <f>T("")</f>
        <v/>
      </c>
      <c r="L10120" t="str">
        <f>T("1111111111")</f>
        <v>1111111111</v>
      </c>
    </row>
    <row r="10121" spans="1:12" x14ac:dyDescent="0.35">
      <c r="A10121" t="str">
        <f t="shared" si="3731"/>
        <v>NAVAL STATION MAYPORT</v>
      </c>
      <c r="B10121" t="str">
        <f>T("BLDG 1554 LAMP AVE")</f>
        <v>BLDG 1554 LAMP AVE</v>
      </c>
      <c r="C10121" t="str">
        <f t="shared" si="3732"/>
        <v>NAVSTA MAYPORT</v>
      </c>
      <c r="D10121" t="str">
        <f t="shared" si="3727"/>
        <v>JACKSONVILLE</v>
      </c>
      <c r="E10121" t="str">
        <f t="shared" si="3733"/>
        <v>FL</v>
      </c>
      <c r="F10121" t="str">
        <f t="shared" si="3735"/>
        <v>322280000</v>
      </c>
      <c r="G10121" t="str">
        <f>T("BLDG 12 OLD MAIN STREET")</f>
        <v>BLDG 12 OLD MAIN STREET</v>
      </c>
      <c r="H10121" t="str">
        <f>T("IT DEPT")</f>
        <v>IT DEPT</v>
      </c>
      <c r="I10121" t="str">
        <f>T("NAVAL STATION MAYPORT")</f>
        <v>NAVAL STATION MAYPORT</v>
      </c>
      <c r="J10121" t="str">
        <f t="shared" si="3734"/>
        <v>FL</v>
      </c>
      <c r="K10121" t="str">
        <f>T("000000000000000000")</f>
        <v>000000000000000000</v>
      </c>
      <c r="L10121" t="str">
        <f>T("9042706162")</f>
        <v>9042706162</v>
      </c>
    </row>
    <row r="10122" spans="1:12" x14ac:dyDescent="0.35">
      <c r="A10122" t="str">
        <f t="shared" si="3731"/>
        <v>NAVAL STATION MAYPORT</v>
      </c>
      <c r="B10122" t="str">
        <f>T("BLDG 1554 LAMP AVE")</f>
        <v>BLDG 1554 LAMP AVE</v>
      </c>
      <c r="C10122" t="str">
        <f t="shared" si="3732"/>
        <v>NAVSTA MAYPORT</v>
      </c>
      <c r="D10122" t="str">
        <f t="shared" si="3727"/>
        <v>JACKSONVILLE</v>
      </c>
      <c r="E10122" t="str">
        <f t="shared" si="3733"/>
        <v>FL</v>
      </c>
      <c r="F10122" t="str">
        <f t="shared" si="3735"/>
        <v>322280000</v>
      </c>
      <c r="G10122" t="str">
        <f>T("BLDG 1554 LAMP AVE")</f>
        <v>BLDG 1554 LAMP AVE</v>
      </c>
      <c r="H10122" t="str">
        <f>T("NAVSTA MAYPORT")</f>
        <v>NAVSTA MAYPORT</v>
      </c>
      <c r="I10122" t="str">
        <f t="shared" ref="I10122:I10134" si="3736">T("JACKSONVILLE")</f>
        <v>JACKSONVILLE</v>
      </c>
      <c r="J10122" t="str">
        <f t="shared" si="3734"/>
        <v>FL</v>
      </c>
      <c r="K10122" t="str">
        <f>T("")</f>
        <v/>
      </c>
      <c r="L10122" t="str">
        <f>T("9042706129")</f>
        <v>9042706129</v>
      </c>
    </row>
    <row r="10123" spans="1:12" x14ac:dyDescent="0.35">
      <c r="A10123" t="str">
        <f t="shared" si="3731"/>
        <v>NAVAL STATION MAYPORT</v>
      </c>
      <c r="B10123" t="str">
        <f>T("BLDG 1591")</f>
        <v>BLDG 1591</v>
      </c>
      <c r="C10123" t="str">
        <f t="shared" si="3732"/>
        <v>NAVSTA MAYPORT</v>
      </c>
      <c r="D10123" t="str">
        <f t="shared" si="3727"/>
        <v>JACKSONVILLE</v>
      </c>
      <c r="E10123" t="str">
        <f t="shared" si="3733"/>
        <v>FL</v>
      </c>
      <c r="F10123" t="str">
        <f t="shared" si="3735"/>
        <v>322280000</v>
      </c>
      <c r="G10123" t="str">
        <f>T("BLDG 1591")</f>
        <v>BLDG 1591</v>
      </c>
      <c r="H10123" t="str">
        <f>T("NAVSTA MAYPORT")</f>
        <v>NAVSTA MAYPORT</v>
      </c>
      <c r="I10123" t="str">
        <f t="shared" si="3736"/>
        <v>JACKSONVILLE</v>
      </c>
      <c r="J10123" t="str">
        <f t="shared" si="3734"/>
        <v>FL</v>
      </c>
      <c r="K10123" t="str">
        <f>T("")</f>
        <v/>
      </c>
      <c r="L10123" t="str">
        <f>T("9042705261")</f>
        <v>9042705261</v>
      </c>
    </row>
    <row r="10124" spans="1:12" x14ac:dyDescent="0.35">
      <c r="A10124" t="str">
        <f t="shared" si="3731"/>
        <v>NAVAL STATION MAYPORT</v>
      </c>
      <c r="B10124" t="str">
        <f>T("BLDG 1591")</f>
        <v>BLDG 1591</v>
      </c>
      <c r="C10124" t="str">
        <f t="shared" si="3732"/>
        <v>NAVSTA MAYPORT</v>
      </c>
      <c r="D10124" t="str">
        <f t="shared" si="3727"/>
        <v>JACKSONVILLE</v>
      </c>
      <c r="E10124" t="str">
        <f t="shared" si="3733"/>
        <v>FL</v>
      </c>
      <c r="F10124" t="str">
        <f t="shared" si="3735"/>
        <v>322280000</v>
      </c>
      <c r="G10124" t="str">
        <f>T("BLDG 1591 SECURITY SUPPLY DEPT")</f>
        <v>BLDG 1591 SECURITY SUPPLY DEPT</v>
      </c>
      <c r="H10124" t="str">
        <f>T("")</f>
        <v/>
      </c>
      <c r="I10124" t="str">
        <f t="shared" si="3736"/>
        <v>JACKSONVILLE</v>
      </c>
      <c r="J10124" t="str">
        <f t="shared" si="3734"/>
        <v>FL</v>
      </c>
      <c r="K10124" t="str">
        <f>T("000000000000000000")</f>
        <v>000000000000000000</v>
      </c>
      <c r="L10124" t="str">
        <f>T("1111111111")</f>
        <v>1111111111</v>
      </c>
    </row>
    <row r="10125" spans="1:12" x14ac:dyDescent="0.35">
      <c r="A10125" t="str">
        <f t="shared" si="3731"/>
        <v>NAVAL STATION MAYPORT</v>
      </c>
      <c r="B10125" t="str">
        <f>T("BLDG 190 MANLEY AVE")</f>
        <v>BLDG 190 MANLEY AVE</v>
      </c>
      <c r="C10125" t="str">
        <f t="shared" si="3732"/>
        <v>NAVSTA MAYPORT</v>
      </c>
      <c r="D10125" t="str">
        <f t="shared" si="3727"/>
        <v>JACKSONVILLE</v>
      </c>
      <c r="E10125" t="str">
        <f t="shared" si="3733"/>
        <v>FL</v>
      </c>
      <c r="F10125" t="str">
        <f>T("322280023")</f>
        <v>322280023</v>
      </c>
      <c r="G10125" t="str">
        <f>T("BLDG 190 MANLEY AVE")</f>
        <v>BLDG 190 MANLEY AVE</v>
      </c>
      <c r="H10125" t="str">
        <f>T("EOD BLDG")</f>
        <v>EOD BLDG</v>
      </c>
      <c r="I10125" t="str">
        <f t="shared" si="3736"/>
        <v>JACKSONVILLE</v>
      </c>
      <c r="J10125" t="str">
        <f t="shared" si="3734"/>
        <v>FL</v>
      </c>
      <c r="K10125" t="str">
        <f>T("000000000000000000")</f>
        <v>000000000000000000</v>
      </c>
      <c r="L10125" t="str">
        <f>T("9042705412")</f>
        <v>9042705412</v>
      </c>
    </row>
    <row r="10126" spans="1:12" x14ac:dyDescent="0.35">
      <c r="A10126" t="str">
        <f t="shared" si="3731"/>
        <v>NAVAL STATION MAYPORT</v>
      </c>
      <c r="B10126" t="str">
        <f>T("BLDG 190 MANLEY AVE")</f>
        <v>BLDG 190 MANLEY AVE</v>
      </c>
      <c r="C10126" t="str">
        <f t="shared" si="3732"/>
        <v>NAVSTA MAYPORT</v>
      </c>
      <c r="D10126" t="str">
        <f t="shared" si="3727"/>
        <v>JACKSONVILLE</v>
      </c>
      <c r="E10126" t="str">
        <f t="shared" si="3733"/>
        <v>FL</v>
      </c>
      <c r="F10126" t="str">
        <f>T("322280023")</f>
        <v>322280023</v>
      </c>
      <c r="G10126" t="str">
        <f>T("BLDG 190 MANLEY AVE")</f>
        <v>BLDG 190 MANLEY AVE</v>
      </c>
      <c r="H10126" t="str">
        <f>T("NAVSTA MAYPORT")</f>
        <v>NAVSTA MAYPORT</v>
      </c>
      <c r="I10126" t="str">
        <f t="shared" si="3736"/>
        <v>JACKSONVILLE</v>
      </c>
      <c r="J10126" t="str">
        <f t="shared" si="3734"/>
        <v>FL</v>
      </c>
      <c r="K10126" t="str">
        <f>T("")</f>
        <v/>
      </c>
      <c r="L10126" t="str">
        <f>T("9042705412")</f>
        <v>9042705412</v>
      </c>
    </row>
    <row r="10127" spans="1:12" x14ac:dyDescent="0.35">
      <c r="A10127" t="str">
        <f t="shared" si="3731"/>
        <v>NAVAL STATION MAYPORT</v>
      </c>
      <c r="B10127" t="str">
        <f>T("BLDG 1966 BON HOMME RICHARD ST")</f>
        <v>BLDG 1966 BON HOMME RICHARD ST</v>
      </c>
      <c r="C10127" t="str">
        <f t="shared" si="3732"/>
        <v>NAVSTA MAYPORT</v>
      </c>
      <c r="D10127" t="str">
        <f t="shared" si="3727"/>
        <v>JACKSONVILLE</v>
      </c>
      <c r="E10127" t="str">
        <f t="shared" si="3733"/>
        <v>FL</v>
      </c>
      <c r="F10127" t="str">
        <f>T("322280000")</f>
        <v>322280000</v>
      </c>
      <c r="G10127" t="str">
        <f>T("BLDG 1966 BON HOMME RICHARD ST")</f>
        <v>BLDG 1966 BON HOMME RICHARD ST</v>
      </c>
      <c r="H10127" t="str">
        <f>T("NAVSTA MAYPORT")</f>
        <v>NAVSTA MAYPORT</v>
      </c>
      <c r="I10127" t="str">
        <f t="shared" si="3736"/>
        <v>JACKSONVILLE</v>
      </c>
      <c r="J10127" t="str">
        <f t="shared" si="3734"/>
        <v>FL</v>
      </c>
      <c r="K10127" t="str">
        <f>T("")</f>
        <v/>
      </c>
      <c r="L10127" t="str">
        <f>T("9042706144")</f>
        <v>9042706144</v>
      </c>
    </row>
    <row r="10128" spans="1:12" x14ac:dyDescent="0.35">
      <c r="A10128" t="str">
        <f t="shared" si="3731"/>
        <v>NAVAL STATION MAYPORT</v>
      </c>
      <c r="B10128" t="str">
        <f>T("BLDG 1966 BON HOMME RICHARD ST")</f>
        <v>BLDG 1966 BON HOMME RICHARD ST</v>
      </c>
      <c r="C10128" t="str">
        <f t="shared" si="3732"/>
        <v>NAVSTA MAYPORT</v>
      </c>
      <c r="D10128" t="str">
        <f t="shared" si="3727"/>
        <v>JACKSONVILLE</v>
      </c>
      <c r="E10128" t="str">
        <f t="shared" si="3733"/>
        <v>FL</v>
      </c>
      <c r="F10128" t="str">
        <f>T("322280000")</f>
        <v>322280000</v>
      </c>
      <c r="G10128" t="str">
        <f>T("P O BOX 280067")</f>
        <v>P O BOX 280067</v>
      </c>
      <c r="H10128" t="str">
        <f>T("")</f>
        <v/>
      </c>
      <c r="I10128" t="str">
        <f t="shared" si="3736"/>
        <v>JACKSONVILLE</v>
      </c>
      <c r="J10128" t="str">
        <f t="shared" si="3734"/>
        <v>FL</v>
      </c>
      <c r="K10128" t="str">
        <f>T("9042705394")</f>
        <v>9042705394</v>
      </c>
      <c r="L10128" t="str">
        <f>T("9042705580")</f>
        <v>9042705580</v>
      </c>
    </row>
    <row r="10129" spans="1:12" x14ac:dyDescent="0.35">
      <c r="A10129" t="str">
        <f t="shared" si="3731"/>
        <v>NAVAL STATION MAYPORT</v>
      </c>
      <c r="B10129" t="str">
        <f>T("BLDG 1966 BON HOMME RICHARD ST")</f>
        <v>BLDG 1966 BON HOMME RICHARD ST</v>
      </c>
      <c r="C10129" t="str">
        <f t="shared" si="3732"/>
        <v>NAVSTA MAYPORT</v>
      </c>
      <c r="D10129" t="str">
        <f t="shared" si="3727"/>
        <v>JACKSONVILLE</v>
      </c>
      <c r="E10129" t="str">
        <f t="shared" si="3733"/>
        <v>FL</v>
      </c>
      <c r="F10129" t="str">
        <f>T("322280000")</f>
        <v>322280000</v>
      </c>
      <c r="G10129" t="str">
        <f>T("P O BOX 280067")</f>
        <v>P O BOX 280067</v>
      </c>
      <c r="H10129" t="str">
        <f>T("NAVAL STATION MAYPORT")</f>
        <v>NAVAL STATION MAYPORT</v>
      </c>
      <c r="I10129" t="str">
        <f t="shared" si="3736"/>
        <v>JACKSONVILLE</v>
      </c>
      <c r="J10129" t="str">
        <f t="shared" si="3734"/>
        <v>FL</v>
      </c>
      <c r="K10129" t="str">
        <f>T("9042706884")</f>
        <v>9042706884</v>
      </c>
      <c r="L10129" t="str">
        <f>T("9042705252")</f>
        <v>9042705252</v>
      </c>
    </row>
    <row r="10130" spans="1:12" x14ac:dyDescent="0.35">
      <c r="A10130" t="str">
        <f t="shared" si="3731"/>
        <v>NAVAL STATION MAYPORT</v>
      </c>
      <c r="B10130" t="str">
        <f>T("BLDG 2021 BON HOMME RICHAR")</f>
        <v>BLDG 2021 BON HOMME RICHAR</v>
      </c>
      <c r="C10130" t="str">
        <f t="shared" si="3732"/>
        <v>NAVSTA MAYPORT</v>
      </c>
      <c r="D10130" t="str">
        <f t="shared" si="3727"/>
        <v>JACKSONVILLE</v>
      </c>
      <c r="E10130" t="str">
        <f t="shared" si="3733"/>
        <v>FL</v>
      </c>
      <c r="F10130" t="str">
        <f>T("322280000")</f>
        <v>322280000</v>
      </c>
      <c r="G10130" t="str">
        <f>T("BLDG 2021 BON HOMME RICHAR")</f>
        <v>BLDG 2021 BON HOMME RICHAR</v>
      </c>
      <c r="H10130" t="str">
        <f>T("NAVSTA MAYPORT")</f>
        <v>NAVSTA MAYPORT</v>
      </c>
      <c r="I10130" t="str">
        <f t="shared" si="3736"/>
        <v>JACKSONVILLE</v>
      </c>
      <c r="J10130" t="str">
        <f t="shared" si="3734"/>
        <v>FL</v>
      </c>
      <c r="K10130" t="str">
        <f>T("000000000000000000")</f>
        <v>000000000000000000</v>
      </c>
      <c r="L10130" t="str">
        <f>T("1111111111")</f>
        <v>1111111111</v>
      </c>
    </row>
    <row r="10131" spans="1:12" x14ac:dyDescent="0.35">
      <c r="A10131" t="str">
        <f t="shared" si="3731"/>
        <v>NAVAL STATION MAYPORT</v>
      </c>
      <c r="B10131" t="str">
        <f>T("BLDG 2021 BON HOMME RICHAR")</f>
        <v>BLDG 2021 BON HOMME RICHAR</v>
      </c>
      <c r="C10131" t="str">
        <f t="shared" si="3732"/>
        <v>NAVSTA MAYPORT</v>
      </c>
      <c r="D10131" t="str">
        <f t="shared" si="3727"/>
        <v>JACKSONVILLE</v>
      </c>
      <c r="E10131" t="str">
        <f t="shared" si="3733"/>
        <v>FL</v>
      </c>
      <c r="F10131" t="str">
        <f>T("322280000")</f>
        <v>322280000</v>
      </c>
      <c r="G10131" t="str">
        <f>T("BLDG 2021 BON HOMME RICHARD ST")</f>
        <v>BLDG 2021 BON HOMME RICHARD ST</v>
      </c>
      <c r="H10131" t="str">
        <f>T("NAVSTA MAYPORT")</f>
        <v>NAVSTA MAYPORT</v>
      </c>
      <c r="I10131" t="str">
        <f t="shared" si="3736"/>
        <v>JACKSONVILLE</v>
      </c>
      <c r="J10131" t="str">
        <f t="shared" si="3734"/>
        <v>FL</v>
      </c>
      <c r="K10131" t="str">
        <f>T("000000000000000000")</f>
        <v>000000000000000000</v>
      </c>
      <c r="L10131" t="str">
        <f>T("9042706730")</f>
        <v>9042706730</v>
      </c>
    </row>
    <row r="10132" spans="1:12" x14ac:dyDescent="0.35">
      <c r="A10132" t="str">
        <f t="shared" si="3731"/>
        <v>NAVAL STATION MAYPORT</v>
      </c>
      <c r="B10132" t="str">
        <f>T("BLDG 2078 HARBOR VIEW LANE")</f>
        <v>BLDG 2078 HARBOR VIEW LANE</v>
      </c>
      <c r="C10132" t="str">
        <f t="shared" si="3732"/>
        <v>NAVSTA MAYPORT</v>
      </c>
      <c r="D10132" t="str">
        <f t="shared" si="3727"/>
        <v>JACKSONVILLE</v>
      </c>
      <c r="E10132" t="str">
        <f t="shared" si="3733"/>
        <v>FL</v>
      </c>
      <c r="F10132" t="str">
        <f>T("322280111")</f>
        <v>322280111</v>
      </c>
      <c r="G10132" t="str">
        <f>T("BLDG 2078 HARBOR VIEW LANE")</f>
        <v>BLDG 2078 HARBOR VIEW LANE</v>
      </c>
      <c r="H10132" t="str">
        <f>T("NAVSTA MAYPORT")</f>
        <v>NAVSTA MAYPORT</v>
      </c>
      <c r="I10132" t="str">
        <f t="shared" si="3736"/>
        <v>JACKSONVILLE</v>
      </c>
      <c r="J10132" t="str">
        <f t="shared" si="3734"/>
        <v>FL</v>
      </c>
      <c r="K10132" t="str">
        <f>T("")</f>
        <v/>
      </c>
      <c r="L10132" t="str">
        <f>T("1111111111")</f>
        <v>1111111111</v>
      </c>
    </row>
    <row r="10133" spans="1:12" x14ac:dyDescent="0.35">
      <c r="A10133" t="str">
        <f t="shared" si="3731"/>
        <v>NAVAL STATION MAYPORT</v>
      </c>
      <c r="B10133" t="str">
        <f>T("BLDG 2078 HARBOR VIEW LANE")</f>
        <v>BLDG 2078 HARBOR VIEW LANE</v>
      </c>
      <c r="C10133" t="str">
        <f t="shared" si="3732"/>
        <v>NAVSTA MAYPORT</v>
      </c>
      <c r="D10133" t="str">
        <f t="shared" si="3727"/>
        <v>JACKSONVILLE</v>
      </c>
      <c r="E10133" t="str">
        <f t="shared" si="3733"/>
        <v>FL</v>
      </c>
      <c r="F10133" t="str">
        <f>T("322280111")</f>
        <v>322280111</v>
      </c>
      <c r="G10133" t="str">
        <f>T("HARBOR OPERATATIONS BLDG 2078")</f>
        <v>HARBOR OPERATATIONS BLDG 2078</v>
      </c>
      <c r="H10133" t="str">
        <f>T("NAVSTA MAYPORT")</f>
        <v>NAVSTA MAYPORT</v>
      </c>
      <c r="I10133" t="str">
        <f t="shared" si="3736"/>
        <v>JACKSONVILLE</v>
      </c>
      <c r="J10133" t="str">
        <f t="shared" si="3734"/>
        <v>FL</v>
      </c>
      <c r="K10133" t="str">
        <f>T("000000000000000000")</f>
        <v>000000000000000000</v>
      </c>
      <c r="L10133" t="str">
        <f>T("9042705179")</f>
        <v>9042705179</v>
      </c>
    </row>
    <row r="10134" spans="1:12" x14ac:dyDescent="0.35">
      <c r="A10134" t="str">
        <f t="shared" si="3731"/>
        <v>NAVAL STATION MAYPORT</v>
      </c>
      <c r="B10134" t="str">
        <f>T("BLDG 2105 BALTIMORE ST")</f>
        <v>BLDG 2105 BALTIMORE ST</v>
      </c>
      <c r="C10134" t="str">
        <f t="shared" si="3732"/>
        <v>NAVSTA MAYPORT</v>
      </c>
      <c r="D10134" t="str">
        <f t="shared" si="3727"/>
        <v>JACKSONVILLE</v>
      </c>
      <c r="E10134" t="str">
        <f t="shared" si="3733"/>
        <v>FL</v>
      </c>
      <c r="F10134" t="str">
        <f>T("322280000")</f>
        <v>322280000</v>
      </c>
      <c r="G10134" t="str">
        <f>T("BLDG 2105 BALTIMORE ST")</f>
        <v>BLDG 2105 BALTIMORE ST</v>
      </c>
      <c r="H10134" t="str">
        <f>T("NAVSTA MAYPORT")</f>
        <v>NAVSTA MAYPORT</v>
      </c>
      <c r="I10134" t="str">
        <f t="shared" si="3736"/>
        <v>JACKSONVILLE</v>
      </c>
      <c r="J10134" t="str">
        <f t="shared" si="3734"/>
        <v>FL</v>
      </c>
      <c r="K10134" t="str">
        <f>T("000000000000000000")</f>
        <v>000000000000000000</v>
      </c>
      <c r="L10134" t="str">
        <f>T("9042705575")</f>
        <v>9042705575</v>
      </c>
    </row>
    <row r="10135" spans="1:12" x14ac:dyDescent="0.35">
      <c r="A10135" t="str">
        <f t="shared" si="3731"/>
        <v>NAVAL STATION MAYPORT</v>
      </c>
      <c r="B10135" t="str">
        <f>T("BLDG 2105 BALTIMORE ST")</f>
        <v>BLDG 2105 BALTIMORE ST</v>
      </c>
      <c r="C10135" t="str">
        <f t="shared" si="3732"/>
        <v>NAVSTA MAYPORT</v>
      </c>
      <c r="D10135" t="str">
        <f t="shared" si="3727"/>
        <v>JACKSONVILLE</v>
      </c>
      <c r="E10135" t="str">
        <f t="shared" si="3733"/>
        <v>FL</v>
      </c>
      <c r="F10135" t="str">
        <f>T("322280000")</f>
        <v>322280000</v>
      </c>
      <c r="G10135" t="str">
        <f>T("NAVAL STATION MAYPORT BLDG 2105")</f>
        <v>NAVAL STATION MAYPORT BLDG 2105</v>
      </c>
      <c r="H10135" t="str">
        <f>T("")</f>
        <v/>
      </c>
      <c r="I10135" t="str">
        <f>T("NS MAYPORT")</f>
        <v>NS MAYPORT</v>
      </c>
      <c r="J10135" t="str">
        <f t="shared" si="3734"/>
        <v>FL</v>
      </c>
      <c r="K10135" t="str">
        <f>T("000000000000000000")</f>
        <v>000000000000000000</v>
      </c>
      <c r="L10135" t="str">
        <f>T("9042703264")</f>
        <v>9042703264</v>
      </c>
    </row>
    <row r="10136" spans="1:12" x14ac:dyDescent="0.35">
      <c r="A10136" t="str">
        <f t="shared" si="3731"/>
        <v>NAVAL STATION MAYPORT</v>
      </c>
      <c r="B10136" t="str">
        <f>T("BLDG 2105 BALTIMORE ST")</f>
        <v>BLDG 2105 BALTIMORE ST</v>
      </c>
      <c r="C10136" t="str">
        <f t="shared" si="3732"/>
        <v>NAVSTA MAYPORT</v>
      </c>
      <c r="D10136" t="str">
        <f t="shared" si="3727"/>
        <v>JACKSONVILLE</v>
      </c>
      <c r="E10136" t="str">
        <f t="shared" si="3733"/>
        <v>FL</v>
      </c>
      <c r="F10136" t="str">
        <f>T("322280000")</f>
        <v>322280000</v>
      </c>
      <c r="G10136" t="str">
        <f>T("UNACCOMPANIED HOUSING BLDG 2105")</f>
        <v>UNACCOMPANIED HOUSING BLDG 2105</v>
      </c>
      <c r="H10136" t="str">
        <f>T("")</f>
        <v/>
      </c>
      <c r="I10136" t="str">
        <f>T("JACKSONVILLE")</f>
        <v>JACKSONVILLE</v>
      </c>
      <c r="J10136" t="str">
        <f t="shared" si="3734"/>
        <v>FL</v>
      </c>
      <c r="K10136" t="str">
        <f>T("000000000000000000")</f>
        <v>000000000000000000</v>
      </c>
      <c r="L10136" t="str">
        <f>T("9042707579")</f>
        <v>9042707579</v>
      </c>
    </row>
    <row r="10137" spans="1:12" x14ac:dyDescent="0.35">
      <c r="A10137" t="str">
        <f t="shared" si="3731"/>
        <v>NAVAL STATION MAYPORT</v>
      </c>
      <c r="B10137" t="str">
        <f>T("BLDG 338 BALTIMORE ST")</f>
        <v>BLDG 338 BALTIMORE ST</v>
      </c>
      <c r="C10137" t="str">
        <f t="shared" si="3732"/>
        <v>NAVSTA MAYPORT</v>
      </c>
      <c r="D10137" t="str">
        <f t="shared" si="3727"/>
        <v>JACKSONVILLE</v>
      </c>
      <c r="E10137" t="str">
        <f t="shared" si="3733"/>
        <v>FL</v>
      </c>
      <c r="F10137" t="str">
        <f>T("322280098")</f>
        <v>322280098</v>
      </c>
      <c r="G10137" t="str">
        <f>T("4351 CAMPUS HILL CIR")</f>
        <v>4351 CAMPUS HILL CIR</v>
      </c>
      <c r="H10137" t="str">
        <f>T("")</f>
        <v/>
      </c>
      <c r="I10137" t="str">
        <f>T("JACKSONVILLE")</f>
        <v>JACKSONVILLE</v>
      </c>
      <c r="J10137" t="str">
        <f t="shared" si="3734"/>
        <v>FL</v>
      </c>
      <c r="K10137" t="str">
        <f>T("000000000000000000")</f>
        <v>000000000000000000</v>
      </c>
      <c r="L10137" t="str">
        <f>T("2067249326")</f>
        <v>2067249326</v>
      </c>
    </row>
    <row r="10138" spans="1:12" x14ac:dyDescent="0.35">
      <c r="A10138" t="str">
        <f t="shared" si="3731"/>
        <v>NAVAL STATION MAYPORT</v>
      </c>
      <c r="B10138" t="str">
        <f>T("BLDG 338 BALTIMORE ST")</f>
        <v>BLDG 338 BALTIMORE ST</v>
      </c>
      <c r="C10138" t="str">
        <f t="shared" si="3732"/>
        <v>NAVSTA MAYPORT</v>
      </c>
      <c r="D10138" t="str">
        <f t="shared" si="3727"/>
        <v>JACKSONVILLE</v>
      </c>
      <c r="E10138" t="str">
        <f t="shared" si="3733"/>
        <v>FL</v>
      </c>
      <c r="F10138" t="str">
        <f>T("322280098")</f>
        <v>322280098</v>
      </c>
      <c r="G10138" t="str">
        <f>T("BLDG 338 BALTIMORE ST")</f>
        <v>BLDG 338 BALTIMORE ST</v>
      </c>
      <c r="H10138" t="str">
        <f>T("NAVSTA MAYPORT")</f>
        <v>NAVSTA MAYPORT</v>
      </c>
      <c r="I10138" t="str">
        <f>T("JACKSONVILLE")</f>
        <v>JACKSONVILLE</v>
      </c>
      <c r="J10138" t="str">
        <f t="shared" si="3734"/>
        <v>FL</v>
      </c>
      <c r="K10138" t="str">
        <f>T("")</f>
        <v/>
      </c>
      <c r="L10138" t="str">
        <f>T("9042705373")</f>
        <v>9042705373</v>
      </c>
    </row>
    <row r="10139" spans="1:12" x14ac:dyDescent="0.35">
      <c r="A10139" t="str">
        <f t="shared" si="3731"/>
        <v>NAVAL STATION MAYPORT</v>
      </c>
      <c r="B10139" t="str">
        <f>T("BLDG 338 BALTIMORE ST")</f>
        <v>BLDG 338 BALTIMORE ST</v>
      </c>
      <c r="C10139" t="str">
        <f t="shared" si="3732"/>
        <v>NAVSTA MAYPORT</v>
      </c>
      <c r="D10139" t="str">
        <f t="shared" si="3727"/>
        <v>JACKSONVILLE</v>
      </c>
      <c r="E10139" t="str">
        <f t="shared" si="3733"/>
        <v>FL</v>
      </c>
      <c r="F10139" t="str">
        <f>T("322280098")</f>
        <v>322280098</v>
      </c>
      <c r="G10139" t="str">
        <f>T("BLDG 338 BALTIMORE ST")</f>
        <v>BLDG 338 BALTIMORE ST</v>
      </c>
      <c r="H10139" t="str">
        <f>T("OASIS GALLEY")</f>
        <v>OASIS GALLEY</v>
      </c>
      <c r="I10139" t="str">
        <f>T("NS MAYPORT")</f>
        <v>NS MAYPORT</v>
      </c>
      <c r="J10139" t="str">
        <f t="shared" si="3734"/>
        <v>FL</v>
      </c>
      <c r="K10139" t="str">
        <f>T("000000000000000000")</f>
        <v>000000000000000000</v>
      </c>
      <c r="L10139" t="str">
        <f>T("9042705373")</f>
        <v>9042705373</v>
      </c>
    </row>
    <row r="10140" spans="1:12" x14ac:dyDescent="0.35">
      <c r="A10140" t="str">
        <f t="shared" si="3731"/>
        <v>NAVAL STATION MAYPORT</v>
      </c>
      <c r="B10140" t="str">
        <f>T("BLDG 350 BASE CHAPEL")</f>
        <v>BLDG 350 BASE CHAPEL</v>
      </c>
      <c r="C10140" t="str">
        <f t="shared" si="3732"/>
        <v>NAVSTA MAYPORT</v>
      </c>
      <c r="D10140" t="str">
        <f t="shared" si="3727"/>
        <v>JACKSONVILLE</v>
      </c>
      <c r="E10140" t="str">
        <f t="shared" si="3733"/>
        <v>FL</v>
      </c>
      <c r="F10140" t="str">
        <f>T("322280054")</f>
        <v>322280054</v>
      </c>
      <c r="G10140" t="str">
        <f>T("BLDG 350 BASE CHAPEL")</f>
        <v>BLDG 350 BASE CHAPEL</v>
      </c>
      <c r="H10140" t="str">
        <f>T("NAVSTA MAYPORT")</f>
        <v>NAVSTA MAYPORT</v>
      </c>
      <c r="I10140" t="str">
        <f>T("JACKSONVILLE")</f>
        <v>JACKSONVILLE</v>
      </c>
      <c r="J10140" t="str">
        <f t="shared" si="3734"/>
        <v>FL</v>
      </c>
      <c r="K10140" t="str">
        <f>T("")</f>
        <v/>
      </c>
      <c r="L10140" t="str">
        <f>T("9042705212")</f>
        <v>9042705212</v>
      </c>
    </row>
    <row r="10141" spans="1:12" x14ac:dyDescent="0.35">
      <c r="A10141" t="str">
        <f t="shared" si="3731"/>
        <v>NAVAL STATION MAYPORT</v>
      </c>
      <c r="B10141" t="str">
        <f>T("BLDG 350 BASE CHAPEL")</f>
        <v>BLDG 350 BASE CHAPEL</v>
      </c>
      <c r="C10141" t="str">
        <f t="shared" si="3732"/>
        <v>NAVSTA MAYPORT</v>
      </c>
      <c r="D10141" t="str">
        <f t="shared" si="3727"/>
        <v>JACKSONVILLE</v>
      </c>
      <c r="E10141" t="str">
        <f t="shared" si="3733"/>
        <v>FL</v>
      </c>
      <c r="F10141" t="str">
        <f>T("322280054")</f>
        <v>322280054</v>
      </c>
      <c r="G10141" t="str">
        <f>T("BLDG 350 MASSEY AVE")</f>
        <v>BLDG 350 MASSEY AVE</v>
      </c>
      <c r="H10141" t="str">
        <f>T("NAVSTA MAYPORT")</f>
        <v>NAVSTA MAYPORT</v>
      </c>
      <c r="I10141" t="str">
        <f>T("JACKSONVILLE")</f>
        <v>JACKSONVILLE</v>
      </c>
      <c r="J10141" t="str">
        <f t="shared" si="3734"/>
        <v>FL</v>
      </c>
      <c r="K10141" t="str">
        <f>T("000000000000000000")</f>
        <v>000000000000000000</v>
      </c>
      <c r="L10141" t="str">
        <f>T("9042705212")</f>
        <v>9042705212</v>
      </c>
    </row>
    <row r="10142" spans="1:12" x14ac:dyDescent="0.35">
      <c r="A10142" t="str">
        <f t="shared" si="3731"/>
        <v>NAVAL STATION MAYPORT</v>
      </c>
      <c r="B10142" t="str">
        <f>T("BLDG 90 NEW MAINE ST")</f>
        <v>BLDG 90 NEW MAINE ST</v>
      </c>
      <c r="C10142" t="str">
        <f t="shared" si="3732"/>
        <v>NAVSTA MAYPORT</v>
      </c>
      <c r="D10142" t="str">
        <f t="shared" si="3727"/>
        <v>JACKSONVILLE</v>
      </c>
      <c r="E10142" t="str">
        <f t="shared" si="3733"/>
        <v>FL</v>
      </c>
      <c r="F10142" t="str">
        <f>T("322280068")</f>
        <v>322280068</v>
      </c>
      <c r="G10142" t="str">
        <f>T("BLDG 90 MAINSTREET")</f>
        <v>BLDG 90 MAINSTREET</v>
      </c>
      <c r="H10142" t="str">
        <f>T("NAVAL STATION MAYPORT")</f>
        <v>NAVAL STATION MAYPORT</v>
      </c>
      <c r="I10142" t="str">
        <f>T("JACKSONVILLE")</f>
        <v>JACKSONVILLE</v>
      </c>
      <c r="J10142" t="str">
        <f t="shared" si="3734"/>
        <v>FL</v>
      </c>
      <c r="K10142" t="str">
        <f>T("000000000000000000")</f>
        <v>000000000000000000</v>
      </c>
      <c r="L10142" t="str">
        <f>T("9042706148")</f>
        <v>9042706148</v>
      </c>
    </row>
    <row r="10143" spans="1:12" x14ac:dyDescent="0.35">
      <c r="A10143" t="str">
        <f t="shared" si="3731"/>
        <v>NAVAL STATION MAYPORT</v>
      </c>
      <c r="B10143" t="str">
        <f>T("BLDG 90 NEW MAINE ST")</f>
        <v>BLDG 90 NEW MAINE ST</v>
      </c>
      <c r="C10143" t="str">
        <f t="shared" si="3732"/>
        <v>NAVSTA MAYPORT</v>
      </c>
      <c r="D10143" t="str">
        <f t="shared" si="3727"/>
        <v>JACKSONVILLE</v>
      </c>
      <c r="E10143" t="str">
        <f t="shared" si="3733"/>
        <v>FL</v>
      </c>
      <c r="F10143" t="str">
        <f>T("322280068")</f>
        <v>322280068</v>
      </c>
      <c r="G10143" t="str">
        <f>T("BLDG 90 NEW MAINE ST")</f>
        <v>BLDG 90 NEW MAINE ST</v>
      </c>
      <c r="H10143" t="str">
        <f>T("NAVSTA MAYPORT")</f>
        <v>NAVSTA MAYPORT</v>
      </c>
      <c r="I10143" t="str">
        <f>T("JACKSONVILLE")</f>
        <v>JACKSONVILLE</v>
      </c>
      <c r="J10143" t="str">
        <f t="shared" si="3734"/>
        <v>FL</v>
      </c>
      <c r="K10143" t="str">
        <f>T("")</f>
        <v/>
      </c>
      <c r="L10143" t="str">
        <f>T("9042706148")</f>
        <v>9042706148</v>
      </c>
    </row>
    <row r="10144" spans="1:12" x14ac:dyDescent="0.35">
      <c r="A10144" t="str">
        <f t="shared" ref="A10144:A10161" si="3737">T("NAS KINGSVILLE")</f>
        <v>NAS KINGSVILLE</v>
      </c>
      <c r="B10144" t="str">
        <f>T("201 NIMITZ AVE STE 21A")</f>
        <v>201 NIMITZ AVE STE 21A</v>
      </c>
      <c r="C10144" t="str">
        <f>T("")</f>
        <v/>
      </c>
      <c r="D10144" t="str">
        <f t="shared" ref="D10144:D10161" si="3738">T("KINGSVILLE")</f>
        <v>KINGSVILLE</v>
      </c>
      <c r="E10144" t="str">
        <f t="shared" ref="E10144:E10161" si="3739">T("TX")</f>
        <v>TX</v>
      </c>
      <c r="F10144" t="str">
        <f>T("783635101")</f>
        <v>783635101</v>
      </c>
      <c r="G10144" t="str">
        <f>T("201 NIMITZ AVE")</f>
        <v>201 NIMITZ AVE</v>
      </c>
      <c r="H10144" t="str">
        <f>T("")</f>
        <v/>
      </c>
      <c r="I10144" t="str">
        <f>T("NAS KINGSVILLE")</f>
        <v>NAS KINGSVILLE</v>
      </c>
      <c r="J10144" t="str">
        <f t="shared" ref="J10144:J10161" si="3740">T("TX")</f>
        <v>TX</v>
      </c>
      <c r="K10144" t="str">
        <f>T("000000000000000000")</f>
        <v>000000000000000000</v>
      </c>
      <c r="L10144" t="str">
        <f>T("3615166470")</f>
        <v>3615166470</v>
      </c>
    </row>
    <row r="10145" spans="1:12" x14ac:dyDescent="0.35">
      <c r="A10145" t="str">
        <f t="shared" si="3737"/>
        <v>NAS KINGSVILLE</v>
      </c>
      <c r="B10145" t="str">
        <f>T("201 NIMITZ AVE STE 21A")</f>
        <v>201 NIMITZ AVE STE 21A</v>
      </c>
      <c r="C10145" t="str">
        <f>T("")</f>
        <v/>
      </c>
      <c r="D10145" t="str">
        <f t="shared" si="3738"/>
        <v>KINGSVILLE</v>
      </c>
      <c r="E10145" t="str">
        <f t="shared" si="3739"/>
        <v>TX</v>
      </c>
      <c r="F10145" t="str">
        <f>T("783635101")</f>
        <v>783635101</v>
      </c>
      <c r="G10145" t="str">
        <f>T("201 NIMITZ AVE STE 21A")</f>
        <v>201 NIMITZ AVE STE 21A</v>
      </c>
      <c r="H10145" t="str">
        <f>T("")</f>
        <v/>
      </c>
      <c r="I10145" t="str">
        <f t="shared" ref="I10145:I10161" si="3741">T("KINGSVILLE")</f>
        <v>KINGSVILLE</v>
      </c>
      <c r="J10145" t="str">
        <f t="shared" si="3740"/>
        <v>TX</v>
      </c>
      <c r="K10145" t="str">
        <f>T("3615166955")</f>
        <v>3615166955</v>
      </c>
      <c r="L10145" t="str">
        <f>T("3615166060")</f>
        <v>3615166060</v>
      </c>
    </row>
    <row r="10146" spans="1:12" x14ac:dyDescent="0.35">
      <c r="A10146" t="str">
        <f t="shared" si="3737"/>
        <v>NAS KINGSVILLE</v>
      </c>
      <c r="B10146" t="str">
        <f>T("311 N MITSCHER AVE")</f>
        <v>311 N MITSCHER AVE</v>
      </c>
      <c r="C10146" t="str">
        <f>T("STE 101")</f>
        <v>STE 101</v>
      </c>
      <c r="D10146" t="str">
        <f t="shared" si="3738"/>
        <v>KINGSVILLE</v>
      </c>
      <c r="E10146" t="str">
        <f t="shared" si="3739"/>
        <v>TX</v>
      </c>
      <c r="F10146" t="str">
        <f>T("783635001")</f>
        <v>783635001</v>
      </c>
      <c r="G10146" t="str">
        <f>T("311 N MITSCHER AVE")</f>
        <v>311 N MITSCHER AVE</v>
      </c>
      <c r="H10146" t="str">
        <f>T("CNRSE")</f>
        <v>CNRSE</v>
      </c>
      <c r="I10146" t="str">
        <f t="shared" si="3741"/>
        <v>KINGSVILLE</v>
      </c>
      <c r="J10146" t="str">
        <f t="shared" si="3740"/>
        <v>TX</v>
      </c>
      <c r="K10146" t="str">
        <f>T("000000000000000000")</f>
        <v>000000000000000000</v>
      </c>
      <c r="L10146" t="str">
        <f>T("9043039553")</f>
        <v>9043039553</v>
      </c>
    </row>
    <row r="10147" spans="1:12" x14ac:dyDescent="0.35">
      <c r="A10147" t="str">
        <f t="shared" si="3737"/>
        <v>NAS KINGSVILLE</v>
      </c>
      <c r="B10147" t="str">
        <f>T("311 N MITSCHER AVE")</f>
        <v>311 N MITSCHER AVE</v>
      </c>
      <c r="C10147" t="str">
        <f>T("STE 101")</f>
        <v>STE 101</v>
      </c>
      <c r="D10147" t="str">
        <f t="shared" si="3738"/>
        <v>KINGSVILLE</v>
      </c>
      <c r="E10147" t="str">
        <f t="shared" si="3739"/>
        <v>TX</v>
      </c>
      <c r="F10147" t="str">
        <f>T("783635001")</f>
        <v>783635001</v>
      </c>
      <c r="G10147" t="str">
        <f>T("311 N MITSCHER AVE")</f>
        <v>311 N MITSCHER AVE</v>
      </c>
      <c r="H10147" t="str">
        <f>T("STE 101")</f>
        <v>STE 101</v>
      </c>
      <c r="I10147" t="str">
        <f t="shared" si="3741"/>
        <v>KINGSVILLE</v>
      </c>
      <c r="J10147" t="str">
        <f t="shared" si="3740"/>
        <v>TX</v>
      </c>
      <c r="K10147" t="str">
        <f>T("3615166935")</f>
        <v>3615166935</v>
      </c>
      <c r="L10147" t="str">
        <f>T("3615166124")</f>
        <v>3615166124</v>
      </c>
    </row>
    <row r="10148" spans="1:12" x14ac:dyDescent="0.35">
      <c r="A10148" t="str">
        <f t="shared" si="3737"/>
        <v>NAS KINGSVILLE</v>
      </c>
      <c r="B10148" t="str">
        <f>T("514 MCCAIN ST")</f>
        <v>514 MCCAIN ST</v>
      </c>
      <c r="C10148" t="str">
        <f>T("STE 310")</f>
        <v>STE 310</v>
      </c>
      <c r="D10148" t="str">
        <f t="shared" si="3738"/>
        <v>KINGSVILLE</v>
      </c>
      <c r="E10148" t="str">
        <f t="shared" si="3739"/>
        <v>TX</v>
      </c>
      <c r="F10148" t="str">
        <f>T("783635054")</f>
        <v>783635054</v>
      </c>
      <c r="G10148" t="str">
        <f>T("514 MCCAIN ST")</f>
        <v>514 MCCAIN ST</v>
      </c>
      <c r="H10148" t="str">
        <f>T("STE 310")</f>
        <v>STE 310</v>
      </c>
      <c r="I10148" t="str">
        <f t="shared" si="3741"/>
        <v>KINGSVILLE</v>
      </c>
      <c r="J10148" t="str">
        <f t="shared" si="3740"/>
        <v>TX</v>
      </c>
      <c r="K10148" t="str">
        <f>T("31651666930")</f>
        <v>31651666930</v>
      </c>
      <c r="L10148" t="str">
        <f>T("3615166288")</f>
        <v>3615166288</v>
      </c>
    </row>
    <row r="10149" spans="1:12" x14ac:dyDescent="0.35">
      <c r="A10149" t="str">
        <f t="shared" si="3737"/>
        <v>NAS KINGSVILLE</v>
      </c>
      <c r="B10149" t="str">
        <f>T("514 MCCAIN ST")</f>
        <v>514 MCCAIN ST</v>
      </c>
      <c r="C10149" t="str">
        <f>T("STE 310")</f>
        <v>STE 310</v>
      </c>
      <c r="D10149" t="str">
        <f t="shared" si="3738"/>
        <v>KINGSVILLE</v>
      </c>
      <c r="E10149" t="str">
        <f t="shared" si="3739"/>
        <v>TX</v>
      </c>
      <c r="F10149" t="str">
        <f>T("783635054")</f>
        <v>783635054</v>
      </c>
      <c r="G10149" t="str">
        <f>T("554 MCCAIN STREET SUITE 310")</f>
        <v>554 MCCAIN STREET SUITE 310</v>
      </c>
      <c r="H10149" t="str">
        <f>T("")</f>
        <v/>
      </c>
      <c r="I10149" t="str">
        <f t="shared" si="3741"/>
        <v>KINGSVILLE</v>
      </c>
      <c r="J10149" t="str">
        <f t="shared" si="3740"/>
        <v>TX</v>
      </c>
      <c r="K10149" t="str">
        <f>T("000000000000000000")</f>
        <v>000000000000000000</v>
      </c>
      <c r="L10149" t="str">
        <f>T("3615166130")</f>
        <v>3615166130</v>
      </c>
    </row>
    <row r="10150" spans="1:12" x14ac:dyDescent="0.35">
      <c r="A10150" t="str">
        <f t="shared" si="3737"/>
        <v>NAS KINGSVILLE</v>
      </c>
      <c r="B10150" t="str">
        <f>T("514 MCCAIN ST")</f>
        <v>514 MCCAIN ST</v>
      </c>
      <c r="C10150" t="str">
        <f>T("STE 310")</f>
        <v>STE 310</v>
      </c>
      <c r="D10150" t="str">
        <f t="shared" si="3738"/>
        <v>KINGSVILLE</v>
      </c>
      <c r="E10150" t="str">
        <f t="shared" si="3739"/>
        <v>TX</v>
      </c>
      <c r="F10150" t="str">
        <f>T("783635054")</f>
        <v>783635054</v>
      </c>
      <c r="G10150" t="str">
        <f>T("554 MCCAIN STREET SUITE 310")</f>
        <v>554 MCCAIN STREET SUITE 310</v>
      </c>
      <c r="H10150" t="str">
        <f>T("")</f>
        <v/>
      </c>
      <c r="I10150" t="str">
        <f t="shared" si="3741"/>
        <v>KINGSVILLE</v>
      </c>
      <c r="J10150" t="str">
        <f t="shared" si="3740"/>
        <v>TX</v>
      </c>
      <c r="K10150" t="str">
        <f>T("000000000000000000")</f>
        <v>000000000000000000</v>
      </c>
      <c r="L10150" t="str">
        <f>T("3615166234")</f>
        <v>3615166234</v>
      </c>
    </row>
    <row r="10151" spans="1:12" x14ac:dyDescent="0.35">
      <c r="A10151" t="str">
        <f t="shared" si="3737"/>
        <v>NAS KINGSVILLE</v>
      </c>
      <c r="B10151" t="str">
        <f>T("554 MCCAIN ST")</f>
        <v>554 MCCAIN ST</v>
      </c>
      <c r="C10151" t="str">
        <f>T("STE 212")</f>
        <v>STE 212</v>
      </c>
      <c r="D10151" t="str">
        <f t="shared" si="3738"/>
        <v>KINGSVILLE</v>
      </c>
      <c r="E10151" t="str">
        <f t="shared" si="3739"/>
        <v>TX</v>
      </c>
      <c r="F10151" t="str">
        <f>T("783635074")</f>
        <v>783635074</v>
      </c>
      <c r="G10151" t="str">
        <f>T("554 MCCAIN ST")</f>
        <v>554 MCCAIN ST</v>
      </c>
      <c r="H10151" t="str">
        <f>T("STE 212")</f>
        <v>STE 212</v>
      </c>
      <c r="I10151" t="str">
        <f t="shared" si="3741"/>
        <v>KINGSVILLE</v>
      </c>
      <c r="J10151" t="str">
        <f t="shared" si="3740"/>
        <v>TX</v>
      </c>
      <c r="K10151" t="str">
        <f>T("3615166901")</f>
        <v>3615166901</v>
      </c>
      <c r="L10151" t="str">
        <f>T("3615166333")</f>
        <v>3615166333</v>
      </c>
    </row>
    <row r="10152" spans="1:12" x14ac:dyDescent="0.35">
      <c r="A10152" t="str">
        <f t="shared" si="3737"/>
        <v>NAS KINGSVILLE</v>
      </c>
      <c r="B10152" t="str">
        <f>T("554 MCCAIN ST")</f>
        <v>554 MCCAIN ST</v>
      </c>
      <c r="C10152" t="str">
        <f>T("STE 212")</f>
        <v>STE 212</v>
      </c>
      <c r="D10152" t="str">
        <f t="shared" si="3738"/>
        <v>KINGSVILLE</v>
      </c>
      <c r="E10152" t="str">
        <f t="shared" si="3739"/>
        <v>TX</v>
      </c>
      <c r="F10152" t="str">
        <f>T("783635074")</f>
        <v>783635074</v>
      </c>
      <c r="G10152" t="str">
        <f>T("NAVOSH OFFICE")</f>
        <v>NAVOSH OFFICE</v>
      </c>
      <c r="H10152" t="str">
        <f>T("554 MCCAIN SUITE 113 NAS")</f>
        <v>554 MCCAIN SUITE 113 NAS</v>
      </c>
      <c r="I10152" t="str">
        <f t="shared" si="3741"/>
        <v>KINGSVILLE</v>
      </c>
      <c r="J10152" t="str">
        <f t="shared" si="3740"/>
        <v>TX</v>
      </c>
      <c r="K10152" t="str">
        <f>T("3615166901")</f>
        <v>3615166901</v>
      </c>
      <c r="L10152" t="str">
        <f>T("3615166297")</f>
        <v>3615166297</v>
      </c>
    </row>
    <row r="10153" spans="1:12" x14ac:dyDescent="0.35">
      <c r="A10153" t="str">
        <f t="shared" si="3737"/>
        <v>NAS KINGSVILLE</v>
      </c>
      <c r="B10153" t="str">
        <f>T("738 FORRESTAL AVE")</f>
        <v>738 FORRESTAL AVE</v>
      </c>
      <c r="C10153" t="str">
        <f>T("")</f>
        <v/>
      </c>
      <c r="D10153" t="str">
        <f t="shared" si="3738"/>
        <v>KINGSVILLE</v>
      </c>
      <c r="E10153" t="str">
        <f t="shared" si="3739"/>
        <v>TX</v>
      </c>
      <c r="F10153" t="str">
        <f>T("783635112")</f>
        <v>783635112</v>
      </c>
      <c r="G10153" t="str">
        <f>T("554 MCCAIN ST")</f>
        <v>554 MCCAIN ST</v>
      </c>
      <c r="H10153" t="str">
        <f>T("")</f>
        <v/>
      </c>
      <c r="I10153" t="str">
        <f t="shared" si="3741"/>
        <v>KINGSVILLE</v>
      </c>
      <c r="J10153" t="str">
        <f t="shared" si="3740"/>
        <v>TX</v>
      </c>
      <c r="K10153" t="str">
        <f>T("000000000000000000")</f>
        <v>000000000000000000</v>
      </c>
      <c r="L10153" t="str">
        <f>T("3615166545")</f>
        <v>3615166545</v>
      </c>
    </row>
    <row r="10154" spans="1:12" x14ac:dyDescent="0.35">
      <c r="A10154" t="str">
        <f t="shared" si="3737"/>
        <v>NAS KINGSVILLE</v>
      </c>
      <c r="B10154" t="str">
        <f>T("738 FORRESTAL AVE")</f>
        <v>738 FORRESTAL AVE</v>
      </c>
      <c r="C10154" t="str">
        <f>T("")</f>
        <v/>
      </c>
      <c r="D10154" t="str">
        <f t="shared" si="3738"/>
        <v>KINGSVILLE</v>
      </c>
      <c r="E10154" t="str">
        <f t="shared" si="3739"/>
        <v>TX</v>
      </c>
      <c r="F10154" t="str">
        <f>T("783635112")</f>
        <v>783635112</v>
      </c>
      <c r="G10154" t="str">
        <f>T("554 MCCAIN STREET BLDG 4728")</f>
        <v>554 MCCAIN STREET BLDG 4728</v>
      </c>
      <c r="H10154" t="str">
        <f>T("")</f>
        <v/>
      </c>
      <c r="I10154" t="str">
        <f t="shared" si="3741"/>
        <v>KINGSVILLE</v>
      </c>
      <c r="J10154" t="str">
        <f t="shared" si="3740"/>
        <v>TX</v>
      </c>
      <c r="K10154" t="str">
        <f>T("000000000000000000")</f>
        <v>000000000000000000</v>
      </c>
      <c r="L10154" t="str">
        <f>T("3615166545")</f>
        <v>3615166545</v>
      </c>
    </row>
    <row r="10155" spans="1:12" x14ac:dyDescent="0.35">
      <c r="A10155" t="str">
        <f t="shared" si="3737"/>
        <v>NAS KINGSVILLE</v>
      </c>
      <c r="B10155" t="str">
        <f>T("738 FORRESTAL AVE")</f>
        <v>738 FORRESTAL AVE</v>
      </c>
      <c r="C10155" t="str">
        <f>T("")</f>
        <v/>
      </c>
      <c r="D10155" t="str">
        <f t="shared" si="3738"/>
        <v>KINGSVILLE</v>
      </c>
      <c r="E10155" t="str">
        <f t="shared" si="3739"/>
        <v>TX</v>
      </c>
      <c r="F10155" t="str">
        <f>T("783635112")</f>
        <v>783635112</v>
      </c>
      <c r="G10155" t="str">
        <f>T("738 FORRESTAL AVE")</f>
        <v>738 FORRESTAL AVE</v>
      </c>
      <c r="H10155" t="str">
        <f>T("")</f>
        <v/>
      </c>
      <c r="I10155" t="str">
        <f t="shared" si="3741"/>
        <v>KINGSVILLE</v>
      </c>
      <c r="J10155" t="str">
        <f t="shared" si="3740"/>
        <v>TX</v>
      </c>
      <c r="K10155" t="str">
        <f>T("3615166562")</f>
        <v>3615166562</v>
      </c>
      <c r="L10155" t="str">
        <f>T("3615164727")</f>
        <v>3615164727</v>
      </c>
    </row>
    <row r="10156" spans="1:12" x14ac:dyDescent="0.35">
      <c r="A10156" t="str">
        <f t="shared" si="3737"/>
        <v>NAS KINGSVILLE</v>
      </c>
      <c r="B10156" t="str">
        <f>T("746 ROSENDAHL ST")</f>
        <v>746 ROSENDAHL ST</v>
      </c>
      <c r="C10156" t="str">
        <f>T("STE 115")</f>
        <v>STE 115</v>
      </c>
      <c r="D10156" t="str">
        <f t="shared" si="3738"/>
        <v>KINGSVILLE</v>
      </c>
      <c r="E10156" t="str">
        <f t="shared" si="3739"/>
        <v>TX</v>
      </c>
      <c r="F10156" t="str">
        <f>T("783635108")</f>
        <v>783635108</v>
      </c>
      <c r="G10156" t="str">
        <f>T("746 ROSENDAHL ST")</f>
        <v>746 ROSENDAHL ST</v>
      </c>
      <c r="H10156" t="str">
        <f>T("STE 115")</f>
        <v>STE 115</v>
      </c>
      <c r="I10156" t="str">
        <f t="shared" si="3741"/>
        <v>KINGSVILLE</v>
      </c>
      <c r="J10156" t="str">
        <f t="shared" si="3740"/>
        <v>TX</v>
      </c>
      <c r="K10156" t="str">
        <f>T("5615166927")</f>
        <v>5615166927</v>
      </c>
      <c r="L10156" t="str">
        <f>T("3615166830")</f>
        <v>3615166830</v>
      </c>
    </row>
    <row r="10157" spans="1:12" x14ac:dyDescent="0.35">
      <c r="A10157" t="str">
        <f t="shared" si="3737"/>
        <v>NAS KINGSVILLE</v>
      </c>
      <c r="B10157" t="str">
        <f>T("746 ROSENDAHL ST")</f>
        <v>746 ROSENDAHL ST</v>
      </c>
      <c r="C10157" t="str">
        <f>T("STE 115")</f>
        <v>STE 115</v>
      </c>
      <c r="D10157" t="str">
        <f t="shared" si="3738"/>
        <v>KINGSVILLE</v>
      </c>
      <c r="E10157" t="str">
        <f t="shared" si="3739"/>
        <v>TX</v>
      </c>
      <c r="F10157" t="str">
        <f>T("783635108")</f>
        <v>783635108</v>
      </c>
      <c r="G10157" t="str">
        <f>T("NAS KINGSVILLE /FFSC")</f>
        <v>NAS KINGSVILLE /FFSC</v>
      </c>
      <c r="H10157" t="str">
        <f>T("746 ROSENDAHL ST")</f>
        <v>746 ROSENDAHL ST</v>
      </c>
      <c r="I10157" t="str">
        <f t="shared" si="3741"/>
        <v>KINGSVILLE</v>
      </c>
      <c r="J10157" t="str">
        <f t="shared" si="3740"/>
        <v>TX</v>
      </c>
      <c r="K10157" t="str">
        <f>T("000000000000000000")</f>
        <v>000000000000000000</v>
      </c>
      <c r="L10157" t="str">
        <f>T("3615166333")</f>
        <v>3615166333</v>
      </c>
    </row>
    <row r="10158" spans="1:12" x14ac:dyDescent="0.35">
      <c r="A10158" t="str">
        <f t="shared" si="3737"/>
        <v>NAS KINGSVILLE</v>
      </c>
      <c r="B10158" t="str">
        <f>T("802 MITSCHER")</f>
        <v>802 MITSCHER</v>
      </c>
      <c r="C10158" t="str">
        <f>T("STE 101")</f>
        <v>STE 101</v>
      </c>
      <c r="D10158" t="str">
        <f t="shared" si="3738"/>
        <v>KINGSVILLE</v>
      </c>
      <c r="E10158" t="str">
        <f t="shared" si="3739"/>
        <v>TX</v>
      </c>
      <c r="F10158" t="str">
        <f>T("783635050")</f>
        <v>783635050</v>
      </c>
      <c r="G10158" t="str">
        <f>T("554 MC CAIN")</f>
        <v>554 MC CAIN</v>
      </c>
      <c r="H10158" t="str">
        <f>T("")</f>
        <v/>
      </c>
      <c r="I10158" t="str">
        <f t="shared" si="3741"/>
        <v>KINGSVILLE</v>
      </c>
      <c r="J10158" t="str">
        <f t="shared" si="3740"/>
        <v>TX</v>
      </c>
      <c r="K10158" t="str">
        <f>T("000000000000000000")</f>
        <v>000000000000000000</v>
      </c>
      <c r="L10158" t="str">
        <f>T("3615166724")</f>
        <v>3615166724</v>
      </c>
    </row>
    <row r="10159" spans="1:12" x14ac:dyDescent="0.35">
      <c r="A10159" t="str">
        <f t="shared" si="3737"/>
        <v>NAS KINGSVILLE</v>
      </c>
      <c r="B10159" t="str">
        <f>T("802 MITSCHER")</f>
        <v>802 MITSCHER</v>
      </c>
      <c r="C10159" t="str">
        <f>T("STE 101")</f>
        <v>STE 101</v>
      </c>
      <c r="D10159" t="str">
        <f t="shared" si="3738"/>
        <v>KINGSVILLE</v>
      </c>
      <c r="E10159" t="str">
        <f t="shared" si="3739"/>
        <v>TX</v>
      </c>
      <c r="F10159" t="str">
        <f>T("783635050")</f>
        <v>783635050</v>
      </c>
      <c r="G10159" t="str">
        <f>T("802 MITSCHER")</f>
        <v>802 MITSCHER</v>
      </c>
      <c r="H10159" t="str">
        <f>T("STE 101")</f>
        <v>STE 101</v>
      </c>
      <c r="I10159" t="str">
        <f t="shared" si="3741"/>
        <v>KINGSVILLE</v>
      </c>
      <c r="J10159" t="str">
        <f t="shared" si="3740"/>
        <v>TX</v>
      </c>
      <c r="K10159" t="str">
        <f>T("5615166135")</f>
        <v>5615166135</v>
      </c>
      <c r="L10159" t="str">
        <f>T("5615168135")</f>
        <v>5615168135</v>
      </c>
    </row>
    <row r="10160" spans="1:12" x14ac:dyDescent="0.35">
      <c r="A10160" t="str">
        <f t="shared" si="3737"/>
        <v>NAS KINGSVILLE</v>
      </c>
      <c r="B10160" t="str">
        <f>T("BLDG 2700 1140 MOFFETT AVE")</f>
        <v>BLDG 2700 1140 MOFFETT AVE</v>
      </c>
      <c r="C10160" t="str">
        <f t="shared" ref="C10160:C10165" si="3742">T("")</f>
        <v/>
      </c>
      <c r="D10160" t="str">
        <f t="shared" si="3738"/>
        <v>KINGSVILLE</v>
      </c>
      <c r="E10160" t="str">
        <f t="shared" si="3739"/>
        <v>TX</v>
      </c>
      <c r="F10160" t="str">
        <f>T("783635029")</f>
        <v>783635029</v>
      </c>
      <c r="G10160" t="str">
        <f>T("506 NIMITZ AVE")</f>
        <v>506 NIMITZ AVE</v>
      </c>
      <c r="H10160" t="str">
        <f>T("")</f>
        <v/>
      </c>
      <c r="I10160" t="str">
        <f t="shared" si="3741"/>
        <v>KINGSVILLE</v>
      </c>
      <c r="J10160" t="str">
        <f t="shared" si="3740"/>
        <v>TX</v>
      </c>
      <c r="K10160" t="str">
        <f>T("000000000000000000")</f>
        <v>000000000000000000</v>
      </c>
      <c r="L10160" t="str">
        <f>T("3615166572")</f>
        <v>3615166572</v>
      </c>
    </row>
    <row r="10161" spans="1:12" x14ac:dyDescent="0.35">
      <c r="A10161" t="str">
        <f t="shared" si="3737"/>
        <v>NAS KINGSVILLE</v>
      </c>
      <c r="B10161" t="str">
        <f>T("BLDG 2700 1140 MOFFETT AVE")</f>
        <v>BLDG 2700 1140 MOFFETT AVE</v>
      </c>
      <c r="C10161" t="str">
        <f t="shared" si="3742"/>
        <v/>
      </c>
      <c r="D10161" t="str">
        <f t="shared" si="3738"/>
        <v>KINGSVILLE</v>
      </c>
      <c r="E10161" t="str">
        <f t="shared" si="3739"/>
        <v>TX</v>
      </c>
      <c r="F10161" t="str">
        <f>T("783635029")</f>
        <v>783635029</v>
      </c>
      <c r="G10161" t="str">
        <f>T("BLDG 2700 1140 MOFFETT AVE")</f>
        <v>BLDG 2700 1140 MOFFETT AVE</v>
      </c>
      <c r="H10161" t="str">
        <f>T("")</f>
        <v/>
      </c>
      <c r="I10161" t="str">
        <f t="shared" si="3741"/>
        <v>KINGSVILLE</v>
      </c>
      <c r="J10161" t="str">
        <f t="shared" si="3740"/>
        <v>TX</v>
      </c>
      <c r="K10161" t="str">
        <f>T("3615166428")</f>
        <v>3615166428</v>
      </c>
      <c r="L10161" t="str">
        <f>T("3615166504")</f>
        <v>3615166504</v>
      </c>
    </row>
    <row r="10162" spans="1:12" x14ac:dyDescent="0.35">
      <c r="A10162" t="str">
        <f t="shared" ref="A10162:A10172" si="3743">T("NAS WHITING FIELD")</f>
        <v>NAS WHITING FIELD</v>
      </c>
      <c r="B10162" t="str">
        <f>T("7550 USS ESSEX ST")</f>
        <v>7550 USS ESSEX ST</v>
      </c>
      <c r="C10162" t="str">
        <f t="shared" si="3742"/>
        <v/>
      </c>
      <c r="D10162" t="str">
        <f t="shared" ref="D10162:D10172" si="3744">T("MILTON")</f>
        <v>MILTON</v>
      </c>
      <c r="E10162" t="str">
        <f t="shared" ref="E10162:E10196" si="3745">T("FL")</f>
        <v>FL</v>
      </c>
      <c r="F10162" t="str">
        <f>T("325706114")</f>
        <v>325706114</v>
      </c>
      <c r="G10162" t="str">
        <f>T("7550 USS ESSEX ST")</f>
        <v>7550 USS ESSEX ST</v>
      </c>
      <c r="H10162" t="str">
        <f>T("")</f>
        <v/>
      </c>
      <c r="I10162" t="str">
        <f>T("MILTON")</f>
        <v>MILTON</v>
      </c>
      <c r="J10162" t="str">
        <f t="shared" ref="J10162:J10196" si="3746">T("FL")</f>
        <v>FL</v>
      </c>
      <c r="K10162" t="str">
        <f>T("000000000000000000")</f>
        <v>000000000000000000</v>
      </c>
      <c r="L10162" t="str">
        <f>T("8506237624")</f>
        <v>8506237624</v>
      </c>
    </row>
    <row r="10163" spans="1:12" x14ac:dyDescent="0.35">
      <c r="A10163" t="str">
        <f t="shared" si="3743"/>
        <v>NAS WHITING FIELD</v>
      </c>
      <c r="B10163" t="str">
        <f>T("7550 USS ESSEX ST")</f>
        <v>7550 USS ESSEX ST</v>
      </c>
      <c r="C10163" t="str">
        <f t="shared" si="3742"/>
        <v/>
      </c>
      <c r="D10163" t="str">
        <f t="shared" si="3744"/>
        <v>MILTON</v>
      </c>
      <c r="E10163" t="str">
        <f t="shared" si="3745"/>
        <v>FL</v>
      </c>
      <c r="F10163" t="str">
        <f>T("325706114")</f>
        <v>325706114</v>
      </c>
      <c r="G10163" t="str">
        <f>T("7550 USS ESSEX ST")</f>
        <v>7550 USS ESSEX ST</v>
      </c>
      <c r="H10163" t="str">
        <f>T("")</f>
        <v/>
      </c>
      <c r="I10163" t="str">
        <f>T("PACE")</f>
        <v>PACE</v>
      </c>
      <c r="J10163" t="str">
        <f t="shared" si="3746"/>
        <v>FL</v>
      </c>
      <c r="K10163" t="str">
        <f>T("8506237625")</f>
        <v>8506237625</v>
      </c>
      <c r="L10163" t="str">
        <f>T("8506237201")</f>
        <v>8506237201</v>
      </c>
    </row>
    <row r="10164" spans="1:12" x14ac:dyDescent="0.35">
      <c r="A10164" t="str">
        <f t="shared" si="3743"/>
        <v>NAS WHITING FIELD</v>
      </c>
      <c r="B10164" t="str">
        <f>T("7550 USS ESSEX ST STE 106")</f>
        <v>7550 USS ESSEX ST STE 106</v>
      </c>
      <c r="C10164" t="str">
        <f t="shared" si="3742"/>
        <v/>
      </c>
      <c r="D10164" t="str">
        <f t="shared" si="3744"/>
        <v>MILTON</v>
      </c>
      <c r="E10164" t="str">
        <f t="shared" si="3745"/>
        <v>FL</v>
      </c>
      <c r="F10164" t="str">
        <f>T("325706114")</f>
        <v>325706114</v>
      </c>
      <c r="G10164" t="str">
        <f>T("7077 USS LEXINGTON CT")</f>
        <v>7077 USS LEXINGTON CT</v>
      </c>
      <c r="H10164" t="str">
        <f>T("OPERATIONS DEPT")</f>
        <v>OPERATIONS DEPT</v>
      </c>
      <c r="I10164" t="str">
        <f t="shared" ref="I10164:I10172" si="3747">T("MILTON")</f>
        <v>MILTON</v>
      </c>
      <c r="J10164" t="str">
        <f t="shared" si="3746"/>
        <v>FL</v>
      </c>
      <c r="K10164" t="str">
        <f>T("8506237317")</f>
        <v>8506237317</v>
      </c>
      <c r="L10164" t="str">
        <f>T("8506237393")</f>
        <v>8506237393</v>
      </c>
    </row>
    <row r="10165" spans="1:12" x14ac:dyDescent="0.35">
      <c r="A10165" t="str">
        <f t="shared" si="3743"/>
        <v>NAS WHITING FIELD</v>
      </c>
      <c r="B10165" t="str">
        <f>T("7550 USS ESSEX ST STE 106")</f>
        <v>7550 USS ESSEX ST STE 106</v>
      </c>
      <c r="C10165" t="str">
        <f t="shared" si="3742"/>
        <v/>
      </c>
      <c r="D10165" t="str">
        <f t="shared" si="3744"/>
        <v>MILTON</v>
      </c>
      <c r="E10165" t="str">
        <f t="shared" si="3745"/>
        <v>FL</v>
      </c>
      <c r="F10165" t="str">
        <f>T("325706114")</f>
        <v>325706114</v>
      </c>
      <c r="G10165" t="str">
        <f>T("7550 USS ESSEX ST STE 106")</f>
        <v>7550 USS ESSEX ST STE 106</v>
      </c>
      <c r="H10165" t="str">
        <f>T("")</f>
        <v/>
      </c>
      <c r="I10165" t="str">
        <f t="shared" si="3747"/>
        <v>MILTON</v>
      </c>
      <c r="J10165" t="str">
        <f t="shared" si="3746"/>
        <v>FL</v>
      </c>
      <c r="K10165" t="str">
        <f>T("000000000000000000")</f>
        <v>000000000000000000</v>
      </c>
      <c r="L10165" t="str">
        <f>T("8506656130")</f>
        <v>8506656130</v>
      </c>
    </row>
    <row r="10166" spans="1:12" x14ac:dyDescent="0.35">
      <c r="A10166" t="str">
        <f t="shared" si="3743"/>
        <v>NAS WHITING FIELD</v>
      </c>
      <c r="B10166" t="str">
        <f>T("FFSC")</f>
        <v>FFSC</v>
      </c>
      <c r="C10166" t="str">
        <f>T("7077 USS LEXINGTON CT")</f>
        <v>7077 USS LEXINGTON CT</v>
      </c>
      <c r="D10166" t="str">
        <f t="shared" si="3744"/>
        <v>MILTON</v>
      </c>
      <c r="E10166" t="str">
        <f t="shared" si="3745"/>
        <v>FL</v>
      </c>
      <c r="F10166" t="str">
        <f>T("325706007")</f>
        <v>325706007</v>
      </c>
      <c r="G10166" t="str">
        <f>T("7511 USS ENTERPRISE STREET")</f>
        <v>7511 USS ENTERPRISE STREET</v>
      </c>
      <c r="H10166" t="str">
        <f>T("BLDG 3025")</f>
        <v>BLDG 3025</v>
      </c>
      <c r="I10166" t="str">
        <f t="shared" si="3747"/>
        <v>MILTON</v>
      </c>
      <c r="J10166" t="str">
        <f t="shared" si="3746"/>
        <v>FL</v>
      </c>
      <c r="K10166" t="str">
        <f>T("8506237735")</f>
        <v>8506237735</v>
      </c>
      <c r="L10166" t="str">
        <f>T("8506237177")</f>
        <v>8506237177</v>
      </c>
    </row>
    <row r="10167" spans="1:12" x14ac:dyDescent="0.35">
      <c r="A10167" t="str">
        <f t="shared" si="3743"/>
        <v>NAS WHITING FIELD</v>
      </c>
      <c r="B10167" t="str">
        <f>T("FFSC")</f>
        <v>FFSC</v>
      </c>
      <c r="C10167" t="str">
        <f>T("7077 USS LEXINGTON CT")</f>
        <v>7077 USS LEXINGTON CT</v>
      </c>
      <c r="D10167" t="str">
        <f t="shared" si="3744"/>
        <v>MILTON</v>
      </c>
      <c r="E10167" t="str">
        <f t="shared" si="3745"/>
        <v>FL</v>
      </c>
      <c r="F10167" t="str">
        <f>T("325706007")</f>
        <v>325706007</v>
      </c>
      <c r="G10167" t="str">
        <f>T("FFSC")</f>
        <v>FFSC</v>
      </c>
      <c r="H10167" t="str">
        <f>T("7077 USS LEXINGTON CT")</f>
        <v>7077 USS LEXINGTON CT</v>
      </c>
      <c r="I10167" t="str">
        <f t="shared" si="3747"/>
        <v>MILTON</v>
      </c>
      <c r="J10167" t="str">
        <f t="shared" si="3746"/>
        <v>FL</v>
      </c>
      <c r="K10167" t="str">
        <f>T("000000000000000000")</f>
        <v>000000000000000000</v>
      </c>
      <c r="L10167" t="str">
        <f>T("8506237329")</f>
        <v>8506237329</v>
      </c>
    </row>
    <row r="10168" spans="1:12" x14ac:dyDescent="0.35">
      <c r="A10168" t="str">
        <f t="shared" si="3743"/>
        <v>NAS WHITING FIELD</v>
      </c>
      <c r="B10168" t="str">
        <f>T("PUBLIC WORK DEPT")</f>
        <v>PUBLIC WORK DEPT</v>
      </c>
      <c r="C10168" t="str">
        <f>T("7183 LANGLEY ST BLDG 1416")</f>
        <v>7183 LANGLEY ST BLDG 1416</v>
      </c>
      <c r="D10168" t="str">
        <f t="shared" si="3744"/>
        <v>MILTON</v>
      </c>
      <c r="E10168" t="str">
        <f t="shared" si="3745"/>
        <v>FL</v>
      </c>
      <c r="F10168" t="str">
        <f>T("325706105")</f>
        <v>325706105</v>
      </c>
      <c r="G10168" t="str">
        <f>T("7183 LANGLEY ST BLDG 1416")</f>
        <v>7183 LANGLEY ST BLDG 1416</v>
      </c>
      <c r="H10168" t="str">
        <f>T("")</f>
        <v/>
      </c>
      <c r="I10168" t="str">
        <f t="shared" si="3747"/>
        <v>MILTON</v>
      </c>
      <c r="J10168" t="str">
        <f t="shared" si="3746"/>
        <v>FL</v>
      </c>
      <c r="K10168" t="str">
        <f>T("8506237477")</f>
        <v>8506237477</v>
      </c>
      <c r="L10168" t="str">
        <f>T("8506237916")</f>
        <v>8506237916</v>
      </c>
    </row>
    <row r="10169" spans="1:12" x14ac:dyDescent="0.35">
      <c r="A10169" t="str">
        <f t="shared" si="3743"/>
        <v>NAS WHITING FIELD</v>
      </c>
      <c r="B10169" t="str">
        <f>T("PUBLIC WORK DEPT")</f>
        <v>PUBLIC WORK DEPT</v>
      </c>
      <c r="C10169" t="str">
        <f>T("7183 LANGLEY ST BLDG 1416")</f>
        <v>7183 LANGLEY ST BLDG 1416</v>
      </c>
      <c r="D10169" t="str">
        <f t="shared" si="3744"/>
        <v>MILTON</v>
      </c>
      <c r="E10169" t="str">
        <f t="shared" si="3745"/>
        <v>FL</v>
      </c>
      <c r="F10169" t="str">
        <f>T("325706105")</f>
        <v>325706105</v>
      </c>
      <c r="G10169" t="str">
        <f>T("PUBLIC WORK DEPT")</f>
        <v>PUBLIC WORK DEPT</v>
      </c>
      <c r="H10169" t="str">
        <f>T("7183 LANGLEY ST BLDG 1416")</f>
        <v>7183 LANGLEY ST BLDG 1416</v>
      </c>
      <c r="I10169" t="str">
        <f t="shared" si="3747"/>
        <v>MILTON</v>
      </c>
      <c r="J10169" t="str">
        <f t="shared" si="3746"/>
        <v>FL</v>
      </c>
      <c r="K10169" t="str">
        <f>T("8506237477")</f>
        <v>8506237477</v>
      </c>
      <c r="L10169" t="str">
        <f>T("8506237673")</f>
        <v>8506237673</v>
      </c>
    </row>
    <row r="10170" spans="1:12" x14ac:dyDescent="0.35">
      <c r="A10170" t="str">
        <f t="shared" si="3743"/>
        <v>NAS WHITING FIELD</v>
      </c>
      <c r="B10170" t="str">
        <f>T("SECURITY DEPT")</f>
        <v>SECURITY DEPT</v>
      </c>
      <c r="C10170" t="str">
        <f>T("7511 USS ENTERPRISE ST STE 109A")</f>
        <v>7511 USS ENTERPRISE ST STE 109A</v>
      </c>
      <c r="D10170" t="str">
        <f t="shared" si="3744"/>
        <v>MILTON</v>
      </c>
      <c r="E10170" t="str">
        <f t="shared" si="3745"/>
        <v>FL</v>
      </c>
      <c r="F10170" t="str">
        <f>T("325706001")</f>
        <v>325706001</v>
      </c>
      <c r="G10170" t="str">
        <f>T("7501 USS ENTERPRISE ST")</f>
        <v>7501 USS ENTERPRISE ST</v>
      </c>
      <c r="H10170" t="str">
        <f>T("")</f>
        <v/>
      </c>
      <c r="I10170" t="str">
        <f t="shared" si="3747"/>
        <v>MILTON</v>
      </c>
      <c r="J10170" t="str">
        <f t="shared" si="3746"/>
        <v>FL</v>
      </c>
      <c r="K10170" t="str">
        <f>T("000000000000000000")</f>
        <v>000000000000000000</v>
      </c>
      <c r="L10170" t="str">
        <f>T("8506237694")</f>
        <v>8506237694</v>
      </c>
    </row>
    <row r="10171" spans="1:12" x14ac:dyDescent="0.35">
      <c r="A10171" t="str">
        <f t="shared" si="3743"/>
        <v>NAS WHITING FIELD</v>
      </c>
      <c r="B10171" t="str">
        <f>T("SECURITY DEPT")</f>
        <v>SECURITY DEPT</v>
      </c>
      <c r="C10171" t="str">
        <f>T("7511 USS ENTERPRISE ST STE 109A")</f>
        <v>7511 USS ENTERPRISE ST STE 109A</v>
      </c>
      <c r="D10171" t="str">
        <f t="shared" si="3744"/>
        <v>MILTON</v>
      </c>
      <c r="E10171" t="str">
        <f t="shared" si="3745"/>
        <v>FL</v>
      </c>
      <c r="F10171" t="str">
        <f>T("325706001")</f>
        <v>325706001</v>
      </c>
      <c r="G10171" t="str">
        <f>T("7501 USS ENTERPRISE ST STE 109C")</f>
        <v>7501 USS ENTERPRISE ST STE 109C</v>
      </c>
      <c r="H10171" t="str">
        <f>T("")</f>
        <v/>
      </c>
      <c r="I10171" t="str">
        <f t="shared" si="3747"/>
        <v>MILTON</v>
      </c>
      <c r="J10171" t="str">
        <f t="shared" si="3746"/>
        <v>FL</v>
      </c>
      <c r="K10171" t="str">
        <f>T("8506237123")</f>
        <v>8506237123</v>
      </c>
      <c r="L10171" t="str">
        <f>T("8506237374")</f>
        <v>8506237374</v>
      </c>
    </row>
    <row r="10172" spans="1:12" x14ac:dyDescent="0.35">
      <c r="A10172" t="str">
        <f t="shared" si="3743"/>
        <v>NAS WHITING FIELD</v>
      </c>
      <c r="B10172" t="str">
        <f>T("SECURITY DEPT")</f>
        <v>SECURITY DEPT</v>
      </c>
      <c r="C10172" t="str">
        <f>T("7511 USS ENTERPRISE ST STE 109A")</f>
        <v>7511 USS ENTERPRISE ST STE 109A</v>
      </c>
      <c r="D10172" t="str">
        <f t="shared" si="3744"/>
        <v>MILTON</v>
      </c>
      <c r="E10172" t="str">
        <f t="shared" si="3745"/>
        <v>FL</v>
      </c>
      <c r="F10172" t="str">
        <f>T("325706001")</f>
        <v>325706001</v>
      </c>
      <c r="G10172" t="str">
        <f>T("SECURITY DEPT")</f>
        <v>SECURITY DEPT</v>
      </c>
      <c r="H10172" t="str">
        <f>T("7511 USS ENTERPRISE ST STE 109A")</f>
        <v>7511 USS ENTERPRISE ST STE 109A</v>
      </c>
      <c r="I10172" t="str">
        <f t="shared" si="3747"/>
        <v>MILTON</v>
      </c>
      <c r="J10172" t="str">
        <f t="shared" si="3746"/>
        <v>FL</v>
      </c>
      <c r="K10172" t="str">
        <f>T("000000000000000000")</f>
        <v>000000000000000000</v>
      </c>
      <c r="L10172" t="str">
        <f>T("8506237835")</f>
        <v>8506237835</v>
      </c>
    </row>
    <row r="10173" spans="1:12" x14ac:dyDescent="0.35">
      <c r="A10173" t="str">
        <f>T("NAVSUPACT ORLANDO")</f>
        <v>NAVSUPACT ORLANDO</v>
      </c>
      <c r="B10173" t="str">
        <f>T("12211 SCIENCE DR")</f>
        <v>12211 SCIENCE DR</v>
      </c>
      <c r="C10173" t="str">
        <f>T("")</f>
        <v/>
      </c>
      <c r="D10173" t="str">
        <f>T("ORLANDO")</f>
        <v>ORLANDO</v>
      </c>
      <c r="E10173" t="str">
        <f t="shared" si="3745"/>
        <v>FL</v>
      </c>
      <c r="F10173" t="str">
        <f>T("328263266")</f>
        <v>328263266</v>
      </c>
      <c r="G10173" t="str">
        <f>T("12211 SCIENCE DR")</f>
        <v>12211 SCIENCE DR</v>
      </c>
      <c r="H10173" t="str">
        <f>T("")</f>
        <v/>
      </c>
      <c r="I10173" t="str">
        <f>T("ORLANDO")</f>
        <v>ORLANDO</v>
      </c>
      <c r="J10173" t="str">
        <f t="shared" si="3746"/>
        <v>FL</v>
      </c>
      <c r="K10173" t="str">
        <f>T("4073818624")</f>
        <v>4073818624</v>
      </c>
      <c r="L10173" t="str">
        <f>T("4073804430")</f>
        <v>4073804430</v>
      </c>
    </row>
    <row r="10174" spans="1:12" x14ac:dyDescent="0.35">
      <c r="A10174" t="str">
        <f>T("NAVSUPACT ORLANDO")</f>
        <v>NAVSUPACT ORLANDO</v>
      </c>
      <c r="B10174" t="str">
        <f>T("12211 SCIENCE DR")</f>
        <v>12211 SCIENCE DR</v>
      </c>
      <c r="C10174" t="str">
        <f>T("")</f>
        <v/>
      </c>
      <c r="D10174" t="str">
        <f>T("ORLANDO")</f>
        <v>ORLANDO</v>
      </c>
      <c r="E10174" t="str">
        <f t="shared" si="3745"/>
        <v>FL</v>
      </c>
      <c r="F10174" t="str">
        <f>T("328263266")</f>
        <v>328263266</v>
      </c>
      <c r="G10174" t="str">
        <f>T("12350 RESEARCH PARKWAY")</f>
        <v>12350 RESEARCH PARKWAY</v>
      </c>
      <c r="H10174" t="str">
        <f>T("")</f>
        <v/>
      </c>
      <c r="I10174" t="str">
        <f>T("ORLANDO")</f>
        <v>ORLANDO</v>
      </c>
      <c r="J10174" t="str">
        <f t="shared" si="3746"/>
        <v>FL</v>
      </c>
      <c r="K10174" t="str">
        <f>T("000000000000000000")</f>
        <v>000000000000000000</v>
      </c>
      <c r="L10174" t="str">
        <f>T("4073808541")</f>
        <v>4073808541</v>
      </c>
    </row>
    <row r="10175" spans="1:12" x14ac:dyDescent="0.35">
      <c r="A10175" t="str">
        <f>T("NAVSUPACT ORLANDO")</f>
        <v>NAVSUPACT ORLANDO</v>
      </c>
      <c r="B10175" t="str">
        <f>T("12350 RESEARCH PARKWAY")</f>
        <v>12350 RESEARCH PARKWAY</v>
      </c>
      <c r="C10175" t="str">
        <f>T("2ND FLOOR RM 2172 PWD OFFICE")</f>
        <v>2ND FLOOR RM 2172 PWD OFFICE</v>
      </c>
      <c r="D10175" t="str">
        <f>T("ORLANDO")</f>
        <v>ORLANDO</v>
      </c>
      <c r="E10175" t="str">
        <f t="shared" si="3745"/>
        <v>FL</v>
      </c>
      <c r="F10175" t="str">
        <f>T("328262942")</f>
        <v>328262942</v>
      </c>
      <c r="G10175" t="str">
        <f>T("12350 RESEARCH PARKWAY")</f>
        <v>12350 RESEARCH PARKWAY</v>
      </c>
      <c r="H10175" t="str">
        <f>T("2ND FLOOR RM 2172 PWD OFFICE")</f>
        <v>2ND FLOOR RM 2172 PWD OFFICE</v>
      </c>
      <c r="I10175" t="str">
        <f>T("ORLANDO")</f>
        <v>ORLANDO</v>
      </c>
      <c r="J10175" t="str">
        <f t="shared" si="3746"/>
        <v>FL</v>
      </c>
      <c r="K10175" t="str">
        <f>T("000000000000000000")</f>
        <v>000000000000000000</v>
      </c>
      <c r="L10175" t="str">
        <f>T("4073808033")</f>
        <v>4073808033</v>
      </c>
    </row>
    <row r="10176" spans="1:12" x14ac:dyDescent="0.35">
      <c r="A10176" t="str">
        <f>T("NAVSUPACT ORLANDO")</f>
        <v>NAVSUPACT ORLANDO</v>
      </c>
      <c r="B10176" t="str">
        <f>T("12350 RESEARCH PARKWAY")</f>
        <v>12350 RESEARCH PARKWAY</v>
      </c>
      <c r="C10176" t="str">
        <f>T("2ND FLOOR RM 2172 PWD OFFICE")</f>
        <v>2ND FLOOR RM 2172 PWD OFFICE</v>
      </c>
      <c r="D10176" t="str">
        <f>T("ORLANDO")</f>
        <v>ORLANDO</v>
      </c>
      <c r="E10176" t="str">
        <f t="shared" si="3745"/>
        <v>FL</v>
      </c>
      <c r="F10176" t="str">
        <f>T("328262942")</f>
        <v>328262942</v>
      </c>
      <c r="G10176" t="str">
        <f>T("12350 RESEARCH PARKWAY")</f>
        <v>12350 RESEARCH PARKWAY</v>
      </c>
      <c r="H10176" t="str">
        <f>T("2ND FLOOR RM 2172 PWD OFFICE")</f>
        <v>2ND FLOOR RM 2172 PWD OFFICE</v>
      </c>
      <c r="I10176" t="str">
        <f>T("ORLANDO")</f>
        <v>ORLANDO</v>
      </c>
      <c r="J10176" t="str">
        <f t="shared" si="3746"/>
        <v>FL</v>
      </c>
      <c r="K10176" t="str">
        <f>T("000000000000000000")</f>
        <v>000000000000000000</v>
      </c>
      <c r="L10176" t="str">
        <f>T("4073808281")</f>
        <v>4073808281</v>
      </c>
    </row>
    <row r="10177" spans="1:12" x14ac:dyDescent="0.35">
      <c r="A10177" t="str">
        <f t="shared" ref="A10177:A10196" si="3748">T("NAVSUPACT PANAMA CITY")</f>
        <v>NAVSUPACT PANAMA CITY</v>
      </c>
      <c r="B10177" t="str">
        <f t="shared" ref="B10177:B10186" si="3749">T("101 VERNON AVE")</f>
        <v>101 VERNON AVE</v>
      </c>
      <c r="C10177" t="str">
        <f>T("")</f>
        <v/>
      </c>
      <c r="D10177" t="str">
        <f>T("P C BEACH")</f>
        <v>P C BEACH</v>
      </c>
      <c r="E10177" t="str">
        <f t="shared" si="3745"/>
        <v>FL</v>
      </c>
      <c r="F10177" t="str">
        <f t="shared" ref="F10177:F10196" si="3750">T("324077018")</f>
        <v>324077018</v>
      </c>
      <c r="G10177" t="str">
        <f t="shared" ref="G10177:G10185" si="3751">T("101 VERNON AVE")</f>
        <v>101 VERNON AVE</v>
      </c>
      <c r="H10177" t="str">
        <f>T("")</f>
        <v/>
      </c>
      <c r="I10177" t="str">
        <f>T("P C BEACH")</f>
        <v>P C BEACH</v>
      </c>
      <c r="J10177" t="str">
        <f t="shared" si="3746"/>
        <v>FL</v>
      </c>
      <c r="K10177" t="str">
        <f>T("")</f>
        <v/>
      </c>
      <c r="L10177" t="str">
        <f>T("8502344731")</f>
        <v>8502344731</v>
      </c>
    </row>
    <row r="10178" spans="1:12" x14ac:dyDescent="0.35">
      <c r="A10178" t="str">
        <f t="shared" si="3748"/>
        <v>NAVSUPACT PANAMA CITY</v>
      </c>
      <c r="B10178" t="str">
        <f t="shared" si="3749"/>
        <v>101 VERNON AVE</v>
      </c>
      <c r="C10178" t="str">
        <f>T("")</f>
        <v/>
      </c>
      <c r="D10178" t="str">
        <f>T("P C BEACH")</f>
        <v>P C BEACH</v>
      </c>
      <c r="E10178" t="str">
        <f t="shared" si="3745"/>
        <v>FL</v>
      </c>
      <c r="F10178" t="str">
        <f t="shared" si="3750"/>
        <v>324077018</v>
      </c>
      <c r="G10178" t="str">
        <f t="shared" si="3751"/>
        <v>101 VERNON AVE</v>
      </c>
      <c r="H10178" t="str">
        <f>T("")</f>
        <v/>
      </c>
      <c r="I10178" t="str">
        <f>T("P C BEACH")</f>
        <v>P C BEACH</v>
      </c>
      <c r="J10178" t="str">
        <f t="shared" si="3746"/>
        <v>FL</v>
      </c>
      <c r="K10178" t="str">
        <f>T("")</f>
        <v/>
      </c>
      <c r="L10178" t="str">
        <f>T("8502355691")</f>
        <v>8502355691</v>
      </c>
    </row>
    <row r="10179" spans="1:12" x14ac:dyDescent="0.35">
      <c r="A10179" t="str">
        <f t="shared" si="3748"/>
        <v>NAVSUPACT PANAMA CITY</v>
      </c>
      <c r="B10179" t="str">
        <f t="shared" si="3749"/>
        <v>101 VERNON AVE</v>
      </c>
      <c r="C10179" t="str">
        <f>T("")</f>
        <v/>
      </c>
      <c r="D10179" t="str">
        <f>T("P C BEACH")</f>
        <v>P C BEACH</v>
      </c>
      <c r="E10179" t="str">
        <f t="shared" si="3745"/>
        <v>FL</v>
      </c>
      <c r="F10179" t="str">
        <f t="shared" si="3750"/>
        <v>324077018</v>
      </c>
      <c r="G10179" t="str">
        <f t="shared" si="3751"/>
        <v>101 VERNON AVE</v>
      </c>
      <c r="H10179" t="str">
        <f>T("")</f>
        <v/>
      </c>
      <c r="I10179" t="str">
        <f>T("PANAMA CITY")</f>
        <v>PANAMA CITY</v>
      </c>
      <c r="J10179" t="str">
        <f t="shared" si="3746"/>
        <v>FL</v>
      </c>
      <c r="K10179" t="str">
        <f>T("000000000000000000")</f>
        <v>000000000000000000</v>
      </c>
      <c r="L10179" t="str">
        <f>T("8502355592")</f>
        <v>8502355592</v>
      </c>
    </row>
    <row r="10180" spans="1:12" x14ac:dyDescent="0.35">
      <c r="A10180" t="str">
        <f t="shared" si="3748"/>
        <v>NAVSUPACT PANAMA CITY</v>
      </c>
      <c r="B10180" t="str">
        <f t="shared" si="3749"/>
        <v>101 VERNON AVE</v>
      </c>
      <c r="C10180" t="str">
        <f>T("")</f>
        <v/>
      </c>
      <c r="D10180" t="str">
        <f>T("PANAMA CITY")</f>
        <v>PANAMA CITY</v>
      </c>
      <c r="E10180" t="str">
        <f t="shared" si="3745"/>
        <v>FL</v>
      </c>
      <c r="F10180" t="str">
        <f t="shared" si="3750"/>
        <v>324077018</v>
      </c>
      <c r="G10180" t="str">
        <f t="shared" si="3751"/>
        <v>101 VERNON AVE</v>
      </c>
      <c r="H10180" t="str">
        <f>T("")</f>
        <v/>
      </c>
      <c r="I10180" t="str">
        <f>T("PANAMA CITY")</f>
        <v>PANAMA CITY</v>
      </c>
      <c r="J10180" t="str">
        <f t="shared" si="3746"/>
        <v>FL</v>
      </c>
      <c r="K10180" t="str">
        <f>T("")</f>
        <v/>
      </c>
      <c r="L10180" t="str">
        <f>T("8502307147")</f>
        <v>8502307147</v>
      </c>
    </row>
    <row r="10181" spans="1:12" x14ac:dyDescent="0.35">
      <c r="A10181" t="str">
        <f t="shared" si="3748"/>
        <v>NAVSUPACT PANAMA CITY</v>
      </c>
      <c r="B10181" t="str">
        <f t="shared" si="3749"/>
        <v>101 VERNON AVE</v>
      </c>
      <c r="C10181" t="str">
        <f>T("")</f>
        <v/>
      </c>
      <c r="D10181" t="str">
        <f>T("PANAMA CITY")</f>
        <v>PANAMA CITY</v>
      </c>
      <c r="E10181" t="str">
        <f t="shared" si="3745"/>
        <v>FL</v>
      </c>
      <c r="F10181" t="str">
        <f t="shared" si="3750"/>
        <v>324077018</v>
      </c>
      <c r="G10181" t="str">
        <f t="shared" si="3751"/>
        <v>101 VERNON AVE</v>
      </c>
      <c r="H10181" t="str">
        <f>T("")</f>
        <v/>
      </c>
      <c r="I10181" t="str">
        <f>T("PANAMA CITY")</f>
        <v>PANAMA CITY</v>
      </c>
      <c r="J10181" t="str">
        <f t="shared" si="3746"/>
        <v>FL</v>
      </c>
      <c r="K10181" t="str">
        <f>T("000000000000000000")</f>
        <v>000000000000000000</v>
      </c>
      <c r="L10181" t="str">
        <f>T("8502344449")</f>
        <v>8502344449</v>
      </c>
    </row>
    <row r="10182" spans="1:12" x14ac:dyDescent="0.35">
      <c r="A10182" t="str">
        <f t="shared" si="3748"/>
        <v>NAVSUPACT PANAMA CITY</v>
      </c>
      <c r="B10182" t="str">
        <f t="shared" si="3749"/>
        <v>101 VERNON AVE</v>
      </c>
      <c r="C10182" t="str">
        <f>T("BLDG 304")</f>
        <v>BLDG 304</v>
      </c>
      <c r="D10182" t="str">
        <f>T("PANAMA CITY")</f>
        <v>PANAMA CITY</v>
      </c>
      <c r="E10182" t="str">
        <f t="shared" si="3745"/>
        <v>FL</v>
      </c>
      <c r="F10182" t="str">
        <f t="shared" si="3750"/>
        <v>324077018</v>
      </c>
      <c r="G10182" t="str">
        <f t="shared" si="3751"/>
        <v>101 VERNON AVE</v>
      </c>
      <c r="H10182" t="str">
        <f>T("BLDG 304")</f>
        <v>BLDG 304</v>
      </c>
      <c r="I10182" t="str">
        <f>T("PANAMA CITY")</f>
        <v>PANAMA CITY</v>
      </c>
      <c r="J10182" t="str">
        <f t="shared" si="3746"/>
        <v>FL</v>
      </c>
      <c r="K10182" t="str">
        <f>T("000000000000000000")</f>
        <v>000000000000000000</v>
      </c>
      <c r="L10182" t="str">
        <f>T("8502355510")</f>
        <v>8502355510</v>
      </c>
    </row>
    <row r="10183" spans="1:12" x14ac:dyDescent="0.35">
      <c r="A10183" t="str">
        <f t="shared" si="3748"/>
        <v>NAVSUPACT PANAMA CITY</v>
      </c>
      <c r="B10183" t="str">
        <f t="shared" si="3749"/>
        <v>101 VERNON AVE</v>
      </c>
      <c r="C10183" t="str">
        <f>T("N01")</f>
        <v>N01</v>
      </c>
      <c r="D10183" t="str">
        <f>T("PANAMA CITY BEACH")</f>
        <v>PANAMA CITY BEACH</v>
      </c>
      <c r="E10183" t="str">
        <f t="shared" si="3745"/>
        <v>FL</v>
      </c>
      <c r="F10183" t="str">
        <f t="shared" si="3750"/>
        <v>324077018</v>
      </c>
      <c r="G10183" t="str">
        <f t="shared" si="3751"/>
        <v>101 VERNON AVE</v>
      </c>
      <c r="H10183" t="str">
        <f>T("BLDG 308")</f>
        <v>BLDG 308</v>
      </c>
      <c r="I10183" t="str">
        <f>T("PANAMA CITY BEACH")</f>
        <v>PANAMA CITY BEACH</v>
      </c>
      <c r="J10183" t="str">
        <f t="shared" si="3746"/>
        <v>FL</v>
      </c>
      <c r="K10183" t="str">
        <f>T("8502307522")</f>
        <v>8502307522</v>
      </c>
      <c r="L10183" t="str">
        <f>T("8502307523")</f>
        <v>8502307523</v>
      </c>
    </row>
    <row r="10184" spans="1:12" x14ac:dyDescent="0.35">
      <c r="A10184" t="str">
        <f t="shared" si="3748"/>
        <v>NAVSUPACT PANAMA CITY</v>
      </c>
      <c r="B10184" t="str">
        <f t="shared" si="3749"/>
        <v>101 VERNON AVE</v>
      </c>
      <c r="C10184" t="str">
        <f>T("N01")</f>
        <v>N01</v>
      </c>
      <c r="D10184" t="str">
        <f>T("PANAMA CITY BEACH")</f>
        <v>PANAMA CITY BEACH</v>
      </c>
      <c r="E10184" t="str">
        <f t="shared" si="3745"/>
        <v>FL</v>
      </c>
      <c r="F10184" t="str">
        <f t="shared" si="3750"/>
        <v>324077018</v>
      </c>
      <c r="G10184" t="str">
        <f t="shared" si="3751"/>
        <v>101 VERNON AVE</v>
      </c>
      <c r="H10184" t="str">
        <f>T("N01")</f>
        <v>N01</v>
      </c>
      <c r="I10184" t="str">
        <f>T("PANAMA CITY BEACH")</f>
        <v>PANAMA CITY BEACH</v>
      </c>
      <c r="J10184" t="str">
        <f t="shared" si="3746"/>
        <v>FL</v>
      </c>
      <c r="K10184" t="str">
        <f>T("")</f>
        <v/>
      </c>
      <c r="L10184" t="str">
        <f>T("8502355432")</f>
        <v>8502355432</v>
      </c>
    </row>
    <row r="10185" spans="1:12" x14ac:dyDescent="0.35">
      <c r="A10185" t="str">
        <f t="shared" si="3748"/>
        <v>NAVSUPACT PANAMA CITY</v>
      </c>
      <c r="B10185" t="str">
        <f t="shared" si="3749"/>
        <v>101 VERNON AVE</v>
      </c>
      <c r="C10185" t="str">
        <f>T("OFFICER IN CHARGE CODE PCXD")</f>
        <v>OFFICER IN CHARGE CODE PCXD</v>
      </c>
      <c r="D10185" t="str">
        <f>T("PANAMA CITY")</f>
        <v>PANAMA CITY</v>
      </c>
      <c r="E10185" t="str">
        <f t="shared" si="3745"/>
        <v>FL</v>
      </c>
      <c r="F10185" t="str">
        <f t="shared" si="3750"/>
        <v>324077018</v>
      </c>
      <c r="G10185" t="str">
        <f t="shared" si="3751"/>
        <v>101 VERNON AVE</v>
      </c>
      <c r="H10185" t="str">
        <f>T("OFFICER IN CHARGE CODE PCXD")</f>
        <v>OFFICER IN CHARGE CODE PCXD</v>
      </c>
      <c r="I10185" t="str">
        <f>T("PANAMA CITY")</f>
        <v>PANAMA CITY</v>
      </c>
      <c r="J10185" t="str">
        <f t="shared" si="3746"/>
        <v>FL</v>
      </c>
      <c r="K10185" t="str">
        <f>T("")</f>
        <v/>
      </c>
      <c r="L10185" t="str">
        <f>T("8502355859")</f>
        <v>8502355859</v>
      </c>
    </row>
    <row r="10186" spans="1:12" x14ac:dyDescent="0.35">
      <c r="A10186" t="str">
        <f t="shared" si="3748"/>
        <v>NAVSUPACT PANAMA CITY</v>
      </c>
      <c r="B10186" t="str">
        <f t="shared" si="3749"/>
        <v>101 VERNON AVE</v>
      </c>
      <c r="C10186" t="str">
        <f>T("OFFICER IN CHARGE CODE PCXD")</f>
        <v>OFFICER IN CHARGE CODE PCXD</v>
      </c>
      <c r="D10186" t="str">
        <f>T("PANAMA CITY")</f>
        <v>PANAMA CITY</v>
      </c>
      <c r="E10186" t="str">
        <f t="shared" si="3745"/>
        <v>FL</v>
      </c>
      <c r="F10186" t="str">
        <f t="shared" si="3750"/>
        <v>324077018</v>
      </c>
      <c r="G10186" t="str">
        <f>T("101 VERNON AVE CODE PR64")</f>
        <v>101 VERNON AVE CODE PR64</v>
      </c>
      <c r="H10186" t="str">
        <f>T("")</f>
        <v/>
      </c>
      <c r="I10186" t="str">
        <f>T("PANAMA CITY")</f>
        <v>PANAMA CITY</v>
      </c>
      <c r="J10186" t="str">
        <f t="shared" si="3746"/>
        <v>FL</v>
      </c>
      <c r="K10186" t="str">
        <f>T("000000000000000000")</f>
        <v>000000000000000000</v>
      </c>
      <c r="L10186" t="str">
        <f>T("8502355888")</f>
        <v>8502355888</v>
      </c>
    </row>
    <row r="10187" spans="1:12" x14ac:dyDescent="0.35">
      <c r="A10187" t="str">
        <f t="shared" si="3748"/>
        <v>NAVSUPACT PANAMA CITY</v>
      </c>
      <c r="B10187" t="str">
        <f>T("BQ BLDG 484")</f>
        <v>BQ BLDG 484</v>
      </c>
      <c r="C10187" t="str">
        <f t="shared" ref="C10187:C10196" si="3752">T("101 VERNON AVE")</f>
        <v>101 VERNON AVE</v>
      </c>
      <c r="D10187" t="str">
        <f>T("PANAMA CITY BEACH")</f>
        <v>PANAMA CITY BEACH</v>
      </c>
      <c r="E10187" t="str">
        <f t="shared" si="3745"/>
        <v>FL</v>
      </c>
      <c r="F10187" t="str">
        <f t="shared" si="3750"/>
        <v>324077018</v>
      </c>
      <c r="G10187" t="str">
        <f>T("101 VERNON AVE")</f>
        <v>101 VERNON AVE</v>
      </c>
      <c r="H10187" t="str">
        <f>T("N924 - NGIS")</f>
        <v>N924 - NGIS</v>
      </c>
      <c r="I10187" t="str">
        <f>T("PANAMA CITY BEACH")</f>
        <v>PANAMA CITY BEACH</v>
      </c>
      <c r="J10187" t="str">
        <f t="shared" si="3746"/>
        <v>FL</v>
      </c>
      <c r="K10187" t="str">
        <f>T("000000000000000000")</f>
        <v>000000000000000000</v>
      </c>
      <c r="L10187" t="str">
        <f>T("8502355638")</f>
        <v>8502355638</v>
      </c>
    </row>
    <row r="10188" spans="1:12" x14ac:dyDescent="0.35">
      <c r="A10188" t="str">
        <f t="shared" si="3748"/>
        <v>NAVSUPACT PANAMA CITY</v>
      </c>
      <c r="B10188" t="str">
        <f>T("BQ BLDG 484")</f>
        <v>BQ BLDG 484</v>
      </c>
      <c r="C10188" t="str">
        <f t="shared" si="3752"/>
        <v>101 VERNON AVE</v>
      </c>
      <c r="D10188" t="str">
        <f>T("PANAMA CITY BEACH")</f>
        <v>PANAMA CITY BEACH</v>
      </c>
      <c r="E10188" t="str">
        <f t="shared" si="3745"/>
        <v>FL</v>
      </c>
      <c r="F10188" t="str">
        <f t="shared" si="3750"/>
        <v>324077018</v>
      </c>
      <c r="G10188" t="str">
        <f>T("BQ BLDG 484")</f>
        <v>BQ BLDG 484</v>
      </c>
      <c r="H10188" t="str">
        <f>T("101 VERNON AVE")</f>
        <v>101 VERNON AVE</v>
      </c>
      <c r="I10188" t="str">
        <f>T("PANAMA CITY BEACH")</f>
        <v>PANAMA CITY BEACH</v>
      </c>
      <c r="J10188" t="str">
        <f t="shared" si="3746"/>
        <v>FL</v>
      </c>
      <c r="K10188" t="str">
        <f>T("")</f>
        <v/>
      </c>
      <c r="L10188" t="str">
        <f>T("8502355056")</f>
        <v>8502355056</v>
      </c>
    </row>
    <row r="10189" spans="1:12" x14ac:dyDescent="0.35">
      <c r="A10189" t="str">
        <f t="shared" si="3748"/>
        <v>NAVSUPACT PANAMA CITY</v>
      </c>
      <c r="B10189" t="str">
        <f>T("EXPLOSIVE ORDANCE DISPOSAL DET PC")</f>
        <v>EXPLOSIVE ORDANCE DISPOSAL DET PC</v>
      </c>
      <c r="C10189" t="str">
        <f t="shared" si="3752"/>
        <v>101 VERNON AVE</v>
      </c>
      <c r="D10189" t="str">
        <f>T("PANAMA CITY")</f>
        <v>PANAMA CITY</v>
      </c>
      <c r="E10189" t="str">
        <f t="shared" si="3745"/>
        <v>FL</v>
      </c>
      <c r="F10189" t="str">
        <f t="shared" si="3750"/>
        <v>324077018</v>
      </c>
      <c r="G10189" t="str">
        <f>T("101 VERNON AVENUE BLDG 370")</f>
        <v>101 VERNON AVENUE BLDG 370</v>
      </c>
      <c r="H10189" t="str">
        <f>T("")</f>
        <v/>
      </c>
      <c r="I10189" t="str">
        <f>T("PANAMA CITY")</f>
        <v>PANAMA CITY</v>
      </c>
      <c r="J10189" t="str">
        <f t="shared" si="3746"/>
        <v>FL</v>
      </c>
      <c r="K10189" t="str">
        <f>T("000000000000000000")</f>
        <v>000000000000000000</v>
      </c>
      <c r="L10189" t="str">
        <f>T("8502344788")</f>
        <v>8502344788</v>
      </c>
    </row>
    <row r="10190" spans="1:12" x14ac:dyDescent="0.35">
      <c r="A10190" t="str">
        <f t="shared" si="3748"/>
        <v>NAVSUPACT PANAMA CITY</v>
      </c>
      <c r="B10190" t="str">
        <f>T("EXPLOSIVE ORDANCE DISPOSAL DET PC")</f>
        <v>EXPLOSIVE ORDANCE DISPOSAL DET PC</v>
      </c>
      <c r="C10190" t="str">
        <f t="shared" si="3752"/>
        <v>101 VERNON AVE</v>
      </c>
      <c r="D10190" t="str">
        <f>T("PANAMA CITY")</f>
        <v>PANAMA CITY</v>
      </c>
      <c r="E10190" t="str">
        <f t="shared" si="3745"/>
        <v>FL</v>
      </c>
      <c r="F10190" t="str">
        <f t="shared" si="3750"/>
        <v>324077018</v>
      </c>
      <c r="G10190" t="str">
        <f>T("EXPLOSIVE ORDANCE DISPOSAL DET PC")</f>
        <v>EXPLOSIVE ORDANCE DISPOSAL DET PC</v>
      </c>
      <c r="H10190" t="str">
        <f>T("101 VERNON AVE")</f>
        <v>101 VERNON AVE</v>
      </c>
      <c r="I10190" t="str">
        <f>T("PANAMA CITY")</f>
        <v>PANAMA CITY</v>
      </c>
      <c r="J10190" t="str">
        <f t="shared" si="3746"/>
        <v>FL</v>
      </c>
      <c r="K10190" t="str">
        <f>T("")</f>
        <v/>
      </c>
      <c r="L10190" t="str">
        <f>T("8502344788")</f>
        <v>8502344788</v>
      </c>
    </row>
    <row r="10191" spans="1:12" x14ac:dyDescent="0.35">
      <c r="A10191" t="str">
        <f t="shared" si="3748"/>
        <v>NAVSUPACT PANAMA CITY</v>
      </c>
      <c r="B10191" t="str">
        <f>T("NAVAL SUPPORT ACTIVITY")</f>
        <v>NAVAL SUPPORT ACTIVITY</v>
      </c>
      <c r="C10191" t="str">
        <f t="shared" si="3752"/>
        <v>101 VERNON AVE</v>
      </c>
      <c r="D10191" t="str">
        <f>T("PANAMA CITY BEACH")</f>
        <v>PANAMA CITY BEACH</v>
      </c>
      <c r="E10191" t="str">
        <f t="shared" si="3745"/>
        <v>FL</v>
      </c>
      <c r="F10191" t="str">
        <f t="shared" si="3750"/>
        <v>324077018</v>
      </c>
      <c r="G10191" t="str">
        <f>T("101 VERNON AVE")</f>
        <v>101 VERNON AVE</v>
      </c>
      <c r="H10191" t="str">
        <f>T("")</f>
        <v/>
      </c>
      <c r="I10191" t="str">
        <f>T("PANAMA CITY BEACH")</f>
        <v>PANAMA CITY BEACH</v>
      </c>
      <c r="J10191" t="str">
        <f t="shared" si="3746"/>
        <v>FL</v>
      </c>
      <c r="K10191" t="str">
        <f>T("000000000000000000")</f>
        <v>000000000000000000</v>
      </c>
      <c r="L10191" t="str">
        <f>T("8502307025")</f>
        <v>8502307025</v>
      </c>
    </row>
    <row r="10192" spans="1:12" x14ac:dyDescent="0.35">
      <c r="A10192" t="str">
        <f t="shared" si="3748"/>
        <v>NAVSUPACT PANAMA CITY</v>
      </c>
      <c r="B10192" t="str">
        <f>T("NAVAL SUPPORT ACTIVITY")</f>
        <v>NAVAL SUPPORT ACTIVITY</v>
      </c>
      <c r="C10192" t="str">
        <f t="shared" si="3752"/>
        <v>101 VERNON AVE</v>
      </c>
      <c r="D10192" t="str">
        <f>T("PANAMA CITY BEACH")</f>
        <v>PANAMA CITY BEACH</v>
      </c>
      <c r="E10192" t="str">
        <f t="shared" si="3745"/>
        <v>FL</v>
      </c>
      <c r="F10192" t="str">
        <f t="shared" si="3750"/>
        <v>324077018</v>
      </c>
      <c r="G10192" t="str">
        <f>T("101 VERNON AVE")</f>
        <v>101 VERNON AVE</v>
      </c>
      <c r="H10192" t="str">
        <f>T("N35")</f>
        <v>N35</v>
      </c>
      <c r="I10192" t="str">
        <f>T("PANAMA CITY BEACH")</f>
        <v>PANAMA CITY BEACH</v>
      </c>
      <c r="J10192" t="str">
        <f t="shared" si="3746"/>
        <v>FL</v>
      </c>
      <c r="K10192" t="str">
        <f>T("000000000000000000")</f>
        <v>000000000000000000</v>
      </c>
      <c r="L10192" t="str">
        <f>T("8502307281")</f>
        <v>8502307281</v>
      </c>
    </row>
    <row r="10193" spans="1:12" x14ac:dyDescent="0.35">
      <c r="A10193" t="str">
        <f t="shared" si="3748"/>
        <v>NAVSUPACT PANAMA CITY</v>
      </c>
      <c r="B10193" t="str">
        <f>T("NAVAL SUPPORT ACTIVITY")</f>
        <v>NAVAL SUPPORT ACTIVITY</v>
      </c>
      <c r="C10193" t="str">
        <f t="shared" si="3752"/>
        <v>101 VERNON AVE</v>
      </c>
      <c r="D10193" t="str">
        <f>T("PANAMA CITY BEACH")</f>
        <v>PANAMA CITY BEACH</v>
      </c>
      <c r="E10193" t="str">
        <f t="shared" si="3745"/>
        <v>FL</v>
      </c>
      <c r="F10193" t="str">
        <f t="shared" si="3750"/>
        <v>324077018</v>
      </c>
      <c r="G10193" t="str">
        <f>T("NAVAL SUPPORT ACTIVITY")</f>
        <v>NAVAL SUPPORT ACTIVITY</v>
      </c>
      <c r="H10193" t="str">
        <f>T("101 VERNON AVE")</f>
        <v>101 VERNON AVE</v>
      </c>
      <c r="I10193" t="str">
        <f>T("PANAMA CITY BEACH")</f>
        <v>PANAMA CITY BEACH</v>
      </c>
      <c r="J10193" t="str">
        <f t="shared" si="3746"/>
        <v>FL</v>
      </c>
      <c r="K10193" t="str">
        <f>T("")</f>
        <v/>
      </c>
      <c r="L10193" t="str">
        <f>T("8502355114")</f>
        <v>8502355114</v>
      </c>
    </row>
    <row r="10194" spans="1:12" x14ac:dyDescent="0.35">
      <c r="A10194" t="str">
        <f t="shared" si="3748"/>
        <v>NAVSUPACT PANAMA CITY</v>
      </c>
      <c r="B10194" t="str">
        <f>T("SEASHORE GENERAL MESS BLDG 485")</f>
        <v>SEASHORE GENERAL MESS BLDG 485</v>
      </c>
      <c r="C10194" t="str">
        <f t="shared" si="3752"/>
        <v>101 VERNON AVE</v>
      </c>
      <c r="D10194" t="str">
        <f>T("PANAMA CITY BEACH")</f>
        <v>PANAMA CITY BEACH</v>
      </c>
      <c r="E10194" t="str">
        <f t="shared" si="3745"/>
        <v>FL</v>
      </c>
      <c r="F10194" t="str">
        <f t="shared" si="3750"/>
        <v>324077018</v>
      </c>
      <c r="G10194" t="str">
        <f>T("SEASHORE GENERAL MESS BLDG 485")</f>
        <v>SEASHORE GENERAL MESS BLDG 485</v>
      </c>
      <c r="H10194" t="str">
        <f>T("101 VERNON AVE")</f>
        <v>101 VERNON AVE</v>
      </c>
      <c r="I10194" t="str">
        <f>T("PANAMA CITY BEACH")</f>
        <v>PANAMA CITY BEACH</v>
      </c>
      <c r="J10194" t="str">
        <f t="shared" si="3746"/>
        <v>FL</v>
      </c>
      <c r="K10194" t="str">
        <f>T("")</f>
        <v/>
      </c>
      <c r="L10194" t="str">
        <f>T("8502355023")</f>
        <v>8502355023</v>
      </c>
    </row>
    <row r="10195" spans="1:12" x14ac:dyDescent="0.35">
      <c r="A10195" t="str">
        <f t="shared" si="3748"/>
        <v>NAVSUPACT PANAMA CITY</v>
      </c>
      <c r="B10195" t="str">
        <f>T("SECURITY DIVISION BLDG 388")</f>
        <v>SECURITY DIVISION BLDG 388</v>
      </c>
      <c r="C10195" t="str">
        <f t="shared" si="3752"/>
        <v>101 VERNON AVE</v>
      </c>
      <c r="D10195" t="str">
        <f>T("P C BEACH")</f>
        <v>P C BEACH</v>
      </c>
      <c r="E10195" t="str">
        <f t="shared" si="3745"/>
        <v>FL</v>
      </c>
      <c r="F10195" t="str">
        <f t="shared" si="3750"/>
        <v>324077018</v>
      </c>
      <c r="G10195" t="str">
        <f>T("101 VERNON AVE")</f>
        <v>101 VERNON AVE</v>
      </c>
      <c r="H10195" t="str">
        <f>T("CODE N3AT")</f>
        <v>CODE N3AT</v>
      </c>
      <c r="I10195" t="str">
        <f>T("PANAMA CITY BEACH")</f>
        <v>PANAMA CITY BEACH</v>
      </c>
      <c r="J10195" t="str">
        <f t="shared" si="3746"/>
        <v>FL</v>
      </c>
      <c r="K10195" t="str">
        <f>T("000000000000000000")</f>
        <v>000000000000000000</v>
      </c>
      <c r="L10195" t="str">
        <f>T("8502366316")</f>
        <v>8502366316</v>
      </c>
    </row>
    <row r="10196" spans="1:12" x14ac:dyDescent="0.35">
      <c r="A10196" t="str">
        <f t="shared" si="3748"/>
        <v>NAVSUPACT PANAMA CITY</v>
      </c>
      <c r="B10196" t="str">
        <f>T("SECURITY DIVISION BLDG 388")</f>
        <v>SECURITY DIVISION BLDG 388</v>
      </c>
      <c r="C10196" t="str">
        <f t="shared" si="3752"/>
        <v>101 VERNON AVE</v>
      </c>
      <c r="D10196" t="str">
        <f>T("P C BEACH")</f>
        <v>P C BEACH</v>
      </c>
      <c r="E10196" t="str">
        <f t="shared" si="3745"/>
        <v>FL</v>
      </c>
      <c r="F10196" t="str">
        <f t="shared" si="3750"/>
        <v>324077018</v>
      </c>
      <c r="G10196" t="str">
        <f>T("SECURITY DIVISION BLDG 388")</f>
        <v>SECURITY DIVISION BLDG 388</v>
      </c>
      <c r="H10196" t="str">
        <f>T("101 VERNON AVE")</f>
        <v>101 VERNON AVE</v>
      </c>
      <c r="I10196" t="str">
        <f>T("P C BEACH")</f>
        <v>P C BEACH</v>
      </c>
      <c r="J10196" t="str">
        <f t="shared" si="3746"/>
        <v>FL</v>
      </c>
      <c r="K10196" t="str">
        <f>T("")</f>
        <v/>
      </c>
      <c r="L10196" t="str">
        <f>T("8502355599")</f>
        <v>8502355599</v>
      </c>
    </row>
    <row r="10197" spans="1:12" x14ac:dyDescent="0.35">
      <c r="A10197" t="str">
        <f t="shared" ref="A10197:A10220" si="3753">T("NAVAL CONST BATT CTR")</f>
        <v>NAVAL CONST BATT CTR</v>
      </c>
      <c r="B10197" t="str">
        <f>T("1002 BALCH BLVD")</f>
        <v>1002 BALCH BLVD</v>
      </c>
      <c r="C10197" t="str">
        <f>T("BLDG 1100 CODE N13")</f>
        <v>BLDG 1100 CODE N13</v>
      </c>
      <c r="D10197" t="str">
        <f>T("STENNIS SP CT")</f>
        <v>STENNIS SP CT</v>
      </c>
      <c r="E10197" t="str">
        <f t="shared" ref="E10197:E10243" si="3754">T("MS")</f>
        <v>MS</v>
      </c>
      <c r="F10197" t="str">
        <f>T("395225001")</f>
        <v>395225001</v>
      </c>
      <c r="G10197" t="str">
        <f>T("1002 BALCH AVE")</f>
        <v>1002 BALCH AVE</v>
      </c>
      <c r="H10197" t="str">
        <f>T("BLDG 2406 CODE N13")</f>
        <v>BLDG 2406 CODE N13</v>
      </c>
      <c r="I10197" t="str">
        <f>T("STENNIS SPACE CENTER")</f>
        <v>STENNIS SPACE CENTER</v>
      </c>
      <c r="J10197" t="str">
        <f t="shared" ref="J10197:J10243" si="3755">T("MS")</f>
        <v>MS</v>
      </c>
      <c r="K10197" t="str">
        <f>T("000000000000000000")</f>
        <v>000000000000000000</v>
      </c>
      <c r="L10197" t="str">
        <f>T("2286885515")</f>
        <v>2286885515</v>
      </c>
    </row>
    <row r="10198" spans="1:12" x14ac:dyDescent="0.35">
      <c r="A10198" t="str">
        <f t="shared" si="3753"/>
        <v>NAVAL CONST BATT CTR</v>
      </c>
      <c r="B10198" t="str">
        <f>T("1002 BALCH BLVD")</f>
        <v>1002 BALCH BLVD</v>
      </c>
      <c r="C10198" t="str">
        <f>T("BLDG 1100 CODE N13")</f>
        <v>BLDG 1100 CODE N13</v>
      </c>
      <c r="D10198" t="str">
        <f>T("STENNIS SP CT")</f>
        <v>STENNIS SP CT</v>
      </c>
      <c r="E10198" t="str">
        <f t="shared" si="3754"/>
        <v>MS</v>
      </c>
      <c r="F10198" t="str">
        <f>T("395225001")</f>
        <v>395225001</v>
      </c>
      <c r="G10198" t="str">
        <f>T("1002 BALCH BLVD")</f>
        <v>1002 BALCH BLVD</v>
      </c>
      <c r="H10198" t="str">
        <f>T("BLDG 1100 CODE N13")</f>
        <v>BLDG 1100 CODE N13</v>
      </c>
      <c r="I10198" t="str">
        <f>T("STENNIS SP CT")</f>
        <v>STENNIS SP CT</v>
      </c>
      <c r="J10198" t="str">
        <f t="shared" si="3755"/>
        <v>MS</v>
      </c>
      <c r="K10198" t="str">
        <f>T("")</f>
        <v/>
      </c>
      <c r="L10198" t="str">
        <f>T("2288714062")</f>
        <v>2288714062</v>
      </c>
    </row>
    <row r="10199" spans="1:12" x14ac:dyDescent="0.35">
      <c r="A10199" t="str">
        <f t="shared" si="3753"/>
        <v>NAVAL CONST BATT CTR</v>
      </c>
      <c r="B10199" t="str">
        <f>T("200 SECOND ST")</f>
        <v>200 SECOND ST</v>
      </c>
      <c r="C10199" t="str">
        <f>T("BLDG 367")</f>
        <v>BLDG 367</v>
      </c>
      <c r="D10199" t="str">
        <f t="shared" ref="D10199:D10220" si="3756">T("GULFPORT")</f>
        <v>GULFPORT</v>
      </c>
      <c r="E10199" t="str">
        <f t="shared" si="3754"/>
        <v>MS</v>
      </c>
      <c r="F10199" t="str">
        <f>T("395071014")</f>
        <v>395071014</v>
      </c>
      <c r="G10199" t="str">
        <f>T("200 SECOND ST")</f>
        <v>200 SECOND ST</v>
      </c>
      <c r="H10199" t="str">
        <f>T("BLDG 367")</f>
        <v>BLDG 367</v>
      </c>
      <c r="I10199" t="str">
        <f t="shared" ref="I10199:I10220" si="3757">T("GULFPORT")</f>
        <v>GULFPORT</v>
      </c>
      <c r="J10199" t="str">
        <f t="shared" si="3755"/>
        <v>MS</v>
      </c>
      <c r="K10199" t="str">
        <f>T("")</f>
        <v/>
      </c>
      <c r="L10199" t="str">
        <f>T("2288713460")</f>
        <v>2288713460</v>
      </c>
    </row>
    <row r="10200" spans="1:12" x14ac:dyDescent="0.35">
      <c r="A10200" t="str">
        <f t="shared" si="3753"/>
        <v>NAVAL CONST BATT CTR</v>
      </c>
      <c r="B10200" t="str">
        <f>T("200 SECOND ST")</f>
        <v>200 SECOND ST</v>
      </c>
      <c r="C10200" t="str">
        <f>T("BLDG 367")</f>
        <v>BLDG 367</v>
      </c>
      <c r="D10200" t="str">
        <f t="shared" si="3756"/>
        <v>GULFPORT</v>
      </c>
      <c r="E10200" t="str">
        <f t="shared" si="3754"/>
        <v>MS</v>
      </c>
      <c r="F10200" t="str">
        <f>T("395071014")</f>
        <v>395071014</v>
      </c>
      <c r="G10200" t="str">
        <f>T("5200 2ND ST BLDG 367")</f>
        <v>5200 2ND ST BLDG 367</v>
      </c>
      <c r="H10200" t="str">
        <f>T("COLMER DINING FACILITY")</f>
        <v>COLMER DINING FACILITY</v>
      </c>
      <c r="I10200" t="str">
        <f t="shared" si="3757"/>
        <v>GULFPORT</v>
      </c>
      <c r="J10200" t="str">
        <f t="shared" si="3755"/>
        <v>MS</v>
      </c>
      <c r="K10200" t="str">
        <f>T("000000000000000000")</f>
        <v>000000000000000000</v>
      </c>
      <c r="L10200" t="str">
        <f>T("2288713459")</f>
        <v>2288713459</v>
      </c>
    </row>
    <row r="10201" spans="1:12" x14ac:dyDescent="0.35">
      <c r="A10201" t="str">
        <f t="shared" si="3753"/>
        <v>NAVAL CONST BATT CTR</v>
      </c>
      <c r="B10201" t="str">
        <f>T("200 SECOND ST")</f>
        <v>200 SECOND ST</v>
      </c>
      <c r="C10201" t="str">
        <f>T("BLDG 367")</f>
        <v>BLDG 367</v>
      </c>
      <c r="D10201" t="str">
        <f t="shared" si="3756"/>
        <v>GULFPORT</v>
      </c>
      <c r="E10201" t="str">
        <f t="shared" si="3754"/>
        <v>MS</v>
      </c>
      <c r="F10201" t="str">
        <f>T("395071014")</f>
        <v>395071014</v>
      </c>
      <c r="G10201" t="str">
        <f>T("CBC GULFPORT COLMER DINING FACILITY")</f>
        <v>CBC GULFPORT COLMER DINING FACILITY</v>
      </c>
      <c r="H10201" t="str">
        <f>T("5200 2ND ST BLDG 367")</f>
        <v>5200 2ND ST BLDG 367</v>
      </c>
      <c r="I10201" t="str">
        <f t="shared" si="3757"/>
        <v>GULFPORT</v>
      </c>
      <c r="J10201" t="str">
        <f t="shared" si="3755"/>
        <v>MS</v>
      </c>
      <c r="K10201" t="str">
        <f>T("000000000000000000")</f>
        <v>000000000000000000</v>
      </c>
      <c r="L10201" t="str">
        <f>T("2288713459")</f>
        <v>2288713459</v>
      </c>
    </row>
    <row r="10202" spans="1:12" x14ac:dyDescent="0.35">
      <c r="A10202" t="str">
        <f t="shared" si="3753"/>
        <v>NAVAL CONST BATT CTR</v>
      </c>
      <c r="B10202" t="str">
        <f>T("3502 EAST EIGTH ST")</f>
        <v>3502 EAST EIGTH ST</v>
      </c>
      <c r="C10202" t="str">
        <f>T("BLDG 452")</f>
        <v>BLDG 452</v>
      </c>
      <c r="D10202" t="str">
        <f t="shared" si="3756"/>
        <v>GULFPORT</v>
      </c>
      <c r="E10202" t="str">
        <f t="shared" si="3754"/>
        <v>MS</v>
      </c>
      <c r="F10202" t="str">
        <f>T("395010000")</f>
        <v>395010000</v>
      </c>
      <c r="G10202" t="str">
        <f>T("3502 EAST EIGTH ST")</f>
        <v>3502 EAST EIGTH ST</v>
      </c>
      <c r="H10202" t="str">
        <f>T("BLDG 452")</f>
        <v>BLDG 452</v>
      </c>
      <c r="I10202" t="str">
        <f t="shared" si="3757"/>
        <v>GULFPORT</v>
      </c>
      <c r="J10202" t="str">
        <f t="shared" si="3755"/>
        <v>MS</v>
      </c>
      <c r="K10202" t="str">
        <f>T("")</f>
        <v/>
      </c>
      <c r="L10202" t="str">
        <f>T("2278713487")</f>
        <v>2278713487</v>
      </c>
    </row>
    <row r="10203" spans="1:12" x14ac:dyDescent="0.35">
      <c r="A10203" t="str">
        <f t="shared" si="3753"/>
        <v>NAVAL CONST BATT CTR</v>
      </c>
      <c r="B10203" t="str">
        <f>T("3502 EAST EIGTH ST")</f>
        <v>3502 EAST EIGTH ST</v>
      </c>
      <c r="C10203" t="str">
        <f>T("BLDG 452")</f>
        <v>BLDG 452</v>
      </c>
      <c r="D10203" t="str">
        <f t="shared" si="3756"/>
        <v>GULFPORT</v>
      </c>
      <c r="E10203" t="str">
        <f t="shared" si="3754"/>
        <v>MS</v>
      </c>
      <c r="F10203" t="str">
        <f>T("395010000")</f>
        <v>395010000</v>
      </c>
      <c r="G10203" t="str">
        <f>T("5401 SIXTH ST")</f>
        <v>5401 SIXTH ST</v>
      </c>
      <c r="H10203" t="str">
        <f>T("")</f>
        <v/>
      </c>
      <c r="I10203" t="str">
        <f t="shared" si="3757"/>
        <v>GULFPORT</v>
      </c>
      <c r="J10203" t="str">
        <f t="shared" si="3755"/>
        <v>MS</v>
      </c>
      <c r="K10203" t="str">
        <f>T("000000000000000000")</f>
        <v>000000000000000000</v>
      </c>
      <c r="L10203" t="str">
        <f>T("2288712504")</f>
        <v>2288712504</v>
      </c>
    </row>
    <row r="10204" spans="1:12" x14ac:dyDescent="0.35">
      <c r="A10204" t="str">
        <f t="shared" si="3753"/>
        <v>NAVAL CONST BATT CTR</v>
      </c>
      <c r="B10204" t="str">
        <f>T("3502 EAST EIGTH ST")</f>
        <v>3502 EAST EIGTH ST</v>
      </c>
      <c r="C10204" t="str">
        <f>T("BLDG 452")</f>
        <v>BLDG 452</v>
      </c>
      <c r="D10204" t="str">
        <f t="shared" si="3756"/>
        <v>GULFPORT</v>
      </c>
      <c r="E10204" t="str">
        <f t="shared" si="3754"/>
        <v>MS</v>
      </c>
      <c r="F10204" t="str">
        <f>T("395010000")</f>
        <v>395010000</v>
      </c>
      <c r="G10204" t="str">
        <f>T("5401 SIXTH ST BUILDING 306")</f>
        <v>5401 SIXTH ST BUILDING 306</v>
      </c>
      <c r="H10204" t="str">
        <f>T("")</f>
        <v/>
      </c>
      <c r="I10204" t="str">
        <f t="shared" si="3757"/>
        <v>GULFPORT</v>
      </c>
      <c r="J10204" t="str">
        <f t="shared" si="3755"/>
        <v>MS</v>
      </c>
      <c r="K10204" t="str">
        <f>T("000000000000000000")</f>
        <v>000000000000000000</v>
      </c>
      <c r="L10204" t="str">
        <f>T("2288713853")</f>
        <v>2288713853</v>
      </c>
    </row>
    <row r="10205" spans="1:12" x14ac:dyDescent="0.35">
      <c r="A10205" t="str">
        <f t="shared" si="3753"/>
        <v>NAVAL CONST BATT CTR</v>
      </c>
      <c r="B10205" t="str">
        <f>T("4201 MCKINNEY AVE")</f>
        <v>4201 MCKINNEY AVE</v>
      </c>
      <c r="C10205" t="str">
        <f>T("BLDG 62")</f>
        <v>BLDG 62</v>
      </c>
      <c r="D10205" t="str">
        <f t="shared" si="3756"/>
        <v>GULFPORT</v>
      </c>
      <c r="E10205" t="str">
        <f t="shared" si="3754"/>
        <v>MS</v>
      </c>
      <c r="F10205" t="str">
        <f>T("395019003")</f>
        <v>395019003</v>
      </c>
      <c r="G10205" t="str">
        <f>T("4201 MCKINNEY AVE")</f>
        <v>4201 MCKINNEY AVE</v>
      </c>
      <c r="H10205" t="str">
        <f>T("BLDG 62")</f>
        <v>BLDG 62</v>
      </c>
      <c r="I10205" t="str">
        <f t="shared" si="3757"/>
        <v>GULFPORT</v>
      </c>
      <c r="J10205" t="str">
        <f t="shared" si="3755"/>
        <v>MS</v>
      </c>
      <c r="K10205" t="str">
        <f>T("")</f>
        <v/>
      </c>
      <c r="L10205" t="str">
        <f>T("2288712045")</f>
        <v>2288712045</v>
      </c>
    </row>
    <row r="10206" spans="1:12" x14ac:dyDescent="0.35">
      <c r="A10206" t="str">
        <f t="shared" si="3753"/>
        <v>NAVAL CONST BATT CTR</v>
      </c>
      <c r="B10206" t="str">
        <f>T("4201 MCKINNEY AVE")</f>
        <v>4201 MCKINNEY AVE</v>
      </c>
      <c r="C10206" t="str">
        <f>T("BLDG 62")</f>
        <v>BLDG 62</v>
      </c>
      <c r="D10206" t="str">
        <f t="shared" si="3756"/>
        <v>GULFPORT</v>
      </c>
      <c r="E10206" t="str">
        <f t="shared" si="3754"/>
        <v>MS</v>
      </c>
      <c r="F10206" t="str">
        <f>T("395019003")</f>
        <v>395019003</v>
      </c>
      <c r="G10206" t="str">
        <f>T("CBC CODE 400")</f>
        <v>CBC CODE 400</v>
      </c>
      <c r="H10206" t="str">
        <f>T("2401 UPPER NIXON ROAD")</f>
        <v>2401 UPPER NIXON ROAD</v>
      </c>
      <c r="I10206" t="str">
        <f t="shared" si="3757"/>
        <v>GULFPORT</v>
      </c>
      <c r="J10206" t="str">
        <f t="shared" si="3755"/>
        <v>MS</v>
      </c>
      <c r="K10206" t="str">
        <f>T("000000000000000000")</f>
        <v>000000000000000000</v>
      </c>
      <c r="L10206" t="str">
        <f>T("2288712640")</f>
        <v>2288712640</v>
      </c>
    </row>
    <row r="10207" spans="1:12" x14ac:dyDescent="0.35">
      <c r="A10207" t="str">
        <f t="shared" si="3753"/>
        <v>NAVAL CONST BATT CTR</v>
      </c>
      <c r="B10207" t="str">
        <f>T("4902 MARVIN SHIELDS BLVD")</f>
        <v>4902 MARVIN SHIELDS BLVD</v>
      </c>
      <c r="C10207" t="str">
        <f>T("BLDG 1 / ADMIN")</f>
        <v>BLDG 1 / ADMIN</v>
      </c>
      <c r="D10207" t="str">
        <f t="shared" si="3756"/>
        <v>GULFPORT</v>
      </c>
      <c r="E10207" t="str">
        <f t="shared" si="3754"/>
        <v>MS</v>
      </c>
      <c r="F10207" t="str">
        <f>T("395019006")</f>
        <v>395019006</v>
      </c>
      <c r="G10207" t="str">
        <f>T("4902 MARVIN SHIELDS BLVD")</f>
        <v>4902 MARVIN SHIELDS BLVD</v>
      </c>
      <c r="H10207" t="str">
        <f>T("BLDG 1")</f>
        <v>BLDG 1</v>
      </c>
      <c r="I10207" t="str">
        <f t="shared" si="3757"/>
        <v>GULFPORT</v>
      </c>
      <c r="J10207" t="str">
        <f t="shared" si="3755"/>
        <v>MS</v>
      </c>
      <c r="K10207" t="str">
        <f>T("000000000000000000")</f>
        <v>000000000000000000</v>
      </c>
      <c r="L10207" t="str">
        <f>T("2288714091")</f>
        <v>2288714091</v>
      </c>
    </row>
    <row r="10208" spans="1:12" x14ac:dyDescent="0.35">
      <c r="A10208" t="str">
        <f t="shared" si="3753"/>
        <v>NAVAL CONST BATT CTR</v>
      </c>
      <c r="B10208" t="str">
        <f>T("4902 MARVIN SHIELDS BLVD")</f>
        <v>4902 MARVIN SHIELDS BLVD</v>
      </c>
      <c r="C10208" t="str">
        <f>T("BLDG 1 / ADMIN")</f>
        <v>BLDG 1 / ADMIN</v>
      </c>
      <c r="D10208" t="str">
        <f t="shared" si="3756"/>
        <v>GULFPORT</v>
      </c>
      <c r="E10208" t="str">
        <f t="shared" si="3754"/>
        <v>MS</v>
      </c>
      <c r="F10208" t="str">
        <f>T("395019006")</f>
        <v>395019006</v>
      </c>
      <c r="G10208" t="str">
        <f>T("4902 MARVIN SHIELDS BLVD")</f>
        <v>4902 MARVIN SHIELDS BLVD</v>
      </c>
      <c r="H10208" t="str">
        <f>T("BLDG 1 / ADMIN")</f>
        <v>BLDG 1 / ADMIN</v>
      </c>
      <c r="I10208" t="str">
        <f t="shared" si="3757"/>
        <v>GULFPORT</v>
      </c>
      <c r="J10208" t="str">
        <f t="shared" si="3755"/>
        <v>MS</v>
      </c>
      <c r="K10208" t="str">
        <f>T("")</f>
        <v/>
      </c>
      <c r="L10208" t="str">
        <f>T("2288712871")</f>
        <v>2288712871</v>
      </c>
    </row>
    <row r="10209" spans="1:12" x14ac:dyDescent="0.35">
      <c r="A10209" t="str">
        <f t="shared" si="3753"/>
        <v>NAVAL CONST BATT CTR</v>
      </c>
      <c r="B10209" t="str">
        <f>T("4902 MARVIN SHIELDS BLVD")</f>
        <v>4902 MARVIN SHIELDS BLVD</v>
      </c>
      <c r="C10209" t="str">
        <f>T("BLDG 1 RM 205")</f>
        <v>BLDG 1 RM 205</v>
      </c>
      <c r="D10209" t="str">
        <f t="shared" si="3756"/>
        <v>GULFPORT</v>
      </c>
      <c r="E10209" t="str">
        <f t="shared" si="3754"/>
        <v>MS</v>
      </c>
      <c r="F10209" t="str">
        <f>T("395019006")</f>
        <v>395019006</v>
      </c>
      <c r="G10209" t="str">
        <f>T("4902 MARVIN SHIELDS BLVD")</f>
        <v>4902 MARVIN SHIELDS BLVD</v>
      </c>
      <c r="H10209" t="str">
        <f>T("BLDG 1 RM 205")</f>
        <v>BLDG 1 RM 205</v>
      </c>
      <c r="I10209" t="str">
        <f t="shared" si="3757"/>
        <v>GULFPORT</v>
      </c>
      <c r="J10209" t="str">
        <f t="shared" si="3755"/>
        <v>MS</v>
      </c>
      <c r="K10209" t="str">
        <f>T("")</f>
        <v/>
      </c>
      <c r="L10209" t="str">
        <f>T("2288713662")</f>
        <v>2288713662</v>
      </c>
    </row>
    <row r="10210" spans="1:12" x14ac:dyDescent="0.35">
      <c r="A10210" t="str">
        <f t="shared" si="3753"/>
        <v>NAVAL CONST BATT CTR</v>
      </c>
      <c r="B10210" t="str">
        <f>T("5000 7TH STREET")</f>
        <v>5000 7TH STREET</v>
      </c>
      <c r="C10210" t="str">
        <f>T("NCBC GULFPORT")</f>
        <v>NCBC GULFPORT</v>
      </c>
      <c r="D10210" t="str">
        <f t="shared" si="3756"/>
        <v>GULFPORT</v>
      </c>
      <c r="E10210" t="str">
        <f t="shared" si="3754"/>
        <v>MS</v>
      </c>
      <c r="F10210" t="str">
        <f>T("395019006")</f>
        <v>395019006</v>
      </c>
      <c r="G10210" t="str">
        <f>T("4902 MARVIN SHIELDS BLVD")</f>
        <v>4902 MARVIN SHIELDS BLVD</v>
      </c>
      <c r="H10210" t="str">
        <f>T("CBC CODE 17")</f>
        <v>CBC CODE 17</v>
      </c>
      <c r="I10210" t="str">
        <f t="shared" si="3757"/>
        <v>GULFPORT</v>
      </c>
      <c r="J10210" t="str">
        <f t="shared" si="3755"/>
        <v>MS</v>
      </c>
      <c r="K10210" t="str">
        <f>T("000000000000000000")</f>
        <v>000000000000000000</v>
      </c>
      <c r="L10210" t="str">
        <f>T("2288713801")</f>
        <v>2288713801</v>
      </c>
    </row>
    <row r="10211" spans="1:12" x14ac:dyDescent="0.35">
      <c r="A10211" t="str">
        <f t="shared" si="3753"/>
        <v>NAVAL CONST BATT CTR</v>
      </c>
      <c r="B10211" t="str">
        <f>T("5000 7TH STREET")</f>
        <v>5000 7TH STREET</v>
      </c>
      <c r="C10211" t="str">
        <f>T("NCBC GULFPORT")</f>
        <v>NCBC GULFPORT</v>
      </c>
      <c r="D10211" t="str">
        <f t="shared" si="3756"/>
        <v>GULFPORT</v>
      </c>
      <c r="E10211" t="str">
        <f t="shared" si="3754"/>
        <v>MS</v>
      </c>
      <c r="F10211" t="str">
        <f>T("395019006")</f>
        <v>395019006</v>
      </c>
      <c r="G10211" t="str">
        <f>T("5000 7TH STREET")</f>
        <v>5000 7TH STREET</v>
      </c>
      <c r="H10211" t="str">
        <f>T("NCBC GULFPORT")</f>
        <v>NCBC GULFPORT</v>
      </c>
      <c r="I10211" t="str">
        <f t="shared" si="3757"/>
        <v>GULFPORT</v>
      </c>
      <c r="J10211" t="str">
        <f t="shared" si="3755"/>
        <v>MS</v>
      </c>
      <c r="K10211" t="str">
        <f>T("")</f>
        <v/>
      </c>
      <c r="L10211" t="str">
        <f>T("2288712414")</f>
        <v>2288712414</v>
      </c>
    </row>
    <row r="10212" spans="1:12" x14ac:dyDescent="0.35">
      <c r="A10212" t="str">
        <f t="shared" si="3753"/>
        <v>NAVAL CONST BATT CTR</v>
      </c>
      <c r="B10212" t="str">
        <f>T("5301 BAINBRIDGE AVE BLDG 366")</f>
        <v>5301 BAINBRIDGE AVE BLDG 366</v>
      </c>
      <c r="C10212" t="str">
        <f>T("")</f>
        <v/>
      </c>
      <c r="D10212" t="str">
        <f t="shared" si="3756"/>
        <v>GULFPORT</v>
      </c>
      <c r="E10212" t="str">
        <f t="shared" si="3754"/>
        <v>MS</v>
      </c>
      <c r="F10212" t="str">
        <f>T("395019041")</f>
        <v>395019041</v>
      </c>
      <c r="G10212" t="str">
        <f>T("2000 5TH STREET")</f>
        <v>2000 5TH STREET</v>
      </c>
      <c r="H10212" t="str">
        <f>T("NCBC GULFPORT BUILDING 366")</f>
        <v>NCBC GULFPORT BUILDING 366</v>
      </c>
      <c r="I10212" t="str">
        <f t="shared" si="3757"/>
        <v>GULFPORT</v>
      </c>
      <c r="J10212" t="str">
        <f t="shared" si="3755"/>
        <v>MS</v>
      </c>
      <c r="K10212" t="str">
        <f>T("000000000000000000")</f>
        <v>000000000000000000</v>
      </c>
      <c r="L10212" t="str">
        <f>T("2288712454")</f>
        <v>2288712454</v>
      </c>
    </row>
    <row r="10213" spans="1:12" x14ac:dyDescent="0.35">
      <c r="A10213" t="str">
        <f t="shared" si="3753"/>
        <v>NAVAL CONST BATT CTR</v>
      </c>
      <c r="B10213" t="str">
        <f>T("5301 BAINBRIDGE AVE BLDG 366")</f>
        <v>5301 BAINBRIDGE AVE BLDG 366</v>
      </c>
      <c r="C10213" t="str">
        <f>T("")</f>
        <v/>
      </c>
      <c r="D10213" t="str">
        <f t="shared" si="3756"/>
        <v>GULFPORT</v>
      </c>
      <c r="E10213" t="str">
        <f t="shared" si="3754"/>
        <v>MS</v>
      </c>
      <c r="F10213" t="str">
        <f>T("395019041")</f>
        <v>395019041</v>
      </c>
      <c r="G10213" t="str">
        <f>T("5301 BAINBRIDGE AVE BLDG 366")</f>
        <v>5301 BAINBRIDGE AVE BLDG 366</v>
      </c>
      <c r="H10213" t="str">
        <f>T("")</f>
        <v/>
      </c>
      <c r="I10213" t="str">
        <f t="shared" si="3757"/>
        <v>GULFPORT</v>
      </c>
      <c r="J10213" t="str">
        <f t="shared" si="3755"/>
        <v>MS</v>
      </c>
      <c r="K10213" t="str">
        <f>T("")</f>
        <v/>
      </c>
      <c r="L10213" t="str">
        <f>T("2288713080")</f>
        <v>2288713080</v>
      </c>
    </row>
    <row r="10214" spans="1:12" x14ac:dyDescent="0.35">
      <c r="A10214" t="str">
        <f t="shared" si="3753"/>
        <v>NAVAL CONST BATT CTR</v>
      </c>
      <c r="B10214" t="str">
        <f>T("5301 SNEAD STREET")</f>
        <v>5301 SNEAD STREET</v>
      </c>
      <c r="C10214" t="str">
        <f>T("BLDG 30")</f>
        <v>BLDG 30</v>
      </c>
      <c r="D10214" t="str">
        <f t="shared" si="3756"/>
        <v>GULFPORT</v>
      </c>
      <c r="E10214" t="str">
        <f t="shared" si="3754"/>
        <v>MS</v>
      </c>
      <c r="F10214" t="str">
        <f>T("395019018")</f>
        <v>395019018</v>
      </c>
      <c r="G10214" t="str">
        <f>T("5301 SNEAD STREET")</f>
        <v>5301 SNEAD STREET</v>
      </c>
      <c r="H10214" t="str">
        <f>T("BLDG 30")</f>
        <v>BLDG 30</v>
      </c>
      <c r="I10214" t="str">
        <f t="shared" si="3757"/>
        <v>GULFPORT</v>
      </c>
      <c r="J10214" t="str">
        <f t="shared" si="3755"/>
        <v>MS</v>
      </c>
      <c r="K10214" t="str">
        <f>T("")</f>
        <v/>
      </c>
      <c r="L10214" t="str">
        <f>T("2288714282")</f>
        <v>2288714282</v>
      </c>
    </row>
    <row r="10215" spans="1:12" x14ac:dyDescent="0.35">
      <c r="A10215" t="str">
        <f t="shared" si="3753"/>
        <v>NAVAL CONST BATT CTR</v>
      </c>
      <c r="B10215" t="str">
        <f>T("CBC CODE 500")</f>
        <v>CBC CODE 500</v>
      </c>
      <c r="C10215" t="str">
        <f>T("2405 UPPER NIXON RD")</f>
        <v>2405 UPPER NIXON RD</v>
      </c>
      <c r="D10215" t="str">
        <f t="shared" si="3756"/>
        <v>GULFPORT</v>
      </c>
      <c r="E10215" t="str">
        <f t="shared" si="3754"/>
        <v>MS</v>
      </c>
      <c r="F10215" t="str">
        <f>T("395019021")</f>
        <v>395019021</v>
      </c>
      <c r="G10215" t="str">
        <f>T("2405 CBC UPPER NIXON BLDG 329")</f>
        <v>2405 CBC UPPER NIXON BLDG 329</v>
      </c>
      <c r="H10215" t="str">
        <f>T("")</f>
        <v/>
      </c>
      <c r="I10215" t="str">
        <f t="shared" si="3757"/>
        <v>GULFPORT</v>
      </c>
      <c r="J10215" t="str">
        <f t="shared" si="3755"/>
        <v>MS</v>
      </c>
      <c r="K10215" t="str">
        <f>T("000000000000000000")</f>
        <v>000000000000000000</v>
      </c>
      <c r="L10215" t="str">
        <f>T("8888881116")</f>
        <v>8888881116</v>
      </c>
    </row>
    <row r="10216" spans="1:12" x14ac:dyDescent="0.35">
      <c r="A10216" t="str">
        <f t="shared" si="3753"/>
        <v>NAVAL CONST BATT CTR</v>
      </c>
      <c r="B10216" t="str">
        <f>T("CBC CODE 500")</f>
        <v>CBC CODE 500</v>
      </c>
      <c r="C10216" t="str">
        <f>T("2405 UPPER NIXON RD")</f>
        <v>2405 UPPER NIXON RD</v>
      </c>
      <c r="D10216" t="str">
        <f t="shared" si="3756"/>
        <v>GULFPORT</v>
      </c>
      <c r="E10216" t="str">
        <f t="shared" si="3754"/>
        <v>MS</v>
      </c>
      <c r="F10216" t="str">
        <f>T("395019021")</f>
        <v>395019021</v>
      </c>
      <c r="G10216" t="str">
        <f>T("CBC CODE 500")</f>
        <v>CBC CODE 500</v>
      </c>
      <c r="H10216" t="str">
        <f>T("2405 UPPER NIXON RD")</f>
        <v>2405 UPPER NIXON RD</v>
      </c>
      <c r="I10216" t="str">
        <f t="shared" si="3757"/>
        <v>GULFPORT</v>
      </c>
      <c r="J10216" t="str">
        <f t="shared" si="3755"/>
        <v>MS</v>
      </c>
      <c r="K10216" t="str">
        <f>T("")</f>
        <v/>
      </c>
      <c r="L10216" t="str">
        <f>T("2288714282")</f>
        <v>2288714282</v>
      </c>
    </row>
    <row r="10217" spans="1:12" x14ac:dyDescent="0.35">
      <c r="A10217" t="str">
        <f t="shared" si="3753"/>
        <v>NAVAL CONST BATT CTR</v>
      </c>
      <c r="B10217" t="str">
        <f>T("CBC CODE 810")</f>
        <v>CBC CODE 810</v>
      </c>
      <c r="C10217" t="str">
        <f>T("1700 DEWEY AVE")</f>
        <v>1700 DEWEY AVE</v>
      </c>
      <c r="D10217" t="str">
        <f t="shared" si="3756"/>
        <v>GULFPORT</v>
      </c>
      <c r="E10217" t="str">
        <f t="shared" si="3754"/>
        <v>MS</v>
      </c>
      <c r="F10217" t="str">
        <f>T("395010000")</f>
        <v>395010000</v>
      </c>
      <c r="G10217" t="str">
        <f>T("CBC CODE 810")</f>
        <v>CBC CODE 810</v>
      </c>
      <c r="H10217" t="str">
        <f>T("1700 DEWEY AVE")</f>
        <v>1700 DEWEY AVE</v>
      </c>
      <c r="I10217" t="str">
        <f t="shared" si="3757"/>
        <v>GULFPORT</v>
      </c>
      <c r="J10217" t="str">
        <f t="shared" si="3755"/>
        <v>MS</v>
      </c>
      <c r="K10217" t="str">
        <f>T("")</f>
        <v/>
      </c>
      <c r="L10217" t="str">
        <f>T("2288713117")</f>
        <v>2288713117</v>
      </c>
    </row>
    <row r="10218" spans="1:12" x14ac:dyDescent="0.35">
      <c r="A10218" t="str">
        <f t="shared" si="3753"/>
        <v>NAVAL CONST BATT CTR</v>
      </c>
      <c r="B10218" t="str">
        <f>T("CBC CODE 810")</f>
        <v>CBC CODE 810</v>
      </c>
      <c r="C10218" t="str">
        <f>T("1700 DEWEY AVE")</f>
        <v>1700 DEWEY AVE</v>
      </c>
      <c r="D10218" t="str">
        <f t="shared" si="3756"/>
        <v>GULFPORT</v>
      </c>
      <c r="E10218" t="str">
        <f t="shared" si="3754"/>
        <v>MS</v>
      </c>
      <c r="F10218" t="str">
        <f>T("395010000")</f>
        <v>395010000</v>
      </c>
      <c r="G10218" t="str">
        <f>T("NCBC GULFPORT MS")</f>
        <v>NCBC GULFPORT MS</v>
      </c>
      <c r="H10218" t="str">
        <f>T("5000 7TH ST")</f>
        <v>5000 7TH ST</v>
      </c>
      <c r="I10218" t="str">
        <f t="shared" si="3757"/>
        <v>GULFPORT</v>
      </c>
      <c r="J10218" t="str">
        <f t="shared" si="3755"/>
        <v>MS</v>
      </c>
      <c r="K10218" t="str">
        <f>T("000000000000000000")</f>
        <v>000000000000000000</v>
      </c>
      <c r="L10218" t="str">
        <f>T("2288713082")</f>
        <v>2288713082</v>
      </c>
    </row>
    <row r="10219" spans="1:12" x14ac:dyDescent="0.35">
      <c r="A10219" t="str">
        <f t="shared" si="3753"/>
        <v>NAVAL CONST BATT CTR</v>
      </c>
      <c r="B10219" t="str">
        <f>T("CDC CODE 800")</f>
        <v>CDC CODE 800</v>
      </c>
      <c r="C10219" t="str">
        <f>T("1700 DEWEY AVE")</f>
        <v>1700 DEWEY AVE</v>
      </c>
      <c r="D10219" t="str">
        <f t="shared" si="3756"/>
        <v>GULFPORT</v>
      </c>
      <c r="E10219" t="str">
        <f t="shared" si="3754"/>
        <v>MS</v>
      </c>
      <c r="F10219" t="str">
        <f>T("395010000")</f>
        <v>395010000</v>
      </c>
      <c r="G10219" t="str">
        <f>T("5200 DEWEY AVE")</f>
        <v>5200 DEWEY AVE</v>
      </c>
      <c r="H10219" t="str">
        <f>T("BLDG 436")</f>
        <v>BLDG 436</v>
      </c>
      <c r="I10219" t="str">
        <f t="shared" si="3757"/>
        <v>GULFPORT</v>
      </c>
      <c r="J10219" t="str">
        <f t="shared" si="3755"/>
        <v>MS</v>
      </c>
      <c r="K10219" t="str">
        <f>T("000000000000000000")</f>
        <v>000000000000000000</v>
      </c>
      <c r="L10219" t="str">
        <f>T("2288714032")</f>
        <v>2288714032</v>
      </c>
    </row>
    <row r="10220" spans="1:12" x14ac:dyDescent="0.35">
      <c r="A10220" t="str">
        <f t="shared" si="3753"/>
        <v>NAVAL CONST BATT CTR</v>
      </c>
      <c r="B10220" t="str">
        <f>T("CDC CODE 800")</f>
        <v>CDC CODE 800</v>
      </c>
      <c r="C10220" t="str">
        <f>T("1700 DEWEY AVE")</f>
        <v>1700 DEWEY AVE</v>
      </c>
      <c r="D10220" t="str">
        <f t="shared" si="3756"/>
        <v>GULFPORT</v>
      </c>
      <c r="E10220" t="str">
        <f t="shared" si="3754"/>
        <v>MS</v>
      </c>
      <c r="F10220" t="str">
        <f>T("395010000")</f>
        <v>395010000</v>
      </c>
      <c r="G10220" t="str">
        <f>T("CDC CODE 800")</f>
        <v>CDC CODE 800</v>
      </c>
      <c r="H10220" t="str">
        <f>T("1700 DEWEY AVE")</f>
        <v>1700 DEWEY AVE</v>
      </c>
      <c r="I10220" t="str">
        <f t="shared" si="3757"/>
        <v>GULFPORT</v>
      </c>
      <c r="J10220" t="str">
        <f t="shared" si="3755"/>
        <v>MS</v>
      </c>
      <c r="K10220" t="str">
        <f>T("")</f>
        <v/>
      </c>
      <c r="L10220" t="str">
        <f>T("2288713599")</f>
        <v>2288713599</v>
      </c>
    </row>
    <row r="10221" spans="1:12" x14ac:dyDescent="0.35">
      <c r="A10221" t="str">
        <f t="shared" ref="A10221:A10243" si="3758">T("NAS MERIDAN")</f>
        <v>NAS MERIDAN</v>
      </c>
      <c r="B10221" t="str">
        <f>T("1155 ROSENBAUM AVE")</f>
        <v>1155 ROSENBAUM AVE</v>
      </c>
      <c r="C10221" t="str">
        <f>T("BLDG 207")</f>
        <v>BLDG 207</v>
      </c>
      <c r="D10221" t="str">
        <f>T("MERIDIAN")</f>
        <v>MERIDIAN</v>
      </c>
      <c r="E10221" t="str">
        <f t="shared" si="3754"/>
        <v>MS</v>
      </c>
      <c r="F10221" t="str">
        <f>T("393095062")</f>
        <v>393095062</v>
      </c>
      <c r="G10221" t="str">
        <f>T("1155 ROSENBAUM AVE")</f>
        <v>1155 ROSENBAUM AVE</v>
      </c>
      <c r="H10221" t="str">
        <f>T("BLDG 207")</f>
        <v>BLDG 207</v>
      </c>
      <c r="I10221" t="str">
        <f>T("MERIDIAN")</f>
        <v>MERIDIAN</v>
      </c>
      <c r="J10221" t="str">
        <f t="shared" si="3755"/>
        <v>MS</v>
      </c>
      <c r="K10221" t="str">
        <f>T("")</f>
        <v/>
      </c>
      <c r="L10221" t="str">
        <f>T("3016792712")</f>
        <v>3016792712</v>
      </c>
    </row>
    <row r="10222" spans="1:12" x14ac:dyDescent="0.35">
      <c r="A10222" t="str">
        <f t="shared" si="3758"/>
        <v>NAS MERIDAN</v>
      </c>
      <c r="B10222" t="str">
        <f>T("1155 ROSENBAUM AVE")</f>
        <v>1155 ROSENBAUM AVE</v>
      </c>
      <c r="C10222" t="str">
        <f>T("BLDG 207")</f>
        <v>BLDG 207</v>
      </c>
      <c r="D10222" t="str">
        <f>T("MERIDIAN")</f>
        <v>MERIDIAN</v>
      </c>
      <c r="E10222" t="str">
        <f t="shared" si="3754"/>
        <v>MS</v>
      </c>
      <c r="F10222" t="str">
        <f>T("393095062")</f>
        <v>393095062</v>
      </c>
      <c r="G10222" t="str">
        <f>T("207 FULLER RD")</f>
        <v>207 FULLER RD</v>
      </c>
      <c r="H10222" t="str">
        <f>T("GALLEY")</f>
        <v>GALLEY</v>
      </c>
      <c r="I10222" t="str">
        <f>T("MERIDIAN")</f>
        <v>MERIDIAN</v>
      </c>
      <c r="J10222" t="str">
        <f t="shared" si="3755"/>
        <v>MS</v>
      </c>
      <c r="K10222" t="str">
        <f>T("000000000000000000")</f>
        <v>000000000000000000</v>
      </c>
      <c r="L10222" t="str">
        <f>T("6016792712")</f>
        <v>6016792712</v>
      </c>
    </row>
    <row r="10223" spans="1:12" x14ac:dyDescent="0.35">
      <c r="A10223" t="str">
        <f t="shared" si="3758"/>
        <v>NAS MERIDAN</v>
      </c>
      <c r="B10223" t="str">
        <f>T("211 FULLER ROAD")</f>
        <v>211 FULLER ROAD</v>
      </c>
      <c r="C10223" t="str">
        <f>T("")</f>
        <v/>
      </c>
      <c r="D10223" t="str">
        <f>T("MERIDIAN")</f>
        <v>MERIDIAN</v>
      </c>
      <c r="E10223" t="str">
        <f t="shared" si="3754"/>
        <v>MS</v>
      </c>
      <c r="F10223" t="str">
        <f t="shared" ref="F10223:F10236" si="3759">T("393090001")</f>
        <v>393090001</v>
      </c>
      <c r="G10223" t="str">
        <f>T("211 FULLER RD")</f>
        <v>211 FULLER RD</v>
      </c>
      <c r="H10223" t="str">
        <f>T("")</f>
        <v/>
      </c>
      <c r="I10223" t="str">
        <f>T("MERIDIAN")</f>
        <v>MERIDIAN</v>
      </c>
      <c r="J10223" t="str">
        <f t="shared" si="3755"/>
        <v>MS</v>
      </c>
      <c r="K10223" t="str">
        <f>T("000000000000000000")</f>
        <v>000000000000000000</v>
      </c>
      <c r="L10223" t="str">
        <f>T("6016793635")</f>
        <v>6016793635</v>
      </c>
    </row>
    <row r="10224" spans="1:12" x14ac:dyDescent="0.35">
      <c r="A10224" t="str">
        <f t="shared" si="3758"/>
        <v>NAS MERIDAN</v>
      </c>
      <c r="B10224" t="str">
        <f>T("211 FULLER ROAD")</f>
        <v>211 FULLER ROAD</v>
      </c>
      <c r="C10224" t="str">
        <f>T("")</f>
        <v/>
      </c>
      <c r="D10224" t="str">
        <f>T("MERIDIAN")</f>
        <v>MERIDIAN</v>
      </c>
      <c r="E10224" t="str">
        <f t="shared" si="3754"/>
        <v>MS</v>
      </c>
      <c r="F10224" t="str">
        <f t="shared" si="3759"/>
        <v>393090001</v>
      </c>
      <c r="G10224" t="str">
        <f>T("211 FULLER ROAD")</f>
        <v>211 FULLER ROAD</v>
      </c>
      <c r="H10224" t="str">
        <f>T("")</f>
        <v/>
      </c>
      <c r="I10224" t="str">
        <f>T("MERIDIAN")</f>
        <v>MERIDIAN</v>
      </c>
      <c r="J10224" t="str">
        <f t="shared" si="3755"/>
        <v>MS</v>
      </c>
      <c r="K10224" t="str">
        <f>T("")</f>
        <v/>
      </c>
      <c r="L10224" t="str">
        <f>T("6016793635")</f>
        <v>6016793635</v>
      </c>
    </row>
    <row r="10225" spans="1:12" x14ac:dyDescent="0.35">
      <c r="A10225" t="str">
        <f t="shared" si="3758"/>
        <v>NAS MERIDAN</v>
      </c>
      <c r="B10225" t="str">
        <f>T("255 ROSENBAUM AVE")</f>
        <v>255 ROSENBAUM AVE</v>
      </c>
      <c r="C10225" t="str">
        <f>T("SUITE 226")</f>
        <v>SUITE 226</v>
      </c>
      <c r="D10225" t="str">
        <f>T("NAS MERIDIAN")</f>
        <v>NAS MERIDIAN</v>
      </c>
      <c r="E10225" t="str">
        <f t="shared" si="3754"/>
        <v>MS</v>
      </c>
      <c r="F10225" t="str">
        <f t="shared" si="3759"/>
        <v>393090001</v>
      </c>
      <c r="G10225" t="str">
        <f>T("255 ROSENBAUM AVE")</f>
        <v>255 ROSENBAUM AVE</v>
      </c>
      <c r="H10225" t="str">
        <f>T("SUITE 226")</f>
        <v>SUITE 226</v>
      </c>
      <c r="I10225" t="str">
        <f>T("NAS MERIDIAN")</f>
        <v>NAS MERIDIAN</v>
      </c>
      <c r="J10225" t="str">
        <f t="shared" si="3755"/>
        <v>MS</v>
      </c>
      <c r="K10225" t="str">
        <f>T("")</f>
        <v/>
      </c>
      <c r="L10225" t="str">
        <f>T("6016793756")</f>
        <v>6016793756</v>
      </c>
    </row>
    <row r="10226" spans="1:12" x14ac:dyDescent="0.35">
      <c r="A10226" t="str">
        <f t="shared" si="3758"/>
        <v>NAS MERIDAN</v>
      </c>
      <c r="B10226" t="str">
        <f>T("255 ROSENBAUM AVE")</f>
        <v>255 ROSENBAUM AVE</v>
      </c>
      <c r="C10226" t="str">
        <f>T("SUITE 226")</f>
        <v>SUITE 226</v>
      </c>
      <c r="D10226" t="str">
        <f>T("NAS MERIDIAN")</f>
        <v>NAS MERIDIAN</v>
      </c>
      <c r="E10226" t="str">
        <f t="shared" si="3754"/>
        <v>MS</v>
      </c>
      <c r="F10226" t="str">
        <f t="shared" si="3759"/>
        <v>393090001</v>
      </c>
      <c r="G10226" t="str">
        <f>T("255 ROSENBAUM AVE SUITE 226")</f>
        <v>255 ROSENBAUM AVE SUITE 226</v>
      </c>
      <c r="H10226" t="str">
        <f>T("SAFETY DEPARTMENT")</f>
        <v>SAFETY DEPARTMENT</v>
      </c>
      <c r="I10226" t="str">
        <f t="shared" ref="I10226:I10243" si="3760">T("MERIDIAN")</f>
        <v>MERIDIAN</v>
      </c>
      <c r="J10226" t="str">
        <f t="shared" si="3755"/>
        <v>MS</v>
      </c>
      <c r="K10226" t="str">
        <f>T("6016972080")</f>
        <v>6016972080</v>
      </c>
      <c r="L10226" t="str">
        <f>T("6016793754")</f>
        <v>6016793754</v>
      </c>
    </row>
    <row r="10227" spans="1:12" x14ac:dyDescent="0.35">
      <c r="A10227" t="str">
        <f t="shared" si="3758"/>
        <v>NAS MERIDAN</v>
      </c>
      <c r="B10227" t="str">
        <f>T("255 ROSENBAUM AVENUE")</f>
        <v>255 ROSENBAUM AVENUE</v>
      </c>
      <c r="C10227" t="str">
        <f t="shared" ref="C10227:C10234" si="3761">T("")</f>
        <v/>
      </c>
      <c r="D10227" t="str">
        <f t="shared" ref="D10227:D10243" si="3762">T("MERIDIAN")</f>
        <v>MERIDIAN</v>
      </c>
      <c r="E10227" t="str">
        <f t="shared" si="3754"/>
        <v>MS</v>
      </c>
      <c r="F10227" t="str">
        <f t="shared" si="3759"/>
        <v>393090001</v>
      </c>
      <c r="G10227" t="str">
        <f>T("255 ROSENBAUM AVE")</f>
        <v>255 ROSENBAUM AVE</v>
      </c>
      <c r="H10227" t="str">
        <f t="shared" ref="H10227:H10233" si="3763">T("")</f>
        <v/>
      </c>
      <c r="I10227" t="str">
        <f t="shared" si="3760"/>
        <v>MERIDIAN</v>
      </c>
      <c r="J10227" t="str">
        <f t="shared" si="3755"/>
        <v>MS</v>
      </c>
      <c r="K10227" t="str">
        <f>T("000000000000000000")</f>
        <v>000000000000000000</v>
      </c>
      <c r="L10227" t="str">
        <f>T("6016792318")</f>
        <v>6016792318</v>
      </c>
    </row>
    <row r="10228" spans="1:12" x14ac:dyDescent="0.35">
      <c r="A10228" t="str">
        <f t="shared" si="3758"/>
        <v>NAS MERIDAN</v>
      </c>
      <c r="B10228" t="str">
        <f>T("255 ROSENBAUM AVENUE")</f>
        <v>255 ROSENBAUM AVENUE</v>
      </c>
      <c r="C10228" t="str">
        <f t="shared" si="3761"/>
        <v/>
      </c>
      <c r="D10228" t="str">
        <f t="shared" si="3762"/>
        <v>MERIDIAN</v>
      </c>
      <c r="E10228" t="str">
        <f t="shared" si="3754"/>
        <v>MS</v>
      </c>
      <c r="F10228" t="str">
        <f t="shared" si="3759"/>
        <v>393090001</v>
      </c>
      <c r="G10228" t="str">
        <f>T("255 ROSENBAUM AVENUE")</f>
        <v>255 ROSENBAUM AVENUE</v>
      </c>
      <c r="H10228" t="str">
        <f t="shared" si="3763"/>
        <v/>
      </c>
      <c r="I10228" t="str">
        <f t="shared" si="3760"/>
        <v>MERIDIAN</v>
      </c>
      <c r="J10228" t="str">
        <f t="shared" si="3755"/>
        <v>MS</v>
      </c>
      <c r="K10228" t="str">
        <f>T("6016792067")</f>
        <v>6016792067</v>
      </c>
      <c r="L10228" t="str">
        <f>T("6016792181")</f>
        <v>6016792181</v>
      </c>
    </row>
    <row r="10229" spans="1:12" x14ac:dyDescent="0.35">
      <c r="A10229" t="str">
        <f t="shared" si="3758"/>
        <v>NAS MERIDAN</v>
      </c>
      <c r="B10229" t="str">
        <f>T("405 ROSENBAUM AVE")</f>
        <v>405 ROSENBAUM AVE</v>
      </c>
      <c r="C10229" t="str">
        <f t="shared" si="3761"/>
        <v/>
      </c>
      <c r="D10229" t="str">
        <f t="shared" si="3762"/>
        <v>MERIDIAN</v>
      </c>
      <c r="E10229" t="str">
        <f t="shared" si="3754"/>
        <v>MS</v>
      </c>
      <c r="F10229" t="str">
        <f t="shared" si="3759"/>
        <v>393090001</v>
      </c>
      <c r="G10229" t="str">
        <f>T("405 ROSENBAUM AVE")</f>
        <v>405 ROSENBAUM AVE</v>
      </c>
      <c r="H10229" t="str">
        <f t="shared" si="3763"/>
        <v/>
      </c>
      <c r="I10229" t="str">
        <f t="shared" si="3760"/>
        <v>MERIDIAN</v>
      </c>
      <c r="J10229" t="str">
        <f t="shared" si="3755"/>
        <v>MS</v>
      </c>
      <c r="K10229" t="str">
        <f>T("")</f>
        <v/>
      </c>
      <c r="L10229" t="str">
        <f>T("6016792360")</f>
        <v>6016792360</v>
      </c>
    </row>
    <row r="10230" spans="1:12" x14ac:dyDescent="0.35">
      <c r="A10230" t="str">
        <f t="shared" si="3758"/>
        <v>NAS MERIDAN</v>
      </c>
      <c r="B10230" t="str">
        <f>T("405 ROSENBAUM AVE")</f>
        <v>405 ROSENBAUM AVE</v>
      </c>
      <c r="C10230" t="str">
        <f t="shared" si="3761"/>
        <v/>
      </c>
      <c r="D10230" t="str">
        <f t="shared" si="3762"/>
        <v>MERIDIAN</v>
      </c>
      <c r="E10230" t="str">
        <f t="shared" si="3754"/>
        <v>MS</v>
      </c>
      <c r="F10230" t="str">
        <f t="shared" si="3759"/>
        <v>393090001</v>
      </c>
      <c r="G10230" t="str">
        <f>T("405 ROSENBAUM AVENUE")</f>
        <v>405 ROSENBAUM AVENUE</v>
      </c>
      <c r="H10230" t="str">
        <f t="shared" si="3763"/>
        <v/>
      </c>
      <c r="I10230" t="str">
        <f t="shared" si="3760"/>
        <v>MERIDIAN</v>
      </c>
      <c r="J10230" t="str">
        <f t="shared" si="3755"/>
        <v>MS</v>
      </c>
      <c r="K10230" t="str">
        <f>T("6016792191")</f>
        <v>6016792191</v>
      </c>
      <c r="L10230" t="str">
        <f>T("6106792366")</f>
        <v>6106792366</v>
      </c>
    </row>
    <row r="10231" spans="1:12" x14ac:dyDescent="0.35">
      <c r="A10231" t="str">
        <f t="shared" si="3758"/>
        <v>NAS MERIDAN</v>
      </c>
      <c r="B10231" t="str">
        <f>T("423 ROSENBAUM AVE")</f>
        <v>423 ROSENBAUM AVE</v>
      </c>
      <c r="C10231" t="str">
        <f t="shared" si="3761"/>
        <v/>
      </c>
      <c r="D10231" t="str">
        <f t="shared" si="3762"/>
        <v>MERIDIAN</v>
      </c>
      <c r="E10231" t="str">
        <f t="shared" si="3754"/>
        <v>MS</v>
      </c>
      <c r="F10231" t="str">
        <f t="shared" si="3759"/>
        <v>393090001</v>
      </c>
      <c r="G10231" t="str">
        <f>T("423 ROSENBAUM AVE")</f>
        <v>423 ROSENBAUM AVE</v>
      </c>
      <c r="H10231" t="str">
        <f t="shared" si="3763"/>
        <v/>
      </c>
      <c r="I10231" t="str">
        <f t="shared" si="3760"/>
        <v>MERIDIAN</v>
      </c>
      <c r="J10231" t="str">
        <f t="shared" si="3755"/>
        <v>MS</v>
      </c>
      <c r="K10231" t="str">
        <f>T("")</f>
        <v/>
      </c>
      <c r="L10231" t="str">
        <f>T("6016792485")</f>
        <v>6016792485</v>
      </c>
    </row>
    <row r="10232" spans="1:12" x14ac:dyDescent="0.35">
      <c r="A10232" t="str">
        <f t="shared" si="3758"/>
        <v>NAS MERIDAN</v>
      </c>
      <c r="B10232" t="str">
        <f>T("423 ROSENBAUM AVE")</f>
        <v>423 ROSENBAUM AVE</v>
      </c>
      <c r="C10232" t="str">
        <f t="shared" si="3761"/>
        <v/>
      </c>
      <c r="D10232" t="str">
        <f t="shared" si="3762"/>
        <v>MERIDIAN</v>
      </c>
      <c r="E10232" t="str">
        <f t="shared" si="3754"/>
        <v>MS</v>
      </c>
      <c r="F10232" t="str">
        <f t="shared" si="3759"/>
        <v>393090001</v>
      </c>
      <c r="G10232" t="str">
        <f>T("423 ROSENBAUM AVE")</f>
        <v>423 ROSENBAUM AVE</v>
      </c>
      <c r="H10232" t="str">
        <f t="shared" si="3763"/>
        <v/>
      </c>
      <c r="I10232" t="str">
        <f t="shared" si="3760"/>
        <v>MERIDIAN</v>
      </c>
      <c r="J10232" t="str">
        <f t="shared" si="3755"/>
        <v>MS</v>
      </c>
      <c r="K10232" t="str">
        <f>T("000000000000000000")</f>
        <v>000000000000000000</v>
      </c>
      <c r="L10232" t="str">
        <f>T("6016792502")</f>
        <v>6016792502</v>
      </c>
    </row>
    <row r="10233" spans="1:12" x14ac:dyDescent="0.35">
      <c r="A10233" t="str">
        <f t="shared" si="3758"/>
        <v>NAS MERIDAN</v>
      </c>
      <c r="B10233" t="str">
        <f>T("429 ALLEN RD")</f>
        <v>429 ALLEN RD</v>
      </c>
      <c r="C10233" t="str">
        <f t="shared" si="3761"/>
        <v/>
      </c>
      <c r="D10233" t="str">
        <f t="shared" si="3762"/>
        <v>MERIDIAN</v>
      </c>
      <c r="E10233" t="str">
        <f t="shared" si="3754"/>
        <v>MS</v>
      </c>
      <c r="F10233" t="str">
        <f t="shared" si="3759"/>
        <v>393090001</v>
      </c>
      <c r="G10233" t="str">
        <f>T("429 ALLEN RD")</f>
        <v>429 ALLEN RD</v>
      </c>
      <c r="H10233" t="str">
        <f t="shared" si="3763"/>
        <v/>
      </c>
      <c r="I10233" t="str">
        <f t="shared" si="3760"/>
        <v>MERIDIAN</v>
      </c>
      <c r="J10233" t="str">
        <f t="shared" si="3755"/>
        <v>MS</v>
      </c>
      <c r="K10233" t="str">
        <f>T("6016792990")</f>
        <v>6016792990</v>
      </c>
      <c r="L10233" t="str">
        <f>T("6016792922")</f>
        <v>6016792922</v>
      </c>
    </row>
    <row r="10234" spans="1:12" x14ac:dyDescent="0.35">
      <c r="A10234" t="str">
        <f t="shared" si="3758"/>
        <v>NAS MERIDAN</v>
      </c>
      <c r="B10234" t="str">
        <f>T("429 ALLEN RD")</f>
        <v>429 ALLEN RD</v>
      </c>
      <c r="C10234" t="str">
        <f t="shared" si="3761"/>
        <v/>
      </c>
      <c r="D10234" t="str">
        <f t="shared" si="3762"/>
        <v>MERIDIAN</v>
      </c>
      <c r="E10234" t="str">
        <f t="shared" si="3754"/>
        <v>MS</v>
      </c>
      <c r="F10234" t="str">
        <f t="shared" si="3759"/>
        <v>393090001</v>
      </c>
      <c r="G10234" t="str">
        <f>T("ENVIRONMENTAL DEPARTMENT")</f>
        <v>ENVIRONMENTAL DEPARTMENT</v>
      </c>
      <c r="H10234" t="str">
        <f>T("429 ALLEN ROAD")</f>
        <v>429 ALLEN ROAD</v>
      </c>
      <c r="I10234" t="str">
        <f t="shared" si="3760"/>
        <v>MERIDIAN</v>
      </c>
      <c r="J10234" t="str">
        <f t="shared" si="3755"/>
        <v>MS</v>
      </c>
      <c r="K10234" t="str">
        <f>T("000000000000000000")</f>
        <v>000000000000000000</v>
      </c>
      <c r="L10234" t="str">
        <f>T("6016793302")</f>
        <v>6016793302</v>
      </c>
    </row>
    <row r="10235" spans="1:12" x14ac:dyDescent="0.35">
      <c r="A10235" t="str">
        <f t="shared" si="3758"/>
        <v>NAS MERIDAN</v>
      </c>
      <c r="B10235" t="str">
        <f>T("AIR OPERATIONS")</f>
        <v>AIR OPERATIONS</v>
      </c>
      <c r="C10235" t="str">
        <f>T("100 FULLER RD")</f>
        <v>100 FULLER RD</v>
      </c>
      <c r="D10235" t="str">
        <f t="shared" si="3762"/>
        <v>MERIDIAN</v>
      </c>
      <c r="E10235" t="str">
        <f t="shared" si="3754"/>
        <v>MS</v>
      </c>
      <c r="F10235" t="str">
        <f t="shared" si="3759"/>
        <v>393090001</v>
      </c>
      <c r="G10235" t="str">
        <f>T("100 FULLER ROAD SUITE 151")</f>
        <v>100 FULLER ROAD SUITE 151</v>
      </c>
      <c r="H10235" t="str">
        <f>T("NAVAL AIR STATION")</f>
        <v>NAVAL AIR STATION</v>
      </c>
      <c r="I10235" t="str">
        <f t="shared" si="3760"/>
        <v>MERIDIAN</v>
      </c>
      <c r="J10235" t="str">
        <f t="shared" si="3755"/>
        <v>MS</v>
      </c>
      <c r="K10235" t="str">
        <f>T("000000000000000000")</f>
        <v>000000000000000000</v>
      </c>
      <c r="L10235" t="str">
        <f>T("6016792563")</f>
        <v>6016792563</v>
      </c>
    </row>
    <row r="10236" spans="1:12" x14ac:dyDescent="0.35">
      <c r="A10236" t="str">
        <f t="shared" si="3758"/>
        <v>NAS MERIDAN</v>
      </c>
      <c r="B10236" t="str">
        <f>T("AIR OPERATIONS")</f>
        <v>AIR OPERATIONS</v>
      </c>
      <c r="C10236" t="str">
        <f>T("100 FULLER RD")</f>
        <v>100 FULLER RD</v>
      </c>
      <c r="D10236" t="str">
        <f t="shared" si="3762"/>
        <v>MERIDIAN</v>
      </c>
      <c r="E10236" t="str">
        <f t="shared" si="3754"/>
        <v>MS</v>
      </c>
      <c r="F10236" t="str">
        <f t="shared" si="3759"/>
        <v>393090001</v>
      </c>
      <c r="G10236" t="str">
        <f>T("AIR OPERATIONS")</f>
        <v>AIR OPERATIONS</v>
      </c>
      <c r="H10236" t="str">
        <f>T("100 FULLER RD")</f>
        <v>100 FULLER RD</v>
      </c>
      <c r="I10236" t="str">
        <f t="shared" si="3760"/>
        <v>MERIDIAN</v>
      </c>
      <c r="J10236" t="str">
        <f t="shared" si="3755"/>
        <v>MS</v>
      </c>
      <c r="K10236" t="str">
        <f>T("")</f>
        <v/>
      </c>
      <c r="L10236" t="str">
        <f>T("6016792505")</f>
        <v>6016792505</v>
      </c>
    </row>
    <row r="10237" spans="1:12" x14ac:dyDescent="0.35">
      <c r="A10237" t="str">
        <f t="shared" si="3758"/>
        <v>NAS MERIDAN</v>
      </c>
      <c r="B10237" t="str">
        <f>T("BACHELOR HOUSING")</f>
        <v>BACHELOR HOUSING</v>
      </c>
      <c r="C10237" t="str">
        <f>T("208 HIGLEY RD")</f>
        <v>208 HIGLEY RD</v>
      </c>
      <c r="D10237" t="str">
        <f t="shared" si="3762"/>
        <v>MERIDIAN</v>
      </c>
      <c r="E10237" t="str">
        <f t="shared" si="3754"/>
        <v>MS</v>
      </c>
      <c r="F10237" t="str">
        <f>T("393051008")</f>
        <v>393051008</v>
      </c>
      <c r="G10237" t="str">
        <f>T("255 ROSENBAUM AVE")</f>
        <v>255 ROSENBAUM AVE</v>
      </c>
      <c r="H10237" t="str">
        <f>T("NAS MERIDIAN")</f>
        <v>NAS MERIDIAN</v>
      </c>
      <c r="I10237" t="str">
        <f t="shared" si="3760"/>
        <v>MERIDIAN</v>
      </c>
      <c r="J10237" t="str">
        <f t="shared" si="3755"/>
        <v>MS</v>
      </c>
      <c r="K10237" t="str">
        <f>T("000000000000000000")</f>
        <v>000000000000000000</v>
      </c>
      <c r="L10237" t="str">
        <f>T("6016792649")</f>
        <v>6016792649</v>
      </c>
    </row>
    <row r="10238" spans="1:12" x14ac:dyDescent="0.35">
      <c r="A10238" t="str">
        <f t="shared" si="3758"/>
        <v>NAS MERIDAN</v>
      </c>
      <c r="B10238" t="str">
        <f>T("BACHELOR HOUSING")</f>
        <v>BACHELOR HOUSING</v>
      </c>
      <c r="C10238" t="str">
        <f>T("208 HIGLEY RD")</f>
        <v>208 HIGLEY RD</v>
      </c>
      <c r="D10238" t="str">
        <f t="shared" si="3762"/>
        <v>MERIDIAN</v>
      </c>
      <c r="E10238" t="str">
        <f t="shared" si="3754"/>
        <v>MS</v>
      </c>
      <c r="F10238" t="str">
        <f>T("393051008")</f>
        <v>393051008</v>
      </c>
      <c r="G10238" t="str">
        <f>T("BACHELOR HOUSING")</f>
        <v>BACHELOR HOUSING</v>
      </c>
      <c r="H10238" t="str">
        <f>T("208 HIGLEY RD")</f>
        <v>208 HIGLEY RD</v>
      </c>
      <c r="I10238" t="str">
        <f t="shared" si="3760"/>
        <v>MERIDIAN</v>
      </c>
      <c r="J10238" t="str">
        <f t="shared" si="3755"/>
        <v>MS</v>
      </c>
      <c r="K10238" t="str">
        <f>T("")</f>
        <v/>
      </c>
      <c r="L10238" t="str">
        <f>T("6016792616")</f>
        <v>6016792616</v>
      </c>
    </row>
    <row r="10239" spans="1:12" x14ac:dyDescent="0.35">
      <c r="A10239" t="str">
        <f t="shared" si="3758"/>
        <v>NAS MERIDAN</v>
      </c>
      <c r="B10239" t="str">
        <f>T("FIRE DEPARTMENT")</f>
        <v>FIRE DEPARTMENT</v>
      </c>
      <c r="C10239" t="str">
        <f>T("BLDG #3, FULLER ROAD")</f>
        <v>BLDG #3, FULLER ROAD</v>
      </c>
      <c r="D10239" t="str">
        <f t="shared" si="3762"/>
        <v>MERIDIAN</v>
      </c>
      <c r="E10239" t="str">
        <f t="shared" si="3754"/>
        <v>MS</v>
      </c>
      <c r="F10239" t="str">
        <f>T("393090001")</f>
        <v>393090001</v>
      </c>
      <c r="G10239" t="str">
        <f>T("51 FULLER ROAD")</f>
        <v>51 FULLER ROAD</v>
      </c>
      <c r="H10239" t="str">
        <f>T("")</f>
        <v/>
      </c>
      <c r="I10239" t="str">
        <f t="shared" si="3760"/>
        <v>MERIDIAN</v>
      </c>
      <c r="J10239" t="str">
        <f t="shared" si="3755"/>
        <v>MS</v>
      </c>
      <c r="K10239" t="str">
        <f>T("000000000000000000")</f>
        <v>000000000000000000</v>
      </c>
      <c r="L10239" t="str">
        <f>T("6016792589")</f>
        <v>6016792589</v>
      </c>
    </row>
    <row r="10240" spans="1:12" x14ac:dyDescent="0.35">
      <c r="A10240" t="str">
        <f t="shared" si="3758"/>
        <v>NAS MERIDAN</v>
      </c>
      <c r="B10240" t="str">
        <f>T("FIRE DEPARTMENT")</f>
        <v>FIRE DEPARTMENT</v>
      </c>
      <c r="C10240" t="str">
        <f>T("BLDG #3, FULLER ROAD")</f>
        <v>BLDG #3, FULLER ROAD</v>
      </c>
      <c r="D10240" t="str">
        <f t="shared" si="3762"/>
        <v>MERIDIAN</v>
      </c>
      <c r="E10240" t="str">
        <f t="shared" si="3754"/>
        <v>MS</v>
      </c>
      <c r="F10240" t="str">
        <f>T("393090001")</f>
        <v>393090001</v>
      </c>
      <c r="G10240" t="str">
        <f>T("FIRE DEPARTMENT")</f>
        <v>FIRE DEPARTMENT</v>
      </c>
      <c r="H10240" t="str">
        <f>T("BLDG #3, FULLER ROAD")</f>
        <v>BLDG #3, FULLER ROAD</v>
      </c>
      <c r="I10240" t="str">
        <f t="shared" si="3760"/>
        <v>MERIDIAN</v>
      </c>
      <c r="J10240" t="str">
        <f t="shared" si="3755"/>
        <v>MS</v>
      </c>
      <c r="K10240" t="str">
        <f>T("6016793023")</f>
        <v>6016793023</v>
      </c>
      <c r="L10240" t="str">
        <f>T("6016792589")</f>
        <v>6016792589</v>
      </c>
    </row>
    <row r="10241" spans="1:12" x14ac:dyDescent="0.35">
      <c r="A10241" t="str">
        <f t="shared" si="3758"/>
        <v>NAS MERIDAN</v>
      </c>
      <c r="B10241" t="str">
        <f>T("PUBLIC WORKS DEPT")</f>
        <v>PUBLIC WORKS DEPT</v>
      </c>
      <c r="C10241" t="str">
        <f>T("229 ALLEN RD")</f>
        <v>229 ALLEN RD</v>
      </c>
      <c r="D10241" t="str">
        <f t="shared" si="3762"/>
        <v>MERIDIAN</v>
      </c>
      <c r="E10241" t="str">
        <f t="shared" si="3754"/>
        <v>MS</v>
      </c>
      <c r="F10241" t="str">
        <f>T("393090001")</f>
        <v>393090001</v>
      </c>
      <c r="G10241" t="str">
        <f>T("229 ALLEN ROAD")</f>
        <v>229 ALLEN ROAD</v>
      </c>
      <c r="H10241" t="str">
        <f>T("")</f>
        <v/>
      </c>
      <c r="I10241" t="str">
        <f t="shared" si="3760"/>
        <v>MERIDIAN</v>
      </c>
      <c r="J10241" t="str">
        <f t="shared" si="3755"/>
        <v>MS</v>
      </c>
      <c r="K10241" t="str">
        <f>T("6016793372")</f>
        <v>6016793372</v>
      </c>
      <c r="L10241" t="str">
        <f>T("6016793314")</f>
        <v>6016793314</v>
      </c>
    </row>
    <row r="10242" spans="1:12" x14ac:dyDescent="0.35">
      <c r="A10242" t="str">
        <f t="shared" si="3758"/>
        <v>NAS MERIDAN</v>
      </c>
      <c r="B10242" t="str">
        <f>T("PUBLIC WORKS DEPT")</f>
        <v>PUBLIC WORKS DEPT</v>
      </c>
      <c r="C10242" t="str">
        <f>T("229 ALLEN RD")</f>
        <v>229 ALLEN RD</v>
      </c>
      <c r="D10242" t="str">
        <f t="shared" si="3762"/>
        <v>MERIDIAN</v>
      </c>
      <c r="E10242" t="str">
        <f t="shared" si="3754"/>
        <v>MS</v>
      </c>
      <c r="F10242" t="str">
        <f>T("393090001")</f>
        <v>393090001</v>
      </c>
      <c r="G10242" t="str">
        <f>T("NAS MERIDIAN PW DEPT")</f>
        <v>NAS MERIDIAN PW DEPT</v>
      </c>
      <c r="H10242" t="str">
        <f>T("229 ALLEN ROAD")</f>
        <v>229 ALLEN ROAD</v>
      </c>
      <c r="I10242" t="str">
        <f t="shared" si="3760"/>
        <v>MERIDIAN</v>
      </c>
      <c r="J10242" t="str">
        <f t="shared" si="3755"/>
        <v>MS</v>
      </c>
      <c r="K10242" t="str">
        <f>T("000000000000000000")</f>
        <v>000000000000000000</v>
      </c>
      <c r="L10242" t="str">
        <f>T("6016792959")</f>
        <v>6016792959</v>
      </c>
    </row>
    <row r="10243" spans="1:12" x14ac:dyDescent="0.35">
      <c r="A10243" t="str">
        <f t="shared" si="3758"/>
        <v>NAS MERIDAN</v>
      </c>
      <c r="B10243" t="str">
        <f>T("PUBLIC WORKS DEPT")</f>
        <v>PUBLIC WORKS DEPT</v>
      </c>
      <c r="C10243" t="str">
        <f>T("229 ALLEN RD")</f>
        <v>229 ALLEN RD</v>
      </c>
      <c r="D10243" t="str">
        <f t="shared" si="3762"/>
        <v>MERIDIAN</v>
      </c>
      <c r="E10243" t="str">
        <f t="shared" si="3754"/>
        <v>MS</v>
      </c>
      <c r="F10243" t="str">
        <f>T("393090001")</f>
        <v>393090001</v>
      </c>
      <c r="G10243" t="str">
        <f>T("PUBLIC WORKS DEPT")</f>
        <v>PUBLIC WORKS DEPT</v>
      </c>
      <c r="H10243" t="str">
        <f>T("229 ALLEN RD")</f>
        <v>229 ALLEN RD</v>
      </c>
      <c r="I10243" t="str">
        <f t="shared" si="3760"/>
        <v>MERIDIAN</v>
      </c>
      <c r="J10243" t="str">
        <f t="shared" si="3755"/>
        <v>MS</v>
      </c>
      <c r="K10243" t="str">
        <f>T("")</f>
        <v/>
      </c>
      <c r="L10243" t="str">
        <f>T("6016792919")</f>
        <v>6016792919</v>
      </c>
    </row>
    <row r="10244" spans="1:12" x14ac:dyDescent="0.35">
      <c r="A10244" t="str">
        <f t="shared" ref="A10244:A10264" si="3764">T("JRB FORT WORTH")</f>
        <v>JRB FORT WORTH</v>
      </c>
      <c r="B10244" t="str">
        <f>T("1215 DEPOT AVE")</f>
        <v>1215 DEPOT AVE</v>
      </c>
      <c r="C10244" t="str">
        <f>T("NAS JRB FORT WORTH")</f>
        <v>NAS JRB FORT WORTH</v>
      </c>
      <c r="D10244" t="str">
        <f t="shared" ref="D10244:D10264" si="3765">T("FORT WORTH")</f>
        <v>FORT WORTH</v>
      </c>
      <c r="E10244" t="str">
        <f t="shared" ref="E10244:E10264" si="3766">T("TX")</f>
        <v>TX</v>
      </c>
      <c r="F10244" t="str">
        <f>T("761271054")</f>
        <v>761271054</v>
      </c>
      <c r="G10244" t="str">
        <f>T("1215 DEPOT AVE")</f>
        <v>1215 DEPOT AVE</v>
      </c>
      <c r="H10244" t="str">
        <f>T("NAS JRB FORT WORTH")</f>
        <v>NAS JRB FORT WORTH</v>
      </c>
      <c r="I10244" t="str">
        <f>T("FORT WORTH")</f>
        <v>FORT WORTH</v>
      </c>
      <c r="J10244" t="str">
        <f t="shared" ref="J10244:J10264" si="3767">T("TX")</f>
        <v>TX</v>
      </c>
      <c r="K10244" t="str">
        <f>T("8177825562")</f>
        <v>8177825562</v>
      </c>
      <c r="L10244" t="str">
        <f>T("8177825298")</f>
        <v>8177825298</v>
      </c>
    </row>
    <row r="10245" spans="1:12" x14ac:dyDescent="0.35">
      <c r="A10245" t="str">
        <f t="shared" si="3764"/>
        <v>JRB FORT WORTH</v>
      </c>
      <c r="B10245" t="str">
        <f>T("1215 DEPOT AVE")</f>
        <v>1215 DEPOT AVE</v>
      </c>
      <c r="C10245" t="str">
        <f>T("NAS JRB FORT WORTH")</f>
        <v>NAS JRB FORT WORTH</v>
      </c>
      <c r="D10245" t="str">
        <f t="shared" si="3765"/>
        <v>FORT WORTH</v>
      </c>
      <c r="E10245" t="str">
        <f t="shared" si="3766"/>
        <v>TX</v>
      </c>
      <c r="F10245" t="str">
        <f>T("761271054")</f>
        <v>761271054</v>
      </c>
      <c r="G10245" t="str">
        <f>T("1215 DEPOT AVE")</f>
        <v>1215 DEPOT AVE</v>
      </c>
      <c r="H10245" t="str">
        <f>T("NAS JRB FORT WORTH")</f>
        <v>NAS JRB FORT WORTH</v>
      </c>
      <c r="I10245" t="str">
        <f>T("NAVAL AIR STATION JRB")</f>
        <v>NAVAL AIR STATION JRB</v>
      </c>
      <c r="J10245" t="str">
        <f t="shared" si="3767"/>
        <v>TX</v>
      </c>
      <c r="K10245" t="str">
        <f>T("000000000000000000")</f>
        <v>000000000000000000</v>
      </c>
      <c r="L10245" t="str">
        <f>T("8177827452")</f>
        <v>8177827452</v>
      </c>
    </row>
    <row r="10246" spans="1:12" x14ac:dyDescent="0.35">
      <c r="A10246" t="str">
        <f t="shared" si="3764"/>
        <v>JRB FORT WORTH</v>
      </c>
      <c r="B10246" t="str">
        <f>T("1215 DEPOT AVE")</f>
        <v>1215 DEPOT AVE</v>
      </c>
      <c r="C10246" t="str">
        <f>T("NAS JRB FORT WORTH")</f>
        <v>NAS JRB FORT WORTH</v>
      </c>
      <c r="D10246" t="str">
        <f t="shared" si="3765"/>
        <v>FORT WORTH</v>
      </c>
      <c r="E10246" t="str">
        <f t="shared" si="3766"/>
        <v>TX</v>
      </c>
      <c r="F10246" t="str">
        <f>T("761271054")</f>
        <v>761271054</v>
      </c>
      <c r="G10246" t="str">
        <f>T("1215 DEPOT AVENUE")</f>
        <v>1215 DEPOT AVENUE</v>
      </c>
      <c r="H10246" t="str">
        <f>T("NAS JRB FORT WORTH")</f>
        <v>NAS JRB FORT WORTH</v>
      </c>
      <c r="I10246" t="str">
        <f>T("FORT WORTH")</f>
        <v>FORT WORTH</v>
      </c>
      <c r="J10246" t="str">
        <f t="shared" si="3767"/>
        <v>TX</v>
      </c>
      <c r="K10246" t="str">
        <f>T("000000000000000000")</f>
        <v>000000000000000000</v>
      </c>
      <c r="L10246" t="str">
        <f>T("8177826200")</f>
        <v>8177826200</v>
      </c>
    </row>
    <row r="10247" spans="1:12" x14ac:dyDescent="0.35">
      <c r="A10247" t="str">
        <f t="shared" si="3764"/>
        <v>JRB FORT WORTH</v>
      </c>
      <c r="B10247" t="str">
        <f>T("1330 MILITARY PARKWAY")</f>
        <v>1330 MILITARY PARKWAY</v>
      </c>
      <c r="C10247" t="str">
        <f>T("HOUSING OFFICE NAS FORT WORTH")</f>
        <v>HOUSING OFFICE NAS FORT WORTH</v>
      </c>
      <c r="D10247" t="str">
        <f t="shared" si="3765"/>
        <v>FORT WORTH</v>
      </c>
      <c r="E10247" t="str">
        <f t="shared" si="3766"/>
        <v>TX</v>
      </c>
      <c r="F10247" t="str">
        <f>T("761271062")</f>
        <v>761271062</v>
      </c>
      <c r="G10247" t="str">
        <f>T("1330 MILITARY PARKWAY")</f>
        <v>1330 MILITARY PARKWAY</v>
      </c>
      <c r="H10247" t="str">
        <f>T("HOUSING OFFICE NAS FORT WORTH")</f>
        <v>HOUSING OFFICE NAS FORT WORTH</v>
      </c>
      <c r="I10247" t="str">
        <f>T("FORT WORTH")</f>
        <v>FORT WORTH</v>
      </c>
      <c r="J10247" t="str">
        <f t="shared" si="3767"/>
        <v>TX</v>
      </c>
      <c r="K10247" t="str">
        <f>T("8177825724")</f>
        <v>8177825724</v>
      </c>
      <c r="L10247" t="str">
        <f>T("8177825710")</f>
        <v>8177825710</v>
      </c>
    </row>
    <row r="10248" spans="1:12" x14ac:dyDescent="0.35">
      <c r="A10248" t="str">
        <f t="shared" si="3764"/>
        <v>JRB FORT WORTH</v>
      </c>
      <c r="B10248" t="str">
        <f>T("1330 MILITARY PARKWAY")</f>
        <v>1330 MILITARY PARKWAY</v>
      </c>
      <c r="C10248" t="str">
        <f>T("HOUSING OFFICE NAS FORT WORTH")</f>
        <v>HOUSING OFFICE NAS FORT WORTH</v>
      </c>
      <c r="D10248" t="str">
        <f t="shared" si="3765"/>
        <v>FORT WORTH</v>
      </c>
      <c r="E10248" t="str">
        <f t="shared" si="3766"/>
        <v>TX</v>
      </c>
      <c r="F10248" t="str">
        <f>T("761271062")</f>
        <v>761271062</v>
      </c>
      <c r="G10248" t="str">
        <f>T("1330 MILITARY PARKWAY BLDG 1330")</f>
        <v>1330 MILITARY PARKWAY BLDG 1330</v>
      </c>
      <c r="H10248" t="str">
        <f>T("HOUSING OFFICE")</f>
        <v>HOUSING OFFICE</v>
      </c>
      <c r="I10248" t="str">
        <f>T("NAS FORT WORTH")</f>
        <v>NAS FORT WORTH</v>
      </c>
      <c r="J10248" t="str">
        <f t="shared" si="3767"/>
        <v>TX</v>
      </c>
      <c r="K10248" t="str">
        <f>T("000000000000000000")</f>
        <v>000000000000000000</v>
      </c>
      <c r="L10248" t="str">
        <f>T("8177823388")</f>
        <v>8177823388</v>
      </c>
    </row>
    <row r="10249" spans="1:12" x14ac:dyDescent="0.35">
      <c r="A10249" t="str">
        <f t="shared" si="3764"/>
        <v>JRB FORT WORTH</v>
      </c>
      <c r="B10249" t="str">
        <f>T("1336 MILITARY PARKWAY")</f>
        <v>1336 MILITARY PARKWAY</v>
      </c>
      <c r="C10249" t="str">
        <f>T("NAS JRB FT WORTH")</f>
        <v>NAS JRB FT WORTH</v>
      </c>
      <c r="D10249" t="str">
        <f t="shared" si="3765"/>
        <v>FORT WORTH</v>
      </c>
      <c r="E10249" t="str">
        <f t="shared" si="3766"/>
        <v>TX</v>
      </c>
      <c r="F10249" t="str">
        <f>T("761271062")</f>
        <v>761271062</v>
      </c>
      <c r="G10249" t="str">
        <f>T("1336 MILITARY PARKWAY")</f>
        <v>1336 MILITARY PARKWAY</v>
      </c>
      <c r="H10249" t="str">
        <f>T("NAS FORT WORTH JRB")</f>
        <v>NAS FORT WORTH JRB</v>
      </c>
      <c r="I10249" t="str">
        <f t="shared" ref="I10249:I10264" si="3768">T("FORT WORTH")</f>
        <v>FORT WORTH</v>
      </c>
      <c r="J10249" t="str">
        <f t="shared" si="3767"/>
        <v>TX</v>
      </c>
      <c r="K10249" t="str">
        <f>T("8177826267")</f>
        <v>8177826267</v>
      </c>
      <c r="L10249" t="str">
        <f>T("8177827042")</f>
        <v>8177827042</v>
      </c>
    </row>
    <row r="10250" spans="1:12" x14ac:dyDescent="0.35">
      <c r="A10250" t="str">
        <f t="shared" si="3764"/>
        <v>JRB FORT WORTH</v>
      </c>
      <c r="B10250" t="str">
        <f>T("1336 MILITARY PARKWAY")</f>
        <v>1336 MILITARY PARKWAY</v>
      </c>
      <c r="C10250" t="str">
        <f>T("NAS JRB FT WORTH")</f>
        <v>NAS JRB FT WORTH</v>
      </c>
      <c r="D10250" t="str">
        <f t="shared" si="3765"/>
        <v>FORT WORTH</v>
      </c>
      <c r="E10250" t="str">
        <f t="shared" si="3766"/>
        <v>TX</v>
      </c>
      <c r="F10250" t="str">
        <f>T("761271062")</f>
        <v>761271062</v>
      </c>
      <c r="G10250" t="str">
        <f>T("1336 MILITARY PARKWAY")</f>
        <v>1336 MILITARY PARKWAY</v>
      </c>
      <c r="H10250" t="str">
        <f>T("NAS JRB FT WORTH")</f>
        <v>NAS JRB FT WORTH</v>
      </c>
      <c r="I10250" t="str">
        <f t="shared" si="3768"/>
        <v>FORT WORTH</v>
      </c>
      <c r="J10250" t="str">
        <f t="shared" si="3767"/>
        <v>TX</v>
      </c>
      <c r="K10250" t="str">
        <f>T("8177826276")</f>
        <v>8177826276</v>
      </c>
      <c r="L10250" t="str">
        <f>T("8177827006")</f>
        <v>8177827006</v>
      </c>
    </row>
    <row r="10251" spans="1:12" x14ac:dyDescent="0.35">
      <c r="A10251" t="str">
        <f t="shared" si="3764"/>
        <v>JRB FORT WORTH</v>
      </c>
      <c r="B10251" t="str">
        <f t="shared" ref="B10251:B10256" si="3769">T("1425 CARSWELL AVE")</f>
        <v>1425 CARSWELL AVE</v>
      </c>
      <c r="C10251" t="str">
        <f>T("NAS FORT WORTH JRB")</f>
        <v>NAS FORT WORTH JRB</v>
      </c>
      <c r="D10251" t="str">
        <f t="shared" si="3765"/>
        <v>FORT WORTH</v>
      </c>
      <c r="E10251" t="str">
        <f t="shared" si="3766"/>
        <v>TX</v>
      </c>
      <c r="F10251" t="str">
        <f t="shared" ref="F10251:F10256" si="3770">T("761271049")</f>
        <v>761271049</v>
      </c>
      <c r="G10251" t="str">
        <f>T("1425 CARSWELL AVE")</f>
        <v>1425 CARSWELL AVE</v>
      </c>
      <c r="H10251" t="str">
        <f>T("NAS FORT WORTH JRB")</f>
        <v>NAS FORT WORTH JRB</v>
      </c>
      <c r="I10251" t="str">
        <f t="shared" si="3768"/>
        <v>FORT WORTH</v>
      </c>
      <c r="J10251" t="str">
        <f t="shared" si="3767"/>
        <v>TX</v>
      </c>
      <c r="K10251" t="str">
        <f>T("8177826338")</f>
        <v>8177826338</v>
      </c>
      <c r="L10251" t="str">
        <f>T("8177826336")</f>
        <v>8177826336</v>
      </c>
    </row>
    <row r="10252" spans="1:12" x14ac:dyDescent="0.35">
      <c r="A10252" t="str">
        <f t="shared" si="3764"/>
        <v>JRB FORT WORTH</v>
      </c>
      <c r="B10252" t="str">
        <f t="shared" si="3769"/>
        <v>1425 CARSWELL AVE</v>
      </c>
      <c r="C10252" t="str">
        <f>T("NAS FORT WORTH JRB")</f>
        <v>NAS FORT WORTH JRB</v>
      </c>
      <c r="D10252" t="str">
        <f t="shared" si="3765"/>
        <v>FORT WORTH</v>
      </c>
      <c r="E10252" t="str">
        <f t="shared" si="3766"/>
        <v>TX</v>
      </c>
      <c r="F10252" t="str">
        <f t="shared" si="3770"/>
        <v>761271049</v>
      </c>
      <c r="G10252" t="str">
        <f>T("NAS FORT WORTH FIRE DEPARTMENT")</f>
        <v>NAS FORT WORTH FIRE DEPARTMENT</v>
      </c>
      <c r="H10252" t="str">
        <f>T("1425 CARSWELL AVE")</f>
        <v>1425 CARSWELL AVE</v>
      </c>
      <c r="I10252" t="str">
        <f t="shared" si="3768"/>
        <v>FORT WORTH</v>
      </c>
      <c r="J10252" t="str">
        <f t="shared" si="3767"/>
        <v>TX</v>
      </c>
      <c r="K10252" t="str">
        <f>T("000000000000000000")</f>
        <v>000000000000000000</v>
      </c>
      <c r="L10252" t="str">
        <f>T("8177827034")</f>
        <v>8177827034</v>
      </c>
    </row>
    <row r="10253" spans="1:12" x14ac:dyDescent="0.35">
      <c r="A10253" t="str">
        <f t="shared" si="3764"/>
        <v>JRB FORT WORTH</v>
      </c>
      <c r="B10253" t="str">
        <f t="shared" si="3769"/>
        <v>1425 CARSWELL AVE</v>
      </c>
      <c r="C10253" t="str">
        <f>T("NAS FORT WORTH JRB")</f>
        <v>NAS FORT WORTH JRB</v>
      </c>
      <c r="D10253" t="str">
        <f t="shared" si="3765"/>
        <v>FORT WORTH</v>
      </c>
      <c r="E10253" t="str">
        <f t="shared" si="3766"/>
        <v>TX</v>
      </c>
      <c r="F10253" t="str">
        <f t="shared" si="3770"/>
        <v>761271049</v>
      </c>
      <c r="G10253" t="str">
        <f>T("NAS FORT WORTH JRB FIRE AND EMER SVC")</f>
        <v>NAS FORT WORTH JRB FIRE AND EMER SVC</v>
      </c>
      <c r="H10253" t="str">
        <f>T("1425 CARSWELL AVE")</f>
        <v>1425 CARSWELL AVE</v>
      </c>
      <c r="I10253" t="str">
        <f t="shared" si="3768"/>
        <v>FORT WORTH</v>
      </c>
      <c r="J10253" t="str">
        <f t="shared" si="3767"/>
        <v>TX</v>
      </c>
      <c r="K10253" t="str">
        <f>T("8177826338")</f>
        <v>8177826338</v>
      </c>
      <c r="L10253" t="str">
        <f>T("8177826332")</f>
        <v>8177826332</v>
      </c>
    </row>
    <row r="10254" spans="1:12" x14ac:dyDescent="0.35">
      <c r="A10254" t="str">
        <f t="shared" si="3764"/>
        <v>JRB FORT WORTH</v>
      </c>
      <c r="B10254" t="str">
        <f t="shared" si="3769"/>
        <v>1425 CARSWELL AVE</v>
      </c>
      <c r="C10254" t="str">
        <f>T("NAS JRB FORT WORTH")</f>
        <v>NAS JRB FORT WORTH</v>
      </c>
      <c r="D10254" t="str">
        <f t="shared" si="3765"/>
        <v>FORT WORTH</v>
      </c>
      <c r="E10254" t="str">
        <f t="shared" si="3766"/>
        <v>TX</v>
      </c>
      <c r="F10254" t="str">
        <f t="shared" si="3770"/>
        <v>761271049</v>
      </c>
      <c r="G10254" t="str">
        <f>T("1422 BURKE AVENUE")</f>
        <v>1422 BURKE AVENUE</v>
      </c>
      <c r="H10254" t="str">
        <f>T("")</f>
        <v/>
      </c>
      <c r="I10254" t="str">
        <f t="shared" si="3768"/>
        <v>FORT WORTH</v>
      </c>
      <c r="J10254" t="str">
        <f t="shared" si="3767"/>
        <v>TX</v>
      </c>
      <c r="K10254" t="str">
        <f>T("8177825598")</f>
        <v>8177825598</v>
      </c>
      <c r="L10254" t="str">
        <f>T("8177825626")</f>
        <v>8177825626</v>
      </c>
    </row>
    <row r="10255" spans="1:12" x14ac:dyDescent="0.35">
      <c r="A10255" t="str">
        <f t="shared" si="3764"/>
        <v>JRB FORT WORTH</v>
      </c>
      <c r="B10255" t="str">
        <f t="shared" si="3769"/>
        <v>1425 CARSWELL AVE</v>
      </c>
      <c r="C10255" t="str">
        <f>T("NAS JRB FORT WORTH")</f>
        <v>NAS JRB FORT WORTH</v>
      </c>
      <c r="D10255" t="str">
        <f t="shared" si="3765"/>
        <v>FORT WORTH</v>
      </c>
      <c r="E10255" t="str">
        <f t="shared" si="3766"/>
        <v>TX</v>
      </c>
      <c r="F10255" t="str">
        <f t="shared" si="3770"/>
        <v>761271049</v>
      </c>
      <c r="G10255" t="str">
        <f>T("1425 CARSWELL AVE")</f>
        <v>1425 CARSWELL AVE</v>
      </c>
      <c r="H10255" t="str">
        <f>T("NAS FORT WORTH JRB")</f>
        <v>NAS FORT WORTH JRB</v>
      </c>
      <c r="I10255" t="str">
        <f t="shared" si="3768"/>
        <v>FORT WORTH</v>
      </c>
      <c r="J10255" t="str">
        <f t="shared" si="3767"/>
        <v>TX</v>
      </c>
      <c r="K10255" t="str">
        <f>T("8177825730")</f>
        <v>8177825730</v>
      </c>
      <c r="L10255" t="str">
        <f>T("8177825981")</f>
        <v>8177825981</v>
      </c>
    </row>
    <row r="10256" spans="1:12" x14ac:dyDescent="0.35">
      <c r="A10256" t="str">
        <f t="shared" si="3764"/>
        <v>JRB FORT WORTH</v>
      </c>
      <c r="B10256" t="str">
        <f t="shared" si="3769"/>
        <v>1425 CARSWELL AVE</v>
      </c>
      <c r="C10256" t="str">
        <f>T("NAS JRB FORT WORTH")</f>
        <v>NAS JRB FORT WORTH</v>
      </c>
      <c r="D10256" t="str">
        <f t="shared" si="3765"/>
        <v>FORT WORTH</v>
      </c>
      <c r="E10256" t="str">
        <f t="shared" si="3766"/>
        <v>TX</v>
      </c>
      <c r="F10256" t="str">
        <f t="shared" si="3770"/>
        <v>761271049</v>
      </c>
      <c r="G10256" t="str">
        <f>T("1425 CARSWELL AVE")</f>
        <v>1425 CARSWELL AVE</v>
      </c>
      <c r="H10256" t="str">
        <f>T("NAS JRB FORT WORTH")</f>
        <v>NAS JRB FORT WORTH</v>
      </c>
      <c r="I10256" t="str">
        <f t="shared" si="3768"/>
        <v>FORT WORTH</v>
      </c>
      <c r="J10256" t="str">
        <f t="shared" si="3767"/>
        <v>TX</v>
      </c>
      <c r="K10256" t="str">
        <f>T("8177825730")</f>
        <v>8177825730</v>
      </c>
      <c r="L10256" t="str">
        <f>T("8177825541")</f>
        <v>8177825541</v>
      </c>
    </row>
    <row r="10257" spans="1:12" x14ac:dyDescent="0.35">
      <c r="A10257" t="str">
        <f t="shared" si="3764"/>
        <v>JRB FORT WORTH</v>
      </c>
      <c r="B10257" t="str">
        <f>T("1506 BURKE AVE")</f>
        <v>1506 BURKE AVE</v>
      </c>
      <c r="C10257" t="str">
        <f>T("NAS FORT WORTH JRB")</f>
        <v>NAS FORT WORTH JRB</v>
      </c>
      <c r="D10257" t="str">
        <f t="shared" si="3765"/>
        <v>FORT WORTH</v>
      </c>
      <c r="E10257" t="str">
        <f t="shared" si="3766"/>
        <v>TX</v>
      </c>
      <c r="F10257" t="str">
        <f>T("761271022")</f>
        <v>761271022</v>
      </c>
      <c r="G10257" t="str">
        <f>T("1506 BURKE AVE")</f>
        <v>1506 BURKE AVE</v>
      </c>
      <c r="H10257" t="str">
        <f>T("GALLEY")</f>
        <v>GALLEY</v>
      </c>
      <c r="I10257" t="str">
        <f t="shared" si="3768"/>
        <v>FORT WORTH</v>
      </c>
      <c r="J10257" t="str">
        <f t="shared" si="3767"/>
        <v>TX</v>
      </c>
      <c r="K10257" t="str">
        <f>T("000000000000000000")</f>
        <v>000000000000000000</v>
      </c>
      <c r="L10257" t="str">
        <f>T("8177825238")</f>
        <v>8177825238</v>
      </c>
    </row>
    <row r="10258" spans="1:12" x14ac:dyDescent="0.35">
      <c r="A10258" t="str">
        <f t="shared" si="3764"/>
        <v>JRB FORT WORTH</v>
      </c>
      <c r="B10258" t="str">
        <f>T("1506 BURKE AVE")</f>
        <v>1506 BURKE AVE</v>
      </c>
      <c r="C10258" t="str">
        <f>T("NAS FORT WORTH JRB")</f>
        <v>NAS FORT WORTH JRB</v>
      </c>
      <c r="D10258" t="str">
        <f t="shared" si="3765"/>
        <v>FORT WORTH</v>
      </c>
      <c r="E10258" t="str">
        <f t="shared" si="3766"/>
        <v>TX</v>
      </c>
      <c r="F10258" t="str">
        <f>T("761271022")</f>
        <v>761271022</v>
      </c>
      <c r="G10258" t="str">
        <f>T("1506 BURKE AVE")</f>
        <v>1506 BURKE AVE</v>
      </c>
      <c r="H10258" t="str">
        <f>T("NAS FORT WORTH JRB")</f>
        <v>NAS FORT WORTH JRB</v>
      </c>
      <c r="I10258" t="str">
        <f t="shared" si="3768"/>
        <v>FORT WORTH</v>
      </c>
      <c r="J10258" t="str">
        <f t="shared" si="3767"/>
        <v>TX</v>
      </c>
      <c r="K10258" t="str">
        <f>T("8177827381")</f>
        <v>8177827381</v>
      </c>
      <c r="L10258" t="str">
        <f>T("8177827383")</f>
        <v>8177827383</v>
      </c>
    </row>
    <row r="10259" spans="1:12" x14ac:dyDescent="0.35">
      <c r="A10259" t="str">
        <f t="shared" si="3764"/>
        <v>JRB FORT WORTH</v>
      </c>
      <c r="B10259" t="str">
        <f>T("1510 CHENNAULT AVE")</f>
        <v>1510 CHENNAULT AVE</v>
      </c>
      <c r="C10259" t="str">
        <f>T("NAS JRB FORT WORTH")</f>
        <v>NAS JRB FORT WORTH</v>
      </c>
      <c r="D10259" t="str">
        <f t="shared" si="3765"/>
        <v>FORT WORTH</v>
      </c>
      <c r="E10259" t="str">
        <f t="shared" si="3766"/>
        <v>TX</v>
      </c>
      <c r="F10259" t="str">
        <f>T("761271053")</f>
        <v>761271053</v>
      </c>
      <c r="G10259" t="str">
        <f>T("1510 CHENNAULT AVE")</f>
        <v>1510 CHENNAULT AVE</v>
      </c>
      <c r="H10259" t="str">
        <f>T("NAS JRB FORT WORTH")</f>
        <v>NAS JRB FORT WORTH</v>
      </c>
      <c r="I10259" t="str">
        <f t="shared" si="3768"/>
        <v>FORT WORTH</v>
      </c>
      <c r="J10259" t="str">
        <f t="shared" si="3767"/>
        <v>TX</v>
      </c>
      <c r="K10259" t="str">
        <f>T("8177827722")</f>
        <v>8177827722</v>
      </c>
      <c r="L10259" t="str">
        <f>T("8177823369")</f>
        <v>8177823369</v>
      </c>
    </row>
    <row r="10260" spans="1:12" x14ac:dyDescent="0.35">
      <c r="A10260" t="str">
        <f t="shared" si="3764"/>
        <v>JRB FORT WORTH</v>
      </c>
      <c r="B10260" t="str">
        <f>T("1510 CHENNAULT AVE")</f>
        <v>1510 CHENNAULT AVE</v>
      </c>
      <c r="C10260" t="str">
        <f>T("NAS JRB FORT WORTH")</f>
        <v>NAS JRB FORT WORTH</v>
      </c>
      <c r="D10260" t="str">
        <f t="shared" si="3765"/>
        <v>FORT WORTH</v>
      </c>
      <c r="E10260" t="str">
        <f t="shared" si="3766"/>
        <v>TX</v>
      </c>
      <c r="F10260" t="str">
        <f>T("761271053")</f>
        <v>761271053</v>
      </c>
      <c r="G10260" t="str">
        <f>T("ADMIN")</f>
        <v>ADMIN</v>
      </c>
      <c r="H10260" t="str">
        <f>T("1510 CHENNAULT AVE")</f>
        <v>1510 CHENNAULT AVE</v>
      </c>
      <c r="I10260" t="str">
        <f t="shared" si="3768"/>
        <v>FORT WORTH</v>
      </c>
      <c r="J10260" t="str">
        <f t="shared" si="3767"/>
        <v>TX</v>
      </c>
      <c r="K10260" t="str">
        <f>T("8177827722")</f>
        <v>8177827722</v>
      </c>
      <c r="L10260" t="str">
        <f>T("8177827708")</f>
        <v>8177827708</v>
      </c>
    </row>
    <row r="10261" spans="1:12" x14ac:dyDescent="0.35">
      <c r="A10261" t="str">
        <f t="shared" si="3764"/>
        <v>JRB FORT WORTH</v>
      </c>
      <c r="B10261" t="str">
        <f>T("1525 CHENNAULT AVE FL4")</f>
        <v>1525 CHENNAULT AVE FL4</v>
      </c>
      <c r="C10261" t="str">
        <f>T("NAS JRB FORT WORTH")</f>
        <v>NAS JRB FORT WORTH</v>
      </c>
      <c r="D10261" t="str">
        <f t="shared" si="3765"/>
        <v>FORT WORTH</v>
      </c>
      <c r="E10261" t="str">
        <f t="shared" si="3766"/>
        <v>TX</v>
      </c>
      <c r="F10261" t="str">
        <f>T("761271052")</f>
        <v>761271052</v>
      </c>
      <c r="G10261" t="str">
        <f>T("1525 CHENNAULT AVE 4TH FLR")</f>
        <v>1525 CHENNAULT AVE 4TH FLR</v>
      </c>
      <c r="H10261" t="str">
        <f>T("NAS FORT WORTH JRB")</f>
        <v>NAS FORT WORTH JRB</v>
      </c>
      <c r="I10261" t="str">
        <f t="shared" si="3768"/>
        <v>FORT WORTH</v>
      </c>
      <c r="J10261" t="str">
        <f t="shared" si="3767"/>
        <v>TX</v>
      </c>
      <c r="K10261" t="str">
        <f>T("8177825728")</f>
        <v>8177825728</v>
      </c>
      <c r="L10261" t="str">
        <f>T("8177827463")</f>
        <v>8177827463</v>
      </c>
    </row>
    <row r="10262" spans="1:12" x14ac:dyDescent="0.35">
      <c r="A10262" t="str">
        <f t="shared" si="3764"/>
        <v>JRB FORT WORTH</v>
      </c>
      <c r="B10262" t="str">
        <f>T("1525 CHENNAULT AVE FL4")</f>
        <v>1525 CHENNAULT AVE FL4</v>
      </c>
      <c r="C10262" t="str">
        <f>T("NAS JRB FORT WORTH")</f>
        <v>NAS JRB FORT WORTH</v>
      </c>
      <c r="D10262" t="str">
        <f t="shared" si="3765"/>
        <v>FORT WORTH</v>
      </c>
      <c r="E10262" t="str">
        <f t="shared" si="3766"/>
        <v>TX</v>
      </c>
      <c r="F10262" t="str">
        <f>T("761271052")</f>
        <v>761271052</v>
      </c>
      <c r="G10262" t="str">
        <f>T("1525 CHENNAULT AVE FL4")</f>
        <v>1525 CHENNAULT AVE FL4</v>
      </c>
      <c r="H10262" t="str">
        <f>T("NAS JRB FORT WORTH")</f>
        <v>NAS JRB FORT WORTH</v>
      </c>
      <c r="I10262" t="str">
        <f t="shared" si="3768"/>
        <v>FORT WORTH</v>
      </c>
      <c r="J10262" t="str">
        <f t="shared" si="3767"/>
        <v>TX</v>
      </c>
      <c r="K10262" t="str">
        <f>T("8177825728")</f>
        <v>8177825728</v>
      </c>
      <c r="L10262" t="str">
        <f>T("8177825729")</f>
        <v>8177825729</v>
      </c>
    </row>
    <row r="10263" spans="1:12" x14ac:dyDescent="0.35">
      <c r="A10263" t="str">
        <f t="shared" si="3764"/>
        <v>JRB FORT WORTH</v>
      </c>
      <c r="B10263" t="str">
        <f>T("FAMILY SVC CTR")</f>
        <v>FAMILY SVC CTR</v>
      </c>
      <c r="C10263" t="str">
        <f>T("3175 VENDENBERG AVE")</f>
        <v>3175 VENDENBERG AVE</v>
      </c>
      <c r="D10263" t="str">
        <f t="shared" si="3765"/>
        <v>FORT WORTH</v>
      </c>
      <c r="E10263" t="str">
        <f t="shared" si="3766"/>
        <v>TX</v>
      </c>
      <c r="F10263" t="str">
        <f>T("761271021")</f>
        <v>761271021</v>
      </c>
      <c r="G10263" t="str">
        <f>T("3175 VANDENBERG AVE")</f>
        <v>3175 VANDENBERG AVE</v>
      </c>
      <c r="H10263" t="str">
        <f>T("FLEET AND FAMILY SUPPORT CENTER")</f>
        <v>FLEET AND FAMILY SUPPORT CENTER</v>
      </c>
      <c r="I10263" t="str">
        <f t="shared" si="3768"/>
        <v>FORT WORTH</v>
      </c>
      <c r="J10263" t="str">
        <f t="shared" si="3767"/>
        <v>TX</v>
      </c>
      <c r="K10263" t="str">
        <f>T("8177827189")</f>
        <v>8177827189</v>
      </c>
      <c r="L10263" t="str">
        <f>T("8177825290")</f>
        <v>8177825290</v>
      </c>
    </row>
    <row r="10264" spans="1:12" x14ac:dyDescent="0.35">
      <c r="A10264" t="str">
        <f t="shared" si="3764"/>
        <v>JRB FORT WORTH</v>
      </c>
      <c r="B10264" t="str">
        <f>T("FAMILY SVC CTR")</f>
        <v>FAMILY SVC CTR</v>
      </c>
      <c r="C10264" t="str">
        <f>T("3175 VENDENBERG AVE")</f>
        <v>3175 VENDENBERG AVE</v>
      </c>
      <c r="D10264" t="str">
        <f t="shared" si="3765"/>
        <v>FORT WORTH</v>
      </c>
      <c r="E10264" t="str">
        <f t="shared" si="3766"/>
        <v>TX</v>
      </c>
      <c r="F10264" t="str">
        <f>T("761271021")</f>
        <v>761271021</v>
      </c>
      <c r="G10264" t="str">
        <f>T("FAMILY SVC CTR")</f>
        <v>FAMILY SVC CTR</v>
      </c>
      <c r="H10264" t="str">
        <f>T("3175 VENDENBERG AVE")</f>
        <v>3175 VENDENBERG AVE</v>
      </c>
      <c r="I10264" t="str">
        <f t="shared" si="3768"/>
        <v>FORT WORTH</v>
      </c>
      <c r="J10264" t="str">
        <f t="shared" si="3767"/>
        <v>TX</v>
      </c>
      <c r="K10264" t="str">
        <f>T("8177827189")</f>
        <v>8177827189</v>
      </c>
      <c r="L10264" t="str">
        <f>T("8177825289")</f>
        <v>8177825289</v>
      </c>
    </row>
    <row r="10265" spans="1:12" x14ac:dyDescent="0.35">
      <c r="A10265" t="str">
        <f>T("NAV STA GREAT LAKES")</f>
        <v>NAV STA GREAT LAKES</v>
      </c>
      <c r="B10265" t="str">
        <f>T("520 DEWEY AVENUE")</f>
        <v>520 DEWEY AVENUE</v>
      </c>
      <c r="C10265" t="str">
        <f>T("FLR 1")</f>
        <v>FLR 1</v>
      </c>
      <c r="D10265" t="str">
        <f>T("GREAT LAKES")</f>
        <v>GREAT LAKES</v>
      </c>
      <c r="E10265" t="str">
        <f>T("IL")</f>
        <v>IL</v>
      </c>
      <c r="F10265" t="str">
        <f>T("600882913")</f>
        <v>600882913</v>
      </c>
      <c r="G10265" t="str">
        <f>T("520 DEWEY AVENUE")</f>
        <v>520 DEWEY AVENUE</v>
      </c>
      <c r="H10265" t="str">
        <f>T("FLR 1")</f>
        <v>FLR 1</v>
      </c>
      <c r="I10265" t="str">
        <f>T("GREAT LAKES")</f>
        <v>GREAT LAKES</v>
      </c>
      <c r="J10265" t="str">
        <f>T("IL")</f>
        <v>IL</v>
      </c>
      <c r="K10265" t="str">
        <f>T("000000000000000000")</f>
        <v>000000000000000000</v>
      </c>
      <c r="L10265" t="str">
        <f>T("8476883368")</f>
        <v>8476883368</v>
      </c>
    </row>
    <row r="10266" spans="1:12" x14ac:dyDescent="0.35">
      <c r="A10266" t="str">
        <f>T("NAV STA GREAT LAKES")</f>
        <v>NAV STA GREAT LAKES</v>
      </c>
      <c r="B10266" t="str">
        <f>T("521 DECATUR AVE")</f>
        <v>521 DECATUR AVE</v>
      </c>
      <c r="C10266" t="str">
        <f>T("BLDG 179")</f>
        <v>BLDG 179</v>
      </c>
      <c r="D10266" t="str">
        <f>T("GREAT LAKES")</f>
        <v>GREAT LAKES</v>
      </c>
      <c r="E10266" t="str">
        <f>T("IL")</f>
        <v>IL</v>
      </c>
      <c r="F10266" t="str">
        <f>T("600882829")</f>
        <v>600882829</v>
      </c>
      <c r="G10266" t="str">
        <f>T("521 DECATUR AVE")</f>
        <v>521 DECATUR AVE</v>
      </c>
      <c r="H10266" t="str">
        <f>T("BLDG 179")</f>
        <v>BLDG 179</v>
      </c>
      <c r="I10266" t="str">
        <f>T("GREAT LAKES")</f>
        <v>GREAT LAKES</v>
      </c>
      <c r="J10266" t="str">
        <f>T("IL")</f>
        <v>IL</v>
      </c>
      <c r="K10266" t="str">
        <f>T("8473666617")</f>
        <v>8473666617</v>
      </c>
      <c r="L10266" t="str">
        <f>T("8476882386")</f>
        <v>8476882386</v>
      </c>
    </row>
    <row r="10267" spans="1:12" x14ac:dyDescent="0.35">
      <c r="A10267" t="str">
        <f>T("NAV STA GREAT LAKES")</f>
        <v>NAV STA GREAT LAKES</v>
      </c>
      <c r="B10267" t="str">
        <f>T("7924 14TH STREET")</f>
        <v>7924 14TH STREET</v>
      </c>
      <c r="C10267" t="str">
        <f>T("")</f>
        <v/>
      </c>
      <c r="D10267" t="str">
        <f>T("NORFOLK")</f>
        <v>NORFOLK</v>
      </c>
      <c r="E10267" t="str">
        <f>T("VA")</f>
        <v>VA</v>
      </c>
      <c r="F10267" t="str">
        <f>T("235051211")</f>
        <v>235051211</v>
      </c>
      <c r="G10267" t="str">
        <f>T("7924 14TH STREET")</f>
        <v>7924 14TH STREET</v>
      </c>
      <c r="H10267" t="str">
        <f>T("")</f>
        <v/>
      </c>
      <c r="I10267" t="str">
        <f>T("NORFOLK")</f>
        <v>NORFOLK</v>
      </c>
      <c r="J10267" t="str">
        <f>T("VA")</f>
        <v>VA</v>
      </c>
      <c r="K10267" t="str">
        <f>T("000000000000000000")</f>
        <v>000000000000000000</v>
      </c>
      <c r="L10267" t="str">
        <f>T("7574452828")</f>
        <v>7574452828</v>
      </c>
    </row>
    <row r="10268" spans="1:12" x14ac:dyDescent="0.35">
      <c r="A10268" t="str">
        <f>T("NSA CRANE")</f>
        <v>NSA CRANE</v>
      </c>
      <c r="B10268" t="str">
        <f>T("1510 GILBERT ST")</f>
        <v>1510 GILBERT ST</v>
      </c>
      <c r="C10268" t="str">
        <f>T("BLDG N21")</f>
        <v>BLDG N21</v>
      </c>
      <c r="D10268" t="str">
        <f>T("NORFOLK")</f>
        <v>NORFOLK</v>
      </c>
      <c r="E10268" t="str">
        <f>T("VA")</f>
        <v>VA</v>
      </c>
      <c r="F10268" t="str">
        <f>T("235112738")</f>
        <v>235112738</v>
      </c>
      <c r="G10268" t="str">
        <f>T("1510 GILBERT ST")</f>
        <v>1510 GILBERT ST</v>
      </c>
      <c r="H10268" t="str">
        <f>T("BLDG N21")</f>
        <v>BLDG N21</v>
      </c>
      <c r="I10268" t="str">
        <f>T("NORFOLK")</f>
        <v>NORFOLK</v>
      </c>
      <c r="J10268" t="str">
        <f>T("VA")</f>
        <v>VA</v>
      </c>
      <c r="K10268" t="str">
        <f>T("000000000000000000")</f>
        <v>000000000000000000</v>
      </c>
      <c r="L10268" t="str">
        <f>T("7573223111")</f>
        <v>7573223111</v>
      </c>
    </row>
    <row r="10269" spans="1:12" x14ac:dyDescent="0.35">
      <c r="A10269" t="str">
        <f>T("NSA CRANE")</f>
        <v>NSA CRANE</v>
      </c>
      <c r="B10269" t="str">
        <f>T("300 HWY 361")</f>
        <v>300 HWY 361</v>
      </c>
      <c r="C10269" t="str">
        <f>T("BLDG 10")</f>
        <v>BLDG 10</v>
      </c>
      <c r="D10269" t="str">
        <f>T("CRANE")</f>
        <v>CRANE</v>
      </c>
      <c r="E10269" t="str">
        <f>T("IN")</f>
        <v>IN</v>
      </c>
      <c r="F10269" t="str">
        <f>T("475224000")</f>
        <v>475224000</v>
      </c>
      <c r="G10269" t="str">
        <f>T("300 HWY 361")</f>
        <v>300 HWY 361</v>
      </c>
      <c r="H10269" t="str">
        <f>T("BLDG 10")</f>
        <v>BLDG 10</v>
      </c>
      <c r="I10269" t="str">
        <f>T("CRANE")</f>
        <v>CRANE</v>
      </c>
      <c r="J10269" t="str">
        <f>T("IN")</f>
        <v>IN</v>
      </c>
      <c r="K10269" t="str">
        <f>T("000000000000000000")</f>
        <v>000000000000000000</v>
      </c>
      <c r="L10269" t="str">
        <f>T("1111111111")</f>
        <v>1111111111</v>
      </c>
    </row>
    <row r="10270" spans="1:12" x14ac:dyDescent="0.35">
      <c r="A10270" t="str">
        <f>T("NSA CRANE")</f>
        <v>NSA CRANE</v>
      </c>
      <c r="B10270" t="str">
        <f>T("NSA CRANE CODE N35 BLDG 3219")</f>
        <v>NSA CRANE CODE N35 BLDG 3219</v>
      </c>
      <c r="C10270" t="str">
        <f>T("300 HWY 361")</f>
        <v>300 HWY 361</v>
      </c>
      <c r="D10270" t="str">
        <f>T("CRANE")</f>
        <v>CRANE</v>
      </c>
      <c r="E10270" t="str">
        <f>T("IN")</f>
        <v>IN</v>
      </c>
      <c r="F10270" t="str">
        <f>T("475224000")</f>
        <v>475224000</v>
      </c>
      <c r="G10270" t="str">
        <f>T("NSA CRANE CODE N35 BLDG 3219")</f>
        <v>NSA CRANE CODE N35 BLDG 3219</v>
      </c>
      <c r="H10270" t="str">
        <f>T("300 HWY 361")</f>
        <v>300 HWY 361</v>
      </c>
      <c r="I10270" t="str">
        <f>T("CRANE")</f>
        <v>CRANE</v>
      </c>
      <c r="J10270" t="str">
        <f>T("IN")</f>
        <v>IN</v>
      </c>
      <c r="K10270" t="str">
        <f>T("812-854-1807")</f>
        <v>812-854-1807</v>
      </c>
      <c r="L10270" t="str">
        <f>T("8128541476")</f>
        <v>8128541476</v>
      </c>
    </row>
    <row r="10271" spans="1:12" x14ac:dyDescent="0.35">
      <c r="A10271" t="str">
        <f>T("CNI MIDWEST")</f>
        <v>CNI MIDWEST</v>
      </c>
      <c r="B10271" t="str">
        <f>T("2601B PAUL JONES")</f>
        <v>2601B PAUL JONES</v>
      </c>
      <c r="C10271" t="str">
        <f>T("BLDG1 RM 129")</f>
        <v>BLDG1 RM 129</v>
      </c>
      <c r="D10271" t="str">
        <f>T("GREAT LAKES")</f>
        <v>GREAT LAKES</v>
      </c>
      <c r="E10271" t="str">
        <f>T("IL")</f>
        <v>IL</v>
      </c>
      <c r="F10271" t="str">
        <f>T("600882845")</f>
        <v>600882845</v>
      </c>
      <c r="G10271" t="str">
        <f>T("2601B PAUL JONES")</f>
        <v>2601B PAUL JONES</v>
      </c>
      <c r="H10271" t="str">
        <f>T("BLDG1 RM 129")</f>
        <v>BLDG1 RM 129</v>
      </c>
      <c r="I10271" t="str">
        <f>T("GREAT LAKES")</f>
        <v>GREAT LAKES</v>
      </c>
      <c r="J10271" t="str">
        <f>T("IL")</f>
        <v>IL</v>
      </c>
      <c r="K10271" t="str">
        <f>T("8476882880")</f>
        <v>8476882880</v>
      </c>
      <c r="L10271" t="str">
        <f>T("8476882858")</f>
        <v>8476882858</v>
      </c>
    </row>
    <row r="10272" spans="1:12" x14ac:dyDescent="0.35">
      <c r="A10272" t="str">
        <f>T("CNI MIDWEST")</f>
        <v>CNI MIDWEST</v>
      </c>
      <c r="B10272" t="str">
        <f>T("2601B PAUL JONES STREET")</f>
        <v>2601B PAUL JONES STREET</v>
      </c>
      <c r="C10272" t="str">
        <f>T("BLDG 1 RM 129")</f>
        <v>BLDG 1 RM 129</v>
      </c>
      <c r="D10272" t="str">
        <f>T("GREAT LAKES")</f>
        <v>GREAT LAKES</v>
      </c>
      <c r="E10272" t="str">
        <f>T("IL")</f>
        <v>IL</v>
      </c>
      <c r="F10272" t="str">
        <f>T("600882845")</f>
        <v>600882845</v>
      </c>
      <c r="G10272" t="str">
        <f>T("2601B PAUL JONES STREET")</f>
        <v>2601B PAUL JONES STREET</v>
      </c>
      <c r="H10272" t="str">
        <f>T("BLDG 1 RM 129")</f>
        <v>BLDG 1 RM 129</v>
      </c>
      <c r="I10272" t="str">
        <f>T("GREAT LAKES")</f>
        <v>GREAT LAKES</v>
      </c>
      <c r="J10272" t="str">
        <f>T("IL")</f>
        <v>IL</v>
      </c>
      <c r="K10272" t="str">
        <f>T("")</f>
        <v/>
      </c>
      <c r="L10272" t="str">
        <f>T("8476882858")</f>
        <v>8476882858</v>
      </c>
    </row>
    <row r="10273" spans="1:12" x14ac:dyDescent="0.35">
      <c r="A10273" t="str">
        <f t="shared" ref="A10273:A10279" si="3771">T("CFAC")</f>
        <v>CFAC</v>
      </c>
      <c r="B10273" t="str">
        <f t="shared" ref="B10273:B10279" si="3772">T("PSC 479")</f>
        <v>PSC 479</v>
      </c>
      <c r="C10273" t="str">
        <f t="shared" ref="C10273:C10279" si="3773">T("BOX 502")</f>
        <v>BOX 502</v>
      </c>
      <c r="D10273" t="str">
        <f t="shared" ref="D10273:D10279" si="3774">T("FPO")</f>
        <v>FPO</v>
      </c>
      <c r="E10273" t="str">
        <f t="shared" ref="E10273:E10304" si="3775">T("AP")</f>
        <v>AP</v>
      </c>
      <c r="F10273" t="str">
        <f t="shared" ref="F10273:F10279" si="3776">T("962690006")</f>
        <v>962690006</v>
      </c>
      <c r="G10273" t="str">
        <f>T("PSC 479")</f>
        <v>PSC 479</v>
      </c>
      <c r="H10273" t="str">
        <f>T("BOX 502")</f>
        <v>BOX 502</v>
      </c>
      <c r="I10273" t="str">
        <f t="shared" ref="I10273:I10279" si="3777">T("FPO")</f>
        <v>FPO</v>
      </c>
      <c r="J10273" t="str">
        <f t="shared" ref="J10273:J10304" si="3778">T("AP")</f>
        <v>AP</v>
      </c>
      <c r="K10273" t="str">
        <f t="shared" ref="K10273:K10280" si="3779">T("000000000000000000")</f>
        <v>000000000000000000</v>
      </c>
      <c r="L10273" t="str">
        <f>T("1111111111")</f>
        <v>1111111111</v>
      </c>
    </row>
    <row r="10274" spans="1:12" x14ac:dyDescent="0.35">
      <c r="A10274" t="str">
        <f t="shared" si="3771"/>
        <v>CFAC</v>
      </c>
      <c r="B10274" t="str">
        <f t="shared" si="3772"/>
        <v>PSC 479</v>
      </c>
      <c r="C10274" t="str">
        <f t="shared" si="3773"/>
        <v>BOX 502</v>
      </c>
      <c r="D10274" t="str">
        <f t="shared" si="3774"/>
        <v>FPO</v>
      </c>
      <c r="E10274" t="str">
        <f t="shared" si="3775"/>
        <v>AP</v>
      </c>
      <c r="F10274" t="str">
        <f t="shared" si="3776"/>
        <v>962690006</v>
      </c>
      <c r="G10274" t="str">
        <f>T("PSC 479 BOX 502")</f>
        <v>PSC 479 BOX 502</v>
      </c>
      <c r="H10274" t="str">
        <f>T("")</f>
        <v/>
      </c>
      <c r="I10274" t="str">
        <f t="shared" si="3777"/>
        <v>FPO</v>
      </c>
      <c r="J10274" t="str">
        <f t="shared" si="3778"/>
        <v>AP</v>
      </c>
      <c r="K10274" t="str">
        <f t="shared" si="3779"/>
        <v>000000000000000000</v>
      </c>
      <c r="L10274" t="str">
        <f>T("3157625320")</f>
        <v>3157625320</v>
      </c>
    </row>
    <row r="10275" spans="1:12" x14ac:dyDescent="0.35">
      <c r="A10275" t="str">
        <f t="shared" si="3771"/>
        <v>CFAC</v>
      </c>
      <c r="B10275" t="str">
        <f t="shared" si="3772"/>
        <v>PSC 479</v>
      </c>
      <c r="C10275" t="str">
        <f t="shared" si="3773"/>
        <v>BOX 502</v>
      </c>
      <c r="D10275" t="str">
        <f t="shared" si="3774"/>
        <v>FPO</v>
      </c>
      <c r="E10275" t="str">
        <f t="shared" si="3775"/>
        <v>AP</v>
      </c>
      <c r="F10275" t="str">
        <f t="shared" si="3776"/>
        <v>962690006</v>
      </c>
      <c r="G10275" t="str">
        <f>T("PSC 479 BOX 502")</f>
        <v>PSC 479 BOX 502</v>
      </c>
      <c r="H10275" t="str">
        <f>T("")</f>
        <v/>
      </c>
      <c r="I10275" t="str">
        <f t="shared" si="3777"/>
        <v>FPO</v>
      </c>
      <c r="J10275" t="str">
        <f t="shared" si="3778"/>
        <v>AP</v>
      </c>
      <c r="K10275" t="str">
        <f t="shared" si="3779"/>
        <v>000000000000000000</v>
      </c>
      <c r="L10275" t="str">
        <f>T("3157625452")</f>
        <v>3157625452</v>
      </c>
    </row>
    <row r="10276" spans="1:12" x14ac:dyDescent="0.35">
      <c r="A10276" t="str">
        <f t="shared" si="3771"/>
        <v>CFAC</v>
      </c>
      <c r="B10276" t="str">
        <f t="shared" si="3772"/>
        <v>PSC 479</v>
      </c>
      <c r="C10276" t="str">
        <f t="shared" si="3773"/>
        <v>BOX 502</v>
      </c>
      <c r="D10276" t="str">
        <f t="shared" si="3774"/>
        <v>FPO</v>
      </c>
      <c r="E10276" t="str">
        <f t="shared" si="3775"/>
        <v>AP</v>
      </c>
      <c r="F10276" t="str">
        <f t="shared" si="3776"/>
        <v>962690006</v>
      </c>
      <c r="G10276" t="str">
        <f>T("PSC 479 BOX 502")</f>
        <v>PSC 479 BOX 502</v>
      </c>
      <c r="H10276" t="str">
        <f>T("")</f>
        <v/>
      </c>
      <c r="I10276" t="str">
        <f t="shared" si="3777"/>
        <v>FPO</v>
      </c>
      <c r="J10276" t="str">
        <f t="shared" si="3778"/>
        <v>AP</v>
      </c>
      <c r="K10276" t="str">
        <f t="shared" si="3779"/>
        <v>000000000000000000</v>
      </c>
      <c r="L10276" t="str">
        <f>T("3157625558")</f>
        <v>3157625558</v>
      </c>
    </row>
    <row r="10277" spans="1:12" x14ac:dyDescent="0.35">
      <c r="A10277" t="str">
        <f t="shared" si="3771"/>
        <v>CFAC</v>
      </c>
      <c r="B10277" t="str">
        <f t="shared" si="3772"/>
        <v>PSC 479</v>
      </c>
      <c r="C10277" t="str">
        <f t="shared" si="3773"/>
        <v>BOX 502</v>
      </c>
      <c r="D10277" t="str">
        <f t="shared" si="3774"/>
        <v>FPO</v>
      </c>
      <c r="E10277" t="str">
        <f t="shared" si="3775"/>
        <v>AP</v>
      </c>
      <c r="F10277" t="str">
        <f t="shared" si="3776"/>
        <v>962690006</v>
      </c>
      <c r="G10277" t="str">
        <f>T("PSC 479 BOX 502")</f>
        <v>PSC 479 BOX 502</v>
      </c>
      <c r="H10277" t="str">
        <f>T("ATTN ALEXANDER NACIS")</f>
        <v>ATTN ALEXANDER NACIS</v>
      </c>
      <c r="I10277" t="str">
        <f t="shared" si="3777"/>
        <v>FPO</v>
      </c>
      <c r="J10277" t="str">
        <f t="shared" si="3778"/>
        <v>AP</v>
      </c>
      <c r="K10277" t="str">
        <f t="shared" si="3779"/>
        <v>000000000000000000</v>
      </c>
      <c r="L10277" t="str">
        <f>T("3157625454")</f>
        <v>3157625454</v>
      </c>
    </row>
    <row r="10278" spans="1:12" x14ac:dyDescent="0.35">
      <c r="A10278" t="str">
        <f t="shared" si="3771"/>
        <v>CFAC</v>
      </c>
      <c r="B10278" t="str">
        <f t="shared" si="3772"/>
        <v>PSC 479</v>
      </c>
      <c r="C10278" t="str">
        <f t="shared" si="3773"/>
        <v>BOX 502</v>
      </c>
      <c r="D10278" t="str">
        <f t="shared" si="3774"/>
        <v>FPO</v>
      </c>
      <c r="E10278" t="str">
        <f t="shared" si="3775"/>
        <v>AP</v>
      </c>
      <c r="F10278" t="str">
        <f t="shared" si="3776"/>
        <v>962690006</v>
      </c>
      <c r="G10278" t="str">
        <f>T("PSC 479 BOX 502")</f>
        <v>PSC 479 BOX 502</v>
      </c>
      <c r="H10278" t="str">
        <f>T("ATTN ALEXANDER NACIS")</f>
        <v>ATTN ALEXANDER NACIS</v>
      </c>
      <c r="I10278" t="str">
        <f t="shared" si="3777"/>
        <v>FPO</v>
      </c>
      <c r="J10278" t="str">
        <f t="shared" si="3778"/>
        <v>AP</v>
      </c>
      <c r="K10278" t="str">
        <f t="shared" si="3779"/>
        <v>000000000000000000</v>
      </c>
      <c r="L10278" t="str">
        <f>T("3157625539")</f>
        <v>3157625539</v>
      </c>
    </row>
    <row r="10279" spans="1:12" x14ac:dyDescent="0.35">
      <c r="A10279" t="str">
        <f t="shared" si="3771"/>
        <v>CFAC</v>
      </c>
      <c r="B10279" t="str">
        <f t="shared" si="3772"/>
        <v>PSC 479</v>
      </c>
      <c r="C10279" t="str">
        <f t="shared" si="3773"/>
        <v>BOX 502</v>
      </c>
      <c r="D10279" t="str">
        <f t="shared" si="3774"/>
        <v>FPO</v>
      </c>
      <c r="E10279" t="str">
        <f t="shared" si="3775"/>
        <v>AP</v>
      </c>
      <c r="F10279" t="str">
        <f t="shared" si="3776"/>
        <v>962690006</v>
      </c>
      <c r="G10279" t="str">
        <f>T("PSC 479 BOX 521")</f>
        <v>PSC 479 BOX 521</v>
      </c>
      <c r="H10279" t="str">
        <f>T("SECURITY DEPT")</f>
        <v>SECURITY DEPT</v>
      </c>
      <c r="I10279" t="str">
        <f t="shared" si="3777"/>
        <v>FPO</v>
      </c>
      <c r="J10279" t="str">
        <f t="shared" si="3778"/>
        <v>AP</v>
      </c>
      <c r="K10279" t="str">
        <f t="shared" si="3779"/>
        <v>000000000000000000</v>
      </c>
      <c r="L10279" t="str">
        <f>T("3157625539")</f>
        <v>3157625539</v>
      </c>
    </row>
    <row r="10280" spans="1:12" x14ac:dyDescent="0.35">
      <c r="A10280" t="str">
        <f>T("COMNAVFOR KOREA")</f>
        <v>COMNAVFOR KOREA</v>
      </c>
      <c r="B10280" t="str">
        <f>T("CNFK UNIT 15250")</f>
        <v>CNFK UNIT 15250</v>
      </c>
      <c r="C10280" t="str">
        <f t="shared" ref="C10280:C10311" si="3780">T("")</f>
        <v/>
      </c>
      <c r="D10280" t="str">
        <f>T("APO")</f>
        <v>APO</v>
      </c>
      <c r="E10280" t="str">
        <f t="shared" si="3775"/>
        <v>AP</v>
      </c>
      <c r="F10280" t="str">
        <f>T("962055250")</f>
        <v>962055250</v>
      </c>
      <c r="G10280" t="str">
        <f>T("CNFK UNIT 15250")</f>
        <v>CNFK UNIT 15250</v>
      </c>
      <c r="H10280" t="str">
        <f>T("")</f>
        <v/>
      </c>
      <c r="I10280" t="str">
        <f>T("APO")</f>
        <v>APO</v>
      </c>
      <c r="J10280" t="str">
        <f t="shared" si="3778"/>
        <v>AP</v>
      </c>
      <c r="K10280" t="str">
        <f t="shared" si="3779"/>
        <v>000000000000000000</v>
      </c>
      <c r="L10280" t="str">
        <f>T("3157234918")</f>
        <v>3157234918</v>
      </c>
    </row>
    <row r="10281" spans="1:12" x14ac:dyDescent="0.35">
      <c r="A10281" t="str">
        <f>T("COMNAVFOR KOREA")</f>
        <v>COMNAVFOR KOREA</v>
      </c>
      <c r="B10281" t="str">
        <f>T("CNFK UNIT 15250")</f>
        <v>CNFK UNIT 15250</v>
      </c>
      <c r="C10281" t="str">
        <f t="shared" si="3780"/>
        <v/>
      </c>
      <c r="D10281" t="str">
        <f>T("APO")</f>
        <v>APO</v>
      </c>
      <c r="E10281" t="str">
        <f t="shared" si="3775"/>
        <v>AP</v>
      </c>
      <c r="F10281" t="str">
        <f>T("962055250")</f>
        <v>962055250</v>
      </c>
      <c r="G10281" t="str">
        <f>T("CNFK UNIT 15250")</f>
        <v>CNFK UNIT 15250</v>
      </c>
      <c r="H10281" t="str">
        <f>T("")</f>
        <v/>
      </c>
      <c r="I10281" t="str">
        <f>T("APO")</f>
        <v>APO</v>
      </c>
      <c r="J10281" t="str">
        <f t="shared" si="3778"/>
        <v>AP</v>
      </c>
      <c r="K10281" t="str">
        <f>T("01182279134916")</f>
        <v>01182279134916</v>
      </c>
      <c r="L10281" t="str">
        <f>T("1111111111")</f>
        <v>1111111111</v>
      </c>
    </row>
    <row r="10282" spans="1:12" x14ac:dyDescent="0.35">
      <c r="A10282" t="str">
        <f>T("COMNAVFOR KOREA")</f>
        <v>COMNAVFOR KOREA</v>
      </c>
      <c r="B10282" t="str">
        <f>T("CNFK UNIT 15250")</f>
        <v>CNFK UNIT 15250</v>
      </c>
      <c r="C10282" t="str">
        <f t="shared" si="3780"/>
        <v/>
      </c>
      <c r="D10282" t="str">
        <f>T("APO")</f>
        <v>APO</v>
      </c>
      <c r="E10282" t="str">
        <f t="shared" si="3775"/>
        <v>AP</v>
      </c>
      <c r="F10282" t="str">
        <f>T("962055250")</f>
        <v>962055250</v>
      </c>
      <c r="G10282" t="str">
        <f>T("CNFK UNIT NO 15250")</f>
        <v>CNFK UNIT NO 15250</v>
      </c>
      <c r="H10282" t="str">
        <f>T("")</f>
        <v/>
      </c>
      <c r="I10282" t="str">
        <f>T("APO")</f>
        <v>APO</v>
      </c>
      <c r="J10282" t="str">
        <f t="shared" si="3778"/>
        <v>AP</v>
      </c>
      <c r="K10282" t="str">
        <f>T("01182279134916")</f>
        <v>01182279134916</v>
      </c>
      <c r="L10282" t="str">
        <f>T("1111111111")</f>
        <v>1111111111</v>
      </c>
    </row>
    <row r="10283" spans="1:12" x14ac:dyDescent="0.35">
      <c r="A10283" t="str">
        <f>T("COMNAVFOR KOREA")</f>
        <v>COMNAVFOR KOREA</v>
      </c>
      <c r="B10283" t="str">
        <f>T("CNFK UNIT 15250")</f>
        <v>CNFK UNIT 15250</v>
      </c>
      <c r="C10283" t="str">
        <f t="shared" si="3780"/>
        <v/>
      </c>
      <c r="D10283" t="str">
        <f>T("APO")</f>
        <v>APO</v>
      </c>
      <c r="E10283" t="str">
        <f t="shared" si="3775"/>
        <v>AP</v>
      </c>
      <c r="F10283" t="str">
        <f>T("962055250")</f>
        <v>962055250</v>
      </c>
      <c r="G10283" t="str">
        <f>T("CNFK UNIT NO 15250")</f>
        <v>CNFK UNIT NO 15250</v>
      </c>
      <c r="H10283" t="str">
        <f>T("")</f>
        <v/>
      </c>
      <c r="I10283" t="str">
        <f>T("APO")</f>
        <v>APO</v>
      </c>
      <c r="J10283" t="str">
        <f t="shared" si="3778"/>
        <v>AP</v>
      </c>
      <c r="K10283" t="str">
        <f>T("01182279136792")</f>
        <v>01182279136792</v>
      </c>
      <c r="L10283" t="str">
        <f>T("1111111111")</f>
        <v>1111111111</v>
      </c>
    </row>
    <row r="10284" spans="1:12" x14ac:dyDescent="0.35">
      <c r="A10284" t="str">
        <f>T("COMNAVFOR KOREA")</f>
        <v>COMNAVFOR KOREA</v>
      </c>
      <c r="B10284" t="str">
        <f>T("CNFK UNIT 15250")</f>
        <v>CNFK UNIT 15250</v>
      </c>
      <c r="C10284" t="str">
        <f t="shared" si="3780"/>
        <v/>
      </c>
      <c r="D10284" t="str">
        <f>T("APO")</f>
        <v>APO</v>
      </c>
      <c r="E10284" t="str">
        <f t="shared" si="3775"/>
        <v>AP</v>
      </c>
      <c r="F10284" t="str">
        <f>T("962055250")</f>
        <v>962055250</v>
      </c>
      <c r="G10284" t="str">
        <f>T("COMNAVFORKOREA UNIT 15250")</f>
        <v>COMNAVFORKOREA UNIT 15250</v>
      </c>
      <c r="H10284" t="str">
        <f>T("ATTN HYON AE HAM")</f>
        <v>ATTN HYON AE HAM</v>
      </c>
      <c r="I10284" t="str">
        <f>T("APO")</f>
        <v>APO</v>
      </c>
      <c r="J10284" t="str">
        <f t="shared" si="3778"/>
        <v>AP</v>
      </c>
      <c r="K10284" t="str">
        <f>T("000000000000000000")</f>
        <v>000000000000000000</v>
      </c>
      <c r="L10284" t="str">
        <f>T("3157234918")</f>
        <v>3157234918</v>
      </c>
    </row>
    <row r="10285" spans="1:12" x14ac:dyDescent="0.35">
      <c r="A10285" t="str">
        <f t="shared" ref="A10285:A10311" si="3781">T("COMFLEACT YOKOSUKA")</f>
        <v>COMFLEACT YOKOSUKA</v>
      </c>
      <c r="B10285" t="str">
        <f>T("PSC 473 BOX 1")</f>
        <v>PSC 473 BOX 1</v>
      </c>
      <c r="C10285" t="str">
        <f t="shared" si="3780"/>
        <v/>
      </c>
      <c r="D10285" t="str">
        <f t="shared" ref="D10285:D10316" si="3782">T("FPO")</f>
        <v>FPO</v>
      </c>
      <c r="E10285" t="str">
        <f t="shared" si="3775"/>
        <v>AP</v>
      </c>
      <c r="F10285" t="str">
        <f t="shared" ref="F10285:F10311" si="3783">T("963490001")</f>
        <v>963490001</v>
      </c>
      <c r="G10285" t="str">
        <f>T("PSC 473 BOX 1")</f>
        <v>PSC 473 BOX 1</v>
      </c>
      <c r="H10285" t="str">
        <f>T("")</f>
        <v/>
      </c>
      <c r="I10285" t="str">
        <f t="shared" ref="I10285:I10316" si="3784">T("FPO")</f>
        <v>FPO</v>
      </c>
      <c r="J10285" t="str">
        <f t="shared" si="3778"/>
        <v>AP</v>
      </c>
      <c r="K10285" t="str">
        <f>T("")</f>
        <v/>
      </c>
      <c r="L10285" t="str">
        <f>T("1111111111")</f>
        <v>1111111111</v>
      </c>
    </row>
    <row r="10286" spans="1:12" x14ac:dyDescent="0.35">
      <c r="A10286" t="str">
        <f t="shared" si="3781"/>
        <v>COMFLEACT YOKOSUKA</v>
      </c>
      <c r="B10286" t="str">
        <f>T("PSC 473 BOX 1")</f>
        <v>PSC 473 BOX 1</v>
      </c>
      <c r="C10286" t="str">
        <f t="shared" si="3780"/>
        <v/>
      </c>
      <c r="D10286" t="str">
        <f t="shared" si="3782"/>
        <v>FPO</v>
      </c>
      <c r="E10286" t="str">
        <f t="shared" si="3775"/>
        <v>AP</v>
      </c>
      <c r="F10286" t="str">
        <f t="shared" si="3783"/>
        <v>963490001</v>
      </c>
      <c r="G10286" t="str">
        <f>T("PSC 473 BOX 1")</f>
        <v>PSC 473 BOX 1</v>
      </c>
      <c r="H10286" t="str">
        <f>T("CODE N8")</f>
        <v>CODE N8</v>
      </c>
      <c r="I10286" t="str">
        <f t="shared" si="3784"/>
        <v>FPO</v>
      </c>
      <c r="J10286" t="str">
        <f t="shared" si="3778"/>
        <v>AP</v>
      </c>
      <c r="K10286" t="str">
        <f>T("01181468169430")</f>
        <v>01181468169430</v>
      </c>
      <c r="L10286" t="str">
        <f>T("1111111111")</f>
        <v>1111111111</v>
      </c>
    </row>
    <row r="10287" spans="1:12" x14ac:dyDescent="0.35">
      <c r="A10287" t="str">
        <f t="shared" si="3781"/>
        <v>COMFLEACT YOKOSUKA</v>
      </c>
      <c r="B10287" t="str">
        <f>T("PSC 473 BOX 1 CODE N31")</f>
        <v>PSC 473 BOX 1 CODE N31</v>
      </c>
      <c r="C10287" t="str">
        <f t="shared" si="3780"/>
        <v/>
      </c>
      <c r="D10287" t="str">
        <f t="shared" si="3782"/>
        <v>FPO</v>
      </c>
      <c r="E10287" t="str">
        <f t="shared" si="3775"/>
        <v>AP</v>
      </c>
      <c r="F10287" t="str">
        <f t="shared" si="3783"/>
        <v>963490001</v>
      </c>
      <c r="G10287" t="str">
        <f>T("PSC 473 BOX 1 CODE N3")</f>
        <v>PSC 473 BOX 1 CODE N3</v>
      </c>
      <c r="H10287" t="str">
        <f>T("")</f>
        <v/>
      </c>
      <c r="I10287" t="str">
        <f t="shared" si="3784"/>
        <v>FPO</v>
      </c>
      <c r="J10287" t="str">
        <f t="shared" si="3778"/>
        <v>AP</v>
      </c>
      <c r="K10287" t="str">
        <f>T("000000000000000000")</f>
        <v>000000000000000000</v>
      </c>
      <c r="L10287" t="str">
        <f>T("1111111111")</f>
        <v>1111111111</v>
      </c>
    </row>
    <row r="10288" spans="1:12" x14ac:dyDescent="0.35">
      <c r="A10288" t="str">
        <f t="shared" si="3781"/>
        <v>COMFLEACT YOKOSUKA</v>
      </c>
      <c r="B10288" t="str">
        <f>T("PSC 473 BOX 1 CODE N31")</f>
        <v>PSC 473 BOX 1 CODE N31</v>
      </c>
      <c r="C10288" t="str">
        <f t="shared" si="3780"/>
        <v/>
      </c>
      <c r="D10288" t="str">
        <f t="shared" si="3782"/>
        <v>FPO</v>
      </c>
      <c r="E10288" t="str">
        <f t="shared" si="3775"/>
        <v>AP</v>
      </c>
      <c r="F10288" t="str">
        <f t="shared" si="3783"/>
        <v>963490001</v>
      </c>
      <c r="G10288" t="str">
        <f>T("PSC 473 BOX 1 CODE N31")</f>
        <v>PSC 473 BOX 1 CODE N31</v>
      </c>
      <c r="H10288" t="str">
        <f>T("")</f>
        <v/>
      </c>
      <c r="I10288" t="str">
        <f t="shared" si="3784"/>
        <v>FPO</v>
      </c>
      <c r="J10288" t="str">
        <f t="shared" si="3778"/>
        <v>AP</v>
      </c>
      <c r="K10288" t="str">
        <f>T("")</f>
        <v/>
      </c>
      <c r="L10288" t="str">
        <f>T("1111111111")</f>
        <v>1111111111</v>
      </c>
    </row>
    <row r="10289" spans="1:12" x14ac:dyDescent="0.35">
      <c r="A10289" t="str">
        <f t="shared" si="3781"/>
        <v>COMFLEACT YOKOSUKA</v>
      </c>
      <c r="B10289" t="str">
        <f>T("PSC 473 BOX 1 CODE N31")</f>
        <v>PSC 473 BOX 1 CODE N31</v>
      </c>
      <c r="C10289" t="str">
        <f t="shared" si="3780"/>
        <v/>
      </c>
      <c r="D10289" t="str">
        <f t="shared" si="3782"/>
        <v>FPO</v>
      </c>
      <c r="E10289" t="str">
        <f t="shared" si="3775"/>
        <v>AP</v>
      </c>
      <c r="F10289" t="str">
        <f t="shared" si="3783"/>
        <v>963490001</v>
      </c>
      <c r="G10289" t="str">
        <f>T("PSC 473 BOX 1 CODE N8")</f>
        <v>PSC 473 BOX 1 CODE N8</v>
      </c>
      <c r="H10289" t="str">
        <f>T("COMFLEACT YOKOSUKA")</f>
        <v>COMFLEACT YOKOSUKA</v>
      </c>
      <c r="I10289" t="str">
        <f t="shared" si="3784"/>
        <v>FPO</v>
      </c>
      <c r="J10289" t="str">
        <f t="shared" si="3778"/>
        <v>AP</v>
      </c>
      <c r="K10289" t="str">
        <f>T("000000000000000000")</f>
        <v>000000000000000000</v>
      </c>
      <c r="L10289" t="str">
        <f>T("2438167366")</f>
        <v>2438167366</v>
      </c>
    </row>
    <row r="10290" spans="1:12" x14ac:dyDescent="0.35">
      <c r="A10290" t="str">
        <f t="shared" si="3781"/>
        <v>COMFLEACT YOKOSUKA</v>
      </c>
      <c r="B10290" t="str">
        <f>T("PSC 473 BOX 1 CODE N31")</f>
        <v>PSC 473 BOX 1 CODE N31</v>
      </c>
      <c r="C10290" t="str">
        <f t="shared" si="3780"/>
        <v/>
      </c>
      <c r="D10290" t="str">
        <f t="shared" si="3782"/>
        <v>FPO</v>
      </c>
      <c r="E10290" t="str">
        <f t="shared" si="3775"/>
        <v>AP</v>
      </c>
      <c r="F10290" t="str">
        <f t="shared" si="3783"/>
        <v>963490001</v>
      </c>
      <c r="G10290" t="str">
        <f>T("PSC 473 BOX 1 CODE N8")</f>
        <v>PSC 473 BOX 1 CODE N8</v>
      </c>
      <c r="H10290" t="str">
        <f>T("COMFLEACT YOKOSUKA")</f>
        <v>COMFLEACT YOKOSUKA</v>
      </c>
      <c r="I10290" t="str">
        <f t="shared" si="3784"/>
        <v>FPO</v>
      </c>
      <c r="J10290" t="str">
        <f t="shared" si="3778"/>
        <v>AP</v>
      </c>
      <c r="K10290" t="str">
        <f>T("81468167366")</f>
        <v>81468167366</v>
      </c>
      <c r="L10290" t="str">
        <f t="shared" ref="L10290:L10295" si="3785">T("1111111111")</f>
        <v>1111111111</v>
      </c>
    </row>
    <row r="10291" spans="1:12" x14ac:dyDescent="0.35">
      <c r="A10291" t="str">
        <f t="shared" si="3781"/>
        <v>COMFLEACT YOKOSUKA</v>
      </c>
      <c r="B10291" t="str">
        <f>T("PSC 473 BOX 1 CODE N6")</f>
        <v>PSC 473 BOX 1 CODE N6</v>
      </c>
      <c r="C10291" t="str">
        <f t="shared" si="3780"/>
        <v/>
      </c>
      <c r="D10291" t="str">
        <f t="shared" si="3782"/>
        <v>FPO</v>
      </c>
      <c r="E10291" t="str">
        <f t="shared" si="3775"/>
        <v>AP</v>
      </c>
      <c r="F10291" t="str">
        <f t="shared" si="3783"/>
        <v>963490001</v>
      </c>
      <c r="G10291" t="str">
        <f>T("PSC 473 BOX 1 CODE N6")</f>
        <v>PSC 473 BOX 1 CODE N6</v>
      </c>
      <c r="H10291" t="str">
        <f>T("")</f>
        <v/>
      </c>
      <c r="I10291" t="str">
        <f t="shared" si="3784"/>
        <v>FPO</v>
      </c>
      <c r="J10291" t="str">
        <f t="shared" si="3778"/>
        <v>AP</v>
      </c>
      <c r="K10291" t="str">
        <f>T("")</f>
        <v/>
      </c>
      <c r="L10291" t="str">
        <f t="shared" si="3785"/>
        <v>1111111111</v>
      </c>
    </row>
    <row r="10292" spans="1:12" x14ac:dyDescent="0.35">
      <c r="A10292" t="str">
        <f t="shared" si="3781"/>
        <v>COMFLEACT YOKOSUKA</v>
      </c>
      <c r="B10292" t="str">
        <f t="shared" ref="B10292:B10306" si="3786">T("PSC 473 BOX 1 CODE N8")</f>
        <v>PSC 473 BOX 1 CODE N8</v>
      </c>
      <c r="C10292" t="str">
        <f t="shared" si="3780"/>
        <v/>
      </c>
      <c r="D10292" t="str">
        <f t="shared" si="3782"/>
        <v>FPO</v>
      </c>
      <c r="E10292" t="str">
        <f t="shared" si="3775"/>
        <v>AP</v>
      </c>
      <c r="F10292" t="str">
        <f t="shared" si="3783"/>
        <v>963490001</v>
      </c>
      <c r="G10292" t="str">
        <f>T("COMFLEACT YOKOSUKA")</f>
        <v>COMFLEACT YOKOSUKA</v>
      </c>
      <c r="H10292" t="str">
        <f>T("PSC 473 BOX 1 CODE N8 YAMADA")</f>
        <v>PSC 473 BOX 1 CODE N8 YAMADA</v>
      </c>
      <c r="I10292" t="str">
        <f t="shared" si="3784"/>
        <v>FPO</v>
      </c>
      <c r="J10292" t="str">
        <f t="shared" si="3778"/>
        <v>AP</v>
      </c>
      <c r="K10292" t="str">
        <f>T("01181468169607")</f>
        <v>01181468169607</v>
      </c>
      <c r="L10292" t="str">
        <f t="shared" si="3785"/>
        <v>1111111111</v>
      </c>
    </row>
    <row r="10293" spans="1:12" x14ac:dyDescent="0.35">
      <c r="A10293" t="str">
        <f t="shared" si="3781"/>
        <v>COMFLEACT YOKOSUKA</v>
      </c>
      <c r="B10293" t="str">
        <f t="shared" si="3786"/>
        <v>PSC 473 BOX 1 CODE N8</v>
      </c>
      <c r="C10293" t="str">
        <f t="shared" si="3780"/>
        <v/>
      </c>
      <c r="D10293" t="str">
        <f t="shared" si="3782"/>
        <v>FPO</v>
      </c>
      <c r="E10293" t="str">
        <f t="shared" si="3775"/>
        <v>AP</v>
      </c>
      <c r="F10293" t="str">
        <f t="shared" si="3783"/>
        <v>963490001</v>
      </c>
      <c r="G10293" t="str">
        <f>T("COMFLEACT YOKOSUKA PSC 473 BOX 1")</f>
        <v>COMFLEACT YOKOSUKA PSC 473 BOX 1</v>
      </c>
      <c r="H10293" t="str">
        <f>T("CODE N8 ATTN PRITCHETT BRIAN K")</f>
        <v>CODE N8 ATTN PRITCHETT BRIAN K</v>
      </c>
      <c r="I10293" t="str">
        <f t="shared" si="3784"/>
        <v>FPO</v>
      </c>
      <c r="J10293" t="str">
        <f t="shared" si="3778"/>
        <v>AP</v>
      </c>
      <c r="K10293" t="str">
        <f>T("01181432567")</f>
        <v>01181432567</v>
      </c>
      <c r="L10293" t="str">
        <f t="shared" si="3785"/>
        <v>1111111111</v>
      </c>
    </row>
    <row r="10294" spans="1:12" x14ac:dyDescent="0.35">
      <c r="A10294" t="str">
        <f t="shared" si="3781"/>
        <v>COMFLEACT YOKOSUKA</v>
      </c>
      <c r="B10294" t="str">
        <f t="shared" si="3786"/>
        <v>PSC 473 BOX 1 CODE N8</v>
      </c>
      <c r="C10294" t="str">
        <f t="shared" si="3780"/>
        <v/>
      </c>
      <c r="D10294" t="str">
        <f t="shared" si="3782"/>
        <v>FPO</v>
      </c>
      <c r="E10294" t="str">
        <f t="shared" si="3775"/>
        <v>AP</v>
      </c>
      <c r="F10294" t="str">
        <f t="shared" si="3783"/>
        <v>963490001</v>
      </c>
      <c r="G10294" t="str">
        <f>T("COMFLEACT YOKOSUKA PSC 473 BOX 1")</f>
        <v>COMFLEACT YOKOSUKA PSC 473 BOX 1</v>
      </c>
      <c r="H10294" t="str">
        <f>T("CODE N8 PRITCHETT BRIAN K")</f>
        <v>CODE N8 PRITCHETT BRIAN K</v>
      </c>
      <c r="I10294" t="str">
        <f t="shared" si="3784"/>
        <v>FPO</v>
      </c>
      <c r="J10294" t="str">
        <f t="shared" si="3778"/>
        <v>AP</v>
      </c>
      <c r="K10294" t="str">
        <f>T("01181468162567")</f>
        <v>01181468162567</v>
      </c>
      <c r="L10294" t="str">
        <f t="shared" si="3785"/>
        <v>1111111111</v>
      </c>
    </row>
    <row r="10295" spans="1:12" x14ac:dyDescent="0.35">
      <c r="A10295" t="str">
        <f t="shared" si="3781"/>
        <v>COMFLEACT YOKOSUKA</v>
      </c>
      <c r="B10295" t="str">
        <f t="shared" si="3786"/>
        <v>PSC 473 BOX 1 CODE N8</v>
      </c>
      <c r="C10295" t="str">
        <f t="shared" si="3780"/>
        <v/>
      </c>
      <c r="D10295" t="str">
        <f t="shared" si="3782"/>
        <v>FPO</v>
      </c>
      <c r="E10295" t="str">
        <f t="shared" si="3775"/>
        <v>AP</v>
      </c>
      <c r="F10295" t="str">
        <f t="shared" si="3783"/>
        <v>963490001</v>
      </c>
      <c r="G10295" t="str">
        <f>T("PSC 473 BOX 1")</f>
        <v>PSC 473 BOX 1</v>
      </c>
      <c r="H10295" t="str">
        <f>T("CODE N8")</f>
        <v>CODE N8</v>
      </c>
      <c r="I10295" t="str">
        <f t="shared" si="3784"/>
        <v>FPO</v>
      </c>
      <c r="J10295" t="str">
        <f t="shared" si="3778"/>
        <v>AP</v>
      </c>
      <c r="K10295" t="str">
        <f>T("01181468163278")</f>
        <v>01181468163278</v>
      </c>
      <c r="L10295" t="str">
        <f t="shared" si="3785"/>
        <v>1111111111</v>
      </c>
    </row>
    <row r="10296" spans="1:12" x14ac:dyDescent="0.35">
      <c r="A10296" t="str">
        <f t="shared" si="3781"/>
        <v>COMFLEACT YOKOSUKA</v>
      </c>
      <c r="B10296" t="str">
        <f t="shared" si="3786"/>
        <v>PSC 473 BOX 1 CODE N8</v>
      </c>
      <c r="C10296" t="str">
        <f t="shared" si="3780"/>
        <v/>
      </c>
      <c r="D10296" t="str">
        <f t="shared" si="3782"/>
        <v>FPO</v>
      </c>
      <c r="E10296" t="str">
        <f t="shared" si="3775"/>
        <v>AP</v>
      </c>
      <c r="F10296" t="str">
        <f t="shared" si="3783"/>
        <v>963490001</v>
      </c>
      <c r="G10296" t="str">
        <f>T("PSC 473 BOX 1")</f>
        <v>PSC 473 BOX 1</v>
      </c>
      <c r="H10296" t="str">
        <f>T("CODE N8")</f>
        <v>CODE N8</v>
      </c>
      <c r="I10296" t="str">
        <f t="shared" si="3784"/>
        <v>FPO</v>
      </c>
      <c r="J10296" t="str">
        <f t="shared" si="3778"/>
        <v>AP</v>
      </c>
      <c r="K10296" t="str">
        <f>T("01181468165495")</f>
        <v>01181468165495</v>
      </c>
      <c r="L10296" t="str">
        <f>T("3152438896")</f>
        <v>3152438896</v>
      </c>
    </row>
    <row r="10297" spans="1:12" x14ac:dyDescent="0.35">
      <c r="A10297" t="str">
        <f t="shared" si="3781"/>
        <v>COMFLEACT YOKOSUKA</v>
      </c>
      <c r="B10297" t="str">
        <f t="shared" si="3786"/>
        <v>PSC 473 BOX 1 CODE N8</v>
      </c>
      <c r="C10297" t="str">
        <f t="shared" si="3780"/>
        <v/>
      </c>
      <c r="D10297" t="str">
        <f t="shared" si="3782"/>
        <v>FPO</v>
      </c>
      <c r="E10297" t="str">
        <f t="shared" si="3775"/>
        <v>AP</v>
      </c>
      <c r="F10297" t="str">
        <f t="shared" si="3783"/>
        <v>963490001</v>
      </c>
      <c r="G10297" t="str">
        <f>T("PSC 473 BOX 1")</f>
        <v>PSC 473 BOX 1</v>
      </c>
      <c r="H10297" t="str">
        <f>T("CODE N8")</f>
        <v>CODE N8</v>
      </c>
      <c r="I10297" t="str">
        <f t="shared" si="3784"/>
        <v>FPO</v>
      </c>
      <c r="J10297" t="str">
        <f t="shared" si="3778"/>
        <v>AP</v>
      </c>
      <c r="K10297" t="str">
        <f>T("01181468168994")</f>
        <v>01181468168994</v>
      </c>
      <c r="L10297" t="str">
        <f>T("3152436773")</f>
        <v>3152436773</v>
      </c>
    </row>
    <row r="10298" spans="1:12" x14ac:dyDescent="0.35">
      <c r="A10298" t="str">
        <f t="shared" si="3781"/>
        <v>COMFLEACT YOKOSUKA</v>
      </c>
      <c r="B10298" t="str">
        <f t="shared" si="3786"/>
        <v>PSC 473 BOX 1 CODE N8</v>
      </c>
      <c r="C10298" t="str">
        <f t="shared" si="3780"/>
        <v/>
      </c>
      <c r="D10298" t="str">
        <f t="shared" si="3782"/>
        <v>FPO</v>
      </c>
      <c r="E10298" t="str">
        <f t="shared" si="3775"/>
        <v>AP</v>
      </c>
      <c r="F10298" t="str">
        <f t="shared" si="3783"/>
        <v>963490001</v>
      </c>
      <c r="G10298" t="str">
        <f>T("PSC 473 BOX 1 CODE N3AT")</f>
        <v>PSC 473 BOX 1 CODE N3AT</v>
      </c>
      <c r="H10298" t="str">
        <f t="shared" ref="H10298:H10306" si="3787">T("")</f>
        <v/>
      </c>
      <c r="I10298" t="str">
        <f t="shared" si="3784"/>
        <v>FPO</v>
      </c>
      <c r="J10298" t="str">
        <f t="shared" si="3778"/>
        <v>AP</v>
      </c>
      <c r="K10298" t="str">
        <f>T("000000000000000000")</f>
        <v>000000000000000000</v>
      </c>
      <c r="L10298" t="str">
        <f t="shared" ref="L10298:L10306" si="3788">T("1111111111")</f>
        <v>1111111111</v>
      </c>
    </row>
    <row r="10299" spans="1:12" x14ac:dyDescent="0.35">
      <c r="A10299" t="str">
        <f t="shared" si="3781"/>
        <v>COMFLEACT YOKOSUKA</v>
      </c>
      <c r="B10299" t="str">
        <f t="shared" si="3786"/>
        <v>PSC 473 BOX 1 CODE N8</v>
      </c>
      <c r="C10299" t="str">
        <f t="shared" si="3780"/>
        <v/>
      </c>
      <c r="D10299" t="str">
        <f t="shared" si="3782"/>
        <v>FPO</v>
      </c>
      <c r="E10299" t="str">
        <f t="shared" si="3775"/>
        <v>AP</v>
      </c>
      <c r="F10299" t="str">
        <f t="shared" si="3783"/>
        <v>963490001</v>
      </c>
      <c r="G10299" t="str">
        <f t="shared" ref="G10299:G10304" si="3789">T("PSC 473 BOX 1 CODE N8")</f>
        <v>PSC 473 BOX 1 CODE N8</v>
      </c>
      <c r="H10299" t="str">
        <f t="shared" si="3787"/>
        <v/>
      </c>
      <c r="I10299" t="str">
        <f t="shared" si="3784"/>
        <v>FPO</v>
      </c>
      <c r="J10299" t="str">
        <f t="shared" si="3778"/>
        <v>AP</v>
      </c>
      <c r="K10299" t="str">
        <f>T("")</f>
        <v/>
      </c>
      <c r="L10299" t="str">
        <f t="shared" si="3788"/>
        <v>1111111111</v>
      </c>
    </row>
    <row r="10300" spans="1:12" x14ac:dyDescent="0.35">
      <c r="A10300" t="str">
        <f t="shared" si="3781"/>
        <v>COMFLEACT YOKOSUKA</v>
      </c>
      <c r="B10300" t="str">
        <f t="shared" si="3786"/>
        <v>PSC 473 BOX 1 CODE N8</v>
      </c>
      <c r="C10300" t="str">
        <f t="shared" si="3780"/>
        <v/>
      </c>
      <c r="D10300" t="str">
        <f t="shared" si="3782"/>
        <v>FPO</v>
      </c>
      <c r="E10300" t="str">
        <f t="shared" si="3775"/>
        <v>AP</v>
      </c>
      <c r="F10300" t="str">
        <f t="shared" si="3783"/>
        <v>963490001</v>
      </c>
      <c r="G10300" t="str">
        <f t="shared" si="3789"/>
        <v>PSC 473 BOX 1 CODE N8</v>
      </c>
      <c r="H10300" t="str">
        <f t="shared" si="3787"/>
        <v/>
      </c>
      <c r="I10300" t="str">
        <f t="shared" si="3784"/>
        <v>FPO</v>
      </c>
      <c r="J10300" t="str">
        <f t="shared" si="3778"/>
        <v>AP</v>
      </c>
      <c r="K10300" t="str">
        <f>T("000000000000000000")</f>
        <v>000000000000000000</v>
      </c>
      <c r="L10300" t="str">
        <f t="shared" si="3788"/>
        <v>1111111111</v>
      </c>
    </row>
    <row r="10301" spans="1:12" x14ac:dyDescent="0.35">
      <c r="A10301" t="str">
        <f t="shared" si="3781"/>
        <v>COMFLEACT YOKOSUKA</v>
      </c>
      <c r="B10301" t="str">
        <f t="shared" si="3786"/>
        <v>PSC 473 BOX 1 CODE N8</v>
      </c>
      <c r="C10301" t="str">
        <f t="shared" si="3780"/>
        <v/>
      </c>
      <c r="D10301" t="str">
        <f t="shared" si="3782"/>
        <v>FPO</v>
      </c>
      <c r="E10301" t="str">
        <f t="shared" si="3775"/>
        <v>AP</v>
      </c>
      <c r="F10301" t="str">
        <f t="shared" si="3783"/>
        <v>963490001</v>
      </c>
      <c r="G10301" t="str">
        <f t="shared" si="3789"/>
        <v>PSC 473 BOX 1 CODE N8</v>
      </c>
      <c r="H10301" t="str">
        <f t="shared" si="3787"/>
        <v/>
      </c>
      <c r="I10301" t="str">
        <f t="shared" si="3784"/>
        <v>FPO</v>
      </c>
      <c r="J10301" t="str">
        <f t="shared" si="3778"/>
        <v>AP</v>
      </c>
      <c r="K10301" t="str">
        <f>T("01181468165519")</f>
        <v>01181468165519</v>
      </c>
      <c r="L10301" t="str">
        <f t="shared" si="3788"/>
        <v>1111111111</v>
      </c>
    </row>
    <row r="10302" spans="1:12" x14ac:dyDescent="0.35">
      <c r="A10302" t="str">
        <f t="shared" si="3781"/>
        <v>COMFLEACT YOKOSUKA</v>
      </c>
      <c r="B10302" t="str">
        <f t="shared" si="3786"/>
        <v>PSC 473 BOX 1 CODE N8</v>
      </c>
      <c r="C10302" t="str">
        <f t="shared" si="3780"/>
        <v/>
      </c>
      <c r="D10302" t="str">
        <f t="shared" si="3782"/>
        <v>FPO</v>
      </c>
      <c r="E10302" t="str">
        <f t="shared" si="3775"/>
        <v>AP</v>
      </c>
      <c r="F10302" t="str">
        <f t="shared" si="3783"/>
        <v>963490001</v>
      </c>
      <c r="G10302" t="str">
        <f t="shared" si="3789"/>
        <v>PSC 473 BOX 1 CODE N8</v>
      </c>
      <c r="H10302" t="str">
        <f t="shared" si="3787"/>
        <v/>
      </c>
      <c r="I10302" t="str">
        <f t="shared" si="3784"/>
        <v>FPO</v>
      </c>
      <c r="J10302" t="str">
        <f t="shared" si="3778"/>
        <v>AP</v>
      </c>
      <c r="K10302" t="str">
        <f>T("01181468167498")</f>
        <v>01181468167498</v>
      </c>
      <c r="L10302" t="str">
        <f t="shared" si="3788"/>
        <v>1111111111</v>
      </c>
    </row>
    <row r="10303" spans="1:12" x14ac:dyDescent="0.35">
      <c r="A10303" t="str">
        <f t="shared" si="3781"/>
        <v>COMFLEACT YOKOSUKA</v>
      </c>
      <c r="B10303" t="str">
        <f t="shared" si="3786"/>
        <v>PSC 473 BOX 1 CODE N8</v>
      </c>
      <c r="C10303" t="str">
        <f t="shared" si="3780"/>
        <v/>
      </c>
      <c r="D10303" t="str">
        <f t="shared" si="3782"/>
        <v>FPO</v>
      </c>
      <c r="E10303" t="str">
        <f t="shared" si="3775"/>
        <v>AP</v>
      </c>
      <c r="F10303" t="str">
        <f t="shared" si="3783"/>
        <v>963490001</v>
      </c>
      <c r="G10303" t="str">
        <f t="shared" si="3789"/>
        <v>PSC 473 BOX 1 CODE N8</v>
      </c>
      <c r="H10303" t="str">
        <f t="shared" si="3787"/>
        <v/>
      </c>
      <c r="I10303" t="str">
        <f t="shared" si="3784"/>
        <v>FPO</v>
      </c>
      <c r="J10303" t="str">
        <f t="shared" si="3778"/>
        <v>AP</v>
      </c>
      <c r="K10303" t="str">
        <f>T("01181468168042")</f>
        <v>01181468168042</v>
      </c>
      <c r="L10303" t="str">
        <f t="shared" si="3788"/>
        <v>1111111111</v>
      </c>
    </row>
    <row r="10304" spans="1:12" x14ac:dyDescent="0.35">
      <c r="A10304" t="str">
        <f t="shared" si="3781"/>
        <v>COMFLEACT YOKOSUKA</v>
      </c>
      <c r="B10304" t="str">
        <f t="shared" si="3786"/>
        <v>PSC 473 BOX 1 CODE N8</v>
      </c>
      <c r="C10304" t="str">
        <f t="shared" si="3780"/>
        <v/>
      </c>
      <c r="D10304" t="str">
        <f t="shared" si="3782"/>
        <v>FPO</v>
      </c>
      <c r="E10304" t="str">
        <f t="shared" si="3775"/>
        <v>AP</v>
      </c>
      <c r="F10304" t="str">
        <f t="shared" si="3783"/>
        <v>963490001</v>
      </c>
      <c r="G10304" t="str">
        <f t="shared" si="3789"/>
        <v>PSC 473 BOX 1 CODE N8</v>
      </c>
      <c r="H10304" t="str">
        <f t="shared" si="3787"/>
        <v/>
      </c>
      <c r="I10304" t="str">
        <f t="shared" si="3784"/>
        <v>FPO</v>
      </c>
      <c r="J10304" t="str">
        <f t="shared" si="3778"/>
        <v>AP</v>
      </c>
      <c r="K10304" t="str">
        <f>T("01181468169622")</f>
        <v>01181468169622</v>
      </c>
      <c r="L10304" t="str">
        <f t="shared" si="3788"/>
        <v>1111111111</v>
      </c>
    </row>
    <row r="10305" spans="1:12" x14ac:dyDescent="0.35">
      <c r="A10305" t="str">
        <f t="shared" si="3781"/>
        <v>COMFLEACT YOKOSUKA</v>
      </c>
      <c r="B10305" t="str">
        <f t="shared" si="3786"/>
        <v>PSC 473 BOX 1 CODE N8</v>
      </c>
      <c r="C10305" t="str">
        <f t="shared" si="3780"/>
        <v/>
      </c>
      <c r="D10305" t="str">
        <f t="shared" si="3782"/>
        <v>FPO</v>
      </c>
      <c r="E10305" t="str">
        <f t="shared" ref="E10305:E10336" si="3790">T("AP")</f>
        <v>AP</v>
      </c>
      <c r="F10305" t="str">
        <f t="shared" si="3783"/>
        <v>963490001</v>
      </c>
      <c r="G10305" t="str">
        <f>T("PSC 473 BOX 1 CODE N925")</f>
        <v>PSC 473 BOX 1 CODE N925</v>
      </c>
      <c r="H10305" t="str">
        <f t="shared" si="3787"/>
        <v/>
      </c>
      <c r="I10305" t="str">
        <f t="shared" si="3784"/>
        <v>FPO</v>
      </c>
      <c r="J10305" t="str">
        <f t="shared" ref="J10305:J10336" si="3791">T("AP")</f>
        <v>AP</v>
      </c>
      <c r="K10305" t="str">
        <f>T("000000000000000000")</f>
        <v>000000000000000000</v>
      </c>
      <c r="L10305" t="str">
        <f t="shared" si="3788"/>
        <v>1111111111</v>
      </c>
    </row>
    <row r="10306" spans="1:12" x14ac:dyDescent="0.35">
      <c r="A10306" t="str">
        <f t="shared" si="3781"/>
        <v>COMFLEACT YOKOSUKA</v>
      </c>
      <c r="B10306" t="str">
        <f t="shared" si="3786"/>
        <v>PSC 473 BOX 1 CODE N8</v>
      </c>
      <c r="C10306" t="str">
        <f t="shared" si="3780"/>
        <v/>
      </c>
      <c r="D10306" t="str">
        <f t="shared" si="3782"/>
        <v>FPO</v>
      </c>
      <c r="E10306" t="str">
        <f t="shared" si="3790"/>
        <v>AP</v>
      </c>
      <c r="F10306" t="str">
        <f t="shared" si="3783"/>
        <v>963490001</v>
      </c>
      <c r="G10306" t="str">
        <f>T("PSC 473 BOX 1 CODE N93")</f>
        <v>PSC 473 BOX 1 CODE N93</v>
      </c>
      <c r="H10306" t="str">
        <f t="shared" si="3787"/>
        <v/>
      </c>
      <c r="I10306" t="str">
        <f t="shared" si="3784"/>
        <v>FPO</v>
      </c>
      <c r="J10306" t="str">
        <f t="shared" si="3791"/>
        <v>AP</v>
      </c>
      <c r="K10306" t="str">
        <f>T("000000000000000000")</f>
        <v>000000000000000000</v>
      </c>
      <c r="L10306" t="str">
        <f t="shared" si="3788"/>
        <v>1111111111</v>
      </c>
    </row>
    <row r="10307" spans="1:12" x14ac:dyDescent="0.35">
      <c r="A10307" t="str">
        <f t="shared" si="3781"/>
        <v>COMFLEACT YOKOSUKA</v>
      </c>
      <c r="B10307" t="str">
        <f>T("PSC 473 BOX 1 CODE N932")</f>
        <v>PSC 473 BOX 1 CODE N932</v>
      </c>
      <c r="C10307" t="str">
        <f t="shared" si="3780"/>
        <v/>
      </c>
      <c r="D10307" t="str">
        <f t="shared" si="3782"/>
        <v>FPO</v>
      </c>
      <c r="E10307" t="str">
        <f t="shared" si="3790"/>
        <v>AP</v>
      </c>
      <c r="F10307" t="str">
        <f t="shared" si="3783"/>
        <v>963490001</v>
      </c>
      <c r="G10307" t="str">
        <f>T("COMFLEACT YOKOSUKA PSC 473 BOX 1")</f>
        <v>COMFLEACT YOKOSUKA PSC 473 BOX 1</v>
      </c>
      <c r="H10307" t="str">
        <f>T("CODE N8 ATTN PRITCHETT BRIAN K")</f>
        <v>CODE N8 ATTN PRITCHETT BRIAN K</v>
      </c>
      <c r="I10307" t="str">
        <f t="shared" si="3784"/>
        <v>FPO</v>
      </c>
      <c r="J10307" t="str">
        <f t="shared" si="3791"/>
        <v>AP</v>
      </c>
      <c r="K10307" t="str">
        <f>T("000000000000000000")</f>
        <v>000000000000000000</v>
      </c>
      <c r="L10307" t="str">
        <f>T("3152435490")</f>
        <v>3152435490</v>
      </c>
    </row>
    <row r="10308" spans="1:12" x14ac:dyDescent="0.35">
      <c r="A10308" t="str">
        <f t="shared" si="3781"/>
        <v>COMFLEACT YOKOSUKA</v>
      </c>
      <c r="B10308" t="str">
        <f>T("PSC 473 BOX 1 CODE N932")</f>
        <v>PSC 473 BOX 1 CODE N932</v>
      </c>
      <c r="C10308" t="str">
        <f t="shared" si="3780"/>
        <v/>
      </c>
      <c r="D10308" t="str">
        <f t="shared" si="3782"/>
        <v>FPO</v>
      </c>
      <c r="E10308" t="str">
        <f t="shared" si="3790"/>
        <v>AP</v>
      </c>
      <c r="F10308" t="str">
        <f t="shared" si="3783"/>
        <v>963490001</v>
      </c>
      <c r="G10308" t="str">
        <f>T("PSC 473 BOX 1")</f>
        <v>PSC 473 BOX 1</v>
      </c>
      <c r="H10308" t="str">
        <f>T("CODE N8")</f>
        <v>CODE N8</v>
      </c>
      <c r="I10308" t="str">
        <f t="shared" si="3784"/>
        <v>FPO</v>
      </c>
      <c r="J10308" t="str">
        <f t="shared" si="3791"/>
        <v>AP</v>
      </c>
      <c r="K10308" t="str">
        <f>T("01181468165569")</f>
        <v>01181468165569</v>
      </c>
      <c r="L10308" t="str">
        <f>T("1111111111")</f>
        <v>1111111111</v>
      </c>
    </row>
    <row r="10309" spans="1:12" x14ac:dyDescent="0.35">
      <c r="A10309" t="str">
        <f t="shared" si="3781"/>
        <v>COMFLEACT YOKOSUKA</v>
      </c>
      <c r="B10309" t="str">
        <f>T("PSC 473 BOX 1 CODE N932")</f>
        <v>PSC 473 BOX 1 CODE N932</v>
      </c>
      <c r="C10309" t="str">
        <f t="shared" si="3780"/>
        <v/>
      </c>
      <c r="D10309" t="str">
        <f t="shared" si="3782"/>
        <v>FPO</v>
      </c>
      <c r="E10309" t="str">
        <f t="shared" si="3790"/>
        <v>AP</v>
      </c>
      <c r="F10309" t="str">
        <f t="shared" si="3783"/>
        <v>963490001</v>
      </c>
      <c r="G10309" t="str">
        <f>T("PSC 473 BOX 1 CODE N932")</f>
        <v>PSC 473 BOX 1 CODE N932</v>
      </c>
      <c r="H10309" t="str">
        <f>T("")</f>
        <v/>
      </c>
      <c r="I10309" t="str">
        <f t="shared" si="3784"/>
        <v>FPO</v>
      </c>
      <c r="J10309" t="str">
        <f t="shared" si="3791"/>
        <v>AP</v>
      </c>
      <c r="K10309" t="str">
        <f>T("")</f>
        <v/>
      </c>
      <c r="L10309" t="str">
        <f>T("1111111111")</f>
        <v>1111111111</v>
      </c>
    </row>
    <row r="10310" spans="1:12" x14ac:dyDescent="0.35">
      <c r="A10310" t="str">
        <f t="shared" si="3781"/>
        <v>COMFLEACT YOKOSUKA</v>
      </c>
      <c r="B10310" t="str">
        <f>T("PSC 473 BOX 13")</f>
        <v>PSC 473 BOX 13</v>
      </c>
      <c r="C10310" t="str">
        <f t="shared" si="3780"/>
        <v/>
      </c>
      <c r="D10310" t="str">
        <f t="shared" si="3782"/>
        <v>FPO</v>
      </c>
      <c r="E10310" t="str">
        <f t="shared" si="3790"/>
        <v>AP</v>
      </c>
      <c r="F10310" t="str">
        <f t="shared" si="3783"/>
        <v>963490001</v>
      </c>
      <c r="G10310" t="str">
        <f>T("PSC 473 BOX 1 CODE N8")</f>
        <v>PSC 473 BOX 1 CODE N8</v>
      </c>
      <c r="H10310" t="str">
        <f>T("")</f>
        <v/>
      </c>
      <c r="I10310" t="str">
        <f t="shared" si="3784"/>
        <v>FPO</v>
      </c>
      <c r="J10310" t="str">
        <f t="shared" si="3791"/>
        <v>AP</v>
      </c>
      <c r="K10310" t="str">
        <f>T("000000000000000000")</f>
        <v>000000000000000000</v>
      </c>
      <c r="L10310" t="str">
        <f>T("1111111111")</f>
        <v>1111111111</v>
      </c>
    </row>
    <row r="10311" spans="1:12" x14ac:dyDescent="0.35">
      <c r="A10311" t="str">
        <f t="shared" si="3781"/>
        <v>COMFLEACT YOKOSUKA</v>
      </c>
      <c r="B10311" t="str">
        <f>T("PSC 473 BOX 13")</f>
        <v>PSC 473 BOX 13</v>
      </c>
      <c r="C10311" t="str">
        <f t="shared" si="3780"/>
        <v/>
      </c>
      <c r="D10311" t="str">
        <f t="shared" si="3782"/>
        <v>FPO</v>
      </c>
      <c r="E10311" t="str">
        <f t="shared" si="3790"/>
        <v>AP</v>
      </c>
      <c r="F10311" t="str">
        <f t="shared" si="3783"/>
        <v>963490001</v>
      </c>
      <c r="G10311" t="str">
        <f>T("PSC 473 BOX 13")</f>
        <v>PSC 473 BOX 13</v>
      </c>
      <c r="H10311" t="str">
        <f>T("")</f>
        <v/>
      </c>
      <c r="I10311" t="str">
        <f t="shared" si="3784"/>
        <v>FPO</v>
      </c>
      <c r="J10311" t="str">
        <f t="shared" si="3791"/>
        <v>AP</v>
      </c>
      <c r="K10311" t="str">
        <f>T("")</f>
        <v/>
      </c>
      <c r="L10311" t="str">
        <f>T("1111111111")</f>
        <v>1111111111</v>
      </c>
    </row>
    <row r="10312" spans="1:12" x14ac:dyDescent="0.35">
      <c r="A10312" t="str">
        <f t="shared" ref="A10312:A10329" si="3792">T("COMFLEACT OKINAWA")</f>
        <v>COMFLEACT OKINAWA</v>
      </c>
      <c r="B10312" t="str">
        <f t="shared" ref="B10312:B10329" si="3793">T("PSC 480 BOX 794")</f>
        <v>PSC 480 BOX 794</v>
      </c>
      <c r="C10312" t="str">
        <f t="shared" ref="C10312:C10346" si="3794">T("")</f>
        <v/>
      </c>
      <c r="D10312" t="str">
        <f t="shared" si="3782"/>
        <v>FPO</v>
      </c>
      <c r="E10312" t="str">
        <f t="shared" si="3790"/>
        <v>AP</v>
      </c>
      <c r="F10312" t="str">
        <f t="shared" ref="F10312:F10329" si="3795">T("963700008")</f>
        <v>963700008</v>
      </c>
      <c r="G10312" t="str">
        <f>T("PSC 480")</f>
        <v>PSC 480</v>
      </c>
      <c r="H10312" t="str">
        <f>T("BOX 794")</f>
        <v>BOX 794</v>
      </c>
      <c r="I10312" t="str">
        <f t="shared" si="3784"/>
        <v>FPO</v>
      </c>
      <c r="J10312" t="str">
        <f t="shared" si="3791"/>
        <v>AP</v>
      </c>
      <c r="K10312" t="str">
        <f>T("011816117349475")</f>
        <v>011816117349475</v>
      </c>
      <c r="L10312" t="str">
        <f>T("1111111111")</f>
        <v>1111111111</v>
      </c>
    </row>
    <row r="10313" spans="1:12" x14ac:dyDescent="0.35">
      <c r="A10313" t="str">
        <f t="shared" si="3792"/>
        <v>COMFLEACT OKINAWA</v>
      </c>
      <c r="B10313" t="str">
        <f t="shared" si="3793"/>
        <v>PSC 480 BOX 794</v>
      </c>
      <c r="C10313" t="str">
        <f t="shared" si="3794"/>
        <v/>
      </c>
      <c r="D10313" t="str">
        <f t="shared" si="3782"/>
        <v>FPO</v>
      </c>
      <c r="E10313" t="str">
        <f t="shared" si="3790"/>
        <v>AP</v>
      </c>
      <c r="F10313" t="str">
        <f t="shared" si="3795"/>
        <v>963700008</v>
      </c>
      <c r="G10313" t="str">
        <f t="shared" ref="G10313:G10329" si="3796">T("PSC 480 BOX 794")</f>
        <v>PSC 480 BOX 794</v>
      </c>
      <c r="H10313" t="str">
        <f t="shared" ref="H10313:H10346" si="3797">T("")</f>
        <v/>
      </c>
      <c r="I10313" t="str">
        <f t="shared" si="3784"/>
        <v>FPO</v>
      </c>
      <c r="J10313" t="str">
        <f t="shared" si="3791"/>
        <v>AP</v>
      </c>
      <c r="K10313" t="str">
        <f>T("000000000000000000")</f>
        <v>000000000000000000</v>
      </c>
      <c r="L10313" t="str">
        <f>T("0118161172")</f>
        <v>0118161172</v>
      </c>
    </row>
    <row r="10314" spans="1:12" x14ac:dyDescent="0.35">
      <c r="A10314" t="str">
        <f t="shared" si="3792"/>
        <v>COMFLEACT OKINAWA</v>
      </c>
      <c r="B10314" t="str">
        <f t="shared" si="3793"/>
        <v>PSC 480 BOX 794</v>
      </c>
      <c r="C10314" t="str">
        <f t="shared" si="3794"/>
        <v/>
      </c>
      <c r="D10314" t="str">
        <f t="shared" si="3782"/>
        <v>FPO</v>
      </c>
      <c r="E10314" t="str">
        <f t="shared" si="3790"/>
        <v>AP</v>
      </c>
      <c r="F10314" t="str">
        <f t="shared" si="3795"/>
        <v>963700008</v>
      </c>
      <c r="G10314" t="str">
        <f t="shared" si="3796"/>
        <v>PSC 480 BOX 794</v>
      </c>
      <c r="H10314" t="str">
        <f t="shared" si="3797"/>
        <v/>
      </c>
      <c r="I10314" t="str">
        <f t="shared" si="3784"/>
        <v>FPO</v>
      </c>
      <c r="J10314" t="str">
        <f t="shared" si="3791"/>
        <v>AP</v>
      </c>
      <c r="K10314" t="str">
        <f>T("000000000000000000")</f>
        <v>000000000000000000</v>
      </c>
      <c r="L10314" t="str">
        <f>T("0118161173")</f>
        <v>0118161173</v>
      </c>
    </row>
    <row r="10315" spans="1:12" x14ac:dyDescent="0.35">
      <c r="A10315" t="str">
        <f t="shared" si="3792"/>
        <v>COMFLEACT OKINAWA</v>
      </c>
      <c r="B10315" t="str">
        <f t="shared" si="3793"/>
        <v>PSC 480 BOX 794</v>
      </c>
      <c r="C10315" t="str">
        <f t="shared" si="3794"/>
        <v/>
      </c>
      <c r="D10315" t="str">
        <f t="shared" si="3782"/>
        <v>FPO</v>
      </c>
      <c r="E10315" t="str">
        <f t="shared" si="3790"/>
        <v>AP</v>
      </c>
      <c r="F10315" t="str">
        <f t="shared" si="3795"/>
        <v>963700008</v>
      </c>
      <c r="G10315" t="str">
        <f t="shared" si="3796"/>
        <v>PSC 480 BOX 794</v>
      </c>
      <c r="H10315" t="str">
        <f t="shared" si="3797"/>
        <v/>
      </c>
      <c r="I10315" t="str">
        <f t="shared" si="3784"/>
        <v>FPO</v>
      </c>
      <c r="J10315" t="str">
        <f t="shared" si="3791"/>
        <v>AP</v>
      </c>
      <c r="K10315" t="str">
        <f>T("000000000000000000")</f>
        <v>000000000000000000</v>
      </c>
      <c r="L10315" t="str">
        <f>T("1111111111")</f>
        <v>1111111111</v>
      </c>
    </row>
    <row r="10316" spans="1:12" x14ac:dyDescent="0.35">
      <c r="A10316" t="str">
        <f t="shared" si="3792"/>
        <v>COMFLEACT OKINAWA</v>
      </c>
      <c r="B10316" t="str">
        <f t="shared" si="3793"/>
        <v>PSC 480 BOX 794</v>
      </c>
      <c r="C10316" t="str">
        <f t="shared" si="3794"/>
        <v/>
      </c>
      <c r="D10316" t="str">
        <f t="shared" si="3782"/>
        <v>FPO</v>
      </c>
      <c r="E10316" t="str">
        <f t="shared" si="3790"/>
        <v>AP</v>
      </c>
      <c r="F10316" t="str">
        <f t="shared" si="3795"/>
        <v>963700008</v>
      </c>
      <c r="G10316" t="str">
        <f t="shared" si="3796"/>
        <v>PSC 480 BOX 794</v>
      </c>
      <c r="H10316" t="str">
        <f t="shared" si="3797"/>
        <v/>
      </c>
      <c r="I10316" t="str">
        <f t="shared" si="3784"/>
        <v>FPO</v>
      </c>
      <c r="J10316" t="str">
        <f t="shared" si="3791"/>
        <v>AP</v>
      </c>
      <c r="K10316" t="str">
        <f>T("011816117221362")</f>
        <v>011816117221362</v>
      </c>
      <c r="L10316" t="str">
        <f>T("1111111111")</f>
        <v>1111111111</v>
      </c>
    </row>
    <row r="10317" spans="1:12" x14ac:dyDescent="0.35">
      <c r="A10317" t="str">
        <f t="shared" si="3792"/>
        <v>COMFLEACT OKINAWA</v>
      </c>
      <c r="B10317" t="str">
        <f t="shared" si="3793"/>
        <v>PSC 480 BOX 794</v>
      </c>
      <c r="C10317" t="str">
        <f t="shared" si="3794"/>
        <v/>
      </c>
      <c r="D10317" t="str">
        <f t="shared" ref="D10317:D10348" si="3798">T("FPO")</f>
        <v>FPO</v>
      </c>
      <c r="E10317" t="str">
        <f t="shared" si="3790"/>
        <v>AP</v>
      </c>
      <c r="F10317" t="str">
        <f t="shared" si="3795"/>
        <v>963700008</v>
      </c>
      <c r="G10317" t="str">
        <f t="shared" si="3796"/>
        <v>PSC 480 BOX 794</v>
      </c>
      <c r="H10317" t="str">
        <f t="shared" si="3797"/>
        <v/>
      </c>
      <c r="I10317" t="str">
        <f t="shared" ref="I10317:I10348" si="3799">T("FPO")</f>
        <v>FPO</v>
      </c>
      <c r="J10317" t="str">
        <f t="shared" si="3791"/>
        <v>AP</v>
      </c>
      <c r="K10317" t="str">
        <f>T("011816117221362")</f>
        <v>011816117221362</v>
      </c>
      <c r="L10317" t="str">
        <f>T("3156221362")</f>
        <v>3156221362</v>
      </c>
    </row>
    <row r="10318" spans="1:12" x14ac:dyDescent="0.35">
      <c r="A10318" t="str">
        <f t="shared" si="3792"/>
        <v>COMFLEACT OKINAWA</v>
      </c>
      <c r="B10318" t="str">
        <f t="shared" si="3793"/>
        <v>PSC 480 BOX 794</v>
      </c>
      <c r="C10318" t="str">
        <f t="shared" si="3794"/>
        <v/>
      </c>
      <c r="D10318" t="str">
        <f t="shared" si="3798"/>
        <v>FPO</v>
      </c>
      <c r="E10318" t="str">
        <f t="shared" si="3790"/>
        <v>AP</v>
      </c>
      <c r="F10318" t="str">
        <f t="shared" si="3795"/>
        <v>963700008</v>
      </c>
      <c r="G10318" t="str">
        <f t="shared" si="3796"/>
        <v>PSC 480 BOX 794</v>
      </c>
      <c r="H10318" t="str">
        <f t="shared" si="3797"/>
        <v/>
      </c>
      <c r="I10318" t="str">
        <f t="shared" si="3799"/>
        <v>FPO</v>
      </c>
      <c r="J10318" t="str">
        <f t="shared" si="3791"/>
        <v>AP</v>
      </c>
      <c r="K10318" t="str">
        <f>T("011816117221385")</f>
        <v>011816117221385</v>
      </c>
      <c r="L10318" t="str">
        <f>T("1111111111")</f>
        <v>1111111111</v>
      </c>
    </row>
    <row r="10319" spans="1:12" x14ac:dyDescent="0.35">
      <c r="A10319" t="str">
        <f t="shared" si="3792"/>
        <v>COMFLEACT OKINAWA</v>
      </c>
      <c r="B10319" t="str">
        <f t="shared" si="3793"/>
        <v>PSC 480 BOX 794</v>
      </c>
      <c r="C10319" t="str">
        <f t="shared" si="3794"/>
        <v/>
      </c>
      <c r="D10319" t="str">
        <f t="shared" si="3798"/>
        <v>FPO</v>
      </c>
      <c r="E10319" t="str">
        <f t="shared" si="3790"/>
        <v>AP</v>
      </c>
      <c r="F10319" t="str">
        <f t="shared" si="3795"/>
        <v>963700008</v>
      </c>
      <c r="G10319" t="str">
        <f t="shared" si="3796"/>
        <v>PSC 480 BOX 794</v>
      </c>
      <c r="H10319" t="str">
        <f t="shared" si="3797"/>
        <v/>
      </c>
      <c r="I10319" t="str">
        <f t="shared" si="3799"/>
        <v>FPO</v>
      </c>
      <c r="J10319" t="str">
        <f t="shared" si="3791"/>
        <v>AP</v>
      </c>
      <c r="K10319" t="str">
        <f>T("011816117327223")</f>
        <v>011816117327223</v>
      </c>
      <c r="L10319" t="str">
        <f>T("1111111111")</f>
        <v>1111111111</v>
      </c>
    </row>
    <row r="10320" spans="1:12" x14ac:dyDescent="0.35">
      <c r="A10320" t="str">
        <f t="shared" si="3792"/>
        <v>COMFLEACT OKINAWA</v>
      </c>
      <c r="B10320" t="str">
        <f t="shared" si="3793"/>
        <v>PSC 480 BOX 794</v>
      </c>
      <c r="C10320" t="str">
        <f t="shared" si="3794"/>
        <v/>
      </c>
      <c r="D10320" t="str">
        <f t="shared" si="3798"/>
        <v>FPO</v>
      </c>
      <c r="E10320" t="str">
        <f t="shared" si="3790"/>
        <v>AP</v>
      </c>
      <c r="F10320" t="str">
        <f t="shared" si="3795"/>
        <v>963700008</v>
      </c>
      <c r="G10320" t="str">
        <f t="shared" si="3796"/>
        <v>PSC 480 BOX 794</v>
      </c>
      <c r="H10320" t="str">
        <f t="shared" si="3797"/>
        <v/>
      </c>
      <c r="I10320" t="str">
        <f t="shared" si="3799"/>
        <v>FPO</v>
      </c>
      <c r="J10320" t="str">
        <f t="shared" si="3791"/>
        <v>AP</v>
      </c>
      <c r="K10320" t="str">
        <f>T("011816117346333")</f>
        <v>011816117346333</v>
      </c>
      <c r="L10320" t="str">
        <f>T("1111111111")</f>
        <v>1111111111</v>
      </c>
    </row>
    <row r="10321" spans="1:12" x14ac:dyDescent="0.35">
      <c r="A10321" t="str">
        <f t="shared" si="3792"/>
        <v>COMFLEACT OKINAWA</v>
      </c>
      <c r="B10321" t="str">
        <f t="shared" si="3793"/>
        <v>PSC 480 BOX 794</v>
      </c>
      <c r="C10321" t="str">
        <f t="shared" si="3794"/>
        <v/>
      </c>
      <c r="D10321" t="str">
        <f t="shared" si="3798"/>
        <v>FPO</v>
      </c>
      <c r="E10321" t="str">
        <f t="shared" si="3790"/>
        <v>AP</v>
      </c>
      <c r="F10321" t="str">
        <f t="shared" si="3795"/>
        <v>963700008</v>
      </c>
      <c r="G10321" t="str">
        <f t="shared" si="3796"/>
        <v>PSC 480 BOX 794</v>
      </c>
      <c r="H10321" t="str">
        <f t="shared" si="3797"/>
        <v/>
      </c>
      <c r="I10321" t="str">
        <f t="shared" si="3799"/>
        <v>FPO</v>
      </c>
      <c r="J10321" t="str">
        <f t="shared" si="3791"/>
        <v>AP</v>
      </c>
      <c r="K10321" t="str">
        <f>T("011816117347076")</f>
        <v>011816117347076</v>
      </c>
      <c r="L10321" t="str">
        <f>T("1111111111")</f>
        <v>1111111111</v>
      </c>
    </row>
    <row r="10322" spans="1:12" x14ac:dyDescent="0.35">
      <c r="A10322" t="str">
        <f t="shared" si="3792"/>
        <v>COMFLEACT OKINAWA</v>
      </c>
      <c r="B10322" t="str">
        <f t="shared" si="3793"/>
        <v>PSC 480 BOX 794</v>
      </c>
      <c r="C10322" t="str">
        <f t="shared" si="3794"/>
        <v/>
      </c>
      <c r="D10322" t="str">
        <f t="shared" si="3798"/>
        <v>FPO</v>
      </c>
      <c r="E10322" t="str">
        <f t="shared" si="3790"/>
        <v>AP</v>
      </c>
      <c r="F10322" t="str">
        <f t="shared" si="3795"/>
        <v>963700008</v>
      </c>
      <c r="G10322" t="str">
        <f t="shared" si="3796"/>
        <v>PSC 480 BOX 794</v>
      </c>
      <c r="H10322" t="str">
        <f t="shared" si="3797"/>
        <v/>
      </c>
      <c r="I10322" t="str">
        <f t="shared" si="3799"/>
        <v>FPO</v>
      </c>
      <c r="J10322" t="str">
        <f t="shared" si="3791"/>
        <v>AP</v>
      </c>
      <c r="K10322" t="str">
        <f>T("011816117348232")</f>
        <v>011816117348232</v>
      </c>
      <c r="L10322" t="str">
        <f>T("1111111111")</f>
        <v>1111111111</v>
      </c>
    </row>
    <row r="10323" spans="1:12" x14ac:dyDescent="0.35">
      <c r="A10323" t="str">
        <f t="shared" si="3792"/>
        <v>COMFLEACT OKINAWA</v>
      </c>
      <c r="B10323" t="str">
        <f t="shared" si="3793"/>
        <v>PSC 480 BOX 794</v>
      </c>
      <c r="C10323" t="str">
        <f t="shared" si="3794"/>
        <v/>
      </c>
      <c r="D10323" t="str">
        <f t="shared" si="3798"/>
        <v>FPO</v>
      </c>
      <c r="E10323" t="str">
        <f t="shared" si="3790"/>
        <v>AP</v>
      </c>
      <c r="F10323" t="str">
        <f t="shared" si="3795"/>
        <v>963700008</v>
      </c>
      <c r="G10323" t="str">
        <f t="shared" si="3796"/>
        <v>PSC 480 BOX 794</v>
      </c>
      <c r="H10323" t="str">
        <f t="shared" si="3797"/>
        <v/>
      </c>
      <c r="I10323" t="str">
        <f t="shared" si="3799"/>
        <v>FPO</v>
      </c>
      <c r="J10323" t="str">
        <f t="shared" si="3791"/>
        <v>AP</v>
      </c>
      <c r="K10323" t="str">
        <f>T("011816117348239")</f>
        <v>011816117348239</v>
      </c>
      <c r="L10323" t="str">
        <f>T("3156348239")</f>
        <v>3156348239</v>
      </c>
    </row>
    <row r="10324" spans="1:12" x14ac:dyDescent="0.35">
      <c r="A10324" t="str">
        <f t="shared" si="3792"/>
        <v>COMFLEACT OKINAWA</v>
      </c>
      <c r="B10324" t="str">
        <f t="shared" si="3793"/>
        <v>PSC 480 BOX 794</v>
      </c>
      <c r="C10324" t="str">
        <f t="shared" si="3794"/>
        <v/>
      </c>
      <c r="D10324" t="str">
        <f t="shared" si="3798"/>
        <v>FPO</v>
      </c>
      <c r="E10324" t="str">
        <f t="shared" si="3790"/>
        <v>AP</v>
      </c>
      <c r="F10324" t="str">
        <f t="shared" si="3795"/>
        <v>963700008</v>
      </c>
      <c r="G10324" t="str">
        <f t="shared" si="3796"/>
        <v>PSC 480 BOX 794</v>
      </c>
      <c r="H10324" t="str">
        <f t="shared" si="3797"/>
        <v/>
      </c>
      <c r="I10324" t="str">
        <f t="shared" si="3799"/>
        <v>FPO</v>
      </c>
      <c r="J10324" t="str">
        <f t="shared" si="3791"/>
        <v>AP</v>
      </c>
      <c r="K10324" t="str">
        <f>T("011816117348249")</f>
        <v>011816117348249</v>
      </c>
      <c r="L10324" t="str">
        <f>T("1111111111")</f>
        <v>1111111111</v>
      </c>
    </row>
    <row r="10325" spans="1:12" x14ac:dyDescent="0.35">
      <c r="A10325" t="str">
        <f t="shared" si="3792"/>
        <v>COMFLEACT OKINAWA</v>
      </c>
      <c r="B10325" t="str">
        <f t="shared" si="3793"/>
        <v>PSC 480 BOX 794</v>
      </c>
      <c r="C10325" t="str">
        <f t="shared" si="3794"/>
        <v/>
      </c>
      <c r="D10325" t="str">
        <f t="shared" si="3798"/>
        <v>FPO</v>
      </c>
      <c r="E10325" t="str">
        <f t="shared" si="3790"/>
        <v>AP</v>
      </c>
      <c r="F10325" t="str">
        <f t="shared" si="3795"/>
        <v>963700008</v>
      </c>
      <c r="G10325" t="str">
        <f t="shared" si="3796"/>
        <v>PSC 480 BOX 794</v>
      </c>
      <c r="H10325" t="str">
        <f t="shared" si="3797"/>
        <v/>
      </c>
      <c r="I10325" t="str">
        <f t="shared" si="3799"/>
        <v>FPO</v>
      </c>
      <c r="J10325" t="str">
        <f t="shared" si="3791"/>
        <v>AP</v>
      </c>
      <c r="K10325" t="str">
        <f>T("011816117348277")</f>
        <v>011816117348277</v>
      </c>
      <c r="L10325" t="str">
        <f>T("1111111111")</f>
        <v>1111111111</v>
      </c>
    </row>
    <row r="10326" spans="1:12" x14ac:dyDescent="0.35">
      <c r="A10326" t="str">
        <f t="shared" si="3792"/>
        <v>COMFLEACT OKINAWA</v>
      </c>
      <c r="B10326" t="str">
        <f t="shared" si="3793"/>
        <v>PSC 480 BOX 794</v>
      </c>
      <c r="C10326" t="str">
        <f t="shared" si="3794"/>
        <v/>
      </c>
      <c r="D10326" t="str">
        <f t="shared" si="3798"/>
        <v>FPO</v>
      </c>
      <c r="E10326" t="str">
        <f t="shared" si="3790"/>
        <v>AP</v>
      </c>
      <c r="F10326" t="str">
        <f t="shared" si="3795"/>
        <v>963700008</v>
      </c>
      <c r="G10326" t="str">
        <f t="shared" si="3796"/>
        <v>PSC 480 BOX 794</v>
      </c>
      <c r="H10326" t="str">
        <f t="shared" si="3797"/>
        <v/>
      </c>
      <c r="I10326" t="str">
        <f t="shared" si="3799"/>
        <v>FPO</v>
      </c>
      <c r="J10326" t="str">
        <f t="shared" si="3791"/>
        <v>AP</v>
      </c>
      <c r="K10326" t="str">
        <f>T("011816117348277")</f>
        <v>011816117348277</v>
      </c>
      <c r="L10326" t="str">
        <f>T("3156348277")</f>
        <v>3156348277</v>
      </c>
    </row>
    <row r="10327" spans="1:12" x14ac:dyDescent="0.35">
      <c r="A10327" t="str">
        <f t="shared" si="3792"/>
        <v>COMFLEACT OKINAWA</v>
      </c>
      <c r="B10327" t="str">
        <f t="shared" si="3793"/>
        <v>PSC 480 BOX 794</v>
      </c>
      <c r="C10327" t="str">
        <f t="shared" si="3794"/>
        <v/>
      </c>
      <c r="D10327" t="str">
        <f t="shared" si="3798"/>
        <v>FPO</v>
      </c>
      <c r="E10327" t="str">
        <f t="shared" si="3790"/>
        <v>AP</v>
      </c>
      <c r="F10327" t="str">
        <f t="shared" si="3795"/>
        <v>963700008</v>
      </c>
      <c r="G10327" t="str">
        <f t="shared" si="3796"/>
        <v>PSC 480 BOX 794</v>
      </c>
      <c r="H10327" t="str">
        <f t="shared" si="3797"/>
        <v/>
      </c>
      <c r="I10327" t="str">
        <f t="shared" si="3799"/>
        <v>FPO</v>
      </c>
      <c r="J10327" t="str">
        <f t="shared" si="3791"/>
        <v>AP</v>
      </c>
      <c r="K10327" t="str">
        <f>T("011816117348990")</f>
        <v>011816117348990</v>
      </c>
      <c r="L10327" t="str">
        <f>T("1111111111")</f>
        <v>1111111111</v>
      </c>
    </row>
    <row r="10328" spans="1:12" x14ac:dyDescent="0.35">
      <c r="A10328" t="str">
        <f t="shared" si="3792"/>
        <v>COMFLEACT OKINAWA</v>
      </c>
      <c r="B10328" t="str">
        <f t="shared" si="3793"/>
        <v>PSC 480 BOX 794</v>
      </c>
      <c r="C10328" t="str">
        <f t="shared" si="3794"/>
        <v/>
      </c>
      <c r="D10328" t="str">
        <f t="shared" si="3798"/>
        <v>FPO</v>
      </c>
      <c r="E10328" t="str">
        <f t="shared" si="3790"/>
        <v>AP</v>
      </c>
      <c r="F10328" t="str">
        <f t="shared" si="3795"/>
        <v>963700008</v>
      </c>
      <c r="G10328" t="str">
        <f t="shared" si="3796"/>
        <v>PSC 480 BOX 794</v>
      </c>
      <c r="H10328" t="str">
        <f t="shared" si="3797"/>
        <v/>
      </c>
      <c r="I10328" t="str">
        <f t="shared" si="3799"/>
        <v>FPO</v>
      </c>
      <c r="J10328" t="str">
        <f t="shared" si="3791"/>
        <v>AP</v>
      </c>
      <c r="K10328" t="str">
        <f>T("011816117348990")</f>
        <v>011816117348990</v>
      </c>
      <c r="L10328" t="str">
        <f>T("3156348900")</f>
        <v>3156348900</v>
      </c>
    </row>
    <row r="10329" spans="1:12" x14ac:dyDescent="0.35">
      <c r="A10329" t="str">
        <f t="shared" si="3792"/>
        <v>COMFLEACT OKINAWA</v>
      </c>
      <c r="B10329" t="str">
        <f t="shared" si="3793"/>
        <v>PSC 480 BOX 794</v>
      </c>
      <c r="C10329" t="str">
        <f t="shared" si="3794"/>
        <v/>
      </c>
      <c r="D10329" t="str">
        <f t="shared" si="3798"/>
        <v>FPO</v>
      </c>
      <c r="E10329" t="str">
        <f t="shared" si="3790"/>
        <v>AP</v>
      </c>
      <c r="F10329" t="str">
        <f t="shared" si="3795"/>
        <v>963700008</v>
      </c>
      <c r="G10329" t="str">
        <f t="shared" si="3796"/>
        <v>PSC 480 BOX 794</v>
      </c>
      <c r="H10329" t="str">
        <f t="shared" si="3797"/>
        <v/>
      </c>
      <c r="I10329" t="str">
        <f t="shared" si="3799"/>
        <v>FPO</v>
      </c>
      <c r="J10329" t="str">
        <f t="shared" si="3791"/>
        <v>AP</v>
      </c>
      <c r="K10329" t="str">
        <f>T("011816117349475")</f>
        <v>011816117349475</v>
      </c>
      <c r="L10329" t="str">
        <f>T("1111111111")</f>
        <v>1111111111</v>
      </c>
    </row>
    <row r="10330" spans="1:12" x14ac:dyDescent="0.35">
      <c r="A10330" t="str">
        <f t="shared" ref="A10330:A10346" si="3800">T("NAF ATSUGI JAPAN")</f>
        <v>NAF ATSUGI JAPAN</v>
      </c>
      <c r="B10330" t="str">
        <f t="shared" ref="B10330:B10338" si="3801">T("PSC 477 BOX 13")</f>
        <v>PSC 477 BOX 13</v>
      </c>
      <c r="C10330" t="str">
        <f t="shared" si="3794"/>
        <v/>
      </c>
      <c r="D10330" t="str">
        <f t="shared" si="3798"/>
        <v>FPO</v>
      </c>
      <c r="E10330" t="str">
        <f t="shared" si="3790"/>
        <v>AP</v>
      </c>
      <c r="F10330" t="str">
        <f t="shared" ref="F10330:F10346" si="3802">T("963060001")</f>
        <v>963060001</v>
      </c>
      <c r="G10330" t="str">
        <f>T("PSC 477 BOX 13")</f>
        <v>PSC 477 BOX 13</v>
      </c>
      <c r="H10330" t="str">
        <f t="shared" si="3797"/>
        <v/>
      </c>
      <c r="I10330" t="str">
        <f t="shared" si="3799"/>
        <v>FPO</v>
      </c>
      <c r="J10330" t="str">
        <f t="shared" si="3791"/>
        <v>AP</v>
      </c>
      <c r="K10330" t="str">
        <f>T("")</f>
        <v/>
      </c>
      <c r="L10330" t="str">
        <f>T("3152643804")</f>
        <v>3152643804</v>
      </c>
    </row>
    <row r="10331" spans="1:12" x14ac:dyDescent="0.35">
      <c r="A10331" t="str">
        <f t="shared" si="3800"/>
        <v>NAF ATSUGI JAPAN</v>
      </c>
      <c r="B10331" t="str">
        <f t="shared" si="3801"/>
        <v>PSC 477 BOX 13</v>
      </c>
      <c r="C10331" t="str">
        <f t="shared" si="3794"/>
        <v/>
      </c>
      <c r="D10331" t="str">
        <f t="shared" si="3798"/>
        <v>FPO</v>
      </c>
      <c r="E10331" t="str">
        <f t="shared" si="3790"/>
        <v>AP</v>
      </c>
      <c r="F10331" t="str">
        <f t="shared" si="3802"/>
        <v>963060001</v>
      </c>
      <c r="G10331" t="str">
        <f>T("PSC 477 BOX 13")</f>
        <v>PSC 477 BOX 13</v>
      </c>
      <c r="H10331" t="str">
        <f t="shared" si="3797"/>
        <v/>
      </c>
      <c r="I10331" t="str">
        <f t="shared" si="3799"/>
        <v>FPO</v>
      </c>
      <c r="J10331" t="str">
        <f t="shared" si="3791"/>
        <v>AP</v>
      </c>
      <c r="K10331" t="str">
        <f>T("000000000000000000")</f>
        <v>000000000000000000</v>
      </c>
      <c r="L10331" t="str">
        <f>T("3152643573")</f>
        <v>3152643573</v>
      </c>
    </row>
    <row r="10332" spans="1:12" x14ac:dyDescent="0.35">
      <c r="A10332" t="str">
        <f t="shared" si="3800"/>
        <v>NAF ATSUGI JAPAN</v>
      </c>
      <c r="B10332" t="str">
        <f t="shared" si="3801"/>
        <v>PSC 477 BOX 13</v>
      </c>
      <c r="C10332" t="str">
        <f t="shared" si="3794"/>
        <v/>
      </c>
      <c r="D10332" t="str">
        <f t="shared" si="3798"/>
        <v>FPO</v>
      </c>
      <c r="E10332" t="str">
        <f t="shared" si="3790"/>
        <v>AP</v>
      </c>
      <c r="F10332" t="str">
        <f t="shared" si="3802"/>
        <v>963060001</v>
      </c>
      <c r="G10332" t="str">
        <f>T("PSC 477 BOX 18")</f>
        <v>PSC 477 BOX 18</v>
      </c>
      <c r="H10332" t="str">
        <f t="shared" si="3797"/>
        <v/>
      </c>
      <c r="I10332" t="str">
        <f t="shared" si="3799"/>
        <v>FPO</v>
      </c>
      <c r="J10332" t="str">
        <f t="shared" si="3791"/>
        <v>AP</v>
      </c>
      <c r="K10332" t="str">
        <f>T("000000000000000000")</f>
        <v>000000000000000000</v>
      </c>
      <c r="L10332" t="str">
        <f>T("3152644857")</f>
        <v>3152644857</v>
      </c>
    </row>
    <row r="10333" spans="1:12" x14ac:dyDescent="0.35">
      <c r="A10333" t="str">
        <f t="shared" si="3800"/>
        <v>NAF ATSUGI JAPAN</v>
      </c>
      <c r="B10333" t="str">
        <f t="shared" si="3801"/>
        <v>PSC 477 BOX 13</v>
      </c>
      <c r="C10333" t="str">
        <f t="shared" si="3794"/>
        <v/>
      </c>
      <c r="D10333" t="str">
        <f t="shared" si="3798"/>
        <v>FPO</v>
      </c>
      <c r="E10333" t="str">
        <f t="shared" si="3790"/>
        <v>AP</v>
      </c>
      <c r="F10333" t="str">
        <f t="shared" si="3802"/>
        <v>963060001</v>
      </c>
      <c r="G10333" t="str">
        <f>T("PSC 477 BOX 22")</f>
        <v>PSC 477 BOX 22</v>
      </c>
      <c r="H10333" t="str">
        <f t="shared" si="3797"/>
        <v/>
      </c>
      <c r="I10333" t="str">
        <f t="shared" si="3799"/>
        <v>FPO</v>
      </c>
      <c r="J10333" t="str">
        <f t="shared" si="3791"/>
        <v>AP</v>
      </c>
      <c r="K10333" t="str">
        <f>T("000000000000000000")</f>
        <v>000000000000000000</v>
      </c>
      <c r="L10333" t="str">
        <f>T("3152643638")</f>
        <v>3152643638</v>
      </c>
    </row>
    <row r="10334" spans="1:12" x14ac:dyDescent="0.35">
      <c r="A10334" t="str">
        <f t="shared" si="3800"/>
        <v>NAF ATSUGI JAPAN</v>
      </c>
      <c r="B10334" t="str">
        <f t="shared" si="3801"/>
        <v>PSC 477 BOX 13</v>
      </c>
      <c r="C10334" t="str">
        <f t="shared" si="3794"/>
        <v/>
      </c>
      <c r="D10334" t="str">
        <f t="shared" si="3798"/>
        <v>FPO</v>
      </c>
      <c r="E10334" t="str">
        <f t="shared" si="3790"/>
        <v>AP</v>
      </c>
      <c r="F10334" t="str">
        <f t="shared" si="3802"/>
        <v>963060001</v>
      </c>
      <c r="G10334" t="str">
        <f>T("PSC 477 BOX 85")</f>
        <v>PSC 477 BOX 85</v>
      </c>
      <c r="H10334" t="str">
        <f t="shared" si="3797"/>
        <v/>
      </c>
      <c r="I10334" t="str">
        <f t="shared" si="3799"/>
        <v>FPO</v>
      </c>
      <c r="J10334" t="str">
        <f t="shared" si="3791"/>
        <v>AP</v>
      </c>
      <c r="K10334" t="str">
        <f>T("")</f>
        <v/>
      </c>
      <c r="L10334" t="str">
        <f>T("3152642371")</f>
        <v>3152642371</v>
      </c>
    </row>
    <row r="10335" spans="1:12" x14ac:dyDescent="0.35">
      <c r="A10335" t="str">
        <f t="shared" si="3800"/>
        <v>NAF ATSUGI JAPAN</v>
      </c>
      <c r="B10335" t="str">
        <f t="shared" si="3801"/>
        <v>PSC 477 BOX 13</v>
      </c>
      <c r="C10335" t="str">
        <f t="shared" si="3794"/>
        <v/>
      </c>
      <c r="D10335" t="str">
        <f t="shared" si="3798"/>
        <v>FPO</v>
      </c>
      <c r="E10335" t="str">
        <f t="shared" si="3790"/>
        <v>AP</v>
      </c>
      <c r="F10335" t="str">
        <f t="shared" si="3802"/>
        <v>963060001</v>
      </c>
      <c r="G10335" t="str">
        <f>T("PSC 477 BOX 85")</f>
        <v>PSC 477 BOX 85</v>
      </c>
      <c r="H10335" t="str">
        <f t="shared" si="3797"/>
        <v/>
      </c>
      <c r="I10335" t="str">
        <f t="shared" si="3799"/>
        <v>FPO</v>
      </c>
      <c r="J10335" t="str">
        <f t="shared" si="3791"/>
        <v>AP</v>
      </c>
      <c r="K10335" t="str">
        <f>T("")</f>
        <v/>
      </c>
      <c r="L10335" t="str">
        <f>T("3152643125")</f>
        <v>3152643125</v>
      </c>
    </row>
    <row r="10336" spans="1:12" x14ac:dyDescent="0.35">
      <c r="A10336" t="str">
        <f t="shared" si="3800"/>
        <v>NAF ATSUGI JAPAN</v>
      </c>
      <c r="B10336" t="str">
        <f t="shared" si="3801"/>
        <v>PSC 477 BOX 13</v>
      </c>
      <c r="C10336" t="str">
        <f t="shared" si="3794"/>
        <v/>
      </c>
      <c r="D10336" t="str">
        <f t="shared" si="3798"/>
        <v>FPO</v>
      </c>
      <c r="E10336" t="str">
        <f t="shared" si="3790"/>
        <v>AP</v>
      </c>
      <c r="F10336" t="str">
        <f t="shared" si="3802"/>
        <v>963060001</v>
      </c>
      <c r="G10336" t="str">
        <f>T("PSC 477 BOX 9")</f>
        <v>PSC 477 BOX 9</v>
      </c>
      <c r="H10336" t="str">
        <f t="shared" si="3797"/>
        <v/>
      </c>
      <c r="I10336" t="str">
        <f t="shared" si="3799"/>
        <v>FPO</v>
      </c>
      <c r="J10336" t="str">
        <f t="shared" si="3791"/>
        <v>AP</v>
      </c>
      <c r="K10336" t="str">
        <f>T("000000000000000000")</f>
        <v>000000000000000000</v>
      </c>
      <c r="L10336" t="str">
        <f>T("3152643219")</f>
        <v>3152643219</v>
      </c>
    </row>
    <row r="10337" spans="1:12" x14ac:dyDescent="0.35">
      <c r="A10337" t="str">
        <f t="shared" si="3800"/>
        <v>NAF ATSUGI JAPAN</v>
      </c>
      <c r="B10337" t="str">
        <f t="shared" si="3801"/>
        <v>PSC 477 BOX 13</v>
      </c>
      <c r="C10337" t="str">
        <f t="shared" si="3794"/>
        <v/>
      </c>
      <c r="D10337" t="str">
        <f t="shared" si="3798"/>
        <v>FPO</v>
      </c>
      <c r="E10337" t="str">
        <f t="shared" ref="E10337:E10368" si="3803">T("AP")</f>
        <v>AP</v>
      </c>
      <c r="F10337" t="str">
        <f t="shared" si="3802"/>
        <v>963060001</v>
      </c>
      <c r="G10337" t="str">
        <f>T("PSC 477 BOX 9")</f>
        <v>PSC 477 BOX 9</v>
      </c>
      <c r="H10337" t="str">
        <f t="shared" si="3797"/>
        <v/>
      </c>
      <c r="I10337" t="str">
        <f t="shared" si="3799"/>
        <v>FPO</v>
      </c>
      <c r="J10337" t="str">
        <f t="shared" ref="J10337:J10368" si="3804">T("AP")</f>
        <v>AP</v>
      </c>
      <c r="K10337" t="str">
        <f>T("000000000000000000")</f>
        <v>000000000000000000</v>
      </c>
      <c r="L10337" t="str">
        <f>T("3152643602")</f>
        <v>3152643602</v>
      </c>
    </row>
    <row r="10338" spans="1:12" x14ac:dyDescent="0.35">
      <c r="A10338" t="str">
        <f t="shared" si="3800"/>
        <v>NAF ATSUGI JAPAN</v>
      </c>
      <c r="B10338" t="str">
        <f t="shared" si="3801"/>
        <v>PSC 477 BOX 13</v>
      </c>
      <c r="C10338" t="str">
        <f t="shared" si="3794"/>
        <v/>
      </c>
      <c r="D10338" t="str">
        <f t="shared" si="3798"/>
        <v>FPO</v>
      </c>
      <c r="E10338" t="str">
        <f t="shared" si="3803"/>
        <v>AP</v>
      </c>
      <c r="F10338" t="str">
        <f t="shared" si="3802"/>
        <v>963060001</v>
      </c>
      <c r="G10338" t="str">
        <f>T("PSC 477 BOX 9")</f>
        <v>PSC 477 BOX 9</v>
      </c>
      <c r="H10338" t="str">
        <f t="shared" si="3797"/>
        <v/>
      </c>
      <c r="I10338" t="str">
        <f t="shared" si="3799"/>
        <v>FPO</v>
      </c>
      <c r="J10338" t="str">
        <f t="shared" si="3804"/>
        <v>AP</v>
      </c>
      <c r="K10338" t="str">
        <f>T("000000000000000000")</f>
        <v>000000000000000000</v>
      </c>
      <c r="L10338" t="str">
        <f>T("3152644806")</f>
        <v>3152644806</v>
      </c>
    </row>
    <row r="10339" spans="1:12" x14ac:dyDescent="0.35">
      <c r="A10339" t="str">
        <f t="shared" si="3800"/>
        <v>NAF ATSUGI JAPAN</v>
      </c>
      <c r="B10339" t="str">
        <f>T("PSC 477 BOX 15")</f>
        <v>PSC 477 BOX 15</v>
      </c>
      <c r="C10339" t="str">
        <f t="shared" si="3794"/>
        <v/>
      </c>
      <c r="D10339" t="str">
        <f t="shared" si="3798"/>
        <v>FPO</v>
      </c>
      <c r="E10339" t="str">
        <f t="shared" si="3803"/>
        <v>AP</v>
      </c>
      <c r="F10339" t="str">
        <f t="shared" si="3802"/>
        <v>963060001</v>
      </c>
      <c r="G10339" t="str">
        <f>T("PSC 477 BOX 15")</f>
        <v>PSC 477 BOX 15</v>
      </c>
      <c r="H10339" t="str">
        <f t="shared" si="3797"/>
        <v/>
      </c>
      <c r="I10339" t="str">
        <f t="shared" si="3799"/>
        <v>FPO</v>
      </c>
      <c r="J10339" t="str">
        <f t="shared" si="3804"/>
        <v>AP</v>
      </c>
      <c r="K10339" t="str">
        <f>T("")</f>
        <v/>
      </c>
      <c r="L10339" t="str">
        <f>T("3152642537")</f>
        <v>3152642537</v>
      </c>
    </row>
    <row r="10340" spans="1:12" x14ac:dyDescent="0.35">
      <c r="A10340" t="str">
        <f t="shared" si="3800"/>
        <v>NAF ATSUGI JAPAN</v>
      </c>
      <c r="B10340" t="str">
        <f>T("PSC 477 BOX 15")</f>
        <v>PSC 477 BOX 15</v>
      </c>
      <c r="C10340" t="str">
        <f t="shared" si="3794"/>
        <v/>
      </c>
      <c r="D10340" t="str">
        <f t="shared" si="3798"/>
        <v>FPO</v>
      </c>
      <c r="E10340" t="str">
        <f t="shared" si="3803"/>
        <v>AP</v>
      </c>
      <c r="F10340" t="str">
        <f t="shared" si="3802"/>
        <v>963060001</v>
      </c>
      <c r="G10340" t="str">
        <f>T("PSC 477 BOX 15")</f>
        <v>PSC 477 BOX 15</v>
      </c>
      <c r="H10340" t="str">
        <f t="shared" si="3797"/>
        <v/>
      </c>
      <c r="I10340" t="str">
        <f t="shared" si="3799"/>
        <v>FPO</v>
      </c>
      <c r="J10340" t="str">
        <f t="shared" si="3804"/>
        <v>AP</v>
      </c>
      <c r="K10340" t="str">
        <f>T("")</f>
        <v/>
      </c>
      <c r="L10340" t="str">
        <f>T("3152644014")</f>
        <v>3152644014</v>
      </c>
    </row>
    <row r="10341" spans="1:12" x14ac:dyDescent="0.35">
      <c r="A10341" t="str">
        <f t="shared" si="3800"/>
        <v>NAF ATSUGI JAPAN</v>
      </c>
      <c r="B10341" t="str">
        <f>T("PSC 477 BOX 32")</f>
        <v>PSC 477 BOX 32</v>
      </c>
      <c r="C10341" t="str">
        <f t="shared" si="3794"/>
        <v/>
      </c>
      <c r="D10341" t="str">
        <f t="shared" si="3798"/>
        <v>FPO</v>
      </c>
      <c r="E10341" t="str">
        <f t="shared" si="3803"/>
        <v>AP</v>
      </c>
      <c r="F10341" t="str">
        <f t="shared" si="3802"/>
        <v>963060001</v>
      </c>
      <c r="G10341" t="str">
        <f>T("PSC 477 BOX 32")</f>
        <v>PSC 477 BOX 32</v>
      </c>
      <c r="H10341" t="str">
        <f t="shared" si="3797"/>
        <v/>
      </c>
      <c r="I10341" t="str">
        <f t="shared" si="3799"/>
        <v>FPO</v>
      </c>
      <c r="J10341" t="str">
        <f t="shared" si="3804"/>
        <v>AP</v>
      </c>
      <c r="K10341" t="str">
        <f>T("")</f>
        <v/>
      </c>
      <c r="L10341" t="str">
        <f>T("3152643372")</f>
        <v>3152643372</v>
      </c>
    </row>
    <row r="10342" spans="1:12" x14ac:dyDescent="0.35">
      <c r="A10342" t="str">
        <f t="shared" si="3800"/>
        <v>NAF ATSUGI JAPAN</v>
      </c>
      <c r="B10342" t="str">
        <f>T("PSC 477 BOX 32")</f>
        <v>PSC 477 BOX 32</v>
      </c>
      <c r="C10342" t="str">
        <f t="shared" si="3794"/>
        <v/>
      </c>
      <c r="D10342" t="str">
        <f t="shared" si="3798"/>
        <v>FPO</v>
      </c>
      <c r="E10342" t="str">
        <f t="shared" si="3803"/>
        <v>AP</v>
      </c>
      <c r="F10342" t="str">
        <f t="shared" si="3802"/>
        <v>963060001</v>
      </c>
      <c r="G10342" t="str">
        <f>T("PSC 477 BOX 32")</f>
        <v>PSC 477 BOX 32</v>
      </c>
      <c r="H10342" t="str">
        <f t="shared" si="3797"/>
        <v/>
      </c>
      <c r="I10342" t="str">
        <f t="shared" si="3799"/>
        <v>FPO</v>
      </c>
      <c r="J10342" t="str">
        <f t="shared" si="3804"/>
        <v>AP</v>
      </c>
      <c r="K10342" t="str">
        <f>T("000000000000000000")</f>
        <v>000000000000000000</v>
      </c>
      <c r="L10342" t="str">
        <f>T("3152643372")</f>
        <v>3152643372</v>
      </c>
    </row>
    <row r="10343" spans="1:12" x14ac:dyDescent="0.35">
      <c r="A10343" t="str">
        <f t="shared" si="3800"/>
        <v>NAF ATSUGI JAPAN</v>
      </c>
      <c r="B10343" t="str">
        <f>T("PSC 477 BOX 32")</f>
        <v>PSC 477 BOX 32</v>
      </c>
      <c r="C10343" t="str">
        <f t="shared" si="3794"/>
        <v/>
      </c>
      <c r="D10343" t="str">
        <f t="shared" si="3798"/>
        <v>FPO</v>
      </c>
      <c r="E10343" t="str">
        <f t="shared" si="3803"/>
        <v>AP</v>
      </c>
      <c r="F10343" t="str">
        <f t="shared" si="3802"/>
        <v>963060001</v>
      </c>
      <c r="G10343" t="str">
        <f>T("PSC 477 BOX 32")</f>
        <v>PSC 477 BOX 32</v>
      </c>
      <c r="H10343" t="str">
        <f t="shared" si="3797"/>
        <v/>
      </c>
      <c r="I10343" t="str">
        <f t="shared" si="3799"/>
        <v>FPO</v>
      </c>
      <c r="J10343" t="str">
        <f t="shared" si="3804"/>
        <v>AP</v>
      </c>
      <c r="K10343" t="str">
        <f>T("000000000000000000")</f>
        <v>000000000000000000</v>
      </c>
      <c r="L10343" t="str">
        <f>T("3152644188")</f>
        <v>3152644188</v>
      </c>
    </row>
    <row r="10344" spans="1:12" x14ac:dyDescent="0.35">
      <c r="A10344" t="str">
        <f t="shared" si="3800"/>
        <v>NAF ATSUGI JAPAN</v>
      </c>
      <c r="B10344" t="str">
        <f>T("PSC 477 BOX 33")</f>
        <v>PSC 477 BOX 33</v>
      </c>
      <c r="C10344" t="str">
        <f t="shared" si="3794"/>
        <v/>
      </c>
      <c r="D10344" t="str">
        <f t="shared" si="3798"/>
        <v>FPO</v>
      </c>
      <c r="E10344" t="str">
        <f t="shared" si="3803"/>
        <v>AP</v>
      </c>
      <c r="F10344" t="str">
        <f t="shared" si="3802"/>
        <v>963060001</v>
      </c>
      <c r="G10344" t="str">
        <f>T("PSC 477 BOX 19")</f>
        <v>PSC 477 BOX 19</v>
      </c>
      <c r="H10344" t="str">
        <f t="shared" si="3797"/>
        <v/>
      </c>
      <c r="I10344" t="str">
        <f t="shared" si="3799"/>
        <v>FPO</v>
      </c>
      <c r="J10344" t="str">
        <f t="shared" si="3804"/>
        <v>AP</v>
      </c>
      <c r="K10344" t="str">
        <f>T("000000000000000000")</f>
        <v>000000000000000000</v>
      </c>
      <c r="L10344" t="str">
        <f>T("3152644788")</f>
        <v>3152644788</v>
      </c>
    </row>
    <row r="10345" spans="1:12" x14ac:dyDescent="0.35">
      <c r="A10345" t="str">
        <f t="shared" si="3800"/>
        <v>NAF ATSUGI JAPAN</v>
      </c>
      <c r="B10345" t="str">
        <f>T("PSC 477 BOX 33")</f>
        <v>PSC 477 BOX 33</v>
      </c>
      <c r="C10345" t="str">
        <f t="shared" si="3794"/>
        <v/>
      </c>
      <c r="D10345" t="str">
        <f t="shared" si="3798"/>
        <v>FPO</v>
      </c>
      <c r="E10345" t="str">
        <f t="shared" si="3803"/>
        <v>AP</v>
      </c>
      <c r="F10345" t="str">
        <f t="shared" si="3802"/>
        <v>963060001</v>
      </c>
      <c r="G10345" t="str">
        <f>T("PSC 477 BOX 33")</f>
        <v>PSC 477 BOX 33</v>
      </c>
      <c r="H10345" t="str">
        <f t="shared" si="3797"/>
        <v/>
      </c>
      <c r="I10345" t="str">
        <f t="shared" si="3799"/>
        <v>FPO</v>
      </c>
      <c r="J10345" t="str">
        <f t="shared" si="3804"/>
        <v>AP</v>
      </c>
      <c r="K10345" t="str">
        <f>T("")</f>
        <v/>
      </c>
      <c r="L10345" t="str">
        <f>T("3152644987")</f>
        <v>3152644987</v>
      </c>
    </row>
    <row r="10346" spans="1:12" x14ac:dyDescent="0.35">
      <c r="A10346" t="str">
        <f t="shared" si="3800"/>
        <v>NAF ATSUGI JAPAN</v>
      </c>
      <c r="B10346" t="str">
        <f>T("PSC 477 BOX 33")</f>
        <v>PSC 477 BOX 33</v>
      </c>
      <c r="C10346" t="str">
        <f t="shared" si="3794"/>
        <v/>
      </c>
      <c r="D10346" t="str">
        <f t="shared" si="3798"/>
        <v>FPO</v>
      </c>
      <c r="E10346" t="str">
        <f t="shared" si="3803"/>
        <v>AP</v>
      </c>
      <c r="F10346" t="str">
        <f t="shared" si="3802"/>
        <v>963060001</v>
      </c>
      <c r="G10346" t="str">
        <f>T("PSC 477 BOX 33")</f>
        <v>PSC 477 BOX 33</v>
      </c>
      <c r="H10346" t="str">
        <f t="shared" si="3797"/>
        <v/>
      </c>
      <c r="I10346" t="str">
        <f t="shared" si="3799"/>
        <v>FPO</v>
      </c>
      <c r="J10346" t="str">
        <f t="shared" si="3804"/>
        <v>AP</v>
      </c>
      <c r="K10346" t="str">
        <f>T("000000000000000000")</f>
        <v>000000000000000000</v>
      </c>
      <c r="L10346" t="str">
        <f>T("3152642715")</f>
        <v>3152642715</v>
      </c>
    </row>
    <row r="10347" spans="1:12" x14ac:dyDescent="0.35">
      <c r="A10347" t="str">
        <f t="shared" ref="A10347:A10363" si="3805">T("COMFLEACT SASEBO")</f>
        <v>COMFLEACT SASEBO</v>
      </c>
      <c r="B10347" t="str">
        <f>T("COMFLEACT SASEBO JAPAN")</f>
        <v>COMFLEACT SASEBO JAPAN</v>
      </c>
      <c r="C10347" t="str">
        <f>T("PSC 476 BOX 64")</f>
        <v>PSC 476 BOX 64</v>
      </c>
      <c r="D10347" t="str">
        <f t="shared" si="3798"/>
        <v>FPO</v>
      </c>
      <c r="E10347" t="str">
        <f t="shared" si="3803"/>
        <v>AP</v>
      </c>
      <c r="F10347" t="str">
        <f t="shared" ref="F10347:F10354" si="3806">T("963220001")</f>
        <v>963220001</v>
      </c>
      <c r="G10347" t="str">
        <f>T("COMFLEACT SASEBO JAPAN")</f>
        <v>COMFLEACT SASEBO JAPAN</v>
      </c>
      <c r="H10347" t="str">
        <f>T("PSC 476 BOX 64")</f>
        <v>PSC 476 BOX 64</v>
      </c>
      <c r="I10347" t="str">
        <f t="shared" si="3799"/>
        <v>FPO</v>
      </c>
      <c r="J10347" t="str">
        <f t="shared" si="3804"/>
        <v>AP</v>
      </c>
      <c r="K10347" t="str">
        <f>T("81956505562")</f>
        <v>81956505562</v>
      </c>
      <c r="L10347" t="str">
        <f>T("1111111111")</f>
        <v>1111111111</v>
      </c>
    </row>
    <row r="10348" spans="1:12" x14ac:dyDescent="0.35">
      <c r="A10348" t="str">
        <f t="shared" si="3805"/>
        <v>COMFLEACT SASEBO</v>
      </c>
      <c r="B10348" t="str">
        <f>T("COMFLEACT SASEBO JAPAN")</f>
        <v>COMFLEACT SASEBO JAPAN</v>
      </c>
      <c r="C10348" t="str">
        <f>T("PSC 476 BOX 64")</f>
        <v>PSC 476 BOX 64</v>
      </c>
      <c r="D10348" t="str">
        <f t="shared" si="3798"/>
        <v>FPO</v>
      </c>
      <c r="E10348" t="str">
        <f t="shared" si="3803"/>
        <v>AP</v>
      </c>
      <c r="F10348" t="str">
        <f t="shared" si="3806"/>
        <v>963220001</v>
      </c>
      <c r="G10348" t="str">
        <f>T("PSC 476 BOX 64")</f>
        <v>PSC 476 BOX 64</v>
      </c>
      <c r="H10348" t="str">
        <f>T("FORCE PROTECTION DEPT")</f>
        <v>FORCE PROTECTION DEPT</v>
      </c>
      <c r="I10348" t="str">
        <f t="shared" si="3799"/>
        <v>FPO</v>
      </c>
      <c r="J10348" t="str">
        <f t="shared" si="3804"/>
        <v>AP</v>
      </c>
      <c r="K10348" t="str">
        <f>T("01181956503468")</f>
        <v>01181956503468</v>
      </c>
      <c r="L10348" t="str">
        <f>T("1111111111")</f>
        <v>1111111111</v>
      </c>
    </row>
    <row r="10349" spans="1:12" x14ac:dyDescent="0.35">
      <c r="A10349" t="str">
        <f t="shared" si="3805"/>
        <v>COMFLEACT SASEBO</v>
      </c>
      <c r="B10349" t="str">
        <f t="shared" ref="B10349:B10354" si="3807">T("COMFLEACT SASEBO, JAPAN")</f>
        <v>COMFLEACT SASEBO, JAPAN</v>
      </c>
      <c r="C10349" t="str">
        <f t="shared" ref="C10349:C10354" si="3808">T("PSC 476 BOX 4")</f>
        <v>PSC 476 BOX 4</v>
      </c>
      <c r="D10349" t="str">
        <f t="shared" ref="D10349:D10363" si="3809">T("FPO")</f>
        <v>FPO</v>
      </c>
      <c r="E10349" t="str">
        <f t="shared" si="3803"/>
        <v>AP</v>
      </c>
      <c r="F10349" t="str">
        <f t="shared" si="3806"/>
        <v>963220001</v>
      </c>
      <c r="G10349" t="str">
        <f>T("COMFLEACT SASEBO")</f>
        <v>COMFLEACT SASEBO</v>
      </c>
      <c r="H10349" t="str">
        <f>T("PSC 476 BOX 4")</f>
        <v>PSC 476 BOX 4</v>
      </c>
      <c r="I10349" t="str">
        <f t="shared" ref="I10349:I10363" si="3810">T("FPO")</f>
        <v>FPO</v>
      </c>
      <c r="J10349" t="str">
        <f t="shared" si="3804"/>
        <v>AP</v>
      </c>
      <c r="K10349" t="str">
        <f>T("81956502439")</f>
        <v>81956502439</v>
      </c>
      <c r="L10349" t="str">
        <f>T("1111111111")</f>
        <v>1111111111</v>
      </c>
    </row>
    <row r="10350" spans="1:12" x14ac:dyDescent="0.35">
      <c r="A10350" t="str">
        <f t="shared" si="3805"/>
        <v>COMFLEACT SASEBO</v>
      </c>
      <c r="B10350" t="str">
        <f t="shared" si="3807"/>
        <v>COMFLEACT SASEBO, JAPAN</v>
      </c>
      <c r="C10350" t="str">
        <f t="shared" si="3808"/>
        <v>PSC 476 BOX 4</v>
      </c>
      <c r="D10350" t="str">
        <f t="shared" si="3809"/>
        <v>FPO</v>
      </c>
      <c r="E10350" t="str">
        <f t="shared" si="3803"/>
        <v>AP</v>
      </c>
      <c r="F10350" t="str">
        <f t="shared" si="3806"/>
        <v>963220001</v>
      </c>
      <c r="G10350" t="str">
        <f>T("COMFLEACT SASEBO")</f>
        <v>COMFLEACT SASEBO</v>
      </c>
      <c r="H10350" t="str">
        <f>T("PSC 476 BOX 5")</f>
        <v>PSC 476 BOX 5</v>
      </c>
      <c r="I10350" t="str">
        <f t="shared" si="3810"/>
        <v>FPO</v>
      </c>
      <c r="J10350" t="str">
        <f t="shared" si="3804"/>
        <v>AP</v>
      </c>
      <c r="K10350" t="str">
        <f>T("81956503429")</f>
        <v>81956503429</v>
      </c>
      <c r="L10350" t="str">
        <f>T("1111111111")</f>
        <v>1111111111</v>
      </c>
    </row>
    <row r="10351" spans="1:12" x14ac:dyDescent="0.35">
      <c r="A10351" t="str">
        <f t="shared" si="3805"/>
        <v>COMFLEACT SASEBO</v>
      </c>
      <c r="B10351" t="str">
        <f t="shared" si="3807"/>
        <v>COMFLEACT SASEBO, JAPAN</v>
      </c>
      <c r="C10351" t="str">
        <f t="shared" si="3808"/>
        <v>PSC 476 BOX 4</v>
      </c>
      <c r="D10351" t="str">
        <f t="shared" si="3809"/>
        <v>FPO</v>
      </c>
      <c r="E10351" t="str">
        <f t="shared" si="3803"/>
        <v>AP</v>
      </c>
      <c r="F10351" t="str">
        <f t="shared" si="3806"/>
        <v>963220001</v>
      </c>
      <c r="G10351" t="str">
        <f>T("COMFLEACT SASEBO, JAPAN")</f>
        <v>COMFLEACT SASEBO, JAPAN</v>
      </c>
      <c r="H10351" t="str">
        <f>T("PSC 476 BOX 4")</f>
        <v>PSC 476 BOX 4</v>
      </c>
      <c r="I10351" t="str">
        <f t="shared" si="3810"/>
        <v>FPO</v>
      </c>
      <c r="J10351" t="str">
        <f t="shared" si="3804"/>
        <v>AP</v>
      </c>
      <c r="K10351" t="str">
        <f>T("81-956-50-2403")</f>
        <v>81-956-50-2403</v>
      </c>
      <c r="L10351" t="str">
        <f>T("3152522448")</f>
        <v>3152522448</v>
      </c>
    </row>
    <row r="10352" spans="1:12" x14ac:dyDescent="0.35">
      <c r="A10352" t="str">
        <f t="shared" si="3805"/>
        <v>COMFLEACT SASEBO</v>
      </c>
      <c r="B10352" t="str">
        <f t="shared" si="3807"/>
        <v>COMFLEACT SASEBO, JAPAN</v>
      </c>
      <c r="C10352" t="str">
        <f t="shared" si="3808"/>
        <v>PSC 476 BOX 4</v>
      </c>
      <c r="D10352" t="str">
        <f t="shared" si="3809"/>
        <v>FPO</v>
      </c>
      <c r="E10352" t="str">
        <f t="shared" si="3803"/>
        <v>AP</v>
      </c>
      <c r="F10352" t="str">
        <f t="shared" si="3806"/>
        <v>963220001</v>
      </c>
      <c r="G10352" t="str">
        <f>T("PSC 476 BOX 61")</f>
        <v>PSC 476 BOX 61</v>
      </c>
      <c r="H10352" t="str">
        <f>T("RELIGIOUS PROGRAM OFFICE")</f>
        <v>RELIGIOUS PROGRAM OFFICE</v>
      </c>
      <c r="I10352" t="str">
        <f t="shared" si="3810"/>
        <v>FPO</v>
      </c>
      <c r="J10352" t="str">
        <f t="shared" si="3804"/>
        <v>AP</v>
      </c>
      <c r="K10352" t="str">
        <f>T("000000000000000000")</f>
        <v>000000000000000000</v>
      </c>
      <c r="L10352" t="str">
        <f t="shared" ref="L10352:L10359" si="3811">T("1111111111")</f>
        <v>1111111111</v>
      </c>
    </row>
    <row r="10353" spans="1:12" x14ac:dyDescent="0.35">
      <c r="A10353" t="str">
        <f t="shared" si="3805"/>
        <v>COMFLEACT SASEBO</v>
      </c>
      <c r="B10353" t="str">
        <f t="shared" si="3807"/>
        <v>COMFLEACT SASEBO, JAPAN</v>
      </c>
      <c r="C10353" t="str">
        <f t="shared" si="3808"/>
        <v>PSC 476 BOX 4</v>
      </c>
      <c r="D10353" t="str">
        <f t="shared" si="3809"/>
        <v>FPO</v>
      </c>
      <c r="E10353" t="str">
        <f t="shared" si="3803"/>
        <v>AP</v>
      </c>
      <c r="F10353" t="str">
        <f t="shared" si="3806"/>
        <v>963220001</v>
      </c>
      <c r="G10353" t="str">
        <f>T("PSC 476 BOX 62")</f>
        <v>PSC 476 BOX 62</v>
      </c>
      <c r="H10353" t="str">
        <f>T("CFAS FFSC")</f>
        <v>CFAS FFSC</v>
      </c>
      <c r="I10353" t="str">
        <f t="shared" si="3810"/>
        <v>FPO</v>
      </c>
      <c r="J10353" t="str">
        <f t="shared" si="3804"/>
        <v>AP</v>
      </c>
      <c r="K10353" t="str">
        <f>T("01181956503104")</f>
        <v>01181956503104</v>
      </c>
      <c r="L10353" t="str">
        <f t="shared" si="3811"/>
        <v>1111111111</v>
      </c>
    </row>
    <row r="10354" spans="1:12" x14ac:dyDescent="0.35">
      <c r="A10354" t="str">
        <f t="shared" si="3805"/>
        <v>COMFLEACT SASEBO</v>
      </c>
      <c r="B10354" t="str">
        <f t="shared" si="3807"/>
        <v>COMFLEACT SASEBO, JAPAN</v>
      </c>
      <c r="C10354" t="str">
        <f t="shared" si="3808"/>
        <v>PSC 476 BOX 4</v>
      </c>
      <c r="D10354" t="str">
        <f t="shared" si="3809"/>
        <v>FPO</v>
      </c>
      <c r="E10354" t="str">
        <f t="shared" si="3803"/>
        <v>AP</v>
      </c>
      <c r="F10354" t="str">
        <f t="shared" si="3806"/>
        <v>963220001</v>
      </c>
      <c r="G10354" t="str">
        <f>T("PSC 476 BOX 65")</f>
        <v>PSC 476 BOX 65</v>
      </c>
      <c r="H10354" t="str">
        <f>T("CNRJ FIRE &amp; EMERGENCY SERVICES")</f>
        <v>CNRJ FIRE &amp; EMERGENCY SERVICES</v>
      </c>
      <c r="I10354" t="str">
        <f t="shared" si="3810"/>
        <v>FPO</v>
      </c>
      <c r="J10354" t="str">
        <f t="shared" si="3804"/>
        <v>AP</v>
      </c>
      <c r="K10354" t="str">
        <f>T("000000000000000000")</f>
        <v>000000000000000000</v>
      </c>
      <c r="L10354" t="str">
        <f t="shared" si="3811"/>
        <v>1111111111</v>
      </c>
    </row>
    <row r="10355" spans="1:12" x14ac:dyDescent="0.35">
      <c r="A10355" t="str">
        <f t="shared" si="3805"/>
        <v>COMFLEACT SASEBO</v>
      </c>
      <c r="B10355" t="str">
        <f>T("HOUSING DEPT")</f>
        <v>HOUSING DEPT</v>
      </c>
      <c r="C10355" t="str">
        <f>T("PSC 476 BOX 126")</f>
        <v>PSC 476 BOX 126</v>
      </c>
      <c r="D10355" t="str">
        <f t="shared" si="3809"/>
        <v>FPO</v>
      </c>
      <c r="E10355" t="str">
        <f t="shared" si="3803"/>
        <v>AP</v>
      </c>
      <c r="F10355" t="str">
        <f>T("963220002")</f>
        <v>963220002</v>
      </c>
      <c r="G10355" t="str">
        <f>T("COMFLEACT SASEBO PSC 476 BOX 126")</f>
        <v>COMFLEACT SASEBO PSC 476 BOX 126</v>
      </c>
      <c r="H10355" t="str">
        <f>T("")</f>
        <v/>
      </c>
      <c r="I10355" t="str">
        <f t="shared" si="3810"/>
        <v>FPO</v>
      </c>
      <c r="J10355" t="str">
        <f t="shared" si="3804"/>
        <v>AP</v>
      </c>
      <c r="K10355" t="str">
        <f>T("81956503342")</f>
        <v>81956503342</v>
      </c>
      <c r="L10355" t="str">
        <f t="shared" si="3811"/>
        <v>1111111111</v>
      </c>
    </row>
    <row r="10356" spans="1:12" x14ac:dyDescent="0.35">
      <c r="A10356" t="str">
        <f t="shared" si="3805"/>
        <v>COMFLEACT SASEBO</v>
      </c>
      <c r="B10356" t="str">
        <f>T("HOUSING DEPT")</f>
        <v>HOUSING DEPT</v>
      </c>
      <c r="C10356" t="str">
        <f>T("PSC 476 BOX 126")</f>
        <v>PSC 476 BOX 126</v>
      </c>
      <c r="D10356" t="str">
        <f t="shared" si="3809"/>
        <v>FPO</v>
      </c>
      <c r="E10356" t="str">
        <f t="shared" si="3803"/>
        <v>AP</v>
      </c>
      <c r="F10356" t="str">
        <f>T("963220002")</f>
        <v>963220002</v>
      </c>
      <c r="G10356" t="str">
        <f>T("HOUSING DEPT")</f>
        <v>HOUSING DEPT</v>
      </c>
      <c r="H10356" t="str">
        <f>T("PSC 476 BOX 126")</f>
        <v>PSC 476 BOX 126</v>
      </c>
      <c r="I10356" t="str">
        <f t="shared" si="3810"/>
        <v>FPO</v>
      </c>
      <c r="J10356" t="str">
        <f t="shared" si="3804"/>
        <v>AP</v>
      </c>
      <c r="K10356" t="str">
        <f>T("01181956503453")</f>
        <v>01181956503453</v>
      </c>
      <c r="L10356" t="str">
        <f t="shared" si="3811"/>
        <v>1111111111</v>
      </c>
    </row>
    <row r="10357" spans="1:12" x14ac:dyDescent="0.35">
      <c r="A10357" t="str">
        <f t="shared" si="3805"/>
        <v>COMFLEACT SASEBO</v>
      </c>
      <c r="B10357" t="str">
        <f>T("HOUSING DEPT")</f>
        <v>HOUSING DEPT</v>
      </c>
      <c r="C10357" t="str">
        <f>T("PSC 476 BOX 126")</f>
        <v>PSC 476 BOX 126</v>
      </c>
      <c r="D10357" t="str">
        <f t="shared" si="3809"/>
        <v>FPO</v>
      </c>
      <c r="E10357" t="str">
        <f t="shared" si="3803"/>
        <v>AP</v>
      </c>
      <c r="F10357" t="str">
        <f>T("963220002")</f>
        <v>963220002</v>
      </c>
      <c r="G10357" t="str">
        <f>T("PSC 476 BOX 126")</f>
        <v>PSC 476 BOX 126</v>
      </c>
      <c r="H10357" t="str">
        <f>T("FAMILY HOUSING OPERATIONS")</f>
        <v>FAMILY HOUSING OPERATIONS</v>
      </c>
      <c r="I10357" t="str">
        <f t="shared" si="3810"/>
        <v>FPO</v>
      </c>
      <c r="J10357" t="str">
        <f t="shared" si="3804"/>
        <v>AP</v>
      </c>
      <c r="K10357" t="str">
        <f>T("01181956503453")</f>
        <v>01181956503453</v>
      </c>
      <c r="L10357" t="str">
        <f t="shared" si="3811"/>
        <v>1111111111</v>
      </c>
    </row>
    <row r="10358" spans="1:12" x14ac:dyDescent="0.35">
      <c r="A10358" t="str">
        <f t="shared" si="3805"/>
        <v>COMFLEACT SASEBO</v>
      </c>
      <c r="B10358" t="str">
        <f>T("PORT OPERATIONS DEPT")</f>
        <v>PORT OPERATIONS DEPT</v>
      </c>
      <c r="C10358" t="str">
        <f>T("PSC 476 BOX 63")</f>
        <v>PSC 476 BOX 63</v>
      </c>
      <c r="D10358" t="str">
        <f t="shared" si="3809"/>
        <v>FPO</v>
      </c>
      <c r="E10358" t="str">
        <f t="shared" si="3803"/>
        <v>AP</v>
      </c>
      <c r="F10358" t="str">
        <f t="shared" ref="F10358:F10363" si="3812">T("963220001")</f>
        <v>963220001</v>
      </c>
      <c r="G10358" t="str">
        <f>T("COMFLEACT SASEBO")</f>
        <v>COMFLEACT SASEBO</v>
      </c>
      <c r="H10358" t="str">
        <f>T("PSC 476 BOX 188")</f>
        <v>PSC 476 BOX 188</v>
      </c>
      <c r="I10358" t="str">
        <f t="shared" si="3810"/>
        <v>FPO</v>
      </c>
      <c r="J10358" t="str">
        <f t="shared" si="3804"/>
        <v>AP</v>
      </c>
      <c r="K10358" t="str">
        <f>T("81956503659")</f>
        <v>81956503659</v>
      </c>
      <c r="L10358" t="str">
        <f t="shared" si="3811"/>
        <v>1111111111</v>
      </c>
    </row>
    <row r="10359" spans="1:12" x14ac:dyDescent="0.35">
      <c r="A10359" t="str">
        <f t="shared" si="3805"/>
        <v>COMFLEACT SASEBO</v>
      </c>
      <c r="B10359" t="str">
        <f>T("PORT OPERATIONS DEPT")</f>
        <v>PORT OPERATIONS DEPT</v>
      </c>
      <c r="C10359" t="str">
        <f>T("PSC 476 BOX 63")</f>
        <v>PSC 476 BOX 63</v>
      </c>
      <c r="D10359" t="str">
        <f t="shared" si="3809"/>
        <v>FPO</v>
      </c>
      <c r="E10359" t="str">
        <f t="shared" si="3803"/>
        <v>AP</v>
      </c>
      <c r="F10359" t="str">
        <f t="shared" si="3812"/>
        <v>963220001</v>
      </c>
      <c r="G10359" t="str">
        <f>T("COMFLEACT SASEBO PSC 476 BOX 67")</f>
        <v>COMFLEACT SASEBO PSC 476 BOX 67</v>
      </c>
      <c r="H10359" t="str">
        <f>T("")</f>
        <v/>
      </c>
      <c r="I10359" t="str">
        <f t="shared" si="3810"/>
        <v>FPO</v>
      </c>
      <c r="J10359" t="str">
        <f t="shared" si="3804"/>
        <v>AP</v>
      </c>
      <c r="K10359" t="str">
        <f>T("81956503512")</f>
        <v>81956503512</v>
      </c>
      <c r="L10359" t="str">
        <f t="shared" si="3811"/>
        <v>1111111111</v>
      </c>
    </row>
    <row r="10360" spans="1:12" x14ac:dyDescent="0.35">
      <c r="A10360" t="str">
        <f t="shared" si="3805"/>
        <v>COMFLEACT SASEBO</v>
      </c>
      <c r="B10360" t="str">
        <f>T("PORT OPERATIONS DEPT")</f>
        <v>PORT OPERATIONS DEPT</v>
      </c>
      <c r="C10360" t="str">
        <f>T("PSC 476 BOX 63")</f>
        <v>PSC 476 BOX 63</v>
      </c>
      <c r="D10360" t="str">
        <f t="shared" si="3809"/>
        <v>FPO</v>
      </c>
      <c r="E10360" t="str">
        <f t="shared" si="3803"/>
        <v>AP</v>
      </c>
      <c r="F10360" t="str">
        <f t="shared" si="3812"/>
        <v>963220001</v>
      </c>
      <c r="G10360" t="str">
        <f>T("PORT OPERATIONS DEPT")</f>
        <v>PORT OPERATIONS DEPT</v>
      </c>
      <c r="H10360" t="str">
        <f>T("PSC 476 BOX 63")</f>
        <v>PSC 476 BOX 63</v>
      </c>
      <c r="I10360" t="str">
        <f t="shared" si="3810"/>
        <v>FPO</v>
      </c>
      <c r="J10360" t="str">
        <f t="shared" si="3804"/>
        <v>AP</v>
      </c>
      <c r="K10360" t="str">
        <f>T("81956503659")</f>
        <v>81956503659</v>
      </c>
      <c r="L10360" t="str">
        <f>T("3152522320")</f>
        <v>3152522320</v>
      </c>
    </row>
    <row r="10361" spans="1:12" x14ac:dyDescent="0.35">
      <c r="A10361" t="str">
        <f t="shared" si="3805"/>
        <v>COMFLEACT SASEBO</v>
      </c>
      <c r="B10361" t="str">
        <f>T("PORT OPERATIONS DEPT")</f>
        <v>PORT OPERATIONS DEPT</v>
      </c>
      <c r="C10361" t="str">
        <f>T("PSC 476 BOX 63")</f>
        <v>PSC 476 BOX 63</v>
      </c>
      <c r="D10361" t="str">
        <f t="shared" si="3809"/>
        <v>FPO</v>
      </c>
      <c r="E10361" t="str">
        <f t="shared" si="3803"/>
        <v>AP</v>
      </c>
      <c r="F10361" t="str">
        <f t="shared" si="3812"/>
        <v>963220001</v>
      </c>
      <c r="G10361" t="str">
        <f>T("PSC 476 BOX 63")</f>
        <v>PSC 476 BOX 63</v>
      </c>
      <c r="H10361" t="str">
        <f>T("PORT OPERATIONS DEPT")</f>
        <v>PORT OPERATIONS DEPT</v>
      </c>
      <c r="I10361" t="str">
        <f t="shared" si="3810"/>
        <v>FPO</v>
      </c>
      <c r="J10361" t="str">
        <f t="shared" si="3804"/>
        <v>AP</v>
      </c>
      <c r="K10361" t="str">
        <f>T("01181956502315")</f>
        <v>01181956502315</v>
      </c>
      <c r="L10361" t="str">
        <f>T("1111111111")</f>
        <v>1111111111</v>
      </c>
    </row>
    <row r="10362" spans="1:12" x14ac:dyDescent="0.35">
      <c r="A10362" t="str">
        <f t="shared" si="3805"/>
        <v>COMFLEACT SASEBO</v>
      </c>
      <c r="B10362" t="str">
        <f>T("PWD")</f>
        <v>PWD</v>
      </c>
      <c r="C10362" t="str">
        <f>T("PSC 476 BOX 66")</f>
        <v>PSC 476 BOX 66</v>
      </c>
      <c r="D10362" t="str">
        <f t="shared" si="3809"/>
        <v>FPO</v>
      </c>
      <c r="E10362" t="str">
        <f t="shared" si="3803"/>
        <v>AP</v>
      </c>
      <c r="F10362" t="str">
        <f t="shared" si="3812"/>
        <v>963220001</v>
      </c>
      <c r="G10362" t="str">
        <f>T("PSC 476 BOX 66")</f>
        <v>PSC 476 BOX 66</v>
      </c>
      <c r="H10362" t="str">
        <f>T("NAVFAC FE SASEBO PWD")</f>
        <v>NAVFAC FE SASEBO PWD</v>
      </c>
      <c r="I10362" t="str">
        <f t="shared" si="3810"/>
        <v>FPO</v>
      </c>
      <c r="J10362" t="str">
        <f t="shared" si="3804"/>
        <v>AP</v>
      </c>
      <c r="K10362" t="str">
        <f>T("01181956503549")</f>
        <v>01181956503549</v>
      </c>
      <c r="L10362" t="str">
        <f>T("1111111111")</f>
        <v>1111111111</v>
      </c>
    </row>
    <row r="10363" spans="1:12" x14ac:dyDescent="0.35">
      <c r="A10363" t="str">
        <f t="shared" si="3805"/>
        <v>COMFLEACT SASEBO</v>
      </c>
      <c r="B10363" t="str">
        <f>T("PWD")</f>
        <v>PWD</v>
      </c>
      <c r="C10363" t="str">
        <f>T("PSC 476 BOX 66")</f>
        <v>PSC 476 BOX 66</v>
      </c>
      <c r="D10363" t="str">
        <f t="shared" si="3809"/>
        <v>FPO</v>
      </c>
      <c r="E10363" t="str">
        <f t="shared" si="3803"/>
        <v>AP</v>
      </c>
      <c r="F10363" t="str">
        <f t="shared" si="3812"/>
        <v>963220001</v>
      </c>
      <c r="G10363" t="str">
        <f>T("PWD")</f>
        <v>PWD</v>
      </c>
      <c r="H10363" t="str">
        <f>T("PSC 476 BOX 66")</f>
        <v>PSC 476 BOX 66</v>
      </c>
      <c r="I10363" t="str">
        <f t="shared" si="3810"/>
        <v>FPO</v>
      </c>
      <c r="J10363" t="str">
        <f t="shared" si="3804"/>
        <v>AP</v>
      </c>
      <c r="K10363" t="str">
        <f>T("01181956503659")</f>
        <v>01181956503659</v>
      </c>
      <c r="L10363" t="str">
        <f>T("3152522086")</f>
        <v>3152522086</v>
      </c>
    </row>
    <row r="10364" spans="1:12" x14ac:dyDescent="0.35">
      <c r="A10364" t="str">
        <f>T("NAF MISAWA")</f>
        <v>NAF MISAWA</v>
      </c>
      <c r="B10364" t="str">
        <f>T("UNIT 5048")</f>
        <v>UNIT 5048</v>
      </c>
      <c r="C10364" t="str">
        <f>T("FISCAL OFFICE")</f>
        <v>FISCAL OFFICE</v>
      </c>
      <c r="D10364" t="str">
        <f>T("APO")</f>
        <v>APO</v>
      </c>
      <c r="E10364" t="str">
        <f t="shared" si="3803"/>
        <v>AP</v>
      </c>
      <c r="F10364" t="str">
        <f>T("963195048")</f>
        <v>963195048</v>
      </c>
      <c r="G10364" t="str">
        <f>T("NAF MISAWA FINANCIAL MANAGEMENT OFF")</f>
        <v>NAF MISAWA FINANCIAL MANAGEMENT OFF</v>
      </c>
      <c r="H10364" t="str">
        <f>T("UNIT 5048")</f>
        <v>UNIT 5048</v>
      </c>
      <c r="I10364" t="str">
        <f>T("APO")</f>
        <v>APO</v>
      </c>
      <c r="J10364" t="str">
        <f t="shared" si="3804"/>
        <v>AP</v>
      </c>
      <c r="K10364" t="str">
        <f>T("81176773977")</f>
        <v>81176773977</v>
      </c>
      <c r="L10364" t="str">
        <f>T("1111111111")</f>
        <v>1111111111</v>
      </c>
    </row>
    <row r="10365" spans="1:12" x14ac:dyDescent="0.35">
      <c r="A10365" t="str">
        <f>T("NAF MISAWA")</f>
        <v>NAF MISAWA</v>
      </c>
      <c r="B10365" t="str">
        <f>T("UNIT 5048")</f>
        <v>UNIT 5048</v>
      </c>
      <c r="C10365" t="str">
        <f>T("FISCAL OFFICE")</f>
        <v>FISCAL OFFICE</v>
      </c>
      <c r="D10365" t="str">
        <f>T("APO")</f>
        <v>APO</v>
      </c>
      <c r="E10365" t="str">
        <f t="shared" si="3803"/>
        <v>AP</v>
      </c>
      <c r="F10365" t="str">
        <f>T("963195048")</f>
        <v>963195048</v>
      </c>
      <c r="G10365" t="str">
        <f>T("UNIT 5048")</f>
        <v>UNIT 5048</v>
      </c>
      <c r="H10365" t="str">
        <f>T("FISCAL OFFICE")</f>
        <v>FISCAL OFFICE</v>
      </c>
      <c r="I10365" t="str">
        <f>T("APO")</f>
        <v>APO</v>
      </c>
      <c r="J10365" t="str">
        <f t="shared" si="3804"/>
        <v>AP</v>
      </c>
      <c r="K10365" t="str">
        <f>T("")</f>
        <v/>
      </c>
      <c r="L10365" t="str">
        <f>T("1111111111")</f>
        <v>1111111111</v>
      </c>
    </row>
    <row r="10366" spans="1:12" x14ac:dyDescent="0.35">
      <c r="A10366" t="str">
        <f t="shared" ref="A10366:A10379" si="3813">T("COMNAVREGJAPAN")</f>
        <v>COMNAVREGJAPAN</v>
      </c>
      <c r="B10366" t="str">
        <f>T("COMNAVFORJAPAN CREDOT N00R")</f>
        <v>COMNAVFORJAPAN CREDOT N00R</v>
      </c>
      <c r="C10366" t="str">
        <f>T("PSC 473 BOX 12")</f>
        <v>PSC 473 BOX 12</v>
      </c>
      <c r="D10366" t="str">
        <f t="shared" ref="D10366:D10383" si="3814">T("FPO")</f>
        <v>FPO</v>
      </c>
      <c r="E10366" t="str">
        <f t="shared" si="3803"/>
        <v>AP</v>
      </c>
      <c r="F10366" t="str">
        <f t="shared" ref="F10366:F10379" si="3815">T("963490001")</f>
        <v>963490001</v>
      </c>
      <c r="G10366" t="str">
        <f>T("COMNAVFORJAPAN CREDOT N00R")</f>
        <v>COMNAVFORJAPAN CREDOT N00R</v>
      </c>
      <c r="H10366" t="str">
        <f>T("PSC 473 BOX 12")</f>
        <v>PSC 473 BOX 12</v>
      </c>
      <c r="I10366" t="str">
        <f t="shared" ref="I10366:I10383" si="3816">T("FPO")</f>
        <v>FPO</v>
      </c>
      <c r="J10366" t="str">
        <f t="shared" si="3804"/>
        <v>AP</v>
      </c>
      <c r="K10366" t="str">
        <f>T("000000000000000000")</f>
        <v>000000000000000000</v>
      </c>
      <c r="L10366" t="str">
        <f>T("1111111111")</f>
        <v>1111111111</v>
      </c>
    </row>
    <row r="10367" spans="1:12" x14ac:dyDescent="0.35">
      <c r="A10367" t="str">
        <f t="shared" si="3813"/>
        <v>COMNAVREGJAPAN</v>
      </c>
      <c r="B10367" t="str">
        <f>T("COMNAVFORJAPAN CREDOT N00R")</f>
        <v>COMNAVFORJAPAN CREDOT N00R</v>
      </c>
      <c r="C10367" t="str">
        <f>T("PSC 473 BOX 12")</f>
        <v>PSC 473 BOX 12</v>
      </c>
      <c r="D10367" t="str">
        <f t="shared" si="3814"/>
        <v>FPO</v>
      </c>
      <c r="E10367" t="str">
        <f t="shared" si="3803"/>
        <v>AP</v>
      </c>
      <c r="F10367" t="str">
        <f t="shared" si="3815"/>
        <v>963490001</v>
      </c>
      <c r="G10367" t="str">
        <f>T("PSC 473 BOX 12")</f>
        <v>PSC 473 BOX 12</v>
      </c>
      <c r="H10367" t="str">
        <f>T("")</f>
        <v/>
      </c>
      <c r="I10367" t="str">
        <f t="shared" si="3816"/>
        <v>FPO</v>
      </c>
      <c r="J10367" t="str">
        <f t="shared" si="3804"/>
        <v>AP</v>
      </c>
      <c r="K10367" t="str">
        <f>T("01181468168865")</f>
        <v>01181468168865</v>
      </c>
      <c r="L10367" t="str">
        <f>T("1111111111")</f>
        <v>1111111111</v>
      </c>
    </row>
    <row r="10368" spans="1:12" x14ac:dyDescent="0.35">
      <c r="A10368" t="str">
        <f t="shared" si="3813"/>
        <v>COMNAVREGJAPAN</v>
      </c>
      <c r="B10368" t="str">
        <f t="shared" ref="B10368:B10379" si="3817">T("PSC 473 BOX 12")</f>
        <v>PSC 473 BOX 12</v>
      </c>
      <c r="C10368" t="str">
        <f>T("")</f>
        <v/>
      </c>
      <c r="D10368" t="str">
        <f t="shared" si="3814"/>
        <v>FPO</v>
      </c>
      <c r="E10368" t="str">
        <f t="shared" si="3803"/>
        <v>AP</v>
      </c>
      <c r="F10368" t="str">
        <f t="shared" si="3815"/>
        <v>963490001</v>
      </c>
      <c r="G10368" t="str">
        <f>T("PSC 473 BOX 12")</f>
        <v>PSC 473 BOX 12</v>
      </c>
      <c r="H10368" t="str">
        <f>T("")</f>
        <v/>
      </c>
      <c r="I10368" t="str">
        <f t="shared" si="3816"/>
        <v>FPO</v>
      </c>
      <c r="J10368" t="str">
        <f t="shared" si="3804"/>
        <v>AP</v>
      </c>
      <c r="K10368" t="str">
        <f>T("000000000000000000")</f>
        <v>000000000000000000</v>
      </c>
      <c r="L10368" t="str">
        <f>T("1111111111")</f>
        <v>1111111111</v>
      </c>
    </row>
    <row r="10369" spans="1:12" x14ac:dyDescent="0.35">
      <c r="A10369" t="str">
        <f t="shared" si="3813"/>
        <v>COMNAVREGJAPAN</v>
      </c>
      <c r="B10369" t="str">
        <f t="shared" si="3817"/>
        <v>PSC 473 BOX 12</v>
      </c>
      <c r="C10369" t="str">
        <f>T("")</f>
        <v/>
      </c>
      <c r="D10369" t="str">
        <f t="shared" si="3814"/>
        <v>FPO</v>
      </c>
      <c r="E10369" t="str">
        <f t="shared" ref="E10369:E10386" si="3818">T("AP")</f>
        <v>AP</v>
      </c>
      <c r="F10369" t="str">
        <f t="shared" si="3815"/>
        <v>963490001</v>
      </c>
      <c r="G10369" t="str">
        <f>T("PSC 473 BOX 12")</f>
        <v>PSC 473 BOX 12</v>
      </c>
      <c r="H10369" t="str">
        <f>T("")</f>
        <v/>
      </c>
      <c r="I10369" t="str">
        <f t="shared" si="3816"/>
        <v>FPO</v>
      </c>
      <c r="J10369" t="str">
        <f t="shared" ref="J10369:J10386" si="3819">T("AP")</f>
        <v>AP</v>
      </c>
      <c r="K10369" t="str">
        <f>T("01181468166454")</f>
        <v>01181468166454</v>
      </c>
      <c r="L10369" t="str">
        <f>T("3152434647")</f>
        <v>3152434647</v>
      </c>
    </row>
    <row r="10370" spans="1:12" x14ac:dyDescent="0.35">
      <c r="A10370" t="str">
        <f t="shared" si="3813"/>
        <v>COMNAVREGJAPAN</v>
      </c>
      <c r="B10370" t="str">
        <f t="shared" si="3817"/>
        <v>PSC 473 BOX 12</v>
      </c>
      <c r="C10370" t="str">
        <f>T("")</f>
        <v/>
      </c>
      <c r="D10370" t="str">
        <f t="shared" si="3814"/>
        <v>FPO</v>
      </c>
      <c r="E10370" t="str">
        <f t="shared" si="3818"/>
        <v>AP</v>
      </c>
      <c r="F10370" t="str">
        <f t="shared" si="3815"/>
        <v>963490001</v>
      </c>
      <c r="G10370" t="str">
        <f>T("PSC 473 BOX 12")</f>
        <v>PSC 473 BOX 12</v>
      </c>
      <c r="H10370" t="str">
        <f>T("")</f>
        <v/>
      </c>
      <c r="I10370" t="str">
        <f t="shared" si="3816"/>
        <v>FPO</v>
      </c>
      <c r="J10370" t="str">
        <f t="shared" si="3819"/>
        <v>AP</v>
      </c>
      <c r="K10370" t="str">
        <f>T("01181468167191")</f>
        <v>01181468167191</v>
      </c>
      <c r="L10370" t="str">
        <f>T("1111111111")</f>
        <v>1111111111</v>
      </c>
    </row>
    <row r="10371" spans="1:12" x14ac:dyDescent="0.35">
      <c r="A10371" t="str">
        <f t="shared" si="3813"/>
        <v>COMNAVREGJAPAN</v>
      </c>
      <c r="B10371" t="str">
        <f t="shared" si="3817"/>
        <v>PSC 473 BOX 12</v>
      </c>
      <c r="C10371" t="str">
        <f t="shared" ref="C10371:C10377" si="3820">T("COMNAVREGJAPAN")</f>
        <v>COMNAVREGJAPAN</v>
      </c>
      <c r="D10371" t="str">
        <f t="shared" si="3814"/>
        <v>FPO</v>
      </c>
      <c r="E10371" t="str">
        <f t="shared" si="3818"/>
        <v>AP</v>
      </c>
      <c r="F10371" t="str">
        <f t="shared" si="3815"/>
        <v>963490001</v>
      </c>
      <c r="G10371" t="str">
        <f>T("OFFICIAL BUSINESS")</f>
        <v>OFFICIAL BUSINESS</v>
      </c>
      <c r="H10371" t="str">
        <f>T("PSC 473 BOX 2")</f>
        <v>PSC 473 BOX 2</v>
      </c>
      <c r="I10371" t="str">
        <f t="shared" si="3816"/>
        <v>FPO</v>
      </c>
      <c r="J10371" t="str">
        <f t="shared" si="3819"/>
        <v>AP</v>
      </c>
      <c r="K10371" t="str">
        <f>T("000000000000000000")</f>
        <v>000000000000000000</v>
      </c>
      <c r="L10371" t="str">
        <f>T("3152437085")</f>
        <v>3152437085</v>
      </c>
    </row>
    <row r="10372" spans="1:12" x14ac:dyDescent="0.35">
      <c r="A10372" t="str">
        <f t="shared" si="3813"/>
        <v>COMNAVREGJAPAN</v>
      </c>
      <c r="B10372" t="str">
        <f t="shared" si="3817"/>
        <v>PSC 473 BOX 12</v>
      </c>
      <c r="C10372" t="str">
        <f t="shared" si="3820"/>
        <v>COMNAVREGJAPAN</v>
      </c>
      <c r="D10372" t="str">
        <f t="shared" si="3814"/>
        <v>FPO</v>
      </c>
      <c r="E10372" t="str">
        <f t="shared" si="3818"/>
        <v>AP</v>
      </c>
      <c r="F10372" t="str">
        <f t="shared" si="3815"/>
        <v>963490001</v>
      </c>
      <c r="G10372" t="str">
        <f>T("PSC 473 BOX 12")</f>
        <v>PSC 473 BOX 12</v>
      </c>
      <c r="H10372" t="str">
        <f>T("")</f>
        <v/>
      </c>
      <c r="I10372" t="str">
        <f t="shared" si="3816"/>
        <v>FPO</v>
      </c>
      <c r="J10372" t="str">
        <f t="shared" si="3819"/>
        <v>AP</v>
      </c>
      <c r="K10372" t="str">
        <f>T("01181468167906")</f>
        <v>01181468167906</v>
      </c>
      <c r="L10372" t="str">
        <f>T("3152437906")</f>
        <v>3152437906</v>
      </c>
    </row>
    <row r="10373" spans="1:12" x14ac:dyDescent="0.35">
      <c r="A10373" t="str">
        <f t="shared" si="3813"/>
        <v>COMNAVREGJAPAN</v>
      </c>
      <c r="B10373" t="str">
        <f t="shared" si="3817"/>
        <v>PSC 473 BOX 12</v>
      </c>
      <c r="C10373" t="str">
        <f t="shared" si="3820"/>
        <v>COMNAVREGJAPAN</v>
      </c>
      <c r="D10373" t="str">
        <f t="shared" si="3814"/>
        <v>FPO</v>
      </c>
      <c r="E10373" t="str">
        <f t="shared" si="3818"/>
        <v>AP</v>
      </c>
      <c r="F10373" t="str">
        <f t="shared" si="3815"/>
        <v>963490001</v>
      </c>
      <c r="G10373" t="str">
        <f>T("PSC 473 BOX 12")</f>
        <v>PSC 473 BOX 12</v>
      </c>
      <c r="H10373" t="str">
        <f>T("COMNAVREGJAPAN")</f>
        <v>COMNAVREGJAPAN</v>
      </c>
      <c r="I10373" t="str">
        <f t="shared" si="3816"/>
        <v>FPO</v>
      </c>
      <c r="J10373" t="str">
        <f t="shared" si="3819"/>
        <v>AP</v>
      </c>
      <c r="K10373" t="str">
        <f>T("")</f>
        <v/>
      </c>
      <c r="L10373" t="str">
        <f>T("1111111111")</f>
        <v>1111111111</v>
      </c>
    </row>
    <row r="10374" spans="1:12" x14ac:dyDescent="0.35">
      <c r="A10374" t="str">
        <f t="shared" si="3813"/>
        <v>COMNAVREGJAPAN</v>
      </c>
      <c r="B10374" t="str">
        <f t="shared" si="3817"/>
        <v>PSC 473 BOX 12</v>
      </c>
      <c r="C10374" t="str">
        <f t="shared" si="3820"/>
        <v>COMNAVREGJAPAN</v>
      </c>
      <c r="D10374" t="str">
        <f t="shared" si="3814"/>
        <v>FPO</v>
      </c>
      <c r="E10374" t="str">
        <f t="shared" si="3818"/>
        <v>AP</v>
      </c>
      <c r="F10374" t="str">
        <f t="shared" si="3815"/>
        <v>963490001</v>
      </c>
      <c r="G10374" t="str">
        <f>T("PSC 473 BOX 12")</f>
        <v>PSC 473 BOX 12</v>
      </c>
      <c r="H10374" t="str">
        <f>T("COMNAVREGJAPAN")</f>
        <v>COMNAVREGJAPAN</v>
      </c>
      <c r="I10374" t="str">
        <f t="shared" si="3816"/>
        <v>FPO</v>
      </c>
      <c r="J10374" t="str">
        <f t="shared" si="3819"/>
        <v>AP</v>
      </c>
      <c r="K10374" t="str">
        <f>T("01181468166706")</f>
        <v>01181468166706</v>
      </c>
      <c r="L10374" t="str">
        <f>T("1111111111")</f>
        <v>1111111111</v>
      </c>
    </row>
    <row r="10375" spans="1:12" x14ac:dyDescent="0.35">
      <c r="A10375" t="str">
        <f t="shared" si="3813"/>
        <v>COMNAVREGJAPAN</v>
      </c>
      <c r="B10375" t="str">
        <f t="shared" si="3817"/>
        <v>PSC 473 BOX 12</v>
      </c>
      <c r="C10375" t="str">
        <f t="shared" si="3820"/>
        <v>COMNAVREGJAPAN</v>
      </c>
      <c r="D10375" t="str">
        <f t="shared" si="3814"/>
        <v>FPO</v>
      </c>
      <c r="E10375" t="str">
        <f t="shared" si="3818"/>
        <v>AP</v>
      </c>
      <c r="F10375" t="str">
        <f t="shared" si="3815"/>
        <v>963490001</v>
      </c>
      <c r="G10375" t="str">
        <f>T("PSC 473 BOX 12")</f>
        <v>PSC 473 BOX 12</v>
      </c>
      <c r="H10375" t="str">
        <f>T("COMNAVREGJAPAN IT")</f>
        <v>COMNAVREGJAPAN IT</v>
      </c>
      <c r="I10375" t="str">
        <f t="shared" si="3816"/>
        <v>FPO</v>
      </c>
      <c r="J10375" t="str">
        <f t="shared" si="3819"/>
        <v>AP</v>
      </c>
      <c r="K10375" t="str">
        <f>T("01181468163368")</f>
        <v>01181468163368</v>
      </c>
      <c r="L10375" t="str">
        <f>T("1111111111")</f>
        <v>1111111111</v>
      </c>
    </row>
    <row r="10376" spans="1:12" x14ac:dyDescent="0.35">
      <c r="A10376" t="str">
        <f t="shared" si="3813"/>
        <v>COMNAVREGJAPAN</v>
      </c>
      <c r="B10376" t="str">
        <f t="shared" si="3817"/>
        <v>PSC 473 BOX 12</v>
      </c>
      <c r="C10376" t="str">
        <f t="shared" si="3820"/>
        <v>COMNAVREGJAPAN</v>
      </c>
      <c r="D10376" t="str">
        <f t="shared" si="3814"/>
        <v>FPO</v>
      </c>
      <c r="E10376" t="str">
        <f t="shared" si="3818"/>
        <v>AP</v>
      </c>
      <c r="F10376" t="str">
        <f t="shared" si="3815"/>
        <v>963490001</v>
      </c>
      <c r="G10376" t="str">
        <f>T("PSC 473 BOX 12")</f>
        <v>PSC 473 BOX 12</v>
      </c>
      <c r="H10376" t="str">
        <f>T("HRO")</f>
        <v>HRO</v>
      </c>
      <c r="I10376" t="str">
        <f t="shared" si="3816"/>
        <v>FPO</v>
      </c>
      <c r="J10376" t="str">
        <f t="shared" si="3819"/>
        <v>AP</v>
      </c>
      <c r="K10376" t="str">
        <f>T("000000000000000000")</f>
        <v>000000000000000000</v>
      </c>
      <c r="L10376" t="str">
        <f>T("1111111111")</f>
        <v>1111111111</v>
      </c>
    </row>
    <row r="10377" spans="1:12" x14ac:dyDescent="0.35">
      <c r="A10377" t="str">
        <f t="shared" si="3813"/>
        <v>COMNAVREGJAPAN</v>
      </c>
      <c r="B10377" t="str">
        <f t="shared" si="3817"/>
        <v>PSC 473 BOX 12</v>
      </c>
      <c r="C10377" t="str">
        <f t="shared" si="3820"/>
        <v>COMNAVREGJAPAN</v>
      </c>
      <c r="D10377" t="str">
        <f t="shared" si="3814"/>
        <v>FPO</v>
      </c>
      <c r="E10377" t="str">
        <f t="shared" si="3818"/>
        <v>AP</v>
      </c>
      <c r="F10377" t="str">
        <f t="shared" si="3815"/>
        <v>963490001</v>
      </c>
      <c r="G10377" t="str">
        <f>T("PSC 473 BOX 2")</f>
        <v>PSC 473 BOX 2</v>
      </c>
      <c r="H10377" t="str">
        <f>T("CNRJ FIRE DEPT")</f>
        <v>CNRJ FIRE DEPT</v>
      </c>
      <c r="I10377" t="str">
        <f t="shared" si="3816"/>
        <v>FPO</v>
      </c>
      <c r="J10377" t="str">
        <f t="shared" si="3819"/>
        <v>AP</v>
      </c>
      <c r="K10377" t="str">
        <f>T("000000000000000000")</f>
        <v>000000000000000000</v>
      </c>
      <c r="L10377" t="str">
        <f>T("0468163130")</f>
        <v>0468163130</v>
      </c>
    </row>
    <row r="10378" spans="1:12" x14ac:dyDescent="0.35">
      <c r="A10378" t="str">
        <f t="shared" si="3813"/>
        <v>COMNAVREGJAPAN</v>
      </c>
      <c r="B10378" t="str">
        <f t="shared" si="3817"/>
        <v>PSC 473 BOX 12</v>
      </c>
      <c r="C10378" t="str">
        <f>T("FLEET &amp; FAMILY READINESS")</f>
        <v>FLEET &amp; FAMILY READINESS</v>
      </c>
      <c r="D10378" t="str">
        <f t="shared" si="3814"/>
        <v>FPO</v>
      </c>
      <c r="E10378" t="str">
        <f t="shared" si="3818"/>
        <v>AP</v>
      </c>
      <c r="F10378" t="str">
        <f t="shared" si="3815"/>
        <v>963490001</v>
      </c>
      <c r="G10378" t="str">
        <f>T("PSC 473 BOX 12")</f>
        <v>PSC 473 BOX 12</v>
      </c>
      <c r="H10378" t="str">
        <f>T("")</f>
        <v/>
      </c>
      <c r="I10378" t="str">
        <f t="shared" si="3816"/>
        <v>FPO</v>
      </c>
      <c r="J10378" t="str">
        <f t="shared" si="3819"/>
        <v>AP</v>
      </c>
      <c r="K10378" t="str">
        <f>T("011468165518")</f>
        <v>011468165518</v>
      </c>
      <c r="L10378" t="str">
        <f>T("3152435518")</f>
        <v>3152435518</v>
      </c>
    </row>
    <row r="10379" spans="1:12" x14ac:dyDescent="0.35">
      <c r="A10379" t="str">
        <f t="shared" si="3813"/>
        <v>COMNAVREGJAPAN</v>
      </c>
      <c r="B10379" t="str">
        <f t="shared" si="3817"/>
        <v>PSC 473 BOX 12</v>
      </c>
      <c r="C10379" t="str">
        <f>T("FLEET &amp; FAMILY READINESS")</f>
        <v>FLEET &amp; FAMILY READINESS</v>
      </c>
      <c r="D10379" t="str">
        <f t="shared" si="3814"/>
        <v>FPO</v>
      </c>
      <c r="E10379" t="str">
        <f t="shared" si="3818"/>
        <v>AP</v>
      </c>
      <c r="F10379" t="str">
        <f t="shared" si="3815"/>
        <v>963490001</v>
      </c>
      <c r="G10379" t="str">
        <f>T("PSC 473 BOX 12")</f>
        <v>PSC 473 BOX 12</v>
      </c>
      <c r="H10379" t="str">
        <f>T("FLEET &amp; FAMILY READINESS")</f>
        <v>FLEET &amp; FAMILY READINESS</v>
      </c>
      <c r="I10379" t="str">
        <f t="shared" si="3816"/>
        <v>FPO</v>
      </c>
      <c r="J10379" t="str">
        <f t="shared" si="3819"/>
        <v>AP</v>
      </c>
      <c r="K10379" t="str">
        <f>T("")</f>
        <v/>
      </c>
      <c r="L10379" t="str">
        <f>T("1111111111")</f>
        <v>1111111111</v>
      </c>
    </row>
    <row r="10380" spans="1:12" x14ac:dyDescent="0.35">
      <c r="A10380" t="str">
        <f>T("NRCS/SINGAPORE AREA COORDINATO")</f>
        <v>NRCS/SINGAPORE AREA COORDINATO</v>
      </c>
      <c r="B10380" t="str">
        <f>T("REGIONAL COMPTROLLER")</f>
        <v>REGIONAL COMPTROLLER</v>
      </c>
      <c r="C10380" t="str">
        <f>T("PSC 470 BOX 2100")</f>
        <v>PSC 470 BOX 2100</v>
      </c>
      <c r="D10380" t="str">
        <f t="shared" si="3814"/>
        <v>FPO</v>
      </c>
      <c r="E10380" t="str">
        <f t="shared" si="3818"/>
        <v>AP</v>
      </c>
      <c r="F10380" t="str">
        <f>T("965340470")</f>
        <v>965340470</v>
      </c>
      <c r="G10380" t="str">
        <f>T("NRCS SINGAPORE")</f>
        <v>NRCS SINGAPORE</v>
      </c>
      <c r="H10380" t="str">
        <f>T("PSC 470 BOX 2100")</f>
        <v>PSC 470 BOX 2100</v>
      </c>
      <c r="I10380" t="str">
        <f t="shared" si="3816"/>
        <v>FPO</v>
      </c>
      <c r="J10380" t="str">
        <f t="shared" si="3819"/>
        <v>AP</v>
      </c>
      <c r="K10380" t="str">
        <f>T("6567502324")</f>
        <v>6567502324</v>
      </c>
      <c r="L10380" t="str">
        <f>T("6567502303")</f>
        <v>6567502303</v>
      </c>
    </row>
    <row r="10381" spans="1:12" x14ac:dyDescent="0.35">
      <c r="A10381" t="str">
        <f>T("NRCS/SINGAPORE AREA COORDINATO")</f>
        <v>NRCS/SINGAPORE AREA COORDINATO</v>
      </c>
      <c r="B10381" t="str">
        <f>T("REGIONAL COMPTROLLER")</f>
        <v>REGIONAL COMPTROLLER</v>
      </c>
      <c r="C10381" t="str">
        <f>T("PSC 470 BOX 2100")</f>
        <v>PSC 470 BOX 2100</v>
      </c>
      <c r="D10381" t="str">
        <f t="shared" si="3814"/>
        <v>FPO</v>
      </c>
      <c r="E10381" t="str">
        <f t="shared" si="3818"/>
        <v>AP</v>
      </c>
      <c r="F10381" t="str">
        <f>T("965340470")</f>
        <v>965340470</v>
      </c>
      <c r="G10381" t="str">
        <f>T("PSC 470 BOX 2100")</f>
        <v>PSC 470 BOX 2100</v>
      </c>
      <c r="H10381" t="str">
        <f>T("")</f>
        <v/>
      </c>
      <c r="I10381" t="str">
        <f t="shared" si="3816"/>
        <v>FPO</v>
      </c>
      <c r="J10381" t="str">
        <f t="shared" si="3819"/>
        <v>AP</v>
      </c>
      <c r="K10381" t="str">
        <f>T("6567502324")</f>
        <v>6567502324</v>
      </c>
      <c r="L10381" t="str">
        <f>T("6567502318")</f>
        <v>6567502318</v>
      </c>
    </row>
    <row r="10382" spans="1:12" x14ac:dyDescent="0.35">
      <c r="A10382" t="str">
        <f>T("NRCS/SINGAPORE AREA COORDINATO")</f>
        <v>NRCS/SINGAPORE AREA COORDINATO</v>
      </c>
      <c r="B10382" t="str">
        <f>T("REGIONAL COMPTROLLER")</f>
        <v>REGIONAL COMPTROLLER</v>
      </c>
      <c r="C10382" t="str">
        <f>T("PSC 470 BOX 2100")</f>
        <v>PSC 470 BOX 2100</v>
      </c>
      <c r="D10382" t="str">
        <f t="shared" si="3814"/>
        <v>FPO</v>
      </c>
      <c r="E10382" t="str">
        <f t="shared" si="3818"/>
        <v>AP</v>
      </c>
      <c r="F10382" t="str">
        <f>T("965340470")</f>
        <v>965340470</v>
      </c>
      <c r="G10382" t="str">
        <f>T("PSC 470 BOX 2100")</f>
        <v>PSC 470 BOX 2100</v>
      </c>
      <c r="H10382" t="str">
        <f>T("")</f>
        <v/>
      </c>
      <c r="I10382" t="str">
        <f t="shared" si="3816"/>
        <v>FPO</v>
      </c>
      <c r="J10382" t="str">
        <f t="shared" si="3819"/>
        <v>AP</v>
      </c>
      <c r="K10382" t="str">
        <f>T("6567502559")</f>
        <v>6567502559</v>
      </c>
      <c r="L10382" t="str">
        <f>T("6567502322")</f>
        <v>6567502322</v>
      </c>
    </row>
    <row r="10383" spans="1:12" x14ac:dyDescent="0.35">
      <c r="A10383" t="str">
        <f>T("NRCS/SINGAPORE AREA COORDINATO")</f>
        <v>NRCS/SINGAPORE AREA COORDINATO</v>
      </c>
      <c r="B10383" t="str">
        <f>T("REGIONAL COMPTROLLER")</f>
        <v>REGIONAL COMPTROLLER</v>
      </c>
      <c r="C10383" t="str">
        <f>T("PSC 470 BOX 2100")</f>
        <v>PSC 470 BOX 2100</v>
      </c>
      <c r="D10383" t="str">
        <f t="shared" si="3814"/>
        <v>FPO</v>
      </c>
      <c r="E10383" t="str">
        <f t="shared" si="3818"/>
        <v>AP</v>
      </c>
      <c r="F10383" t="str">
        <f>T("965340470")</f>
        <v>965340470</v>
      </c>
      <c r="G10383" t="str">
        <f>T("REGIONAL COMPTROLLER")</f>
        <v>REGIONAL COMPTROLLER</v>
      </c>
      <c r="H10383" t="str">
        <f>T("PSC 470 BOX 2100")</f>
        <v>PSC 470 BOX 2100</v>
      </c>
      <c r="I10383" t="str">
        <f t="shared" si="3816"/>
        <v>FPO</v>
      </c>
      <c r="J10383" t="str">
        <f t="shared" si="3819"/>
        <v>AP</v>
      </c>
      <c r="K10383" t="str">
        <f>T("6567502324")</f>
        <v>6567502324</v>
      </c>
      <c r="L10383" t="str">
        <f>T("6567502534")</f>
        <v>6567502534</v>
      </c>
    </row>
    <row r="10384" spans="1:12" x14ac:dyDescent="0.35">
      <c r="A10384" t="str">
        <f t="shared" ref="A10384:A10405" si="3821">T("NSAA")</f>
        <v>NSAA</v>
      </c>
      <c r="B10384" t="str">
        <f>T("36 CES/CEF UNIT 14007")</f>
        <v>36 CES/CEF UNIT 14007</v>
      </c>
      <c r="C10384" t="str">
        <f>T("ANDERSEN AFB")</f>
        <v>ANDERSEN AFB</v>
      </c>
      <c r="D10384" t="str">
        <f>T("APO")</f>
        <v>APO</v>
      </c>
      <c r="E10384" t="str">
        <f t="shared" si="3818"/>
        <v>AP</v>
      </c>
      <c r="F10384" t="str">
        <f>T("965434007")</f>
        <v>965434007</v>
      </c>
      <c r="G10384" t="str">
        <f>T("36 CES/CEF UNIT 14007")</f>
        <v>36 CES/CEF UNIT 14007</v>
      </c>
      <c r="H10384" t="str">
        <f>T("ANDERSEN AFB")</f>
        <v>ANDERSEN AFB</v>
      </c>
      <c r="I10384" t="str">
        <f>T("APO")</f>
        <v>APO</v>
      </c>
      <c r="J10384" t="str">
        <f t="shared" si="3819"/>
        <v>AP</v>
      </c>
      <c r="K10384" t="str">
        <f>T("")</f>
        <v/>
      </c>
      <c r="L10384" t="str">
        <f>T("6713665284")</f>
        <v>6713665284</v>
      </c>
    </row>
    <row r="10385" spans="1:12" x14ac:dyDescent="0.35">
      <c r="A10385" t="str">
        <f t="shared" si="3821"/>
        <v>NSAA</v>
      </c>
      <c r="B10385" t="str">
        <f>T("36 CES/CEF UNIT 14007")</f>
        <v>36 CES/CEF UNIT 14007</v>
      </c>
      <c r="C10385" t="str">
        <f>T("ANDERSEN AFB")</f>
        <v>ANDERSEN AFB</v>
      </c>
      <c r="D10385" t="str">
        <f>T("APO")</f>
        <v>APO</v>
      </c>
      <c r="E10385" t="str">
        <f t="shared" si="3818"/>
        <v>AP</v>
      </c>
      <c r="F10385" t="str">
        <f>T("965434007")</f>
        <v>965434007</v>
      </c>
      <c r="G10385" t="str">
        <f>T("ATTN APC AIDA REYES-QUINTO")</f>
        <v>ATTN APC AIDA REYES-QUINTO</v>
      </c>
      <c r="H10385" t="str">
        <f>T("PSC 455 BOX 211")</f>
        <v>PSC 455 BOX 211</v>
      </c>
      <c r="I10385" t="str">
        <f>T("FPO")</f>
        <v>FPO</v>
      </c>
      <c r="J10385" t="str">
        <f t="shared" si="3819"/>
        <v>AP</v>
      </c>
      <c r="K10385" t="str">
        <f>T("000000000000000000")</f>
        <v>000000000000000000</v>
      </c>
      <c r="L10385" t="str">
        <f>T("6714865741")</f>
        <v>6714865741</v>
      </c>
    </row>
    <row r="10386" spans="1:12" x14ac:dyDescent="0.35">
      <c r="A10386" t="str">
        <f t="shared" si="3821"/>
        <v>NSAA</v>
      </c>
      <c r="B10386" t="str">
        <f>T("36 CES/CEF UNIT 14007")</f>
        <v>36 CES/CEF UNIT 14007</v>
      </c>
      <c r="C10386" t="str">
        <f>T("ANDERSEN AFB")</f>
        <v>ANDERSEN AFB</v>
      </c>
      <c r="D10386" t="str">
        <f>T("APO")</f>
        <v>APO</v>
      </c>
      <c r="E10386" t="str">
        <f t="shared" si="3818"/>
        <v>AP</v>
      </c>
      <c r="F10386" t="str">
        <f>T("965434007")</f>
        <v>965434007</v>
      </c>
      <c r="G10386" t="str">
        <f>T("PSC 455 BOX 211")</f>
        <v>PSC 455 BOX 211</v>
      </c>
      <c r="H10386" t="str">
        <f>T("")</f>
        <v/>
      </c>
      <c r="I10386" t="str">
        <f>T("FPO")</f>
        <v>FPO</v>
      </c>
      <c r="J10386" t="str">
        <f t="shared" si="3819"/>
        <v>AP</v>
      </c>
      <c r="K10386" t="str">
        <f>T("000000000000000000")</f>
        <v>000000000000000000</v>
      </c>
      <c r="L10386" t="str">
        <f>T("6713665284")</f>
        <v>6713665284</v>
      </c>
    </row>
    <row r="10387" spans="1:12" x14ac:dyDescent="0.35">
      <c r="A10387" t="str">
        <f t="shared" si="3821"/>
        <v>NSAA</v>
      </c>
      <c r="B10387" t="str">
        <f>T("36 FSS/FSFR")</f>
        <v>36 FSS/FSFR</v>
      </c>
      <c r="C10387" t="str">
        <f>T("UNIT 14002 BOX 17")</f>
        <v>UNIT 14002 BOX 17</v>
      </c>
      <c r="D10387" t="str">
        <f>T("YIGO")</f>
        <v>YIGO</v>
      </c>
      <c r="E10387" t="str">
        <f>T("GU")</f>
        <v>GU</v>
      </c>
      <c r="F10387" t="str">
        <f>T("965434002")</f>
        <v>965434002</v>
      </c>
      <c r="G10387" t="str">
        <f>T("36 FSS/FSFR")</f>
        <v>36 FSS/FSFR</v>
      </c>
      <c r="H10387" t="str">
        <f>T("UNIT 14002 BOX 17")</f>
        <v>UNIT 14002 BOX 17</v>
      </c>
      <c r="I10387" t="str">
        <f>T("YIGO")</f>
        <v>YIGO</v>
      </c>
      <c r="J10387" t="str">
        <f>T("GU")</f>
        <v>GU</v>
      </c>
      <c r="K10387" t="str">
        <f>T("")</f>
        <v/>
      </c>
      <c r="L10387" t="str">
        <f>T("6713668136")</f>
        <v>6713668136</v>
      </c>
    </row>
    <row r="10388" spans="1:12" x14ac:dyDescent="0.35">
      <c r="A10388" t="str">
        <f t="shared" si="3821"/>
        <v>NSAA</v>
      </c>
      <c r="B10388" t="str">
        <f>T("36 LRS")</f>
        <v>36 LRS</v>
      </c>
      <c r="C10388" t="str">
        <f t="shared" ref="C10388:C10394" si="3822">T("ANDERSEN AFB")</f>
        <v>ANDERSEN AFB</v>
      </c>
      <c r="D10388" t="str">
        <f>T("FPO")</f>
        <v>FPO</v>
      </c>
      <c r="E10388" t="str">
        <f t="shared" ref="E10388:E10435" si="3823">T("AP")</f>
        <v>AP</v>
      </c>
      <c r="F10388" t="str">
        <f t="shared" ref="F10388:F10394" si="3824">T("965430000")</f>
        <v>965430000</v>
      </c>
      <c r="G10388" t="str">
        <f>T("ATTN AIDA REYES-QUINTO - APC")</f>
        <v>ATTN AIDA REYES-QUINTO - APC</v>
      </c>
      <c r="H10388" t="str">
        <f>T("PSC 455 BOX 211")</f>
        <v>PSC 455 BOX 211</v>
      </c>
      <c r="I10388" t="str">
        <f>T("FPO")</f>
        <v>FPO</v>
      </c>
      <c r="J10388" t="str">
        <f t="shared" ref="J10388:J10435" si="3825">T("AP")</f>
        <v>AP</v>
      </c>
      <c r="K10388" t="str">
        <f>T("000000000000000000")</f>
        <v>000000000000000000</v>
      </c>
      <c r="L10388" t="str">
        <f>T("6713664519")</f>
        <v>6713664519</v>
      </c>
    </row>
    <row r="10389" spans="1:12" x14ac:dyDescent="0.35">
      <c r="A10389" t="str">
        <f t="shared" si="3821"/>
        <v>NSAA</v>
      </c>
      <c r="B10389" t="str">
        <f>T("36TH SFS")</f>
        <v>36TH SFS</v>
      </c>
      <c r="C10389" t="str">
        <f t="shared" si="3822"/>
        <v>ANDERSEN AFB</v>
      </c>
      <c r="D10389" t="str">
        <f t="shared" ref="D10389:D10394" si="3826">T("APO")</f>
        <v>APO</v>
      </c>
      <c r="E10389" t="str">
        <f t="shared" si="3823"/>
        <v>AP</v>
      </c>
      <c r="F10389" t="str">
        <f t="shared" si="3824"/>
        <v>965430000</v>
      </c>
      <c r="G10389" t="str">
        <f>T("36SFS/S4 UNIT 14013")</f>
        <v>36SFS/S4 UNIT 14013</v>
      </c>
      <c r="H10389" t="str">
        <f>T("")</f>
        <v/>
      </c>
      <c r="I10389" t="str">
        <f>T("APO")</f>
        <v>APO</v>
      </c>
      <c r="J10389" t="str">
        <f t="shared" si="3825"/>
        <v>AP</v>
      </c>
      <c r="K10389" t="str">
        <f>T("000000000000000000")</f>
        <v>000000000000000000</v>
      </c>
      <c r="L10389" t="str">
        <f>T("6713665814")</f>
        <v>6713665814</v>
      </c>
    </row>
    <row r="10390" spans="1:12" x14ac:dyDescent="0.35">
      <c r="A10390" t="str">
        <f t="shared" si="3821"/>
        <v>NSAA</v>
      </c>
      <c r="B10390" t="str">
        <f>T("36TH SFS")</f>
        <v>36TH SFS</v>
      </c>
      <c r="C10390" t="str">
        <f t="shared" si="3822"/>
        <v>ANDERSEN AFB</v>
      </c>
      <c r="D10390" t="str">
        <f t="shared" si="3826"/>
        <v>APO</v>
      </c>
      <c r="E10390" t="str">
        <f t="shared" si="3823"/>
        <v>AP</v>
      </c>
      <c r="F10390" t="str">
        <f t="shared" si="3824"/>
        <v>965430000</v>
      </c>
      <c r="G10390" t="str">
        <f>T("36TH SFS")</f>
        <v>36TH SFS</v>
      </c>
      <c r="H10390" t="str">
        <f>T("ANDERSEN AFB")</f>
        <v>ANDERSEN AFB</v>
      </c>
      <c r="I10390" t="str">
        <f>T("APO")</f>
        <v>APO</v>
      </c>
      <c r="J10390" t="str">
        <f t="shared" si="3825"/>
        <v>AP</v>
      </c>
      <c r="K10390" t="str">
        <f>T("")</f>
        <v/>
      </c>
      <c r="L10390" t="str">
        <f>T("6713668110")</f>
        <v>6713668110</v>
      </c>
    </row>
    <row r="10391" spans="1:12" x14ac:dyDescent="0.35">
      <c r="A10391" t="str">
        <f t="shared" si="3821"/>
        <v>NSAA</v>
      </c>
      <c r="B10391" t="str">
        <f>T("36TH SFS")</f>
        <v>36TH SFS</v>
      </c>
      <c r="C10391" t="str">
        <f t="shared" si="3822"/>
        <v>ANDERSEN AFB</v>
      </c>
      <c r="D10391" t="str">
        <f t="shared" si="3826"/>
        <v>APO</v>
      </c>
      <c r="E10391" t="str">
        <f t="shared" si="3823"/>
        <v>AP</v>
      </c>
      <c r="F10391" t="str">
        <f t="shared" si="3824"/>
        <v>965430000</v>
      </c>
      <c r="G10391" t="str">
        <f>T("PSC 455 BOX 211")</f>
        <v>PSC 455 BOX 211</v>
      </c>
      <c r="H10391" t="str">
        <f>T("")</f>
        <v/>
      </c>
      <c r="I10391" t="str">
        <f>T("FPO")</f>
        <v>FPO</v>
      </c>
      <c r="J10391" t="str">
        <f t="shared" si="3825"/>
        <v>AP</v>
      </c>
      <c r="K10391" t="str">
        <f>T("000000000000000000")</f>
        <v>000000000000000000</v>
      </c>
      <c r="L10391" t="str">
        <f>T("6713662254")</f>
        <v>6713662254</v>
      </c>
    </row>
    <row r="10392" spans="1:12" x14ac:dyDescent="0.35">
      <c r="A10392" t="str">
        <f t="shared" si="3821"/>
        <v>NSAA</v>
      </c>
      <c r="B10392" t="str">
        <f>T("36TH SFS")</f>
        <v>36TH SFS</v>
      </c>
      <c r="C10392" t="str">
        <f t="shared" si="3822"/>
        <v>ANDERSEN AFB</v>
      </c>
      <c r="D10392" t="str">
        <f t="shared" si="3826"/>
        <v>APO</v>
      </c>
      <c r="E10392" t="str">
        <f t="shared" si="3823"/>
        <v>AP</v>
      </c>
      <c r="F10392" t="str">
        <f t="shared" si="3824"/>
        <v>965430000</v>
      </c>
      <c r="G10392" t="str">
        <f>T("PSC 455 BOX 211")</f>
        <v>PSC 455 BOX 211</v>
      </c>
      <c r="H10392" t="str">
        <f>T("")</f>
        <v/>
      </c>
      <c r="I10392" t="str">
        <f>T("FPO")</f>
        <v>FPO</v>
      </c>
      <c r="J10392" t="str">
        <f t="shared" si="3825"/>
        <v>AP</v>
      </c>
      <c r="K10392" t="str">
        <f>T("000000000000000000")</f>
        <v>000000000000000000</v>
      </c>
      <c r="L10392" t="str">
        <f>T("6713663101")</f>
        <v>6713663101</v>
      </c>
    </row>
    <row r="10393" spans="1:12" x14ac:dyDescent="0.35">
      <c r="A10393" t="str">
        <f t="shared" si="3821"/>
        <v>NSAA</v>
      </c>
      <c r="B10393" t="str">
        <f>T("36TH WG/JA")</f>
        <v>36TH WG/JA</v>
      </c>
      <c r="C10393" t="str">
        <f t="shared" si="3822"/>
        <v>ANDERSEN AFB</v>
      </c>
      <c r="D10393" t="str">
        <f t="shared" si="3826"/>
        <v>APO</v>
      </c>
      <c r="E10393" t="str">
        <f t="shared" si="3823"/>
        <v>AP</v>
      </c>
      <c r="F10393" t="str">
        <f t="shared" si="3824"/>
        <v>965430000</v>
      </c>
      <c r="G10393" t="str">
        <f>T("36TH WG/JA")</f>
        <v>36TH WG/JA</v>
      </c>
      <c r="H10393" t="str">
        <f>T("ANDERSEN AFB")</f>
        <v>ANDERSEN AFB</v>
      </c>
      <c r="I10393" t="str">
        <f>T("APO")</f>
        <v>APO</v>
      </c>
      <c r="J10393" t="str">
        <f t="shared" si="3825"/>
        <v>AP</v>
      </c>
      <c r="K10393" t="str">
        <f>T("")</f>
        <v/>
      </c>
      <c r="L10393" t="str">
        <f>T("6713662937")</f>
        <v>6713662937</v>
      </c>
    </row>
    <row r="10394" spans="1:12" x14ac:dyDescent="0.35">
      <c r="A10394" t="str">
        <f t="shared" si="3821"/>
        <v>NSAA</v>
      </c>
      <c r="B10394" t="str">
        <f>T("36TH WG/JA")</f>
        <v>36TH WG/JA</v>
      </c>
      <c r="C10394" t="str">
        <f t="shared" si="3822"/>
        <v>ANDERSEN AFB</v>
      </c>
      <c r="D10394" t="str">
        <f t="shared" si="3826"/>
        <v>APO</v>
      </c>
      <c r="E10394" t="str">
        <f t="shared" si="3823"/>
        <v>AP</v>
      </c>
      <c r="F10394" t="str">
        <f t="shared" si="3824"/>
        <v>965430000</v>
      </c>
      <c r="G10394" t="str">
        <f>T("ATTN AIDA REYES QUINTO - APC")</f>
        <v>ATTN AIDA REYES QUINTO - APC</v>
      </c>
      <c r="H10394" t="str">
        <f>T("PSC 455 BOX 211")</f>
        <v>PSC 455 BOX 211</v>
      </c>
      <c r="I10394" t="str">
        <f>T("FPO")</f>
        <v>FPO</v>
      </c>
      <c r="J10394" t="str">
        <f t="shared" si="3825"/>
        <v>AP</v>
      </c>
      <c r="K10394" t="str">
        <f>T("000000000000000000")</f>
        <v>000000000000000000</v>
      </c>
      <c r="L10394" t="str">
        <f>T("6713662937")</f>
        <v>6713662937</v>
      </c>
    </row>
    <row r="10395" spans="1:12" x14ac:dyDescent="0.35">
      <c r="A10395" t="str">
        <f t="shared" si="3821"/>
        <v>NSAA</v>
      </c>
      <c r="B10395" t="str">
        <f>T("ATTN AIDA REYES QUINTO-APC")</f>
        <v>ATTN AIDA REYES QUINTO-APC</v>
      </c>
      <c r="C10395" t="str">
        <f>T("PSC 455 BOX 211")</f>
        <v>PSC 455 BOX 211</v>
      </c>
      <c r="D10395" t="str">
        <f>T("FPO")</f>
        <v>FPO</v>
      </c>
      <c r="E10395" t="str">
        <f t="shared" si="3823"/>
        <v>AP</v>
      </c>
      <c r="F10395" t="str">
        <f>T("965400003")</f>
        <v>965400003</v>
      </c>
      <c r="G10395" t="str">
        <f>T("ATTN AIDA REYES QUINTO-APC")</f>
        <v>ATTN AIDA REYES QUINTO-APC</v>
      </c>
      <c r="H10395" t="str">
        <f>T("PSC 455 BOX 211")</f>
        <v>PSC 455 BOX 211</v>
      </c>
      <c r="I10395" t="str">
        <f>T("FPO")</f>
        <v>FPO</v>
      </c>
      <c r="J10395" t="str">
        <f t="shared" si="3825"/>
        <v>AP</v>
      </c>
      <c r="K10395" t="str">
        <f>T("")</f>
        <v/>
      </c>
      <c r="L10395" t="str">
        <f>T("6713665503")</f>
        <v>6713665503</v>
      </c>
    </row>
    <row r="10396" spans="1:12" x14ac:dyDescent="0.35">
      <c r="A10396" t="str">
        <f t="shared" si="3821"/>
        <v>NSAA</v>
      </c>
      <c r="B10396" t="str">
        <f>T("ATTN AIDA REYES QUINTO-APC")</f>
        <v>ATTN AIDA REYES QUINTO-APC</v>
      </c>
      <c r="C10396" t="str">
        <f>T("PSC 455 BOX 211")</f>
        <v>PSC 455 BOX 211</v>
      </c>
      <c r="D10396" t="str">
        <f>T("FPO")</f>
        <v>FPO</v>
      </c>
      <c r="E10396" t="str">
        <f t="shared" si="3823"/>
        <v>AP</v>
      </c>
      <c r="F10396" t="str">
        <f>T("965400003")</f>
        <v>965400003</v>
      </c>
      <c r="G10396" t="str">
        <f>T("ATTN APC AIDA REYES-QUINTO")</f>
        <v>ATTN APC AIDA REYES-QUINTO</v>
      </c>
      <c r="H10396" t="str">
        <f>T("PSC 455 BOX 211")</f>
        <v>PSC 455 BOX 211</v>
      </c>
      <c r="I10396" t="str">
        <f>T("FPO")</f>
        <v>FPO</v>
      </c>
      <c r="J10396" t="str">
        <f t="shared" si="3825"/>
        <v>AP</v>
      </c>
      <c r="K10396" t="str">
        <f>T("000000000000000000")</f>
        <v>000000000000000000</v>
      </c>
      <c r="L10396" t="str">
        <f>T("6713662127")</f>
        <v>6713662127</v>
      </c>
    </row>
    <row r="10397" spans="1:12" x14ac:dyDescent="0.35">
      <c r="A10397" t="str">
        <f t="shared" si="3821"/>
        <v>NSAA</v>
      </c>
      <c r="B10397" t="str">
        <f>T("ATTN AIDA REYES QUINTO-APC")</f>
        <v>ATTN AIDA REYES QUINTO-APC</v>
      </c>
      <c r="C10397" t="str">
        <f>T("PSC 455 BOX 211")</f>
        <v>PSC 455 BOX 211</v>
      </c>
      <c r="D10397" t="str">
        <f>T("FPO")</f>
        <v>FPO</v>
      </c>
      <c r="E10397" t="str">
        <f t="shared" si="3823"/>
        <v>AP</v>
      </c>
      <c r="F10397" t="str">
        <f>T("965400003")</f>
        <v>965400003</v>
      </c>
      <c r="G10397" t="str">
        <f>T("ATTN APC AIDA REYES-QUINTO")</f>
        <v>ATTN APC AIDA REYES-QUINTO</v>
      </c>
      <c r="H10397" t="str">
        <f>T("PSC 455 BOX 211")</f>
        <v>PSC 455 BOX 211</v>
      </c>
      <c r="I10397" t="str">
        <f>T("FPO")</f>
        <v>FPO</v>
      </c>
      <c r="J10397" t="str">
        <f t="shared" si="3825"/>
        <v>AP</v>
      </c>
      <c r="K10397" t="str">
        <f>T("000000000000000000")</f>
        <v>000000000000000000</v>
      </c>
      <c r="L10397" t="str">
        <f>T("6713665390")</f>
        <v>6713665390</v>
      </c>
    </row>
    <row r="10398" spans="1:12" x14ac:dyDescent="0.35">
      <c r="A10398" t="str">
        <f t="shared" si="3821"/>
        <v>NSAA</v>
      </c>
      <c r="B10398" t="str">
        <f>T("JRM 36 CES/CEX UNIT 14007")</f>
        <v>JRM 36 CES/CEX UNIT 14007</v>
      </c>
      <c r="C10398" t="str">
        <f>T("ANDERSEN AFB")</f>
        <v>ANDERSEN AFB</v>
      </c>
      <c r="D10398" t="str">
        <f>T("APO")</f>
        <v>APO</v>
      </c>
      <c r="E10398" t="str">
        <f t="shared" si="3823"/>
        <v>AP</v>
      </c>
      <c r="F10398" t="str">
        <f>T("965434007")</f>
        <v>965434007</v>
      </c>
      <c r="G10398" t="str">
        <f>T("JRM 36 CES/CEX UNIT 14007")</f>
        <v>JRM 36 CES/CEX UNIT 14007</v>
      </c>
      <c r="H10398" t="str">
        <f>T("ANDERSEN AFB")</f>
        <v>ANDERSEN AFB</v>
      </c>
      <c r="I10398" t="str">
        <f>T("APO")</f>
        <v>APO</v>
      </c>
      <c r="J10398" t="str">
        <f t="shared" si="3825"/>
        <v>AP</v>
      </c>
      <c r="K10398" t="str">
        <f>T("")</f>
        <v/>
      </c>
      <c r="L10398" t="str">
        <f>T("6713663477")</f>
        <v>6713663477</v>
      </c>
    </row>
    <row r="10399" spans="1:12" x14ac:dyDescent="0.35">
      <c r="A10399" t="str">
        <f t="shared" si="3821"/>
        <v>NSAA</v>
      </c>
      <c r="B10399" t="str">
        <f>T("JRM 36 CES/CEX UNIT 14007")</f>
        <v>JRM 36 CES/CEX UNIT 14007</v>
      </c>
      <c r="C10399" t="str">
        <f>T("ANDERSEN AFB")</f>
        <v>ANDERSEN AFB</v>
      </c>
      <c r="D10399" t="str">
        <f>T("APO")</f>
        <v>APO</v>
      </c>
      <c r="E10399" t="str">
        <f t="shared" si="3823"/>
        <v>AP</v>
      </c>
      <c r="F10399" t="str">
        <f>T("965434007")</f>
        <v>965434007</v>
      </c>
      <c r="G10399" t="str">
        <f>T("PSC 455 BOX 211")</f>
        <v>PSC 455 BOX 211</v>
      </c>
      <c r="H10399" t="str">
        <f>T("ATTN APC AIDA REYES-QUINTO")</f>
        <v>ATTN APC AIDA REYES-QUINTO</v>
      </c>
      <c r="I10399" t="str">
        <f>T("FPO")</f>
        <v>FPO</v>
      </c>
      <c r="J10399" t="str">
        <f t="shared" si="3825"/>
        <v>AP</v>
      </c>
      <c r="K10399" t="str">
        <f>T("000000000000000000")</f>
        <v>000000000000000000</v>
      </c>
      <c r="L10399" t="str">
        <f>T("6713663113")</f>
        <v>6713663113</v>
      </c>
    </row>
    <row r="10400" spans="1:12" x14ac:dyDescent="0.35">
      <c r="A10400" t="str">
        <f t="shared" si="3821"/>
        <v>NSAA</v>
      </c>
      <c r="B10400" t="str">
        <f>T("PSC 455 BOX 211")</f>
        <v>PSC 455 BOX 211</v>
      </c>
      <c r="C10400" t="str">
        <f>T("")</f>
        <v/>
      </c>
      <c r="D10400" t="str">
        <f>T("FPO")</f>
        <v>FPO</v>
      </c>
      <c r="E10400" t="str">
        <f t="shared" si="3823"/>
        <v>AP</v>
      </c>
      <c r="F10400" t="str">
        <f>T("965400003")</f>
        <v>965400003</v>
      </c>
      <c r="G10400" t="str">
        <f>T("PSC 455 BOX 211")</f>
        <v>PSC 455 BOX 211</v>
      </c>
      <c r="H10400" t="str">
        <f>T("")</f>
        <v/>
      </c>
      <c r="I10400" t="str">
        <f>T("FPO")</f>
        <v>FPO</v>
      </c>
      <c r="J10400" t="str">
        <f t="shared" si="3825"/>
        <v>AP</v>
      </c>
      <c r="K10400" t="str">
        <f>T("")</f>
        <v/>
      </c>
      <c r="L10400" t="str">
        <f>T("6713666139")</f>
        <v>6713666139</v>
      </c>
    </row>
    <row r="10401" spans="1:12" x14ac:dyDescent="0.35">
      <c r="A10401" t="str">
        <f t="shared" si="3821"/>
        <v>NSAA</v>
      </c>
      <c r="B10401" t="str">
        <f>T("PSC 455 BOX 211")</f>
        <v>PSC 455 BOX 211</v>
      </c>
      <c r="C10401" t="str">
        <f>T("")</f>
        <v/>
      </c>
      <c r="D10401" t="str">
        <f>T("FPO")</f>
        <v>FPO</v>
      </c>
      <c r="E10401" t="str">
        <f t="shared" si="3823"/>
        <v>AP</v>
      </c>
      <c r="F10401" t="str">
        <f>T("965400003")</f>
        <v>965400003</v>
      </c>
      <c r="G10401" t="str">
        <f>T("PSC 455 BOX 211")</f>
        <v>PSC 455 BOX 211</v>
      </c>
      <c r="H10401" t="str">
        <f>T("")</f>
        <v/>
      </c>
      <c r="I10401" t="str">
        <f>T("FPO")</f>
        <v>FPO</v>
      </c>
      <c r="J10401" t="str">
        <f t="shared" si="3825"/>
        <v>AP</v>
      </c>
      <c r="K10401" t="str">
        <f>T("000000000000000000")</f>
        <v>000000000000000000</v>
      </c>
      <c r="L10401" t="str">
        <f>T("6713666139")</f>
        <v>6713666139</v>
      </c>
    </row>
    <row r="10402" spans="1:12" x14ac:dyDescent="0.35">
      <c r="A10402" t="str">
        <f t="shared" si="3821"/>
        <v>NSAA</v>
      </c>
      <c r="B10402" t="str">
        <f>T("UNIT 14003")</f>
        <v>UNIT 14003</v>
      </c>
      <c r="C10402" t="str">
        <f>T("ANDERSEN AFB")</f>
        <v>ANDERSEN AFB</v>
      </c>
      <c r="D10402" t="str">
        <f>T("APO")</f>
        <v>APO</v>
      </c>
      <c r="E10402" t="str">
        <f t="shared" si="3823"/>
        <v>AP</v>
      </c>
      <c r="F10402" t="str">
        <f>T("965434003")</f>
        <v>965434003</v>
      </c>
      <c r="G10402" t="str">
        <f>T("PSC 251 BOX 773")</f>
        <v>PSC 251 BOX 773</v>
      </c>
      <c r="H10402" t="str">
        <f>T("")</f>
        <v/>
      </c>
      <c r="I10402" t="str">
        <f>T("FPO")</f>
        <v>FPO</v>
      </c>
      <c r="J10402" t="str">
        <f t="shared" si="3825"/>
        <v>AP</v>
      </c>
      <c r="K10402" t="str">
        <f>T("000000000000000000")</f>
        <v>000000000000000000</v>
      </c>
      <c r="L10402" t="str">
        <f>T("6713662228")</f>
        <v>6713662228</v>
      </c>
    </row>
    <row r="10403" spans="1:12" x14ac:dyDescent="0.35">
      <c r="A10403" t="str">
        <f t="shared" si="3821"/>
        <v>NSAA</v>
      </c>
      <c r="B10403" t="str">
        <f>T("UNIT 14003")</f>
        <v>UNIT 14003</v>
      </c>
      <c r="C10403" t="str">
        <f>T("ANDERSEN AFB")</f>
        <v>ANDERSEN AFB</v>
      </c>
      <c r="D10403" t="str">
        <f>T("APO")</f>
        <v>APO</v>
      </c>
      <c r="E10403" t="str">
        <f t="shared" si="3823"/>
        <v>AP</v>
      </c>
      <c r="F10403" t="str">
        <f>T("965434003")</f>
        <v>965434003</v>
      </c>
      <c r="G10403" t="str">
        <f>T("UNIT 14003")</f>
        <v>UNIT 14003</v>
      </c>
      <c r="H10403" t="str">
        <f>T("ANDERSEN AFB")</f>
        <v>ANDERSEN AFB</v>
      </c>
      <c r="I10403" t="str">
        <f>T("APO")</f>
        <v>APO</v>
      </c>
      <c r="J10403" t="str">
        <f t="shared" si="3825"/>
        <v>AP</v>
      </c>
      <c r="K10403" t="str">
        <f>T("")</f>
        <v/>
      </c>
      <c r="L10403" t="str">
        <f>T("6713664093")</f>
        <v>6713664093</v>
      </c>
    </row>
    <row r="10404" spans="1:12" x14ac:dyDescent="0.35">
      <c r="A10404" t="str">
        <f t="shared" si="3821"/>
        <v>NSAA</v>
      </c>
      <c r="B10404" t="str">
        <f>T("UNIT 14009")</f>
        <v>UNIT 14009</v>
      </c>
      <c r="C10404" t="str">
        <f>T("")</f>
        <v/>
      </c>
      <c r="D10404" t="str">
        <f>T("APO")</f>
        <v>APO</v>
      </c>
      <c r="E10404" t="str">
        <f t="shared" si="3823"/>
        <v>AP</v>
      </c>
      <c r="F10404" t="str">
        <f>T("965434009")</f>
        <v>965434009</v>
      </c>
      <c r="G10404" t="str">
        <f>T("ATTN AIDA REYES-QUINTO APC")</f>
        <v>ATTN AIDA REYES-QUINTO APC</v>
      </c>
      <c r="H10404" t="str">
        <f>T("PSC 455 BOX 211")</f>
        <v>PSC 455 BOX 211</v>
      </c>
      <c r="I10404" t="str">
        <f>T("FPO")</f>
        <v>FPO</v>
      </c>
      <c r="J10404" t="str">
        <f t="shared" si="3825"/>
        <v>AP</v>
      </c>
      <c r="K10404" t="str">
        <f>T("000000000000000000")</f>
        <v>000000000000000000</v>
      </c>
      <c r="L10404" t="str">
        <f>T("6713662300")</f>
        <v>6713662300</v>
      </c>
    </row>
    <row r="10405" spans="1:12" x14ac:dyDescent="0.35">
      <c r="A10405" t="str">
        <f t="shared" si="3821"/>
        <v>NSAA</v>
      </c>
      <c r="B10405" t="str">
        <f>T("UNIT 14009")</f>
        <v>UNIT 14009</v>
      </c>
      <c r="C10405" t="str">
        <f>T("")</f>
        <v/>
      </c>
      <c r="D10405" t="str">
        <f>T("APO")</f>
        <v>APO</v>
      </c>
      <c r="E10405" t="str">
        <f t="shared" si="3823"/>
        <v>AP</v>
      </c>
      <c r="F10405" t="str">
        <f>T("965434009")</f>
        <v>965434009</v>
      </c>
      <c r="G10405" t="str">
        <f>T("UNIT 14009")</f>
        <v>UNIT 14009</v>
      </c>
      <c r="H10405" t="str">
        <f>T("")</f>
        <v/>
      </c>
      <c r="I10405" t="str">
        <f>T("APO")</f>
        <v>APO</v>
      </c>
      <c r="J10405" t="str">
        <f t="shared" si="3825"/>
        <v>AP</v>
      </c>
      <c r="K10405" t="str">
        <f>T("")</f>
        <v/>
      </c>
      <c r="L10405" t="str">
        <f>T("6713625682")</f>
        <v>6713625682</v>
      </c>
    </row>
    <row r="10406" spans="1:12" x14ac:dyDescent="0.35">
      <c r="A10406" t="str">
        <f t="shared" ref="A10406:A10435" si="3827">T("CJRM")</f>
        <v>CJRM</v>
      </c>
      <c r="B10406" t="str">
        <f>T("PSC 455 BOX 152")</f>
        <v>PSC 455 BOX 152</v>
      </c>
      <c r="C10406" t="str">
        <f>T("ATTN TABBATHA AUSTIN J8 APC")</f>
        <v>ATTN TABBATHA AUSTIN J8 APC</v>
      </c>
      <c r="D10406" t="str">
        <f t="shared" ref="D10406:D10435" si="3828">T("FPO")</f>
        <v>FPO</v>
      </c>
      <c r="E10406" t="str">
        <f t="shared" si="3823"/>
        <v>AP</v>
      </c>
      <c r="F10406" t="str">
        <f>T("965400002")</f>
        <v>965400002</v>
      </c>
      <c r="G10406" t="str">
        <f>T("PSC 455 BOX 152")</f>
        <v>PSC 455 BOX 152</v>
      </c>
      <c r="H10406" t="str">
        <f>T("ATTN KIMBERLY PEREZ")</f>
        <v>ATTN KIMBERLY PEREZ</v>
      </c>
      <c r="I10406" t="str">
        <f t="shared" ref="I10406:I10435" si="3829">T("FPO")</f>
        <v>FPO</v>
      </c>
      <c r="J10406" t="str">
        <f t="shared" si="3825"/>
        <v>AP</v>
      </c>
      <c r="K10406" t="str">
        <f>T("000000000000000000")</f>
        <v>000000000000000000</v>
      </c>
      <c r="L10406" t="str">
        <f>T("6713395468")</f>
        <v>6713395468</v>
      </c>
    </row>
    <row r="10407" spans="1:12" x14ac:dyDescent="0.35">
      <c r="A10407" t="str">
        <f t="shared" si="3827"/>
        <v>CJRM</v>
      </c>
      <c r="B10407" t="str">
        <f>T("PSC 455 BOX 152")</f>
        <v>PSC 455 BOX 152</v>
      </c>
      <c r="C10407" t="str">
        <f>T("ATTN TABBATHA AUSTIN J8 APC")</f>
        <v>ATTN TABBATHA AUSTIN J8 APC</v>
      </c>
      <c r="D10407" t="str">
        <f t="shared" si="3828"/>
        <v>FPO</v>
      </c>
      <c r="E10407" t="str">
        <f t="shared" si="3823"/>
        <v>AP</v>
      </c>
      <c r="F10407" t="str">
        <f>T("965400002")</f>
        <v>965400002</v>
      </c>
      <c r="G10407" t="str">
        <f>T("PSC 455 BOX 152")</f>
        <v>PSC 455 BOX 152</v>
      </c>
      <c r="H10407" t="str">
        <f>T("ATTN TABBATHA AUSTIN J8 APC")</f>
        <v>ATTN TABBATHA AUSTIN J8 APC</v>
      </c>
      <c r="I10407" t="str">
        <f t="shared" si="3829"/>
        <v>FPO</v>
      </c>
      <c r="J10407" t="str">
        <f t="shared" si="3825"/>
        <v>AP</v>
      </c>
      <c r="K10407" t="str">
        <f>T("")</f>
        <v/>
      </c>
      <c r="L10407" t="str">
        <f>T("6713332175")</f>
        <v>6713332175</v>
      </c>
    </row>
    <row r="10408" spans="1:12" x14ac:dyDescent="0.35">
      <c r="A10408" t="str">
        <f t="shared" si="3827"/>
        <v>CJRM</v>
      </c>
      <c r="B10408" t="str">
        <f>T("PSC 455 BOX 152")</f>
        <v>PSC 455 BOX 152</v>
      </c>
      <c r="C10408" t="str">
        <f>T("ATTN TABBATHA AUSTIN J8 APC")</f>
        <v>ATTN TABBATHA AUSTIN J8 APC</v>
      </c>
      <c r="D10408" t="str">
        <f t="shared" si="3828"/>
        <v>FPO</v>
      </c>
      <c r="E10408" t="str">
        <f t="shared" si="3823"/>
        <v>AP</v>
      </c>
      <c r="F10408" t="str">
        <f>T("965400002")</f>
        <v>965400002</v>
      </c>
      <c r="G10408" t="str">
        <f t="shared" ref="G10408:G10413" si="3830">T("PSC 455 BOX 211")</f>
        <v>PSC 455 BOX 211</v>
      </c>
      <c r="H10408" t="str">
        <f>T("")</f>
        <v/>
      </c>
      <c r="I10408" t="str">
        <f t="shared" si="3829"/>
        <v>FPO</v>
      </c>
      <c r="J10408" t="str">
        <f t="shared" si="3825"/>
        <v>AP</v>
      </c>
      <c r="K10408" t="str">
        <f t="shared" ref="K10408:K10414" si="3831">T("000000000000000000")</f>
        <v>000000000000000000</v>
      </c>
      <c r="L10408" t="str">
        <f>T("6713496126")</f>
        <v>6713496126</v>
      </c>
    </row>
    <row r="10409" spans="1:12" x14ac:dyDescent="0.35">
      <c r="A10409" t="str">
        <f t="shared" si="3827"/>
        <v>CJRM</v>
      </c>
      <c r="B10409" t="str">
        <f>T("PSC 455 BOX 211")</f>
        <v>PSC 455 BOX 211</v>
      </c>
      <c r="C10409" t="str">
        <f>T("")</f>
        <v/>
      </c>
      <c r="D10409" t="str">
        <f t="shared" si="3828"/>
        <v>FPO</v>
      </c>
      <c r="E10409" t="str">
        <f t="shared" si="3823"/>
        <v>AP</v>
      </c>
      <c r="F10409" t="str">
        <f>T("965400003")</f>
        <v>965400003</v>
      </c>
      <c r="G10409" t="str">
        <f t="shared" si="3830"/>
        <v>PSC 455 BOX 211</v>
      </c>
      <c r="H10409" t="str">
        <f>T("")</f>
        <v/>
      </c>
      <c r="I10409" t="str">
        <f t="shared" si="3829"/>
        <v>FPO</v>
      </c>
      <c r="J10409" t="str">
        <f t="shared" si="3825"/>
        <v>AP</v>
      </c>
      <c r="K10409" t="str">
        <f t="shared" si="3831"/>
        <v>000000000000000000</v>
      </c>
      <c r="L10409" t="str">
        <f>T("6713491222")</f>
        <v>6713491222</v>
      </c>
    </row>
    <row r="10410" spans="1:12" x14ac:dyDescent="0.35">
      <c r="A10410" t="str">
        <f t="shared" si="3827"/>
        <v>CJRM</v>
      </c>
      <c r="B10410" t="str">
        <f>T("PSC 455 BOX 211")</f>
        <v>PSC 455 BOX 211</v>
      </c>
      <c r="C10410" t="str">
        <f>T("")</f>
        <v/>
      </c>
      <c r="D10410" t="str">
        <f t="shared" si="3828"/>
        <v>FPO</v>
      </c>
      <c r="E10410" t="str">
        <f t="shared" si="3823"/>
        <v>AP</v>
      </c>
      <c r="F10410" t="str">
        <f>T("965400003")</f>
        <v>965400003</v>
      </c>
      <c r="G10410" t="str">
        <f t="shared" si="3830"/>
        <v>PSC 455 BOX 211</v>
      </c>
      <c r="H10410" t="str">
        <f>T("")</f>
        <v/>
      </c>
      <c r="I10410" t="str">
        <f t="shared" si="3829"/>
        <v>FPO</v>
      </c>
      <c r="J10410" t="str">
        <f t="shared" si="3825"/>
        <v>AP</v>
      </c>
      <c r="K10410" t="str">
        <f t="shared" si="3831"/>
        <v>000000000000000000</v>
      </c>
      <c r="L10410" t="str">
        <f>T("6713494055")</f>
        <v>6713494055</v>
      </c>
    </row>
    <row r="10411" spans="1:12" x14ac:dyDescent="0.35">
      <c r="A10411" t="str">
        <f t="shared" si="3827"/>
        <v>CJRM</v>
      </c>
      <c r="B10411" t="str">
        <f>T("PSC 455 BOX 211")</f>
        <v>PSC 455 BOX 211</v>
      </c>
      <c r="C10411" t="str">
        <f>T("")</f>
        <v/>
      </c>
      <c r="D10411" t="str">
        <f t="shared" si="3828"/>
        <v>FPO</v>
      </c>
      <c r="E10411" t="str">
        <f t="shared" si="3823"/>
        <v>AP</v>
      </c>
      <c r="F10411" t="str">
        <f>T("965400003")</f>
        <v>965400003</v>
      </c>
      <c r="G10411" t="str">
        <f t="shared" si="3830"/>
        <v>PSC 455 BOX 211</v>
      </c>
      <c r="H10411" t="str">
        <f>T("ATTN APC KIMBERLY PEREZ")</f>
        <v>ATTN APC KIMBERLY PEREZ</v>
      </c>
      <c r="I10411" t="str">
        <f t="shared" si="3829"/>
        <v>FPO</v>
      </c>
      <c r="J10411" t="str">
        <f t="shared" si="3825"/>
        <v>AP</v>
      </c>
      <c r="K10411" t="str">
        <f t="shared" si="3831"/>
        <v>000000000000000000</v>
      </c>
      <c r="L10411" t="str">
        <f>T("6713334781")</f>
        <v>6713334781</v>
      </c>
    </row>
    <row r="10412" spans="1:12" x14ac:dyDescent="0.35">
      <c r="A10412" t="str">
        <f t="shared" si="3827"/>
        <v>CJRM</v>
      </c>
      <c r="B10412" t="str">
        <f>T("PSC 455 BOX 211")</f>
        <v>PSC 455 BOX 211</v>
      </c>
      <c r="C10412" t="str">
        <f>T("")</f>
        <v/>
      </c>
      <c r="D10412" t="str">
        <f t="shared" si="3828"/>
        <v>FPO</v>
      </c>
      <c r="E10412" t="str">
        <f t="shared" si="3823"/>
        <v>AP</v>
      </c>
      <c r="F10412" t="str">
        <f>T("965400003")</f>
        <v>965400003</v>
      </c>
      <c r="G10412" t="str">
        <f t="shared" si="3830"/>
        <v>PSC 455 BOX 211</v>
      </c>
      <c r="H10412" t="str">
        <f>T("ATTN APC KIMBERLY PEREZ")</f>
        <v>ATTN APC KIMBERLY PEREZ</v>
      </c>
      <c r="I10412" t="str">
        <f t="shared" si="3829"/>
        <v>FPO</v>
      </c>
      <c r="J10412" t="str">
        <f t="shared" si="3825"/>
        <v>AP</v>
      </c>
      <c r="K10412" t="str">
        <f t="shared" si="3831"/>
        <v>000000000000000000</v>
      </c>
      <c r="L10412" t="str">
        <f>T("6713398481")</f>
        <v>6713398481</v>
      </c>
    </row>
    <row r="10413" spans="1:12" x14ac:dyDescent="0.35">
      <c r="A10413" t="str">
        <f t="shared" si="3827"/>
        <v>CJRM</v>
      </c>
      <c r="B10413" t="str">
        <f>T("PSC 455 BOX 211")</f>
        <v>PSC 455 BOX 211</v>
      </c>
      <c r="C10413" t="str">
        <f>T("")</f>
        <v/>
      </c>
      <c r="D10413" t="str">
        <f t="shared" si="3828"/>
        <v>FPO</v>
      </c>
      <c r="E10413" t="str">
        <f t="shared" si="3823"/>
        <v>AP</v>
      </c>
      <c r="F10413" t="str">
        <f>T("965400003")</f>
        <v>965400003</v>
      </c>
      <c r="G10413" t="str">
        <f t="shared" si="3830"/>
        <v>PSC 455 BOX 211</v>
      </c>
      <c r="H10413" t="str">
        <f>T("ATTN APC KIMBERLY PEREZ")</f>
        <v>ATTN APC KIMBERLY PEREZ</v>
      </c>
      <c r="I10413" t="str">
        <f t="shared" si="3829"/>
        <v>FPO</v>
      </c>
      <c r="J10413" t="str">
        <f t="shared" si="3825"/>
        <v>AP</v>
      </c>
      <c r="K10413" t="str">
        <f t="shared" si="3831"/>
        <v>000000000000000000</v>
      </c>
      <c r="L10413" t="str">
        <f>T("6713496114")</f>
        <v>6713496114</v>
      </c>
    </row>
    <row r="10414" spans="1:12" x14ac:dyDescent="0.35">
      <c r="A10414" t="str">
        <f t="shared" si="3827"/>
        <v>CJRM</v>
      </c>
      <c r="B10414" t="str">
        <f>T("REG MANPOWER")</f>
        <v>REG MANPOWER</v>
      </c>
      <c r="C10414" t="str">
        <f>T("PSC 455 BOX 152")</f>
        <v>PSC 455 BOX 152</v>
      </c>
      <c r="D10414" t="str">
        <f t="shared" si="3828"/>
        <v>FPO</v>
      </c>
      <c r="E10414" t="str">
        <f t="shared" si="3823"/>
        <v>AP</v>
      </c>
      <c r="F10414" t="str">
        <f>T("965400002")</f>
        <v>965400002</v>
      </c>
      <c r="G10414" t="str">
        <f>T("PSC 455 BOX 152")</f>
        <v>PSC 455 BOX 152</v>
      </c>
      <c r="H10414" t="str">
        <f>T("ATTN TABBATHA AUSTIN")</f>
        <v>ATTN TABBATHA AUSTIN</v>
      </c>
      <c r="I10414" t="str">
        <f t="shared" si="3829"/>
        <v>FPO</v>
      </c>
      <c r="J10414" t="str">
        <f t="shared" si="3825"/>
        <v>AP</v>
      </c>
      <c r="K10414" t="str">
        <f t="shared" si="3831"/>
        <v>000000000000000000</v>
      </c>
      <c r="L10414" t="str">
        <f>T("6713392145")</f>
        <v>6713392145</v>
      </c>
    </row>
    <row r="10415" spans="1:12" x14ac:dyDescent="0.35">
      <c r="A10415" t="str">
        <f t="shared" si="3827"/>
        <v>CJRM</v>
      </c>
      <c r="B10415" t="str">
        <f>T("REG MANPOWER")</f>
        <v>REG MANPOWER</v>
      </c>
      <c r="C10415" t="str">
        <f>T("PSC 455 BOX 152")</f>
        <v>PSC 455 BOX 152</v>
      </c>
      <c r="D10415" t="str">
        <f t="shared" si="3828"/>
        <v>FPO</v>
      </c>
      <c r="E10415" t="str">
        <f t="shared" si="3823"/>
        <v>AP</v>
      </c>
      <c r="F10415" t="str">
        <f>T("965400002")</f>
        <v>965400002</v>
      </c>
      <c r="G10415" t="str">
        <f>T("REG MANPOWER")</f>
        <v>REG MANPOWER</v>
      </c>
      <c r="H10415" t="str">
        <f>T("PSC 455 BOX 152")</f>
        <v>PSC 455 BOX 152</v>
      </c>
      <c r="I10415" t="str">
        <f t="shared" si="3829"/>
        <v>FPO</v>
      </c>
      <c r="J10415" t="str">
        <f t="shared" si="3825"/>
        <v>AP</v>
      </c>
      <c r="K10415" t="str">
        <f>T("")</f>
        <v/>
      </c>
      <c r="L10415" t="str">
        <f>T("3713395206")</f>
        <v>3713395206</v>
      </c>
    </row>
    <row r="10416" spans="1:12" x14ac:dyDescent="0.35">
      <c r="A10416" t="str">
        <f t="shared" si="3827"/>
        <v>CJRM</v>
      </c>
      <c r="B10416" t="str">
        <f>T("STRAT &amp; FUT REQ")</f>
        <v>STRAT &amp; FUT REQ</v>
      </c>
      <c r="C10416" t="str">
        <f>T("PSC 455 BOX 152")</f>
        <v>PSC 455 BOX 152</v>
      </c>
      <c r="D10416" t="str">
        <f t="shared" si="3828"/>
        <v>FPO</v>
      </c>
      <c r="E10416" t="str">
        <f t="shared" si="3823"/>
        <v>AP</v>
      </c>
      <c r="F10416" t="str">
        <f>T("965400002")</f>
        <v>965400002</v>
      </c>
      <c r="G10416" t="str">
        <f>T("PSC 455 BOX 211")</f>
        <v>PSC 455 BOX 211</v>
      </c>
      <c r="H10416" t="str">
        <f>T("ATTN AGENCY PROGRAM COORDINATOR")</f>
        <v>ATTN AGENCY PROGRAM COORDINATOR</v>
      </c>
      <c r="I10416" t="str">
        <f t="shared" si="3829"/>
        <v>FPO</v>
      </c>
      <c r="J10416" t="str">
        <f t="shared" si="3825"/>
        <v>AP</v>
      </c>
      <c r="K10416" t="str">
        <f>T("000000000000000000")</f>
        <v>000000000000000000</v>
      </c>
      <c r="L10416" t="str">
        <f>T("6713492174")</f>
        <v>6713492174</v>
      </c>
    </row>
    <row r="10417" spans="1:12" x14ac:dyDescent="0.35">
      <c r="A10417" t="str">
        <f t="shared" si="3827"/>
        <v>CJRM</v>
      </c>
      <c r="B10417" t="str">
        <f>T("STRAT &amp; FUT REQ")</f>
        <v>STRAT &amp; FUT REQ</v>
      </c>
      <c r="C10417" t="str">
        <f>T("PSC 455 BOX 152")</f>
        <v>PSC 455 BOX 152</v>
      </c>
      <c r="D10417" t="str">
        <f t="shared" si="3828"/>
        <v>FPO</v>
      </c>
      <c r="E10417" t="str">
        <f t="shared" si="3823"/>
        <v>AP</v>
      </c>
      <c r="F10417" t="str">
        <f>T("965400002")</f>
        <v>965400002</v>
      </c>
      <c r="G10417" t="str">
        <f>T("PSC 455 BOX 211")</f>
        <v>PSC 455 BOX 211</v>
      </c>
      <c r="H10417" t="str">
        <f>T("ATTN APC KIMBERLY PEREZ")</f>
        <v>ATTN APC KIMBERLY PEREZ</v>
      </c>
      <c r="I10417" t="str">
        <f t="shared" si="3829"/>
        <v>FPO</v>
      </c>
      <c r="J10417" t="str">
        <f t="shared" si="3825"/>
        <v>AP</v>
      </c>
      <c r="K10417" t="str">
        <f>T("000000000000000000")</f>
        <v>000000000000000000</v>
      </c>
      <c r="L10417" t="str">
        <f>T("6713495743")</f>
        <v>6713495743</v>
      </c>
    </row>
    <row r="10418" spans="1:12" x14ac:dyDescent="0.35">
      <c r="A10418" t="str">
        <f t="shared" si="3827"/>
        <v>CJRM</v>
      </c>
      <c r="B10418" t="str">
        <f>T("STRAT &amp; FUT REQ")</f>
        <v>STRAT &amp; FUT REQ</v>
      </c>
      <c r="C10418" t="str">
        <f>T("PSC 455 BOX 152")</f>
        <v>PSC 455 BOX 152</v>
      </c>
      <c r="D10418" t="str">
        <f t="shared" si="3828"/>
        <v>FPO</v>
      </c>
      <c r="E10418" t="str">
        <f t="shared" si="3823"/>
        <v>AP</v>
      </c>
      <c r="F10418" t="str">
        <f>T("965400002")</f>
        <v>965400002</v>
      </c>
      <c r="G10418" t="str">
        <f>T("STRAT &amp; FUT REQ")</f>
        <v>STRAT &amp; FUT REQ</v>
      </c>
      <c r="H10418" t="str">
        <f>T("PSC 455 BOX 152")</f>
        <v>PSC 455 BOX 152</v>
      </c>
      <c r="I10418" t="str">
        <f t="shared" si="3829"/>
        <v>FPO</v>
      </c>
      <c r="J10418" t="str">
        <f t="shared" si="3825"/>
        <v>AP</v>
      </c>
      <c r="K10418" t="str">
        <f>T("")</f>
        <v/>
      </c>
      <c r="L10418" t="str">
        <f>T("6713391335")</f>
        <v>6713391335</v>
      </c>
    </row>
    <row r="10419" spans="1:12" x14ac:dyDescent="0.35">
      <c r="A10419" t="str">
        <f t="shared" si="3827"/>
        <v>CJRM</v>
      </c>
      <c r="B10419" t="str">
        <f>T("EOD DET MARIANAS")</f>
        <v>EOD DET MARIANAS</v>
      </c>
      <c r="C10419" t="str">
        <f>T("PSC 455 BOX 202")</f>
        <v>PSC 455 BOX 202</v>
      </c>
      <c r="D10419" t="str">
        <f t="shared" si="3828"/>
        <v>FPO</v>
      </c>
      <c r="E10419" t="str">
        <f t="shared" si="3823"/>
        <v>AP</v>
      </c>
      <c r="F10419" t="str">
        <f>T("965400003")</f>
        <v>965400003</v>
      </c>
      <c r="G10419" t="str">
        <f>T("EOD DET MARIANAS")</f>
        <v>EOD DET MARIANAS</v>
      </c>
      <c r="H10419" t="str">
        <f>T("PSC 455 BOX 202")</f>
        <v>PSC 455 BOX 202</v>
      </c>
      <c r="I10419" t="str">
        <f t="shared" si="3829"/>
        <v>FPO</v>
      </c>
      <c r="J10419" t="str">
        <f t="shared" si="3825"/>
        <v>AP</v>
      </c>
      <c r="K10419" t="str">
        <f>T("")</f>
        <v/>
      </c>
      <c r="L10419" t="str">
        <f>T("6713499258")</f>
        <v>6713499258</v>
      </c>
    </row>
    <row r="10420" spans="1:12" x14ac:dyDescent="0.35">
      <c r="A10420" t="str">
        <f t="shared" si="3827"/>
        <v>CJRM</v>
      </c>
      <c r="B10420" t="str">
        <f>T("EOD DET MARIANAS")</f>
        <v>EOD DET MARIANAS</v>
      </c>
      <c r="C10420" t="str">
        <f>T("PSC 455 BOX 202")</f>
        <v>PSC 455 BOX 202</v>
      </c>
      <c r="D10420" t="str">
        <f t="shared" si="3828"/>
        <v>FPO</v>
      </c>
      <c r="E10420" t="str">
        <f t="shared" si="3823"/>
        <v>AP</v>
      </c>
      <c r="F10420" t="str">
        <f>T("965400003")</f>
        <v>965400003</v>
      </c>
      <c r="G10420" t="str">
        <f>T("PSC 455 BOX 211")</f>
        <v>PSC 455 BOX 211</v>
      </c>
      <c r="H10420" t="str">
        <f>T("ATTN AGENCY PROGRAM COORDINATOR")</f>
        <v>ATTN AGENCY PROGRAM COORDINATOR</v>
      </c>
      <c r="I10420" t="str">
        <f t="shared" si="3829"/>
        <v>FPO</v>
      </c>
      <c r="J10420" t="str">
        <f t="shared" si="3825"/>
        <v>AP</v>
      </c>
      <c r="K10420" t="str">
        <f>T("000000000000000000")</f>
        <v>000000000000000000</v>
      </c>
      <c r="L10420" t="str">
        <f>T("6713499258")</f>
        <v>6713499258</v>
      </c>
    </row>
    <row r="10421" spans="1:12" x14ac:dyDescent="0.35">
      <c r="A10421" t="str">
        <f t="shared" si="3827"/>
        <v>CJRM</v>
      </c>
      <c r="B10421" t="str">
        <f>T("FIRE")</f>
        <v>FIRE</v>
      </c>
      <c r="C10421" t="str">
        <f>T("PSC 455 BOX 152")</f>
        <v>PSC 455 BOX 152</v>
      </c>
      <c r="D10421" t="str">
        <f t="shared" si="3828"/>
        <v>FPO</v>
      </c>
      <c r="E10421" t="str">
        <f t="shared" si="3823"/>
        <v>AP</v>
      </c>
      <c r="F10421" t="str">
        <f t="shared" ref="F10421:F10435" si="3832">T("965400002")</f>
        <v>965400002</v>
      </c>
      <c r="G10421" t="str">
        <f>T("FIRE")</f>
        <v>FIRE</v>
      </c>
      <c r="H10421" t="str">
        <f>T("PSC 455 BOX 152")</f>
        <v>PSC 455 BOX 152</v>
      </c>
      <c r="I10421" t="str">
        <f t="shared" si="3829"/>
        <v>FPO</v>
      </c>
      <c r="J10421" t="str">
        <f t="shared" si="3825"/>
        <v>AP</v>
      </c>
      <c r="K10421" t="str">
        <f>T("")</f>
        <v/>
      </c>
      <c r="L10421" t="str">
        <f>T("6713395123")</f>
        <v>6713395123</v>
      </c>
    </row>
    <row r="10422" spans="1:12" x14ac:dyDescent="0.35">
      <c r="A10422" t="str">
        <f t="shared" si="3827"/>
        <v>CJRM</v>
      </c>
      <c r="B10422" t="str">
        <f>T("FIRE")</f>
        <v>FIRE</v>
      </c>
      <c r="C10422" t="str">
        <f>T("PSC 455 BOX 152")</f>
        <v>PSC 455 BOX 152</v>
      </c>
      <c r="D10422" t="str">
        <f t="shared" si="3828"/>
        <v>FPO</v>
      </c>
      <c r="E10422" t="str">
        <f t="shared" si="3823"/>
        <v>AP</v>
      </c>
      <c r="F10422" t="str">
        <f t="shared" si="3832"/>
        <v>965400002</v>
      </c>
      <c r="G10422" t="str">
        <f>T("PSC 455 BOX 152")</f>
        <v>PSC 455 BOX 152</v>
      </c>
      <c r="H10422" t="str">
        <f>T("ATTN TABBATHA AUSTIN")</f>
        <v>ATTN TABBATHA AUSTIN</v>
      </c>
      <c r="I10422" t="str">
        <f t="shared" si="3829"/>
        <v>FPO</v>
      </c>
      <c r="J10422" t="str">
        <f t="shared" si="3825"/>
        <v>AP</v>
      </c>
      <c r="K10422" t="str">
        <f>T("000000000000000000")</f>
        <v>000000000000000000</v>
      </c>
      <c r="L10422" t="str">
        <f>T("6713393264")</f>
        <v>6713393264</v>
      </c>
    </row>
    <row r="10423" spans="1:12" x14ac:dyDescent="0.35">
      <c r="A10423" t="str">
        <f t="shared" si="3827"/>
        <v>CJRM</v>
      </c>
      <c r="B10423" t="str">
        <f>T("FIRE")</f>
        <v>FIRE</v>
      </c>
      <c r="C10423" t="str">
        <f>T("PSC 455 BOX 152")</f>
        <v>PSC 455 BOX 152</v>
      </c>
      <c r="D10423" t="str">
        <f t="shared" si="3828"/>
        <v>FPO</v>
      </c>
      <c r="E10423" t="str">
        <f t="shared" si="3823"/>
        <v>AP</v>
      </c>
      <c r="F10423" t="str">
        <f t="shared" si="3832"/>
        <v>965400002</v>
      </c>
      <c r="G10423" t="str">
        <f>T("PSC 455 BOX 167")</f>
        <v>PSC 455 BOX 167</v>
      </c>
      <c r="H10423" t="str">
        <f>T("")</f>
        <v/>
      </c>
      <c r="I10423" t="str">
        <f t="shared" si="3829"/>
        <v>FPO</v>
      </c>
      <c r="J10423" t="str">
        <f t="shared" si="3825"/>
        <v>AP</v>
      </c>
      <c r="K10423" t="str">
        <f>T("000000000000000000")</f>
        <v>000000000000000000</v>
      </c>
      <c r="L10423" t="str">
        <f>T("6713393264")</f>
        <v>6713393264</v>
      </c>
    </row>
    <row r="10424" spans="1:12" x14ac:dyDescent="0.35">
      <c r="A10424" t="str">
        <f t="shared" si="3827"/>
        <v>CJRM</v>
      </c>
      <c r="B10424" t="str">
        <f>T("PSC 455 BOX 152")</f>
        <v>PSC 455 BOX 152</v>
      </c>
      <c r="C10424" t="str">
        <f t="shared" ref="C10424:C10435" si="3833">T("")</f>
        <v/>
      </c>
      <c r="D10424" t="str">
        <f t="shared" si="3828"/>
        <v>FPO</v>
      </c>
      <c r="E10424" t="str">
        <f t="shared" si="3823"/>
        <v>AP</v>
      </c>
      <c r="F10424" t="str">
        <f t="shared" si="3832"/>
        <v>965400002</v>
      </c>
      <c r="G10424" t="str">
        <f>T("PSC 455 BOX 152")</f>
        <v>PSC 455 BOX 152</v>
      </c>
      <c r="H10424" t="str">
        <f>T("")</f>
        <v/>
      </c>
      <c r="I10424" t="str">
        <f t="shared" si="3829"/>
        <v>FPO</v>
      </c>
      <c r="J10424" t="str">
        <f t="shared" si="3825"/>
        <v>AP</v>
      </c>
      <c r="K10424" t="str">
        <f>T("")</f>
        <v/>
      </c>
      <c r="L10424" t="str">
        <f>T("6713392096")</f>
        <v>6713392096</v>
      </c>
    </row>
    <row r="10425" spans="1:12" x14ac:dyDescent="0.35">
      <c r="A10425" t="str">
        <f t="shared" si="3827"/>
        <v>CJRM</v>
      </c>
      <c r="B10425" t="str">
        <f>T("PSC 455 BOX 152")</f>
        <v>PSC 455 BOX 152</v>
      </c>
      <c r="C10425" t="str">
        <f t="shared" si="3833"/>
        <v/>
      </c>
      <c r="D10425" t="str">
        <f t="shared" si="3828"/>
        <v>FPO</v>
      </c>
      <c r="E10425" t="str">
        <f t="shared" si="3823"/>
        <v>AP</v>
      </c>
      <c r="F10425" t="str">
        <f t="shared" si="3832"/>
        <v>965400002</v>
      </c>
      <c r="G10425" t="str">
        <f>T("PSC 455 BOX 211")</f>
        <v>PSC 455 BOX 211</v>
      </c>
      <c r="H10425" t="str">
        <f>T("ATTN AGENCY PROGRAM COORDINATOR")</f>
        <v>ATTN AGENCY PROGRAM COORDINATOR</v>
      </c>
      <c r="I10425" t="str">
        <f t="shared" si="3829"/>
        <v>FPO</v>
      </c>
      <c r="J10425" t="str">
        <f t="shared" si="3825"/>
        <v>AP</v>
      </c>
      <c r="K10425" t="str">
        <f>T("000000000000000000")</f>
        <v>000000000000000000</v>
      </c>
      <c r="L10425" t="str">
        <f>T("6713392287")</f>
        <v>6713392287</v>
      </c>
    </row>
    <row r="10426" spans="1:12" x14ac:dyDescent="0.35">
      <c r="A10426" t="str">
        <f t="shared" si="3827"/>
        <v>CJRM</v>
      </c>
      <c r="B10426" t="str">
        <f>T("PSC 455 BOX 152")</f>
        <v>PSC 455 BOX 152</v>
      </c>
      <c r="C10426" t="str">
        <f t="shared" si="3833"/>
        <v/>
      </c>
      <c r="D10426" t="str">
        <f t="shared" si="3828"/>
        <v>FPO</v>
      </c>
      <c r="E10426" t="str">
        <f t="shared" si="3823"/>
        <v>AP</v>
      </c>
      <c r="F10426" t="str">
        <f t="shared" si="3832"/>
        <v>965400002</v>
      </c>
      <c r="G10426" t="str">
        <f>T("PSC 455 BOX 211")</f>
        <v>PSC 455 BOX 211</v>
      </c>
      <c r="H10426" t="str">
        <f>T("ATTN APC KIMBERLY PEREZ")</f>
        <v>ATTN APC KIMBERLY PEREZ</v>
      </c>
      <c r="I10426" t="str">
        <f t="shared" si="3829"/>
        <v>FPO</v>
      </c>
      <c r="J10426" t="str">
        <f t="shared" si="3825"/>
        <v>AP</v>
      </c>
      <c r="K10426" t="str">
        <f>T("000000000000000000")</f>
        <v>000000000000000000</v>
      </c>
      <c r="L10426" t="str">
        <f>T("6713392287")</f>
        <v>6713392287</v>
      </c>
    </row>
    <row r="10427" spans="1:12" x14ac:dyDescent="0.35">
      <c r="A10427" t="str">
        <f t="shared" si="3827"/>
        <v>CJRM</v>
      </c>
      <c r="B10427" t="str">
        <f>T("PSC 455 BOX 155")</f>
        <v>PSC 455 BOX 155</v>
      </c>
      <c r="C10427" t="str">
        <f t="shared" si="3833"/>
        <v/>
      </c>
      <c r="D10427" t="str">
        <f t="shared" si="3828"/>
        <v>FPO</v>
      </c>
      <c r="E10427" t="str">
        <f t="shared" si="3823"/>
        <v>AP</v>
      </c>
      <c r="F10427" t="str">
        <f t="shared" si="3832"/>
        <v>965400002</v>
      </c>
      <c r="G10427" t="str">
        <f>T("PSC 455 BOX 155")</f>
        <v>PSC 455 BOX 155</v>
      </c>
      <c r="H10427" t="str">
        <f>T("")</f>
        <v/>
      </c>
      <c r="I10427" t="str">
        <f t="shared" si="3829"/>
        <v>FPO</v>
      </c>
      <c r="J10427" t="str">
        <f t="shared" si="3825"/>
        <v>AP</v>
      </c>
      <c r="K10427" t="str">
        <f>T("")</f>
        <v/>
      </c>
      <c r="L10427" t="str">
        <f>T("6713396566")</f>
        <v>6713396566</v>
      </c>
    </row>
    <row r="10428" spans="1:12" x14ac:dyDescent="0.35">
      <c r="A10428" t="str">
        <f t="shared" si="3827"/>
        <v>CJRM</v>
      </c>
      <c r="B10428" t="str">
        <f>T("PSC 455 BOX 155")</f>
        <v>PSC 455 BOX 155</v>
      </c>
      <c r="C10428" t="str">
        <f t="shared" si="3833"/>
        <v/>
      </c>
      <c r="D10428" t="str">
        <f t="shared" si="3828"/>
        <v>FPO</v>
      </c>
      <c r="E10428" t="str">
        <f t="shared" si="3823"/>
        <v>AP</v>
      </c>
      <c r="F10428" t="str">
        <f t="shared" si="3832"/>
        <v>965400002</v>
      </c>
      <c r="G10428" t="str">
        <f>T("PSC 455 BOX 211")</f>
        <v>PSC 455 BOX 211</v>
      </c>
      <c r="H10428" t="str">
        <f>T("ATTN AGENCY PROGRAM COORDINATOR")</f>
        <v>ATTN AGENCY PROGRAM COORDINATOR</v>
      </c>
      <c r="I10428" t="str">
        <f t="shared" si="3829"/>
        <v>FPO</v>
      </c>
      <c r="J10428" t="str">
        <f t="shared" si="3825"/>
        <v>AP</v>
      </c>
      <c r="K10428" t="str">
        <f>T("000000000000000000")</f>
        <v>000000000000000000</v>
      </c>
      <c r="L10428" t="str">
        <f>T("6713397143")</f>
        <v>6713397143</v>
      </c>
    </row>
    <row r="10429" spans="1:12" x14ac:dyDescent="0.35">
      <c r="A10429" t="str">
        <f t="shared" si="3827"/>
        <v>CJRM</v>
      </c>
      <c r="B10429" t="str">
        <f>T("PSC 455 BOX 157")</f>
        <v>PSC 455 BOX 157</v>
      </c>
      <c r="C10429" t="str">
        <f t="shared" si="3833"/>
        <v/>
      </c>
      <c r="D10429" t="str">
        <f t="shared" si="3828"/>
        <v>FPO</v>
      </c>
      <c r="E10429" t="str">
        <f t="shared" si="3823"/>
        <v>AP</v>
      </c>
      <c r="F10429" t="str">
        <f t="shared" si="3832"/>
        <v>965400002</v>
      </c>
      <c r="G10429" t="str">
        <f>T("PSC 455 BOX 152")</f>
        <v>PSC 455 BOX 152</v>
      </c>
      <c r="H10429" t="str">
        <f>T("ATTN TABBATHA AUSTIN")</f>
        <v>ATTN TABBATHA AUSTIN</v>
      </c>
      <c r="I10429" t="str">
        <f t="shared" si="3829"/>
        <v>FPO</v>
      </c>
      <c r="J10429" t="str">
        <f t="shared" si="3825"/>
        <v>AP</v>
      </c>
      <c r="K10429" t="str">
        <f>T("000000000000000000")</f>
        <v>000000000000000000</v>
      </c>
      <c r="L10429" t="str">
        <f>T("6713398631")</f>
        <v>6713398631</v>
      </c>
    </row>
    <row r="10430" spans="1:12" x14ac:dyDescent="0.35">
      <c r="A10430" t="str">
        <f t="shared" si="3827"/>
        <v>CJRM</v>
      </c>
      <c r="B10430" t="str">
        <f>T("PSC 455 BOX 157")</f>
        <v>PSC 455 BOX 157</v>
      </c>
      <c r="C10430" t="str">
        <f t="shared" si="3833"/>
        <v/>
      </c>
      <c r="D10430" t="str">
        <f t="shared" si="3828"/>
        <v>FPO</v>
      </c>
      <c r="E10430" t="str">
        <f t="shared" si="3823"/>
        <v>AP</v>
      </c>
      <c r="F10430" t="str">
        <f t="shared" si="3832"/>
        <v>965400002</v>
      </c>
      <c r="G10430" t="str">
        <f>T("PSC 455 BOX 157")</f>
        <v>PSC 455 BOX 157</v>
      </c>
      <c r="H10430" t="str">
        <f>T("")</f>
        <v/>
      </c>
      <c r="I10430" t="str">
        <f t="shared" si="3829"/>
        <v>FPO</v>
      </c>
      <c r="J10430" t="str">
        <f t="shared" si="3825"/>
        <v>AP</v>
      </c>
      <c r="K10430" t="str">
        <f>T("")</f>
        <v/>
      </c>
      <c r="L10430" t="str">
        <f>T("6713398627")</f>
        <v>6713398627</v>
      </c>
    </row>
    <row r="10431" spans="1:12" x14ac:dyDescent="0.35">
      <c r="A10431" t="str">
        <f t="shared" si="3827"/>
        <v>CJRM</v>
      </c>
      <c r="B10431" t="str">
        <f>T("PSC 455 BOX 157")</f>
        <v>PSC 455 BOX 157</v>
      </c>
      <c r="C10431" t="str">
        <f t="shared" si="3833"/>
        <v/>
      </c>
      <c r="D10431" t="str">
        <f t="shared" si="3828"/>
        <v>FPO</v>
      </c>
      <c r="E10431" t="str">
        <f t="shared" si="3823"/>
        <v>AP</v>
      </c>
      <c r="F10431" t="str">
        <f t="shared" si="3832"/>
        <v>965400002</v>
      </c>
      <c r="G10431" t="str">
        <f>T("PSC 455 BOX 211")</f>
        <v>PSC 455 BOX 211</v>
      </c>
      <c r="H10431" t="str">
        <f>T("ATTN AGENCY PROGRAM COORDINATOR")</f>
        <v>ATTN AGENCY PROGRAM COORDINATOR</v>
      </c>
      <c r="I10431" t="str">
        <f t="shared" si="3829"/>
        <v>FPO</v>
      </c>
      <c r="J10431" t="str">
        <f t="shared" si="3825"/>
        <v>AP</v>
      </c>
      <c r="K10431" t="str">
        <f>T("000000000000000000")</f>
        <v>000000000000000000</v>
      </c>
      <c r="L10431" t="str">
        <f>T("6713332087")</f>
        <v>6713332087</v>
      </c>
    </row>
    <row r="10432" spans="1:12" x14ac:dyDescent="0.35">
      <c r="A10432" t="str">
        <f t="shared" si="3827"/>
        <v>CJRM</v>
      </c>
      <c r="B10432" t="str">
        <f>T("PSC 455 BOX 159")</f>
        <v>PSC 455 BOX 159</v>
      </c>
      <c r="C10432" t="str">
        <f t="shared" si="3833"/>
        <v/>
      </c>
      <c r="D10432" t="str">
        <f t="shared" si="3828"/>
        <v>FPO</v>
      </c>
      <c r="E10432" t="str">
        <f t="shared" si="3823"/>
        <v>AP</v>
      </c>
      <c r="F10432" t="str">
        <f t="shared" si="3832"/>
        <v>965400002</v>
      </c>
      <c r="G10432" t="str">
        <f>T("PSC 455 BOX 159")</f>
        <v>PSC 455 BOX 159</v>
      </c>
      <c r="H10432" t="str">
        <f>T("")</f>
        <v/>
      </c>
      <c r="I10432" t="str">
        <f t="shared" si="3829"/>
        <v>FPO</v>
      </c>
      <c r="J10432" t="str">
        <f t="shared" si="3825"/>
        <v>AP</v>
      </c>
      <c r="K10432" t="str">
        <f>T("")</f>
        <v/>
      </c>
      <c r="L10432" t="str">
        <f>T("6713392126")</f>
        <v>6713392126</v>
      </c>
    </row>
    <row r="10433" spans="1:12" x14ac:dyDescent="0.35">
      <c r="A10433" t="str">
        <f t="shared" si="3827"/>
        <v>CJRM</v>
      </c>
      <c r="B10433" t="str">
        <f>T("PSC 455 BOX 159")</f>
        <v>PSC 455 BOX 159</v>
      </c>
      <c r="C10433" t="str">
        <f t="shared" si="3833"/>
        <v/>
      </c>
      <c r="D10433" t="str">
        <f t="shared" si="3828"/>
        <v>FPO</v>
      </c>
      <c r="E10433" t="str">
        <f t="shared" si="3823"/>
        <v>AP</v>
      </c>
      <c r="F10433" t="str">
        <f t="shared" si="3832"/>
        <v>965400002</v>
      </c>
      <c r="G10433" t="str">
        <f>T("PSC 455 BOX 211")</f>
        <v>PSC 455 BOX 211</v>
      </c>
      <c r="H10433" t="str">
        <f>T("ATTN APC KIMBERLY PEREZ")</f>
        <v>ATTN APC KIMBERLY PEREZ</v>
      </c>
      <c r="I10433" t="str">
        <f t="shared" si="3829"/>
        <v>FPO</v>
      </c>
      <c r="J10433" t="str">
        <f t="shared" si="3825"/>
        <v>AP</v>
      </c>
      <c r="K10433" t="str">
        <f>T("000000000000000000")</f>
        <v>000000000000000000</v>
      </c>
      <c r="L10433" t="str">
        <f>T("6713392126")</f>
        <v>6713392126</v>
      </c>
    </row>
    <row r="10434" spans="1:12" x14ac:dyDescent="0.35">
      <c r="A10434" t="str">
        <f t="shared" si="3827"/>
        <v>CJRM</v>
      </c>
      <c r="B10434" t="str">
        <f>T("PSC 455 BOX 173")</f>
        <v>PSC 455 BOX 173</v>
      </c>
      <c r="C10434" t="str">
        <f t="shared" si="3833"/>
        <v/>
      </c>
      <c r="D10434" t="str">
        <f t="shared" si="3828"/>
        <v>FPO</v>
      </c>
      <c r="E10434" t="str">
        <f t="shared" si="3823"/>
        <v>AP</v>
      </c>
      <c r="F10434" t="str">
        <f t="shared" si="3832"/>
        <v>965400002</v>
      </c>
      <c r="G10434" t="str">
        <f>T("PSC 455 BOX 173")</f>
        <v>PSC 455 BOX 173</v>
      </c>
      <c r="H10434" t="str">
        <f>T("")</f>
        <v/>
      </c>
      <c r="I10434" t="str">
        <f t="shared" si="3829"/>
        <v>FPO</v>
      </c>
      <c r="J10434" t="str">
        <f t="shared" si="3825"/>
        <v>AP</v>
      </c>
      <c r="K10434" t="str">
        <f>T("")</f>
        <v/>
      </c>
      <c r="L10434" t="str">
        <f>T("6713391180")</f>
        <v>6713391180</v>
      </c>
    </row>
    <row r="10435" spans="1:12" x14ac:dyDescent="0.35">
      <c r="A10435" t="str">
        <f t="shared" si="3827"/>
        <v>CJRM</v>
      </c>
      <c r="B10435" t="str">
        <f>T("PSC 455 BOX 173")</f>
        <v>PSC 455 BOX 173</v>
      </c>
      <c r="C10435" t="str">
        <f t="shared" si="3833"/>
        <v/>
      </c>
      <c r="D10435" t="str">
        <f t="shared" si="3828"/>
        <v>FPO</v>
      </c>
      <c r="E10435" t="str">
        <f t="shared" si="3823"/>
        <v>AP</v>
      </c>
      <c r="F10435" t="str">
        <f t="shared" si="3832"/>
        <v>965400002</v>
      </c>
      <c r="G10435" t="str">
        <f>T("PSC 455 BOX 211")</f>
        <v>PSC 455 BOX 211</v>
      </c>
      <c r="H10435" t="str">
        <f>T("ATTN KIMBERLY PEREZ")</f>
        <v>ATTN KIMBERLY PEREZ</v>
      </c>
      <c r="I10435" t="str">
        <f t="shared" si="3829"/>
        <v>FPO</v>
      </c>
      <c r="J10435" t="str">
        <f t="shared" si="3825"/>
        <v>AP</v>
      </c>
      <c r="K10435" t="str">
        <f>T("000000000000000000")</f>
        <v>000000000000000000</v>
      </c>
      <c r="L10435" t="str">
        <f>T("6713396621")</f>
        <v>6713396621</v>
      </c>
    </row>
    <row r="10436" spans="1:12" x14ac:dyDescent="0.35">
      <c r="A10436" t="str">
        <f>T("PMRF")</f>
        <v>PMRF</v>
      </c>
      <c r="B10436" t="str">
        <f>T("PO BOX 128")</f>
        <v>PO BOX 128</v>
      </c>
      <c r="C10436" t="str">
        <f>T("SUPPLY BOS")</f>
        <v>SUPPLY BOS</v>
      </c>
      <c r="D10436" t="str">
        <f>T("KEKAHA")</f>
        <v>KEKAHA</v>
      </c>
      <c r="E10436" t="str">
        <f t="shared" ref="E10436:E10467" si="3834">T("HI")</f>
        <v>HI</v>
      </c>
      <c r="F10436" t="str">
        <f>T("967520128")</f>
        <v>967520128</v>
      </c>
      <c r="G10436" t="str">
        <f>T("PMRF")</f>
        <v>PMRF</v>
      </c>
      <c r="H10436" t="str">
        <f>T("PO BOX 128")</f>
        <v>PO BOX 128</v>
      </c>
      <c r="I10436" t="str">
        <f>T("KEKAHA")</f>
        <v>KEKAHA</v>
      </c>
      <c r="J10436" t="str">
        <f t="shared" ref="J10436:J10467" si="3835">T("HI")</f>
        <v>HI</v>
      </c>
      <c r="K10436" t="str">
        <f>T("8083354817")</f>
        <v>8083354817</v>
      </c>
      <c r="L10436" t="str">
        <f>T("8083354176")</f>
        <v>8083354176</v>
      </c>
    </row>
    <row r="10437" spans="1:12" x14ac:dyDescent="0.35">
      <c r="A10437" t="str">
        <f>T("PMRF")</f>
        <v>PMRF</v>
      </c>
      <c r="B10437" t="str">
        <f>T("PO BOX 128")</f>
        <v>PO BOX 128</v>
      </c>
      <c r="C10437" t="str">
        <f>T("SUPPLY BOS")</f>
        <v>SUPPLY BOS</v>
      </c>
      <c r="D10437" t="str">
        <f>T("KEKAHA")</f>
        <v>KEKAHA</v>
      </c>
      <c r="E10437" t="str">
        <f t="shared" si="3834"/>
        <v>HI</v>
      </c>
      <c r="F10437" t="str">
        <f>T("967520128")</f>
        <v>967520128</v>
      </c>
      <c r="G10437" t="str">
        <f>T("PO BOX 128")</f>
        <v>PO BOX 128</v>
      </c>
      <c r="H10437" t="str">
        <f>T("SUPPLY BOS")</f>
        <v>SUPPLY BOS</v>
      </c>
      <c r="I10437" t="str">
        <f>T("KEKAHA")</f>
        <v>KEKAHA</v>
      </c>
      <c r="J10437" t="str">
        <f t="shared" si="3835"/>
        <v>HI</v>
      </c>
      <c r="K10437" t="str">
        <f>T("8083354304")</f>
        <v>8083354304</v>
      </c>
      <c r="L10437" t="str">
        <f>T("8083354198")</f>
        <v>8083354198</v>
      </c>
    </row>
    <row r="10438" spans="1:12" x14ac:dyDescent="0.35">
      <c r="A10438" t="str">
        <f>T("PMRF")</f>
        <v>PMRF</v>
      </c>
      <c r="B10438" t="str">
        <f>T("PO BOX 128")</f>
        <v>PO BOX 128</v>
      </c>
      <c r="C10438" t="str">
        <f>T("SUPPLY BOS")</f>
        <v>SUPPLY BOS</v>
      </c>
      <c r="D10438" t="str">
        <f>T("KEKAHA")</f>
        <v>KEKAHA</v>
      </c>
      <c r="E10438" t="str">
        <f t="shared" si="3834"/>
        <v>HI</v>
      </c>
      <c r="F10438" t="str">
        <f>T("967520128")</f>
        <v>967520128</v>
      </c>
      <c r="G10438" t="str">
        <f>T("SUPPLY BOS")</f>
        <v>SUPPLY BOS</v>
      </c>
      <c r="H10438" t="str">
        <f>T("P O BOX 128")</f>
        <v>P O BOX 128</v>
      </c>
      <c r="I10438" t="str">
        <f>T("KEKAHA")</f>
        <v>KEKAHA</v>
      </c>
      <c r="J10438" t="str">
        <f t="shared" si="3835"/>
        <v>HI</v>
      </c>
      <c r="K10438" t="str">
        <f>T("8083354304")</f>
        <v>8083354304</v>
      </c>
      <c r="L10438" t="str">
        <f>T("8083354949")</f>
        <v>8083354949</v>
      </c>
    </row>
    <row r="10439" spans="1:12" x14ac:dyDescent="0.35">
      <c r="A10439" t="str">
        <f>T("PMRF")</f>
        <v>PMRF</v>
      </c>
      <c r="B10439" t="str">
        <f>T("PO BOX 128")</f>
        <v>PO BOX 128</v>
      </c>
      <c r="C10439" t="str">
        <f>T("SUPPLY BOS")</f>
        <v>SUPPLY BOS</v>
      </c>
      <c r="D10439" t="str">
        <f>T("KEKAHA")</f>
        <v>KEKAHA</v>
      </c>
      <c r="E10439" t="str">
        <f t="shared" si="3834"/>
        <v>HI</v>
      </c>
      <c r="F10439" t="str">
        <f>T("967520128")</f>
        <v>967520128</v>
      </c>
      <c r="G10439" t="str">
        <f>T("SUPPLY BOS")</f>
        <v>SUPPLY BOS</v>
      </c>
      <c r="H10439" t="str">
        <f>T("PO BOX 128")</f>
        <v>PO BOX 128</v>
      </c>
      <c r="I10439" t="str">
        <f>T("KEKAHA")</f>
        <v>KEKAHA</v>
      </c>
      <c r="J10439" t="str">
        <f t="shared" si="3835"/>
        <v>HI</v>
      </c>
      <c r="K10439" t="str">
        <f>T("8083354304")</f>
        <v>8083354304</v>
      </c>
      <c r="L10439" t="str">
        <f>T("8083354949")</f>
        <v>8083354949</v>
      </c>
    </row>
    <row r="10440" spans="1:12" x14ac:dyDescent="0.35">
      <c r="A10440" t="str">
        <f t="shared" ref="A10440:A10471" si="3836">T("COMNAVREG HAWAII")</f>
        <v>COMNAVREG HAWAII</v>
      </c>
      <c r="B10440" t="str">
        <f>T("2461 EISENHOWER")</f>
        <v>2461 EISENHOWER</v>
      </c>
      <c r="C10440" t="str">
        <f>T("850 TICONDEROGA ST SUITE 110")</f>
        <v>850 TICONDEROGA ST SUITE 110</v>
      </c>
      <c r="D10440" t="str">
        <f>T("PEARL HARBOR")</f>
        <v>PEARL HARBOR</v>
      </c>
      <c r="E10440" t="str">
        <f t="shared" si="3834"/>
        <v>HI</v>
      </c>
      <c r="F10440" t="str">
        <f>T("968605101")</f>
        <v>968605101</v>
      </c>
      <c r="G10440" t="str">
        <f>T("2461 EISENHOWER")</f>
        <v>2461 EISENHOWER</v>
      </c>
      <c r="H10440" t="str">
        <f>T("850 TICONDEROGA ST SUITE 110")</f>
        <v>850 TICONDEROGA ST SUITE 110</v>
      </c>
      <c r="I10440" t="str">
        <f>T("PEARL HARBOR")</f>
        <v>PEARL HARBOR</v>
      </c>
      <c r="J10440" t="str">
        <f t="shared" si="3835"/>
        <v>HI</v>
      </c>
      <c r="K10440" t="str">
        <f>T("000000000000000000")</f>
        <v>000000000000000000</v>
      </c>
      <c r="L10440" t="str">
        <f>T("8084730384")</f>
        <v>8084730384</v>
      </c>
    </row>
    <row r="10441" spans="1:12" x14ac:dyDescent="0.35">
      <c r="A10441" t="str">
        <f t="shared" si="3836"/>
        <v>COMNAVREG HAWAII</v>
      </c>
      <c r="B10441" t="str">
        <f>T("2461 EISENHOWER")</f>
        <v>2461 EISENHOWER</v>
      </c>
      <c r="C10441" t="str">
        <f>T("850 TICONDEROGA ST SUITE 110")</f>
        <v>850 TICONDEROGA ST SUITE 110</v>
      </c>
      <c r="D10441" t="str">
        <f>T("PEARL HARBOR")</f>
        <v>PEARL HARBOR</v>
      </c>
      <c r="E10441" t="str">
        <f t="shared" si="3834"/>
        <v>HI</v>
      </c>
      <c r="F10441" t="str">
        <f>T("968605101")</f>
        <v>968605101</v>
      </c>
      <c r="G10441" t="str">
        <f>T("850 TICONDEROGA")</f>
        <v>850 TICONDEROGA</v>
      </c>
      <c r="H10441" t="str">
        <f>T("SUITE 110")</f>
        <v>SUITE 110</v>
      </c>
      <c r="I10441" t="str">
        <f>T("PEARL HARBOR")</f>
        <v>PEARL HARBOR</v>
      </c>
      <c r="J10441" t="str">
        <f t="shared" si="3835"/>
        <v>HI</v>
      </c>
      <c r="K10441" t="str">
        <f>T("000000000000000000")</f>
        <v>000000000000000000</v>
      </c>
      <c r="L10441" t="str">
        <f>T("8084730369")</f>
        <v>8084730369</v>
      </c>
    </row>
    <row r="10442" spans="1:12" x14ac:dyDescent="0.35">
      <c r="A10442" t="str">
        <f t="shared" si="3836"/>
        <v>COMNAVREG HAWAII</v>
      </c>
      <c r="B10442" t="str">
        <f>T("4827 BOUGAINVILLE DR")</f>
        <v>4827 BOUGAINVILLE DR</v>
      </c>
      <c r="C10442" t="str">
        <f>T("RM 136")</f>
        <v>RM 136</v>
      </c>
      <c r="D10442" t="str">
        <f>T("PEARL HARBOR")</f>
        <v>PEARL HARBOR</v>
      </c>
      <c r="E10442" t="str">
        <f t="shared" si="3834"/>
        <v>HI</v>
      </c>
      <c r="F10442" t="str">
        <f>T("968183174")</f>
        <v>968183174</v>
      </c>
      <c r="G10442" t="str">
        <f>T("4827 BOUGAINVILLE DR")</f>
        <v>4827 BOUGAINVILLE DR</v>
      </c>
      <c r="H10442" t="str">
        <f>T("RM 136")</f>
        <v>RM 136</v>
      </c>
      <c r="I10442" t="str">
        <f>T("PEARL HARBOR")</f>
        <v>PEARL HARBOR</v>
      </c>
      <c r="J10442" t="str">
        <f t="shared" si="3835"/>
        <v>HI</v>
      </c>
      <c r="K10442" t="str">
        <f>T("808-471-1703")</f>
        <v>808-471-1703</v>
      </c>
      <c r="L10442" t="str">
        <f>T("8084711705")</f>
        <v>8084711705</v>
      </c>
    </row>
    <row r="10443" spans="1:12" x14ac:dyDescent="0.35">
      <c r="A10443" t="str">
        <f t="shared" si="3836"/>
        <v>COMNAVREG HAWAII</v>
      </c>
      <c r="B10443" t="str">
        <f>T("4827 BOUGAINVILLE DR")</f>
        <v>4827 BOUGAINVILLE DR</v>
      </c>
      <c r="C10443" t="str">
        <f>T("RM 136")</f>
        <v>RM 136</v>
      </c>
      <c r="D10443" t="str">
        <f>T("PEARL HARBOR")</f>
        <v>PEARL HARBOR</v>
      </c>
      <c r="E10443" t="str">
        <f t="shared" si="3834"/>
        <v>HI</v>
      </c>
      <c r="F10443" t="str">
        <f>T("968183174")</f>
        <v>968183174</v>
      </c>
      <c r="G10443" t="str">
        <f>T("850 TICONDEROGA STREET")</f>
        <v>850 TICONDEROGA STREET</v>
      </c>
      <c r="H10443" t="str">
        <f>T("SUITE 110 HRO")</f>
        <v>SUITE 110 HRO</v>
      </c>
      <c r="I10443" t="str">
        <f>T("PEARL HARBOR")</f>
        <v>PEARL HARBOR</v>
      </c>
      <c r="J10443" t="str">
        <f t="shared" si="3835"/>
        <v>HI</v>
      </c>
      <c r="K10443" t="str">
        <f>T("000000000000000000")</f>
        <v>000000000000000000</v>
      </c>
      <c r="L10443" t="str">
        <f>T("8084714420")</f>
        <v>8084714420</v>
      </c>
    </row>
    <row r="10444" spans="1:12" x14ac:dyDescent="0.35">
      <c r="A10444" t="str">
        <f t="shared" si="3836"/>
        <v>COMNAVREG HAWAII</v>
      </c>
      <c r="B10444" t="str">
        <f>T("4827 BOUGAINVILLE DR")</f>
        <v>4827 BOUGAINVILLE DR</v>
      </c>
      <c r="C10444" t="str">
        <f>T("RM 136")</f>
        <v>RM 136</v>
      </c>
      <c r="D10444" t="str">
        <f>T("PEARL HARBOR")</f>
        <v>PEARL HARBOR</v>
      </c>
      <c r="E10444" t="str">
        <f t="shared" si="3834"/>
        <v>HI</v>
      </c>
      <c r="F10444" t="str">
        <f>T("968183174")</f>
        <v>968183174</v>
      </c>
      <c r="G10444" t="str">
        <f>T("850 TICONDEROGA STREET")</f>
        <v>850 TICONDEROGA STREET</v>
      </c>
      <c r="H10444" t="str">
        <f>T("SUITE 110 HRO")</f>
        <v>SUITE 110 HRO</v>
      </c>
      <c r="I10444" t="str">
        <f>T("PEARL HARBOR")</f>
        <v>PEARL HARBOR</v>
      </c>
      <c r="J10444" t="str">
        <f t="shared" si="3835"/>
        <v>HI</v>
      </c>
      <c r="K10444" t="str">
        <f>T("000000000000000000")</f>
        <v>000000000000000000</v>
      </c>
      <c r="L10444" t="str">
        <f>T("8084741930")</f>
        <v>8084741930</v>
      </c>
    </row>
    <row r="10445" spans="1:12" x14ac:dyDescent="0.35">
      <c r="A10445" t="str">
        <f t="shared" si="3836"/>
        <v>COMNAVREG HAWAII</v>
      </c>
      <c r="B10445" t="str">
        <f>T("4827 BOUGAINVILLE DRIVE")</f>
        <v>4827 BOUGAINVILLE DRIVE</v>
      </c>
      <c r="C10445" t="str">
        <f>T("")</f>
        <v/>
      </c>
      <c r="D10445" t="str">
        <f>T("HONOLULU")</f>
        <v>HONOLULU</v>
      </c>
      <c r="E10445" t="str">
        <f t="shared" si="3834"/>
        <v>HI</v>
      </c>
      <c r="F10445" t="str">
        <f>T("968183174")</f>
        <v>968183174</v>
      </c>
      <c r="G10445" t="str">
        <f>T("4827 BOUGAINVILLE DRIVE")</f>
        <v>4827 BOUGAINVILLE DRIVE</v>
      </c>
      <c r="H10445" t="str">
        <f>T("")</f>
        <v/>
      </c>
      <c r="I10445" t="str">
        <f>T("HONOLULU")</f>
        <v>HONOLULU</v>
      </c>
      <c r="J10445" t="str">
        <f t="shared" si="3835"/>
        <v>HI</v>
      </c>
      <c r="K10445" t="str">
        <f>T("")</f>
        <v/>
      </c>
      <c r="L10445" t="str">
        <f>T("8084740044")</f>
        <v>8084740044</v>
      </c>
    </row>
    <row r="10446" spans="1:12" x14ac:dyDescent="0.35">
      <c r="A10446" t="str">
        <f t="shared" si="3836"/>
        <v>COMNAVREG HAWAII</v>
      </c>
      <c r="B10446" t="str">
        <f>T("4827 BOUGAINVILLE DRIVE")</f>
        <v>4827 BOUGAINVILLE DRIVE</v>
      </c>
      <c r="C10446" t="str">
        <f>T("")</f>
        <v/>
      </c>
      <c r="D10446" t="str">
        <f>T("HONOLULU")</f>
        <v>HONOLULU</v>
      </c>
      <c r="E10446" t="str">
        <f t="shared" si="3834"/>
        <v>HI</v>
      </c>
      <c r="F10446" t="str">
        <f>T("968183174")</f>
        <v>968183174</v>
      </c>
      <c r="G10446" t="str">
        <f>T("4827 BOUGAINVILLE DRIVE")</f>
        <v>4827 BOUGAINVILLE DRIVE</v>
      </c>
      <c r="H10446" t="str">
        <f>T("")</f>
        <v/>
      </c>
      <c r="I10446" t="str">
        <f>T("HONOLULU")</f>
        <v>HONOLULU</v>
      </c>
      <c r="J10446" t="str">
        <f t="shared" si="3835"/>
        <v>HI</v>
      </c>
      <c r="K10446" t="str">
        <f>T("000000000000000000")</f>
        <v>000000000000000000</v>
      </c>
      <c r="L10446" t="str">
        <f>T("8084740098")</f>
        <v>8084740098</v>
      </c>
    </row>
    <row r="10447" spans="1:12" x14ac:dyDescent="0.35">
      <c r="A10447" t="str">
        <f t="shared" si="3836"/>
        <v>COMNAVREG HAWAII</v>
      </c>
      <c r="B10447" t="str">
        <f t="shared" ref="B10447:B10466" si="3837">T("850 TICONDEROGA STREET")</f>
        <v>850 TICONDEROGA STREET</v>
      </c>
      <c r="C10447" t="str">
        <f>T("")</f>
        <v/>
      </c>
      <c r="D10447" t="str">
        <f>T("JBPHH")</f>
        <v>JBPHH</v>
      </c>
      <c r="E10447" t="str">
        <f t="shared" si="3834"/>
        <v>HI</v>
      </c>
      <c r="F10447" t="str">
        <f>T("968605102")</f>
        <v>968605102</v>
      </c>
      <c r="G10447" t="str">
        <f>T("850 TICONDEROGA ST")</f>
        <v>850 TICONDEROGA ST</v>
      </c>
      <c r="H10447" t="str">
        <f>T("CODE N465")</f>
        <v>CODE N465</v>
      </c>
      <c r="I10447" t="str">
        <f>T("PEARL HARBOR")</f>
        <v>PEARL HARBOR</v>
      </c>
      <c r="J10447" t="str">
        <f t="shared" si="3835"/>
        <v>HI</v>
      </c>
      <c r="K10447" t="str">
        <f>T("8084734155")</f>
        <v>8084734155</v>
      </c>
      <c r="L10447" t="str">
        <f>T("8084734137")</f>
        <v>8084734137</v>
      </c>
    </row>
    <row r="10448" spans="1:12" x14ac:dyDescent="0.35">
      <c r="A10448" t="str">
        <f t="shared" si="3836"/>
        <v>COMNAVREG HAWAII</v>
      </c>
      <c r="B10448" t="str">
        <f t="shared" si="3837"/>
        <v>850 TICONDEROGA STREET</v>
      </c>
      <c r="C10448" t="str">
        <f>T("")</f>
        <v/>
      </c>
      <c r="D10448" t="str">
        <f>T("JBPHH")</f>
        <v>JBPHH</v>
      </c>
      <c r="E10448" t="str">
        <f t="shared" si="3834"/>
        <v>HI</v>
      </c>
      <c r="F10448" t="str">
        <f>T("968605102")</f>
        <v>968605102</v>
      </c>
      <c r="G10448" t="str">
        <f>T("850 TICONDEROGA ST")</f>
        <v>850 TICONDEROGA ST</v>
      </c>
      <c r="H10448" t="str">
        <f>T("SUITE 110")</f>
        <v>SUITE 110</v>
      </c>
      <c r="I10448" t="str">
        <f>T("PEARL HARBOR")</f>
        <v>PEARL HARBOR</v>
      </c>
      <c r="J10448" t="str">
        <f t="shared" si="3835"/>
        <v>HI</v>
      </c>
      <c r="K10448" t="str">
        <f>T("000000000000000000")</f>
        <v>000000000000000000</v>
      </c>
      <c r="L10448" t="str">
        <f>T("8084734442")</f>
        <v>8084734442</v>
      </c>
    </row>
    <row r="10449" spans="1:12" x14ac:dyDescent="0.35">
      <c r="A10449" t="str">
        <f t="shared" si="3836"/>
        <v>COMNAVREG HAWAII</v>
      </c>
      <c r="B10449" t="str">
        <f t="shared" si="3837"/>
        <v>850 TICONDEROGA STREET</v>
      </c>
      <c r="C10449" t="str">
        <f>T("")</f>
        <v/>
      </c>
      <c r="D10449" t="str">
        <f>T("JBPHH")</f>
        <v>JBPHH</v>
      </c>
      <c r="E10449" t="str">
        <f t="shared" si="3834"/>
        <v>HI</v>
      </c>
      <c r="F10449" t="str">
        <f>T("968605102")</f>
        <v>968605102</v>
      </c>
      <c r="G10449" t="str">
        <f>T("850 TICONDEROGA STREET")</f>
        <v>850 TICONDEROGA STREET</v>
      </c>
      <c r="H10449" t="str">
        <f>T("")</f>
        <v/>
      </c>
      <c r="I10449" t="str">
        <f>T("JBPHH")</f>
        <v>JBPHH</v>
      </c>
      <c r="J10449" t="str">
        <f t="shared" si="3835"/>
        <v>HI</v>
      </c>
      <c r="K10449" t="str">
        <f>T("8084732619")</f>
        <v>8084732619</v>
      </c>
      <c r="L10449" t="str">
        <f>T("8084734141")</f>
        <v>8084734141</v>
      </c>
    </row>
    <row r="10450" spans="1:12" x14ac:dyDescent="0.35">
      <c r="A10450" t="str">
        <f t="shared" si="3836"/>
        <v>COMNAVREG HAWAII</v>
      </c>
      <c r="B10450" t="str">
        <f t="shared" si="3837"/>
        <v>850 TICONDEROGA STREET</v>
      </c>
      <c r="C10450" t="str">
        <f>T("ATTN N8")</f>
        <v>ATTN N8</v>
      </c>
      <c r="D10450" t="str">
        <f>T("HONOLULU")</f>
        <v>HONOLULU</v>
      </c>
      <c r="E10450" t="str">
        <f t="shared" si="3834"/>
        <v>HI</v>
      </c>
      <c r="F10450" t="str">
        <f>T("968605117")</f>
        <v>968605117</v>
      </c>
      <c r="G10450" t="str">
        <f>T("850 TICONDEROGA ST STE 110")</f>
        <v>850 TICONDEROGA ST STE 110</v>
      </c>
      <c r="H10450" t="str">
        <f>T("")</f>
        <v/>
      </c>
      <c r="I10450" t="str">
        <f>T("PEARL HARBOR")</f>
        <v>PEARL HARBOR</v>
      </c>
      <c r="J10450" t="str">
        <f t="shared" si="3835"/>
        <v>HI</v>
      </c>
      <c r="K10450" t="str">
        <f>T("000000000000000000")</f>
        <v>000000000000000000</v>
      </c>
      <c r="L10450" t="str">
        <f>T("8084731434")</f>
        <v>8084731434</v>
      </c>
    </row>
    <row r="10451" spans="1:12" x14ac:dyDescent="0.35">
      <c r="A10451" t="str">
        <f t="shared" si="3836"/>
        <v>COMNAVREG HAWAII</v>
      </c>
      <c r="B10451" t="str">
        <f t="shared" si="3837"/>
        <v>850 TICONDEROGA STREET</v>
      </c>
      <c r="C10451" t="str">
        <f>T("ATTN N8")</f>
        <v>ATTN N8</v>
      </c>
      <c r="D10451" t="str">
        <f>T("HONOLULU")</f>
        <v>HONOLULU</v>
      </c>
      <c r="E10451" t="str">
        <f t="shared" si="3834"/>
        <v>HI</v>
      </c>
      <c r="F10451" t="str">
        <f>T("968605117")</f>
        <v>968605117</v>
      </c>
      <c r="G10451" t="str">
        <f>T("850 TICONDEROGA STREET")</f>
        <v>850 TICONDEROGA STREET</v>
      </c>
      <c r="H10451" t="str">
        <f>T("ATTN N8")</f>
        <v>ATTN N8</v>
      </c>
      <c r="I10451" t="str">
        <f>T("HONOLULU")</f>
        <v>HONOLULU</v>
      </c>
      <c r="J10451" t="str">
        <f t="shared" si="3835"/>
        <v>HI</v>
      </c>
      <c r="K10451" t="str">
        <f>T("")</f>
        <v/>
      </c>
      <c r="L10451" t="str">
        <f>T("8082571919")</f>
        <v>8082571919</v>
      </c>
    </row>
    <row r="10452" spans="1:12" x14ac:dyDescent="0.35">
      <c r="A10452" t="str">
        <f t="shared" si="3836"/>
        <v>COMNAVREG HAWAII</v>
      </c>
      <c r="B10452" t="str">
        <f t="shared" si="3837"/>
        <v>850 TICONDEROGA STREET</v>
      </c>
      <c r="C10452" t="str">
        <f>T("ATTN N8")</f>
        <v>ATTN N8</v>
      </c>
      <c r="D10452" t="str">
        <f>T("HONOLULU")</f>
        <v>HONOLULU</v>
      </c>
      <c r="E10452" t="str">
        <f t="shared" si="3834"/>
        <v>HI</v>
      </c>
      <c r="F10452" t="str">
        <f>T("968605117")</f>
        <v>968605117</v>
      </c>
      <c r="G10452" t="str">
        <f>T("850 TICONDEROGA STREET")</f>
        <v>850 TICONDEROGA STREET</v>
      </c>
      <c r="H10452" t="str">
        <f>T("SUITE 100")</f>
        <v>SUITE 100</v>
      </c>
      <c r="I10452" t="str">
        <f>T("PEARL HARBOR")</f>
        <v>PEARL HARBOR</v>
      </c>
      <c r="J10452" t="str">
        <f t="shared" si="3835"/>
        <v>HI</v>
      </c>
      <c r="K10452" t="str">
        <f>T("000000000000000000")</f>
        <v>000000000000000000</v>
      </c>
      <c r="L10452" t="str">
        <f>T("8084731434")</f>
        <v>8084731434</v>
      </c>
    </row>
    <row r="10453" spans="1:12" x14ac:dyDescent="0.35">
      <c r="A10453" t="str">
        <f t="shared" si="3836"/>
        <v>COMNAVREG HAWAII</v>
      </c>
      <c r="B10453" t="str">
        <f t="shared" si="3837"/>
        <v>850 TICONDEROGA STREET</v>
      </c>
      <c r="C10453" t="str">
        <f>T("ATTN N8")</f>
        <v>ATTN N8</v>
      </c>
      <c r="D10453" t="str">
        <f t="shared" ref="D10453:D10459" si="3838">T("JBPHH")</f>
        <v>JBPHH</v>
      </c>
      <c r="E10453" t="str">
        <f t="shared" si="3834"/>
        <v>HI</v>
      </c>
      <c r="F10453" t="str">
        <f>T("968605117")</f>
        <v>968605117</v>
      </c>
      <c r="G10453" t="str">
        <f>T("1601 FREDRICK STREET")</f>
        <v>1601 FREDRICK STREET</v>
      </c>
      <c r="H10453" t="str">
        <f>T("")</f>
        <v/>
      </c>
      <c r="I10453" t="str">
        <f>T("JBPHH")</f>
        <v>JBPHH</v>
      </c>
      <c r="J10453" t="str">
        <f t="shared" si="3835"/>
        <v>HI</v>
      </c>
      <c r="K10453" t="str">
        <f>T("000000000000000000")</f>
        <v>000000000000000000</v>
      </c>
      <c r="L10453" t="str">
        <f>T("8084733971")</f>
        <v>8084733971</v>
      </c>
    </row>
    <row r="10454" spans="1:12" x14ac:dyDescent="0.35">
      <c r="A10454" t="str">
        <f t="shared" si="3836"/>
        <v>COMNAVREG HAWAII</v>
      </c>
      <c r="B10454" t="str">
        <f t="shared" si="3837"/>
        <v>850 TICONDEROGA STREET</v>
      </c>
      <c r="C10454" t="str">
        <f>T("ATTN N8")</f>
        <v>ATTN N8</v>
      </c>
      <c r="D10454" t="str">
        <f t="shared" si="3838"/>
        <v>JBPHH</v>
      </c>
      <c r="E10454" t="str">
        <f t="shared" si="3834"/>
        <v>HI</v>
      </c>
      <c r="F10454" t="str">
        <f>T("968605117")</f>
        <v>968605117</v>
      </c>
      <c r="G10454" t="str">
        <f>T("850 TICONDEROGA STREET")</f>
        <v>850 TICONDEROGA STREET</v>
      </c>
      <c r="H10454" t="str">
        <f>T("ATTN N8")</f>
        <v>ATTN N8</v>
      </c>
      <c r="I10454" t="str">
        <f>T("JBPHH")</f>
        <v>JBPHH</v>
      </c>
      <c r="J10454" t="str">
        <f t="shared" si="3835"/>
        <v>HI</v>
      </c>
      <c r="K10454" t="str">
        <f>T("000000000000000000")</f>
        <v>000000000000000000</v>
      </c>
      <c r="L10454" t="str">
        <f>T("3156457486")</f>
        <v>3156457486</v>
      </c>
    </row>
    <row r="10455" spans="1:12" x14ac:dyDescent="0.35">
      <c r="A10455" t="str">
        <f t="shared" si="3836"/>
        <v>COMNAVREG HAWAII</v>
      </c>
      <c r="B10455" t="str">
        <f t="shared" si="3837"/>
        <v>850 TICONDEROGA STREET</v>
      </c>
      <c r="C10455" t="str">
        <f>T("SUITE 100")</f>
        <v>SUITE 100</v>
      </c>
      <c r="D10455" t="str">
        <f t="shared" si="3838"/>
        <v>JBPHH</v>
      </c>
      <c r="E10455" t="str">
        <f t="shared" si="3834"/>
        <v>HI</v>
      </c>
      <c r="F10455" t="str">
        <f>T("968605102")</f>
        <v>968605102</v>
      </c>
      <c r="G10455" t="str">
        <f>T("850 TICONDEROGA ST")</f>
        <v>850 TICONDEROGA ST</v>
      </c>
      <c r="H10455" t="str">
        <f>T("SUITE 110 3RD FLOOR")</f>
        <v>SUITE 110 3RD FLOOR</v>
      </c>
      <c r="I10455" t="str">
        <f>T("PEARL HARBOR")</f>
        <v>PEARL HARBOR</v>
      </c>
      <c r="J10455" t="str">
        <f t="shared" si="3835"/>
        <v>HI</v>
      </c>
      <c r="K10455" t="str">
        <f>T("8084732619")</f>
        <v>8084732619</v>
      </c>
      <c r="L10455" t="str">
        <f>T("8084735732")</f>
        <v>8084735732</v>
      </c>
    </row>
    <row r="10456" spans="1:12" x14ac:dyDescent="0.35">
      <c r="A10456" t="str">
        <f t="shared" si="3836"/>
        <v>COMNAVREG HAWAII</v>
      </c>
      <c r="B10456" t="str">
        <f t="shared" si="3837"/>
        <v>850 TICONDEROGA STREET</v>
      </c>
      <c r="C10456" t="str">
        <f>T("SUITE 100")</f>
        <v>SUITE 100</v>
      </c>
      <c r="D10456" t="str">
        <f t="shared" si="3838"/>
        <v>JBPHH</v>
      </c>
      <c r="E10456" t="str">
        <f t="shared" si="3834"/>
        <v>HI</v>
      </c>
      <c r="F10456" t="str">
        <f>T("968605102")</f>
        <v>968605102</v>
      </c>
      <c r="G10456" t="str">
        <f>T("850 TICONDEROGA STREET")</f>
        <v>850 TICONDEROGA STREET</v>
      </c>
      <c r="H10456" t="str">
        <f>T("BLDG 150 SUITE 110")</f>
        <v>BLDG 150 SUITE 110</v>
      </c>
      <c r="I10456" t="str">
        <f>T("PEARL HARBOR")</f>
        <v>PEARL HARBOR</v>
      </c>
      <c r="J10456" t="str">
        <f t="shared" si="3835"/>
        <v>HI</v>
      </c>
      <c r="K10456" t="str">
        <f>T("000000000000000000")</f>
        <v>000000000000000000</v>
      </c>
      <c r="L10456" t="str">
        <f>T("8084732207")</f>
        <v>8084732207</v>
      </c>
    </row>
    <row r="10457" spans="1:12" x14ac:dyDescent="0.35">
      <c r="A10457" t="str">
        <f t="shared" si="3836"/>
        <v>COMNAVREG HAWAII</v>
      </c>
      <c r="B10457" t="str">
        <f t="shared" si="3837"/>
        <v>850 TICONDEROGA STREET</v>
      </c>
      <c r="C10457" t="str">
        <f>T("SUITE 100")</f>
        <v>SUITE 100</v>
      </c>
      <c r="D10457" t="str">
        <f t="shared" si="3838"/>
        <v>JBPHH</v>
      </c>
      <c r="E10457" t="str">
        <f t="shared" si="3834"/>
        <v>HI</v>
      </c>
      <c r="F10457" t="str">
        <f>T("968605102")</f>
        <v>968605102</v>
      </c>
      <c r="G10457" t="str">
        <f>T("850 TICONDEROGA STREET")</f>
        <v>850 TICONDEROGA STREET</v>
      </c>
      <c r="H10457" t="str">
        <f>T("SUITE 100")</f>
        <v>SUITE 100</v>
      </c>
      <c r="I10457" t="str">
        <f>T("JBPHH")</f>
        <v>JBPHH</v>
      </c>
      <c r="J10457" t="str">
        <f t="shared" si="3835"/>
        <v>HI</v>
      </c>
      <c r="K10457" t="str">
        <f>T("8084732619")</f>
        <v>8084732619</v>
      </c>
      <c r="L10457" t="str">
        <f>T("8084733112")</f>
        <v>8084733112</v>
      </c>
    </row>
    <row r="10458" spans="1:12" x14ac:dyDescent="0.35">
      <c r="A10458" t="str">
        <f t="shared" si="3836"/>
        <v>COMNAVREG HAWAII</v>
      </c>
      <c r="B10458" t="str">
        <f t="shared" si="3837"/>
        <v>850 TICONDEROGA STREET</v>
      </c>
      <c r="C10458" t="str">
        <f>T("SUITE 100")</f>
        <v>SUITE 100</v>
      </c>
      <c r="D10458" t="str">
        <f t="shared" si="3838"/>
        <v>JBPHH</v>
      </c>
      <c r="E10458" t="str">
        <f t="shared" si="3834"/>
        <v>HI</v>
      </c>
      <c r="F10458" t="str">
        <f>T("968605102")</f>
        <v>968605102</v>
      </c>
      <c r="G10458" t="str">
        <f>T("850 TICONDEROGA STREET")</f>
        <v>850 TICONDEROGA STREET</v>
      </c>
      <c r="H10458" t="str">
        <f>T("SUITE 110")</f>
        <v>SUITE 110</v>
      </c>
      <c r="I10458" t="str">
        <f>T("PEARL HARBOR")</f>
        <v>PEARL HARBOR</v>
      </c>
      <c r="J10458" t="str">
        <f t="shared" si="3835"/>
        <v>HI</v>
      </c>
      <c r="K10458" t="str">
        <f>T("000000000000000000")</f>
        <v>000000000000000000</v>
      </c>
      <c r="L10458" t="str">
        <f>T("8084734442")</f>
        <v>8084734442</v>
      </c>
    </row>
    <row r="10459" spans="1:12" x14ac:dyDescent="0.35">
      <c r="A10459" t="str">
        <f t="shared" si="3836"/>
        <v>COMNAVREG HAWAII</v>
      </c>
      <c r="B10459" t="str">
        <f t="shared" si="3837"/>
        <v>850 TICONDEROGA STREET</v>
      </c>
      <c r="C10459" t="str">
        <f>T("SUITE 100")</f>
        <v>SUITE 100</v>
      </c>
      <c r="D10459" t="str">
        <f t="shared" si="3838"/>
        <v>JBPHH</v>
      </c>
      <c r="E10459" t="str">
        <f t="shared" si="3834"/>
        <v>HI</v>
      </c>
      <c r="F10459" t="str">
        <f>T("968605102")</f>
        <v>968605102</v>
      </c>
      <c r="G10459" t="str">
        <f>T("850 TICONDEROGA STREET")</f>
        <v>850 TICONDEROGA STREET</v>
      </c>
      <c r="H10459" t="str">
        <f>T("SUITE 110")</f>
        <v>SUITE 110</v>
      </c>
      <c r="I10459" t="str">
        <f>T("PEARL HARBOR")</f>
        <v>PEARL HARBOR</v>
      </c>
      <c r="J10459" t="str">
        <f t="shared" si="3835"/>
        <v>HI</v>
      </c>
      <c r="K10459" t="str">
        <f>T("000000000000000000")</f>
        <v>000000000000000000</v>
      </c>
      <c r="L10459" t="str">
        <f>T("8084735741")</f>
        <v>8084735741</v>
      </c>
    </row>
    <row r="10460" spans="1:12" x14ac:dyDescent="0.35">
      <c r="A10460" t="str">
        <f t="shared" si="3836"/>
        <v>COMNAVREG HAWAII</v>
      </c>
      <c r="B10460" t="str">
        <f t="shared" si="3837"/>
        <v>850 TICONDEROGA STREET</v>
      </c>
      <c r="C10460" t="str">
        <f>T("SUITE 100 CODE N9")</f>
        <v>SUITE 100 CODE N9</v>
      </c>
      <c r="D10460" t="str">
        <f>T("PEARL HARBOR")</f>
        <v>PEARL HARBOR</v>
      </c>
      <c r="E10460" t="str">
        <f t="shared" si="3834"/>
        <v>HI</v>
      </c>
      <c r="F10460" t="str">
        <f>T("968605117")</f>
        <v>968605117</v>
      </c>
      <c r="G10460" t="str">
        <f>T("647TH FORCE SUPPORT SQUADRON")</f>
        <v>647TH FORCE SUPPORT SQUADRON</v>
      </c>
      <c r="H10460" t="str">
        <f>T("")</f>
        <v/>
      </c>
      <c r="I10460" t="str">
        <f>T("JBPHH")</f>
        <v>JBPHH</v>
      </c>
      <c r="J10460" t="str">
        <f t="shared" si="3835"/>
        <v>HI</v>
      </c>
      <c r="K10460" t="str">
        <f>T("000000000000000000")</f>
        <v>000000000000000000</v>
      </c>
      <c r="L10460" t="str">
        <f>T("8084493368")</f>
        <v>8084493368</v>
      </c>
    </row>
    <row r="10461" spans="1:12" x14ac:dyDescent="0.35">
      <c r="A10461" t="str">
        <f t="shared" si="3836"/>
        <v>COMNAVREG HAWAII</v>
      </c>
      <c r="B10461" t="str">
        <f t="shared" si="3837"/>
        <v>850 TICONDEROGA STREET</v>
      </c>
      <c r="C10461" t="str">
        <f>T("SUITE 100 CODE N9")</f>
        <v>SUITE 100 CODE N9</v>
      </c>
      <c r="D10461" t="str">
        <f>T("PEARL HARBOR")</f>
        <v>PEARL HARBOR</v>
      </c>
      <c r="E10461" t="str">
        <f t="shared" si="3834"/>
        <v>HI</v>
      </c>
      <c r="F10461" t="str">
        <f>T("968605117")</f>
        <v>968605117</v>
      </c>
      <c r="G10461" t="str">
        <f t="shared" ref="G10461:G10466" si="3839">T("850 TICONDEROGA STREET")</f>
        <v>850 TICONDEROGA STREET</v>
      </c>
      <c r="H10461" t="str">
        <f>T("SUITE 100 CODE N9")</f>
        <v>SUITE 100 CODE N9</v>
      </c>
      <c r="I10461" t="str">
        <f>T("PEARL HARBOR")</f>
        <v>PEARL HARBOR</v>
      </c>
      <c r="J10461" t="str">
        <f t="shared" si="3835"/>
        <v>HI</v>
      </c>
      <c r="K10461" t="str">
        <f>T("000000000000000000")</f>
        <v>000000000000000000</v>
      </c>
      <c r="L10461" t="str">
        <f>T("8084732519")</f>
        <v>8084732519</v>
      </c>
    </row>
    <row r="10462" spans="1:12" x14ac:dyDescent="0.35">
      <c r="A10462" t="str">
        <f t="shared" si="3836"/>
        <v>COMNAVREG HAWAII</v>
      </c>
      <c r="B10462" t="str">
        <f t="shared" si="3837"/>
        <v>850 TICONDEROGA STREET</v>
      </c>
      <c r="C10462" t="str">
        <f>T("SUITE 100 CODE N9")</f>
        <v>SUITE 100 CODE N9</v>
      </c>
      <c r="D10462" t="str">
        <f>T("PEARL HARBOR")</f>
        <v>PEARL HARBOR</v>
      </c>
      <c r="E10462" t="str">
        <f t="shared" si="3834"/>
        <v>HI</v>
      </c>
      <c r="F10462" t="str">
        <f>T("968605117")</f>
        <v>968605117</v>
      </c>
      <c r="G10462" t="str">
        <f t="shared" si="3839"/>
        <v>850 TICONDEROGA STREET</v>
      </c>
      <c r="H10462" t="str">
        <f>T("SUITE 100 CODE N9")</f>
        <v>SUITE 100 CODE N9</v>
      </c>
      <c r="I10462" t="str">
        <f>T("PEARL HARBOR")</f>
        <v>PEARL HARBOR</v>
      </c>
      <c r="J10462" t="str">
        <f t="shared" si="3835"/>
        <v>HI</v>
      </c>
      <c r="K10462" t="str">
        <f>T("8084733846")</f>
        <v>8084733846</v>
      </c>
      <c r="L10462" t="str">
        <f>T("8084732948")</f>
        <v>8084732948</v>
      </c>
    </row>
    <row r="10463" spans="1:12" x14ac:dyDescent="0.35">
      <c r="A10463" t="str">
        <f t="shared" si="3836"/>
        <v>COMNAVREG HAWAII</v>
      </c>
      <c r="B10463" t="str">
        <f t="shared" si="3837"/>
        <v>850 TICONDEROGA STREET</v>
      </c>
      <c r="C10463" t="str">
        <f>T("SUITE 110")</f>
        <v>SUITE 110</v>
      </c>
      <c r="D10463" t="str">
        <f>T("JBPHH")</f>
        <v>JBPHH</v>
      </c>
      <c r="E10463" t="str">
        <f t="shared" si="3834"/>
        <v>HI</v>
      </c>
      <c r="F10463" t="str">
        <f>T("968605101")</f>
        <v>968605101</v>
      </c>
      <c r="G10463" t="str">
        <f t="shared" si="3839"/>
        <v>850 TICONDEROGA STREET</v>
      </c>
      <c r="H10463" t="str">
        <f>T("SUITE 110")</f>
        <v>SUITE 110</v>
      </c>
      <c r="I10463" t="str">
        <f>T("JBPHH")</f>
        <v>JBPHH</v>
      </c>
      <c r="J10463" t="str">
        <f t="shared" si="3835"/>
        <v>HI</v>
      </c>
      <c r="K10463" t="str">
        <f>T("000000000000000000")</f>
        <v>000000000000000000</v>
      </c>
      <c r="L10463" t="str">
        <f>T("8084732875")</f>
        <v>8084732875</v>
      </c>
    </row>
    <row r="10464" spans="1:12" x14ac:dyDescent="0.35">
      <c r="A10464" t="str">
        <f t="shared" si="3836"/>
        <v>COMNAVREG HAWAII</v>
      </c>
      <c r="B10464" t="str">
        <f t="shared" si="3837"/>
        <v>850 TICONDEROGA STREET</v>
      </c>
      <c r="C10464" t="str">
        <f>T("SUITE 110")</f>
        <v>SUITE 110</v>
      </c>
      <c r="D10464" t="str">
        <f>T("JBPHH")</f>
        <v>JBPHH</v>
      </c>
      <c r="E10464" t="str">
        <f t="shared" si="3834"/>
        <v>HI</v>
      </c>
      <c r="F10464" t="str">
        <f>T("968605101")</f>
        <v>968605101</v>
      </c>
      <c r="G10464" t="str">
        <f t="shared" si="3839"/>
        <v>850 TICONDEROGA STREET</v>
      </c>
      <c r="H10464" t="str">
        <f>T("SUITE 110")</f>
        <v>SUITE 110</v>
      </c>
      <c r="I10464" t="str">
        <f>T("PEARL HARBOR")</f>
        <v>PEARL HARBOR</v>
      </c>
      <c r="J10464" t="str">
        <f t="shared" si="3835"/>
        <v>HI</v>
      </c>
      <c r="K10464" t="str">
        <f>T("000000000000000000")</f>
        <v>000000000000000000</v>
      </c>
      <c r="L10464" t="str">
        <f>T("8084732934")</f>
        <v>8084732934</v>
      </c>
    </row>
    <row r="10465" spans="1:12" x14ac:dyDescent="0.35">
      <c r="A10465" t="str">
        <f t="shared" si="3836"/>
        <v>COMNAVREG HAWAII</v>
      </c>
      <c r="B10465" t="str">
        <f t="shared" si="3837"/>
        <v>850 TICONDEROGA STREET</v>
      </c>
      <c r="C10465" t="str">
        <f>T("SUITE 110")</f>
        <v>SUITE 110</v>
      </c>
      <c r="D10465" t="str">
        <f t="shared" ref="D10465:D10470" si="3840">T("PEARL HARBOR")</f>
        <v>PEARL HARBOR</v>
      </c>
      <c r="E10465" t="str">
        <f t="shared" si="3834"/>
        <v>HI</v>
      </c>
      <c r="F10465" t="str">
        <f>T("968605101")</f>
        <v>968605101</v>
      </c>
      <c r="G10465" t="str">
        <f t="shared" si="3839"/>
        <v>850 TICONDEROGA STREET</v>
      </c>
      <c r="H10465" t="str">
        <f>T("SUITE 110")</f>
        <v>SUITE 110</v>
      </c>
      <c r="I10465" t="str">
        <f>T("PEARL HARBOR")</f>
        <v>PEARL HARBOR</v>
      </c>
      <c r="J10465" t="str">
        <f t="shared" si="3835"/>
        <v>HI</v>
      </c>
      <c r="K10465" t="str">
        <f>T("000000000000000000")</f>
        <v>000000000000000000</v>
      </c>
      <c r="L10465" t="str">
        <f>T("8084734506")</f>
        <v>8084734506</v>
      </c>
    </row>
    <row r="10466" spans="1:12" x14ac:dyDescent="0.35">
      <c r="A10466" t="str">
        <f t="shared" si="3836"/>
        <v>COMNAVREG HAWAII</v>
      </c>
      <c r="B10466" t="str">
        <f t="shared" si="3837"/>
        <v>850 TICONDEROGA STREET</v>
      </c>
      <c r="C10466" t="str">
        <f>T("SUITE 110")</f>
        <v>SUITE 110</v>
      </c>
      <c r="D10466" t="str">
        <f t="shared" si="3840"/>
        <v>PEARL HARBOR</v>
      </c>
      <c r="E10466" t="str">
        <f t="shared" si="3834"/>
        <v>HI</v>
      </c>
      <c r="F10466" t="str">
        <f>T("968605101")</f>
        <v>968605101</v>
      </c>
      <c r="G10466" t="str">
        <f t="shared" si="3839"/>
        <v>850 TICONDEROGA STREET</v>
      </c>
      <c r="H10466" t="str">
        <f>T("SUITE 110")</f>
        <v>SUITE 110</v>
      </c>
      <c r="I10466" t="str">
        <f>T("PEARL HARBOR")</f>
        <v>PEARL HARBOR</v>
      </c>
      <c r="J10466" t="str">
        <f t="shared" si="3835"/>
        <v>HI</v>
      </c>
      <c r="K10466" t="str">
        <f>T("8084733614")</f>
        <v>8084733614</v>
      </c>
      <c r="L10466" t="str">
        <f>T("8084735889")</f>
        <v>8084735889</v>
      </c>
    </row>
    <row r="10467" spans="1:12" x14ac:dyDescent="0.35">
      <c r="A10467" t="str">
        <f t="shared" si="3836"/>
        <v>COMNAVREG HAWAII</v>
      </c>
      <c r="B10467" t="str">
        <f>T("850TICONDEROGA STREET")</f>
        <v>850TICONDEROGA STREET</v>
      </c>
      <c r="C10467" t="str">
        <f>T("ATTN N8")</f>
        <v>ATTN N8</v>
      </c>
      <c r="D10467" t="str">
        <f t="shared" si="3840"/>
        <v>PEARL HARBOR</v>
      </c>
      <c r="E10467" t="str">
        <f t="shared" si="3834"/>
        <v>HI</v>
      </c>
      <c r="F10467" t="str">
        <f>T("968605117")</f>
        <v>968605117</v>
      </c>
      <c r="G10467" t="str">
        <f>T("400 MARSHALL ROAD PRP 34")</f>
        <v>400 MARSHALL ROAD PRP 34</v>
      </c>
      <c r="H10467" t="str">
        <f>T("")</f>
        <v/>
      </c>
      <c r="I10467" t="str">
        <f>T("JBPHH")</f>
        <v>JBPHH</v>
      </c>
      <c r="J10467" t="str">
        <f t="shared" si="3835"/>
        <v>HI</v>
      </c>
      <c r="K10467" t="str">
        <f>T("000000000000000000")</f>
        <v>000000000000000000</v>
      </c>
      <c r="L10467" t="str">
        <f>T("8082211397")</f>
        <v>8082211397</v>
      </c>
    </row>
    <row r="10468" spans="1:12" x14ac:dyDescent="0.35">
      <c r="A10468" t="str">
        <f t="shared" si="3836"/>
        <v>COMNAVREG HAWAII</v>
      </c>
      <c r="B10468" t="str">
        <f>T("850TICONDEROGA STREET")</f>
        <v>850TICONDEROGA STREET</v>
      </c>
      <c r="C10468" t="str">
        <f>T("ATTN N8")</f>
        <v>ATTN N8</v>
      </c>
      <c r="D10468" t="str">
        <f t="shared" si="3840"/>
        <v>PEARL HARBOR</v>
      </c>
      <c r="E10468" t="str">
        <f t="shared" ref="E10468:E10500" si="3841">T("HI")</f>
        <v>HI</v>
      </c>
      <c r="F10468" t="str">
        <f>T("968605117")</f>
        <v>968605117</v>
      </c>
      <c r="G10468" t="str">
        <f>T("850TICONDEROGA STREET")</f>
        <v>850TICONDEROGA STREET</v>
      </c>
      <c r="H10468" t="str">
        <f>T("ATTN N8")</f>
        <v>ATTN N8</v>
      </c>
      <c r="I10468" t="str">
        <f>T("PEARL HARBOR")</f>
        <v>PEARL HARBOR</v>
      </c>
      <c r="J10468" t="str">
        <f t="shared" ref="J10468:J10500" si="3842">T("HI")</f>
        <v>HI</v>
      </c>
      <c r="K10468" t="str">
        <f>T("8084712618")</f>
        <v>8084712618</v>
      </c>
      <c r="L10468" t="str">
        <f>T("8084746124")</f>
        <v>8084746124</v>
      </c>
    </row>
    <row r="10469" spans="1:12" x14ac:dyDescent="0.35">
      <c r="A10469" t="str">
        <f t="shared" si="3836"/>
        <v>COMNAVREG HAWAII</v>
      </c>
      <c r="B10469" t="str">
        <f>T("866 HALE ALII AVENUE")</f>
        <v>866 HALE ALII AVENUE</v>
      </c>
      <c r="C10469" t="str">
        <f t="shared" ref="C10469:C10479" si="3843">T("")</f>
        <v/>
      </c>
      <c r="D10469" t="str">
        <f t="shared" si="3840"/>
        <v>PEARL HARBOR</v>
      </c>
      <c r="E10469" t="str">
        <f t="shared" si="3841"/>
        <v>HI</v>
      </c>
      <c r="F10469" t="str">
        <f>T("968605083")</f>
        <v>968605083</v>
      </c>
      <c r="G10469" t="str">
        <f>T("850 TICONDEROGA STREET")</f>
        <v>850 TICONDEROGA STREET</v>
      </c>
      <c r="H10469" t="str">
        <f>T("BLDG 150 SUITE 110")</f>
        <v>BLDG 150 SUITE 110</v>
      </c>
      <c r="I10469" t="str">
        <f>T("PEARL HARBOR")</f>
        <v>PEARL HARBOR</v>
      </c>
      <c r="J10469" t="str">
        <f t="shared" si="3842"/>
        <v>HI</v>
      </c>
      <c r="K10469" t="str">
        <f>T("000000000000000000")</f>
        <v>000000000000000000</v>
      </c>
      <c r="L10469" t="str">
        <f>T("8084730686")</f>
        <v>8084730686</v>
      </c>
    </row>
    <row r="10470" spans="1:12" x14ac:dyDescent="0.35">
      <c r="A10470" t="str">
        <f t="shared" si="3836"/>
        <v>COMNAVREG HAWAII</v>
      </c>
      <c r="B10470" t="str">
        <f>T("866 HALE ALII AVENUE")</f>
        <v>866 HALE ALII AVENUE</v>
      </c>
      <c r="C10470" t="str">
        <f t="shared" si="3843"/>
        <v/>
      </c>
      <c r="D10470" t="str">
        <f t="shared" si="3840"/>
        <v>PEARL HARBOR</v>
      </c>
      <c r="E10470" t="str">
        <f t="shared" si="3841"/>
        <v>HI</v>
      </c>
      <c r="F10470" t="str">
        <f>T("968605083")</f>
        <v>968605083</v>
      </c>
      <c r="G10470" t="str">
        <f>T("866 HALE ALII AVENUE")</f>
        <v>866 HALE ALII AVENUE</v>
      </c>
      <c r="H10470" t="str">
        <f>T("")</f>
        <v/>
      </c>
      <c r="I10470" t="str">
        <f>T("PEARL HARBOR")</f>
        <v>PEARL HARBOR</v>
      </c>
      <c r="J10470" t="str">
        <f t="shared" si="3842"/>
        <v>HI</v>
      </c>
      <c r="K10470" t="str">
        <f>T("000000000000000000")</f>
        <v>000000000000000000</v>
      </c>
      <c r="L10470" t="str">
        <f>T("9044349485")</f>
        <v>9044349485</v>
      </c>
    </row>
    <row r="10471" spans="1:12" x14ac:dyDescent="0.35">
      <c r="A10471" t="str">
        <f t="shared" si="3836"/>
        <v>COMNAVREG HAWAII</v>
      </c>
      <c r="B10471" t="str">
        <f>T("988 SPENCE ST")</f>
        <v>988 SPENCE ST</v>
      </c>
      <c r="C10471" t="str">
        <f t="shared" si="3843"/>
        <v/>
      </c>
      <c r="D10471" t="str">
        <f>T("HONOLULU")</f>
        <v>HONOLULU</v>
      </c>
      <c r="E10471" t="str">
        <f t="shared" si="3841"/>
        <v>HI</v>
      </c>
      <c r="F10471" t="str">
        <f>T("968183174")</f>
        <v>968183174</v>
      </c>
      <c r="G10471" t="str">
        <f>T("4825 BOUGAINVILLE DRIVE")</f>
        <v>4825 BOUGAINVILLE DRIVE</v>
      </c>
      <c r="H10471" t="str">
        <f>T("BLDG 2652")</f>
        <v>BLDG 2652</v>
      </c>
      <c r="I10471" t="str">
        <f>T("HONOLULU")</f>
        <v>HONOLULU</v>
      </c>
      <c r="J10471" t="str">
        <f t="shared" si="3842"/>
        <v>HI</v>
      </c>
      <c r="K10471" t="str">
        <f>T("8084741809")</f>
        <v>8084741809</v>
      </c>
      <c r="L10471" t="str">
        <f>T("8084741805")</f>
        <v>8084741805</v>
      </c>
    </row>
    <row r="10472" spans="1:12" x14ac:dyDescent="0.35">
      <c r="A10472" t="str">
        <f t="shared" ref="A10472:A10500" si="3844">T("COMNAVREG HAWAII")</f>
        <v>COMNAVREG HAWAII</v>
      </c>
      <c r="B10472" t="str">
        <f>T("988 SPENCE ST")</f>
        <v>988 SPENCE ST</v>
      </c>
      <c r="C10472" t="str">
        <f t="shared" si="3843"/>
        <v/>
      </c>
      <c r="D10472" t="str">
        <f>T("HONOLULU")</f>
        <v>HONOLULU</v>
      </c>
      <c r="E10472" t="str">
        <f t="shared" si="3841"/>
        <v>HI</v>
      </c>
      <c r="F10472" t="str">
        <f>T("968183174")</f>
        <v>968183174</v>
      </c>
      <c r="G10472" t="str">
        <f>T("850 TICONDEROGA STREET")</f>
        <v>850 TICONDEROGA STREET</v>
      </c>
      <c r="H10472" t="str">
        <f>T("")</f>
        <v/>
      </c>
      <c r="I10472" t="str">
        <f>T("HONOLULU")</f>
        <v>HONOLULU</v>
      </c>
      <c r="J10472" t="str">
        <f t="shared" si="3842"/>
        <v>HI</v>
      </c>
      <c r="K10472" t="str">
        <f>T("000000000000000000")</f>
        <v>000000000000000000</v>
      </c>
      <c r="L10472" t="str">
        <f>T("8084733562")</f>
        <v>8084733562</v>
      </c>
    </row>
    <row r="10473" spans="1:12" x14ac:dyDescent="0.35">
      <c r="A10473" t="str">
        <f t="shared" si="3844"/>
        <v>COMNAVREG HAWAII</v>
      </c>
      <c r="B10473" t="str">
        <f>T("988 SPENCE ST")</f>
        <v>988 SPENCE ST</v>
      </c>
      <c r="C10473" t="str">
        <f t="shared" si="3843"/>
        <v/>
      </c>
      <c r="D10473" t="str">
        <f>T("HONOLULU")</f>
        <v>HONOLULU</v>
      </c>
      <c r="E10473" t="str">
        <f t="shared" si="3841"/>
        <v>HI</v>
      </c>
      <c r="F10473" t="str">
        <f>T("968183174")</f>
        <v>968183174</v>
      </c>
      <c r="G10473" t="str">
        <f>T("850 TICONDEROGA STREET")</f>
        <v>850 TICONDEROGA STREET</v>
      </c>
      <c r="H10473" t="str">
        <f>T("SUITE 110")</f>
        <v>SUITE 110</v>
      </c>
      <c r="I10473" t="str">
        <f>T("PEARL HARBOR")</f>
        <v>PEARL HARBOR</v>
      </c>
      <c r="J10473" t="str">
        <f t="shared" si="3842"/>
        <v>HI</v>
      </c>
      <c r="K10473" t="str">
        <f>T("8084730372")</f>
        <v>8084730372</v>
      </c>
      <c r="L10473" t="str">
        <f>T("8084733562")</f>
        <v>8084733562</v>
      </c>
    </row>
    <row r="10474" spans="1:12" x14ac:dyDescent="0.35">
      <c r="A10474" t="str">
        <f t="shared" si="3844"/>
        <v>COMNAVREG HAWAII</v>
      </c>
      <c r="B10474" t="str">
        <f>T("988 SPENCE ST")</f>
        <v>988 SPENCE ST</v>
      </c>
      <c r="C10474" t="str">
        <f t="shared" si="3843"/>
        <v/>
      </c>
      <c r="D10474" t="str">
        <f>T("HONOLULU")</f>
        <v>HONOLULU</v>
      </c>
      <c r="E10474" t="str">
        <f t="shared" si="3841"/>
        <v>HI</v>
      </c>
      <c r="F10474" t="str">
        <f>T("968183174")</f>
        <v>968183174</v>
      </c>
      <c r="G10474" t="str">
        <f>T("988 SPENCE ST")</f>
        <v>988 SPENCE ST</v>
      </c>
      <c r="H10474" t="str">
        <f>T("")</f>
        <v/>
      </c>
      <c r="I10474" t="str">
        <f>T("HONOLULU")</f>
        <v>HONOLULU</v>
      </c>
      <c r="J10474" t="str">
        <f t="shared" si="3842"/>
        <v>HI</v>
      </c>
      <c r="K10474" t="str">
        <f>T("000000000000000000")</f>
        <v>000000000000000000</v>
      </c>
      <c r="L10474" t="str">
        <f>T("8084741806")</f>
        <v>8084741806</v>
      </c>
    </row>
    <row r="10475" spans="1:12" x14ac:dyDescent="0.35">
      <c r="A10475" t="str">
        <f t="shared" si="3844"/>
        <v>COMNAVREG HAWAII</v>
      </c>
      <c r="B10475" t="str">
        <f>T("988 SPENCE ST")</f>
        <v>988 SPENCE ST</v>
      </c>
      <c r="C10475" t="str">
        <f t="shared" si="3843"/>
        <v/>
      </c>
      <c r="D10475" t="str">
        <f>T("HONOLULU")</f>
        <v>HONOLULU</v>
      </c>
      <c r="E10475" t="str">
        <f t="shared" si="3841"/>
        <v>HI</v>
      </c>
      <c r="F10475" t="str">
        <f>T("968183174")</f>
        <v>968183174</v>
      </c>
      <c r="G10475" t="str">
        <f>T("HICKAM SITE OFFICE")</f>
        <v>HICKAM SITE OFFICE</v>
      </c>
      <c r="H10475" t="str">
        <f>T("200 KOKOMALEI STREET BLDG 6500")</f>
        <v>200 KOKOMALEI STREET BLDG 6500</v>
      </c>
      <c r="I10475" t="str">
        <f>T("HONOLULU")</f>
        <v>HONOLULU</v>
      </c>
      <c r="J10475" t="str">
        <f t="shared" si="3842"/>
        <v>HI</v>
      </c>
      <c r="K10475" t="str">
        <f>T("8084486890")</f>
        <v>8084486890</v>
      </c>
      <c r="L10475" t="str">
        <f>T("8084486888")</f>
        <v>8084486888</v>
      </c>
    </row>
    <row r="10476" spans="1:12" x14ac:dyDescent="0.35">
      <c r="A10476" t="str">
        <f t="shared" si="3844"/>
        <v>COMNAVREG HAWAII</v>
      </c>
      <c r="B10476" t="str">
        <f>T("BLDG 1204 HAFB")</f>
        <v>BLDG 1204 HAFB</v>
      </c>
      <c r="C10476" t="str">
        <f t="shared" si="3843"/>
        <v/>
      </c>
      <c r="D10476" t="str">
        <f t="shared" ref="D10476:D10488" si="3845">T("PEARL HARBOR")</f>
        <v>PEARL HARBOR</v>
      </c>
      <c r="E10476" t="str">
        <f t="shared" si="3841"/>
        <v>HI</v>
      </c>
      <c r="F10476" t="str">
        <f>T("968530000")</f>
        <v>968530000</v>
      </c>
      <c r="G10476" t="str">
        <f>T("75 H ROAD")</f>
        <v>75 H ROAD</v>
      </c>
      <c r="H10476" t="str">
        <f>T("BLDG/SUITE 1204")</f>
        <v>BLDG/SUITE 1204</v>
      </c>
      <c r="I10476" t="str">
        <f>T("HICKAM AFB")</f>
        <v>HICKAM AFB</v>
      </c>
      <c r="J10476" t="str">
        <f t="shared" si="3842"/>
        <v>HI</v>
      </c>
      <c r="K10476" t="str">
        <f>T("000000000000000000")</f>
        <v>000000000000000000</v>
      </c>
      <c r="L10476" t="str">
        <f>T("8084493174")</f>
        <v>8084493174</v>
      </c>
    </row>
    <row r="10477" spans="1:12" x14ac:dyDescent="0.35">
      <c r="A10477" t="str">
        <f t="shared" si="3844"/>
        <v>COMNAVREG HAWAII</v>
      </c>
      <c r="B10477" t="str">
        <f>T("BLDG 1204 HAFB")</f>
        <v>BLDG 1204 HAFB</v>
      </c>
      <c r="C10477" t="str">
        <f t="shared" si="3843"/>
        <v/>
      </c>
      <c r="D10477" t="str">
        <f t="shared" si="3845"/>
        <v>PEARL HARBOR</v>
      </c>
      <c r="E10477" t="str">
        <f t="shared" si="3841"/>
        <v>HI</v>
      </c>
      <c r="F10477" t="str">
        <f>T("968530000")</f>
        <v>968530000</v>
      </c>
      <c r="G10477" t="str">
        <f>T("75 H ST")</f>
        <v>75 H ST</v>
      </c>
      <c r="H10477" t="str">
        <f>T("")</f>
        <v/>
      </c>
      <c r="I10477" t="str">
        <f>T("JBPHH")</f>
        <v>JBPHH</v>
      </c>
      <c r="J10477" t="str">
        <f t="shared" si="3842"/>
        <v>HI</v>
      </c>
      <c r="K10477" t="str">
        <f>T("000000000000000000")</f>
        <v>000000000000000000</v>
      </c>
      <c r="L10477" t="str">
        <f>T("8084493193")</f>
        <v>8084493193</v>
      </c>
    </row>
    <row r="10478" spans="1:12" x14ac:dyDescent="0.35">
      <c r="A10478" t="str">
        <f t="shared" si="3844"/>
        <v>COMNAVREG HAWAII</v>
      </c>
      <c r="B10478" t="str">
        <f>T("BLDG 1204 HAFB")</f>
        <v>BLDG 1204 HAFB</v>
      </c>
      <c r="C10478" t="str">
        <f t="shared" si="3843"/>
        <v/>
      </c>
      <c r="D10478" t="str">
        <f t="shared" si="3845"/>
        <v>PEARL HARBOR</v>
      </c>
      <c r="E10478" t="str">
        <f t="shared" si="3841"/>
        <v>HI</v>
      </c>
      <c r="F10478" t="str">
        <f>T("968530000")</f>
        <v>968530000</v>
      </c>
      <c r="G10478" t="str">
        <f>T("75 H STREET")</f>
        <v>75 H STREET</v>
      </c>
      <c r="H10478" t="str">
        <f>T("BLDG 1204")</f>
        <v>BLDG 1204</v>
      </c>
      <c r="I10478" t="str">
        <f t="shared" ref="I10478:I10489" si="3846">T("PEARL HARBOR")</f>
        <v>PEARL HARBOR</v>
      </c>
      <c r="J10478" t="str">
        <f t="shared" si="3842"/>
        <v>HI</v>
      </c>
      <c r="K10478" t="str">
        <f>T("000000000000000000")</f>
        <v>000000000000000000</v>
      </c>
      <c r="L10478" t="str">
        <f>T("8084493136")</f>
        <v>8084493136</v>
      </c>
    </row>
    <row r="10479" spans="1:12" x14ac:dyDescent="0.35">
      <c r="A10479" t="str">
        <f t="shared" si="3844"/>
        <v>COMNAVREG HAWAII</v>
      </c>
      <c r="B10479" t="str">
        <f>T("BLDG 1204 HAFB")</f>
        <v>BLDG 1204 HAFB</v>
      </c>
      <c r="C10479" t="str">
        <f t="shared" si="3843"/>
        <v/>
      </c>
      <c r="D10479" t="str">
        <f t="shared" si="3845"/>
        <v>PEARL HARBOR</v>
      </c>
      <c r="E10479" t="str">
        <f t="shared" si="3841"/>
        <v>HI</v>
      </c>
      <c r="F10479" t="str">
        <f>T("968530000")</f>
        <v>968530000</v>
      </c>
      <c r="G10479" t="str">
        <f>T("BLDG 1204 HAFB")</f>
        <v>BLDG 1204 HAFB</v>
      </c>
      <c r="H10479" t="str">
        <f>T("")</f>
        <v/>
      </c>
      <c r="I10479" t="str">
        <f t="shared" si="3846"/>
        <v>PEARL HARBOR</v>
      </c>
      <c r="J10479" t="str">
        <f t="shared" si="3842"/>
        <v>HI</v>
      </c>
      <c r="K10479" t="str">
        <f>T("")</f>
        <v/>
      </c>
      <c r="L10479" t="str">
        <f>T("8084493147")</f>
        <v>8084493147</v>
      </c>
    </row>
    <row r="10480" spans="1:12" x14ac:dyDescent="0.35">
      <c r="A10480" t="str">
        <f t="shared" si="3844"/>
        <v>COMNAVREG HAWAII</v>
      </c>
      <c r="B10480" t="str">
        <f>T("COMNAVREG HAWAII/IT")</f>
        <v>COMNAVREG HAWAII/IT</v>
      </c>
      <c r="C10480" t="str">
        <f>T("850 TICONDEROGA ST")</f>
        <v>850 TICONDEROGA ST</v>
      </c>
      <c r="D10480" t="str">
        <f t="shared" si="3845"/>
        <v>PEARL HARBOR</v>
      </c>
      <c r="E10480" t="str">
        <f t="shared" si="3841"/>
        <v>HI</v>
      </c>
      <c r="F10480" t="str">
        <f>T("968605117")</f>
        <v>968605117</v>
      </c>
      <c r="G10480" t="str">
        <f>T("850 TICONDEROGA RM 110")</f>
        <v>850 TICONDEROGA RM 110</v>
      </c>
      <c r="H10480" t="str">
        <f>T("")</f>
        <v/>
      </c>
      <c r="I10480" t="str">
        <f t="shared" si="3846"/>
        <v>PEARL HARBOR</v>
      </c>
      <c r="J10480" t="str">
        <f t="shared" si="3842"/>
        <v>HI</v>
      </c>
      <c r="K10480" t="str">
        <f>T("000000000000000000")</f>
        <v>000000000000000000</v>
      </c>
      <c r="L10480" t="str">
        <f>T("8084731789")</f>
        <v>8084731789</v>
      </c>
    </row>
    <row r="10481" spans="1:12" x14ac:dyDescent="0.35">
      <c r="A10481" t="str">
        <f t="shared" si="3844"/>
        <v>COMNAVREG HAWAII</v>
      </c>
      <c r="B10481" t="str">
        <f>T("COMNAVREG HAWAII/IT")</f>
        <v>COMNAVREG HAWAII/IT</v>
      </c>
      <c r="C10481" t="str">
        <f>T("850 TICONDEROGA ST")</f>
        <v>850 TICONDEROGA ST</v>
      </c>
      <c r="D10481" t="str">
        <f t="shared" si="3845"/>
        <v>PEARL HARBOR</v>
      </c>
      <c r="E10481" t="str">
        <f t="shared" si="3841"/>
        <v>HI</v>
      </c>
      <c r="F10481" t="str">
        <f>T("968605117")</f>
        <v>968605117</v>
      </c>
      <c r="G10481" t="str">
        <f>T("850 TICONDEROGA STREET")</f>
        <v>850 TICONDEROGA STREET</v>
      </c>
      <c r="H10481" t="str">
        <f>T("SUITE 110")</f>
        <v>SUITE 110</v>
      </c>
      <c r="I10481" t="str">
        <f t="shared" si="3846"/>
        <v>PEARL HARBOR</v>
      </c>
      <c r="J10481" t="str">
        <f t="shared" si="3842"/>
        <v>HI</v>
      </c>
      <c r="K10481" t="str">
        <f>T("000000000000000000")</f>
        <v>000000000000000000</v>
      </c>
      <c r="L10481" t="str">
        <f>T("8084732850")</f>
        <v>8084732850</v>
      </c>
    </row>
    <row r="10482" spans="1:12" x14ac:dyDescent="0.35">
      <c r="A10482" t="str">
        <f t="shared" si="3844"/>
        <v>COMNAVREG HAWAII</v>
      </c>
      <c r="B10482" t="str">
        <f>T("COMNAVREG HAWAII/IT")</f>
        <v>COMNAVREG HAWAII/IT</v>
      </c>
      <c r="C10482" t="str">
        <f>T("850 TICONDEROGA ST")</f>
        <v>850 TICONDEROGA ST</v>
      </c>
      <c r="D10482" t="str">
        <f t="shared" si="3845"/>
        <v>PEARL HARBOR</v>
      </c>
      <c r="E10482" t="str">
        <f t="shared" si="3841"/>
        <v>HI</v>
      </c>
      <c r="F10482" t="str">
        <f>T("968605117")</f>
        <v>968605117</v>
      </c>
      <c r="G10482" t="str">
        <f>T("850 TICONDEROGA STREET")</f>
        <v>850 TICONDEROGA STREET</v>
      </c>
      <c r="H10482" t="str">
        <f>T("SUITE 110")</f>
        <v>SUITE 110</v>
      </c>
      <c r="I10482" t="str">
        <f t="shared" si="3846"/>
        <v>PEARL HARBOR</v>
      </c>
      <c r="J10482" t="str">
        <f t="shared" si="3842"/>
        <v>HI</v>
      </c>
      <c r="K10482" t="str">
        <f>T("8084732706")</f>
        <v>8084732706</v>
      </c>
      <c r="L10482" t="str">
        <f>T("8084730908")</f>
        <v>8084730908</v>
      </c>
    </row>
    <row r="10483" spans="1:12" x14ac:dyDescent="0.35">
      <c r="A10483" t="str">
        <f t="shared" si="3844"/>
        <v>COMNAVREG HAWAII</v>
      </c>
      <c r="B10483" t="str">
        <f>T("COMNAVREG HAWAII/IT")</f>
        <v>COMNAVREG HAWAII/IT</v>
      </c>
      <c r="C10483" t="str">
        <f>T("850 TICONDEROGA ST")</f>
        <v>850 TICONDEROGA ST</v>
      </c>
      <c r="D10483" t="str">
        <f t="shared" si="3845"/>
        <v>PEARL HARBOR</v>
      </c>
      <c r="E10483" t="str">
        <f t="shared" si="3841"/>
        <v>HI</v>
      </c>
      <c r="F10483" t="str">
        <f>T("968605117")</f>
        <v>968605117</v>
      </c>
      <c r="G10483" t="str">
        <f>T("COMNAVREG HAWAII/IT")</f>
        <v>COMNAVREG HAWAII/IT</v>
      </c>
      <c r="H10483" t="str">
        <f>T("850 TICONDEROGA ST")</f>
        <v>850 TICONDEROGA ST</v>
      </c>
      <c r="I10483" t="str">
        <f t="shared" si="3846"/>
        <v>PEARL HARBOR</v>
      </c>
      <c r="J10483" t="str">
        <f t="shared" si="3842"/>
        <v>HI</v>
      </c>
      <c r="K10483" t="str">
        <f>T("")</f>
        <v/>
      </c>
      <c r="L10483" t="str">
        <f>T("8084730916")</f>
        <v>8084730916</v>
      </c>
    </row>
    <row r="10484" spans="1:12" x14ac:dyDescent="0.35">
      <c r="A10484" t="str">
        <f t="shared" si="3844"/>
        <v>COMNAVREG HAWAII</v>
      </c>
      <c r="B10484" t="str">
        <f>T("EMERGENCY MANAGEMENT")</f>
        <v>EMERGENCY MANAGEMENT</v>
      </c>
      <c r="C10484" t="str">
        <f>T("850 TICONDEROGA ST STE 110")</f>
        <v>850 TICONDEROGA ST STE 110</v>
      </c>
      <c r="D10484" t="str">
        <f t="shared" si="3845"/>
        <v>PEARL HARBOR</v>
      </c>
      <c r="E10484" t="str">
        <f t="shared" si="3841"/>
        <v>HI</v>
      </c>
      <c r="F10484" t="str">
        <f>T("968605101")</f>
        <v>968605101</v>
      </c>
      <c r="G10484" t="str">
        <f>T("850 TICONDEROGA STREET")</f>
        <v>850 TICONDEROGA STREET</v>
      </c>
      <c r="H10484" t="str">
        <f>T("SUITE 110")</f>
        <v>SUITE 110</v>
      </c>
      <c r="I10484" t="str">
        <f t="shared" si="3846"/>
        <v>PEARL HARBOR</v>
      </c>
      <c r="J10484" t="str">
        <f t="shared" si="3842"/>
        <v>HI</v>
      </c>
      <c r="K10484" t="str">
        <f>T("8084734922")</f>
        <v>8084734922</v>
      </c>
      <c r="L10484" t="str">
        <f>T("8084730473")</f>
        <v>8084730473</v>
      </c>
    </row>
    <row r="10485" spans="1:12" x14ac:dyDescent="0.35">
      <c r="A10485" t="str">
        <f t="shared" si="3844"/>
        <v>COMNAVREG HAWAII</v>
      </c>
      <c r="B10485" t="str">
        <f>T("EMERGENCY MANAGEMENT")</f>
        <v>EMERGENCY MANAGEMENT</v>
      </c>
      <c r="C10485" t="str">
        <f>T("850 TICONDEROGA ST STE 110")</f>
        <v>850 TICONDEROGA ST STE 110</v>
      </c>
      <c r="D10485" t="str">
        <f t="shared" si="3845"/>
        <v>PEARL HARBOR</v>
      </c>
      <c r="E10485" t="str">
        <f t="shared" si="3841"/>
        <v>HI</v>
      </c>
      <c r="F10485" t="str">
        <f>T("968605101")</f>
        <v>968605101</v>
      </c>
      <c r="G10485" t="str">
        <f>T("EMERGENCY MANAGEMENT")</f>
        <v>EMERGENCY MANAGEMENT</v>
      </c>
      <c r="H10485" t="str">
        <f>T("850 TICONDEROGA ST STE 110")</f>
        <v>850 TICONDEROGA ST STE 110</v>
      </c>
      <c r="I10485" t="str">
        <f t="shared" si="3846"/>
        <v>PEARL HARBOR</v>
      </c>
      <c r="J10485" t="str">
        <f t="shared" si="3842"/>
        <v>HI</v>
      </c>
      <c r="K10485" t="str">
        <f>T("000000000000000000")</f>
        <v>000000000000000000</v>
      </c>
      <c r="L10485" t="str">
        <f>T("8084731208")</f>
        <v>8084731208</v>
      </c>
    </row>
    <row r="10486" spans="1:12" x14ac:dyDescent="0.35">
      <c r="A10486" t="str">
        <f t="shared" si="3844"/>
        <v>COMNAVREG HAWAII</v>
      </c>
      <c r="B10486" t="str">
        <f>T("EMERGENCY MANAGEMENT")</f>
        <v>EMERGENCY MANAGEMENT</v>
      </c>
      <c r="C10486" t="str">
        <f>T("850 TICONDEROGA ST STE 110")</f>
        <v>850 TICONDEROGA ST STE 110</v>
      </c>
      <c r="D10486" t="str">
        <f t="shared" si="3845"/>
        <v>PEARL HARBOR</v>
      </c>
      <c r="E10486" t="str">
        <f t="shared" si="3841"/>
        <v>HI</v>
      </c>
      <c r="F10486" t="str">
        <f>T("968605101")</f>
        <v>968605101</v>
      </c>
      <c r="G10486" t="str">
        <f>T("FORCE PROTECTION")</f>
        <v>FORCE PROTECTION</v>
      </c>
      <c r="H10486" t="str">
        <f>T("850 TICONDEROGA STREET")</f>
        <v>850 TICONDEROGA STREET</v>
      </c>
      <c r="I10486" t="str">
        <f t="shared" si="3846"/>
        <v>PEARL HARBOR</v>
      </c>
      <c r="J10486" t="str">
        <f t="shared" si="3842"/>
        <v>HI</v>
      </c>
      <c r="K10486" t="str">
        <f>T("000000000000000000")</f>
        <v>000000000000000000</v>
      </c>
      <c r="L10486" t="str">
        <f>T("8084711671")</f>
        <v>8084711671</v>
      </c>
    </row>
    <row r="10487" spans="1:12" x14ac:dyDescent="0.35">
      <c r="A10487" t="str">
        <f t="shared" si="3844"/>
        <v>COMNAVREG HAWAII</v>
      </c>
      <c r="B10487" t="str">
        <f>T("FIRE DEPARTMENT")</f>
        <v>FIRE DEPARTMENT</v>
      </c>
      <c r="C10487" t="str">
        <f>T("650 CENTER DRIVE")</f>
        <v>650 CENTER DRIVE</v>
      </c>
      <c r="D10487" t="str">
        <f t="shared" si="3845"/>
        <v>PEARL HARBOR</v>
      </c>
      <c r="E10487" t="str">
        <f t="shared" si="3841"/>
        <v>HI</v>
      </c>
      <c r="F10487" t="str">
        <f>T("968604101")</f>
        <v>968604101</v>
      </c>
      <c r="G10487" t="str">
        <f>T("FIRE DEPARTMENT")</f>
        <v>FIRE DEPARTMENT</v>
      </c>
      <c r="H10487" t="str">
        <f>T("650 CENTER DRIVE")</f>
        <v>650 CENTER DRIVE</v>
      </c>
      <c r="I10487" t="str">
        <f t="shared" si="3846"/>
        <v>PEARL HARBOR</v>
      </c>
      <c r="J10487" t="str">
        <f t="shared" si="3842"/>
        <v>HI</v>
      </c>
      <c r="K10487" t="str">
        <f>T("000000000000000000")</f>
        <v>000000000000000000</v>
      </c>
      <c r="L10487" t="str">
        <f>T("8084713303")</f>
        <v>8084713303</v>
      </c>
    </row>
    <row r="10488" spans="1:12" x14ac:dyDescent="0.35">
      <c r="A10488" t="str">
        <f t="shared" si="3844"/>
        <v>COMNAVREG HAWAII</v>
      </c>
      <c r="B10488" t="str">
        <f>T("FIRE DEPARTMENT")</f>
        <v>FIRE DEPARTMENT</v>
      </c>
      <c r="C10488" t="str">
        <f>T("650 CENTER DRIVE")</f>
        <v>650 CENTER DRIVE</v>
      </c>
      <c r="D10488" t="str">
        <f t="shared" si="3845"/>
        <v>PEARL HARBOR</v>
      </c>
      <c r="E10488" t="str">
        <f t="shared" si="3841"/>
        <v>HI</v>
      </c>
      <c r="F10488" t="str">
        <f>T("968604101")</f>
        <v>968604101</v>
      </c>
      <c r="G10488" t="str">
        <f>T("FIRE DEPARTMENT")</f>
        <v>FIRE DEPARTMENT</v>
      </c>
      <c r="H10488" t="str">
        <f>T("650 CENTER DRIVE")</f>
        <v>650 CENTER DRIVE</v>
      </c>
      <c r="I10488" t="str">
        <f t="shared" si="3846"/>
        <v>PEARL HARBOR</v>
      </c>
      <c r="J10488" t="str">
        <f t="shared" si="3842"/>
        <v>HI</v>
      </c>
      <c r="K10488" t="str">
        <f>T("8084745772")</f>
        <v>8084745772</v>
      </c>
      <c r="L10488" t="str">
        <f>T("8084713303")</f>
        <v>8084713303</v>
      </c>
    </row>
    <row r="10489" spans="1:12" x14ac:dyDescent="0.35">
      <c r="A10489" t="str">
        <f t="shared" si="3844"/>
        <v>COMNAVREG HAWAII</v>
      </c>
      <c r="B10489" t="str">
        <f>T("FORCE PROTECTION")</f>
        <v>FORCE PROTECTION</v>
      </c>
      <c r="C10489" t="str">
        <f>T("370 FULLER WAY, BLDG 278")</f>
        <v>370 FULLER WAY, BLDG 278</v>
      </c>
      <c r="D10489" t="str">
        <f>T("JBPHH")</f>
        <v>JBPHH</v>
      </c>
      <c r="E10489" t="str">
        <f t="shared" si="3841"/>
        <v>HI</v>
      </c>
      <c r="F10489" t="str">
        <f>T("968604965")</f>
        <v>968604965</v>
      </c>
      <c r="G10489" t="str">
        <f>T("FORCE PROTECTION")</f>
        <v>FORCE PROTECTION</v>
      </c>
      <c r="H10489" t="str">
        <f>T("370 FULLER WAY")</f>
        <v>370 FULLER WAY</v>
      </c>
      <c r="I10489" t="str">
        <f t="shared" si="3846"/>
        <v>PEARL HARBOR</v>
      </c>
      <c r="J10489" t="str">
        <f t="shared" si="3842"/>
        <v>HI</v>
      </c>
      <c r="K10489" t="str">
        <f>T("8084710913")</f>
        <v>8084710913</v>
      </c>
      <c r="L10489" t="str">
        <f>T("8084710973")</f>
        <v>8084710973</v>
      </c>
    </row>
    <row r="10490" spans="1:12" x14ac:dyDescent="0.35">
      <c r="A10490" t="str">
        <f t="shared" si="3844"/>
        <v>COMNAVREG HAWAII</v>
      </c>
      <c r="B10490" t="str">
        <f>T("FORCE PROTECTION")</f>
        <v>FORCE PROTECTION</v>
      </c>
      <c r="C10490" t="str">
        <f>T("370 FULLER WAY, BLDG 278")</f>
        <v>370 FULLER WAY, BLDG 278</v>
      </c>
      <c r="D10490" t="str">
        <f>T("JBPHH")</f>
        <v>JBPHH</v>
      </c>
      <c r="E10490" t="str">
        <f t="shared" si="3841"/>
        <v>HI</v>
      </c>
      <c r="F10490" t="str">
        <f>T("968604965")</f>
        <v>968604965</v>
      </c>
      <c r="G10490" t="str">
        <f>T("FORCE PROTECTION")</f>
        <v>FORCE PROTECTION</v>
      </c>
      <c r="H10490" t="str">
        <f>T("370 FULLER WAY, BLDG 278")</f>
        <v>370 FULLER WAY, BLDG 278</v>
      </c>
      <c r="I10490" t="str">
        <f>T("JBPHH")</f>
        <v>JBPHH</v>
      </c>
      <c r="J10490" t="str">
        <f t="shared" si="3842"/>
        <v>HI</v>
      </c>
      <c r="K10490" t="str">
        <f>T("8084741997")</f>
        <v>8084741997</v>
      </c>
      <c r="L10490" t="str">
        <f>T("8084746267")</f>
        <v>8084746267</v>
      </c>
    </row>
    <row r="10491" spans="1:12" x14ac:dyDescent="0.35">
      <c r="A10491" t="str">
        <f t="shared" si="3844"/>
        <v>COMNAVREG HAWAII</v>
      </c>
      <c r="B10491" t="str">
        <f>T("HICKAM PW PLANNING")</f>
        <v>HICKAM PW PLANNING</v>
      </c>
      <c r="C10491" t="str">
        <f>T("75 H STREET")</f>
        <v>75 H STREET</v>
      </c>
      <c r="D10491" t="str">
        <f>T("JBPHH")</f>
        <v>JBPHH</v>
      </c>
      <c r="E10491" t="str">
        <f t="shared" si="3841"/>
        <v>HI</v>
      </c>
      <c r="F10491" t="str">
        <f>T("968535221")</f>
        <v>968535221</v>
      </c>
      <c r="G10491" t="str">
        <f>T("1025 QUINCY AVENUE")</f>
        <v>1025 QUINCY AVENUE</v>
      </c>
      <c r="H10491" t="str">
        <f>T("SUITE 800")</f>
        <v>SUITE 800</v>
      </c>
      <c r="I10491" t="str">
        <f>T("PEARL HARBOR")</f>
        <v>PEARL HARBOR</v>
      </c>
      <c r="J10491" t="str">
        <f t="shared" si="3842"/>
        <v>HI</v>
      </c>
      <c r="K10491" t="str">
        <f>T("000000000000000000")</f>
        <v>000000000000000000</v>
      </c>
      <c r="L10491" t="str">
        <f>T("8084743615")</f>
        <v>8084743615</v>
      </c>
    </row>
    <row r="10492" spans="1:12" x14ac:dyDescent="0.35">
      <c r="A10492" t="str">
        <f t="shared" si="3844"/>
        <v>COMNAVREG HAWAII</v>
      </c>
      <c r="B10492" t="str">
        <f>T("HICKAM PW PLANNING")</f>
        <v>HICKAM PW PLANNING</v>
      </c>
      <c r="C10492" t="str">
        <f>T("75 H STREET")</f>
        <v>75 H STREET</v>
      </c>
      <c r="D10492" t="str">
        <f>T("JBPHH")</f>
        <v>JBPHH</v>
      </c>
      <c r="E10492" t="str">
        <f t="shared" si="3841"/>
        <v>HI</v>
      </c>
      <c r="F10492" t="str">
        <f>T("968535221")</f>
        <v>968535221</v>
      </c>
      <c r="G10492" t="str">
        <f>T("850 TICONDEROGA STREET")</f>
        <v>850 TICONDEROGA STREET</v>
      </c>
      <c r="H10492" t="str">
        <f>T("SUITE 110")</f>
        <v>SUITE 110</v>
      </c>
      <c r="I10492" t="str">
        <f>T("PEARL HARBOR")</f>
        <v>PEARL HARBOR</v>
      </c>
      <c r="J10492" t="str">
        <f t="shared" si="3842"/>
        <v>HI</v>
      </c>
      <c r="K10492" t="str">
        <f>T("8084734922")</f>
        <v>8084734922</v>
      </c>
      <c r="L10492" t="str">
        <f>T("8084731715")</f>
        <v>8084731715</v>
      </c>
    </row>
    <row r="10493" spans="1:12" x14ac:dyDescent="0.35">
      <c r="A10493" t="str">
        <f t="shared" si="3844"/>
        <v>COMNAVREG HAWAII</v>
      </c>
      <c r="B10493" t="str">
        <f>T("HICKAM PW PLANNING")</f>
        <v>HICKAM PW PLANNING</v>
      </c>
      <c r="C10493" t="str">
        <f>T("75 H STREET")</f>
        <v>75 H STREET</v>
      </c>
      <c r="D10493" t="str">
        <f>T("JBPHH")</f>
        <v>JBPHH</v>
      </c>
      <c r="E10493" t="str">
        <f t="shared" si="3841"/>
        <v>HI</v>
      </c>
      <c r="F10493" t="str">
        <f>T("968535221")</f>
        <v>968535221</v>
      </c>
      <c r="G10493" t="str">
        <f>T("HICKAM PW PLANNING")</f>
        <v>HICKAM PW PLANNING</v>
      </c>
      <c r="H10493" t="str">
        <f>T("75 H STREET")</f>
        <v>75 H STREET</v>
      </c>
      <c r="I10493" t="str">
        <f>T("JBPHH")</f>
        <v>JBPHH</v>
      </c>
      <c r="J10493" t="str">
        <f t="shared" si="3842"/>
        <v>HI</v>
      </c>
      <c r="K10493" t="str">
        <f>T("8084482844")</f>
        <v>8084482844</v>
      </c>
      <c r="L10493" t="str">
        <f>T("8084482867")</f>
        <v>8084482867</v>
      </c>
    </row>
    <row r="10494" spans="1:12" x14ac:dyDescent="0.35">
      <c r="A10494" t="str">
        <f t="shared" si="3844"/>
        <v>COMNAVREG HAWAII</v>
      </c>
      <c r="B10494" t="str">
        <f>T("JB SAFETY")</f>
        <v>JB SAFETY</v>
      </c>
      <c r="C10494" t="str">
        <f>T("370 FULLER WAY, BLDG 278")</f>
        <v>370 FULLER WAY, BLDG 278</v>
      </c>
      <c r="D10494" t="str">
        <f t="shared" ref="D10494:D10500" si="3847">T("PEARL HARBOR")</f>
        <v>PEARL HARBOR</v>
      </c>
      <c r="E10494" t="str">
        <f t="shared" si="3841"/>
        <v>HI</v>
      </c>
      <c r="F10494" t="str">
        <f>T("968604965")</f>
        <v>968604965</v>
      </c>
      <c r="G10494" t="str">
        <f>T("850 TICONDEROGA ST STE 110")</f>
        <v>850 TICONDEROGA ST STE 110</v>
      </c>
      <c r="H10494" t="str">
        <f>T("")</f>
        <v/>
      </c>
      <c r="I10494" t="str">
        <f>T("PEARL HARBOR")</f>
        <v>PEARL HARBOR</v>
      </c>
      <c r="J10494" t="str">
        <f t="shared" si="3842"/>
        <v>HI</v>
      </c>
      <c r="K10494" t="str">
        <f>T("000000000000000000")</f>
        <v>000000000000000000</v>
      </c>
      <c r="L10494" t="str">
        <f>T("8084731169")</f>
        <v>8084731169</v>
      </c>
    </row>
    <row r="10495" spans="1:12" x14ac:dyDescent="0.35">
      <c r="A10495" t="str">
        <f t="shared" si="3844"/>
        <v>COMNAVREG HAWAII</v>
      </c>
      <c r="B10495" t="str">
        <f>T("JB SAFETY")</f>
        <v>JB SAFETY</v>
      </c>
      <c r="C10495" t="str">
        <f>T("370 FULLER WAY, BLDG 278")</f>
        <v>370 FULLER WAY, BLDG 278</v>
      </c>
      <c r="D10495" t="str">
        <f t="shared" si="3847"/>
        <v>PEARL HARBOR</v>
      </c>
      <c r="E10495" t="str">
        <f t="shared" si="3841"/>
        <v>HI</v>
      </c>
      <c r="F10495" t="str">
        <f>T("968604965")</f>
        <v>968604965</v>
      </c>
      <c r="G10495" t="str">
        <f>T("JB SAFETY")</f>
        <v>JB SAFETY</v>
      </c>
      <c r="H10495" t="str">
        <f>T("370 FULLER WAY, BLDG 278")</f>
        <v>370 FULLER WAY, BLDG 278</v>
      </c>
      <c r="I10495" t="str">
        <f>T("PEARL HARBOR")</f>
        <v>PEARL HARBOR</v>
      </c>
      <c r="J10495" t="str">
        <f t="shared" si="3842"/>
        <v>HI</v>
      </c>
      <c r="K10495" t="str">
        <f>T("8084746204")</f>
        <v>8084746204</v>
      </c>
      <c r="L10495" t="str">
        <f>T("8084746191")</f>
        <v>8084746191</v>
      </c>
    </row>
    <row r="10496" spans="1:12" x14ac:dyDescent="0.35">
      <c r="A10496" t="str">
        <f t="shared" si="3844"/>
        <v>COMNAVREG HAWAII</v>
      </c>
      <c r="B10496" t="str">
        <f>T("PORT OPREATIONS")</f>
        <v>PORT OPREATIONS</v>
      </c>
      <c r="C10496" t="str">
        <f>T("850 TICONDEROGA STREET")</f>
        <v>850 TICONDEROGA STREET</v>
      </c>
      <c r="D10496" t="str">
        <f t="shared" si="3847"/>
        <v>PEARL HARBOR</v>
      </c>
      <c r="E10496" t="str">
        <f t="shared" si="3841"/>
        <v>HI</v>
      </c>
      <c r="F10496" t="str">
        <f>T("968605117")</f>
        <v>968605117</v>
      </c>
      <c r="G10496" t="str">
        <f>T("850 TICONDEROGA")</f>
        <v>850 TICONDEROGA</v>
      </c>
      <c r="H10496" t="str">
        <f>T("SUITE 114")</f>
        <v>SUITE 114</v>
      </c>
      <c r="I10496" t="str">
        <f>T("JBPHH")</f>
        <v>JBPHH</v>
      </c>
      <c r="J10496" t="str">
        <f t="shared" si="3842"/>
        <v>HI</v>
      </c>
      <c r="K10496" t="str">
        <f>T("000000000000000000")</f>
        <v>000000000000000000</v>
      </c>
      <c r="L10496" t="str">
        <f>T("8084731139")</f>
        <v>8084731139</v>
      </c>
    </row>
    <row r="10497" spans="1:12" x14ac:dyDescent="0.35">
      <c r="A10497" t="str">
        <f t="shared" si="3844"/>
        <v>COMNAVREG HAWAII</v>
      </c>
      <c r="B10497" t="str">
        <f>T("PORT OPREATIONS")</f>
        <v>PORT OPREATIONS</v>
      </c>
      <c r="C10497" t="str">
        <f>T("850 TICONDEROGA STREET")</f>
        <v>850 TICONDEROGA STREET</v>
      </c>
      <c r="D10497" t="str">
        <f t="shared" si="3847"/>
        <v>PEARL HARBOR</v>
      </c>
      <c r="E10497" t="str">
        <f t="shared" si="3841"/>
        <v>HI</v>
      </c>
      <c r="F10497" t="str">
        <f>T("968605117")</f>
        <v>968605117</v>
      </c>
      <c r="G10497" t="str">
        <f>T("PORT OPERATIONS")</f>
        <v>PORT OPERATIONS</v>
      </c>
      <c r="H10497" t="str">
        <f>T("850 TICONDEROGA STREET STE 100")</f>
        <v>850 TICONDEROGA STREET STE 100</v>
      </c>
      <c r="I10497" t="str">
        <f>T("PEARL HARBOR")</f>
        <v>PEARL HARBOR</v>
      </c>
      <c r="J10497" t="str">
        <f t="shared" si="3842"/>
        <v>HI</v>
      </c>
      <c r="K10497" t="str">
        <f>T("8084731136")</f>
        <v>8084731136</v>
      </c>
      <c r="L10497" t="str">
        <f>T("8084731095")</f>
        <v>8084731095</v>
      </c>
    </row>
    <row r="10498" spans="1:12" x14ac:dyDescent="0.35">
      <c r="A10498" t="str">
        <f t="shared" si="3844"/>
        <v>COMNAVREG HAWAII</v>
      </c>
      <c r="B10498" t="str">
        <f>T("PORT OPREATIONS")</f>
        <v>PORT OPREATIONS</v>
      </c>
      <c r="C10498" t="str">
        <f>T("850 TICONDEROGA STREET")</f>
        <v>850 TICONDEROGA STREET</v>
      </c>
      <c r="D10498" t="str">
        <f t="shared" si="3847"/>
        <v>PEARL HARBOR</v>
      </c>
      <c r="E10498" t="str">
        <f t="shared" si="3841"/>
        <v>HI</v>
      </c>
      <c r="F10498" t="str">
        <f>T("968605117")</f>
        <v>968605117</v>
      </c>
      <c r="G10498" t="str">
        <f>T("PORT OPREATIONS")</f>
        <v>PORT OPREATIONS</v>
      </c>
      <c r="H10498" t="str">
        <f>T("850 TICONDEROGA STREET")</f>
        <v>850 TICONDEROGA STREET</v>
      </c>
      <c r="I10498" t="str">
        <f>T("PEARL HARBOR")</f>
        <v>PEARL HARBOR</v>
      </c>
      <c r="J10498" t="str">
        <f t="shared" si="3842"/>
        <v>HI</v>
      </c>
      <c r="K10498" t="str">
        <f>T("8084731136")</f>
        <v>8084731136</v>
      </c>
      <c r="L10498" t="str">
        <f>T("8084730418")</f>
        <v>8084730418</v>
      </c>
    </row>
    <row r="10499" spans="1:12" x14ac:dyDescent="0.35">
      <c r="A10499" t="str">
        <f t="shared" si="3844"/>
        <v>COMNAVREG HAWAII</v>
      </c>
      <c r="B10499" t="str">
        <f>T("SAFETY CODE N35")</f>
        <v>SAFETY CODE N35</v>
      </c>
      <c r="C10499" t="str">
        <f>T("850 TICONDEROGA ST STE 100")</f>
        <v>850 TICONDEROGA ST STE 100</v>
      </c>
      <c r="D10499" t="str">
        <f t="shared" si="3847"/>
        <v>PEARL HARBOR</v>
      </c>
      <c r="E10499" t="str">
        <f t="shared" si="3841"/>
        <v>HI</v>
      </c>
      <c r="F10499" t="str">
        <f>T("968605102")</f>
        <v>968605102</v>
      </c>
      <c r="G10499" t="str">
        <f>T("850 TICONDEROGA ST STE 110")</f>
        <v>850 TICONDEROGA ST STE 110</v>
      </c>
      <c r="H10499" t="str">
        <f>T("BLDG 150 CODE N3")</f>
        <v>BLDG 150 CODE N3</v>
      </c>
      <c r="I10499" t="str">
        <f>T("PEARL HARBOR")</f>
        <v>PEARL HARBOR</v>
      </c>
      <c r="J10499" t="str">
        <f t="shared" si="3842"/>
        <v>HI</v>
      </c>
      <c r="K10499" t="str">
        <f>T("000000000000000000")</f>
        <v>000000000000000000</v>
      </c>
      <c r="L10499" t="str">
        <f>T("8084731088")</f>
        <v>8084731088</v>
      </c>
    </row>
    <row r="10500" spans="1:12" x14ac:dyDescent="0.35">
      <c r="A10500" t="str">
        <f t="shared" si="3844"/>
        <v>COMNAVREG HAWAII</v>
      </c>
      <c r="B10500" t="str">
        <f>T("SAFETY CODE N35")</f>
        <v>SAFETY CODE N35</v>
      </c>
      <c r="C10500" t="str">
        <f>T("850 TICONDEROGA ST STE 100")</f>
        <v>850 TICONDEROGA ST STE 100</v>
      </c>
      <c r="D10500" t="str">
        <f t="shared" si="3847"/>
        <v>PEARL HARBOR</v>
      </c>
      <c r="E10500" t="str">
        <f t="shared" si="3841"/>
        <v>HI</v>
      </c>
      <c r="F10500" t="str">
        <f>T("968605102")</f>
        <v>968605102</v>
      </c>
      <c r="G10500" t="str">
        <f>T("SAFETY CODE N35")</f>
        <v>SAFETY CODE N35</v>
      </c>
      <c r="H10500" t="str">
        <f>T("850 TICONDEROGA ST STE 100")</f>
        <v>850 TICONDEROGA ST STE 100</v>
      </c>
      <c r="I10500" t="str">
        <f>T("PEARL HARBOR")</f>
        <v>PEARL HARBOR</v>
      </c>
      <c r="J10500" t="str">
        <f t="shared" si="3842"/>
        <v>HI</v>
      </c>
      <c r="K10500" t="str">
        <f>T("8084731237")</f>
        <v>8084731237</v>
      </c>
      <c r="L10500" t="str">
        <f>T("8084732572")</f>
        <v>8084732572</v>
      </c>
    </row>
    <row r="10501" spans="1:12" x14ac:dyDescent="0.35">
      <c r="A10501" t="str">
        <f t="shared" ref="A10501:A10522" si="3848">T("CNRMA GREAT LAKES")</f>
        <v>CNRMA GREAT LAKES</v>
      </c>
      <c r="B10501" t="str">
        <f>T("2601B PAUL JONES ST")</f>
        <v>2601B PAUL JONES ST</v>
      </c>
      <c r="C10501" t="str">
        <f>T("")</f>
        <v/>
      </c>
      <c r="D10501" t="str">
        <f t="shared" ref="D10501:D10522" si="3849">T("GREAT LAKES")</f>
        <v>GREAT LAKES</v>
      </c>
      <c r="E10501" t="str">
        <f t="shared" ref="E10501:E10522" si="3850">T("IL")</f>
        <v>IL</v>
      </c>
      <c r="F10501" t="str">
        <f>T("600882834")</f>
        <v>600882834</v>
      </c>
      <c r="G10501" t="str">
        <f>T("2601 PAUL JONES ST")</f>
        <v>2601 PAUL JONES ST</v>
      </c>
      <c r="H10501" t="str">
        <f>T("BUILDING 1 RM 130")</f>
        <v>BUILDING 1 RM 130</v>
      </c>
      <c r="I10501" t="str">
        <f t="shared" ref="I10501:I10522" si="3851">T("GREAT LAKES")</f>
        <v>GREAT LAKES</v>
      </c>
      <c r="J10501" t="str">
        <f t="shared" ref="J10501:J10522" si="3852">T("IL")</f>
        <v>IL</v>
      </c>
      <c r="K10501" t="str">
        <f>T("8476882622204")</f>
        <v>8476882622204</v>
      </c>
      <c r="L10501" t="str">
        <f>T("1111111111")</f>
        <v>1111111111</v>
      </c>
    </row>
    <row r="10502" spans="1:12" x14ac:dyDescent="0.35">
      <c r="A10502" t="str">
        <f t="shared" si="3848"/>
        <v>CNRMA GREAT LAKES</v>
      </c>
      <c r="B10502" t="str">
        <f>T("2601B PAUL JONES ST")</f>
        <v>2601B PAUL JONES ST</v>
      </c>
      <c r="C10502" t="str">
        <f>T("")</f>
        <v/>
      </c>
      <c r="D10502" t="str">
        <f t="shared" si="3849"/>
        <v>GREAT LAKES</v>
      </c>
      <c r="E10502" t="str">
        <f t="shared" si="3850"/>
        <v>IL</v>
      </c>
      <c r="F10502" t="str">
        <f>T("600882834")</f>
        <v>600882834</v>
      </c>
      <c r="G10502" t="str">
        <f>T("2601B PAUL JONES ST")</f>
        <v>2601B PAUL JONES ST</v>
      </c>
      <c r="H10502" t="str">
        <f>T("")</f>
        <v/>
      </c>
      <c r="I10502" t="str">
        <f t="shared" si="3851"/>
        <v>GREAT LAKES</v>
      </c>
      <c r="J10502" t="str">
        <f t="shared" si="3852"/>
        <v>IL</v>
      </c>
      <c r="K10502" t="str">
        <f>T("000000000000000000")</f>
        <v>000000000000000000</v>
      </c>
      <c r="L10502" t="str">
        <f>T("1111111111")</f>
        <v>1111111111</v>
      </c>
    </row>
    <row r="10503" spans="1:12" x14ac:dyDescent="0.35">
      <c r="A10503" t="str">
        <f t="shared" si="3848"/>
        <v>CNRMA GREAT LAKES</v>
      </c>
      <c r="B10503" t="str">
        <f t="shared" ref="B10503:B10508" si="3853">T("310 SEABEE WAY")</f>
        <v>310 SEABEE WAY</v>
      </c>
      <c r="C10503" t="str">
        <f>T("BUILDING 1H")</f>
        <v>BUILDING 1H</v>
      </c>
      <c r="D10503" t="str">
        <f t="shared" si="3849"/>
        <v>GREAT LAKES</v>
      </c>
      <c r="E10503" t="str">
        <f t="shared" si="3850"/>
        <v>IL</v>
      </c>
      <c r="F10503" t="str">
        <f t="shared" ref="F10503:F10508" si="3854">T("600882856")</f>
        <v>600882856</v>
      </c>
      <c r="G10503" t="str">
        <f>T("201 DECATUR AVE")</f>
        <v>201 DECATUR AVE</v>
      </c>
      <c r="H10503" t="str">
        <f>T("")</f>
        <v/>
      </c>
      <c r="I10503" t="str">
        <f t="shared" si="3851"/>
        <v>GREAT LAKES</v>
      </c>
      <c r="J10503" t="str">
        <f t="shared" si="3852"/>
        <v>IL</v>
      </c>
      <c r="K10503" t="str">
        <f>T("000000000000000000")</f>
        <v>000000000000000000</v>
      </c>
      <c r="L10503" t="str">
        <f>T("8476883368")</f>
        <v>8476883368</v>
      </c>
    </row>
    <row r="10504" spans="1:12" x14ac:dyDescent="0.35">
      <c r="A10504" t="str">
        <f t="shared" si="3848"/>
        <v>CNRMA GREAT LAKES</v>
      </c>
      <c r="B10504" t="str">
        <f t="shared" si="3853"/>
        <v>310 SEABEE WAY</v>
      </c>
      <c r="C10504" t="str">
        <f>T("BUILDING 1H")</f>
        <v>BUILDING 1H</v>
      </c>
      <c r="D10504" t="str">
        <f t="shared" si="3849"/>
        <v>GREAT LAKES</v>
      </c>
      <c r="E10504" t="str">
        <f t="shared" si="3850"/>
        <v>IL</v>
      </c>
      <c r="F10504" t="str">
        <f t="shared" si="3854"/>
        <v>600882856</v>
      </c>
      <c r="G10504" t="str">
        <f>T("310 B STREET")</f>
        <v>310 B STREET</v>
      </c>
      <c r="H10504" t="str">
        <f>T("BLD 1H")</f>
        <v>BLD 1H</v>
      </c>
      <c r="I10504" t="str">
        <f t="shared" si="3851"/>
        <v>GREAT LAKES</v>
      </c>
      <c r="J10504" t="str">
        <f t="shared" si="3852"/>
        <v>IL</v>
      </c>
      <c r="K10504" t="str">
        <f>T("8476885395224")</f>
        <v>8476885395224</v>
      </c>
      <c r="L10504" t="str">
        <f>T("1111111111")</f>
        <v>1111111111</v>
      </c>
    </row>
    <row r="10505" spans="1:12" x14ac:dyDescent="0.35">
      <c r="A10505" t="str">
        <f t="shared" si="3848"/>
        <v>CNRMA GREAT LAKES</v>
      </c>
      <c r="B10505" t="str">
        <f t="shared" si="3853"/>
        <v>310 SEABEE WAY</v>
      </c>
      <c r="C10505" t="str">
        <f>T("BUILDING 1H")</f>
        <v>BUILDING 1H</v>
      </c>
      <c r="D10505" t="str">
        <f t="shared" si="3849"/>
        <v>GREAT LAKES</v>
      </c>
      <c r="E10505" t="str">
        <f t="shared" si="3850"/>
        <v>IL</v>
      </c>
      <c r="F10505" t="str">
        <f t="shared" si="3854"/>
        <v>600882856</v>
      </c>
      <c r="G10505" t="str">
        <f>T("310 B STREET")</f>
        <v>310 B STREET</v>
      </c>
      <c r="H10505" t="str">
        <f>T("BUILDING 1H")</f>
        <v>BUILDING 1H</v>
      </c>
      <c r="I10505" t="str">
        <f t="shared" si="3851"/>
        <v>GREAT LAKES</v>
      </c>
      <c r="J10505" t="str">
        <f t="shared" si="3852"/>
        <v>IL</v>
      </c>
      <c r="K10505" t="str">
        <f>T("000000000000000000")</f>
        <v>000000000000000000</v>
      </c>
      <c r="L10505" t="str">
        <f>T("8476885393")</f>
        <v>8476885393</v>
      </c>
    </row>
    <row r="10506" spans="1:12" x14ac:dyDescent="0.35">
      <c r="A10506" t="str">
        <f t="shared" si="3848"/>
        <v>CNRMA GREAT LAKES</v>
      </c>
      <c r="B10506" t="str">
        <f t="shared" si="3853"/>
        <v>310 SEABEE WAY</v>
      </c>
      <c r="C10506" t="str">
        <f>T("BUILDING 1H")</f>
        <v>BUILDING 1H</v>
      </c>
      <c r="D10506" t="str">
        <f t="shared" si="3849"/>
        <v>GREAT LAKES</v>
      </c>
      <c r="E10506" t="str">
        <f t="shared" si="3850"/>
        <v>IL</v>
      </c>
      <c r="F10506" t="str">
        <f t="shared" si="3854"/>
        <v>600882856</v>
      </c>
      <c r="G10506" t="str">
        <f>T("310 SEABEE WAY")</f>
        <v>310 SEABEE WAY</v>
      </c>
      <c r="H10506" t="str">
        <f>T("BUILDING 1H")</f>
        <v>BUILDING 1H</v>
      </c>
      <c r="I10506" t="str">
        <f t="shared" si="3851"/>
        <v>GREAT LAKES</v>
      </c>
      <c r="J10506" t="str">
        <f t="shared" si="3852"/>
        <v>IL</v>
      </c>
      <c r="K10506" t="str">
        <f>T("000000000000000000")</f>
        <v>000000000000000000</v>
      </c>
      <c r="L10506" t="str">
        <f>T("1111111111")</f>
        <v>1111111111</v>
      </c>
    </row>
    <row r="10507" spans="1:12" x14ac:dyDescent="0.35">
      <c r="A10507" t="str">
        <f t="shared" si="3848"/>
        <v>CNRMA GREAT LAKES</v>
      </c>
      <c r="B10507" t="str">
        <f t="shared" si="3853"/>
        <v>310 SEABEE WAY</v>
      </c>
      <c r="C10507" t="str">
        <f>T("BUILDING B1H")</f>
        <v>BUILDING B1H</v>
      </c>
      <c r="D10507" t="str">
        <f t="shared" si="3849"/>
        <v>GREAT LAKES</v>
      </c>
      <c r="E10507" t="str">
        <f t="shared" si="3850"/>
        <v>IL</v>
      </c>
      <c r="F10507" t="str">
        <f t="shared" si="3854"/>
        <v>600882856</v>
      </c>
      <c r="G10507" t="str">
        <f>T("310 SEABEE WAY")</f>
        <v>310 SEABEE WAY</v>
      </c>
      <c r="H10507" t="str">
        <f>T("BUILDING B1H")</f>
        <v>BUILDING B1H</v>
      </c>
      <c r="I10507" t="str">
        <f t="shared" si="3851"/>
        <v>GREAT LAKES</v>
      </c>
      <c r="J10507" t="str">
        <f t="shared" si="3852"/>
        <v>IL</v>
      </c>
      <c r="K10507" t="str">
        <f>T("000000000000000000")</f>
        <v>000000000000000000</v>
      </c>
      <c r="L10507" t="str">
        <f>T("8476886338")</f>
        <v>8476886338</v>
      </c>
    </row>
    <row r="10508" spans="1:12" x14ac:dyDescent="0.35">
      <c r="A10508" t="str">
        <f t="shared" si="3848"/>
        <v>CNRMA GREAT LAKES</v>
      </c>
      <c r="B10508" t="str">
        <f t="shared" si="3853"/>
        <v>310 SEABEE WAY</v>
      </c>
      <c r="C10508" t="str">
        <f>T("BUILDING B1H")</f>
        <v>BUILDING B1H</v>
      </c>
      <c r="D10508" t="str">
        <f t="shared" si="3849"/>
        <v>GREAT LAKES</v>
      </c>
      <c r="E10508" t="str">
        <f t="shared" si="3850"/>
        <v>IL</v>
      </c>
      <c r="F10508" t="str">
        <f t="shared" si="3854"/>
        <v>600882856</v>
      </c>
      <c r="G10508" t="str">
        <f>T("NAVAL STATION GREAT LAKES")</f>
        <v>NAVAL STATION GREAT LAKES</v>
      </c>
      <c r="H10508" t="str">
        <f>T("2601 E PAUL JONES STREET")</f>
        <v>2601 E PAUL JONES STREET</v>
      </c>
      <c r="I10508" t="str">
        <f t="shared" si="3851"/>
        <v>GREAT LAKES</v>
      </c>
      <c r="J10508" t="str">
        <f t="shared" si="3852"/>
        <v>IL</v>
      </c>
      <c r="K10508" t="str">
        <f>T("000000000000000000")</f>
        <v>000000000000000000</v>
      </c>
      <c r="L10508" t="str">
        <f>T("8476883970")</f>
        <v>8476883970</v>
      </c>
    </row>
    <row r="10509" spans="1:12" x14ac:dyDescent="0.35">
      <c r="A10509" t="str">
        <f t="shared" si="3848"/>
        <v>CNRMA GREAT LAKES</v>
      </c>
      <c r="B10509" t="str">
        <f>T("521 DECATUR AVE")</f>
        <v>521 DECATUR AVE</v>
      </c>
      <c r="C10509" t="str">
        <f>T("BLDG 179 RM 212")</f>
        <v>BLDG 179 RM 212</v>
      </c>
      <c r="D10509" t="str">
        <f t="shared" si="3849"/>
        <v>GREAT LAKES</v>
      </c>
      <c r="E10509" t="str">
        <f t="shared" si="3850"/>
        <v>IL</v>
      </c>
      <c r="F10509" t="str">
        <f>T("600882829")</f>
        <v>600882829</v>
      </c>
      <c r="G10509" t="str">
        <f>T("521 DECATUR AVE")</f>
        <v>521 DECATUR AVE</v>
      </c>
      <c r="H10509" t="str">
        <f>T("BLDG 179")</f>
        <v>BLDG 179</v>
      </c>
      <c r="I10509" t="str">
        <f t="shared" si="3851"/>
        <v>GREAT LAKES</v>
      </c>
      <c r="J10509" t="str">
        <f t="shared" si="3852"/>
        <v>IL</v>
      </c>
      <c r="K10509" t="str">
        <f>T("8476884721211")</f>
        <v>8476884721211</v>
      </c>
      <c r="L10509" t="str">
        <f>T("8476884721")</f>
        <v>8476884721</v>
      </c>
    </row>
    <row r="10510" spans="1:12" x14ac:dyDescent="0.35">
      <c r="A10510" t="str">
        <f t="shared" si="3848"/>
        <v>CNRMA GREAT LAKES</v>
      </c>
      <c r="B10510" t="str">
        <f>T("521 DECATUR AVE")</f>
        <v>521 DECATUR AVE</v>
      </c>
      <c r="C10510" t="str">
        <f>T("BLDG 179 RM 212")</f>
        <v>BLDG 179 RM 212</v>
      </c>
      <c r="D10510" t="str">
        <f t="shared" si="3849"/>
        <v>GREAT LAKES</v>
      </c>
      <c r="E10510" t="str">
        <f t="shared" si="3850"/>
        <v>IL</v>
      </c>
      <c r="F10510" t="str">
        <f>T("600882829")</f>
        <v>600882829</v>
      </c>
      <c r="G10510" t="str">
        <f>T("521 DECATUR AVE")</f>
        <v>521 DECATUR AVE</v>
      </c>
      <c r="H10510" t="str">
        <f>T("BLDG 179 RM 212")</f>
        <v>BLDG 179 RM 212</v>
      </c>
      <c r="I10510" t="str">
        <f t="shared" si="3851"/>
        <v>GREAT LAKES</v>
      </c>
      <c r="J10510" t="str">
        <f t="shared" si="3852"/>
        <v>IL</v>
      </c>
      <c r="K10510" t="str">
        <f>T("000000000000000000")</f>
        <v>000000000000000000</v>
      </c>
      <c r="L10510" t="str">
        <f>T("8476882386")</f>
        <v>8476882386</v>
      </c>
    </row>
    <row r="10511" spans="1:12" x14ac:dyDescent="0.35">
      <c r="A10511" t="str">
        <f t="shared" si="3848"/>
        <v>CNRMA GREAT LAKES</v>
      </c>
      <c r="B10511" t="str">
        <f>T("521 DECATUR AVE")</f>
        <v>521 DECATUR AVE</v>
      </c>
      <c r="C10511" t="str">
        <f>T("BLDG 179 RM 212")</f>
        <v>BLDG 179 RM 212</v>
      </c>
      <c r="D10511" t="str">
        <f t="shared" si="3849"/>
        <v>GREAT LAKES</v>
      </c>
      <c r="E10511" t="str">
        <f t="shared" si="3850"/>
        <v>IL</v>
      </c>
      <c r="F10511" t="str">
        <f>T("600882829")</f>
        <v>600882829</v>
      </c>
      <c r="G10511" t="str">
        <f>T("525 DECATUR AVE")</f>
        <v>525 DECATUR AVE</v>
      </c>
      <c r="H10511" t="str">
        <f>T("")</f>
        <v/>
      </c>
      <c r="I10511" t="str">
        <f t="shared" si="3851"/>
        <v>GREAT LAKES</v>
      </c>
      <c r="J10511" t="str">
        <f t="shared" si="3852"/>
        <v>IL</v>
      </c>
      <c r="K10511" t="str">
        <f>T("8476885555357")</f>
        <v>8476885555357</v>
      </c>
      <c r="L10511" t="str">
        <f>T("1111111111")</f>
        <v>1111111111</v>
      </c>
    </row>
    <row r="10512" spans="1:12" x14ac:dyDescent="0.35">
      <c r="A10512" t="str">
        <f t="shared" si="3848"/>
        <v>CNRMA GREAT LAKES</v>
      </c>
      <c r="B10512" t="str">
        <f>T("COMMAND CHAPLAINS OFFICE")</f>
        <v>COMMAND CHAPLAINS OFFICE</v>
      </c>
      <c r="C10512" t="str">
        <f>T("2601 E PAUL JOHNS STREET")</f>
        <v>2601 E PAUL JOHNS STREET</v>
      </c>
      <c r="D10512" t="str">
        <f t="shared" si="3849"/>
        <v>GREAT LAKES</v>
      </c>
      <c r="E10512" t="str">
        <f t="shared" si="3850"/>
        <v>IL</v>
      </c>
      <c r="F10512" t="str">
        <f>T("600882834")</f>
        <v>600882834</v>
      </c>
      <c r="G10512" t="str">
        <f>T("2601 E PAUL JONES STREET")</f>
        <v>2601 E PAUL JONES STREET</v>
      </c>
      <c r="H10512" t="str">
        <f>T("")</f>
        <v/>
      </c>
      <c r="I10512" t="str">
        <f t="shared" si="3851"/>
        <v>GREAT LAKES</v>
      </c>
      <c r="J10512" t="str">
        <f t="shared" si="3852"/>
        <v>IL</v>
      </c>
      <c r="K10512" t="str">
        <f>T("8476882430427")</f>
        <v>8476882430427</v>
      </c>
      <c r="L10512" t="str">
        <f>T("1111111111")</f>
        <v>1111111111</v>
      </c>
    </row>
    <row r="10513" spans="1:12" x14ac:dyDescent="0.35">
      <c r="A10513" t="str">
        <f t="shared" si="3848"/>
        <v>CNRMA GREAT LAKES</v>
      </c>
      <c r="B10513" t="str">
        <f>T("COMMAND CHAPLAINS OFFICE")</f>
        <v>COMMAND CHAPLAINS OFFICE</v>
      </c>
      <c r="C10513" t="str">
        <f>T("2601 E PAUL JOHNS STREET")</f>
        <v>2601 E PAUL JOHNS STREET</v>
      </c>
      <c r="D10513" t="str">
        <f t="shared" si="3849"/>
        <v>GREAT LAKES</v>
      </c>
      <c r="E10513" t="str">
        <f t="shared" si="3850"/>
        <v>IL</v>
      </c>
      <c r="F10513" t="str">
        <f>T("600882834")</f>
        <v>600882834</v>
      </c>
      <c r="G10513" t="str">
        <f>T("COMMAND CHAPLAINS OFFICE")</f>
        <v>COMMAND CHAPLAINS OFFICE</v>
      </c>
      <c r="H10513" t="str">
        <f>T("2601 E PAUL JOHNS STREET")</f>
        <v>2601 E PAUL JOHNS STREET</v>
      </c>
      <c r="I10513" t="str">
        <f t="shared" si="3851"/>
        <v>GREAT LAKES</v>
      </c>
      <c r="J10513" t="str">
        <f t="shared" si="3852"/>
        <v>IL</v>
      </c>
      <c r="K10513" t="str">
        <f>T("000000000000000000")</f>
        <v>000000000000000000</v>
      </c>
      <c r="L10513" t="str">
        <f>T("1111111111")</f>
        <v>1111111111</v>
      </c>
    </row>
    <row r="10514" spans="1:12" x14ac:dyDescent="0.35">
      <c r="A10514" t="str">
        <f t="shared" si="3848"/>
        <v>CNRMA GREAT LAKES</v>
      </c>
      <c r="B10514" t="str">
        <f>T("FLEET &amp; FAMILY SUPPORT")</f>
        <v>FLEET &amp; FAMILY SUPPORT</v>
      </c>
      <c r="C10514" t="str">
        <f>T("525 FARRAGUT AVE STE 300 BLG")</f>
        <v>525 FARRAGUT AVE STE 300 BLG</v>
      </c>
      <c r="D10514" t="str">
        <f t="shared" si="3849"/>
        <v>GREAT LAKES</v>
      </c>
      <c r="E10514" t="str">
        <f t="shared" si="3850"/>
        <v>IL</v>
      </c>
      <c r="F10514" t="str">
        <f>T("600882918")</f>
        <v>600882918</v>
      </c>
      <c r="G10514" t="str">
        <f>T("525 FARRAGUT AVE")</f>
        <v>525 FARRAGUT AVE</v>
      </c>
      <c r="H10514" t="str">
        <f>T("BUILDING 26 SUITE 300")</f>
        <v>BUILDING 26 SUITE 300</v>
      </c>
      <c r="I10514" t="str">
        <f t="shared" si="3851"/>
        <v>GREAT LAKES</v>
      </c>
      <c r="J10514" t="str">
        <f t="shared" si="3852"/>
        <v>IL</v>
      </c>
      <c r="K10514" t="str">
        <f>T("018476883603")</f>
        <v>018476883603</v>
      </c>
      <c r="L10514" t="str">
        <f>T("8476883603")</f>
        <v>8476883603</v>
      </c>
    </row>
    <row r="10515" spans="1:12" x14ac:dyDescent="0.35">
      <c r="A10515" t="str">
        <f t="shared" si="3848"/>
        <v>CNRMA GREAT LAKES</v>
      </c>
      <c r="B10515" t="str">
        <f>T("FLEET &amp; FAMILY SUPPORT")</f>
        <v>FLEET &amp; FAMILY SUPPORT</v>
      </c>
      <c r="C10515" t="str">
        <f>T("525 FARRAGUT AVE STE 300 BLG")</f>
        <v>525 FARRAGUT AVE STE 300 BLG</v>
      </c>
      <c r="D10515" t="str">
        <f t="shared" si="3849"/>
        <v>GREAT LAKES</v>
      </c>
      <c r="E10515" t="str">
        <f t="shared" si="3850"/>
        <v>IL</v>
      </c>
      <c r="F10515" t="str">
        <f>T("600882918")</f>
        <v>600882918</v>
      </c>
      <c r="G10515" t="str">
        <f>T("FLEET  FAMILY SERVICE CENTER")</f>
        <v>FLEET  FAMILY SERVICE CENTER</v>
      </c>
      <c r="H10515" t="str">
        <f>T("525 FARRAGUT AVE BLDG 26 SUITE 300")</f>
        <v>525 FARRAGUT AVE BLDG 26 SUITE 300</v>
      </c>
      <c r="I10515" t="str">
        <f t="shared" si="3851"/>
        <v>GREAT LAKES</v>
      </c>
      <c r="J10515" t="str">
        <f t="shared" si="3852"/>
        <v>IL</v>
      </c>
      <c r="K10515" t="str">
        <f>T("8476883603117")</f>
        <v>8476883603117</v>
      </c>
      <c r="L10515" t="str">
        <f>T("8476883603")</f>
        <v>8476883603</v>
      </c>
    </row>
    <row r="10516" spans="1:12" x14ac:dyDescent="0.35">
      <c r="A10516" t="str">
        <f t="shared" si="3848"/>
        <v>CNRMA GREAT LAKES</v>
      </c>
      <c r="B10516" t="str">
        <f>T("FLEET &amp; FAMILY SUPPORT")</f>
        <v>FLEET &amp; FAMILY SUPPORT</v>
      </c>
      <c r="C10516" t="str">
        <f>T("525 FARRAGUT AVE STE 300 BLG")</f>
        <v>525 FARRAGUT AVE STE 300 BLG</v>
      </c>
      <c r="D10516" t="str">
        <f t="shared" si="3849"/>
        <v>GREAT LAKES</v>
      </c>
      <c r="E10516" t="str">
        <f t="shared" si="3850"/>
        <v>IL</v>
      </c>
      <c r="F10516" t="str">
        <f>T("600882918")</f>
        <v>600882918</v>
      </c>
      <c r="G10516" t="str">
        <f>T("FLEET &amp; FAMILY SUPPORT")</f>
        <v>FLEET &amp; FAMILY SUPPORT</v>
      </c>
      <c r="H10516" t="str">
        <f>T("525 FARRAGUT AVE STE 300 BLG")</f>
        <v>525 FARRAGUT AVE STE 300 BLG</v>
      </c>
      <c r="I10516" t="str">
        <f t="shared" si="3851"/>
        <v>GREAT LAKES</v>
      </c>
      <c r="J10516" t="str">
        <f t="shared" si="3852"/>
        <v>IL</v>
      </c>
      <c r="K10516" t="str">
        <f>T("000000000000000000")</f>
        <v>000000000000000000</v>
      </c>
      <c r="L10516" t="str">
        <f>T("8476883603")</f>
        <v>8476883603</v>
      </c>
    </row>
    <row r="10517" spans="1:12" x14ac:dyDescent="0.35">
      <c r="A10517" t="str">
        <f t="shared" si="3848"/>
        <v>CNRMA GREAT LAKES</v>
      </c>
      <c r="B10517" t="str">
        <f>T("GREAT LAKE COMM &amp; ADMIN")</f>
        <v>GREAT LAKE COMM &amp; ADMIN</v>
      </c>
      <c r="C10517" t="str">
        <f>T("2601 E PAUL JONES ST")</f>
        <v>2601 E PAUL JONES ST</v>
      </c>
      <c r="D10517" t="str">
        <f t="shared" si="3849"/>
        <v>GREAT LAKES</v>
      </c>
      <c r="E10517" t="str">
        <f t="shared" si="3850"/>
        <v>IL</v>
      </c>
      <c r="F10517" t="str">
        <f>T("600882834")</f>
        <v>600882834</v>
      </c>
      <c r="G10517" t="str">
        <f>T("COMMANDING OFFICER")</f>
        <v>COMMANDING OFFICER</v>
      </c>
      <c r="H10517" t="str">
        <f>T("2601 E PAUL JONES STREET")</f>
        <v>2601 E PAUL JONES STREET</v>
      </c>
      <c r="I10517" t="str">
        <f t="shared" si="3851"/>
        <v>GREAT LAKES</v>
      </c>
      <c r="J10517" t="str">
        <f t="shared" si="3852"/>
        <v>IL</v>
      </c>
      <c r="K10517" t="str">
        <f>T("8476882702122")</f>
        <v>8476882702122</v>
      </c>
      <c r="L10517" t="str">
        <f>T("8476882702")</f>
        <v>8476882702</v>
      </c>
    </row>
    <row r="10518" spans="1:12" x14ac:dyDescent="0.35">
      <c r="A10518" t="str">
        <f t="shared" si="3848"/>
        <v>CNRMA GREAT LAKES</v>
      </c>
      <c r="B10518" t="str">
        <f>T("GREAT LAKE COMM &amp; ADMIN")</f>
        <v>GREAT LAKE COMM &amp; ADMIN</v>
      </c>
      <c r="C10518" t="str">
        <f>T("2601 E PAUL JONES ST")</f>
        <v>2601 E PAUL JONES ST</v>
      </c>
      <c r="D10518" t="str">
        <f t="shared" si="3849"/>
        <v>GREAT LAKES</v>
      </c>
      <c r="E10518" t="str">
        <f t="shared" si="3850"/>
        <v>IL</v>
      </c>
      <c r="F10518" t="str">
        <f>T("600882834")</f>
        <v>600882834</v>
      </c>
      <c r="G10518" t="str">
        <f>T("GREAT LAKE COMM &amp; ADMIN")</f>
        <v>GREAT LAKE COMM &amp; ADMIN</v>
      </c>
      <c r="H10518" t="str">
        <f>T("2601 E PAUL JONES ST")</f>
        <v>2601 E PAUL JONES ST</v>
      </c>
      <c r="I10518" t="str">
        <f t="shared" si="3851"/>
        <v>GREAT LAKES</v>
      </c>
      <c r="J10518" t="str">
        <f t="shared" si="3852"/>
        <v>IL</v>
      </c>
      <c r="K10518" t="str">
        <f>T("000000000000000000")</f>
        <v>000000000000000000</v>
      </c>
      <c r="L10518" t="str">
        <f>T("7573222802")</f>
        <v>7573222802</v>
      </c>
    </row>
    <row r="10519" spans="1:12" x14ac:dyDescent="0.35">
      <c r="A10519" t="str">
        <f t="shared" si="3848"/>
        <v>CNRMA GREAT LAKES</v>
      </c>
      <c r="B10519" t="str">
        <f>T("GREAT LAKES SAFETY")</f>
        <v>GREAT LAKES SAFETY</v>
      </c>
      <c r="C10519" t="str">
        <f>T("BUILDING 1 B36")</f>
        <v>BUILDING 1 B36</v>
      </c>
      <c r="D10519" t="str">
        <f t="shared" si="3849"/>
        <v>GREAT LAKES</v>
      </c>
      <c r="E10519" t="str">
        <f t="shared" si="3850"/>
        <v>IL</v>
      </c>
      <c r="F10519" t="str">
        <f>T("600880000")</f>
        <v>600880000</v>
      </c>
      <c r="G10519" t="str">
        <f>T("2601 PAUL JONES ST")</f>
        <v>2601 PAUL JONES ST</v>
      </c>
      <c r="H10519" t="str">
        <f>T("BLDG 1 RM 36B")</f>
        <v>BLDG 1 RM 36B</v>
      </c>
      <c r="I10519" t="str">
        <f t="shared" si="3851"/>
        <v>GREAT LAKES</v>
      </c>
      <c r="J10519" t="str">
        <f t="shared" si="3852"/>
        <v>IL</v>
      </c>
      <c r="K10519" t="str">
        <f>T("000000000000000000")</f>
        <v>000000000000000000</v>
      </c>
      <c r="L10519" t="str">
        <f>T("8476882035")</f>
        <v>8476882035</v>
      </c>
    </row>
    <row r="10520" spans="1:12" x14ac:dyDescent="0.35">
      <c r="A10520" t="str">
        <f t="shared" si="3848"/>
        <v>CNRMA GREAT LAKES</v>
      </c>
      <c r="B10520" t="str">
        <f>T("GREAT LAKES SAFETY")</f>
        <v>GREAT LAKES SAFETY</v>
      </c>
      <c r="C10520" t="str">
        <f>T("BUILDING 1 B36")</f>
        <v>BUILDING 1 B36</v>
      </c>
      <c r="D10520" t="str">
        <f t="shared" si="3849"/>
        <v>GREAT LAKES</v>
      </c>
      <c r="E10520" t="str">
        <f t="shared" si="3850"/>
        <v>IL</v>
      </c>
      <c r="F10520" t="str">
        <f>T("600880000")</f>
        <v>600880000</v>
      </c>
      <c r="G10520" t="str">
        <f>T("GREAT LAKES SAFETY")</f>
        <v>GREAT LAKES SAFETY</v>
      </c>
      <c r="H10520" t="str">
        <f>T("BUILDING 1 B36")</f>
        <v>BUILDING 1 B36</v>
      </c>
      <c r="I10520" t="str">
        <f t="shared" si="3851"/>
        <v>GREAT LAKES</v>
      </c>
      <c r="J10520" t="str">
        <f t="shared" si="3852"/>
        <v>IL</v>
      </c>
      <c r="K10520" t="str">
        <f>T("000000000000000000")</f>
        <v>000000000000000000</v>
      </c>
      <c r="L10520" t="str">
        <f>T("1111111111")</f>
        <v>1111111111</v>
      </c>
    </row>
    <row r="10521" spans="1:12" x14ac:dyDescent="0.35">
      <c r="A10521" t="str">
        <f t="shared" si="3848"/>
        <v>CNRMA GREAT LAKES</v>
      </c>
      <c r="B10521" t="str">
        <f>T("NAVY REGION MIDWEST FIRE &amp; EMERGENCY")</f>
        <v>NAVY REGION MIDWEST FIRE &amp; EMERGENCY</v>
      </c>
      <c r="C10521" t="str">
        <f>T("2515 SAMPSON ST BLDG 106")</f>
        <v>2515 SAMPSON ST BLDG 106</v>
      </c>
      <c r="D10521" t="str">
        <f t="shared" si="3849"/>
        <v>GREAT LAKES</v>
      </c>
      <c r="E10521" t="str">
        <f t="shared" si="3850"/>
        <v>IL</v>
      </c>
      <c r="F10521" t="str">
        <f>T("600882943")</f>
        <v>600882943</v>
      </c>
      <c r="G10521" t="str">
        <f>T("2515 SAMPSON STREET")</f>
        <v>2515 SAMPSON STREET</v>
      </c>
      <c r="H10521" t="str">
        <f>T("BLDG 106")</f>
        <v>BLDG 106</v>
      </c>
      <c r="I10521" t="str">
        <f t="shared" si="3851"/>
        <v>GREAT LAKES</v>
      </c>
      <c r="J10521" t="str">
        <f t="shared" si="3852"/>
        <v>IL</v>
      </c>
      <c r="K10521" t="str">
        <f>T("000000000000000000")</f>
        <v>000000000000000000</v>
      </c>
      <c r="L10521" t="str">
        <f>T("8476882135")</f>
        <v>8476882135</v>
      </c>
    </row>
    <row r="10522" spans="1:12" x14ac:dyDescent="0.35">
      <c r="A10522" t="str">
        <f t="shared" si="3848"/>
        <v>CNRMA GREAT LAKES</v>
      </c>
      <c r="B10522" t="str">
        <f>T("NAVY REGION MIDWEST FIRE &amp; EMERGENCY")</f>
        <v>NAVY REGION MIDWEST FIRE &amp; EMERGENCY</v>
      </c>
      <c r="C10522" t="str">
        <f>T("2515 SAMPSON ST BLDG 106")</f>
        <v>2515 SAMPSON ST BLDG 106</v>
      </c>
      <c r="D10522" t="str">
        <f t="shared" si="3849"/>
        <v>GREAT LAKES</v>
      </c>
      <c r="E10522" t="str">
        <f t="shared" si="3850"/>
        <v>IL</v>
      </c>
      <c r="F10522" t="str">
        <f>T("600882943")</f>
        <v>600882943</v>
      </c>
      <c r="G10522" t="str">
        <f>T("NAVY REGION MIDWEST FIRE &amp; EMERGENCY")</f>
        <v>NAVY REGION MIDWEST FIRE &amp; EMERGENCY</v>
      </c>
      <c r="H10522" t="str">
        <f>T("2515 SAMPSON ST BLDG 106")</f>
        <v>2515 SAMPSON ST BLDG 106</v>
      </c>
      <c r="I10522" t="str">
        <f t="shared" si="3851"/>
        <v>GREAT LAKES</v>
      </c>
      <c r="J10522" t="str">
        <f t="shared" si="3852"/>
        <v>IL</v>
      </c>
      <c r="K10522" t="str">
        <f>T("000000000000000000")</f>
        <v>000000000000000000</v>
      </c>
      <c r="L10522" t="str">
        <f>T("8476882135")</f>
        <v>8476882135</v>
      </c>
    </row>
    <row r="10523" spans="1:12" x14ac:dyDescent="0.35">
      <c r="A10523" t="str">
        <f t="shared" ref="A10523:A10543" si="3855">T("CNRMA SUBASE NLON")</f>
        <v>CNRMA SUBASE NLON</v>
      </c>
      <c r="B10523" t="str">
        <f>T("BOX 00 BLDG 86")</f>
        <v>BOX 00 BLDG 86</v>
      </c>
      <c r="C10523" t="str">
        <f>T("DEALEY CTR PLAZA")</f>
        <v>DEALEY CTR PLAZA</v>
      </c>
      <c r="D10523" t="str">
        <f t="shared" ref="D10523:D10547" si="3856">T("GROTON")</f>
        <v>GROTON</v>
      </c>
      <c r="E10523" t="str">
        <f t="shared" ref="E10523:E10547" si="3857">T("CT")</f>
        <v>CT</v>
      </c>
      <c r="F10523" t="str">
        <f>T("063495000")</f>
        <v>063495000</v>
      </c>
      <c r="G10523" t="str">
        <f>T("BOX 00 BLDG 86")</f>
        <v>BOX 00 BLDG 86</v>
      </c>
      <c r="H10523" t="str">
        <f>T("DEALEY CTR PLAZA")</f>
        <v>DEALEY CTR PLAZA</v>
      </c>
      <c r="I10523" t="str">
        <f t="shared" ref="I10523:I10547" si="3858">T("GROTON")</f>
        <v>GROTON</v>
      </c>
      <c r="J10523" t="str">
        <f t="shared" ref="J10523:J10547" si="3859">T("CT")</f>
        <v>CT</v>
      </c>
      <c r="K10523" t="str">
        <f>T("8606943580")</f>
        <v>8606943580</v>
      </c>
      <c r="L10523" t="str">
        <f>T("8606941683")</f>
        <v>8606941683</v>
      </c>
    </row>
    <row r="10524" spans="1:12" x14ac:dyDescent="0.35">
      <c r="A10524" t="str">
        <f t="shared" si="3855"/>
        <v>CNRMA SUBASE NLON</v>
      </c>
      <c r="B10524" t="str">
        <f>T("BOX 00 BLDG 86")</f>
        <v>BOX 00 BLDG 86</v>
      </c>
      <c r="C10524" t="str">
        <f>T("DEALEY CTR PLAZA")</f>
        <v>DEALEY CTR PLAZA</v>
      </c>
      <c r="D10524" t="str">
        <f t="shared" si="3856"/>
        <v>GROTON</v>
      </c>
      <c r="E10524" t="str">
        <f t="shared" si="3857"/>
        <v>CT</v>
      </c>
      <c r="F10524" t="str">
        <f>T("063495000")</f>
        <v>063495000</v>
      </c>
      <c r="G10524" t="str">
        <f>T("BOX 00 BLDG 86 RM 203")</f>
        <v>BOX 00 BLDG 86 RM 203</v>
      </c>
      <c r="H10524" t="str">
        <f>T("GRAYLING AVENUE")</f>
        <v>GRAYLING AVENUE</v>
      </c>
      <c r="I10524" t="str">
        <f t="shared" si="3858"/>
        <v>GROTON</v>
      </c>
      <c r="J10524" t="str">
        <f t="shared" si="3859"/>
        <v>CT</v>
      </c>
      <c r="K10524" t="str">
        <f>T("8606943850")</f>
        <v>8606943850</v>
      </c>
      <c r="L10524" t="str">
        <f>T("8606943457")</f>
        <v>8606943457</v>
      </c>
    </row>
    <row r="10525" spans="1:12" x14ac:dyDescent="0.35">
      <c r="A10525" t="str">
        <f t="shared" si="3855"/>
        <v>CNRMA SUBASE NLON</v>
      </c>
      <c r="B10525" t="str">
        <f>T("BOX 00 BLDG 86")</f>
        <v>BOX 00 BLDG 86</v>
      </c>
      <c r="C10525" t="str">
        <f>T("DEALEY CTR PLAZA")</f>
        <v>DEALEY CTR PLAZA</v>
      </c>
      <c r="D10525" t="str">
        <f t="shared" si="3856"/>
        <v>GROTON</v>
      </c>
      <c r="E10525" t="str">
        <f t="shared" si="3857"/>
        <v>CT</v>
      </c>
      <c r="F10525" t="str">
        <f>T("063495000")</f>
        <v>063495000</v>
      </c>
      <c r="G10525" t="str">
        <f>T("BOX 16 BLDG 86 RM 203")</f>
        <v>BOX 16 BLDG 86 RM 203</v>
      </c>
      <c r="H10525" t="str">
        <f>T("GRAYLING AVENUE")</f>
        <v>GRAYLING AVENUE</v>
      </c>
      <c r="I10525" t="str">
        <f t="shared" si="3858"/>
        <v>GROTON</v>
      </c>
      <c r="J10525" t="str">
        <f t="shared" si="3859"/>
        <v>CT</v>
      </c>
      <c r="K10525" t="str">
        <f>T("000000000000000000")</f>
        <v>000000000000000000</v>
      </c>
      <c r="L10525" t="str">
        <f>T("8606945976")</f>
        <v>8606945976</v>
      </c>
    </row>
    <row r="10526" spans="1:12" x14ac:dyDescent="0.35">
      <c r="A10526" t="str">
        <f t="shared" si="3855"/>
        <v>CNRMA SUBASE NLON</v>
      </c>
      <c r="B10526" t="str">
        <f>T("BOX 101")</f>
        <v>BOX 101</v>
      </c>
      <c r="C10526" t="str">
        <f>T("BLDG 439 RM 306")</f>
        <v>BLDG 439 RM 306</v>
      </c>
      <c r="D10526" t="str">
        <f t="shared" si="3856"/>
        <v>GROTON</v>
      </c>
      <c r="E10526" t="str">
        <f t="shared" si="3857"/>
        <v>CT</v>
      </c>
      <c r="F10526" t="str">
        <f>T("063495101")</f>
        <v>063495101</v>
      </c>
      <c r="G10526" t="str">
        <f>T("BOX 101")</f>
        <v>BOX 101</v>
      </c>
      <c r="H10526" t="str">
        <f>T("BLDG 439 RM 306")</f>
        <v>BLDG 439 RM 306</v>
      </c>
      <c r="I10526" t="str">
        <f t="shared" si="3858"/>
        <v>GROTON</v>
      </c>
      <c r="J10526" t="str">
        <f t="shared" si="3859"/>
        <v>CT</v>
      </c>
      <c r="K10526" t="str">
        <f>T("8606945658")</f>
        <v>8606945658</v>
      </c>
      <c r="L10526" t="str">
        <f>T("8606943854")</f>
        <v>8606943854</v>
      </c>
    </row>
    <row r="10527" spans="1:12" x14ac:dyDescent="0.35">
      <c r="A10527" t="str">
        <f t="shared" si="3855"/>
        <v>CNRMA SUBASE NLON</v>
      </c>
      <c r="B10527" t="str">
        <f>T("BOX 101")</f>
        <v>BOX 101</v>
      </c>
      <c r="C10527" t="str">
        <f>T("BLDG 439 RM 306")</f>
        <v>BLDG 439 RM 306</v>
      </c>
      <c r="D10527" t="str">
        <f t="shared" si="3856"/>
        <v>GROTON</v>
      </c>
      <c r="E10527" t="str">
        <f t="shared" si="3857"/>
        <v>CT</v>
      </c>
      <c r="F10527" t="str">
        <f>T("063495101")</f>
        <v>063495101</v>
      </c>
      <c r="G10527" t="str">
        <f>T("BOX 91 IT DEP")</f>
        <v>BOX 91 IT DEP</v>
      </c>
      <c r="H10527" t="str">
        <f>T("BLDG 439 CONGER AVE RM 306")</f>
        <v>BLDG 439 CONGER AVE RM 306</v>
      </c>
      <c r="I10527" t="str">
        <f t="shared" si="3858"/>
        <v>GROTON</v>
      </c>
      <c r="J10527" t="str">
        <f t="shared" si="3859"/>
        <v>CT</v>
      </c>
      <c r="K10527" t="str">
        <f>T("000000000000000000")</f>
        <v>000000000000000000</v>
      </c>
      <c r="L10527" t="str">
        <f>T("8606943987")</f>
        <v>8606943987</v>
      </c>
    </row>
    <row r="10528" spans="1:12" x14ac:dyDescent="0.35">
      <c r="A10528" t="str">
        <f t="shared" si="3855"/>
        <v>CNRMA SUBASE NLON</v>
      </c>
      <c r="B10528" t="str">
        <f>T("BOX 23")</f>
        <v>BOX 23</v>
      </c>
      <c r="C10528" t="str">
        <f>T("BLDG 164 DEALY CTR PLAZA")</f>
        <v>BLDG 164 DEALY CTR PLAZA</v>
      </c>
      <c r="D10528" t="str">
        <f t="shared" si="3856"/>
        <v>GROTON</v>
      </c>
      <c r="E10528" t="str">
        <f t="shared" si="3857"/>
        <v>CT</v>
      </c>
      <c r="F10528" t="str">
        <f>T("063495023")</f>
        <v>063495023</v>
      </c>
      <c r="G10528" t="str">
        <f>T("BLDG 164")</f>
        <v>BLDG 164</v>
      </c>
      <c r="H10528" t="str">
        <f>T("DEALEY CTR PLAZA BOX 23")</f>
        <v>DEALEY CTR PLAZA BOX 23</v>
      </c>
      <c r="I10528" t="str">
        <f t="shared" si="3858"/>
        <v>GROTON</v>
      </c>
      <c r="J10528" t="str">
        <f t="shared" si="3859"/>
        <v>CT</v>
      </c>
      <c r="K10528" t="str">
        <f>T("000000000000000000")</f>
        <v>000000000000000000</v>
      </c>
      <c r="L10528" t="str">
        <f>T("8606945074")</f>
        <v>8606945074</v>
      </c>
    </row>
    <row r="10529" spans="1:12" x14ac:dyDescent="0.35">
      <c r="A10529" t="str">
        <f t="shared" si="3855"/>
        <v>CNRMA SUBASE NLON</v>
      </c>
      <c r="B10529" t="str">
        <f>T("BOX 23")</f>
        <v>BOX 23</v>
      </c>
      <c r="C10529" t="str">
        <f>T("BLDG 164 DEALY CTR PLAZA")</f>
        <v>BLDG 164 DEALY CTR PLAZA</v>
      </c>
      <c r="D10529" t="str">
        <f t="shared" si="3856"/>
        <v>GROTON</v>
      </c>
      <c r="E10529" t="str">
        <f t="shared" si="3857"/>
        <v>CT</v>
      </c>
      <c r="F10529" t="str">
        <f>T("063495023")</f>
        <v>063495023</v>
      </c>
      <c r="G10529" t="str">
        <f>T("BOX 23")</f>
        <v>BOX 23</v>
      </c>
      <c r="H10529" t="str">
        <f>T("BLDG 164")</f>
        <v>BLDG 164</v>
      </c>
      <c r="I10529" t="str">
        <f t="shared" si="3858"/>
        <v>GROTON</v>
      </c>
      <c r="J10529" t="str">
        <f t="shared" si="3859"/>
        <v>CT</v>
      </c>
      <c r="K10529" t="str">
        <f>T("000000000000000000")</f>
        <v>000000000000000000</v>
      </c>
      <c r="L10529" t="str">
        <f>T("8606944533")</f>
        <v>8606944533</v>
      </c>
    </row>
    <row r="10530" spans="1:12" x14ac:dyDescent="0.35">
      <c r="A10530" t="str">
        <f t="shared" si="3855"/>
        <v>CNRMA SUBASE NLON</v>
      </c>
      <c r="B10530" t="str">
        <f>T("BOX 23")</f>
        <v>BOX 23</v>
      </c>
      <c r="C10530" t="str">
        <f>T("BLDG 164 DEALY CTR PLAZA")</f>
        <v>BLDG 164 DEALY CTR PLAZA</v>
      </c>
      <c r="D10530" t="str">
        <f t="shared" si="3856"/>
        <v>GROTON</v>
      </c>
      <c r="E10530" t="str">
        <f t="shared" si="3857"/>
        <v>CT</v>
      </c>
      <c r="F10530" t="str">
        <f>T("063495023")</f>
        <v>063495023</v>
      </c>
      <c r="G10530" t="str">
        <f>T("BOX 23")</f>
        <v>BOX 23</v>
      </c>
      <c r="H10530" t="str">
        <f>T("BLDG 164 DEALY CTR PLAZA")</f>
        <v>BLDG 164 DEALY CTR PLAZA</v>
      </c>
      <c r="I10530" t="str">
        <f t="shared" si="3858"/>
        <v>GROTON</v>
      </c>
      <c r="J10530" t="str">
        <f t="shared" si="3859"/>
        <v>CT</v>
      </c>
      <c r="K10530" t="str">
        <f>T("8606943154")</f>
        <v>8606943154</v>
      </c>
      <c r="L10530" t="str">
        <f>T("8606943851")</f>
        <v>8606943851</v>
      </c>
    </row>
    <row r="10531" spans="1:12" x14ac:dyDescent="0.35">
      <c r="A10531" t="str">
        <f t="shared" si="3855"/>
        <v>CNRMA SUBASE NLON</v>
      </c>
      <c r="B10531" t="str">
        <f>T("BOX 75 CODE N35")</f>
        <v>BOX 75 CODE N35</v>
      </c>
      <c r="C10531" t="str">
        <f>T("DEALEY CTR PLAZA BLDG 83")</f>
        <v>DEALEY CTR PLAZA BLDG 83</v>
      </c>
      <c r="D10531" t="str">
        <f t="shared" si="3856"/>
        <v>GROTON</v>
      </c>
      <c r="E10531" t="str">
        <f t="shared" si="3857"/>
        <v>CT</v>
      </c>
      <c r="F10531" t="str">
        <f>T("063495075")</f>
        <v>063495075</v>
      </c>
      <c r="G10531" t="str">
        <f>T("BOX 75 BLDG 83")</f>
        <v>BOX 75 BLDG 83</v>
      </c>
      <c r="H10531" t="str">
        <f>T("DEALEY CTR PLAZA")</f>
        <v>DEALEY CTR PLAZA</v>
      </c>
      <c r="I10531" t="str">
        <f t="shared" si="3858"/>
        <v>GROTON</v>
      </c>
      <c r="J10531" t="str">
        <f t="shared" si="3859"/>
        <v>CT</v>
      </c>
      <c r="K10531" t="str">
        <f>T("8606944234")</f>
        <v>8606944234</v>
      </c>
      <c r="L10531" t="str">
        <f>T("8606943739")</f>
        <v>8606943739</v>
      </c>
    </row>
    <row r="10532" spans="1:12" x14ac:dyDescent="0.35">
      <c r="A10532" t="str">
        <f t="shared" si="3855"/>
        <v>CNRMA SUBASE NLON</v>
      </c>
      <c r="B10532" t="str">
        <f>T("BOX 75 CODE N35")</f>
        <v>BOX 75 CODE N35</v>
      </c>
      <c r="C10532" t="str">
        <f>T("DEALEY CTR PLAZA BLDG 83")</f>
        <v>DEALEY CTR PLAZA BLDG 83</v>
      </c>
      <c r="D10532" t="str">
        <f t="shared" si="3856"/>
        <v>GROTON</v>
      </c>
      <c r="E10532" t="str">
        <f t="shared" si="3857"/>
        <v>CT</v>
      </c>
      <c r="F10532" t="str">
        <f>T("063495075")</f>
        <v>063495075</v>
      </c>
      <c r="G10532" t="str">
        <f>T("BOX 75 CODE N35")</f>
        <v>BOX 75 CODE N35</v>
      </c>
      <c r="H10532" t="str">
        <f>T("DEALEY CTR PLAZA BLDG 83")</f>
        <v>DEALEY CTR PLAZA BLDG 83</v>
      </c>
      <c r="I10532" t="str">
        <f t="shared" si="3858"/>
        <v>GROTON</v>
      </c>
      <c r="J10532" t="str">
        <f t="shared" si="3859"/>
        <v>CT</v>
      </c>
      <c r="K10532" t="str">
        <f>T("8606944234")</f>
        <v>8606944234</v>
      </c>
      <c r="L10532" t="str">
        <f>T("8606943585")</f>
        <v>8606943585</v>
      </c>
    </row>
    <row r="10533" spans="1:12" x14ac:dyDescent="0.35">
      <c r="A10533" t="str">
        <f t="shared" si="3855"/>
        <v>CNRMA SUBASE NLON</v>
      </c>
      <c r="B10533" t="str">
        <f>T("BOX 93 BLDG 83")</f>
        <v>BOX 93 BLDG 83</v>
      </c>
      <c r="C10533" t="str">
        <f>T("GRAYLING AVENUE")</f>
        <v>GRAYLING AVENUE</v>
      </c>
      <c r="D10533" t="str">
        <f t="shared" si="3856"/>
        <v>GROTON</v>
      </c>
      <c r="E10533" t="str">
        <f t="shared" si="3857"/>
        <v>CT</v>
      </c>
      <c r="F10533" t="str">
        <f>T("063495093")</f>
        <v>063495093</v>
      </c>
      <c r="G10533" t="str">
        <f>T("BOX 93 BLDG 83")</f>
        <v>BOX 93 BLDG 83</v>
      </c>
      <c r="H10533" t="str">
        <f>T("GRAYLING AVENUE")</f>
        <v>GRAYLING AVENUE</v>
      </c>
      <c r="I10533" t="str">
        <f t="shared" si="3858"/>
        <v>GROTON</v>
      </c>
      <c r="J10533" t="str">
        <f t="shared" si="3859"/>
        <v>CT</v>
      </c>
      <c r="K10533" t="str">
        <f>T("860-694-4695")</f>
        <v>860-694-4695</v>
      </c>
      <c r="L10533" t="str">
        <f>T("8606943067")</f>
        <v>8606943067</v>
      </c>
    </row>
    <row r="10534" spans="1:12" x14ac:dyDescent="0.35">
      <c r="A10534" t="str">
        <f t="shared" si="3855"/>
        <v>CNRMA SUBASE NLON</v>
      </c>
      <c r="B10534" t="str">
        <f>T("BOX 93 BLDG 83")</f>
        <v>BOX 93 BLDG 83</v>
      </c>
      <c r="C10534" t="str">
        <f>T("GRAYLING AVENUE")</f>
        <v>GRAYLING AVENUE</v>
      </c>
      <c r="D10534" t="str">
        <f t="shared" si="3856"/>
        <v>GROTON</v>
      </c>
      <c r="E10534" t="str">
        <f t="shared" si="3857"/>
        <v>CT</v>
      </c>
      <c r="F10534" t="str">
        <f>T("063495093")</f>
        <v>063495093</v>
      </c>
      <c r="G10534" t="str">
        <f>T("BOX 93 BLDG 83")</f>
        <v>BOX 93 BLDG 83</v>
      </c>
      <c r="H10534" t="str">
        <f>T("GRAYLING AVENUE")</f>
        <v>GRAYLING AVENUE</v>
      </c>
      <c r="I10534" t="str">
        <f t="shared" si="3858"/>
        <v>GROTON</v>
      </c>
      <c r="J10534" t="str">
        <f t="shared" si="3859"/>
        <v>CT</v>
      </c>
      <c r="K10534" t="str">
        <f>T("8606945093")</f>
        <v>8606945093</v>
      </c>
      <c r="L10534" t="str">
        <f>T("8606943383")</f>
        <v>8606943383</v>
      </c>
    </row>
    <row r="10535" spans="1:12" x14ac:dyDescent="0.35">
      <c r="A10535" t="str">
        <f t="shared" si="3855"/>
        <v>CNRMA SUBASE NLON</v>
      </c>
      <c r="B10535" t="str">
        <f>T("BOX 93 BLDG 83")</f>
        <v>BOX 93 BLDG 83</v>
      </c>
      <c r="C10535" t="str">
        <f>T("GRAYLING AVENUE")</f>
        <v>GRAYLING AVENUE</v>
      </c>
      <c r="D10535" t="str">
        <f t="shared" si="3856"/>
        <v>GROTON</v>
      </c>
      <c r="E10535" t="str">
        <f t="shared" si="3857"/>
        <v>CT</v>
      </c>
      <c r="F10535" t="str">
        <f>T("063495093")</f>
        <v>063495093</v>
      </c>
      <c r="G10535" t="str">
        <f>T("BOX 93 BUILDING 83")</f>
        <v>BOX 93 BUILDING 83</v>
      </c>
      <c r="H10535" t="str">
        <f>T("GRAYLINE AVENUE")</f>
        <v>GRAYLINE AVENUE</v>
      </c>
      <c r="I10535" t="str">
        <f t="shared" si="3858"/>
        <v>GROTON</v>
      </c>
      <c r="J10535" t="str">
        <f t="shared" si="3859"/>
        <v>CT</v>
      </c>
      <c r="K10535" t="str">
        <f>T("018606943383")</f>
        <v>018606943383</v>
      </c>
      <c r="L10535" t="str">
        <f>T("8606943040")</f>
        <v>8606943040</v>
      </c>
    </row>
    <row r="10536" spans="1:12" x14ac:dyDescent="0.35">
      <c r="A10536" t="str">
        <f t="shared" si="3855"/>
        <v>CNRMA SUBASE NLON</v>
      </c>
      <c r="B10536" t="str">
        <f>T("BOX 950")</f>
        <v>BOX 950</v>
      </c>
      <c r="C10536" t="str">
        <f>T("BLDG 107 AMBERJACK AVE")</f>
        <v>BLDG 107 AMBERJACK AVE</v>
      </c>
      <c r="D10536" t="str">
        <f t="shared" si="3856"/>
        <v>GROTON</v>
      </c>
      <c r="E10536" t="str">
        <f t="shared" si="3857"/>
        <v>CT</v>
      </c>
      <c r="F10536" t="str">
        <f>T("063495950")</f>
        <v>063495950</v>
      </c>
      <c r="G10536" t="str">
        <f>T("107 AMBERJACK AVE")</f>
        <v>107 AMBERJACK AVE</v>
      </c>
      <c r="H10536" t="str">
        <f>T("")</f>
        <v/>
      </c>
      <c r="I10536" t="str">
        <f t="shared" si="3858"/>
        <v>GROTON</v>
      </c>
      <c r="J10536" t="str">
        <f t="shared" si="3859"/>
        <v>CT</v>
      </c>
      <c r="K10536" t="str">
        <f>T("000000000000000000")</f>
        <v>000000000000000000</v>
      </c>
      <c r="L10536" t="str">
        <f>T("8606943466")</f>
        <v>8606943466</v>
      </c>
    </row>
    <row r="10537" spans="1:12" x14ac:dyDescent="0.35">
      <c r="A10537" t="str">
        <f t="shared" si="3855"/>
        <v>CNRMA SUBASE NLON</v>
      </c>
      <c r="B10537" t="str">
        <f>T("BOX 950")</f>
        <v>BOX 950</v>
      </c>
      <c r="C10537" t="str">
        <f>T("BLDG 107 AMBERJACK AVE")</f>
        <v>BLDG 107 AMBERJACK AVE</v>
      </c>
      <c r="D10537" t="str">
        <f t="shared" si="3856"/>
        <v>GROTON</v>
      </c>
      <c r="E10537" t="str">
        <f t="shared" si="3857"/>
        <v>CT</v>
      </c>
      <c r="F10537" t="str">
        <f>T("063495950")</f>
        <v>063495950</v>
      </c>
      <c r="G10537" t="str">
        <f>T("BOX 950")</f>
        <v>BOX 950</v>
      </c>
      <c r="H10537" t="str">
        <f>T("BLDG 107 AMBERJACK AVE")</f>
        <v>BLDG 107 AMBERJACK AVE</v>
      </c>
      <c r="I10537" t="str">
        <f t="shared" si="3858"/>
        <v>GROTON</v>
      </c>
      <c r="J10537" t="str">
        <f t="shared" si="3859"/>
        <v>CT</v>
      </c>
      <c r="K10537" t="str">
        <f>T("8606944064")</f>
        <v>8606944064</v>
      </c>
      <c r="L10537" t="str">
        <f>T("8606943466")</f>
        <v>8606943466</v>
      </c>
    </row>
    <row r="10538" spans="1:12" x14ac:dyDescent="0.35">
      <c r="A10538" t="str">
        <f t="shared" si="3855"/>
        <v>CNRMA SUBASE NLON</v>
      </c>
      <c r="B10538" t="str">
        <f>T("BOX 950")</f>
        <v>BOX 950</v>
      </c>
      <c r="C10538" t="str">
        <f>T("BLDG 107 AMBERJACK AVE")</f>
        <v>BLDG 107 AMBERJACK AVE</v>
      </c>
      <c r="D10538" t="str">
        <f t="shared" si="3856"/>
        <v>GROTON</v>
      </c>
      <c r="E10538" t="str">
        <f t="shared" si="3857"/>
        <v>CT</v>
      </c>
      <c r="F10538" t="str">
        <f>T("063495950")</f>
        <v>063495950</v>
      </c>
      <c r="G10538" t="str">
        <f>T("BOX 950 BLDG 107")</f>
        <v>BOX 950 BLDG 107</v>
      </c>
      <c r="H10538" t="str">
        <f>T("AMBERJACK AVENUE")</f>
        <v>AMBERJACK AVENUE</v>
      </c>
      <c r="I10538" t="str">
        <f t="shared" si="3858"/>
        <v>GROTON</v>
      </c>
      <c r="J10538" t="str">
        <f t="shared" si="3859"/>
        <v>CT</v>
      </c>
      <c r="K10538" t="str">
        <f>T("8606944064")</f>
        <v>8606944064</v>
      </c>
      <c r="L10538" t="str">
        <f>T("8606943466")</f>
        <v>8606943466</v>
      </c>
    </row>
    <row r="10539" spans="1:12" x14ac:dyDescent="0.35">
      <c r="A10539" t="str">
        <f t="shared" si="3855"/>
        <v>CNRMA SUBASE NLON</v>
      </c>
      <c r="B10539" t="str">
        <f>T("DEALEY CENTER PLAZA")</f>
        <v>DEALEY CENTER PLAZA</v>
      </c>
      <c r="C10539" t="str">
        <f>T("BOX 13 BLDG 84 RM 104")</f>
        <v>BOX 13 BLDG 84 RM 104</v>
      </c>
      <c r="D10539" t="str">
        <f t="shared" si="3856"/>
        <v>GROTON</v>
      </c>
      <c r="E10539" t="str">
        <f t="shared" si="3857"/>
        <v>CT</v>
      </c>
      <c r="F10539" t="str">
        <f>T("063495013")</f>
        <v>063495013</v>
      </c>
      <c r="G10539" t="str">
        <f>T("DEALEY CENTER PLAZA")</f>
        <v>DEALEY CENTER PLAZA</v>
      </c>
      <c r="H10539" t="str">
        <f>T("BOX 13 BLDG 84 RM 104")</f>
        <v>BOX 13 BLDG 84 RM 104</v>
      </c>
      <c r="I10539" t="str">
        <f t="shared" si="3858"/>
        <v>GROTON</v>
      </c>
      <c r="J10539" t="str">
        <f t="shared" si="3859"/>
        <v>CT</v>
      </c>
      <c r="K10539" t="str">
        <f>T("8606943233")</f>
        <v>8606943233</v>
      </c>
      <c r="L10539" t="str">
        <f>T("8606943232")</f>
        <v>8606943232</v>
      </c>
    </row>
    <row r="10540" spans="1:12" x14ac:dyDescent="0.35">
      <c r="A10540" t="str">
        <f t="shared" si="3855"/>
        <v>CNRMA SUBASE NLON</v>
      </c>
      <c r="B10540" t="str">
        <f>T("DEALEY CENTER PLAZA")</f>
        <v>DEALEY CENTER PLAZA</v>
      </c>
      <c r="C10540" t="str">
        <f>T("BOX 13 BLDG 84 RM 104")</f>
        <v>BOX 13 BLDG 84 RM 104</v>
      </c>
      <c r="D10540" t="str">
        <f t="shared" si="3856"/>
        <v>GROTON</v>
      </c>
      <c r="E10540" t="str">
        <f t="shared" si="3857"/>
        <v>CT</v>
      </c>
      <c r="F10540" t="str">
        <f>T("063495013")</f>
        <v>063495013</v>
      </c>
      <c r="G10540" t="str">
        <f>T("SUBASE NLON CHAPLIN S OFFICE")</f>
        <v>SUBASE NLON CHAPLIN S OFFICE</v>
      </c>
      <c r="H10540" t="str">
        <f>T("BLDG 84 RM 104")</f>
        <v>BLDG 84 RM 104</v>
      </c>
      <c r="I10540" t="str">
        <f t="shared" si="3858"/>
        <v>GROTON</v>
      </c>
      <c r="J10540" t="str">
        <f t="shared" si="3859"/>
        <v>CT</v>
      </c>
      <c r="K10540" t="str">
        <f>T("000000000000000000")</f>
        <v>000000000000000000</v>
      </c>
      <c r="L10540" t="str">
        <f>T("8606943232")</f>
        <v>8606943232</v>
      </c>
    </row>
    <row r="10541" spans="1:12" x14ac:dyDescent="0.35">
      <c r="A10541" t="str">
        <f t="shared" si="3855"/>
        <v>CNRMA SUBASE NLON</v>
      </c>
      <c r="B10541" t="str">
        <f t="shared" ref="B10541:B10547" si="3860">T("NAVAL SUBASE NEW LONDON")</f>
        <v>NAVAL SUBASE NEW LONDON</v>
      </c>
      <c r="C10541" t="str">
        <f>T("BOX 151")</f>
        <v>BOX 151</v>
      </c>
      <c r="D10541" t="str">
        <f t="shared" si="3856"/>
        <v>GROTON</v>
      </c>
      <c r="E10541" t="str">
        <f t="shared" si="3857"/>
        <v>CT</v>
      </c>
      <c r="F10541" t="str">
        <f>T("063495151")</f>
        <v>063495151</v>
      </c>
      <c r="G10541" t="str">
        <f>T("LOWER BASE BLDG 1")</f>
        <v>LOWER BASE BLDG 1</v>
      </c>
      <c r="H10541" t="str">
        <f>T("")</f>
        <v/>
      </c>
      <c r="I10541" t="str">
        <f t="shared" si="3858"/>
        <v>GROTON</v>
      </c>
      <c r="J10541" t="str">
        <f t="shared" si="3859"/>
        <v>CT</v>
      </c>
      <c r="K10541" t="str">
        <f>T("000000000000000000")</f>
        <v>000000000000000000</v>
      </c>
      <c r="L10541" t="str">
        <f>T("8606943931")</f>
        <v>8606943931</v>
      </c>
    </row>
    <row r="10542" spans="1:12" x14ac:dyDescent="0.35">
      <c r="A10542" t="str">
        <f t="shared" si="3855"/>
        <v>CNRMA SUBASE NLON</v>
      </c>
      <c r="B10542" t="str">
        <f t="shared" si="3860"/>
        <v>NAVAL SUBASE NEW LONDON</v>
      </c>
      <c r="C10542" t="str">
        <f>T("BOX 151")</f>
        <v>BOX 151</v>
      </c>
      <c r="D10542" t="str">
        <f t="shared" si="3856"/>
        <v>GROTON</v>
      </c>
      <c r="E10542" t="str">
        <f t="shared" si="3857"/>
        <v>CT</v>
      </c>
      <c r="F10542" t="str">
        <f>T("063495151")</f>
        <v>063495151</v>
      </c>
      <c r="G10542" t="str">
        <f>T("NAVAL SUBASE NEW LONDON")</f>
        <v>NAVAL SUBASE NEW LONDON</v>
      </c>
      <c r="H10542" t="str">
        <f>T("BOX 151")</f>
        <v>BOX 151</v>
      </c>
      <c r="I10542" t="str">
        <f t="shared" si="3858"/>
        <v>GROTON</v>
      </c>
      <c r="J10542" t="str">
        <f t="shared" si="3859"/>
        <v>CT</v>
      </c>
      <c r="K10542" t="str">
        <f>T("8606943692")</f>
        <v>8606943692</v>
      </c>
      <c r="L10542" t="str">
        <f>T("8606945803")</f>
        <v>8606945803</v>
      </c>
    </row>
    <row r="10543" spans="1:12" x14ac:dyDescent="0.35">
      <c r="A10543" t="str">
        <f t="shared" si="3855"/>
        <v>CNRMA SUBASE NLON</v>
      </c>
      <c r="B10543" t="str">
        <f t="shared" si="3860"/>
        <v>NAVAL SUBASE NEW LONDON</v>
      </c>
      <c r="C10543" t="str">
        <f>T("BOX 151")</f>
        <v>BOX 151</v>
      </c>
      <c r="D10543" t="str">
        <f t="shared" si="3856"/>
        <v>GROTON</v>
      </c>
      <c r="E10543" t="str">
        <f t="shared" si="3857"/>
        <v>CT</v>
      </c>
      <c r="F10543" t="str">
        <f>T("063495151")</f>
        <v>063495151</v>
      </c>
      <c r="G10543" t="str">
        <f>T("SUBASE NEW LONDON")</f>
        <v>SUBASE NEW LONDON</v>
      </c>
      <c r="H10543" t="str">
        <f>T("BUILDING 1")</f>
        <v>BUILDING 1</v>
      </c>
      <c r="I10543" t="str">
        <f t="shared" si="3858"/>
        <v>GROTON</v>
      </c>
      <c r="J10543" t="str">
        <f t="shared" si="3859"/>
        <v>CT</v>
      </c>
      <c r="K10543" t="str">
        <f>T("000000000000000000")</f>
        <v>000000000000000000</v>
      </c>
      <c r="L10543" t="str">
        <f>T("8606942084")</f>
        <v>8606942084</v>
      </c>
    </row>
    <row r="10544" spans="1:12" x14ac:dyDescent="0.35">
      <c r="A10544" t="str">
        <f>T("3162B SPIRIT FITNES, GROTON,CT")</f>
        <v>3162B SPIRIT FITNES, GROTON,CT</v>
      </c>
      <c r="B10544" t="str">
        <f t="shared" si="3860"/>
        <v>NAVAL SUBASE NEW LONDON</v>
      </c>
      <c r="C10544" t="str">
        <f>T("BOX 37 BLDG 84")</f>
        <v>BOX 37 BLDG 84</v>
      </c>
      <c r="D10544" t="str">
        <f t="shared" si="3856"/>
        <v>GROTON</v>
      </c>
      <c r="E10544" t="str">
        <f t="shared" si="3857"/>
        <v>CT</v>
      </c>
      <c r="F10544" t="str">
        <f>T("063495037")</f>
        <v>063495037</v>
      </c>
      <c r="G10544" t="str">
        <f>T("1 CRYSTAL LAKE ROAD")</f>
        <v>1 CRYSTAL LAKE ROAD</v>
      </c>
      <c r="H10544" t="str">
        <f>T("BUILDING 84 ROOM103")</f>
        <v>BUILDING 84 ROOM103</v>
      </c>
      <c r="I10544" t="str">
        <f t="shared" si="3858"/>
        <v>GROTON</v>
      </c>
      <c r="J10544" t="str">
        <f t="shared" si="3859"/>
        <v>CT</v>
      </c>
      <c r="K10544" t="str">
        <f>T("000000000000000000")</f>
        <v>000000000000000000</v>
      </c>
      <c r="L10544" t="str">
        <f>T("8606941144")</f>
        <v>8606941144</v>
      </c>
    </row>
    <row r="10545" spans="1:12" x14ac:dyDescent="0.35">
      <c r="A10545" t="str">
        <f>T("3162B SPIRIT FITNES, GROTON,CT")</f>
        <v>3162B SPIRIT FITNES, GROTON,CT</v>
      </c>
      <c r="B10545" t="str">
        <f t="shared" si="3860"/>
        <v>NAVAL SUBASE NEW LONDON</v>
      </c>
      <c r="C10545" t="str">
        <f>T("BOX 37 BLDG 84")</f>
        <v>BOX 37 BLDG 84</v>
      </c>
      <c r="D10545" t="str">
        <f t="shared" si="3856"/>
        <v>GROTON</v>
      </c>
      <c r="E10545" t="str">
        <f t="shared" si="3857"/>
        <v>CT</v>
      </c>
      <c r="F10545" t="str">
        <f>T("063495037")</f>
        <v>063495037</v>
      </c>
      <c r="G10545" t="str">
        <f>T("NAVAL SUB BASE NEW LONDON")</f>
        <v>NAVAL SUB BASE NEW LONDON</v>
      </c>
      <c r="H10545" t="str">
        <f>T("P O BOX 37")</f>
        <v>P O BOX 37</v>
      </c>
      <c r="I10545" t="str">
        <f t="shared" si="3858"/>
        <v>GROTON</v>
      </c>
      <c r="J10545" t="str">
        <f t="shared" si="3859"/>
        <v>CT</v>
      </c>
      <c r="K10545" t="str">
        <f>T("8606941146")</f>
        <v>8606941146</v>
      </c>
      <c r="L10545" t="str">
        <f>T("8606941144")</f>
        <v>8606941144</v>
      </c>
    </row>
    <row r="10546" spans="1:12" x14ac:dyDescent="0.35">
      <c r="A10546" t="str">
        <f>T("3162B SPIRIT FITNES, GROTON,CT")</f>
        <v>3162B SPIRIT FITNES, GROTON,CT</v>
      </c>
      <c r="B10546" t="str">
        <f t="shared" si="3860"/>
        <v>NAVAL SUBASE NEW LONDON</v>
      </c>
      <c r="C10546" t="str">
        <f>T("BOX 37 BLDG 84")</f>
        <v>BOX 37 BLDG 84</v>
      </c>
      <c r="D10546" t="str">
        <f t="shared" si="3856"/>
        <v>GROTON</v>
      </c>
      <c r="E10546" t="str">
        <f t="shared" si="3857"/>
        <v>CT</v>
      </c>
      <c r="F10546" t="str">
        <f>T("063495037")</f>
        <v>063495037</v>
      </c>
      <c r="G10546" t="str">
        <f>T("NAVAL SUBASE NEW LONDON")</f>
        <v>NAVAL SUBASE NEW LONDON</v>
      </c>
      <c r="H10546" t="str">
        <f>T("BOX 37 BLDG 84")</f>
        <v>BOX 37 BLDG 84</v>
      </c>
      <c r="I10546" t="str">
        <f t="shared" si="3858"/>
        <v>GROTON</v>
      </c>
      <c r="J10546" t="str">
        <f t="shared" si="3859"/>
        <v>CT</v>
      </c>
      <c r="K10546" t="str">
        <f>T("000000000000000000")</f>
        <v>000000000000000000</v>
      </c>
      <c r="L10546" t="str">
        <f>T("8606941144")</f>
        <v>8606941144</v>
      </c>
    </row>
    <row r="10547" spans="1:12" x14ac:dyDescent="0.35">
      <c r="A10547" t="str">
        <f>T("3162B SPIRIT FITNES, GROTON,CT")</f>
        <v>3162B SPIRIT FITNES, GROTON,CT</v>
      </c>
      <c r="B10547" t="str">
        <f t="shared" si="3860"/>
        <v>NAVAL SUBASE NEW LONDON</v>
      </c>
      <c r="C10547" t="str">
        <f>T("BOX 37 BLDG 84")</f>
        <v>BOX 37 BLDG 84</v>
      </c>
      <c r="D10547" t="str">
        <f t="shared" si="3856"/>
        <v>GROTON</v>
      </c>
      <c r="E10547" t="str">
        <f t="shared" si="3857"/>
        <v>CT</v>
      </c>
      <c r="F10547" t="str">
        <f>T("063495037")</f>
        <v>063495037</v>
      </c>
      <c r="G10547" t="str">
        <f>T("NAVAL SUBASE NEW LONDON")</f>
        <v>NAVAL SUBASE NEW LONDON</v>
      </c>
      <c r="H10547" t="str">
        <f>T("PO BOX 37 BUILDING 84")</f>
        <v>PO BOX 37 BUILDING 84</v>
      </c>
      <c r="I10547" t="str">
        <f t="shared" si="3858"/>
        <v>GROTON</v>
      </c>
      <c r="J10547" t="str">
        <f t="shared" si="3859"/>
        <v>CT</v>
      </c>
      <c r="K10547" t="str">
        <f>T("000000000000000000")</f>
        <v>000000000000000000</v>
      </c>
      <c r="L10547" t="str">
        <f>T("8606941144")</f>
        <v>8606941144</v>
      </c>
    </row>
    <row r="10548" spans="1:12" x14ac:dyDescent="0.35">
      <c r="A10548" t="str">
        <f>T("PUBLIC SFTY DET YKTOWN VA")</f>
        <v>PUBLIC SFTY DET YKTOWN VA</v>
      </c>
      <c r="B10548" t="str">
        <f>T("160 MAIN ROAD")</f>
        <v>160 MAIN ROAD</v>
      </c>
      <c r="C10548" t="str">
        <f>T("BLDG 702")</f>
        <v>BLDG 702</v>
      </c>
      <c r="D10548" t="str">
        <f>T("YORKTOWN")</f>
        <v>YORKTOWN</v>
      </c>
      <c r="E10548" t="str">
        <f>T("VA")</f>
        <v>VA</v>
      </c>
      <c r="F10548" t="str">
        <f>T("236915111")</f>
        <v>236915111</v>
      </c>
      <c r="G10548" t="str">
        <f>T("160 MAIN ROAD")</f>
        <v>160 MAIN ROAD</v>
      </c>
      <c r="H10548" t="str">
        <f>T("BLDG 702")</f>
        <v>BLDG 702</v>
      </c>
      <c r="I10548" t="str">
        <f>T("YORKTOWN")</f>
        <v>YORKTOWN</v>
      </c>
      <c r="J10548" t="str">
        <f>T("VA")</f>
        <v>VA</v>
      </c>
      <c r="K10548" t="str">
        <f>T("7578877180")</f>
        <v>7578877180</v>
      </c>
      <c r="L10548" t="str">
        <f>T("7578877110")</f>
        <v>7578877110</v>
      </c>
    </row>
    <row r="10549" spans="1:12" x14ac:dyDescent="0.35">
      <c r="A10549" t="str">
        <f>T("PUBLIC SFTY DET YKTOWN VA")</f>
        <v>PUBLIC SFTY DET YKTOWN VA</v>
      </c>
      <c r="B10549" t="str">
        <f>T("160 MAIN ROAD")</f>
        <v>160 MAIN ROAD</v>
      </c>
      <c r="C10549" t="str">
        <f>T("BLDG 702")</f>
        <v>BLDG 702</v>
      </c>
      <c r="D10549" t="str">
        <f>T("YORKTOWN")</f>
        <v>YORKTOWN</v>
      </c>
      <c r="E10549" t="str">
        <f>T("VA")</f>
        <v>VA</v>
      </c>
      <c r="F10549" t="str">
        <f>T("236915111")</f>
        <v>236915111</v>
      </c>
      <c r="G10549" t="str">
        <f>T("160 MAINE ROAD")</f>
        <v>160 MAINE ROAD</v>
      </c>
      <c r="H10549" t="str">
        <f>T("BLDG 702")</f>
        <v>BLDG 702</v>
      </c>
      <c r="I10549" t="str">
        <f>T("YORKTOWN")</f>
        <v>YORKTOWN</v>
      </c>
      <c r="J10549" t="str">
        <f>T("VA")</f>
        <v>VA</v>
      </c>
      <c r="K10549" t="str">
        <f>T("7578877180")</f>
        <v>7578877180</v>
      </c>
      <c r="L10549" t="str">
        <f>T("7578874717")</f>
        <v>7578874717</v>
      </c>
    </row>
    <row r="10550" spans="1:12" x14ac:dyDescent="0.35">
      <c r="A10550" t="str">
        <f>T("PUBLIC SFTY DET YKTOWN VA")</f>
        <v>PUBLIC SFTY DET YKTOWN VA</v>
      </c>
      <c r="B10550" t="str">
        <f>T("160 MAIN ROAD")</f>
        <v>160 MAIN ROAD</v>
      </c>
      <c r="C10550" t="str">
        <f>T("BLDG 702")</f>
        <v>BLDG 702</v>
      </c>
      <c r="D10550" t="str">
        <f>T("YORKTOWN")</f>
        <v>YORKTOWN</v>
      </c>
      <c r="E10550" t="str">
        <f>T("VA")</f>
        <v>VA</v>
      </c>
      <c r="F10550" t="str">
        <f>T("236915111")</f>
        <v>236915111</v>
      </c>
      <c r="G10550" t="str">
        <f>T("702 BELZER DRIVE")</f>
        <v>702 BELZER DRIVE</v>
      </c>
      <c r="H10550" t="str">
        <f>T("")</f>
        <v/>
      </c>
      <c r="I10550" t="str">
        <f>T("YORKTOWN")</f>
        <v>YORKTOWN</v>
      </c>
      <c r="J10550" t="str">
        <f>T("VA")</f>
        <v>VA</v>
      </c>
      <c r="K10550" t="str">
        <f>T("7578877180")</f>
        <v>7578877180</v>
      </c>
      <c r="L10550" t="str">
        <f>T("7572686253")</f>
        <v>7572686253</v>
      </c>
    </row>
    <row r="10551" spans="1:12" x14ac:dyDescent="0.35">
      <c r="A10551" t="str">
        <f>T("PUBLIC SFTY PM STFRONT NEWLON")</f>
        <v>PUBLIC SFTY PM STFRONT NEWLON</v>
      </c>
      <c r="B10551" t="str">
        <f>T("SUBASE SECURITY")</f>
        <v>SUBASE SECURITY</v>
      </c>
      <c r="C10551" t="str">
        <f>T("PO BOX 38")</f>
        <v>PO BOX 38</v>
      </c>
      <c r="D10551" t="str">
        <f>T("GROTON")</f>
        <v>GROTON</v>
      </c>
      <c r="E10551" t="str">
        <f>T("CT")</f>
        <v>CT</v>
      </c>
      <c r="F10551" t="str">
        <f>T("063495038")</f>
        <v>063495038</v>
      </c>
      <c r="G10551" t="str">
        <f>T("NAVAL SUBASE NLON")</f>
        <v>NAVAL SUBASE NLON</v>
      </c>
      <c r="H10551" t="str">
        <f>T("BOX 101 BLDG 439 ATFP")</f>
        <v>BOX 101 BLDG 439 ATFP</v>
      </c>
      <c r="I10551" t="str">
        <f>T("GROTON")</f>
        <v>GROTON</v>
      </c>
      <c r="J10551" t="str">
        <f>T("CT")</f>
        <v>CT</v>
      </c>
      <c r="K10551" t="str">
        <f>T("8606941497")</f>
        <v>8606941497</v>
      </c>
      <c r="L10551" t="str">
        <f>T("8606941232")</f>
        <v>8606941232</v>
      </c>
    </row>
    <row r="10552" spans="1:12" x14ac:dyDescent="0.35">
      <c r="A10552" t="str">
        <f>T("PUBLIC SFTY PM STFRONT NEWLON")</f>
        <v>PUBLIC SFTY PM STFRONT NEWLON</v>
      </c>
      <c r="B10552" t="str">
        <f>T("SUBASE SECURITY")</f>
        <v>SUBASE SECURITY</v>
      </c>
      <c r="C10552" t="str">
        <f>T("PO BOX 38")</f>
        <v>PO BOX 38</v>
      </c>
      <c r="D10552" t="str">
        <f>T("GROTON")</f>
        <v>GROTON</v>
      </c>
      <c r="E10552" t="str">
        <f>T("CT")</f>
        <v>CT</v>
      </c>
      <c r="F10552" t="str">
        <f>T("063495038")</f>
        <v>063495038</v>
      </c>
      <c r="G10552" t="str">
        <f>T("SUBASE SECURITY")</f>
        <v>SUBASE SECURITY</v>
      </c>
      <c r="H10552" t="str">
        <f>T("PO BOX 38")</f>
        <v>PO BOX 38</v>
      </c>
      <c r="I10552" t="str">
        <f>T("GROTON")</f>
        <v>GROTON</v>
      </c>
      <c r="J10552" t="str">
        <f>T("CT")</f>
        <v>CT</v>
      </c>
      <c r="K10552" t="str">
        <f>T("8606941497")</f>
        <v>8606941497</v>
      </c>
      <c r="L10552" t="str">
        <f>T("8606945395")</f>
        <v>8606945395</v>
      </c>
    </row>
    <row r="10553" spans="1:12" x14ac:dyDescent="0.35">
      <c r="A10553" t="str">
        <f>T("PUB SAFETY STRFRNT NEWPORT RI")</f>
        <v>PUB SAFETY STRFRNT NEWPORT RI</v>
      </c>
      <c r="B10553" t="str">
        <f>T("1373 SIMON PIETRI DR")</f>
        <v>1373 SIMON PIETRI DR</v>
      </c>
      <c r="C10553" t="str">
        <f>T("")</f>
        <v/>
      </c>
      <c r="D10553" t="str">
        <f t="shared" ref="D10553:D10572" si="3861">T("NEWPORT")</f>
        <v>NEWPORT</v>
      </c>
      <c r="E10553" t="str">
        <f t="shared" ref="E10553:E10572" si="3862">T("RI")</f>
        <v>RI</v>
      </c>
      <c r="F10553" t="str">
        <f>T("028410000")</f>
        <v>028410000</v>
      </c>
      <c r="G10553" t="str">
        <f>T("1373 SIMON PIETRI DR")</f>
        <v>1373 SIMON PIETRI DR</v>
      </c>
      <c r="H10553" t="str">
        <f>T("")</f>
        <v/>
      </c>
      <c r="I10553" t="str">
        <f>T("NEWPORT")</f>
        <v>NEWPORT</v>
      </c>
      <c r="J10553" t="str">
        <f t="shared" ref="J10553:J10572" si="3863">T("RI")</f>
        <v>RI</v>
      </c>
      <c r="K10553" t="str">
        <f>T("")</f>
        <v/>
      </c>
      <c r="L10553" t="str">
        <f>T("4018413025")</f>
        <v>4018413025</v>
      </c>
    </row>
    <row r="10554" spans="1:12" x14ac:dyDescent="0.35">
      <c r="A10554" t="str">
        <f t="shared" ref="A10554:A10572" si="3864">T("CNRNE NAVSTA NEWPORTAPC")</f>
        <v>CNRNE NAVSTA NEWPORTAPC</v>
      </c>
      <c r="B10554" t="str">
        <f>T("1 SIMONPIETRI DRIVE")</f>
        <v>1 SIMONPIETRI DRIVE</v>
      </c>
      <c r="C10554" t="str">
        <f>T("NAVAL STATION NEWPORT")</f>
        <v>NAVAL STATION NEWPORT</v>
      </c>
      <c r="D10554" t="str">
        <f t="shared" si="3861"/>
        <v>NEWPORT</v>
      </c>
      <c r="E10554" t="str">
        <f t="shared" si="3862"/>
        <v>RI</v>
      </c>
      <c r="F10554" t="str">
        <f>T("028411714")</f>
        <v>028411714</v>
      </c>
      <c r="G10554" t="str">
        <f>T("1 SIMONPIETRI DRIVE")</f>
        <v>1 SIMONPIETRI DRIVE</v>
      </c>
      <c r="H10554" t="str">
        <f>T("BLDG 1CC")</f>
        <v>BLDG 1CC</v>
      </c>
      <c r="I10554" t="str">
        <f>T("MIDDLETOWN")</f>
        <v>MIDDLETOWN</v>
      </c>
      <c r="J10554" t="str">
        <f t="shared" si="3863"/>
        <v>RI</v>
      </c>
      <c r="K10554" t="str">
        <f>T("000000000000000000")</f>
        <v>000000000000000000</v>
      </c>
      <c r="L10554" t="str">
        <f>T("4018412478")</f>
        <v>4018412478</v>
      </c>
    </row>
    <row r="10555" spans="1:12" x14ac:dyDescent="0.35">
      <c r="A10555" t="str">
        <f t="shared" si="3864"/>
        <v>CNRNE NAVSTA NEWPORTAPC</v>
      </c>
      <c r="B10555" t="str">
        <f>T("1 SIMONPIETRI DRIVE")</f>
        <v>1 SIMONPIETRI DRIVE</v>
      </c>
      <c r="C10555" t="str">
        <f>T("NAVAL STATION NEWPORT")</f>
        <v>NAVAL STATION NEWPORT</v>
      </c>
      <c r="D10555" t="str">
        <f t="shared" si="3861"/>
        <v>NEWPORT</v>
      </c>
      <c r="E10555" t="str">
        <f t="shared" si="3862"/>
        <v>RI</v>
      </c>
      <c r="F10555" t="str">
        <f>T("028411714")</f>
        <v>028411714</v>
      </c>
      <c r="G10555" t="str">
        <f>T("1 SIMONPIETRI DRIVE")</f>
        <v>1 SIMONPIETRI DRIVE</v>
      </c>
      <c r="H10555" t="str">
        <f>T("NAVAL STATION NEWPORT")</f>
        <v>NAVAL STATION NEWPORT</v>
      </c>
      <c r="I10555" t="str">
        <f t="shared" ref="I10555:I10572" si="3865">T("NEWPORT")</f>
        <v>NEWPORT</v>
      </c>
      <c r="J10555" t="str">
        <f t="shared" si="3863"/>
        <v>RI</v>
      </c>
      <c r="K10555" t="str">
        <f>T("")</f>
        <v/>
      </c>
      <c r="L10555" t="str">
        <f>T("4018411390")</f>
        <v>4018411390</v>
      </c>
    </row>
    <row r="10556" spans="1:12" x14ac:dyDescent="0.35">
      <c r="A10556" t="str">
        <f t="shared" si="3864"/>
        <v>CNRNE NAVSTA NEWPORTAPC</v>
      </c>
      <c r="B10556" t="str">
        <f>T("1 SIMONPIETRI DRIVE")</f>
        <v>1 SIMONPIETRI DRIVE</v>
      </c>
      <c r="C10556" t="str">
        <f>T("NAVAL STATION NEWPORT")</f>
        <v>NAVAL STATION NEWPORT</v>
      </c>
      <c r="D10556" t="str">
        <f t="shared" si="3861"/>
        <v>NEWPORT</v>
      </c>
      <c r="E10556" t="str">
        <f t="shared" si="3862"/>
        <v>RI</v>
      </c>
      <c r="F10556" t="str">
        <f>T("028411714")</f>
        <v>028411714</v>
      </c>
      <c r="G10556" t="str">
        <f>T("1 SIMONPIETRI DRIVE")</f>
        <v>1 SIMONPIETRI DRIVE</v>
      </c>
      <c r="H10556" t="str">
        <f>T("NAVAL STATION NEWPORT")</f>
        <v>NAVAL STATION NEWPORT</v>
      </c>
      <c r="I10556" t="str">
        <f t="shared" si="3865"/>
        <v>NEWPORT</v>
      </c>
      <c r="J10556" t="str">
        <f t="shared" si="3863"/>
        <v>RI</v>
      </c>
      <c r="K10556" t="str">
        <f>T("4018412265")</f>
        <v>4018412265</v>
      </c>
      <c r="L10556" t="str">
        <f>T("4018411390")</f>
        <v>4018411390</v>
      </c>
    </row>
    <row r="10557" spans="1:12" x14ac:dyDescent="0.35">
      <c r="A10557" t="str">
        <f t="shared" si="3864"/>
        <v>CNRNE NAVSTA NEWPORTAPC</v>
      </c>
      <c r="B10557" t="str">
        <f>T("1 SIMONPIETRI DRIVE")</f>
        <v>1 SIMONPIETRI DRIVE</v>
      </c>
      <c r="C10557" t="str">
        <f>T("NAVAL STATION NEWPORT")</f>
        <v>NAVAL STATION NEWPORT</v>
      </c>
      <c r="D10557" t="str">
        <f t="shared" si="3861"/>
        <v>NEWPORT</v>
      </c>
      <c r="E10557" t="str">
        <f t="shared" si="3862"/>
        <v>RI</v>
      </c>
      <c r="F10557" t="str">
        <f>T("028411714")</f>
        <v>028411714</v>
      </c>
      <c r="G10557" t="str">
        <f>T("NAVAL STATION NEWPORT")</f>
        <v>NAVAL STATION NEWPORT</v>
      </c>
      <c r="H10557" t="str">
        <f>T("690 PEARY ROAD COMMAND SUITE")</f>
        <v>690 PEARY ROAD COMMAND SUITE</v>
      </c>
      <c r="I10557" t="str">
        <f t="shared" si="3865"/>
        <v>NEWPORT</v>
      </c>
      <c r="J10557" t="str">
        <f t="shared" si="3863"/>
        <v>RI</v>
      </c>
      <c r="K10557" t="str">
        <f>T("000000000000000000")</f>
        <v>000000000000000000</v>
      </c>
      <c r="L10557" t="str">
        <f>T("4018413715")</f>
        <v>4018413715</v>
      </c>
    </row>
    <row r="10558" spans="1:12" x14ac:dyDescent="0.35">
      <c r="A10558" t="str">
        <f t="shared" si="3864"/>
        <v>CNRNE NAVSTA NEWPORTAPC</v>
      </c>
      <c r="B10558" t="str">
        <f>T("1 SIMONPIETRI DRIVE")</f>
        <v>1 SIMONPIETRI DRIVE</v>
      </c>
      <c r="C10558" t="str">
        <f>T("NAVAL STATION NEWPORT")</f>
        <v>NAVAL STATION NEWPORT</v>
      </c>
      <c r="D10558" t="str">
        <f t="shared" si="3861"/>
        <v>NEWPORT</v>
      </c>
      <c r="E10558" t="str">
        <f t="shared" si="3862"/>
        <v>RI</v>
      </c>
      <c r="F10558" t="str">
        <f>T("028411714")</f>
        <v>028411714</v>
      </c>
      <c r="G10558" t="str">
        <f>T("NAVAL STATION NEWPORT")</f>
        <v>NAVAL STATION NEWPORT</v>
      </c>
      <c r="H10558" t="str">
        <f>T("690 PEARY ST")</f>
        <v>690 PEARY ST</v>
      </c>
      <c r="I10558" t="str">
        <f t="shared" si="3865"/>
        <v>NEWPORT</v>
      </c>
      <c r="J10558" t="str">
        <f t="shared" si="3863"/>
        <v>RI</v>
      </c>
      <c r="K10558" t="str">
        <f>T("000000000000000000")</f>
        <v>000000000000000000</v>
      </c>
      <c r="L10558" t="str">
        <f>T("4018413271")</f>
        <v>4018413271</v>
      </c>
    </row>
    <row r="10559" spans="1:12" x14ac:dyDescent="0.35">
      <c r="A10559" t="str">
        <f t="shared" si="3864"/>
        <v>CNRNE NAVSTA NEWPORTAPC</v>
      </c>
      <c r="B10559" t="str">
        <f>T("1172 VAUGHAN STREET")</f>
        <v>1172 VAUGHAN STREET</v>
      </c>
      <c r="C10559" t="str">
        <f t="shared" ref="C10559:C10567" si="3866">T("")</f>
        <v/>
      </c>
      <c r="D10559" t="str">
        <f t="shared" si="3861"/>
        <v>NEWPORT</v>
      </c>
      <c r="E10559" t="str">
        <f t="shared" si="3862"/>
        <v>RI</v>
      </c>
      <c r="F10559" t="str">
        <f>T("028411506")</f>
        <v>028411506</v>
      </c>
      <c r="G10559" t="str">
        <f>T("1172 VAUGHAN STREET")</f>
        <v>1172 VAUGHAN STREET</v>
      </c>
      <c r="H10559" t="str">
        <f>T("")</f>
        <v/>
      </c>
      <c r="I10559" t="str">
        <f t="shared" si="3865"/>
        <v>NEWPORT</v>
      </c>
      <c r="J10559" t="str">
        <f t="shared" si="3863"/>
        <v>RI</v>
      </c>
      <c r="K10559" t="str">
        <f>T("000000000000000000")</f>
        <v>000000000000000000</v>
      </c>
      <c r="L10559" t="str">
        <f>T("4018412234")</f>
        <v>4018412234</v>
      </c>
    </row>
    <row r="10560" spans="1:12" x14ac:dyDescent="0.35">
      <c r="A10560" t="str">
        <f t="shared" si="3864"/>
        <v>CNRNE NAVSTA NEWPORTAPC</v>
      </c>
      <c r="B10560" t="str">
        <f>T("1172 VAUGHAN STREET")</f>
        <v>1172 VAUGHAN STREET</v>
      </c>
      <c r="C10560" t="str">
        <f t="shared" si="3866"/>
        <v/>
      </c>
      <c r="D10560" t="str">
        <f t="shared" si="3861"/>
        <v>NEWPORT</v>
      </c>
      <c r="E10560" t="str">
        <f t="shared" si="3862"/>
        <v>RI</v>
      </c>
      <c r="F10560" t="str">
        <f>T("028411506")</f>
        <v>028411506</v>
      </c>
      <c r="G10560" t="str">
        <f>T("1172 VAUGHAN STREET")</f>
        <v>1172 VAUGHAN STREET</v>
      </c>
      <c r="H10560" t="str">
        <f>T("")</f>
        <v/>
      </c>
      <c r="I10560" t="str">
        <f t="shared" si="3865"/>
        <v>NEWPORT</v>
      </c>
      <c r="J10560" t="str">
        <f t="shared" si="3863"/>
        <v>RI</v>
      </c>
      <c r="K10560" t="str">
        <f>T("4018414289")</f>
        <v>4018414289</v>
      </c>
      <c r="L10560" t="str">
        <f>T("4018412234")</f>
        <v>4018412234</v>
      </c>
    </row>
    <row r="10561" spans="1:12" x14ac:dyDescent="0.35">
      <c r="A10561" t="str">
        <f t="shared" si="3864"/>
        <v>CNRNE NAVSTA NEWPORTAPC</v>
      </c>
      <c r="B10561" t="str">
        <f>T("1172 VAUGHAN STREET")</f>
        <v>1172 VAUGHAN STREET</v>
      </c>
      <c r="C10561" t="str">
        <f t="shared" si="3866"/>
        <v/>
      </c>
      <c r="D10561" t="str">
        <f t="shared" si="3861"/>
        <v>NEWPORT</v>
      </c>
      <c r="E10561" t="str">
        <f t="shared" si="3862"/>
        <v>RI</v>
      </c>
      <c r="F10561" t="str">
        <f>T("028411506")</f>
        <v>028411506</v>
      </c>
      <c r="G10561" t="str">
        <f>T("NAVAL STATION NEWPORT-CHAPEL OF HOPE")</f>
        <v>NAVAL STATION NEWPORT-CHAPEL OF HOPE</v>
      </c>
      <c r="H10561" t="str">
        <f>T("1172 VAUGHAN ST")</f>
        <v>1172 VAUGHAN ST</v>
      </c>
      <c r="I10561" t="str">
        <f t="shared" si="3865"/>
        <v>NEWPORT</v>
      </c>
      <c r="J10561" t="str">
        <f t="shared" si="3863"/>
        <v>RI</v>
      </c>
      <c r="K10561" t="str">
        <f>T("000000000000000000")</f>
        <v>000000000000000000</v>
      </c>
      <c r="L10561" t="str">
        <f>T("4018412234")</f>
        <v>4018412234</v>
      </c>
    </row>
    <row r="10562" spans="1:12" x14ac:dyDescent="0.35">
      <c r="A10562" t="str">
        <f t="shared" si="3864"/>
        <v>CNRNE NAVSTA NEWPORTAPC</v>
      </c>
      <c r="B10562" t="str">
        <f>T("1260 PEARY ST")</f>
        <v>1260 PEARY ST</v>
      </c>
      <c r="C10562" t="str">
        <f t="shared" si="3866"/>
        <v/>
      </c>
      <c r="D10562" t="str">
        <f t="shared" si="3861"/>
        <v>NEWPORT</v>
      </c>
      <c r="E10562" t="str">
        <f t="shared" si="3862"/>
        <v>RI</v>
      </c>
      <c r="F10562" t="str">
        <f>T("028411610")</f>
        <v>028411610</v>
      </c>
      <c r="G10562" t="str">
        <f>T("1260 PEARY ST")</f>
        <v>1260 PEARY ST</v>
      </c>
      <c r="H10562" t="str">
        <f t="shared" ref="H10562:H10567" si="3867">T("")</f>
        <v/>
      </c>
      <c r="I10562" t="str">
        <f t="shared" si="3865"/>
        <v>NEWPORT</v>
      </c>
      <c r="J10562" t="str">
        <f t="shared" si="3863"/>
        <v>RI</v>
      </c>
      <c r="K10562" t="str">
        <f>T("401 841 1586")</f>
        <v>401 841 1586</v>
      </c>
      <c r="L10562" t="str">
        <f>T("4018416972")</f>
        <v>4018416972</v>
      </c>
    </row>
    <row r="10563" spans="1:12" x14ac:dyDescent="0.35">
      <c r="A10563" t="str">
        <f t="shared" si="3864"/>
        <v>CNRNE NAVSTA NEWPORTAPC</v>
      </c>
      <c r="B10563" t="str">
        <f>T("1260 PEARY ST")</f>
        <v>1260 PEARY ST</v>
      </c>
      <c r="C10563" t="str">
        <f t="shared" si="3866"/>
        <v/>
      </c>
      <c r="D10563" t="str">
        <f t="shared" si="3861"/>
        <v>NEWPORT</v>
      </c>
      <c r="E10563" t="str">
        <f t="shared" si="3862"/>
        <v>RI</v>
      </c>
      <c r="F10563" t="str">
        <f>T("028411610")</f>
        <v>028411610</v>
      </c>
      <c r="G10563" t="str">
        <f>T("1260 PEARY STREET")</f>
        <v>1260 PEARY STREET</v>
      </c>
      <c r="H10563" t="str">
        <f t="shared" si="3867"/>
        <v/>
      </c>
      <c r="I10563" t="str">
        <f t="shared" si="3865"/>
        <v>NEWPORT</v>
      </c>
      <c r="J10563" t="str">
        <f t="shared" si="3863"/>
        <v>RI</v>
      </c>
      <c r="K10563" t="str">
        <f>T("4018411586")</f>
        <v>4018411586</v>
      </c>
      <c r="L10563" t="str">
        <f>T("4018412283")</f>
        <v>4018412283</v>
      </c>
    </row>
    <row r="10564" spans="1:12" x14ac:dyDescent="0.35">
      <c r="A10564" t="str">
        <f t="shared" si="3864"/>
        <v>CNRNE NAVSTA NEWPORTAPC</v>
      </c>
      <c r="B10564" t="str">
        <f>T("1260 PEARY ST")</f>
        <v>1260 PEARY ST</v>
      </c>
      <c r="C10564" t="str">
        <f t="shared" si="3866"/>
        <v/>
      </c>
      <c r="D10564" t="str">
        <f t="shared" si="3861"/>
        <v>NEWPORT</v>
      </c>
      <c r="E10564" t="str">
        <f t="shared" si="3862"/>
        <v>RI</v>
      </c>
      <c r="F10564" t="str">
        <f>T("028411610")</f>
        <v>028411610</v>
      </c>
      <c r="G10564" t="str">
        <f>T("1260 PEARY STREET")</f>
        <v>1260 PEARY STREET</v>
      </c>
      <c r="H10564" t="str">
        <f t="shared" si="3867"/>
        <v/>
      </c>
      <c r="I10564" t="str">
        <f t="shared" si="3865"/>
        <v>NEWPORT</v>
      </c>
      <c r="J10564" t="str">
        <f t="shared" si="3863"/>
        <v>RI</v>
      </c>
      <c r="K10564" t="str">
        <f>T("4018411586")</f>
        <v>4018411586</v>
      </c>
      <c r="L10564" t="str">
        <f>T("4018413816")</f>
        <v>4018413816</v>
      </c>
    </row>
    <row r="10565" spans="1:12" x14ac:dyDescent="0.35">
      <c r="A10565" t="str">
        <f t="shared" si="3864"/>
        <v>CNRNE NAVSTA NEWPORTAPC</v>
      </c>
      <c r="B10565" t="str">
        <f>T("1373 SIMONPIETRI CIR")</f>
        <v>1373 SIMONPIETRI CIR</v>
      </c>
      <c r="C10565" t="str">
        <f t="shared" si="3866"/>
        <v/>
      </c>
      <c r="D10565" t="str">
        <f t="shared" si="3861"/>
        <v>NEWPORT</v>
      </c>
      <c r="E10565" t="str">
        <f t="shared" si="3862"/>
        <v>RI</v>
      </c>
      <c r="F10565" t="str">
        <f>T("028410000")</f>
        <v>028410000</v>
      </c>
      <c r="G10565" t="str">
        <f>T("1373 SIMONPIETRI CIR")</f>
        <v>1373 SIMONPIETRI CIR</v>
      </c>
      <c r="H10565" t="str">
        <f t="shared" si="3867"/>
        <v/>
      </c>
      <c r="I10565" t="str">
        <f t="shared" si="3865"/>
        <v>NEWPORT</v>
      </c>
      <c r="J10565" t="str">
        <f t="shared" si="3863"/>
        <v>RI</v>
      </c>
      <c r="K10565" t="str">
        <f>T("000000000000000000")</f>
        <v>000000000000000000</v>
      </c>
      <c r="L10565" t="str">
        <f>T("4018412225")</f>
        <v>4018412225</v>
      </c>
    </row>
    <row r="10566" spans="1:12" x14ac:dyDescent="0.35">
      <c r="A10566" t="str">
        <f t="shared" si="3864"/>
        <v>CNRNE NAVSTA NEWPORTAPC</v>
      </c>
      <c r="B10566" t="str">
        <f>T("1373 SIMONPIETRI CIR")</f>
        <v>1373 SIMONPIETRI CIR</v>
      </c>
      <c r="C10566" t="str">
        <f t="shared" si="3866"/>
        <v/>
      </c>
      <c r="D10566" t="str">
        <f t="shared" si="3861"/>
        <v>NEWPORT</v>
      </c>
      <c r="E10566" t="str">
        <f t="shared" si="3862"/>
        <v>RI</v>
      </c>
      <c r="F10566" t="str">
        <f>T("028410000")</f>
        <v>028410000</v>
      </c>
      <c r="G10566" t="str">
        <f>T("1373 SIMONPIETRI CIRCLE")</f>
        <v>1373 SIMONPIETRI CIRCLE</v>
      </c>
      <c r="H10566" t="str">
        <f t="shared" si="3867"/>
        <v/>
      </c>
      <c r="I10566" t="str">
        <f t="shared" si="3865"/>
        <v>NEWPORT</v>
      </c>
      <c r="J10566" t="str">
        <f t="shared" si="3863"/>
        <v>RI</v>
      </c>
      <c r="K10566" t="str">
        <f>T("000000000000000000")</f>
        <v>000000000000000000</v>
      </c>
      <c r="L10566" t="str">
        <f>T("4018411980")</f>
        <v>4018411980</v>
      </c>
    </row>
    <row r="10567" spans="1:12" x14ac:dyDescent="0.35">
      <c r="A10567" t="str">
        <f t="shared" si="3864"/>
        <v>CNRNE NAVSTA NEWPORTAPC</v>
      </c>
      <c r="B10567" t="str">
        <f>T("1373 SIMONPIETRI CIR")</f>
        <v>1373 SIMONPIETRI CIR</v>
      </c>
      <c r="C10567" t="str">
        <f t="shared" si="3866"/>
        <v/>
      </c>
      <c r="D10567" t="str">
        <f t="shared" si="3861"/>
        <v>NEWPORT</v>
      </c>
      <c r="E10567" t="str">
        <f t="shared" si="3862"/>
        <v>RI</v>
      </c>
      <c r="F10567" t="str">
        <f>T("028410000")</f>
        <v>028410000</v>
      </c>
      <c r="G10567" t="str">
        <f>T("1373 SIMONPIETRI CIRCLE")</f>
        <v>1373 SIMONPIETRI CIRCLE</v>
      </c>
      <c r="H10567" t="str">
        <f t="shared" si="3867"/>
        <v/>
      </c>
      <c r="I10567" t="str">
        <f t="shared" si="3865"/>
        <v>NEWPORT</v>
      </c>
      <c r="J10567" t="str">
        <f t="shared" si="3863"/>
        <v>RI</v>
      </c>
      <c r="K10567" t="str">
        <f>T("000000000000000000")</f>
        <v>000000000000000000</v>
      </c>
      <c r="L10567" t="str">
        <f>T("4018412093")</f>
        <v>4018412093</v>
      </c>
    </row>
    <row r="10568" spans="1:12" x14ac:dyDescent="0.35">
      <c r="A10568" t="str">
        <f t="shared" si="3864"/>
        <v>CNRNE NAVSTA NEWPORTAPC</v>
      </c>
      <c r="B10568" t="str">
        <f>T("68 PEARY ST")</f>
        <v>68 PEARY ST</v>
      </c>
      <c r="C10568" t="str">
        <f>T("PIER #2")</f>
        <v>PIER #2</v>
      </c>
      <c r="D10568" t="str">
        <f t="shared" si="3861"/>
        <v>NEWPORT</v>
      </c>
      <c r="E10568" t="str">
        <f t="shared" si="3862"/>
        <v>RI</v>
      </c>
      <c r="F10568" t="str">
        <f>T("028411616")</f>
        <v>028411616</v>
      </c>
      <c r="G10568" t="str">
        <f>T("68 PEARY ST")</f>
        <v>68 PEARY ST</v>
      </c>
      <c r="H10568" t="str">
        <f>T("PIER #2")</f>
        <v>PIER #2</v>
      </c>
      <c r="I10568" t="str">
        <f t="shared" si="3865"/>
        <v>NEWPORT</v>
      </c>
      <c r="J10568" t="str">
        <f t="shared" si="3863"/>
        <v>RI</v>
      </c>
      <c r="K10568" t="str">
        <f>T("000000000000000000")</f>
        <v>000000000000000000</v>
      </c>
      <c r="L10568" t="str">
        <f>T("4018412277")</f>
        <v>4018412277</v>
      </c>
    </row>
    <row r="10569" spans="1:12" x14ac:dyDescent="0.35">
      <c r="A10569" t="str">
        <f t="shared" si="3864"/>
        <v>CNRNE NAVSTA NEWPORTAPC</v>
      </c>
      <c r="B10569" t="str">
        <f>T("690 PEARY ST")</f>
        <v>690 PEARY ST</v>
      </c>
      <c r="C10569" t="str">
        <f>T("")</f>
        <v/>
      </c>
      <c r="D10569" t="str">
        <f t="shared" si="3861"/>
        <v>NEWPORT</v>
      </c>
      <c r="E10569" t="str">
        <f t="shared" si="3862"/>
        <v>RI</v>
      </c>
      <c r="F10569" t="str">
        <f>T("028411619")</f>
        <v>028411619</v>
      </c>
      <c r="G10569" t="str">
        <f>T("690 PEARY ST")</f>
        <v>690 PEARY ST</v>
      </c>
      <c r="H10569" t="str">
        <f>T("")</f>
        <v/>
      </c>
      <c r="I10569" t="str">
        <f t="shared" si="3865"/>
        <v>NEWPORT</v>
      </c>
      <c r="J10569" t="str">
        <f t="shared" si="3863"/>
        <v>RI</v>
      </c>
      <c r="K10569" t="str">
        <f>T("000000000000000000")</f>
        <v>000000000000000000</v>
      </c>
      <c r="L10569" t="str">
        <f>T("4018414545")</f>
        <v>4018414545</v>
      </c>
    </row>
    <row r="10570" spans="1:12" x14ac:dyDescent="0.35">
      <c r="A10570" t="str">
        <f t="shared" si="3864"/>
        <v>CNRNE NAVSTA NEWPORTAPC</v>
      </c>
      <c r="B10570" t="str">
        <f>T("690 PEARY ST")</f>
        <v>690 PEARY ST</v>
      </c>
      <c r="C10570" t="str">
        <f>T("")</f>
        <v/>
      </c>
      <c r="D10570" t="str">
        <f t="shared" si="3861"/>
        <v>NEWPORT</v>
      </c>
      <c r="E10570" t="str">
        <f t="shared" si="3862"/>
        <v>RI</v>
      </c>
      <c r="F10570" t="str">
        <f>T("028411619")</f>
        <v>028411619</v>
      </c>
      <c r="G10570" t="str">
        <f>T("690 PEARY ST")</f>
        <v>690 PEARY ST</v>
      </c>
      <c r="H10570" t="str">
        <f>T("")</f>
        <v/>
      </c>
      <c r="I10570" t="str">
        <f t="shared" si="3865"/>
        <v>NEWPORT</v>
      </c>
      <c r="J10570" t="str">
        <f t="shared" si="3863"/>
        <v>RI</v>
      </c>
      <c r="K10570" t="str">
        <f>T("4018417138")</f>
        <v>4018417138</v>
      </c>
      <c r="L10570" t="str">
        <f>T("4018414111")</f>
        <v>4018414111</v>
      </c>
    </row>
    <row r="10571" spans="1:12" x14ac:dyDescent="0.35">
      <c r="A10571" t="str">
        <f t="shared" si="3864"/>
        <v>CNRNE NAVSTA NEWPORTAPC</v>
      </c>
      <c r="B10571" t="str">
        <f>T("NAVAL STATION NEWPORT")</f>
        <v>NAVAL STATION NEWPORT</v>
      </c>
      <c r="C10571" t="str">
        <f>T("BLDG 1373, SIMONPIETRI DRIVE")</f>
        <v>BLDG 1373, SIMONPIETRI DRIVE</v>
      </c>
      <c r="D10571" t="str">
        <f t="shared" si="3861"/>
        <v>NEWPORT</v>
      </c>
      <c r="E10571" t="str">
        <f t="shared" si="3862"/>
        <v>RI</v>
      </c>
      <c r="F10571" t="str">
        <f>T("028410000")</f>
        <v>028410000</v>
      </c>
      <c r="G10571" t="str">
        <f>T("NAVAL STATION NEWPORT")</f>
        <v>NAVAL STATION NEWPORT</v>
      </c>
      <c r="H10571" t="str">
        <f>T("BLDG 1373, SIMONPIETRI DRIVE")</f>
        <v>BLDG 1373, SIMONPIETRI DRIVE</v>
      </c>
      <c r="I10571" t="str">
        <f t="shared" si="3865"/>
        <v>NEWPORT</v>
      </c>
      <c r="J10571" t="str">
        <f t="shared" si="3863"/>
        <v>RI</v>
      </c>
      <c r="K10571" t="str">
        <f>T("000000000000000000")</f>
        <v>000000000000000000</v>
      </c>
      <c r="L10571" t="str">
        <f>T("4018414035")</f>
        <v>4018414035</v>
      </c>
    </row>
    <row r="10572" spans="1:12" x14ac:dyDescent="0.35">
      <c r="A10572" t="str">
        <f t="shared" si="3864"/>
        <v>CNRNE NAVSTA NEWPORTAPC</v>
      </c>
      <c r="B10572" t="str">
        <f>T("NAVAL STATION NEWPORT")</f>
        <v>NAVAL STATION NEWPORT</v>
      </c>
      <c r="C10572" t="str">
        <f>T("BLDG 1373, SIMONPIETRI DRIVE")</f>
        <v>BLDG 1373, SIMONPIETRI DRIVE</v>
      </c>
      <c r="D10572" t="str">
        <f t="shared" si="3861"/>
        <v>NEWPORT</v>
      </c>
      <c r="E10572" t="str">
        <f t="shared" si="3862"/>
        <v>RI</v>
      </c>
      <c r="F10572" t="str">
        <f>T("028410000")</f>
        <v>028410000</v>
      </c>
      <c r="G10572" t="str">
        <f>T("NAVAL STATION NEWPORT")</f>
        <v>NAVAL STATION NEWPORT</v>
      </c>
      <c r="H10572" t="str">
        <f>T("BUILDING 1373 SIMONPIETRI DR")</f>
        <v>BUILDING 1373 SIMONPIETRI DR</v>
      </c>
      <c r="I10572" t="str">
        <f t="shared" si="3865"/>
        <v>NEWPORT</v>
      </c>
      <c r="J10572" t="str">
        <f t="shared" si="3863"/>
        <v>RI</v>
      </c>
      <c r="K10572" t="str">
        <f>T("000000000000000000")</f>
        <v>000000000000000000</v>
      </c>
      <c r="L10572" t="str">
        <f>T("4018412122")</f>
        <v>4018412122</v>
      </c>
    </row>
    <row r="10573" spans="1:12" x14ac:dyDescent="0.35">
      <c r="A10573" t="str">
        <f t="shared" ref="A10573:A10579" si="3868">T("NSA PHILADELPHIA")</f>
        <v>NSA PHILADELPHIA</v>
      </c>
      <c r="B10573" t="str">
        <f>T("5450 CARLISE PIKE")</f>
        <v>5450 CARLISE PIKE</v>
      </c>
      <c r="C10573" t="str">
        <f>T("P.O. BOX 2020")</f>
        <v>P.O. BOX 2020</v>
      </c>
      <c r="D10573" t="str">
        <f t="shared" ref="D10573:D10579" si="3869">T("MECHANICSBURG")</f>
        <v>MECHANICSBURG</v>
      </c>
      <c r="E10573" t="str">
        <f t="shared" ref="E10573:E10579" si="3870">T("PA")</f>
        <v>PA</v>
      </c>
      <c r="F10573" t="str">
        <f>T("170550788")</f>
        <v>170550788</v>
      </c>
      <c r="G10573" t="str">
        <f>T("5450 CARLISE PIKE")</f>
        <v>5450 CARLISE PIKE</v>
      </c>
      <c r="H10573" t="str">
        <f>T("P.O. BOX 2020")</f>
        <v>P.O. BOX 2020</v>
      </c>
      <c r="I10573" t="str">
        <f t="shared" ref="I10573:I10579" si="3871">T("MECHANICSBURG")</f>
        <v>MECHANICSBURG</v>
      </c>
      <c r="J10573" t="str">
        <f t="shared" ref="J10573:J10579" si="3872">T("PA")</f>
        <v>PA</v>
      </c>
      <c r="K10573" t="str">
        <f>T("7176051729")</f>
        <v>7176051729</v>
      </c>
      <c r="L10573" t="str">
        <f>T("7176051800")</f>
        <v>7176051800</v>
      </c>
    </row>
    <row r="10574" spans="1:12" x14ac:dyDescent="0.35">
      <c r="A10574" t="str">
        <f t="shared" si="3868"/>
        <v>NSA PHILADELPHIA</v>
      </c>
      <c r="B10574" t="str">
        <f>T("5450 CARLISE PIKE")</f>
        <v>5450 CARLISE PIKE</v>
      </c>
      <c r="C10574" t="str">
        <f>T("P.O. BOX 2020")</f>
        <v>P.O. BOX 2020</v>
      </c>
      <c r="D10574" t="str">
        <f t="shared" si="3869"/>
        <v>MECHANICSBURG</v>
      </c>
      <c r="E10574" t="str">
        <f t="shared" si="3870"/>
        <v>PA</v>
      </c>
      <c r="F10574" t="str">
        <f>T("170550788")</f>
        <v>170550788</v>
      </c>
      <c r="G10574" t="str">
        <f>T("5450 CARLISLE PIKE BLDG 306C")</f>
        <v>5450 CARLISLE PIKE BLDG 306C</v>
      </c>
      <c r="H10574" t="str">
        <f>T("P O BOX 2020")</f>
        <v>P O BOX 2020</v>
      </c>
      <c r="I10574" t="str">
        <f t="shared" si="3871"/>
        <v>MECHANICSBURG</v>
      </c>
      <c r="J10574" t="str">
        <f t="shared" si="3872"/>
        <v>PA</v>
      </c>
      <c r="K10574" t="str">
        <f>T("7176056394")</f>
        <v>7176056394</v>
      </c>
      <c r="L10574" t="str">
        <f>T("7176053911")</f>
        <v>7176053911</v>
      </c>
    </row>
    <row r="10575" spans="1:12" x14ac:dyDescent="0.35">
      <c r="A10575" t="str">
        <f t="shared" si="3868"/>
        <v>NSA PHILADELPHIA</v>
      </c>
      <c r="B10575" t="str">
        <f>T("5450 CARLISLE PIKE")</f>
        <v>5450 CARLISLE PIKE</v>
      </c>
      <c r="C10575" t="str">
        <f>T("PO BOX M09M1 BLDG 306C")</f>
        <v>PO BOX M09M1 BLDG 306C</v>
      </c>
      <c r="D10575" t="str">
        <f t="shared" si="3869"/>
        <v>MECHANICSBURG</v>
      </c>
      <c r="E10575" t="str">
        <f t="shared" si="3870"/>
        <v>PA</v>
      </c>
      <c r="F10575" t="str">
        <f>T("170502411")</f>
        <v>170502411</v>
      </c>
      <c r="G10575" t="str">
        <f>T("5450 CARLISLE PIKE")</f>
        <v>5450 CARLISLE PIKE</v>
      </c>
      <c r="H10575" t="str">
        <f>T("P O BOX 2020")</f>
        <v>P O BOX 2020</v>
      </c>
      <c r="I10575" t="str">
        <f t="shared" si="3871"/>
        <v>MECHANICSBURG</v>
      </c>
      <c r="J10575" t="str">
        <f t="shared" si="3872"/>
        <v>PA</v>
      </c>
      <c r="K10575" t="str">
        <f>T("7176057222")</f>
        <v>7176057222</v>
      </c>
      <c r="L10575" t="str">
        <f>T("7176053467")</f>
        <v>7176053467</v>
      </c>
    </row>
    <row r="10576" spans="1:12" x14ac:dyDescent="0.35">
      <c r="A10576" t="str">
        <f t="shared" si="3868"/>
        <v>NSA PHILADELPHIA</v>
      </c>
      <c r="B10576" t="str">
        <f>T("5450 CARLISLE PIKE")</f>
        <v>5450 CARLISLE PIKE</v>
      </c>
      <c r="C10576" t="str">
        <f>T("PO BOX M09M1 BLDG 306C")</f>
        <v>PO BOX M09M1 BLDG 306C</v>
      </c>
      <c r="D10576" t="str">
        <f t="shared" si="3869"/>
        <v>MECHANICSBURG</v>
      </c>
      <c r="E10576" t="str">
        <f t="shared" si="3870"/>
        <v>PA</v>
      </c>
      <c r="F10576" t="str">
        <f>T("170502411")</f>
        <v>170502411</v>
      </c>
      <c r="G10576" t="str">
        <f>T("5450 CARLISLE PIKE")</f>
        <v>5450 CARLISLE PIKE</v>
      </c>
      <c r="H10576" t="str">
        <f>T("PO BOX M09M1 BLDG 306C")</f>
        <v>PO BOX M09M1 BLDG 306C</v>
      </c>
      <c r="I10576" t="str">
        <f t="shared" si="3871"/>
        <v>MECHANICSBURG</v>
      </c>
      <c r="J10576" t="str">
        <f t="shared" si="3872"/>
        <v>PA</v>
      </c>
      <c r="K10576" t="str">
        <f>T("7176057222")</f>
        <v>7176057222</v>
      </c>
      <c r="L10576" t="str">
        <f>T("7176053467")</f>
        <v>7176053467</v>
      </c>
    </row>
    <row r="10577" spans="1:12" x14ac:dyDescent="0.35">
      <c r="A10577" t="str">
        <f t="shared" si="3868"/>
        <v>NSA PHILADELPHIA</v>
      </c>
      <c r="B10577" t="str">
        <f>T("5450 CARLISLE PIKE")</f>
        <v>5450 CARLISLE PIKE</v>
      </c>
      <c r="C10577" t="str">
        <f>T("PO BOX M09M1 BLDG 306C")</f>
        <v>PO BOX M09M1 BLDG 306C</v>
      </c>
      <c r="D10577" t="str">
        <f t="shared" si="3869"/>
        <v>MECHANICSBURG</v>
      </c>
      <c r="E10577" t="str">
        <f t="shared" si="3870"/>
        <v>PA</v>
      </c>
      <c r="F10577" t="str">
        <f>T("170502411")</f>
        <v>170502411</v>
      </c>
      <c r="G10577" t="str">
        <f>T("NSA-M/FIRE/EMERGENCY SVC")</f>
        <v>NSA-M/FIRE/EMERGENCY SVC</v>
      </c>
      <c r="H10577" t="str">
        <f>T("5450 CARLISLE PIKE")</f>
        <v>5450 CARLISLE PIKE</v>
      </c>
      <c r="I10577" t="str">
        <f t="shared" si="3871"/>
        <v>MECHANICSBURG</v>
      </c>
      <c r="J10577" t="str">
        <f t="shared" si="3872"/>
        <v>PA</v>
      </c>
      <c r="K10577" t="str">
        <f>T("000000000000000000")</f>
        <v>000000000000000000</v>
      </c>
      <c r="L10577" t="str">
        <f>T("7176053467")</f>
        <v>7176053467</v>
      </c>
    </row>
    <row r="10578" spans="1:12" x14ac:dyDescent="0.35">
      <c r="A10578" t="str">
        <f t="shared" si="3868"/>
        <v>NSA PHILADELPHIA</v>
      </c>
      <c r="B10578" t="str">
        <f>T("5450 CARLISLE PIKE BLDG 306")</f>
        <v>5450 CARLISLE PIKE BLDG 306</v>
      </c>
      <c r="C10578" t="str">
        <f>T("")</f>
        <v/>
      </c>
      <c r="D10578" t="str">
        <f t="shared" si="3869"/>
        <v>MECHANICSBURG</v>
      </c>
      <c r="E10578" t="str">
        <f t="shared" si="3870"/>
        <v>PA</v>
      </c>
      <c r="F10578" t="str">
        <f>T("170502411")</f>
        <v>170502411</v>
      </c>
      <c r="G10578" t="str">
        <f>T("5450 CARLISLE PIKE")</f>
        <v>5450 CARLISLE PIKE</v>
      </c>
      <c r="H10578" t="str">
        <f>T("BLDG 306C")</f>
        <v>BLDG 306C</v>
      </c>
      <c r="I10578" t="str">
        <f t="shared" si="3871"/>
        <v>MECHANICSBURG</v>
      </c>
      <c r="J10578" t="str">
        <f t="shared" si="3872"/>
        <v>PA</v>
      </c>
      <c r="K10578" t="str">
        <f>T("000000000000000000")</f>
        <v>000000000000000000</v>
      </c>
      <c r="L10578" t="str">
        <f>T("7176056094")</f>
        <v>7176056094</v>
      </c>
    </row>
    <row r="10579" spans="1:12" x14ac:dyDescent="0.35">
      <c r="A10579" t="str">
        <f t="shared" si="3868"/>
        <v>NSA PHILADELPHIA</v>
      </c>
      <c r="B10579" t="str">
        <f>T("5450 CARLISLE PIKE BLDG 306")</f>
        <v>5450 CARLISLE PIKE BLDG 306</v>
      </c>
      <c r="C10579" t="str">
        <f>T("")</f>
        <v/>
      </c>
      <c r="D10579" t="str">
        <f t="shared" si="3869"/>
        <v>MECHANICSBURG</v>
      </c>
      <c r="E10579" t="str">
        <f t="shared" si="3870"/>
        <v>PA</v>
      </c>
      <c r="F10579" t="str">
        <f>T("170502411")</f>
        <v>170502411</v>
      </c>
      <c r="G10579" t="str">
        <f>T("5450 CARLISLE PIKE BLDG 306")</f>
        <v>5450 CARLISLE PIKE BLDG 306</v>
      </c>
      <c r="H10579" t="str">
        <f>T("")</f>
        <v/>
      </c>
      <c r="I10579" t="str">
        <f t="shared" si="3871"/>
        <v>MECHANICSBURG</v>
      </c>
      <c r="J10579" t="str">
        <f t="shared" si="3872"/>
        <v>PA</v>
      </c>
      <c r="K10579" t="str">
        <f>T("7176052549")</f>
        <v>7176052549</v>
      </c>
      <c r="L10579" t="str">
        <f>T("7176051007")</f>
        <v>7176051007</v>
      </c>
    </row>
    <row r="10580" spans="1:12" x14ac:dyDescent="0.35">
      <c r="A10580" t="str">
        <f>T("NSS DAM NECK")</f>
        <v>NSS DAM NECK</v>
      </c>
      <c r="B10580" t="str">
        <f>T("2089 TARTAR AVE")</f>
        <v>2089 TARTAR AVE</v>
      </c>
      <c r="C10580" t="str">
        <f>T("BLDG 559")</f>
        <v>BLDG 559</v>
      </c>
      <c r="D10580" t="str">
        <f>T("VIRGINIA BEACH")</f>
        <v>VIRGINIA BEACH</v>
      </c>
      <c r="E10580" t="str">
        <f t="shared" ref="E10580:E10594" si="3873">T("VA")</f>
        <v>VA</v>
      </c>
      <c r="F10580" t="str">
        <f>T("234611929")</f>
        <v>234611929</v>
      </c>
      <c r="G10580" t="str">
        <f>T("2089 TARTAR AVE")</f>
        <v>2089 TARTAR AVE</v>
      </c>
      <c r="H10580" t="str">
        <f>T("BLDG 559")</f>
        <v>BLDG 559</v>
      </c>
      <c r="I10580" t="str">
        <f>T("VIRGINIA BEACH")</f>
        <v>VIRGINIA BEACH</v>
      </c>
      <c r="J10580" t="str">
        <f t="shared" ref="J10580:J10594" si="3874">T("VA")</f>
        <v>VA</v>
      </c>
      <c r="K10580" t="str">
        <f t="shared" ref="K10580:K10585" si="3875">T("000000000000000000")</f>
        <v>000000000000000000</v>
      </c>
      <c r="L10580" t="str">
        <f>T("7574927828")</f>
        <v>7574927828</v>
      </c>
    </row>
    <row r="10581" spans="1:12" x14ac:dyDescent="0.35">
      <c r="A10581" t="str">
        <f>T("NSS DAM NECK")</f>
        <v>NSS DAM NECK</v>
      </c>
      <c r="B10581" t="str">
        <f>T("2089 TARTAR AVE")</f>
        <v>2089 TARTAR AVE</v>
      </c>
      <c r="C10581" t="str">
        <f>T("BLDG 559")</f>
        <v>BLDG 559</v>
      </c>
      <c r="D10581" t="str">
        <f>T("VIRGINIA BEACH")</f>
        <v>VIRGINIA BEACH</v>
      </c>
      <c r="E10581" t="str">
        <f t="shared" si="3873"/>
        <v>VA</v>
      </c>
      <c r="F10581" t="str">
        <f>T("234611929")</f>
        <v>234611929</v>
      </c>
      <c r="G10581" t="str">
        <f>T("2089 TARTAR AVENUE")</f>
        <v>2089 TARTAR AVENUE</v>
      </c>
      <c r="H10581" t="str">
        <f>T("BUILDING 559")</f>
        <v>BUILDING 559</v>
      </c>
      <c r="I10581" t="str">
        <f>T("VIRGINIA BEACH")</f>
        <v>VIRGINIA BEACH</v>
      </c>
      <c r="J10581" t="str">
        <f t="shared" si="3874"/>
        <v>VA</v>
      </c>
      <c r="K10581" t="str">
        <f t="shared" si="3875"/>
        <v>000000000000000000</v>
      </c>
      <c r="L10581" t="str">
        <f>T("7574926315")</f>
        <v>7574926315</v>
      </c>
    </row>
    <row r="10582" spans="1:12" x14ac:dyDescent="0.35">
      <c r="A10582" t="str">
        <f t="shared" ref="A10582:A10594" si="3876">T("NSY PORTSMOUTH, VA")</f>
        <v>NSY PORTSMOUTH, VA</v>
      </c>
      <c r="B10582" t="str">
        <f>T("FIRE RESCUE DISTRICT 2")</f>
        <v>FIRE RESCUE DISTRICT 2</v>
      </c>
      <c r="C10582" t="str">
        <f>T("BLDG 236 STATION 9")</f>
        <v>BLDG 236 STATION 9</v>
      </c>
      <c r="D10582" t="str">
        <f t="shared" ref="D10582:D10594" si="3877">T("PORTSMOUTH")</f>
        <v>PORTSMOUTH</v>
      </c>
      <c r="E10582" t="str">
        <f t="shared" si="3873"/>
        <v>VA</v>
      </c>
      <c r="F10582" t="str">
        <f t="shared" ref="F10582:F10594" si="3878">T("237090000")</f>
        <v>237090000</v>
      </c>
      <c r="G10582" t="str">
        <f>T("CHEATERN ANNEX")</f>
        <v>CHEATERN ANNEX</v>
      </c>
      <c r="H10582" t="str">
        <f>T("BLDG 119C")</f>
        <v>BLDG 119C</v>
      </c>
      <c r="I10582" t="str">
        <f>T("WILLIAMSBURG")</f>
        <v>WILLIAMSBURG</v>
      </c>
      <c r="J10582" t="str">
        <f t="shared" si="3874"/>
        <v>VA</v>
      </c>
      <c r="K10582" t="str">
        <f t="shared" si="3875"/>
        <v>000000000000000000</v>
      </c>
      <c r="L10582" t="str">
        <f>T("7578877343")</f>
        <v>7578877343</v>
      </c>
    </row>
    <row r="10583" spans="1:12" x14ac:dyDescent="0.35">
      <c r="A10583" t="str">
        <f t="shared" si="3876"/>
        <v>NSY PORTSMOUTH, VA</v>
      </c>
      <c r="B10583" t="str">
        <f>T("FIRE RESCUE DISTRICT 2")</f>
        <v>FIRE RESCUE DISTRICT 2</v>
      </c>
      <c r="C10583" t="str">
        <f>T("BLDG 236 STATION 9")</f>
        <v>BLDG 236 STATION 9</v>
      </c>
      <c r="D10583" t="str">
        <f t="shared" si="3877"/>
        <v>PORTSMOUTH</v>
      </c>
      <c r="E10583" t="str">
        <f t="shared" si="3873"/>
        <v>VA</v>
      </c>
      <c r="F10583" t="str">
        <f t="shared" si="3878"/>
        <v>237090000</v>
      </c>
      <c r="G10583" t="str">
        <f>T("FIRE RESCUE DISTRICT 2")</f>
        <v>FIRE RESCUE DISTRICT 2</v>
      </c>
      <c r="H10583" t="str">
        <f>T("BLDG 236 STATION 9")</f>
        <v>BLDG 236 STATION 9</v>
      </c>
      <c r="I10583" t="str">
        <f>T("PORTSMOUTH")</f>
        <v>PORTSMOUTH</v>
      </c>
      <c r="J10583" t="str">
        <f t="shared" si="3874"/>
        <v>VA</v>
      </c>
      <c r="K10583" t="str">
        <f t="shared" si="3875"/>
        <v>000000000000000000</v>
      </c>
      <c r="L10583" t="str">
        <f>T("7573963557")</f>
        <v>7573963557</v>
      </c>
    </row>
    <row r="10584" spans="1:12" x14ac:dyDescent="0.35">
      <c r="A10584" t="str">
        <f t="shared" si="3876"/>
        <v>NSY PORTSMOUTH, VA</v>
      </c>
      <c r="B10584" t="str">
        <f>T("FIRE RESCUE DISTRICT 2")</f>
        <v>FIRE RESCUE DISTRICT 2</v>
      </c>
      <c r="C10584" t="str">
        <f>T("BLDG 236 STATION 9")</f>
        <v>BLDG 236 STATION 9</v>
      </c>
      <c r="D10584" t="str">
        <f t="shared" si="3877"/>
        <v>PORTSMOUTH</v>
      </c>
      <c r="E10584" t="str">
        <f t="shared" si="3873"/>
        <v>VA</v>
      </c>
      <c r="F10584" t="str">
        <f t="shared" si="3878"/>
        <v>237090000</v>
      </c>
      <c r="G10584" t="str">
        <f>T("FIRE RESCUE NNSY")</f>
        <v>FIRE RESCUE NNSY</v>
      </c>
      <c r="H10584" t="str">
        <f>T("BLDG 236 CODE NO4111")</f>
        <v>BLDG 236 CODE NO4111</v>
      </c>
      <c r="I10584" t="str">
        <f>T("PORTSMOUTH")</f>
        <v>PORTSMOUTH</v>
      </c>
      <c r="J10584" t="str">
        <f t="shared" si="3874"/>
        <v>VA</v>
      </c>
      <c r="K10584" t="str">
        <f t="shared" si="3875"/>
        <v>000000000000000000</v>
      </c>
      <c r="L10584" t="str">
        <f>T("7573963335")</f>
        <v>7573963335</v>
      </c>
    </row>
    <row r="10585" spans="1:12" x14ac:dyDescent="0.35">
      <c r="A10585" t="str">
        <f t="shared" si="3876"/>
        <v>NSY PORTSMOUTH, VA</v>
      </c>
      <c r="B10585" t="str">
        <f>T("FIRE RESCUE DISTRICT 2")</f>
        <v>FIRE RESCUE DISTRICT 2</v>
      </c>
      <c r="C10585" t="str">
        <f>T("BLDG 236 STATION 9")</f>
        <v>BLDG 236 STATION 9</v>
      </c>
      <c r="D10585" t="str">
        <f t="shared" si="3877"/>
        <v>PORTSMOUTH</v>
      </c>
      <c r="E10585" t="str">
        <f t="shared" si="3873"/>
        <v>VA</v>
      </c>
      <c r="F10585" t="str">
        <f t="shared" si="3878"/>
        <v>237090000</v>
      </c>
      <c r="G10585" t="str">
        <f>T("FIRE RESCUE YORKTOWN")</f>
        <v>FIRE RESCUE YORKTOWN</v>
      </c>
      <c r="H10585" t="str">
        <f>T("BLDG 703")</f>
        <v>BLDG 703</v>
      </c>
      <c r="I10585" t="str">
        <f>T("YORKTOWN")</f>
        <v>YORKTOWN</v>
      </c>
      <c r="J10585" t="str">
        <f t="shared" si="3874"/>
        <v>VA</v>
      </c>
      <c r="K10585" t="str">
        <f t="shared" si="3875"/>
        <v>000000000000000000</v>
      </c>
      <c r="L10585" t="str">
        <f>T("7578877342")</f>
        <v>7578877342</v>
      </c>
    </row>
    <row r="10586" spans="1:12" x14ac:dyDescent="0.35">
      <c r="A10586" t="str">
        <f t="shared" si="3876"/>
        <v>NSY PORTSMOUTH, VA</v>
      </c>
      <c r="B10586" t="str">
        <f>T("FIRE RESCUE DISTRICT 2")</f>
        <v>FIRE RESCUE DISTRICT 2</v>
      </c>
      <c r="C10586" t="str">
        <f>T("BLDG 236 STATION 9")</f>
        <v>BLDG 236 STATION 9</v>
      </c>
      <c r="D10586" t="str">
        <f t="shared" si="3877"/>
        <v>PORTSMOUTH</v>
      </c>
      <c r="E10586" t="str">
        <f t="shared" si="3873"/>
        <v>VA</v>
      </c>
      <c r="F10586" t="str">
        <f t="shared" si="3878"/>
        <v>237090000</v>
      </c>
      <c r="G10586" t="str">
        <f>T("NAVAL WEAPONS STAION YORKTOWN")</f>
        <v>NAVAL WEAPONS STAION YORKTOWN</v>
      </c>
      <c r="H10586" t="str">
        <f>T("BUILDING 703")</f>
        <v>BUILDING 703</v>
      </c>
      <c r="I10586" t="str">
        <f>T("YORKTOWN")</f>
        <v>YORKTOWN</v>
      </c>
      <c r="J10586" t="str">
        <f t="shared" si="3874"/>
        <v>VA</v>
      </c>
      <c r="K10586" t="str">
        <f>T("7578874383")</f>
        <v>7578874383</v>
      </c>
      <c r="L10586" t="str">
        <f>T("7578877342")</f>
        <v>7578877342</v>
      </c>
    </row>
    <row r="10587" spans="1:12" x14ac:dyDescent="0.35">
      <c r="A10587" t="str">
        <f t="shared" si="3876"/>
        <v>NSY PORTSMOUTH, VA</v>
      </c>
      <c r="B10587" t="str">
        <f>T("NNSY")</f>
        <v>NNSY</v>
      </c>
      <c r="C10587" t="str">
        <f>T("BLDG 1500 5TH FLOOR")</f>
        <v>BLDG 1500 5TH FLOOR</v>
      </c>
      <c r="D10587" t="str">
        <f t="shared" si="3877"/>
        <v>PORTSMOUTH</v>
      </c>
      <c r="E10587" t="str">
        <f t="shared" si="3873"/>
        <v>VA</v>
      </c>
      <c r="F10587" t="str">
        <f t="shared" si="3878"/>
        <v>237090000</v>
      </c>
      <c r="G10587" t="str">
        <f>T("NNSY")</f>
        <v>NNSY</v>
      </c>
      <c r="H10587" t="str">
        <f>T("BLDG 1500 5TH FLOOR")</f>
        <v>BLDG 1500 5TH FLOOR</v>
      </c>
      <c r="I10587" t="str">
        <f t="shared" ref="I10587:I10594" si="3879">T("PORTSMOUTH")</f>
        <v>PORTSMOUTH</v>
      </c>
      <c r="J10587" t="str">
        <f t="shared" si="3874"/>
        <v>VA</v>
      </c>
      <c r="K10587" t="str">
        <f>T("000000000000000000")</f>
        <v>000000000000000000</v>
      </c>
      <c r="L10587" t="str">
        <f>T("7573968443")</f>
        <v>7573968443</v>
      </c>
    </row>
    <row r="10588" spans="1:12" x14ac:dyDescent="0.35">
      <c r="A10588" t="str">
        <f t="shared" si="3876"/>
        <v>NSY PORTSMOUTH, VA</v>
      </c>
      <c r="B10588" t="str">
        <f>T("NNSY")</f>
        <v>NNSY</v>
      </c>
      <c r="C10588" t="str">
        <f>T("BLDG 1500 5TH FLOOR")</f>
        <v>BLDG 1500 5TH FLOOR</v>
      </c>
      <c r="D10588" t="str">
        <f t="shared" si="3877"/>
        <v>PORTSMOUTH</v>
      </c>
      <c r="E10588" t="str">
        <f t="shared" si="3873"/>
        <v>VA</v>
      </c>
      <c r="F10588" t="str">
        <f t="shared" si="3878"/>
        <v>237090000</v>
      </c>
      <c r="G10588" t="str">
        <f>T("NNSY")</f>
        <v>NNSY</v>
      </c>
      <c r="H10588" t="str">
        <f>T("BLDG 1500 5TH FLOOR")</f>
        <v>BLDG 1500 5TH FLOOR</v>
      </c>
      <c r="I10588" t="str">
        <f t="shared" si="3879"/>
        <v>PORTSMOUTH</v>
      </c>
      <c r="J10588" t="str">
        <f t="shared" si="3874"/>
        <v>VA</v>
      </c>
      <c r="K10588" t="str">
        <f>T("7573968158")</f>
        <v>7573968158</v>
      </c>
      <c r="L10588" t="str">
        <f>T("7573969012")</f>
        <v>7573969012</v>
      </c>
    </row>
    <row r="10589" spans="1:12" x14ac:dyDescent="0.35">
      <c r="A10589" t="str">
        <f t="shared" si="3876"/>
        <v>NSY PORTSMOUTH, VA</v>
      </c>
      <c r="B10589" t="str">
        <f>T("NNSY")</f>
        <v>NNSY</v>
      </c>
      <c r="C10589" t="str">
        <f>T("BLDG 1500 5TH FLOOR")</f>
        <v>BLDG 1500 5TH FLOOR</v>
      </c>
      <c r="D10589" t="str">
        <f t="shared" si="3877"/>
        <v>PORTSMOUTH</v>
      </c>
      <c r="E10589" t="str">
        <f t="shared" si="3873"/>
        <v>VA</v>
      </c>
      <c r="F10589" t="str">
        <f t="shared" si="3878"/>
        <v>237090000</v>
      </c>
      <c r="G10589" t="str">
        <f>T("NNSY")</f>
        <v>NNSY</v>
      </c>
      <c r="H10589" t="str">
        <f>T("BLDG 1500 PENNOCK STREET")</f>
        <v>BLDG 1500 PENNOCK STREET</v>
      </c>
      <c r="I10589" t="str">
        <f t="shared" si="3879"/>
        <v>PORTSMOUTH</v>
      </c>
      <c r="J10589" t="str">
        <f t="shared" si="3874"/>
        <v>VA</v>
      </c>
      <c r="K10589" t="str">
        <f>T("7573968158")</f>
        <v>7573968158</v>
      </c>
      <c r="L10589" t="str">
        <f>T("7573968431")</f>
        <v>7573968431</v>
      </c>
    </row>
    <row r="10590" spans="1:12" x14ac:dyDescent="0.35">
      <c r="A10590" t="str">
        <f t="shared" si="3876"/>
        <v>NSY PORTSMOUTH, VA</v>
      </c>
      <c r="B10590" t="str">
        <f>T("NNSY CODE 800")</f>
        <v>NNSY CODE 800</v>
      </c>
      <c r="C10590" t="str">
        <f>T("")</f>
        <v/>
      </c>
      <c r="D10590" t="str">
        <f t="shared" si="3877"/>
        <v>PORTSMOUTH</v>
      </c>
      <c r="E10590" t="str">
        <f t="shared" si="3873"/>
        <v>VA</v>
      </c>
      <c r="F10590" t="str">
        <f t="shared" si="3878"/>
        <v>237090000</v>
      </c>
      <c r="G10590" t="str">
        <f>T("NNSY")</f>
        <v>NNSY</v>
      </c>
      <c r="H10590" t="str">
        <f>T("BLDG 1500")</f>
        <v>BLDG 1500</v>
      </c>
      <c r="I10590" t="str">
        <f t="shared" si="3879"/>
        <v>PORTSMOUTH</v>
      </c>
      <c r="J10590" t="str">
        <f t="shared" si="3874"/>
        <v>VA</v>
      </c>
      <c r="K10590" t="str">
        <f>T("7573969262")</f>
        <v>7573969262</v>
      </c>
      <c r="L10590" t="str">
        <f>T("7573961798")</f>
        <v>7573961798</v>
      </c>
    </row>
    <row r="10591" spans="1:12" x14ac:dyDescent="0.35">
      <c r="A10591" t="str">
        <f t="shared" si="3876"/>
        <v>NSY PORTSMOUTH, VA</v>
      </c>
      <c r="B10591" t="str">
        <f>T("NNSY CODE 800")</f>
        <v>NNSY CODE 800</v>
      </c>
      <c r="C10591" t="str">
        <f>T("")</f>
        <v/>
      </c>
      <c r="D10591" t="str">
        <f t="shared" si="3877"/>
        <v>PORTSMOUTH</v>
      </c>
      <c r="E10591" t="str">
        <f t="shared" si="3873"/>
        <v>VA</v>
      </c>
      <c r="F10591" t="str">
        <f t="shared" si="3878"/>
        <v>237090000</v>
      </c>
      <c r="G10591" t="str">
        <f>T("NNSY CODE 800")</f>
        <v>NNSY CODE 800</v>
      </c>
      <c r="H10591" t="str">
        <f>T("")</f>
        <v/>
      </c>
      <c r="I10591" t="str">
        <f t="shared" si="3879"/>
        <v>PORTSMOUTH</v>
      </c>
      <c r="J10591" t="str">
        <f t="shared" si="3874"/>
        <v>VA</v>
      </c>
      <c r="K10591" t="str">
        <f>T("7573969262")</f>
        <v>7573969262</v>
      </c>
      <c r="L10591" t="str">
        <f>T("7573969085")</f>
        <v>7573969085</v>
      </c>
    </row>
    <row r="10592" spans="1:12" x14ac:dyDescent="0.35">
      <c r="A10592" t="str">
        <f t="shared" si="3876"/>
        <v>NSY PORTSMOUTH, VA</v>
      </c>
      <c r="B10592" t="str">
        <f>T("NSS NORFOLK NAVAL SHIPYARD")</f>
        <v>NSS NORFOLK NAVAL SHIPYARD</v>
      </c>
      <c r="C10592" t="str">
        <f>T("BUILDING 1575 ROWAN ST")</f>
        <v>BUILDING 1575 ROWAN ST</v>
      </c>
      <c r="D10592" t="str">
        <f t="shared" si="3877"/>
        <v>PORTSMOUTH</v>
      </c>
      <c r="E10592" t="str">
        <f t="shared" si="3873"/>
        <v>VA</v>
      </c>
      <c r="F10592" t="str">
        <f t="shared" si="3878"/>
        <v>237090000</v>
      </c>
      <c r="G10592" t="str">
        <f>T("BLDG 1575")</f>
        <v>BLDG 1575</v>
      </c>
      <c r="H10592" t="str">
        <f>T("")</f>
        <v/>
      </c>
      <c r="I10592" t="str">
        <f t="shared" si="3879"/>
        <v>PORTSMOUTH</v>
      </c>
      <c r="J10592" t="str">
        <f t="shared" si="3874"/>
        <v>VA</v>
      </c>
      <c r="K10592" t="str">
        <f>T("7573963030")</f>
        <v>7573963030</v>
      </c>
      <c r="L10592" t="str">
        <f>T("7573961215")</f>
        <v>7573961215</v>
      </c>
    </row>
    <row r="10593" spans="1:12" x14ac:dyDescent="0.35">
      <c r="A10593" t="str">
        <f t="shared" si="3876"/>
        <v>NSY PORTSMOUTH, VA</v>
      </c>
      <c r="B10593" t="str">
        <f>T("NSS NORFOLK NAVAL SHIPYARD")</f>
        <v>NSS NORFOLK NAVAL SHIPYARD</v>
      </c>
      <c r="C10593" t="str">
        <f>T("BUILDING 1575 ROWAN ST")</f>
        <v>BUILDING 1575 ROWAN ST</v>
      </c>
      <c r="D10593" t="str">
        <f t="shared" si="3877"/>
        <v>PORTSMOUTH</v>
      </c>
      <c r="E10593" t="str">
        <f t="shared" si="3873"/>
        <v>VA</v>
      </c>
      <c r="F10593" t="str">
        <f t="shared" si="3878"/>
        <v>237090000</v>
      </c>
      <c r="G10593" t="str">
        <f>T("NORFOLK NAVAL SHIPYARD")</f>
        <v>NORFOLK NAVAL SHIPYARD</v>
      </c>
      <c r="H10593" t="str">
        <f>T("BLDG 1575 FL 2 RM 250")</f>
        <v>BLDG 1575 FL 2 RM 250</v>
      </c>
      <c r="I10593" t="str">
        <f t="shared" si="3879"/>
        <v>PORTSMOUTH</v>
      </c>
      <c r="J10593" t="str">
        <f t="shared" si="3874"/>
        <v>VA</v>
      </c>
      <c r="K10593" t="str">
        <f>T("7573933030")</f>
        <v>7573933030</v>
      </c>
      <c r="L10593" t="str">
        <f>T("7573961215")</f>
        <v>7573961215</v>
      </c>
    </row>
    <row r="10594" spans="1:12" x14ac:dyDescent="0.35">
      <c r="A10594" t="str">
        <f t="shared" si="3876"/>
        <v>NSY PORTSMOUTH, VA</v>
      </c>
      <c r="B10594" t="str">
        <f>T("NSS NORFOLK NAVAL SHIPYARD")</f>
        <v>NSS NORFOLK NAVAL SHIPYARD</v>
      </c>
      <c r="C10594" t="str">
        <f>T("BUILDING 1575 ROWAN ST")</f>
        <v>BUILDING 1575 ROWAN ST</v>
      </c>
      <c r="D10594" t="str">
        <f t="shared" si="3877"/>
        <v>PORTSMOUTH</v>
      </c>
      <c r="E10594" t="str">
        <f t="shared" si="3873"/>
        <v>VA</v>
      </c>
      <c r="F10594" t="str">
        <f t="shared" si="3878"/>
        <v>237090000</v>
      </c>
      <c r="G10594" t="str">
        <f>T("NSS NORFOLK NAVAL SHIPYARD")</f>
        <v>NSS NORFOLK NAVAL SHIPYARD</v>
      </c>
      <c r="H10594" t="str">
        <f>T("BUILDING 1575 ROWAN ST")</f>
        <v>BUILDING 1575 ROWAN ST</v>
      </c>
      <c r="I10594" t="str">
        <f t="shared" si="3879"/>
        <v>PORTSMOUTH</v>
      </c>
      <c r="J10594" t="str">
        <f t="shared" si="3874"/>
        <v>VA</v>
      </c>
      <c r="K10594" t="str">
        <f>T("000000000000000000")</f>
        <v>000000000000000000</v>
      </c>
      <c r="L10594" t="str">
        <f>T("7607250641")</f>
        <v>7607250641</v>
      </c>
    </row>
    <row r="10595" spans="1:12" x14ac:dyDescent="0.35">
      <c r="A10595" t="str">
        <f>T("NAVAL SUPPORT ACTIVITY PHILA")</f>
        <v>NAVAL SUPPORT ACTIVITY PHILA</v>
      </c>
      <c r="B10595" t="str">
        <f>T("700 ROBBINS AVE BLDG 10/2")</f>
        <v>700 ROBBINS AVE BLDG 10/2</v>
      </c>
      <c r="C10595" t="str">
        <f>T("COMMAND OFFICE")</f>
        <v>COMMAND OFFICE</v>
      </c>
      <c r="D10595" t="str">
        <f>T("PHILADELPHIA")</f>
        <v>PHILADELPHIA</v>
      </c>
      <c r="E10595" t="str">
        <f>T("PA")</f>
        <v>PA</v>
      </c>
      <c r="F10595" t="str">
        <f>T("191115008")</f>
        <v>191115008</v>
      </c>
      <c r="G10595" t="str">
        <f>T("700 ROBBINS AVE BLDG 10/2")</f>
        <v>700 ROBBINS AVE BLDG 10/2</v>
      </c>
      <c r="H10595" t="str">
        <f>T("COMMAND OFFICE")</f>
        <v>COMMAND OFFICE</v>
      </c>
      <c r="I10595" t="str">
        <f>T("PHILADELPHIA")</f>
        <v>PHILADELPHIA</v>
      </c>
      <c r="J10595" t="str">
        <f>T("PA")</f>
        <v>PA</v>
      </c>
      <c r="K10595" t="str">
        <f>T("2156970284")</f>
        <v>2156970284</v>
      </c>
      <c r="L10595" t="str">
        <f>T("2156976458")</f>
        <v>2156976458</v>
      </c>
    </row>
    <row r="10596" spans="1:12" x14ac:dyDescent="0.35">
      <c r="A10596" t="str">
        <f>T("NAVAL SUPPORT ACTIVITY PHILA")</f>
        <v>NAVAL SUPPORT ACTIVITY PHILA</v>
      </c>
      <c r="B10596" t="str">
        <f>T("700 ROBBINS AVE BLDG 10/2")</f>
        <v>700 ROBBINS AVE BLDG 10/2</v>
      </c>
      <c r="C10596" t="str">
        <f>T("COMMAND OFFICE")</f>
        <v>COMMAND OFFICE</v>
      </c>
      <c r="D10596" t="str">
        <f>T("PHILADELPHIA")</f>
        <v>PHILADELPHIA</v>
      </c>
      <c r="E10596" t="str">
        <f>T("PA")</f>
        <v>PA</v>
      </c>
      <c r="F10596" t="str">
        <f>T("191115008")</f>
        <v>191115008</v>
      </c>
      <c r="G10596" t="str">
        <f>T("700 ROBINS AVE")</f>
        <v>700 ROBINS AVE</v>
      </c>
      <c r="H10596" t="str">
        <f>T("BLDG 10 FL2")</f>
        <v>BLDG 10 FL2</v>
      </c>
      <c r="I10596" t="str">
        <f>T("PHILADELPHIA")</f>
        <v>PHILADELPHIA</v>
      </c>
      <c r="J10596" t="str">
        <f>T("PA")</f>
        <v>PA</v>
      </c>
      <c r="K10596" t="str">
        <f>T("2156970284")</f>
        <v>2156970284</v>
      </c>
      <c r="L10596" t="str">
        <f>T("2156974606")</f>
        <v>2156974606</v>
      </c>
    </row>
    <row r="10597" spans="1:12" x14ac:dyDescent="0.35">
      <c r="A10597" t="str">
        <f t="shared" ref="A10597:A10606" si="3880">T("NAVAL SHIPYARD PORTSMOUTH NH")</f>
        <v>NAVAL SHIPYARD PORTSMOUTH NH</v>
      </c>
      <c r="B10597" t="str">
        <f>T("173 RIDGE ROAD")</f>
        <v>173 RIDGE ROAD</v>
      </c>
      <c r="C10597" t="str">
        <f>T("")</f>
        <v/>
      </c>
      <c r="D10597" t="str">
        <f>T("CUTLER")</f>
        <v>CUTLER</v>
      </c>
      <c r="E10597" t="str">
        <f>T("ME")</f>
        <v>ME</v>
      </c>
      <c r="F10597" t="str">
        <f>T("046263030")</f>
        <v>046263030</v>
      </c>
      <c r="G10597" t="str">
        <f>T("173 RIDGE ROAD")</f>
        <v>173 RIDGE ROAD</v>
      </c>
      <c r="H10597" t="str">
        <f>T("")</f>
        <v/>
      </c>
      <c r="I10597" t="str">
        <f>T("CUTLER")</f>
        <v>CUTLER</v>
      </c>
      <c r="J10597" t="str">
        <f>T("ME")</f>
        <v>ME</v>
      </c>
      <c r="K10597" t="str">
        <f>T("2072598278")</f>
        <v>2072598278</v>
      </c>
      <c r="L10597" t="str">
        <f>T("2072598267")</f>
        <v>2072598267</v>
      </c>
    </row>
    <row r="10598" spans="1:12" x14ac:dyDescent="0.35">
      <c r="A10598" t="str">
        <f t="shared" si="3880"/>
        <v>NAVAL SHIPYARD PORTSMOUTH NH</v>
      </c>
      <c r="B10598" t="str">
        <f>T("173 RIDGE ROAD")</f>
        <v>173 RIDGE ROAD</v>
      </c>
      <c r="C10598" t="str">
        <f>T("")</f>
        <v/>
      </c>
      <c r="D10598" t="str">
        <f>T("CUTLER")</f>
        <v>CUTLER</v>
      </c>
      <c r="E10598" t="str">
        <f>T("ME")</f>
        <v>ME</v>
      </c>
      <c r="F10598" t="str">
        <f>T("046263030")</f>
        <v>046263030</v>
      </c>
      <c r="G10598" t="str">
        <f>T("173 RIDGE ROAD")</f>
        <v>173 RIDGE ROAD</v>
      </c>
      <c r="H10598" t="str">
        <f>T("")</f>
        <v/>
      </c>
      <c r="I10598" t="str">
        <f>T("CUTLER")</f>
        <v>CUTLER</v>
      </c>
      <c r="J10598" t="str">
        <f>T("ME")</f>
        <v>ME</v>
      </c>
      <c r="K10598" t="str">
        <f>T("2079637180")</f>
        <v>2079637180</v>
      </c>
      <c r="L10598" t="str">
        <f>T("2072598339")</f>
        <v>2072598339</v>
      </c>
    </row>
    <row r="10599" spans="1:12" x14ac:dyDescent="0.35">
      <c r="A10599" t="str">
        <f t="shared" si="3880"/>
        <v>NAVAL SHIPYARD PORTSMOUTH NH</v>
      </c>
      <c r="B10599" t="str">
        <f>T("PORTSMOUTH NAVAL SHIPYARD")</f>
        <v>PORTSMOUTH NAVAL SHIPYARD</v>
      </c>
      <c r="C10599" t="str">
        <f>T("BLDG 156 CODE 890")</f>
        <v>BLDG 156 CODE 890</v>
      </c>
      <c r="D10599" t="str">
        <f t="shared" ref="D10599:D10608" si="3881">T("PORTSMOUTH")</f>
        <v>PORTSMOUTH</v>
      </c>
      <c r="E10599" t="str">
        <f t="shared" ref="E10599:E10606" si="3882">T("NH")</f>
        <v>NH</v>
      </c>
      <c r="F10599" t="str">
        <f t="shared" ref="F10599:F10606" si="3883">T("038040000")</f>
        <v>038040000</v>
      </c>
      <c r="G10599" t="str">
        <f>T("PORTSMOUTH NAVAL SHIPYARD")</f>
        <v>PORTSMOUTH NAVAL SHIPYARD</v>
      </c>
      <c r="H10599" t="str">
        <f>T("BLDG 156 CODE 890")</f>
        <v>BLDG 156 CODE 890</v>
      </c>
      <c r="I10599" t="str">
        <f t="shared" ref="I10599:I10608" si="3884">T("PORTSMOUTH")</f>
        <v>PORTSMOUTH</v>
      </c>
      <c r="J10599" t="str">
        <f t="shared" ref="J10599:J10606" si="3885">T("NH")</f>
        <v>NH</v>
      </c>
      <c r="K10599" t="str">
        <f>T("000000000000000000")</f>
        <v>000000000000000000</v>
      </c>
      <c r="L10599" t="str">
        <f>T("2074381954")</f>
        <v>2074381954</v>
      </c>
    </row>
    <row r="10600" spans="1:12" x14ac:dyDescent="0.35">
      <c r="A10600" t="str">
        <f t="shared" si="3880"/>
        <v>NAVAL SHIPYARD PORTSMOUTH NH</v>
      </c>
      <c r="B10600" t="str">
        <f>T("PORTSMOUTH NAVAL SHIPYARD")</f>
        <v>PORTSMOUTH NAVAL SHIPYARD</v>
      </c>
      <c r="C10600" t="str">
        <f>T("BLDG 156 CODE 890")</f>
        <v>BLDG 156 CODE 890</v>
      </c>
      <c r="D10600" t="str">
        <f t="shared" si="3881"/>
        <v>PORTSMOUTH</v>
      </c>
      <c r="E10600" t="str">
        <f t="shared" si="3882"/>
        <v>NH</v>
      </c>
      <c r="F10600" t="str">
        <f t="shared" si="3883"/>
        <v>038040000</v>
      </c>
      <c r="G10600" t="str">
        <f>T("PORTSMOUTH NAVAL SHIPYARD")</f>
        <v>PORTSMOUTH NAVAL SHIPYARD</v>
      </c>
      <c r="H10600" t="str">
        <f>T("BLDG 156 CODE 890")</f>
        <v>BLDG 156 CODE 890</v>
      </c>
      <c r="I10600" t="str">
        <f t="shared" si="3884"/>
        <v>PORTSMOUTH</v>
      </c>
      <c r="J10600" t="str">
        <f t="shared" si="3885"/>
        <v>NH</v>
      </c>
      <c r="K10600" t="str">
        <f>T("000000000000000000")</f>
        <v>000000000000000000</v>
      </c>
      <c r="L10600" t="str">
        <f>T("2074382410")</f>
        <v>2074382410</v>
      </c>
    </row>
    <row r="10601" spans="1:12" x14ac:dyDescent="0.35">
      <c r="A10601" t="str">
        <f t="shared" si="3880"/>
        <v>NAVAL SHIPYARD PORTSMOUTH NH</v>
      </c>
      <c r="B10601" t="str">
        <f>T("SICARD STREET")</f>
        <v>SICARD STREET</v>
      </c>
      <c r="C10601" t="str">
        <f>T("CODE 1740")</f>
        <v>CODE 1740</v>
      </c>
      <c r="D10601" t="str">
        <f t="shared" si="3881"/>
        <v>PORTSMOUTH</v>
      </c>
      <c r="E10601" t="str">
        <f t="shared" si="3882"/>
        <v>NH</v>
      </c>
      <c r="F10601" t="str">
        <f t="shared" si="3883"/>
        <v>038040000</v>
      </c>
      <c r="G10601" t="str">
        <f>T("SICARD STREET")</f>
        <v>SICARD STREET</v>
      </c>
      <c r="H10601" t="str">
        <f>T("BLDG 29")</f>
        <v>BLDG 29</v>
      </c>
      <c r="I10601" t="str">
        <f t="shared" si="3884"/>
        <v>PORTSMOUTH</v>
      </c>
      <c r="J10601" t="str">
        <f t="shared" si="3885"/>
        <v>NH</v>
      </c>
      <c r="K10601" t="str">
        <f>T("2074384444")</f>
        <v>2074384444</v>
      </c>
      <c r="L10601" t="str">
        <f>T("2074384382")</f>
        <v>2074384382</v>
      </c>
    </row>
    <row r="10602" spans="1:12" x14ac:dyDescent="0.35">
      <c r="A10602" t="str">
        <f t="shared" si="3880"/>
        <v>NAVAL SHIPYARD PORTSMOUTH NH</v>
      </c>
      <c r="B10602" t="str">
        <f>T("SICARD STREET")</f>
        <v>SICARD STREET</v>
      </c>
      <c r="C10602" t="str">
        <f>T("CODE 1740")</f>
        <v>CODE 1740</v>
      </c>
      <c r="D10602" t="str">
        <f t="shared" si="3881"/>
        <v>PORTSMOUTH</v>
      </c>
      <c r="E10602" t="str">
        <f t="shared" si="3882"/>
        <v>NH</v>
      </c>
      <c r="F10602" t="str">
        <f t="shared" si="3883"/>
        <v>038040000</v>
      </c>
      <c r="G10602" t="str">
        <f>T("SICARD STREET")</f>
        <v>SICARD STREET</v>
      </c>
      <c r="H10602" t="str">
        <f>T("BLDG 29 CODE 1740")</f>
        <v>BLDG 29 CODE 1740</v>
      </c>
      <c r="I10602" t="str">
        <f t="shared" si="3884"/>
        <v>PORTSMOUTH</v>
      </c>
      <c r="J10602" t="str">
        <f t="shared" si="3885"/>
        <v>NH</v>
      </c>
      <c r="K10602" t="str">
        <f>T("2074384444")</f>
        <v>2074384444</v>
      </c>
      <c r="L10602" t="str">
        <f>T("2074384382")</f>
        <v>2074384382</v>
      </c>
    </row>
    <row r="10603" spans="1:12" x14ac:dyDescent="0.35">
      <c r="A10603" t="str">
        <f t="shared" si="3880"/>
        <v>NAVAL SHIPYARD PORTSMOUTH NH</v>
      </c>
      <c r="B10603" t="str">
        <f>T("SICARD STREET")</f>
        <v>SICARD STREET</v>
      </c>
      <c r="C10603" t="str">
        <f>T("CODE 1740")</f>
        <v>CODE 1740</v>
      </c>
      <c r="D10603" t="str">
        <f t="shared" si="3881"/>
        <v>PORTSMOUTH</v>
      </c>
      <c r="E10603" t="str">
        <f t="shared" si="3882"/>
        <v>NH</v>
      </c>
      <c r="F10603" t="str">
        <f t="shared" si="3883"/>
        <v>038040000</v>
      </c>
      <c r="G10603" t="str">
        <f>T("SICARD STREET")</f>
        <v>SICARD STREET</v>
      </c>
      <c r="H10603" t="str">
        <f>T("CODE 1740")</f>
        <v>CODE 1740</v>
      </c>
      <c r="I10603" t="str">
        <f t="shared" si="3884"/>
        <v>PORTSMOUTH</v>
      </c>
      <c r="J10603" t="str">
        <f t="shared" si="3885"/>
        <v>NH</v>
      </c>
      <c r="K10603" t="str">
        <f>T("")</f>
        <v/>
      </c>
      <c r="L10603" t="str">
        <f>T("2074384381")</f>
        <v>2074384381</v>
      </c>
    </row>
    <row r="10604" spans="1:12" x14ac:dyDescent="0.35">
      <c r="A10604" t="str">
        <f t="shared" si="3880"/>
        <v>NAVAL SHIPYARD PORTSMOUTH NH</v>
      </c>
      <c r="B10604" t="str">
        <f>T("SICARD STREET CODE 1740")</f>
        <v>SICARD STREET CODE 1740</v>
      </c>
      <c r="C10604" t="str">
        <f>T("BUILDING 29")</f>
        <v>BUILDING 29</v>
      </c>
      <c r="D10604" t="str">
        <f t="shared" si="3881"/>
        <v>PORTSMOUTH</v>
      </c>
      <c r="E10604" t="str">
        <f t="shared" si="3882"/>
        <v>NH</v>
      </c>
      <c r="F10604" t="str">
        <f t="shared" si="3883"/>
        <v>038040000</v>
      </c>
      <c r="G10604" t="str">
        <f>T("FLEET  FAMILY SUPPORT CENTER")</f>
        <v>FLEET  FAMILY SUPPORT CENTER</v>
      </c>
      <c r="H10604" t="str">
        <f>T("BUILDING 241")</f>
        <v>BUILDING 241</v>
      </c>
      <c r="I10604" t="str">
        <f t="shared" si="3884"/>
        <v>PORTSMOUTH</v>
      </c>
      <c r="J10604" t="str">
        <f t="shared" si="3885"/>
        <v>NH</v>
      </c>
      <c r="K10604" t="str">
        <f>T("000000000000000000")</f>
        <v>000000000000000000</v>
      </c>
      <c r="L10604" t="str">
        <f>T("2074381835")</f>
        <v>2074381835</v>
      </c>
    </row>
    <row r="10605" spans="1:12" x14ac:dyDescent="0.35">
      <c r="A10605" t="str">
        <f t="shared" si="3880"/>
        <v>NAVAL SHIPYARD PORTSMOUTH NH</v>
      </c>
      <c r="B10605" t="str">
        <f>T("SICARD STREET CODE 1740")</f>
        <v>SICARD STREET CODE 1740</v>
      </c>
      <c r="C10605" t="str">
        <f>T("BUILDING 29")</f>
        <v>BUILDING 29</v>
      </c>
      <c r="D10605" t="str">
        <f t="shared" si="3881"/>
        <v>PORTSMOUTH</v>
      </c>
      <c r="E10605" t="str">
        <f t="shared" si="3882"/>
        <v>NH</v>
      </c>
      <c r="F10605" t="str">
        <f t="shared" si="3883"/>
        <v>038040000</v>
      </c>
      <c r="G10605" t="str">
        <f>T("PORTSMOUTH NAVAL SHIPYARD")</f>
        <v>PORTSMOUTH NAVAL SHIPYARD</v>
      </c>
      <c r="H10605" t="str">
        <f>T("BUILDING 241")</f>
        <v>BUILDING 241</v>
      </c>
      <c r="I10605" t="str">
        <f t="shared" si="3884"/>
        <v>PORTSMOUTH</v>
      </c>
      <c r="J10605" t="str">
        <f t="shared" si="3885"/>
        <v>NH</v>
      </c>
      <c r="K10605" t="str">
        <f>T("000000000000000000")</f>
        <v>000000000000000000</v>
      </c>
      <c r="L10605" t="str">
        <f>T("2074381835")</f>
        <v>2074381835</v>
      </c>
    </row>
    <row r="10606" spans="1:12" x14ac:dyDescent="0.35">
      <c r="A10606" t="str">
        <f t="shared" si="3880"/>
        <v>NAVAL SHIPYARD PORTSMOUTH NH</v>
      </c>
      <c r="B10606" t="str">
        <f>T("SICARD STREET CODE 1740")</f>
        <v>SICARD STREET CODE 1740</v>
      </c>
      <c r="C10606" t="str">
        <f>T("BUILDING 29")</f>
        <v>BUILDING 29</v>
      </c>
      <c r="D10606" t="str">
        <f t="shared" si="3881"/>
        <v>PORTSMOUTH</v>
      </c>
      <c r="E10606" t="str">
        <f t="shared" si="3882"/>
        <v>NH</v>
      </c>
      <c r="F10606" t="str">
        <f t="shared" si="3883"/>
        <v>038040000</v>
      </c>
      <c r="G10606" t="str">
        <f>T("SICARD STREET CODE 1740")</f>
        <v>SICARD STREET CODE 1740</v>
      </c>
      <c r="H10606" t="str">
        <f>T("BUILDING 29")</f>
        <v>BUILDING 29</v>
      </c>
      <c r="I10606" t="str">
        <f t="shared" si="3884"/>
        <v>PORTSMOUTH</v>
      </c>
      <c r="J10606" t="str">
        <f t="shared" si="3885"/>
        <v>NH</v>
      </c>
      <c r="K10606" t="str">
        <f>T("000000000000000000")</f>
        <v>000000000000000000</v>
      </c>
      <c r="L10606" t="str">
        <f>T("2074381363")</f>
        <v>2074381363</v>
      </c>
    </row>
    <row r="10607" spans="1:12" x14ac:dyDescent="0.35">
      <c r="A10607" t="str">
        <f>T("NNSY SEC PORTSMOUTH VA")</f>
        <v>NNSY SEC PORTSMOUTH VA</v>
      </c>
      <c r="B10607" t="str">
        <f>T("NORFOLK NAVAL SHIPYARD")</f>
        <v>NORFOLK NAVAL SHIPYARD</v>
      </c>
      <c r="C10607" t="str">
        <f>T("BLDG 1618")</f>
        <v>BLDG 1618</v>
      </c>
      <c r="D10607" t="str">
        <f t="shared" si="3881"/>
        <v>PORTSMOUTH</v>
      </c>
      <c r="E10607" t="str">
        <f>T("VA")</f>
        <v>VA</v>
      </c>
      <c r="F10607" t="str">
        <f>T("237090000")</f>
        <v>237090000</v>
      </c>
      <c r="G10607" t="str">
        <f>T("NORFOLK NAVAL SHIPYARD")</f>
        <v>NORFOLK NAVAL SHIPYARD</v>
      </c>
      <c r="H10607" t="str">
        <f>T("BLDG 1618")</f>
        <v>BLDG 1618</v>
      </c>
      <c r="I10607" t="str">
        <f t="shared" si="3884"/>
        <v>PORTSMOUTH</v>
      </c>
      <c r="J10607" t="str">
        <f>T("VA")</f>
        <v>VA</v>
      </c>
      <c r="K10607" t="str">
        <f>T("")</f>
        <v/>
      </c>
      <c r="L10607" t="str">
        <f>T("7579362021")</f>
        <v>7579362021</v>
      </c>
    </row>
    <row r="10608" spans="1:12" x14ac:dyDescent="0.35">
      <c r="A10608" t="str">
        <f>T("NNSY SEC PORTSMOUTH VA")</f>
        <v>NNSY SEC PORTSMOUTH VA</v>
      </c>
      <c r="B10608" t="str">
        <f>T("NORFOLK NAVAL SHIPYARD")</f>
        <v>NORFOLK NAVAL SHIPYARD</v>
      </c>
      <c r="C10608" t="str">
        <f>T("BLDG 1618")</f>
        <v>BLDG 1618</v>
      </c>
      <c r="D10608" t="str">
        <f t="shared" si="3881"/>
        <v>PORTSMOUTH</v>
      </c>
      <c r="E10608" t="str">
        <f>T("VA")</f>
        <v>VA</v>
      </c>
      <c r="F10608" t="str">
        <f>T("237090000")</f>
        <v>237090000</v>
      </c>
      <c r="G10608" t="str">
        <f>T("NORFOLK NAVAL SHIPYARD")</f>
        <v>NORFOLK NAVAL SHIPYARD</v>
      </c>
      <c r="H10608" t="str">
        <f>T("BLDG 1618")</f>
        <v>BLDG 1618</v>
      </c>
      <c r="I10608" t="str">
        <f t="shared" si="3884"/>
        <v>PORTSMOUTH</v>
      </c>
      <c r="J10608" t="str">
        <f>T("VA")</f>
        <v>VA</v>
      </c>
      <c r="K10608" t="str">
        <f>T("7573962022")</f>
        <v>7573962022</v>
      </c>
      <c r="L10608" t="str">
        <f>T("7573968923")</f>
        <v>7573968923</v>
      </c>
    </row>
    <row r="10609" spans="1:12" x14ac:dyDescent="0.35">
      <c r="A10609" t="str">
        <f>T("PUBLIC SFTY DET PHILA PA")</f>
        <v>PUBLIC SFTY DET PHILA PA</v>
      </c>
      <c r="B10609" t="str">
        <f>T("700 ROBBINS AVE")</f>
        <v>700 ROBBINS AVE</v>
      </c>
      <c r="C10609" t="str">
        <f t="shared" ref="C10609:C10616" si="3886">T("")</f>
        <v/>
      </c>
      <c r="D10609" t="str">
        <f>T("PHILADELPHIA")</f>
        <v>PHILADELPHIA</v>
      </c>
      <c r="E10609" t="str">
        <f>T("PA")</f>
        <v>PA</v>
      </c>
      <c r="F10609" t="str">
        <f>T("191115008")</f>
        <v>191115008</v>
      </c>
      <c r="G10609" t="str">
        <f>T("700 ROBBINS AVE")</f>
        <v>700 ROBBINS AVE</v>
      </c>
      <c r="H10609" t="str">
        <f>T("")</f>
        <v/>
      </c>
      <c r="I10609" t="str">
        <f>T("PHILADELPHIA")</f>
        <v>PHILADELPHIA</v>
      </c>
      <c r="J10609" t="str">
        <f>T("PA")</f>
        <v>PA</v>
      </c>
      <c r="K10609" t="str">
        <f>T("000000000000000000")</f>
        <v>000000000000000000</v>
      </c>
      <c r="L10609" t="str">
        <f>T("2156976692")</f>
        <v>2156976692</v>
      </c>
    </row>
    <row r="10610" spans="1:12" x14ac:dyDescent="0.35">
      <c r="A10610" t="str">
        <f>T("PUBLIC SFTY DET PHILA PA")</f>
        <v>PUBLIC SFTY DET PHILA PA</v>
      </c>
      <c r="B10610" t="str">
        <f>T("700 ROBBINS AVE")</f>
        <v>700 ROBBINS AVE</v>
      </c>
      <c r="C10610" t="str">
        <f t="shared" si="3886"/>
        <v/>
      </c>
      <c r="D10610" t="str">
        <f>T("PHILADELPHIA")</f>
        <v>PHILADELPHIA</v>
      </c>
      <c r="E10610" t="str">
        <f>T("PA")</f>
        <v>PA</v>
      </c>
      <c r="F10610" t="str">
        <f>T("191115008")</f>
        <v>191115008</v>
      </c>
      <c r="G10610" t="str">
        <f>T("700 ROBBINS AVE")</f>
        <v>700 ROBBINS AVE</v>
      </c>
      <c r="H10610" t="str">
        <f>T("BUILDING 10/1")</f>
        <v>BUILDING 10/1</v>
      </c>
      <c r="I10610" t="str">
        <f>T("PHILADELPHIA")</f>
        <v>PHILADELPHIA</v>
      </c>
      <c r="J10610" t="str">
        <f>T("PA")</f>
        <v>PA</v>
      </c>
      <c r="K10610" t="str">
        <f>T("000000000000000000")</f>
        <v>000000000000000000</v>
      </c>
      <c r="L10610" t="str">
        <f>T("2156973586")</f>
        <v>2156973586</v>
      </c>
    </row>
    <row r="10611" spans="1:12" x14ac:dyDescent="0.35">
      <c r="A10611" t="str">
        <f>T("PUBL ORDN SAFTY PNSY KITTERU")</f>
        <v>PUBL ORDN SAFTY PNSY KITTERU</v>
      </c>
      <c r="B10611" t="str">
        <f>T("29 SICARD AVENUE")</f>
        <v>29 SICARD AVENUE</v>
      </c>
      <c r="C10611" t="str">
        <f t="shared" si="3886"/>
        <v/>
      </c>
      <c r="D10611" t="str">
        <f>T("KITTERY")</f>
        <v>KITTERY</v>
      </c>
      <c r="E10611" t="str">
        <f>T("ME")</f>
        <v>ME</v>
      </c>
      <c r="F10611" t="str">
        <f>T("038040000")</f>
        <v>038040000</v>
      </c>
      <c r="G10611" t="str">
        <f>T("29 SICARD AVENUE")</f>
        <v>29 SICARD AVENUE</v>
      </c>
      <c r="H10611" t="str">
        <f>T("")</f>
        <v/>
      </c>
      <c r="I10611" t="str">
        <f>T("KITTERY")</f>
        <v>KITTERY</v>
      </c>
      <c r="J10611" t="str">
        <f>T("ME")</f>
        <v>ME</v>
      </c>
      <c r="K10611" t="str">
        <f>T("")</f>
        <v/>
      </c>
      <c r="L10611" t="str">
        <f>T("2074382657")</f>
        <v>2074382657</v>
      </c>
    </row>
    <row r="10612" spans="1:12" x14ac:dyDescent="0.35">
      <c r="A10612" t="str">
        <f>T("PUBL ORDN SAFTY PNSY KITTERU")</f>
        <v>PUBL ORDN SAFTY PNSY KITTERU</v>
      </c>
      <c r="B10612" t="str">
        <f>T("29 SICARD AVENUE")</f>
        <v>29 SICARD AVENUE</v>
      </c>
      <c r="C10612" t="str">
        <f t="shared" si="3886"/>
        <v/>
      </c>
      <c r="D10612" t="str">
        <f>T("KITTERY")</f>
        <v>KITTERY</v>
      </c>
      <c r="E10612" t="str">
        <f>T("ME")</f>
        <v>ME</v>
      </c>
      <c r="F10612" t="str">
        <f>T("038040000")</f>
        <v>038040000</v>
      </c>
      <c r="G10612" t="str">
        <f>T("PNSY POLICE OPS")</f>
        <v>PNSY POLICE OPS</v>
      </c>
      <c r="H10612" t="str">
        <f>T("SICARD STREET BLDG 29-1")</f>
        <v>SICARD STREET BLDG 29-1</v>
      </c>
      <c r="I10612" t="str">
        <f>T("PORTSMOUTH")</f>
        <v>PORTSMOUTH</v>
      </c>
      <c r="J10612" t="str">
        <f>T("NH")</f>
        <v>NH</v>
      </c>
      <c r="K10612" t="str">
        <f>T("000000000000000000")</f>
        <v>000000000000000000</v>
      </c>
      <c r="L10612" t="str">
        <f>T("2074382543")</f>
        <v>2074382543</v>
      </c>
    </row>
    <row r="10613" spans="1:12" x14ac:dyDescent="0.35">
      <c r="A10613" t="str">
        <f t="shared" ref="A10613:A10620" si="3887">T("PUB SAFETY LITTLE CREEK VA")</f>
        <v>PUB SAFETY LITTLE CREEK VA</v>
      </c>
      <c r="B10613" t="str">
        <f>T("1175 NADER BLVD")</f>
        <v>1175 NADER BLVD</v>
      </c>
      <c r="C10613" t="str">
        <f t="shared" si="3886"/>
        <v/>
      </c>
      <c r="D10613" t="str">
        <f>T("VIRGINIA BEACH")</f>
        <v>VIRGINIA BEACH</v>
      </c>
      <c r="E10613" t="str">
        <f t="shared" ref="E10613:E10620" si="3888">T("VA")</f>
        <v>VA</v>
      </c>
      <c r="F10613" t="str">
        <f>T("234590000")</f>
        <v>234590000</v>
      </c>
      <c r="G10613" t="str">
        <f>T("1175 NADER BLVD")</f>
        <v>1175 NADER BLVD</v>
      </c>
      <c r="H10613" t="str">
        <f>T("")</f>
        <v/>
      </c>
      <c r="I10613" t="str">
        <f>T("VIRGINIA BEACH")</f>
        <v>VIRGINIA BEACH</v>
      </c>
      <c r="J10613" t="str">
        <f t="shared" ref="J10613:J10620" si="3889">T("VA")</f>
        <v>VA</v>
      </c>
      <c r="K10613" t="str">
        <f>T("7574624042")</f>
        <v>7574624042</v>
      </c>
      <c r="L10613" t="str">
        <f>T("7574622439")</f>
        <v>7574622439</v>
      </c>
    </row>
    <row r="10614" spans="1:12" x14ac:dyDescent="0.35">
      <c r="A10614" t="str">
        <f t="shared" si="3887"/>
        <v>PUB SAFETY LITTLE CREEK VA</v>
      </c>
      <c r="B10614" t="str">
        <f>T("1175 NADER BLVD")</f>
        <v>1175 NADER BLVD</v>
      </c>
      <c r="C10614" t="str">
        <f t="shared" si="3886"/>
        <v/>
      </c>
      <c r="D10614" t="str">
        <f>T("VIRGINIA BEACH")</f>
        <v>VIRGINIA BEACH</v>
      </c>
      <c r="E10614" t="str">
        <f t="shared" si="3888"/>
        <v>VA</v>
      </c>
      <c r="F10614" t="str">
        <f>T("234590000")</f>
        <v>234590000</v>
      </c>
      <c r="G10614" t="str">
        <f>T("1175 NIDER BLVD")</f>
        <v>1175 NIDER BLVD</v>
      </c>
      <c r="H10614" t="str">
        <f>T("BLDG 3537")</f>
        <v>BLDG 3537</v>
      </c>
      <c r="I10614" t="str">
        <f>T("VIRGINIA BEACH")</f>
        <v>VIRGINIA BEACH</v>
      </c>
      <c r="J10614" t="str">
        <f t="shared" si="3889"/>
        <v>VA</v>
      </c>
      <c r="K10614" t="str">
        <f>T("7574624042")</f>
        <v>7574624042</v>
      </c>
      <c r="L10614" t="str">
        <f>T("7574621779")</f>
        <v>7574621779</v>
      </c>
    </row>
    <row r="10615" spans="1:12" x14ac:dyDescent="0.35">
      <c r="A10615" t="str">
        <f t="shared" si="3887"/>
        <v>PUB SAFETY LITTLE CREEK VA</v>
      </c>
      <c r="B10615" t="str">
        <f>T("1175 NADER BLVD")</f>
        <v>1175 NADER BLVD</v>
      </c>
      <c r="C10615" t="str">
        <f t="shared" si="3886"/>
        <v/>
      </c>
      <c r="D10615" t="str">
        <f>T("VIRGINIA BEACH")</f>
        <v>VIRGINIA BEACH</v>
      </c>
      <c r="E10615" t="str">
        <f t="shared" si="3888"/>
        <v>VA</v>
      </c>
      <c r="F10615" t="str">
        <f>T("234590000")</f>
        <v>234590000</v>
      </c>
      <c r="G10615" t="str">
        <f>T("300 GUADAL CANAL ROAD")</f>
        <v>300 GUADAL CANAL ROAD</v>
      </c>
      <c r="H10615" t="str">
        <f>T("FORT STORY")</f>
        <v>FORT STORY</v>
      </c>
      <c r="I10615" t="str">
        <f>T("VIRGINIA BEACH")</f>
        <v>VIRGINIA BEACH</v>
      </c>
      <c r="J10615" t="str">
        <f t="shared" si="3889"/>
        <v>VA</v>
      </c>
      <c r="K10615" t="str">
        <f>T("000000000000000000")</f>
        <v>000000000000000000</v>
      </c>
      <c r="L10615" t="str">
        <f>T("7574227101")</f>
        <v>7574227101</v>
      </c>
    </row>
    <row r="10616" spans="1:12" x14ac:dyDescent="0.35">
      <c r="A10616" t="str">
        <f t="shared" si="3887"/>
        <v>PUB SAFETY LITTLE CREEK VA</v>
      </c>
      <c r="B10616" t="str">
        <f>T("1175 NADER BLVD")</f>
        <v>1175 NADER BLVD</v>
      </c>
      <c r="C10616" t="str">
        <f t="shared" si="3886"/>
        <v/>
      </c>
      <c r="D10616" t="str">
        <f>T("VIRGINIA BEACH")</f>
        <v>VIRGINIA BEACH</v>
      </c>
      <c r="E10616" t="str">
        <f t="shared" si="3888"/>
        <v>VA</v>
      </c>
      <c r="F10616" t="str">
        <f>T("234590000")</f>
        <v>234590000</v>
      </c>
      <c r="G10616" t="str">
        <f>T("LITTLE CREEK NAVAL STATION")</f>
        <v>LITTLE CREEK NAVAL STATION</v>
      </c>
      <c r="H10616" t="str">
        <f>T("BUILDING 3537")</f>
        <v>BUILDING 3537</v>
      </c>
      <c r="I10616" t="str">
        <f>T("VIRGINIA BEACH")</f>
        <v>VIRGINIA BEACH</v>
      </c>
      <c r="J10616" t="str">
        <f t="shared" si="3889"/>
        <v>VA</v>
      </c>
      <c r="K10616" t="str">
        <f>T("000000000000000000")</f>
        <v>000000000000000000</v>
      </c>
      <c r="L10616" t="str">
        <f>T("7574621820")</f>
        <v>7574621820</v>
      </c>
    </row>
    <row r="10617" spans="1:12" x14ac:dyDescent="0.35">
      <c r="A10617" t="str">
        <f t="shared" si="3887"/>
        <v>PUB SAFETY LITTLE CREEK VA</v>
      </c>
      <c r="B10617" t="str">
        <f>T("1776 GILBERT STREET")</f>
        <v>1776 GILBERT STREET</v>
      </c>
      <c r="C10617" t="str">
        <f>T("BLDG B30")</f>
        <v>BLDG B30</v>
      </c>
      <c r="D10617" t="str">
        <f>T("NORFOLK")</f>
        <v>NORFOLK</v>
      </c>
      <c r="E10617" t="str">
        <f t="shared" si="3888"/>
        <v>VA</v>
      </c>
      <c r="F10617" t="str">
        <f>T("235112915")</f>
        <v>235112915</v>
      </c>
      <c r="G10617" t="str">
        <f>T("1776 GILBERT STREET")</f>
        <v>1776 GILBERT STREET</v>
      </c>
      <c r="H10617" t="str">
        <f>T("BLDG B-30")</f>
        <v>BLDG B-30</v>
      </c>
      <c r="I10617" t="str">
        <f>T("NORFOLK")</f>
        <v>NORFOLK</v>
      </c>
      <c r="J10617" t="str">
        <f t="shared" si="3889"/>
        <v>VA</v>
      </c>
      <c r="K10617" t="str">
        <f>T("000000000000000000")</f>
        <v>000000000000000000</v>
      </c>
      <c r="L10617" t="str">
        <f>T("7573222399")</f>
        <v>7573222399</v>
      </c>
    </row>
    <row r="10618" spans="1:12" x14ac:dyDescent="0.35">
      <c r="A10618" t="str">
        <f t="shared" si="3887"/>
        <v>PUB SAFETY LITTLE CREEK VA</v>
      </c>
      <c r="B10618" t="str">
        <f>T("1776 GILBERT STREET")</f>
        <v>1776 GILBERT STREET</v>
      </c>
      <c r="C10618" t="str">
        <f>T("BLDG B30")</f>
        <v>BLDG B30</v>
      </c>
      <c r="D10618" t="str">
        <f>T("NORFOLK")</f>
        <v>NORFOLK</v>
      </c>
      <c r="E10618" t="str">
        <f t="shared" si="3888"/>
        <v>VA</v>
      </c>
      <c r="F10618" t="str">
        <f>T("235112915")</f>
        <v>235112915</v>
      </c>
      <c r="G10618" t="str">
        <f>T("1776 GILBERT STREET")</f>
        <v>1776 GILBERT STREET</v>
      </c>
      <c r="H10618" t="str">
        <f>T("BLDG B30")</f>
        <v>BLDG B30</v>
      </c>
      <c r="I10618" t="str">
        <f>T("NORFOLK")</f>
        <v>NORFOLK</v>
      </c>
      <c r="J10618" t="str">
        <f t="shared" si="3889"/>
        <v>VA</v>
      </c>
      <c r="K10618" t="str">
        <f>T("7574440641")</f>
        <v>7574440641</v>
      </c>
      <c r="L10618" t="str">
        <f>T("7573222391")</f>
        <v>7573222391</v>
      </c>
    </row>
    <row r="10619" spans="1:12" x14ac:dyDescent="0.35">
      <c r="A10619" t="str">
        <f t="shared" si="3887"/>
        <v>PUB SAFETY LITTLE CREEK VA</v>
      </c>
      <c r="B10619" t="str">
        <f>T("1776 GILBERT STREET")</f>
        <v>1776 GILBERT STREET</v>
      </c>
      <c r="C10619" t="str">
        <f>T("BLDG B30")</f>
        <v>BLDG B30</v>
      </c>
      <c r="D10619" t="str">
        <f>T("NORFOLK")</f>
        <v>NORFOLK</v>
      </c>
      <c r="E10619" t="str">
        <f t="shared" si="3888"/>
        <v>VA</v>
      </c>
      <c r="F10619" t="str">
        <f>T("235112915")</f>
        <v>235112915</v>
      </c>
      <c r="G10619" t="str">
        <f>T("1776 GILBERT STREET")</f>
        <v>1776 GILBERT STREET</v>
      </c>
      <c r="H10619" t="str">
        <f>T("BLDG B30")</f>
        <v>BLDG B30</v>
      </c>
      <c r="I10619" t="str">
        <f>T("NORFOLK")</f>
        <v>NORFOLK</v>
      </c>
      <c r="J10619" t="str">
        <f t="shared" si="3889"/>
        <v>VA</v>
      </c>
      <c r="K10619" t="str">
        <f>T("7574442915")</f>
        <v>7574442915</v>
      </c>
      <c r="L10619" t="str">
        <f>T("7573222420")</f>
        <v>7573222420</v>
      </c>
    </row>
    <row r="10620" spans="1:12" x14ac:dyDescent="0.35">
      <c r="A10620" t="str">
        <f t="shared" si="3887"/>
        <v>PUB SAFETY LITTLE CREEK VA</v>
      </c>
      <c r="B10620" t="str">
        <f>T("1776 GILBERT STREET")</f>
        <v>1776 GILBERT STREET</v>
      </c>
      <c r="C10620" t="str">
        <f>T("BLDG B30")</f>
        <v>BLDG B30</v>
      </c>
      <c r="D10620" t="str">
        <f>T("NORFOLK")</f>
        <v>NORFOLK</v>
      </c>
      <c r="E10620" t="str">
        <f t="shared" si="3888"/>
        <v>VA</v>
      </c>
      <c r="F10620" t="str">
        <f>T("235112915")</f>
        <v>235112915</v>
      </c>
      <c r="G10620" t="str">
        <f>T("1776 GILBERT STREET")</f>
        <v>1776 GILBERT STREET</v>
      </c>
      <c r="H10620" t="str">
        <f>T("BLDG B30")</f>
        <v>BLDG B30</v>
      </c>
      <c r="I10620" t="str">
        <f>T("NORFOLK")</f>
        <v>NORFOLK</v>
      </c>
      <c r="J10620" t="str">
        <f t="shared" si="3889"/>
        <v>VA</v>
      </c>
      <c r="K10620" t="str">
        <f>T("7574444719")</f>
        <v>7574444719</v>
      </c>
      <c r="L10620" t="str">
        <f>T("7573222420")</f>
        <v>7573222420</v>
      </c>
    </row>
    <row r="10621" spans="1:12" x14ac:dyDescent="0.35">
      <c r="A10621" t="str">
        <f>T("BASE SUPORT CULTER ME")</f>
        <v>BASE SUPORT CULTER ME</v>
      </c>
      <c r="B10621" t="str">
        <f>T("FFSC PORTSMOUTH NH")</f>
        <v>FFSC PORTSMOUTH NH</v>
      </c>
      <c r="C10621" t="str">
        <f>T("SICARD STREET CODE 1740 BLDG 29")</f>
        <v>SICARD STREET CODE 1740 BLDG 29</v>
      </c>
      <c r="D10621" t="str">
        <f>T("PORTSMOUTH")</f>
        <v>PORTSMOUTH</v>
      </c>
      <c r="E10621" t="str">
        <f>T("NH")</f>
        <v>NH</v>
      </c>
      <c r="F10621" t="str">
        <f>T("038040000")</f>
        <v>038040000</v>
      </c>
      <c r="G10621" t="str">
        <f>T("FFSC PORTSMOUTH NH")</f>
        <v>FFSC PORTSMOUTH NH</v>
      </c>
      <c r="H10621" t="str">
        <f>T("SICARD STREET CODE 1740 BLDG 29")</f>
        <v>SICARD STREET CODE 1740 BLDG 29</v>
      </c>
      <c r="I10621" t="str">
        <f>T("PORTSMOUTH")</f>
        <v>PORTSMOUTH</v>
      </c>
      <c r="J10621" t="str">
        <f>T("NH")</f>
        <v>NH</v>
      </c>
      <c r="K10621" t="str">
        <f t="shared" ref="K10621:K10627" si="3890">T("000000000000000000")</f>
        <v>000000000000000000</v>
      </c>
      <c r="L10621" t="str">
        <f>T("2074381363")</f>
        <v>2074381363</v>
      </c>
    </row>
    <row r="10622" spans="1:12" x14ac:dyDescent="0.35">
      <c r="A10622" t="str">
        <f>T("BASE SUPORT CULTER ME")</f>
        <v>BASE SUPORT CULTER ME</v>
      </c>
      <c r="B10622" t="str">
        <f>T("PORTSMOUTH NH FIRE &amp; EMERGENCY")</f>
        <v>PORTSMOUTH NH FIRE &amp; EMERGENCY</v>
      </c>
      <c r="C10622" t="str">
        <f>T("SICARD STREET CODE1740 BLDG29")</f>
        <v>SICARD STREET CODE1740 BLDG29</v>
      </c>
      <c r="D10622" t="str">
        <f>T("PORTSMOUTH")</f>
        <v>PORTSMOUTH</v>
      </c>
      <c r="E10622" t="str">
        <f>T("NH")</f>
        <v>NH</v>
      </c>
      <c r="F10622" t="str">
        <f>T("038040000")</f>
        <v>038040000</v>
      </c>
      <c r="G10622" t="str">
        <f>T("175 RIDGE ROAD NCTMAFLANT")</f>
        <v>175 RIDGE ROAD NCTMAFLANT</v>
      </c>
      <c r="H10622" t="str">
        <f>T("ATTN CHIEF SMALL FIRE DEPARTMENT")</f>
        <v>ATTN CHIEF SMALL FIRE DEPARTMENT</v>
      </c>
      <c r="I10622" t="str">
        <f>T("CUTLER")</f>
        <v>CUTLER</v>
      </c>
      <c r="J10622" t="str">
        <f>T("ME")</f>
        <v>ME</v>
      </c>
      <c r="K10622" t="str">
        <f t="shared" si="3890"/>
        <v>000000000000000000</v>
      </c>
      <c r="L10622" t="str">
        <f>T("2072598260")</f>
        <v>2072598260</v>
      </c>
    </row>
    <row r="10623" spans="1:12" x14ac:dyDescent="0.35">
      <c r="A10623" t="str">
        <f>T("BASE SUPORT CULTER ME")</f>
        <v>BASE SUPORT CULTER ME</v>
      </c>
      <c r="B10623" t="str">
        <f>T("PORTSMOUTH NH FIRE &amp; EMERGENCY")</f>
        <v>PORTSMOUTH NH FIRE &amp; EMERGENCY</v>
      </c>
      <c r="C10623" t="str">
        <f>T("SICARD STREET CODE1740 BLDG29")</f>
        <v>SICARD STREET CODE1740 BLDG29</v>
      </c>
      <c r="D10623" t="str">
        <f>T("PORTSMOUTH")</f>
        <v>PORTSMOUTH</v>
      </c>
      <c r="E10623" t="str">
        <f>T("NH")</f>
        <v>NH</v>
      </c>
      <c r="F10623" t="str">
        <f>T("038040000")</f>
        <v>038040000</v>
      </c>
      <c r="G10623" t="str">
        <f>T("PORTSMOUTH NH FIRE &amp; EMERGENCY")</f>
        <v>PORTSMOUTH NH FIRE &amp; EMERGENCY</v>
      </c>
      <c r="H10623" t="str">
        <f>T("SICARD STREET CODE1740 BLDG29")</f>
        <v>SICARD STREET CODE1740 BLDG29</v>
      </c>
      <c r="I10623" t="str">
        <f>T("PORTSMOUTH")</f>
        <v>PORTSMOUTH</v>
      </c>
      <c r="J10623" t="str">
        <f>T("NH")</f>
        <v>NH</v>
      </c>
      <c r="K10623" t="str">
        <f t="shared" si="3890"/>
        <v>000000000000000000</v>
      </c>
      <c r="L10623" t="str">
        <f>T("2074384381")</f>
        <v>2074384381</v>
      </c>
    </row>
    <row r="10624" spans="1:12" x14ac:dyDescent="0.35">
      <c r="A10624" t="str">
        <f>T("PUB SAFETY NORTHWEST DET VA")</f>
        <v>PUB SAFETY NORTHWEST DET VA</v>
      </c>
      <c r="B10624" t="str">
        <f>T("1320 NORTHWEST BLVD")</f>
        <v>1320 NORTHWEST BLVD</v>
      </c>
      <c r="C10624" t="str">
        <f t="shared" ref="C10624:C10630" si="3891">T("")</f>
        <v/>
      </c>
      <c r="D10624" t="str">
        <f>T("CHESAPEAKE")</f>
        <v>CHESAPEAKE</v>
      </c>
      <c r="E10624" t="str">
        <f t="shared" ref="E10624:E10655" si="3892">T("VA")</f>
        <v>VA</v>
      </c>
      <c r="F10624" t="str">
        <f>T("233224008")</f>
        <v>233224008</v>
      </c>
      <c r="G10624" t="str">
        <f>T("1320 NORTHWEST BLVD")</f>
        <v>1320 NORTHWEST BLVD</v>
      </c>
      <c r="H10624" t="str">
        <f>T("")</f>
        <v/>
      </c>
      <c r="I10624" t="str">
        <f>T("CHESAPEAKE")</f>
        <v>CHESAPEAKE</v>
      </c>
      <c r="J10624" t="str">
        <f t="shared" ref="J10624:J10655" si="3893">T("VA")</f>
        <v>VA</v>
      </c>
      <c r="K10624" t="str">
        <f t="shared" si="3890"/>
        <v>000000000000000000</v>
      </c>
      <c r="L10624" t="str">
        <f>T("7574218219")</f>
        <v>7574218219</v>
      </c>
    </row>
    <row r="10625" spans="1:12" x14ac:dyDescent="0.35">
      <c r="A10625" t="str">
        <f>T("TPU NAVAL STATION NORF VA")</f>
        <v>TPU NAVAL STATION NORF VA</v>
      </c>
      <c r="B10625" t="str">
        <f>T("1683 GILBERT ST")</f>
        <v>1683 GILBERT ST</v>
      </c>
      <c r="C10625" t="str">
        <f t="shared" si="3891"/>
        <v/>
      </c>
      <c r="D10625" t="str">
        <f t="shared" ref="D10625:D10636" si="3894">T("NORFOLK")</f>
        <v>NORFOLK</v>
      </c>
      <c r="E10625" t="str">
        <f t="shared" si="3892"/>
        <v>VA</v>
      </c>
      <c r="F10625" t="str">
        <f>T("235112731")</f>
        <v>235112731</v>
      </c>
      <c r="G10625" t="str">
        <f>T("1683 GILBERT ST")</f>
        <v>1683 GILBERT ST</v>
      </c>
      <c r="H10625" t="str">
        <f>T("")</f>
        <v/>
      </c>
      <c r="I10625" t="str">
        <f t="shared" ref="I10625:I10636" si="3895">T("NORFOLK")</f>
        <v>NORFOLK</v>
      </c>
      <c r="J10625" t="str">
        <f t="shared" si="3893"/>
        <v>VA</v>
      </c>
      <c r="K10625" t="str">
        <f t="shared" si="3890"/>
        <v>000000000000000000</v>
      </c>
      <c r="L10625" t="str">
        <f>T("7574443774")</f>
        <v>7574443774</v>
      </c>
    </row>
    <row r="10626" spans="1:12" x14ac:dyDescent="0.35">
      <c r="A10626" t="str">
        <f>T("TPU NAVAL STATION NORF VA")</f>
        <v>TPU NAVAL STATION NORF VA</v>
      </c>
      <c r="B10626" t="str">
        <f>T("1683 GILBERT ST")</f>
        <v>1683 GILBERT ST</v>
      </c>
      <c r="C10626" t="str">
        <f t="shared" si="3891"/>
        <v/>
      </c>
      <c r="D10626" t="str">
        <f t="shared" si="3894"/>
        <v>NORFOLK</v>
      </c>
      <c r="E10626" t="str">
        <f t="shared" si="3892"/>
        <v>VA</v>
      </c>
      <c r="F10626" t="str">
        <f>T("235112731")</f>
        <v>235112731</v>
      </c>
      <c r="G10626" t="str">
        <f>T("1683 GILBERT ST")</f>
        <v>1683 GILBERT ST</v>
      </c>
      <c r="H10626" t="str">
        <f>T("")</f>
        <v/>
      </c>
      <c r="I10626" t="str">
        <f t="shared" si="3895"/>
        <v>NORFOLK</v>
      </c>
      <c r="J10626" t="str">
        <f t="shared" si="3893"/>
        <v>VA</v>
      </c>
      <c r="K10626" t="str">
        <f t="shared" si="3890"/>
        <v>000000000000000000</v>
      </c>
      <c r="L10626" t="str">
        <f>T("7574443884")</f>
        <v>7574443884</v>
      </c>
    </row>
    <row r="10627" spans="1:12" x14ac:dyDescent="0.35">
      <c r="A10627" t="str">
        <f>T("NAVAIRTERM NORFOLK DET OCEANA")</f>
        <v>NAVAIRTERM NORFOLK DET OCEANA</v>
      </c>
      <c r="B10627" t="str">
        <f>T("8449 AIR CARGO ROAD")</f>
        <v>8449 AIR CARGO ROAD</v>
      </c>
      <c r="C10627" t="str">
        <f t="shared" si="3891"/>
        <v/>
      </c>
      <c r="D10627" t="str">
        <f t="shared" si="3894"/>
        <v>NORFOLK</v>
      </c>
      <c r="E10627" t="str">
        <f t="shared" si="3892"/>
        <v>VA</v>
      </c>
      <c r="F10627" t="str">
        <f>T("235114401")</f>
        <v>235114401</v>
      </c>
      <c r="G10627" t="str">
        <f>T("8449 AIR CARGO RD")</f>
        <v>8449 AIR CARGO RD</v>
      </c>
      <c r="H10627" t="str">
        <f>T("")</f>
        <v/>
      </c>
      <c r="I10627" t="str">
        <f t="shared" si="3895"/>
        <v>NORFOLK</v>
      </c>
      <c r="J10627" t="str">
        <f t="shared" si="3893"/>
        <v>VA</v>
      </c>
      <c r="K10627" t="str">
        <f t="shared" si="3890"/>
        <v>000000000000000000</v>
      </c>
      <c r="L10627" t="str">
        <f>T("7574450694")</f>
        <v>7574450694</v>
      </c>
    </row>
    <row r="10628" spans="1:12" x14ac:dyDescent="0.35">
      <c r="A10628" t="str">
        <f>T("NAVAIRTERM NORFOLK DET OCEANA")</f>
        <v>NAVAIRTERM NORFOLK DET OCEANA</v>
      </c>
      <c r="B10628" t="str">
        <f>T("8449 AIR CARGO ROAD")</f>
        <v>8449 AIR CARGO ROAD</v>
      </c>
      <c r="C10628" t="str">
        <f t="shared" si="3891"/>
        <v/>
      </c>
      <c r="D10628" t="str">
        <f t="shared" si="3894"/>
        <v>NORFOLK</v>
      </c>
      <c r="E10628" t="str">
        <f t="shared" si="3892"/>
        <v>VA</v>
      </c>
      <c r="F10628" t="str">
        <f>T("235114401")</f>
        <v>235114401</v>
      </c>
      <c r="G10628" t="str">
        <f>T("8449 AIR CARGO ROAD")</f>
        <v>8449 AIR CARGO ROAD</v>
      </c>
      <c r="H10628" t="str">
        <f>T("")</f>
        <v/>
      </c>
      <c r="I10628" t="str">
        <f t="shared" si="3895"/>
        <v>NORFOLK</v>
      </c>
      <c r="J10628" t="str">
        <f t="shared" si="3893"/>
        <v>VA</v>
      </c>
      <c r="K10628" t="str">
        <f>T("")</f>
        <v/>
      </c>
      <c r="L10628" t="str">
        <f>T("7574443675")</f>
        <v>7574443675</v>
      </c>
    </row>
    <row r="10629" spans="1:12" x14ac:dyDescent="0.35">
      <c r="A10629" t="str">
        <f>T("NAVAIRTERM NORFOLK DET OCEANA")</f>
        <v>NAVAIRTERM NORFOLK DET OCEANA</v>
      </c>
      <c r="B10629" t="str">
        <f>T("8449 AIR CARGO ROAD")</f>
        <v>8449 AIR CARGO ROAD</v>
      </c>
      <c r="C10629" t="str">
        <f t="shared" si="3891"/>
        <v/>
      </c>
      <c r="D10629" t="str">
        <f t="shared" si="3894"/>
        <v>NORFOLK</v>
      </c>
      <c r="E10629" t="str">
        <f t="shared" si="3892"/>
        <v>VA</v>
      </c>
      <c r="F10629" t="str">
        <f>T("235114401")</f>
        <v>235114401</v>
      </c>
      <c r="G10629" t="str">
        <f>T("8449 AIR CARGO ROAD")</f>
        <v>8449 AIR CARGO ROAD</v>
      </c>
      <c r="H10629" t="str">
        <f>T("BLDG LP-100")</f>
        <v>BLDG LP-100</v>
      </c>
      <c r="I10629" t="str">
        <f t="shared" si="3895"/>
        <v>NORFOLK</v>
      </c>
      <c r="J10629" t="str">
        <f t="shared" si="3893"/>
        <v>VA</v>
      </c>
      <c r="K10629" t="str">
        <f>T("000000000000000000")</f>
        <v>000000000000000000</v>
      </c>
      <c r="L10629" t="str">
        <f>T("7574452709")</f>
        <v>7574452709</v>
      </c>
    </row>
    <row r="10630" spans="1:12" x14ac:dyDescent="0.35">
      <c r="A10630" t="str">
        <f>T("NAVAIRTERM NORFOLK DET OCEANA")</f>
        <v>NAVAIRTERM NORFOLK DET OCEANA</v>
      </c>
      <c r="B10630" t="str">
        <f>T("8449 AIR CARGO ROAD")</f>
        <v>8449 AIR CARGO ROAD</v>
      </c>
      <c r="C10630" t="str">
        <f t="shared" si="3891"/>
        <v/>
      </c>
      <c r="D10630" t="str">
        <f t="shared" si="3894"/>
        <v>NORFOLK</v>
      </c>
      <c r="E10630" t="str">
        <f t="shared" si="3892"/>
        <v>VA</v>
      </c>
      <c r="F10630" t="str">
        <f>T("235114401")</f>
        <v>235114401</v>
      </c>
      <c r="G10630" t="str">
        <f>T("8449 AIR CARGO ROAD")</f>
        <v>8449 AIR CARGO ROAD</v>
      </c>
      <c r="H10630" t="str">
        <f>T("BLDG LP-100")</f>
        <v>BLDG LP-100</v>
      </c>
      <c r="I10630" t="str">
        <f t="shared" si="3895"/>
        <v>NORFOLK</v>
      </c>
      <c r="J10630" t="str">
        <f t="shared" si="3893"/>
        <v>VA</v>
      </c>
      <c r="K10630" t="str">
        <f>T("7574450244")</f>
        <v>7574450244</v>
      </c>
      <c r="L10630" t="str">
        <f>T("7574452709")</f>
        <v>7574452709</v>
      </c>
    </row>
    <row r="10631" spans="1:12" x14ac:dyDescent="0.35">
      <c r="A10631" t="str">
        <f t="shared" ref="A10631:A10636" si="3896">T("HQ SUPPORT ACTIVITY SEC NORF")</f>
        <v>HQ SUPPORT ACTIVITY SEC NORF</v>
      </c>
      <c r="B10631" t="str">
        <f t="shared" ref="B10631:B10636" si="3897">T("1510 GILBERT STREET")</f>
        <v>1510 GILBERT STREET</v>
      </c>
      <c r="C10631" t="str">
        <f>T("BLDG N-26")</f>
        <v>BLDG N-26</v>
      </c>
      <c r="D10631" t="str">
        <f t="shared" si="3894"/>
        <v>NORFOLK</v>
      </c>
      <c r="E10631" t="str">
        <f t="shared" si="3892"/>
        <v>VA</v>
      </c>
      <c r="F10631" t="str">
        <f>T("235112738")</f>
        <v>235112738</v>
      </c>
      <c r="G10631" t="str">
        <f>T("1510 GILBERT ST")</f>
        <v>1510 GILBERT ST</v>
      </c>
      <c r="H10631" t="str">
        <f>T("")</f>
        <v/>
      </c>
      <c r="I10631" t="str">
        <f t="shared" si="3895"/>
        <v>NORFOLK</v>
      </c>
      <c r="J10631" t="str">
        <f t="shared" si="3893"/>
        <v>VA</v>
      </c>
      <c r="K10631" t="str">
        <f>T("000000000000000000")</f>
        <v>000000000000000000</v>
      </c>
      <c r="L10631" t="str">
        <f>T("7573222790")</f>
        <v>7573222790</v>
      </c>
    </row>
    <row r="10632" spans="1:12" x14ac:dyDescent="0.35">
      <c r="A10632" t="str">
        <f t="shared" si="3896"/>
        <v>HQ SUPPORT ACTIVITY SEC NORF</v>
      </c>
      <c r="B10632" t="str">
        <f t="shared" si="3897"/>
        <v>1510 GILBERT STREET</v>
      </c>
      <c r="C10632" t="str">
        <f>T("BLDG N-26")</f>
        <v>BLDG N-26</v>
      </c>
      <c r="D10632" t="str">
        <f t="shared" si="3894"/>
        <v>NORFOLK</v>
      </c>
      <c r="E10632" t="str">
        <f t="shared" si="3892"/>
        <v>VA</v>
      </c>
      <c r="F10632" t="str">
        <f>T("235112738")</f>
        <v>235112738</v>
      </c>
      <c r="G10632" t="str">
        <f>T("1510 GILBERT ST BLDG N-26")</f>
        <v>1510 GILBERT ST BLDG N-26</v>
      </c>
      <c r="H10632" t="str">
        <f>T("")</f>
        <v/>
      </c>
      <c r="I10632" t="str">
        <f t="shared" si="3895"/>
        <v>NORFOLK</v>
      </c>
      <c r="J10632" t="str">
        <f t="shared" si="3893"/>
        <v>VA</v>
      </c>
      <c r="K10632" t="str">
        <f>T("000000000000000000")</f>
        <v>000000000000000000</v>
      </c>
      <c r="L10632" t="str">
        <f>T("7573222761")</f>
        <v>7573222761</v>
      </c>
    </row>
    <row r="10633" spans="1:12" x14ac:dyDescent="0.35">
      <c r="A10633" t="str">
        <f t="shared" si="3896"/>
        <v>HQ SUPPORT ACTIVITY SEC NORF</v>
      </c>
      <c r="B10633" t="str">
        <f t="shared" si="3897"/>
        <v>1510 GILBERT STREET</v>
      </c>
      <c r="C10633" t="str">
        <f>T("BLDG N-26")</f>
        <v>BLDG N-26</v>
      </c>
      <c r="D10633" t="str">
        <f t="shared" si="3894"/>
        <v>NORFOLK</v>
      </c>
      <c r="E10633" t="str">
        <f t="shared" si="3892"/>
        <v>VA</v>
      </c>
      <c r="F10633" t="str">
        <f>T("235112738")</f>
        <v>235112738</v>
      </c>
      <c r="G10633" t="str">
        <f>T("1510 GILBERT STREET")</f>
        <v>1510 GILBERT STREET</v>
      </c>
      <c r="H10633" t="str">
        <f>T("BLDG N-26")</f>
        <v>BLDG N-26</v>
      </c>
      <c r="I10633" t="str">
        <f t="shared" si="3895"/>
        <v>NORFOLK</v>
      </c>
      <c r="J10633" t="str">
        <f t="shared" si="3893"/>
        <v>VA</v>
      </c>
      <c r="K10633" t="str">
        <f>T("000000000000000000")</f>
        <v>000000000000000000</v>
      </c>
      <c r="L10633" t="str">
        <f>T("1111111111")</f>
        <v>1111111111</v>
      </c>
    </row>
    <row r="10634" spans="1:12" x14ac:dyDescent="0.35">
      <c r="A10634" t="str">
        <f t="shared" si="3896"/>
        <v>HQ SUPPORT ACTIVITY SEC NORF</v>
      </c>
      <c r="B10634" t="str">
        <f t="shared" si="3897"/>
        <v>1510 GILBERT STREET</v>
      </c>
      <c r="C10634" t="str">
        <f>T("BLDG N-26")</f>
        <v>BLDG N-26</v>
      </c>
      <c r="D10634" t="str">
        <f t="shared" si="3894"/>
        <v>NORFOLK</v>
      </c>
      <c r="E10634" t="str">
        <f t="shared" si="3892"/>
        <v>VA</v>
      </c>
      <c r="F10634" t="str">
        <f>T("235112738")</f>
        <v>235112738</v>
      </c>
      <c r="G10634" t="str">
        <f>T("1510 GILBERT STREET")</f>
        <v>1510 GILBERT STREET</v>
      </c>
      <c r="H10634" t="str">
        <f>T("BLDG N-26")</f>
        <v>BLDG N-26</v>
      </c>
      <c r="I10634" t="str">
        <f t="shared" si="3895"/>
        <v>NORFOLK</v>
      </c>
      <c r="J10634" t="str">
        <f t="shared" si="3893"/>
        <v>VA</v>
      </c>
      <c r="K10634" t="str">
        <f>T("7574440611")</f>
        <v>7574440611</v>
      </c>
      <c r="L10634" t="str">
        <f>T("7573222761")</f>
        <v>7573222761</v>
      </c>
    </row>
    <row r="10635" spans="1:12" x14ac:dyDescent="0.35">
      <c r="A10635" t="str">
        <f t="shared" si="3896"/>
        <v>HQ SUPPORT ACTIVITY SEC NORF</v>
      </c>
      <c r="B10635" t="str">
        <f t="shared" si="3897"/>
        <v>1510 GILBERT STREET</v>
      </c>
      <c r="C10635" t="str">
        <f>T("BLDG N-26 RM 2125")</f>
        <v>BLDG N-26 RM 2125</v>
      </c>
      <c r="D10635" t="str">
        <f t="shared" si="3894"/>
        <v>NORFOLK</v>
      </c>
      <c r="E10635" t="str">
        <f t="shared" si="3892"/>
        <v>VA</v>
      </c>
      <c r="F10635" t="str">
        <f>T("235110000")</f>
        <v>235110000</v>
      </c>
      <c r="G10635" t="str">
        <f>T("1510 GILBERT STREET")</f>
        <v>1510 GILBERT STREET</v>
      </c>
      <c r="H10635" t="str">
        <f>T("")</f>
        <v/>
      </c>
      <c r="I10635" t="str">
        <f t="shared" si="3895"/>
        <v>NORFOLK</v>
      </c>
      <c r="J10635" t="str">
        <f t="shared" si="3893"/>
        <v>VA</v>
      </c>
      <c r="K10635" t="str">
        <f>T("000000000000000000")</f>
        <v>000000000000000000</v>
      </c>
      <c r="L10635" t="str">
        <f>T("7573223053")</f>
        <v>7573223053</v>
      </c>
    </row>
    <row r="10636" spans="1:12" x14ac:dyDescent="0.35">
      <c r="A10636" t="str">
        <f t="shared" si="3896"/>
        <v>HQ SUPPORT ACTIVITY SEC NORF</v>
      </c>
      <c r="B10636" t="str">
        <f t="shared" si="3897"/>
        <v>1510 GILBERT STREET</v>
      </c>
      <c r="C10636" t="str">
        <f>T("BLDG N-26 RM 2125")</f>
        <v>BLDG N-26 RM 2125</v>
      </c>
      <c r="D10636" t="str">
        <f t="shared" si="3894"/>
        <v>NORFOLK</v>
      </c>
      <c r="E10636" t="str">
        <f t="shared" si="3892"/>
        <v>VA</v>
      </c>
      <c r="F10636" t="str">
        <f>T("235110000")</f>
        <v>235110000</v>
      </c>
      <c r="G10636" t="str">
        <f>T("1510 GILBERT STREET")</f>
        <v>1510 GILBERT STREET</v>
      </c>
      <c r="H10636" t="str">
        <f>T("BLDG N-26 RM 2125")</f>
        <v>BLDG N-26 RM 2125</v>
      </c>
      <c r="I10636" t="str">
        <f t="shared" si="3895"/>
        <v>NORFOLK</v>
      </c>
      <c r="J10636" t="str">
        <f t="shared" si="3893"/>
        <v>VA</v>
      </c>
      <c r="K10636" t="str">
        <f>T("7574455757")</f>
        <v>7574455757</v>
      </c>
      <c r="L10636" t="str">
        <f>T("7573223053")</f>
        <v>7573223053</v>
      </c>
    </row>
    <row r="10637" spans="1:12" x14ac:dyDescent="0.35">
      <c r="A10637" t="str">
        <f>T("NAS SEC DET OCEANA VA")</f>
        <v>NAS SEC DET OCEANA VA</v>
      </c>
      <c r="B10637" t="str">
        <f>T("1750 TOMCAT BLVD")</f>
        <v>1750 TOMCAT BLVD</v>
      </c>
      <c r="C10637" t="str">
        <f>T("BLDG 320")</f>
        <v>BLDG 320</v>
      </c>
      <c r="D10637" t="str">
        <f>T("VIRGINIA BEACH")</f>
        <v>VIRGINIA BEACH</v>
      </c>
      <c r="E10637" t="str">
        <f t="shared" si="3892"/>
        <v>VA</v>
      </c>
      <c r="F10637" t="str">
        <f>T("234602168")</f>
        <v>234602168</v>
      </c>
      <c r="G10637" t="str">
        <f>T("1750 TOMCAT BLVD")</f>
        <v>1750 TOMCAT BLVD</v>
      </c>
      <c r="H10637" t="str">
        <f>T("BLDG 320")</f>
        <v>BLDG 320</v>
      </c>
      <c r="I10637" t="str">
        <f>T("VIRGINIA BEACH")</f>
        <v>VIRGINIA BEACH</v>
      </c>
      <c r="J10637" t="str">
        <f t="shared" si="3893"/>
        <v>VA</v>
      </c>
      <c r="K10637" t="str">
        <f>T("000000000000000000")</f>
        <v>000000000000000000</v>
      </c>
      <c r="L10637" t="str">
        <f>T("7574332934")</f>
        <v>7574332934</v>
      </c>
    </row>
    <row r="10638" spans="1:12" x14ac:dyDescent="0.35">
      <c r="A10638" t="str">
        <f>T("NAS SEC DET OCEANA VA")</f>
        <v>NAS SEC DET OCEANA VA</v>
      </c>
      <c r="B10638" t="str">
        <f>T("1750 TOMCAT BLVD")</f>
        <v>1750 TOMCAT BLVD</v>
      </c>
      <c r="C10638" t="str">
        <f>T("BLDG 320")</f>
        <v>BLDG 320</v>
      </c>
      <c r="D10638" t="str">
        <f>T("VIRGINIA BEACH")</f>
        <v>VIRGINIA BEACH</v>
      </c>
      <c r="E10638" t="str">
        <f t="shared" si="3892"/>
        <v>VA</v>
      </c>
      <c r="F10638" t="str">
        <f>T("234602168")</f>
        <v>234602168</v>
      </c>
      <c r="G10638" t="str">
        <f>T("1750 TOMCAT BLVD")</f>
        <v>1750 TOMCAT BLVD</v>
      </c>
      <c r="H10638" t="str">
        <f>T("BUILDING 320")</f>
        <v>BUILDING 320</v>
      </c>
      <c r="I10638" t="str">
        <f>T("VIRGINIA BEACH")</f>
        <v>VIRGINIA BEACH</v>
      </c>
      <c r="J10638" t="str">
        <f t="shared" si="3893"/>
        <v>VA</v>
      </c>
      <c r="K10638" t="str">
        <f>T("000000000000000000")</f>
        <v>000000000000000000</v>
      </c>
      <c r="L10638" t="str">
        <f>T("7574332802")</f>
        <v>7574332802</v>
      </c>
    </row>
    <row r="10639" spans="1:12" x14ac:dyDescent="0.35">
      <c r="A10639" t="str">
        <f>T("NAS SEC DET OCEANA VA")</f>
        <v>NAS SEC DET OCEANA VA</v>
      </c>
      <c r="B10639" t="str">
        <f>T("1750 TOMCAT BLVD")</f>
        <v>1750 TOMCAT BLVD</v>
      </c>
      <c r="C10639" t="str">
        <f>T("BLDG 320")</f>
        <v>BLDG 320</v>
      </c>
      <c r="D10639" t="str">
        <f>T("VIRGINIA BEACH")</f>
        <v>VIRGINIA BEACH</v>
      </c>
      <c r="E10639" t="str">
        <f t="shared" si="3892"/>
        <v>VA</v>
      </c>
      <c r="F10639" t="str">
        <f>T("234602168")</f>
        <v>234602168</v>
      </c>
      <c r="G10639" t="str">
        <f>T("1750 TOMCAT BLVD")</f>
        <v>1750 TOMCAT BLVD</v>
      </c>
      <c r="H10639" t="str">
        <f>T("BUILDING 325")</f>
        <v>BUILDING 325</v>
      </c>
      <c r="I10639" t="str">
        <f>T("VIRGINIA BEACH")</f>
        <v>VIRGINIA BEACH</v>
      </c>
      <c r="J10639" t="str">
        <f t="shared" si="3893"/>
        <v>VA</v>
      </c>
      <c r="K10639" t="str">
        <f>T("000000000000000000")</f>
        <v>000000000000000000</v>
      </c>
      <c r="L10639" t="str">
        <f>T("7573622489")</f>
        <v>7573622489</v>
      </c>
    </row>
    <row r="10640" spans="1:12" x14ac:dyDescent="0.35">
      <c r="A10640" t="str">
        <f>T("NAS SEC DET OCEANA VA")</f>
        <v>NAS SEC DET OCEANA VA</v>
      </c>
      <c r="B10640" t="str">
        <f>T("NORTHWEST ANNEX CHAPEL")</f>
        <v>NORTHWEST ANNEX CHAPEL</v>
      </c>
      <c r="C10640" t="str">
        <f>T("4503 RELAY ROAD 240")</f>
        <v>4503 RELAY ROAD 240</v>
      </c>
      <c r="D10640" t="str">
        <f>T("CHESAPEAKE")</f>
        <v>CHESAPEAKE</v>
      </c>
      <c r="E10640" t="str">
        <f t="shared" si="3892"/>
        <v>VA</v>
      </c>
      <c r="F10640" t="str">
        <f>T("233224105")</f>
        <v>233224105</v>
      </c>
      <c r="G10640" t="str">
        <f>T("4503 RELAY ROAD")</f>
        <v>4503 RELAY ROAD</v>
      </c>
      <c r="H10640" t="str">
        <f>T("")</f>
        <v/>
      </c>
      <c r="I10640" t="str">
        <f>T("CHESAPEAKE")</f>
        <v>CHESAPEAKE</v>
      </c>
      <c r="J10640" t="str">
        <f t="shared" si="3893"/>
        <v>VA</v>
      </c>
      <c r="K10640" t="str">
        <f>T("000000000000000000")</f>
        <v>000000000000000000</v>
      </c>
      <c r="L10640" t="str">
        <f>T("7574218204")</f>
        <v>7574218204</v>
      </c>
    </row>
    <row r="10641" spans="1:12" x14ac:dyDescent="0.35">
      <c r="A10641" t="str">
        <f>T("NAS SEC DET OCEANA VA")</f>
        <v>NAS SEC DET OCEANA VA</v>
      </c>
      <c r="B10641" t="str">
        <f>T("NORTHWEST ANNEX CHAPEL")</f>
        <v>NORTHWEST ANNEX CHAPEL</v>
      </c>
      <c r="C10641" t="str">
        <f>T("4503 RELAY ROAD 240")</f>
        <v>4503 RELAY ROAD 240</v>
      </c>
      <c r="D10641" t="str">
        <f>T("CHESAPEAKE")</f>
        <v>CHESAPEAKE</v>
      </c>
      <c r="E10641" t="str">
        <f t="shared" si="3892"/>
        <v>VA</v>
      </c>
      <c r="F10641" t="str">
        <f>T("233224105")</f>
        <v>233224105</v>
      </c>
      <c r="G10641" t="str">
        <f>T("NORTHWEST ANNEX CHAPEL")</f>
        <v>NORTHWEST ANNEX CHAPEL</v>
      </c>
      <c r="H10641" t="str">
        <f>T("4503 RELAY ROAD 240")</f>
        <v>4503 RELAY ROAD 240</v>
      </c>
      <c r="I10641" t="str">
        <f>T("CHESAPEAKE")</f>
        <v>CHESAPEAKE</v>
      </c>
      <c r="J10641" t="str">
        <f t="shared" si="3893"/>
        <v>VA</v>
      </c>
      <c r="K10641" t="str">
        <f>T("7574218641")</f>
        <v>7574218641</v>
      </c>
      <c r="L10641" t="str">
        <f>T("7574218205")</f>
        <v>7574218205</v>
      </c>
    </row>
    <row r="10642" spans="1:12" x14ac:dyDescent="0.35">
      <c r="A10642" t="str">
        <f>T("NAVAL BASE PHYS SEC DET VA")</f>
        <v>NAVAL BASE PHYS SEC DET VA</v>
      </c>
      <c r="B10642" t="str">
        <f>T("1957 ADMIRAL TAUSSIG BLVD")</f>
        <v>1957 ADMIRAL TAUSSIG BLVD</v>
      </c>
      <c r="C10642" t="str">
        <f>T("BUILDING CEP 161")</f>
        <v>BUILDING CEP 161</v>
      </c>
      <c r="D10642" t="str">
        <f>T("NORFOLK")</f>
        <v>NORFOLK</v>
      </c>
      <c r="E10642" t="str">
        <f t="shared" si="3892"/>
        <v>VA</v>
      </c>
      <c r="F10642" t="str">
        <f>T("235113425")</f>
        <v>235113425</v>
      </c>
      <c r="G10642" t="str">
        <f>T("1957 ADMIRAL TAUSSIG BLVD")</f>
        <v>1957 ADMIRAL TAUSSIG BLVD</v>
      </c>
      <c r="H10642" t="str">
        <f>T("BUILDING CEP 161")</f>
        <v>BUILDING CEP 161</v>
      </c>
      <c r="I10642" t="str">
        <f>T("NORFOLK")</f>
        <v>NORFOLK</v>
      </c>
      <c r="J10642" t="str">
        <f t="shared" si="3893"/>
        <v>VA</v>
      </c>
      <c r="K10642" t="str">
        <f>T("000000000000000000")</f>
        <v>000000000000000000</v>
      </c>
      <c r="L10642" t="str">
        <f>T("7573222566")</f>
        <v>7573222566</v>
      </c>
    </row>
    <row r="10643" spans="1:12" x14ac:dyDescent="0.35">
      <c r="A10643" t="str">
        <f>T("NAVAL BASE PHYS SEC DET VA")</f>
        <v>NAVAL BASE PHYS SEC DET VA</v>
      </c>
      <c r="B10643" t="str">
        <f>T("1957 ADMIRAL TAUSSIG BLVD")</f>
        <v>1957 ADMIRAL TAUSSIG BLVD</v>
      </c>
      <c r="C10643" t="str">
        <f>T("BUILDING CEP 161")</f>
        <v>BUILDING CEP 161</v>
      </c>
      <c r="D10643" t="str">
        <f>T("NORFOLK")</f>
        <v>NORFOLK</v>
      </c>
      <c r="E10643" t="str">
        <f t="shared" si="3892"/>
        <v>VA</v>
      </c>
      <c r="F10643" t="str">
        <f>T("235113425")</f>
        <v>235113425</v>
      </c>
      <c r="G10643" t="str">
        <f>T("1957 ADMIRAL TAUSSIG BLVD")</f>
        <v>1957 ADMIRAL TAUSSIG BLVD</v>
      </c>
      <c r="H10643" t="str">
        <f>T("BUILDING CEP 161")</f>
        <v>BUILDING CEP 161</v>
      </c>
      <c r="I10643" t="str">
        <f>T("NORFOLK")</f>
        <v>NORFOLK</v>
      </c>
      <c r="J10643" t="str">
        <f t="shared" si="3893"/>
        <v>VA</v>
      </c>
      <c r="K10643" t="str">
        <f>T("000000000000000000")</f>
        <v>000000000000000000</v>
      </c>
      <c r="L10643" t="str">
        <f>T("7574441832")</f>
        <v>7574441832</v>
      </c>
    </row>
    <row r="10644" spans="1:12" x14ac:dyDescent="0.35">
      <c r="A10644" t="str">
        <f t="shared" ref="A10644:A10657" si="3898">T("JOINT EXPEDITIONARY BASE")</f>
        <v>JOINT EXPEDITIONARY BASE</v>
      </c>
      <c r="B10644" t="str">
        <f>T("1160 D STREET")</f>
        <v>1160 D STREET</v>
      </c>
      <c r="C10644" t="str">
        <f>T("")</f>
        <v/>
      </c>
      <c r="D10644" t="str">
        <f t="shared" ref="D10644:D10657" si="3899">T("VIRGINIA BEACH")</f>
        <v>VIRGINIA BEACH</v>
      </c>
      <c r="E10644" t="str">
        <f t="shared" si="3892"/>
        <v>VA</v>
      </c>
      <c r="F10644" t="str">
        <f>T("234598310")</f>
        <v>234598310</v>
      </c>
      <c r="G10644" t="str">
        <f>T("1160 D STREET")</f>
        <v>1160 D STREET</v>
      </c>
      <c r="H10644" t="str">
        <f>T("")</f>
        <v/>
      </c>
      <c r="I10644" t="str">
        <f>T("VIRGINIA BCH")</f>
        <v>VIRGINIA BCH</v>
      </c>
      <c r="J10644" t="str">
        <f t="shared" si="3893"/>
        <v>VA</v>
      </c>
      <c r="K10644" t="str">
        <f>T("000000000000000000")</f>
        <v>000000000000000000</v>
      </c>
      <c r="L10644" t="str">
        <f>T("7574627427")</f>
        <v>7574627427</v>
      </c>
    </row>
    <row r="10645" spans="1:12" x14ac:dyDescent="0.35">
      <c r="A10645" t="str">
        <f t="shared" si="3898"/>
        <v>JOINT EXPEDITIONARY BASE</v>
      </c>
      <c r="B10645" t="str">
        <f>T("1160 D STREET")</f>
        <v>1160 D STREET</v>
      </c>
      <c r="C10645" t="str">
        <f>T("")</f>
        <v/>
      </c>
      <c r="D10645" t="str">
        <f t="shared" si="3899"/>
        <v>VIRGINIA BEACH</v>
      </c>
      <c r="E10645" t="str">
        <f t="shared" si="3892"/>
        <v>VA</v>
      </c>
      <c r="F10645" t="str">
        <f>T("234598310")</f>
        <v>234598310</v>
      </c>
      <c r="G10645" t="str">
        <f>T("1160 D STREET")</f>
        <v>1160 D STREET</v>
      </c>
      <c r="H10645" t="str">
        <f>T("")</f>
        <v/>
      </c>
      <c r="I10645" t="str">
        <f t="shared" ref="I10645:I10657" si="3900">T("VIRGINIA BEACH")</f>
        <v>VIRGINIA BEACH</v>
      </c>
      <c r="J10645" t="str">
        <f t="shared" si="3893"/>
        <v>VA</v>
      </c>
      <c r="K10645" t="str">
        <f>T("000000000000000000")</f>
        <v>000000000000000000</v>
      </c>
      <c r="L10645" t="str">
        <f>T("7574627429")</f>
        <v>7574627429</v>
      </c>
    </row>
    <row r="10646" spans="1:12" x14ac:dyDescent="0.35">
      <c r="A10646" t="str">
        <f t="shared" si="3898"/>
        <v>JOINT EXPEDITIONARY BASE</v>
      </c>
      <c r="B10646" t="str">
        <f>T("1450 D STREET")</f>
        <v>1450 D STREET</v>
      </c>
      <c r="C10646" t="str">
        <f>T("")</f>
        <v/>
      </c>
      <c r="D10646" t="str">
        <f t="shared" si="3899"/>
        <v>VIRGINIA BEACH</v>
      </c>
      <c r="E10646" t="str">
        <f t="shared" si="3892"/>
        <v>VA</v>
      </c>
      <c r="F10646" t="str">
        <f>T("234598408")</f>
        <v>234598408</v>
      </c>
      <c r="G10646" t="str">
        <f>T("1450 D STREET")</f>
        <v>1450 D STREET</v>
      </c>
      <c r="H10646" t="str">
        <f>T("")</f>
        <v/>
      </c>
      <c r="I10646" t="str">
        <f t="shared" si="3900"/>
        <v>VIRGINIA BEACH</v>
      </c>
      <c r="J10646" t="str">
        <f t="shared" si="3893"/>
        <v>VA</v>
      </c>
      <c r="K10646" t="str">
        <f>T("000000000000000000")</f>
        <v>000000000000000000</v>
      </c>
      <c r="L10646" t="str">
        <f>T("7574627563")</f>
        <v>7574627563</v>
      </c>
    </row>
    <row r="10647" spans="1:12" x14ac:dyDescent="0.35">
      <c r="A10647" t="str">
        <f t="shared" si="3898"/>
        <v>JOINT EXPEDITIONARY BASE</v>
      </c>
      <c r="B10647" t="str">
        <f>T("1450 D STREET")</f>
        <v>1450 D STREET</v>
      </c>
      <c r="C10647" t="str">
        <f>T("")</f>
        <v/>
      </c>
      <c r="D10647" t="str">
        <f t="shared" si="3899"/>
        <v>VIRGINIA BEACH</v>
      </c>
      <c r="E10647" t="str">
        <f t="shared" si="3892"/>
        <v>VA</v>
      </c>
      <c r="F10647" t="str">
        <f>T("234598408")</f>
        <v>234598408</v>
      </c>
      <c r="G10647" t="str">
        <f>T("1450 D STREET")</f>
        <v>1450 D STREET</v>
      </c>
      <c r="H10647" t="str">
        <f>T("")</f>
        <v/>
      </c>
      <c r="I10647" t="str">
        <f t="shared" si="3900"/>
        <v>VIRGINIA BEACH</v>
      </c>
      <c r="J10647" t="str">
        <f t="shared" si="3893"/>
        <v>VA</v>
      </c>
      <c r="K10647" t="str">
        <f>T("017574628924")</f>
        <v>017574628924</v>
      </c>
      <c r="L10647" t="str">
        <f>T("7574628924")</f>
        <v>7574628924</v>
      </c>
    </row>
    <row r="10648" spans="1:12" x14ac:dyDescent="0.35">
      <c r="A10648" t="str">
        <f t="shared" si="3898"/>
        <v>JOINT EXPEDITIONARY BASE</v>
      </c>
      <c r="B10648" t="str">
        <f>T("1450 D STREET")</f>
        <v>1450 D STREET</v>
      </c>
      <c r="C10648" t="str">
        <f>T("")</f>
        <v/>
      </c>
      <c r="D10648" t="str">
        <f t="shared" si="3899"/>
        <v>VIRGINIA BEACH</v>
      </c>
      <c r="E10648" t="str">
        <f t="shared" si="3892"/>
        <v>VA</v>
      </c>
      <c r="F10648" t="str">
        <f>T("234598408")</f>
        <v>234598408</v>
      </c>
      <c r="G10648" t="str">
        <f>T("1450 D STREET")</f>
        <v>1450 D STREET</v>
      </c>
      <c r="H10648" t="str">
        <f>T("")</f>
        <v/>
      </c>
      <c r="I10648" t="str">
        <f t="shared" si="3900"/>
        <v>VIRGINIA BEACH</v>
      </c>
      <c r="J10648" t="str">
        <f t="shared" si="3893"/>
        <v>VA</v>
      </c>
      <c r="K10648" t="str">
        <f>T("7574628686")</f>
        <v>7574628686</v>
      </c>
      <c r="L10648" t="str">
        <f>T("7574628924")</f>
        <v>7574628924</v>
      </c>
    </row>
    <row r="10649" spans="1:12" x14ac:dyDescent="0.35">
      <c r="A10649" t="str">
        <f t="shared" si="3898"/>
        <v>JOINT EXPEDITIONARY BASE</v>
      </c>
      <c r="B10649" t="str">
        <f>T("2260 GRAPPLE ROAD")</f>
        <v>2260 GRAPPLE ROAD</v>
      </c>
      <c r="C10649" t="str">
        <f>T("BUILDING 1AA")</f>
        <v>BUILDING 1AA</v>
      </c>
      <c r="D10649" t="str">
        <f t="shared" si="3899"/>
        <v>VIRGINIA BEACH</v>
      </c>
      <c r="E10649" t="str">
        <f t="shared" si="3892"/>
        <v>VA</v>
      </c>
      <c r="F10649" t="str">
        <f>T("234590000")</f>
        <v>234590000</v>
      </c>
      <c r="G10649" t="str">
        <f>T("2260 GRAPPLE ROAD")</f>
        <v>2260 GRAPPLE ROAD</v>
      </c>
      <c r="H10649" t="str">
        <f>T("BLDG 2000")</f>
        <v>BLDG 2000</v>
      </c>
      <c r="I10649" t="str">
        <f t="shared" si="3900"/>
        <v>VIRGINIA BEACH</v>
      </c>
      <c r="J10649" t="str">
        <f t="shared" si="3893"/>
        <v>VA</v>
      </c>
      <c r="K10649" t="str">
        <f t="shared" ref="K10649:K10656" si="3901">T("000000000000000000")</f>
        <v>000000000000000000</v>
      </c>
      <c r="L10649" t="str">
        <f>T("7574627996")</f>
        <v>7574627996</v>
      </c>
    </row>
    <row r="10650" spans="1:12" x14ac:dyDescent="0.35">
      <c r="A10650" t="str">
        <f t="shared" si="3898"/>
        <v>JOINT EXPEDITIONARY BASE</v>
      </c>
      <c r="B10650" t="str">
        <f>T("2260 GRAPPLE ROAD")</f>
        <v>2260 GRAPPLE ROAD</v>
      </c>
      <c r="C10650" t="str">
        <f>T("BUILDING 1AA")</f>
        <v>BUILDING 1AA</v>
      </c>
      <c r="D10650" t="str">
        <f t="shared" si="3899"/>
        <v>VIRGINIA BEACH</v>
      </c>
      <c r="E10650" t="str">
        <f t="shared" si="3892"/>
        <v>VA</v>
      </c>
      <c r="F10650" t="str">
        <f>T("234590000")</f>
        <v>234590000</v>
      </c>
      <c r="G10650" t="str">
        <f>T("2260 GRAPPLE ROAD")</f>
        <v>2260 GRAPPLE ROAD</v>
      </c>
      <c r="H10650" t="str">
        <f>T("BUILDING 1AA")</f>
        <v>BUILDING 1AA</v>
      </c>
      <c r="I10650" t="str">
        <f t="shared" si="3900"/>
        <v>VIRGINIA BEACH</v>
      </c>
      <c r="J10650" t="str">
        <f t="shared" si="3893"/>
        <v>VA</v>
      </c>
      <c r="K10650" t="str">
        <f t="shared" si="3901"/>
        <v>000000000000000000</v>
      </c>
      <c r="L10650" t="str">
        <f>T("7574628670")</f>
        <v>7574628670</v>
      </c>
    </row>
    <row r="10651" spans="1:12" x14ac:dyDescent="0.35">
      <c r="A10651" t="str">
        <f t="shared" si="3898"/>
        <v>JOINT EXPEDITIONARY BASE</v>
      </c>
      <c r="B10651" t="str">
        <f>T("2260 GRAPPLE ROAD")</f>
        <v>2260 GRAPPLE ROAD</v>
      </c>
      <c r="C10651" t="str">
        <f>T("BUILDING 1AA")</f>
        <v>BUILDING 1AA</v>
      </c>
      <c r="D10651" t="str">
        <f t="shared" si="3899"/>
        <v>VIRGINIA BEACH</v>
      </c>
      <c r="E10651" t="str">
        <f t="shared" si="3892"/>
        <v>VA</v>
      </c>
      <c r="F10651" t="str">
        <f>T("234590000")</f>
        <v>234590000</v>
      </c>
      <c r="G10651" t="str">
        <f>T("2260 GRAPPLE ROAD")</f>
        <v>2260 GRAPPLE ROAD</v>
      </c>
      <c r="H10651" t="str">
        <f>T("BUILDING 2000")</f>
        <v>BUILDING 2000</v>
      </c>
      <c r="I10651" t="str">
        <f t="shared" si="3900"/>
        <v>VIRGINIA BEACH</v>
      </c>
      <c r="J10651" t="str">
        <f t="shared" si="3893"/>
        <v>VA</v>
      </c>
      <c r="K10651" t="str">
        <f t="shared" si="3901"/>
        <v>000000000000000000</v>
      </c>
      <c r="L10651" t="str">
        <f>T("7574627515")</f>
        <v>7574627515</v>
      </c>
    </row>
    <row r="10652" spans="1:12" x14ac:dyDescent="0.35">
      <c r="A10652" t="str">
        <f t="shared" si="3898"/>
        <v>JOINT EXPEDITIONARY BASE</v>
      </c>
      <c r="B10652" t="str">
        <f>T("2260 GRAPPLE ROAD")</f>
        <v>2260 GRAPPLE ROAD</v>
      </c>
      <c r="C10652" t="str">
        <f>T("BUILDING 1AA")</f>
        <v>BUILDING 1AA</v>
      </c>
      <c r="D10652" t="str">
        <f t="shared" si="3899"/>
        <v>VIRGINIA BEACH</v>
      </c>
      <c r="E10652" t="str">
        <f t="shared" si="3892"/>
        <v>VA</v>
      </c>
      <c r="F10652" t="str">
        <f>T("234590000")</f>
        <v>234590000</v>
      </c>
      <c r="G10652" t="str">
        <f>T("2260 GRAPPLE ROAD")</f>
        <v>2260 GRAPPLE ROAD</v>
      </c>
      <c r="H10652" t="str">
        <f>T("BUILDING 2000")</f>
        <v>BUILDING 2000</v>
      </c>
      <c r="I10652" t="str">
        <f t="shared" si="3900"/>
        <v>VIRGINIA BEACH</v>
      </c>
      <c r="J10652" t="str">
        <f t="shared" si="3893"/>
        <v>VA</v>
      </c>
      <c r="K10652" t="str">
        <f t="shared" si="3901"/>
        <v>000000000000000000</v>
      </c>
      <c r="L10652" t="str">
        <f>T("7574627819")</f>
        <v>7574627819</v>
      </c>
    </row>
    <row r="10653" spans="1:12" x14ac:dyDescent="0.35">
      <c r="A10653" t="str">
        <f t="shared" si="3898"/>
        <v>JOINT EXPEDITIONARY BASE</v>
      </c>
      <c r="B10653" t="str">
        <f>T("CAM RHAN BAY RD")</f>
        <v>CAM RHAN BAY RD</v>
      </c>
      <c r="C10653" t="str">
        <f>T("BUILDING 522")</f>
        <v>BUILDING 522</v>
      </c>
      <c r="D10653" t="str">
        <f t="shared" si="3899"/>
        <v>VIRGINIA BEACH</v>
      </c>
      <c r="E10653" t="str">
        <f t="shared" si="3892"/>
        <v>VA</v>
      </c>
      <c r="F10653" t="str">
        <f>T("234591058")</f>
        <v>234591058</v>
      </c>
      <c r="G10653" t="str">
        <f>T("2600 TARAWA CT")</f>
        <v>2600 TARAWA CT</v>
      </c>
      <c r="H10653" t="str">
        <f>T("")</f>
        <v/>
      </c>
      <c r="I10653" t="str">
        <f t="shared" si="3900"/>
        <v>VIRGINIA BEACH</v>
      </c>
      <c r="J10653" t="str">
        <f t="shared" si="3893"/>
        <v>VA</v>
      </c>
      <c r="K10653" t="str">
        <f t="shared" si="3901"/>
        <v>000000000000000000</v>
      </c>
      <c r="L10653" t="str">
        <f>T("7574627342")</f>
        <v>7574627342</v>
      </c>
    </row>
    <row r="10654" spans="1:12" x14ac:dyDescent="0.35">
      <c r="A10654" t="str">
        <f t="shared" si="3898"/>
        <v>JOINT EXPEDITIONARY BASE</v>
      </c>
      <c r="B10654" t="str">
        <f>T("CAM RHAN BAY RD")</f>
        <v>CAM RHAN BAY RD</v>
      </c>
      <c r="C10654" t="str">
        <f>T("BUILDING 522")</f>
        <v>BUILDING 522</v>
      </c>
      <c r="D10654" t="str">
        <f t="shared" si="3899"/>
        <v>VIRGINIA BEACH</v>
      </c>
      <c r="E10654" t="str">
        <f t="shared" si="3892"/>
        <v>VA</v>
      </c>
      <c r="F10654" t="str">
        <f>T("234591058")</f>
        <v>234591058</v>
      </c>
      <c r="G10654" t="str">
        <f>T("2600 TARAWA CT")</f>
        <v>2600 TARAWA CT</v>
      </c>
      <c r="H10654" t="str">
        <f>T("SUITE 100")</f>
        <v>SUITE 100</v>
      </c>
      <c r="I10654" t="str">
        <f t="shared" si="3900"/>
        <v>VIRGINIA BEACH</v>
      </c>
      <c r="J10654" t="str">
        <f t="shared" si="3893"/>
        <v>VA</v>
      </c>
      <c r="K10654" t="str">
        <f t="shared" si="3901"/>
        <v>000000000000000000</v>
      </c>
      <c r="L10654" t="str">
        <f>T("7574622593")</f>
        <v>7574622593</v>
      </c>
    </row>
    <row r="10655" spans="1:12" x14ac:dyDescent="0.35">
      <c r="A10655" t="str">
        <f t="shared" si="3898"/>
        <v>JOINT EXPEDITIONARY BASE</v>
      </c>
      <c r="B10655" t="str">
        <f>T("CAM RHAN BAY RD")</f>
        <v>CAM RHAN BAY RD</v>
      </c>
      <c r="C10655" t="str">
        <f>T("BUILDING 522")</f>
        <v>BUILDING 522</v>
      </c>
      <c r="D10655" t="str">
        <f t="shared" si="3899"/>
        <v>VIRGINIA BEACH</v>
      </c>
      <c r="E10655" t="str">
        <f t="shared" si="3892"/>
        <v>VA</v>
      </c>
      <c r="F10655" t="str">
        <f>T("234591058")</f>
        <v>234591058</v>
      </c>
      <c r="G10655" t="str">
        <f>T("CAM RHAN BAY RD")</f>
        <v>CAM RHAN BAY RD</v>
      </c>
      <c r="H10655" t="str">
        <f>T("BUILDING 522")</f>
        <v>BUILDING 522</v>
      </c>
      <c r="I10655" t="str">
        <f t="shared" si="3900"/>
        <v>VIRGINIA BEACH</v>
      </c>
      <c r="J10655" t="str">
        <f t="shared" si="3893"/>
        <v>VA</v>
      </c>
      <c r="K10655" t="str">
        <f t="shared" si="3901"/>
        <v>000000000000000000</v>
      </c>
      <c r="L10655" t="str">
        <f>T("7574227050")</f>
        <v>7574227050</v>
      </c>
    </row>
    <row r="10656" spans="1:12" x14ac:dyDescent="0.35">
      <c r="A10656" t="str">
        <f t="shared" si="3898"/>
        <v>JOINT EXPEDITIONARY BASE</v>
      </c>
      <c r="B10656" t="str">
        <f>T("REGIONAL SAFETY OFFICE")</f>
        <v>REGIONAL SAFETY OFFICE</v>
      </c>
      <c r="C10656" t="str">
        <f>T("2600 TARAWA CT BLDG 1602")</f>
        <v>2600 TARAWA CT BLDG 1602</v>
      </c>
      <c r="D10656" t="str">
        <f t="shared" si="3899"/>
        <v>VIRGINIA BEACH</v>
      </c>
      <c r="E10656" t="str">
        <f t="shared" ref="E10656:E10692" si="3902">T("VA")</f>
        <v>VA</v>
      </c>
      <c r="F10656" t="str">
        <f>T("234599235")</f>
        <v>234599235</v>
      </c>
      <c r="G10656" t="str">
        <f>T("2600 TARAWA COURT")</f>
        <v>2600 TARAWA COURT</v>
      </c>
      <c r="H10656" t="str">
        <f>T("BLDG 1602 SUITE 112 D")</f>
        <v>BLDG 1602 SUITE 112 D</v>
      </c>
      <c r="I10656" t="str">
        <f t="shared" si="3900"/>
        <v>VIRGINIA BEACH</v>
      </c>
      <c r="J10656" t="str">
        <f t="shared" ref="J10656:J10692" si="3903">T("VA")</f>
        <v>VA</v>
      </c>
      <c r="K10656" t="str">
        <f t="shared" si="3901"/>
        <v>000000000000000000</v>
      </c>
      <c r="L10656" t="str">
        <f>T("7574622195")</f>
        <v>7574622195</v>
      </c>
    </row>
    <row r="10657" spans="1:12" x14ac:dyDescent="0.35">
      <c r="A10657" t="str">
        <f t="shared" si="3898"/>
        <v>JOINT EXPEDITIONARY BASE</v>
      </c>
      <c r="B10657" t="str">
        <f>T("REGIONAL SAFETY OFFICE")</f>
        <v>REGIONAL SAFETY OFFICE</v>
      </c>
      <c r="C10657" t="str">
        <f>T("2600 TARAWA CT BLDG 1602")</f>
        <v>2600 TARAWA CT BLDG 1602</v>
      </c>
      <c r="D10657" t="str">
        <f t="shared" si="3899"/>
        <v>VIRGINIA BEACH</v>
      </c>
      <c r="E10657" t="str">
        <f t="shared" si="3902"/>
        <v>VA</v>
      </c>
      <c r="F10657" t="str">
        <f>T("234599235")</f>
        <v>234599235</v>
      </c>
      <c r="G10657" t="str">
        <f>T("REGIONAL SAFETY OFFICE")</f>
        <v>REGIONAL SAFETY OFFICE</v>
      </c>
      <c r="H10657" t="str">
        <f>T("2600 TARAWA CT BLDG 1602")</f>
        <v>2600 TARAWA CT BLDG 1602</v>
      </c>
      <c r="I10657" t="str">
        <f t="shared" si="3900"/>
        <v>VIRGINIA BEACH</v>
      </c>
      <c r="J10657" t="str">
        <f t="shared" si="3903"/>
        <v>VA</v>
      </c>
      <c r="K10657" t="str">
        <f>T("7574622566")</f>
        <v>7574622566</v>
      </c>
      <c r="L10657" t="str">
        <f>T("7574622501")</f>
        <v>7574622501</v>
      </c>
    </row>
    <row r="10658" spans="1:12" x14ac:dyDescent="0.35">
      <c r="A10658" t="str">
        <f t="shared" ref="A10658:A10665" si="3904">T("NSA HAMPTON ROADS")</f>
        <v>NSA HAMPTON ROADS</v>
      </c>
      <c r="B10658" t="str">
        <f>T("1320 NORTHWEST BLVD")</f>
        <v>1320 NORTHWEST BLVD</v>
      </c>
      <c r="C10658" t="str">
        <f>T("SUITE 100")</f>
        <v>SUITE 100</v>
      </c>
      <c r="D10658" t="str">
        <f>T("CHESAPEAKE")</f>
        <v>CHESAPEAKE</v>
      </c>
      <c r="E10658" t="str">
        <f t="shared" si="3902"/>
        <v>VA</v>
      </c>
      <c r="F10658" t="str">
        <f>T("233224008")</f>
        <v>233224008</v>
      </c>
      <c r="G10658" t="str">
        <f>T("1320 NORTHWEST BLVD")</f>
        <v>1320 NORTHWEST BLVD</v>
      </c>
      <c r="H10658" t="str">
        <f>T("")</f>
        <v/>
      </c>
      <c r="I10658" t="str">
        <f>T("CHESAPEAKE")</f>
        <v>CHESAPEAKE</v>
      </c>
      <c r="J10658" t="str">
        <f t="shared" si="3903"/>
        <v>VA</v>
      </c>
      <c r="K10658" t="str">
        <f>T("000000000000000000")</f>
        <v>000000000000000000</v>
      </c>
      <c r="L10658" t="str">
        <f>T("7574218181")</f>
        <v>7574218181</v>
      </c>
    </row>
    <row r="10659" spans="1:12" x14ac:dyDescent="0.35">
      <c r="A10659" t="str">
        <f t="shared" si="3904"/>
        <v>NSA HAMPTON ROADS</v>
      </c>
      <c r="B10659" t="str">
        <f>T("1320 NORTHWEST BLVD")</f>
        <v>1320 NORTHWEST BLVD</v>
      </c>
      <c r="C10659" t="str">
        <f>T("SUITE 100")</f>
        <v>SUITE 100</v>
      </c>
      <c r="D10659" t="str">
        <f>T("CHESAPEAKE")</f>
        <v>CHESAPEAKE</v>
      </c>
      <c r="E10659" t="str">
        <f t="shared" si="3902"/>
        <v>VA</v>
      </c>
      <c r="F10659" t="str">
        <f>T("233224008")</f>
        <v>233224008</v>
      </c>
      <c r="G10659" t="str">
        <f>T("1320 NORTHWEST BLVD")</f>
        <v>1320 NORTHWEST BLVD</v>
      </c>
      <c r="H10659" t="str">
        <f>T("SUITE 100")</f>
        <v>SUITE 100</v>
      </c>
      <c r="I10659" t="str">
        <f>T("CHESAPEAKE")</f>
        <v>CHESAPEAKE</v>
      </c>
      <c r="J10659" t="str">
        <f t="shared" si="3903"/>
        <v>VA</v>
      </c>
      <c r="K10659" t="str">
        <f>T("7579530826")</f>
        <v>7579530826</v>
      </c>
      <c r="L10659" t="str">
        <f>T("7574218065")</f>
        <v>7574218065</v>
      </c>
    </row>
    <row r="10660" spans="1:12" x14ac:dyDescent="0.35">
      <c r="A10660" t="str">
        <f t="shared" si="3904"/>
        <v>NSA HAMPTON ROADS</v>
      </c>
      <c r="B10660" t="str">
        <f>T("1320 NORTHWEST BLVD")</f>
        <v>1320 NORTHWEST BLVD</v>
      </c>
      <c r="C10660" t="str">
        <f>T("SUITE 100")</f>
        <v>SUITE 100</v>
      </c>
      <c r="D10660" t="str">
        <f>T("CHESAPEAKE")</f>
        <v>CHESAPEAKE</v>
      </c>
      <c r="E10660" t="str">
        <f t="shared" si="3902"/>
        <v>VA</v>
      </c>
      <c r="F10660" t="str">
        <f>T("233224008")</f>
        <v>233224008</v>
      </c>
      <c r="G10660" t="str">
        <f>T("7918 BLANDY ROAD")</f>
        <v>7918 BLANDY ROAD</v>
      </c>
      <c r="H10660" t="str">
        <f>T("")</f>
        <v/>
      </c>
      <c r="I10660" t="str">
        <f>T("NORFOLK")</f>
        <v>NORFOLK</v>
      </c>
      <c r="J10660" t="str">
        <f t="shared" si="3903"/>
        <v>VA</v>
      </c>
      <c r="K10660" t="str">
        <f>T("000000000000000000")</f>
        <v>000000000000000000</v>
      </c>
      <c r="L10660" t="str">
        <f>T("7578368542")</f>
        <v>7578368542</v>
      </c>
    </row>
    <row r="10661" spans="1:12" x14ac:dyDescent="0.35">
      <c r="A10661" t="str">
        <f t="shared" si="3904"/>
        <v>NSA HAMPTON ROADS</v>
      </c>
      <c r="B10661" t="str">
        <f>T("620 JOHN PAUL JONES CR")</f>
        <v>620 JOHN PAUL JONES CR</v>
      </c>
      <c r="C10661" t="str">
        <f>T("BLDG 249")</f>
        <v>BLDG 249</v>
      </c>
      <c r="D10661" t="str">
        <f>T("PORTSMOUTH")</f>
        <v>PORTSMOUTH</v>
      </c>
      <c r="E10661" t="str">
        <f t="shared" si="3902"/>
        <v>VA</v>
      </c>
      <c r="F10661" t="str">
        <f>T("237082111")</f>
        <v>237082111</v>
      </c>
      <c r="G10661" t="str">
        <f>T("620 JOHN PAUL JONES CR")</f>
        <v>620 JOHN PAUL JONES CR</v>
      </c>
      <c r="H10661" t="str">
        <f>T("BLDG 249")</f>
        <v>BLDG 249</v>
      </c>
      <c r="I10661" t="str">
        <f>T("PORTSMOUTH")</f>
        <v>PORTSMOUTH</v>
      </c>
      <c r="J10661" t="str">
        <f t="shared" si="3903"/>
        <v>VA</v>
      </c>
      <c r="K10661" t="str">
        <f>T("000000000000000000")</f>
        <v>000000000000000000</v>
      </c>
      <c r="L10661" t="str">
        <f>T("7579536092")</f>
        <v>7579536092</v>
      </c>
    </row>
    <row r="10662" spans="1:12" x14ac:dyDescent="0.35">
      <c r="A10662" t="str">
        <f t="shared" si="3904"/>
        <v>NSA HAMPTON ROADS</v>
      </c>
      <c r="B10662" t="str">
        <f>T("NSA ADMIN")</f>
        <v>NSA ADMIN</v>
      </c>
      <c r="C10662" t="str">
        <f>T("7918 BLANDY RD")</f>
        <v>7918 BLANDY RD</v>
      </c>
      <c r="D10662" t="str">
        <f>T("NORFOLK")</f>
        <v>NORFOLK</v>
      </c>
      <c r="E10662" t="str">
        <f t="shared" si="3902"/>
        <v>VA</v>
      </c>
      <c r="F10662" t="str">
        <f>T("235512405")</f>
        <v>235512405</v>
      </c>
      <c r="G10662" t="str">
        <f>T("7918 BLANDY ROAD")</f>
        <v>7918 BLANDY ROAD</v>
      </c>
      <c r="H10662" t="str">
        <f>T("")</f>
        <v/>
      </c>
      <c r="I10662" t="str">
        <f>T("NORFOLK")</f>
        <v>NORFOLK</v>
      </c>
      <c r="J10662" t="str">
        <f t="shared" si="3903"/>
        <v>VA</v>
      </c>
      <c r="K10662" t="str">
        <f>T("7578361897")</f>
        <v>7578361897</v>
      </c>
      <c r="L10662" t="str">
        <f>T("7578361962")</f>
        <v>7578361962</v>
      </c>
    </row>
    <row r="10663" spans="1:12" x14ac:dyDescent="0.35">
      <c r="A10663" t="str">
        <f t="shared" si="3904"/>
        <v>NSA HAMPTON ROADS</v>
      </c>
      <c r="B10663" t="str">
        <f>T("NSA ADMIN")</f>
        <v>NSA ADMIN</v>
      </c>
      <c r="C10663" t="str">
        <f>T("7918 BLANDY RD")</f>
        <v>7918 BLANDY RD</v>
      </c>
      <c r="D10663" t="str">
        <f>T("NORFOLK")</f>
        <v>NORFOLK</v>
      </c>
      <c r="E10663" t="str">
        <f t="shared" si="3902"/>
        <v>VA</v>
      </c>
      <c r="F10663" t="str">
        <f>T("235512405")</f>
        <v>235512405</v>
      </c>
      <c r="G10663" t="str">
        <f>T("NSA ADMIN")</f>
        <v>NSA ADMIN</v>
      </c>
      <c r="H10663" t="str">
        <f>T("7918 BLANDY RD")</f>
        <v>7918 BLANDY RD</v>
      </c>
      <c r="I10663" t="str">
        <f>T("NORFOLK")</f>
        <v>NORFOLK</v>
      </c>
      <c r="J10663" t="str">
        <f t="shared" si="3903"/>
        <v>VA</v>
      </c>
      <c r="K10663" t="str">
        <f>T("")</f>
        <v/>
      </c>
      <c r="L10663" t="str">
        <f>T("7578361983")</f>
        <v>7578361983</v>
      </c>
    </row>
    <row r="10664" spans="1:12" x14ac:dyDescent="0.35">
      <c r="A10664" t="str">
        <f t="shared" si="3904"/>
        <v>NSA HAMPTON ROADS</v>
      </c>
      <c r="B10664" t="str">
        <f>T("NSA HAMPTON ROADS")</f>
        <v>NSA HAMPTON ROADS</v>
      </c>
      <c r="C10664" t="str">
        <f>T("BUILDING 272 RM 105")</f>
        <v>BUILDING 272 RM 105</v>
      </c>
      <c r="D10664" t="str">
        <f>T("PORTSMOUTH")</f>
        <v>PORTSMOUTH</v>
      </c>
      <c r="E10664" t="str">
        <f t="shared" si="3902"/>
        <v>VA</v>
      </c>
      <c r="F10664" t="str">
        <f>T("236700000")</f>
        <v>236700000</v>
      </c>
      <c r="G10664" t="str">
        <f>T("1099 HOLCOMB RD")</f>
        <v>1099 HOLCOMB RD</v>
      </c>
      <c r="H10664" t="str">
        <f>T("BUILDING 272 ROOM 105")</f>
        <v>BUILDING 272 ROOM 105</v>
      </c>
      <c r="I10664" t="str">
        <f>T("PORTSMOUTH")</f>
        <v>PORTSMOUTH</v>
      </c>
      <c r="J10664" t="str">
        <f t="shared" si="3903"/>
        <v>VA</v>
      </c>
      <c r="K10664" t="str">
        <f>T("000000000000000000")</f>
        <v>000000000000000000</v>
      </c>
      <c r="L10664" t="str">
        <f>T("7579537317")</f>
        <v>7579537317</v>
      </c>
    </row>
    <row r="10665" spans="1:12" x14ac:dyDescent="0.35">
      <c r="A10665" t="str">
        <f t="shared" si="3904"/>
        <v>NSA HAMPTON ROADS</v>
      </c>
      <c r="B10665" t="str">
        <f>T("NSA HAMPTON ROADS")</f>
        <v>NSA HAMPTON ROADS</v>
      </c>
      <c r="C10665" t="str">
        <f>T("BUILDING 272 RM 105")</f>
        <v>BUILDING 272 RM 105</v>
      </c>
      <c r="D10665" t="str">
        <f>T("PORTSMOUTH")</f>
        <v>PORTSMOUTH</v>
      </c>
      <c r="E10665" t="str">
        <f t="shared" si="3902"/>
        <v>VA</v>
      </c>
      <c r="F10665" t="str">
        <f>T("236700000")</f>
        <v>236700000</v>
      </c>
      <c r="G10665" t="str">
        <f>T("NSA HAMPTON ROADS")</f>
        <v>NSA HAMPTON ROADS</v>
      </c>
      <c r="H10665" t="str">
        <f>T("BUILDING 272 RM 105")</f>
        <v>BUILDING 272 RM 105</v>
      </c>
      <c r="I10665" t="str">
        <f>T("PORTSMOUTH")</f>
        <v>PORTSMOUTH</v>
      </c>
      <c r="J10665" t="str">
        <f t="shared" si="3903"/>
        <v>VA</v>
      </c>
      <c r="K10665" t="str">
        <f>T("000000000000000000")</f>
        <v>000000000000000000</v>
      </c>
      <c r="L10665" t="str">
        <f>T("7579537316")</f>
        <v>7579537316</v>
      </c>
    </row>
    <row r="10666" spans="1:12" x14ac:dyDescent="0.35">
      <c r="A10666" t="str">
        <f t="shared" ref="A10666:A10691" si="3905">T("CNRMA OCEANA")</f>
        <v>CNRMA OCEANA</v>
      </c>
      <c r="B10666" t="str">
        <f>T("1750 TOMCAT BLVD")</f>
        <v>1750 TOMCAT BLVD</v>
      </c>
      <c r="C10666" t="str">
        <f>T("")</f>
        <v/>
      </c>
      <c r="D10666" t="str">
        <f>T("VIRGINIA BEACH")</f>
        <v>VIRGINIA BEACH</v>
      </c>
      <c r="E10666" t="str">
        <f t="shared" si="3902"/>
        <v>VA</v>
      </c>
      <c r="F10666" t="str">
        <f>T("234602168")</f>
        <v>234602168</v>
      </c>
      <c r="G10666" t="str">
        <f>T("1086 LASER ROAD STE 128")</f>
        <v>1086 LASER ROAD STE 128</v>
      </c>
      <c r="H10666" t="str">
        <f>T("")</f>
        <v/>
      </c>
      <c r="I10666" t="str">
        <f>T("VIRGINIA BEACH")</f>
        <v>VIRGINIA BEACH</v>
      </c>
      <c r="J10666" t="str">
        <f t="shared" si="3903"/>
        <v>VA</v>
      </c>
      <c r="K10666" t="str">
        <f>T("000000000000000000")</f>
        <v>000000000000000000</v>
      </c>
      <c r="L10666" t="str">
        <f>T("7574332459")</f>
        <v>7574332459</v>
      </c>
    </row>
    <row r="10667" spans="1:12" x14ac:dyDescent="0.35">
      <c r="A10667" t="str">
        <f t="shared" si="3905"/>
        <v>CNRMA OCEANA</v>
      </c>
      <c r="B10667" t="str">
        <f>T("1750 TOMCAT BLVD")</f>
        <v>1750 TOMCAT BLVD</v>
      </c>
      <c r="C10667" t="str">
        <f>T("")</f>
        <v/>
      </c>
      <c r="D10667" t="str">
        <f>T("VIRGINIA BEACH")</f>
        <v>VIRGINIA BEACH</v>
      </c>
      <c r="E10667" t="str">
        <f t="shared" si="3902"/>
        <v>VA</v>
      </c>
      <c r="F10667" t="str">
        <f>T("234602168")</f>
        <v>234602168</v>
      </c>
      <c r="G10667" t="str">
        <f>T("1750 TOMCAT BLVD")</f>
        <v>1750 TOMCAT BLVD</v>
      </c>
      <c r="H10667" t="str">
        <f>T("")</f>
        <v/>
      </c>
      <c r="I10667" t="str">
        <f>T("VIRGINIA BEACH")</f>
        <v>VIRGINIA BEACH</v>
      </c>
      <c r="J10667" t="str">
        <f t="shared" si="3903"/>
        <v>VA</v>
      </c>
      <c r="K10667" t="str">
        <f>T("000000000000000000")</f>
        <v>000000000000000000</v>
      </c>
      <c r="L10667" t="str">
        <f>T("7574332211")</f>
        <v>7574332211</v>
      </c>
    </row>
    <row r="10668" spans="1:12" x14ac:dyDescent="0.35">
      <c r="A10668" t="str">
        <f t="shared" si="3905"/>
        <v>CNRMA OCEANA</v>
      </c>
      <c r="B10668" t="str">
        <f>T("1750 TOMCAT BLVD")</f>
        <v>1750 TOMCAT BLVD</v>
      </c>
      <c r="C10668" t="str">
        <f>T("NAS OCEANA AIR OPERATIONS")</f>
        <v>NAS OCEANA AIR OPERATIONS</v>
      </c>
      <c r="D10668" t="str">
        <f>T("VIRGINIA BEACH")</f>
        <v>VIRGINIA BEACH</v>
      </c>
      <c r="E10668" t="str">
        <f t="shared" si="3902"/>
        <v>VA</v>
      </c>
      <c r="F10668" t="str">
        <f>T("234602149")</f>
        <v>234602149</v>
      </c>
      <c r="G10668" t="str">
        <f>T("1750 TOMCAT BLVD")</f>
        <v>1750 TOMCAT BLVD</v>
      </c>
      <c r="H10668" t="str">
        <f>T("NAS OCEANA AIR OPERATIONS")</f>
        <v>NAS OCEANA AIR OPERATIONS</v>
      </c>
      <c r="I10668" t="str">
        <f>T("VIRGINIA BEACH")</f>
        <v>VIRGINIA BEACH</v>
      </c>
      <c r="J10668" t="str">
        <f t="shared" si="3903"/>
        <v>VA</v>
      </c>
      <c r="K10668" t="str">
        <f>T("7574332711")</f>
        <v>7574332711</v>
      </c>
      <c r="L10668" t="str">
        <f>T("7574332318")</f>
        <v>7574332318</v>
      </c>
    </row>
    <row r="10669" spans="1:12" x14ac:dyDescent="0.35">
      <c r="A10669" t="str">
        <f t="shared" si="3905"/>
        <v>CNRMA OCEANA</v>
      </c>
      <c r="B10669" t="str">
        <f>T("1750 TOMCAT BLVD")</f>
        <v>1750 TOMCAT BLVD</v>
      </c>
      <c r="C10669" t="str">
        <f>T("NAS OCEANA AIR OPERATIONS")</f>
        <v>NAS OCEANA AIR OPERATIONS</v>
      </c>
      <c r="D10669" t="str">
        <f>T("VIRGINIA BEACH")</f>
        <v>VIRGINIA BEACH</v>
      </c>
      <c r="E10669" t="str">
        <f t="shared" si="3902"/>
        <v>VA</v>
      </c>
      <c r="F10669" t="str">
        <f>T("234602149")</f>
        <v>234602149</v>
      </c>
      <c r="G10669" t="str">
        <f>T("701 OPERATIONS DRIVE")</f>
        <v>701 OPERATIONS DRIVE</v>
      </c>
      <c r="H10669" t="str">
        <f>T("")</f>
        <v/>
      </c>
      <c r="I10669" t="str">
        <f>T("VIRGINIA BEACH")</f>
        <v>VIRGINIA BEACH</v>
      </c>
      <c r="J10669" t="str">
        <f t="shared" si="3903"/>
        <v>VA</v>
      </c>
      <c r="K10669" t="str">
        <f>T("000000000000000000")</f>
        <v>000000000000000000</v>
      </c>
      <c r="L10669" t="str">
        <f>T("7574332201")</f>
        <v>7574332201</v>
      </c>
    </row>
    <row r="10670" spans="1:12" x14ac:dyDescent="0.35">
      <c r="A10670" t="str">
        <f t="shared" si="3905"/>
        <v>CNRMA OCEANA</v>
      </c>
      <c r="B10670" t="str">
        <f>T("1750 TOMCAT BLVD")</f>
        <v>1750 TOMCAT BLVD</v>
      </c>
      <c r="C10670" t="str">
        <f>T("NAS OCEANA AIR OPERATIONS")</f>
        <v>NAS OCEANA AIR OPERATIONS</v>
      </c>
      <c r="D10670" t="str">
        <f>T("VIRGINIA BEACH")</f>
        <v>VIRGINIA BEACH</v>
      </c>
      <c r="E10670" t="str">
        <f t="shared" si="3902"/>
        <v>VA</v>
      </c>
      <c r="F10670" t="str">
        <f>T("234602149")</f>
        <v>234602149</v>
      </c>
      <c r="G10670" t="str">
        <f>T("701 OPERATIONS DRIVE")</f>
        <v>701 OPERATIONS DRIVE</v>
      </c>
      <c r="H10670" t="str">
        <f>T("")</f>
        <v/>
      </c>
      <c r="I10670" t="str">
        <f>T("VIRGINIA BLVD")</f>
        <v>VIRGINIA BLVD</v>
      </c>
      <c r="J10670" t="str">
        <f t="shared" si="3903"/>
        <v>VA</v>
      </c>
      <c r="K10670" t="str">
        <f>T("7574332711")</f>
        <v>7574332711</v>
      </c>
      <c r="L10670" t="str">
        <f>T("7574332357")</f>
        <v>7574332357</v>
      </c>
    </row>
    <row r="10671" spans="1:12" x14ac:dyDescent="0.35">
      <c r="A10671" t="str">
        <f t="shared" si="3905"/>
        <v>CNRMA OCEANA</v>
      </c>
      <c r="B10671" t="str">
        <f>T("1750 TOMCAT BOULEVARD")</f>
        <v>1750 TOMCAT BOULEVARD</v>
      </c>
      <c r="C10671" t="str">
        <f>T("BUILDING 230")</f>
        <v>BUILDING 230</v>
      </c>
      <c r="D10671" t="str">
        <f>T("VIRGINIA BCH")</f>
        <v>VIRGINIA BCH</v>
      </c>
      <c r="E10671" t="str">
        <f t="shared" si="3902"/>
        <v>VA</v>
      </c>
      <c r="F10671" t="str">
        <f>T("234602168")</f>
        <v>234602168</v>
      </c>
      <c r="G10671" t="str">
        <f>T("1750 TOMCAT BLVD")</f>
        <v>1750 TOMCAT BLVD</v>
      </c>
      <c r="H10671" t="str">
        <f>T("BLDG 230")</f>
        <v>BLDG 230</v>
      </c>
      <c r="I10671" t="str">
        <f>T("VIRGINIA BEACH")</f>
        <v>VIRGINIA BEACH</v>
      </c>
      <c r="J10671" t="str">
        <f t="shared" si="3903"/>
        <v>VA</v>
      </c>
      <c r="K10671" t="str">
        <f>T("7574332007")</f>
        <v>7574332007</v>
      </c>
      <c r="L10671" t="str">
        <f>T("7574333578")</f>
        <v>7574333578</v>
      </c>
    </row>
    <row r="10672" spans="1:12" x14ac:dyDescent="0.35">
      <c r="A10672" t="str">
        <f t="shared" si="3905"/>
        <v>CNRMA OCEANA</v>
      </c>
      <c r="B10672" t="str">
        <f>T("1750 TOMCAT BOULEVARD")</f>
        <v>1750 TOMCAT BOULEVARD</v>
      </c>
      <c r="C10672" t="str">
        <f>T("BUILDING 230")</f>
        <v>BUILDING 230</v>
      </c>
      <c r="D10672" t="str">
        <f>T("VIRGINIA BCH")</f>
        <v>VIRGINIA BCH</v>
      </c>
      <c r="E10672" t="str">
        <f t="shared" si="3902"/>
        <v>VA</v>
      </c>
      <c r="F10672" t="str">
        <f>T("234602168")</f>
        <v>234602168</v>
      </c>
      <c r="G10672" t="str">
        <f>T("1750 TOMCAT BOULEVARD")</f>
        <v>1750 TOMCAT BOULEVARD</v>
      </c>
      <c r="H10672" t="str">
        <f>T("")</f>
        <v/>
      </c>
      <c r="I10672" t="str">
        <f>T("VIRGINIA BEACH")</f>
        <v>VIRGINIA BEACH</v>
      </c>
      <c r="J10672" t="str">
        <f t="shared" si="3903"/>
        <v>VA</v>
      </c>
      <c r="K10672" t="str">
        <f>T("000000000000000000")</f>
        <v>000000000000000000</v>
      </c>
      <c r="L10672" t="str">
        <f>T("7574332007")</f>
        <v>7574332007</v>
      </c>
    </row>
    <row r="10673" spans="1:12" x14ac:dyDescent="0.35">
      <c r="A10673" t="str">
        <f t="shared" si="3905"/>
        <v>CNRMA OCEANA</v>
      </c>
      <c r="B10673" t="str">
        <f>T("1750 TOMCAT BOULEVARD")</f>
        <v>1750 TOMCAT BOULEVARD</v>
      </c>
      <c r="C10673" t="str">
        <f>T("BUILDING 230")</f>
        <v>BUILDING 230</v>
      </c>
      <c r="D10673" t="str">
        <f>T("VIRGINIA BCH")</f>
        <v>VIRGINIA BCH</v>
      </c>
      <c r="E10673" t="str">
        <f t="shared" si="3902"/>
        <v>VA</v>
      </c>
      <c r="F10673" t="str">
        <f>T("234602168")</f>
        <v>234602168</v>
      </c>
      <c r="G10673" t="str">
        <f>T("1750 TOMCAT BOULEVARD")</f>
        <v>1750 TOMCAT BOULEVARD</v>
      </c>
      <c r="H10673" t="str">
        <f>T("BUILDING 230")</f>
        <v>BUILDING 230</v>
      </c>
      <c r="I10673" t="str">
        <f>T("VIRGINIA BCH")</f>
        <v>VIRGINIA BCH</v>
      </c>
      <c r="J10673" t="str">
        <f t="shared" si="3903"/>
        <v>VA</v>
      </c>
      <c r="K10673" t="str">
        <f>T("")</f>
        <v/>
      </c>
      <c r="L10673" t="str">
        <f>T("7574332640")</f>
        <v>7574332640</v>
      </c>
    </row>
    <row r="10674" spans="1:12" x14ac:dyDescent="0.35">
      <c r="A10674" t="str">
        <f t="shared" si="3905"/>
        <v>CNRMA OCEANA</v>
      </c>
      <c r="B10674" t="str">
        <f>T("1896 LASER RD, STE 120")</f>
        <v>1896 LASER RD, STE 120</v>
      </c>
      <c r="C10674" t="str">
        <f>T("")</f>
        <v/>
      </c>
      <c r="D10674" t="str">
        <f>T("VIRGINIA BEACH")</f>
        <v>VIRGINIA BEACH</v>
      </c>
      <c r="E10674" t="str">
        <f t="shared" si="3902"/>
        <v>VA</v>
      </c>
      <c r="F10674" t="str">
        <f>T("234602281")</f>
        <v>234602281</v>
      </c>
      <c r="G10674" t="str">
        <f>T("1896 LASER RD STE 120")</f>
        <v>1896 LASER RD STE 120</v>
      </c>
      <c r="H10674" t="str">
        <f>T("BLDG 531")</f>
        <v>BLDG 531</v>
      </c>
      <c r="I10674" t="str">
        <f t="shared" ref="I10674:I10679" si="3906">T("VIRGINIA BEACH")</f>
        <v>VIRGINIA BEACH</v>
      </c>
      <c r="J10674" t="str">
        <f t="shared" si="3903"/>
        <v>VA</v>
      </c>
      <c r="K10674" t="str">
        <f>T("000000000000000000")</f>
        <v>000000000000000000</v>
      </c>
      <c r="L10674" t="str">
        <f>T("7574332464")</f>
        <v>7574332464</v>
      </c>
    </row>
    <row r="10675" spans="1:12" x14ac:dyDescent="0.35">
      <c r="A10675" t="str">
        <f t="shared" si="3905"/>
        <v>CNRMA OCEANA</v>
      </c>
      <c r="B10675" t="str">
        <f>T("1896 LASER RD, STE 120")</f>
        <v>1896 LASER RD, STE 120</v>
      </c>
      <c r="C10675" t="str">
        <f>T("")</f>
        <v/>
      </c>
      <c r="D10675" t="str">
        <f>T("VIRGINIA BEACH")</f>
        <v>VIRGINIA BEACH</v>
      </c>
      <c r="E10675" t="str">
        <f t="shared" si="3902"/>
        <v>VA</v>
      </c>
      <c r="F10675" t="str">
        <f>T("234602281")</f>
        <v>234602281</v>
      </c>
      <c r="G10675" t="str">
        <f>T("1896 LASER RD STE 120")</f>
        <v>1896 LASER RD STE 120</v>
      </c>
      <c r="H10675" t="str">
        <f>T("BLDG 531")</f>
        <v>BLDG 531</v>
      </c>
      <c r="I10675" t="str">
        <f t="shared" si="3906"/>
        <v>VIRGINIA BEACH</v>
      </c>
      <c r="J10675" t="str">
        <f t="shared" si="3903"/>
        <v>VA</v>
      </c>
      <c r="K10675" t="str">
        <f>T("000000000000000000")</f>
        <v>000000000000000000</v>
      </c>
      <c r="L10675" t="str">
        <f>T("7574332535")</f>
        <v>7574332535</v>
      </c>
    </row>
    <row r="10676" spans="1:12" x14ac:dyDescent="0.35">
      <c r="A10676" t="str">
        <f t="shared" si="3905"/>
        <v>CNRMA OCEANA</v>
      </c>
      <c r="B10676" t="str">
        <f>T("1896 LASER RD, STE 120")</f>
        <v>1896 LASER RD, STE 120</v>
      </c>
      <c r="C10676" t="str">
        <f>T("")</f>
        <v/>
      </c>
      <c r="D10676" t="str">
        <f>T("VIRGINIA BEACH")</f>
        <v>VIRGINIA BEACH</v>
      </c>
      <c r="E10676" t="str">
        <f t="shared" si="3902"/>
        <v>VA</v>
      </c>
      <c r="F10676" t="str">
        <f>T("234602281")</f>
        <v>234602281</v>
      </c>
      <c r="G10676" t="str">
        <f>T("1896 LASER RD, STE 120")</f>
        <v>1896 LASER RD, STE 120</v>
      </c>
      <c r="H10676" t="str">
        <f>T("")</f>
        <v/>
      </c>
      <c r="I10676" t="str">
        <f t="shared" si="3906"/>
        <v>VIRGINIA BEACH</v>
      </c>
      <c r="J10676" t="str">
        <f t="shared" si="3903"/>
        <v>VA</v>
      </c>
      <c r="K10676" t="str">
        <f>T("757-433-2017")</f>
        <v>757-433-2017</v>
      </c>
      <c r="L10676" t="str">
        <f>T("7574333771")</f>
        <v>7574333771</v>
      </c>
    </row>
    <row r="10677" spans="1:12" x14ac:dyDescent="0.35">
      <c r="A10677" t="str">
        <f t="shared" si="3905"/>
        <v>CNRMA OCEANA</v>
      </c>
      <c r="B10677" t="str">
        <f>T("1896 LASER RD, STE 120")</f>
        <v>1896 LASER RD, STE 120</v>
      </c>
      <c r="C10677" t="str">
        <f>T("")</f>
        <v/>
      </c>
      <c r="D10677" t="str">
        <f>T("VIRGINIA BEACH")</f>
        <v>VIRGINIA BEACH</v>
      </c>
      <c r="E10677" t="str">
        <f t="shared" si="3902"/>
        <v>VA</v>
      </c>
      <c r="F10677" t="str">
        <f>T("234602281")</f>
        <v>234602281</v>
      </c>
      <c r="G10677" t="str">
        <f>T("1896 LASER ROAD")</f>
        <v>1896 LASER ROAD</v>
      </c>
      <c r="H10677" t="str">
        <f>T("SUITE 120")</f>
        <v>SUITE 120</v>
      </c>
      <c r="I10677" t="str">
        <f t="shared" si="3906"/>
        <v>VIRGINIA BEACH</v>
      </c>
      <c r="J10677" t="str">
        <f t="shared" si="3903"/>
        <v>VA</v>
      </c>
      <c r="K10677" t="str">
        <f>T("017574332464")</f>
        <v>017574332464</v>
      </c>
      <c r="L10677" t="str">
        <f>T("1111111111")</f>
        <v>1111111111</v>
      </c>
    </row>
    <row r="10678" spans="1:12" x14ac:dyDescent="0.35">
      <c r="A10678" t="str">
        <f t="shared" si="3905"/>
        <v>CNRMA OCEANA</v>
      </c>
      <c r="B10678" t="str">
        <f>T("1896 LASER RD, STE 120")</f>
        <v>1896 LASER RD, STE 120</v>
      </c>
      <c r="C10678" t="str">
        <f>T("")</f>
        <v/>
      </c>
      <c r="D10678" t="str">
        <f>T("VIRGINIA BEACH")</f>
        <v>VIRGINIA BEACH</v>
      </c>
      <c r="E10678" t="str">
        <f t="shared" si="3902"/>
        <v>VA</v>
      </c>
      <c r="F10678" t="str">
        <f>T("234602281")</f>
        <v>234602281</v>
      </c>
      <c r="G10678" t="str">
        <f>T("1896 LASER ROAD")</f>
        <v>1896 LASER ROAD</v>
      </c>
      <c r="H10678" t="str">
        <f>T("SUITE 120 BUILDING 531")</f>
        <v>SUITE 120 BUILDING 531</v>
      </c>
      <c r="I10678" t="str">
        <f t="shared" si="3906"/>
        <v>VIRGINIA BEACH</v>
      </c>
      <c r="J10678" t="str">
        <f t="shared" si="3903"/>
        <v>VA</v>
      </c>
      <c r="K10678" t="str">
        <f>T("017574332535")</f>
        <v>017574332535</v>
      </c>
      <c r="L10678" t="str">
        <f>T("7574332535")</f>
        <v>7574332535</v>
      </c>
    </row>
    <row r="10679" spans="1:12" x14ac:dyDescent="0.35">
      <c r="A10679" t="str">
        <f t="shared" si="3905"/>
        <v>CNRMA OCEANA</v>
      </c>
      <c r="B10679" t="str">
        <f>T("1999 7TH STREET")</f>
        <v>1999 7TH STREET</v>
      </c>
      <c r="C10679" t="str">
        <f>T("BLDG 720")</f>
        <v>BLDG 720</v>
      </c>
      <c r="D10679" t="str">
        <f t="shared" ref="D10679:D10691" si="3907">T("VIRGINIA BCH")</f>
        <v>VIRGINIA BCH</v>
      </c>
      <c r="E10679" t="str">
        <f t="shared" si="3902"/>
        <v>VA</v>
      </c>
      <c r="F10679" t="str">
        <f>T("234602105")</f>
        <v>234602105</v>
      </c>
      <c r="G10679" t="str">
        <f>T("1999 7TH ST BLDG 720")</f>
        <v>1999 7TH ST BLDG 720</v>
      </c>
      <c r="H10679" t="str">
        <f>T("")</f>
        <v/>
      </c>
      <c r="I10679" t="str">
        <f t="shared" si="3906"/>
        <v>VIRGINIA BEACH</v>
      </c>
      <c r="J10679" t="str">
        <f t="shared" si="3903"/>
        <v>VA</v>
      </c>
      <c r="K10679" t="str">
        <f>T("000000000000000000")</f>
        <v>000000000000000000</v>
      </c>
      <c r="L10679" t="str">
        <f>T("7574332531")</f>
        <v>7574332531</v>
      </c>
    </row>
    <row r="10680" spans="1:12" x14ac:dyDescent="0.35">
      <c r="A10680" t="str">
        <f t="shared" si="3905"/>
        <v>CNRMA OCEANA</v>
      </c>
      <c r="B10680" t="str">
        <f>T("1999 7TH STREET")</f>
        <v>1999 7TH STREET</v>
      </c>
      <c r="C10680" t="str">
        <f>T("BLDG 720")</f>
        <v>BLDG 720</v>
      </c>
      <c r="D10680" t="str">
        <f t="shared" si="3907"/>
        <v>VIRGINIA BCH</v>
      </c>
      <c r="E10680" t="str">
        <f t="shared" si="3902"/>
        <v>VA</v>
      </c>
      <c r="F10680" t="str">
        <f>T("234602105")</f>
        <v>234602105</v>
      </c>
      <c r="G10680" t="str">
        <f>T("1999 7TH STREET")</f>
        <v>1999 7TH STREET</v>
      </c>
      <c r="H10680" t="str">
        <f>T("BLDG 720")</f>
        <v>BLDG 720</v>
      </c>
      <c r="I10680" t="str">
        <f>T("VIRGINIA BCH")</f>
        <v>VIRGINIA BCH</v>
      </c>
      <c r="J10680" t="str">
        <f t="shared" si="3903"/>
        <v>VA</v>
      </c>
      <c r="K10680" t="str">
        <f>T("000000000000000000")</f>
        <v>000000000000000000</v>
      </c>
      <c r="L10680" t="str">
        <f>T("7574332507")</f>
        <v>7574332507</v>
      </c>
    </row>
    <row r="10681" spans="1:12" x14ac:dyDescent="0.35">
      <c r="A10681" t="str">
        <f t="shared" si="3905"/>
        <v>CNRMA OCEANA</v>
      </c>
      <c r="B10681" t="str">
        <f>T("2089 TARTAR AVENUE")</f>
        <v>2089 TARTAR AVENUE</v>
      </c>
      <c r="C10681" t="str">
        <f>T("BLDG 559")</f>
        <v>BLDG 559</v>
      </c>
      <c r="D10681" t="str">
        <f t="shared" si="3907"/>
        <v>VIRGINIA BCH</v>
      </c>
      <c r="E10681" t="str">
        <f t="shared" si="3902"/>
        <v>VA</v>
      </c>
      <c r="F10681" t="str">
        <f>T("234611929")</f>
        <v>234611929</v>
      </c>
      <c r="G10681" t="str">
        <f>T("2089 TARTAR AVENUE")</f>
        <v>2089 TARTAR AVENUE</v>
      </c>
      <c r="H10681" t="str">
        <f>T("BLDG 559")</f>
        <v>BLDG 559</v>
      </c>
      <c r="I10681" t="str">
        <f>T("VIRGINIA BCH")</f>
        <v>VIRGINIA BCH</v>
      </c>
      <c r="J10681" t="str">
        <f t="shared" si="3903"/>
        <v>VA</v>
      </c>
      <c r="K10681" t="str">
        <f>T("000000000000000000")</f>
        <v>000000000000000000</v>
      </c>
      <c r="L10681" t="str">
        <f>T("7574926315")</f>
        <v>7574926315</v>
      </c>
    </row>
    <row r="10682" spans="1:12" x14ac:dyDescent="0.35">
      <c r="A10682" t="str">
        <f t="shared" si="3905"/>
        <v>CNRMA OCEANA</v>
      </c>
      <c r="B10682" t="str">
        <f>T("CHAPEL OF THE GOOD SHEPHERD")</f>
        <v>CHAPEL OF THE GOOD SHEPHERD</v>
      </c>
      <c r="C10682" t="str">
        <f>T("1912 REGULUS BLVD")</f>
        <v>1912 REGULUS BLVD</v>
      </c>
      <c r="D10682" t="str">
        <f t="shared" si="3907"/>
        <v>VIRGINIA BCH</v>
      </c>
      <c r="E10682" t="str">
        <f t="shared" si="3902"/>
        <v>VA</v>
      </c>
      <c r="F10682" t="str">
        <f>T("234612006")</f>
        <v>234612006</v>
      </c>
      <c r="G10682" t="str">
        <f>T("803 D AVENUE BLDG 330")</f>
        <v>803 D AVENUE BLDG 330</v>
      </c>
      <c r="H10682" t="str">
        <f>T("")</f>
        <v/>
      </c>
      <c r="I10682" t="str">
        <f>T("VIRGINIA BEACH")</f>
        <v>VIRGINIA BEACH</v>
      </c>
      <c r="J10682" t="str">
        <f t="shared" si="3903"/>
        <v>VA</v>
      </c>
      <c r="K10682" t="str">
        <f>T("7574333337")</f>
        <v>7574333337</v>
      </c>
      <c r="L10682" t="str">
        <f>T("7574332871")</f>
        <v>7574332871</v>
      </c>
    </row>
    <row r="10683" spans="1:12" x14ac:dyDescent="0.35">
      <c r="A10683" t="str">
        <f t="shared" si="3905"/>
        <v>CNRMA OCEANA</v>
      </c>
      <c r="B10683" t="str">
        <f>T("CHAPEL OF THE GOOD SHEPHERD")</f>
        <v>CHAPEL OF THE GOOD SHEPHERD</v>
      </c>
      <c r="C10683" t="str">
        <f>T("1912 REGULUS BLVD")</f>
        <v>1912 REGULUS BLVD</v>
      </c>
      <c r="D10683" t="str">
        <f t="shared" si="3907"/>
        <v>VIRGINIA BCH</v>
      </c>
      <c r="E10683" t="str">
        <f t="shared" si="3902"/>
        <v>VA</v>
      </c>
      <c r="F10683" t="str">
        <f>T("234612006")</f>
        <v>234612006</v>
      </c>
      <c r="G10683" t="str">
        <f>T("CHAPEL OF THE GOOD SHEPHERD")</f>
        <v>CHAPEL OF THE GOOD SHEPHERD</v>
      </c>
      <c r="H10683" t="str">
        <f>T("1912 REGULUS BLVD")</f>
        <v>1912 REGULUS BLVD</v>
      </c>
      <c r="I10683" t="str">
        <f>T("VIRGINIA BCH")</f>
        <v>VIRGINIA BCH</v>
      </c>
      <c r="J10683" t="str">
        <f t="shared" si="3903"/>
        <v>VA</v>
      </c>
      <c r="K10683" t="str">
        <f>T("7574333337")</f>
        <v>7574333337</v>
      </c>
      <c r="L10683" t="str">
        <f>T("7574926722")</f>
        <v>7574926722</v>
      </c>
    </row>
    <row r="10684" spans="1:12" x14ac:dyDescent="0.35">
      <c r="A10684" t="str">
        <f t="shared" si="3905"/>
        <v>CNRMA OCEANA</v>
      </c>
      <c r="B10684" t="str">
        <f>T("CHAPEL OF THE GOOD SHEPHERD")</f>
        <v>CHAPEL OF THE GOOD SHEPHERD</v>
      </c>
      <c r="C10684" t="str">
        <f>T("1912 REGULUS BLVD")</f>
        <v>1912 REGULUS BLVD</v>
      </c>
      <c r="D10684" t="str">
        <f t="shared" si="3907"/>
        <v>VIRGINIA BCH</v>
      </c>
      <c r="E10684" t="str">
        <f t="shared" si="3902"/>
        <v>VA</v>
      </c>
      <c r="F10684" t="str">
        <f>T("234612006")</f>
        <v>234612006</v>
      </c>
      <c r="G10684" t="str">
        <f>T("OCEANA CHAPEL 803 D AVENUE BLDG 330")</f>
        <v>OCEANA CHAPEL 803 D AVENUE BLDG 330</v>
      </c>
      <c r="H10684" t="str">
        <f>T("")</f>
        <v/>
      </c>
      <c r="I10684" t="str">
        <f t="shared" ref="I10684:I10690" si="3908">T("VIRGINIA BEACH")</f>
        <v>VIRGINIA BEACH</v>
      </c>
      <c r="J10684" t="str">
        <f t="shared" si="3903"/>
        <v>VA</v>
      </c>
      <c r="K10684" t="str">
        <f>T("000000000000000000")</f>
        <v>000000000000000000</v>
      </c>
      <c r="L10684" t="str">
        <f>T("7574332871")</f>
        <v>7574332871</v>
      </c>
    </row>
    <row r="10685" spans="1:12" x14ac:dyDescent="0.35">
      <c r="A10685" t="str">
        <f t="shared" si="3905"/>
        <v>CNRMA OCEANA</v>
      </c>
      <c r="B10685" t="str">
        <f t="shared" ref="B10685:B10691" si="3909">T("FIRE RESCUE DISTRICT 3")</f>
        <v>FIRE RESCUE DISTRICT 3</v>
      </c>
      <c r="C10685" t="str">
        <f t="shared" ref="C10685:C10691" si="3910">T("770 HORNET DRIVE BLDG 220")</f>
        <v>770 HORNET DRIVE BLDG 220</v>
      </c>
      <c r="D10685" t="str">
        <f t="shared" si="3907"/>
        <v>VIRGINIA BCH</v>
      </c>
      <c r="E10685" t="str">
        <f t="shared" si="3902"/>
        <v>VA</v>
      </c>
      <c r="F10685" t="str">
        <f t="shared" ref="F10685:F10691" si="3911">T("234602206")</f>
        <v>234602206</v>
      </c>
      <c r="G10685" t="str">
        <f>T("1790 GATOR BLVD")</f>
        <v>1790 GATOR BLVD</v>
      </c>
      <c r="H10685" t="str">
        <f>T("")</f>
        <v/>
      </c>
      <c r="I10685" t="str">
        <f t="shared" si="3908"/>
        <v>VIRGINIA BEACH</v>
      </c>
      <c r="J10685" t="str">
        <f t="shared" si="3903"/>
        <v>VA</v>
      </c>
      <c r="K10685" t="str">
        <f>T("7574628701")</f>
        <v>7574628701</v>
      </c>
      <c r="L10685" t="str">
        <f>T("7574623042")</f>
        <v>7574623042</v>
      </c>
    </row>
    <row r="10686" spans="1:12" x14ac:dyDescent="0.35">
      <c r="A10686" t="str">
        <f t="shared" si="3905"/>
        <v>CNRMA OCEANA</v>
      </c>
      <c r="B10686" t="str">
        <f t="shared" si="3909"/>
        <v>FIRE RESCUE DISTRICT 3</v>
      </c>
      <c r="C10686" t="str">
        <f t="shared" si="3910"/>
        <v>770 HORNET DRIVE BLDG 220</v>
      </c>
      <c r="D10686" t="str">
        <f t="shared" si="3907"/>
        <v>VIRGINIA BCH</v>
      </c>
      <c r="E10686" t="str">
        <f t="shared" si="3902"/>
        <v>VA</v>
      </c>
      <c r="F10686" t="str">
        <f t="shared" si="3911"/>
        <v>234602206</v>
      </c>
      <c r="G10686" t="str">
        <f>T("1790 GATOR BLVD BLDG 3848")</f>
        <v>1790 GATOR BLVD BLDG 3848</v>
      </c>
      <c r="H10686" t="str">
        <f>T("")</f>
        <v/>
      </c>
      <c r="I10686" t="str">
        <f t="shared" si="3908"/>
        <v>VIRGINIA BEACH</v>
      </c>
      <c r="J10686" t="str">
        <f t="shared" si="3903"/>
        <v>VA</v>
      </c>
      <c r="K10686" t="str">
        <f>T("7574628701")</f>
        <v>7574628701</v>
      </c>
      <c r="L10686" t="str">
        <f>T("7574623042")</f>
        <v>7574623042</v>
      </c>
    </row>
    <row r="10687" spans="1:12" x14ac:dyDescent="0.35">
      <c r="A10687" t="str">
        <f t="shared" si="3905"/>
        <v>CNRMA OCEANA</v>
      </c>
      <c r="B10687" t="str">
        <f t="shared" si="3909"/>
        <v>FIRE RESCUE DISTRICT 3</v>
      </c>
      <c r="C10687" t="str">
        <f t="shared" si="3910"/>
        <v>770 HORNET DRIVE BLDG 220</v>
      </c>
      <c r="D10687" t="str">
        <f t="shared" si="3907"/>
        <v>VIRGINIA BCH</v>
      </c>
      <c r="E10687" t="str">
        <f t="shared" si="3902"/>
        <v>VA</v>
      </c>
      <c r="F10687" t="str">
        <f t="shared" si="3911"/>
        <v>234602206</v>
      </c>
      <c r="G10687" t="str">
        <f>T("489 POLARIS STREET")</f>
        <v>489 POLARIS STREET</v>
      </c>
      <c r="H10687" t="str">
        <f>T("BLDG 525")</f>
        <v>BLDG 525</v>
      </c>
      <c r="I10687" t="str">
        <f t="shared" si="3908"/>
        <v>VIRGINIA BEACH</v>
      </c>
      <c r="J10687" t="str">
        <f t="shared" si="3903"/>
        <v>VA</v>
      </c>
      <c r="K10687" t="str">
        <f>T("000000000000000000")</f>
        <v>000000000000000000</v>
      </c>
      <c r="L10687" t="str">
        <f>T("7574926400")</f>
        <v>7574926400</v>
      </c>
    </row>
    <row r="10688" spans="1:12" x14ac:dyDescent="0.35">
      <c r="A10688" t="str">
        <f t="shared" si="3905"/>
        <v>CNRMA OCEANA</v>
      </c>
      <c r="B10688" t="str">
        <f t="shared" si="3909"/>
        <v>FIRE RESCUE DISTRICT 3</v>
      </c>
      <c r="C10688" t="str">
        <f t="shared" si="3910"/>
        <v>770 HORNET DRIVE BLDG 220</v>
      </c>
      <c r="D10688" t="str">
        <f t="shared" si="3907"/>
        <v>VIRGINIA BCH</v>
      </c>
      <c r="E10688" t="str">
        <f t="shared" si="3902"/>
        <v>VA</v>
      </c>
      <c r="F10688" t="str">
        <f t="shared" si="3911"/>
        <v>234602206</v>
      </c>
      <c r="G10688" t="str">
        <f>T("489 POLARIS STREET")</f>
        <v>489 POLARIS STREET</v>
      </c>
      <c r="H10688" t="str">
        <f>T("BLDG 525")</f>
        <v>BLDG 525</v>
      </c>
      <c r="I10688" t="str">
        <f t="shared" si="3908"/>
        <v>VIRGINIA BEACH</v>
      </c>
      <c r="J10688" t="str">
        <f t="shared" si="3903"/>
        <v>VA</v>
      </c>
      <c r="K10688" t="str">
        <f>T("7574927299")</f>
        <v>7574927299</v>
      </c>
      <c r="L10688" t="str">
        <f>T("7574926400")</f>
        <v>7574926400</v>
      </c>
    </row>
    <row r="10689" spans="1:12" x14ac:dyDescent="0.35">
      <c r="A10689" t="str">
        <f t="shared" si="3905"/>
        <v>CNRMA OCEANA</v>
      </c>
      <c r="B10689" t="str">
        <f t="shared" si="3909"/>
        <v>FIRE RESCUE DISTRICT 3</v>
      </c>
      <c r="C10689" t="str">
        <f t="shared" si="3910"/>
        <v>770 HORNET DRIVE BLDG 220</v>
      </c>
      <c r="D10689" t="str">
        <f t="shared" si="3907"/>
        <v>VIRGINIA BCH</v>
      </c>
      <c r="E10689" t="str">
        <f t="shared" si="3902"/>
        <v>VA</v>
      </c>
      <c r="F10689" t="str">
        <f t="shared" si="3911"/>
        <v>234602206</v>
      </c>
      <c r="G10689" t="str">
        <f>T("770 HORNET DRIVE")</f>
        <v>770 HORNET DRIVE</v>
      </c>
      <c r="H10689" t="str">
        <f>T("BLDG 220")</f>
        <v>BLDG 220</v>
      </c>
      <c r="I10689" t="str">
        <f t="shared" si="3908"/>
        <v>VIRGINIA BEACH</v>
      </c>
      <c r="J10689" t="str">
        <f t="shared" si="3903"/>
        <v>VA</v>
      </c>
      <c r="K10689" t="str">
        <f>T("7574927299")</f>
        <v>7574927299</v>
      </c>
      <c r="L10689" t="str">
        <f>T("7574926400")</f>
        <v>7574926400</v>
      </c>
    </row>
    <row r="10690" spans="1:12" x14ac:dyDescent="0.35">
      <c r="A10690" t="str">
        <f t="shared" si="3905"/>
        <v>CNRMA OCEANA</v>
      </c>
      <c r="B10690" t="str">
        <f t="shared" si="3909"/>
        <v>FIRE RESCUE DISTRICT 3</v>
      </c>
      <c r="C10690" t="str">
        <f t="shared" si="3910"/>
        <v>770 HORNET DRIVE BLDG 220</v>
      </c>
      <c r="D10690" t="str">
        <f t="shared" si="3907"/>
        <v>VIRGINIA BCH</v>
      </c>
      <c r="E10690" t="str">
        <f t="shared" si="3902"/>
        <v>VA</v>
      </c>
      <c r="F10690" t="str">
        <f t="shared" si="3911"/>
        <v>234602206</v>
      </c>
      <c r="G10690" t="str">
        <f>T("770 HORNET DRIVE BLDG 220")</f>
        <v>770 HORNET DRIVE BLDG 220</v>
      </c>
      <c r="H10690" t="str">
        <f>T("")</f>
        <v/>
      </c>
      <c r="I10690" t="str">
        <f t="shared" si="3908"/>
        <v>VIRGINIA BEACH</v>
      </c>
      <c r="J10690" t="str">
        <f t="shared" si="3903"/>
        <v>VA</v>
      </c>
      <c r="K10690" t="str">
        <f>T("7574332057")</f>
        <v>7574332057</v>
      </c>
      <c r="L10690" t="str">
        <f>T("7574332842")</f>
        <v>7574332842</v>
      </c>
    </row>
    <row r="10691" spans="1:12" x14ac:dyDescent="0.35">
      <c r="A10691" t="str">
        <f t="shared" si="3905"/>
        <v>CNRMA OCEANA</v>
      </c>
      <c r="B10691" t="str">
        <f t="shared" si="3909"/>
        <v>FIRE RESCUE DISTRICT 3</v>
      </c>
      <c r="C10691" t="str">
        <f t="shared" si="3910"/>
        <v>770 HORNET DRIVE BLDG 220</v>
      </c>
      <c r="D10691" t="str">
        <f t="shared" si="3907"/>
        <v>VIRGINIA BCH</v>
      </c>
      <c r="E10691" t="str">
        <f t="shared" si="3902"/>
        <v>VA</v>
      </c>
      <c r="F10691" t="str">
        <f t="shared" si="3911"/>
        <v>234602206</v>
      </c>
      <c r="G10691" t="str">
        <f>T("FIRE RESCUE DISTRICT 3")</f>
        <v>FIRE RESCUE DISTRICT 3</v>
      </c>
      <c r="H10691" t="str">
        <f>T("770 HORNET DRIVE BLDG 220")</f>
        <v>770 HORNET DRIVE BLDG 220</v>
      </c>
      <c r="I10691" t="str">
        <f>T("VIRGINIA BCH")</f>
        <v>VIRGINIA BCH</v>
      </c>
      <c r="J10691" t="str">
        <f t="shared" si="3903"/>
        <v>VA</v>
      </c>
      <c r="K10691" t="str">
        <f>T("7574332065")</f>
        <v>7574332065</v>
      </c>
      <c r="L10691" t="str">
        <f>T("7574333258")</f>
        <v>7574333258</v>
      </c>
    </row>
    <row r="10692" spans="1:12" x14ac:dyDescent="0.35">
      <c r="A10692" t="str">
        <f>T("NRMA")</f>
        <v>NRMA</v>
      </c>
      <c r="B10692" t="str">
        <f>T("7924 14TH STREET")</f>
        <v>7924 14TH STREET</v>
      </c>
      <c r="C10692" t="str">
        <f>T("")</f>
        <v/>
      </c>
      <c r="D10692" t="str">
        <f>T("NORFOLK")</f>
        <v>NORFOLK</v>
      </c>
      <c r="E10692" t="str">
        <f t="shared" si="3902"/>
        <v>VA</v>
      </c>
      <c r="F10692" t="str">
        <f>T("235051211")</f>
        <v>235051211</v>
      </c>
      <c r="G10692" t="str">
        <f>T("7924 14TH STREET")</f>
        <v>7924 14TH STREET</v>
      </c>
      <c r="H10692" t="str">
        <f>T("")</f>
        <v/>
      </c>
      <c r="I10692" t="str">
        <f>T("NORFOLK")</f>
        <v>NORFOLK</v>
      </c>
      <c r="J10692" t="str">
        <f t="shared" si="3903"/>
        <v>VA</v>
      </c>
      <c r="K10692" t="str">
        <f>T("000000000000000000")</f>
        <v>000000000000000000</v>
      </c>
      <c r="L10692" t="str">
        <f>T("7574452828")</f>
        <v>7574452828</v>
      </c>
    </row>
    <row r="10693" spans="1:12" x14ac:dyDescent="0.35">
      <c r="A10693" t="str">
        <f>T("NSA SARATOGA SPRINGS NY")</f>
        <v>NSA SARATOGA SPRINGS NY</v>
      </c>
      <c r="B10693" t="str">
        <f>T("19 J F KING DRIVE")</f>
        <v>19 J F KING DRIVE</v>
      </c>
      <c r="C10693" t="str">
        <f>T("")</f>
        <v/>
      </c>
      <c r="D10693" t="str">
        <f>T("SARATOGA SPRINGS")</f>
        <v>SARATOGA SPRINGS</v>
      </c>
      <c r="E10693" t="str">
        <f>T("NY")</f>
        <v>NY</v>
      </c>
      <c r="F10693" t="str">
        <f>T("128669267")</f>
        <v>128669267</v>
      </c>
      <c r="G10693" t="str">
        <f>T("19 J F KING DRIVE")</f>
        <v>19 J F KING DRIVE</v>
      </c>
      <c r="H10693" t="str">
        <f>T("")</f>
        <v/>
      </c>
      <c r="I10693" t="str">
        <f>T("SARATOGA SPRINGS")</f>
        <v>SARATOGA SPRINGS</v>
      </c>
      <c r="J10693" t="str">
        <f>T("NY")</f>
        <v>NY</v>
      </c>
      <c r="K10693" t="str">
        <f>T("000000000000000000")</f>
        <v>000000000000000000</v>
      </c>
      <c r="L10693" t="str">
        <f>T("5188860200")</f>
        <v>5188860200</v>
      </c>
    </row>
    <row r="10694" spans="1:12" x14ac:dyDescent="0.35">
      <c r="A10694" t="str">
        <f>T("NSA SARATOGA SPRINGS NY")</f>
        <v>NSA SARATOGA SPRINGS NY</v>
      </c>
      <c r="B10694" t="str">
        <f>T("19 JF KING DRIVE")</f>
        <v>19 JF KING DRIVE</v>
      </c>
      <c r="C10694" t="str">
        <f>T("")</f>
        <v/>
      </c>
      <c r="D10694" t="str">
        <f>T("SARATOGA SPRINGS")</f>
        <v>SARATOGA SPRINGS</v>
      </c>
      <c r="E10694" t="str">
        <f>T("NY")</f>
        <v>NY</v>
      </c>
      <c r="F10694" t="str">
        <f>T("128669267")</f>
        <v>128669267</v>
      </c>
      <c r="G10694" t="str">
        <f>T("19 JF KING DRIVE")</f>
        <v>19 JF KING DRIVE</v>
      </c>
      <c r="H10694" t="str">
        <f>T("")</f>
        <v/>
      </c>
      <c r="I10694" t="str">
        <f>T("SARATOGA SPRINGS")</f>
        <v>SARATOGA SPRINGS</v>
      </c>
      <c r="J10694" t="str">
        <f>T("NY")</f>
        <v>NY</v>
      </c>
      <c r="K10694" t="str">
        <f>T("000000000000000000")</f>
        <v>000000000000000000</v>
      </c>
      <c r="L10694" t="str">
        <f>T("5188860200")</f>
        <v>5188860200</v>
      </c>
    </row>
    <row r="10695" spans="1:12" x14ac:dyDescent="0.35">
      <c r="A10695" t="str">
        <f>T("NSA SARATOGA SPRINGS NY")</f>
        <v>NSA SARATOGA SPRINGS NY</v>
      </c>
      <c r="B10695" t="str">
        <f>T("19 JF KING DRIVE")</f>
        <v>19 JF KING DRIVE</v>
      </c>
      <c r="C10695" t="str">
        <f>T("")</f>
        <v/>
      </c>
      <c r="D10695" t="str">
        <f>T("SARATOGA SPRINGS")</f>
        <v>SARATOGA SPRINGS</v>
      </c>
      <c r="E10695" t="str">
        <f>T("NY")</f>
        <v>NY</v>
      </c>
      <c r="F10695" t="str">
        <f>T("128669267")</f>
        <v>128669267</v>
      </c>
      <c r="G10695" t="str">
        <f>T("19 JF KING DRIVE")</f>
        <v>19 JF KING DRIVE</v>
      </c>
      <c r="H10695" t="str">
        <f>T("")</f>
        <v/>
      </c>
      <c r="I10695" t="str">
        <f>T("SARATOGA SPRINGS")</f>
        <v>SARATOGA SPRINGS</v>
      </c>
      <c r="J10695" t="str">
        <f>T("NY")</f>
        <v>NY</v>
      </c>
      <c r="K10695" t="str">
        <f>T("015188860200")</f>
        <v>015188860200</v>
      </c>
      <c r="L10695" t="str">
        <f>T("5188860200")</f>
        <v>5188860200</v>
      </c>
    </row>
    <row r="10696" spans="1:12" x14ac:dyDescent="0.35">
      <c r="A10696" t="str">
        <f>T("NSA SARATOGA SPRINGS NY")</f>
        <v>NSA SARATOGA SPRINGS NY</v>
      </c>
      <c r="B10696" t="str">
        <f>T("19 JF KING DRIVE")</f>
        <v>19 JF KING DRIVE</v>
      </c>
      <c r="C10696" t="str">
        <f>T("")</f>
        <v/>
      </c>
      <c r="D10696" t="str">
        <f>T("SARATOGA SPRINGS")</f>
        <v>SARATOGA SPRINGS</v>
      </c>
      <c r="E10696" t="str">
        <f>T("NY")</f>
        <v>NY</v>
      </c>
      <c r="F10696" t="str">
        <f>T("128669267")</f>
        <v>128669267</v>
      </c>
      <c r="G10696" t="str">
        <f>T("19 JF KING DRIVE")</f>
        <v>19 JF KING DRIVE</v>
      </c>
      <c r="H10696" t="str">
        <f>T("")</f>
        <v/>
      </c>
      <c r="I10696" t="str">
        <f>T("SARATOGA SPRINGS")</f>
        <v>SARATOGA SPRINGS</v>
      </c>
      <c r="J10696" t="str">
        <f>T("NY")</f>
        <v>NY</v>
      </c>
      <c r="K10696" t="str">
        <f>T("518-886-0121")</f>
        <v>518-886-0121</v>
      </c>
      <c r="L10696" t="str">
        <f>T("5188860800")</f>
        <v>5188860800</v>
      </c>
    </row>
    <row r="10697" spans="1:12" x14ac:dyDescent="0.35">
      <c r="A10697" t="str">
        <f t="shared" ref="A10697:A10704" si="3912">T("NSA CRANE")</f>
        <v>NSA CRANE</v>
      </c>
      <c r="B10697" t="str">
        <f>T("NSA CRANE ADMIN")</f>
        <v>NSA CRANE ADMIN</v>
      </c>
      <c r="C10697" t="str">
        <f>T("300 HWY 361, BLDG 3219")</f>
        <v>300 HWY 361, BLDG 3219</v>
      </c>
      <c r="D10697" t="str">
        <f t="shared" ref="D10697:D10704" si="3913">T("CRANE")</f>
        <v>CRANE</v>
      </c>
      <c r="E10697" t="str">
        <f t="shared" ref="E10697:E10704" si="3914">T("IN")</f>
        <v>IN</v>
      </c>
      <c r="F10697" t="str">
        <f>T("475224000")</f>
        <v>475224000</v>
      </c>
      <c r="G10697" t="str">
        <f>T("300 HWY 361")</f>
        <v>300 HWY 361</v>
      </c>
      <c r="H10697" t="str">
        <f>T("BLDG 3219")</f>
        <v>BLDG 3219</v>
      </c>
      <c r="I10697" t="str">
        <f t="shared" ref="I10697:I10704" si="3915">T("CRANE")</f>
        <v>CRANE</v>
      </c>
      <c r="J10697" t="str">
        <f t="shared" ref="J10697:J10704" si="3916">T("IN")</f>
        <v>IN</v>
      </c>
      <c r="K10697" t="str">
        <f t="shared" ref="K10697:K10710" si="3917">T("000000000000000000")</f>
        <v>000000000000000000</v>
      </c>
      <c r="L10697" t="str">
        <f>T("8128546387")</f>
        <v>8128546387</v>
      </c>
    </row>
    <row r="10698" spans="1:12" x14ac:dyDescent="0.35">
      <c r="A10698" t="str">
        <f t="shared" si="3912"/>
        <v>NSA CRANE</v>
      </c>
      <c r="B10698" t="str">
        <f>T("NSA CRANE ADMIN")</f>
        <v>NSA CRANE ADMIN</v>
      </c>
      <c r="C10698" t="str">
        <f>T("300 HWY 361, BLDG 3219")</f>
        <v>300 HWY 361, BLDG 3219</v>
      </c>
      <c r="D10698" t="str">
        <f t="shared" si="3913"/>
        <v>CRANE</v>
      </c>
      <c r="E10698" t="str">
        <f t="shared" si="3914"/>
        <v>IN</v>
      </c>
      <c r="F10698" t="str">
        <f>T("475224000")</f>
        <v>475224000</v>
      </c>
      <c r="G10698" t="str">
        <f>T("NSA CRANE ADMIN")</f>
        <v>NSA CRANE ADMIN</v>
      </c>
      <c r="H10698" t="str">
        <f>T("300 HWY 361, BLDG 3219")</f>
        <v>300 HWY 361, BLDG 3219</v>
      </c>
      <c r="I10698" t="str">
        <f t="shared" si="3915"/>
        <v>CRANE</v>
      </c>
      <c r="J10698" t="str">
        <f t="shared" si="3916"/>
        <v>IN</v>
      </c>
      <c r="K10698" t="str">
        <f t="shared" si="3917"/>
        <v>000000000000000000</v>
      </c>
      <c r="L10698" t="str">
        <f>T("8128543444")</f>
        <v>8128543444</v>
      </c>
    </row>
    <row r="10699" spans="1:12" x14ac:dyDescent="0.35">
      <c r="A10699" t="str">
        <f t="shared" si="3912"/>
        <v>NSA CRANE</v>
      </c>
      <c r="B10699" t="str">
        <f>T("NSA CRANE FIRE DEPT")</f>
        <v>NSA CRANE FIRE DEPT</v>
      </c>
      <c r="C10699" t="str">
        <f>T("300 HWY 361, BLDG 10")</f>
        <v>300 HWY 361, BLDG 10</v>
      </c>
      <c r="D10699" t="str">
        <f t="shared" si="3913"/>
        <v>CRANE</v>
      </c>
      <c r="E10699" t="str">
        <f t="shared" si="3914"/>
        <v>IN</v>
      </c>
      <c r="F10699" t="str">
        <f>T("475224000")</f>
        <v>475224000</v>
      </c>
      <c r="G10699" t="str">
        <f>T("300 HIGHWAY 361")</f>
        <v>300 HIGHWAY 361</v>
      </c>
      <c r="H10699" t="str">
        <f>T("BUILDING 10FD")</f>
        <v>BUILDING 10FD</v>
      </c>
      <c r="I10699" t="str">
        <f t="shared" si="3915"/>
        <v>CRANE</v>
      </c>
      <c r="J10699" t="str">
        <f t="shared" si="3916"/>
        <v>IN</v>
      </c>
      <c r="K10699" t="str">
        <f t="shared" si="3917"/>
        <v>000000000000000000</v>
      </c>
      <c r="L10699" t="str">
        <f>T("8128542204")</f>
        <v>8128542204</v>
      </c>
    </row>
    <row r="10700" spans="1:12" x14ac:dyDescent="0.35">
      <c r="A10700" t="str">
        <f t="shared" si="3912"/>
        <v>NSA CRANE</v>
      </c>
      <c r="B10700" t="str">
        <f>T("NSA CRANE FIRE DEPT")</f>
        <v>NSA CRANE FIRE DEPT</v>
      </c>
      <c r="C10700" t="str">
        <f>T("300 HWY 361, BLDG 10")</f>
        <v>300 HWY 361, BLDG 10</v>
      </c>
      <c r="D10700" t="str">
        <f t="shared" si="3913"/>
        <v>CRANE</v>
      </c>
      <c r="E10700" t="str">
        <f t="shared" si="3914"/>
        <v>IN</v>
      </c>
      <c r="F10700" t="str">
        <f>T("475224000")</f>
        <v>475224000</v>
      </c>
      <c r="G10700" t="str">
        <f>T("NSA CRANE FIRE DEPT")</f>
        <v>NSA CRANE FIRE DEPT</v>
      </c>
      <c r="H10700" t="str">
        <f>T("300 HWY 361, BLDG 10")</f>
        <v>300 HWY 361, BLDG 10</v>
      </c>
      <c r="I10700" t="str">
        <f t="shared" si="3915"/>
        <v>CRANE</v>
      </c>
      <c r="J10700" t="str">
        <f t="shared" si="3916"/>
        <v>IN</v>
      </c>
      <c r="K10700" t="str">
        <f t="shared" si="3917"/>
        <v>000000000000000000</v>
      </c>
      <c r="L10700" t="str">
        <f>T("8128544637")</f>
        <v>8128544637</v>
      </c>
    </row>
    <row r="10701" spans="1:12" x14ac:dyDescent="0.35">
      <c r="A10701" t="str">
        <f t="shared" si="3912"/>
        <v>NSA CRANE</v>
      </c>
      <c r="B10701" t="str">
        <f>T("NSA CRANE SAFETY")</f>
        <v>NSA CRANE SAFETY</v>
      </c>
      <c r="C10701" t="str">
        <f>T("NSA CRANE CODE N-35 BLDG 3219")</f>
        <v>NSA CRANE CODE N-35 BLDG 3219</v>
      </c>
      <c r="D10701" t="str">
        <f t="shared" si="3913"/>
        <v>CRANE</v>
      </c>
      <c r="E10701" t="str">
        <f t="shared" si="3914"/>
        <v>IN</v>
      </c>
      <c r="F10701" t="str">
        <f>T("475220000")</f>
        <v>475220000</v>
      </c>
      <c r="G10701" t="str">
        <f>T("300 HIGHWAY 361")</f>
        <v>300 HIGHWAY 361</v>
      </c>
      <c r="H10701" t="str">
        <f>T("BUILDING 3219")</f>
        <v>BUILDING 3219</v>
      </c>
      <c r="I10701" t="str">
        <f t="shared" si="3915"/>
        <v>CRANE</v>
      </c>
      <c r="J10701" t="str">
        <f t="shared" si="3916"/>
        <v>IN</v>
      </c>
      <c r="K10701" t="str">
        <f t="shared" si="3917"/>
        <v>000000000000000000</v>
      </c>
      <c r="L10701" t="str">
        <f>T("8128543444")</f>
        <v>8128543444</v>
      </c>
    </row>
    <row r="10702" spans="1:12" x14ac:dyDescent="0.35">
      <c r="A10702" t="str">
        <f t="shared" si="3912"/>
        <v>NSA CRANE</v>
      </c>
      <c r="B10702" t="str">
        <f>T("NSA CRANE SAFETY")</f>
        <v>NSA CRANE SAFETY</v>
      </c>
      <c r="C10702" t="str">
        <f>T("NSA CRANE CODE N-35 BLDG 3219")</f>
        <v>NSA CRANE CODE N-35 BLDG 3219</v>
      </c>
      <c r="D10702" t="str">
        <f t="shared" si="3913"/>
        <v>CRANE</v>
      </c>
      <c r="E10702" t="str">
        <f t="shared" si="3914"/>
        <v>IN</v>
      </c>
      <c r="F10702" t="str">
        <f>T("475220000")</f>
        <v>475220000</v>
      </c>
      <c r="G10702" t="str">
        <f>T("NSA CRANE SAFETY")</f>
        <v>NSA CRANE SAFETY</v>
      </c>
      <c r="H10702" t="str">
        <f>T("NSA CRANE CODE N-35 BLDG 3219")</f>
        <v>NSA CRANE CODE N-35 BLDG 3219</v>
      </c>
      <c r="I10702" t="str">
        <f t="shared" si="3915"/>
        <v>CRANE</v>
      </c>
      <c r="J10702" t="str">
        <f t="shared" si="3916"/>
        <v>IN</v>
      </c>
      <c r="K10702" t="str">
        <f t="shared" si="3917"/>
        <v>000000000000000000</v>
      </c>
      <c r="L10702" t="str">
        <f>T("8128543444")</f>
        <v>8128543444</v>
      </c>
    </row>
    <row r="10703" spans="1:12" x14ac:dyDescent="0.35">
      <c r="A10703" t="str">
        <f t="shared" si="3912"/>
        <v>NSA CRANE</v>
      </c>
      <c r="B10703" t="str">
        <f>T("NSA CRANE SECURITY")</f>
        <v>NSA CRANE SECURITY</v>
      </c>
      <c r="C10703" t="str">
        <f>T("300 HWY 361")</f>
        <v>300 HWY 361</v>
      </c>
      <c r="D10703" t="str">
        <f t="shared" si="3913"/>
        <v>CRANE</v>
      </c>
      <c r="E10703" t="str">
        <f t="shared" si="3914"/>
        <v>IN</v>
      </c>
      <c r="F10703" t="str">
        <f>T("475224000")</f>
        <v>475224000</v>
      </c>
      <c r="G10703" t="str">
        <f>T("300 HIGHWAY 361")</f>
        <v>300 HIGHWAY 361</v>
      </c>
      <c r="H10703" t="str">
        <f>T("BUILDING 11")</f>
        <v>BUILDING 11</v>
      </c>
      <c r="I10703" t="str">
        <f t="shared" si="3915"/>
        <v>CRANE</v>
      </c>
      <c r="J10703" t="str">
        <f t="shared" si="3916"/>
        <v>IN</v>
      </c>
      <c r="K10703" t="str">
        <f t="shared" si="3917"/>
        <v>000000000000000000</v>
      </c>
      <c r="L10703" t="str">
        <f>T("8128548295")</f>
        <v>8128548295</v>
      </c>
    </row>
    <row r="10704" spans="1:12" x14ac:dyDescent="0.35">
      <c r="A10704" t="str">
        <f t="shared" si="3912"/>
        <v>NSA CRANE</v>
      </c>
      <c r="B10704" t="str">
        <f>T("NSA CRANE SECURITY")</f>
        <v>NSA CRANE SECURITY</v>
      </c>
      <c r="C10704" t="str">
        <f>T("300 HWY 361")</f>
        <v>300 HWY 361</v>
      </c>
      <c r="D10704" t="str">
        <f t="shared" si="3913"/>
        <v>CRANE</v>
      </c>
      <c r="E10704" t="str">
        <f t="shared" si="3914"/>
        <v>IN</v>
      </c>
      <c r="F10704" t="str">
        <f>T("475224000")</f>
        <v>475224000</v>
      </c>
      <c r="G10704" t="str">
        <f>T("NSA CRANE SECURITY")</f>
        <v>NSA CRANE SECURITY</v>
      </c>
      <c r="H10704" t="str">
        <f>T("300 HWY 361")</f>
        <v>300 HWY 361</v>
      </c>
      <c r="I10704" t="str">
        <f t="shared" si="3915"/>
        <v>CRANE</v>
      </c>
      <c r="J10704" t="str">
        <f t="shared" si="3916"/>
        <v>IN</v>
      </c>
      <c r="K10704" t="str">
        <f t="shared" si="3917"/>
        <v>000000000000000000</v>
      </c>
      <c r="L10704" t="str">
        <f>T("8128545642")</f>
        <v>8128545642</v>
      </c>
    </row>
    <row r="10705" spans="1:12" x14ac:dyDescent="0.35">
      <c r="A10705" t="str">
        <f>T("PWPH MAINE")</f>
        <v>PWPH MAINE</v>
      </c>
      <c r="B10705" t="str">
        <f>T("115 LIGHTHOUSE POINT RD")</f>
        <v>115 LIGHTHOUSE POINT RD</v>
      </c>
      <c r="C10705" t="str">
        <f>T("")</f>
        <v/>
      </c>
      <c r="D10705" t="str">
        <f>T("PROSPECT HARBOR")</f>
        <v>PROSPECT HARBOR</v>
      </c>
      <c r="E10705" t="str">
        <f>T("ME")</f>
        <v>ME</v>
      </c>
      <c r="F10705" t="str">
        <f>T("046695027")</f>
        <v>046695027</v>
      </c>
      <c r="G10705" t="str">
        <f>T("115 LIGHTHOUSE POINT RD")</f>
        <v>115 LIGHTHOUSE POINT RD</v>
      </c>
      <c r="H10705" t="str">
        <f>T("")</f>
        <v/>
      </c>
      <c r="I10705" t="str">
        <f>T("PROSPECT HARBOR")</f>
        <v>PROSPECT HARBOR</v>
      </c>
      <c r="J10705" t="str">
        <f>T("ME")</f>
        <v>ME</v>
      </c>
      <c r="K10705" t="str">
        <f t="shared" si="3917"/>
        <v>000000000000000000</v>
      </c>
      <c r="L10705" t="str">
        <f>T("2079634080")</f>
        <v>2079634080</v>
      </c>
    </row>
    <row r="10706" spans="1:12" x14ac:dyDescent="0.35">
      <c r="A10706" t="str">
        <f t="shared" ref="A10706:A10737" si="3918">T("COMNAVREG MIDLANT")</f>
        <v>COMNAVREG MIDLANT</v>
      </c>
      <c r="B10706" t="str">
        <f>T("1 SIMONPIRTRI DR")</f>
        <v>1 SIMONPIRTRI DR</v>
      </c>
      <c r="C10706" t="str">
        <f>T("")</f>
        <v/>
      </c>
      <c r="D10706" t="str">
        <f>T("NEWPORT")</f>
        <v>NEWPORT</v>
      </c>
      <c r="E10706" t="str">
        <f>T("RI")</f>
        <v>RI</v>
      </c>
      <c r="F10706" t="str">
        <f>T("028411714")</f>
        <v>028411714</v>
      </c>
      <c r="G10706" t="str">
        <f>T("1 SIMONPIETRI DR")</f>
        <v>1 SIMONPIETRI DR</v>
      </c>
      <c r="H10706" t="str">
        <f>T("")</f>
        <v/>
      </c>
      <c r="I10706" t="str">
        <f>T("NEWPORT")</f>
        <v>NEWPORT</v>
      </c>
      <c r="J10706" t="str">
        <f>T("RI")</f>
        <v>RI</v>
      </c>
      <c r="K10706" t="str">
        <f t="shared" si="3917"/>
        <v>000000000000000000</v>
      </c>
      <c r="L10706" t="str">
        <f>T("4018417627")</f>
        <v>4018417627</v>
      </c>
    </row>
    <row r="10707" spans="1:12" x14ac:dyDescent="0.35">
      <c r="A10707" t="str">
        <f t="shared" si="3918"/>
        <v>COMNAVREG MIDLANT</v>
      </c>
      <c r="B10707" t="str">
        <f>T("1 SIMONPIRTRI DR")</f>
        <v>1 SIMONPIRTRI DR</v>
      </c>
      <c r="C10707" t="str">
        <f>T("")</f>
        <v/>
      </c>
      <c r="D10707" t="str">
        <f>T("NEWPORT")</f>
        <v>NEWPORT</v>
      </c>
      <c r="E10707" t="str">
        <f>T("RI")</f>
        <v>RI</v>
      </c>
      <c r="F10707" t="str">
        <f>T("028411714")</f>
        <v>028411714</v>
      </c>
      <c r="G10707" t="str">
        <f>T("1 SIMONPIRTRI DR")</f>
        <v>1 SIMONPIRTRI DR</v>
      </c>
      <c r="H10707" t="str">
        <f>T("")</f>
        <v/>
      </c>
      <c r="I10707" t="str">
        <f>T("NEWPORT")</f>
        <v>NEWPORT</v>
      </c>
      <c r="J10707" t="str">
        <f>T("RI")</f>
        <v>RI</v>
      </c>
      <c r="K10707" t="str">
        <f t="shared" si="3917"/>
        <v>000000000000000000</v>
      </c>
      <c r="L10707" t="str">
        <f>T("4018417756")</f>
        <v>4018417756</v>
      </c>
    </row>
    <row r="10708" spans="1:12" x14ac:dyDescent="0.35">
      <c r="A10708" t="str">
        <f t="shared" si="3918"/>
        <v>COMNAVREG MIDLANT</v>
      </c>
      <c r="B10708" t="str">
        <f>T("1 ST BUILDING CEP57")</f>
        <v>1 ST BUILDING CEP57</v>
      </c>
      <c r="C10708" t="str">
        <f>T("")</f>
        <v/>
      </c>
      <c r="D10708" t="str">
        <f t="shared" ref="D10708:D10745" si="3919">T("NORFOLK")</f>
        <v>NORFOLK</v>
      </c>
      <c r="E10708" t="str">
        <f t="shared" ref="E10708:E10745" si="3920">T("VA")</f>
        <v>VA</v>
      </c>
      <c r="F10708" t="str">
        <f>T("235110000")</f>
        <v>235110000</v>
      </c>
      <c r="G10708" t="str">
        <f>T("1 ST BUILDING CEP57")</f>
        <v>1 ST BUILDING CEP57</v>
      </c>
      <c r="H10708" t="str">
        <f>T("")</f>
        <v/>
      </c>
      <c r="I10708" t="str">
        <f t="shared" ref="I10708:I10722" si="3921">T("NORFOLK")</f>
        <v>NORFOLK</v>
      </c>
      <c r="J10708" t="str">
        <f t="shared" ref="J10708:J10722" si="3922">T("VA")</f>
        <v>VA</v>
      </c>
      <c r="K10708" t="str">
        <f t="shared" si="3917"/>
        <v>000000000000000000</v>
      </c>
      <c r="L10708" t="str">
        <f>T("7574440698")</f>
        <v>7574440698</v>
      </c>
    </row>
    <row r="10709" spans="1:12" x14ac:dyDescent="0.35">
      <c r="A10709" t="str">
        <f t="shared" si="3918"/>
        <v>COMNAVREG MIDLANT</v>
      </c>
      <c r="B10709" t="str">
        <f>T("1221 BELLINGER BLVD")</f>
        <v>1221 BELLINGER BLVD</v>
      </c>
      <c r="C10709" t="str">
        <f>T("BLDG U111 NAVAL STATION NORFOLK")</f>
        <v>BLDG U111 NAVAL STATION NORFOLK</v>
      </c>
      <c r="D10709" t="str">
        <f t="shared" si="3919"/>
        <v>NORFOLK</v>
      </c>
      <c r="E10709" t="str">
        <f t="shared" si="3920"/>
        <v>VA</v>
      </c>
      <c r="F10709" t="str">
        <f>T("235112311")</f>
        <v>235112311</v>
      </c>
      <c r="G10709" t="str">
        <f>T("1221 BELLINGER BLVD")</f>
        <v>1221 BELLINGER BLVD</v>
      </c>
      <c r="H10709" t="str">
        <f>T("BLDG U111 NAVAL STATION NORFOLK")</f>
        <v>BLDG U111 NAVAL STATION NORFOLK</v>
      </c>
      <c r="I10709" t="str">
        <f t="shared" si="3921"/>
        <v>NORFOLK</v>
      </c>
      <c r="J10709" t="str">
        <f t="shared" si="3922"/>
        <v>VA</v>
      </c>
      <c r="K10709" t="str">
        <f t="shared" si="3917"/>
        <v>000000000000000000</v>
      </c>
      <c r="L10709" t="str">
        <f>T("7574450371")</f>
        <v>7574450371</v>
      </c>
    </row>
    <row r="10710" spans="1:12" x14ac:dyDescent="0.35">
      <c r="A10710" t="str">
        <f t="shared" si="3918"/>
        <v>COMNAVREG MIDLANT</v>
      </c>
      <c r="B10710" t="str">
        <f t="shared" ref="B10710:B10738" si="3923">T("1510 GILBERT ST")</f>
        <v>1510 GILBERT ST</v>
      </c>
      <c r="C10710" t="str">
        <f t="shared" ref="C10710:C10723" si="3924">T("")</f>
        <v/>
      </c>
      <c r="D10710" t="str">
        <f t="shared" si="3919"/>
        <v>NORFOLK</v>
      </c>
      <c r="E10710" t="str">
        <f t="shared" si="3920"/>
        <v>VA</v>
      </c>
      <c r="F10710" t="str">
        <f t="shared" ref="F10710:F10740" si="3925">T("235112738")</f>
        <v>235112738</v>
      </c>
      <c r="G10710" t="str">
        <f>T("1501 GILBERT ST")</f>
        <v>1501 GILBERT ST</v>
      </c>
      <c r="H10710" t="str">
        <f>T("BUILDING N21")</f>
        <v>BUILDING N21</v>
      </c>
      <c r="I10710" t="str">
        <f t="shared" si="3921"/>
        <v>NORFOLK</v>
      </c>
      <c r="J10710" t="str">
        <f t="shared" si="3922"/>
        <v>VA</v>
      </c>
      <c r="K10710" t="str">
        <f t="shared" si="3917"/>
        <v>000000000000000000</v>
      </c>
      <c r="L10710" t="str">
        <f>T("7574446307")</f>
        <v>7574446307</v>
      </c>
    </row>
    <row r="10711" spans="1:12" x14ac:dyDescent="0.35">
      <c r="A10711" t="str">
        <f t="shared" si="3918"/>
        <v>COMNAVREG MIDLANT</v>
      </c>
      <c r="B10711" t="str">
        <f t="shared" si="3923"/>
        <v>1510 GILBERT ST</v>
      </c>
      <c r="C10711" t="str">
        <f t="shared" si="3924"/>
        <v/>
      </c>
      <c r="D10711" t="str">
        <f t="shared" si="3919"/>
        <v>NORFOLK</v>
      </c>
      <c r="E10711" t="str">
        <f t="shared" si="3920"/>
        <v>VA</v>
      </c>
      <c r="F10711" t="str">
        <f t="shared" si="3925"/>
        <v>235112738</v>
      </c>
      <c r="G10711" t="str">
        <f t="shared" ref="G10711:G10720" si="3926">T("1510 GILBERT ST")</f>
        <v>1510 GILBERT ST</v>
      </c>
      <c r="H10711" t="str">
        <f t="shared" ref="H10711:H10719" si="3927">T("")</f>
        <v/>
      </c>
      <c r="I10711" t="str">
        <f t="shared" si="3921"/>
        <v>NORFOLK</v>
      </c>
      <c r="J10711" t="str">
        <f t="shared" si="3922"/>
        <v>VA</v>
      </c>
      <c r="K10711" t="str">
        <f>T("")</f>
        <v/>
      </c>
      <c r="L10711" t="str">
        <f>T("7573222326")</f>
        <v>7573222326</v>
      </c>
    </row>
    <row r="10712" spans="1:12" x14ac:dyDescent="0.35">
      <c r="A10712" t="str">
        <f t="shared" si="3918"/>
        <v>COMNAVREG MIDLANT</v>
      </c>
      <c r="B10712" t="str">
        <f t="shared" si="3923"/>
        <v>1510 GILBERT ST</v>
      </c>
      <c r="C10712" t="str">
        <f t="shared" si="3924"/>
        <v/>
      </c>
      <c r="D10712" t="str">
        <f t="shared" si="3919"/>
        <v>NORFOLK</v>
      </c>
      <c r="E10712" t="str">
        <f t="shared" si="3920"/>
        <v>VA</v>
      </c>
      <c r="F10712" t="str">
        <f t="shared" si="3925"/>
        <v>235112738</v>
      </c>
      <c r="G10712" t="str">
        <f t="shared" si="3926"/>
        <v>1510 GILBERT ST</v>
      </c>
      <c r="H10712" t="str">
        <f t="shared" si="3927"/>
        <v/>
      </c>
      <c r="I10712" t="str">
        <f t="shared" si="3921"/>
        <v>NORFOLK</v>
      </c>
      <c r="J10712" t="str">
        <f t="shared" si="3922"/>
        <v>VA</v>
      </c>
      <c r="K10712" t="str">
        <f>T("")</f>
        <v/>
      </c>
      <c r="L10712" t="str">
        <f>T("7574454995")</f>
        <v>7574454995</v>
      </c>
    </row>
    <row r="10713" spans="1:12" x14ac:dyDescent="0.35">
      <c r="A10713" t="str">
        <f t="shared" si="3918"/>
        <v>COMNAVREG MIDLANT</v>
      </c>
      <c r="B10713" t="str">
        <f t="shared" si="3923"/>
        <v>1510 GILBERT ST</v>
      </c>
      <c r="C10713" t="str">
        <f t="shared" si="3924"/>
        <v/>
      </c>
      <c r="D10713" t="str">
        <f t="shared" si="3919"/>
        <v>NORFOLK</v>
      </c>
      <c r="E10713" t="str">
        <f t="shared" si="3920"/>
        <v>VA</v>
      </c>
      <c r="F10713" t="str">
        <f t="shared" si="3925"/>
        <v>235112738</v>
      </c>
      <c r="G10713" t="str">
        <f t="shared" si="3926"/>
        <v>1510 GILBERT ST</v>
      </c>
      <c r="H10713" t="str">
        <f t="shared" si="3927"/>
        <v/>
      </c>
      <c r="I10713" t="str">
        <f t="shared" si="3921"/>
        <v>NORFOLK</v>
      </c>
      <c r="J10713" t="str">
        <f t="shared" si="3922"/>
        <v>VA</v>
      </c>
      <c r="K10713" t="str">
        <f t="shared" ref="K10713:K10720" si="3928">T("000000000000000000")</f>
        <v>000000000000000000</v>
      </c>
      <c r="L10713" t="str">
        <f>T("1111111111")</f>
        <v>1111111111</v>
      </c>
    </row>
    <row r="10714" spans="1:12" x14ac:dyDescent="0.35">
      <c r="A10714" t="str">
        <f t="shared" si="3918"/>
        <v>COMNAVREG MIDLANT</v>
      </c>
      <c r="B10714" t="str">
        <f t="shared" si="3923"/>
        <v>1510 GILBERT ST</v>
      </c>
      <c r="C10714" t="str">
        <f t="shared" si="3924"/>
        <v/>
      </c>
      <c r="D10714" t="str">
        <f t="shared" si="3919"/>
        <v>NORFOLK</v>
      </c>
      <c r="E10714" t="str">
        <f t="shared" si="3920"/>
        <v>VA</v>
      </c>
      <c r="F10714" t="str">
        <f t="shared" si="3925"/>
        <v>235112738</v>
      </c>
      <c r="G10714" t="str">
        <f t="shared" si="3926"/>
        <v>1510 GILBERT ST</v>
      </c>
      <c r="H10714" t="str">
        <f t="shared" si="3927"/>
        <v/>
      </c>
      <c r="I10714" t="str">
        <f t="shared" si="3921"/>
        <v>NORFOLK</v>
      </c>
      <c r="J10714" t="str">
        <f t="shared" si="3922"/>
        <v>VA</v>
      </c>
      <c r="K10714" t="str">
        <f t="shared" si="3928"/>
        <v>000000000000000000</v>
      </c>
      <c r="L10714" t="str">
        <f>T("7573222381")</f>
        <v>7573222381</v>
      </c>
    </row>
    <row r="10715" spans="1:12" x14ac:dyDescent="0.35">
      <c r="A10715" t="str">
        <f t="shared" si="3918"/>
        <v>COMNAVREG MIDLANT</v>
      </c>
      <c r="B10715" t="str">
        <f t="shared" si="3923"/>
        <v>1510 GILBERT ST</v>
      </c>
      <c r="C10715" t="str">
        <f t="shared" si="3924"/>
        <v/>
      </c>
      <c r="D10715" t="str">
        <f t="shared" si="3919"/>
        <v>NORFOLK</v>
      </c>
      <c r="E10715" t="str">
        <f t="shared" si="3920"/>
        <v>VA</v>
      </c>
      <c r="F10715" t="str">
        <f t="shared" si="3925"/>
        <v>235112738</v>
      </c>
      <c r="G10715" t="str">
        <f t="shared" si="3926"/>
        <v>1510 GILBERT ST</v>
      </c>
      <c r="H10715" t="str">
        <f t="shared" si="3927"/>
        <v/>
      </c>
      <c r="I10715" t="str">
        <f t="shared" si="3921"/>
        <v>NORFOLK</v>
      </c>
      <c r="J10715" t="str">
        <f t="shared" si="3922"/>
        <v>VA</v>
      </c>
      <c r="K10715" t="str">
        <f t="shared" si="3928"/>
        <v>000000000000000000</v>
      </c>
      <c r="L10715" t="str">
        <f>T("7573223111")</f>
        <v>7573223111</v>
      </c>
    </row>
    <row r="10716" spans="1:12" x14ac:dyDescent="0.35">
      <c r="A10716" t="str">
        <f t="shared" si="3918"/>
        <v>COMNAVREG MIDLANT</v>
      </c>
      <c r="B10716" t="str">
        <f t="shared" si="3923"/>
        <v>1510 GILBERT ST</v>
      </c>
      <c r="C10716" t="str">
        <f t="shared" si="3924"/>
        <v/>
      </c>
      <c r="D10716" t="str">
        <f t="shared" si="3919"/>
        <v>NORFOLK</v>
      </c>
      <c r="E10716" t="str">
        <f t="shared" si="3920"/>
        <v>VA</v>
      </c>
      <c r="F10716" t="str">
        <f t="shared" si="3925"/>
        <v>235112738</v>
      </c>
      <c r="G10716" t="str">
        <f t="shared" si="3926"/>
        <v>1510 GILBERT ST</v>
      </c>
      <c r="H10716" t="str">
        <f t="shared" si="3927"/>
        <v/>
      </c>
      <c r="I10716" t="str">
        <f t="shared" si="3921"/>
        <v>NORFOLK</v>
      </c>
      <c r="J10716" t="str">
        <f t="shared" si="3922"/>
        <v>VA</v>
      </c>
      <c r="K10716" t="str">
        <f t="shared" si="3928"/>
        <v>000000000000000000</v>
      </c>
      <c r="L10716" t="str">
        <f>T("7573223154")</f>
        <v>7573223154</v>
      </c>
    </row>
    <row r="10717" spans="1:12" x14ac:dyDescent="0.35">
      <c r="A10717" t="str">
        <f t="shared" si="3918"/>
        <v>COMNAVREG MIDLANT</v>
      </c>
      <c r="B10717" t="str">
        <f t="shared" si="3923"/>
        <v>1510 GILBERT ST</v>
      </c>
      <c r="C10717" t="str">
        <f t="shared" si="3924"/>
        <v/>
      </c>
      <c r="D10717" t="str">
        <f t="shared" si="3919"/>
        <v>NORFOLK</v>
      </c>
      <c r="E10717" t="str">
        <f t="shared" si="3920"/>
        <v>VA</v>
      </c>
      <c r="F10717" t="str">
        <f t="shared" si="3925"/>
        <v>235112738</v>
      </c>
      <c r="G10717" t="str">
        <f t="shared" si="3926"/>
        <v>1510 GILBERT ST</v>
      </c>
      <c r="H10717" t="str">
        <f t="shared" si="3927"/>
        <v/>
      </c>
      <c r="I10717" t="str">
        <f t="shared" si="3921"/>
        <v>NORFOLK</v>
      </c>
      <c r="J10717" t="str">
        <f t="shared" si="3922"/>
        <v>VA</v>
      </c>
      <c r="K10717" t="str">
        <f t="shared" si="3928"/>
        <v>000000000000000000</v>
      </c>
      <c r="L10717" t="str">
        <f>T("7574444257")</f>
        <v>7574444257</v>
      </c>
    </row>
    <row r="10718" spans="1:12" x14ac:dyDescent="0.35">
      <c r="A10718" t="str">
        <f t="shared" si="3918"/>
        <v>COMNAVREG MIDLANT</v>
      </c>
      <c r="B10718" t="str">
        <f t="shared" si="3923"/>
        <v>1510 GILBERT ST</v>
      </c>
      <c r="C10718" t="str">
        <f t="shared" si="3924"/>
        <v/>
      </c>
      <c r="D10718" t="str">
        <f t="shared" si="3919"/>
        <v>NORFOLK</v>
      </c>
      <c r="E10718" t="str">
        <f t="shared" si="3920"/>
        <v>VA</v>
      </c>
      <c r="F10718" t="str">
        <f t="shared" si="3925"/>
        <v>235112738</v>
      </c>
      <c r="G10718" t="str">
        <f t="shared" si="3926"/>
        <v>1510 GILBERT ST</v>
      </c>
      <c r="H10718" t="str">
        <f t="shared" si="3927"/>
        <v/>
      </c>
      <c r="I10718" t="str">
        <f t="shared" si="3921"/>
        <v>NORFOLK</v>
      </c>
      <c r="J10718" t="str">
        <f t="shared" si="3922"/>
        <v>VA</v>
      </c>
      <c r="K10718" t="str">
        <f t="shared" si="3928"/>
        <v>000000000000000000</v>
      </c>
      <c r="L10718" t="str">
        <f>T("7574450689")</f>
        <v>7574450689</v>
      </c>
    </row>
    <row r="10719" spans="1:12" x14ac:dyDescent="0.35">
      <c r="A10719" t="str">
        <f t="shared" si="3918"/>
        <v>COMNAVREG MIDLANT</v>
      </c>
      <c r="B10719" t="str">
        <f t="shared" si="3923"/>
        <v>1510 GILBERT ST</v>
      </c>
      <c r="C10719" t="str">
        <f t="shared" si="3924"/>
        <v/>
      </c>
      <c r="D10719" t="str">
        <f t="shared" si="3919"/>
        <v>NORFOLK</v>
      </c>
      <c r="E10719" t="str">
        <f t="shared" si="3920"/>
        <v>VA</v>
      </c>
      <c r="F10719" t="str">
        <f t="shared" si="3925"/>
        <v>235112738</v>
      </c>
      <c r="G10719" t="str">
        <f t="shared" si="3926"/>
        <v>1510 GILBERT ST</v>
      </c>
      <c r="H10719" t="str">
        <f t="shared" si="3927"/>
        <v/>
      </c>
      <c r="I10719" t="str">
        <f t="shared" si="3921"/>
        <v>NORFOLK</v>
      </c>
      <c r="J10719" t="str">
        <f t="shared" si="3922"/>
        <v>VA</v>
      </c>
      <c r="K10719" t="str">
        <f t="shared" si="3928"/>
        <v>000000000000000000</v>
      </c>
      <c r="L10719" t="str">
        <f>T("7574458373")</f>
        <v>7574458373</v>
      </c>
    </row>
    <row r="10720" spans="1:12" x14ac:dyDescent="0.35">
      <c r="A10720" t="str">
        <f t="shared" si="3918"/>
        <v>COMNAVREG MIDLANT</v>
      </c>
      <c r="B10720" t="str">
        <f t="shared" si="3923"/>
        <v>1510 GILBERT ST</v>
      </c>
      <c r="C10720" t="str">
        <f t="shared" si="3924"/>
        <v/>
      </c>
      <c r="D10720" t="str">
        <f t="shared" si="3919"/>
        <v>NORFOLK</v>
      </c>
      <c r="E10720" t="str">
        <f t="shared" si="3920"/>
        <v>VA</v>
      </c>
      <c r="F10720" t="str">
        <f t="shared" si="3925"/>
        <v>235112738</v>
      </c>
      <c r="G10720" t="str">
        <f t="shared" si="3926"/>
        <v>1510 GILBERT ST</v>
      </c>
      <c r="H10720" t="str">
        <f>T("N-26")</f>
        <v>N-26</v>
      </c>
      <c r="I10720" t="str">
        <f t="shared" si="3921"/>
        <v>NORFOLK</v>
      </c>
      <c r="J10720" t="str">
        <f t="shared" si="3922"/>
        <v>VA</v>
      </c>
      <c r="K10720" t="str">
        <f t="shared" si="3928"/>
        <v>000000000000000000</v>
      </c>
      <c r="L10720" t="str">
        <f>T("7573222637")</f>
        <v>7573222637</v>
      </c>
    </row>
    <row r="10721" spans="1:12" x14ac:dyDescent="0.35">
      <c r="A10721" t="str">
        <f t="shared" si="3918"/>
        <v>COMNAVREG MIDLANT</v>
      </c>
      <c r="B10721" t="str">
        <f t="shared" si="3923"/>
        <v>1510 GILBERT ST</v>
      </c>
      <c r="C10721" t="str">
        <f t="shared" si="3924"/>
        <v/>
      </c>
      <c r="D10721" t="str">
        <f t="shared" si="3919"/>
        <v>NORFOLK</v>
      </c>
      <c r="E10721" t="str">
        <f t="shared" si="3920"/>
        <v>VA</v>
      </c>
      <c r="F10721" t="str">
        <f t="shared" si="3925"/>
        <v>235112738</v>
      </c>
      <c r="G10721" t="str">
        <f>T("1510 GILBERT STREET")</f>
        <v>1510 GILBERT STREET</v>
      </c>
      <c r="H10721" t="str">
        <f>T("BLDG N21")</f>
        <v>BLDG N21</v>
      </c>
      <c r="I10721" t="str">
        <f t="shared" si="3921"/>
        <v>NORFOLK</v>
      </c>
      <c r="J10721" t="str">
        <f t="shared" si="3922"/>
        <v>VA</v>
      </c>
      <c r="K10721" t="str">
        <f>T("7574449490")</f>
        <v>7574449490</v>
      </c>
      <c r="L10721" t="str">
        <f>T("7573222863")</f>
        <v>7573222863</v>
      </c>
    </row>
    <row r="10722" spans="1:12" x14ac:dyDescent="0.35">
      <c r="A10722" t="str">
        <f t="shared" si="3918"/>
        <v>COMNAVREG MIDLANT</v>
      </c>
      <c r="B10722" t="str">
        <f t="shared" si="3923"/>
        <v>1510 GILBERT ST</v>
      </c>
      <c r="C10722" t="str">
        <f t="shared" si="3924"/>
        <v/>
      </c>
      <c r="D10722" t="str">
        <f t="shared" si="3919"/>
        <v>NORFOLK</v>
      </c>
      <c r="E10722" t="str">
        <f t="shared" si="3920"/>
        <v>VA</v>
      </c>
      <c r="F10722" t="str">
        <f t="shared" si="3925"/>
        <v>235112738</v>
      </c>
      <c r="G10722" t="str">
        <f>T("1510 GILBERT STREET")</f>
        <v>1510 GILBERT STREET</v>
      </c>
      <c r="H10722" t="str">
        <f>T("STE 101")</f>
        <v>STE 101</v>
      </c>
      <c r="I10722" t="str">
        <f t="shared" si="3921"/>
        <v>NORFOLK</v>
      </c>
      <c r="J10722" t="str">
        <f t="shared" si="3922"/>
        <v>VA</v>
      </c>
      <c r="K10722" t="str">
        <f>T("000000000000000000")</f>
        <v>000000000000000000</v>
      </c>
      <c r="L10722" t="str">
        <f>T("7573223114")</f>
        <v>7573223114</v>
      </c>
    </row>
    <row r="10723" spans="1:12" x14ac:dyDescent="0.35">
      <c r="A10723" t="str">
        <f t="shared" si="3918"/>
        <v>COMNAVREG MIDLANT</v>
      </c>
      <c r="B10723" t="str">
        <f t="shared" si="3923"/>
        <v>1510 GILBERT ST</v>
      </c>
      <c r="C10723" t="str">
        <f t="shared" si="3924"/>
        <v/>
      </c>
      <c r="D10723" t="str">
        <f t="shared" si="3919"/>
        <v>NORFOLK</v>
      </c>
      <c r="E10723" t="str">
        <f t="shared" si="3920"/>
        <v>VA</v>
      </c>
      <c r="F10723" t="str">
        <f t="shared" si="3925"/>
        <v>235112738</v>
      </c>
      <c r="G10723" t="str">
        <f>T("NAVAL BASE NEW LONDON")</f>
        <v>NAVAL BASE NEW LONDON</v>
      </c>
      <c r="H10723" t="str">
        <f>T("")</f>
        <v/>
      </c>
      <c r="I10723" t="str">
        <f>T("GROTON")</f>
        <v>GROTON</v>
      </c>
      <c r="J10723" t="str">
        <f>T("CT")</f>
        <v>CT</v>
      </c>
      <c r="K10723" t="str">
        <f>T("000000000000000000")</f>
        <v>000000000000000000</v>
      </c>
      <c r="L10723" t="str">
        <f>T("8606941206")</f>
        <v>8606941206</v>
      </c>
    </row>
    <row r="10724" spans="1:12" x14ac:dyDescent="0.35">
      <c r="A10724" t="str">
        <f t="shared" si="3918"/>
        <v>COMNAVREG MIDLANT</v>
      </c>
      <c r="B10724" t="str">
        <f t="shared" si="3923"/>
        <v>1510 GILBERT ST</v>
      </c>
      <c r="C10724" t="str">
        <f>T("ATTN N11")</f>
        <v>ATTN N11</v>
      </c>
      <c r="D10724" t="str">
        <f t="shared" si="3919"/>
        <v>NORFOLK</v>
      </c>
      <c r="E10724" t="str">
        <f t="shared" si="3920"/>
        <v>VA</v>
      </c>
      <c r="F10724" t="str">
        <f t="shared" si="3925"/>
        <v>235112738</v>
      </c>
      <c r="G10724" t="str">
        <f>T("1510 GILBERT ST")</f>
        <v>1510 GILBERT ST</v>
      </c>
      <c r="H10724" t="str">
        <f>T("ATTN N11")</f>
        <v>ATTN N11</v>
      </c>
      <c r="I10724" t="str">
        <f t="shared" ref="I10724:I10745" si="3929">T("NORFOLK")</f>
        <v>NORFOLK</v>
      </c>
      <c r="J10724" t="str">
        <f t="shared" ref="J10724:J10745" si="3930">T("VA")</f>
        <v>VA</v>
      </c>
      <c r="K10724" t="str">
        <f>T("7574459384")</f>
        <v>7574459384</v>
      </c>
      <c r="L10724" t="str">
        <f>T("7573222785")</f>
        <v>7573222785</v>
      </c>
    </row>
    <row r="10725" spans="1:12" x14ac:dyDescent="0.35">
      <c r="A10725" t="str">
        <f t="shared" si="3918"/>
        <v>COMNAVREG MIDLANT</v>
      </c>
      <c r="B10725" t="str">
        <f t="shared" si="3923"/>
        <v>1510 GILBERT ST</v>
      </c>
      <c r="C10725" t="str">
        <f>T("ATTN N11")</f>
        <v>ATTN N11</v>
      </c>
      <c r="D10725" t="str">
        <f t="shared" si="3919"/>
        <v>NORFOLK</v>
      </c>
      <c r="E10725" t="str">
        <f t="shared" si="3920"/>
        <v>VA</v>
      </c>
      <c r="F10725" t="str">
        <f t="shared" si="3925"/>
        <v>235112738</v>
      </c>
      <c r="G10725" t="str">
        <f>T("1510 GILBERT ST")</f>
        <v>1510 GILBERT ST</v>
      </c>
      <c r="H10725" t="str">
        <f>T("BLDG N11")</f>
        <v>BLDG N11</v>
      </c>
      <c r="I10725" t="str">
        <f t="shared" si="3929"/>
        <v>NORFOLK</v>
      </c>
      <c r="J10725" t="str">
        <f t="shared" si="3930"/>
        <v>VA</v>
      </c>
      <c r="K10725" t="str">
        <f>T("7574459384")</f>
        <v>7574459384</v>
      </c>
      <c r="L10725" t="str">
        <f>T("7574449101")</f>
        <v>7574449101</v>
      </c>
    </row>
    <row r="10726" spans="1:12" x14ac:dyDescent="0.35">
      <c r="A10726" t="str">
        <f t="shared" si="3918"/>
        <v>COMNAVREG MIDLANT</v>
      </c>
      <c r="B10726" t="str">
        <f t="shared" si="3923"/>
        <v>1510 GILBERT ST</v>
      </c>
      <c r="C10726" t="str">
        <f>T("ATTN N11")</f>
        <v>ATTN N11</v>
      </c>
      <c r="D10726" t="str">
        <f t="shared" si="3919"/>
        <v>NORFOLK</v>
      </c>
      <c r="E10726" t="str">
        <f t="shared" si="3920"/>
        <v>VA</v>
      </c>
      <c r="F10726" t="str">
        <f t="shared" si="3925"/>
        <v>235112738</v>
      </c>
      <c r="G10726" t="str">
        <f>T("1510 GILBERT ST")</f>
        <v>1510 GILBERT ST</v>
      </c>
      <c r="H10726" t="str">
        <f>T("ROOM 105")</f>
        <v>ROOM 105</v>
      </c>
      <c r="I10726" t="str">
        <f t="shared" si="3929"/>
        <v>NORFOLK</v>
      </c>
      <c r="J10726" t="str">
        <f t="shared" si="3930"/>
        <v>VA</v>
      </c>
      <c r="K10726" t="str">
        <f>T("000000000000000000")</f>
        <v>000000000000000000</v>
      </c>
      <c r="L10726" t="str">
        <f>T("7573222816")</f>
        <v>7573222816</v>
      </c>
    </row>
    <row r="10727" spans="1:12" x14ac:dyDescent="0.35">
      <c r="A10727" t="str">
        <f t="shared" si="3918"/>
        <v>COMNAVREG MIDLANT</v>
      </c>
      <c r="B10727" t="str">
        <f t="shared" si="3923"/>
        <v>1510 GILBERT ST</v>
      </c>
      <c r="C10727" t="str">
        <f>T("ATTN N11")</f>
        <v>ATTN N11</v>
      </c>
      <c r="D10727" t="str">
        <f t="shared" si="3919"/>
        <v>NORFOLK</v>
      </c>
      <c r="E10727" t="str">
        <f t="shared" si="3920"/>
        <v>VA</v>
      </c>
      <c r="F10727" t="str">
        <f t="shared" si="3925"/>
        <v>235112738</v>
      </c>
      <c r="G10727" t="str">
        <f>T("1510 GILBERT ST RM 204")</f>
        <v>1510 GILBERT ST RM 204</v>
      </c>
      <c r="H10727" t="str">
        <f>T("")</f>
        <v/>
      </c>
      <c r="I10727" t="str">
        <f t="shared" si="3929"/>
        <v>NORFOLK</v>
      </c>
      <c r="J10727" t="str">
        <f t="shared" si="3930"/>
        <v>VA</v>
      </c>
      <c r="K10727" t="str">
        <f>T("000000000000000000")</f>
        <v>000000000000000000</v>
      </c>
      <c r="L10727" t="str">
        <f>T("7573222935")</f>
        <v>7573222935</v>
      </c>
    </row>
    <row r="10728" spans="1:12" x14ac:dyDescent="0.35">
      <c r="A10728" t="str">
        <f t="shared" si="3918"/>
        <v>COMNAVREG MIDLANT</v>
      </c>
      <c r="B10728" t="str">
        <f t="shared" si="3923"/>
        <v>1510 GILBERT ST</v>
      </c>
      <c r="C10728" t="str">
        <f>T("BLDG N26")</f>
        <v>BLDG N26</v>
      </c>
      <c r="D10728" t="str">
        <f t="shared" si="3919"/>
        <v>NORFOLK</v>
      </c>
      <c r="E10728" t="str">
        <f t="shared" si="3920"/>
        <v>VA</v>
      </c>
      <c r="F10728" t="str">
        <f t="shared" si="3925"/>
        <v>235112738</v>
      </c>
      <c r="G10728" t="str">
        <f>T("1510 GILBERT ST")</f>
        <v>1510 GILBERT ST</v>
      </c>
      <c r="H10728" t="str">
        <f>T("")</f>
        <v/>
      </c>
      <c r="I10728" t="str">
        <f t="shared" si="3929"/>
        <v>NORFOLK</v>
      </c>
      <c r="J10728" t="str">
        <f t="shared" si="3930"/>
        <v>VA</v>
      </c>
      <c r="K10728" t="str">
        <f>T("000000000000000000")</f>
        <v>000000000000000000</v>
      </c>
      <c r="L10728" t="str">
        <f>T("7573222332")</f>
        <v>7573222332</v>
      </c>
    </row>
    <row r="10729" spans="1:12" x14ac:dyDescent="0.35">
      <c r="A10729" t="str">
        <f t="shared" si="3918"/>
        <v>COMNAVREG MIDLANT</v>
      </c>
      <c r="B10729" t="str">
        <f t="shared" si="3923"/>
        <v>1510 GILBERT ST</v>
      </c>
      <c r="C10729" t="str">
        <f>T("BLDG N26")</f>
        <v>BLDG N26</v>
      </c>
      <c r="D10729" t="str">
        <f t="shared" si="3919"/>
        <v>NORFOLK</v>
      </c>
      <c r="E10729" t="str">
        <f t="shared" si="3920"/>
        <v>VA</v>
      </c>
      <c r="F10729" t="str">
        <f t="shared" si="3925"/>
        <v>235112738</v>
      </c>
      <c r="G10729" t="str">
        <f>T("1510 GILBERT ST")</f>
        <v>1510 GILBERT ST</v>
      </c>
      <c r="H10729" t="str">
        <f>T("BLDG N26")</f>
        <v>BLDG N26</v>
      </c>
      <c r="I10729" t="str">
        <f t="shared" si="3929"/>
        <v>NORFOLK</v>
      </c>
      <c r="J10729" t="str">
        <f t="shared" si="3930"/>
        <v>VA</v>
      </c>
      <c r="K10729" t="str">
        <f>T("")</f>
        <v/>
      </c>
      <c r="L10729" t="str">
        <f>T("7573410441")</f>
        <v>7573410441</v>
      </c>
    </row>
    <row r="10730" spans="1:12" x14ac:dyDescent="0.35">
      <c r="A10730" t="str">
        <f t="shared" si="3918"/>
        <v>COMNAVREG MIDLANT</v>
      </c>
      <c r="B10730" t="str">
        <f t="shared" si="3923"/>
        <v>1510 GILBERT ST</v>
      </c>
      <c r="C10730" t="str">
        <f>T("BLDG N26")</f>
        <v>BLDG N26</v>
      </c>
      <c r="D10730" t="str">
        <f t="shared" si="3919"/>
        <v>NORFOLK</v>
      </c>
      <c r="E10730" t="str">
        <f t="shared" si="3920"/>
        <v>VA</v>
      </c>
      <c r="F10730" t="str">
        <f t="shared" si="3925"/>
        <v>235112738</v>
      </c>
      <c r="G10730" t="str">
        <f>T("1510 GILBERT ST")</f>
        <v>1510 GILBERT ST</v>
      </c>
      <c r="H10730" t="str">
        <f>T("BLDG N26")</f>
        <v>BLDG N26</v>
      </c>
      <c r="I10730" t="str">
        <f t="shared" si="3929"/>
        <v>NORFOLK</v>
      </c>
      <c r="J10730" t="str">
        <f t="shared" si="3930"/>
        <v>VA</v>
      </c>
      <c r="K10730" t="str">
        <f>T("000000000000000000")</f>
        <v>000000000000000000</v>
      </c>
      <c r="L10730" t="str">
        <f>T("1111111111")</f>
        <v>1111111111</v>
      </c>
    </row>
    <row r="10731" spans="1:12" x14ac:dyDescent="0.35">
      <c r="A10731" t="str">
        <f t="shared" si="3918"/>
        <v>COMNAVREG MIDLANT</v>
      </c>
      <c r="B10731" t="str">
        <f t="shared" si="3923"/>
        <v>1510 GILBERT ST</v>
      </c>
      <c r="C10731" t="str">
        <f>T("BLDG N26")</f>
        <v>BLDG N26</v>
      </c>
      <c r="D10731" t="str">
        <f t="shared" si="3919"/>
        <v>NORFOLK</v>
      </c>
      <c r="E10731" t="str">
        <f t="shared" si="3920"/>
        <v>VA</v>
      </c>
      <c r="F10731" t="str">
        <f t="shared" si="3925"/>
        <v>235112738</v>
      </c>
      <c r="G10731" t="str">
        <f>T("1530 GILBERT ST")</f>
        <v>1530 GILBERT ST</v>
      </c>
      <c r="H10731" t="str">
        <f>T("N26")</f>
        <v>N26</v>
      </c>
      <c r="I10731" t="str">
        <f t="shared" si="3929"/>
        <v>NORFOLK</v>
      </c>
      <c r="J10731" t="str">
        <f t="shared" si="3930"/>
        <v>VA</v>
      </c>
      <c r="K10731" t="str">
        <f>T("7574443000")</f>
        <v>7574443000</v>
      </c>
      <c r="L10731" t="str">
        <f>T("7573410487")</f>
        <v>7573410487</v>
      </c>
    </row>
    <row r="10732" spans="1:12" x14ac:dyDescent="0.35">
      <c r="A10732" t="str">
        <f t="shared" si="3918"/>
        <v>COMNAVREG MIDLANT</v>
      </c>
      <c r="B10732" t="str">
        <f t="shared" si="3923"/>
        <v>1510 GILBERT ST</v>
      </c>
      <c r="C10732" t="str">
        <f>T("BUILDING N-26 ROOM 3105")</f>
        <v>BUILDING N-26 ROOM 3105</v>
      </c>
      <c r="D10732" t="str">
        <f t="shared" si="3919"/>
        <v>NORFOLK</v>
      </c>
      <c r="E10732" t="str">
        <f t="shared" si="3920"/>
        <v>VA</v>
      </c>
      <c r="F10732" t="str">
        <f t="shared" si="3925"/>
        <v>235112738</v>
      </c>
      <c r="G10732" t="str">
        <f t="shared" ref="G10732:G10738" si="3931">T("1510 GILBERT ST")</f>
        <v>1510 GILBERT ST</v>
      </c>
      <c r="H10732" t="str">
        <f>T("BUILDING N-26 ROOM 3105")</f>
        <v>BUILDING N-26 ROOM 3105</v>
      </c>
      <c r="I10732" t="str">
        <f t="shared" si="3929"/>
        <v>NORFOLK</v>
      </c>
      <c r="J10732" t="str">
        <f t="shared" si="3930"/>
        <v>VA</v>
      </c>
      <c r="K10732" t="str">
        <f>T("000000000000000000")</f>
        <v>000000000000000000</v>
      </c>
      <c r="L10732" t="str">
        <f>T("7574444384")</f>
        <v>7574444384</v>
      </c>
    </row>
    <row r="10733" spans="1:12" x14ac:dyDescent="0.35">
      <c r="A10733" t="str">
        <f t="shared" si="3918"/>
        <v>COMNAVREG MIDLANT</v>
      </c>
      <c r="B10733" t="str">
        <f t="shared" si="3923"/>
        <v>1510 GILBERT ST</v>
      </c>
      <c r="C10733" t="str">
        <f>T("BUILDING N-26 ROOM 3105")</f>
        <v>BUILDING N-26 ROOM 3105</v>
      </c>
      <c r="D10733" t="str">
        <f t="shared" si="3919"/>
        <v>NORFOLK</v>
      </c>
      <c r="E10733" t="str">
        <f t="shared" si="3920"/>
        <v>VA</v>
      </c>
      <c r="F10733" t="str">
        <f t="shared" si="3925"/>
        <v>235112738</v>
      </c>
      <c r="G10733" t="str">
        <f t="shared" si="3931"/>
        <v>1510 GILBERT ST</v>
      </c>
      <c r="H10733" t="str">
        <f>T("BUILDING N26 ROOM 3105")</f>
        <v>BUILDING N26 ROOM 3105</v>
      </c>
      <c r="I10733" t="str">
        <f t="shared" si="3929"/>
        <v>NORFOLK</v>
      </c>
      <c r="J10733" t="str">
        <f t="shared" si="3930"/>
        <v>VA</v>
      </c>
      <c r="K10733" t="str">
        <f>T("000000000000000000")</f>
        <v>000000000000000000</v>
      </c>
      <c r="L10733" t="str">
        <f>T("7574454362")</f>
        <v>7574454362</v>
      </c>
    </row>
    <row r="10734" spans="1:12" x14ac:dyDescent="0.35">
      <c r="A10734" t="str">
        <f t="shared" si="3918"/>
        <v>COMNAVREG MIDLANT</v>
      </c>
      <c r="B10734" t="str">
        <f t="shared" si="3923"/>
        <v>1510 GILBERT ST</v>
      </c>
      <c r="C10734" t="str">
        <f>T("N26")</f>
        <v>N26</v>
      </c>
      <c r="D10734" t="str">
        <f t="shared" si="3919"/>
        <v>NORFOLK</v>
      </c>
      <c r="E10734" t="str">
        <f t="shared" si="3920"/>
        <v>VA</v>
      </c>
      <c r="F10734" t="str">
        <f t="shared" si="3925"/>
        <v>235112738</v>
      </c>
      <c r="G10734" t="str">
        <f t="shared" si="3931"/>
        <v>1510 GILBERT ST</v>
      </c>
      <c r="H10734" t="str">
        <f>T("BLDG N26")</f>
        <v>BLDG N26</v>
      </c>
      <c r="I10734" t="str">
        <f t="shared" si="3929"/>
        <v>NORFOLK</v>
      </c>
      <c r="J10734" t="str">
        <f t="shared" si="3930"/>
        <v>VA</v>
      </c>
      <c r="K10734" t="str">
        <f>T("000000000000000000")</f>
        <v>000000000000000000</v>
      </c>
      <c r="L10734" t="str">
        <f>T("7574440340")</f>
        <v>7574440340</v>
      </c>
    </row>
    <row r="10735" spans="1:12" x14ac:dyDescent="0.35">
      <c r="A10735" t="str">
        <f t="shared" si="3918"/>
        <v>COMNAVREG MIDLANT</v>
      </c>
      <c r="B10735" t="str">
        <f t="shared" si="3923"/>
        <v>1510 GILBERT ST</v>
      </c>
      <c r="C10735" t="str">
        <f>T("N26")</f>
        <v>N26</v>
      </c>
      <c r="D10735" t="str">
        <f t="shared" si="3919"/>
        <v>NORFOLK</v>
      </c>
      <c r="E10735" t="str">
        <f t="shared" si="3920"/>
        <v>VA</v>
      </c>
      <c r="F10735" t="str">
        <f t="shared" si="3925"/>
        <v>235112738</v>
      </c>
      <c r="G10735" t="str">
        <f t="shared" si="3931"/>
        <v>1510 GILBERT ST</v>
      </c>
      <c r="H10735" t="str">
        <f>T("N26")</f>
        <v>N26</v>
      </c>
      <c r="I10735" t="str">
        <f t="shared" si="3929"/>
        <v>NORFOLK</v>
      </c>
      <c r="J10735" t="str">
        <f t="shared" si="3930"/>
        <v>VA</v>
      </c>
      <c r="K10735" t="str">
        <f>T("")</f>
        <v/>
      </c>
      <c r="L10735" t="str">
        <f>T("7573222635")</f>
        <v>7573222635</v>
      </c>
    </row>
    <row r="10736" spans="1:12" x14ac:dyDescent="0.35">
      <c r="A10736" t="str">
        <f t="shared" si="3918"/>
        <v>COMNAVREG MIDLANT</v>
      </c>
      <c r="B10736" t="str">
        <f t="shared" si="3923"/>
        <v>1510 GILBERT ST</v>
      </c>
      <c r="C10736" t="str">
        <f>T("ROOM 3202")</f>
        <v>ROOM 3202</v>
      </c>
      <c r="D10736" t="str">
        <f t="shared" si="3919"/>
        <v>NORFOLK</v>
      </c>
      <c r="E10736" t="str">
        <f t="shared" si="3920"/>
        <v>VA</v>
      </c>
      <c r="F10736" t="str">
        <f t="shared" si="3925"/>
        <v>235112738</v>
      </c>
      <c r="G10736" t="str">
        <f t="shared" si="3931"/>
        <v>1510 GILBERT ST</v>
      </c>
      <c r="H10736" t="str">
        <f>T("BUILDING N-26")</f>
        <v>BUILDING N-26</v>
      </c>
      <c r="I10736" t="str">
        <f t="shared" si="3929"/>
        <v>NORFOLK</v>
      </c>
      <c r="J10736" t="str">
        <f t="shared" si="3930"/>
        <v>VA</v>
      </c>
      <c r="K10736" t="str">
        <f>T("000000000000000000")</f>
        <v>000000000000000000</v>
      </c>
      <c r="L10736" t="str">
        <f>T("7574444968")</f>
        <v>7574444968</v>
      </c>
    </row>
    <row r="10737" spans="1:12" x14ac:dyDescent="0.35">
      <c r="A10737" t="str">
        <f t="shared" si="3918"/>
        <v>COMNAVREG MIDLANT</v>
      </c>
      <c r="B10737" t="str">
        <f t="shared" si="3923"/>
        <v>1510 GILBERT ST</v>
      </c>
      <c r="C10737" t="str">
        <f>T("ROOM 3202")</f>
        <v>ROOM 3202</v>
      </c>
      <c r="D10737" t="str">
        <f t="shared" si="3919"/>
        <v>NORFOLK</v>
      </c>
      <c r="E10737" t="str">
        <f t="shared" si="3920"/>
        <v>VA</v>
      </c>
      <c r="F10737" t="str">
        <f t="shared" si="3925"/>
        <v>235112738</v>
      </c>
      <c r="G10737" t="str">
        <f t="shared" si="3931"/>
        <v>1510 GILBERT ST</v>
      </c>
      <c r="H10737" t="str">
        <f>T("BUILDING N-26")</f>
        <v>BUILDING N-26</v>
      </c>
      <c r="I10737" t="str">
        <f t="shared" si="3929"/>
        <v>NORFOLK</v>
      </c>
      <c r="J10737" t="str">
        <f t="shared" si="3930"/>
        <v>VA</v>
      </c>
      <c r="K10737" t="str">
        <f>T("000000000000000000")</f>
        <v>000000000000000000</v>
      </c>
      <c r="L10737" t="str">
        <f>T("7574445204")</f>
        <v>7574445204</v>
      </c>
    </row>
    <row r="10738" spans="1:12" x14ac:dyDescent="0.35">
      <c r="A10738" t="str">
        <f t="shared" ref="A10738:A10769" si="3932">T("COMNAVREG MIDLANT")</f>
        <v>COMNAVREG MIDLANT</v>
      </c>
      <c r="B10738" t="str">
        <f t="shared" si="3923"/>
        <v>1510 GILBERT ST</v>
      </c>
      <c r="C10738" t="str">
        <f>T("ROOM 3202")</f>
        <v>ROOM 3202</v>
      </c>
      <c r="D10738" t="str">
        <f t="shared" si="3919"/>
        <v>NORFOLK</v>
      </c>
      <c r="E10738" t="str">
        <f t="shared" si="3920"/>
        <v>VA</v>
      </c>
      <c r="F10738" t="str">
        <f t="shared" si="3925"/>
        <v>235112738</v>
      </c>
      <c r="G10738" t="str">
        <f t="shared" si="3931"/>
        <v>1510 GILBERT ST</v>
      </c>
      <c r="H10738" t="str">
        <f>T("ROOM 3202")</f>
        <v>ROOM 3202</v>
      </c>
      <c r="I10738" t="str">
        <f t="shared" si="3929"/>
        <v>NORFOLK</v>
      </c>
      <c r="J10738" t="str">
        <f t="shared" si="3930"/>
        <v>VA</v>
      </c>
      <c r="K10738" t="str">
        <f>T("757-444-8663")</f>
        <v>757-444-8663</v>
      </c>
      <c r="L10738" t="str">
        <f>T("7573223021")</f>
        <v>7573223021</v>
      </c>
    </row>
    <row r="10739" spans="1:12" x14ac:dyDescent="0.35">
      <c r="A10739" t="str">
        <f t="shared" si="3932"/>
        <v>COMNAVREG MIDLANT</v>
      </c>
      <c r="B10739" t="str">
        <f>T("1510 GILBERT ST RM 207")</f>
        <v>1510 GILBERT ST RM 207</v>
      </c>
      <c r="C10739" t="str">
        <f>T("")</f>
        <v/>
      </c>
      <c r="D10739" t="str">
        <f t="shared" si="3919"/>
        <v>NORFOLK</v>
      </c>
      <c r="E10739" t="str">
        <f t="shared" si="3920"/>
        <v>VA</v>
      </c>
      <c r="F10739" t="str">
        <f t="shared" si="3925"/>
        <v>235112738</v>
      </c>
      <c r="G10739" t="str">
        <f>T("1510 GILBERT ST BLDG N21")</f>
        <v>1510 GILBERT ST BLDG N21</v>
      </c>
      <c r="H10739" t="str">
        <f>T("")</f>
        <v/>
      </c>
      <c r="I10739" t="str">
        <f t="shared" si="3929"/>
        <v>NORFOLK</v>
      </c>
      <c r="J10739" t="str">
        <f t="shared" si="3930"/>
        <v>VA</v>
      </c>
      <c r="K10739" t="str">
        <f>T("7574451953")</f>
        <v>7574451953</v>
      </c>
      <c r="L10739" t="str">
        <f>T("7573223060")</f>
        <v>7573223060</v>
      </c>
    </row>
    <row r="10740" spans="1:12" x14ac:dyDescent="0.35">
      <c r="A10740" t="str">
        <f t="shared" si="3932"/>
        <v>COMNAVREG MIDLANT</v>
      </c>
      <c r="B10740" t="str">
        <f>T("1510 GILBERT ST RM 207")</f>
        <v>1510 GILBERT ST RM 207</v>
      </c>
      <c r="C10740" t="str">
        <f>T("")</f>
        <v/>
      </c>
      <c r="D10740" t="str">
        <f t="shared" si="3919"/>
        <v>NORFOLK</v>
      </c>
      <c r="E10740" t="str">
        <f t="shared" si="3920"/>
        <v>VA</v>
      </c>
      <c r="F10740" t="str">
        <f t="shared" si="3925"/>
        <v>235112738</v>
      </c>
      <c r="G10740" t="str">
        <f>T("1510 GILBERT ST RM 207")</f>
        <v>1510 GILBERT ST RM 207</v>
      </c>
      <c r="H10740" t="str">
        <f>T("")</f>
        <v/>
      </c>
      <c r="I10740" t="str">
        <f t="shared" si="3929"/>
        <v>NORFOLK</v>
      </c>
      <c r="J10740" t="str">
        <f t="shared" si="3930"/>
        <v>VA</v>
      </c>
      <c r="K10740" t="str">
        <f>T("7574451953")</f>
        <v>7574451953</v>
      </c>
      <c r="L10740" t="str">
        <f>T("7574451953")</f>
        <v>7574451953</v>
      </c>
    </row>
    <row r="10741" spans="1:12" x14ac:dyDescent="0.35">
      <c r="A10741" t="str">
        <f t="shared" si="3932"/>
        <v>COMNAVREG MIDLANT</v>
      </c>
      <c r="B10741" t="str">
        <f>T("1530 GILBERT ST")</f>
        <v>1530 GILBERT ST</v>
      </c>
      <c r="C10741" t="str">
        <f>T("N26")</f>
        <v>N26</v>
      </c>
      <c r="D10741" t="str">
        <f t="shared" si="3919"/>
        <v>NORFOLK</v>
      </c>
      <c r="E10741" t="str">
        <f t="shared" si="3920"/>
        <v>VA</v>
      </c>
      <c r="F10741" t="str">
        <f>T("235112730")</f>
        <v>235112730</v>
      </c>
      <c r="G10741" t="str">
        <f>T("1530 GILBERT ST")</f>
        <v>1530 GILBERT ST</v>
      </c>
      <c r="H10741" t="str">
        <f>T("N26")</f>
        <v>N26</v>
      </c>
      <c r="I10741" t="str">
        <f t="shared" si="3929"/>
        <v>NORFOLK</v>
      </c>
      <c r="J10741" t="str">
        <f t="shared" si="3930"/>
        <v>VA</v>
      </c>
      <c r="K10741" t="str">
        <f>T("")</f>
        <v/>
      </c>
      <c r="L10741" t="str">
        <f>T("7573222635")</f>
        <v>7573222635</v>
      </c>
    </row>
    <row r="10742" spans="1:12" x14ac:dyDescent="0.35">
      <c r="A10742" t="str">
        <f t="shared" si="3932"/>
        <v>COMNAVREG MIDLANT</v>
      </c>
      <c r="B10742" t="str">
        <f>T("1530 GILBERT ST")</f>
        <v>1530 GILBERT ST</v>
      </c>
      <c r="C10742" t="str">
        <f>T("N26")</f>
        <v>N26</v>
      </c>
      <c r="D10742" t="str">
        <f t="shared" si="3919"/>
        <v>NORFOLK</v>
      </c>
      <c r="E10742" t="str">
        <f t="shared" si="3920"/>
        <v>VA</v>
      </c>
      <c r="F10742" t="str">
        <f>T("235112730")</f>
        <v>235112730</v>
      </c>
      <c r="G10742" t="str">
        <f>T("BUILDING N26")</f>
        <v>BUILDING N26</v>
      </c>
      <c r="H10742" t="str">
        <f>T("")</f>
        <v/>
      </c>
      <c r="I10742" t="str">
        <f t="shared" si="3929"/>
        <v>NORFOLK</v>
      </c>
      <c r="J10742" t="str">
        <f t="shared" si="3930"/>
        <v>VA</v>
      </c>
      <c r="K10742" t="str">
        <f t="shared" ref="K10742:K10747" si="3933">T("000000000000000000")</f>
        <v>000000000000000000</v>
      </c>
      <c r="L10742" t="str">
        <f>T("7574440173")</f>
        <v>7574440173</v>
      </c>
    </row>
    <row r="10743" spans="1:12" x14ac:dyDescent="0.35">
      <c r="A10743" t="str">
        <f t="shared" si="3932"/>
        <v>COMNAVREG MIDLANT</v>
      </c>
      <c r="B10743" t="str">
        <f>T("1650 GILBERT ST")</f>
        <v>1650 GILBERT ST</v>
      </c>
      <c r="C10743" t="str">
        <f>T("")</f>
        <v/>
      </c>
      <c r="D10743" t="str">
        <f t="shared" si="3919"/>
        <v>NORFOLK</v>
      </c>
      <c r="E10743" t="str">
        <f t="shared" si="3920"/>
        <v>VA</v>
      </c>
      <c r="F10743" t="str">
        <f>T("235112942")</f>
        <v>235112942</v>
      </c>
      <c r="G10743" t="str">
        <f>T("1650 GILBERT ST")</f>
        <v>1650 GILBERT ST</v>
      </c>
      <c r="H10743" t="str">
        <f>T("")</f>
        <v/>
      </c>
      <c r="I10743" t="str">
        <f t="shared" si="3929"/>
        <v>NORFOLK</v>
      </c>
      <c r="J10743" t="str">
        <f t="shared" si="3930"/>
        <v>VA</v>
      </c>
      <c r="K10743" t="str">
        <f t="shared" si="3933"/>
        <v>000000000000000000</v>
      </c>
      <c r="L10743" t="str">
        <f>T("7573223031")</f>
        <v>7573223031</v>
      </c>
    </row>
    <row r="10744" spans="1:12" x14ac:dyDescent="0.35">
      <c r="A10744" t="str">
        <f t="shared" si="3932"/>
        <v>COMNAVREG MIDLANT</v>
      </c>
      <c r="B10744" t="str">
        <f>T("1650 GILBERT ST")</f>
        <v>1650 GILBERT ST</v>
      </c>
      <c r="C10744" t="str">
        <f>T("")</f>
        <v/>
      </c>
      <c r="D10744" t="str">
        <f t="shared" si="3919"/>
        <v>NORFOLK</v>
      </c>
      <c r="E10744" t="str">
        <f t="shared" si="3920"/>
        <v>VA</v>
      </c>
      <c r="F10744" t="str">
        <f>T("235112942")</f>
        <v>235112942</v>
      </c>
      <c r="G10744" t="str">
        <f>T("1650 GILBERT ST")</f>
        <v>1650 GILBERT ST</v>
      </c>
      <c r="H10744" t="str">
        <f>T("BLDG IAA")</f>
        <v>BLDG IAA</v>
      </c>
      <c r="I10744" t="str">
        <f t="shared" si="3929"/>
        <v>NORFOLK</v>
      </c>
      <c r="J10744" t="str">
        <f t="shared" si="3930"/>
        <v>VA</v>
      </c>
      <c r="K10744" t="str">
        <f t="shared" si="3933"/>
        <v>000000000000000000</v>
      </c>
      <c r="L10744" t="str">
        <f>T("7573223034")</f>
        <v>7573223034</v>
      </c>
    </row>
    <row r="10745" spans="1:12" x14ac:dyDescent="0.35">
      <c r="A10745" t="str">
        <f t="shared" si="3932"/>
        <v>COMNAVREG MIDLANT</v>
      </c>
      <c r="B10745" t="str">
        <f>T("1650 GILBERT ST")</f>
        <v>1650 GILBERT ST</v>
      </c>
      <c r="C10745" t="str">
        <f>T("")</f>
        <v/>
      </c>
      <c r="D10745" t="str">
        <f t="shared" si="3919"/>
        <v>NORFOLK</v>
      </c>
      <c r="E10745" t="str">
        <f t="shared" si="3920"/>
        <v>VA</v>
      </c>
      <c r="F10745" t="str">
        <f>T("235112942")</f>
        <v>235112942</v>
      </c>
      <c r="G10745" t="str">
        <f>T("1650 GILBERT ST")</f>
        <v>1650 GILBERT ST</v>
      </c>
      <c r="H10745" t="str">
        <f>T("BUILDING IAA")</f>
        <v>BUILDING IAA</v>
      </c>
      <c r="I10745" t="str">
        <f t="shared" si="3929"/>
        <v>NORFOLK</v>
      </c>
      <c r="J10745" t="str">
        <f t="shared" si="3930"/>
        <v>VA</v>
      </c>
      <c r="K10745" t="str">
        <f t="shared" si="3933"/>
        <v>000000000000000000</v>
      </c>
      <c r="L10745" t="str">
        <f>T("7574442417")</f>
        <v>7574442417</v>
      </c>
    </row>
    <row r="10746" spans="1:12" x14ac:dyDescent="0.35">
      <c r="A10746" t="str">
        <f t="shared" si="3932"/>
        <v>COMNAVREG MIDLANT</v>
      </c>
      <c r="B10746" t="str">
        <f>T("201 HIGHWAY 34S")</f>
        <v>201 HIGHWAY 34S</v>
      </c>
      <c r="C10746" t="str">
        <f>T("BLDG C-23")</f>
        <v>BLDG C-23</v>
      </c>
      <c r="D10746" t="str">
        <f>T("COLTS NECK")</f>
        <v>COLTS NECK</v>
      </c>
      <c r="E10746" t="str">
        <f>T("NJ")</f>
        <v>NJ</v>
      </c>
      <c r="F10746" t="str">
        <f>T("077221902")</f>
        <v>077221902</v>
      </c>
      <c r="G10746" t="str">
        <f>T("201 HIGHWAY 34S")</f>
        <v>201 HIGHWAY 34S</v>
      </c>
      <c r="H10746" t="str">
        <f>T("")</f>
        <v/>
      </c>
      <c r="I10746" t="str">
        <f>T("COLTS NECK")</f>
        <v>COLTS NECK</v>
      </c>
      <c r="J10746" t="str">
        <f>T("NJ")</f>
        <v>NJ</v>
      </c>
      <c r="K10746" t="str">
        <f t="shared" si="3933"/>
        <v>000000000000000000</v>
      </c>
      <c r="L10746" t="str">
        <f>T("7328662354")</f>
        <v>7328662354</v>
      </c>
    </row>
    <row r="10747" spans="1:12" x14ac:dyDescent="0.35">
      <c r="A10747" t="str">
        <f t="shared" si="3932"/>
        <v>COMNAVREG MIDLANT</v>
      </c>
      <c r="B10747" t="str">
        <f>T("201 HIGHWAY 34S")</f>
        <v>201 HIGHWAY 34S</v>
      </c>
      <c r="C10747" t="str">
        <f>T("BLDG C-23")</f>
        <v>BLDG C-23</v>
      </c>
      <c r="D10747" t="str">
        <f>T("COLTS NECK")</f>
        <v>COLTS NECK</v>
      </c>
      <c r="E10747" t="str">
        <f>T("NJ")</f>
        <v>NJ</v>
      </c>
      <c r="F10747" t="str">
        <f>T("077221902")</f>
        <v>077221902</v>
      </c>
      <c r="G10747" t="str">
        <f>T("201 HIGHWAY 34S")</f>
        <v>201 HIGHWAY 34S</v>
      </c>
      <c r="H10747" t="str">
        <f>T("BLDG C-23")</f>
        <v>BLDG C-23</v>
      </c>
      <c r="I10747" t="str">
        <f>T("COLTS NECK")</f>
        <v>COLTS NECK</v>
      </c>
      <c r="J10747" t="str">
        <f>T("NJ")</f>
        <v>NJ</v>
      </c>
      <c r="K10747" t="str">
        <f t="shared" si="3933"/>
        <v>000000000000000000</v>
      </c>
      <c r="L10747" t="str">
        <f>T("7328662540")</f>
        <v>7328662540</v>
      </c>
    </row>
    <row r="10748" spans="1:12" x14ac:dyDescent="0.35">
      <c r="A10748" t="str">
        <f t="shared" si="3932"/>
        <v>COMNAVREG MIDLANT</v>
      </c>
      <c r="B10748" t="str">
        <f>T("4921 S BROAD ST")</f>
        <v>4921 S BROAD ST</v>
      </c>
      <c r="C10748" t="str">
        <f>T("BLDG 1")</f>
        <v>BLDG 1</v>
      </c>
      <c r="D10748" t="str">
        <f>T("PHILADELPHIA")</f>
        <v>PHILADELPHIA</v>
      </c>
      <c r="E10748" t="str">
        <f>T("PA")</f>
        <v>PA</v>
      </c>
      <c r="F10748" t="str">
        <f>T("191121303")</f>
        <v>191121303</v>
      </c>
      <c r="G10748" t="str">
        <f>T("4921 S BROAD ST")</f>
        <v>4921 S BROAD ST</v>
      </c>
      <c r="H10748" t="str">
        <f>T("BLDG 1")</f>
        <v>BLDG 1</v>
      </c>
      <c r="I10748" t="str">
        <f>T("PHILADELPHIA")</f>
        <v>PHILADELPHIA</v>
      </c>
      <c r="J10748" t="str">
        <f>T("PA")</f>
        <v>PA</v>
      </c>
      <c r="K10748" t="str">
        <f>T("2158973141")</f>
        <v>2158973141</v>
      </c>
      <c r="L10748" t="str">
        <f>T("2158973676")</f>
        <v>2158973676</v>
      </c>
    </row>
    <row r="10749" spans="1:12" x14ac:dyDescent="0.35">
      <c r="A10749" t="str">
        <f t="shared" si="3932"/>
        <v>COMNAVREG MIDLANT</v>
      </c>
      <c r="B10749" t="str">
        <f>T("4921 S BROAD ST")</f>
        <v>4921 S BROAD ST</v>
      </c>
      <c r="C10749" t="str">
        <f>T("BLDG 1")</f>
        <v>BLDG 1</v>
      </c>
      <c r="D10749" t="str">
        <f>T("PHILADELPHIA")</f>
        <v>PHILADELPHIA</v>
      </c>
      <c r="E10749" t="str">
        <f>T("PA")</f>
        <v>PA</v>
      </c>
      <c r="F10749" t="str">
        <f>T("191121303")</f>
        <v>191121303</v>
      </c>
      <c r="G10749" t="str">
        <f>T("4921 S BROAD ST")</f>
        <v>4921 S BROAD ST</v>
      </c>
      <c r="H10749" t="str">
        <f>T("BLDG 1 2ND FLOOR")</f>
        <v>BLDG 1 2ND FLOOR</v>
      </c>
      <c r="I10749" t="str">
        <f>T("PHILADELPHIA")</f>
        <v>PHILADELPHIA</v>
      </c>
      <c r="J10749" t="str">
        <f>T("PA")</f>
        <v>PA</v>
      </c>
      <c r="K10749" t="str">
        <f>T("000000000000000000")</f>
        <v>000000000000000000</v>
      </c>
      <c r="L10749" t="str">
        <f>T("2158973005")</f>
        <v>2158973005</v>
      </c>
    </row>
    <row r="10750" spans="1:12" x14ac:dyDescent="0.35">
      <c r="A10750" t="str">
        <f t="shared" si="3932"/>
        <v>COMNAVREG MIDLANT</v>
      </c>
      <c r="B10750" t="str">
        <f>T("4921 S BROAD ST")</f>
        <v>4921 S BROAD ST</v>
      </c>
      <c r="C10750" t="str">
        <f>T("BLDG 1")</f>
        <v>BLDG 1</v>
      </c>
      <c r="D10750" t="str">
        <f>T("PHILADELPHIA")</f>
        <v>PHILADELPHIA</v>
      </c>
      <c r="E10750" t="str">
        <f>T("PA")</f>
        <v>PA</v>
      </c>
      <c r="F10750" t="str">
        <f>T("191121303")</f>
        <v>191121303</v>
      </c>
      <c r="G10750" t="str">
        <f>T("4921 SOUTH BROAD STREET")</f>
        <v>4921 SOUTH BROAD STREET</v>
      </c>
      <c r="H10750" t="str">
        <f>T("BLDG 1")</f>
        <v>BLDG 1</v>
      </c>
      <c r="I10750" t="str">
        <f>T("PHILADELPHIA")</f>
        <v>PHILADELPHIA</v>
      </c>
      <c r="J10750" t="str">
        <f>T("PA")</f>
        <v>PA</v>
      </c>
      <c r="K10750" t="str">
        <f>T("2158973141")</f>
        <v>2158973141</v>
      </c>
      <c r="L10750" t="str">
        <f>T("2158974045")</f>
        <v>2158974045</v>
      </c>
    </row>
    <row r="10751" spans="1:12" x14ac:dyDescent="0.35">
      <c r="A10751" t="str">
        <f t="shared" si="3932"/>
        <v>COMNAVREG MIDLANT</v>
      </c>
      <c r="B10751" t="str">
        <f>T("7924 14TH ST")</f>
        <v>7924 14TH ST</v>
      </c>
      <c r="C10751" t="str">
        <f>T("")</f>
        <v/>
      </c>
      <c r="D10751" t="str">
        <f t="shared" ref="D10751:D10760" si="3934">T("NORFOLK")</f>
        <v>NORFOLK</v>
      </c>
      <c r="E10751" t="str">
        <f t="shared" ref="E10751:E10762" si="3935">T("VA")</f>
        <v>VA</v>
      </c>
      <c r="F10751" t="str">
        <f>T("235051211")</f>
        <v>235051211</v>
      </c>
      <c r="G10751" t="str">
        <f>T("7924 14TH ST")</f>
        <v>7924 14TH ST</v>
      </c>
      <c r="H10751" t="str">
        <f>T("")</f>
        <v/>
      </c>
      <c r="I10751" t="str">
        <f t="shared" ref="I10751:I10760" si="3936">T("NORFOLK")</f>
        <v>NORFOLK</v>
      </c>
      <c r="J10751" t="str">
        <f t="shared" ref="J10751:J10762" si="3937">T("VA")</f>
        <v>VA</v>
      </c>
      <c r="K10751" t="str">
        <f t="shared" ref="K10751:K10758" si="3938">T("000000000000000000")</f>
        <v>000000000000000000</v>
      </c>
      <c r="L10751" t="str">
        <f>T("7574452453")</f>
        <v>7574452453</v>
      </c>
    </row>
    <row r="10752" spans="1:12" x14ac:dyDescent="0.35">
      <c r="A10752" t="str">
        <f t="shared" si="3932"/>
        <v>COMNAVREG MIDLANT</v>
      </c>
      <c r="B10752" t="str">
        <f>T("7924 14TH ST")</f>
        <v>7924 14TH ST</v>
      </c>
      <c r="C10752" t="str">
        <f>T("")</f>
        <v/>
      </c>
      <c r="D10752" t="str">
        <f t="shared" si="3934"/>
        <v>NORFOLK</v>
      </c>
      <c r="E10752" t="str">
        <f t="shared" si="3935"/>
        <v>VA</v>
      </c>
      <c r="F10752" t="str">
        <f>T("235051211")</f>
        <v>235051211</v>
      </c>
      <c r="G10752" t="str">
        <f>T("7924 14TH ST")</f>
        <v>7924 14TH ST</v>
      </c>
      <c r="H10752" t="str">
        <f>T("")</f>
        <v/>
      </c>
      <c r="I10752" t="str">
        <f t="shared" si="3936"/>
        <v>NORFOLK</v>
      </c>
      <c r="J10752" t="str">
        <f t="shared" si="3937"/>
        <v>VA</v>
      </c>
      <c r="K10752" t="str">
        <f t="shared" si="3938"/>
        <v>000000000000000000</v>
      </c>
      <c r="L10752" t="str">
        <f>T("7574452731")</f>
        <v>7574452731</v>
      </c>
    </row>
    <row r="10753" spans="1:12" x14ac:dyDescent="0.35">
      <c r="A10753" t="str">
        <f t="shared" si="3932"/>
        <v>COMNAVREG MIDLANT</v>
      </c>
      <c r="B10753" t="str">
        <f>T("7924 14TH ST")</f>
        <v>7924 14TH ST</v>
      </c>
      <c r="C10753" t="str">
        <f>T("")</f>
        <v/>
      </c>
      <c r="D10753" t="str">
        <f t="shared" si="3934"/>
        <v>NORFOLK</v>
      </c>
      <c r="E10753" t="str">
        <f t="shared" si="3935"/>
        <v>VA</v>
      </c>
      <c r="F10753" t="str">
        <f>T("235051211")</f>
        <v>235051211</v>
      </c>
      <c r="G10753" t="str">
        <f>T("7924 14TH ST")</f>
        <v>7924 14TH ST</v>
      </c>
      <c r="H10753" t="str">
        <f>T("")</f>
        <v/>
      </c>
      <c r="I10753" t="str">
        <f t="shared" si="3936"/>
        <v>NORFOLK</v>
      </c>
      <c r="J10753" t="str">
        <f t="shared" si="3937"/>
        <v>VA</v>
      </c>
      <c r="K10753" t="str">
        <f t="shared" si="3938"/>
        <v>000000000000000000</v>
      </c>
      <c r="L10753" t="str">
        <f>T("7574452828")</f>
        <v>7574452828</v>
      </c>
    </row>
    <row r="10754" spans="1:12" x14ac:dyDescent="0.35">
      <c r="A10754" t="str">
        <f t="shared" si="3932"/>
        <v>COMNAVREG MIDLANT</v>
      </c>
      <c r="B10754" t="str">
        <f>T("7924 14TH ST")</f>
        <v>7924 14TH ST</v>
      </c>
      <c r="C10754" t="str">
        <f>T("")</f>
        <v/>
      </c>
      <c r="D10754" t="str">
        <f t="shared" si="3934"/>
        <v>NORFOLK</v>
      </c>
      <c r="E10754" t="str">
        <f t="shared" si="3935"/>
        <v>VA</v>
      </c>
      <c r="F10754" t="str">
        <f>T("235051211")</f>
        <v>235051211</v>
      </c>
      <c r="G10754" t="str">
        <f>T("7924 14TH STREET")</f>
        <v>7924 14TH STREET</v>
      </c>
      <c r="H10754" t="str">
        <f>T("")</f>
        <v/>
      </c>
      <c r="I10754" t="str">
        <f t="shared" si="3936"/>
        <v>NORFOLK</v>
      </c>
      <c r="J10754" t="str">
        <f t="shared" si="3937"/>
        <v>VA</v>
      </c>
      <c r="K10754" t="str">
        <f t="shared" si="3938"/>
        <v>000000000000000000</v>
      </c>
      <c r="L10754" t="str">
        <f>T("7574452731")</f>
        <v>7574452731</v>
      </c>
    </row>
    <row r="10755" spans="1:12" x14ac:dyDescent="0.35">
      <c r="A10755" t="str">
        <f t="shared" si="3932"/>
        <v>COMNAVREG MIDLANT</v>
      </c>
      <c r="B10755" t="str">
        <f>T("7928 14TH ST")</f>
        <v>7928 14TH ST</v>
      </c>
      <c r="C10755" t="str">
        <f>T("SUITE 209")</f>
        <v>SUITE 209</v>
      </c>
      <c r="D10755" t="str">
        <f t="shared" si="3934"/>
        <v>NORFOLK</v>
      </c>
      <c r="E10755" t="str">
        <f t="shared" si="3935"/>
        <v>VA</v>
      </c>
      <c r="F10755" t="str">
        <f>T("235051297")</f>
        <v>235051297</v>
      </c>
      <c r="G10755" t="str">
        <f>T("7928 14TH ST")</f>
        <v>7928 14TH ST</v>
      </c>
      <c r="H10755" t="str">
        <f>T("SUITE 209")</f>
        <v>SUITE 209</v>
      </c>
      <c r="I10755" t="str">
        <f t="shared" si="3936"/>
        <v>NORFOLK</v>
      </c>
      <c r="J10755" t="str">
        <f t="shared" si="3937"/>
        <v>VA</v>
      </c>
      <c r="K10755" t="str">
        <f t="shared" si="3938"/>
        <v>000000000000000000</v>
      </c>
      <c r="L10755" t="str">
        <f>T("7573229107")</f>
        <v>7573229107</v>
      </c>
    </row>
    <row r="10756" spans="1:12" x14ac:dyDescent="0.35">
      <c r="A10756" t="str">
        <f t="shared" si="3932"/>
        <v>COMNAVREG MIDLANT</v>
      </c>
      <c r="B10756" t="str">
        <f>T("7928 14TH ST")</f>
        <v>7928 14TH ST</v>
      </c>
      <c r="C10756" t="str">
        <f>T("SUITE 209")</f>
        <v>SUITE 209</v>
      </c>
      <c r="D10756" t="str">
        <f t="shared" si="3934"/>
        <v>NORFOLK</v>
      </c>
      <c r="E10756" t="str">
        <f t="shared" si="3935"/>
        <v>VA</v>
      </c>
      <c r="F10756" t="str">
        <f>T("235051297")</f>
        <v>235051297</v>
      </c>
      <c r="G10756" t="str">
        <f>T("7928 14TH ST")</f>
        <v>7928 14TH ST</v>
      </c>
      <c r="H10756" t="str">
        <f>T("SUITE 209")</f>
        <v>SUITE 209</v>
      </c>
      <c r="I10756" t="str">
        <f t="shared" si="3936"/>
        <v>NORFOLK</v>
      </c>
      <c r="J10756" t="str">
        <f t="shared" si="3937"/>
        <v>VA</v>
      </c>
      <c r="K10756" t="str">
        <f t="shared" si="3938"/>
        <v>000000000000000000</v>
      </c>
      <c r="L10756" t="str">
        <f>T("7573229179")</f>
        <v>7573229179</v>
      </c>
    </row>
    <row r="10757" spans="1:12" x14ac:dyDescent="0.35">
      <c r="A10757" t="str">
        <f t="shared" si="3932"/>
        <v>COMNAVREG MIDLANT</v>
      </c>
      <c r="B10757" t="str">
        <f>T("7928 14TH ST")</f>
        <v>7928 14TH ST</v>
      </c>
      <c r="C10757" t="str">
        <f>T("SUITE 209")</f>
        <v>SUITE 209</v>
      </c>
      <c r="D10757" t="str">
        <f t="shared" si="3934"/>
        <v>NORFOLK</v>
      </c>
      <c r="E10757" t="str">
        <f t="shared" si="3935"/>
        <v>VA</v>
      </c>
      <c r="F10757" t="str">
        <f>T("235051297")</f>
        <v>235051297</v>
      </c>
      <c r="G10757" t="str">
        <f>T("7928 14TH ST STE 209")</f>
        <v>7928 14TH ST STE 209</v>
      </c>
      <c r="H10757" t="str">
        <f>T("")</f>
        <v/>
      </c>
      <c r="I10757" t="str">
        <f t="shared" si="3936"/>
        <v>NORFOLK</v>
      </c>
      <c r="J10757" t="str">
        <f t="shared" si="3937"/>
        <v>VA</v>
      </c>
      <c r="K10757" t="str">
        <f t="shared" si="3938"/>
        <v>000000000000000000</v>
      </c>
      <c r="L10757" t="str">
        <f>T("7573229127")</f>
        <v>7573229127</v>
      </c>
    </row>
    <row r="10758" spans="1:12" x14ac:dyDescent="0.35">
      <c r="A10758" t="str">
        <f t="shared" si="3932"/>
        <v>COMNAVREG MIDLANT</v>
      </c>
      <c r="B10758" t="str">
        <f>T("7928 14TH STREET")</f>
        <v>7928 14TH STREET</v>
      </c>
      <c r="C10758" t="str">
        <f>T("BLDG SDA 344")</f>
        <v>BLDG SDA 344</v>
      </c>
      <c r="D10758" t="str">
        <f t="shared" si="3934"/>
        <v>NORFOLK</v>
      </c>
      <c r="E10758" t="str">
        <f t="shared" si="3935"/>
        <v>VA</v>
      </c>
      <c r="F10758" t="str">
        <f>T("235051297")</f>
        <v>235051297</v>
      </c>
      <c r="G10758" t="str">
        <f>T("7928 14TH STREET")</f>
        <v>7928 14TH STREET</v>
      </c>
      <c r="H10758" t="str">
        <f>T("BLDG SDA 344")</f>
        <v>BLDG SDA 344</v>
      </c>
      <c r="I10758" t="str">
        <f t="shared" si="3936"/>
        <v>NORFOLK</v>
      </c>
      <c r="J10758" t="str">
        <f t="shared" si="3937"/>
        <v>VA</v>
      </c>
      <c r="K10758" t="str">
        <f t="shared" si="3938"/>
        <v>000000000000000000</v>
      </c>
      <c r="L10758" t="str">
        <f>T("7573229184")</f>
        <v>7573229184</v>
      </c>
    </row>
    <row r="10759" spans="1:12" x14ac:dyDescent="0.35">
      <c r="A10759" t="str">
        <f t="shared" si="3932"/>
        <v>COMNAVREG MIDLANT</v>
      </c>
      <c r="B10759" t="str">
        <f>T("9324 VIRGINIA AVENUE")</f>
        <v>9324 VIRGINIA AVENUE</v>
      </c>
      <c r="C10759" t="str">
        <f>T("ARE BLDG N-26")</f>
        <v>ARE BLDG N-26</v>
      </c>
      <c r="D10759" t="str">
        <f t="shared" si="3934"/>
        <v>NORFOLK</v>
      </c>
      <c r="E10759" t="str">
        <f t="shared" si="3935"/>
        <v>VA</v>
      </c>
      <c r="F10759" t="str">
        <f>T("235113624")</f>
        <v>235113624</v>
      </c>
      <c r="G10759" t="str">
        <f>T("9324 VIRGINIA AVENUE")</f>
        <v>9324 VIRGINIA AVENUE</v>
      </c>
      <c r="H10759" t="str">
        <f>T("ARE BLDG N-26")</f>
        <v>ARE BLDG N-26</v>
      </c>
      <c r="I10759" t="str">
        <f t="shared" si="3936"/>
        <v>NORFOLK</v>
      </c>
      <c r="J10759" t="str">
        <f t="shared" si="3937"/>
        <v>VA</v>
      </c>
      <c r="K10759" t="str">
        <f>T("")</f>
        <v/>
      </c>
      <c r="L10759" t="str">
        <f>T("7573410262")</f>
        <v>7573410262</v>
      </c>
    </row>
    <row r="10760" spans="1:12" x14ac:dyDescent="0.35">
      <c r="A10760" t="str">
        <f t="shared" si="3932"/>
        <v>COMNAVREG MIDLANT</v>
      </c>
      <c r="B10760" t="str">
        <f>T("9324 VIRGINIA AVENUE")</f>
        <v>9324 VIRGINIA AVENUE</v>
      </c>
      <c r="C10760" t="str">
        <f>T("ARE BLDG N-26")</f>
        <v>ARE BLDG N-26</v>
      </c>
      <c r="D10760" t="str">
        <f t="shared" si="3934"/>
        <v>NORFOLK</v>
      </c>
      <c r="E10760" t="str">
        <f t="shared" si="3935"/>
        <v>VA</v>
      </c>
      <c r="F10760" t="str">
        <f>T("235113624")</f>
        <v>235113624</v>
      </c>
      <c r="G10760" t="str">
        <f>T("9742 MARYLAND AVE")</f>
        <v>9742 MARYLAND AVE</v>
      </c>
      <c r="H10760" t="str">
        <f>T("")</f>
        <v/>
      </c>
      <c r="I10760" t="str">
        <f t="shared" si="3936"/>
        <v>NORFOLK</v>
      </c>
      <c r="J10760" t="str">
        <f t="shared" si="3937"/>
        <v>VA</v>
      </c>
      <c r="K10760" t="str">
        <f>T("7574454896")</f>
        <v>7574454896</v>
      </c>
      <c r="L10760" t="str">
        <f>T("7574440303")</f>
        <v>7574440303</v>
      </c>
    </row>
    <row r="10761" spans="1:12" x14ac:dyDescent="0.35">
      <c r="A10761" t="str">
        <f t="shared" si="3932"/>
        <v>COMNAVREG MIDLANT</v>
      </c>
      <c r="B10761" t="str">
        <f>T("953 HORNET DR")</f>
        <v>953 HORNET DR</v>
      </c>
      <c r="C10761" t="str">
        <f>T("BLDG 820")</f>
        <v>BLDG 820</v>
      </c>
      <c r="D10761" t="str">
        <f>T("VIRGINIA BEACH")</f>
        <v>VIRGINIA BEACH</v>
      </c>
      <c r="E10761" t="str">
        <f t="shared" si="3935"/>
        <v>VA</v>
      </c>
      <c r="F10761" t="str">
        <f>T("234602184")</f>
        <v>234602184</v>
      </c>
      <c r="G10761" t="str">
        <f>T("953 HORNET DR")</f>
        <v>953 HORNET DR</v>
      </c>
      <c r="H10761" t="str">
        <f>T("BLDG 820")</f>
        <v>BLDG 820</v>
      </c>
      <c r="I10761" t="str">
        <f>T("VIRGINIA BEACH")</f>
        <v>VIRGINIA BEACH</v>
      </c>
      <c r="J10761" t="str">
        <f t="shared" si="3937"/>
        <v>VA</v>
      </c>
      <c r="K10761" t="str">
        <f t="shared" ref="K10761:K10768" si="3939">T("000000000000000000")</f>
        <v>000000000000000000</v>
      </c>
      <c r="L10761" t="str">
        <f>T("7574332264")</f>
        <v>7574332264</v>
      </c>
    </row>
    <row r="10762" spans="1:12" x14ac:dyDescent="0.35">
      <c r="A10762" t="str">
        <f t="shared" si="3932"/>
        <v>COMNAVREG MIDLANT</v>
      </c>
      <c r="B10762" t="str">
        <f>T("953 HORNET DR")</f>
        <v>953 HORNET DR</v>
      </c>
      <c r="C10762" t="str">
        <f>T("BLDG 820")</f>
        <v>BLDG 820</v>
      </c>
      <c r="D10762" t="str">
        <f>T("VIRGINIA BEACH")</f>
        <v>VIRGINIA BEACH</v>
      </c>
      <c r="E10762" t="str">
        <f t="shared" si="3935"/>
        <v>VA</v>
      </c>
      <c r="F10762" t="str">
        <f>T("234602184")</f>
        <v>234602184</v>
      </c>
      <c r="G10762" t="str">
        <f>T("953 HORNET DRIVIE")</f>
        <v>953 HORNET DRIVIE</v>
      </c>
      <c r="H10762" t="str">
        <f>T("SUITE 118")</f>
        <v>SUITE 118</v>
      </c>
      <c r="I10762" t="str">
        <f>T("VIRGINIA BEACH")</f>
        <v>VIRGINIA BEACH</v>
      </c>
      <c r="J10762" t="str">
        <f t="shared" si="3937"/>
        <v>VA</v>
      </c>
      <c r="K10762" t="str">
        <f t="shared" si="3939"/>
        <v>000000000000000000</v>
      </c>
      <c r="L10762" t="str">
        <f>T("7574332995")</f>
        <v>7574332995</v>
      </c>
    </row>
    <row r="10763" spans="1:12" x14ac:dyDescent="0.35">
      <c r="A10763" t="str">
        <f t="shared" si="3932"/>
        <v>COMNAVREG MIDLANT</v>
      </c>
      <c r="B10763" t="str">
        <f>T("BOX 400 TAUTOG RD")</f>
        <v>BOX 400 TAUTOG RD</v>
      </c>
      <c r="C10763" t="str">
        <f>T("BLDG 439 RM 104")</f>
        <v>BLDG 439 RM 104</v>
      </c>
      <c r="D10763" t="str">
        <f>T("GROTON")</f>
        <v>GROTON</v>
      </c>
      <c r="E10763" t="str">
        <f>T("CT")</f>
        <v>CT</v>
      </c>
      <c r="F10763" t="str">
        <f>T("063495400")</f>
        <v>063495400</v>
      </c>
      <c r="G10763" t="str">
        <f>T("BOX 400 BLDG 439")</f>
        <v>BOX 400 BLDG 439</v>
      </c>
      <c r="H10763" t="str">
        <f>T("TAUTOG AVE RM 104")</f>
        <v>TAUTOG AVE RM 104</v>
      </c>
      <c r="I10763" t="str">
        <f>T("GROTON")</f>
        <v>GROTON</v>
      </c>
      <c r="J10763" t="str">
        <f>T("CT")</f>
        <v>CT</v>
      </c>
      <c r="K10763" t="str">
        <f t="shared" si="3939"/>
        <v>000000000000000000</v>
      </c>
      <c r="L10763" t="str">
        <f>T("8606945192")</f>
        <v>8606945192</v>
      </c>
    </row>
    <row r="10764" spans="1:12" x14ac:dyDescent="0.35">
      <c r="A10764" t="str">
        <f t="shared" si="3932"/>
        <v>COMNAVREG MIDLANT</v>
      </c>
      <c r="B10764" t="str">
        <f>T("BOX 400 TAUTOG RD")</f>
        <v>BOX 400 TAUTOG RD</v>
      </c>
      <c r="C10764" t="str">
        <f>T("BLDG 439 RM 104")</f>
        <v>BLDG 439 RM 104</v>
      </c>
      <c r="D10764" t="str">
        <f>T("GROTON")</f>
        <v>GROTON</v>
      </c>
      <c r="E10764" t="str">
        <f>T("CT")</f>
        <v>CT</v>
      </c>
      <c r="F10764" t="str">
        <f>T("063495400")</f>
        <v>063495400</v>
      </c>
      <c r="G10764" t="str">
        <f>T("BOX 400 TAUTOG RD")</f>
        <v>BOX 400 TAUTOG RD</v>
      </c>
      <c r="H10764" t="str">
        <f>T("BLDG 439 RM 104")</f>
        <v>BLDG 439 RM 104</v>
      </c>
      <c r="I10764" t="str">
        <f>T("GROTON")</f>
        <v>GROTON</v>
      </c>
      <c r="J10764" t="str">
        <f>T("CT")</f>
        <v>CT</v>
      </c>
      <c r="K10764" t="str">
        <f t="shared" si="3939"/>
        <v>000000000000000000</v>
      </c>
      <c r="L10764" t="str">
        <f>T("8606945320")</f>
        <v>8606945320</v>
      </c>
    </row>
    <row r="10765" spans="1:12" x14ac:dyDescent="0.35">
      <c r="A10765" t="str">
        <f t="shared" si="3932"/>
        <v>COMNAVREG MIDLANT</v>
      </c>
      <c r="B10765" t="str">
        <f>T("BOX 400 TAUTOG RD")</f>
        <v>BOX 400 TAUTOG RD</v>
      </c>
      <c r="C10765" t="str">
        <f>T("BLDG 439 RM 104")</f>
        <v>BLDG 439 RM 104</v>
      </c>
      <c r="D10765" t="str">
        <f>T("GROTON")</f>
        <v>GROTON</v>
      </c>
      <c r="E10765" t="str">
        <f>T("CT")</f>
        <v>CT</v>
      </c>
      <c r="F10765" t="str">
        <f>T("063495400")</f>
        <v>063495400</v>
      </c>
      <c r="G10765" t="str">
        <f>T("P O BOX 400 CRYSTAL LAKE RD")</f>
        <v>P O BOX 400 CRYSTAL LAKE RD</v>
      </c>
      <c r="H10765" t="str">
        <f>T("BLDG 562")</f>
        <v>BLDG 562</v>
      </c>
      <c r="I10765" t="str">
        <f>T("GROTON")</f>
        <v>GROTON</v>
      </c>
      <c r="J10765" t="str">
        <f>T("CT")</f>
        <v>CT</v>
      </c>
      <c r="K10765" t="str">
        <f t="shared" si="3939"/>
        <v>000000000000000000</v>
      </c>
      <c r="L10765" t="str">
        <f>T("8606944673")</f>
        <v>8606944673</v>
      </c>
    </row>
    <row r="10766" spans="1:12" x14ac:dyDescent="0.35">
      <c r="A10766" t="str">
        <f t="shared" si="3932"/>
        <v>COMNAVREG MIDLANT</v>
      </c>
      <c r="B10766" t="str">
        <f>T("NSA SARATOGA SPRINGS SUP")</f>
        <v>NSA SARATOGA SPRINGS SUP</v>
      </c>
      <c r="C10766" t="str">
        <f>T("19 JF KING DRIVE")</f>
        <v>19 JF KING DRIVE</v>
      </c>
      <c r="D10766" t="str">
        <f>T("SARATOGA SPRINGS")</f>
        <v>SARATOGA SPRINGS</v>
      </c>
      <c r="E10766" t="str">
        <f>T("NY")</f>
        <v>NY</v>
      </c>
      <c r="F10766" t="str">
        <f>T("128669267")</f>
        <v>128669267</v>
      </c>
      <c r="G10766" t="str">
        <f>T("19 JF KING DRIVE")</f>
        <v>19 JF KING DRIVE</v>
      </c>
      <c r="H10766" t="str">
        <f>T("")</f>
        <v/>
      </c>
      <c r="I10766" t="str">
        <f>T("SARATOGA SPRINGS")</f>
        <v>SARATOGA SPRINGS</v>
      </c>
      <c r="J10766" t="str">
        <f>T("NY")</f>
        <v>NY</v>
      </c>
      <c r="K10766" t="str">
        <f t="shared" si="3939"/>
        <v>000000000000000000</v>
      </c>
      <c r="L10766" t="str">
        <f>T("5188860200")</f>
        <v>5188860200</v>
      </c>
    </row>
    <row r="10767" spans="1:12" x14ac:dyDescent="0.35">
      <c r="A10767" t="str">
        <f t="shared" si="3932"/>
        <v>COMNAVREG MIDLANT</v>
      </c>
      <c r="B10767" t="str">
        <f>T("NSA SARATOGA SPRINGS SUP")</f>
        <v>NSA SARATOGA SPRINGS SUP</v>
      </c>
      <c r="C10767" t="str">
        <f>T("19 JF KING DRIVE")</f>
        <v>19 JF KING DRIVE</v>
      </c>
      <c r="D10767" t="str">
        <f>T("SARATOGA SPRINGS")</f>
        <v>SARATOGA SPRINGS</v>
      </c>
      <c r="E10767" t="str">
        <f>T("NY")</f>
        <v>NY</v>
      </c>
      <c r="F10767" t="str">
        <f>T("128669267")</f>
        <v>128669267</v>
      </c>
      <c r="G10767" t="str">
        <f>T("NSA SARATOGA SPRINGS SUP")</f>
        <v>NSA SARATOGA SPRINGS SUP</v>
      </c>
      <c r="H10767" t="str">
        <f>T("19 JF KING DRIVE")</f>
        <v>19 JF KING DRIVE</v>
      </c>
      <c r="I10767" t="str">
        <f>T("SARATOGA SPRINGS")</f>
        <v>SARATOGA SPRINGS</v>
      </c>
      <c r="J10767" t="str">
        <f>T("NY")</f>
        <v>NY</v>
      </c>
      <c r="K10767" t="str">
        <f t="shared" si="3939"/>
        <v>000000000000000000</v>
      </c>
      <c r="L10767" t="str">
        <f>T("1111111111")</f>
        <v>1111111111</v>
      </c>
    </row>
    <row r="10768" spans="1:12" x14ac:dyDescent="0.35">
      <c r="A10768" t="str">
        <f t="shared" si="3932"/>
        <v>COMNAVREG MIDLANT</v>
      </c>
      <c r="B10768" t="str">
        <f t="shared" ref="B10768:B10776" si="3940">T("PORTSMOUTH NAVAL SHIPYARD")</f>
        <v>PORTSMOUTH NAVAL SHIPYARD</v>
      </c>
      <c r="C10768" t="str">
        <f>T("BLDG 59 RPM1")</f>
        <v>BLDG 59 RPM1</v>
      </c>
      <c r="D10768" t="str">
        <f t="shared" ref="D10768:D10776" si="3941">T("PORTSMOUTH")</f>
        <v>PORTSMOUTH</v>
      </c>
      <c r="E10768" t="str">
        <f t="shared" ref="E10768:E10776" si="3942">T("NH")</f>
        <v>NH</v>
      </c>
      <c r="F10768" t="str">
        <f t="shared" ref="F10768:F10776" si="3943">T("038040000")</f>
        <v>038040000</v>
      </c>
      <c r="G10768" t="str">
        <f>T("PORTSMOUTH NAVAL SHIPYARD")</f>
        <v>PORTSMOUTH NAVAL SHIPYARD</v>
      </c>
      <c r="H10768" t="str">
        <f>T("BLDG 59 RPM1")</f>
        <v>BLDG 59 RPM1</v>
      </c>
      <c r="I10768" t="str">
        <f>T("PORTSMOUTH")</f>
        <v>PORTSMOUTH</v>
      </c>
      <c r="J10768" t="str">
        <f t="shared" ref="J10768:J10773" si="3944">T("NH")</f>
        <v>NH</v>
      </c>
      <c r="K10768" t="str">
        <f t="shared" si="3939"/>
        <v>000000000000000000</v>
      </c>
      <c r="L10768" t="str">
        <f>T("2074384610")</f>
        <v>2074384610</v>
      </c>
    </row>
    <row r="10769" spans="1:12" x14ac:dyDescent="0.35">
      <c r="A10769" t="str">
        <f t="shared" si="3932"/>
        <v>COMNAVREG MIDLANT</v>
      </c>
      <c r="B10769" t="str">
        <f t="shared" si="3940"/>
        <v>PORTSMOUTH NAVAL SHIPYARD</v>
      </c>
      <c r="C10769" t="str">
        <f>T("BLDG 59 RPM1")</f>
        <v>BLDG 59 RPM1</v>
      </c>
      <c r="D10769" t="str">
        <f t="shared" si="3941"/>
        <v>PORTSMOUTH</v>
      </c>
      <c r="E10769" t="str">
        <f t="shared" si="3942"/>
        <v>NH</v>
      </c>
      <c r="F10769" t="str">
        <f t="shared" si="3943"/>
        <v>038040000</v>
      </c>
      <c r="G10769" t="str">
        <f>T("PORTSMOUTH NAVAL SHIPYARD")</f>
        <v>PORTSMOUTH NAVAL SHIPYARD</v>
      </c>
      <c r="H10769" t="str">
        <f>T("BLDG 59 RPM1")</f>
        <v>BLDG 59 RPM1</v>
      </c>
      <c r="I10769" t="str">
        <f>T("PORTSMOUTH")</f>
        <v>PORTSMOUTH</v>
      </c>
      <c r="J10769" t="str">
        <f t="shared" si="3944"/>
        <v>NH</v>
      </c>
      <c r="K10769" t="str">
        <f>T("2074382916")</f>
        <v>2074382916</v>
      </c>
      <c r="L10769" t="str">
        <f>T("2074384449")</f>
        <v>2074384449</v>
      </c>
    </row>
    <row r="10770" spans="1:12" x14ac:dyDescent="0.35">
      <c r="A10770" t="str">
        <f t="shared" ref="A10770:A10779" si="3945">T("COMNAVREG MIDLANT")</f>
        <v>COMNAVREG MIDLANT</v>
      </c>
      <c r="B10770" t="str">
        <f t="shared" si="3940"/>
        <v>PORTSMOUTH NAVAL SHIPYARD</v>
      </c>
      <c r="C10770" t="str">
        <f>T("BLDG 59 RPM1")</f>
        <v>BLDG 59 RPM1</v>
      </c>
      <c r="D10770" t="str">
        <f t="shared" si="3941"/>
        <v>PORTSMOUTH</v>
      </c>
      <c r="E10770" t="str">
        <f t="shared" si="3942"/>
        <v>NH</v>
      </c>
      <c r="F10770" t="str">
        <f t="shared" si="3943"/>
        <v>038040000</v>
      </c>
      <c r="G10770" t="str">
        <f>T("PORTSMOUTH NAVAL SHIPYARE")</f>
        <v>PORTSMOUTH NAVAL SHIPYARE</v>
      </c>
      <c r="H10770" t="str">
        <f>T("BLDG 59 PRM1")</f>
        <v>BLDG 59 PRM1</v>
      </c>
      <c r="I10770" t="str">
        <f>T("PURTSMOUTH")</f>
        <v>PURTSMOUTH</v>
      </c>
      <c r="J10770" t="str">
        <f t="shared" si="3944"/>
        <v>NH</v>
      </c>
      <c r="K10770" t="str">
        <f>T("2074382916")</f>
        <v>2074382916</v>
      </c>
      <c r="L10770" t="str">
        <f>T("2074384449")</f>
        <v>2074384449</v>
      </c>
    </row>
    <row r="10771" spans="1:12" x14ac:dyDescent="0.35">
      <c r="A10771" t="str">
        <f t="shared" si="3945"/>
        <v>COMNAVREG MIDLANT</v>
      </c>
      <c r="B10771" t="str">
        <f t="shared" si="3940"/>
        <v>PORTSMOUTH NAVAL SHIPYARD</v>
      </c>
      <c r="C10771" t="str">
        <f>T("BUILDING 59")</f>
        <v>BUILDING 59</v>
      </c>
      <c r="D10771" t="str">
        <f t="shared" si="3941"/>
        <v>PORTSMOUTH</v>
      </c>
      <c r="E10771" t="str">
        <f t="shared" si="3942"/>
        <v>NH</v>
      </c>
      <c r="F10771" t="str">
        <f t="shared" si="3943"/>
        <v>038040000</v>
      </c>
      <c r="G10771" t="str">
        <f>T("BUILDING 59")</f>
        <v>BUILDING 59</v>
      </c>
      <c r="H10771" t="str">
        <f>T("")</f>
        <v/>
      </c>
      <c r="I10771" t="str">
        <f>T("PORTSMOUTH")</f>
        <v>PORTSMOUTH</v>
      </c>
      <c r="J10771" t="str">
        <f t="shared" si="3944"/>
        <v>NH</v>
      </c>
      <c r="K10771" t="str">
        <f>T("000000000000000000")</f>
        <v>000000000000000000</v>
      </c>
      <c r="L10771" t="str">
        <f>T("2074386618")</f>
        <v>2074386618</v>
      </c>
    </row>
    <row r="10772" spans="1:12" x14ac:dyDescent="0.35">
      <c r="A10772" t="str">
        <f t="shared" si="3945"/>
        <v>COMNAVREG MIDLANT</v>
      </c>
      <c r="B10772" t="str">
        <f t="shared" si="3940"/>
        <v>PORTSMOUTH NAVAL SHIPYARD</v>
      </c>
      <c r="C10772" t="str">
        <f>T("BUILDING 59")</f>
        <v>BUILDING 59</v>
      </c>
      <c r="D10772" t="str">
        <f t="shared" si="3941"/>
        <v>PORTSMOUTH</v>
      </c>
      <c r="E10772" t="str">
        <f t="shared" si="3942"/>
        <v>NH</v>
      </c>
      <c r="F10772" t="str">
        <f t="shared" si="3943"/>
        <v>038040000</v>
      </c>
      <c r="G10772" t="str">
        <f>T("PORTSMOUTH NAVAL SHIPYARD")</f>
        <v>PORTSMOUTH NAVAL SHIPYARD</v>
      </c>
      <c r="H10772" t="str">
        <f>T("BUILDING 59")</f>
        <v>BUILDING 59</v>
      </c>
      <c r="I10772" t="str">
        <f>T("PORTSMOUTH")</f>
        <v>PORTSMOUTH</v>
      </c>
      <c r="J10772" t="str">
        <f t="shared" si="3944"/>
        <v>NH</v>
      </c>
      <c r="K10772" t="str">
        <f>T("000000000000000000")</f>
        <v>000000000000000000</v>
      </c>
      <c r="L10772" t="str">
        <f>T("2079211717")</f>
        <v>2079211717</v>
      </c>
    </row>
    <row r="10773" spans="1:12" x14ac:dyDescent="0.35">
      <c r="A10773" t="str">
        <f t="shared" si="3945"/>
        <v>COMNAVREG MIDLANT</v>
      </c>
      <c r="B10773" t="str">
        <f t="shared" si="3940"/>
        <v>PORTSMOUTH NAVAL SHIPYARD</v>
      </c>
      <c r="C10773" t="str">
        <f>T("MACDONOUGH AVE BLDG 86 CODE 800")</f>
        <v>MACDONOUGH AVE BLDG 86 CODE 800</v>
      </c>
      <c r="D10773" t="str">
        <f t="shared" si="3941"/>
        <v>PORTSMOUTH</v>
      </c>
      <c r="E10773" t="str">
        <f t="shared" si="3942"/>
        <v>NH</v>
      </c>
      <c r="F10773" t="str">
        <f t="shared" si="3943"/>
        <v>038040000</v>
      </c>
      <c r="G10773" t="str">
        <f>T("ID OFFICES")</f>
        <v>ID OFFICES</v>
      </c>
      <c r="H10773" t="str">
        <f>T("BLDG 384")</f>
        <v>BLDG 384</v>
      </c>
      <c r="I10773" t="str">
        <f>T("PORTSMOUTH")</f>
        <v>PORTSMOUTH</v>
      </c>
      <c r="J10773" t="str">
        <f t="shared" si="3944"/>
        <v>NH</v>
      </c>
      <c r="K10773" t="str">
        <f>T("2074382669")</f>
        <v>2074382669</v>
      </c>
      <c r="L10773" t="str">
        <f>T("2074384988")</f>
        <v>2074384988</v>
      </c>
    </row>
    <row r="10774" spans="1:12" x14ac:dyDescent="0.35">
      <c r="A10774" t="str">
        <f t="shared" si="3945"/>
        <v>COMNAVREG MIDLANT</v>
      </c>
      <c r="B10774" t="str">
        <f t="shared" si="3940"/>
        <v>PORTSMOUTH NAVAL SHIPYARD</v>
      </c>
      <c r="C10774" t="str">
        <f>T("MACDONOUGH AVE BLDG 86 CODE 800")</f>
        <v>MACDONOUGH AVE BLDG 86 CODE 800</v>
      </c>
      <c r="D10774" t="str">
        <f t="shared" si="3941"/>
        <v>PORTSMOUTH</v>
      </c>
      <c r="E10774" t="str">
        <f t="shared" si="3942"/>
        <v>NH</v>
      </c>
      <c r="F10774" t="str">
        <f t="shared" si="3943"/>
        <v>038040000</v>
      </c>
      <c r="G10774" t="str">
        <f>T("PORTSMOUTH NAVAL SHIPYARD")</f>
        <v>PORTSMOUTH NAVAL SHIPYARD</v>
      </c>
      <c r="H10774" t="str">
        <f>T("BLDG 238 MEZZ DECK")</f>
        <v>BLDG 238 MEZZ DECK</v>
      </c>
      <c r="I10774" t="str">
        <f>T("KITTERY")</f>
        <v>KITTERY</v>
      </c>
      <c r="J10774" t="str">
        <f>T("ME")</f>
        <v>ME</v>
      </c>
      <c r="K10774" t="str">
        <f>T("2074382109")</f>
        <v>2074382109</v>
      </c>
      <c r="L10774" t="str">
        <f>T("2074381100")</f>
        <v>2074381100</v>
      </c>
    </row>
    <row r="10775" spans="1:12" x14ac:dyDescent="0.35">
      <c r="A10775" t="str">
        <f t="shared" si="3945"/>
        <v>COMNAVREG MIDLANT</v>
      </c>
      <c r="B10775" t="str">
        <f t="shared" si="3940"/>
        <v>PORTSMOUTH NAVAL SHIPYARD</v>
      </c>
      <c r="C10775" t="str">
        <f>T("MACDONOUGH AVE BLDG 86 CODE 800")</f>
        <v>MACDONOUGH AVE BLDG 86 CODE 800</v>
      </c>
      <c r="D10775" t="str">
        <f t="shared" si="3941"/>
        <v>PORTSMOUTH</v>
      </c>
      <c r="E10775" t="str">
        <f t="shared" si="3942"/>
        <v>NH</v>
      </c>
      <c r="F10775" t="str">
        <f t="shared" si="3943"/>
        <v>038040000</v>
      </c>
      <c r="G10775" t="str">
        <f>T("PORTSMOUTH NAVAL SHIPYARD")</f>
        <v>PORTSMOUTH NAVAL SHIPYARD</v>
      </c>
      <c r="H10775" t="str">
        <f>T("BLDG 238 TUG OFFICE")</f>
        <v>BLDG 238 TUG OFFICE</v>
      </c>
      <c r="I10775" t="str">
        <f>T("KITTERY")</f>
        <v>KITTERY</v>
      </c>
      <c r="J10775" t="str">
        <f>T("ME")</f>
        <v>ME</v>
      </c>
      <c r="K10775" t="str">
        <f>T("000000000000000000")</f>
        <v>000000000000000000</v>
      </c>
      <c r="L10775" t="str">
        <f>T("2074381100")</f>
        <v>2074381100</v>
      </c>
    </row>
    <row r="10776" spans="1:12" x14ac:dyDescent="0.35">
      <c r="A10776" t="str">
        <f t="shared" si="3945"/>
        <v>COMNAVREG MIDLANT</v>
      </c>
      <c r="B10776" t="str">
        <f t="shared" si="3940"/>
        <v>PORTSMOUTH NAVAL SHIPYARD</v>
      </c>
      <c r="C10776" t="str">
        <f>T("MACDONOUGH AVE BLDG 86 CODE 800")</f>
        <v>MACDONOUGH AVE BLDG 86 CODE 800</v>
      </c>
      <c r="D10776" t="str">
        <f t="shared" si="3941"/>
        <v>PORTSMOUTH</v>
      </c>
      <c r="E10776" t="str">
        <f t="shared" si="3942"/>
        <v>NH</v>
      </c>
      <c r="F10776" t="str">
        <f t="shared" si="3943"/>
        <v>038040000</v>
      </c>
      <c r="G10776" t="str">
        <f>T("PORTSMOUTH NAVAL SHIPYARD")</f>
        <v>PORTSMOUTH NAVAL SHIPYARD</v>
      </c>
      <c r="H10776" t="str">
        <f>T("MACDONOUGH AVE BLDG 86 CODE 800")</f>
        <v>MACDONOUGH AVE BLDG 86 CODE 800</v>
      </c>
      <c r="I10776" t="str">
        <f>T("PORTSMOUTH")</f>
        <v>PORTSMOUTH</v>
      </c>
      <c r="J10776" t="str">
        <f>T("NH")</f>
        <v>NH</v>
      </c>
      <c r="K10776" t="str">
        <f>T("000000000000000000")</f>
        <v>000000000000000000</v>
      </c>
      <c r="L10776" t="str">
        <f>T("2074385080")</f>
        <v>2074385080</v>
      </c>
    </row>
    <row r="10777" spans="1:12" x14ac:dyDescent="0.35">
      <c r="A10777" t="str">
        <f t="shared" si="3945"/>
        <v>COMNAVREG MIDLANT</v>
      </c>
      <c r="B10777" t="str">
        <f>T("SUBASE NEW LONDON PWD")</f>
        <v>SUBASE NEW LONDON PWD</v>
      </c>
      <c r="C10777" t="str">
        <f>T("BLDG 135 GRAYLING AVENUE")</f>
        <v>BLDG 135 GRAYLING AVENUE</v>
      </c>
      <c r="D10777" t="str">
        <f>T("GROTON")</f>
        <v>GROTON</v>
      </c>
      <c r="E10777" t="str">
        <f>T("CT")</f>
        <v>CT</v>
      </c>
      <c r="F10777" t="str">
        <f>T("063495400")</f>
        <v>063495400</v>
      </c>
      <c r="G10777" t="str">
        <f>T("BOX 400 BLDG 135")</f>
        <v>BOX 400 BLDG 135</v>
      </c>
      <c r="H10777" t="str">
        <f>T("CRYSTAL LAKE ROAD")</f>
        <v>CRYSTAL LAKE ROAD</v>
      </c>
      <c r="I10777" t="str">
        <f>T("GROTON")</f>
        <v>GROTON</v>
      </c>
      <c r="J10777" t="str">
        <f>T("CT")</f>
        <v>CT</v>
      </c>
      <c r="K10777" t="str">
        <f>T("8606944510")</f>
        <v>8606944510</v>
      </c>
      <c r="L10777" t="str">
        <f>T("8606944806")</f>
        <v>8606944806</v>
      </c>
    </row>
    <row r="10778" spans="1:12" x14ac:dyDescent="0.35">
      <c r="A10778" t="str">
        <f t="shared" si="3945"/>
        <v>COMNAVREG MIDLANT</v>
      </c>
      <c r="B10778" t="str">
        <f>T("SUBASE NEW LONDON PWD")</f>
        <v>SUBASE NEW LONDON PWD</v>
      </c>
      <c r="C10778" t="str">
        <f>T("BLDG 135 GRAYLING AVENUE")</f>
        <v>BLDG 135 GRAYLING AVENUE</v>
      </c>
      <c r="D10778" t="str">
        <f>T("GROTON")</f>
        <v>GROTON</v>
      </c>
      <c r="E10778" t="str">
        <f>T("CT")</f>
        <v>CT</v>
      </c>
      <c r="F10778" t="str">
        <f>T("063495400")</f>
        <v>063495400</v>
      </c>
      <c r="G10778" t="str">
        <f>T("NAVAL SUBMARIN BASE NLON")</f>
        <v>NAVAL SUBMARIN BASE NLON</v>
      </c>
      <c r="H10778" t="str">
        <f>T("BUILDING 135 GRAYLING AVENUE")</f>
        <v>BUILDING 135 GRAYLING AVENUE</v>
      </c>
      <c r="I10778" t="str">
        <f>T("GROTON")</f>
        <v>GROTON</v>
      </c>
      <c r="J10778" t="str">
        <f>T("CT")</f>
        <v>CT</v>
      </c>
      <c r="K10778" t="str">
        <f t="shared" ref="K10778:K10783" si="3946">T("000000000000000000")</f>
        <v>000000000000000000</v>
      </c>
      <c r="L10778" t="str">
        <f>T("8606943541")</f>
        <v>8606943541</v>
      </c>
    </row>
    <row r="10779" spans="1:12" x14ac:dyDescent="0.35">
      <c r="A10779" t="str">
        <f t="shared" si="3945"/>
        <v>COMNAVREG MIDLANT</v>
      </c>
      <c r="B10779" t="str">
        <f>T("SUBASE NEW LONDON PWD")</f>
        <v>SUBASE NEW LONDON PWD</v>
      </c>
      <c r="C10779" t="str">
        <f>T("BLDG 135 GRAYLING AVENUE")</f>
        <v>BLDG 135 GRAYLING AVENUE</v>
      </c>
      <c r="D10779" t="str">
        <f>T("GROTON")</f>
        <v>GROTON</v>
      </c>
      <c r="E10779" t="str">
        <f>T("CT")</f>
        <v>CT</v>
      </c>
      <c r="F10779" t="str">
        <f>T("063495400")</f>
        <v>063495400</v>
      </c>
      <c r="G10779" t="str">
        <f>T("SUBASE NEW LONDON PWD")</f>
        <v>SUBASE NEW LONDON PWD</v>
      </c>
      <c r="H10779" t="str">
        <f>T("BLDG 135 GRAYLING AVENUE")</f>
        <v>BLDG 135 GRAYLING AVENUE</v>
      </c>
      <c r="I10779" t="str">
        <f>T("GROTON")</f>
        <v>GROTON</v>
      </c>
      <c r="J10779" t="str">
        <f>T("CT")</f>
        <v>CT</v>
      </c>
      <c r="K10779" t="str">
        <f t="shared" si="3946"/>
        <v>000000000000000000</v>
      </c>
      <c r="L10779" t="str">
        <f>T("8606942078")</f>
        <v>8606942078</v>
      </c>
    </row>
    <row r="10780" spans="1:12" x14ac:dyDescent="0.35">
      <c r="A10780" t="str">
        <f t="shared" ref="A10780:A10808" si="3947">T("NAVAL STATION NORFOLK")</f>
        <v>NAVAL STATION NORFOLK</v>
      </c>
      <c r="B10780" t="str">
        <f>T("1221 BELLINGER BLVD")</f>
        <v>1221 BELLINGER BLVD</v>
      </c>
      <c r="C10780" t="str">
        <f>T("BLDG U111")</f>
        <v>BLDG U111</v>
      </c>
      <c r="D10780" t="str">
        <f t="shared" ref="D10780:D10788" si="3948">T("NORFOLK")</f>
        <v>NORFOLK</v>
      </c>
      <c r="E10780" t="str">
        <f t="shared" ref="E10780:E10811" si="3949">T("VA")</f>
        <v>VA</v>
      </c>
      <c r="F10780" t="str">
        <f>T("235112311")</f>
        <v>235112311</v>
      </c>
      <c r="G10780" t="str">
        <f>T("1221 BELLINGER BLVD")</f>
        <v>1221 BELLINGER BLVD</v>
      </c>
      <c r="H10780" t="str">
        <f>T("BLDG U111")</f>
        <v>BLDG U111</v>
      </c>
      <c r="I10780" t="str">
        <f t="shared" ref="I10780:I10790" si="3950">T("NORFOLK")</f>
        <v>NORFOLK</v>
      </c>
      <c r="J10780" t="str">
        <f t="shared" ref="J10780:J10811" si="3951">T("VA")</f>
        <v>VA</v>
      </c>
      <c r="K10780" t="str">
        <f t="shared" si="3946"/>
        <v>000000000000000000</v>
      </c>
      <c r="L10780" t="str">
        <f>T("7574450371")</f>
        <v>7574450371</v>
      </c>
    </row>
    <row r="10781" spans="1:12" x14ac:dyDescent="0.35">
      <c r="A10781" t="str">
        <f t="shared" si="3947"/>
        <v>NAVAL STATION NORFOLK</v>
      </c>
      <c r="B10781" t="str">
        <f>T("1221 BELLINGER BLVD")</f>
        <v>1221 BELLINGER BLVD</v>
      </c>
      <c r="C10781" t="str">
        <f>T("BLDG U111")</f>
        <v>BLDG U111</v>
      </c>
      <c r="D10781" t="str">
        <f t="shared" si="3948"/>
        <v>NORFOLK</v>
      </c>
      <c r="E10781" t="str">
        <f t="shared" si="3949"/>
        <v>VA</v>
      </c>
      <c r="F10781" t="str">
        <f>T("235112311")</f>
        <v>235112311</v>
      </c>
      <c r="G10781" t="str">
        <f>T("1221 BELLINGER BLVD")</f>
        <v>1221 BELLINGER BLVD</v>
      </c>
      <c r="H10781" t="str">
        <f>T("BUILDING U111")</f>
        <v>BUILDING U111</v>
      </c>
      <c r="I10781" t="str">
        <f t="shared" si="3950"/>
        <v>NORFOLK</v>
      </c>
      <c r="J10781" t="str">
        <f t="shared" si="3951"/>
        <v>VA</v>
      </c>
      <c r="K10781" t="str">
        <f t="shared" si="3946"/>
        <v>000000000000000000</v>
      </c>
      <c r="L10781" t="str">
        <f>T("7574456533")</f>
        <v>7574456533</v>
      </c>
    </row>
    <row r="10782" spans="1:12" x14ac:dyDescent="0.35">
      <c r="A10782" t="str">
        <f t="shared" si="3947"/>
        <v>NAVAL STATION NORFOLK</v>
      </c>
      <c r="B10782" t="str">
        <f>T("1510 GILBER ST")</f>
        <v>1510 GILBER ST</v>
      </c>
      <c r="C10782" t="str">
        <f>T("BLDG N-21")</f>
        <v>BLDG N-21</v>
      </c>
      <c r="D10782" t="str">
        <f t="shared" si="3948"/>
        <v>NORFOLK</v>
      </c>
      <c r="E10782" t="str">
        <f t="shared" si="3949"/>
        <v>VA</v>
      </c>
      <c r="F10782" t="str">
        <f>T("235112738")</f>
        <v>235112738</v>
      </c>
      <c r="G10782" t="str">
        <f>T("1510 GILBER ST")</f>
        <v>1510 GILBER ST</v>
      </c>
      <c r="H10782" t="str">
        <f>T("BLDG N-21")</f>
        <v>BLDG N-21</v>
      </c>
      <c r="I10782" t="str">
        <f t="shared" si="3950"/>
        <v>NORFOLK</v>
      </c>
      <c r="J10782" t="str">
        <f t="shared" si="3951"/>
        <v>VA</v>
      </c>
      <c r="K10782" t="str">
        <f t="shared" si="3946"/>
        <v>000000000000000000</v>
      </c>
      <c r="L10782" t="str">
        <f>T("7574441852")</f>
        <v>7574441852</v>
      </c>
    </row>
    <row r="10783" spans="1:12" x14ac:dyDescent="0.35">
      <c r="A10783" t="str">
        <f t="shared" si="3947"/>
        <v>NAVAL STATION NORFOLK</v>
      </c>
      <c r="B10783" t="str">
        <f>T("1510 GILBER ST")</f>
        <v>1510 GILBER ST</v>
      </c>
      <c r="C10783" t="str">
        <f>T("BLDG N-21")</f>
        <v>BLDG N-21</v>
      </c>
      <c r="D10783" t="str">
        <f t="shared" si="3948"/>
        <v>NORFOLK</v>
      </c>
      <c r="E10783" t="str">
        <f t="shared" si="3949"/>
        <v>VA</v>
      </c>
      <c r="F10783" t="str">
        <f>T("235112738")</f>
        <v>235112738</v>
      </c>
      <c r="G10783" t="str">
        <f>T("1531 GILBERT STREET")</f>
        <v>1531 GILBERT STREET</v>
      </c>
      <c r="H10783" t="str">
        <f>T("SUITE 1100")</f>
        <v>SUITE 1100</v>
      </c>
      <c r="I10783" t="str">
        <f t="shared" si="3950"/>
        <v>NORFOLK</v>
      </c>
      <c r="J10783" t="str">
        <f t="shared" si="3951"/>
        <v>VA</v>
      </c>
      <c r="K10783" t="str">
        <f t="shared" si="3946"/>
        <v>000000000000000000</v>
      </c>
      <c r="L10783" t="str">
        <f>T("7573222888")</f>
        <v>7573222888</v>
      </c>
    </row>
    <row r="10784" spans="1:12" x14ac:dyDescent="0.35">
      <c r="A10784" t="str">
        <f t="shared" si="3947"/>
        <v>NAVAL STATION NORFOLK</v>
      </c>
      <c r="B10784" t="str">
        <f>T("1530 GILBERT STREET SUITE 2000")</f>
        <v>1530 GILBERT STREET SUITE 2000</v>
      </c>
      <c r="C10784" t="str">
        <f>T("")</f>
        <v/>
      </c>
      <c r="D10784" t="str">
        <f t="shared" si="3948"/>
        <v>NORFOLK</v>
      </c>
      <c r="E10784" t="str">
        <f t="shared" si="3949"/>
        <v>VA</v>
      </c>
      <c r="F10784" t="str">
        <f>T("235112730")</f>
        <v>235112730</v>
      </c>
      <c r="G10784" t="str">
        <f>T("1530 GILBERT STREET")</f>
        <v>1530 GILBERT STREET</v>
      </c>
      <c r="H10784" t="str">
        <f>T("SUITE 2000")</f>
        <v>SUITE 2000</v>
      </c>
      <c r="I10784" t="str">
        <f t="shared" si="3950"/>
        <v>NORFOLK</v>
      </c>
      <c r="J10784" t="str">
        <f t="shared" si="3951"/>
        <v>VA</v>
      </c>
      <c r="K10784" t="str">
        <f>T("7574454424")</f>
        <v>7574454424</v>
      </c>
      <c r="L10784" t="str">
        <f>T("7574452577")</f>
        <v>7574452577</v>
      </c>
    </row>
    <row r="10785" spans="1:12" x14ac:dyDescent="0.35">
      <c r="A10785" t="str">
        <f t="shared" si="3947"/>
        <v>NAVAL STATION NORFOLK</v>
      </c>
      <c r="B10785" t="str">
        <f>T("1530 GILBERT STREET SUITE 2000")</f>
        <v>1530 GILBERT STREET SUITE 2000</v>
      </c>
      <c r="C10785" t="str">
        <f>T("")</f>
        <v/>
      </c>
      <c r="D10785" t="str">
        <f t="shared" si="3948"/>
        <v>NORFOLK</v>
      </c>
      <c r="E10785" t="str">
        <f t="shared" si="3949"/>
        <v>VA</v>
      </c>
      <c r="F10785" t="str">
        <f>T("235112730")</f>
        <v>235112730</v>
      </c>
      <c r="G10785" t="str">
        <f>T("1530 GILBERT STREET SUITE 2000")</f>
        <v>1530 GILBERT STREET SUITE 2000</v>
      </c>
      <c r="H10785" t="str">
        <f>T("")</f>
        <v/>
      </c>
      <c r="I10785" t="str">
        <f t="shared" si="3950"/>
        <v>NORFOLK</v>
      </c>
      <c r="J10785" t="str">
        <f t="shared" si="3951"/>
        <v>VA</v>
      </c>
      <c r="K10785" t="str">
        <f t="shared" ref="K10785:K10793" si="3952">T("000000000000000000")</f>
        <v>000000000000000000</v>
      </c>
      <c r="L10785" t="str">
        <f>T("7574459302")</f>
        <v>7574459302</v>
      </c>
    </row>
    <row r="10786" spans="1:12" x14ac:dyDescent="0.35">
      <c r="A10786" t="str">
        <f t="shared" si="3947"/>
        <v>NAVAL STATION NORFOLK</v>
      </c>
      <c r="B10786" t="str">
        <f>T("1653 MORRIS STREET")</f>
        <v>1653 MORRIS STREET</v>
      </c>
      <c r="C10786" t="str">
        <f>T("BLDG KBB")</f>
        <v>BLDG KBB</v>
      </c>
      <c r="D10786" t="str">
        <f t="shared" si="3948"/>
        <v>NORFOLK</v>
      </c>
      <c r="E10786" t="str">
        <f t="shared" si="3949"/>
        <v>VA</v>
      </c>
      <c r="F10786" t="str">
        <f>T("235112809")</f>
        <v>235112809</v>
      </c>
      <c r="G10786" t="str">
        <f>T("1653 MORRIS ST")</f>
        <v>1653 MORRIS ST</v>
      </c>
      <c r="H10786" t="str">
        <f>T("SUITE 201 BLDG KBB")</f>
        <v>SUITE 201 BLDG KBB</v>
      </c>
      <c r="I10786" t="str">
        <f t="shared" si="3950"/>
        <v>NORFOLK</v>
      </c>
      <c r="J10786" t="str">
        <f t="shared" si="3951"/>
        <v>VA</v>
      </c>
      <c r="K10786" t="str">
        <f t="shared" si="3952"/>
        <v>000000000000000000</v>
      </c>
      <c r="L10786" t="str">
        <f>T("7574458550")</f>
        <v>7574458550</v>
      </c>
    </row>
    <row r="10787" spans="1:12" x14ac:dyDescent="0.35">
      <c r="A10787" t="str">
        <f t="shared" si="3947"/>
        <v>NAVAL STATION NORFOLK</v>
      </c>
      <c r="B10787" t="str">
        <f>T("1653 MORRIS STREET")</f>
        <v>1653 MORRIS STREET</v>
      </c>
      <c r="C10787" t="str">
        <f>T("BLDG KBB")</f>
        <v>BLDG KBB</v>
      </c>
      <c r="D10787" t="str">
        <f t="shared" si="3948"/>
        <v>NORFOLK</v>
      </c>
      <c r="E10787" t="str">
        <f t="shared" si="3949"/>
        <v>VA</v>
      </c>
      <c r="F10787" t="str">
        <f>T("235112809")</f>
        <v>235112809</v>
      </c>
      <c r="G10787" t="str">
        <f>T("1653 MORRIS STREET")</f>
        <v>1653 MORRIS STREET</v>
      </c>
      <c r="H10787" t="str">
        <f>T("BLDG KBB")</f>
        <v>BLDG KBB</v>
      </c>
      <c r="I10787" t="str">
        <f t="shared" si="3950"/>
        <v>NORFOLK</v>
      </c>
      <c r="J10787" t="str">
        <f t="shared" si="3951"/>
        <v>VA</v>
      </c>
      <c r="K10787" t="str">
        <f t="shared" si="3952"/>
        <v>000000000000000000</v>
      </c>
      <c r="L10787" t="str">
        <f>T("7573222437")</f>
        <v>7573222437</v>
      </c>
    </row>
    <row r="10788" spans="1:12" x14ac:dyDescent="0.35">
      <c r="A10788" t="str">
        <f t="shared" si="3947"/>
        <v>NAVAL STATION NORFOLK</v>
      </c>
      <c r="B10788" t="str">
        <f>T("1653 MORRIS STREET")</f>
        <v>1653 MORRIS STREET</v>
      </c>
      <c r="C10788" t="str">
        <f>T("BLDG KBB")</f>
        <v>BLDG KBB</v>
      </c>
      <c r="D10788" t="str">
        <f t="shared" si="3948"/>
        <v>NORFOLK</v>
      </c>
      <c r="E10788" t="str">
        <f t="shared" si="3949"/>
        <v>VA</v>
      </c>
      <c r="F10788" t="str">
        <f>T("235112809")</f>
        <v>235112809</v>
      </c>
      <c r="G10788" t="str">
        <f>T("1653 MORRIS STREET")</f>
        <v>1653 MORRIS STREET</v>
      </c>
      <c r="H10788" t="str">
        <f>T("SUITE 201")</f>
        <v>SUITE 201</v>
      </c>
      <c r="I10788" t="str">
        <f t="shared" si="3950"/>
        <v>NORFOLK</v>
      </c>
      <c r="J10788" t="str">
        <f t="shared" si="3951"/>
        <v>VA</v>
      </c>
      <c r="K10788" t="str">
        <f t="shared" si="3952"/>
        <v>000000000000000000</v>
      </c>
      <c r="L10788" t="str">
        <f>T("7573222874")</f>
        <v>7573222874</v>
      </c>
    </row>
    <row r="10789" spans="1:12" x14ac:dyDescent="0.35">
      <c r="A10789" t="str">
        <f t="shared" si="3947"/>
        <v>NAVAL STATION NORFOLK</v>
      </c>
      <c r="B10789" t="str">
        <f>T("1930 REGULUS BLVD")</f>
        <v>1930 REGULUS BLVD</v>
      </c>
      <c r="C10789" t="str">
        <f>T("BLDG 503")</f>
        <v>BLDG 503</v>
      </c>
      <c r="D10789" t="str">
        <f>T("VIRGINIA BEACH")</f>
        <v>VIRGINIA BEACH</v>
      </c>
      <c r="E10789" t="str">
        <f t="shared" si="3949"/>
        <v>VA</v>
      </c>
      <c r="F10789" t="str">
        <f>T("234610000")</f>
        <v>234610000</v>
      </c>
      <c r="G10789" t="str">
        <f>T("1530 GILBERT ST")</f>
        <v>1530 GILBERT ST</v>
      </c>
      <c r="H10789" t="str">
        <f>T("")</f>
        <v/>
      </c>
      <c r="I10789" t="str">
        <f t="shared" si="3950"/>
        <v>NORFOLK</v>
      </c>
      <c r="J10789" t="str">
        <f t="shared" si="3951"/>
        <v>VA</v>
      </c>
      <c r="K10789" t="str">
        <f t="shared" si="3952"/>
        <v>000000000000000000</v>
      </c>
      <c r="L10789" t="str">
        <f>T("7574447361")</f>
        <v>7574447361</v>
      </c>
    </row>
    <row r="10790" spans="1:12" x14ac:dyDescent="0.35">
      <c r="A10790" t="str">
        <f t="shared" si="3947"/>
        <v>NAVAL STATION NORFOLK</v>
      </c>
      <c r="B10790" t="str">
        <f>T("1930 REGULUS BLVD")</f>
        <v>1930 REGULUS BLVD</v>
      </c>
      <c r="C10790" t="str">
        <f>T("BLDG 503")</f>
        <v>BLDG 503</v>
      </c>
      <c r="D10790" t="str">
        <f>T("VIRGINIA BEACH")</f>
        <v>VIRGINIA BEACH</v>
      </c>
      <c r="E10790" t="str">
        <f t="shared" si="3949"/>
        <v>VA</v>
      </c>
      <c r="F10790" t="str">
        <f>T("234610000")</f>
        <v>234610000</v>
      </c>
      <c r="G10790" t="str">
        <f>T("1630 MORRIS ST")</f>
        <v>1630 MORRIS ST</v>
      </c>
      <c r="H10790" t="str">
        <f>T("")</f>
        <v/>
      </c>
      <c r="I10790" t="str">
        <f t="shared" si="3950"/>
        <v>NORFOLK</v>
      </c>
      <c r="J10790" t="str">
        <f t="shared" si="3951"/>
        <v>VA</v>
      </c>
      <c r="K10790" t="str">
        <f t="shared" si="3952"/>
        <v>000000000000000000</v>
      </c>
      <c r="L10790" t="str">
        <f>T("7574447361")</f>
        <v>7574447361</v>
      </c>
    </row>
    <row r="10791" spans="1:12" x14ac:dyDescent="0.35">
      <c r="A10791" t="str">
        <f t="shared" si="3947"/>
        <v>NAVAL STATION NORFOLK</v>
      </c>
      <c r="B10791" t="str">
        <f>T("1930 REGULUS BLVD")</f>
        <v>1930 REGULUS BLVD</v>
      </c>
      <c r="C10791" t="str">
        <f>T("BLDG 503")</f>
        <v>BLDG 503</v>
      </c>
      <c r="D10791" t="str">
        <f>T("VIRGINIA BEACH")</f>
        <v>VIRGINIA BEACH</v>
      </c>
      <c r="E10791" t="str">
        <f t="shared" si="3949"/>
        <v>VA</v>
      </c>
      <c r="F10791" t="str">
        <f>T("234610000")</f>
        <v>234610000</v>
      </c>
      <c r="G10791" t="str">
        <f>T("1930 REGULUS BLVD")</f>
        <v>1930 REGULUS BLVD</v>
      </c>
      <c r="H10791" t="str">
        <f>T("BLDG 503")</f>
        <v>BLDG 503</v>
      </c>
      <c r="I10791" t="str">
        <f>T("VIRGINIA BEACH")</f>
        <v>VIRGINIA BEACH</v>
      </c>
      <c r="J10791" t="str">
        <f t="shared" si="3951"/>
        <v>VA</v>
      </c>
      <c r="K10791" t="str">
        <f t="shared" si="3952"/>
        <v>000000000000000000</v>
      </c>
      <c r="L10791" t="str">
        <f>T("7574926722")</f>
        <v>7574926722</v>
      </c>
    </row>
    <row r="10792" spans="1:12" x14ac:dyDescent="0.35">
      <c r="A10792" t="str">
        <f t="shared" si="3947"/>
        <v>NAVAL STATION NORFOLK</v>
      </c>
      <c r="B10792" t="str">
        <f t="shared" ref="B10792:B10798" si="3953">T("1945 ADMIRAL TAUSSIG BLVD")</f>
        <v>1945 ADMIRAL TAUSSIG BLVD</v>
      </c>
      <c r="C10792" t="str">
        <f t="shared" ref="C10792:C10798" si="3954">T("CEP-178")</f>
        <v>CEP-178</v>
      </c>
      <c r="D10792" t="str">
        <f t="shared" ref="D10792:D10811" si="3955">T("NORFOLK")</f>
        <v>NORFOLK</v>
      </c>
      <c r="E10792" t="str">
        <f t="shared" si="3949"/>
        <v>VA</v>
      </c>
      <c r="F10792" t="str">
        <f t="shared" ref="F10792:F10798" si="3956">T("235113425")</f>
        <v>235113425</v>
      </c>
      <c r="G10792" t="str">
        <f>T("1240 GILBERT ST")</f>
        <v>1240 GILBERT ST</v>
      </c>
      <c r="H10792" t="str">
        <f>T("BLDG R-43")</f>
        <v>BLDG R-43</v>
      </c>
      <c r="I10792" t="str">
        <f t="shared" ref="I10792:I10797" si="3957">T("NORFOLK")</f>
        <v>NORFOLK</v>
      </c>
      <c r="J10792" t="str">
        <f t="shared" si="3951"/>
        <v>VA</v>
      </c>
      <c r="K10792" t="str">
        <f t="shared" si="3952"/>
        <v>000000000000000000</v>
      </c>
      <c r="L10792" t="str">
        <f>T("7574447269")</f>
        <v>7574447269</v>
      </c>
    </row>
    <row r="10793" spans="1:12" x14ac:dyDescent="0.35">
      <c r="A10793" t="str">
        <f t="shared" si="3947"/>
        <v>NAVAL STATION NORFOLK</v>
      </c>
      <c r="B10793" t="str">
        <f t="shared" si="3953"/>
        <v>1945 ADMIRAL TAUSSIG BLVD</v>
      </c>
      <c r="C10793" t="str">
        <f t="shared" si="3954"/>
        <v>CEP-178</v>
      </c>
      <c r="D10793" t="str">
        <f t="shared" si="3955"/>
        <v>NORFOLK</v>
      </c>
      <c r="E10793" t="str">
        <f t="shared" si="3949"/>
        <v>VA</v>
      </c>
      <c r="F10793" t="str">
        <f t="shared" si="3956"/>
        <v>235113425</v>
      </c>
      <c r="G10793" t="str">
        <f>T("1776 GILBERT ST")</f>
        <v>1776 GILBERT ST</v>
      </c>
      <c r="H10793" t="str">
        <f>T("BUILDING B-30 ROOM 215A")</f>
        <v>BUILDING B-30 ROOM 215A</v>
      </c>
      <c r="I10793" t="str">
        <f t="shared" si="3957"/>
        <v>NORFOLK</v>
      </c>
      <c r="J10793" t="str">
        <f t="shared" si="3951"/>
        <v>VA</v>
      </c>
      <c r="K10793" t="str">
        <f t="shared" si="3952"/>
        <v>000000000000000000</v>
      </c>
      <c r="L10793" t="str">
        <f>T("7573222416")</f>
        <v>7573222416</v>
      </c>
    </row>
    <row r="10794" spans="1:12" x14ac:dyDescent="0.35">
      <c r="A10794" t="str">
        <f t="shared" si="3947"/>
        <v>NAVAL STATION NORFOLK</v>
      </c>
      <c r="B10794" t="str">
        <f t="shared" si="3953"/>
        <v>1945 ADMIRAL TAUSSIG BLVD</v>
      </c>
      <c r="C10794" t="str">
        <f t="shared" si="3954"/>
        <v>CEP-178</v>
      </c>
      <c r="D10794" t="str">
        <f t="shared" si="3955"/>
        <v>NORFOLK</v>
      </c>
      <c r="E10794" t="str">
        <f t="shared" si="3949"/>
        <v>VA</v>
      </c>
      <c r="F10794" t="str">
        <f t="shared" si="3956"/>
        <v>235113425</v>
      </c>
      <c r="G10794" t="str">
        <f>T("1945 ADMIRAL TAUSSIG BLVD")</f>
        <v>1945 ADMIRAL TAUSSIG BLVD</v>
      </c>
      <c r="H10794" t="str">
        <f>T("CEP-178")</f>
        <v>CEP-178</v>
      </c>
      <c r="I10794" t="str">
        <f t="shared" si="3957"/>
        <v>NORFOLK</v>
      </c>
      <c r="J10794" t="str">
        <f t="shared" si="3951"/>
        <v>VA</v>
      </c>
      <c r="K10794" t="str">
        <f>T("7574623144")</f>
        <v>7574623144</v>
      </c>
      <c r="L10794" t="str">
        <f>T("7574447757")</f>
        <v>7574447757</v>
      </c>
    </row>
    <row r="10795" spans="1:12" x14ac:dyDescent="0.35">
      <c r="A10795" t="str">
        <f t="shared" si="3947"/>
        <v>NAVAL STATION NORFOLK</v>
      </c>
      <c r="B10795" t="str">
        <f t="shared" si="3953"/>
        <v>1945 ADMIRAL TAUSSIG BLVD</v>
      </c>
      <c r="C10795" t="str">
        <f t="shared" si="3954"/>
        <v>CEP-178</v>
      </c>
      <c r="D10795" t="str">
        <f t="shared" si="3955"/>
        <v>NORFOLK</v>
      </c>
      <c r="E10795" t="str">
        <f t="shared" si="3949"/>
        <v>VA</v>
      </c>
      <c r="F10795" t="str">
        <f t="shared" si="3956"/>
        <v>235113425</v>
      </c>
      <c r="G10795" t="str">
        <f>T("NAVAL STATION NORFOLK")</f>
        <v>NAVAL STATION NORFOLK</v>
      </c>
      <c r="H10795" t="str">
        <f>T("7960 HAMPTON BLVD BLDG BEN-154")</f>
        <v>7960 HAMPTON BLVD BLDG BEN-154</v>
      </c>
      <c r="I10795" t="str">
        <f t="shared" si="3957"/>
        <v>NORFOLK</v>
      </c>
      <c r="J10795" t="str">
        <f t="shared" si="3951"/>
        <v>VA</v>
      </c>
      <c r="K10795" t="str">
        <f>T("000000000000000000")</f>
        <v>000000000000000000</v>
      </c>
      <c r="L10795" t="str">
        <f>T("7574444156")</f>
        <v>7574444156</v>
      </c>
    </row>
    <row r="10796" spans="1:12" x14ac:dyDescent="0.35">
      <c r="A10796" t="str">
        <f t="shared" si="3947"/>
        <v>NAVAL STATION NORFOLK</v>
      </c>
      <c r="B10796" t="str">
        <f t="shared" si="3953"/>
        <v>1945 ADMIRAL TAUSSIG BLVD</v>
      </c>
      <c r="C10796" t="str">
        <f t="shared" si="3954"/>
        <v>CEP-178</v>
      </c>
      <c r="D10796" t="str">
        <f t="shared" si="3955"/>
        <v>NORFOLK</v>
      </c>
      <c r="E10796" t="str">
        <f t="shared" si="3949"/>
        <v>VA</v>
      </c>
      <c r="F10796" t="str">
        <f t="shared" si="3956"/>
        <v>235113425</v>
      </c>
      <c r="G10796" t="str">
        <f>T("NAVAL STATION NORFOLK")</f>
        <v>NAVAL STATION NORFOLK</v>
      </c>
      <c r="H10796" t="str">
        <f>T("7960 HAMPTON BLVD BLDG BEN154")</f>
        <v>7960 HAMPTON BLVD BLDG BEN154</v>
      </c>
      <c r="I10796" t="str">
        <f t="shared" si="3957"/>
        <v>NORFOLK</v>
      </c>
      <c r="J10796" t="str">
        <f t="shared" si="3951"/>
        <v>VA</v>
      </c>
      <c r="K10796" t="str">
        <f>T("000000000000000000")</f>
        <v>000000000000000000</v>
      </c>
      <c r="L10796" t="str">
        <f>T("7573222404")</f>
        <v>7573222404</v>
      </c>
    </row>
    <row r="10797" spans="1:12" x14ac:dyDescent="0.35">
      <c r="A10797" t="str">
        <f t="shared" si="3947"/>
        <v>NAVAL STATION NORFOLK</v>
      </c>
      <c r="B10797" t="str">
        <f t="shared" si="3953"/>
        <v>1945 ADMIRAL TAUSSIG BLVD</v>
      </c>
      <c r="C10797" t="str">
        <f t="shared" si="3954"/>
        <v>CEP-178</v>
      </c>
      <c r="D10797" t="str">
        <f t="shared" si="3955"/>
        <v>NORFOLK</v>
      </c>
      <c r="E10797" t="str">
        <f t="shared" si="3949"/>
        <v>VA</v>
      </c>
      <c r="F10797" t="str">
        <f t="shared" si="3956"/>
        <v>235113425</v>
      </c>
      <c r="G10797" t="str">
        <f>T("NAVAL STATION NORFOLK-CEP-178")</f>
        <v>NAVAL STATION NORFOLK-CEP-178</v>
      </c>
      <c r="H10797" t="str">
        <f>T("1945 ADMIRAL TAUSSIG BLVD")</f>
        <v>1945 ADMIRAL TAUSSIG BLVD</v>
      </c>
      <c r="I10797" t="str">
        <f t="shared" si="3957"/>
        <v>NORFOLK</v>
      </c>
      <c r="J10797" t="str">
        <f t="shared" si="3951"/>
        <v>VA</v>
      </c>
      <c r="K10797" t="str">
        <f>T("000000000000000000")</f>
        <v>000000000000000000</v>
      </c>
      <c r="L10797" t="str">
        <f>T("7573222404")</f>
        <v>7573222404</v>
      </c>
    </row>
    <row r="10798" spans="1:12" x14ac:dyDescent="0.35">
      <c r="A10798" t="str">
        <f t="shared" si="3947"/>
        <v>NAVAL STATION NORFOLK</v>
      </c>
      <c r="B10798" t="str">
        <f t="shared" si="3953"/>
        <v>1945 ADMIRAL TAUSSIG BLVD</v>
      </c>
      <c r="C10798" t="str">
        <f t="shared" si="3954"/>
        <v>CEP-178</v>
      </c>
      <c r="D10798" t="str">
        <f t="shared" si="3955"/>
        <v>NORFOLK</v>
      </c>
      <c r="E10798" t="str">
        <f t="shared" si="3949"/>
        <v>VA</v>
      </c>
      <c r="F10798" t="str">
        <f t="shared" si="3956"/>
        <v>235113425</v>
      </c>
      <c r="G10798" t="str">
        <f>T("NAVAL STATION NORFOLK-NW")</f>
        <v>NAVAL STATION NORFOLK-NW</v>
      </c>
      <c r="H10798" t="str">
        <f>T("4501 RELAY RD BLDG 6")</f>
        <v>4501 RELAY RD BLDG 6</v>
      </c>
      <c r="I10798" t="str">
        <f>T("CHESAPEAKE")</f>
        <v>CHESAPEAKE</v>
      </c>
      <c r="J10798" t="str">
        <f t="shared" si="3951"/>
        <v>VA</v>
      </c>
      <c r="K10798" t="str">
        <f>T("000000000000000000")</f>
        <v>000000000000000000</v>
      </c>
      <c r="L10798" t="str">
        <f>T("7574218244")</f>
        <v>7574218244</v>
      </c>
    </row>
    <row r="10799" spans="1:12" x14ac:dyDescent="0.35">
      <c r="A10799" t="str">
        <f t="shared" si="3947"/>
        <v>NAVAL STATION NORFOLK</v>
      </c>
      <c r="B10799" t="str">
        <f>T("1980 DULLINGHAM BLVD")</f>
        <v>1980 DULLINGHAM BLVD</v>
      </c>
      <c r="C10799" t="str">
        <f>T("BLDG W-7")</f>
        <v>BLDG W-7</v>
      </c>
      <c r="D10799" t="str">
        <f t="shared" si="3955"/>
        <v>NORFOLK</v>
      </c>
      <c r="E10799" t="str">
        <f t="shared" si="3949"/>
        <v>VA</v>
      </c>
      <c r="F10799" t="str">
        <f>T("235113215")</f>
        <v>235113215</v>
      </c>
      <c r="G10799" t="str">
        <f>T("1980 DILLINGHAM BLVD")</f>
        <v>1980 DILLINGHAM BLVD</v>
      </c>
      <c r="H10799" t="str">
        <f>T("BLDG W-7")</f>
        <v>BLDG W-7</v>
      </c>
      <c r="I10799" t="str">
        <f t="shared" ref="I10799:I10811" si="3958">T("NORFOLK")</f>
        <v>NORFOLK</v>
      </c>
      <c r="J10799" t="str">
        <f t="shared" si="3951"/>
        <v>VA</v>
      </c>
      <c r="K10799" t="str">
        <f>T("000000000000000000")</f>
        <v>000000000000000000</v>
      </c>
      <c r="L10799" t="str">
        <f>T("7574450402")</f>
        <v>7574450402</v>
      </c>
    </row>
    <row r="10800" spans="1:12" x14ac:dyDescent="0.35">
      <c r="A10800" t="str">
        <f t="shared" si="3947"/>
        <v>NAVAL STATION NORFOLK</v>
      </c>
      <c r="B10800" t="str">
        <f>T("1980 DULLINGHAM BLVD")</f>
        <v>1980 DULLINGHAM BLVD</v>
      </c>
      <c r="C10800" t="str">
        <f>T("BLDG W-7")</f>
        <v>BLDG W-7</v>
      </c>
      <c r="D10800" t="str">
        <f t="shared" si="3955"/>
        <v>NORFOLK</v>
      </c>
      <c r="E10800" t="str">
        <f t="shared" si="3949"/>
        <v>VA</v>
      </c>
      <c r="F10800" t="str">
        <f>T("235113215")</f>
        <v>235113215</v>
      </c>
      <c r="G10800" t="str">
        <f>T("1980 DILLINGHAM BLVD")</f>
        <v>1980 DILLINGHAM BLVD</v>
      </c>
      <c r="H10800" t="str">
        <f>T("BLDG W-7")</f>
        <v>BLDG W-7</v>
      </c>
      <c r="I10800" t="str">
        <f t="shared" si="3958"/>
        <v>NORFOLK</v>
      </c>
      <c r="J10800" t="str">
        <f t="shared" si="3951"/>
        <v>VA</v>
      </c>
      <c r="K10800" t="str">
        <f>T("7574447616")</f>
        <v>7574447616</v>
      </c>
      <c r="L10800" t="str">
        <f>T("7574447717")</f>
        <v>7574447717</v>
      </c>
    </row>
    <row r="10801" spans="1:12" x14ac:dyDescent="0.35">
      <c r="A10801" t="str">
        <f t="shared" si="3947"/>
        <v>NAVAL STATION NORFOLK</v>
      </c>
      <c r="B10801" t="str">
        <f>T("1980 DULLINGHAM BLVD")</f>
        <v>1980 DULLINGHAM BLVD</v>
      </c>
      <c r="C10801" t="str">
        <f>T("BLDG W-7")</f>
        <v>BLDG W-7</v>
      </c>
      <c r="D10801" t="str">
        <f t="shared" si="3955"/>
        <v>NORFOLK</v>
      </c>
      <c r="E10801" t="str">
        <f t="shared" si="3949"/>
        <v>VA</v>
      </c>
      <c r="F10801" t="str">
        <f>T("235113215")</f>
        <v>235113215</v>
      </c>
      <c r="G10801" t="str">
        <f>T("1980 DILLINGHAM BLVD")</f>
        <v>1980 DILLINGHAM BLVD</v>
      </c>
      <c r="H10801" t="str">
        <f>T("BLDG W7")</f>
        <v>BLDG W7</v>
      </c>
      <c r="I10801" t="str">
        <f t="shared" si="3958"/>
        <v>NORFOLK</v>
      </c>
      <c r="J10801" t="str">
        <f t="shared" si="3951"/>
        <v>VA</v>
      </c>
      <c r="K10801" t="str">
        <f t="shared" ref="K10801:K10808" si="3959">T("000000000000000000")</f>
        <v>000000000000000000</v>
      </c>
      <c r="L10801" t="str">
        <f>T("7574447848")</f>
        <v>7574447848</v>
      </c>
    </row>
    <row r="10802" spans="1:12" x14ac:dyDescent="0.35">
      <c r="A10802" t="str">
        <f t="shared" si="3947"/>
        <v>NAVAL STATION NORFOLK</v>
      </c>
      <c r="B10802" t="str">
        <f>T("1980 DULLINGHAM BLVD")</f>
        <v>1980 DULLINGHAM BLVD</v>
      </c>
      <c r="C10802" t="str">
        <f>T("BLDG W-7")</f>
        <v>BLDG W-7</v>
      </c>
      <c r="D10802" t="str">
        <f t="shared" si="3955"/>
        <v>NORFOLK</v>
      </c>
      <c r="E10802" t="str">
        <f t="shared" si="3949"/>
        <v>VA</v>
      </c>
      <c r="F10802" t="str">
        <f>T("235113215")</f>
        <v>235113215</v>
      </c>
      <c r="G10802" t="str">
        <f>T("1980 DILLINGHAM BLVD")</f>
        <v>1980 DILLINGHAM BLVD</v>
      </c>
      <c r="H10802" t="str">
        <f>T("BUILDING W-7")</f>
        <v>BUILDING W-7</v>
      </c>
      <c r="I10802" t="str">
        <f t="shared" si="3958"/>
        <v>NORFOLK</v>
      </c>
      <c r="J10802" t="str">
        <f t="shared" si="3951"/>
        <v>VA</v>
      </c>
      <c r="K10802" t="str">
        <f t="shared" si="3959"/>
        <v>000000000000000000</v>
      </c>
      <c r="L10802" t="str">
        <f>T("7574441729")</f>
        <v>7574441729</v>
      </c>
    </row>
    <row r="10803" spans="1:12" x14ac:dyDescent="0.35">
      <c r="A10803" t="str">
        <f t="shared" si="3947"/>
        <v>NAVAL STATION NORFOLK</v>
      </c>
      <c r="B10803" t="str">
        <f>T("1980 DULLINGHAM BLVD")</f>
        <v>1980 DULLINGHAM BLVD</v>
      </c>
      <c r="C10803" t="str">
        <f>T("BLDG W-7")</f>
        <v>BLDG W-7</v>
      </c>
      <c r="D10803" t="str">
        <f t="shared" si="3955"/>
        <v>NORFOLK</v>
      </c>
      <c r="E10803" t="str">
        <f t="shared" si="3949"/>
        <v>VA</v>
      </c>
      <c r="F10803" t="str">
        <f>T("235113215")</f>
        <v>235113215</v>
      </c>
      <c r="G10803" t="str">
        <f>T("1980 DULLINGHAM BLVD")</f>
        <v>1980 DULLINGHAM BLVD</v>
      </c>
      <c r="H10803" t="str">
        <f>T("BLDG W-7")</f>
        <v>BLDG W-7</v>
      </c>
      <c r="I10803" t="str">
        <f t="shared" si="3958"/>
        <v>NORFOLK</v>
      </c>
      <c r="J10803" t="str">
        <f t="shared" si="3951"/>
        <v>VA</v>
      </c>
      <c r="K10803" t="str">
        <f t="shared" si="3959"/>
        <v>000000000000000000</v>
      </c>
      <c r="L10803" t="str">
        <f>T("7574450407")</f>
        <v>7574450407</v>
      </c>
    </row>
    <row r="10804" spans="1:12" x14ac:dyDescent="0.35">
      <c r="A10804" t="str">
        <f t="shared" si="3947"/>
        <v>NAVAL STATION NORFOLK</v>
      </c>
      <c r="B10804" t="str">
        <f>T("7928 14TH STREET")</f>
        <v>7928 14TH STREET</v>
      </c>
      <c r="C10804" t="str">
        <f>T("BLDG SDA 344")</f>
        <v>BLDG SDA 344</v>
      </c>
      <c r="D10804" t="str">
        <f t="shared" si="3955"/>
        <v>NORFOLK</v>
      </c>
      <c r="E10804" t="str">
        <f t="shared" si="3949"/>
        <v>VA</v>
      </c>
      <c r="F10804" t="str">
        <f>T("235051297")</f>
        <v>235051297</v>
      </c>
      <c r="G10804" t="str">
        <f>T("7928 14TH ST")</f>
        <v>7928 14TH ST</v>
      </c>
      <c r="H10804" t="str">
        <f>T("SUITE 102")</f>
        <v>SUITE 102</v>
      </c>
      <c r="I10804" t="str">
        <f t="shared" si="3958"/>
        <v>NORFOLK</v>
      </c>
      <c r="J10804" t="str">
        <f t="shared" si="3951"/>
        <v>VA</v>
      </c>
      <c r="K10804" t="str">
        <f t="shared" si="3959"/>
        <v>000000000000000000</v>
      </c>
      <c r="L10804" t="str">
        <f>T("7574443966")</f>
        <v>7574443966</v>
      </c>
    </row>
    <row r="10805" spans="1:12" x14ac:dyDescent="0.35">
      <c r="A10805" t="str">
        <f t="shared" si="3947"/>
        <v>NAVAL STATION NORFOLK</v>
      </c>
      <c r="B10805" t="str">
        <f>T("7928 14TH STREET")</f>
        <v>7928 14TH STREET</v>
      </c>
      <c r="C10805" t="str">
        <f>T("BLDG SDA 344")</f>
        <v>BLDG SDA 344</v>
      </c>
      <c r="D10805" t="str">
        <f t="shared" si="3955"/>
        <v>NORFOLK</v>
      </c>
      <c r="E10805" t="str">
        <f t="shared" si="3949"/>
        <v>VA</v>
      </c>
      <c r="F10805" t="str">
        <f>T("235051297")</f>
        <v>235051297</v>
      </c>
      <c r="G10805" t="str">
        <f>T("7928 14TH STREET")</f>
        <v>7928 14TH STREET</v>
      </c>
      <c r="H10805" t="str">
        <f>T("BLDG SDA 344")</f>
        <v>BLDG SDA 344</v>
      </c>
      <c r="I10805" t="str">
        <f t="shared" si="3958"/>
        <v>NORFOLK</v>
      </c>
      <c r="J10805" t="str">
        <f t="shared" si="3951"/>
        <v>VA</v>
      </c>
      <c r="K10805" t="str">
        <f t="shared" si="3959"/>
        <v>000000000000000000</v>
      </c>
      <c r="L10805" t="str">
        <f>T("7573229184")</f>
        <v>7573229184</v>
      </c>
    </row>
    <row r="10806" spans="1:12" x14ac:dyDescent="0.35">
      <c r="A10806" t="str">
        <f t="shared" si="3947"/>
        <v>NAVAL STATION NORFOLK</v>
      </c>
      <c r="B10806" t="str">
        <f>T("8610 CARGO RD")</f>
        <v>8610 CARGO RD</v>
      </c>
      <c r="C10806" t="str">
        <f>T("SUITE 220")</f>
        <v>SUITE 220</v>
      </c>
      <c r="D10806" t="str">
        <f t="shared" si="3955"/>
        <v>NORFOLK</v>
      </c>
      <c r="E10806" t="str">
        <f t="shared" si="3949"/>
        <v>VA</v>
      </c>
      <c r="F10806" t="str">
        <f>T("235110000")</f>
        <v>235110000</v>
      </c>
      <c r="G10806" t="str">
        <f>T("8610 AIR CARGO RD")</f>
        <v>8610 AIR CARGO RD</v>
      </c>
      <c r="H10806" t="str">
        <f>T("SUITE 220")</f>
        <v>SUITE 220</v>
      </c>
      <c r="I10806" t="str">
        <f t="shared" si="3958"/>
        <v>NORFOLK</v>
      </c>
      <c r="J10806" t="str">
        <f t="shared" si="3951"/>
        <v>VA</v>
      </c>
      <c r="K10806" t="str">
        <f t="shared" si="3959"/>
        <v>000000000000000000</v>
      </c>
      <c r="L10806" t="str">
        <f>T("7573223457")</f>
        <v>7573223457</v>
      </c>
    </row>
    <row r="10807" spans="1:12" x14ac:dyDescent="0.35">
      <c r="A10807" t="str">
        <f t="shared" si="3947"/>
        <v>NAVAL STATION NORFOLK</v>
      </c>
      <c r="B10807" t="str">
        <f>T("8610 CARGO RD")</f>
        <v>8610 CARGO RD</v>
      </c>
      <c r="C10807" t="str">
        <f>T("SUITE 220")</f>
        <v>SUITE 220</v>
      </c>
      <c r="D10807" t="str">
        <f t="shared" si="3955"/>
        <v>NORFOLK</v>
      </c>
      <c r="E10807" t="str">
        <f t="shared" si="3949"/>
        <v>VA</v>
      </c>
      <c r="F10807" t="str">
        <f>T("235110000")</f>
        <v>235110000</v>
      </c>
      <c r="G10807" t="str">
        <f>T("8610 AIR CARGO ROAD")</f>
        <v>8610 AIR CARGO ROAD</v>
      </c>
      <c r="H10807" t="str">
        <f>T("")</f>
        <v/>
      </c>
      <c r="I10807" t="str">
        <f t="shared" si="3958"/>
        <v>NORFOLK</v>
      </c>
      <c r="J10807" t="str">
        <f t="shared" si="3951"/>
        <v>VA</v>
      </c>
      <c r="K10807" t="str">
        <f t="shared" si="3959"/>
        <v>000000000000000000</v>
      </c>
      <c r="L10807" t="str">
        <f>T("7574442688")</f>
        <v>7574442688</v>
      </c>
    </row>
    <row r="10808" spans="1:12" x14ac:dyDescent="0.35">
      <c r="A10808" t="str">
        <f t="shared" si="3947"/>
        <v>NAVAL STATION NORFOLK</v>
      </c>
      <c r="B10808" t="str">
        <f>T("8610 CARGO RD")</f>
        <v>8610 CARGO RD</v>
      </c>
      <c r="C10808" t="str">
        <f>T("SUITE 220")</f>
        <v>SUITE 220</v>
      </c>
      <c r="D10808" t="str">
        <f t="shared" si="3955"/>
        <v>NORFOLK</v>
      </c>
      <c r="E10808" t="str">
        <f t="shared" si="3949"/>
        <v>VA</v>
      </c>
      <c r="F10808" t="str">
        <f>T("235110000")</f>
        <v>235110000</v>
      </c>
      <c r="G10808" t="str">
        <f>T("8610 CARGO RD")</f>
        <v>8610 CARGO RD</v>
      </c>
      <c r="H10808" t="str">
        <f>T("SUITE 220")</f>
        <v>SUITE 220</v>
      </c>
      <c r="I10808" t="str">
        <f t="shared" si="3958"/>
        <v>NORFOLK</v>
      </c>
      <c r="J10808" t="str">
        <f t="shared" si="3951"/>
        <v>VA</v>
      </c>
      <c r="K10808" t="str">
        <f t="shared" si="3959"/>
        <v>000000000000000000</v>
      </c>
      <c r="L10808" t="str">
        <f>T("7573223470")</f>
        <v>7573223470</v>
      </c>
    </row>
    <row r="10809" spans="1:12" x14ac:dyDescent="0.35">
      <c r="A10809" t="str">
        <f>T("NRMA")</f>
        <v>NRMA</v>
      </c>
      <c r="B10809" t="str">
        <f>T("9591 MARYLAND AVE")</f>
        <v>9591 MARYLAND AVE</v>
      </c>
      <c r="C10809" t="str">
        <f>T("BLDG X-70")</f>
        <v>BLDG X-70</v>
      </c>
      <c r="D10809" t="str">
        <f t="shared" si="3955"/>
        <v>NORFOLK</v>
      </c>
      <c r="E10809" t="str">
        <f t="shared" si="3949"/>
        <v>VA</v>
      </c>
      <c r="F10809" t="str">
        <f>T("235112911")</f>
        <v>235112911</v>
      </c>
      <c r="G10809" t="str">
        <f>T("9591 MARYLAND AVE")</f>
        <v>9591 MARYLAND AVE</v>
      </c>
      <c r="H10809" t="str">
        <f>T("BLDG X-70")</f>
        <v>BLDG X-70</v>
      </c>
      <c r="I10809" t="str">
        <f t="shared" si="3958"/>
        <v>NORFOLK</v>
      </c>
      <c r="J10809" t="str">
        <f t="shared" si="3951"/>
        <v>VA</v>
      </c>
      <c r="K10809" t="str">
        <f>T("7574447585")</f>
        <v>7574447585</v>
      </c>
      <c r="L10809" t="str">
        <f>T("7574454504")</f>
        <v>7574454504</v>
      </c>
    </row>
    <row r="10810" spans="1:12" x14ac:dyDescent="0.35">
      <c r="A10810" t="str">
        <f>T("NRMA")</f>
        <v>NRMA</v>
      </c>
      <c r="B10810" t="str">
        <f>T("9591 MARYLAND AVE")</f>
        <v>9591 MARYLAND AVE</v>
      </c>
      <c r="C10810" t="str">
        <f>T("BLDG X-70")</f>
        <v>BLDG X-70</v>
      </c>
      <c r="D10810" t="str">
        <f t="shared" si="3955"/>
        <v>NORFOLK</v>
      </c>
      <c r="E10810" t="str">
        <f t="shared" si="3949"/>
        <v>VA</v>
      </c>
      <c r="F10810" t="str">
        <f>T("235112911")</f>
        <v>235112911</v>
      </c>
      <c r="G10810" t="str">
        <f>T("9591 MARYLAND AVE")</f>
        <v>9591 MARYLAND AVE</v>
      </c>
      <c r="H10810" t="str">
        <f>T("BUILDING X70")</f>
        <v>BUILDING X70</v>
      </c>
      <c r="I10810" t="str">
        <f t="shared" si="3958"/>
        <v>NORFOLK</v>
      </c>
      <c r="J10810" t="str">
        <f t="shared" si="3951"/>
        <v>VA</v>
      </c>
      <c r="K10810" t="str">
        <f t="shared" ref="K10810:K10819" si="3960">T("000000000000000000")</f>
        <v>000000000000000000</v>
      </c>
      <c r="L10810" t="str">
        <f>T("7574447654")</f>
        <v>7574447654</v>
      </c>
    </row>
    <row r="10811" spans="1:12" x14ac:dyDescent="0.35">
      <c r="A10811" t="str">
        <f>T("NRMA")</f>
        <v>NRMA</v>
      </c>
      <c r="B10811" t="str">
        <f>T("9591 MARYLAND AVE")</f>
        <v>9591 MARYLAND AVE</v>
      </c>
      <c r="C10811" t="str">
        <f>T("BLDG X-70")</f>
        <v>BLDG X-70</v>
      </c>
      <c r="D10811" t="str">
        <f t="shared" si="3955"/>
        <v>NORFOLK</v>
      </c>
      <c r="E10811" t="str">
        <f t="shared" si="3949"/>
        <v>VA</v>
      </c>
      <c r="F10811" t="str">
        <f>T("235112911")</f>
        <v>235112911</v>
      </c>
      <c r="G10811" t="str">
        <f>T("9591 MARYLAND AVE BLDG X-70")</f>
        <v>9591 MARYLAND AVE BLDG X-70</v>
      </c>
      <c r="H10811" t="str">
        <f>T("")</f>
        <v/>
      </c>
      <c r="I10811" t="str">
        <f t="shared" si="3958"/>
        <v>NORFOLK</v>
      </c>
      <c r="J10811" t="str">
        <f t="shared" si="3951"/>
        <v>VA</v>
      </c>
      <c r="K10811" t="str">
        <f t="shared" si="3960"/>
        <v>000000000000000000</v>
      </c>
      <c r="L10811" t="str">
        <f>T("7574447654")</f>
        <v>7574447654</v>
      </c>
    </row>
    <row r="10812" spans="1:12" x14ac:dyDescent="0.35">
      <c r="A10812" t="str">
        <f t="shared" ref="A10812:A10827" si="3961">T("NAVAL WEAPONS STATION YORKTOWN")</f>
        <v>NAVAL WEAPONS STATION YORKTOWN</v>
      </c>
      <c r="B10812" t="str">
        <f>T("160 MAIN ROAD")</f>
        <v>160 MAIN ROAD</v>
      </c>
      <c r="C10812" t="str">
        <f t="shared" ref="C10812:C10817" si="3962">T("")</f>
        <v/>
      </c>
      <c r="D10812" t="str">
        <f>T("YORKTOWN")</f>
        <v>YORKTOWN</v>
      </c>
      <c r="E10812" t="str">
        <f t="shared" ref="E10812:E10829" si="3963">T("VA")</f>
        <v>VA</v>
      </c>
      <c r="F10812" t="str">
        <f>T("236915111")</f>
        <v>236915111</v>
      </c>
      <c r="G10812" t="str">
        <f>T("160 MAIN ROAD")</f>
        <v>160 MAIN ROAD</v>
      </c>
      <c r="H10812" t="str">
        <f>T("")</f>
        <v/>
      </c>
      <c r="I10812" t="str">
        <f>T("YORKTOWN")</f>
        <v>YORKTOWN</v>
      </c>
      <c r="J10812" t="str">
        <f t="shared" ref="J10812:J10828" si="3964">T("VA")</f>
        <v>VA</v>
      </c>
      <c r="K10812" t="str">
        <f t="shared" si="3960"/>
        <v>000000000000000000</v>
      </c>
      <c r="L10812" t="str">
        <f>T("7578877349")</f>
        <v>7578877349</v>
      </c>
    </row>
    <row r="10813" spans="1:12" x14ac:dyDescent="0.35">
      <c r="A10813" t="str">
        <f t="shared" si="3961"/>
        <v>NAVAL WEAPONS STATION YORKTOWN</v>
      </c>
      <c r="B10813" t="str">
        <f>T("160 MAIN ROAD")</f>
        <v>160 MAIN ROAD</v>
      </c>
      <c r="C10813" t="str">
        <f t="shared" si="3962"/>
        <v/>
      </c>
      <c r="D10813" t="str">
        <f>T("YORKTOWN")</f>
        <v>YORKTOWN</v>
      </c>
      <c r="E10813" t="str">
        <f t="shared" si="3963"/>
        <v>VA</v>
      </c>
      <c r="F10813" t="str">
        <f>T("236915111")</f>
        <v>236915111</v>
      </c>
      <c r="G10813" t="str">
        <f>T("160MAIN ROAD")</f>
        <v>160MAIN ROAD</v>
      </c>
      <c r="H10813" t="str">
        <f>T("BUILDING 1959 ROOM 105")</f>
        <v>BUILDING 1959 ROOM 105</v>
      </c>
      <c r="I10813" t="str">
        <f>T("YORKTOWN")</f>
        <v>YORKTOWN</v>
      </c>
      <c r="J10813" t="str">
        <f t="shared" si="3964"/>
        <v>VA</v>
      </c>
      <c r="K10813" t="str">
        <f t="shared" si="3960"/>
        <v>000000000000000000</v>
      </c>
      <c r="L10813" t="str">
        <f>T("7578874914")</f>
        <v>7578874914</v>
      </c>
    </row>
    <row r="10814" spans="1:12" x14ac:dyDescent="0.35">
      <c r="A10814" t="str">
        <f t="shared" si="3961"/>
        <v>NAVAL WEAPONS STATION YORKTOWN</v>
      </c>
      <c r="B10814" t="str">
        <f>T("160 MAIN ROAD")</f>
        <v>160 MAIN ROAD</v>
      </c>
      <c r="C10814" t="str">
        <f t="shared" si="3962"/>
        <v/>
      </c>
      <c r="D10814" t="str">
        <f>T("YORKTOWN")</f>
        <v>YORKTOWN</v>
      </c>
      <c r="E10814" t="str">
        <f t="shared" si="3963"/>
        <v>VA</v>
      </c>
      <c r="F10814" t="str">
        <f>T("236915111")</f>
        <v>236915111</v>
      </c>
      <c r="G10814" t="str">
        <f>T("NWS YORKTOWN")</f>
        <v>NWS YORKTOWN</v>
      </c>
      <c r="H10814" t="str">
        <f>T("160 MAIN ROAD")</f>
        <v>160 MAIN ROAD</v>
      </c>
      <c r="I10814" t="str">
        <f>T("YORKTOWN")</f>
        <v>YORKTOWN</v>
      </c>
      <c r="J10814" t="str">
        <f t="shared" si="3964"/>
        <v>VA</v>
      </c>
      <c r="K10814" t="str">
        <f t="shared" si="3960"/>
        <v>000000000000000000</v>
      </c>
      <c r="L10814" t="str">
        <f>T("7578874426")</f>
        <v>7578874426</v>
      </c>
    </row>
    <row r="10815" spans="1:12" x14ac:dyDescent="0.35">
      <c r="A10815" t="str">
        <f t="shared" si="3961"/>
        <v>NAVAL WEAPONS STATION YORKTOWN</v>
      </c>
      <c r="B10815" t="str">
        <f>T("3100 HUNTINGTON AVE")</f>
        <v>3100 HUNTINGTON AVE</v>
      </c>
      <c r="C10815" t="str">
        <f t="shared" si="3962"/>
        <v/>
      </c>
      <c r="D10815" t="str">
        <f>T("NEWPORT NEWS")</f>
        <v>NEWPORT NEWS</v>
      </c>
      <c r="E10815" t="str">
        <f t="shared" si="3963"/>
        <v>VA</v>
      </c>
      <c r="F10815" t="str">
        <f>T("236073319")</f>
        <v>236073319</v>
      </c>
      <c r="G10815" t="str">
        <f>T("3100 HUNTINGTON AVE")</f>
        <v>3100 HUNTINGTON AVE</v>
      </c>
      <c r="H10815" t="str">
        <f>T("")</f>
        <v/>
      </c>
      <c r="I10815" t="str">
        <f>T("NEWPORT NEWS")</f>
        <v>NEWPORT NEWS</v>
      </c>
      <c r="J10815" t="str">
        <f t="shared" si="3964"/>
        <v>VA</v>
      </c>
      <c r="K10815" t="str">
        <f t="shared" si="3960"/>
        <v>000000000000000000</v>
      </c>
      <c r="L10815" t="str">
        <f>T("7576883275")</f>
        <v>7576883275</v>
      </c>
    </row>
    <row r="10816" spans="1:12" x14ac:dyDescent="0.35">
      <c r="A10816" t="str">
        <f t="shared" si="3961"/>
        <v>NAVAL WEAPONS STATION YORKTOWN</v>
      </c>
      <c r="B10816" t="str">
        <f>T("3100 HUNTINGTON AVE")</f>
        <v>3100 HUNTINGTON AVE</v>
      </c>
      <c r="C10816" t="str">
        <f t="shared" si="3962"/>
        <v/>
      </c>
      <c r="D10816" t="str">
        <f>T("NEWPORT NEWS")</f>
        <v>NEWPORT NEWS</v>
      </c>
      <c r="E10816" t="str">
        <f t="shared" si="3963"/>
        <v>VA</v>
      </c>
      <c r="F10816" t="str">
        <f>T("236073319")</f>
        <v>236073319</v>
      </c>
      <c r="G10816" t="str">
        <f>T("3100 HUNTINGTON AVENUE")</f>
        <v>3100 HUNTINGTON AVENUE</v>
      </c>
      <c r="H10816" t="str">
        <f>T("")</f>
        <v/>
      </c>
      <c r="I10816" t="str">
        <f>T("NEWPORT NEWS")</f>
        <v>NEWPORT NEWS</v>
      </c>
      <c r="J10816" t="str">
        <f t="shared" si="3964"/>
        <v>VA</v>
      </c>
      <c r="K10816" t="str">
        <f t="shared" si="3960"/>
        <v>000000000000000000</v>
      </c>
      <c r="L10816" t="str">
        <f>T("7576882695")</f>
        <v>7576882695</v>
      </c>
    </row>
    <row r="10817" spans="1:12" x14ac:dyDescent="0.35">
      <c r="A10817" t="str">
        <f t="shared" si="3961"/>
        <v>NAVAL WEAPONS STATION YORKTOWN</v>
      </c>
      <c r="B10817" t="str">
        <f>T("3100 HUNTINGTON AVE")</f>
        <v>3100 HUNTINGTON AVE</v>
      </c>
      <c r="C10817" t="str">
        <f t="shared" si="3962"/>
        <v/>
      </c>
      <c r="D10817" t="str">
        <f>T("NEWPORT NEWS")</f>
        <v>NEWPORT NEWS</v>
      </c>
      <c r="E10817" t="str">
        <f t="shared" si="3963"/>
        <v>VA</v>
      </c>
      <c r="F10817" t="str">
        <f>T("236073319")</f>
        <v>236073319</v>
      </c>
      <c r="G10817" t="str">
        <f>T("NNSUPSHIP")</f>
        <v>NNSUPSHIP</v>
      </c>
      <c r="H10817" t="str">
        <f>T("3100 HUNTINGTON AVENUE")</f>
        <v>3100 HUNTINGTON AVENUE</v>
      </c>
      <c r="I10817" t="str">
        <f>T("NEWPORT NEWS")</f>
        <v>NEWPORT NEWS</v>
      </c>
      <c r="J10817" t="str">
        <f t="shared" si="3964"/>
        <v>VA</v>
      </c>
      <c r="K10817" t="str">
        <f t="shared" si="3960"/>
        <v>000000000000000000</v>
      </c>
      <c r="L10817" t="str">
        <f>T("7576888386")</f>
        <v>7576888386</v>
      </c>
    </row>
    <row r="10818" spans="1:12" x14ac:dyDescent="0.35">
      <c r="A10818" t="str">
        <f t="shared" si="3961"/>
        <v>NAVAL WEAPONS STATION YORKTOWN</v>
      </c>
      <c r="B10818" t="str">
        <f t="shared" ref="B10818:B10824" si="3965">T("NWS YORKTOWN")</f>
        <v>NWS YORKTOWN</v>
      </c>
      <c r="C10818" t="str">
        <f>T("1868 LAFAYETTE DRIVE")</f>
        <v>1868 LAFAYETTE DRIVE</v>
      </c>
      <c r="D10818" t="str">
        <f>T("YORKTOWN")</f>
        <v>YORKTOWN</v>
      </c>
      <c r="E10818" t="str">
        <f t="shared" si="3963"/>
        <v>VA</v>
      </c>
      <c r="F10818" t="str">
        <f>T("236910000")</f>
        <v>236910000</v>
      </c>
      <c r="G10818" t="str">
        <f>T("NWS YORKTOWN")</f>
        <v>NWS YORKTOWN</v>
      </c>
      <c r="H10818" t="str">
        <f>T("1868 LAFAYETTE DR")</f>
        <v>1868 LAFAYETTE DR</v>
      </c>
      <c r="I10818" t="str">
        <f>T("YORKTOWN")</f>
        <v>YORKTOWN</v>
      </c>
      <c r="J10818" t="str">
        <f t="shared" si="3964"/>
        <v>VA</v>
      </c>
      <c r="K10818" t="str">
        <f t="shared" si="3960"/>
        <v>000000000000000000</v>
      </c>
      <c r="L10818" t="str">
        <f>T("7578874711")</f>
        <v>7578874711</v>
      </c>
    </row>
    <row r="10819" spans="1:12" x14ac:dyDescent="0.35">
      <c r="A10819" t="str">
        <f t="shared" si="3961"/>
        <v>NAVAL WEAPONS STATION YORKTOWN</v>
      </c>
      <c r="B10819" t="str">
        <f t="shared" si="3965"/>
        <v>NWS YORKTOWN</v>
      </c>
      <c r="C10819" t="str">
        <f>T("1868 LAFAYETTE DRIVE")</f>
        <v>1868 LAFAYETTE DRIVE</v>
      </c>
      <c r="D10819" t="str">
        <f>T("YORKTOWN")</f>
        <v>YORKTOWN</v>
      </c>
      <c r="E10819" t="str">
        <f t="shared" si="3963"/>
        <v>VA</v>
      </c>
      <c r="F10819" t="str">
        <f>T("236910000")</f>
        <v>236910000</v>
      </c>
      <c r="G10819" t="str">
        <f>T("NWS YORKTOWN")</f>
        <v>NWS YORKTOWN</v>
      </c>
      <c r="H10819" t="str">
        <f>T("1868 LAFAYETTE DRIVE")</f>
        <v>1868 LAFAYETTE DRIVE</v>
      </c>
      <c r="I10819" t="str">
        <f>T("YORKTOWN")</f>
        <v>YORKTOWN</v>
      </c>
      <c r="J10819" t="str">
        <f t="shared" si="3964"/>
        <v>VA</v>
      </c>
      <c r="K10819" t="str">
        <f t="shared" si="3960"/>
        <v>000000000000000000</v>
      </c>
      <c r="L10819" t="str">
        <f>T("7578874711")</f>
        <v>7578874711</v>
      </c>
    </row>
    <row r="10820" spans="1:12" x14ac:dyDescent="0.35">
      <c r="A10820" t="str">
        <f t="shared" si="3961"/>
        <v>NAVAL WEAPONS STATION YORKTOWN</v>
      </c>
      <c r="B10820" t="str">
        <f t="shared" si="3965"/>
        <v>NWS YORKTOWN</v>
      </c>
      <c r="C10820" t="str">
        <f>T("1949 VON STEUBEN  DRIVE")</f>
        <v>1949 VON STEUBEN  DRIVE</v>
      </c>
      <c r="D10820" t="str">
        <f>T("NEWPORT NEWS")</f>
        <v>NEWPORT NEWS</v>
      </c>
      <c r="E10820" t="str">
        <f t="shared" si="3963"/>
        <v>VA</v>
      </c>
      <c r="F10820" t="str">
        <f>T("236031052")</f>
        <v>236031052</v>
      </c>
      <c r="G10820" t="str">
        <f>T("1949 VON STEUBEN DRIVE")</f>
        <v>1949 VON STEUBEN DRIVE</v>
      </c>
      <c r="H10820" t="str">
        <f>T("")</f>
        <v/>
      </c>
      <c r="I10820" t="str">
        <f>T("NEWPORT NEWS")</f>
        <v>NEWPORT NEWS</v>
      </c>
      <c r="J10820" t="str">
        <f t="shared" si="3964"/>
        <v>VA</v>
      </c>
      <c r="K10820" t="str">
        <f>T("017578874606")</f>
        <v>017578874606</v>
      </c>
      <c r="L10820" t="str">
        <f>T("7578874870")</f>
        <v>7578874870</v>
      </c>
    </row>
    <row r="10821" spans="1:12" x14ac:dyDescent="0.35">
      <c r="A10821" t="str">
        <f t="shared" si="3961"/>
        <v>NAVAL WEAPONS STATION YORKTOWN</v>
      </c>
      <c r="B10821" t="str">
        <f t="shared" si="3965"/>
        <v>NWS YORKTOWN</v>
      </c>
      <c r="C10821" t="str">
        <f>T("1949 VON STEUBEN  DRIVE")</f>
        <v>1949 VON STEUBEN  DRIVE</v>
      </c>
      <c r="D10821" t="str">
        <f>T("NEWPORT NEWS")</f>
        <v>NEWPORT NEWS</v>
      </c>
      <c r="E10821" t="str">
        <f t="shared" si="3963"/>
        <v>VA</v>
      </c>
      <c r="F10821" t="str">
        <f>T("236031052")</f>
        <v>236031052</v>
      </c>
      <c r="G10821" t="str">
        <f>T("1949 VON STEUBEN DRIVE")</f>
        <v>1949 VON STEUBEN DRIVE</v>
      </c>
      <c r="H10821" t="str">
        <f>T("")</f>
        <v/>
      </c>
      <c r="I10821" t="str">
        <f>T("NEWPORT NEWS")</f>
        <v>NEWPORT NEWS</v>
      </c>
      <c r="J10821" t="str">
        <f t="shared" si="3964"/>
        <v>VA</v>
      </c>
      <c r="K10821" t="str">
        <f>T("7578874142")</f>
        <v>7578874142</v>
      </c>
      <c r="L10821" t="str">
        <f>T("7578874606")</f>
        <v>7578874606</v>
      </c>
    </row>
    <row r="10822" spans="1:12" x14ac:dyDescent="0.35">
      <c r="A10822" t="str">
        <f t="shared" si="3961"/>
        <v>NAVAL WEAPONS STATION YORKTOWN</v>
      </c>
      <c r="B10822" t="str">
        <f t="shared" si="3965"/>
        <v>NWS YORKTOWN</v>
      </c>
      <c r="C10822" t="str">
        <f>T("1949 VON STEUBEN  DRIVE")</f>
        <v>1949 VON STEUBEN  DRIVE</v>
      </c>
      <c r="D10822" t="str">
        <f>T("NEWPORT NEWS")</f>
        <v>NEWPORT NEWS</v>
      </c>
      <c r="E10822" t="str">
        <f t="shared" si="3963"/>
        <v>VA</v>
      </c>
      <c r="F10822" t="str">
        <f>T("236031052")</f>
        <v>236031052</v>
      </c>
      <c r="G10822" t="str">
        <f>T("NWS YORKTOWN")</f>
        <v>NWS YORKTOWN</v>
      </c>
      <c r="H10822" t="str">
        <f>T("1949 VON STEUBEN  DRIVE")</f>
        <v>1949 VON STEUBEN  DRIVE</v>
      </c>
      <c r="I10822" t="str">
        <f>T("NEWPORT NEWS")</f>
        <v>NEWPORT NEWS</v>
      </c>
      <c r="J10822" t="str">
        <f t="shared" si="3964"/>
        <v>VA</v>
      </c>
      <c r="K10822" t="str">
        <f t="shared" ref="K10822:K10827" si="3966">T("000000000000000000")</f>
        <v>000000000000000000</v>
      </c>
      <c r="L10822" t="str">
        <f>T("7578874606")</f>
        <v>7578874606</v>
      </c>
    </row>
    <row r="10823" spans="1:12" x14ac:dyDescent="0.35">
      <c r="A10823" t="str">
        <f t="shared" si="3961"/>
        <v>NAVAL WEAPONS STATION YORKTOWN</v>
      </c>
      <c r="B10823" t="str">
        <f t="shared" si="3965"/>
        <v>NWS YORKTOWN</v>
      </c>
      <c r="C10823" t="str">
        <f>T("687 BARRACKS ROAD")</f>
        <v>687 BARRACKS ROAD</v>
      </c>
      <c r="D10823" t="str">
        <f>T("YORKTOWN")</f>
        <v>YORKTOWN</v>
      </c>
      <c r="E10823" t="str">
        <f t="shared" si="3963"/>
        <v>VA</v>
      </c>
      <c r="F10823" t="str">
        <f>T("236910000")</f>
        <v>236910000</v>
      </c>
      <c r="G10823" t="str">
        <f>T("687 BARRACKS RD")</f>
        <v>687 BARRACKS RD</v>
      </c>
      <c r="H10823" t="str">
        <f>T("")</f>
        <v/>
      </c>
      <c r="I10823" t="str">
        <f>T("YORKTOWN")</f>
        <v>YORKTOWN</v>
      </c>
      <c r="J10823" t="str">
        <f t="shared" si="3964"/>
        <v>VA</v>
      </c>
      <c r="K10823" t="str">
        <f t="shared" si="3966"/>
        <v>000000000000000000</v>
      </c>
      <c r="L10823" t="str">
        <f>T("7578874420")</f>
        <v>7578874420</v>
      </c>
    </row>
    <row r="10824" spans="1:12" x14ac:dyDescent="0.35">
      <c r="A10824" t="str">
        <f t="shared" si="3961"/>
        <v>NAVAL WEAPONS STATION YORKTOWN</v>
      </c>
      <c r="B10824" t="str">
        <f t="shared" si="3965"/>
        <v>NWS YORKTOWN</v>
      </c>
      <c r="C10824" t="str">
        <f>T("687 BARRACKS ROAD")</f>
        <v>687 BARRACKS ROAD</v>
      </c>
      <c r="D10824" t="str">
        <f>T("YORKTOWN")</f>
        <v>YORKTOWN</v>
      </c>
      <c r="E10824" t="str">
        <f t="shared" si="3963"/>
        <v>VA</v>
      </c>
      <c r="F10824" t="str">
        <f>T("236910000")</f>
        <v>236910000</v>
      </c>
      <c r="G10824" t="str">
        <f>T("NWS YORKTOWN")</f>
        <v>NWS YORKTOWN</v>
      </c>
      <c r="H10824" t="str">
        <f>T("687 BARRACKS ROAD")</f>
        <v>687 BARRACKS ROAD</v>
      </c>
      <c r="I10824" t="str">
        <f>T("YORKTOWN")</f>
        <v>YORKTOWN</v>
      </c>
      <c r="J10824" t="str">
        <f t="shared" si="3964"/>
        <v>VA</v>
      </c>
      <c r="K10824" t="str">
        <f t="shared" si="3966"/>
        <v>000000000000000000</v>
      </c>
      <c r="L10824" t="str">
        <f>T("7574443520")</f>
        <v>7574443520</v>
      </c>
    </row>
    <row r="10825" spans="1:12" x14ac:dyDescent="0.35">
      <c r="A10825" t="str">
        <f t="shared" si="3961"/>
        <v>NAVAL WEAPONS STATION YORKTOWN</v>
      </c>
      <c r="B10825" t="str">
        <f>T("PO DRAWER 160")</f>
        <v>PO DRAWER 160</v>
      </c>
      <c r="C10825" t="str">
        <f>T("")</f>
        <v/>
      </c>
      <c r="D10825" t="str">
        <f>T("YORKTOWN")</f>
        <v>YORKTOWN</v>
      </c>
      <c r="E10825" t="str">
        <f t="shared" si="3963"/>
        <v>VA</v>
      </c>
      <c r="F10825" t="str">
        <f>T("236900160")</f>
        <v>236900160</v>
      </c>
      <c r="G10825" t="str">
        <f>T("NWS YORKTOWN SAFETY OFFICE")</f>
        <v>NWS YORKTOWN SAFETY OFFICE</v>
      </c>
      <c r="H10825" t="str">
        <f>T("160 MAIN RD BLDG 31B")</f>
        <v>160 MAIN RD BLDG 31B</v>
      </c>
      <c r="I10825" t="str">
        <f>T("YORKTOWN")</f>
        <v>YORKTOWN</v>
      </c>
      <c r="J10825" t="str">
        <f t="shared" si="3964"/>
        <v>VA</v>
      </c>
      <c r="K10825" t="str">
        <f t="shared" si="3966"/>
        <v>000000000000000000</v>
      </c>
      <c r="L10825" t="str">
        <f>T("7578877399")</f>
        <v>7578877399</v>
      </c>
    </row>
    <row r="10826" spans="1:12" x14ac:dyDescent="0.35">
      <c r="A10826" t="str">
        <f t="shared" si="3961"/>
        <v>NAVAL WEAPONS STATION YORKTOWN</v>
      </c>
      <c r="B10826" t="str">
        <f>T("PO DRAWER 160")</f>
        <v>PO DRAWER 160</v>
      </c>
      <c r="C10826" t="str">
        <f>T("")</f>
        <v/>
      </c>
      <c r="D10826" t="str">
        <f>T("YORKTOWN")</f>
        <v>YORKTOWN</v>
      </c>
      <c r="E10826" t="str">
        <f t="shared" si="3963"/>
        <v>VA</v>
      </c>
      <c r="F10826" t="str">
        <f>T("236900160")</f>
        <v>236900160</v>
      </c>
      <c r="G10826" t="str">
        <f>T("NWS YORKTOWN SAFETY OFFICE")</f>
        <v>NWS YORKTOWN SAFETY OFFICE</v>
      </c>
      <c r="H10826" t="str">
        <f>T("160 MAIN ROAD BLDG 31B")</f>
        <v>160 MAIN ROAD BLDG 31B</v>
      </c>
      <c r="I10826" t="str">
        <f>T("YORKTOWN")</f>
        <v>YORKTOWN</v>
      </c>
      <c r="J10826" t="str">
        <f t="shared" si="3964"/>
        <v>VA</v>
      </c>
      <c r="K10826" t="str">
        <f t="shared" si="3966"/>
        <v>000000000000000000</v>
      </c>
      <c r="L10826" t="str">
        <f>T("7572561413")</f>
        <v>7572561413</v>
      </c>
    </row>
    <row r="10827" spans="1:12" x14ac:dyDescent="0.35">
      <c r="A10827" t="str">
        <f t="shared" si="3961"/>
        <v>NAVAL WEAPONS STATION YORKTOWN</v>
      </c>
      <c r="B10827" t="str">
        <f>T("PO DRAWER 160")</f>
        <v>PO DRAWER 160</v>
      </c>
      <c r="C10827" t="str">
        <f>T("")</f>
        <v/>
      </c>
      <c r="D10827" t="str">
        <f>T("YORKTOWN")</f>
        <v>YORKTOWN</v>
      </c>
      <c r="E10827" t="str">
        <f t="shared" si="3963"/>
        <v>VA</v>
      </c>
      <c r="F10827" t="str">
        <f>T("236900160")</f>
        <v>236900160</v>
      </c>
      <c r="G10827" t="str">
        <f>T("PO DRAWER 160")</f>
        <v>PO DRAWER 160</v>
      </c>
      <c r="H10827" t="str">
        <f>T("")</f>
        <v/>
      </c>
      <c r="I10827" t="str">
        <f>T("YORKTOWN")</f>
        <v>YORKTOWN</v>
      </c>
      <c r="J10827" t="str">
        <f t="shared" si="3964"/>
        <v>VA</v>
      </c>
      <c r="K10827" t="str">
        <f t="shared" si="3966"/>
        <v>000000000000000000</v>
      </c>
      <c r="L10827" t="str">
        <f>T("7578874498")</f>
        <v>7578874498</v>
      </c>
    </row>
    <row r="10828" spans="1:12" x14ac:dyDescent="0.35">
      <c r="A10828" t="str">
        <f t="shared" ref="A10828:A10849" si="3967">T("CNRNE NWS EARLE APC")</f>
        <v>CNRNE NWS EARLE APC</v>
      </c>
      <c r="B10828" t="str">
        <f>T("1510 GILBERT STREET")</f>
        <v>1510 GILBERT STREET</v>
      </c>
      <c r="C10828" t="str">
        <f>T("RM 207")</f>
        <v>RM 207</v>
      </c>
      <c r="D10828" t="str">
        <f>T("NORFOLK")</f>
        <v>NORFOLK</v>
      </c>
      <c r="E10828" t="str">
        <f t="shared" si="3963"/>
        <v>VA</v>
      </c>
      <c r="F10828" t="str">
        <f>T("235112738")</f>
        <v>235112738</v>
      </c>
      <c r="G10828" t="str">
        <f>T("1510 GILBERT STREET")</f>
        <v>1510 GILBERT STREET</v>
      </c>
      <c r="H10828" t="str">
        <f>T("RM 207")</f>
        <v>RM 207</v>
      </c>
      <c r="I10828" t="str">
        <f>T("NORFOLK")</f>
        <v>NORFOLK</v>
      </c>
      <c r="J10828" t="str">
        <f t="shared" si="3964"/>
        <v>VA</v>
      </c>
      <c r="K10828" t="str">
        <f>T("757-445-1953")</f>
        <v>757-445-1953</v>
      </c>
      <c r="L10828" t="str">
        <f>T("7573222852")</f>
        <v>7573222852</v>
      </c>
    </row>
    <row r="10829" spans="1:12" x14ac:dyDescent="0.35">
      <c r="A10829" t="str">
        <f t="shared" si="3967"/>
        <v>CNRNE NWS EARLE APC</v>
      </c>
      <c r="B10829" t="str">
        <f>T("1510 GILBERT STREET")</f>
        <v>1510 GILBERT STREET</v>
      </c>
      <c r="C10829" t="str">
        <f>T("RM 207")</f>
        <v>RM 207</v>
      </c>
      <c r="D10829" t="str">
        <f>T("NORFOLK")</f>
        <v>NORFOLK</v>
      </c>
      <c r="E10829" t="str">
        <f t="shared" si="3963"/>
        <v>VA</v>
      </c>
      <c r="F10829" t="str">
        <f>T("235112738")</f>
        <v>235112738</v>
      </c>
      <c r="G10829" t="str">
        <f>T("201 HWY 34 BLDG C-2")</f>
        <v>201 HWY 34 BLDG C-2</v>
      </c>
      <c r="H10829" t="str">
        <f>T("")</f>
        <v/>
      </c>
      <c r="I10829" t="str">
        <f>T("COLTS NECK")</f>
        <v>COLTS NECK</v>
      </c>
      <c r="J10829" t="str">
        <f t="shared" ref="J10829:J10834" si="3968">T("NJ")</f>
        <v>NJ</v>
      </c>
      <c r="K10829" t="str">
        <f>T("000000000000000000")</f>
        <v>000000000000000000</v>
      </c>
      <c r="L10829" t="str">
        <f>T("7328662171")</f>
        <v>7328662171</v>
      </c>
    </row>
    <row r="10830" spans="1:12" x14ac:dyDescent="0.35">
      <c r="A10830" t="str">
        <f t="shared" si="3967"/>
        <v>CNRNE NWS EARLE APC</v>
      </c>
      <c r="B10830" t="str">
        <f>T("800 HIGHWAY 36")</f>
        <v>800 HIGHWAY 36</v>
      </c>
      <c r="C10830" t="str">
        <f>T("SOUTH BLDG R-3A")</f>
        <v>SOUTH BLDG R-3A</v>
      </c>
      <c r="D10830" t="str">
        <f>T("LEONARDO")</f>
        <v>LEONARDO</v>
      </c>
      <c r="E10830" t="str">
        <f t="shared" ref="E10830:E10849" si="3969">T("NJ")</f>
        <v>NJ</v>
      </c>
      <c r="F10830" t="str">
        <f>T("077370000")</f>
        <v>077370000</v>
      </c>
      <c r="G10830" t="str">
        <f>T("201 HWY 34")</f>
        <v>201 HWY 34</v>
      </c>
      <c r="H10830" t="str">
        <f>T("BLDG C2")</f>
        <v>BLDG C2</v>
      </c>
      <c r="I10830" t="str">
        <f>T("COLTS NECK")</f>
        <v>COLTS NECK</v>
      </c>
      <c r="J10830" t="str">
        <f t="shared" si="3968"/>
        <v>NJ</v>
      </c>
      <c r="K10830" t="str">
        <f>T("7328667054")</f>
        <v>7328667054</v>
      </c>
      <c r="L10830" t="str">
        <f>T("7325571642")</f>
        <v>7325571642</v>
      </c>
    </row>
    <row r="10831" spans="1:12" x14ac:dyDescent="0.35">
      <c r="A10831" t="str">
        <f t="shared" si="3967"/>
        <v>CNRNE NWS EARLE APC</v>
      </c>
      <c r="B10831" t="str">
        <f>T("800 HIGHWAY 36")</f>
        <v>800 HIGHWAY 36</v>
      </c>
      <c r="C10831" t="str">
        <f>T("SOUTH BLDG R-3A")</f>
        <v>SOUTH BLDG R-3A</v>
      </c>
      <c r="D10831" t="str">
        <f>T("LEONARDO")</f>
        <v>LEONARDO</v>
      </c>
      <c r="E10831" t="str">
        <f t="shared" si="3969"/>
        <v>NJ</v>
      </c>
      <c r="F10831" t="str">
        <f>T("077370000")</f>
        <v>077370000</v>
      </c>
      <c r="G10831" t="str">
        <f>T("800 HIGHWAY 36")</f>
        <v>800 HIGHWAY 36</v>
      </c>
      <c r="H10831" t="str">
        <f>T("SOUTH BLDG R-3A")</f>
        <v>SOUTH BLDG R-3A</v>
      </c>
      <c r="I10831" t="str">
        <f>T("LEONARDO")</f>
        <v>LEONARDO</v>
      </c>
      <c r="J10831" t="str">
        <f t="shared" si="3968"/>
        <v>NJ</v>
      </c>
      <c r="K10831" t="str">
        <f>T("7328661254")</f>
        <v>7328661254</v>
      </c>
      <c r="L10831" t="str">
        <f>T("7324891836")</f>
        <v>7324891836</v>
      </c>
    </row>
    <row r="10832" spans="1:12" x14ac:dyDescent="0.35">
      <c r="A10832" t="str">
        <f t="shared" si="3967"/>
        <v>CNRNE NWS EARLE APC</v>
      </c>
      <c r="B10832" t="str">
        <f>T("COMMAND C-2")</f>
        <v>COMMAND C-2</v>
      </c>
      <c r="C10832" t="str">
        <f t="shared" ref="C10832:C10839" si="3970">T("201 HIGHWAY 34")</f>
        <v>201 HIGHWAY 34</v>
      </c>
      <c r="D10832" t="str">
        <f t="shared" ref="D10832:D10849" si="3971">T("COLTS NECK")</f>
        <v>COLTS NECK</v>
      </c>
      <c r="E10832" t="str">
        <f t="shared" si="3969"/>
        <v>NJ</v>
      </c>
      <c r="F10832" t="str">
        <f t="shared" ref="F10832:F10839" si="3972">T("077221902")</f>
        <v>077221902</v>
      </c>
      <c r="G10832" t="str">
        <f>T("201 HIGHWAY 34")</f>
        <v>201 HIGHWAY 34</v>
      </c>
      <c r="H10832" t="str">
        <f>T("BLDG C2-1")</f>
        <v>BLDG C2-1</v>
      </c>
      <c r="I10832" t="str">
        <f>T("COLTS NECK")</f>
        <v>COLTS NECK</v>
      </c>
      <c r="J10832" t="str">
        <f t="shared" si="3968"/>
        <v>NJ</v>
      </c>
      <c r="K10832" t="str">
        <f>T("7328661069")</f>
        <v>7328661069</v>
      </c>
      <c r="L10832" t="str">
        <f>T("7328662074")</f>
        <v>7328662074</v>
      </c>
    </row>
    <row r="10833" spans="1:12" x14ac:dyDescent="0.35">
      <c r="A10833" t="str">
        <f t="shared" si="3967"/>
        <v>CNRNE NWS EARLE APC</v>
      </c>
      <c r="B10833" t="str">
        <f>T("COMMAND C-2")</f>
        <v>COMMAND C-2</v>
      </c>
      <c r="C10833" t="str">
        <f t="shared" si="3970"/>
        <v>201 HIGHWAY 34</v>
      </c>
      <c r="D10833" t="str">
        <f t="shared" si="3971"/>
        <v>COLTS NECK</v>
      </c>
      <c r="E10833" t="str">
        <f t="shared" si="3969"/>
        <v>NJ</v>
      </c>
      <c r="F10833" t="str">
        <f t="shared" si="3972"/>
        <v>077221902</v>
      </c>
      <c r="G10833" t="str">
        <f>T("201 HIGHWAY 34")</f>
        <v>201 HIGHWAY 34</v>
      </c>
      <c r="H10833" t="str">
        <f>T("BLDG C2-1")</f>
        <v>BLDG C2-1</v>
      </c>
      <c r="I10833" t="str">
        <f>T("COLTS NECK")</f>
        <v>COLTS NECK</v>
      </c>
      <c r="J10833" t="str">
        <f t="shared" si="3968"/>
        <v>NJ</v>
      </c>
      <c r="K10833" t="str">
        <f>T("7328661199")</f>
        <v>7328661199</v>
      </c>
      <c r="L10833" t="str">
        <f>T("7328662808")</f>
        <v>7328662808</v>
      </c>
    </row>
    <row r="10834" spans="1:12" x14ac:dyDescent="0.35">
      <c r="A10834" t="str">
        <f t="shared" si="3967"/>
        <v>CNRNE NWS EARLE APC</v>
      </c>
      <c r="B10834" t="str">
        <f>T("COMMAND C-2")</f>
        <v>COMMAND C-2</v>
      </c>
      <c r="C10834" t="str">
        <f t="shared" si="3970"/>
        <v>201 HIGHWAY 34</v>
      </c>
      <c r="D10834" t="str">
        <f t="shared" si="3971"/>
        <v>COLTS NECK</v>
      </c>
      <c r="E10834" t="str">
        <f t="shared" si="3969"/>
        <v>NJ</v>
      </c>
      <c r="F10834" t="str">
        <f t="shared" si="3972"/>
        <v>077221902</v>
      </c>
      <c r="G10834" t="str">
        <f>T("COMMAND C-2")</f>
        <v>COMMAND C-2</v>
      </c>
      <c r="H10834" t="str">
        <f>T("201 HIGHWAY 34")</f>
        <v>201 HIGHWAY 34</v>
      </c>
      <c r="I10834" t="str">
        <f>T("COLTS NECK")</f>
        <v>COLTS NECK</v>
      </c>
      <c r="J10834" t="str">
        <f t="shared" si="3968"/>
        <v>NJ</v>
      </c>
      <c r="K10834" t="str">
        <f>T("7328662560")</f>
        <v>7328662560</v>
      </c>
      <c r="L10834" t="str">
        <f>T("7328662265")</f>
        <v>7328662265</v>
      </c>
    </row>
    <row r="10835" spans="1:12" x14ac:dyDescent="0.35">
      <c r="A10835" t="str">
        <f t="shared" si="3967"/>
        <v>CNRNE NWS EARLE APC</v>
      </c>
      <c r="B10835" t="str">
        <f>T("FIRE DEPT")</f>
        <v>FIRE DEPT</v>
      </c>
      <c r="C10835" t="str">
        <f t="shared" si="3970"/>
        <v>201 HIGHWAY 34</v>
      </c>
      <c r="D10835" t="str">
        <f t="shared" si="3971"/>
        <v>COLTS NECK</v>
      </c>
      <c r="E10835" t="str">
        <f t="shared" si="3969"/>
        <v>NJ</v>
      </c>
      <c r="F10835" t="str">
        <f t="shared" si="3972"/>
        <v>077221902</v>
      </c>
      <c r="G10835" t="str">
        <f>T("1301 KITTY HAWK AVENUE")</f>
        <v>1301 KITTY HAWK AVENUE</v>
      </c>
      <c r="H10835" t="str">
        <f>T("")</f>
        <v/>
      </c>
      <c r="I10835" t="str">
        <f>T("PHILADELPHIA")</f>
        <v>PHILADELPHIA</v>
      </c>
      <c r="J10835" t="str">
        <f>T("PA")</f>
        <v>PA</v>
      </c>
      <c r="K10835" t="str">
        <f>T("000000000000000000")</f>
        <v>000000000000000000</v>
      </c>
      <c r="L10835" t="str">
        <f>T("2158973635")</f>
        <v>2158973635</v>
      </c>
    </row>
    <row r="10836" spans="1:12" x14ac:dyDescent="0.35">
      <c r="A10836" t="str">
        <f t="shared" si="3967"/>
        <v>CNRNE NWS EARLE APC</v>
      </c>
      <c r="B10836" t="str">
        <f>T("FIRE DEPT")</f>
        <v>FIRE DEPT</v>
      </c>
      <c r="C10836" t="str">
        <f t="shared" si="3970"/>
        <v>201 HIGHWAY 34</v>
      </c>
      <c r="D10836" t="str">
        <f t="shared" si="3971"/>
        <v>COLTS NECK</v>
      </c>
      <c r="E10836" t="str">
        <f t="shared" si="3969"/>
        <v>NJ</v>
      </c>
      <c r="F10836" t="str">
        <f t="shared" si="3972"/>
        <v>077221902</v>
      </c>
      <c r="G10836" t="str">
        <f>T("1301 KITTY HAWK AVENUE")</f>
        <v>1301 KITTY HAWK AVENUE</v>
      </c>
      <c r="H10836" t="str">
        <f>T("")</f>
        <v/>
      </c>
      <c r="I10836" t="str">
        <f>T("PHILADELPHIA")</f>
        <v>PHILADELPHIA</v>
      </c>
      <c r="J10836" t="str">
        <f>T("PA")</f>
        <v>PA</v>
      </c>
      <c r="K10836" t="str">
        <f>T("2158921498")</f>
        <v>2158921498</v>
      </c>
      <c r="L10836" t="str">
        <f>T("2158973635")</f>
        <v>2158973635</v>
      </c>
    </row>
    <row r="10837" spans="1:12" x14ac:dyDescent="0.35">
      <c r="A10837" t="str">
        <f t="shared" si="3967"/>
        <v>CNRNE NWS EARLE APC</v>
      </c>
      <c r="B10837" t="str">
        <f>T("FIRE DEPT")</f>
        <v>FIRE DEPT</v>
      </c>
      <c r="C10837" t="str">
        <f t="shared" si="3970"/>
        <v>201 HIGHWAY 34</v>
      </c>
      <c r="D10837" t="str">
        <f t="shared" si="3971"/>
        <v>COLTS NECK</v>
      </c>
      <c r="E10837" t="str">
        <f t="shared" si="3969"/>
        <v>NJ</v>
      </c>
      <c r="F10837" t="str">
        <f t="shared" si="3972"/>
        <v>077221902</v>
      </c>
      <c r="G10837" t="str">
        <f>T("201 HIGHWAY 34")</f>
        <v>201 HIGHWAY 34</v>
      </c>
      <c r="H10837" t="str">
        <f>T("BLDG C-22")</f>
        <v>BLDG C-22</v>
      </c>
      <c r="I10837" t="str">
        <f>T("COLTS NECK")</f>
        <v>COLTS NECK</v>
      </c>
      <c r="J10837" t="str">
        <f t="shared" ref="J10837:J10849" si="3973">T("NJ")</f>
        <v>NJ</v>
      </c>
      <c r="K10837" t="str">
        <f>T("7328661150")</f>
        <v>7328661150</v>
      </c>
      <c r="L10837" t="str">
        <f>T("7328662260")</f>
        <v>7328662260</v>
      </c>
    </row>
    <row r="10838" spans="1:12" x14ac:dyDescent="0.35">
      <c r="A10838" t="str">
        <f t="shared" si="3967"/>
        <v>CNRNE NWS EARLE APC</v>
      </c>
      <c r="B10838" t="str">
        <f>T("FIRE DEPT")</f>
        <v>FIRE DEPT</v>
      </c>
      <c r="C10838" t="str">
        <f t="shared" si="3970"/>
        <v>201 HIGHWAY 34</v>
      </c>
      <c r="D10838" t="str">
        <f t="shared" si="3971"/>
        <v>COLTS NECK</v>
      </c>
      <c r="E10838" t="str">
        <f t="shared" si="3969"/>
        <v>NJ</v>
      </c>
      <c r="F10838" t="str">
        <f t="shared" si="3972"/>
        <v>077221902</v>
      </c>
      <c r="G10838" t="str">
        <f>T("FIRE DEPT")</f>
        <v>FIRE DEPT</v>
      </c>
      <c r="H10838" t="str">
        <f>T("201 HIGHWAY 34")</f>
        <v>201 HIGHWAY 34</v>
      </c>
      <c r="I10838" t="str">
        <f>T("COLTS NECK")</f>
        <v>COLTS NECK</v>
      </c>
      <c r="J10838" t="str">
        <f t="shared" si="3973"/>
        <v>NJ</v>
      </c>
      <c r="K10838" t="str">
        <f>T("7328661150")</f>
        <v>7328661150</v>
      </c>
      <c r="L10838" t="str">
        <f>T("7328662699")</f>
        <v>7328662699</v>
      </c>
    </row>
    <row r="10839" spans="1:12" x14ac:dyDescent="0.35">
      <c r="A10839" t="str">
        <f t="shared" si="3967"/>
        <v>CNRNE NWS EARLE APC</v>
      </c>
      <c r="B10839" t="str">
        <f>T("FIRE DEPT")</f>
        <v>FIRE DEPT</v>
      </c>
      <c r="C10839" t="str">
        <f t="shared" si="3970"/>
        <v>201 HIGHWAY 34</v>
      </c>
      <c r="D10839" t="str">
        <f t="shared" si="3971"/>
        <v>COLTS NECK</v>
      </c>
      <c r="E10839" t="str">
        <f t="shared" si="3969"/>
        <v>NJ</v>
      </c>
      <c r="F10839" t="str">
        <f t="shared" si="3972"/>
        <v>077221902</v>
      </c>
      <c r="G10839" t="str">
        <f>T("NWS EARLE FIRE  EMERGENCY SERV")</f>
        <v>NWS EARLE FIRE  EMERGENCY SERV</v>
      </c>
      <c r="H10839" t="str">
        <f>T("201 HWY 34 DLDG C-22")</f>
        <v>201 HWY 34 DLDG C-22</v>
      </c>
      <c r="I10839" t="str">
        <f>T("COLT NECK")</f>
        <v>COLT NECK</v>
      </c>
      <c r="J10839" t="str">
        <f t="shared" si="3973"/>
        <v>NJ</v>
      </c>
      <c r="K10839" t="str">
        <f>T("7328661150")</f>
        <v>7328661150</v>
      </c>
      <c r="L10839" t="str">
        <f>T("7328662865")</f>
        <v>7328662865</v>
      </c>
    </row>
    <row r="10840" spans="1:12" x14ac:dyDescent="0.35">
      <c r="A10840" t="str">
        <f t="shared" si="3967"/>
        <v>CNRNE NWS EARLE APC</v>
      </c>
      <c r="B10840" t="str">
        <f>T("FLEET FAMILY SERVICE CENTER")</f>
        <v>FLEET FAMILY SERVICE CENTER</v>
      </c>
      <c r="C10840" t="str">
        <f>T("BLDG C-59 1ST FLOOR")</f>
        <v>BLDG C-59 1ST FLOOR</v>
      </c>
      <c r="D10840" t="str">
        <f t="shared" si="3971"/>
        <v>COLTS NECK</v>
      </c>
      <c r="E10840" t="str">
        <f t="shared" si="3969"/>
        <v>NJ</v>
      </c>
      <c r="F10840" t="str">
        <f>T("077220000")</f>
        <v>077220000</v>
      </c>
      <c r="G10840" t="str">
        <f>T("201 HIGHWAY 34")</f>
        <v>201 HIGHWAY 34</v>
      </c>
      <c r="H10840" t="str">
        <f>T("BLDG C-59 1STFLR")</f>
        <v>BLDG C-59 1STFLR</v>
      </c>
      <c r="I10840" t="str">
        <f t="shared" ref="I10840:I10849" si="3974">T("COLTS NECK")</f>
        <v>COLTS NECK</v>
      </c>
      <c r="J10840" t="str">
        <f t="shared" si="3973"/>
        <v>NJ</v>
      </c>
      <c r="K10840" t="str">
        <f>T("000000000000000000")</f>
        <v>000000000000000000</v>
      </c>
      <c r="L10840" t="str">
        <f>T("7328662590")</f>
        <v>7328662590</v>
      </c>
    </row>
    <row r="10841" spans="1:12" x14ac:dyDescent="0.35">
      <c r="A10841" t="str">
        <f t="shared" si="3967"/>
        <v>CNRNE NWS EARLE APC</v>
      </c>
      <c r="B10841" t="str">
        <f>T("FLEET FAMILY SERVICE CENTER")</f>
        <v>FLEET FAMILY SERVICE CENTER</v>
      </c>
      <c r="C10841" t="str">
        <f>T("BLDG C-59 1ST FLOOR")</f>
        <v>BLDG C-59 1ST FLOOR</v>
      </c>
      <c r="D10841" t="str">
        <f t="shared" si="3971"/>
        <v>COLTS NECK</v>
      </c>
      <c r="E10841" t="str">
        <f t="shared" si="3969"/>
        <v>NJ</v>
      </c>
      <c r="F10841" t="str">
        <f>T("077220000")</f>
        <v>077220000</v>
      </c>
      <c r="G10841" t="str">
        <f>T("201 HIGHWAY 34")</f>
        <v>201 HIGHWAY 34</v>
      </c>
      <c r="H10841" t="str">
        <f>T("BUILDING C59 1ST FLOOR")</f>
        <v>BUILDING C59 1ST FLOOR</v>
      </c>
      <c r="I10841" t="str">
        <f t="shared" si="3974"/>
        <v>COLTS NECK</v>
      </c>
      <c r="J10841" t="str">
        <f t="shared" si="3973"/>
        <v>NJ</v>
      </c>
      <c r="K10841" t="str">
        <f>T("017328662590")</f>
        <v>017328662590</v>
      </c>
      <c r="L10841" t="str">
        <f>T("7328662590")</f>
        <v>7328662590</v>
      </c>
    </row>
    <row r="10842" spans="1:12" x14ac:dyDescent="0.35">
      <c r="A10842" t="str">
        <f t="shared" si="3967"/>
        <v>CNRNE NWS EARLE APC</v>
      </c>
      <c r="B10842" t="str">
        <f>T("FLEET FAMILY SERVICE CENTER")</f>
        <v>FLEET FAMILY SERVICE CENTER</v>
      </c>
      <c r="C10842" t="str">
        <f>T("BLDG C-59 1ST FLOOR")</f>
        <v>BLDG C-59 1ST FLOOR</v>
      </c>
      <c r="D10842" t="str">
        <f t="shared" si="3971"/>
        <v>COLTS NECK</v>
      </c>
      <c r="E10842" t="str">
        <f t="shared" si="3969"/>
        <v>NJ</v>
      </c>
      <c r="F10842" t="str">
        <f>T("077220000")</f>
        <v>077220000</v>
      </c>
      <c r="G10842" t="str">
        <f>T("FLEET FAMILY SERVICE CENTER")</f>
        <v>FLEET FAMILY SERVICE CENTER</v>
      </c>
      <c r="H10842" t="str">
        <f>T("BLDG C-59 1ST FLOOR")</f>
        <v>BLDG C-59 1ST FLOOR</v>
      </c>
      <c r="I10842" t="str">
        <f t="shared" si="3974"/>
        <v>COLTS NECK</v>
      </c>
      <c r="J10842" t="str">
        <f t="shared" si="3973"/>
        <v>NJ</v>
      </c>
      <c r="K10842" t="str">
        <f>T("000000000000000000")</f>
        <v>000000000000000000</v>
      </c>
      <c r="L10842" t="str">
        <f>T("7328662589")</f>
        <v>7328662589</v>
      </c>
    </row>
    <row r="10843" spans="1:12" x14ac:dyDescent="0.35">
      <c r="A10843" t="str">
        <f t="shared" si="3967"/>
        <v>CNRNE NWS EARLE APC</v>
      </c>
      <c r="B10843" t="str">
        <f>T("NAVOSH")</f>
        <v>NAVOSH</v>
      </c>
      <c r="C10843" t="str">
        <f>T("201 ROUTE 34S BLDG C2")</f>
        <v>201 ROUTE 34S BLDG C2</v>
      </c>
      <c r="D10843" t="str">
        <f t="shared" si="3971"/>
        <v>COLTS NECK</v>
      </c>
      <c r="E10843" t="str">
        <f t="shared" si="3969"/>
        <v>NJ</v>
      </c>
      <c r="F10843" t="str">
        <f>T("077221902")</f>
        <v>077221902</v>
      </c>
      <c r="G10843" t="str">
        <f>T("NAVOSH")</f>
        <v>NAVOSH</v>
      </c>
      <c r="H10843" t="str">
        <f>T("201 ROUTE 34S BLDG C2")</f>
        <v>201 ROUTE 34S BLDG C2</v>
      </c>
      <c r="I10843" t="str">
        <f t="shared" si="3974"/>
        <v>COLTS NECK</v>
      </c>
      <c r="J10843" t="str">
        <f t="shared" si="3973"/>
        <v>NJ</v>
      </c>
      <c r="K10843" t="str">
        <f>T("7328662123")</f>
        <v>7328662123</v>
      </c>
      <c r="L10843" t="str">
        <f>T("7328662386")</f>
        <v>7328662386</v>
      </c>
    </row>
    <row r="10844" spans="1:12" x14ac:dyDescent="0.35">
      <c r="A10844" t="str">
        <f t="shared" si="3967"/>
        <v>CNRNE NWS EARLE APC</v>
      </c>
      <c r="B10844" t="str">
        <f>T("NAVOSH")</f>
        <v>NAVOSH</v>
      </c>
      <c r="C10844" t="str">
        <f>T("201 ROUTE 34S BLDG C2")</f>
        <v>201 ROUTE 34S BLDG C2</v>
      </c>
      <c r="D10844" t="str">
        <f t="shared" si="3971"/>
        <v>COLTS NECK</v>
      </c>
      <c r="E10844" t="str">
        <f t="shared" si="3969"/>
        <v>NJ</v>
      </c>
      <c r="F10844" t="str">
        <f>T("077221902")</f>
        <v>077221902</v>
      </c>
      <c r="G10844" t="str">
        <f>T("NWS EARLE - BLDG C-54")</f>
        <v>NWS EARLE - BLDG C-54</v>
      </c>
      <c r="H10844" t="str">
        <f>T("201 ROUTE 34S")</f>
        <v>201 ROUTE 34S</v>
      </c>
      <c r="I10844" t="str">
        <f t="shared" si="3974"/>
        <v>COLTS NECK</v>
      </c>
      <c r="J10844" t="str">
        <f t="shared" si="3973"/>
        <v>NJ</v>
      </c>
      <c r="K10844" t="str">
        <f>T("000000000000000000")</f>
        <v>000000000000000000</v>
      </c>
      <c r="L10844" t="str">
        <f>T("7328662381")</f>
        <v>7328662381</v>
      </c>
    </row>
    <row r="10845" spans="1:12" x14ac:dyDescent="0.35">
      <c r="A10845" t="str">
        <f t="shared" si="3967"/>
        <v>CNRNE NWS EARLE APC</v>
      </c>
      <c r="B10845" t="str">
        <f>T("NWS EARLE HOUSING C-55")</f>
        <v>NWS EARLE HOUSING C-55</v>
      </c>
      <c r="C10845" t="str">
        <f>T("201 HIGHWAY 34")</f>
        <v>201 HIGHWAY 34</v>
      </c>
      <c r="D10845" t="str">
        <f t="shared" si="3971"/>
        <v>COLTS NECK</v>
      </c>
      <c r="E10845" t="str">
        <f t="shared" si="3969"/>
        <v>NJ</v>
      </c>
      <c r="F10845" t="str">
        <f>T("077221902")</f>
        <v>077221902</v>
      </c>
      <c r="G10845" t="str">
        <f>T("201 HIGHWAY 34S")</f>
        <v>201 HIGHWAY 34S</v>
      </c>
      <c r="H10845" t="str">
        <f>T("BLDG C-55")</f>
        <v>BLDG C-55</v>
      </c>
      <c r="I10845" t="str">
        <f t="shared" si="3974"/>
        <v>COLTS NECK</v>
      </c>
      <c r="J10845" t="str">
        <f t="shared" si="3973"/>
        <v>NJ</v>
      </c>
      <c r="K10845" t="str">
        <f>T("000000000000000000")</f>
        <v>000000000000000000</v>
      </c>
      <c r="L10845" t="str">
        <f>T("7328662178")</f>
        <v>7328662178</v>
      </c>
    </row>
    <row r="10846" spans="1:12" x14ac:dyDescent="0.35">
      <c r="A10846" t="str">
        <f t="shared" si="3967"/>
        <v>CNRNE NWS EARLE APC</v>
      </c>
      <c r="B10846" t="str">
        <f>T("NWS EARLE HOUSING C-55")</f>
        <v>NWS EARLE HOUSING C-55</v>
      </c>
      <c r="C10846" t="str">
        <f>T("201 HIGHWAY 34")</f>
        <v>201 HIGHWAY 34</v>
      </c>
      <c r="D10846" t="str">
        <f t="shared" si="3971"/>
        <v>COLTS NECK</v>
      </c>
      <c r="E10846" t="str">
        <f t="shared" si="3969"/>
        <v>NJ</v>
      </c>
      <c r="F10846" t="str">
        <f>T("077221902")</f>
        <v>077221902</v>
      </c>
      <c r="G10846" t="str">
        <f>T("NWS EARLE BLDG C-55")</f>
        <v>NWS EARLE BLDG C-55</v>
      </c>
      <c r="H10846" t="str">
        <f>T("201 HIGHWAY 34S")</f>
        <v>201 HIGHWAY 34S</v>
      </c>
      <c r="I10846" t="str">
        <f t="shared" si="3974"/>
        <v>COLTS NECK</v>
      </c>
      <c r="J10846" t="str">
        <f t="shared" si="3973"/>
        <v>NJ</v>
      </c>
      <c r="K10846" t="str">
        <f>T("000000000000000000")</f>
        <v>000000000000000000</v>
      </c>
      <c r="L10846" t="str">
        <f>T("7328662178")</f>
        <v>7328662178</v>
      </c>
    </row>
    <row r="10847" spans="1:12" x14ac:dyDescent="0.35">
      <c r="A10847" t="str">
        <f t="shared" si="3967"/>
        <v>CNRNE NWS EARLE APC</v>
      </c>
      <c r="B10847" t="str">
        <f>T("NWS EARLE HOUSING C-55")</f>
        <v>NWS EARLE HOUSING C-55</v>
      </c>
      <c r="C10847" t="str">
        <f>T("201 HIGHWAY 34")</f>
        <v>201 HIGHWAY 34</v>
      </c>
      <c r="D10847" t="str">
        <f t="shared" si="3971"/>
        <v>COLTS NECK</v>
      </c>
      <c r="E10847" t="str">
        <f t="shared" si="3969"/>
        <v>NJ</v>
      </c>
      <c r="F10847" t="str">
        <f>T("077221902")</f>
        <v>077221902</v>
      </c>
      <c r="G10847" t="str">
        <f>T("NWS EARLE HOUSING C-55")</f>
        <v>NWS EARLE HOUSING C-55</v>
      </c>
      <c r="H10847" t="str">
        <f>T("201 HIGHWAY 34")</f>
        <v>201 HIGHWAY 34</v>
      </c>
      <c r="I10847" t="str">
        <f t="shared" si="3974"/>
        <v>COLTS NECK</v>
      </c>
      <c r="J10847" t="str">
        <f t="shared" si="3973"/>
        <v>NJ</v>
      </c>
      <c r="K10847" t="str">
        <f>T("000000000000000000")</f>
        <v>000000000000000000</v>
      </c>
      <c r="L10847" t="str">
        <f>T("7328662182")</f>
        <v>7328662182</v>
      </c>
    </row>
    <row r="10848" spans="1:12" x14ac:dyDescent="0.35">
      <c r="A10848" t="str">
        <f t="shared" si="3967"/>
        <v>CNRNE NWS EARLE APC</v>
      </c>
      <c r="B10848" t="str">
        <f>T("SECURITY C34")</f>
        <v>SECURITY C34</v>
      </c>
      <c r="C10848" t="str">
        <f>T("201 HIGHWAY 34")</f>
        <v>201 HIGHWAY 34</v>
      </c>
      <c r="D10848" t="str">
        <f t="shared" si="3971"/>
        <v>COLTS NECK</v>
      </c>
      <c r="E10848" t="str">
        <f t="shared" si="3969"/>
        <v>NJ</v>
      </c>
      <c r="F10848" t="str">
        <f>T("077225018")</f>
        <v>077225018</v>
      </c>
      <c r="G10848" t="str">
        <f>T("201 HIGHWAY 34 S SECURITY DEPT")</f>
        <v>201 HIGHWAY 34 S SECURITY DEPT</v>
      </c>
      <c r="H10848" t="str">
        <f>T("FORCE PROTECTION BLDG C34")</f>
        <v>FORCE PROTECTION BLDG C34</v>
      </c>
      <c r="I10848" t="str">
        <f t="shared" si="3974"/>
        <v>COLTS NECK</v>
      </c>
      <c r="J10848" t="str">
        <f t="shared" si="3973"/>
        <v>NJ</v>
      </c>
      <c r="K10848" t="str">
        <f>T("7328661156")</f>
        <v>7328661156</v>
      </c>
      <c r="L10848" t="str">
        <f>T("7328662404")</f>
        <v>7328662404</v>
      </c>
    </row>
    <row r="10849" spans="1:12" x14ac:dyDescent="0.35">
      <c r="A10849" t="str">
        <f t="shared" si="3967"/>
        <v>CNRNE NWS EARLE APC</v>
      </c>
      <c r="B10849" t="str">
        <f>T("SECURITY C34")</f>
        <v>SECURITY C34</v>
      </c>
      <c r="C10849" t="str">
        <f>T("201 HIGHWAY 34")</f>
        <v>201 HIGHWAY 34</v>
      </c>
      <c r="D10849" t="str">
        <f t="shared" si="3971"/>
        <v>COLTS NECK</v>
      </c>
      <c r="E10849" t="str">
        <f t="shared" si="3969"/>
        <v>NJ</v>
      </c>
      <c r="F10849" t="str">
        <f>T("077225018")</f>
        <v>077225018</v>
      </c>
      <c r="G10849" t="str">
        <f>T("SECURITY C34")</f>
        <v>SECURITY C34</v>
      </c>
      <c r="H10849" t="str">
        <f>T("201 HIGHWAY 34")</f>
        <v>201 HIGHWAY 34</v>
      </c>
      <c r="I10849" t="str">
        <f t="shared" si="3974"/>
        <v>COLTS NECK</v>
      </c>
      <c r="J10849" t="str">
        <f t="shared" si="3973"/>
        <v>NJ</v>
      </c>
      <c r="K10849" t="str">
        <f>T("7328661156")</f>
        <v>7328661156</v>
      </c>
      <c r="L10849" t="str">
        <f>T("7328662507")</f>
        <v>7328662507</v>
      </c>
    </row>
    <row r="10850" spans="1:12" x14ac:dyDescent="0.35">
      <c r="A10850" t="str">
        <f t="shared" ref="A10850:A10881" si="3975">T("NAVY REGION NORTHWEST")</f>
        <v>NAVY REGION NORTHWEST</v>
      </c>
      <c r="B10850" t="str">
        <f>T("1115 W LEXINGTON")</f>
        <v>1115 W LEXINGTON</v>
      </c>
      <c r="C10850" t="str">
        <f>T("NAVFAC ENVIRONMENTAL")</f>
        <v>NAVFAC ENVIRONMENTAL</v>
      </c>
      <c r="D10850" t="str">
        <f>T("OAK HARBOR")</f>
        <v>OAK HARBOR</v>
      </c>
      <c r="E10850" t="str">
        <f t="shared" ref="E10850:E10881" si="3976">T("WA")</f>
        <v>WA</v>
      </c>
      <c r="F10850" t="str">
        <f>T("982784920")</f>
        <v>982784920</v>
      </c>
      <c r="G10850" t="str">
        <f>T("1100 HUNLEY ROAD")</f>
        <v>1100 HUNLEY ROAD</v>
      </c>
      <c r="H10850" t="str">
        <f>T("ROOM 210")</f>
        <v>ROOM 210</v>
      </c>
      <c r="I10850" t="str">
        <f>T("SILVERDALE")</f>
        <v>SILVERDALE</v>
      </c>
      <c r="J10850" t="str">
        <f t="shared" ref="J10850:J10881" si="3977">T("WA")</f>
        <v>WA</v>
      </c>
      <c r="K10850" t="str">
        <f>T("000000000000000000")</f>
        <v>000000000000000000</v>
      </c>
      <c r="L10850" t="str">
        <f>T("3602570815")</f>
        <v>3602570815</v>
      </c>
    </row>
    <row r="10851" spans="1:12" x14ac:dyDescent="0.35">
      <c r="A10851" t="str">
        <f t="shared" si="3975"/>
        <v>NAVY REGION NORTHWEST</v>
      </c>
      <c r="B10851" t="str">
        <f>T("1115 W LEXINGTON")</f>
        <v>1115 W LEXINGTON</v>
      </c>
      <c r="C10851" t="str">
        <f>T("NAVFAC ENVIRONMENTAL")</f>
        <v>NAVFAC ENVIRONMENTAL</v>
      </c>
      <c r="D10851" t="str">
        <f>T("OAK HARBOR")</f>
        <v>OAK HARBOR</v>
      </c>
      <c r="E10851" t="str">
        <f t="shared" si="3976"/>
        <v>WA</v>
      </c>
      <c r="F10851" t="str">
        <f>T("982784920")</f>
        <v>982784920</v>
      </c>
      <c r="G10851" t="str">
        <f>T("1115 W LEXINGTON")</f>
        <v>1115 W LEXINGTON</v>
      </c>
      <c r="H10851" t="str">
        <f>T("NAVFAC ENVIRONMENTAL")</f>
        <v>NAVFAC ENVIRONMENTAL</v>
      </c>
      <c r="I10851" t="str">
        <f>T("OAK HARBOR")</f>
        <v>OAK HARBOR</v>
      </c>
      <c r="J10851" t="str">
        <f t="shared" si="3977"/>
        <v>WA</v>
      </c>
      <c r="K10851" t="str">
        <f>T("")</f>
        <v/>
      </c>
      <c r="L10851" t="str">
        <f>T("3602573343")</f>
        <v>3602573343</v>
      </c>
    </row>
    <row r="10852" spans="1:12" x14ac:dyDescent="0.35">
      <c r="A10852" t="str">
        <f t="shared" si="3975"/>
        <v>NAVY REGION NORTHWEST</v>
      </c>
      <c r="B10852" t="str">
        <f>T("1115 W LEXINGTON")</f>
        <v>1115 W LEXINGTON</v>
      </c>
      <c r="C10852" t="str">
        <f>T("NAVFAC ENVIRONMENTAL")</f>
        <v>NAVFAC ENVIRONMENTAL</v>
      </c>
      <c r="D10852" t="str">
        <f>T("OAK HARBOR")</f>
        <v>OAK HARBOR</v>
      </c>
      <c r="E10852" t="str">
        <f t="shared" si="3976"/>
        <v>WA</v>
      </c>
      <c r="F10852" t="str">
        <f>T("982784920")</f>
        <v>982784920</v>
      </c>
      <c r="G10852" t="str">
        <f>T("NASWI NAVFAC")</f>
        <v>NASWI NAVFAC</v>
      </c>
      <c r="H10852" t="str">
        <f>T("1115 W LEXINGTON ST BLDG 103")</f>
        <v>1115 W LEXINGTON ST BLDG 103</v>
      </c>
      <c r="I10852" t="str">
        <f>T("OAK HARBOR")</f>
        <v>OAK HARBOR</v>
      </c>
      <c r="J10852" t="str">
        <f t="shared" si="3977"/>
        <v>WA</v>
      </c>
      <c r="K10852" t="str">
        <f>T("000000000000000000")</f>
        <v>000000000000000000</v>
      </c>
      <c r="L10852" t="str">
        <f>T("3602570363")</f>
        <v>3602570363</v>
      </c>
    </row>
    <row r="10853" spans="1:12" x14ac:dyDescent="0.35">
      <c r="A10853" t="str">
        <f t="shared" si="3975"/>
        <v>NAVY REGION NORTHWEST</v>
      </c>
      <c r="B10853" t="str">
        <f>T("1115 W LEXINGTON")</f>
        <v>1115 W LEXINGTON</v>
      </c>
      <c r="C10853" t="str">
        <f>T("NAVFAC ENVIRONMENTAL")</f>
        <v>NAVFAC ENVIRONMENTAL</v>
      </c>
      <c r="D10853" t="str">
        <f>T("OAK HARBOR")</f>
        <v>OAK HARBOR</v>
      </c>
      <c r="E10853" t="str">
        <f t="shared" si="3976"/>
        <v>WA</v>
      </c>
      <c r="F10853" t="str">
        <f>T("982784920")</f>
        <v>982784920</v>
      </c>
      <c r="G10853" t="str">
        <f>T("NASWI PUBLIC WORKS")</f>
        <v>NASWI PUBLIC WORKS</v>
      </c>
      <c r="H10853" t="str">
        <f>T("1115 WEST LEXINGTON STREET B103")</f>
        <v>1115 WEST LEXINGTON STREET B103</v>
      </c>
      <c r="I10853" t="str">
        <f>T("OAK HARBOR")</f>
        <v>OAK HARBOR</v>
      </c>
      <c r="J10853" t="str">
        <f t="shared" si="3977"/>
        <v>WA</v>
      </c>
      <c r="K10853" t="str">
        <f>T("000000000000000000")</f>
        <v>000000000000000000</v>
      </c>
      <c r="L10853" t="str">
        <f>T("3602572506")</f>
        <v>3602572506</v>
      </c>
    </row>
    <row r="10854" spans="1:12" x14ac:dyDescent="0.35">
      <c r="A10854" t="str">
        <f t="shared" si="3975"/>
        <v>NAVY REGION NORTHWEST</v>
      </c>
      <c r="B10854" t="str">
        <f>T("2000 W MARINE VIEW DR")</f>
        <v>2000 W MARINE VIEW DR</v>
      </c>
      <c r="C10854" t="str">
        <f>T("BUILDING 2125")</f>
        <v>BUILDING 2125</v>
      </c>
      <c r="D10854" t="str">
        <f>T("EVERETT")</f>
        <v>EVERETT</v>
      </c>
      <c r="E10854" t="str">
        <f t="shared" si="3976"/>
        <v>WA</v>
      </c>
      <c r="F10854" t="str">
        <f>T("982070001")</f>
        <v>982070001</v>
      </c>
      <c r="G10854" t="str">
        <f>T("2000 W MARINE VIEW DR")</f>
        <v>2000 W MARINE VIEW DR</v>
      </c>
      <c r="H10854" t="str">
        <f>T("BLDG 2125")</f>
        <v>BLDG 2125</v>
      </c>
      <c r="I10854" t="str">
        <f>T("EVERETT")</f>
        <v>EVERETT</v>
      </c>
      <c r="J10854" t="str">
        <f t="shared" si="3977"/>
        <v>WA</v>
      </c>
      <c r="K10854" t="str">
        <f>T("000000000000000000")</f>
        <v>000000000000000000</v>
      </c>
      <c r="L10854" t="str">
        <f>T("4253043494")</f>
        <v>4253043494</v>
      </c>
    </row>
    <row r="10855" spans="1:12" x14ac:dyDescent="0.35">
      <c r="A10855" t="str">
        <f t="shared" si="3975"/>
        <v>NAVY REGION NORTHWEST</v>
      </c>
      <c r="B10855" t="str">
        <f>T("2000 W MARINE VIEW DR")</f>
        <v>2000 W MARINE VIEW DR</v>
      </c>
      <c r="C10855" t="str">
        <f>T("BUILDING 2125")</f>
        <v>BUILDING 2125</v>
      </c>
      <c r="D10855" t="str">
        <f>T("EVERETT")</f>
        <v>EVERETT</v>
      </c>
      <c r="E10855" t="str">
        <f t="shared" si="3976"/>
        <v>WA</v>
      </c>
      <c r="F10855" t="str">
        <f>T("982070001")</f>
        <v>982070001</v>
      </c>
      <c r="G10855" t="str">
        <f>T("2000 W MARINE VIEW DR")</f>
        <v>2000 W MARINE VIEW DR</v>
      </c>
      <c r="H10855" t="str">
        <f>T("BUILDING 2125")</f>
        <v>BUILDING 2125</v>
      </c>
      <c r="I10855" t="str">
        <f>T("EVERETT")</f>
        <v>EVERETT</v>
      </c>
      <c r="J10855" t="str">
        <f t="shared" si="3977"/>
        <v>WA</v>
      </c>
      <c r="K10855" t="str">
        <f>T("")</f>
        <v/>
      </c>
      <c r="L10855" t="str">
        <f>T("4253043429")</f>
        <v>4253043429</v>
      </c>
    </row>
    <row r="10856" spans="1:12" x14ac:dyDescent="0.35">
      <c r="A10856" t="str">
        <f t="shared" si="3975"/>
        <v>NAVY REGION NORTHWEST</v>
      </c>
      <c r="B10856" t="str">
        <f>T("2000 W MARINE VIEW DR")</f>
        <v>2000 W MARINE VIEW DR</v>
      </c>
      <c r="C10856" t="str">
        <f>T("BUILDING 2125")</f>
        <v>BUILDING 2125</v>
      </c>
      <c r="D10856" t="str">
        <f>T("EVERETT")</f>
        <v>EVERETT</v>
      </c>
      <c r="E10856" t="str">
        <f t="shared" si="3976"/>
        <v>WA</v>
      </c>
      <c r="F10856" t="str">
        <f>T("982070001")</f>
        <v>982070001</v>
      </c>
      <c r="G10856" t="str">
        <f>T("NSE PORT OPS")</f>
        <v>NSE PORT OPS</v>
      </c>
      <c r="H10856" t="str">
        <f>T("2000 W MARINE VIEW DRIVE BLDG 2125")</f>
        <v>2000 W MARINE VIEW DRIVE BLDG 2125</v>
      </c>
      <c r="I10856" t="str">
        <f>T("EVERETT")</f>
        <v>EVERETT</v>
      </c>
      <c r="J10856" t="str">
        <f t="shared" si="3977"/>
        <v>WA</v>
      </c>
      <c r="K10856" t="str">
        <f>T("000000000000000000")</f>
        <v>000000000000000000</v>
      </c>
      <c r="L10856" t="str">
        <f>T("4253043421")</f>
        <v>4253043421</v>
      </c>
    </row>
    <row r="10857" spans="1:12" x14ac:dyDescent="0.35">
      <c r="A10857" t="str">
        <f t="shared" si="3975"/>
        <v>NAVY REGION NORTHWEST</v>
      </c>
      <c r="B10857" t="str">
        <f>T("3530 N LANGLEY BLVD")</f>
        <v>3530 N LANGLEY BLVD</v>
      </c>
      <c r="C10857" t="str">
        <f>T("BUILDING 243")</f>
        <v>BUILDING 243</v>
      </c>
      <c r="D10857" t="str">
        <f t="shared" ref="D10857:D10864" si="3978">T("OAK HARBOR")</f>
        <v>OAK HARBOR</v>
      </c>
      <c r="E10857" t="str">
        <f t="shared" si="3976"/>
        <v>WA</v>
      </c>
      <c r="F10857" t="str">
        <f>T("982784917")</f>
        <v>982784917</v>
      </c>
      <c r="G10857" t="str">
        <f>T("3530 N LANGLEY BLVD")</f>
        <v>3530 N LANGLEY BLVD</v>
      </c>
      <c r="H10857" t="str">
        <f>T("BUILDING 243")</f>
        <v>BUILDING 243</v>
      </c>
      <c r="I10857" t="str">
        <f t="shared" ref="I10857:I10864" si="3979">T("OAK HARBOR")</f>
        <v>OAK HARBOR</v>
      </c>
      <c r="J10857" t="str">
        <f t="shared" si="3977"/>
        <v>WA</v>
      </c>
      <c r="K10857" t="str">
        <f>T("000000000000000000")</f>
        <v>000000000000000000</v>
      </c>
      <c r="L10857" t="str">
        <f>T("3602571961")</f>
        <v>3602571961</v>
      </c>
    </row>
    <row r="10858" spans="1:12" x14ac:dyDescent="0.35">
      <c r="A10858" t="str">
        <f t="shared" si="3975"/>
        <v>NAVY REGION NORTHWEST</v>
      </c>
      <c r="B10858" t="str">
        <f>T("3530 N LANGLEY BLVD")</f>
        <v>3530 N LANGLEY BLVD</v>
      </c>
      <c r="C10858" t="str">
        <f>T("BUILDING 243")</f>
        <v>BUILDING 243</v>
      </c>
      <c r="D10858" t="str">
        <f t="shared" si="3978"/>
        <v>OAK HARBOR</v>
      </c>
      <c r="E10858" t="str">
        <f t="shared" si="3976"/>
        <v>WA</v>
      </c>
      <c r="F10858" t="str">
        <f>T("982784917")</f>
        <v>982784917</v>
      </c>
      <c r="G10858" t="str">
        <f>T("NASWI")</f>
        <v>NASWI</v>
      </c>
      <c r="H10858" t="str">
        <f>T("3530 N LANGLEY BLVD")</f>
        <v>3530 N LANGLEY BLVD</v>
      </c>
      <c r="I10858" t="str">
        <f t="shared" si="3979"/>
        <v>OAK HARBOR</v>
      </c>
      <c r="J10858" t="str">
        <f t="shared" si="3977"/>
        <v>WA</v>
      </c>
      <c r="K10858" t="str">
        <f>T("000000000000000000")</f>
        <v>000000000000000000</v>
      </c>
      <c r="L10858" t="str">
        <f>T("3602578737")</f>
        <v>3602578737</v>
      </c>
    </row>
    <row r="10859" spans="1:12" x14ac:dyDescent="0.35">
      <c r="A10859" t="str">
        <f t="shared" si="3975"/>
        <v>NAVY REGION NORTHWEST</v>
      </c>
      <c r="B10859" t="str">
        <f>T("3530 N LANGLEY BLVD")</f>
        <v>3530 N LANGLEY BLVD</v>
      </c>
      <c r="C10859" t="str">
        <f>T("BUILDING 243")</f>
        <v>BUILDING 243</v>
      </c>
      <c r="D10859" t="str">
        <f t="shared" si="3978"/>
        <v>OAK HARBOR</v>
      </c>
      <c r="E10859" t="str">
        <f t="shared" si="3976"/>
        <v>WA</v>
      </c>
      <c r="F10859" t="str">
        <f>T("982784917")</f>
        <v>982784917</v>
      </c>
      <c r="G10859" t="str">
        <f>T("NASWI SAFETY")</f>
        <v>NASWI SAFETY</v>
      </c>
      <c r="H10859" t="str">
        <f>T("3530 NORTH LANGLEY BLVD")</f>
        <v>3530 NORTH LANGLEY BLVD</v>
      </c>
      <c r="I10859" t="str">
        <f t="shared" si="3979"/>
        <v>OAK HARBOR</v>
      </c>
      <c r="J10859" t="str">
        <f t="shared" si="3977"/>
        <v>WA</v>
      </c>
      <c r="K10859" t="str">
        <f>T("000000000000000000")</f>
        <v>000000000000000000</v>
      </c>
      <c r="L10859" t="str">
        <f>T("3602572630")</f>
        <v>3602572630</v>
      </c>
    </row>
    <row r="10860" spans="1:12" x14ac:dyDescent="0.35">
      <c r="A10860" t="str">
        <f t="shared" si="3975"/>
        <v>NAVY REGION NORTHWEST</v>
      </c>
      <c r="B10860" t="str">
        <f>T("3730 N CHARLES PORTER AVE")</f>
        <v>3730 N CHARLES PORTER AVE</v>
      </c>
      <c r="C10860" t="str">
        <f>T("BLDG 385")</f>
        <v>BLDG 385</v>
      </c>
      <c r="D10860" t="str">
        <f t="shared" si="3978"/>
        <v>OAK HARBOR</v>
      </c>
      <c r="E10860" t="str">
        <f t="shared" si="3976"/>
        <v>WA</v>
      </c>
      <c r="F10860" t="str">
        <f>T("982784909")</f>
        <v>982784909</v>
      </c>
      <c r="G10860" t="str">
        <f>T("3730 N CHARLES PORTER AVE")</f>
        <v>3730 N CHARLES PORTER AVE</v>
      </c>
      <c r="H10860" t="str">
        <f>T("BLDG 385")</f>
        <v>BLDG 385</v>
      </c>
      <c r="I10860" t="str">
        <f t="shared" si="3979"/>
        <v>OAK HARBOR</v>
      </c>
      <c r="J10860" t="str">
        <f t="shared" si="3977"/>
        <v>WA</v>
      </c>
      <c r="K10860" t="str">
        <f>T("")</f>
        <v/>
      </c>
      <c r="L10860" t="str">
        <f>T("3602575391")</f>
        <v>3602575391</v>
      </c>
    </row>
    <row r="10861" spans="1:12" x14ac:dyDescent="0.35">
      <c r="A10861" t="str">
        <f t="shared" si="3975"/>
        <v>NAVY REGION NORTHWEST</v>
      </c>
      <c r="B10861" t="str">
        <f>T("3730 N CHARLES PORTER AVE")</f>
        <v>3730 N CHARLES PORTER AVE</v>
      </c>
      <c r="C10861" t="str">
        <f>T("BLDG 385")</f>
        <v>BLDG 385</v>
      </c>
      <c r="D10861" t="str">
        <f t="shared" si="3978"/>
        <v>OAK HARBOR</v>
      </c>
      <c r="E10861" t="str">
        <f t="shared" si="3976"/>
        <v>WA</v>
      </c>
      <c r="F10861" t="str">
        <f>T("982784909")</f>
        <v>982784909</v>
      </c>
      <c r="G10861" t="str">
        <f>T("NASWI ADMINISTRATION")</f>
        <v>NASWI ADMINISTRATION</v>
      </c>
      <c r="H10861" t="str">
        <f>T("3730 N CHARLES PORTER AVE")</f>
        <v>3730 N CHARLES PORTER AVE</v>
      </c>
      <c r="I10861" t="str">
        <f t="shared" si="3979"/>
        <v>OAK HARBOR</v>
      </c>
      <c r="J10861" t="str">
        <f t="shared" si="3977"/>
        <v>WA</v>
      </c>
      <c r="K10861" t="str">
        <f>T("000000000000000000")</f>
        <v>000000000000000000</v>
      </c>
      <c r="L10861" t="str">
        <f>T("3602573584")</f>
        <v>3602573584</v>
      </c>
    </row>
    <row r="10862" spans="1:12" x14ac:dyDescent="0.35">
      <c r="A10862" t="str">
        <f t="shared" si="3975"/>
        <v>NAVY REGION NORTHWEST</v>
      </c>
      <c r="B10862" t="str">
        <f>T("3730 N CHARLES PORTER AVE")</f>
        <v>3730 N CHARLES PORTER AVE</v>
      </c>
      <c r="C10862" t="str">
        <f>T("OPS DEPT N3 BLDG385")</f>
        <v>OPS DEPT N3 BLDG385</v>
      </c>
      <c r="D10862" t="str">
        <f t="shared" si="3978"/>
        <v>OAK HARBOR</v>
      </c>
      <c r="E10862" t="str">
        <f t="shared" si="3976"/>
        <v>WA</v>
      </c>
      <c r="F10862" t="str">
        <f>T("982784909")</f>
        <v>982784909</v>
      </c>
      <c r="G10862" t="str">
        <f>T("3730 N CHARLES PORTER AVE")</f>
        <v>3730 N CHARLES PORTER AVE</v>
      </c>
      <c r="H10862" t="str">
        <f>T("OPS DEPT N3 BLDG385")</f>
        <v>OPS DEPT N3 BLDG385</v>
      </c>
      <c r="I10862" t="str">
        <f t="shared" si="3979"/>
        <v>OAK HARBOR</v>
      </c>
      <c r="J10862" t="str">
        <f t="shared" si="3977"/>
        <v>WA</v>
      </c>
      <c r="K10862" t="str">
        <f>T("3602578782")</f>
        <v>3602578782</v>
      </c>
      <c r="L10862" t="str">
        <f>T("3602571291")</f>
        <v>3602571291</v>
      </c>
    </row>
    <row r="10863" spans="1:12" x14ac:dyDescent="0.35">
      <c r="A10863" t="str">
        <f t="shared" si="3975"/>
        <v>NAVY REGION NORTHWEST</v>
      </c>
      <c r="B10863" t="str">
        <f>T("3730 N CHARLES PORTER AVE")</f>
        <v>3730 N CHARLES PORTER AVE</v>
      </c>
      <c r="C10863" t="str">
        <f>T("OPS DEPT N3 BLDG385")</f>
        <v>OPS DEPT N3 BLDG385</v>
      </c>
      <c r="D10863" t="str">
        <f t="shared" si="3978"/>
        <v>OAK HARBOR</v>
      </c>
      <c r="E10863" t="str">
        <f t="shared" si="3976"/>
        <v>WA</v>
      </c>
      <c r="F10863" t="str">
        <f>T("982784909")</f>
        <v>982784909</v>
      </c>
      <c r="G10863" t="str">
        <f>T("NASWI AIR OPERATIONS")</f>
        <v>NASWI AIR OPERATIONS</v>
      </c>
      <c r="H10863" t="str">
        <f>T("3730 N CHARLES PORTER AVE")</f>
        <v>3730 N CHARLES PORTER AVE</v>
      </c>
      <c r="I10863" t="str">
        <f t="shared" si="3979"/>
        <v>OAK HARBOR</v>
      </c>
      <c r="J10863" t="str">
        <f t="shared" si="3977"/>
        <v>WA</v>
      </c>
      <c r="K10863" t="str">
        <f>T("000000000000000000")</f>
        <v>000000000000000000</v>
      </c>
      <c r="L10863" t="str">
        <f>T("3602576651")</f>
        <v>3602576651</v>
      </c>
    </row>
    <row r="10864" spans="1:12" x14ac:dyDescent="0.35">
      <c r="A10864" t="str">
        <f t="shared" si="3975"/>
        <v>NAVY REGION NORTHWEST</v>
      </c>
      <c r="B10864" t="str">
        <f>T("3730 N CHARLES PORTER AVE")</f>
        <v>3730 N CHARLES PORTER AVE</v>
      </c>
      <c r="C10864" t="str">
        <f>T("OPS DEPT N3 BLDG385")</f>
        <v>OPS DEPT N3 BLDG385</v>
      </c>
      <c r="D10864" t="str">
        <f t="shared" si="3978"/>
        <v>OAK HARBOR</v>
      </c>
      <c r="E10864" t="str">
        <f t="shared" si="3976"/>
        <v>WA</v>
      </c>
      <c r="F10864" t="str">
        <f>T("982784909")</f>
        <v>982784909</v>
      </c>
      <c r="G10864" t="str">
        <f>T("NASWI AIR OPERATIONS")</f>
        <v>NASWI AIR OPERATIONS</v>
      </c>
      <c r="H10864" t="str">
        <f>T("3730 N CHARLES PORTER RD")</f>
        <v>3730 N CHARLES PORTER RD</v>
      </c>
      <c r="I10864" t="str">
        <f t="shared" si="3979"/>
        <v>OAK HARBOR</v>
      </c>
      <c r="J10864" t="str">
        <f t="shared" si="3977"/>
        <v>WA</v>
      </c>
      <c r="K10864" t="str">
        <f>T("000000000000000000")</f>
        <v>000000000000000000</v>
      </c>
      <c r="L10864" t="str">
        <f>T("3602576145")</f>
        <v>3602576145</v>
      </c>
    </row>
    <row r="10865" spans="1:12" x14ac:dyDescent="0.35">
      <c r="A10865" t="str">
        <f t="shared" si="3975"/>
        <v>NAVY REGION NORTHWEST</v>
      </c>
      <c r="B10865" t="str">
        <f>T("467 WEST STREET")</f>
        <v>467 WEST STREET</v>
      </c>
      <c r="C10865" t="str">
        <f>T("NAVFAC 4TH FLOOR")</f>
        <v>NAVFAC 4TH FLOOR</v>
      </c>
      <c r="D10865" t="str">
        <f>T("BREMERTON")</f>
        <v>BREMERTON</v>
      </c>
      <c r="E10865" t="str">
        <f t="shared" si="3976"/>
        <v>WA</v>
      </c>
      <c r="F10865" t="str">
        <f>T("983146008")</f>
        <v>983146008</v>
      </c>
      <c r="G10865" t="str">
        <f>T("467 WEST STREET")</f>
        <v>467 WEST STREET</v>
      </c>
      <c r="H10865" t="str">
        <f>T("NAVFAC 4TH FLOOR")</f>
        <v>NAVFAC 4TH FLOOR</v>
      </c>
      <c r="I10865" t="str">
        <f>T("BREMERTON")</f>
        <v>BREMERTON</v>
      </c>
      <c r="J10865" t="str">
        <f t="shared" si="3977"/>
        <v>WA</v>
      </c>
      <c r="K10865" t="str">
        <f>T("")</f>
        <v/>
      </c>
      <c r="L10865" t="str">
        <f>T("3604767996")</f>
        <v>3604767996</v>
      </c>
    </row>
    <row r="10866" spans="1:12" x14ac:dyDescent="0.35">
      <c r="A10866" t="str">
        <f t="shared" si="3975"/>
        <v>NAVY REGION NORTHWEST</v>
      </c>
      <c r="B10866" t="str">
        <f>T("467 WEST STREET")</f>
        <v>467 WEST STREET</v>
      </c>
      <c r="C10866" t="str">
        <f>T("NAVFAC 4TH FLOOR")</f>
        <v>NAVFAC 4TH FLOOR</v>
      </c>
      <c r="D10866" t="str">
        <f>T("BREMERTON")</f>
        <v>BREMERTON</v>
      </c>
      <c r="E10866" t="str">
        <f t="shared" si="3976"/>
        <v>WA</v>
      </c>
      <c r="F10866" t="str">
        <f>T("983146008")</f>
        <v>983146008</v>
      </c>
      <c r="G10866" t="str">
        <f>T("NBK PUBLIC WORKS")</f>
        <v>NBK PUBLIC WORKS</v>
      </c>
      <c r="H10866" t="str">
        <f>T("75A SKATE ST")</f>
        <v>75A SKATE ST</v>
      </c>
      <c r="I10866" t="str">
        <f>T("SILVERDALE")</f>
        <v>SILVERDALE</v>
      </c>
      <c r="J10866" t="str">
        <f t="shared" si="3977"/>
        <v>WA</v>
      </c>
      <c r="K10866" t="str">
        <f>T("000000000000000000")</f>
        <v>000000000000000000</v>
      </c>
      <c r="L10866" t="str">
        <f>T("3603964060")</f>
        <v>3603964060</v>
      </c>
    </row>
    <row r="10867" spans="1:12" x14ac:dyDescent="0.35">
      <c r="A10867" t="str">
        <f t="shared" si="3975"/>
        <v>NAVY REGION NORTHWEST</v>
      </c>
      <c r="B10867" t="str">
        <f>T("610 DOWELL ST BLDG 95")</f>
        <v>610 DOWELL ST BLDG 95</v>
      </c>
      <c r="C10867" t="str">
        <f>T("")</f>
        <v/>
      </c>
      <c r="D10867" t="str">
        <f t="shared" ref="D10867:D10872" si="3980">T("KEYPORT")</f>
        <v>KEYPORT</v>
      </c>
      <c r="E10867" t="str">
        <f t="shared" si="3976"/>
        <v>WA</v>
      </c>
      <c r="F10867" t="str">
        <f t="shared" ref="F10867:F10872" si="3981">T("983457600")</f>
        <v>983457600</v>
      </c>
      <c r="G10867" t="str">
        <f>T("610 DOWELL ST BLDG 95")</f>
        <v>610 DOWELL ST BLDG 95</v>
      </c>
      <c r="H10867" t="str">
        <f>T("")</f>
        <v/>
      </c>
      <c r="I10867" t="str">
        <f t="shared" ref="I10867:I10872" si="3982">T("KEYPORT")</f>
        <v>KEYPORT</v>
      </c>
      <c r="J10867" t="str">
        <f t="shared" si="3977"/>
        <v>WA</v>
      </c>
      <c r="K10867" t="str">
        <f>T("3603967144")</f>
        <v>3603967144</v>
      </c>
      <c r="L10867" t="str">
        <f>T("3603964166")</f>
        <v>3603964166</v>
      </c>
    </row>
    <row r="10868" spans="1:12" x14ac:dyDescent="0.35">
      <c r="A10868" t="str">
        <f t="shared" si="3975"/>
        <v>NAVY REGION NORTHWEST</v>
      </c>
      <c r="B10868" t="str">
        <f>T("610 DOWELL ST BLDG 95")</f>
        <v>610 DOWELL ST BLDG 95</v>
      </c>
      <c r="C10868" t="str">
        <f>T("")</f>
        <v/>
      </c>
      <c r="D10868" t="str">
        <f t="shared" si="3980"/>
        <v>KEYPORT</v>
      </c>
      <c r="E10868" t="str">
        <f t="shared" si="3976"/>
        <v>WA</v>
      </c>
      <c r="F10868" t="str">
        <f t="shared" si="3981"/>
        <v>983457600</v>
      </c>
      <c r="G10868" t="str">
        <f>T("NBK REGION SAFETY")</f>
        <v>NBK REGION SAFETY</v>
      </c>
      <c r="H10868" t="str">
        <f>T("610 DOWELL ST")</f>
        <v>610 DOWELL ST</v>
      </c>
      <c r="I10868" t="str">
        <f t="shared" si="3982"/>
        <v>KEYPORT</v>
      </c>
      <c r="J10868" t="str">
        <f t="shared" si="3977"/>
        <v>WA</v>
      </c>
      <c r="K10868" t="str">
        <f t="shared" ref="K10868:K10874" si="3983">T("000000000000000000")</f>
        <v>000000000000000000</v>
      </c>
      <c r="L10868" t="str">
        <f>T("3603964893")</f>
        <v>3603964893</v>
      </c>
    </row>
    <row r="10869" spans="1:12" x14ac:dyDescent="0.35">
      <c r="A10869" t="str">
        <f t="shared" si="3975"/>
        <v>NAVY REGION NORTHWEST</v>
      </c>
      <c r="B10869" t="str">
        <f>T("610 DOWELL ST BLDG 95")</f>
        <v>610 DOWELL ST BLDG 95</v>
      </c>
      <c r="C10869" t="str">
        <f>T("")</f>
        <v/>
      </c>
      <c r="D10869" t="str">
        <f t="shared" si="3980"/>
        <v>KEYPORT</v>
      </c>
      <c r="E10869" t="str">
        <f t="shared" si="3976"/>
        <v>WA</v>
      </c>
      <c r="F10869" t="str">
        <f t="shared" si="3981"/>
        <v>983457600</v>
      </c>
      <c r="G10869" t="str">
        <f>T("NBK REGIONAL SAFETY")</f>
        <v>NBK REGIONAL SAFETY</v>
      </c>
      <c r="H10869" t="str">
        <f>T("610 DOWELL ST BLDG 95")</f>
        <v>610 DOWELL ST BLDG 95</v>
      </c>
      <c r="I10869" t="str">
        <f t="shared" si="3982"/>
        <v>KEYPORT</v>
      </c>
      <c r="J10869" t="str">
        <f t="shared" si="3977"/>
        <v>WA</v>
      </c>
      <c r="K10869" t="str">
        <f t="shared" si="3983"/>
        <v>000000000000000000</v>
      </c>
      <c r="L10869" t="str">
        <f>T("3603964263")</f>
        <v>3603964263</v>
      </c>
    </row>
    <row r="10870" spans="1:12" x14ac:dyDescent="0.35">
      <c r="A10870" t="str">
        <f t="shared" si="3975"/>
        <v>NAVY REGION NORTHWEST</v>
      </c>
      <c r="B10870" t="str">
        <f>T("CNRNW FLEET &amp; FAMILY SERVICES CTR")</f>
        <v>CNRNW FLEET &amp; FAMILY SERVICES CTR</v>
      </c>
      <c r="C10870" t="str">
        <f>T("610 WEST DOWELL ST BLG 94")</f>
        <v>610 WEST DOWELL ST BLG 94</v>
      </c>
      <c r="D10870" t="str">
        <f t="shared" si="3980"/>
        <v>KEYPORT</v>
      </c>
      <c r="E10870" t="str">
        <f t="shared" si="3976"/>
        <v>WA</v>
      </c>
      <c r="F10870" t="str">
        <f t="shared" si="3981"/>
        <v>983457600</v>
      </c>
      <c r="G10870" t="str">
        <f>T("CNRNW FLEET &amp; FAMILY SERVICES CTR")</f>
        <v>CNRNW FLEET &amp; FAMILY SERVICES CTR</v>
      </c>
      <c r="H10870" t="str">
        <f>T("610 WEST DOWELL ST BLG 94")</f>
        <v>610 WEST DOWELL ST BLG 94</v>
      </c>
      <c r="I10870" t="str">
        <f t="shared" si="3982"/>
        <v>KEYPORT</v>
      </c>
      <c r="J10870" t="str">
        <f t="shared" si="3977"/>
        <v>WA</v>
      </c>
      <c r="K10870" t="str">
        <f t="shared" si="3983"/>
        <v>000000000000000000</v>
      </c>
      <c r="L10870" t="str">
        <f>T("3603964539")</f>
        <v>3603964539</v>
      </c>
    </row>
    <row r="10871" spans="1:12" x14ac:dyDescent="0.35">
      <c r="A10871" t="str">
        <f t="shared" si="3975"/>
        <v>NAVY REGION NORTHWEST</v>
      </c>
      <c r="B10871" t="str">
        <f>T("CNRNW FLEET &amp; FAMILY SERVICES CTR")</f>
        <v>CNRNW FLEET &amp; FAMILY SERVICES CTR</v>
      </c>
      <c r="C10871" t="str">
        <f>T("610 WEST DOWELL ST BLG 94")</f>
        <v>610 WEST DOWELL ST BLG 94</v>
      </c>
      <c r="D10871" t="str">
        <f t="shared" si="3980"/>
        <v>KEYPORT</v>
      </c>
      <c r="E10871" t="str">
        <f t="shared" si="3976"/>
        <v>WA</v>
      </c>
      <c r="F10871" t="str">
        <f t="shared" si="3981"/>
        <v>983457600</v>
      </c>
      <c r="G10871" t="str">
        <f>T("NBK KEYPORT")</f>
        <v>NBK KEYPORT</v>
      </c>
      <c r="H10871" t="str">
        <f>T("610 DOWELL ST BLDG 94")</f>
        <v>610 DOWELL ST BLDG 94</v>
      </c>
      <c r="I10871" t="str">
        <f t="shared" si="3982"/>
        <v>KEYPORT</v>
      </c>
      <c r="J10871" t="str">
        <f t="shared" si="3977"/>
        <v>WA</v>
      </c>
      <c r="K10871" t="str">
        <f t="shared" si="3983"/>
        <v>000000000000000000</v>
      </c>
      <c r="L10871" t="str">
        <f>T("3603964161")</f>
        <v>3603964161</v>
      </c>
    </row>
    <row r="10872" spans="1:12" x14ac:dyDescent="0.35">
      <c r="A10872" t="str">
        <f t="shared" si="3975"/>
        <v>NAVY REGION NORTHWEST</v>
      </c>
      <c r="B10872" t="str">
        <f>T("CNRNW FLEET &amp; FAMILY SERVICES CTR")</f>
        <v>CNRNW FLEET &amp; FAMILY SERVICES CTR</v>
      </c>
      <c r="C10872" t="str">
        <f>T("610 WEST DOWELL ST BLG 94")</f>
        <v>610 WEST DOWELL ST BLG 94</v>
      </c>
      <c r="D10872" t="str">
        <f t="shared" si="3980"/>
        <v>KEYPORT</v>
      </c>
      <c r="E10872" t="str">
        <f t="shared" si="3976"/>
        <v>WA</v>
      </c>
      <c r="F10872" t="str">
        <f t="shared" si="3981"/>
        <v>983457600</v>
      </c>
      <c r="G10872" t="str">
        <f>T("NBK UNACCOMPANIED HOUSING")</f>
        <v>NBK UNACCOMPANIED HOUSING</v>
      </c>
      <c r="H10872" t="str">
        <f>T("610 DOWELL ST")</f>
        <v>610 DOWELL ST</v>
      </c>
      <c r="I10872" t="str">
        <f t="shared" si="3982"/>
        <v>KEYPORT</v>
      </c>
      <c r="J10872" t="str">
        <f t="shared" si="3977"/>
        <v>WA</v>
      </c>
      <c r="K10872" t="str">
        <f t="shared" si="3983"/>
        <v>000000000000000000</v>
      </c>
      <c r="L10872" t="str">
        <f>T("3603964898")</f>
        <v>3603964898</v>
      </c>
    </row>
    <row r="10873" spans="1:12" x14ac:dyDescent="0.35">
      <c r="A10873" t="str">
        <f t="shared" si="3975"/>
        <v>NAVY REGION NORTHWEST</v>
      </c>
      <c r="B10873" t="str">
        <f>T("COMMAND NAVY REGION NORTHWEST")</f>
        <v>COMMAND NAVY REGION NORTHWEST</v>
      </c>
      <c r="C10873" t="str">
        <f>T("1100 HUNLEY RD SUITE 210")</f>
        <v>1100 HUNLEY RD SUITE 210</v>
      </c>
      <c r="D10873" t="str">
        <f>T("SILVERDALE")</f>
        <v>SILVERDALE</v>
      </c>
      <c r="E10873" t="str">
        <f t="shared" si="3976"/>
        <v>WA</v>
      </c>
      <c r="F10873" t="str">
        <f>T("983151100")</f>
        <v>983151100</v>
      </c>
      <c r="G10873" t="str">
        <f>T("1100 HUNLEY ROAD")</f>
        <v>1100 HUNLEY ROAD</v>
      </c>
      <c r="H10873" t="str">
        <f>T("")</f>
        <v/>
      </c>
      <c r="I10873" t="str">
        <f>T("SILVERDALE")</f>
        <v>SILVERDALE</v>
      </c>
      <c r="J10873" t="str">
        <f t="shared" si="3977"/>
        <v>WA</v>
      </c>
      <c r="K10873" t="str">
        <f t="shared" si="3983"/>
        <v>000000000000000000</v>
      </c>
      <c r="L10873" t="str">
        <f>T("3603406593")</f>
        <v>3603406593</v>
      </c>
    </row>
    <row r="10874" spans="1:12" x14ac:dyDescent="0.35">
      <c r="A10874" t="str">
        <f t="shared" si="3975"/>
        <v>NAVY REGION NORTHWEST</v>
      </c>
      <c r="B10874" t="str">
        <f>T("COMMAND NAVY REGION NORTHWEST")</f>
        <v>COMMAND NAVY REGION NORTHWEST</v>
      </c>
      <c r="C10874" t="str">
        <f>T("1100 HUNLEY RD SUITE 210")</f>
        <v>1100 HUNLEY RD SUITE 210</v>
      </c>
      <c r="D10874" t="str">
        <f>T("SILVERDALE")</f>
        <v>SILVERDALE</v>
      </c>
      <c r="E10874" t="str">
        <f t="shared" si="3976"/>
        <v>WA</v>
      </c>
      <c r="F10874" t="str">
        <f>T("983151100")</f>
        <v>983151100</v>
      </c>
      <c r="G10874" t="str">
        <f>T("1100 HUNLEY ROAD")</f>
        <v>1100 HUNLEY ROAD</v>
      </c>
      <c r="H10874" t="str">
        <f>T("ROOM 210")</f>
        <v>ROOM 210</v>
      </c>
      <c r="I10874" t="str">
        <f>T("SILVERDALE")</f>
        <v>SILVERDALE</v>
      </c>
      <c r="J10874" t="str">
        <f t="shared" si="3977"/>
        <v>WA</v>
      </c>
      <c r="K10874" t="str">
        <f t="shared" si="3983"/>
        <v>000000000000000000</v>
      </c>
      <c r="L10874" t="str">
        <f>T("7575925115")</f>
        <v>7575925115</v>
      </c>
    </row>
    <row r="10875" spans="1:12" x14ac:dyDescent="0.35">
      <c r="A10875" t="str">
        <f t="shared" si="3975"/>
        <v>NAVY REGION NORTHWEST</v>
      </c>
      <c r="B10875" t="str">
        <f>T("COMMAND NAVY REGION NORTHWEST")</f>
        <v>COMMAND NAVY REGION NORTHWEST</v>
      </c>
      <c r="C10875" t="str">
        <f>T("1100 HUNLEY RD SUITE 210")</f>
        <v>1100 HUNLEY RD SUITE 210</v>
      </c>
      <c r="D10875" t="str">
        <f>T("SILVERDALE")</f>
        <v>SILVERDALE</v>
      </c>
      <c r="E10875" t="str">
        <f t="shared" si="3976"/>
        <v>WA</v>
      </c>
      <c r="F10875" t="str">
        <f>T("983151100")</f>
        <v>983151100</v>
      </c>
      <c r="G10875" t="str">
        <f>T("COMMAND NAVY REGION NORTHWEST")</f>
        <v>COMMAND NAVY REGION NORTHWEST</v>
      </c>
      <c r="H10875" t="str">
        <f>T("1100 HUNLEY RD SUITE 210")</f>
        <v>1100 HUNLEY RD SUITE 210</v>
      </c>
      <c r="I10875" t="str">
        <f>T("SILVERDALE")</f>
        <v>SILVERDALE</v>
      </c>
      <c r="J10875" t="str">
        <f t="shared" si="3977"/>
        <v>WA</v>
      </c>
      <c r="K10875" t="str">
        <f>T("3603964146")</f>
        <v>3603964146</v>
      </c>
      <c r="L10875" t="str">
        <f>T("3603961922")</f>
        <v>3603961922</v>
      </c>
    </row>
    <row r="10876" spans="1:12" x14ac:dyDescent="0.35">
      <c r="A10876" t="str">
        <f t="shared" si="3975"/>
        <v>NAVY REGION NORTHWEST</v>
      </c>
      <c r="B10876" t="str">
        <f>T("COMMAND NAVY REGION NORTHWEST")</f>
        <v>COMMAND NAVY REGION NORTHWEST</v>
      </c>
      <c r="C10876" t="str">
        <f>T("1100 HUNLEY RD SUITE 210")</f>
        <v>1100 HUNLEY RD SUITE 210</v>
      </c>
      <c r="D10876" t="str">
        <f>T("SILVERDALE")</f>
        <v>SILVERDALE</v>
      </c>
      <c r="E10876" t="str">
        <f t="shared" si="3976"/>
        <v>WA</v>
      </c>
      <c r="F10876" t="str">
        <f>T("983151100")</f>
        <v>983151100</v>
      </c>
      <c r="G10876" t="str">
        <f>T("NBK BANGOR FRM")</f>
        <v>NBK BANGOR FRM</v>
      </c>
      <c r="H10876" t="str">
        <f>T("1100 HUNLEY RD SUITE 210")</f>
        <v>1100 HUNLEY RD SUITE 210</v>
      </c>
      <c r="I10876" t="str">
        <f>T("SILVERDALE")</f>
        <v>SILVERDALE</v>
      </c>
      <c r="J10876" t="str">
        <f t="shared" si="3977"/>
        <v>WA</v>
      </c>
      <c r="K10876" t="str">
        <f>T("000000000000000000")</f>
        <v>000000000000000000</v>
      </c>
      <c r="L10876" t="str">
        <f>T("3603966546")</f>
        <v>3603966546</v>
      </c>
    </row>
    <row r="10877" spans="1:12" x14ac:dyDescent="0.35">
      <c r="A10877" t="str">
        <f t="shared" si="3975"/>
        <v>NAVY REGION NORTHWEST</v>
      </c>
      <c r="B10877" t="str">
        <f>T("COMMAND NAVY REGION NORTHWEST")</f>
        <v>COMMAND NAVY REGION NORTHWEST</v>
      </c>
      <c r="C10877" t="str">
        <f>T("1100 HUNLEY RD SUITE 210")</f>
        <v>1100 HUNLEY RD SUITE 210</v>
      </c>
      <c r="D10877" t="str">
        <f>T("SILVERDALE")</f>
        <v>SILVERDALE</v>
      </c>
      <c r="E10877" t="str">
        <f t="shared" si="3976"/>
        <v>WA</v>
      </c>
      <c r="F10877" t="str">
        <f>T("983151100")</f>
        <v>983151100</v>
      </c>
      <c r="G10877" t="str">
        <f>T("NBK BANGOR ORF")</f>
        <v>NBK BANGOR ORF</v>
      </c>
      <c r="H10877" t="str">
        <f>T("1100 HUNLEY RD")</f>
        <v>1100 HUNLEY RD</v>
      </c>
      <c r="I10877" t="str">
        <f>T("SILVERDALE")</f>
        <v>SILVERDALE</v>
      </c>
      <c r="J10877" t="str">
        <f t="shared" si="3977"/>
        <v>WA</v>
      </c>
      <c r="K10877" t="str">
        <f>T("000000000000000000")</f>
        <v>000000000000000000</v>
      </c>
      <c r="L10877" t="str">
        <f>T("3603155069")</f>
        <v>3603155069</v>
      </c>
    </row>
    <row r="10878" spans="1:12" x14ac:dyDescent="0.35">
      <c r="A10878" t="str">
        <f t="shared" si="3975"/>
        <v>NAVY REGION NORTHWEST</v>
      </c>
      <c r="B10878" t="str">
        <f>T("EODMU ELEVEN DET")</f>
        <v>EODMU ELEVEN DET</v>
      </c>
      <c r="C10878" t="str">
        <f>T("")</f>
        <v/>
      </c>
      <c r="D10878" t="str">
        <f>T("OAK HARBOR")</f>
        <v>OAK HARBOR</v>
      </c>
      <c r="E10878" t="str">
        <f t="shared" si="3976"/>
        <v>WA</v>
      </c>
      <c r="F10878" t="str">
        <f>T("982780001")</f>
        <v>982780001</v>
      </c>
      <c r="G10878" t="str">
        <f>T("EODMU ELEVEN DET")</f>
        <v>EODMU ELEVEN DET</v>
      </c>
      <c r="H10878" t="str">
        <f>T("")</f>
        <v/>
      </c>
      <c r="I10878" t="str">
        <f>T("OAK HARBOR")</f>
        <v>OAK HARBOR</v>
      </c>
      <c r="J10878" t="str">
        <f t="shared" si="3977"/>
        <v>WA</v>
      </c>
      <c r="K10878" t="str">
        <f>T("")</f>
        <v/>
      </c>
      <c r="L10878" t="str">
        <f>T("3602574462")</f>
        <v>3602574462</v>
      </c>
    </row>
    <row r="10879" spans="1:12" x14ac:dyDescent="0.35">
      <c r="A10879" t="str">
        <f t="shared" si="3975"/>
        <v>NAVY REGION NORTHWEST</v>
      </c>
      <c r="B10879" t="str">
        <f>T("EODMU ELEVEN DET")</f>
        <v>EODMU ELEVEN DET</v>
      </c>
      <c r="C10879" t="str">
        <f>T("")</f>
        <v/>
      </c>
      <c r="D10879" t="str">
        <f>T("OAK HARBOR")</f>
        <v>OAK HARBOR</v>
      </c>
      <c r="E10879" t="str">
        <f t="shared" si="3976"/>
        <v>WA</v>
      </c>
      <c r="F10879" t="str">
        <f>T("982780001")</f>
        <v>982780001</v>
      </c>
      <c r="G10879" t="str">
        <f>T("NAVAL AIRSTATION WHIDBEY ISLAND")</f>
        <v>NAVAL AIRSTATION WHIDBEY ISLAND</v>
      </c>
      <c r="H10879" t="str">
        <f>T("3690 N RANGER ST BLDG 273")</f>
        <v>3690 N RANGER ST BLDG 273</v>
      </c>
      <c r="I10879" t="str">
        <f>T("OAK HARBOR")</f>
        <v>OAK HARBOR</v>
      </c>
      <c r="J10879" t="str">
        <f t="shared" si="3977"/>
        <v>WA</v>
      </c>
      <c r="K10879" t="str">
        <f>T("000000000000000000")</f>
        <v>000000000000000000</v>
      </c>
      <c r="L10879" t="str">
        <f>T("3602576593")</f>
        <v>3602576593</v>
      </c>
    </row>
    <row r="10880" spans="1:12" x14ac:dyDescent="0.35">
      <c r="A10880" t="str">
        <f t="shared" si="3975"/>
        <v>NAVY REGION NORTHWEST</v>
      </c>
      <c r="B10880" t="str">
        <f>T("NASWI SECURITY")</f>
        <v>NASWI SECURITY</v>
      </c>
      <c r="C10880" t="str">
        <f>T("3605 N CHARLES PORTER AVE")</f>
        <v>3605 N CHARLES PORTER AVE</v>
      </c>
      <c r="D10880" t="str">
        <f>T("OAK HARBOR")</f>
        <v>OAK HARBOR</v>
      </c>
      <c r="E10880" t="str">
        <f t="shared" si="3976"/>
        <v>WA</v>
      </c>
      <c r="F10880" t="str">
        <f>T("982784902")</f>
        <v>982784902</v>
      </c>
      <c r="G10880" t="str">
        <f>T("NASWI SEC DET")</f>
        <v>NASWI SEC DET</v>
      </c>
      <c r="H10880" t="str">
        <f>T("3605 CHARLES PORTER 994")</f>
        <v>3605 CHARLES PORTER 994</v>
      </c>
      <c r="I10880" t="str">
        <f>T("OAK HARBOR")</f>
        <v>OAK HARBOR</v>
      </c>
      <c r="J10880" t="str">
        <f t="shared" si="3977"/>
        <v>WA</v>
      </c>
      <c r="K10880" t="str">
        <f>T("000000000000000000")</f>
        <v>000000000000000000</v>
      </c>
      <c r="L10880" t="str">
        <f>T("3602573837")</f>
        <v>3602573837</v>
      </c>
    </row>
    <row r="10881" spans="1:12" x14ac:dyDescent="0.35">
      <c r="A10881" t="str">
        <f t="shared" si="3975"/>
        <v>NAVY REGION NORTHWEST</v>
      </c>
      <c r="B10881" t="str">
        <f>T("NASWI SECURITY")</f>
        <v>NASWI SECURITY</v>
      </c>
      <c r="C10881" t="str">
        <f>T("3605 N CHARLES PORTER AVE")</f>
        <v>3605 N CHARLES PORTER AVE</v>
      </c>
      <c r="D10881" t="str">
        <f>T("OAK HARBOR")</f>
        <v>OAK HARBOR</v>
      </c>
      <c r="E10881" t="str">
        <f t="shared" si="3976"/>
        <v>WA</v>
      </c>
      <c r="F10881" t="str">
        <f>T("982784902")</f>
        <v>982784902</v>
      </c>
      <c r="G10881" t="str">
        <f>T("NASWI SECURITY")</f>
        <v>NASWI SECURITY</v>
      </c>
      <c r="H10881" t="str">
        <f>T("3605 N CHARLES PORTER AVE")</f>
        <v>3605 N CHARLES PORTER AVE</v>
      </c>
      <c r="I10881" t="str">
        <f>T("OAK HARBOR")</f>
        <v>OAK HARBOR</v>
      </c>
      <c r="J10881" t="str">
        <f t="shared" si="3977"/>
        <v>WA</v>
      </c>
      <c r="K10881" t="str">
        <f>T("")</f>
        <v/>
      </c>
      <c r="L10881" t="str">
        <f>T("3602576704")</f>
        <v>3602576704</v>
      </c>
    </row>
    <row r="10882" spans="1:12" x14ac:dyDescent="0.35">
      <c r="A10882" t="str">
        <f t="shared" ref="A10882:A10913" si="3984">T("NAVY REGION NORTHWEST")</f>
        <v>NAVY REGION NORTHWEST</v>
      </c>
      <c r="B10882" t="str">
        <f>T("NAVAL STATION EVERRETT")</f>
        <v>NAVAL STATION EVERRETT</v>
      </c>
      <c r="C10882" t="str">
        <f>T("2000 W MARINE VIEW DR")</f>
        <v>2000 W MARINE VIEW DR</v>
      </c>
      <c r="D10882" t="str">
        <f>T("EVERETT")</f>
        <v>EVERETT</v>
      </c>
      <c r="E10882" t="str">
        <f t="shared" ref="E10882:E10913" si="3985">T("WA")</f>
        <v>WA</v>
      </c>
      <c r="F10882" t="str">
        <f>T("982070001")</f>
        <v>982070001</v>
      </c>
      <c r="G10882" t="str">
        <f>T("NAVAL STATION EVERRETT")</f>
        <v>NAVAL STATION EVERRETT</v>
      </c>
      <c r="H10882" t="str">
        <f>T("2000 W MARINE VIEW DR")</f>
        <v>2000 W MARINE VIEW DR</v>
      </c>
      <c r="I10882" t="str">
        <f>T("EVERETT")</f>
        <v>EVERETT</v>
      </c>
      <c r="J10882" t="str">
        <f t="shared" ref="J10882:J10913" si="3986">T("WA")</f>
        <v>WA</v>
      </c>
      <c r="K10882" t="str">
        <f>T("000000000000000000")</f>
        <v>000000000000000000</v>
      </c>
      <c r="L10882" t="str">
        <f>T("4253043280")</f>
        <v>4253043280</v>
      </c>
    </row>
    <row r="10883" spans="1:12" x14ac:dyDescent="0.35">
      <c r="A10883" t="str">
        <f t="shared" si="3984"/>
        <v>NAVY REGION NORTHWEST</v>
      </c>
      <c r="B10883" t="str">
        <f>T("NAVAL STATION EVERRETT")</f>
        <v>NAVAL STATION EVERRETT</v>
      </c>
      <c r="C10883" t="str">
        <f>T("2000 W MARINE VIEW DR")</f>
        <v>2000 W MARINE VIEW DR</v>
      </c>
      <c r="D10883" t="str">
        <f>T("EVERETT")</f>
        <v>EVERETT</v>
      </c>
      <c r="E10883" t="str">
        <f t="shared" si="3985"/>
        <v>WA</v>
      </c>
      <c r="F10883" t="str">
        <f>T("982070001")</f>
        <v>982070001</v>
      </c>
      <c r="G10883" t="str">
        <f>T("NSE")</f>
        <v>NSE</v>
      </c>
      <c r="H10883" t="str">
        <f>T("2000 W MARINE VIEW DR")</f>
        <v>2000 W MARINE VIEW DR</v>
      </c>
      <c r="I10883" t="str">
        <f>T("EVERETT")</f>
        <v>EVERETT</v>
      </c>
      <c r="J10883" t="str">
        <f t="shared" si="3986"/>
        <v>WA</v>
      </c>
      <c r="K10883" t="str">
        <f>T("000000000000000000")</f>
        <v>000000000000000000</v>
      </c>
      <c r="L10883" t="str">
        <f>T("4253043285")</f>
        <v>4253043285</v>
      </c>
    </row>
    <row r="10884" spans="1:12" x14ac:dyDescent="0.35">
      <c r="A10884" t="str">
        <f t="shared" si="3984"/>
        <v>NAVY REGION NORTHWEST</v>
      </c>
      <c r="B10884" t="str">
        <f>T("NBK BANGOR COMMUNITY PROGRAMS")</f>
        <v>NBK BANGOR COMMUNITY PROGRAMS</v>
      </c>
      <c r="C10884" t="str">
        <f>T("610 DOWELL ST BLDG 94")</f>
        <v>610 DOWELL ST BLDG 94</v>
      </c>
      <c r="D10884" t="str">
        <f>T("KEYPORT")</f>
        <v>KEYPORT</v>
      </c>
      <c r="E10884" t="str">
        <f t="shared" si="3985"/>
        <v>WA</v>
      </c>
      <c r="F10884" t="str">
        <f>T("983457600")</f>
        <v>983457600</v>
      </c>
      <c r="G10884" t="str">
        <f>T("NBK BANGOR COMMUNITY PROGRAMS")</f>
        <v>NBK BANGOR COMMUNITY PROGRAMS</v>
      </c>
      <c r="H10884" t="str">
        <f>T("610 DOWELL ST BLDG 94")</f>
        <v>610 DOWELL ST BLDG 94</v>
      </c>
      <c r="I10884" t="str">
        <f>T("KEYPORT")</f>
        <v>KEYPORT</v>
      </c>
      <c r="J10884" t="str">
        <f t="shared" si="3986"/>
        <v>WA</v>
      </c>
      <c r="K10884" t="str">
        <f>T("3603965881")</f>
        <v>3603965881</v>
      </c>
      <c r="L10884" t="str">
        <f>T("3603964283")</f>
        <v>3603964283</v>
      </c>
    </row>
    <row r="10885" spans="1:12" x14ac:dyDescent="0.35">
      <c r="A10885" t="str">
        <f t="shared" si="3984"/>
        <v>NAVY REGION NORTHWEST</v>
      </c>
      <c r="B10885" t="str">
        <f>T("NBK BANGOR FACILITIES")</f>
        <v>NBK BANGOR FACILITIES</v>
      </c>
      <c r="C10885" t="str">
        <f>T("T075 SKATE ST")</f>
        <v>T075 SKATE ST</v>
      </c>
      <c r="D10885" t="str">
        <f>T("SILVERDALE")</f>
        <v>SILVERDALE</v>
      </c>
      <c r="E10885" t="str">
        <f t="shared" si="3985"/>
        <v>WA</v>
      </c>
      <c r="F10885" t="str">
        <f>T("983151199")</f>
        <v>983151199</v>
      </c>
      <c r="G10885" t="str">
        <f>T("NBK BANGOR FACILITIES")</f>
        <v>NBK BANGOR FACILITIES</v>
      </c>
      <c r="H10885" t="str">
        <f>T("T075 SKATE ST")</f>
        <v>T075 SKATE ST</v>
      </c>
      <c r="I10885" t="str">
        <f>T("SILVERDALE")</f>
        <v>SILVERDALE</v>
      </c>
      <c r="J10885" t="str">
        <f t="shared" si="3986"/>
        <v>WA</v>
      </c>
      <c r="K10885" t="str">
        <f>T("3603964090")</f>
        <v>3603964090</v>
      </c>
      <c r="L10885" t="str">
        <f>T("3603964596")</f>
        <v>3603964596</v>
      </c>
    </row>
    <row r="10886" spans="1:12" x14ac:dyDescent="0.35">
      <c r="A10886" t="str">
        <f t="shared" si="3984"/>
        <v>NAVY REGION NORTHWEST</v>
      </c>
      <c r="B10886" t="str">
        <f>T("NBK BANGOR PUBLIC SAFETY")</f>
        <v>NBK BANGOR PUBLIC SAFETY</v>
      </c>
      <c r="C10886" t="str">
        <f>T("1200 SKATE ST")</f>
        <v>1200 SKATE ST</v>
      </c>
      <c r="D10886" t="str">
        <f>T("SILVERDALE")</f>
        <v>SILVERDALE</v>
      </c>
      <c r="E10886" t="str">
        <f t="shared" si="3985"/>
        <v>WA</v>
      </c>
      <c r="F10886" t="str">
        <f>T("983151202")</f>
        <v>983151202</v>
      </c>
      <c r="G10886" t="str">
        <f>T("NBK BANGOR PUBLIC SAFETY")</f>
        <v>NBK BANGOR PUBLIC SAFETY</v>
      </c>
      <c r="H10886" t="str">
        <f>T("1103 HUNLEY RD")</f>
        <v>1103 HUNLEY RD</v>
      </c>
      <c r="I10886" t="str">
        <f>T("SILVERDALE")</f>
        <v>SILVERDALE</v>
      </c>
      <c r="J10886" t="str">
        <f t="shared" si="3986"/>
        <v>WA</v>
      </c>
      <c r="K10886" t="str">
        <f>T("000000000000000000")</f>
        <v>000000000000000000</v>
      </c>
      <c r="L10886" t="str">
        <f>T("3603155099")</f>
        <v>3603155099</v>
      </c>
    </row>
    <row r="10887" spans="1:12" x14ac:dyDescent="0.35">
      <c r="A10887" t="str">
        <f t="shared" si="3984"/>
        <v>NAVY REGION NORTHWEST</v>
      </c>
      <c r="B10887" t="str">
        <f>T("NBK BANGOR PUBLIC SAFETY")</f>
        <v>NBK BANGOR PUBLIC SAFETY</v>
      </c>
      <c r="C10887" t="str">
        <f>T("1200 SKATE ST")</f>
        <v>1200 SKATE ST</v>
      </c>
      <c r="D10887" t="str">
        <f>T("SILVERDALE")</f>
        <v>SILVERDALE</v>
      </c>
      <c r="E10887" t="str">
        <f t="shared" si="3985"/>
        <v>WA</v>
      </c>
      <c r="F10887" t="str">
        <f>T("983151202")</f>
        <v>983151202</v>
      </c>
      <c r="G10887" t="str">
        <f>T("NBK BANGOR PUBLIC SAFETY")</f>
        <v>NBK BANGOR PUBLIC SAFETY</v>
      </c>
      <c r="H10887" t="str">
        <f>T("1200 SKATE ST")</f>
        <v>1200 SKATE ST</v>
      </c>
      <c r="I10887" t="str">
        <f>T("SILVERDALE")</f>
        <v>SILVERDALE</v>
      </c>
      <c r="J10887" t="str">
        <f t="shared" si="3986"/>
        <v>WA</v>
      </c>
      <c r="K10887" t="str">
        <f>T("")</f>
        <v/>
      </c>
      <c r="L10887" t="str">
        <f>T("3603155371")</f>
        <v>3603155371</v>
      </c>
    </row>
    <row r="10888" spans="1:12" x14ac:dyDescent="0.35">
      <c r="A10888" t="str">
        <f t="shared" si="3984"/>
        <v>NAVY REGION NORTHWEST</v>
      </c>
      <c r="B10888" t="str">
        <f>T("NBK BANGOR PUBLIC SAFETY")</f>
        <v>NBK BANGOR PUBLIC SAFETY</v>
      </c>
      <c r="C10888" t="str">
        <f>T("1200 SKATE ST")</f>
        <v>1200 SKATE ST</v>
      </c>
      <c r="D10888" t="str">
        <f>T("SILVERDALE")</f>
        <v>SILVERDALE</v>
      </c>
      <c r="E10888" t="str">
        <f t="shared" si="3985"/>
        <v>WA</v>
      </c>
      <c r="F10888" t="str">
        <f>T("983151202")</f>
        <v>983151202</v>
      </c>
      <c r="G10888" t="str">
        <f>T("NBK BANGOR PUBLIC SAFETY")</f>
        <v>NBK BANGOR PUBLIC SAFETY</v>
      </c>
      <c r="H10888" t="str">
        <f>T("1200 SKATE ST")</f>
        <v>1200 SKATE ST</v>
      </c>
      <c r="I10888" t="str">
        <f>T("SILVERDALE")</f>
        <v>SILVERDALE</v>
      </c>
      <c r="J10888" t="str">
        <f t="shared" si="3986"/>
        <v>WA</v>
      </c>
      <c r="K10888" t="str">
        <f>T("000000000000000000")</f>
        <v>000000000000000000</v>
      </c>
      <c r="L10888" t="str">
        <f>T("3603155230")</f>
        <v>3603155230</v>
      </c>
    </row>
    <row r="10889" spans="1:12" x14ac:dyDescent="0.35">
      <c r="A10889" t="str">
        <f t="shared" si="3984"/>
        <v>NAVY REGION NORTHWEST</v>
      </c>
      <c r="B10889" t="str">
        <f>T("NBK BANGOR PUBLIC SAFETY")</f>
        <v>NBK BANGOR PUBLIC SAFETY</v>
      </c>
      <c r="C10889" t="str">
        <f>T("1200 SKATE ST")</f>
        <v>1200 SKATE ST</v>
      </c>
      <c r="D10889" t="str">
        <f>T("SILVERDALE")</f>
        <v>SILVERDALE</v>
      </c>
      <c r="E10889" t="str">
        <f t="shared" si="3985"/>
        <v>WA</v>
      </c>
      <c r="F10889" t="str">
        <f>T("983151202")</f>
        <v>983151202</v>
      </c>
      <c r="G10889" t="str">
        <f>T("NRNW PUBLIC SAFETY")</f>
        <v>NRNW PUBLIC SAFETY</v>
      </c>
      <c r="H10889" t="str">
        <f>T("1200 SKATE STREET")</f>
        <v>1200 SKATE STREET</v>
      </c>
      <c r="I10889" t="str">
        <f>T("SILVERDALE")</f>
        <v>SILVERDALE</v>
      </c>
      <c r="J10889" t="str">
        <f t="shared" si="3986"/>
        <v>WA</v>
      </c>
      <c r="K10889" t="str">
        <f>T("000000000000000000")</f>
        <v>000000000000000000</v>
      </c>
      <c r="L10889" t="str">
        <f>T("3603155085")</f>
        <v>3603155085</v>
      </c>
    </row>
    <row r="10890" spans="1:12" x14ac:dyDescent="0.35">
      <c r="A10890" t="str">
        <f t="shared" si="3984"/>
        <v>NAVY REGION NORTHWEST</v>
      </c>
      <c r="B10890" t="str">
        <f>T("NBK BREMERTON ADMIN")</f>
        <v>NBK BREMERTON ADMIN</v>
      </c>
      <c r="C10890" t="str">
        <f>T("120 S DEWEY ST")</f>
        <v>120 S DEWEY ST</v>
      </c>
      <c r="D10890" t="str">
        <f t="shared" ref="D10890:D10901" si="3987">T("BREMERTON")</f>
        <v>BREMERTON</v>
      </c>
      <c r="E10890" t="str">
        <f t="shared" si="3985"/>
        <v>WA</v>
      </c>
      <c r="F10890" t="str">
        <f>T("983145020")</f>
        <v>983145020</v>
      </c>
      <c r="G10890" t="str">
        <f>T("NBK BREMERTON ADMIN")</f>
        <v>NBK BREMERTON ADMIN</v>
      </c>
      <c r="H10890" t="str">
        <f>T("120 S DEWEY ST")</f>
        <v>120 S DEWEY ST</v>
      </c>
      <c r="I10890" t="str">
        <f t="shared" ref="I10890:I10895" si="3988">T("BREMERTON")</f>
        <v>BREMERTON</v>
      </c>
      <c r="J10890" t="str">
        <f t="shared" si="3986"/>
        <v>WA</v>
      </c>
      <c r="K10890" t="str">
        <f>T("")</f>
        <v/>
      </c>
      <c r="L10890" t="str">
        <f>T("3606274012")</f>
        <v>3606274012</v>
      </c>
    </row>
    <row r="10891" spans="1:12" x14ac:dyDescent="0.35">
      <c r="A10891" t="str">
        <f t="shared" si="3984"/>
        <v>NAVY REGION NORTHWEST</v>
      </c>
      <c r="B10891" t="str">
        <f>T("NBK BREMERTON ADMIN")</f>
        <v>NBK BREMERTON ADMIN</v>
      </c>
      <c r="C10891" t="str">
        <f>T("120 S DEWEY ST")</f>
        <v>120 S DEWEY ST</v>
      </c>
      <c r="D10891" t="str">
        <f t="shared" si="3987"/>
        <v>BREMERTON</v>
      </c>
      <c r="E10891" t="str">
        <f t="shared" si="3985"/>
        <v>WA</v>
      </c>
      <c r="F10891" t="str">
        <f>T("983145020")</f>
        <v>983145020</v>
      </c>
      <c r="G10891" t="str">
        <f>T("NBK BREMERTON ADMIN")</f>
        <v>NBK BREMERTON ADMIN</v>
      </c>
      <c r="H10891" t="str">
        <f>T("120 S DEWEY ST")</f>
        <v>120 S DEWEY ST</v>
      </c>
      <c r="I10891" t="str">
        <f t="shared" si="3988"/>
        <v>BREMERTON</v>
      </c>
      <c r="J10891" t="str">
        <f t="shared" si="3986"/>
        <v>WA</v>
      </c>
      <c r="K10891" t="str">
        <f t="shared" ref="K10891:K10898" si="3989">T("000000000000000000")</f>
        <v>000000000000000000</v>
      </c>
      <c r="L10891" t="str">
        <f>T("3606274014")</f>
        <v>3606274014</v>
      </c>
    </row>
    <row r="10892" spans="1:12" x14ac:dyDescent="0.35">
      <c r="A10892" t="str">
        <f t="shared" si="3984"/>
        <v>NAVY REGION NORTHWEST</v>
      </c>
      <c r="B10892" t="str">
        <f>T("NBK BREMERTON ADMIN")</f>
        <v>NBK BREMERTON ADMIN</v>
      </c>
      <c r="C10892" t="str">
        <f>T("120 S DEWEY ST")</f>
        <v>120 S DEWEY ST</v>
      </c>
      <c r="D10892" t="str">
        <f t="shared" si="3987"/>
        <v>BREMERTON</v>
      </c>
      <c r="E10892" t="str">
        <f t="shared" si="3985"/>
        <v>WA</v>
      </c>
      <c r="F10892" t="str">
        <f>T("983145020")</f>
        <v>983145020</v>
      </c>
      <c r="G10892" t="str">
        <f>T("NBK BREMERTON ADMINISTRATION")</f>
        <v>NBK BREMERTON ADMINISTRATION</v>
      </c>
      <c r="H10892" t="str">
        <f>T("120 S DEWEY ST BLDG 443")</f>
        <v>120 S DEWEY ST BLDG 443</v>
      </c>
      <c r="I10892" t="str">
        <f t="shared" si="3988"/>
        <v>BREMERTON</v>
      </c>
      <c r="J10892" t="str">
        <f t="shared" si="3986"/>
        <v>WA</v>
      </c>
      <c r="K10892" t="str">
        <f t="shared" si="3989"/>
        <v>000000000000000000</v>
      </c>
      <c r="L10892" t="str">
        <f>T("3606274009")</f>
        <v>3606274009</v>
      </c>
    </row>
    <row r="10893" spans="1:12" x14ac:dyDescent="0.35">
      <c r="A10893" t="str">
        <f t="shared" si="3984"/>
        <v>NAVY REGION NORTHWEST</v>
      </c>
      <c r="B10893" t="str">
        <f>T("NBK BREMERTON FACILITIES")</f>
        <v>NBK BREMERTON FACILITIES</v>
      </c>
      <c r="C10893" t="str">
        <f>T("467 W ST.")</f>
        <v>467 W ST.</v>
      </c>
      <c r="D10893" t="str">
        <f t="shared" si="3987"/>
        <v>BREMERTON</v>
      </c>
      <c r="E10893" t="str">
        <f t="shared" si="3985"/>
        <v>WA</v>
      </c>
      <c r="F10893" t="str">
        <f t="shared" ref="F10893:F10900" si="3990">T("983146008")</f>
        <v>983146008</v>
      </c>
      <c r="G10893" t="str">
        <f>T("120 S DEWEY ST")</f>
        <v>120 S DEWEY ST</v>
      </c>
      <c r="H10893" t="str">
        <f>T("BLDG 900")</f>
        <v>BLDG 900</v>
      </c>
      <c r="I10893" t="str">
        <f t="shared" si="3988"/>
        <v>BREMERTON</v>
      </c>
      <c r="J10893" t="str">
        <f t="shared" si="3986"/>
        <v>WA</v>
      </c>
      <c r="K10893" t="str">
        <f t="shared" si="3989"/>
        <v>000000000000000000</v>
      </c>
      <c r="L10893" t="str">
        <f>T("3604768531")</f>
        <v>3604768531</v>
      </c>
    </row>
    <row r="10894" spans="1:12" x14ac:dyDescent="0.35">
      <c r="A10894" t="str">
        <f t="shared" si="3984"/>
        <v>NAVY REGION NORTHWEST</v>
      </c>
      <c r="B10894" t="str">
        <f>T("NBK BREMERTON FACILITIES")</f>
        <v>NBK BREMERTON FACILITIES</v>
      </c>
      <c r="C10894" t="str">
        <f>T("467 W ST.")</f>
        <v>467 W ST.</v>
      </c>
      <c r="D10894" t="str">
        <f t="shared" si="3987"/>
        <v>BREMERTON</v>
      </c>
      <c r="E10894" t="str">
        <f t="shared" si="3985"/>
        <v>WA</v>
      </c>
      <c r="F10894" t="str">
        <f t="shared" si="3990"/>
        <v>983146008</v>
      </c>
      <c r="G10894" t="str">
        <f>T("NBK BREMERTON FACILITIES")</f>
        <v>NBK BREMERTON FACILITIES</v>
      </c>
      <c r="H10894" t="str">
        <f>T("467 W ST.")</f>
        <v>467 W ST.</v>
      </c>
      <c r="I10894" t="str">
        <f t="shared" si="3988"/>
        <v>BREMERTON</v>
      </c>
      <c r="J10894" t="str">
        <f t="shared" si="3986"/>
        <v>WA</v>
      </c>
      <c r="K10894" t="str">
        <f t="shared" si="3989"/>
        <v>000000000000000000</v>
      </c>
      <c r="L10894" t="str">
        <f>T("3604767996")</f>
        <v>3604767996</v>
      </c>
    </row>
    <row r="10895" spans="1:12" x14ac:dyDescent="0.35">
      <c r="A10895" t="str">
        <f t="shared" si="3984"/>
        <v>NAVY REGION NORTHWEST</v>
      </c>
      <c r="B10895" t="str">
        <f>T("NBK BREMERTON FACILITIES")</f>
        <v>NBK BREMERTON FACILITIES</v>
      </c>
      <c r="C10895" t="str">
        <f>T("467 W ST.")</f>
        <v>467 W ST.</v>
      </c>
      <c r="D10895" t="str">
        <f t="shared" si="3987"/>
        <v>BREMERTON</v>
      </c>
      <c r="E10895" t="str">
        <f t="shared" si="3985"/>
        <v>WA</v>
      </c>
      <c r="F10895" t="str">
        <f t="shared" si="3990"/>
        <v>983146008</v>
      </c>
      <c r="G10895" t="str">
        <f>T("NBK BREMERTON NAVFAC")</f>
        <v>NBK BREMERTON NAVFAC</v>
      </c>
      <c r="H10895" t="str">
        <f>T("467 W STREET")</f>
        <v>467 W STREET</v>
      </c>
      <c r="I10895" t="str">
        <f t="shared" si="3988"/>
        <v>BREMERTON</v>
      </c>
      <c r="J10895" t="str">
        <f t="shared" si="3986"/>
        <v>WA</v>
      </c>
      <c r="K10895" t="str">
        <f t="shared" si="3989"/>
        <v>000000000000000000</v>
      </c>
      <c r="L10895" t="str">
        <f>T("3604763630")</f>
        <v>3604763630</v>
      </c>
    </row>
    <row r="10896" spans="1:12" x14ac:dyDescent="0.35">
      <c r="A10896" t="str">
        <f t="shared" si="3984"/>
        <v>NAVY REGION NORTHWEST</v>
      </c>
      <c r="B10896" t="str">
        <f>T("NBK BREMERTON PORT OPERATIONS")</f>
        <v>NBK BREMERTON PORT OPERATIONS</v>
      </c>
      <c r="C10896" t="str">
        <f>T("BUILDING 467 WEST STREET")</f>
        <v>BUILDING 467 WEST STREET</v>
      </c>
      <c r="D10896" t="str">
        <f t="shared" si="3987"/>
        <v>BREMERTON</v>
      </c>
      <c r="E10896" t="str">
        <f t="shared" si="3985"/>
        <v>WA</v>
      </c>
      <c r="F10896" t="str">
        <f t="shared" si="3990"/>
        <v>983146008</v>
      </c>
      <c r="G10896" t="str">
        <f>T("1100 HUNLEY ROAD")</f>
        <v>1100 HUNLEY ROAD</v>
      </c>
      <c r="H10896" t="str">
        <f>T("ROOM 210")</f>
        <v>ROOM 210</v>
      </c>
      <c r="I10896" t="str">
        <f>T("SILVERDALE")</f>
        <v>SILVERDALE</v>
      </c>
      <c r="J10896" t="str">
        <f t="shared" si="3986"/>
        <v>WA</v>
      </c>
      <c r="K10896" t="str">
        <f t="shared" si="3989"/>
        <v>000000000000000000</v>
      </c>
      <c r="L10896" t="str">
        <f>T("3604760827")</f>
        <v>3604760827</v>
      </c>
    </row>
    <row r="10897" spans="1:12" x14ac:dyDescent="0.35">
      <c r="A10897" t="str">
        <f t="shared" si="3984"/>
        <v>NAVY REGION NORTHWEST</v>
      </c>
      <c r="B10897" t="str">
        <f>T("NBK BREMERTON PORT OPERATIONS")</f>
        <v>NBK BREMERTON PORT OPERATIONS</v>
      </c>
      <c r="C10897" t="str">
        <f>T("BUILDING 467 WEST STREET")</f>
        <v>BUILDING 467 WEST STREET</v>
      </c>
      <c r="D10897" t="str">
        <f t="shared" si="3987"/>
        <v>BREMERTON</v>
      </c>
      <c r="E10897" t="str">
        <f t="shared" si="3985"/>
        <v>WA</v>
      </c>
      <c r="F10897" t="str">
        <f t="shared" si="3990"/>
        <v>983146008</v>
      </c>
      <c r="G10897" t="str">
        <f>T("476 W STREET")</f>
        <v>476 W STREET</v>
      </c>
      <c r="H10897" t="str">
        <f>T("")</f>
        <v/>
      </c>
      <c r="I10897" t="str">
        <f>T("BREMERTON")</f>
        <v>BREMERTON</v>
      </c>
      <c r="J10897" t="str">
        <f t="shared" si="3986"/>
        <v>WA</v>
      </c>
      <c r="K10897" t="str">
        <f t="shared" si="3989"/>
        <v>000000000000000000</v>
      </c>
      <c r="L10897" t="str">
        <f>T("3604760827")</f>
        <v>3604760827</v>
      </c>
    </row>
    <row r="10898" spans="1:12" x14ac:dyDescent="0.35">
      <c r="A10898" t="str">
        <f t="shared" si="3984"/>
        <v>NAVY REGION NORTHWEST</v>
      </c>
      <c r="B10898" t="str">
        <f>T("NBK BREMERTON PORT OPERATIONS")</f>
        <v>NBK BREMERTON PORT OPERATIONS</v>
      </c>
      <c r="C10898" t="str">
        <f>T("BUILDING 467 WEST STREET")</f>
        <v>BUILDING 467 WEST STREET</v>
      </c>
      <c r="D10898" t="str">
        <f t="shared" si="3987"/>
        <v>BREMERTON</v>
      </c>
      <c r="E10898" t="str">
        <f t="shared" si="3985"/>
        <v>WA</v>
      </c>
      <c r="F10898" t="str">
        <f t="shared" si="3990"/>
        <v>983146008</v>
      </c>
      <c r="G10898" t="str">
        <f>T("NBK BREMERTON PORT OPERATIONS")</f>
        <v>NBK BREMERTON PORT OPERATIONS</v>
      </c>
      <c r="H10898" t="str">
        <f>T("467 W ST C/N31")</f>
        <v>467 W ST C/N31</v>
      </c>
      <c r="I10898" t="str">
        <f>T("BREMERTON")</f>
        <v>BREMERTON</v>
      </c>
      <c r="J10898" t="str">
        <f t="shared" si="3986"/>
        <v>WA</v>
      </c>
      <c r="K10898" t="str">
        <f t="shared" si="3989"/>
        <v>000000000000000000</v>
      </c>
      <c r="L10898" t="str">
        <f>T("3604763738")</f>
        <v>3604763738</v>
      </c>
    </row>
    <row r="10899" spans="1:12" x14ac:dyDescent="0.35">
      <c r="A10899" t="str">
        <f t="shared" si="3984"/>
        <v>NAVY REGION NORTHWEST</v>
      </c>
      <c r="B10899" t="str">
        <f>T("NBK BREMERTON PORT OPERATIONS")</f>
        <v>NBK BREMERTON PORT OPERATIONS</v>
      </c>
      <c r="C10899" t="str">
        <f>T("BUILDING 467 WEST STREET")</f>
        <v>BUILDING 467 WEST STREET</v>
      </c>
      <c r="D10899" t="str">
        <f t="shared" si="3987"/>
        <v>BREMERTON</v>
      </c>
      <c r="E10899" t="str">
        <f t="shared" si="3985"/>
        <v>WA</v>
      </c>
      <c r="F10899" t="str">
        <f t="shared" si="3990"/>
        <v>983146008</v>
      </c>
      <c r="G10899" t="str">
        <f>T("NBK BREMERTON PORT OPERATIONS")</f>
        <v>NBK BREMERTON PORT OPERATIONS</v>
      </c>
      <c r="H10899" t="str">
        <f>T("BUILDING 467 WEST STREET")</f>
        <v>BUILDING 467 WEST STREET</v>
      </c>
      <c r="I10899" t="str">
        <f>T("BREMERTON")</f>
        <v>BREMERTON</v>
      </c>
      <c r="J10899" t="str">
        <f t="shared" si="3986"/>
        <v>WA</v>
      </c>
      <c r="K10899" t="str">
        <f>T("")</f>
        <v/>
      </c>
      <c r="L10899" t="str">
        <f>T("3604763659")</f>
        <v>3604763659</v>
      </c>
    </row>
    <row r="10900" spans="1:12" x14ac:dyDescent="0.35">
      <c r="A10900" t="str">
        <f t="shared" si="3984"/>
        <v>NAVY REGION NORTHWEST</v>
      </c>
      <c r="B10900" t="str">
        <f>T("NBK BREMERTON PORT OPERATIONS")</f>
        <v>NBK BREMERTON PORT OPERATIONS</v>
      </c>
      <c r="C10900" t="str">
        <f>T("BUILDING 467 WEST STREET")</f>
        <v>BUILDING 467 WEST STREET</v>
      </c>
      <c r="D10900" t="str">
        <f t="shared" si="3987"/>
        <v>BREMERTON</v>
      </c>
      <c r="E10900" t="str">
        <f t="shared" si="3985"/>
        <v>WA</v>
      </c>
      <c r="F10900" t="str">
        <f t="shared" si="3990"/>
        <v>983146008</v>
      </c>
      <c r="G10900" t="str">
        <f>T("NBK BREMERTON PORT OPS")</f>
        <v>NBK BREMERTON PORT OPS</v>
      </c>
      <c r="H10900" t="str">
        <f>T("120 S DEWEY ST")</f>
        <v>120 S DEWEY ST</v>
      </c>
      <c r="I10900" t="str">
        <f>T("BREMERTON")</f>
        <v>BREMERTON</v>
      </c>
      <c r="J10900" t="str">
        <f t="shared" si="3986"/>
        <v>WA</v>
      </c>
      <c r="K10900" t="str">
        <f>T("000000000000000000")</f>
        <v>000000000000000000</v>
      </c>
      <c r="L10900" t="str">
        <f>T("3604765236")</f>
        <v>3604765236</v>
      </c>
    </row>
    <row r="10901" spans="1:12" x14ac:dyDescent="0.35">
      <c r="A10901" t="str">
        <f t="shared" si="3984"/>
        <v>NAVY REGION NORTHWEST</v>
      </c>
      <c r="B10901" t="str">
        <f>T("NBK BREMERTON SELF HELP")</f>
        <v>NBK BREMERTON SELF HELP</v>
      </c>
      <c r="C10901" t="str">
        <f>T("120 S DEWEY ST")</f>
        <v>120 S DEWEY ST</v>
      </c>
      <c r="D10901" t="str">
        <f t="shared" si="3987"/>
        <v>BREMERTON</v>
      </c>
      <c r="E10901" t="str">
        <f t="shared" si="3985"/>
        <v>WA</v>
      </c>
      <c r="F10901" t="str">
        <f>T("983145020")</f>
        <v>983145020</v>
      </c>
      <c r="G10901" t="str">
        <f>T("NBK BREMERTON SELF HELP")</f>
        <v>NBK BREMERTON SELF HELP</v>
      </c>
      <c r="H10901" t="str">
        <f>T("120 S DEWEY ST")</f>
        <v>120 S DEWEY ST</v>
      </c>
      <c r="I10901" t="str">
        <f>T("BREMERTON")</f>
        <v>BREMERTON</v>
      </c>
      <c r="J10901" t="str">
        <f t="shared" si="3986"/>
        <v>WA</v>
      </c>
      <c r="K10901" t="str">
        <f>T("")</f>
        <v/>
      </c>
      <c r="L10901" t="str">
        <f>T("3602576506")</f>
        <v>3602576506</v>
      </c>
    </row>
    <row r="10902" spans="1:12" x14ac:dyDescent="0.35">
      <c r="A10902" t="str">
        <f t="shared" si="3984"/>
        <v>NAVY REGION NORTHWEST</v>
      </c>
      <c r="B10902" t="str">
        <f>T("NBK GALLEY")</f>
        <v>NBK GALLEY</v>
      </c>
      <c r="C10902" t="str">
        <f>T("610 DOWELL ST BLDG 35")</f>
        <v>610 DOWELL ST BLDG 35</v>
      </c>
      <c r="D10902" t="str">
        <f>T("KEYPORT")</f>
        <v>KEYPORT</v>
      </c>
      <c r="E10902" t="str">
        <f t="shared" si="3985"/>
        <v>WA</v>
      </c>
      <c r="F10902" t="str">
        <f>T("983457600")</f>
        <v>983457600</v>
      </c>
      <c r="G10902" t="str">
        <f>T("NBK BANGOR GALLEY")</f>
        <v>NBK BANGOR GALLEY</v>
      </c>
      <c r="H10902" t="str">
        <f>T("610 DOWELL ST")</f>
        <v>610 DOWELL ST</v>
      </c>
      <c r="I10902" t="str">
        <f>T("KEYPORT")</f>
        <v>KEYPORT</v>
      </c>
      <c r="J10902" t="str">
        <f t="shared" si="3986"/>
        <v>WA</v>
      </c>
      <c r="K10902" t="str">
        <f>T("000000000000000000")</f>
        <v>000000000000000000</v>
      </c>
      <c r="L10902" t="str">
        <f>T("3603964898")</f>
        <v>3603964898</v>
      </c>
    </row>
    <row r="10903" spans="1:12" x14ac:dyDescent="0.35">
      <c r="A10903" t="str">
        <f t="shared" si="3984"/>
        <v>NAVY REGION NORTHWEST</v>
      </c>
      <c r="B10903" t="str">
        <f>T("NBK GALLEY")</f>
        <v>NBK GALLEY</v>
      </c>
      <c r="C10903" t="str">
        <f>T("610 DOWELL ST BLDG 35")</f>
        <v>610 DOWELL ST BLDG 35</v>
      </c>
      <c r="D10903" t="str">
        <f>T("KEYPORT")</f>
        <v>KEYPORT</v>
      </c>
      <c r="E10903" t="str">
        <f t="shared" si="3985"/>
        <v>WA</v>
      </c>
      <c r="F10903" t="str">
        <f>T("983457600")</f>
        <v>983457600</v>
      </c>
      <c r="G10903" t="str">
        <f>T("NBK GALLEY")</f>
        <v>NBK GALLEY</v>
      </c>
      <c r="H10903" t="str">
        <f>T("610 DOWELL ST BLDG 35")</f>
        <v>610 DOWELL ST BLDG 35</v>
      </c>
      <c r="I10903" t="str">
        <f>T("KEYPORT")</f>
        <v>KEYPORT</v>
      </c>
      <c r="J10903" t="str">
        <f t="shared" si="3986"/>
        <v>WA</v>
      </c>
      <c r="K10903" t="str">
        <f>T("3603155115")</f>
        <v>3603155115</v>
      </c>
      <c r="L10903" t="str">
        <f>T("3603964539")</f>
        <v>3603964539</v>
      </c>
    </row>
    <row r="10904" spans="1:12" x14ac:dyDescent="0.35">
      <c r="A10904" t="str">
        <f t="shared" si="3984"/>
        <v>NAVY REGION NORTHWEST</v>
      </c>
      <c r="B10904" t="str">
        <f>T("NBK GALLEY")</f>
        <v>NBK GALLEY</v>
      </c>
      <c r="C10904" t="str">
        <f>T("610 DOWELL ST BLDG 35")</f>
        <v>610 DOWELL ST BLDG 35</v>
      </c>
      <c r="D10904" t="str">
        <f>T("KEYPORT")</f>
        <v>KEYPORT</v>
      </c>
      <c r="E10904" t="str">
        <f t="shared" si="3985"/>
        <v>WA</v>
      </c>
      <c r="F10904" t="str">
        <f>T("983457600")</f>
        <v>983457600</v>
      </c>
      <c r="G10904" t="str">
        <f>T("NBK KEYPORT")</f>
        <v>NBK KEYPORT</v>
      </c>
      <c r="H10904" t="str">
        <f>T("610 DOWELL ST BLDG 94")</f>
        <v>610 DOWELL ST BLDG 94</v>
      </c>
      <c r="I10904" t="str">
        <f>T("KEYPORT")</f>
        <v>KEYPORT</v>
      </c>
      <c r="J10904" t="str">
        <f t="shared" si="3986"/>
        <v>WA</v>
      </c>
      <c r="K10904" t="str">
        <f>T("000000000000000000")</f>
        <v>000000000000000000</v>
      </c>
      <c r="L10904" t="str">
        <f>T("3603964161")</f>
        <v>3603964161</v>
      </c>
    </row>
    <row r="10905" spans="1:12" x14ac:dyDescent="0.35">
      <c r="A10905" t="str">
        <f t="shared" si="3984"/>
        <v>NAVY REGION NORTHWEST</v>
      </c>
      <c r="B10905" t="str">
        <f>T("NBK GATEWAY &amp; INNS")</f>
        <v>NBK GATEWAY &amp; INNS</v>
      </c>
      <c r="C10905" t="str">
        <f>T("610 DOWELL STREET BLDG 35")</f>
        <v>610 DOWELL STREET BLDG 35</v>
      </c>
      <c r="D10905" t="str">
        <f>T("KEYPORT")</f>
        <v>KEYPORT</v>
      </c>
      <c r="E10905" t="str">
        <f t="shared" si="3985"/>
        <v>WA</v>
      </c>
      <c r="F10905" t="str">
        <f>T("983457600")</f>
        <v>983457600</v>
      </c>
      <c r="G10905" t="str">
        <f>T("NBK GATEWAY &amp; INNS")</f>
        <v>NBK GATEWAY &amp; INNS</v>
      </c>
      <c r="H10905" t="str">
        <f>T("610 DOWELL STREET BLDG 35")</f>
        <v>610 DOWELL STREET BLDG 35</v>
      </c>
      <c r="I10905" t="str">
        <f>T("KEYPORT")</f>
        <v>KEYPORT</v>
      </c>
      <c r="J10905" t="str">
        <f t="shared" si="3986"/>
        <v>WA</v>
      </c>
      <c r="K10905" t="str">
        <f>T("360 315 5115")</f>
        <v>360 315 5115</v>
      </c>
      <c r="L10905" t="str">
        <f>T("3603964539")</f>
        <v>3603964539</v>
      </c>
    </row>
    <row r="10906" spans="1:12" x14ac:dyDescent="0.35">
      <c r="A10906" t="str">
        <f t="shared" si="3984"/>
        <v>NAVY REGION NORTHWEST</v>
      </c>
      <c r="B10906" t="str">
        <f>T("NRNW INFORMATION TECHNOLOGY")</f>
        <v>NRNW INFORMATION TECHNOLOGY</v>
      </c>
      <c r="C10906" t="str">
        <f>T("120 S DEWEY STREET")</f>
        <v>120 S DEWEY STREET</v>
      </c>
      <c r="D10906" t="str">
        <f>T("BREMERTON")</f>
        <v>BREMERTON</v>
      </c>
      <c r="E10906" t="str">
        <f t="shared" si="3985"/>
        <v>WA</v>
      </c>
      <c r="F10906" t="str">
        <f>T("983145020")</f>
        <v>983145020</v>
      </c>
      <c r="G10906" t="str">
        <f>T("IT PLANNING AND INTEGRATION")</f>
        <v>IT PLANNING AND INTEGRATION</v>
      </c>
      <c r="H10906" t="str">
        <f>T("120 S DEWEY ST")</f>
        <v>120 S DEWEY ST</v>
      </c>
      <c r="I10906" t="str">
        <f>T("BREMERTON")</f>
        <v>BREMERTON</v>
      </c>
      <c r="J10906" t="str">
        <f t="shared" si="3986"/>
        <v>WA</v>
      </c>
      <c r="K10906" t="str">
        <f>T("000000000000000000")</f>
        <v>000000000000000000</v>
      </c>
      <c r="L10906" t="str">
        <f>T("3606276203")</f>
        <v>3606276203</v>
      </c>
    </row>
    <row r="10907" spans="1:12" x14ac:dyDescent="0.35">
      <c r="A10907" t="str">
        <f t="shared" si="3984"/>
        <v>NAVY REGION NORTHWEST</v>
      </c>
      <c r="B10907" t="str">
        <f>T("NRNW INFORMATION TECHNOLOGY")</f>
        <v>NRNW INFORMATION TECHNOLOGY</v>
      </c>
      <c r="C10907" t="str">
        <f>T("120 S DEWEY STREET")</f>
        <v>120 S DEWEY STREET</v>
      </c>
      <c r="D10907" t="str">
        <f>T("BREMERTON")</f>
        <v>BREMERTON</v>
      </c>
      <c r="E10907" t="str">
        <f t="shared" si="3985"/>
        <v>WA</v>
      </c>
      <c r="F10907" t="str">
        <f>T("983145020")</f>
        <v>983145020</v>
      </c>
      <c r="G10907" t="str">
        <f>T("NBK INFORMATION TECHNOLOGY")</f>
        <v>NBK INFORMATION TECHNOLOGY</v>
      </c>
      <c r="H10907" t="str">
        <f>T("120 S DEWEY ST BLDG 864")</f>
        <v>120 S DEWEY ST BLDG 864</v>
      </c>
      <c r="I10907" t="str">
        <f>T("BREMERTON")</f>
        <v>BREMERTON</v>
      </c>
      <c r="J10907" t="str">
        <f t="shared" si="3986"/>
        <v>WA</v>
      </c>
      <c r="K10907" t="str">
        <f>T("000000000000000000")</f>
        <v>000000000000000000</v>
      </c>
      <c r="L10907" t="str">
        <f>T("3606276201")</f>
        <v>3606276201</v>
      </c>
    </row>
    <row r="10908" spans="1:12" x14ac:dyDescent="0.35">
      <c r="A10908" t="str">
        <f t="shared" si="3984"/>
        <v>NAVY REGION NORTHWEST</v>
      </c>
      <c r="B10908" t="str">
        <f>T("NRNW INFORMATION TECHNOLOGY")</f>
        <v>NRNW INFORMATION TECHNOLOGY</v>
      </c>
      <c r="C10908" t="str">
        <f>T("120 S DEWEY STREET")</f>
        <v>120 S DEWEY STREET</v>
      </c>
      <c r="D10908" t="str">
        <f>T("BREMERTON")</f>
        <v>BREMERTON</v>
      </c>
      <c r="E10908" t="str">
        <f t="shared" si="3985"/>
        <v>WA</v>
      </c>
      <c r="F10908" t="str">
        <f>T("983145020")</f>
        <v>983145020</v>
      </c>
      <c r="G10908" t="str">
        <f>T("NRNW INFORMATION TECHNOLOGY")</f>
        <v>NRNW INFORMATION TECHNOLOGY</v>
      </c>
      <c r="H10908" t="str">
        <f>T("120 S DEWEY STREET")</f>
        <v>120 S DEWEY STREET</v>
      </c>
      <c r="I10908" t="str">
        <f>T("BREMERTON")</f>
        <v>BREMERTON</v>
      </c>
      <c r="J10908" t="str">
        <f t="shared" si="3986"/>
        <v>WA</v>
      </c>
      <c r="K10908" t="str">
        <f>T("3603961378")</f>
        <v>3603961378</v>
      </c>
      <c r="L10908" t="str">
        <f>T("3606276202")</f>
        <v>3606276202</v>
      </c>
    </row>
    <row r="10909" spans="1:12" x14ac:dyDescent="0.35">
      <c r="A10909" t="str">
        <f t="shared" si="3984"/>
        <v>NAVY REGION NORTHWEST</v>
      </c>
      <c r="B10909" t="str">
        <f>T("NRNW RLSO")</f>
        <v>NRNW RLSO</v>
      </c>
      <c r="C10909" t="str">
        <f>T("365 S BARCLAY STREET")</f>
        <v>365 S BARCLAY STREET</v>
      </c>
      <c r="D10909" t="str">
        <f>T("BREMERTON")</f>
        <v>BREMERTON</v>
      </c>
      <c r="E10909" t="str">
        <f t="shared" si="3985"/>
        <v>WA</v>
      </c>
      <c r="F10909" t="str">
        <f>T("983145000")</f>
        <v>983145000</v>
      </c>
      <c r="G10909" t="str">
        <f>T("NRNW RLSO")</f>
        <v>NRNW RLSO</v>
      </c>
      <c r="H10909" t="str">
        <f>T("365 S BARCLAY STREET")</f>
        <v>365 S BARCLAY STREET</v>
      </c>
      <c r="I10909" t="str">
        <f>T("BREMERTON")</f>
        <v>BREMERTON</v>
      </c>
      <c r="J10909" t="str">
        <f t="shared" si="3986"/>
        <v>WA</v>
      </c>
      <c r="K10909" t="str">
        <f>T("")</f>
        <v/>
      </c>
      <c r="L10909" t="str">
        <f>T("3606273404")</f>
        <v>3606273404</v>
      </c>
    </row>
    <row r="10910" spans="1:12" x14ac:dyDescent="0.35">
      <c r="A10910" t="str">
        <f t="shared" si="3984"/>
        <v>NAVY REGION NORTHWEST</v>
      </c>
      <c r="B10910" t="str">
        <f>T("NRNW RLSO")</f>
        <v>NRNW RLSO</v>
      </c>
      <c r="C10910" t="str">
        <f>T("365 S BARCLAY STREET")</f>
        <v>365 S BARCLAY STREET</v>
      </c>
      <c r="D10910" t="str">
        <f>T("BREMERTON")</f>
        <v>BREMERTON</v>
      </c>
      <c r="E10910" t="str">
        <f t="shared" si="3985"/>
        <v>WA</v>
      </c>
      <c r="F10910" t="str">
        <f>T("983145000")</f>
        <v>983145000</v>
      </c>
      <c r="G10910" t="str">
        <f>T("RLSO")</f>
        <v>RLSO</v>
      </c>
      <c r="H10910" t="str">
        <f>T("365 S BARCLAY STREET BLDG 434")</f>
        <v>365 S BARCLAY STREET BLDG 434</v>
      </c>
      <c r="I10910" t="str">
        <f>T("BREMERTON")</f>
        <v>BREMERTON</v>
      </c>
      <c r="J10910" t="str">
        <f t="shared" si="3986"/>
        <v>WA</v>
      </c>
      <c r="K10910" t="str">
        <f>T("000000000000000000")</f>
        <v>000000000000000000</v>
      </c>
      <c r="L10910" t="str">
        <f>T("3606273407")</f>
        <v>3606273407</v>
      </c>
    </row>
    <row r="10911" spans="1:12" x14ac:dyDescent="0.35">
      <c r="A10911" t="str">
        <f t="shared" si="3984"/>
        <v>NAVY REGION NORTHWEST</v>
      </c>
      <c r="B10911" t="str">
        <f>T("NRNW SUPPORT CELL")</f>
        <v>NRNW SUPPORT CELL</v>
      </c>
      <c r="C10911" t="str">
        <f>T("1100 HUNLEY RD")</f>
        <v>1100 HUNLEY RD</v>
      </c>
      <c r="D10911" t="str">
        <f>T("SILVERDALE")</f>
        <v>SILVERDALE</v>
      </c>
      <c r="E10911" t="str">
        <f t="shared" si="3985"/>
        <v>WA</v>
      </c>
      <c r="F10911" t="str">
        <f>T("983151100")</f>
        <v>983151100</v>
      </c>
      <c r="G10911" t="str">
        <f>T("CNRNW HEADQUARTERS")</f>
        <v>CNRNW HEADQUARTERS</v>
      </c>
      <c r="H10911" t="str">
        <f>T("1100 HUNLEY RD")</f>
        <v>1100 HUNLEY RD</v>
      </c>
      <c r="I10911" t="str">
        <f>T("SILVERDALE")</f>
        <v>SILVERDALE</v>
      </c>
      <c r="J10911" t="str">
        <f t="shared" si="3986"/>
        <v>WA</v>
      </c>
      <c r="K10911" t="str">
        <f>T("000000000000000000")</f>
        <v>000000000000000000</v>
      </c>
      <c r="L10911" t="str">
        <f>T("3603155029")</f>
        <v>3603155029</v>
      </c>
    </row>
    <row r="10912" spans="1:12" x14ac:dyDescent="0.35">
      <c r="A10912" t="str">
        <f t="shared" si="3984"/>
        <v>NAVY REGION NORTHWEST</v>
      </c>
      <c r="B10912" t="str">
        <f>T("NRNW SUPPORT CELL")</f>
        <v>NRNW SUPPORT CELL</v>
      </c>
      <c r="C10912" t="str">
        <f>T("1100 HUNLEY RD")</f>
        <v>1100 HUNLEY RD</v>
      </c>
      <c r="D10912" t="str">
        <f>T("SILVERDALE")</f>
        <v>SILVERDALE</v>
      </c>
      <c r="E10912" t="str">
        <f t="shared" si="3985"/>
        <v>WA</v>
      </c>
      <c r="F10912" t="str">
        <f>T("983151100")</f>
        <v>983151100</v>
      </c>
      <c r="G10912" t="str">
        <f>T("NBK FUNERAL HONORS")</f>
        <v>NBK FUNERAL HONORS</v>
      </c>
      <c r="H10912" t="str">
        <f>T("1100 HUNLEY RD")</f>
        <v>1100 HUNLEY RD</v>
      </c>
      <c r="I10912" t="str">
        <f>T("SILVERDALE")</f>
        <v>SILVERDALE</v>
      </c>
      <c r="J10912" t="str">
        <f t="shared" si="3986"/>
        <v>WA</v>
      </c>
      <c r="K10912" t="str">
        <f>T("000000000000000000")</f>
        <v>000000000000000000</v>
      </c>
      <c r="L10912" t="str">
        <f>T("3603966880")</f>
        <v>3603966880</v>
      </c>
    </row>
    <row r="10913" spans="1:12" x14ac:dyDescent="0.35">
      <c r="A10913" t="str">
        <f t="shared" si="3984"/>
        <v>NAVY REGION NORTHWEST</v>
      </c>
      <c r="B10913" t="str">
        <f>T("NRNW SUPPORT CELL")</f>
        <v>NRNW SUPPORT CELL</v>
      </c>
      <c r="C10913" t="str">
        <f>T("1100 HUNLEY RD")</f>
        <v>1100 HUNLEY RD</v>
      </c>
      <c r="D10913" t="str">
        <f>T("SILVERDALE")</f>
        <v>SILVERDALE</v>
      </c>
      <c r="E10913" t="str">
        <f t="shared" si="3985"/>
        <v>WA</v>
      </c>
      <c r="F10913" t="str">
        <f>T("983151100")</f>
        <v>983151100</v>
      </c>
      <c r="G10913" t="str">
        <f>T("NRNW SUPPORT CELL")</f>
        <v>NRNW SUPPORT CELL</v>
      </c>
      <c r="H10913" t="str">
        <f>T("1100 HUNLEY RD")</f>
        <v>1100 HUNLEY RD</v>
      </c>
      <c r="I10913" t="str">
        <f>T("SILVERDALE")</f>
        <v>SILVERDALE</v>
      </c>
      <c r="J10913" t="str">
        <f t="shared" si="3986"/>
        <v>WA</v>
      </c>
      <c r="K10913" t="str">
        <f>T("360 396 4114")</f>
        <v>360 396 4114</v>
      </c>
      <c r="L10913" t="str">
        <f>T("1111111111")</f>
        <v>1111111111</v>
      </c>
    </row>
    <row r="10914" spans="1:12" x14ac:dyDescent="0.35">
      <c r="A10914" t="str">
        <f t="shared" ref="A10914:A10923" si="3991">T("NAVY REGION NORTHWEST")</f>
        <v>NAVY REGION NORTHWEST</v>
      </c>
      <c r="B10914" t="str">
        <f>T("NSE EVIRONMENTAL")</f>
        <v>NSE EVIRONMENTAL</v>
      </c>
      <c r="C10914" t="str">
        <f>T("2000 MARINE VIEW DRIVE")</f>
        <v>2000 MARINE VIEW DRIVE</v>
      </c>
      <c r="D10914" t="str">
        <f t="shared" ref="D10914:D10920" si="3992">T("EVERETT")</f>
        <v>EVERETT</v>
      </c>
      <c r="E10914" t="str">
        <f t="shared" ref="E10914:E10923" si="3993">T("WA")</f>
        <v>WA</v>
      </c>
      <c r="F10914" t="str">
        <f>T("982070002")</f>
        <v>982070002</v>
      </c>
      <c r="G10914" t="str">
        <f>T("NSE EVIRONMENTAL")</f>
        <v>NSE EVIRONMENTAL</v>
      </c>
      <c r="H10914" t="str">
        <f>T("2000 MARINE VIEW DRIVE")</f>
        <v>2000 MARINE VIEW DRIVE</v>
      </c>
      <c r="I10914" t="str">
        <f t="shared" ref="I10914:I10920" si="3994">T("EVERETT")</f>
        <v>EVERETT</v>
      </c>
      <c r="J10914" t="str">
        <f t="shared" ref="J10914:J10923" si="3995">T("WA")</f>
        <v>WA</v>
      </c>
      <c r="K10914" t="str">
        <f>T("000000000000000000")</f>
        <v>000000000000000000</v>
      </c>
      <c r="L10914" t="str">
        <f>T("3602573704")</f>
        <v>3602573704</v>
      </c>
    </row>
    <row r="10915" spans="1:12" x14ac:dyDescent="0.35">
      <c r="A10915" t="str">
        <f t="shared" si="3991"/>
        <v>NAVY REGION NORTHWEST</v>
      </c>
      <c r="B10915" t="str">
        <f>T("NSE FACILITIES")</f>
        <v>NSE FACILITIES</v>
      </c>
      <c r="C10915" t="str">
        <f>T("2000 W MARINE VIEW DRIVE C/416")</f>
        <v>2000 W MARINE VIEW DRIVE C/416</v>
      </c>
      <c r="D10915" t="str">
        <f t="shared" si="3992"/>
        <v>EVERETT</v>
      </c>
      <c r="E10915" t="str">
        <f t="shared" si="3993"/>
        <v>WA</v>
      </c>
      <c r="F10915" t="str">
        <f t="shared" ref="F10915:F10920" si="3996">T("982070001")</f>
        <v>982070001</v>
      </c>
      <c r="G10915" t="str">
        <f>T("NAVAL STATION EVERETT")</f>
        <v>NAVAL STATION EVERETT</v>
      </c>
      <c r="H10915" t="str">
        <f>T("2000 W MARINE VIEW DR")</f>
        <v>2000 W MARINE VIEW DR</v>
      </c>
      <c r="I10915" t="str">
        <f t="shared" si="3994"/>
        <v>EVERETT</v>
      </c>
      <c r="J10915" t="str">
        <f t="shared" si="3995"/>
        <v>WA</v>
      </c>
      <c r="K10915" t="str">
        <f>T("000000000000000000")</f>
        <v>000000000000000000</v>
      </c>
      <c r="L10915" t="str">
        <f>T("4253043647")</f>
        <v>4253043647</v>
      </c>
    </row>
    <row r="10916" spans="1:12" x14ac:dyDescent="0.35">
      <c r="A10916" t="str">
        <f t="shared" si="3991"/>
        <v>NAVY REGION NORTHWEST</v>
      </c>
      <c r="B10916" t="str">
        <f>T("NSE FACILITIES")</f>
        <v>NSE FACILITIES</v>
      </c>
      <c r="C10916" t="str">
        <f>T("2000 W MARINE VIEW DRIVE C/416")</f>
        <v>2000 W MARINE VIEW DRIVE C/416</v>
      </c>
      <c r="D10916" t="str">
        <f t="shared" si="3992"/>
        <v>EVERETT</v>
      </c>
      <c r="E10916" t="str">
        <f t="shared" si="3993"/>
        <v>WA</v>
      </c>
      <c r="F10916" t="str">
        <f t="shared" si="3996"/>
        <v>982070001</v>
      </c>
      <c r="G10916" t="str">
        <f>T("NSE FACILITIES")</f>
        <v>NSE FACILITIES</v>
      </c>
      <c r="H10916" t="str">
        <f>T("2000 W MARINE VIEW DRIVE")</f>
        <v>2000 W MARINE VIEW DRIVE</v>
      </c>
      <c r="I10916" t="str">
        <f t="shared" si="3994"/>
        <v>EVERETT</v>
      </c>
      <c r="J10916" t="str">
        <f t="shared" si="3995"/>
        <v>WA</v>
      </c>
      <c r="K10916" t="str">
        <f>T("000000000000000000")</f>
        <v>000000000000000000</v>
      </c>
      <c r="L10916" t="str">
        <f>T("4253043515")</f>
        <v>4253043515</v>
      </c>
    </row>
    <row r="10917" spans="1:12" x14ac:dyDescent="0.35">
      <c r="A10917" t="str">
        <f t="shared" si="3991"/>
        <v>NAVY REGION NORTHWEST</v>
      </c>
      <c r="B10917" t="str">
        <f>T("NSE FACILITIES")</f>
        <v>NSE FACILITIES</v>
      </c>
      <c r="C10917" t="str">
        <f>T("2000 W MARINE VIEW DRIVE C/416")</f>
        <v>2000 W MARINE VIEW DRIVE C/416</v>
      </c>
      <c r="D10917" t="str">
        <f t="shared" si="3992"/>
        <v>EVERETT</v>
      </c>
      <c r="E10917" t="str">
        <f t="shared" si="3993"/>
        <v>WA</v>
      </c>
      <c r="F10917" t="str">
        <f t="shared" si="3996"/>
        <v>982070001</v>
      </c>
      <c r="G10917" t="str">
        <f>T("NSE FACILITIES")</f>
        <v>NSE FACILITIES</v>
      </c>
      <c r="H10917" t="str">
        <f>T("2000 W MARINE VIEW DRIVE C/416")</f>
        <v>2000 W MARINE VIEW DRIVE C/416</v>
      </c>
      <c r="I10917" t="str">
        <f t="shared" si="3994"/>
        <v>EVERETT</v>
      </c>
      <c r="J10917" t="str">
        <f t="shared" si="3995"/>
        <v>WA</v>
      </c>
      <c r="K10917" t="str">
        <f>T("000000000000000000")</f>
        <v>000000000000000000</v>
      </c>
      <c r="L10917" t="str">
        <f>T("4253043075")</f>
        <v>4253043075</v>
      </c>
    </row>
    <row r="10918" spans="1:12" x14ac:dyDescent="0.35">
      <c r="A10918" t="str">
        <f t="shared" si="3991"/>
        <v>NAVY REGION NORTHWEST</v>
      </c>
      <c r="B10918" t="str">
        <f>T("NSE FACILITIES")</f>
        <v>NSE FACILITIES</v>
      </c>
      <c r="C10918" t="str">
        <f>T("2000 W MARINE VIEW DRIVE C/416")</f>
        <v>2000 W MARINE VIEW DRIVE C/416</v>
      </c>
      <c r="D10918" t="str">
        <f t="shared" si="3992"/>
        <v>EVERETT</v>
      </c>
      <c r="E10918" t="str">
        <f t="shared" si="3993"/>
        <v>WA</v>
      </c>
      <c r="F10918" t="str">
        <f t="shared" si="3996"/>
        <v>982070001</v>
      </c>
      <c r="G10918" t="str">
        <f>T("NSE NAVFAC")</f>
        <v>NSE NAVFAC</v>
      </c>
      <c r="H10918" t="str">
        <f>T("5400 MARINE VIEW DR WEST")</f>
        <v>5400 MARINE VIEW DR WEST</v>
      </c>
      <c r="I10918" t="str">
        <f t="shared" si="3994"/>
        <v>EVERETT</v>
      </c>
      <c r="J10918" t="str">
        <f t="shared" si="3995"/>
        <v>WA</v>
      </c>
      <c r="K10918" t="str">
        <f>T("000000000000000000")</f>
        <v>000000000000000000</v>
      </c>
      <c r="L10918" t="str">
        <f>T("4253043642")</f>
        <v>4253043642</v>
      </c>
    </row>
    <row r="10919" spans="1:12" x14ac:dyDescent="0.35">
      <c r="A10919" t="str">
        <f t="shared" si="3991"/>
        <v>NAVY REGION NORTHWEST</v>
      </c>
      <c r="B10919" t="str">
        <f>T("NSE FORCE PROTECTION")</f>
        <v>NSE FORCE PROTECTION</v>
      </c>
      <c r="C10919" t="str">
        <f>T("2000 W MARINE VIEW DR")</f>
        <v>2000 W MARINE VIEW DR</v>
      </c>
      <c r="D10919" t="str">
        <f t="shared" si="3992"/>
        <v>EVERETT</v>
      </c>
      <c r="E10919" t="str">
        <f t="shared" si="3993"/>
        <v>WA</v>
      </c>
      <c r="F10919" t="str">
        <f t="shared" si="3996"/>
        <v>982070001</v>
      </c>
      <c r="G10919" t="str">
        <f>T("NSE FORCE PROTECTION")</f>
        <v>NSE FORCE PROTECTION</v>
      </c>
      <c r="H10919" t="str">
        <f>T("2000 W MARINE VIEW DR")</f>
        <v>2000 W MARINE VIEW DR</v>
      </c>
      <c r="I10919" t="str">
        <f t="shared" si="3994"/>
        <v>EVERETT</v>
      </c>
      <c r="J10919" t="str">
        <f t="shared" si="3995"/>
        <v>WA</v>
      </c>
      <c r="K10919" t="str">
        <f>T("")</f>
        <v/>
      </c>
      <c r="L10919" t="str">
        <f>T("4253043131")</f>
        <v>4253043131</v>
      </c>
    </row>
    <row r="10920" spans="1:12" x14ac:dyDescent="0.35">
      <c r="A10920" t="str">
        <f t="shared" si="3991"/>
        <v>NAVY REGION NORTHWEST</v>
      </c>
      <c r="B10920" t="str">
        <f>T("NSE FORCE PROTECTION")</f>
        <v>NSE FORCE PROTECTION</v>
      </c>
      <c r="C10920" t="str">
        <f>T("2000 W MARINE VIEW DR")</f>
        <v>2000 W MARINE VIEW DR</v>
      </c>
      <c r="D10920" t="str">
        <f t="shared" si="3992"/>
        <v>EVERETT</v>
      </c>
      <c r="E10920" t="str">
        <f t="shared" si="3993"/>
        <v>WA</v>
      </c>
      <c r="F10920" t="str">
        <f t="shared" si="3996"/>
        <v>982070001</v>
      </c>
      <c r="G10920" t="str">
        <f>T("NSE SECURITY")</f>
        <v>NSE SECURITY</v>
      </c>
      <c r="H10920" t="str">
        <f>T("2000 W MARINE VIEW DR BLDG 2134")</f>
        <v>2000 W MARINE VIEW DR BLDG 2134</v>
      </c>
      <c r="I10920" t="str">
        <f t="shared" si="3994"/>
        <v>EVERETT</v>
      </c>
      <c r="J10920" t="str">
        <f t="shared" si="3995"/>
        <v>WA</v>
      </c>
      <c r="K10920" t="str">
        <f>T("000000000000000000")</f>
        <v>000000000000000000</v>
      </c>
      <c r="L10920" t="str">
        <f>T("4253043133")</f>
        <v>4253043133</v>
      </c>
    </row>
    <row r="10921" spans="1:12" x14ac:dyDescent="0.35">
      <c r="A10921" t="str">
        <f t="shared" si="3991"/>
        <v>NAVY REGION NORTHWEST</v>
      </c>
      <c r="B10921" t="str">
        <f>T("TPU PUGET SOUND")</f>
        <v>TPU PUGET SOUND</v>
      </c>
      <c r="C10921" t="str">
        <f>T("2019 BARB ST BLDG 2019")</f>
        <v>2019 BARB ST BLDG 2019</v>
      </c>
      <c r="D10921" t="str">
        <f>T("SILVERDALE")</f>
        <v>SILVERDALE</v>
      </c>
      <c r="E10921" t="str">
        <f t="shared" si="3993"/>
        <v>WA</v>
      </c>
      <c r="F10921" t="str">
        <f>T("983152005")</f>
        <v>983152005</v>
      </c>
      <c r="G10921" t="str">
        <f>T("NBK BANGOR TPU")</f>
        <v>NBK BANGOR TPU</v>
      </c>
      <c r="H10921" t="str">
        <f>T("2019 BARB ST")</f>
        <v>2019 BARB ST</v>
      </c>
      <c r="I10921" t="str">
        <f>T("SILVERDALE")</f>
        <v>SILVERDALE</v>
      </c>
      <c r="J10921" t="str">
        <f t="shared" si="3995"/>
        <v>WA</v>
      </c>
      <c r="K10921" t="str">
        <f>T("000000000000000000")</f>
        <v>000000000000000000</v>
      </c>
      <c r="L10921" t="str">
        <f>T("3603961893")</f>
        <v>3603961893</v>
      </c>
    </row>
    <row r="10922" spans="1:12" x14ac:dyDescent="0.35">
      <c r="A10922" t="str">
        <f t="shared" si="3991"/>
        <v>NAVY REGION NORTHWEST</v>
      </c>
      <c r="B10922" t="str">
        <f>T("TPU PUGET SOUND")</f>
        <v>TPU PUGET SOUND</v>
      </c>
      <c r="C10922" t="str">
        <f>T("2019 BARB ST BLDG 2019")</f>
        <v>2019 BARB ST BLDG 2019</v>
      </c>
      <c r="D10922" t="str">
        <f>T("SILVERDALE")</f>
        <v>SILVERDALE</v>
      </c>
      <c r="E10922" t="str">
        <f t="shared" si="3993"/>
        <v>WA</v>
      </c>
      <c r="F10922" t="str">
        <f>T("983152005")</f>
        <v>983152005</v>
      </c>
      <c r="G10922" t="str">
        <f>T("TPU BANGOR")</f>
        <v>TPU BANGOR</v>
      </c>
      <c r="H10922" t="str">
        <f>T("2019 BARB ST")</f>
        <v>2019 BARB ST</v>
      </c>
      <c r="I10922" t="str">
        <f>T("SILVERDALE")</f>
        <v>SILVERDALE</v>
      </c>
      <c r="J10922" t="str">
        <f t="shared" si="3995"/>
        <v>WA</v>
      </c>
      <c r="K10922" t="str">
        <f>T("000000000000000000")</f>
        <v>000000000000000000</v>
      </c>
      <c r="L10922" t="str">
        <f>T("3603961887")</f>
        <v>3603961887</v>
      </c>
    </row>
    <row r="10923" spans="1:12" x14ac:dyDescent="0.35">
      <c r="A10923" t="str">
        <f t="shared" si="3991"/>
        <v>NAVY REGION NORTHWEST</v>
      </c>
      <c r="B10923" t="str">
        <f>T("TPU PUGET SOUND")</f>
        <v>TPU PUGET SOUND</v>
      </c>
      <c r="C10923" t="str">
        <f>T("2019 BARB ST BLDG 2019")</f>
        <v>2019 BARB ST BLDG 2019</v>
      </c>
      <c r="D10923" t="str">
        <f>T("SILVERDALE")</f>
        <v>SILVERDALE</v>
      </c>
      <c r="E10923" t="str">
        <f t="shared" si="3993"/>
        <v>WA</v>
      </c>
      <c r="F10923" t="str">
        <f>T("983152005")</f>
        <v>983152005</v>
      </c>
      <c r="G10923" t="str">
        <f>T("TPU PUGET SOUND")</f>
        <v>TPU PUGET SOUND</v>
      </c>
      <c r="H10923" t="str">
        <f>T("2019 BARB ST BLDG 2019")</f>
        <v>2019 BARB ST BLDG 2019</v>
      </c>
      <c r="I10923" t="str">
        <f>T("SILVERDALE")</f>
        <v>SILVERDALE</v>
      </c>
      <c r="J10923" t="str">
        <f t="shared" si="3995"/>
        <v>WA</v>
      </c>
      <c r="K10923" t="str">
        <f>T("000000000000000000")</f>
        <v>000000000000000000</v>
      </c>
      <c r="L10923" t="str">
        <f>T("3603961891")</f>
        <v>3603961891</v>
      </c>
    </row>
    <row r="10924" spans="1:12" x14ac:dyDescent="0.35">
      <c r="A10924" t="str">
        <f>T("ATG NORFOLK")</f>
        <v>ATG NORFOLK</v>
      </c>
      <c r="B10924" t="str">
        <f>T("COMAFLOATRAGRU NORVA")</f>
        <v>COMAFLOATRAGRU NORVA</v>
      </c>
      <c r="C10924" t="str">
        <f>T("8952 1ST STREET BLDG CEP-183")</f>
        <v>8952 1ST STREET BLDG CEP-183</v>
      </c>
      <c r="D10924" t="str">
        <f>T("NORFOLK")</f>
        <v>NORFOLK</v>
      </c>
      <c r="E10924" t="str">
        <f>T("VA")</f>
        <v>VA</v>
      </c>
      <c r="F10924" t="str">
        <f>T("235113714")</f>
        <v>235113714</v>
      </c>
      <c r="G10924" t="str">
        <f>T("ATG NORFOLK")</f>
        <v>ATG NORFOLK</v>
      </c>
      <c r="H10924" t="str">
        <f>T("8952 FIRST ST CEP 183")</f>
        <v>8952 FIRST ST CEP 183</v>
      </c>
      <c r="I10924" t="str">
        <f>T("NORFOLK")</f>
        <v>NORFOLK</v>
      </c>
      <c r="J10924" t="str">
        <f>T("VA")</f>
        <v>VA</v>
      </c>
      <c r="K10924" t="str">
        <f>T("000000000000000000")</f>
        <v>000000000000000000</v>
      </c>
      <c r="L10924" t="str">
        <f>T("7574445817")</f>
        <v>7574445817</v>
      </c>
    </row>
    <row r="10925" spans="1:12" x14ac:dyDescent="0.35">
      <c r="A10925" t="str">
        <f>T("ATG NORFOLK")</f>
        <v>ATG NORFOLK</v>
      </c>
      <c r="B10925" t="str">
        <f>T("COMAFLOATRAGRU NORVA")</f>
        <v>COMAFLOATRAGRU NORVA</v>
      </c>
      <c r="C10925" t="str">
        <f>T("8952 1ST STREET BLDG CEP-183")</f>
        <v>8952 1ST STREET BLDG CEP-183</v>
      </c>
      <c r="D10925" t="str">
        <f>T("NORFOLK")</f>
        <v>NORFOLK</v>
      </c>
      <c r="E10925" t="str">
        <f>T("VA")</f>
        <v>VA</v>
      </c>
      <c r="F10925" t="str">
        <f>T("235113714")</f>
        <v>235113714</v>
      </c>
      <c r="G10925" t="str">
        <f>T("COMAFLOATRAGRU NORVA")</f>
        <v>COMAFLOATRAGRU NORVA</v>
      </c>
      <c r="H10925" t="str">
        <f>T("8952 1ST STREET BLDG CEP-183")</f>
        <v>8952 1ST STREET BLDG CEP-183</v>
      </c>
      <c r="I10925" t="str">
        <f>T("NORFOLK")</f>
        <v>NORFOLK</v>
      </c>
      <c r="J10925" t="str">
        <f>T("VA")</f>
        <v>VA</v>
      </c>
      <c r="K10925" t="str">
        <f>T("7574450985")</f>
        <v>7574450985</v>
      </c>
      <c r="L10925" t="str">
        <f>T("7574445610")</f>
        <v>7574445610</v>
      </c>
    </row>
    <row r="10926" spans="1:12" x14ac:dyDescent="0.35">
      <c r="A10926" t="str">
        <f>T("ATG NORFOLK")</f>
        <v>ATG NORFOLK</v>
      </c>
      <c r="B10926" t="str">
        <f>T("COMAFLOATRAGRU NORVA")</f>
        <v>COMAFLOATRAGRU NORVA</v>
      </c>
      <c r="C10926" t="str">
        <f>T("8952 1ST STREET BLDG CEP-183")</f>
        <v>8952 1ST STREET BLDG CEP-183</v>
      </c>
      <c r="D10926" t="str">
        <f>T("NORFOLK")</f>
        <v>NORFOLK</v>
      </c>
      <c r="E10926" t="str">
        <f>T("VA")</f>
        <v>VA</v>
      </c>
      <c r="F10926" t="str">
        <f>T("235113714")</f>
        <v>235113714</v>
      </c>
      <c r="G10926" t="str">
        <f>T("COMAFLOATTRAGRU NORFOLK")</f>
        <v>COMAFLOATTRAGRU NORFOLK</v>
      </c>
      <c r="H10926" t="str">
        <f>T("8952 FIRST ST CEP 183")</f>
        <v>8952 FIRST ST CEP 183</v>
      </c>
      <c r="I10926" t="str">
        <f>T("NORFOLK")</f>
        <v>NORFOLK</v>
      </c>
      <c r="J10926" t="str">
        <f>T("VA")</f>
        <v>VA</v>
      </c>
      <c r="K10926" t="str">
        <f>T("000000000000000000")</f>
        <v>000000000000000000</v>
      </c>
      <c r="L10926" t="str">
        <f>T("7574446737")</f>
        <v>7574446737</v>
      </c>
    </row>
    <row r="10927" spans="1:12" x14ac:dyDescent="0.35">
      <c r="A10927" t="str">
        <f>T("CNSS 14")</f>
        <v>CNSS 14</v>
      </c>
      <c r="B10927" t="str">
        <f>T("CNSS 14")</f>
        <v>CNSS 14</v>
      </c>
      <c r="C10927" t="str">
        <f>T("BONHOMME RICHARD ST BLDG 448")</f>
        <v>BONHOMME RICHARD ST BLDG 448</v>
      </c>
      <c r="D10927" t="str">
        <f>T("MAYPORT")</f>
        <v>MAYPORT</v>
      </c>
      <c r="E10927" t="str">
        <f>T("FL")</f>
        <v>FL</v>
      </c>
      <c r="F10927" t="str">
        <f>T("322280000")</f>
        <v>322280000</v>
      </c>
      <c r="G10927" t="str">
        <f>T("CNSS 14")</f>
        <v>CNSS 14</v>
      </c>
      <c r="H10927" t="str">
        <f>T("448 BON HOMME RICHARD ST BLDG 448")</f>
        <v>448 BON HOMME RICHARD ST BLDG 448</v>
      </c>
      <c r="I10927" t="str">
        <f>T("MAYPORT")</f>
        <v>MAYPORT</v>
      </c>
      <c r="J10927" t="str">
        <f>T("FL")</f>
        <v>FL</v>
      </c>
      <c r="K10927" t="str">
        <f>T("000000000000000000")</f>
        <v>000000000000000000</v>
      </c>
      <c r="L10927" t="str">
        <f>T("9042705801")</f>
        <v>9042705801</v>
      </c>
    </row>
    <row r="10928" spans="1:12" x14ac:dyDescent="0.35">
      <c r="A10928" t="str">
        <f>T("CNSS 14")</f>
        <v>CNSS 14</v>
      </c>
      <c r="B10928" t="str">
        <f>T("CNSS 14")</f>
        <v>CNSS 14</v>
      </c>
      <c r="C10928" t="str">
        <f>T("BONHOMME RICHARD ST BLDG 448")</f>
        <v>BONHOMME RICHARD ST BLDG 448</v>
      </c>
      <c r="D10928" t="str">
        <f>T("MAYPORT")</f>
        <v>MAYPORT</v>
      </c>
      <c r="E10928" t="str">
        <f>T("FL")</f>
        <v>FL</v>
      </c>
      <c r="F10928" t="str">
        <f>T("322280000")</f>
        <v>322280000</v>
      </c>
      <c r="G10928" t="str">
        <f>T("CNSS 14")</f>
        <v>CNSS 14</v>
      </c>
      <c r="H10928" t="str">
        <f>T("BONHOMME RICHARD ST BLDG 448")</f>
        <v>BONHOMME RICHARD ST BLDG 448</v>
      </c>
      <c r="I10928" t="str">
        <f>T("MAYPORT")</f>
        <v>MAYPORT</v>
      </c>
      <c r="J10928" t="str">
        <f>T("FL")</f>
        <v>FL</v>
      </c>
      <c r="K10928" t="str">
        <f>T("904-270-7006")</f>
        <v>904-270-7006</v>
      </c>
      <c r="L10928" t="str">
        <f>T("1111111111")</f>
        <v>1111111111</v>
      </c>
    </row>
    <row r="10929" spans="1:12" x14ac:dyDescent="0.35">
      <c r="A10929" t="str">
        <f t="shared" ref="A10929:B10931" si="3997">T("COMDESRON 22")</f>
        <v>COMDESRON 22</v>
      </c>
      <c r="B10929" t="str">
        <f t="shared" si="3997"/>
        <v>COMDESRON 22</v>
      </c>
      <c r="C10929" t="str">
        <f>T("9727 AVIONICS LOOP SUITE 100")</f>
        <v>9727 AVIONICS LOOP SUITE 100</v>
      </c>
      <c r="D10929" t="str">
        <f>T("NORFOLK")</f>
        <v>NORFOLK</v>
      </c>
      <c r="E10929" t="str">
        <f t="shared" ref="E10929:E10934" si="3998">T("VA")</f>
        <v>VA</v>
      </c>
      <c r="F10929" t="str">
        <f>T("235113731")</f>
        <v>235113731</v>
      </c>
      <c r="G10929" t="str">
        <f>T("COMDESRON 22")</f>
        <v>COMDESRON 22</v>
      </c>
      <c r="H10929" t="str">
        <f>T("9727 AVIONICS LOOP SUITE 100")</f>
        <v>9727 AVIONICS LOOP SUITE 100</v>
      </c>
      <c r="I10929" t="str">
        <f>T("NORFOLK")</f>
        <v>NORFOLK</v>
      </c>
      <c r="J10929" t="str">
        <f t="shared" ref="J10929:J10934" si="3999">T("VA")</f>
        <v>VA</v>
      </c>
      <c r="K10929" t="str">
        <f>T("000000000000000000")</f>
        <v>000000000000000000</v>
      </c>
      <c r="L10929" t="str">
        <f>T("7573414875")</f>
        <v>7573414875</v>
      </c>
    </row>
    <row r="10930" spans="1:12" x14ac:dyDescent="0.35">
      <c r="A10930" t="str">
        <f t="shared" si="3997"/>
        <v>COMDESRON 22</v>
      </c>
      <c r="B10930" t="str">
        <f t="shared" si="3997"/>
        <v>COMDESRON 22</v>
      </c>
      <c r="C10930" t="str">
        <f>T("9727 AVIONICS LOOP SUITE 100")</f>
        <v>9727 AVIONICS LOOP SUITE 100</v>
      </c>
      <c r="D10930" t="str">
        <f>T("NORFOLK")</f>
        <v>NORFOLK</v>
      </c>
      <c r="E10930" t="str">
        <f t="shared" si="3998"/>
        <v>VA</v>
      </c>
      <c r="F10930" t="str">
        <f>T("235113731")</f>
        <v>235113731</v>
      </c>
      <c r="G10930" t="str">
        <f>T("COMDESRON 22")</f>
        <v>COMDESRON 22</v>
      </c>
      <c r="H10930" t="str">
        <f>T("9727 AVIONICS LOOP SUITE 100")</f>
        <v>9727 AVIONICS LOOP SUITE 100</v>
      </c>
      <c r="I10930" t="str">
        <f>T("NORFOLK")</f>
        <v>NORFOLK</v>
      </c>
      <c r="J10930" t="str">
        <f t="shared" si="3999"/>
        <v>VA</v>
      </c>
      <c r="K10930" t="str">
        <f>T("7574442202")</f>
        <v>7574442202</v>
      </c>
      <c r="L10930" t="str">
        <f>T("7573414876")</f>
        <v>7573414876</v>
      </c>
    </row>
    <row r="10931" spans="1:12" x14ac:dyDescent="0.35">
      <c r="A10931" t="str">
        <f t="shared" si="3997"/>
        <v>COMDESRON 22</v>
      </c>
      <c r="B10931" t="str">
        <f t="shared" si="3997"/>
        <v>COMDESRON 22</v>
      </c>
      <c r="C10931" t="str">
        <f>T("9727 AVIONICS LOOP SUITE 100")</f>
        <v>9727 AVIONICS LOOP SUITE 100</v>
      </c>
      <c r="D10931" t="str">
        <f>T("NORFOLK")</f>
        <v>NORFOLK</v>
      </c>
      <c r="E10931" t="str">
        <f t="shared" si="3998"/>
        <v>VA</v>
      </c>
      <c r="F10931" t="str">
        <f>T("235113731")</f>
        <v>235113731</v>
      </c>
      <c r="G10931" t="str">
        <f>T("COMDESRON 22")</f>
        <v>COMDESRON 22</v>
      </c>
      <c r="H10931" t="str">
        <f>T("9727 AVONICS LOOP BLDG LF18")</f>
        <v>9727 AVONICS LOOP BLDG LF18</v>
      </c>
      <c r="I10931" t="str">
        <f>T("NORFOLK")</f>
        <v>NORFOLK</v>
      </c>
      <c r="J10931" t="str">
        <f t="shared" si="3999"/>
        <v>VA</v>
      </c>
      <c r="K10931" t="str">
        <f>T("000000000000000000")</f>
        <v>000000000000000000</v>
      </c>
      <c r="L10931" t="str">
        <f>T("7573414889")</f>
        <v>7573414889</v>
      </c>
    </row>
    <row r="10932" spans="1:12" x14ac:dyDescent="0.35">
      <c r="A10932" t="str">
        <f>T("TACRON 22")</f>
        <v>TACRON 22</v>
      </c>
      <c r="B10932" t="str">
        <f>T("TACRON")</f>
        <v>TACRON</v>
      </c>
      <c r="C10932" t="str">
        <f>T("2200 KNOW RD BLDG T-111")</f>
        <v>2200 KNOW RD BLDG T-111</v>
      </c>
      <c r="D10932" t="str">
        <f>T("VIRGINIA BEACH")</f>
        <v>VIRGINIA BEACH</v>
      </c>
      <c r="E10932" t="str">
        <f t="shared" si="3998"/>
        <v>VA</v>
      </c>
      <c r="F10932" t="str">
        <f>T("234598820")</f>
        <v>234598820</v>
      </c>
      <c r="G10932" t="str">
        <f>T("TACRON")</f>
        <v>TACRON</v>
      </c>
      <c r="H10932" t="str">
        <f>T("2200 KNOW RD BLDG T-111")</f>
        <v>2200 KNOW RD BLDG T-111</v>
      </c>
      <c r="I10932" t="str">
        <f>T("VIRGINIA BEACH")</f>
        <v>VIRGINIA BEACH</v>
      </c>
      <c r="J10932" t="str">
        <f t="shared" si="3999"/>
        <v>VA</v>
      </c>
      <c r="K10932" t="str">
        <f>T("7574628408")</f>
        <v>7574628408</v>
      </c>
      <c r="L10932" t="str">
        <f>T("7574623076")</f>
        <v>7574623076</v>
      </c>
    </row>
    <row r="10933" spans="1:12" x14ac:dyDescent="0.35">
      <c r="A10933" t="str">
        <f>T("TACRON 22")</f>
        <v>TACRON 22</v>
      </c>
      <c r="B10933" t="str">
        <f>T("TACRON")</f>
        <v>TACRON</v>
      </c>
      <c r="C10933" t="str">
        <f>T("2200 KNOW RD BLDG T-111")</f>
        <v>2200 KNOW RD BLDG T-111</v>
      </c>
      <c r="D10933" t="str">
        <f>T("VIRGINIA BEACH")</f>
        <v>VIRGINIA BEACH</v>
      </c>
      <c r="E10933" t="str">
        <f t="shared" si="3998"/>
        <v>VA</v>
      </c>
      <c r="F10933" t="str">
        <f>T("234598820")</f>
        <v>234598820</v>
      </c>
      <c r="G10933" t="str">
        <f>T("TACRON 22")</f>
        <v>TACRON 22</v>
      </c>
      <c r="H10933" t="str">
        <f>T("2200 KNOX RD BLDG T-111")</f>
        <v>2200 KNOX RD BLDG T-111</v>
      </c>
      <c r="I10933" t="str">
        <f>T("VIRGINIA BEACH")</f>
        <v>VIRGINIA BEACH</v>
      </c>
      <c r="J10933" t="str">
        <f t="shared" si="3999"/>
        <v>VA</v>
      </c>
      <c r="K10933" t="str">
        <f t="shared" ref="K10933:K10938" si="4000">T("000000000000000000")</f>
        <v>000000000000000000</v>
      </c>
      <c r="L10933" t="str">
        <f>T("7574623078")</f>
        <v>7574623078</v>
      </c>
    </row>
    <row r="10934" spans="1:12" x14ac:dyDescent="0.35">
      <c r="A10934" t="str">
        <f>T("TACRON 22")</f>
        <v>TACRON 22</v>
      </c>
      <c r="B10934" t="str">
        <f>T("TACRON")</f>
        <v>TACRON</v>
      </c>
      <c r="C10934" t="str">
        <f>T("2200 KNOW RD BLDG T-111")</f>
        <v>2200 KNOW RD BLDG T-111</v>
      </c>
      <c r="D10934" t="str">
        <f>T("VIRGINIA BEACH")</f>
        <v>VIRGINIA BEACH</v>
      </c>
      <c r="E10934" t="str">
        <f t="shared" si="3998"/>
        <v>VA</v>
      </c>
      <c r="F10934" t="str">
        <f>T("234598820")</f>
        <v>234598820</v>
      </c>
      <c r="G10934" t="str">
        <f>T("TACRON 22")</f>
        <v>TACRON 22</v>
      </c>
      <c r="H10934" t="str">
        <f>T("BLDG T-111 2200 KNOX ROAD")</f>
        <v>BLDG T-111 2200 KNOX ROAD</v>
      </c>
      <c r="I10934" t="str">
        <f>T("VIRGINIA BEACH")</f>
        <v>VIRGINIA BEACH</v>
      </c>
      <c r="J10934" t="str">
        <f t="shared" si="3999"/>
        <v>VA</v>
      </c>
      <c r="K10934" t="str">
        <f t="shared" si="4000"/>
        <v>000000000000000000</v>
      </c>
      <c r="L10934" t="str">
        <f>T("7574623073")</f>
        <v>7574623073</v>
      </c>
    </row>
    <row r="10935" spans="1:12" x14ac:dyDescent="0.35">
      <c r="A10935" t="str">
        <f>T("PC OPS MAYPORT")</f>
        <v>PC OPS MAYPORT</v>
      </c>
      <c r="B10935" t="str">
        <f>T("BLDG 448 BON HOMME RICHARD ROAD")</f>
        <v>BLDG 448 BON HOMME RICHARD ROAD</v>
      </c>
      <c r="C10935" t="str">
        <f>T("NAVAL STATION MAYPORT")</f>
        <v>NAVAL STATION MAYPORT</v>
      </c>
      <c r="D10935" t="str">
        <f>T("MAYPORT")</f>
        <v>MAYPORT</v>
      </c>
      <c r="E10935" t="str">
        <f>T("FL")</f>
        <v>FL</v>
      </c>
      <c r="F10935" t="str">
        <f>T("322280000")</f>
        <v>322280000</v>
      </c>
      <c r="G10935" t="str">
        <f>T("448 BONHOMME RICHARD STREET")</f>
        <v>448 BONHOMME RICHARD STREET</v>
      </c>
      <c r="H10935" t="str">
        <f>T("NAS MAYPORT")</f>
        <v>NAS MAYPORT</v>
      </c>
      <c r="I10935" t="str">
        <f>T("MAYPORT")</f>
        <v>MAYPORT</v>
      </c>
      <c r="J10935" t="str">
        <f>T("FL")</f>
        <v>FL</v>
      </c>
      <c r="K10935" t="str">
        <f t="shared" si="4000"/>
        <v>000000000000000000</v>
      </c>
      <c r="L10935" t="str">
        <f>T("9042706901")</f>
        <v>9042706901</v>
      </c>
    </row>
    <row r="10936" spans="1:12" x14ac:dyDescent="0.35">
      <c r="A10936" t="str">
        <f>T("PC OPS MAYPORT")</f>
        <v>PC OPS MAYPORT</v>
      </c>
      <c r="B10936" t="str">
        <f>T("BLDG 448 BON HOMME RICHARD ROAD")</f>
        <v>BLDG 448 BON HOMME RICHARD ROAD</v>
      </c>
      <c r="C10936" t="str">
        <f>T("NAVAL STATION MAYPORT")</f>
        <v>NAVAL STATION MAYPORT</v>
      </c>
      <c r="D10936" t="str">
        <f>T("MAYPORT")</f>
        <v>MAYPORT</v>
      </c>
      <c r="E10936" t="str">
        <f>T("FL")</f>
        <v>FL</v>
      </c>
      <c r="F10936" t="str">
        <f>T("322280000")</f>
        <v>322280000</v>
      </c>
      <c r="G10936" t="str">
        <f>T("BLDG 448 BON HOMME RICHARD ROAD")</f>
        <v>BLDG 448 BON HOMME RICHARD ROAD</v>
      </c>
      <c r="H10936" t="str">
        <f>T("NAVAL STATION MAYPORT")</f>
        <v>NAVAL STATION MAYPORT</v>
      </c>
      <c r="I10936" t="str">
        <f>T("MAYPORT")</f>
        <v>MAYPORT</v>
      </c>
      <c r="J10936" t="str">
        <f>T("FL")</f>
        <v>FL</v>
      </c>
      <c r="K10936" t="str">
        <f t="shared" si="4000"/>
        <v>000000000000000000</v>
      </c>
      <c r="L10936" t="str">
        <f>T("7578363168")</f>
        <v>7578363168</v>
      </c>
    </row>
    <row r="10937" spans="1:12" x14ac:dyDescent="0.35">
      <c r="A10937" t="str">
        <f>T("PC OPS MAYPORT")</f>
        <v>PC OPS MAYPORT</v>
      </c>
      <c r="B10937" t="str">
        <f>T("BLDG 448 BON HOMME RICHARD ROAD")</f>
        <v>BLDG 448 BON HOMME RICHARD ROAD</v>
      </c>
      <c r="C10937" t="str">
        <f>T("NAVAL STATION MAYPORT")</f>
        <v>NAVAL STATION MAYPORT</v>
      </c>
      <c r="D10937" t="str">
        <f>T("MAYPORT")</f>
        <v>MAYPORT</v>
      </c>
      <c r="E10937" t="str">
        <f>T("FL")</f>
        <v>FL</v>
      </c>
      <c r="F10937" t="str">
        <f>T("322280000")</f>
        <v>322280000</v>
      </c>
      <c r="G10937" t="str">
        <f>T("PC OPS MAYPORT ATTN PETE TORRES")</f>
        <v>PC OPS MAYPORT ATTN PETE TORRES</v>
      </c>
      <c r="H10937" t="str">
        <f>T("448 BON HOMME RICHARD STREET")</f>
        <v>448 BON HOMME RICHARD STREET</v>
      </c>
      <c r="I10937" t="str">
        <f>T("MAYPORT")</f>
        <v>MAYPORT</v>
      </c>
      <c r="J10937" t="str">
        <f>T("FL")</f>
        <v>FL</v>
      </c>
      <c r="K10937" t="str">
        <f t="shared" si="4000"/>
        <v>000000000000000000</v>
      </c>
      <c r="L10937" t="str">
        <f>T("9042706901")</f>
        <v>9042706901</v>
      </c>
    </row>
    <row r="10938" spans="1:12" x14ac:dyDescent="0.35">
      <c r="A10938" t="str">
        <f>T("USS WHIDBEY ISL LSD-41")</f>
        <v>USS WHIDBEY ISL LSD-41</v>
      </c>
      <c r="B10938" t="str">
        <f>T("USS WHIDBEY ISLAND LSD-41")</f>
        <v>USS WHIDBEY ISLAND LSD-41</v>
      </c>
      <c r="C10938" t="str">
        <f>T("UNIT 100243 BOX 1")</f>
        <v>UNIT 100243 BOX 1</v>
      </c>
      <c r="D10938" t="str">
        <f t="shared" ref="D10938:D10969" si="4001">T("FPO")</f>
        <v>FPO</v>
      </c>
      <c r="E10938" t="str">
        <f>T("AE")</f>
        <v>AE</v>
      </c>
      <c r="F10938" t="str">
        <f>T("095914300")</f>
        <v>095914300</v>
      </c>
      <c r="G10938" t="str">
        <f>T("USS WHIDBEY ISLAND LSD 41")</f>
        <v>USS WHIDBEY ISLAND LSD 41</v>
      </c>
      <c r="H10938" t="str">
        <f>T("UNIT 100243 BOX 1")</f>
        <v>UNIT 100243 BOX 1</v>
      </c>
      <c r="I10938" t="str">
        <f t="shared" ref="I10938:I10947" si="4002">T("FPO")</f>
        <v>FPO</v>
      </c>
      <c r="J10938" t="str">
        <f>T("AE")</f>
        <v>AE</v>
      </c>
      <c r="K10938" t="str">
        <f t="shared" si="4000"/>
        <v>000000000000000000</v>
      </c>
      <c r="L10938" t="str">
        <f>T("7574627256")</f>
        <v>7574627256</v>
      </c>
    </row>
    <row r="10939" spans="1:12" x14ac:dyDescent="0.35">
      <c r="A10939" t="str">
        <f>T("USS WHIDBEY ISL LSD-41")</f>
        <v>USS WHIDBEY ISL LSD-41</v>
      </c>
      <c r="B10939" t="str">
        <f>T("USS WHIDBEY ISLAND LSD-41")</f>
        <v>USS WHIDBEY ISLAND LSD-41</v>
      </c>
      <c r="C10939" t="str">
        <f>T("UNIT 100243 BOX 1")</f>
        <v>UNIT 100243 BOX 1</v>
      </c>
      <c r="D10939" t="str">
        <f t="shared" si="4001"/>
        <v>FPO</v>
      </c>
      <c r="E10939" t="str">
        <f>T("AE")</f>
        <v>AE</v>
      </c>
      <c r="F10939" t="str">
        <f>T("095914300")</f>
        <v>095914300</v>
      </c>
      <c r="G10939" t="str">
        <f>T("USS WHIDBEY ISLAND LSD-41")</f>
        <v>USS WHIDBEY ISLAND LSD-41</v>
      </c>
      <c r="H10939" t="str">
        <f>T("UNIT 100243 BOX 1")</f>
        <v>UNIT 100243 BOX 1</v>
      </c>
      <c r="I10939" t="str">
        <f t="shared" si="4002"/>
        <v>FPO</v>
      </c>
      <c r="J10939" t="str">
        <f>T("AE")</f>
        <v>AE</v>
      </c>
      <c r="K10939" t="str">
        <f>T("")</f>
        <v/>
      </c>
      <c r="L10939" t="str">
        <f>T("7574627474")</f>
        <v>7574627474</v>
      </c>
    </row>
    <row r="10940" spans="1:12" x14ac:dyDescent="0.35">
      <c r="A10940" t="str">
        <f>T("USS WHIDBEY ISL LSD-41")</f>
        <v>USS WHIDBEY ISL LSD-41</v>
      </c>
      <c r="B10940" t="str">
        <f>T("USS WHIDBEY ISLAND LSD-41")</f>
        <v>USS WHIDBEY ISLAND LSD-41</v>
      </c>
      <c r="C10940" t="str">
        <f>T("UNIT 100243 BOX 1")</f>
        <v>UNIT 100243 BOX 1</v>
      </c>
      <c r="D10940" t="str">
        <f t="shared" si="4001"/>
        <v>FPO</v>
      </c>
      <c r="E10940" t="str">
        <f>T("AE")</f>
        <v>AE</v>
      </c>
      <c r="F10940" t="str">
        <f>T("095914300")</f>
        <v>095914300</v>
      </c>
      <c r="G10940" t="str">
        <f>T("USS WHIDBEY ISLAND LSD41")</f>
        <v>USS WHIDBEY ISLAND LSD41</v>
      </c>
      <c r="H10940" t="str">
        <f>T("UNIT 100243 BOX 1")</f>
        <v>UNIT 100243 BOX 1</v>
      </c>
      <c r="I10940" t="str">
        <f t="shared" si="4002"/>
        <v>FPO</v>
      </c>
      <c r="J10940" t="str">
        <f>T("AE")</f>
        <v>AE</v>
      </c>
      <c r="K10940" t="str">
        <f>T("000000000000000000")</f>
        <v>000000000000000000</v>
      </c>
      <c r="L10940" t="str">
        <f>T("7574627256")</f>
        <v>7574627256</v>
      </c>
    </row>
    <row r="10941" spans="1:12" x14ac:dyDescent="0.35">
      <c r="A10941" t="str">
        <f>T("ZZ DELETE")</f>
        <v>ZZ DELETE</v>
      </c>
      <c r="B10941" t="str">
        <f>T("USS SIMPSON FFG 56")</f>
        <v>USS SIMPSON FFG 56</v>
      </c>
      <c r="C10941" t="str">
        <f>T("SUPPLY DEPT")</f>
        <v>SUPPLY DEPT</v>
      </c>
      <c r="D10941" t="str">
        <f t="shared" si="4001"/>
        <v>FPO</v>
      </c>
      <c r="E10941" t="str">
        <f>T("AA")</f>
        <v>AA</v>
      </c>
      <c r="F10941" t="str">
        <f>T("340930000")</f>
        <v>340930000</v>
      </c>
      <c r="G10941" t="str">
        <f>T("USS SIMPSON FFG 56")</f>
        <v>USS SIMPSON FFG 56</v>
      </c>
      <c r="H10941" t="str">
        <f>T("SUPPLY DEPT")</f>
        <v>SUPPLY DEPT</v>
      </c>
      <c r="I10941" t="str">
        <f t="shared" si="4002"/>
        <v>FPO</v>
      </c>
      <c r="J10941" t="str">
        <f>T("AA")</f>
        <v>AA</v>
      </c>
      <c r="K10941" t="str">
        <f>T("")</f>
        <v/>
      </c>
      <c r="L10941" t="str">
        <f>T("9042706274")</f>
        <v>9042706274</v>
      </c>
    </row>
    <row r="10942" spans="1:12" x14ac:dyDescent="0.35">
      <c r="A10942" t="str">
        <f>T("USS LEYTE GULF CG-55")</f>
        <v>USS LEYTE GULF CG-55</v>
      </c>
      <c r="B10942" t="str">
        <f>T("USS LEYTE GULF CG-55")</f>
        <v>USS LEYTE GULF CG-55</v>
      </c>
      <c r="C10942" t="str">
        <f>T("UNIT 100253 BOX 1")</f>
        <v>UNIT 100253 BOX 1</v>
      </c>
      <c r="D10942" t="str">
        <f t="shared" si="4001"/>
        <v>FPO</v>
      </c>
      <c r="E10942" t="str">
        <f t="shared" ref="E10942:E10947" si="4003">T("AE")</f>
        <v>AE</v>
      </c>
      <c r="F10942" t="str">
        <f>T("095705300")</f>
        <v>095705300</v>
      </c>
      <c r="G10942" t="str">
        <f>T("USS LEYTE GULF CG 55")</f>
        <v>USS LEYTE GULF CG 55</v>
      </c>
      <c r="H10942" t="str">
        <f>T("UNIT 100253 BOX 1")</f>
        <v>UNIT 100253 BOX 1</v>
      </c>
      <c r="I10942" t="str">
        <f t="shared" si="4002"/>
        <v>FPO</v>
      </c>
      <c r="J10942" t="str">
        <f t="shared" ref="J10942:J10947" si="4004">T("AE")</f>
        <v>AE</v>
      </c>
      <c r="K10942" t="str">
        <f>T("000000000000000000")</f>
        <v>000000000000000000</v>
      </c>
      <c r="L10942" t="str">
        <f>T("7574444884")</f>
        <v>7574444884</v>
      </c>
    </row>
    <row r="10943" spans="1:12" x14ac:dyDescent="0.35">
      <c r="A10943" t="str">
        <f>T("USS LEYTE GULF CG-55")</f>
        <v>USS LEYTE GULF CG-55</v>
      </c>
      <c r="B10943" t="str">
        <f>T("USS LEYTE GULF CG-55")</f>
        <v>USS LEYTE GULF CG-55</v>
      </c>
      <c r="C10943" t="str">
        <f>T("UNIT 100253 BOX 1")</f>
        <v>UNIT 100253 BOX 1</v>
      </c>
      <c r="D10943" t="str">
        <f t="shared" si="4001"/>
        <v>FPO</v>
      </c>
      <c r="E10943" t="str">
        <f t="shared" si="4003"/>
        <v>AE</v>
      </c>
      <c r="F10943" t="str">
        <f>T("095705300")</f>
        <v>095705300</v>
      </c>
      <c r="G10943" t="str">
        <f>T("USS LEYTE GULF CG-55")</f>
        <v>USS LEYTE GULF CG-55</v>
      </c>
      <c r="H10943" t="str">
        <f>T("UNIT 100253 BOX 1")</f>
        <v>UNIT 100253 BOX 1</v>
      </c>
      <c r="I10943" t="str">
        <f t="shared" si="4002"/>
        <v>FPO</v>
      </c>
      <c r="J10943" t="str">
        <f t="shared" si="4004"/>
        <v>AE</v>
      </c>
      <c r="K10943" t="str">
        <f>T("")</f>
        <v/>
      </c>
      <c r="L10943" t="str">
        <f>T("7574444884")</f>
        <v>7574444884</v>
      </c>
    </row>
    <row r="10944" spans="1:12" x14ac:dyDescent="0.35">
      <c r="A10944" t="str">
        <f>T("USS SAN JACINTO CG 56")</f>
        <v>USS SAN JACINTO CG 56</v>
      </c>
      <c r="B10944" t="str">
        <f>T("USS SAN JACINTO CG-56")</f>
        <v>USS SAN JACINTO CG-56</v>
      </c>
      <c r="C10944" t="str">
        <f>T("UNIT 100254 BOX 229")</f>
        <v>UNIT 100254 BOX 229</v>
      </c>
      <c r="D10944" t="str">
        <f t="shared" si="4001"/>
        <v>FPO</v>
      </c>
      <c r="E10944" t="str">
        <f t="shared" si="4003"/>
        <v>AE</v>
      </c>
      <c r="F10944" t="str">
        <f>T("095875402")</f>
        <v>095875402</v>
      </c>
      <c r="G10944" t="str">
        <f>T("USS SAN JACINTO CG-56")</f>
        <v>USS SAN JACINTO CG-56</v>
      </c>
      <c r="H10944" t="str">
        <f>T("UNIT 100254 BOX 229")</f>
        <v>UNIT 100254 BOX 229</v>
      </c>
      <c r="I10944" t="str">
        <f t="shared" si="4002"/>
        <v>FPO</v>
      </c>
      <c r="J10944" t="str">
        <f t="shared" si="4004"/>
        <v>AE</v>
      </c>
      <c r="K10944" t="str">
        <f>T("7574646263")</f>
        <v>7574646263</v>
      </c>
      <c r="L10944" t="str">
        <f>T("7574456263")</f>
        <v>7574456263</v>
      </c>
    </row>
    <row r="10945" spans="1:12" x14ac:dyDescent="0.35">
      <c r="A10945" t="str">
        <f>T("USS SAN JACINTO CG 56")</f>
        <v>USS SAN JACINTO CG 56</v>
      </c>
      <c r="B10945" t="str">
        <f>T("USS SAN JACINTO CG-56")</f>
        <v>USS SAN JACINTO CG-56</v>
      </c>
      <c r="C10945" t="str">
        <f>T("UNIT 100254 BOX 229")</f>
        <v>UNIT 100254 BOX 229</v>
      </c>
      <c r="D10945" t="str">
        <f t="shared" si="4001"/>
        <v>FPO</v>
      </c>
      <c r="E10945" t="str">
        <f t="shared" si="4003"/>
        <v>AE</v>
      </c>
      <c r="F10945" t="str">
        <f>T("095875402")</f>
        <v>095875402</v>
      </c>
      <c r="G10945" t="str">
        <f>T("USS SAN JACINTO CG56")</f>
        <v>USS SAN JACINTO CG56</v>
      </c>
      <c r="H10945" t="str">
        <f>T("UNIT 100254 BOX 1")</f>
        <v>UNIT 100254 BOX 1</v>
      </c>
      <c r="I10945" t="str">
        <f t="shared" si="4002"/>
        <v>FPO</v>
      </c>
      <c r="J10945" t="str">
        <f t="shared" si="4004"/>
        <v>AE</v>
      </c>
      <c r="K10945" t="str">
        <f>T("000000000000000000")</f>
        <v>000000000000000000</v>
      </c>
      <c r="L10945" t="str">
        <f>T("7574443069")</f>
        <v>7574443069</v>
      </c>
    </row>
    <row r="10946" spans="1:12" x14ac:dyDescent="0.35">
      <c r="A10946" t="str">
        <f>T("USS SAN JACINTO CG 56")</f>
        <v>USS SAN JACINTO CG 56</v>
      </c>
      <c r="B10946" t="str">
        <f>T("USS SAN JACINTO CG-56")</f>
        <v>USS SAN JACINTO CG-56</v>
      </c>
      <c r="C10946" t="str">
        <f>T("UNIT 100254 BOX 229")</f>
        <v>UNIT 100254 BOX 229</v>
      </c>
      <c r="D10946" t="str">
        <f t="shared" si="4001"/>
        <v>FPO</v>
      </c>
      <c r="E10946" t="str">
        <f t="shared" si="4003"/>
        <v>AE</v>
      </c>
      <c r="F10946" t="str">
        <f>T("095875402")</f>
        <v>095875402</v>
      </c>
      <c r="G10946" t="str">
        <f>T("USS SAN JACINTO CG56")</f>
        <v>USS SAN JACINTO CG56</v>
      </c>
      <c r="H10946" t="str">
        <f>T("UNIT 100254 BOX 1")</f>
        <v>UNIT 100254 BOX 1</v>
      </c>
      <c r="I10946" t="str">
        <f t="shared" si="4002"/>
        <v>FPO</v>
      </c>
      <c r="J10946" t="str">
        <f t="shared" si="4004"/>
        <v>AE</v>
      </c>
      <c r="K10946" t="str">
        <f>T("000000000000000000")</f>
        <v>000000000000000000</v>
      </c>
      <c r="L10946" t="str">
        <f>T("7574456263")</f>
        <v>7574456263</v>
      </c>
    </row>
    <row r="10947" spans="1:12" x14ac:dyDescent="0.35">
      <c r="A10947" t="str">
        <f>T("ZZ DELETE")</f>
        <v>ZZ DELETE</v>
      </c>
      <c r="B10947" t="str">
        <f>T("USS KAUFFMAN FFG 59")</f>
        <v>USS KAUFFMAN FFG 59</v>
      </c>
      <c r="C10947" t="str">
        <f>T("UNIT 100251 BOX 1")</f>
        <v>UNIT 100251 BOX 1</v>
      </c>
      <c r="D10947" t="str">
        <f t="shared" si="4001"/>
        <v>FPO</v>
      </c>
      <c r="E10947" t="str">
        <f t="shared" si="4003"/>
        <v>AE</v>
      </c>
      <c r="F10947" t="str">
        <f>T("095761513")</f>
        <v>095761513</v>
      </c>
      <c r="G10947" t="str">
        <f>T("USS KAUFFMAN FFG 59")</f>
        <v>USS KAUFFMAN FFG 59</v>
      </c>
      <c r="H10947" t="str">
        <f>T("UNIT 100251 BOX 1")</f>
        <v>UNIT 100251 BOX 1</v>
      </c>
      <c r="I10947" t="str">
        <f t="shared" si="4002"/>
        <v>FPO</v>
      </c>
      <c r="J10947" t="str">
        <f t="shared" si="4004"/>
        <v>AE</v>
      </c>
      <c r="K10947" t="str">
        <f>T("")</f>
        <v/>
      </c>
      <c r="L10947" t="str">
        <f>T("7574456256")</f>
        <v>7574456256</v>
      </c>
    </row>
    <row r="10948" spans="1:12" x14ac:dyDescent="0.35">
      <c r="A10948" t="str">
        <f>T("USS FORT MCHENRY")</f>
        <v>USS FORT MCHENRY</v>
      </c>
      <c r="B10948" t="str">
        <f>T("USS FT MCHENRY LSD-43")</f>
        <v>USS FT MCHENRY LSD-43</v>
      </c>
      <c r="C10948" t="str">
        <f>T("UNIT 100252 BOX 1")</f>
        <v>UNIT 100252 BOX 1</v>
      </c>
      <c r="D10948" t="str">
        <f t="shared" si="4001"/>
        <v>FPO</v>
      </c>
      <c r="E10948" t="str">
        <f>T("AA")</f>
        <v>AA</v>
      </c>
      <c r="F10948" t="str">
        <f>T("340911731")</f>
        <v>340911731</v>
      </c>
      <c r="G10948" t="str">
        <f>T("BLDG 448 BONHOMME STREET")</f>
        <v>BLDG 448 BONHOMME STREET</v>
      </c>
      <c r="H10948" t="str">
        <f>T("ATTN PETE TORRES")</f>
        <v>ATTN PETE TORRES</v>
      </c>
      <c r="I10948" t="str">
        <f>T("MAYPORT")</f>
        <v>MAYPORT</v>
      </c>
      <c r="J10948" t="str">
        <f>T("FL")</f>
        <v>FL</v>
      </c>
      <c r="K10948" t="str">
        <f>T("000000000000000000")</f>
        <v>000000000000000000</v>
      </c>
      <c r="L10948" t="str">
        <f>T("9042706286")</f>
        <v>9042706286</v>
      </c>
    </row>
    <row r="10949" spans="1:12" x14ac:dyDescent="0.35">
      <c r="A10949" t="str">
        <f>T("USS FORT MCHENRY")</f>
        <v>USS FORT MCHENRY</v>
      </c>
      <c r="B10949" t="str">
        <f>T("USS FT MCHENRY LSD-43")</f>
        <v>USS FT MCHENRY LSD-43</v>
      </c>
      <c r="C10949" t="str">
        <f>T("UNIT 100252 BOX 1")</f>
        <v>UNIT 100252 BOX 1</v>
      </c>
      <c r="D10949" t="str">
        <f t="shared" si="4001"/>
        <v>FPO</v>
      </c>
      <c r="E10949" t="str">
        <f>T("AA")</f>
        <v>AA</v>
      </c>
      <c r="F10949" t="str">
        <f>T("340911731")</f>
        <v>340911731</v>
      </c>
      <c r="G10949" t="str">
        <f>T("USS FT MCHENRY LSD-43")</f>
        <v>USS FT MCHENRY LSD-43</v>
      </c>
      <c r="H10949" t="str">
        <f>T("UNIT 100252 BOX 1")</f>
        <v>UNIT 100252 BOX 1</v>
      </c>
      <c r="I10949" t="str">
        <f>T("FPO")</f>
        <v>FPO</v>
      </c>
      <c r="J10949" t="str">
        <f>T("AA")</f>
        <v>AA</v>
      </c>
      <c r="K10949" t="str">
        <f>T("7574627115")</f>
        <v>7574627115</v>
      </c>
      <c r="L10949" t="str">
        <f>T("9042708268")</f>
        <v>9042708268</v>
      </c>
    </row>
    <row r="10950" spans="1:12" x14ac:dyDescent="0.35">
      <c r="A10950" t="str">
        <f>T("USS FORT MCHENRY")</f>
        <v>USS FORT MCHENRY</v>
      </c>
      <c r="B10950" t="str">
        <f>T("USS FT MCHENRY LSD-43")</f>
        <v>USS FT MCHENRY LSD-43</v>
      </c>
      <c r="C10950" t="str">
        <f>T("UNIT 100252 BOX 1")</f>
        <v>UNIT 100252 BOX 1</v>
      </c>
      <c r="D10950" t="str">
        <f t="shared" si="4001"/>
        <v>FPO</v>
      </c>
      <c r="E10950" t="str">
        <f>T("AA")</f>
        <v>AA</v>
      </c>
      <c r="F10950" t="str">
        <f>T("340911731")</f>
        <v>340911731</v>
      </c>
      <c r="G10950" t="str">
        <f>T("USS FT MCHENRY LSD43")</f>
        <v>USS FT MCHENRY LSD43</v>
      </c>
      <c r="H10950" t="str">
        <f>T("BLDG 448 BONHOMME RRICHARD STREET")</f>
        <v>BLDG 448 BONHOMME RRICHARD STREET</v>
      </c>
      <c r="I10950" t="str">
        <f>T("MAYPORT")</f>
        <v>MAYPORT</v>
      </c>
      <c r="J10950" t="str">
        <f>T("FL")</f>
        <v>FL</v>
      </c>
      <c r="K10950" t="str">
        <f>T("000000000000000000")</f>
        <v>000000000000000000</v>
      </c>
      <c r="L10950" t="str">
        <f>T("9042706826")</f>
        <v>9042706826</v>
      </c>
    </row>
    <row r="10951" spans="1:12" x14ac:dyDescent="0.35">
      <c r="A10951" t="str">
        <f t="shared" ref="A10951:B10953" si="4005">T("USS GUNSTON HALL LSD 44")</f>
        <v>USS GUNSTON HALL LSD 44</v>
      </c>
      <c r="B10951" t="str">
        <f t="shared" si="4005"/>
        <v>USS GUNSTON HALL LSD 44</v>
      </c>
      <c r="C10951" t="str">
        <f>T("UNIT 100259 BOX 1")</f>
        <v>UNIT 100259 BOX 1</v>
      </c>
      <c r="D10951" t="str">
        <f t="shared" si="4001"/>
        <v>FPO</v>
      </c>
      <c r="E10951" t="str">
        <f t="shared" ref="E10951:E10962" si="4006">T("AE")</f>
        <v>AE</v>
      </c>
      <c r="F10951" t="str">
        <f>T("095735900")</f>
        <v>095735900</v>
      </c>
      <c r="G10951" t="str">
        <f>T("USS GUNSTON HALL LSD 44")</f>
        <v>USS GUNSTON HALL LSD 44</v>
      </c>
      <c r="H10951" t="str">
        <f>T("UNIT 100259 BOX 1")</f>
        <v>UNIT 100259 BOX 1</v>
      </c>
      <c r="I10951" t="str">
        <f t="shared" ref="I10951:I10963" si="4007">T("FPO")</f>
        <v>FPO</v>
      </c>
      <c r="J10951" t="str">
        <f t="shared" ref="J10951:J10962" si="4008">T("AE")</f>
        <v>AE</v>
      </c>
      <c r="K10951" t="str">
        <f>T("")</f>
        <v/>
      </c>
      <c r="L10951" t="str">
        <f>T("7574627491")</f>
        <v>7574627491</v>
      </c>
    </row>
    <row r="10952" spans="1:12" x14ac:dyDescent="0.35">
      <c r="A10952" t="str">
        <f t="shared" si="4005"/>
        <v>USS GUNSTON HALL LSD 44</v>
      </c>
      <c r="B10952" t="str">
        <f t="shared" si="4005"/>
        <v>USS GUNSTON HALL LSD 44</v>
      </c>
      <c r="C10952" t="str">
        <f>T("UNIT 100259 BOX 1")</f>
        <v>UNIT 100259 BOX 1</v>
      </c>
      <c r="D10952" t="str">
        <f t="shared" si="4001"/>
        <v>FPO</v>
      </c>
      <c r="E10952" t="str">
        <f t="shared" si="4006"/>
        <v>AE</v>
      </c>
      <c r="F10952" t="str">
        <f>T("095735900")</f>
        <v>095735900</v>
      </c>
      <c r="G10952" t="str">
        <f>T("USS GUNSTON HALL LSD 44")</f>
        <v>USS GUNSTON HALL LSD 44</v>
      </c>
      <c r="H10952" t="str">
        <f>T("UNIT 100259 BOX 1")</f>
        <v>UNIT 100259 BOX 1</v>
      </c>
      <c r="I10952" t="str">
        <f t="shared" si="4007"/>
        <v>FPO</v>
      </c>
      <c r="J10952" t="str">
        <f t="shared" si="4008"/>
        <v>AE</v>
      </c>
      <c r="K10952" t="str">
        <f>T("000000000000000000")</f>
        <v>000000000000000000</v>
      </c>
      <c r="L10952" t="str">
        <f>T("7574438495")</f>
        <v>7574438495</v>
      </c>
    </row>
    <row r="10953" spans="1:12" x14ac:dyDescent="0.35">
      <c r="A10953" t="str">
        <f t="shared" si="4005"/>
        <v>USS GUNSTON HALL LSD 44</v>
      </c>
      <c r="B10953" t="str">
        <f t="shared" si="4005"/>
        <v>USS GUNSTON HALL LSD 44</v>
      </c>
      <c r="C10953" t="str">
        <f>T("UNIT 100259 BOX 1")</f>
        <v>UNIT 100259 BOX 1</v>
      </c>
      <c r="D10953" t="str">
        <f t="shared" si="4001"/>
        <v>FPO</v>
      </c>
      <c r="E10953" t="str">
        <f t="shared" si="4006"/>
        <v>AE</v>
      </c>
      <c r="F10953" t="str">
        <f>T("095735900")</f>
        <v>095735900</v>
      </c>
      <c r="G10953" t="str">
        <f>T("USS GUSTON HALL LSD44")</f>
        <v>USS GUSTON HALL LSD44</v>
      </c>
      <c r="H10953" t="str">
        <f>T("SUPPLY OFFICER")</f>
        <v>SUPPLY OFFICER</v>
      </c>
      <c r="I10953" t="str">
        <f t="shared" si="4007"/>
        <v>FPO</v>
      </c>
      <c r="J10953" t="str">
        <f t="shared" si="4008"/>
        <v>AE</v>
      </c>
      <c r="K10953" t="str">
        <f>T("000000000000000000")</f>
        <v>000000000000000000</v>
      </c>
      <c r="L10953" t="str">
        <f>T("7574438495")</f>
        <v>7574438495</v>
      </c>
    </row>
    <row r="10954" spans="1:12" x14ac:dyDescent="0.35">
      <c r="A10954" t="str">
        <f>T("USS NORMANDY CG 60")</f>
        <v>USS NORMANDY CG 60</v>
      </c>
      <c r="B10954" t="str">
        <f>T("USS NORMANDY CG-60")</f>
        <v>USS NORMANDY CG-60</v>
      </c>
      <c r="C10954" t="str">
        <f>T("UNIT 100263 BOX 1")</f>
        <v>UNIT 100263 BOX 1</v>
      </c>
      <c r="D10954" t="str">
        <f t="shared" si="4001"/>
        <v>FPO</v>
      </c>
      <c r="E10954" t="str">
        <f t="shared" si="4006"/>
        <v>AE</v>
      </c>
      <c r="F10954" t="str">
        <f>T("095796300")</f>
        <v>095796300</v>
      </c>
      <c r="G10954" t="str">
        <f>T("USS NORMANDY CG-60")</f>
        <v>USS NORMANDY CG-60</v>
      </c>
      <c r="H10954" t="str">
        <f>T("UNIT 100263 BOX 1")</f>
        <v>UNIT 100263 BOX 1</v>
      </c>
      <c r="I10954" t="str">
        <f t="shared" si="4007"/>
        <v>FPO</v>
      </c>
      <c r="J10954" t="str">
        <f t="shared" si="4008"/>
        <v>AE</v>
      </c>
      <c r="K10954" t="str">
        <f>T("7574444742")</f>
        <v>7574444742</v>
      </c>
      <c r="L10954" t="str">
        <f>T("7574444742")</f>
        <v>7574444742</v>
      </c>
    </row>
    <row r="10955" spans="1:12" x14ac:dyDescent="0.35">
      <c r="A10955" t="str">
        <f>T("USS NORMANDY CG 60")</f>
        <v>USS NORMANDY CG 60</v>
      </c>
      <c r="B10955" t="str">
        <f>T("USS NORMANDY CG-60")</f>
        <v>USS NORMANDY CG-60</v>
      </c>
      <c r="C10955" t="str">
        <f>T("UNIT 100263 BOX 1")</f>
        <v>UNIT 100263 BOX 1</v>
      </c>
      <c r="D10955" t="str">
        <f t="shared" si="4001"/>
        <v>FPO</v>
      </c>
      <c r="E10955" t="str">
        <f t="shared" si="4006"/>
        <v>AE</v>
      </c>
      <c r="F10955" t="str">
        <f>T("095796300")</f>
        <v>095796300</v>
      </c>
      <c r="G10955" t="str">
        <f>T("USS NORMANDY CG60")</f>
        <v>USS NORMANDY CG60</v>
      </c>
      <c r="H10955" t="str">
        <f>T("SUPPLY DEPT")</f>
        <v>SUPPLY DEPT</v>
      </c>
      <c r="I10955" t="str">
        <f t="shared" si="4007"/>
        <v>FPO</v>
      </c>
      <c r="J10955" t="str">
        <f t="shared" si="4008"/>
        <v>AE</v>
      </c>
      <c r="K10955" t="str">
        <f>T("000000000000000000")</f>
        <v>000000000000000000</v>
      </c>
      <c r="L10955" t="str">
        <f>T("7574444742")</f>
        <v>7574444742</v>
      </c>
    </row>
    <row r="10956" spans="1:12" x14ac:dyDescent="0.35">
      <c r="A10956" t="str">
        <f>T("USS NORMANDY CG 60")</f>
        <v>USS NORMANDY CG 60</v>
      </c>
      <c r="B10956" t="str">
        <f>T("USS NORMANDY CG-60")</f>
        <v>USS NORMANDY CG-60</v>
      </c>
      <c r="C10956" t="str">
        <f>T("UNIT 100263 BOX 1")</f>
        <v>UNIT 100263 BOX 1</v>
      </c>
      <c r="D10956" t="str">
        <f t="shared" si="4001"/>
        <v>FPO</v>
      </c>
      <c r="E10956" t="str">
        <f t="shared" si="4006"/>
        <v>AE</v>
      </c>
      <c r="F10956" t="str">
        <f>T("095796300")</f>
        <v>095796300</v>
      </c>
      <c r="G10956" t="str">
        <f>T("USS NORMANDY CG60")</f>
        <v>USS NORMANDY CG60</v>
      </c>
      <c r="H10956" t="str">
        <f>T("UNIT 100263 BOX 1")</f>
        <v>UNIT 100263 BOX 1</v>
      </c>
      <c r="I10956" t="str">
        <f t="shared" si="4007"/>
        <v>FPO</v>
      </c>
      <c r="J10956" t="str">
        <f t="shared" si="4008"/>
        <v>AE</v>
      </c>
      <c r="K10956" t="str">
        <f>T("000000000000000000")</f>
        <v>000000000000000000</v>
      </c>
      <c r="L10956" t="str">
        <f>T("7574444742")</f>
        <v>7574444742</v>
      </c>
    </row>
    <row r="10957" spans="1:12" x14ac:dyDescent="0.35">
      <c r="A10957" t="str">
        <f>T("USS ARLEIGH BURKE DDG 51")</f>
        <v>USS ARLEIGH BURKE DDG 51</v>
      </c>
      <c r="B10957" t="str">
        <f>T("USS ARLEIGH BURKE DDG-51")</f>
        <v>USS ARLEIGH BURKE DDG-51</v>
      </c>
      <c r="C10957" t="str">
        <f>T("UNIT 100271 BOX 1")</f>
        <v>UNIT 100271 BOX 1</v>
      </c>
      <c r="D10957" t="str">
        <f t="shared" si="4001"/>
        <v>FPO</v>
      </c>
      <c r="E10957" t="str">
        <f t="shared" si="4006"/>
        <v>AE</v>
      </c>
      <c r="F10957" t="str">
        <f>T("095657100")</f>
        <v>095657100</v>
      </c>
      <c r="G10957" t="str">
        <f>T("USS ARLEIGH BURKE")</f>
        <v>USS ARLEIGH BURKE</v>
      </c>
      <c r="H10957" t="str">
        <f>T("UNIT 100271 BOX 1")</f>
        <v>UNIT 100271 BOX 1</v>
      </c>
      <c r="I10957" t="str">
        <f t="shared" si="4007"/>
        <v>FPO</v>
      </c>
      <c r="J10957" t="str">
        <f t="shared" si="4008"/>
        <v>AE</v>
      </c>
      <c r="K10957" t="str">
        <f>T("000000000000000000")</f>
        <v>000000000000000000</v>
      </c>
      <c r="L10957" t="str">
        <f>T("7574456137")</f>
        <v>7574456137</v>
      </c>
    </row>
    <row r="10958" spans="1:12" x14ac:dyDescent="0.35">
      <c r="A10958" t="str">
        <f>T("USS ARLEIGH BURKE DDG 51")</f>
        <v>USS ARLEIGH BURKE DDG 51</v>
      </c>
      <c r="B10958" t="str">
        <f>T("USS ARLEIGH BURKE DDG-51")</f>
        <v>USS ARLEIGH BURKE DDG-51</v>
      </c>
      <c r="C10958" t="str">
        <f>T("UNIT 100271 BOX 1")</f>
        <v>UNIT 100271 BOX 1</v>
      </c>
      <c r="D10958" t="str">
        <f t="shared" si="4001"/>
        <v>FPO</v>
      </c>
      <c r="E10958" t="str">
        <f t="shared" si="4006"/>
        <v>AE</v>
      </c>
      <c r="F10958" t="str">
        <f>T("095657100")</f>
        <v>095657100</v>
      </c>
      <c r="G10958" t="str">
        <f>T("USS ARLEIGH BURKE DDG-51")</f>
        <v>USS ARLEIGH BURKE DDG-51</v>
      </c>
      <c r="H10958" t="str">
        <f>T("UNIT 100271 BOX 1")</f>
        <v>UNIT 100271 BOX 1</v>
      </c>
      <c r="I10958" t="str">
        <f t="shared" si="4007"/>
        <v>FPO</v>
      </c>
      <c r="J10958" t="str">
        <f t="shared" si="4008"/>
        <v>AE</v>
      </c>
      <c r="K10958" t="str">
        <f>T("7574456137")</f>
        <v>7574456137</v>
      </c>
      <c r="L10958" t="str">
        <f>T("7574456137")</f>
        <v>7574456137</v>
      </c>
    </row>
    <row r="10959" spans="1:12" x14ac:dyDescent="0.35">
      <c r="A10959" t="str">
        <f>T("USS ARLEIGH BURKE DDG 51")</f>
        <v>USS ARLEIGH BURKE DDG 51</v>
      </c>
      <c r="B10959" t="str">
        <f>T("USS ARLEIGH BURKE DDG-51")</f>
        <v>USS ARLEIGH BURKE DDG-51</v>
      </c>
      <c r="C10959" t="str">
        <f>T("UNIT 100271 BOX 1")</f>
        <v>UNIT 100271 BOX 1</v>
      </c>
      <c r="D10959" t="str">
        <f t="shared" si="4001"/>
        <v>FPO</v>
      </c>
      <c r="E10959" t="str">
        <f t="shared" si="4006"/>
        <v>AE</v>
      </c>
      <c r="F10959" t="str">
        <f>T("095657100")</f>
        <v>095657100</v>
      </c>
      <c r="G10959" t="str">
        <f>T("USS ARLEIGH BURKE DDG51")</f>
        <v>USS ARLEIGH BURKE DDG51</v>
      </c>
      <c r="H10959" t="str">
        <f>T("UNIT 100271 BOX 1")</f>
        <v>UNIT 100271 BOX 1</v>
      </c>
      <c r="I10959" t="str">
        <f t="shared" si="4007"/>
        <v>FPO</v>
      </c>
      <c r="J10959" t="str">
        <f t="shared" si="4008"/>
        <v>AE</v>
      </c>
      <c r="K10959" t="str">
        <f>T("000000000000000000")</f>
        <v>000000000000000000</v>
      </c>
      <c r="L10959" t="str">
        <f>T("7574456147")</f>
        <v>7574456147</v>
      </c>
    </row>
    <row r="10960" spans="1:12" x14ac:dyDescent="0.35">
      <c r="A10960" t="str">
        <f t="shared" ref="A10960:B10962" si="4009">T("USS WASP LHD 1")</f>
        <v>USS WASP LHD 1</v>
      </c>
      <c r="B10960" t="str">
        <f t="shared" si="4009"/>
        <v>USS WASP LHD 1</v>
      </c>
      <c r="C10960" t="str">
        <f>T("UNIT 100261 BOX 1")</f>
        <v>UNIT 100261 BOX 1</v>
      </c>
      <c r="D10960" t="str">
        <f t="shared" si="4001"/>
        <v>FPO</v>
      </c>
      <c r="E10960" t="str">
        <f t="shared" si="4006"/>
        <v>AE</v>
      </c>
      <c r="F10960" t="str">
        <f>T("095566100")</f>
        <v>095566100</v>
      </c>
      <c r="G10960" t="str">
        <f>T("USS WASP LHD 1")</f>
        <v>USS WASP LHD 1</v>
      </c>
      <c r="H10960" t="str">
        <f>T("UNIT 100261 BOX 1")</f>
        <v>UNIT 100261 BOX 1</v>
      </c>
      <c r="I10960" t="str">
        <f t="shared" si="4007"/>
        <v>FPO</v>
      </c>
      <c r="J10960" t="str">
        <f t="shared" si="4008"/>
        <v>AE</v>
      </c>
      <c r="K10960" t="str">
        <f>T("7574437525")</f>
        <v>7574437525</v>
      </c>
      <c r="L10960" t="str">
        <f>T("7574437278")</f>
        <v>7574437278</v>
      </c>
    </row>
    <row r="10961" spans="1:12" x14ac:dyDescent="0.35">
      <c r="A10961" t="str">
        <f t="shared" si="4009"/>
        <v>USS WASP LHD 1</v>
      </c>
      <c r="B10961" t="str">
        <f t="shared" si="4009"/>
        <v>USS WASP LHD 1</v>
      </c>
      <c r="C10961" t="str">
        <f>T("UNIT 100261 BOX 1")</f>
        <v>UNIT 100261 BOX 1</v>
      </c>
      <c r="D10961" t="str">
        <f t="shared" si="4001"/>
        <v>FPO</v>
      </c>
      <c r="E10961" t="str">
        <f t="shared" si="4006"/>
        <v>AE</v>
      </c>
      <c r="F10961" t="str">
        <f>T("095566100")</f>
        <v>095566100</v>
      </c>
      <c r="G10961" t="str">
        <f>T("USS WASP LHD1")</f>
        <v>USS WASP LHD1</v>
      </c>
      <c r="H10961" t="str">
        <f>T("UNIT 100261 BOX 1")</f>
        <v>UNIT 100261 BOX 1</v>
      </c>
      <c r="I10961" t="str">
        <f t="shared" si="4007"/>
        <v>FPO</v>
      </c>
      <c r="J10961" t="str">
        <f t="shared" si="4008"/>
        <v>AE</v>
      </c>
      <c r="K10961" t="str">
        <f>T("000000000000000000")</f>
        <v>000000000000000000</v>
      </c>
      <c r="L10961" t="str">
        <f>T("7574437278")</f>
        <v>7574437278</v>
      </c>
    </row>
    <row r="10962" spans="1:12" x14ac:dyDescent="0.35">
      <c r="A10962" t="str">
        <f t="shared" si="4009"/>
        <v>USS WASP LHD 1</v>
      </c>
      <c r="B10962" t="str">
        <f t="shared" si="4009"/>
        <v>USS WASP LHD 1</v>
      </c>
      <c r="C10962" t="str">
        <f>T("UNIT 100261 BOX 1")</f>
        <v>UNIT 100261 BOX 1</v>
      </c>
      <c r="D10962" t="str">
        <f t="shared" si="4001"/>
        <v>FPO</v>
      </c>
      <c r="E10962" t="str">
        <f t="shared" si="4006"/>
        <v>AE</v>
      </c>
      <c r="F10962" t="str">
        <f>T("095566100")</f>
        <v>095566100</v>
      </c>
      <c r="G10962" t="str">
        <f>T("USS WASP LHD1")</f>
        <v>USS WASP LHD1</v>
      </c>
      <c r="H10962" t="str">
        <f>T("UNIT 100261 BOX 105")</f>
        <v>UNIT 100261 BOX 105</v>
      </c>
      <c r="I10962" t="str">
        <f t="shared" si="4007"/>
        <v>FPO</v>
      </c>
      <c r="J10962" t="str">
        <f t="shared" si="4008"/>
        <v>AE</v>
      </c>
      <c r="K10962" t="str">
        <f>T("000000000000000000")</f>
        <v>000000000000000000</v>
      </c>
      <c r="L10962" t="str">
        <f>T("7574437278")</f>
        <v>7574437278</v>
      </c>
    </row>
    <row r="10963" spans="1:12" x14ac:dyDescent="0.35">
      <c r="A10963" t="str">
        <f>T("ZZ DELETE")</f>
        <v>ZZ DELETE</v>
      </c>
      <c r="B10963" t="str">
        <f>T("USS GETTYSBURG CG 64")</f>
        <v>USS GETTYSBURG CG 64</v>
      </c>
      <c r="C10963" t="str">
        <f>T("SUPPLY DEPARTMENT")</f>
        <v>SUPPLY DEPARTMENT</v>
      </c>
      <c r="D10963" t="str">
        <f t="shared" si="4001"/>
        <v>FPO</v>
      </c>
      <c r="E10963" t="str">
        <f>T("AA")</f>
        <v>AA</v>
      </c>
      <c r="F10963" t="str">
        <f>T("340911184")</f>
        <v>340911184</v>
      </c>
      <c r="G10963" t="str">
        <f>T("USS GETTYSBURG CG 64")</f>
        <v>USS GETTYSBURG CG 64</v>
      </c>
      <c r="H10963" t="str">
        <f>T("SUPPLY DEPARTMENT")</f>
        <v>SUPPLY DEPARTMENT</v>
      </c>
      <c r="I10963" t="str">
        <f t="shared" si="4007"/>
        <v>FPO</v>
      </c>
      <c r="J10963" t="str">
        <f>T("AA")</f>
        <v>AA</v>
      </c>
      <c r="K10963" t="str">
        <f>T("")</f>
        <v/>
      </c>
      <c r="L10963" t="str">
        <f>T("9042707902")</f>
        <v>9042707902</v>
      </c>
    </row>
    <row r="10964" spans="1:12" x14ac:dyDescent="0.35">
      <c r="A10964" t="str">
        <f t="shared" ref="A10964:B10967" si="4010">T("USS HUE CITY CG-66")</f>
        <v>USS HUE CITY CG-66</v>
      </c>
      <c r="B10964" t="str">
        <f t="shared" si="4010"/>
        <v>USS HUE CITY CG-66</v>
      </c>
      <c r="C10964" t="str">
        <f>T("SUPPLY DEPT")</f>
        <v>SUPPLY DEPT</v>
      </c>
      <c r="D10964" t="str">
        <f t="shared" si="4001"/>
        <v>FPO</v>
      </c>
      <c r="E10964" t="str">
        <f>T("AA")</f>
        <v>AA</v>
      </c>
      <c r="F10964" t="str">
        <f>T("340911186")</f>
        <v>340911186</v>
      </c>
      <c r="G10964" t="str">
        <f>T("BLDG448 BON HOMME RICHARD STREET")</f>
        <v>BLDG448 BON HOMME RICHARD STREET</v>
      </c>
      <c r="H10964" t="str">
        <f>T("ATTN PETER TORRES")</f>
        <v>ATTN PETER TORRES</v>
      </c>
      <c r="I10964" t="str">
        <f>T("MAYPORT")</f>
        <v>MAYPORT</v>
      </c>
      <c r="J10964" t="str">
        <f>T("FL")</f>
        <v>FL</v>
      </c>
      <c r="K10964" t="str">
        <f>T("000000000000000000")</f>
        <v>000000000000000000</v>
      </c>
      <c r="L10964" t="str">
        <f>T("9042707962")</f>
        <v>9042707962</v>
      </c>
    </row>
    <row r="10965" spans="1:12" x14ac:dyDescent="0.35">
      <c r="A10965" t="str">
        <f t="shared" si="4010"/>
        <v>USS HUE CITY CG-66</v>
      </c>
      <c r="B10965" t="str">
        <f t="shared" si="4010"/>
        <v>USS HUE CITY CG-66</v>
      </c>
      <c r="C10965" t="str">
        <f>T("SUPPLY DEPT")</f>
        <v>SUPPLY DEPT</v>
      </c>
      <c r="D10965" t="str">
        <f t="shared" si="4001"/>
        <v>FPO</v>
      </c>
      <c r="E10965" t="str">
        <f>T("AA")</f>
        <v>AA</v>
      </c>
      <c r="F10965" t="str">
        <f>T("340911186")</f>
        <v>340911186</v>
      </c>
      <c r="G10965" t="str">
        <f>T("UNIT 100272 BOX 1")</f>
        <v>UNIT 100272 BOX 1</v>
      </c>
      <c r="H10965" t="str">
        <f>T("")</f>
        <v/>
      </c>
      <c r="I10965" t="str">
        <f t="shared" ref="I10965:I10997" si="4011">T("FPO")</f>
        <v>FPO</v>
      </c>
      <c r="J10965" t="str">
        <f>T("AA")</f>
        <v>AA</v>
      </c>
      <c r="K10965" t="str">
        <f>T("000000000000000000")</f>
        <v>000000000000000000</v>
      </c>
      <c r="L10965" t="str">
        <f>T("9042707962")</f>
        <v>9042707962</v>
      </c>
    </row>
    <row r="10966" spans="1:12" x14ac:dyDescent="0.35">
      <c r="A10966" t="str">
        <f t="shared" si="4010"/>
        <v>USS HUE CITY CG-66</v>
      </c>
      <c r="B10966" t="str">
        <f t="shared" si="4010"/>
        <v>USS HUE CITY CG-66</v>
      </c>
      <c r="C10966" t="str">
        <f>T("SUPPLY DEPT")</f>
        <v>SUPPLY DEPT</v>
      </c>
      <c r="D10966" t="str">
        <f t="shared" si="4001"/>
        <v>FPO</v>
      </c>
      <c r="E10966" t="str">
        <f>T("AA")</f>
        <v>AA</v>
      </c>
      <c r="F10966" t="str">
        <f>T("340911186")</f>
        <v>340911186</v>
      </c>
      <c r="G10966" t="str">
        <f>T("USS HUE CITY CG-66")</f>
        <v>USS HUE CITY CG-66</v>
      </c>
      <c r="H10966" t="str">
        <f>T("SUPPLY DEPT")</f>
        <v>SUPPLY DEPT</v>
      </c>
      <c r="I10966" t="str">
        <f t="shared" si="4011"/>
        <v>FPO</v>
      </c>
      <c r="J10966" t="str">
        <f>T("AA")</f>
        <v>AA</v>
      </c>
      <c r="K10966" t="str">
        <f>T("904 270 7969")</f>
        <v>904 270 7969</v>
      </c>
      <c r="L10966" t="str">
        <f>T("9042707962")</f>
        <v>9042707962</v>
      </c>
    </row>
    <row r="10967" spans="1:12" x14ac:dyDescent="0.35">
      <c r="A10967" t="str">
        <f t="shared" si="4010"/>
        <v>USS HUE CITY CG-66</v>
      </c>
      <c r="B10967" t="str">
        <f t="shared" si="4010"/>
        <v>USS HUE CITY CG-66</v>
      </c>
      <c r="C10967" t="str">
        <f>T("SUPPLY DEPT")</f>
        <v>SUPPLY DEPT</v>
      </c>
      <c r="D10967" t="str">
        <f t="shared" si="4001"/>
        <v>FPO</v>
      </c>
      <c r="E10967" t="str">
        <f>T("AA")</f>
        <v>AA</v>
      </c>
      <c r="F10967" t="str">
        <f>T("340911186")</f>
        <v>340911186</v>
      </c>
      <c r="G10967" t="str">
        <f>T("USS HUE CITY CG66")</f>
        <v>USS HUE CITY CG66</v>
      </c>
      <c r="H10967" t="str">
        <f>T("UNIT 100272 BOX 1")</f>
        <v>UNIT 100272 BOX 1</v>
      </c>
      <c r="I10967" t="str">
        <f t="shared" si="4011"/>
        <v>FPO</v>
      </c>
      <c r="J10967" t="str">
        <f>T("AA")</f>
        <v>AA</v>
      </c>
      <c r="K10967" t="str">
        <f>T("000000000000000000")</f>
        <v>000000000000000000</v>
      </c>
      <c r="L10967" t="str">
        <f>T("9042706972")</f>
        <v>9042706972</v>
      </c>
    </row>
    <row r="10968" spans="1:12" x14ac:dyDescent="0.35">
      <c r="A10968" t="str">
        <f>T("USS ANZIO CG 68")</f>
        <v>USS ANZIO CG 68</v>
      </c>
      <c r="B10968" t="str">
        <f>T("USS ANZIO CG-68")</f>
        <v>USS ANZIO CG-68</v>
      </c>
      <c r="C10968" t="str">
        <f>T("UNIT 100274 BOX 1")</f>
        <v>UNIT 100274 BOX 1</v>
      </c>
      <c r="D10968" t="str">
        <f t="shared" si="4001"/>
        <v>FPO</v>
      </c>
      <c r="E10968" t="str">
        <f>T("AE")</f>
        <v>AE</v>
      </c>
      <c r="F10968" t="str">
        <f>T("095647400")</f>
        <v>095647400</v>
      </c>
      <c r="G10968" t="str">
        <f>T("USS ANZIO CG-68")</f>
        <v>USS ANZIO CG-68</v>
      </c>
      <c r="H10968" t="str">
        <f>T("UNIT 100274 BOX 1")</f>
        <v>UNIT 100274 BOX 1</v>
      </c>
      <c r="I10968" t="str">
        <f t="shared" si="4011"/>
        <v>FPO</v>
      </c>
      <c r="J10968" t="str">
        <f>T("AE")</f>
        <v>AE</v>
      </c>
      <c r="K10968" t="str">
        <f>T("7574447607")</f>
        <v>7574447607</v>
      </c>
      <c r="L10968" t="str">
        <f>T("7574447607")</f>
        <v>7574447607</v>
      </c>
    </row>
    <row r="10969" spans="1:12" x14ac:dyDescent="0.35">
      <c r="A10969" t="str">
        <f>T("USS ANZIO CG 68")</f>
        <v>USS ANZIO CG 68</v>
      </c>
      <c r="B10969" t="str">
        <f>T("USS ANZIO CG-68")</f>
        <v>USS ANZIO CG-68</v>
      </c>
      <c r="C10969" t="str">
        <f>T("UNIT 100274 BOX 1")</f>
        <v>UNIT 100274 BOX 1</v>
      </c>
      <c r="D10969" t="str">
        <f t="shared" si="4001"/>
        <v>FPO</v>
      </c>
      <c r="E10969" t="str">
        <f>T("AE")</f>
        <v>AE</v>
      </c>
      <c r="F10969" t="str">
        <f>T("095647400")</f>
        <v>095647400</v>
      </c>
      <c r="G10969" t="str">
        <f>T("USS ANZIO CG68")</f>
        <v>USS ANZIO CG68</v>
      </c>
      <c r="H10969" t="str">
        <f>T("UNIT 100274 BOX 1")</f>
        <v>UNIT 100274 BOX 1</v>
      </c>
      <c r="I10969" t="str">
        <f t="shared" si="4011"/>
        <v>FPO</v>
      </c>
      <c r="J10969" t="str">
        <f>T("AE")</f>
        <v>AE</v>
      </c>
      <c r="K10969" t="str">
        <f>T("000000000000000000")</f>
        <v>000000000000000000</v>
      </c>
      <c r="L10969" t="str">
        <f>T("7574447607")</f>
        <v>7574447607</v>
      </c>
    </row>
    <row r="10970" spans="1:12" x14ac:dyDescent="0.35">
      <c r="A10970" t="str">
        <f>T("ZZ DELETE")</f>
        <v>ZZ DELETE</v>
      </c>
      <c r="B10970" t="str">
        <f>T("USS BARRY DDG-52")</f>
        <v>USS BARRY DDG-52</v>
      </c>
      <c r="C10970" t="str">
        <f>T("UNIT 100276 BOX 1")</f>
        <v>UNIT 100276 BOX 1</v>
      </c>
      <c r="D10970" t="str">
        <f t="shared" ref="D10970:D10996" si="4012">T("FPO")</f>
        <v>FPO</v>
      </c>
      <c r="E10970" t="str">
        <f>T("AE")</f>
        <v>AE</v>
      </c>
      <c r="F10970" t="str">
        <f>T("095657600")</f>
        <v>095657600</v>
      </c>
      <c r="G10970" t="str">
        <f>T("USS BARRY DDG-52")</f>
        <v>USS BARRY DDG-52</v>
      </c>
      <c r="H10970" t="str">
        <f>T("UNIT 100276 BOX 1")</f>
        <v>UNIT 100276 BOX 1</v>
      </c>
      <c r="I10970" t="str">
        <f t="shared" si="4011"/>
        <v>FPO</v>
      </c>
      <c r="J10970" t="str">
        <f>T("AE")</f>
        <v>AE</v>
      </c>
      <c r="K10970" t="str">
        <f>T("")</f>
        <v/>
      </c>
      <c r="L10970" t="str">
        <f>T("7574441689")</f>
        <v>7574441689</v>
      </c>
    </row>
    <row r="10971" spans="1:12" x14ac:dyDescent="0.35">
      <c r="A10971" t="str">
        <f>T("USS VICKSBURG CG-69")</f>
        <v>USS VICKSBURG CG-69</v>
      </c>
      <c r="B10971" t="str">
        <f>T("USS VICSKBURG CG-69")</f>
        <v>USS VICSKBURG CG-69</v>
      </c>
      <c r="C10971" t="str">
        <f>T("UNIT 100277 BOX 1")</f>
        <v>UNIT 100277 BOX 1</v>
      </c>
      <c r="D10971" t="str">
        <f t="shared" si="4012"/>
        <v>FPO</v>
      </c>
      <c r="E10971" t="str">
        <f>T("AA")</f>
        <v>AA</v>
      </c>
      <c r="F10971" t="str">
        <f>T("340937700")</f>
        <v>340937700</v>
      </c>
      <c r="G10971" t="str">
        <f>T("USS VICSKBURG CG-69")</f>
        <v>USS VICSKBURG CG-69</v>
      </c>
      <c r="H10971" t="str">
        <f>T("UNIT 100277 BOX 1")</f>
        <v>UNIT 100277 BOX 1</v>
      </c>
      <c r="I10971" t="str">
        <f t="shared" si="4011"/>
        <v>FPO</v>
      </c>
      <c r="J10971" t="str">
        <f>T("AA")</f>
        <v>AA</v>
      </c>
      <c r="K10971" t="str">
        <f>T("")</f>
        <v/>
      </c>
      <c r="L10971" t="str">
        <f>T("9042707920")</f>
        <v>9042707920</v>
      </c>
    </row>
    <row r="10972" spans="1:12" x14ac:dyDescent="0.35">
      <c r="A10972" t="str">
        <f>T("USS STOUT DDG 55")</f>
        <v>USS STOUT DDG 55</v>
      </c>
      <c r="B10972" t="str">
        <f>T("USS STOUT DDG-55")</f>
        <v>USS STOUT DDG-55</v>
      </c>
      <c r="C10972" t="str">
        <f>T("UNIT 100290 BOX 1")</f>
        <v>UNIT 100290 BOX 1</v>
      </c>
      <c r="D10972" t="str">
        <f t="shared" si="4012"/>
        <v>FPO</v>
      </c>
      <c r="E10972" t="str">
        <f t="shared" ref="E10972:E10996" si="4013">T("AE")</f>
        <v>AE</v>
      </c>
      <c r="F10972" t="str">
        <f>T("095879000")</f>
        <v>095879000</v>
      </c>
      <c r="G10972" t="str">
        <f>T("USS STOUT DDG 55")</f>
        <v>USS STOUT DDG 55</v>
      </c>
      <c r="H10972" t="str">
        <f>T("UNIT 100290 BOX 1")</f>
        <v>UNIT 100290 BOX 1</v>
      </c>
      <c r="I10972" t="str">
        <f t="shared" si="4011"/>
        <v>FPO</v>
      </c>
      <c r="J10972" t="str">
        <f t="shared" ref="J10972:J10997" si="4014">T("AE")</f>
        <v>AE</v>
      </c>
      <c r="K10972" t="str">
        <f>T("000000000000000000")</f>
        <v>000000000000000000</v>
      </c>
      <c r="L10972" t="str">
        <f>T("7574442003")</f>
        <v>7574442003</v>
      </c>
    </row>
    <row r="10973" spans="1:12" x14ac:dyDescent="0.35">
      <c r="A10973" t="str">
        <f>T("USS STOUT DDG 55")</f>
        <v>USS STOUT DDG 55</v>
      </c>
      <c r="B10973" t="str">
        <f>T("USS STOUT DDG-55")</f>
        <v>USS STOUT DDG-55</v>
      </c>
      <c r="C10973" t="str">
        <f>T("UNIT 100290 BOX 1")</f>
        <v>UNIT 100290 BOX 1</v>
      </c>
      <c r="D10973" t="str">
        <f t="shared" si="4012"/>
        <v>FPO</v>
      </c>
      <c r="E10973" t="str">
        <f t="shared" si="4013"/>
        <v>AE</v>
      </c>
      <c r="F10973" t="str">
        <f>T("095879000")</f>
        <v>095879000</v>
      </c>
      <c r="G10973" t="str">
        <f>T("USS STOUT DDG-55")</f>
        <v>USS STOUT DDG-55</v>
      </c>
      <c r="H10973" t="str">
        <f>T("UNIT 100290 BOX 1")</f>
        <v>UNIT 100290 BOX 1</v>
      </c>
      <c r="I10973" t="str">
        <f t="shared" si="4011"/>
        <v>FPO</v>
      </c>
      <c r="J10973" t="str">
        <f t="shared" si="4014"/>
        <v>AE</v>
      </c>
      <c r="K10973" t="str">
        <f>T("7574442003")</f>
        <v>7574442003</v>
      </c>
      <c r="L10973" t="str">
        <f>T("7574442003")</f>
        <v>7574442003</v>
      </c>
    </row>
    <row r="10974" spans="1:12" x14ac:dyDescent="0.35">
      <c r="A10974" t="str">
        <f>T("USS STOUT DDG 55")</f>
        <v>USS STOUT DDG 55</v>
      </c>
      <c r="B10974" t="str">
        <f>T("USS STOUT DDG-55")</f>
        <v>USS STOUT DDG-55</v>
      </c>
      <c r="C10974" t="str">
        <f>T("UNIT 100290 BOX 1")</f>
        <v>UNIT 100290 BOX 1</v>
      </c>
      <c r="D10974" t="str">
        <f t="shared" si="4012"/>
        <v>FPO</v>
      </c>
      <c r="E10974" t="str">
        <f t="shared" si="4013"/>
        <v>AE</v>
      </c>
      <c r="F10974" t="str">
        <f>T("095879000")</f>
        <v>095879000</v>
      </c>
      <c r="G10974" t="str">
        <f>T("USS STOUT DDG55")</f>
        <v>USS STOUT DDG55</v>
      </c>
      <c r="H10974" t="str">
        <f>T("UNIT 100290 BOX 1")</f>
        <v>UNIT 100290 BOX 1</v>
      </c>
      <c r="I10974" t="str">
        <f t="shared" si="4011"/>
        <v>FPO</v>
      </c>
      <c r="J10974" t="str">
        <f t="shared" si="4014"/>
        <v>AE</v>
      </c>
      <c r="K10974" t="str">
        <f>T("000000000000000000")</f>
        <v>000000000000000000</v>
      </c>
      <c r="L10974" t="str">
        <f>T("7574442003")</f>
        <v>7574442003</v>
      </c>
    </row>
    <row r="10975" spans="1:12" x14ac:dyDescent="0.35">
      <c r="A10975" t="str">
        <f t="shared" ref="A10975:B10977" si="4015">T("USS MITSCHER DDG-57")</f>
        <v>USS MITSCHER DDG-57</v>
      </c>
      <c r="B10975" t="str">
        <f t="shared" si="4015"/>
        <v>USS MITSCHER DDG-57</v>
      </c>
      <c r="C10975" t="str">
        <f>T("UNIT 100292 BOX 1")</f>
        <v>UNIT 100292 BOX 1</v>
      </c>
      <c r="D10975" t="str">
        <f t="shared" si="4012"/>
        <v>FPO</v>
      </c>
      <c r="E10975" t="str">
        <f t="shared" si="4013"/>
        <v>AE</v>
      </c>
      <c r="F10975" t="str">
        <f>T("095789200")</f>
        <v>095789200</v>
      </c>
      <c r="G10975" t="str">
        <f>T("USS MITSCHER DDG 57")</f>
        <v>USS MITSCHER DDG 57</v>
      </c>
      <c r="H10975" t="str">
        <f>T("UNIT 100292 BOX 1")</f>
        <v>UNIT 100292 BOX 1</v>
      </c>
      <c r="I10975" t="str">
        <f t="shared" si="4011"/>
        <v>FPO</v>
      </c>
      <c r="J10975" t="str">
        <f t="shared" si="4014"/>
        <v>AE</v>
      </c>
      <c r="K10975" t="str">
        <f>T("000000000000000000")</f>
        <v>000000000000000000</v>
      </c>
      <c r="L10975" t="str">
        <f>T("7574459870")</f>
        <v>7574459870</v>
      </c>
    </row>
    <row r="10976" spans="1:12" x14ac:dyDescent="0.35">
      <c r="A10976" t="str">
        <f t="shared" si="4015"/>
        <v>USS MITSCHER DDG-57</v>
      </c>
      <c r="B10976" t="str">
        <f t="shared" si="4015"/>
        <v>USS MITSCHER DDG-57</v>
      </c>
      <c r="C10976" t="str">
        <f>T("UNIT 100292 BOX 1")</f>
        <v>UNIT 100292 BOX 1</v>
      </c>
      <c r="D10976" t="str">
        <f t="shared" si="4012"/>
        <v>FPO</v>
      </c>
      <c r="E10976" t="str">
        <f t="shared" si="4013"/>
        <v>AE</v>
      </c>
      <c r="F10976" t="str">
        <f>T("095789200")</f>
        <v>095789200</v>
      </c>
      <c r="G10976" t="str">
        <f>T("USS MITSCHER DDG-57")</f>
        <v>USS MITSCHER DDG-57</v>
      </c>
      <c r="H10976" t="str">
        <f>T("UNIT 100292 BOX 1")</f>
        <v>UNIT 100292 BOX 1</v>
      </c>
      <c r="I10976" t="str">
        <f t="shared" si="4011"/>
        <v>FPO</v>
      </c>
      <c r="J10976" t="str">
        <f t="shared" si="4014"/>
        <v>AE</v>
      </c>
      <c r="K10976" t="str">
        <f>T("")</f>
        <v/>
      </c>
      <c r="L10976" t="str">
        <f>T("7574447004")</f>
        <v>7574447004</v>
      </c>
    </row>
    <row r="10977" spans="1:12" x14ac:dyDescent="0.35">
      <c r="A10977" t="str">
        <f t="shared" si="4015"/>
        <v>USS MITSCHER DDG-57</v>
      </c>
      <c r="B10977" t="str">
        <f t="shared" si="4015"/>
        <v>USS MITSCHER DDG-57</v>
      </c>
      <c r="C10977" t="str">
        <f>T("UNIT 100292 BOX 1")</f>
        <v>UNIT 100292 BOX 1</v>
      </c>
      <c r="D10977" t="str">
        <f t="shared" si="4012"/>
        <v>FPO</v>
      </c>
      <c r="E10977" t="str">
        <f t="shared" si="4013"/>
        <v>AE</v>
      </c>
      <c r="F10977" t="str">
        <f>T("095789200")</f>
        <v>095789200</v>
      </c>
      <c r="G10977" t="str">
        <f>T("USS MITSCHER DDG57")</f>
        <v>USS MITSCHER DDG57</v>
      </c>
      <c r="H10977" t="str">
        <f>T("UNIT 100292 BOX 1")</f>
        <v>UNIT 100292 BOX 1</v>
      </c>
      <c r="I10977" t="str">
        <f t="shared" si="4011"/>
        <v>FPO</v>
      </c>
      <c r="J10977" t="str">
        <f t="shared" si="4014"/>
        <v>AE</v>
      </c>
      <c r="K10977" t="str">
        <f>T("000000000000000000")</f>
        <v>000000000000000000</v>
      </c>
      <c r="L10977" t="str">
        <f>T("7574459870")</f>
        <v>7574459870</v>
      </c>
    </row>
    <row r="10978" spans="1:12" x14ac:dyDescent="0.35">
      <c r="A10978" t="str">
        <f t="shared" ref="A10978:B10980" si="4016">T("USS KEARSARGE LHD-3")</f>
        <v>USS KEARSARGE LHD-3</v>
      </c>
      <c r="B10978" t="str">
        <f t="shared" si="4016"/>
        <v>USS KEARSARGE LHD-3</v>
      </c>
      <c r="C10978" t="str">
        <f>T("UNIT 100284 BOX 1")</f>
        <v>UNIT 100284 BOX 1</v>
      </c>
      <c r="D10978" t="str">
        <f t="shared" si="4012"/>
        <v>FPO</v>
      </c>
      <c r="E10978" t="str">
        <f t="shared" si="4013"/>
        <v>AE</v>
      </c>
      <c r="F10978" t="str">
        <f>T("095348400")</f>
        <v>095348400</v>
      </c>
      <c r="G10978" t="str">
        <f>T("USS KEARSARGE LHD-3")</f>
        <v>USS KEARSARGE LHD-3</v>
      </c>
      <c r="H10978" t="str">
        <f>T("UNIT 100284 BOX 1")</f>
        <v>UNIT 100284 BOX 1</v>
      </c>
      <c r="I10978" t="str">
        <f t="shared" si="4011"/>
        <v>FPO</v>
      </c>
      <c r="J10978" t="str">
        <f t="shared" si="4014"/>
        <v>AE</v>
      </c>
      <c r="K10978" t="str">
        <f>T("")</f>
        <v/>
      </c>
      <c r="L10978" t="str">
        <f>T("7574437511")</f>
        <v>7574437511</v>
      </c>
    </row>
    <row r="10979" spans="1:12" x14ac:dyDescent="0.35">
      <c r="A10979" t="str">
        <f t="shared" si="4016"/>
        <v>USS KEARSARGE LHD-3</v>
      </c>
      <c r="B10979" t="str">
        <f t="shared" si="4016"/>
        <v>USS KEARSARGE LHD-3</v>
      </c>
      <c r="C10979" t="str">
        <f>T("UNIT 100284 BOX 1")</f>
        <v>UNIT 100284 BOX 1</v>
      </c>
      <c r="D10979" t="str">
        <f t="shared" si="4012"/>
        <v>FPO</v>
      </c>
      <c r="E10979" t="str">
        <f t="shared" si="4013"/>
        <v>AE</v>
      </c>
      <c r="F10979" t="str">
        <f>T("095348400")</f>
        <v>095348400</v>
      </c>
      <c r="G10979" t="str">
        <f>T("USS KEARSARGE LHD3")</f>
        <v>USS KEARSARGE LHD3</v>
      </c>
      <c r="H10979" t="str">
        <f>T("UNIT 100284 520")</f>
        <v>UNIT 100284 520</v>
      </c>
      <c r="I10979" t="str">
        <f t="shared" si="4011"/>
        <v>FPO</v>
      </c>
      <c r="J10979" t="str">
        <f t="shared" si="4014"/>
        <v>AE</v>
      </c>
      <c r="K10979" t="str">
        <f>T("000000000000000000")</f>
        <v>000000000000000000</v>
      </c>
      <c r="L10979" t="str">
        <f>T("7574445849")</f>
        <v>7574445849</v>
      </c>
    </row>
    <row r="10980" spans="1:12" x14ac:dyDescent="0.35">
      <c r="A10980" t="str">
        <f t="shared" si="4016"/>
        <v>USS KEARSARGE LHD-3</v>
      </c>
      <c r="B10980" t="str">
        <f t="shared" si="4016"/>
        <v>USS KEARSARGE LHD-3</v>
      </c>
      <c r="C10980" t="str">
        <f>T("UNIT 100284 BOX 1")</f>
        <v>UNIT 100284 BOX 1</v>
      </c>
      <c r="D10980" t="str">
        <f t="shared" si="4012"/>
        <v>FPO</v>
      </c>
      <c r="E10980" t="str">
        <f t="shared" si="4013"/>
        <v>AE</v>
      </c>
      <c r="F10980" t="str">
        <f>T("095348400")</f>
        <v>095348400</v>
      </c>
      <c r="G10980" t="str">
        <f>T("USS KEARSARGE LHD3")</f>
        <v>USS KEARSARGE LHD3</v>
      </c>
      <c r="H10980" t="str">
        <f>T("UNIT 100284 BOX 1")</f>
        <v>UNIT 100284 BOX 1</v>
      </c>
      <c r="I10980" t="str">
        <f t="shared" si="4011"/>
        <v>FPO</v>
      </c>
      <c r="J10980" t="str">
        <f t="shared" si="4014"/>
        <v>AE</v>
      </c>
      <c r="K10980" t="str">
        <f>T("000000000000000000")</f>
        <v>000000000000000000</v>
      </c>
      <c r="L10980" t="str">
        <f>T("7574445849")</f>
        <v>7574445849</v>
      </c>
    </row>
    <row r="10981" spans="1:12" x14ac:dyDescent="0.35">
      <c r="A10981" t="str">
        <f>T("USS LABOON DDG 58")</f>
        <v>USS LABOON DDG 58</v>
      </c>
      <c r="B10981" t="str">
        <f>T("USS LABOON DDG-58")</f>
        <v>USS LABOON DDG-58</v>
      </c>
      <c r="C10981" t="str">
        <f>T("UNIT 100296 BOX 1")</f>
        <v>UNIT 100296 BOX 1</v>
      </c>
      <c r="D10981" t="str">
        <f t="shared" si="4012"/>
        <v>FPO</v>
      </c>
      <c r="E10981" t="str">
        <f t="shared" si="4013"/>
        <v>AE</v>
      </c>
      <c r="F10981" t="str">
        <f>T("095779600")</f>
        <v>095779600</v>
      </c>
      <c r="G10981" t="str">
        <f>T("USS LABOON DDG 58")</f>
        <v>USS LABOON DDG 58</v>
      </c>
      <c r="H10981" t="str">
        <f>T("UNIT 100296")</f>
        <v>UNIT 100296</v>
      </c>
      <c r="I10981" t="str">
        <f t="shared" si="4011"/>
        <v>FPO</v>
      </c>
      <c r="J10981" t="str">
        <f t="shared" si="4014"/>
        <v>AE</v>
      </c>
      <c r="K10981" t="str">
        <f>T("000000000000000000")</f>
        <v>000000000000000000</v>
      </c>
      <c r="L10981" t="str">
        <f>T("7574455078")</f>
        <v>7574455078</v>
      </c>
    </row>
    <row r="10982" spans="1:12" x14ac:dyDescent="0.35">
      <c r="A10982" t="str">
        <f>T("USS LABOON DDG 58")</f>
        <v>USS LABOON DDG 58</v>
      </c>
      <c r="B10982" t="str">
        <f>T("USS LABOON DDG-58")</f>
        <v>USS LABOON DDG-58</v>
      </c>
      <c r="C10982" t="str">
        <f>T("UNIT 100296 BOX 1")</f>
        <v>UNIT 100296 BOX 1</v>
      </c>
      <c r="D10982" t="str">
        <f t="shared" si="4012"/>
        <v>FPO</v>
      </c>
      <c r="E10982" t="str">
        <f t="shared" si="4013"/>
        <v>AE</v>
      </c>
      <c r="F10982" t="str">
        <f>T("095779600")</f>
        <v>095779600</v>
      </c>
      <c r="G10982" t="str">
        <f>T("USS LABOON DDG-58")</f>
        <v>USS LABOON DDG-58</v>
      </c>
      <c r="H10982" t="str">
        <f>T("UNIT 100296 BOX 1")</f>
        <v>UNIT 100296 BOX 1</v>
      </c>
      <c r="I10982" t="str">
        <f t="shared" si="4011"/>
        <v>FPO</v>
      </c>
      <c r="J10982" t="str">
        <f t="shared" si="4014"/>
        <v>AE</v>
      </c>
      <c r="K10982" t="str">
        <f>T("757 445 5078")</f>
        <v>757 445 5078</v>
      </c>
      <c r="L10982" t="str">
        <f>T("7574455078")</f>
        <v>7574455078</v>
      </c>
    </row>
    <row r="10983" spans="1:12" x14ac:dyDescent="0.35">
      <c r="A10983" t="str">
        <f>T("USS LABOON DDG 58")</f>
        <v>USS LABOON DDG 58</v>
      </c>
      <c r="B10983" t="str">
        <f>T("USS LABOON DDG-58")</f>
        <v>USS LABOON DDG-58</v>
      </c>
      <c r="C10983" t="str">
        <f>T("UNIT 100296 BOX 1")</f>
        <v>UNIT 100296 BOX 1</v>
      </c>
      <c r="D10983" t="str">
        <f t="shared" si="4012"/>
        <v>FPO</v>
      </c>
      <c r="E10983" t="str">
        <f t="shared" si="4013"/>
        <v>AE</v>
      </c>
      <c r="F10983" t="str">
        <f>T("095779600")</f>
        <v>095779600</v>
      </c>
      <c r="G10983" t="str">
        <f>T("USS LABOON DDG58")</f>
        <v>USS LABOON DDG58</v>
      </c>
      <c r="H10983" t="str">
        <f>T("SUPPLYT DEPT")</f>
        <v>SUPPLYT DEPT</v>
      </c>
      <c r="I10983" t="str">
        <f t="shared" si="4011"/>
        <v>FPO</v>
      </c>
      <c r="J10983" t="str">
        <f t="shared" si="4014"/>
        <v>AE</v>
      </c>
      <c r="K10983" t="str">
        <f>T("000000000000000000")</f>
        <v>000000000000000000</v>
      </c>
      <c r="L10983" t="str">
        <f>T("7574455078")</f>
        <v>7574455078</v>
      </c>
    </row>
    <row r="10984" spans="1:12" x14ac:dyDescent="0.35">
      <c r="A10984" t="str">
        <f>T("USS RAMAGE DDG 61")</f>
        <v>USS RAMAGE DDG 61</v>
      </c>
      <c r="B10984" t="str">
        <f>T("USS RAMAGE DDG-61")</f>
        <v>USS RAMAGE DDG-61</v>
      </c>
      <c r="C10984" t="str">
        <f>T("UNIT 100299 BOX 1")</f>
        <v>UNIT 100299 BOX 1</v>
      </c>
      <c r="D10984" t="str">
        <f t="shared" si="4012"/>
        <v>FPO</v>
      </c>
      <c r="E10984" t="str">
        <f t="shared" si="4013"/>
        <v>AE</v>
      </c>
      <c r="F10984" t="str">
        <f>T("095869900")</f>
        <v>095869900</v>
      </c>
      <c r="G10984" t="str">
        <f>T("USS RAMAGE DDG 61")</f>
        <v>USS RAMAGE DDG 61</v>
      </c>
      <c r="H10984" t="str">
        <f>T("UNIT 100299 BOX 1")</f>
        <v>UNIT 100299 BOX 1</v>
      </c>
      <c r="I10984" t="str">
        <f t="shared" si="4011"/>
        <v>FPO</v>
      </c>
      <c r="J10984" t="str">
        <f t="shared" si="4014"/>
        <v>AE</v>
      </c>
      <c r="K10984" t="str">
        <f>T("000000000000000000")</f>
        <v>000000000000000000</v>
      </c>
      <c r="L10984" t="str">
        <f>T("7574450792")</f>
        <v>7574450792</v>
      </c>
    </row>
    <row r="10985" spans="1:12" x14ac:dyDescent="0.35">
      <c r="A10985" t="str">
        <f>T("USS RAMAGE DDG 61")</f>
        <v>USS RAMAGE DDG 61</v>
      </c>
      <c r="B10985" t="str">
        <f>T("USS RAMAGE DDG-61")</f>
        <v>USS RAMAGE DDG-61</v>
      </c>
      <c r="C10985" t="str">
        <f>T("UNIT 100299 BOX 1")</f>
        <v>UNIT 100299 BOX 1</v>
      </c>
      <c r="D10985" t="str">
        <f t="shared" si="4012"/>
        <v>FPO</v>
      </c>
      <c r="E10985" t="str">
        <f t="shared" si="4013"/>
        <v>AE</v>
      </c>
      <c r="F10985" t="str">
        <f>T("095869900")</f>
        <v>095869900</v>
      </c>
      <c r="G10985" t="str">
        <f>T("USS RAMAGE DDG-61")</f>
        <v>USS RAMAGE DDG-61</v>
      </c>
      <c r="H10985" t="str">
        <f>T("UNIT 100299 BOX 1")</f>
        <v>UNIT 100299 BOX 1</v>
      </c>
      <c r="I10985" t="str">
        <f t="shared" si="4011"/>
        <v>FPO</v>
      </c>
      <c r="J10985" t="str">
        <f t="shared" si="4014"/>
        <v>AE</v>
      </c>
      <c r="K10985" t="str">
        <f>T("")</f>
        <v/>
      </c>
      <c r="L10985" t="str">
        <f>T("7574450792")</f>
        <v>7574450792</v>
      </c>
    </row>
    <row r="10986" spans="1:12" x14ac:dyDescent="0.35">
      <c r="A10986" t="str">
        <f>T("USS RAMAGE DDG 61")</f>
        <v>USS RAMAGE DDG 61</v>
      </c>
      <c r="B10986" t="str">
        <f>T("USS RAMAGE DDG-61")</f>
        <v>USS RAMAGE DDG-61</v>
      </c>
      <c r="C10986" t="str">
        <f>T("UNIT 100299 BOX 1")</f>
        <v>UNIT 100299 BOX 1</v>
      </c>
      <c r="D10986" t="str">
        <f t="shared" si="4012"/>
        <v>FPO</v>
      </c>
      <c r="E10986" t="str">
        <f t="shared" si="4013"/>
        <v>AE</v>
      </c>
      <c r="F10986" t="str">
        <f>T("095869900")</f>
        <v>095869900</v>
      </c>
      <c r="G10986" t="str">
        <f>T("USS RAMAGE DDG61")</f>
        <v>USS RAMAGE DDG61</v>
      </c>
      <c r="H10986" t="str">
        <f>T("SUPPLY DEPT")</f>
        <v>SUPPLY DEPT</v>
      </c>
      <c r="I10986" t="str">
        <f t="shared" si="4011"/>
        <v>FPO</v>
      </c>
      <c r="J10986" t="str">
        <f t="shared" si="4014"/>
        <v>AE</v>
      </c>
      <c r="K10986" t="str">
        <f>T("000000000000000000")</f>
        <v>000000000000000000</v>
      </c>
      <c r="L10986" t="str">
        <f>T("7574450792")</f>
        <v>7574450792</v>
      </c>
    </row>
    <row r="10987" spans="1:12" x14ac:dyDescent="0.35">
      <c r="A10987" t="str">
        <f>T("USS VELLA GULF CG-72")</f>
        <v>USS VELLA GULF CG-72</v>
      </c>
      <c r="B10987" t="str">
        <f>T("USS VELLA GULF CG 72")</f>
        <v>USS VELLA GULF CG 72</v>
      </c>
      <c r="C10987" t="str">
        <f>T("UNIT 100282 BOX 1")</f>
        <v>UNIT 100282 BOX 1</v>
      </c>
      <c r="D10987" t="str">
        <f t="shared" si="4012"/>
        <v>FPO</v>
      </c>
      <c r="E10987" t="str">
        <f t="shared" si="4013"/>
        <v>AE</v>
      </c>
      <c r="F10987" t="str">
        <f>T("095908200")</f>
        <v>095908200</v>
      </c>
      <c r="G10987" t="str">
        <f>T("USS VELLA GULF CG 72")</f>
        <v>USS VELLA GULF CG 72</v>
      </c>
      <c r="H10987" t="str">
        <f>T("UNIT 100282 BOX 1")</f>
        <v>UNIT 100282 BOX 1</v>
      </c>
      <c r="I10987" t="str">
        <f t="shared" si="4011"/>
        <v>FPO</v>
      </c>
      <c r="J10987" t="str">
        <f t="shared" si="4014"/>
        <v>AE</v>
      </c>
      <c r="K10987" t="str">
        <f>T("")</f>
        <v/>
      </c>
      <c r="L10987" t="str">
        <f>T("7574441327")</f>
        <v>7574441327</v>
      </c>
    </row>
    <row r="10988" spans="1:12" x14ac:dyDescent="0.35">
      <c r="A10988" t="str">
        <f>T("USS VELLA GULF CG-72")</f>
        <v>USS VELLA GULF CG-72</v>
      </c>
      <c r="B10988" t="str">
        <f>T("USS VELLA GULF CG 72")</f>
        <v>USS VELLA GULF CG 72</v>
      </c>
      <c r="C10988" t="str">
        <f>T("UNIT 100282 BOX 1")</f>
        <v>UNIT 100282 BOX 1</v>
      </c>
      <c r="D10988" t="str">
        <f t="shared" si="4012"/>
        <v>FPO</v>
      </c>
      <c r="E10988" t="str">
        <f t="shared" si="4013"/>
        <v>AE</v>
      </c>
      <c r="F10988" t="str">
        <f>T("095908200")</f>
        <v>095908200</v>
      </c>
      <c r="G10988" t="str">
        <f>T("USS VELLA GULF CG72")</f>
        <v>USS VELLA GULF CG72</v>
      </c>
      <c r="H10988" t="str">
        <f>T("UNIT 100282 BOX 1")</f>
        <v>UNIT 100282 BOX 1</v>
      </c>
      <c r="I10988" t="str">
        <f t="shared" si="4011"/>
        <v>FPO</v>
      </c>
      <c r="J10988" t="str">
        <f t="shared" si="4014"/>
        <v>AE</v>
      </c>
      <c r="K10988" t="str">
        <f>T("000000000000000000")</f>
        <v>000000000000000000</v>
      </c>
      <c r="L10988" t="str">
        <f>T("7574449922")</f>
        <v>7574449922</v>
      </c>
    </row>
    <row r="10989" spans="1:12" x14ac:dyDescent="0.35">
      <c r="A10989" t="str">
        <f>T("USS VELLA GULF CG-72")</f>
        <v>USS VELLA GULF CG-72</v>
      </c>
      <c r="B10989" t="str">
        <f>T("USS VELLA GULF CG 72")</f>
        <v>USS VELLA GULF CG 72</v>
      </c>
      <c r="C10989" t="str">
        <f>T("UNIT 100282 BOX 1")</f>
        <v>UNIT 100282 BOX 1</v>
      </c>
      <c r="D10989" t="str">
        <f t="shared" si="4012"/>
        <v>FPO</v>
      </c>
      <c r="E10989" t="str">
        <f t="shared" si="4013"/>
        <v>AE</v>
      </c>
      <c r="F10989" t="str">
        <f>T("095908200")</f>
        <v>095908200</v>
      </c>
      <c r="G10989" t="str">
        <f>T("USS VELLA GULF CG72")</f>
        <v>USS VELLA GULF CG72</v>
      </c>
      <c r="H10989" t="str">
        <f>T("UNIT 100282 BOX 1")</f>
        <v>UNIT 100282 BOX 1</v>
      </c>
      <c r="I10989" t="str">
        <f t="shared" si="4011"/>
        <v>FPO</v>
      </c>
      <c r="J10989" t="str">
        <f t="shared" si="4014"/>
        <v>AE</v>
      </c>
      <c r="K10989" t="str">
        <f>T("000000000000000000")</f>
        <v>000000000000000000</v>
      </c>
      <c r="L10989" t="str">
        <f>T("7576446042")</f>
        <v>7576446042</v>
      </c>
    </row>
    <row r="10990" spans="1:12" x14ac:dyDescent="0.35">
      <c r="A10990" t="str">
        <f>T("USS GONZALEZ DDG66")</f>
        <v>USS GONZALEZ DDG66</v>
      </c>
      <c r="B10990" t="str">
        <f>T("USS GONZALEZ DDG 66")</f>
        <v>USS GONZALEZ DDG 66</v>
      </c>
      <c r="C10990" t="str">
        <f>T("UNIT 100306 BOX 1")</f>
        <v>UNIT 100306 BOX 1</v>
      </c>
      <c r="D10990" t="str">
        <f t="shared" si="4012"/>
        <v>FPO</v>
      </c>
      <c r="E10990" t="str">
        <f t="shared" si="4013"/>
        <v>AE</v>
      </c>
      <c r="F10990" t="str">
        <f>T("095700600")</f>
        <v>095700600</v>
      </c>
      <c r="G10990" t="str">
        <f>T("USS GONZALEZ DDG 66")</f>
        <v>USS GONZALEZ DDG 66</v>
      </c>
      <c r="H10990" t="str">
        <f>T("UNIT 100306 BOX 1")</f>
        <v>UNIT 100306 BOX 1</v>
      </c>
      <c r="I10990" t="str">
        <f t="shared" si="4011"/>
        <v>FPO</v>
      </c>
      <c r="J10990" t="str">
        <f t="shared" si="4014"/>
        <v>AE</v>
      </c>
      <c r="K10990" t="str">
        <f>T("")</f>
        <v/>
      </c>
      <c r="L10990" t="str">
        <f>T("7574445199")</f>
        <v>7574445199</v>
      </c>
    </row>
    <row r="10991" spans="1:12" x14ac:dyDescent="0.35">
      <c r="A10991" t="str">
        <f>T("USS GONZALEZ DDG66")</f>
        <v>USS GONZALEZ DDG66</v>
      </c>
      <c r="B10991" t="str">
        <f>T("USS GONZALEZ DDG 66")</f>
        <v>USS GONZALEZ DDG 66</v>
      </c>
      <c r="C10991" t="str">
        <f>T("UNIT 100306 BOX 1")</f>
        <v>UNIT 100306 BOX 1</v>
      </c>
      <c r="D10991" t="str">
        <f t="shared" si="4012"/>
        <v>FPO</v>
      </c>
      <c r="E10991" t="str">
        <f t="shared" si="4013"/>
        <v>AE</v>
      </c>
      <c r="F10991" t="str">
        <f>T("095700600")</f>
        <v>095700600</v>
      </c>
      <c r="G10991" t="str">
        <f>T("USS GONZALEZ DDG66")</f>
        <v>USS GONZALEZ DDG66</v>
      </c>
      <c r="H10991" t="str">
        <f>T("SUPPLY DEPT")</f>
        <v>SUPPLY DEPT</v>
      </c>
      <c r="I10991" t="str">
        <f t="shared" si="4011"/>
        <v>FPO</v>
      </c>
      <c r="J10991" t="str">
        <f t="shared" si="4014"/>
        <v>AE</v>
      </c>
      <c r="K10991" t="str">
        <f>T("000000000000000000")</f>
        <v>000000000000000000</v>
      </c>
      <c r="L10991" t="str">
        <f>T("7574445199")</f>
        <v>7574445199</v>
      </c>
    </row>
    <row r="10992" spans="1:12" x14ac:dyDescent="0.35">
      <c r="A10992" t="str">
        <f>T("USS GONZALEZ DDG66")</f>
        <v>USS GONZALEZ DDG66</v>
      </c>
      <c r="B10992" t="str">
        <f>T("USS GONZALEZ DDG 66")</f>
        <v>USS GONZALEZ DDG 66</v>
      </c>
      <c r="C10992" t="str">
        <f>T("UNIT 100306 BOX 1")</f>
        <v>UNIT 100306 BOX 1</v>
      </c>
      <c r="D10992" t="str">
        <f t="shared" si="4012"/>
        <v>FPO</v>
      </c>
      <c r="E10992" t="str">
        <f t="shared" si="4013"/>
        <v>AE</v>
      </c>
      <c r="F10992" t="str">
        <f>T("095700600")</f>
        <v>095700600</v>
      </c>
      <c r="G10992" t="str">
        <f>T("USS GONZALEZ DDG66")</f>
        <v>USS GONZALEZ DDG66</v>
      </c>
      <c r="H10992" t="str">
        <f>T("UNIT 100306 BOX 1")</f>
        <v>UNIT 100306 BOX 1</v>
      </c>
      <c r="I10992" t="str">
        <f t="shared" si="4011"/>
        <v>FPO</v>
      </c>
      <c r="J10992" t="str">
        <f t="shared" si="4014"/>
        <v>AE</v>
      </c>
      <c r="K10992" t="str">
        <f>T("000000000000000000")</f>
        <v>000000000000000000</v>
      </c>
      <c r="L10992" t="str">
        <f>T("7574456269")</f>
        <v>7574456269</v>
      </c>
    </row>
    <row r="10993" spans="1:12" x14ac:dyDescent="0.35">
      <c r="A10993" t="str">
        <f>T("USS BATAAN  LHD 5")</f>
        <v>USS BATAAN  LHD 5</v>
      </c>
      <c r="B10993" t="str">
        <f>T("USS BATAAN LHD-5")</f>
        <v>USS BATAAN LHD-5</v>
      </c>
      <c r="C10993" t="str">
        <f>T("UNIT 100309 BOX 1")</f>
        <v>UNIT 100309 BOX 1</v>
      </c>
      <c r="D10993" t="str">
        <f t="shared" si="4012"/>
        <v>FPO</v>
      </c>
      <c r="E10993" t="str">
        <f t="shared" si="4013"/>
        <v>AE</v>
      </c>
      <c r="F10993" t="str">
        <f>T("095540900")</f>
        <v>095540900</v>
      </c>
      <c r="G10993" t="str">
        <f>T("USS BATAAN LHD-5")</f>
        <v>USS BATAAN LHD-5</v>
      </c>
      <c r="H10993" t="str">
        <f>T("UNIT 100309 BOX 1")</f>
        <v>UNIT 100309 BOX 1</v>
      </c>
      <c r="I10993" t="str">
        <f t="shared" si="4011"/>
        <v>FPO</v>
      </c>
      <c r="J10993" t="str">
        <f t="shared" si="4014"/>
        <v>AE</v>
      </c>
      <c r="K10993" t="str">
        <f>T("757 443 7541")</f>
        <v>757 443 7541</v>
      </c>
      <c r="L10993" t="str">
        <f>T("7574444371")</f>
        <v>7574444371</v>
      </c>
    </row>
    <row r="10994" spans="1:12" x14ac:dyDescent="0.35">
      <c r="A10994" t="str">
        <f>T("USS BATAAN  LHD 5")</f>
        <v>USS BATAAN  LHD 5</v>
      </c>
      <c r="B10994" t="str">
        <f>T("USS BATAAN LHD-5")</f>
        <v>USS BATAAN LHD-5</v>
      </c>
      <c r="C10994" t="str">
        <f>T("UNIT 100309 BOX 1")</f>
        <v>UNIT 100309 BOX 1</v>
      </c>
      <c r="D10994" t="str">
        <f t="shared" si="4012"/>
        <v>FPO</v>
      </c>
      <c r="E10994" t="str">
        <f t="shared" si="4013"/>
        <v>AE</v>
      </c>
      <c r="F10994" t="str">
        <f>T("095540900")</f>
        <v>095540900</v>
      </c>
      <c r="G10994" t="str">
        <f>T("USS BATAAN LHD5")</f>
        <v>USS BATAAN LHD5</v>
      </c>
      <c r="H10994" t="str">
        <f>T("UNIT 100309 BOX 1")</f>
        <v>UNIT 100309 BOX 1</v>
      </c>
      <c r="I10994" t="str">
        <f t="shared" si="4011"/>
        <v>FPO</v>
      </c>
      <c r="J10994" t="str">
        <f t="shared" si="4014"/>
        <v>AE</v>
      </c>
      <c r="K10994" t="str">
        <f>T("000000000000000000")</f>
        <v>000000000000000000</v>
      </c>
      <c r="L10994" t="str">
        <f>T("7574452594")</f>
        <v>7574452594</v>
      </c>
    </row>
    <row r="10995" spans="1:12" x14ac:dyDescent="0.35">
      <c r="A10995" t="str">
        <f>T("USS BATAAN  LHD 5")</f>
        <v>USS BATAAN  LHD 5</v>
      </c>
      <c r="B10995" t="str">
        <f>T("USS BATAAN LHD-5")</f>
        <v>USS BATAAN LHD-5</v>
      </c>
      <c r="C10995" t="str">
        <f>T("UNIT 100309 BOX 1")</f>
        <v>UNIT 100309 BOX 1</v>
      </c>
      <c r="D10995" t="str">
        <f t="shared" si="4012"/>
        <v>FPO</v>
      </c>
      <c r="E10995" t="str">
        <f t="shared" si="4013"/>
        <v>AE</v>
      </c>
      <c r="F10995" t="str">
        <f>T("095540900")</f>
        <v>095540900</v>
      </c>
      <c r="G10995" t="str">
        <f>T("USS BATAAN LHD5")</f>
        <v>USS BATAAN LHD5</v>
      </c>
      <c r="H10995" t="str">
        <f>T("UNIT 100309 BOX 1")</f>
        <v>UNIT 100309 BOX 1</v>
      </c>
      <c r="I10995" t="str">
        <f t="shared" si="4011"/>
        <v>FPO</v>
      </c>
      <c r="J10995" t="str">
        <f t="shared" si="4014"/>
        <v>AE</v>
      </c>
      <c r="K10995" t="str">
        <f>T("000000000000000000")</f>
        <v>000000000000000000</v>
      </c>
      <c r="L10995" t="str">
        <f>T("7576446058")</f>
        <v>7576446058</v>
      </c>
    </row>
    <row r="10996" spans="1:12" x14ac:dyDescent="0.35">
      <c r="A10996" t="str">
        <f>T("USS BATAAN  LHD 5")</f>
        <v>USS BATAAN  LHD 5</v>
      </c>
      <c r="B10996" t="str">
        <f>T("USS BATAAN LHD-5")</f>
        <v>USS BATAAN LHD-5</v>
      </c>
      <c r="C10996" t="str">
        <f>T("UNIT 100309 BOX 1")</f>
        <v>UNIT 100309 BOX 1</v>
      </c>
      <c r="D10996" t="str">
        <f t="shared" si="4012"/>
        <v>FPO</v>
      </c>
      <c r="E10996" t="str">
        <f t="shared" si="4013"/>
        <v>AE</v>
      </c>
      <c r="F10996" t="str">
        <f>T("095540900")</f>
        <v>095540900</v>
      </c>
      <c r="G10996" t="str">
        <f>T("USS BATAAN LHD5")</f>
        <v>USS BATAAN LHD5</v>
      </c>
      <c r="H10996" t="str">
        <f>T("UNIT 100309 BOX1")</f>
        <v>UNIT 100309 BOX1</v>
      </c>
      <c r="I10996" t="str">
        <f t="shared" si="4011"/>
        <v>FPO</v>
      </c>
      <c r="J10996" t="str">
        <f t="shared" si="4014"/>
        <v>AE</v>
      </c>
      <c r="K10996" t="str">
        <f>T("000000000000000000")</f>
        <v>000000000000000000</v>
      </c>
      <c r="L10996" t="str">
        <f>T("7574452594")</f>
        <v>7574452594</v>
      </c>
    </row>
    <row r="10997" spans="1:12" x14ac:dyDescent="0.35">
      <c r="A10997" t="str">
        <f>T("USS CARTER HALL")</f>
        <v>USS CARTER HALL</v>
      </c>
      <c r="B10997" t="str">
        <f>T("USS CARTER HALL LSD - 50")</f>
        <v>USS CARTER HALL LSD - 50</v>
      </c>
      <c r="C10997" t="str">
        <f>T("UNIT 100121 BOX 1")</f>
        <v>UNIT 100121 BOX 1</v>
      </c>
      <c r="D10997" t="str">
        <f>T("NORFOLK")</f>
        <v>NORFOLK</v>
      </c>
      <c r="E10997" t="str">
        <f>T("VA")</f>
        <v>VA</v>
      </c>
      <c r="F10997" t="str">
        <f>T("235111738")</f>
        <v>235111738</v>
      </c>
      <c r="G10997" t="str">
        <f>T("CNSL ATTN DONNA CAREY")</f>
        <v>CNSL ATTN DONNA CAREY</v>
      </c>
      <c r="H10997" t="str">
        <f>T("BLDG 29 17 MORRIS STREET")</f>
        <v>BLDG 29 17 MORRIS STREET</v>
      </c>
      <c r="I10997" t="str">
        <f t="shared" si="4011"/>
        <v>FPO</v>
      </c>
      <c r="J10997" t="str">
        <f t="shared" si="4014"/>
        <v>AE</v>
      </c>
      <c r="K10997" t="str">
        <f>T("000000000000000000")</f>
        <v>000000000000000000</v>
      </c>
      <c r="L10997" t="str">
        <f>T("7573410460")</f>
        <v>7573410460</v>
      </c>
    </row>
    <row r="10998" spans="1:12" x14ac:dyDescent="0.35">
      <c r="A10998" t="str">
        <f>T("USS CARTER HALL")</f>
        <v>USS CARTER HALL</v>
      </c>
      <c r="B10998" t="str">
        <f>T("USS CARTER HALL LSD - 50")</f>
        <v>USS CARTER HALL LSD - 50</v>
      </c>
      <c r="C10998" t="str">
        <f>T("UNIT 100121 BOX 1")</f>
        <v>UNIT 100121 BOX 1</v>
      </c>
      <c r="D10998" t="str">
        <f>T("NORFOLK")</f>
        <v>NORFOLK</v>
      </c>
      <c r="E10998" t="str">
        <f>T("VA")</f>
        <v>VA</v>
      </c>
      <c r="F10998" t="str">
        <f>T("235111738")</f>
        <v>235111738</v>
      </c>
      <c r="G10998" t="str">
        <f>T("USS CARTER HALL LSD - 50")</f>
        <v>USS CARTER HALL LSD - 50</v>
      </c>
      <c r="H10998" t="str">
        <f>T("UNIT 100121 BOX 1")</f>
        <v>UNIT 100121 BOX 1</v>
      </c>
      <c r="I10998" t="str">
        <f>T("NORFOLK")</f>
        <v>NORFOLK</v>
      </c>
      <c r="J10998" t="str">
        <f>T("VA")</f>
        <v>VA</v>
      </c>
      <c r="K10998" t="str">
        <f>T("757 443 8753")</f>
        <v>757 443 8753</v>
      </c>
      <c r="L10998" t="str">
        <f>T("7574628750")</f>
        <v>7574628750</v>
      </c>
    </row>
    <row r="10999" spans="1:12" x14ac:dyDescent="0.35">
      <c r="A10999" t="str">
        <f>T("USS CARTER HALL")</f>
        <v>USS CARTER HALL</v>
      </c>
      <c r="B10999" t="str">
        <f>T("USS CARTER HALL LSD - 50")</f>
        <v>USS CARTER HALL LSD - 50</v>
      </c>
      <c r="C10999" t="str">
        <f>T("UNIT 100121 BOX 1")</f>
        <v>UNIT 100121 BOX 1</v>
      </c>
      <c r="D10999" t="str">
        <f>T("NORFOLK")</f>
        <v>NORFOLK</v>
      </c>
      <c r="E10999" t="str">
        <f>T("VA")</f>
        <v>VA</v>
      </c>
      <c r="F10999" t="str">
        <f>T("235111738")</f>
        <v>235111738</v>
      </c>
      <c r="G10999" t="str">
        <f>T("USS CARTER HALL LSD 50")</f>
        <v>USS CARTER HALL LSD 50</v>
      </c>
      <c r="H10999" t="str">
        <f>T("SUPPLY OFFICE")</f>
        <v>SUPPLY OFFICE</v>
      </c>
      <c r="I10999" t="str">
        <f t="shared" ref="I10999:I11025" si="4017">T("FPO")</f>
        <v>FPO</v>
      </c>
      <c r="J10999" t="str">
        <f>T("AE")</f>
        <v>AE</v>
      </c>
      <c r="K10999" t="str">
        <f>T("000000000000000000")</f>
        <v>000000000000000000</v>
      </c>
      <c r="L10999" t="str">
        <f>T("7574624591")</f>
        <v>7574624591</v>
      </c>
    </row>
    <row r="11000" spans="1:12" x14ac:dyDescent="0.35">
      <c r="A11000" t="str">
        <f>T("USS CARTER HALL")</f>
        <v>USS CARTER HALL</v>
      </c>
      <c r="B11000" t="str">
        <f>T("USS CARTER HALL LSD - 50")</f>
        <v>USS CARTER HALL LSD - 50</v>
      </c>
      <c r="C11000" t="str">
        <f>T("UNIT 100121 BOX 1")</f>
        <v>UNIT 100121 BOX 1</v>
      </c>
      <c r="D11000" t="str">
        <f>T("NORFOLK")</f>
        <v>NORFOLK</v>
      </c>
      <c r="E11000" t="str">
        <f>T("VA")</f>
        <v>VA</v>
      </c>
      <c r="F11000" t="str">
        <f>T("235111738")</f>
        <v>235111738</v>
      </c>
      <c r="G11000" t="str">
        <f>T("USS CARTER HALL LSD50")</f>
        <v>USS CARTER HALL LSD50</v>
      </c>
      <c r="H11000" t="str">
        <f>T("SUPPLY DEPT")</f>
        <v>SUPPLY DEPT</v>
      </c>
      <c r="I11000" t="str">
        <f t="shared" si="4017"/>
        <v>FPO</v>
      </c>
      <c r="J11000" t="str">
        <f>T("AE")</f>
        <v>AE</v>
      </c>
      <c r="K11000" t="str">
        <f>T("000000000000000000")</f>
        <v>000000000000000000</v>
      </c>
      <c r="L11000" t="str">
        <f>T("7574624591")</f>
        <v>7574624591</v>
      </c>
    </row>
    <row r="11001" spans="1:12" x14ac:dyDescent="0.35">
      <c r="A11001" t="str">
        <f t="shared" ref="A11001:B11003" si="4018">T("USS CARNEY DDG-64")</f>
        <v>USS CARNEY DDG-64</v>
      </c>
      <c r="B11001" t="str">
        <f t="shared" si="4018"/>
        <v>USS CARNEY DDG-64</v>
      </c>
      <c r="C11001" t="str">
        <f>T("UNIT 100302 BOX 1")</f>
        <v>UNIT 100302 BOX 1</v>
      </c>
      <c r="D11001" t="str">
        <f t="shared" ref="D11001:D11034" si="4019">T("FPO")</f>
        <v>FPO</v>
      </c>
      <c r="E11001" t="str">
        <f>T("AA")</f>
        <v>AA</v>
      </c>
      <c r="F11001" t="str">
        <f>T("340900200")</f>
        <v>340900200</v>
      </c>
      <c r="G11001" t="str">
        <f>T("USS CARNEY DDG 64")</f>
        <v>USS CARNEY DDG 64</v>
      </c>
      <c r="H11001" t="str">
        <f>T("UNIT 100302 BOX 1")</f>
        <v>UNIT 100302 BOX 1</v>
      </c>
      <c r="I11001" t="str">
        <f t="shared" si="4017"/>
        <v>FPO</v>
      </c>
      <c r="J11001" t="str">
        <f>T("AA")</f>
        <v>AA</v>
      </c>
      <c r="K11001" t="str">
        <f>T("000000000000000000")</f>
        <v>000000000000000000</v>
      </c>
      <c r="L11001" t="str">
        <f>T("9042707997")</f>
        <v>9042707997</v>
      </c>
    </row>
    <row r="11002" spans="1:12" x14ac:dyDescent="0.35">
      <c r="A11002" t="str">
        <f t="shared" si="4018"/>
        <v>USS CARNEY DDG-64</v>
      </c>
      <c r="B11002" t="str">
        <f t="shared" si="4018"/>
        <v>USS CARNEY DDG-64</v>
      </c>
      <c r="C11002" t="str">
        <f>T("UNIT 100302 BOX 1")</f>
        <v>UNIT 100302 BOX 1</v>
      </c>
      <c r="D11002" t="str">
        <f t="shared" si="4019"/>
        <v>FPO</v>
      </c>
      <c r="E11002" t="str">
        <f>T("AA")</f>
        <v>AA</v>
      </c>
      <c r="F11002" t="str">
        <f>T("340900200")</f>
        <v>340900200</v>
      </c>
      <c r="G11002" t="str">
        <f>T("USS CARNEY DDG-64")</f>
        <v>USS CARNEY DDG-64</v>
      </c>
      <c r="H11002" t="str">
        <f>T("UNIT 100302 BOX 1")</f>
        <v>UNIT 100302 BOX 1</v>
      </c>
      <c r="I11002" t="str">
        <f t="shared" si="4017"/>
        <v>FPO</v>
      </c>
      <c r="J11002" t="str">
        <f>T("AA")</f>
        <v>AA</v>
      </c>
      <c r="K11002" t="str">
        <f>T("")</f>
        <v/>
      </c>
      <c r="L11002" t="str">
        <f>T("9042707997")</f>
        <v>9042707997</v>
      </c>
    </row>
    <row r="11003" spans="1:12" x14ac:dyDescent="0.35">
      <c r="A11003" t="str">
        <f t="shared" si="4018"/>
        <v>USS CARNEY DDG-64</v>
      </c>
      <c r="B11003" t="str">
        <f t="shared" si="4018"/>
        <v>USS CARNEY DDG-64</v>
      </c>
      <c r="C11003" t="str">
        <f>T("UNIT 100302 BOX 1")</f>
        <v>UNIT 100302 BOX 1</v>
      </c>
      <c r="D11003" t="str">
        <f t="shared" si="4019"/>
        <v>FPO</v>
      </c>
      <c r="E11003" t="str">
        <f>T("AA")</f>
        <v>AA</v>
      </c>
      <c r="F11003" t="str">
        <f>T("340900200")</f>
        <v>340900200</v>
      </c>
      <c r="G11003" t="str">
        <f>T("USS CARNEY DDG64")</f>
        <v>USS CARNEY DDG64</v>
      </c>
      <c r="H11003" t="str">
        <f>T("UNIT 100302 BOX 1")</f>
        <v>UNIT 100302 BOX 1</v>
      </c>
      <c r="I11003" t="str">
        <f t="shared" si="4017"/>
        <v>FPO</v>
      </c>
      <c r="J11003" t="str">
        <f>T("AA")</f>
        <v>AA</v>
      </c>
      <c r="K11003" t="str">
        <f>T("000000000000000000")</f>
        <v>000000000000000000</v>
      </c>
      <c r="L11003" t="str">
        <f>T("9042707997")</f>
        <v>9042707997</v>
      </c>
    </row>
    <row r="11004" spans="1:12" x14ac:dyDescent="0.35">
      <c r="A11004" t="str">
        <f t="shared" ref="A11004:B11006" si="4020">T("USS COLE DDG 67")</f>
        <v>USS COLE DDG 67</v>
      </c>
      <c r="B11004" t="str">
        <f t="shared" si="4020"/>
        <v>USS COLE DDG 67</v>
      </c>
      <c r="C11004" t="str">
        <f>T("UNIT 100303 BOX1")</f>
        <v>UNIT 100303 BOX1</v>
      </c>
      <c r="D11004" t="str">
        <f t="shared" si="4019"/>
        <v>FPO</v>
      </c>
      <c r="E11004" t="str">
        <f>T("AE")</f>
        <v>AE</v>
      </c>
      <c r="F11004" t="str">
        <f>T("095660300")</f>
        <v>095660300</v>
      </c>
      <c r="G11004" t="str">
        <f>T("US COLE DDG67")</f>
        <v>US COLE DDG67</v>
      </c>
      <c r="H11004" t="str">
        <f>T("UNIT 100303 BOX 1")</f>
        <v>UNIT 100303 BOX 1</v>
      </c>
      <c r="I11004" t="str">
        <f t="shared" si="4017"/>
        <v>FPO</v>
      </c>
      <c r="J11004" t="str">
        <f>T("AE")</f>
        <v>AE</v>
      </c>
      <c r="K11004" t="str">
        <f>T("000000000000000000")</f>
        <v>000000000000000000</v>
      </c>
      <c r="L11004" t="str">
        <f>T("7574441938")</f>
        <v>7574441938</v>
      </c>
    </row>
    <row r="11005" spans="1:12" x14ac:dyDescent="0.35">
      <c r="A11005" t="str">
        <f t="shared" si="4020"/>
        <v>USS COLE DDG 67</v>
      </c>
      <c r="B11005" t="str">
        <f t="shared" si="4020"/>
        <v>USS COLE DDG 67</v>
      </c>
      <c r="C11005" t="str">
        <f>T("UNIT 100303 BOX1")</f>
        <v>UNIT 100303 BOX1</v>
      </c>
      <c r="D11005" t="str">
        <f t="shared" si="4019"/>
        <v>FPO</v>
      </c>
      <c r="E11005" t="str">
        <f>T("AE")</f>
        <v>AE</v>
      </c>
      <c r="F11005" t="str">
        <f>T("095660300")</f>
        <v>095660300</v>
      </c>
      <c r="G11005" t="str">
        <f>T("USS COLE DDG 67")</f>
        <v>USS COLE DDG 67</v>
      </c>
      <c r="H11005" t="str">
        <f>T("UNIT 100303 BOX1")</f>
        <v>UNIT 100303 BOX1</v>
      </c>
      <c r="I11005" t="str">
        <f t="shared" si="4017"/>
        <v>FPO</v>
      </c>
      <c r="J11005" t="str">
        <f>T("AE")</f>
        <v>AE</v>
      </c>
      <c r="K11005" t="str">
        <f>T("7574442207")</f>
        <v>7574442207</v>
      </c>
      <c r="L11005" t="str">
        <f>T("7574441938")</f>
        <v>7574441938</v>
      </c>
    </row>
    <row r="11006" spans="1:12" x14ac:dyDescent="0.35">
      <c r="A11006" t="str">
        <f t="shared" si="4020"/>
        <v>USS COLE DDG 67</v>
      </c>
      <c r="B11006" t="str">
        <f t="shared" si="4020"/>
        <v>USS COLE DDG 67</v>
      </c>
      <c r="C11006" t="str">
        <f>T("UNIT 100303 BOX1")</f>
        <v>UNIT 100303 BOX1</v>
      </c>
      <c r="D11006" t="str">
        <f t="shared" si="4019"/>
        <v>FPO</v>
      </c>
      <c r="E11006" t="str">
        <f>T("AE")</f>
        <v>AE</v>
      </c>
      <c r="F11006" t="str">
        <f>T("095660300")</f>
        <v>095660300</v>
      </c>
      <c r="G11006" t="str">
        <f>T("USS COLE DDG67")</f>
        <v>USS COLE DDG67</v>
      </c>
      <c r="H11006" t="str">
        <f>T("SUPPLY DEPT")</f>
        <v>SUPPLY DEPT</v>
      </c>
      <c r="I11006" t="str">
        <f t="shared" si="4017"/>
        <v>FPO</v>
      </c>
      <c r="J11006" t="str">
        <f>T("AE")</f>
        <v>AE</v>
      </c>
      <c r="K11006" t="str">
        <f>T("000000000000000000")</f>
        <v>000000000000000000</v>
      </c>
      <c r="L11006" t="str">
        <f>T("7574441938")</f>
        <v>7574441938</v>
      </c>
    </row>
    <row r="11007" spans="1:12" x14ac:dyDescent="0.35">
      <c r="A11007" t="str">
        <f t="shared" ref="A11007:B11009" si="4021">T("USS THE SULLIVANS DDG-68")</f>
        <v>USS THE SULLIVANS DDG-68</v>
      </c>
      <c r="B11007" t="str">
        <f t="shared" si="4021"/>
        <v>USS THE SULLIVANS DDG-68</v>
      </c>
      <c r="C11007" t="str">
        <f>T("UNIT 100307 BOX 1")</f>
        <v>UNIT 100307 BOX 1</v>
      </c>
      <c r="D11007" t="str">
        <f t="shared" si="4019"/>
        <v>FPO</v>
      </c>
      <c r="E11007" t="str">
        <f>T("AA")</f>
        <v>AA</v>
      </c>
      <c r="F11007" t="str">
        <f>T("340930700")</f>
        <v>340930700</v>
      </c>
      <c r="G11007" t="str">
        <f>T("USS THE SULLIVANS DDG 68")</f>
        <v>USS THE SULLIVANS DDG 68</v>
      </c>
      <c r="H11007" t="str">
        <f>T("ATTN SUPPLY OFFICER")</f>
        <v>ATTN SUPPLY OFFICER</v>
      </c>
      <c r="I11007" t="str">
        <f t="shared" si="4017"/>
        <v>FPO</v>
      </c>
      <c r="J11007" t="str">
        <f>T("AA")</f>
        <v>AA</v>
      </c>
      <c r="K11007" t="str">
        <f>T("000000000000000000")</f>
        <v>000000000000000000</v>
      </c>
      <c r="L11007" t="str">
        <f>T("9042707983")</f>
        <v>9042707983</v>
      </c>
    </row>
    <row r="11008" spans="1:12" x14ac:dyDescent="0.35">
      <c r="A11008" t="str">
        <f t="shared" si="4021"/>
        <v>USS THE SULLIVANS DDG-68</v>
      </c>
      <c r="B11008" t="str">
        <f t="shared" si="4021"/>
        <v>USS THE SULLIVANS DDG-68</v>
      </c>
      <c r="C11008" t="str">
        <f>T("UNIT 100307 BOX 1")</f>
        <v>UNIT 100307 BOX 1</v>
      </c>
      <c r="D11008" t="str">
        <f t="shared" si="4019"/>
        <v>FPO</v>
      </c>
      <c r="E11008" t="str">
        <f>T("AA")</f>
        <v>AA</v>
      </c>
      <c r="F11008" t="str">
        <f>T("340930700")</f>
        <v>340930700</v>
      </c>
      <c r="G11008" t="str">
        <f>T("USS THE SULLIVANS DDG-68")</f>
        <v>USS THE SULLIVANS DDG-68</v>
      </c>
      <c r="H11008" t="str">
        <f>T("UNIT 100307 BOX 1")</f>
        <v>UNIT 100307 BOX 1</v>
      </c>
      <c r="I11008" t="str">
        <f t="shared" si="4017"/>
        <v>FPO</v>
      </c>
      <c r="J11008" t="str">
        <f>T("AA")</f>
        <v>AA</v>
      </c>
      <c r="K11008" t="str">
        <f>T("")</f>
        <v/>
      </c>
      <c r="L11008" t="str">
        <f>T("9042707983")</f>
        <v>9042707983</v>
      </c>
    </row>
    <row r="11009" spans="1:12" x14ac:dyDescent="0.35">
      <c r="A11009" t="str">
        <f t="shared" si="4021"/>
        <v>USS THE SULLIVANS DDG-68</v>
      </c>
      <c r="B11009" t="str">
        <f t="shared" si="4021"/>
        <v>USS THE SULLIVANS DDG-68</v>
      </c>
      <c r="C11009" t="str">
        <f>T("UNIT 100307 BOX 1")</f>
        <v>UNIT 100307 BOX 1</v>
      </c>
      <c r="D11009" t="str">
        <f t="shared" si="4019"/>
        <v>FPO</v>
      </c>
      <c r="E11009" t="str">
        <f>T("AA")</f>
        <v>AA</v>
      </c>
      <c r="F11009" t="str">
        <f>T("340930700")</f>
        <v>340930700</v>
      </c>
      <c r="G11009" t="str">
        <f>T("USS THE SULLIVANS DDG-68")</f>
        <v>USS THE SULLIVANS DDG-68</v>
      </c>
      <c r="H11009" t="str">
        <f>T("UNIT 100307 BOX 1")</f>
        <v>UNIT 100307 BOX 1</v>
      </c>
      <c r="I11009" t="str">
        <f t="shared" si="4017"/>
        <v>FPO</v>
      </c>
      <c r="J11009" t="str">
        <f>T("AA")</f>
        <v>AA</v>
      </c>
      <c r="K11009" t="str">
        <f>T("000000000000000000")</f>
        <v>000000000000000000</v>
      </c>
      <c r="L11009" t="str">
        <f>T("9042707983")</f>
        <v>9042707983</v>
      </c>
    </row>
    <row r="11010" spans="1:12" x14ac:dyDescent="0.35">
      <c r="A11010" t="str">
        <f>T("USS ROSS DDG 71")</f>
        <v>USS ROSS DDG 71</v>
      </c>
      <c r="B11010" t="str">
        <f>T("USS ROSS DDG-71")</f>
        <v>USS ROSS DDG-71</v>
      </c>
      <c r="C11010" t="str">
        <f>T("UNIT 100308 BOX 199")</f>
        <v>UNIT 100308 BOX 199</v>
      </c>
      <c r="D11010" t="str">
        <f t="shared" si="4019"/>
        <v>FPO</v>
      </c>
      <c r="E11010" t="str">
        <f t="shared" ref="E11010:E11031" si="4022">T("AE")</f>
        <v>AE</v>
      </c>
      <c r="F11010" t="str">
        <f>T("095860801")</f>
        <v>095860801</v>
      </c>
      <c r="G11010" t="str">
        <f>T("USS ROSS DDG-71")</f>
        <v>USS ROSS DDG-71</v>
      </c>
      <c r="H11010" t="str">
        <f>T("UNIT 100308 BOX 199")</f>
        <v>UNIT 100308 BOX 199</v>
      </c>
      <c r="I11010" t="str">
        <f t="shared" si="4017"/>
        <v>FPO</v>
      </c>
      <c r="J11010" t="str">
        <f t="shared" ref="J11010:J11025" si="4023">T("AE")</f>
        <v>AE</v>
      </c>
      <c r="K11010" t="str">
        <f>T("000000000000000000")</f>
        <v>000000000000000000</v>
      </c>
      <c r="L11010" t="str">
        <f>T("7574438522")</f>
        <v>7574438522</v>
      </c>
    </row>
    <row r="11011" spans="1:12" x14ac:dyDescent="0.35">
      <c r="A11011" t="str">
        <f>T("USS ROSS DDG 71")</f>
        <v>USS ROSS DDG 71</v>
      </c>
      <c r="B11011" t="str">
        <f>T("USS ROSS DDG-71")</f>
        <v>USS ROSS DDG-71</v>
      </c>
      <c r="C11011" t="str">
        <f>T("UNIT 100308 BOX 199")</f>
        <v>UNIT 100308 BOX 199</v>
      </c>
      <c r="D11011" t="str">
        <f t="shared" si="4019"/>
        <v>FPO</v>
      </c>
      <c r="E11011" t="str">
        <f t="shared" si="4022"/>
        <v>AE</v>
      </c>
      <c r="F11011" t="str">
        <f>T("095860801")</f>
        <v>095860801</v>
      </c>
      <c r="G11011" t="str">
        <f>T("USS ROSS DDG71")</f>
        <v>USS ROSS DDG71</v>
      </c>
      <c r="H11011" t="str">
        <f>T("UNIT 100308 BOX 1")</f>
        <v>UNIT 100308 BOX 1</v>
      </c>
      <c r="I11011" t="str">
        <f t="shared" si="4017"/>
        <v>FPO</v>
      </c>
      <c r="J11011" t="str">
        <f t="shared" si="4023"/>
        <v>AE</v>
      </c>
      <c r="K11011" t="str">
        <f>T("000000000000000000")</f>
        <v>000000000000000000</v>
      </c>
      <c r="L11011" t="str">
        <f>T("7574438522")</f>
        <v>7574438522</v>
      </c>
    </row>
    <row r="11012" spans="1:12" x14ac:dyDescent="0.35">
      <c r="A11012" t="str">
        <f>T("USS ROSS DDG 71")</f>
        <v>USS ROSS DDG 71</v>
      </c>
      <c r="B11012" t="str">
        <f>T("USS ROSS DDG-71")</f>
        <v>USS ROSS DDG-71</v>
      </c>
      <c r="C11012" t="str">
        <f>T("UNIT 100308 BOX 199")</f>
        <v>UNIT 100308 BOX 199</v>
      </c>
      <c r="D11012" t="str">
        <f t="shared" si="4019"/>
        <v>FPO</v>
      </c>
      <c r="E11012" t="str">
        <f t="shared" si="4022"/>
        <v>AE</v>
      </c>
      <c r="F11012" t="str">
        <f>T("095860801")</f>
        <v>095860801</v>
      </c>
      <c r="G11012" t="str">
        <f>T("USS ROSS DDG91")</f>
        <v>USS ROSS DDG91</v>
      </c>
      <c r="H11012" t="str">
        <f>T("UNIT 100308 BOX 1")</f>
        <v>UNIT 100308 BOX 1</v>
      </c>
      <c r="I11012" t="str">
        <f t="shared" si="4017"/>
        <v>FPO</v>
      </c>
      <c r="J11012" t="str">
        <f t="shared" si="4023"/>
        <v>AE</v>
      </c>
      <c r="K11012" t="str">
        <f>T("000000000000000000")</f>
        <v>000000000000000000</v>
      </c>
      <c r="L11012" t="str">
        <f>T("7574438522")</f>
        <v>7574438522</v>
      </c>
    </row>
    <row r="11013" spans="1:12" x14ac:dyDescent="0.35">
      <c r="A11013" t="str">
        <f t="shared" ref="A11013:B11015" si="4024">T("USS MAHAN DDG-72")</f>
        <v>USS MAHAN DDG-72</v>
      </c>
      <c r="B11013" t="str">
        <f t="shared" si="4024"/>
        <v>USS MAHAN DDG-72</v>
      </c>
      <c r="C11013" t="str">
        <f>T("UNIT 100310 BOX 1")</f>
        <v>UNIT 100310 BOX 1</v>
      </c>
      <c r="D11013" t="str">
        <f t="shared" si="4019"/>
        <v>FPO</v>
      </c>
      <c r="E11013" t="str">
        <f t="shared" si="4022"/>
        <v>AE</v>
      </c>
      <c r="F11013" t="str">
        <f>T("095781000")</f>
        <v>095781000</v>
      </c>
      <c r="G11013" t="str">
        <f>T("USS MAHAN DDG-72")</f>
        <v>USS MAHAN DDG-72</v>
      </c>
      <c r="H11013" t="str">
        <f>T("UNIT 100310 BOX 1")</f>
        <v>UNIT 100310 BOX 1</v>
      </c>
      <c r="I11013" t="str">
        <f t="shared" si="4017"/>
        <v>FPO</v>
      </c>
      <c r="J11013" t="str">
        <f t="shared" si="4023"/>
        <v>AE</v>
      </c>
      <c r="K11013" t="str">
        <f>T("7574446660")</f>
        <v>7574446660</v>
      </c>
      <c r="L11013" t="str">
        <f>T("7574446660")</f>
        <v>7574446660</v>
      </c>
    </row>
    <row r="11014" spans="1:12" x14ac:dyDescent="0.35">
      <c r="A11014" t="str">
        <f t="shared" si="4024"/>
        <v>USS MAHAN DDG-72</v>
      </c>
      <c r="B11014" t="str">
        <f t="shared" si="4024"/>
        <v>USS MAHAN DDG-72</v>
      </c>
      <c r="C11014" t="str">
        <f>T("UNIT 100310 BOX 1")</f>
        <v>UNIT 100310 BOX 1</v>
      </c>
      <c r="D11014" t="str">
        <f t="shared" si="4019"/>
        <v>FPO</v>
      </c>
      <c r="E11014" t="str">
        <f t="shared" si="4022"/>
        <v>AE</v>
      </c>
      <c r="F11014" t="str">
        <f>T("095781000")</f>
        <v>095781000</v>
      </c>
      <c r="G11014" t="str">
        <f>T("USS MAHAN DDG72")</f>
        <v>USS MAHAN DDG72</v>
      </c>
      <c r="H11014" t="str">
        <f>T("UNIT 100310 BOX 1")</f>
        <v>UNIT 100310 BOX 1</v>
      </c>
      <c r="I11014" t="str">
        <f t="shared" si="4017"/>
        <v>FPO</v>
      </c>
      <c r="J11014" t="str">
        <f t="shared" si="4023"/>
        <v>AE</v>
      </c>
      <c r="K11014" t="str">
        <f>T("000000000000000000")</f>
        <v>000000000000000000</v>
      </c>
      <c r="L11014" t="str">
        <f>T("7574436660")</f>
        <v>7574436660</v>
      </c>
    </row>
    <row r="11015" spans="1:12" x14ac:dyDescent="0.35">
      <c r="A11015" t="str">
        <f t="shared" si="4024"/>
        <v>USS MAHAN DDG-72</v>
      </c>
      <c r="B11015" t="str">
        <f t="shared" si="4024"/>
        <v>USS MAHAN DDG-72</v>
      </c>
      <c r="C11015" t="str">
        <f>T("UNIT 100310 BOX 1")</f>
        <v>UNIT 100310 BOX 1</v>
      </c>
      <c r="D11015" t="str">
        <f t="shared" si="4019"/>
        <v>FPO</v>
      </c>
      <c r="E11015" t="str">
        <f t="shared" si="4022"/>
        <v>AE</v>
      </c>
      <c r="F11015" t="str">
        <f>T("095781000")</f>
        <v>095781000</v>
      </c>
      <c r="G11015" t="str">
        <f>T("USS MAHAN DDG72")</f>
        <v>USS MAHAN DDG72</v>
      </c>
      <c r="H11015" t="str">
        <f>T("UNIT 100310 BOX 1")</f>
        <v>UNIT 100310 BOX 1</v>
      </c>
      <c r="I11015" t="str">
        <f t="shared" si="4017"/>
        <v>FPO</v>
      </c>
      <c r="J11015" t="str">
        <f t="shared" si="4023"/>
        <v>AE</v>
      </c>
      <c r="K11015" t="str">
        <f>T("000000000000000000")</f>
        <v>000000000000000000</v>
      </c>
      <c r="L11015" t="str">
        <f>T("7574446660")</f>
        <v>7574446660</v>
      </c>
    </row>
    <row r="11016" spans="1:12" x14ac:dyDescent="0.35">
      <c r="A11016" t="str">
        <f t="shared" ref="A11016:B11018" si="4025">T("USS MCFAUL DDG 74")</f>
        <v>USS MCFAUL DDG 74</v>
      </c>
      <c r="B11016" t="str">
        <f t="shared" si="4025"/>
        <v>USS MCFAUL DDG 74</v>
      </c>
      <c r="C11016" t="str">
        <f>T("UNIT 100311 BOX 1")</f>
        <v>UNIT 100311 BOX 1</v>
      </c>
      <c r="D11016" t="str">
        <f t="shared" si="4019"/>
        <v>FPO</v>
      </c>
      <c r="E11016" t="str">
        <f t="shared" si="4022"/>
        <v>AE</v>
      </c>
      <c r="F11016" t="str">
        <f>T("095781100")</f>
        <v>095781100</v>
      </c>
      <c r="G11016" t="str">
        <f>T("USS MCFAUL DDG 74")</f>
        <v>USS MCFAUL DDG 74</v>
      </c>
      <c r="H11016" t="str">
        <f>T("UNIT 100311 BOX 1")</f>
        <v>UNIT 100311 BOX 1</v>
      </c>
      <c r="I11016" t="str">
        <f t="shared" si="4017"/>
        <v>FPO</v>
      </c>
      <c r="J11016" t="str">
        <f t="shared" si="4023"/>
        <v>AE</v>
      </c>
      <c r="K11016" t="str">
        <f>T("")</f>
        <v/>
      </c>
      <c r="L11016" t="str">
        <f>T("7574456141")</f>
        <v>7574456141</v>
      </c>
    </row>
    <row r="11017" spans="1:12" x14ac:dyDescent="0.35">
      <c r="A11017" t="str">
        <f t="shared" si="4025"/>
        <v>USS MCFAUL DDG 74</v>
      </c>
      <c r="B11017" t="str">
        <f t="shared" si="4025"/>
        <v>USS MCFAUL DDG 74</v>
      </c>
      <c r="C11017" t="str">
        <f>T("UNIT 100311 BOX 1")</f>
        <v>UNIT 100311 BOX 1</v>
      </c>
      <c r="D11017" t="str">
        <f t="shared" si="4019"/>
        <v>FPO</v>
      </c>
      <c r="E11017" t="str">
        <f t="shared" si="4022"/>
        <v>AE</v>
      </c>
      <c r="F11017" t="str">
        <f>T("095781100")</f>
        <v>095781100</v>
      </c>
      <c r="G11017" t="str">
        <f>T("USS MCFAUL DDG74")</f>
        <v>USS MCFAUL DDG74</v>
      </c>
      <c r="H11017" t="str">
        <f>T("UNIT 10031 BOX 2043")</f>
        <v>UNIT 10031 BOX 2043</v>
      </c>
      <c r="I11017" t="str">
        <f t="shared" si="4017"/>
        <v>FPO</v>
      </c>
      <c r="J11017" t="str">
        <f t="shared" si="4023"/>
        <v>AE</v>
      </c>
      <c r="K11017" t="str">
        <f>T("000000000000000000")</f>
        <v>000000000000000000</v>
      </c>
      <c r="L11017" t="str">
        <f>T("7574456141")</f>
        <v>7574456141</v>
      </c>
    </row>
    <row r="11018" spans="1:12" x14ac:dyDescent="0.35">
      <c r="A11018" t="str">
        <f t="shared" si="4025"/>
        <v>USS MCFAUL DDG 74</v>
      </c>
      <c r="B11018" t="str">
        <f t="shared" si="4025"/>
        <v>USS MCFAUL DDG 74</v>
      </c>
      <c r="C11018" t="str">
        <f>T("UNIT 100311 BOX 1")</f>
        <v>UNIT 100311 BOX 1</v>
      </c>
      <c r="D11018" t="str">
        <f t="shared" si="4019"/>
        <v>FPO</v>
      </c>
      <c r="E11018" t="str">
        <f t="shared" si="4022"/>
        <v>AE</v>
      </c>
      <c r="F11018" t="str">
        <f>T("095781100")</f>
        <v>095781100</v>
      </c>
      <c r="G11018" t="str">
        <f>T("USS MCFAUL DDG74")</f>
        <v>USS MCFAUL DDG74</v>
      </c>
      <c r="H11018" t="str">
        <f>T("UNIT 100311 BOX 1")</f>
        <v>UNIT 100311 BOX 1</v>
      </c>
      <c r="I11018" t="str">
        <f t="shared" si="4017"/>
        <v>FPO</v>
      </c>
      <c r="J11018" t="str">
        <f t="shared" si="4023"/>
        <v>AE</v>
      </c>
      <c r="K11018" t="str">
        <f>T("000000000000000000")</f>
        <v>000000000000000000</v>
      </c>
      <c r="L11018" t="str">
        <f>T("7574456141")</f>
        <v>7574456141</v>
      </c>
    </row>
    <row r="11019" spans="1:12" x14ac:dyDescent="0.35">
      <c r="A11019" t="str">
        <f>T("USS DONALD COOK DDG75")</f>
        <v>USS DONALD COOK DDG75</v>
      </c>
      <c r="B11019" t="str">
        <f>T("USS DONALD COOK DDG-75")</f>
        <v>USS DONALD COOK DDG-75</v>
      </c>
      <c r="C11019" t="str">
        <f>T("UNIT 100516 BOX 1")</f>
        <v>UNIT 100516 BOX 1</v>
      </c>
      <c r="D11019" t="str">
        <f t="shared" si="4019"/>
        <v>FPO</v>
      </c>
      <c r="E11019" t="str">
        <f t="shared" si="4022"/>
        <v>AE</v>
      </c>
      <c r="F11019" t="str">
        <f>T("095661600")</f>
        <v>095661600</v>
      </c>
      <c r="G11019" t="str">
        <f>T("USS DONALD COOK DDG-75")</f>
        <v>USS DONALD COOK DDG-75</v>
      </c>
      <c r="H11019" t="str">
        <f>T("UNIT 100516 BOX 1")</f>
        <v>UNIT 100516 BOX 1</v>
      </c>
      <c r="I11019" t="str">
        <f t="shared" si="4017"/>
        <v>FPO</v>
      </c>
      <c r="J11019" t="str">
        <f t="shared" si="4023"/>
        <v>AE</v>
      </c>
      <c r="K11019" t="str">
        <f>T("757 445 1614")</f>
        <v>757 445 1614</v>
      </c>
      <c r="L11019" t="str">
        <f>T("1111111111")</f>
        <v>1111111111</v>
      </c>
    </row>
    <row r="11020" spans="1:12" x14ac:dyDescent="0.35">
      <c r="A11020" t="str">
        <f>T("USS DONALD COOK DDG75")</f>
        <v>USS DONALD COOK DDG75</v>
      </c>
      <c r="B11020" t="str">
        <f>T("USS DONALD COOK DDG-75")</f>
        <v>USS DONALD COOK DDG-75</v>
      </c>
      <c r="C11020" t="str">
        <f>T("UNIT 100516 BOX 1")</f>
        <v>UNIT 100516 BOX 1</v>
      </c>
      <c r="D11020" t="str">
        <f t="shared" si="4019"/>
        <v>FPO</v>
      </c>
      <c r="E11020" t="str">
        <f t="shared" si="4022"/>
        <v>AE</v>
      </c>
      <c r="F11020" t="str">
        <f>T("095661600")</f>
        <v>095661600</v>
      </c>
      <c r="G11020" t="str">
        <f>T("USS DONALD COOK DDG75")</f>
        <v>USS DONALD COOK DDG75</v>
      </c>
      <c r="H11020" t="str">
        <f>T("SUPPLY DEPT")</f>
        <v>SUPPLY DEPT</v>
      </c>
      <c r="I11020" t="str">
        <f t="shared" si="4017"/>
        <v>FPO</v>
      </c>
      <c r="J11020" t="str">
        <f t="shared" si="4023"/>
        <v>AE</v>
      </c>
      <c r="K11020" t="str">
        <f>T("01134956822152")</f>
        <v>01134956822152</v>
      </c>
      <c r="L11020" t="str">
        <f>T("1111111111")</f>
        <v>1111111111</v>
      </c>
    </row>
    <row r="11021" spans="1:12" x14ac:dyDescent="0.35">
      <c r="A11021" t="str">
        <f>T("USS DONALD COOK DDG75")</f>
        <v>USS DONALD COOK DDG75</v>
      </c>
      <c r="B11021" t="str">
        <f>T("USS DONALD COOK DDG-75")</f>
        <v>USS DONALD COOK DDG-75</v>
      </c>
      <c r="C11021" t="str">
        <f>T("UNIT 100516 BOX 1")</f>
        <v>UNIT 100516 BOX 1</v>
      </c>
      <c r="D11021" t="str">
        <f t="shared" si="4019"/>
        <v>FPO</v>
      </c>
      <c r="E11021" t="str">
        <f t="shared" si="4022"/>
        <v>AE</v>
      </c>
      <c r="F11021" t="str">
        <f>T("095661600")</f>
        <v>095661600</v>
      </c>
      <c r="G11021" t="str">
        <f>T("USS DONALD COOK DDG75")</f>
        <v>USS DONALD COOK DDG75</v>
      </c>
      <c r="H11021" t="str">
        <f>T("UNIT 100516 BOX 1")</f>
        <v>UNIT 100516 BOX 1</v>
      </c>
      <c r="I11021" t="str">
        <f t="shared" si="4017"/>
        <v>FPO</v>
      </c>
      <c r="J11021" t="str">
        <f t="shared" si="4023"/>
        <v>AE</v>
      </c>
      <c r="K11021" t="str">
        <f>T("")</f>
        <v/>
      </c>
      <c r="L11021" t="str">
        <f>T("1111111111")</f>
        <v>1111111111</v>
      </c>
    </row>
    <row r="11022" spans="1:12" x14ac:dyDescent="0.35">
      <c r="A11022" t="str">
        <f>T("USS PORTER DDG 78")</f>
        <v>USS PORTER DDG 78</v>
      </c>
      <c r="B11022" t="str">
        <f>T("USS PORTER DDG-78")</f>
        <v>USS PORTER DDG-78</v>
      </c>
      <c r="C11022" t="str">
        <f>T("UNIT 100313 BOX 1")</f>
        <v>UNIT 100313 BOX 1</v>
      </c>
      <c r="D11022" t="str">
        <f t="shared" si="4019"/>
        <v>FPO</v>
      </c>
      <c r="E11022" t="str">
        <f t="shared" si="4022"/>
        <v>AE</v>
      </c>
      <c r="F11022" t="str">
        <f>T("095821300")</f>
        <v>095821300</v>
      </c>
      <c r="G11022" t="str">
        <f>T("USS PORTER DDG-78")</f>
        <v>USS PORTER DDG-78</v>
      </c>
      <c r="H11022" t="str">
        <f>T("UNIT 100313 BOX 1")</f>
        <v>UNIT 100313 BOX 1</v>
      </c>
      <c r="I11022" t="str">
        <f t="shared" si="4017"/>
        <v>FPO</v>
      </c>
      <c r="J11022" t="str">
        <f t="shared" si="4023"/>
        <v>AE</v>
      </c>
      <c r="K11022" t="str">
        <f>T("7574457525")</f>
        <v>7574457525</v>
      </c>
      <c r="L11022" t="str">
        <f>T("7574457525")</f>
        <v>7574457525</v>
      </c>
    </row>
    <row r="11023" spans="1:12" x14ac:dyDescent="0.35">
      <c r="A11023" t="str">
        <f>T("USS PORTER DDG 78")</f>
        <v>USS PORTER DDG 78</v>
      </c>
      <c r="B11023" t="str">
        <f>T("USS PORTER DDG-78")</f>
        <v>USS PORTER DDG-78</v>
      </c>
      <c r="C11023" t="str">
        <f>T("UNIT 100313 BOX 1")</f>
        <v>UNIT 100313 BOX 1</v>
      </c>
      <c r="D11023" t="str">
        <f t="shared" si="4019"/>
        <v>FPO</v>
      </c>
      <c r="E11023" t="str">
        <f t="shared" si="4022"/>
        <v>AE</v>
      </c>
      <c r="F11023" t="str">
        <f>T("095821300")</f>
        <v>095821300</v>
      </c>
      <c r="G11023" t="str">
        <f>T("USS PORTER DDG78")</f>
        <v>USS PORTER DDG78</v>
      </c>
      <c r="H11023" t="str">
        <f>T("UNIT 100313 BOX 1")</f>
        <v>UNIT 100313 BOX 1</v>
      </c>
      <c r="I11023" t="str">
        <f t="shared" si="4017"/>
        <v>FPO</v>
      </c>
      <c r="J11023" t="str">
        <f t="shared" si="4023"/>
        <v>AE</v>
      </c>
      <c r="K11023" t="str">
        <f>T("000000000000000000")</f>
        <v>000000000000000000</v>
      </c>
      <c r="L11023" t="str">
        <f>T("3147272350")</f>
        <v>3147272350</v>
      </c>
    </row>
    <row r="11024" spans="1:12" x14ac:dyDescent="0.35">
      <c r="A11024" t="str">
        <f>T("USS PORTER DDG 78")</f>
        <v>USS PORTER DDG 78</v>
      </c>
      <c r="B11024" t="str">
        <f>T("USS PORTER DDG-78")</f>
        <v>USS PORTER DDG-78</v>
      </c>
      <c r="C11024" t="str">
        <f>T("UNIT 100313 BOX 1")</f>
        <v>UNIT 100313 BOX 1</v>
      </c>
      <c r="D11024" t="str">
        <f t="shared" si="4019"/>
        <v>FPO</v>
      </c>
      <c r="E11024" t="str">
        <f t="shared" si="4022"/>
        <v>AE</v>
      </c>
      <c r="F11024" t="str">
        <f>T("095821300")</f>
        <v>095821300</v>
      </c>
      <c r="G11024" t="str">
        <f>T("USS PORTER DDG78")</f>
        <v>USS PORTER DDG78</v>
      </c>
      <c r="H11024" t="str">
        <f>T("UNIT 100313 BOX 1")</f>
        <v>UNIT 100313 BOX 1</v>
      </c>
      <c r="I11024" t="str">
        <f t="shared" si="4017"/>
        <v>FPO</v>
      </c>
      <c r="J11024" t="str">
        <f t="shared" si="4023"/>
        <v>AE</v>
      </c>
      <c r="K11024" t="str">
        <f>T("000000000000000000")</f>
        <v>000000000000000000</v>
      </c>
      <c r="L11024" t="str">
        <f>T("7574457525")</f>
        <v>7574457525</v>
      </c>
    </row>
    <row r="11025" spans="1:12" x14ac:dyDescent="0.35">
      <c r="A11025" t="str">
        <f>T("USS WINSTON S CHURCHILL")</f>
        <v>USS WINSTON S CHURCHILL</v>
      </c>
      <c r="B11025" t="str">
        <f>T("USS WINSTON CHURCHILL DDG-81")</f>
        <v>USS WINSTON CHURCHILL DDG-81</v>
      </c>
      <c r="C11025" t="str">
        <f>T("UNIT 100317 BOX 1")</f>
        <v>UNIT 100317 BOX 1</v>
      </c>
      <c r="D11025" t="str">
        <f t="shared" si="4019"/>
        <v>FPO</v>
      </c>
      <c r="E11025" t="str">
        <f t="shared" si="4022"/>
        <v>AE</v>
      </c>
      <c r="F11025" t="str">
        <f>T("095911700")</f>
        <v>095911700</v>
      </c>
      <c r="G11025" t="str">
        <f>T("USS WINSTON CHURCHILL DDG-81")</f>
        <v>USS WINSTON CHURCHILL DDG-81</v>
      </c>
      <c r="H11025" t="str">
        <f>T("UNIT 100317 BOX 1")</f>
        <v>UNIT 100317 BOX 1</v>
      </c>
      <c r="I11025" t="str">
        <f t="shared" si="4017"/>
        <v>FPO</v>
      </c>
      <c r="J11025" t="str">
        <f t="shared" si="4023"/>
        <v>AE</v>
      </c>
      <c r="K11025" t="str">
        <f>T("")</f>
        <v/>
      </c>
      <c r="L11025" t="str">
        <f>T("7574443284")</f>
        <v>7574443284</v>
      </c>
    </row>
    <row r="11026" spans="1:12" x14ac:dyDescent="0.35">
      <c r="A11026" t="str">
        <f>T("USS WINSTON S CHURCHILL")</f>
        <v>USS WINSTON S CHURCHILL</v>
      </c>
      <c r="B11026" t="str">
        <f>T("USS WINSTON CHURCHILL DDG-81")</f>
        <v>USS WINSTON CHURCHILL DDG-81</v>
      </c>
      <c r="C11026" t="str">
        <f>T("UNIT 100317 BOX 1")</f>
        <v>UNIT 100317 BOX 1</v>
      </c>
      <c r="D11026" t="str">
        <f t="shared" si="4019"/>
        <v>FPO</v>
      </c>
      <c r="E11026" t="str">
        <f t="shared" si="4022"/>
        <v>AE</v>
      </c>
      <c r="F11026" t="str">
        <f>T("095911700")</f>
        <v>095911700</v>
      </c>
      <c r="G11026" t="str">
        <f>T("USS WINSTON S CHURCHILL")</f>
        <v>USS WINSTON S CHURCHILL</v>
      </c>
      <c r="H11026" t="str">
        <f>T("1751 MORRIS ST BLDG 29")</f>
        <v>1751 MORRIS ST BLDG 29</v>
      </c>
      <c r="I11026" t="str">
        <f>T("NORFOLK")</f>
        <v>NORFOLK</v>
      </c>
      <c r="J11026" t="str">
        <f>T("VA")</f>
        <v>VA</v>
      </c>
      <c r="K11026" t="str">
        <f>T("000000000000000000")</f>
        <v>000000000000000000</v>
      </c>
      <c r="L11026" t="str">
        <f>T("7574456415")</f>
        <v>7574456415</v>
      </c>
    </row>
    <row r="11027" spans="1:12" x14ac:dyDescent="0.35">
      <c r="A11027" t="str">
        <f t="shared" ref="A11027:B11031" si="4026">T("USS OAK HILL LSD-51")</f>
        <v>USS OAK HILL LSD-51</v>
      </c>
      <c r="B11027" t="str">
        <f t="shared" si="4026"/>
        <v>USS OAK HILL LSD-51</v>
      </c>
      <c r="C11027" t="str">
        <f>T("UNIT 100304 BOX 1")</f>
        <v>UNIT 100304 BOX 1</v>
      </c>
      <c r="D11027" t="str">
        <f t="shared" si="4019"/>
        <v>FPO</v>
      </c>
      <c r="E11027" t="str">
        <f t="shared" si="4022"/>
        <v>AE</v>
      </c>
      <c r="F11027" t="str">
        <f>T("095730400")</f>
        <v>095730400</v>
      </c>
      <c r="G11027" t="str">
        <f>T("CNSL ATTN D CAREY")</f>
        <v>CNSL ATTN D CAREY</v>
      </c>
      <c r="H11027" t="str">
        <f>T("1751 MORRIS ST BLDG D29")</f>
        <v>1751 MORRIS ST BLDG D29</v>
      </c>
      <c r="I11027" t="str">
        <f>T("NORFOLK")</f>
        <v>NORFOLK</v>
      </c>
      <c r="J11027" t="str">
        <f>T("VA")</f>
        <v>VA</v>
      </c>
      <c r="K11027" t="str">
        <f>T("000000000000000000")</f>
        <v>000000000000000000</v>
      </c>
      <c r="L11027" t="str">
        <f>T("7574627896")</f>
        <v>7574627896</v>
      </c>
    </row>
    <row r="11028" spans="1:12" x14ac:dyDescent="0.35">
      <c r="A11028" t="str">
        <f t="shared" si="4026"/>
        <v>USS OAK HILL LSD-51</v>
      </c>
      <c r="B11028" t="str">
        <f t="shared" si="4026"/>
        <v>USS OAK HILL LSD-51</v>
      </c>
      <c r="C11028" t="str">
        <f>T("UNIT 100304 BOX 1")</f>
        <v>UNIT 100304 BOX 1</v>
      </c>
      <c r="D11028" t="str">
        <f t="shared" si="4019"/>
        <v>FPO</v>
      </c>
      <c r="E11028" t="str">
        <f t="shared" si="4022"/>
        <v>AE</v>
      </c>
      <c r="F11028" t="str">
        <f>T("095730400")</f>
        <v>095730400</v>
      </c>
      <c r="G11028" t="str">
        <f>T("USS OAK HILL LSD-51")</f>
        <v>USS OAK HILL LSD-51</v>
      </c>
      <c r="H11028" t="str">
        <f>T("UNIT 100304 BOX 1")</f>
        <v>UNIT 100304 BOX 1</v>
      </c>
      <c r="I11028" t="str">
        <f t="shared" ref="I11028:I11034" si="4027">T("FPO")</f>
        <v>FPO</v>
      </c>
      <c r="J11028" t="str">
        <f>T("AE")</f>
        <v>AE</v>
      </c>
      <c r="K11028" t="str">
        <f>T("")</f>
        <v/>
      </c>
      <c r="L11028" t="str">
        <f>T("7574627896")</f>
        <v>7574627896</v>
      </c>
    </row>
    <row r="11029" spans="1:12" x14ac:dyDescent="0.35">
      <c r="A11029" t="str">
        <f t="shared" si="4026"/>
        <v>USS OAK HILL LSD-51</v>
      </c>
      <c r="B11029" t="str">
        <f t="shared" si="4026"/>
        <v>USS OAK HILL LSD-51</v>
      </c>
      <c r="C11029" t="str">
        <f>T("UNIT 100304 BOX 1")</f>
        <v>UNIT 100304 BOX 1</v>
      </c>
      <c r="D11029" t="str">
        <f t="shared" si="4019"/>
        <v>FPO</v>
      </c>
      <c r="E11029" t="str">
        <f t="shared" si="4022"/>
        <v>AE</v>
      </c>
      <c r="F11029" t="str">
        <f>T("095730400")</f>
        <v>095730400</v>
      </c>
      <c r="G11029" t="str">
        <f>T("USS OAK HILL LSD51")</f>
        <v>USS OAK HILL LSD51</v>
      </c>
      <c r="H11029" t="str">
        <f>T("SUPPLY DEPT")</f>
        <v>SUPPLY DEPT</v>
      </c>
      <c r="I11029" t="str">
        <f t="shared" si="4027"/>
        <v>FPO</v>
      </c>
      <c r="J11029" t="str">
        <f>T("AE")</f>
        <v>AE</v>
      </c>
      <c r="K11029" t="str">
        <f>T("000000000000000000")</f>
        <v>000000000000000000</v>
      </c>
      <c r="L11029" t="str">
        <f>T("7574627896")</f>
        <v>7574627896</v>
      </c>
    </row>
    <row r="11030" spans="1:12" x14ac:dyDescent="0.35">
      <c r="A11030" t="str">
        <f t="shared" si="4026"/>
        <v>USS OAK HILL LSD-51</v>
      </c>
      <c r="B11030" t="str">
        <f t="shared" si="4026"/>
        <v>USS OAK HILL LSD-51</v>
      </c>
      <c r="C11030" t="str">
        <f>T("UNIT 100304 BOX 1")</f>
        <v>UNIT 100304 BOX 1</v>
      </c>
      <c r="D11030" t="str">
        <f t="shared" si="4019"/>
        <v>FPO</v>
      </c>
      <c r="E11030" t="str">
        <f t="shared" si="4022"/>
        <v>AE</v>
      </c>
      <c r="F11030" t="str">
        <f>T("095730400")</f>
        <v>095730400</v>
      </c>
      <c r="G11030" t="str">
        <f>T("USS OAK HILL LSD51")</f>
        <v>USS OAK HILL LSD51</v>
      </c>
      <c r="H11030" t="str">
        <f>T("UNIT 100304 BOX 1")</f>
        <v>UNIT 100304 BOX 1</v>
      </c>
      <c r="I11030" t="str">
        <f t="shared" si="4027"/>
        <v>FPO</v>
      </c>
      <c r="J11030" t="str">
        <f>T("AE")</f>
        <v>AE</v>
      </c>
      <c r="K11030" t="str">
        <f>T("000000000000000000")</f>
        <v>000000000000000000</v>
      </c>
      <c r="L11030" t="str">
        <f>T("7574445868")</f>
        <v>7574445868</v>
      </c>
    </row>
    <row r="11031" spans="1:12" x14ac:dyDescent="0.35">
      <c r="A11031" t="str">
        <f t="shared" si="4026"/>
        <v>USS OAK HILL LSD-51</v>
      </c>
      <c r="B11031" t="str">
        <f t="shared" si="4026"/>
        <v>USS OAK HILL LSD-51</v>
      </c>
      <c r="C11031" t="str">
        <f>T("UNIT 100304 BOX 1")</f>
        <v>UNIT 100304 BOX 1</v>
      </c>
      <c r="D11031" t="str">
        <f t="shared" si="4019"/>
        <v>FPO</v>
      </c>
      <c r="E11031" t="str">
        <f t="shared" si="4022"/>
        <v>AE</v>
      </c>
      <c r="F11031" t="str">
        <f>T("095730400")</f>
        <v>095730400</v>
      </c>
      <c r="G11031" t="str">
        <f>T("USS OAKHILL LSD51")</f>
        <v>USS OAKHILL LSD51</v>
      </c>
      <c r="H11031" t="str">
        <f>T("UNIT 100394 BOX 1")</f>
        <v>UNIT 100394 BOX 1</v>
      </c>
      <c r="I11031" t="str">
        <f t="shared" si="4027"/>
        <v>FPO</v>
      </c>
      <c r="J11031" t="str">
        <f>T("AE")</f>
        <v>AE</v>
      </c>
      <c r="K11031" t="str">
        <f>T("000000000000000000")</f>
        <v>000000000000000000</v>
      </c>
      <c r="L11031" t="str">
        <f>T("7574627896")</f>
        <v>7574627896</v>
      </c>
    </row>
    <row r="11032" spans="1:12" x14ac:dyDescent="0.35">
      <c r="A11032" t="str">
        <f>T("USS PHILIPPINE SEA CG-58")</f>
        <v>USS PHILIPPINE SEA CG-58</v>
      </c>
      <c r="B11032" t="str">
        <f>T("USS PHILIPPINE SEA CG-5")</f>
        <v>USS PHILIPPINE SEA CG-5</v>
      </c>
      <c r="C11032" t="str">
        <f>T("UNIT 100258 BOX 1")</f>
        <v>UNIT 100258 BOX 1</v>
      </c>
      <c r="D11032" t="str">
        <f t="shared" si="4019"/>
        <v>FPO</v>
      </c>
      <c r="E11032" t="str">
        <f>T("AA")</f>
        <v>AA</v>
      </c>
      <c r="F11032" t="str">
        <f>T("340925800")</f>
        <v>340925800</v>
      </c>
      <c r="G11032" t="str">
        <f>T("USS PHILIPPINE SEA CG-5")</f>
        <v>USS PHILIPPINE SEA CG-5</v>
      </c>
      <c r="H11032" t="str">
        <f>T("UNIT 100258 BOX 1")</f>
        <v>UNIT 100258 BOX 1</v>
      </c>
      <c r="I11032" t="str">
        <f t="shared" si="4027"/>
        <v>FPO</v>
      </c>
      <c r="J11032" t="str">
        <f>T("AA")</f>
        <v>AA</v>
      </c>
      <c r="K11032" t="str">
        <f>T("")</f>
        <v/>
      </c>
      <c r="L11032" t="str">
        <f>T("9042705959")</f>
        <v>9042705959</v>
      </c>
    </row>
    <row r="11033" spans="1:12" x14ac:dyDescent="0.35">
      <c r="A11033" t="str">
        <f>T("USS PHILIPPINE SEA CG-58")</f>
        <v>USS PHILIPPINE SEA CG-58</v>
      </c>
      <c r="B11033" t="str">
        <f>T("USS PHILIPPINE SEA CG-5")</f>
        <v>USS PHILIPPINE SEA CG-5</v>
      </c>
      <c r="C11033" t="str">
        <f>T("UNIT 100258 BOX 1")</f>
        <v>UNIT 100258 BOX 1</v>
      </c>
      <c r="D11033" t="str">
        <f t="shared" si="4019"/>
        <v>FPO</v>
      </c>
      <c r="E11033" t="str">
        <f>T("AA")</f>
        <v>AA</v>
      </c>
      <c r="F11033" t="str">
        <f>T("340925800")</f>
        <v>340925800</v>
      </c>
      <c r="G11033" t="str">
        <f>T("USS PHILIPPINE SEA CG58")</f>
        <v>USS PHILIPPINE SEA CG58</v>
      </c>
      <c r="H11033" t="str">
        <f>T("UNIT 100255 BOX 1")</f>
        <v>UNIT 100255 BOX 1</v>
      </c>
      <c r="I11033" t="str">
        <f t="shared" si="4027"/>
        <v>FPO</v>
      </c>
      <c r="J11033" t="str">
        <f>T("AA")</f>
        <v>AA</v>
      </c>
      <c r="K11033" t="str">
        <f>T("000000000000000000")</f>
        <v>000000000000000000</v>
      </c>
      <c r="L11033" t="str">
        <f>T("9042705959")</f>
        <v>9042705959</v>
      </c>
    </row>
    <row r="11034" spans="1:12" x14ac:dyDescent="0.35">
      <c r="A11034" t="str">
        <f>T("USS PHILIPPINE SEA CG-58")</f>
        <v>USS PHILIPPINE SEA CG-58</v>
      </c>
      <c r="B11034" t="str">
        <f>T("USS PHILIPPINE SEA CG-5")</f>
        <v>USS PHILIPPINE SEA CG-5</v>
      </c>
      <c r="C11034" t="str">
        <f>T("UNIT 100258 BOX 1")</f>
        <v>UNIT 100258 BOX 1</v>
      </c>
      <c r="D11034" t="str">
        <f t="shared" si="4019"/>
        <v>FPO</v>
      </c>
      <c r="E11034" t="str">
        <f>T("AA")</f>
        <v>AA</v>
      </c>
      <c r="F11034" t="str">
        <f>T("340925800")</f>
        <v>340925800</v>
      </c>
      <c r="G11034" t="str">
        <f>T("USS PHILLIPPINE SEA CG58")</f>
        <v>USS PHILLIPPINE SEA CG58</v>
      </c>
      <c r="H11034" t="str">
        <f>T("UNIT 100258 BOX 1")</f>
        <v>UNIT 100258 BOX 1</v>
      </c>
      <c r="I11034" t="str">
        <f t="shared" si="4027"/>
        <v>FPO</v>
      </c>
      <c r="J11034" t="str">
        <f>T("AA")</f>
        <v>AA</v>
      </c>
      <c r="K11034" t="str">
        <f>T("000000000000000000")</f>
        <v>000000000000000000</v>
      </c>
      <c r="L11034" t="str">
        <f>T("9042705959")</f>
        <v>9042705959</v>
      </c>
    </row>
    <row r="11035" spans="1:12" x14ac:dyDescent="0.35">
      <c r="A11035" t="str">
        <f>T("COMDESRON 40")</f>
        <v>COMDESRON 40</v>
      </c>
      <c r="B11035" t="str">
        <f>T("COMDESRON 40")</f>
        <v>COMDESRON 40</v>
      </c>
      <c r="C11035" t="str">
        <f>T("BLDG 448 BON HOMME RICHARD ST")</f>
        <v>BLDG 448 BON HOMME RICHARD ST</v>
      </c>
      <c r="D11035" t="str">
        <f>T("MAYPORT")</f>
        <v>MAYPORT</v>
      </c>
      <c r="E11035" t="str">
        <f>T("FL")</f>
        <v>FL</v>
      </c>
      <c r="F11035" t="str">
        <f>T("322280000")</f>
        <v>322280000</v>
      </c>
      <c r="G11035" t="str">
        <f>T("COMDESRON 40")</f>
        <v>COMDESRON 40</v>
      </c>
      <c r="H11035" t="str">
        <f>T("BLDG 448 BON HOMME RICHARD ST")</f>
        <v>BLDG 448 BON HOMME RICHARD ST</v>
      </c>
      <c r="I11035" t="str">
        <f>T("MAYPORT")</f>
        <v>MAYPORT</v>
      </c>
      <c r="J11035" t="str">
        <f>T("FL")</f>
        <v>FL</v>
      </c>
      <c r="K11035" t="str">
        <f>T("9042706574")</f>
        <v>9042706574</v>
      </c>
      <c r="L11035" t="str">
        <f>T("9042705173")</f>
        <v>9042705173</v>
      </c>
    </row>
    <row r="11036" spans="1:12" x14ac:dyDescent="0.35">
      <c r="A11036" t="str">
        <f>T("COMDESRON 40")</f>
        <v>COMDESRON 40</v>
      </c>
      <c r="B11036" t="str">
        <f>T("COMDESRON 40")</f>
        <v>COMDESRON 40</v>
      </c>
      <c r="C11036" t="str">
        <f>T("BLDG 448 BON HOMME RICHARD ST")</f>
        <v>BLDG 448 BON HOMME RICHARD ST</v>
      </c>
      <c r="D11036" t="str">
        <f>T("MAYPORT")</f>
        <v>MAYPORT</v>
      </c>
      <c r="E11036" t="str">
        <f>T("FL")</f>
        <v>FL</v>
      </c>
      <c r="F11036" t="str">
        <f>T("322280000")</f>
        <v>322280000</v>
      </c>
      <c r="G11036" t="str">
        <f>T("COMDESRON 40")</f>
        <v>COMDESRON 40</v>
      </c>
      <c r="H11036" t="str">
        <f>T("P O BOX 280022")</f>
        <v>P O BOX 280022</v>
      </c>
      <c r="I11036" t="str">
        <f>T("JACKSONVILLE")</f>
        <v>JACKSONVILLE</v>
      </c>
      <c r="J11036" t="str">
        <f>T("FL")</f>
        <v>FL</v>
      </c>
      <c r="K11036" t="str">
        <f>T("000000000000000000")</f>
        <v>000000000000000000</v>
      </c>
      <c r="L11036" t="str">
        <f>T("9042705173")</f>
        <v>9042705173</v>
      </c>
    </row>
    <row r="11037" spans="1:12" x14ac:dyDescent="0.35">
      <c r="A11037" t="str">
        <f>T("USS MASON DDG 87")</f>
        <v>USS MASON DDG 87</v>
      </c>
      <c r="B11037" t="str">
        <f>T("USS MASON DDG-87")</f>
        <v>USS MASON DDG-87</v>
      </c>
      <c r="C11037" t="str">
        <f>T("UNIT 100321 BOX 1")</f>
        <v>UNIT 100321 BOX 1</v>
      </c>
      <c r="D11037" t="str">
        <f>T("FPO")</f>
        <v>FPO</v>
      </c>
      <c r="E11037" t="str">
        <f>T("AE")</f>
        <v>AE</v>
      </c>
      <c r="F11037" t="str">
        <f>T("095782100")</f>
        <v>095782100</v>
      </c>
      <c r="G11037" t="str">
        <f>T("USS MASON DDG-87")</f>
        <v>USS MASON DDG-87</v>
      </c>
      <c r="H11037" t="str">
        <f>T("UNIT 100321 BOX 1")</f>
        <v>UNIT 100321 BOX 1</v>
      </c>
      <c r="I11037" t="str">
        <f>T("FPO")</f>
        <v>FPO</v>
      </c>
      <c r="J11037" t="str">
        <f>T("AE")</f>
        <v>AE</v>
      </c>
      <c r="K11037" t="str">
        <f>T("")</f>
        <v/>
      </c>
      <c r="L11037" t="str">
        <f>T("7574448847")</f>
        <v>7574448847</v>
      </c>
    </row>
    <row r="11038" spans="1:12" x14ac:dyDescent="0.35">
      <c r="A11038" t="str">
        <f>T("USS MASON DDG 87")</f>
        <v>USS MASON DDG 87</v>
      </c>
      <c r="B11038" t="str">
        <f>T("USS MASON DDG-87")</f>
        <v>USS MASON DDG-87</v>
      </c>
      <c r="C11038" t="str">
        <f>T("UNIT 100321 BOX 1")</f>
        <v>UNIT 100321 BOX 1</v>
      </c>
      <c r="D11038" t="str">
        <f>T("FPO")</f>
        <v>FPO</v>
      </c>
      <c r="E11038" t="str">
        <f>T("AE")</f>
        <v>AE</v>
      </c>
      <c r="F11038" t="str">
        <f>T("095782100")</f>
        <v>095782100</v>
      </c>
      <c r="G11038" t="str">
        <f>T("USS MASON DDG87")</f>
        <v>USS MASON DDG87</v>
      </c>
      <c r="H11038" t="str">
        <f>T("UNIT 100321 BOX 1")</f>
        <v>UNIT 100321 BOX 1</v>
      </c>
      <c r="I11038" t="str">
        <f>T("FPO")</f>
        <v>FPO</v>
      </c>
      <c r="J11038" t="str">
        <f>T("AE")</f>
        <v>AE</v>
      </c>
      <c r="K11038" t="str">
        <f>T("000000000000000000")</f>
        <v>000000000000000000</v>
      </c>
      <c r="L11038" t="str">
        <f>T("7574438640")</f>
        <v>7574438640</v>
      </c>
    </row>
    <row r="11039" spans="1:12" x14ac:dyDescent="0.35">
      <c r="A11039" t="str">
        <f>T("USS MASON DDG 87")</f>
        <v>USS MASON DDG 87</v>
      </c>
      <c r="B11039" t="str">
        <f>T("USS MASON DDG-87")</f>
        <v>USS MASON DDG-87</v>
      </c>
      <c r="C11039" t="str">
        <f>T("UNIT 100321 BOX 1")</f>
        <v>UNIT 100321 BOX 1</v>
      </c>
      <c r="D11039" t="str">
        <f>T("FPO")</f>
        <v>FPO</v>
      </c>
      <c r="E11039" t="str">
        <f>T("AE")</f>
        <v>AE</v>
      </c>
      <c r="F11039" t="str">
        <f>T("095782100")</f>
        <v>095782100</v>
      </c>
      <c r="G11039" t="str">
        <f>T("USS MASON DDG87")</f>
        <v>USS MASON DDG87</v>
      </c>
      <c r="H11039" t="str">
        <f>T("UNIT 100321 BOX 1")</f>
        <v>UNIT 100321 BOX 1</v>
      </c>
      <c r="I11039" t="str">
        <f>T("FPO")</f>
        <v>FPO</v>
      </c>
      <c r="J11039" t="str">
        <f>T("AE")</f>
        <v>AE</v>
      </c>
      <c r="K11039" t="str">
        <f>T("000000000000000000")</f>
        <v>000000000000000000</v>
      </c>
      <c r="L11039" t="str">
        <f>T("7574448847")</f>
        <v>7574448847</v>
      </c>
    </row>
    <row r="11040" spans="1:12" x14ac:dyDescent="0.35">
      <c r="A11040" t="str">
        <f>T("ACU2")</f>
        <v>ACU2</v>
      </c>
      <c r="B11040" t="str">
        <f>T("2901 AMPHIBIOUS DR")</f>
        <v>2901 AMPHIBIOUS DR</v>
      </c>
      <c r="C11040" t="str">
        <f>T("")</f>
        <v/>
      </c>
      <c r="D11040" t="str">
        <f>T("VIRGINIA BEACH")</f>
        <v>VIRGINIA BEACH</v>
      </c>
      <c r="E11040" t="str">
        <f t="shared" ref="E11040:E11058" si="4028">T("VA")</f>
        <v>VA</v>
      </c>
      <c r="F11040" t="str">
        <f>T("234599309")</f>
        <v>234599309</v>
      </c>
      <c r="G11040" t="str">
        <f>T("2901 AMPHIBIOUS DR")</f>
        <v>2901 AMPHIBIOUS DR</v>
      </c>
      <c r="H11040" t="str">
        <f>T("")</f>
        <v/>
      </c>
      <c r="I11040" t="str">
        <f>T("VIRGINIA BEACH")</f>
        <v>VIRGINIA BEACH</v>
      </c>
      <c r="J11040" t="str">
        <f>T("VA")</f>
        <v>VA</v>
      </c>
      <c r="K11040" t="str">
        <f>T("")</f>
        <v/>
      </c>
      <c r="L11040" t="str">
        <f>T("7574622748")</f>
        <v>7574622748</v>
      </c>
    </row>
    <row r="11041" spans="1:12" x14ac:dyDescent="0.35">
      <c r="A11041" t="str">
        <f>T("ACU2")</f>
        <v>ACU2</v>
      </c>
      <c r="B11041" t="str">
        <f>T("2901 AMPHIBIOUS DR")</f>
        <v>2901 AMPHIBIOUS DR</v>
      </c>
      <c r="C11041" t="str">
        <f>T("")</f>
        <v/>
      </c>
      <c r="D11041" t="str">
        <f>T("VIRGINIA BEACH")</f>
        <v>VIRGINIA BEACH</v>
      </c>
      <c r="E11041" t="str">
        <f t="shared" si="4028"/>
        <v>VA</v>
      </c>
      <c r="F11041" t="str">
        <f>T("234599309")</f>
        <v>234599309</v>
      </c>
      <c r="G11041" t="str">
        <f>T("2901 AMPHIBIOUS DR")</f>
        <v>2901 AMPHIBIOUS DR</v>
      </c>
      <c r="H11041" t="str">
        <f>T("")</f>
        <v/>
      </c>
      <c r="I11041" t="str">
        <f>T("VIRGINIA BEACH")</f>
        <v>VIRGINIA BEACH</v>
      </c>
      <c r="J11041" t="str">
        <f>T("VA")</f>
        <v>VA</v>
      </c>
      <c r="K11041" t="str">
        <f>T("7574622650")</f>
        <v>7574622650</v>
      </c>
      <c r="L11041" t="str">
        <f>T("7574622747")</f>
        <v>7574622747</v>
      </c>
    </row>
    <row r="11042" spans="1:12" x14ac:dyDescent="0.35">
      <c r="A11042" t="str">
        <f>T("ACU2")</f>
        <v>ACU2</v>
      </c>
      <c r="B11042" t="str">
        <f>T("2901 AMPHIBIOUS DR")</f>
        <v>2901 AMPHIBIOUS DR</v>
      </c>
      <c r="C11042" t="str">
        <f>T("")</f>
        <v/>
      </c>
      <c r="D11042" t="str">
        <f>T("VIRGINIA BEACH")</f>
        <v>VIRGINIA BEACH</v>
      </c>
      <c r="E11042" t="str">
        <f t="shared" si="4028"/>
        <v>VA</v>
      </c>
      <c r="F11042" t="str">
        <f>T("234599309")</f>
        <v>234599309</v>
      </c>
      <c r="G11042" t="str">
        <f>T("2901 AMPHIBIOUS DRIVE")</f>
        <v>2901 AMPHIBIOUS DRIVE</v>
      </c>
      <c r="H11042" t="str">
        <f>T("")</f>
        <v/>
      </c>
      <c r="I11042" t="str">
        <f>T("VIRGINIA BEACH")</f>
        <v>VIRGINIA BEACH</v>
      </c>
      <c r="J11042" t="str">
        <f>T("VA")</f>
        <v>VA</v>
      </c>
      <c r="K11042" t="str">
        <f>T("000000000000000000")</f>
        <v>000000000000000000</v>
      </c>
      <c r="L11042" t="str">
        <f>T("7574622747")</f>
        <v>7574622747</v>
      </c>
    </row>
    <row r="11043" spans="1:12" x14ac:dyDescent="0.35">
      <c r="A11043" t="str">
        <f>T("BEACHMASTER UNIT TWO")</f>
        <v>BEACHMASTER UNIT TWO</v>
      </c>
      <c r="B11043" t="str">
        <f>T("BEACHMASTER UNIT TWO")</f>
        <v>BEACHMASTER UNIT TWO</v>
      </c>
      <c r="C11043" t="str">
        <f>T("1745 10TH ST BLDG3144")</f>
        <v>1745 10TH ST BLDG3144</v>
      </c>
      <c r="D11043" t="str">
        <f>T("VIRGINIA BEACH")</f>
        <v>VIRGINIA BEACH</v>
      </c>
      <c r="E11043" t="str">
        <f t="shared" si="4028"/>
        <v>VA</v>
      </c>
      <c r="F11043" t="str">
        <f>T("234598935")</f>
        <v>234598935</v>
      </c>
      <c r="G11043" t="str">
        <f>T("BEACHMASTER UNIT TWO")</f>
        <v>BEACHMASTER UNIT TWO</v>
      </c>
      <c r="H11043" t="str">
        <f>T("1745 10TH ST BLDG3144")</f>
        <v>1745 10TH ST BLDG3144</v>
      </c>
      <c r="I11043" t="str">
        <f>T("VIRGINIA BEACH")</f>
        <v>VIRGINIA BEACH</v>
      </c>
      <c r="J11043" t="str">
        <f>T("VA")</f>
        <v>VA</v>
      </c>
      <c r="K11043" t="str">
        <f>T("7574627049")</f>
        <v>7574627049</v>
      </c>
      <c r="L11043" t="str">
        <f>T("7546277228")</f>
        <v>7546277228</v>
      </c>
    </row>
    <row r="11044" spans="1:12" x14ac:dyDescent="0.35">
      <c r="A11044" t="str">
        <f>T("BEACHMASTER UNIT TWO")</f>
        <v>BEACHMASTER UNIT TWO</v>
      </c>
      <c r="B11044" t="str">
        <f>T("BEACHMASTER UNIT TWO")</f>
        <v>BEACHMASTER UNIT TWO</v>
      </c>
      <c r="C11044" t="str">
        <f>T("1745 10TH ST BLDG3144")</f>
        <v>1745 10TH ST BLDG3144</v>
      </c>
      <c r="D11044" t="str">
        <f>T("VIRGINIA BEACH")</f>
        <v>VIRGINIA BEACH</v>
      </c>
      <c r="E11044" t="str">
        <f t="shared" si="4028"/>
        <v>VA</v>
      </c>
      <c r="F11044" t="str">
        <f>T("234598935")</f>
        <v>234598935</v>
      </c>
      <c r="G11044" t="str">
        <f>T("BEACHMASTER UNIT TWO")</f>
        <v>BEACHMASTER UNIT TWO</v>
      </c>
      <c r="H11044" t="str">
        <f>T("1745 10TH STREET")</f>
        <v>1745 10TH STREET</v>
      </c>
      <c r="I11044" t="str">
        <f>T("VIRGINIA BEACH")</f>
        <v>VIRGINIA BEACH</v>
      </c>
      <c r="J11044" t="str">
        <f>T("VA")</f>
        <v>VA</v>
      </c>
      <c r="K11044" t="str">
        <f>T("000000000000000000")</f>
        <v>000000000000000000</v>
      </c>
      <c r="L11044" t="str">
        <f>T("7574627378")</f>
        <v>7574627378</v>
      </c>
    </row>
    <row r="11045" spans="1:12" x14ac:dyDescent="0.35">
      <c r="A11045" t="str">
        <f t="shared" ref="A11045:B11047" si="4029">T("USS GRAVELY DDG-107")</f>
        <v>USS GRAVELY DDG-107</v>
      </c>
      <c r="B11045" t="str">
        <f t="shared" si="4029"/>
        <v>USS GRAVELY DDG-107</v>
      </c>
      <c r="C11045" t="str">
        <f>T("FPO")</f>
        <v>FPO</v>
      </c>
      <c r="D11045" t="str">
        <f>T("AE")</f>
        <v>AE</v>
      </c>
      <c r="E11045" t="str">
        <f t="shared" si="4028"/>
        <v>VA</v>
      </c>
      <c r="F11045" t="str">
        <f>T("095700000")</f>
        <v>095700000</v>
      </c>
      <c r="G11045" t="str">
        <f>T("USS GRAVELY DDG 107")</f>
        <v>USS GRAVELY DDG 107</v>
      </c>
      <c r="H11045" t="str">
        <f>T("UNIT 100337 BOX 1")</f>
        <v>UNIT 100337 BOX 1</v>
      </c>
      <c r="I11045" t="str">
        <f>T("FPO")</f>
        <v>FPO</v>
      </c>
      <c r="J11045" t="str">
        <f>T("AE")</f>
        <v>AE</v>
      </c>
      <c r="K11045" t="str">
        <f>T("000000000000000000")</f>
        <v>000000000000000000</v>
      </c>
      <c r="L11045" t="str">
        <f>T("7574438431")</f>
        <v>7574438431</v>
      </c>
    </row>
    <row r="11046" spans="1:12" x14ac:dyDescent="0.35">
      <c r="A11046" t="str">
        <f t="shared" si="4029"/>
        <v>USS GRAVELY DDG-107</v>
      </c>
      <c r="B11046" t="str">
        <f t="shared" si="4029"/>
        <v>USS GRAVELY DDG-107</v>
      </c>
      <c r="C11046" t="str">
        <f>T("FPO")</f>
        <v>FPO</v>
      </c>
      <c r="D11046" t="str">
        <f>T("AE")</f>
        <v>AE</v>
      </c>
      <c r="E11046" t="str">
        <f t="shared" si="4028"/>
        <v>VA</v>
      </c>
      <c r="F11046" t="str">
        <f>T("095700000")</f>
        <v>095700000</v>
      </c>
      <c r="G11046" t="str">
        <f>T("USS GRAVELY DDG-107")</f>
        <v>USS GRAVELY DDG-107</v>
      </c>
      <c r="H11046" t="str">
        <f>T("FPO")</f>
        <v>FPO</v>
      </c>
      <c r="I11046" t="str">
        <f>T("AE")</f>
        <v>AE</v>
      </c>
      <c r="J11046" t="str">
        <f>T("VA")</f>
        <v>VA</v>
      </c>
      <c r="K11046" t="str">
        <f>T("")</f>
        <v/>
      </c>
      <c r="L11046" t="str">
        <f>T("7574448684")</f>
        <v>7574448684</v>
      </c>
    </row>
    <row r="11047" spans="1:12" x14ac:dyDescent="0.35">
      <c r="A11047" t="str">
        <f t="shared" si="4029"/>
        <v>USS GRAVELY DDG-107</v>
      </c>
      <c r="B11047" t="str">
        <f t="shared" si="4029"/>
        <v>USS GRAVELY DDG-107</v>
      </c>
      <c r="C11047" t="str">
        <f>T("FPO")</f>
        <v>FPO</v>
      </c>
      <c r="D11047" t="str">
        <f>T("AE")</f>
        <v>AE</v>
      </c>
      <c r="E11047" t="str">
        <f t="shared" si="4028"/>
        <v>VA</v>
      </c>
      <c r="F11047" t="str">
        <f>T("095700000")</f>
        <v>095700000</v>
      </c>
      <c r="G11047" t="str">
        <f>T("USS GRAVELY DDG107")</f>
        <v>USS GRAVELY DDG107</v>
      </c>
      <c r="H11047" t="str">
        <f>T("UNIT 100337 BOX 1")</f>
        <v>UNIT 100337 BOX 1</v>
      </c>
      <c r="I11047" t="str">
        <f>T("FPO")</f>
        <v>FPO</v>
      </c>
      <c r="J11047" t="str">
        <f>T("AE")</f>
        <v>AE</v>
      </c>
      <c r="K11047" t="str">
        <f>T("000000000000000000")</f>
        <v>000000000000000000</v>
      </c>
      <c r="L11047" t="str">
        <f>T("7574442809")</f>
        <v>7574442809</v>
      </c>
    </row>
    <row r="11048" spans="1:12" x14ac:dyDescent="0.35">
      <c r="A11048" t="str">
        <f>T("PHIBCBTWO")</f>
        <v>PHIBCBTWO</v>
      </c>
      <c r="B11048" t="str">
        <f>T("1815 SEABEE DR")</f>
        <v>1815 SEABEE DR</v>
      </c>
      <c r="C11048" t="str">
        <f>T("BLDG CB310")</f>
        <v>BLDG CB310</v>
      </c>
      <c r="D11048" t="str">
        <f t="shared" ref="D11048:D11058" si="4030">T("VIRGINIA BCH")</f>
        <v>VIRGINIA BCH</v>
      </c>
      <c r="E11048" t="str">
        <f t="shared" si="4028"/>
        <v>VA</v>
      </c>
      <c r="F11048" t="str">
        <f>T("234598917")</f>
        <v>234598917</v>
      </c>
      <c r="G11048" t="str">
        <f>T("1815 SEABEE DR")</f>
        <v>1815 SEABEE DR</v>
      </c>
      <c r="H11048" t="str">
        <f>T("BLDG CB310")</f>
        <v>BLDG CB310</v>
      </c>
      <c r="I11048" t="str">
        <f>T("VIRGINIA BCH")</f>
        <v>VIRGINIA BCH</v>
      </c>
      <c r="J11048" t="str">
        <f t="shared" ref="J11048:J11058" si="4031">T("VA")</f>
        <v>VA</v>
      </c>
      <c r="K11048" t="str">
        <f>T("757-462-8741")</f>
        <v>757-462-8741</v>
      </c>
      <c r="L11048" t="str">
        <f>T("7574624019")</f>
        <v>7574624019</v>
      </c>
    </row>
    <row r="11049" spans="1:12" x14ac:dyDescent="0.35">
      <c r="A11049" t="str">
        <f>T("PHIBCBTWO")</f>
        <v>PHIBCBTWO</v>
      </c>
      <c r="B11049" t="str">
        <f>T("1815 SEABEE DR")</f>
        <v>1815 SEABEE DR</v>
      </c>
      <c r="C11049" t="str">
        <f>T("BLDG CB310")</f>
        <v>BLDG CB310</v>
      </c>
      <c r="D11049" t="str">
        <f t="shared" si="4030"/>
        <v>VIRGINIA BCH</v>
      </c>
      <c r="E11049" t="str">
        <f t="shared" si="4028"/>
        <v>VA</v>
      </c>
      <c r="F11049" t="str">
        <f>T("234598917")</f>
        <v>234598917</v>
      </c>
      <c r="G11049" t="str">
        <f>T("1815 SEABEE DR")</f>
        <v>1815 SEABEE DR</v>
      </c>
      <c r="H11049" t="str">
        <f>T("BLDG CB310")</f>
        <v>BLDG CB310</v>
      </c>
      <c r="I11049" t="str">
        <f t="shared" ref="I11049:I11055" si="4032">T("VIRGINIA BEACH")</f>
        <v>VIRGINIA BEACH</v>
      </c>
      <c r="J11049" t="str">
        <f t="shared" si="4031"/>
        <v>VA</v>
      </c>
      <c r="K11049" t="str">
        <f>T("000000000000000000")</f>
        <v>000000000000000000</v>
      </c>
      <c r="L11049" t="str">
        <f>T("7574623545")</f>
        <v>7574623545</v>
      </c>
    </row>
    <row r="11050" spans="1:12" x14ac:dyDescent="0.35">
      <c r="A11050" t="str">
        <f>T("PHIBCBTWO")</f>
        <v>PHIBCBTWO</v>
      </c>
      <c r="B11050" t="str">
        <f>T("1815 SEABEE DR")</f>
        <v>1815 SEABEE DR</v>
      </c>
      <c r="C11050" t="str">
        <f>T("BLDG CB310")</f>
        <v>BLDG CB310</v>
      </c>
      <c r="D11050" t="str">
        <f t="shared" si="4030"/>
        <v>VIRGINIA BCH</v>
      </c>
      <c r="E11050" t="str">
        <f t="shared" si="4028"/>
        <v>VA</v>
      </c>
      <c r="F11050" t="str">
        <f>T("234598917")</f>
        <v>234598917</v>
      </c>
      <c r="G11050" t="str">
        <f>T("1815 SEABEE DR")</f>
        <v>1815 SEABEE DR</v>
      </c>
      <c r="H11050" t="str">
        <f>T("BLDG CB310")</f>
        <v>BLDG CB310</v>
      </c>
      <c r="I11050" t="str">
        <f t="shared" si="4032"/>
        <v>VIRGINIA BEACH</v>
      </c>
      <c r="J11050" t="str">
        <f t="shared" si="4031"/>
        <v>VA</v>
      </c>
      <c r="K11050" t="str">
        <f>T("7574628741")</f>
        <v>7574628741</v>
      </c>
      <c r="L11050" t="str">
        <f>T("7574623528")</f>
        <v>7574623528</v>
      </c>
    </row>
    <row r="11051" spans="1:12" x14ac:dyDescent="0.35">
      <c r="A11051" t="str">
        <f>T("PHIBCBTWO")</f>
        <v>PHIBCBTWO</v>
      </c>
      <c r="B11051" t="str">
        <f>T("1815 SEABEE DR")</f>
        <v>1815 SEABEE DR</v>
      </c>
      <c r="C11051" t="str">
        <f>T("BLDG CB310")</f>
        <v>BLDG CB310</v>
      </c>
      <c r="D11051" t="str">
        <f t="shared" si="4030"/>
        <v>VIRGINIA BCH</v>
      </c>
      <c r="E11051" t="str">
        <f t="shared" si="4028"/>
        <v>VA</v>
      </c>
      <c r="F11051" t="str">
        <f>T("234598917")</f>
        <v>234598917</v>
      </c>
      <c r="G11051" t="str">
        <f>T("1815 SEABEE DRIVE")</f>
        <v>1815 SEABEE DRIVE</v>
      </c>
      <c r="H11051" t="str">
        <f>T("")</f>
        <v/>
      </c>
      <c r="I11051" t="str">
        <f t="shared" si="4032"/>
        <v>VIRGINIA BEACH</v>
      </c>
      <c r="J11051" t="str">
        <f t="shared" si="4031"/>
        <v>VA</v>
      </c>
      <c r="K11051" t="str">
        <f>T("000000000000000000")</f>
        <v>000000000000000000</v>
      </c>
      <c r="L11051" t="str">
        <f>T("7574623528")</f>
        <v>7574623528</v>
      </c>
    </row>
    <row r="11052" spans="1:12" x14ac:dyDescent="0.35">
      <c r="A11052" t="str">
        <f t="shared" ref="A11052:B11056" si="4033">T("ASSAULT CRAFT UNIT FOUR")</f>
        <v>ASSAULT CRAFT UNIT FOUR</v>
      </c>
      <c r="B11052" t="str">
        <f t="shared" si="4033"/>
        <v>ASSAULT CRAFT UNIT FOUR</v>
      </c>
      <c r="C11052" t="str">
        <f>T("2155 11TH STREET")</f>
        <v>2155 11TH STREET</v>
      </c>
      <c r="D11052" t="str">
        <f t="shared" si="4030"/>
        <v>VIRGINIA BCH</v>
      </c>
      <c r="E11052" t="str">
        <f t="shared" si="4028"/>
        <v>VA</v>
      </c>
      <c r="F11052" t="str">
        <f>T("234599018")</f>
        <v>234599018</v>
      </c>
      <c r="G11052" t="str">
        <f>T("2155 11TH ST")</f>
        <v>2155 11TH ST</v>
      </c>
      <c r="H11052" t="str">
        <f>T("")</f>
        <v/>
      </c>
      <c r="I11052" t="str">
        <f t="shared" si="4032"/>
        <v>VIRGINIA BEACH</v>
      </c>
      <c r="J11052" t="str">
        <f t="shared" si="4031"/>
        <v>VA</v>
      </c>
      <c r="K11052" t="str">
        <f>T("7574624854")</f>
        <v>7574624854</v>
      </c>
      <c r="L11052" t="str">
        <f>T("7574623444")</f>
        <v>7574623444</v>
      </c>
    </row>
    <row r="11053" spans="1:12" x14ac:dyDescent="0.35">
      <c r="A11053" t="str">
        <f t="shared" si="4033"/>
        <v>ASSAULT CRAFT UNIT FOUR</v>
      </c>
      <c r="B11053" t="str">
        <f t="shared" si="4033"/>
        <v>ASSAULT CRAFT UNIT FOUR</v>
      </c>
      <c r="C11053" t="str">
        <f>T("2155 11TH STREET")</f>
        <v>2155 11TH STREET</v>
      </c>
      <c r="D11053" t="str">
        <f t="shared" si="4030"/>
        <v>VIRGINIA BCH</v>
      </c>
      <c r="E11053" t="str">
        <f t="shared" si="4028"/>
        <v>VA</v>
      </c>
      <c r="F11053" t="str">
        <f>T("234599018")</f>
        <v>234599018</v>
      </c>
      <c r="G11053" t="str">
        <f>T("2155 11TH ST")</f>
        <v>2155 11TH ST</v>
      </c>
      <c r="H11053" t="str">
        <f>T("")</f>
        <v/>
      </c>
      <c r="I11053" t="str">
        <f t="shared" si="4032"/>
        <v>VIRGINIA BEACH</v>
      </c>
      <c r="J11053" t="str">
        <f t="shared" si="4031"/>
        <v>VA</v>
      </c>
      <c r="K11053" t="str">
        <f>T("7574624854")</f>
        <v>7574624854</v>
      </c>
      <c r="L11053" t="str">
        <f>T("7574623445")</f>
        <v>7574623445</v>
      </c>
    </row>
    <row r="11054" spans="1:12" x14ac:dyDescent="0.35">
      <c r="A11054" t="str">
        <f t="shared" si="4033"/>
        <v>ASSAULT CRAFT UNIT FOUR</v>
      </c>
      <c r="B11054" t="str">
        <f t="shared" si="4033"/>
        <v>ASSAULT CRAFT UNIT FOUR</v>
      </c>
      <c r="C11054" t="str">
        <f>T("2155 11TH STREET")</f>
        <v>2155 11TH STREET</v>
      </c>
      <c r="D11054" t="str">
        <f t="shared" si="4030"/>
        <v>VIRGINIA BCH</v>
      </c>
      <c r="E11054" t="str">
        <f t="shared" si="4028"/>
        <v>VA</v>
      </c>
      <c r="F11054" t="str">
        <f>T("234599018")</f>
        <v>234599018</v>
      </c>
      <c r="G11054" t="str">
        <f>T("2155 11TH ST")</f>
        <v>2155 11TH ST</v>
      </c>
      <c r="H11054" t="str">
        <f>T("BLDG 3821")</f>
        <v>BLDG 3821</v>
      </c>
      <c r="I11054" t="str">
        <f t="shared" si="4032"/>
        <v>VIRGINIA BEACH</v>
      </c>
      <c r="J11054" t="str">
        <f t="shared" si="4031"/>
        <v>VA</v>
      </c>
      <c r="K11054" t="str">
        <f>T("7574624854")</f>
        <v>7574624854</v>
      </c>
      <c r="L11054" t="str">
        <f>T("7574627099")</f>
        <v>7574627099</v>
      </c>
    </row>
    <row r="11055" spans="1:12" x14ac:dyDescent="0.35">
      <c r="A11055" t="str">
        <f t="shared" si="4033"/>
        <v>ASSAULT CRAFT UNIT FOUR</v>
      </c>
      <c r="B11055" t="str">
        <f t="shared" si="4033"/>
        <v>ASSAULT CRAFT UNIT FOUR</v>
      </c>
      <c r="C11055" t="str">
        <f>T("2155 11TH STREET")</f>
        <v>2155 11TH STREET</v>
      </c>
      <c r="D11055" t="str">
        <f t="shared" si="4030"/>
        <v>VIRGINIA BCH</v>
      </c>
      <c r="E11055" t="str">
        <f t="shared" si="4028"/>
        <v>VA</v>
      </c>
      <c r="F11055" t="str">
        <f>T("234599018")</f>
        <v>234599018</v>
      </c>
      <c r="G11055" t="str">
        <f>T("ASSAULT CRAFT UNIT 4")</f>
        <v>ASSAULT CRAFT UNIT 4</v>
      </c>
      <c r="H11055" t="str">
        <f>T("2215 11TH STREET")</f>
        <v>2215 11TH STREET</v>
      </c>
      <c r="I11055" t="str">
        <f t="shared" si="4032"/>
        <v>VIRGINIA BEACH</v>
      </c>
      <c r="J11055" t="str">
        <f t="shared" si="4031"/>
        <v>VA</v>
      </c>
      <c r="K11055" t="str">
        <f>T("000000000000000000")</f>
        <v>000000000000000000</v>
      </c>
      <c r="L11055" t="str">
        <f>T("7574627099")</f>
        <v>7574627099</v>
      </c>
    </row>
    <row r="11056" spans="1:12" x14ac:dyDescent="0.35">
      <c r="A11056" t="str">
        <f t="shared" si="4033"/>
        <v>ASSAULT CRAFT UNIT FOUR</v>
      </c>
      <c r="B11056" t="str">
        <f t="shared" si="4033"/>
        <v>ASSAULT CRAFT UNIT FOUR</v>
      </c>
      <c r="C11056" t="str">
        <f>T("2155 11TH STREET")</f>
        <v>2155 11TH STREET</v>
      </c>
      <c r="D11056" t="str">
        <f t="shared" si="4030"/>
        <v>VIRGINIA BCH</v>
      </c>
      <c r="E11056" t="str">
        <f t="shared" si="4028"/>
        <v>VA</v>
      </c>
      <c r="F11056" t="str">
        <f>T("234599018")</f>
        <v>234599018</v>
      </c>
      <c r="G11056" t="str">
        <f>T("ASSAULT CRAFT UNIT FOUR")</f>
        <v>ASSAULT CRAFT UNIT FOUR</v>
      </c>
      <c r="H11056" t="str">
        <f>T("2155 11TH STREET")</f>
        <v>2155 11TH STREET</v>
      </c>
      <c r="I11056" t="str">
        <f>T("VIRGINIA BCH")</f>
        <v>VIRGINIA BCH</v>
      </c>
      <c r="J11056" t="str">
        <f t="shared" si="4031"/>
        <v>VA</v>
      </c>
      <c r="K11056" t="str">
        <f>T("757-462-4854")</f>
        <v>757-462-4854</v>
      </c>
      <c r="L11056" t="str">
        <f>T("7574625947")</f>
        <v>7574625947</v>
      </c>
    </row>
    <row r="11057" spans="1:12" x14ac:dyDescent="0.35">
      <c r="A11057" t="str">
        <f>T("COMNAVBEACHGRU TWO")</f>
        <v>COMNAVBEACHGRU TWO</v>
      </c>
      <c r="B11057" t="str">
        <f>T("NAVAL BEACH GROUP TWO")</f>
        <v>NAVAL BEACH GROUP TWO</v>
      </c>
      <c r="C11057" t="str">
        <f>T("1430 HELICOPTER RD SUITE 100")</f>
        <v>1430 HELICOPTER RD SUITE 100</v>
      </c>
      <c r="D11057" t="str">
        <f t="shared" si="4030"/>
        <v>VIRGINIA BCH</v>
      </c>
      <c r="E11057" t="str">
        <f t="shared" si="4028"/>
        <v>VA</v>
      </c>
      <c r="F11057" t="str">
        <f>T("234598943")</f>
        <v>234598943</v>
      </c>
      <c r="G11057" t="str">
        <f>T("1430 HELICOPTER RD")</f>
        <v>1430 HELICOPTER RD</v>
      </c>
      <c r="H11057" t="str">
        <f>T("BLDG 3801 STE 100")</f>
        <v>BLDG 3801 STE 100</v>
      </c>
      <c r="I11057" t="str">
        <f>T("VIRGINIA BEACH")</f>
        <v>VIRGINIA BEACH</v>
      </c>
      <c r="J11057" t="str">
        <f t="shared" si="4031"/>
        <v>VA</v>
      </c>
      <c r="K11057" t="str">
        <f>T("000000000000000000")</f>
        <v>000000000000000000</v>
      </c>
      <c r="L11057" t="str">
        <f>T("7574623084")</f>
        <v>7574623084</v>
      </c>
    </row>
    <row r="11058" spans="1:12" x14ac:dyDescent="0.35">
      <c r="A11058" t="str">
        <f>T("COMNAVBEACHGRU TWO")</f>
        <v>COMNAVBEACHGRU TWO</v>
      </c>
      <c r="B11058" t="str">
        <f>T("NAVAL BEACH GROUP TWO")</f>
        <v>NAVAL BEACH GROUP TWO</v>
      </c>
      <c r="C11058" t="str">
        <f>T("1430 HELICOPTER RD SUITE 100")</f>
        <v>1430 HELICOPTER RD SUITE 100</v>
      </c>
      <c r="D11058" t="str">
        <f t="shared" si="4030"/>
        <v>VIRGINIA BCH</v>
      </c>
      <c r="E11058" t="str">
        <f t="shared" si="4028"/>
        <v>VA</v>
      </c>
      <c r="F11058" t="str">
        <f>T("234598943")</f>
        <v>234598943</v>
      </c>
      <c r="G11058" t="str">
        <f>T("NAVAL BEACH GROUP TWO")</f>
        <v>NAVAL BEACH GROUP TWO</v>
      </c>
      <c r="H11058" t="str">
        <f>T("1430 HELICOPTER RD SUITE 100")</f>
        <v>1430 HELICOPTER RD SUITE 100</v>
      </c>
      <c r="I11058" t="str">
        <f>T("VIRGINIA BCH")</f>
        <v>VIRGINIA BCH</v>
      </c>
      <c r="J11058" t="str">
        <f t="shared" si="4031"/>
        <v>VA</v>
      </c>
      <c r="K11058" t="str">
        <f>T("")</f>
        <v/>
      </c>
      <c r="L11058" t="str">
        <f>T("7574623596")</f>
        <v>7574623596</v>
      </c>
    </row>
    <row r="11059" spans="1:12" x14ac:dyDescent="0.35">
      <c r="A11059" t="str">
        <f>T("USS SAN ANTONIO LPD 17")</f>
        <v>USS SAN ANTONIO LPD 17</v>
      </c>
      <c r="B11059" t="str">
        <f>T("USS SAN ANTONIO LPD-17")</f>
        <v>USS SAN ANTONIO LPD-17</v>
      </c>
      <c r="C11059" t="str">
        <f>T("UNIT 100326 BOX 1")</f>
        <v>UNIT 100326 BOX 1</v>
      </c>
      <c r="D11059" t="str">
        <f>T("FPO")</f>
        <v>FPO</v>
      </c>
      <c r="E11059" t="str">
        <f>T("AE")</f>
        <v>AE</v>
      </c>
      <c r="F11059" t="str">
        <f>T("095872600")</f>
        <v>095872600</v>
      </c>
      <c r="G11059" t="str">
        <f>T("USS SAN ANTONIO LPD-17")</f>
        <v>USS SAN ANTONIO LPD-17</v>
      </c>
      <c r="H11059" t="str">
        <f>T("UNIT 100326 BOX 1")</f>
        <v>UNIT 100326 BOX 1</v>
      </c>
      <c r="I11059" t="str">
        <f>T("FPO")</f>
        <v>FPO</v>
      </c>
      <c r="J11059" t="str">
        <f>T("AE")</f>
        <v>AE</v>
      </c>
      <c r="K11059" t="str">
        <f>T("")</f>
        <v/>
      </c>
      <c r="L11059" t="str">
        <f>T("7574456317")</f>
        <v>7574456317</v>
      </c>
    </row>
    <row r="11060" spans="1:12" x14ac:dyDescent="0.35">
      <c r="A11060" t="str">
        <f>T("USS SAN ANTONIO LPD 17")</f>
        <v>USS SAN ANTONIO LPD 17</v>
      </c>
      <c r="B11060" t="str">
        <f>T("USS SAN ANTONIO LPD-17")</f>
        <v>USS SAN ANTONIO LPD-17</v>
      </c>
      <c r="C11060" t="str">
        <f>T("UNIT 100326 BOX 1")</f>
        <v>UNIT 100326 BOX 1</v>
      </c>
      <c r="D11060" t="str">
        <f>T("FPO")</f>
        <v>FPO</v>
      </c>
      <c r="E11060" t="str">
        <f>T("AE")</f>
        <v>AE</v>
      </c>
      <c r="F11060" t="str">
        <f>T("095872600")</f>
        <v>095872600</v>
      </c>
      <c r="G11060" t="str">
        <f>T("USS SAN ANTONIO LPD17")</f>
        <v>USS SAN ANTONIO LPD17</v>
      </c>
      <c r="H11060" t="str">
        <f>T("SUPPLY DEPT")</f>
        <v>SUPPLY DEPT</v>
      </c>
      <c r="I11060" t="str">
        <f>T("FPO")</f>
        <v>FPO</v>
      </c>
      <c r="J11060" t="str">
        <f>T("AE")</f>
        <v>AE</v>
      </c>
      <c r="K11060" t="str">
        <f>T("000000000000000000")</f>
        <v>000000000000000000</v>
      </c>
      <c r="L11060" t="str">
        <f>T("7574456317")</f>
        <v>7574456317</v>
      </c>
    </row>
    <row r="11061" spans="1:12" x14ac:dyDescent="0.35">
      <c r="A11061" t="str">
        <f>T("USS SAN ANTONIO LPD 17")</f>
        <v>USS SAN ANTONIO LPD 17</v>
      </c>
      <c r="B11061" t="str">
        <f>T("USS SAN ANTONIO LPD-17")</f>
        <v>USS SAN ANTONIO LPD-17</v>
      </c>
      <c r="C11061" t="str">
        <f>T("UNIT 100326 BOX 1")</f>
        <v>UNIT 100326 BOX 1</v>
      </c>
      <c r="D11061" t="str">
        <f>T("FPO")</f>
        <v>FPO</v>
      </c>
      <c r="E11061" t="str">
        <f>T("AE")</f>
        <v>AE</v>
      </c>
      <c r="F11061" t="str">
        <f>T("095872600")</f>
        <v>095872600</v>
      </c>
      <c r="G11061" t="str">
        <f>T("USS SAN ANTONIO LPD17")</f>
        <v>USS SAN ANTONIO LPD17</v>
      </c>
      <c r="H11061" t="str">
        <f>T("UNIT 100326 BOX 1")</f>
        <v>UNIT 100326 BOX 1</v>
      </c>
      <c r="I11061" t="str">
        <f>T("FPO")</f>
        <v>FPO</v>
      </c>
      <c r="J11061" t="str">
        <f>T("AE")</f>
        <v>AE</v>
      </c>
      <c r="K11061" t="str">
        <f>T("000000000000000000")</f>
        <v>000000000000000000</v>
      </c>
      <c r="L11061" t="str">
        <f>T("7574438595")</f>
        <v>7574438595</v>
      </c>
    </row>
    <row r="11062" spans="1:12" x14ac:dyDescent="0.35">
      <c r="A11062" t="str">
        <f>T("COMDESRON 26")</f>
        <v>COMDESRON 26</v>
      </c>
      <c r="B11062" t="str">
        <f>T("COMDESRON 26")</f>
        <v>COMDESRON 26</v>
      </c>
      <c r="C11062" t="str">
        <f>T("8870 1ST STREET STE 300")</f>
        <v>8870 1ST STREET STE 300</v>
      </c>
      <c r="D11062" t="str">
        <f t="shared" ref="D11062:D11068" si="4034">T("NORFOLK")</f>
        <v>NORFOLK</v>
      </c>
      <c r="E11062" t="str">
        <f t="shared" ref="E11062:E11072" si="4035">T("VA")</f>
        <v>VA</v>
      </c>
      <c r="F11062" t="str">
        <f>T("235113732")</f>
        <v>235113732</v>
      </c>
      <c r="G11062" t="str">
        <f>T("8870 1ST STREET SUITE 300")</f>
        <v>8870 1ST STREET SUITE 300</v>
      </c>
      <c r="H11062" t="str">
        <f>T("BLDG 41")</f>
        <v>BLDG 41</v>
      </c>
      <c r="I11062" t="str">
        <f t="shared" ref="I11062:I11068" si="4036">T("NORFOLK")</f>
        <v>NORFOLK</v>
      </c>
      <c r="J11062" t="str">
        <f t="shared" ref="J11062:J11072" si="4037">T("VA")</f>
        <v>VA</v>
      </c>
      <c r="K11062" t="str">
        <f>T("000000000000000000")</f>
        <v>000000000000000000</v>
      </c>
      <c r="L11062" t="str">
        <f>T("7574459289")</f>
        <v>7574459289</v>
      </c>
    </row>
    <row r="11063" spans="1:12" x14ac:dyDescent="0.35">
      <c r="A11063" t="str">
        <f>T("COMDESRON 26")</f>
        <v>COMDESRON 26</v>
      </c>
      <c r="B11063" t="str">
        <f>T("COMDESRON 26")</f>
        <v>COMDESRON 26</v>
      </c>
      <c r="C11063" t="str">
        <f>T("8870 1ST STREET STE 300")</f>
        <v>8870 1ST STREET STE 300</v>
      </c>
      <c r="D11063" t="str">
        <f t="shared" si="4034"/>
        <v>NORFOLK</v>
      </c>
      <c r="E11063" t="str">
        <f t="shared" si="4035"/>
        <v>VA</v>
      </c>
      <c r="F11063" t="str">
        <f>T("235113732")</f>
        <v>235113732</v>
      </c>
      <c r="G11063" t="str">
        <f>T("COMDESRON 26")</f>
        <v>COMDESRON 26</v>
      </c>
      <c r="H11063" t="str">
        <f>T("8870 1ST STREET STE 300")</f>
        <v>8870 1ST STREET STE 300</v>
      </c>
      <c r="I11063" t="str">
        <f t="shared" si="4036"/>
        <v>NORFOLK</v>
      </c>
      <c r="J11063" t="str">
        <f t="shared" si="4037"/>
        <v>VA</v>
      </c>
      <c r="K11063" t="str">
        <f>T("")</f>
        <v/>
      </c>
      <c r="L11063" t="str">
        <f>T("7573414922")</f>
        <v>7573414922</v>
      </c>
    </row>
    <row r="11064" spans="1:12" x14ac:dyDescent="0.35">
      <c r="A11064" t="str">
        <f>T("COMDESRON 2")</f>
        <v>COMDESRON 2</v>
      </c>
      <c r="B11064" t="str">
        <f>T("COMDESRON TWO")</f>
        <v>COMDESRON TWO</v>
      </c>
      <c r="C11064" t="str">
        <f>T("9727 AVIONICS LOOP BLDG LF18 RM 102")</f>
        <v>9727 AVIONICS LOOP BLDG LF18 RM 102</v>
      </c>
      <c r="D11064" t="str">
        <f t="shared" si="4034"/>
        <v>NORFOLK</v>
      </c>
      <c r="E11064" t="str">
        <f t="shared" si="4035"/>
        <v>VA</v>
      </c>
      <c r="F11064" t="str">
        <f>T("235113731")</f>
        <v>235113731</v>
      </c>
      <c r="G11064" t="str">
        <f>T("9727 AVONIS LOOP")</f>
        <v>9727 AVONIS LOOP</v>
      </c>
      <c r="H11064" t="str">
        <f>T("STE 400 RM 102 BLDG LF-18")</f>
        <v>STE 400 RM 102 BLDG LF-18</v>
      </c>
      <c r="I11064" t="str">
        <f t="shared" si="4036"/>
        <v>NORFOLK</v>
      </c>
      <c r="J11064" t="str">
        <f t="shared" si="4037"/>
        <v>VA</v>
      </c>
      <c r="K11064" t="str">
        <f>T("000000000000000000")</f>
        <v>000000000000000000</v>
      </c>
      <c r="L11064" t="str">
        <f>T("7574459257")</f>
        <v>7574459257</v>
      </c>
    </row>
    <row r="11065" spans="1:12" x14ac:dyDescent="0.35">
      <c r="A11065" t="str">
        <f>T("COMDESRON 2")</f>
        <v>COMDESRON 2</v>
      </c>
      <c r="B11065" t="str">
        <f>T("COMDESRON TWO")</f>
        <v>COMDESRON TWO</v>
      </c>
      <c r="C11065" t="str">
        <f>T("9727 AVIONICS LOOP BLDG LF18 RM 102")</f>
        <v>9727 AVIONICS LOOP BLDG LF18 RM 102</v>
      </c>
      <c r="D11065" t="str">
        <f t="shared" si="4034"/>
        <v>NORFOLK</v>
      </c>
      <c r="E11065" t="str">
        <f t="shared" si="4035"/>
        <v>VA</v>
      </c>
      <c r="F11065" t="str">
        <f>T("235113731")</f>
        <v>235113731</v>
      </c>
      <c r="G11065" t="str">
        <f>T("COMDESRON TWO")</f>
        <v>COMDESRON TWO</v>
      </c>
      <c r="H11065" t="str">
        <f>T("9727 AVIONICS LOOP BLDG LF18 RM 102")</f>
        <v>9727 AVIONICS LOOP BLDG LF18 RM 102</v>
      </c>
      <c r="I11065" t="str">
        <f t="shared" si="4036"/>
        <v>NORFOLK</v>
      </c>
      <c r="J11065" t="str">
        <f t="shared" si="4037"/>
        <v>VA</v>
      </c>
      <c r="K11065" t="str">
        <f>T("")</f>
        <v/>
      </c>
      <c r="L11065" t="str">
        <f>T("7573414849")</f>
        <v>7573414849</v>
      </c>
    </row>
    <row r="11066" spans="1:12" x14ac:dyDescent="0.35">
      <c r="A11066" t="str">
        <f t="shared" ref="A11066:B11068" si="4038">T("COMDESRON 28")</f>
        <v>COMDESRON 28</v>
      </c>
      <c r="B11066" t="str">
        <f t="shared" si="4038"/>
        <v>COMDESRON 28</v>
      </c>
      <c r="C11066" t="str">
        <f>T("9727 AVIONIC LOOP RM 102 BOX 103")</f>
        <v>9727 AVIONIC LOOP RM 102 BOX 103</v>
      </c>
      <c r="D11066" t="str">
        <f t="shared" si="4034"/>
        <v>NORFOLK</v>
      </c>
      <c r="E11066" t="str">
        <f t="shared" si="4035"/>
        <v>VA</v>
      </c>
      <c r="F11066" t="str">
        <f>T("235113731")</f>
        <v>235113731</v>
      </c>
      <c r="G11066" t="str">
        <f>T("COMDESRON 28")</f>
        <v>COMDESRON 28</v>
      </c>
      <c r="H11066" t="str">
        <f>T("9727 AVIONIC LOOP RM 102 BOX 103")</f>
        <v>9727 AVIONIC LOOP RM 102 BOX 103</v>
      </c>
      <c r="I11066" t="str">
        <f t="shared" si="4036"/>
        <v>NORFOLK</v>
      </c>
      <c r="J11066" t="str">
        <f t="shared" si="4037"/>
        <v>VA</v>
      </c>
      <c r="K11066" t="str">
        <f>T("7574456788")</f>
        <v>7574456788</v>
      </c>
      <c r="L11066" t="str">
        <f>T("7573414811")</f>
        <v>7573414811</v>
      </c>
    </row>
    <row r="11067" spans="1:12" x14ac:dyDescent="0.35">
      <c r="A11067" t="str">
        <f t="shared" si="4038"/>
        <v>COMDESRON 28</v>
      </c>
      <c r="B11067" t="str">
        <f t="shared" si="4038"/>
        <v>COMDESRON 28</v>
      </c>
      <c r="C11067" t="str">
        <f>T("9727 AVIONIC LOOP RM 102 BOX 103")</f>
        <v>9727 AVIONIC LOOP RM 102 BOX 103</v>
      </c>
      <c r="D11067" t="str">
        <f t="shared" si="4034"/>
        <v>NORFOLK</v>
      </c>
      <c r="E11067" t="str">
        <f t="shared" si="4035"/>
        <v>VA</v>
      </c>
      <c r="F11067" t="str">
        <f>T("235113731")</f>
        <v>235113731</v>
      </c>
      <c r="G11067" t="str">
        <f>T("COMDESRON 28")</f>
        <v>COMDESRON 28</v>
      </c>
      <c r="H11067" t="str">
        <f>T("9727 AVIONICS LOOP BLDG LF-18")</f>
        <v>9727 AVIONICS LOOP BLDG LF-18</v>
      </c>
      <c r="I11067" t="str">
        <f t="shared" si="4036"/>
        <v>NORFOLK</v>
      </c>
      <c r="J11067" t="str">
        <f t="shared" si="4037"/>
        <v>VA</v>
      </c>
      <c r="K11067" t="str">
        <f>T("000000000000000000")</f>
        <v>000000000000000000</v>
      </c>
      <c r="L11067" t="str">
        <f>T("7573414959")</f>
        <v>7573414959</v>
      </c>
    </row>
    <row r="11068" spans="1:12" x14ac:dyDescent="0.35">
      <c r="A11068" t="str">
        <f t="shared" si="4038"/>
        <v>COMDESRON 28</v>
      </c>
      <c r="B11068" t="str">
        <f t="shared" si="4038"/>
        <v>COMDESRON 28</v>
      </c>
      <c r="C11068" t="str">
        <f>T("9727 AVIONIC LOOP RM 102 BOX 103")</f>
        <v>9727 AVIONIC LOOP RM 102 BOX 103</v>
      </c>
      <c r="D11068" t="str">
        <f t="shared" si="4034"/>
        <v>NORFOLK</v>
      </c>
      <c r="E11068" t="str">
        <f t="shared" si="4035"/>
        <v>VA</v>
      </c>
      <c r="F11068" t="str">
        <f>T("235113731")</f>
        <v>235113731</v>
      </c>
      <c r="G11068" t="str">
        <f>T("COMDESRON 28")</f>
        <v>COMDESRON 28</v>
      </c>
      <c r="H11068" t="str">
        <f>T("9727 AVIONICS LOOP SUITE 200")</f>
        <v>9727 AVIONICS LOOP SUITE 200</v>
      </c>
      <c r="I11068" t="str">
        <f t="shared" si="4036"/>
        <v>NORFOLK</v>
      </c>
      <c r="J11068" t="str">
        <f t="shared" si="4037"/>
        <v>VA</v>
      </c>
      <c r="K11068" t="str">
        <f>T("000000000000000000")</f>
        <v>000000000000000000</v>
      </c>
      <c r="L11068" t="str">
        <f>T("7573414815")</f>
        <v>7573414815</v>
      </c>
    </row>
    <row r="11069" spans="1:12" x14ac:dyDescent="0.35">
      <c r="A11069" t="str">
        <f>T("TACRON 21")</f>
        <v>TACRON 21</v>
      </c>
      <c r="B11069" t="str">
        <f>T("2200 KNOX RD, BLDG T-111")</f>
        <v>2200 KNOX RD, BLDG T-111</v>
      </c>
      <c r="C11069" t="str">
        <f>T("JEB LITTLE")</f>
        <v>JEB LITTLE</v>
      </c>
      <c r="D11069" t="str">
        <f>T("VIRGINIA BCH")</f>
        <v>VIRGINIA BCH</v>
      </c>
      <c r="E11069" t="str">
        <f t="shared" si="4035"/>
        <v>VA</v>
      </c>
      <c r="F11069" t="str">
        <f>T("234598820")</f>
        <v>234598820</v>
      </c>
      <c r="G11069" t="str">
        <f>T("2200 KNOX RD, BLDG T-111")</f>
        <v>2200 KNOX RD, BLDG T-111</v>
      </c>
      <c r="H11069" t="str">
        <f>T("JEB LITTLE")</f>
        <v>JEB LITTLE</v>
      </c>
      <c r="I11069" t="str">
        <f>T("VIRGINIA BCH")</f>
        <v>VIRGINIA BCH</v>
      </c>
      <c r="J11069" t="str">
        <f t="shared" si="4037"/>
        <v>VA</v>
      </c>
      <c r="K11069" t="str">
        <f>T("757-462-4852")</f>
        <v>757-462-4852</v>
      </c>
      <c r="L11069" t="str">
        <f>T("7574624655")</f>
        <v>7574624655</v>
      </c>
    </row>
    <row r="11070" spans="1:12" x14ac:dyDescent="0.35">
      <c r="A11070" t="str">
        <f>T("TACRON 21")</f>
        <v>TACRON 21</v>
      </c>
      <c r="B11070" t="str">
        <f>T("2200 KNOX RD, BLDG T-111")</f>
        <v>2200 KNOX RD, BLDG T-111</v>
      </c>
      <c r="C11070" t="str">
        <f>T("JEB LITTLE")</f>
        <v>JEB LITTLE</v>
      </c>
      <c r="D11070" t="str">
        <f>T("VIRGINIA BCH")</f>
        <v>VIRGINIA BCH</v>
      </c>
      <c r="E11070" t="str">
        <f t="shared" si="4035"/>
        <v>VA</v>
      </c>
      <c r="F11070" t="str">
        <f>T("234598820")</f>
        <v>234598820</v>
      </c>
      <c r="G11070" t="str">
        <f>T("2200 KNOX ROAD")</f>
        <v>2200 KNOX ROAD</v>
      </c>
      <c r="H11070" t="str">
        <f>T("BLDG T-111 JEB LITTLE")</f>
        <v>BLDG T-111 JEB LITTLE</v>
      </c>
      <c r="I11070" t="str">
        <f>T("VIRGINIA BEACH")</f>
        <v>VIRGINIA BEACH</v>
      </c>
      <c r="J11070" t="str">
        <f t="shared" si="4037"/>
        <v>VA</v>
      </c>
      <c r="K11070" t="str">
        <f>T("000000000000000000")</f>
        <v>000000000000000000</v>
      </c>
      <c r="L11070" t="str">
        <f>T("7574624852")</f>
        <v>7574624852</v>
      </c>
    </row>
    <row r="11071" spans="1:12" x14ac:dyDescent="0.35">
      <c r="A11071" t="str">
        <f>T("TACRON 21")</f>
        <v>TACRON 21</v>
      </c>
      <c r="B11071" t="str">
        <f>T("2200 KNOX RD, BLDG T-111")</f>
        <v>2200 KNOX RD, BLDG T-111</v>
      </c>
      <c r="C11071" t="str">
        <f>T("JEB LITTLE")</f>
        <v>JEB LITTLE</v>
      </c>
      <c r="D11071" t="str">
        <f>T("VIRGINIA BCH")</f>
        <v>VIRGINIA BCH</v>
      </c>
      <c r="E11071" t="str">
        <f t="shared" si="4035"/>
        <v>VA</v>
      </c>
      <c r="F11071" t="str">
        <f>T("234598820")</f>
        <v>234598820</v>
      </c>
      <c r="G11071" t="str">
        <f>T("TACRON 21")</f>
        <v>TACRON 21</v>
      </c>
      <c r="H11071" t="str">
        <f>T("2200 KNOX RD BLDG T-111")</f>
        <v>2200 KNOX RD BLDG T-111</v>
      </c>
      <c r="I11071" t="str">
        <f>T("VIRGINIA BEACH")</f>
        <v>VIRGINIA BEACH</v>
      </c>
      <c r="J11071" t="str">
        <f t="shared" si="4037"/>
        <v>VA</v>
      </c>
      <c r="K11071" t="str">
        <f>T("000000000000000000")</f>
        <v>000000000000000000</v>
      </c>
      <c r="L11071" t="str">
        <f>T("7169972833")</f>
        <v>7169972833</v>
      </c>
    </row>
    <row r="11072" spans="1:12" x14ac:dyDescent="0.35">
      <c r="A11072" t="str">
        <f>T("TACRON 21")</f>
        <v>TACRON 21</v>
      </c>
      <c r="B11072" t="str">
        <f>T("2200 KNOX RD, BLDG T-111")</f>
        <v>2200 KNOX RD, BLDG T-111</v>
      </c>
      <c r="C11072" t="str">
        <f>T("JEB LITTLE")</f>
        <v>JEB LITTLE</v>
      </c>
      <c r="D11072" t="str">
        <f>T("VIRGINIA BCH")</f>
        <v>VIRGINIA BCH</v>
      </c>
      <c r="E11072" t="str">
        <f t="shared" si="4035"/>
        <v>VA</v>
      </c>
      <c r="F11072" t="str">
        <f>T("234598820")</f>
        <v>234598820</v>
      </c>
      <c r="G11072" t="str">
        <f>T("TACRON 21")</f>
        <v>TACRON 21</v>
      </c>
      <c r="H11072" t="str">
        <f>T("2200 KNOX RD BLDG-T111")</f>
        <v>2200 KNOX RD BLDG-T111</v>
      </c>
      <c r="I11072" t="str">
        <f>T("VIRGINIA BEACH")</f>
        <v>VIRGINIA BEACH</v>
      </c>
      <c r="J11072" t="str">
        <f t="shared" si="4037"/>
        <v>VA</v>
      </c>
      <c r="K11072" t="str">
        <f>T("000000000000000000")</f>
        <v>000000000000000000</v>
      </c>
      <c r="L11072" t="str">
        <f>T("7574624852")</f>
        <v>7574624852</v>
      </c>
    </row>
    <row r="11073" spans="1:12" x14ac:dyDescent="0.35">
      <c r="A11073" t="str">
        <f>T("USS MONTEREY CG 61")</f>
        <v>USS MONTEREY CG 61</v>
      </c>
      <c r="B11073" t="str">
        <f>T("USS MONTEREY CG-61")</f>
        <v>USS MONTEREY CG-61</v>
      </c>
      <c r="C11073" t="str">
        <f>T("UNIT 100265 BOX 1")</f>
        <v>UNIT 100265 BOX 1</v>
      </c>
      <c r="D11073" t="str">
        <f t="shared" ref="D11073:D11112" si="4039">T("FPO")</f>
        <v>FPO</v>
      </c>
      <c r="E11073" t="str">
        <f t="shared" ref="E11073:E11079" si="4040">T("AE")</f>
        <v>AE</v>
      </c>
      <c r="F11073" t="str">
        <f>T("095786500")</f>
        <v>095786500</v>
      </c>
      <c r="G11073" t="str">
        <f>T("UNIT 100265 BOX 1")</f>
        <v>UNIT 100265 BOX 1</v>
      </c>
      <c r="H11073" t="str">
        <f>T("SUPPLY DEPT")</f>
        <v>SUPPLY DEPT</v>
      </c>
      <c r="I11073" t="str">
        <f>T("FPO")</f>
        <v>FPO</v>
      </c>
      <c r="J11073" t="str">
        <f>T("AE")</f>
        <v>AE</v>
      </c>
      <c r="K11073" t="str">
        <f>T("000000000000000000")</f>
        <v>000000000000000000</v>
      </c>
      <c r="L11073" t="str">
        <f>T("7576446018")</f>
        <v>7576446018</v>
      </c>
    </row>
    <row r="11074" spans="1:12" x14ac:dyDescent="0.35">
      <c r="A11074" t="str">
        <f>T("USS MONTEREY CG 61")</f>
        <v>USS MONTEREY CG 61</v>
      </c>
      <c r="B11074" t="str">
        <f>T("USS MONTEREY CG-61")</f>
        <v>USS MONTEREY CG-61</v>
      </c>
      <c r="C11074" t="str">
        <f>T("UNIT 100265 BOX 1")</f>
        <v>UNIT 100265 BOX 1</v>
      </c>
      <c r="D11074" t="str">
        <f t="shared" si="4039"/>
        <v>FPO</v>
      </c>
      <c r="E11074" t="str">
        <f t="shared" si="4040"/>
        <v>AE</v>
      </c>
      <c r="F11074" t="str">
        <f>T("095786500")</f>
        <v>095786500</v>
      </c>
      <c r="G11074" t="str">
        <f>T("USS MONTEREY CG-61")</f>
        <v>USS MONTEREY CG-61</v>
      </c>
      <c r="H11074" t="str">
        <f>T("UNIT 100265 BOX 1")</f>
        <v>UNIT 100265 BOX 1</v>
      </c>
      <c r="I11074" t="str">
        <f>T("FPO")</f>
        <v>FPO</v>
      </c>
      <c r="J11074" t="str">
        <f>T("AE")</f>
        <v>AE</v>
      </c>
      <c r="K11074" t="str">
        <f>T("7574456236")</f>
        <v>7574456236</v>
      </c>
      <c r="L11074" t="str">
        <f>T("7576446018")</f>
        <v>7576446018</v>
      </c>
    </row>
    <row r="11075" spans="1:12" x14ac:dyDescent="0.35">
      <c r="A11075" t="str">
        <f>T("USS MONTEREY CG 61")</f>
        <v>USS MONTEREY CG 61</v>
      </c>
      <c r="B11075" t="str">
        <f>T("USS MONTEREY CG-61")</f>
        <v>USS MONTEREY CG-61</v>
      </c>
      <c r="C11075" t="str">
        <f>T("UNIT 100265 BOX 1")</f>
        <v>UNIT 100265 BOX 1</v>
      </c>
      <c r="D11075" t="str">
        <f t="shared" si="4039"/>
        <v>FPO</v>
      </c>
      <c r="E11075" t="str">
        <f t="shared" si="4040"/>
        <v>AE</v>
      </c>
      <c r="F11075" t="str">
        <f>T("095786500")</f>
        <v>095786500</v>
      </c>
      <c r="G11075" t="str">
        <f>T("USS MONTEREY CG61")</f>
        <v>USS MONTEREY CG61</v>
      </c>
      <c r="H11075" t="str">
        <f>T("UNIT 100265 BOX 1")</f>
        <v>UNIT 100265 BOX 1</v>
      </c>
      <c r="I11075" t="str">
        <f>T("FPO")</f>
        <v>FPO</v>
      </c>
      <c r="J11075" t="str">
        <f>T("AE")</f>
        <v>AE</v>
      </c>
      <c r="K11075" t="str">
        <f>T("000000000000000000")</f>
        <v>000000000000000000</v>
      </c>
      <c r="L11075" t="str">
        <f>T("7574456236")</f>
        <v>7574456236</v>
      </c>
    </row>
    <row r="11076" spans="1:12" x14ac:dyDescent="0.35">
      <c r="A11076" t="str">
        <f>T("ZZ DELETE")</f>
        <v>ZZ DELETE</v>
      </c>
      <c r="B11076" t="str">
        <f>T("USS TORTUGA LSD46")</f>
        <v>USS TORTUGA LSD46</v>
      </c>
      <c r="C11076" t="str">
        <f>T("UNIT 100267 BOX 1")</f>
        <v>UNIT 100267 BOX 1</v>
      </c>
      <c r="D11076" t="str">
        <f t="shared" si="4039"/>
        <v>FPO</v>
      </c>
      <c r="E11076" t="str">
        <f t="shared" si="4040"/>
        <v>AE</v>
      </c>
      <c r="F11076" t="str">
        <f>T("095886700")</f>
        <v>095886700</v>
      </c>
      <c r="G11076" t="str">
        <f>T("USS TORTUGA LSD46")</f>
        <v>USS TORTUGA LSD46</v>
      </c>
      <c r="H11076" t="str">
        <f>T("UNIT 100267 BOX 1")</f>
        <v>UNIT 100267 BOX 1</v>
      </c>
      <c r="I11076" t="str">
        <f>T("FPO")</f>
        <v>FPO</v>
      </c>
      <c r="J11076" t="str">
        <f>T("AE")</f>
        <v>AE</v>
      </c>
      <c r="K11076" t="str">
        <f>T("000000000000000000")</f>
        <v>000000000000000000</v>
      </c>
      <c r="L11076" t="str">
        <f>T("7574627895")</f>
        <v>7574627895</v>
      </c>
    </row>
    <row r="11077" spans="1:12" x14ac:dyDescent="0.35">
      <c r="A11077" t="str">
        <f t="shared" ref="A11077:B11079" si="4041">T("USS OSCAR AUSTIN DDG-79")</f>
        <v>USS OSCAR AUSTIN DDG-79</v>
      </c>
      <c r="B11077" t="str">
        <f t="shared" si="4041"/>
        <v>USS OSCAR AUSTIN DDG-79</v>
      </c>
      <c r="C11077" t="str">
        <f t="shared" ref="C11077:C11083" si="4042">T("SUPPLY DEPT")</f>
        <v>SUPPLY DEPT</v>
      </c>
      <c r="D11077" t="str">
        <f t="shared" si="4039"/>
        <v>FPO</v>
      </c>
      <c r="E11077" t="str">
        <f t="shared" si="4040"/>
        <v>AE</v>
      </c>
      <c r="F11077" t="str">
        <f>T("095811298")</f>
        <v>095811298</v>
      </c>
      <c r="G11077" t="str">
        <f>T("CNSL 1751 MORRIS ST BLDG D-29")</f>
        <v>CNSL 1751 MORRIS ST BLDG D-29</v>
      </c>
      <c r="H11077" t="str">
        <f>T("ATTN DONNA CAREY")</f>
        <v>ATTN DONNA CAREY</v>
      </c>
      <c r="I11077" t="str">
        <f>T("NORFOLK")</f>
        <v>NORFOLK</v>
      </c>
      <c r="J11077" t="str">
        <f>T("VA")</f>
        <v>VA</v>
      </c>
      <c r="K11077" t="str">
        <f>T("000000000000000000")</f>
        <v>000000000000000000</v>
      </c>
      <c r="L11077" t="str">
        <f>T("7574445189")</f>
        <v>7574445189</v>
      </c>
    </row>
    <row r="11078" spans="1:12" x14ac:dyDescent="0.35">
      <c r="A11078" t="str">
        <f t="shared" si="4041"/>
        <v>USS OSCAR AUSTIN DDG-79</v>
      </c>
      <c r="B11078" t="str">
        <f t="shared" si="4041"/>
        <v>USS OSCAR AUSTIN DDG-79</v>
      </c>
      <c r="C11078" t="str">
        <f t="shared" si="4042"/>
        <v>SUPPLY DEPT</v>
      </c>
      <c r="D11078" t="str">
        <f t="shared" si="4039"/>
        <v>FPO</v>
      </c>
      <c r="E11078" t="str">
        <f t="shared" si="4040"/>
        <v>AE</v>
      </c>
      <c r="F11078" t="str">
        <f>T("095811298")</f>
        <v>095811298</v>
      </c>
      <c r="G11078" t="str">
        <f>T("USS OSCAR AUSTIN DDG-79")</f>
        <v>USS OSCAR AUSTIN DDG-79</v>
      </c>
      <c r="H11078" t="str">
        <f>T("SUPPLY DEPT")</f>
        <v>SUPPLY DEPT</v>
      </c>
      <c r="I11078" t="str">
        <f>T("FPO")</f>
        <v>FPO</v>
      </c>
      <c r="J11078" t="str">
        <f>T("AE")</f>
        <v>AE</v>
      </c>
      <c r="K11078" t="str">
        <f>T("7574445189")</f>
        <v>7574445189</v>
      </c>
      <c r="L11078" t="str">
        <f>T("7574445189")</f>
        <v>7574445189</v>
      </c>
    </row>
    <row r="11079" spans="1:12" x14ac:dyDescent="0.35">
      <c r="A11079" t="str">
        <f t="shared" si="4041"/>
        <v>USS OSCAR AUSTIN DDG-79</v>
      </c>
      <c r="B11079" t="str">
        <f t="shared" si="4041"/>
        <v>USS OSCAR AUSTIN DDG-79</v>
      </c>
      <c r="C11079" t="str">
        <f t="shared" si="4042"/>
        <v>SUPPLY DEPT</v>
      </c>
      <c r="D11079" t="str">
        <f t="shared" si="4039"/>
        <v>FPO</v>
      </c>
      <c r="E11079" t="str">
        <f t="shared" si="4040"/>
        <v>AE</v>
      </c>
      <c r="F11079" t="str">
        <f>T("095811298")</f>
        <v>095811298</v>
      </c>
      <c r="G11079" t="str">
        <f>T("USS OSCAR AUSTIN DDG79")</f>
        <v>USS OSCAR AUSTIN DDG79</v>
      </c>
      <c r="H11079" t="str">
        <f>T("SUPPLY DEPT")</f>
        <v>SUPPLY DEPT</v>
      </c>
      <c r="I11079" t="str">
        <f>T("FPO")</f>
        <v>FPO</v>
      </c>
      <c r="J11079" t="str">
        <f>T("AE")</f>
        <v>AE</v>
      </c>
      <c r="K11079" t="str">
        <f>T("000000000000000000")</f>
        <v>000000000000000000</v>
      </c>
      <c r="L11079" t="str">
        <f>T("7574444010")</f>
        <v>7574444010</v>
      </c>
    </row>
    <row r="11080" spans="1:12" x14ac:dyDescent="0.35">
      <c r="A11080" t="str">
        <f>T("USS ROOSEVELT DDG80")</f>
        <v>USS ROOSEVELT DDG80</v>
      </c>
      <c r="B11080" t="str">
        <f>T("USS ROOSEVELT DDG 80")</f>
        <v>USS ROOSEVELT DDG 80</v>
      </c>
      <c r="C11080" t="str">
        <f t="shared" si="4042"/>
        <v>SUPPLY DEPT</v>
      </c>
      <c r="D11080" t="str">
        <f t="shared" si="4039"/>
        <v>FPO</v>
      </c>
      <c r="E11080" t="str">
        <f t="shared" ref="E11080:E11086" si="4043">T("AA")</f>
        <v>AA</v>
      </c>
      <c r="F11080" t="str">
        <f>T("340921297")</f>
        <v>340921297</v>
      </c>
      <c r="G11080" t="str">
        <f>T("BLDG 448 BONHOMME RICHARD STREET")</f>
        <v>BLDG 448 BONHOMME RICHARD STREET</v>
      </c>
      <c r="H11080" t="str">
        <f>T("ATTN PETER TORRES")</f>
        <v>ATTN PETER TORRES</v>
      </c>
      <c r="I11080" t="str">
        <f>T("JACKSONVILLE")</f>
        <v>JACKSONVILLE</v>
      </c>
      <c r="J11080" t="str">
        <f>T("FL")</f>
        <v>FL</v>
      </c>
      <c r="K11080" t="str">
        <f>T("000000000000000000")</f>
        <v>000000000000000000</v>
      </c>
      <c r="L11080" t="str">
        <f>T("9042705801")</f>
        <v>9042705801</v>
      </c>
    </row>
    <row r="11081" spans="1:12" x14ac:dyDescent="0.35">
      <c r="A11081" t="str">
        <f>T("USS ROOSEVELT DDG80")</f>
        <v>USS ROOSEVELT DDG80</v>
      </c>
      <c r="B11081" t="str">
        <f>T("USS ROOSEVELT DDG 80")</f>
        <v>USS ROOSEVELT DDG 80</v>
      </c>
      <c r="C11081" t="str">
        <f t="shared" si="4042"/>
        <v>SUPPLY DEPT</v>
      </c>
      <c r="D11081" t="str">
        <f t="shared" si="4039"/>
        <v>FPO</v>
      </c>
      <c r="E11081" t="str">
        <f t="shared" si="4043"/>
        <v>AA</v>
      </c>
      <c r="F11081" t="str">
        <f>T("340921297")</f>
        <v>340921297</v>
      </c>
      <c r="G11081" t="str">
        <f>T("USS ROOSEVELT DDG 80")</f>
        <v>USS ROOSEVELT DDG 80</v>
      </c>
      <c r="H11081" t="str">
        <f>T("SUPPLY DEPT")</f>
        <v>SUPPLY DEPT</v>
      </c>
      <c r="I11081" t="str">
        <f>T("FPO")</f>
        <v>FPO</v>
      </c>
      <c r="J11081" t="str">
        <f>T("AA")</f>
        <v>AA</v>
      </c>
      <c r="K11081" t="str">
        <f>T("")</f>
        <v/>
      </c>
      <c r="L11081" t="str">
        <f>T("9042705861")</f>
        <v>9042705861</v>
      </c>
    </row>
    <row r="11082" spans="1:12" x14ac:dyDescent="0.35">
      <c r="A11082" t="str">
        <f>T("USS ROOSEVELT DDG80")</f>
        <v>USS ROOSEVELT DDG80</v>
      </c>
      <c r="B11082" t="str">
        <f>T("USS ROOSEVELT DDG 80")</f>
        <v>USS ROOSEVELT DDG 80</v>
      </c>
      <c r="C11082" t="str">
        <f t="shared" si="4042"/>
        <v>SUPPLY DEPT</v>
      </c>
      <c r="D11082" t="str">
        <f t="shared" si="4039"/>
        <v>FPO</v>
      </c>
      <c r="E11082" t="str">
        <f t="shared" si="4043"/>
        <v>AA</v>
      </c>
      <c r="F11082" t="str">
        <f>T("340921297")</f>
        <v>340921297</v>
      </c>
      <c r="G11082" t="str">
        <f>T("USS ROOSEVELT DDG80")</f>
        <v>USS ROOSEVELT DDG80</v>
      </c>
      <c r="H11082" t="str">
        <f>T("UNIT 100316 BOX 1")</f>
        <v>UNIT 100316 BOX 1</v>
      </c>
      <c r="I11082" t="str">
        <f>T("FPO")</f>
        <v>FPO</v>
      </c>
      <c r="J11082" t="str">
        <f>T("AA")</f>
        <v>AA</v>
      </c>
      <c r="K11082" t="str">
        <f t="shared" ref="K11082:K11088" si="4044">T("000000000000000000")</f>
        <v>000000000000000000</v>
      </c>
      <c r="L11082" t="str">
        <f>T("9042705861")</f>
        <v>9042705861</v>
      </c>
    </row>
    <row r="11083" spans="1:12" x14ac:dyDescent="0.35">
      <c r="A11083" t="str">
        <f>T("USS ROOSEVELT DDG80")</f>
        <v>USS ROOSEVELT DDG80</v>
      </c>
      <c r="B11083" t="str">
        <f>T("USS ROOSEVELT DDG 80")</f>
        <v>USS ROOSEVELT DDG 80</v>
      </c>
      <c r="C11083" t="str">
        <f t="shared" si="4042"/>
        <v>SUPPLY DEPT</v>
      </c>
      <c r="D11083" t="str">
        <f t="shared" si="4039"/>
        <v>FPO</v>
      </c>
      <c r="E11083" t="str">
        <f t="shared" si="4043"/>
        <v>AA</v>
      </c>
      <c r="F11083" t="str">
        <f>T("340921297")</f>
        <v>340921297</v>
      </c>
      <c r="G11083" t="str">
        <f>T("USS ROSSEVELT DDG80")</f>
        <v>USS ROSSEVELT DDG80</v>
      </c>
      <c r="H11083" t="str">
        <f>T("UNIT 100316 BOX 1")</f>
        <v>UNIT 100316 BOX 1</v>
      </c>
      <c r="I11083" t="str">
        <f>T("FPO")</f>
        <v>FPO</v>
      </c>
      <c r="J11083" t="str">
        <f>T("AA")</f>
        <v>AA</v>
      </c>
      <c r="K11083" t="str">
        <f t="shared" si="4044"/>
        <v>000000000000000000</v>
      </c>
      <c r="L11083" t="str">
        <f>T("9042705861")</f>
        <v>9042705861</v>
      </c>
    </row>
    <row r="11084" spans="1:12" x14ac:dyDescent="0.35">
      <c r="A11084" t="str">
        <f>T("USS LASSEN DDG82")</f>
        <v>USS LASSEN DDG82</v>
      </c>
      <c r="B11084" t="str">
        <f>T("USS LASSEN DDG-82")</f>
        <v>USS LASSEN DDG-82</v>
      </c>
      <c r="C11084" t="str">
        <f>T("UNIT 100190 BOX 1")</f>
        <v>UNIT 100190 BOX 1</v>
      </c>
      <c r="D11084" t="str">
        <f t="shared" si="4039"/>
        <v>FPO</v>
      </c>
      <c r="E11084" t="str">
        <f t="shared" si="4043"/>
        <v>AA</v>
      </c>
      <c r="F11084" t="str">
        <f>T("340919000")</f>
        <v>340919000</v>
      </c>
      <c r="G11084" t="str">
        <f>T("UNIT 100190 BOX 1")</f>
        <v>UNIT 100190 BOX 1</v>
      </c>
      <c r="H11084" t="str">
        <f>T("")</f>
        <v/>
      </c>
      <c r="I11084" t="str">
        <f>T("FPO")</f>
        <v>FPO</v>
      </c>
      <c r="J11084" t="str">
        <f>T("AA")</f>
        <v>AA</v>
      </c>
      <c r="K11084" t="str">
        <f t="shared" si="4044"/>
        <v>000000000000000000</v>
      </c>
      <c r="L11084" t="str">
        <f>T("7578363488")</f>
        <v>7578363488</v>
      </c>
    </row>
    <row r="11085" spans="1:12" x14ac:dyDescent="0.35">
      <c r="A11085" t="str">
        <f>T("USS LASSEN DDG82")</f>
        <v>USS LASSEN DDG82</v>
      </c>
      <c r="B11085" t="str">
        <f>T("USS LASSEN DDG-82")</f>
        <v>USS LASSEN DDG-82</v>
      </c>
      <c r="C11085" t="str">
        <f>T("UNIT 100190 BOX 1")</f>
        <v>UNIT 100190 BOX 1</v>
      </c>
      <c r="D11085" t="str">
        <f t="shared" si="4039"/>
        <v>FPO</v>
      </c>
      <c r="E11085" t="str">
        <f t="shared" si="4043"/>
        <v>AA</v>
      </c>
      <c r="F11085" t="str">
        <f>T("340919000")</f>
        <v>340919000</v>
      </c>
      <c r="G11085" t="str">
        <f>T("USS LASSEN 82 1751 MORRIS STREET")</f>
        <v>USS LASSEN 82 1751 MORRIS STREET</v>
      </c>
      <c r="H11085" t="str">
        <f>T("BLDG D29 ATTN DONNA CAREY")</f>
        <v>BLDG D29 ATTN DONNA CAREY</v>
      </c>
      <c r="I11085" t="str">
        <f>T("NORFOLK")</f>
        <v>NORFOLK</v>
      </c>
      <c r="J11085" t="str">
        <f>T("VA")</f>
        <v>VA</v>
      </c>
      <c r="K11085" t="str">
        <f t="shared" si="4044"/>
        <v>000000000000000000</v>
      </c>
      <c r="L11085" t="str">
        <f>T("7578363488")</f>
        <v>7578363488</v>
      </c>
    </row>
    <row r="11086" spans="1:12" x14ac:dyDescent="0.35">
      <c r="A11086" t="str">
        <f>T("USS LASSEN DDG82")</f>
        <v>USS LASSEN DDG82</v>
      </c>
      <c r="B11086" t="str">
        <f>T("USS LASSEN DDG-82")</f>
        <v>USS LASSEN DDG-82</v>
      </c>
      <c r="C11086" t="str">
        <f>T("UNIT 100190 BOX 1")</f>
        <v>UNIT 100190 BOX 1</v>
      </c>
      <c r="D11086" t="str">
        <f t="shared" si="4039"/>
        <v>FPO</v>
      </c>
      <c r="E11086" t="str">
        <f t="shared" si="4043"/>
        <v>AA</v>
      </c>
      <c r="F11086" t="str">
        <f>T("340919000")</f>
        <v>340919000</v>
      </c>
      <c r="G11086" t="str">
        <f>T("USS LASSEN DDG-82")</f>
        <v>USS LASSEN DDG-82</v>
      </c>
      <c r="H11086" t="str">
        <f>T("UNIT 100190 BOX 1")</f>
        <v>UNIT 100190 BOX 1</v>
      </c>
      <c r="I11086" t="str">
        <f t="shared" ref="I11086:I11096" si="4045">T("FPO")</f>
        <v>FPO</v>
      </c>
      <c r="J11086" t="str">
        <f>T("AA")</f>
        <v>AA</v>
      </c>
      <c r="K11086" t="str">
        <f t="shared" si="4044"/>
        <v>000000000000000000</v>
      </c>
      <c r="L11086" t="str">
        <f>T("7578363488")</f>
        <v>7578363488</v>
      </c>
    </row>
    <row r="11087" spans="1:12" x14ac:dyDescent="0.35">
      <c r="A11087" t="str">
        <f>T("USS BULKELEY DDG 84")</f>
        <v>USS BULKELEY DDG 84</v>
      </c>
      <c r="B11087" t="str">
        <f>T("USS BULKELEY DDG-84")</f>
        <v>USS BULKELEY DDG-84</v>
      </c>
      <c r="C11087" t="str">
        <f t="shared" ref="C11087:C11093" si="4046">T("SUPPLY DEPT")</f>
        <v>SUPPLY DEPT</v>
      </c>
      <c r="D11087" t="str">
        <f t="shared" si="4039"/>
        <v>FPO</v>
      </c>
      <c r="E11087" t="str">
        <f>T("AE")</f>
        <v>AE</v>
      </c>
      <c r="F11087" t="str">
        <f>T("095651301")</f>
        <v>095651301</v>
      </c>
      <c r="G11087" t="str">
        <f>T("SUPPLY DEPARTMENT")</f>
        <v>SUPPLY DEPARTMENT</v>
      </c>
      <c r="H11087" t="str">
        <f>T("")</f>
        <v/>
      </c>
      <c r="I11087" t="str">
        <f t="shared" si="4045"/>
        <v>FPO</v>
      </c>
      <c r="J11087" t="str">
        <f>T("AE")</f>
        <v>AE</v>
      </c>
      <c r="K11087" t="str">
        <f t="shared" si="4044"/>
        <v>000000000000000000</v>
      </c>
      <c r="L11087" t="str">
        <f>T("7574442509")</f>
        <v>7574442509</v>
      </c>
    </row>
    <row r="11088" spans="1:12" x14ac:dyDescent="0.35">
      <c r="A11088" t="str">
        <f>T("USS BULKELEY DDG 84")</f>
        <v>USS BULKELEY DDG 84</v>
      </c>
      <c r="B11088" t="str">
        <f>T("USS BULKELEY DDG-84")</f>
        <v>USS BULKELEY DDG-84</v>
      </c>
      <c r="C11088" t="str">
        <f t="shared" si="4046"/>
        <v>SUPPLY DEPT</v>
      </c>
      <c r="D11088" t="str">
        <f t="shared" si="4039"/>
        <v>FPO</v>
      </c>
      <c r="E11088" t="str">
        <f>T("AE")</f>
        <v>AE</v>
      </c>
      <c r="F11088" t="str">
        <f>T("095651301")</f>
        <v>095651301</v>
      </c>
      <c r="G11088" t="str">
        <f>T("USS BUCKELEY DDG84")</f>
        <v>USS BUCKELEY DDG84</v>
      </c>
      <c r="H11088" t="str">
        <f>T("UNIT 100319 BOX 1")</f>
        <v>UNIT 100319 BOX 1</v>
      </c>
      <c r="I11088" t="str">
        <f t="shared" si="4045"/>
        <v>FPO</v>
      </c>
      <c r="J11088" t="str">
        <f>T("AE")</f>
        <v>AE</v>
      </c>
      <c r="K11088" t="str">
        <f t="shared" si="4044"/>
        <v>000000000000000000</v>
      </c>
      <c r="L11088" t="str">
        <f>T("7574442508")</f>
        <v>7574442508</v>
      </c>
    </row>
    <row r="11089" spans="1:12" x14ac:dyDescent="0.35">
      <c r="A11089" t="str">
        <f>T("USS BULKELEY DDG 84")</f>
        <v>USS BULKELEY DDG 84</v>
      </c>
      <c r="B11089" t="str">
        <f>T("USS BULKELEY DDG-84")</f>
        <v>USS BULKELEY DDG-84</v>
      </c>
      <c r="C11089" t="str">
        <f t="shared" si="4046"/>
        <v>SUPPLY DEPT</v>
      </c>
      <c r="D11089" t="str">
        <f t="shared" si="4039"/>
        <v>FPO</v>
      </c>
      <c r="E11089" t="str">
        <f>T("AE")</f>
        <v>AE</v>
      </c>
      <c r="F11089" t="str">
        <f>T("095651301")</f>
        <v>095651301</v>
      </c>
      <c r="G11089" t="str">
        <f>T("USS BULKELEY DDG-84")</f>
        <v>USS BULKELEY DDG-84</v>
      </c>
      <c r="H11089" t="str">
        <f>T("SUPPLY DEPT")</f>
        <v>SUPPLY DEPT</v>
      </c>
      <c r="I11089" t="str">
        <f t="shared" si="4045"/>
        <v>FPO</v>
      </c>
      <c r="J11089" t="str">
        <f>T("AE")</f>
        <v>AE</v>
      </c>
      <c r="K11089" t="str">
        <f>T("")</f>
        <v/>
      </c>
      <c r="L11089" t="str">
        <f>T("7574442508")</f>
        <v>7574442508</v>
      </c>
    </row>
    <row r="11090" spans="1:12" x14ac:dyDescent="0.35">
      <c r="A11090" t="str">
        <f>T("USS BULKELEY DDG 84")</f>
        <v>USS BULKELEY DDG 84</v>
      </c>
      <c r="B11090" t="str">
        <f>T("USS BULKELEY DDG-84")</f>
        <v>USS BULKELEY DDG-84</v>
      </c>
      <c r="C11090" t="str">
        <f t="shared" si="4046"/>
        <v>SUPPLY DEPT</v>
      </c>
      <c r="D11090" t="str">
        <f t="shared" si="4039"/>
        <v>FPO</v>
      </c>
      <c r="E11090" t="str">
        <f>T("AE")</f>
        <v>AE</v>
      </c>
      <c r="F11090" t="str">
        <f>T("095651301")</f>
        <v>095651301</v>
      </c>
      <c r="G11090" t="str">
        <f>T("USS BULKELEY DDG84")</f>
        <v>USS BULKELEY DDG84</v>
      </c>
      <c r="H11090" t="str">
        <f>T("UNIT 100319 BOX 1")</f>
        <v>UNIT 100319 BOX 1</v>
      </c>
      <c r="I11090" t="str">
        <f t="shared" si="4045"/>
        <v>FPO</v>
      </c>
      <c r="J11090" t="str">
        <f>T("AE")</f>
        <v>AE</v>
      </c>
      <c r="K11090" t="str">
        <f>T("000000000000000000")</f>
        <v>000000000000000000</v>
      </c>
      <c r="L11090" t="str">
        <f>T("7574442508")</f>
        <v>7574442508</v>
      </c>
    </row>
    <row r="11091" spans="1:12" x14ac:dyDescent="0.35">
      <c r="A11091" t="str">
        <f>T("USS IWO JIMA LHD 7")</f>
        <v>USS IWO JIMA LHD 7</v>
      </c>
      <c r="B11091" t="str">
        <f>T("USS IWO JIMA LHD-7")</f>
        <v>USS IWO JIMA LHD-7</v>
      </c>
      <c r="C11091" t="str">
        <f t="shared" si="4046"/>
        <v>SUPPLY DEPT</v>
      </c>
      <c r="D11091" t="str">
        <f t="shared" si="4039"/>
        <v>FPO</v>
      </c>
      <c r="E11091" t="str">
        <f>T("AA")</f>
        <v>AA</v>
      </c>
      <c r="F11091" t="str">
        <f>T("340940000")</f>
        <v>340940000</v>
      </c>
      <c r="G11091" t="str">
        <f>T("USS IWO JIMA LHD-7")</f>
        <v>USS IWO JIMA LHD-7</v>
      </c>
      <c r="H11091" t="str">
        <f>T("SUPPLY DEPT")</f>
        <v>SUPPLY DEPT</v>
      </c>
      <c r="I11091" t="str">
        <f t="shared" si="4045"/>
        <v>FPO</v>
      </c>
      <c r="J11091" t="str">
        <f>T("AA")</f>
        <v>AA</v>
      </c>
      <c r="K11091" t="str">
        <f>T("")</f>
        <v/>
      </c>
      <c r="L11091" t="str">
        <f>T("9042706262")</f>
        <v>9042706262</v>
      </c>
    </row>
    <row r="11092" spans="1:12" x14ac:dyDescent="0.35">
      <c r="A11092" t="str">
        <f>T("USS IWO JIMA LHD 7")</f>
        <v>USS IWO JIMA LHD 7</v>
      </c>
      <c r="B11092" t="str">
        <f>T("USS IWO JIMA LHD-7")</f>
        <v>USS IWO JIMA LHD-7</v>
      </c>
      <c r="C11092" t="str">
        <f t="shared" si="4046"/>
        <v>SUPPLY DEPT</v>
      </c>
      <c r="D11092" t="str">
        <f t="shared" si="4039"/>
        <v>FPO</v>
      </c>
      <c r="E11092" t="str">
        <f>T("AA")</f>
        <v>AA</v>
      </c>
      <c r="F11092" t="str">
        <f>T("340940000")</f>
        <v>340940000</v>
      </c>
      <c r="G11092" t="str">
        <f>T("USS IWO JIMA LHD7")</f>
        <v>USS IWO JIMA LHD7</v>
      </c>
      <c r="H11092" t="str">
        <f>T("SUPPLY DEPT")</f>
        <v>SUPPLY DEPT</v>
      </c>
      <c r="I11092" t="str">
        <f t="shared" si="4045"/>
        <v>FPO</v>
      </c>
      <c r="J11092" t="str">
        <f>T("AA")</f>
        <v>AA</v>
      </c>
      <c r="K11092" t="str">
        <f>T("000000000000000000")</f>
        <v>000000000000000000</v>
      </c>
      <c r="L11092" t="str">
        <f>T("9042706262")</f>
        <v>9042706262</v>
      </c>
    </row>
    <row r="11093" spans="1:12" x14ac:dyDescent="0.35">
      <c r="A11093" t="str">
        <f>T("USS IWO JIMA LHD 7")</f>
        <v>USS IWO JIMA LHD 7</v>
      </c>
      <c r="B11093" t="str">
        <f>T("USS IWO JIMA LHD-7")</f>
        <v>USS IWO JIMA LHD-7</v>
      </c>
      <c r="C11093" t="str">
        <f t="shared" si="4046"/>
        <v>SUPPLY DEPT</v>
      </c>
      <c r="D11093" t="str">
        <f t="shared" si="4039"/>
        <v>FPO</v>
      </c>
      <c r="E11093" t="str">
        <f>T("AA")</f>
        <v>AA</v>
      </c>
      <c r="F11093" t="str">
        <f>T("340940000")</f>
        <v>340940000</v>
      </c>
      <c r="G11093" t="str">
        <f>T("USS IWO JIMA LHD7")</f>
        <v>USS IWO JIMA LHD7</v>
      </c>
      <c r="H11093" t="str">
        <f>T("UNIT 100318 BOX 1")</f>
        <v>UNIT 100318 BOX 1</v>
      </c>
      <c r="I11093" t="str">
        <f t="shared" si="4045"/>
        <v>FPO</v>
      </c>
      <c r="J11093" t="str">
        <f>T("AA")</f>
        <v>AA</v>
      </c>
      <c r="K11093" t="str">
        <f>T("000000000000000000")</f>
        <v>000000000000000000</v>
      </c>
      <c r="L11093" t="str">
        <f>T("9042706262")</f>
        <v>9042706262</v>
      </c>
    </row>
    <row r="11094" spans="1:12" x14ac:dyDescent="0.35">
      <c r="A11094" t="str">
        <f t="shared" ref="A11094:B11096" si="4047">T("USS NITZE DDG 94")</f>
        <v>USS NITZE DDG 94</v>
      </c>
      <c r="B11094" t="str">
        <f t="shared" si="4047"/>
        <v>USS NITZE DDG 94</v>
      </c>
      <c r="C11094" t="str">
        <f>T("UNIT 100514 BOX 1")</f>
        <v>UNIT 100514 BOX 1</v>
      </c>
      <c r="D11094" t="str">
        <f t="shared" si="4039"/>
        <v>FPO</v>
      </c>
      <c r="E11094" t="str">
        <f t="shared" ref="E11094:E11102" si="4048">T("AE")</f>
        <v>AE</v>
      </c>
      <c r="F11094" t="str">
        <f>T("095791400")</f>
        <v>095791400</v>
      </c>
      <c r="G11094" t="str">
        <f>T("USS NITZE DDG 94")</f>
        <v>USS NITZE DDG 94</v>
      </c>
      <c r="H11094" t="str">
        <f>T("UNIT 100514 BOX 1")</f>
        <v>UNIT 100514 BOX 1</v>
      </c>
      <c r="I11094" t="str">
        <f t="shared" si="4045"/>
        <v>FPO</v>
      </c>
      <c r="J11094" t="str">
        <f>T("AE")</f>
        <v>AE</v>
      </c>
      <c r="K11094" t="str">
        <f>T("7574456167")</f>
        <v>7574456167</v>
      </c>
      <c r="L11094" t="str">
        <f>T("7574456167")</f>
        <v>7574456167</v>
      </c>
    </row>
    <row r="11095" spans="1:12" x14ac:dyDescent="0.35">
      <c r="A11095" t="str">
        <f t="shared" si="4047"/>
        <v>USS NITZE DDG 94</v>
      </c>
      <c r="B11095" t="str">
        <f t="shared" si="4047"/>
        <v>USS NITZE DDG 94</v>
      </c>
      <c r="C11095" t="str">
        <f>T("UNIT 100514 BOX 1")</f>
        <v>UNIT 100514 BOX 1</v>
      </c>
      <c r="D11095" t="str">
        <f t="shared" si="4039"/>
        <v>FPO</v>
      </c>
      <c r="E11095" t="str">
        <f t="shared" si="4048"/>
        <v>AE</v>
      </c>
      <c r="F11095" t="str">
        <f>T("095791400")</f>
        <v>095791400</v>
      </c>
      <c r="G11095" t="str">
        <f>T("USS NITZE DDG94")</f>
        <v>USS NITZE DDG94</v>
      </c>
      <c r="H11095" t="str">
        <f>T("SUPPLY DEPT")</f>
        <v>SUPPLY DEPT</v>
      </c>
      <c r="I11095" t="str">
        <f t="shared" si="4045"/>
        <v>FPO</v>
      </c>
      <c r="J11095" t="str">
        <f>T("AE")</f>
        <v>AE</v>
      </c>
      <c r="K11095" t="str">
        <f>T("000000000000000000")</f>
        <v>000000000000000000</v>
      </c>
      <c r="L11095" t="str">
        <f>T("7574456167")</f>
        <v>7574456167</v>
      </c>
    </row>
    <row r="11096" spans="1:12" x14ac:dyDescent="0.35">
      <c r="A11096" t="str">
        <f t="shared" si="4047"/>
        <v>USS NITZE DDG 94</v>
      </c>
      <c r="B11096" t="str">
        <f t="shared" si="4047"/>
        <v>USS NITZE DDG 94</v>
      </c>
      <c r="C11096" t="str">
        <f>T("UNIT 100514 BOX 1")</f>
        <v>UNIT 100514 BOX 1</v>
      </c>
      <c r="D11096" t="str">
        <f t="shared" si="4039"/>
        <v>FPO</v>
      </c>
      <c r="E11096" t="str">
        <f t="shared" si="4048"/>
        <v>AE</v>
      </c>
      <c r="F11096" t="str">
        <f>T("095791400")</f>
        <v>095791400</v>
      </c>
      <c r="G11096" t="str">
        <f>T("USS NITZE DDG94")</f>
        <v>USS NITZE DDG94</v>
      </c>
      <c r="H11096" t="str">
        <f>T("UNIT 100514 BOX 1")</f>
        <v>UNIT 100514 BOX 1</v>
      </c>
      <c r="I11096" t="str">
        <f t="shared" si="4045"/>
        <v>FPO</v>
      </c>
      <c r="J11096" t="str">
        <f>T("AE")</f>
        <v>AE</v>
      </c>
      <c r="K11096" t="str">
        <f>T("000000000000000000")</f>
        <v>000000000000000000</v>
      </c>
      <c r="L11096" t="str">
        <f>T("7574456167")</f>
        <v>7574456167</v>
      </c>
    </row>
    <row r="11097" spans="1:12" x14ac:dyDescent="0.35">
      <c r="A11097" t="str">
        <f>T("USS JAMES E WILLIAMS")</f>
        <v>USS JAMES E WILLIAMS</v>
      </c>
      <c r="B11097" t="str">
        <f>T("USS JAMES E WILLIAMS DDG-95")</f>
        <v>USS JAMES E WILLIAMS DDG-95</v>
      </c>
      <c r="C11097" t="str">
        <f>T("UNIT 100323 BOX 1")</f>
        <v>UNIT 100323 BOX 1</v>
      </c>
      <c r="D11097" t="str">
        <f t="shared" si="4039"/>
        <v>FPO</v>
      </c>
      <c r="E11097" t="str">
        <f t="shared" si="4048"/>
        <v>AE</v>
      </c>
      <c r="F11097" t="str">
        <f>T("095752300")</f>
        <v>095752300</v>
      </c>
      <c r="G11097" t="str">
        <f>T("1751 MORRIS ST")</f>
        <v>1751 MORRIS ST</v>
      </c>
      <c r="H11097" t="str">
        <f>T("BLDG D-29 ATTN DONNA CAREY")</f>
        <v>BLDG D-29 ATTN DONNA CAREY</v>
      </c>
      <c r="I11097" t="str">
        <f>T("NORFOLK")</f>
        <v>NORFOLK</v>
      </c>
      <c r="J11097" t="str">
        <f>T("VA")</f>
        <v>VA</v>
      </c>
      <c r="K11097" t="str">
        <f>T("000000000000000000")</f>
        <v>000000000000000000</v>
      </c>
      <c r="L11097" t="str">
        <f>T("7578363488")</f>
        <v>7578363488</v>
      </c>
    </row>
    <row r="11098" spans="1:12" x14ac:dyDescent="0.35">
      <c r="A11098" t="str">
        <f>T("USS JAMES E WILLIAMS")</f>
        <v>USS JAMES E WILLIAMS</v>
      </c>
      <c r="B11098" t="str">
        <f>T("USS JAMES E WILLIAMS DDG-95")</f>
        <v>USS JAMES E WILLIAMS DDG-95</v>
      </c>
      <c r="C11098" t="str">
        <f>T("UNIT 100323 BOX 1")</f>
        <v>UNIT 100323 BOX 1</v>
      </c>
      <c r="D11098" t="str">
        <f t="shared" si="4039"/>
        <v>FPO</v>
      </c>
      <c r="E11098" t="str">
        <f t="shared" si="4048"/>
        <v>AE</v>
      </c>
      <c r="F11098" t="str">
        <f>T("095752300")</f>
        <v>095752300</v>
      </c>
      <c r="G11098" t="str">
        <f>T("USS JAMES E WILLIAMS DDG 95")</f>
        <v>USS JAMES E WILLIAMS DDG 95</v>
      </c>
      <c r="H11098" t="str">
        <f>T("UNIT 100323 BOX 1")</f>
        <v>UNIT 100323 BOX 1</v>
      </c>
      <c r="I11098" t="str">
        <f t="shared" ref="I11098:I11107" si="4049">T("FPO")</f>
        <v>FPO</v>
      </c>
      <c r="J11098" t="str">
        <f>T("AE")</f>
        <v>AE</v>
      </c>
      <c r="K11098" t="str">
        <f>T("000000000000000000")</f>
        <v>000000000000000000</v>
      </c>
      <c r="L11098" t="str">
        <f>T("7574442512")</f>
        <v>7574442512</v>
      </c>
    </row>
    <row r="11099" spans="1:12" x14ac:dyDescent="0.35">
      <c r="A11099" t="str">
        <f>T("USS JAMES E WILLIAMS")</f>
        <v>USS JAMES E WILLIAMS</v>
      </c>
      <c r="B11099" t="str">
        <f>T("USS JAMES E WILLIAMS DDG-95")</f>
        <v>USS JAMES E WILLIAMS DDG-95</v>
      </c>
      <c r="C11099" t="str">
        <f>T("UNIT 100323 BOX 1")</f>
        <v>UNIT 100323 BOX 1</v>
      </c>
      <c r="D11099" t="str">
        <f t="shared" si="4039"/>
        <v>FPO</v>
      </c>
      <c r="E11099" t="str">
        <f t="shared" si="4048"/>
        <v>AE</v>
      </c>
      <c r="F11099" t="str">
        <f>T("095752300")</f>
        <v>095752300</v>
      </c>
      <c r="G11099" t="str">
        <f>T("USS JAMES E WILLIAMS DDG-95")</f>
        <v>USS JAMES E WILLIAMS DDG-95</v>
      </c>
      <c r="H11099" t="str">
        <f>T("UNIT 100323 BOX 1")</f>
        <v>UNIT 100323 BOX 1</v>
      </c>
      <c r="I11099" t="str">
        <f t="shared" si="4049"/>
        <v>FPO</v>
      </c>
      <c r="J11099" t="str">
        <f>T("AE")</f>
        <v>AE</v>
      </c>
      <c r="K11099" t="str">
        <f>T("7574442512")</f>
        <v>7574442512</v>
      </c>
      <c r="L11099" t="str">
        <f>T("7574442512")</f>
        <v>7574442512</v>
      </c>
    </row>
    <row r="11100" spans="1:12" x14ac:dyDescent="0.35">
      <c r="A11100" t="str">
        <f>T("USS FOREST SHERMAN")</f>
        <v>USS FOREST SHERMAN</v>
      </c>
      <c r="B11100" t="str">
        <f>T("USS FORREST SHERMAN DDG 98")</f>
        <v>USS FORREST SHERMAN DDG 98</v>
      </c>
      <c r="C11100" t="str">
        <f>T("UNIT 100327 BOX 1")</f>
        <v>UNIT 100327 BOX 1</v>
      </c>
      <c r="D11100" t="str">
        <f t="shared" si="4039"/>
        <v>FPO</v>
      </c>
      <c r="E11100" t="str">
        <f t="shared" si="4048"/>
        <v>AE</v>
      </c>
      <c r="F11100" t="str">
        <f>T("095692700")</f>
        <v>095692700</v>
      </c>
      <c r="G11100" t="str">
        <f>T("USS FORREST SHERMAN DDG 98")</f>
        <v>USS FORREST SHERMAN DDG 98</v>
      </c>
      <c r="H11100" t="str">
        <f>T("UNIT 100327 BOX 1")</f>
        <v>UNIT 100327 BOX 1</v>
      </c>
      <c r="I11100" t="str">
        <f t="shared" si="4049"/>
        <v>FPO</v>
      </c>
      <c r="J11100" t="str">
        <f>T("AE")</f>
        <v>AE</v>
      </c>
      <c r="K11100" t="str">
        <f>T("")</f>
        <v/>
      </c>
      <c r="L11100" t="str">
        <f>T("7574447487")</f>
        <v>7574447487</v>
      </c>
    </row>
    <row r="11101" spans="1:12" x14ac:dyDescent="0.35">
      <c r="A11101" t="str">
        <f>T("USS FOREST SHERMAN")</f>
        <v>USS FOREST SHERMAN</v>
      </c>
      <c r="B11101" t="str">
        <f>T("USS FORREST SHERMAN DDG 98")</f>
        <v>USS FORREST SHERMAN DDG 98</v>
      </c>
      <c r="C11101" t="str">
        <f>T("UNIT 100327 BOX 1")</f>
        <v>UNIT 100327 BOX 1</v>
      </c>
      <c r="D11101" t="str">
        <f t="shared" si="4039"/>
        <v>FPO</v>
      </c>
      <c r="E11101" t="str">
        <f t="shared" si="4048"/>
        <v>AE</v>
      </c>
      <c r="F11101" t="str">
        <f>T("095692700")</f>
        <v>095692700</v>
      </c>
      <c r="G11101" t="str">
        <f>T("USS FORREST SHERMAN DDG 98")</f>
        <v>USS FORREST SHERMAN DDG 98</v>
      </c>
      <c r="H11101" t="str">
        <f>T("UNIT 100327 BOX 1")</f>
        <v>UNIT 100327 BOX 1</v>
      </c>
      <c r="I11101" t="str">
        <f t="shared" si="4049"/>
        <v>FPO</v>
      </c>
      <c r="J11101" t="str">
        <f>T("AE")</f>
        <v>AE</v>
      </c>
      <c r="K11101" t="str">
        <f>T("000000000000000000")</f>
        <v>000000000000000000</v>
      </c>
      <c r="L11101" t="str">
        <f>T("7574438726")</f>
        <v>7574438726</v>
      </c>
    </row>
    <row r="11102" spans="1:12" x14ac:dyDescent="0.35">
      <c r="A11102" t="str">
        <f>T("USS FOREST SHERMAN")</f>
        <v>USS FOREST SHERMAN</v>
      </c>
      <c r="B11102" t="str">
        <f>T("USS FORREST SHERMAN DDG 98")</f>
        <v>USS FORREST SHERMAN DDG 98</v>
      </c>
      <c r="C11102" t="str">
        <f>T("UNIT 100327 BOX 1")</f>
        <v>UNIT 100327 BOX 1</v>
      </c>
      <c r="D11102" t="str">
        <f t="shared" si="4039"/>
        <v>FPO</v>
      </c>
      <c r="E11102" t="str">
        <f t="shared" si="4048"/>
        <v>AE</v>
      </c>
      <c r="F11102" t="str">
        <f>T("095692700")</f>
        <v>095692700</v>
      </c>
      <c r="G11102" t="str">
        <f>T("USS FORREST SHERMAN DDG 98")</f>
        <v>USS FORREST SHERMAN DDG 98</v>
      </c>
      <c r="H11102" t="str">
        <f>T("UNIT 100327 BOX 1")</f>
        <v>UNIT 100327 BOX 1</v>
      </c>
      <c r="I11102" t="str">
        <f t="shared" si="4049"/>
        <v>FPO</v>
      </c>
      <c r="J11102" t="str">
        <f>T("AE")</f>
        <v>AE</v>
      </c>
      <c r="K11102" t="str">
        <f>T("000000000000000000")</f>
        <v>000000000000000000</v>
      </c>
      <c r="L11102" t="str">
        <f>T("7574444541")</f>
        <v>7574444541</v>
      </c>
    </row>
    <row r="11103" spans="1:12" x14ac:dyDescent="0.35">
      <c r="A11103" t="str">
        <f>T("USS FARRAGUT DDG99")</f>
        <v>USS FARRAGUT DDG99</v>
      </c>
      <c r="B11103" t="str">
        <f>T("USS FARRAGUT DDG-99")</f>
        <v>USS FARRAGUT DDG-99</v>
      </c>
      <c r="C11103" t="str">
        <f>T("UNIT 100239 BOX 1")</f>
        <v>UNIT 100239 BOX 1</v>
      </c>
      <c r="D11103" t="str">
        <f t="shared" si="4039"/>
        <v>FPO</v>
      </c>
      <c r="E11103" t="str">
        <f>T("AA")</f>
        <v>AA</v>
      </c>
      <c r="F11103" t="str">
        <f>T("340913900")</f>
        <v>340913900</v>
      </c>
      <c r="G11103" t="str">
        <f>T("USS FARRAGUT DDG-99")</f>
        <v>USS FARRAGUT DDG-99</v>
      </c>
      <c r="H11103" t="str">
        <f>T("UNIT 100239 BOX 1")</f>
        <v>UNIT 100239 BOX 1</v>
      </c>
      <c r="I11103" t="str">
        <f t="shared" si="4049"/>
        <v>FPO</v>
      </c>
      <c r="J11103" t="str">
        <f>T("AA")</f>
        <v>AA</v>
      </c>
      <c r="K11103" t="str">
        <f>T("")</f>
        <v/>
      </c>
      <c r="L11103" t="str">
        <f>T("9042706220")</f>
        <v>9042706220</v>
      </c>
    </row>
    <row r="11104" spans="1:12" x14ac:dyDescent="0.35">
      <c r="A11104" t="str">
        <f>T("USS FARRAGUT DDG99")</f>
        <v>USS FARRAGUT DDG99</v>
      </c>
      <c r="B11104" t="str">
        <f>T("USS FARRAGUT DDG-99")</f>
        <v>USS FARRAGUT DDG-99</v>
      </c>
      <c r="C11104" t="str">
        <f>T("UNIT 100239 BOX 1")</f>
        <v>UNIT 100239 BOX 1</v>
      </c>
      <c r="D11104" t="str">
        <f t="shared" si="4039"/>
        <v>FPO</v>
      </c>
      <c r="E11104" t="str">
        <f>T("AA")</f>
        <v>AA</v>
      </c>
      <c r="F11104" t="str">
        <f>T("340913900")</f>
        <v>340913900</v>
      </c>
      <c r="G11104" t="str">
        <f>T("USS FARRAGUT DDG99")</f>
        <v>USS FARRAGUT DDG99</v>
      </c>
      <c r="H11104" t="str">
        <f>T("UNIT 1000239 BOX 1")</f>
        <v>UNIT 1000239 BOX 1</v>
      </c>
      <c r="I11104" t="str">
        <f t="shared" si="4049"/>
        <v>FPO</v>
      </c>
      <c r="J11104" t="str">
        <f>T("AA")</f>
        <v>AA</v>
      </c>
      <c r="K11104" t="str">
        <f>T("000000000000000000")</f>
        <v>000000000000000000</v>
      </c>
      <c r="L11104" t="str">
        <f>T("9072706220")</f>
        <v>9072706220</v>
      </c>
    </row>
    <row r="11105" spans="1:12" x14ac:dyDescent="0.35">
      <c r="A11105" t="str">
        <f>T("USS FARRAGUT DDG99")</f>
        <v>USS FARRAGUT DDG99</v>
      </c>
      <c r="B11105" t="str">
        <f>T("USS FARRAGUT DDG-99")</f>
        <v>USS FARRAGUT DDG-99</v>
      </c>
      <c r="C11105" t="str">
        <f>T("UNIT 100239 BOX 1")</f>
        <v>UNIT 100239 BOX 1</v>
      </c>
      <c r="D11105" t="str">
        <f t="shared" si="4039"/>
        <v>FPO</v>
      </c>
      <c r="E11105" t="str">
        <f>T("AA")</f>
        <v>AA</v>
      </c>
      <c r="F11105" t="str">
        <f>T("340913900")</f>
        <v>340913900</v>
      </c>
      <c r="G11105" t="str">
        <f>T("USS FARRAGUT DDG99")</f>
        <v>USS FARRAGUT DDG99</v>
      </c>
      <c r="H11105" t="str">
        <f>T("UNIT 100239 BOX 1")</f>
        <v>UNIT 100239 BOX 1</v>
      </c>
      <c r="I11105" t="str">
        <f t="shared" si="4049"/>
        <v>FPO</v>
      </c>
      <c r="J11105" t="str">
        <f>T("AA")</f>
        <v>AA</v>
      </c>
      <c r="K11105" t="str">
        <f>T("000000000000000000")</f>
        <v>000000000000000000</v>
      </c>
      <c r="L11105" t="str">
        <f>T("9042706220")</f>
        <v>9042706220</v>
      </c>
    </row>
    <row r="11106" spans="1:12" x14ac:dyDescent="0.35">
      <c r="A11106" t="str">
        <f>T("USS BAINBRIDGE")</f>
        <v>USS BAINBRIDGE</v>
      </c>
      <c r="B11106" t="str">
        <f>T("USS BAINBRIDGE DDG96")</f>
        <v>USS BAINBRIDGE DDG96</v>
      </c>
      <c r="C11106" t="str">
        <f>T("UNIT 100325 BOX 1")</f>
        <v>UNIT 100325 BOX 1</v>
      </c>
      <c r="D11106" t="str">
        <f t="shared" si="4039"/>
        <v>FPO</v>
      </c>
      <c r="E11106" t="str">
        <f t="shared" ref="E11106:E11112" si="4050">T("AE")</f>
        <v>AE</v>
      </c>
      <c r="F11106" t="str">
        <f>T("095652500")</f>
        <v>095652500</v>
      </c>
      <c r="G11106" t="str">
        <f>T("USS BAINBRIDGE DDG96")</f>
        <v>USS BAINBRIDGE DDG96</v>
      </c>
      <c r="H11106" t="str">
        <f>T("UNIT 100325 BOX 1")</f>
        <v>UNIT 100325 BOX 1</v>
      </c>
      <c r="I11106" t="str">
        <f t="shared" si="4049"/>
        <v>FPO</v>
      </c>
      <c r="J11106" t="str">
        <f>T("AE")</f>
        <v>AE</v>
      </c>
      <c r="K11106" t="str">
        <f>T("000000000000000000")</f>
        <v>000000000000000000</v>
      </c>
      <c r="L11106" t="str">
        <f>T("7574442309")</f>
        <v>7574442309</v>
      </c>
    </row>
    <row r="11107" spans="1:12" x14ac:dyDescent="0.35">
      <c r="A11107" t="str">
        <f>T("USS BAINBRIDGE")</f>
        <v>USS BAINBRIDGE</v>
      </c>
      <c r="B11107" t="str">
        <f>T("USS BAINBRIDGE DDG96")</f>
        <v>USS BAINBRIDGE DDG96</v>
      </c>
      <c r="C11107" t="str">
        <f>T("UNIT 100325 BOX 1")</f>
        <v>UNIT 100325 BOX 1</v>
      </c>
      <c r="D11107" t="str">
        <f t="shared" si="4039"/>
        <v>FPO</v>
      </c>
      <c r="E11107" t="str">
        <f t="shared" si="4050"/>
        <v>AE</v>
      </c>
      <c r="F11107" t="str">
        <f>T("095652500")</f>
        <v>095652500</v>
      </c>
      <c r="G11107" t="str">
        <f>T("USS BAINBRIDGE DDG96")</f>
        <v>USS BAINBRIDGE DDG96</v>
      </c>
      <c r="H11107" t="str">
        <f>T("UNIT 100325 BOX 1")</f>
        <v>UNIT 100325 BOX 1</v>
      </c>
      <c r="I11107" t="str">
        <f t="shared" si="4049"/>
        <v>FPO</v>
      </c>
      <c r="J11107" t="str">
        <f>T("AE")</f>
        <v>AE</v>
      </c>
      <c r="K11107" t="str">
        <f>T("7574448700")</f>
        <v>7574448700</v>
      </c>
      <c r="L11107" t="str">
        <f>T("7574442309")</f>
        <v>7574442309</v>
      </c>
    </row>
    <row r="11108" spans="1:12" x14ac:dyDescent="0.35">
      <c r="A11108" t="str">
        <f>T("USS TRUXTUN")</f>
        <v>USS TRUXTUN</v>
      </c>
      <c r="B11108" t="str">
        <f>T("USS TRUXTUN DDG103")</f>
        <v>USS TRUXTUN DDG103</v>
      </c>
      <c r="C11108" t="str">
        <f>T("UNIT 100332 BOX 1")</f>
        <v>UNIT 100332 BOX 1</v>
      </c>
      <c r="D11108" t="str">
        <f t="shared" si="4039"/>
        <v>FPO</v>
      </c>
      <c r="E11108" t="str">
        <f t="shared" si="4050"/>
        <v>AE</v>
      </c>
      <c r="F11108" t="str">
        <f>T("095883200")</f>
        <v>095883200</v>
      </c>
      <c r="G11108" t="str">
        <f>T("CNSL 1751 MORRIS ST")</f>
        <v>CNSL 1751 MORRIS ST</v>
      </c>
      <c r="H11108" t="str">
        <f>T("BLDG D29 CODE N41 ATTN D CAREY")</f>
        <v>BLDG D29 CODE N41 ATTN D CAREY</v>
      </c>
      <c r="I11108" t="str">
        <f>T("NORFOLK")</f>
        <v>NORFOLK</v>
      </c>
      <c r="J11108" t="str">
        <f>T("VA")</f>
        <v>VA</v>
      </c>
      <c r="K11108" t="str">
        <f>T("000000000000000000")</f>
        <v>000000000000000000</v>
      </c>
      <c r="L11108" t="str">
        <f>T("7574456164")</f>
        <v>7574456164</v>
      </c>
    </row>
    <row r="11109" spans="1:12" x14ac:dyDescent="0.35">
      <c r="A11109" t="str">
        <f>T("USS TRUXTUN")</f>
        <v>USS TRUXTUN</v>
      </c>
      <c r="B11109" t="str">
        <f>T("USS TRUXTUN DDG103")</f>
        <v>USS TRUXTUN DDG103</v>
      </c>
      <c r="C11109" t="str">
        <f>T("UNIT 100332 BOX 1")</f>
        <v>UNIT 100332 BOX 1</v>
      </c>
      <c r="D11109" t="str">
        <f t="shared" si="4039"/>
        <v>FPO</v>
      </c>
      <c r="E11109" t="str">
        <f t="shared" si="4050"/>
        <v>AE</v>
      </c>
      <c r="F11109" t="str">
        <f>T("095883200")</f>
        <v>095883200</v>
      </c>
      <c r="G11109" t="str">
        <f>T("UNIT 100332 BOX 1")</f>
        <v>UNIT 100332 BOX 1</v>
      </c>
      <c r="H11109" t="str">
        <f>T("")</f>
        <v/>
      </c>
      <c r="I11109" t="str">
        <f>T("FPO")</f>
        <v>FPO</v>
      </c>
      <c r="J11109" t="str">
        <f>T("AE")</f>
        <v>AE</v>
      </c>
      <c r="K11109" t="str">
        <f>T("000000000000000000")</f>
        <v>000000000000000000</v>
      </c>
      <c r="L11109" t="str">
        <f>T("7574456144")</f>
        <v>7574456144</v>
      </c>
    </row>
    <row r="11110" spans="1:12" x14ac:dyDescent="0.35">
      <c r="A11110" t="str">
        <f>T("USS TRUXTUN")</f>
        <v>USS TRUXTUN</v>
      </c>
      <c r="B11110" t="str">
        <f>T("USS TRUXTUN DDG103")</f>
        <v>USS TRUXTUN DDG103</v>
      </c>
      <c r="C11110" t="str">
        <f>T("UNIT 100332 BOX 1")</f>
        <v>UNIT 100332 BOX 1</v>
      </c>
      <c r="D11110" t="str">
        <f t="shared" si="4039"/>
        <v>FPO</v>
      </c>
      <c r="E11110" t="str">
        <f t="shared" si="4050"/>
        <v>AE</v>
      </c>
      <c r="F11110" t="str">
        <f>T("095883200")</f>
        <v>095883200</v>
      </c>
      <c r="G11110" t="str">
        <f>T("USS TRUXTUN DDG103")</f>
        <v>USS TRUXTUN DDG103</v>
      </c>
      <c r="H11110" t="str">
        <f>T("UNIT 100332 BOX 1")</f>
        <v>UNIT 100332 BOX 1</v>
      </c>
      <c r="I11110" t="str">
        <f>T("FPO")</f>
        <v>FPO</v>
      </c>
      <c r="J11110" t="str">
        <f>T("AE")</f>
        <v>AE</v>
      </c>
      <c r="K11110" t="str">
        <f>T("")</f>
        <v/>
      </c>
      <c r="L11110" t="str">
        <f>T("7574446164")</f>
        <v>7574446164</v>
      </c>
    </row>
    <row r="11111" spans="1:12" x14ac:dyDescent="0.35">
      <c r="A11111" t="str">
        <f>T("USS ARLINGTON LPD24")</f>
        <v>USS ARLINGTON LPD24</v>
      </c>
      <c r="B11111" t="str">
        <f>T("USS ARLINGTON LPD24")</f>
        <v>USS ARLINGTON LPD24</v>
      </c>
      <c r="C11111" t="str">
        <f>T("UNIT 100341 BOX 1")</f>
        <v>UNIT 100341 BOX 1</v>
      </c>
      <c r="D11111" t="str">
        <f t="shared" si="4039"/>
        <v>FPO</v>
      </c>
      <c r="E11111" t="str">
        <f t="shared" si="4050"/>
        <v>AE</v>
      </c>
      <c r="F11111" t="str">
        <f>T("095644100")</f>
        <v>095644100</v>
      </c>
      <c r="G11111" t="str">
        <f>T("USS ARLINGTON LPD24")</f>
        <v>USS ARLINGTON LPD24</v>
      </c>
      <c r="H11111" t="str">
        <f>T("UNIT 100341 BOX 1")</f>
        <v>UNIT 100341 BOX 1</v>
      </c>
      <c r="I11111" t="str">
        <f>T("FPO")</f>
        <v>FPO</v>
      </c>
      <c r="J11111" t="str">
        <f>T("AE")</f>
        <v>AE</v>
      </c>
      <c r="K11111" t="str">
        <f>T("")</f>
        <v/>
      </c>
      <c r="L11111" t="str">
        <f>T("7574458683")</f>
        <v>7574458683</v>
      </c>
    </row>
    <row r="11112" spans="1:12" x14ac:dyDescent="0.35">
      <c r="A11112" t="str">
        <f>T("USS ARLINGTON LPD24")</f>
        <v>USS ARLINGTON LPD24</v>
      </c>
      <c r="B11112" t="str">
        <f>T("USS ARLINGTON LPD24")</f>
        <v>USS ARLINGTON LPD24</v>
      </c>
      <c r="C11112" t="str">
        <f>T("UNIT 100341 BOX 1")</f>
        <v>UNIT 100341 BOX 1</v>
      </c>
      <c r="D11112" t="str">
        <f t="shared" si="4039"/>
        <v>FPO</v>
      </c>
      <c r="E11112" t="str">
        <f t="shared" si="4050"/>
        <v>AE</v>
      </c>
      <c r="F11112" t="str">
        <f>T("095644100")</f>
        <v>095644100</v>
      </c>
      <c r="G11112" t="str">
        <f>T("USS ARLINGTON LPD24")</f>
        <v>USS ARLINGTON LPD24</v>
      </c>
      <c r="H11112" t="str">
        <f>T("UNIT 100341 BOX 1")</f>
        <v>UNIT 100341 BOX 1</v>
      </c>
      <c r="I11112" t="str">
        <f>T("FPO")</f>
        <v>FPO</v>
      </c>
      <c r="J11112" t="str">
        <f>T("AE")</f>
        <v>AE</v>
      </c>
      <c r="K11112" t="str">
        <f>T("000000000000000000")</f>
        <v>000000000000000000</v>
      </c>
      <c r="L11112" t="str">
        <f>T("7574458683")</f>
        <v>7574458683</v>
      </c>
    </row>
    <row r="11113" spans="1:12" x14ac:dyDescent="0.35">
      <c r="A11113" t="str">
        <f>T("AFLOAT TRAINING GROUP MAYPORT")</f>
        <v>AFLOAT TRAINING GROUP MAYPORT</v>
      </c>
      <c r="B11113" t="str">
        <f>T("AFLOATGRU MAYPORT")</f>
        <v>AFLOATGRU MAYPORT</v>
      </c>
      <c r="C11113" t="str">
        <f>T("BLDG 1842 BALTIMORE STREET")</f>
        <v>BLDG 1842 BALTIMORE STREET</v>
      </c>
      <c r="D11113" t="str">
        <f>T("JACKSONVILLE")</f>
        <v>JACKSONVILLE</v>
      </c>
      <c r="E11113" t="str">
        <f>T("FL")</f>
        <v>FL</v>
      </c>
      <c r="F11113" t="str">
        <f>T("322280000")</f>
        <v>322280000</v>
      </c>
      <c r="G11113" t="str">
        <f>T("AFLOATGRU MAYPORT")</f>
        <v>AFLOATGRU MAYPORT</v>
      </c>
      <c r="H11113" t="str">
        <f>T("BLDG 1842 BALTIMORE STREET")</f>
        <v>BLDG 1842 BALTIMORE STREET</v>
      </c>
      <c r="I11113" t="str">
        <f>T("JACKSONVILLE")</f>
        <v>JACKSONVILLE</v>
      </c>
      <c r="J11113" t="str">
        <f>T("FL")</f>
        <v>FL</v>
      </c>
      <c r="K11113" t="str">
        <f>T("")</f>
        <v/>
      </c>
      <c r="L11113" t="str">
        <f>T("1111111111")</f>
        <v>1111111111</v>
      </c>
    </row>
    <row r="11114" spans="1:12" x14ac:dyDescent="0.35">
      <c r="A11114" t="str">
        <f>T("AFLOAT TRAINING GROUP MAYPORT")</f>
        <v>AFLOAT TRAINING GROUP MAYPORT</v>
      </c>
      <c r="B11114" t="str">
        <f>T("AFLOATGRU MAYPORT")</f>
        <v>AFLOATGRU MAYPORT</v>
      </c>
      <c r="C11114" t="str">
        <f>T("BLDG 1842 BALTIMORE STREET")</f>
        <v>BLDG 1842 BALTIMORE STREET</v>
      </c>
      <c r="D11114" t="str">
        <f>T("JACKSONVILLE")</f>
        <v>JACKSONVILLE</v>
      </c>
      <c r="E11114" t="str">
        <f>T("FL")</f>
        <v>FL</v>
      </c>
      <c r="F11114" t="str">
        <f>T("322280000")</f>
        <v>322280000</v>
      </c>
      <c r="G11114" t="str">
        <f>T("BLDG 1842 BALTIMORE STREET")</f>
        <v>BLDG 1842 BALTIMORE STREET</v>
      </c>
      <c r="H11114" t="str">
        <f>T("")</f>
        <v/>
      </c>
      <c r="I11114" t="str">
        <f>T("JACKSONVILLE")</f>
        <v>JACKSONVILLE</v>
      </c>
      <c r="J11114" t="str">
        <f>T("FL")</f>
        <v>FL</v>
      </c>
      <c r="K11114" t="str">
        <f>T("000000000000000000")</f>
        <v>000000000000000000</v>
      </c>
      <c r="L11114" t="str">
        <f>T("9042706344")</f>
        <v>9042706344</v>
      </c>
    </row>
    <row r="11115" spans="1:12" x14ac:dyDescent="0.35">
      <c r="A11115" t="str">
        <f>T("AFLOAT TRAINING GROUP MAYPORT")</f>
        <v>AFLOAT TRAINING GROUP MAYPORT</v>
      </c>
      <c r="B11115" t="str">
        <f>T("AFLOATGRU MAYPORT")</f>
        <v>AFLOATGRU MAYPORT</v>
      </c>
      <c r="C11115" t="str">
        <f>T("BLDG 1842 BALTIMORE STREET")</f>
        <v>BLDG 1842 BALTIMORE STREET</v>
      </c>
      <c r="D11115" t="str">
        <f>T("JACKSONVILLE")</f>
        <v>JACKSONVILLE</v>
      </c>
      <c r="E11115" t="str">
        <f>T("FL")</f>
        <v>FL</v>
      </c>
      <c r="F11115" t="str">
        <f>T("322280000")</f>
        <v>322280000</v>
      </c>
      <c r="G11115" t="str">
        <f>T("BLDG 448 BONHOMME RICHARD ST")</f>
        <v>BLDG 448 BONHOMME RICHARD ST</v>
      </c>
      <c r="H11115" t="str">
        <f>T("CNSS14 ATTN PETER TOREZ")</f>
        <v>CNSS14 ATTN PETER TOREZ</v>
      </c>
      <c r="I11115" t="str">
        <f>T("JACKSONVILLE")</f>
        <v>JACKSONVILLE</v>
      </c>
      <c r="J11115" t="str">
        <f>T("FL")</f>
        <v>FL</v>
      </c>
      <c r="K11115" t="str">
        <f>T("000000000000000000")</f>
        <v>000000000000000000</v>
      </c>
      <c r="L11115" t="str">
        <f>T("9042706344")</f>
        <v>9042706344</v>
      </c>
    </row>
    <row r="11116" spans="1:12" x14ac:dyDescent="0.35">
      <c r="A11116" t="str">
        <f>T("USS MESA VERDE LPD 19")</f>
        <v>USS MESA VERDE LPD 19</v>
      </c>
      <c r="B11116" t="str">
        <f>T("USS MESA VERDE LPD-19")</f>
        <v>USS MESA VERDE LPD-19</v>
      </c>
      <c r="C11116" t="str">
        <f>T("UNIT 100329 BOX 1")</f>
        <v>UNIT 100329 BOX 1</v>
      </c>
      <c r="D11116" t="str">
        <f>T("FPO")</f>
        <v>FPO</v>
      </c>
      <c r="E11116" t="str">
        <f>T("AE")</f>
        <v>AE</v>
      </c>
      <c r="F11116" t="str">
        <f>T("095782900")</f>
        <v>095782900</v>
      </c>
      <c r="G11116" t="str">
        <f>T("USS MESA VERDE LPD-19")</f>
        <v>USS MESA VERDE LPD-19</v>
      </c>
      <c r="H11116" t="str">
        <f>T("UNIT 100329 BOX 1")</f>
        <v>UNIT 100329 BOX 1</v>
      </c>
      <c r="I11116" t="str">
        <f>T("FPO")</f>
        <v>FPO</v>
      </c>
      <c r="J11116" t="str">
        <f>T("AE")</f>
        <v>AE</v>
      </c>
      <c r="K11116" t="str">
        <f>T("")</f>
        <v/>
      </c>
      <c r="L11116" t="str">
        <f>T("7574456113")</f>
        <v>7574456113</v>
      </c>
    </row>
    <row r="11117" spans="1:12" x14ac:dyDescent="0.35">
      <c r="A11117" t="str">
        <f>T("USS MESA VERDE LPD 19")</f>
        <v>USS MESA VERDE LPD 19</v>
      </c>
      <c r="B11117" t="str">
        <f>T("USS MESA VERDE LPD-19")</f>
        <v>USS MESA VERDE LPD-19</v>
      </c>
      <c r="C11117" t="str">
        <f>T("UNIT 100329 BOX 1")</f>
        <v>UNIT 100329 BOX 1</v>
      </c>
      <c r="D11117" t="str">
        <f>T("FPO")</f>
        <v>FPO</v>
      </c>
      <c r="E11117" t="str">
        <f>T("AE")</f>
        <v>AE</v>
      </c>
      <c r="F11117" t="str">
        <f>T("095782900")</f>
        <v>095782900</v>
      </c>
      <c r="G11117" t="str">
        <f>T("USS MESA VERDE LPD19")</f>
        <v>USS MESA VERDE LPD19</v>
      </c>
      <c r="H11117" t="str">
        <f>T("")</f>
        <v/>
      </c>
      <c r="I11117" t="str">
        <f>T("FPO")</f>
        <v>FPO</v>
      </c>
      <c r="J11117" t="str">
        <f>T("AE")</f>
        <v>AE</v>
      </c>
      <c r="K11117" t="str">
        <f>T("000000000000000000")</f>
        <v>000000000000000000</v>
      </c>
      <c r="L11117" t="str">
        <f>T("7577010598")</f>
        <v>7577010598</v>
      </c>
    </row>
    <row r="11118" spans="1:12" x14ac:dyDescent="0.35">
      <c r="A11118" t="str">
        <f>T("USS NEWYORK LPD-21")</f>
        <v>USS NEWYORK LPD-21</v>
      </c>
      <c r="B11118" t="str">
        <f>T("USS NEW YORK LPD-21")</f>
        <v>USS NEW YORK LPD-21</v>
      </c>
      <c r="C11118" t="str">
        <f>T("BLDG 448 BOHOMME ST")</f>
        <v>BLDG 448 BOHOMME ST</v>
      </c>
      <c r="D11118" t="str">
        <f>T("MAYPORT")</f>
        <v>MAYPORT</v>
      </c>
      <c r="E11118" t="str">
        <f>T("FL")</f>
        <v>FL</v>
      </c>
      <c r="F11118" t="str">
        <f>T("322280000")</f>
        <v>322280000</v>
      </c>
      <c r="G11118" t="str">
        <f>T("BLDG 448 BONHOMME ST")</f>
        <v>BLDG 448 BONHOMME ST</v>
      </c>
      <c r="H11118" t="str">
        <f>T("ATTN T TORRES")</f>
        <v>ATTN T TORRES</v>
      </c>
      <c r="I11118" t="str">
        <f>T("MAYPORT")</f>
        <v>MAYPORT</v>
      </c>
      <c r="J11118" t="str">
        <f>T("FL")</f>
        <v>FL</v>
      </c>
      <c r="K11118" t="str">
        <f>T("000000000000000000")</f>
        <v>000000000000000000</v>
      </c>
      <c r="L11118" t="str">
        <f>T("9042706292")</f>
        <v>9042706292</v>
      </c>
    </row>
    <row r="11119" spans="1:12" x14ac:dyDescent="0.35">
      <c r="A11119" t="str">
        <f>T("USS NEWYORK LPD-21")</f>
        <v>USS NEWYORK LPD-21</v>
      </c>
      <c r="B11119" t="str">
        <f>T("USS NEW YORK LPD-21")</f>
        <v>USS NEW YORK LPD-21</v>
      </c>
      <c r="C11119" t="str">
        <f>T("BLDG 448 BOHOMME ST")</f>
        <v>BLDG 448 BOHOMME ST</v>
      </c>
      <c r="D11119" t="str">
        <f>T("MAYPORT")</f>
        <v>MAYPORT</v>
      </c>
      <c r="E11119" t="str">
        <f>T("FL")</f>
        <v>FL</v>
      </c>
      <c r="F11119" t="str">
        <f>T("322280000")</f>
        <v>322280000</v>
      </c>
      <c r="G11119" t="str">
        <f>T("USS NEW YORK LPD-21")</f>
        <v>USS NEW YORK LPD-21</v>
      </c>
      <c r="H11119" t="str">
        <f>T("BLDG 448 BOHOMME ST")</f>
        <v>BLDG 448 BOHOMME ST</v>
      </c>
      <c r="I11119" t="str">
        <f>T("MAYPORT")</f>
        <v>MAYPORT</v>
      </c>
      <c r="J11119" t="str">
        <f>T("FL")</f>
        <v>FL</v>
      </c>
      <c r="K11119" t="str">
        <f>T("")</f>
        <v/>
      </c>
      <c r="L11119" t="str">
        <f>T("9042706292")</f>
        <v>9042706292</v>
      </c>
    </row>
    <row r="11120" spans="1:12" x14ac:dyDescent="0.35">
      <c r="A11120" t="str">
        <f>T("USS NEWYORK LPD-21")</f>
        <v>USS NEWYORK LPD-21</v>
      </c>
      <c r="B11120" t="str">
        <f>T("USS NEW YORK LPD-21")</f>
        <v>USS NEW YORK LPD-21</v>
      </c>
      <c r="C11120" t="str">
        <f>T("BLDG 448 BOHOMME ST")</f>
        <v>BLDG 448 BOHOMME ST</v>
      </c>
      <c r="D11120" t="str">
        <f>T("MAYPORT")</f>
        <v>MAYPORT</v>
      </c>
      <c r="E11120" t="str">
        <f>T("FL")</f>
        <v>FL</v>
      </c>
      <c r="F11120" t="str">
        <f>T("322280000")</f>
        <v>322280000</v>
      </c>
      <c r="G11120" t="str">
        <f>T("USS NEW YORK LPD21")</f>
        <v>USS NEW YORK LPD21</v>
      </c>
      <c r="H11120" t="str">
        <f>T("UNIT 100333 BOX 1")</f>
        <v>UNIT 100333 BOX 1</v>
      </c>
      <c r="I11120" t="str">
        <f>T("FPO")</f>
        <v>FPO</v>
      </c>
      <c r="J11120" t="str">
        <f>T("AA")</f>
        <v>AA</v>
      </c>
      <c r="K11120" t="str">
        <f>T("000000000000000000")</f>
        <v>000000000000000000</v>
      </c>
      <c r="L11120" t="str">
        <f>T("9042706292")</f>
        <v>9042706292</v>
      </c>
    </row>
    <row r="11121" spans="1:12" x14ac:dyDescent="0.35">
      <c r="A11121" t="str">
        <f t="shared" ref="A11121:B11124" si="4051">T("PCRON 1 BAHRAIN")</f>
        <v>PCRON 1 BAHRAIN</v>
      </c>
      <c r="B11121" t="str">
        <f t="shared" si="4051"/>
        <v>PCRON 1 BAHRAIN</v>
      </c>
      <c r="C11121" t="str">
        <f>T("PSC 851 BOX 290")</f>
        <v>PSC 851 BOX 290</v>
      </c>
      <c r="D11121" t="str">
        <f>T("FPO")</f>
        <v>FPO</v>
      </c>
      <c r="E11121" t="str">
        <f>T("AE")</f>
        <v>AE</v>
      </c>
      <c r="F11121" t="str">
        <f>T("098340003")</f>
        <v>098340003</v>
      </c>
      <c r="G11121" t="str">
        <f>T("COMNABSURFLNAT")</f>
        <v>COMNABSURFLNAT</v>
      </c>
      <c r="H11121" t="str">
        <f>T("BLDG D-29 1751 MORRIS STREET")</f>
        <v>BLDG D-29 1751 MORRIS STREET</v>
      </c>
      <c r="I11121" t="str">
        <f>T("NORFOLK")</f>
        <v>NORFOLK</v>
      </c>
      <c r="J11121" t="str">
        <f>T("VA")</f>
        <v>VA</v>
      </c>
      <c r="K11121" t="str">
        <f>T("01197317852323")</f>
        <v>01197317852323</v>
      </c>
      <c r="L11121" t="str">
        <f>T("1111111111")</f>
        <v>1111111111</v>
      </c>
    </row>
    <row r="11122" spans="1:12" x14ac:dyDescent="0.35">
      <c r="A11122" t="str">
        <f t="shared" si="4051"/>
        <v>PCRON 1 BAHRAIN</v>
      </c>
      <c r="B11122" t="str">
        <f t="shared" si="4051"/>
        <v>PCRON 1 BAHRAIN</v>
      </c>
      <c r="C11122" t="str">
        <f>T("PSC 851 BOX 290")</f>
        <v>PSC 851 BOX 290</v>
      </c>
      <c r="D11122" t="str">
        <f>T("FPO")</f>
        <v>FPO</v>
      </c>
      <c r="E11122" t="str">
        <f>T("AE")</f>
        <v>AE</v>
      </c>
      <c r="F11122" t="str">
        <f>T("098340003")</f>
        <v>098340003</v>
      </c>
      <c r="G11122" t="str">
        <f>T("PATROL COSTAL SQUADRON 1")</f>
        <v>PATROL COSTAL SQUADRON 1</v>
      </c>
      <c r="H11122" t="str">
        <f>T("PSC 851 BOX 920")</f>
        <v>PSC 851 BOX 920</v>
      </c>
      <c r="I11122" t="str">
        <f>T("FPO")</f>
        <v>FPO</v>
      </c>
      <c r="J11122" t="str">
        <f>T("AE")</f>
        <v>AE</v>
      </c>
      <c r="K11122" t="str">
        <f>T("01197317852323")</f>
        <v>01197317852323</v>
      </c>
      <c r="L11122" t="str">
        <f>T("1111111111")</f>
        <v>1111111111</v>
      </c>
    </row>
    <row r="11123" spans="1:12" x14ac:dyDescent="0.35">
      <c r="A11123" t="str">
        <f t="shared" si="4051"/>
        <v>PCRON 1 BAHRAIN</v>
      </c>
      <c r="B11123" t="str">
        <f t="shared" si="4051"/>
        <v>PCRON 1 BAHRAIN</v>
      </c>
      <c r="C11123" t="str">
        <f>T("PSC 851 BOX 290")</f>
        <v>PSC 851 BOX 290</v>
      </c>
      <c r="D11123" t="str">
        <f>T("FPO")</f>
        <v>FPO</v>
      </c>
      <c r="E11123" t="str">
        <f>T("AE")</f>
        <v>AE</v>
      </c>
      <c r="F11123" t="str">
        <f>T("098340003")</f>
        <v>098340003</v>
      </c>
      <c r="G11123" t="str">
        <f>T("PATRON COASTAL SQDRN 1")</f>
        <v>PATRON COASTAL SQDRN 1</v>
      </c>
      <c r="H11123" t="str">
        <f>T("2600 TARAWA CT BLDG 1602")</f>
        <v>2600 TARAWA CT BLDG 1602</v>
      </c>
      <c r="I11123" t="str">
        <f>T("NORFOLK")</f>
        <v>NORFOLK</v>
      </c>
      <c r="J11123" t="str">
        <f>T("VA")</f>
        <v>VA</v>
      </c>
      <c r="K11123" t="str">
        <f>T("0119731785232")</f>
        <v>0119731785232</v>
      </c>
      <c r="L11123" t="str">
        <f>T("1111111111")</f>
        <v>1111111111</v>
      </c>
    </row>
    <row r="11124" spans="1:12" x14ac:dyDescent="0.35">
      <c r="A11124" t="str">
        <f t="shared" si="4051"/>
        <v>PCRON 1 BAHRAIN</v>
      </c>
      <c r="B11124" t="str">
        <f t="shared" si="4051"/>
        <v>PCRON 1 BAHRAIN</v>
      </c>
      <c r="C11124" t="str">
        <f>T("PSC 851 BOX 290")</f>
        <v>PSC 851 BOX 290</v>
      </c>
      <c r="D11124" t="str">
        <f>T("FPO")</f>
        <v>FPO</v>
      </c>
      <c r="E11124" t="str">
        <f>T("AE")</f>
        <v>AE</v>
      </c>
      <c r="F11124" t="str">
        <f>T("098340003")</f>
        <v>098340003</v>
      </c>
      <c r="G11124" t="str">
        <f>T("PCRON 1 BAHRAIN")</f>
        <v>PCRON 1 BAHRAIN</v>
      </c>
      <c r="H11124" t="str">
        <f>T("PSC 851 BOX 290")</f>
        <v>PSC 851 BOX 290</v>
      </c>
      <c r="I11124" t="str">
        <f>T("FPO")</f>
        <v>FPO</v>
      </c>
      <c r="J11124" t="str">
        <f>T("AE")</f>
        <v>AE</v>
      </c>
      <c r="K11124" t="str">
        <f>T("7574622499")</f>
        <v>7574622499</v>
      </c>
      <c r="L11124" t="str">
        <f>T("7575628641")</f>
        <v>7575628641</v>
      </c>
    </row>
    <row r="11125" spans="1:12" x14ac:dyDescent="0.35">
      <c r="A11125" t="str">
        <f>T("COMCLCSRON TWO")</f>
        <v>COMCLCSRON TWO</v>
      </c>
      <c r="B11125" t="str">
        <f>T("COMLCSRON TWO")</f>
        <v>COMLCSRON TWO</v>
      </c>
      <c r="C11125" t="str">
        <f>T("P O BOX 280046")</f>
        <v>P O BOX 280046</v>
      </c>
      <c r="D11125" t="str">
        <f>T("JACKSONVILLE")</f>
        <v>JACKSONVILLE</v>
      </c>
      <c r="E11125" t="str">
        <f>T("FL")</f>
        <v>FL</v>
      </c>
      <c r="F11125" t="str">
        <f>T("322280046")</f>
        <v>322280046</v>
      </c>
      <c r="G11125" t="str">
        <f>T("COMLCSRON TWO")</f>
        <v>COMLCSRON TWO</v>
      </c>
      <c r="H11125" t="str">
        <f>T("P O BOX 280046")</f>
        <v>P O BOX 280046</v>
      </c>
      <c r="I11125" t="str">
        <f>T("JACKSONVILLE")</f>
        <v>JACKSONVILLE</v>
      </c>
      <c r="J11125" t="str">
        <f>T("FL")</f>
        <v>FL</v>
      </c>
      <c r="K11125" t="str">
        <f>T("000000000000000000")</f>
        <v>000000000000000000</v>
      </c>
      <c r="L11125" t="str">
        <f>T("9042703285")</f>
        <v>9042703285</v>
      </c>
    </row>
    <row r="11126" spans="1:12" x14ac:dyDescent="0.35">
      <c r="A11126" t="str">
        <f>T("COMCLCSRON TWO")</f>
        <v>COMCLCSRON TWO</v>
      </c>
      <c r="B11126" t="str">
        <f>T("COMLCSRON TWO")</f>
        <v>COMLCSRON TWO</v>
      </c>
      <c r="C11126" t="str">
        <f>T("P O BOX 280046")</f>
        <v>P O BOX 280046</v>
      </c>
      <c r="D11126" t="str">
        <f>T("JACKSONVILLE")</f>
        <v>JACKSONVILLE</v>
      </c>
      <c r="E11126" t="str">
        <f>T("FL")</f>
        <v>FL</v>
      </c>
      <c r="F11126" t="str">
        <f>T("322280046")</f>
        <v>322280046</v>
      </c>
      <c r="G11126" t="str">
        <f>T("COMLCSRON TWO")</f>
        <v>COMLCSRON TWO</v>
      </c>
      <c r="H11126" t="str">
        <f>T("PO BOX 280046")</f>
        <v>PO BOX 280046</v>
      </c>
      <c r="I11126" t="str">
        <f>T("JACKSONVILLE")</f>
        <v>JACKSONVILLE</v>
      </c>
      <c r="J11126" t="str">
        <f>T("FL")</f>
        <v>FL</v>
      </c>
      <c r="K11126" t="str">
        <f>T("000000000000000000")</f>
        <v>000000000000000000</v>
      </c>
      <c r="L11126" t="str">
        <f>T("9042703617")</f>
        <v>9042703617</v>
      </c>
    </row>
    <row r="11127" spans="1:12" x14ac:dyDescent="0.35">
      <c r="A11127" t="str">
        <f>T("COMCLCSRON TWO")</f>
        <v>COMCLCSRON TWO</v>
      </c>
      <c r="B11127" t="str">
        <f>T("COMLCSRON TWO")</f>
        <v>COMLCSRON TWO</v>
      </c>
      <c r="C11127" t="str">
        <f>T("P O BOX 280046")</f>
        <v>P O BOX 280046</v>
      </c>
      <c r="D11127" t="str">
        <f>T("JACKSONVILLE")</f>
        <v>JACKSONVILLE</v>
      </c>
      <c r="E11127" t="str">
        <f>T("FL")</f>
        <v>FL</v>
      </c>
      <c r="F11127" t="str">
        <f>T("322280046")</f>
        <v>322280046</v>
      </c>
      <c r="G11127" t="str">
        <f>T("COMLCSRON TWO")</f>
        <v>COMLCSRON TWO</v>
      </c>
      <c r="H11127" t="str">
        <f>T("PO BOX 280046")</f>
        <v>PO BOX 280046</v>
      </c>
      <c r="I11127" t="str">
        <f>T("JACKSONVILLE")</f>
        <v>JACKSONVILLE</v>
      </c>
      <c r="J11127" t="str">
        <f>T("FL")</f>
        <v>FL</v>
      </c>
      <c r="K11127" t="str">
        <f>T("000000000000000000")</f>
        <v>000000000000000000</v>
      </c>
      <c r="L11127" t="str">
        <f>T("9042703758")</f>
        <v>9042703758</v>
      </c>
    </row>
    <row r="11128" spans="1:12" x14ac:dyDescent="0.35">
      <c r="A11128" t="str">
        <f>T("USAAMDS ROMANIA")</f>
        <v>USAAMDS ROMANIA</v>
      </c>
      <c r="B11128" t="str">
        <f>T("PSC 825 BOX 2")</f>
        <v>PSC 825 BOX 2</v>
      </c>
      <c r="C11128" t="str">
        <f>T("")</f>
        <v/>
      </c>
      <c r="D11128" t="str">
        <f>T("FPO")</f>
        <v>FPO</v>
      </c>
      <c r="E11128" t="str">
        <f>T("AE")</f>
        <v>AE</v>
      </c>
      <c r="F11128" t="str">
        <f>T("097120001")</f>
        <v>097120001</v>
      </c>
      <c r="G11128" t="str">
        <f>T("PSC 825 BOX 2")</f>
        <v>PSC 825 BOX 2</v>
      </c>
      <c r="H11128" t="str">
        <f>T("")</f>
        <v/>
      </c>
      <c r="I11128" t="str">
        <f>T("FPO")</f>
        <v>FPO</v>
      </c>
      <c r="J11128" t="str">
        <f>T("AE")</f>
        <v>AE</v>
      </c>
      <c r="K11128" t="str">
        <f>T("000000000000000000")</f>
        <v>000000000000000000</v>
      </c>
      <c r="L11128" t="str">
        <f>T("2569554571")</f>
        <v>2569554571</v>
      </c>
    </row>
    <row r="11129" spans="1:12" x14ac:dyDescent="0.35">
      <c r="A11129" t="str">
        <f>T("USAAMDS ROMANIA")</f>
        <v>USAAMDS ROMANIA</v>
      </c>
      <c r="B11129" t="str">
        <f>T("PSC 825 BOX 2")</f>
        <v>PSC 825 BOX 2</v>
      </c>
      <c r="C11129" t="str">
        <f>T("")</f>
        <v/>
      </c>
      <c r="D11129" t="str">
        <f>T("FPO")</f>
        <v>FPO</v>
      </c>
      <c r="E11129" t="str">
        <f>T("AE")</f>
        <v>AE</v>
      </c>
      <c r="F11129" t="str">
        <f>T("097120001")</f>
        <v>097120001</v>
      </c>
      <c r="G11129" t="str">
        <f>T("USAAMDS ROMANIA")</f>
        <v>USAAMDS ROMANIA</v>
      </c>
      <c r="H11129" t="str">
        <f>T("PSC 825 BOX 2")</f>
        <v>PSC 825 BOX 2</v>
      </c>
      <c r="I11129" t="str">
        <f>T("FPO")</f>
        <v>FPO</v>
      </c>
      <c r="J11129" t="str">
        <f>T("AE")</f>
        <v>AE</v>
      </c>
      <c r="K11129" t="str">
        <f>T("01140349080176")</f>
        <v>01140349080176</v>
      </c>
      <c r="L11129" t="str">
        <f>T("1111111111")</f>
        <v>1111111111</v>
      </c>
    </row>
    <row r="11130" spans="1:12" x14ac:dyDescent="0.35">
      <c r="A11130" t="str">
        <f>T("USAAMDS ROMANIA")</f>
        <v>USAAMDS ROMANIA</v>
      </c>
      <c r="B11130" t="str">
        <f>T("PSC 825 BOX 2")</f>
        <v>PSC 825 BOX 2</v>
      </c>
      <c r="C11130" t="str">
        <f>T("")</f>
        <v/>
      </c>
      <c r="D11130" t="str">
        <f>T("FPO")</f>
        <v>FPO</v>
      </c>
      <c r="E11130" t="str">
        <f>T("AE")</f>
        <v>AE</v>
      </c>
      <c r="F11130" t="str">
        <f>T("097120001")</f>
        <v>097120001</v>
      </c>
      <c r="G11130" t="str">
        <f>T("USAAMDS ROMANIA")</f>
        <v>USAAMDS ROMANIA</v>
      </c>
      <c r="H11130" t="str">
        <f>T("PSC 825 BOX 2")</f>
        <v>PSC 825 BOX 2</v>
      </c>
      <c r="I11130" t="str">
        <f>T("FPO")</f>
        <v>FPO</v>
      </c>
      <c r="J11130" t="str">
        <f>T("AE")</f>
        <v>AE</v>
      </c>
      <c r="K11130" t="str">
        <f>T("01140349080275")</f>
        <v>01140349080275</v>
      </c>
      <c r="L11130" t="str">
        <f>T("1111111111")</f>
        <v>1111111111</v>
      </c>
    </row>
    <row r="11131" spans="1:12" x14ac:dyDescent="0.35">
      <c r="A11131" t="str">
        <f>T("USAAMDS ROMANIA")</f>
        <v>USAAMDS ROMANIA</v>
      </c>
      <c r="B11131" t="str">
        <f>T("PSC 825 BOX 2")</f>
        <v>PSC 825 BOX 2</v>
      </c>
      <c r="C11131" t="str">
        <f>T("")</f>
        <v/>
      </c>
      <c r="D11131" t="str">
        <f>T("FPO")</f>
        <v>FPO</v>
      </c>
      <c r="E11131" t="str">
        <f>T("AE")</f>
        <v>AE</v>
      </c>
      <c r="F11131" t="str">
        <f>T("097120001")</f>
        <v>097120001</v>
      </c>
      <c r="G11131" t="str">
        <f>T("USAAMDS ROMANIA")</f>
        <v>USAAMDS ROMANIA</v>
      </c>
      <c r="H11131" t="str">
        <f>T("PSC BOX 2")</f>
        <v>PSC BOX 2</v>
      </c>
      <c r="I11131" t="str">
        <f>T("FPO")</f>
        <v>FPO</v>
      </c>
      <c r="J11131" t="str">
        <f>T("AE")</f>
        <v>AE</v>
      </c>
      <c r="K11131" t="str">
        <f>T("40349080176")</f>
        <v>40349080176</v>
      </c>
      <c r="L11131" t="str">
        <f>T("1111111111")</f>
        <v>1111111111</v>
      </c>
    </row>
    <row r="11132" spans="1:12" x14ac:dyDescent="0.35">
      <c r="A11132" t="str">
        <f t="shared" ref="A11132:B11138" si="4052">T("COMNAVSURFLANT")</f>
        <v>COMNAVSURFLANT</v>
      </c>
      <c r="B11132" t="str">
        <f t="shared" si="4052"/>
        <v>COMNAVSURFLANT</v>
      </c>
      <c r="C11132" t="str">
        <f t="shared" ref="C11132:C11138" si="4053">T("1751 MORRIS STREET BLDG D29")</f>
        <v>1751 MORRIS STREET BLDG D29</v>
      </c>
      <c r="D11132" t="str">
        <f t="shared" ref="D11132:D11138" si="4054">T("NORFOLK")</f>
        <v>NORFOLK</v>
      </c>
      <c r="E11132" t="str">
        <f t="shared" ref="E11132:E11138" si="4055">T("VA")</f>
        <v>VA</v>
      </c>
      <c r="F11132" t="str">
        <f t="shared" ref="F11132:F11138" si="4056">T("235112808")</f>
        <v>235112808</v>
      </c>
      <c r="G11132" t="str">
        <f>T("1751 MORR IS STREET BLDG D-29")</f>
        <v>1751 MORR IS STREET BLDG D-29</v>
      </c>
      <c r="H11132" t="str">
        <f>T("ATTN DONNA CAREY")</f>
        <v>ATTN DONNA CAREY</v>
      </c>
      <c r="I11132" t="str">
        <f t="shared" ref="I11132:I11138" si="4057">T("NORFOLK")</f>
        <v>NORFOLK</v>
      </c>
      <c r="J11132" t="str">
        <f t="shared" ref="J11132:J11138" si="4058">T("VA")</f>
        <v>VA</v>
      </c>
      <c r="K11132" t="str">
        <f>T("000000000000000000")</f>
        <v>000000000000000000</v>
      </c>
      <c r="L11132" t="str">
        <f>T("7578365148")</f>
        <v>7578365148</v>
      </c>
    </row>
    <row r="11133" spans="1:12" x14ac:dyDescent="0.35">
      <c r="A11133" t="str">
        <f t="shared" si="4052"/>
        <v>COMNAVSURFLANT</v>
      </c>
      <c r="B11133" t="str">
        <f t="shared" si="4052"/>
        <v>COMNAVSURFLANT</v>
      </c>
      <c r="C11133" t="str">
        <f t="shared" si="4053"/>
        <v>1751 MORRIS STREET BLDG D29</v>
      </c>
      <c r="D11133" t="str">
        <f t="shared" si="4054"/>
        <v>NORFOLK</v>
      </c>
      <c r="E11133" t="str">
        <f t="shared" si="4055"/>
        <v>VA</v>
      </c>
      <c r="F11133" t="str">
        <f t="shared" si="4056"/>
        <v>235112808</v>
      </c>
      <c r="G11133" t="str">
        <f>T("1751 MORRIS STREET")</f>
        <v>1751 MORRIS STREET</v>
      </c>
      <c r="H11133" t="str">
        <f>T("BLDG D-29")</f>
        <v>BLDG D-29</v>
      </c>
      <c r="I11133" t="str">
        <f t="shared" si="4057"/>
        <v>NORFOLK</v>
      </c>
      <c r="J11133" t="str">
        <f t="shared" si="4058"/>
        <v>VA</v>
      </c>
      <c r="K11133" t="str">
        <f>T("000000000000000000")</f>
        <v>000000000000000000</v>
      </c>
      <c r="L11133" t="str">
        <f>T("7578363334")</f>
        <v>7578363334</v>
      </c>
    </row>
    <row r="11134" spans="1:12" x14ac:dyDescent="0.35">
      <c r="A11134" t="str">
        <f t="shared" si="4052"/>
        <v>COMNAVSURFLANT</v>
      </c>
      <c r="B11134" t="str">
        <f t="shared" si="4052"/>
        <v>COMNAVSURFLANT</v>
      </c>
      <c r="C11134" t="str">
        <f t="shared" si="4053"/>
        <v>1751 MORRIS STREET BLDG D29</v>
      </c>
      <c r="D11134" t="str">
        <f t="shared" si="4054"/>
        <v>NORFOLK</v>
      </c>
      <c r="E11134" t="str">
        <f t="shared" si="4055"/>
        <v>VA</v>
      </c>
      <c r="F11134" t="str">
        <f t="shared" si="4056"/>
        <v>235112808</v>
      </c>
      <c r="G11134" t="str">
        <f>T("COMNAVSURFLANT")</f>
        <v>COMNAVSURFLANT</v>
      </c>
      <c r="H11134" t="str">
        <f>T("1751 MORRIS ST BLDG D-29")</f>
        <v>1751 MORRIS ST BLDG D-29</v>
      </c>
      <c r="I11134" t="str">
        <f t="shared" si="4057"/>
        <v>NORFOLK</v>
      </c>
      <c r="J11134" t="str">
        <f t="shared" si="4058"/>
        <v>VA</v>
      </c>
      <c r="K11134" t="str">
        <f>T("000000000000000000")</f>
        <v>000000000000000000</v>
      </c>
      <c r="L11134" t="str">
        <f>T("7578363208")</f>
        <v>7578363208</v>
      </c>
    </row>
    <row r="11135" spans="1:12" x14ac:dyDescent="0.35">
      <c r="A11135" t="str">
        <f t="shared" si="4052"/>
        <v>COMNAVSURFLANT</v>
      </c>
      <c r="B11135" t="str">
        <f t="shared" si="4052"/>
        <v>COMNAVSURFLANT</v>
      </c>
      <c r="C11135" t="str">
        <f t="shared" si="4053"/>
        <v>1751 MORRIS STREET BLDG D29</v>
      </c>
      <c r="D11135" t="str">
        <f t="shared" si="4054"/>
        <v>NORFOLK</v>
      </c>
      <c r="E11135" t="str">
        <f t="shared" si="4055"/>
        <v>VA</v>
      </c>
      <c r="F11135" t="str">
        <f t="shared" si="4056"/>
        <v>235112808</v>
      </c>
      <c r="G11135" t="str">
        <f>T("COMNAVSURFLANT")</f>
        <v>COMNAVSURFLANT</v>
      </c>
      <c r="H11135" t="str">
        <f>T("1751 MORRIS ST BLDG D-29")</f>
        <v>1751 MORRIS ST BLDG D-29</v>
      </c>
      <c r="I11135" t="str">
        <f t="shared" si="4057"/>
        <v>NORFOLK</v>
      </c>
      <c r="J11135" t="str">
        <f t="shared" si="4058"/>
        <v>VA</v>
      </c>
      <c r="K11135" t="str">
        <f>T("000000000000000000")</f>
        <v>000000000000000000</v>
      </c>
      <c r="L11135" t="str">
        <f>T("7578364282")</f>
        <v>7578364282</v>
      </c>
    </row>
    <row r="11136" spans="1:12" x14ac:dyDescent="0.35">
      <c r="A11136" t="str">
        <f t="shared" si="4052"/>
        <v>COMNAVSURFLANT</v>
      </c>
      <c r="B11136" t="str">
        <f t="shared" si="4052"/>
        <v>COMNAVSURFLANT</v>
      </c>
      <c r="C11136" t="str">
        <f t="shared" si="4053"/>
        <v>1751 MORRIS STREET BLDG D29</v>
      </c>
      <c r="D11136" t="str">
        <f t="shared" si="4054"/>
        <v>NORFOLK</v>
      </c>
      <c r="E11136" t="str">
        <f t="shared" si="4055"/>
        <v>VA</v>
      </c>
      <c r="F11136" t="str">
        <f t="shared" si="4056"/>
        <v>235112808</v>
      </c>
      <c r="G11136" t="str">
        <f>T("COMNAVSURFLANT")</f>
        <v>COMNAVSURFLANT</v>
      </c>
      <c r="H11136" t="str">
        <f>T("1751 MORRIS STREET BLDG D29")</f>
        <v>1751 MORRIS STREET BLDG D29</v>
      </c>
      <c r="I11136" t="str">
        <f t="shared" si="4057"/>
        <v>NORFOLK</v>
      </c>
      <c r="J11136" t="str">
        <f t="shared" si="4058"/>
        <v>VA</v>
      </c>
      <c r="K11136" t="str">
        <f>T("")</f>
        <v/>
      </c>
      <c r="L11136" t="str">
        <f>T("7578364282")</f>
        <v>7578364282</v>
      </c>
    </row>
    <row r="11137" spans="1:12" x14ac:dyDescent="0.35">
      <c r="A11137" t="str">
        <f t="shared" si="4052"/>
        <v>COMNAVSURFLANT</v>
      </c>
      <c r="B11137" t="str">
        <f t="shared" si="4052"/>
        <v>COMNAVSURFLANT</v>
      </c>
      <c r="C11137" t="str">
        <f t="shared" si="4053"/>
        <v>1751 MORRIS STREET BLDG D29</v>
      </c>
      <c r="D11137" t="str">
        <f t="shared" si="4054"/>
        <v>NORFOLK</v>
      </c>
      <c r="E11137" t="str">
        <f t="shared" si="4055"/>
        <v>VA</v>
      </c>
      <c r="F11137" t="str">
        <f t="shared" si="4056"/>
        <v>235112808</v>
      </c>
      <c r="G11137" t="str">
        <f>T("COMNAVSURFLANT")</f>
        <v>COMNAVSURFLANT</v>
      </c>
      <c r="H11137" t="str">
        <f>T("1751 MORRIS STREET BLDG D29")</f>
        <v>1751 MORRIS STREET BLDG D29</v>
      </c>
      <c r="I11137" t="str">
        <f t="shared" si="4057"/>
        <v>NORFOLK</v>
      </c>
      <c r="J11137" t="str">
        <f t="shared" si="4058"/>
        <v>VA</v>
      </c>
      <c r="K11137" t="str">
        <f>T("000000000000000000")</f>
        <v>000000000000000000</v>
      </c>
      <c r="L11137" t="str">
        <f>T("7578363488")</f>
        <v>7578363488</v>
      </c>
    </row>
    <row r="11138" spans="1:12" x14ac:dyDescent="0.35">
      <c r="A11138" t="str">
        <f t="shared" si="4052"/>
        <v>COMNAVSURFLANT</v>
      </c>
      <c r="B11138" t="str">
        <f t="shared" si="4052"/>
        <v>COMNAVSURFLANT</v>
      </c>
      <c r="C11138" t="str">
        <f t="shared" si="4053"/>
        <v>1751 MORRIS STREET BLDG D29</v>
      </c>
      <c r="D11138" t="str">
        <f t="shared" si="4054"/>
        <v>NORFOLK</v>
      </c>
      <c r="E11138" t="str">
        <f t="shared" si="4055"/>
        <v>VA</v>
      </c>
      <c r="F11138" t="str">
        <f t="shared" si="4056"/>
        <v>235112808</v>
      </c>
      <c r="G11138" t="str">
        <f>T("COMNAVSURFLANT CODE N41")</f>
        <v>COMNAVSURFLANT CODE N41</v>
      </c>
      <c r="H11138" t="str">
        <f>T("1751 MORRIS STREET")</f>
        <v>1751 MORRIS STREET</v>
      </c>
      <c r="I11138" t="str">
        <f t="shared" si="4057"/>
        <v>NORFOLK</v>
      </c>
      <c r="J11138" t="str">
        <f t="shared" si="4058"/>
        <v>VA</v>
      </c>
      <c r="K11138" t="str">
        <f>T("000000000000000000")</f>
        <v>000000000000000000</v>
      </c>
      <c r="L11138" t="str">
        <f>T("7578363412")</f>
        <v>7578363412</v>
      </c>
    </row>
    <row r="11139" spans="1:12" x14ac:dyDescent="0.35">
      <c r="A11139" t="str">
        <f>T("ZZ DELETE")</f>
        <v>ZZ DELETE</v>
      </c>
      <c r="B11139" t="str">
        <f>T("PO BOX 280028")</f>
        <v>PO BOX 280028</v>
      </c>
      <c r="C11139" t="str">
        <f>T("")</f>
        <v/>
      </c>
      <c r="D11139" t="str">
        <f>T("JACKSONVILLE")</f>
        <v>JACKSONVILLE</v>
      </c>
      <c r="E11139" t="str">
        <f>T("FL")</f>
        <v>FL</v>
      </c>
      <c r="F11139" t="str">
        <f>T("322280028")</f>
        <v>322280028</v>
      </c>
      <c r="G11139" t="str">
        <f>T("PO BOX 280028")</f>
        <v>PO BOX 280028</v>
      </c>
      <c r="H11139" t="str">
        <f>T("")</f>
        <v/>
      </c>
      <c r="I11139" t="str">
        <f>T("JACKSONVILLE")</f>
        <v>JACKSONVILLE</v>
      </c>
      <c r="J11139" t="str">
        <f>T("FL")</f>
        <v>FL</v>
      </c>
      <c r="K11139" t="str">
        <f>T("")</f>
        <v/>
      </c>
      <c r="L11139" t="str">
        <f>T("9042707527")</f>
        <v>9042707527</v>
      </c>
    </row>
    <row r="11140" spans="1:12" x14ac:dyDescent="0.35">
      <c r="A11140" t="str">
        <f>T("MILDET LBP T-ESB3")</f>
        <v>MILDET LBP T-ESB3</v>
      </c>
      <c r="B11140" t="str">
        <f>T("USNS LEWIS B PULLER T-ESB3")</f>
        <v>USNS LEWIS B PULLER T-ESB3</v>
      </c>
      <c r="C11140" t="str">
        <f>T("UNTI 100195 BOX 1")</f>
        <v>UNTI 100195 BOX 1</v>
      </c>
      <c r="D11140" t="str">
        <f t="shared" ref="D11140:D11148" si="4059">T("FPO")</f>
        <v>FPO</v>
      </c>
      <c r="E11140" t="str">
        <f t="shared" ref="E11140:E11148" si="4060">T("AE")</f>
        <v>AE</v>
      </c>
      <c r="F11140" t="str">
        <f>T("095919500")</f>
        <v>095919500</v>
      </c>
      <c r="G11140" t="str">
        <f>T("USNS LEWIS B PULLER")</f>
        <v>USNS LEWIS B PULLER</v>
      </c>
      <c r="H11140" t="str">
        <f>T("UNIT 100195 BOX 1")</f>
        <v>UNIT 100195 BOX 1</v>
      </c>
      <c r="I11140" t="str">
        <f t="shared" ref="I11140:I11148" si="4061">T("FPO")</f>
        <v>FPO</v>
      </c>
      <c r="J11140" t="str">
        <f t="shared" ref="J11140:J11148" si="4062">T("AE")</f>
        <v>AE</v>
      </c>
      <c r="K11140" t="str">
        <f>T("000000000000000000")</f>
        <v>000000000000000000</v>
      </c>
      <c r="L11140" t="str">
        <f>T("7574448079")</f>
        <v>7574448079</v>
      </c>
    </row>
    <row r="11141" spans="1:12" x14ac:dyDescent="0.35">
      <c r="A11141" t="str">
        <f>T("MILDET LBP T-ESB3")</f>
        <v>MILDET LBP T-ESB3</v>
      </c>
      <c r="B11141" t="str">
        <f>T("USNS LEWIS B PULLER T-ESB3")</f>
        <v>USNS LEWIS B PULLER T-ESB3</v>
      </c>
      <c r="C11141" t="str">
        <f>T("UNTI 100195 BOX 1")</f>
        <v>UNTI 100195 BOX 1</v>
      </c>
      <c r="D11141" t="str">
        <f t="shared" si="4059"/>
        <v>FPO</v>
      </c>
      <c r="E11141" t="str">
        <f t="shared" si="4060"/>
        <v>AE</v>
      </c>
      <c r="F11141" t="str">
        <f>T("095919500")</f>
        <v>095919500</v>
      </c>
      <c r="G11141" t="str">
        <f>T("USNS LEWIS B PULLER T-ESB3")</f>
        <v>USNS LEWIS B PULLER T-ESB3</v>
      </c>
      <c r="H11141" t="str">
        <f>T("UNTI 100195 BOX 1")</f>
        <v>UNTI 100195 BOX 1</v>
      </c>
      <c r="I11141" t="str">
        <f t="shared" si="4061"/>
        <v>FPO</v>
      </c>
      <c r="J11141" t="str">
        <f t="shared" si="4062"/>
        <v>AE</v>
      </c>
      <c r="K11141" t="str">
        <f>T("000000000000000000")</f>
        <v>000000000000000000</v>
      </c>
      <c r="L11141" t="str">
        <f>T("7132041666")</f>
        <v>7132041666</v>
      </c>
    </row>
    <row r="11142" spans="1:12" x14ac:dyDescent="0.35">
      <c r="A11142" t="str">
        <f>T("USS JASON DUNHAM DDG109")</f>
        <v>USS JASON DUNHAM DDG109</v>
      </c>
      <c r="B11142" t="str">
        <f>T("USS JASON DUNHAM DDG 109")</f>
        <v>USS JASON DUNHAM DDG 109</v>
      </c>
      <c r="C11142" t="str">
        <f>T("UNIT 100336 BOX 1")</f>
        <v>UNIT 100336 BOX 1</v>
      </c>
      <c r="D11142" t="str">
        <f t="shared" si="4059"/>
        <v>FPO</v>
      </c>
      <c r="E11142" t="str">
        <f t="shared" si="4060"/>
        <v>AE</v>
      </c>
      <c r="F11142" t="str">
        <f>T("095673600")</f>
        <v>095673600</v>
      </c>
      <c r="G11142" t="str">
        <f>T("USS JASON DUNHAM DDG 109")</f>
        <v>USS JASON DUNHAM DDG 109</v>
      </c>
      <c r="H11142" t="str">
        <f>T("UNIT 100336 BOX 1")</f>
        <v>UNIT 100336 BOX 1</v>
      </c>
      <c r="I11142" t="str">
        <f t="shared" si="4061"/>
        <v>FPO</v>
      </c>
      <c r="J11142" t="str">
        <f t="shared" si="4062"/>
        <v>AE</v>
      </c>
      <c r="K11142" t="str">
        <f>T("")</f>
        <v/>
      </c>
      <c r="L11142" t="str">
        <f>T("7574456172")</f>
        <v>7574456172</v>
      </c>
    </row>
    <row r="11143" spans="1:12" x14ac:dyDescent="0.35">
      <c r="A11143" t="str">
        <f>T("USS JASON DUNHAM DDG109")</f>
        <v>USS JASON DUNHAM DDG109</v>
      </c>
      <c r="B11143" t="str">
        <f>T("USS JASON DUNHAM DDG 109")</f>
        <v>USS JASON DUNHAM DDG 109</v>
      </c>
      <c r="C11143" t="str">
        <f>T("UNIT 100336 BOX 1")</f>
        <v>UNIT 100336 BOX 1</v>
      </c>
      <c r="D11143" t="str">
        <f t="shared" si="4059"/>
        <v>FPO</v>
      </c>
      <c r="E11143" t="str">
        <f t="shared" si="4060"/>
        <v>AE</v>
      </c>
      <c r="F11143" t="str">
        <f>T("095673600")</f>
        <v>095673600</v>
      </c>
      <c r="G11143" t="str">
        <f>T("USS JASON DUNHAM DDG 109")</f>
        <v>USS JASON DUNHAM DDG 109</v>
      </c>
      <c r="H11143" t="str">
        <f>T("UNIT 100336 BOX 1")</f>
        <v>UNIT 100336 BOX 1</v>
      </c>
      <c r="I11143" t="str">
        <f t="shared" si="4061"/>
        <v>FPO</v>
      </c>
      <c r="J11143" t="str">
        <f t="shared" si="4062"/>
        <v>AE</v>
      </c>
      <c r="K11143" t="str">
        <f>T("000000000000000000")</f>
        <v>000000000000000000</v>
      </c>
      <c r="L11143" t="str">
        <f>T("7574456172")</f>
        <v>7574456172</v>
      </c>
    </row>
    <row r="11144" spans="1:12" x14ac:dyDescent="0.35">
      <c r="A11144" t="str">
        <f>T("USS JASON DUNHAM DDG109")</f>
        <v>USS JASON DUNHAM DDG109</v>
      </c>
      <c r="B11144" t="str">
        <f>T("USS JASON DUNHAM DDG 109")</f>
        <v>USS JASON DUNHAM DDG 109</v>
      </c>
      <c r="C11144" t="str">
        <f>T("UNIT 100336 BOX 1")</f>
        <v>UNIT 100336 BOX 1</v>
      </c>
      <c r="D11144" t="str">
        <f t="shared" si="4059"/>
        <v>FPO</v>
      </c>
      <c r="E11144" t="str">
        <f t="shared" si="4060"/>
        <v>AE</v>
      </c>
      <c r="F11144" t="str">
        <f>T("095673600")</f>
        <v>095673600</v>
      </c>
      <c r="G11144" t="str">
        <f>T("USS JASON DUNHAM DDG109")</f>
        <v>USS JASON DUNHAM DDG109</v>
      </c>
      <c r="H11144" t="str">
        <f>T("UNIT 100336 BOX 1")</f>
        <v>UNIT 100336 BOX 1</v>
      </c>
      <c r="I11144" t="str">
        <f t="shared" si="4061"/>
        <v>FPO</v>
      </c>
      <c r="J11144" t="str">
        <f t="shared" si="4062"/>
        <v>AE</v>
      </c>
      <c r="K11144" t="str">
        <f>T("000000000000000000")</f>
        <v>000000000000000000</v>
      </c>
      <c r="L11144" t="str">
        <f>T("7574456172")</f>
        <v>7574456172</v>
      </c>
    </row>
    <row r="11145" spans="1:12" x14ac:dyDescent="0.35">
      <c r="A11145" t="str">
        <f>T("USS JASON DUNHAM DDG109")</f>
        <v>USS JASON DUNHAM DDG109</v>
      </c>
      <c r="B11145" t="str">
        <f>T("USS JASON DUNHAM DDG 109")</f>
        <v>USS JASON DUNHAM DDG 109</v>
      </c>
      <c r="C11145" t="str">
        <f>T("UNIT 100336 BOX 1")</f>
        <v>UNIT 100336 BOX 1</v>
      </c>
      <c r="D11145" t="str">
        <f t="shared" si="4059"/>
        <v>FPO</v>
      </c>
      <c r="E11145" t="str">
        <f t="shared" si="4060"/>
        <v>AE</v>
      </c>
      <c r="F11145" t="str">
        <f>T("095673600")</f>
        <v>095673600</v>
      </c>
      <c r="G11145" t="str">
        <f>T("USS JASON DUNHAM DDG109")</f>
        <v>USS JASON DUNHAM DDG109</v>
      </c>
      <c r="H11145" t="str">
        <f>T("UNIT 100336 BOX 2004")</f>
        <v>UNIT 100336 BOX 2004</v>
      </c>
      <c r="I11145" t="str">
        <f t="shared" si="4061"/>
        <v>FPO</v>
      </c>
      <c r="J11145" t="str">
        <f t="shared" si="4062"/>
        <v>AE</v>
      </c>
      <c r="K11145" t="str">
        <f>T("000000000000000000")</f>
        <v>000000000000000000</v>
      </c>
      <c r="L11145" t="str">
        <f>T("7574456172")</f>
        <v>7574456172</v>
      </c>
    </row>
    <row r="11146" spans="1:12" x14ac:dyDescent="0.35">
      <c r="A11146" t="str">
        <f>T("DESRON SIX ZERO")</f>
        <v>DESRON SIX ZERO</v>
      </c>
      <c r="B11146" t="str">
        <f>T("PSC 819 BOX 28")</f>
        <v>PSC 819 BOX 28</v>
      </c>
      <c r="C11146" t="str">
        <f>T("")</f>
        <v/>
      </c>
      <c r="D11146" t="str">
        <f t="shared" si="4059"/>
        <v>FPO</v>
      </c>
      <c r="E11146" t="str">
        <f t="shared" si="4060"/>
        <v>AE</v>
      </c>
      <c r="F11146" t="str">
        <f>T("096450001")</f>
        <v>096450001</v>
      </c>
      <c r="G11146" t="str">
        <f>T("COMDESRON 60")</f>
        <v>COMDESRON 60</v>
      </c>
      <c r="H11146" t="str">
        <f>T("PSC 819 BOX 28")</f>
        <v>PSC 819 BOX 28</v>
      </c>
      <c r="I11146" t="str">
        <f t="shared" si="4061"/>
        <v>FPO</v>
      </c>
      <c r="J11146" t="str">
        <f t="shared" si="4062"/>
        <v>AE</v>
      </c>
      <c r="K11146" t="str">
        <f>T("011347272837")</f>
        <v>011347272837</v>
      </c>
      <c r="L11146" t="str">
        <f>T("1111111111")</f>
        <v>1111111111</v>
      </c>
    </row>
    <row r="11147" spans="1:12" x14ac:dyDescent="0.35">
      <c r="A11147" t="str">
        <f>T("DESRON SIX ZERO")</f>
        <v>DESRON SIX ZERO</v>
      </c>
      <c r="B11147" t="str">
        <f>T("PSC 819 BOX 28")</f>
        <v>PSC 819 BOX 28</v>
      </c>
      <c r="C11147" t="str">
        <f>T("")</f>
        <v/>
      </c>
      <c r="D11147" t="str">
        <f t="shared" si="4059"/>
        <v>FPO</v>
      </c>
      <c r="E11147" t="str">
        <f t="shared" si="4060"/>
        <v>AE</v>
      </c>
      <c r="F11147" t="str">
        <f>T("096450001")</f>
        <v>096450001</v>
      </c>
      <c r="G11147" t="str">
        <f>T("COMDESRON 60")</f>
        <v>COMDESRON 60</v>
      </c>
      <c r="H11147" t="str">
        <f>T("SUPPLY OFFCER")</f>
        <v>SUPPLY OFFCER</v>
      </c>
      <c r="I11147" t="str">
        <f t="shared" si="4061"/>
        <v>FPO</v>
      </c>
      <c r="J11147" t="str">
        <f t="shared" si="4062"/>
        <v>AE</v>
      </c>
      <c r="K11147" t="str">
        <f>T("0113147272747")</f>
        <v>0113147272747</v>
      </c>
      <c r="L11147" t="str">
        <f>T("1111111111")</f>
        <v>1111111111</v>
      </c>
    </row>
    <row r="11148" spans="1:12" x14ac:dyDescent="0.35">
      <c r="A11148" t="str">
        <f>T("DESRON SIX ZERO")</f>
        <v>DESRON SIX ZERO</v>
      </c>
      <c r="B11148" t="str">
        <f>T("PSC 819 BOX 28")</f>
        <v>PSC 819 BOX 28</v>
      </c>
      <c r="C11148" t="str">
        <f>T("")</f>
        <v/>
      </c>
      <c r="D11148" t="str">
        <f t="shared" si="4059"/>
        <v>FPO</v>
      </c>
      <c r="E11148" t="str">
        <f t="shared" si="4060"/>
        <v>AE</v>
      </c>
      <c r="F11148" t="str">
        <f>T("096450001")</f>
        <v>096450001</v>
      </c>
      <c r="G11148" t="str">
        <f>T("PSC 819 BOX 28")</f>
        <v>PSC 819 BOX 28</v>
      </c>
      <c r="H11148" t="str">
        <f>T("")</f>
        <v/>
      </c>
      <c r="I11148" t="str">
        <f t="shared" si="4061"/>
        <v>FPO</v>
      </c>
      <c r="J11148" t="str">
        <f t="shared" si="4062"/>
        <v>AE</v>
      </c>
      <c r="K11148" t="str">
        <f>T("000000000000000000")</f>
        <v>000000000000000000</v>
      </c>
      <c r="L11148" t="str">
        <f>T("1111111111")</f>
        <v>1111111111</v>
      </c>
    </row>
    <row r="11149" spans="1:12" x14ac:dyDescent="0.35">
      <c r="A11149" t="str">
        <f>T("UCT 1")</f>
        <v>UCT 1</v>
      </c>
      <c r="B11149" t="str">
        <f>T("1465 HEWITT DR")</f>
        <v>1465 HEWITT DR</v>
      </c>
      <c r="C11149" t="str">
        <f>T("BLDG 3811")</f>
        <v>BLDG 3811</v>
      </c>
      <c r="D11149" t="str">
        <f t="shared" ref="D11149:D11163" si="4063">T("VIRGINIA BCH")</f>
        <v>VIRGINIA BCH</v>
      </c>
      <c r="E11149" t="str">
        <f t="shared" ref="E11149:E11179" si="4064">T("VA")</f>
        <v>VA</v>
      </c>
      <c r="F11149" t="str">
        <f>T("234598519")</f>
        <v>234598519</v>
      </c>
      <c r="G11149" t="str">
        <f>T("1465 HEWITT DR")</f>
        <v>1465 HEWITT DR</v>
      </c>
      <c r="H11149" t="str">
        <f>T("")</f>
        <v/>
      </c>
      <c r="I11149" t="str">
        <f>T("VIRGINIA BEACH")</f>
        <v>VIRGINIA BEACH</v>
      </c>
      <c r="J11149" t="str">
        <f t="shared" ref="J11149:J11174" si="4065">T("VA")</f>
        <v>VA</v>
      </c>
      <c r="K11149" t="str">
        <f>T("7574628142")</f>
        <v>7574628142</v>
      </c>
      <c r="L11149" t="str">
        <f>T("7574623998")</f>
        <v>7574623998</v>
      </c>
    </row>
    <row r="11150" spans="1:12" x14ac:dyDescent="0.35">
      <c r="A11150" t="str">
        <f>T("UCT 1")</f>
        <v>UCT 1</v>
      </c>
      <c r="B11150" t="str">
        <f>T("1465 HEWITT DR")</f>
        <v>1465 HEWITT DR</v>
      </c>
      <c r="C11150" t="str">
        <f>T("BLDG 3811")</f>
        <v>BLDG 3811</v>
      </c>
      <c r="D11150" t="str">
        <f t="shared" si="4063"/>
        <v>VIRGINIA BCH</v>
      </c>
      <c r="E11150" t="str">
        <f t="shared" si="4064"/>
        <v>VA</v>
      </c>
      <c r="F11150" t="str">
        <f>T("234598519")</f>
        <v>234598519</v>
      </c>
      <c r="G11150" t="str">
        <f>T("1465 HEWITT DR")</f>
        <v>1465 HEWITT DR</v>
      </c>
      <c r="H11150" t="str">
        <f>T("BLDG 3811")</f>
        <v>BLDG 3811</v>
      </c>
      <c r="I11150" t="str">
        <f>T("VIRGINIA BCH")</f>
        <v>VIRGINIA BCH</v>
      </c>
      <c r="J11150" t="str">
        <f t="shared" si="4065"/>
        <v>VA</v>
      </c>
      <c r="K11150" t="str">
        <f>T("7574628142")</f>
        <v>7574628142</v>
      </c>
      <c r="L11150" t="str">
        <f>T("7574623998")</f>
        <v>7574623998</v>
      </c>
    </row>
    <row r="11151" spans="1:12" x14ac:dyDescent="0.35">
      <c r="A11151" t="str">
        <f>T("UCT 1")</f>
        <v>UCT 1</v>
      </c>
      <c r="B11151" t="str">
        <f>T("1465 HEWITT DR")</f>
        <v>1465 HEWITT DR</v>
      </c>
      <c r="C11151" t="str">
        <f>T("BLDG 3811")</f>
        <v>BLDG 3811</v>
      </c>
      <c r="D11151" t="str">
        <f t="shared" si="4063"/>
        <v>VIRGINIA BCH</v>
      </c>
      <c r="E11151" t="str">
        <f t="shared" si="4064"/>
        <v>VA</v>
      </c>
      <c r="F11151" t="str">
        <f>T("234598519")</f>
        <v>234598519</v>
      </c>
      <c r="G11151" t="str">
        <f>T("1465 HEWITT DR")</f>
        <v>1465 HEWITT DR</v>
      </c>
      <c r="H11151" t="str">
        <f>T("BLDG 3811")</f>
        <v>BLDG 3811</v>
      </c>
      <c r="I11151" t="str">
        <f>T("VIRGINIA BEACH")</f>
        <v>VIRGINIA BEACH</v>
      </c>
      <c r="J11151" t="str">
        <f t="shared" si="4065"/>
        <v>VA</v>
      </c>
      <c r="K11151" t="str">
        <f>T("7574628142")</f>
        <v>7574628142</v>
      </c>
      <c r="L11151" t="str">
        <f>T("7574623998")</f>
        <v>7574623998</v>
      </c>
    </row>
    <row r="11152" spans="1:12" x14ac:dyDescent="0.35">
      <c r="A11152" t="str">
        <f>T("NAVEXINTCOM")</f>
        <v>NAVEXINTCOM</v>
      </c>
      <c r="B11152" t="str">
        <f>T("2025 TARTAR AVE")</f>
        <v>2025 TARTAR AVE</v>
      </c>
      <c r="C11152" t="str">
        <f>T("STE 200")</f>
        <v>STE 200</v>
      </c>
      <c r="D11152" t="str">
        <f t="shared" si="4063"/>
        <v>VIRGINIA BCH</v>
      </c>
      <c r="E11152" t="str">
        <f t="shared" si="4064"/>
        <v>VA</v>
      </c>
      <c r="F11152" t="str">
        <f>T("234611996")</f>
        <v>234611996</v>
      </c>
      <c r="G11152" t="str">
        <f>T("2025 TARTAR AVE")</f>
        <v>2025 TARTAR AVE</v>
      </c>
      <c r="H11152" t="str">
        <f>T("STE 200")</f>
        <v>STE 200</v>
      </c>
      <c r="I11152" t="str">
        <f>T("VIRGINIA BCH")</f>
        <v>VIRGINIA BCH</v>
      </c>
      <c r="J11152" t="str">
        <f t="shared" si="4065"/>
        <v>VA</v>
      </c>
      <c r="K11152" t="str">
        <f>T("7574928481")</f>
        <v>7574928481</v>
      </c>
      <c r="L11152" t="str">
        <f>T("7574928480")</f>
        <v>7574928480</v>
      </c>
    </row>
    <row r="11153" spans="1:12" x14ac:dyDescent="0.35">
      <c r="A11153" t="str">
        <f>T("NAVEXINTCOM")</f>
        <v>NAVEXINTCOM</v>
      </c>
      <c r="B11153" t="str">
        <f>T("2025 TARTAR AVE")</f>
        <v>2025 TARTAR AVE</v>
      </c>
      <c r="C11153" t="str">
        <f>T("STE 200")</f>
        <v>STE 200</v>
      </c>
      <c r="D11153" t="str">
        <f t="shared" si="4063"/>
        <v>VIRGINIA BCH</v>
      </c>
      <c r="E11153" t="str">
        <f t="shared" si="4064"/>
        <v>VA</v>
      </c>
      <c r="F11153" t="str">
        <f>T("234611996")</f>
        <v>234611996</v>
      </c>
      <c r="G11153" t="str">
        <f>T("2025 TARTAR AVE")</f>
        <v>2025 TARTAR AVE</v>
      </c>
      <c r="H11153" t="str">
        <f>T("SUITE 200")</f>
        <v>SUITE 200</v>
      </c>
      <c r="I11153" t="str">
        <f>T("VIRGINIA BEACH")</f>
        <v>VIRGINIA BEACH</v>
      </c>
      <c r="J11153" t="str">
        <f t="shared" si="4065"/>
        <v>VA</v>
      </c>
      <c r="K11153" t="str">
        <f>T("000000000000000000")</f>
        <v>000000000000000000</v>
      </c>
      <c r="L11153" t="str">
        <f>T("7574925385")</f>
        <v>7574925385</v>
      </c>
    </row>
    <row r="11154" spans="1:12" x14ac:dyDescent="0.35">
      <c r="A11154" t="str">
        <f t="shared" ref="A11154:A11166" si="4066">T("USN/EODESU TWO")</f>
        <v>USN/EODESU TWO</v>
      </c>
      <c r="B11154" t="str">
        <f t="shared" ref="B11154:B11159" si="4067">T("2520 MIDWAY RD")</f>
        <v>2520 MIDWAY RD</v>
      </c>
      <c r="C11154" t="str">
        <f t="shared" ref="C11154:C11166" si="4068">T("SUITE 400")</f>
        <v>SUITE 400</v>
      </c>
      <c r="D11154" t="str">
        <f t="shared" si="4063"/>
        <v>VIRGINIA BCH</v>
      </c>
      <c r="E11154" t="str">
        <f t="shared" si="4064"/>
        <v>VA</v>
      </c>
      <c r="F11154" t="str">
        <f t="shared" ref="F11154:F11159" si="4069">T("234599302")</f>
        <v>234599302</v>
      </c>
      <c r="G11154" t="str">
        <f>T("2520 MIDWAY RD")</f>
        <v>2520 MIDWAY RD</v>
      </c>
      <c r="H11154" t="str">
        <f>T("")</f>
        <v/>
      </c>
      <c r="I11154" t="str">
        <f>T("VIRGINIA BEACH")</f>
        <v>VIRGINIA BEACH</v>
      </c>
      <c r="J11154" t="str">
        <f t="shared" si="4065"/>
        <v>VA</v>
      </c>
      <c r="K11154" t="str">
        <f>T("000000000000000000")</f>
        <v>000000000000000000</v>
      </c>
      <c r="L11154" t="str">
        <f>T("7574621717")</f>
        <v>7574621717</v>
      </c>
    </row>
    <row r="11155" spans="1:12" x14ac:dyDescent="0.35">
      <c r="A11155" t="str">
        <f t="shared" si="4066"/>
        <v>USN/EODESU TWO</v>
      </c>
      <c r="B11155" t="str">
        <f t="shared" si="4067"/>
        <v>2520 MIDWAY RD</v>
      </c>
      <c r="C11155" t="str">
        <f t="shared" si="4068"/>
        <v>SUITE 400</v>
      </c>
      <c r="D11155" t="str">
        <f t="shared" si="4063"/>
        <v>VIRGINIA BCH</v>
      </c>
      <c r="E11155" t="str">
        <f t="shared" si="4064"/>
        <v>VA</v>
      </c>
      <c r="F11155" t="str">
        <f t="shared" si="4069"/>
        <v>234599302</v>
      </c>
      <c r="G11155" t="str">
        <f>T("2520 MIDWAY RD")</f>
        <v>2520 MIDWAY RD</v>
      </c>
      <c r="H11155" t="str">
        <f>T("")</f>
        <v/>
      </c>
      <c r="I11155" t="str">
        <f>T("VIRGINIA BEACH")</f>
        <v>VIRGINIA BEACH</v>
      </c>
      <c r="J11155" t="str">
        <f t="shared" si="4065"/>
        <v>VA</v>
      </c>
      <c r="K11155" t="str">
        <f>T("000000000000000000")</f>
        <v>000000000000000000</v>
      </c>
      <c r="L11155" t="str">
        <f>T("7574621719")</f>
        <v>7574621719</v>
      </c>
    </row>
    <row r="11156" spans="1:12" x14ac:dyDescent="0.35">
      <c r="A11156" t="str">
        <f t="shared" si="4066"/>
        <v>USN/EODESU TWO</v>
      </c>
      <c r="B11156" t="str">
        <f t="shared" si="4067"/>
        <v>2520 MIDWAY RD</v>
      </c>
      <c r="C11156" t="str">
        <f t="shared" si="4068"/>
        <v>SUITE 400</v>
      </c>
      <c r="D11156" t="str">
        <f t="shared" si="4063"/>
        <v>VIRGINIA BCH</v>
      </c>
      <c r="E11156" t="str">
        <f t="shared" si="4064"/>
        <v>VA</v>
      </c>
      <c r="F11156" t="str">
        <f t="shared" si="4069"/>
        <v>234599302</v>
      </c>
      <c r="G11156" t="str">
        <f>T("2520 MIDWAY RD")</f>
        <v>2520 MIDWAY RD</v>
      </c>
      <c r="H11156" t="str">
        <f>T("STE 400")</f>
        <v>STE 400</v>
      </c>
      <c r="I11156" t="str">
        <f>T("VIRGINIA BEACH")</f>
        <v>VIRGINIA BEACH</v>
      </c>
      <c r="J11156" t="str">
        <f t="shared" si="4065"/>
        <v>VA</v>
      </c>
      <c r="K11156" t="str">
        <f>T("000000000000000000")</f>
        <v>000000000000000000</v>
      </c>
      <c r="L11156" t="str">
        <f>T("7574621719")</f>
        <v>7574621719</v>
      </c>
    </row>
    <row r="11157" spans="1:12" x14ac:dyDescent="0.35">
      <c r="A11157" t="str">
        <f t="shared" si="4066"/>
        <v>USN/EODESU TWO</v>
      </c>
      <c r="B11157" t="str">
        <f t="shared" si="4067"/>
        <v>2520 MIDWAY RD</v>
      </c>
      <c r="C11157" t="str">
        <f t="shared" si="4068"/>
        <v>SUITE 400</v>
      </c>
      <c r="D11157" t="str">
        <f t="shared" si="4063"/>
        <v>VIRGINIA BCH</v>
      </c>
      <c r="E11157" t="str">
        <f t="shared" si="4064"/>
        <v>VA</v>
      </c>
      <c r="F11157" t="str">
        <f t="shared" si="4069"/>
        <v>234599302</v>
      </c>
      <c r="G11157" t="str">
        <f>T("2520 MIDWAY RD")</f>
        <v>2520 MIDWAY RD</v>
      </c>
      <c r="H11157" t="str">
        <f>T("STE 400")</f>
        <v>STE 400</v>
      </c>
      <c r="I11157" t="str">
        <f>T("VIRGINIA BEACH")</f>
        <v>VIRGINIA BEACH</v>
      </c>
      <c r="J11157" t="str">
        <f t="shared" si="4065"/>
        <v>VA</v>
      </c>
      <c r="K11157" t="str">
        <f>T("000000000000000000")</f>
        <v>000000000000000000</v>
      </c>
      <c r="L11157" t="str">
        <f>T("7574628717")</f>
        <v>7574628717</v>
      </c>
    </row>
    <row r="11158" spans="1:12" x14ac:dyDescent="0.35">
      <c r="A11158" t="str">
        <f t="shared" si="4066"/>
        <v>USN/EODESU TWO</v>
      </c>
      <c r="B11158" t="str">
        <f t="shared" si="4067"/>
        <v>2520 MIDWAY RD</v>
      </c>
      <c r="C11158" t="str">
        <f t="shared" si="4068"/>
        <v>SUITE 400</v>
      </c>
      <c r="D11158" t="str">
        <f t="shared" si="4063"/>
        <v>VIRGINIA BCH</v>
      </c>
      <c r="E11158" t="str">
        <f t="shared" si="4064"/>
        <v>VA</v>
      </c>
      <c r="F11158" t="str">
        <f t="shared" si="4069"/>
        <v>234599302</v>
      </c>
      <c r="G11158" t="str">
        <f>T("2520 MIDWAY RD")</f>
        <v>2520 MIDWAY RD</v>
      </c>
      <c r="H11158" t="str">
        <f>T("SUITE 400")</f>
        <v>SUITE 400</v>
      </c>
      <c r="I11158" t="str">
        <f>T("VIRGINIA BCH")</f>
        <v>VIRGINIA BCH</v>
      </c>
      <c r="J11158" t="str">
        <f t="shared" si="4065"/>
        <v>VA</v>
      </c>
      <c r="K11158" t="str">
        <f>T("")</f>
        <v/>
      </c>
      <c r="L11158" t="str">
        <f>T("7574621719")</f>
        <v>7574621719</v>
      </c>
    </row>
    <row r="11159" spans="1:12" x14ac:dyDescent="0.35">
      <c r="A11159" t="str">
        <f t="shared" si="4066"/>
        <v>USN/EODESU TWO</v>
      </c>
      <c r="B11159" t="str">
        <f t="shared" si="4067"/>
        <v>2520 MIDWAY RD</v>
      </c>
      <c r="C11159" t="str">
        <f t="shared" si="4068"/>
        <v>SUITE 400</v>
      </c>
      <c r="D11159" t="str">
        <f t="shared" si="4063"/>
        <v>VIRGINIA BCH</v>
      </c>
      <c r="E11159" t="str">
        <f t="shared" si="4064"/>
        <v>VA</v>
      </c>
      <c r="F11159" t="str">
        <f t="shared" si="4069"/>
        <v>234599302</v>
      </c>
      <c r="G11159" t="str">
        <f>T("2520 MIDWAY ROAD")</f>
        <v>2520 MIDWAY ROAD</v>
      </c>
      <c r="H11159" t="str">
        <f>T("SUITE 400")</f>
        <v>SUITE 400</v>
      </c>
      <c r="I11159" t="str">
        <f>T("VIRGINIA BEACH")</f>
        <v>VIRGINIA BEACH</v>
      </c>
      <c r="J11159" t="str">
        <f t="shared" si="4065"/>
        <v>VA</v>
      </c>
      <c r="K11159" t="str">
        <f>T("000000000000000000")</f>
        <v>000000000000000000</v>
      </c>
      <c r="L11159" t="str">
        <f>T("7574621719")</f>
        <v>7574621719</v>
      </c>
    </row>
    <row r="11160" spans="1:12" x14ac:dyDescent="0.35">
      <c r="A11160" t="str">
        <f t="shared" si="4066"/>
        <v>USN/EODESU TWO</v>
      </c>
      <c r="B11160" t="str">
        <f t="shared" ref="B11160:B11166" si="4070">T("2520 MIDWAY ROAD")</f>
        <v>2520 MIDWAY ROAD</v>
      </c>
      <c r="C11160" t="str">
        <f t="shared" si="4068"/>
        <v>SUITE 400</v>
      </c>
      <c r="D11160" t="str">
        <f t="shared" si="4063"/>
        <v>VIRGINIA BCH</v>
      </c>
      <c r="E11160" t="str">
        <f t="shared" si="4064"/>
        <v>VA</v>
      </c>
      <c r="F11160" t="str">
        <f t="shared" ref="F11160:F11166" si="4071">T("234593324")</f>
        <v>234593324</v>
      </c>
      <c r="G11160" t="str">
        <f>T("2520 MIDWAY RD")</f>
        <v>2520 MIDWAY RD</v>
      </c>
      <c r="H11160" t="str">
        <f>T("")</f>
        <v/>
      </c>
      <c r="I11160" t="str">
        <f>T("VIRGINIA BEACH")</f>
        <v>VIRGINIA BEACH</v>
      </c>
      <c r="J11160" t="str">
        <f t="shared" si="4065"/>
        <v>VA</v>
      </c>
      <c r="K11160" t="str">
        <f>T("000000000000000000")</f>
        <v>000000000000000000</v>
      </c>
      <c r="L11160" t="str">
        <f>T("7574621719")</f>
        <v>7574621719</v>
      </c>
    </row>
    <row r="11161" spans="1:12" x14ac:dyDescent="0.35">
      <c r="A11161" t="str">
        <f t="shared" si="4066"/>
        <v>USN/EODESU TWO</v>
      </c>
      <c r="B11161" t="str">
        <f t="shared" si="4070"/>
        <v>2520 MIDWAY ROAD</v>
      </c>
      <c r="C11161" t="str">
        <f t="shared" si="4068"/>
        <v>SUITE 400</v>
      </c>
      <c r="D11161" t="str">
        <f t="shared" si="4063"/>
        <v>VIRGINIA BCH</v>
      </c>
      <c r="E11161" t="str">
        <f t="shared" si="4064"/>
        <v>VA</v>
      </c>
      <c r="F11161" t="str">
        <f t="shared" si="4071"/>
        <v>234593324</v>
      </c>
      <c r="G11161" t="str">
        <f>T("2520 MIDWAY ROAD")</f>
        <v>2520 MIDWAY ROAD</v>
      </c>
      <c r="H11161" t="str">
        <f>T("SUITE 400")</f>
        <v>SUITE 400</v>
      </c>
      <c r="I11161" t="str">
        <f>T("VIRGINIA BCH")</f>
        <v>VIRGINIA BCH</v>
      </c>
      <c r="J11161" t="str">
        <f t="shared" si="4065"/>
        <v>VA</v>
      </c>
      <c r="K11161" t="str">
        <f>T("")</f>
        <v/>
      </c>
      <c r="L11161" t="str">
        <f>T("1111111111")</f>
        <v>1111111111</v>
      </c>
    </row>
    <row r="11162" spans="1:12" x14ac:dyDescent="0.35">
      <c r="A11162" t="str">
        <f t="shared" si="4066"/>
        <v>USN/EODESU TWO</v>
      </c>
      <c r="B11162" t="str">
        <f t="shared" si="4070"/>
        <v>2520 MIDWAY ROAD</v>
      </c>
      <c r="C11162" t="str">
        <f t="shared" si="4068"/>
        <v>SUITE 400</v>
      </c>
      <c r="D11162" t="str">
        <f t="shared" si="4063"/>
        <v>VIRGINIA BCH</v>
      </c>
      <c r="E11162" t="str">
        <f t="shared" si="4064"/>
        <v>VA</v>
      </c>
      <c r="F11162" t="str">
        <f t="shared" si="4071"/>
        <v>234593324</v>
      </c>
      <c r="G11162" t="str">
        <f>T("2520 MIDWAY ROAD")</f>
        <v>2520 MIDWAY ROAD</v>
      </c>
      <c r="H11162" t="str">
        <f>T("SUITE 400")</f>
        <v>SUITE 400</v>
      </c>
      <c r="I11162" t="str">
        <f>T("VIRGINIA BCH")</f>
        <v>VIRGINIA BCH</v>
      </c>
      <c r="J11162" t="str">
        <f t="shared" si="4065"/>
        <v>VA</v>
      </c>
      <c r="K11162" t="str">
        <f>T("")</f>
        <v/>
      </c>
      <c r="L11162" t="str">
        <f>T("7574621719")</f>
        <v>7574621719</v>
      </c>
    </row>
    <row r="11163" spans="1:12" x14ac:dyDescent="0.35">
      <c r="A11163" t="str">
        <f t="shared" si="4066"/>
        <v>USN/EODESU TWO</v>
      </c>
      <c r="B11163" t="str">
        <f t="shared" si="4070"/>
        <v>2520 MIDWAY ROAD</v>
      </c>
      <c r="C11163" t="str">
        <f t="shared" si="4068"/>
        <v>SUITE 400</v>
      </c>
      <c r="D11163" t="str">
        <f t="shared" si="4063"/>
        <v>VIRGINIA BCH</v>
      </c>
      <c r="E11163" t="str">
        <f t="shared" si="4064"/>
        <v>VA</v>
      </c>
      <c r="F11163" t="str">
        <f t="shared" si="4071"/>
        <v>234593324</v>
      </c>
      <c r="G11163" t="str">
        <f>T("2520 MIDWAY ROAD")</f>
        <v>2520 MIDWAY ROAD</v>
      </c>
      <c r="H11163" t="str">
        <f>T("SUITE 400")</f>
        <v>SUITE 400</v>
      </c>
      <c r="I11163" t="str">
        <f>T("VIRGINIA BEACH")</f>
        <v>VIRGINIA BEACH</v>
      </c>
      <c r="J11163" t="str">
        <f t="shared" si="4065"/>
        <v>VA</v>
      </c>
      <c r="K11163" t="str">
        <f>T("000000000000000000")</f>
        <v>000000000000000000</v>
      </c>
      <c r="L11163" t="str">
        <f>T("7574621719")</f>
        <v>7574621719</v>
      </c>
    </row>
    <row r="11164" spans="1:12" x14ac:dyDescent="0.35">
      <c r="A11164" t="str">
        <f t="shared" si="4066"/>
        <v>USN/EODESU TWO</v>
      </c>
      <c r="B11164" t="str">
        <f t="shared" si="4070"/>
        <v>2520 MIDWAY ROAD</v>
      </c>
      <c r="C11164" t="str">
        <f t="shared" si="4068"/>
        <v>SUITE 400</v>
      </c>
      <c r="D11164" t="str">
        <f>T("VIRGINIA BEACH")</f>
        <v>VIRGINIA BEACH</v>
      </c>
      <c r="E11164" t="str">
        <f t="shared" si="4064"/>
        <v>VA</v>
      </c>
      <c r="F11164" t="str">
        <f t="shared" si="4071"/>
        <v>234593324</v>
      </c>
      <c r="G11164" t="str">
        <f>T("2520 MIDWAY RD")</f>
        <v>2520 MIDWAY RD</v>
      </c>
      <c r="H11164" t="str">
        <f>T("")</f>
        <v/>
      </c>
      <c r="I11164" t="str">
        <f>T("VIRGINIA BEACH")</f>
        <v>VIRGINIA BEACH</v>
      </c>
      <c r="J11164" t="str">
        <f t="shared" si="4065"/>
        <v>VA</v>
      </c>
      <c r="K11164" t="str">
        <f>T("000000000000000000")</f>
        <v>000000000000000000</v>
      </c>
      <c r="L11164" t="str">
        <f>T("7574621719")</f>
        <v>7574621719</v>
      </c>
    </row>
    <row r="11165" spans="1:12" x14ac:dyDescent="0.35">
      <c r="A11165" t="str">
        <f t="shared" si="4066"/>
        <v>USN/EODESU TWO</v>
      </c>
      <c r="B11165" t="str">
        <f t="shared" si="4070"/>
        <v>2520 MIDWAY ROAD</v>
      </c>
      <c r="C11165" t="str">
        <f t="shared" si="4068"/>
        <v>SUITE 400</v>
      </c>
      <c r="D11165" t="str">
        <f>T("VIRGINIA BEACH")</f>
        <v>VIRGINIA BEACH</v>
      </c>
      <c r="E11165" t="str">
        <f t="shared" si="4064"/>
        <v>VA</v>
      </c>
      <c r="F11165" t="str">
        <f t="shared" si="4071"/>
        <v>234593324</v>
      </c>
      <c r="G11165" t="str">
        <f>T("2520 MIDWAY ROAD")</f>
        <v>2520 MIDWAY ROAD</v>
      </c>
      <c r="H11165" t="str">
        <f>T("SUITE 400")</f>
        <v>SUITE 400</v>
      </c>
      <c r="I11165" t="str">
        <f>T("VIRGINIA BEACH")</f>
        <v>VIRGINIA BEACH</v>
      </c>
      <c r="J11165" t="str">
        <f t="shared" si="4065"/>
        <v>VA</v>
      </c>
      <c r="K11165" t="str">
        <f>T("")</f>
        <v/>
      </c>
      <c r="L11165" t="str">
        <f>T("7574621719")</f>
        <v>7574621719</v>
      </c>
    </row>
    <row r="11166" spans="1:12" x14ac:dyDescent="0.35">
      <c r="A11166" t="str">
        <f t="shared" si="4066"/>
        <v>USN/EODESU TWO</v>
      </c>
      <c r="B11166" t="str">
        <f t="shared" si="4070"/>
        <v>2520 MIDWAY ROAD</v>
      </c>
      <c r="C11166" t="str">
        <f t="shared" si="4068"/>
        <v>SUITE 400</v>
      </c>
      <c r="D11166" t="str">
        <f>T("VIRGINIA BEACH")</f>
        <v>VIRGINIA BEACH</v>
      </c>
      <c r="E11166" t="str">
        <f t="shared" si="4064"/>
        <v>VA</v>
      </c>
      <c r="F11166" t="str">
        <f t="shared" si="4071"/>
        <v>234593324</v>
      </c>
      <c r="G11166" t="str">
        <f>T("2520 MIDWAY ROAD")</f>
        <v>2520 MIDWAY ROAD</v>
      </c>
      <c r="H11166" t="str">
        <f>T("SUITE 400")</f>
        <v>SUITE 400</v>
      </c>
      <c r="I11166" t="str">
        <f>T("VIRGINIA BEACH")</f>
        <v>VIRGINIA BEACH</v>
      </c>
      <c r="J11166" t="str">
        <f t="shared" si="4065"/>
        <v>VA</v>
      </c>
      <c r="K11166" t="str">
        <f>T("000000000000000000")</f>
        <v>000000000000000000</v>
      </c>
      <c r="L11166" t="str">
        <f>T("7574621719")</f>
        <v>7574621719</v>
      </c>
    </row>
    <row r="11167" spans="1:12" x14ac:dyDescent="0.35">
      <c r="A11167" t="str">
        <f>T("EXPEDITIONARY COMBAT CAMERA")</f>
        <v>EXPEDITIONARY COMBAT CAMERA</v>
      </c>
      <c r="B11167" t="str">
        <f>T("9376 THIRD AVENUE")</f>
        <v>9376 THIRD AVENUE</v>
      </c>
      <c r="C11167" t="str">
        <f>T("SUITE 100")</f>
        <v>SUITE 100</v>
      </c>
      <c r="D11167" t="str">
        <f>T("NORFOLK")</f>
        <v>NORFOLK</v>
      </c>
      <c r="E11167" t="str">
        <f t="shared" si="4064"/>
        <v>VA</v>
      </c>
      <c r="F11167" t="str">
        <f>T("235112416")</f>
        <v>235112416</v>
      </c>
      <c r="G11167" t="str">
        <f>T("9376 3RD AVE STE 100")</f>
        <v>9376 3RD AVE STE 100</v>
      </c>
      <c r="H11167" t="str">
        <f>T("")</f>
        <v/>
      </c>
      <c r="I11167" t="str">
        <f>T("NORFOLK")</f>
        <v>NORFOLK</v>
      </c>
      <c r="J11167" t="str">
        <f t="shared" si="4065"/>
        <v>VA</v>
      </c>
      <c r="K11167" t="str">
        <f>T("000000000000000000")</f>
        <v>000000000000000000</v>
      </c>
      <c r="L11167" t="str">
        <f>T("7577548033")</f>
        <v>7577548033</v>
      </c>
    </row>
    <row r="11168" spans="1:12" x14ac:dyDescent="0.35">
      <c r="A11168" t="str">
        <f>T("EXPEDITIONARY COMBAT CAMERA")</f>
        <v>EXPEDITIONARY COMBAT CAMERA</v>
      </c>
      <c r="B11168" t="str">
        <f>T("9376 THIRD AVENUE")</f>
        <v>9376 THIRD AVENUE</v>
      </c>
      <c r="C11168" t="str">
        <f>T("SUITE 100")</f>
        <v>SUITE 100</v>
      </c>
      <c r="D11168" t="str">
        <f>T("NORFOLK")</f>
        <v>NORFOLK</v>
      </c>
      <c r="E11168" t="str">
        <f t="shared" si="4064"/>
        <v>VA</v>
      </c>
      <c r="F11168" t="str">
        <f>T("235112416")</f>
        <v>235112416</v>
      </c>
      <c r="G11168" t="str">
        <f>T("9376 THIRD AVENUE")</f>
        <v>9376 THIRD AVENUE</v>
      </c>
      <c r="H11168" t="str">
        <f>T("")</f>
        <v/>
      </c>
      <c r="I11168" t="str">
        <f>T("NORFOLK")</f>
        <v>NORFOLK</v>
      </c>
      <c r="J11168" t="str">
        <f t="shared" si="4065"/>
        <v>VA</v>
      </c>
      <c r="K11168" t="str">
        <f>T("000000000000000000")</f>
        <v>000000000000000000</v>
      </c>
      <c r="L11168" t="str">
        <f>T("7574442971")</f>
        <v>7574442971</v>
      </c>
    </row>
    <row r="11169" spans="1:12" x14ac:dyDescent="0.35">
      <c r="A11169" t="str">
        <f>T("EXPEDITIONARY COMBAT CAMERA")</f>
        <v>EXPEDITIONARY COMBAT CAMERA</v>
      </c>
      <c r="B11169" t="str">
        <f>T("9376 THIRD AVENUE")</f>
        <v>9376 THIRD AVENUE</v>
      </c>
      <c r="C11169" t="str">
        <f>T("SUITE 100")</f>
        <v>SUITE 100</v>
      </c>
      <c r="D11169" t="str">
        <f>T("NORFOLK")</f>
        <v>NORFOLK</v>
      </c>
      <c r="E11169" t="str">
        <f t="shared" si="4064"/>
        <v>VA</v>
      </c>
      <c r="F11169" t="str">
        <f>T("235112416")</f>
        <v>235112416</v>
      </c>
      <c r="G11169" t="str">
        <f>T("9376 THIRD AVENUE")</f>
        <v>9376 THIRD AVENUE</v>
      </c>
      <c r="H11169" t="str">
        <f>T("SUITE 100")</f>
        <v>SUITE 100</v>
      </c>
      <c r="I11169" t="str">
        <f>T("NORFOLK")</f>
        <v>NORFOLK</v>
      </c>
      <c r="J11169" t="str">
        <f t="shared" si="4065"/>
        <v>VA</v>
      </c>
      <c r="K11169" t="str">
        <f>T("")</f>
        <v/>
      </c>
      <c r="L11169" t="str">
        <f>T("7574442942")</f>
        <v>7574442942</v>
      </c>
    </row>
    <row r="11170" spans="1:12" x14ac:dyDescent="0.35">
      <c r="A11170" t="str">
        <f t="shared" ref="A11170:A11179" si="4072">T("COMNAVELSG")</f>
        <v>COMNAVELSG</v>
      </c>
      <c r="B11170" t="str">
        <f t="shared" ref="B11170:B11175" si="4073">T("593 MAYFIELD ST")</f>
        <v>593 MAYFIELD ST</v>
      </c>
      <c r="C11170" t="str">
        <f t="shared" ref="C11170:C11179" si="4074">T("")</f>
        <v/>
      </c>
      <c r="D11170" t="str">
        <f t="shared" ref="D11170:D11179" si="4075">T("WILLIAMSBURG")</f>
        <v>WILLIAMSBURG</v>
      </c>
      <c r="E11170" t="str">
        <f t="shared" si="4064"/>
        <v>VA</v>
      </c>
      <c r="F11170" t="str">
        <f t="shared" ref="F11170:F11179" si="4076">T("231855831")</f>
        <v>231855831</v>
      </c>
      <c r="G11170" t="str">
        <f>T("113 SANDA AVE BLDG 113")</f>
        <v>113 SANDA AVE BLDG 113</v>
      </c>
      <c r="H11170" t="str">
        <f>T("")</f>
        <v/>
      </c>
      <c r="I11170" t="str">
        <f>T("WILLIAMSBURG")</f>
        <v>WILLIAMSBURG</v>
      </c>
      <c r="J11170" t="str">
        <f t="shared" si="4065"/>
        <v>VA</v>
      </c>
      <c r="K11170" t="str">
        <f>T("000000000000000000")</f>
        <v>000000000000000000</v>
      </c>
      <c r="L11170" t="str">
        <f>T("7578477931")</f>
        <v>7578477931</v>
      </c>
    </row>
    <row r="11171" spans="1:12" x14ac:dyDescent="0.35">
      <c r="A11171" t="str">
        <f t="shared" si="4072"/>
        <v>COMNAVELSG</v>
      </c>
      <c r="B11171" t="str">
        <f t="shared" si="4073"/>
        <v>593 MAYFIELD ST</v>
      </c>
      <c r="C11171" t="str">
        <f t="shared" si="4074"/>
        <v/>
      </c>
      <c r="D11171" t="str">
        <f t="shared" si="4075"/>
        <v>WILLIAMSBURG</v>
      </c>
      <c r="E11171" t="str">
        <f t="shared" si="4064"/>
        <v>VA</v>
      </c>
      <c r="F11171" t="str">
        <f t="shared" si="4076"/>
        <v>231855831</v>
      </c>
      <c r="G11171" t="str">
        <f>T("593 MAYFIELD ST")</f>
        <v>593 MAYFIELD ST</v>
      </c>
      <c r="H11171" t="str">
        <f>T("")</f>
        <v/>
      </c>
      <c r="I11171" t="str">
        <f>T("WILLIAMSBURG")</f>
        <v>WILLIAMSBURG</v>
      </c>
      <c r="J11171" t="str">
        <f t="shared" si="4065"/>
        <v>VA</v>
      </c>
      <c r="K11171" t="str">
        <f>T("")</f>
        <v/>
      </c>
      <c r="L11171" t="str">
        <f>T("7572561353")</f>
        <v>7572561353</v>
      </c>
    </row>
    <row r="11172" spans="1:12" x14ac:dyDescent="0.35">
      <c r="A11172" t="str">
        <f t="shared" si="4072"/>
        <v>COMNAVELSG</v>
      </c>
      <c r="B11172" t="str">
        <f t="shared" si="4073"/>
        <v>593 MAYFIELD ST</v>
      </c>
      <c r="C11172" t="str">
        <f t="shared" si="4074"/>
        <v/>
      </c>
      <c r="D11172" t="str">
        <f t="shared" si="4075"/>
        <v>WILLIAMSBURG</v>
      </c>
      <c r="E11172" t="str">
        <f t="shared" si="4064"/>
        <v>VA</v>
      </c>
      <c r="F11172" t="str">
        <f t="shared" si="4076"/>
        <v>231855831</v>
      </c>
      <c r="G11172" t="str">
        <f>T("593 MAYFIELD ST")</f>
        <v>593 MAYFIELD ST</v>
      </c>
      <c r="H11172" t="str">
        <f>T("")</f>
        <v/>
      </c>
      <c r="I11172" t="str">
        <f>T("WILLIAMSBURG")</f>
        <v>WILLIAMSBURG</v>
      </c>
      <c r="J11172" t="str">
        <f t="shared" si="4065"/>
        <v>VA</v>
      </c>
      <c r="K11172" t="str">
        <f>T("")</f>
        <v/>
      </c>
      <c r="L11172" t="str">
        <f>T("7578774374")</f>
        <v>7578774374</v>
      </c>
    </row>
    <row r="11173" spans="1:12" x14ac:dyDescent="0.35">
      <c r="A11173" t="str">
        <f t="shared" si="4072"/>
        <v>COMNAVELSG</v>
      </c>
      <c r="B11173" t="str">
        <f t="shared" si="4073"/>
        <v>593 MAYFIELD ST</v>
      </c>
      <c r="C11173" t="str">
        <f t="shared" si="4074"/>
        <v/>
      </c>
      <c r="D11173" t="str">
        <f t="shared" si="4075"/>
        <v>WILLIAMSBURG</v>
      </c>
      <c r="E11173" t="str">
        <f t="shared" si="4064"/>
        <v>VA</v>
      </c>
      <c r="F11173" t="str">
        <f t="shared" si="4076"/>
        <v>231855831</v>
      </c>
      <c r="G11173" t="str">
        <f>T("593 MAYFIELD ST")</f>
        <v>593 MAYFIELD ST</v>
      </c>
      <c r="H11173" t="str">
        <f>T("")</f>
        <v/>
      </c>
      <c r="I11173" t="str">
        <f>T("WILLIAMSBURG")</f>
        <v>WILLIAMSBURG</v>
      </c>
      <c r="J11173" t="str">
        <f t="shared" si="4065"/>
        <v>VA</v>
      </c>
      <c r="K11173" t="str">
        <f>T("")</f>
        <v/>
      </c>
      <c r="L11173" t="str">
        <f>T("7578874374")</f>
        <v>7578874374</v>
      </c>
    </row>
    <row r="11174" spans="1:12" x14ac:dyDescent="0.35">
      <c r="A11174" t="str">
        <f t="shared" si="4072"/>
        <v>COMNAVELSG</v>
      </c>
      <c r="B11174" t="str">
        <f t="shared" si="4073"/>
        <v>593 MAYFIELD ST</v>
      </c>
      <c r="C11174" t="str">
        <f t="shared" si="4074"/>
        <v/>
      </c>
      <c r="D11174" t="str">
        <f t="shared" si="4075"/>
        <v>WILLIAMSBURG</v>
      </c>
      <c r="E11174" t="str">
        <f t="shared" si="4064"/>
        <v>VA</v>
      </c>
      <c r="F11174" t="str">
        <f t="shared" si="4076"/>
        <v>231855831</v>
      </c>
      <c r="G11174" t="str">
        <f>T("593 MAYFIELD ST")</f>
        <v>593 MAYFIELD ST</v>
      </c>
      <c r="H11174" t="str">
        <f>T("")</f>
        <v/>
      </c>
      <c r="I11174" t="str">
        <f>T("WILLIAMSBURG")</f>
        <v>WILLIAMSBURG</v>
      </c>
      <c r="J11174" t="str">
        <f t="shared" si="4065"/>
        <v>VA</v>
      </c>
      <c r="K11174" t="str">
        <f>T("000000000000000000")</f>
        <v>000000000000000000</v>
      </c>
      <c r="L11174" t="str">
        <f>T("7578874699")</f>
        <v>7578874699</v>
      </c>
    </row>
    <row r="11175" spans="1:12" x14ac:dyDescent="0.35">
      <c r="A11175" t="str">
        <f t="shared" si="4072"/>
        <v>COMNAVELSG</v>
      </c>
      <c r="B11175" t="str">
        <f t="shared" si="4073"/>
        <v>593 MAYFIELD ST</v>
      </c>
      <c r="C11175" t="str">
        <f t="shared" si="4074"/>
        <v/>
      </c>
      <c r="D11175" t="str">
        <f t="shared" si="4075"/>
        <v>WILLIAMSBURG</v>
      </c>
      <c r="E11175" t="str">
        <f t="shared" si="4064"/>
        <v>VA</v>
      </c>
      <c r="F11175" t="str">
        <f t="shared" si="4076"/>
        <v>231855831</v>
      </c>
      <c r="G11175" t="str">
        <f>T("5TH NAVY EXPEDITIONARY LOGISTICS RE")</f>
        <v>5TH NAVY EXPEDITIONARY LOGISTICS RE</v>
      </c>
      <c r="H11175" t="str">
        <f>T("526 LAGUNA RD, BLDG 632")</f>
        <v>526 LAGUNA RD, BLDG 632</v>
      </c>
      <c r="I11175" t="str">
        <f>T("POINT MUGU")</f>
        <v>POINT MUGU</v>
      </c>
      <c r="J11175" t="str">
        <f>T("CA")</f>
        <v>CA</v>
      </c>
      <c r="K11175" t="str">
        <f>T("000000000000000000")</f>
        <v>000000000000000000</v>
      </c>
      <c r="L11175" t="str">
        <f>T("8059895400")</f>
        <v>8059895400</v>
      </c>
    </row>
    <row r="11176" spans="1:12" x14ac:dyDescent="0.35">
      <c r="A11176" t="str">
        <f t="shared" si="4072"/>
        <v>COMNAVELSG</v>
      </c>
      <c r="B11176" t="str">
        <f>T("593 MAYFIELD STREET")</f>
        <v>593 MAYFIELD STREET</v>
      </c>
      <c r="C11176" t="str">
        <f t="shared" si="4074"/>
        <v/>
      </c>
      <c r="D11176" t="str">
        <f t="shared" si="4075"/>
        <v>WILLIAMSBURG</v>
      </c>
      <c r="E11176" t="str">
        <f t="shared" si="4064"/>
        <v>VA</v>
      </c>
      <c r="F11176" t="str">
        <f t="shared" si="4076"/>
        <v>231855831</v>
      </c>
      <c r="G11176" t="str">
        <f>T("593 MAYFIELD ST")</f>
        <v>593 MAYFIELD ST</v>
      </c>
      <c r="H11176" t="str">
        <f>T("")</f>
        <v/>
      </c>
      <c r="I11176" t="str">
        <f>T("WILLIAMSBURG")</f>
        <v>WILLIAMSBURG</v>
      </c>
      <c r="J11176" t="str">
        <f>T("VA")</f>
        <v>VA</v>
      </c>
      <c r="K11176" t="str">
        <f>T("000000000000000000")</f>
        <v>000000000000000000</v>
      </c>
      <c r="L11176" t="str">
        <f>T("7578874602")</f>
        <v>7578874602</v>
      </c>
    </row>
    <row r="11177" spans="1:12" x14ac:dyDescent="0.35">
      <c r="A11177" t="str">
        <f t="shared" si="4072"/>
        <v>COMNAVELSG</v>
      </c>
      <c r="B11177" t="str">
        <f>T("593 MAYFIELD STREET")</f>
        <v>593 MAYFIELD STREET</v>
      </c>
      <c r="C11177" t="str">
        <f t="shared" si="4074"/>
        <v/>
      </c>
      <c r="D11177" t="str">
        <f t="shared" si="4075"/>
        <v>WILLIAMSBURG</v>
      </c>
      <c r="E11177" t="str">
        <f t="shared" si="4064"/>
        <v>VA</v>
      </c>
      <c r="F11177" t="str">
        <f t="shared" si="4076"/>
        <v>231855831</v>
      </c>
      <c r="G11177" t="str">
        <f>T("593 MAYFIELD ST")</f>
        <v>593 MAYFIELD ST</v>
      </c>
      <c r="H11177" t="str">
        <f>T("")</f>
        <v/>
      </c>
      <c r="I11177" t="str">
        <f>T("WILLIAMSBURG")</f>
        <v>WILLIAMSBURG</v>
      </c>
      <c r="J11177" t="str">
        <f>T("VA")</f>
        <v>VA</v>
      </c>
      <c r="K11177" t="str">
        <f>T("000000000000000000")</f>
        <v>000000000000000000</v>
      </c>
      <c r="L11177" t="str">
        <f>T("7578874616")</f>
        <v>7578874616</v>
      </c>
    </row>
    <row r="11178" spans="1:12" x14ac:dyDescent="0.35">
      <c r="A11178" t="str">
        <f t="shared" si="4072"/>
        <v>COMNAVELSG</v>
      </c>
      <c r="B11178" t="str">
        <f>T("593 MAYFIELD STREET")</f>
        <v>593 MAYFIELD STREET</v>
      </c>
      <c r="C11178" t="str">
        <f t="shared" si="4074"/>
        <v/>
      </c>
      <c r="D11178" t="str">
        <f t="shared" si="4075"/>
        <v>WILLIAMSBURG</v>
      </c>
      <c r="E11178" t="str">
        <f t="shared" si="4064"/>
        <v>VA</v>
      </c>
      <c r="F11178" t="str">
        <f t="shared" si="4076"/>
        <v>231855831</v>
      </c>
      <c r="G11178" t="str">
        <f>T("593 MAYFIELD STREET")</f>
        <v>593 MAYFIELD STREET</v>
      </c>
      <c r="H11178" t="str">
        <f>T("")</f>
        <v/>
      </c>
      <c r="I11178" t="str">
        <f>T("WILLIAMSBURG")</f>
        <v>WILLIAMSBURG</v>
      </c>
      <c r="J11178" t="str">
        <f>T("VA")</f>
        <v>VA</v>
      </c>
      <c r="K11178" t="str">
        <f>T("7572561394")</f>
        <v>7572561394</v>
      </c>
      <c r="L11178" t="str">
        <f>T("7572561451")</f>
        <v>7572561451</v>
      </c>
    </row>
    <row r="11179" spans="1:12" x14ac:dyDescent="0.35">
      <c r="A11179" t="str">
        <f t="shared" si="4072"/>
        <v>COMNAVELSG</v>
      </c>
      <c r="B11179" t="str">
        <f>T("593 MAYFIELD STREET")</f>
        <v>593 MAYFIELD STREET</v>
      </c>
      <c r="C11179" t="str">
        <f t="shared" si="4074"/>
        <v/>
      </c>
      <c r="D11179" t="str">
        <f t="shared" si="4075"/>
        <v>WILLIAMSBURG</v>
      </c>
      <c r="E11179" t="str">
        <f t="shared" si="4064"/>
        <v>VA</v>
      </c>
      <c r="F11179" t="str">
        <f t="shared" si="4076"/>
        <v>231855831</v>
      </c>
      <c r="G11179" t="str">
        <f>T("9900 REEF RUN ROAD")</f>
        <v>9900 REEF RUN ROAD</v>
      </c>
      <c r="H11179" t="str">
        <f>T("")</f>
        <v/>
      </c>
      <c r="I11179" t="str">
        <f>T("JACKSONVILLE")</f>
        <v>JACKSONVILLE</v>
      </c>
      <c r="J11179" t="str">
        <f>T("FL")</f>
        <v>FL</v>
      </c>
      <c r="K11179" t="str">
        <f>T("000000000000000000")</f>
        <v>000000000000000000</v>
      </c>
      <c r="L11179" t="str">
        <f>T("9047514943")</f>
        <v>9047514943</v>
      </c>
    </row>
    <row r="11180" spans="1:12" x14ac:dyDescent="0.35">
      <c r="A11180" t="str">
        <f t="shared" ref="A11180:A11189" si="4077">T("22NCR")</f>
        <v>22NCR</v>
      </c>
      <c r="B11180" t="str">
        <f>T("5101 MARVIN SHIELDS BLVD")</f>
        <v>5101 MARVIN SHIELDS BLVD</v>
      </c>
      <c r="C11180" t="str">
        <f>T("BLDG 447B")</f>
        <v>BLDG 447B</v>
      </c>
      <c r="D11180" t="str">
        <f t="shared" ref="D11180:D11187" si="4078">T("GULFPORT")</f>
        <v>GULFPORT</v>
      </c>
      <c r="E11180" t="str">
        <f t="shared" ref="E11180:E11187" si="4079">T("MS")</f>
        <v>MS</v>
      </c>
      <c r="F11180" t="str">
        <f>T("395019000")</f>
        <v>395019000</v>
      </c>
      <c r="G11180" t="str">
        <f>T("22NCR")</f>
        <v>22NCR</v>
      </c>
      <c r="H11180" t="str">
        <f>T("5101 MARVIN SHIELDS BLVD BLDG 447")</f>
        <v>5101 MARVIN SHIELDS BLVD BLDG 447</v>
      </c>
      <c r="I11180" t="str">
        <f t="shared" ref="I11180:I11188" si="4080">T("GULFPORT")</f>
        <v>GULFPORT</v>
      </c>
      <c r="J11180" t="str">
        <f t="shared" ref="J11180:J11188" si="4081">T("MS")</f>
        <v>MS</v>
      </c>
      <c r="K11180" t="str">
        <f>T("000000000000000000")</f>
        <v>000000000000000000</v>
      </c>
      <c r="L11180" t="str">
        <f>T("2288714576")</f>
        <v>2288714576</v>
      </c>
    </row>
    <row r="11181" spans="1:12" x14ac:dyDescent="0.35">
      <c r="A11181" t="str">
        <f t="shared" si="4077"/>
        <v>22NCR</v>
      </c>
      <c r="B11181" t="str">
        <f>T("5101 MARVIN SHIELDS BLVD")</f>
        <v>5101 MARVIN SHIELDS BLVD</v>
      </c>
      <c r="C11181" t="str">
        <f>T("BLDG 447B")</f>
        <v>BLDG 447B</v>
      </c>
      <c r="D11181" t="str">
        <f t="shared" si="4078"/>
        <v>GULFPORT</v>
      </c>
      <c r="E11181" t="str">
        <f t="shared" si="4079"/>
        <v>MS</v>
      </c>
      <c r="F11181" t="str">
        <f>T("395019000")</f>
        <v>395019000</v>
      </c>
      <c r="G11181" t="str">
        <f>T("5101 MARVIN SHIELDS BLVD")</f>
        <v>5101 MARVIN SHIELDS BLVD</v>
      </c>
      <c r="H11181" t="str">
        <f>T("BLDG 447B")</f>
        <v>BLDG 447B</v>
      </c>
      <c r="I11181" t="str">
        <f t="shared" si="4080"/>
        <v>GULFPORT</v>
      </c>
      <c r="J11181" t="str">
        <f t="shared" si="4081"/>
        <v>MS</v>
      </c>
      <c r="K11181" t="str">
        <f>T("")</f>
        <v/>
      </c>
      <c r="L11181" t="str">
        <f>T("2288714594")</f>
        <v>2288714594</v>
      </c>
    </row>
    <row r="11182" spans="1:12" x14ac:dyDescent="0.35">
      <c r="A11182" t="str">
        <f t="shared" si="4077"/>
        <v>22NCR</v>
      </c>
      <c r="B11182" t="str">
        <f>T("5101 MARVIN SHIELDS BLVD")</f>
        <v>5101 MARVIN SHIELDS BLVD</v>
      </c>
      <c r="C11182" t="str">
        <f>T("BLG 447B ATT GCPC APC")</f>
        <v>BLG 447B ATT GCPC APC</v>
      </c>
      <c r="D11182" t="str">
        <f t="shared" si="4078"/>
        <v>GULFPORT</v>
      </c>
      <c r="E11182" t="str">
        <f t="shared" si="4079"/>
        <v>MS</v>
      </c>
      <c r="F11182" t="str">
        <f>T("395019000")</f>
        <v>395019000</v>
      </c>
      <c r="G11182" t="str">
        <f>T("5101 MARVIN SHIELDS BLVD")</f>
        <v>5101 MARVIN SHIELDS BLVD</v>
      </c>
      <c r="H11182" t="str">
        <f>T("BLG 447B ATT GCPC APC")</f>
        <v>BLG 447B ATT GCPC APC</v>
      </c>
      <c r="I11182" t="str">
        <f t="shared" si="4080"/>
        <v>GULFPORT</v>
      </c>
      <c r="J11182" t="str">
        <f t="shared" si="4081"/>
        <v>MS</v>
      </c>
      <c r="K11182" t="str">
        <f>T("228-822-5289")</f>
        <v>228-822-5289</v>
      </c>
      <c r="L11182" t="str">
        <f>T("2288714594")</f>
        <v>2288714594</v>
      </c>
    </row>
    <row r="11183" spans="1:12" x14ac:dyDescent="0.35">
      <c r="A11183" t="str">
        <f t="shared" si="4077"/>
        <v>22NCR</v>
      </c>
      <c r="B11183" t="str">
        <f>T("5301 BAINBRIDGE AVE")</f>
        <v>5301 BAINBRIDGE AVE</v>
      </c>
      <c r="C11183" t="str">
        <f>T("BOX 51")</f>
        <v>BOX 51</v>
      </c>
      <c r="D11183" t="str">
        <f t="shared" si="4078"/>
        <v>GULFPORT</v>
      </c>
      <c r="E11183" t="str">
        <f t="shared" si="4079"/>
        <v>MS</v>
      </c>
      <c r="F11183" t="str">
        <f>T("395020051")</f>
        <v>395020051</v>
      </c>
      <c r="G11183" t="str">
        <f>T("5301 BAINBRIDGE AVE")</f>
        <v>5301 BAINBRIDGE AVE</v>
      </c>
      <c r="H11183" t="str">
        <f>T("BOX 51")</f>
        <v>BOX 51</v>
      </c>
      <c r="I11183" t="str">
        <f t="shared" si="4080"/>
        <v>GULFPORT</v>
      </c>
      <c r="J11183" t="str">
        <f t="shared" si="4081"/>
        <v>MS</v>
      </c>
      <c r="K11183" t="str">
        <f>T("000000000000000000")</f>
        <v>000000000000000000</v>
      </c>
      <c r="L11183" t="str">
        <f>T("2288713233")</f>
        <v>2288713233</v>
      </c>
    </row>
    <row r="11184" spans="1:12" x14ac:dyDescent="0.35">
      <c r="A11184" t="str">
        <f t="shared" si="4077"/>
        <v>22NCR</v>
      </c>
      <c r="B11184" t="str">
        <f>T("5301 BAINBRIDGE AVE")</f>
        <v>5301 BAINBRIDGE AVE</v>
      </c>
      <c r="C11184" t="str">
        <f>T("BOX 51")</f>
        <v>BOX 51</v>
      </c>
      <c r="D11184" t="str">
        <f t="shared" si="4078"/>
        <v>GULFPORT</v>
      </c>
      <c r="E11184" t="str">
        <f t="shared" si="4079"/>
        <v>MS</v>
      </c>
      <c r="F11184" t="str">
        <f>T("395020051")</f>
        <v>395020051</v>
      </c>
      <c r="G11184" t="str">
        <f>T("5301 BAINBRIDGE AVE")</f>
        <v>5301 BAINBRIDGE AVE</v>
      </c>
      <c r="H11184" t="str">
        <f>T("BOX 51")</f>
        <v>BOX 51</v>
      </c>
      <c r="I11184" t="str">
        <f t="shared" si="4080"/>
        <v>GULFPORT</v>
      </c>
      <c r="J11184" t="str">
        <f t="shared" si="4081"/>
        <v>MS</v>
      </c>
      <c r="K11184" t="str">
        <f>T("000000000000000000")</f>
        <v>000000000000000000</v>
      </c>
      <c r="L11184" t="str">
        <f>T("2288714593")</f>
        <v>2288714593</v>
      </c>
    </row>
    <row r="11185" spans="1:12" x14ac:dyDescent="0.35">
      <c r="A11185" t="str">
        <f t="shared" si="4077"/>
        <v>22NCR</v>
      </c>
      <c r="B11185" t="str">
        <f>T("5301 MARVIN SHIELDS BLVD")</f>
        <v>5301 MARVIN SHIELDS BLVD</v>
      </c>
      <c r="C11185" t="str">
        <f>T("BLDG 447B")</f>
        <v>BLDG 447B</v>
      </c>
      <c r="D11185" t="str">
        <f t="shared" si="4078"/>
        <v>GULFPORT</v>
      </c>
      <c r="E11185" t="str">
        <f t="shared" si="4079"/>
        <v>MS</v>
      </c>
      <c r="F11185" t="str">
        <f>T("395010000")</f>
        <v>395010000</v>
      </c>
      <c r="G11185" t="str">
        <f>T("5101 MARVIN SHIELDS BLVD")</f>
        <v>5101 MARVIN SHIELDS BLVD</v>
      </c>
      <c r="H11185" t="str">
        <f>T("BLDG 447B")</f>
        <v>BLDG 447B</v>
      </c>
      <c r="I11185" t="str">
        <f t="shared" si="4080"/>
        <v>GULFPORT</v>
      </c>
      <c r="J11185" t="str">
        <f t="shared" si="4081"/>
        <v>MS</v>
      </c>
      <c r="K11185" t="str">
        <f>T("000000000000000000")</f>
        <v>000000000000000000</v>
      </c>
      <c r="L11185" t="str">
        <f>T("2288713427")</f>
        <v>2288713427</v>
      </c>
    </row>
    <row r="11186" spans="1:12" x14ac:dyDescent="0.35">
      <c r="A11186" t="str">
        <f t="shared" si="4077"/>
        <v>22NCR</v>
      </c>
      <c r="B11186" t="str">
        <f>T("5301 MARVIN SHIELDS BLVD")</f>
        <v>5301 MARVIN SHIELDS BLVD</v>
      </c>
      <c r="C11186" t="str">
        <f>T("BLDG 447B")</f>
        <v>BLDG 447B</v>
      </c>
      <c r="D11186" t="str">
        <f t="shared" si="4078"/>
        <v>GULFPORT</v>
      </c>
      <c r="E11186" t="str">
        <f t="shared" si="4079"/>
        <v>MS</v>
      </c>
      <c r="F11186" t="str">
        <f>T("395010000")</f>
        <v>395010000</v>
      </c>
      <c r="G11186" t="str">
        <f>T("5101 MARVIN SHIELDS BLVD")</f>
        <v>5101 MARVIN SHIELDS BLVD</v>
      </c>
      <c r="H11186" t="str">
        <f>T("BLDG 447B")</f>
        <v>BLDG 447B</v>
      </c>
      <c r="I11186" t="str">
        <f t="shared" si="4080"/>
        <v>GULFPORT</v>
      </c>
      <c r="J11186" t="str">
        <f t="shared" si="4081"/>
        <v>MS</v>
      </c>
      <c r="K11186" t="str">
        <f>T("000000000000000000")</f>
        <v>000000000000000000</v>
      </c>
      <c r="L11186" t="str">
        <f>T("2288714594")</f>
        <v>2288714594</v>
      </c>
    </row>
    <row r="11187" spans="1:12" x14ac:dyDescent="0.35">
      <c r="A11187" t="str">
        <f t="shared" si="4077"/>
        <v>22NCR</v>
      </c>
      <c r="B11187" t="str">
        <f>T("5301 MARVIN SHIELDS BLVD")</f>
        <v>5301 MARVIN SHIELDS BLVD</v>
      </c>
      <c r="C11187" t="str">
        <f>T("BLDG 447B")</f>
        <v>BLDG 447B</v>
      </c>
      <c r="D11187" t="str">
        <f t="shared" si="4078"/>
        <v>GULFPORT</v>
      </c>
      <c r="E11187" t="str">
        <f t="shared" si="4079"/>
        <v>MS</v>
      </c>
      <c r="F11187" t="str">
        <f>T("395010000")</f>
        <v>395010000</v>
      </c>
      <c r="G11187" t="str">
        <f>T("5301 MARVIN SHIELDS BLVD")</f>
        <v>5301 MARVIN SHIELDS BLVD</v>
      </c>
      <c r="H11187" t="str">
        <f>T("BLDG 447B")</f>
        <v>BLDG 447B</v>
      </c>
      <c r="I11187" t="str">
        <f t="shared" si="4080"/>
        <v>GULFPORT</v>
      </c>
      <c r="J11187" t="str">
        <f t="shared" si="4081"/>
        <v>MS</v>
      </c>
      <c r="K11187" t="str">
        <f>T("2288712062")</f>
        <v>2288712062</v>
      </c>
      <c r="L11187" t="str">
        <f>T("2288714252")</f>
        <v>2288714252</v>
      </c>
    </row>
    <row r="11188" spans="1:12" x14ac:dyDescent="0.35">
      <c r="A11188" t="str">
        <f t="shared" si="4077"/>
        <v>22NCR</v>
      </c>
      <c r="B11188" t="str">
        <f>T("SEABEE CAMP MITCHELL")</f>
        <v>SEABEE CAMP MITCHELL</v>
      </c>
      <c r="C11188" t="str">
        <f>T("PSC 819 BOX 38")</f>
        <v>PSC 819 BOX 38</v>
      </c>
      <c r="D11188" t="str">
        <f>T("FPO")</f>
        <v>FPO</v>
      </c>
      <c r="E11188" t="str">
        <f>T("AE")</f>
        <v>AE</v>
      </c>
      <c r="F11188" t="str">
        <f>T("096450001")</f>
        <v>096450001</v>
      </c>
      <c r="G11188" t="str">
        <f>T("22NCR")</f>
        <v>22NCR</v>
      </c>
      <c r="H11188" t="str">
        <f>T("5101 MARVIN SHIELDS BLVD BLDG 447")</f>
        <v>5101 MARVIN SHIELDS BLVD BLDG 447</v>
      </c>
      <c r="I11188" t="str">
        <f t="shared" si="4080"/>
        <v>GULFPORT</v>
      </c>
      <c r="J11188" t="str">
        <f t="shared" si="4081"/>
        <v>MS</v>
      </c>
      <c r="K11188" t="str">
        <f>T("000000000000000000")</f>
        <v>000000000000000000</v>
      </c>
      <c r="L11188" t="str">
        <f>T("2288714576")</f>
        <v>2288714576</v>
      </c>
    </row>
    <row r="11189" spans="1:12" x14ac:dyDescent="0.35">
      <c r="A11189" t="str">
        <f t="shared" si="4077"/>
        <v>22NCR</v>
      </c>
      <c r="B11189" t="str">
        <f>T("SEABEE CAMP MITCHELL")</f>
        <v>SEABEE CAMP MITCHELL</v>
      </c>
      <c r="C11189" t="str">
        <f>T("PSC 819 BOX 38")</f>
        <v>PSC 819 BOX 38</v>
      </c>
      <c r="D11189" t="str">
        <f>T("FPO")</f>
        <v>FPO</v>
      </c>
      <c r="E11189" t="str">
        <f>T("AE")</f>
        <v>AE</v>
      </c>
      <c r="F11189" t="str">
        <f>T("096450001")</f>
        <v>096450001</v>
      </c>
      <c r="G11189" t="str">
        <f>T("SEABEE CAMP MITCHELL")</f>
        <v>SEABEE CAMP MITCHELL</v>
      </c>
      <c r="H11189" t="str">
        <f>T("PSC 819 BOX 38")</f>
        <v>PSC 819 BOX 38</v>
      </c>
      <c r="I11189" t="str">
        <f>T("FPO")</f>
        <v>FPO</v>
      </c>
      <c r="J11189" t="str">
        <f>T("AE")</f>
        <v>AE</v>
      </c>
      <c r="K11189" t="str">
        <f>T("01134956824214")</f>
        <v>01134956824214</v>
      </c>
      <c r="L11189" t="str">
        <f>T("1111111111")</f>
        <v>1111111111</v>
      </c>
    </row>
    <row r="11190" spans="1:12" x14ac:dyDescent="0.35">
      <c r="A11190" t="str">
        <f>T("CBMU202")</f>
        <v>CBMU202</v>
      </c>
      <c r="B11190" t="str">
        <f>T("1375 5TH ST")</f>
        <v>1375 5TH ST</v>
      </c>
      <c r="C11190" t="str">
        <f>T("")</f>
        <v/>
      </c>
      <c r="D11190" t="str">
        <f>T("VIRGINIA BCH")</f>
        <v>VIRGINIA BCH</v>
      </c>
      <c r="E11190" t="str">
        <f>T("VA")</f>
        <v>VA</v>
      </c>
      <c r="F11190" t="str">
        <f>T("234598797")</f>
        <v>234598797</v>
      </c>
      <c r="G11190" t="str">
        <f>T("1375 5TH ST")</f>
        <v>1375 5TH ST</v>
      </c>
      <c r="H11190" t="str">
        <f>T("")</f>
        <v/>
      </c>
      <c r="I11190" t="str">
        <f>T("VIRGINIA BCH")</f>
        <v>VIRGINIA BCH</v>
      </c>
      <c r="J11190" t="str">
        <f>T("VA")</f>
        <v>VA</v>
      </c>
      <c r="K11190" t="str">
        <f>T("")</f>
        <v/>
      </c>
      <c r="L11190" t="str">
        <f>T("7573184921")</f>
        <v>7573184921</v>
      </c>
    </row>
    <row r="11191" spans="1:12" x14ac:dyDescent="0.35">
      <c r="A11191" t="str">
        <f>T("CBMU202")</f>
        <v>CBMU202</v>
      </c>
      <c r="B11191" t="str">
        <f>T("1375 5TH ST")</f>
        <v>1375 5TH ST</v>
      </c>
      <c r="C11191" t="str">
        <f>T("")</f>
        <v/>
      </c>
      <c r="D11191" t="str">
        <f>T("VIRGINIA BCH")</f>
        <v>VIRGINIA BCH</v>
      </c>
      <c r="E11191" t="str">
        <f>T("VA")</f>
        <v>VA</v>
      </c>
      <c r="F11191" t="str">
        <f>T("234598797")</f>
        <v>234598797</v>
      </c>
      <c r="G11191" t="str">
        <f>T("1375 5TH STREET")</f>
        <v>1375 5TH STREET</v>
      </c>
      <c r="H11191" t="str">
        <f>T("BLDG 3226")</f>
        <v>BLDG 3226</v>
      </c>
      <c r="I11191" t="str">
        <f>T("VIRGINIA BEACH")</f>
        <v>VIRGINIA BEACH</v>
      </c>
      <c r="J11191" t="str">
        <f>T("VA")</f>
        <v>VA</v>
      </c>
      <c r="K11191" t="str">
        <f>T("000000000000000000")</f>
        <v>000000000000000000</v>
      </c>
      <c r="L11191" t="str">
        <f>T("7573184921")</f>
        <v>7573184921</v>
      </c>
    </row>
    <row r="11192" spans="1:12" x14ac:dyDescent="0.35">
      <c r="A11192" t="str">
        <f>T("ZZ DELETE")</f>
        <v>ZZ DELETE</v>
      </c>
      <c r="B11192" t="str">
        <f>T("5301 BAINBRIDGE AVE")</f>
        <v>5301 BAINBRIDGE AVE</v>
      </c>
      <c r="C11192" t="str">
        <f>T("")</f>
        <v/>
      </c>
      <c r="D11192" t="str">
        <f>T("GULFPORT")</f>
        <v>GULFPORT</v>
      </c>
      <c r="E11192" t="str">
        <f>T("MS")</f>
        <v>MS</v>
      </c>
      <c r="F11192" t="str">
        <f>T("395019041")</f>
        <v>395019041</v>
      </c>
      <c r="G11192" t="str">
        <f>T("5301 BAINBRIDGE AVE")</f>
        <v>5301 BAINBRIDGE AVE</v>
      </c>
      <c r="H11192" t="str">
        <f>T("")</f>
        <v/>
      </c>
      <c r="I11192" t="str">
        <f>T("GULFPORT")</f>
        <v>GULFPORT</v>
      </c>
      <c r="J11192" t="str">
        <f>T("MS")</f>
        <v>MS</v>
      </c>
      <c r="K11192" t="str">
        <f>T("4018416441")</f>
        <v>4018416441</v>
      </c>
      <c r="L11192" t="str">
        <f>T("2288714899")</f>
        <v>2288714899</v>
      </c>
    </row>
    <row r="11193" spans="1:12" x14ac:dyDescent="0.35">
      <c r="A11193" t="str">
        <f>T("EXPDTNRY CMBT READINES CNTR")</f>
        <v>EXPDTNRY CMBT READINES CNTR</v>
      </c>
      <c r="B11193" t="str">
        <f>T("1683 GILBERT ST BLDG J50")</f>
        <v>1683 GILBERT ST BLDG J50</v>
      </c>
      <c r="C11193" t="str">
        <f>T("JEB LITTLE CREEK/FORT STORY")</f>
        <v>JEB LITTLE CREEK/FORT STORY</v>
      </c>
      <c r="D11193" t="str">
        <f>T("NORFOLK")</f>
        <v>NORFOLK</v>
      </c>
      <c r="E11193" t="str">
        <f>T("VA")</f>
        <v>VA</v>
      </c>
      <c r="F11193" t="str">
        <f>T("235110018")</f>
        <v>235110018</v>
      </c>
      <c r="G11193" t="str">
        <f>T("1683 GILBERT ST BLDG J50")</f>
        <v>1683 GILBERT ST BLDG J50</v>
      </c>
      <c r="H11193" t="str">
        <f>T("BLDG 3542")</f>
        <v>BLDG 3542</v>
      </c>
      <c r="I11193" t="str">
        <f>T("NORFOLK")</f>
        <v>NORFOLK</v>
      </c>
      <c r="J11193" t="str">
        <f>T("VA")</f>
        <v>VA</v>
      </c>
      <c r="K11193" t="str">
        <f>T("7574624744179")</f>
        <v>7574624744179</v>
      </c>
      <c r="L11193" t="str">
        <f>T("1111111111")</f>
        <v>1111111111</v>
      </c>
    </row>
    <row r="11194" spans="1:12" x14ac:dyDescent="0.35">
      <c r="A11194" t="str">
        <f>T("EXPDTNRY CMBT READINES CNTR")</f>
        <v>EXPDTNRY CMBT READINES CNTR</v>
      </c>
      <c r="B11194" t="str">
        <f>T("1683 GILBERT ST BLDG J50")</f>
        <v>1683 GILBERT ST BLDG J50</v>
      </c>
      <c r="C11194" t="str">
        <f>T("JEB LITTLE CREEK/FORT STORY")</f>
        <v>JEB LITTLE CREEK/FORT STORY</v>
      </c>
      <c r="D11194" t="str">
        <f>T("NORFOLK")</f>
        <v>NORFOLK</v>
      </c>
      <c r="E11194" t="str">
        <f>T("VA")</f>
        <v>VA</v>
      </c>
      <c r="F11194" t="str">
        <f>T("235110018")</f>
        <v>235110018</v>
      </c>
      <c r="G11194" t="str">
        <f>T("1683 GILBERT ST BLDG J50")</f>
        <v>1683 GILBERT ST BLDG J50</v>
      </c>
      <c r="H11194" t="str">
        <f>T("JEB LITTLE CREEK/FORT STORY")</f>
        <v>JEB LITTLE CREEK/FORT STORY</v>
      </c>
      <c r="I11194" t="str">
        <f>T("NORFOLK")</f>
        <v>NORFOLK</v>
      </c>
      <c r="J11194" t="str">
        <f>T("VA")</f>
        <v>VA</v>
      </c>
      <c r="K11194" t="str">
        <f>T("7574624744 153")</f>
        <v>7574624744 153</v>
      </c>
      <c r="L11194" t="str">
        <f>T("1111111111")</f>
        <v>1111111111</v>
      </c>
    </row>
    <row r="11195" spans="1:12" x14ac:dyDescent="0.35">
      <c r="A11195" t="str">
        <f>T("EXPDTNRY CMBT READINES CNTR")</f>
        <v>EXPDTNRY CMBT READINES CNTR</v>
      </c>
      <c r="B11195" t="str">
        <f>T("1683 GILBERT ST BLDG J50")</f>
        <v>1683 GILBERT ST BLDG J50</v>
      </c>
      <c r="C11195" t="str">
        <f>T("JEB LITTLE CREEK/FORT STORY")</f>
        <v>JEB LITTLE CREEK/FORT STORY</v>
      </c>
      <c r="D11195" t="str">
        <f>T("NORFOLK")</f>
        <v>NORFOLK</v>
      </c>
      <c r="E11195" t="str">
        <f>T("VA")</f>
        <v>VA</v>
      </c>
      <c r="F11195" t="str">
        <f>T("235110018")</f>
        <v>235110018</v>
      </c>
      <c r="G11195" t="str">
        <f>T("1683 GILBERT ST BLDG J50")</f>
        <v>1683 GILBERT ST BLDG J50</v>
      </c>
      <c r="H11195" t="str">
        <f>T("JEB LITTLE CREEK/FORT STORY")</f>
        <v>JEB LITTLE CREEK/FORT STORY</v>
      </c>
      <c r="I11195" t="str">
        <f>T("NORFOLK")</f>
        <v>NORFOLK</v>
      </c>
      <c r="J11195" t="str">
        <f>T("VA")</f>
        <v>VA</v>
      </c>
      <c r="K11195" t="str">
        <f>T("7574624813")</f>
        <v>7574624813</v>
      </c>
      <c r="L11195" t="str">
        <f>T("1111111111")</f>
        <v>1111111111</v>
      </c>
    </row>
    <row r="11196" spans="1:12" x14ac:dyDescent="0.35">
      <c r="A11196" t="str">
        <f>T("EXPDTNRY CMBT READINES CNTR")</f>
        <v>EXPDTNRY CMBT READINES CNTR</v>
      </c>
      <c r="B11196" t="str">
        <f>T("1683 GILBERT ST BLDG J50")</f>
        <v>1683 GILBERT ST BLDG J50</v>
      </c>
      <c r="C11196" t="str">
        <f>T("JEB LITTLE CREEK/FORT STORY")</f>
        <v>JEB LITTLE CREEK/FORT STORY</v>
      </c>
      <c r="D11196" t="str">
        <f>T("NORFOLK")</f>
        <v>NORFOLK</v>
      </c>
      <c r="E11196" t="str">
        <f>T("VA")</f>
        <v>VA</v>
      </c>
      <c r="F11196" t="str">
        <f>T("235110018")</f>
        <v>235110018</v>
      </c>
      <c r="G11196" t="str">
        <f>T("1683 GILBERT ST BLDG J50")</f>
        <v>1683 GILBERT ST BLDG J50</v>
      </c>
      <c r="H11196" t="str">
        <f>T("NAVAL STATION NORFOLK")</f>
        <v>NAVAL STATION NORFOLK</v>
      </c>
      <c r="I11196" t="str">
        <f>T("NORFOLK")</f>
        <v>NORFOLK</v>
      </c>
      <c r="J11196" t="str">
        <f>T("VA")</f>
        <v>VA</v>
      </c>
      <c r="K11196" t="str">
        <f>T("7574624813")</f>
        <v>7574624813</v>
      </c>
      <c r="L11196" t="str">
        <f>T("7574458781")</f>
        <v>7574458781</v>
      </c>
    </row>
    <row r="11197" spans="1:12" x14ac:dyDescent="0.35">
      <c r="A11197" t="str">
        <f t="shared" ref="A11197:A11214" si="4082">T("NCG 2")</f>
        <v>NCG 2</v>
      </c>
      <c r="B11197" t="str">
        <f t="shared" ref="B11197:B11203" si="4083">T("5101 MARVIN SHIELDS BLVD")</f>
        <v>5101 MARVIN SHIELDS BLVD</v>
      </c>
      <c r="C11197" t="str">
        <f t="shared" ref="C11197:C11203" si="4084">T("BLDG 447B CODE N41")</f>
        <v>BLDG 447B CODE N41</v>
      </c>
      <c r="D11197" t="str">
        <f t="shared" ref="D11197:D11210" si="4085">T("GULFPORT")</f>
        <v>GULFPORT</v>
      </c>
      <c r="E11197" t="str">
        <f t="shared" ref="E11197:E11210" si="4086">T("MS")</f>
        <v>MS</v>
      </c>
      <c r="F11197" t="str">
        <f t="shared" ref="F11197:F11203" si="4087">T("395019000")</f>
        <v>395019000</v>
      </c>
      <c r="G11197" t="str">
        <f>T("4902 MARVIN SHIELDS BLVD")</f>
        <v>4902 MARVIN SHIELDS BLVD</v>
      </c>
      <c r="H11197" t="str">
        <f>T("BLDG 225A ATTN R JAY CURRY")</f>
        <v>BLDG 225A ATTN R JAY CURRY</v>
      </c>
      <c r="I11197" t="str">
        <f t="shared" ref="I11197:I11212" si="4088">T("GULFPORT")</f>
        <v>GULFPORT</v>
      </c>
      <c r="J11197" t="str">
        <f t="shared" ref="J11197:J11212" si="4089">T("MS")</f>
        <v>MS</v>
      </c>
      <c r="K11197" t="str">
        <f>T("000000000000000000")</f>
        <v>000000000000000000</v>
      </c>
      <c r="L11197" t="str">
        <f>T("2288225272")</f>
        <v>2288225272</v>
      </c>
    </row>
    <row r="11198" spans="1:12" x14ac:dyDescent="0.35">
      <c r="A11198" t="str">
        <f t="shared" si="4082"/>
        <v>NCG 2</v>
      </c>
      <c r="B11198" t="str">
        <f t="shared" si="4083"/>
        <v>5101 MARVIN SHIELDS BLVD</v>
      </c>
      <c r="C11198" t="str">
        <f t="shared" si="4084"/>
        <v>BLDG 447B CODE N41</v>
      </c>
      <c r="D11198" t="str">
        <f t="shared" si="4085"/>
        <v>GULFPORT</v>
      </c>
      <c r="E11198" t="str">
        <f t="shared" si="4086"/>
        <v>MS</v>
      </c>
      <c r="F11198" t="str">
        <f t="shared" si="4087"/>
        <v>395019000</v>
      </c>
      <c r="G11198" t="str">
        <f>T("5101 MARVIN SHIELDS BLVD")</f>
        <v>5101 MARVIN SHIELDS BLVD</v>
      </c>
      <c r="H11198" t="str">
        <f>T("BLDG 447 ATTN GCPC JAY CURRY")</f>
        <v>BLDG 447 ATTN GCPC JAY CURRY</v>
      </c>
      <c r="I11198" t="str">
        <f t="shared" si="4088"/>
        <v>GULFPORT</v>
      </c>
      <c r="J11198" t="str">
        <f t="shared" si="4089"/>
        <v>MS</v>
      </c>
      <c r="K11198" t="str">
        <f>T("000000000000000000")</f>
        <v>000000000000000000</v>
      </c>
      <c r="L11198" t="str">
        <f>T("2288714594")</f>
        <v>2288714594</v>
      </c>
    </row>
    <row r="11199" spans="1:12" x14ac:dyDescent="0.35">
      <c r="A11199" t="str">
        <f t="shared" si="4082"/>
        <v>NCG 2</v>
      </c>
      <c r="B11199" t="str">
        <f t="shared" si="4083"/>
        <v>5101 MARVIN SHIELDS BLVD</v>
      </c>
      <c r="C11199" t="str">
        <f t="shared" si="4084"/>
        <v>BLDG 447B CODE N41</v>
      </c>
      <c r="D11199" t="str">
        <f t="shared" si="4085"/>
        <v>GULFPORT</v>
      </c>
      <c r="E11199" t="str">
        <f t="shared" si="4086"/>
        <v>MS</v>
      </c>
      <c r="F11199" t="str">
        <f t="shared" si="4087"/>
        <v>395019000</v>
      </c>
      <c r="G11199" t="str">
        <f>T("5101 MARVIN SHIELDS BLVD")</f>
        <v>5101 MARVIN SHIELDS BLVD</v>
      </c>
      <c r="H11199" t="str">
        <f>T("BLDG 447B")</f>
        <v>BLDG 447B</v>
      </c>
      <c r="I11199" t="str">
        <f t="shared" si="4088"/>
        <v>GULFPORT</v>
      </c>
      <c r="J11199" t="str">
        <f t="shared" si="4089"/>
        <v>MS</v>
      </c>
      <c r="K11199" t="str">
        <f>T("000000000000000000")</f>
        <v>000000000000000000</v>
      </c>
      <c r="L11199" t="str">
        <f>T("2288714594")</f>
        <v>2288714594</v>
      </c>
    </row>
    <row r="11200" spans="1:12" x14ac:dyDescent="0.35">
      <c r="A11200" t="str">
        <f t="shared" si="4082"/>
        <v>NCG 2</v>
      </c>
      <c r="B11200" t="str">
        <f t="shared" si="4083"/>
        <v>5101 MARVIN SHIELDS BLVD</v>
      </c>
      <c r="C11200" t="str">
        <f t="shared" si="4084"/>
        <v>BLDG 447B CODE N41</v>
      </c>
      <c r="D11200" t="str">
        <f t="shared" si="4085"/>
        <v>GULFPORT</v>
      </c>
      <c r="E11200" t="str">
        <f t="shared" si="4086"/>
        <v>MS</v>
      </c>
      <c r="F11200" t="str">
        <f t="shared" si="4087"/>
        <v>395019000</v>
      </c>
      <c r="G11200" t="str">
        <f>T("5101 MARVIN SHIELDS BLVD")</f>
        <v>5101 MARVIN SHIELDS BLVD</v>
      </c>
      <c r="H11200" t="str">
        <f>T("BLDG 447B CODE N41")</f>
        <v>BLDG 447B CODE N41</v>
      </c>
      <c r="I11200" t="str">
        <f t="shared" si="4088"/>
        <v>GULFPORT</v>
      </c>
      <c r="J11200" t="str">
        <f t="shared" si="4089"/>
        <v>MS</v>
      </c>
      <c r="K11200" t="str">
        <f>T("")</f>
        <v/>
      </c>
      <c r="L11200" t="str">
        <f>T("2288714715")</f>
        <v>2288714715</v>
      </c>
    </row>
    <row r="11201" spans="1:12" x14ac:dyDescent="0.35">
      <c r="A11201" t="str">
        <f t="shared" si="4082"/>
        <v>NCG 2</v>
      </c>
      <c r="B11201" t="str">
        <f t="shared" si="4083"/>
        <v>5101 MARVIN SHIELDS BLVD</v>
      </c>
      <c r="C11201" t="str">
        <f t="shared" si="4084"/>
        <v>BLDG 447B CODE N41</v>
      </c>
      <c r="D11201" t="str">
        <f t="shared" si="4085"/>
        <v>GULFPORT</v>
      </c>
      <c r="E11201" t="str">
        <f t="shared" si="4086"/>
        <v>MS</v>
      </c>
      <c r="F11201" t="str">
        <f t="shared" si="4087"/>
        <v>395019000</v>
      </c>
      <c r="G11201" t="str">
        <f>T("5301 MARVIN SHIELDS BLVD")</f>
        <v>5301 MARVIN SHIELDS BLVD</v>
      </c>
      <c r="H11201" t="str">
        <f>T("BLDG 225A")</f>
        <v>BLDG 225A</v>
      </c>
      <c r="I11201" t="str">
        <f t="shared" si="4088"/>
        <v>GULFPORT</v>
      </c>
      <c r="J11201" t="str">
        <f t="shared" si="4089"/>
        <v>MS</v>
      </c>
      <c r="K11201" t="str">
        <f>T("000000000000000000")</f>
        <v>000000000000000000</v>
      </c>
      <c r="L11201" t="str">
        <f>T("2288712501")</f>
        <v>2288712501</v>
      </c>
    </row>
    <row r="11202" spans="1:12" x14ac:dyDescent="0.35">
      <c r="A11202" t="str">
        <f t="shared" si="4082"/>
        <v>NCG 2</v>
      </c>
      <c r="B11202" t="str">
        <f t="shared" si="4083"/>
        <v>5101 MARVIN SHIELDS BLVD</v>
      </c>
      <c r="C11202" t="str">
        <f t="shared" si="4084"/>
        <v>BLDG 447B CODE N41</v>
      </c>
      <c r="D11202" t="str">
        <f t="shared" si="4085"/>
        <v>GULFPORT</v>
      </c>
      <c r="E11202" t="str">
        <f t="shared" si="4086"/>
        <v>MS</v>
      </c>
      <c r="F11202" t="str">
        <f t="shared" si="4087"/>
        <v>395019000</v>
      </c>
      <c r="G11202" t="str">
        <f>T("5301 MARVIN SHIELDS BLVD")</f>
        <v>5301 MARVIN SHIELDS BLVD</v>
      </c>
      <c r="H11202" t="str">
        <f>T("BLDG 447B ATTN R JAY CURRY")</f>
        <v>BLDG 447B ATTN R JAY CURRY</v>
      </c>
      <c r="I11202" t="str">
        <f t="shared" si="4088"/>
        <v>GULFPORT</v>
      </c>
      <c r="J11202" t="str">
        <f t="shared" si="4089"/>
        <v>MS</v>
      </c>
      <c r="K11202" t="str">
        <f>T("000000000000000000")</f>
        <v>000000000000000000</v>
      </c>
      <c r="L11202" t="str">
        <f>T("2288712612")</f>
        <v>2288712612</v>
      </c>
    </row>
    <row r="11203" spans="1:12" x14ac:dyDescent="0.35">
      <c r="A11203" t="str">
        <f t="shared" si="4082"/>
        <v>NCG 2</v>
      </c>
      <c r="B11203" t="str">
        <f t="shared" si="4083"/>
        <v>5101 MARVIN SHIELDS BLVD</v>
      </c>
      <c r="C11203" t="str">
        <f t="shared" si="4084"/>
        <v>BLDG 447B CODE N41</v>
      </c>
      <c r="D11203" t="str">
        <f t="shared" si="4085"/>
        <v>GULFPORT</v>
      </c>
      <c r="E11203" t="str">
        <f t="shared" si="4086"/>
        <v>MS</v>
      </c>
      <c r="F11203" t="str">
        <f t="shared" si="4087"/>
        <v>395019000</v>
      </c>
      <c r="G11203" t="str">
        <f>T("5301 MARVIN SHIELDS BLVD")</f>
        <v>5301 MARVIN SHIELDS BLVD</v>
      </c>
      <c r="H11203" t="str">
        <f>T("BLDG 447B ATTN R JAY CURRY")</f>
        <v>BLDG 447B ATTN R JAY CURRY</v>
      </c>
      <c r="I11203" t="str">
        <f t="shared" si="4088"/>
        <v>GULFPORT</v>
      </c>
      <c r="J11203" t="str">
        <f t="shared" si="4089"/>
        <v>MS</v>
      </c>
      <c r="K11203" t="str">
        <f>T("000000000000000000")</f>
        <v>000000000000000000</v>
      </c>
      <c r="L11203" t="str">
        <f>T("2288714594")</f>
        <v>2288714594</v>
      </c>
    </row>
    <row r="11204" spans="1:12" x14ac:dyDescent="0.35">
      <c r="A11204" t="str">
        <f t="shared" si="4082"/>
        <v>NCG 2</v>
      </c>
      <c r="B11204" t="str">
        <f>T("5301 BAINBRIDGE AVE")</f>
        <v>5301 BAINBRIDGE AVE</v>
      </c>
      <c r="C11204" t="str">
        <f>T("BOX 61")</f>
        <v>BOX 61</v>
      </c>
      <c r="D11204" t="str">
        <f t="shared" si="4085"/>
        <v>GULFPORT</v>
      </c>
      <c r="E11204" t="str">
        <f t="shared" si="4086"/>
        <v>MS</v>
      </c>
      <c r="F11204" t="str">
        <f t="shared" ref="F11204:F11210" si="4090">T("395010000")</f>
        <v>395010000</v>
      </c>
      <c r="G11204" t="str">
        <f>T("5101 MARVIN SHIELDS BLVD")</f>
        <v>5101 MARVIN SHIELDS BLVD</v>
      </c>
      <c r="H11204" t="str">
        <f>T("BLDG 447B ATTN R JAY CURRY")</f>
        <v>BLDG 447B ATTN R JAY CURRY</v>
      </c>
      <c r="I11204" t="str">
        <f t="shared" si="4088"/>
        <v>GULFPORT</v>
      </c>
      <c r="J11204" t="str">
        <f t="shared" si="4089"/>
        <v>MS</v>
      </c>
      <c r="K11204" t="str">
        <f>T("000000000000000000")</f>
        <v>000000000000000000</v>
      </c>
      <c r="L11204" t="str">
        <f>T("2288714594")</f>
        <v>2288714594</v>
      </c>
    </row>
    <row r="11205" spans="1:12" x14ac:dyDescent="0.35">
      <c r="A11205" t="str">
        <f t="shared" si="4082"/>
        <v>NCG 2</v>
      </c>
      <c r="B11205" t="str">
        <f>T("5301 BAINBRIDGE AVE")</f>
        <v>5301 BAINBRIDGE AVE</v>
      </c>
      <c r="C11205" t="str">
        <f>T("BOX 61")</f>
        <v>BOX 61</v>
      </c>
      <c r="D11205" t="str">
        <f t="shared" si="4085"/>
        <v>GULFPORT</v>
      </c>
      <c r="E11205" t="str">
        <f t="shared" si="4086"/>
        <v>MS</v>
      </c>
      <c r="F11205" t="str">
        <f t="shared" si="4090"/>
        <v>395010000</v>
      </c>
      <c r="G11205" t="str">
        <f>T("5301 BAINBRIDGE AVE")</f>
        <v>5301 BAINBRIDGE AVE</v>
      </c>
      <c r="H11205" t="str">
        <f>T("BOX 61")</f>
        <v>BOX 61</v>
      </c>
      <c r="I11205" t="str">
        <f t="shared" si="4088"/>
        <v>GULFPORT</v>
      </c>
      <c r="J11205" t="str">
        <f t="shared" si="4089"/>
        <v>MS</v>
      </c>
      <c r="K11205" t="str">
        <f>T("")</f>
        <v/>
      </c>
      <c r="L11205" t="str">
        <f>T("2288712478")</f>
        <v>2288712478</v>
      </c>
    </row>
    <row r="11206" spans="1:12" x14ac:dyDescent="0.35">
      <c r="A11206" t="str">
        <f t="shared" si="4082"/>
        <v>NCG 2</v>
      </c>
      <c r="B11206" t="str">
        <f>T("5301 BAINBRIDGE AVE")</f>
        <v>5301 BAINBRIDGE AVE</v>
      </c>
      <c r="C11206" t="str">
        <f>T("BOX 61")</f>
        <v>BOX 61</v>
      </c>
      <c r="D11206" t="str">
        <f t="shared" si="4085"/>
        <v>GULFPORT</v>
      </c>
      <c r="E11206" t="str">
        <f t="shared" si="4086"/>
        <v>MS</v>
      </c>
      <c r="F11206" t="str">
        <f t="shared" si="4090"/>
        <v>395010000</v>
      </c>
      <c r="G11206" t="str">
        <f>T("5301 BAINBRIDGE AVE")</f>
        <v>5301 BAINBRIDGE AVE</v>
      </c>
      <c r="H11206" t="str">
        <f>T("BOX 61")</f>
        <v>BOX 61</v>
      </c>
      <c r="I11206" t="str">
        <f t="shared" si="4088"/>
        <v>GULFPORT</v>
      </c>
      <c r="J11206" t="str">
        <f t="shared" si="4089"/>
        <v>MS</v>
      </c>
      <c r="K11206" t="str">
        <f>T("000000000000000000")</f>
        <v>000000000000000000</v>
      </c>
      <c r="L11206" t="str">
        <f>T("2288712902")</f>
        <v>2288712902</v>
      </c>
    </row>
    <row r="11207" spans="1:12" x14ac:dyDescent="0.35">
      <c r="A11207" t="str">
        <f t="shared" si="4082"/>
        <v>NCG 2</v>
      </c>
      <c r="B11207" t="str">
        <f>T("5301 MARVIN SHIELDS BLVD")</f>
        <v>5301 MARVIN SHIELDS BLVD</v>
      </c>
      <c r="C11207" t="str">
        <f>T("BOX 58 NMCB-133")</f>
        <v>BOX 58 NMCB-133</v>
      </c>
      <c r="D11207" t="str">
        <f t="shared" si="4085"/>
        <v>GULFPORT</v>
      </c>
      <c r="E11207" t="str">
        <f t="shared" si="4086"/>
        <v>MS</v>
      </c>
      <c r="F11207" t="str">
        <f t="shared" si="4090"/>
        <v>395010000</v>
      </c>
      <c r="G11207" t="str">
        <f>T("5101 MARVIN SHIELDS BLVD")</f>
        <v>5101 MARVIN SHIELDS BLVD</v>
      </c>
      <c r="H11207" t="str">
        <f>T("BLDG 447B")</f>
        <v>BLDG 447B</v>
      </c>
      <c r="I11207" t="str">
        <f t="shared" si="4088"/>
        <v>GULFPORT</v>
      </c>
      <c r="J11207" t="str">
        <f t="shared" si="4089"/>
        <v>MS</v>
      </c>
      <c r="K11207" t="str">
        <f>T("000000000000000000")</f>
        <v>000000000000000000</v>
      </c>
      <c r="L11207" t="str">
        <f>T("2288714594")</f>
        <v>2288714594</v>
      </c>
    </row>
    <row r="11208" spans="1:12" x14ac:dyDescent="0.35">
      <c r="A11208" t="str">
        <f t="shared" si="4082"/>
        <v>NCG 2</v>
      </c>
      <c r="B11208" t="str">
        <f>T("5301 MARVIN SHIELDS BLVD")</f>
        <v>5301 MARVIN SHIELDS BLVD</v>
      </c>
      <c r="C11208" t="str">
        <f>T("BOX 58 NMCB-133")</f>
        <v>BOX 58 NMCB-133</v>
      </c>
      <c r="D11208" t="str">
        <f t="shared" si="4085"/>
        <v>GULFPORT</v>
      </c>
      <c r="E11208" t="str">
        <f t="shared" si="4086"/>
        <v>MS</v>
      </c>
      <c r="F11208" t="str">
        <f t="shared" si="4090"/>
        <v>395010000</v>
      </c>
      <c r="G11208" t="str">
        <f>T("5101 MARVIN SHIELDS BLVD")</f>
        <v>5101 MARVIN SHIELDS BLVD</v>
      </c>
      <c r="H11208" t="str">
        <f>T("BLDG 447B NMCB-133 ATTN JAY CURRY")</f>
        <v>BLDG 447B NMCB-133 ATTN JAY CURRY</v>
      </c>
      <c r="I11208" t="str">
        <f t="shared" si="4088"/>
        <v>GULFPORT</v>
      </c>
      <c r="J11208" t="str">
        <f t="shared" si="4089"/>
        <v>MS</v>
      </c>
      <c r="K11208" t="str">
        <f>T("000000000000000000")</f>
        <v>000000000000000000</v>
      </c>
      <c r="L11208" t="str">
        <f>T("2288714594")</f>
        <v>2288714594</v>
      </c>
    </row>
    <row r="11209" spans="1:12" x14ac:dyDescent="0.35">
      <c r="A11209" t="str">
        <f t="shared" si="4082"/>
        <v>NCG 2</v>
      </c>
      <c r="B11209" t="str">
        <f>T("5301 MARVIN SHIELDS BLVD")</f>
        <v>5301 MARVIN SHIELDS BLVD</v>
      </c>
      <c r="C11209" t="str">
        <f>T("BOX 58 NMCB-133")</f>
        <v>BOX 58 NMCB-133</v>
      </c>
      <c r="D11209" t="str">
        <f t="shared" si="4085"/>
        <v>GULFPORT</v>
      </c>
      <c r="E11209" t="str">
        <f t="shared" si="4086"/>
        <v>MS</v>
      </c>
      <c r="F11209" t="str">
        <f t="shared" si="4090"/>
        <v>395010000</v>
      </c>
      <c r="G11209" t="str">
        <f>T("5301 MARVIN SHIELDS BLVD")</f>
        <v>5301 MARVIN SHIELDS BLVD</v>
      </c>
      <c r="H11209" t="str">
        <f>T("BOX 58 NMCB-133")</f>
        <v>BOX 58 NMCB-133</v>
      </c>
      <c r="I11209" t="str">
        <f t="shared" si="4088"/>
        <v>GULFPORT</v>
      </c>
      <c r="J11209" t="str">
        <f t="shared" si="4089"/>
        <v>MS</v>
      </c>
      <c r="K11209" t="str">
        <f>T("2288712277")</f>
        <v>2288712277</v>
      </c>
      <c r="L11209" t="str">
        <f>T("2288714594")</f>
        <v>2288714594</v>
      </c>
    </row>
    <row r="11210" spans="1:12" x14ac:dyDescent="0.35">
      <c r="A11210" t="str">
        <f t="shared" si="4082"/>
        <v>NCG 2</v>
      </c>
      <c r="B11210" t="str">
        <f>T("5301 MARVIN SHIELDS BLVD")</f>
        <v>5301 MARVIN SHIELDS BLVD</v>
      </c>
      <c r="C11210" t="str">
        <f>T("BOX 58 NMCB-133")</f>
        <v>BOX 58 NMCB-133</v>
      </c>
      <c r="D11210" t="str">
        <f t="shared" si="4085"/>
        <v>GULFPORT</v>
      </c>
      <c r="E11210" t="str">
        <f t="shared" si="4086"/>
        <v>MS</v>
      </c>
      <c r="F11210" t="str">
        <f t="shared" si="4090"/>
        <v>395010000</v>
      </c>
      <c r="G11210" t="str">
        <f>T("5301 MARVIN SHIELDS BLVD")</f>
        <v>5301 MARVIN SHIELDS BLVD</v>
      </c>
      <c r="H11210" t="str">
        <f>T("NMCB-133 BOX 58")</f>
        <v>NMCB-133 BOX 58</v>
      </c>
      <c r="I11210" t="str">
        <f t="shared" si="4088"/>
        <v>GULFPORT</v>
      </c>
      <c r="J11210" t="str">
        <f t="shared" si="4089"/>
        <v>MS</v>
      </c>
      <c r="K11210" t="str">
        <f>T("000000000000000000")</f>
        <v>000000000000000000</v>
      </c>
      <c r="L11210" t="str">
        <f>T("2288712478")</f>
        <v>2288712478</v>
      </c>
    </row>
    <row r="11211" spans="1:12" x14ac:dyDescent="0.35">
      <c r="A11211" t="str">
        <f t="shared" si="4082"/>
        <v>NCG 2</v>
      </c>
      <c r="B11211" t="str">
        <f>T("NMCB-11 SUPPLY DEPARTMENT")</f>
        <v>NMCB-11 SUPPLY DEPARTMENT</v>
      </c>
      <c r="C11211" t="str">
        <f>T("UNIT 60569")</f>
        <v>UNIT 60569</v>
      </c>
      <c r="D11211" t="str">
        <f t="shared" ref="D11211:D11221" si="4091">T("FPO")</f>
        <v>FPO</v>
      </c>
      <c r="E11211" t="str">
        <f>T("AA")</f>
        <v>AA</v>
      </c>
      <c r="F11211" t="str">
        <f>T("340991101")</f>
        <v>340991101</v>
      </c>
      <c r="G11211" t="str">
        <f>T("5301 BAINBRIDGE AVE")</f>
        <v>5301 BAINBRIDGE AVE</v>
      </c>
      <c r="H11211" t="str">
        <f>T("BOX 63")</f>
        <v>BOX 63</v>
      </c>
      <c r="I11211" t="str">
        <f t="shared" si="4088"/>
        <v>GULFPORT</v>
      </c>
      <c r="J11211" t="str">
        <f t="shared" si="4089"/>
        <v>MS</v>
      </c>
      <c r="K11211" t="str">
        <f>T("000000000000000000")</f>
        <v>000000000000000000</v>
      </c>
      <c r="L11211" t="str">
        <f>T("2282241358")</f>
        <v>2282241358</v>
      </c>
    </row>
    <row r="11212" spans="1:12" x14ac:dyDescent="0.35">
      <c r="A11212" t="str">
        <f t="shared" si="4082"/>
        <v>NCG 2</v>
      </c>
      <c r="B11212" t="str">
        <f>T("NMCB-11 SUPPLY DEPARTMENT")</f>
        <v>NMCB-11 SUPPLY DEPARTMENT</v>
      </c>
      <c r="C11212" t="str">
        <f>T("UNIT 60569")</f>
        <v>UNIT 60569</v>
      </c>
      <c r="D11212" t="str">
        <f t="shared" si="4091"/>
        <v>FPO</v>
      </c>
      <c r="E11212" t="str">
        <f>T("AA")</f>
        <v>AA</v>
      </c>
      <c r="F11212" t="str">
        <f>T("340991101")</f>
        <v>340991101</v>
      </c>
      <c r="G11212" t="str">
        <f>T("5301 BAINBRIDGE AVE")</f>
        <v>5301 BAINBRIDGE AVE</v>
      </c>
      <c r="H11212" t="str">
        <f>T("BOX 63")</f>
        <v>BOX 63</v>
      </c>
      <c r="I11212" t="str">
        <f t="shared" si="4088"/>
        <v>GULFPORT</v>
      </c>
      <c r="J11212" t="str">
        <f t="shared" si="4089"/>
        <v>MS</v>
      </c>
      <c r="K11212" t="str">
        <f>T("000000000000000000")</f>
        <v>000000000000000000</v>
      </c>
      <c r="L11212" t="str">
        <f>T("2288714837")</f>
        <v>2288714837</v>
      </c>
    </row>
    <row r="11213" spans="1:12" x14ac:dyDescent="0.35">
      <c r="A11213" t="str">
        <f t="shared" si="4082"/>
        <v>NCG 2</v>
      </c>
      <c r="B11213" t="str">
        <f>T("NMCB-11 SUPPLY DEPARTMENT")</f>
        <v>NMCB-11 SUPPLY DEPARTMENT</v>
      </c>
      <c r="C11213" t="str">
        <f>T("UNIT 60569")</f>
        <v>UNIT 60569</v>
      </c>
      <c r="D11213" t="str">
        <f t="shared" si="4091"/>
        <v>FPO</v>
      </c>
      <c r="E11213" t="str">
        <f>T("AA")</f>
        <v>AA</v>
      </c>
      <c r="F11213" t="str">
        <f>T("340991101")</f>
        <v>340991101</v>
      </c>
      <c r="G11213" t="str">
        <f>T("NMCB-11 SUPPLY DEPARTMENT")</f>
        <v>NMCB-11 SUPPLY DEPARTMENT</v>
      </c>
      <c r="H11213" t="str">
        <f>T("UNIT 60569")</f>
        <v>UNIT 60569</v>
      </c>
      <c r="I11213" t="str">
        <f>T("FPO")</f>
        <v>FPO</v>
      </c>
      <c r="J11213" t="str">
        <f>T("AA")</f>
        <v>AA</v>
      </c>
      <c r="K11213" t="str">
        <f>T("228-871-2277")</f>
        <v>228-871-2277</v>
      </c>
      <c r="L11213" t="str">
        <f>T("2288712501")</f>
        <v>2288712501</v>
      </c>
    </row>
    <row r="11214" spans="1:12" x14ac:dyDescent="0.35">
      <c r="A11214" t="str">
        <f t="shared" si="4082"/>
        <v>NCG 2</v>
      </c>
      <c r="B11214" t="str">
        <f>T("NMCB-11 SUPPLY DEPARTMENT")</f>
        <v>NMCB-11 SUPPLY DEPARTMENT</v>
      </c>
      <c r="C11214" t="str">
        <f>T("UNIT 60569")</f>
        <v>UNIT 60569</v>
      </c>
      <c r="D11214" t="str">
        <f t="shared" si="4091"/>
        <v>FPO</v>
      </c>
      <c r="E11214" t="str">
        <f>T("AA")</f>
        <v>AA</v>
      </c>
      <c r="F11214" t="str">
        <f>T("340991101")</f>
        <v>340991101</v>
      </c>
      <c r="G11214" t="str">
        <f>T("NMCB-133 BOX 61")</f>
        <v>NMCB-133 BOX 61</v>
      </c>
      <c r="H11214" t="str">
        <f>T("5101 MARVIN SHIELDS BLVD")</f>
        <v>5101 MARVIN SHIELDS BLVD</v>
      </c>
      <c r="I11214" t="str">
        <f>T("GULFPORT")</f>
        <v>GULFPORT</v>
      </c>
      <c r="J11214" t="str">
        <f>T("MS")</f>
        <v>MS</v>
      </c>
      <c r="K11214" t="str">
        <f>T("000000000000000000")</f>
        <v>000000000000000000</v>
      </c>
      <c r="L11214" t="str">
        <f>T("2288714594")</f>
        <v>2288714594</v>
      </c>
    </row>
    <row r="11215" spans="1:12" x14ac:dyDescent="0.35">
      <c r="A11215" t="str">
        <f>T("EODMU 8 UNIT 50036")</f>
        <v>EODMU 8 UNIT 50036</v>
      </c>
      <c r="B11215" t="str">
        <f>T("EODMU8")</f>
        <v>EODMU8</v>
      </c>
      <c r="C11215" t="str">
        <f>T("PSC 819 BOX 10")</f>
        <v>PSC 819 BOX 10</v>
      </c>
      <c r="D11215" t="str">
        <f t="shared" si="4091"/>
        <v>FPO</v>
      </c>
      <c r="E11215" t="str">
        <f t="shared" ref="E11215:E11221" si="4092">T("AE")</f>
        <v>AE</v>
      </c>
      <c r="F11215" t="str">
        <f>T("096450001")</f>
        <v>096450001</v>
      </c>
      <c r="G11215" t="str">
        <f>T("EODMU 8")</f>
        <v>EODMU 8</v>
      </c>
      <c r="H11215" t="str">
        <f>T("PSC 819 BOX 10")</f>
        <v>PSC 819 BOX 10</v>
      </c>
      <c r="I11215" t="str">
        <f t="shared" ref="I11215:I11221" si="4093">T("FPO")</f>
        <v>FPO</v>
      </c>
      <c r="J11215" t="str">
        <f t="shared" ref="J11215:J11221" si="4094">T("AE")</f>
        <v>AE</v>
      </c>
      <c r="K11215" t="str">
        <f>T("000000000000000000")</f>
        <v>000000000000000000</v>
      </c>
      <c r="L11215" t="str">
        <f>T("3147271979")</f>
        <v>3147271979</v>
      </c>
    </row>
    <row r="11216" spans="1:12" x14ac:dyDescent="0.35">
      <c r="A11216" t="str">
        <f>T("EODMU 8 UNIT 50036")</f>
        <v>EODMU 8 UNIT 50036</v>
      </c>
      <c r="B11216" t="str">
        <f>T("EODMU8")</f>
        <v>EODMU8</v>
      </c>
      <c r="C11216" t="str">
        <f>T("PSC 819 BOX 10")</f>
        <v>PSC 819 BOX 10</v>
      </c>
      <c r="D11216" t="str">
        <f t="shared" si="4091"/>
        <v>FPO</v>
      </c>
      <c r="E11216" t="str">
        <f t="shared" si="4092"/>
        <v>AE</v>
      </c>
      <c r="F11216" t="str">
        <f>T("096450001")</f>
        <v>096450001</v>
      </c>
      <c r="G11216" t="str">
        <f>T("EODMU8")</f>
        <v>EODMU8</v>
      </c>
      <c r="H11216" t="str">
        <f>T("PSC 819 BOX 10")</f>
        <v>PSC 819 BOX 10</v>
      </c>
      <c r="I11216" t="str">
        <f t="shared" si="4093"/>
        <v>FPO</v>
      </c>
      <c r="J11216" t="str">
        <f t="shared" si="4094"/>
        <v>AE</v>
      </c>
      <c r="K11216" t="str">
        <f>T("")</f>
        <v/>
      </c>
      <c r="L11216" t="str">
        <f>T("1111111111")</f>
        <v>1111111111</v>
      </c>
    </row>
    <row r="11217" spans="1:12" x14ac:dyDescent="0.35">
      <c r="A11217" t="str">
        <f>T("EODMU 8 UNIT 50036")</f>
        <v>EODMU 8 UNIT 50036</v>
      </c>
      <c r="B11217" t="str">
        <f>T("EODMU8")</f>
        <v>EODMU8</v>
      </c>
      <c r="C11217" t="str">
        <f>T("PSC 819 BOX 10")</f>
        <v>PSC 819 BOX 10</v>
      </c>
      <c r="D11217" t="str">
        <f t="shared" si="4091"/>
        <v>FPO</v>
      </c>
      <c r="E11217" t="str">
        <f t="shared" si="4092"/>
        <v>AE</v>
      </c>
      <c r="F11217" t="str">
        <f>T("096450001")</f>
        <v>096450001</v>
      </c>
      <c r="G11217" t="str">
        <f>T("EODMU8")</f>
        <v>EODMU8</v>
      </c>
      <c r="H11217" t="str">
        <f>T("PSC 819 BOX 10")</f>
        <v>PSC 819 BOX 10</v>
      </c>
      <c r="I11217" t="str">
        <f t="shared" si="4093"/>
        <v>FPO</v>
      </c>
      <c r="J11217" t="str">
        <f t="shared" si="4094"/>
        <v>AE</v>
      </c>
      <c r="K11217" t="str">
        <f>T("000000000000000000")</f>
        <v>000000000000000000</v>
      </c>
      <c r="L11217" t="str">
        <f>T("3147271979")</f>
        <v>3147271979</v>
      </c>
    </row>
    <row r="11218" spans="1:12" x14ac:dyDescent="0.35">
      <c r="A11218" t="str">
        <f>T("CTF 56")</f>
        <v>CTF 56</v>
      </c>
      <c r="B11218" t="str">
        <f>T("PSC 851 BOX 930")</f>
        <v>PSC 851 BOX 930</v>
      </c>
      <c r="C11218" t="str">
        <f>T("")</f>
        <v/>
      </c>
      <c r="D11218" t="str">
        <f t="shared" si="4091"/>
        <v>FPO</v>
      </c>
      <c r="E11218" t="str">
        <f t="shared" si="4092"/>
        <v>AE</v>
      </c>
      <c r="F11218" t="str">
        <f>T("098340010")</f>
        <v>098340010</v>
      </c>
      <c r="G11218" t="str">
        <f>T("PSC 851 BOX 930")</f>
        <v>PSC 851 BOX 930</v>
      </c>
      <c r="H11218" t="str">
        <f>T("")</f>
        <v/>
      </c>
      <c r="I11218" t="str">
        <f t="shared" si="4093"/>
        <v>FPO</v>
      </c>
      <c r="J11218" t="str">
        <f t="shared" si="4094"/>
        <v>AE</v>
      </c>
      <c r="K11218" t="str">
        <f>T("")</f>
        <v/>
      </c>
      <c r="L11218" t="str">
        <f>T("1111111111")</f>
        <v>1111111111</v>
      </c>
    </row>
    <row r="11219" spans="1:12" x14ac:dyDescent="0.35">
      <c r="A11219" t="str">
        <f>T("CTF 56")</f>
        <v>CTF 56</v>
      </c>
      <c r="B11219" t="str">
        <f>T("PSC 851 BOX 930")</f>
        <v>PSC 851 BOX 930</v>
      </c>
      <c r="C11219" t="str">
        <f>T("")</f>
        <v/>
      </c>
      <c r="D11219" t="str">
        <f t="shared" si="4091"/>
        <v>FPO</v>
      </c>
      <c r="E11219" t="str">
        <f t="shared" si="4092"/>
        <v>AE</v>
      </c>
      <c r="F11219" t="str">
        <f>T("098340010")</f>
        <v>098340010</v>
      </c>
      <c r="G11219" t="str">
        <f>T("PSC 851 BOX 930")</f>
        <v>PSC 851 BOX 930</v>
      </c>
      <c r="H11219" t="str">
        <f>T("")</f>
        <v/>
      </c>
      <c r="I11219" t="str">
        <f t="shared" si="4093"/>
        <v>FPO</v>
      </c>
      <c r="J11219" t="str">
        <f t="shared" si="4094"/>
        <v>AE</v>
      </c>
      <c r="K11219" t="str">
        <f>T("000000000000000000")</f>
        <v>000000000000000000</v>
      </c>
      <c r="L11219" t="str">
        <f>T("3084396556")</f>
        <v>3084396556</v>
      </c>
    </row>
    <row r="11220" spans="1:12" x14ac:dyDescent="0.35">
      <c r="A11220" t="str">
        <f>T("CTF 56")</f>
        <v>CTF 56</v>
      </c>
      <c r="B11220" t="str">
        <f>T("PSC 851 BOX 930")</f>
        <v>PSC 851 BOX 930</v>
      </c>
      <c r="C11220" t="str">
        <f>T("")</f>
        <v/>
      </c>
      <c r="D11220" t="str">
        <f t="shared" si="4091"/>
        <v>FPO</v>
      </c>
      <c r="E11220" t="str">
        <f t="shared" si="4092"/>
        <v>AE</v>
      </c>
      <c r="F11220" t="str">
        <f>T("098340010")</f>
        <v>098340010</v>
      </c>
      <c r="G11220" t="str">
        <f>T("PSC 851 BOX 930")</f>
        <v>PSC 851 BOX 930</v>
      </c>
      <c r="H11220" t="str">
        <f>T("")</f>
        <v/>
      </c>
      <c r="I11220" t="str">
        <f t="shared" si="4093"/>
        <v>FPO</v>
      </c>
      <c r="J11220" t="str">
        <f t="shared" si="4094"/>
        <v>AE</v>
      </c>
      <c r="K11220" t="str">
        <f>T("97317859352")</f>
        <v>97317859352</v>
      </c>
      <c r="L11220" t="str">
        <f>T("1111111111")</f>
        <v>1111111111</v>
      </c>
    </row>
    <row r="11221" spans="1:12" x14ac:dyDescent="0.35">
      <c r="A11221" t="str">
        <f>T("CTF 56")</f>
        <v>CTF 56</v>
      </c>
      <c r="B11221" t="str">
        <f>T("PSC 851 BOX 930")</f>
        <v>PSC 851 BOX 930</v>
      </c>
      <c r="C11221" t="str">
        <f>T("")</f>
        <v/>
      </c>
      <c r="D11221" t="str">
        <f t="shared" si="4091"/>
        <v>FPO</v>
      </c>
      <c r="E11221" t="str">
        <f t="shared" si="4092"/>
        <v>AE</v>
      </c>
      <c r="F11221" t="str">
        <f>T("098340010")</f>
        <v>098340010</v>
      </c>
      <c r="G11221" t="str">
        <f>T("PSC 851 BOX 930")</f>
        <v>PSC 851 BOX 930</v>
      </c>
      <c r="H11221" t="str">
        <f>T("")</f>
        <v/>
      </c>
      <c r="I11221" t="str">
        <f t="shared" si="4093"/>
        <v>FPO</v>
      </c>
      <c r="J11221" t="str">
        <f t="shared" si="4094"/>
        <v>AE</v>
      </c>
      <c r="K11221" t="str">
        <f>T("97317859353")</f>
        <v>97317859353</v>
      </c>
      <c r="L11221" t="str">
        <f>T("1111111111")</f>
        <v>1111111111</v>
      </c>
    </row>
    <row r="11222" spans="1:12" x14ac:dyDescent="0.35">
      <c r="A11222" t="str">
        <f t="shared" ref="A11222:B11233" si="4095">T("CRG-2")</f>
        <v>CRG-2</v>
      </c>
      <c r="B11222" t="str">
        <f t="shared" si="4095"/>
        <v>CRG-2</v>
      </c>
      <c r="C11222" t="str">
        <f t="shared" ref="C11222:C11239" si="4096">T("2465 GUADALCANAL ROAD")</f>
        <v>2465 GUADALCANAL ROAD</v>
      </c>
      <c r="D11222" t="str">
        <f t="shared" ref="D11222:D11239" si="4097">T("VIRGINIA BEACH")</f>
        <v>VIRGINIA BEACH</v>
      </c>
      <c r="E11222" t="str">
        <f t="shared" ref="E11222:E11246" si="4098">T("VA")</f>
        <v>VA</v>
      </c>
      <c r="F11222" t="str">
        <f t="shared" ref="F11222:F11233" si="4099">T("234599207")</f>
        <v>234599207</v>
      </c>
      <c r="G11222" t="str">
        <f>T("2465 GUADALCANAL RD")</f>
        <v>2465 GUADALCANAL RD</v>
      </c>
      <c r="H11222" t="str">
        <f>T("SUITE 14")</f>
        <v>SUITE 14</v>
      </c>
      <c r="I11222" t="str">
        <f t="shared" ref="I11222:I11228" si="4100">T("VIRGINIA BEACH")</f>
        <v>VIRGINIA BEACH</v>
      </c>
      <c r="J11222" t="str">
        <f t="shared" ref="J11222:J11228" si="4101">T("VA")</f>
        <v>VA</v>
      </c>
      <c r="K11222" t="str">
        <f>T("000000000000000000")</f>
        <v>000000000000000000</v>
      </c>
      <c r="L11222" t="str">
        <f>T("7574928741")</f>
        <v>7574928741</v>
      </c>
    </row>
    <row r="11223" spans="1:12" x14ac:dyDescent="0.35">
      <c r="A11223" t="str">
        <f t="shared" si="4095"/>
        <v>CRG-2</v>
      </c>
      <c r="B11223" t="str">
        <f t="shared" si="4095"/>
        <v>CRG-2</v>
      </c>
      <c r="C11223" t="str">
        <f t="shared" si="4096"/>
        <v>2465 GUADALCANAL ROAD</v>
      </c>
      <c r="D11223" t="str">
        <f t="shared" si="4097"/>
        <v>VIRGINIA BEACH</v>
      </c>
      <c r="E11223" t="str">
        <f t="shared" si="4098"/>
        <v>VA</v>
      </c>
      <c r="F11223" t="str">
        <f t="shared" si="4099"/>
        <v>234599207</v>
      </c>
      <c r="G11223" t="str">
        <f t="shared" ref="G11223:G11228" si="4102">T("2465 GUADALCANAL ROAD")</f>
        <v>2465 GUADALCANAL ROAD</v>
      </c>
      <c r="H11223" t="str">
        <f>T("")</f>
        <v/>
      </c>
      <c r="I11223" t="str">
        <f t="shared" si="4100"/>
        <v>VIRGINIA BEACH</v>
      </c>
      <c r="J11223" t="str">
        <f t="shared" si="4101"/>
        <v>VA</v>
      </c>
      <c r="K11223" t="str">
        <f>T("")</f>
        <v/>
      </c>
      <c r="L11223" t="str">
        <f>T("7574928984")</f>
        <v>7574928984</v>
      </c>
    </row>
    <row r="11224" spans="1:12" x14ac:dyDescent="0.35">
      <c r="A11224" t="str">
        <f t="shared" si="4095"/>
        <v>CRG-2</v>
      </c>
      <c r="B11224" t="str">
        <f t="shared" si="4095"/>
        <v>CRG-2</v>
      </c>
      <c r="C11224" t="str">
        <f t="shared" si="4096"/>
        <v>2465 GUADALCANAL ROAD</v>
      </c>
      <c r="D11224" t="str">
        <f t="shared" si="4097"/>
        <v>VIRGINIA BEACH</v>
      </c>
      <c r="E11224" t="str">
        <f t="shared" si="4098"/>
        <v>VA</v>
      </c>
      <c r="F11224" t="str">
        <f t="shared" si="4099"/>
        <v>234599207</v>
      </c>
      <c r="G11224" t="str">
        <f t="shared" si="4102"/>
        <v>2465 GUADALCANAL ROAD</v>
      </c>
      <c r="H11224" t="str">
        <f>T("")</f>
        <v/>
      </c>
      <c r="I11224" t="str">
        <f t="shared" si="4100"/>
        <v>VIRGINIA BEACH</v>
      </c>
      <c r="J11224" t="str">
        <f t="shared" si="4101"/>
        <v>VA</v>
      </c>
      <c r="K11224" t="str">
        <f>T("000000000000000000")</f>
        <v>000000000000000000</v>
      </c>
      <c r="L11224" t="str">
        <f>T("7579672723")</f>
        <v>7579672723</v>
      </c>
    </row>
    <row r="11225" spans="1:12" x14ac:dyDescent="0.35">
      <c r="A11225" t="str">
        <f t="shared" si="4095"/>
        <v>CRG-2</v>
      </c>
      <c r="B11225" t="str">
        <f t="shared" si="4095"/>
        <v>CRG-2</v>
      </c>
      <c r="C11225" t="str">
        <f t="shared" si="4096"/>
        <v>2465 GUADALCANAL ROAD</v>
      </c>
      <c r="D11225" t="str">
        <f t="shared" si="4097"/>
        <v>VIRGINIA BEACH</v>
      </c>
      <c r="E11225" t="str">
        <f t="shared" si="4098"/>
        <v>VA</v>
      </c>
      <c r="F11225" t="str">
        <f t="shared" si="4099"/>
        <v>234599207</v>
      </c>
      <c r="G11225" t="str">
        <f t="shared" si="4102"/>
        <v>2465 GUADALCANAL ROAD</v>
      </c>
      <c r="H11225" t="str">
        <f>T("")</f>
        <v/>
      </c>
      <c r="I11225" t="str">
        <f t="shared" si="4100"/>
        <v>VIRGINIA BEACH</v>
      </c>
      <c r="J11225" t="str">
        <f t="shared" si="4101"/>
        <v>VA</v>
      </c>
      <c r="K11225" t="str">
        <f>T("7573960431")</f>
        <v>7573960431</v>
      </c>
      <c r="L11225" t="str">
        <f>T("1111111111")</f>
        <v>1111111111</v>
      </c>
    </row>
    <row r="11226" spans="1:12" x14ac:dyDescent="0.35">
      <c r="A11226" t="str">
        <f t="shared" si="4095"/>
        <v>CRG-2</v>
      </c>
      <c r="B11226" t="str">
        <f t="shared" si="4095"/>
        <v>CRG-2</v>
      </c>
      <c r="C11226" t="str">
        <f t="shared" si="4096"/>
        <v>2465 GUADALCANAL ROAD</v>
      </c>
      <c r="D11226" t="str">
        <f t="shared" si="4097"/>
        <v>VIRGINIA BEACH</v>
      </c>
      <c r="E11226" t="str">
        <f t="shared" si="4098"/>
        <v>VA</v>
      </c>
      <c r="F11226" t="str">
        <f t="shared" si="4099"/>
        <v>234599207</v>
      </c>
      <c r="G11226" t="str">
        <f t="shared" si="4102"/>
        <v>2465 GUADALCANAL ROAD</v>
      </c>
      <c r="H11226" t="str">
        <f>T("")</f>
        <v/>
      </c>
      <c r="I11226" t="str">
        <f t="shared" si="4100"/>
        <v>VIRGINIA BEACH</v>
      </c>
      <c r="J11226" t="str">
        <f t="shared" si="4101"/>
        <v>VA</v>
      </c>
      <c r="K11226" t="str">
        <f>T("7573960431")</f>
        <v>7573960431</v>
      </c>
      <c r="L11226" t="str">
        <f>T("7574928993")</f>
        <v>7574928993</v>
      </c>
    </row>
    <row r="11227" spans="1:12" x14ac:dyDescent="0.35">
      <c r="A11227" t="str">
        <f t="shared" si="4095"/>
        <v>CRG-2</v>
      </c>
      <c r="B11227" t="str">
        <f t="shared" si="4095"/>
        <v>CRG-2</v>
      </c>
      <c r="C11227" t="str">
        <f t="shared" si="4096"/>
        <v>2465 GUADALCANAL ROAD</v>
      </c>
      <c r="D11227" t="str">
        <f t="shared" si="4097"/>
        <v>VIRGINIA BEACH</v>
      </c>
      <c r="E11227" t="str">
        <f t="shared" si="4098"/>
        <v>VA</v>
      </c>
      <c r="F11227" t="str">
        <f t="shared" si="4099"/>
        <v>234599207</v>
      </c>
      <c r="G11227" t="str">
        <f t="shared" si="4102"/>
        <v>2465 GUADALCANAL ROAD</v>
      </c>
      <c r="H11227" t="str">
        <f>T("BLDG 1265")</f>
        <v>BLDG 1265</v>
      </c>
      <c r="I11227" t="str">
        <f t="shared" si="4100"/>
        <v>VIRGINIA BEACH</v>
      </c>
      <c r="J11227" t="str">
        <f t="shared" si="4101"/>
        <v>VA</v>
      </c>
      <c r="K11227" t="str">
        <f>T("000000000000000000")</f>
        <v>000000000000000000</v>
      </c>
      <c r="L11227" t="str">
        <f>T("7574176706")</f>
        <v>7574176706</v>
      </c>
    </row>
    <row r="11228" spans="1:12" x14ac:dyDescent="0.35">
      <c r="A11228" t="str">
        <f t="shared" si="4095"/>
        <v>CRG-2</v>
      </c>
      <c r="B11228" t="str">
        <f t="shared" si="4095"/>
        <v>CRG-2</v>
      </c>
      <c r="C11228" t="str">
        <f t="shared" si="4096"/>
        <v>2465 GUADALCANAL ROAD</v>
      </c>
      <c r="D11228" t="str">
        <f t="shared" si="4097"/>
        <v>VIRGINIA BEACH</v>
      </c>
      <c r="E11228" t="str">
        <f t="shared" si="4098"/>
        <v>VA</v>
      </c>
      <c r="F11228" t="str">
        <f t="shared" si="4099"/>
        <v>234599207</v>
      </c>
      <c r="G11228" t="str">
        <f t="shared" si="4102"/>
        <v>2465 GUADALCANAL ROAD</v>
      </c>
      <c r="H11228" t="str">
        <f>T("BLDG 1265")</f>
        <v>BLDG 1265</v>
      </c>
      <c r="I11228" t="str">
        <f t="shared" si="4100"/>
        <v>VIRGINIA BEACH</v>
      </c>
      <c r="J11228" t="str">
        <f t="shared" si="4101"/>
        <v>VA</v>
      </c>
      <c r="K11228" t="str">
        <f>T("000000000000000000")</f>
        <v>000000000000000000</v>
      </c>
      <c r="L11228" t="str">
        <f>T("7579674216")</f>
        <v>7579674216</v>
      </c>
    </row>
    <row r="11229" spans="1:12" x14ac:dyDescent="0.35">
      <c r="A11229" t="str">
        <f t="shared" si="4095"/>
        <v>CRG-2</v>
      </c>
      <c r="B11229" t="str">
        <f t="shared" si="4095"/>
        <v>CRG-2</v>
      </c>
      <c r="C11229" t="str">
        <f t="shared" si="4096"/>
        <v>2465 GUADALCANAL ROAD</v>
      </c>
      <c r="D11229" t="str">
        <f t="shared" si="4097"/>
        <v>VIRGINIA BEACH</v>
      </c>
      <c r="E11229" t="str">
        <f t="shared" si="4098"/>
        <v>VA</v>
      </c>
      <c r="F11229" t="str">
        <f t="shared" si="4099"/>
        <v>234599207</v>
      </c>
      <c r="G11229" t="str">
        <f>T("BLDG W-36 ELLIOT AVE")</f>
        <v>BLDG W-36 ELLIOT AVE</v>
      </c>
      <c r="H11229" t="str">
        <f>T("")</f>
        <v/>
      </c>
      <c r="I11229" t="str">
        <f>T("NEWPORT")</f>
        <v>NEWPORT</v>
      </c>
      <c r="J11229" t="str">
        <f>T("RI")</f>
        <v>RI</v>
      </c>
      <c r="K11229" t="str">
        <f>T("000000000000000000")</f>
        <v>000000000000000000</v>
      </c>
      <c r="L11229" t="str">
        <f>T("4018417159")</f>
        <v>4018417159</v>
      </c>
    </row>
    <row r="11230" spans="1:12" x14ac:dyDescent="0.35">
      <c r="A11230" t="str">
        <f t="shared" si="4095"/>
        <v>CRG-2</v>
      </c>
      <c r="B11230" t="str">
        <f t="shared" si="4095"/>
        <v>CRG-2</v>
      </c>
      <c r="C11230" t="str">
        <f t="shared" si="4096"/>
        <v>2465 GUADALCANAL ROAD</v>
      </c>
      <c r="D11230" t="str">
        <f t="shared" si="4097"/>
        <v>VIRGINIA BEACH</v>
      </c>
      <c r="E11230" t="str">
        <f t="shared" si="4098"/>
        <v>VA</v>
      </c>
      <c r="F11230" t="str">
        <f t="shared" si="4099"/>
        <v>234599207</v>
      </c>
      <c r="G11230" t="str">
        <f>T("CRG-2")</f>
        <v>CRG-2</v>
      </c>
      <c r="H11230" t="str">
        <f>T("2465 GUADALCANAL ROAD")</f>
        <v>2465 GUADALCANAL ROAD</v>
      </c>
      <c r="I11230" t="str">
        <f>T("VIRGINIA BEACH")</f>
        <v>VIRGINIA BEACH</v>
      </c>
      <c r="J11230" t="str">
        <f>T("VA")</f>
        <v>VA</v>
      </c>
      <c r="K11230" t="str">
        <f>T("7573960431")</f>
        <v>7573960431</v>
      </c>
      <c r="L11230" t="str">
        <f>T("1111111111")</f>
        <v>1111111111</v>
      </c>
    </row>
    <row r="11231" spans="1:12" x14ac:dyDescent="0.35">
      <c r="A11231" t="str">
        <f t="shared" si="4095"/>
        <v>CRG-2</v>
      </c>
      <c r="B11231" t="str">
        <f t="shared" si="4095"/>
        <v>CRG-2</v>
      </c>
      <c r="C11231" t="str">
        <f t="shared" si="4096"/>
        <v>2465 GUADALCANAL ROAD</v>
      </c>
      <c r="D11231" t="str">
        <f t="shared" si="4097"/>
        <v>VIRGINIA BEACH</v>
      </c>
      <c r="E11231" t="str">
        <f t="shared" si="4098"/>
        <v>VA</v>
      </c>
      <c r="F11231" t="str">
        <f t="shared" si="4099"/>
        <v>234599207</v>
      </c>
      <c r="G11231" t="str">
        <f>T("CRG-2")</f>
        <v>CRG-2</v>
      </c>
      <c r="H11231" t="str">
        <f>T("2465 GUADALCANAL ROAD")</f>
        <v>2465 GUADALCANAL ROAD</v>
      </c>
      <c r="I11231" t="str">
        <f>T("VIRGINIA BEACH")</f>
        <v>VIRGINIA BEACH</v>
      </c>
      <c r="J11231" t="str">
        <f>T("VA")</f>
        <v>VA</v>
      </c>
      <c r="K11231" t="str">
        <f>T("7573960431")</f>
        <v>7573960431</v>
      </c>
      <c r="L11231" t="str">
        <f>T("7574928892")</f>
        <v>7574928892</v>
      </c>
    </row>
    <row r="11232" spans="1:12" x14ac:dyDescent="0.35">
      <c r="A11232" t="str">
        <f t="shared" si="4095"/>
        <v>CRG-2</v>
      </c>
      <c r="B11232" t="str">
        <f t="shared" si="4095"/>
        <v>CRG-2</v>
      </c>
      <c r="C11232" t="str">
        <f t="shared" si="4096"/>
        <v>2465 GUADALCANAL ROAD</v>
      </c>
      <c r="D11232" t="str">
        <f t="shared" si="4097"/>
        <v>VIRGINIA BEACH</v>
      </c>
      <c r="E11232" t="str">
        <f t="shared" si="4098"/>
        <v>VA</v>
      </c>
      <c r="F11232" t="str">
        <f t="shared" si="4099"/>
        <v>234599207</v>
      </c>
      <c r="G11232" t="str">
        <f>T("CRG-2")</f>
        <v>CRG-2</v>
      </c>
      <c r="H11232" t="str">
        <f>T("2465 GUADALCANAL ROAD BLDG 1265")</f>
        <v>2465 GUADALCANAL ROAD BLDG 1265</v>
      </c>
      <c r="I11232" t="str">
        <f>T("VIRGINIA BEACH")</f>
        <v>VIRGINIA BEACH</v>
      </c>
      <c r="J11232" t="str">
        <f>T("VA")</f>
        <v>VA</v>
      </c>
      <c r="K11232" t="str">
        <f>T("000000000000000000")</f>
        <v>000000000000000000</v>
      </c>
      <c r="L11232" t="str">
        <f>T("7574928745")</f>
        <v>7574928745</v>
      </c>
    </row>
    <row r="11233" spans="1:12" x14ac:dyDescent="0.35">
      <c r="A11233" t="str">
        <f t="shared" si="4095"/>
        <v>CRG-2</v>
      </c>
      <c r="B11233" t="str">
        <f t="shared" si="4095"/>
        <v>CRG-2</v>
      </c>
      <c r="C11233" t="str">
        <f t="shared" si="4096"/>
        <v>2465 GUADALCANAL ROAD</v>
      </c>
      <c r="D11233" t="str">
        <f t="shared" si="4097"/>
        <v>VIRGINIA BEACH</v>
      </c>
      <c r="E11233" t="str">
        <f t="shared" si="4098"/>
        <v>VA</v>
      </c>
      <c r="F11233" t="str">
        <f t="shared" si="4099"/>
        <v>234599207</v>
      </c>
      <c r="G11233" t="str">
        <f>T("NAS JACKSONVILLE")</f>
        <v>NAS JACKSONVILLE</v>
      </c>
      <c r="H11233" t="str">
        <f>T("BLDG 938 BOX 44")</f>
        <v>BLDG 938 BOX 44</v>
      </c>
      <c r="I11233" t="str">
        <f>T("JACKSONVILLE")</f>
        <v>JACKSONVILLE</v>
      </c>
      <c r="J11233" t="str">
        <f>T("FL")</f>
        <v>FL</v>
      </c>
      <c r="K11233" t="str">
        <f>T("9045421739")</f>
        <v>9045421739</v>
      </c>
      <c r="L11233" t="str">
        <f>T("9045421730")</f>
        <v>9045421730</v>
      </c>
    </row>
    <row r="11234" spans="1:12" x14ac:dyDescent="0.35">
      <c r="A11234" t="str">
        <f t="shared" ref="A11234:A11239" si="4103">T("CRG-2")</f>
        <v>CRG-2</v>
      </c>
      <c r="B11234" t="str">
        <f t="shared" ref="B11234:B11239" si="4104">T("CRG-2 JEBLC BLDG 1265")</f>
        <v>CRG-2 JEBLC BLDG 1265</v>
      </c>
      <c r="C11234" t="str">
        <f t="shared" si="4096"/>
        <v>2465 GUADALCANAL ROAD</v>
      </c>
      <c r="D11234" t="str">
        <f t="shared" si="4097"/>
        <v>VIRGINIA BEACH</v>
      </c>
      <c r="E11234" t="str">
        <f t="shared" si="4098"/>
        <v>VA</v>
      </c>
      <c r="F11234" t="str">
        <f t="shared" ref="F11234:F11239" si="4105">T("234599211")</f>
        <v>234599211</v>
      </c>
      <c r="G11234" t="str">
        <f>T("2465 GUADALCANAL BLDG 1265")</f>
        <v>2465 GUADALCANAL BLDG 1265</v>
      </c>
      <c r="H11234" t="str">
        <f>T("")</f>
        <v/>
      </c>
      <c r="I11234" t="str">
        <f t="shared" ref="I11234:I11239" si="4106">T("VIRGINIA BEACH")</f>
        <v>VIRGINIA BEACH</v>
      </c>
      <c r="J11234" t="str">
        <f t="shared" ref="J11234:J11246" si="4107">T("VA")</f>
        <v>VA</v>
      </c>
      <c r="K11234" t="str">
        <f>T("01197317856511")</f>
        <v>01197317856511</v>
      </c>
      <c r="L11234" t="str">
        <f>T("1111111111")</f>
        <v>1111111111</v>
      </c>
    </row>
    <row r="11235" spans="1:12" x14ac:dyDescent="0.35">
      <c r="A11235" t="str">
        <f t="shared" si="4103"/>
        <v>CRG-2</v>
      </c>
      <c r="B11235" t="str">
        <f t="shared" si="4104"/>
        <v>CRG-2 JEBLC BLDG 1265</v>
      </c>
      <c r="C11235" t="str">
        <f t="shared" si="4096"/>
        <v>2465 GUADALCANAL ROAD</v>
      </c>
      <c r="D11235" t="str">
        <f t="shared" si="4097"/>
        <v>VIRGINIA BEACH</v>
      </c>
      <c r="E11235" t="str">
        <f t="shared" si="4098"/>
        <v>VA</v>
      </c>
      <c r="F11235" t="str">
        <f t="shared" si="4105"/>
        <v>234599211</v>
      </c>
      <c r="G11235" t="str">
        <f>T("2465 GUADALCANAL ROAD")</f>
        <v>2465 GUADALCANAL ROAD</v>
      </c>
      <c r="H11235" t="str">
        <f>T("")</f>
        <v/>
      </c>
      <c r="I11235" t="str">
        <f t="shared" si="4106"/>
        <v>VIRGINIA BEACH</v>
      </c>
      <c r="J11235" t="str">
        <f t="shared" si="4107"/>
        <v>VA</v>
      </c>
      <c r="K11235" t="str">
        <f>T("000000000000000000")</f>
        <v>000000000000000000</v>
      </c>
      <c r="L11235" t="str">
        <f>T("1111111111")</f>
        <v>1111111111</v>
      </c>
    </row>
    <row r="11236" spans="1:12" x14ac:dyDescent="0.35">
      <c r="A11236" t="str">
        <f t="shared" si="4103"/>
        <v>CRG-2</v>
      </c>
      <c r="B11236" t="str">
        <f t="shared" si="4104"/>
        <v>CRG-2 JEBLC BLDG 1265</v>
      </c>
      <c r="C11236" t="str">
        <f t="shared" si="4096"/>
        <v>2465 GUADALCANAL ROAD</v>
      </c>
      <c r="D11236" t="str">
        <f t="shared" si="4097"/>
        <v>VIRGINIA BEACH</v>
      </c>
      <c r="E11236" t="str">
        <f t="shared" si="4098"/>
        <v>VA</v>
      </c>
      <c r="F11236" t="str">
        <f t="shared" si="4105"/>
        <v>234599211</v>
      </c>
      <c r="G11236" t="str">
        <f>T("2465 GUADALCANAL ROAD")</f>
        <v>2465 GUADALCANAL ROAD</v>
      </c>
      <c r="H11236" t="str">
        <f>T("")</f>
        <v/>
      </c>
      <c r="I11236" t="str">
        <f t="shared" si="4106"/>
        <v>VIRGINIA BEACH</v>
      </c>
      <c r="J11236" t="str">
        <f t="shared" si="4107"/>
        <v>VA</v>
      </c>
      <c r="K11236" t="str">
        <f>T("01197338409413")</f>
        <v>01197338409413</v>
      </c>
      <c r="L11236" t="str">
        <f>T("1111111111")</f>
        <v>1111111111</v>
      </c>
    </row>
    <row r="11237" spans="1:12" x14ac:dyDescent="0.35">
      <c r="A11237" t="str">
        <f t="shared" si="4103"/>
        <v>CRG-2</v>
      </c>
      <c r="B11237" t="str">
        <f t="shared" si="4104"/>
        <v>CRG-2 JEBLC BLDG 1265</v>
      </c>
      <c r="C11237" t="str">
        <f t="shared" si="4096"/>
        <v>2465 GUADALCANAL ROAD</v>
      </c>
      <c r="D11237" t="str">
        <f t="shared" si="4097"/>
        <v>VIRGINIA BEACH</v>
      </c>
      <c r="E11237" t="str">
        <f t="shared" si="4098"/>
        <v>VA</v>
      </c>
      <c r="F11237" t="str">
        <f t="shared" si="4105"/>
        <v>234599211</v>
      </c>
      <c r="G11237" t="str">
        <f>T("2465 GUADALCANAL ROAD")</f>
        <v>2465 GUADALCANAL ROAD</v>
      </c>
      <c r="H11237" t="str">
        <f>T("")</f>
        <v/>
      </c>
      <c r="I11237" t="str">
        <f t="shared" si="4106"/>
        <v>VIRGINIA BEACH</v>
      </c>
      <c r="J11237" t="str">
        <f t="shared" si="4107"/>
        <v>VA</v>
      </c>
      <c r="K11237" t="str">
        <f>T("01197338409413")</f>
        <v>01197338409413</v>
      </c>
      <c r="L11237" t="str">
        <f>T("7574928869")</f>
        <v>7574928869</v>
      </c>
    </row>
    <row r="11238" spans="1:12" x14ac:dyDescent="0.35">
      <c r="A11238" t="str">
        <f t="shared" si="4103"/>
        <v>CRG-2</v>
      </c>
      <c r="B11238" t="str">
        <f t="shared" si="4104"/>
        <v>CRG-2 JEBLC BLDG 1265</v>
      </c>
      <c r="C11238" t="str">
        <f t="shared" si="4096"/>
        <v>2465 GUADALCANAL ROAD</v>
      </c>
      <c r="D11238" t="str">
        <f t="shared" si="4097"/>
        <v>VIRGINIA BEACH</v>
      </c>
      <c r="E11238" t="str">
        <f t="shared" si="4098"/>
        <v>VA</v>
      </c>
      <c r="F11238" t="str">
        <f t="shared" si="4105"/>
        <v>234599211</v>
      </c>
      <c r="G11238" t="str">
        <f>T("CRG-2")</f>
        <v>CRG-2</v>
      </c>
      <c r="H11238" t="str">
        <f>T("2465 GUADALCANAL ROAD BLDG 1265")</f>
        <v>2465 GUADALCANAL ROAD BLDG 1265</v>
      </c>
      <c r="I11238" t="str">
        <f t="shared" si="4106"/>
        <v>VIRGINIA BEACH</v>
      </c>
      <c r="J11238" t="str">
        <f t="shared" si="4107"/>
        <v>VA</v>
      </c>
      <c r="K11238" t="str">
        <f>T("000000000000000000")</f>
        <v>000000000000000000</v>
      </c>
      <c r="L11238" t="str">
        <f>T("7574928745")</f>
        <v>7574928745</v>
      </c>
    </row>
    <row r="11239" spans="1:12" x14ac:dyDescent="0.35">
      <c r="A11239" t="str">
        <f t="shared" si="4103"/>
        <v>CRG-2</v>
      </c>
      <c r="B11239" t="str">
        <f t="shared" si="4104"/>
        <v>CRG-2 JEBLC BLDG 1265</v>
      </c>
      <c r="C11239" t="str">
        <f t="shared" si="4096"/>
        <v>2465 GUADALCANAL ROAD</v>
      </c>
      <c r="D11239" t="str">
        <f t="shared" si="4097"/>
        <v>VIRGINIA BEACH</v>
      </c>
      <c r="E11239" t="str">
        <f t="shared" si="4098"/>
        <v>VA</v>
      </c>
      <c r="F11239" t="str">
        <f t="shared" si="4105"/>
        <v>234599211</v>
      </c>
      <c r="G11239" t="str">
        <f>T("CRG-2 JEBLC BLDG 1265")</f>
        <v>CRG-2 JEBLC BLDG 1265</v>
      </c>
      <c r="H11239" t="str">
        <f>T("2465 GUADALCANAL ROAD")</f>
        <v>2465 GUADALCANAL ROAD</v>
      </c>
      <c r="I11239" t="str">
        <f t="shared" si="4106"/>
        <v>VIRGINIA BEACH</v>
      </c>
      <c r="J11239" t="str">
        <f t="shared" si="4107"/>
        <v>VA</v>
      </c>
      <c r="K11239" t="str">
        <f>T("7573960431")</f>
        <v>7573960431</v>
      </c>
      <c r="L11239" t="str">
        <f>T("7574928741")</f>
        <v>7574928741</v>
      </c>
    </row>
    <row r="11240" spans="1:12" x14ac:dyDescent="0.35">
      <c r="A11240" t="str">
        <f>T("NAVY EXPEDITION WARFIGHTING")</f>
        <v>NAVY EXPEDITION WARFIGHTING</v>
      </c>
      <c r="B11240" t="str">
        <f>T("1650 GATOR BLVD")</f>
        <v>1650 GATOR BLVD</v>
      </c>
      <c r="C11240" t="str">
        <f>T("BLDG 3509")</f>
        <v>BLDG 3509</v>
      </c>
      <c r="D11240" t="str">
        <f t="shared" ref="D11240:D11246" si="4108">T("VIRGINIA BCH")</f>
        <v>VIRGINIA BCH</v>
      </c>
      <c r="E11240" t="str">
        <f t="shared" si="4098"/>
        <v>VA</v>
      </c>
      <c r="F11240" t="str">
        <f>T("234598700")</f>
        <v>234598700</v>
      </c>
      <c r="G11240" t="str">
        <f>T("1650 GATOR BLVD")</f>
        <v>1650 GATOR BLVD</v>
      </c>
      <c r="H11240" t="str">
        <f>T("BLDG 3509")</f>
        <v>BLDG 3509</v>
      </c>
      <c r="I11240" t="str">
        <f>T("VIRGINIA BCH")</f>
        <v>VIRGINIA BCH</v>
      </c>
      <c r="J11240" t="str">
        <f t="shared" si="4107"/>
        <v>VA</v>
      </c>
      <c r="K11240" t="str">
        <f>T("757-462-7034")</f>
        <v>757-462-7034</v>
      </c>
      <c r="L11240" t="str">
        <f>T("7574623961")</f>
        <v>7574623961</v>
      </c>
    </row>
    <row r="11241" spans="1:12" x14ac:dyDescent="0.35">
      <c r="A11241" t="str">
        <f>T("NAVY EXPEDITION WARFIGHTING")</f>
        <v>NAVY EXPEDITION WARFIGHTING</v>
      </c>
      <c r="B11241" t="str">
        <f>T("1650 GATOR BLVD")</f>
        <v>1650 GATOR BLVD</v>
      </c>
      <c r="C11241" t="str">
        <f>T("BLDG 3509")</f>
        <v>BLDG 3509</v>
      </c>
      <c r="D11241" t="str">
        <f t="shared" si="4108"/>
        <v>VIRGINIA BCH</v>
      </c>
      <c r="E11241" t="str">
        <f t="shared" si="4098"/>
        <v>VA</v>
      </c>
      <c r="F11241" t="str">
        <f>T("234598700")</f>
        <v>234598700</v>
      </c>
      <c r="G11241" t="str">
        <f>T("1650 GATOR BLVD")</f>
        <v>1650 GATOR BLVD</v>
      </c>
      <c r="H11241" t="str">
        <f>T("BLDG 3509")</f>
        <v>BLDG 3509</v>
      </c>
      <c r="I11241" t="str">
        <f>T("VIRGINIA BEACH")</f>
        <v>VIRGINIA BEACH</v>
      </c>
      <c r="J11241" t="str">
        <f t="shared" si="4107"/>
        <v>VA</v>
      </c>
      <c r="K11241" t="str">
        <f>T("000000000000000000")</f>
        <v>000000000000000000</v>
      </c>
      <c r="L11241" t="str">
        <f>T("7574628027")</f>
        <v>7574628027</v>
      </c>
    </row>
    <row r="11242" spans="1:12" x14ac:dyDescent="0.35">
      <c r="A11242" t="str">
        <f>T("NAVY EXPEDITION WARFIGHTING")</f>
        <v>NAVY EXPEDITION WARFIGHTING</v>
      </c>
      <c r="B11242" t="str">
        <f>T("1650 GATOR BLVD")</f>
        <v>1650 GATOR BLVD</v>
      </c>
      <c r="C11242" t="str">
        <f>T("BLDG 3509")</f>
        <v>BLDG 3509</v>
      </c>
      <c r="D11242" t="str">
        <f t="shared" si="4108"/>
        <v>VIRGINIA BCH</v>
      </c>
      <c r="E11242" t="str">
        <f t="shared" si="4098"/>
        <v>VA</v>
      </c>
      <c r="F11242" t="str">
        <f>T("234598700")</f>
        <v>234598700</v>
      </c>
      <c r="G11242" t="str">
        <f>T("1650 GATOR BLVD")</f>
        <v>1650 GATOR BLVD</v>
      </c>
      <c r="H11242" t="str">
        <f>T("BLDG 3509 JEB LITTLE CREEK")</f>
        <v>BLDG 3509 JEB LITTLE CREEK</v>
      </c>
      <c r="I11242" t="str">
        <f>T("VIRGINIA BEACH")</f>
        <v>VIRGINIA BEACH</v>
      </c>
      <c r="J11242" t="str">
        <f t="shared" si="4107"/>
        <v>VA</v>
      </c>
      <c r="K11242" t="str">
        <f>T("000000000000000000")</f>
        <v>000000000000000000</v>
      </c>
      <c r="L11242" t="str">
        <f>T("7574623961")</f>
        <v>7574623961</v>
      </c>
    </row>
    <row r="11243" spans="1:12" x14ac:dyDescent="0.35">
      <c r="A11243" t="str">
        <f>T("NAVY EXPEDITION WARFIGHTING")</f>
        <v>NAVY EXPEDITION WARFIGHTING</v>
      </c>
      <c r="B11243" t="str">
        <f>T("1650 GATOR BLVD")</f>
        <v>1650 GATOR BLVD</v>
      </c>
      <c r="C11243" t="str">
        <f>T("BLDG 3509")</f>
        <v>BLDG 3509</v>
      </c>
      <c r="D11243" t="str">
        <f t="shared" si="4108"/>
        <v>VIRGINIA BCH</v>
      </c>
      <c r="E11243" t="str">
        <f t="shared" si="4098"/>
        <v>VA</v>
      </c>
      <c r="F11243" t="str">
        <f>T("234598700")</f>
        <v>234598700</v>
      </c>
      <c r="G11243" t="str">
        <f>T("JEB LITTLE CREEK 1650 GATOR BLVD")</f>
        <v>JEB LITTLE CREEK 1650 GATOR BLVD</v>
      </c>
      <c r="H11243" t="str">
        <f>T("BLDG 3509 EXWDC")</f>
        <v>BLDG 3509 EXWDC</v>
      </c>
      <c r="I11243" t="str">
        <f>T("VIRGINIA BEACH")</f>
        <v>VIRGINIA BEACH</v>
      </c>
      <c r="J11243" t="str">
        <f t="shared" si="4107"/>
        <v>VA</v>
      </c>
      <c r="K11243" t="str">
        <f>T("000000000000000000")</f>
        <v>000000000000000000</v>
      </c>
      <c r="L11243" t="str">
        <f>T("7574623640")</f>
        <v>7574623640</v>
      </c>
    </row>
    <row r="11244" spans="1:12" x14ac:dyDescent="0.35">
      <c r="A11244" t="str">
        <f>T("COMNECC")</f>
        <v>COMNECC</v>
      </c>
      <c r="B11244" t="str">
        <f>T("1575 GATOR BLVD BLDG 3504")</f>
        <v>1575 GATOR BLVD BLDG 3504</v>
      </c>
      <c r="C11244" t="str">
        <f t="shared" ref="C11244:C11258" si="4109">T("")</f>
        <v/>
      </c>
      <c r="D11244" t="str">
        <f t="shared" si="4108"/>
        <v>VIRGINIA BCH</v>
      </c>
      <c r="E11244" t="str">
        <f t="shared" si="4098"/>
        <v>VA</v>
      </c>
      <c r="F11244" t="str">
        <f>T("234598739")</f>
        <v>234598739</v>
      </c>
      <c r="G11244" t="str">
        <f>T("1575 GATOR BLVD")</f>
        <v>1575 GATOR BLVD</v>
      </c>
      <c r="H11244" t="str">
        <f>T("BLDG 3504")</f>
        <v>BLDG 3504</v>
      </c>
      <c r="I11244" t="str">
        <f>T("NORFOLK")</f>
        <v>NORFOLK</v>
      </c>
      <c r="J11244" t="str">
        <f t="shared" si="4107"/>
        <v>VA</v>
      </c>
      <c r="K11244" t="str">
        <f>T("7574623171")</f>
        <v>7574623171</v>
      </c>
      <c r="L11244" t="str">
        <f>T("7574622360")</f>
        <v>7574622360</v>
      </c>
    </row>
    <row r="11245" spans="1:12" x14ac:dyDescent="0.35">
      <c r="A11245" t="str">
        <f>T("COMNECC")</f>
        <v>COMNECC</v>
      </c>
      <c r="B11245" t="str">
        <f>T("1575 GATOR BLVD BLDG 3504")</f>
        <v>1575 GATOR BLVD BLDG 3504</v>
      </c>
      <c r="C11245" t="str">
        <f t="shared" si="4109"/>
        <v/>
      </c>
      <c r="D11245" t="str">
        <f t="shared" si="4108"/>
        <v>VIRGINIA BCH</v>
      </c>
      <c r="E11245" t="str">
        <f t="shared" si="4098"/>
        <v>VA</v>
      </c>
      <c r="F11245" t="str">
        <f>T("234598739")</f>
        <v>234598739</v>
      </c>
      <c r="G11245" t="str">
        <f>T("1575 GATOR BLVD")</f>
        <v>1575 GATOR BLVD</v>
      </c>
      <c r="H11245" t="str">
        <f>T("BLDG 3504")</f>
        <v>BLDG 3504</v>
      </c>
      <c r="I11245" t="str">
        <f>T("VIRGINIA BEACH")</f>
        <v>VIRGINIA BEACH</v>
      </c>
      <c r="J11245" t="str">
        <f t="shared" si="4107"/>
        <v>VA</v>
      </c>
      <c r="K11245" t="str">
        <f>T("7574623171")</f>
        <v>7574623171</v>
      </c>
      <c r="L11245" t="str">
        <f>T("7574622360")</f>
        <v>7574622360</v>
      </c>
    </row>
    <row r="11246" spans="1:12" x14ac:dyDescent="0.35">
      <c r="A11246" t="str">
        <f>T("COMNECC")</f>
        <v>COMNECC</v>
      </c>
      <c r="B11246" t="str">
        <f>T("1575 GATOR BLVD BLDG 3504")</f>
        <v>1575 GATOR BLVD BLDG 3504</v>
      </c>
      <c r="C11246" t="str">
        <f t="shared" si="4109"/>
        <v/>
      </c>
      <c r="D11246" t="str">
        <f t="shared" si="4108"/>
        <v>VIRGINIA BCH</v>
      </c>
      <c r="E11246" t="str">
        <f t="shared" si="4098"/>
        <v>VA</v>
      </c>
      <c r="F11246" t="str">
        <f>T("234598739")</f>
        <v>234598739</v>
      </c>
      <c r="G11246" t="str">
        <f>T("1575 GATOR BLVD BLDG 3504")</f>
        <v>1575 GATOR BLVD BLDG 3504</v>
      </c>
      <c r="H11246" t="str">
        <f t="shared" ref="H11246:H11253" si="4110">T("")</f>
        <v/>
      </c>
      <c r="I11246" t="str">
        <f>T("VIRGINIA BCH")</f>
        <v>VIRGINIA BCH</v>
      </c>
      <c r="J11246" t="str">
        <f t="shared" si="4107"/>
        <v>VA</v>
      </c>
      <c r="K11246" t="str">
        <f>T("7574623171")</f>
        <v>7574623171</v>
      </c>
      <c r="L11246" t="str">
        <f>T("7574628032")</f>
        <v>7574628032</v>
      </c>
    </row>
    <row r="11247" spans="1:12" x14ac:dyDescent="0.35">
      <c r="A11247" t="str">
        <f t="shared" ref="A11247:A11258" si="4111">T("COMNAVMETOCCOM")</f>
        <v>COMNAVMETOCCOM</v>
      </c>
      <c r="B11247" t="str">
        <f t="shared" ref="B11247:B11257" si="4112">T("1100 BALCH BLVD")</f>
        <v>1100 BALCH BLVD</v>
      </c>
      <c r="C11247" t="str">
        <f t="shared" si="4109"/>
        <v/>
      </c>
      <c r="D11247" t="str">
        <f t="shared" ref="D11247:D11254" si="4113">T("STENNIS CTR")</f>
        <v>STENNIS CTR</v>
      </c>
      <c r="E11247" t="str">
        <f t="shared" ref="E11247:E11257" si="4114">T("MS")</f>
        <v>MS</v>
      </c>
      <c r="F11247" t="str">
        <f t="shared" ref="F11247:F11257" si="4115">T("395290001")</f>
        <v>395290001</v>
      </c>
      <c r="G11247" t="str">
        <f t="shared" ref="G11247:G11253" si="4116">T("1100 BALCH BLVD")</f>
        <v>1100 BALCH BLVD</v>
      </c>
      <c r="H11247" t="str">
        <f t="shared" si="4110"/>
        <v/>
      </c>
      <c r="I11247" t="str">
        <f>T("STENNIS CTR")</f>
        <v>STENNIS CTR</v>
      </c>
      <c r="J11247" t="str">
        <f t="shared" ref="J11247:J11257" si="4117">T("MS")</f>
        <v>MS</v>
      </c>
      <c r="K11247" t="str">
        <f>T("000000000000000000")</f>
        <v>000000000000000000</v>
      </c>
      <c r="L11247" t="str">
        <f>T("2286885994")</f>
        <v>2286885994</v>
      </c>
    </row>
    <row r="11248" spans="1:12" x14ac:dyDescent="0.35">
      <c r="A11248" t="str">
        <f t="shared" si="4111"/>
        <v>COMNAVMETOCCOM</v>
      </c>
      <c r="B11248" t="str">
        <f t="shared" si="4112"/>
        <v>1100 BALCH BLVD</v>
      </c>
      <c r="C11248" t="str">
        <f t="shared" si="4109"/>
        <v/>
      </c>
      <c r="D11248" t="str">
        <f t="shared" si="4113"/>
        <v>STENNIS CTR</v>
      </c>
      <c r="E11248" t="str">
        <f t="shared" si="4114"/>
        <v>MS</v>
      </c>
      <c r="F11248" t="str">
        <f t="shared" si="4115"/>
        <v>395290001</v>
      </c>
      <c r="G11248" t="str">
        <f t="shared" si="4116"/>
        <v>1100 BALCH BLVD</v>
      </c>
      <c r="H11248" t="str">
        <f t="shared" si="4110"/>
        <v/>
      </c>
      <c r="I11248" t="str">
        <f>T("STENNIS CTR")</f>
        <v>STENNIS CTR</v>
      </c>
      <c r="J11248" t="str">
        <f t="shared" si="4117"/>
        <v>MS</v>
      </c>
      <c r="K11248" t="str">
        <f>T("2286884641")</f>
        <v>2286884641</v>
      </c>
      <c r="L11248" t="str">
        <f>T("2286885696")</f>
        <v>2286885696</v>
      </c>
    </row>
    <row r="11249" spans="1:12" x14ac:dyDescent="0.35">
      <c r="A11249" t="str">
        <f t="shared" si="4111"/>
        <v>COMNAVMETOCCOM</v>
      </c>
      <c r="B11249" t="str">
        <f t="shared" si="4112"/>
        <v>1100 BALCH BLVD</v>
      </c>
      <c r="C11249" t="str">
        <f t="shared" si="4109"/>
        <v/>
      </c>
      <c r="D11249" t="str">
        <f t="shared" si="4113"/>
        <v>STENNIS CTR</v>
      </c>
      <c r="E11249" t="str">
        <f t="shared" si="4114"/>
        <v>MS</v>
      </c>
      <c r="F11249" t="str">
        <f t="shared" si="4115"/>
        <v>395290001</v>
      </c>
      <c r="G11249" t="str">
        <f t="shared" si="4116"/>
        <v>1100 BALCH BLVD</v>
      </c>
      <c r="H11249" t="str">
        <f t="shared" si="4110"/>
        <v/>
      </c>
      <c r="I11249" t="str">
        <f t="shared" ref="I11249:I11256" si="4118">T("STENNIS SPACE CENTER")</f>
        <v>STENNIS SPACE CENTER</v>
      </c>
      <c r="J11249" t="str">
        <f t="shared" si="4117"/>
        <v>MS</v>
      </c>
      <c r="K11249" t="str">
        <f>T("000000000000000000")</f>
        <v>000000000000000000</v>
      </c>
      <c r="L11249" t="str">
        <f>T("2286884162")</f>
        <v>2286884162</v>
      </c>
    </row>
    <row r="11250" spans="1:12" x14ac:dyDescent="0.35">
      <c r="A11250" t="str">
        <f t="shared" si="4111"/>
        <v>COMNAVMETOCCOM</v>
      </c>
      <c r="B11250" t="str">
        <f t="shared" si="4112"/>
        <v>1100 BALCH BLVD</v>
      </c>
      <c r="C11250" t="str">
        <f t="shared" si="4109"/>
        <v/>
      </c>
      <c r="D11250" t="str">
        <f t="shared" si="4113"/>
        <v>STENNIS CTR</v>
      </c>
      <c r="E11250" t="str">
        <f t="shared" si="4114"/>
        <v>MS</v>
      </c>
      <c r="F11250" t="str">
        <f t="shared" si="4115"/>
        <v>395290001</v>
      </c>
      <c r="G11250" t="str">
        <f t="shared" si="4116"/>
        <v>1100 BALCH BLVD</v>
      </c>
      <c r="H11250" t="str">
        <f t="shared" si="4110"/>
        <v/>
      </c>
      <c r="I11250" t="str">
        <f t="shared" si="4118"/>
        <v>STENNIS SPACE CENTER</v>
      </c>
      <c r="J11250" t="str">
        <f t="shared" si="4117"/>
        <v>MS</v>
      </c>
      <c r="K11250" t="str">
        <f>T("000000000000000000")</f>
        <v>000000000000000000</v>
      </c>
      <c r="L11250" t="str">
        <f>T("2286884361")</f>
        <v>2286884361</v>
      </c>
    </row>
    <row r="11251" spans="1:12" x14ac:dyDescent="0.35">
      <c r="A11251" t="str">
        <f t="shared" si="4111"/>
        <v>COMNAVMETOCCOM</v>
      </c>
      <c r="B11251" t="str">
        <f t="shared" si="4112"/>
        <v>1100 BALCH BLVD</v>
      </c>
      <c r="C11251" t="str">
        <f t="shared" si="4109"/>
        <v/>
      </c>
      <c r="D11251" t="str">
        <f t="shared" si="4113"/>
        <v>STENNIS CTR</v>
      </c>
      <c r="E11251" t="str">
        <f t="shared" si="4114"/>
        <v>MS</v>
      </c>
      <c r="F11251" t="str">
        <f t="shared" si="4115"/>
        <v>395290001</v>
      </c>
      <c r="G11251" t="str">
        <f t="shared" si="4116"/>
        <v>1100 BALCH BLVD</v>
      </c>
      <c r="H11251" t="str">
        <f t="shared" si="4110"/>
        <v/>
      </c>
      <c r="I11251" t="str">
        <f t="shared" si="4118"/>
        <v>STENNIS SPACE CENTER</v>
      </c>
      <c r="J11251" t="str">
        <f t="shared" si="4117"/>
        <v>MS</v>
      </c>
      <c r="K11251" t="str">
        <f>T("000000000000000000")</f>
        <v>000000000000000000</v>
      </c>
      <c r="L11251" t="str">
        <f>T("2286884580")</f>
        <v>2286884580</v>
      </c>
    </row>
    <row r="11252" spans="1:12" x14ac:dyDescent="0.35">
      <c r="A11252" t="str">
        <f t="shared" si="4111"/>
        <v>COMNAVMETOCCOM</v>
      </c>
      <c r="B11252" t="str">
        <f t="shared" si="4112"/>
        <v>1100 BALCH BLVD</v>
      </c>
      <c r="C11252" t="str">
        <f t="shared" si="4109"/>
        <v/>
      </c>
      <c r="D11252" t="str">
        <f t="shared" si="4113"/>
        <v>STENNIS CTR</v>
      </c>
      <c r="E11252" t="str">
        <f t="shared" si="4114"/>
        <v>MS</v>
      </c>
      <c r="F11252" t="str">
        <f t="shared" si="4115"/>
        <v>395290001</v>
      </c>
      <c r="G11252" t="str">
        <f t="shared" si="4116"/>
        <v>1100 BALCH BLVD</v>
      </c>
      <c r="H11252" t="str">
        <f t="shared" si="4110"/>
        <v/>
      </c>
      <c r="I11252" t="str">
        <f t="shared" si="4118"/>
        <v>STENNIS SPACE CENTER</v>
      </c>
      <c r="J11252" t="str">
        <f t="shared" si="4117"/>
        <v>MS</v>
      </c>
      <c r="K11252" t="str">
        <f>T("000000000000000000")</f>
        <v>000000000000000000</v>
      </c>
      <c r="L11252" t="str">
        <f>T("2286884829")</f>
        <v>2286884829</v>
      </c>
    </row>
    <row r="11253" spans="1:12" x14ac:dyDescent="0.35">
      <c r="A11253" t="str">
        <f t="shared" si="4111"/>
        <v>COMNAVMETOCCOM</v>
      </c>
      <c r="B11253" t="str">
        <f t="shared" si="4112"/>
        <v>1100 BALCH BLVD</v>
      </c>
      <c r="C11253" t="str">
        <f t="shared" si="4109"/>
        <v/>
      </c>
      <c r="D11253" t="str">
        <f t="shared" si="4113"/>
        <v>STENNIS CTR</v>
      </c>
      <c r="E11253" t="str">
        <f t="shared" si="4114"/>
        <v>MS</v>
      </c>
      <c r="F11253" t="str">
        <f t="shared" si="4115"/>
        <v>395290001</v>
      </c>
      <c r="G11253" t="str">
        <f t="shared" si="4116"/>
        <v>1100 BALCH BLVD</v>
      </c>
      <c r="H11253" t="str">
        <f t="shared" si="4110"/>
        <v/>
      </c>
      <c r="I11253" t="str">
        <f t="shared" si="4118"/>
        <v>STENNIS SPACE CENTER</v>
      </c>
      <c r="J11253" t="str">
        <f t="shared" si="4117"/>
        <v>MS</v>
      </c>
      <c r="K11253" t="str">
        <f>T("2286885791")</f>
        <v>2286885791</v>
      </c>
      <c r="L11253" t="str">
        <f>T("2286884366")</f>
        <v>2286884366</v>
      </c>
    </row>
    <row r="11254" spans="1:12" x14ac:dyDescent="0.35">
      <c r="A11254" t="str">
        <f t="shared" si="4111"/>
        <v>COMNAVMETOCCOM</v>
      </c>
      <c r="B11254" t="str">
        <f t="shared" si="4112"/>
        <v>1100 BALCH BLVD</v>
      </c>
      <c r="C11254" t="str">
        <f t="shared" si="4109"/>
        <v/>
      </c>
      <c r="D11254" t="str">
        <f t="shared" si="4113"/>
        <v>STENNIS CTR</v>
      </c>
      <c r="E11254" t="str">
        <f t="shared" si="4114"/>
        <v>MS</v>
      </c>
      <c r="F11254" t="str">
        <f t="shared" si="4115"/>
        <v>395290001</v>
      </c>
      <c r="G11254" t="str">
        <f>T("COMNAVMETOCCOM")</f>
        <v>COMNAVMETOCCOM</v>
      </c>
      <c r="H11254" t="str">
        <f>T("1100 BALCH BLVD")</f>
        <v>1100 BALCH BLVD</v>
      </c>
      <c r="I11254" t="str">
        <f t="shared" si="4118"/>
        <v>STENNIS SPACE CENTER</v>
      </c>
      <c r="J11254" t="str">
        <f t="shared" si="4117"/>
        <v>MS</v>
      </c>
      <c r="K11254" t="str">
        <f>T("000000000000000000")</f>
        <v>000000000000000000</v>
      </c>
      <c r="L11254" t="str">
        <f>T("2286885986")</f>
        <v>2286885986</v>
      </c>
    </row>
    <row r="11255" spans="1:12" x14ac:dyDescent="0.35">
      <c r="A11255" t="str">
        <f t="shared" si="4111"/>
        <v>COMNAVMETOCCOM</v>
      </c>
      <c r="B11255" t="str">
        <f t="shared" si="4112"/>
        <v>1100 BALCH BLVD</v>
      </c>
      <c r="C11255" t="str">
        <f t="shared" si="4109"/>
        <v/>
      </c>
      <c r="D11255" t="str">
        <f>T("STENNIS SP CT")</f>
        <v>STENNIS SP CT</v>
      </c>
      <c r="E11255" t="str">
        <f t="shared" si="4114"/>
        <v>MS</v>
      </c>
      <c r="F11255" t="str">
        <f t="shared" si="4115"/>
        <v>395290001</v>
      </c>
      <c r="G11255" t="str">
        <f>T("1002 BALCH BLVD")</f>
        <v>1002 BALCH BLVD</v>
      </c>
      <c r="H11255" t="str">
        <f>T("")</f>
        <v/>
      </c>
      <c r="I11255" t="str">
        <f t="shared" si="4118"/>
        <v>STENNIS SPACE CENTER</v>
      </c>
      <c r="J11255" t="str">
        <f t="shared" si="4117"/>
        <v>MS</v>
      </c>
      <c r="K11255" t="str">
        <f>T("000000000000000000")</f>
        <v>000000000000000000</v>
      </c>
      <c r="L11255" t="str">
        <f>T("2286884061")</f>
        <v>2286884061</v>
      </c>
    </row>
    <row r="11256" spans="1:12" x14ac:dyDescent="0.35">
      <c r="A11256" t="str">
        <f t="shared" si="4111"/>
        <v>COMNAVMETOCCOM</v>
      </c>
      <c r="B11256" t="str">
        <f t="shared" si="4112"/>
        <v>1100 BALCH BLVD</v>
      </c>
      <c r="C11256" t="str">
        <f t="shared" si="4109"/>
        <v/>
      </c>
      <c r="D11256" t="str">
        <f>T("STENNIS SP CT")</f>
        <v>STENNIS SP CT</v>
      </c>
      <c r="E11256" t="str">
        <f t="shared" si="4114"/>
        <v>MS</v>
      </c>
      <c r="F11256" t="str">
        <f t="shared" si="4115"/>
        <v>395290001</v>
      </c>
      <c r="G11256" t="str">
        <f>T("1002 BALCH BLVD")</f>
        <v>1002 BALCH BLVD</v>
      </c>
      <c r="H11256" t="str">
        <f>T("NAVY DSRC")</f>
        <v>NAVY DSRC</v>
      </c>
      <c r="I11256" t="str">
        <f t="shared" si="4118"/>
        <v>STENNIS SPACE CENTER</v>
      </c>
      <c r="J11256" t="str">
        <f t="shared" si="4117"/>
        <v>MS</v>
      </c>
      <c r="K11256" t="str">
        <f>T("000000000000000000")</f>
        <v>000000000000000000</v>
      </c>
      <c r="L11256" t="str">
        <f>T("2286885092")</f>
        <v>2286885092</v>
      </c>
    </row>
    <row r="11257" spans="1:12" x14ac:dyDescent="0.35">
      <c r="A11257" t="str">
        <f t="shared" si="4111"/>
        <v>COMNAVMETOCCOM</v>
      </c>
      <c r="B11257" t="str">
        <f t="shared" si="4112"/>
        <v>1100 BALCH BLVD</v>
      </c>
      <c r="C11257" t="str">
        <f t="shared" si="4109"/>
        <v/>
      </c>
      <c r="D11257" t="str">
        <f>T("STENNIS SP CT")</f>
        <v>STENNIS SP CT</v>
      </c>
      <c r="E11257" t="str">
        <f t="shared" si="4114"/>
        <v>MS</v>
      </c>
      <c r="F11257" t="str">
        <f t="shared" si="4115"/>
        <v>395290001</v>
      </c>
      <c r="G11257" t="str">
        <f>T("1100 BALCH BLVD")</f>
        <v>1100 BALCH BLVD</v>
      </c>
      <c r="H11257" t="str">
        <f>T("")</f>
        <v/>
      </c>
      <c r="I11257" t="str">
        <f>T("STENNIS SP CT")</f>
        <v>STENNIS SP CT</v>
      </c>
      <c r="J11257" t="str">
        <f t="shared" si="4117"/>
        <v>MS</v>
      </c>
      <c r="K11257" t="str">
        <f>T("2286884356")</f>
        <v>2286884356</v>
      </c>
      <c r="L11257" t="str">
        <f>T("2286885010")</f>
        <v>2286885010</v>
      </c>
    </row>
    <row r="11258" spans="1:12" x14ac:dyDescent="0.35">
      <c r="A11258" t="str">
        <f t="shared" si="4111"/>
        <v>COMNAVMETOCCOM</v>
      </c>
      <c r="B11258" t="str">
        <f>T("2000 NAVY PENTAGON")</f>
        <v>2000 NAVY PENTAGON</v>
      </c>
      <c r="C11258" t="str">
        <f t="shared" si="4109"/>
        <v/>
      </c>
      <c r="D11258" t="str">
        <f>T("WASHINGTON")</f>
        <v>WASHINGTON</v>
      </c>
      <c r="E11258" t="str">
        <f>T("DC")</f>
        <v>DC</v>
      </c>
      <c r="F11258" t="str">
        <f>T("203502000")</f>
        <v>203502000</v>
      </c>
      <c r="G11258" t="str">
        <f>T("2000 NAVY PENTAGON")</f>
        <v>2000 NAVY PENTAGON</v>
      </c>
      <c r="H11258" t="str">
        <f>T("")</f>
        <v/>
      </c>
      <c r="I11258" t="str">
        <f>T("WASHINGTON")</f>
        <v>WASHINGTON</v>
      </c>
      <c r="J11258" t="str">
        <f>T("DC")</f>
        <v>DC</v>
      </c>
      <c r="K11258" t="str">
        <f>T("")</f>
        <v/>
      </c>
      <c r="L11258" t="str">
        <f>T("7036141768")</f>
        <v>7036141768</v>
      </c>
    </row>
    <row r="11259" spans="1:12" x14ac:dyDescent="0.35">
      <c r="A11259" t="str">
        <f>T("ZZ DELETE")</f>
        <v>ZZ DELETE</v>
      </c>
      <c r="B11259" t="str">
        <f>T("1002 BALCH BLVD")</f>
        <v>1002 BALCH BLVD</v>
      </c>
      <c r="C11259" t="str">
        <f>T("CODE N623")</f>
        <v>CODE N623</v>
      </c>
      <c r="D11259" t="str">
        <f>T("STENNIS SPACE CENTER")</f>
        <v>STENNIS SPACE CENTER</v>
      </c>
      <c r="E11259" t="str">
        <f>T("MS")</f>
        <v>MS</v>
      </c>
      <c r="F11259" t="str">
        <f>T("395225001")</f>
        <v>395225001</v>
      </c>
      <c r="G11259" t="str">
        <f>T("1002 BALCH BLVD")</f>
        <v>1002 BALCH BLVD</v>
      </c>
      <c r="H11259" t="str">
        <f>T("CODE N623")</f>
        <v>CODE N623</v>
      </c>
      <c r="I11259" t="str">
        <f>T("STENNIS SPACE CENTER")</f>
        <v>STENNIS SPACE CENTER</v>
      </c>
      <c r="J11259" t="str">
        <f>T("MS")</f>
        <v>MS</v>
      </c>
      <c r="K11259" t="str">
        <f>T("2286884506")</f>
        <v>2286884506</v>
      </c>
      <c r="L11259" t="str">
        <f>T("2286884406")</f>
        <v>2286884406</v>
      </c>
    </row>
    <row r="11260" spans="1:12" x14ac:dyDescent="0.35">
      <c r="A11260" t="str">
        <f>T("HSC-2")</f>
        <v>HSC-2</v>
      </c>
      <c r="B11260" t="str">
        <f>T("524 A ST")</f>
        <v>524 A ST</v>
      </c>
      <c r="C11260" t="str">
        <f>T("BLDG SP-35")</f>
        <v>BLDG SP-35</v>
      </c>
      <c r="D11260" t="str">
        <f>T("NORFOLK")</f>
        <v>NORFOLK</v>
      </c>
      <c r="E11260" t="str">
        <f>T("VA")</f>
        <v>VA</v>
      </c>
      <c r="F11260" t="str">
        <f>T("235114007")</f>
        <v>235114007</v>
      </c>
      <c r="G11260" t="str">
        <f>T("524 A ST")</f>
        <v>524 A ST</v>
      </c>
      <c r="H11260" t="str">
        <f>T("BLDG SP-35")</f>
        <v>BLDG SP-35</v>
      </c>
      <c r="I11260" t="str">
        <f>T("NORFOLK")</f>
        <v>NORFOLK</v>
      </c>
      <c r="J11260" t="str">
        <f>T("VA")</f>
        <v>VA</v>
      </c>
      <c r="K11260" t="str">
        <f>T("7574447296")</f>
        <v>7574447296</v>
      </c>
      <c r="L11260" t="str">
        <f>T("7574455558")</f>
        <v>7574455558</v>
      </c>
    </row>
    <row r="11261" spans="1:12" x14ac:dyDescent="0.35">
      <c r="A11261" t="str">
        <f>T("HSC-2")</f>
        <v>HSC-2</v>
      </c>
      <c r="B11261" t="str">
        <f>T("524 A ST")</f>
        <v>524 A ST</v>
      </c>
      <c r="C11261" t="str">
        <f>T("BLDG SP-35")</f>
        <v>BLDG SP-35</v>
      </c>
      <c r="D11261" t="str">
        <f>T("NORFOLK")</f>
        <v>NORFOLK</v>
      </c>
      <c r="E11261" t="str">
        <f>T("VA")</f>
        <v>VA</v>
      </c>
      <c r="F11261" t="str">
        <f>T("235114007")</f>
        <v>235114007</v>
      </c>
      <c r="G11261" t="str">
        <f>T("524 A ST")</f>
        <v>524 A ST</v>
      </c>
      <c r="H11261" t="str">
        <f>T("BLDG SP-35")</f>
        <v>BLDG SP-35</v>
      </c>
      <c r="I11261" t="str">
        <f>T("NORFOLK")</f>
        <v>NORFOLK</v>
      </c>
      <c r="J11261" t="str">
        <f>T("VA")</f>
        <v>VA</v>
      </c>
      <c r="K11261" t="str">
        <f>T("7574447296")</f>
        <v>7574447296</v>
      </c>
      <c r="L11261" t="str">
        <f>T("7574455691")</f>
        <v>7574455691</v>
      </c>
    </row>
    <row r="11262" spans="1:12" x14ac:dyDescent="0.35">
      <c r="A11262" t="str">
        <f>T("HSC-2")</f>
        <v>HSC-2</v>
      </c>
      <c r="B11262" t="str">
        <f>T("524 A ST")</f>
        <v>524 A ST</v>
      </c>
      <c r="C11262" t="str">
        <f>T("BLDG SP-35")</f>
        <v>BLDG SP-35</v>
      </c>
      <c r="D11262" t="str">
        <f>T("NORFOLK")</f>
        <v>NORFOLK</v>
      </c>
      <c r="E11262" t="str">
        <f>T("VA")</f>
        <v>VA</v>
      </c>
      <c r="F11262" t="str">
        <f>T("235114007")</f>
        <v>235114007</v>
      </c>
      <c r="G11262" t="str">
        <f>T("524 A ST")</f>
        <v>524 A ST</v>
      </c>
      <c r="H11262" t="str">
        <f>T("BLDG SP-35 HSC-2")</f>
        <v>BLDG SP-35 HSC-2</v>
      </c>
      <c r="I11262" t="str">
        <f>T("NORFOLK")</f>
        <v>NORFOLK</v>
      </c>
      <c r="J11262" t="str">
        <f>T("VA")</f>
        <v>VA</v>
      </c>
      <c r="K11262" t="str">
        <f>T("7574447296")</f>
        <v>7574447296</v>
      </c>
      <c r="L11262" t="str">
        <f>T("7574455407")</f>
        <v>7574455407</v>
      </c>
    </row>
    <row r="11263" spans="1:12" x14ac:dyDescent="0.35">
      <c r="A11263" t="str">
        <f>T("HSC-26")</f>
        <v>HSC-26</v>
      </c>
      <c r="B11263" t="str">
        <f>T("1025 BELLINGER BLVD")</f>
        <v>1025 BELLINGER BLVD</v>
      </c>
      <c r="C11263" t="str">
        <f>T("BLDG LP-27")</f>
        <v>BLDG LP-27</v>
      </c>
      <c r="D11263" t="str">
        <f>T("NORFOLK")</f>
        <v>NORFOLK</v>
      </c>
      <c r="E11263" t="str">
        <f>T("VA")</f>
        <v>VA</v>
      </c>
      <c r="F11263" t="str">
        <f>T("235112595")</f>
        <v>235112595</v>
      </c>
      <c r="G11263" t="str">
        <f>T("1025 BELLINGER BLVD")</f>
        <v>1025 BELLINGER BLVD</v>
      </c>
      <c r="H11263" t="str">
        <f>T("BLDG LP 27")</f>
        <v>BLDG LP 27</v>
      </c>
      <c r="I11263" t="str">
        <f>T("NORFOLK")</f>
        <v>NORFOLK</v>
      </c>
      <c r="J11263" t="str">
        <f>T("VA")</f>
        <v>VA</v>
      </c>
      <c r="K11263" t="str">
        <f>T("7574451577")</f>
        <v>7574451577</v>
      </c>
      <c r="L11263" t="str">
        <f>T("7574452457")</f>
        <v>7574452457</v>
      </c>
    </row>
    <row r="11264" spans="1:12" x14ac:dyDescent="0.35">
      <c r="A11264" t="str">
        <f>T("HSC-26")</f>
        <v>HSC-26</v>
      </c>
      <c r="B11264" t="str">
        <f>T("1025 BELLINGER BLVD")</f>
        <v>1025 BELLINGER BLVD</v>
      </c>
      <c r="C11264" t="str">
        <f>T("BLDG LP-27")</f>
        <v>BLDG LP-27</v>
      </c>
      <c r="D11264" t="str">
        <f>T("NORFOLK")</f>
        <v>NORFOLK</v>
      </c>
      <c r="E11264" t="str">
        <f>T("VA")</f>
        <v>VA</v>
      </c>
      <c r="F11264" t="str">
        <f>T("235112595")</f>
        <v>235112595</v>
      </c>
      <c r="G11264" t="str">
        <f>T("1025 BELLINGER BLVD")</f>
        <v>1025 BELLINGER BLVD</v>
      </c>
      <c r="H11264" t="str">
        <f>T("BLDG LP-27")</f>
        <v>BLDG LP-27</v>
      </c>
      <c r="I11264" t="str">
        <f>T("NORFOLK")</f>
        <v>NORFOLK</v>
      </c>
      <c r="J11264" t="str">
        <f>T("VA")</f>
        <v>VA</v>
      </c>
      <c r="K11264" t="str">
        <f>T("757-445-1577")</f>
        <v>757-445-1577</v>
      </c>
      <c r="L11264" t="str">
        <f>T("7574452457")</f>
        <v>7574452457</v>
      </c>
    </row>
    <row r="11265" spans="1:12" x14ac:dyDescent="0.35">
      <c r="A11265" t="str">
        <f>T("ZZ DELETE")</f>
        <v>ZZ DELETE</v>
      </c>
      <c r="B11265" t="str">
        <f>T("USS THEODORE ROOSEVELT")</f>
        <v>USS THEODORE ROOSEVELT</v>
      </c>
      <c r="C11265" t="str">
        <f>T("SUPPLY/STOCK CONTROL")</f>
        <v>SUPPLY/STOCK CONTROL</v>
      </c>
      <c r="D11265" t="str">
        <f>T("FPO")</f>
        <v>FPO</v>
      </c>
      <c r="E11265" t="str">
        <f>T("AE")</f>
        <v>AE</v>
      </c>
      <c r="F11265" t="str">
        <f>T("095992871")</f>
        <v>095992871</v>
      </c>
      <c r="G11265" t="str">
        <f>T("USS THEODORE ROOSEVELT")</f>
        <v>USS THEODORE ROOSEVELT</v>
      </c>
      <c r="H11265" t="str">
        <f>T("SUPPLY/STOCK CONTROL")</f>
        <v>SUPPLY/STOCK CONTROL</v>
      </c>
      <c r="I11265" t="str">
        <f>T("FPO")</f>
        <v>FPO</v>
      </c>
      <c r="J11265" t="str">
        <f>T("AE")</f>
        <v>AE</v>
      </c>
      <c r="K11265" t="str">
        <f>T("7575341194")</f>
        <v>7575341194</v>
      </c>
      <c r="L11265" t="str">
        <f>T("7574437466")</f>
        <v>7574437466</v>
      </c>
    </row>
    <row r="11266" spans="1:12" x14ac:dyDescent="0.35">
      <c r="A11266" t="str">
        <f t="shared" ref="A11266:A11293" si="4119">T("CPRG NORFOLK")</f>
        <v>CPRG NORFOLK</v>
      </c>
      <c r="B11266" t="str">
        <f>T("7927 INGERSOL AVENUE")</f>
        <v>7927 INGERSOL AVENUE</v>
      </c>
      <c r="C11266" t="str">
        <f>T("SUITE 250")</f>
        <v>SUITE 250</v>
      </c>
      <c r="D11266" t="str">
        <f>T("NORFOLK")</f>
        <v>NORFOLK</v>
      </c>
      <c r="E11266" t="str">
        <f>T("VA")</f>
        <v>VA</v>
      </c>
      <c r="F11266" t="str">
        <f>T("235512308")</f>
        <v>235512308</v>
      </c>
      <c r="G11266" t="str">
        <f>T("7927 INGERSOL AVENUE")</f>
        <v>7927 INGERSOL AVENUE</v>
      </c>
      <c r="H11266" t="str">
        <f>T("SUITE 250")</f>
        <v>SUITE 250</v>
      </c>
      <c r="I11266" t="str">
        <f>T("NORFOLK")</f>
        <v>NORFOLK</v>
      </c>
      <c r="J11266" t="str">
        <f>T("VA")</f>
        <v>VA</v>
      </c>
      <c r="K11266" t="str">
        <f>T("7578366745")</f>
        <v>7578366745</v>
      </c>
      <c r="L11266" t="str">
        <f>T("7578365251")</f>
        <v>7578365251</v>
      </c>
    </row>
    <row r="11267" spans="1:12" x14ac:dyDescent="0.35">
      <c r="A11267" t="str">
        <f t="shared" si="4119"/>
        <v>CPRG NORFOLK</v>
      </c>
      <c r="B11267" t="str">
        <f>T("7927 INGERSOL AVENUE")</f>
        <v>7927 INGERSOL AVENUE</v>
      </c>
      <c r="C11267" t="str">
        <f>T("SUITE 250")</f>
        <v>SUITE 250</v>
      </c>
      <c r="D11267" t="str">
        <f>T("NORFOLK")</f>
        <v>NORFOLK</v>
      </c>
      <c r="E11267" t="str">
        <f>T("VA")</f>
        <v>VA</v>
      </c>
      <c r="F11267" t="str">
        <f>T("235512308")</f>
        <v>235512308</v>
      </c>
      <c r="G11267" t="str">
        <f>T("7927 INGERSOL ST")</f>
        <v>7927 INGERSOL ST</v>
      </c>
      <c r="H11267" t="str">
        <f>T("")</f>
        <v/>
      </c>
      <c r="I11267" t="str">
        <f>T("NORFOLK")</f>
        <v>NORFOLK</v>
      </c>
      <c r="J11267" t="str">
        <f>T("VA")</f>
        <v>VA</v>
      </c>
      <c r="K11267" t="str">
        <f>T("7578366745")</f>
        <v>7578366745</v>
      </c>
      <c r="L11267" t="str">
        <f>T("7578362048")</f>
        <v>7578362048</v>
      </c>
    </row>
    <row r="11268" spans="1:12" x14ac:dyDescent="0.35">
      <c r="A11268" t="str">
        <f t="shared" si="4119"/>
        <v>CPRG NORFOLK</v>
      </c>
      <c r="B11268" t="str">
        <f>T("BLDG 514")</f>
        <v>BLDG 514</v>
      </c>
      <c r="C11268" t="str">
        <f>T("SARATOGA ST")</f>
        <v>SARATOGA ST</v>
      </c>
      <c r="D11268" t="str">
        <f t="shared" ref="D11268:D11292" si="4120">T("JACKSONVILLE")</f>
        <v>JACKSONVILLE</v>
      </c>
      <c r="E11268" t="str">
        <f t="shared" ref="E11268:E11292" si="4121">T("FL")</f>
        <v>FL</v>
      </c>
      <c r="F11268" t="str">
        <f>T("322120034")</f>
        <v>322120034</v>
      </c>
      <c r="G11268" t="str">
        <f>T("514 SARATOGA ST")</f>
        <v>514 SARATOGA ST</v>
      </c>
      <c r="H11268" t="str">
        <f>T("")</f>
        <v/>
      </c>
      <c r="I11268" t="str">
        <f t="shared" ref="I11268:I11290" si="4122">T("JACKSONVILLE")</f>
        <v>JACKSONVILLE</v>
      </c>
      <c r="J11268" t="str">
        <f t="shared" ref="J11268:J11290" si="4123">T("FL")</f>
        <v>FL</v>
      </c>
      <c r="K11268" t="str">
        <f>T("000000000000000000")</f>
        <v>000000000000000000</v>
      </c>
      <c r="L11268" t="str">
        <f>T("9047706418")</f>
        <v>9047706418</v>
      </c>
    </row>
    <row r="11269" spans="1:12" x14ac:dyDescent="0.35">
      <c r="A11269" t="str">
        <f t="shared" si="4119"/>
        <v>CPRG NORFOLK</v>
      </c>
      <c r="B11269" t="str">
        <f>T("BLDG 514")</f>
        <v>BLDG 514</v>
      </c>
      <c r="C11269" t="str">
        <f>T("SARATOGA ST")</f>
        <v>SARATOGA ST</v>
      </c>
      <c r="D11269" t="str">
        <f t="shared" si="4120"/>
        <v>JACKSONVILLE</v>
      </c>
      <c r="E11269" t="str">
        <f t="shared" si="4121"/>
        <v>FL</v>
      </c>
      <c r="F11269" t="str">
        <f>T("322120034")</f>
        <v>322120034</v>
      </c>
      <c r="G11269" t="str">
        <f>T("BLDG 514")</f>
        <v>BLDG 514</v>
      </c>
      <c r="H11269" t="str">
        <f>T("SARATOGA ST")</f>
        <v>SARATOGA ST</v>
      </c>
      <c r="I11269" t="str">
        <f t="shared" si="4122"/>
        <v>JACKSONVILLE</v>
      </c>
      <c r="J11269" t="str">
        <f t="shared" si="4123"/>
        <v>FL</v>
      </c>
      <c r="K11269" t="str">
        <f>T("")</f>
        <v/>
      </c>
      <c r="L11269" t="str">
        <f>T("1111111111")</f>
        <v>1111111111</v>
      </c>
    </row>
    <row r="11270" spans="1:12" x14ac:dyDescent="0.35">
      <c r="A11270" t="str">
        <f t="shared" si="4119"/>
        <v>CPRG NORFOLK</v>
      </c>
      <c r="B11270" t="str">
        <f>T("BLDG 514")</f>
        <v>BLDG 514</v>
      </c>
      <c r="C11270" t="str">
        <f>T("SARATOGA ST")</f>
        <v>SARATOGA ST</v>
      </c>
      <c r="D11270" t="str">
        <f t="shared" si="4120"/>
        <v>JACKSONVILLE</v>
      </c>
      <c r="E11270" t="str">
        <f t="shared" si="4121"/>
        <v>FL</v>
      </c>
      <c r="F11270" t="str">
        <f>T("322120034")</f>
        <v>322120034</v>
      </c>
      <c r="G11270" t="str">
        <f>T("BLDG 851")</f>
        <v>BLDG 851</v>
      </c>
      <c r="H11270" t="str">
        <f>T("RANGER AVE")</f>
        <v>RANGER AVE</v>
      </c>
      <c r="I11270" t="str">
        <f t="shared" si="4122"/>
        <v>JACKSONVILLE</v>
      </c>
      <c r="J11270" t="str">
        <f t="shared" si="4123"/>
        <v>FL</v>
      </c>
      <c r="K11270" t="str">
        <f>T("9045422179 130")</f>
        <v>9045422179 130</v>
      </c>
      <c r="L11270" t="str">
        <f>T("1111111111")</f>
        <v>1111111111</v>
      </c>
    </row>
    <row r="11271" spans="1:12" x14ac:dyDescent="0.35">
      <c r="A11271" t="str">
        <f t="shared" si="4119"/>
        <v>CPRG NORFOLK</v>
      </c>
      <c r="B11271" t="str">
        <f t="shared" ref="B11271:B11283" si="4124">T("BLDG 851")</f>
        <v>BLDG 851</v>
      </c>
      <c r="C11271" t="str">
        <f t="shared" ref="C11271:C11280" si="4125">T("YORKTOWN AVENUE")</f>
        <v>YORKTOWN AVENUE</v>
      </c>
      <c r="D11271" t="str">
        <f t="shared" si="4120"/>
        <v>JACKSONVILLE</v>
      </c>
      <c r="E11271" t="str">
        <f t="shared" si="4121"/>
        <v>FL</v>
      </c>
      <c r="F11271" t="str">
        <f>T("322120000")</f>
        <v>322120000</v>
      </c>
      <c r="G11271" t="str">
        <f>T("BLDG 851")</f>
        <v>BLDG 851</v>
      </c>
      <c r="H11271" t="str">
        <f>T("YORKTOWN AVE")</f>
        <v>YORKTOWN AVE</v>
      </c>
      <c r="I11271" t="str">
        <f t="shared" si="4122"/>
        <v>JACKSONVILLE</v>
      </c>
      <c r="J11271" t="str">
        <f t="shared" si="4123"/>
        <v>FL</v>
      </c>
      <c r="K11271" t="str">
        <f>T("000000000000000000")</f>
        <v>000000000000000000</v>
      </c>
      <c r="L11271" t="str">
        <f>T("1111111111")</f>
        <v>1111111111</v>
      </c>
    </row>
    <row r="11272" spans="1:12" x14ac:dyDescent="0.35">
      <c r="A11272" t="str">
        <f t="shared" si="4119"/>
        <v>CPRG NORFOLK</v>
      </c>
      <c r="B11272" t="str">
        <f t="shared" si="4124"/>
        <v>BLDG 851</v>
      </c>
      <c r="C11272" t="str">
        <f t="shared" si="4125"/>
        <v>YORKTOWN AVENUE</v>
      </c>
      <c r="D11272" t="str">
        <f t="shared" si="4120"/>
        <v>JACKSONVILLE</v>
      </c>
      <c r="E11272" t="str">
        <f t="shared" si="4121"/>
        <v>FL</v>
      </c>
      <c r="F11272" t="str">
        <f>T("322120000")</f>
        <v>322120000</v>
      </c>
      <c r="G11272" t="str">
        <f>T("BLDG 851")</f>
        <v>BLDG 851</v>
      </c>
      <c r="H11272" t="str">
        <f>T("YORKTOWN AVE")</f>
        <v>YORKTOWN AVE</v>
      </c>
      <c r="I11272" t="str">
        <f t="shared" si="4122"/>
        <v>JACKSONVILLE</v>
      </c>
      <c r="J11272" t="str">
        <f t="shared" si="4123"/>
        <v>FL</v>
      </c>
      <c r="K11272" t="str">
        <f>T("9045421310 19")</f>
        <v>9045421310 19</v>
      </c>
      <c r="L11272" t="str">
        <f>T("1111111111")</f>
        <v>1111111111</v>
      </c>
    </row>
    <row r="11273" spans="1:12" x14ac:dyDescent="0.35">
      <c r="A11273" t="str">
        <f t="shared" si="4119"/>
        <v>CPRG NORFOLK</v>
      </c>
      <c r="B11273" t="str">
        <f t="shared" si="4124"/>
        <v>BLDG 851</v>
      </c>
      <c r="C11273" t="str">
        <f t="shared" si="4125"/>
        <v>YORKTOWN AVENUE</v>
      </c>
      <c r="D11273" t="str">
        <f t="shared" si="4120"/>
        <v>JACKSONVILLE</v>
      </c>
      <c r="E11273" t="str">
        <f t="shared" si="4121"/>
        <v>FL</v>
      </c>
      <c r="F11273" t="str">
        <f>T("322120000")</f>
        <v>322120000</v>
      </c>
      <c r="G11273" t="str">
        <f>T("BLDG 851")</f>
        <v>BLDG 851</v>
      </c>
      <c r="H11273" t="str">
        <f>T("YORKTOWN AVENUE")</f>
        <v>YORKTOWN AVENUE</v>
      </c>
      <c r="I11273" t="str">
        <f t="shared" si="4122"/>
        <v>JACKSONVILLE</v>
      </c>
      <c r="J11273" t="str">
        <f t="shared" si="4123"/>
        <v>FL</v>
      </c>
      <c r="K11273" t="str">
        <f>T("")</f>
        <v/>
      </c>
      <c r="L11273" t="str">
        <f>T("1111111111")</f>
        <v>1111111111</v>
      </c>
    </row>
    <row r="11274" spans="1:12" x14ac:dyDescent="0.35">
      <c r="A11274" t="str">
        <f t="shared" si="4119"/>
        <v>CPRG NORFOLK</v>
      </c>
      <c r="B11274" t="str">
        <f t="shared" si="4124"/>
        <v>BLDG 851</v>
      </c>
      <c r="C11274" t="str">
        <f t="shared" si="4125"/>
        <v>YORKTOWN AVENUE</v>
      </c>
      <c r="D11274" t="str">
        <f t="shared" si="4120"/>
        <v>JACKSONVILLE</v>
      </c>
      <c r="E11274" t="str">
        <f t="shared" si="4121"/>
        <v>FL</v>
      </c>
      <c r="F11274" t="str">
        <f>T("322120000")</f>
        <v>322120000</v>
      </c>
      <c r="G11274" t="str">
        <f>T("BLDG 851 YORKTOWN AVE")</f>
        <v>BLDG 851 YORKTOWN AVE</v>
      </c>
      <c r="H11274" t="str">
        <f>T("")</f>
        <v/>
      </c>
      <c r="I11274" t="str">
        <f t="shared" si="4122"/>
        <v>JACKSONVILLE</v>
      </c>
      <c r="J11274" t="str">
        <f t="shared" si="4123"/>
        <v>FL</v>
      </c>
      <c r="K11274" t="str">
        <f>T("000000000000000000")</f>
        <v>000000000000000000</v>
      </c>
      <c r="L11274" t="str">
        <f>T("9045421310")</f>
        <v>9045421310</v>
      </c>
    </row>
    <row r="11275" spans="1:12" x14ac:dyDescent="0.35">
      <c r="A11275" t="str">
        <f t="shared" si="4119"/>
        <v>CPRG NORFOLK</v>
      </c>
      <c r="B11275" t="str">
        <f t="shared" si="4124"/>
        <v>BLDG 851</v>
      </c>
      <c r="C11275" t="str">
        <f t="shared" si="4125"/>
        <v>YORKTOWN AVENUE</v>
      </c>
      <c r="D11275" t="str">
        <f t="shared" si="4120"/>
        <v>JACKSONVILLE</v>
      </c>
      <c r="E11275" t="str">
        <f t="shared" si="4121"/>
        <v>FL</v>
      </c>
      <c r="F11275" t="str">
        <f t="shared" ref="F11275:F11280" si="4126">T("322120034")</f>
        <v>322120034</v>
      </c>
      <c r="G11275" t="str">
        <f>T("BLDG 506 RANGER ST")</f>
        <v>BLDG 506 RANGER ST</v>
      </c>
      <c r="H11275" t="str">
        <f>T("")</f>
        <v/>
      </c>
      <c r="I11275" t="str">
        <f t="shared" si="4122"/>
        <v>JACKSONVILLE</v>
      </c>
      <c r="J11275" t="str">
        <f t="shared" si="4123"/>
        <v>FL</v>
      </c>
      <c r="K11275" t="str">
        <f>T("9045421310 15")</f>
        <v>9045421310 15</v>
      </c>
      <c r="L11275" t="str">
        <f>T("1111111111")</f>
        <v>1111111111</v>
      </c>
    </row>
    <row r="11276" spans="1:12" x14ac:dyDescent="0.35">
      <c r="A11276" t="str">
        <f t="shared" si="4119"/>
        <v>CPRG NORFOLK</v>
      </c>
      <c r="B11276" t="str">
        <f t="shared" si="4124"/>
        <v>BLDG 851</v>
      </c>
      <c r="C11276" t="str">
        <f t="shared" si="4125"/>
        <v>YORKTOWN AVENUE</v>
      </c>
      <c r="D11276" t="str">
        <f t="shared" si="4120"/>
        <v>JACKSONVILLE</v>
      </c>
      <c r="E11276" t="str">
        <f t="shared" si="4121"/>
        <v>FL</v>
      </c>
      <c r="F11276" t="str">
        <f t="shared" si="4126"/>
        <v>322120034</v>
      </c>
      <c r="G11276" t="str">
        <f>T("BLDG 851")</f>
        <v>BLDG 851</v>
      </c>
      <c r="H11276" t="str">
        <f>T("YORKTOWN AVE")</f>
        <v>YORKTOWN AVE</v>
      </c>
      <c r="I11276" t="str">
        <f t="shared" si="4122"/>
        <v>JACKSONVILLE</v>
      </c>
      <c r="J11276" t="str">
        <f t="shared" si="4123"/>
        <v>FL</v>
      </c>
      <c r="K11276" t="str">
        <f>T("9045421310 15")</f>
        <v>9045421310 15</v>
      </c>
      <c r="L11276" t="str">
        <f>T("1111111111")</f>
        <v>1111111111</v>
      </c>
    </row>
    <row r="11277" spans="1:12" x14ac:dyDescent="0.35">
      <c r="A11277" t="str">
        <f t="shared" si="4119"/>
        <v>CPRG NORFOLK</v>
      </c>
      <c r="B11277" t="str">
        <f t="shared" si="4124"/>
        <v>BLDG 851</v>
      </c>
      <c r="C11277" t="str">
        <f t="shared" si="4125"/>
        <v>YORKTOWN AVENUE</v>
      </c>
      <c r="D11277" t="str">
        <f t="shared" si="4120"/>
        <v>JACKSONVILLE</v>
      </c>
      <c r="E11277" t="str">
        <f t="shared" si="4121"/>
        <v>FL</v>
      </c>
      <c r="F11277" t="str">
        <f t="shared" si="4126"/>
        <v>322120034</v>
      </c>
      <c r="G11277" t="str">
        <f>T("BLDG 851")</f>
        <v>BLDG 851</v>
      </c>
      <c r="H11277" t="str">
        <f>T("YORKTOWN AVE")</f>
        <v>YORKTOWN AVE</v>
      </c>
      <c r="I11277" t="str">
        <f t="shared" si="4122"/>
        <v>JACKSONVILLE</v>
      </c>
      <c r="J11277" t="str">
        <f t="shared" si="4123"/>
        <v>FL</v>
      </c>
      <c r="K11277" t="str">
        <f>T("9045421311 32")</f>
        <v>9045421311 32</v>
      </c>
      <c r="L11277" t="str">
        <f>T("1111111111")</f>
        <v>1111111111</v>
      </c>
    </row>
    <row r="11278" spans="1:12" x14ac:dyDescent="0.35">
      <c r="A11278" t="str">
        <f t="shared" si="4119"/>
        <v>CPRG NORFOLK</v>
      </c>
      <c r="B11278" t="str">
        <f t="shared" si="4124"/>
        <v>BLDG 851</v>
      </c>
      <c r="C11278" t="str">
        <f t="shared" si="4125"/>
        <v>YORKTOWN AVENUE</v>
      </c>
      <c r="D11278" t="str">
        <f t="shared" si="4120"/>
        <v>JACKSONVILLE</v>
      </c>
      <c r="E11278" t="str">
        <f t="shared" si="4121"/>
        <v>FL</v>
      </c>
      <c r="F11278" t="str">
        <f t="shared" si="4126"/>
        <v>322120034</v>
      </c>
      <c r="G11278" t="str">
        <f>T("BLDG 851")</f>
        <v>BLDG 851</v>
      </c>
      <c r="H11278" t="str">
        <f>T("YORKTOWN AVENUE")</f>
        <v>YORKTOWN AVENUE</v>
      </c>
      <c r="I11278" t="str">
        <f t="shared" si="4122"/>
        <v>JACKSONVILLE</v>
      </c>
      <c r="J11278" t="str">
        <f t="shared" si="4123"/>
        <v>FL</v>
      </c>
      <c r="K11278" t="str">
        <f>T("")</f>
        <v/>
      </c>
      <c r="L11278" t="str">
        <f>T("9045421310")</f>
        <v>9045421310</v>
      </c>
    </row>
    <row r="11279" spans="1:12" x14ac:dyDescent="0.35">
      <c r="A11279" t="str">
        <f t="shared" si="4119"/>
        <v>CPRG NORFOLK</v>
      </c>
      <c r="B11279" t="str">
        <f t="shared" si="4124"/>
        <v>BLDG 851</v>
      </c>
      <c r="C11279" t="str">
        <f t="shared" si="4125"/>
        <v>YORKTOWN AVENUE</v>
      </c>
      <c r="D11279" t="str">
        <f t="shared" si="4120"/>
        <v>JACKSONVILLE</v>
      </c>
      <c r="E11279" t="str">
        <f t="shared" si="4121"/>
        <v>FL</v>
      </c>
      <c r="F11279" t="str">
        <f t="shared" si="4126"/>
        <v>322120034</v>
      </c>
      <c r="G11279" t="str">
        <f>T("BLDG 851")</f>
        <v>BLDG 851</v>
      </c>
      <c r="H11279" t="str">
        <f>T("YORKTOWN AVENUE")</f>
        <v>YORKTOWN AVENUE</v>
      </c>
      <c r="I11279" t="str">
        <f t="shared" si="4122"/>
        <v>JACKSONVILLE</v>
      </c>
      <c r="J11279" t="str">
        <f t="shared" si="4123"/>
        <v>FL</v>
      </c>
      <c r="K11279" t="str">
        <f>T("9045420018")</f>
        <v>9045420018</v>
      </c>
      <c r="L11279" t="str">
        <f>T("1111111111")</f>
        <v>1111111111</v>
      </c>
    </row>
    <row r="11280" spans="1:12" x14ac:dyDescent="0.35">
      <c r="A11280" t="str">
        <f t="shared" si="4119"/>
        <v>CPRG NORFOLK</v>
      </c>
      <c r="B11280" t="str">
        <f t="shared" si="4124"/>
        <v>BLDG 851</v>
      </c>
      <c r="C11280" t="str">
        <f t="shared" si="4125"/>
        <v>YORKTOWN AVENUE</v>
      </c>
      <c r="D11280" t="str">
        <f t="shared" si="4120"/>
        <v>JACKSONVILLE</v>
      </c>
      <c r="E11280" t="str">
        <f t="shared" si="4121"/>
        <v>FL</v>
      </c>
      <c r="F11280" t="str">
        <f t="shared" si="4126"/>
        <v>322120034</v>
      </c>
      <c r="G11280" t="str">
        <f>T("YORKTOWN AVE")</f>
        <v>YORKTOWN AVE</v>
      </c>
      <c r="H11280" t="str">
        <f>T("BUILDING 851")</f>
        <v>BUILDING 851</v>
      </c>
      <c r="I11280" t="str">
        <f t="shared" si="4122"/>
        <v>JACKSONVILLE</v>
      </c>
      <c r="J11280" t="str">
        <f t="shared" si="4123"/>
        <v>FL</v>
      </c>
      <c r="K11280" t="str">
        <f>T("000000000000000000")</f>
        <v>000000000000000000</v>
      </c>
      <c r="L11280" t="str">
        <f>T("9045421310")</f>
        <v>9045421310</v>
      </c>
    </row>
    <row r="11281" spans="1:12" x14ac:dyDescent="0.35">
      <c r="A11281" t="str">
        <f t="shared" si="4119"/>
        <v>CPRG NORFOLK</v>
      </c>
      <c r="B11281" t="str">
        <f t="shared" si="4124"/>
        <v>BLDG 851</v>
      </c>
      <c r="C11281" t="str">
        <f>T("YORKTOWN ST")</f>
        <v>YORKTOWN ST</v>
      </c>
      <c r="D11281" t="str">
        <f t="shared" si="4120"/>
        <v>JACKSONVILLE</v>
      </c>
      <c r="E11281" t="str">
        <f t="shared" si="4121"/>
        <v>FL</v>
      </c>
      <c r="F11281" t="str">
        <f t="shared" ref="F11281:F11288" si="4127">T("322120000")</f>
        <v>322120000</v>
      </c>
      <c r="G11281" t="str">
        <f>T("BLDG 851")</f>
        <v>BLDG 851</v>
      </c>
      <c r="H11281" t="str">
        <f>T("YORKTOWN AVE")</f>
        <v>YORKTOWN AVE</v>
      </c>
      <c r="I11281" t="str">
        <f t="shared" si="4122"/>
        <v>JACKSONVILLE</v>
      </c>
      <c r="J11281" t="str">
        <f t="shared" si="4123"/>
        <v>FL</v>
      </c>
      <c r="K11281" t="str">
        <f>T("000000000000000000")</f>
        <v>000000000000000000</v>
      </c>
      <c r="L11281" t="str">
        <f>T("1111111111")</f>
        <v>1111111111</v>
      </c>
    </row>
    <row r="11282" spans="1:12" x14ac:dyDescent="0.35">
      <c r="A11282" t="str">
        <f t="shared" si="4119"/>
        <v>CPRG NORFOLK</v>
      </c>
      <c r="B11282" t="str">
        <f t="shared" si="4124"/>
        <v>BLDG 851</v>
      </c>
      <c r="C11282" t="str">
        <f>T("YORKTOWN ST")</f>
        <v>YORKTOWN ST</v>
      </c>
      <c r="D11282" t="str">
        <f t="shared" si="4120"/>
        <v>JACKSONVILLE</v>
      </c>
      <c r="E11282" t="str">
        <f t="shared" si="4121"/>
        <v>FL</v>
      </c>
      <c r="F11282" t="str">
        <f t="shared" si="4127"/>
        <v>322120000</v>
      </c>
      <c r="G11282" t="str">
        <f>T("BLDG 851")</f>
        <v>BLDG 851</v>
      </c>
      <c r="H11282" t="str">
        <f>T("YORKTOWN ST")</f>
        <v>YORKTOWN ST</v>
      </c>
      <c r="I11282" t="str">
        <f t="shared" si="4122"/>
        <v>JACKSONVILLE</v>
      </c>
      <c r="J11282" t="str">
        <f t="shared" si="4123"/>
        <v>FL</v>
      </c>
      <c r="K11282" t="str">
        <f>T("")</f>
        <v/>
      </c>
      <c r="L11282" t="str">
        <f>T("9045421310")</f>
        <v>9045421310</v>
      </c>
    </row>
    <row r="11283" spans="1:12" x14ac:dyDescent="0.35">
      <c r="A11283" t="str">
        <f t="shared" si="4119"/>
        <v>CPRG NORFOLK</v>
      </c>
      <c r="B11283" t="str">
        <f t="shared" si="4124"/>
        <v>BLDG 851</v>
      </c>
      <c r="C11283" t="str">
        <f>T("YORKTOWN ST")</f>
        <v>YORKTOWN ST</v>
      </c>
      <c r="D11283" t="str">
        <f t="shared" si="4120"/>
        <v>JACKSONVILLE</v>
      </c>
      <c r="E11283" t="str">
        <f t="shared" si="4121"/>
        <v>FL</v>
      </c>
      <c r="F11283" t="str">
        <f t="shared" si="4127"/>
        <v>322120000</v>
      </c>
      <c r="G11283" t="str">
        <f>T("BLDG 851 YORKTOWN AVE")</f>
        <v>BLDG 851 YORKTOWN AVE</v>
      </c>
      <c r="H11283" t="str">
        <f>T("")</f>
        <v/>
      </c>
      <c r="I11283" t="str">
        <f t="shared" si="4122"/>
        <v>JACKSONVILLE</v>
      </c>
      <c r="J11283" t="str">
        <f t="shared" si="4123"/>
        <v>FL</v>
      </c>
      <c r="K11283" t="str">
        <f>T("9045421310 37")</f>
        <v>9045421310 37</v>
      </c>
      <c r="L11283" t="str">
        <f>T("1111111111")</f>
        <v>1111111111</v>
      </c>
    </row>
    <row r="11284" spans="1:12" x14ac:dyDescent="0.35">
      <c r="A11284" t="str">
        <f t="shared" si="4119"/>
        <v>CPRG NORFOLK</v>
      </c>
      <c r="B11284" t="str">
        <f>T("BLDG 851 YORKTOWN AVENUE")</f>
        <v>BLDG 851 YORKTOWN AVENUE</v>
      </c>
      <c r="C11284" t="str">
        <f>T("")</f>
        <v/>
      </c>
      <c r="D11284" t="str">
        <f t="shared" si="4120"/>
        <v>JACKSONVILLE</v>
      </c>
      <c r="E11284" t="str">
        <f t="shared" si="4121"/>
        <v>FL</v>
      </c>
      <c r="F11284" t="str">
        <f t="shared" si="4127"/>
        <v>322120000</v>
      </c>
      <c r="G11284" t="str">
        <f>T("851 YORKTOWN AVENUE")</f>
        <v>851 YORKTOWN AVENUE</v>
      </c>
      <c r="H11284" t="str">
        <f>T("")</f>
        <v/>
      </c>
      <c r="I11284" t="str">
        <f t="shared" si="4122"/>
        <v>JACKSONVILLE</v>
      </c>
      <c r="J11284" t="str">
        <f t="shared" si="4123"/>
        <v>FL</v>
      </c>
      <c r="K11284" t="str">
        <f>T("904542131019")</f>
        <v>904542131019</v>
      </c>
      <c r="L11284" t="str">
        <f>T("1111111111")</f>
        <v>1111111111</v>
      </c>
    </row>
    <row r="11285" spans="1:12" x14ac:dyDescent="0.35">
      <c r="A11285" t="str">
        <f t="shared" si="4119"/>
        <v>CPRG NORFOLK</v>
      </c>
      <c r="B11285" t="str">
        <f>T("BLDG 851 YORKTOWN AVENUE")</f>
        <v>BLDG 851 YORKTOWN AVENUE</v>
      </c>
      <c r="C11285" t="str">
        <f>T("")</f>
        <v/>
      </c>
      <c r="D11285" t="str">
        <f t="shared" si="4120"/>
        <v>JACKSONVILLE</v>
      </c>
      <c r="E11285" t="str">
        <f t="shared" si="4121"/>
        <v>FL</v>
      </c>
      <c r="F11285" t="str">
        <f t="shared" si="4127"/>
        <v>322120000</v>
      </c>
      <c r="G11285" t="str">
        <f>T("BLDG 851")</f>
        <v>BLDG 851</v>
      </c>
      <c r="H11285" t="str">
        <f>T("")</f>
        <v/>
      </c>
      <c r="I11285" t="str">
        <f t="shared" si="4122"/>
        <v>JACKSONVILLE</v>
      </c>
      <c r="J11285" t="str">
        <f t="shared" si="4123"/>
        <v>FL</v>
      </c>
      <c r="K11285" t="str">
        <f>T("9045421310 36")</f>
        <v>9045421310 36</v>
      </c>
      <c r="L11285" t="str">
        <f>T("1111111111")</f>
        <v>1111111111</v>
      </c>
    </row>
    <row r="11286" spans="1:12" x14ac:dyDescent="0.35">
      <c r="A11286" t="str">
        <f t="shared" si="4119"/>
        <v>CPRG NORFOLK</v>
      </c>
      <c r="B11286" t="str">
        <f>T("BLDG 851 YORKTOWN AVENUE")</f>
        <v>BLDG 851 YORKTOWN AVENUE</v>
      </c>
      <c r="C11286" t="str">
        <f>T("")</f>
        <v/>
      </c>
      <c r="D11286" t="str">
        <f t="shared" si="4120"/>
        <v>JACKSONVILLE</v>
      </c>
      <c r="E11286" t="str">
        <f t="shared" si="4121"/>
        <v>FL</v>
      </c>
      <c r="F11286" t="str">
        <f t="shared" si="4127"/>
        <v>322120000</v>
      </c>
      <c r="G11286" t="str">
        <f>T("BLDG 851")</f>
        <v>BLDG 851</v>
      </c>
      <c r="H11286" t="str">
        <f>T("YORKTOWN AVE")</f>
        <v>YORKTOWN AVE</v>
      </c>
      <c r="I11286" t="str">
        <f t="shared" si="4122"/>
        <v>JACKSONVILLE</v>
      </c>
      <c r="J11286" t="str">
        <f t="shared" si="4123"/>
        <v>FL</v>
      </c>
      <c r="K11286" t="str">
        <f>T("9045421310 41")</f>
        <v>9045421310 41</v>
      </c>
      <c r="L11286" t="str">
        <f>T("1111111111")</f>
        <v>1111111111</v>
      </c>
    </row>
    <row r="11287" spans="1:12" x14ac:dyDescent="0.35">
      <c r="A11287" t="str">
        <f t="shared" si="4119"/>
        <v>CPRG NORFOLK</v>
      </c>
      <c r="B11287" t="str">
        <f>T("BLDG 851 YORKTOWN AVENUE")</f>
        <v>BLDG 851 YORKTOWN AVENUE</v>
      </c>
      <c r="C11287" t="str">
        <f>T("")</f>
        <v/>
      </c>
      <c r="D11287" t="str">
        <f t="shared" si="4120"/>
        <v>JACKSONVILLE</v>
      </c>
      <c r="E11287" t="str">
        <f t="shared" si="4121"/>
        <v>FL</v>
      </c>
      <c r="F11287" t="str">
        <f t="shared" si="4127"/>
        <v>322120000</v>
      </c>
      <c r="G11287" t="str">
        <f>T("BLDG 851 YORKTOWN AVE")</f>
        <v>BLDG 851 YORKTOWN AVE</v>
      </c>
      <c r="H11287" t="str">
        <f>T("")</f>
        <v/>
      </c>
      <c r="I11287" t="str">
        <f t="shared" si="4122"/>
        <v>JACKSONVILLE</v>
      </c>
      <c r="J11287" t="str">
        <f t="shared" si="4123"/>
        <v>FL</v>
      </c>
      <c r="K11287" t="str">
        <f>T("9045421310 35")</f>
        <v>9045421310 35</v>
      </c>
      <c r="L11287" t="str">
        <f>T("1111111111")</f>
        <v>1111111111</v>
      </c>
    </row>
    <row r="11288" spans="1:12" x14ac:dyDescent="0.35">
      <c r="A11288" t="str">
        <f t="shared" si="4119"/>
        <v>CPRG NORFOLK</v>
      </c>
      <c r="B11288" t="str">
        <f>T("BLDG 851 YORKTOWN AVENUE")</f>
        <v>BLDG 851 YORKTOWN AVENUE</v>
      </c>
      <c r="C11288" t="str">
        <f>T("")</f>
        <v/>
      </c>
      <c r="D11288" t="str">
        <f t="shared" si="4120"/>
        <v>JACKSONVILLE</v>
      </c>
      <c r="E11288" t="str">
        <f t="shared" si="4121"/>
        <v>FL</v>
      </c>
      <c r="F11288" t="str">
        <f t="shared" si="4127"/>
        <v>322120000</v>
      </c>
      <c r="G11288" t="str">
        <f>T("BLDG 851 YORKTOWN AVENUE")</f>
        <v>BLDG 851 YORKTOWN AVENUE</v>
      </c>
      <c r="H11288" t="str">
        <f>T("")</f>
        <v/>
      </c>
      <c r="I11288" t="str">
        <f t="shared" si="4122"/>
        <v>JACKSONVILLE</v>
      </c>
      <c r="J11288" t="str">
        <f t="shared" si="4123"/>
        <v>FL</v>
      </c>
      <c r="K11288" t="str">
        <f>T("")</f>
        <v/>
      </c>
      <c r="L11288" t="str">
        <f>T("9045421310")</f>
        <v>9045421310</v>
      </c>
    </row>
    <row r="11289" spans="1:12" x14ac:dyDescent="0.35">
      <c r="A11289" t="str">
        <f t="shared" si="4119"/>
        <v>CPRG NORFOLK</v>
      </c>
      <c r="B11289" t="str">
        <f>T("P O BOX 334")</f>
        <v>P O BOX 334</v>
      </c>
      <c r="C11289" t="str">
        <f>T("NAS")</f>
        <v>NAS</v>
      </c>
      <c r="D11289" t="str">
        <f t="shared" si="4120"/>
        <v>JACKSONVILLE</v>
      </c>
      <c r="E11289" t="str">
        <f t="shared" si="4121"/>
        <v>FL</v>
      </c>
      <c r="F11289" t="str">
        <f>T("322340334")</f>
        <v>322340334</v>
      </c>
      <c r="G11289" t="str">
        <f>T("BLDG 851 YORKTOWN AVE")</f>
        <v>BLDG 851 YORKTOWN AVE</v>
      </c>
      <c r="H11289" t="str">
        <f>T("")</f>
        <v/>
      </c>
      <c r="I11289" t="str">
        <f t="shared" si="4122"/>
        <v>JACKSONVILLE</v>
      </c>
      <c r="J11289" t="str">
        <f t="shared" si="4123"/>
        <v>FL</v>
      </c>
      <c r="K11289" t="str">
        <f>T("000000000000000000")</f>
        <v>000000000000000000</v>
      </c>
      <c r="L11289" t="str">
        <f>T("9045421310")</f>
        <v>9045421310</v>
      </c>
    </row>
    <row r="11290" spans="1:12" x14ac:dyDescent="0.35">
      <c r="A11290" t="str">
        <f t="shared" si="4119"/>
        <v>CPRG NORFOLK</v>
      </c>
      <c r="B11290" t="str">
        <f>T("P O BOX 334")</f>
        <v>P O BOX 334</v>
      </c>
      <c r="C11290" t="str">
        <f>T("NAS")</f>
        <v>NAS</v>
      </c>
      <c r="D11290" t="str">
        <f t="shared" si="4120"/>
        <v>JACKSONVILLE</v>
      </c>
      <c r="E11290" t="str">
        <f t="shared" si="4121"/>
        <v>FL</v>
      </c>
      <c r="F11290" t="str">
        <f>T("322340334")</f>
        <v>322340334</v>
      </c>
      <c r="G11290" t="str">
        <f>T("P O BOX 334")</f>
        <v>P O BOX 334</v>
      </c>
      <c r="H11290" t="str">
        <f>T("NAS")</f>
        <v>NAS</v>
      </c>
      <c r="I11290" t="str">
        <f t="shared" si="4122"/>
        <v>JACKSONVILLE</v>
      </c>
      <c r="J11290" t="str">
        <f t="shared" si="4123"/>
        <v>FL</v>
      </c>
      <c r="K11290" t="str">
        <f>T("000000000000000000")</f>
        <v>000000000000000000</v>
      </c>
      <c r="L11290" t="str">
        <f>T("1111111111")</f>
        <v>1111111111</v>
      </c>
    </row>
    <row r="11291" spans="1:12" x14ac:dyDescent="0.35">
      <c r="A11291" t="str">
        <f t="shared" si="4119"/>
        <v>CPRG NORFOLK</v>
      </c>
      <c r="B11291" t="str">
        <f>T("P O BOX 334")</f>
        <v>P O BOX 334</v>
      </c>
      <c r="C11291" t="str">
        <f>T("NAS")</f>
        <v>NAS</v>
      </c>
      <c r="D11291" t="str">
        <f t="shared" si="4120"/>
        <v>JACKSONVILLE</v>
      </c>
      <c r="E11291" t="str">
        <f t="shared" si="4121"/>
        <v>FL</v>
      </c>
      <c r="F11291" t="str">
        <f>T("322340334")</f>
        <v>322340334</v>
      </c>
      <c r="G11291" t="str">
        <f>T("PSC 903 BOX 30006")</f>
        <v>PSC 903 BOX 30006</v>
      </c>
      <c r="H11291" t="str">
        <f>T("")</f>
        <v/>
      </c>
      <c r="I11291" t="str">
        <f>T("FPO")</f>
        <v>FPO</v>
      </c>
      <c r="J11291" t="str">
        <f>T("AE")</f>
        <v>AE</v>
      </c>
      <c r="K11291" t="str">
        <f>T("9045421310 17")</f>
        <v>9045421310 17</v>
      </c>
      <c r="L11291" t="str">
        <f>T("1111111111")</f>
        <v>1111111111</v>
      </c>
    </row>
    <row r="11292" spans="1:12" x14ac:dyDescent="0.35">
      <c r="A11292" t="str">
        <f t="shared" si="4119"/>
        <v>CPRG NORFOLK</v>
      </c>
      <c r="B11292" t="str">
        <f>T("P O BOX 334")</f>
        <v>P O BOX 334</v>
      </c>
      <c r="C11292" t="str">
        <f>T("NAS")</f>
        <v>NAS</v>
      </c>
      <c r="D11292" t="str">
        <f t="shared" si="4120"/>
        <v>JACKSONVILLE</v>
      </c>
      <c r="E11292" t="str">
        <f t="shared" si="4121"/>
        <v>FL</v>
      </c>
      <c r="F11292" t="str">
        <f>T("322340334")</f>
        <v>322340334</v>
      </c>
      <c r="G11292" t="str">
        <f>T("YORKTOWN AVE")</f>
        <v>YORKTOWN AVE</v>
      </c>
      <c r="H11292" t="str">
        <f>T("")</f>
        <v/>
      </c>
      <c r="I11292" t="str">
        <f>T("JACKSONVILLE")</f>
        <v>JACKSONVILLE</v>
      </c>
      <c r="J11292" t="str">
        <f>T("FL")</f>
        <v>FL</v>
      </c>
      <c r="K11292" t="str">
        <f>T("9045241310 19")</f>
        <v>9045241310 19</v>
      </c>
      <c r="L11292" t="str">
        <f>T("1111111111")</f>
        <v>1111111111</v>
      </c>
    </row>
    <row r="11293" spans="1:12" x14ac:dyDescent="0.35">
      <c r="A11293" t="str">
        <f t="shared" si="4119"/>
        <v>CPRG NORFOLK</v>
      </c>
      <c r="B11293" t="str">
        <f>T("PSC 812 BOX 3270")</f>
        <v>PSC 812 BOX 3270</v>
      </c>
      <c r="C11293" t="str">
        <f t="shared" ref="C11293:C11302" si="4128">T("")</f>
        <v/>
      </c>
      <c r="D11293" t="str">
        <f t="shared" ref="D11293:D11298" si="4129">T("FPO")</f>
        <v>FPO</v>
      </c>
      <c r="E11293" t="str">
        <f t="shared" ref="E11293:E11298" si="4130">T("AE")</f>
        <v>AE</v>
      </c>
      <c r="F11293" t="str">
        <f>T("096270033")</f>
        <v>096270033</v>
      </c>
      <c r="G11293" t="str">
        <f>T("PSC 812 BOX 3270")</f>
        <v>PSC 812 BOX 3270</v>
      </c>
      <c r="H11293" t="str">
        <f>T("")</f>
        <v/>
      </c>
      <c r="I11293" t="str">
        <f t="shared" ref="I11293:I11298" si="4131">T("FPO")</f>
        <v>FPO</v>
      </c>
      <c r="J11293" t="str">
        <f t="shared" ref="J11293:J11298" si="4132">T("AE")</f>
        <v>AE</v>
      </c>
      <c r="K11293" t="str">
        <f>T("")</f>
        <v/>
      </c>
      <c r="L11293" t="str">
        <f>T("1111111111")</f>
        <v>1111111111</v>
      </c>
    </row>
    <row r="11294" spans="1:12" x14ac:dyDescent="0.35">
      <c r="A11294" t="str">
        <f>T("USS HARRY S TRUMAN CVN-75")</f>
        <v>USS HARRY S TRUMAN CVN-75</v>
      </c>
      <c r="B11294" t="str">
        <f>T("BOX 50 STOCK CONTROL")</f>
        <v>BOX 50 STOCK CONTROL</v>
      </c>
      <c r="C11294" t="str">
        <f t="shared" si="4128"/>
        <v/>
      </c>
      <c r="D11294" t="str">
        <f t="shared" si="4129"/>
        <v>FPO</v>
      </c>
      <c r="E11294" t="str">
        <f t="shared" si="4130"/>
        <v>AE</v>
      </c>
      <c r="F11294" t="str">
        <f>T("095240000")</f>
        <v>095240000</v>
      </c>
      <c r="G11294" t="str">
        <f>T("BOX 50 S-1")</f>
        <v>BOX 50 S-1</v>
      </c>
      <c r="H11294" t="str">
        <f>T("")</f>
        <v/>
      </c>
      <c r="I11294" t="str">
        <f t="shared" si="4131"/>
        <v>FPO</v>
      </c>
      <c r="J11294" t="str">
        <f t="shared" si="4132"/>
        <v>AE</v>
      </c>
      <c r="K11294" t="str">
        <f>T("000000000000000000")</f>
        <v>000000000000000000</v>
      </c>
      <c r="L11294" t="str">
        <f>T("7574437903")</f>
        <v>7574437903</v>
      </c>
    </row>
    <row r="11295" spans="1:12" x14ac:dyDescent="0.35">
      <c r="A11295" t="str">
        <f>T("USS HARRY S TRUMAN CVN-75")</f>
        <v>USS HARRY S TRUMAN CVN-75</v>
      </c>
      <c r="B11295" t="str">
        <f>T("BOX 50 STOCK CONTROL")</f>
        <v>BOX 50 STOCK CONTROL</v>
      </c>
      <c r="C11295" t="str">
        <f t="shared" si="4128"/>
        <v/>
      </c>
      <c r="D11295" t="str">
        <f t="shared" si="4129"/>
        <v>FPO</v>
      </c>
      <c r="E11295" t="str">
        <f t="shared" si="4130"/>
        <v>AE</v>
      </c>
      <c r="F11295" t="str">
        <f>T("095240000")</f>
        <v>095240000</v>
      </c>
      <c r="G11295" t="str">
        <f>T("BOX 50 STOCK CONTROL")</f>
        <v>BOX 50 STOCK CONTROL</v>
      </c>
      <c r="H11295" t="str">
        <f>T("")</f>
        <v/>
      </c>
      <c r="I11295" t="str">
        <f t="shared" si="4131"/>
        <v>FPO</v>
      </c>
      <c r="J11295" t="str">
        <f t="shared" si="4132"/>
        <v>AE</v>
      </c>
      <c r="K11295" t="str">
        <f>T("")</f>
        <v/>
      </c>
      <c r="L11295" t="str">
        <f>T("7574437903")</f>
        <v>7574437903</v>
      </c>
    </row>
    <row r="11296" spans="1:12" x14ac:dyDescent="0.35">
      <c r="A11296" t="str">
        <f>T("USS HARRY S TRUMAN CVN-75")</f>
        <v>USS HARRY S TRUMAN CVN-75</v>
      </c>
      <c r="B11296" t="str">
        <f>T("BOX 50 STOCK CONTROL")</f>
        <v>BOX 50 STOCK CONTROL</v>
      </c>
      <c r="C11296" t="str">
        <f t="shared" si="4128"/>
        <v/>
      </c>
      <c r="D11296" t="str">
        <f t="shared" si="4129"/>
        <v>FPO</v>
      </c>
      <c r="E11296" t="str">
        <f t="shared" si="4130"/>
        <v>AE</v>
      </c>
      <c r="F11296" t="str">
        <f>T("095240000")</f>
        <v>095240000</v>
      </c>
      <c r="G11296" t="str">
        <f>T("UNIT 1000255 BOX 6087")</f>
        <v>UNIT 1000255 BOX 6087</v>
      </c>
      <c r="H11296" t="str">
        <f>T("SUP/S1")</f>
        <v>SUP/S1</v>
      </c>
      <c r="I11296" t="str">
        <f t="shared" si="4131"/>
        <v>FPO</v>
      </c>
      <c r="J11296" t="str">
        <f t="shared" si="4132"/>
        <v>AE</v>
      </c>
      <c r="K11296" t="str">
        <f>T("000000000000000000")</f>
        <v>000000000000000000</v>
      </c>
      <c r="L11296" t="str">
        <f>T("7574437903")</f>
        <v>7574437903</v>
      </c>
    </row>
    <row r="11297" spans="1:12" x14ac:dyDescent="0.35">
      <c r="A11297" t="str">
        <f>T("USS HARRY S TRUMAN CVN-75")</f>
        <v>USS HARRY S TRUMAN CVN-75</v>
      </c>
      <c r="B11297" t="str">
        <f>T("BOX 50 STOCK CONTROL")</f>
        <v>BOX 50 STOCK CONTROL</v>
      </c>
      <c r="C11297" t="str">
        <f t="shared" si="4128"/>
        <v/>
      </c>
      <c r="D11297" t="str">
        <f t="shared" si="4129"/>
        <v>FPO</v>
      </c>
      <c r="E11297" t="str">
        <f t="shared" si="4130"/>
        <v>AE</v>
      </c>
      <c r="F11297" t="str">
        <f>T("095240000")</f>
        <v>095240000</v>
      </c>
      <c r="G11297" t="str">
        <f>T("UNIT 100255")</f>
        <v>UNIT 100255</v>
      </c>
      <c r="H11297" t="str">
        <f>T("BOX 50 S-1")</f>
        <v>BOX 50 S-1</v>
      </c>
      <c r="I11297" t="str">
        <f t="shared" si="4131"/>
        <v>FPO</v>
      </c>
      <c r="J11297" t="str">
        <f t="shared" si="4132"/>
        <v>AE</v>
      </c>
      <c r="K11297" t="str">
        <f>T("000000000000000000")</f>
        <v>000000000000000000</v>
      </c>
      <c r="L11297" t="str">
        <f>T("7574437901")</f>
        <v>7574437901</v>
      </c>
    </row>
    <row r="11298" spans="1:12" x14ac:dyDescent="0.35">
      <c r="A11298" t="str">
        <f>T("USS HARRY S TRUMAN CVN-75")</f>
        <v>USS HARRY S TRUMAN CVN-75</v>
      </c>
      <c r="B11298" t="str">
        <f>T("BOX 50 STOCK CONTROL")</f>
        <v>BOX 50 STOCK CONTROL</v>
      </c>
      <c r="C11298" t="str">
        <f t="shared" si="4128"/>
        <v/>
      </c>
      <c r="D11298" t="str">
        <f t="shared" si="4129"/>
        <v>FPO</v>
      </c>
      <c r="E11298" t="str">
        <f t="shared" si="4130"/>
        <v>AE</v>
      </c>
      <c r="F11298" t="str">
        <f>T("095240000")</f>
        <v>095240000</v>
      </c>
      <c r="G11298" t="str">
        <f>T("UNIT 100255 BOX 5082")</f>
        <v>UNIT 100255 BOX 5082</v>
      </c>
      <c r="H11298" t="str">
        <f>T("")</f>
        <v/>
      </c>
      <c r="I11298" t="str">
        <f t="shared" si="4131"/>
        <v>FPO</v>
      </c>
      <c r="J11298" t="str">
        <f t="shared" si="4132"/>
        <v>AE</v>
      </c>
      <c r="K11298" t="str">
        <f>T("000000000000000000")</f>
        <v>000000000000000000</v>
      </c>
      <c r="L11298" t="str">
        <f>T("7574437903")</f>
        <v>7574437903</v>
      </c>
    </row>
    <row r="11299" spans="1:12" x14ac:dyDescent="0.35">
      <c r="A11299" t="str">
        <f>T("FACSFAC VACAPES")</f>
        <v>FACSFAC VACAPES</v>
      </c>
      <c r="B11299" t="str">
        <f>T("601 OCEANA BLVD")</f>
        <v>601 OCEANA BLVD</v>
      </c>
      <c r="C11299" t="str">
        <f t="shared" si="4128"/>
        <v/>
      </c>
      <c r="D11299" t="str">
        <f>T("VIRGINIA BCH")</f>
        <v>VIRGINIA BCH</v>
      </c>
      <c r="E11299" t="str">
        <f>T("VA")</f>
        <v>VA</v>
      </c>
      <c r="F11299" t="str">
        <f>T("234602283")</f>
        <v>234602283</v>
      </c>
      <c r="G11299" t="str">
        <f>T("601 OCEANA BLVD")</f>
        <v>601 OCEANA BLVD</v>
      </c>
      <c r="H11299" t="str">
        <f>T("")</f>
        <v/>
      </c>
      <c r="I11299" t="str">
        <f>T("VIRGINIA BCH")</f>
        <v>VIRGINIA BCH</v>
      </c>
      <c r="J11299" t="str">
        <f>T("VA")</f>
        <v>VA</v>
      </c>
      <c r="K11299" t="str">
        <f>T("7574331226")</f>
        <v>7574331226</v>
      </c>
      <c r="L11299" t="str">
        <f>T("7574331255")</f>
        <v>7574331255</v>
      </c>
    </row>
    <row r="11300" spans="1:12" x14ac:dyDescent="0.35">
      <c r="A11300" t="str">
        <f>T("FACSFAC VACAPES")</f>
        <v>FACSFAC VACAPES</v>
      </c>
      <c r="B11300" t="str">
        <f>T("601 OCEANA BLVD")</f>
        <v>601 OCEANA BLVD</v>
      </c>
      <c r="C11300" t="str">
        <f t="shared" si="4128"/>
        <v/>
      </c>
      <c r="D11300" t="str">
        <f>T("VIRGINIA BCH")</f>
        <v>VIRGINIA BCH</v>
      </c>
      <c r="E11300" t="str">
        <f>T("VA")</f>
        <v>VA</v>
      </c>
      <c r="F11300" t="str">
        <f>T("234602283")</f>
        <v>234602283</v>
      </c>
      <c r="G11300" t="str">
        <f>T("601 OCEANA BLVD")</f>
        <v>601 OCEANA BLVD</v>
      </c>
      <c r="H11300" t="str">
        <f>T("")</f>
        <v/>
      </c>
      <c r="I11300" t="str">
        <f>T("VIRGINIA BEACH")</f>
        <v>VIRGINIA BEACH</v>
      </c>
      <c r="J11300" t="str">
        <f>T("VA")</f>
        <v>VA</v>
      </c>
      <c r="K11300" t="str">
        <f>T("000000000000000000")</f>
        <v>000000000000000000</v>
      </c>
      <c r="L11300" t="str">
        <f>T("7574331324")</f>
        <v>7574331324</v>
      </c>
    </row>
    <row r="11301" spans="1:12" x14ac:dyDescent="0.35">
      <c r="A11301" t="str">
        <f>T("FACSFAC VACAPES")</f>
        <v>FACSFAC VACAPES</v>
      </c>
      <c r="B11301" t="str">
        <f>T("601 OCEANA BLVD")</f>
        <v>601 OCEANA BLVD</v>
      </c>
      <c r="C11301" t="str">
        <f t="shared" si="4128"/>
        <v/>
      </c>
      <c r="D11301" t="str">
        <f>T("VIRGINIA BCH")</f>
        <v>VIRGINIA BCH</v>
      </c>
      <c r="E11301" t="str">
        <f>T("VA")</f>
        <v>VA</v>
      </c>
      <c r="F11301" t="str">
        <f>T("234602283")</f>
        <v>234602283</v>
      </c>
      <c r="G11301" t="str">
        <f>T("601 OCEANA BLVD")</f>
        <v>601 OCEANA BLVD</v>
      </c>
      <c r="H11301" t="str">
        <f>T("")</f>
        <v/>
      </c>
      <c r="I11301" t="str">
        <f>T("VIRGINIA BEACH")</f>
        <v>VIRGINIA BEACH</v>
      </c>
      <c r="J11301" t="str">
        <f>T("VA")</f>
        <v>VA</v>
      </c>
      <c r="K11301" t="str">
        <f>T("7574331236")</f>
        <v>7574331236</v>
      </c>
      <c r="L11301" t="str">
        <f>T("7574331236")</f>
        <v>7574331236</v>
      </c>
    </row>
    <row r="11302" spans="1:12" x14ac:dyDescent="0.35">
      <c r="A11302" t="str">
        <f>T("FACSFAC VACAPES")</f>
        <v>FACSFAC VACAPES</v>
      </c>
      <c r="B11302" t="str">
        <f>T("601 OCEANA BLVD")</f>
        <v>601 OCEANA BLVD</v>
      </c>
      <c r="C11302" t="str">
        <f t="shared" si="4128"/>
        <v/>
      </c>
      <c r="D11302" t="str">
        <f>T("VIRGINIA BCH")</f>
        <v>VIRGINIA BCH</v>
      </c>
      <c r="E11302" t="str">
        <f>T("VA")</f>
        <v>VA</v>
      </c>
      <c r="F11302" t="str">
        <f>T("234602283")</f>
        <v>234602283</v>
      </c>
      <c r="G11302" t="str">
        <f>T("601 OCEANA BLVD")</f>
        <v>601 OCEANA BLVD</v>
      </c>
      <c r="H11302" t="str">
        <f>T("")</f>
        <v/>
      </c>
      <c r="I11302" t="str">
        <f>T("VIRGINIA BEACH")</f>
        <v>VIRGINIA BEACH</v>
      </c>
      <c r="J11302" t="str">
        <f>T("VA")</f>
        <v>VA</v>
      </c>
      <c r="K11302" t="str">
        <f>T("7574331236")</f>
        <v>7574331236</v>
      </c>
      <c r="L11302" t="str">
        <f>T("7574331255")</f>
        <v>7574331255</v>
      </c>
    </row>
    <row r="11303" spans="1:12" x14ac:dyDescent="0.35">
      <c r="A11303" t="str">
        <f>T("USS DWIGHT D EISENHOWER CVN-69")</f>
        <v>USS DWIGHT D EISENHOWER CVN-69</v>
      </c>
      <c r="B11303" t="str">
        <f>T("USS DWIGHT D EISENHOWER")</f>
        <v>USS DWIGHT D EISENHOWER</v>
      </c>
      <c r="C11303" t="str">
        <f>T("S-1 DIVISION")</f>
        <v>S-1 DIVISION</v>
      </c>
      <c r="D11303" t="str">
        <f>T("FPO")</f>
        <v>FPO</v>
      </c>
      <c r="E11303" t="str">
        <f>T("AE")</f>
        <v>AE</v>
      </c>
      <c r="F11303" t="str">
        <f>T("095322830")</f>
        <v>095322830</v>
      </c>
      <c r="G11303" t="str">
        <f>T("USS DWIGHT D EISEHOWER")</f>
        <v>USS DWIGHT D EISEHOWER</v>
      </c>
      <c r="H11303" t="str">
        <f>T("STOCK CONTROL S1")</f>
        <v>STOCK CONTROL S1</v>
      </c>
      <c r="I11303" t="str">
        <f>T("FPO")</f>
        <v>FPO</v>
      </c>
      <c r="J11303" t="str">
        <f>T("AE")</f>
        <v>AE</v>
      </c>
      <c r="K11303" t="str">
        <f>T("000000000000000000")</f>
        <v>000000000000000000</v>
      </c>
      <c r="L11303" t="str">
        <f>T("7574437342")</f>
        <v>7574437342</v>
      </c>
    </row>
    <row r="11304" spans="1:12" x14ac:dyDescent="0.35">
      <c r="A11304" t="str">
        <f>T("USS DWIGHT D EISENHOWER CVN-69")</f>
        <v>USS DWIGHT D EISENHOWER CVN-69</v>
      </c>
      <c r="B11304" t="str">
        <f>T("USS DWIGHT D EISENHOWER")</f>
        <v>USS DWIGHT D EISENHOWER</v>
      </c>
      <c r="C11304" t="str">
        <f>T("S-1 DIVISION")</f>
        <v>S-1 DIVISION</v>
      </c>
      <c r="D11304" t="str">
        <f>T("FPO")</f>
        <v>FPO</v>
      </c>
      <c r="E11304" t="str">
        <f>T("AE")</f>
        <v>AE</v>
      </c>
      <c r="F11304" t="str">
        <f>T("095322830")</f>
        <v>095322830</v>
      </c>
      <c r="G11304" t="str">
        <f>T("USS DWIGHT D EISENHOWER")</f>
        <v>USS DWIGHT D EISENHOWER</v>
      </c>
      <c r="H11304" t="str">
        <f>T("S-1 DIVISION")</f>
        <v>S-1 DIVISION</v>
      </c>
      <c r="I11304" t="str">
        <f>T("FPO")</f>
        <v>FPO</v>
      </c>
      <c r="J11304" t="str">
        <f>T("AE")</f>
        <v>AE</v>
      </c>
      <c r="K11304" t="str">
        <f>T("")</f>
        <v/>
      </c>
      <c r="L11304" t="str">
        <f>T("7574437342")</f>
        <v>7574437342</v>
      </c>
    </row>
    <row r="11305" spans="1:12" x14ac:dyDescent="0.35">
      <c r="A11305" t="str">
        <f>T("USS DWIGHT D EISENHOWER CVN-69")</f>
        <v>USS DWIGHT D EISENHOWER CVN-69</v>
      </c>
      <c r="B11305" t="str">
        <f>T("USS DWIGHT D EISENHOWER")</f>
        <v>USS DWIGHT D EISENHOWER</v>
      </c>
      <c r="C11305" t="str">
        <f>T("S-1 DIVISION")</f>
        <v>S-1 DIVISION</v>
      </c>
      <c r="D11305" t="str">
        <f>T("FPO")</f>
        <v>FPO</v>
      </c>
      <c r="E11305" t="str">
        <f>T("AE")</f>
        <v>AE</v>
      </c>
      <c r="F11305" t="str">
        <f>T("095322830")</f>
        <v>095322830</v>
      </c>
      <c r="G11305" t="str">
        <f>T("USS DWIGHT D EISENHOWER")</f>
        <v>USS DWIGHT D EISENHOWER</v>
      </c>
      <c r="H11305" t="str">
        <f>T("STOCK CONTROL S-1")</f>
        <v>STOCK CONTROL S-1</v>
      </c>
      <c r="I11305" t="str">
        <f>T("FPO")</f>
        <v>FPO</v>
      </c>
      <c r="J11305" t="str">
        <f>T("AE")</f>
        <v>AE</v>
      </c>
      <c r="K11305" t="str">
        <f t="shared" ref="K11305:K11310" si="4133">T("000000000000000000")</f>
        <v>000000000000000000</v>
      </c>
      <c r="L11305" t="str">
        <f>T("7574437342")</f>
        <v>7574437342</v>
      </c>
    </row>
    <row r="11306" spans="1:12" x14ac:dyDescent="0.35">
      <c r="A11306" t="str">
        <f>T("USS DWIGHT D EISENHOWER CVN-69")</f>
        <v>USS DWIGHT D EISENHOWER CVN-69</v>
      </c>
      <c r="B11306" t="str">
        <f>T("USS DWIGHT D EISENHOWER")</f>
        <v>USS DWIGHT D EISENHOWER</v>
      </c>
      <c r="C11306" t="str">
        <f>T("S-1 DIVISION")</f>
        <v>S-1 DIVISION</v>
      </c>
      <c r="D11306" t="str">
        <f>T("FPO")</f>
        <v>FPO</v>
      </c>
      <c r="E11306" t="str">
        <f>T("AE")</f>
        <v>AE</v>
      </c>
      <c r="F11306" t="str">
        <f>T("095322830")</f>
        <v>095322830</v>
      </c>
      <c r="G11306" t="str">
        <f>T("USS DWIGHT D EISENHOWER CVN 69")</f>
        <v>USS DWIGHT D EISENHOWER CVN 69</v>
      </c>
      <c r="H11306" t="str">
        <f>T("UNIT 100236 BOX 5052")</f>
        <v>UNIT 100236 BOX 5052</v>
      </c>
      <c r="I11306" t="str">
        <f>T("FPO")</f>
        <v>FPO</v>
      </c>
      <c r="J11306" t="str">
        <f>T("AE")</f>
        <v>AE</v>
      </c>
      <c r="K11306" t="str">
        <f t="shared" si="4133"/>
        <v>000000000000000000</v>
      </c>
      <c r="L11306" t="str">
        <f>T("7574437342")</f>
        <v>7574437342</v>
      </c>
    </row>
    <row r="11307" spans="1:12" x14ac:dyDescent="0.35">
      <c r="A11307" t="str">
        <f t="shared" ref="A11307:A11313" si="4134">T("HM-14")</f>
        <v>HM-14</v>
      </c>
      <c r="B11307" t="str">
        <f t="shared" ref="B11307:B11313" si="4135">T("538 A STREET BLDG SP-36")</f>
        <v>538 A STREET BLDG SP-36</v>
      </c>
      <c r="C11307" t="str">
        <f t="shared" ref="C11307:C11313" si="4136">T("")</f>
        <v/>
      </c>
      <c r="D11307" t="str">
        <f t="shared" ref="D11307:D11313" si="4137">T("NORFOLK")</f>
        <v>NORFOLK</v>
      </c>
      <c r="E11307" t="str">
        <f t="shared" ref="E11307:E11313" si="4138">T("VA")</f>
        <v>VA</v>
      </c>
      <c r="F11307" t="str">
        <f t="shared" ref="F11307:F11313" si="4139">T("235114007")</f>
        <v>235114007</v>
      </c>
      <c r="G11307" t="str">
        <f>T("538 A ST")</f>
        <v>538 A ST</v>
      </c>
      <c r="H11307" t="str">
        <f>T("BLDG SP36")</f>
        <v>BLDG SP36</v>
      </c>
      <c r="I11307" t="str">
        <f t="shared" ref="I11307:I11313" si="4140">T("NORFOLK")</f>
        <v>NORFOLK</v>
      </c>
      <c r="J11307" t="str">
        <f t="shared" ref="J11307:J11313" si="4141">T("VA")</f>
        <v>VA</v>
      </c>
      <c r="K11307" t="str">
        <f t="shared" si="4133"/>
        <v>000000000000000000</v>
      </c>
      <c r="L11307" t="str">
        <f>T("7573222199")</f>
        <v>7573222199</v>
      </c>
    </row>
    <row r="11308" spans="1:12" x14ac:dyDescent="0.35">
      <c r="A11308" t="str">
        <f t="shared" si="4134"/>
        <v>HM-14</v>
      </c>
      <c r="B11308" t="str">
        <f t="shared" si="4135"/>
        <v>538 A STREET BLDG SP-36</v>
      </c>
      <c r="C11308" t="str">
        <f t="shared" si="4136"/>
        <v/>
      </c>
      <c r="D11308" t="str">
        <f t="shared" si="4137"/>
        <v>NORFOLK</v>
      </c>
      <c r="E11308" t="str">
        <f t="shared" si="4138"/>
        <v>VA</v>
      </c>
      <c r="F11308" t="str">
        <f t="shared" si="4139"/>
        <v>235114007</v>
      </c>
      <c r="G11308" t="str">
        <f>T("538 A STREET")</f>
        <v>538 A STREET</v>
      </c>
      <c r="H11308" t="str">
        <f>T("BLDG SP-36")</f>
        <v>BLDG SP-36</v>
      </c>
      <c r="I11308" t="str">
        <f t="shared" si="4140"/>
        <v>NORFOLK</v>
      </c>
      <c r="J11308" t="str">
        <f t="shared" si="4141"/>
        <v>VA</v>
      </c>
      <c r="K11308" t="str">
        <f t="shared" si="4133"/>
        <v>000000000000000000</v>
      </c>
      <c r="L11308" t="str">
        <f>T("7573222199")</f>
        <v>7573222199</v>
      </c>
    </row>
    <row r="11309" spans="1:12" x14ac:dyDescent="0.35">
      <c r="A11309" t="str">
        <f t="shared" si="4134"/>
        <v>HM-14</v>
      </c>
      <c r="B11309" t="str">
        <f t="shared" si="4135"/>
        <v>538 A STREET BLDG SP-36</v>
      </c>
      <c r="C11309" t="str">
        <f t="shared" si="4136"/>
        <v/>
      </c>
      <c r="D11309" t="str">
        <f t="shared" si="4137"/>
        <v>NORFOLK</v>
      </c>
      <c r="E11309" t="str">
        <f t="shared" si="4138"/>
        <v>VA</v>
      </c>
      <c r="F11309" t="str">
        <f t="shared" si="4139"/>
        <v>235114007</v>
      </c>
      <c r="G11309" t="str">
        <f>T("538 A STREET")</f>
        <v>538 A STREET</v>
      </c>
      <c r="H11309" t="str">
        <f>T("BLDG SP-36")</f>
        <v>BLDG SP-36</v>
      </c>
      <c r="I11309" t="str">
        <f t="shared" si="4140"/>
        <v>NORFOLK</v>
      </c>
      <c r="J11309" t="str">
        <f t="shared" si="4141"/>
        <v>VA</v>
      </c>
      <c r="K11309" t="str">
        <f t="shared" si="4133"/>
        <v>000000000000000000</v>
      </c>
      <c r="L11309" t="str">
        <f>T("7573222201")</f>
        <v>7573222201</v>
      </c>
    </row>
    <row r="11310" spans="1:12" x14ac:dyDescent="0.35">
      <c r="A11310" t="str">
        <f t="shared" si="4134"/>
        <v>HM-14</v>
      </c>
      <c r="B11310" t="str">
        <f t="shared" si="4135"/>
        <v>538 A STREET BLDG SP-36</v>
      </c>
      <c r="C11310" t="str">
        <f t="shared" si="4136"/>
        <v/>
      </c>
      <c r="D11310" t="str">
        <f t="shared" si="4137"/>
        <v>NORFOLK</v>
      </c>
      <c r="E11310" t="str">
        <f t="shared" si="4138"/>
        <v>VA</v>
      </c>
      <c r="F11310" t="str">
        <f t="shared" si="4139"/>
        <v>235114007</v>
      </c>
      <c r="G11310" t="str">
        <f>T("538 A STREET")</f>
        <v>538 A STREET</v>
      </c>
      <c r="H11310" t="str">
        <f>T("BLDG SP36")</f>
        <v>BLDG SP36</v>
      </c>
      <c r="I11310" t="str">
        <f t="shared" si="4140"/>
        <v>NORFOLK</v>
      </c>
      <c r="J11310" t="str">
        <f t="shared" si="4141"/>
        <v>VA</v>
      </c>
      <c r="K11310" t="str">
        <f t="shared" si="4133"/>
        <v>000000000000000000</v>
      </c>
      <c r="L11310" t="str">
        <f>T("7573222199")</f>
        <v>7573222199</v>
      </c>
    </row>
    <row r="11311" spans="1:12" x14ac:dyDescent="0.35">
      <c r="A11311" t="str">
        <f t="shared" si="4134"/>
        <v>HM-14</v>
      </c>
      <c r="B11311" t="str">
        <f t="shared" si="4135"/>
        <v>538 A STREET BLDG SP-36</v>
      </c>
      <c r="C11311" t="str">
        <f t="shared" si="4136"/>
        <v/>
      </c>
      <c r="D11311" t="str">
        <f t="shared" si="4137"/>
        <v>NORFOLK</v>
      </c>
      <c r="E11311" t="str">
        <f t="shared" si="4138"/>
        <v>VA</v>
      </c>
      <c r="F11311" t="str">
        <f t="shared" si="4139"/>
        <v>235114007</v>
      </c>
      <c r="G11311" t="str">
        <f>T("538 A STREET BLDG SP-36")</f>
        <v>538 A STREET BLDG SP-36</v>
      </c>
      <c r="H11311" t="str">
        <f>T("")</f>
        <v/>
      </c>
      <c r="I11311" t="str">
        <f t="shared" si="4140"/>
        <v>NORFOLK</v>
      </c>
      <c r="J11311" t="str">
        <f t="shared" si="4141"/>
        <v>VA</v>
      </c>
      <c r="K11311" t="str">
        <f>T("")</f>
        <v/>
      </c>
      <c r="L11311" t="str">
        <f>T("7573222199")</f>
        <v>7573222199</v>
      </c>
    </row>
    <row r="11312" spans="1:12" x14ac:dyDescent="0.35">
      <c r="A11312" t="str">
        <f t="shared" si="4134"/>
        <v>HM-14</v>
      </c>
      <c r="B11312" t="str">
        <f t="shared" si="4135"/>
        <v>538 A STREET BLDG SP-36</v>
      </c>
      <c r="C11312" t="str">
        <f t="shared" si="4136"/>
        <v/>
      </c>
      <c r="D11312" t="str">
        <f t="shared" si="4137"/>
        <v>NORFOLK</v>
      </c>
      <c r="E11312" t="str">
        <f t="shared" si="4138"/>
        <v>VA</v>
      </c>
      <c r="F11312" t="str">
        <f t="shared" si="4139"/>
        <v>235114007</v>
      </c>
      <c r="G11312" t="str">
        <f>T("538 A STREET BLDG SP-36")</f>
        <v>538 A STREET BLDG SP-36</v>
      </c>
      <c r="H11312" t="str">
        <f>T("")</f>
        <v/>
      </c>
      <c r="I11312" t="str">
        <f t="shared" si="4140"/>
        <v>NORFOLK</v>
      </c>
      <c r="J11312" t="str">
        <f t="shared" si="4141"/>
        <v>VA</v>
      </c>
      <c r="K11312" t="str">
        <f>T("000000000000000000")</f>
        <v>000000000000000000</v>
      </c>
      <c r="L11312" t="str">
        <f>T("7573222199")</f>
        <v>7573222199</v>
      </c>
    </row>
    <row r="11313" spans="1:12" x14ac:dyDescent="0.35">
      <c r="A11313" t="str">
        <f t="shared" si="4134"/>
        <v>HM-14</v>
      </c>
      <c r="B11313" t="str">
        <f t="shared" si="4135"/>
        <v>538 A STREET BLDG SP-36</v>
      </c>
      <c r="C11313" t="str">
        <f t="shared" si="4136"/>
        <v/>
      </c>
      <c r="D11313" t="str">
        <f t="shared" si="4137"/>
        <v>NORFOLK</v>
      </c>
      <c r="E11313" t="str">
        <f t="shared" si="4138"/>
        <v>VA</v>
      </c>
      <c r="F11313" t="str">
        <f t="shared" si="4139"/>
        <v>235114007</v>
      </c>
      <c r="G11313" t="str">
        <f>T("538 A STREET BLDG SP36")</f>
        <v>538 A STREET BLDG SP36</v>
      </c>
      <c r="H11313" t="str">
        <f>T("HM-14")</f>
        <v>HM-14</v>
      </c>
      <c r="I11313" t="str">
        <f t="shared" si="4140"/>
        <v>NORFOLK</v>
      </c>
      <c r="J11313" t="str">
        <f t="shared" si="4141"/>
        <v>VA</v>
      </c>
      <c r="K11313" t="str">
        <f>T("000000000000000000")</f>
        <v>000000000000000000</v>
      </c>
      <c r="L11313" t="str">
        <f>T("7573222199")</f>
        <v>7573222199</v>
      </c>
    </row>
    <row r="11314" spans="1:12" x14ac:dyDescent="0.35">
      <c r="A11314" t="str">
        <f>T("FACSFAC JAX")</f>
        <v>FACSFAC JAX</v>
      </c>
      <c r="B11314" t="str">
        <f>T("BLDG 118 BOX 40")</f>
        <v>BLDG 118 BOX 40</v>
      </c>
      <c r="C11314" t="str">
        <f>T("NAS JACKSONVILLE")</f>
        <v>NAS JACKSONVILLE</v>
      </c>
      <c r="D11314" t="str">
        <f t="shared" ref="D11314:D11328" si="4142">T("JACKSONVILLE")</f>
        <v>JACKSONVILLE</v>
      </c>
      <c r="E11314" t="str">
        <f t="shared" ref="E11314:E11336" si="4143">T("FL")</f>
        <v>FL</v>
      </c>
      <c r="F11314" t="str">
        <f>T("322120040")</f>
        <v>322120040</v>
      </c>
      <c r="G11314" t="str">
        <f>T("BLDG 118 BOX 40")</f>
        <v>BLDG 118 BOX 40</v>
      </c>
      <c r="H11314" t="str">
        <f>T("NAS JACKSONVILLE")</f>
        <v>NAS JACKSONVILLE</v>
      </c>
      <c r="I11314" t="str">
        <f>T("JACKSONVILLE")</f>
        <v>JACKSONVILLE</v>
      </c>
      <c r="J11314" t="str">
        <f t="shared" ref="J11314:J11336" si="4144">T("FL")</f>
        <v>FL</v>
      </c>
      <c r="K11314" t="str">
        <f>T("3527592948")</f>
        <v>3527592948</v>
      </c>
      <c r="L11314" t="str">
        <f>T("3527592931")</f>
        <v>3527592931</v>
      </c>
    </row>
    <row r="11315" spans="1:12" x14ac:dyDescent="0.35">
      <c r="A11315" t="str">
        <f>T("FACSFAC JAX")</f>
        <v>FACSFAC JAX</v>
      </c>
      <c r="B11315" t="str">
        <f>T("BLDG 118 BOX 40")</f>
        <v>BLDG 118 BOX 40</v>
      </c>
      <c r="C11315" t="str">
        <f>T("NAS JACKSONVILLE")</f>
        <v>NAS JACKSONVILLE</v>
      </c>
      <c r="D11315" t="str">
        <f t="shared" si="4142"/>
        <v>JACKSONVILLE</v>
      </c>
      <c r="E11315" t="str">
        <f t="shared" si="4143"/>
        <v>FL</v>
      </c>
      <c r="F11315" t="str">
        <f>T("322120040")</f>
        <v>322120040</v>
      </c>
      <c r="G11315" t="str">
        <f>T("BLDG 118 BOX 40")</f>
        <v>BLDG 118 BOX 40</v>
      </c>
      <c r="H11315" t="str">
        <f>T("NAS JACKSONVILLE")</f>
        <v>NAS JACKSONVILLE</v>
      </c>
      <c r="I11315" t="str">
        <f>T("JACKSONVILLE")</f>
        <v>JACKSONVILLE</v>
      </c>
      <c r="J11315" t="str">
        <f t="shared" si="4144"/>
        <v>FL</v>
      </c>
      <c r="K11315" t="str">
        <f>T("9045422013")</f>
        <v>9045422013</v>
      </c>
      <c r="L11315" t="str">
        <f>T("9045422012")</f>
        <v>9045422012</v>
      </c>
    </row>
    <row r="11316" spans="1:12" x14ac:dyDescent="0.35">
      <c r="A11316" t="str">
        <f>T("FACSFAC JAX")</f>
        <v>FACSFAC JAX</v>
      </c>
      <c r="B11316" t="str">
        <f>T("BLDG 118 BOX 40")</f>
        <v>BLDG 118 BOX 40</v>
      </c>
      <c r="C11316" t="str">
        <f>T("NAS JACKSONVILLE")</f>
        <v>NAS JACKSONVILLE</v>
      </c>
      <c r="D11316" t="str">
        <f t="shared" si="4142"/>
        <v>JACKSONVILLE</v>
      </c>
      <c r="E11316" t="str">
        <f t="shared" si="4143"/>
        <v>FL</v>
      </c>
      <c r="F11316" t="str">
        <f>T("322120040")</f>
        <v>322120040</v>
      </c>
      <c r="G11316" t="str">
        <f>T("BLDG 118 BOX 40")</f>
        <v>BLDG 118 BOX 40</v>
      </c>
      <c r="H11316" t="str">
        <f>T("NAS JACKSONVILLE")</f>
        <v>NAS JACKSONVILLE</v>
      </c>
      <c r="I11316" t="str">
        <f>T("JACKSONVILLE")</f>
        <v>JACKSONVILLE</v>
      </c>
      <c r="J11316" t="str">
        <f t="shared" si="4144"/>
        <v>FL</v>
      </c>
      <c r="K11316" t="str">
        <f>T("9045422525")</f>
        <v>9045422525</v>
      </c>
      <c r="L11316" t="str">
        <f>T("9045422012")</f>
        <v>9045422012</v>
      </c>
    </row>
    <row r="11317" spans="1:12" x14ac:dyDescent="0.35">
      <c r="A11317" t="str">
        <f>T("HSM-40")</f>
        <v>HSM-40</v>
      </c>
      <c r="B11317" t="str">
        <f>T("PO BOX 280118")</f>
        <v>PO BOX 280118</v>
      </c>
      <c r="C11317" t="str">
        <f>T("")</f>
        <v/>
      </c>
      <c r="D11317" t="str">
        <f t="shared" si="4142"/>
        <v>JACKSONVILLE</v>
      </c>
      <c r="E11317" t="str">
        <f t="shared" si="4143"/>
        <v>FL</v>
      </c>
      <c r="F11317" t="str">
        <f>T("322280118")</f>
        <v>322280118</v>
      </c>
      <c r="G11317" t="str">
        <f>T("HSM-40")</f>
        <v>HSM-40</v>
      </c>
      <c r="H11317" t="str">
        <f>T("BLDG 1552")</f>
        <v>BLDG 1552</v>
      </c>
      <c r="I11317" t="str">
        <f>T("MAYPORT")</f>
        <v>MAYPORT</v>
      </c>
      <c r="J11317" t="str">
        <f t="shared" si="4144"/>
        <v>FL</v>
      </c>
      <c r="K11317" t="str">
        <f>T("9042705123")</f>
        <v>9042705123</v>
      </c>
      <c r="L11317" t="str">
        <f>T("9042706332")</f>
        <v>9042706332</v>
      </c>
    </row>
    <row r="11318" spans="1:12" x14ac:dyDescent="0.35">
      <c r="A11318" t="str">
        <f>T("HSM-40")</f>
        <v>HSM-40</v>
      </c>
      <c r="B11318" t="str">
        <f>T("PO BOX 280118")</f>
        <v>PO BOX 280118</v>
      </c>
      <c r="C11318" t="str">
        <f>T("")</f>
        <v/>
      </c>
      <c r="D11318" t="str">
        <f t="shared" si="4142"/>
        <v>JACKSONVILLE</v>
      </c>
      <c r="E11318" t="str">
        <f t="shared" si="4143"/>
        <v>FL</v>
      </c>
      <c r="F11318" t="str">
        <f>T("322280118")</f>
        <v>322280118</v>
      </c>
      <c r="G11318" t="str">
        <f>T("HSM-40 BLDG 1552")</f>
        <v>HSM-40 BLDG 1552</v>
      </c>
      <c r="H11318" t="str">
        <f>T("")</f>
        <v/>
      </c>
      <c r="I11318" t="str">
        <f>T("MAYPORT")</f>
        <v>MAYPORT</v>
      </c>
      <c r="J11318" t="str">
        <f t="shared" si="4144"/>
        <v>FL</v>
      </c>
      <c r="K11318" t="str">
        <f>T("9042705123")</f>
        <v>9042705123</v>
      </c>
      <c r="L11318" t="str">
        <f>T("9042706332")</f>
        <v>9042706332</v>
      </c>
    </row>
    <row r="11319" spans="1:12" x14ac:dyDescent="0.35">
      <c r="A11319" t="str">
        <f>T("HSM-40")</f>
        <v>HSM-40</v>
      </c>
      <c r="B11319" t="str">
        <f>T("PO BOX 280118")</f>
        <v>PO BOX 280118</v>
      </c>
      <c r="C11319" t="str">
        <f>T("")</f>
        <v/>
      </c>
      <c r="D11319" t="str">
        <f t="shared" si="4142"/>
        <v>JACKSONVILLE</v>
      </c>
      <c r="E11319" t="str">
        <f t="shared" si="4143"/>
        <v>FL</v>
      </c>
      <c r="F11319" t="str">
        <f>T("322280118")</f>
        <v>322280118</v>
      </c>
      <c r="G11319" t="str">
        <f>T("PO BOX 280118")</f>
        <v>PO BOX 280118</v>
      </c>
      <c r="H11319" t="str">
        <f>T("")</f>
        <v/>
      </c>
      <c r="I11319" t="str">
        <f t="shared" ref="I11319:I11330" si="4145">T("JACKSONVILLE")</f>
        <v>JACKSONVILLE</v>
      </c>
      <c r="J11319" t="str">
        <f t="shared" si="4144"/>
        <v>FL</v>
      </c>
      <c r="K11319" t="str">
        <f>T("")</f>
        <v/>
      </c>
      <c r="L11319" t="str">
        <f>T("1111111111")</f>
        <v>1111111111</v>
      </c>
    </row>
    <row r="11320" spans="1:12" x14ac:dyDescent="0.35">
      <c r="A11320" t="str">
        <f t="shared" ref="A11320:A11328" si="4146">T("HSM-72")</f>
        <v>HSM-72</v>
      </c>
      <c r="B11320" t="str">
        <f t="shared" ref="B11320:B11328" si="4147">T("HSM-72 NAS JAX HGR 1122 MOD 1")</f>
        <v>HSM-72 NAS JAX HGR 1122 MOD 1</v>
      </c>
      <c r="C11320" t="str">
        <f t="shared" ref="C11320:C11328" si="4148">T("ALBERMARLE RD P O BOX 15")</f>
        <v>ALBERMARLE RD P O BOX 15</v>
      </c>
      <c r="D11320" t="str">
        <f t="shared" si="4142"/>
        <v>JACKSONVILLE</v>
      </c>
      <c r="E11320" t="str">
        <f t="shared" si="4143"/>
        <v>FL</v>
      </c>
      <c r="F11320" t="str">
        <f t="shared" ref="F11320:F11328" si="4149">T("322120015")</f>
        <v>322120015</v>
      </c>
      <c r="G11320" t="str">
        <f>T("HSM-72 HANGAR 1122 MOD 1")</f>
        <v>HSM-72 HANGAR 1122 MOD 1</v>
      </c>
      <c r="H11320" t="str">
        <f>T("ALBERMARLE AVE")</f>
        <v>ALBERMARLE AVE</v>
      </c>
      <c r="I11320" t="str">
        <f t="shared" si="4145"/>
        <v>JACKSONVILLE</v>
      </c>
      <c r="J11320" t="str">
        <f t="shared" si="4144"/>
        <v>FL</v>
      </c>
      <c r="K11320" t="str">
        <f>T("9045420520")</f>
        <v>9045420520</v>
      </c>
      <c r="L11320" t="str">
        <f>T("9045422744")</f>
        <v>9045422744</v>
      </c>
    </row>
    <row r="11321" spans="1:12" x14ac:dyDescent="0.35">
      <c r="A11321" t="str">
        <f t="shared" si="4146"/>
        <v>HSM-72</v>
      </c>
      <c r="B11321" t="str">
        <f t="shared" si="4147"/>
        <v>HSM-72 NAS JAX HGR 1122 MOD 1</v>
      </c>
      <c r="C11321" t="str">
        <f t="shared" si="4148"/>
        <v>ALBERMARLE RD P O BOX 15</v>
      </c>
      <c r="D11321" t="str">
        <f t="shared" si="4142"/>
        <v>JACKSONVILLE</v>
      </c>
      <c r="E11321" t="str">
        <f t="shared" si="4143"/>
        <v>FL</v>
      </c>
      <c r="F11321" t="str">
        <f t="shared" si="4149"/>
        <v>322120015</v>
      </c>
      <c r="G11321" t="str">
        <f>T("HSM-72 HANGAR 1122 MOD1")</f>
        <v>HSM-72 HANGAR 1122 MOD1</v>
      </c>
      <c r="H11321" t="str">
        <f>T("ALBEMARLE AVENUE")</f>
        <v>ALBEMARLE AVENUE</v>
      </c>
      <c r="I11321" t="str">
        <f t="shared" si="4145"/>
        <v>JACKSONVILLE</v>
      </c>
      <c r="J11321" t="str">
        <f t="shared" si="4144"/>
        <v>FL</v>
      </c>
      <c r="K11321" t="str">
        <f>T("9045420520")</f>
        <v>9045420520</v>
      </c>
      <c r="L11321" t="str">
        <f>T("9045422744")</f>
        <v>9045422744</v>
      </c>
    </row>
    <row r="11322" spans="1:12" x14ac:dyDescent="0.35">
      <c r="A11322" t="str">
        <f t="shared" si="4146"/>
        <v>HSM-72</v>
      </c>
      <c r="B11322" t="str">
        <f t="shared" si="4147"/>
        <v>HSM-72 NAS JAX HGR 1122 MOD 1</v>
      </c>
      <c r="C11322" t="str">
        <f t="shared" si="4148"/>
        <v>ALBERMARLE RD P O BOX 15</v>
      </c>
      <c r="D11322" t="str">
        <f t="shared" si="4142"/>
        <v>JACKSONVILLE</v>
      </c>
      <c r="E11322" t="str">
        <f t="shared" si="4143"/>
        <v>FL</v>
      </c>
      <c r="F11322" t="str">
        <f t="shared" si="4149"/>
        <v>322120015</v>
      </c>
      <c r="G11322" t="str">
        <f>T("HSM-72 HANGAR 1122 MOD1")</f>
        <v>HSM-72 HANGAR 1122 MOD1</v>
      </c>
      <c r="H11322" t="str">
        <f>T("ALBERMARLE AVENUE")</f>
        <v>ALBERMARLE AVENUE</v>
      </c>
      <c r="I11322" t="str">
        <f t="shared" si="4145"/>
        <v>JACKSONVILLE</v>
      </c>
      <c r="J11322" t="str">
        <f t="shared" si="4144"/>
        <v>FL</v>
      </c>
      <c r="K11322" t="str">
        <f>T("9045420520")</f>
        <v>9045420520</v>
      </c>
      <c r="L11322" t="str">
        <f>T("9045422744")</f>
        <v>9045422744</v>
      </c>
    </row>
    <row r="11323" spans="1:12" x14ac:dyDescent="0.35">
      <c r="A11323" t="str">
        <f t="shared" si="4146"/>
        <v>HSM-72</v>
      </c>
      <c r="B11323" t="str">
        <f t="shared" si="4147"/>
        <v>HSM-72 NAS JAX HGR 1122 MOD 1</v>
      </c>
      <c r="C11323" t="str">
        <f t="shared" si="4148"/>
        <v>ALBERMARLE RD P O BOX 15</v>
      </c>
      <c r="D11323" t="str">
        <f t="shared" si="4142"/>
        <v>JACKSONVILLE</v>
      </c>
      <c r="E11323" t="str">
        <f t="shared" si="4143"/>
        <v>FL</v>
      </c>
      <c r="F11323" t="str">
        <f t="shared" si="4149"/>
        <v>322120015</v>
      </c>
      <c r="G11323" t="str">
        <f>T("HSM-72 HANGER 1122 MOD 1")</f>
        <v>HSM-72 HANGER 1122 MOD 1</v>
      </c>
      <c r="H11323" t="str">
        <f>T("")</f>
        <v/>
      </c>
      <c r="I11323" t="str">
        <f t="shared" si="4145"/>
        <v>JACKSONVILLE</v>
      </c>
      <c r="J11323" t="str">
        <f t="shared" si="4144"/>
        <v>FL</v>
      </c>
      <c r="K11323" t="str">
        <f>T("9045420520")</f>
        <v>9045420520</v>
      </c>
      <c r="L11323" t="str">
        <f>T("9045422744")</f>
        <v>9045422744</v>
      </c>
    </row>
    <row r="11324" spans="1:12" x14ac:dyDescent="0.35">
      <c r="A11324" t="str">
        <f t="shared" si="4146"/>
        <v>HSM-72</v>
      </c>
      <c r="B11324" t="str">
        <f t="shared" si="4147"/>
        <v>HSM-72 NAS JAX HGR 1122 MOD 1</v>
      </c>
      <c r="C11324" t="str">
        <f t="shared" si="4148"/>
        <v>ALBERMARLE RD P O BOX 15</v>
      </c>
      <c r="D11324" t="str">
        <f t="shared" si="4142"/>
        <v>JACKSONVILLE</v>
      </c>
      <c r="E11324" t="str">
        <f t="shared" si="4143"/>
        <v>FL</v>
      </c>
      <c r="F11324" t="str">
        <f t="shared" si="4149"/>
        <v>322120015</v>
      </c>
      <c r="G11324" t="str">
        <f>T("HSM-72 HANGER 1122 MOD1")</f>
        <v>HSM-72 HANGER 1122 MOD1</v>
      </c>
      <c r="H11324" t="str">
        <f>T("ALBEMERE AVE")</f>
        <v>ALBEMERE AVE</v>
      </c>
      <c r="I11324" t="str">
        <f t="shared" si="4145"/>
        <v>JACKSONVILLE</v>
      </c>
      <c r="J11324" t="str">
        <f t="shared" si="4144"/>
        <v>FL</v>
      </c>
      <c r="K11324" t="str">
        <f>T("000000000000000000")</f>
        <v>000000000000000000</v>
      </c>
      <c r="L11324" t="str">
        <f>T("9045422744")</f>
        <v>9045422744</v>
      </c>
    </row>
    <row r="11325" spans="1:12" x14ac:dyDescent="0.35">
      <c r="A11325" t="str">
        <f t="shared" si="4146"/>
        <v>HSM-72</v>
      </c>
      <c r="B11325" t="str">
        <f t="shared" si="4147"/>
        <v>HSM-72 NAS JAX HGR 1122 MOD 1</v>
      </c>
      <c r="C11325" t="str">
        <f t="shared" si="4148"/>
        <v>ALBERMARLE RD P O BOX 15</v>
      </c>
      <c r="D11325" t="str">
        <f t="shared" si="4142"/>
        <v>JACKSONVILLE</v>
      </c>
      <c r="E11325" t="str">
        <f t="shared" si="4143"/>
        <v>FL</v>
      </c>
      <c r="F11325" t="str">
        <f t="shared" si="4149"/>
        <v>322120015</v>
      </c>
      <c r="G11325" t="str">
        <f>T("HSM-72 NAS JAX HGR 1122 MOD 1")</f>
        <v>HSM-72 NAS JAX HGR 1122 MOD 1</v>
      </c>
      <c r="H11325" t="str">
        <f>T("ALBERMARLE RD P O BOX 15")</f>
        <v>ALBERMARLE RD P O BOX 15</v>
      </c>
      <c r="I11325" t="str">
        <f t="shared" si="4145"/>
        <v>JACKSONVILLE</v>
      </c>
      <c r="J11325" t="str">
        <f t="shared" si="4144"/>
        <v>FL</v>
      </c>
      <c r="K11325" t="str">
        <f>T("9045420520")</f>
        <v>9045420520</v>
      </c>
      <c r="L11325" t="str">
        <f>T("9045424475")</f>
        <v>9045424475</v>
      </c>
    </row>
    <row r="11326" spans="1:12" x14ac:dyDescent="0.35">
      <c r="A11326" t="str">
        <f t="shared" si="4146"/>
        <v>HSM-72</v>
      </c>
      <c r="B11326" t="str">
        <f t="shared" si="4147"/>
        <v>HSM-72 NAS JAX HGR 1122 MOD 1</v>
      </c>
      <c r="C11326" t="str">
        <f t="shared" si="4148"/>
        <v>ALBERMARLE RD P O BOX 15</v>
      </c>
      <c r="D11326" t="str">
        <f t="shared" si="4142"/>
        <v>JACKSONVILLE</v>
      </c>
      <c r="E11326" t="str">
        <f t="shared" si="4143"/>
        <v>FL</v>
      </c>
      <c r="F11326" t="str">
        <f t="shared" si="4149"/>
        <v>322120015</v>
      </c>
      <c r="G11326" t="str">
        <f>T("PO BOX 15 HANGER 112 MOD1")</f>
        <v>PO BOX 15 HANGER 112 MOD1</v>
      </c>
      <c r="H11326" t="str">
        <f>T("ALBERMARLE AVE")</f>
        <v>ALBERMARLE AVE</v>
      </c>
      <c r="I11326" t="str">
        <f t="shared" si="4145"/>
        <v>JACKSONVILLE</v>
      </c>
      <c r="J11326" t="str">
        <f t="shared" si="4144"/>
        <v>FL</v>
      </c>
      <c r="K11326" t="str">
        <f>T("9045420520")</f>
        <v>9045420520</v>
      </c>
      <c r="L11326" t="str">
        <f>T("9045422744")</f>
        <v>9045422744</v>
      </c>
    </row>
    <row r="11327" spans="1:12" x14ac:dyDescent="0.35">
      <c r="A11327" t="str">
        <f t="shared" si="4146"/>
        <v>HSM-72</v>
      </c>
      <c r="B11327" t="str">
        <f t="shared" si="4147"/>
        <v>HSM-72 NAS JAX HGR 1122 MOD 1</v>
      </c>
      <c r="C11327" t="str">
        <f t="shared" si="4148"/>
        <v>ALBERMARLE RD P O BOX 15</v>
      </c>
      <c r="D11327" t="str">
        <f t="shared" si="4142"/>
        <v>JACKSONVILLE</v>
      </c>
      <c r="E11327" t="str">
        <f t="shared" si="4143"/>
        <v>FL</v>
      </c>
      <c r="F11327" t="str">
        <f t="shared" si="4149"/>
        <v>322120015</v>
      </c>
      <c r="G11327" t="str">
        <f>T("PO BOX 15 HANGER 1122 MOD1")</f>
        <v>PO BOX 15 HANGER 1122 MOD1</v>
      </c>
      <c r="H11327" t="str">
        <f>T("ALBERMAELE AVE")</f>
        <v>ALBERMAELE AVE</v>
      </c>
      <c r="I11327" t="str">
        <f t="shared" si="4145"/>
        <v>JACKSONVILLE</v>
      </c>
      <c r="J11327" t="str">
        <f t="shared" si="4144"/>
        <v>FL</v>
      </c>
      <c r="K11327" t="str">
        <f>T("9045420520")</f>
        <v>9045420520</v>
      </c>
      <c r="L11327" t="str">
        <f>T("9045422744")</f>
        <v>9045422744</v>
      </c>
    </row>
    <row r="11328" spans="1:12" x14ac:dyDescent="0.35">
      <c r="A11328" t="str">
        <f t="shared" si="4146"/>
        <v>HSM-72</v>
      </c>
      <c r="B11328" t="str">
        <f t="shared" si="4147"/>
        <v>HSM-72 NAS JAX HGR 1122 MOD 1</v>
      </c>
      <c r="C11328" t="str">
        <f t="shared" si="4148"/>
        <v>ALBERMARLE RD P O BOX 15</v>
      </c>
      <c r="D11328" t="str">
        <f t="shared" si="4142"/>
        <v>JACKSONVILLE</v>
      </c>
      <c r="E11328" t="str">
        <f t="shared" si="4143"/>
        <v>FL</v>
      </c>
      <c r="F11328" t="str">
        <f t="shared" si="4149"/>
        <v>322120015</v>
      </c>
      <c r="G11328" t="str">
        <f>T("PO BOX 15 HANGER 1122 MOD1")</f>
        <v>PO BOX 15 HANGER 1122 MOD1</v>
      </c>
      <c r="H11328" t="str">
        <f>T("ALBERMARLE AVE")</f>
        <v>ALBERMARLE AVE</v>
      </c>
      <c r="I11328" t="str">
        <f t="shared" si="4145"/>
        <v>JACKSONVILLE</v>
      </c>
      <c r="J11328" t="str">
        <f t="shared" si="4144"/>
        <v>FL</v>
      </c>
      <c r="K11328" t="str">
        <f>T("9045420520")</f>
        <v>9045420520</v>
      </c>
      <c r="L11328" t="str">
        <f>T("9045424475")</f>
        <v>9045424475</v>
      </c>
    </row>
    <row r="11329" spans="1:12" x14ac:dyDescent="0.35">
      <c r="A11329" t="str">
        <f>T("HSM-46")</f>
        <v>HSM-46</v>
      </c>
      <c r="B11329" t="str">
        <f>T("BLDG 1552D")</f>
        <v>BLDG 1552D</v>
      </c>
      <c r="C11329" t="str">
        <f>T("NAVSTA MAYPORT HSM-46")</f>
        <v>NAVSTA MAYPORT HSM-46</v>
      </c>
      <c r="D11329" t="str">
        <f>T("MAYPORT")</f>
        <v>MAYPORT</v>
      </c>
      <c r="E11329" t="str">
        <f t="shared" si="4143"/>
        <v>FL</v>
      </c>
      <c r="F11329" t="str">
        <f>T("322280137")</f>
        <v>322280137</v>
      </c>
      <c r="G11329" t="str">
        <f>T("BLDG 1552")</f>
        <v>BLDG 1552</v>
      </c>
      <c r="H11329" t="str">
        <f>T("NAVY STATION MAYPORT")</f>
        <v>NAVY STATION MAYPORT</v>
      </c>
      <c r="I11329" t="str">
        <f t="shared" si="4145"/>
        <v>JACKSONVILLE</v>
      </c>
      <c r="J11329" t="str">
        <f t="shared" si="4144"/>
        <v>FL</v>
      </c>
      <c r="K11329" t="str">
        <f>T("9042706570")</f>
        <v>9042706570</v>
      </c>
      <c r="L11329" t="str">
        <f>T("9042706010")</f>
        <v>9042706010</v>
      </c>
    </row>
    <row r="11330" spans="1:12" x14ac:dyDescent="0.35">
      <c r="A11330" t="str">
        <f>T("HSM-46")</f>
        <v>HSM-46</v>
      </c>
      <c r="B11330" t="str">
        <f>T("BLDG 1552D")</f>
        <v>BLDG 1552D</v>
      </c>
      <c r="C11330" t="str">
        <f>T("NAVSTA MAYPORT HSM-46")</f>
        <v>NAVSTA MAYPORT HSM-46</v>
      </c>
      <c r="D11330" t="str">
        <f>T("MAYPORT")</f>
        <v>MAYPORT</v>
      </c>
      <c r="E11330" t="str">
        <f t="shared" si="4143"/>
        <v>FL</v>
      </c>
      <c r="F11330" t="str">
        <f>T("322280137")</f>
        <v>322280137</v>
      </c>
      <c r="G11330" t="str">
        <f>T("BLDG 1552D")</f>
        <v>BLDG 1552D</v>
      </c>
      <c r="H11330" t="str">
        <f>T("")</f>
        <v/>
      </c>
      <c r="I11330" t="str">
        <f t="shared" si="4145"/>
        <v>JACKSONVILLE</v>
      </c>
      <c r="J11330" t="str">
        <f t="shared" si="4144"/>
        <v>FL</v>
      </c>
      <c r="K11330" t="str">
        <f>T("9042706570")</f>
        <v>9042706570</v>
      </c>
      <c r="L11330" t="str">
        <f>T("9042706010")</f>
        <v>9042706010</v>
      </c>
    </row>
    <row r="11331" spans="1:12" x14ac:dyDescent="0.35">
      <c r="A11331" t="str">
        <f>T("HSM-46")</f>
        <v>HSM-46</v>
      </c>
      <c r="B11331" t="str">
        <f>T("BLDG 1552D")</f>
        <v>BLDG 1552D</v>
      </c>
      <c r="C11331" t="str">
        <f>T("NAVSTA MAYPORT HSM-46")</f>
        <v>NAVSTA MAYPORT HSM-46</v>
      </c>
      <c r="D11331" t="str">
        <f>T("MAYPORT")</f>
        <v>MAYPORT</v>
      </c>
      <c r="E11331" t="str">
        <f t="shared" si="4143"/>
        <v>FL</v>
      </c>
      <c r="F11331" t="str">
        <f>T("322280137")</f>
        <v>322280137</v>
      </c>
      <c r="G11331" t="str">
        <f>T("BLDG 1552D")</f>
        <v>BLDG 1552D</v>
      </c>
      <c r="H11331" t="str">
        <f>T("NAVSTA MAYPORT HSM-46")</f>
        <v>NAVSTA MAYPORT HSM-46</v>
      </c>
      <c r="I11331" t="str">
        <f>T("MAYPORT")</f>
        <v>MAYPORT</v>
      </c>
      <c r="J11331" t="str">
        <f t="shared" si="4144"/>
        <v>FL</v>
      </c>
      <c r="K11331" t="str">
        <f>T("9042706570")</f>
        <v>9042706570</v>
      </c>
      <c r="L11331" t="str">
        <f>T("9042706010")</f>
        <v>9042706010</v>
      </c>
    </row>
    <row r="11332" spans="1:12" x14ac:dyDescent="0.35">
      <c r="A11332" t="str">
        <f>T("HSM-46")</f>
        <v>HSM-46</v>
      </c>
      <c r="B11332" t="str">
        <f>T("BLDG 1552D")</f>
        <v>BLDG 1552D</v>
      </c>
      <c r="C11332" t="str">
        <f>T("NAVSTA MAYPORT HSM-46")</f>
        <v>NAVSTA MAYPORT HSM-46</v>
      </c>
      <c r="D11332" t="str">
        <f>T("MAYPORT")</f>
        <v>MAYPORT</v>
      </c>
      <c r="E11332" t="str">
        <f t="shared" si="4143"/>
        <v>FL</v>
      </c>
      <c r="F11332" t="str">
        <f>T("322280137")</f>
        <v>322280137</v>
      </c>
      <c r="G11332" t="str">
        <f>T("HSL FOUR SIX")</f>
        <v>HSL FOUR SIX</v>
      </c>
      <c r="H11332" t="str">
        <f>T("PO BOX 280137")</f>
        <v>PO BOX 280137</v>
      </c>
      <c r="I11332" t="str">
        <f>T("JACKSONVILLE")</f>
        <v>JACKSONVILLE</v>
      </c>
      <c r="J11332" t="str">
        <f t="shared" si="4144"/>
        <v>FL</v>
      </c>
      <c r="K11332" t="str">
        <f>T("9042706570")</f>
        <v>9042706570</v>
      </c>
      <c r="L11332" t="str">
        <f>T("9042706010")</f>
        <v>9042706010</v>
      </c>
    </row>
    <row r="11333" spans="1:12" x14ac:dyDescent="0.35">
      <c r="A11333" t="str">
        <f t="shared" ref="A11333:B11336" si="4150">T("HSM-48")</f>
        <v>HSM-48</v>
      </c>
      <c r="B11333" t="str">
        <f t="shared" si="4150"/>
        <v>HSM-48</v>
      </c>
      <c r="C11333" t="str">
        <f>T("NAVSTA MAYPORT BLDG 1552")</f>
        <v>NAVSTA MAYPORT BLDG 1552</v>
      </c>
      <c r="D11333" t="str">
        <f>T("JACKSONVILLE")</f>
        <v>JACKSONVILLE</v>
      </c>
      <c r="E11333" t="str">
        <f t="shared" si="4143"/>
        <v>FL</v>
      </c>
      <c r="F11333" t="str">
        <f>T("322280138")</f>
        <v>322280138</v>
      </c>
      <c r="G11333" t="str">
        <f>T("HSM-48")</f>
        <v>HSM-48</v>
      </c>
      <c r="H11333" t="str">
        <f>T("NAVSTA MAYPORT BLDG 1552")</f>
        <v>NAVSTA MAYPORT BLDG 1552</v>
      </c>
      <c r="I11333" t="str">
        <f>T("JACKSONVILLE")</f>
        <v>JACKSONVILLE</v>
      </c>
      <c r="J11333" t="str">
        <f t="shared" si="4144"/>
        <v>FL</v>
      </c>
      <c r="K11333" t="str">
        <f>T("9042706674")</f>
        <v>9042706674</v>
      </c>
      <c r="L11333" t="str">
        <f>T("1111111111")</f>
        <v>1111111111</v>
      </c>
    </row>
    <row r="11334" spans="1:12" x14ac:dyDescent="0.35">
      <c r="A11334" t="str">
        <f t="shared" si="4150"/>
        <v>HSM-48</v>
      </c>
      <c r="B11334" t="str">
        <f t="shared" si="4150"/>
        <v>HSM-48</v>
      </c>
      <c r="C11334" t="str">
        <f>T("NAVSTA MAYPORT BLDG 1552")</f>
        <v>NAVSTA MAYPORT BLDG 1552</v>
      </c>
      <c r="D11334" t="str">
        <f>T("JACKSONVILLE")</f>
        <v>JACKSONVILLE</v>
      </c>
      <c r="E11334" t="str">
        <f t="shared" si="4143"/>
        <v>FL</v>
      </c>
      <c r="F11334" t="str">
        <f>T("322280138")</f>
        <v>322280138</v>
      </c>
      <c r="G11334" t="str">
        <f>T("NAVSTA MAYPORT")</f>
        <v>NAVSTA MAYPORT</v>
      </c>
      <c r="H11334" t="str">
        <f>T("BLDG 1552")</f>
        <v>BLDG 1552</v>
      </c>
      <c r="I11334" t="str">
        <f>T("JACKSONVILLE")</f>
        <v>JACKSONVILLE</v>
      </c>
      <c r="J11334" t="str">
        <f t="shared" si="4144"/>
        <v>FL</v>
      </c>
      <c r="K11334" t="str">
        <f>T("9042705552")</f>
        <v>9042705552</v>
      </c>
      <c r="L11334" t="str">
        <f>T("1111111111")</f>
        <v>1111111111</v>
      </c>
    </row>
    <row r="11335" spans="1:12" x14ac:dyDescent="0.35">
      <c r="A11335" t="str">
        <f t="shared" si="4150"/>
        <v>HSM-48</v>
      </c>
      <c r="B11335" t="str">
        <f t="shared" si="4150"/>
        <v>HSM-48</v>
      </c>
      <c r="C11335" t="str">
        <f>T("NAVSTA MAYPORT BLDG 1552")</f>
        <v>NAVSTA MAYPORT BLDG 1552</v>
      </c>
      <c r="D11335" t="str">
        <f>T("JACKSONVILLE")</f>
        <v>JACKSONVILLE</v>
      </c>
      <c r="E11335" t="str">
        <f t="shared" si="4143"/>
        <v>FL</v>
      </c>
      <c r="F11335" t="str">
        <f>T("322280138")</f>
        <v>322280138</v>
      </c>
      <c r="G11335" t="str">
        <f>T("NAVSTA MAYPORT BLDG 1552")</f>
        <v>NAVSTA MAYPORT BLDG 1552</v>
      </c>
      <c r="H11335" t="str">
        <f>T("")</f>
        <v/>
      </c>
      <c r="I11335" t="str">
        <f>T("JACKSONVILLE")</f>
        <v>JACKSONVILLE</v>
      </c>
      <c r="J11335" t="str">
        <f t="shared" si="4144"/>
        <v>FL</v>
      </c>
      <c r="K11335" t="str">
        <f>T("9042705552")</f>
        <v>9042705552</v>
      </c>
      <c r="L11335" t="str">
        <f>T("1111111111")</f>
        <v>1111111111</v>
      </c>
    </row>
    <row r="11336" spans="1:12" x14ac:dyDescent="0.35">
      <c r="A11336" t="str">
        <f t="shared" si="4150"/>
        <v>HSM-48</v>
      </c>
      <c r="B11336" t="str">
        <f t="shared" si="4150"/>
        <v>HSM-48</v>
      </c>
      <c r="C11336" t="str">
        <f>T("NAVSTA MAYPORT BLDG 1552")</f>
        <v>NAVSTA MAYPORT BLDG 1552</v>
      </c>
      <c r="D11336" t="str">
        <f>T("JACKSONVILLE")</f>
        <v>JACKSONVILLE</v>
      </c>
      <c r="E11336" t="str">
        <f t="shared" si="4143"/>
        <v>FL</v>
      </c>
      <c r="F11336" t="str">
        <f>T("322280138")</f>
        <v>322280138</v>
      </c>
      <c r="G11336" t="str">
        <f>T("STEWART NORMAN BLDG 1552 LAMPS RD")</f>
        <v>STEWART NORMAN BLDG 1552 LAMPS RD</v>
      </c>
      <c r="H11336" t="str">
        <f>T("NAVSTA STATION MAYPORT")</f>
        <v>NAVSTA STATION MAYPORT</v>
      </c>
      <c r="I11336" t="str">
        <f>T("JACKSONVILLE")</f>
        <v>JACKSONVILLE</v>
      </c>
      <c r="J11336" t="str">
        <f t="shared" si="4144"/>
        <v>FL</v>
      </c>
      <c r="K11336" t="str">
        <f>T("9042705552")</f>
        <v>9042705552</v>
      </c>
      <c r="L11336" t="str">
        <f>T("1111111111")</f>
        <v>1111111111</v>
      </c>
    </row>
    <row r="11337" spans="1:12" x14ac:dyDescent="0.35">
      <c r="A11337" t="str">
        <f>T("VFA-87")</f>
        <v>VFA-87</v>
      </c>
      <c r="B11337" t="str">
        <f>T("VFA 87 UNIT 60144 FPO AE 09504-6247")</f>
        <v>VFA 87 UNIT 60144 FPO AE 09504-6247</v>
      </c>
      <c r="C11337" t="str">
        <f>T("733 OPERATIONS DR SUITE 500")</f>
        <v>733 OPERATIONS DR SUITE 500</v>
      </c>
      <c r="D11337" t="str">
        <f>T("VIRGINIA BCH")</f>
        <v>VIRGINIA BCH</v>
      </c>
      <c r="E11337" t="str">
        <f>T("VA")</f>
        <v>VA</v>
      </c>
      <c r="F11337" t="str">
        <f>T("234602241")</f>
        <v>234602241</v>
      </c>
      <c r="G11337" t="str">
        <f>T("733 OPERATIONS DRIVE SUITE 500")</f>
        <v>733 OPERATIONS DRIVE SUITE 500</v>
      </c>
      <c r="H11337" t="str">
        <f>T("")</f>
        <v/>
      </c>
      <c r="I11337" t="str">
        <f>T("VIRGINIA BEACH")</f>
        <v>VIRGINIA BEACH</v>
      </c>
      <c r="J11337" t="str">
        <f>T("VA")</f>
        <v>VA</v>
      </c>
      <c r="K11337" t="str">
        <f>T("7574339508")</f>
        <v>7574339508</v>
      </c>
      <c r="L11337" t="str">
        <f>T("7574339407")</f>
        <v>7574339407</v>
      </c>
    </row>
    <row r="11338" spans="1:12" x14ac:dyDescent="0.35">
      <c r="A11338" t="str">
        <f>T("VFA-87")</f>
        <v>VFA-87</v>
      </c>
      <c r="B11338" t="str">
        <f>T("VFA 87 UNIT 60144 FPO AE 09504-6247")</f>
        <v>VFA 87 UNIT 60144 FPO AE 09504-6247</v>
      </c>
      <c r="C11338" t="str">
        <f>T("733 OPERATIONS DR SUITE 500")</f>
        <v>733 OPERATIONS DR SUITE 500</v>
      </c>
      <c r="D11338" t="str">
        <f>T("VIRGINIA BCH")</f>
        <v>VIRGINIA BCH</v>
      </c>
      <c r="E11338" t="str">
        <f>T("VA")</f>
        <v>VA</v>
      </c>
      <c r="F11338" t="str">
        <f>T("234602241")</f>
        <v>234602241</v>
      </c>
      <c r="G11338" t="str">
        <f>T("VFA 87 UNIT 60144 FPO AE 09504-6247")</f>
        <v>VFA 87 UNIT 60144 FPO AE 09504-6247</v>
      </c>
      <c r="H11338" t="str">
        <f>T("733 OPERATIONS DR SUITE 500")</f>
        <v>733 OPERATIONS DR SUITE 500</v>
      </c>
      <c r="I11338" t="str">
        <f>T("VIRGINIA BCH")</f>
        <v>VIRGINIA BCH</v>
      </c>
      <c r="J11338" t="str">
        <f>T("VA")</f>
        <v>VA</v>
      </c>
      <c r="K11338" t="str">
        <f>T("7574339508")</f>
        <v>7574339508</v>
      </c>
      <c r="L11338" t="str">
        <f>T("7574339732")</f>
        <v>7574339732</v>
      </c>
    </row>
    <row r="11339" spans="1:12" x14ac:dyDescent="0.35">
      <c r="A11339" t="str">
        <f>T("VFA-87")</f>
        <v>VFA-87</v>
      </c>
      <c r="B11339" t="str">
        <f>T("VFA 87 UNIT 60144 FPO AE 09504-6247")</f>
        <v>VFA 87 UNIT 60144 FPO AE 09504-6247</v>
      </c>
      <c r="C11339" t="str">
        <f>T("733 OPERATIONS DR SUITE 500")</f>
        <v>733 OPERATIONS DR SUITE 500</v>
      </c>
      <c r="D11339" t="str">
        <f>T("VIRGINIA BCH")</f>
        <v>VIRGINIA BCH</v>
      </c>
      <c r="E11339" t="str">
        <f>T("VA")</f>
        <v>VA</v>
      </c>
      <c r="F11339" t="str">
        <f>T("234602241")</f>
        <v>234602241</v>
      </c>
      <c r="G11339" t="str">
        <f>T("VFA 87/733 OPERATIONS DR")</f>
        <v>VFA 87/733 OPERATIONS DR</v>
      </c>
      <c r="H11339" t="str">
        <f>T("UNIT 60144")</f>
        <v>UNIT 60144</v>
      </c>
      <c r="I11339" t="str">
        <f>T("FPO")</f>
        <v>FPO</v>
      </c>
      <c r="J11339" t="str">
        <f>T("AE")</f>
        <v>AE</v>
      </c>
      <c r="K11339" t="str">
        <f>T("000000000000000000")</f>
        <v>000000000000000000</v>
      </c>
      <c r="L11339" t="str">
        <f>T("7574339407")</f>
        <v>7574339407</v>
      </c>
    </row>
    <row r="11340" spans="1:12" x14ac:dyDescent="0.35">
      <c r="A11340" t="str">
        <f>T("VFA-131")</f>
        <v>VFA-131</v>
      </c>
      <c r="B11340" t="str">
        <f>T("NAS OCEANA")</f>
        <v>NAS OCEANA</v>
      </c>
      <c r="C11340" t="str">
        <f>T("HANGAR 111 MOD 4")</f>
        <v>HANGAR 111 MOD 4</v>
      </c>
      <c r="D11340" t="str">
        <f>T("VIRGINA BEACH")</f>
        <v>VIRGINA BEACH</v>
      </c>
      <c r="E11340" t="str">
        <f>T("VA")</f>
        <v>VA</v>
      </c>
      <c r="F11340" t="str">
        <f>T("234600000")</f>
        <v>234600000</v>
      </c>
      <c r="G11340" t="str">
        <f>T("NAS OCEANA")</f>
        <v>NAS OCEANA</v>
      </c>
      <c r="H11340" t="str">
        <f>T("733 OPERATIONS DR STE 600")</f>
        <v>733 OPERATIONS DR STE 600</v>
      </c>
      <c r="I11340" t="str">
        <f>T("VIRGINIA BEACH")</f>
        <v>VIRGINIA BEACH</v>
      </c>
      <c r="J11340" t="str">
        <f>T("VA")</f>
        <v>VA</v>
      </c>
      <c r="K11340" t="str">
        <f>T("7574339040")</f>
        <v>7574339040</v>
      </c>
      <c r="L11340" t="str">
        <f>T("7574339462")</f>
        <v>7574339462</v>
      </c>
    </row>
    <row r="11341" spans="1:12" x14ac:dyDescent="0.35">
      <c r="A11341" t="str">
        <f>T("VFA-131")</f>
        <v>VFA-131</v>
      </c>
      <c r="B11341" t="str">
        <f>T("NAS OCEANA")</f>
        <v>NAS OCEANA</v>
      </c>
      <c r="C11341" t="str">
        <f>T("HANGAR 111 MOD 4")</f>
        <v>HANGAR 111 MOD 4</v>
      </c>
      <c r="D11341" t="str">
        <f>T("VIRGINA BEACH")</f>
        <v>VIRGINA BEACH</v>
      </c>
      <c r="E11341" t="str">
        <f>T("VA")</f>
        <v>VA</v>
      </c>
      <c r="F11341" t="str">
        <f>T("234600000")</f>
        <v>234600000</v>
      </c>
      <c r="G11341" t="str">
        <f>T("NAS OCEANA")</f>
        <v>NAS OCEANA</v>
      </c>
      <c r="H11341" t="str">
        <f>T("HANGAR 111 MOD 4")</f>
        <v>HANGAR 111 MOD 4</v>
      </c>
      <c r="I11341" t="str">
        <f>T("VIRGINA BEACH")</f>
        <v>VIRGINA BEACH</v>
      </c>
      <c r="J11341" t="str">
        <f>T("VA")</f>
        <v>VA</v>
      </c>
      <c r="K11341" t="str">
        <f>T("757-433-9479")</f>
        <v>757-433-9479</v>
      </c>
      <c r="L11341" t="str">
        <f>T("7574339459")</f>
        <v>7574339459</v>
      </c>
    </row>
    <row r="11342" spans="1:12" x14ac:dyDescent="0.35">
      <c r="A11342" t="str">
        <f t="shared" ref="A11342:B11345" si="4151">T("HSM-74")</f>
        <v>HSM-74</v>
      </c>
      <c r="B11342" t="str">
        <f t="shared" si="4151"/>
        <v>HSM-74</v>
      </c>
      <c r="C11342" t="str">
        <f>T("PO BOX 143")</f>
        <v>PO BOX 143</v>
      </c>
      <c r="D11342" t="str">
        <f t="shared" ref="D11342:D11347" si="4152">T("JACKSONVILLE")</f>
        <v>JACKSONVILLE</v>
      </c>
      <c r="E11342" t="str">
        <f t="shared" ref="E11342:E11347" si="4153">T("FL")</f>
        <v>FL</v>
      </c>
      <c r="F11342" t="str">
        <f>T("322120143")</f>
        <v>322120143</v>
      </c>
      <c r="G11342" t="str">
        <f>T("HSM-74")</f>
        <v>HSM-74</v>
      </c>
      <c r="H11342" t="str">
        <f>T("PO BOX 143")</f>
        <v>PO BOX 143</v>
      </c>
      <c r="I11342" t="str">
        <f t="shared" ref="I11342:I11347" si="4154">T("JACKSONVILLE")</f>
        <v>JACKSONVILLE</v>
      </c>
      <c r="J11342" t="str">
        <f t="shared" ref="J11342:J11347" si="4155">T("FL")</f>
        <v>FL</v>
      </c>
      <c r="K11342" t="str">
        <f>T("9042706936")</f>
        <v>9042706936</v>
      </c>
      <c r="L11342" t="str">
        <f>T("9045421858")</f>
        <v>9045421858</v>
      </c>
    </row>
    <row r="11343" spans="1:12" x14ac:dyDescent="0.35">
      <c r="A11343" t="str">
        <f t="shared" si="4151"/>
        <v>HSM-74</v>
      </c>
      <c r="B11343" t="str">
        <f t="shared" si="4151"/>
        <v>HSM-74</v>
      </c>
      <c r="C11343" t="str">
        <f>T("PO BOX 143")</f>
        <v>PO BOX 143</v>
      </c>
      <c r="D11343" t="str">
        <f t="shared" si="4152"/>
        <v>JACKSONVILLE</v>
      </c>
      <c r="E11343" t="str">
        <f t="shared" si="4153"/>
        <v>FL</v>
      </c>
      <c r="F11343" t="str">
        <f>T("322120143")</f>
        <v>322120143</v>
      </c>
      <c r="G11343" t="str">
        <f>T("PO BOX 143")</f>
        <v>PO BOX 143</v>
      </c>
      <c r="H11343" t="str">
        <f>T("")</f>
        <v/>
      </c>
      <c r="I11343" t="str">
        <f t="shared" si="4154"/>
        <v>JACKSONVILLE</v>
      </c>
      <c r="J11343" t="str">
        <f t="shared" si="4155"/>
        <v>FL</v>
      </c>
      <c r="K11343" t="str">
        <f>T("000000000000000000")</f>
        <v>000000000000000000</v>
      </c>
      <c r="L11343" t="str">
        <f>T("9045421858")</f>
        <v>9045421858</v>
      </c>
    </row>
    <row r="11344" spans="1:12" x14ac:dyDescent="0.35">
      <c r="A11344" t="str">
        <f t="shared" si="4151"/>
        <v>HSM-74</v>
      </c>
      <c r="B11344" t="str">
        <f t="shared" si="4151"/>
        <v>HSM-74</v>
      </c>
      <c r="C11344" t="str">
        <f>T("PO BOX 143")</f>
        <v>PO BOX 143</v>
      </c>
      <c r="D11344" t="str">
        <f t="shared" si="4152"/>
        <v>JACKSONVILLE</v>
      </c>
      <c r="E11344" t="str">
        <f t="shared" si="4153"/>
        <v>FL</v>
      </c>
      <c r="F11344" t="str">
        <f>T("322120143")</f>
        <v>322120143</v>
      </c>
      <c r="G11344" t="str">
        <f>T("PO BOX 143")</f>
        <v>PO BOX 143</v>
      </c>
      <c r="H11344" t="str">
        <f>T("")</f>
        <v/>
      </c>
      <c r="I11344" t="str">
        <f t="shared" si="4154"/>
        <v>JACKSONVILLE</v>
      </c>
      <c r="J11344" t="str">
        <f t="shared" si="4155"/>
        <v>FL</v>
      </c>
      <c r="K11344" t="str">
        <f>T("9045421859")</f>
        <v>9045421859</v>
      </c>
      <c r="L11344" t="str">
        <f>T("9045421658")</f>
        <v>9045421658</v>
      </c>
    </row>
    <row r="11345" spans="1:12" x14ac:dyDescent="0.35">
      <c r="A11345" t="str">
        <f t="shared" si="4151"/>
        <v>HSM-74</v>
      </c>
      <c r="B11345" t="str">
        <f t="shared" si="4151"/>
        <v>HSM-74</v>
      </c>
      <c r="C11345" t="str">
        <f>T("PO BOX 143")</f>
        <v>PO BOX 143</v>
      </c>
      <c r="D11345" t="str">
        <f t="shared" si="4152"/>
        <v>JACKSONVILLE</v>
      </c>
      <c r="E11345" t="str">
        <f t="shared" si="4153"/>
        <v>FL</v>
      </c>
      <c r="F11345" t="str">
        <f>T("322120143")</f>
        <v>322120143</v>
      </c>
      <c r="G11345" t="str">
        <f>T("PO BOX 143")</f>
        <v>PO BOX 143</v>
      </c>
      <c r="H11345" t="str">
        <f>T("")</f>
        <v/>
      </c>
      <c r="I11345" t="str">
        <f t="shared" si="4154"/>
        <v>JACKSONVILLE</v>
      </c>
      <c r="J11345" t="str">
        <f t="shared" si="4155"/>
        <v>FL</v>
      </c>
      <c r="K11345" t="str">
        <f>T("9045421859")</f>
        <v>9045421859</v>
      </c>
      <c r="L11345" t="str">
        <f>T("9045421858")</f>
        <v>9045421858</v>
      </c>
    </row>
    <row r="11346" spans="1:12" x14ac:dyDescent="0.35">
      <c r="A11346" t="str">
        <f>T("FRC JACKSONVILLE")</f>
        <v>FRC JACKSONVILLE</v>
      </c>
      <c r="B11346" t="str">
        <f>T("FRCSE MATERIAL CONTROL")</f>
        <v>FRCSE MATERIAL CONTROL</v>
      </c>
      <c r="C11346" t="str">
        <f>T("HANGAR 1000 BOX 28 NAS JAX")</f>
        <v>HANGAR 1000 BOX 28 NAS JAX</v>
      </c>
      <c r="D11346" t="str">
        <f t="shared" si="4152"/>
        <v>JACKSONVILLE</v>
      </c>
      <c r="E11346" t="str">
        <f t="shared" si="4153"/>
        <v>FL</v>
      </c>
      <c r="F11346" t="str">
        <f>T("322120000")</f>
        <v>322120000</v>
      </c>
      <c r="G11346" t="str">
        <f>T("FRCSE MATERIAL CONTROL")</f>
        <v>FRCSE MATERIAL CONTROL</v>
      </c>
      <c r="H11346" t="str">
        <f>T("HANGAR 1000 BOX 28 NAS JAX")</f>
        <v>HANGAR 1000 BOX 28 NAS JAX</v>
      </c>
      <c r="I11346" t="str">
        <f t="shared" si="4154"/>
        <v>JACKSONVILLE</v>
      </c>
      <c r="J11346" t="str">
        <f t="shared" si="4155"/>
        <v>FL</v>
      </c>
      <c r="K11346" t="str">
        <f>T("000000000000000000")</f>
        <v>000000000000000000</v>
      </c>
      <c r="L11346" t="str">
        <f>T("9045425613")</f>
        <v>9045425613</v>
      </c>
    </row>
    <row r="11347" spans="1:12" x14ac:dyDescent="0.35">
      <c r="A11347" t="str">
        <f>T("FRC JACKSONVILLE")</f>
        <v>FRC JACKSONVILLE</v>
      </c>
      <c r="B11347" t="str">
        <f>T("FRCSE MATERIAL CONTROL")</f>
        <v>FRCSE MATERIAL CONTROL</v>
      </c>
      <c r="C11347" t="str">
        <f>T("HANGAR 1000 BOX 28 NAS JAX")</f>
        <v>HANGAR 1000 BOX 28 NAS JAX</v>
      </c>
      <c r="D11347" t="str">
        <f t="shared" si="4152"/>
        <v>JACKSONVILLE</v>
      </c>
      <c r="E11347" t="str">
        <f t="shared" si="4153"/>
        <v>FL</v>
      </c>
      <c r="F11347" t="str">
        <f>T("322120000")</f>
        <v>322120000</v>
      </c>
      <c r="G11347" t="str">
        <f>T("FRCSE MATERIAL CONTROL")</f>
        <v>FRCSE MATERIAL CONTROL</v>
      </c>
      <c r="H11347" t="str">
        <f>T("HANGAR 1000 BOX 28 NAS JAX")</f>
        <v>HANGAR 1000 BOX 28 NAS JAX</v>
      </c>
      <c r="I11347" t="str">
        <f t="shared" si="4154"/>
        <v>JACKSONVILLE</v>
      </c>
      <c r="J11347" t="str">
        <f t="shared" si="4155"/>
        <v>FL</v>
      </c>
      <c r="K11347" t="str">
        <f>T("9045421691")</f>
        <v>9045421691</v>
      </c>
      <c r="L11347" t="str">
        <f>T("9045425613")</f>
        <v>9045425613</v>
      </c>
    </row>
    <row r="11348" spans="1:12" x14ac:dyDescent="0.35">
      <c r="A11348" t="str">
        <f>T("FRC NORFOLK")</f>
        <v>FRC NORFOLK</v>
      </c>
      <c r="B11348" t="str">
        <f>T("462 A STREET")</f>
        <v>462 A STREET</v>
      </c>
      <c r="C11348" t="str">
        <f>T("BLDG SP-300")</f>
        <v>BLDG SP-300</v>
      </c>
      <c r="D11348" t="str">
        <f>T("NORFOLK")</f>
        <v>NORFOLK</v>
      </c>
      <c r="E11348" t="str">
        <f>T("VA")</f>
        <v>VA</v>
      </c>
      <c r="F11348" t="str">
        <f>T("235114099")</f>
        <v>235114099</v>
      </c>
      <c r="G11348" t="str">
        <f>T("462 A ST")</f>
        <v>462 A ST</v>
      </c>
      <c r="H11348" t="str">
        <f>T("BLDG SP300")</f>
        <v>BLDG SP300</v>
      </c>
      <c r="I11348" t="str">
        <f>T("NORFOLK")</f>
        <v>NORFOLK</v>
      </c>
      <c r="J11348" t="str">
        <f>T("VA")</f>
        <v>VA</v>
      </c>
      <c r="K11348" t="str">
        <f>T("7574448334")</f>
        <v>7574448334</v>
      </c>
      <c r="L11348" t="str">
        <f>T("7574445697")</f>
        <v>7574445697</v>
      </c>
    </row>
    <row r="11349" spans="1:12" x14ac:dyDescent="0.35">
      <c r="A11349" t="str">
        <f>T("FRC NORFOLK")</f>
        <v>FRC NORFOLK</v>
      </c>
      <c r="B11349" t="str">
        <f>T("462 A STREET")</f>
        <v>462 A STREET</v>
      </c>
      <c r="C11349" t="str">
        <f>T("BLDG SP-300")</f>
        <v>BLDG SP-300</v>
      </c>
      <c r="D11349" t="str">
        <f>T("NORFOLK")</f>
        <v>NORFOLK</v>
      </c>
      <c r="E11349" t="str">
        <f>T("VA")</f>
        <v>VA</v>
      </c>
      <c r="F11349" t="str">
        <f>T("235114099")</f>
        <v>235114099</v>
      </c>
      <c r="G11349" t="str">
        <f>T("462 A STREET")</f>
        <v>462 A STREET</v>
      </c>
      <c r="H11349" t="str">
        <f>T("BLDG SP-300")</f>
        <v>BLDG SP-300</v>
      </c>
      <c r="I11349" t="str">
        <f>T("NORFOLK")</f>
        <v>NORFOLK</v>
      </c>
      <c r="J11349" t="str">
        <f>T("VA")</f>
        <v>VA</v>
      </c>
      <c r="K11349" t="str">
        <f>T("7574459230")</f>
        <v>7574459230</v>
      </c>
      <c r="L11349" t="str">
        <f>T("7574445694")</f>
        <v>7574445694</v>
      </c>
    </row>
    <row r="11350" spans="1:12" x14ac:dyDescent="0.35">
      <c r="A11350" t="str">
        <f>T("ASD JACKSONVILLE")</f>
        <v>ASD JACKSONVILLE</v>
      </c>
      <c r="B11350" t="str">
        <f>T("AVIATION SUPPORT DETACHMENT")</f>
        <v>AVIATION SUPPORT DETACHMENT</v>
      </c>
      <c r="C11350" t="str">
        <f>T("NAS P O BOX 130")</f>
        <v>NAS P O BOX 130</v>
      </c>
      <c r="D11350" t="str">
        <f>T("JACKSONVILLE")</f>
        <v>JACKSONVILLE</v>
      </c>
      <c r="E11350" t="str">
        <f t="shared" ref="E11350:E11359" si="4156">T("FL")</f>
        <v>FL</v>
      </c>
      <c r="F11350" t="str">
        <f>T("322120130")</f>
        <v>322120130</v>
      </c>
      <c r="G11350" t="str">
        <f>T("AVIATION SUPPORT DETACHMENT")</f>
        <v>AVIATION SUPPORT DETACHMENT</v>
      </c>
      <c r="H11350" t="str">
        <f>T("NAS P O BOX 130")</f>
        <v>NAS P O BOX 130</v>
      </c>
      <c r="I11350" t="str">
        <f>T("JACKSONVILLE")</f>
        <v>JACKSONVILLE</v>
      </c>
      <c r="J11350" t="str">
        <f t="shared" ref="J11350:J11359" si="4157">T("FL")</f>
        <v>FL</v>
      </c>
      <c r="K11350" t="str">
        <f>T("9045423468")</f>
        <v>9045423468</v>
      </c>
      <c r="L11350" t="str">
        <f>T("9045422566")</f>
        <v>9045422566</v>
      </c>
    </row>
    <row r="11351" spans="1:12" x14ac:dyDescent="0.35">
      <c r="A11351" t="str">
        <f>T("ASD JACKSONVILLE")</f>
        <v>ASD JACKSONVILLE</v>
      </c>
      <c r="B11351" t="str">
        <f>T("AVIATION SUPPORT DETACHMENT")</f>
        <v>AVIATION SUPPORT DETACHMENT</v>
      </c>
      <c r="C11351" t="str">
        <f>T("NAS P O BOX 130")</f>
        <v>NAS P O BOX 130</v>
      </c>
      <c r="D11351" t="str">
        <f>T("JACKSONVILLE")</f>
        <v>JACKSONVILLE</v>
      </c>
      <c r="E11351" t="str">
        <f t="shared" si="4156"/>
        <v>FL</v>
      </c>
      <c r="F11351" t="str">
        <f>T("322120130")</f>
        <v>322120130</v>
      </c>
      <c r="G11351" t="str">
        <f>T("AVIATION SUPPORT DETACHMENT")</f>
        <v>AVIATION SUPPORT DETACHMENT</v>
      </c>
      <c r="H11351" t="str">
        <f>T("P O BOX 130")</f>
        <v>P O BOX 130</v>
      </c>
      <c r="I11351" t="str">
        <f>T("JACKSONVILLE")</f>
        <v>JACKSONVILLE</v>
      </c>
      <c r="J11351" t="str">
        <f t="shared" si="4157"/>
        <v>FL</v>
      </c>
      <c r="K11351" t="str">
        <f>T("9045423468")</f>
        <v>9045423468</v>
      </c>
      <c r="L11351" t="str">
        <f>T("9045422566")</f>
        <v>9045422566</v>
      </c>
    </row>
    <row r="11352" spans="1:12" x14ac:dyDescent="0.35">
      <c r="A11352" t="str">
        <f>T("ASD JACKSONVILLE")</f>
        <v>ASD JACKSONVILLE</v>
      </c>
      <c r="B11352" t="str">
        <f>T("AVIATION SUPPORT DETACHMENT")</f>
        <v>AVIATION SUPPORT DETACHMENT</v>
      </c>
      <c r="C11352" t="str">
        <f>T("NAS P O BOX 130")</f>
        <v>NAS P O BOX 130</v>
      </c>
      <c r="D11352" t="str">
        <f>T("JACKSONVILLE")</f>
        <v>JACKSONVILLE</v>
      </c>
      <c r="E11352" t="str">
        <f t="shared" si="4156"/>
        <v>FL</v>
      </c>
      <c r="F11352" t="str">
        <f>T("322120130")</f>
        <v>322120130</v>
      </c>
      <c r="G11352" t="str">
        <f>T("AVIATION SUPPORT DETACHMENT")</f>
        <v>AVIATION SUPPORT DETACHMENT</v>
      </c>
      <c r="H11352" t="str">
        <f>T("P O BOX 130")</f>
        <v>P O BOX 130</v>
      </c>
      <c r="I11352" t="str">
        <f>T("NAS JACKSONVILLE")</f>
        <v>NAS JACKSONVILLE</v>
      </c>
      <c r="J11352" t="str">
        <f t="shared" si="4157"/>
        <v>FL</v>
      </c>
      <c r="K11352" t="str">
        <f>T("5425423468")</f>
        <v>5425423468</v>
      </c>
      <c r="L11352" t="str">
        <f>T("9045422381")</f>
        <v>9045422381</v>
      </c>
    </row>
    <row r="11353" spans="1:12" x14ac:dyDescent="0.35">
      <c r="A11353" t="str">
        <f>T("ASD JACKSONVILLE")</f>
        <v>ASD JACKSONVILLE</v>
      </c>
      <c r="B11353" t="str">
        <f>T("AVIATION SUPPORT DETACHMENT")</f>
        <v>AVIATION SUPPORT DETACHMENT</v>
      </c>
      <c r="C11353" t="str">
        <f>T("NAS P O BOX 130")</f>
        <v>NAS P O BOX 130</v>
      </c>
      <c r="D11353" t="str">
        <f>T("JACKSONVILLE")</f>
        <v>JACKSONVILLE</v>
      </c>
      <c r="E11353" t="str">
        <f t="shared" si="4156"/>
        <v>FL</v>
      </c>
      <c r="F11353" t="str">
        <f>T("322120130")</f>
        <v>322120130</v>
      </c>
      <c r="G11353" t="str">
        <f>T("AVIATION SUPPORT DETACHMENT")</f>
        <v>AVIATION SUPPORT DETACHMENT</v>
      </c>
      <c r="H11353" t="str">
        <f>T("P O BOX 130")</f>
        <v>P O BOX 130</v>
      </c>
      <c r="I11353" t="str">
        <f>T("NAS JACKSONVILLE")</f>
        <v>NAS JACKSONVILLE</v>
      </c>
      <c r="J11353" t="str">
        <f t="shared" si="4157"/>
        <v>FL</v>
      </c>
      <c r="K11353" t="str">
        <f>T("9045423468")</f>
        <v>9045423468</v>
      </c>
      <c r="L11353" t="str">
        <f>T("9045420304")</f>
        <v>9045420304</v>
      </c>
    </row>
    <row r="11354" spans="1:12" x14ac:dyDescent="0.35">
      <c r="A11354" t="str">
        <f t="shared" ref="A11354:A11359" si="4158">T("ASD MAYPORT")</f>
        <v>ASD MAYPORT</v>
      </c>
      <c r="B11354" t="str">
        <f t="shared" ref="B11354:B11359" si="4159">T("BLDG-1553")</f>
        <v>BLDG-1553</v>
      </c>
      <c r="C11354" t="str">
        <f t="shared" ref="C11354:C11359" si="4160">T("NAVAL STATION MAYPORT")</f>
        <v>NAVAL STATION MAYPORT</v>
      </c>
      <c r="D11354" t="str">
        <f t="shared" ref="D11354:D11359" si="4161">T("MAYPORT")</f>
        <v>MAYPORT</v>
      </c>
      <c r="E11354" t="str">
        <f t="shared" si="4156"/>
        <v>FL</v>
      </c>
      <c r="F11354" t="str">
        <f t="shared" ref="F11354:F11359" si="4162">T("322280098")</f>
        <v>322280098</v>
      </c>
      <c r="G11354" t="str">
        <f>T("AVIATION SUPPORT DETACHEMENT")</f>
        <v>AVIATION SUPPORT DETACHEMENT</v>
      </c>
      <c r="H11354" t="str">
        <f>T("NAVSTA MAYPORT BLDG-1553")</f>
        <v>NAVSTA MAYPORT BLDG-1553</v>
      </c>
      <c r="I11354" t="str">
        <f>T("JACKSONVILLE")</f>
        <v>JACKSONVILLE</v>
      </c>
      <c r="J11354" t="str">
        <f t="shared" si="4157"/>
        <v>FL</v>
      </c>
      <c r="K11354" t="str">
        <f>T("9042706184315")</f>
        <v>9042706184315</v>
      </c>
      <c r="L11354" t="str">
        <f>T("1111111111")</f>
        <v>1111111111</v>
      </c>
    </row>
    <row r="11355" spans="1:12" x14ac:dyDescent="0.35">
      <c r="A11355" t="str">
        <f t="shared" si="4158"/>
        <v>ASD MAYPORT</v>
      </c>
      <c r="B11355" t="str">
        <f t="shared" si="4159"/>
        <v>BLDG-1553</v>
      </c>
      <c r="C11355" t="str">
        <f t="shared" si="4160"/>
        <v>NAVAL STATION MAYPORT</v>
      </c>
      <c r="D11355" t="str">
        <f t="shared" si="4161"/>
        <v>MAYPORT</v>
      </c>
      <c r="E11355" t="str">
        <f t="shared" si="4156"/>
        <v>FL</v>
      </c>
      <c r="F11355" t="str">
        <f t="shared" si="4162"/>
        <v>322280098</v>
      </c>
      <c r="G11355" t="str">
        <f>T("AVIATION SUPPORT DETACHMENT")</f>
        <v>AVIATION SUPPORT DETACHMENT</v>
      </c>
      <c r="H11355" t="str">
        <f>T("BLDG-1553 NAVAL STATION MAYPORT")</f>
        <v>BLDG-1553 NAVAL STATION MAYPORT</v>
      </c>
      <c r="I11355" t="str">
        <f>T("JACKSONVILLE")</f>
        <v>JACKSONVILLE</v>
      </c>
      <c r="J11355" t="str">
        <f t="shared" si="4157"/>
        <v>FL</v>
      </c>
      <c r="K11355" t="str">
        <f>T("9042706185")</f>
        <v>9042706185</v>
      </c>
      <c r="L11355" t="str">
        <f>T("9042706184")</f>
        <v>9042706184</v>
      </c>
    </row>
    <row r="11356" spans="1:12" x14ac:dyDescent="0.35">
      <c r="A11356" t="str">
        <f t="shared" si="4158"/>
        <v>ASD MAYPORT</v>
      </c>
      <c r="B11356" t="str">
        <f t="shared" si="4159"/>
        <v>BLDG-1553</v>
      </c>
      <c r="C11356" t="str">
        <f t="shared" si="4160"/>
        <v>NAVAL STATION MAYPORT</v>
      </c>
      <c r="D11356" t="str">
        <f t="shared" si="4161"/>
        <v>MAYPORT</v>
      </c>
      <c r="E11356" t="str">
        <f t="shared" si="4156"/>
        <v>FL</v>
      </c>
      <c r="F11356" t="str">
        <f t="shared" si="4162"/>
        <v>322280098</v>
      </c>
      <c r="G11356" t="str">
        <f>T("AVIATION SUPPORT DETACHMENT")</f>
        <v>AVIATION SUPPORT DETACHMENT</v>
      </c>
      <c r="H11356" t="str">
        <f>T("BLDG-1553 NAVAL STATION MAYPORTI")</f>
        <v>BLDG-1553 NAVAL STATION MAYPORTI</v>
      </c>
      <c r="I11356" t="str">
        <f>T("JACKSONVILLE")</f>
        <v>JACKSONVILLE</v>
      </c>
      <c r="J11356" t="str">
        <f t="shared" si="4157"/>
        <v>FL</v>
      </c>
      <c r="K11356" t="str">
        <f>T("9042706185")</f>
        <v>9042706185</v>
      </c>
      <c r="L11356" t="str">
        <f>T("9042706184")</f>
        <v>9042706184</v>
      </c>
    </row>
    <row r="11357" spans="1:12" x14ac:dyDescent="0.35">
      <c r="A11357" t="str">
        <f t="shared" si="4158"/>
        <v>ASD MAYPORT</v>
      </c>
      <c r="B11357" t="str">
        <f t="shared" si="4159"/>
        <v>BLDG-1553</v>
      </c>
      <c r="C11357" t="str">
        <f t="shared" si="4160"/>
        <v>NAVAL STATION MAYPORT</v>
      </c>
      <c r="D11357" t="str">
        <f t="shared" si="4161"/>
        <v>MAYPORT</v>
      </c>
      <c r="E11357" t="str">
        <f t="shared" si="4156"/>
        <v>FL</v>
      </c>
      <c r="F11357" t="str">
        <f t="shared" si="4162"/>
        <v>322280098</v>
      </c>
      <c r="G11357" t="str">
        <f>T("AVIATION SUPPORT DETACHMENT")</f>
        <v>AVIATION SUPPORT DETACHMENT</v>
      </c>
      <c r="H11357" t="str">
        <f>T("NAVAL STATION MAYPORT")</f>
        <v>NAVAL STATION MAYPORT</v>
      </c>
      <c r="I11357" t="str">
        <f>T("JACKSONVILLE")</f>
        <v>JACKSONVILLE</v>
      </c>
      <c r="J11357" t="str">
        <f t="shared" si="4157"/>
        <v>FL</v>
      </c>
      <c r="K11357" t="str">
        <f>T("9042706185")</f>
        <v>9042706185</v>
      </c>
      <c r="L11357" t="str">
        <f>T("9042706184")</f>
        <v>9042706184</v>
      </c>
    </row>
    <row r="11358" spans="1:12" x14ac:dyDescent="0.35">
      <c r="A11358" t="str">
        <f t="shared" si="4158"/>
        <v>ASD MAYPORT</v>
      </c>
      <c r="B11358" t="str">
        <f t="shared" si="4159"/>
        <v>BLDG-1553</v>
      </c>
      <c r="C11358" t="str">
        <f t="shared" si="4160"/>
        <v>NAVAL STATION MAYPORT</v>
      </c>
      <c r="D11358" t="str">
        <f t="shared" si="4161"/>
        <v>MAYPORT</v>
      </c>
      <c r="E11358" t="str">
        <f t="shared" si="4156"/>
        <v>FL</v>
      </c>
      <c r="F11358" t="str">
        <f t="shared" si="4162"/>
        <v>322280098</v>
      </c>
      <c r="G11358" t="str">
        <f>T("BLDG 1554")</f>
        <v>BLDG 1554</v>
      </c>
      <c r="H11358" t="str">
        <f>T("ASD BLDG-1553")</f>
        <v>ASD BLDG-1553</v>
      </c>
      <c r="I11358" t="str">
        <f>T("JACKSONVILLE")</f>
        <v>JACKSONVILLE</v>
      </c>
      <c r="J11358" t="str">
        <f t="shared" si="4157"/>
        <v>FL</v>
      </c>
      <c r="K11358" t="str">
        <f>T("9402706185")</f>
        <v>9402706185</v>
      </c>
      <c r="L11358" t="str">
        <f>T("9042706184")</f>
        <v>9042706184</v>
      </c>
    </row>
    <row r="11359" spans="1:12" x14ac:dyDescent="0.35">
      <c r="A11359" t="str">
        <f t="shared" si="4158"/>
        <v>ASD MAYPORT</v>
      </c>
      <c r="B11359" t="str">
        <f t="shared" si="4159"/>
        <v>BLDG-1553</v>
      </c>
      <c r="C11359" t="str">
        <f t="shared" si="4160"/>
        <v>NAVAL STATION MAYPORT</v>
      </c>
      <c r="D11359" t="str">
        <f t="shared" si="4161"/>
        <v>MAYPORT</v>
      </c>
      <c r="E11359" t="str">
        <f t="shared" si="4156"/>
        <v>FL</v>
      </c>
      <c r="F11359" t="str">
        <f t="shared" si="4162"/>
        <v>322280098</v>
      </c>
      <c r="G11359" t="str">
        <f>T("BLDG-1553")</f>
        <v>BLDG-1553</v>
      </c>
      <c r="H11359" t="str">
        <f>T("NAVAL STATION MAYPORT")</f>
        <v>NAVAL STATION MAYPORT</v>
      </c>
      <c r="I11359" t="str">
        <f>T("MAYPORT")</f>
        <v>MAYPORT</v>
      </c>
      <c r="J11359" t="str">
        <f t="shared" si="4157"/>
        <v>FL</v>
      </c>
      <c r="K11359" t="str">
        <f>T("9042706185")</f>
        <v>9042706185</v>
      </c>
      <c r="L11359" t="str">
        <f>T("1111111111")</f>
        <v>1111111111</v>
      </c>
    </row>
    <row r="11360" spans="1:12" x14ac:dyDescent="0.35">
      <c r="A11360" t="str">
        <f>T("ASD NORFOLK")</f>
        <v>ASD NORFOLK</v>
      </c>
      <c r="B11360" t="str">
        <f>T("462 A ST")</f>
        <v>462 A ST</v>
      </c>
      <c r="C11360" t="str">
        <f>T("BLDG SP-300 RM 240")</f>
        <v>BLDG SP-300 RM 240</v>
      </c>
      <c r="D11360" t="str">
        <f t="shared" ref="D11360:D11366" si="4163">T("NORFOLK")</f>
        <v>NORFOLK</v>
      </c>
      <c r="E11360" t="str">
        <f t="shared" ref="E11360:E11381" si="4164">T("VA")</f>
        <v>VA</v>
      </c>
      <c r="F11360" t="str">
        <f>T("235114202")</f>
        <v>235114202</v>
      </c>
      <c r="G11360" t="str">
        <f>T("462 A ST")</f>
        <v>462 A ST</v>
      </c>
      <c r="H11360" t="str">
        <f>T("BLDG SP-300 RM 240")</f>
        <v>BLDG SP-300 RM 240</v>
      </c>
      <c r="I11360" t="str">
        <f t="shared" ref="I11360:I11366" si="4165">T("NORFOLK")</f>
        <v>NORFOLK</v>
      </c>
      <c r="J11360" t="str">
        <f t="shared" ref="J11360:J11368" si="4166">T("VA")</f>
        <v>VA</v>
      </c>
      <c r="K11360" t="str">
        <f>T("000000000000000000")</f>
        <v>000000000000000000</v>
      </c>
      <c r="L11360" t="str">
        <f>T("7574444002")</f>
        <v>7574444002</v>
      </c>
    </row>
    <row r="11361" spans="1:12" x14ac:dyDescent="0.35">
      <c r="A11361" t="str">
        <f>T("ASD NORFOLK")</f>
        <v>ASD NORFOLK</v>
      </c>
      <c r="B11361" t="str">
        <f>T("462 A ST")</f>
        <v>462 A ST</v>
      </c>
      <c r="C11361" t="str">
        <f>T("BLDG SP-300 RM 240")</f>
        <v>BLDG SP-300 RM 240</v>
      </c>
      <c r="D11361" t="str">
        <f t="shared" si="4163"/>
        <v>NORFOLK</v>
      </c>
      <c r="E11361" t="str">
        <f t="shared" si="4164"/>
        <v>VA</v>
      </c>
      <c r="F11361" t="str">
        <f>T("235114202")</f>
        <v>235114202</v>
      </c>
      <c r="G11361" t="str">
        <f>T("462 A ST")</f>
        <v>462 A ST</v>
      </c>
      <c r="H11361" t="str">
        <f>T("BLDG SP-300 RM 240")</f>
        <v>BLDG SP-300 RM 240</v>
      </c>
      <c r="I11361" t="str">
        <f t="shared" si="4165"/>
        <v>NORFOLK</v>
      </c>
      <c r="J11361" t="str">
        <f t="shared" si="4166"/>
        <v>VA</v>
      </c>
      <c r="K11361" t="str">
        <f>T("7574446901")</f>
        <v>7574446901</v>
      </c>
      <c r="L11361" t="str">
        <f>T("7574440646")</f>
        <v>7574440646</v>
      </c>
    </row>
    <row r="11362" spans="1:12" x14ac:dyDescent="0.35">
      <c r="A11362" t="str">
        <f>T("ASD NORFOLK")</f>
        <v>ASD NORFOLK</v>
      </c>
      <c r="B11362" t="str">
        <f>T("462 A ST")</f>
        <v>462 A ST</v>
      </c>
      <c r="C11362" t="str">
        <f>T("BLDG SP-300 RM 240")</f>
        <v>BLDG SP-300 RM 240</v>
      </c>
      <c r="D11362" t="str">
        <f t="shared" si="4163"/>
        <v>NORFOLK</v>
      </c>
      <c r="E11362" t="str">
        <f t="shared" si="4164"/>
        <v>VA</v>
      </c>
      <c r="F11362" t="str">
        <f>T("235114202")</f>
        <v>235114202</v>
      </c>
      <c r="G11362" t="str">
        <f>T("462 A STREET")</f>
        <v>462 A STREET</v>
      </c>
      <c r="H11362" t="str">
        <f>T("BLDG SP-300 RM 240")</f>
        <v>BLDG SP-300 RM 240</v>
      </c>
      <c r="I11362" t="str">
        <f t="shared" si="4165"/>
        <v>NORFOLK</v>
      </c>
      <c r="J11362" t="str">
        <f t="shared" si="4166"/>
        <v>VA</v>
      </c>
      <c r="K11362" t="str">
        <f>T("7474446901")</f>
        <v>7474446901</v>
      </c>
      <c r="L11362" t="str">
        <f>T("7574444009")</f>
        <v>7574444009</v>
      </c>
    </row>
    <row r="11363" spans="1:12" x14ac:dyDescent="0.35">
      <c r="A11363" t="str">
        <f>T("COMHSCWINGLANT")</f>
        <v>COMHSCWINGLANT</v>
      </c>
      <c r="B11363" t="str">
        <f>T("610 A STREET")</f>
        <v>610 A STREET</v>
      </c>
      <c r="C11363" t="str">
        <f>T("BLDG SP -65")</f>
        <v>BLDG SP -65</v>
      </c>
      <c r="D11363" t="str">
        <f t="shared" si="4163"/>
        <v>NORFOLK</v>
      </c>
      <c r="E11363" t="str">
        <f t="shared" si="4164"/>
        <v>VA</v>
      </c>
      <c r="F11363" t="str">
        <f>T("235114027")</f>
        <v>235114027</v>
      </c>
      <c r="G11363" t="str">
        <f>T("610 A STREET")</f>
        <v>610 A STREET</v>
      </c>
      <c r="H11363" t="str">
        <f>T("BLDG SP -65")</f>
        <v>BLDG SP -65</v>
      </c>
      <c r="I11363" t="str">
        <f t="shared" si="4165"/>
        <v>NORFOLK</v>
      </c>
      <c r="J11363" t="str">
        <f t="shared" si="4166"/>
        <v>VA</v>
      </c>
      <c r="K11363" t="str">
        <f>T("7574454460")</f>
        <v>7574454460</v>
      </c>
      <c r="L11363" t="str">
        <f>T("7574447537")</f>
        <v>7574447537</v>
      </c>
    </row>
    <row r="11364" spans="1:12" x14ac:dyDescent="0.35">
      <c r="A11364" t="str">
        <f>T("COMHSCWINGLANT")</f>
        <v>COMHSCWINGLANT</v>
      </c>
      <c r="B11364" t="str">
        <f>T("610 A STREET")</f>
        <v>610 A STREET</v>
      </c>
      <c r="C11364" t="str">
        <f>T("BLDG SP -65")</f>
        <v>BLDG SP -65</v>
      </c>
      <c r="D11364" t="str">
        <f t="shared" si="4163"/>
        <v>NORFOLK</v>
      </c>
      <c r="E11364" t="str">
        <f t="shared" si="4164"/>
        <v>VA</v>
      </c>
      <c r="F11364" t="str">
        <f>T("235114027")</f>
        <v>235114027</v>
      </c>
      <c r="G11364" t="str">
        <f>T("610 A STREET")</f>
        <v>610 A STREET</v>
      </c>
      <c r="H11364" t="str">
        <f>T("BLDG SP-65 ATTN CHSCWL SUPPLY")</f>
        <v>BLDG SP-65 ATTN CHSCWL SUPPLY</v>
      </c>
      <c r="I11364" t="str">
        <f t="shared" si="4165"/>
        <v>NORFOLK</v>
      </c>
      <c r="J11364" t="str">
        <f t="shared" si="4166"/>
        <v>VA</v>
      </c>
      <c r="K11364" t="str">
        <f>T("7574454460")</f>
        <v>7574454460</v>
      </c>
      <c r="L11364" t="str">
        <f>T("7574448727")</f>
        <v>7574448727</v>
      </c>
    </row>
    <row r="11365" spans="1:12" x14ac:dyDescent="0.35">
      <c r="A11365" t="str">
        <f>T("COMHSCWINGLANT")</f>
        <v>COMHSCWINGLANT</v>
      </c>
      <c r="B11365" t="str">
        <f>T("610 A STREET")</f>
        <v>610 A STREET</v>
      </c>
      <c r="C11365" t="str">
        <f>T("BLDG SP -65")</f>
        <v>BLDG SP -65</v>
      </c>
      <c r="D11365" t="str">
        <f t="shared" si="4163"/>
        <v>NORFOLK</v>
      </c>
      <c r="E11365" t="str">
        <f t="shared" si="4164"/>
        <v>VA</v>
      </c>
      <c r="F11365" t="str">
        <f>T("235114027")</f>
        <v>235114027</v>
      </c>
      <c r="G11365" t="str">
        <f>T("610 A STREET")</f>
        <v>610 A STREET</v>
      </c>
      <c r="H11365" t="str">
        <f>T("BLDG SP-65 ATTN CHSCWL SUPPLY")</f>
        <v>BLDG SP-65 ATTN CHSCWL SUPPLY</v>
      </c>
      <c r="I11365" t="str">
        <f t="shared" si="4165"/>
        <v>NORFOLK</v>
      </c>
      <c r="J11365" t="str">
        <f t="shared" si="4166"/>
        <v>VA</v>
      </c>
      <c r="K11365" t="str">
        <f>T("7574454460")</f>
        <v>7574454460</v>
      </c>
      <c r="L11365" t="str">
        <f>T("7574448767")</f>
        <v>7574448767</v>
      </c>
    </row>
    <row r="11366" spans="1:12" x14ac:dyDescent="0.35">
      <c r="A11366" t="str">
        <f>T("COMHSCWINGLANT")</f>
        <v>COMHSCWINGLANT</v>
      </c>
      <c r="B11366" t="str">
        <f>T("610 A STREET")</f>
        <v>610 A STREET</v>
      </c>
      <c r="C11366" t="str">
        <f>T("BLDG SP -65")</f>
        <v>BLDG SP -65</v>
      </c>
      <c r="D11366" t="str">
        <f t="shared" si="4163"/>
        <v>NORFOLK</v>
      </c>
      <c r="E11366" t="str">
        <f t="shared" si="4164"/>
        <v>VA</v>
      </c>
      <c r="F11366" t="str">
        <f>T("235114027")</f>
        <v>235114027</v>
      </c>
      <c r="G11366" t="str">
        <f>T("610 A STREET")</f>
        <v>610 A STREET</v>
      </c>
      <c r="H11366" t="str">
        <f>T("SP-65")</f>
        <v>SP-65</v>
      </c>
      <c r="I11366" t="str">
        <f t="shared" si="4165"/>
        <v>NORFOLK</v>
      </c>
      <c r="J11366" t="str">
        <f t="shared" si="4166"/>
        <v>VA</v>
      </c>
      <c r="K11366" t="str">
        <f>T("000000000000000000")</f>
        <v>000000000000000000</v>
      </c>
      <c r="L11366" t="str">
        <f>T("7574448767")</f>
        <v>7574448767</v>
      </c>
    </row>
    <row r="11367" spans="1:12" x14ac:dyDescent="0.35">
      <c r="A11367" t="str">
        <f>T("ZZ DELETE")</f>
        <v>ZZ DELETE</v>
      </c>
      <c r="B11367" t="str">
        <f>T("733 OPERATIONS BLVD STE 700")</f>
        <v>733 OPERATIONS BLVD STE 700</v>
      </c>
      <c r="C11367" t="str">
        <f t="shared" ref="C11367:C11373" si="4167">T("")</f>
        <v/>
      </c>
      <c r="D11367" t="str">
        <f>T("VIRGINIA BEACH")</f>
        <v>VIRGINIA BEACH</v>
      </c>
      <c r="E11367" t="str">
        <f t="shared" si="4164"/>
        <v>VA</v>
      </c>
      <c r="F11367" t="str">
        <f>T("234602243")</f>
        <v>234602243</v>
      </c>
      <c r="G11367" t="str">
        <f>T("733 OPERATIONS BLVD STE 700")</f>
        <v>733 OPERATIONS BLVD STE 700</v>
      </c>
      <c r="H11367" t="str">
        <f t="shared" ref="H11367:H11372" si="4168">T("")</f>
        <v/>
      </c>
      <c r="I11367" t="str">
        <f>T("VIRGINIA BEACH")</f>
        <v>VIRGINIA BEACH</v>
      </c>
      <c r="J11367" t="str">
        <f t="shared" si="4166"/>
        <v>VA</v>
      </c>
      <c r="K11367" t="str">
        <f>T("757-433-9566")</f>
        <v>757-433-9566</v>
      </c>
      <c r="L11367" t="str">
        <f>T("7574339572")</f>
        <v>7574339572</v>
      </c>
    </row>
    <row r="11368" spans="1:12" x14ac:dyDescent="0.35">
      <c r="A11368" t="str">
        <f>T("ZZ DELETE")</f>
        <v>ZZ DELETE</v>
      </c>
      <c r="B11368" t="str">
        <f>T("733 OPERATIONS BLVD STE 700")</f>
        <v>733 OPERATIONS BLVD STE 700</v>
      </c>
      <c r="C11368" t="str">
        <f t="shared" si="4167"/>
        <v/>
      </c>
      <c r="D11368" t="str">
        <f>T("VIRGINIA BEACH")</f>
        <v>VIRGINIA BEACH</v>
      </c>
      <c r="E11368" t="str">
        <f t="shared" si="4164"/>
        <v>VA</v>
      </c>
      <c r="F11368" t="str">
        <f>T("234602243")</f>
        <v>234602243</v>
      </c>
      <c r="G11368" t="str">
        <f>T("HGR 111 MOD 5 NAS OCEANA")</f>
        <v>HGR 111 MOD 5 NAS OCEANA</v>
      </c>
      <c r="H11368" t="str">
        <f t="shared" si="4168"/>
        <v/>
      </c>
      <c r="I11368" t="str">
        <f>T("VIRGINIA BEACH")</f>
        <v>VIRGINIA BEACH</v>
      </c>
      <c r="J11368" t="str">
        <f t="shared" si="4166"/>
        <v>VA</v>
      </c>
      <c r="K11368" t="str">
        <f>T("7574339566")</f>
        <v>7574339566</v>
      </c>
      <c r="L11368" t="str">
        <f>T("7574339572")</f>
        <v>7574339572</v>
      </c>
    </row>
    <row r="11369" spans="1:12" x14ac:dyDescent="0.35">
      <c r="A11369" t="str">
        <f>T("ZZ DELETE")</f>
        <v>ZZ DELETE</v>
      </c>
      <c r="B11369" t="str">
        <f>T("733 OPERATIONS BLVD STE 700")</f>
        <v>733 OPERATIONS BLVD STE 700</v>
      </c>
      <c r="C11369" t="str">
        <f t="shared" si="4167"/>
        <v/>
      </c>
      <c r="D11369" t="str">
        <f>T("VIRGINIA BEACH")</f>
        <v>VIRGINIA BEACH</v>
      </c>
      <c r="E11369" t="str">
        <f t="shared" si="4164"/>
        <v>VA</v>
      </c>
      <c r="F11369" t="str">
        <f>T("234602243")</f>
        <v>234602243</v>
      </c>
      <c r="G11369" t="str">
        <f>T("VFA-136 UNIT 60147")</f>
        <v>VFA-136 UNIT 60147</v>
      </c>
      <c r="H11369" t="str">
        <f t="shared" si="4168"/>
        <v/>
      </c>
      <c r="I11369" t="str">
        <f>T("FPO")</f>
        <v>FPO</v>
      </c>
      <c r="J11369" t="str">
        <f>T("AE")</f>
        <v>AE</v>
      </c>
      <c r="K11369" t="str">
        <f>T("7574339566")</f>
        <v>7574339566</v>
      </c>
      <c r="L11369" t="str">
        <f>T("7574339572")</f>
        <v>7574339572</v>
      </c>
    </row>
    <row r="11370" spans="1:12" x14ac:dyDescent="0.35">
      <c r="A11370" t="str">
        <f>T("VFA-105")</f>
        <v>VFA-105</v>
      </c>
      <c r="B11370" t="str">
        <f>T("1676 FIRST STREET")</f>
        <v>1676 FIRST STREET</v>
      </c>
      <c r="C11370" t="str">
        <f t="shared" si="4167"/>
        <v/>
      </c>
      <c r="D11370" t="str">
        <f>T("VIRGINIA BCH")</f>
        <v>VIRGINIA BCH</v>
      </c>
      <c r="E11370" t="str">
        <f t="shared" si="4164"/>
        <v>VA</v>
      </c>
      <c r="F11370" t="str">
        <f>T("234602244")</f>
        <v>234602244</v>
      </c>
      <c r="G11370" t="str">
        <f>T("1676 FIRST ST")</f>
        <v>1676 FIRST ST</v>
      </c>
      <c r="H11370" t="str">
        <f t="shared" si="4168"/>
        <v/>
      </c>
      <c r="I11370" t="str">
        <f>T("VIRGINIA BEACH")</f>
        <v>VIRGINIA BEACH</v>
      </c>
      <c r="J11370" t="str">
        <f>T("VA")</f>
        <v>VA</v>
      </c>
      <c r="K11370" t="str">
        <f>T("000000000000000000")</f>
        <v>000000000000000000</v>
      </c>
      <c r="L11370" t="str">
        <f>T("7574339325")</f>
        <v>7574339325</v>
      </c>
    </row>
    <row r="11371" spans="1:12" x14ac:dyDescent="0.35">
      <c r="A11371" t="str">
        <f>T("VFA-105")</f>
        <v>VFA-105</v>
      </c>
      <c r="B11371" t="str">
        <f>T("1676 FIRST STREET")</f>
        <v>1676 FIRST STREET</v>
      </c>
      <c r="C11371" t="str">
        <f t="shared" si="4167"/>
        <v/>
      </c>
      <c r="D11371" t="str">
        <f>T("VIRGINIA BCH")</f>
        <v>VIRGINIA BCH</v>
      </c>
      <c r="E11371" t="str">
        <f t="shared" si="4164"/>
        <v>VA</v>
      </c>
      <c r="F11371" t="str">
        <f>T("234602244")</f>
        <v>234602244</v>
      </c>
      <c r="G11371" t="str">
        <f>T("1676 FIRST STREET")</f>
        <v>1676 FIRST STREET</v>
      </c>
      <c r="H11371" t="str">
        <f t="shared" si="4168"/>
        <v/>
      </c>
      <c r="I11371" t="str">
        <f>T("VIRGINIA BCH")</f>
        <v>VIRGINIA BCH</v>
      </c>
      <c r="J11371" t="str">
        <f>T("VA")</f>
        <v>VA</v>
      </c>
      <c r="K11371" t="str">
        <f>T("")</f>
        <v/>
      </c>
      <c r="L11371" t="str">
        <f>T("7574339325")</f>
        <v>7574339325</v>
      </c>
    </row>
    <row r="11372" spans="1:12" x14ac:dyDescent="0.35">
      <c r="A11372" t="str">
        <f>T("VFA-105")</f>
        <v>VFA-105</v>
      </c>
      <c r="B11372" t="str">
        <f>T("1676 FIRST STREET")</f>
        <v>1676 FIRST STREET</v>
      </c>
      <c r="C11372" t="str">
        <f t="shared" si="4167"/>
        <v/>
      </c>
      <c r="D11372" t="str">
        <f>T("VIRGINIA BCH")</f>
        <v>VIRGINIA BCH</v>
      </c>
      <c r="E11372" t="str">
        <f t="shared" si="4164"/>
        <v>VA</v>
      </c>
      <c r="F11372" t="str">
        <f>T("234602244")</f>
        <v>234602244</v>
      </c>
      <c r="G11372" t="str">
        <f>T("UNIT 200303 BOX 110")</f>
        <v>UNIT 200303 BOX 110</v>
      </c>
      <c r="H11372" t="str">
        <f t="shared" si="4168"/>
        <v/>
      </c>
      <c r="I11372" t="str">
        <f>T("FPO")</f>
        <v>FPO</v>
      </c>
      <c r="J11372" t="str">
        <f>T("AE")</f>
        <v>AE</v>
      </c>
      <c r="K11372" t="str">
        <f>T("000000000000000000")</f>
        <v>000000000000000000</v>
      </c>
      <c r="L11372" t="str">
        <f>T("7574339325")</f>
        <v>7574339325</v>
      </c>
    </row>
    <row r="11373" spans="1:12" x14ac:dyDescent="0.35">
      <c r="A11373" t="str">
        <f>T("VFA-105")</f>
        <v>VFA-105</v>
      </c>
      <c r="B11373" t="str">
        <f>T("1676 FIRST STREET")</f>
        <v>1676 FIRST STREET</v>
      </c>
      <c r="C11373" t="str">
        <f t="shared" si="4167"/>
        <v/>
      </c>
      <c r="D11373" t="str">
        <f>T("VIRGINIA BCH")</f>
        <v>VIRGINIA BCH</v>
      </c>
      <c r="E11373" t="str">
        <f t="shared" si="4164"/>
        <v>VA</v>
      </c>
      <c r="F11373" t="str">
        <f>T("234602244")</f>
        <v>234602244</v>
      </c>
      <c r="G11373" t="str">
        <f>T("VFA-105")</f>
        <v>VFA-105</v>
      </c>
      <c r="H11373" t="str">
        <f>T("1676 1ST ST")</f>
        <v>1676 1ST ST</v>
      </c>
      <c r="I11373" t="str">
        <f>T("VIRGINIA BEACH")</f>
        <v>VIRGINIA BEACH</v>
      </c>
      <c r="J11373" t="str">
        <f t="shared" ref="J11373:J11381" si="4169">T("VA")</f>
        <v>VA</v>
      </c>
      <c r="K11373" t="str">
        <f>T("000000000000000000")</f>
        <v>000000000000000000</v>
      </c>
      <c r="L11373" t="str">
        <f>T("7574339325")</f>
        <v>7574339325</v>
      </c>
    </row>
    <row r="11374" spans="1:12" x14ac:dyDescent="0.35">
      <c r="A11374" t="str">
        <f t="shared" ref="A11374:A11381" si="4170">T("HM-15")</f>
        <v>HM-15</v>
      </c>
      <c r="B11374" t="str">
        <f t="shared" ref="B11374:B11381" si="4171">T("1130 CV TOW WAY DR")</f>
        <v>1130 CV TOW WAY DR</v>
      </c>
      <c r="C11374" t="str">
        <f t="shared" ref="C11374:C11381" si="4172">T("BLDG V-70 RM 126")</f>
        <v>BLDG V-70 RM 126</v>
      </c>
      <c r="D11374" t="str">
        <f t="shared" ref="D11374:D11381" si="4173">T("NORFOLK")</f>
        <v>NORFOLK</v>
      </c>
      <c r="E11374" t="str">
        <f t="shared" si="4164"/>
        <v>VA</v>
      </c>
      <c r="F11374" t="str">
        <f t="shared" ref="F11374:F11381" si="4174">T("235112424")</f>
        <v>235112424</v>
      </c>
      <c r="G11374" t="str">
        <f>T("1130 CV TOW WAY DR")</f>
        <v>1130 CV TOW WAY DR</v>
      </c>
      <c r="H11374" t="str">
        <f>T("")</f>
        <v/>
      </c>
      <c r="I11374" t="str">
        <f>T("NORFOLK")</f>
        <v>NORFOLK</v>
      </c>
      <c r="J11374" t="str">
        <f t="shared" si="4169"/>
        <v>VA</v>
      </c>
      <c r="K11374" t="str">
        <f>T("7574442742")</f>
        <v>7574442742</v>
      </c>
      <c r="L11374" t="str">
        <f>T("7573229688")</f>
        <v>7573229688</v>
      </c>
    </row>
    <row r="11375" spans="1:12" x14ac:dyDescent="0.35">
      <c r="A11375" t="str">
        <f t="shared" si="4170"/>
        <v>HM-15</v>
      </c>
      <c r="B11375" t="str">
        <f t="shared" si="4171"/>
        <v>1130 CV TOW WAY DR</v>
      </c>
      <c r="C11375" t="str">
        <f t="shared" si="4172"/>
        <v>BLDG V-70 RM 126</v>
      </c>
      <c r="D11375" t="str">
        <f t="shared" si="4173"/>
        <v>NORFOLK</v>
      </c>
      <c r="E11375" t="str">
        <f t="shared" si="4164"/>
        <v>VA</v>
      </c>
      <c r="F11375" t="str">
        <f t="shared" si="4174"/>
        <v>235112424</v>
      </c>
      <c r="G11375" t="str">
        <f>T("1130 CV TOW WAY DR")</f>
        <v>1130 CV TOW WAY DR</v>
      </c>
      <c r="H11375" t="str">
        <f>T("BLDG V-70 RM 126")</f>
        <v>BLDG V-70 RM 126</v>
      </c>
      <c r="I11375" t="str">
        <f>T("NORFOLK")</f>
        <v>NORFOLK</v>
      </c>
      <c r="J11375" t="str">
        <f t="shared" si="4169"/>
        <v>VA</v>
      </c>
      <c r="K11375" t="str">
        <f>T("7574442742")</f>
        <v>7574442742</v>
      </c>
      <c r="L11375" t="str">
        <f>T("7573229688")</f>
        <v>7573229688</v>
      </c>
    </row>
    <row r="11376" spans="1:12" x14ac:dyDescent="0.35">
      <c r="A11376" t="str">
        <f t="shared" si="4170"/>
        <v>HM-15</v>
      </c>
      <c r="B11376" t="str">
        <f t="shared" si="4171"/>
        <v>1130 CV TOW WAY DR</v>
      </c>
      <c r="C11376" t="str">
        <f t="shared" si="4172"/>
        <v>BLDG V-70 RM 126</v>
      </c>
      <c r="D11376" t="str">
        <f t="shared" si="4173"/>
        <v>NORFOLK</v>
      </c>
      <c r="E11376" t="str">
        <f t="shared" si="4164"/>
        <v>VA</v>
      </c>
      <c r="F11376" t="str">
        <f t="shared" si="4174"/>
        <v>235112424</v>
      </c>
      <c r="G11376" t="str">
        <f>T("1130 CV TOW WAY DRIVE")</f>
        <v>1130 CV TOW WAY DRIVE</v>
      </c>
      <c r="H11376" t="str">
        <f>T("")</f>
        <v/>
      </c>
      <c r="I11376" t="str">
        <f>T("NORFOLK")</f>
        <v>NORFOLK</v>
      </c>
      <c r="J11376" t="str">
        <f t="shared" si="4169"/>
        <v>VA</v>
      </c>
      <c r="K11376" t="str">
        <f>T("000000000000000000")</f>
        <v>000000000000000000</v>
      </c>
      <c r="L11376" t="str">
        <f>T("7573229686")</f>
        <v>7573229686</v>
      </c>
    </row>
    <row r="11377" spans="1:12" x14ac:dyDescent="0.35">
      <c r="A11377" t="str">
        <f t="shared" si="4170"/>
        <v>HM-15</v>
      </c>
      <c r="B11377" t="str">
        <f t="shared" si="4171"/>
        <v>1130 CV TOW WAY DR</v>
      </c>
      <c r="C11377" t="str">
        <f t="shared" si="4172"/>
        <v>BLDG V-70 RM 126</v>
      </c>
      <c r="D11377" t="str">
        <f t="shared" si="4173"/>
        <v>NORFOLK</v>
      </c>
      <c r="E11377" t="str">
        <f t="shared" si="4164"/>
        <v>VA</v>
      </c>
      <c r="F11377" t="str">
        <f t="shared" si="4174"/>
        <v>235112424</v>
      </c>
      <c r="G11377" t="str">
        <f>T("1130 CV TOW WAY RD")</f>
        <v>1130 CV TOW WAY RD</v>
      </c>
      <c r="H11377" t="str">
        <f>T("BLDG V70 RM126")</f>
        <v>BLDG V70 RM126</v>
      </c>
      <c r="I11377" t="str">
        <f>T("NORFOLK")</f>
        <v>NORFOLK</v>
      </c>
      <c r="J11377" t="str">
        <f t="shared" si="4169"/>
        <v>VA</v>
      </c>
      <c r="K11377" t="str">
        <f>T("7574442742")</f>
        <v>7574442742</v>
      </c>
      <c r="L11377" t="str">
        <f>T("7573229687")</f>
        <v>7573229687</v>
      </c>
    </row>
    <row r="11378" spans="1:12" x14ac:dyDescent="0.35">
      <c r="A11378" t="str">
        <f t="shared" si="4170"/>
        <v>HM-15</v>
      </c>
      <c r="B11378" t="str">
        <f t="shared" si="4171"/>
        <v>1130 CV TOW WAY DR</v>
      </c>
      <c r="C11378" t="str">
        <f t="shared" si="4172"/>
        <v>BLDG V-70 RM 126</v>
      </c>
      <c r="D11378" t="str">
        <f t="shared" si="4173"/>
        <v>NORFOLK</v>
      </c>
      <c r="E11378" t="str">
        <f t="shared" si="4164"/>
        <v>VA</v>
      </c>
      <c r="F11378" t="str">
        <f t="shared" si="4174"/>
        <v>235112424</v>
      </c>
      <c r="G11378" t="str">
        <f>T("1130 CV WAY TWO DRIVE")</f>
        <v>1130 CV WAY TWO DRIVE</v>
      </c>
      <c r="H11378" t="str">
        <f>T("BLDG V70 RM126")</f>
        <v>BLDG V70 RM126</v>
      </c>
      <c r="I11378" t="str">
        <f>T("NORFOLK")</f>
        <v>NORFOLK</v>
      </c>
      <c r="J11378" t="str">
        <f t="shared" si="4169"/>
        <v>VA</v>
      </c>
      <c r="K11378" t="str">
        <f>T("7574442742")</f>
        <v>7574442742</v>
      </c>
      <c r="L11378" t="str">
        <f>T("7573229687")</f>
        <v>7573229687</v>
      </c>
    </row>
    <row r="11379" spans="1:12" x14ac:dyDescent="0.35">
      <c r="A11379" t="str">
        <f t="shared" si="4170"/>
        <v>HM-15</v>
      </c>
      <c r="B11379" t="str">
        <f t="shared" si="4171"/>
        <v>1130 CV TOW WAY DR</v>
      </c>
      <c r="C11379" t="str">
        <f t="shared" si="4172"/>
        <v>BLDG V-70 RM 126</v>
      </c>
      <c r="D11379" t="str">
        <f t="shared" si="4173"/>
        <v>NORFOLK</v>
      </c>
      <c r="E11379" t="str">
        <f t="shared" si="4164"/>
        <v>VA</v>
      </c>
      <c r="F11379" t="str">
        <f t="shared" si="4174"/>
        <v>235112424</v>
      </c>
      <c r="G11379" t="str">
        <f>T("HELMINERON FIFTEEN")</f>
        <v>HELMINERON FIFTEEN</v>
      </c>
      <c r="H11379" t="str">
        <f>T("")</f>
        <v/>
      </c>
      <c r="I11379" t="str">
        <f>T("1130 CV TOW WAY DRIVE")</f>
        <v>1130 CV TOW WAY DRIVE</v>
      </c>
      <c r="J11379" t="str">
        <f t="shared" si="4169"/>
        <v>VA</v>
      </c>
      <c r="K11379" t="str">
        <f>T("000000000000000000")</f>
        <v>000000000000000000</v>
      </c>
      <c r="L11379" t="str">
        <f>T("7573229688")</f>
        <v>7573229688</v>
      </c>
    </row>
    <row r="11380" spans="1:12" x14ac:dyDescent="0.35">
      <c r="A11380" t="str">
        <f t="shared" si="4170"/>
        <v>HM-15</v>
      </c>
      <c r="B11380" t="str">
        <f t="shared" si="4171"/>
        <v>1130 CV TOW WAY DR</v>
      </c>
      <c r="C11380" t="str">
        <f t="shared" si="4172"/>
        <v>BLDG V-70 RM 126</v>
      </c>
      <c r="D11380" t="str">
        <f t="shared" si="4173"/>
        <v>NORFOLK</v>
      </c>
      <c r="E11380" t="str">
        <f t="shared" si="4164"/>
        <v>VA</v>
      </c>
      <c r="F11380" t="str">
        <f t="shared" si="4174"/>
        <v>235112424</v>
      </c>
      <c r="G11380" t="str">
        <f>T("HELMINERON FIFTEEN")</f>
        <v>HELMINERON FIFTEEN</v>
      </c>
      <c r="H11380" t="str">
        <f>T("")</f>
        <v/>
      </c>
      <c r="I11380" t="str">
        <f>T("NORFOLK")</f>
        <v>NORFOLK</v>
      </c>
      <c r="J11380" t="str">
        <f t="shared" si="4169"/>
        <v>VA</v>
      </c>
      <c r="K11380" t="str">
        <f>T("7574442742")</f>
        <v>7574442742</v>
      </c>
      <c r="L11380" t="str">
        <f>T("7573229686")</f>
        <v>7573229686</v>
      </c>
    </row>
    <row r="11381" spans="1:12" x14ac:dyDescent="0.35">
      <c r="A11381" t="str">
        <f t="shared" si="4170"/>
        <v>HM-15</v>
      </c>
      <c r="B11381" t="str">
        <f t="shared" si="4171"/>
        <v>1130 CV TOW WAY DR</v>
      </c>
      <c r="C11381" t="str">
        <f t="shared" si="4172"/>
        <v>BLDG V-70 RM 126</v>
      </c>
      <c r="D11381" t="str">
        <f t="shared" si="4173"/>
        <v>NORFOLK</v>
      </c>
      <c r="E11381" t="str">
        <f t="shared" si="4164"/>
        <v>VA</v>
      </c>
      <c r="F11381" t="str">
        <f t="shared" si="4174"/>
        <v>235112424</v>
      </c>
      <c r="G11381" t="str">
        <f>T("HELMINERON FIFTEEN")</f>
        <v>HELMINERON FIFTEEN</v>
      </c>
      <c r="H11381" t="str">
        <f>T("1130 CV TOW WAY DRIVE")</f>
        <v>1130 CV TOW WAY DRIVE</v>
      </c>
      <c r="I11381" t="str">
        <f>T("NORFOLK")</f>
        <v>NORFOLK</v>
      </c>
      <c r="J11381" t="str">
        <f t="shared" si="4169"/>
        <v>VA</v>
      </c>
      <c r="K11381" t="str">
        <f>T("7574442742")</f>
        <v>7574442742</v>
      </c>
      <c r="L11381" t="str">
        <f>T("7573229688")</f>
        <v>7573229688</v>
      </c>
    </row>
    <row r="11382" spans="1:12" x14ac:dyDescent="0.35">
      <c r="A11382" t="str">
        <f t="shared" ref="A11382:A11387" si="4175">T("COMHSMWINGLANT")</f>
        <v>COMHSMWINGLANT</v>
      </c>
      <c r="B11382" t="str">
        <f>T("BLDG 1553 2ND FLOOR RM 513")</f>
        <v>BLDG 1553 2ND FLOOR RM 513</v>
      </c>
      <c r="C11382" t="str">
        <f>T("NAVAL STATION MAYPORT")</f>
        <v>NAVAL STATION MAYPORT</v>
      </c>
      <c r="D11382" t="str">
        <f>T("MAYPORT")</f>
        <v>MAYPORT</v>
      </c>
      <c r="E11382" t="str">
        <f t="shared" ref="E11382:E11387" si="4176">T("FL")</f>
        <v>FL</v>
      </c>
      <c r="F11382" t="str">
        <f>T("322280007")</f>
        <v>322280007</v>
      </c>
      <c r="G11382" t="str">
        <f>T("BLDG 1553 2ND FL RM 513")</f>
        <v>BLDG 1553 2ND FL RM 513</v>
      </c>
      <c r="H11382" t="str">
        <f>T("NS MAYPORT")</f>
        <v>NS MAYPORT</v>
      </c>
      <c r="I11382" t="str">
        <f>T("JACKSONVILLE")</f>
        <v>JACKSONVILLE</v>
      </c>
      <c r="J11382" t="str">
        <f t="shared" ref="J11382:J11387" si="4177">T("FL")</f>
        <v>FL</v>
      </c>
      <c r="K11382" t="str">
        <f>T("9042706442 210")</f>
        <v>9042706442 210</v>
      </c>
      <c r="L11382" t="str">
        <f>T("1111111111")</f>
        <v>1111111111</v>
      </c>
    </row>
    <row r="11383" spans="1:12" x14ac:dyDescent="0.35">
      <c r="A11383" t="str">
        <f t="shared" si="4175"/>
        <v>COMHSMWINGLANT</v>
      </c>
      <c r="B11383" t="str">
        <f>T("BLDG 1553 2ND FLOOR RM 513")</f>
        <v>BLDG 1553 2ND FLOOR RM 513</v>
      </c>
      <c r="C11383" t="str">
        <f>T("NAVAL STATION MAYPORT")</f>
        <v>NAVAL STATION MAYPORT</v>
      </c>
      <c r="D11383" t="str">
        <f>T("MAYPORT")</f>
        <v>MAYPORT</v>
      </c>
      <c r="E11383" t="str">
        <f t="shared" si="4176"/>
        <v>FL</v>
      </c>
      <c r="F11383" t="str">
        <f>T("322280007")</f>
        <v>322280007</v>
      </c>
      <c r="G11383" t="str">
        <f>T("BLDG 1553 2ND FLOOR RM 513")</f>
        <v>BLDG 1553 2ND FLOOR RM 513</v>
      </c>
      <c r="H11383" t="str">
        <f>T("NAVAL STATION MAYPORT")</f>
        <v>NAVAL STATION MAYPORT</v>
      </c>
      <c r="I11383" t="str">
        <f>T("MAYPORT")</f>
        <v>MAYPORT</v>
      </c>
      <c r="J11383" t="str">
        <f t="shared" si="4177"/>
        <v>FL</v>
      </c>
      <c r="K11383" t="str">
        <f>T("9042706081")</f>
        <v>9042706081</v>
      </c>
      <c r="L11383" t="str">
        <f>T("9042706442")</f>
        <v>9042706442</v>
      </c>
    </row>
    <row r="11384" spans="1:12" x14ac:dyDescent="0.35">
      <c r="A11384" t="str">
        <f t="shared" si="4175"/>
        <v>COMHSMWINGLANT</v>
      </c>
      <c r="B11384" t="str">
        <f>T("BLDG 1553 2ND FLOOR RM 513")</f>
        <v>BLDG 1553 2ND FLOOR RM 513</v>
      </c>
      <c r="C11384" t="str">
        <f>T("NAVAL STATION MAYPORT")</f>
        <v>NAVAL STATION MAYPORT</v>
      </c>
      <c r="D11384" t="str">
        <f>T("MAYPORT")</f>
        <v>MAYPORT</v>
      </c>
      <c r="E11384" t="str">
        <f t="shared" si="4176"/>
        <v>FL</v>
      </c>
      <c r="F11384" t="str">
        <f>T("322280007")</f>
        <v>322280007</v>
      </c>
      <c r="G11384" t="str">
        <f>T("COMHSMWINGLANT")</f>
        <v>COMHSMWINGLANT</v>
      </c>
      <c r="H11384" t="str">
        <f>T("")</f>
        <v/>
      </c>
      <c r="I11384" t="str">
        <f>T("MAYPORT")</f>
        <v>MAYPORT</v>
      </c>
      <c r="J11384" t="str">
        <f t="shared" si="4177"/>
        <v>FL</v>
      </c>
      <c r="K11384" t="str">
        <f>T("9042706361210")</f>
        <v>9042706361210</v>
      </c>
      <c r="L11384" t="str">
        <f>T("1111111111")</f>
        <v>1111111111</v>
      </c>
    </row>
    <row r="11385" spans="1:12" x14ac:dyDescent="0.35">
      <c r="A11385" t="str">
        <f t="shared" si="4175"/>
        <v>COMHSMWINGLANT</v>
      </c>
      <c r="B11385" t="str">
        <f>T("BLDG 1553 2ND FLOOR RM 513")</f>
        <v>BLDG 1553 2ND FLOOR RM 513</v>
      </c>
      <c r="C11385" t="str">
        <f>T("NAVAL STATION MAYPORT")</f>
        <v>NAVAL STATION MAYPORT</v>
      </c>
      <c r="D11385" t="str">
        <f>T("MAYPORT")</f>
        <v>MAYPORT</v>
      </c>
      <c r="E11385" t="str">
        <f t="shared" si="4176"/>
        <v>FL</v>
      </c>
      <c r="F11385" t="str">
        <f>T("322280007")</f>
        <v>322280007</v>
      </c>
      <c r="G11385" t="str">
        <f>T("COMHSMWINGLANT")</f>
        <v>COMHSMWINGLANT</v>
      </c>
      <c r="H11385" t="str">
        <f>T("BLDG 1553 2ND FLOOR RM 513")</f>
        <v>BLDG 1553 2ND FLOOR RM 513</v>
      </c>
      <c r="I11385" t="str">
        <f>T("MAYPORT")</f>
        <v>MAYPORT</v>
      </c>
      <c r="J11385" t="str">
        <f t="shared" si="4177"/>
        <v>FL</v>
      </c>
      <c r="K11385" t="str">
        <f>T("9042706361214")</f>
        <v>9042706361214</v>
      </c>
      <c r="L11385" t="str">
        <f>T("1111111111")</f>
        <v>1111111111</v>
      </c>
    </row>
    <row r="11386" spans="1:12" x14ac:dyDescent="0.35">
      <c r="A11386" t="str">
        <f t="shared" si="4175"/>
        <v>COMHSMWINGLANT</v>
      </c>
      <c r="B11386" t="str">
        <f>T("RSS CHSMWL")</f>
        <v>RSS CHSMWL</v>
      </c>
      <c r="C11386" t="str">
        <f>T("PO BOX 92 NAS JACKSONVILLE")</f>
        <v>PO BOX 92 NAS JACKSONVILLE</v>
      </c>
      <c r="D11386" t="str">
        <f>T("JACKSONVILLE")</f>
        <v>JACKSONVILLE</v>
      </c>
      <c r="E11386" t="str">
        <f t="shared" si="4176"/>
        <v>FL</v>
      </c>
      <c r="F11386" t="str">
        <f>T("322120092")</f>
        <v>322120092</v>
      </c>
      <c r="G11386" t="str">
        <f>T("614 GILLIS ST")</f>
        <v>614 GILLIS ST</v>
      </c>
      <c r="H11386" t="str">
        <f>T("BLDG 614")</f>
        <v>BLDG 614</v>
      </c>
      <c r="I11386" t="str">
        <f>T("JACKSONVILLE")</f>
        <v>JACKSONVILLE</v>
      </c>
      <c r="J11386" t="str">
        <f t="shared" si="4177"/>
        <v>FL</v>
      </c>
      <c r="K11386" t="str">
        <f>T("9045423669")</f>
        <v>9045423669</v>
      </c>
      <c r="L11386" t="str">
        <f>T("9045423700")</f>
        <v>9045423700</v>
      </c>
    </row>
    <row r="11387" spans="1:12" x14ac:dyDescent="0.35">
      <c r="A11387" t="str">
        <f t="shared" si="4175"/>
        <v>COMHSMWINGLANT</v>
      </c>
      <c r="B11387" t="str">
        <f>T("RSS CHSMWL")</f>
        <v>RSS CHSMWL</v>
      </c>
      <c r="C11387" t="str">
        <f>T("PO BOX 92 NAS JACKSONVILLE")</f>
        <v>PO BOX 92 NAS JACKSONVILLE</v>
      </c>
      <c r="D11387" t="str">
        <f>T("JACKSONVILLE")</f>
        <v>JACKSONVILLE</v>
      </c>
      <c r="E11387" t="str">
        <f t="shared" si="4176"/>
        <v>FL</v>
      </c>
      <c r="F11387" t="str">
        <f>T("322120092")</f>
        <v>322120092</v>
      </c>
      <c r="G11387" t="str">
        <f>T("RSS CHSMWL")</f>
        <v>RSS CHSMWL</v>
      </c>
      <c r="H11387" t="str">
        <f>T("PO BOX 92 NAS JACKSONVILLE")</f>
        <v>PO BOX 92 NAS JACKSONVILLE</v>
      </c>
      <c r="I11387" t="str">
        <f>T("JACKSONVILLE")</f>
        <v>JACKSONVILLE</v>
      </c>
      <c r="J11387" t="str">
        <f t="shared" si="4177"/>
        <v>FL</v>
      </c>
      <c r="K11387" t="str">
        <f>T("")</f>
        <v/>
      </c>
      <c r="L11387" t="str">
        <f>T("1111111111")</f>
        <v>1111111111</v>
      </c>
    </row>
    <row r="11388" spans="1:12" x14ac:dyDescent="0.35">
      <c r="A11388" t="str">
        <f>T("HSC-28")</f>
        <v>HSC-28</v>
      </c>
      <c r="B11388" t="str">
        <f>T("1348 CV TOWWAY DRIVE BLDG LF-59")</f>
        <v>1348 CV TOWWAY DRIVE BLDG LF-59</v>
      </c>
      <c r="C11388" t="str">
        <f>T("")</f>
        <v/>
      </c>
      <c r="D11388" t="str">
        <f>T("NORFOLK")</f>
        <v>NORFOLK</v>
      </c>
      <c r="E11388" t="str">
        <f>T("VA")</f>
        <v>VA</v>
      </c>
      <c r="F11388" t="str">
        <f>T("235112596")</f>
        <v>235112596</v>
      </c>
      <c r="G11388" t="str">
        <f>T("1348 CV TOWWAY DR")</f>
        <v>1348 CV TOWWAY DR</v>
      </c>
      <c r="H11388" t="str">
        <f>T("BLDG LF-59")</f>
        <v>BLDG LF-59</v>
      </c>
      <c r="I11388" t="str">
        <f>T("NORFOLK")</f>
        <v>NORFOLK</v>
      </c>
      <c r="J11388" t="str">
        <f>T("VA")</f>
        <v>VA</v>
      </c>
      <c r="K11388" t="str">
        <f>T("7574451221")</f>
        <v>7574451221</v>
      </c>
      <c r="L11388" t="str">
        <f>T("7574459385")</f>
        <v>7574459385</v>
      </c>
    </row>
    <row r="11389" spans="1:12" x14ac:dyDescent="0.35">
      <c r="A11389" t="str">
        <f>T("HSC-28")</f>
        <v>HSC-28</v>
      </c>
      <c r="B11389" t="str">
        <f>T("1348 CV TOWWAY DRIVE BLDG LF-59")</f>
        <v>1348 CV TOWWAY DRIVE BLDG LF-59</v>
      </c>
      <c r="C11389" t="str">
        <f>T("")</f>
        <v/>
      </c>
      <c r="D11389" t="str">
        <f>T("NORFOLK")</f>
        <v>NORFOLK</v>
      </c>
      <c r="E11389" t="str">
        <f>T("VA")</f>
        <v>VA</v>
      </c>
      <c r="F11389" t="str">
        <f>T("235112596")</f>
        <v>235112596</v>
      </c>
      <c r="G11389" t="str">
        <f>T("1348 CV TOWWAY DR BLDG LF-59")</f>
        <v>1348 CV TOWWAY DR BLDG LF-59</v>
      </c>
      <c r="H11389" t="str">
        <f>T("")</f>
        <v/>
      </c>
      <c r="I11389" t="str">
        <f>T("NORFOLK")</f>
        <v>NORFOLK</v>
      </c>
      <c r="J11389" t="str">
        <f>T("VA")</f>
        <v>VA</v>
      </c>
      <c r="K11389" t="str">
        <f>T("7574451221")</f>
        <v>7574451221</v>
      </c>
      <c r="L11389" t="str">
        <f>T("7574459385")</f>
        <v>7574459385</v>
      </c>
    </row>
    <row r="11390" spans="1:12" x14ac:dyDescent="0.35">
      <c r="A11390" t="str">
        <f>T("HSC-28")</f>
        <v>HSC-28</v>
      </c>
      <c r="B11390" t="str">
        <f>T("1348 CV TOWWAY DRIVE BLDG LF-59")</f>
        <v>1348 CV TOWWAY DRIVE BLDG LF-59</v>
      </c>
      <c r="C11390" t="str">
        <f>T("")</f>
        <v/>
      </c>
      <c r="D11390" t="str">
        <f>T("NORFOLK")</f>
        <v>NORFOLK</v>
      </c>
      <c r="E11390" t="str">
        <f>T("VA")</f>
        <v>VA</v>
      </c>
      <c r="F11390" t="str">
        <f>T("235112596")</f>
        <v>235112596</v>
      </c>
      <c r="G11390" t="str">
        <f>T("1348 CV TOWWAY DRIVE BLDG LF-59")</f>
        <v>1348 CV TOWWAY DRIVE BLDG LF-59</v>
      </c>
      <c r="H11390" t="str">
        <f>T("")</f>
        <v/>
      </c>
      <c r="I11390" t="str">
        <f>T("NORFOLK")</f>
        <v>NORFOLK</v>
      </c>
      <c r="J11390" t="str">
        <f>T("VA")</f>
        <v>VA</v>
      </c>
      <c r="K11390" t="str">
        <f>T("7574451221")</f>
        <v>7574451221</v>
      </c>
      <c r="L11390" t="str">
        <f>T("7574459385")</f>
        <v>7574459385</v>
      </c>
    </row>
    <row r="11391" spans="1:12" x14ac:dyDescent="0.35">
      <c r="A11391" t="str">
        <f>T("VX-1")</f>
        <v>VX-1</v>
      </c>
      <c r="B11391" t="str">
        <f>T("47298 TATE RD")</f>
        <v>47298 TATE RD</v>
      </c>
      <c r="C11391" t="str">
        <f>T("HANGAR 305 NAS")</f>
        <v>HANGAR 305 NAS</v>
      </c>
      <c r="D11391" t="str">
        <f>T("PATUXENT RIVER")</f>
        <v>PATUXENT RIVER</v>
      </c>
      <c r="E11391" t="str">
        <f>T("MD")</f>
        <v>MD</v>
      </c>
      <c r="F11391" t="str">
        <f>T("206701921")</f>
        <v>206701921</v>
      </c>
      <c r="G11391" t="str">
        <f>T("47298 TATE RD")</f>
        <v>47298 TATE RD</v>
      </c>
      <c r="H11391" t="str">
        <f>T("HANGAR 305 NAS")</f>
        <v>HANGAR 305 NAS</v>
      </c>
      <c r="I11391" t="str">
        <f>T("PATUXENT RIVER")</f>
        <v>PATUXENT RIVER</v>
      </c>
      <c r="J11391" t="str">
        <f>T("MD")</f>
        <v>MD</v>
      </c>
      <c r="K11391" t="str">
        <f>T("3017571448")</f>
        <v>3017571448</v>
      </c>
      <c r="L11391" t="str">
        <f>T("3017572059")</f>
        <v>3017572059</v>
      </c>
    </row>
    <row r="11392" spans="1:12" x14ac:dyDescent="0.35">
      <c r="A11392" t="str">
        <f>T("VX-1")</f>
        <v>VX-1</v>
      </c>
      <c r="B11392" t="str">
        <f>T("47298 TATE RD")</f>
        <v>47298 TATE RD</v>
      </c>
      <c r="C11392" t="str">
        <f>T("HANGAR 305 NAS")</f>
        <v>HANGAR 305 NAS</v>
      </c>
      <c r="D11392" t="str">
        <f>T("PATUXENT RIVER")</f>
        <v>PATUXENT RIVER</v>
      </c>
      <c r="E11392" t="str">
        <f>T("MD")</f>
        <v>MD</v>
      </c>
      <c r="F11392" t="str">
        <f>T("206701921")</f>
        <v>206701921</v>
      </c>
      <c r="G11392" t="str">
        <f>T("47298 TATE RD HANGAR 305")</f>
        <v>47298 TATE RD HANGAR 305</v>
      </c>
      <c r="H11392" t="str">
        <f>T("")</f>
        <v/>
      </c>
      <c r="I11392" t="str">
        <f>T("PATUXENT RIVER")</f>
        <v>PATUXENT RIVER</v>
      </c>
      <c r="J11392" t="str">
        <f>T("MD")</f>
        <v>MD</v>
      </c>
      <c r="K11392" t="str">
        <f>T("3017571448")</f>
        <v>3017571448</v>
      </c>
      <c r="L11392" t="str">
        <f>T("3017571419")</f>
        <v>3017571419</v>
      </c>
    </row>
    <row r="11393" spans="1:12" x14ac:dyDescent="0.35">
      <c r="A11393" t="str">
        <f>T("VX-1")</f>
        <v>VX-1</v>
      </c>
      <c r="B11393" t="str">
        <f>T("47298 TATE RD")</f>
        <v>47298 TATE RD</v>
      </c>
      <c r="C11393" t="str">
        <f>T("HANGAR 305 NAS")</f>
        <v>HANGAR 305 NAS</v>
      </c>
      <c r="D11393" t="str">
        <f>T("PATUXENT RIVER")</f>
        <v>PATUXENT RIVER</v>
      </c>
      <c r="E11393" t="str">
        <f>T("MD")</f>
        <v>MD</v>
      </c>
      <c r="F11393" t="str">
        <f>T("206701921")</f>
        <v>206701921</v>
      </c>
      <c r="G11393" t="str">
        <f>T("47298 TATE RD HANGAR 305")</f>
        <v>47298 TATE RD HANGAR 305</v>
      </c>
      <c r="H11393" t="str">
        <f>T("")</f>
        <v/>
      </c>
      <c r="I11393" t="str">
        <f>T("PATUXENT RIVER")</f>
        <v>PATUXENT RIVER</v>
      </c>
      <c r="J11393" t="str">
        <f>T("MD")</f>
        <v>MD</v>
      </c>
      <c r="K11393" t="str">
        <f>T("3017571448")</f>
        <v>3017571448</v>
      </c>
      <c r="L11393" t="str">
        <f>T("3017571420")</f>
        <v>3017571420</v>
      </c>
    </row>
    <row r="11394" spans="1:12" x14ac:dyDescent="0.35">
      <c r="A11394" t="str">
        <f>T("VX-1")</f>
        <v>VX-1</v>
      </c>
      <c r="B11394" t="str">
        <f>T("47298 TATE RD")</f>
        <v>47298 TATE RD</v>
      </c>
      <c r="C11394" t="str">
        <f>T("HANGAR 305 NAS")</f>
        <v>HANGAR 305 NAS</v>
      </c>
      <c r="D11394" t="str">
        <f>T("PATUXENT RIVER")</f>
        <v>PATUXENT RIVER</v>
      </c>
      <c r="E11394" t="str">
        <f>T("MD")</f>
        <v>MD</v>
      </c>
      <c r="F11394" t="str">
        <f>T("206701921")</f>
        <v>206701921</v>
      </c>
      <c r="G11394" t="str">
        <f>T("47298 TATE RD HANGAR 305")</f>
        <v>47298 TATE RD HANGAR 305</v>
      </c>
      <c r="H11394" t="str">
        <f>T("")</f>
        <v/>
      </c>
      <c r="I11394" t="str">
        <f>T("PATUXENT RIVER")</f>
        <v>PATUXENT RIVER</v>
      </c>
      <c r="J11394" t="str">
        <f>T("MD")</f>
        <v>MD</v>
      </c>
      <c r="K11394" t="str">
        <f>T("3017571448")</f>
        <v>3017571448</v>
      </c>
      <c r="L11394" t="str">
        <f>T("3077571419")</f>
        <v>3077571419</v>
      </c>
    </row>
    <row r="11395" spans="1:12" x14ac:dyDescent="0.35">
      <c r="A11395" t="str">
        <f t="shared" ref="A11395:A11402" si="4178">T("COMNAVAIRLANT")</f>
        <v>COMNAVAIRLANT</v>
      </c>
      <c r="B11395" t="str">
        <f t="shared" ref="B11395:B11402" si="4179">T("1562 MITSCHER AVENUE")</f>
        <v>1562 MITSCHER AVENUE</v>
      </c>
      <c r="C11395" t="str">
        <f t="shared" ref="C11395:C11402" si="4180">T("SUITE 300")</f>
        <v>SUITE 300</v>
      </c>
      <c r="D11395" t="str">
        <f t="shared" ref="D11395:D11402" si="4181">T("NORFOLK")</f>
        <v>NORFOLK</v>
      </c>
      <c r="E11395" t="str">
        <f t="shared" ref="E11395:E11412" si="4182">T("VA")</f>
        <v>VA</v>
      </c>
      <c r="F11395" t="str">
        <f t="shared" ref="F11395:F11402" si="4183">T("235512421")</f>
        <v>235512421</v>
      </c>
      <c r="G11395" t="str">
        <f>T("1279 FRANKLIN ST")</f>
        <v>1279 FRANKLIN ST</v>
      </c>
      <c r="H11395" t="str">
        <f>T("")</f>
        <v/>
      </c>
      <c r="I11395" t="str">
        <f t="shared" ref="I11395:I11402" si="4184">T("NORFOLK")</f>
        <v>NORFOLK</v>
      </c>
      <c r="J11395" t="str">
        <f t="shared" ref="J11395:J11412" si="4185">T("VA")</f>
        <v>VA</v>
      </c>
      <c r="K11395" t="str">
        <f>T("000000000000000000")</f>
        <v>000000000000000000</v>
      </c>
      <c r="L11395" t="str">
        <f>T("7578368026")</f>
        <v>7578368026</v>
      </c>
    </row>
    <row r="11396" spans="1:12" x14ac:dyDescent="0.35">
      <c r="A11396" t="str">
        <f t="shared" si="4178"/>
        <v>COMNAVAIRLANT</v>
      </c>
      <c r="B11396" t="str">
        <f t="shared" si="4179"/>
        <v>1562 MITSCHER AVENUE</v>
      </c>
      <c r="C11396" t="str">
        <f t="shared" si="4180"/>
        <v>SUITE 300</v>
      </c>
      <c r="D11396" t="str">
        <f t="shared" si="4181"/>
        <v>NORFOLK</v>
      </c>
      <c r="E11396" t="str">
        <f t="shared" si="4182"/>
        <v>VA</v>
      </c>
      <c r="F11396" t="str">
        <f t="shared" si="4183"/>
        <v>235512421</v>
      </c>
      <c r="G11396" t="str">
        <f>T("1562 MITSCHER AVENUE")</f>
        <v>1562 MITSCHER AVENUE</v>
      </c>
      <c r="H11396" t="str">
        <f>T("SUITE 300")</f>
        <v>SUITE 300</v>
      </c>
      <c r="I11396" t="str">
        <f t="shared" si="4184"/>
        <v>NORFOLK</v>
      </c>
      <c r="J11396" t="str">
        <f t="shared" si="4185"/>
        <v>VA</v>
      </c>
      <c r="K11396" t="str">
        <f>T("")</f>
        <v/>
      </c>
      <c r="L11396" t="str">
        <f>T("7578367740")</f>
        <v>7578367740</v>
      </c>
    </row>
    <row r="11397" spans="1:12" x14ac:dyDescent="0.35">
      <c r="A11397" t="str">
        <f t="shared" si="4178"/>
        <v>COMNAVAIRLANT</v>
      </c>
      <c r="B11397" t="str">
        <f t="shared" si="4179"/>
        <v>1562 MITSCHER AVENUE</v>
      </c>
      <c r="C11397" t="str">
        <f t="shared" si="4180"/>
        <v>SUITE 300</v>
      </c>
      <c r="D11397" t="str">
        <f t="shared" si="4181"/>
        <v>NORFOLK</v>
      </c>
      <c r="E11397" t="str">
        <f t="shared" si="4182"/>
        <v>VA</v>
      </c>
      <c r="F11397" t="str">
        <f t="shared" si="4183"/>
        <v>235512421</v>
      </c>
      <c r="G11397" t="str">
        <f>T("1562 MITSCHER AVENUE")</f>
        <v>1562 MITSCHER AVENUE</v>
      </c>
      <c r="H11397" t="str">
        <f>T("SUITE 300")</f>
        <v>SUITE 300</v>
      </c>
      <c r="I11397" t="str">
        <f t="shared" si="4184"/>
        <v>NORFOLK</v>
      </c>
      <c r="J11397" t="str">
        <f t="shared" si="4185"/>
        <v>VA</v>
      </c>
      <c r="K11397" t="str">
        <f>T("000000000000000000")</f>
        <v>000000000000000000</v>
      </c>
      <c r="L11397" t="str">
        <f>T("7578367644")</f>
        <v>7578367644</v>
      </c>
    </row>
    <row r="11398" spans="1:12" x14ac:dyDescent="0.35">
      <c r="A11398" t="str">
        <f t="shared" si="4178"/>
        <v>COMNAVAIRLANT</v>
      </c>
      <c r="B11398" t="str">
        <f t="shared" si="4179"/>
        <v>1562 MITSCHER AVENUE</v>
      </c>
      <c r="C11398" t="str">
        <f t="shared" si="4180"/>
        <v>SUITE 300</v>
      </c>
      <c r="D11398" t="str">
        <f t="shared" si="4181"/>
        <v>NORFOLK</v>
      </c>
      <c r="E11398" t="str">
        <f t="shared" si="4182"/>
        <v>VA</v>
      </c>
      <c r="F11398" t="str">
        <f t="shared" si="4183"/>
        <v>235512421</v>
      </c>
      <c r="G11398" t="str">
        <f>T("1562 MITSCHER AVENUE")</f>
        <v>1562 MITSCHER AVENUE</v>
      </c>
      <c r="H11398" t="str">
        <f>T("SUITE 300")</f>
        <v>SUITE 300</v>
      </c>
      <c r="I11398" t="str">
        <f t="shared" si="4184"/>
        <v>NORFOLK</v>
      </c>
      <c r="J11398" t="str">
        <f t="shared" si="4185"/>
        <v>VA</v>
      </c>
      <c r="K11398" t="str">
        <f>T("000000000000000000")</f>
        <v>000000000000000000</v>
      </c>
      <c r="L11398" t="str">
        <f>T("7578368888")</f>
        <v>7578368888</v>
      </c>
    </row>
    <row r="11399" spans="1:12" x14ac:dyDescent="0.35">
      <c r="A11399" t="str">
        <f t="shared" si="4178"/>
        <v>COMNAVAIRLANT</v>
      </c>
      <c r="B11399" t="str">
        <f t="shared" si="4179"/>
        <v>1562 MITSCHER AVENUE</v>
      </c>
      <c r="C11399" t="str">
        <f t="shared" si="4180"/>
        <v>SUITE 300</v>
      </c>
      <c r="D11399" t="str">
        <f t="shared" si="4181"/>
        <v>NORFOLK</v>
      </c>
      <c r="E11399" t="str">
        <f t="shared" si="4182"/>
        <v>VA</v>
      </c>
      <c r="F11399" t="str">
        <f t="shared" si="4183"/>
        <v>235512421</v>
      </c>
      <c r="G11399" t="str">
        <f>T("COMMANDER NAVAL AIR FORCE ATLANTIC")</f>
        <v>COMMANDER NAVAL AIR FORCE ATLANTIC</v>
      </c>
      <c r="H11399" t="str">
        <f>T("1562 MITSCHER AVE STE 300")</f>
        <v>1562 MITSCHER AVE STE 300</v>
      </c>
      <c r="I11399" t="str">
        <f t="shared" si="4184"/>
        <v>NORFOLK</v>
      </c>
      <c r="J11399" t="str">
        <f t="shared" si="4185"/>
        <v>VA</v>
      </c>
      <c r="K11399" t="str">
        <f>T("000000000000000000")</f>
        <v>000000000000000000</v>
      </c>
      <c r="L11399" t="str">
        <f>T("7574455967")</f>
        <v>7574455967</v>
      </c>
    </row>
    <row r="11400" spans="1:12" x14ac:dyDescent="0.35">
      <c r="A11400" t="str">
        <f t="shared" si="4178"/>
        <v>COMNAVAIRLANT</v>
      </c>
      <c r="B11400" t="str">
        <f t="shared" si="4179"/>
        <v>1562 MITSCHER AVENUE</v>
      </c>
      <c r="C11400" t="str">
        <f t="shared" si="4180"/>
        <v>SUITE 300</v>
      </c>
      <c r="D11400" t="str">
        <f t="shared" si="4181"/>
        <v>NORFOLK</v>
      </c>
      <c r="E11400" t="str">
        <f t="shared" si="4182"/>
        <v>VA</v>
      </c>
      <c r="F11400" t="str">
        <f t="shared" si="4183"/>
        <v>235512421</v>
      </c>
      <c r="G11400" t="str">
        <f>T("COMMANDER NAVAL AIR FORCE ATLANTIC")</f>
        <v>COMMANDER NAVAL AIR FORCE ATLANTIC</v>
      </c>
      <c r="H11400" t="str">
        <f>T("1562 MITSCHER AVE STE 300")</f>
        <v>1562 MITSCHER AVE STE 300</v>
      </c>
      <c r="I11400" t="str">
        <f t="shared" si="4184"/>
        <v>NORFOLK</v>
      </c>
      <c r="J11400" t="str">
        <f t="shared" si="4185"/>
        <v>VA</v>
      </c>
      <c r="K11400" t="str">
        <f>T("000000000000000000")</f>
        <v>000000000000000000</v>
      </c>
      <c r="L11400" t="str">
        <f>T("7578366810")</f>
        <v>7578366810</v>
      </c>
    </row>
    <row r="11401" spans="1:12" x14ac:dyDescent="0.35">
      <c r="A11401" t="str">
        <f t="shared" si="4178"/>
        <v>COMNAVAIRLANT</v>
      </c>
      <c r="B11401" t="str">
        <f t="shared" si="4179"/>
        <v>1562 MITSCHER AVENUE</v>
      </c>
      <c r="C11401" t="str">
        <f t="shared" si="4180"/>
        <v>SUITE 300</v>
      </c>
      <c r="D11401" t="str">
        <f t="shared" si="4181"/>
        <v>NORFOLK</v>
      </c>
      <c r="E11401" t="str">
        <f t="shared" si="4182"/>
        <v>VA</v>
      </c>
      <c r="F11401" t="str">
        <f t="shared" si="4183"/>
        <v>235512421</v>
      </c>
      <c r="G11401" t="str">
        <f>T("COMMANDER NAVAL AIR FORCE ATLANTIC")</f>
        <v>COMMANDER NAVAL AIR FORCE ATLANTIC</v>
      </c>
      <c r="H11401" t="str">
        <f>T("1562 MITSCHER AVE STE 300")</f>
        <v>1562 MITSCHER AVE STE 300</v>
      </c>
      <c r="I11401" t="str">
        <f t="shared" si="4184"/>
        <v>NORFOLK</v>
      </c>
      <c r="J11401" t="str">
        <f t="shared" si="4185"/>
        <v>VA</v>
      </c>
      <c r="K11401" t="str">
        <f>T("7578367605")</f>
        <v>7578367605</v>
      </c>
      <c r="L11401" t="str">
        <f>T("7578367715")</f>
        <v>7578367715</v>
      </c>
    </row>
    <row r="11402" spans="1:12" x14ac:dyDescent="0.35">
      <c r="A11402" t="str">
        <f t="shared" si="4178"/>
        <v>COMNAVAIRLANT</v>
      </c>
      <c r="B11402" t="str">
        <f t="shared" si="4179"/>
        <v>1562 MITSCHER AVENUE</v>
      </c>
      <c r="C11402" t="str">
        <f t="shared" si="4180"/>
        <v>SUITE 300</v>
      </c>
      <c r="D11402" t="str">
        <f t="shared" si="4181"/>
        <v>NORFOLK</v>
      </c>
      <c r="E11402" t="str">
        <f t="shared" si="4182"/>
        <v>VA</v>
      </c>
      <c r="F11402" t="str">
        <f t="shared" si="4183"/>
        <v>235512421</v>
      </c>
      <c r="G11402" t="str">
        <f>T("FORCE SUPPLY / N41")</f>
        <v>FORCE SUPPLY / N41</v>
      </c>
      <c r="H11402" t="str">
        <f>T("1562 MITSCHER AVE STE 300")</f>
        <v>1562 MITSCHER AVE STE 300</v>
      </c>
      <c r="I11402" t="str">
        <f t="shared" si="4184"/>
        <v>NORFOLK</v>
      </c>
      <c r="J11402" t="str">
        <f t="shared" si="4185"/>
        <v>VA</v>
      </c>
      <c r="K11402" t="str">
        <f>T("000000000000000000")</f>
        <v>000000000000000000</v>
      </c>
      <c r="L11402" t="str">
        <f>T("7578368019")</f>
        <v>7578368019</v>
      </c>
    </row>
    <row r="11403" spans="1:12" x14ac:dyDescent="0.35">
      <c r="A11403" t="str">
        <f>T("SFWSLANT")</f>
        <v>SFWSLANT</v>
      </c>
      <c r="B11403" t="str">
        <f>T("783 D AVE")</f>
        <v>783 D AVE</v>
      </c>
      <c r="C11403" t="str">
        <f>T("")</f>
        <v/>
      </c>
      <c r="D11403" t="str">
        <f>T("VIRGINIA BEACH")</f>
        <v>VIRGINIA BEACH</v>
      </c>
      <c r="E11403" t="str">
        <f t="shared" si="4182"/>
        <v>VA</v>
      </c>
      <c r="F11403" t="str">
        <f>T("234602137")</f>
        <v>234602137</v>
      </c>
      <c r="G11403" t="str">
        <f>T("783 D AVE")</f>
        <v>783 D AVE</v>
      </c>
      <c r="H11403" t="str">
        <f>T("")</f>
        <v/>
      </c>
      <c r="I11403" t="str">
        <f>T("VIRGINIA BEACH")</f>
        <v>VIRGINIA BEACH</v>
      </c>
      <c r="J11403" t="str">
        <f t="shared" si="4185"/>
        <v>VA</v>
      </c>
      <c r="K11403" t="str">
        <f>T("7574339175")</f>
        <v>7574339175</v>
      </c>
      <c r="L11403" t="str">
        <f>T("7574332468")</f>
        <v>7574332468</v>
      </c>
    </row>
    <row r="11404" spans="1:12" x14ac:dyDescent="0.35">
      <c r="A11404" t="str">
        <f>T("SFWSLANT")</f>
        <v>SFWSLANT</v>
      </c>
      <c r="B11404" t="str">
        <f>T("783 D AVE")</f>
        <v>783 D AVE</v>
      </c>
      <c r="C11404" t="str">
        <f>T("")</f>
        <v/>
      </c>
      <c r="D11404" t="str">
        <f>T("VIRGINIA BEACH")</f>
        <v>VIRGINIA BEACH</v>
      </c>
      <c r="E11404" t="str">
        <f t="shared" si="4182"/>
        <v>VA</v>
      </c>
      <c r="F11404" t="str">
        <f>T("234602137")</f>
        <v>234602137</v>
      </c>
      <c r="G11404" t="str">
        <f>T("783 D AVE")</f>
        <v>783 D AVE</v>
      </c>
      <c r="H11404" t="str">
        <f>T("STE 100")</f>
        <v>STE 100</v>
      </c>
      <c r="I11404" t="str">
        <f>T("VIRGINIA BEACH")</f>
        <v>VIRGINIA BEACH</v>
      </c>
      <c r="J11404" t="str">
        <f t="shared" si="4185"/>
        <v>VA</v>
      </c>
      <c r="K11404" t="str">
        <f>T("7574339175")</f>
        <v>7574339175</v>
      </c>
      <c r="L11404" t="str">
        <f>T("7574339171")</f>
        <v>7574339171</v>
      </c>
    </row>
    <row r="11405" spans="1:12" x14ac:dyDescent="0.35">
      <c r="A11405" t="str">
        <f>T("HSC WEPS SCHOOL")</f>
        <v>HSC WEPS SCHOOL</v>
      </c>
      <c r="B11405" t="str">
        <f>T("421 A STREET")</f>
        <v>421 A STREET</v>
      </c>
      <c r="C11405" t="str">
        <f>T("SUITE 211")</f>
        <v>SUITE 211</v>
      </c>
      <c r="D11405" t="str">
        <f>T("NORFOLK")</f>
        <v>NORFOLK</v>
      </c>
      <c r="E11405" t="str">
        <f t="shared" si="4182"/>
        <v>VA</v>
      </c>
      <c r="F11405" t="str">
        <f>T("235114203")</f>
        <v>235114203</v>
      </c>
      <c r="G11405" t="str">
        <f>T("421 A ST")</f>
        <v>421 A ST</v>
      </c>
      <c r="H11405" t="str">
        <f>T("STE 211")</f>
        <v>STE 211</v>
      </c>
      <c r="I11405" t="str">
        <f>T("NORFOLK")</f>
        <v>NORFOLK</v>
      </c>
      <c r="J11405" t="str">
        <f t="shared" si="4185"/>
        <v>VA</v>
      </c>
      <c r="K11405" t="str">
        <f>T("7573221062")</f>
        <v>7573221062</v>
      </c>
      <c r="L11405" t="str">
        <f>T("7574444287")</f>
        <v>7574444287</v>
      </c>
    </row>
    <row r="11406" spans="1:12" x14ac:dyDescent="0.35">
      <c r="A11406" t="str">
        <f>T("HSC WEPS SCHOOL")</f>
        <v>HSC WEPS SCHOOL</v>
      </c>
      <c r="B11406" t="str">
        <f>T("421 A STREET")</f>
        <v>421 A STREET</v>
      </c>
      <c r="C11406" t="str">
        <f>T("SUITE 211")</f>
        <v>SUITE 211</v>
      </c>
      <c r="D11406" t="str">
        <f>T("NORFOLK")</f>
        <v>NORFOLK</v>
      </c>
      <c r="E11406" t="str">
        <f t="shared" si="4182"/>
        <v>VA</v>
      </c>
      <c r="F11406" t="str">
        <f>T("235114203")</f>
        <v>235114203</v>
      </c>
      <c r="G11406" t="str">
        <f>T("421 A STREET")</f>
        <v>421 A STREET</v>
      </c>
      <c r="H11406" t="str">
        <f>T("SUITE 211")</f>
        <v>SUITE 211</v>
      </c>
      <c r="I11406" t="str">
        <f>T("NORFOLK")</f>
        <v>NORFOLK</v>
      </c>
      <c r="J11406" t="str">
        <f t="shared" si="4185"/>
        <v>VA</v>
      </c>
      <c r="K11406" t="str">
        <f>T("757-322-1062")</f>
        <v>757-322-1062</v>
      </c>
      <c r="L11406" t="str">
        <f>T("7574452497")</f>
        <v>7574452497</v>
      </c>
    </row>
    <row r="11407" spans="1:12" x14ac:dyDescent="0.35">
      <c r="A11407" t="str">
        <f>T("HMX-1")</f>
        <v>HMX-1</v>
      </c>
      <c r="B11407" t="str">
        <f>T("2134 ROWELL ROAD")</f>
        <v>2134 ROWELL ROAD</v>
      </c>
      <c r="C11407" t="str">
        <f>T("AVIATION SUPPLY BLDG 2121")</f>
        <v>AVIATION SUPPLY BLDG 2121</v>
      </c>
      <c r="D11407" t="str">
        <f>T("QUANTICO")</f>
        <v>QUANTICO</v>
      </c>
      <c r="E11407" t="str">
        <f t="shared" si="4182"/>
        <v>VA</v>
      </c>
      <c r="F11407" t="str">
        <f>T("221345191")</f>
        <v>221345191</v>
      </c>
      <c r="G11407" t="str">
        <f>T("2121 ROWELL RD")</f>
        <v>2121 ROWELL RD</v>
      </c>
      <c r="H11407" t="str">
        <f>T("")</f>
        <v/>
      </c>
      <c r="I11407" t="str">
        <f>T("QUANTICO")</f>
        <v>QUANTICO</v>
      </c>
      <c r="J11407" t="str">
        <f t="shared" si="4185"/>
        <v>VA</v>
      </c>
      <c r="K11407" t="str">
        <f>T("5714944572")</f>
        <v>5714944572</v>
      </c>
      <c r="L11407" t="str">
        <f>T("5714944769")</f>
        <v>5714944769</v>
      </c>
    </row>
    <row r="11408" spans="1:12" x14ac:dyDescent="0.35">
      <c r="A11408" t="str">
        <f>T("HMX-1")</f>
        <v>HMX-1</v>
      </c>
      <c r="B11408" t="str">
        <f>T("2134 ROWELL ROAD")</f>
        <v>2134 ROWELL ROAD</v>
      </c>
      <c r="C11408" t="str">
        <f>T("AVIATION SUPPLY BLDG 2121")</f>
        <v>AVIATION SUPPLY BLDG 2121</v>
      </c>
      <c r="D11408" t="str">
        <f>T("QUANTICO")</f>
        <v>QUANTICO</v>
      </c>
      <c r="E11408" t="str">
        <f t="shared" si="4182"/>
        <v>VA</v>
      </c>
      <c r="F11408" t="str">
        <f>T("221345191")</f>
        <v>221345191</v>
      </c>
      <c r="G11408" t="str">
        <f>T("2121 ROWELL RD")</f>
        <v>2121 ROWELL RD</v>
      </c>
      <c r="H11408" t="str">
        <f>T("")</f>
        <v/>
      </c>
      <c r="I11408" t="str">
        <f>T("QUANTICO")</f>
        <v>QUANTICO</v>
      </c>
      <c r="J11408" t="str">
        <f t="shared" si="4185"/>
        <v>VA</v>
      </c>
      <c r="K11408" t="str">
        <f>T("5714944572")</f>
        <v>5714944572</v>
      </c>
      <c r="L11408" t="str">
        <f>T("5714944770")</f>
        <v>5714944770</v>
      </c>
    </row>
    <row r="11409" spans="1:12" x14ac:dyDescent="0.35">
      <c r="A11409" t="str">
        <f>T("HMX-1")</f>
        <v>HMX-1</v>
      </c>
      <c r="B11409" t="str">
        <f>T("2134 ROWELL ROAD")</f>
        <v>2134 ROWELL ROAD</v>
      </c>
      <c r="C11409" t="str">
        <f>T("AVIATION SUPPLY BLDG 2121")</f>
        <v>AVIATION SUPPLY BLDG 2121</v>
      </c>
      <c r="D11409" t="str">
        <f>T("QUANTICO")</f>
        <v>QUANTICO</v>
      </c>
      <c r="E11409" t="str">
        <f t="shared" si="4182"/>
        <v>VA</v>
      </c>
      <c r="F11409" t="str">
        <f>T("221345191")</f>
        <v>221345191</v>
      </c>
      <c r="G11409" t="str">
        <f>T("2134 ROWELL ROAD")</f>
        <v>2134 ROWELL ROAD</v>
      </c>
      <c r="H11409" t="str">
        <f>T("AVIATION SUPPLY BLDG 2121")</f>
        <v>AVIATION SUPPLY BLDG 2121</v>
      </c>
      <c r="I11409" t="str">
        <f>T("QUANTICO")</f>
        <v>QUANTICO</v>
      </c>
      <c r="J11409" t="str">
        <f t="shared" si="4185"/>
        <v>VA</v>
      </c>
      <c r="K11409" t="str">
        <f>T("5714944572")</f>
        <v>5714944572</v>
      </c>
      <c r="L11409" t="str">
        <f>T("5714944786")</f>
        <v>5714944786</v>
      </c>
    </row>
    <row r="11410" spans="1:12" x14ac:dyDescent="0.35">
      <c r="A11410" t="str">
        <f>T("VFA-15")</f>
        <v>VFA-15</v>
      </c>
      <c r="B11410" t="str">
        <f>T("879 HORNET DR SUITE 500")</f>
        <v>879 HORNET DR SUITE 500</v>
      </c>
      <c r="C11410" t="str">
        <f>T("HANGER 500")</f>
        <v>HANGER 500</v>
      </c>
      <c r="D11410" t="str">
        <f>T("VIRGINIA BCH")</f>
        <v>VIRGINIA BCH</v>
      </c>
      <c r="E11410" t="str">
        <f t="shared" si="4182"/>
        <v>VA</v>
      </c>
      <c r="F11410" t="str">
        <f>T("234602247")</f>
        <v>234602247</v>
      </c>
      <c r="G11410" t="str">
        <f>T("733 OPERATIONS DR")</f>
        <v>733 OPERATIONS DR</v>
      </c>
      <c r="H11410" t="str">
        <f>T("HANGAR 111")</f>
        <v>HANGAR 111</v>
      </c>
      <c r="I11410" t="str">
        <f>T("VIRGINIA BEACH")</f>
        <v>VIRGINIA BEACH</v>
      </c>
      <c r="J11410" t="str">
        <f t="shared" si="4185"/>
        <v>VA</v>
      </c>
      <c r="K11410" t="str">
        <f>T("7574339809")</f>
        <v>7574339809</v>
      </c>
      <c r="L11410" t="str">
        <f>T("7574339828")</f>
        <v>7574339828</v>
      </c>
    </row>
    <row r="11411" spans="1:12" x14ac:dyDescent="0.35">
      <c r="A11411" t="str">
        <f>T("VFA-15")</f>
        <v>VFA-15</v>
      </c>
      <c r="B11411" t="str">
        <f>T("879 HORNET DR SUITE 500")</f>
        <v>879 HORNET DR SUITE 500</v>
      </c>
      <c r="C11411" t="str">
        <f>T("HANGER 500")</f>
        <v>HANGER 500</v>
      </c>
      <c r="D11411" t="str">
        <f>T("VIRGINIA BCH")</f>
        <v>VIRGINIA BCH</v>
      </c>
      <c r="E11411" t="str">
        <f t="shared" si="4182"/>
        <v>VA</v>
      </c>
      <c r="F11411" t="str">
        <f>T("234602247")</f>
        <v>234602247</v>
      </c>
      <c r="G11411" t="str">
        <f>T("879 HORNET DR")</f>
        <v>879 HORNET DR</v>
      </c>
      <c r="H11411" t="str">
        <f>T("HANGAR 500")</f>
        <v>HANGAR 500</v>
      </c>
      <c r="I11411" t="str">
        <f>T("VIRGINIA BEACH")</f>
        <v>VIRGINIA BEACH</v>
      </c>
      <c r="J11411" t="str">
        <f t="shared" si="4185"/>
        <v>VA</v>
      </c>
      <c r="K11411" t="str">
        <f>T("7574335891")</f>
        <v>7574335891</v>
      </c>
      <c r="L11411" t="str">
        <f>T("7574335444")</f>
        <v>7574335444</v>
      </c>
    </row>
    <row r="11412" spans="1:12" x14ac:dyDescent="0.35">
      <c r="A11412" t="str">
        <f>T("VFA-15")</f>
        <v>VFA-15</v>
      </c>
      <c r="B11412" t="str">
        <f>T("879 HORNET DR SUITE 500")</f>
        <v>879 HORNET DR SUITE 500</v>
      </c>
      <c r="C11412" t="str">
        <f>T("HANGER 500")</f>
        <v>HANGER 500</v>
      </c>
      <c r="D11412" t="str">
        <f>T("VIRGINIA BCH")</f>
        <v>VIRGINIA BCH</v>
      </c>
      <c r="E11412" t="str">
        <f t="shared" si="4182"/>
        <v>VA</v>
      </c>
      <c r="F11412" t="str">
        <f>T("234602247")</f>
        <v>234602247</v>
      </c>
      <c r="G11412" t="str">
        <f>T("879 HORNET DR SUITE 500")</f>
        <v>879 HORNET DR SUITE 500</v>
      </c>
      <c r="H11412" t="str">
        <f>T("HANGER 500")</f>
        <v>HANGER 500</v>
      </c>
      <c r="I11412" t="str">
        <f>T("VIRGINIA BCH")</f>
        <v>VIRGINIA BCH</v>
      </c>
      <c r="J11412" t="str">
        <f t="shared" si="4185"/>
        <v>VA</v>
      </c>
      <c r="K11412" t="str">
        <f>T("7574339809")</f>
        <v>7574339809</v>
      </c>
      <c r="L11412" t="str">
        <f>T("7574339835")</f>
        <v>7574339835</v>
      </c>
    </row>
    <row r="11413" spans="1:12" x14ac:dyDescent="0.35">
      <c r="A11413" t="str">
        <f t="shared" ref="A11413:A11419" si="4186">T("VP-30")</f>
        <v>VP-30</v>
      </c>
      <c r="B11413" t="str">
        <f t="shared" ref="B11413:B11419" si="4187">T("BOX 24, HANGER 30, NAS JAX")</f>
        <v>BOX 24, HANGER 30, NAS JAX</v>
      </c>
      <c r="C11413" t="str">
        <f t="shared" ref="C11413:C11427" si="4188">T("")</f>
        <v/>
      </c>
      <c r="D11413" t="str">
        <f t="shared" ref="D11413:D11419" si="4189">T("JACKSONVILLE")</f>
        <v>JACKSONVILLE</v>
      </c>
      <c r="E11413" t="str">
        <f t="shared" ref="E11413:E11419" si="4190">T("FL")</f>
        <v>FL</v>
      </c>
      <c r="F11413" t="str">
        <f t="shared" ref="F11413:F11419" si="4191">T("320030000")</f>
        <v>320030000</v>
      </c>
      <c r="G11413" t="str">
        <f>T("BOX 24 HANGAR 30")</f>
        <v>BOX 24 HANGAR 30</v>
      </c>
      <c r="H11413" t="str">
        <f>T("NAS JACKSONVILLE")</f>
        <v>NAS JACKSONVILLE</v>
      </c>
      <c r="I11413" t="str">
        <f t="shared" ref="I11413:I11419" si="4192">T("JACKSONVILLE")</f>
        <v>JACKSONVILLE</v>
      </c>
      <c r="J11413" t="str">
        <f t="shared" ref="J11413:J11419" si="4193">T("FL")</f>
        <v>FL</v>
      </c>
      <c r="K11413" t="str">
        <f>T("000000000000000000")</f>
        <v>000000000000000000</v>
      </c>
      <c r="L11413" t="str">
        <f>T("9045428660")</f>
        <v>9045428660</v>
      </c>
    </row>
    <row r="11414" spans="1:12" x14ac:dyDescent="0.35">
      <c r="A11414" t="str">
        <f t="shared" si="4186"/>
        <v>VP-30</v>
      </c>
      <c r="B11414" t="str">
        <f t="shared" si="4187"/>
        <v>BOX 24, HANGER 30, NAS JAX</v>
      </c>
      <c r="C11414" t="str">
        <f t="shared" si="4188"/>
        <v/>
      </c>
      <c r="D11414" t="str">
        <f t="shared" si="4189"/>
        <v>JACKSONVILLE</v>
      </c>
      <c r="E11414" t="str">
        <f t="shared" si="4190"/>
        <v>FL</v>
      </c>
      <c r="F11414" t="str">
        <f t="shared" si="4191"/>
        <v>320030000</v>
      </c>
      <c r="G11414" t="str">
        <f>T("BOX 24, HANGER 30, NAS JAX")</f>
        <v>BOX 24, HANGER 30, NAS JAX</v>
      </c>
      <c r="H11414" t="str">
        <f>T("")</f>
        <v/>
      </c>
      <c r="I11414" t="str">
        <f t="shared" si="4192"/>
        <v>JACKSONVILLE</v>
      </c>
      <c r="J11414" t="str">
        <f t="shared" si="4193"/>
        <v>FL</v>
      </c>
      <c r="K11414" t="str">
        <f>T("9045422226")</f>
        <v>9045422226</v>
      </c>
      <c r="L11414" t="str">
        <f>T("9045428660")</f>
        <v>9045428660</v>
      </c>
    </row>
    <row r="11415" spans="1:12" x14ac:dyDescent="0.35">
      <c r="A11415" t="str">
        <f t="shared" si="4186"/>
        <v>VP-30</v>
      </c>
      <c r="B11415" t="str">
        <f t="shared" si="4187"/>
        <v>BOX 24, HANGER 30, NAS JAX</v>
      </c>
      <c r="C11415" t="str">
        <f t="shared" si="4188"/>
        <v/>
      </c>
      <c r="D11415" t="str">
        <f t="shared" si="4189"/>
        <v>JACKSONVILLE</v>
      </c>
      <c r="E11415" t="str">
        <f t="shared" si="4190"/>
        <v>FL</v>
      </c>
      <c r="F11415" t="str">
        <f t="shared" si="4191"/>
        <v>320030000</v>
      </c>
      <c r="G11415" t="str">
        <f>T("PATROL SQUADRON 30")</f>
        <v>PATROL SQUADRON 30</v>
      </c>
      <c r="H11415" t="str">
        <f>T("")</f>
        <v/>
      </c>
      <c r="I11415" t="str">
        <f t="shared" si="4192"/>
        <v>JACKSONVILLE</v>
      </c>
      <c r="J11415" t="str">
        <f t="shared" si="4193"/>
        <v>FL</v>
      </c>
      <c r="K11415" t="str">
        <f>T("9045422226")</f>
        <v>9045422226</v>
      </c>
      <c r="L11415" t="str">
        <f>T("9045428660")</f>
        <v>9045428660</v>
      </c>
    </row>
    <row r="11416" spans="1:12" x14ac:dyDescent="0.35">
      <c r="A11416" t="str">
        <f t="shared" si="4186"/>
        <v>VP-30</v>
      </c>
      <c r="B11416" t="str">
        <f t="shared" si="4187"/>
        <v>BOX 24, HANGER 30, NAS JAX</v>
      </c>
      <c r="C11416" t="str">
        <f t="shared" si="4188"/>
        <v/>
      </c>
      <c r="D11416" t="str">
        <f t="shared" si="4189"/>
        <v>JACKSONVILLE</v>
      </c>
      <c r="E11416" t="str">
        <f t="shared" si="4190"/>
        <v>FL</v>
      </c>
      <c r="F11416" t="str">
        <f t="shared" si="4191"/>
        <v>320030000</v>
      </c>
      <c r="G11416" t="str">
        <f>T("PATROL SQUADRON 30")</f>
        <v>PATROL SQUADRON 30</v>
      </c>
      <c r="H11416" t="str">
        <f>T("HANGER 30 BOX 24")</f>
        <v>HANGER 30 BOX 24</v>
      </c>
      <c r="I11416" t="str">
        <f t="shared" si="4192"/>
        <v>JACKSONVILLE</v>
      </c>
      <c r="J11416" t="str">
        <f t="shared" si="4193"/>
        <v>FL</v>
      </c>
      <c r="K11416" t="str">
        <f>T("9045422226")</f>
        <v>9045422226</v>
      </c>
      <c r="L11416" t="str">
        <f>T("9045424157")</f>
        <v>9045424157</v>
      </c>
    </row>
    <row r="11417" spans="1:12" x14ac:dyDescent="0.35">
      <c r="A11417" t="str">
        <f t="shared" si="4186"/>
        <v>VP-30</v>
      </c>
      <c r="B11417" t="str">
        <f t="shared" si="4187"/>
        <v>BOX 24, HANGER 30, NAS JAX</v>
      </c>
      <c r="C11417" t="str">
        <f t="shared" si="4188"/>
        <v/>
      </c>
      <c r="D11417" t="str">
        <f t="shared" si="4189"/>
        <v>JACKSONVILLE</v>
      </c>
      <c r="E11417" t="str">
        <f t="shared" si="4190"/>
        <v>FL</v>
      </c>
      <c r="F11417" t="str">
        <f t="shared" si="4191"/>
        <v>320030000</v>
      </c>
      <c r="G11417" t="str">
        <f>T("PATROL SQUADRON 30 HANGAR 30 BOX 24")</f>
        <v>PATROL SQUADRON 30 HANGAR 30 BOX 24</v>
      </c>
      <c r="H11417" t="str">
        <f>T("")</f>
        <v/>
      </c>
      <c r="I11417" t="str">
        <f t="shared" si="4192"/>
        <v>JACKSONVILLE</v>
      </c>
      <c r="J11417" t="str">
        <f t="shared" si="4193"/>
        <v>FL</v>
      </c>
      <c r="K11417" t="str">
        <f>T("9045422226")</f>
        <v>9045422226</v>
      </c>
      <c r="L11417" t="str">
        <f>T("9045424157")</f>
        <v>9045424157</v>
      </c>
    </row>
    <row r="11418" spans="1:12" x14ac:dyDescent="0.35">
      <c r="A11418" t="str">
        <f t="shared" si="4186"/>
        <v>VP-30</v>
      </c>
      <c r="B11418" t="str">
        <f t="shared" si="4187"/>
        <v>BOX 24, HANGER 30, NAS JAX</v>
      </c>
      <c r="C11418" t="str">
        <f t="shared" si="4188"/>
        <v/>
      </c>
      <c r="D11418" t="str">
        <f t="shared" si="4189"/>
        <v>JACKSONVILLE</v>
      </c>
      <c r="E11418" t="str">
        <f t="shared" si="4190"/>
        <v>FL</v>
      </c>
      <c r="F11418" t="str">
        <f t="shared" si="4191"/>
        <v>320030000</v>
      </c>
      <c r="G11418" t="str">
        <f>T("PATROL SQUADRON 30 HANGER 30 BOX 24")</f>
        <v>PATROL SQUADRON 30 HANGER 30 BOX 24</v>
      </c>
      <c r="H11418" t="str">
        <f>T("")</f>
        <v/>
      </c>
      <c r="I11418" t="str">
        <f t="shared" si="4192"/>
        <v>JACKSONVILLE</v>
      </c>
      <c r="J11418" t="str">
        <f t="shared" si="4193"/>
        <v>FL</v>
      </c>
      <c r="K11418" t="str">
        <f>T("9045422226")</f>
        <v>9045422226</v>
      </c>
      <c r="L11418" t="str">
        <f>T("9045428660")</f>
        <v>9045428660</v>
      </c>
    </row>
    <row r="11419" spans="1:12" x14ac:dyDescent="0.35">
      <c r="A11419" t="str">
        <f t="shared" si="4186"/>
        <v>VP-30</v>
      </c>
      <c r="B11419" t="str">
        <f t="shared" si="4187"/>
        <v>BOX 24, HANGER 30, NAS JAX</v>
      </c>
      <c r="C11419" t="str">
        <f t="shared" si="4188"/>
        <v/>
      </c>
      <c r="D11419" t="str">
        <f t="shared" si="4189"/>
        <v>JACKSONVILLE</v>
      </c>
      <c r="E11419" t="str">
        <f t="shared" si="4190"/>
        <v>FL</v>
      </c>
      <c r="F11419" t="str">
        <f t="shared" si="4191"/>
        <v>320030000</v>
      </c>
      <c r="G11419" t="str">
        <f>T("PATROL SQUADRON 30 HANGER 30 BOX 24")</f>
        <v>PATROL SQUADRON 30 HANGER 30 BOX 24</v>
      </c>
      <c r="H11419" t="str">
        <f>T("")</f>
        <v/>
      </c>
      <c r="I11419" t="str">
        <f t="shared" si="4192"/>
        <v>JACKSONVILLE</v>
      </c>
      <c r="J11419" t="str">
        <f t="shared" si="4193"/>
        <v>FL</v>
      </c>
      <c r="K11419" t="str">
        <f>T("9047780681")</f>
        <v>9047780681</v>
      </c>
      <c r="L11419" t="str">
        <f>T("9047780587")</f>
        <v>9047780587</v>
      </c>
    </row>
    <row r="11420" spans="1:12" x14ac:dyDescent="0.35">
      <c r="A11420" t="str">
        <f>T("COMACCLOGWING")</f>
        <v>COMACCLOGWING</v>
      </c>
      <c r="B11420" t="str">
        <f>T("610 A STREET BLDG SP-65")</f>
        <v>610 A STREET BLDG SP-65</v>
      </c>
      <c r="C11420" t="str">
        <f t="shared" si="4188"/>
        <v/>
      </c>
      <c r="D11420" t="str">
        <f>T("NORFOLK")</f>
        <v>NORFOLK</v>
      </c>
      <c r="E11420" t="str">
        <f>T("VA")</f>
        <v>VA</v>
      </c>
      <c r="F11420" t="str">
        <f>T("235114027")</f>
        <v>235114027</v>
      </c>
      <c r="G11420" t="str">
        <f>T("610 A ST")</f>
        <v>610 A ST</v>
      </c>
      <c r="H11420" t="str">
        <f>T("")</f>
        <v/>
      </c>
      <c r="I11420" t="str">
        <f>T("NORFOLK")</f>
        <v>NORFOLK</v>
      </c>
      <c r="J11420" t="str">
        <f t="shared" ref="J11420:J11425" si="4194">T("VA")</f>
        <v>VA</v>
      </c>
      <c r="K11420" t="str">
        <f>T("000000000000000000")</f>
        <v>000000000000000000</v>
      </c>
      <c r="L11420" t="str">
        <f>T("7574442873")</f>
        <v>7574442873</v>
      </c>
    </row>
    <row r="11421" spans="1:12" x14ac:dyDescent="0.35">
      <c r="A11421" t="str">
        <f>T("COMACCLOGWING")</f>
        <v>COMACCLOGWING</v>
      </c>
      <c r="B11421" t="str">
        <f>T("610 A STREET BLDG SP-65")</f>
        <v>610 A STREET BLDG SP-65</v>
      </c>
      <c r="C11421" t="str">
        <f t="shared" si="4188"/>
        <v/>
      </c>
      <c r="D11421" t="str">
        <f>T("NORFOLK")</f>
        <v>NORFOLK</v>
      </c>
      <c r="E11421" t="str">
        <f>T("VA")</f>
        <v>VA</v>
      </c>
      <c r="F11421" t="str">
        <f>T("235114027")</f>
        <v>235114027</v>
      </c>
      <c r="G11421" t="str">
        <f>T("610 A ST")</f>
        <v>610 A ST</v>
      </c>
      <c r="H11421" t="str">
        <f>T("")</f>
        <v/>
      </c>
      <c r="I11421" t="str">
        <f>T("NORFOLK")</f>
        <v>NORFOLK</v>
      </c>
      <c r="J11421" t="str">
        <f t="shared" si="4194"/>
        <v>VA</v>
      </c>
      <c r="K11421" t="str">
        <f>T("7574449266")</f>
        <v>7574449266</v>
      </c>
      <c r="L11421" t="str">
        <f>T("7574442654")</f>
        <v>7574442654</v>
      </c>
    </row>
    <row r="11422" spans="1:12" x14ac:dyDescent="0.35">
      <c r="A11422" t="str">
        <f>T("COMACCLOGWING")</f>
        <v>COMACCLOGWING</v>
      </c>
      <c r="B11422" t="str">
        <f>T("610 A STREET BLDG SP-65")</f>
        <v>610 A STREET BLDG SP-65</v>
      </c>
      <c r="C11422" t="str">
        <f t="shared" si="4188"/>
        <v/>
      </c>
      <c r="D11422" t="str">
        <f>T("NORFOLK")</f>
        <v>NORFOLK</v>
      </c>
      <c r="E11422" t="str">
        <f>T("VA")</f>
        <v>VA</v>
      </c>
      <c r="F11422" t="str">
        <f>T("235114027")</f>
        <v>235114027</v>
      </c>
      <c r="G11422" t="str">
        <f>T("610 A STREET")</f>
        <v>610 A STREET</v>
      </c>
      <c r="H11422" t="str">
        <f>T("SP65")</f>
        <v>SP65</v>
      </c>
      <c r="I11422" t="str">
        <f>T("NORFOLK")</f>
        <v>NORFOLK</v>
      </c>
      <c r="J11422" t="str">
        <f t="shared" si="4194"/>
        <v>VA</v>
      </c>
      <c r="K11422" t="str">
        <f>T("8059897639")</f>
        <v>8059897639</v>
      </c>
      <c r="L11422" t="str">
        <f>T("8054442653")</f>
        <v>8054442653</v>
      </c>
    </row>
    <row r="11423" spans="1:12" x14ac:dyDescent="0.35">
      <c r="A11423" t="str">
        <f>T("COMACCLOGWING")</f>
        <v>COMACCLOGWING</v>
      </c>
      <c r="B11423" t="str">
        <f>T("610 A STREET BLDG SP-65")</f>
        <v>610 A STREET BLDG SP-65</v>
      </c>
      <c r="C11423" t="str">
        <f t="shared" si="4188"/>
        <v/>
      </c>
      <c r="D11423" t="str">
        <f>T("NORFOLK")</f>
        <v>NORFOLK</v>
      </c>
      <c r="E11423" t="str">
        <f>T("VA")</f>
        <v>VA</v>
      </c>
      <c r="F11423" t="str">
        <f>T("235114027")</f>
        <v>235114027</v>
      </c>
      <c r="G11423" t="str">
        <f>T("610 A STREET BLDG SP-65")</f>
        <v>610 A STREET BLDG SP-65</v>
      </c>
      <c r="H11423" t="str">
        <f>T("")</f>
        <v/>
      </c>
      <c r="I11423" t="str">
        <f>T("NORFOLK")</f>
        <v>NORFOLK</v>
      </c>
      <c r="J11423" t="str">
        <f t="shared" si="4194"/>
        <v>VA</v>
      </c>
      <c r="K11423" t="str">
        <f>T("7574459266")</f>
        <v>7574459266</v>
      </c>
      <c r="L11423" t="str">
        <f>T("7574442655")</f>
        <v>7574442655</v>
      </c>
    </row>
    <row r="11424" spans="1:12" x14ac:dyDescent="0.35">
      <c r="A11424" t="str">
        <f>T("VFA-32")</f>
        <v>VFA-32</v>
      </c>
      <c r="B11424" t="str">
        <f>T("VFA 32 UNIT 60121")</f>
        <v>VFA 32 UNIT 60121</v>
      </c>
      <c r="C11424" t="str">
        <f t="shared" si="4188"/>
        <v/>
      </c>
      <c r="D11424" t="str">
        <f>T("FPO")</f>
        <v>FPO</v>
      </c>
      <c r="E11424" t="str">
        <f>T("AE")</f>
        <v>AE</v>
      </c>
      <c r="F11424" t="str">
        <f>T("095046107")</f>
        <v>095046107</v>
      </c>
      <c r="G11424" t="str">
        <f>T("804 B AVE")</f>
        <v>804 B AVE</v>
      </c>
      <c r="H11424" t="str">
        <f>T("STE 200")</f>
        <v>STE 200</v>
      </c>
      <c r="I11424" t="str">
        <f>T("VIRGINIA BEACH")</f>
        <v>VIRGINIA BEACH</v>
      </c>
      <c r="J11424" t="str">
        <f t="shared" si="4194"/>
        <v>VA</v>
      </c>
      <c r="K11424" t="str">
        <f>T("000000000000000000")</f>
        <v>000000000000000000</v>
      </c>
      <c r="L11424" t="str">
        <f>T("7574334011")</f>
        <v>7574334011</v>
      </c>
    </row>
    <row r="11425" spans="1:12" x14ac:dyDescent="0.35">
      <c r="A11425" t="str">
        <f>T("VFA-32")</f>
        <v>VFA-32</v>
      </c>
      <c r="B11425" t="str">
        <f>T("VFA 32 UNIT 60121")</f>
        <v>VFA 32 UNIT 60121</v>
      </c>
      <c r="C11425" t="str">
        <f t="shared" si="4188"/>
        <v/>
      </c>
      <c r="D11425" t="str">
        <f>T("FPO")</f>
        <v>FPO</v>
      </c>
      <c r="E11425" t="str">
        <f>T("AE")</f>
        <v>AE</v>
      </c>
      <c r="F11425" t="str">
        <f>T("095046107")</f>
        <v>095046107</v>
      </c>
      <c r="G11425" t="str">
        <f>T("804 B AVE STE 200")</f>
        <v>804 B AVE STE 200</v>
      </c>
      <c r="H11425" t="str">
        <f>T("")</f>
        <v/>
      </c>
      <c r="I11425" t="str">
        <f>T("VIRGINIA BEACH")</f>
        <v>VIRGINIA BEACH</v>
      </c>
      <c r="J11425" t="str">
        <f t="shared" si="4194"/>
        <v>VA</v>
      </c>
      <c r="K11425" t="str">
        <f>T("000000000000000000")</f>
        <v>000000000000000000</v>
      </c>
      <c r="L11425" t="str">
        <f>T("7574334011")</f>
        <v>7574334011</v>
      </c>
    </row>
    <row r="11426" spans="1:12" x14ac:dyDescent="0.35">
      <c r="A11426" t="str">
        <f>T("VFA-32")</f>
        <v>VFA-32</v>
      </c>
      <c r="B11426" t="str">
        <f>T("VFA 32 UNIT 60121")</f>
        <v>VFA 32 UNIT 60121</v>
      </c>
      <c r="C11426" t="str">
        <f t="shared" si="4188"/>
        <v/>
      </c>
      <c r="D11426" t="str">
        <f>T("FPO")</f>
        <v>FPO</v>
      </c>
      <c r="E11426" t="str">
        <f>T("AE")</f>
        <v>AE</v>
      </c>
      <c r="F11426" t="str">
        <f>T("095046107")</f>
        <v>095046107</v>
      </c>
      <c r="G11426" t="str">
        <f>T("VFA 32 UNIT 60121")</f>
        <v>VFA 32 UNIT 60121</v>
      </c>
      <c r="H11426" t="str">
        <f>T("")</f>
        <v/>
      </c>
      <c r="I11426" t="str">
        <f>T("FPO")</f>
        <v>FPO</v>
      </c>
      <c r="J11426" t="str">
        <f>T("AE")</f>
        <v>AE</v>
      </c>
      <c r="K11426" t="str">
        <f>T("")</f>
        <v/>
      </c>
      <c r="L11426" t="str">
        <f>T("7574334021")</f>
        <v>7574334021</v>
      </c>
    </row>
    <row r="11427" spans="1:12" x14ac:dyDescent="0.35">
      <c r="A11427" t="str">
        <f>T("VFA-32")</f>
        <v>VFA-32</v>
      </c>
      <c r="B11427" t="str">
        <f>T("VFA 32 UNIT 60121")</f>
        <v>VFA 32 UNIT 60121</v>
      </c>
      <c r="C11427" t="str">
        <f t="shared" si="4188"/>
        <v/>
      </c>
      <c r="D11427" t="str">
        <f>T("FPO")</f>
        <v>FPO</v>
      </c>
      <c r="E11427" t="str">
        <f>T("AE")</f>
        <v>AE</v>
      </c>
      <c r="F11427" t="str">
        <f>T("095046107")</f>
        <v>095046107</v>
      </c>
      <c r="G11427" t="str">
        <f>T("VFA-32 UNIT 60121")</f>
        <v>VFA-32 UNIT 60121</v>
      </c>
      <c r="H11427" t="str">
        <f>T("")</f>
        <v/>
      </c>
      <c r="I11427" t="str">
        <f>T("FPO")</f>
        <v>FPO</v>
      </c>
      <c r="J11427" t="str">
        <f>T("AE")</f>
        <v>AE</v>
      </c>
      <c r="K11427" t="str">
        <f>T("000000000000000000")</f>
        <v>000000000000000000</v>
      </c>
      <c r="L11427" t="str">
        <f>T("7574334011")</f>
        <v>7574334011</v>
      </c>
    </row>
    <row r="11428" spans="1:12" x14ac:dyDescent="0.35">
      <c r="A11428" t="str">
        <f>T("VFA-34")</f>
        <v>VFA-34</v>
      </c>
      <c r="B11428" t="str">
        <f>T("STRIKE FIGHTER SQUADRON 34")</f>
        <v>STRIKE FIGHTER SQUADRON 34</v>
      </c>
      <c r="C11428" t="str">
        <f>T("733 OPERATIONS DR STE 100")</f>
        <v>733 OPERATIONS DR STE 100</v>
      </c>
      <c r="D11428" t="str">
        <f>T("VIRGINIA BCH")</f>
        <v>VIRGINIA BCH</v>
      </c>
      <c r="E11428" t="str">
        <f t="shared" ref="E11428:E11440" si="4195">T("VA")</f>
        <v>VA</v>
      </c>
      <c r="F11428" t="str">
        <f>T("234602237")</f>
        <v>234602237</v>
      </c>
      <c r="G11428" t="str">
        <f>T("733 OPERATIONS DR STE 100")</f>
        <v>733 OPERATIONS DR STE 100</v>
      </c>
      <c r="H11428" t="str">
        <f>T("")</f>
        <v/>
      </c>
      <c r="I11428" t="str">
        <f>T("VIRGINIA BEACH")</f>
        <v>VIRGINIA BEACH</v>
      </c>
      <c r="J11428" t="str">
        <f>T("VA")</f>
        <v>VA</v>
      </c>
      <c r="K11428" t="str">
        <f>T("000000000000000000")</f>
        <v>000000000000000000</v>
      </c>
      <c r="L11428" t="str">
        <f>T("7574339928")</f>
        <v>7574339928</v>
      </c>
    </row>
    <row r="11429" spans="1:12" x14ac:dyDescent="0.35">
      <c r="A11429" t="str">
        <f>T("VFA-34")</f>
        <v>VFA-34</v>
      </c>
      <c r="B11429" t="str">
        <f>T("STRIKE FIGHTER SQUADRON 34")</f>
        <v>STRIKE FIGHTER SQUADRON 34</v>
      </c>
      <c r="C11429" t="str">
        <f>T("733 OPERATIONS DR STE 100")</f>
        <v>733 OPERATIONS DR STE 100</v>
      </c>
      <c r="D11429" t="str">
        <f>T("VIRGINIA BCH")</f>
        <v>VIRGINIA BCH</v>
      </c>
      <c r="E11429" t="str">
        <f t="shared" si="4195"/>
        <v>VA</v>
      </c>
      <c r="F11429" t="str">
        <f>T("234602237")</f>
        <v>234602237</v>
      </c>
      <c r="G11429" t="str">
        <f>T("STRIKE FIGHTER SQUADRON 34")</f>
        <v>STRIKE FIGHTER SQUADRON 34</v>
      </c>
      <c r="H11429" t="str">
        <f>T("733 OPERATIONS DR STE 100")</f>
        <v>733 OPERATIONS DR STE 100</v>
      </c>
      <c r="I11429" t="str">
        <f>T("VIRGINIA BCH")</f>
        <v>VIRGINIA BCH</v>
      </c>
      <c r="J11429" t="str">
        <f>T("VA")</f>
        <v>VA</v>
      </c>
      <c r="K11429" t="str">
        <f>T("7574339424")</f>
        <v>7574339424</v>
      </c>
      <c r="L11429" t="str">
        <f>T("7574339928")</f>
        <v>7574339928</v>
      </c>
    </row>
    <row r="11430" spans="1:12" x14ac:dyDescent="0.35">
      <c r="A11430" t="str">
        <f>T("VFA-34")</f>
        <v>VFA-34</v>
      </c>
      <c r="B11430" t="str">
        <f>T("STRIKE FIGHTER SQUADRON 34")</f>
        <v>STRIKE FIGHTER SQUADRON 34</v>
      </c>
      <c r="C11430" t="str">
        <f>T("733 OPERATIONS DR STE 100")</f>
        <v>733 OPERATIONS DR STE 100</v>
      </c>
      <c r="D11430" t="str">
        <f>T("VIRGINIA BCH")</f>
        <v>VIRGINIA BCH</v>
      </c>
      <c r="E11430" t="str">
        <f t="shared" si="4195"/>
        <v>VA</v>
      </c>
      <c r="F11430" t="str">
        <f>T("234602237")</f>
        <v>234602237</v>
      </c>
      <c r="G11430" t="str">
        <f>T("VFA-34")</f>
        <v>VFA-34</v>
      </c>
      <c r="H11430" t="str">
        <f>T("733 OPERATIONS DR STE 100")</f>
        <v>733 OPERATIONS DR STE 100</v>
      </c>
      <c r="I11430" t="str">
        <f>T("VIRGINIA BEACH")</f>
        <v>VIRGINIA BEACH</v>
      </c>
      <c r="J11430" t="str">
        <f>T("VA")</f>
        <v>VA</v>
      </c>
      <c r="K11430" t="str">
        <f>T("000000000000000000")</f>
        <v>000000000000000000</v>
      </c>
      <c r="L11430" t="str">
        <f>T("7574339928")</f>
        <v>7574339928</v>
      </c>
    </row>
    <row r="11431" spans="1:12" x14ac:dyDescent="0.35">
      <c r="A11431" t="str">
        <f>T("VFA-211")</f>
        <v>VFA-211</v>
      </c>
      <c r="B11431" t="str">
        <f>T("UNIT VFA-211")</f>
        <v>UNIT VFA-211</v>
      </c>
      <c r="C11431" t="str">
        <f>T("HANGAR 500")</f>
        <v>HANGAR 500</v>
      </c>
      <c r="D11431" t="str">
        <f t="shared" ref="D11431:D11440" si="4196">T("VIRGINIA BEACH")</f>
        <v>VIRGINIA BEACH</v>
      </c>
      <c r="E11431" t="str">
        <f t="shared" si="4195"/>
        <v>VA</v>
      </c>
      <c r="F11431" t="str">
        <f>T("234600000")</f>
        <v>234600000</v>
      </c>
      <c r="G11431" t="str">
        <f>T("UNIT VFA-211")</f>
        <v>UNIT VFA-211</v>
      </c>
      <c r="H11431" t="str">
        <f>T("HANGAR 500")</f>
        <v>HANGAR 500</v>
      </c>
      <c r="I11431" t="str">
        <f>T("VIRGINIA BEACH")</f>
        <v>VIRGINIA BEACH</v>
      </c>
      <c r="J11431" t="str">
        <f>T("VA")</f>
        <v>VA</v>
      </c>
      <c r="K11431" t="str">
        <f>T("7574335872")</f>
        <v>7574335872</v>
      </c>
      <c r="L11431" t="str">
        <f>T("7574335444")</f>
        <v>7574335444</v>
      </c>
    </row>
    <row r="11432" spans="1:12" x14ac:dyDescent="0.35">
      <c r="A11432" t="str">
        <f>T("VFA-211")</f>
        <v>VFA-211</v>
      </c>
      <c r="B11432" t="str">
        <f>T("UNIT VFA-211")</f>
        <v>UNIT VFA-211</v>
      </c>
      <c r="C11432" t="str">
        <f>T("HANGAR 500")</f>
        <v>HANGAR 500</v>
      </c>
      <c r="D11432" t="str">
        <f t="shared" si="4196"/>
        <v>VIRGINIA BEACH</v>
      </c>
      <c r="E11432" t="str">
        <f t="shared" si="4195"/>
        <v>VA</v>
      </c>
      <c r="F11432" t="str">
        <f>T("234600000")</f>
        <v>234600000</v>
      </c>
      <c r="G11432" t="str">
        <f>T("VFA-211")</f>
        <v>VFA-211</v>
      </c>
      <c r="H11432" t="str">
        <f>T("UNIT 60555")</f>
        <v>UNIT 60555</v>
      </c>
      <c r="I11432" t="str">
        <f>T("FPO")</f>
        <v>FPO</v>
      </c>
      <c r="J11432" t="str">
        <f>T("AE")</f>
        <v>AE</v>
      </c>
      <c r="K11432" t="str">
        <f>T("7574335868")</f>
        <v>7574335868</v>
      </c>
      <c r="L11432" t="str">
        <f>T("7574335444")</f>
        <v>7574335444</v>
      </c>
    </row>
    <row r="11433" spans="1:12" x14ac:dyDescent="0.35">
      <c r="A11433" t="str">
        <f t="shared" ref="A11433:A11442" si="4197">T("CSFWL")</f>
        <v>CSFWL</v>
      </c>
      <c r="B11433" t="str">
        <f>T("1760 1ST STREET HANGAR 122")</f>
        <v>1760 1ST STREET HANGAR 122</v>
      </c>
      <c r="C11433" t="str">
        <f>T("NASO")</f>
        <v>NASO</v>
      </c>
      <c r="D11433" t="str">
        <f t="shared" si="4196"/>
        <v>VIRGINIA BEACH</v>
      </c>
      <c r="E11433" t="str">
        <f t="shared" si="4195"/>
        <v>VA</v>
      </c>
      <c r="F11433" t="str">
        <f>T("234602257")</f>
        <v>234602257</v>
      </c>
      <c r="G11433" t="str">
        <f>T("1760 1ST ST HANGER 122")</f>
        <v>1760 1ST ST HANGER 122</v>
      </c>
      <c r="H11433" t="str">
        <f>T("MATERIAL CONTROL")</f>
        <v>MATERIAL CONTROL</v>
      </c>
      <c r="I11433" t="str">
        <f t="shared" ref="I11433:I11440" si="4198">T("VIRGINIA BEACH")</f>
        <v>VIRGINIA BEACH</v>
      </c>
      <c r="J11433" t="str">
        <f t="shared" ref="J11433:J11440" si="4199">T("VA")</f>
        <v>VA</v>
      </c>
      <c r="K11433" t="str">
        <f>T("7574339417")</f>
        <v>7574339417</v>
      </c>
      <c r="L11433" t="str">
        <f>T("7574339151")</f>
        <v>7574339151</v>
      </c>
    </row>
    <row r="11434" spans="1:12" x14ac:dyDescent="0.35">
      <c r="A11434" t="str">
        <f t="shared" si="4197"/>
        <v>CSFWL</v>
      </c>
      <c r="B11434" t="str">
        <f>T("1760 1ST STREET HANGAR 122")</f>
        <v>1760 1ST STREET HANGAR 122</v>
      </c>
      <c r="C11434" t="str">
        <f>T("NASO")</f>
        <v>NASO</v>
      </c>
      <c r="D11434" t="str">
        <f t="shared" si="4196"/>
        <v>VIRGINIA BEACH</v>
      </c>
      <c r="E11434" t="str">
        <f t="shared" si="4195"/>
        <v>VA</v>
      </c>
      <c r="F11434" t="str">
        <f>T("234602257")</f>
        <v>234602257</v>
      </c>
      <c r="G11434" t="str">
        <f>T("1760 1ST ST HANGER 122")</f>
        <v>1760 1ST ST HANGER 122</v>
      </c>
      <c r="H11434" t="str">
        <f>T("NAS OCEANA")</f>
        <v>NAS OCEANA</v>
      </c>
      <c r="I11434" t="str">
        <f t="shared" si="4198"/>
        <v>VIRGINIA BEACH</v>
      </c>
      <c r="J11434" t="str">
        <f t="shared" si="4199"/>
        <v>VA</v>
      </c>
      <c r="K11434" t="str">
        <f>T("7574339417")</f>
        <v>7574339417</v>
      </c>
      <c r="L11434" t="str">
        <f>T("7574339151")</f>
        <v>7574339151</v>
      </c>
    </row>
    <row r="11435" spans="1:12" x14ac:dyDescent="0.35">
      <c r="A11435" t="str">
        <f t="shared" si="4197"/>
        <v>CSFWL</v>
      </c>
      <c r="B11435" t="str">
        <f>T("1760 1ST STREET HANGAR 122")</f>
        <v>1760 1ST STREET HANGAR 122</v>
      </c>
      <c r="C11435" t="str">
        <f>T("NASO")</f>
        <v>NASO</v>
      </c>
      <c r="D11435" t="str">
        <f t="shared" si="4196"/>
        <v>VIRGINIA BEACH</v>
      </c>
      <c r="E11435" t="str">
        <f t="shared" si="4195"/>
        <v>VA</v>
      </c>
      <c r="F11435" t="str">
        <f>T("234602257")</f>
        <v>234602257</v>
      </c>
      <c r="G11435" t="str">
        <f>T("1760 1ST ST HGR 122")</f>
        <v>1760 1ST ST HGR 122</v>
      </c>
      <c r="H11435" t="str">
        <f>T("NAS OCEANA")</f>
        <v>NAS OCEANA</v>
      </c>
      <c r="I11435" t="str">
        <f t="shared" si="4198"/>
        <v>VIRGINIA BEACH</v>
      </c>
      <c r="J11435" t="str">
        <f t="shared" si="4199"/>
        <v>VA</v>
      </c>
      <c r="K11435" t="str">
        <f>T("7574339417")</f>
        <v>7574339417</v>
      </c>
      <c r="L11435" t="str">
        <f>T("7574339151")</f>
        <v>7574339151</v>
      </c>
    </row>
    <row r="11436" spans="1:12" x14ac:dyDescent="0.35">
      <c r="A11436" t="str">
        <f t="shared" si="4197"/>
        <v>CSFWL</v>
      </c>
      <c r="B11436" t="str">
        <f>T("1760 1ST STREET HANGAR 122")</f>
        <v>1760 1ST STREET HANGAR 122</v>
      </c>
      <c r="C11436" t="str">
        <f>T("NASO")</f>
        <v>NASO</v>
      </c>
      <c r="D11436" t="str">
        <f t="shared" si="4196"/>
        <v>VIRGINIA BEACH</v>
      </c>
      <c r="E11436" t="str">
        <f t="shared" si="4195"/>
        <v>VA</v>
      </c>
      <c r="F11436" t="str">
        <f>T("234602257")</f>
        <v>234602257</v>
      </c>
      <c r="G11436" t="str">
        <f>T("1760 1ST STREET HANGAR 122")</f>
        <v>1760 1ST STREET HANGAR 122</v>
      </c>
      <c r="H11436" t="str">
        <f>T("NASO")</f>
        <v>NASO</v>
      </c>
      <c r="I11436" t="str">
        <f t="shared" si="4198"/>
        <v>VIRGINIA BEACH</v>
      </c>
      <c r="J11436" t="str">
        <f t="shared" si="4199"/>
        <v>VA</v>
      </c>
      <c r="K11436" t="str">
        <f>T("7574339417")</f>
        <v>7574339417</v>
      </c>
      <c r="L11436" t="str">
        <f>T("7574339413")</f>
        <v>7574339413</v>
      </c>
    </row>
    <row r="11437" spans="1:12" x14ac:dyDescent="0.35">
      <c r="A11437" t="str">
        <f t="shared" si="4197"/>
        <v>CSFWL</v>
      </c>
      <c r="B11437" t="str">
        <f>T("983 D AVENUE CODE 197")</f>
        <v>983 D AVENUE CODE 197</v>
      </c>
      <c r="C11437" t="str">
        <f>T("RSO OCEANA")</f>
        <v>RSO OCEANA</v>
      </c>
      <c r="D11437" t="str">
        <f t="shared" si="4196"/>
        <v>VIRGINIA BEACH</v>
      </c>
      <c r="E11437" t="str">
        <f t="shared" si="4195"/>
        <v>VA</v>
      </c>
      <c r="F11437" t="str">
        <f>T("234602143")</f>
        <v>234602143</v>
      </c>
      <c r="G11437" t="str">
        <f>T("983 D AVENUE CODE 197")</f>
        <v>983 D AVENUE CODE 197</v>
      </c>
      <c r="H11437" t="str">
        <f>T("RSO OCEANA")</f>
        <v>RSO OCEANA</v>
      </c>
      <c r="I11437" t="str">
        <f t="shared" si="4198"/>
        <v>VIRGINIA BEACH</v>
      </c>
      <c r="J11437" t="str">
        <f t="shared" si="4199"/>
        <v>VA</v>
      </c>
      <c r="K11437" t="str">
        <f>T("")</f>
        <v/>
      </c>
      <c r="L11437" t="str">
        <f>T("7574335118")</f>
        <v>7574335118</v>
      </c>
    </row>
    <row r="11438" spans="1:12" x14ac:dyDescent="0.35">
      <c r="A11438" t="str">
        <f t="shared" si="4197"/>
        <v>CSFWL</v>
      </c>
      <c r="B11438" t="str">
        <f>T("983 D AVENUE CODE 197")</f>
        <v>983 D AVENUE CODE 197</v>
      </c>
      <c r="C11438" t="str">
        <f>T("RSO OCEANA")</f>
        <v>RSO OCEANA</v>
      </c>
      <c r="D11438" t="str">
        <f t="shared" si="4196"/>
        <v>VIRGINIA BEACH</v>
      </c>
      <c r="E11438" t="str">
        <f t="shared" si="4195"/>
        <v>VA</v>
      </c>
      <c r="F11438" t="str">
        <f>T("234602143")</f>
        <v>234602143</v>
      </c>
      <c r="G11438" t="str">
        <f>T("REGIONAL SUPPLY OFFICE OCEANA")</f>
        <v>REGIONAL SUPPLY OFFICE OCEANA</v>
      </c>
      <c r="H11438" t="str">
        <f>T("983 D AVE CODE 197")</f>
        <v>983 D AVE CODE 197</v>
      </c>
      <c r="I11438" t="str">
        <f t="shared" si="4198"/>
        <v>VIRGINIA BEACH</v>
      </c>
      <c r="J11438" t="str">
        <f t="shared" si="4199"/>
        <v>VA</v>
      </c>
      <c r="K11438" t="str">
        <f>T("7574334604")</f>
        <v>7574334604</v>
      </c>
      <c r="L11438" t="str">
        <f>T("7574335118")</f>
        <v>7574335118</v>
      </c>
    </row>
    <row r="11439" spans="1:12" x14ac:dyDescent="0.35">
      <c r="A11439" t="str">
        <f t="shared" si="4197"/>
        <v>CSFWL</v>
      </c>
      <c r="B11439" t="str">
        <f>T("983 D AVENUE CODE 197")</f>
        <v>983 D AVENUE CODE 197</v>
      </c>
      <c r="C11439" t="str">
        <f>T("RSO OCEANA")</f>
        <v>RSO OCEANA</v>
      </c>
      <c r="D11439" t="str">
        <f t="shared" si="4196"/>
        <v>VIRGINIA BEACH</v>
      </c>
      <c r="E11439" t="str">
        <f t="shared" si="4195"/>
        <v>VA</v>
      </c>
      <c r="F11439" t="str">
        <f>T("234602143")</f>
        <v>234602143</v>
      </c>
      <c r="G11439" t="str">
        <f>T("REGIONAL SUPPLY OFFICE OCEANA")</f>
        <v>REGIONAL SUPPLY OFFICE OCEANA</v>
      </c>
      <c r="H11439" t="str">
        <f>T("983 D AVE CODE 197")</f>
        <v>983 D AVE CODE 197</v>
      </c>
      <c r="I11439" t="str">
        <f t="shared" si="4198"/>
        <v>VIRGINIA BEACH</v>
      </c>
      <c r="J11439" t="str">
        <f t="shared" si="4199"/>
        <v>VA</v>
      </c>
      <c r="K11439" t="str">
        <f>T("7574339417")</f>
        <v>7574339417</v>
      </c>
      <c r="L11439" t="str">
        <f>T("7574335118")</f>
        <v>7574335118</v>
      </c>
    </row>
    <row r="11440" spans="1:12" x14ac:dyDescent="0.35">
      <c r="A11440" t="str">
        <f t="shared" si="4197"/>
        <v>CSFWL</v>
      </c>
      <c r="B11440" t="str">
        <f>T("983 D AVENUE CODE 197")</f>
        <v>983 D AVENUE CODE 197</v>
      </c>
      <c r="C11440" t="str">
        <f>T("RSO OCEANA")</f>
        <v>RSO OCEANA</v>
      </c>
      <c r="D11440" t="str">
        <f t="shared" si="4196"/>
        <v>VIRGINIA BEACH</v>
      </c>
      <c r="E11440" t="str">
        <f t="shared" si="4195"/>
        <v>VA</v>
      </c>
      <c r="F11440" t="str">
        <f>T("234602143")</f>
        <v>234602143</v>
      </c>
      <c r="G11440" t="str">
        <f>T("REGIONAL SUPPLY OFFICE OCEANA")</f>
        <v>REGIONAL SUPPLY OFFICE OCEANA</v>
      </c>
      <c r="H11440" t="str">
        <f>T("983D AVE CODE 197")</f>
        <v>983D AVE CODE 197</v>
      </c>
      <c r="I11440" t="str">
        <f t="shared" si="4198"/>
        <v>VIRGINIA BEACH</v>
      </c>
      <c r="J11440" t="str">
        <f t="shared" si="4199"/>
        <v>VA</v>
      </c>
      <c r="K11440" t="str">
        <f>T("000000000000000000")</f>
        <v>000000000000000000</v>
      </c>
      <c r="L11440" t="str">
        <f>T("7574335118")</f>
        <v>7574335118</v>
      </c>
    </row>
    <row r="11441" spans="1:12" x14ac:dyDescent="0.35">
      <c r="A11441" t="str">
        <f t="shared" si="4197"/>
        <v>CSFWL</v>
      </c>
      <c r="B11441" t="str">
        <f>T("ASD KEY WEST")</f>
        <v>ASD KEY WEST</v>
      </c>
      <c r="C11441" t="str">
        <f>T("POB 9039 BLDG A980")</f>
        <v>POB 9039 BLDG A980</v>
      </c>
      <c r="D11441" t="str">
        <f>T("KEY WEST")</f>
        <v>KEY WEST</v>
      </c>
      <c r="E11441" t="str">
        <f>T("FL")</f>
        <v>FL</v>
      </c>
      <c r="F11441" t="str">
        <f>T("330409039")</f>
        <v>330409039</v>
      </c>
      <c r="G11441" t="str">
        <f>T("ASD KEY WEST")</f>
        <v>ASD KEY WEST</v>
      </c>
      <c r="H11441" t="str">
        <f>T("POB 9039 BLDG A980")</f>
        <v>POB 9039 BLDG A980</v>
      </c>
      <c r="I11441" t="str">
        <f>T("KEY WEST")</f>
        <v>KEY WEST</v>
      </c>
      <c r="J11441" t="str">
        <f>T("FL")</f>
        <v>FL</v>
      </c>
      <c r="K11441" t="str">
        <f>T("000000000000000000")</f>
        <v>000000000000000000</v>
      </c>
      <c r="L11441" t="str">
        <f>T("3052932812")</f>
        <v>3052932812</v>
      </c>
    </row>
    <row r="11442" spans="1:12" x14ac:dyDescent="0.35">
      <c r="A11442" t="str">
        <f t="shared" si="4197"/>
        <v>CSFWL</v>
      </c>
      <c r="B11442" t="str">
        <f>T("ASD KEY WEST")</f>
        <v>ASD KEY WEST</v>
      </c>
      <c r="C11442" t="str">
        <f>T("POB 9039 BLDG A980")</f>
        <v>POB 9039 BLDG A980</v>
      </c>
      <c r="D11442" t="str">
        <f>T("KEY WEST")</f>
        <v>KEY WEST</v>
      </c>
      <c r="E11442" t="str">
        <f>T("FL")</f>
        <v>FL</v>
      </c>
      <c r="F11442" t="str">
        <f>T("330409039")</f>
        <v>330409039</v>
      </c>
      <c r="G11442" t="str">
        <f>T("BLDG 931 MIDWAY AVE")</f>
        <v>BLDG 931 MIDWAY AVE</v>
      </c>
      <c r="H11442" t="str">
        <f>T("NAS KEY WEST")</f>
        <v>NAS KEY WEST</v>
      </c>
      <c r="I11442" t="str">
        <f>T("KEY WEST")</f>
        <v>KEY WEST</v>
      </c>
      <c r="J11442" t="str">
        <f>T("FL")</f>
        <v>FL</v>
      </c>
      <c r="K11442" t="str">
        <f>T("000000000000000000")</f>
        <v>000000000000000000</v>
      </c>
      <c r="L11442" t="str">
        <f>T("3052932812")</f>
        <v>3052932812</v>
      </c>
    </row>
    <row r="11443" spans="1:12" x14ac:dyDescent="0.35">
      <c r="A11443" t="str">
        <f>T("HSC-9")</f>
        <v>HSC-9</v>
      </c>
      <c r="B11443" t="str">
        <f>T("HSC-9 60156")</f>
        <v>HSC-9 60156</v>
      </c>
      <c r="C11443" t="str">
        <f>T("")</f>
        <v/>
      </c>
      <c r="D11443" t="str">
        <f>T("FPO")</f>
        <v>FPO</v>
      </c>
      <c r="E11443" t="str">
        <f>T("AE")</f>
        <v>AE</v>
      </c>
      <c r="F11443" t="str">
        <f>T("095010000")</f>
        <v>095010000</v>
      </c>
      <c r="G11443" t="str">
        <f>T("1340 CV TOWWAY")</f>
        <v>1340 CV TOWWAY</v>
      </c>
      <c r="H11443" t="str">
        <f>T("BLDG LF 59")</f>
        <v>BLDG LF 59</v>
      </c>
      <c r="I11443" t="str">
        <f>T("NORFOLK")</f>
        <v>NORFOLK</v>
      </c>
      <c r="J11443" t="str">
        <f>T("VA")</f>
        <v>VA</v>
      </c>
      <c r="K11443" t="str">
        <f>T("000000000000000000")</f>
        <v>000000000000000000</v>
      </c>
      <c r="L11443" t="str">
        <f>T("7574454181")</f>
        <v>7574454181</v>
      </c>
    </row>
    <row r="11444" spans="1:12" x14ac:dyDescent="0.35">
      <c r="A11444" t="str">
        <f>T("HSC-9")</f>
        <v>HSC-9</v>
      </c>
      <c r="B11444" t="str">
        <f>T("HSC-9 60156")</f>
        <v>HSC-9 60156</v>
      </c>
      <c r="C11444" t="str">
        <f>T("")</f>
        <v/>
      </c>
      <c r="D11444" t="str">
        <f>T("FPO")</f>
        <v>FPO</v>
      </c>
      <c r="E11444" t="str">
        <f>T("AE")</f>
        <v>AE</v>
      </c>
      <c r="F11444" t="str">
        <f>T("095010000")</f>
        <v>095010000</v>
      </c>
      <c r="G11444" t="str">
        <f>T("1340 CV TOWWAY DR")</f>
        <v>1340 CV TOWWAY DR</v>
      </c>
      <c r="H11444" t="str">
        <f>T("BLDG LF-59")</f>
        <v>BLDG LF-59</v>
      </c>
      <c r="I11444" t="str">
        <f>T("NORFOLK")</f>
        <v>NORFOLK</v>
      </c>
      <c r="J11444" t="str">
        <f>T("VA")</f>
        <v>VA</v>
      </c>
      <c r="K11444" t="str">
        <f>T("000000000000000000")</f>
        <v>000000000000000000</v>
      </c>
      <c r="L11444" t="str">
        <f>T("7574454181")</f>
        <v>7574454181</v>
      </c>
    </row>
    <row r="11445" spans="1:12" x14ac:dyDescent="0.35">
      <c r="A11445" t="str">
        <f>T("HSC-9")</f>
        <v>HSC-9</v>
      </c>
      <c r="B11445" t="str">
        <f>T("HSC-9 60156")</f>
        <v>HSC-9 60156</v>
      </c>
      <c r="C11445" t="str">
        <f>T("")</f>
        <v/>
      </c>
      <c r="D11445" t="str">
        <f>T("FPO")</f>
        <v>FPO</v>
      </c>
      <c r="E11445" t="str">
        <f>T("AE")</f>
        <v>AE</v>
      </c>
      <c r="F11445" t="str">
        <f>T("095010000")</f>
        <v>095010000</v>
      </c>
      <c r="G11445" t="str">
        <f>T("HSC-9 60156")</f>
        <v>HSC-9 60156</v>
      </c>
      <c r="H11445" t="str">
        <f>T("")</f>
        <v/>
      </c>
      <c r="I11445" t="str">
        <f>T("FPO")</f>
        <v>FPO</v>
      </c>
      <c r="J11445" t="str">
        <f>T("AE")</f>
        <v>AE</v>
      </c>
      <c r="K11445" t="str">
        <f>T("7574441371")</f>
        <v>7574441371</v>
      </c>
      <c r="L11445" t="str">
        <f>T("7574448462")</f>
        <v>7574448462</v>
      </c>
    </row>
    <row r="11446" spans="1:12" x14ac:dyDescent="0.35">
      <c r="A11446" t="str">
        <f>T("HM-12")</f>
        <v>HM-12</v>
      </c>
      <c r="B11446" t="str">
        <f>T("HM-12 / 09206")</f>
        <v>HM-12 / 09206</v>
      </c>
      <c r="C11446" t="str">
        <f>T("504 A STREET BLDG SP-40")</f>
        <v>504 A STREET BLDG SP-40</v>
      </c>
      <c r="D11446" t="str">
        <f>T("NORFOLK")</f>
        <v>NORFOLK</v>
      </c>
      <c r="E11446" t="str">
        <f>T("VA")</f>
        <v>VA</v>
      </c>
      <c r="F11446" t="str">
        <f>T("235114026")</f>
        <v>235114026</v>
      </c>
      <c r="G11446" t="str">
        <f>T("504 A ST SP-40")</f>
        <v>504 A ST SP-40</v>
      </c>
      <c r="H11446" t="str">
        <f>T("")</f>
        <v/>
      </c>
      <c r="I11446" t="str">
        <f>T("NORFOLK")</f>
        <v>NORFOLK</v>
      </c>
      <c r="J11446" t="str">
        <f>T("VA")</f>
        <v>VA</v>
      </c>
      <c r="K11446" t="str">
        <f>T("000000000000000000")</f>
        <v>000000000000000000</v>
      </c>
      <c r="L11446" t="str">
        <f>T("7573229422")</f>
        <v>7573229422</v>
      </c>
    </row>
    <row r="11447" spans="1:12" x14ac:dyDescent="0.35">
      <c r="A11447" t="str">
        <f>T("HM-12")</f>
        <v>HM-12</v>
      </c>
      <c r="B11447" t="str">
        <f>T("HM-12 / 09206")</f>
        <v>HM-12 / 09206</v>
      </c>
      <c r="C11447" t="str">
        <f>T("504 A STREET BLDG SP-40")</f>
        <v>504 A STREET BLDG SP-40</v>
      </c>
      <c r="D11447" t="str">
        <f>T("NORFOLK")</f>
        <v>NORFOLK</v>
      </c>
      <c r="E11447" t="str">
        <f>T("VA")</f>
        <v>VA</v>
      </c>
      <c r="F11447" t="str">
        <f>T("235114026")</f>
        <v>235114026</v>
      </c>
      <c r="G11447" t="str">
        <f>T("504 A ST SP-40")</f>
        <v>504 A ST SP-40</v>
      </c>
      <c r="H11447" t="str">
        <f>T("STE 200")</f>
        <v>STE 200</v>
      </c>
      <c r="I11447" t="str">
        <f>T("NORFOLK")</f>
        <v>NORFOLK</v>
      </c>
      <c r="J11447" t="str">
        <f>T("VA")</f>
        <v>VA</v>
      </c>
      <c r="K11447" t="str">
        <f>T("000000000000000000")</f>
        <v>000000000000000000</v>
      </c>
      <c r="L11447" t="str">
        <f>T("7573229422")</f>
        <v>7573229422</v>
      </c>
    </row>
    <row r="11448" spans="1:12" x14ac:dyDescent="0.35">
      <c r="A11448" t="str">
        <f>T("HM-12")</f>
        <v>HM-12</v>
      </c>
      <c r="B11448" t="str">
        <f>T("HM-12 / 09206")</f>
        <v>HM-12 / 09206</v>
      </c>
      <c r="C11448" t="str">
        <f>T("504 A STREET BLDG SP-40")</f>
        <v>504 A STREET BLDG SP-40</v>
      </c>
      <c r="D11448" t="str">
        <f>T("NORFOLK")</f>
        <v>NORFOLK</v>
      </c>
      <c r="E11448" t="str">
        <f>T("VA")</f>
        <v>VA</v>
      </c>
      <c r="F11448" t="str">
        <f>T("235114026")</f>
        <v>235114026</v>
      </c>
      <c r="G11448" t="str">
        <f>T("HM-12 / 09206")</f>
        <v>HM-12 / 09206</v>
      </c>
      <c r="H11448" t="str">
        <f>T("504 A STREET BLDG SP-40")</f>
        <v>504 A STREET BLDG SP-40</v>
      </c>
      <c r="I11448" t="str">
        <f>T("NORFOLK")</f>
        <v>NORFOLK</v>
      </c>
      <c r="J11448" t="str">
        <f>T("VA")</f>
        <v>VA</v>
      </c>
      <c r="K11448" t="str">
        <f>T("000000000000000000")</f>
        <v>000000000000000000</v>
      </c>
      <c r="L11448" t="str">
        <f>T("7573229425")</f>
        <v>7573229425</v>
      </c>
    </row>
    <row r="11449" spans="1:12" x14ac:dyDescent="0.35">
      <c r="A11449" t="str">
        <f t="shared" ref="A11449:B11453" si="4200">T("VFA-81")</f>
        <v>VFA-81</v>
      </c>
      <c r="B11449" t="str">
        <f t="shared" si="4200"/>
        <v>VFA-81</v>
      </c>
      <c r="C11449" t="str">
        <f>T("UNIT 60149")</f>
        <v>UNIT 60149</v>
      </c>
      <c r="D11449" t="str">
        <f>T("FPO")</f>
        <v>FPO</v>
      </c>
      <c r="E11449" t="str">
        <f>T("AE")</f>
        <v>AE</v>
      </c>
      <c r="F11449" t="str">
        <f>T("095046245")</f>
        <v>095046245</v>
      </c>
      <c r="G11449" t="str">
        <f>T("733 OPERATIONS DR")</f>
        <v>733 OPERATIONS DR</v>
      </c>
      <c r="H11449" t="str">
        <f>T("HANGAR 11 MOD 2")</f>
        <v>HANGAR 11 MOD 2</v>
      </c>
      <c r="I11449" t="str">
        <f>T("VIRGINIA BEACH")</f>
        <v>VIRGINIA BEACH</v>
      </c>
      <c r="J11449" t="str">
        <f>T("VA")</f>
        <v>VA</v>
      </c>
      <c r="K11449" t="str">
        <f>T("000000000000000000")</f>
        <v>000000000000000000</v>
      </c>
      <c r="L11449" t="str">
        <f>T("7574339045")</f>
        <v>7574339045</v>
      </c>
    </row>
    <row r="11450" spans="1:12" x14ac:dyDescent="0.35">
      <c r="A11450" t="str">
        <f t="shared" si="4200"/>
        <v>VFA-81</v>
      </c>
      <c r="B11450" t="str">
        <f t="shared" si="4200"/>
        <v>VFA-81</v>
      </c>
      <c r="C11450" t="str">
        <f>T("UNIT 60149")</f>
        <v>UNIT 60149</v>
      </c>
      <c r="D11450" t="str">
        <f>T("FPO")</f>
        <v>FPO</v>
      </c>
      <c r="E11450" t="str">
        <f>T("AE")</f>
        <v>AE</v>
      </c>
      <c r="F11450" t="str">
        <f>T("095046245")</f>
        <v>095046245</v>
      </c>
      <c r="G11450" t="str">
        <f>T("VFA-81")</f>
        <v>VFA-81</v>
      </c>
      <c r="H11450" t="str">
        <f>T("UNIT 60149")</f>
        <v>UNIT 60149</v>
      </c>
      <c r="I11450" t="str">
        <f>T("FPO")</f>
        <v>FPO</v>
      </c>
      <c r="J11450" t="str">
        <f>T("AE")</f>
        <v>AE</v>
      </c>
      <c r="K11450" t="str">
        <f>T("7574339809")</f>
        <v>7574339809</v>
      </c>
      <c r="L11450" t="str">
        <f>T("7574339835")</f>
        <v>7574339835</v>
      </c>
    </row>
    <row r="11451" spans="1:12" x14ac:dyDescent="0.35">
      <c r="A11451" t="str">
        <f t="shared" si="4200"/>
        <v>VFA-81</v>
      </c>
      <c r="B11451" t="str">
        <f t="shared" si="4200"/>
        <v>VFA-81</v>
      </c>
      <c r="C11451" t="str">
        <f>T("UNIT 60149")</f>
        <v>UNIT 60149</v>
      </c>
      <c r="D11451" t="str">
        <f>T("FPO")</f>
        <v>FPO</v>
      </c>
      <c r="E11451" t="str">
        <f>T("AE")</f>
        <v>AE</v>
      </c>
      <c r="F11451" t="str">
        <f>T("095046245")</f>
        <v>095046245</v>
      </c>
      <c r="G11451" t="str">
        <f>T("VFA-81 UNIT 60149")</f>
        <v>VFA-81 UNIT 60149</v>
      </c>
      <c r="H11451" t="str">
        <f>T("733 OPERATIONS DR VFA81 HANGAR 111")</f>
        <v>733 OPERATIONS DR VFA81 HANGAR 111</v>
      </c>
      <c r="I11451" t="str">
        <f>T("VIRGINIA BEACH")</f>
        <v>VIRGINIA BEACH</v>
      </c>
      <c r="J11451" t="str">
        <f>T("VA")</f>
        <v>VA</v>
      </c>
      <c r="K11451" t="str">
        <f>T("7574339809")</f>
        <v>7574339809</v>
      </c>
      <c r="L11451" t="str">
        <f>T("7574339835")</f>
        <v>7574339835</v>
      </c>
    </row>
    <row r="11452" spans="1:12" x14ac:dyDescent="0.35">
      <c r="A11452" t="str">
        <f t="shared" si="4200"/>
        <v>VFA-81</v>
      </c>
      <c r="B11452" t="str">
        <f t="shared" si="4200"/>
        <v>VFA-81</v>
      </c>
      <c r="C11452" t="str">
        <f>T("UNIT 60149")</f>
        <v>UNIT 60149</v>
      </c>
      <c r="D11452" t="str">
        <f>T("FPO")</f>
        <v>FPO</v>
      </c>
      <c r="E11452" t="str">
        <f>T("AE")</f>
        <v>AE</v>
      </c>
      <c r="F11452" t="str">
        <f>T("095046245")</f>
        <v>095046245</v>
      </c>
      <c r="G11452" t="str">
        <f>T("VFA-81 UNIT 60149")</f>
        <v>VFA-81 UNIT 60149</v>
      </c>
      <c r="H11452" t="str">
        <f>T("733 OPERATIONS DR VFA81 HANGAR111")</f>
        <v>733 OPERATIONS DR VFA81 HANGAR111</v>
      </c>
      <c r="I11452" t="str">
        <f>T("VIRGINIA BEACH")</f>
        <v>VIRGINIA BEACH</v>
      </c>
      <c r="J11452" t="str">
        <f>T("VA")</f>
        <v>VA</v>
      </c>
      <c r="K11452" t="str">
        <f>T("7574339809")</f>
        <v>7574339809</v>
      </c>
      <c r="L11452" t="str">
        <f>T("7574339828")</f>
        <v>7574339828</v>
      </c>
    </row>
    <row r="11453" spans="1:12" x14ac:dyDescent="0.35">
      <c r="A11453" t="str">
        <f t="shared" si="4200"/>
        <v>VFA-81</v>
      </c>
      <c r="B11453" t="str">
        <f t="shared" si="4200"/>
        <v>VFA-81</v>
      </c>
      <c r="C11453" t="str">
        <f>T("UNIT 60149")</f>
        <v>UNIT 60149</v>
      </c>
      <c r="D11453" t="str">
        <f>T("FPO")</f>
        <v>FPO</v>
      </c>
      <c r="E11453" t="str">
        <f>T("AE")</f>
        <v>AE</v>
      </c>
      <c r="F11453" t="str">
        <f>T("095046245")</f>
        <v>095046245</v>
      </c>
      <c r="G11453" t="str">
        <f>T("VFA-81 UNIT 60149")</f>
        <v>VFA-81 UNIT 60149</v>
      </c>
      <c r="H11453" t="str">
        <f>T("733 OPERATIONS DR VFA81 HANGAR111")</f>
        <v>733 OPERATIONS DR VFA81 HANGAR111</v>
      </c>
      <c r="I11453" t="str">
        <f>T("VIRGINIA BEACH")</f>
        <v>VIRGINIA BEACH</v>
      </c>
      <c r="J11453" t="str">
        <f>T("VA")</f>
        <v>VA</v>
      </c>
      <c r="K11453" t="str">
        <f>T("7574339809")</f>
        <v>7574339809</v>
      </c>
      <c r="L11453" t="str">
        <f>T("7574339835")</f>
        <v>7574339835</v>
      </c>
    </row>
    <row r="11454" spans="1:12" x14ac:dyDescent="0.35">
      <c r="A11454" t="str">
        <f>T("VFA-83")</f>
        <v>VFA-83</v>
      </c>
      <c r="B11454" t="str">
        <f>T("VFA-83")</f>
        <v>VFA-83</v>
      </c>
      <c r="C11454" t="str">
        <f>T("733 OPERATIONS DR SUITE 400")</f>
        <v>733 OPERATIONS DR SUITE 400</v>
      </c>
      <c r="D11454" t="str">
        <f>T("VIRGINIA BEACH")</f>
        <v>VIRGINIA BEACH</v>
      </c>
      <c r="E11454" t="str">
        <f>T("VA")</f>
        <v>VA</v>
      </c>
      <c r="F11454" t="str">
        <f>T("234602240")</f>
        <v>234602240</v>
      </c>
      <c r="G11454" t="str">
        <f>T("VFA-83")</f>
        <v>VFA-83</v>
      </c>
      <c r="H11454" t="str">
        <f>T("733 OPERATIONS DR SUITE 400")</f>
        <v>733 OPERATIONS DR SUITE 400</v>
      </c>
      <c r="I11454" t="str">
        <f>T("VIRGINIA BEACH")</f>
        <v>VIRGINIA BEACH</v>
      </c>
      <c r="J11454" t="str">
        <f>T("VA")</f>
        <v>VA</v>
      </c>
      <c r="K11454" t="str">
        <f>T("7574339105")</f>
        <v>7574339105</v>
      </c>
      <c r="L11454" t="str">
        <f>T("7574339162")</f>
        <v>7574339162</v>
      </c>
    </row>
    <row r="11455" spans="1:12" x14ac:dyDescent="0.35">
      <c r="A11455" t="str">
        <f>T("VFA-83")</f>
        <v>VFA-83</v>
      </c>
      <c r="B11455" t="str">
        <f>T("VFA-83")</f>
        <v>VFA-83</v>
      </c>
      <c r="C11455" t="str">
        <f>T("733 OPERATIONS DR SUITE 400")</f>
        <v>733 OPERATIONS DR SUITE 400</v>
      </c>
      <c r="D11455" t="str">
        <f>T("VIRGINIA BEACH")</f>
        <v>VIRGINIA BEACH</v>
      </c>
      <c r="E11455" t="str">
        <f>T("VA")</f>
        <v>VA</v>
      </c>
      <c r="F11455" t="str">
        <f>T("234602240")</f>
        <v>234602240</v>
      </c>
      <c r="G11455" t="str">
        <f>T("VFA-83")</f>
        <v>VFA-83</v>
      </c>
      <c r="H11455" t="str">
        <f>T("733 OPERATIONS DRIVE STE 400")</f>
        <v>733 OPERATIONS DRIVE STE 400</v>
      </c>
      <c r="I11455" t="str">
        <f>T("VIRGINIA BEACH")</f>
        <v>VIRGINIA BEACH</v>
      </c>
      <c r="J11455" t="str">
        <f>T("VA")</f>
        <v>VA</v>
      </c>
      <c r="K11455" t="str">
        <f>T("000000000000000000")</f>
        <v>000000000000000000</v>
      </c>
      <c r="L11455" t="str">
        <f>T("7574339658")</f>
        <v>7574339658</v>
      </c>
    </row>
    <row r="11456" spans="1:12" x14ac:dyDescent="0.35">
      <c r="A11456" t="str">
        <f>T("VP-16")</f>
        <v>VP-16</v>
      </c>
      <c r="B11456" t="str">
        <f>T("PATRON SIXTEEN")</f>
        <v>PATRON SIXTEEN</v>
      </c>
      <c r="C11456" t="str">
        <f>T("BOX 36")</f>
        <v>BOX 36</v>
      </c>
      <c r="D11456" t="str">
        <f>T("JACKSONVILLE")</f>
        <v>JACKSONVILLE</v>
      </c>
      <c r="E11456" t="str">
        <f>T("FL")</f>
        <v>FL</v>
      </c>
      <c r="F11456" t="str">
        <f>T("322120036")</f>
        <v>322120036</v>
      </c>
      <c r="G11456" t="str">
        <f>T("BOX 36")</f>
        <v>BOX 36</v>
      </c>
      <c r="H11456" t="str">
        <f>T("")</f>
        <v/>
      </c>
      <c r="I11456" t="str">
        <f>T("JACKSONVILLE")</f>
        <v>JACKSONVILLE</v>
      </c>
      <c r="J11456" t="str">
        <f>T("FL")</f>
        <v>FL</v>
      </c>
      <c r="K11456" t="str">
        <f>T("")</f>
        <v/>
      </c>
      <c r="L11456" t="str">
        <f>T("9045420086")</f>
        <v>9045420086</v>
      </c>
    </row>
    <row r="11457" spans="1:12" x14ac:dyDescent="0.35">
      <c r="A11457" t="str">
        <f>T("VP-16")</f>
        <v>VP-16</v>
      </c>
      <c r="B11457" t="str">
        <f>T("PATRON SIXTEEN")</f>
        <v>PATRON SIXTEEN</v>
      </c>
      <c r="C11457" t="str">
        <f>T("BOX 36")</f>
        <v>BOX 36</v>
      </c>
      <c r="D11457" t="str">
        <f>T("JACKSONVILLE")</f>
        <v>JACKSONVILLE</v>
      </c>
      <c r="E11457" t="str">
        <f>T("FL")</f>
        <v>FL</v>
      </c>
      <c r="F11457" t="str">
        <f>T("322120036")</f>
        <v>322120036</v>
      </c>
      <c r="G11457" t="str">
        <f>T("BOX 36")</f>
        <v>BOX 36</v>
      </c>
      <c r="H11457" t="str">
        <f>T("")</f>
        <v/>
      </c>
      <c r="I11457" t="str">
        <f>T("JACKSONVILLE")</f>
        <v>JACKSONVILLE</v>
      </c>
      <c r="J11457" t="str">
        <f>T("FL")</f>
        <v>FL</v>
      </c>
      <c r="K11457" t="str">
        <f>T("9045420866")</f>
        <v>9045420866</v>
      </c>
      <c r="L11457" t="str">
        <f>T("9045420086")</f>
        <v>9045420086</v>
      </c>
    </row>
    <row r="11458" spans="1:12" x14ac:dyDescent="0.35">
      <c r="A11458" t="str">
        <f>T("VP-16")</f>
        <v>VP-16</v>
      </c>
      <c r="B11458" t="str">
        <f>T("PATRON SIXTEEN")</f>
        <v>PATRON SIXTEEN</v>
      </c>
      <c r="C11458" t="str">
        <f>T("BOX 36")</f>
        <v>BOX 36</v>
      </c>
      <c r="D11458" t="str">
        <f>T("JACKSONVILLE")</f>
        <v>JACKSONVILLE</v>
      </c>
      <c r="E11458" t="str">
        <f>T("FL")</f>
        <v>FL</v>
      </c>
      <c r="F11458" t="str">
        <f>T("322120036")</f>
        <v>322120036</v>
      </c>
      <c r="G11458" t="str">
        <f>T("PATRON SIXTEEN")</f>
        <v>PATRON SIXTEEN</v>
      </c>
      <c r="H11458" t="str">
        <f>T("BOX 36")</f>
        <v>BOX 36</v>
      </c>
      <c r="I11458" t="str">
        <f>T("JACKSONVILLE")</f>
        <v>JACKSONVILLE</v>
      </c>
      <c r="J11458" t="str">
        <f>T("FL")</f>
        <v>FL</v>
      </c>
      <c r="K11458" t="str">
        <f>T("9045420671")</f>
        <v>9045420671</v>
      </c>
      <c r="L11458" t="str">
        <f>T("9045428570")</f>
        <v>9045428570</v>
      </c>
    </row>
    <row r="11459" spans="1:12" x14ac:dyDescent="0.35">
      <c r="A11459" t="str">
        <f t="shared" ref="A11459:B11461" si="4201">T("VFA-143")</f>
        <v>VFA-143</v>
      </c>
      <c r="B11459" t="str">
        <f t="shared" si="4201"/>
        <v>VFA-143</v>
      </c>
      <c r="C11459" t="str">
        <f>T("879 HORNET DRIVE STE 100")</f>
        <v>879 HORNET DRIVE STE 100</v>
      </c>
      <c r="D11459" t="str">
        <f>T("VIRGINIA BCH")</f>
        <v>VIRGINIA BCH</v>
      </c>
      <c r="E11459" t="str">
        <f t="shared" ref="E11459:E11466" si="4202">T("VA")</f>
        <v>VA</v>
      </c>
      <c r="F11459" t="str">
        <f>T("234602233")</f>
        <v>234602233</v>
      </c>
      <c r="G11459" t="str">
        <f>T("816 B AVE STE 100")</f>
        <v>816 B AVE STE 100</v>
      </c>
      <c r="H11459" t="str">
        <f>T("HANGAR 500")</f>
        <v>HANGAR 500</v>
      </c>
      <c r="I11459" t="str">
        <f>T("VIRGINIA BEACH")</f>
        <v>VIRGINIA BEACH</v>
      </c>
      <c r="J11459" t="str">
        <f t="shared" ref="J11459:J11466" si="4203">T("VA")</f>
        <v>VA</v>
      </c>
      <c r="K11459" t="str">
        <f>T("7574334650")</f>
        <v>7574334650</v>
      </c>
      <c r="L11459" t="str">
        <f>T("7574334243")</f>
        <v>7574334243</v>
      </c>
    </row>
    <row r="11460" spans="1:12" x14ac:dyDescent="0.35">
      <c r="A11460" t="str">
        <f t="shared" si="4201"/>
        <v>VFA-143</v>
      </c>
      <c r="B11460" t="str">
        <f t="shared" si="4201"/>
        <v>VFA-143</v>
      </c>
      <c r="C11460" t="str">
        <f>T("879 HORNET DRIVE STE 100")</f>
        <v>879 HORNET DRIVE STE 100</v>
      </c>
      <c r="D11460" t="str">
        <f>T("VIRGINIA BCH")</f>
        <v>VIRGINIA BCH</v>
      </c>
      <c r="E11460" t="str">
        <f t="shared" si="4202"/>
        <v>VA</v>
      </c>
      <c r="F11460" t="str">
        <f>T("234602233")</f>
        <v>234602233</v>
      </c>
      <c r="G11460" t="str">
        <f>T("879 HORNET DR")</f>
        <v>879 HORNET DR</v>
      </c>
      <c r="H11460" t="str">
        <f>T("STE 100")</f>
        <v>STE 100</v>
      </c>
      <c r="I11460" t="str">
        <f>T("VIRGINIA BEACH")</f>
        <v>VIRGINIA BEACH</v>
      </c>
      <c r="J11460" t="str">
        <f t="shared" si="4203"/>
        <v>VA</v>
      </c>
      <c r="K11460" t="str">
        <f>T("7574334650")</f>
        <v>7574334650</v>
      </c>
      <c r="L11460" t="str">
        <f>T("7574334243")</f>
        <v>7574334243</v>
      </c>
    </row>
    <row r="11461" spans="1:12" x14ac:dyDescent="0.35">
      <c r="A11461" t="str">
        <f t="shared" si="4201"/>
        <v>VFA-143</v>
      </c>
      <c r="B11461" t="str">
        <f t="shared" si="4201"/>
        <v>VFA-143</v>
      </c>
      <c r="C11461" t="str">
        <f>T("879 HORNET DRIVE STE 100")</f>
        <v>879 HORNET DRIVE STE 100</v>
      </c>
      <c r="D11461" t="str">
        <f>T("VIRGINIA BCH")</f>
        <v>VIRGINIA BCH</v>
      </c>
      <c r="E11461" t="str">
        <f t="shared" si="4202"/>
        <v>VA</v>
      </c>
      <c r="F11461" t="str">
        <f>T("234602233")</f>
        <v>234602233</v>
      </c>
      <c r="G11461" t="str">
        <f>T("VFA-143")</f>
        <v>VFA-143</v>
      </c>
      <c r="H11461" t="str">
        <f>T("879 HORNET DRIVE STE 100")</f>
        <v>879 HORNET DRIVE STE 100</v>
      </c>
      <c r="I11461" t="str">
        <f>T("VIRGINIA BCH")</f>
        <v>VIRGINIA BCH</v>
      </c>
      <c r="J11461" t="str">
        <f t="shared" si="4203"/>
        <v>VA</v>
      </c>
      <c r="K11461" t="str">
        <f>T("757-433-4650")</f>
        <v>757-433-4650</v>
      </c>
      <c r="L11461" t="str">
        <f>T("7574334243")</f>
        <v>7574334243</v>
      </c>
    </row>
    <row r="11462" spans="1:12" x14ac:dyDescent="0.35">
      <c r="A11462" t="str">
        <f>T("VRC-40")</f>
        <v>VRC-40</v>
      </c>
      <c r="B11462" t="str">
        <f>T("1059 BELLINGER BLVD")</f>
        <v>1059 BELLINGER BLVD</v>
      </c>
      <c r="C11462" t="str">
        <f>T("LP-48")</f>
        <v>LP-48</v>
      </c>
      <c r="D11462" t="str">
        <f>T("NORFOLK")</f>
        <v>NORFOLK</v>
      </c>
      <c r="E11462" t="str">
        <f t="shared" si="4202"/>
        <v>VA</v>
      </c>
      <c r="F11462" t="str">
        <f>T("235112213")</f>
        <v>235112213</v>
      </c>
      <c r="G11462" t="str">
        <f>T("1059 BELLINGER BLVD")</f>
        <v>1059 BELLINGER BLVD</v>
      </c>
      <c r="H11462" t="str">
        <f>T("BLDG LP 48")</f>
        <v>BLDG LP 48</v>
      </c>
      <c r="I11462" t="str">
        <f>T("NORFOLK")</f>
        <v>NORFOLK</v>
      </c>
      <c r="J11462" t="str">
        <f t="shared" si="4203"/>
        <v>VA</v>
      </c>
      <c r="K11462" t="str">
        <f>T("000000000000000000")</f>
        <v>000000000000000000</v>
      </c>
      <c r="L11462" t="str">
        <f>T("7574456593")</f>
        <v>7574456593</v>
      </c>
    </row>
    <row r="11463" spans="1:12" x14ac:dyDescent="0.35">
      <c r="A11463" t="str">
        <f>T("VRC-40")</f>
        <v>VRC-40</v>
      </c>
      <c r="B11463" t="str">
        <f>T("1059 BELLINGER BLVD")</f>
        <v>1059 BELLINGER BLVD</v>
      </c>
      <c r="C11463" t="str">
        <f>T("LP-48")</f>
        <v>LP-48</v>
      </c>
      <c r="D11463" t="str">
        <f>T("NORFOLK")</f>
        <v>NORFOLK</v>
      </c>
      <c r="E11463" t="str">
        <f t="shared" si="4202"/>
        <v>VA</v>
      </c>
      <c r="F11463" t="str">
        <f>T("235112213")</f>
        <v>235112213</v>
      </c>
      <c r="G11463" t="str">
        <f>T("1059 BELLINGER BLVD")</f>
        <v>1059 BELLINGER BLVD</v>
      </c>
      <c r="H11463" t="str">
        <f>T("LP-48")</f>
        <v>LP-48</v>
      </c>
      <c r="I11463" t="str">
        <f>T("NORFOLK")</f>
        <v>NORFOLK</v>
      </c>
      <c r="J11463" t="str">
        <f t="shared" si="4203"/>
        <v>VA</v>
      </c>
      <c r="K11463" t="str">
        <f>T("7574441181")</f>
        <v>7574441181</v>
      </c>
      <c r="L11463" t="str">
        <f>T("7574456593")</f>
        <v>7574456593</v>
      </c>
    </row>
    <row r="11464" spans="1:12" x14ac:dyDescent="0.35">
      <c r="A11464" t="str">
        <f>T("VRC-40")</f>
        <v>VRC-40</v>
      </c>
      <c r="B11464" t="str">
        <f>T("1059 BELLINGER BLVD")</f>
        <v>1059 BELLINGER BLVD</v>
      </c>
      <c r="C11464" t="str">
        <f>T("LP-48")</f>
        <v>LP-48</v>
      </c>
      <c r="D11464" t="str">
        <f>T("NORFOLK")</f>
        <v>NORFOLK</v>
      </c>
      <c r="E11464" t="str">
        <f t="shared" si="4202"/>
        <v>VA</v>
      </c>
      <c r="F11464" t="str">
        <f>T("235112213")</f>
        <v>235112213</v>
      </c>
      <c r="G11464" t="str">
        <f>T("1059 BELLINGER BLVD")</f>
        <v>1059 BELLINGER BLVD</v>
      </c>
      <c r="H11464" t="str">
        <f>T("LP-48")</f>
        <v>LP-48</v>
      </c>
      <c r="I11464" t="str">
        <f>T("NORFOLK")</f>
        <v>NORFOLK</v>
      </c>
      <c r="J11464" t="str">
        <f t="shared" si="4203"/>
        <v>VA</v>
      </c>
      <c r="K11464" t="str">
        <f>T("7574445200")</f>
        <v>7574445200</v>
      </c>
      <c r="L11464" t="str">
        <f>T("7574456593")</f>
        <v>7574456593</v>
      </c>
    </row>
    <row r="11465" spans="1:12" x14ac:dyDescent="0.35">
      <c r="A11465" t="str">
        <f>T("VRC-40")</f>
        <v>VRC-40</v>
      </c>
      <c r="B11465" t="str">
        <f>T("1059 BELLINGER BLVD")</f>
        <v>1059 BELLINGER BLVD</v>
      </c>
      <c r="C11465" t="str">
        <f>T("LP-48")</f>
        <v>LP-48</v>
      </c>
      <c r="D11465" t="str">
        <f>T("NORFOLK")</f>
        <v>NORFOLK</v>
      </c>
      <c r="E11465" t="str">
        <f t="shared" si="4202"/>
        <v>VA</v>
      </c>
      <c r="F11465" t="str">
        <f>T("235112213")</f>
        <v>235112213</v>
      </c>
      <c r="G11465" t="str">
        <f>T("1059 BELLINGER BLVD")</f>
        <v>1059 BELLINGER BLVD</v>
      </c>
      <c r="H11465" t="str">
        <f>T("LP48")</f>
        <v>LP48</v>
      </c>
      <c r="I11465" t="str">
        <f>T("NORFOLK")</f>
        <v>NORFOLK</v>
      </c>
      <c r="J11465" t="str">
        <f t="shared" si="4203"/>
        <v>VA</v>
      </c>
      <c r="K11465" t="str">
        <f>T("7574445200")</f>
        <v>7574445200</v>
      </c>
      <c r="L11465" t="str">
        <f>T("7574443827")</f>
        <v>7574443827</v>
      </c>
    </row>
    <row r="11466" spans="1:12" x14ac:dyDescent="0.35">
      <c r="A11466" t="str">
        <f>T("VRC-40")</f>
        <v>VRC-40</v>
      </c>
      <c r="B11466" t="str">
        <f>T("1059 BELLINGER BLVD")</f>
        <v>1059 BELLINGER BLVD</v>
      </c>
      <c r="C11466" t="str">
        <f>T("LP-48")</f>
        <v>LP-48</v>
      </c>
      <c r="D11466" t="str">
        <f>T("NORFOLK")</f>
        <v>NORFOLK</v>
      </c>
      <c r="E11466" t="str">
        <f t="shared" si="4202"/>
        <v>VA</v>
      </c>
      <c r="F11466" t="str">
        <f>T("235112213")</f>
        <v>235112213</v>
      </c>
      <c r="G11466" t="str">
        <f>T("1059 BELLINGER BLVD LP-48")</f>
        <v>1059 BELLINGER BLVD LP-48</v>
      </c>
      <c r="H11466" t="str">
        <f>T("")</f>
        <v/>
      </c>
      <c r="I11466" t="str">
        <f>T("NORFOLK")</f>
        <v>NORFOLK</v>
      </c>
      <c r="J11466" t="str">
        <f t="shared" si="4203"/>
        <v>VA</v>
      </c>
      <c r="K11466" t="str">
        <f>T("7574441181")</f>
        <v>7574441181</v>
      </c>
      <c r="L11466" t="str">
        <f>T("7574456594")</f>
        <v>7574456594</v>
      </c>
    </row>
    <row r="11467" spans="1:12" x14ac:dyDescent="0.35">
      <c r="A11467" t="str">
        <f>T("CPRW-11")</f>
        <v>CPRW-11</v>
      </c>
      <c r="B11467" t="str">
        <f>T("BOX 34")</f>
        <v>BOX 34</v>
      </c>
      <c r="C11467" t="str">
        <f>T("NAS")</f>
        <v>NAS</v>
      </c>
      <c r="D11467" t="str">
        <f>T("JACKSONVILLE")</f>
        <v>JACKSONVILLE</v>
      </c>
      <c r="E11467" t="str">
        <f>T("FL")</f>
        <v>FL</v>
      </c>
      <c r="F11467" t="str">
        <f>T("322120034")</f>
        <v>322120034</v>
      </c>
      <c r="G11467" t="str">
        <f>T("BOX 34")</f>
        <v>BOX 34</v>
      </c>
      <c r="H11467" t="str">
        <f>T("NAS")</f>
        <v>NAS</v>
      </c>
      <c r="I11467" t="str">
        <f>T("JACKSONVILLE")</f>
        <v>JACKSONVILLE</v>
      </c>
      <c r="J11467" t="str">
        <f>T("FL")</f>
        <v>FL</v>
      </c>
      <c r="K11467" t="str">
        <f>T("")</f>
        <v/>
      </c>
      <c r="L11467" t="str">
        <f>T("9045426167")</f>
        <v>9045426167</v>
      </c>
    </row>
    <row r="11468" spans="1:12" x14ac:dyDescent="0.35">
      <c r="A11468" t="str">
        <f>T("CPRW-11")</f>
        <v>CPRW-11</v>
      </c>
      <c r="B11468" t="str">
        <f>T("BOX 34")</f>
        <v>BOX 34</v>
      </c>
      <c r="C11468" t="str">
        <f>T("NAS")</f>
        <v>NAS</v>
      </c>
      <c r="D11468" t="str">
        <f>T("JACKSONVILLE")</f>
        <v>JACKSONVILLE</v>
      </c>
      <c r="E11468" t="str">
        <f>T("FL")</f>
        <v>FL</v>
      </c>
      <c r="F11468" t="str">
        <f>T("322120034")</f>
        <v>322120034</v>
      </c>
      <c r="G11468" t="str">
        <f>T("BOX 34")</f>
        <v>BOX 34</v>
      </c>
      <c r="H11468" t="str">
        <f>T("NAS JACKSONVILLE")</f>
        <v>NAS JACKSONVILLE</v>
      </c>
      <c r="I11468" t="str">
        <f>T("JACKSONVILLE")</f>
        <v>JACKSONVILLE</v>
      </c>
      <c r="J11468" t="str">
        <f>T("FL")</f>
        <v>FL</v>
      </c>
      <c r="K11468" t="str">
        <f>T("000000000000000000")</f>
        <v>000000000000000000</v>
      </c>
      <c r="L11468" t="str">
        <f>T("9045420452")</f>
        <v>9045420452</v>
      </c>
    </row>
    <row r="11469" spans="1:12" x14ac:dyDescent="0.35">
      <c r="A11469" t="str">
        <f>T("CPRW-11")</f>
        <v>CPRW-11</v>
      </c>
      <c r="B11469" t="str">
        <f>T("BOX 34")</f>
        <v>BOX 34</v>
      </c>
      <c r="C11469" t="str">
        <f>T("NAS")</f>
        <v>NAS</v>
      </c>
      <c r="D11469" t="str">
        <f>T("JACKSONVILLE")</f>
        <v>JACKSONVILLE</v>
      </c>
      <c r="E11469" t="str">
        <f>T("FL")</f>
        <v>FL</v>
      </c>
      <c r="F11469" t="str">
        <f>T("322120034")</f>
        <v>322120034</v>
      </c>
      <c r="G11469" t="str">
        <f>T("BOX 34")</f>
        <v>BOX 34</v>
      </c>
      <c r="H11469" t="str">
        <f>T("NAS JACKSONVILLE")</f>
        <v>NAS JACKSONVILLE</v>
      </c>
      <c r="I11469" t="str">
        <f>T("JACKSONVILLE")</f>
        <v>JACKSONVILLE</v>
      </c>
      <c r="J11469" t="str">
        <f>T("FL")</f>
        <v>FL</v>
      </c>
      <c r="K11469" t="str">
        <f>T("000000000000000000")</f>
        <v>000000000000000000</v>
      </c>
      <c r="L11469" t="str">
        <f>T("9045423713")</f>
        <v>9045423713</v>
      </c>
    </row>
    <row r="11470" spans="1:12" x14ac:dyDescent="0.35">
      <c r="A11470" t="str">
        <f>T("VAW-121")</f>
        <v>VAW-121</v>
      </c>
      <c r="B11470" t="str">
        <f>T("1029 BELLINGER BLVD LP-33")</f>
        <v>1029 BELLINGER BLVD LP-33</v>
      </c>
      <c r="C11470" t="str">
        <f>T("")</f>
        <v/>
      </c>
      <c r="D11470" t="str">
        <f>T("NORFOLK")</f>
        <v>NORFOLK</v>
      </c>
      <c r="E11470" t="str">
        <f t="shared" ref="E11470:E11476" si="4204">T("VA")</f>
        <v>VA</v>
      </c>
      <c r="F11470" t="str">
        <f>T("235112213")</f>
        <v>235112213</v>
      </c>
      <c r="G11470" t="str">
        <f>T("1027 BELLINGER BLVD")</f>
        <v>1027 BELLINGER BLVD</v>
      </c>
      <c r="H11470" t="str">
        <f>T("")</f>
        <v/>
      </c>
      <c r="I11470" t="str">
        <f>T("NORFOLK")</f>
        <v>NORFOLK</v>
      </c>
      <c r="J11470" t="str">
        <f t="shared" ref="J11470:J11475" si="4205">T("VA")</f>
        <v>VA</v>
      </c>
      <c r="K11470" t="str">
        <f>T("000000000000000000")</f>
        <v>000000000000000000</v>
      </c>
      <c r="L11470" t="str">
        <f>T("7574454068")</f>
        <v>7574454068</v>
      </c>
    </row>
    <row r="11471" spans="1:12" x14ac:dyDescent="0.35">
      <c r="A11471" t="str">
        <f>T("VAW-121")</f>
        <v>VAW-121</v>
      </c>
      <c r="B11471" t="str">
        <f>T("1029 BELLINGER BLVD LP-33")</f>
        <v>1029 BELLINGER BLVD LP-33</v>
      </c>
      <c r="C11471" t="str">
        <f>T("")</f>
        <v/>
      </c>
      <c r="D11471" t="str">
        <f>T("NORFOLK")</f>
        <v>NORFOLK</v>
      </c>
      <c r="E11471" t="str">
        <f t="shared" si="4204"/>
        <v>VA</v>
      </c>
      <c r="F11471" t="str">
        <f>T("235112213")</f>
        <v>235112213</v>
      </c>
      <c r="G11471" t="str">
        <f>T("1029 BELLINGER BLVD")</f>
        <v>1029 BELLINGER BLVD</v>
      </c>
      <c r="H11471" t="str">
        <f>T("")</f>
        <v/>
      </c>
      <c r="I11471" t="str">
        <f>T("NORFOLK")</f>
        <v>NORFOLK</v>
      </c>
      <c r="J11471" t="str">
        <f t="shared" si="4205"/>
        <v>VA</v>
      </c>
      <c r="K11471" t="str">
        <f>T("000000000000000000")</f>
        <v>000000000000000000</v>
      </c>
      <c r="L11471" t="str">
        <f>T("7574450640")</f>
        <v>7574450640</v>
      </c>
    </row>
    <row r="11472" spans="1:12" x14ac:dyDescent="0.35">
      <c r="A11472" t="str">
        <f>T("VAW-121")</f>
        <v>VAW-121</v>
      </c>
      <c r="B11472" t="str">
        <f>T("1029 BELLINGER BLVD LP-33")</f>
        <v>1029 BELLINGER BLVD LP-33</v>
      </c>
      <c r="C11472" t="str">
        <f>T("")</f>
        <v/>
      </c>
      <c r="D11472" t="str">
        <f>T("NORFOLK")</f>
        <v>NORFOLK</v>
      </c>
      <c r="E11472" t="str">
        <f t="shared" si="4204"/>
        <v>VA</v>
      </c>
      <c r="F11472" t="str">
        <f>T("235112213")</f>
        <v>235112213</v>
      </c>
      <c r="G11472" t="str">
        <f>T("1029 BELLINGER BLVD")</f>
        <v>1029 BELLINGER BLVD</v>
      </c>
      <c r="H11472" t="str">
        <f>T("")</f>
        <v/>
      </c>
      <c r="I11472" t="str">
        <f>T("NORFOLK")</f>
        <v>NORFOLK</v>
      </c>
      <c r="J11472" t="str">
        <f t="shared" si="4205"/>
        <v>VA</v>
      </c>
      <c r="K11472" t="str">
        <f>T("000000000000000000")</f>
        <v>000000000000000000</v>
      </c>
      <c r="L11472" t="str">
        <f>T("7574454068")</f>
        <v>7574454068</v>
      </c>
    </row>
    <row r="11473" spans="1:12" x14ac:dyDescent="0.35">
      <c r="A11473" t="str">
        <f>T("VAW-121")</f>
        <v>VAW-121</v>
      </c>
      <c r="B11473" t="str">
        <f>T("1029 BELLINGER BLVD LP-33")</f>
        <v>1029 BELLINGER BLVD LP-33</v>
      </c>
      <c r="C11473" t="str">
        <f>T("")</f>
        <v/>
      </c>
      <c r="D11473" t="str">
        <f>T("NORFOLK")</f>
        <v>NORFOLK</v>
      </c>
      <c r="E11473" t="str">
        <f t="shared" si="4204"/>
        <v>VA</v>
      </c>
      <c r="F11473" t="str">
        <f>T("235112213")</f>
        <v>235112213</v>
      </c>
      <c r="G11473" t="str">
        <f>T("1029 BELLINGER BLVD LP-33")</f>
        <v>1029 BELLINGER BLVD LP-33</v>
      </c>
      <c r="H11473" t="str">
        <f>T("")</f>
        <v/>
      </c>
      <c r="I11473" t="str">
        <f>T("NORFOLK")</f>
        <v>NORFOLK</v>
      </c>
      <c r="J11473" t="str">
        <f t="shared" si="4205"/>
        <v>VA</v>
      </c>
      <c r="K11473" t="str">
        <f>T("757-445-8744")</f>
        <v>757-445-8744</v>
      </c>
      <c r="L11473" t="str">
        <f>T("7574450597")</f>
        <v>7574450597</v>
      </c>
    </row>
    <row r="11474" spans="1:12" x14ac:dyDescent="0.35">
      <c r="A11474" t="str">
        <f>T("STRKFITRON31")</f>
        <v>STRKFITRON31</v>
      </c>
      <c r="B11474" t="str">
        <f>T("VFA 31")</f>
        <v>VFA 31</v>
      </c>
      <c r="C11474" t="str">
        <f>T("879 NORNET DRIVE STE 400")</f>
        <v>879 NORNET DRIVE STE 400</v>
      </c>
      <c r="D11474" t="str">
        <f>T("VIRGINIA BEACH")</f>
        <v>VIRGINIA BEACH</v>
      </c>
      <c r="E11474" t="str">
        <f t="shared" si="4204"/>
        <v>VA</v>
      </c>
      <c r="F11474" t="str">
        <f>T("234602236")</f>
        <v>234602236</v>
      </c>
      <c r="G11474" t="str">
        <f>T("879 HORNET DRIVE")</f>
        <v>879 HORNET DRIVE</v>
      </c>
      <c r="H11474" t="str">
        <f>T("STE400")</f>
        <v>STE400</v>
      </c>
      <c r="I11474" t="str">
        <f>T("VIRGINIA BEACH")</f>
        <v>VIRGINIA BEACH</v>
      </c>
      <c r="J11474" t="str">
        <f t="shared" si="4205"/>
        <v>VA</v>
      </c>
      <c r="K11474" t="str">
        <f>T("000000000000000000")</f>
        <v>000000000000000000</v>
      </c>
      <c r="L11474" t="str">
        <f>T("7574335653")</f>
        <v>7574335653</v>
      </c>
    </row>
    <row r="11475" spans="1:12" x14ac:dyDescent="0.35">
      <c r="A11475" t="str">
        <f>T("STRKFITRON31")</f>
        <v>STRKFITRON31</v>
      </c>
      <c r="B11475" t="str">
        <f>T("VFA 31")</f>
        <v>VFA 31</v>
      </c>
      <c r="C11475" t="str">
        <f>T("879 NORNET DRIVE STE 400")</f>
        <v>879 NORNET DRIVE STE 400</v>
      </c>
      <c r="D11475" t="str">
        <f>T("VIRGINIA BEACH")</f>
        <v>VIRGINIA BEACH</v>
      </c>
      <c r="E11475" t="str">
        <f t="shared" si="4204"/>
        <v>VA</v>
      </c>
      <c r="F11475" t="str">
        <f>T("234602236")</f>
        <v>234602236</v>
      </c>
      <c r="G11475" t="str">
        <f>T("VFA 31")</f>
        <v>VFA 31</v>
      </c>
      <c r="H11475" t="str">
        <f>T("879 NORNET DRIVE STE 400")</f>
        <v>879 NORNET DRIVE STE 400</v>
      </c>
      <c r="I11475" t="str">
        <f>T("VIRGINIA BEACH")</f>
        <v>VIRGINIA BEACH</v>
      </c>
      <c r="J11475" t="str">
        <f t="shared" si="4205"/>
        <v>VA</v>
      </c>
      <c r="K11475" t="str">
        <f>T("757-433-5513")</f>
        <v>757-433-5513</v>
      </c>
      <c r="L11475" t="str">
        <f>T("7574335653")</f>
        <v>7574335653</v>
      </c>
    </row>
    <row r="11476" spans="1:12" x14ac:dyDescent="0.35">
      <c r="A11476" t="str">
        <f>T("STRKFITRON31")</f>
        <v>STRKFITRON31</v>
      </c>
      <c r="B11476" t="str">
        <f>T("VFA 31")</f>
        <v>VFA 31</v>
      </c>
      <c r="C11476" t="str">
        <f>T("879 NORNET DRIVE STE 400")</f>
        <v>879 NORNET DRIVE STE 400</v>
      </c>
      <c r="D11476" t="str">
        <f>T("VIRGINIA BEACH")</f>
        <v>VIRGINIA BEACH</v>
      </c>
      <c r="E11476" t="str">
        <f t="shared" si="4204"/>
        <v>VA</v>
      </c>
      <c r="F11476" t="str">
        <f>T("234602236")</f>
        <v>234602236</v>
      </c>
      <c r="G11476" t="str">
        <f>T("VFA-31")</f>
        <v>VFA-31</v>
      </c>
      <c r="H11476" t="str">
        <f>T("UNIT 60556")</f>
        <v>UNIT 60556</v>
      </c>
      <c r="I11476" t="str">
        <f>T("FPO")</f>
        <v>FPO</v>
      </c>
      <c r="J11476" t="str">
        <f>T("AE")</f>
        <v>AE</v>
      </c>
      <c r="K11476" t="str">
        <f>T("7574334102")</f>
        <v>7574334102</v>
      </c>
      <c r="L11476" t="str">
        <f>T("7574335653")</f>
        <v>7574335653</v>
      </c>
    </row>
    <row r="11477" spans="1:12" x14ac:dyDescent="0.35">
      <c r="A11477" t="str">
        <f>T("VAW-123")</f>
        <v>VAW-123</v>
      </c>
      <c r="B11477" t="str">
        <f>T("VAW 123")</f>
        <v>VAW 123</v>
      </c>
      <c r="C11477" t="str">
        <f>T("UNIT 60138")</f>
        <v>UNIT 60138</v>
      </c>
      <c r="D11477" t="str">
        <f t="shared" ref="D11477:D11486" si="4206">T("FPO")</f>
        <v>FPO</v>
      </c>
      <c r="E11477" t="str">
        <f t="shared" ref="E11477:E11486" si="4207">T("AE")</f>
        <v>AE</v>
      </c>
      <c r="F11477" t="str">
        <f>T("095076409")</f>
        <v>095076409</v>
      </c>
      <c r="G11477" t="str">
        <f>T("1029 BELLINGER BLVD")</f>
        <v>1029 BELLINGER BLVD</v>
      </c>
      <c r="H11477" t="str">
        <f>T("LP-33")</f>
        <v>LP-33</v>
      </c>
      <c r="I11477" t="str">
        <f>T("NORFOLK")</f>
        <v>NORFOLK</v>
      </c>
      <c r="J11477" t="str">
        <f>T("VA")</f>
        <v>VA</v>
      </c>
      <c r="K11477" t="str">
        <f>T("000000000000000000")</f>
        <v>000000000000000000</v>
      </c>
      <c r="L11477" t="str">
        <f>T("7574454068")</f>
        <v>7574454068</v>
      </c>
    </row>
    <row r="11478" spans="1:12" x14ac:dyDescent="0.35">
      <c r="A11478" t="str">
        <f>T("VAW-123")</f>
        <v>VAW-123</v>
      </c>
      <c r="B11478" t="str">
        <f>T("VAW 123")</f>
        <v>VAW 123</v>
      </c>
      <c r="C11478" t="str">
        <f>T("UNIT 60138")</f>
        <v>UNIT 60138</v>
      </c>
      <c r="D11478" t="str">
        <f t="shared" si="4206"/>
        <v>FPO</v>
      </c>
      <c r="E11478" t="str">
        <f t="shared" si="4207"/>
        <v>AE</v>
      </c>
      <c r="F11478" t="str">
        <f>T("095076409")</f>
        <v>095076409</v>
      </c>
      <c r="G11478" t="str">
        <f>T("9218 4TH AVE")</f>
        <v>9218 4TH AVE</v>
      </c>
      <c r="H11478" t="str">
        <f>T("STE 100 LP-21")</f>
        <v>STE 100 LP-21</v>
      </c>
      <c r="I11478" t="str">
        <f>T("NORFOLK")</f>
        <v>NORFOLK</v>
      </c>
      <c r="J11478" t="str">
        <f>T("VA")</f>
        <v>VA</v>
      </c>
      <c r="K11478" t="str">
        <f>T("000000000000000000")</f>
        <v>000000000000000000</v>
      </c>
      <c r="L11478" t="str">
        <f>T("7574449359")</f>
        <v>7574449359</v>
      </c>
    </row>
    <row r="11479" spans="1:12" x14ac:dyDescent="0.35">
      <c r="A11479" t="str">
        <f>T("VAW-123")</f>
        <v>VAW-123</v>
      </c>
      <c r="B11479" t="str">
        <f>T("VAW 123")</f>
        <v>VAW 123</v>
      </c>
      <c r="C11479" t="str">
        <f>T("UNIT 60138")</f>
        <v>UNIT 60138</v>
      </c>
      <c r="D11479" t="str">
        <f t="shared" si="4206"/>
        <v>FPO</v>
      </c>
      <c r="E11479" t="str">
        <f t="shared" si="4207"/>
        <v>AE</v>
      </c>
      <c r="F11479" t="str">
        <f>T("095076409")</f>
        <v>095076409</v>
      </c>
      <c r="G11479" t="str">
        <f>T("UNIT 200307 BOX 1")</f>
        <v>UNIT 200307 BOX 1</v>
      </c>
      <c r="H11479" t="str">
        <f>T("")</f>
        <v/>
      </c>
      <c r="I11479" t="str">
        <f>T("FPO")</f>
        <v>FPO</v>
      </c>
      <c r="J11479" t="str">
        <f>T("AE")</f>
        <v>AE</v>
      </c>
      <c r="K11479" t="str">
        <f>T("7574454917")</f>
        <v>7574454917</v>
      </c>
      <c r="L11479" t="str">
        <f>T("7574449156")</f>
        <v>7574449156</v>
      </c>
    </row>
    <row r="11480" spans="1:12" x14ac:dyDescent="0.35">
      <c r="A11480" t="str">
        <f>T("VAW-123")</f>
        <v>VAW-123</v>
      </c>
      <c r="B11480" t="str">
        <f>T("VAW 123")</f>
        <v>VAW 123</v>
      </c>
      <c r="C11480" t="str">
        <f>T("UNIT 60138")</f>
        <v>UNIT 60138</v>
      </c>
      <c r="D11480" t="str">
        <f t="shared" si="4206"/>
        <v>FPO</v>
      </c>
      <c r="E11480" t="str">
        <f t="shared" si="4207"/>
        <v>AE</v>
      </c>
      <c r="F11480" t="str">
        <f>T("095076409")</f>
        <v>095076409</v>
      </c>
      <c r="G11480" t="str">
        <f>T("VAW 123")</f>
        <v>VAW 123</v>
      </c>
      <c r="H11480" t="str">
        <f>T("UNIT 60138")</f>
        <v>UNIT 60138</v>
      </c>
      <c r="I11480" t="str">
        <f>T("FPO")</f>
        <v>FPO</v>
      </c>
      <c r="J11480" t="str">
        <f>T("AE")</f>
        <v>AE</v>
      </c>
      <c r="K11480" t="str">
        <f>T("7574454917")</f>
        <v>7574454917</v>
      </c>
      <c r="L11480" t="str">
        <f>T("7574449705")</f>
        <v>7574449705</v>
      </c>
    </row>
    <row r="11481" spans="1:12" x14ac:dyDescent="0.35">
      <c r="A11481" t="str">
        <f t="shared" ref="A11481:A11486" si="4208">T("VFA-37")</f>
        <v>VFA-37</v>
      </c>
      <c r="B11481" t="str">
        <f t="shared" ref="B11481:B11486" si="4209">T("VFA-37 NAS OCEANA")</f>
        <v>VFA-37 NAS OCEANA</v>
      </c>
      <c r="C11481" t="str">
        <f t="shared" ref="C11481:C11486" si="4210">T("UNIT 60153")</f>
        <v>UNIT 60153</v>
      </c>
      <c r="D11481" t="str">
        <f t="shared" si="4206"/>
        <v>FPO</v>
      </c>
      <c r="E11481" t="str">
        <f t="shared" si="4207"/>
        <v>AE</v>
      </c>
      <c r="F11481" t="str">
        <f t="shared" ref="F11481:F11486" si="4211">T("095046207")</f>
        <v>095046207</v>
      </c>
      <c r="G11481" t="str">
        <f>T("733 OPERATIONS DR")</f>
        <v>733 OPERATIONS DR</v>
      </c>
      <c r="H11481" t="str">
        <f>T("STE 200 HANGAR 145")</f>
        <v>STE 200 HANGAR 145</v>
      </c>
      <c r="I11481" t="str">
        <f>T("VIRGINIA BEACH")</f>
        <v>VIRGINIA BEACH</v>
      </c>
      <c r="J11481" t="str">
        <f>T("VA")</f>
        <v>VA</v>
      </c>
      <c r="K11481" t="str">
        <f>T("000000000000000000")</f>
        <v>000000000000000000</v>
      </c>
      <c r="L11481" t="str">
        <f t="shared" ref="L11481:L11486" si="4212">T("7574339335")</f>
        <v>7574339335</v>
      </c>
    </row>
    <row r="11482" spans="1:12" x14ac:dyDescent="0.35">
      <c r="A11482" t="str">
        <f t="shared" si="4208"/>
        <v>VFA-37</v>
      </c>
      <c r="B11482" t="str">
        <f t="shared" si="4209"/>
        <v>VFA-37 NAS OCEANA</v>
      </c>
      <c r="C11482" t="str">
        <f t="shared" si="4210"/>
        <v>UNIT 60153</v>
      </c>
      <c r="D11482" t="str">
        <f t="shared" si="4206"/>
        <v>FPO</v>
      </c>
      <c r="E11482" t="str">
        <f t="shared" si="4207"/>
        <v>AE</v>
      </c>
      <c r="F11482" t="str">
        <f t="shared" si="4211"/>
        <v>095046207</v>
      </c>
      <c r="G11482" t="str">
        <f>T("733 OPERATIONS DR")</f>
        <v>733 OPERATIONS DR</v>
      </c>
      <c r="H11482" t="str">
        <f>T("STE 200 HANGAR 145")</f>
        <v>STE 200 HANGAR 145</v>
      </c>
      <c r="I11482" t="str">
        <f>T("VIRGINIA BEACH")</f>
        <v>VIRGINIA BEACH</v>
      </c>
      <c r="J11482" t="str">
        <f>T("VA")</f>
        <v>VA</v>
      </c>
      <c r="K11482" t="str">
        <f>T("7574339364")</f>
        <v>7574339364</v>
      </c>
      <c r="L11482" t="str">
        <f t="shared" si="4212"/>
        <v>7574339335</v>
      </c>
    </row>
    <row r="11483" spans="1:12" x14ac:dyDescent="0.35">
      <c r="A11483" t="str">
        <f t="shared" si="4208"/>
        <v>VFA-37</v>
      </c>
      <c r="B11483" t="str">
        <f t="shared" si="4209"/>
        <v>VFA-37 NAS OCEANA</v>
      </c>
      <c r="C11483" t="str">
        <f t="shared" si="4210"/>
        <v>UNIT 60153</v>
      </c>
      <c r="D11483" t="str">
        <f t="shared" si="4206"/>
        <v>FPO</v>
      </c>
      <c r="E11483" t="str">
        <f t="shared" si="4207"/>
        <v>AE</v>
      </c>
      <c r="F11483" t="str">
        <f t="shared" si="4211"/>
        <v>095046207</v>
      </c>
      <c r="G11483" t="str">
        <f>T("733 OPERATIONS DR STE 200")</f>
        <v>733 OPERATIONS DR STE 200</v>
      </c>
      <c r="H11483" t="str">
        <f>T("HANGAR 145")</f>
        <v>HANGAR 145</v>
      </c>
      <c r="I11483" t="str">
        <f>T("VIRGINIA BEACH")</f>
        <v>VIRGINIA BEACH</v>
      </c>
      <c r="J11483" t="str">
        <f>T("VA")</f>
        <v>VA</v>
      </c>
      <c r="K11483" t="str">
        <f>T("000000000000000000")</f>
        <v>000000000000000000</v>
      </c>
      <c r="L11483" t="str">
        <f t="shared" si="4212"/>
        <v>7574339335</v>
      </c>
    </row>
    <row r="11484" spans="1:12" x14ac:dyDescent="0.35">
      <c r="A11484" t="str">
        <f t="shared" si="4208"/>
        <v>VFA-37</v>
      </c>
      <c r="B11484" t="str">
        <f t="shared" si="4209"/>
        <v>VFA-37 NAS OCEANA</v>
      </c>
      <c r="C11484" t="str">
        <f t="shared" si="4210"/>
        <v>UNIT 60153</v>
      </c>
      <c r="D11484" t="str">
        <f t="shared" si="4206"/>
        <v>FPO</v>
      </c>
      <c r="E11484" t="str">
        <f t="shared" si="4207"/>
        <v>AE</v>
      </c>
      <c r="F11484" t="str">
        <f t="shared" si="4211"/>
        <v>095046207</v>
      </c>
      <c r="G11484" t="str">
        <f>T("733 OPERATIONS DR SUITE 200")</f>
        <v>733 OPERATIONS DR SUITE 200</v>
      </c>
      <c r="H11484" t="str">
        <f>T("")</f>
        <v/>
      </c>
      <c r="I11484" t="str">
        <f>T("VIRGINIA BEACH")</f>
        <v>VIRGINIA BEACH</v>
      </c>
      <c r="J11484" t="str">
        <f>T("VA")</f>
        <v>VA</v>
      </c>
      <c r="K11484" t="str">
        <f>T("000000000000000000")</f>
        <v>000000000000000000</v>
      </c>
      <c r="L11484" t="str">
        <f t="shared" si="4212"/>
        <v>7574339335</v>
      </c>
    </row>
    <row r="11485" spans="1:12" x14ac:dyDescent="0.35">
      <c r="A11485" t="str">
        <f t="shared" si="4208"/>
        <v>VFA-37</v>
      </c>
      <c r="B11485" t="str">
        <f t="shared" si="4209"/>
        <v>VFA-37 NAS OCEANA</v>
      </c>
      <c r="C11485" t="str">
        <f t="shared" si="4210"/>
        <v>UNIT 60153</v>
      </c>
      <c r="D11485" t="str">
        <f t="shared" si="4206"/>
        <v>FPO</v>
      </c>
      <c r="E11485" t="str">
        <f t="shared" si="4207"/>
        <v>AE</v>
      </c>
      <c r="F11485" t="str">
        <f t="shared" si="4211"/>
        <v>095046207</v>
      </c>
      <c r="G11485" t="str">
        <f>T("NAS OCEANA HANGAR 145")</f>
        <v>NAS OCEANA HANGAR 145</v>
      </c>
      <c r="H11485" t="str">
        <f>T("")</f>
        <v/>
      </c>
      <c r="I11485" t="str">
        <f>T("VA BEACH")</f>
        <v>VA BEACH</v>
      </c>
      <c r="J11485" t="str">
        <f>T("VA")</f>
        <v>VA</v>
      </c>
      <c r="K11485" t="str">
        <f>T("7574339364")</f>
        <v>7574339364</v>
      </c>
      <c r="L11485" t="str">
        <f t="shared" si="4212"/>
        <v>7574339335</v>
      </c>
    </row>
    <row r="11486" spans="1:12" x14ac:dyDescent="0.35">
      <c r="A11486" t="str">
        <f t="shared" si="4208"/>
        <v>VFA-37</v>
      </c>
      <c r="B11486" t="str">
        <f t="shared" si="4209"/>
        <v>VFA-37 NAS OCEANA</v>
      </c>
      <c r="C11486" t="str">
        <f t="shared" si="4210"/>
        <v>UNIT 60153</v>
      </c>
      <c r="D11486" t="str">
        <f t="shared" si="4206"/>
        <v>FPO</v>
      </c>
      <c r="E11486" t="str">
        <f t="shared" si="4207"/>
        <v>AE</v>
      </c>
      <c r="F11486" t="str">
        <f t="shared" si="4211"/>
        <v>095046207</v>
      </c>
      <c r="G11486" t="str">
        <f>T("VFA-37 NAS OCEANA")</f>
        <v>VFA-37 NAS OCEANA</v>
      </c>
      <c r="H11486" t="str">
        <f>T("UNIT 60153")</f>
        <v>UNIT 60153</v>
      </c>
      <c r="I11486" t="str">
        <f>T("FPO")</f>
        <v>FPO</v>
      </c>
      <c r="J11486" t="str">
        <f>T("AE")</f>
        <v>AE</v>
      </c>
      <c r="K11486" t="str">
        <f>T("")</f>
        <v/>
      </c>
      <c r="L11486" t="str">
        <f t="shared" si="4212"/>
        <v>7574339335</v>
      </c>
    </row>
    <row r="11487" spans="1:12" x14ac:dyDescent="0.35">
      <c r="A11487" t="str">
        <f>T("HSC-5")</f>
        <v>HSC-5</v>
      </c>
      <c r="B11487" t="str">
        <f>T("504 A STREET HANGAR SP40")</f>
        <v>504 A STREET HANGAR SP40</v>
      </c>
      <c r="C11487" t="str">
        <f>T("")</f>
        <v/>
      </c>
      <c r="D11487" t="str">
        <f t="shared" ref="D11487:D11499" si="4213">T("NORFOLK")</f>
        <v>NORFOLK</v>
      </c>
      <c r="E11487" t="str">
        <f t="shared" ref="E11487:E11499" si="4214">T("VA")</f>
        <v>VA</v>
      </c>
      <c r="F11487" t="str">
        <f>T("235114026")</f>
        <v>235114026</v>
      </c>
      <c r="G11487" t="str">
        <f>T("504 A ST")</f>
        <v>504 A ST</v>
      </c>
      <c r="H11487" t="str">
        <f>T("BLDG SP40 STE 100")</f>
        <v>BLDG SP40 STE 100</v>
      </c>
      <c r="I11487" t="str">
        <f>T("NORFOLK")</f>
        <v>NORFOLK</v>
      </c>
      <c r="J11487" t="str">
        <f>T("VA")</f>
        <v>VA</v>
      </c>
      <c r="K11487" t="str">
        <f>T("000000000000000000")</f>
        <v>000000000000000000</v>
      </c>
      <c r="L11487" t="str">
        <f>T("7573229536")</f>
        <v>7573229536</v>
      </c>
    </row>
    <row r="11488" spans="1:12" x14ac:dyDescent="0.35">
      <c r="A11488" t="str">
        <f>T("HSC-5")</f>
        <v>HSC-5</v>
      </c>
      <c r="B11488" t="str">
        <f>T("504 A STREET HANGAR SP40")</f>
        <v>504 A STREET HANGAR SP40</v>
      </c>
      <c r="C11488" t="str">
        <f>T("")</f>
        <v/>
      </c>
      <c r="D11488" t="str">
        <f t="shared" si="4213"/>
        <v>NORFOLK</v>
      </c>
      <c r="E11488" t="str">
        <f t="shared" si="4214"/>
        <v>VA</v>
      </c>
      <c r="F11488" t="str">
        <f>T("235114026")</f>
        <v>235114026</v>
      </c>
      <c r="G11488" t="str">
        <f>T("504 A STREET HANGAR SP40")</f>
        <v>504 A STREET HANGAR SP40</v>
      </c>
      <c r="H11488" t="str">
        <f>T("")</f>
        <v/>
      </c>
      <c r="I11488" t="str">
        <f>T("NORFOLK")</f>
        <v>NORFOLK</v>
      </c>
      <c r="J11488" t="str">
        <f>T("VA")</f>
        <v>VA</v>
      </c>
      <c r="K11488" t="str">
        <f>T("")</f>
        <v/>
      </c>
      <c r="L11488" t="str">
        <f>T("7573229536")</f>
        <v>7573229536</v>
      </c>
    </row>
    <row r="11489" spans="1:12" x14ac:dyDescent="0.35">
      <c r="A11489" t="str">
        <f t="shared" ref="A11489:B11492" si="4215">T("VAW-124")</f>
        <v>VAW-124</v>
      </c>
      <c r="B11489" t="str">
        <f t="shared" si="4215"/>
        <v>VAW-124</v>
      </c>
      <c r="C11489" t="str">
        <f>T("9218 4TH AVE")</f>
        <v>9218 4TH AVE</v>
      </c>
      <c r="D11489" t="str">
        <f t="shared" si="4213"/>
        <v>NORFOLK</v>
      </c>
      <c r="E11489" t="str">
        <f t="shared" si="4214"/>
        <v>VA</v>
      </c>
      <c r="F11489" t="str">
        <f>T("235112230")</f>
        <v>235112230</v>
      </c>
      <c r="G11489" t="str">
        <f>T("9218 4TH AVE")</f>
        <v>9218 4TH AVE</v>
      </c>
      <c r="H11489" t="str">
        <f>T("STE 200")</f>
        <v>STE 200</v>
      </c>
      <c r="I11489" t="str">
        <f>T("NORFOLK")</f>
        <v>NORFOLK</v>
      </c>
      <c r="J11489" t="str">
        <f>T("VA")</f>
        <v>VA</v>
      </c>
      <c r="K11489" t="str">
        <f>T("000000000000000000")</f>
        <v>000000000000000000</v>
      </c>
      <c r="L11489" t="str">
        <f>T("7574450640")</f>
        <v>7574450640</v>
      </c>
    </row>
    <row r="11490" spans="1:12" x14ac:dyDescent="0.35">
      <c r="A11490" t="str">
        <f t="shared" si="4215"/>
        <v>VAW-124</v>
      </c>
      <c r="B11490" t="str">
        <f t="shared" si="4215"/>
        <v>VAW-124</v>
      </c>
      <c r="C11490" t="str">
        <f>T("9218 4TH AVE")</f>
        <v>9218 4TH AVE</v>
      </c>
      <c r="D11490" t="str">
        <f t="shared" si="4213"/>
        <v>NORFOLK</v>
      </c>
      <c r="E11490" t="str">
        <f t="shared" si="4214"/>
        <v>VA</v>
      </c>
      <c r="F11490" t="str">
        <f>T("235112230")</f>
        <v>235112230</v>
      </c>
      <c r="G11490" t="str">
        <f>T("9218 4TH AVE")</f>
        <v>9218 4TH AVE</v>
      </c>
      <c r="H11490" t="str">
        <f>T("SUITE 200")</f>
        <v>SUITE 200</v>
      </c>
      <c r="I11490" t="str">
        <f>T("NORFOLK")</f>
        <v>NORFOLK</v>
      </c>
      <c r="J11490" t="str">
        <f>T("VA")</f>
        <v>VA</v>
      </c>
      <c r="K11490" t="str">
        <f>T("7574458747")</f>
        <v>7574458747</v>
      </c>
      <c r="L11490" t="str">
        <f>T("7574450640")</f>
        <v>7574450640</v>
      </c>
    </row>
    <row r="11491" spans="1:12" x14ac:dyDescent="0.35">
      <c r="A11491" t="str">
        <f t="shared" si="4215"/>
        <v>VAW-124</v>
      </c>
      <c r="B11491" t="str">
        <f t="shared" si="4215"/>
        <v>VAW-124</v>
      </c>
      <c r="C11491" t="str">
        <f>T("9218 4TH AVE")</f>
        <v>9218 4TH AVE</v>
      </c>
      <c r="D11491" t="str">
        <f t="shared" si="4213"/>
        <v>NORFOLK</v>
      </c>
      <c r="E11491" t="str">
        <f t="shared" si="4214"/>
        <v>VA</v>
      </c>
      <c r="F11491" t="str">
        <f>T("235112230")</f>
        <v>235112230</v>
      </c>
      <c r="G11491" t="str">
        <f>T("CARAEWRON ONE TWO FOUR")</f>
        <v>CARAEWRON ONE TWO FOUR</v>
      </c>
      <c r="H11491" t="str">
        <f>T("")</f>
        <v/>
      </c>
      <c r="I11491" t="str">
        <f>T("FPO")</f>
        <v>FPO</v>
      </c>
      <c r="J11491" t="str">
        <f>T("AE")</f>
        <v>AE</v>
      </c>
      <c r="K11491" t="str">
        <f>T("7574458412")</f>
        <v>7574458412</v>
      </c>
      <c r="L11491" t="str">
        <f>T("7574449600")</f>
        <v>7574449600</v>
      </c>
    </row>
    <row r="11492" spans="1:12" x14ac:dyDescent="0.35">
      <c r="A11492" t="str">
        <f t="shared" si="4215"/>
        <v>VAW-124</v>
      </c>
      <c r="B11492" t="str">
        <f t="shared" si="4215"/>
        <v>VAW-124</v>
      </c>
      <c r="C11492" t="str">
        <f>T("9218 4TH AVE")</f>
        <v>9218 4TH AVE</v>
      </c>
      <c r="D11492" t="str">
        <f t="shared" si="4213"/>
        <v>NORFOLK</v>
      </c>
      <c r="E11492" t="str">
        <f t="shared" si="4214"/>
        <v>VA</v>
      </c>
      <c r="F11492" t="str">
        <f>T("235112230")</f>
        <v>235112230</v>
      </c>
      <c r="G11492" t="str">
        <f>T("VAW-124")</f>
        <v>VAW-124</v>
      </c>
      <c r="H11492" t="str">
        <f>T("9218 4TH AVE")</f>
        <v>9218 4TH AVE</v>
      </c>
      <c r="I11492" t="str">
        <f t="shared" ref="I11492:I11499" si="4216">T("NORFOLK")</f>
        <v>NORFOLK</v>
      </c>
      <c r="J11492" t="str">
        <f t="shared" ref="J11492:J11502" si="4217">T("VA")</f>
        <v>VA</v>
      </c>
      <c r="K11492" t="str">
        <f>T("7574454912")</f>
        <v>7574454912</v>
      </c>
      <c r="L11492" t="str">
        <f>T("7574450296")</f>
        <v>7574450296</v>
      </c>
    </row>
    <row r="11493" spans="1:12" x14ac:dyDescent="0.35">
      <c r="A11493" t="str">
        <f>T("VAW-120")</f>
        <v>VAW-120</v>
      </c>
      <c r="B11493" t="str">
        <f>T("1027 BELLINGER BLVD")</f>
        <v>1027 BELLINGER BLVD</v>
      </c>
      <c r="C11493" t="str">
        <f>T("HGR LP-34")</f>
        <v>HGR LP-34</v>
      </c>
      <c r="D11493" t="str">
        <f t="shared" si="4213"/>
        <v>NORFOLK</v>
      </c>
      <c r="E11493" t="str">
        <f t="shared" si="4214"/>
        <v>VA</v>
      </c>
      <c r="F11493" t="str">
        <f>T("235112216")</f>
        <v>235112216</v>
      </c>
      <c r="G11493" t="str">
        <f>T("1027 BELLINGER BLVD")</f>
        <v>1027 BELLINGER BLVD</v>
      </c>
      <c r="H11493" t="str">
        <f>T("")</f>
        <v/>
      </c>
      <c r="I11493" t="str">
        <f t="shared" si="4216"/>
        <v>NORFOLK</v>
      </c>
      <c r="J11493" t="str">
        <f t="shared" si="4217"/>
        <v>VA</v>
      </c>
      <c r="K11493" t="str">
        <f>T("000000000000000000")</f>
        <v>000000000000000000</v>
      </c>
      <c r="L11493" t="str">
        <f>T("7574456804")</f>
        <v>7574456804</v>
      </c>
    </row>
    <row r="11494" spans="1:12" x14ac:dyDescent="0.35">
      <c r="A11494" t="str">
        <f>T("VAW-120")</f>
        <v>VAW-120</v>
      </c>
      <c r="B11494" t="str">
        <f>T("1027 BELLINGER BLVD")</f>
        <v>1027 BELLINGER BLVD</v>
      </c>
      <c r="C11494" t="str">
        <f>T("HGR LP-34")</f>
        <v>HGR LP-34</v>
      </c>
      <c r="D11494" t="str">
        <f t="shared" si="4213"/>
        <v>NORFOLK</v>
      </c>
      <c r="E11494" t="str">
        <f t="shared" si="4214"/>
        <v>VA</v>
      </c>
      <c r="F11494" t="str">
        <f>T("235112216")</f>
        <v>235112216</v>
      </c>
      <c r="G11494" t="str">
        <f>T("1027 BELLINGER BLVD")</f>
        <v>1027 BELLINGER BLVD</v>
      </c>
      <c r="H11494" t="str">
        <f>T("BLDG LP-34")</f>
        <v>BLDG LP-34</v>
      </c>
      <c r="I11494" t="str">
        <f t="shared" si="4216"/>
        <v>NORFOLK</v>
      </c>
      <c r="J11494" t="str">
        <f t="shared" si="4217"/>
        <v>VA</v>
      </c>
      <c r="K11494" t="str">
        <f>T("7574456804")</f>
        <v>7574456804</v>
      </c>
      <c r="L11494" t="str">
        <f>T("7574445352")</f>
        <v>7574445352</v>
      </c>
    </row>
    <row r="11495" spans="1:12" x14ac:dyDescent="0.35">
      <c r="A11495" t="str">
        <f>T("VAW-120")</f>
        <v>VAW-120</v>
      </c>
      <c r="B11495" t="str">
        <f>T("1027 BELLINGER BLVD")</f>
        <v>1027 BELLINGER BLVD</v>
      </c>
      <c r="C11495" t="str">
        <f>T("HGR LP-34")</f>
        <v>HGR LP-34</v>
      </c>
      <c r="D11495" t="str">
        <f t="shared" si="4213"/>
        <v>NORFOLK</v>
      </c>
      <c r="E11495" t="str">
        <f t="shared" si="4214"/>
        <v>VA</v>
      </c>
      <c r="F11495" t="str">
        <f>T("235112216")</f>
        <v>235112216</v>
      </c>
      <c r="G11495" t="str">
        <f>T("1027 BELLINGER BLVD")</f>
        <v>1027 BELLINGER BLVD</v>
      </c>
      <c r="H11495" t="str">
        <f>T("HGR LP-34")</f>
        <v>HGR LP-34</v>
      </c>
      <c r="I11495" t="str">
        <f t="shared" si="4216"/>
        <v>NORFOLK</v>
      </c>
      <c r="J11495" t="str">
        <f t="shared" si="4217"/>
        <v>VA</v>
      </c>
      <c r="K11495" t="str">
        <f>T("")</f>
        <v/>
      </c>
      <c r="L11495" t="str">
        <f>T("7574445352")</f>
        <v>7574445352</v>
      </c>
    </row>
    <row r="11496" spans="1:12" x14ac:dyDescent="0.35">
      <c r="A11496" t="str">
        <f>T("VAW-120")</f>
        <v>VAW-120</v>
      </c>
      <c r="B11496" t="str">
        <f>T("1027 BELLINGER BLVD")</f>
        <v>1027 BELLINGER BLVD</v>
      </c>
      <c r="C11496" t="str">
        <f>T("HGR LP-34")</f>
        <v>HGR LP-34</v>
      </c>
      <c r="D11496" t="str">
        <f t="shared" si="4213"/>
        <v>NORFOLK</v>
      </c>
      <c r="E11496" t="str">
        <f t="shared" si="4214"/>
        <v>VA</v>
      </c>
      <c r="F11496" t="str">
        <f>T("235112216")</f>
        <v>235112216</v>
      </c>
      <c r="G11496" t="str">
        <f>T("1027 BELLINGER BLVD")</f>
        <v>1027 BELLINGER BLVD</v>
      </c>
      <c r="H11496" t="str">
        <f>T("LP 34")</f>
        <v>LP 34</v>
      </c>
      <c r="I11496" t="str">
        <f t="shared" si="4216"/>
        <v>NORFOLK</v>
      </c>
      <c r="J11496" t="str">
        <f t="shared" si="4217"/>
        <v>VA</v>
      </c>
      <c r="K11496" t="str">
        <f>T("000000000000000000")</f>
        <v>000000000000000000</v>
      </c>
      <c r="L11496" t="str">
        <f>T("7574445352")</f>
        <v>7574445352</v>
      </c>
    </row>
    <row r="11497" spans="1:12" x14ac:dyDescent="0.35">
      <c r="A11497" t="str">
        <f>T("VAW-120")</f>
        <v>VAW-120</v>
      </c>
      <c r="B11497" t="str">
        <f>T("1027 BELLINGER BLVD")</f>
        <v>1027 BELLINGER BLVD</v>
      </c>
      <c r="C11497" t="str">
        <f>T("HGR LP-34")</f>
        <v>HGR LP-34</v>
      </c>
      <c r="D11497" t="str">
        <f t="shared" si="4213"/>
        <v>NORFOLK</v>
      </c>
      <c r="E11497" t="str">
        <f t="shared" si="4214"/>
        <v>VA</v>
      </c>
      <c r="F11497" t="str">
        <f>T("235112216")</f>
        <v>235112216</v>
      </c>
      <c r="G11497" t="str">
        <f>T("1027 BELLINGER BLVD")</f>
        <v>1027 BELLINGER BLVD</v>
      </c>
      <c r="H11497" t="str">
        <f>T("LP34")</f>
        <v>LP34</v>
      </c>
      <c r="I11497" t="str">
        <f t="shared" si="4216"/>
        <v>NORFOLK</v>
      </c>
      <c r="J11497" t="str">
        <f t="shared" si="4217"/>
        <v>VA</v>
      </c>
      <c r="K11497" t="str">
        <f>T("7574456804")</f>
        <v>7574456804</v>
      </c>
      <c r="L11497" t="str">
        <f>T("7574445352")</f>
        <v>7574445352</v>
      </c>
    </row>
    <row r="11498" spans="1:12" x14ac:dyDescent="0.35">
      <c r="A11498" t="str">
        <f>T("CPRG ADMIN")</f>
        <v>CPRG ADMIN</v>
      </c>
      <c r="B11498" t="str">
        <f>T("7927 INGERSOL ST")</f>
        <v>7927 INGERSOL ST</v>
      </c>
      <c r="C11498" t="str">
        <f>T("SUITE 250")</f>
        <v>SUITE 250</v>
      </c>
      <c r="D11498" t="str">
        <f t="shared" si="4213"/>
        <v>NORFOLK</v>
      </c>
      <c r="E11498" t="str">
        <f t="shared" si="4214"/>
        <v>VA</v>
      </c>
      <c r="F11498" t="str">
        <f>T("235512308")</f>
        <v>235512308</v>
      </c>
      <c r="G11498" t="str">
        <f>T("7927 INGERSOL ST")</f>
        <v>7927 INGERSOL ST</v>
      </c>
      <c r="H11498" t="str">
        <f>T("SUITE 250")</f>
        <v>SUITE 250</v>
      </c>
      <c r="I11498" t="str">
        <f t="shared" si="4216"/>
        <v>NORFOLK</v>
      </c>
      <c r="J11498" t="str">
        <f t="shared" si="4217"/>
        <v>VA</v>
      </c>
      <c r="K11498" t="str">
        <f>T("7578366745")</f>
        <v>7578366745</v>
      </c>
      <c r="L11498" t="str">
        <f>T("7578365251")</f>
        <v>7578365251</v>
      </c>
    </row>
    <row r="11499" spans="1:12" x14ac:dyDescent="0.35">
      <c r="A11499" t="str">
        <f>T("CPRG ADMIN")</f>
        <v>CPRG ADMIN</v>
      </c>
      <c r="B11499" t="str">
        <f>T("7927 INGERSOL ST")</f>
        <v>7927 INGERSOL ST</v>
      </c>
      <c r="C11499" t="str">
        <f>T("SUITE 250")</f>
        <v>SUITE 250</v>
      </c>
      <c r="D11499" t="str">
        <f t="shared" si="4213"/>
        <v>NORFOLK</v>
      </c>
      <c r="E11499" t="str">
        <f t="shared" si="4214"/>
        <v>VA</v>
      </c>
      <c r="F11499" t="str">
        <f>T("235512308")</f>
        <v>235512308</v>
      </c>
      <c r="G11499" t="str">
        <f>T("7927 INGERSOL ST STE 250")</f>
        <v>7927 INGERSOL ST STE 250</v>
      </c>
      <c r="H11499" t="str">
        <f>T("")</f>
        <v/>
      </c>
      <c r="I11499" t="str">
        <f t="shared" si="4216"/>
        <v>NORFOLK</v>
      </c>
      <c r="J11499" t="str">
        <f t="shared" si="4217"/>
        <v>VA</v>
      </c>
      <c r="K11499" t="str">
        <f>T("7578366745")</f>
        <v>7578366745</v>
      </c>
      <c r="L11499" t="str">
        <f>T("7578366574")</f>
        <v>7578366574</v>
      </c>
    </row>
    <row r="11500" spans="1:12" x14ac:dyDescent="0.35">
      <c r="A11500" t="str">
        <f>T("VFA-11")</f>
        <v>VFA-11</v>
      </c>
      <c r="B11500" t="str">
        <f>T("UNIT VFA 11")</f>
        <v>UNIT VFA 11</v>
      </c>
      <c r="C11500" t="str">
        <f>T("804 B AVE ST 100")</f>
        <v>804 B AVE ST 100</v>
      </c>
      <c r="D11500" t="str">
        <f>T("FPO")</f>
        <v>FPO</v>
      </c>
      <c r="E11500" t="str">
        <f>T("AE")</f>
        <v>AE</v>
      </c>
      <c r="F11500" t="str">
        <f>T("095015758")</f>
        <v>095015758</v>
      </c>
      <c r="G11500" t="str">
        <f>T("804 B AVE")</f>
        <v>804 B AVE</v>
      </c>
      <c r="H11500" t="str">
        <f>T("HANGAR 404-1 SUITE 100")</f>
        <v>HANGAR 404-1 SUITE 100</v>
      </c>
      <c r="I11500" t="str">
        <f>T("VIRGINIA BEACH")</f>
        <v>VIRGINIA BEACH</v>
      </c>
      <c r="J11500" t="str">
        <f t="shared" si="4217"/>
        <v>VA</v>
      </c>
      <c r="K11500" t="str">
        <f>T("7574335986")</f>
        <v>7574335986</v>
      </c>
      <c r="L11500" t="str">
        <f>T("7574335454")</f>
        <v>7574335454</v>
      </c>
    </row>
    <row r="11501" spans="1:12" x14ac:dyDescent="0.35">
      <c r="A11501" t="str">
        <f>T("VFA-11")</f>
        <v>VFA-11</v>
      </c>
      <c r="B11501" t="str">
        <f>T("UNIT VFA 11")</f>
        <v>UNIT VFA 11</v>
      </c>
      <c r="C11501" t="str">
        <f>T("804 B AVE ST 100")</f>
        <v>804 B AVE ST 100</v>
      </c>
      <c r="D11501" t="str">
        <f>T("FPO")</f>
        <v>FPO</v>
      </c>
      <c r="E11501" t="str">
        <f>T("AE")</f>
        <v>AE</v>
      </c>
      <c r="F11501" t="str">
        <f>T("095015758")</f>
        <v>095015758</v>
      </c>
      <c r="G11501" t="str">
        <f>T("804 B AVE HANGAR 404")</f>
        <v>804 B AVE HANGAR 404</v>
      </c>
      <c r="H11501" t="str">
        <f>T("STE 100")</f>
        <v>STE 100</v>
      </c>
      <c r="I11501" t="str">
        <f>T("VIRGINIA BEACH")</f>
        <v>VIRGINIA BEACH</v>
      </c>
      <c r="J11501" t="str">
        <f t="shared" si="4217"/>
        <v>VA</v>
      </c>
      <c r="K11501" t="str">
        <f>T("7574335986")</f>
        <v>7574335986</v>
      </c>
      <c r="L11501" t="str">
        <f>T("7574335454")</f>
        <v>7574335454</v>
      </c>
    </row>
    <row r="11502" spans="1:12" x14ac:dyDescent="0.35">
      <c r="A11502" t="str">
        <f>T("VFA-11")</f>
        <v>VFA-11</v>
      </c>
      <c r="B11502" t="str">
        <f>T("UNIT VFA 11")</f>
        <v>UNIT VFA 11</v>
      </c>
      <c r="C11502" t="str">
        <f>T("804 B AVE ST 100")</f>
        <v>804 B AVE ST 100</v>
      </c>
      <c r="D11502" t="str">
        <f>T("FPO")</f>
        <v>FPO</v>
      </c>
      <c r="E11502" t="str">
        <f>T("AE")</f>
        <v>AE</v>
      </c>
      <c r="F11502" t="str">
        <f>T("095015758")</f>
        <v>095015758</v>
      </c>
      <c r="G11502" t="str">
        <f>T("804 B AVE STE 100")</f>
        <v>804 B AVE STE 100</v>
      </c>
      <c r="H11502" t="str">
        <f>T("")</f>
        <v/>
      </c>
      <c r="I11502" t="str">
        <f>T("VIRGINIA BEACH")</f>
        <v>VIRGINIA BEACH</v>
      </c>
      <c r="J11502" t="str">
        <f t="shared" si="4217"/>
        <v>VA</v>
      </c>
      <c r="K11502" t="str">
        <f>T("7574335986")</f>
        <v>7574335986</v>
      </c>
      <c r="L11502" t="str">
        <f>T("7574335454")</f>
        <v>7574335454</v>
      </c>
    </row>
    <row r="11503" spans="1:12" x14ac:dyDescent="0.35">
      <c r="A11503" t="str">
        <f>T("VFA-11")</f>
        <v>VFA-11</v>
      </c>
      <c r="B11503" t="str">
        <f>T("UNIT VFA 11")</f>
        <v>UNIT VFA 11</v>
      </c>
      <c r="C11503" t="str">
        <f>T("804 B AVE ST 100")</f>
        <v>804 B AVE ST 100</v>
      </c>
      <c r="D11503" t="str">
        <f>T("FPO")</f>
        <v>FPO</v>
      </c>
      <c r="E11503" t="str">
        <f>T("AE")</f>
        <v>AE</v>
      </c>
      <c r="F11503" t="str">
        <f>T("095015758")</f>
        <v>095015758</v>
      </c>
      <c r="G11503" t="str">
        <f>T("UNIT VFA 11")</f>
        <v>UNIT VFA 11</v>
      </c>
      <c r="H11503" t="str">
        <f>T("804 B AVE ST 100")</f>
        <v>804 B AVE ST 100</v>
      </c>
      <c r="I11503" t="str">
        <f>T("FPO")</f>
        <v>FPO</v>
      </c>
      <c r="J11503" t="str">
        <f>T("AE")</f>
        <v>AE</v>
      </c>
      <c r="K11503" t="str">
        <f>T("7574335378")</f>
        <v>7574335378</v>
      </c>
      <c r="L11503" t="str">
        <f>T("7574335407")</f>
        <v>7574335407</v>
      </c>
    </row>
    <row r="11504" spans="1:12" x14ac:dyDescent="0.35">
      <c r="A11504" t="str">
        <f>T("VP-26")</f>
        <v>VP-26</v>
      </c>
      <c r="B11504" t="str">
        <f>T("PATRON TWO SIX")</f>
        <v>PATRON TWO SIX</v>
      </c>
      <c r="C11504" t="str">
        <f>T("HANGAR 511 YORKTOWN AVE")</f>
        <v>HANGAR 511 YORKTOWN AVE</v>
      </c>
      <c r="D11504" t="str">
        <f t="shared" ref="D11504:D11510" si="4218">T("JACKSONVILLE")</f>
        <v>JACKSONVILLE</v>
      </c>
      <c r="E11504" t="str">
        <f t="shared" ref="E11504:E11510" si="4219">T("FL")</f>
        <v>FL</v>
      </c>
      <c r="F11504" t="str">
        <f>T("322120026")</f>
        <v>322120026</v>
      </c>
      <c r="G11504" t="str">
        <f>T("PATRON TWO SIX")</f>
        <v>PATRON TWO SIX</v>
      </c>
      <c r="H11504" t="str">
        <f>T("HAGAR 511 YORKTOWN AVE")</f>
        <v>HAGAR 511 YORKTOWN AVE</v>
      </c>
      <c r="I11504" t="str">
        <f t="shared" ref="I11504:I11510" si="4220">T("JACKSONVILLE")</f>
        <v>JACKSONVILLE</v>
      </c>
      <c r="J11504" t="str">
        <f t="shared" ref="J11504:J11510" si="4221">T("FL")</f>
        <v>FL</v>
      </c>
      <c r="K11504" t="str">
        <f>T("9045425739")</f>
        <v>9045425739</v>
      </c>
      <c r="L11504" t="str">
        <f>T("9045428519")</f>
        <v>9045428519</v>
      </c>
    </row>
    <row r="11505" spans="1:12" x14ac:dyDescent="0.35">
      <c r="A11505" t="str">
        <f>T("VP-26")</f>
        <v>VP-26</v>
      </c>
      <c r="B11505" t="str">
        <f>T("PATRON TWO SIX")</f>
        <v>PATRON TWO SIX</v>
      </c>
      <c r="C11505" t="str">
        <f>T("HANGAR 511 YORKTOWN AVE")</f>
        <v>HANGAR 511 YORKTOWN AVE</v>
      </c>
      <c r="D11505" t="str">
        <f t="shared" si="4218"/>
        <v>JACKSONVILLE</v>
      </c>
      <c r="E11505" t="str">
        <f t="shared" si="4219"/>
        <v>FL</v>
      </c>
      <c r="F11505" t="str">
        <f>T("322120026")</f>
        <v>322120026</v>
      </c>
      <c r="G11505" t="str">
        <f>T("PATRON TWO SIX")</f>
        <v>PATRON TWO SIX</v>
      </c>
      <c r="H11505" t="str">
        <f>T("HANGAR 511 YORKTOWN AVE")</f>
        <v>HANGAR 511 YORKTOWN AVE</v>
      </c>
      <c r="I11505" t="str">
        <f t="shared" si="4220"/>
        <v>JACKSONVILLE</v>
      </c>
      <c r="J11505" t="str">
        <f t="shared" si="4221"/>
        <v>FL</v>
      </c>
      <c r="K11505" t="str">
        <f>T("000000000000000000")</f>
        <v>000000000000000000</v>
      </c>
      <c r="L11505" t="str">
        <f>T("9045428519")</f>
        <v>9045428519</v>
      </c>
    </row>
    <row r="11506" spans="1:12" x14ac:dyDescent="0.35">
      <c r="A11506" t="str">
        <f>T("VP-26")</f>
        <v>VP-26</v>
      </c>
      <c r="B11506" t="str">
        <f>T("PATRON TWO SIX")</f>
        <v>PATRON TWO SIX</v>
      </c>
      <c r="C11506" t="str">
        <f>T("HANGAR 511 YORKTOWN AVE")</f>
        <v>HANGAR 511 YORKTOWN AVE</v>
      </c>
      <c r="D11506" t="str">
        <f t="shared" si="4218"/>
        <v>JACKSONVILLE</v>
      </c>
      <c r="E11506" t="str">
        <f t="shared" si="4219"/>
        <v>FL</v>
      </c>
      <c r="F11506" t="str">
        <f>T("322120026")</f>
        <v>322120026</v>
      </c>
      <c r="G11506" t="str">
        <f>T("PATRON TWO SIX")</f>
        <v>PATRON TWO SIX</v>
      </c>
      <c r="H11506" t="str">
        <f>T("HANGAR 511 YORKTOWN AVE")</f>
        <v>HANGAR 511 YORKTOWN AVE</v>
      </c>
      <c r="I11506" t="str">
        <f t="shared" si="4220"/>
        <v>JACKSONVILLE</v>
      </c>
      <c r="J11506" t="str">
        <f t="shared" si="4221"/>
        <v>FL</v>
      </c>
      <c r="K11506" t="str">
        <f>T("904-542-3611")</f>
        <v>904-542-3611</v>
      </c>
      <c r="L11506" t="str">
        <f>T("9045428519")</f>
        <v>9045428519</v>
      </c>
    </row>
    <row r="11507" spans="1:12" x14ac:dyDescent="0.35">
      <c r="A11507" t="str">
        <f>T("VP-26")</f>
        <v>VP-26</v>
      </c>
      <c r="B11507" t="str">
        <f>T("PATRON TWO SIX")</f>
        <v>PATRON TWO SIX</v>
      </c>
      <c r="C11507" t="str">
        <f>T("HANGAR 511 YORKTOWN AVE")</f>
        <v>HANGAR 511 YORKTOWN AVE</v>
      </c>
      <c r="D11507" t="str">
        <f t="shared" si="4218"/>
        <v>JACKSONVILLE</v>
      </c>
      <c r="E11507" t="str">
        <f t="shared" si="4219"/>
        <v>FL</v>
      </c>
      <c r="F11507" t="str">
        <f>T("322120026")</f>
        <v>322120026</v>
      </c>
      <c r="G11507" t="str">
        <f>T("PATRON TWO SIX")</f>
        <v>PATRON TWO SIX</v>
      </c>
      <c r="H11507" t="str">
        <f>T("HANGER 511 YORKTOWN")</f>
        <v>HANGER 511 YORKTOWN</v>
      </c>
      <c r="I11507" t="str">
        <f t="shared" si="4220"/>
        <v>JACKSONVILLE</v>
      </c>
      <c r="J11507" t="str">
        <f t="shared" si="4221"/>
        <v>FL</v>
      </c>
      <c r="K11507" t="str">
        <f>T("000000000000000000")</f>
        <v>000000000000000000</v>
      </c>
      <c r="L11507" t="str">
        <f>T("9045428519")</f>
        <v>9045428519</v>
      </c>
    </row>
    <row r="11508" spans="1:12" x14ac:dyDescent="0.35">
      <c r="A11508" t="str">
        <f>T("VP-5")</f>
        <v>VP-5</v>
      </c>
      <c r="B11508" t="str">
        <f>T("PO BOX 17")</f>
        <v>PO BOX 17</v>
      </c>
      <c r="C11508" t="str">
        <f>T("")</f>
        <v/>
      </c>
      <c r="D11508" t="str">
        <f t="shared" si="4218"/>
        <v>JACKSONVILLE</v>
      </c>
      <c r="E11508" t="str">
        <f t="shared" si="4219"/>
        <v>FL</v>
      </c>
      <c r="F11508" t="str">
        <f>T("322120017")</f>
        <v>322120017</v>
      </c>
      <c r="G11508" t="str">
        <f>T("PO BOX 17")</f>
        <v>PO BOX 17</v>
      </c>
      <c r="H11508" t="str">
        <f>T("")</f>
        <v/>
      </c>
      <c r="I11508" t="str">
        <f t="shared" si="4220"/>
        <v>JACKSONVILLE</v>
      </c>
      <c r="J11508" t="str">
        <f t="shared" si="4221"/>
        <v>FL</v>
      </c>
      <c r="K11508" t="str">
        <f>T("")</f>
        <v/>
      </c>
      <c r="L11508" t="str">
        <f>T("9045425129")</f>
        <v>9045425129</v>
      </c>
    </row>
    <row r="11509" spans="1:12" x14ac:dyDescent="0.35">
      <c r="A11509" t="str">
        <f>T("VP-5")</f>
        <v>VP-5</v>
      </c>
      <c r="B11509" t="str">
        <f>T("PO BOX 17")</f>
        <v>PO BOX 17</v>
      </c>
      <c r="C11509" t="str">
        <f>T("")</f>
        <v/>
      </c>
      <c r="D11509" t="str">
        <f t="shared" si="4218"/>
        <v>JACKSONVILLE</v>
      </c>
      <c r="E11509" t="str">
        <f t="shared" si="4219"/>
        <v>FL</v>
      </c>
      <c r="F11509" t="str">
        <f>T("322120017")</f>
        <v>322120017</v>
      </c>
      <c r="G11509" t="str">
        <f>T("PO BOX 17 NAS JACKSONVILLE")</f>
        <v>PO BOX 17 NAS JACKSONVILLE</v>
      </c>
      <c r="H11509" t="str">
        <f>T("")</f>
        <v/>
      </c>
      <c r="I11509" t="str">
        <f t="shared" si="4220"/>
        <v>JACKSONVILLE</v>
      </c>
      <c r="J11509" t="str">
        <f t="shared" si="4221"/>
        <v>FL</v>
      </c>
      <c r="K11509" t="str">
        <f>T("9045424822")</f>
        <v>9045424822</v>
      </c>
      <c r="L11509" t="str">
        <f>T("1111111111")</f>
        <v>1111111111</v>
      </c>
    </row>
    <row r="11510" spans="1:12" x14ac:dyDescent="0.35">
      <c r="A11510" t="str">
        <f>T("VP-5")</f>
        <v>VP-5</v>
      </c>
      <c r="B11510" t="str">
        <f>T("PO BOX 17")</f>
        <v>PO BOX 17</v>
      </c>
      <c r="C11510" t="str">
        <f>T("")</f>
        <v/>
      </c>
      <c r="D11510" t="str">
        <f t="shared" si="4218"/>
        <v>JACKSONVILLE</v>
      </c>
      <c r="E11510" t="str">
        <f t="shared" si="4219"/>
        <v>FL</v>
      </c>
      <c r="F11510" t="str">
        <f>T("322120017")</f>
        <v>322120017</v>
      </c>
      <c r="G11510" t="str">
        <f>T("YORKTOWN AVE, HANGER, 511 SEG-3")</f>
        <v>YORKTOWN AVE, HANGER, 511 SEG-3</v>
      </c>
      <c r="H11510" t="str">
        <f>T("NAVAL AIRSTATION JACKSONVILLE")</f>
        <v>NAVAL AIRSTATION JACKSONVILLE</v>
      </c>
      <c r="I11510" t="str">
        <f t="shared" si="4220"/>
        <v>JACKSONVILLE</v>
      </c>
      <c r="J11510" t="str">
        <f t="shared" si="4221"/>
        <v>FL</v>
      </c>
      <c r="K11510" t="str">
        <f>T("9045424822")</f>
        <v>9045424822</v>
      </c>
      <c r="L11510" t="str">
        <f>T("9045421383")</f>
        <v>9045421383</v>
      </c>
    </row>
    <row r="11511" spans="1:12" x14ac:dyDescent="0.35">
      <c r="A11511" t="str">
        <f>T("PATROL SQUADRON 10")</f>
        <v>PATROL SQUADRON 10</v>
      </c>
      <c r="B11511" t="str">
        <f>T("VP-10 DET 1")</f>
        <v>VP-10 DET 1</v>
      </c>
      <c r="C11511" t="str">
        <f>T("UNIT 209116")</f>
        <v>UNIT 209116</v>
      </c>
      <c r="D11511" t="str">
        <f>T("FPO")</f>
        <v>FPO</v>
      </c>
      <c r="E11511" t="str">
        <f>T("AP")</f>
        <v>AP</v>
      </c>
      <c r="F11511" t="str">
        <f>T("966011600")</f>
        <v>966011600</v>
      </c>
      <c r="G11511" t="str">
        <f>T("VP-10 DET 1")</f>
        <v>VP-10 DET 1</v>
      </c>
      <c r="H11511" t="str">
        <f>T("UNIT 209116")</f>
        <v>UNIT 209116</v>
      </c>
      <c r="I11511" t="str">
        <f>T("FPO")</f>
        <v>FPO</v>
      </c>
      <c r="J11511" t="str">
        <f>T("AP")</f>
        <v>AP</v>
      </c>
      <c r="K11511" t="str">
        <f>T("")</f>
        <v/>
      </c>
      <c r="L11511" t="str">
        <f>T("3156348340")</f>
        <v>3156348340</v>
      </c>
    </row>
    <row r="11512" spans="1:12" x14ac:dyDescent="0.35">
      <c r="A11512" t="str">
        <f>T("PATROL SQUADRON 10")</f>
        <v>PATROL SQUADRON 10</v>
      </c>
      <c r="B11512" t="str">
        <f>T("VP-10 DET 1")</f>
        <v>VP-10 DET 1</v>
      </c>
      <c r="C11512" t="str">
        <f>T("UNIT 209116")</f>
        <v>UNIT 209116</v>
      </c>
      <c r="D11512" t="str">
        <f>T("FPO")</f>
        <v>FPO</v>
      </c>
      <c r="E11512" t="str">
        <f>T("AP")</f>
        <v>AP</v>
      </c>
      <c r="F11512" t="str">
        <f>T("966011600")</f>
        <v>966011600</v>
      </c>
      <c r="G11512" t="str">
        <f>T("VP-10 DET 1")</f>
        <v>VP-10 DET 1</v>
      </c>
      <c r="H11512" t="str">
        <f>T("UNIT 209116")</f>
        <v>UNIT 209116</v>
      </c>
      <c r="I11512" t="str">
        <f>T("FPO")</f>
        <v>FPO</v>
      </c>
      <c r="J11512" t="str">
        <f>T("AP")</f>
        <v>AP</v>
      </c>
      <c r="K11512" t="str">
        <f>T("000000000000000000")</f>
        <v>000000000000000000</v>
      </c>
      <c r="L11512" t="str">
        <f>T("1111111111")</f>
        <v>1111111111</v>
      </c>
    </row>
    <row r="11513" spans="1:12" x14ac:dyDescent="0.35">
      <c r="A11513" t="str">
        <f t="shared" ref="A11513:B11516" si="4222">T("VP-8")</f>
        <v>VP-8</v>
      </c>
      <c r="B11513" t="str">
        <f t="shared" si="4222"/>
        <v>VP-8</v>
      </c>
      <c r="C11513" t="str">
        <f>T("BOX 47")</f>
        <v>BOX 47</v>
      </c>
      <c r="D11513" t="str">
        <f t="shared" ref="D11513:D11520" si="4223">T("JACKSONVILLE")</f>
        <v>JACKSONVILLE</v>
      </c>
      <c r="E11513" t="str">
        <f t="shared" ref="E11513:E11520" si="4224">T("FL")</f>
        <v>FL</v>
      </c>
      <c r="F11513" t="str">
        <f>T("322120047")</f>
        <v>322120047</v>
      </c>
      <c r="G11513" t="str">
        <f>T("VP-8")</f>
        <v>VP-8</v>
      </c>
      <c r="H11513" t="str">
        <f>T("BOX 47")</f>
        <v>BOX 47</v>
      </c>
      <c r="I11513" t="str">
        <f>T("JACKSONVILLE")</f>
        <v>JACKSONVILLE</v>
      </c>
      <c r="J11513" t="str">
        <f>T("FL")</f>
        <v>FL</v>
      </c>
      <c r="K11513" t="str">
        <f>T("")</f>
        <v/>
      </c>
      <c r="L11513" t="str">
        <f>T("9045420086")</f>
        <v>9045420086</v>
      </c>
    </row>
    <row r="11514" spans="1:12" x14ac:dyDescent="0.35">
      <c r="A11514" t="str">
        <f t="shared" si="4222"/>
        <v>VP-8</v>
      </c>
      <c r="B11514" t="str">
        <f t="shared" si="4222"/>
        <v>VP-8</v>
      </c>
      <c r="C11514" t="str">
        <f>T("BOX 47")</f>
        <v>BOX 47</v>
      </c>
      <c r="D11514" t="str">
        <f t="shared" si="4223"/>
        <v>JACKSONVILLE</v>
      </c>
      <c r="E11514" t="str">
        <f t="shared" si="4224"/>
        <v>FL</v>
      </c>
      <c r="F11514" t="str">
        <f>T("322120047")</f>
        <v>322120047</v>
      </c>
      <c r="G11514" t="str">
        <f>T("VP-8")</f>
        <v>VP-8</v>
      </c>
      <c r="H11514" t="str">
        <f>T("BOX 47")</f>
        <v>BOX 47</v>
      </c>
      <c r="I11514" t="str">
        <f>T("JACKSONVILLE")</f>
        <v>JACKSONVILLE</v>
      </c>
      <c r="J11514" t="str">
        <f>T("FL")</f>
        <v>FL</v>
      </c>
      <c r="K11514" t="str">
        <f>T("000000000000000000")</f>
        <v>000000000000000000</v>
      </c>
      <c r="L11514" t="str">
        <f>T("9045420086")</f>
        <v>9045420086</v>
      </c>
    </row>
    <row r="11515" spans="1:12" x14ac:dyDescent="0.35">
      <c r="A11515" t="str">
        <f t="shared" si="4222"/>
        <v>VP-8</v>
      </c>
      <c r="B11515" t="str">
        <f t="shared" si="4222"/>
        <v>VP-8</v>
      </c>
      <c r="C11515" t="str">
        <f>T("BOX 47")</f>
        <v>BOX 47</v>
      </c>
      <c r="D11515" t="str">
        <f t="shared" si="4223"/>
        <v>JACKSONVILLE</v>
      </c>
      <c r="E11515" t="str">
        <f t="shared" si="4224"/>
        <v>FL</v>
      </c>
      <c r="F11515" t="str">
        <f>T("322120047")</f>
        <v>322120047</v>
      </c>
      <c r="G11515" t="str">
        <f>T("VP-8")</f>
        <v>VP-8</v>
      </c>
      <c r="H11515" t="str">
        <f>T("BOX 47")</f>
        <v>BOX 47</v>
      </c>
      <c r="I11515" t="str">
        <f>T("JACKSONVILLE")</f>
        <v>JACKSONVILLE</v>
      </c>
      <c r="J11515" t="str">
        <f>T("FL")</f>
        <v>FL</v>
      </c>
      <c r="K11515" t="str">
        <f>T("000000000000000000")</f>
        <v>000000000000000000</v>
      </c>
      <c r="L11515" t="str">
        <f>T("9045425424")</f>
        <v>9045425424</v>
      </c>
    </row>
    <row r="11516" spans="1:12" x14ac:dyDescent="0.35">
      <c r="A11516" t="str">
        <f t="shared" si="4222"/>
        <v>VP-8</v>
      </c>
      <c r="B11516" t="str">
        <f t="shared" si="4222"/>
        <v>VP-8</v>
      </c>
      <c r="C11516" t="str">
        <f>T("BOX 47")</f>
        <v>BOX 47</v>
      </c>
      <c r="D11516" t="str">
        <f t="shared" si="4223"/>
        <v>JACKSONVILLE</v>
      </c>
      <c r="E11516" t="str">
        <f t="shared" si="4224"/>
        <v>FL</v>
      </c>
      <c r="F11516" t="str">
        <f>T("322120047")</f>
        <v>322120047</v>
      </c>
      <c r="G11516" t="str">
        <f>T("VP-8")</f>
        <v>VP-8</v>
      </c>
      <c r="H11516" t="str">
        <f>T("BOX 47")</f>
        <v>BOX 47</v>
      </c>
      <c r="I11516" t="str">
        <f>T("JACKSONVILLE")</f>
        <v>JACKSONVILLE</v>
      </c>
      <c r="J11516" t="str">
        <f>T("FL")</f>
        <v>FL</v>
      </c>
      <c r="K11516" t="str">
        <f>T("5425818")</f>
        <v>5425818</v>
      </c>
      <c r="L11516" t="str">
        <f>T("9045420086")</f>
        <v>9045420086</v>
      </c>
    </row>
    <row r="11517" spans="1:12" x14ac:dyDescent="0.35">
      <c r="A11517" t="str">
        <f>T("VP-45")</f>
        <v>VP-45</v>
      </c>
      <c r="B11517" t="str">
        <f>T("VP-45 HANGAR 511 SEGMENT 3")</f>
        <v>VP-45 HANGAR 511 SEGMENT 3</v>
      </c>
      <c r="C11517" t="str">
        <f>T("YORKTOWN ST NAS")</f>
        <v>YORKTOWN ST NAS</v>
      </c>
      <c r="D11517" t="str">
        <f t="shared" si="4223"/>
        <v>JACKSONVILLE</v>
      </c>
      <c r="E11517" t="str">
        <f t="shared" si="4224"/>
        <v>FL</v>
      </c>
      <c r="F11517" t="str">
        <f>T("322120000")</f>
        <v>322120000</v>
      </c>
      <c r="G11517" t="str">
        <f>T("UNIT 200113 BOX 13")</f>
        <v>UNIT 200113 BOX 13</v>
      </c>
      <c r="H11517" t="str">
        <f>T("VP-45")</f>
        <v>VP-45</v>
      </c>
      <c r="I11517" t="str">
        <f>T("FPO")</f>
        <v>FPO</v>
      </c>
      <c r="J11517" t="str">
        <f>T("AE")</f>
        <v>AE</v>
      </c>
      <c r="K11517" t="str">
        <f>T("000000000000000000")</f>
        <v>000000000000000000</v>
      </c>
      <c r="L11517" t="str">
        <f>T("9045425424")</f>
        <v>9045425424</v>
      </c>
    </row>
    <row r="11518" spans="1:12" x14ac:dyDescent="0.35">
      <c r="A11518" t="str">
        <f>T("VP-45")</f>
        <v>VP-45</v>
      </c>
      <c r="B11518" t="str">
        <f>T("VP-45 HANGAR 511 SEGMENT 3")</f>
        <v>VP-45 HANGAR 511 SEGMENT 3</v>
      </c>
      <c r="C11518" t="str">
        <f>T("YORKTOWN ST NAS")</f>
        <v>YORKTOWN ST NAS</v>
      </c>
      <c r="D11518" t="str">
        <f t="shared" si="4223"/>
        <v>JACKSONVILLE</v>
      </c>
      <c r="E11518" t="str">
        <f t="shared" si="4224"/>
        <v>FL</v>
      </c>
      <c r="F11518" t="str">
        <f>T("322120000")</f>
        <v>322120000</v>
      </c>
      <c r="G11518" t="str">
        <f>T("VP-45 HANGAR 511 SEGMENT 2")</f>
        <v>VP-45 HANGAR 511 SEGMENT 2</v>
      </c>
      <c r="H11518" t="str">
        <f>T("NAS JACKSONVILLE")</f>
        <v>NAS JACKSONVILLE</v>
      </c>
      <c r="I11518" t="str">
        <f>T("JACKSONVILLE")</f>
        <v>JACKSONVILLE</v>
      </c>
      <c r="J11518" t="str">
        <f>T("FL")</f>
        <v>FL</v>
      </c>
      <c r="K11518" t="str">
        <f>T("9045422724")</f>
        <v>9045422724</v>
      </c>
      <c r="L11518" t="str">
        <f>T("9045425424")</f>
        <v>9045425424</v>
      </c>
    </row>
    <row r="11519" spans="1:12" x14ac:dyDescent="0.35">
      <c r="A11519" t="str">
        <f>T("VP-45")</f>
        <v>VP-45</v>
      </c>
      <c r="B11519" t="str">
        <f>T("VP-45 HANGAR 511 SEGMENT 3")</f>
        <v>VP-45 HANGAR 511 SEGMENT 3</v>
      </c>
      <c r="C11519" t="str">
        <f>T("YORKTOWN ST NAS")</f>
        <v>YORKTOWN ST NAS</v>
      </c>
      <c r="D11519" t="str">
        <f t="shared" si="4223"/>
        <v>JACKSONVILLE</v>
      </c>
      <c r="E11519" t="str">
        <f t="shared" si="4224"/>
        <v>FL</v>
      </c>
      <c r="F11519" t="str">
        <f>T("322120000")</f>
        <v>322120000</v>
      </c>
      <c r="G11519" t="str">
        <f>T("VP-45 HANGAR 511 SEGMENT 3")</f>
        <v>VP-45 HANGAR 511 SEGMENT 3</v>
      </c>
      <c r="H11519" t="str">
        <f>T("BOX 83")</f>
        <v>BOX 83</v>
      </c>
      <c r="I11519" t="str">
        <f>T("JACKSONVILLE")</f>
        <v>JACKSONVILLE</v>
      </c>
      <c r="J11519" t="str">
        <f>T("FL")</f>
        <v>FL</v>
      </c>
      <c r="K11519" t="str">
        <f>T("9045422884")</f>
        <v>9045422884</v>
      </c>
      <c r="L11519" t="str">
        <f>T("9045421383")</f>
        <v>9045421383</v>
      </c>
    </row>
    <row r="11520" spans="1:12" x14ac:dyDescent="0.35">
      <c r="A11520" t="str">
        <f>T("VP-45")</f>
        <v>VP-45</v>
      </c>
      <c r="B11520" t="str">
        <f>T("VP-45 HANGAR 511 SEGMENT 3")</f>
        <v>VP-45 HANGAR 511 SEGMENT 3</v>
      </c>
      <c r="C11520" t="str">
        <f>T("YORKTOWN ST NAS")</f>
        <v>YORKTOWN ST NAS</v>
      </c>
      <c r="D11520" t="str">
        <f t="shared" si="4223"/>
        <v>JACKSONVILLE</v>
      </c>
      <c r="E11520" t="str">
        <f t="shared" si="4224"/>
        <v>FL</v>
      </c>
      <c r="F11520" t="str">
        <f>T("322120000")</f>
        <v>322120000</v>
      </c>
      <c r="G11520" t="str">
        <f>T("VP-45 HANGAR 511 SEGMENT 3")</f>
        <v>VP-45 HANGAR 511 SEGMENT 3</v>
      </c>
      <c r="H11520" t="str">
        <f>T("YORKTOWN ST NAS")</f>
        <v>YORKTOWN ST NAS</v>
      </c>
      <c r="I11520" t="str">
        <f>T("JACKSONVILLE")</f>
        <v>JACKSONVILLE</v>
      </c>
      <c r="J11520" t="str">
        <f>T("FL")</f>
        <v>FL</v>
      </c>
      <c r="K11520" t="str">
        <f>T("9045424057")</f>
        <v>9045424057</v>
      </c>
      <c r="L11520" t="str">
        <f>T("9045425424")</f>
        <v>9045425424</v>
      </c>
    </row>
    <row r="11521" spans="1:12" x14ac:dyDescent="0.35">
      <c r="A11521" t="str">
        <f t="shared" ref="A11521:A11529" si="4225">T("VFA-106")</f>
        <v>VFA-106</v>
      </c>
      <c r="B11521" t="str">
        <f>T("1760 FIRST ST")</f>
        <v>1760 FIRST ST</v>
      </c>
      <c r="C11521" t="str">
        <f>T("HANGER 122")</f>
        <v>HANGER 122</v>
      </c>
      <c r="D11521" t="str">
        <f t="shared" ref="D11521:D11532" si="4226">T("VIRGINIA BCH")</f>
        <v>VIRGINIA BCH</v>
      </c>
      <c r="E11521" t="str">
        <f t="shared" ref="E11521:E11536" si="4227">T("VA")</f>
        <v>VA</v>
      </c>
      <c r="F11521" t="str">
        <f>T("234602257")</f>
        <v>234602257</v>
      </c>
      <c r="G11521" t="str">
        <f>T("1760 FIRST ST")</f>
        <v>1760 FIRST ST</v>
      </c>
      <c r="H11521" t="str">
        <f>T("HANGER 122")</f>
        <v>HANGER 122</v>
      </c>
      <c r="I11521" t="str">
        <f>T("VIRGINIA BCH")</f>
        <v>VIRGINIA BCH</v>
      </c>
      <c r="J11521" t="str">
        <f t="shared" ref="J11521:J11536" si="4228">T("VA")</f>
        <v>VA</v>
      </c>
      <c r="K11521" t="str">
        <f>T("7574339300")</f>
        <v>7574339300</v>
      </c>
      <c r="L11521" t="str">
        <f>T("7574339009")</f>
        <v>7574339009</v>
      </c>
    </row>
    <row r="11522" spans="1:12" x14ac:dyDescent="0.35">
      <c r="A11522" t="str">
        <f t="shared" si="4225"/>
        <v>VFA-106</v>
      </c>
      <c r="B11522" t="str">
        <f>T("1760 FIRST ST")</f>
        <v>1760 FIRST ST</v>
      </c>
      <c r="C11522" t="str">
        <f>T("HANGER 122")</f>
        <v>HANGER 122</v>
      </c>
      <c r="D11522" t="str">
        <f t="shared" si="4226"/>
        <v>VIRGINIA BCH</v>
      </c>
      <c r="E11522" t="str">
        <f t="shared" si="4227"/>
        <v>VA</v>
      </c>
      <c r="F11522" t="str">
        <f>T("234602257")</f>
        <v>234602257</v>
      </c>
      <c r="G11522" t="str">
        <f>T("1760 FIRST ST")</f>
        <v>1760 FIRST ST</v>
      </c>
      <c r="H11522" t="str">
        <f>T("STE 200 HANGAR 122")</f>
        <v>STE 200 HANGAR 122</v>
      </c>
      <c r="I11522" t="str">
        <f>T("VIRGINIA BEACH")</f>
        <v>VIRGINIA BEACH</v>
      </c>
      <c r="J11522" t="str">
        <f t="shared" si="4228"/>
        <v>VA</v>
      </c>
      <c r="K11522" t="str">
        <f>T("000000000000000000")</f>
        <v>000000000000000000</v>
      </c>
      <c r="L11522" t="str">
        <f>T("7574339292")</f>
        <v>7574339292</v>
      </c>
    </row>
    <row r="11523" spans="1:12" x14ac:dyDescent="0.35">
      <c r="A11523" t="str">
        <f t="shared" si="4225"/>
        <v>VFA-106</v>
      </c>
      <c r="B11523" t="str">
        <f>T("1760 FIRST ST")</f>
        <v>1760 FIRST ST</v>
      </c>
      <c r="C11523" t="str">
        <f>T("HANGER 122")</f>
        <v>HANGER 122</v>
      </c>
      <c r="D11523" t="str">
        <f t="shared" si="4226"/>
        <v>VIRGINIA BCH</v>
      </c>
      <c r="E11523" t="str">
        <f t="shared" si="4227"/>
        <v>VA</v>
      </c>
      <c r="F11523" t="str">
        <f>T("234602257")</f>
        <v>234602257</v>
      </c>
      <c r="G11523" t="str">
        <f>T("1760 FIRST ST STE 200")</f>
        <v>1760 FIRST ST STE 200</v>
      </c>
      <c r="H11523" t="str">
        <f>T("HANGAR 122")</f>
        <v>HANGAR 122</v>
      </c>
      <c r="I11523" t="str">
        <f>T("VIRGINIA BEACH")</f>
        <v>VIRGINIA BEACH</v>
      </c>
      <c r="J11523" t="str">
        <f t="shared" si="4228"/>
        <v>VA</v>
      </c>
      <c r="K11523" t="str">
        <f>T("000000000000000000")</f>
        <v>000000000000000000</v>
      </c>
      <c r="L11523" t="str">
        <f>T("7574339292")</f>
        <v>7574339292</v>
      </c>
    </row>
    <row r="11524" spans="1:12" x14ac:dyDescent="0.35">
      <c r="A11524" t="str">
        <f t="shared" si="4225"/>
        <v>VFA-106</v>
      </c>
      <c r="B11524" t="str">
        <f>T("1760 FIRST ST")</f>
        <v>1760 FIRST ST</v>
      </c>
      <c r="C11524" t="str">
        <f>T("HANGER 122")</f>
        <v>HANGER 122</v>
      </c>
      <c r="D11524" t="str">
        <f t="shared" si="4226"/>
        <v>VIRGINIA BCH</v>
      </c>
      <c r="E11524" t="str">
        <f t="shared" si="4227"/>
        <v>VA</v>
      </c>
      <c r="F11524" t="str">
        <f>T("234602257")</f>
        <v>234602257</v>
      </c>
      <c r="G11524" t="str">
        <f>T("1760 FIRST ST STE 200 HANGAR 122")</f>
        <v>1760 FIRST ST STE 200 HANGAR 122</v>
      </c>
      <c r="H11524" t="str">
        <f>T("")</f>
        <v/>
      </c>
      <c r="I11524" t="str">
        <f>T("VIRGINIA BEACH")</f>
        <v>VIRGINIA BEACH</v>
      </c>
      <c r="J11524" t="str">
        <f t="shared" si="4228"/>
        <v>VA</v>
      </c>
      <c r="K11524" t="str">
        <f>T("000000000000000000")</f>
        <v>000000000000000000</v>
      </c>
      <c r="L11524" t="str">
        <f>T("7574339292")</f>
        <v>7574339292</v>
      </c>
    </row>
    <row r="11525" spans="1:12" x14ac:dyDescent="0.35">
      <c r="A11525" t="str">
        <f t="shared" si="4225"/>
        <v>VFA-106</v>
      </c>
      <c r="B11525" t="str">
        <f>T("1760 FIRST ST")</f>
        <v>1760 FIRST ST</v>
      </c>
      <c r="C11525" t="str">
        <f>T("HANGER 122")</f>
        <v>HANGER 122</v>
      </c>
      <c r="D11525" t="str">
        <f t="shared" si="4226"/>
        <v>VIRGINIA BCH</v>
      </c>
      <c r="E11525" t="str">
        <f t="shared" si="4227"/>
        <v>VA</v>
      </c>
      <c r="F11525" t="str">
        <f>T("234602257")</f>
        <v>234602257</v>
      </c>
      <c r="G11525" t="str">
        <f>T("1760 FIRST STREET STE 200")</f>
        <v>1760 FIRST STREET STE 200</v>
      </c>
      <c r="H11525" t="str">
        <f>T("")</f>
        <v/>
      </c>
      <c r="I11525" t="str">
        <f>T("VIRGINIA BEACH")</f>
        <v>VIRGINIA BEACH</v>
      </c>
      <c r="J11525" t="str">
        <f t="shared" si="4228"/>
        <v>VA</v>
      </c>
      <c r="K11525" t="str">
        <f>T("000000000000000000")</f>
        <v>000000000000000000</v>
      </c>
      <c r="L11525" t="str">
        <f>T("3052933229")</f>
        <v>3052933229</v>
      </c>
    </row>
    <row r="11526" spans="1:12" x14ac:dyDescent="0.35">
      <c r="A11526" t="str">
        <f t="shared" si="4225"/>
        <v>VFA-106</v>
      </c>
      <c r="B11526" t="str">
        <f>T("1760 FIRST ST STE 200")</f>
        <v>1760 FIRST ST STE 200</v>
      </c>
      <c r="C11526" t="str">
        <f t="shared" ref="C11526:C11532" si="4229">T("")</f>
        <v/>
      </c>
      <c r="D11526" t="str">
        <f t="shared" si="4226"/>
        <v>VIRGINIA BCH</v>
      </c>
      <c r="E11526" t="str">
        <f t="shared" si="4227"/>
        <v>VA</v>
      </c>
      <c r="F11526" t="str">
        <f>T("234602210")</f>
        <v>234602210</v>
      </c>
      <c r="G11526" t="str">
        <f>T("1760 FIRST ST STE 200")</f>
        <v>1760 FIRST ST STE 200</v>
      </c>
      <c r="H11526" t="str">
        <f>T("")</f>
        <v/>
      </c>
      <c r="I11526" t="str">
        <f>T("VIRGINIA BCH")</f>
        <v>VIRGINIA BCH</v>
      </c>
      <c r="J11526" t="str">
        <f t="shared" si="4228"/>
        <v>VA</v>
      </c>
      <c r="K11526" t="str">
        <f>T("7574339300")</f>
        <v>7574339300</v>
      </c>
      <c r="L11526" t="str">
        <f>T("7574339591")</f>
        <v>7574339591</v>
      </c>
    </row>
    <row r="11527" spans="1:12" x14ac:dyDescent="0.35">
      <c r="A11527" t="str">
        <f t="shared" si="4225"/>
        <v>VFA-106</v>
      </c>
      <c r="B11527" t="str">
        <f>T("1760 FIRST ST STE 200")</f>
        <v>1760 FIRST ST STE 200</v>
      </c>
      <c r="C11527" t="str">
        <f t="shared" si="4229"/>
        <v/>
      </c>
      <c r="D11527" t="str">
        <f t="shared" si="4226"/>
        <v>VIRGINIA BCH</v>
      </c>
      <c r="E11527" t="str">
        <f t="shared" si="4227"/>
        <v>VA</v>
      </c>
      <c r="F11527" t="str">
        <f>T("234602210")</f>
        <v>234602210</v>
      </c>
      <c r="G11527" t="str">
        <f>T("1760 FIRST ST STE 200 HANGAR 122")</f>
        <v>1760 FIRST ST STE 200 HANGAR 122</v>
      </c>
      <c r="H11527" t="str">
        <f>T("")</f>
        <v/>
      </c>
      <c r="I11527" t="str">
        <f>T("VIRGINIA BEACH")</f>
        <v>VIRGINIA BEACH</v>
      </c>
      <c r="J11527" t="str">
        <f t="shared" si="4228"/>
        <v>VA</v>
      </c>
      <c r="K11527" t="str">
        <f>T("000000000000000000")</f>
        <v>000000000000000000</v>
      </c>
      <c r="L11527" t="str">
        <f>T("7574339292")</f>
        <v>7574339292</v>
      </c>
    </row>
    <row r="11528" spans="1:12" x14ac:dyDescent="0.35">
      <c r="A11528" t="str">
        <f t="shared" si="4225"/>
        <v>VFA-106</v>
      </c>
      <c r="B11528" t="str">
        <f>T("1760 FIRST ST STE 200")</f>
        <v>1760 FIRST ST STE 200</v>
      </c>
      <c r="C11528" t="str">
        <f t="shared" si="4229"/>
        <v/>
      </c>
      <c r="D11528" t="str">
        <f t="shared" si="4226"/>
        <v>VIRGINIA BCH</v>
      </c>
      <c r="E11528" t="str">
        <f t="shared" si="4227"/>
        <v>VA</v>
      </c>
      <c r="F11528" t="str">
        <f>T("234602210")</f>
        <v>234602210</v>
      </c>
      <c r="G11528" t="str">
        <f>T("1760 FIRST STREET STE 200 HANGAR 122")</f>
        <v>1760 FIRST STREET STE 200 HANGAR 122</v>
      </c>
      <c r="H11528" t="str">
        <f>T("")</f>
        <v/>
      </c>
      <c r="I11528" t="str">
        <f>T("VIRGINIA BEACH")</f>
        <v>VIRGINIA BEACH</v>
      </c>
      <c r="J11528" t="str">
        <f t="shared" si="4228"/>
        <v>VA</v>
      </c>
      <c r="K11528" t="str">
        <f>T("000000000000000000")</f>
        <v>000000000000000000</v>
      </c>
      <c r="L11528" t="str">
        <f>T("7574339292")</f>
        <v>7574339292</v>
      </c>
    </row>
    <row r="11529" spans="1:12" x14ac:dyDescent="0.35">
      <c r="A11529" t="str">
        <f t="shared" si="4225"/>
        <v>VFA-106</v>
      </c>
      <c r="B11529" t="str">
        <f>T("1760 FIRST ST STE 200")</f>
        <v>1760 FIRST ST STE 200</v>
      </c>
      <c r="C11529" t="str">
        <f t="shared" si="4229"/>
        <v/>
      </c>
      <c r="D11529" t="str">
        <f t="shared" si="4226"/>
        <v>VIRGINIA BCH</v>
      </c>
      <c r="E11529" t="str">
        <f t="shared" si="4227"/>
        <v>VA</v>
      </c>
      <c r="F11529" t="str">
        <f>T("234602210")</f>
        <v>234602210</v>
      </c>
      <c r="G11529" t="str">
        <f>T("STRIKE FIGHTER SQUADRON 106")</f>
        <v>STRIKE FIGHTER SQUADRON 106</v>
      </c>
      <c r="H11529" t="str">
        <f>T("1760 1ST ST HANGAR 122")</f>
        <v>1760 1ST ST HANGAR 122</v>
      </c>
      <c r="I11529" t="str">
        <f>T("VIRGINIA BEACH")</f>
        <v>VIRGINIA BEACH</v>
      </c>
      <c r="J11529" t="str">
        <f t="shared" si="4228"/>
        <v>VA</v>
      </c>
      <c r="K11529" t="str">
        <f>T("000000000000000000")</f>
        <v>000000000000000000</v>
      </c>
      <c r="L11529" t="str">
        <f>T("7574339587")</f>
        <v>7574339587</v>
      </c>
    </row>
    <row r="11530" spans="1:12" x14ac:dyDescent="0.35">
      <c r="A11530" t="str">
        <f>T("VFA-103")</f>
        <v>VFA-103</v>
      </c>
      <c r="B11530" t="str">
        <f>T("804B AVE HANGAR 404-3")</f>
        <v>804B AVE HANGAR 404-3</v>
      </c>
      <c r="C11530" t="str">
        <f t="shared" si="4229"/>
        <v/>
      </c>
      <c r="D11530" t="str">
        <f t="shared" si="4226"/>
        <v>VIRGINIA BCH</v>
      </c>
      <c r="E11530" t="str">
        <f t="shared" si="4227"/>
        <v>VA</v>
      </c>
      <c r="F11530" t="str">
        <f>T("234602146")</f>
        <v>234602146</v>
      </c>
      <c r="G11530" t="str">
        <f>T("804 B AVE")</f>
        <v>804 B AVE</v>
      </c>
      <c r="H11530" t="str">
        <f>T("HANGAR 404-3")</f>
        <v>HANGAR 404-3</v>
      </c>
      <c r="I11530" t="str">
        <f>T("VIRGINIA BEACH")</f>
        <v>VIRGINIA BEACH</v>
      </c>
      <c r="J11530" t="str">
        <f t="shared" si="4228"/>
        <v>VA</v>
      </c>
      <c r="K11530" t="str">
        <f>T("000000000000000000")</f>
        <v>000000000000000000</v>
      </c>
      <c r="L11530" t="str">
        <f>T("7574335315")</f>
        <v>7574335315</v>
      </c>
    </row>
    <row r="11531" spans="1:12" x14ac:dyDescent="0.35">
      <c r="A11531" t="str">
        <f>T("VFA-103")</f>
        <v>VFA-103</v>
      </c>
      <c r="B11531" t="str">
        <f>T("804B AVE HANGAR 404-3")</f>
        <v>804B AVE HANGAR 404-3</v>
      </c>
      <c r="C11531" t="str">
        <f t="shared" si="4229"/>
        <v/>
      </c>
      <c r="D11531" t="str">
        <f t="shared" si="4226"/>
        <v>VIRGINIA BCH</v>
      </c>
      <c r="E11531" t="str">
        <f t="shared" si="4227"/>
        <v>VA</v>
      </c>
      <c r="F11531" t="str">
        <f>T("234602146")</f>
        <v>234602146</v>
      </c>
      <c r="G11531" t="str">
        <f>T("804B AVE HANGAR 404-3")</f>
        <v>804B AVE HANGAR 404-3</v>
      </c>
      <c r="H11531" t="str">
        <f>T("")</f>
        <v/>
      </c>
      <c r="I11531" t="str">
        <f>T("VIRGINIA BCH")</f>
        <v>VIRGINIA BCH</v>
      </c>
      <c r="J11531" t="str">
        <f t="shared" si="4228"/>
        <v>VA</v>
      </c>
      <c r="K11531" t="str">
        <f>T("7574335438")</f>
        <v>7574335438</v>
      </c>
      <c r="L11531" t="str">
        <f>T("7574335315")</f>
        <v>7574335315</v>
      </c>
    </row>
    <row r="11532" spans="1:12" x14ac:dyDescent="0.35">
      <c r="A11532" t="str">
        <f>T("VFA-103")</f>
        <v>VFA-103</v>
      </c>
      <c r="B11532" t="str">
        <f>T("804B AVE HANGAR 404-3")</f>
        <v>804B AVE HANGAR 404-3</v>
      </c>
      <c r="C11532" t="str">
        <f t="shared" si="4229"/>
        <v/>
      </c>
      <c r="D11532" t="str">
        <f t="shared" si="4226"/>
        <v>VIRGINIA BCH</v>
      </c>
      <c r="E11532" t="str">
        <f t="shared" si="4227"/>
        <v>VA</v>
      </c>
      <c r="F11532" t="str">
        <f>T("234602146")</f>
        <v>234602146</v>
      </c>
      <c r="G11532" t="str">
        <f>T("NAS OCEANA VFA103")</f>
        <v>NAS OCEANA VFA103</v>
      </c>
      <c r="H11532" t="str">
        <f>T("HANGER 400")</f>
        <v>HANGER 400</v>
      </c>
      <c r="I11532" t="str">
        <f>T("VIRGINIA BEACH")</f>
        <v>VIRGINIA BEACH</v>
      </c>
      <c r="J11532" t="str">
        <f t="shared" si="4228"/>
        <v>VA</v>
      </c>
      <c r="K11532" t="str">
        <f>T("000000000000000000")</f>
        <v>000000000000000000</v>
      </c>
      <c r="L11532" t="str">
        <f>T("7574335315")</f>
        <v>7574335315</v>
      </c>
    </row>
    <row r="11533" spans="1:12" x14ac:dyDescent="0.35">
      <c r="A11533" t="str">
        <f>T("HSC-22")</f>
        <v>HSC-22</v>
      </c>
      <c r="B11533" t="str">
        <f>T("1310 CV TOWWAY DRIVE")</f>
        <v>1310 CV TOWWAY DRIVE</v>
      </c>
      <c r="C11533" t="str">
        <f>T("BLDG LF-66")</f>
        <v>BLDG LF-66</v>
      </c>
      <c r="D11533" t="str">
        <f>T("NORFOLK")</f>
        <v>NORFOLK</v>
      </c>
      <c r="E11533" t="str">
        <f t="shared" si="4227"/>
        <v>VA</v>
      </c>
      <c r="F11533" t="str">
        <f>T("235112531")</f>
        <v>235112531</v>
      </c>
      <c r="G11533" t="str">
        <f>T("1310 C V TOWWAY BLDG LF-66")</f>
        <v>1310 C V TOWWAY BLDG LF-66</v>
      </c>
      <c r="H11533" t="str">
        <f>T("")</f>
        <v/>
      </c>
      <c r="I11533" t="str">
        <f>T("NORFOLK")</f>
        <v>NORFOLK</v>
      </c>
      <c r="J11533" t="str">
        <f t="shared" si="4228"/>
        <v>VA</v>
      </c>
      <c r="K11533" t="str">
        <f>T("7574440929")</f>
        <v>7574440929</v>
      </c>
      <c r="L11533" t="str">
        <f>T("7574444807")</f>
        <v>7574444807</v>
      </c>
    </row>
    <row r="11534" spans="1:12" x14ac:dyDescent="0.35">
      <c r="A11534" t="str">
        <f>T("HSC-22")</f>
        <v>HSC-22</v>
      </c>
      <c r="B11534" t="str">
        <f>T("1310 CV TOWWAY DRIVE")</f>
        <v>1310 CV TOWWAY DRIVE</v>
      </c>
      <c r="C11534" t="str">
        <f>T("BLDG LF-66")</f>
        <v>BLDG LF-66</v>
      </c>
      <c r="D11534" t="str">
        <f>T("NORFOLK")</f>
        <v>NORFOLK</v>
      </c>
      <c r="E11534" t="str">
        <f t="shared" si="4227"/>
        <v>VA</v>
      </c>
      <c r="F11534" t="str">
        <f>T("235112531")</f>
        <v>235112531</v>
      </c>
      <c r="G11534" t="str">
        <f>T("1310 CV TOWWAY DR")</f>
        <v>1310 CV TOWWAY DR</v>
      </c>
      <c r="H11534" t="str">
        <f>T("BLDG LF-66")</f>
        <v>BLDG LF-66</v>
      </c>
      <c r="I11534" t="str">
        <f>T("NORFOLK")</f>
        <v>NORFOLK</v>
      </c>
      <c r="J11534" t="str">
        <f t="shared" si="4228"/>
        <v>VA</v>
      </c>
      <c r="K11534" t="str">
        <f>T("7574440929")</f>
        <v>7574440929</v>
      </c>
      <c r="L11534" t="str">
        <f>T("7574444807")</f>
        <v>7574444807</v>
      </c>
    </row>
    <row r="11535" spans="1:12" x14ac:dyDescent="0.35">
      <c r="A11535" t="str">
        <f>T("HSC-22")</f>
        <v>HSC-22</v>
      </c>
      <c r="B11535" t="str">
        <f>T("1310 CV TOWWAY DRIVE")</f>
        <v>1310 CV TOWWAY DRIVE</v>
      </c>
      <c r="C11535" t="str">
        <f>T("BLDG LF-66")</f>
        <v>BLDG LF-66</v>
      </c>
      <c r="D11535" t="str">
        <f>T("NORFOLK")</f>
        <v>NORFOLK</v>
      </c>
      <c r="E11535" t="str">
        <f t="shared" si="4227"/>
        <v>VA</v>
      </c>
      <c r="F11535" t="str">
        <f>T("235112531")</f>
        <v>235112531</v>
      </c>
      <c r="G11535" t="str">
        <f>T("1310 CV TOWWAY DR BLDG LF-66")</f>
        <v>1310 CV TOWWAY DR BLDG LF-66</v>
      </c>
      <c r="H11535" t="str">
        <f>T("")</f>
        <v/>
      </c>
      <c r="I11535" t="str">
        <f>T("NORFOLK")</f>
        <v>NORFOLK</v>
      </c>
      <c r="J11535" t="str">
        <f t="shared" si="4228"/>
        <v>VA</v>
      </c>
      <c r="K11535" t="str">
        <f>T("7574440929")</f>
        <v>7574440929</v>
      </c>
      <c r="L11535" t="str">
        <f>T("7574444507")</f>
        <v>7574444507</v>
      </c>
    </row>
    <row r="11536" spans="1:12" x14ac:dyDescent="0.35">
      <c r="A11536" t="str">
        <f>T("HSC-22")</f>
        <v>HSC-22</v>
      </c>
      <c r="B11536" t="str">
        <f>T("1310 CV TOWWAY DRIVE")</f>
        <v>1310 CV TOWWAY DRIVE</v>
      </c>
      <c r="C11536" t="str">
        <f>T("BLDG LF-66")</f>
        <v>BLDG LF-66</v>
      </c>
      <c r="D11536" t="str">
        <f>T("NORFOLK")</f>
        <v>NORFOLK</v>
      </c>
      <c r="E11536" t="str">
        <f t="shared" si="4227"/>
        <v>VA</v>
      </c>
      <c r="F11536" t="str">
        <f>T("235112531")</f>
        <v>235112531</v>
      </c>
      <c r="G11536" t="str">
        <f>T("1310 CV TOWWAY DRIVE")</f>
        <v>1310 CV TOWWAY DRIVE</v>
      </c>
      <c r="H11536" t="str">
        <f>T("BLDG LF-66")</f>
        <v>BLDG LF-66</v>
      </c>
      <c r="I11536" t="str">
        <f>T("NORFOLK")</f>
        <v>NORFOLK</v>
      </c>
      <c r="J11536" t="str">
        <f t="shared" si="4228"/>
        <v>VA</v>
      </c>
      <c r="K11536" t="str">
        <f>T("7574440929")</f>
        <v>7574440929</v>
      </c>
      <c r="L11536" t="str">
        <f>T("7574444808")</f>
        <v>7574444808</v>
      </c>
    </row>
    <row r="11537" spans="1:12" x14ac:dyDescent="0.35">
      <c r="A11537" t="str">
        <f>T("HSM-70")</f>
        <v>HSM-70</v>
      </c>
      <c r="B11537" t="str">
        <f>T("HSM-70")</f>
        <v>HSM-70</v>
      </c>
      <c r="C11537" t="str">
        <f>T("HANGAR 1122 MOD 5 ALBERMARLE R")</f>
        <v>HANGAR 1122 MOD 5 ALBERMARLE R</v>
      </c>
      <c r="D11537" t="str">
        <f>T("JACKSONVILLE")</f>
        <v>JACKSONVILLE</v>
      </c>
      <c r="E11537" t="str">
        <f>T("FL")</f>
        <v>FL</v>
      </c>
      <c r="F11537" t="str">
        <f>T("322120100")</f>
        <v>322120100</v>
      </c>
      <c r="G11537" t="str">
        <f>T("HGR 1122 MOD 5 ALBEMARLE RD")</f>
        <v>HGR 1122 MOD 5 ALBEMARLE RD</v>
      </c>
      <c r="H11537" t="str">
        <f>T("HSM-70")</f>
        <v>HSM-70</v>
      </c>
      <c r="I11537" t="str">
        <f>T("JACKSONVILLE")</f>
        <v>JACKSONVILLE</v>
      </c>
      <c r="J11537" t="str">
        <f>T("FL")</f>
        <v>FL</v>
      </c>
      <c r="K11537" t="str">
        <f>T("9045426034")</f>
        <v>9045426034</v>
      </c>
      <c r="L11537" t="str">
        <f>T("9045421992")</f>
        <v>9045421992</v>
      </c>
    </row>
    <row r="11538" spans="1:12" x14ac:dyDescent="0.35">
      <c r="A11538" t="str">
        <f>T("HSM-70")</f>
        <v>HSM-70</v>
      </c>
      <c r="B11538" t="str">
        <f>T("HSM-70")</f>
        <v>HSM-70</v>
      </c>
      <c r="C11538" t="str">
        <f>T("HANGAR 1122 MOD 5 ALBERMARLE R")</f>
        <v>HANGAR 1122 MOD 5 ALBERMARLE R</v>
      </c>
      <c r="D11538" t="str">
        <f>T("JACKSONVILLE")</f>
        <v>JACKSONVILLE</v>
      </c>
      <c r="E11538" t="str">
        <f>T("FL")</f>
        <v>FL</v>
      </c>
      <c r="F11538" t="str">
        <f>T("322120100")</f>
        <v>322120100</v>
      </c>
      <c r="G11538" t="str">
        <f>T("HSM-70")</f>
        <v>HSM-70</v>
      </c>
      <c r="H11538" t="str">
        <f>T("HANGAR 1122 MOD 5 ALBERMARLE R")</f>
        <v>HANGAR 1122 MOD 5 ALBERMARLE R</v>
      </c>
      <c r="I11538" t="str">
        <f>T("JACKSONVILLE")</f>
        <v>JACKSONVILLE</v>
      </c>
      <c r="J11538" t="str">
        <f>T("FL")</f>
        <v>FL</v>
      </c>
      <c r="K11538" t="str">
        <f>T("9045426269")</f>
        <v>9045426269</v>
      </c>
      <c r="L11538" t="str">
        <f>T("9045421993")</f>
        <v>9045421993</v>
      </c>
    </row>
    <row r="11539" spans="1:12" x14ac:dyDescent="0.35">
      <c r="A11539" t="str">
        <f>T("VAW-125")</f>
        <v>VAW-125</v>
      </c>
      <c r="B11539" t="str">
        <f>T("9218 4TH AVENUE SUITE 300")</f>
        <v>9218 4TH AVENUE SUITE 300</v>
      </c>
      <c r="C11539" t="str">
        <f>T("")</f>
        <v/>
      </c>
      <c r="D11539" t="str">
        <f>T("NORFOLK")</f>
        <v>NORFOLK</v>
      </c>
      <c r="E11539" t="str">
        <f t="shared" ref="E11539:E11548" si="4230">T("VA")</f>
        <v>VA</v>
      </c>
      <c r="F11539" t="str">
        <f>T("235112229")</f>
        <v>235112229</v>
      </c>
      <c r="G11539" t="str">
        <f>T("9218 4TH AVE")</f>
        <v>9218 4TH AVE</v>
      </c>
      <c r="H11539" t="str">
        <f>T("LP-21 STE 200")</f>
        <v>LP-21 STE 200</v>
      </c>
      <c r="I11539" t="str">
        <f>T("NORFOLK")</f>
        <v>NORFOLK</v>
      </c>
      <c r="J11539" t="str">
        <f t="shared" ref="J11539:J11550" si="4231">T("VA")</f>
        <v>VA</v>
      </c>
      <c r="K11539" t="str">
        <f>T("000000000000000000")</f>
        <v>000000000000000000</v>
      </c>
      <c r="L11539" t="str">
        <f>T("7574443814")</f>
        <v>7574443814</v>
      </c>
    </row>
    <row r="11540" spans="1:12" x14ac:dyDescent="0.35">
      <c r="A11540" t="str">
        <f>T("VAW-125")</f>
        <v>VAW-125</v>
      </c>
      <c r="B11540" t="str">
        <f>T("9218 4TH AVENUE SUITE 300")</f>
        <v>9218 4TH AVENUE SUITE 300</v>
      </c>
      <c r="C11540" t="str">
        <f>T("")</f>
        <v/>
      </c>
      <c r="D11540" t="str">
        <f>T("NORFOLK")</f>
        <v>NORFOLK</v>
      </c>
      <c r="E11540" t="str">
        <f t="shared" si="4230"/>
        <v>VA</v>
      </c>
      <c r="F11540" t="str">
        <f>T("235112229")</f>
        <v>235112229</v>
      </c>
      <c r="G11540" t="str">
        <f>T("9218 4TH AVE, SUITE 300")</f>
        <v>9218 4TH AVE, SUITE 300</v>
      </c>
      <c r="H11540" t="str">
        <f>T("LP-21")</f>
        <v>LP-21</v>
      </c>
      <c r="I11540" t="str">
        <f>T("NORFOLK")</f>
        <v>NORFOLK</v>
      </c>
      <c r="J11540" t="str">
        <f t="shared" si="4231"/>
        <v>VA</v>
      </c>
      <c r="K11540" t="str">
        <f>T("000000000000000000")</f>
        <v>000000000000000000</v>
      </c>
      <c r="L11540" t="str">
        <f>T("7574443814")</f>
        <v>7574443814</v>
      </c>
    </row>
    <row r="11541" spans="1:12" x14ac:dyDescent="0.35">
      <c r="A11541" t="str">
        <f>T("VAW-125")</f>
        <v>VAW-125</v>
      </c>
      <c r="B11541" t="str">
        <f>T("9218 4TH AVENUE SUITE 300")</f>
        <v>9218 4TH AVENUE SUITE 300</v>
      </c>
      <c r="C11541" t="str">
        <f>T("")</f>
        <v/>
      </c>
      <c r="D11541" t="str">
        <f>T("NORFOLK")</f>
        <v>NORFOLK</v>
      </c>
      <c r="E11541" t="str">
        <f t="shared" si="4230"/>
        <v>VA</v>
      </c>
      <c r="F11541" t="str">
        <f>T("235112229")</f>
        <v>235112229</v>
      </c>
      <c r="G11541" t="str">
        <f>T("9218 4TH AVE, SUITE 300")</f>
        <v>9218 4TH AVE, SUITE 300</v>
      </c>
      <c r="H11541" t="str">
        <f>T("LP-21")</f>
        <v>LP-21</v>
      </c>
      <c r="I11541" t="str">
        <f>T("NORFOLK")</f>
        <v>NORFOLK</v>
      </c>
      <c r="J11541" t="str">
        <f t="shared" si="4231"/>
        <v>VA</v>
      </c>
      <c r="K11541" t="str">
        <f>T("000000000000000000")</f>
        <v>000000000000000000</v>
      </c>
      <c r="L11541" t="str">
        <f>T("7574443816")</f>
        <v>7574443816</v>
      </c>
    </row>
    <row r="11542" spans="1:12" x14ac:dyDescent="0.35">
      <c r="A11542" t="str">
        <f>T("VAW-125")</f>
        <v>VAW-125</v>
      </c>
      <c r="B11542" t="str">
        <f>T("9218 4TH AVENUE SUITE 300")</f>
        <v>9218 4TH AVENUE SUITE 300</v>
      </c>
      <c r="C11542" t="str">
        <f>T("")</f>
        <v/>
      </c>
      <c r="D11542" t="str">
        <f>T("NORFOLK")</f>
        <v>NORFOLK</v>
      </c>
      <c r="E11542" t="str">
        <f t="shared" si="4230"/>
        <v>VA</v>
      </c>
      <c r="F11542" t="str">
        <f>T("235112229")</f>
        <v>235112229</v>
      </c>
      <c r="G11542" t="str">
        <f>T("9218 4TH AVENUE SUITE 300")</f>
        <v>9218 4TH AVENUE SUITE 300</v>
      </c>
      <c r="H11542" t="str">
        <f>T("")</f>
        <v/>
      </c>
      <c r="I11542" t="str">
        <f>T("NORFOLK")</f>
        <v>NORFOLK</v>
      </c>
      <c r="J11542" t="str">
        <f t="shared" si="4231"/>
        <v>VA</v>
      </c>
      <c r="K11542" t="str">
        <f>T("8059899301")</f>
        <v>8059899301</v>
      </c>
      <c r="L11542" t="str">
        <f>T("7574443816")</f>
        <v>7574443816</v>
      </c>
    </row>
    <row r="11543" spans="1:12" x14ac:dyDescent="0.35">
      <c r="A11543" t="str">
        <f>T("VFA-213")</f>
        <v>VFA-213</v>
      </c>
      <c r="B11543" t="str">
        <f>T("NAVAL STATION OCEANA")</f>
        <v>NAVAL STATION OCEANA</v>
      </c>
      <c r="C11543" t="str">
        <f>T("HANGAR 500")</f>
        <v>HANGAR 500</v>
      </c>
      <c r="D11543" t="str">
        <f>T("VIRGINIA BEACH")</f>
        <v>VIRGINIA BEACH</v>
      </c>
      <c r="E11543" t="str">
        <f t="shared" si="4230"/>
        <v>VA</v>
      </c>
      <c r="F11543" t="str">
        <f>T("234600000")</f>
        <v>234600000</v>
      </c>
      <c r="G11543" t="str">
        <f>T("879 HORNET DR")</f>
        <v>879 HORNET DR</v>
      </c>
      <c r="H11543" t="str">
        <f>T("HANGAR 500 MOD 1")</f>
        <v>HANGAR 500 MOD 1</v>
      </c>
      <c r="I11543" t="str">
        <f>T("VIRGINIA BEACH")</f>
        <v>VIRGINIA BEACH</v>
      </c>
      <c r="J11543" t="str">
        <f t="shared" si="4231"/>
        <v>VA</v>
      </c>
      <c r="K11543" t="str">
        <f>T("000000000000000000")</f>
        <v>000000000000000000</v>
      </c>
      <c r="L11543" t="str">
        <f>T("7574334516")</f>
        <v>7574334516</v>
      </c>
    </row>
    <row r="11544" spans="1:12" x14ac:dyDescent="0.35">
      <c r="A11544" t="str">
        <f>T("VFA-213")</f>
        <v>VFA-213</v>
      </c>
      <c r="B11544" t="str">
        <f>T("NAVAL STATION OCEANA")</f>
        <v>NAVAL STATION OCEANA</v>
      </c>
      <c r="C11544" t="str">
        <f>T("HANGAR 500")</f>
        <v>HANGAR 500</v>
      </c>
      <c r="D11544" t="str">
        <f>T("VIRGINIA BEACH")</f>
        <v>VIRGINIA BEACH</v>
      </c>
      <c r="E11544" t="str">
        <f t="shared" si="4230"/>
        <v>VA</v>
      </c>
      <c r="F11544" t="str">
        <f>T("234600000")</f>
        <v>234600000</v>
      </c>
      <c r="G11544" t="str">
        <f>T("NAVAL STATION OCEANA")</f>
        <v>NAVAL STATION OCEANA</v>
      </c>
      <c r="H11544" t="str">
        <f>T("HANGAR 500")</f>
        <v>HANGAR 500</v>
      </c>
      <c r="I11544" t="str">
        <f>T("VIRGINIA BEACH")</f>
        <v>VIRGINIA BEACH</v>
      </c>
      <c r="J11544" t="str">
        <f t="shared" si="4231"/>
        <v>VA</v>
      </c>
      <c r="K11544" t="str">
        <f>T("7574334539")</f>
        <v>7574334539</v>
      </c>
      <c r="L11544" t="str">
        <f>T("7574334516")</f>
        <v>7574334516</v>
      </c>
    </row>
    <row r="11545" spans="1:12" x14ac:dyDescent="0.35">
      <c r="A11545" t="str">
        <f>T("VFA-213")</f>
        <v>VFA-213</v>
      </c>
      <c r="B11545" t="str">
        <f>T("NAVAL STATION OCEANA")</f>
        <v>NAVAL STATION OCEANA</v>
      </c>
      <c r="C11545" t="str">
        <f>T("HANGAR 500")</f>
        <v>HANGAR 500</v>
      </c>
      <c r="D11545" t="str">
        <f>T("VIRGINIA BEACH")</f>
        <v>VIRGINIA BEACH</v>
      </c>
      <c r="E11545" t="str">
        <f t="shared" si="4230"/>
        <v>VA</v>
      </c>
      <c r="F11545" t="str">
        <f>T("234600000")</f>
        <v>234600000</v>
      </c>
      <c r="G11545" t="str">
        <f>T("VFA-213 HANGAR 500")</f>
        <v>VFA-213 HANGAR 500</v>
      </c>
      <c r="H11545" t="str">
        <f>T("")</f>
        <v/>
      </c>
      <c r="I11545" t="str">
        <f>T("VIRGINIA BEACH")</f>
        <v>VIRGINIA BEACH</v>
      </c>
      <c r="J11545" t="str">
        <f t="shared" si="4231"/>
        <v>VA</v>
      </c>
      <c r="K11545" t="str">
        <f>T("000000000000000000")</f>
        <v>000000000000000000</v>
      </c>
      <c r="L11545" t="str">
        <f>T("7574334516")</f>
        <v>7574334516</v>
      </c>
    </row>
    <row r="11546" spans="1:12" x14ac:dyDescent="0.35">
      <c r="A11546" t="str">
        <f>T("HSC-11")</f>
        <v>HSC-11</v>
      </c>
      <c r="B11546" t="str">
        <f>T("496 A STREET")</f>
        <v>496 A STREET</v>
      </c>
      <c r="C11546" t="str">
        <f t="shared" ref="C11546:C11551" si="4232">T("")</f>
        <v/>
      </c>
      <c r="D11546" t="str">
        <f>T("NORFOLK")</f>
        <v>NORFOLK</v>
      </c>
      <c r="E11546" t="str">
        <f t="shared" si="4230"/>
        <v>VA</v>
      </c>
      <c r="F11546" t="str">
        <f>T("235114202")</f>
        <v>235114202</v>
      </c>
      <c r="G11546" t="str">
        <f>T("496 A STREET")</f>
        <v>496 A STREET</v>
      </c>
      <c r="H11546" t="str">
        <f>T("")</f>
        <v/>
      </c>
      <c r="I11546" t="str">
        <f>T("NORFOLK")</f>
        <v>NORFOLK</v>
      </c>
      <c r="J11546" t="str">
        <f t="shared" si="4231"/>
        <v>VA</v>
      </c>
      <c r="K11546" t="str">
        <f>T("9045420479")</f>
        <v>9045420479</v>
      </c>
      <c r="L11546" t="str">
        <f>T("7574450126")</f>
        <v>7574450126</v>
      </c>
    </row>
    <row r="11547" spans="1:12" x14ac:dyDescent="0.35">
      <c r="A11547" t="str">
        <f>T("HSC-11")</f>
        <v>HSC-11</v>
      </c>
      <c r="B11547" t="str">
        <f>T("496 A STREET")</f>
        <v>496 A STREET</v>
      </c>
      <c r="C11547" t="str">
        <f t="shared" si="4232"/>
        <v/>
      </c>
      <c r="D11547" t="str">
        <f>T("NORFOLK")</f>
        <v>NORFOLK</v>
      </c>
      <c r="E11547" t="str">
        <f t="shared" si="4230"/>
        <v>VA</v>
      </c>
      <c r="F11547" t="str">
        <f>T("235114202")</f>
        <v>235114202</v>
      </c>
      <c r="G11547" t="str">
        <f>T("496 A STREET")</f>
        <v>496 A STREET</v>
      </c>
      <c r="H11547" t="str">
        <f>T("BLDG SP-35")</f>
        <v>BLDG SP-35</v>
      </c>
      <c r="I11547" t="str">
        <f>T("NORFOLK")</f>
        <v>NORFOLK</v>
      </c>
      <c r="J11547" t="str">
        <f t="shared" si="4231"/>
        <v>VA</v>
      </c>
      <c r="K11547" t="str">
        <f>T("000000000000000000")</f>
        <v>000000000000000000</v>
      </c>
      <c r="L11547" t="str">
        <f>T("7574450126")</f>
        <v>7574450126</v>
      </c>
    </row>
    <row r="11548" spans="1:12" x14ac:dyDescent="0.35">
      <c r="A11548" t="str">
        <f>T("HSC-11")</f>
        <v>HSC-11</v>
      </c>
      <c r="B11548" t="str">
        <f>T("496 A STREET")</f>
        <v>496 A STREET</v>
      </c>
      <c r="C11548" t="str">
        <f t="shared" si="4232"/>
        <v/>
      </c>
      <c r="D11548" t="str">
        <f>T("NORFOLK")</f>
        <v>NORFOLK</v>
      </c>
      <c r="E11548" t="str">
        <f t="shared" si="4230"/>
        <v>VA</v>
      </c>
      <c r="F11548" t="str">
        <f>T("235114202")</f>
        <v>235114202</v>
      </c>
      <c r="G11548" t="str">
        <f>T("496 A STREET")</f>
        <v>496 A STREET</v>
      </c>
      <c r="H11548" t="str">
        <f>T("BLDG SP-35")</f>
        <v>BLDG SP-35</v>
      </c>
      <c r="I11548" t="str">
        <f>T("NORFOLK")</f>
        <v>NORFOLK</v>
      </c>
      <c r="J11548" t="str">
        <f t="shared" si="4231"/>
        <v>VA</v>
      </c>
      <c r="K11548" t="str">
        <f>T("9045420479")</f>
        <v>9045420479</v>
      </c>
      <c r="L11548" t="str">
        <f>T("9045424660")</f>
        <v>9045424660</v>
      </c>
    </row>
    <row r="11549" spans="1:12" x14ac:dyDescent="0.35">
      <c r="A11549" t="str">
        <f>T("VAW-126")</f>
        <v>VAW-126</v>
      </c>
      <c r="B11549" t="str">
        <f>T("UNIT 60141")</f>
        <v>UNIT 60141</v>
      </c>
      <c r="C11549" t="str">
        <f t="shared" si="4232"/>
        <v/>
      </c>
      <c r="D11549" t="str">
        <f>T("FPO")</f>
        <v>FPO</v>
      </c>
      <c r="E11549" t="str">
        <f>T("AE")</f>
        <v>AE</v>
      </c>
      <c r="F11549" t="str">
        <f>T("095076412")</f>
        <v>095076412</v>
      </c>
      <c r="G11549" t="str">
        <f>T("1027 BELLINGER BLVD STE 100")</f>
        <v>1027 BELLINGER BLVD STE 100</v>
      </c>
      <c r="H11549" t="str">
        <f>T("VAW-126 UNIT")</f>
        <v>VAW-126 UNIT</v>
      </c>
      <c r="I11549" t="str">
        <f>T("NORFOLK")</f>
        <v>NORFOLK</v>
      </c>
      <c r="J11549" t="str">
        <f t="shared" si="4231"/>
        <v>VA</v>
      </c>
      <c r="K11549" t="str">
        <f>T("000000000000000000")</f>
        <v>000000000000000000</v>
      </c>
      <c r="L11549" t="str">
        <f>T("7574449156")</f>
        <v>7574449156</v>
      </c>
    </row>
    <row r="11550" spans="1:12" x14ac:dyDescent="0.35">
      <c r="A11550" t="str">
        <f>T("VAW-126")</f>
        <v>VAW-126</v>
      </c>
      <c r="B11550" t="str">
        <f>T("UNIT 60141")</f>
        <v>UNIT 60141</v>
      </c>
      <c r="C11550" t="str">
        <f t="shared" si="4232"/>
        <v/>
      </c>
      <c r="D11550" t="str">
        <f>T("FPO")</f>
        <v>FPO</v>
      </c>
      <c r="E11550" t="str">
        <f>T("AE")</f>
        <v>AE</v>
      </c>
      <c r="F11550" t="str">
        <f>T("095076412")</f>
        <v>095076412</v>
      </c>
      <c r="G11550" t="str">
        <f>T("1027 BELLINGER BLVD. STE 100")</f>
        <v>1027 BELLINGER BLVD. STE 100</v>
      </c>
      <c r="H11550" t="str">
        <f>T("")</f>
        <v/>
      </c>
      <c r="I11550" t="str">
        <f>T("NORFOLK")</f>
        <v>NORFOLK</v>
      </c>
      <c r="J11550" t="str">
        <f t="shared" si="4231"/>
        <v>VA</v>
      </c>
      <c r="K11550" t="str">
        <f>T("000000000000000000")</f>
        <v>000000000000000000</v>
      </c>
      <c r="L11550" t="str">
        <f>T("7574449831")</f>
        <v>7574449831</v>
      </c>
    </row>
    <row r="11551" spans="1:12" x14ac:dyDescent="0.35">
      <c r="A11551" t="str">
        <f>T("VAW-126")</f>
        <v>VAW-126</v>
      </c>
      <c r="B11551" t="str">
        <f>T("UNIT 60141")</f>
        <v>UNIT 60141</v>
      </c>
      <c r="C11551" t="str">
        <f t="shared" si="4232"/>
        <v/>
      </c>
      <c r="D11551" t="str">
        <f>T("FPO")</f>
        <v>FPO</v>
      </c>
      <c r="E11551" t="str">
        <f>T("AE")</f>
        <v>AE</v>
      </c>
      <c r="F11551" t="str">
        <f>T("095076412")</f>
        <v>095076412</v>
      </c>
      <c r="G11551" t="str">
        <f>T("UNIT 60141")</f>
        <v>UNIT 60141</v>
      </c>
      <c r="H11551" t="str">
        <f>T("")</f>
        <v/>
      </c>
      <c r="I11551" t="str">
        <f>T("FPO")</f>
        <v>FPO</v>
      </c>
      <c r="J11551" t="str">
        <f>T("AE")</f>
        <v>AE</v>
      </c>
      <c r="K11551" t="str">
        <f>T("")</f>
        <v/>
      </c>
      <c r="L11551" t="str">
        <f>T("7574443816")</f>
        <v>7574443816</v>
      </c>
    </row>
    <row r="11552" spans="1:12" x14ac:dyDescent="0.35">
      <c r="A11552" t="str">
        <f>T("HSC-7")</f>
        <v>HSC-7</v>
      </c>
      <c r="B11552" t="str">
        <f>T("1310 CV TOW WAY RD")</f>
        <v>1310 CV TOW WAY RD</v>
      </c>
      <c r="C11552" t="str">
        <f>T("BLDG LF-66")</f>
        <v>BLDG LF-66</v>
      </c>
      <c r="D11552" t="str">
        <f>T("NORFOLK")</f>
        <v>NORFOLK</v>
      </c>
      <c r="E11552" t="str">
        <f>T("VA")</f>
        <v>VA</v>
      </c>
      <c r="F11552" t="str">
        <f>T("235112534")</f>
        <v>235112534</v>
      </c>
      <c r="G11552" t="str">
        <f>T("1310 CV TOW WAY RD")</f>
        <v>1310 CV TOW WAY RD</v>
      </c>
      <c r="H11552" t="str">
        <f>T("BLDG LF-66")</f>
        <v>BLDG LF-66</v>
      </c>
      <c r="I11552" t="str">
        <f>T("NORFOLK")</f>
        <v>NORFOLK</v>
      </c>
      <c r="J11552" t="str">
        <f>T("VA")</f>
        <v>VA</v>
      </c>
      <c r="K11552" t="str">
        <f>T("757-444-0917")</f>
        <v>757-444-0917</v>
      </c>
      <c r="L11552" t="str">
        <f>T("7574442556")</f>
        <v>7574442556</v>
      </c>
    </row>
    <row r="11553" spans="1:12" x14ac:dyDescent="0.35">
      <c r="A11553" t="str">
        <f>T("HSC-7")</f>
        <v>HSC-7</v>
      </c>
      <c r="B11553" t="str">
        <f>T("1310 CV TOW WAY RD")</f>
        <v>1310 CV TOW WAY RD</v>
      </c>
      <c r="C11553" t="str">
        <f>T("BLDG LF-66")</f>
        <v>BLDG LF-66</v>
      </c>
      <c r="D11553" t="str">
        <f>T("NORFOLK")</f>
        <v>NORFOLK</v>
      </c>
      <c r="E11553" t="str">
        <f>T("VA")</f>
        <v>VA</v>
      </c>
      <c r="F11553" t="str">
        <f>T("235112534")</f>
        <v>235112534</v>
      </c>
      <c r="G11553" t="str">
        <f>T("UNIT 60158")</f>
        <v>UNIT 60158</v>
      </c>
      <c r="H11553" t="str">
        <f>T("")</f>
        <v/>
      </c>
      <c r="I11553" t="str">
        <f>T(" FPO")</f>
        <v xml:space="preserve"> FPO</v>
      </c>
      <c r="J11553" t="str">
        <f t="shared" ref="J11553:J11560" si="4233">T("AE")</f>
        <v>AE</v>
      </c>
      <c r="K11553" t="str">
        <f>T("7574440917")</f>
        <v>7574440917</v>
      </c>
      <c r="L11553" t="str">
        <f>T("7574442264")</f>
        <v>7574442264</v>
      </c>
    </row>
    <row r="11554" spans="1:12" x14ac:dyDescent="0.35">
      <c r="A11554" t="str">
        <f>T("HSC-7")</f>
        <v>HSC-7</v>
      </c>
      <c r="B11554" t="str">
        <f>T("1310 CV TOW WAY RD")</f>
        <v>1310 CV TOW WAY RD</v>
      </c>
      <c r="C11554" t="str">
        <f>T("BLDG LF-66")</f>
        <v>BLDG LF-66</v>
      </c>
      <c r="D11554" t="str">
        <f>T("NORFOLK")</f>
        <v>NORFOLK</v>
      </c>
      <c r="E11554" t="str">
        <f>T("VA")</f>
        <v>VA</v>
      </c>
      <c r="F11554" t="str">
        <f>T("235112534")</f>
        <v>235112534</v>
      </c>
      <c r="G11554" t="str">
        <f>T("UNIT 60158")</f>
        <v>UNIT 60158</v>
      </c>
      <c r="H11554" t="str">
        <f>T("")</f>
        <v/>
      </c>
      <c r="I11554" t="str">
        <f t="shared" ref="I11554:I11560" si="4234">T("FPO")</f>
        <v>FPO</v>
      </c>
      <c r="J11554" t="str">
        <f t="shared" si="4233"/>
        <v>AE</v>
      </c>
      <c r="K11554" t="str">
        <f>T("7574440917")</f>
        <v>7574440917</v>
      </c>
      <c r="L11554" t="str">
        <f>T("7474442556")</f>
        <v>7474442556</v>
      </c>
    </row>
    <row r="11555" spans="1:12" x14ac:dyDescent="0.35">
      <c r="A11555" t="str">
        <f>T("HSC-7")</f>
        <v>HSC-7</v>
      </c>
      <c r="B11555" t="str">
        <f>T("1310 CV TOW WAY RD")</f>
        <v>1310 CV TOW WAY RD</v>
      </c>
      <c r="C11555" t="str">
        <f>T("BLDG LF-66")</f>
        <v>BLDG LF-66</v>
      </c>
      <c r="D11555" t="str">
        <f>T("NORFOLK")</f>
        <v>NORFOLK</v>
      </c>
      <c r="E11555" t="str">
        <f>T("VA")</f>
        <v>VA</v>
      </c>
      <c r="F11555" t="str">
        <f>T("235112534")</f>
        <v>235112534</v>
      </c>
      <c r="G11555" t="str">
        <f>T("UNIT 60158")</f>
        <v>UNIT 60158</v>
      </c>
      <c r="H11555" t="str">
        <f>T("")</f>
        <v/>
      </c>
      <c r="I11555" t="str">
        <f t="shared" si="4234"/>
        <v>FPO</v>
      </c>
      <c r="J11555" t="str">
        <f t="shared" si="4233"/>
        <v>AE</v>
      </c>
      <c r="K11555" t="str">
        <f>T("7574440917")</f>
        <v>7574440917</v>
      </c>
      <c r="L11555" t="str">
        <f>T("7574442264")</f>
        <v>7574442264</v>
      </c>
    </row>
    <row r="11556" spans="1:12" x14ac:dyDescent="0.35">
      <c r="A11556" t="str">
        <f>T("HSC-7")</f>
        <v>HSC-7</v>
      </c>
      <c r="B11556" t="str">
        <f>T("1310 CV TOW WAY RD")</f>
        <v>1310 CV TOW WAY RD</v>
      </c>
      <c r="C11556" t="str">
        <f>T("BLDG LF-66")</f>
        <v>BLDG LF-66</v>
      </c>
      <c r="D11556" t="str">
        <f>T("NORFOLK")</f>
        <v>NORFOLK</v>
      </c>
      <c r="E11556" t="str">
        <f>T("VA")</f>
        <v>VA</v>
      </c>
      <c r="F11556" t="str">
        <f>T("235112534")</f>
        <v>235112534</v>
      </c>
      <c r="G11556" t="str">
        <f>T("UNIT 60158")</f>
        <v>UNIT 60158</v>
      </c>
      <c r="H11556" t="str">
        <f>T("")</f>
        <v/>
      </c>
      <c r="I11556" t="str">
        <f t="shared" si="4234"/>
        <v>FPO</v>
      </c>
      <c r="J11556" t="str">
        <f t="shared" si="4233"/>
        <v>AE</v>
      </c>
      <c r="K11556" t="str">
        <f>T("7574440917")</f>
        <v>7574440917</v>
      </c>
      <c r="L11556" t="str">
        <f>T("7574442556")</f>
        <v>7574442556</v>
      </c>
    </row>
    <row r="11557" spans="1:12" x14ac:dyDescent="0.35">
      <c r="A11557" t="str">
        <f>T("USS GEORGE H W BUSH CVN-77")</f>
        <v>USS GEORGE H W BUSH CVN-77</v>
      </c>
      <c r="B11557" t="str">
        <f>T("USS GEORGE H W BUSH")</f>
        <v>USS GEORGE H W BUSH</v>
      </c>
      <c r="C11557" t="str">
        <f>T("UNIT 100331 BOX 1")</f>
        <v>UNIT 100331 BOX 1</v>
      </c>
      <c r="D11557" t="str">
        <f>T("FPO")</f>
        <v>FPO</v>
      </c>
      <c r="E11557" t="str">
        <f>T("AE")</f>
        <v>AE</v>
      </c>
      <c r="F11557" t="str">
        <f>T("095133100")</f>
        <v>095133100</v>
      </c>
      <c r="G11557" t="str">
        <f>T("USS GEORGE H W BUSH")</f>
        <v>USS GEORGE H W BUSH</v>
      </c>
      <c r="H11557" t="str">
        <f>T("UNIT 100331 BOX 1")</f>
        <v>UNIT 100331 BOX 1</v>
      </c>
      <c r="I11557" t="str">
        <f t="shared" si="4234"/>
        <v>FPO</v>
      </c>
      <c r="J11557" t="str">
        <f t="shared" si="4233"/>
        <v>AE</v>
      </c>
      <c r="K11557" t="str">
        <f>T("")</f>
        <v/>
      </c>
      <c r="L11557" t="str">
        <f>T("7579674171")</f>
        <v>7579674171</v>
      </c>
    </row>
    <row r="11558" spans="1:12" x14ac:dyDescent="0.35">
      <c r="A11558" t="str">
        <f>T("USS GEORGE H W BUSH CVN-77")</f>
        <v>USS GEORGE H W BUSH CVN-77</v>
      </c>
      <c r="B11558" t="str">
        <f>T("USS GEORGE H W BUSH")</f>
        <v>USS GEORGE H W BUSH</v>
      </c>
      <c r="C11558" t="str">
        <f>T("UNIT 100331 BOX 1")</f>
        <v>UNIT 100331 BOX 1</v>
      </c>
      <c r="D11558" t="str">
        <f>T("FPO")</f>
        <v>FPO</v>
      </c>
      <c r="E11558" t="str">
        <f>T("AE")</f>
        <v>AE</v>
      </c>
      <c r="F11558" t="str">
        <f>T("095133100")</f>
        <v>095133100</v>
      </c>
      <c r="G11558" t="str">
        <f>T("USS GEORGE H W BUSH CVN77")</f>
        <v>USS GEORGE H W BUSH CVN77</v>
      </c>
      <c r="H11558" t="str">
        <f>T("UNIT 100331 BOX 1")</f>
        <v>UNIT 100331 BOX 1</v>
      </c>
      <c r="I11558" t="str">
        <f t="shared" si="4234"/>
        <v>FPO</v>
      </c>
      <c r="J11558" t="str">
        <f t="shared" si="4233"/>
        <v>AE</v>
      </c>
      <c r="K11558" t="str">
        <f>T("000000000000000000")</f>
        <v>000000000000000000</v>
      </c>
      <c r="L11558" t="str">
        <f>T("7574438804")</f>
        <v>7574438804</v>
      </c>
    </row>
    <row r="11559" spans="1:12" x14ac:dyDescent="0.35">
      <c r="A11559" t="str">
        <f>T("USS GEORGE H W BUSH CVN-77")</f>
        <v>USS GEORGE H W BUSH CVN-77</v>
      </c>
      <c r="B11559" t="str">
        <f>T("USS GEORGE H W BUSH")</f>
        <v>USS GEORGE H W BUSH</v>
      </c>
      <c r="C11559" t="str">
        <f>T("UNIT 100331 BOX 1")</f>
        <v>UNIT 100331 BOX 1</v>
      </c>
      <c r="D11559" t="str">
        <f>T("FPO")</f>
        <v>FPO</v>
      </c>
      <c r="E11559" t="str">
        <f>T("AE")</f>
        <v>AE</v>
      </c>
      <c r="F11559" t="str">
        <f>T("095133100")</f>
        <v>095133100</v>
      </c>
      <c r="G11559" t="str">
        <f>T("USS GEORGE H W BUSH CVN77")</f>
        <v>USS GEORGE H W BUSH CVN77</v>
      </c>
      <c r="H11559" t="str">
        <f>T("UNIT 100331 S-1")</f>
        <v>UNIT 100331 S-1</v>
      </c>
      <c r="I11559" t="str">
        <f t="shared" si="4234"/>
        <v>FPO</v>
      </c>
      <c r="J11559" t="str">
        <f t="shared" si="4233"/>
        <v>AE</v>
      </c>
      <c r="K11559" t="str">
        <f>T("000000000000000000")</f>
        <v>000000000000000000</v>
      </c>
      <c r="L11559" t="str">
        <f>T("7574438804")</f>
        <v>7574438804</v>
      </c>
    </row>
    <row r="11560" spans="1:12" x14ac:dyDescent="0.35">
      <c r="A11560" t="str">
        <f>T("USS GEORGE H W BUSH CVN-77")</f>
        <v>USS GEORGE H W BUSH CVN-77</v>
      </c>
      <c r="B11560" t="str">
        <f>T("USS GEORGE H W BUSH")</f>
        <v>USS GEORGE H W BUSH</v>
      </c>
      <c r="C11560" t="str">
        <f>T("UNIT 100331 BOX 1")</f>
        <v>UNIT 100331 BOX 1</v>
      </c>
      <c r="D11560" t="str">
        <f>T("FPO")</f>
        <v>FPO</v>
      </c>
      <c r="E11560" t="str">
        <f>T("AE")</f>
        <v>AE</v>
      </c>
      <c r="F11560" t="str">
        <f>T("095133100")</f>
        <v>095133100</v>
      </c>
      <c r="G11560" t="str">
        <f>T("USS GHW BUSH CVN77")</f>
        <v>USS GHW BUSH CVN77</v>
      </c>
      <c r="H11560" t="str">
        <f>T("UNIT 100331 S-1")</f>
        <v>UNIT 100331 S-1</v>
      </c>
      <c r="I11560" t="str">
        <f t="shared" si="4234"/>
        <v>FPO</v>
      </c>
      <c r="J11560" t="str">
        <f t="shared" si="4233"/>
        <v>AE</v>
      </c>
      <c r="K11560" t="str">
        <f>T("000000000000000000")</f>
        <v>000000000000000000</v>
      </c>
      <c r="L11560" t="str">
        <f>T("7574438804")</f>
        <v>7574438804</v>
      </c>
    </row>
    <row r="11561" spans="1:12" x14ac:dyDescent="0.35">
      <c r="A11561" t="str">
        <f>T("SERCC")</f>
        <v>SERCC</v>
      </c>
      <c r="B11561" t="str">
        <f>T("P O BOX 57 NAS JACKSONVILLE")</f>
        <v>P O BOX 57 NAS JACKSONVILLE</v>
      </c>
      <c r="C11561" t="str">
        <f>T("BLDG 101U")</f>
        <v>BLDG 101U</v>
      </c>
      <c r="D11561" t="str">
        <f>T("JACKSONVILLE")</f>
        <v>JACKSONVILLE</v>
      </c>
      <c r="E11561" t="str">
        <f t="shared" ref="E11561:E11567" si="4235">T("FL")</f>
        <v>FL</v>
      </c>
      <c r="F11561" t="str">
        <f>T("322120057")</f>
        <v>322120057</v>
      </c>
      <c r="G11561" t="str">
        <f>T("P O BOX 57 NAS JACKSONVILLE")</f>
        <v>P O BOX 57 NAS JACKSONVILLE</v>
      </c>
      <c r="H11561" t="str">
        <f>T("BLDG 101U")</f>
        <v>BLDG 101U</v>
      </c>
      <c r="I11561" t="str">
        <f>T("JACKSONVILLE")</f>
        <v>JACKSONVILLE</v>
      </c>
      <c r="J11561" t="str">
        <f t="shared" ref="J11561:J11567" si="4236">T("FL")</f>
        <v>FL</v>
      </c>
      <c r="K11561" t="str">
        <f>T("5420534")</f>
        <v>5420534</v>
      </c>
      <c r="L11561" t="str">
        <f>T("9047905807")</f>
        <v>9047905807</v>
      </c>
    </row>
    <row r="11562" spans="1:12" x14ac:dyDescent="0.35">
      <c r="A11562" t="str">
        <f>T("SERCC")</f>
        <v>SERCC</v>
      </c>
      <c r="B11562" t="str">
        <f>T("P O BOX 57 NAS JACKSONVILLE")</f>
        <v>P O BOX 57 NAS JACKSONVILLE</v>
      </c>
      <c r="C11562" t="str">
        <f>T("BLDG 101U")</f>
        <v>BLDG 101U</v>
      </c>
      <c r="D11562" t="str">
        <f>T("JACKSONVILLE")</f>
        <v>JACKSONVILLE</v>
      </c>
      <c r="E11562" t="str">
        <f t="shared" si="4235"/>
        <v>FL</v>
      </c>
      <c r="F11562" t="str">
        <f>T("322120057")</f>
        <v>322120057</v>
      </c>
      <c r="G11562" t="str">
        <f>T("PO BOX 57")</f>
        <v>PO BOX 57</v>
      </c>
      <c r="H11562" t="str">
        <f>T("BLDG 101U")</f>
        <v>BLDG 101U</v>
      </c>
      <c r="I11562" t="str">
        <f>T("JACKSONVILLE")</f>
        <v>JACKSONVILLE</v>
      </c>
      <c r="J11562" t="str">
        <f t="shared" si="4236"/>
        <v>FL</v>
      </c>
      <c r="K11562" t="str">
        <f>T("9047905790")</f>
        <v>9047905790</v>
      </c>
      <c r="L11562" t="str">
        <f>T("9047905821")</f>
        <v>9047905821</v>
      </c>
    </row>
    <row r="11563" spans="1:12" x14ac:dyDescent="0.35">
      <c r="A11563" t="str">
        <f>T("SERCC")</f>
        <v>SERCC</v>
      </c>
      <c r="B11563" t="str">
        <f>T("P O BOX 57 NAS JACKSONVILLE")</f>
        <v>P O BOX 57 NAS JACKSONVILLE</v>
      </c>
      <c r="C11563" t="str">
        <f>T("BLDG 101U")</f>
        <v>BLDG 101U</v>
      </c>
      <c r="D11563" t="str">
        <f>T("JACKSONVILLE")</f>
        <v>JACKSONVILLE</v>
      </c>
      <c r="E11563" t="str">
        <f t="shared" si="4235"/>
        <v>FL</v>
      </c>
      <c r="F11563" t="str">
        <f>T("322120057")</f>
        <v>322120057</v>
      </c>
      <c r="G11563" t="str">
        <f>T("PO BOX 57")</f>
        <v>PO BOX 57</v>
      </c>
      <c r="H11563" t="str">
        <f>T("BLDG 101U")</f>
        <v>BLDG 101U</v>
      </c>
      <c r="I11563" t="str">
        <f>T("JACKSONVILLE")</f>
        <v>JACKSONVILLE</v>
      </c>
      <c r="J11563" t="str">
        <f t="shared" si="4236"/>
        <v>FL</v>
      </c>
      <c r="K11563" t="str">
        <f>T("9047905790")</f>
        <v>9047905790</v>
      </c>
      <c r="L11563" t="str">
        <f>T("9047905868")</f>
        <v>9047905868</v>
      </c>
    </row>
    <row r="11564" spans="1:12" x14ac:dyDescent="0.35">
      <c r="A11564" t="str">
        <f>T("FRC KEY WEST")</f>
        <v>FRC KEY WEST</v>
      </c>
      <c r="B11564" t="str">
        <f>T("BLDG A980 MIDWAY AVE")</f>
        <v>BLDG A980 MIDWAY AVE</v>
      </c>
      <c r="C11564" t="str">
        <f>T("MIDWAY AVE")</f>
        <v>MIDWAY AVE</v>
      </c>
      <c r="D11564" t="str">
        <f>T("KEY WEST")</f>
        <v>KEY WEST</v>
      </c>
      <c r="E11564" t="str">
        <f t="shared" si="4235"/>
        <v>FL</v>
      </c>
      <c r="F11564" t="str">
        <f>T("330409032")</f>
        <v>330409032</v>
      </c>
      <c r="G11564" t="str">
        <f>T("A980 MIDWAY AVE")</f>
        <v>A980 MIDWAY AVE</v>
      </c>
      <c r="H11564" t="str">
        <f>T("")</f>
        <v/>
      </c>
      <c r="I11564" t="str">
        <f>T("KEY WEST")</f>
        <v>KEY WEST</v>
      </c>
      <c r="J11564" t="str">
        <f t="shared" si="4236"/>
        <v>FL</v>
      </c>
      <c r="K11564" t="str">
        <f>T("3052932135")</f>
        <v>3052932135</v>
      </c>
      <c r="L11564" t="str">
        <f>T("3052932383")</f>
        <v>3052932383</v>
      </c>
    </row>
    <row r="11565" spans="1:12" x14ac:dyDescent="0.35">
      <c r="A11565" t="str">
        <f>T("FRC KEY WEST")</f>
        <v>FRC KEY WEST</v>
      </c>
      <c r="B11565" t="str">
        <f>T("BLDG A980 MIDWAY AVE")</f>
        <v>BLDG A980 MIDWAY AVE</v>
      </c>
      <c r="C11565" t="str">
        <f>T("MIDWAY AVE")</f>
        <v>MIDWAY AVE</v>
      </c>
      <c r="D11565" t="str">
        <f>T("KEY WEST")</f>
        <v>KEY WEST</v>
      </c>
      <c r="E11565" t="str">
        <f t="shared" si="4235"/>
        <v>FL</v>
      </c>
      <c r="F11565" t="str">
        <f>T("330409032")</f>
        <v>330409032</v>
      </c>
      <c r="G11565" t="str">
        <f>T("BLDG A980 MIDWAY AVE")</f>
        <v>BLDG A980 MIDWAY AVE</v>
      </c>
      <c r="H11565" t="str">
        <f>T("MIDWAY AVE")</f>
        <v>MIDWAY AVE</v>
      </c>
      <c r="I11565" t="str">
        <f>T("KEY WEST")</f>
        <v>KEY WEST</v>
      </c>
      <c r="J11565" t="str">
        <f t="shared" si="4236"/>
        <v>FL</v>
      </c>
      <c r="K11565" t="str">
        <f>T("3052932135")</f>
        <v>3052932135</v>
      </c>
      <c r="L11565" t="str">
        <f>T("3052932383")</f>
        <v>3052932383</v>
      </c>
    </row>
    <row r="11566" spans="1:12" x14ac:dyDescent="0.35">
      <c r="A11566" t="str">
        <f>T("FRC KEY WEST")</f>
        <v>FRC KEY WEST</v>
      </c>
      <c r="B11566" t="str">
        <f>T("BLDG A980 MIDWAY AVE")</f>
        <v>BLDG A980 MIDWAY AVE</v>
      </c>
      <c r="C11566" t="str">
        <f>T("MIDWAY AVE")</f>
        <v>MIDWAY AVE</v>
      </c>
      <c r="D11566" t="str">
        <f>T("KEY WEST")</f>
        <v>KEY WEST</v>
      </c>
      <c r="E11566" t="str">
        <f t="shared" si="4235"/>
        <v>FL</v>
      </c>
      <c r="F11566" t="str">
        <f>T("330409032")</f>
        <v>330409032</v>
      </c>
      <c r="G11566" t="str">
        <f>T("FRCSE DET KEY WEST")</f>
        <v>FRCSE DET KEY WEST</v>
      </c>
      <c r="H11566" t="str">
        <f>T("BLDG A-980 MIDWAY AVE")</f>
        <v>BLDG A-980 MIDWAY AVE</v>
      </c>
      <c r="I11566" t="str">
        <f>T("KEY WEST")</f>
        <v>KEY WEST</v>
      </c>
      <c r="J11566" t="str">
        <f t="shared" si="4236"/>
        <v>FL</v>
      </c>
      <c r="K11566" t="str">
        <f>T("3052932135")</f>
        <v>3052932135</v>
      </c>
      <c r="L11566" t="str">
        <f>T("3052932383")</f>
        <v>3052932383</v>
      </c>
    </row>
    <row r="11567" spans="1:12" x14ac:dyDescent="0.35">
      <c r="A11567" t="str">
        <f>T("FRC KEY WEST")</f>
        <v>FRC KEY WEST</v>
      </c>
      <c r="B11567" t="str">
        <f>T("BLDG A980 MIDWAY AVE")</f>
        <v>BLDG A980 MIDWAY AVE</v>
      </c>
      <c r="C11567" t="str">
        <f>T("MIDWAY AVE")</f>
        <v>MIDWAY AVE</v>
      </c>
      <c r="D11567" t="str">
        <f>T("KEY WEST")</f>
        <v>KEY WEST</v>
      </c>
      <c r="E11567" t="str">
        <f t="shared" si="4235"/>
        <v>FL</v>
      </c>
      <c r="F11567" t="str">
        <f>T("330409032")</f>
        <v>330409032</v>
      </c>
      <c r="G11567" t="str">
        <f>T("FRCSE KEY WEST PO BOX 9032")</f>
        <v>FRCSE KEY WEST PO BOX 9032</v>
      </c>
      <c r="H11567" t="str">
        <f>T("MIDWAY AVENUE")</f>
        <v>MIDWAY AVENUE</v>
      </c>
      <c r="I11567" t="str">
        <f>T("KEY WEST")</f>
        <v>KEY WEST</v>
      </c>
      <c r="J11567" t="str">
        <f t="shared" si="4236"/>
        <v>FL</v>
      </c>
      <c r="K11567" t="str">
        <f>T("3052932135")</f>
        <v>3052932135</v>
      </c>
      <c r="L11567" t="str">
        <f>T("3052932383")</f>
        <v>3052932383</v>
      </c>
    </row>
    <row r="11568" spans="1:12" x14ac:dyDescent="0.35">
      <c r="A11568" t="str">
        <f>T("FRC OCEANA")</f>
        <v>FRC OCEANA</v>
      </c>
      <c r="B11568" t="str">
        <f>T("FRCMA SITE OCEANA")</f>
        <v>FRCMA SITE OCEANA</v>
      </c>
      <c r="C11568" t="str">
        <f>T("841 B AVE BLDG 513")</f>
        <v>841 B AVE BLDG 513</v>
      </c>
      <c r="D11568" t="str">
        <f>T("VIRGINIA BCH")</f>
        <v>VIRGINIA BCH</v>
      </c>
      <c r="E11568" t="str">
        <f>T("VA")</f>
        <v>VA</v>
      </c>
      <c r="F11568" t="str">
        <f>T("234602147")</f>
        <v>234602147</v>
      </c>
      <c r="G11568" t="str">
        <f>T("841 B AVE")</f>
        <v>841 B AVE</v>
      </c>
      <c r="H11568" t="str">
        <f>T("BLDG 513")</f>
        <v>BLDG 513</v>
      </c>
      <c r="I11568" t="str">
        <f>T("VIRGINIA BEACH")</f>
        <v>VIRGINIA BEACH</v>
      </c>
      <c r="J11568" t="str">
        <f>T("VA")</f>
        <v>VA</v>
      </c>
      <c r="K11568" t="str">
        <f>T("7574335209")</f>
        <v>7574335209</v>
      </c>
      <c r="L11568" t="str">
        <f>T("7574335152")</f>
        <v>7574335152</v>
      </c>
    </row>
    <row r="11569" spans="1:12" x14ac:dyDescent="0.35">
      <c r="A11569" t="str">
        <f>T("FRC OCEANA")</f>
        <v>FRC OCEANA</v>
      </c>
      <c r="B11569" t="str">
        <f>T("FRCMA SITE OCEANA")</f>
        <v>FRCMA SITE OCEANA</v>
      </c>
      <c r="C11569" t="str">
        <f>T("841 B AVE BLDG 513")</f>
        <v>841 B AVE BLDG 513</v>
      </c>
      <c r="D11569" t="str">
        <f>T("VIRGINIA BCH")</f>
        <v>VIRGINIA BCH</v>
      </c>
      <c r="E11569" t="str">
        <f>T("VA")</f>
        <v>VA</v>
      </c>
      <c r="F11569" t="str">
        <f>T("234602147")</f>
        <v>234602147</v>
      </c>
      <c r="G11569" t="str">
        <f>T("841 B AVE BLDG 513")</f>
        <v>841 B AVE BLDG 513</v>
      </c>
      <c r="H11569" t="str">
        <f>T("")</f>
        <v/>
      </c>
      <c r="I11569" t="str">
        <f>T("VIRGINIA BEACH")</f>
        <v>VIRGINIA BEACH</v>
      </c>
      <c r="J11569" t="str">
        <f>T("VA")</f>
        <v>VA</v>
      </c>
      <c r="K11569" t="str">
        <f>T("7574335209")</f>
        <v>7574335209</v>
      </c>
      <c r="L11569" t="str">
        <f>T("7574335152")</f>
        <v>7574335152</v>
      </c>
    </row>
    <row r="11570" spans="1:12" x14ac:dyDescent="0.35">
      <c r="A11570" t="str">
        <f>T("FRC OCEANA")</f>
        <v>FRC OCEANA</v>
      </c>
      <c r="B11570" t="str">
        <f>T("FRCMA SITE OCEANA")</f>
        <v>FRCMA SITE OCEANA</v>
      </c>
      <c r="C11570" t="str">
        <f>T("841 B AVE BLDG 513")</f>
        <v>841 B AVE BLDG 513</v>
      </c>
      <c r="D11570" t="str">
        <f>T("VIRGINIA BCH")</f>
        <v>VIRGINIA BCH</v>
      </c>
      <c r="E11570" t="str">
        <f>T("VA")</f>
        <v>VA</v>
      </c>
      <c r="F11570" t="str">
        <f>T("234602147")</f>
        <v>234602147</v>
      </c>
      <c r="G11570" t="str">
        <f>T("FRCMA SITE OCEANA")</f>
        <v>FRCMA SITE OCEANA</v>
      </c>
      <c r="H11570" t="str">
        <f>T("841 B AVE BLDG 513")</f>
        <v>841 B AVE BLDG 513</v>
      </c>
      <c r="I11570" t="str">
        <f>T("VIRGINIA BCH")</f>
        <v>VIRGINIA BCH</v>
      </c>
      <c r="J11570" t="str">
        <f>T("VA")</f>
        <v>VA</v>
      </c>
      <c r="K11570" t="str">
        <f>T("7574335209")</f>
        <v>7574335209</v>
      </c>
      <c r="L11570" t="str">
        <f>T("7574335668")</f>
        <v>7574335668</v>
      </c>
    </row>
    <row r="11571" spans="1:12" x14ac:dyDescent="0.35">
      <c r="A11571" t="str">
        <f>T("AIMD SIGONELLA*")</f>
        <v>AIMD SIGONELLA*</v>
      </c>
      <c r="B11571" t="str">
        <f>T("PSC 812 BOX 1259")</f>
        <v>PSC 812 BOX 1259</v>
      </c>
      <c r="C11571" t="str">
        <f t="shared" ref="C11571:C11577" si="4237">T("")</f>
        <v/>
      </c>
      <c r="D11571" t="str">
        <f>T("FPO")</f>
        <v>FPO</v>
      </c>
      <c r="E11571" t="str">
        <f>T("AE")</f>
        <v>AE</v>
      </c>
      <c r="F11571" t="str">
        <f>T("096270013")</f>
        <v>096270013</v>
      </c>
      <c r="G11571" t="str">
        <f>T("PSC 812 BOX 1259")</f>
        <v>PSC 812 BOX 1259</v>
      </c>
      <c r="H11571" t="str">
        <f t="shared" ref="H11571:H11576" si="4238">T("")</f>
        <v/>
      </c>
      <c r="I11571" t="str">
        <f>T("FPO")</f>
        <v>FPO</v>
      </c>
      <c r="J11571" t="str">
        <f>T("AE")</f>
        <v>AE</v>
      </c>
      <c r="K11571" t="str">
        <f>T("000000000000000000")</f>
        <v>000000000000000000</v>
      </c>
      <c r="L11571" t="str">
        <f>T("3145246505")</f>
        <v>3145246505</v>
      </c>
    </row>
    <row r="11572" spans="1:12" x14ac:dyDescent="0.35">
      <c r="A11572" t="str">
        <f>T("AIMD SIGONELLA*")</f>
        <v>AIMD SIGONELLA*</v>
      </c>
      <c r="B11572" t="str">
        <f>T("PSC 812 BOX 1259")</f>
        <v>PSC 812 BOX 1259</v>
      </c>
      <c r="C11572" t="str">
        <f t="shared" si="4237"/>
        <v/>
      </c>
      <c r="D11572" t="str">
        <f>T("FPO")</f>
        <v>FPO</v>
      </c>
      <c r="E11572" t="str">
        <f>T("AE")</f>
        <v>AE</v>
      </c>
      <c r="F11572" t="str">
        <f>T("096270013")</f>
        <v>096270013</v>
      </c>
      <c r="G11572" t="str">
        <f>T("PSC 812 BOX 1311")</f>
        <v>PSC 812 BOX 1311</v>
      </c>
      <c r="H11572" t="str">
        <f t="shared" si="4238"/>
        <v/>
      </c>
      <c r="I11572" t="str">
        <f>T("FPO")</f>
        <v>FPO</v>
      </c>
      <c r="J11572" t="str">
        <f>T("AE")</f>
        <v>AE</v>
      </c>
      <c r="K11572" t="str">
        <f>T("000000000000000000")</f>
        <v>000000000000000000</v>
      </c>
      <c r="L11572" t="str">
        <f>T("3146246506")</f>
        <v>3146246506</v>
      </c>
    </row>
    <row r="11573" spans="1:12" x14ac:dyDescent="0.35">
      <c r="A11573" t="str">
        <f>T("AIMD SIGONELLA*")</f>
        <v>AIMD SIGONELLA*</v>
      </c>
      <c r="B11573" t="str">
        <f>T("PSC 812 BOX 1259")</f>
        <v>PSC 812 BOX 1259</v>
      </c>
      <c r="C11573" t="str">
        <f t="shared" si="4237"/>
        <v/>
      </c>
      <c r="D11573" t="str">
        <f>T("FPO")</f>
        <v>FPO</v>
      </c>
      <c r="E11573" t="str">
        <f>T("AE")</f>
        <v>AE</v>
      </c>
      <c r="F11573" t="str">
        <f>T("096270013")</f>
        <v>096270013</v>
      </c>
      <c r="G11573" t="str">
        <f>T("PSC 812 BOX 1370")</f>
        <v>PSC 812 BOX 1370</v>
      </c>
      <c r="H11573" t="str">
        <f t="shared" si="4238"/>
        <v/>
      </c>
      <c r="I11573" t="str">
        <f>T("FPO")</f>
        <v>FPO</v>
      </c>
      <c r="J11573" t="str">
        <f>T("AE")</f>
        <v>AE</v>
      </c>
      <c r="K11573" t="str">
        <f>T("000000000000000000")</f>
        <v>000000000000000000</v>
      </c>
      <c r="L11573" t="str">
        <f>T("3146246506")</f>
        <v>3146246506</v>
      </c>
    </row>
    <row r="11574" spans="1:12" x14ac:dyDescent="0.35">
      <c r="A11574" t="str">
        <f>T("FRCSE DET MAYPORT")</f>
        <v>FRCSE DET MAYPORT</v>
      </c>
      <c r="B11574" t="str">
        <f>T("BLDG 1553 WING AVE")</f>
        <v>BLDG 1553 WING AVE</v>
      </c>
      <c r="C11574" t="str">
        <f t="shared" si="4237"/>
        <v/>
      </c>
      <c r="D11574" t="str">
        <f>T("JACKSONVILLE")</f>
        <v>JACKSONVILLE</v>
      </c>
      <c r="E11574" t="str">
        <f>T("FL")</f>
        <v>FL</v>
      </c>
      <c r="F11574" t="str">
        <f>T("322280117")</f>
        <v>322280117</v>
      </c>
      <c r="G11574" t="str">
        <f>T("BLDG 1553 WING AVE")</f>
        <v>BLDG 1553 WING AVE</v>
      </c>
      <c r="H11574" t="str">
        <f t="shared" si="4238"/>
        <v/>
      </c>
      <c r="I11574" t="str">
        <f>T("JACKSONVILLE")</f>
        <v>JACKSONVILLE</v>
      </c>
      <c r="J11574" t="str">
        <f>T("FL")</f>
        <v>FL</v>
      </c>
      <c r="K11574" t="str">
        <f>T("9042706100 128")</f>
        <v>9042706100 128</v>
      </c>
      <c r="L11574" t="str">
        <f>T("1111111111")</f>
        <v>1111111111</v>
      </c>
    </row>
    <row r="11575" spans="1:12" x14ac:dyDescent="0.35">
      <c r="A11575" t="str">
        <f>T("FRCSE DET MAYPORT")</f>
        <v>FRCSE DET MAYPORT</v>
      </c>
      <c r="B11575" t="str">
        <f>T("BLDG 1553 WING AVE")</f>
        <v>BLDG 1553 WING AVE</v>
      </c>
      <c r="C11575" t="str">
        <f t="shared" si="4237"/>
        <v/>
      </c>
      <c r="D11575" t="str">
        <f>T("JACKSONVILLE")</f>
        <v>JACKSONVILLE</v>
      </c>
      <c r="E11575" t="str">
        <f>T("FL")</f>
        <v>FL</v>
      </c>
      <c r="F11575" t="str">
        <f>T("322280117")</f>
        <v>322280117</v>
      </c>
      <c r="G11575" t="str">
        <f>T("BLDG 1553 WING AVE")</f>
        <v>BLDG 1553 WING AVE</v>
      </c>
      <c r="H11575" t="str">
        <f t="shared" si="4238"/>
        <v/>
      </c>
      <c r="I11575" t="str">
        <f>T("JACKSONVILLE")</f>
        <v>JACKSONVILLE</v>
      </c>
      <c r="J11575" t="str">
        <f>T("FL")</f>
        <v>FL</v>
      </c>
      <c r="K11575" t="str">
        <f>T("9042706380")</f>
        <v>9042706380</v>
      </c>
      <c r="L11575" t="str">
        <f>T("9042706100")</f>
        <v>9042706100</v>
      </c>
    </row>
    <row r="11576" spans="1:12" x14ac:dyDescent="0.35">
      <c r="A11576" t="str">
        <f>T("VUP-19")</f>
        <v>VUP-19</v>
      </c>
      <c r="B11576" t="str">
        <f>T("335 NAR RD BLDG 323")</f>
        <v>335 NAR RD BLDG 323</v>
      </c>
      <c r="C11576" t="str">
        <f t="shared" si="4237"/>
        <v/>
      </c>
      <c r="D11576" t="str">
        <f>T("PT MUGU NAWC")</f>
        <v>PT MUGU NAWC</v>
      </c>
      <c r="E11576" t="str">
        <f>T("CA")</f>
        <v>CA</v>
      </c>
      <c r="F11576" t="str">
        <f>T("930425038")</f>
        <v>930425038</v>
      </c>
      <c r="G11576" t="str">
        <f>T("335 NAR RD BLDG 323")</f>
        <v>335 NAR RD BLDG 323</v>
      </c>
      <c r="H11576" t="str">
        <f t="shared" si="4238"/>
        <v/>
      </c>
      <c r="I11576" t="str">
        <f>T("PT MUGU NAWC")</f>
        <v>PT MUGU NAWC</v>
      </c>
      <c r="J11576" t="str">
        <f>T("CA")</f>
        <v>CA</v>
      </c>
      <c r="K11576" t="str">
        <f>T("000000000000000000")</f>
        <v>000000000000000000</v>
      </c>
      <c r="L11576" t="str">
        <f>T("8059891334")</f>
        <v>8059891334</v>
      </c>
    </row>
    <row r="11577" spans="1:12" x14ac:dyDescent="0.35">
      <c r="A11577" t="str">
        <f>T("VUP-19")</f>
        <v>VUP-19</v>
      </c>
      <c r="B11577" t="str">
        <f>T("335 NAR RD BLDG 323")</f>
        <v>335 NAR RD BLDG 323</v>
      </c>
      <c r="C11577" t="str">
        <f t="shared" si="4237"/>
        <v/>
      </c>
      <c r="D11577" t="str">
        <f>T("PT MUGU NAWC")</f>
        <v>PT MUGU NAWC</v>
      </c>
      <c r="E11577" t="str">
        <f>T("CA")</f>
        <v>CA</v>
      </c>
      <c r="F11577" t="str">
        <f>T("930425038")</f>
        <v>930425038</v>
      </c>
      <c r="G11577" t="str">
        <f>T("VUP-19")</f>
        <v>VUP-19</v>
      </c>
      <c r="H11577" t="str">
        <f>T("335 NAR RD BLDG 323")</f>
        <v>335 NAR RD BLDG 323</v>
      </c>
      <c r="I11577" t="str">
        <f>T("POINT MUGU NAWC")</f>
        <v>POINT MUGU NAWC</v>
      </c>
      <c r="J11577" t="str">
        <f>T("CA")</f>
        <v>CA</v>
      </c>
      <c r="K11577" t="str">
        <f>T("000000000000000000")</f>
        <v>000000000000000000</v>
      </c>
      <c r="L11577" t="str">
        <f>T("8089891334")</f>
        <v>8089891334</v>
      </c>
    </row>
    <row r="11578" spans="1:12" x14ac:dyDescent="0.35">
      <c r="A11578" t="str">
        <f>T("VUP-19")</f>
        <v>VUP-19</v>
      </c>
      <c r="B11578" t="str">
        <f>T("P O BOX 20")</f>
        <v>P O BOX 20</v>
      </c>
      <c r="C11578" t="str">
        <f>T("NAS JACKSONVILLE")</f>
        <v>NAS JACKSONVILLE</v>
      </c>
      <c r="D11578" t="str">
        <f>T("JACKSONVILLE")</f>
        <v>JACKSONVILLE</v>
      </c>
      <c r="E11578" t="str">
        <f>T("FL")</f>
        <v>FL</v>
      </c>
      <c r="F11578" t="str">
        <f>T("322120020")</f>
        <v>322120020</v>
      </c>
      <c r="G11578" t="str">
        <f>T("P O BOX 20")</f>
        <v>P O BOX 20</v>
      </c>
      <c r="H11578" t="str">
        <f>T("NAS JACKSONVILLE")</f>
        <v>NAS JACKSONVILLE</v>
      </c>
      <c r="I11578" t="str">
        <f>T("JACKSONVILLE")</f>
        <v>JACKSONVILLE</v>
      </c>
      <c r="J11578" t="str">
        <f>T("FL")</f>
        <v>FL</v>
      </c>
      <c r="K11578" t="str">
        <f>T("000000000000000000")</f>
        <v>000000000000000000</v>
      </c>
      <c r="L11578" t="str">
        <f>T("9045428615")</f>
        <v>9045428615</v>
      </c>
    </row>
    <row r="11579" spans="1:12" x14ac:dyDescent="0.35">
      <c r="A11579" t="str">
        <f>T("VUP-19")</f>
        <v>VUP-19</v>
      </c>
      <c r="B11579" t="str">
        <f>T("P O BOX 20")</f>
        <v>P O BOX 20</v>
      </c>
      <c r="C11579" t="str">
        <f>T("NAS JACKSONVILLE")</f>
        <v>NAS JACKSONVILLE</v>
      </c>
      <c r="D11579" t="str">
        <f>T("JACKSONVILLE")</f>
        <v>JACKSONVILLE</v>
      </c>
      <c r="E11579" t="str">
        <f>T("FL")</f>
        <v>FL</v>
      </c>
      <c r="F11579" t="str">
        <f>T("322120020")</f>
        <v>322120020</v>
      </c>
      <c r="G11579" t="str">
        <f>T("USN VUP-19")</f>
        <v>USN VUP-19</v>
      </c>
      <c r="H11579" t="str">
        <f>T("BOX 20 NAS JACKSONVILLE")</f>
        <v>BOX 20 NAS JACKSONVILLE</v>
      </c>
      <c r="I11579" t="str">
        <f>T("JACKSONVILLE")</f>
        <v>JACKSONVILLE</v>
      </c>
      <c r="J11579" t="str">
        <f>T("FL")</f>
        <v>FL</v>
      </c>
      <c r="K11579" t="str">
        <f>T("000000000000000000")</f>
        <v>000000000000000000</v>
      </c>
      <c r="L11579" t="str">
        <f>T("9045428615")</f>
        <v>9045428615</v>
      </c>
    </row>
    <row r="11580" spans="1:12" x14ac:dyDescent="0.35">
      <c r="A11580" t="str">
        <f>T("ASD SIGONELLA")</f>
        <v>ASD SIGONELLA</v>
      </c>
      <c r="B11580" t="str">
        <f>T("PSC 812 BOX 37")</f>
        <v>PSC 812 BOX 37</v>
      </c>
      <c r="C11580" t="str">
        <f>T("")</f>
        <v/>
      </c>
      <c r="D11580" t="str">
        <f>T("FPO")</f>
        <v>FPO</v>
      </c>
      <c r="E11580" t="str">
        <f>T("AE")</f>
        <v>AE</v>
      </c>
      <c r="F11580" t="str">
        <f>T("096270001")</f>
        <v>096270001</v>
      </c>
      <c r="G11580" t="str">
        <f>T("PSC 812 BOX 37")</f>
        <v>PSC 812 BOX 37</v>
      </c>
      <c r="H11580" t="str">
        <f>T("")</f>
        <v/>
      </c>
      <c r="I11580" t="str">
        <f>T("FPO")</f>
        <v>FPO</v>
      </c>
      <c r="J11580" t="str">
        <f>T("AE")</f>
        <v>AE</v>
      </c>
      <c r="K11580" t="str">
        <f>T("000000000000000000")</f>
        <v>000000000000000000</v>
      </c>
      <c r="L11580" t="str">
        <f>T("3146242209")</f>
        <v>3146242209</v>
      </c>
    </row>
    <row r="11581" spans="1:12" x14ac:dyDescent="0.35">
      <c r="A11581" t="str">
        <f>T("ASD SIGONELLA")</f>
        <v>ASD SIGONELLA</v>
      </c>
      <c r="B11581" t="str">
        <f>T("PSC 812 BOX 37")</f>
        <v>PSC 812 BOX 37</v>
      </c>
      <c r="C11581" t="str">
        <f>T("")</f>
        <v/>
      </c>
      <c r="D11581" t="str">
        <f>T("FPO")</f>
        <v>FPO</v>
      </c>
      <c r="E11581" t="str">
        <f>T("AE")</f>
        <v>AE</v>
      </c>
      <c r="F11581" t="str">
        <f>T("096270001")</f>
        <v>096270001</v>
      </c>
      <c r="G11581" t="str">
        <f>T("PSC 812 BOX 37")</f>
        <v>PSC 812 BOX 37</v>
      </c>
      <c r="H11581" t="str">
        <f>T("")</f>
        <v/>
      </c>
      <c r="I11581" t="str">
        <f>T("FPO")</f>
        <v>FPO</v>
      </c>
      <c r="J11581" t="str">
        <f>T("AE")</f>
        <v>AE</v>
      </c>
      <c r="K11581" t="str">
        <f>T("01139095862209")</f>
        <v>01139095862209</v>
      </c>
      <c r="L11581" t="str">
        <f>T("1111111111")</f>
        <v>1111111111</v>
      </c>
    </row>
    <row r="11582" spans="1:12" x14ac:dyDescent="0.35">
      <c r="A11582" t="str">
        <f>T("CSG-8 REP NORTHWOOD UK")</f>
        <v>CSG-8 REP NORTHWOOD UK</v>
      </c>
      <c r="B11582" t="str">
        <f>T("UNIT 4525")</f>
        <v>UNIT 4525</v>
      </c>
      <c r="C11582" t="str">
        <f>T("COMSUBGRU8 REP NORTHWOOD UK")</f>
        <v>COMSUBGRU8 REP NORTHWOOD UK</v>
      </c>
      <c r="D11582" t="str">
        <f>T("APO")</f>
        <v>APO</v>
      </c>
      <c r="E11582" t="str">
        <f>T("AE")</f>
        <v>AE</v>
      </c>
      <c r="F11582" t="str">
        <f>T("094214525")</f>
        <v>094214525</v>
      </c>
      <c r="G11582" t="str">
        <f>T("UNIT 4525")</f>
        <v>UNIT 4525</v>
      </c>
      <c r="H11582" t="str">
        <f>T("")</f>
        <v/>
      </c>
      <c r="I11582" t="str">
        <f>T("APO")</f>
        <v>APO</v>
      </c>
      <c r="J11582" t="str">
        <f>T("AE")</f>
        <v>AE</v>
      </c>
      <c r="K11582" t="str">
        <f>T("00441923958330")</f>
        <v>00441923958330</v>
      </c>
      <c r="L11582" t="str">
        <f>T("1111111111")</f>
        <v>1111111111</v>
      </c>
    </row>
    <row r="11583" spans="1:12" x14ac:dyDescent="0.35">
      <c r="A11583" t="str">
        <f>T("CSG-8 REP NORTHWOOD UK")</f>
        <v>CSG-8 REP NORTHWOOD UK</v>
      </c>
      <c r="B11583" t="str">
        <f>T("UNIT 4525")</f>
        <v>UNIT 4525</v>
      </c>
      <c r="C11583" t="str">
        <f>T("COMSUBGRU8 REP NORTHWOOD UK")</f>
        <v>COMSUBGRU8 REP NORTHWOOD UK</v>
      </c>
      <c r="D11583" t="str">
        <f>T("APO")</f>
        <v>APO</v>
      </c>
      <c r="E11583" t="str">
        <f>T("AE")</f>
        <v>AE</v>
      </c>
      <c r="F11583" t="str">
        <f>T("094214525")</f>
        <v>094214525</v>
      </c>
      <c r="G11583" t="str">
        <f>T("UNIT 4525")</f>
        <v>UNIT 4525</v>
      </c>
      <c r="H11583" t="str">
        <f>T("COMSUBGRU8 REP NORTHWOOD UK")</f>
        <v>COMSUBGRU8 REP NORTHWOOD UK</v>
      </c>
      <c r="I11583" t="str">
        <f>T("APO")</f>
        <v>APO</v>
      </c>
      <c r="J11583" t="str">
        <f>T("AE")</f>
        <v>AE</v>
      </c>
      <c r="K11583" t="str">
        <f>T("441923958317")</f>
        <v>441923958317</v>
      </c>
      <c r="L11583" t="str">
        <f>T("1111111111")</f>
        <v>1111111111</v>
      </c>
    </row>
    <row r="11584" spans="1:12" x14ac:dyDescent="0.35">
      <c r="A11584" t="str">
        <f t="shared" ref="A11584:A11589" si="4239">T("ZZ DELETE")</f>
        <v>ZZ DELETE</v>
      </c>
      <c r="B11584" t="str">
        <f>T("1837 MORRIS STREET")</f>
        <v>1837 MORRIS STREET</v>
      </c>
      <c r="C11584" t="str">
        <f>T("BLDG Z-133")</f>
        <v>BLDG Z-133</v>
      </c>
      <c r="D11584" t="str">
        <f>T("NORFOLK")</f>
        <v>NORFOLK</v>
      </c>
      <c r="E11584" t="str">
        <f>T("VA")</f>
        <v>VA</v>
      </c>
      <c r="F11584" t="str">
        <f>T("235113498")</f>
        <v>235113498</v>
      </c>
      <c r="G11584" t="str">
        <f>T("1837 MORRIS STREET")</f>
        <v>1837 MORRIS STREET</v>
      </c>
      <c r="H11584" t="str">
        <f>T("BLDG Z-133")</f>
        <v>BLDG Z-133</v>
      </c>
      <c r="I11584" t="str">
        <f>T("NORFOLK")</f>
        <v>NORFOLK</v>
      </c>
      <c r="J11584" t="str">
        <f>T("VA")</f>
        <v>VA</v>
      </c>
      <c r="K11584" t="str">
        <f>T("7574452807")</f>
        <v>7574452807</v>
      </c>
      <c r="L11584" t="str">
        <f>T("7574457389")</f>
        <v>7574457389</v>
      </c>
    </row>
    <row r="11585" spans="1:12" x14ac:dyDescent="0.35">
      <c r="A11585" t="str">
        <f t="shared" si="4239"/>
        <v>ZZ DELETE</v>
      </c>
      <c r="B11585" t="str">
        <f>T("1837 MORRIS STREET")</f>
        <v>1837 MORRIS STREET</v>
      </c>
      <c r="C11585" t="str">
        <f>T("BLDG Z-133")</f>
        <v>BLDG Z-133</v>
      </c>
      <c r="D11585" t="str">
        <f>T("NORFOLK")</f>
        <v>NORFOLK</v>
      </c>
      <c r="E11585" t="str">
        <f>T("VA")</f>
        <v>VA</v>
      </c>
      <c r="F11585" t="str">
        <f>T("235113498")</f>
        <v>235113498</v>
      </c>
      <c r="G11585" t="str">
        <f>T("1837 MORRIS STREET")</f>
        <v>1837 MORRIS STREET</v>
      </c>
      <c r="H11585" t="str">
        <f>T("BUILDING Z-133")</f>
        <v>BUILDING Z-133</v>
      </c>
      <c r="I11585" t="str">
        <f>T("NORFOLK")</f>
        <v>NORFOLK</v>
      </c>
      <c r="J11585" t="str">
        <f>T("VA")</f>
        <v>VA</v>
      </c>
      <c r="K11585" t="str">
        <f>T("7574452807")</f>
        <v>7574452807</v>
      </c>
      <c r="L11585" t="str">
        <f>T("7574455912")</f>
        <v>7574455912</v>
      </c>
    </row>
    <row r="11586" spans="1:12" x14ac:dyDescent="0.35">
      <c r="A11586" t="str">
        <f t="shared" si="4239"/>
        <v>ZZ DELETE</v>
      </c>
      <c r="B11586" t="str">
        <f>T("32444 ECHO LANE BLDG 1 SUITE 300")</f>
        <v>32444 ECHO LANE BLDG 1 SUITE 300</v>
      </c>
      <c r="C11586" t="str">
        <f>T("ATTN N4")</f>
        <v>ATTN N4</v>
      </c>
      <c r="D11586" t="str">
        <f>T("SAN DIEGO")</f>
        <v>SAN DIEGO</v>
      </c>
      <c r="E11586" t="str">
        <f>T("CA")</f>
        <v>CA</v>
      </c>
      <c r="F11586" t="str">
        <f>T("921475119")</f>
        <v>921475119</v>
      </c>
      <c r="G11586" t="str">
        <f>T("32444 ECHO LANE")</f>
        <v>32444 ECHO LANE</v>
      </c>
      <c r="H11586" t="str">
        <f>T("SUITE 300")</f>
        <v>SUITE 300</v>
      </c>
      <c r="I11586" t="str">
        <f>T("SAN DIEGO")</f>
        <v>SAN DIEGO</v>
      </c>
      <c r="J11586" t="str">
        <f>T("CA")</f>
        <v>CA</v>
      </c>
      <c r="K11586" t="str">
        <f>T("6195241075")</f>
        <v>6195241075</v>
      </c>
      <c r="L11586" t="str">
        <f>T("6195240914")</f>
        <v>6195240914</v>
      </c>
    </row>
    <row r="11587" spans="1:12" x14ac:dyDescent="0.35">
      <c r="A11587" t="str">
        <f t="shared" si="4239"/>
        <v>ZZ DELETE</v>
      </c>
      <c r="B11587" t="str">
        <f>T("32444 ECHO LANE BLDG 1 SUITE 300")</f>
        <v>32444 ECHO LANE BLDG 1 SUITE 300</v>
      </c>
      <c r="C11587" t="str">
        <f>T("ATTN N4")</f>
        <v>ATTN N4</v>
      </c>
      <c r="D11587" t="str">
        <f>T("SAN DIEGO")</f>
        <v>SAN DIEGO</v>
      </c>
      <c r="E11587" t="str">
        <f>T("CA")</f>
        <v>CA</v>
      </c>
      <c r="F11587" t="str">
        <f>T("921475119")</f>
        <v>921475119</v>
      </c>
      <c r="G11587" t="str">
        <f>T("32444 ECHO LANE")</f>
        <v>32444 ECHO LANE</v>
      </c>
      <c r="H11587" t="str">
        <f>T("SUITE 300")</f>
        <v>SUITE 300</v>
      </c>
      <c r="I11587" t="str">
        <f>T("SAN DIEGO")</f>
        <v>SAN DIEGO</v>
      </c>
      <c r="J11587" t="str">
        <f>T("CA")</f>
        <v>CA</v>
      </c>
      <c r="K11587" t="str">
        <f>T("6195241075")</f>
        <v>6195241075</v>
      </c>
      <c r="L11587" t="str">
        <f>T("6195241085")</f>
        <v>6195241085</v>
      </c>
    </row>
    <row r="11588" spans="1:12" x14ac:dyDescent="0.35">
      <c r="A11588" t="str">
        <f t="shared" si="4239"/>
        <v>ZZ DELETE</v>
      </c>
      <c r="B11588" t="str">
        <f>T("32444 ECHO LANE BLDG 1 SUITE 300")</f>
        <v>32444 ECHO LANE BLDG 1 SUITE 300</v>
      </c>
      <c r="C11588" t="str">
        <f>T("ATTN N4")</f>
        <v>ATTN N4</v>
      </c>
      <c r="D11588" t="str">
        <f>T("SAN DIEGO")</f>
        <v>SAN DIEGO</v>
      </c>
      <c r="E11588" t="str">
        <f>T("CA")</f>
        <v>CA</v>
      </c>
      <c r="F11588" t="str">
        <f>T("921475119")</f>
        <v>921475119</v>
      </c>
      <c r="G11588" t="str">
        <f>T("32444 ECHO LANE BLDG 1 SUITE 300")</f>
        <v>32444 ECHO LANE BLDG 1 SUITE 300</v>
      </c>
      <c r="H11588" t="str">
        <f>T("ATTN N4")</f>
        <v>ATTN N4</v>
      </c>
      <c r="I11588" t="str">
        <f>T("SAN DIEGO")</f>
        <v>SAN DIEGO</v>
      </c>
      <c r="J11588" t="str">
        <f>T("CA")</f>
        <v>CA</v>
      </c>
      <c r="K11588" t="str">
        <f>T("6195241075")</f>
        <v>6195241075</v>
      </c>
      <c r="L11588" t="str">
        <f>T("6195241071")</f>
        <v>6195241071</v>
      </c>
    </row>
    <row r="11589" spans="1:12" x14ac:dyDescent="0.35">
      <c r="A11589" t="str">
        <f t="shared" si="4239"/>
        <v>ZZ DELETE</v>
      </c>
      <c r="B11589" t="str">
        <f>T("32444 ECHO LANE BLDG 1 SUITE 300")</f>
        <v>32444 ECHO LANE BLDG 1 SUITE 300</v>
      </c>
      <c r="C11589" t="str">
        <f>T("ATTN N4")</f>
        <v>ATTN N4</v>
      </c>
      <c r="D11589" t="str">
        <f>T("SAN DIEGO")</f>
        <v>SAN DIEGO</v>
      </c>
      <c r="E11589" t="str">
        <f>T("CA")</f>
        <v>CA</v>
      </c>
      <c r="F11589" t="str">
        <f>T("921475119")</f>
        <v>921475119</v>
      </c>
      <c r="G11589" t="str">
        <f>T("SUBTAG")</f>
        <v>SUBTAG</v>
      </c>
      <c r="H11589" t="str">
        <f>T("BUILDING 164 BOX 4")</f>
        <v>BUILDING 164 BOX 4</v>
      </c>
      <c r="I11589" t="str">
        <f>T("GROTON")</f>
        <v>GROTON</v>
      </c>
      <c r="J11589" t="str">
        <f>T("CT")</f>
        <v>CT</v>
      </c>
      <c r="K11589" t="str">
        <f>T("8606943396")</f>
        <v>8606943396</v>
      </c>
      <c r="L11589" t="str">
        <f>T("8606943516")</f>
        <v>8606943516</v>
      </c>
    </row>
    <row r="11590" spans="1:12" x14ac:dyDescent="0.35">
      <c r="A11590" t="str">
        <f>T("TRIDENT PIERSIDE")</f>
        <v>TRIDENT PIERSIDE</v>
      </c>
      <c r="B11590" t="str">
        <f>T("CODE 522 BLDG 5104")</f>
        <v>CODE 522 BLDG 5104</v>
      </c>
      <c r="C11590" t="str">
        <f>T("990 USS THOMAS JEFFERSON DR")</f>
        <v>990 USS THOMAS JEFFERSON DR</v>
      </c>
      <c r="D11590" t="str">
        <f>T("KINGS BAY")</f>
        <v>KINGS BAY</v>
      </c>
      <c r="E11590" t="str">
        <f>T("GA")</f>
        <v>GA</v>
      </c>
      <c r="F11590" t="str">
        <f>T("315472625")</f>
        <v>315472625</v>
      </c>
      <c r="G11590" t="str">
        <f>T("990 USS THOMAS JEFFERSON DR")</f>
        <v>990 USS THOMAS JEFFERSON DR</v>
      </c>
      <c r="H11590" t="str">
        <f>T("")</f>
        <v/>
      </c>
      <c r="I11590" t="str">
        <f>T("KINGS BAY")</f>
        <v>KINGS BAY</v>
      </c>
      <c r="J11590" t="str">
        <f>T("GA")</f>
        <v>GA</v>
      </c>
      <c r="K11590" t="str">
        <f t="shared" ref="K11590:K11595" si="4240">T("000000000000000000")</f>
        <v>000000000000000000</v>
      </c>
      <c r="L11590" t="str">
        <f>T("9125734384")</f>
        <v>9125734384</v>
      </c>
    </row>
    <row r="11591" spans="1:12" x14ac:dyDescent="0.35">
      <c r="A11591" t="str">
        <f>T("TRIDENT PIERSIDE")</f>
        <v>TRIDENT PIERSIDE</v>
      </c>
      <c r="B11591" t="str">
        <f>T("CODE 522 BLDG 5104")</f>
        <v>CODE 522 BLDG 5104</v>
      </c>
      <c r="C11591" t="str">
        <f>T("990 USS THOMAS JEFFERSON DR")</f>
        <v>990 USS THOMAS JEFFERSON DR</v>
      </c>
      <c r="D11591" t="str">
        <f>T("KINGS BAY")</f>
        <v>KINGS BAY</v>
      </c>
      <c r="E11591" t="str">
        <f>T("GA")</f>
        <v>GA</v>
      </c>
      <c r="F11591" t="str">
        <f>T("315472625")</f>
        <v>315472625</v>
      </c>
      <c r="G11591" t="str">
        <f>T("990 USS THOMAS JEFFERSON DR")</f>
        <v>990 USS THOMAS JEFFERSON DR</v>
      </c>
      <c r="H11591" t="str">
        <f>T("")</f>
        <v/>
      </c>
      <c r="I11591" t="str">
        <f>T("KINGS BAY")</f>
        <v>KINGS BAY</v>
      </c>
      <c r="J11591" t="str">
        <f>T("GA")</f>
        <v>GA</v>
      </c>
      <c r="K11591" t="str">
        <f t="shared" si="4240"/>
        <v>000000000000000000</v>
      </c>
      <c r="L11591" t="str">
        <f>T("9125734443")</f>
        <v>9125734443</v>
      </c>
    </row>
    <row r="11592" spans="1:12" x14ac:dyDescent="0.35">
      <c r="A11592" t="str">
        <f>T("TRIDENT PIERSIDE")</f>
        <v>TRIDENT PIERSIDE</v>
      </c>
      <c r="B11592" t="str">
        <f>T("CODE 522 BLDG 5104")</f>
        <v>CODE 522 BLDG 5104</v>
      </c>
      <c r="C11592" t="str">
        <f>T("990 USS THOMAS JEFFERSON DR")</f>
        <v>990 USS THOMAS JEFFERSON DR</v>
      </c>
      <c r="D11592" t="str">
        <f>T("KINGS BAY")</f>
        <v>KINGS BAY</v>
      </c>
      <c r="E11592" t="str">
        <f>T("GA")</f>
        <v>GA</v>
      </c>
      <c r="F11592" t="str">
        <f>T("315472625")</f>
        <v>315472625</v>
      </c>
      <c r="G11592" t="str">
        <f>T("990 USS THOMAS JEFFERSON DR")</f>
        <v>990 USS THOMAS JEFFERSON DR</v>
      </c>
      <c r="H11592" t="str">
        <f>T("BLDG 5104 CODE 522")</f>
        <v>BLDG 5104 CODE 522</v>
      </c>
      <c r="I11592" t="str">
        <f>T("KINGS BAY")</f>
        <v>KINGS BAY</v>
      </c>
      <c r="J11592" t="str">
        <f>T("GA")</f>
        <v>GA</v>
      </c>
      <c r="K11592" t="str">
        <f t="shared" si="4240"/>
        <v>000000000000000000</v>
      </c>
      <c r="L11592" t="str">
        <f>T("9125733982")</f>
        <v>9125733982</v>
      </c>
    </row>
    <row r="11593" spans="1:12" x14ac:dyDescent="0.35">
      <c r="A11593" t="str">
        <f>T("TRIDENT PIERSIDE")</f>
        <v>TRIDENT PIERSIDE</v>
      </c>
      <c r="B11593" t="str">
        <f>T("CODE 522 BLDG 5104")</f>
        <v>CODE 522 BLDG 5104</v>
      </c>
      <c r="C11593" t="str">
        <f>T("990 USS THOMAS JEFFERSON DR")</f>
        <v>990 USS THOMAS JEFFERSON DR</v>
      </c>
      <c r="D11593" t="str">
        <f>T("KINGS BAY")</f>
        <v>KINGS BAY</v>
      </c>
      <c r="E11593" t="str">
        <f>T("GA")</f>
        <v>GA</v>
      </c>
      <c r="F11593" t="str">
        <f>T("315472625")</f>
        <v>315472625</v>
      </c>
      <c r="G11593" t="str">
        <f>T("CODE 522 BLDG 5104")</f>
        <v>CODE 522 BLDG 5104</v>
      </c>
      <c r="H11593" t="str">
        <f>T("990 USS THOMAS JEFFERSON DR")</f>
        <v>990 USS THOMAS JEFFERSON DR</v>
      </c>
      <c r="I11593" t="str">
        <f>T("KINGS BAY")</f>
        <v>KINGS BAY</v>
      </c>
      <c r="J11593" t="str">
        <f>T("GA")</f>
        <v>GA</v>
      </c>
      <c r="K11593" t="str">
        <f t="shared" si="4240"/>
        <v>000000000000000000</v>
      </c>
      <c r="L11593" t="str">
        <f>T("9125732479")</f>
        <v>9125732479</v>
      </c>
    </row>
    <row r="11594" spans="1:12" x14ac:dyDescent="0.35">
      <c r="A11594" t="str">
        <f>T("TRIDENT PIERSIDE")</f>
        <v>TRIDENT PIERSIDE</v>
      </c>
      <c r="B11594" t="str">
        <f>T("CODE 522 BLDG 5104")</f>
        <v>CODE 522 BLDG 5104</v>
      </c>
      <c r="C11594" t="str">
        <f>T("990 USS THOMAS JEFFERSON DR")</f>
        <v>990 USS THOMAS JEFFERSON DR</v>
      </c>
      <c r="D11594" t="str">
        <f>T("KINGS BAY")</f>
        <v>KINGS BAY</v>
      </c>
      <c r="E11594" t="str">
        <f>T("GA")</f>
        <v>GA</v>
      </c>
      <c r="F11594" t="str">
        <f>T("315472625")</f>
        <v>315472625</v>
      </c>
      <c r="G11594" t="str">
        <f>T("CODE 522 BLDG 5104")</f>
        <v>CODE 522 BLDG 5104</v>
      </c>
      <c r="H11594" t="str">
        <f>T("990 USS THOMAS JEFFERSON DR")</f>
        <v>990 USS THOMAS JEFFERSON DR</v>
      </c>
      <c r="I11594" t="str">
        <f>T("KINGS BAY")</f>
        <v>KINGS BAY</v>
      </c>
      <c r="J11594" t="str">
        <f>T("GA")</f>
        <v>GA</v>
      </c>
      <c r="K11594" t="str">
        <f t="shared" si="4240"/>
        <v>000000000000000000</v>
      </c>
      <c r="L11594" t="str">
        <f>T("9125734340")</f>
        <v>9125734340</v>
      </c>
    </row>
    <row r="11595" spans="1:12" x14ac:dyDescent="0.35">
      <c r="A11595" t="str">
        <f t="shared" ref="A11595:A11606" si="4241">T("ARCTIC SUBMARINE LAB - ASL")</f>
        <v>ARCTIC SUBMARINE LAB - ASL</v>
      </c>
      <c r="B11595" t="str">
        <f>T("140 SYLVESTER RD")</f>
        <v>140 SYLVESTER RD</v>
      </c>
      <c r="C11595" t="str">
        <f>T("")</f>
        <v/>
      </c>
      <c r="D11595" t="str">
        <f t="shared" ref="D11595:D11606" si="4242">T("SAN DIEGO")</f>
        <v>SAN DIEGO</v>
      </c>
      <c r="E11595" t="str">
        <f t="shared" ref="E11595:E11606" si="4243">T("CA")</f>
        <v>CA</v>
      </c>
      <c r="F11595" t="str">
        <f>T("921063521")</f>
        <v>921063521</v>
      </c>
      <c r="G11595" t="str">
        <f>T("140 SYLVESTER RD")</f>
        <v>140 SYLVESTER RD</v>
      </c>
      <c r="H11595" t="str">
        <f>T("")</f>
        <v/>
      </c>
      <c r="I11595" t="str">
        <f>T("SAN DIEGO")</f>
        <v>SAN DIEGO</v>
      </c>
      <c r="J11595" t="str">
        <f>T("CA")</f>
        <v>CA</v>
      </c>
      <c r="K11595" t="str">
        <f t="shared" si="4240"/>
        <v>000000000000000000</v>
      </c>
      <c r="L11595" t="str">
        <f>T("6195537456")</f>
        <v>6195537456</v>
      </c>
    </row>
    <row r="11596" spans="1:12" x14ac:dyDescent="0.35">
      <c r="A11596" t="str">
        <f t="shared" si="4241"/>
        <v>ARCTIC SUBMARINE LAB - ASL</v>
      </c>
      <c r="B11596" t="str">
        <f>T("140 SYLVESTER RD")</f>
        <v>140 SYLVESTER RD</v>
      </c>
      <c r="C11596" t="str">
        <f>T("")</f>
        <v/>
      </c>
      <c r="D11596" t="str">
        <f t="shared" si="4242"/>
        <v>SAN DIEGO</v>
      </c>
      <c r="E11596" t="str">
        <f t="shared" si="4243"/>
        <v>CA</v>
      </c>
      <c r="F11596" t="str">
        <f>T("921063521")</f>
        <v>921063521</v>
      </c>
      <c r="G11596" t="str">
        <f>T("ARCTIC SUBMARINE LAB")</f>
        <v>ARCTIC SUBMARINE LAB</v>
      </c>
      <c r="H11596" t="str">
        <f>T("140 SYLVESTER RD")</f>
        <v>140 SYLVESTER RD</v>
      </c>
      <c r="I11596" t="str">
        <f>T("SAN DIEGO")</f>
        <v>SAN DIEGO</v>
      </c>
      <c r="J11596" t="str">
        <f>T("CA")</f>
        <v>CA</v>
      </c>
      <c r="K11596" t="str">
        <f>T("6195530972")</f>
        <v>6195530972</v>
      </c>
      <c r="L11596" t="str">
        <f>T("6195530274")</f>
        <v>6195530274</v>
      </c>
    </row>
    <row r="11597" spans="1:12" x14ac:dyDescent="0.35">
      <c r="A11597" t="str">
        <f t="shared" si="4241"/>
        <v>ARCTIC SUBMARINE LAB - ASL</v>
      </c>
      <c r="B11597" t="str">
        <f>T("140 SYLVESTER RD")</f>
        <v>140 SYLVESTER RD</v>
      </c>
      <c r="C11597" t="str">
        <f>T("")</f>
        <v/>
      </c>
      <c r="D11597" t="str">
        <f t="shared" si="4242"/>
        <v>SAN DIEGO</v>
      </c>
      <c r="E11597" t="str">
        <f t="shared" si="4243"/>
        <v>CA</v>
      </c>
      <c r="F11597" t="str">
        <f>T("921063521")</f>
        <v>921063521</v>
      </c>
      <c r="G11597" t="str">
        <f>T("ARCTIC SUBMARINE LAB")</f>
        <v>ARCTIC SUBMARINE LAB</v>
      </c>
      <c r="H11597" t="str">
        <f>T("140 SYLVESTER RD")</f>
        <v>140 SYLVESTER RD</v>
      </c>
      <c r="I11597" t="str">
        <f>T("SAN DIEGO")</f>
        <v>SAN DIEGO</v>
      </c>
      <c r="J11597" t="str">
        <f>T("CA")</f>
        <v>CA</v>
      </c>
      <c r="K11597" t="str">
        <f>T("6195530972")</f>
        <v>6195530972</v>
      </c>
      <c r="L11597" t="str">
        <f>T("6195537457")</f>
        <v>6195537457</v>
      </c>
    </row>
    <row r="11598" spans="1:12" x14ac:dyDescent="0.35">
      <c r="A11598" t="str">
        <f t="shared" si="4241"/>
        <v>ARCTIC SUBMARINE LAB - ASL</v>
      </c>
      <c r="B11598" t="str">
        <f>T("140 SYLVESTER RD")</f>
        <v>140 SYLVESTER RD</v>
      </c>
      <c r="C11598" t="str">
        <f>T("")</f>
        <v/>
      </c>
      <c r="D11598" t="str">
        <f t="shared" si="4242"/>
        <v>SAN DIEGO</v>
      </c>
      <c r="E11598" t="str">
        <f t="shared" si="4243"/>
        <v>CA</v>
      </c>
      <c r="F11598" t="str">
        <f>T("921063521")</f>
        <v>921063521</v>
      </c>
      <c r="G11598" t="str">
        <f>T("ARCTIC SUBMARINE LAB")</f>
        <v>ARCTIC SUBMARINE LAB</v>
      </c>
      <c r="H11598" t="str">
        <f>T("140 SYLVESTER RD")</f>
        <v>140 SYLVESTER RD</v>
      </c>
      <c r="I11598" t="str">
        <f>T("SAN DIEGO")</f>
        <v>SAN DIEGO</v>
      </c>
      <c r="J11598" t="str">
        <f>T("CA")</f>
        <v>CA</v>
      </c>
      <c r="K11598" t="str">
        <f>T("6195530972")</f>
        <v>6195530972</v>
      </c>
      <c r="L11598" t="str">
        <f>T("6195539062")</f>
        <v>6195539062</v>
      </c>
    </row>
    <row r="11599" spans="1:12" x14ac:dyDescent="0.35">
      <c r="A11599" t="str">
        <f t="shared" si="4241"/>
        <v>ARCTIC SUBMARINE LAB - ASL</v>
      </c>
      <c r="B11599" t="str">
        <f>T("140 SYLVESTER RD")</f>
        <v>140 SYLVESTER RD</v>
      </c>
      <c r="C11599" t="str">
        <f>T("")</f>
        <v/>
      </c>
      <c r="D11599" t="str">
        <f t="shared" si="4242"/>
        <v>SAN DIEGO</v>
      </c>
      <c r="E11599" t="str">
        <f t="shared" si="4243"/>
        <v>CA</v>
      </c>
      <c r="F11599" t="str">
        <f>T("921063521")</f>
        <v>921063521</v>
      </c>
      <c r="G11599" t="str">
        <f>T("UWDC DET ASL")</f>
        <v>UWDC DET ASL</v>
      </c>
      <c r="H11599" t="str">
        <f>T("140 SYLVESTER RD")</f>
        <v>140 SYLVESTER RD</v>
      </c>
      <c r="I11599" t="str">
        <f>T("SAN DIEGO")</f>
        <v>SAN DIEGO</v>
      </c>
      <c r="J11599" t="str">
        <f>T("CA")</f>
        <v>CA</v>
      </c>
      <c r="K11599" t="str">
        <f>T("000000000000000000")</f>
        <v>000000000000000000</v>
      </c>
      <c r="L11599" t="str">
        <f>T("6195530190")</f>
        <v>6195530190</v>
      </c>
    </row>
    <row r="11600" spans="1:12" x14ac:dyDescent="0.35">
      <c r="A11600" t="str">
        <f t="shared" si="4241"/>
        <v>ARCTIC SUBMARINE LAB - ASL</v>
      </c>
      <c r="B11600" t="str">
        <f t="shared" ref="B11600:B11606" si="4244">T("32444 ECHO LANE BLDG 1 SUITE 300")</f>
        <v>32444 ECHO LANE BLDG 1 SUITE 300</v>
      </c>
      <c r="C11600" t="str">
        <f t="shared" ref="C11600:C11606" si="4245">T("ATTN N4")</f>
        <v>ATTN N4</v>
      </c>
      <c r="D11600" t="str">
        <f t="shared" si="4242"/>
        <v>SAN DIEGO</v>
      </c>
      <c r="E11600" t="str">
        <f t="shared" si="4243"/>
        <v>CA</v>
      </c>
      <c r="F11600" t="str">
        <f t="shared" ref="F11600:F11606" si="4246">T("921475119")</f>
        <v>921475119</v>
      </c>
      <c r="G11600" t="str">
        <f>T("1837 MORRIS STREET")</f>
        <v>1837 MORRIS STREET</v>
      </c>
      <c r="H11600" t="str">
        <f>T("BUILDING Z-133")</f>
        <v>BUILDING Z-133</v>
      </c>
      <c r="I11600" t="str">
        <f>T("NORFOLK")</f>
        <v>NORFOLK</v>
      </c>
      <c r="J11600" t="str">
        <f>T("VA")</f>
        <v>VA</v>
      </c>
      <c r="K11600" t="str">
        <f>T("7574452807")</f>
        <v>7574452807</v>
      </c>
      <c r="L11600" t="str">
        <f>T("7574455912")</f>
        <v>7574455912</v>
      </c>
    </row>
    <row r="11601" spans="1:12" x14ac:dyDescent="0.35">
      <c r="A11601" t="str">
        <f t="shared" si="4241"/>
        <v>ARCTIC SUBMARINE LAB - ASL</v>
      </c>
      <c r="B11601" t="str">
        <f t="shared" si="4244"/>
        <v>32444 ECHO LANE BLDG 1 SUITE 300</v>
      </c>
      <c r="C11601" t="str">
        <f t="shared" si="4245"/>
        <v>ATTN N4</v>
      </c>
      <c r="D11601" t="str">
        <f t="shared" si="4242"/>
        <v>SAN DIEGO</v>
      </c>
      <c r="E11601" t="str">
        <f t="shared" si="4243"/>
        <v>CA</v>
      </c>
      <c r="F11601" t="str">
        <f t="shared" si="4246"/>
        <v>921475119</v>
      </c>
      <c r="G11601" t="str">
        <f>T("32444 ECHO LANE")</f>
        <v>32444 ECHO LANE</v>
      </c>
      <c r="H11601" t="str">
        <f>T("SUITE 300")</f>
        <v>SUITE 300</v>
      </c>
      <c r="I11601" t="str">
        <f>T("SAN DIEGO")</f>
        <v>SAN DIEGO</v>
      </c>
      <c r="J11601" t="str">
        <f>T("CA")</f>
        <v>CA</v>
      </c>
      <c r="K11601" t="str">
        <f>T("6195241075")</f>
        <v>6195241075</v>
      </c>
      <c r="L11601" t="str">
        <f>T("6195240591")</f>
        <v>6195240591</v>
      </c>
    </row>
    <row r="11602" spans="1:12" x14ac:dyDescent="0.35">
      <c r="A11602" t="str">
        <f t="shared" si="4241"/>
        <v>ARCTIC SUBMARINE LAB - ASL</v>
      </c>
      <c r="B11602" t="str">
        <f t="shared" si="4244"/>
        <v>32444 ECHO LANE BLDG 1 SUITE 300</v>
      </c>
      <c r="C11602" t="str">
        <f t="shared" si="4245"/>
        <v>ATTN N4</v>
      </c>
      <c r="D11602" t="str">
        <f t="shared" si="4242"/>
        <v>SAN DIEGO</v>
      </c>
      <c r="E11602" t="str">
        <f t="shared" si="4243"/>
        <v>CA</v>
      </c>
      <c r="F11602" t="str">
        <f t="shared" si="4246"/>
        <v>921475119</v>
      </c>
      <c r="G11602" t="str">
        <f>T("32444 ECHO LANE")</f>
        <v>32444 ECHO LANE</v>
      </c>
      <c r="H11602" t="str">
        <f>T("SUITE 300")</f>
        <v>SUITE 300</v>
      </c>
      <c r="I11602" t="str">
        <f>T("SAN DIEGO")</f>
        <v>SAN DIEGO</v>
      </c>
      <c r="J11602" t="str">
        <f>T("CA")</f>
        <v>CA</v>
      </c>
      <c r="K11602" t="str">
        <f>T("6195241075")</f>
        <v>6195241075</v>
      </c>
      <c r="L11602" t="str">
        <f>T("6195240914")</f>
        <v>6195240914</v>
      </c>
    </row>
    <row r="11603" spans="1:12" x14ac:dyDescent="0.35">
      <c r="A11603" t="str">
        <f t="shared" si="4241"/>
        <v>ARCTIC SUBMARINE LAB - ASL</v>
      </c>
      <c r="B11603" t="str">
        <f t="shared" si="4244"/>
        <v>32444 ECHO LANE BLDG 1 SUITE 300</v>
      </c>
      <c r="C11603" t="str">
        <f t="shared" si="4245"/>
        <v>ATTN N4</v>
      </c>
      <c r="D11603" t="str">
        <f t="shared" si="4242"/>
        <v>SAN DIEGO</v>
      </c>
      <c r="E11603" t="str">
        <f t="shared" si="4243"/>
        <v>CA</v>
      </c>
      <c r="F11603" t="str">
        <f t="shared" si="4246"/>
        <v>921475119</v>
      </c>
      <c r="G11603" t="str">
        <f>T("32444 ECHO LANE")</f>
        <v>32444 ECHO LANE</v>
      </c>
      <c r="H11603" t="str">
        <f>T("SUITE 300")</f>
        <v>SUITE 300</v>
      </c>
      <c r="I11603" t="str">
        <f>T("SAN DIEGO")</f>
        <v>SAN DIEGO</v>
      </c>
      <c r="J11603" t="str">
        <f>T("CA")</f>
        <v>CA</v>
      </c>
      <c r="K11603" t="str">
        <f>T("6195241075")</f>
        <v>6195241075</v>
      </c>
      <c r="L11603" t="str">
        <f>T("6195241085")</f>
        <v>6195241085</v>
      </c>
    </row>
    <row r="11604" spans="1:12" x14ac:dyDescent="0.35">
      <c r="A11604" t="str">
        <f t="shared" si="4241"/>
        <v>ARCTIC SUBMARINE LAB - ASL</v>
      </c>
      <c r="B11604" t="str">
        <f t="shared" si="4244"/>
        <v>32444 ECHO LANE BLDG 1 SUITE 300</v>
      </c>
      <c r="C11604" t="str">
        <f t="shared" si="4245"/>
        <v>ATTN N4</v>
      </c>
      <c r="D11604" t="str">
        <f t="shared" si="4242"/>
        <v>SAN DIEGO</v>
      </c>
      <c r="E11604" t="str">
        <f t="shared" si="4243"/>
        <v>CA</v>
      </c>
      <c r="F11604" t="str">
        <f t="shared" si="4246"/>
        <v>921475119</v>
      </c>
      <c r="G11604" t="str">
        <f>T("32444 ECHO LANE BLDG 1 SUITE 300")</f>
        <v>32444 ECHO LANE BLDG 1 SUITE 300</v>
      </c>
      <c r="H11604" t="str">
        <f>T("ATTN N4")</f>
        <v>ATTN N4</v>
      </c>
      <c r="I11604" t="str">
        <f>T("SAN DIEGO")</f>
        <v>SAN DIEGO</v>
      </c>
      <c r="J11604" t="str">
        <f>T("CA")</f>
        <v>CA</v>
      </c>
      <c r="K11604" t="str">
        <f>T("000000000000000000")</f>
        <v>000000000000000000</v>
      </c>
      <c r="L11604" t="str">
        <f>T("6195241071")</f>
        <v>6195241071</v>
      </c>
    </row>
    <row r="11605" spans="1:12" x14ac:dyDescent="0.35">
      <c r="A11605" t="str">
        <f t="shared" si="4241"/>
        <v>ARCTIC SUBMARINE LAB - ASL</v>
      </c>
      <c r="B11605" t="str">
        <f t="shared" si="4244"/>
        <v>32444 ECHO LANE BLDG 1 SUITE 300</v>
      </c>
      <c r="C11605" t="str">
        <f t="shared" si="4245"/>
        <v>ATTN N4</v>
      </c>
      <c r="D11605" t="str">
        <f t="shared" si="4242"/>
        <v>SAN DIEGO</v>
      </c>
      <c r="E11605" t="str">
        <f t="shared" si="4243"/>
        <v>CA</v>
      </c>
      <c r="F11605" t="str">
        <f t="shared" si="4246"/>
        <v>921475119</v>
      </c>
      <c r="G11605" t="str">
        <f>T("395 HAZELNUT HILL RD")</f>
        <v>395 HAZELNUT HILL RD</v>
      </c>
      <c r="H11605" t="str">
        <f>T("")</f>
        <v/>
      </c>
      <c r="I11605" t="str">
        <f t="shared" ref="I11605:I11612" si="4247">T("GROTON")</f>
        <v>GROTON</v>
      </c>
      <c r="J11605" t="str">
        <f t="shared" ref="J11605:J11612" si="4248">T("CT")</f>
        <v>CT</v>
      </c>
      <c r="K11605" t="str">
        <f>T("000000000000000000")</f>
        <v>000000000000000000</v>
      </c>
      <c r="L11605" t="str">
        <f>T("8606945525")</f>
        <v>8606945525</v>
      </c>
    </row>
    <row r="11606" spans="1:12" x14ac:dyDescent="0.35">
      <c r="A11606" t="str">
        <f t="shared" si="4241"/>
        <v>ARCTIC SUBMARINE LAB - ASL</v>
      </c>
      <c r="B11606" t="str">
        <f t="shared" si="4244"/>
        <v>32444 ECHO LANE BLDG 1 SUITE 300</v>
      </c>
      <c r="C11606" t="str">
        <f t="shared" si="4245"/>
        <v>ATTN N4</v>
      </c>
      <c r="D11606" t="str">
        <f t="shared" si="4242"/>
        <v>SAN DIEGO</v>
      </c>
      <c r="E11606" t="str">
        <f t="shared" si="4243"/>
        <v>CA</v>
      </c>
      <c r="F11606" t="str">
        <f t="shared" si="4246"/>
        <v>921475119</v>
      </c>
      <c r="G11606" t="str">
        <f>T("SUBTAG")</f>
        <v>SUBTAG</v>
      </c>
      <c r="H11606" t="str">
        <f>T("BUILDING 164 BOX 4")</f>
        <v>BUILDING 164 BOX 4</v>
      </c>
      <c r="I11606" t="str">
        <f t="shared" si="4247"/>
        <v>GROTON</v>
      </c>
      <c r="J11606" t="str">
        <f t="shared" si="4248"/>
        <v>CT</v>
      </c>
      <c r="K11606" t="str">
        <f>T("8606943396")</f>
        <v>8606943396</v>
      </c>
      <c r="L11606" t="str">
        <f>T("8606943516")</f>
        <v>8606943516</v>
      </c>
    </row>
    <row r="11607" spans="1:12" x14ac:dyDescent="0.35">
      <c r="A11607" t="str">
        <f t="shared" ref="A11607:A11612" si="4249">T("NSSC NEW LONDON")</f>
        <v>NSSC NEW LONDON</v>
      </c>
      <c r="B11607" t="str">
        <f>T("COMMANDING OFFICER NSSC NL")</f>
        <v>COMMANDING OFFICER NSSC NL</v>
      </c>
      <c r="C11607" t="str">
        <f>T("BLDG 87 ARGONAUT RD")</f>
        <v>BLDG 87 ARGONAUT RD</v>
      </c>
      <c r="D11607" t="str">
        <f t="shared" ref="D11607:D11612" si="4250">T("GROTON")</f>
        <v>GROTON</v>
      </c>
      <c r="E11607" t="str">
        <f t="shared" ref="E11607:E11612" si="4251">T("CT")</f>
        <v>CT</v>
      </c>
      <c r="F11607" t="str">
        <f>T("063495200")</f>
        <v>063495200</v>
      </c>
      <c r="G11607" t="str">
        <f>T("COMMANDING OFFICER NSSC NL")</f>
        <v>COMMANDING OFFICER NSSC NL</v>
      </c>
      <c r="H11607" t="str">
        <f>T("BLDG 87 ARGONAUT RD")</f>
        <v>BLDG 87 ARGONAUT RD</v>
      </c>
      <c r="I11607" t="str">
        <f t="shared" si="4247"/>
        <v>GROTON</v>
      </c>
      <c r="J11607" t="str">
        <f t="shared" si="4248"/>
        <v>CT</v>
      </c>
      <c r="K11607" t="str">
        <f>T("")</f>
        <v/>
      </c>
      <c r="L11607" t="str">
        <f>T("8606941562")</f>
        <v>8606941562</v>
      </c>
    </row>
    <row r="11608" spans="1:12" x14ac:dyDescent="0.35">
      <c r="A11608" t="str">
        <f t="shared" si="4249"/>
        <v>NSSC NEW LONDON</v>
      </c>
      <c r="B11608" t="str">
        <f>T("COMMANDING OFFICER NSSC NL")</f>
        <v>COMMANDING OFFICER NSSC NL</v>
      </c>
      <c r="C11608" t="str">
        <f>T("BLDG 87 ARGONAUT RD")</f>
        <v>BLDG 87 ARGONAUT RD</v>
      </c>
      <c r="D11608" t="str">
        <f t="shared" si="4250"/>
        <v>GROTON</v>
      </c>
      <c r="E11608" t="str">
        <f t="shared" si="4251"/>
        <v>CT</v>
      </c>
      <c r="F11608" t="str">
        <f>T("063495200")</f>
        <v>063495200</v>
      </c>
      <c r="G11608" t="str">
        <f>T("NAVAL SUBMARINE BASE NEW LONDON")</f>
        <v>NAVAL SUBMARINE BASE NEW LONDON</v>
      </c>
      <c r="H11608" t="str">
        <f>T("P O BOX 5060")</f>
        <v>P O BOX 5060</v>
      </c>
      <c r="I11608" t="str">
        <f t="shared" si="4247"/>
        <v>GROTON</v>
      </c>
      <c r="J11608" t="str">
        <f t="shared" si="4248"/>
        <v>CT</v>
      </c>
      <c r="K11608" t="str">
        <f>T("8606942584")</f>
        <v>8606942584</v>
      </c>
      <c r="L11608" t="str">
        <f>T("8606941062")</f>
        <v>8606941062</v>
      </c>
    </row>
    <row r="11609" spans="1:12" x14ac:dyDescent="0.35">
      <c r="A11609" t="str">
        <f t="shared" si="4249"/>
        <v>NSSC NEW LONDON</v>
      </c>
      <c r="B11609" t="str">
        <f>T("COMMANDING OFFICER NSSC NL")</f>
        <v>COMMANDING OFFICER NSSC NL</v>
      </c>
      <c r="C11609" t="str">
        <f>T("BLDG 87 ARGONAUT RD")</f>
        <v>BLDG 87 ARGONAUT RD</v>
      </c>
      <c r="D11609" t="str">
        <f t="shared" si="4250"/>
        <v>GROTON</v>
      </c>
      <c r="E11609" t="str">
        <f t="shared" si="4251"/>
        <v>CT</v>
      </c>
      <c r="F11609" t="str">
        <f>T("063495200")</f>
        <v>063495200</v>
      </c>
      <c r="G11609" t="str">
        <f>T("P.O. BOX 5060, SUBASE")</f>
        <v>P.O. BOX 5060, SUBASE</v>
      </c>
      <c r="H11609" t="str">
        <f>T("M/F: SUPPLY OFFICER")</f>
        <v>M/F: SUPPLY OFFICER</v>
      </c>
      <c r="I11609" t="str">
        <f t="shared" si="4247"/>
        <v>GROTON</v>
      </c>
      <c r="J11609" t="str">
        <f t="shared" si="4248"/>
        <v>CT</v>
      </c>
      <c r="K11609" t="str">
        <f>T("8606942584")</f>
        <v>8606942584</v>
      </c>
      <c r="L11609" t="str">
        <f>T("8606941070")</f>
        <v>8606941070</v>
      </c>
    </row>
    <row r="11610" spans="1:12" x14ac:dyDescent="0.35">
      <c r="A11610" t="str">
        <f t="shared" si="4249"/>
        <v>NSSC NEW LONDON</v>
      </c>
      <c r="B11610" t="str">
        <f>T("COMMANDING OFFICER NSSC NL")</f>
        <v>COMMANDING OFFICER NSSC NL</v>
      </c>
      <c r="C11610" t="str">
        <f>T("BLDG 87 ARGONAUT RD")</f>
        <v>BLDG 87 ARGONAUT RD</v>
      </c>
      <c r="D11610" t="str">
        <f t="shared" si="4250"/>
        <v>GROTON</v>
      </c>
      <c r="E11610" t="str">
        <f t="shared" si="4251"/>
        <v>CT</v>
      </c>
      <c r="F11610" t="str">
        <f>T("063495200")</f>
        <v>063495200</v>
      </c>
      <c r="G11610" t="str">
        <f>T("PO BOX 5060 SUBASE")</f>
        <v>PO BOX 5060 SUBASE</v>
      </c>
      <c r="H11610" t="str">
        <f>T("M/F SUPPLY OFFICER")</f>
        <v>M/F SUPPLY OFFICER</v>
      </c>
      <c r="I11610" t="str">
        <f t="shared" si="4247"/>
        <v>GROTON</v>
      </c>
      <c r="J11610" t="str">
        <f t="shared" si="4248"/>
        <v>CT</v>
      </c>
      <c r="K11610" t="str">
        <f>T("8606942584")</f>
        <v>8606942584</v>
      </c>
      <c r="L11610" t="str">
        <f>T("8606943276")</f>
        <v>8606943276</v>
      </c>
    </row>
    <row r="11611" spans="1:12" x14ac:dyDescent="0.35">
      <c r="A11611" t="str">
        <f t="shared" si="4249"/>
        <v>NSSC NEW LONDON</v>
      </c>
      <c r="B11611" t="str">
        <f>T("SSEP LANT")</f>
        <v>SSEP LANT</v>
      </c>
      <c r="C11611" t="str">
        <f>T("BLDG 448 SUBASE NEW LONDON")</f>
        <v>BLDG 448 SUBASE NEW LONDON</v>
      </c>
      <c r="D11611" t="str">
        <f t="shared" si="4250"/>
        <v>GROTON</v>
      </c>
      <c r="E11611" t="str">
        <f t="shared" si="4251"/>
        <v>CT</v>
      </c>
      <c r="F11611" t="str">
        <f>T("063490000")</f>
        <v>063490000</v>
      </c>
      <c r="G11611" t="str">
        <f>T("P.O. BOX 5060, SUBASE")</f>
        <v>P.O. BOX 5060, SUBASE</v>
      </c>
      <c r="H11611" t="str">
        <f>T("M/F: SUPPLY OFFICER")</f>
        <v>M/F: SUPPLY OFFICER</v>
      </c>
      <c r="I11611" t="str">
        <f t="shared" si="4247"/>
        <v>GROTON</v>
      </c>
      <c r="J11611" t="str">
        <f t="shared" si="4248"/>
        <v>CT</v>
      </c>
      <c r="K11611" t="str">
        <f>T("000000000000000000")</f>
        <v>000000000000000000</v>
      </c>
      <c r="L11611" t="str">
        <f>T("8606943231")</f>
        <v>8606943231</v>
      </c>
    </row>
    <row r="11612" spans="1:12" x14ac:dyDescent="0.35">
      <c r="A11612" t="str">
        <f t="shared" si="4249"/>
        <v>NSSC NEW LONDON</v>
      </c>
      <c r="B11612" t="str">
        <f>T("SSEP LANT")</f>
        <v>SSEP LANT</v>
      </c>
      <c r="C11612" t="str">
        <f>T("BLDG 448 SUBASE NEW LONDON")</f>
        <v>BLDG 448 SUBASE NEW LONDON</v>
      </c>
      <c r="D11612" t="str">
        <f t="shared" si="4250"/>
        <v>GROTON</v>
      </c>
      <c r="E11612" t="str">
        <f t="shared" si="4251"/>
        <v>CT</v>
      </c>
      <c r="F11612" t="str">
        <f>T("063490000")</f>
        <v>063490000</v>
      </c>
      <c r="G11612" t="str">
        <f>T("SSEP LANT")</f>
        <v>SSEP LANT</v>
      </c>
      <c r="H11612" t="str">
        <f>T("BLDG 448 SUBASE NEW LONDON")</f>
        <v>BLDG 448 SUBASE NEW LONDON</v>
      </c>
      <c r="I11612" t="str">
        <f t="shared" si="4247"/>
        <v>GROTON</v>
      </c>
      <c r="J11612" t="str">
        <f t="shared" si="4248"/>
        <v>CT</v>
      </c>
      <c r="K11612" t="str">
        <f>T("")</f>
        <v/>
      </c>
      <c r="L11612" t="str">
        <f>T("8606944124")</f>
        <v>8606944124</v>
      </c>
    </row>
    <row r="11613" spans="1:12" x14ac:dyDescent="0.35">
      <c r="A11613" t="str">
        <f>T("CSS6 - NORFOLK")</f>
        <v>CSS6 - NORFOLK</v>
      </c>
      <c r="B11613" t="str">
        <f>T("9168 2ND STREET BLDG CEP-209")</f>
        <v>9168 2ND STREET BLDG CEP-209</v>
      </c>
      <c r="C11613" t="str">
        <f>T("SUITE 202")</f>
        <v>SUITE 202</v>
      </c>
      <c r="D11613" t="str">
        <f>T("NORFOLK")</f>
        <v>NORFOLK</v>
      </c>
      <c r="E11613" t="str">
        <f>T("VA")</f>
        <v>VA</v>
      </c>
      <c r="F11613" t="str">
        <f>T("235112328")</f>
        <v>235112328</v>
      </c>
      <c r="G11613" t="str">
        <f>T("9168 2ND ST STE 202")</f>
        <v>9168 2ND ST STE 202</v>
      </c>
      <c r="H11613" t="str">
        <f>T("")</f>
        <v/>
      </c>
      <c r="I11613" t="str">
        <f>T("NORFOLK")</f>
        <v>NORFOLK</v>
      </c>
      <c r="J11613" t="str">
        <f>T("VA")</f>
        <v>VA</v>
      </c>
      <c r="K11613" t="str">
        <f>T("7579676928")</f>
        <v>7579676928</v>
      </c>
      <c r="L11613" t="str">
        <f>T("7579676931")</f>
        <v>7579676931</v>
      </c>
    </row>
    <row r="11614" spans="1:12" x14ac:dyDescent="0.35">
      <c r="A11614" t="str">
        <f>T("CSS6 - NORFOLK")</f>
        <v>CSS6 - NORFOLK</v>
      </c>
      <c r="B11614" t="str">
        <f>T("9168 2ND STREET BLDG CEP-209")</f>
        <v>9168 2ND STREET BLDG CEP-209</v>
      </c>
      <c r="C11614" t="str">
        <f>T("SUITE 202")</f>
        <v>SUITE 202</v>
      </c>
      <c r="D11614" t="str">
        <f>T("NORFOLK")</f>
        <v>NORFOLK</v>
      </c>
      <c r="E11614" t="str">
        <f>T("VA")</f>
        <v>VA</v>
      </c>
      <c r="F11614" t="str">
        <f>T("235112328")</f>
        <v>235112328</v>
      </c>
      <c r="G11614" t="str">
        <f>T("9168 2ND ST STE 202")</f>
        <v>9168 2ND ST STE 202</v>
      </c>
      <c r="H11614" t="str">
        <f>T("BUILDING CEP 209")</f>
        <v>BUILDING CEP 209</v>
      </c>
      <c r="I11614" t="str">
        <f>T("NORFOLK")</f>
        <v>NORFOLK</v>
      </c>
      <c r="J11614" t="str">
        <f>T("VA")</f>
        <v>VA</v>
      </c>
      <c r="K11614" t="str">
        <f>T("7576976928")</f>
        <v>7576976928</v>
      </c>
      <c r="L11614" t="str">
        <f>T("7579676928")</f>
        <v>7579676928</v>
      </c>
    </row>
    <row r="11615" spans="1:12" x14ac:dyDescent="0.35">
      <c r="A11615" t="str">
        <f>T("CSS6 - NORFOLK")</f>
        <v>CSS6 - NORFOLK</v>
      </c>
      <c r="B11615" t="str">
        <f>T("9168 2ND STREET BLDG CEP-209")</f>
        <v>9168 2ND STREET BLDG CEP-209</v>
      </c>
      <c r="C11615" t="str">
        <f>T("SUITE 202")</f>
        <v>SUITE 202</v>
      </c>
      <c r="D11615" t="str">
        <f>T("NORFOLK")</f>
        <v>NORFOLK</v>
      </c>
      <c r="E11615" t="str">
        <f>T("VA")</f>
        <v>VA</v>
      </c>
      <c r="F11615" t="str">
        <f>T("235112328")</f>
        <v>235112328</v>
      </c>
      <c r="G11615" t="str">
        <f>T("9168 2ND STREEET SUITE 202")</f>
        <v>9168 2ND STREEET SUITE 202</v>
      </c>
      <c r="H11615" t="str">
        <f>T("")</f>
        <v/>
      </c>
      <c r="I11615" t="str">
        <f>T("NORFOLK")</f>
        <v>NORFOLK</v>
      </c>
      <c r="J11615" t="str">
        <f>T("VA")</f>
        <v>VA</v>
      </c>
      <c r="K11615" t="str">
        <f>T("7579676928")</f>
        <v>7579676928</v>
      </c>
      <c r="L11615" t="str">
        <f>T("7579676945")</f>
        <v>7579676945</v>
      </c>
    </row>
    <row r="11616" spans="1:12" x14ac:dyDescent="0.35">
      <c r="A11616" t="str">
        <f>T("CSS6 - NORFOLK")</f>
        <v>CSS6 - NORFOLK</v>
      </c>
      <c r="B11616" t="str">
        <f>T("9168 2ND STREET BLDG CEP-209")</f>
        <v>9168 2ND STREET BLDG CEP-209</v>
      </c>
      <c r="C11616" t="str">
        <f>T("SUITE 202")</f>
        <v>SUITE 202</v>
      </c>
      <c r="D11616" t="str">
        <f>T("NORFOLK")</f>
        <v>NORFOLK</v>
      </c>
      <c r="E11616" t="str">
        <f>T("VA")</f>
        <v>VA</v>
      </c>
      <c r="F11616" t="str">
        <f>T("235112328")</f>
        <v>235112328</v>
      </c>
      <c r="G11616" t="str">
        <f>T("9168 2ND STREET BLDG CEP-209")</f>
        <v>9168 2ND STREET BLDG CEP-209</v>
      </c>
      <c r="H11616" t="str">
        <f>T("SUITE 202")</f>
        <v>SUITE 202</v>
      </c>
      <c r="I11616" t="str">
        <f>T("NORFOLK")</f>
        <v>NORFOLK</v>
      </c>
      <c r="J11616" t="str">
        <f>T("VA")</f>
        <v>VA</v>
      </c>
      <c r="K11616" t="str">
        <f>T("7579676928")</f>
        <v>7579676928</v>
      </c>
      <c r="L11616" t="str">
        <f>T("7579676930")</f>
        <v>7579676930</v>
      </c>
    </row>
    <row r="11617" spans="1:12" x14ac:dyDescent="0.35">
      <c r="A11617" t="str">
        <f>T("CSS6 - NORFOLK")</f>
        <v>CSS6 - NORFOLK</v>
      </c>
      <c r="B11617" t="str">
        <f>T("9168 2ND STREET BLDG CEP-209")</f>
        <v>9168 2ND STREET BLDG CEP-209</v>
      </c>
      <c r="C11617" t="str">
        <f>T("SUITE 202")</f>
        <v>SUITE 202</v>
      </c>
      <c r="D11617" t="str">
        <f>T("NORFOLK")</f>
        <v>NORFOLK</v>
      </c>
      <c r="E11617" t="str">
        <f>T("VA")</f>
        <v>VA</v>
      </c>
      <c r="F11617" t="str">
        <f>T("235112328")</f>
        <v>235112328</v>
      </c>
      <c r="G11617" t="str">
        <f>T("9168 2ND STREET SUITE 202")</f>
        <v>9168 2ND STREET SUITE 202</v>
      </c>
      <c r="H11617" t="str">
        <f t="shared" ref="H11617:H11636" si="4252">T("")</f>
        <v/>
      </c>
      <c r="I11617" t="str">
        <f>T("NORFOLK")</f>
        <v>NORFOLK</v>
      </c>
      <c r="J11617" t="str">
        <f>T("VA")</f>
        <v>VA</v>
      </c>
      <c r="K11617" t="str">
        <f>T("7579676928")</f>
        <v>7579676928</v>
      </c>
      <c r="L11617" t="str">
        <f>T("7579676929")</f>
        <v>7579676929</v>
      </c>
    </row>
    <row r="11618" spans="1:12" x14ac:dyDescent="0.35">
      <c r="A11618" t="str">
        <f t="shared" ref="A11618:A11649" si="4253">T("TRIDENT REFIT FACILITY")</f>
        <v>TRIDENT REFIT FACILITY</v>
      </c>
      <c r="B11618" t="str">
        <f t="shared" ref="B11618:B11642" si="4254">T("990 USS THOMAS JEFFERSON DR")</f>
        <v>990 USS THOMAS JEFFERSON DR</v>
      </c>
      <c r="C11618" t="str">
        <f t="shared" ref="C11618:C11629" si="4255">T("")</f>
        <v/>
      </c>
      <c r="D11618" t="str">
        <f t="shared" ref="D11618:D11649" si="4256">T("KINGS BAY")</f>
        <v>KINGS BAY</v>
      </c>
      <c r="E11618" t="str">
        <f t="shared" ref="E11618:E11649" si="4257">T("GA")</f>
        <v>GA</v>
      </c>
      <c r="F11618" t="str">
        <f t="shared" ref="F11618:F11652" si="4258">T("315472625")</f>
        <v>315472625</v>
      </c>
      <c r="G11618" t="str">
        <f t="shared" ref="G11618:G11629" si="4259">T("990 USS THOMAS JEFFERSON DR")</f>
        <v>990 USS THOMAS JEFFERSON DR</v>
      </c>
      <c r="H11618" t="str">
        <f t="shared" si="4252"/>
        <v/>
      </c>
      <c r="I11618" t="str">
        <f t="shared" ref="I11618:I11649" si="4260">T("KINGS BAY")</f>
        <v>KINGS BAY</v>
      </c>
      <c r="J11618" t="str">
        <f t="shared" ref="J11618:J11649" si="4261">T("GA")</f>
        <v>GA</v>
      </c>
      <c r="K11618" t="str">
        <f>T("")</f>
        <v/>
      </c>
      <c r="L11618" t="str">
        <f>T("9125733855")</f>
        <v>9125733855</v>
      </c>
    </row>
    <row r="11619" spans="1:12" x14ac:dyDescent="0.35">
      <c r="A11619" t="str">
        <f t="shared" si="4253"/>
        <v>TRIDENT REFIT FACILITY</v>
      </c>
      <c r="B11619" t="str">
        <f t="shared" si="4254"/>
        <v>990 USS THOMAS JEFFERSON DR</v>
      </c>
      <c r="C11619" t="str">
        <f t="shared" si="4255"/>
        <v/>
      </c>
      <c r="D11619" t="str">
        <f t="shared" si="4256"/>
        <v>KINGS BAY</v>
      </c>
      <c r="E11619" t="str">
        <f t="shared" si="4257"/>
        <v>GA</v>
      </c>
      <c r="F11619" t="str">
        <f t="shared" si="4258"/>
        <v>315472625</v>
      </c>
      <c r="G11619" t="str">
        <f t="shared" si="4259"/>
        <v>990 USS THOMAS JEFFERSON DR</v>
      </c>
      <c r="H11619" t="str">
        <f t="shared" si="4252"/>
        <v/>
      </c>
      <c r="I11619" t="str">
        <f t="shared" si="4260"/>
        <v>KINGS BAY</v>
      </c>
      <c r="J11619" t="str">
        <f t="shared" si="4261"/>
        <v>GA</v>
      </c>
      <c r="K11619" t="str">
        <f>T("")</f>
        <v/>
      </c>
      <c r="L11619" t="str">
        <f>T("9125733859")</f>
        <v>9125733859</v>
      </c>
    </row>
    <row r="11620" spans="1:12" x14ac:dyDescent="0.35">
      <c r="A11620" t="str">
        <f t="shared" si="4253"/>
        <v>TRIDENT REFIT FACILITY</v>
      </c>
      <c r="B11620" t="str">
        <f t="shared" si="4254"/>
        <v>990 USS THOMAS JEFFERSON DR</v>
      </c>
      <c r="C11620" t="str">
        <f t="shared" si="4255"/>
        <v/>
      </c>
      <c r="D11620" t="str">
        <f t="shared" si="4256"/>
        <v>KINGS BAY</v>
      </c>
      <c r="E11620" t="str">
        <f t="shared" si="4257"/>
        <v>GA</v>
      </c>
      <c r="F11620" t="str">
        <f t="shared" si="4258"/>
        <v>315472625</v>
      </c>
      <c r="G11620" t="str">
        <f t="shared" si="4259"/>
        <v>990 USS THOMAS JEFFERSON DR</v>
      </c>
      <c r="H11620" t="str">
        <f t="shared" si="4252"/>
        <v/>
      </c>
      <c r="I11620" t="str">
        <f t="shared" si="4260"/>
        <v>KINGS BAY</v>
      </c>
      <c r="J11620" t="str">
        <f t="shared" si="4261"/>
        <v>GA</v>
      </c>
      <c r="K11620" t="str">
        <f>T("")</f>
        <v/>
      </c>
      <c r="L11620" t="str">
        <f>T("9125733991")</f>
        <v>9125733991</v>
      </c>
    </row>
    <row r="11621" spans="1:12" x14ac:dyDescent="0.35">
      <c r="A11621" t="str">
        <f t="shared" si="4253"/>
        <v>TRIDENT REFIT FACILITY</v>
      </c>
      <c r="B11621" t="str">
        <f t="shared" si="4254"/>
        <v>990 USS THOMAS JEFFERSON DR</v>
      </c>
      <c r="C11621" t="str">
        <f t="shared" si="4255"/>
        <v/>
      </c>
      <c r="D11621" t="str">
        <f t="shared" si="4256"/>
        <v>KINGS BAY</v>
      </c>
      <c r="E11621" t="str">
        <f t="shared" si="4257"/>
        <v>GA</v>
      </c>
      <c r="F11621" t="str">
        <f t="shared" si="4258"/>
        <v>315472625</v>
      </c>
      <c r="G11621" t="str">
        <f t="shared" si="4259"/>
        <v>990 USS THOMAS JEFFERSON DR</v>
      </c>
      <c r="H11621" t="str">
        <f t="shared" si="4252"/>
        <v/>
      </c>
      <c r="I11621" t="str">
        <f t="shared" si="4260"/>
        <v>KINGS BAY</v>
      </c>
      <c r="J11621" t="str">
        <f t="shared" si="4261"/>
        <v>GA</v>
      </c>
      <c r="K11621" t="str">
        <f t="shared" ref="K11621:K11636" si="4262">T("000000000000000000")</f>
        <v>000000000000000000</v>
      </c>
      <c r="L11621" t="str">
        <f>T("9125528555")</f>
        <v>9125528555</v>
      </c>
    </row>
    <row r="11622" spans="1:12" x14ac:dyDescent="0.35">
      <c r="A11622" t="str">
        <f t="shared" si="4253"/>
        <v>TRIDENT REFIT FACILITY</v>
      </c>
      <c r="B11622" t="str">
        <f t="shared" si="4254"/>
        <v>990 USS THOMAS JEFFERSON DR</v>
      </c>
      <c r="C11622" t="str">
        <f t="shared" si="4255"/>
        <v/>
      </c>
      <c r="D11622" t="str">
        <f t="shared" si="4256"/>
        <v>KINGS BAY</v>
      </c>
      <c r="E11622" t="str">
        <f t="shared" si="4257"/>
        <v>GA</v>
      </c>
      <c r="F11622" t="str">
        <f t="shared" si="4258"/>
        <v>315472625</v>
      </c>
      <c r="G11622" t="str">
        <f t="shared" si="4259"/>
        <v>990 USS THOMAS JEFFERSON DR</v>
      </c>
      <c r="H11622" t="str">
        <f t="shared" si="4252"/>
        <v/>
      </c>
      <c r="I11622" t="str">
        <f t="shared" si="4260"/>
        <v>KINGS BAY</v>
      </c>
      <c r="J11622" t="str">
        <f t="shared" si="4261"/>
        <v>GA</v>
      </c>
      <c r="K11622" t="str">
        <f t="shared" si="4262"/>
        <v>000000000000000000</v>
      </c>
      <c r="L11622" t="str">
        <f>T("9125730480")</f>
        <v>9125730480</v>
      </c>
    </row>
    <row r="11623" spans="1:12" x14ac:dyDescent="0.35">
      <c r="A11623" t="str">
        <f t="shared" si="4253"/>
        <v>TRIDENT REFIT FACILITY</v>
      </c>
      <c r="B11623" t="str">
        <f t="shared" si="4254"/>
        <v>990 USS THOMAS JEFFERSON DR</v>
      </c>
      <c r="C11623" t="str">
        <f t="shared" si="4255"/>
        <v/>
      </c>
      <c r="D11623" t="str">
        <f t="shared" si="4256"/>
        <v>KINGS BAY</v>
      </c>
      <c r="E11623" t="str">
        <f t="shared" si="4257"/>
        <v>GA</v>
      </c>
      <c r="F11623" t="str">
        <f t="shared" si="4258"/>
        <v>315472625</v>
      </c>
      <c r="G11623" t="str">
        <f t="shared" si="4259"/>
        <v>990 USS THOMAS JEFFERSON DR</v>
      </c>
      <c r="H11623" t="str">
        <f t="shared" si="4252"/>
        <v/>
      </c>
      <c r="I11623" t="str">
        <f t="shared" si="4260"/>
        <v>KINGS BAY</v>
      </c>
      <c r="J11623" t="str">
        <f t="shared" si="4261"/>
        <v>GA</v>
      </c>
      <c r="K11623" t="str">
        <f t="shared" si="4262"/>
        <v>000000000000000000</v>
      </c>
      <c r="L11623" t="str">
        <f>T("9125730599")</f>
        <v>9125730599</v>
      </c>
    </row>
    <row r="11624" spans="1:12" x14ac:dyDescent="0.35">
      <c r="A11624" t="str">
        <f t="shared" si="4253"/>
        <v>TRIDENT REFIT FACILITY</v>
      </c>
      <c r="B11624" t="str">
        <f t="shared" si="4254"/>
        <v>990 USS THOMAS JEFFERSON DR</v>
      </c>
      <c r="C11624" t="str">
        <f t="shared" si="4255"/>
        <v/>
      </c>
      <c r="D11624" t="str">
        <f t="shared" si="4256"/>
        <v>KINGS BAY</v>
      </c>
      <c r="E11624" t="str">
        <f t="shared" si="4257"/>
        <v>GA</v>
      </c>
      <c r="F11624" t="str">
        <f t="shared" si="4258"/>
        <v>315472625</v>
      </c>
      <c r="G11624" t="str">
        <f t="shared" si="4259"/>
        <v>990 USS THOMAS JEFFERSON DR</v>
      </c>
      <c r="H11624" t="str">
        <f t="shared" si="4252"/>
        <v/>
      </c>
      <c r="I11624" t="str">
        <f t="shared" si="4260"/>
        <v>KINGS BAY</v>
      </c>
      <c r="J11624" t="str">
        <f t="shared" si="4261"/>
        <v>GA</v>
      </c>
      <c r="K11624" t="str">
        <f t="shared" si="4262"/>
        <v>000000000000000000</v>
      </c>
      <c r="L11624" t="str">
        <f>T("9125732876")</f>
        <v>9125732876</v>
      </c>
    </row>
    <row r="11625" spans="1:12" x14ac:dyDescent="0.35">
      <c r="A11625" t="str">
        <f t="shared" si="4253"/>
        <v>TRIDENT REFIT FACILITY</v>
      </c>
      <c r="B11625" t="str">
        <f t="shared" si="4254"/>
        <v>990 USS THOMAS JEFFERSON DR</v>
      </c>
      <c r="C11625" t="str">
        <f t="shared" si="4255"/>
        <v/>
      </c>
      <c r="D11625" t="str">
        <f t="shared" si="4256"/>
        <v>KINGS BAY</v>
      </c>
      <c r="E11625" t="str">
        <f t="shared" si="4257"/>
        <v>GA</v>
      </c>
      <c r="F11625" t="str">
        <f t="shared" si="4258"/>
        <v>315472625</v>
      </c>
      <c r="G11625" t="str">
        <f t="shared" si="4259"/>
        <v>990 USS THOMAS JEFFERSON DR</v>
      </c>
      <c r="H11625" t="str">
        <f t="shared" si="4252"/>
        <v/>
      </c>
      <c r="I11625" t="str">
        <f t="shared" si="4260"/>
        <v>KINGS BAY</v>
      </c>
      <c r="J11625" t="str">
        <f t="shared" si="4261"/>
        <v>GA</v>
      </c>
      <c r="K11625" t="str">
        <f t="shared" si="4262"/>
        <v>000000000000000000</v>
      </c>
      <c r="L11625" t="str">
        <f>T("9125733193")</f>
        <v>9125733193</v>
      </c>
    </row>
    <row r="11626" spans="1:12" x14ac:dyDescent="0.35">
      <c r="A11626" t="str">
        <f t="shared" si="4253"/>
        <v>TRIDENT REFIT FACILITY</v>
      </c>
      <c r="B11626" t="str">
        <f t="shared" si="4254"/>
        <v>990 USS THOMAS JEFFERSON DR</v>
      </c>
      <c r="C11626" t="str">
        <f t="shared" si="4255"/>
        <v/>
      </c>
      <c r="D11626" t="str">
        <f t="shared" si="4256"/>
        <v>KINGS BAY</v>
      </c>
      <c r="E11626" t="str">
        <f t="shared" si="4257"/>
        <v>GA</v>
      </c>
      <c r="F11626" t="str">
        <f t="shared" si="4258"/>
        <v>315472625</v>
      </c>
      <c r="G11626" t="str">
        <f t="shared" si="4259"/>
        <v>990 USS THOMAS JEFFERSON DR</v>
      </c>
      <c r="H11626" t="str">
        <f t="shared" si="4252"/>
        <v/>
      </c>
      <c r="I11626" t="str">
        <f t="shared" si="4260"/>
        <v>KINGS BAY</v>
      </c>
      <c r="J11626" t="str">
        <f t="shared" si="4261"/>
        <v>GA</v>
      </c>
      <c r="K11626" t="str">
        <f t="shared" si="4262"/>
        <v>000000000000000000</v>
      </c>
      <c r="L11626" t="str">
        <f>T("9125733852")</f>
        <v>9125733852</v>
      </c>
    </row>
    <row r="11627" spans="1:12" x14ac:dyDescent="0.35">
      <c r="A11627" t="str">
        <f t="shared" si="4253"/>
        <v>TRIDENT REFIT FACILITY</v>
      </c>
      <c r="B11627" t="str">
        <f t="shared" si="4254"/>
        <v>990 USS THOMAS JEFFERSON DR</v>
      </c>
      <c r="C11627" t="str">
        <f t="shared" si="4255"/>
        <v/>
      </c>
      <c r="D11627" t="str">
        <f t="shared" si="4256"/>
        <v>KINGS BAY</v>
      </c>
      <c r="E11627" t="str">
        <f t="shared" si="4257"/>
        <v>GA</v>
      </c>
      <c r="F11627" t="str">
        <f t="shared" si="4258"/>
        <v>315472625</v>
      </c>
      <c r="G11627" t="str">
        <f t="shared" si="4259"/>
        <v>990 USS THOMAS JEFFERSON DR</v>
      </c>
      <c r="H11627" t="str">
        <f t="shared" si="4252"/>
        <v/>
      </c>
      <c r="I11627" t="str">
        <f t="shared" si="4260"/>
        <v>KINGS BAY</v>
      </c>
      <c r="J11627" t="str">
        <f t="shared" si="4261"/>
        <v>GA</v>
      </c>
      <c r="K11627" t="str">
        <f t="shared" si="4262"/>
        <v>000000000000000000</v>
      </c>
      <c r="L11627" t="str">
        <f>T("9125734421")</f>
        <v>9125734421</v>
      </c>
    </row>
    <row r="11628" spans="1:12" x14ac:dyDescent="0.35">
      <c r="A11628" t="str">
        <f t="shared" si="4253"/>
        <v>TRIDENT REFIT FACILITY</v>
      </c>
      <c r="B11628" t="str">
        <f t="shared" si="4254"/>
        <v>990 USS THOMAS JEFFERSON DR</v>
      </c>
      <c r="C11628" t="str">
        <f t="shared" si="4255"/>
        <v/>
      </c>
      <c r="D11628" t="str">
        <f t="shared" si="4256"/>
        <v>KINGS BAY</v>
      </c>
      <c r="E11628" t="str">
        <f t="shared" si="4257"/>
        <v>GA</v>
      </c>
      <c r="F11628" t="str">
        <f t="shared" si="4258"/>
        <v>315472625</v>
      </c>
      <c r="G11628" t="str">
        <f t="shared" si="4259"/>
        <v>990 USS THOMAS JEFFERSON DR</v>
      </c>
      <c r="H11628" t="str">
        <f t="shared" si="4252"/>
        <v/>
      </c>
      <c r="I11628" t="str">
        <f t="shared" si="4260"/>
        <v>KINGS BAY</v>
      </c>
      <c r="J11628" t="str">
        <f t="shared" si="4261"/>
        <v>GA</v>
      </c>
      <c r="K11628" t="str">
        <f t="shared" si="4262"/>
        <v>000000000000000000</v>
      </c>
      <c r="L11628" t="str">
        <f>T("9125736027")</f>
        <v>9125736027</v>
      </c>
    </row>
    <row r="11629" spans="1:12" x14ac:dyDescent="0.35">
      <c r="A11629" t="str">
        <f t="shared" si="4253"/>
        <v>TRIDENT REFIT FACILITY</v>
      </c>
      <c r="B11629" t="str">
        <f t="shared" si="4254"/>
        <v>990 USS THOMAS JEFFERSON DR</v>
      </c>
      <c r="C11629" t="str">
        <f t="shared" si="4255"/>
        <v/>
      </c>
      <c r="D11629" t="str">
        <f t="shared" si="4256"/>
        <v>KINGS BAY</v>
      </c>
      <c r="E11629" t="str">
        <f t="shared" si="4257"/>
        <v>GA</v>
      </c>
      <c r="F11629" t="str">
        <f t="shared" si="4258"/>
        <v>315472625</v>
      </c>
      <c r="G11629" t="str">
        <f t="shared" si="4259"/>
        <v>990 USS THOMAS JEFFERSON DR</v>
      </c>
      <c r="H11629" t="str">
        <f t="shared" si="4252"/>
        <v/>
      </c>
      <c r="I11629" t="str">
        <f t="shared" si="4260"/>
        <v>KINGS BAY</v>
      </c>
      <c r="J11629" t="str">
        <f t="shared" si="4261"/>
        <v>GA</v>
      </c>
      <c r="K11629" t="str">
        <f t="shared" si="4262"/>
        <v>000000000000000000</v>
      </c>
      <c r="L11629" t="str">
        <f>T("9125738910")</f>
        <v>9125738910</v>
      </c>
    </row>
    <row r="11630" spans="1:12" x14ac:dyDescent="0.35">
      <c r="A11630" t="str">
        <f t="shared" si="4253"/>
        <v>TRIDENT REFIT FACILITY</v>
      </c>
      <c r="B11630" t="str">
        <f t="shared" si="4254"/>
        <v>990 USS THOMAS JEFFERSON DR</v>
      </c>
      <c r="C11630" t="str">
        <f t="shared" ref="C11630:C11637" si="4263">T("BLDG 4030 CODE 820")</f>
        <v>BLDG 4030 CODE 820</v>
      </c>
      <c r="D11630" t="str">
        <f t="shared" si="4256"/>
        <v>KINGS BAY</v>
      </c>
      <c r="E11630" t="str">
        <f t="shared" si="4257"/>
        <v>GA</v>
      </c>
      <c r="F11630" t="str">
        <f t="shared" si="4258"/>
        <v>315472625</v>
      </c>
      <c r="G11630" t="str">
        <f>T("990 USS THOMAS JEFFERSON")</f>
        <v>990 USS THOMAS JEFFERSON</v>
      </c>
      <c r="H11630" t="str">
        <f t="shared" si="4252"/>
        <v/>
      </c>
      <c r="I11630" t="str">
        <f t="shared" si="4260"/>
        <v>KINGS BAY</v>
      </c>
      <c r="J11630" t="str">
        <f t="shared" si="4261"/>
        <v>GA</v>
      </c>
      <c r="K11630" t="str">
        <f t="shared" si="4262"/>
        <v>000000000000000000</v>
      </c>
      <c r="L11630" t="str">
        <f>T("9125734657")</f>
        <v>9125734657</v>
      </c>
    </row>
    <row r="11631" spans="1:12" x14ac:dyDescent="0.35">
      <c r="A11631" t="str">
        <f t="shared" si="4253"/>
        <v>TRIDENT REFIT FACILITY</v>
      </c>
      <c r="B11631" t="str">
        <f t="shared" si="4254"/>
        <v>990 USS THOMAS JEFFERSON DR</v>
      </c>
      <c r="C11631" t="str">
        <f t="shared" si="4263"/>
        <v>BLDG 4030 CODE 820</v>
      </c>
      <c r="D11631" t="str">
        <f t="shared" si="4256"/>
        <v>KINGS BAY</v>
      </c>
      <c r="E11631" t="str">
        <f t="shared" si="4257"/>
        <v>GA</v>
      </c>
      <c r="F11631" t="str">
        <f t="shared" si="4258"/>
        <v>315472625</v>
      </c>
      <c r="G11631" t="str">
        <f t="shared" ref="G11631:G11637" si="4264">T("990 USS THOMAS JEFFERSON DR")</f>
        <v>990 USS THOMAS JEFFERSON DR</v>
      </c>
      <c r="H11631" t="str">
        <f t="shared" si="4252"/>
        <v/>
      </c>
      <c r="I11631" t="str">
        <f t="shared" si="4260"/>
        <v>KINGS BAY</v>
      </c>
      <c r="J11631" t="str">
        <f t="shared" si="4261"/>
        <v>GA</v>
      </c>
      <c r="K11631" t="str">
        <f t="shared" si="4262"/>
        <v>000000000000000000</v>
      </c>
      <c r="L11631" t="str">
        <f>T("9125733015")</f>
        <v>9125733015</v>
      </c>
    </row>
    <row r="11632" spans="1:12" x14ac:dyDescent="0.35">
      <c r="A11632" t="str">
        <f t="shared" si="4253"/>
        <v>TRIDENT REFIT FACILITY</v>
      </c>
      <c r="B11632" t="str">
        <f t="shared" si="4254"/>
        <v>990 USS THOMAS JEFFERSON DR</v>
      </c>
      <c r="C11632" t="str">
        <f t="shared" si="4263"/>
        <v>BLDG 4030 CODE 820</v>
      </c>
      <c r="D11632" t="str">
        <f t="shared" si="4256"/>
        <v>KINGS BAY</v>
      </c>
      <c r="E11632" t="str">
        <f t="shared" si="4257"/>
        <v>GA</v>
      </c>
      <c r="F11632" t="str">
        <f t="shared" si="4258"/>
        <v>315472625</v>
      </c>
      <c r="G11632" t="str">
        <f t="shared" si="4264"/>
        <v>990 USS THOMAS JEFFERSON DR</v>
      </c>
      <c r="H11632" t="str">
        <f t="shared" si="4252"/>
        <v/>
      </c>
      <c r="I11632" t="str">
        <f t="shared" si="4260"/>
        <v>KINGS BAY</v>
      </c>
      <c r="J11632" t="str">
        <f t="shared" si="4261"/>
        <v>GA</v>
      </c>
      <c r="K11632" t="str">
        <f t="shared" si="4262"/>
        <v>000000000000000000</v>
      </c>
      <c r="L11632" t="str">
        <f>T("9125734347")</f>
        <v>9125734347</v>
      </c>
    </row>
    <row r="11633" spans="1:12" x14ac:dyDescent="0.35">
      <c r="A11633" t="str">
        <f t="shared" si="4253"/>
        <v>TRIDENT REFIT FACILITY</v>
      </c>
      <c r="B11633" t="str">
        <f t="shared" si="4254"/>
        <v>990 USS THOMAS JEFFERSON DR</v>
      </c>
      <c r="C11633" t="str">
        <f t="shared" si="4263"/>
        <v>BLDG 4030 CODE 820</v>
      </c>
      <c r="D11633" t="str">
        <f t="shared" si="4256"/>
        <v>KINGS BAY</v>
      </c>
      <c r="E11633" t="str">
        <f t="shared" si="4257"/>
        <v>GA</v>
      </c>
      <c r="F11633" t="str">
        <f t="shared" si="4258"/>
        <v>315472625</v>
      </c>
      <c r="G11633" t="str">
        <f t="shared" si="4264"/>
        <v>990 USS THOMAS JEFFERSON DR</v>
      </c>
      <c r="H11633" t="str">
        <f t="shared" si="4252"/>
        <v/>
      </c>
      <c r="I11633" t="str">
        <f t="shared" si="4260"/>
        <v>KINGS BAY</v>
      </c>
      <c r="J11633" t="str">
        <f t="shared" si="4261"/>
        <v>GA</v>
      </c>
      <c r="K11633" t="str">
        <f t="shared" si="4262"/>
        <v>000000000000000000</v>
      </c>
      <c r="L11633" t="str">
        <f>T("9125738291")</f>
        <v>9125738291</v>
      </c>
    </row>
    <row r="11634" spans="1:12" x14ac:dyDescent="0.35">
      <c r="A11634" t="str">
        <f t="shared" si="4253"/>
        <v>TRIDENT REFIT FACILITY</v>
      </c>
      <c r="B11634" t="str">
        <f t="shared" si="4254"/>
        <v>990 USS THOMAS JEFFERSON DR</v>
      </c>
      <c r="C11634" t="str">
        <f t="shared" si="4263"/>
        <v>BLDG 4030 CODE 820</v>
      </c>
      <c r="D11634" t="str">
        <f t="shared" si="4256"/>
        <v>KINGS BAY</v>
      </c>
      <c r="E11634" t="str">
        <f t="shared" si="4257"/>
        <v>GA</v>
      </c>
      <c r="F11634" t="str">
        <f t="shared" si="4258"/>
        <v>315472625</v>
      </c>
      <c r="G11634" t="str">
        <f t="shared" si="4264"/>
        <v>990 USS THOMAS JEFFERSON DR</v>
      </c>
      <c r="H11634" t="str">
        <f t="shared" si="4252"/>
        <v/>
      </c>
      <c r="I11634" t="str">
        <f t="shared" si="4260"/>
        <v>KINGS BAY</v>
      </c>
      <c r="J11634" t="str">
        <f t="shared" si="4261"/>
        <v>GA</v>
      </c>
      <c r="K11634" t="str">
        <f t="shared" si="4262"/>
        <v>000000000000000000</v>
      </c>
      <c r="L11634" t="str">
        <f>T("9125739453")</f>
        <v>9125739453</v>
      </c>
    </row>
    <row r="11635" spans="1:12" x14ac:dyDescent="0.35">
      <c r="A11635" t="str">
        <f t="shared" si="4253"/>
        <v>TRIDENT REFIT FACILITY</v>
      </c>
      <c r="B11635" t="str">
        <f t="shared" si="4254"/>
        <v>990 USS THOMAS JEFFERSON DR</v>
      </c>
      <c r="C11635" t="str">
        <f t="shared" si="4263"/>
        <v>BLDG 4030 CODE 820</v>
      </c>
      <c r="D11635" t="str">
        <f t="shared" si="4256"/>
        <v>KINGS BAY</v>
      </c>
      <c r="E11635" t="str">
        <f t="shared" si="4257"/>
        <v>GA</v>
      </c>
      <c r="F11635" t="str">
        <f t="shared" si="4258"/>
        <v>315472625</v>
      </c>
      <c r="G11635" t="str">
        <f t="shared" si="4264"/>
        <v>990 USS THOMAS JEFFERSON DR</v>
      </c>
      <c r="H11635" t="str">
        <f t="shared" si="4252"/>
        <v/>
      </c>
      <c r="I11635" t="str">
        <f t="shared" si="4260"/>
        <v>KINGS BAY</v>
      </c>
      <c r="J11635" t="str">
        <f t="shared" si="4261"/>
        <v>GA</v>
      </c>
      <c r="K11635" t="str">
        <f t="shared" si="4262"/>
        <v>000000000000000000</v>
      </c>
      <c r="L11635" t="str">
        <f>T("9125739765")</f>
        <v>9125739765</v>
      </c>
    </row>
    <row r="11636" spans="1:12" x14ac:dyDescent="0.35">
      <c r="A11636" t="str">
        <f t="shared" si="4253"/>
        <v>TRIDENT REFIT FACILITY</v>
      </c>
      <c r="B11636" t="str">
        <f t="shared" si="4254"/>
        <v>990 USS THOMAS JEFFERSON DR</v>
      </c>
      <c r="C11636" t="str">
        <f t="shared" si="4263"/>
        <v>BLDG 4030 CODE 820</v>
      </c>
      <c r="D11636" t="str">
        <f t="shared" si="4256"/>
        <v>KINGS BAY</v>
      </c>
      <c r="E11636" t="str">
        <f t="shared" si="4257"/>
        <v>GA</v>
      </c>
      <c r="F11636" t="str">
        <f t="shared" si="4258"/>
        <v>315472625</v>
      </c>
      <c r="G11636" t="str">
        <f t="shared" si="4264"/>
        <v>990 USS THOMAS JEFFERSON DR</v>
      </c>
      <c r="H11636" t="str">
        <f t="shared" si="4252"/>
        <v/>
      </c>
      <c r="I11636" t="str">
        <f t="shared" si="4260"/>
        <v>KINGS BAY</v>
      </c>
      <c r="J11636" t="str">
        <f t="shared" si="4261"/>
        <v>GA</v>
      </c>
      <c r="K11636" t="str">
        <f t="shared" si="4262"/>
        <v>000000000000000000</v>
      </c>
      <c r="L11636" t="str">
        <f>T("9125739851")</f>
        <v>9125739851</v>
      </c>
    </row>
    <row r="11637" spans="1:12" x14ac:dyDescent="0.35">
      <c r="A11637" t="str">
        <f t="shared" si="4253"/>
        <v>TRIDENT REFIT FACILITY</v>
      </c>
      <c r="B11637" t="str">
        <f t="shared" si="4254"/>
        <v>990 USS THOMAS JEFFERSON DR</v>
      </c>
      <c r="C11637" t="str">
        <f t="shared" si="4263"/>
        <v>BLDG 4030 CODE 820</v>
      </c>
      <c r="D11637" t="str">
        <f t="shared" si="4256"/>
        <v>KINGS BAY</v>
      </c>
      <c r="E11637" t="str">
        <f t="shared" si="4257"/>
        <v>GA</v>
      </c>
      <c r="F11637" t="str">
        <f t="shared" si="4258"/>
        <v>315472625</v>
      </c>
      <c r="G11637" t="str">
        <f t="shared" si="4264"/>
        <v>990 USS THOMAS JEFFERSON DR</v>
      </c>
      <c r="H11637" t="str">
        <f>T("BLDG 4030 CODE 820")</f>
        <v>BLDG 4030 CODE 820</v>
      </c>
      <c r="I11637" t="str">
        <f t="shared" si="4260"/>
        <v>KINGS BAY</v>
      </c>
      <c r="J11637" t="str">
        <f t="shared" si="4261"/>
        <v>GA</v>
      </c>
      <c r="K11637" t="str">
        <f>T("")</f>
        <v/>
      </c>
      <c r="L11637" t="str">
        <f>T("9125735328")</f>
        <v>9125735328</v>
      </c>
    </row>
    <row r="11638" spans="1:12" x14ac:dyDescent="0.35">
      <c r="A11638" t="str">
        <f t="shared" si="4253"/>
        <v>TRIDENT REFIT FACILITY</v>
      </c>
      <c r="B11638" t="str">
        <f t="shared" si="4254"/>
        <v>990 USS THOMAS JEFFERSON DR</v>
      </c>
      <c r="C11638" t="str">
        <f>T("C/820")</f>
        <v>C/820</v>
      </c>
      <c r="D11638" t="str">
        <f t="shared" si="4256"/>
        <v>KINGS BAY</v>
      </c>
      <c r="E11638" t="str">
        <f t="shared" si="4257"/>
        <v>GA</v>
      </c>
      <c r="F11638" t="str">
        <f t="shared" si="4258"/>
        <v>315472625</v>
      </c>
      <c r="G11638" t="str">
        <f>T("990 THOMAS JEFFERSON DR")</f>
        <v>990 THOMAS JEFFERSON DR</v>
      </c>
      <c r="H11638" t="str">
        <f>T("")</f>
        <v/>
      </c>
      <c r="I11638" t="str">
        <f t="shared" si="4260"/>
        <v>KINGS BAY</v>
      </c>
      <c r="J11638" t="str">
        <f t="shared" si="4261"/>
        <v>GA</v>
      </c>
      <c r="K11638" t="str">
        <f>T("000000000000000000")</f>
        <v>000000000000000000</v>
      </c>
      <c r="L11638" t="str">
        <f>T("9125733074")</f>
        <v>9125733074</v>
      </c>
    </row>
    <row r="11639" spans="1:12" x14ac:dyDescent="0.35">
      <c r="A11639" t="str">
        <f t="shared" si="4253"/>
        <v>TRIDENT REFIT FACILITY</v>
      </c>
      <c r="B11639" t="str">
        <f t="shared" si="4254"/>
        <v>990 USS THOMAS JEFFERSON DR</v>
      </c>
      <c r="C11639" t="str">
        <f>T("C/820")</f>
        <v>C/820</v>
      </c>
      <c r="D11639" t="str">
        <f t="shared" si="4256"/>
        <v>KINGS BAY</v>
      </c>
      <c r="E11639" t="str">
        <f t="shared" si="4257"/>
        <v>GA</v>
      </c>
      <c r="F11639" t="str">
        <f t="shared" si="4258"/>
        <v>315472625</v>
      </c>
      <c r="G11639" t="str">
        <f>T("990 USS THOMAS JEFFERSON DR")</f>
        <v>990 USS THOMAS JEFFERSON DR</v>
      </c>
      <c r="H11639" t="str">
        <f>T("")</f>
        <v/>
      </c>
      <c r="I11639" t="str">
        <f t="shared" si="4260"/>
        <v>KINGS BAY</v>
      </c>
      <c r="J11639" t="str">
        <f t="shared" si="4261"/>
        <v>GA</v>
      </c>
      <c r="K11639" t="str">
        <f>T("000000000000000000")</f>
        <v>000000000000000000</v>
      </c>
      <c r="L11639" t="str">
        <f>T("9125732557")</f>
        <v>9125732557</v>
      </c>
    </row>
    <row r="11640" spans="1:12" x14ac:dyDescent="0.35">
      <c r="A11640" t="str">
        <f t="shared" si="4253"/>
        <v>TRIDENT REFIT FACILITY</v>
      </c>
      <c r="B11640" t="str">
        <f t="shared" si="4254"/>
        <v>990 USS THOMAS JEFFERSON DR</v>
      </c>
      <c r="C11640" t="str">
        <f>T("C/820")</f>
        <v>C/820</v>
      </c>
      <c r="D11640" t="str">
        <f t="shared" si="4256"/>
        <v>KINGS BAY</v>
      </c>
      <c r="E11640" t="str">
        <f t="shared" si="4257"/>
        <v>GA</v>
      </c>
      <c r="F11640" t="str">
        <f t="shared" si="4258"/>
        <v>315472625</v>
      </c>
      <c r="G11640" t="str">
        <f>T("990 USS THOMAS JEFFERSON DR")</f>
        <v>990 USS THOMAS JEFFERSON DR</v>
      </c>
      <c r="H11640" t="str">
        <f>T("")</f>
        <v/>
      </c>
      <c r="I11640" t="str">
        <f t="shared" si="4260"/>
        <v>KINGS BAY</v>
      </c>
      <c r="J11640" t="str">
        <f t="shared" si="4261"/>
        <v>GA</v>
      </c>
      <c r="K11640" t="str">
        <f>T("000000000000000000")</f>
        <v>000000000000000000</v>
      </c>
      <c r="L11640" t="str">
        <f>T("9125733069")</f>
        <v>9125733069</v>
      </c>
    </row>
    <row r="11641" spans="1:12" x14ac:dyDescent="0.35">
      <c r="A11641" t="str">
        <f t="shared" si="4253"/>
        <v>TRIDENT REFIT FACILITY</v>
      </c>
      <c r="B11641" t="str">
        <f t="shared" si="4254"/>
        <v>990 USS THOMAS JEFFERSON DR</v>
      </c>
      <c r="C11641" t="str">
        <f>T("C/820")</f>
        <v>C/820</v>
      </c>
      <c r="D11641" t="str">
        <f t="shared" si="4256"/>
        <v>KINGS BAY</v>
      </c>
      <c r="E11641" t="str">
        <f t="shared" si="4257"/>
        <v>GA</v>
      </c>
      <c r="F11641" t="str">
        <f t="shared" si="4258"/>
        <v>315472625</v>
      </c>
      <c r="G11641" t="str">
        <f>T("990 USS THOMAS JEFFERSON DR")</f>
        <v>990 USS THOMAS JEFFERSON DR</v>
      </c>
      <c r="H11641" t="str">
        <f>T("C/820")</f>
        <v>C/820</v>
      </c>
      <c r="I11641" t="str">
        <f t="shared" si="4260"/>
        <v>KINGS BAY</v>
      </c>
      <c r="J11641" t="str">
        <f t="shared" si="4261"/>
        <v>GA</v>
      </c>
      <c r="K11641" t="str">
        <f>T("")</f>
        <v/>
      </c>
      <c r="L11641" t="str">
        <f>T("9125733991")</f>
        <v>9125733991</v>
      </c>
    </row>
    <row r="11642" spans="1:12" x14ac:dyDescent="0.35">
      <c r="A11642" t="str">
        <f t="shared" si="4253"/>
        <v>TRIDENT REFIT FACILITY</v>
      </c>
      <c r="B11642" t="str">
        <f t="shared" si="4254"/>
        <v>990 USS THOMAS JEFFERSON DR</v>
      </c>
      <c r="C11642" t="str">
        <f>T("C/820")</f>
        <v>C/820</v>
      </c>
      <c r="D11642" t="str">
        <f t="shared" si="4256"/>
        <v>KINGS BAY</v>
      </c>
      <c r="E11642" t="str">
        <f t="shared" si="4257"/>
        <v>GA</v>
      </c>
      <c r="F11642" t="str">
        <f t="shared" si="4258"/>
        <v>315472625</v>
      </c>
      <c r="G11642" t="str">
        <f>T("CODE 305 BLDG 4026")</f>
        <v>CODE 305 BLDG 4026</v>
      </c>
      <c r="H11642" t="str">
        <f>T("990 USS THOMAS JEFFERSON DR")</f>
        <v>990 USS THOMAS JEFFERSON DR</v>
      </c>
      <c r="I11642" t="str">
        <f t="shared" si="4260"/>
        <v>KINGS BAY</v>
      </c>
      <c r="J11642" t="str">
        <f t="shared" si="4261"/>
        <v>GA</v>
      </c>
      <c r="K11642" t="str">
        <f t="shared" ref="K11642:K11648" si="4265">T("000000000000000000")</f>
        <v>000000000000000000</v>
      </c>
      <c r="L11642" t="str">
        <f>T("9125733095")</f>
        <v>9125733095</v>
      </c>
    </row>
    <row r="11643" spans="1:12" x14ac:dyDescent="0.35">
      <c r="A11643" t="str">
        <f t="shared" si="4253"/>
        <v>TRIDENT REFIT FACILITY</v>
      </c>
      <c r="B11643" t="str">
        <f t="shared" ref="B11643:B11650" si="4266">T("990 USS THOMAS JEFFERSON DRIVE")</f>
        <v>990 USS THOMAS JEFFERSON DRIVE</v>
      </c>
      <c r="C11643" t="str">
        <f t="shared" ref="C11643:C11650" si="4267">T("")</f>
        <v/>
      </c>
      <c r="D11643" t="str">
        <f t="shared" si="4256"/>
        <v>KINGS BAY</v>
      </c>
      <c r="E11643" t="str">
        <f t="shared" si="4257"/>
        <v>GA</v>
      </c>
      <c r="F11643" t="str">
        <f t="shared" si="4258"/>
        <v>315472625</v>
      </c>
      <c r="G11643" t="str">
        <f t="shared" ref="G11643:G11648" si="4268">T("990 USS THOMAS JEFFERSON DR")</f>
        <v>990 USS THOMAS JEFFERSON DR</v>
      </c>
      <c r="H11643" t="str">
        <f t="shared" ref="H11643:H11649" si="4269">T("")</f>
        <v/>
      </c>
      <c r="I11643" t="str">
        <f t="shared" si="4260"/>
        <v>KINGS BAY</v>
      </c>
      <c r="J11643" t="str">
        <f t="shared" si="4261"/>
        <v>GA</v>
      </c>
      <c r="K11643" t="str">
        <f t="shared" si="4265"/>
        <v>000000000000000000</v>
      </c>
      <c r="L11643" t="str">
        <f>T("9125732654")</f>
        <v>9125732654</v>
      </c>
    </row>
    <row r="11644" spans="1:12" x14ac:dyDescent="0.35">
      <c r="A11644" t="str">
        <f t="shared" si="4253"/>
        <v>TRIDENT REFIT FACILITY</v>
      </c>
      <c r="B11644" t="str">
        <f t="shared" si="4266"/>
        <v>990 USS THOMAS JEFFERSON DRIVE</v>
      </c>
      <c r="C11644" t="str">
        <f t="shared" si="4267"/>
        <v/>
      </c>
      <c r="D11644" t="str">
        <f t="shared" si="4256"/>
        <v>KINGS BAY</v>
      </c>
      <c r="E11644" t="str">
        <f t="shared" si="4257"/>
        <v>GA</v>
      </c>
      <c r="F11644" t="str">
        <f t="shared" si="4258"/>
        <v>315472625</v>
      </c>
      <c r="G11644" t="str">
        <f t="shared" si="4268"/>
        <v>990 USS THOMAS JEFFERSON DR</v>
      </c>
      <c r="H11644" t="str">
        <f t="shared" si="4269"/>
        <v/>
      </c>
      <c r="I11644" t="str">
        <f t="shared" si="4260"/>
        <v>KINGS BAY</v>
      </c>
      <c r="J11644" t="str">
        <f t="shared" si="4261"/>
        <v>GA</v>
      </c>
      <c r="K11644" t="str">
        <f t="shared" si="4265"/>
        <v>000000000000000000</v>
      </c>
      <c r="L11644" t="str">
        <f>T("9125733119")</f>
        <v>9125733119</v>
      </c>
    </row>
    <row r="11645" spans="1:12" x14ac:dyDescent="0.35">
      <c r="A11645" t="str">
        <f t="shared" si="4253"/>
        <v>TRIDENT REFIT FACILITY</v>
      </c>
      <c r="B11645" t="str">
        <f t="shared" si="4266"/>
        <v>990 USS THOMAS JEFFERSON DRIVE</v>
      </c>
      <c r="C11645" t="str">
        <f t="shared" si="4267"/>
        <v/>
      </c>
      <c r="D11645" t="str">
        <f t="shared" si="4256"/>
        <v>KINGS BAY</v>
      </c>
      <c r="E11645" t="str">
        <f t="shared" si="4257"/>
        <v>GA</v>
      </c>
      <c r="F11645" t="str">
        <f t="shared" si="4258"/>
        <v>315472625</v>
      </c>
      <c r="G11645" t="str">
        <f t="shared" si="4268"/>
        <v>990 USS THOMAS JEFFERSON DR</v>
      </c>
      <c r="H11645" t="str">
        <f t="shared" si="4269"/>
        <v/>
      </c>
      <c r="I11645" t="str">
        <f t="shared" si="4260"/>
        <v>KINGS BAY</v>
      </c>
      <c r="J11645" t="str">
        <f t="shared" si="4261"/>
        <v>GA</v>
      </c>
      <c r="K11645" t="str">
        <f t="shared" si="4265"/>
        <v>000000000000000000</v>
      </c>
      <c r="L11645" t="str">
        <f>T("9125734166")</f>
        <v>9125734166</v>
      </c>
    </row>
    <row r="11646" spans="1:12" x14ac:dyDescent="0.35">
      <c r="A11646" t="str">
        <f t="shared" si="4253"/>
        <v>TRIDENT REFIT FACILITY</v>
      </c>
      <c r="B11646" t="str">
        <f t="shared" si="4266"/>
        <v>990 USS THOMAS JEFFERSON DRIVE</v>
      </c>
      <c r="C11646" t="str">
        <f t="shared" si="4267"/>
        <v/>
      </c>
      <c r="D11646" t="str">
        <f t="shared" si="4256"/>
        <v>KINGS BAY</v>
      </c>
      <c r="E11646" t="str">
        <f t="shared" si="4257"/>
        <v>GA</v>
      </c>
      <c r="F11646" t="str">
        <f t="shared" si="4258"/>
        <v>315472625</v>
      </c>
      <c r="G11646" t="str">
        <f t="shared" si="4268"/>
        <v>990 USS THOMAS JEFFERSON DR</v>
      </c>
      <c r="H11646" t="str">
        <f t="shared" si="4269"/>
        <v/>
      </c>
      <c r="I11646" t="str">
        <f t="shared" si="4260"/>
        <v>KINGS BAY</v>
      </c>
      <c r="J11646" t="str">
        <f t="shared" si="4261"/>
        <v>GA</v>
      </c>
      <c r="K11646" t="str">
        <f t="shared" si="4265"/>
        <v>000000000000000000</v>
      </c>
      <c r="L11646" t="str">
        <f>T("9125736319")</f>
        <v>9125736319</v>
      </c>
    </row>
    <row r="11647" spans="1:12" x14ac:dyDescent="0.35">
      <c r="A11647" t="str">
        <f t="shared" si="4253"/>
        <v>TRIDENT REFIT FACILITY</v>
      </c>
      <c r="B11647" t="str">
        <f t="shared" si="4266"/>
        <v>990 USS THOMAS JEFFERSON DRIVE</v>
      </c>
      <c r="C11647" t="str">
        <f t="shared" si="4267"/>
        <v/>
      </c>
      <c r="D11647" t="str">
        <f t="shared" si="4256"/>
        <v>KINGS BAY</v>
      </c>
      <c r="E11647" t="str">
        <f t="shared" si="4257"/>
        <v>GA</v>
      </c>
      <c r="F11647" t="str">
        <f t="shared" si="4258"/>
        <v>315472625</v>
      </c>
      <c r="G11647" t="str">
        <f t="shared" si="4268"/>
        <v>990 USS THOMAS JEFFERSON DR</v>
      </c>
      <c r="H11647" t="str">
        <f t="shared" si="4269"/>
        <v/>
      </c>
      <c r="I11647" t="str">
        <f t="shared" si="4260"/>
        <v>KINGS BAY</v>
      </c>
      <c r="J11647" t="str">
        <f t="shared" si="4261"/>
        <v>GA</v>
      </c>
      <c r="K11647" t="str">
        <f t="shared" si="4265"/>
        <v>000000000000000000</v>
      </c>
      <c r="L11647" t="str">
        <f>T("9125739186")</f>
        <v>9125739186</v>
      </c>
    </row>
    <row r="11648" spans="1:12" x14ac:dyDescent="0.35">
      <c r="A11648" t="str">
        <f t="shared" si="4253"/>
        <v>TRIDENT REFIT FACILITY</v>
      </c>
      <c r="B11648" t="str">
        <f t="shared" si="4266"/>
        <v>990 USS THOMAS JEFFERSON DRIVE</v>
      </c>
      <c r="C11648" t="str">
        <f t="shared" si="4267"/>
        <v/>
      </c>
      <c r="D11648" t="str">
        <f t="shared" si="4256"/>
        <v>KINGS BAY</v>
      </c>
      <c r="E11648" t="str">
        <f t="shared" si="4257"/>
        <v>GA</v>
      </c>
      <c r="F11648" t="str">
        <f t="shared" si="4258"/>
        <v>315472625</v>
      </c>
      <c r="G11648" t="str">
        <f t="shared" si="4268"/>
        <v>990 USS THOMAS JEFFERSON DR</v>
      </c>
      <c r="H11648" t="str">
        <f t="shared" si="4269"/>
        <v/>
      </c>
      <c r="I11648" t="str">
        <f t="shared" si="4260"/>
        <v>KINGS BAY</v>
      </c>
      <c r="J11648" t="str">
        <f t="shared" si="4261"/>
        <v>GA</v>
      </c>
      <c r="K11648" t="str">
        <f t="shared" si="4265"/>
        <v>000000000000000000</v>
      </c>
      <c r="L11648" t="str">
        <f>T("9125739739")</f>
        <v>9125739739</v>
      </c>
    </row>
    <row r="11649" spans="1:12" x14ac:dyDescent="0.35">
      <c r="A11649" t="str">
        <f t="shared" si="4253"/>
        <v>TRIDENT REFIT FACILITY</v>
      </c>
      <c r="B11649" t="str">
        <f t="shared" si="4266"/>
        <v>990 USS THOMAS JEFFERSON DRIVE</v>
      </c>
      <c r="C11649" t="str">
        <f t="shared" si="4267"/>
        <v/>
      </c>
      <c r="D11649" t="str">
        <f t="shared" si="4256"/>
        <v>KINGS BAY</v>
      </c>
      <c r="E11649" t="str">
        <f t="shared" si="4257"/>
        <v>GA</v>
      </c>
      <c r="F11649" t="str">
        <f t="shared" si="4258"/>
        <v>315472625</v>
      </c>
      <c r="G11649" t="str">
        <f>T("990 USS THOMAS JEFFERSON DRIVE")</f>
        <v>990 USS THOMAS JEFFERSON DRIVE</v>
      </c>
      <c r="H11649" t="str">
        <f t="shared" si="4269"/>
        <v/>
      </c>
      <c r="I11649" t="str">
        <f t="shared" si="4260"/>
        <v>KINGS BAY</v>
      </c>
      <c r="J11649" t="str">
        <f t="shared" si="4261"/>
        <v>GA</v>
      </c>
      <c r="K11649" t="str">
        <f>T("")</f>
        <v/>
      </c>
      <c r="L11649" t="str">
        <f>T("9125735328")</f>
        <v>9125735328</v>
      </c>
    </row>
    <row r="11650" spans="1:12" x14ac:dyDescent="0.35">
      <c r="A11650" t="str">
        <f t="shared" ref="A11650:A11666" si="4270">T("TRIDENT REFIT FACILITY")</f>
        <v>TRIDENT REFIT FACILITY</v>
      </c>
      <c r="B11650" t="str">
        <f t="shared" si="4266"/>
        <v>990 USS THOMAS JEFFERSON DRIVE</v>
      </c>
      <c r="C11650" t="str">
        <f t="shared" si="4267"/>
        <v/>
      </c>
      <c r="D11650" t="str">
        <f t="shared" ref="D11650:D11666" si="4271">T("KINGS BAY")</f>
        <v>KINGS BAY</v>
      </c>
      <c r="E11650" t="str">
        <f t="shared" ref="E11650:E11666" si="4272">T("GA")</f>
        <v>GA</v>
      </c>
      <c r="F11650" t="str">
        <f t="shared" si="4258"/>
        <v>315472625</v>
      </c>
      <c r="G11650" t="str">
        <f>T("CODE 534 BLDG 4031")</f>
        <v>CODE 534 BLDG 4031</v>
      </c>
      <c r="H11650" t="str">
        <f>T("990 USS THOMAS JEFFERSON DR")</f>
        <v>990 USS THOMAS JEFFERSON DR</v>
      </c>
      <c r="I11650" t="str">
        <f t="shared" ref="I11650:I11666" si="4273">T("KINGS BAY")</f>
        <v>KINGS BAY</v>
      </c>
      <c r="J11650" t="str">
        <f t="shared" ref="J11650:J11666" si="4274">T("GA")</f>
        <v>GA</v>
      </c>
      <c r="K11650" t="str">
        <f>T("000000000000000000")</f>
        <v>000000000000000000</v>
      </c>
      <c r="L11650" t="str">
        <f>T("9125734314")</f>
        <v>9125734314</v>
      </c>
    </row>
    <row r="11651" spans="1:12" x14ac:dyDescent="0.35">
      <c r="A11651" t="str">
        <f t="shared" si="4270"/>
        <v>TRIDENT REFIT FACILITY</v>
      </c>
      <c r="B11651" t="str">
        <f>T("CODE 522 BLDG 5104")</f>
        <v>CODE 522 BLDG 5104</v>
      </c>
      <c r="C11651" t="str">
        <f t="shared" ref="C11651:C11666" si="4275">T("990 USS THOMAS JEFFERSON DR")</f>
        <v>990 USS THOMAS JEFFERSON DR</v>
      </c>
      <c r="D11651" t="str">
        <f t="shared" si="4271"/>
        <v>KINGS BAY</v>
      </c>
      <c r="E11651" t="str">
        <f t="shared" si="4272"/>
        <v>GA</v>
      </c>
      <c r="F11651" t="str">
        <f t="shared" si="4258"/>
        <v>315472625</v>
      </c>
      <c r="G11651" t="str">
        <f>T("990 USS THOMAS JEFFERSON DR")</f>
        <v>990 USS THOMAS JEFFERSON DR</v>
      </c>
      <c r="H11651" t="str">
        <f>T("")</f>
        <v/>
      </c>
      <c r="I11651" t="str">
        <f t="shared" si="4273"/>
        <v>KINGS BAY</v>
      </c>
      <c r="J11651" t="str">
        <f t="shared" si="4274"/>
        <v>GA</v>
      </c>
      <c r="K11651" t="str">
        <f>T("000000000000000000")</f>
        <v>000000000000000000</v>
      </c>
      <c r="L11651" t="str">
        <f>T("9125732456")</f>
        <v>9125732456</v>
      </c>
    </row>
    <row r="11652" spans="1:12" x14ac:dyDescent="0.35">
      <c r="A11652" t="str">
        <f t="shared" si="4270"/>
        <v>TRIDENT REFIT FACILITY</v>
      </c>
      <c r="B11652" t="str">
        <f>T("CODE 522 BLDG 5104")</f>
        <v>CODE 522 BLDG 5104</v>
      </c>
      <c r="C11652" t="str">
        <f t="shared" si="4275"/>
        <v>990 USS THOMAS JEFFERSON DR</v>
      </c>
      <c r="D11652" t="str">
        <f t="shared" si="4271"/>
        <v>KINGS BAY</v>
      </c>
      <c r="E11652" t="str">
        <f t="shared" si="4272"/>
        <v>GA</v>
      </c>
      <c r="F11652" t="str">
        <f t="shared" si="4258"/>
        <v>315472625</v>
      </c>
      <c r="G11652" t="str">
        <f>T("CODE 522 BLDG 5104")</f>
        <v>CODE 522 BLDG 5104</v>
      </c>
      <c r="H11652" t="str">
        <f>T("990 USS THOMAS JEFFERSON DR")</f>
        <v>990 USS THOMAS JEFFERSON DR</v>
      </c>
      <c r="I11652" t="str">
        <f t="shared" si="4273"/>
        <v>KINGS BAY</v>
      </c>
      <c r="J11652" t="str">
        <f t="shared" si="4274"/>
        <v>GA</v>
      </c>
      <c r="K11652" t="str">
        <f>T("")</f>
        <v/>
      </c>
      <c r="L11652" t="str">
        <f>T("9125734119")</f>
        <v>9125734119</v>
      </c>
    </row>
    <row r="11653" spans="1:12" x14ac:dyDescent="0.35">
      <c r="A11653" t="str">
        <f t="shared" si="4270"/>
        <v>TRIDENT REFIT FACILITY</v>
      </c>
      <c r="B11653" t="str">
        <f t="shared" ref="B11653:B11658" si="4276">T("CODE 800 BLDG 4030")</f>
        <v>CODE 800 BLDG 4030</v>
      </c>
      <c r="C11653" t="str">
        <f t="shared" si="4275"/>
        <v>990 USS THOMAS JEFFERSON DR</v>
      </c>
      <c r="D11653" t="str">
        <f t="shared" si="4271"/>
        <v>KINGS BAY</v>
      </c>
      <c r="E11653" t="str">
        <f t="shared" si="4272"/>
        <v>GA</v>
      </c>
      <c r="F11653" t="str">
        <f t="shared" ref="F11653:F11658" si="4277">T("315470000")</f>
        <v>315470000</v>
      </c>
      <c r="G11653" t="str">
        <f>T("990 USS THOMAS JEFFERSON DR")</f>
        <v>990 USS THOMAS JEFFERSON DR</v>
      </c>
      <c r="H11653" t="str">
        <f>T("")</f>
        <v/>
      </c>
      <c r="I11653" t="str">
        <f t="shared" si="4273"/>
        <v>KINGS BAY</v>
      </c>
      <c r="J11653" t="str">
        <f t="shared" si="4274"/>
        <v>GA</v>
      </c>
      <c r="K11653" t="str">
        <f>T("000000000000000000")</f>
        <v>000000000000000000</v>
      </c>
      <c r="L11653" t="str">
        <f>T("9125733071")</f>
        <v>9125733071</v>
      </c>
    </row>
    <row r="11654" spans="1:12" x14ac:dyDescent="0.35">
      <c r="A11654" t="str">
        <f t="shared" si="4270"/>
        <v>TRIDENT REFIT FACILITY</v>
      </c>
      <c r="B11654" t="str">
        <f t="shared" si="4276"/>
        <v>CODE 800 BLDG 4030</v>
      </c>
      <c r="C11654" t="str">
        <f t="shared" si="4275"/>
        <v>990 USS THOMAS JEFFERSON DR</v>
      </c>
      <c r="D11654" t="str">
        <f t="shared" si="4271"/>
        <v>KINGS BAY</v>
      </c>
      <c r="E11654" t="str">
        <f t="shared" si="4272"/>
        <v>GA</v>
      </c>
      <c r="F11654" t="str">
        <f t="shared" si="4277"/>
        <v>315470000</v>
      </c>
      <c r="G11654" t="str">
        <f>T("990 USS THOMAS JEFFERSON DR")</f>
        <v>990 USS THOMAS JEFFERSON DR</v>
      </c>
      <c r="H11654" t="str">
        <f>T("")</f>
        <v/>
      </c>
      <c r="I11654" t="str">
        <f t="shared" si="4273"/>
        <v>KINGS BAY</v>
      </c>
      <c r="J11654" t="str">
        <f t="shared" si="4274"/>
        <v>GA</v>
      </c>
      <c r="K11654" t="str">
        <f>T("000000000000000000")</f>
        <v>000000000000000000</v>
      </c>
      <c r="L11654" t="str">
        <f>T("9125733260")</f>
        <v>9125733260</v>
      </c>
    </row>
    <row r="11655" spans="1:12" x14ac:dyDescent="0.35">
      <c r="A11655" t="str">
        <f t="shared" si="4270"/>
        <v>TRIDENT REFIT FACILITY</v>
      </c>
      <c r="B11655" t="str">
        <f t="shared" si="4276"/>
        <v>CODE 800 BLDG 4030</v>
      </c>
      <c r="C11655" t="str">
        <f t="shared" si="4275"/>
        <v>990 USS THOMAS JEFFERSON DR</v>
      </c>
      <c r="D11655" t="str">
        <f t="shared" si="4271"/>
        <v>KINGS BAY</v>
      </c>
      <c r="E11655" t="str">
        <f t="shared" si="4272"/>
        <v>GA</v>
      </c>
      <c r="F11655" t="str">
        <f t="shared" si="4277"/>
        <v>315470000</v>
      </c>
      <c r="G11655" t="str">
        <f>T("990 USS THOMAS JEFFERSON DR")</f>
        <v>990 USS THOMAS JEFFERSON DR</v>
      </c>
      <c r="H11655" t="str">
        <f>T("")</f>
        <v/>
      </c>
      <c r="I11655" t="str">
        <f t="shared" si="4273"/>
        <v>KINGS BAY</v>
      </c>
      <c r="J11655" t="str">
        <f t="shared" si="4274"/>
        <v>GA</v>
      </c>
      <c r="K11655" t="str">
        <f>T("000000000000000000")</f>
        <v>000000000000000000</v>
      </c>
      <c r="L11655" t="str">
        <f>T("9125734421")</f>
        <v>9125734421</v>
      </c>
    </row>
    <row r="11656" spans="1:12" x14ac:dyDescent="0.35">
      <c r="A11656" t="str">
        <f t="shared" si="4270"/>
        <v>TRIDENT REFIT FACILITY</v>
      </c>
      <c r="B11656" t="str">
        <f t="shared" si="4276"/>
        <v>CODE 800 BLDG 4030</v>
      </c>
      <c r="C11656" t="str">
        <f t="shared" si="4275"/>
        <v>990 USS THOMAS JEFFERSON DR</v>
      </c>
      <c r="D11656" t="str">
        <f t="shared" si="4271"/>
        <v>KINGS BAY</v>
      </c>
      <c r="E11656" t="str">
        <f t="shared" si="4272"/>
        <v>GA</v>
      </c>
      <c r="F11656" t="str">
        <f t="shared" si="4277"/>
        <v>315470000</v>
      </c>
      <c r="G11656" t="str">
        <f>T("990 USS THOMAS JEFFERSON DR")</f>
        <v>990 USS THOMAS JEFFERSON DR</v>
      </c>
      <c r="H11656" t="str">
        <f>T("")</f>
        <v/>
      </c>
      <c r="I11656" t="str">
        <f t="shared" si="4273"/>
        <v>KINGS BAY</v>
      </c>
      <c r="J11656" t="str">
        <f t="shared" si="4274"/>
        <v>GA</v>
      </c>
      <c r="K11656" t="str">
        <f>T("000000000000000000")</f>
        <v>000000000000000000</v>
      </c>
      <c r="L11656" t="str">
        <f>T("9125734680")</f>
        <v>9125734680</v>
      </c>
    </row>
    <row r="11657" spans="1:12" x14ac:dyDescent="0.35">
      <c r="A11657" t="str">
        <f t="shared" si="4270"/>
        <v>TRIDENT REFIT FACILITY</v>
      </c>
      <c r="B11657" t="str">
        <f t="shared" si="4276"/>
        <v>CODE 800 BLDG 4030</v>
      </c>
      <c r="C11657" t="str">
        <f t="shared" si="4275"/>
        <v>990 USS THOMAS JEFFERSON DR</v>
      </c>
      <c r="D11657" t="str">
        <f t="shared" si="4271"/>
        <v>KINGS BAY</v>
      </c>
      <c r="E11657" t="str">
        <f t="shared" si="4272"/>
        <v>GA</v>
      </c>
      <c r="F11657" t="str">
        <f t="shared" si="4277"/>
        <v>315470000</v>
      </c>
      <c r="G11657" t="str">
        <f>T("990 USS THOMAS JEFFERSON DR")</f>
        <v>990 USS THOMAS JEFFERSON DR</v>
      </c>
      <c r="H11657" t="str">
        <f>T("")</f>
        <v/>
      </c>
      <c r="I11657" t="str">
        <f t="shared" si="4273"/>
        <v>KINGS BAY</v>
      </c>
      <c r="J11657" t="str">
        <f t="shared" si="4274"/>
        <v>GA</v>
      </c>
      <c r="K11657" t="str">
        <f>T("000000000000000000")</f>
        <v>000000000000000000</v>
      </c>
      <c r="L11657" t="str">
        <f>T("9125739240")</f>
        <v>9125739240</v>
      </c>
    </row>
    <row r="11658" spans="1:12" x14ac:dyDescent="0.35">
      <c r="A11658" t="str">
        <f t="shared" si="4270"/>
        <v>TRIDENT REFIT FACILITY</v>
      </c>
      <c r="B11658" t="str">
        <f t="shared" si="4276"/>
        <v>CODE 800 BLDG 4030</v>
      </c>
      <c r="C11658" t="str">
        <f t="shared" si="4275"/>
        <v>990 USS THOMAS JEFFERSON DR</v>
      </c>
      <c r="D11658" t="str">
        <f t="shared" si="4271"/>
        <v>KINGS BAY</v>
      </c>
      <c r="E11658" t="str">
        <f t="shared" si="4272"/>
        <v>GA</v>
      </c>
      <c r="F11658" t="str">
        <f t="shared" si="4277"/>
        <v>315470000</v>
      </c>
      <c r="G11658" t="str">
        <f>T("CODE 800 BLDG 4030")</f>
        <v>CODE 800 BLDG 4030</v>
      </c>
      <c r="H11658" t="str">
        <f>T("990 USS THOMAS JEFFERSON DR")</f>
        <v>990 USS THOMAS JEFFERSON DR</v>
      </c>
      <c r="I11658" t="str">
        <f t="shared" si="4273"/>
        <v>KINGS BAY</v>
      </c>
      <c r="J11658" t="str">
        <f t="shared" si="4274"/>
        <v>GA</v>
      </c>
      <c r="K11658" t="str">
        <f>T("")</f>
        <v/>
      </c>
      <c r="L11658" t="str">
        <f>T("9125734366")</f>
        <v>9125734366</v>
      </c>
    </row>
    <row r="11659" spans="1:12" x14ac:dyDescent="0.35">
      <c r="A11659" t="str">
        <f t="shared" si="4270"/>
        <v>TRIDENT REFIT FACILITY</v>
      </c>
      <c r="B11659" t="str">
        <f t="shared" ref="B11659:B11666" si="4278">T("CODE 821 BLDG 4030")</f>
        <v>CODE 821 BLDG 4030</v>
      </c>
      <c r="C11659" t="str">
        <f t="shared" si="4275"/>
        <v>990 USS THOMAS JEFFERSON DR</v>
      </c>
      <c r="D11659" t="str">
        <f t="shared" si="4271"/>
        <v>KINGS BAY</v>
      </c>
      <c r="E11659" t="str">
        <f t="shared" si="4272"/>
        <v>GA</v>
      </c>
      <c r="F11659" t="str">
        <f t="shared" ref="F11659:F11666" si="4279">T("315472625")</f>
        <v>315472625</v>
      </c>
      <c r="G11659" t="str">
        <f>T("990 USS THOMAS JEFFERSON")</f>
        <v>990 USS THOMAS JEFFERSON</v>
      </c>
      <c r="H11659" t="str">
        <f>T("")</f>
        <v/>
      </c>
      <c r="I11659" t="str">
        <f t="shared" si="4273"/>
        <v>KINGS BAY</v>
      </c>
      <c r="J11659" t="str">
        <f t="shared" si="4274"/>
        <v>GA</v>
      </c>
      <c r="K11659" t="str">
        <f t="shared" ref="K11659:K11664" si="4280">T("000000000000000000")</f>
        <v>000000000000000000</v>
      </c>
      <c r="L11659" t="str">
        <f>T("9125735328")</f>
        <v>9125735328</v>
      </c>
    </row>
    <row r="11660" spans="1:12" x14ac:dyDescent="0.35">
      <c r="A11660" t="str">
        <f t="shared" si="4270"/>
        <v>TRIDENT REFIT FACILITY</v>
      </c>
      <c r="B11660" t="str">
        <f t="shared" si="4278"/>
        <v>CODE 821 BLDG 4030</v>
      </c>
      <c r="C11660" t="str">
        <f t="shared" si="4275"/>
        <v>990 USS THOMAS JEFFERSON DR</v>
      </c>
      <c r="D11660" t="str">
        <f t="shared" si="4271"/>
        <v>KINGS BAY</v>
      </c>
      <c r="E11660" t="str">
        <f t="shared" si="4272"/>
        <v>GA</v>
      </c>
      <c r="F11660" t="str">
        <f t="shared" si="4279"/>
        <v>315472625</v>
      </c>
      <c r="G11660" t="str">
        <f>T("990 USS THOMAS JEFFERSON DR")</f>
        <v>990 USS THOMAS JEFFERSON DR</v>
      </c>
      <c r="H11660" t="str">
        <f>T("")</f>
        <v/>
      </c>
      <c r="I11660" t="str">
        <f t="shared" si="4273"/>
        <v>KINGS BAY</v>
      </c>
      <c r="J11660" t="str">
        <f t="shared" si="4274"/>
        <v>GA</v>
      </c>
      <c r="K11660" t="str">
        <f t="shared" si="4280"/>
        <v>000000000000000000</v>
      </c>
      <c r="L11660" t="str">
        <f>T("9125733859")</f>
        <v>9125733859</v>
      </c>
    </row>
    <row r="11661" spans="1:12" x14ac:dyDescent="0.35">
      <c r="A11661" t="str">
        <f t="shared" si="4270"/>
        <v>TRIDENT REFIT FACILITY</v>
      </c>
      <c r="B11661" t="str">
        <f t="shared" si="4278"/>
        <v>CODE 821 BLDG 4030</v>
      </c>
      <c r="C11661" t="str">
        <f t="shared" si="4275"/>
        <v>990 USS THOMAS JEFFERSON DR</v>
      </c>
      <c r="D11661" t="str">
        <f t="shared" si="4271"/>
        <v>KINGS BAY</v>
      </c>
      <c r="E11661" t="str">
        <f t="shared" si="4272"/>
        <v>GA</v>
      </c>
      <c r="F11661" t="str">
        <f t="shared" si="4279"/>
        <v>315472625</v>
      </c>
      <c r="G11661" t="str">
        <f>T("990 USS THOMAS JEFFERSON DR")</f>
        <v>990 USS THOMAS JEFFERSON DR</v>
      </c>
      <c r="H11661" t="str">
        <f>T("")</f>
        <v/>
      </c>
      <c r="I11661" t="str">
        <f t="shared" si="4273"/>
        <v>KINGS BAY</v>
      </c>
      <c r="J11661" t="str">
        <f t="shared" si="4274"/>
        <v>GA</v>
      </c>
      <c r="K11661" t="str">
        <f t="shared" si="4280"/>
        <v>000000000000000000</v>
      </c>
      <c r="L11661" t="str">
        <f>T("9125733991")</f>
        <v>9125733991</v>
      </c>
    </row>
    <row r="11662" spans="1:12" x14ac:dyDescent="0.35">
      <c r="A11662" t="str">
        <f t="shared" si="4270"/>
        <v>TRIDENT REFIT FACILITY</v>
      </c>
      <c r="B11662" t="str">
        <f t="shared" si="4278"/>
        <v>CODE 821 BLDG 4030</v>
      </c>
      <c r="C11662" t="str">
        <f t="shared" si="4275"/>
        <v>990 USS THOMAS JEFFERSON DR</v>
      </c>
      <c r="D11662" t="str">
        <f t="shared" si="4271"/>
        <v>KINGS BAY</v>
      </c>
      <c r="E11662" t="str">
        <f t="shared" si="4272"/>
        <v>GA</v>
      </c>
      <c r="F11662" t="str">
        <f t="shared" si="4279"/>
        <v>315472625</v>
      </c>
      <c r="G11662" t="str">
        <f>T("990 USS THOMAS JEFFERSON DR")</f>
        <v>990 USS THOMAS JEFFERSON DR</v>
      </c>
      <c r="H11662" t="str">
        <f>T("")</f>
        <v/>
      </c>
      <c r="I11662" t="str">
        <f t="shared" si="4273"/>
        <v>KINGS BAY</v>
      </c>
      <c r="J11662" t="str">
        <f t="shared" si="4274"/>
        <v>GA</v>
      </c>
      <c r="K11662" t="str">
        <f t="shared" si="4280"/>
        <v>000000000000000000</v>
      </c>
      <c r="L11662" t="str">
        <f>T("9125735328")</f>
        <v>9125735328</v>
      </c>
    </row>
    <row r="11663" spans="1:12" x14ac:dyDescent="0.35">
      <c r="A11663" t="str">
        <f t="shared" si="4270"/>
        <v>TRIDENT REFIT FACILITY</v>
      </c>
      <c r="B11663" t="str">
        <f t="shared" si="4278"/>
        <v>CODE 821 BLDG 4030</v>
      </c>
      <c r="C11663" t="str">
        <f t="shared" si="4275"/>
        <v>990 USS THOMAS JEFFERSON DR</v>
      </c>
      <c r="D11663" t="str">
        <f t="shared" si="4271"/>
        <v>KINGS BAY</v>
      </c>
      <c r="E11663" t="str">
        <f t="shared" si="4272"/>
        <v>GA</v>
      </c>
      <c r="F11663" t="str">
        <f t="shared" si="4279"/>
        <v>315472625</v>
      </c>
      <c r="G11663" t="str">
        <f>T("990 USS THOMAS JEFFERSON DR")</f>
        <v>990 USS THOMAS JEFFERSON DR</v>
      </c>
      <c r="H11663" t="str">
        <f>T("BLDG 4030 C/800")</f>
        <v>BLDG 4030 C/800</v>
      </c>
      <c r="I11663" t="str">
        <f t="shared" si="4273"/>
        <v>KINGS BAY</v>
      </c>
      <c r="J11663" t="str">
        <f t="shared" si="4274"/>
        <v>GA</v>
      </c>
      <c r="K11663" t="str">
        <f t="shared" si="4280"/>
        <v>000000000000000000</v>
      </c>
      <c r="L11663" t="str">
        <f>T("9125734366")</f>
        <v>9125734366</v>
      </c>
    </row>
    <row r="11664" spans="1:12" x14ac:dyDescent="0.35">
      <c r="A11664" t="str">
        <f t="shared" si="4270"/>
        <v>TRIDENT REFIT FACILITY</v>
      </c>
      <c r="B11664" t="str">
        <f t="shared" si="4278"/>
        <v>CODE 821 BLDG 4030</v>
      </c>
      <c r="C11664" t="str">
        <f t="shared" si="4275"/>
        <v>990 USS THOMAS JEFFERSON DR</v>
      </c>
      <c r="D11664" t="str">
        <f t="shared" si="4271"/>
        <v>KINGS BAY</v>
      </c>
      <c r="E11664" t="str">
        <f t="shared" si="4272"/>
        <v>GA</v>
      </c>
      <c r="F11664" t="str">
        <f t="shared" si="4279"/>
        <v>315472625</v>
      </c>
      <c r="G11664" t="str">
        <f>T("CODE 800 BLDG 4030")</f>
        <v>CODE 800 BLDG 4030</v>
      </c>
      <c r="H11664" t="str">
        <f>T("990 USS THOMAS JEFFERSON DR")</f>
        <v>990 USS THOMAS JEFFERSON DR</v>
      </c>
      <c r="I11664" t="str">
        <f t="shared" si="4273"/>
        <v>KINGS BAY</v>
      </c>
      <c r="J11664" t="str">
        <f t="shared" si="4274"/>
        <v>GA</v>
      </c>
      <c r="K11664" t="str">
        <f t="shared" si="4280"/>
        <v>000000000000000000</v>
      </c>
      <c r="L11664" t="str">
        <f>T("9125739892")</f>
        <v>9125739892</v>
      </c>
    </row>
    <row r="11665" spans="1:12" x14ac:dyDescent="0.35">
      <c r="A11665" t="str">
        <f t="shared" si="4270"/>
        <v>TRIDENT REFIT FACILITY</v>
      </c>
      <c r="B11665" t="str">
        <f t="shared" si="4278"/>
        <v>CODE 821 BLDG 4030</v>
      </c>
      <c r="C11665" t="str">
        <f t="shared" si="4275"/>
        <v>990 USS THOMAS JEFFERSON DR</v>
      </c>
      <c r="D11665" t="str">
        <f t="shared" si="4271"/>
        <v>KINGS BAY</v>
      </c>
      <c r="E11665" t="str">
        <f t="shared" si="4272"/>
        <v>GA</v>
      </c>
      <c r="F11665" t="str">
        <f t="shared" si="4279"/>
        <v>315472625</v>
      </c>
      <c r="G11665" t="str">
        <f>T("CODE 821 BLDG 4030")</f>
        <v>CODE 821 BLDG 4030</v>
      </c>
      <c r="H11665" t="str">
        <f>T("990 USS THOMAS JEFFERSON DR")</f>
        <v>990 USS THOMAS JEFFERSON DR</v>
      </c>
      <c r="I11665" t="str">
        <f t="shared" si="4273"/>
        <v>KINGS BAY</v>
      </c>
      <c r="J11665" t="str">
        <f t="shared" si="4274"/>
        <v>GA</v>
      </c>
      <c r="K11665" t="str">
        <f>T("")</f>
        <v/>
      </c>
      <c r="L11665" t="str">
        <f>T("9125733868")</f>
        <v>9125733868</v>
      </c>
    </row>
    <row r="11666" spans="1:12" x14ac:dyDescent="0.35">
      <c r="A11666" t="str">
        <f t="shared" si="4270"/>
        <v>TRIDENT REFIT FACILITY</v>
      </c>
      <c r="B11666" t="str">
        <f t="shared" si="4278"/>
        <v>CODE 821 BLDG 4030</v>
      </c>
      <c r="C11666" t="str">
        <f t="shared" si="4275"/>
        <v>990 USS THOMAS JEFFERSON DR</v>
      </c>
      <c r="D11666" t="str">
        <f t="shared" si="4271"/>
        <v>KINGS BAY</v>
      </c>
      <c r="E11666" t="str">
        <f t="shared" si="4272"/>
        <v>GA</v>
      </c>
      <c r="F11666" t="str">
        <f t="shared" si="4279"/>
        <v>315472625</v>
      </c>
      <c r="G11666" t="str">
        <f>T("CODE 821 BLDG 4030")</f>
        <v>CODE 821 BLDG 4030</v>
      </c>
      <c r="H11666" t="str">
        <f>T("990 USS THOMAS JEFFERSON DR")</f>
        <v>990 USS THOMAS JEFFERSON DR</v>
      </c>
      <c r="I11666" t="str">
        <f t="shared" si="4273"/>
        <v>KINGS BAY</v>
      </c>
      <c r="J11666" t="str">
        <f t="shared" si="4274"/>
        <v>GA</v>
      </c>
      <c r="K11666" t="str">
        <f>T("000000000000000000")</f>
        <v>000000000000000000</v>
      </c>
      <c r="L11666" t="str">
        <f>T("9125733855")</f>
        <v>9125733855</v>
      </c>
    </row>
    <row r="11667" spans="1:12" x14ac:dyDescent="0.35">
      <c r="A11667" t="str">
        <f>T("COMSUBLANT")</f>
        <v>COMSUBLANT</v>
      </c>
      <c r="B11667" t="str">
        <f>T("1430 MITSCHER AVENUE")</f>
        <v>1430 MITSCHER AVENUE</v>
      </c>
      <c r="C11667" t="str">
        <f>T("CODE N412F")</f>
        <v>CODE N412F</v>
      </c>
      <c r="D11667" t="str">
        <f>T("NORFOLK")</f>
        <v>NORFOLK</v>
      </c>
      <c r="E11667" t="str">
        <f>T("VA")</f>
        <v>VA</v>
      </c>
      <c r="F11667" t="str">
        <f>T("235512484")</f>
        <v>235512484</v>
      </c>
      <c r="G11667" t="str">
        <f>T("1430 MITSCHER AVENUE")</f>
        <v>1430 MITSCHER AVENUE</v>
      </c>
      <c r="H11667" t="str">
        <f>T("")</f>
        <v/>
      </c>
      <c r="I11667" t="str">
        <f>T("NORFOLK")</f>
        <v>NORFOLK</v>
      </c>
      <c r="J11667" t="str">
        <f>T("VA")</f>
        <v>VA</v>
      </c>
      <c r="K11667" t="str">
        <f>T("000000000000000000")</f>
        <v>000000000000000000</v>
      </c>
      <c r="L11667" t="str">
        <f>T("7578361166")</f>
        <v>7578361166</v>
      </c>
    </row>
    <row r="11668" spans="1:12" x14ac:dyDescent="0.35">
      <c r="A11668" t="str">
        <f>T("COMSUBLANT")</f>
        <v>COMSUBLANT</v>
      </c>
      <c r="B11668" t="str">
        <f>T("1430 MITSCHER AVENUE")</f>
        <v>1430 MITSCHER AVENUE</v>
      </c>
      <c r="C11668" t="str">
        <f>T("CODE N412F")</f>
        <v>CODE N412F</v>
      </c>
      <c r="D11668" t="str">
        <f>T("NORFOLK")</f>
        <v>NORFOLK</v>
      </c>
      <c r="E11668" t="str">
        <f>T("VA")</f>
        <v>VA</v>
      </c>
      <c r="F11668" t="str">
        <f>T("235512484")</f>
        <v>235512484</v>
      </c>
      <c r="G11668" t="str">
        <f>T("1430 MITSCHER AVENUE")</f>
        <v>1430 MITSCHER AVENUE</v>
      </c>
      <c r="H11668" t="str">
        <f>T("")</f>
        <v/>
      </c>
      <c r="I11668" t="str">
        <f>T("NORFOLK")</f>
        <v>NORFOLK</v>
      </c>
      <c r="J11668" t="str">
        <f>T("VA")</f>
        <v>VA</v>
      </c>
      <c r="K11668" t="str">
        <f>T("000000000000000000")</f>
        <v>000000000000000000</v>
      </c>
      <c r="L11668" t="str">
        <f>T("7578361403")</f>
        <v>7578361403</v>
      </c>
    </row>
    <row r="11669" spans="1:12" x14ac:dyDescent="0.35">
      <c r="A11669" t="str">
        <f>T("COMSUBLANT")</f>
        <v>COMSUBLANT</v>
      </c>
      <c r="B11669" t="str">
        <f>T("1430 MITSCHER AVENUE")</f>
        <v>1430 MITSCHER AVENUE</v>
      </c>
      <c r="C11669" t="str">
        <f>T("CODE N412F")</f>
        <v>CODE N412F</v>
      </c>
      <c r="D11669" t="str">
        <f>T("NORFOLK")</f>
        <v>NORFOLK</v>
      </c>
      <c r="E11669" t="str">
        <f>T("VA")</f>
        <v>VA</v>
      </c>
      <c r="F11669" t="str">
        <f>T("235512484")</f>
        <v>235512484</v>
      </c>
      <c r="G11669" t="str">
        <f>T("1430 MITSCHER AVENUE")</f>
        <v>1430 MITSCHER AVENUE</v>
      </c>
      <c r="H11669" t="str">
        <f>T("")</f>
        <v/>
      </c>
      <c r="I11669" t="str">
        <f>T("NORFOLK")</f>
        <v>NORFOLK</v>
      </c>
      <c r="J11669" t="str">
        <f>T("VA")</f>
        <v>VA</v>
      </c>
      <c r="K11669" t="str">
        <f>T("7578361398")</f>
        <v>7578361398</v>
      </c>
      <c r="L11669" t="str">
        <f>T("7578361407")</f>
        <v>7578361407</v>
      </c>
    </row>
    <row r="11670" spans="1:12" x14ac:dyDescent="0.35">
      <c r="A11670" t="str">
        <f>T("COMSUBLANT")</f>
        <v>COMSUBLANT</v>
      </c>
      <c r="B11670" t="str">
        <f>T("1430 MITSCHER AVENUE")</f>
        <v>1430 MITSCHER AVENUE</v>
      </c>
      <c r="C11670" t="str">
        <f>T("CODE N412F")</f>
        <v>CODE N412F</v>
      </c>
      <c r="D11670" t="str">
        <f>T("NORFOLK")</f>
        <v>NORFOLK</v>
      </c>
      <c r="E11670" t="str">
        <f>T("VA")</f>
        <v>VA</v>
      </c>
      <c r="F11670" t="str">
        <f>T("235512484")</f>
        <v>235512484</v>
      </c>
      <c r="G11670" t="str">
        <f>T("1430 MITSCHER AVENUE")</f>
        <v>1430 MITSCHER AVENUE</v>
      </c>
      <c r="H11670" t="str">
        <f>T("CODE N412F")</f>
        <v>CODE N412F</v>
      </c>
      <c r="I11670" t="str">
        <f>T("NORFOLK")</f>
        <v>NORFOLK</v>
      </c>
      <c r="J11670" t="str">
        <f>T("VA")</f>
        <v>VA</v>
      </c>
      <c r="K11670" t="str">
        <f>T("7578361424")</f>
        <v>7578361424</v>
      </c>
      <c r="L11670" t="str">
        <f>T("7578361256")</f>
        <v>7578361256</v>
      </c>
    </row>
    <row r="11671" spans="1:12" x14ac:dyDescent="0.35">
      <c r="A11671" t="str">
        <f t="shared" ref="A11671:A11681" si="4281">T("NAVSUBSUPPFAC")</f>
        <v>NAVSUBSUPPFAC</v>
      </c>
      <c r="B11671" t="str">
        <f t="shared" ref="B11671:B11681" si="4282">T("NSSF NLON")</f>
        <v>NSSF NLON</v>
      </c>
      <c r="C11671" t="str">
        <f t="shared" ref="C11671:C11681" si="4283">T("PO BOX 300 BLDG 87")</f>
        <v>PO BOX 300 BLDG 87</v>
      </c>
      <c r="D11671" t="str">
        <f t="shared" ref="D11671:D11681" si="4284">T("GROTON")</f>
        <v>GROTON</v>
      </c>
      <c r="E11671" t="str">
        <f t="shared" ref="E11671:E11681" si="4285">T("CT")</f>
        <v>CT</v>
      </c>
      <c r="F11671" t="str">
        <f t="shared" ref="F11671:F11681" si="4286">T("063495300")</f>
        <v>063495300</v>
      </c>
      <c r="G11671" t="str">
        <f>T("NSSC SUPPLY")</f>
        <v>NSSC SUPPLY</v>
      </c>
      <c r="H11671" t="str">
        <f>T("PO BOX 300 BLDG 87")</f>
        <v>PO BOX 300 BLDG 87</v>
      </c>
      <c r="I11671" t="str">
        <f t="shared" ref="I11671:I11681" si="4287">T("GROTON")</f>
        <v>GROTON</v>
      </c>
      <c r="J11671" t="str">
        <f t="shared" ref="J11671:J11681" si="4288">T("CT")</f>
        <v>CT</v>
      </c>
      <c r="K11671" t="str">
        <f>T("000000000000000000")</f>
        <v>000000000000000000</v>
      </c>
      <c r="L11671" t="str">
        <f>T("8606944055")</f>
        <v>8606944055</v>
      </c>
    </row>
    <row r="11672" spans="1:12" x14ac:dyDescent="0.35">
      <c r="A11672" t="str">
        <f t="shared" si="4281"/>
        <v>NAVSUBSUPPFAC</v>
      </c>
      <c r="B11672" t="str">
        <f t="shared" si="4282"/>
        <v>NSSF NLON</v>
      </c>
      <c r="C11672" t="str">
        <f t="shared" si="4283"/>
        <v>PO BOX 300 BLDG 87</v>
      </c>
      <c r="D11672" t="str">
        <f t="shared" si="4284"/>
        <v>GROTON</v>
      </c>
      <c r="E11672" t="str">
        <f t="shared" si="4285"/>
        <v>CT</v>
      </c>
      <c r="F11672" t="str">
        <f t="shared" si="4286"/>
        <v>063495300</v>
      </c>
      <c r="G11672" t="str">
        <f>T("NSSC SUPPLY DEPARTMENT")</f>
        <v>NSSC SUPPLY DEPARTMENT</v>
      </c>
      <c r="H11672" t="str">
        <f>T("PO BOX 300 BLDG 87")</f>
        <v>PO BOX 300 BLDG 87</v>
      </c>
      <c r="I11672" t="str">
        <f t="shared" si="4287"/>
        <v>GROTON</v>
      </c>
      <c r="J11672" t="str">
        <f t="shared" si="4288"/>
        <v>CT</v>
      </c>
      <c r="K11672" t="str">
        <f>T("000000000000000000")</f>
        <v>000000000000000000</v>
      </c>
      <c r="L11672" t="str">
        <f>T("8606944515")</f>
        <v>8606944515</v>
      </c>
    </row>
    <row r="11673" spans="1:12" x14ac:dyDescent="0.35">
      <c r="A11673" t="str">
        <f t="shared" si="4281"/>
        <v>NAVSUBSUPPFAC</v>
      </c>
      <c r="B11673" t="str">
        <f t="shared" si="4282"/>
        <v>NSSF NLON</v>
      </c>
      <c r="C11673" t="str">
        <f t="shared" si="4283"/>
        <v>PO BOX 300 BLDG 87</v>
      </c>
      <c r="D11673" t="str">
        <f t="shared" si="4284"/>
        <v>GROTON</v>
      </c>
      <c r="E11673" t="str">
        <f t="shared" si="4285"/>
        <v>CT</v>
      </c>
      <c r="F11673" t="str">
        <f t="shared" si="4286"/>
        <v>063495300</v>
      </c>
      <c r="G11673" t="str">
        <f>T("NSSC SUPPLY DEPARTMENT")</f>
        <v>NSSC SUPPLY DEPARTMENT</v>
      </c>
      <c r="H11673" t="str">
        <f>T("PO BOX 300 BLDG 87")</f>
        <v>PO BOX 300 BLDG 87</v>
      </c>
      <c r="I11673" t="str">
        <f t="shared" si="4287"/>
        <v>GROTON</v>
      </c>
      <c r="J11673" t="str">
        <f t="shared" si="4288"/>
        <v>CT</v>
      </c>
      <c r="K11673" t="str">
        <f>T("000000000000000000")</f>
        <v>000000000000000000</v>
      </c>
      <c r="L11673" t="str">
        <f>T("8606945412")</f>
        <v>8606945412</v>
      </c>
    </row>
    <row r="11674" spans="1:12" x14ac:dyDescent="0.35">
      <c r="A11674" t="str">
        <f t="shared" si="4281"/>
        <v>NAVSUBSUPPFAC</v>
      </c>
      <c r="B11674" t="str">
        <f t="shared" si="4282"/>
        <v>NSSF NLON</v>
      </c>
      <c r="C11674" t="str">
        <f t="shared" si="4283"/>
        <v>PO BOX 300 BLDG 87</v>
      </c>
      <c r="D11674" t="str">
        <f t="shared" si="4284"/>
        <v>GROTON</v>
      </c>
      <c r="E11674" t="str">
        <f t="shared" si="4285"/>
        <v>CT</v>
      </c>
      <c r="F11674" t="str">
        <f t="shared" si="4286"/>
        <v>063495300</v>
      </c>
      <c r="G11674" t="str">
        <f>T("NSSF NLON")</f>
        <v>NSSF NLON</v>
      </c>
      <c r="H11674" t="str">
        <f>T("PO BOX 300 BLDG 20")</f>
        <v>PO BOX 300 BLDG 20</v>
      </c>
      <c r="I11674" t="str">
        <f t="shared" si="4287"/>
        <v>GROTON</v>
      </c>
      <c r="J11674" t="str">
        <f t="shared" si="4288"/>
        <v>CT</v>
      </c>
      <c r="K11674" t="str">
        <f>T("8606943159")</f>
        <v>8606943159</v>
      </c>
      <c r="L11674" t="str">
        <f>T("8606945344")</f>
        <v>8606945344</v>
      </c>
    </row>
    <row r="11675" spans="1:12" x14ac:dyDescent="0.35">
      <c r="A11675" t="str">
        <f t="shared" si="4281"/>
        <v>NAVSUBSUPPFAC</v>
      </c>
      <c r="B11675" t="str">
        <f t="shared" si="4282"/>
        <v>NSSF NLON</v>
      </c>
      <c r="C11675" t="str">
        <f t="shared" si="4283"/>
        <v>PO BOX 300 BLDG 87</v>
      </c>
      <c r="D11675" t="str">
        <f t="shared" si="4284"/>
        <v>GROTON</v>
      </c>
      <c r="E11675" t="str">
        <f t="shared" si="4285"/>
        <v>CT</v>
      </c>
      <c r="F11675" t="str">
        <f t="shared" si="4286"/>
        <v>063495300</v>
      </c>
      <c r="G11675" t="str">
        <f>T("NSSF NLON")</f>
        <v>NSSF NLON</v>
      </c>
      <c r="H11675" t="str">
        <f>T("PO BOX 300 BLDG 87")</f>
        <v>PO BOX 300 BLDG 87</v>
      </c>
      <c r="I11675" t="str">
        <f t="shared" si="4287"/>
        <v>GROTON</v>
      </c>
      <c r="J11675" t="str">
        <f t="shared" si="4288"/>
        <v>CT</v>
      </c>
      <c r="K11675" t="str">
        <f>T("")</f>
        <v/>
      </c>
      <c r="L11675" t="str">
        <f>T("8606941252")</f>
        <v>8606941252</v>
      </c>
    </row>
    <row r="11676" spans="1:12" x14ac:dyDescent="0.35">
      <c r="A11676" t="str">
        <f t="shared" si="4281"/>
        <v>NAVSUBSUPPFAC</v>
      </c>
      <c r="B11676" t="str">
        <f t="shared" si="4282"/>
        <v>NSSF NLON</v>
      </c>
      <c r="C11676" t="str">
        <f t="shared" si="4283"/>
        <v>PO BOX 300 BLDG 87</v>
      </c>
      <c r="D11676" t="str">
        <f t="shared" si="4284"/>
        <v>GROTON</v>
      </c>
      <c r="E11676" t="str">
        <f t="shared" si="4285"/>
        <v>CT</v>
      </c>
      <c r="F11676" t="str">
        <f t="shared" si="4286"/>
        <v>063495300</v>
      </c>
      <c r="G11676" t="str">
        <f>T("NSSF NLON")</f>
        <v>NSSF NLON</v>
      </c>
      <c r="H11676" t="str">
        <f>T("PO BOX 300 BLDG 87")</f>
        <v>PO BOX 300 BLDG 87</v>
      </c>
      <c r="I11676" t="str">
        <f t="shared" si="4287"/>
        <v>GROTON</v>
      </c>
      <c r="J11676" t="str">
        <f t="shared" si="4288"/>
        <v>CT</v>
      </c>
      <c r="K11676" t="str">
        <f>T("")</f>
        <v/>
      </c>
      <c r="L11676" t="str">
        <f>T("8606942104")</f>
        <v>8606942104</v>
      </c>
    </row>
    <row r="11677" spans="1:12" x14ac:dyDescent="0.35">
      <c r="A11677" t="str">
        <f t="shared" si="4281"/>
        <v>NAVSUBSUPPFAC</v>
      </c>
      <c r="B11677" t="str">
        <f t="shared" si="4282"/>
        <v>NSSF NLON</v>
      </c>
      <c r="C11677" t="str">
        <f t="shared" si="4283"/>
        <v>PO BOX 300 BLDG 87</v>
      </c>
      <c r="D11677" t="str">
        <f t="shared" si="4284"/>
        <v>GROTON</v>
      </c>
      <c r="E11677" t="str">
        <f t="shared" si="4285"/>
        <v>CT</v>
      </c>
      <c r="F11677" t="str">
        <f t="shared" si="4286"/>
        <v>063495300</v>
      </c>
      <c r="G11677" t="str">
        <f>T("NSSF SUPLY DEPARTMENT")</f>
        <v>NSSF SUPLY DEPARTMENT</v>
      </c>
      <c r="H11677" t="str">
        <f>T("PO BOX 300 BLDG 89")</f>
        <v>PO BOX 300 BLDG 89</v>
      </c>
      <c r="I11677" t="str">
        <f t="shared" si="4287"/>
        <v>GROTON</v>
      </c>
      <c r="J11677" t="str">
        <f t="shared" si="4288"/>
        <v>CT</v>
      </c>
      <c r="K11677" t="str">
        <f t="shared" ref="K11677:K11682" si="4289">T("000000000000000000")</f>
        <v>000000000000000000</v>
      </c>
      <c r="L11677" t="str">
        <f>T("8606942641")</f>
        <v>8606942641</v>
      </c>
    </row>
    <row r="11678" spans="1:12" x14ac:dyDescent="0.35">
      <c r="A11678" t="str">
        <f t="shared" si="4281"/>
        <v>NAVSUBSUPPFAC</v>
      </c>
      <c r="B11678" t="str">
        <f t="shared" si="4282"/>
        <v>NSSF NLON</v>
      </c>
      <c r="C11678" t="str">
        <f t="shared" si="4283"/>
        <v>PO BOX 300 BLDG 87</v>
      </c>
      <c r="D11678" t="str">
        <f t="shared" si="4284"/>
        <v>GROTON</v>
      </c>
      <c r="E11678" t="str">
        <f t="shared" si="4285"/>
        <v>CT</v>
      </c>
      <c r="F11678" t="str">
        <f t="shared" si="4286"/>
        <v>063495300</v>
      </c>
      <c r="G11678" t="str">
        <f>T("NSSF SUPPLY")</f>
        <v>NSSF SUPPLY</v>
      </c>
      <c r="H11678" t="str">
        <f>T("PO BOX 5300 BLDG 88")</f>
        <v>PO BOX 5300 BLDG 88</v>
      </c>
      <c r="I11678" t="str">
        <f t="shared" si="4287"/>
        <v>GROTON</v>
      </c>
      <c r="J11678" t="str">
        <f t="shared" si="4288"/>
        <v>CT</v>
      </c>
      <c r="K11678" t="str">
        <f t="shared" si="4289"/>
        <v>000000000000000000</v>
      </c>
      <c r="L11678" t="str">
        <f>T("8606942113")</f>
        <v>8606942113</v>
      </c>
    </row>
    <row r="11679" spans="1:12" x14ac:dyDescent="0.35">
      <c r="A11679" t="str">
        <f t="shared" si="4281"/>
        <v>NAVSUBSUPPFAC</v>
      </c>
      <c r="B11679" t="str">
        <f t="shared" si="4282"/>
        <v>NSSF NLON</v>
      </c>
      <c r="C11679" t="str">
        <f t="shared" si="4283"/>
        <v>PO BOX 300 BLDG 87</v>
      </c>
      <c r="D11679" t="str">
        <f t="shared" si="4284"/>
        <v>GROTON</v>
      </c>
      <c r="E11679" t="str">
        <f t="shared" si="4285"/>
        <v>CT</v>
      </c>
      <c r="F11679" t="str">
        <f t="shared" si="4286"/>
        <v>063495300</v>
      </c>
      <c r="G11679" t="str">
        <f>T("RSG FINANCIAL MANAGEMENT OFFICE")</f>
        <v>RSG FINANCIAL MANAGEMENT OFFICE</v>
      </c>
      <c r="H11679" t="str">
        <f>T("PO BOX 300 BLDG 83 ROOM 310")</f>
        <v>PO BOX 300 BLDG 83 ROOM 310</v>
      </c>
      <c r="I11679" t="str">
        <f t="shared" si="4287"/>
        <v>GROTON</v>
      </c>
      <c r="J11679" t="str">
        <f t="shared" si="4288"/>
        <v>CT</v>
      </c>
      <c r="K11679" t="str">
        <f t="shared" si="4289"/>
        <v>000000000000000000</v>
      </c>
      <c r="L11679" t="str">
        <f>T("8606942969")</f>
        <v>8606942969</v>
      </c>
    </row>
    <row r="11680" spans="1:12" x14ac:dyDescent="0.35">
      <c r="A11680" t="str">
        <f t="shared" si="4281"/>
        <v>NAVSUBSUPPFAC</v>
      </c>
      <c r="B11680" t="str">
        <f t="shared" si="4282"/>
        <v>NSSF NLON</v>
      </c>
      <c r="C11680" t="str">
        <f t="shared" si="4283"/>
        <v>PO BOX 300 BLDG 87</v>
      </c>
      <c r="D11680" t="str">
        <f t="shared" si="4284"/>
        <v>GROTON</v>
      </c>
      <c r="E11680" t="str">
        <f t="shared" si="4285"/>
        <v>CT</v>
      </c>
      <c r="F11680" t="str">
        <f t="shared" si="4286"/>
        <v>063495300</v>
      </c>
      <c r="G11680" t="str">
        <f>T("RSG FINANCIAL MANAGEMENT OFFICE")</f>
        <v>RSG FINANCIAL MANAGEMENT OFFICE</v>
      </c>
      <c r="H11680" t="str">
        <f>T("PO BOX 300 BLDG 83 ROOM 310")</f>
        <v>PO BOX 300 BLDG 83 ROOM 310</v>
      </c>
      <c r="I11680" t="str">
        <f t="shared" si="4287"/>
        <v>GROTON</v>
      </c>
      <c r="J11680" t="str">
        <f t="shared" si="4288"/>
        <v>CT</v>
      </c>
      <c r="K11680" t="str">
        <f t="shared" si="4289"/>
        <v>000000000000000000</v>
      </c>
      <c r="L11680" t="str">
        <f>T("8606945171")</f>
        <v>8606945171</v>
      </c>
    </row>
    <row r="11681" spans="1:12" x14ac:dyDescent="0.35">
      <c r="A11681" t="str">
        <f t="shared" si="4281"/>
        <v>NAVSUBSUPPFAC</v>
      </c>
      <c r="B11681" t="str">
        <f t="shared" si="4282"/>
        <v>NSSF NLON</v>
      </c>
      <c r="C11681" t="str">
        <f t="shared" si="4283"/>
        <v>PO BOX 300 BLDG 87</v>
      </c>
      <c r="D11681" t="str">
        <f t="shared" si="4284"/>
        <v>GROTON</v>
      </c>
      <c r="E11681" t="str">
        <f t="shared" si="4285"/>
        <v>CT</v>
      </c>
      <c r="F11681" t="str">
        <f t="shared" si="4286"/>
        <v>063495300</v>
      </c>
      <c r="G11681" t="str">
        <f>T("SUPPLY OFFICER CODE 220")</f>
        <v>SUPPLY OFFICER CODE 220</v>
      </c>
      <c r="H11681" t="str">
        <f>T("BOX 300 BLDG 20 LOWER BASE")</f>
        <v>BOX 300 BLDG 20 LOWER BASE</v>
      </c>
      <c r="I11681" t="str">
        <f t="shared" si="4287"/>
        <v>GROTON</v>
      </c>
      <c r="J11681" t="str">
        <f t="shared" si="4288"/>
        <v>CT</v>
      </c>
      <c r="K11681" t="str">
        <f t="shared" si="4289"/>
        <v>000000000000000000</v>
      </c>
      <c r="L11681" t="str">
        <f>T("8606943522")</f>
        <v>8606943522</v>
      </c>
    </row>
    <row r="11682" spans="1:12" x14ac:dyDescent="0.35">
      <c r="A11682" t="str">
        <f>T("NAVY SUBMARINE TORP FAC")</f>
        <v>NAVY SUBMARINE TORP FAC</v>
      </c>
      <c r="B11682" t="str">
        <f>T("160 MAIN RD NWS")</f>
        <v>160 MAIN RD NWS</v>
      </c>
      <c r="C11682" t="str">
        <f>T("BLDG 1816")</f>
        <v>BLDG 1816</v>
      </c>
      <c r="D11682" t="str">
        <f>T("YORKTOWN")</f>
        <v>YORKTOWN</v>
      </c>
      <c r="E11682" t="str">
        <f>T("VA")</f>
        <v>VA</v>
      </c>
      <c r="F11682" t="str">
        <f>T("236915111")</f>
        <v>236915111</v>
      </c>
      <c r="G11682" t="str">
        <f>T("160 MAIN RD NWS")</f>
        <v>160 MAIN RD NWS</v>
      </c>
      <c r="H11682" t="str">
        <f>T("BLDG 1816")</f>
        <v>BLDG 1816</v>
      </c>
      <c r="I11682" t="str">
        <f>T("YORKTOWN")</f>
        <v>YORKTOWN</v>
      </c>
      <c r="J11682" t="str">
        <f>T("VA")</f>
        <v>VA</v>
      </c>
      <c r="K11682" t="str">
        <f t="shared" si="4289"/>
        <v>000000000000000000</v>
      </c>
      <c r="L11682" t="str">
        <f>T("7578874106")</f>
        <v>7578874106</v>
      </c>
    </row>
    <row r="11683" spans="1:12" x14ac:dyDescent="0.35">
      <c r="A11683" t="str">
        <f>T("NAVY SUBMARINE TORP FAC")</f>
        <v>NAVY SUBMARINE TORP FAC</v>
      </c>
      <c r="B11683" t="str">
        <f>T("160 MAIN RD NWS")</f>
        <v>160 MAIN RD NWS</v>
      </c>
      <c r="C11683" t="str">
        <f>T("BLDG 1816")</f>
        <v>BLDG 1816</v>
      </c>
      <c r="D11683" t="str">
        <f>T("YORKTOWN")</f>
        <v>YORKTOWN</v>
      </c>
      <c r="E11683" t="str">
        <f>T("VA")</f>
        <v>VA</v>
      </c>
      <c r="F11683" t="str">
        <f>T("236915111")</f>
        <v>236915111</v>
      </c>
      <c r="G11683" t="str">
        <f>T("160 MAIN RD NWS")</f>
        <v>160 MAIN RD NWS</v>
      </c>
      <c r="H11683" t="str">
        <f>T("BLDG 1816")</f>
        <v>BLDG 1816</v>
      </c>
      <c r="I11683" t="str">
        <f>T("YORKTOWN")</f>
        <v>YORKTOWN</v>
      </c>
      <c r="J11683" t="str">
        <f>T("VA")</f>
        <v>VA</v>
      </c>
      <c r="K11683" t="str">
        <f>T("7578874687")</f>
        <v>7578874687</v>
      </c>
      <c r="L11683" t="str">
        <f>T("7578478028")</f>
        <v>7578478028</v>
      </c>
    </row>
    <row r="11684" spans="1:12" x14ac:dyDescent="0.35">
      <c r="A11684" t="str">
        <f>T("NAVY SUBMARINE TORP FAC")</f>
        <v>NAVY SUBMARINE TORP FAC</v>
      </c>
      <c r="B11684" t="str">
        <f>T("160 MAIN RD NWS")</f>
        <v>160 MAIN RD NWS</v>
      </c>
      <c r="C11684" t="str">
        <f>T("BLDG 1816")</f>
        <v>BLDG 1816</v>
      </c>
      <c r="D11684" t="str">
        <f>T("YORKTOWN")</f>
        <v>YORKTOWN</v>
      </c>
      <c r="E11684" t="str">
        <f>T("VA")</f>
        <v>VA</v>
      </c>
      <c r="F11684" t="str">
        <f>T("236915111")</f>
        <v>236915111</v>
      </c>
      <c r="G11684" t="str">
        <f>T("160 MAIN ROAD")</f>
        <v>160 MAIN ROAD</v>
      </c>
      <c r="H11684" t="str">
        <f>T("")</f>
        <v/>
      </c>
      <c r="I11684" t="str">
        <f>T("YORKTOWN")</f>
        <v>YORKTOWN</v>
      </c>
      <c r="J11684" t="str">
        <f>T("VA")</f>
        <v>VA</v>
      </c>
      <c r="K11684" t="str">
        <f>T("000000000000000000")</f>
        <v>000000000000000000</v>
      </c>
      <c r="L11684" t="str">
        <f>T("7578874412")</f>
        <v>7578874412</v>
      </c>
    </row>
    <row r="11685" spans="1:12" x14ac:dyDescent="0.35">
      <c r="A11685" t="str">
        <f>T("NAVY SUBMARINE TORP FAC")</f>
        <v>NAVY SUBMARINE TORP FAC</v>
      </c>
      <c r="B11685" t="str">
        <f>T("160 MAIN RD NWS")</f>
        <v>160 MAIN RD NWS</v>
      </c>
      <c r="C11685" t="str">
        <f>T("BLDG 1816")</f>
        <v>BLDG 1816</v>
      </c>
      <c r="D11685" t="str">
        <f>T("YORKTOWN")</f>
        <v>YORKTOWN</v>
      </c>
      <c r="E11685" t="str">
        <f>T("VA")</f>
        <v>VA</v>
      </c>
      <c r="F11685" t="str">
        <f>T("236915111")</f>
        <v>236915111</v>
      </c>
      <c r="G11685" t="str">
        <f>T("NAVY SUBMARINE TORPEDO FACILITY")</f>
        <v>NAVY SUBMARINE TORPEDO FACILITY</v>
      </c>
      <c r="H11685" t="str">
        <f>T("160 MAIN ROAD BLDG 1816")</f>
        <v>160 MAIN ROAD BLDG 1816</v>
      </c>
      <c r="I11685" t="str">
        <f>T("YORKTOWN")</f>
        <v>YORKTOWN</v>
      </c>
      <c r="J11685" t="str">
        <f>T("VA")</f>
        <v>VA</v>
      </c>
      <c r="K11685" t="str">
        <f>T("000000000000000000")</f>
        <v>000000000000000000</v>
      </c>
      <c r="L11685" t="str">
        <f>T("7578877776")</f>
        <v>7578877776</v>
      </c>
    </row>
    <row r="11686" spans="1:12" x14ac:dyDescent="0.35">
      <c r="A11686" t="str">
        <f>T("NAVY SUBMARINE TORP FAC")</f>
        <v>NAVY SUBMARINE TORP FAC</v>
      </c>
      <c r="B11686" t="str">
        <f>T("160 MAIN RD NWS")</f>
        <v>160 MAIN RD NWS</v>
      </c>
      <c r="C11686" t="str">
        <f>T("BLDG 1816")</f>
        <v>BLDG 1816</v>
      </c>
      <c r="D11686" t="str">
        <f>T("YORKTOWN")</f>
        <v>YORKTOWN</v>
      </c>
      <c r="E11686" t="str">
        <f>T("VA")</f>
        <v>VA</v>
      </c>
      <c r="F11686" t="str">
        <f>T("236915111")</f>
        <v>236915111</v>
      </c>
      <c r="G11686" t="str">
        <f>T("NSTF YORKTOWN US NAVY")</f>
        <v>NSTF YORKTOWN US NAVY</v>
      </c>
      <c r="H11686" t="str">
        <f>T("160 MAIN RD BLDG 1816")</f>
        <v>160 MAIN RD BLDG 1816</v>
      </c>
      <c r="I11686" t="str">
        <f>T("YORKTOWN")</f>
        <v>YORKTOWN</v>
      </c>
      <c r="J11686" t="str">
        <f>T("VA")</f>
        <v>VA</v>
      </c>
      <c r="K11686" t="str">
        <f>T("7578874687")</f>
        <v>7578874687</v>
      </c>
      <c r="L11686" t="str">
        <f>T("7578478012")</f>
        <v>7578478012</v>
      </c>
    </row>
    <row r="11687" spans="1:12" x14ac:dyDescent="0.35">
      <c r="A11687" t="str">
        <f t="shared" ref="A11687:A11693" si="4290">T("FLEET CYBER COMMAND")</f>
        <v>FLEET CYBER COMMAND</v>
      </c>
      <c r="B11687" t="str">
        <f>T("2605 KANSAS STREET")</f>
        <v>2605 KANSAS STREET</v>
      </c>
      <c r="C11687" t="str">
        <f>T("BLDG 1405")</f>
        <v>BLDG 1405</v>
      </c>
      <c r="D11687" t="str">
        <f>T("GREAT LAKES")</f>
        <v>GREAT LAKES</v>
      </c>
      <c r="E11687" t="str">
        <f>T("IL")</f>
        <v>IL</v>
      </c>
      <c r="F11687" t="str">
        <f>T("600883159")</f>
        <v>600883159</v>
      </c>
      <c r="G11687" t="str">
        <f>T("2605 KANASAS ST BLDG 1405")</f>
        <v>2605 KANASAS ST BLDG 1405</v>
      </c>
      <c r="H11687" t="str">
        <f>T("STE 233")</f>
        <v>STE 233</v>
      </c>
      <c r="I11687" t="str">
        <f>T("GREAT LAKES")</f>
        <v>GREAT LAKES</v>
      </c>
      <c r="J11687" t="str">
        <f>T("IL")</f>
        <v>IL</v>
      </c>
      <c r="K11687" t="str">
        <f>T("8476882991")</f>
        <v>8476882991</v>
      </c>
      <c r="L11687" t="str">
        <f>T("1111111111")</f>
        <v>1111111111</v>
      </c>
    </row>
    <row r="11688" spans="1:12" x14ac:dyDescent="0.35">
      <c r="A11688" t="str">
        <f t="shared" si="4290"/>
        <v>FLEET CYBER COMMAND</v>
      </c>
      <c r="B11688" t="str">
        <f>T("2605 KANSAS STREET")</f>
        <v>2605 KANSAS STREET</v>
      </c>
      <c r="C11688" t="str">
        <f>T("BLDG 1405")</f>
        <v>BLDG 1405</v>
      </c>
      <c r="D11688" t="str">
        <f>T("GREAT LAKES")</f>
        <v>GREAT LAKES</v>
      </c>
      <c r="E11688" t="str">
        <f>T("IL")</f>
        <v>IL</v>
      </c>
      <c r="F11688" t="str">
        <f>T("600883159")</f>
        <v>600883159</v>
      </c>
      <c r="G11688" t="str">
        <f>T("2605 KANSAS STREET")</f>
        <v>2605 KANSAS STREET</v>
      </c>
      <c r="H11688" t="str">
        <f>T("BLDG 1405")</f>
        <v>BLDG 1405</v>
      </c>
      <c r="I11688" t="str">
        <f>T("GREAT LAKES")</f>
        <v>GREAT LAKES</v>
      </c>
      <c r="J11688" t="str">
        <f>T("IL")</f>
        <v>IL</v>
      </c>
      <c r="K11688" t="str">
        <f t="shared" ref="K11688:K11693" si="4291">T("000000000000000000")</f>
        <v>000000000000000000</v>
      </c>
      <c r="L11688" t="str">
        <f>T("8476886813")</f>
        <v>8476886813</v>
      </c>
    </row>
    <row r="11689" spans="1:12" x14ac:dyDescent="0.35">
      <c r="A11689" t="str">
        <f t="shared" si="4290"/>
        <v>FLEET CYBER COMMAND</v>
      </c>
      <c r="B11689" t="str">
        <f>T("9800 SAVAGE ROAD")</f>
        <v>9800 SAVAGE ROAD</v>
      </c>
      <c r="C11689" t="str">
        <f>T("NBP 316")</f>
        <v>NBP 316</v>
      </c>
      <c r="D11689" t="str">
        <f>T("FORT MEADE")</f>
        <v>FORT MEADE</v>
      </c>
      <c r="E11689" t="str">
        <f>T("MD")</f>
        <v>MD</v>
      </c>
      <c r="F11689" t="str">
        <f>T("207555999")</f>
        <v>207555999</v>
      </c>
      <c r="G11689" t="str">
        <f>T("115 LAKEVIEW PARKWAY")</f>
        <v>115 LAKEVIEW PARKWAY</v>
      </c>
      <c r="H11689" t="str">
        <f>T("")</f>
        <v/>
      </c>
      <c r="I11689" t="str">
        <f>T("SUFFOLK")</f>
        <v>SUFFOLK</v>
      </c>
      <c r="J11689" t="str">
        <f>T("VA")</f>
        <v>VA</v>
      </c>
      <c r="K11689" t="str">
        <f t="shared" si="4291"/>
        <v>000000000000000000</v>
      </c>
      <c r="L11689" t="str">
        <f>T("7572033906")</f>
        <v>7572033906</v>
      </c>
    </row>
    <row r="11690" spans="1:12" x14ac:dyDescent="0.35">
      <c r="A11690" t="str">
        <f t="shared" si="4290"/>
        <v>FLEET CYBER COMMAND</v>
      </c>
      <c r="B11690" t="str">
        <f>T("9800 SAVAGE ROAD")</f>
        <v>9800 SAVAGE ROAD</v>
      </c>
      <c r="C11690" t="str">
        <f>T("NBP 316")</f>
        <v>NBP 316</v>
      </c>
      <c r="D11690" t="str">
        <f>T("FORT MEADE")</f>
        <v>FORT MEADE</v>
      </c>
      <c r="E11690" t="str">
        <f>T("MD")</f>
        <v>MD</v>
      </c>
      <c r="F11690" t="str">
        <f>T("207555999")</f>
        <v>207555999</v>
      </c>
      <c r="G11690" t="str">
        <f>T("9800 SAVAGE ROAD")</f>
        <v>9800 SAVAGE ROAD</v>
      </c>
      <c r="H11690" t="str">
        <f>T("NBP 316")</f>
        <v>NBP 316</v>
      </c>
      <c r="I11690" t="str">
        <f>T("FORT MEADE")</f>
        <v>FORT MEADE</v>
      </c>
      <c r="J11690" t="str">
        <f>T("MD")</f>
        <v>MD</v>
      </c>
      <c r="K11690" t="str">
        <f t="shared" si="4291"/>
        <v>000000000000000000</v>
      </c>
      <c r="L11690" t="str">
        <f>T("4436340151")</f>
        <v>4436340151</v>
      </c>
    </row>
    <row r="11691" spans="1:12" x14ac:dyDescent="0.35">
      <c r="A11691" t="str">
        <f t="shared" si="4290"/>
        <v>FLEET CYBER COMMAND</v>
      </c>
      <c r="B11691" t="str">
        <f>T("9800 SAVAGE ROAD")</f>
        <v>9800 SAVAGE ROAD</v>
      </c>
      <c r="C11691" t="str">
        <f>T("NBP 316")</f>
        <v>NBP 316</v>
      </c>
      <c r="D11691" t="str">
        <f>T("FORT MEADE")</f>
        <v>FORT MEADE</v>
      </c>
      <c r="E11691" t="str">
        <f>T("MD")</f>
        <v>MD</v>
      </c>
      <c r="F11691" t="str">
        <f>T("207555999")</f>
        <v>207555999</v>
      </c>
      <c r="G11691" t="str">
        <f>T("9800 SAVAGE ROAD SUITE 6586")</f>
        <v>9800 SAVAGE ROAD SUITE 6586</v>
      </c>
      <c r="H11691" t="str">
        <f>T("")</f>
        <v/>
      </c>
      <c r="I11691" t="str">
        <f>T("FORT GEORGE G MEADE")</f>
        <v>FORT GEORGE G MEADE</v>
      </c>
      <c r="J11691" t="str">
        <f>T("MD")</f>
        <v>MD</v>
      </c>
      <c r="K11691" t="str">
        <f t="shared" si="4291"/>
        <v>000000000000000000</v>
      </c>
      <c r="L11691" t="str">
        <f>T("4436344572")</f>
        <v>4436344572</v>
      </c>
    </row>
    <row r="11692" spans="1:12" x14ac:dyDescent="0.35">
      <c r="A11692" t="str">
        <f t="shared" si="4290"/>
        <v>FLEET CYBER COMMAND</v>
      </c>
      <c r="B11692" t="str">
        <f>T("9800 SAVAGE ROAD")</f>
        <v>9800 SAVAGE ROAD</v>
      </c>
      <c r="C11692" t="str">
        <f>T("NBP 316")</f>
        <v>NBP 316</v>
      </c>
      <c r="D11692" t="str">
        <f>T("FORT MEADE")</f>
        <v>FORT MEADE</v>
      </c>
      <c r="E11692" t="str">
        <f>T("MD")</f>
        <v>MD</v>
      </c>
      <c r="F11692" t="str">
        <f>T("207555999")</f>
        <v>207555999</v>
      </c>
      <c r="G11692" t="str">
        <f>T("9800 SAVAGE ROAD SUITE 6586")</f>
        <v>9800 SAVAGE ROAD SUITE 6586</v>
      </c>
      <c r="H11692" t="str">
        <f>T("")</f>
        <v/>
      </c>
      <c r="I11692" t="str">
        <f>T("FORT GEORGE G MEADE")</f>
        <v>FORT GEORGE G MEADE</v>
      </c>
      <c r="J11692" t="str">
        <f>T("MD")</f>
        <v>MD</v>
      </c>
      <c r="K11692" t="str">
        <f t="shared" si="4291"/>
        <v>000000000000000000</v>
      </c>
      <c r="L11692" t="str">
        <f>T("4436344649")</f>
        <v>4436344649</v>
      </c>
    </row>
    <row r="11693" spans="1:12" x14ac:dyDescent="0.35">
      <c r="A11693" t="str">
        <f t="shared" si="4290"/>
        <v>FLEET CYBER COMMAND</v>
      </c>
      <c r="B11693" t="str">
        <f>T("9800 SAVAGE ROD")</f>
        <v>9800 SAVAGE ROD</v>
      </c>
      <c r="C11693" t="str">
        <f>T("")</f>
        <v/>
      </c>
      <c r="D11693" t="str">
        <f>T("FORT MEADE")</f>
        <v>FORT MEADE</v>
      </c>
      <c r="E11693" t="str">
        <f>T("MD")</f>
        <v>MD</v>
      </c>
      <c r="F11693" t="str">
        <f>T("207555999")</f>
        <v>207555999</v>
      </c>
      <c r="G11693" t="str">
        <f>T("9800 SAVAGE ROD")</f>
        <v>9800 SAVAGE ROD</v>
      </c>
      <c r="H11693" t="str">
        <f>T("")</f>
        <v/>
      </c>
      <c r="I11693" t="str">
        <f>T("FORT MEADE")</f>
        <v>FORT MEADE</v>
      </c>
      <c r="J11693" t="str">
        <f>T("MD")</f>
        <v>MD</v>
      </c>
      <c r="K11693" t="str">
        <f t="shared" si="4291"/>
        <v>000000000000000000</v>
      </c>
      <c r="L11693" t="str">
        <f>T("4436344569")</f>
        <v>4436344569</v>
      </c>
    </row>
    <row r="11694" spans="1:12" x14ac:dyDescent="0.35">
      <c r="A11694" t="str">
        <f>T("ZZ DELETE")</f>
        <v>ZZ DELETE</v>
      </c>
      <c r="B11694" t="str">
        <f>T("PSC 488, BOX 101")</f>
        <v>PSC 488, BOX 101</v>
      </c>
      <c r="C11694" t="str">
        <f>T("")</f>
        <v/>
      </c>
      <c r="D11694" t="str">
        <f>T("FPO")</f>
        <v>FPO</v>
      </c>
      <c r="E11694" t="str">
        <f>T("AP")</f>
        <v>AP</v>
      </c>
      <c r="F11694" t="str">
        <f>T("965370002")</f>
        <v>965370002</v>
      </c>
      <c r="G11694" t="str">
        <f>T("PSC 488, BOX 101")</f>
        <v>PSC 488, BOX 101</v>
      </c>
      <c r="H11694" t="str">
        <f>T("")</f>
        <v/>
      </c>
      <c r="I11694" t="str">
        <f>T("FPO")</f>
        <v>FPO</v>
      </c>
      <c r="J11694" t="str">
        <f>T("AP")</f>
        <v>AP</v>
      </c>
      <c r="K11694" t="str">
        <f>T("671-355-5132")</f>
        <v>671-355-5132</v>
      </c>
      <c r="L11694" t="str">
        <f>T("6713555353")</f>
        <v>6713555353</v>
      </c>
    </row>
    <row r="11695" spans="1:12" x14ac:dyDescent="0.35">
      <c r="A11695" t="str">
        <f>T("ZZ DELETE")</f>
        <v>ZZ DELETE</v>
      </c>
      <c r="B11695" t="str">
        <f>T("661 13TH ST")</f>
        <v>661 13TH ST</v>
      </c>
      <c r="C11695" t="str">
        <f>T("")</f>
        <v/>
      </c>
      <c r="D11695" t="str">
        <f>T("POINT MUGU NAWC")</f>
        <v>POINT MUGU NAWC</v>
      </c>
      <c r="E11695" t="str">
        <f>T("CA")</f>
        <v>CA</v>
      </c>
      <c r="F11695" t="str">
        <f>T("930425011")</f>
        <v>930425011</v>
      </c>
      <c r="G11695" t="str">
        <f>T("661 13TH ST")</f>
        <v>661 13TH ST</v>
      </c>
      <c r="H11695" t="str">
        <f>T("")</f>
        <v/>
      </c>
      <c r="I11695" t="str">
        <f>T("POINT MUGU NAWC")</f>
        <v>POINT MUGU NAWC</v>
      </c>
      <c r="J11695" t="str">
        <f>T("CA")</f>
        <v>CA</v>
      </c>
      <c r="K11695" t="str">
        <f>T("")</f>
        <v/>
      </c>
      <c r="L11695" t="str">
        <f>T("8059894314")</f>
        <v>8059894314</v>
      </c>
    </row>
    <row r="11696" spans="1:12" x14ac:dyDescent="0.35">
      <c r="A11696" t="str">
        <f>T("ZZ DELETE")</f>
        <v>ZZ DELETE</v>
      </c>
      <c r="B11696" t="str">
        <f>T("HC7 BLDG 324")</f>
        <v>HC7 BLDG 324</v>
      </c>
      <c r="C11696" t="str">
        <f>T("SUPPLY OFFICE N8")</f>
        <v>SUPPLY OFFICE N8</v>
      </c>
      <c r="D11696" t="str">
        <f>T("SUGAR GROVE")</f>
        <v>SUGAR GROVE</v>
      </c>
      <c r="E11696" t="str">
        <f>T("WV")</f>
        <v>WV</v>
      </c>
      <c r="F11696" t="str">
        <f>T("268155000")</f>
        <v>268155000</v>
      </c>
      <c r="G11696" t="str">
        <f>T("HC7 BLDG 324")</f>
        <v>HC7 BLDG 324</v>
      </c>
      <c r="H11696" t="str">
        <f>T("SUPPLY OFFICE N8")</f>
        <v>SUPPLY OFFICE N8</v>
      </c>
      <c r="I11696" t="str">
        <f>T("SUGAR GROVE")</f>
        <v>SUGAR GROVE</v>
      </c>
      <c r="J11696" t="str">
        <f>T("WV")</f>
        <v>WV</v>
      </c>
      <c r="K11696" t="str">
        <f>T("3042496532")</f>
        <v>3042496532</v>
      </c>
      <c r="L11696" t="str">
        <f>T("3042496371")</f>
        <v>3042496371</v>
      </c>
    </row>
    <row r="11697" spans="1:12" x14ac:dyDescent="0.35">
      <c r="A11697" t="str">
        <f t="shared" ref="A11697:A11728" si="4292">T("USFFC")</f>
        <v>USFFC</v>
      </c>
      <c r="B11697" t="str">
        <f t="shared" ref="B11697:B11715" si="4293">T("1562 MITSCHER AVE")</f>
        <v>1562 MITSCHER AVE</v>
      </c>
      <c r="C11697" t="str">
        <f t="shared" ref="C11697:C11702" si="4294">T("STE 250")</f>
        <v>STE 250</v>
      </c>
      <c r="D11697" t="str">
        <f t="shared" ref="D11697:D11744" si="4295">T("NORFOLK")</f>
        <v>NORFOLK</v>
      </c>
      <c r="E11697" t="str">
        <f t="shared" ref="E11697:E11744" si="4296">T("VA")</f>
        <v>VA</v>
      </c>
      <c r="F11697" t="str">
        <f t="shared" ref="F11697:F11713" si="4297">T("235512423")</f>
        <v>235512423</v>
      </c>
      <c r="G11697" t="str">
        <f t="shared" ref="G11697:G11710" si="4298">T("1562 MITSCHER AVE")</f>
        <v>1562 MITSCHER AVE</v>
      </c>
      <c r="H11697" t="str">
        <f>T("STE 250")</f>
        <v>STE 250</v>
      </c>
      <c r="I11697" t="str">
        <f t="shared" ref="I11697:I11744" si="4299">T("NORFOLK")</f>
        <v>NORFOLK</v>
      </c>
      <c r="J11697" t="str">
        <f t="shared" ref="J11697:J11744" si="4300">T("VA")</f>
        <v>VA</v>
      </c>
      <c r="K11697" t="str">
        <f>T("")</f>
        <v/>
      </c>
      <c r="L11697" t="str">
        <f>T("7578366268")</f>
        <v>7578366268</v>
      </c>
    </row>
    <row r="11698" spans="1:12" x14ac:dyDescent="0.35">
      <c r="A11698" t="str">
        <f t="shared" si="4292"/>
        <v>USFFC</v>
      </c>
      <c r="B11698" t="str">
        <f t="shared" si="4293"/>
        <v>1562 MITSCHER AVE</v>
      </c>
      <c r="C11698" t="str">
        <f t="shared" si="4294"/>
        <v>STE 250</v>
      </c>
      <c r="D11698" t="str">
        <f t="shared" si="4295"/>
        <v>NORFOLK</v>
      </c>
      <c r="E11698" t="str">
        <f t="shared" si="4296"/>
        <v>VA</v>
      </c>
      <c r="F11698" t="str">
        <f t="shared" si="4297"/>
        <v>235512423</v>
      </c>
      <c r="G11698" t="str">
        <f t="shared" si="4298"/>
        <v>1562 MITSCHER AVE</v>
      </c>
      <c r="H11698" t="str">
        <f>T("STE 250")</f>
        <v>STE 250</v>
      </c>
      <c r="I11698" t="str">
        <f t="shared" si="4299"/>
        <v>NORFOLK</v>
      </c>
      <c r="J11698" t="str">
        <f t="shared" si="4300"/>
        <v>VA</v>
      </c>
      <c r="K11698" t="str">
        <f>T("000000000000000000")</f>
        <v>000000000000000000</v>
      </c>
      <c r="L11698" t="str">
        <f>T("7578363666")</f>
        <v>7578363666</v>
      </c>
    </row>
    <row r="11699" spans="1:12" x14ac:dyDescent="0.35">
      <c r="A11699" t="str">
        <f t="shared" si="4292"/>
        <v>USFFC</v>
      </c>
      <c r="B11699" t="str">
        <f t="shared" si="4293"/>
        <v>1562 MITSCHER AVE</v>
      </c>
      <c r="C11699" t="str">
        <f t="shared" si="4294"/>
        <v>STE 250</v>
      </c>
      <c r="D11699" t="str">
        <f t="shared" si="4295"/>
        <v>NORFOLK</v>
      </c>
      <c r="E11699" t="str">
        <f t="shared" si="4296"/>
        <v>VA</v>
      </c>
      <c r="F11699" t="str">
        <f t="shared" si="4297"/>
        <v>235512423</v>
      </c>
      <c r="G11699" t="str">
        <f t="shared" si="4298"/>
        <v>1562 MITSCHER AVE</v>
      </c>
      <c r="H11699" t="str">
        <f>T("STE 250")</f>
        <v>STE 250</v>
      </c>
      <c r="I11699" t="str">
        <f t="shared" si="4299"/>
        <v>NORFOLK</v>
      </c>
      <c r="J11699" t="str">
        <f t="shared" si="4300"/>
        <v>VA</v>
      </c>
      <c r="K11699" t="str">
        <f>T("000000000000000000")</f>
        <v>000000000000000000</v>
      </c>
      <c r="L11699" t="str">
        <f>T("7578366763")</f>
        <v>7578366763</v>
      </c>
    </row>
    <row r="11700" spans="1:12" x14ac:dyDescent="0.35">
      <c r="A11700" t="str">
        <f t="shared" si="4292"/>
        <v>USFFC</v>
      </c>
      <c r="B11700" t="str">
        <f t="shared" si="4293"/>
        <v>1562 MITSCHER AVE</v>
      </c>
      <c r="C11700" t="str">
        <f t="shared" si="4294"/>
        <v>STE 250</v>
      </c>
      <c r="D11700" t="str">
        <f t="shared" si="4295"/>
        <v>NORFOLK</v>
      </c>
      <c r="E11700" t="str">
        <f t="shared" si="4296"/>
        <v>VA</v>
      </c>
      <c r="F11700" t="str">
        <f t="shared" si="4297"/>
        <v>235512423</v>
      </c>
      <c r="G11700" t="str">
        <f t="shared" si="4298"/>
        <v>1562 MITSCHER AVE</v>
      </c>
      <c r="H11700" t="str">
        <f>T("STE 250")</f>
        <v>STE 250</v>
      </c>
      <c r="I11700" t="str">
        <f t="shared" si="4299"/>
        <v>NORFOLK</v>
      </c>
      <c r="J11700" t="str">
        <f t="shared" si="4300"/>
        <v>VA</v>
      </c>
      <c r="K11700" t="str">
        <f>T("000000000000000000")</f>
        <v>000000000000000000</v>
      </c>
      <c r="L11700" t="str">
        <f>T("7578366901")</f>
        <v>7578366901</v>
      </c>
    </row>
    <row r="11701" spans="1:12" x14ac:dyDescent="0.35">
      <c r="A11701" t="str">
        <f t="shared" si="4292"/>
        <v>USFFC</v>
      </c>
      <c r="B11701" t="str">
        <f t="shared" si="4293"/>
        <v>1562 MITSCHER AVE</v>
      </c>
      <c r="C11701" t="str">
        <f t="shared" si="4294"/>
        <v>STE 250</v>
      </c>
      <c r="D11701" t="str">
        <f t="shared" si="4295"/>
        <v>NORFOLK</v>
      </c>
      <c r="E11701" t="str">
        <f t="shared" si="4296"/>
        <v>VA</v>
      </c>
      <c r="F11701" t="str">
        <f t="shared" si="4297"/>
        <v>235512423</v>
      </c>
      <c r="G11701" t="str">
        <f t="shared" si="4298"/>
        <v>1562 MITSCHER AVE</v>
      </c>
      <c r="H11701" t="str">
        <f>T("STE 250")</f>
        <v>STE 250</v>
      </c>
      <c r="I11701" t="str">
        <f t="shared" si="4299"/>
        <v>NORFOLK</v>
      </c>
      <c r="J11701" t="str">
        <f t="shared" si="4300"/>
        <v>VA</v>
      </c>
      <c r="K11701" t="str">
        <f>T("7578366995")</f>
        <v>7578366995</v>
      </c>
      <c r="L11701" t="str">
        <f>T("7578363672")</f>
        <v>7578363672</v>
      </c>
    </row>
    <row r="11702" spans="1:12" x14ac:dyDescent="0.35">
      <c r="A11702" t="str">
        <f t="shared" si="4292"/>
        <v>USFFC</v>
      </c>
      <c r="B11702" t="str">
        <f t="shared" si="4293"/>
        <v>1562 MITSCHER AVE</v>
      </c>
      <c r="C11702" t="str">
        <f t="shared" si="4294"/>
        <v>STE 250</v>
      </c>
      <c r="D11702" t="str">
        <f t="shared" si="4295"/>
        <v>NORFOLK</v>
      </c>
      <c r="E11702" t="str">
        <f t="shared" si="4296"/>
        <v>VA</v>
      </c>
      <c r="F11702" t="str">
        <f t="shared" si="4297"/>
        <v>235512423</v>
      </c>
      <c r="G11702" t="str">
        <f t="shared" si="4298"/>
        <v>1562 MITSCHER AVE</v>
      </c>
      <c r="H11702" t="str">
        <f t="shared" ref="H11702:H11710" si="4301">T("SUITE 250")</f>
        <v>SUITE 250</v>
      </c>
      <c r="I11702" t="str">
        <f t="shared" si="4299"/>
        <v>NORFOLK</v>
      </c>
      <c r="J11702" t="str">
        <f t="shared" si="4300"/>
        <v>VA</v>
      </c>
      <c r="K11702" t="str">
        <f>T("000000000000000000")</f>
        <v>000000000000000000</v>
      </c>
      <c r="L11702" t="str">
        <f>T("7578365247")</f>
        <v>7578365247</v>
      </c>
    </row>
    <row r="11703" spans="1:12" x14ac:dyDescent="0.35">
      <c r="A11703" t="str">
        <f t="shared" si="4292"/>
        <v>USFFC</v>
      </c>
      <c r="B11703" t="str">
        <f t="shared" si="4293"/>
        <v>1562 MITSCHER AVE</v>
      </c>
      <c r="C11703" t="str">
        <f t="shared" ref="C11703:C11715" si="4302">T("SUITE 250")</f>
        <v>SUITE 250</v>
      </c>
      <c r="D11703" t="str">
        <f t="shared" si="4295"/>
        <v>NORFOLK</v>
      </c>
      <c r="E11703" t="str">
        <f t="shared" si="4296"/>
        <v>VA</v>
      </c>
      <c r="F11703" t="str">
        <f t="shared" si="4297"/>
        <v>235512423</v>
      </c>
      <c r="G11703" t="str">
        <f t="shared" si="4298"/>
        <v>1562 MITSCHER AVE</v>
      </c>
      <c r="H11703" t="str">
        <f t="shared" si="4301"/>
        <v>SUITE 250</v>
      </c>
      <c r="I11703" t="str">
        <f t="shared" si="4299"/>
        <v>NORFOLK</v>
      </c>
      <c r="J11703" t="str">
        <f t="shared" si="4300"/>
        <v>VA</v>
      </c>
      <c r="K11703" t="str">
        <f>T("")</f>
        <v/>
      </c>
      <c r="L11703" t="str">
        <f>T("7578362346")</f>
        <v>7578362346</v>
      </c>
    </row>
    <row r="11704" spans="1:12" x14ac:dyDescent="0.35">
      <c r="A11704" t="str">
        <f t="shared" si="4292"/>
        <v>USFFC</v>
      </c>
      <c r="B11704" t="str">
        <f t="shared" si="4293"/>
        <v>1562 MITSCHER AVE</v>
      </c>
      <c r="C11704" t="str">
        <f t="shared" si="4302"/>
        <v>SUITE 250</v>
      </c>
      <c r="D11704" t="str">
        <f t="shared" si="4295"/>
        <v>NORFOLK</v>
      </c>
      <c r="E11704" t="str">
        <f t="shared" si="4296"/>
        <v>VA</v>
      </c>
      <c r="F11704" t="str">
        <f t="shared" si="4297"/>
        <v>235512423</v>
      </c>
      <c r="G11704" t="str">
        <f t="shared" si="4298"/>
        <v>1562 MITSCHER AVE</v>
      </c>
      <c r="H11704" t="str">
        <f t="shared" si="4301"/>
        <v>SUITE 250</v>
      </c>
      <c r="I11704" t="str">
        <f t="shared" si="4299"/>
        <v>NORFOLK</v>
      </c>
      <c r="J11704" t="str">
        <f t="shared" si="4300"/>
        <v>VA</v>
      </c>
      <c r="K11704" t="str">
        <f>T("000000000000000000")</f>
        <v>000000000000000000</v>
      </c>
      <c r="L11704" t="str">
        <f>T("7578362569")</f>
        <v>7578362569</v>
      </c>
    </row>
    <row r="11705" spans="1:12" x14ac:dyDescent="0.35">
      <c r="A11705" t="str">
        <f t="shared" si="4292"/>
        <v>USFFC</v>
      </c>
      <c r="B11705" t="str">
        <f t="shared" si="4293"/>
        <v>1562 MITSCHER AVE</v>
      </c>
      <c r="C11705" t="str">
        <f t="shared" si="4302"/>
        <v>SUITE 250</v>
      </c>
      <c r="D11705" t="str">
        <f t="shared" si="4295"/>
        <v>NORFOLK</v>
      </c>
      <c r="E11705" t="str">
        <f t="shared" si="4296"/>
        <v>VA</v>
      </c>
      <c r="F11705" t="str">
        <f t="shared" si="4297"/>
        <v>235512423</v>
      </c>
      <c r="G11705" t="str">
        <f t="shared" si="4298"/>
        <v>1562 MITSCHER AVE</v>
      </c>
      <c r="H11705" t="str">
        <f t="shared" si="4301"/>
        <v>SUITE 250</v>
      </c>
      <c r="I11705" t="str">
        <f t="shared" si="4299"/>
        <v>NORFOLK</v>
      </c>
      <c r="J11705" t="str">
        <f t="shared" si="4300"/>
        <v>VA</v>
      </c>
      <c r="K11705" t="str">
        <f>T("000000000000000000")</f>
        <v>000000000000000000</v>
      </c>
      <c r="L11705" t="str">
        <f>T("7578362570")</f>
        <v>7578362570</v>
      </c>
    </row>
    <row r="11706" spans="1:12" x14ac:dyDescent="0.35">
      <c r="A11706" t="str">
        <f t="shared" si="4292"/>
        <v>USFFC</v>
      </c>
      <c r="B11706" t="str">
        <f t="shared" si="4293"/>
        <v>1562 MITSCHER AVE</v>
      </c>
      <c r="C11706" t="str">
        <f t="shared" si="4302"/>
        <v>SUITE 250</v>
      </c>
      <c r="D11706" t="str">
        <f t="shared" si="4295"/>
        <v>NORFOLK</v>
      </c>
      <c r="E11706" t="str">
        <f t="shared" si="4296"/>
        <v>VA</v>
      </c>
      <c r="F11706" t="str">
        <f t="shared" si="4297"/>
        <v>235512423</v>
      </c>
      <c r="G11706" t="str">
        <f t="shared" si="4298"/>
        <v>1562 MITSCHER AVE</v>
      </c>
      <c r="H11706" t="str">
        <f t="shared" si="4301"/>
        <v>SUITE 250</v>
      </c>
      <c r="I11706" t="str">
        <f t="shared" si="4299"/>
        <v>NORFOLK</v>
      </c>
      <c r="J11706" t="str">
        <f t="shared" si="4300"/>
        <v>VA</v>
      </c>
      <c r="K11706" t="str">
        <f>T("000000000000000000")</f>
        <v>000000000000000000</v>
      </c>
      <c r="L11706" t="str">
        <f>T("7578366712")</f>
        <v>7578366712</v>
      </c>
    </row>
    <row r="11707" spans="1:12" x14ac:dyDescent="0.35">
      <c r="A11707" t="str">
        <f t="shared" si="4292"/>
        <v>USFFC</v>
      </c>
      <c r="B11707" t="str">
        <f t="shared" si="4293"/>
        <v>1562 MITSCHER AVE</v>
      </c>
      <c r="C11707" t="str">
        <f t="shared" si="4302"/>
        <v>SUITE 250</v>
      </c>
      <c r="D11707" t="str">
        <f t="shared" si="4295"/>
        <v>NORFOLK</v>
      </c>
      <c r="E11707" t="str">
        <f t="shared" si="4296"/>
        <v>VA</v>
      </c>
      <c r="F11707" t="str">
        <f t="shared" si="4297"/>
        <v>235512423</v>
      </c>
      <c r="G11707" t="str">
        <f t="shared" si="4298"/>
        <v>1562 MITSCHER AVE</v>
      </c>
      <c r="H11707" t="str">
        <f t="shared" si="4301"/>
        <v>SUITE 250</v>
      </c>
      <c r="I11707" t="str">
        <f t="shared" si="4299"/>
        <v>NORFOLK</v>
      </c>
      <c r="J11707" t="str">
        <f t="shared" si="4300"/>
        <v>VA</v>
      </c>
      <c r="K11707" t="str">
        <f>T("757-836-5011")</f>
        <v>757-836-5011</v>
      </c>
      <c r="L11707" t="str">
        <f>T("7578362569")</f>
        <v>7578362569</v>
      </c>
    </row>
    <row r="11708" spans="1:12" x14ac:dyDescent="0.35">
      <c r="A11708" t="str">
        <f t="shared" si="4292"/>
        <v>USFFC</v>
      </c>
      <c r="B11708" t="str">
        <f t="shared" si="4293"/>
        <v>1562 MITSCHER AVE</v>
      </c>
      <c r="C11708" t="str">
        <f t="shared" si="4302"/>
        <v>SUITE 250</v>
      </c>
      <c r="D11708" t="str">
        <f t="shared" si="4295"/>
        <v>NORFOLK</v>
      </c>
      <c r="E11708" t="str">
        <f t="shared" si="4296"/>
        <v>VA</v>
      </c>
      <c r="F11708" t="str">
        <f t="shared" si="4297"/>
        <v>235512423</v>
      </c>
      <c r="G11708" t="str">
        <f t="shared" si="4298"/>
        <v>1562 MITSCHER AVE</v>
      </c>
      <c r="H11708" t="str">
        <f t="shared" si="4301"/>
        <v>SUITE 250</v>
      </c>
      <c r="I11708" t="str">
        <f t="shared" si="4299"/>
        <v>NORFOLK</v>
      </c>
      <c r="J11708" t="str">
        <f t="shared" si="4300"/>
        <v>VA</v>
      </c>
      <c r="K11708" t="str">
        <f>T("7578365520")</f>
        <v>7578365520</v>
      </c>
      <c r="L11708" t="str">
        <f>T("7578366027")</f>
        <v>7578366027</v>
      </c>
    </row>
    <row r="11709" spans="1:12" x14ac:dyDescent="0.35">
      <c r="A11709" t="str">
        <f t="shared" si="4292"/>
        <v>USFFC</v>
      </c>
      <c r="B11709" t="str">
        <f t="shared" si="4293"/>
        <v>1562 MITSCHER AVE</v>
      </c>
      <c r="C11709" t="str">
        <f t="shared" si="4302"/>
        <v>SUITE 250</v>
      </c>
      <c r="D11709" t="str">
        <f t="shared" si="4295"/>
        <v>NORFOLK</v>
      </c>
      <c r="E11709" t="str">
        <f t="shared" si="4296"/>
        <v>VA</v>
      </c>
      <c r="F11709" t="str">
        <f t="shared" si="4297"/>
        <v>235512423</v>
      </c>
      <c r="G11709" t="str">
        <f t="shared" si="4298"/>
        <v>1562 MITSCHER AVE</v>
      </c>
      <c r="H11709" t="str">
        <f t="shared" si="4301"/>
        <v>SUITE 250</v>
      </c>
      <c r="I11709" t="str">
        <f t="shared" si="4299"/>
        <v>NORFOLK</v>
      </c>
      <c r="J11709" t="str">
        <f t="shared" si="4300"/>
        <v>VA</v>
      </c>
      <c r="K11709" t="str">
        <f>T("7578365520")</f>
        <v>7578365520</v>
      </c>
      <c r="L11709" t="str">
        <f>T("7578369402")</f>
        <v>7578369402</v>
      </c>
    </row>
    <row r="11710" spans="1:12" x14ac:dyDescent="0.35">
      <c r="A11710" t="str">
        <f t="shared" si="4292"/>
        <v>USFFC</v>
      </c>
      <c r="B11710" t="str">
        <f t="shared" si="4293"/>
        <v>1562 MITSCHER AVE</v>
      </c>
      <c r="C11710" t="str">
        <f t="shared" si="4302"/>
        <v>SUITE 250</v>
      </c>
      <c r="D11710" t="str">
        <f t="shared" si="4295"/>
        <v>NORFOLK</v>
      </c>
      <c r="E11710" t="str">
        <f t="shared" si="4296"/>
        <v>VA</v>
      </c>
      <c r="F11710" t="str">
        <f t="shared" si="4297"/>
        <v>235512423</v>
      </c>
      <c r="G11710" t="str">
        <f t="shared" si="4298"/>
        <v>1562 MITSCHER AVE</v>
      </c>
      <c r="H11710" t="str">
        <f t="shared" si="4301"/>
        <v>SUITE 250</v>
      </c>
      <c r="I11710" t="str">
        <f t="shared" si="4299"/>
        <v>NORFOLK</v>
      </c>
      <c r="J11710" t="str">
        <f t="shared" si="4300"/>
        <v>VA</v>
      </c>
      <c r="K11710" t="str">
        <f>T("7578366719")</f>
        <v>7578366719</v>
      </c>
      <c r="L11710" t="str">
        <f>T("7578366697")</f>
        <v>7578366697</v>
      </c>
    </row>
    <row r="11711" spans="1:12" x14ac:dyDescent="0.35">
      <c r="A11711" t="str">
        <f t="shared" si="4292"/>
        <v>USFFC</v>
      </c>
      <c r="B11711" t="str">
        <f t="shared" si="4293"/>
        <v>1562 MITSCHER AVE</v>
      </c>
      <c r="C11711" t="str">
        <f t="shared" si="4302"/>
        <v>SUITE 250</v>
      </c>
      <c r="D11711" t="str">
        <f t="shared" si="4295"/>
        <v>NORFOLK</v>
      </c>
      <c r="E11711" t="str">
        <f t="shared" si="4296"/>
        <v>VA</v>
      </c>
      <c r="F11711" t="str">
        <f t="shared" si="4297"/>
        <v>235512423</v>
      </c>
      <c r="G11711" t="str">
        <f>T("1562 MITSCHER AVE STE 250")</f>
        <v>1562 MITSCHER AVE STE 250</v>
      </c>
      <c r="H11711" t="str">
        <f>T("")</f>
        <v/>
      </c>
      <c r="I11711" t="str">
        <f t="shared" si="4299"/>
        <v>NORFOLK</v>
      </c>
      <c r="J11711" t="str">
        <f t="shared" si="4300"/>
        <v>VA</v>
      </c>
      <c r="K11711" t="str">
        <f>T("7575366713")</f>
        <v>7575366713</v>
      </c>
      <c r="L11711" t="str">
        <f>T("7578366863")</f>
        <v>7578366863</v>
      </c>
    </row>
    <row r="11712" spans="1:12" x14ac:dyDescent="0.35">
      <c r="A11712" t="str">
        <f t="shared" si="4292"/>
        <v>USFFC</v>
      </c>
      <c r="B11712" t="str">
        <f t="shared" si="4293"/>
        <v>1562 MITSCHER AVE</v>
      </c>
      <c r="C11712" t="str">
        <f t="shared" si="4302"/>
        <v>SUITE 250</v>
      </c>
      <c r="D11712" t="str">
        <f t="shared" si="4295"/>
        <v>NORFOLK</v>
      </c>
      <c r="E11712" t="str">
        <f t="shared" si="4296"/>
        <v>VA</v>
      </c>
      <c r="F11712" t="str">
        <f t="shared" si="4297"/>
        <v>235512423</v>
      </c>
      <c r="G11712" t="str">
        <f>T("1562 MITSCHER AVE STE 250")</f>
        <v>1562 MITSCHER AVE STE 250</v>
      </c>
      <c r="H11712" t="str">
        <f>T("")</f>
        <v/>
      </c>
      <c r="I11712" t="str">
        <f t="shared" si="4299"/>
        <v>NORFOLK</v>
      </c>
      <c r="J11712" t="str">
        <f t="shared" si="4300"/>
        <v>VA</v>
      </c>
      <c r="K11712" t="str">
        <f>T("7578366713")</f>
        <v>7578366713</v>
      </c>
      <c r="L11712" t="str">
        <f>T("7578366850")</f>
        <v>7578366850</v>
      </c>
    </row>
    <row r="11713" spans="1:12" x14ac:dyDescent="0.35">
      <c r="A11713" t="str">
        <f t="shared" si="4292"/>
        <v>USFFC</v>
      </c>
      <c r="B11713" t="str">
        <f t="shared" si="4293"/>
        <v>1562 MITSCHER AVE</v>
      </c>
      <c r="C11713" t="str">
        <f t="shared" si="4302"/>
        <v>SUITE 250</v>
      </c>
      <c r="D11713" t="str">
        <f t="shared" si="4295"/>
        <v>NORFOLK</v>
      </c>
      <c r="E11713" t="str">
        <f t="shared" si="4296"/>
        <v>VA</v>
      </c>
      <c r="F11713" t="str">
        <f t="shared" si="4297"/>
        <v>235512423</v>
      </c>
      <c r="G11713" t="str">
        <f>T("1562 MITSCHER AVE STE 250")</f>
        <v>1562 MITSCHER AVE STE 250</v>
      </c>
      <c r="H11713" t="str">
        <f>T("")</f>
        <v/>
      </c>
      <c r="I11713" t="str">
        <f t="shared" si="4299"/>
        <v>NORFOLK</v>
      </c>
      <c r="J11713" t="str">
        <f t="shared" si="4300"/>
        <v>VA</v>
      </c>
      <c r="K11713" t="str">
        <f>T("7578366719")</f>
        <v>7578366719</v>
      </c>
      <c r="L11713" t="str">
        <f>T("7578362729")</f>
        <v>7578362729</v>
      </c>
    </row>
    <row r="11714" spans="1:12" x14ac:dyDescent="0.35">
      <c r="A11714" t="str">
        <f t="shared" si="4292"/>
        <v>USFFC</v>
      </c>
      <c r="B11714" t="str">
        <f t="shared" si="4293"/>
        <v>1562 MITSCHER AVE</v>
      </c>
      <c r="C11714" t="str">
        <f t="shared" si="4302"/>
        <v>SUITE 250</v>
      </c>
      <c r="D11714" t="str">
        <f t="shared" si="4295"/>
        <v>NORFOLK</v>
      </c>
      <c r="E11714" t="str">
        <f t="shared" si="4296"/>
        <v>VA</v>
      </c>
      <c r="F11714" t="str">
        <f>T("235512487")</f>
        <v>235512487</v>
      </c>
      <c r="G11714" t="str">
        <f>T("1562 MITSCHER AVE")</f>
        <v>1562 MITSCHER AVE</v>
      </c>
      <c r="H11714" t="str">
        <f>T("STE 250")</f>
        <v>STE 250</v>
      </c>
      <c r="I11714" t="str">
        <f t="shared" si="4299"/>
        <v>NORFOLK</v>
      </c>
      <c r="J11714" t="str">
        <f t="shared" si="4300"/>
        <v>VA</v>
      </c>
      <c r="K11714" t="str">
        <f>T("000000000000000000")</f>
        <v>000000000000000000</v>
      </c>
      <c r="L11714" t="str">
        <f>T("7578360944")</f>
        <v>7578360944</v>
      </c>
    </row>
    <row r="11715" spans="1:12" x14ac:dyDescent="0.35">
      <c r="A11715" t="str">
        <f t="shared" si="4292"/>
        <v>USFFC</v>
      </c>
      <c r="B11715" t="str">
        <f t="shared" si="4293"/>
        <v>1562 MITSCHER AVE</v>
      </c>
      <c r="C11715" t="str">
        <f t="shared" si="4302"/>
        <v>SUITE 250</v>
      </c>
      <c r="D11715" t="str">
        <f t="shared" si="4295"/>
        <v>NORFOLK</v>
      </c>
      <c r="E11715" t="str">
        <f t="shared" si="4296"/>
        <v>VA</v>
      </c>
      <c r="F11715" t="str">
        <f>T("235512487")</f>
        <v>235512487</v>
      </c>
      <c r="G11715" t="str">
        <f>T("1562 MITSCHER AVE")</f>
        <v>1562 MITSCHER AVE</v>
      </c>
      <c r="H11715" t="str">
        <f>T("SUITE 250")</f>
        <v>SUITE 250</v>
      </c>
      <c r="I11715" t="str">
        <f t="shared" si="4299"/>
        <v>NORFOLK</v>
      </c>
      <c r="J11715" t="str">
        <f t="shared" si="4300"/>
        <v>VA</v>
      </c>
      <c r="K11715" t="str">
        <f>T("")</f>
        <v/>
      </c>
      <c r="L11715" t="str">
        <f>T("7578363819")</f>
        <v>7578363819</v>
      </c>
    </row>
    <row r="11716" spans="1:12" x14ac:dyDescent="0.35">
      <c r="A11716" t="str">
        <f t="shared" si="4292"/>
        <v>USFFC</v>
      </c>
      <c r="B11716" t="str">
        <f t="shared" ref="B11716:B11744" si="4303">T("1562 MITSCHER AVE STE 250")</f>
        <v>1562 MITSCHER AVE STE 250</v>
      </c>
      <c r="C11716" t="str">
        <f t="shared" ref="C11716:C11731" si="4304">T("")</f>
        <v/>
      </c>
      <c r="D11716" t="str">
        <f t="shared" si="4295"/>
        <v>NORFOLK</v>
      </c>
      <c r="E11716" t="str">
        <f t="shared" si="4296"/>
        <v>VA</v>
      </c>
      <c r="F11716" t="str">
        <f t="shared" ref="F11716:F11727" si="4305">T("235512423")</f>
        <v>235512423</v>
      </c>
      <c r="G11716" t="str">
        <f>T("1562 MITSCHER AVE")</f>
        <v>1562 MITSCHER AVE</v>
      </c>
      <c r="H11716" t="str">
        <f>T("SUITE 250")</f>
        <v>SUITE 250</v>
      </c>
      <c r="I11716" t="str">
        <f t="shared" si="4299"/>
        <v>NORFOLK</v>
      </c>
      <c r="J11716" t="str">
        <f t="shared" si="4300"/>
        <v>VA</v>
      </c>
      <c r="K11716" t="str">
        <f>T("000000000000000000")</f>
        <v>000000000000000000</v>
      </c>
      <c r="L11716" t="str">
        <f>T("7573968766")</f>
        <v>7573968766</v>
      </c>
    </row>
    <row r="11717" spans="1:12" x14ac:dyDescent="0.35">
      <c r="A11717" t="str">
        <f t="shared" si="4292"/>
        <v>USFFC</v>
      </c>
      <c r="B11717" t="str">
        <f t="shared" si="4303"/>
        <v>1562 MITSCHER AVE STE 250</v>
      </c>
      <c r="C11717" t="str">
        <f t="shared" si="4304"/>
        <v/>
      </c>
      <c r="D11717" t="str">
        <f t="shared" si="4295"/>
        <v>NORFOLK</v>
      </c>
      <c r="E11717" t="str">
        <f t="shared" si="4296"/>
        <v>VA</v>
      </c>
      <c r="F11717" t="str">
        <f t="shared" si="4305"/>
        <v>235512423</v>
      </c>
      <c r="G11717" t="str">
        <f>T("1562 MITSCHER AVE")</f>
        <v>1562 MITSCHER AVE</v>
      </c>
      <c r="H11717" t="str">
        <f>T("SUITE 250")</f>
        <v>SUITE 250</v>
      </c>
      <c r="I11717" t="str">
        <f t="shared" si="4299"/>
        <v>NORFOLK</v>
      </c>
      <c r="J11717" t="str">
        <f t="shared" si="4300"/>
        <v>VA</v>
      </c>
      <c r="K11717" t="str">
        <f>T("000000000000000000")</f>
        <v>000000000000000000</v>
      </c>
      <c r="L11717" t="str">
        <f>T("7578363605")</f>
        <v>7578363605</v>
      </c>
    </row>
    <row r="11718" spans="1:12" x14ac:dyDescent="0.35">
      <c r="A11718" t="str">
        <f t="shared" si="4292"/>
        <v>USFFC</v>
      </c>
      <c r="B11718" t="str">
        <f t="shared" si="4303"/>
        <v>1562 MITSCHER AVE STE 250</v>
      </c>
      <c r="C11718" t="str">
        <f t="shared" si="4304"/>
        <v/>
      </c>
      <c r="D11718" t="str">
        <f t="shared" si="4295"/>
        <v>NORFOLK</v>
      </c>
      <c r="E11718" t="str">
        <f t="shared" si="4296"/>
        <v>VA</v>
      </c>
      <c r="F11718" t="str">
        <f t="shared" si="4305"/>
        <v>235512423</v>
      </c>
      <c r="G11718" t="str">
        <f t="shared" ref="G11718:G11726" si="4306">T("1562 MITSCHER AVE STE 250")</f>
        <v>1562 MITSCHER AVE STE 250</v>
      </c>
      <c r="H11718" t="str">
        <f t="shared" ref="H11718:H11727" si="4307">T("")</f>
        <v/>
      </c>
      <c r="I11718" t="str">
        <f t="shared" si="4299"/>
        <v>NORFOLK</v>
      </c>
      <c r="J11718" t="str">
        <f t="shared" si="4300"/>
        <v>VA</v>
      </c>
      <c r="K11718" t="str">
        <f>T("")</f>
        <v/>
      </c>
      <c r="L11718" t="str">
        <f>T("7574439609")</f>
        <v>7574439609</v>
      </c>
    </row>
    <row r="11719" spans="1:12" x14ac:dyDescent="0.35">
      <c r="A11719" t="str">
        <f t="shared" si="4292"/>
        <v>USFFC</v>
      </c>
      <c r="B11719" t="str">
        <f t="shared" si="4303"/>
        <v>1562 MITSCHER AVE STE 250</v>
      </c>
      <c r="C11719" t="str">
        <f t="shared" si="4304"/>
        <v/>
      </c>
      <c r="D11719" t="str">
        <f t="shared" si="4295"/>
        <v>NORFOLK</v>
      </c>
      <c r="E11719" t="str">
        <f t="shared" si="4296"/>
        <v>VA</v>
      </c>
      <c r="F11719" t="str">
        <f t="shared" si="4305"/>
        <v>235512423</v>
      </c>
      <c r="G11719" t="str">
        <f t="shared" si="4306"/>
        <v>1562 MITSCHER AVE STE 250</v>
      </c>
      <c r="H11719" t="str">
        <f t="shared" si="4307"/>
        <v/>
      </c>
      <c r="I11719" t="str">
        <f t="shared" si="4299"/>
        <v>NORFOLK</v>
      </c>
      <c r="J11719" t="str">
        <f t="shared" si="4300"/>
        <v>VA</v>
      </c>
      <c r="K11719" t="str">
        <f>T("")</f>
        <v/>
      </c>
      <c r="L11719" t="str">
        <f>T("7578362775")</f>
        <v>7578362775</v>
      </c>
    </row>
    <row r="11720" spans="1:12" x14ac:dyDescent="0.35">
      <c r="A11720" t="str">
        <f t="shared" si="4292"/>
        <v>USFFC</v>
      </c>
      <c r="B11720" t="str">
        <f t="shared" si="4303"/>
        <v>1562 MITSCHER AVE STE 250</v>
      </c>
      <c r="C11720" t="str">
        <f t="shared" si="4304"/>
        <v/>
      </c>
      <c r="D11720" t="str">
        <f t="shared" si="4295"/>
        <v>NORFOLK</v>
      </c>
      <c r="E11720" t="str">
        <f t="shared" si="4296"/>
        <v>VA</v>
      </c>
      <c r="F11720" t="str">
        <f t="shared" si="4305"/>
        <v>235512423</v>
      </c>
      <c r="G11720" t="str">
        <f t="shared" si="4306"/>
        <v>1562 MITSCHER AVE STE 250</v>
      </c>
      <c r="H11720" t="str">
        <f t="shared" si="4307"/>
        <v/>
      </c>
      <c r="I11720" t="str">
        <f t="shared" si="4299"/>
        <v>NORFOLK</v>
      </c>
      <c r="J11720" t="str">
        <f t="shared" si="4300"/>
        <v>VA</v>
      </c>
      <c r="K11720" t="str">
        <f>T("")</f>
        <v/>
      </c>
      <c r="L11720" t="str">
        <f>T("7578363630")</f>
        <v>7578363630</v>
      </c>
    </row>
    <row r="11721" spans="1:12" x14ac:dyDescent="0.35">
      <c r="A11721" t="str">
        <f t="shared" si="4292"/>
        <v>USFFC</v>
      </c>
      <c r="B11721" t="str">
        <f t="shared" si="4303"/>
        <v>1562 MITSCHER AVE STE 250</v>
      </c>
      <c r="C11721" t="str">
        <f t="shared" si="4304"/>
        <v/>
      </c>
      <c r="D11721" t="str">
        <f t="shared" si="4295"/>
        <v>NORFOLK</v>
      </c>
      <c r="E11721" t="str">
        <f t="shared" si="4296"/>
        <v>VA</v>
      </c>
      <c r="F11721" t="str">
        <f t="shared" si="4305"/>
        <v>235512423</v>
      </c>
      <c r="G11721" t="str">
        <f t="shared" si="4306"/>
        <v>1562 MITSCHER AVE STE 250</v>
      </c>
      <c r="H11721" t="str">
        <f t="shared" si="4307"/>
        <v/>
      </c>
      <c r="I11721" t="str">
        <f t="shared" si="4299"/>
        <v>NORFOLK</v>
      </c>
      <c r="J11721" t="str">
        <f t="shared" si="4300"/>
        <v>VA</v>
      </c>
      <c r="K11721" t="str">
        <f>T("000000000000000000")</f>
        <v>000000000000000000</v>
      </c>
      <c r="L11721" t="str">
        <f>T("7578362579")</f>
        <v>7578362579</v>
      </c>
    </row>
    <row r="11722" spans="1:12" x14ac:dyDescent="0.35">
      <c r="A11722" t="str">
        <f t="shared" si="4292"/>
        <v>USFFC</v>
      </c>
      <c r="B11722" t="str">
        <f t="shared" si="4303"/>
        <v>1562 MITSCHER AVE STE 250</v>
      </c>
      <c r="C11722" t="str">
        <f t="shared" si="4304"/>
        <v/>
      </c>
      <c r="D11722" t="str">
        <f t="shared" si="4295"/>
        <v>NORFOLK</v>
      </c>
      <c r="E11722" t="str">
        <f t="shared" si="4296"/>
        <v>VA</v>
      </c>
      <c r="F11722" t="str">
        <f t="shared" si="4305"/>
        <v>235512423</v>
      </c>
      <c r="G11722" t="str">
        <f t="shared" si="4306"/>
        <v>1562 MITSCHER AVE STE 250</v>
      </c>
      <c r="H11722" t="str">
        <f t="shared" si="4307"/>
        <v/>
      </c>
      <c r="I11722" t="str">
        <f t="shared" si="4299"/>
        <v>NORFOLK</v>
      </c>
      <c r="J11722" t="str">
        <f t="shared" si="4300"/>
        <v>VA</v>
      </c>
      <c r="K11722" t="str">
        <f>T("000000000000000000")</f>
        <v>000000000000000000</v>
      </c>
      <c r="L11722" t="str">
        <f>T("7578367250")</f>
        <v>7578367250</v>
      </c>
    </row>
    <row r="11723" spans="1:12" x14ac:dyDescent="0.35">
      <c r="A11723" t="str">
        <f t="shared" si="4292"/>
        <v>USFFC</v>
      </c>
      <c r="B11723" t="str">
        <f t="shared" si="4303"/>
        <v>1562 MITSCHER AVE STE 250</v>
      </c>
      <c r="C11723" t="str">
        <f t="shared" si="4304"/>
        <v/>
      </c>
      <c r="D11723" t="str">
        <f t="shared" si="4295"/>
        <v>NORFOLK</v>
      </c>
      <c r="E11723" t="str">
        <f t="shared" si="4296"/>
        <v>VA</v>
      </c>
      <c r="F11723" t="str">
        <f t="shared" si="4305"/>
        <v>235512423</v>
      </c>
      <c r="G11723" t="str">
        <f t="shared" si="4306"/>
        <v>1562 MITSCHER AVE STE 250</v>
      </c>
      <c r="H11723" t="str">
        <f t="shared" si="4307"/>
        <v/>
      </c>
      <c r="I11723" t="str">
        <f t="shared" si="4299"/>
        <v>NORFOLK</v>
      </c>
      <c r="J11723" t="str">
        <f t="shared" si="4300"/>
        <v>VA</v>
      </c>
      <c r="K11723" t="str">
        <f>T("7574458656")</f>
        <v>7574458656</v>
      </c>
      <c r="L11723" t="str">
        <f>T("7574447986")</f>
        <v>7574447986</v>
      </c>
    </row>
    <row r="11724" spans="1:12" x14ac:dyDescent="0.35">
      <c r="A11724" t="str">
        <f t="shared" si="4292"/>
        <v>USFFC</v>
      </c>
      <c r="B11724" t="str">
        <f t="shared" si="4303"/>
        <v>1562 MITSCHER AVE STE 250</v>
      </c>
      <c r="C11724" t="str">
        <f t="shared" si="4304"/>
        <v/>
      </c>
      <c r="D11724" t="str">
        <f t="shared" si="4295"/>
        <v>NORFOLK</v>
      </c>
      <c r="E11724" t="str">
        <f t="shared" si="4296"/>
        <v>VA</v>
      </c>
      <c r="F11724" t="str">
        <f t="shared" si="4305"/>
        <v>235512423</v>
      </c>
      <c r="G11724" t="str">
        <f t="shared" si="4306"/>
        <v>1562 MITSCHER AVE STE 250</v>
      </c>
      <c r="H11724" t="str">
        <f t="shared" si="4307"/>
        <v/>
      </c>
      <c r="I11724" t="str">
        <f t="shared" si="4299"/>
        <v>NORFOLK</v>
      </c>
      <c r="J11724" t="str">
        <f t="shared" si="4300"/>
        <v>VA</v>
      </c>
      <c r="K11724" t="str">
        <f>T("7574458656")</f>
        <v>7574458656</v>
      </c>
      <c r="L11724" t="str">
        <f>T("7574451597")</f>
        <v>7574451597</v>
      </c>
    </row>
    <row r="11725" spans="1:12" x14ac:dyDescent="0.35">
      <c r="A11725" t="str">
        <f t="shared" si="4292"/>
        <v>USFFC</v>
      </c>
      <c r="B11725" t="str">
        <f t="shared" si="4303"/>
        <v>1562 MITSCHER AVE STE 250</v>
      </c>
      <c r="C11725" t="str">
        <f t="shared" si="4304"/>
        <v/>
      </c>
      <c r="D11725" t="str">
        <f t="shared" si="4295"/>
        <v>NORFOLK</v>
      </c>
      <c r="E11725" t="str">
        <f t="shared" si="4296"/>
        <v>VA</v>
      </c>
      <c r="F11725" t="str">
        <f t="shared" si="4305"/>
        <v>235512423</v>
      </c>
      <c r="G11725" t="str">
        <f t="shared" si="4306"/>
        <v>1562 MITSCHER AVE STE 250</v>
      </c>
      <c r="H11725" t="str">
        <f t="shared" si="4307"/>
        <v/>
      </c>
      <c r="I11725" t="str">
        <f t="shared" si="4299"/>
        <v>NORFOLK</v>
      </c>
      <c r="J11725" t="str">
        <f t="shared" si="4300"/>
        <v>VA</v>
      </c>
      <c r="K11725" t="str">
        <f>T("7578364444")</f>
        <v>7578364444</v>
      </c>
      <c r="L11725" t="str">
        <f>T("7578365835")</f>
        <v>7578365835</v>
      </c>
    </row>
    <row r="11726" spans="1:12" x14ac:dyDescent="0.35">
      <c r="A11726" t="str">
        <f t="shared" si="4292"/>
        <v>USFFC</v>
      </c>
      <c r="B11726" t="str">
        <f t="shared" si="4303"/>
        <v>1562 MITSCHER AVE STE 250</v>
      </c>
      <c r="C11726" t="str">
        <f t="shared" si="4304"/>
        <v/>
      </c>
      <c r="D11726" t="str">
        <f t="shared" si="4295"/>
        <v>NORFOLK</v>
      </c>
      <c r="E11726" t="str">
        <f t="shared" si="4296"/>
        <v>VA</v>
      </c>
      <c r="F11726" t="str">
        <f t="shared" si="4305"/>
        <v>235512423</v>
      </c>
      <c r="G11726" t="str">
        <f t="shared" si="4306"/>
        <v>1562 MITSCHER AVE STE 250</v>
      </c>
      <c r="H11726" t="str">
        <f t="shared" si="4307"/>
        <v/>
      </c>
      <c r="I11726" t="str">
        <f t="shared" si="4299"/>
        <v>NORFOLK</v>
      </c>
      <c r="J11726" t="str">
        <f t="shared" si="4300"/>
        <v>VA</v>
      </c>
      <c r="K11726" t="str">
        <f>T("7578367782")</f>
        <v>7578367782</v>
      </c>
      <c r="L11726" t="str">
        <f>T("7578363800")</f>
        <v>7578363800</v>
      </c>
    </row>
    <row r="11727" spans="1:12" x14ac:dyDescent="0.35">
      <c r="A11727" t="str">
        <f t="shared" si="4292"/>
        <v>USFFC</v>
      </c>
      <c r="B11727" t="str">
        <f t="shared" si="4303"/>
        <v>1562 MITSCHER AVE STE 250</v>
      </c>
      <c r="C11727" t="str">
        <f t="shared" si="4304"/>
        <v/>
      </c>
      <c r="D11727" t="str">
        <f t="shared" si="4295"/>
        <v>NORFOLK</v>
      </c>
      <c r="E11727" t="str">
        <f t="shared" si="4296"/>
        <v>VA</v>
      </c>
      <c r="F11727" t="str">
        <f t="shared" si="4305"/>
        <v>235512423</v>
      </c>
      <c r="G11727" t="str">
        <f>T("1652 MITSCHER AVE STE 250")</f>
        <v>1652 MITSCHER AVE STE 250</v>
      </c>
      <c r="H11727" t="str">
        <f t="shared" si="4307"/>
        <v/>
      </c>
      <c r="I11727" t="str">
        <f t="shared" si="4299"/>
        <v>NORFOLK</v>
      </c>
      <c r="J11727" t="str">
        <f t="shared" si="4300"/>
        <v>VA</v>
      </c>
      <c r="K11727" t="str">
        <f>T("7578367782")</f>
        <v>7578367782</v>
      </c>
      <c r="L11727" t="str">
        <f>T("7578364861")</f>
        <v>7578364861</v>
      </c>
    </row>
    <row r="11728" spans="1:12" x14ac:dyDescent="0.35">
      <c r="A11728" t="str">
        <f t="shared" si="4292"/>
        <v>USFFC</v>
      </c>
      <c r="B11728" t="str">
        <f t="shared" si="4303"/>
        <v>1562 MITSCHER AVE STE 250</v>
      </c>
      <c r="C11728" t="str">
        <f t="shared" si="4304"/>
        <v/>
      </c>
      <c r="D11728" t="str">
        <f t="shared" si="4295"/>
        <v>NORFOLK</v>
      </c>
      <c r="E11728" t="str">
        <f t="shared" si="4296"/>
        <v>VA</v>
      </c>
      <c r="F11728" t="str">
        <f>T("235512487")</f>
        <v>235512487</v>
      </c>
      <c r="G11728" t="str">
        <f>T("1562 MITSCHER AVE")</f>
        <v>1562 MITSCHER AVE</v>
      </c>
      <c r="H11728" t="str">
        <f>T("SUITE 250")</f>
        <v>SUITE 250</v>
      </c>
      <c r="I11728" t="str">
        <f t="shared" si="4299"/>
        <v>NORFOLK</v>
      </c>
      <c r="J11728" t="str">
        <f t="shared" si="4300"/>
        <v>VA</v>
      </c>
      <c r="K11728" t="str">
        <f>T("000000000000000000")</f>
        <v>000000000000000000</v>
      </c>
      <c r="L11728" t="str">
        <f>T("7578365537")</f>
        <v>7578365537</v>
      </c>
    </row>
    <row r="11729" spans="1:12" x14ac:dyDescent="0.35">
      <c r="A11729" t="str">
        <f t="shared" ref="A11729:A11751" si="4308">T("USFFC")</f>
        <v>USFFC</v>
      </c>
      <c r="B11729" t="str">
        <f t="shared" si="4303"/>
        <v>1562 MITSCHER AVE STE 250</v>
      </c>
      <c r="C11729" t="str">
        <f t="shared" si="4304"/>
        <v/>
      </c>
      <c r="D11729" t="str">
        <f t="shared" si="4295"/>
        <v>NORFOLK</v>
      </c>
      <c r="E11729" t="str">
        <f t="shared" si="4296"/>
        <v>VA</v>
      </c>
      <c r="F11729" t="str">
        <f>T("235512487")</f>
        <v>235512487</v>
      </c>
      <c r="G11729" t="str">
        <f>T("1562 MITSCHER AVE")</f>
        <v>1562 MITSCHER AVE</v>
      </c>
      <c r="H11729" t="str">
        <f>T("SUITE 250")</f>
        <v>SUITE 250</v>
      </c>
      <c r="I11729" t="str">
        <f t="shared" si="4299"/>
        <v>NORFOLK</v>
      </c>
      <c r="J11729" t="str">
        <f t="shared" si="4300"/>
        <v>VA</v>
      </c>
      <c r="K11729" t="str">
        <f>T("7578363570")</f>
        <v>7578363570</v>
      </c>
      <c r="L11729" t="str">
        <f>T("7578365961")</f>
        <v>7578365961</v>
      </c>
    </row>
    <row r="11730" spans="1:12" x14ac:dyDescent="0.35">
      <c r="A11730" t="str">
        <f t="shared" si="4308"/>
        <v>USFFC</v>
      </c>
      <c r="B11730" t="str">
        <f t="shared" si="4303"/>
        <v>1562 MITSCHER AVE STE 250</v>
      </c>
      <c r="C11730" t="str">
        <f t="shared" si="4304"/>
        <v/>
      </c>
      <c r="D11730" t="str">
        <f t="shared" si="4295"/>
        <v>NORFOLK</v>
      </c>
      <c r="E11730" t="str">
        <f t="shared" si="4296"/>
        <v>VA</v>
      </c>
      <c r="F11730" t="str">
        <f>T("235512487")</f>
        <v>235512487</v>
      </c>
      <c r="G11730" t="str">
        <f>T("1562 MITSCHER AVE STE 250")</f>
        <v>1562 MITSCHER AVE STE 250</v>
      </c>
      <c r="H11730" t="str">
        <f>T("")</f>
        <v/>
      </c>
      <c r="I11730" t="str">
        <f t="shared" si="4299"/>
        <v>NORFOLK</v>
      </c>
      <c r="J11730" t="str">
        <f t="shared" si="4300"/>
        <v>VA</v>
      </c>
      <c r="K11730" t="str">
        <f>T("000000000000000000")</f>
        <v>000000000000000000</v>
      </c>
      <c r="L11730" t="str">
        <f>T("7578365683")</f>
        <v>7578365683</v>
      </c>
    </row>
    <row r="11731" spans="1:12" x14ac:dyDescent="0.35">
      <c r="A11731" t="str">
        <f t="shared" si="4308"/>
        <v>USFFC</v>
      </c>
      <c r="B11731" t="str">
        <f t="shared" si="4303"/>
        <v>1562 MITSCHER AVE STE 250</v>
      </c>
      <c r="C11731" t="str">
        <f t="shared" si="4304"/>
        <v/>
      </c>
      <c r="D11731" t="str">
        <f t="shared" si="4295"/>
        <v>NORFOLK</v>
      </c>
      <c r="E11731" t="str">
        <f t="shared" si="4296"/>
        <v>VA</v>
      </c>
      <c r="F11731" t="str">
        <f>T("235512487")</f>
        <v>235512487</v>
      </c>
      <c r="G11731" t="str">
        <f>T("1562 MITSCHER AVE STE 250")</f>
        <v>1562 MITSCHER AVE STE 250</v>
      </c>
      <c r="H11731" t="str">
        <f>T("")</f>
        <v/>
      </c>
      <c r="I11731" t="str">
        <f t="shared" si="4299"/>
        <v>NORFOLK</v>
      </c>
      <c r="J11731" t="str">
        <f t="shared" si="4300"/>
        <v>VA</v>
      </c>
      <c r="K11731" t="str">
        <f>T("7578363570")</f>
        <v>7578363570</v>
      </c>
      <c r="L11731" t="str">
        <f>T("7578365962")</f>
        <v>7578365962</v>
      </c>
    </row>
    <row r="11732" spans="1:12" x14ac:dyDescent="0.35">
      <c r="A11732" t="str">
        <f t="shared" si="4308"/>
        <v>USFFC</v>
      </c>
      <c r="B11732" t="str">
        <f t="shared" si="4303"/>
        <v>1562 MITSCHER AVE STE 250</v>
      </c>
      <c r="C11732" t="str">
        <f t="shared" ref="C11732:C11738" si="4309">T("CODE N004")</f>
        <v>CODE N004</v>
      </c>
      <c r="D11732" t="str">
        <f t="shared" si="4295"/>
        <v>NORFOLK</v>
      </c>
      <c r="E11732" t="str">
        <f t="shared" si="4296"/>
        <v>VA</v>
      </c>
      <c r="F11732" t="str">
        <f t="shared" ref="F11732:F11744" si="4310">T("235512423")</f>
        <v>235512423</v>
      </c>
      <c r="G11732" t="str">
        <f>T("1562 MITSCHER AVE")</f>
        <v>1562 MITSCHER AVE</v>
      </c>
      <c r="H11732" t="str">
        <f>T("SUITE 250")</f>
        <v>SUITE 250</v>
      </c>
      <c r="I11732" t="str">
        <f t="shared" si="4299"/>
        <v>NORFOLK</v>
      </c>
      <c r="J11732" t="str">
        <f t="shared" si="4300"/>
        <v>VA</v>
      </c>
      <c r="K11732" t="str">
        <f>T("000000000000000000")</f>
        <v>000000000000000000</v>
      </c>
      <c r="L11732" t="str">
        <f>T("7574444534")</f>
        <v>7574444534</v>
      </c>
    </row>
    <row r="11733" spans="1:12" x14ac:dyDescent="0.35">
      <c r="A11733" t="str">
        <f t="shared" si="4308"/>
        <v>USFFC</v>
      </c>
      <c r="B11733" t="str">
        <f t="shared" si="4303"/>
        <v>1562 MITSCHER AVE STE 250</v>
      </c>
      <c r="C11733" t="str">
        <f t="shared" si="4309"/>
        <v>CODE N004</v>
      </c>
      <c r="D11733" t="str">
        <f t="shared" si="4295"/>
        <v>NORFOLK</v>
      </c>
      <c r="E11733" t="str">
        <f t="shared" si="4296"/>
        <v>VA</v>
      </c>
      <c r="F11733" t="str">
        <f t="shared" si="4310"/>
        <v>235512423</v>
      </c>
      <c r="G11733" t="str">
        <f>T("1562 MITSCHER AVE")</f>
        <v>1562 MITSCHER AVE</v>
      </c>
      <c r="H11733" t="str">
        <f>T("SUITE 250")</f>
        <v>SUITE 250</v>
      </c>
      <c r="I11733" t="str">
        <f t="shared" si="4299"/>
        <v>NORFOLK</v>
      </c>
      <c r="J11733" t="str">
        <f t="shared" si="4300"/>
        <v>VA</v>
      </c>
      <c r="K11733" t="str">
        <f>T("000000000000000000")</f>
        <v>000000000000000000</v>
      </c>
      <c r="L11733" t="str">
        <f>T("7578364779")</f>
        <v>7578364779</v>
      </c>
    </row>
    <row r="11734" spans="1:12" x14ac:dyDescent="0.35">
      <c r="A11734" t="str">
        <f t="shared" si="4308"/>
        <v>USFFC</v>
      </c>
      <c r="B11734" t="str">
        <f t="shared" si="4303"/>
        <v>1562 MITSCHER AVE STE 250</v>
      </c>
      <c r="C11734" t="str">
        <f t="shared" si="4309"/>
        <v>CODE N004</v>
      </c>
      <c r="D11734" t="str">
        <f t="shared" si="4295"/>
        <v>NORFOLK</v>
      </c>
      <c r="E11734" t="str">
        <f t="shared" si="4296"/>
        <v>VA</v>
      </c>
      <c r="F11734" t="str">
        <f t="shared" si="4310"/>
        <v>235512423</v>
      </c>
      <c r="G11734" t="str">
        <f>T("1562 MITSCHER AVE")</f>
        <v>1562 MITSCHER AVE</v>
      </c>
      <c r="H11734" t="str">
        <f>T("SUITE 250")</f>
        <v>SUITE 250</v>
      </c>
      <c r="I11734" t="str">
        <f t="shared" si="4299"/>
        <v>NORFOLK</v>
      </c>
      <c r="J11734" t="str">
        <f t="shared" si="4300"/>
        <v>VA</v>
      </c>
      <c r="K11734" t="str">
        <f>T("000000000000000000")</f>
        <v>000000000000000000</v>
      </c>
      <c r="L11734" t="str">
        <f>T("7578365124")</f>
        <v>7578365124</v>
      </c>
    </row>
    <row r="11735" spans="1:12" x14ac:dyDescent="0.35">
      <c r="A11735" t="str">
        <f t="shared" si="4308"/>
        <v>USFFC</v>
      </c>
      <c r="B11735" t="str">
        <f t="shared" si="4303"/>
        <v>1562 MITSCHER AVE STE 250</v>
      </c>
      <c r="C11735" t="str">
        <f t="shared" si="4309"/>
        <v>CODE N004</v>
      </c>
      <c r="D11735" t="str">
        <f t="shared" si="4295"/>
        <v>NORFOLK</v>
      </c>
      <c r="E11735" t="str">
        <f t="shared" si="4296"/>
        <v>VA</v>
      </c>
      <c r="F11735" t="str">
        <f t="shared" si="4310"/>
        <v>235512423</v>
      </c>
      <c r="G11735" t="str">
        <f t="shared" ref="G11735:G11740" si="4311">T("1562 MITSCHER AVE STE 250")</f>
        <v>1562 MITSCHER AVE STE 250</v>
      </c>
      <c r="H11735" t="str">
        <f>T("")</f>
        <v/>
      </c>
      <c r="I11735" t="str">
        <f t="shared" si="4299"/>
        <v>NORFOLK</v>
      </c>
      <c r="J11735" t="str">
        <f t="shared" si="4300"/>
        <v>VA</v>
      </c>
      <c r="K11735" t="str">
        <f>T("000000000000000000")</f>
        <v>000000000000000000</v>
      </c>
      <c r="L11735" t="str">
        <f>T("7574444534")</f>
        <v>7574444534</v>
      </c>
    </row>
    <row r="11736" spans="1:12" x14ac:dyDescent="0.35">
      <c r="A11736" t="str">
        <f t="shared" si="4308"/>
        <v>USFFC</v>
      </c>
      <c r="B11736" t="str">
        <f t="shared" si="4303"/>
        <v>1562 MITSCHER AVE STE 250</v>
      </c>
      <c r="C11736" t="str">
        <f t="shared" si="4309"/>
        <v>CODE N004</v>
      </c>
      <c r="D11736" t="str">
        <f t="shared" si="4295"/>
        <v>NORFOLK</v>
      </c>
      <c r="E11736" t="str">
        <f t="shared" si="4296"/>
        <v>VA</v>
      </c>
      <c r="F11736" t="str">
        <f t="shared" si="4310"/>
        <v>235512423</v>
      </c>
      <c r="G11736" t="str">
        <f t="shared" si="4311"/>
        <v>1562 MITSCHER AVE STE 250</v>
      </c>
      <c r="H11736" t="str">
        <f>T("")</f>
        <v/>
      </c>
      <c r="I11736" t="str">
        <f t="shared" si="4299"/>
        <v>NORFOLK</v>
      </c>
      <c r="J11736" t="str">
        <f t="shared" si="4300"/>
        <v>VA</v>
      </c>
      <c r="K11736" t="str">
        <f>T("7578365887")</f>
        <v>7578365887</v>
      </c>
      <c r="L11736" t="str">
        <f>T("7578363654")</f>
        <v>7578363654</v>
      </c>
    </row>
    <row r="11737" spans="1:12" x14ac:dyDescent="0.35">
      <c r="A11737" t="str">
        <f t="shared" si="4308"/>
        <v>USFFC</v>
      </c>
      <c r="B11737" t="str">
        <f t="shared" si="4303"/>
        <v>1562 MITSCHER AVE STE 250</v>
      </c>
      <c r="C11737" t="str">
        <f t="shared" si="4309"/>
        <v>CODE N004</v>
      </c>
      <c r="D11737" t="str">
        <f t="shared" si="4295"/>
        <v>NORFOLK</v>
      </c>
      <c r="E11737" t="str">
        <f t="shared" si="4296"/>
        <v>VA</v>
      </c>
      <c r="F11737" t="str">
        <f t="shared" si="4310"/>
        <v>235512423</v>
      </c>
      <c r="G11737" t="str">
        <f t="shared" si="4311"/>
        <v>1562 MITSCHER AVE STE 250</v>
      </c>
      <c r="H11737" t="str">
        <f>T("")</f>
        <v/>
      </c>
      <c r="I11737" t="str">
        <f t="shared" si="4299"/>
        <v>NORFOLK</v>
      </c>
      <c r="J11737" t="str">
        <f t="shared" si="4300"/>
        <v>VA</v>
      </c>
      <c r="K11737" t="str">
        <f>T("7578366998")</f>
        <v>7578366998</v>
      </c>
      <c r="L11737" t="str">
        <f>T("7578366885")</f>
        <v>7578366885</v>
      </c>
    </row>
    <row r="11738" spans="1:12" x14ac:dyDescent="0.35">
      <c r="A11738" t="str">
        <f t="shared" si="4308"/>
        <v>USFFC</v>
      </c>
      <c r="B11738" t="str">
        <f t="shared" si="4303"/>
        <v>1562 MITSCHER AVE STE 250</v>
      </c>
      <c r="C11738" t="str">
        <f t="shared" si="4309"/>
        <v>CODE N004</v>
      </c>
      <c r="D11738" t="str">
        <f t="shared" si="4295"/>
        <v>NORFOLK</v>
      </c>
      <c r="E11738" t="str">
        <f t="shared" si="4296"/>
        <v>VA</v>
      </c>
      <c r="F11738" t="str">
        <f t="shared" si="4310"/>
        <v>235512423</v>
      </c>
      <c r="G11738" t="str">
        <f t="shared" si="4311"/>
        <v>1562 MITSCHER AVE STE 250</v>
      </c>
      <c r="H11738" t="str">
        <f>T("CODE N004")</f>
        <v>CODE N004</v>
      </c>
      <c r="I11738" t="str">
        <f t="shared" si="4299"/>
        <v>NORFOLK</v>
      </c>
      <c r="J11738" t="str">
        <f t="shared" si="4300"/>
        <v>VA</v>
      </c>
      <c r="K11738" t="str">
        <f>T("7578365887")</f>
        <v>7578365887</v>
      </c>
      <c r="L11738" t="str">
        <f>T("7578363642")</f>
        <v>7578363642</v>
      </c>
    </row>
    <row r="11739" spans="1:12" x14ac:dyDescent="0.35">
      <c r="A11739" t="str">
        <f t="shared" si="4308"/>
        <v>USFFC</v>
      </c>
      <c r="B11739" t="str">
        <f t="shared" si="4303"/>
        <v>1562 MITSCHER AVE STE 250</v>
      </c>
      <c r="C11739" t="str">
        <f>T("CODE N3/5/7")</f>
        <v>CODE N3/5/7</v>
      </c>
      <c r="D11739" t="str">
        <f t="shared" si="4295"/>
        <v>NORFOLK</v>
      </c>
      <c r="E11739" t="str">
        <f t="shared" si="4296"/>
        <v>VA</v>
      </c>
      <c r="F11739" t="str">
        <f t="shared" si="4310"/>
        <v>235512423</v>
      </c>
      <c r="G11739" t="str">
        <f t="shared" si="4311"/>
        <v>1562 MITSCHER AVE STE 250</v>
      </c>
      <c r="H11739" t="str">
        <f>T("")</f>
        <v/>
      </c>
      <c r="I11739" t="str">
        <f t="shared" si="4299"/>
        <v>NORFOLK</v>
      </c>
      <c r="J11739" t="str">
        <f t="shared" si="4300"/>
        <v>VA</v>
      </c>
      <c r="K11739" t="str">
        <f>T("7578360905")</f>
        <v>7578360905</v>
      </c>
      <c r="L11739" t="str">
        <f>T("7578363547")</f>
        <v>7578363547</v>
      </c>
    </row>
    <row r="11740" spans="1:12" x14ac:dyDescent="0.35">
      <c r="A11740" t="str">
        <f t="shared" si="4308"/>
        <v>USFFC</v>
      </c>
      <c r="B11740" t="str">
        <f t="shared" si="4303"/>
        <v>1562 MITSCHER AVE STE 250</v>
      </c>
      <c r="C11740" t="str">
        <f>T("CODE N3/5/7")</f>
        <v>CODE N3/5/7</v>
      </c>
      <c r="D11740" t="str">
        <f t="shared" si="4295"/>
        <v>NORFOLK</v>
      </c>
      <c r="E11740" t="str">
        <f t="shared" si="4296"/>
        <v>VA</v>
      </c>
      <c r="F11740" t="str">
        <f t="shared" si="4310"/>
        <v>235512423</v>
      </c>
      <c r="G11740" t="str">
        <f t="shared" si="4311"/>
        <v>1562 MITSCHER AVE STE 250</v>
      </c>
      <c r="H11740" t="str">
        <f>T("CODE N3/5/7")</f>
        <v>CODE N3/5/7</v>
      </c>
      <c r="I11740" t="str">
        <f t="shared" si="4299"/>
        <v>NORFOLK</v>
      </c>
      <c r="J11740" t="str">
        <f t="shared" si="4300"/>
        <v>VA</v>
      </c>
      <c r="K11740" t="str">
        <f>T("")</f>
        <v/>
      </c>
      <c r="L11740" t="str">
        <f>T("7578365612")</f>
        <v>7578365612</v>
      </c>
    </row>
    <row r="11741" spans="1:12" x14ac:dyDescent="0.35">
      <c r="A11741" t="str">
        <f t="shared" si="4308"/>
        <v>USFFC</v>
      </c>
      <c r="B11741" t="str">
        <f t="shared" si="4303"/>
        <v>1562 MITSCHER AVE STE 250</v>
      </c>
      <c r="C11741" t="str">
        <f>T("N143")</f>
        <v>N143</v>
      </c>
      <c r="D11741" t="str">
        <f t="shared" si="4295"/>
        <v>NORFOLK</v>
      </c>
      <c r="E11741" t="str">
        <f t="shared" si="4296"/>
        <v>VA</v>
      </c>
      <c r="F11741" t="str">
        <f t="shared" si="4310"/>
        <v>235512423</v>
      </c>
      <c r="G11741" t="str">
        <f>T("1562 MISTCHER AVE STE 250")</f>
        <v>1562 MISTCHER AVE STE 250</v>
      </c>
      <c r="H11741" t="str">
        <f>T("")</f>
        <v/>
      </c>
      <c r="I11741" t="str">
        <f t="shared" si="4299"/>
        <v>NORFOLK</v>
      </c>
      <c r="J11741" t="str">
        <f t="shared" si="4300"/>
        <v>VA</v>
      </c>
      <c r="K11741" t="str">
        <f>T("000000000000000000")</f>
        <v>000000000000000000</v>
      </c>
      <c r="L11741" t="str">
        <f>T("7578367983")</f>
        <v>7578367983</v>
      </c>
    </row>
    <row r="11742" spans="1:12" x14ac:dyDescent="0.35">
      <c r="A11742" t="str">
        <f t="shared" si="4308"/>
        <v>USFFC</v>
      </c>
      <c r="B11742" t="str">
        <f t="shared" si="4303"/>
        <v>1562 MITSCHER AVE STE 250</v>
      </c>
      <c r="C11742" t="str">
        <f>T("N143")</f>
        <v>N143</v>
      </c>
      <c r="D11742" t="str">
        <f t="shared" si="4295"/>
        <v>NORFOLK</v>
      </c>
      <c r="E11742" t="str">
        <f t="shared" si="4296"/>
        <v>VA</v>
      </c>
      <c r="F11742" t="str">
        <f t="shared" si="4310"/>
        <v>235512423</v>
      </c>
      <c r="G11742" t="str">
        <f>T("1562 MITSCHER AVE")</f>
        <v>1562 MITSCHER AVE</v>
      </c>
      <c r="H11742" t="str">
        <f>T("SUITE 250")</f>
        <v>SUITE 250</v>
      </c>
      <c r="I11742" t="str">
        <f t="shared" si="4299"/>
        <v>NORFOLK</v>
      </c>
      <c r="J11742" t="str">
        <f t="shared" si="4300"/>
        <v>VA</v>
      </c>
      <c r="K11742" t="str">
        <f>T("000000000000000000")</f>
        <v>000000000000000000</v>
      </c>
      <c r="L11742" t="str">
        <f>T("7578364843")</f>
        <v>7578364843</v>
      </c>
    </row>
    <row r="11743" spans="1:12" x14ac:dyDescent="0.35">
      <c r="A11743" t="str">
        <f t="shared" si="4308"/>
        <v>USFFC</v>
      </c>
      <c r="B11743" t="str">
        <f t="shared" si="4303"/>
        <v>1562 MITSCHER AVE STE 250</v>
      </c>
      <c r="C11743" t="str">
        <f>T("N143")</f>
        <v>N143</v>
      </c>
      <c r="D11743" t="str">
        <f t="shared" si="4295"/>
        <v>NORFOLK</v>
      </c>
      <c r="E11743" t="str">
        <f t="shared" si="4296"/>
        <v>VA</v>
      </c>
      <c r="F11743" t="str">
        <f t="shared" si="4310"/>
        <v>235512423</v>
      </c>
      <c r="G11743" t="str">
        <f>T("1562 MITSCHER AVE STE 250")</f>
        <v>1562 MITSCHER AVE STE 250</v>
      </c>
      <c r="H11743" t="str">
        <f>T("")</f>
        <v/>
      </c>
      <c r="I11743" t="str">
        <f t="shared" si="4299"/>
        <v>NORFOLK</v>
      </c>
      <c r="J11743" t="str">
        <f t="shared" si="4300"/>
        <v>VA</v>
      </c>
      <c r="K11743" t="str">
        <f>T("7578366234")</f>
        <v>7578366234</v>
      </c>
      <c r="L11743" t="str">
        <f>T("7578363318")</f>
        <v>7578363318</v>
      </c>
    </row>
    <row r="11744" spans="1:12" x14ac:dyDescent="0.35">
      <c r="A11744" t="str">
        <f t="shared" si="4308"/>
        <v>USFFC</v>
      </c>
      <c r="B11744" t="str">
        <f t="shared" si="4303"/>
        <v>1562 MITSCHER AVE STE 250</v>
      </c>
      <c r="C11744" t="str">
        <f>T("N143")</f>
        <v>N143</v>
      </c>
      <c r="D11744" t="str">
        <f t="shared" si="4295"/>
        <v>NORFOLK</v>
      </c>
      <c r="E11744" t="str">
        <f t="shared" si="4296"/>
        <v>VA</v>
      </c>
      <c r="F11744" t="str">
        <f t="shared" si="4310"/>
        <v>235512423</v>
      </c>
      <c r="G11744" t="str">
        <f>T("1562 MITSCHER AVE STE 250")</f>
        <v>1562 MITSCHER AVE STE 250</v>
      </c>
      <c r="H11744" t="str">
        <f>T("N143")</f>
        <v>N143</v>
      </c>
      <c r="I11744" t="str">
        <f t="shared" si="4299"/>
        <v>NORFOLK</v>
      </c>
      <c r="J11744" t="str">
        <f t="shared" si="4300"/>
        <v>VA</v>
      </c>
      <c r="K11744" t="str">
        <f>T("7578363844")</f>
        <v>7578363844</v>
      </c>
      <c r="L11744" t="str">
        <f>T("7578360497")</f>
        <v>7578360497</v>
      </c>
    </row>
    <row r="11745" spans="1:12" x14ac:dyDescent="0.35">
      <c r="A11745" t="str">
        <f t="shared" si="4308"/>
        <v>USFFC</v>
      </c>
      <c r="B11745" t="str">
        <f>T("33077 PING PLACE")</f>
        <v>33077 PING PLACE</v>
      </c>
      <c r="C11745" t="str">
        <f>T("SUITE 204")</f>
        <v>SUITE 204</v>
      </c>
      <c r="D11745" t="str">
        <f>T("SAN DIEGO")</f>
        <v>SAN DIEGO</v>
      </c>
      <c r="E11745" t="str">
        <f>T("CA")</f>
        <v>CA</v>
      </c>
      <c r="F11745" t="str">
        <f>T("921475202")</f>
        <v>921475202</v>
      </c>
      <c r="G11745" t="str">
        <f>T("33077 PING PLACE")</f>
        <v>33077 PING PLACE</v>
      </c>
      <c r="H11745" t="str">
        <f>T("SUITE 204")</f>
        <v>SUITE 204</v>
      </c>
      <c r="I11745" t="str">
        <f>T("SAN DIEGO")</f>
        <v>SAN DIEGO</v>
      </c>
      <c r="J11745" t="str">
        <f>T("CA")</f>
        <v>CA</v>
      </c>
      <c r="K11745" t="str">
        <f>T("6195241029")</f>
        <v>6195241029</v>
      </c>
      <c r="L11745" t="str">
        <f>T("6195240143")</f>
        <v>6195240143</v>
      </c>
    </row>
    <row r="11746" spans="1:12" x14ac:dyDescent="0.35">
      <c r="A11746" t="str">
        <f t="shared" si="4308"/>
        <v>USFFC</v>
      </c>
      <c r="B11746" t="str">
        <f>T("33077 PING PLACE")</f>
        <v>33077 PING PLACE</v>
      </c>
      <c r="C11746" t="str">
        <f>T("SUITE 204")</f>
        <v>SUITE 204</v>
      </c>
      <c r="D11746" t="str">
        <f>T("SAN DIEGO")</f>
        <v>SAN DIEGO</v>
      </c>
      <c r="E11746" t="str">
        <f>T("CA")</f>
        <v>CA</v>
      </c>
      <c r="F11746" t="str">
        <f>T("921475202")</f>
        <v>921475202</v>
      </c>
      <c r="G11746" t="str">
        <f>T("3620 3RD AVE")</f>
        <v>3620 3RD AVE</v>
      </c>
      <c r="H11746" t="str">
        <f>T("UNIT 105")</f>
        <v>UNIT 105</v>
      </c>
      <c r="I11746" t="str">
        <f>T("SAN DIEGO")</f>
        <v>SAN DIEGO</v>
      </c>
      <c r="J11746" t="str">
        <f>T("CA")</f>
        <v>CA</v>
      </c>
      <c r="K11746" t="str">
        <f>T("6195241214/0701")</f>
        <v>6195241214/0701</v>
      </c>
      <c r="L11746" t="str">
        <f>T("6195245319")</f>
        <v>6195245319</v>
      </c>
    </row>
    <row r="11747" spans="1:12" x14ac:dyDescent="0.35">
      <c r="A11747" t="str">
        <f t="shared" si="4308"/>
        <v>USFFC</v>
      </c>
      <c r="B11747" t="str">
        <f>T("PSC 831 BOX 32")</f>
        <v>PSC 831 BOX 32</v>
      </c>
      <c r="C11747" t="str">
        <f>T("")</f>
        <v/>
      </c>
      <c r="D11747" t="str">
        <f>T("FPO")</f>
        <v>FPO</v>
      </c>
      <c r="E11747" t="str">
        <f>T("AE")</f>
        <v>AE</v>
      </c>
      <c r="F11747" t="str">
        <f>T("093630001")</f>
        <v>093630001</v>
      </c>
      <c r="G11747" t="str">
        <f>T("CJTF HOA")</f>
        <v>CJTF HOA</v>
      </c>
      <c r="H11747" t="str">
        <f>T("PSC 831 BOX 32")</f>
        <v>PSC 831 BOX 32</v>
      </c>
      <c r="I11747" t="str">
        <f>T("FPO")</f>
        <v>FPO</v>
      </c>
      <c r="J11747" t="str">
        <f>T("AE")</f>
        <v>AE</v>
      </c>
      <c r="K11747" t="str">
        <f t="shared" ref="K11747:K11756" si="4312">T("000000000000000000")</f>
        <v>000000000000000000</v>
      </c>
      <c r="L11747" t="str">
        <f>T("3118245265")</f>
        <v>3118245265</v>
      </c>
    </row>
    <row r="11748" spans="1:12" x14ac:dyDescent="0.35">
      <c r="A11748" t="str">
        <f t="shared" si="4308"/>
        <v>USFFC</v>
      </c>
      <c r="B11748" t="str">
        <f>T("PSC 831 BOX 32")</f>
        <v>PSC 831 BOX 32</v>
      </c>
      <c r="C11748" t="str">
        <f>T("")</f>
        <v/>
      </c>
      <c r="D11748" t="str">
        <f>T("FPO")</f>
        <v>FPO</v>
      </c>
      <c r="E11748" t="str">
        <f>T("AE")</f>
        <v>AE</v>
      </c>
      <c r="F11748" t="str">
        <f>T("093630001")</f>
        <v>093630001</v>
      </c>
      <c r="G11748" t="str">
        <f>T("PSC 831")</f>
        <v>PSC 831</v>
      </c>
      <c r="H11748" t="str">
        <f>T("")</f>
        <v/>
      </c>
      <c r="I11748" t="str">
        <f>T("FPO")</f>
        <v>FPO</v>
      </c>
      <c r="J11748" t="str">
        <f>T("AE")</f>
        <v>AE</v>
      </c>
      <c r="K11748" t="str">
        <f t="shared" si="4312"/>
        <v>000000000000000000</v>
      </c>
      <c r="L11748" t="str">
        <f>T("3118244090")</f>
        <v>3118244090</v>
      </c>
    </row>
    <row r="11749" spans="1:12" x14ac:dyDescent="0.35">
      <c r="A11749" t="str">
        <f t="shared" si="4308"/>
        <v>USFFC</v>
      </c>
      <c r="B11749" t="str">
        <f>T("PSC 831 BOX 32")</f>
        <v>PSC 831 BOX 32</v>
      </c>
      <c r="C11749" t="str">
        <f>T("")</f>
        <v/>
      </c>
      <c r="D11749" t="str">
        <f>T("FPO")</f>
        <v>FPO</v>
      </c>
      <c r="E11749" t="str">
        <f>T("AE")</f>
        <v>AE</v>
      </c>
      <c r="F11749" t="str">
        <f>T("093630001")</f>
        <v>093630001</v>
      </c>
      <c r="G11749" t="str">
        <f>T("PSC 831 BOX 003")</f>
        <v>PSC 831 BOX 003</v>
      </c>
      <c r="H11749" t="str">
        <f>T("")</f>
        <v/>
      </c>
      <c r="I11749" t="str">
        <f>T("FPO")</f>
        <v>FPO</v>
      </c>
      <c r="J11749" t="str">
        <f>T("AE")</f>
        <v>AE</v>
      </c>
      <c r="K11749" t="str">
        <f t="shared" si="4312"/>
        <v>000000000000000000</v>
      </c>
      <c r="L11749" t="str">
        <f>T("3118244090")</f>
        <v>3118244090</v>
      </c>
    </row>
    <row r="11750" spans="1:12" x14ac:dyDescent="0.35">
      <c r="A11750" t="str">
        <f t="shared" si="4308"/>
        <v>USFFC</v>
      </c>
      <c r="B11750" t="str">
        <f>T("PSC 831 BOX 32")</f>
        <v>PSC 831 BOX 32</v>
      </c>
      <c r="C11750" t="str">
        <f>T("")</f>
        <v/>
      </c>
      <c r="D11750" t="str">
        <f>T("FPO")</f>
        <v>FPO</v>
      </c>
      <c r="E11750" t="str">
        <f>T("AE")</f>
        <v>AE</v>
      </c>
      <c r="F11750" t="str">
        <f>T("093630001")</f>
        <v>093630001</v>
      </c>
      <c r="G11750" t="str">
        <f>T("PSC 831 BOX 32")</f>
        <v>PSC 831 BOX 32</v>
      </c>
      <c r="H11750" t="str">
        <f>T("")</f>
        <v/>
      </c>
      <c r="I11750" t="str">
        <f>T("FPO")</f>
        <v>FPO</v>
      </c>
      <c r="J11750" t="str">
        <f>T("AE")</f>
        <v>AE</v>
      </c>
      <c r="K11750" t="str">
        <f t="shared" si="4312"/>
        <v>000000000000000000</v>
      </c>
      <c r="L11750" t="str">
        <f>T("3118244090")</f>
        <v>3118244090</v>
      </c>
    </row>
    <row r="11751" spans="1:12" x14ac:dyDescent="0.35">
      <c r="A11751" t="str">
        <f t="shared" si="4308"/>
        <v>USFFC</v>
      </c>
      <c r="B11751" t="str">
        <f>T("PSC 831 BOX 32")</f>
        <v>PSC 831 BOX 32</v>
      </c>
      <c r="C11751" t="str">
        <f>T("")</f>
        <v/>
      </c>
      <c r="D11751" t="str">
        <f>T("FPO")</f>
        <v>FPO</v>
      </c>
      <c r="E11751" t="str">
        <f>T("AE")</f>
        <v>AE</v>
      </c>
      <c r="F11751" t="str">
        <f>T("093630001")</f>
        <v>093630001</v>
      </c>
      <c r="G11751" t="str">
        <f>T("PSC 831 BOX 32")</f>
        <v>PSC 831 BOX 32</v>
      </c>
      <c r="H11751" t="str">
        <f>T("")</f>
        <v/>
      </c>
      <c r="I11751" t="str">
        <f>T("FPO")</f>
        <v>FPO</v>
      </c>
      <c r="J11751" t="str">
        <f>T("AE")</f>
        <v>AE</v>
      </c>
      <c r="K11751" t="str">
        <f t="shared" si="4312"/>
        <v>000000000000000000</v>
      </c>
      <c r="L11751" t="str">
        <f>T("7578363534")</f>
        <v>7578363534</v>
      </c>
    </row>
    <row r="11752" spans="1:12" x14ac:dyDescent="0.35">
      <c r="A11752" t="str">
        <f>T("CCSG12")</f>
        <v>CCSG12</v>
      </c>
      <c r="B11752" t="str">
        <f>T("CARRIER STRIKE GROUP 12")</f>
        <v>CARRIER STRIKE GROUP 12</v>
      </c>
      <c r="C11752" t="str">
        <f>T("9756 DECATUR AVE")</f>
        <v>9756 DECATUR AVE</v>
      </c>
      <c r="D11752" t="str">
        <f>T("NORFOLK")</f>
        <v>NORFOLK</v>
      </c>
      <c r="E11752" t="str">
        <f t="shared" ref="E11752:E11760" si="4313">T("VA")</f>
        <v>VA</v>
      </c>
      <c r="F11752" t="str">
        <f>T("235113218")</f>
        <v>235113218</v>
      </c>
      <c r="G11752" t="str">
        <f>T("CARRIER STRIKE GROUP 12")</f>
        <v>CARRIER STRIKE GROUP 12</v>
      </c>
      <c r="H11752" t="str">
        <f>T("9756 DECATUR AVE")</f>
        <v>9756 DECATUR AVE</v>
      </c>
      <c r="I11752" t="str">
        <f>T("NORFOLK")</f>
        <v>NORFOLK</v>
      </c>
      <c r="J11752" t="str">
        <f>T("VA")</f>
        <v>VA</v>
      </c>
      <c r="K11752" t="str">
        <f t="shared" si="4312"/>
        <v>000000000000000000</v>
      </c>
      <c r="L11752" t="str">
        <f>T("7573417059")</f>
        <v>7573417059</v>
      </c>
    </row>
    <row r="11753" spans="1:12" x14ac:dyDescent="0.35">
      <c r="A11753" t="str">
        <f>T("CCSG12")</f>
        <v>CCSG12</v>
      </c>
      <c r="B11753" t="str">
        <f>T("CARRIER STRIKE GROUP 12")</f>
        <v>CARRIER STRIKE GROUP 12</v>
      </c>
      <c r="C11753" t="str">
        <f>T("9756 DECATUR AVE")</f>
        <v>9756 DECATUR AVE</v>
      </c>
      <c r="D11753" t="str">
        <f>T("NORFOLK")</f>
        <v>NORFOLK</v>
      </c>
      <c r="E11753" t="str">
        <f t="shared" si="4313"/>
        <v>VA</v>
      </c>
      <c r="F11753" t="str">
        <f>T("235113218")</f>
        <v>235113218</v>
      </c>
      <c r="G11753" t="str">
        <f>T("COMCARSTRKGRU 12")</f>
        <v>COMCARSTRKGRU 12</v>
      </c>
      <c r="H11753" t="str">
        <f>T("9756 DECATUR AVE STE 300")</f>
        <v>9756 DECATUR AVE STE 300</v>
      </c>
      <c r="I11753" t="str">
        <f>T("NORFOLK")</f>
        <v>NORFOLK</v>
      </c>
      <c r="J11753" t="str">
        <f>T("VA")</f>
        <v>VA</v>
      </c>
      <c r="K11753" t="str">
        <f t="shared" si="4312"/>
        <v>000000000000000000</v>
      </c>
      <c r="L11753" t="str">
        <f>T("7573417054")</f>
        <v>7573417054</v>
      </c>
    </row>
    <row r="11754" spans="1:12" x14ac:dyDescent="0.35">
      <c r="A11754" t="str">
        <f>T("CCSG12")</f>
        <v>CCSG12</v>
      </c>
      <c r="B11754" t="str">
        <f>T("CARRIER STRIKE GROUP 12")</f>
        <v>CARRIER STRIKE GROUP 12</v>
      </c>
      <c r="C11754" t="str">
        <f>T("9756 DECATUR AVE")</f>
        <v>9756 DECATUR AVE</v>
      </c>
      <c r="D11754" t="str">
        <f>T("NORFOLK")</f>
        <v>NORFOLK</v>
      </c>
      <c r="E11754" t="str">
        <f t="shared" si="4313"/>
        <v>VA</v>
      </c>
      <c r="F11754" t="str">
        <f>T("235113218")</f>
        <v>235113218</v>
      </c>
      <c r="G11754" t="str">
        <f>T("COMCARSTRKGRU 12")</f>
        <v>COMCARSTRKGRU 12</v>
      </c>
      <c r="H11754" t="str">
        <f>T("9756 DECATUR AVENUE SUITE 300")</f>
        <v>9756 DECATUR AVENUE SUITE 300</v>
      </c>
      <c r="I11754" t="str">
        <f>T("NORFOLK")</f>
        <v>NORFOLK</v>
      </c>
      <c r="J11754" t="str">
        <f>T("VA")</f>
        <v>VA</v>
      </c>
      <c r="K11754" t="str">
        <f t="shared" si="4312"/>
        <v>000000000000000000</v>
      </c>
      <c r="L11754" t="str">
        <f>T("1111111111")</f>
        <v>1111111111</v>
      </c>
    </row>
    <row r="11755" spans="1:12" x14ac:dyDescent="0.35">
      <c r="A11755" t="str">
        <f>T("CCSG12")</f>
        <v>CCSG12</v>
      </c>
      <c r="B11755" t="str">
        <f>T("CARRIER STRIKE GROUP 12")</f>
        <v>CARRIER STRIKE GROUP 12</v>
      </c>
      <c r="C11755" t="str">
        <f>T("9756 DECATUR AVE")</f>
        <v>9756 DECATUR AVE</v>
      </c>
      <c r="D11755" t="str">
        <f>T("NORFOLK")</f>
        <v>NORFOLK</v>
      </c>
      <c r="E11755" t="str">
        <f t="shared" si="4313"/>
        <v>VA</v>
      </c>
      <c r="F11755" t="str">
        <f>T("235113218")</f>
        <v>235113218</v>
      </c>
      <c r="G11755" t="str">
        <f>T("UNIT 5753")</f>
        <v>UNIT 5753</v>
      </c>
      <c r="H11755" t="str">
        <f>T("")</f>
        <v/>
      </c>
      <c r="I11755" t="str">
        <f>T("FPO")</f>
        <v>FPO</v>
      </c>
      <c r="J11755" t="str">
        <f>T("AE")</f>
        <v>AE</v>
      </c>
      <c r="K11755" t="str">
        <f t="shared" si="4312"/>
        <v>000000000000000000</v>
      </c>
      <c r="L11755" t="str">
        <f>T("7574438764")</f>
        <v>7574438764</v>
      </c>
    </row>
    <row r="11756" spans="1:12" x14ac:dyDescent="0.35">
      <c r="A11756" t="str">
        <f>T("PRESINSURV")</f>
        <v>PRESINSURV</v>
      </c>
      <c r="B11756" t="str">
        <f>T("2600 TARAWA CT")</f>
        <v>2600 TARAWA CT</v>
      </c>
      <c r="C11756" t="str">
        <f>T("SUITE 250")</f>
        <v>SUITE 250</v>
      </c>
      <c r="D11756" t="str">
        <f>T("VIRGINIA BEACH")</f>
        <v>VIRGINIA BEACH</v>
      </c>
      <c r="E11756" t="str">
        <f t="shared" si="4313"/>
        <v>VA</v>
      </c>
      <c r="F11756" t="str">
        <f>T("234599235")</f>
        <v>234599235</v>
      </c>
      <c r="G11756" t="str">
        <f>T("2600 TARAWA COURT")</f>
        <v>2600 TARAWA COURT</v>
      </c>
      <c r="H11756" t="str">
        <f>T("")</f>
        <v/>
      </c>
      <c r="I11756" t="str">
        <f>T("VIRGINIA BEACH")</f>
        <v>VIRGINIA BEACH</v>
      </c>
      <c r="J11756" t="str">
        <f>T("VA")</f>
        <v>VA</v>
      </c>
      <c r="K11756" t="str">
        <f t="shared" si="4312"/>
        <v>000000000000000000</v>
      </c>
      <c r="L11756" t="str">
        <f>T("7574622280")</f>
        <v>7574622280</v>
      </c>
    </row>
    <row r="11757" spans="1:12" x14ac:dyDescent="0.35">
      <c r="A11757" t="str">
        <f>T("PRESINSURV")</f>
        <v>PRESINSURV</v>
      </c>
      <c r="B11757" t="str">
        <f>T("2600 TARAWA CT")</f>
        <v>2600 TARAWA CT</v>
      </c>
      <c r="C11757" t="str">
        <f>T("SUITE 250")</f>
        <v>SUITE 250</v>
      </c>
      <c r="D11757" t="str">
        <f>T("VIRGINIA BEACH")</f>
        <v>VIRGINIA BEACH</v>
      </c>
      <c r="E11757" t="str">
        <f t="shared" si="4313"/>
        <v>VA</v>
      </c>
      <c r="F11757" t="str">
        <f>T("234599235")</f>
        <v>234599235</v>
      </c>
      <c r="G11757" t="str">
        <f>T("2600 TARAWA COURT")</f>
        <v>2600 TARAWA COURT</v>
      </c>
      <c r="H11757" t="str">
        <f>T("")</f>
        <v/>
      </c>
      <c r="I11757" t="str">
        <f>T("VIRGINIA BEACH")</f>
        <v>VIRGINIA BEACH</v>
      </c>
      <c r="J11757" t="str">
        <f>T("VA")</f>
        <v>VA</v>
      </c>
      <c r="K11757" t="str">
        <f>T("7574627090")</f>
        <v>7574627090</v>
      </c>
      <c r="L11757" t="str">
        <f>T("7574627325")</f>
        <v>7574627325</v>
      </c>
    </row>
    <row r="11758" spans="1:12" x14ac:dyDescent="0.35">
      <c r="A11758" t="str">
        <f>T("PRESINSURV")</f>
        <v>PRESINSURV</v>
      </c>
      <c r="B11758" t="str">
        <f>T("2600 TARAWA CT")</f>
        <v>2600 TARAWA CT</v>
      </c>
      <c r="C11758" t="str">
        <f>T("SUITE 250")</f>
        <v>SUITE 250</v>
      </c>
      <c r="D11758" t="str">
        <f>T("VIRGINIA BEACH")</f>
        <v>VIRGINIA BEACH</v>
      </c>
      <c r="E11758" t="str">
        <f t="shared" si="4313"/>
        <v>VA</v>
      </c>
      <c r="F11758" t="str">
        <f>T("234599235")</f>
        <v>234599235</v>
      </c>
      <c r="G11758" t="str">
        <f>T("2600 TARAWA COURT")</f>
        <v>2600 TARAWA COURT</v>
      </c>
      <c r="H11758" t="str">
        <f>T("SUITE 250")</f>
        <v>SUITE 250</v>
      </c>
      <c r="I11758" t="str">
        <f>T("NORFOLK")</f>
        <v>NORFOLK</v>
      </c>
      <c r="J11758" t="str">
        <f>T("VA")</f>
        <v>VA</v>
      </c>
      <c r="K11758" t="str">
        <f>T("000000000000000000")</f>
        <v>000000000000000000</v>
      </c>
      <c r="L11758" t="str">
        <f>T("7574622277")</f>
        <v>7574622277</v>
      </c>
    </row>
    <row r="11759" spans="1:12" x14ac:dyDescent="0.35">
      <c r="A11759" t="str">
        <f>T("PRESINSURV")</f>
        <v>PRESINSURV</v>
      </c>
      <c r="B11759" t="str">
        <f>T("2600 TARAWA CT")</f>
        <v>2600 TARAWA CT</v>
      </c>
      <c r="C11759" t="str">
        <f>T("SUITE 250")</f>
        <v>SUITE 250</v>
      </c>
      <c r="D11759" t="str">
        <f>T("VIRGINIA BEACH")</f>
        <v>VIRGINIA BEACH</v>
      </c>
      <c r="E11759" t="str">
        <f t="shared" si="4313"/>
        <v>VA</v>
      </c>
      <c r="F11759" t="str">
        <f>T("234599235")</f>
        <v>234599235</v>
      </c>
      <c r="G11759" t="str">
        <f>T("2600 TARAWA COURT")</f>
        <v>2600 TARAWA COURT</v>
      </c>
      <c r="H11759" t="str">
        <f>T("SUITE 250")</f>
        <v>SUITE 250</v>
      </c>
      <c r="I11759" t="str">
        <f>T("VIRGINIA BEACH")</f>
        <v>VIRGINIA BEACH</v>
      </c>
      <c r="J11759" t="str">
        <f>T("VA")</f>
        <v>VA</v>
      </c>
      <c r="K11759" t="str">
        <f>T("7574627090")</f>
        <v>7574627090</v>
      </c>
      <c r="L11759" t="str">
        <f>T("7574622002")</f>
        <v>7574622002</v>
      </c>
    </row>
    <row r="11760" spans="1:12" x14ac:dyDescent="0.35">
      <c r="A11760" t="str">
        <f>T("PRESINSURV")</f>
        <v>PRESINSURV</v>
      </c>
      <c r="B11760" t="str">
        <f>T("2600 TARAWA CT")</f>
        <v>2600 TARAWA CT</v>
      </c>
      <c r="C11760" t="str">
        <f>T("SUITE 250")</f>
        <v>SUITE 250</v>
      </c>
      <c r="D11760" t="str">
        <f>T("VIRGINIA BEACH")</f>
        <v>VIRGINIA BEACH</v>
      </c>
      <c r="E11760" t="str">
        <f t="shared" si="4313"/>
        <v>VA</v>
      </c>
      <c r="F11760" t="str">
        <f>T("234599235")</f>
        <v>234599235</v>
      </c>
      <c r="G11760" t="str">
        <f>T("2600 TARAWA CT")</f>
        <v>2600 TARAWA CT</v>
      </c>
      <c r="H11760" t="str">
        <f>T("SUITE 250")</f>
        <v>SUITE 250</v>
      </c>
      <c r="I11760" t="str">
        <f>T("VIRGINIA BEACH")</f>
        <v>VIRGINIA BEACH</v>
      </c>
      <c r="J11760" t="str">
        <f>T("VA")</f>
        <v>VA</v>
      </c>
      <c r="K11760" t="str">
        <f>T("")</f>
        <v/>
      </c>
      <c r="L11760" t="str">
        <f>T("7574627325")</f>
        <v>7574627325</v>
      </c>
    </row>
    <row r="11761" spans="1:12" x14ac:dyDescent="0.35">
      <c r="A11761" t="str">
        <f t="shared" ref="A11761:A11782" si="4314">T("CNE/CNA/C6F")</f>
        <v>CNE/CNA/C6F</v>
      </c>
      <c r="B11761" t="str">
        <f>T("OCOM SUPPLY")</f>
        <v>OCOM SUPPLY</v>
      </c>
      <c r="C11761" t="str">
        <f>T("PSC 813 BOX 737")</f>
        <v>PSC 813 BOX 737</v>
      </c>
      <c r="D11761" t="str">
        <f t="shared" ref="D11761:D11782" si="4315">T("FPO")</f>
        <v>FPO</v>
      </c>
      <c r="E11761" t="str">
        <f t="shared" ref="E11761:E11782" si="4316">T("AE")</f>
        <v>AE</v>
      </c>
      <c r="F11761" t="str">
        <f>T("096209998")</f>
        <v>096209998</v>
      </c>
      <c r="G11761" t="str">
        <f>T("OCOM SUPPLY")</f>
        <v>OCOM SUPPLY</v>
      </c>
      <c r="H11761" t="str">
        <f>T("PSC 813 BOX 737")</f>
        <v>PSC 813 BOX 737</v>
      </c>
      <c r="I11761" t="str">
        <f t="shared" ref="I11761:I11782" si="4317">T("FPO")</f>
        <v>FPO</v>
      </c>
      <c r="J11761" t="str">
        <f t="shared" ref="J11761:J11782" si="4318">T("AE")</f>
        <v>AE</v>
      </c>
      <c r="K11761" t="str">
        <f>T("")</f>
        <v/>
      </c>
      <c r="L11761" t="str">
        <f>T("1111111111")</f>
        <v>1111111111</v>
      </c>
    </row>
    <row r="11762" spans="1:12" x14ac:dyDescent="0.35">
      <c r="A11762" t="str">
        <f t="shared" si="4314"/>
        <v>CNE/CNA/C6F</v>
      </c>
      <c r="B11762" t="str">
        <f>T("OCOM SUPPLY")</f>
        <v>OCOM SUPPLY</v>
      </c>
      <c r="C11762" t="str">
        <f>T("PSC 813 BOX 737")</f>
        <v>PSC 813 BOX 737</v>
      </c>
      <c r="D11762" t="str">
        <f t="shared" si="4315"/>
        <v>FPO</v>
      </c>
      <c r="E11762" t="str">
        <f t="shared" si="4316"/>
        <v>AE</v>
      </c>
      <c r="F11762" t="str">
        <f>T("096209998")</f>
        <v>096209998</v>
      </c>
      <c r="G11762" t="str">
        <f>T("PSC 813 BOX 742")</f>
        <v>PSC 813 BOX 742</v>
      </c>
      <c r="H11762" t="str">
        <f t="shared" ref="H11762:H11782" si="4319">T("")</f>
        <v/>
      </c>
      <c r="I11762" t="str">
        <f t="shared" si="4317"/>
        <v>FPO</v>
      </c>
      <c r="J11762" t="str">
        <f t="shared" si="4318"/>
        <v>AE</v>
      </c>
      <c r="K11762" t="str">
        <f>T("011393351043010")</f>
        <v>011393351043010</v>
      </c>
      <c r="L11762" t="str">
        <f>T("1111111111")</f>
        <v>1111111111</v>
      </c>
    </row>
    <row r="11763" spans="1:12" x14ac:dyDescent="0.35">
      <c r="A11763" t="str">
        <f t="shared" si="4314"/>
        <v>CNE/CNA/C6F</v>
      </c>
      <c r="B11763" t="str">
        <f>T("OCOM SUPPLY")</f>
        <v>OCOM SUPPLY</v>
      </c>
      <c r="C11763" t="str">
        <f>T("PSC 813 BOX 737")</f>
        <v>PSC 813 BOX 737</v>
      </c>
      <c r="D11763" t="str">
        <f t="shared" si="4315"/>
        <v>FPO</v>
      </c>
      <c r="E11763" t="str">
        <f t="shared" si="4316"/>
        <v>AE</v>
      </c>
      <c r="F11763" t="str">
        <f>T("096209998")</f>
        <v>096209998</v>
      </c>
      <c r="G11763" t="str">
        <f>T("PSC 813 BOX 751")</f>
        <v>PSC 813 BOX 751</v>
      </c>
      <c r="H11763" t="str">
        <f t="shared" si="4319"/>
        <v/>
      </c>
      <c r="I11763" t="str">
        <f t="shared" si="4317"/>
        <v>FPO</v>
      </c>
      <c r="J11763" t="str">
        <f t="shared" si="4318"/>
        <v>AE</v>
      </c>
      <c r="K11763" t="str">
        <f>T("00390817213796")</f>
        <v>00390817213796</v>
      </c>
      <c r="L11763" t="str">
        <f>T("3146284038")</f>
        <v>3146284038</v>
      </c>
    </row>
    <row r="11764" spans="1:12" x14ac:dyDescent="0.35">
      <c r="A11764" t="str">
        <f t="shared" si="4314"/>
        <v>CNE/CNA/C6F</v>
      </c>
      <c r="B11764" t="str">
        <f t="shared" ref="B11764:B11771" si="4320">T("PSC 809 BOX 70")</f>
        <v>PSC 809 BOX 70</v>
      </c>
      <c r="C11764" t="str">
        <f t="shared" ref="C11764:C11782" si="4321">T("")</f>
        <v/>
      </c>
      <c r="D11764" t="str">
        <f t="shared" si="4315"/>
        <v>FPO</v>
      </c>
      <c r="E11764" t="str">
        <f t="shared" si="4316"/>
        <v>AE</v>
      </c>
      <c r="F11764" t="str">
        <f t="shared" ref="F11764:F11771" si="4322">T("096260001")</f>
        <v>096260001</v>
      </c>
      <c r="G11764" t="str">
        <f>T("PSC 809 BOX 2323")</f>
        <v>PSC 809 BOX 2323</v>
      </c>
      <c r="H11764" t="str">
        <f t="shared" si="4319"/>
        <v/>
      </c>
      <c r="I11764" t="str">
        <f t="shared" si="4317"/>
        <v>FPO</v>
      </c>
      <c r="J11764" t="str">
        <f t="shared" si="4318"/>
        <v>AE</v>
      </c>
      <c r="K11764" t="str">
        <f>T("011490815683699")</f>
        <v>011490815683699</v>
      </c>
      <c r="L11764" t="str">
        <f>T("1111111111")</f>
        <v>1111111111</v>
      </c>
    </row>
    <row r="11765" spans="1:12" x14ac:dyDescent="0.35">
      <c r="A11765" t="str">
        <f t="shared" si="4314"/>
        <v>CNE/CNA/C6F</v>
      </c>
      <c r="B11765" t="str">
        <f t="shared" si="4320"/>
        <v>PSC 809 BOX 70</v>
      </c>
      <c r="C11765" t="str">
        <f t="shared" si="4321"/>
        <v/>
      </c>
      <c r="D11765" t="str">
        <f t="shared" si="4315"/>
        <v>FPO</v>
      </c>
      <c r="E11765" t="str">
        <f t="shared" si="4316"/>
        <v>AE</v>
      </c>
      <c r="F11765" t="str">
        <f t="shared" si="4322"/>
        <v>096260001</v>
      </c>
      <c r="G11765" t="str">
        <f>T("PSC 809 BOX 270")</f>
        <v>PSC 809 BOX 270</v>
      </c>
      <c r="H11765" t="str">
        <f t="shared" si="4319"/>
        <v/>
      </c>
      <c r="I11765" t="str">
        <f t="shared" si="4317"/>
        <v>FPO</v>
      </c>
      <c r="J11765" t="str">
        <f t="shared" si="4318"/>
        <v>AE</v>
      </c>
      <c r="K11765" t="str">
        <f>T("000000000000000000")</f>
        <v>000000000000000000</v>
      </c>
      <c r="L11765" t="str">
        <f>T("0815683096")</f>
        <v>0815683096</v>
      </c>
    </row>
    <row r="11766" spans="1:12" x14ac:dyDescent="0.35">
      <c r="A11766" t="str">
        <f t="shared" si="4314"/>
        <v>CNE/CNA/C6F</v>
      </c>
      <c r="B11766" t="str">
        <f t="shared" si="4320"/>
        <v>PSC 809 BOX 70</v>
      </c>
      <c r="C11766" t="str">
        <f t="shared" si="4321"/>
        <v/>
      </c>
      <c r="D11766" t="str">
        <f t="shared" si="4315"/>
        <v>FPO</v>
      </c>
      <c r="E11766" t="str">
        <f t="shared" si="4316"/>
        <v>AE</v>
      </c>
      <c r="F11766" t="str">
        <f t="shared" si="4322"/>
        <v>096260001</v>
      </c>
      <c r="G11766" t="str">
        <f t="shared" ref="G11766:G11771" si="4323">T("PSC 809 BOX 70")</f>
        <v>PSC 809 BOX 70</v>
      </c>
      <c r="H11766" t="str">
        <f t="shared" si="4319"/>
        <v/>
      </c>
      <c r="I11766" t="str">
        <f t="shared" si="4317"/>
        <v>FPO</v>
      </c>
      <c r="J11766" t="str">
        <f t="shared" si="4318"/>
        <v>AE</v>
      </c>
      <c r="K11766" t="str">
        <f>T("011390815686548")</f>
        <v>011390815686548</v>
      </c>
      <c r="L11766" t="str">
        <f>T("0815681746")</f>
        <v>0815681746</v>
      </c>
    </row>
    <row r="11767" spans="1:12" x14ac:dyDescent="0.35">
      <c r="A11767" t="str">
        <f t="shared" si="4314"/>
        <v>CNE/CNA/C6F</v>
      </c>
      <c r="B11767" t="str">
        <f t="shared" si="4320"/>
        <v>PSC 809 BOX 70</v>
      </c>
      <c r="C11767" t="str">
        <f t="shared" si="4321"/>
        <v/>
      </c>
      <c r="D11767" t="str">
        <f t="shared" si="4315"/>
        <v>FPO</v>
      </c>
      <c r="E11767" t="str">
        <f t="shared" si="4316"/>
        <v>AE</v>
      </c>
      <c r="F11767" t="str">
        <f t="shared" si="4322"/>
        <v>096260001</v>
      </c>
      <c r="G11767" t="str">
        <f t="shared" si="4323"/>
        <v>PSC 809 BOX 70</v>
      </c>
      <c r="H11767" t="str">
        <f t="shared" si="4319"/>
        <v/>
      </c>
      <c r="I11767" t="str">
        <f t="shared" si="4317"/>
        <v>FPO</v>
      </c>
      <c r="J11767" t="str">
        <f t="shared" si="4318"/>
        <v>AE</v>
      </c>
      <c r="K11767" t="str">
        <f>T("011390815686548")</f>
        <v>011390815686548</v>
      </c>
      <c r="L11767" t="str">
        <f>T("1111111111")</f>
        <v>1111111111</v>
      </c>
    </row>
    <row r="11768" spans="1:12" x14ac:dyDescent="0.35">
      <c r="A11768" t="str">
        <f t="shared" si="4314"/>
        <v>CNE/CNA/C6F</v>
      </c>
      <c r="B11768" t="str">
        <f t="shared" si="4320"/>
        <v>PSC 809 BOX 70</v>
      </c>
      <c r="C11768" t="str">
        <f t="shared" si="4321"/>
        <v/>
      </c>
      <c r="D11768" t="str">
        <f t="shared" si="4315"/>
        <v>FPO</v>
      </c>
      <c r="E11768" t="str">
        <f t="shared" si="4316"/>
        <v>AE</v>
      </c>
      <c r="F11768" t="str">
        <f t="shared" si="4322"/>
        <v>096260001</v>
      </c>
      <c r="G11768" t="str">
        <f t="shared" si="4323"/>
        <v>PSC 809 BOX 70</v>
      </c>
      <c r="H11768" t="str">
        <f t="shared" si="4319"/>
        <v/>
      </c>
      <c r="I11768" t="str">
        <f t="shared" si="4317"/>
        <v>FPO</v>
      </c>
      <c r="J11768" t="str">
        <f t="shared" si="4318"/>
        <v>AE</v>
      </c>
      <c r="K11768" t="str">
        <f>T("390815681272")</f>
        <v>390815681272</v>
      </c>
      <c r="L11768" t="str">
        <f>T("1111111111")</f>
        <v>1111111111</v>
      </c>
    </row>
    <row r="11769" spans="1:12" x14ac:dyDescent="0.35">
      <c r="A11769" t="str">
        <f t="shared" si="4314"/>
        <v>CNE/CNA/C6F</v>
      </c>
      <c r="B11769" t="str">
        <f t="shared" si="4320"/>
        <v>PSC 809 BOX 70</v>
      </c>
      <c r="C11769" t="str">
        <f t="shared" si="4321"/>
        <v/>
      </c>
      <c r="D11769" t="str">
        <f t="shared" si="4315"/>
        <v>FPO</v>
      </c>
      <c r="E11769" t="str">
        <f t="shared" si="4316"/>
        <v>AE</v>
      </c>
      <c r="F11769" t="str">
        <f t="shared" si="4322"/>
        <v>096260001</v>
      </c>
      <c r="G11769" t="str">
        <f t="shared" si="4323"/>
        <v>PSC 809 BOX 70</v>
      </c>
      <c r="H11769" t="str">
        <f t="shared" si="4319"/>
        <v/>
      </c>
      <c r="I11769" t="str">
        <f t="shared" si="4317"/>
        <v>FPO</v>
      </c>
      <c r="J11769" t="str">
        <f t="shared" si="4318"/>
        <v>AE</v>
      </c>
      <c r="K11769" t="str">
        <f>T("390815681957")</f>
        <v>390815681957</v>
      </c>
      <c r="L11769" t="str">
        <f>T("1111111111")</f>
        <v>1111111111</v>
      </c>
    </row>
    <row r="11770" spans="1:12" x14ac:dyDescent="0.35">
      <c r="A11770" t="str">
        <f t="shared" si="4314"/>
        <v>CNE/CNA/C6F</v>
      </c>
      <c r="B11770" t="str">
        <f t="shared" si="4320"/>
        <v>PSC 809 BOX 70</v>
      </c>
      <c r="C11770" t="str">
        <f t="shared" si="4321"/>
        <v/>
      </c>
      <c r="D11770" t="str">
        <f t="shared" si="4315"/>
        <v>FPO</v>
      </c>
      <c r="E11770" t="str">
        <f t="shared" si="4316"/>
        <v>AE</v>
      </c>
      <c r="F11770" t="str">
        <f t="shared" si="4322"/>
        <v>096260001</v>
      </c>
      <c r="G11770" t="str">
        <f t="shared" si="4323"/>
        <v>PSC 809 BOX 70</v>
      </c>
      <c r="H11770" t="str">
        <f t="shared" si="4319"/>
        <v/>
      </c>
      <c r="I11770" t="str">
        <f t="shared" si="4317"/>
        <v>FPO</v>
      </c>
      <c r="J11770" t="str">
        <f t="shared" si="4318"/>
        <v>AE</v>
      </c>
      <c r="K11770" t="str">
        <f>T("390815683964")</f>
        <v>390815683964</v>
      </c>
      <c r="L11770" t="str">
        <f>T("1111111111")</f>
        <v>1111111111</v>
      </c>
    </row>
    <row r="11771" spans="1:12" x14ac:dyDescent="0.35">
      <c r="A11771" t="str">
        <f t="shared" si="4314"/>
        <v>CNE/CNA/C6F</v>
      </c>
      <c r="B11771" t="str">
        <f t="shared" si="4320"/>
        <v>PSC 809 BOX 70</v>
      </c>
      <c r="C11771" t="str">
        <f t="shared" si="4321"/>
        <v/>
      </c>
      <c r="D11771" t="str">
        <f t="shared" si="4315"/>
        <v>FPO</v>
      </c>
      <c r="E11771" t="str">
        <f t="shared" si="4316"/>
        <v>AE</v>
      </c>
      <c r="F11771" t="str">
        <f t="shared" si="4322"/>
        <v>096260001</v>
      </c>
      <c r="G11771" t="str">
        <f t="shared" si="4323"/>
        <v>PSC 809 BOX 70</v>
      </c>
      <c r="H11771" t="str">
        <f t="shared" si="4319"/>
        <v/>
      </c>
      <c r="I11771" t="str">
        <f t="shared" si="4317"/>
        <v>FPO</v>
      </c>
      <c r="J11771" t="str">
        <f t="shared" si="4318"/>
        <v>AE</v>
      </c>
      <c r="K11771" t="str">
        <f>T("390815687799")</f>
        <v>390815687799</v>
      </c>
      <c r="L11771" t="str">
        <f>T("1111111111")</f>
        <v>1111111111</v>
      </c>
    </row>
    <row r="11772" spans="1:12" x14ac:dyDescent="0.35">
      <c r="A11772" t="str">
        <f t="shared" si="4314"/>
        <v>CNE/CNA/C6F</v>
      </c>
      <c r="B11772" t="str">
        <f>T("PSC 812 BOX 3130")</f>
        <v>PSC 812 BOX 3130</v>
      </c>
      <c r="C11772" t="str">
        <f t="shared" si="4321"/>
        <v/>
      </c>
      <c r="D11772" t="str">
        <f t="shared" si="4315"/>
        <v>FPO</v>
      </c>
      <c r="E11772" t="str">
        <f t="shared" si="4316"/>
        <v>AE</v>
      </c>
      <c r="F11772" t="str">
        <f>T("096270032")</f>
        <v>096270032</v>
      </c>
      <c r="G11772" t="str">
        <f>T("PSC 812 BOX 1311")</f>
        <v>PSC 812 BOX 1311</v>
      </c>
      <c r="H11772" t="str">
        <f t="shared" si="4319"/>
        <v/>
      </c>
      <c r="I11772" t="str">
        <f t="shared" si="4317"/>
        <v>FPO</v>
      </c>
      <c r="J11772" t="str">
        <f t="shared" si="4318"/>
        <v>AE</v>
      </c>
      <c r="K11772" t="str">
        <f>T("000000000000000000")</f>
        <v>000000000000000000</v>
      </c>
      <c r="L11772" t="str">
        <f>T("3146246506")</f>
        <v>3146246506</v>
      </c>
    </row>
    <row r="11773" spans="1:12" x14ac:dyDescent="0.35">
      <c r="A11773" t="str">
        <f t="shared" si="4314"/>
        <v>CNE/CNA/C6F</v>
      </c>
      <c r="B11773" t="str">
        <f>T("PSC 812 BOX 3130")</f>
        <v>PSC 812 BOX 3130</v>
      </c>
      <c r="C11773" t="str">
        <f t="shared" si="4321"/>
        <v/>
      </c>
      <c r="D11773" t="str">
        <f t="shared" si="4315"/>
        <v>FPO</v>
      </c>
      <c r="E11773" t="str">
        <f t="shared" si="4316"/>
        <v>AE</v>
      </c>
      <c r="F11773" t="str">
        <f>T("096270032")</f>
        <v>096270032</v>
      </c>
      <c r="G11773" t="str">
        <f>T("PSC 812 BOX 1370")</f>
        <v>PSC 812 BOX 1370</v>
      </c>
      <c r="H11773" t="str">
        <f t="shared" si="4319"/>
        <v/>
      </c>
      <c r="I11773" t="str">
        <f t="shared" si="4317"/>
        <v>FPO</v>
      </c>
      <c r="J11773" t="str">
        <f t="shared" si="4318"/>
        <v>AE</v>
      </c>
      <c r="K11773" t="str">
        <f>T("0039095865441")</f>
        <v>0039095865441</v>
      </c>
      <c r="L11773" t="str">
        <f>T("1111111111")</f>
        <v>1111111111</v>
      </c>
    </row>
    <row r="11774" spans="1:12" x14ac:dyDescent="0.35">
      <c r="A11774" t="str">
        <f t="shared" si="4314"/>
        <v>CNE/CNA/C6F</v>
      </c>
      <c r="B11774" t="str">
        <f>T("PSC 812 BOX 3130")</f>
        <v>PSC 812 BOX 3130</v>
      </c>
      <c r="C11774" t="str">
        <f t="shared" si="4321"/>
        <v/>
      </c>
      <c r="D11774" t="str">
        <f t="shared" si="4315"/>
        <v>FPO</v>
      </c>
      <c r="E11774" t="str">
        <f t="shared" si="4316"/>
        <v>AE</v>
      </c>
      <c r="F11774" t="str">
        <f>T("096270032")</f>
        <v>096270032</v>
      </c>
      <c r="G11774" t="str">
        <f>T("PSC 812 BOX 3130")</f>
        <v>PSC 812 BOX 3130</v>
      </c>
      <c r="H11774" t="str">
        <f t="shared" si="4319"/>
        <v/>
      </c>
      <c r="I11774" t="str">
        <f t="shared" si="4317"/>
        <v>FPO</v>
      </c>
      <c r="J11774" t="str">
        <f t="shared" si="4318"/>
        <v>AE</v>
      </c>
      <c r="K11774" t="str">
        <f>T("000000000000000000")</f>
        <v>000000000000000000</v>
      </c>
      <c r="L11774" t="str">
        <f>T("1111111111")</f>
        <v>1111111111</v>
      </c>
    </row>
    <row r="11775" spans="1:12" x14ac:dyDescent="0.35">
      <c r="A11775" t="str">
        <f t="shared" si="4314"/>
        <v>CNE/CNA/C6F</v>
      </c>
      <c r="B11775" t="str">
        <f>T("PSC 812 BOX 3270")</f>
        <v>PSC 812 BOX 3270</v>
      </c>
      <c r="C11775" t="str">
        <f t="shared" si="4321"/>
        <v/>
      </c>
      <c r="D11775" t="str">
        <f t="shared" si="4315"/>
        <v>FPO</v>
      </c>
      <c r="E11775" t="str">
        <f t="shared" si="4316"/>
        <v>AE</v>
      </c>
      <c r="F11775" t="str">
        <f>T("096270033")</f>
        <v>096270033</v>
      </c>
      <c r="G11775" t="str">
        <f>T("PSC 812 BOX 0021")</f>
        <v>PSC 812 BOX 0021</v>
      </c>
      <c r="H11775" t="str">
        <f t="shared" si="4319"/>
        <v/>
      </c>
      <c r="I11775" t="str">
        <f t="shared" si="4317"/>
        <v>FPO</v>
      </c>
      <c r="J11775" t="str">
        <f t="shared" si="4318"/>
        <v>AE</v>
      </c>
      <c r="K11775" t="str">
        <f>T("0039095862483")</f>
        <v>0039095862483</v>
      </c>
      <c r="L11775" t="str">
        <f>T("1111111111")</f>
        <v>1111111111</v>
      </c>
    </row>
    <row r="11776" spans="1:12" x14ac:dyDescent="0.35">
      <c r="A11776" t="str">
        <f t="shared" si="4314"/>
        <v>CNE/CNA/C6F</v>
      </c>
      <c r="B11776" t="str">
        <f>T("PSC 812 BOX 3270")</f>
        <v>PSC 812 BOX 3270</v>
      </c>
      <c r="C11776" t="str">
        <f t="shared" si="4321"/>
        <v/>
      </c>
      <c r="D11776" t="str">
        <f t="shared" si="4315"/>
        <v>FPO</v>
      </c>
      <c r="E11776" t="str">
        <f t="shared" si="4316"/>
        <v>AE</v>
      </c>
      <c r="F11776" t="str">
        <f>T("096270033")</f>
        <v>096270033</v>
      </c>
      <c r="G11776" t="str">
        <f>T("PSC 812 BOX 3270")</f>
        <v>PSC 812 BOX 3270</v>
      </c>
      <c r="H11776" t="str">
        <f t="shared" si="4319"/>
        <v/>
      </c>
      <c r="I11776" t="str">
        <f t="shared" si="4317"/>
        <v>FPO</v>
      </c>
      <c r="J11776" t="str">
        <f t="shared" si="4318"/>
        <v>AE</v>
      </c>
      <c r="K11776" t="str">
        <f>T("000000000000000000")</f>
        <v>000000000000000000</v>
      </c>
      <c r="L11776" t="str">
        <f>T("1111111111")</f>
        <v>1111111111</v>
      </c>
    </row>
    <row r="11777" spans="1:12" x14ac:dyDescent="0.35">
      <c r="A11777" t="str">
        <f t="shared" si="4314"/>
        <v>CNE/CNA/C6F</v>
      </c>
      <c r="B11777" t="str">
        <f>T("PSC 812 BOX 3929")</f>
        <v>PSC 812 BOX 3929</v>
      </c>
      <c r="C11777" t="str">
        <f t="shared" si="4321"/>
        <v/>
      </c>
      <c r="D11777" t="str">
        <f t="shared" si="4315"/>
        <v>FPO</v>
      </c>
      <c r="E11777" t="str">
        <f t="shared" si="4316"/>
        <v>AE</v>
      </c>
      <c r="F11777" t="str">
        <f>T("096270040")</f>
        <v>096270040</v>
      </c>
      <c r="G11777" t="str">
        <f>T("PSC 812 BOX 3929")</f>
        <v>PSC 812 BOX 3929</v>
      </c>
      <c r="H11777" t="str">
        <f t="shared" si="4319"/>
        <v/>
      </c>
      <c r="I11777" t="str">
        <f t="shared" si="4317"/>
        <v>FPO</v>
      </c>
      <c r="J11777" t="str">
        <f t="shared" si="4318"/>
        <v>AE</v>
      </c>
      <c r="K11777" t="str">
        <f>T("")</f>
        <v/>
      </c>
      <c r="L11777" t="str">
        <f>T("1111111111")</f>
        <v>1111111111</v>
      </c>
    </row>
    <row r="11778" spans="1:12" x14ac:dyDescent="0.35">
      <c r="A11778" t="str">
        <f t="shared" si="4314"/>
        <v>CNE/CNA/C6F</v>
      </c>
      <c r="B11778" t="str">
        <f>T("PSC 812 BOX 3929")</f>
        <v>PSC 812 BOX 3929</v>
      </c>
      <c r="C11778" t="str">
        <f t="shared" si="4321"/>
        <v/>
      </c>
      <c r="D11778" t="str">
        <f t="shared" si="4315"/>
        <v>FPO</v>
      </c>
      <c r="E11778" t="str">
        <f t="shared" si="4316"/>
        <v>AE</v>
      </c>
      <c r="F11778" t="str">
        <f>T("096270040")</f>
        <v>096270040</v>
      </c>
      <c r="G11778" t="str">
        <f>T("PSC 812 BOX 3929")</f>
        <v>PSC 812 BOX 3929</v>
      </c>
      <c r="H11778" t="str">
        <f t="shared" si="4319"/>
        <v/>
      </c>
      <c r="I11778" t="str">
        <f t="shared" si="4317"/>
        <v>FPO</v>
      </c>
      <c r="J11778" t="str">
        <f t="shared" si="4318"/>
        <v>AE</v>
      </c>
      <c r="K11778" t="str">
        <f>T("000000000000000000")</f>
        <v>000000000000000000</v>
      </c>
      <c r="L11778" t="str">
        <f>T("3146245804")</f>
        <v>3146245804</v>
      </c>
    </row>
    <row r="11779" spans="1:12" x14ac:dyDescent="0.35">
      <c r="A11779" t="str">
        <f t="shared" si="4314"/>
        <v>CNE/CNA/C6F</v>
      </c>
      <c r="B11779" t="str">
        <f>T("PSC 819 BOX 71")</f>
        <v>PSC 819 BOX 71</v>
      </c>
      <c r="C11779" t="str">
        <f t="shared" si="4321"/>
        <v/>
      </c>
      <c r="D11779" t="str">
        <f t="shared" si="4315"/>
        <v>FPO</v>
      </c>
      <c r="E11779" t="str">
        <f t="shared" si="4316"/>
        <v>AE</v>
      </c>
      <c r="F11779" t="str">
        <f>T("096450001")</f>
        <v>096450001</v>
      </c>
      <c r="G11779" t="str">
        <f>T("PSC 819 BOX 13")</f>
        <v>PSC 819 BOX 13</v>
      </c>
      <c r="H11779" t="str">
        <f t="shared" si="4319"/>
        <v/>
      </c>
      <c r="I11779" t="str">
        <f t="shared" si="4317"/>
        <v>FPO</v>
      </c>
      <c r="J11779" t="str">
        <f t="shared" si="4318"/>
        <v>AE</v>
      </c>
      <c r="K11779" t="str">
        <f>T("34956826368")</f>
        <v>34956826368</v>
      </c>
      <c r="L11779" t="str">
        <f>T("1111111111")</f>
        <v>1111111111</v>
      </c>
    </row>
    <row r="11780" spans="1:12" x14ac:dyDescent="0.35">
      <c r="A11780" t="str">
        <f t="shared" si="4314"/>
        <v>CNE/CNA/C6F</v>
      </c>
      <c r="B11780" t="str">
        <f>T("PSC 819 BOX 71")</f>
        <v>PSC 819 BOX 71</v>
      </c>
      <c r="C11780" t="str">
        <f t="shared" si="4321"/>
        <v/>
      </c>
      <c r="D11780" t="str">
        <f t="shared" si="4315"/>
        <v>FPO</v>
      </c>
      <c r="E11780" t="str">
        <f t="shared" si="4316"/>
        <v>AE</v>
      </c>
      <c r="F11780" t="str">
        <f>T("096450001")</f>
        <v>096450001</v>
      </c>
      <c r="G11780" t="str">
        <f>T("PSC 819 BOX 71")</f>
        <v>PSC 819 BOX 71</v>
      </c>
      <c r="H11780" t="str">
        <f t="shared" si="4319"/>
        <v/>
      </c>
      <c r="I11780" t="str">
        <f t="shared" si="4317"/>
        <v>FPO</v>
      </c>
      <c r="J11780" t="str">
        <f t="shared" si="4318"/>
        <v>AE</v>
      </c>
      <c r="K11780" t="str">
        <f>T("000000000000000000")</f>
        <v>000000000000000000</v>
      </c>
      <c r="L11780" t="str">
        <f>T("3147271333")</f>
        <v>3147271333</v>
      </c>
    </row>
    <row r="11781" spans="1:12" x14ac:dyDescent="0.35">
      <c r="A11781" t="str">
        <f t="shared" si="4314"/>
        <v>CNE/CNA/C6F</v>
      </c>
      <c r="B11781" t="str">
        <f>T("PSC 819 BOX 71")</f>
        <v>PSC 819 BOX 71</v>
      </c>
      <c r="C11781" t="str">
        <f t="shared" si="4321"/>
        <v/>
      </c>
      <c r="D11781" t="str">
        <f t="shared" si="4315"/>
        <v>FPO</v>
      </c>
      <c r="E11781" t="str">
        <f t="shared" si="4316"/>
        <v>AE</v>
      </c>
      <c r="F11781" t="str">
        <f>T("096450001")</f>
        <v>096450001</v>
      </c>
      <c r="G11781" t="str">
        <f>T("PSC 819 BOX 71")</f>
        <v>PSC 819 BOX 71</v>
      </c>
      <c r="H11781" t="str">
        <f t="shared" si="4319"/>
        <v/>
      </c>
      <c r="I11781" t="str">
        <f t="shared" si="4317"/>
        <v>FPO</v>
      </c>
      <c r="J11781" t="str">
        <f t="shared" si="4318"/>
        <v>AE</v>
      </c>
      <c r="K11781" t="str">
        <f>T("001349561349")</f>
        <v>001349561349</v>
      </c>
      <c r="L11781" t="str">
        <f>T("1111111111")</f>
        <v>1111111111</v>
      </c>
    </row>
    <row r="11782" spans="1:12" x14ac:dyDescent="0.35">
      <c r="A11782" t="str">
        <f t="shared" si="4314"/>
        <v>CNE/CNA/C6F</v>
      </c>
      <c r="B11782" t="str">
        <f>T("PSC 819 BOX 71")</f>
        <v>PSC 819 BOX 71</v>
      </c>
      <c r="C11782" t="str">
        <f t="shared" si="4321"/>
        <v/>
      </c>
      <c r="D11782" t="str">
        <f t="shared" si="4315"/>
        <v>FPO</v>
      </c>
      <c r="E11782" t="str">
        <f t="shared" si="4316"/>
        <v>AE</v>
      </c>
      <c r="F11782" t="str">
        <f>T("096450001")</f>
        <v>096450001</v>
      </c>
      <c r="G11782" t="str">
        <f>T("PSC 819 BOX 71")</f>
        <v>PSC 819 BOX 71</v>
      </c>
      <c r="H11782" t="str">
        <f t="shared" si="4319"/>
        <v/>
      </c>
      <c r="I11782" t="str">
        <f t="shared" si="4317"/>
        <v>FPO</v>
      </c>
      <c r="J11782" t="str">
        <f t="shared" si="4318"/>
        <v>AE</v>
      </c>
      <c r="K11782" t="str">
        <f>T("34956821490")</f>
        <v>34956821490</v>
      </c>
      <c r="L11782" t="str">
        <f>T("1111111111")</f>
        <v>1111111111</v>
      </c>
    </row>
    <row r="11783" spans="1:12" x14ac:dyDescent="0.35">
      <c r="A11783" t="str">
        <f>T("CCSG2")</f>
        <v>CCSG2</v>
      </c>
      <c r="B11783" t="str">
        <f>T("9756 DECATUR AVE")</f>
        <v>9756 DECATUR AVE</v>
      </c>
      <c r="C11783" t="str">
        <f>T("BLDG W-5")</f>
        <v>BLDG W-5</v>
      </c>
      <c r="D11783" t="str">
        <f>T("NORFOLK")</f>
        <v>NORFOLK</v>
      </c>
      <c r="E11783" t="str">
        <f>T("VA")</f>
        <v>VA</v>
      </c>
      <c r="F11783" t="str">
        <f>T("235113218")</f>
        <v>235113218</v>
      </c>
      <c r="G11783" t="str">
        <f>T("9756 DECATUR AVE")</f>
        <v>9756 DECATUR AVE</v>
      </c>
      <c r="H11783" t="str">
        <f>T("BLDG W-5")</f>
        <v>BLDG W-5</v>
      </c>
      <c r="I11783" t="str">
        <f>T("NORFOLK")</f>
        <v>NORFOLK</v>
      </c>
      <c r="J11783" t="str">
        <f>T("VA")</f>
        <v>VA</v>
      </c>
      <c r="K11783" t="str">
        <f>T("")</f>
        <v/>
      </c>
      <c r="L11783" t="str">
        <f>T("7574437762")</f>
        <v>7574437762</v>
      </c>
    </row>
    <row r="11784" spans="1:12" x14ac:dyDescent="0.35">
      <c r="A11784" t="str">
        <f>T("CCSG2")</f>
        <v>CCSG2</v>
      </c>
      <c r="B11784" t="str">
        <f>T("9756 DECATUR AVE")</f>
        <v>9756 DECATUR AVE</v>
      </c>
      <c r="C11784" t="str">
        <f>T("BLDG W-5")</f>
        <v>BLDG W-5</v>
      </c>
      <c r="D11784" t="str">
        <f>T("NORFOLK")</f>
        <v>NORFOLK</v>
      </c>
      <c r="E11784" t="str">
        <f>T("VA")</f>
        <v>VA</v>
      </c>
      <c r="F11784" t="str">
        <f>T("235113218")</f>
        <v>235113218</v>
      </c>
      <c r="G11784" t="str">
        <f>T("9756 DECATUR AVE")</f>
        <v>9756 DECATUR AVE</v>
      </c>
      <c r="H11784" t="str">
        <f>T("BLDG W-5 SUITE 200")</f>
        <v>BLDG W-5 SUITE 200</v>
      </c>
      <c r="I11784" t="str">
        <f>T("NORFOLK")</f>
        <v>NORFOLK</v>
      </c>
      <c r="J11784" t="str">
        <f>T("VA")</f>
        <v>VA</v>
      </c>
      <c r="K11784" t="str">
        <f>T("000000000000000000")</f>
        <v>000000000000000000</v>
      </c>
      <c r="L11784" t="str">
        <f>T("7573417154")</f>
        <v>7573417154</v>
      </c>
    </row>
    <row r="11785" spans="1:12" x14ac:dyDescent="0.35">
      <c r="A11785" t="str">
        <f>T("CCSG2")</f>
        <v>CCSG2</v>
      </c>
      <c r="B11785" t="str">
        <f>T("9756 DECATUR AVE")</f>
        <v>9756 DECATUR AVE</v>
      </c>
      <c r="C11785" t="str">
        <f>T("BLDG W-5")</f>
        <v>BLDG W-5</v>
      </c>
      <c r="D11785" t="str">
        <f>T("NORFOLK")</f>
        <v>NORFOLK</v>
      </c>
      <c r="E11785" t="str">
        <f>T("VA")</f>
        <v>VA</v>
      </c>
      <c r="F11785" t="str">
        <f>T("235113218")</f>
        <v>235113218</v>
      </c>
      <c r="G11785" t="str">
        <f>T("9756 DECATUR AVENUE")</f>
        <v>9756 DECATUR AVENUE</v>
      </c>
      <c r="H11785" t="str">
        <f>T("SUITE 200")</f>
        <v>SUITE 200</v>
      </c>
      <c r="I11785" t="str">
        <f>T("NORFOLK")</f>
        <v>NORFOLK</v>
      </c>
      <c r="J11785" t="str">
        <f>T("VA")</f>
        <v>VA</v>
      </c>
      <c r="K11785" t="str">
        <f>T("000000000000000000")</f>
        <v>000000000000000000</v>
      </c>
      <c r="L11785" t="str">
        <f>T("7573417154")</f>
        <v>7573417154</v>
      </c>
    </row>
    <row r="11786" spans="1:12" x14ac:dyDescent="0.35">
      <c r="A11786" t="str">
        <f>T("CCSG2")</f>
        <v>CCSG2</v>
      </c>
      <c r="B11786" t="str">
        <f>T("ZZ DELETE")</f>
        <v>ZZ DELETE</v>
      </c>
      <c r="C11786" t="str">
        <f>T("")</f>
        <v/>
      </c>
      <c r="D11786" t="str">
        <f>T("NORFOLK")</f>
        <v>NORFOLK</v>
      </c>
      <c r="E11786" t="str">
        <f>T("VA")</f>
        <v>VA</v>
      </c>
      <c r="F11786" t="str">
        <f>T("235110000")</f>
        <v>235110000</v>
      </c>
      <c r="G11786" t="str">
        <f>T("ZZ DELETE")</f>
        <v>ZZ DELETE</v>
      </c>
      <c r="H11786" t="str">
        <f>T("")</f>
        <v/>
      </c>
      <c r="I11786" t="str">
        <f>T("NORFOLK")</f>
        <v>NORFOLK</v>
      </c>
      <c r="J11786" t="str">
        <f>T("VA")</f>
        <v>VA</v>
      </c>
      <c r="K11786" t="str">
        <f>T("000000000000000000")</f>
        <v>000000000000000000</v>
      </c>
      <c r="L11786" t="str">
        <f>T("7573417151")</f>
        <v>7573417151</v>
      </c>
    </row>
    <row r="11787" spans="1:12" x14ac:dyDescent="0.35">
      <c r="A11787" t="str">
        <f t="shared" ref="A11787:A11818" si="4324">T("PNSY")</f>
        <v>PNSY</v>
      </c>
      <c r="B11787" t="str">
        <f t="shared" ref="B11787:B11793" si="4325">T("CODE 105 BLDG 14")</f>
        <v>CODE 105 BLDG 14</v>
      </c>
      <c r="C11787" t="str">
        <f t="shared" ref="C11787:C11803" si="4326">T("US NAVY YARD")</f>
        <v>US NAVY YARD</v>
      </c>
      <c r="D11787" t="str">
        <f t="shared" ref="D11787:D11818" si="4327">T("PORTSMOUTH")</f>
        <v>PORTSMOUTH</v>
      </c>
      <c r="E11787" t="str">
        <f t="shared" ref="E11787:E11818" si="4328">T("NH")</f>
        <v>NH</v>
      </c>
      <c r="F11787" t="str">
        <f t="shared" ref="F11787:F11799" si="4329">T("038040000")</f>
        <v>038040000</v>
      </c>
      <c r="G11787" t="str">
        <f>T("CODE 105 01 BLDG 14")</f>
        <v>CODE 105 01 BLDG 14</v>
      </c>
      <c r="H11787" t="str">
        <f t="shared" ref="H11787:H11794" si="4330">T("US NAVY YARD")</f>
        <v>US NAVY YARD</v>
      </c>
      <c r="I11787" t="str">
        <f t="shared" ref="I11787:I11818" si="4331">T("PORTSMOUTH")</f>
        <v>PORTSMOUTH</v>
      </c>
      <c r="J11787" t="str">
        <f t="shared" ref="J11787:J11818" si="4332">T("NH")</f>
        <v>NH</v>
      </c>
      <c r="K11787" t="str">
        <f>T("2074381629")</f>
        <v>2074381629</v>
      </c>
      <c r="L11787" t="str">
        <f>T("2074381969")</f>
        <v>2074381969</v>
      </c>
    </row>
    <row r="11788" spans="1:12" x14ac:dyDescent="0.35">
      <c r="A11788" t="str">
        <f t="shared" si="4324"/>
        <v>PNSY</v>
      </c>
      <c r="B11788" t="str">
        <f t="shared" si="4325"/>
        <v>CODE 105 BLDG 14</v>
      </c>
      <c r="C11788" t="str">
        <f t="shared" si="4326"/>
        <v>US NAVY YARD</v>
      </c>
      <c r="D11788" t="str">
        <f t="shared" si="4327"/>
        <v>PORTSMOUTH</v>
      </c>
      <c r="E11788" t="str">
        <f t="shared" si="4328"/>
        <v>NH</v>
      </c>
      <c r="F11788" t="str">
        <f t="shared" si="4329"/>
        <v>038040000</v>
      </c>
      <c r="G11788" t="str">
        <f>T("CODE 105 3 BLDG 14")</f>
        <v>CODE 105 3 BLDG 14</v>
      </c>
      <c r="H11788" t="str">
        <f t="shared" si="4330"/>
        <v>US NAVY YARD</v>
      </c>
      <c r="I11788" t="str">
        <f t="shared" si="4331"/>
        <v>PORTSMOUTH</v>
      </c>
      <c r="J11788" t="str">
        <f t="shared" si="4332"/>
        <v>NH</v>
      </c>
      <c r="K11788" t="str">
        <f>T("2074381735")</f>
        <v>2074381735</v>
      </c>
      <c r="L11788" t="str">
        <f>T("2074381765")</f>
        <v>2074381765</v>
      </c>
    </row>
    <row r="11789" spans="1:12" x14ac:dyDescent="0.35">
      <c r="A11789" t="str">
        <f t="shared" si="4324"/>
        <v>PNSY</v>
      </c>
      <c r="B11789" t="str">
        <f t="shared" si="4325"/>
        <v>CODE 105 BLDG 14</v>
      </c>
      <c r="C11789" t="str">
        <f t="shared" si="4326"/>
        <v>US NAVY YARD</v>
      </c>
      <c r="D11789" t="str">
        <f t="shared" si="4327"/>
        <v>PORTSMOUTH</v>
      </c>
      <c r="E11789" t="str">
        <f t="shared" si="4328"/>
        <v>NH</v>
      </c>
      <c r="F11789" t="str">
        <f t="shared" si="4329"/>
        <v>038040000</v>
      </c>
      <c r="G11789" t="str">
        <f>T("CODE 105 BLDG 14")</f>
        <v>CODE 105 BLDG 14</v>
      </c>
      <c r="H11789" t="str">
        <f t="shared" si="4330"/>
        <v>US NAVY YARD</v>
      </c>
      <c r="I11789" t="str">
        <f t="shared" si="4331"/>
        <v>PORTSMOUTH</v>
      </c>
      <c r="J11789" t="str">
        <f t="shared" si="4332"/>
        <v>NH</v>
      </c>
      <c r="K11789" t="str">
        <f>T("2074381629")</f>
        <v>2074381629</v>
      </c>
      <c r="L11789" t="str">
        <f>T("2074381222")</f>
        <v>2074381222</v>
      </c>
    </row>
    <row r="11790" spans="1:12" x14ac:dyDescent="0.35">
      <c r="A11790" t="str">
        <f t="shared" si="4324"/>
        <v>PNSY</v>
      </c>
      <c r="B11790" t="str">
        <f t="shared" si="4325"/>
        <v>CODE 105 BLDG 14</v>
      </c>
      <c r="C11790" t="str">
        <f t="shared" si="4326"/>
        <v>US NAVY YARD</v>
      </c>
      <c r="D11790" t="str">
        <f t="shared" si="4327"/>
        <v>PORTSMOUTH</v>
      </c>
      <c r="E11790" t="str">
        <f t="shared" si="4328"/>
        <v>NH</v>
      </c>
      <c r="F11790" t="str">
        <f t="shared" si="4329"/>
        <v>038040000</v>
      </c>
      <c r="G11790" t="str">
        <f>T("CODE 105 BLDG 14")</f>
        <v>CODE 105 BLDG 14</v>
      </c>
      <c r="H11790" t="str">
        <f t="shared" si="4330"/>
        <v>US NAVY YARD</v>
      </c>
      <c r="I11790" t="str">
        <f t="shared" si="4331"/>
        <v>PORTSMOUTH</v>
      </c>
      <c r="J11790" t="str">
        <f t="shared" si="4332"/>
        <v>NH</v>
      </c>
      <c r="K11790" t="str">
        <f>T("2074382726")</f>
        <v>2074382726</v>
      </c>
      <c r="L11790" t="str">
        <f>T("2074382439")</f>
        <v>2074382439</v>
      </c>
    </row>
    <row r="11791" spans="1:12" x14ac:dyDescent="0.35">
      <c r="A11791" t="str">
        <f t="shared" si="4324"/>
        <v>PNSY</v>
      </c>
      <c r="B11791" t="str">
        <f t="shared" si="4325"/>
        <v>CODE 105 BLDG 14</v>
      </c>
      <c r="C11791" t="str">
        <f t="shared" si="4326"/>
        <v>US NAVY YARD</v>
      </c>
      <c r="D11791" t="str">
        <f t="shared" si="4327"/>
        <v>PORTSMOUTH</v>
      </c>
      <c r="E11791" t="str">
        <f t="shared" si="4328"/>
        <v>NH</v>
      </c>
      <c r="F11791" t="str">
        <f t="shared" si="4329"/>
        <v>038040000</v>
      </c>
      <c r="G11791" t="str">
        <f>T("CODE 105 BLDG 374")</f>
        <v>CODE 105 BLDG 374</v>
      </c>
      <c r="H11791" t="str">
        <f t="shared" si="4330"/>
        <v>US NAVY YARD</v>
      </c>
      <c r="I11791" t="str">
        <f t="shared" si="4331"/>
        <v>PORTSMOUTH</v>
      </c>
      <c r="J11791" t="str">
        <f t="shared" si="4332"/>
        <v>NH</v>
      </c>
      <c r="K11791" t="str">
        <f>T("2074382174")</f>
        <v>2074382174</v>
      </c>
      <c r="L11791" t="str">
        <f>T("2074386996")</f>
        <v>2074386996</v>
      </c>
    </row>
    <row r="11792" spans="1:12" x14ac:dyDescent="0.35">
      <c r="A11792" t="str">
        <f t="shared" si="4324"/>
        <v>PNSY</v>
      </c>
      <c r="B11792" t="str">
        <f t="shared" si="4325"/>
        <v>CODE 105 BLDG 14</v>
      </c>
      <c r="C11792" t="str">
        <f t="shared" si="4326"/>
        <v>US NAVY YARD</v>
      </c>
      <c r="D11792" t="str">
        <f t="shared" si="4327"/>
        <v>PORTSMOUTH</v>
      </c>
      <c r="E11792" t="str">
        <f t="shared" si="4328"/>
        <v>NH</v>
      </c>
      <c r="F11792" t="str">
        <f t="shared" si="4329"/>
        <v>038040000</v>
      </c>
      <c r="G11792" t="str">
        <f>T("CODE 105 BLDG 92")</f>
        <v>CODE 105 BLDG 92</v>
      </c>
      <c r="H11792" t="str">
        <f t="shared" si="4330"/>
        <v>US NAVY YARD</v>
      </c>
      <c r="I11792" t="str">
        <f t="shared" si="4331"/>
        <v>PORTSMOUTH</v>
      </c>
      <c r="J11792" t="str">
        <f t="shared" si="4332"/>
        <v>NH</v>
      </c>
      <c r="K11792" t="str">
        <f>T("2074381629")</f>
        <v>2074381629</v>
      </c>
      <c r="L11792" t="str">
        <f>T("2074382267")</f>
        <v>2074382267</v>
      </c>
    </row>
    <row r="11793" spans="1:12" x14ac:dyDescent="0.35">
      <c r="A11793" t="str">
        <f t="shared" si="4324"/>
        <v>PNSY</v>
      </c>
      <c r="B11793" t="str">
        <f t="shared" si="4325"/>
        <v>CODE 105 BLDG 14</v>
      </c>
      <c r="C11793" t="str">
        <f t="shared" si="4326"/>
        <v>US NAVY YARD</v>
      </c>
      <c r="D11793" t="str">
        <f t="shared" si="4327"/>
        <v>PORTSMOUTH</v>
      </c>
      <c r="E11793" t="str">
        <f t="shared" si="4328"/>
        <v>NH</v>
      </c>
      <c r="F11793" t="str">
        <f t="shared" si="4329"/>
        <v>038040000</v>
      </c>
      <c r="G11793" t="str">
        <f>T("CODE 105.11 BLDG 14 2ND FLOOR")</f>
        <v>CODE 105.11 BLDG 14 2ND FLOOR</v>
      </c>
      <c r="H11793" t="str">
        <f t="shared" si="4330"/>
        <v>US NAVY YARD</v>
      </c>
      <c r="I11793" t="str">
        <f t="shared" si="4331"/>
        <v>PORTSMOUTH</v>
      </c>
      <c r="J11793" t="str">
        <f t="shared" si="4332"/>
        <v>NH</v>
      </c>
      <c r="K11793" t="str">
        <f>T("2074381629")</f>
        <v>2074381629</v>
      </c>
      <c r="L11793" t="str">
        <f>T("2074381796")</f>
        <v>2074381796</v>
      </c>
    </row>
    <row r="11794" spans="1:12" x14ac:dyDescent="0.35">
      <c r="A11794" t="str">
        <f t="shared" si="4324"/>
        <v>PNSY</v>
      </c>
      <c r="B11794" t="str">
        <f t="shared" ref="B11794:B11799" si="4333">T("CODE 1180 BLDG 22")</f>
        <v>CODE 1180 BLDG 22</v>
      </c>
      <c r="C11794" t="str">
        <f t="shared" si="4326"/>
        <v>US NAVY YARD</v>
      </c>
      <c r="D11794" t="str">
        <f t="shared" si="4327"/>
        <v>PORTSMOUTH</v>
      </c>
      <c r="E11794" t="str">
        <f t="shared" si="4328"/>
        <v>NH</v>
      </c>
      <c r="F11794" t="str">
        <f t="shared" si="4329"/>
        <v>038040000</v>
      </c>
      <c r="G11794" t="str">
        <f>T("CODE 100 PI BLDG 22")</f>
        <v>CODE 100 PI BLDG 22</v>
      </c>
      <c r="H11794" t="str">
        <f t="shared" si="4330"/>
        <v>US NAVY YARD</v>
      </c>
      <c r="I11794" t="str">
        <f t="shared" si="4331"/>
        <v>PORTSMOUTH</v>
      </c>
      <c r="J11794" t="str">
        <f t="shared" si="4332"/>
        <v>NH</v>
      </c>
      <c r="K11794" t="str">
        <f>T("2074386371")</f>
        <v>2074386371</v>
      </c>
      <c r="L11794" t="str">
        <f>T("2074386553")</f>
        <v>2074386553</v>
      </c>
    </row>
    <row r="11795" spans="1:12" x14ac:dyDescent="0.35">
      <c r="A11795" t="str">
        <f t="shared" si="4324"/>
        <v>PNSY</v>
      </c>
      <c r="B11795" t="str">
        <f t="shared" si="4333"/>
        <v>CODE 1180 BLDG 22</v>
      </c>
      <c r="C11795" t="str">
        <f t="shared" si="4326"/>
        <v>US NAVY YARD</v>
      </c>
      <c r="D11795" t="str">
        <f t="shared" si="4327"/>
        <v>PORTSMOUTH</v>
      </c>
      <c r="E11795" t="str">
        <f t="shared" si="4328"/>
        <v>NH</v>
      </c>
      <c r="F11795" t="str">
        <f t="shared" si="4329"/>
        <v>038040000</v>
      </c>
      <c r="G11795" t="str">
        <f>T("CODE 100PAO BLDG 86")</f>
        <v>CODE 100PAO BLDG 86</v>
      </c>
      <c r="H11795" t="str">
        <f>T("US NAVY")</f>
        <v>US NAVY</v>
      </c>
      <c r="I11795" t="str">
        <f t="shared" si="4331"/>
        <v>PORTSMOUTH</v>
      </c>
      <c r="J11795" t="str">
        <f t="shared" si="4332"/>
        <v>NH</v>
      </c>
      <c r="K11795" t="str">
        <f>T("000000000000000000")</f>
        <v>000000000000000000</v>
      </c>
      <c r="L11795" t="str">
        <f>T("2074381260")</f>
        <v>2074381260</v>
      </c>
    </row>
    <row r="11796" spans="1:12" x14ac:dyDescent="0.35">
      <c r="A11796" t="str">
        <f t="shared" si="4324"/>
        <v>PNSY</v>
      </c>
      <c r="B11796" t="str">
        <f t="shared" si="4333"/>
        <v>CODE 1180 BLDG 22</v>
      </c>
      <c r="C11796" t="str">
        <f t="shared" si="4326"/>
        <v>US NAVY YARD</v>
      </c>
      <c r="D11796" t="str">
        <f t="shared" si="4327"/>
        <v>PORTSMOUTH</v>
      </c>
      <c r="E11796" t="str">
        <f t="shared" si="4328"/>
        <v>NH</v>
      </c>
      <c r="F11796" t="str">
        <f t="shared" si="4329"/>
        <v>038040000</v>
      </c>
      <c r="G11796" t="str">
        <f>T("CODE 1100 BLDG 22")</f>
        <v>CODE 1100 BLDG 22</v>
      </c>
      <c r="H11796" t="str">
        <f t="shared" ref="H11796:H11801" si="4334">T("US NAVY YARD")</f>
        <v>US NAVY YARD</v>
      </c>
      <c r="I11796" t="str">
        <f t="shared" si="4331"/>
        <v>PORTSMOUTH</v>
      </c>
      <c r="J11796" t="str">
        <f t="shared" si="4332"/>
        <v>NH</v>
      </c>
      <c r="K11796" t="str">
        <f>T("2074386371")</f>
        <v>2074386371</v>
      </c>
      <c r="L11796" t="str">
        <f>T("2074386335")</f>
        <v>2074386335</v>
      </c>
    </row>
    <row r="11797" spans="1:12" x14ac:dyDescent="0.35">
      <c r="A11797" t="str">
        <f t="shared" si="4324"/>
        <v>PNSY</v>
      </c>
      <c r="B11797" t="str">
        <f t="shared" si="4333"/>
        <v>CODE 1180 BLDG 22</v>
      </c>
      <c r="C11797" t="str">
        <f t="shared" si="4326"/>
        <v>US NAVY YARD</v>
      </c>
      <c r="D11797" t="str">
        <f t="shared" si="4327"/>
        <v>PORTSMOUTH</v>
      </c>
      <c r="E11797" t="str">
        <f t="shared" si="4328"/>
        <v>NH</v>
      </c>
      <c r="F11797" t="str">
        <f t="shared" si="4329"/>
        <v>038040000</v>
      </c>
      <c r="G11797" t="str">
        <f>T("CODE 1100 BLDG 22")</f>
        <v>CODE 1100 BLDG 22</v>
      </c>
      <c r="H11797" t="str">
        <f t="shared" si="4334"/>
        <v>US NAVY YARD</v>
      </c>
      <c r="I11797" t="str">
        <f t="shared" si="4331"/>
        <v>PORTSMOUTH</v>
      </c>
      <c r="J11797" t="str">
        <f t="shared" si="4332"/>
        <v>NH</v>
      </c>
      <c r="K11797" t="str">
        <f>T("2074386371")</f>
        <v>2074386371</v>
      </c>
      <c r="L11797" t="str">
        <f>T("2074386370")</f>
        <v>2074386370</v>
      </c>
    </row>
    <row r="11798" spans="1:12" x14ac:dyDescent="0.35">
      <c r="A11798" t="str">
        <f t="shared" si="4324"/>
        <v>PNSY</v>
      </c>
      <c r="B11798" t="str">
        <f t="shared" si="4333"/>
        <v>CODE 1180 BLDG 22</v>
      </c>
      <c r="C11798" t="str">
        <f t="shared" si="4326"/>
        <v>US NAVY YARD</v>
      </c>
      <c r="D11798" t="str">
        <f t="shared" si="4327"/>
        <v>PORTSMOUTH</v>
      </c>
      <c r="E11798" t="str">
        <f t="shared" si="4328"/>
        <v>NH</v>
      </c>
      <c r="F11798" t="str">
        <f t="shared" si="4329"/>
        <v>038040000</v>
      </c>
      <c r="G11798" t="str">
        <f>T("CODE 1102 BLDG 86A")</f>
        <v>CODE 1102 BLDG 86A</v>
      </c>
      <c r="H11798" t="str">
        <f t="shared" si="4334"/>
        <v>US NAVY YARD</v>
      </c>
      <c r="I11798" t="str">
        <f t="shared" si="4331"/>
        <v>PORTSMOUTH</v>
      </c>
      <c r="J11798" t="str">
        <f t="shared" si="4332"/>
        <v>NH</v>
      </c>
      <c r="K11798" t="str">
        <f>T("2074383229")</f>
        <v>2074383229</v>
      </c>
      <c r="L11798" t="str">
        <f>T("2074383551")</f>
        <v>2074383551</v>
      </c>
    </row>
    <row r="11799" spans="1:12" x14ac:dyDescent="0.35">
      <c r="A11799" t="str">
        <f t="shared" si="4324"/>
        <v>PNSY</v>
      </c>
      <c r="B11799" t="str">
        <f t="shared" si="4333"/>
        <v>CODE 1180 BLDG 22</v>
      </c>
      <c r="C11799" t="str">
        <f t="shared" si="4326"/>
        <v>US NAVY YARD</v>
      </c>
      <c r="D11799" t="str">
        <f t="shared" si="4327"/>
        <v>PORTSMOUTH</v>
      </c>
      <c r="E11799" t="str">
        <f t="shared" si="4328"/>
        <v>NH</v>
      </c>
      <c r="F11799" t="str">
        <f t="shared" si="4329"/>
        <v>038040000</v>
      </c>
      <c r="G11799" t="str">
        <f>T("CODE 1180 BLDG 22")</f>
        <v>CODE 1180 BLDG 22</v>
      </c>
      <c r="H11799" t="str">
        <f t="shared" si="4334"/>
        <v>US NAVY YARD</v>
      </c>
      <c r="I11799" t="str">
        <f t="shared" si="4331"/>
        <v>PORTSMOUTH</v>
      </c>
      <c r="J11799" t="str">
        <f t="shared" si="4332"/>
        <v>NH</v>
      </c>
      <c r="K11799" t="str">
        <f>T("2074386371")</f>
        <v>2074386371</v>
      </c>
      <c r="L11799" t="str">
        <f>T("2074386742")</f>
        <v>2074386742</v>
      </c>
    </row>
    <row r="11800" spans="1:12" x14ac:dyDescent="0.35">
      <c r="A11800" t="str">
        <f t="shared" si="4324"/>
        <v>PNSY</v>
      </c>
      <c r="B11800" t="str">
        <f>T("CODE 1232 BLDG 170 6TH FL")</f>
        <v>CODE 1232 BLDG 170 6TH FL</v>
      </c>
      <c r="C11800" t="str">
        <f t="shared" si="4326"/>
        <v>US NAVY YARD</v>
      </c>
      <c r="D11800" t="str">
        <f t="shared" si="4327"/>
        <v>PORTSMOUTH</v>
      </c>
      <c r="E11800" t="str">
        <f t="shared" si="4328"/>
        <v>NH</v>
      </c>
      <c r="F11800" t="str">
        <f>T("038010000")</f>
        <v>038010000</v>
      </c>
      <c r="G11800" t="str">
        <f>T("CODE 109 BLDG 170")</f>
        <v>CODE 109 BLDG 170</v>
      </c>
      <c r="H11800" t="str">
        <f t="shared" si="4334"/>
        <v>US NAVY YARD</v>
      </c>
      <c r="I11800" t="str">
        <f t="shared" si="4331"/>
        <v>PORTSMOUTH</v>
      </c>
      <c r="J11800" t="str">
        <f t="shared" si="4332"/>
        <v>NH</v>
      </c>
      <c r="K11800" t="str">
        <f>T("000000000000000000")</f>
        <v>000000000000000000</v>
      </c>
      <c r="L11800" t="str">
        <f>T("2074385185")</f>
        <v>2074385185</v>
      </c>
    </row>
    <row r="11801" spans="1:12" x14ac:dyDescent="0.35">
      <c r="A11801" t="str">
        <f t="shared" si="4324"/>
        <v>PNSY</v>
      </c>
      <c r="B11801" t="str">
        <f>T("CODE 1232 BLDG 170 6TH FL")</f>
        <v>CODE 1232 BLDG 170 6TH FL</v>
      </c>
      <c r="C11801" t="str">
        <f t="shared" si="4326"/>
        <v>US NAVY YARD</v>
      </c>
      <c r="D11801" t="str">
        <f t="shared" si="4327"/>
        <v>PORTSMOUTH</v>
      </c>
      <c r="E11801" t="str">
        <f t="shared" si="4328"/>
        <v>NH</v>
      </c>
      <c r="F11801" t="str">
        <f>T("038010000")</f>
        <v>038010000</v>
      </c>
      <c r="G11801" t="str">
        <f>T("CODE 109 BLDG 170")</f>
        <v>CODE 109 BLDG 170</v>
      </c>
      <c r="H11801" t="str">
        <f t="shared" si="4334"/>
        <v>US NAVY YARD</v>
      </c>
      <c r="I11801" t="str">
        <f t="shared" si="4331"/>
        <v>PORTSMOUTH</v>
      </c>
      <c r="J11801" t="str">
        <f t="shared" si="4332"/>
        <v>NH</v>
      </c>
      <c r="K11801" t="str">
        <f>T("2074385060")</f>
        <v>2074385060</v>
      </c>
      <c r="L11801" t="str">
        <f>T("2074381941")</f>
        <v>2074381941</v>
      </c>
    </row>
    <row r="11802" spans="1:12" x14ac:dyDescent="0.35">
      <c r="A11802" t="str">
        <f t="shared" si="4324"/>
        <v>PNSY</v>
      </c>
      <c r="B11802" t="str">
        <f>T("CODE 1232 BLDG 170 6TH FL")</f>
        <v>CODE 1232 BLDG 170 6TH FL</v>
      </c>
      <c r="C11802" t="str">
        <f t="shared" si="4326"/>
        <v>US NAVY YARD</v>
      </c>
      <c r="D11802" t="str">
        <f t="shared" si="4327"/>
        <v>PORTSMOUTH</v>
      </c>
      <c r="E11802" t="str">
        <f t="shared" si="4328"/>
        <v>NH</v>
      </c>
      <c r="F11802" t="str">
        <f>T("038010000")</f>
        <v>038010000</v>
      </c>
      <c r="G11802" t="str">
        <f>T("CODE 1232 BLDG 170")</f>
        <v>CODE 1232 BLDG 170</v>
      </c>
      <c r="H11802" t="str">
        <f>T("PORTSMOUTH NAVAL SHIPYARD")</f>
        <v>PORTSMOUTH NAVAL SHIPYARD</v>
      </c>
      <c r="I11802" t="str">
        <f t="shared" si="4331"/>
        <v>PORTSMOUTH</v>
      </c>
      <c r="J11802" t="str">
        <f t="shared" si="4332"/>
        <v>NH</v>
      </c>
      <c r="K11802" t="str">
        <f>T("2074385060")</f>
        <v>2074385060</v>
      </c>
      <c r="L11802" t="str">
        <f>T("2074386966")</f>
        <v>2074386966</v>
      </c>
    </row>
    <row r="11803" spans="1:12" x14ac:dyDescent="0.35">
      <c r="A11803" t="str">
        <f t="shared" si="4324"/>
        <v>PNSY</v>
      </c>
      <c r="B11803" t="str">
        <f>T("CODE 1232 BLDG 170 6TH FL")</f>
        <v>CODE 1232 BLDG 170 6TH FL</v>
      </c>
      <c r="C11803" t="str">
        <f t="shared" si="4326"/>
        <v>US NAVY YARD</v>
      </c>
      <c r="D11803" t="str">
        <f t="shared" si="4327"/>
        <v>PORTSMOUTH</v>
      </c>
      <c r="E11803" t="str">
        <f t="shared" si="4328"/>
        <v>NH</v>
      </c>
      <c r="F11803" t="str">
        <f>T("038010000")</f>
        <v>038010000</v>
      </c>
      <c r="G11803" t="str">
        <f>T("CODE 1232 BLDG 170 6TH FL")</f>
        <v>CODE 1232 BLDG 170 6TH FL</v>
      </c>
      <c r="H11803" t="str">
        <f>T("US NAVY YARD")</f>
        <v>US NAVY YARD</v>
      </c>
      <c r="I11803" t="str">
        <f t="shared" si="4331"/>
        <v>PORTSMOUTH</v>
      </c>
      <c r="J11803" t="str">
        <f t="shared" si="4332"/>
        <v>NH</v>
      </c>
      <c r="K11803" t="str">
        <f>T("2074385060")</f>
        <v>2074385060</v>
      </c>
      <c r="L11803" t="str">
        <f>T("2074386964")</f>
        <v>2074386964</v>
      </c>
    </row>
    <row r="11804" spans="1:12" x14ac:dyDescent="0.35">
      <c r="A11804" t="str">
        <f t="shared" si="4324"/>
        <v>PNSY</v>
      </c>
      <c r="B11804" t="str">
        <f>T("CODE 1252 BLDG 170")</f>
        <v>CODE 1252 BLDG 170</v>
      </c>
      <c r="C11804" t="str">
        <f>T("6TH FLOOR")</f>
        <v>6TH FLOOR</v>
      </c>
      <c r="D11804" t="str">
        <f t="shared" si="4327"/>
        <v>PORTSMOUTH</v>
      </c>
      <c r="E11804" t="str">
        <f t="shared" si="4328"/>
        <v>NH</v>
      </c>
      <c r="F11804" t="str">
        <f t="shared" ref="F11804:F11819" si="4335">T("038040000")</f>
        <v>038040000</v>
      </c>
      <c r="G11804" t="str">
        <f>T("CODE 1250")</f>
        <v>CODE 1250</v>
      </c>
      <c r="H11804" t="str">
        <f>T("US NAVY YARD")</f>
        <v>US NAVY YARD</v>
      </c>
      <c r="I11804" t="str">
        <f t="shared" si="4331"/>
        <v>PORTSMOUTH</v>
      </c>
      <c r="J11804" t="str">
        <f t="shared" si="4332"/>
        <v>NH</v>
      </c>
      <c r="K11804" t="str">
        <f>T("000000000000000000")</f>
        <v>000000000000000000</v>
      </c>
      <c r="L11804" t="str">
        <f>T("2074382562")</f>
        <v>2074382562</v>
      </c>
    </row>
    <row r="11805" spans="1:12" x14ac:dyDescent="0.35">
      <c r="A11805" t="str">
        <f t="shared" si="4324"/>
        <v>PNSY</v>
      </c>
      <c r="B11805" t="str">
        <f>T("CODE 1252 BLDG 170")</f>
        <v>CODE 1252 BLDG 170</v>
      </c>
      <c r="C11805" t="str">
        <f>T("6TH FLOOR")</f>
        <v>6TH FLOOR</v>
      </c>
      <c r="D11805" t="str">
        <f t="shared" si="4327"/>
        <v>PORTSMOUTH</v>
      </c>
      <c r="E11805" t="str">
        <f t="shared" si="4328"/>
        <v>NH</v>
      </c>
      <c r="F11805" t="str">
        <f t="shared" si="4335"/>
        <v>038040000</v>
      </c>
      <c r="G11805" t="str">
        <f>T("CODE 1252 BLDG 170")</f>
        <v>CODE 1252 BLDG 170</v>
      </c>
      <c r="H11805" t="str">
        <f>T("6TH FLOOR")</f>
        <v>6TH FLOOR</v>
      </c>
      <c r="I11805" t="str">
        <f t="shared" si="4331"/>
        <v>PORTSMOUTH</v>
      </c>
      <c r="J11805" t="str">
        <f t="shared" si="4332"/>
        <v>NH</v>
      </c>
      <c r="K11805" t="str">
        <f>T("207 438 2060")</f>
        <v>207 438 2060</v>
      </c>
      <c r="L11805" t="str">
        <f>T("2074384073")</f>
        <v>2074384073</v>
      </c>
    </row>
    <row r="11806" spans="1:12" x14ac:dyDescent="0.35">
      <c r="A11806" t="str">
        <f t="shared" si="4324"/>
        <v>PNSY</v>
      </c>
      <c r="B11806" t="str">
        <f>T("CODE 134 BLDG 20/3RD FLOOR")</f>
        <v>CODE 134 BLDG 20/3RD FLOOR</v>
      </c>
      <c r="C11806" t="str">
        <f t="shared" ref="C11806:C11816" si="4336">T("US NAVY YARD")</f>
        <v>US NAVY YARD</v>
      </c>
      <c r="D11806" t="str">
        <f t="shared" si="4327"/>
        <v>PORTSMOUTH</v>
      </c>
      <c r="E11806" t="str">
        <f t="shared" si="4328"/>
        <v>NH</v>
      </c>
      <c r="F11806" t="str">
        <f t="shared" si="4335"/>
        <v>038040000</v>
      </c>
      <c r="G11806" t="str">
        <f>T("CODE 134 BLDG 20")</f>
        <v>CODE 134 BLDG 20</v>
      </c>
      <c r="H11806" t="str">
        <f t="shared" ref="H11806:H11817" si="4337">T("US NAVY YARD")</f>
        <v>US NAVY YARD</v>
      </c>
      <c r="I11806" t="str">
        <f t="shared" si="4331"/>
        <v>PORTSMOUTH</v>
      </c>
      <c r="J11806" t="str">
        <f t="shared" si="4332"/>
        <v>NH</v>
      </c>
      <c r="K11806" t="str">
        <f>T("2074382554")</f>
        <v>2074382554</v>
      </c>
      <c r="L11806" t="str">
        <f>T("2074381219")</f>
        <v>2074381219</v>
      </c>
    </row>
    <row r="11807" spans="1:12" x14ac:dyDescent="0.35">
      <c r="A11807" t="str">
        <f t="shared" si="4324"/>
        <v>PNSY</v>
      </c>
      <c r="B11807" t="str">
        <f>T("CODE 134 BLDG 20/3RD FLOOR")</f>
        <v>CODE 134 BLDG 20/3RD FLOOR</v>
      </c>
      <c r="C11807" t="str">
        <f t="shared" si="4336"/>
        <v>US NAVY YARD</v>
      </c>
      <c r="D11807" t="str">
        <f t="shared" si="4327"/>
        <v>PORTSMOUTH</v>
      </c>
      <c r="E11807" t="str">
        <f t="shared" si="4328"/>
        <v>NH</v>
      </c>
      <c r="F11807" t="str">
        <f t="shared" si="4335"/>
        <v>038040000</v>
      </c>
      <c r="G11807" t="str">
        <f>T("CODE 134 BLDG 20/3RD FLOOR")</f>
        <v>CODE 134 BLDG 20/3RD FLOOR</v>
      </c>
      <c r="H11807" t="str">
        <f t="shared" si="4337"/>
        <v>US NAVY YARD</v>
      </c>
      <c r="I11807" t="str">
        <f t="shared" si="4331"/>
        <v>PORTSMOUTH</v>
      </c>
      <c r="J11807" t="str">
        <f t="shared" si="4332"/>
        <v>NH</v>
      </c>
      <c r="K11807" t="str">
        <f>T("2074382554")</f>
        <v>2074382554</v>
      </c>
      <c r="L11807" t="str">
        <f>T("2074381890")</f>
        <v>2074381890</v>
      </c>
    </row>
    <row r="11808" spans="1:12" x14ac:dyDescent="0.35">
      <c r="A11808" t="str">
        <f t="shared" si="4324"/>
        <v>PNSY</v>
      </c>
      <c r="B11808" t="str">
        <f>T("CODE 135 BLDG 18")</f>
        <v>CODE 135 BLDG 18</v>
      </c>
      <c r="C11808" t="str">
        <f t="shared" si="4336"/>
        <v>US NAVY YARD</v>
      </c>
      <c r="D11808" t="str">
        <f t="shared" si="4327"/>
        <v>PORTSMOUTH</v>
      </c>
      <c r="E11808" t="str">
        <f t="shared" si="4328"/>
        <v>NH</v>
      </c>
      <c r="F11808" t="str">
        <f t="shared" si="4335"/>
        <v>038040000</v>
      </c>
      <c r="G11808" t="str">
        <f>T("CODE 133 BLDG 18")</f>
        <v>CODE 133 BLDG 18</v>
      </c>
      <c r="H11808" t="str">
        <f t="shared" si="4337"/>
        <v>US NAVY YARD</v>
      </c>
      <c r="I11808" t="str">
        <f t="shared" si="4331"/>
        <v>PORTSMOUTH</v>
      </c>
      <c r="J11808" t="str">
        <f t="shared" si="4332"/>
        <v>NH</v>
      </c>
      <c r="K11808" t="str">
        <f>T("2074381999")</f>
        <v>2074381999</v>
      </c>
      <c r="L11808" t="str">
        <f>T("2074382492")</f>
        <v>2074382492</v>
      </c>
    </row>
    <row r="11809" spans="1:12" x14ac:dyDescent="0.35">
      <c r="A11809" t="str">
        <f t="shared" si="4324"/>
        <v>PNSY</v>
      </c>
      <c r="B11809" t="str">
        <f>T("CODE 135 BLDG 18")</f>
        <v>CODE 135 BLDG 18</v>
      </c>
      <c r="C11809" t="str">
        <f t="shared" si="4336"/>
        <v>US NAVY YARD</v>
      </c>
      <c r="D11809" t="str">
        <f t="shared" si="4327"/>
        <v>PORTSMOUTH</v>
      </c>
      <c r="E11809" t="str">
        <f t="shared" si="4328"/>
        <v>NH</v>
      </c>
      <c r="F11809" t="str">
        <f t="shared" si="4335"/>
        <v>038040000</v>
      </c>
      <c r="G11809" t="str">
        <f>T("CODE 135 2 BLDG 18 FL 1")</f>
        <v>CODE 135 2 BLDG 18 FL 1</v>
      </c>
      <c r="H11809" t="str">
        <f t="shared" si="4337"/>
        <v>US NAVY YARD</v>
      </c>
      <c r="I11809" t="str">
        <f t="shared" si="4331"/>
        <v>PORTSMOUTH</v>
      </c>
      <c r="J11809" t="str">
        <f t="shared" si="4332"/>
        <v>NH</v>
      </c>
      <c r="K11809" t="str">
        <f>T("2074382400")</f>
        <v>2074382400</v>
      </c>
      <c r="L11809" t="str">
        <f>T("2074381319")</f>
        <v>2074381319</v>
      </c>
    </row>
    <row r="11810" spans="1:12" x14ac:dyDescent="0.35">
      <c r="A11810" t="str">
        <f t="shared" si="4324"/>
        <v>PNSY</v>
      </c>
      <c r="B11810" t="str">
        <f>T("CODE 135 BLDG 18")</f>
        <v>CODE 135 BLDG 18</v>
      </c>
      <c r="C11810" t="str">
        <f t="shared" si="4336"/>
        <v>US NAVY YARD</v>
      </c>
      <c r="D11810" t="str">
        <f t="shared" si="4327"/>
        <v>PORTSMOUTH</v>
      </c>
      <c r="E11810" t="str">
        <f t="shared" si="4328"/>
        <v>NH</v>
      </c>
      <c r="F11810" t="str">
        <f t="shared" si="4335"/>
        <v>038040000</v>
      </c>
      <c r="G11810" t="str">
        <f>T("CODE 135 BLDG 18")</f>
        <v>CODE 135 BLDG 18</v>
      </c>
      <c r="H11810" t="str">
        <f t="shared" si="4337"/>
        <v>US NAVY YARD</v>
      </c>
      <c r="I11810" t="str">
        <f t="shared" si="4331"/>
        <v>PORTSMOUTH</v>
      </c>
      <c r="J11810" t="str">
        <f t="shared" si="4332"/>
        <v>NH</v>
      </c>
      <c r="K11810" t="str">
        <f>T("2074382400")</f>
        <v>2074382400</v>
      </c>
      <c r="L11810" t="str">
        <f>T("2074382402")</f>
        <v>2074382402</v>
      </c>
    </row>
    <row r="11811" spans="1:12" x14ac:dyDescent="0.35">
      <c r="A11811" t="str">
        <f t="shared" si="4324"/>
        <v>PNSY</v>
      </c>
      <c r="B11811" t="str">
        <f>T("CODE 136 BLDG 20")</f>
        <v>CODE 136 BLDG 20</v>
      </c>
      <c r="C11811" t="str">
        <f t="shared" si="4336"/>
        <v>US NAVY YARD</v>
      </c>
      <c r="D11811" t="str">
        <f t="shared" si="4327"/>
        <v>PORTSMOUTH</v>
      </c>
      <c r="E11811" t="str">
        <f t="shared" si="4328"/>
        <v>NH</v>
      </c>
      <c r="F11811" t="str">
        <f t="shared" si="4335"/>
        <v>038040000</v>
      </c>
      <c r="G11811" t="str">
        <f>T("CODE 136 BLDG 20")</f>
        <v>CODE 136 BLDG 20</v>
      </c>
      <c r="H11811" t="str">
        <f t="shared" si="4337"/>
        <v>US NAVY YARD</v>
      </c>
      <c r="I11811" t="str">
        <f t="shared" si="4331"/>
        <v>PORTSMOUTH</v>
      </c>
      <c r="J11811" t="str">
        <f t="shared" si="4332"/>
        <v>NH</v>
      </c>
      <c r="K11811" t="str">
        <f>T("2074381273")</f>
        <v>2074381273</v>
      </c>
      <c r="L11811" t="str">
        <f>T("2074382710")</f>
        <v>2074382710</v>
      </c>
    </row>
    <row r="11812" spans="1:12" x14ac:dyDescent="0.35">
      <c r="A11812" t="str">
        <f t="shared" si="4324"/>
        <v>PNSY</v>
      </c>
      <c r="B11812" t="str">
        <f>T("CODE 136 BLDG 20")</f>
        <v>CODE 136 BLDG 20</v>
      </c>
      <c r="C11812" t="str">
        <f t="shared" si="4336"/>
        <v>US NAVY YARD</v>
      </c>
      <c r="D11812" t="str">
        <f t="shared" si="4327"/>
        <v>PORTSMOUTH</v>
      </c>
      <c r="E11812" t="str">
        <f t="shared" si="4328"/>
        <v>NH</v>
      </c>
      <c r="F11812" t="str">
        <f t="shared" si="4335"/>
        <v>038040000</v>
      </c>
      <c r="G11812" t="str">
        <f>T("CODE 136 BLDG 20")</f>
        <v>CODE 136 BLDG 20</v>
      </c>
      <c r="H11812" t="str">
        <f t="shared" si="4337"/>
        <v>US NAVY YARD</v>
      </c>
      <c r="I11812" t="str">
        <f t="shared" si="4331"/>
        <v>PORTSMOUTH</v>
      </c>
      <c r="J11812" t="str">
        <f t="shared" si="4332"/>
        <v>NH</v>
      </c>
      <c r="K11812" t="str">
        <f>T("2074382596")</f>
        <v>2074382596</v>
      </c>
      <c r="L11812" t="str">
        <f>T("2074382127")</f>
        <v>2074382127</v>
      </c>
    </row>
    <row r="11813" spans="1:12" x14ac:dyDescent="0.35">
      <c r="A11813" t="str">
        <f t="shared" si="4324"/>
        <v>PNSY</v>
      </c>
      <c r="B11813" t="str">
        <f>T("CODE 136.3 BLDG 20")</f>
        <v>CODE 136.3 BLDG 20</v>
      </c>
      <c r="C11813" t="str">
        <f t="shared" si="4336"/>
        <v>US NAVY YARD</v>
      </c>
      <c r="D11813" t="str">
        <f t="shared" si="4327"/>
        <v>PORTSMOUTH</v>
      </c>
      <c r="E11813" t="str">
        <f t="shared" si="4328"/>
        <v>NH</v>
      </c>
      <c r="F11813" t="str">
        <f t="shared" si="4335"/>
        <v>038040000</v>
      </c>
      <c r="G11813" t="str">
        <f>T("CODE 134 BLDG 20")</f>
        <v>CODE 134 BLDG 20</v>
      </c>
      <c r="H11813" t="str">
        <f t="shared" si="4337"/>
        <v>US NAVY YARD</v>
      </c>
      <c r="I11813" t="str">
        <f t="shared" si="4331"/>
        <v>PORTSMOUTH</v>
      </c>
      <c r="J11813" t="str">
        <f t="shared" si="4332"/>
        <v>NH</v>
      </c>
      <c r="K11813" t="str">
        <f>T("2074381521")</f>
        <v>2074381521</v>
      </c>
      <c r="L11813" t="str">
        <f>T("2074381897")</f>
        <v>2074381897</v>
      </c>
    </row>
    <row r="11814" spans="1:12" x14ac:dyDescent="0.35">
      <c r="A11814" t="str">
        <f t="shared" si="4324"/>
        <v>PNSY</v>
      </c>
      <c r="B11814" t="str">
        <f>T("CODE 136.3 BLDG 20")</f>
        <v>CODE 136.3 BLDG 20</v>
      </c>
      <c r="C11814" t="str">
        <f t="shared" si="4336"/>
        <v>US NAVY YARD</v>
      </c>
      <c r="D11814" t="str">
        <f t="shared" si="4327"/>
        <v>PORTSMOUTH</v>
      </c>
      <c r="E11814" t="str">
        <f t="shared" si="4328"/>
        <v>NH</v>
      </c>
      <c r="F11814" t="str">
        <f t="shared" si="4335"/>
        <v>038040000</v>
      </c>
      <c r="G11814" t="str">
        <f>T("CODE 134 BLDG 20")</f>
        <v>CODE 134 BLDG 20</v>
      </c>
      <c r="H11814" t="str">
        <f t="shared" si="4337"/>
        <v>US NAVY YARD</v>
      </c>
      <c r="I11814" t="str">
        <f t="shared" si="4331"/>
        <v>PORTSMOUTH</v>
      </c>
      <c r="J11814" t="str">
        <f t="shared" si="4332"/>
        <v>NH</v>
      </c>
      <c r="K11814" t="str">
        <f>T("2074382554")</f>
        <v>2074382554</v>
      </c>
      <c r="L11814" t="str">
        <f>T("2074381897")</f>
        <v>2074381897</v>
      </c>
    </row>
    <row r="11815" spans="1:12" x14ac:dyDescent="0.35">
      <c r="A11815" t="str">
        <f t="shared" si="4324"/>
        <v>PNSY</v>
      </c>
      <c r="B11815" t="str">
        <f>T("CODE 136.3 BLDG 20")</f>
        <v>CODE 136.3 BLDG 20</v>
      </c>
      <c r="C11815" t="str">
        <f t="shared" si="4336"/>
        <v>US NAVY YARD</v>
      </c>
      <c r="D11815" t="str">
        <f t="shared" si="4327"/>
        <v>PORTSMOUTH</v>
      </c>
      <c r="E11815" t="str">
        <f t="shared" si="4328"/>
        <v>NH</v>
      </c>
      <c r="F11815" t="str">
        <f t="shared" si="4335"/>
        <v>038040000</v>
      </c>
      <c r="G11815" t="str">
        <f>T("CODE 134 BLDG 20")</f>
        <v>CODE 134 BLDG 20</v>
      </c>
      <c r="H11815" t="str">
        <f t="shared" si="4337"/>
        <v>US NAVY YARD</v>
      </c>
      <c r="I11815" t="str">
        <f t="shared" si="4331"/>
        <v>PORTSMOUTH</v>
      </c>
      <c r="J11815" t="str">
        <f t="shared" si="4332"/>
        <v>NH</v>
      </c>
      <c r="K11815" t="str">
        <f>T("2074382554")</f>
        <v>2074382554</v>
      </c>
      <c r="L11815" t="str">
        <f>T("2074384140")</f>
        <v>2074384140</v>
      </c>
    </row>
    <row r="11816" spans="1:12" x14ac:dyDescent="0.35">
      <c r="A11816" t="str">
        <f t="shared" si="4324"/>
        <v>PNSY</v>
      </c>
      <c r="B11816" t="str">
        <f>T("CODE 136.3 BLDG 20")</f>
        <v>CODE 136.3 BLDG 20</v>
      </c>
      <c r="C11816" t="str">
        <f t="shared" si="4336"/>
        <v>US NAVY YARD</v>
      </c>
      <c r="D11816" t="str">
        <f t="shared" si="4327"/>
        <v>PORTSMOUTH</v>
      </c>
      <c r="E11816" t="str">
        <f t="shared" si="4328"/>
        <v>NH</v>
      </c>
      <c r="F11816" t="str">
        <f t="shared" si="4335"/>
        <v>038040000</v>
      </c>
      <c r="G11816" t="str">
        <f>T("CODE 136.3 BLDG 20")</f>
        <v>CODE 136.3 BLDG 20</v>
      </c>
      <c r="H11816" t="str">
        <f t="shared" si="4337"/>
        <v>US NAVY YARD</v>
      </c>
      <c r="I11816" t="str">
        <f t="shared" si="4331"/>
        <v>PORTSMOUTH</v>
      </c>
      <c r="J11816" t="str">
        <f t="shared" si="4332"/>
        <v>NH</v>
      </c>
      <c r="K11816" t="str">
        <f>T("2074382596")</f>
        <v>2074382596</v>
      </c>
      <c r="L11816" t="str">
        <f>T("2074382596")</f>
        <v>2074382596</v>
      </c>
    </row>
    <row r="11817" spans="1:12" x14ac:dyDescent="0.35">
      <c r="A11817" t="str">
        <f t="shared" si="4324"/>
        <v>PNSY</v>
      </c>
      <c r="B11817" t="str">
        <f>T("CODE 1700 BLDG 29")</f>
        <v>CODE 1700 BLDG 29</v>
      </c>
      <c r="C11817" t="str">
        <f>T("NAVY YARD-SCHNEIDER")</f>
        <v>NAVY YARD-SCHNEIDER</v>
      </c>
      <c r="D11817" t="str">
        <f t="shared" si="4327"/>
        <v>PORTSMOUTH</v>
      </c>
      <c r="E11817" t="str">
        <f t="shared" si="4328"/>
        <v>NH</v>
      </c>
      <c r="F11817" t="str">
        <f t="shared" si="4335"/>
        <v>038040000</v>
      </c>
      <c r="G11817" t="str">
        <f>T("CODE 1120 BLDG 29")</f>
        <v>CODE 1120 BLDG 29</v>
      </c>
      <c r="H11817" t="str">
        <f t="shared" si="4337"/>
        <v>US NAVY YARD</v>
      </c>
      <c r="I11817" t="str">
        <f t="shared" si="4331"/>
        <v>PORTSMOUTH</v>
      </c>
      <c r="J11817" t="str">
        <f t="shared" si="4332"/>
        <v>NH</v>
      </c>
      <c r="K11817" t="str">
        <f>T("2074382451")</f>
        <v>2074382451</v>
      </c>
      <c r="L11817" t="str">
        <f>T("2074383523")</f>
        <v>2074383523</v>
      </c>
    </row>
    <row r="11818" spans="1:12" x14ac:dyDescent="0.35">
      <c r="A11818" t="str">
        <f t="shared" si="4324"/>
        <v>PNSY</v>
      </c>
      <c r="B11818" t="str">
        <f>T("CODE 1700 BLDG 29")</f>
        <v>CODE 1700 BLDG 29</v>
      </c>
      <c r="C11818" t="str">
        <f>T("NAVY YARD-SCHNEIDER")</f>
        <v>NAVY YARD-SCHNEIDER</v>
      </c>
      <c r="D11818" t="str">
        <f t="shared" si="4327"/>
        <v>PORTSMOUTH</v>
      </c>
      <c r="E11818" t="str">
        <f t="shared" si="4328"/>
        <v>NH</v>
      </c>
      <c r="F11818" t="str">
        <f t="shared" si="4335"/>
        <v>038040000</v>
      </c>
      <c r="G11818" t="str">
        <f>T("CODE 1700 BLDG 29")</f>
        <v>CODE 1700 BLDG 29</v>
      </c>
      <c r="H11818" t="str">
        <f>T("NAVY YARD-SCHNEIDER")</f>
        <v>NAVY YARD-SCHNEIDER</v>
      </c>
      <c r="I11818" t="str">
        <f t="shared" si="4331"/>
        <v>PORTSMOUTH</v>
      </c>
      <c r="J11818" t="str">
        <f t="shared" si="4332"/>
        <v>NH</v>
      </c>
      <c r="K11818" t="str">
        <f>T("2074382451")</f>
        <v>2074382451</v>
      </c>
      <c r="L11818" t="str">
        <f>T("2074383518")</f>
        <v>2074383518</v>
      </c>
    </row>
    <row r="11819" spans="1:12" x14ac:dyDescent="0.35">
      <c r="A11819" t="str">
        <f t="shared" ref="A11819:A11850" si="4338">T("PNSY")</f>
        <v>PNSY</v>
      </c>
      <c r="B11819" t="str">
        <f>T("CODE 1700 BLDG 29")</f>
        <v>CODE 1700 BLDG 29</v>
      </c>
      <c r="C11819" t="str">
        <f>T("NAVY YARD-SCHNEIDER")</f>
        <v>NAVY YARD-SCHNEIDER</v>
      </c>
      <c r="D11819" t="str">
        <f t="shared" ref="D11819:D11850" si="4339">T("PORTSMOUTH")</f>
        <v>PORTSMOUTH</v>
      </c>
      <c r="E11819" t="str">
        <f t="shared" ref="E11819:E11850" si="4340">T("NH")</f>
        <v>NH</v>
      </c>
      <c r="F11819" t="str">
        <f t="shared" si="4335"/>
        <v>038040000</v>
      </c>
      <c r="G11819" t="str">
        <f>T("CODE 17203 BLDG H-29")</f>
        <v>CODE 17203 BLDG H-29</v>
      </c>
      <c r="H11819" t="str">
        <f t="shared" ref="H11819:H11854" si="4341">T("US NAVY YARD")</f>
        <v>US NAVY YARD</v>
      </c>
      <c r="I11819" t="str">
        <f t="shared" ref="I11819:I11850" si="4342">T("PORTSMOUTH")</f>
        <v>PORTSMOUTH</v>
      </c>
      <c r="J11819" t="str">
        <f t="shared" ref="J11819:J11850" si="4343">T("NH")</f>
        <v>NH</v>
      </c>
      <c r="K11819" t="str">
        <f>T("000000000000000000")</f>
        <v>000000000000000000</v>
      </c>
      <c r="L11819" t="str">
        <f>T("2074383944")</f>
        <v>2074383944</v>
      </c>
    </row>
    <row r="11820" spans="1:12" x14ac:dyDescent="0.35">
      <c r="A11820" t="str">
        <f t="shared" si="4338"/>
        <v>PNSY</v>
      </c>
      <c r="B11820" t="str">
        <f>T("CODE 220 1 BLDG 86A/3")</f>
        <v>CODE 220 1 BLDG 86A/3</v>
      </c>
      <c r="C11820" t="str">
        <f t="shared" ref="C11820:C11853" si="4344">T("US NAVY YARD")</f>
        <v>US NAVY YARD</v>
      </c>
      <c r="D11820" t="str">
        <f t="shared" si="4339"/>
        <v>PORTSMOUTH</v>
      </c>
      <c r="E11820" t="str">
        <f t="shared" si="4340"/>
        <v>NH</v>
      </c>
      <c r="F11820" t="str">
        <f>T("038010000")</f>
        <v>038010000</v>
      </c>
      <c r="G11820" t="str">
        <f>T("CODE 220 1 BLDG 86A/3")</f>
        <v>CODE 220 1 BLDG 86A/3</v>
      </c>
      <c r="H11820" t="str">
        <f t="shared" si="4341"/>
        <v>US NAVY YARD</v>
      </c>
      <c r="I11820" t="str">
        <f t="shared" si="4342"/>
        <v>PORTSMOUTH</v>
      </c>
      <c r="J11820" t="str">
        <f t="shared" si="4343"/>
        <v>NH</v>
      </c>
      <c r="K11820" t="str">
        <f>T("2074383204")</f>
        <v>2074383204</v>
      </c>
      <c r="L11820" t="str">
        <f>T("2074383272")</f>
        <v>2074383272</v>
      </c>
    </row>
    <row r="11821" spans="1:12" x14ac:dyDescent="0.35">
      <c r="A11821" t="str">
        <f t="shared" si="4338"/>
        <v>PNSY</v>
      </c>
      <c r="B11821" t="str">
        <f>T("CODE 220 1 BLDG 86A/3")</f>
        <v>CODE 220 1 BLDG 86A/3</v>
      </c>
      <c r="C11821" t="str">
        <f t="shared" si="4344"/>
        <v>US NAVY YARD</v>
      </c>
      <c r="D11821" t="str">
        <f t="shared" si="4339"/>
        <v>PORTSMOUTH</v>
      </c>
      <c r="E11821" t="str">
        <f t="shared" si="4340"/>
        <v>NH</v>
      </c>
      <c r="F11821" t="str">
        <f>T("038010000")</f>
        <v>038010000</v>
      </c>
      <c r="G11821" t="str">
        <f>T("CODE 220 BLDG 86")</f>
        <v>CODE 220 BLDG 86</v>
      </c>
      <c r="H11821" t="str">
        <f t="shared" si="4341"/>
        <v>US NAVY YARD</v>
      </c>
      <c r="I11821" t="str">
        <f t="shared" si="4342"/>
        <v>PORTSMOUTH</v>
      </c>
      <c r="J11821" t="str">
        <f t="shared" si="4343"/>
        <v>NH</v>
      </c>
      <c r="K11821" t="str">
        <f>T("2074383204")</f>
        <v>2074383204</v>
      </c>
      <c r="L11821" t="str">
        <f>T("2074383266")</f>
        <v>2074383266</v>
      </c>
    </row>
    <row r="11822" spans="1:12" x14ac:dyDescent="0.35">
      <c r="A11822" t="str">
        <f t="shared" si="4338"/>
        <v>PNSY</v>
      </c>
      <c r="B11822" t="str">
        <f>T("CODE 220 1 BLDG 86A/3")</f>
        <v>CODE 220 1 BLDG 86A/3</v>
      </c>
      <c r="C11822" t="str">
        <f t="shared" si="4344"/>
        <v>US NAVY YARD</v>
      </c>
      <c r="D11822" t="str">
        <f t="shared" si="4339"/>
        <v>PORTSMOUTH</v>
      </c>
      <c r="E11822" t="str">
        <f t="shared" si="4340"/>
        <v>NH</v>
      </c>
      <c r="F11822" t="str">
        <f>T("038010000")</f>
        <v>038010000</v>
      </c>
      <c r="G11822" t="str">
        <f>T("CODE 270 BLDG 86A")</f>
        <v>CODE 270 BLDG 86A</v>
      </c>
      <c r="H11822" t="str">
        <f t="shared" si="4341"/>
        <v>US NAVY YARD</v>
      </c>
      <c r="I11822" t="str">
        <f t="shared" si="4342"/>
        <v>PORTSMOUTH</v>
      </c>
      <c r="J11822" t="str">
        <f t="shared" si="4343"/>
        <v>NH</v>
      </c>
      <c r="K11822" t="str">
        <f>T("2074383413")</f>
        <v>2074383413</v>
      </c>
      <c r="L11822" t="str">
        <f>T("2074383279")</f>
        <v>2074383279</v>
      </c>
    </row>
    <row r="11823" spans="1:12" x14ac:dyDescent="0.35">
      <c r="A11823" t="str">
        <f t="shared" si="4338"/>
        <v>PNSY</v>
      </c>
      <c r="B11823" t="str">
        <f>T("CODE 2300M BLDG 153")</f>
        <v>CODE 2300M BLDG 153</v>
      </c>
      <c r="C11823" t="str">
        <f t="shared" si="4344"/>
        <v>US NAVY YARD</v>
      </c>
      <c r="D11823" t="str">
        <f t="shared" si="4339"/>
        <v>PORTSMOUTH</v>
      </c>
      <c r="E11823" t="str">
        <f t="shared" si="4340"/>
        <v>NH</v>
      </c>
      <c r="F11823" t="str">
        <f t="shared" ref="F11823:F11837" si="4345">T("038040000")</f>
        <v>038040000</v>
      </c>
      <c r="G11823" t="str">
        <f>T("CODE 2300M BLDG 153")</f>
        <v>CODE 2300M BLDG 153</v>
      </c>
      <c r="H11823" t="str">
        <f t="shared" si="4341"/>
        <v>US NAVY YARD</v>
      </c>
      <c r="I11823" t="str">
        <f t="shared" si="4342"/>
        <v>PORTSMOUTH</v>
      </c>
      <c r="J11823" t="str">
        <f t="shared" si="4343"/>
        <v>NH</v>
      </c>
      <c r="K11823" t="str">
        <f>T("2074381211")</f>
        <v>2074381211</v>
      </c>
      <c r="L11823" t="str">
        <f>T("2074385934")</f>
        <v>2074385934</v>
      </c>
    </row>
    <row r="11824" spans="1:12" x14ac:dyDescent="0.35">
      <c r="A11824" t="str">
        <f t="shared" si="4338"/>
        <v>PNSY</v>
      </c>
      <c r="B11824" t="str">
        <f>T("CODE 2300M BLDG 153")</f>
        <v>CODE 2300M BLDG 153</v>
      </c>
      <c r="C11824" t="str">
        <f t="shared" si="4344"/>
        <v>US NAVY YARD</v>
      </c>
      <c r="D11824" t="str">
        <f t="shared" si="4339"/>
        <v>PORTSMOUTH</v>
      </c>
      <c r="E11824" t="str">
        <f t="shared" si="4340"/>
        <v>NH</v>
      </c>
      <c r="F11824" t="str">
        <f t="shared" si="4345"/>
        <v>038040000</v>
      </c>
      <c r="G11824" t="str">
        <f>T("CODE 2300M BLDG 153")</f>
        <v>CODE 2300M BLDG 153</v>
      </c>
      <c r="H11824" t="str">
        <f t="shared" si="4341"/>
        <v>US NAVY YARD</v>
      </c>
      <c r="I11824" t="str">
        <f t="shared" si="4342"/>
        <v>PORTSMOUTH</v>
      </c>
      <c r="J11824" t="str">
        <f t="shared" si="4343"/>
        <v>NH</v>
      </c>
      <c r="K11824" t="str">
        <f>T("2074385216")</f>
        <v>2074385216</v>
      </c>
      <c r="L11824" t="str">
        <f>T("2074385127")</f>
        <v>2074385127</v>
      </c>
    </row>
    <row r="11825" spans="1:12" x14ac:dyDescent="0.35">
      <c r="A11825" t="str">
        <f t="shared" si="4338"/>
        <v>PNSY</v>
      </c>
      <c r="B11825" t="str">
        <f t="shared" ref="B11825:B11837" si="4346">T("CODE 2305 BLDG 153")</f>
        <v>CODE 2305 BLDG 153</v>
      </c>
      <c r="C11825" t="str">
        <f t="shared" si="4344"/>
        <v>US NAVY YARD</v>
      </c>
      <c r="D11825" t="str">
        <f t="shared" si="4339"/>
        <v>PORTSMOUTH</v>
      </c>
      <c r="E11825" t="str">
        <f t="shared" si="4340"/>
        <v>NH</v>
      </c>
      <c r="F11825" t="str">
        <f t="shared" si="4345"/>
        <v>038040000</v>
      </c>
      <c r="G11825" t="str">
        <f>T("CODE 2305 2 BLDG 153 5F")</f>
        <v>CODE 2305 2 BLDG 153 5F</v>
      </c>
      <c r="H11825" t="str">
        <f t="shared" si="4341"/>
        <v>US NAVY YARD</v>
      </c>
      <c r="I11825" t="str">
        <f t="shared" si="4342"/>
        <v>PORTSMOUTH</v>
      </c>
      <c r="J11825" t="str">
        <f t="shared" si="4343"/>
        <v>NH</v>
      </c>
      <c r="K11825" t="str">
        <f>T("2074381211")</f>
        <v>2074381211</v>
      </c>
      <c r="L11825" t="str">
        <f>T("2074385221")</f>
        <v>2074385221</v>
      </c>
    </row>
    <row r="11826" spans="1:12" x14ac:dyDescent="0.35">
      <c r="A11826" t="str">
        <f t="shared" si="4338"/>
        <v>PNSY</v>
      </c>
      <c r="B11826" t="str">
        <f t="shared" si="4346"/>
        <v>CODE 2305 BLDG 153</v>
      </c>
      <c r="C11826" t="str">
        <f t="shared" si="4344"/>
        <v>US NAVY YARD</v>
      </c>
      <c r="D11826" t="str">
        <f t="shared" si="4339"/>
        <v>PORTSMOUTH</v>
      </c>
      <c r="E11826" t="str">
        <f t="shared" si="4340"/>
        <v>NH</v>
      </c>
      <c r="F11826" t="str">
        <f t="shared" si="4345"/>
        <v>038040000</v>
      </c>
      <c r="G11826" t="str">
        <f>T("CODE 2305 2 BLDG 153 5TH FL")</f>
        <v>CODE 2305 2 BLDG 153 5TH FL</v>
      </c>
      <c r="H11826" t="str">
        <f t="shared" si="4341"/>
        <v>US NAVY YARD</v>
      </c>
      <c r="I11826" t="str">
        <f t="shared" si="4342"/>
        <v>PORTSMOUTH</v>
      </c>
      <c r="J11826" t="str">
        <f t="shared" si="4343"/>
        <v>NH</v>
      </c>
      <c r="K11826" t="str">
        <f>T("2074381211")</f>
        <v>2074381211</v>
      </c>
      <c r="L11826" t="str">
        <f>T("2074385270")</f>
        <v>2074385270</v>
      </c>
    </row>
    <row r="11827" spans="1:12" x14ac:dyDescent="0.35">
      <c r="A11827" t="str">
        <f t="shared" si="4338"/>
        <v>PNSY</v>
      </c>
      <c r="B11827" t="str">
        <f t="shared" si="4346"/>
        <v>CODE 2305 BLDG 153</v>
      </c>
      <c r="C11827" t="str">
        <f t="shared" si="4344"/>
        <v>US NAVY YARD</v>
      </c>
      <c r="D11827" t="str">
        <f t="shared" si="4339"/>
        <v>PORTSMOUTH</v>
      </c>
      <c r="E11827" t="str">
        <f t="shared" si="4340"/>
        <v>NH</v>
      </c>
      <c r="F11827" t="str">
        <f t="shared" si="4345"/>
        <v>038040000</v>
      </c>
      <c r="G11827" t="str">
        <f>T("CODE 2305 2 BLDG 153/5TH FLOOR")</f>
        <v>CODE 2305 2 BLDG 153/5TH FLOOR</v>
      </c>
      <c r="H11827" t="str">
        <f t="shared" si="4341"/>
        <v>US NAVY YARD</v>
      </c>
      <c r="I11827" t="str">
        <f t="shared" si="4342"/>
        <v>PORTSMOUTH</v>
      </c>
      <c r="J11827" t="str">
        <f t="shared" si="4343"/>
        <v>NH</v>
      </c>
      <c r="K11827" t="str">
        <f>T("2074385216")</f>
        <v>2074385216</v>
      </c>
      <c r="L11827" t="str">
        <f>T("2074384593")</f>
        <v>2074384593</v>
      </c>
    </row>
    <row r="11828" spans="1:12" x14ac:dyDescent="0.35">
      <c r="A11828" t="str">
        <f t="shared" si="4338"/>
        <v>PNSY</v>
      </c>
      <c r="B11828" t="str">
        <f t="shared" si="4346"/>
        <v>CODE 2305 BLDG 153</v>
      </c>
      <c r="C11828" t="str">
        <f t="shared" si="4344"/>
        <v>US NAVY YARD</v>
      </c>
      <c r="D11828" t="str">
        <f t="shared" si="4339"/>
        <v>PORTSMOUTH</v>
      </c>
      <c r="E11828" t="str">
        <f t="shared" si="4340"/>
        <v>NH</v>
      </c>
      <c r="F11828" t="str">
        <f t="shared" si="4345"/>
        <v>038040000</v>
      </c>
      <c r="G11828" t="str">
        <f t="shared" ref="G11828:G11836" si="4347">T("CODE 2305 BLDG 153")</f>
        <v>CODE 2305 BLDG 153</v>
      </c>
      <c r="H11828" t="str">
        <f t="shared" si="4341"/>
        <v>US NAVY YARD</v>
      </c>
      <c r="I11828" t="str">
        <f t="shared" si="4342"/>
        <v>PORTSMOUTH</v>
      </c>
      <c r="J11828" t="str">
        <f t="shared" si="4343"/>
        <v>NH</v>
      </c>
      <c r="K11828" t="str">
        <f>T("2074381211")</f>
        <v>2074381211</v>
      </c>
      <c r="L11828" t="str">
        <f>T("2074386420")</f>
        <v>2074386420</v>
      </c>
    </row>
    <row r="11829" spans="1:12" x14ac:dyDescent="0.35">
      <c r="A11829" t="str">
        <f t="shared" si="4338"/>
        <v>PNSY</v>
      </c>
      <c r="B11829" t="str">
        <f t="shared" si="4346"/>
        <v>CODE 2305 BLDG 153</v>
      </c>
      <c r="C11829" t="str">
        <f t="shared" si="4344"/>
        <v>US NAVY YARD</v>
      </c>
      <c r="D11829" t="str">
        <f t="shared" si="4339"/>
        <v>PORTSMOUTH</v>
      </c>
      <c r="E11829" t="str">
        <f t="shared" si="4340"/>
        <v>NH</v>
      </c>
      <c r="F11829" t="str">
        <f t="shared" si="4345"/>
        <v>038040000</v>
      </c>
      <c r="G11829" t="str">
        <f t="shared" si="4347"/>
        <v>CODE 2305 BLDG 153</v>
      </c>
      <c r="H11829" t="str">
        <f t="shared" si="4341"/>
        <v>US NAVY YARD</v>
      </c>
      <c r="I11829" t="str">
        <f t="shared" si="4342"/>
        <v>PORTSMOUTH</v>
      </c>
      <c r="J11829" t="str">
        <f t="shared" si="4343"/>
        <v>NH</v>
      </c>
      <c r="K11829" t="str">
        <f>T("2074381211")</f>
        <v>2074381211</v>
      </c>
      <c r="L11829" t="str">
        <f>T("2074386729")</f>
        <v>2074386729</v>
      </c>
    </row>
    <row r="11830" spans="1:12" x14ac:dyDescent="0.35">
      <c r="A11830" t="str">
        <f t="shared" si="4338"/>
        <v>PNSY</v>
      </c>
      <c r="B11830" t="str">
        <f t="shared" si="4346"/>
        <v>CODE 2305 BLDG 153</v>
      </c>
      <c r="C11830" t="str">
        <f t="shared" si="4344"/>
        <v>US NAVY YARD</v>
      </c>
      <c r="D11830" t="str">
        <f t="shared" si="4339"/>
        <v>PORTSMOUTH</v>
      </c>
      <c r="E11830" t="str">
        <f t="shared" si="4340"/>
        <v>NH</v>
      </c>
      <c r="F11830" t="str">
        <f t="shared" si="4345"/>
        <v>038040000</v>
      </c>
      <c r="G11830" t="str">
        <f t="shared" si="4347"/>
        <v>CODE 2305 BLDG 153</v>
      </c>
      <c r="H11830" t="str">
        <f t="shared" si="4341"/>
        <v>US NAVY YARD</v>
      </c>
      <c r="I11830" t="str">
        <f t="shared" si="4342"/>
        <v>PORTSMOUTH</v>
      </c>
      <c r="J11830" t="str">
        <f t="shared" si="4343"/>
        <v>NH</v>
      </c>
      <c r="K11830" t="str">
        <f>T("2074384483")</f>
        <v>2074384483</v>
      </c>
      <c r="L11830" t="str">
        <f>T("2074384481")</f>
        <v>2074384481</v>
      </c>
    </row>
    <row r="11831" spans="1:12" x14ac:dyDescent="0.35">
      <c r="A11831" t="str">
        <f t="shared" si="4338"/>
        <v>PNSY</v>
      </c>
      <c r="B11831" t="str">
        <f t="shared" si="4346"/>
        <v>CODE 2305 BLDG 153</v>
      </c>
      <c r="C11831" t="str">
        <f t="shared" si="4344"/>
        <v>US NAVY YARD</v>
      </c>
      <c r="D11831" t="str">
        <f t="shared" si="4339"/>
        <v>PORTSMOUTH</v>
      </c>
      <c r="E11831" t="str">
        <f t="shared" si="4340"/>
        <v>NH</v>
      </c>
      <c r="F11831" t="str">
        <f t="shared" si="4345"/>
        <v>038040000</v>
      </c>
      <c r="G11831" t="str">
        <f t="shared" si="4347"/>
        <v>CODE 2305 BLDG 153</v>
      </c>
      <c r="H11831" t="str">
        <f t="shared" si="4341"/>
        <v>US NAVY YARD</v>
      </c>
      <c r="I11831" t="str">
        <f t="shared" si="4342"/>
        <v>PORTSMOUTH</v>
      </c>
      <c r="J11831" t="str">
        <f t="shared" si="4343"/>
        <v>NH</v>
      </c>
      <c r="K11831" t="str">
        <f>T("2074384483")</f>
        <v>2074384483</v>
      </c>
      <c r="L11831" t="str">
        <f>T("2074385433")</f>
        <v>2074385433</v>
      </c>
    </row>
    <row r="11832" spans="1:12" x14ac:dyDescent="0.35">
      <c r="A11832" t="str">
        <f t="shared" si="4338"/>
        <v>PNSY</v>
      </c>
      <c r="B11832" t="str">
        <f t="shared" si="4346"/>
        <v>CODE 2305 BLDG 153</v>
      </c>
      <c r="C11832" t="str">
        <f t="shared" si="4344"/>
        <v>US NAVY YARD</v>
      </c>
      <c r="D11832" t="str">
        <f t="shared" si="4339"/>
        <v>PORTSMOUTH</v>
      </c>
      <c r="E11832" t="str">
        <f t="shared" si="4340"/>
        <v>NH</v>
      </c>
      <c r="F11832" t="str">
        <f t="shared" si="4345"/>
        <v>038040000</v>
      </c>
      <c r="G11832" t="str">
        <f t="shared" si="4347"/>
        <v>CODE 2305 BLDG 153</v>
      </c>
      <c r="H11832" t="str">
        <f t="shared" si="4341"/>
        <v>US NAVY YARD</v>
      </c>
      <c r="I11832" t="str">
        <f t="shared" si="4342"/>
        <v>PORTSMOUTH</v>
      </c>
      <c r="J11832" t="str">
        <f t="shared" si="4343"/>
        <v>NH</v>
      </c>
      <c r="K11832" t="str">
        <f>T("2074385216")</f>
        <v>2074385216</v>
      </c>
      <c r="L11832" t="str">
        <f>T("2074384548")</f>
        <v>2074384548</v>
      </c>
    </row>
    <row r="11833" spans="1:12" x14ac:dyDescent="0.35">
      <c r="A11833" t="str">
        <f t="shared" si="4338"/>
        <v>PNSY</v>
      </c>
      <c r="B11833" t="str">
        <f t="shared" si="4346"/>
        <v>CODE 2305 BLDG 153</v>
      </c>
      <c r="C11833" t="str">
        <f t="shared" si="4344"/>
        <v>US NAVY YARD</v>
      </c>
      <c r="D11833" t="str">
        <f t="shared" si="4339"/>
        <v>PORTSMOUTH</v>
      </c>
      <c r="E11833" t="str">
        <f t="shared" si="4340"/>
        <v>NH</v>
      </c>
      <c r="F11833" t="str">
        <f t="shared" si="4345"/>
        <v>038040000</v>
      </c>
      <c r="G11833" t="str">
        <f t="shared" si="4347"/>
        <v>CODE 2305 BLDG 153</v>
      </c>
      <c r="H11833" t="str">
        <f t="shared" si="4341"/>
        <v>US NAVY YARD</v>
      </c>
      <c r="I11833" t="str">
        <f t="shared" si="4342"/>
        <v>PORTSMOUTH</v>
      </c>
      <c r="J11833" t="str">
        <f t="shared" si="4343"/>
        <v>NH</v>
      </c>
      <c r="K11833" t="str">
        <f>T("2074385216")</f>
        <v>2074385216</v>
      </c>
      <c r="L11833" t="str">
        <f>T("2074385112")</f>
        <v>2074385112</v>
      </c>
    </row>
    <row r="11834" spans="1:12" x14ac:dyDescent="0.35">
      <c r="A11834" t="str">
        <f t="shared" si="4338"/>
        <v>PNSY</v>
      </c>
      <c r="B11834" t="str">
        <f t="shared" si="4346"/>
        <v>CODE 2305 BLDG 153</v>
      </c>
      <c r="C11834" t="str">
        <f t="shared" si="4344"/>
        <v>US NAVY YARD</v>
      </c>
      <c r="D11834" t="str">
        <f t="shared" si="4339"/>
        <v>PORTSMOUTH</v>
      </c>
      <c r="E11834" t="str">
        <f t="shared" si="4340"/>
        <v>NH</v>
      </c>
      <c r="F11834" t="str">
        <f t="shared" si="4345"/>
        <v>038040000</v>
      </c>
      <c r="G11834" t="str">
        <f t="shared" si="4347"/>
        <v>CODE 2305 BLDG 153</v>
      </c>
      <c r="H11834" t="str">
        <f t="shared" si="4341"/>
        <v>US NAVY YARD</v>
      </c>
      <c r="I11834" t="str">
        <f t="shared" si="4342"/>
        <v>PORTSMOUTH</v>
      </c>
      <c r="J11834" t="str">
        <f t="shared" si="4343"/>
        <v>NH</v>
      </c>
      <c r="K11834" t="str">
        <f>T("2074385216")</f>
        <v>2074385216</v>
      </c>
      <c r="L11834" t="str">
        <f>T("2074385221")</f>
        <v>2074385221</v>
      </c>
    </row>
    <row r="11835" spans="1:12" x14ac:dyDescent="0.35">
      <c r="A11835" t="str">
        <f t="shared" si="4338"/>
        <v>PNSY</v>
      </c>
      <c r="B11835" t="str">
        <f t="shared" si="4346"/>
        <v>CODE 2305 BLDG 153</v>
      </c>
      <c r="C11835" t="str">
        <f t="shared" si="4344"/>
        <v>US NAVY YARD</v>
      </c>
      <c r="D11835" t="str">
        <f t="shared" si="4339"/>
        <v>PORTSMOUTH</v>
      </c>
      <c r="E11835" t="str">
        <f t="shared" si="4340"/>
        <v>NH</v>
      </c>
      <c r="F11835" t="str">
        <f t="shared" si="4345"/>
        <v>038040000</v>
      </c>
      <c r="G11835" t="str">
        <f t="shared" si="4347"/>
        <v>CODE 2305 BLDG 153</v>
      </c>
      <c r="H11835" t="str">
        <f t="shared" si="4341"/>
        <v>US NAVY YARD</v>
      </c>
      <c r="I11835" t="str">
        <f t="shared" si="4342"/>
        <v>PORTSMOUTH</v>
      </c>
      <c r="J11835" t="str">
        <f t="shared" si="4343"/>
        <v>NH</v>
      </c>
      <c r="K11835" t="str">
        <f>T("2074385216")</f>
        <v>2074385216</v>
      </c>
      <c r="L11835" t="str">
        <f>T("2074385242")</f>
        <v>2074385242</v>
      </c>
    </row>
    <row r="11836" spans="1:12" x14ac:dyDescent="0.35">
      <c r="A11836" t="str">
        <f t="shared" si="4338"/>
        <v>PNSY</v>
      </c>
      <c r="B11836" t="str">
        <f t="shared" si="4346"/>
        <v>CODE 2305 BLDG 153</v>
      </c>
      <c r="C11836" t="str">
        <f t="shared" si="4344"/>
        <v>US NAVY YARD</v>
      </c>
      <c r="D11836" t="str">
        <f t="shared" si="4339"/>
        <v>PORTSMOUTH</v>
      </c>
      <c r="E11836" t="str">
        <f t="shared" si="4340"/>
        <v>NH</v>
      </c>
      <c r="F11836" t="str">
        <f t="shared" si="4345"/>
        <v>038040000</v>
      </c>
      <c r="G11836" t="str">
        <f t="shared" si="4347"/>
        <v>CODE 2305 BLDG 153</v>
      </c>
      <c r="H11836" t="str">
        <f t="shared" si="4341"/>
        <v>US NAVY YARD</v>
      </c>
      <c r="I11836" t="str">
        <f t="shared" si="4342"/>
        <v>PORTSMOUTH</v>
      </c>
      <c r="J11836" t="str">
        <f t="shared" si="4343"/>
        <v>NH</v>
      </c>
      <c r="K11836" t="str">
        <f>T("2074385216")</f>
        <v>2074385216</v>
      </c>
      <c r="L11836" t="str">
        <f>T("2074385947")</f>
        <v>2074385947</v>
      </c>
    </row>
    <row r="11837" spans="1:12" x14ac:dyDescent="0.35">
      <c r="A11837" t="str">
        <f t="shared" si="4338"/>
        <v>PNSY</v>
      </c>
      <c r="B11837" t="str">
        <f t="shared" si="4346"/>
        <v>CODE 2305 BLDG 153</v>
      </c>
      <c r="C11837" t="str">
        <f t="shared" si="4344"/>
        <v>US NAVY YARD</v>
      </c>
      <c r="D11837" t="str">
        <f t="shared" si="4339"/>
        <v>PORTSMOUTH</v>
      </c>
      <c r="E11837" t="str">
        <f t="shared" si="4340"/>
        <v>NH</v>
      </c>
      <c r="F11837" t="str">
        <f t="shared" si="4345"/>
        <v>038040000</v>
      </c>
      <c r="G11837" t="str">
        <f>T("CODE 2305 BLDG 633")</f>
        <v>CODE 2305 BLDG 633</v>
      </c>
      <c r="H11837" t="str">
        <f t="shared" si="4341"/>
        <v>US NAVY YARD</v>
      </c>
      <c r="I11837" t="str">
        <f t="shared" si="4342"/>
        <v>PORTSMOUTH</v>
      </c>
      <c r="J11837" t="str">
        <f t="shared" si="4343"/>
        <v>NH</v>
      </c>
      <c r="K11837" t="str">
        <f>T("6195539702")</f>
        <v>6195539702</v>
      </c>
      <c r="L11837" t="str">
        <f>T("6195537139")</f>
        <v>6195537139</v>
      </c>
    </row>
    <row r="11838" spans="1:12" x14ac:dyDescent="0.35">
      <c r="A11838" t="str">
        <f t="shared" si="4338"/>
        <v>PNSY</v>
      </c>
      <c r="B11838" t="str">
        <f>T("CODE 2318 BLDG 79")</f>
        <v>CODE 2318 BLDG 79</v>
      </c>
      <c r="C11838" t="str">
        <f t="shared" si="4344"/>
        <v>US NAVY YARD</v>
      </c>
      <c r="D11838" t="str">
        <f t="shared" si="4339"/>
        <v>PORTSMOUTH</v>
      </c>
      <c r="E11838" t="str">
        <f t="shared" si="4340"/>
        <v>NH</v>
      </c>
      <c r="F11838" t="str">
        <f>T("038010000")</f>
        <v>038010000</v>
      </c>
      <c r="G11838" t="str">
        <f>T("CODE 2301 BLDG 79")</f>
        <v>CODE 2301 BLDG 79</v>
      </c>
      <c r="H11838" t="str">
        <f t="shared" si="4341"/>
        <v>US NAVY YARD</v>
      </c>
      <c r="I11838" t="str">
        <f t="shared" si="4342"/>
        <v>PORTSMOUTH</v>
      </c>
      <c r="J11838" t="str">
        <f t="shared" si="4343"/>
        <v>NH</v>
      </c>
      <c r="K11838" t="str">
        <f>T("000000000000000000")</f>
        <v>000000000000000000</v>
      </c>
      <c r="L11838" t="str">
        <f>T("2074385806")</f>
        <v>2074385806</v>
      </c>
    </row>
    <row r="11839" spans="1:12" x14ac:dyDescent="0.35">
      <c r="A11839" t="str">
        <f t="shared" si="4338"/>
        <v>PNSY</v>
      </c>
      <c r="B11839" t="str">
        <f>T("CODE 2318 BLDG 79")</f>
        <v>CODE 2318 BLDG 79</v>
      </c>
      <c r="C11839" t="str">
        <f t="shared" si="4344"/>
        <v>US NAVY YARD</v>
      </c>
      <c r="D11839" t="str">
        <f t="shared" si="4339"/>
        <v>PORTSMOUTH</v>
      </c>
      <c r="E11839" t="str">
        <f t="shared" si="4340"/>
        <v>NH</v>
      </c>
      <c r="F11839" t="str">
        <f>T("038010000")</f>
        <v>038010000</v>
      </c>
      <c r="G11839" t="str">
        <f>T("CODE 2318 BLDG 79")</f>
        <v>CODE 2318 BLDG 79</v>
      </c>
      <c r="H11839" t="str">
        <f t="shared" si="4341"/>
        <v>US NAVY YARD</v>
      </c>
      <c r="I11839" t="str">
        <f t="shared" si="4342"/>
        <v>PORTSMOUTH</v>
      </c>
      <c r="J11839" t="str">
        <f t="shared" si="4343"/>
        <v>NH</v>
      </c>
      <c r="K11839" t="str">
        <f>T("2074385224")</f>
        <v>2074385224</v>
      </c>
      <c r="L11839" t="str">
        <f>T("2074385808")</f>
        <v>2074385808</v>
      </c>
    </row>
    <row r="11840" spans="1:12" x14ac:dyDescent="0.35">
      <c r="A11840" t="str">
        <f t="shared" si="4338"/>
        <v>PNSY</v>
      </c>
      <c r="B11840" t="str">
        <f>T("CODE 2318 BLDG 79")</f>
        <v>CODE 2318 BLDG 79</v>
      </c>
      <c r="C11840" t="str">
        <f t="shared" si="4344"/>
        <v>US NAVY YARD</v>
      </c>
      <c r="D11840" t="str">
        <f t="shared" si="4339"/>
        <v>PORTSMOUTH</v>
      </c>
      <c r="E11840" t="str">
        <f t="shared" si="4340"/>
        <v>NH</v>
      </c>
      <c r="F11840" t="str">
        <f>T("038010000")</f>
        <v>038010000</v>
      </c>
      <c r="G11840" t="str">
        <f>T("CODE 2318 BLDG 79")</f>
        <v>CODE 2318 BLDG 79</v>
      </c>
      <c r="H11840" t="str">
        <f t="shared" si="4341"/>
        <v>US NAVY YARD</v>
      </c>
      <c r="I11840" t="str">
        <f t="shared" si="4342"/>
        <v>PORTSMOUTH</v>
      </c>
      <c r="J11840" t="str">
        <f t="shared" si="4343"/>
        <v>NH</v>
      </c>
      <c r="K11840" t="str">
        <f>T("2074385224")</f>
        <v>2074385224</v>
      </c>
      <c r="L11840" t="str">
        <f>T("2074385813")</f>
        <v>2074385813</v>
      </c>
    </row>
    <row r="11841" spans="1:12" x14ac:dyDescent="0.35">
      <c r="A11841" t="str">
        <f t="shared" si="4338"/>
        <v>PNSY</v>
      </c>
      <c r="B11841" t="str">
        <f>T("CODE 2318 BLDG 79")</f>
        <v>CODE 2318 BLDG 79</v>
      </c>
      <c r="C11841" t="str">
        <f t="shared" si="4344"/>
        <v>US NAVY YARD</v>
      </c>
      <c r="D11841" t="str">
        <f t="shared" si="4339"/>
        <v>PORTSMOUTH</v>
      </c>
      <c r="E11841" t="str">
        <f t="shared" si="4340"/>
        <v>NH</v>
      </c>
      <c r="F11841" t="str">
        <f>T("038010000")</f>
        <v>038010000</v>
      </c>
      <c r="G11841" t="str">
        <f>T("CODE 2318 BLDG 79 3")</f>
        <v>CODE 2318 BLDG 79 3</v>
      </c>
      <c r="H11841" t="str">
        <f t="shared" si="4341"/>
        <v>US NAVY YARD</v>
      </c>
      <c r="I11841" t="str">
        <f t="shared" si="4342"/>
        <v>PORTSMOUTH</v>
      </c>
      <c r="J11841" t="str">
        <f t="shared" si="4343"/>
        <v>NH</v>
      </c>
      <c r="K11841" t="str">
        <f>T("2074386888")</f>
        <v>2074386888</v>
      </c>
      <c r="L11841" t="str">
        <f>T("2074385341")</f>
        <v>2074385341</v>
      </c>
    </row>
    <row r="11842" spans="1:12" x14ac:dyDescent="0.35">
      <c r="A11842" t="str">
        <f t="shared" si="4338"/>
        <v>PNSY</v>
      </c>
      <c r="B11842" t="str">
        <f>T("CODE 245 2W BLDG 86A 6TH FL")</f>
        <v>CODE 245 2W BLDG 86A 6TH FL</v>
      </c>
      <c r="C11842" t="str">
        <f t="shared" si="4344"/>
        <v>US NAVY YARD</v>
      </c>
      <c r="D11842" t="str">
        <f t="shared" si="4339"/>
        <v>PORTSMOUTH</v>
      </c>
      <c r="E11842" t="str">
        <f t="shared" si="4340"/>
        <v>NH</v>
      </c>
      <c r="F11842" t="str">
        <f t="shared" ref="F11842:F11853" si="4348">T("038040000")</f>
        <v>038040000</v>
      </c>
      <c r="G11842" t="str">
        <f>T("CODE 244 BLDG 86A 6")</f>
        <v>CODE 244 BLDG 86A 6</v>
      </c>
      <c r="H11842" t="str">
        <f t="shared" si="4341"/>
        <v>US NAVY YARD</v>
      </c>
      <c r="I11842" t="str">
        <f t="shared" si="4342"/>
        <v>PORTSMOUTH</v>
      </c>
      <c r="J11842" t="str">
        <f t="shared" si="4343"/>
        <v>NH</v>
      </c>
      <c r="K11842" t="str">
        <f>T("2074383167")</f>
        <v>2074383167</v>
      </c>
      <c r="L11842" t="str">
        <f>T("2074382643")</f>
        <v>2074382643</v>
      </c>
    </row>
    <row r="11843" spans="1:12" x14ac:dyDescent="0.35">
      <c r="A11843" t="str">
        <f t="shared" si="4338"/>
        <v>PNSY</v>
      </c>
      <c r="B11843" t="str">
        <f>T("CODE 245 2W BLDG 86A 6TH FL")</f>
        <v>CODE 245 2W BLDG 86A 6TH FL</v>
      </c>
      <c r="C11843" t="str">
        <f t="shared" si="4344"/>
        <v>US NAVY YARD</v>
      </c>
      <c r="D11843" t="str">
        <f t="shared" si="4339"/>
        <v>PORTSMOUTH</v>
      </c>
      <c r="E11843" t="str">
        <f t="shared" si="4340"/>
        <v>NH</v>
      </c>
      <c r="F11843" t="str">
        <f t="shared" si="4348"/>
        <v>038040000</v>
      </c>
      <c r="G11843" t="str">
        <f>T("CODE 245 2W BLDG 86A 6TH FL")</f>
        <v>CODE 245 2W BLDG 86A 6TH FL</v>
      </c>
      <c r="H11843" t="str">
        <f t="shared" si="4341"/>
        <v>US NAVY YARD</v>
      </c>
      <c r="I11843" t="str">
        <f t="shared" si="4342"/>
        <v>PORTSMOUTH</v>
      </c>
      <c r="J11843" t="str">
        <f t="shared" si="4343"/>
        <v>NH</v>
      </c>
      <c r="K11843" t="str">
        <f>T("2074383420")</f>
        <v>2074383420</v>
      </c>
      <c r="L11843" t="str">
        <f>T("2074383405")</f>
        <v>2074383405</v>
      </c>
    </row>
    <row r="11844" spans="1:12" x14ac:dyDescent="0.35">
      <c r="A11844" t="str">
        <f t="shared" si="4338"/>
        <v>PNSY</v>
      </c>
      <c r="B11844" t="str">
        <f>T("CODE 246.3 BLDG 174")</f>
        <v>CODE 246.3 BLDG 174</v>
      </c>
      <c r="C11844" t="str">
        <f t="shared" si="4344"/>
        <v>US NAVY YARD</v>
      </c>
      <c r="D11844" t="str">
        <f t="shared" si="4339"/>
        <v>PORTSMOUTH</v>
      </c>
      <c r="E11844" t="str">
        <f t="shared" si="4340"/>
        <v>NH</v>
      </c>
      <c r="F11844" t="str">
        <f t="shared" si="4348"/>
        <v>038040000</v>
      </c>
      <c r="G11844" t="str">
        <f>T("CODE 246 BLDG 174")</f>
        <v>CODE 246 BLDG 174</v>
      </c>
      <c r="H11844" t="str">
        <f t="shared" si="4341"/>
        <v>US NAVY YARD</v>
      </c>
      <c r="I11844" t="str">
        <f t="shared" si="4342"/>
        <v>PORTSMOUTH</v>
      </c>
      <c r="J11844" t="str">
        <f t="shared" si="4343"/>
        <v>NH</v>
      </c>
      <c r="K11844" t="str">
        <f>T("2074381617")</f>
        <v>2074381617</v>
      </c>
      <c r="L11844" t="str">
        <f>T("2074381138")</f>
        <v>2074381138</v>
      </c>
    </row>
    <row r="11845" spans="1:12" x14ac:dyDescent="0.35">
      <c r="A11845" t="str">
        <f t="shared" si="4338"/>
        <v>PNSY</v>
      </c>
      <c r="B11845" t="str">
        <f>T("CODE 246.3 BLDG 174")</f>
        <v>CODE 246.3 BLDG 174</v>
      </c>
      <c r="C11845" t="str">
        <f t="shared" si="4344"/>
        <v>US NAVY YARD</v>
      </c>
      <c r="D11845" t="str">
        <f t="shared" si="4339"/>
        <v>PORTSMOUTH</v>
      </c>
      <c r="E11845" t="str">
        <f t="shared" si="4340"/>
        <v>NH</v>
      </c>
      <c r="F11845" t="str">
        <f t="shared" si="4348"/>
        <v>038040000</v>
      </c>
      <c r="G11845" t="str">
        <f>T("CODE 246.3 BLDG 174")</f>
        <v>CODE 246.3 BLDG 174</v>
      </c>
      <c r="H11845" t="str">
        <f t="shared" si="4341"/>
        <v>US NAVY YARD</v>
      </c>
      <c r="I11845" t="str">
        <f t="shared" si="4342"/>
        <v>PORTSMOUTH</v>
      </c>
      <c r="J11845" t="str">
        <f t="shared" si="4343"/>
        <v>NH</v>
      </c>
      <c r="K11845" t="str">
        <f>T("2074381617")</f>
        <v>2074381617</v>
      </c>
      <c r="L11845" t="str">
        <f>T("2074385944")</f>
        <v>2074385944</v>
      </c>
    </row>
    <row r="11846" spans="1:12" x14ac:dyDescent="0.35">
      <c r="A11846" t="str">
        <f t="shared" si="4338"/>
        <v>PNSY</v>
      </c>
      <c r="B11846" t="str">
        <f>T("CODE 250 BLDG 86A")</f>
        <v>CODE 250 BLDG 86A</v>
      </c>
      <c r="C11846" t="str">
        <f t="shared" si="4344"/>
        <v>US NAVY YARD</v>
      </c>
      <c r="D11846" t="str">
        <f t="shared" si="4339"/>
        <v>PORTSMOUTH</v>
      </c>
      <c r="E11846" t="str">
        <f t="shared" si="4340"/>
        <v>NH</v>
      </c>
      <c r="F11846" t="str">
        <f t="shared" si="4348"/>
        <v>038040000</v>
      </c>
      <c r="G11846" t="str">
        <f>T("CODE 250 BLDG 86A")</f>
        <v>CODE 250 BLDG 86A</v>
      </c>
      <c r="H11846" t="str">
        <f t="shared" si="4341"/>
        <v>US NAVY YARD</v>
      </c>
      <c r="I11846" t="str">
        <f t="shared" si="4342"/>
        <v>PORTSMOUTH</v>
      </c>
      <c r="J11846" t="str">
        <f t="shared" si="4343"/>
        <v>NH</v>
      </c>
      <c r="K11846" t="str">
        <f>T("2074381459")</f>
        <v>2074381459</v>
      </c>
      <c r="L11846" t="str">
        <f>T("2074383250")</f>
        <v>2074383250</v>
      </c>
    </row>
    <row r="11847" spans="1:12" x14ac:dyDescent="0.35">
      <c r="A11847" t="str">
        <f t="shared" si="4338"/>
        <v>PNSY</v>
      </c>
      <c r="B11847" t="str">
        <f>T("CODE 250 BLDG 86A")</f>
        <v>CODE 250 BLDG 86A</v>
      </c>
      <c r="C11847" t="str">
        <f t="shared" si="4344"/>
        <v>US NAVY YARD</v>
      </c>
      <c r="D11847" t="str">
        <f t="shared" si="4339"/>
        <v>PORTSMOUTH</v>
      </c>
      <c r="E11847" t="str">
        <f t="shared" si="4340"/>
        <v>NH</v>
      </c>
      <c r="F11847" t="str">
        <f t="shared" si="4348"/>
        <v>038040000</v>
      </c>
      <c r="G11847" t="str">
        <f>T("CODE 250 BLDG 86A 6TH FL")</f>
        <v>CODE 250 BLDG 86A 6TH FL</v>
      </c>
      <c r="H11847" t="str">
        <f t="shared" si="4341"/>
        <v>US NAVY YARD</v>
      </c>
      <c r="I11847" t="str">
        <f t="shared" si="4342"/>
        <v>PORTSMOUTH</v>
      </c>
      <c r="J11847" t="str">
        <f t="shared" si="4343"/>
        <v>NH</v>
      </c>
      <c r="K11847" t="str">
        <f>T("2074381459")</f>
        <v>2074381459</v>
      </c>
      <c r="L11847" t="str">
        <f>T("2074383539")</f>
        <v>2074383539</v>
      </c>
    </row>
    <row r="11848" spans="1:12" x14ac:dyDescent="0.35">
      <c r="A11848" t="str">
        <f t="shared" si="4338"/>
        <v>PNSY</v>
      </c>
      <c r="B11848" t="str">
        <f>T("CODE 270 6 BLDG 240 2")</f>
        <v>CODE 270 6 BLDG 240 2</v>
      </c>
      <c r="C11848" t="str">
        <f t="shared" si="4344"/>
        <v>US NAVY YARD</v>
      </c>
      <c r="D11848" t="str">
        <f t="shared" si="4339"/>
        <v>PORTSMOUTH</v>
      </c>
      <c r="E11848" t="str">
        <f t="shared" si="4340"/>
        <v>NH</v>
      </c>
      <c r="F11848" t="str">
        <f t="shared" si="4348"/>
        <v>038040000</v>
      </c>
      <c r="G11848" t="str">
        <f>T("CODE 270 6 BLDG 240 2")</f>
        <v>CODE 270 6 BLDG 240 2</v>
      </c>
      <c r="H11848" t="str">
        <f t="shared" si="4341"/>
        <v>US NAVY YARD</v>
      </c>
      <c r="I11848" t="str">
        <f t="shared" si="4342"/>
        <v>PORTSMOUTH</v>
      </c>
      <c r="J11848" t="str">
        <f t="shared" si="4343"/>
        <v>NH</v>
      </c>
      <c r="K11848" t="str">
        <f>T("2074386358")</f>
        <v>2074386358</v>
      </c>
      <c r="L11848" t="str">
        <f>T("2074385477")</f>
        <v>2074385477</v>
      </c>
    </row>
    <row r="11849" spans="1:12" x14ac:dyDescent="0.35">
      <c r="A11849" t="str">
        <f t="shared" si="4338"/>
        <v>PNSY</v>
      </c>
      <c r="B11849" t="str">
        <f>T("CODE 270 6 BLDG 240 2")</f>
        <v>CODE 270 6 BLDG 240 2</v>
      </c>
      <c r="C11849" t="str">
        <f t="shared" si="4344"/>
        <v>US NAVY YARD</v>
      </c>
      <c r="D11849" t="str">
        <f t="shared" si="4339"/>
        <v>PORTSMOUTH</v>
      </c>
      <c r="E11849" t="str">
        <f t="shared" si="4340"/>
        <v>NH</v>
      </c>
      <c r="F11849" t="str">
        <f t="shared" si="4348"/>
        <v>038040000</v>
      </c>
      <c r="G11849" t="str">
        <f>T("CODE 270 6 BLDG 240/FIRST FLOOR")</f>
        <v>CODE 270 6 BLDG 240/FIRST FLOOR</v>
      </c>
      <c r="H11849" t="str">
        <f t="shared" si="4341"/>
        <v>US NAVY YARD</v>
      </c>
      <c r="I11849" t="str">
        <f t="shared" si="4342"/>
        <v>PORTSMOUTH</v>
      </c>
      <c r="J11849" t="str">
        <f t="shared" si="4343"/>
        <v>NH</v>
      </c>
      <c r="K11849" t="str">
        <f>T("2044384425")</f>
        <v>2044384425</v>
      </c>
      <c r="L11849" t="str">
        <f>T("2074385444")</f>
        <v>2074385444</v>
      </c>
    </row>
    <row r="11850" spans="1:12" x14ac:dyDescent="0.35">
      <c r="A11850" t="str">
        <f t="shared" si="4338"/>
        <v>PNSY</v>
      </c>
      <c r="B11850" t="str">
        <f>T("CODE 270 6 BLDG 240 2")</f>
        <v>CODE 270 6 BLDG 240 2</v>
      </c>
      <c r="C11850" t="str">
        <f t="shared" si="4344"/>
        <v>US NAVY YARD</v>
      </c>
      <c r="D11850" t="str">
        <f t="shared" si="4339"/>
        <v>PORTSMOUTH</v>
      </c>
      <c r="E11850" t="str">
        <f t="shared" si="4340"/>
        <v>NH</v>
      </c>
      <c r="F11850" t="str">
        <f t="shared" si="4348"/>
        <v>038040000</v>
      </c>
      <c r="G11850" t="str">
        <f>T("CODE 270 BLDG 86A")</f>
        <v>CODE 270 BLDG 86A</v>
      </c>
      <c r="H11850" t="str">
        <f t="shared" si="4341"/>
        <v>US NAVY YARD</v>
      </c>
      <c r="I11850" t="str">
        <f t="shared" si="4342"/>
        <v>PORTSMOUTH</v>
      </c>
      <c r="J11850" t="str">
        <f t="shared" si="4343"/>
        <v>NH</v>
      </c>
      <c r="K11850" t="str">
        <f>T("2074383413")</f>
        <v>2074383413</v>
      </c>
      <c r="L11850" t="str">
        <f>T("2074383248")</f>
        <v>2074383248</v>
      </c>
    </row>
    <row r="11851" spans="1:12" x14ac:dyDescent="0.35">
      <c r="A11851" t="str">
        <f t="shared" ref="A11851:A11882" si="4349">T("PNSY")</f>
        <v>PNSY</v>
      </c>
      <c r="B11851" t="str">
        <f>T("CODE 290A BLDG 86A")</f>
        <v>CODE 290A BLDG 86A</v>
      </c>
      <c r="C11851" t="str">
        <f t="shared" si="4344"/>
        <v>US NAVY YARD</v>
      </c>
      <c r="D11851" t="str">
        <f t="shared" ref="D11851:D11882" si="4350">T("PORTSMOUTH")</f>
        <v>PORTSMOUTH</v>
      </c>
      <c r="E11851" t="str">
        <f t="shared" ref="E11851:E11882" si="4351">T("NH")</f>
        <v>NH</v>
      </c>
      <c r="F11851" t="str">
        <f t="shared" si="4348"/>
        <v>038040000</v>
      </c>
      <c r="G11851" t="str">
        <f>T("CODE 290 BLDG 86A")</f>
        <v>CODE 290 BLDG 86A</v>
      </c>
      <c r="H11851" t="str">
        <f t="shared" si="4341"/>
        <v>US NAVY YARD</v>
      </c>
      <c r="I11851" t="str">
        <f t="shared" ref="I11851:I11882" si="4352">T("PORTSMOUTH")</f>
        <v>PORTSMOUTH</v>
      </c>
      <c r="J11851" t="str">
        <f t="shared" ref="J11851:J11882" si="4353">T("NH")</f>
        <v>NH</v>
      </c>
      <c r="K11851" t="str">
        <f>T("2074383050")</f>
        <v>2074383050</v>
      </c>
      <c r="L11851" t="str">
        <f>T("2074383216")</f>
        <v>2074383216</v>
      </c>
    </row>
    <row r="11852" spans="1:12" x14ac:dyDescent="0.35">
      <c r="A11852" t="str">
        <f t="shared" si="4349"/>
        <v>PNSY</v>
      </c>
      <c r="B11852" t="str">
        <f>T("CODE 290A BLDG 86A")</f>
        <v>CODE 290A BLDG 86A</v>
      </c>
      <c r="C11852" t="str">
        <f t="shared" si="4344"/>
        <v>US NAVY YARD</v>
      </c>
      <c r="D11852" t="str">
        <f t="shared" si="4350"/>
        <v>PORTSMOUTH</v>
      </c>
      <c r="E11852" t="str">
        <f t="shared" si="4351"/>
        <v>NH</v>
      </c>
      <c r="F11852" t="str">
        <f t="shared" si="4348"/>
        <v>038040000</v>
      </c>
      <c r="G11852" t="str">
        <f>T("CODE 290 BLDG 86A 2")</f>
        <v>CODE 290 BLDG 86A 2</v>
      </c>
      <c r="H11852" t="str">
        <f t="shared" si="4341"/>
        <v>US NAVY YARD</v>
      </c>
      <c r="I11852" t="str">
        <f t="shared" si="4352"/>
        <v>PORTSMOUTH</v>
      </c>
      <c r="J11852" t="str">
        <f t="shared" si="4353"/>
        <v>NH</v>
      </c>
      <c r="K11852" t="str">
        <f>T("2074383050")</f>
        <v>2074383050</v>
      </c>
      <c r="L11852" t="str">
        <f>T("2074383216")</f>
        <v>2074383216</v>
      </c>
    </row>
    <row r="11853" spans="1:12" x14ac:dyDescent="0.35">
      <c r="A11853" t="str">
        <f t="shared" si="4349"/>
        <v>PNSY</v>
      </c>
      <c r="B11853" t="str">
        <f>T("CODE 290A BLDG 86A")</f>
        <v>CODE 290A BLDG 86A</v>
      </c>
      <c r="C11853" t="str">
        <f t="shared" si="4344"/>
        <v>US NAVY YARD</v>
      </c>
      <c r="D11853" t="str">
        <f t="shared" si="4350"/>
        <v>PORTSMOUTH</v>
      </c>
      <c r="E11853" t="str">
        <f t="shared" si="4351"/>
        <v>NH</v>
      </c>
      <c r="F11853" t="str">
        <f t="shared" si="4348"/>
        <v>038040000</v>
      </c>
      <c r="G11853" t="str">
        <f>T("CODE 290A BLDG 86A")</f>
        <v>CODE 290A BLDG 86A</v>
      </c>
      <c r="H11853" t="str">
        <f t="shared" si="4341"/>
        <v>US NAVY YARD</v>
      </c>
      <c r="I11853" t="str">
        <f t="shared" si="4352"/>
        <v>PORTSMOUTH</v>
      </c>
      <c r="J11853" t="str">
        <f t="shared" si="4353"/>
        <v>NH</v>
      </c>
      <c r="K11853" t="str">
        <f>T("2074383050")</f>
        <v>2074383050</v>
      </c>
      <c r="L11853" t="str">
        <f>T("2074383050")</f>
        <v>2074383050</v>
      </c>
    </row>
    <row r="11854" spans="1:12" x14ac:dyDescent="0.35">
      <c r="A11854" t="str">
        <f t="shared" si="4349"/>
        <v>PNSY</v>
      </c>
      <c r="B11854" t="str">
        <f>T("CODE 300 13 BLDG 86A")</f>
        <v>CODE 300 13 BLDG 86A</v>
      </c>
      <c r="C11854" t="str">
        <f>T("")</f>
        <v/>
      </c>
      <c r="D11854" t="str">
        <f t="shared" si="4350"/>
        <v>PORTSMOUTH</v>
      </c>
      <c r="E11854" t="str">
        <f t="shared" si="4351"/>
        <v>NH</v>
      </c>
      <c r="F11854" t="str">
        <f>T("038010000")</f>
        <v>038010000</v>
      </c>
      <c r="G11854" t="str">
        <f>T("CODE 300 01 BLDG 86A")</f>
        <v>CODE 300 01 BLDG 86A</v>
      </c>
      <c r="H11854" t="str">
        <f t="shared" si="4341"/>
        <v>US NAVY YARD</v>
      </c>
      <c r="I11854" t="str">
        <f t="shared" si="4352"/>
        <v>PORTSMOUTH</v>
      </c>
      <c r="J11854" t="str">
        <f t="shared" si="4353"/>
        <v>NH</v>
      </c>
      <c r="K11854" t="str">
        <f>T("2074382512")</f>
        <v>2074382512</v>
      </c>
      <c r="L11854" t="str">
        <f>T("2074382449")</f>
        <v>2074382449</v>
      </c>
    </row>
    <row r="11855" spans="1:12" x14ac:dyDescent="0.35">
      <c r="A11855" t="str">
        <f t="shared" si="4349"/>
        <v>PNSY</v>
      </c>
      <c r="B11855" t="str">
        <f>T("CODE 300 13 BLDG 86A")</f>
        <v>CODE 300 13 BLDG 86A</v>
      </c>
      <c r="C11855" t="str">
        <f>T("")</f>
        <v/>
      </c>
      <c r="D11855" t="str">
        <f t="shared" si="4350"/>
        <v>PORTSMOUTH</v>
      </c>
      <c r="E11855" t="str">
        <f t="shared" si="4351"/>
        <v>NH</v>
      </c>
      <c r="F11855" t="str">
        <f>T("038010000")</f>
        <v>038010000</v>
      </c>
      <c r="G11855" t="str">
        <f>T("CODE 300 13 BLDG 86A")</f>
        <v>CODE 300 13 BLDG 86A</v>
      </c>
      <c r="H11855" t="str">
        <f>T("")</f>
        <v/>
      </c>
      <c r="I11855" t="str">
        <f t="shared" si="4352"/>
        <v>PORTSMOUTH</v>
      </c>
      <c r="J11855" t="str">
        <f t="shared" si="4353"/>
        <v>NH</v>
      </c>
      <c r="K11855" t="str">
        <f>T("2074382512")</f>
        <v>2074382512</v>
      </c>
      <c r="L11855" t="str">
        <f>T("2074383004")</f>
        <v>2074383004</v>
      </c>
    </row>
    <row r="11856" spans="1:12" x14ac:dyDescent="0.35">
      <c r="A11856" t="str">
        <f t="shared" si="4349"/>
        <v>PNSY</v>
      </c>
      <c r="B11856" t="str">
        <f>T("CODE 300 13 BLDG 86A")</f>
        <v>CODE 300 13 BLDG 86A</v>
      </c>
      <c r="C11856" t="str">
        <f>T("")</f>
        <v/>
      </c>
      <c r="D11856" t="str">
        <f t="shared" si="4350"/>
        <v>PORTSMOUTH</v>
      </c>
      <c r="E11856" t="str">
        <f t="shared" si="4351"/>
        <v>NH</v>
      </c>
      <c r="F11856" t="str">
        <f>T("038010000")</f>
        <v>038010000</v>
      </c>
      <c r="G11856" t="str">
        <f>T("CODE 300 BLDG 174")</f>
        <v>CODE 300 BLDG 174</v>
      </c>
      <c r="H11856" t="str">
        <f>T("US NAVY YARD")</f>
        <v>US NAVY YARD</v>
      </c>
      <c r="I11856" t="str">
        <f t="shared" si="4352"/>
        <v>PORTSMOUTH</v>
      </c>
      <c r="J11856" t="str">
        <f t="shared" si="4353"/>
        <v>NH</v>
      </c>
      <c r="K11856" t="str">
        <f>T("2074384519")</f>
        <v>2074384519</v>
      </c>
      <c r="L11856" t="str">
        <f>T("2074384727")</f>
        <v>2074384727</v>
      </c>
    </row>
    <row r="11857" spans="1:12" x14ac:dyDescent="0.35">
      <c r="A11857" t="str">
        <f t="shared" si="4349"/>
        <v>PNSY</v>
      </c>
      <c r="B11857" t="str">
        <f>T("CODE 300 13 BLDG 86A")</f>
        <v>CODE 300 13 BLDG 86A</v>
      </c>
      <c r="C11857" t="str">
        <f>T("")</f>
        <v/>
      </c>
      <c r="D11857" t="str">
        <f t="shared" si="4350"/>
        <v>PORTSMOUTH</v>
      </c>
      <c r="E11857" t="str">
        <f t="shared" si="4351"/>
        <v>NH</v>
      </c>
      <c r="F11857" t="str">
        <f>T("038010000")</f>
        <v>038010000</v>
      </c>
      <c r="G11857" t="str">
        <f>T("CODE 350 BLDG 238")</f>
        <v>CODE 350 BLDG 238</v>
      </c>
      <c r="H11857" t="str">
        <f>T("US NAVY YARD")</f>
        <v>US NAVY YARD</v>
      </c>
      <c r="I11857" t="str">
        <f t="shared" si="4352"/>
        <v>PORTSMOUTH</v>
      </c>
      <c r="J11857" t="str">
        <f t="shared" si="4353"/>
        <v>NH</v>
      </c>
      <c r="K11857" t="str">
        <f>T("000000000000000000")</f>
        <v>000000000000000000</v>
      </c>
      <c r="L11857" t="str">
        <f>T("2074382992")</f>
        <v>2074382992</v>
      </c>
    </row>
    <row r="11858" spans="1:12" x14ac:dyDescent="0.35">
      <c r="A11858" t="str">
        <f t="shared" si="4349"/>
        <v>PNSY</v>
      </c>
      <c r="B11858" t="str">
        <f>T("CODE 300 13 BLDG 86A")</f>
        <v>CODE 300 13 BLDG 86A</v>
      </c>
      <c r="C11858" t="str">
        <f>T("")</f>
        <v/>
      </c>
      <c r="D11858" t="str">
        <f t="shared" si="4350"/>
        <v>PORTSMOUTH</v>
      </c>
      <c r="E11858" t="str">
        <f t="shared" si="4351"/>
        <v>NH</v>
      </c>
      <c r="F11858" t="str">
        <f>T("038010000")</f>
        <v>038010000</v>
      </c>
      <c r="G11858" t="str">
        <f>T("CODE 377 BLDG 174/2ND FLOOR")</f>
        <v>CODE 377 BLDG 174/2ND FLOOR</v>
      </c>
      <c r="H11858" t="str">
        <f>T("NAVY YARD")</f>
        <v>NAVY YARD</v>
      </c>
      <c r="I11858" t="str">
        <f t="shared" si="4352"/>
        <v>PORTSMOUTH</v>
      </c>
      <c r="J11858" t="str">
        <f t="shared" si="4353"/>
        <v>NH</v>
      </c>
      <c r="K11858" t="str">
        <f>T("2074383746")</f>
        <v>2074383746</v>
      </c>
      <c r="L11858" t="str">
        <f>T("2074383147")</f>
        <v>2074383147</v>
      </c>
    </row>
    <row r="11859" spans="1:12" x14ac:dyDescent="0.35">
      <c r="A11859" t="str">
        <f t="shared" si="4349"/>
        <v>PNSY</v>
      </c>
      <c r="B11859" t="str">
        <f>T("CODE 420 TRAILER EB4")</f>
        <v>CODE 420 TRAILER EB4</v>
      </c>
      <c r="C11859" t="str">
        <f t="shared" ref="C11859:C11880" si="4354">T("US NAVY YARD")</f>
        <v>US NAVY YARD</v>
      </c>
      <c r="D11859" t="str">
        <f t="shared" si="4350"/>
        <v>PORTSMOUTH</v>
      </c>
      <c r="E11859" t="str">
        <f t="shared" si="4351"/>
        <v>NH</v>
      </c>
      <c r="F11859" t="str">
        <f t="shared" ref="F11859:F11903" si="4355">T("038040000")</f>
        <v>038040000</v>
      </c>
      <c r="G11859" t="str">
        <f>T("CODE 400 BLDG EB4")</f>
        <v>CODE 400 BLDG EB4</v>
      </c>
      <c r="H11859" t="str">
        <f>T("US NAVY YARD")</f>
        <v>US NAVY YARD</v>
      </c>
      <c r="I11859" t="str">
        <f t="shared" si="4352"/>
        <v>PORTSMOUTH</v>
      </c>
      <c r="J11859" t="str">
        <f t="shared" si="4353"/>
        <v>NH</v>
      </c>
      <c r="K11859" t="str">
        <f>T("2074384193")</f>
        <v>2074384193</v>
      </c>
      <c r="L11859" t="str">
        <f>T("2074384862")</f>
        <v>2074384862</v>
      </c>
    </row>
    <row r="11860" spans="1:12" x14ac:dyDescent="0.35">
      <c r="A11860" t="str">
        <f t="shared" si="4349"/>
        <v>PNSY</v>
      </c>
      <c r="B11860" t="str">
        <f>T("CODE 420 TRAILER EB4")</f>
        <v>CODE 420 TRAILER EB4</v>
      </c>
      <c r="C11860" t="str">
        <f t="shared" si="4354"/>
        <v>US NAVY YARD</v>
      </c>
      <c r="D11860" t="str">
        <f t="shared" si="4350"/>
        <v>PORTSMOUTH</v>
      </c>
      <c r="E11860" t="str">
        <f t="shared" si="4351"/>
        <v>NH</v>
      </c>
      <c r="F11860" t="str">
        <f t="shared" si="4355"/>
        <v>038040000</v>
      </c>
      <c r="G11860" t="str">
        <f>T("CODE 420 EB TRAILER 4")</f>
        <v>CODE 420 EB TRAILER 4</v>
      </c>
      <c r="H11860" t="str">
        <f>T("US NAVY YARD")</f>
        <v>US NAVY YARD</v>
      </c>
      <c r="I11860" t="str">
        <f t="shared" si="4352"/>
        <v>PORTSMOUTH</v>
      </c>
      <c r="J11860" t="str">
        <f t="shared" si="4353"/>
        <v>NH</v>
      </c>
      <c r="K11860" t="str">
        <f>T("2074384193")</f>
        <v>2074384193</v>
      </c>
      <c r="L11860" t="str">
        <f>T("2074386588")</f>
        <v>2074386588</v>
      </c>
    </row>
    <row r="11861" spans="1:12" x14ac:dyDescent="0.35">
      <c r="A11861" t="str">
        <f t="shared" si="4349"/>
        <v>PNSY</v>
      </c>
      <c r="B11861" t="str">
        <f>T("CODE 420 TRAILER EB4")</f>
        <v>CODE 420 TRAILER EB4</v>
      </c>
      <c r="C11861" t="str">
        <f t="shared" si="4354"/>
        <v>US NAVY YARD</v>
      </c>
      <c r="D11861" t="str">
        <f t="shared" si="4350"/>
        <v>PORTSMOUTH</v>
      </c>
      <c r="E11861" t="str">
        <f t="shared" si="4351"/>
        <v>NH</v>
      </c>
      <c r="F11861" t="str">
        <f t="shared" si="4355"/>
        <v>038040000</v>
      </c>
      <c r="G11861" t="str">
        <f>T("CODE 420 TRAILER EB4")</f>
        <v>CODE 420 TRAILER EB4</v>
      </c>
      <c r="H11861" t="str">
        <f>T("US NAVY YARD")</f>
        <v>US NAVY YARD</v>
      </c>
      <c r="I11861" t="str">
        <f t="shared" si="4352"/>
        <v>PORTSMOUTH</v>
      </c>
      <c r="J11861" t="str">
        <f t="shared" si="4353"/>
        <v>NH</v>
      </c>
      <c r="K11861" t="str">
        <f>T("207-438-4193")</f>
        <v>207-438-4193</v>
      </c>
      <c r="L11861" t="str">
        <f>T("2074381358")</f>
        <v>2074381358</v>
      </c>
    </row>
    <row r="11862" spans="1:12" x14ac:dyDescent="0.35">
      <c r="A11862" t="str">
        <f t="shared" si="4349"/>
        <v>PNSY</v>
      </c>
      <c r="B11862" t="str">
        <f>T("CODE 501 23 BLDG 79")</f>
        <v>CODE 501 23 BLDG 79</v>
      </c>
      <c r="C11862" t="str">
        <f t="shared" si="4354"/>
        <v>US NAVY YARD</v>
      </c>
      <c r="D11862" t="str">
        <f t="shared" si="4350"/>
        <v>PORTSMOUTH</v>
      </c>
      <c r="E11862" t="str">
        <f t="shared" si="4351"/>
        <v>NH</v>
      </c>
      <c r="F11862" t="str">
        <f t="shared" si="4355"/>
        <v>038040000</v>
      </c>
      <c r="G11862" t="str">
        <f>T("CODE 501 23 BLDG 79")</f>
        <v>CODE 501 23 BLDG 79</v>
      </c>
      <c r="H11862" t="str">
        <f>T("US NAVY YARD")</f>
        <v>US NAVY YARD</v>
      </c>
      <c r="I11862" t="str">
        <f t="shared" si="4352"/>
        <v>PORTSMOUTH</v>
      </c>
      <c r="J11862" t="str">
        <f t="shared" si="4353"/>
        <v>NH</v>
      </c>
      <c r="K11862" t="str">
        <f>T("")</f>
        <v/>
      </c>
      <c r="L11862" t="str">
        <f>T("2074385625")</f>
        <v>2074385625</v>
      </c>
    </row>
    <row r="11863" spans="1:12" x14ac:dyDescent="0.35">
      <c r="A11863" t="str">
        <f t="shared" si="4349"/>
        <v>PNSY</v>
      </c>
      <c r="B11863" t="str">
        <f>T("CODE 501 23 BLDG 79")</f>
        <v>CODE 501 23 BLDG 79</v>
      </c>
      <c r="C11863" t="str">
        <f t="shared" si="4354"/>
        <v>US NAVY YARD</v>
      </c>
      <c r="D11863" t="str">
        <f t="shared" si="4350"/>
        <v>PORTSMOUTH</v>
      </c>
      <c r="E11863" t="str">
        <f t="shared" si="4351"/>
        <v>NH</v>
      </c>
      <c r="F11863" t="str">
        <f t="shared" si="4355"/>
        <v>038040000</v>
      </c>
      <c r="G11863" t="str">
        <f>T("CODE 501 BLDG 300")</f>
        <v>CODE 501 BLDG 300</v>
      </c>
      <c r="H11863" t="str">
        <f>T("US NAVY YARD")</f>
        <v>US NAVY YARD</v>
      </c>
      <c r="I11863" t="str">
        <f t="shared" si="4352"/>
        <v>PORTSMOUTH</v>
      </c>
      <c r="J11863" t="str">
        <f t="shared" si="4353"/>
        <v>NH</v>
      </c>
      <c r="K11863" t="str">
        <f>T("2074384591")</f>
        <v>2074384591</v>
      </c>
      <c r="L11863" t="str">
        <f>T("2074385349")</f>
        <v>2074385349</v>
      </c>
    </row>
    <row r="11864" spans="1:12" x14ac:dyDescent="0.35">
      <c r="A11864" t="str">
        <f t="shared" si="4349"/>
        <v>PNSY</v>
      </c>
      <c r="B11864" t="str">
        <f>T("CODE 501 23 BLDG 79")</f>
        <v>CODE 501 23 BLDG 79</v>
      </c>
      <c r="C11864" t="str">
        <f t="shared" si="4354"/>
        <v>US NAVY YARD</v>
      </c>
      <c r="D11864" t="str">
        <f t="shared" si="4350"/>
        <v>PORTSMOUTH</v>
      </c>
      <c r="E11864" t="str">
        <f t="shared" si="4351"/>
        <v>NH</v>
      </c>
      <c r="F11864" t="str">
        <f t="shared" si="4355"/>
        <v>038040000</v>
      </c>
      <c r="G11864" t="str">
        <f>T("US NAVY YARD")</f>
        <v>US NAVY YARD</v>
      </c>
      <c r="H11864" t="str">
        <f>T("CODE 501 3 BLDG 170/3")</f>
        <v>CODE 501 3 BLDG 170/3</v>
      </c>
      <c r="I11864" t="str">
        <f t="shared" si="4352"/>
        <v>PORTSMOUTH</v>
      </c>
      <c r="J11864" t="str">
        <f t="shared" si="4353"/>
        <v>NH</v>
      </c>
      <c r="K11864" t="str">
        <f>T("000000000000000000")</f>
        <v>000000000000000000</v>
      </c>
      <c r="L11864" t="str">
        <f>T("2074385529")</f>
        <v>2074385529</v>
      </c>
    </row>
    <row r="11865" spans="1:12" x14ac:dyDescent="0.35">
      <c r="A11865" t="str">
        <f t="shared" si="4349"/>
        <v>PNSY</v>
      </c>
      <c r="B11865" t="str">
        <f t="shared" ref="B11865:B11880" si="4356">T("CODE 501 BLDG 153")</f>
        <v>CODE 501 BLDG 153</v>
      </c>
      <c r="C11865" t="str">
        <f t="shared" si="4354"/>
        <v>US NAVY YARD</v>
      </c>
      <c r="D11865" t="str">
        <f t="shared" si="4350"/>
        <v>PORTSMOUTH</v>
      </c>
      <c r="E11865" t="str">
        <f t="shared" si="4351"/>
        <v>NH</v>
      </c>
      <c r="F11865" t="str">
        <f t="shared" si="4355"/>
        <v>038040000</v>
      </c>
      <c r="G11865" t="str">
        <f>T("CODE 500 BLDG 153")</f>
        <v>CODE 500 BLDG 153</v>
      </c>
      <c r="H11865" t="str">
        <f t="shared" ref="H11865:H11881" si="4357">T("US NAVY YARD")</f>
        <v>US NAVY YARD</v>
      </c>
      <c r="I11865" t="str">
        <f t="shared" si="4352"/>
        <v>PORTSMOUTH</v>
      </c>
      <c r="J11865" t="str">
        <f t="shared" si="4353"/>
        <v>NH</v>
      </c>
      <c r="K11865" t="str">
        <f>T("000000000000000000")</f>
        <v>000000000000000000</v>
      </c>
      <c r="L11865" t="str">
        <f>T("2074382299")</f>
        <v>2074382299</v>
      </c>
    </row>
    <row r="11866" spans="1:12" x14ac:dyDescent="0.35">
      <c r="A11866" t="str">
        <f t="shared" si="4349"/>
        <v>PNSY</v>
      </c>
      <c r="B11866" t="str">
        <f t="shared" si="4356"/>
        <v>CODE 501 BLDG 153</v>
      </c>
      <c r="C11866" t="str">
        <f t="shared" si="4354"/>
        <v>US NAVY YARD</v>
      </c>
      <c r="D11866" t="str">
        <f t="shared" si="4350"/>
        <v>PORTSMOUTH</v>
      </c>
      <c r="E11866" t="str">
        <f t="shared" si="4351"/>
        <v>NH</v>
      </c>
      <c r="F11866" t="str">
        <f t="shared" si="4355"/>
        <v>038040000</v>
      </c>
      <c r="G11866" t="str">
        <f>T("CODE 500 BLDG 233")</f>
        <v>CODE 500 BLDG 233</v>
      </c>
      <c r="H11866" t="str">
        <f t="shared" si="4357"/>
        <v>US NAVY YARD</v>
      </c>
      <c r="I11866" t="str">
        <f t="shared" si="4352"/>
        <v>PORTSMOUTH</v>
      </c>
      <c r="J11866" t="str">
        <f t="shared" si="4353"/>
        <v>NH</v>
      </c>
      <c r="K11866" t="str">
        <f>T("6195539253")</f>
        <v>6195539253</v>
      </c>
      <c r="L11866" t="str">
        <f>T("6195530050")</f>
        <v>6195530050</v>
      </c>
    </row>
    <row r="11867" spans="1:12" x14ac:dyDescent="0.35">
      <c r="A11867" t="str">
        <f t="shared" si="4349"/>
        <v>PNSY</v>
      </c>
      <c r="B11867" t="str">
        <f t="shared" si="4356"/>
        <v>CODE 501 BLDG 153</v>
      </c>
      <c r="C11867" t="str">
        <f t="shared" si="4354"/>
        <v>US NAVY YARD</v>
      </c>
      <c r="D11867" t="str">
        <f t="shared" si="4350"/>
        <v>PORTSMOUTH</v>
      </c>
      <c r="E11867" t="str">
        <f t="shared" si="4351"/>
        <v>NH</v>
      </c>
      <c r="F11867" t="str">
        <f t="shared" si="4355"/>
        <v>038040000</v>
      </c>
      <c r="G11867" t="str">
        <f>T("CODE 500 BLDG 233")</f>
        <v>CODE 500 BLDG 233</v>
      </c>
      <c r="H11867" t="str">
        <f t="shared" si="4357"/>
        <v>US NAVY YARD</v>
      </c>
      <c r="I11867" t="str">
        <f t="shared" si="4352"/>
        <v>PORTSMOUTH</v>
      </c>
      <c r="J11867" t="str">
        <f t="shared" si="4353"/>
        <v>NH</v>
      </c>
      <c r="K11867" t="str">
        <f>T("6195539253")</f>
        <v>6195539253</v>
      </c>
      <c r="L11867" t="str">
        <f>T("6195530051")</f>
        <v>6195530051</v>
      </c>
    </row>
    <row r="11868" spans="1:12" x14ac:dyDescent="0.35">
      <c r="A11868" t="str">
        <f t="shared" si="4349"/>
        <v>PNSY</v>
      </c>
      <c r="B11868" t="str">
        <f t="shared" si="4356"/>
        <v>CODE 501 BLDG 153</v>
      </c>
      <c r="C11868" t="str">
        <f t="shared" si="4354"/>
        <v>US NAVY YARD</v>
      </c>
      <c r="D11868" t="str">
        <f t="shared" si="4350"/>
        <v>PORTSMOUTH</v>
      </c>
      <c r="E11868" t="str">
        <f t="shared" si="4351"/>
        <v>NH</v>
      </c>
      <c r="F11868" t="str">
        <f t="shared" si="4355"/>
        <v>038040000</v>
      </c>
      <c r="G11868" t="str">
        <f>T("CODE 501 1 BLDG 153")</f>
        <v>CODE 501 1 BLDG 153</v>
      </c>
      <c r="H11868" t="str">
        <f t="shared" si="4357"/>
        <v>US NAVY YARD</v>
      </c>
      <c r="I11868" t="str">
        <f t="shared" si="4352"/>
        <v>PORTSMOUTH</v>
      </c>
      <c r="J11868" t="str">
        <f t="shared" si="4353"/>
        <v>NH</v>
      </c>
      <c r="K11868" t="str">
        <f>T("2074384501")</f>
        <v>2074384501</v>
      </c>
      <c r="L11868" t="str">
        <f>T("2074384886")</f>
        <v>2074384886</v>
      </c>
    </row>
    <row r="11869" spans="1:12" x14ac:dyDescent="0.35">
      <c r="A11869" t="str">
        <f t="shared" si="4349"/>
        <v>PNSY</v>
      </c>
      <c r="B11869" t="str">
        <f t="shared" si="4356"/>
        <v>CODE 501 BLDG 153</v>
      </c>
      <c r="C11869" t="str">
        <f t="shared" si="4354"/>
        <v>US NAVY YARD</v>
      </c>
      <c r="D11869" t="str">
        <f t="shared" si="4350"/>
        <v>PORTSMOUTH</v>
      </c>
      <c r="E11869" t="str">
        <f t="shared" si="4351"/>
        <v>NH</v>
      </c>
      <c r="F11869" t="str">
        <f t="shared" si="4355"/>
        <v>038040000</v>
      </c>
      <c r="G11869" t="str">
        <f t="shared" ref="G11869:G11878" si="4358">T("CODE 501 BLDG 153")</f>
        <v>CODE 501 BLDG 153</v>
      </c>
      <c r="H11869" t="str">
        <f t="shared" si="4357"/>
        <v>US NAVY YARD</v>
      </c>
      <c r="I11869" t="str">
        <f t="shared" si="4352"/>
        <v>PORTSMOUTH</v>
      </c>
      <c r="J11869" t="str">
        <f t="shared" si="4353"/>
        <v>NH</v>
      </c>
      <c r="K11869" t="str">
        <f>T("000000000000000000")</f>
        <v>000000000000000000</v>
      </c>
      <c r="L11869" t="str">
        <f>T("2074382299")</f>
        <v>2074382299</v>
      </c>
    </row>
    <row r="11870" spans="1:12" x14ac:dyDescent="0.35">
      <c r="A11870" t="str">
        <f t="shared" si="4349"/>
        <v>PNSY</v>
      </c>
      <c r="B11870" t="str">
        <f t="shared" si="4356"/>
        <v>CODE 501 BLDG 153</v>
      </c>
      <c r="C11870" t="str">
        <f t="shared" si="4354"/>
        <v>US NAVY YARD</v>
      </c>
      <c r="D11870" t="str">
        <f t="shared" si="4350"/>
        <v>PORTSMOUTH</v>
      </c>
      <c r="E11870" t="str">
        <f t="shared" si="4351"/>
        <v>NH</v>
      </c>
      <c r="F11870" t="str">
        <f t="shared" si="4355"/>
        <v>038040000</v>
      </c>
      <c r="G11870" t="str">
        <f t="shared" si="4358"/>
        <v>CODE 501 BLDG 153</v>
      </c>
      <c r="H11870" t="str">
        <f t="shared" si="4357"/>
        <v>US NAVY YARD</v>
      </c>
      <c r="I11870" t="str">
        <f t="shared" si="4352"/>
        <v>PORTSMOUTH</v>
      </c>
      <c r="J11870" t="str">
        <f t="shared" si="4353"/>
        <v>NH</v>
      </c>
      <c r="K11870" t="str">
        <f>T("2074381251")</f>
        <v>2074381251</v>
      </c>
      <c r="L11870" t="str">
        <f>T("2074384886")</f>
        <v>2074384886</v>
      </c>
    </row>
    <row r="11871" spans="1:12" x14ac:dyDescent="0.35">
      <c r="A11871" t="str">
        <f t="shared" si="4349"/>
        <v>PNSY</v>
      </c>
      <c r="B11871" t="str">
        <f t="shared" si="4356"/>
        <v>CODE 501 BLDG 153</v>
      </c>
      <c r="C11871" t="str">
        <f t="shared" si="4354"/>
        <v>US NAVY YARD</v>
      </c>
      <c r="D11871" t="str">
        <f t="shared" si="4350"/>
        <v>PORTSMOUTH</v>
      </c>
      <c r="E11871" t="str">
        <f t="shared" si="4351"/>
        <v>NH</v>
      </c>
      <c r="F11871" t="str">
        <f t="shared" si="4355"/>
        <v>038040000</v>
      </c>
      <c r="G11871" t="str">
        <f t="shared" si="4358"/>
        <v>CODE 501 BLDG 153</v>
      </c>
      <c r="H11871" t="str">
        <f t="shared" si="4357"/>
        <v>US NAVY YARD</v>
      </c>
      <c r="I11871" t="str">
        <f t="shared" si="4352"/>
        <v>PORTSMOUTH</v>
      </c>
      <c r="J11871" t="str">
        <f t="shared" si="4353"/>
        <v>NH</v>
      </c>
      <c r="K11871" t="str">
        <f>T("2074381450")</f>
        <v>2074381450</v>
      </c>
      <c r="L11871" t="str">
        <f>T("2074382743")</f>
        <v>2074382743</v>
      </c>
    </row>
    <row r="11872" spans="1:12" x14ac:dyDescent="0.35">
      <c r="A11872" t="str">
        <f t="shared" si="4349"/>
        <v>PNSY</v>
      </c>
      <c r="B11872" t="str">
        <f t="shared" si="4356"/>
        <v>CODE 501 BLDG 153</v>
      </c>
      <c r="C11872" t="str">
        <f t="shared" si="4354"/>
        <v>US NAVY YARD</v>
      </c>
      <c r="D11872" t="str">
        <f t="shared" si="4350"/>
        <v>PORTSMOUTH</v>
      </c>
      <c r="E11872" t="str">
        <f t="shared" si="4351"/>
        <v>NH</v>
      </c>
      <c r="F11872" t="str">
        <f t="shared" si="4355"/>
        <v>038040000</v>
      </c>
      <c r="G11872" t="str">
        <f t="shared" si="4358"/>
        <v>CODE 501 BLDG 153</v>
      </c>
      <c r="H11872" t="str">
        <f t="shared" si="4357"/>
        <v>US NAVY YARD</v>
      </c>
      <c r="I11872" t="str">
        <f t="shared" si="4352"/>
        <v>PORTSMOUTH</v>
      </c>
      <c r="J11872" t="str">
        <f t="shared" si="4353"/>
        <v>NH</v>
      </c>
      <c r="K11872" t="str">
        <f>T("2074381564")</f>
        <v>2074381564</v>
      </c>
      <c r="L11872" t="str">
        <f>T("2074382578")</f>
        <v>2074382578</v>
      </c>
    </row>
    <row r="11873" spans="1:12" x14ac:dyDescent="0.35">
      <c r="A11873" t="str">
        <f t="shared" si="4349"/>
        <v>PNSY</v>
      </c>
      <c r="B11873" t="str">
        <f t="shared" si="4356"/>
        <v>CODE 501 BLDG 153</v>
      </c>
      <c r="C11873" t="str">
        <f t="shared" si="4354"/>
        <v>US NAVY YARD</v>
      </c>
      <c r="D11873" t="str">
        <f t="shared" si="4350"/>
        <v>PORTSMOUTH</v>
      </c>
      <c r="E11873" t="str">
        <f t="shared" si="4351"/>
        <v>NH</v>
      </c>
      <c r="F11873" t="str">
        <f t="shared" si="4355"/>
        <v>038040000</v>
      </c>
      <c r="G11873" t="str">
        <f t="shared" si="4358"/>
        <v>CODE 501 BLDG 153</v>
      </c>
      <c r="H11873" t="str">
        <f t="shared" si="4357"/>
        <v>US NAVY YARD</v>
      </c>
      <c r="I11873" t="str">
        <f t="shared" si="4352"/>
        <v>PORTSMOUTH</v>
      </c>
      <c r="J11873" t="str">
        <f t="shared" si="4353"/>
        <v>NH</v>
      </c>
      <c r="K11873" t="str">
        <f>T("2074383847")</f>
        <v>2074383847</v>
      </c>
      <c r="L11873" t="str">
        <f>T("2074385236")</f>
        <v>2074385236</v>
      </c>
    </row>
    <row r="11874" spans="1:12" x14ac:dyDescent="0.35">
      <c r="A11874" t="str">
        <f t="shared" si="4349"/>
        <v>PNSY</v>
      </c>
      <c r="B11874" t="str">
        <f t="shared" si="4356"/>
        <v>CODE 501 BLDG 153</v>
      </c>
      <c r="C11874" t="str">
        <f t="shared" si="4354"/>
        <v>US NAVY YARD</v>
      </c>
      <c r="D11874" t="str">
        <f t="shared" si="4350"/>
        <v>PORTSMOUTH</v>
      </c>
      <c r="E11874" t="str">
        <f t="shared" si="4351"/>
        <v>NH</v>
      </c>
      <c r="F11874" t="str">
        <f t="shared" si="4355"/>
        <v>038040000</v>
      </c>
      <c r="G11874" t="str">
        <f t="shared" si="4358"/>
        <v>CODE 501 BLDG 153</v>
      </c>
      <c r="H11874" t="str">
        <f t="shared" si="4357"/>
        <v>US NAVY YARD</v>
      </c>
      <c r="I11874" t="str">
        <f t="shared" si="4352"/>
        <v>PORTSMOUTH</v>
      </c>
      <c r="J11874" t="str">
        <f t="shared" si="4353"/>
        <v>NH</v>
      </c>
      <c r="K11874" t="str">
        <f>T("2074384501")</f>
        <v>2074384501</v>
      </c>
      <c r="L11874" t="str">
        <f>T("2074384720")</f>
        <v>2074384720</v>
      </c>
    </row>
    <row r="11875" spans="1:12" x14ac:dyDescent="0.35">
      <c r="A11875" t="str">
        <f t="shared" si="4349"/>
        <v>PNSY</v>
      </c>
      <c r="B11875" t="str">
        <f t="shared" si="4356"/>
        <v>CODE 501 BLDG 153</v>
      </c>
      <c r="C11875" t="str">
        <f t="shared" si="4354"/>
        <v>US NAVY YARD</v>
      </c>
      <c r="D11875" t="str">
        <f t="shared" si="4350"/>
        <v>PORTSMOUTH</v>
      </c>
      <c r="E11875" t="str">
        <f t="shared" si="4351"/>
        <v>NH</v>
      </c>
      <c r="F11875" t="str">
        <f t="shared" si="4355"/>
        <v>038040000</v>
      </c>
      <c r="G11875" t="str">
        <f t="shared" si="4358"/>
        <v>CODE 501 BLDG 153</v>
      </c>
      <c r="H11875" t="str">
        <f t="shared" si="4357"/>
        <v>US NAVY YARD</v>
      </c>
      <c r="I11875" t="str">
        <f t="shared" si="4352"/>
        <v>PORTSMOUTH</v>
      </c>
      <c r="J11875" t="str">
        <f t="shared" si="4353"/>
        <v>NH</v>
      </c>
      <c r="K11875" t="str">
        <f>T("2074384501")</f>
        <v>2074384501</v>
      </c>
      <c r="L11875" t="str">
        <f>T("2074384958")</f>
        <v>2074384958</v>
      </c>
    </row>
    <row r="11876" spans="1:12" x14ac:dyDescent="0.35">
      <c r="A11876" t="str">
        <f t="shared" si="4349"/>
        <v>PNSY</v>
      </c>
      <c r="B11876" t="str">
        <f t="shared" si="4356"/>
        <v>CODE 501 BLDG 153</v>
      </c>
      <c r="C11876" t="str">
        <f t="shared" si="4354"/>
        <v>US NAVY YARD</v>
      </c>
      <c r="D11876" t="str">
        <f t="shared" si="4350"/>
        <v>PORTSMOUTH</v>
      </c>
      <c r="E11876" t="str">
        <f t="shared" si="4351"/>
        <v>NH</v>
      </c>
      <c r="F11876" t="str">
        <f t="shared" si="4355"/>
        <v>038040000</v>
      </c>
      <c r="G11876" t="str">
        <f t="shared" si="4358"/>
        <v>CODE 501 BLDG 153</v>
      </c>
      <c r="H11876" t="str">
        <f t="shared" si="4357"/>
        <v>US NAVY YARD</v>
      </c>
      <c r="I11876" t="str">
        <f t="shared" si="4352"/>
        <v>PORTSMOUTH</v>
      </c>
      <c r="J11876" t="str">
        <f t="shared" si="4353"/>
        <v>NH</v>
      </c>
      <c r="K11876" t="str">
        <f>T("2074384501")</f>
        <v>2074384501</v>
      </c>
      <c r="L11876" t="str">
        <f>T("2074385178")</f>
        <v>2074385178</v>
      </c>
    </row>
    <row r="11877" spans="1:12" x14ac:dyDescent="0.35">
      <c r="A11877" t="str">
        <f t="shared" si="4349"/>
        <v>PNSY</v>
      </c>
      <c r="B11877" t="str">
        <f t="shared" si="4356"/>
        <v>CODE 501 BLDG 153</v>
      </c>
      <c r="C11877" t="str">
        <f t="shared" si="4354"/>
        <v>US NAVY YARD</v>
      </c>
      <c r="D11877" t="str">
        <f t="shared" si="4350"/>
        <v>PORTSMOUTH</v>
      </c>
      <c r="E11877" t="str">
        <f t="shared" si="4351"/>
        <v>NH</v>
      </c>
      <c r="F11877" t="str">
        <f t="shared" si="4355"/>
        <v>038040000</v>
      </c>
      <c r="G11877" t="str">
        <f t="shared" si="4358"/>
        <v>CODE 501 BLDG 153</v>
      </c>
      <c r="H11877" t="str">
        <f t="shared" si="4357"/>
        <v>US NAVY YARD</v>
      </c>
      <c r="I11877" t="str">
        <f t="shared" si="4352"/>
        <v>PORTSMOUTH</v>
      </c>
      <c r="J11877" t="str">
        <f t="shared" si="4353"/>
        <v>NH</v>
      </c>
      <c r="K11877" t="str">
        <f>T("2074384501")</f>
        <v>2074384501</v>
      </c>
      <c r="L11877" t="str">
        <f>T("2074386817")</f>
        <v>2074386817</v>
      </c>
    </row>
    <row r="11878" spans="1:12" x14ac:dyDescent="0.35">
      <c r="A11878" t="str">
        <f t="shared" si="4349"/>
        <v>PNSY</v>
      </c>
      <c r="B11878" t="str">
        <f t="shared" si="4356"/>
        <v>CODE 501 BLDG 153</v>
      </c>
      <c r="C11878" t="str">
        <f t="shared" si="4354"/>
        <v>US NAVY YARD</v>
      </c>
      <c r="D11878" t="str">
        <f t="shared" si="4350"/>
        <v>PORTSMOUTH</v>
      </c>
      <c r="E11878" t="str">
        <f t="shared" si="4351"/>
        <v>NH</v>
      </c>
      <c r="F11878" t="str">
        <f t="shared" si="4355"/>
        <v>038040000</v>
      </c>
      <c r="G11878" t="str">
        <f t="shared" si="4358"/>
        <v>CODE 501 BLDG 153</v>
      </c>
      <c r="H11878" t="str">
        <f t="shared" si="4357"/>
        <v>US NAVY YARD</v>
      </c>
      <c r="I11878" t="str">
        <f t="shared" si="4352"/>
        <v>PORTSMOUTH</v>
      </c>
      <c r="J11878" t="str">
        <f t="shared" si="4353"/>
        <v>NH</v>
      </c>
      <c r="K11878" t="str">
        <f>T("2074384505")</f>
        <v>2074384505</v>
      </c>
      <c r="L11878" t="str">
        <f>T("2074382299")</f>
        <v>2074382299</v>
      </c>
    </row>
    <row r="11879" spans="1:12" x14ac:dyDescent="0.35">
      <c r="A11879" t="str">
        <f t="shared" si="4349"/>
        <v>PNSY</v>
      </c>
      <c r="B11879" t="str">
        <f t="shared" si="4356"/>
        <v>CODE 501 BLDG 153</v>
      </c>
      <c r="C11879" t="str">
        <f t="shared" si="4354"/>
        <v>US NAVY YARD</v>
      </c>
      <c r="D11879" t="str">
        <f t="shared" si="4350"/>
        <v>PORTSMOUTH</v>
      </c>
      <c r="E11879" t="str">
        <f t="shared" si="4351"/>
        <v>NH</v>
      </c>
      <c r="F11879" t="str">
        <f t="shared" si="4355"/>
        <v>038040000</v>
      </c>
      <c r="G11879" t="str">
        <f>T("CODE 501 BLDG 6F153")</f>
        <v>CODE 501 BLDG 6F153</v>
      </c>
      <c r="H11879" t="str">
        <f t="shared" si="4357"/>
        <v>US NAVY YARD</v>
      </c>
      <c r="I11879" t="str">
        <f t="shared" si="4352"/>
        <v>PORTSMOUTH</v>
      </c>
      <c r="J11879" t="str">
        <f t="shared" si="4353"/>
        <v>NH</v>
      </c>
      <c r="K11879" t="str">
        <f>T("2074384501")</f>
        <v>2074384501</v>
      </c>
      <c r="L11879" t="str">
        <f>T("2074385922")</f>
        <v>2074385922</v>
      </c>
    </row>
    <row r="11880" spans="1:12" x14ac:dyDescent="0.35">
      <c r="A11880" t="str">
        <f t="shared" si="4349"/>
        <v>PNSY</v>
      </c>
      <c r="B11880" t="str">
        <f t="shared" si="4356"/>
        <v>CODE 501 BLDG 153</v>
      </c>
      <c r="C11880" t="str">
        <f t="shared" si="4354"/>
        <v>US NAVY YARD</v>
      </c>
      <c r="D11880" t="str">
        <f t="shared" si="4350"/>
        <v>PORTSMOUTH</v>
      </c>
      <c r="E11880" t="str">
        <f t="shared" si="4351"/>
        <v>NH</v>
      </c>
      <c r="F11880" t="str">
        <f t="shared" si="4355"/>
        <v>038040000</v>
      </c>
      <c r="G11880" t="str">
        <f>T("CODE KMCA BLDG 153")</f>
        <v>CODE KMCA BLDG 153</v>
      </c>
      <c r="H11880" t="str">
        <f t="shared" si="4357"/>
        <v>US NAVY YARD</v>
      </c>
      <c r="I11880" t="str">
        <f t="shared" si="4352"/>
        <v>PORTSMOUTH</v>
      </c>
      <c r="J11880" t="str">
        <f t="shared" si="4353"/>
        <v>NH</v>
      </c>
      <c r="K11880" t="str">
        <f>T("2074381390")</f>
        <v>2074381390</v>
      </c>
      <c r="L11880" t="str">
        <f>T("2074382299")</f>
        <v>2074382299</v>
      </c>
    </row>
    <row r="11881" spans="1:12" x14ac:dyDescent="0.35">
      <c r="A11881" t="str">
        <f t="shared" si="4349"/>
        <v>PNSY</v>
      </c>
      <c r="B11881" t="str">
        <f t="shared" ref="B11881:B11887" si="4359">T("CODE 501SP BLDG 153/6")</f>
        <v>CODE 501SP BLDG 153/6</v>
      </c>
      <c r="C11881" t="str">
        <f t="shared" ref="C11881:C11887" si="4360">T("NAVY YARD")</f>
        <v>NAVY YARD</v>
      </c>
      <c r="D11881" t="str">
        <f t="shared" si="4350"/>
        <v>PORTSMOUTH</v>
      </c>
      <c r="E11881" t="str">
        <f t="shared" si="4351"/>
        <v>NH</v>
      </c>
      <c r="F11881" t="str">
        <f t="shared" si="4355"/>
        <v>038040000</v>
      </c>
      <c r="G11881" t="str">
        <f>T("CODE 501 1 BLDG 153/6TH FLOOR")</f>
        <v>CODE 501 1 BLDG 153/6TH FLOOR</v>
      </c>
      <c r="H11881" t="str">
        <f t="shared" si="4357"/>
        <v>US NAVY YARD</v>
      </c>
      <c r="I11881" t="str">
        <f t="shared" si="4352"/>
        <v>PORTSMOUTH</v>
      </c>
      <c r="J11881" t="str">
        <f t="shared" si="4353"/>
        <v>NH</v>
      </c>
      <c r="K11881" t="str">
        <f>T("2074384501")</f>
        <v>2074384501</v>
      </c>
      <c r="L11881" t="str">
        <f>T("6195538498")</f>
        <v>6195538498</v>
      </c>
    </row>
    <row r="11882" spans="1:12" x14ac:dyDescent="0.35">
      <c r="A11882" t="str">
        <f t="shared" si="4349"/>
        <v>PNSY</v>
      </c>
      <c r="B11882" t="str">
        <f t="shared" si="4359"/>
        <v>CODE 501SP BLDG 153/6</v>
      </c>
      <c r="C11882" t="str">
        <f t="shared" si="4360"/>
        <v>NAVY YARD</v>
      </c>
      <c r="D11882" t="str">
        <f t="shared" si="4350"/>
        <v>PORTSMOUTH</v>
      </c>
      <c r="E11882" t="str">
        <f t="shared" si="4351"/>
        <v>NH</v>
      </c>
      <c r="F11882" t="str">
        <f t="shared" si="4355"/>
        <v>038040000</v>
      </c>
      <c r="G11882" t="str">
        <f>T("CODE 501 2 BLDG 153/6TH FL")</f>
        <v>CODE 501 2 BLDG 153/6TH FL</v>
      </c>
      <c r="H11882" t="str">
        <f>T("U S NAVY")</f>
        <v>U S NAVY</v>
      </c>
      <c r="I11882" t="str">
        <f t="shared" si="4352"/>
        <v>PORTSMOUTH</v>
      </c>
      <c r="J11882" t="str">
        <f t="shared" si="4353"/>
        <v>NH</v>
      </c>
      <c r="K11882" t="str">
        <f>T("2074384501")</f>
        <v>2074384501</v>
      </c>
      <c r="L11882" t="str">
        <f>T("2074385923")</f>
        <v>2074385923</v>
      </c>
    </row>
    <row r="11883" spans="1:12" x14ac:dyDescent="0.35">
      <c r="A11883" t="str">
        <f t="shared" ref="A11883:A11914" si="4361">T("PNSY")</f>
        <v>PNSY</v>
      </c>
      <c r="B11883" t="str">
        <f t="shared" si="4359"/>
        <v>CODE 501SP BLDG 153/6</v>
      </c>
      <c r="C11883" t="str">
        <f t="shared" si="4360"/>
        <v>NAVY YARD</v>
      </c>
      <c r="D11883" t="str">
        <f t="shared" ref="D11883:D11909" si="4362">T("PORTSMOUTH")</f>
        <v>PORTSMOUTH</v>
      </c>
      <c r="E11883" t="str">
        <f t="shared" ref="E11883:E11909" si="4363">T("NH")</f>
        <v>NH</v>
      </c>
      <c r="F11883" t="str">
        <f t="shared" si="4355"/>
        <v>038040000</v>
      </c>
      <c r="G11883" t="str">
        <f>T("CODE 501 BLDG 153")</f>
        <v>CODE 501 BLDG 153</v>
      </c>
      <c r="H11883" t="str">
        <f>T("US NAVY YARD")</f>
        <v>US NAVY YARD</v>
      </c>
      <c r="I11883" t="str">
        <f t="shared" ref="I11883:I11912" si="4364">T("PORTSMOUTH")</f>
        <v>PORTSMOUTH</v>
      </c>
      <c r="J11883" t="str">
        <f t="shared" ref="J11883:J11912" si="4365">T("NH")</f>
        <v>NH</v>
      </c>
      <c r="K11883" t="str">
        <f>T("2074384501")</f>
        <v>2074384501</v>
      </c>
      <c r="L11883" t="str">
        <f>T("2074384060")</f>
        <v>2074384060</v>
      </c>
    </row>
    <row r="11884" spans="1:12" x14ac:dyDescent="0.35">
      <c r="A11884" t="str">
        <f t="shared" si="4361"/>
        <v>PNSY</v>
      </c>
      <c r="B11884" t="str">
        <f t="shared" si="4359"/>
        <v>CODE 501SP BLDG 153/6</v>
      </c>
      <c r="C11884" t="str">
        <f t="shared" si="4360"/>
        <v>NAVY YARD</v>
      </c>
      <c r="D11884" t="str">
        <f t="shared" si="4362"/>
        <v>PORTSMOUTH</v>
      </c>
      <c r="E11884" t="str">
        <f t="shared" si="4363"/>
        <v>NH</v>
      </c>
      <c r="F11884" t="str">
        <f t="shared" si="4355"/>
        <v>038040000</v>
      </c>
      <c r="G11884" t="str">
        <f>T("CODE 501 BLDG 153")</f>
        <v>CODE 501 BLDG 153</v>
      </c>
      <c r="H11884" t="str">
        <f>T("US NAVY YARD")</f>
        <v>US NAVY YARD</v>
      </c>
      <c r="I11884" t="str">
        <f t="shared" si="4364"/>
        <v>PORTSMOUTH</v>
      </c>
      <c r="J11884" t="str">
        <f t="shared" si="4365"/>
        <v>NH</v>
      </c>
      <c r="K11884" t="str">
        <f>T("2074384501")</f>
        <v>2074384501</v>
      </c>
      <c r="L11884" t="str">
        <f>T("2074385921")</f>
        <v>2074385921</v>
      </c>
    </row>
    <row r="11885" spans="1:12" x14ac:dyDescent="0.35">
      <c r="A11885" t="str">
        <f t="shared" si="4361"/>
        <v>PNSY</v>
      </c>
      <c r="B11885" t="str">
        <f t="shared" si="4359"/>
        <v>CODE 501SP BLDG 153/6</v>
      </c>
      <c r="C11885" t="str">
        <f t="shared" si="4360"/>
        <v>NAVY YARD</v>
      </c>
      <c r="D11885" t="str">
        <f t="shared" si="4362"/>
        <v>PORTSMOUTH</v>
      </c>
      <c r="E11885" t="str">
        <f t="shared" si="4363"/>
        <v>NH</v>
      </c>
      <c r="F11885" t="str">
        <f t="shared" si="4355"/>
        <v>038040000</v>
      </c>
      <c r="G11885" t="str">
        <f>T("CODE 501 BLDG 153/6TH FLOOR")</f>
        <v>CODE 501 BLDG 153/6TH FLOOR</v>
      </c>
      <c r="H11885" t="str">
        <f>T("US NAVY YARD")</f>
        <v>US NAVY YARD</v>
      </c>
      <c r="I11885" t="str">
        <f t="shared" si="4364"/>
        <v>PORTSMOUTH</v>
      </c>
      <c r="J11885" t="str">
        <f t="shared" si="4365"/>
        <v>NH</v>
      </c>
      <c r="K11885" t="str">
        <f>T("2074381505")</f>
        <v>2074381505</v>
      </c>
      <c r="L11885" t="str">
        <f>T("2074384564")</f>
        <v>2074384564</v>
      </c>
    </row>
    <row r="11886" spans="1:12" x14ac:dyDescent="0.35">
      <c r="A11886" t="str">
        <f t="shared" si="4361"/>
        <v>PNSY</v>
      </c>
      <c r="B11886" t="str">
        <f t="shared" si="4359"/>
        <v>CODE 501SP BLDG 153/6</v>
      </c>
      <c r="C11886" t="str">
        <f t="shared" si="4360"/>
        <v>NAVY YARD</v>
      </c>
      <c r="D11886" t="str">
        <f t="shared" si="4362"/>
        <v>PORTSMOUTH</v>
      </c>
      <c r="E11886" t="str">
        <f t="shared" si="4363"/>
        <v>NH</v>
      </c>
      <c r="F11886" t="str">
        <f t="shared" si="4355"/>
        <v>038040000</v>
      </c>
      <c r="G11886" t="str">
        <f>T("CODE 501SP BLDG 153/6")</f>
        <v>CODE 501SP BLDG 153/6</v>
      </c>
      <c r="H11886" t="str">
        <f>T("NAVY YARD")</f>
        <v>NAVY YARD</v>
      </c>
      <c r="I11886" t="str">
        <f t="shared" si="4364"/>
        <v>PORTSMOUTH</v>
      </c>
      <c r="J11886" t="str">
        <f t="shared" si="4365"/>
        <v>NH</v>
      </c>
      <c r="K11886" t="str">
        <f>T("2074381505")</f>
        <v>2074381505</v>
      </c>
      <c r="L11886" t="str">
        <f>T("2074383572")</f>
        <v>2074383572</v>
      </c>
    </row>
    <row r="11887" spans="1:12" x14ac:dyDescent="0.35">
      <c r="A11887" t="str">
        <f t="shared" si="4361"/>
        <v>PNSY</v>
      </c>
      <c r="B11887" t="str">
        <f t="shared" si="4359"/>
        <v>CODE 501SP BLDG 153/6</v>
      </c>
      <c r="C11887" t="str">
        <f t="shared" si="4360"/>
        <v>NAVY YARD</v>
      </c>
      <c r="D11887" t="str">
        <f t="shared" si="4362"/>
        <v>PORTSMOUTH</v>
      </c>
      <c r="E11887" t="str">
        <f t="shared" si="4363"/>
        <v>NH</v>
      </c>
      <c r="F11887" t="str">
        <f t="shared" si="4355"/>
        <v>038040000</v>
      </c>
      <c r="G11887" t="str">
        <f>T("CODE KMB BLDG 153")</f>
        <v>CODE KMB BLDG 153</v>
      </c>
      <c r="H11887" t="str">
        <f t="shared" ref="H11887:H11904" si="4366">T("US NAVY YARD")</f>
        <v>US NAVY YARD</v>
      </c>
      <c r="I11887" t="str">
        <f t="shared" si="4364"/>
        <v>PORTSMOUTH</v>
      </c>
      <c r="J11887" t="str">
        <f t="shared" si="4365"/>
        <v>NH</v>
      </c>
      <c r="K11887" t="str">
        <f>T("2074384501")</f>
        <v>2074384501</v>
      </c>
      <c r="L11887" t="str">
        <f>T("2074382567")</f>
        <v>2074382567</v>
      </c>
    </row>
    <row r="11888" spans="1:12" x14ac:dyDescent="0.35">
      <c r="A11888" t="str">
        <f t="shared" si="4361"/>
        <v>PNSY</v>
      </c>
      <c r="B11888" t="str">
        <f>T("CODE 502 17 BLDG 153 6TH FL")</f>
        <v>CODE 502 17 BLDG 153 6TH FL</v>
      </c>
      <c r="C11888" t="str">
        <f t="shared" ref="C11888:C11915" si="4367">T("US NAVY YARD")</f>
        <v>US NAVY YARD</v>
      </c>
      <c r="D11888" t="str">
        <f t="shared" si="4362"/>
        <v>PORTSMOUTH</v>
      </c>
      <c r="E11888" t="str">
        <f t="shared" si="4363"/>
        <v>NH</v>
      </c>
      <c r="F11888" t="str">
        <f t="shared" si="4355"/>
        <v>038040000</v>
      </c>
      <c r="G11888" t="str">
        <f>T("CODE 502 17 BLDG 153 6TH FL")</f>
        <v>CODE 502 17 BLDG 153 6TH FL</v>
      </c>
      <c r="H11888" t="str">
        <f t="shared" si="4366"/>
        <v>US NAVY YARD</v>
      </c>
      <c r="I11888" t="str">
        <f t="shared" si="4364"/>
        <v>PORTSMOUTH</v>
      </c>
      <c r="J11888" t="str">
        <f t="shared" si="4365"/>
        <v>NH</v>
      </c>
      <c r="K11888" t="str">
        <f>T("2074381505")</f>
        <v>2074381505</v>
      </c>
      <c r="L11888" t="str">
        <f>T("2074384598")</f>
        <v>2074384598</v>
      </c>
    </row>
    <row r="11889" spans="1:12" x14ac:dyDescent="0.35">
      <c r="A11889" t="str">
        <f t="shared" si="4361"/>
        <v>PNSY</v>
      </c>
      <c r="B11889" t="str">
        <f>T("CODE 502 BLDG 153")</f>
        <v>CODE 502 BLDG 153</v>
      </c>
      <c r="C11889" t="str">
        <f t="shared" si="4367"/>
        <v>US NAVY YARD</v>
      </c>
      <c r="D11889" t="str">
        <f t="shared" si="4362"/>
        <v>PORTSMOUTH</v>
      </c>
      <c r="E11889" t="str">
        <f t="shared" si="4363"/>
        <v>NH</v>
      </c>
      <c r="F11889" t="str">
        <f t="shared" si="4355"/>
        <v>038040000</v>
      </c>
      <c r="G11889" t="str">
        <f>T("CODE 501 1 BLDG 153 6")</f>
        <v>CODE 501 1 BLDG 153 6</v>
      </c>
      <c r="H11889" t="str">
        <f t="shared" si="4366"/>
        <v>US NAVY YARD</v>
      </c>
      <c r="I11889" t="str">
        <f t="shared" si="4364"/>
        <v>PORTSMOUTH</v>
      </c>
      <c r="J11889" t="str">
        <f t="shared" si="4365"/>
        <v>NH</v>
      </c>
      <c r="K11889" t="str">
        <f>T("2074384501")</f>
        <v>2074384501</v>
      </c>
      <c r="L11889" t="str">
        <f>T("2074386817")</f>
        <v>2074386817</v>
      </c>
    </row>
    <row r="11890" spans="1:12" x14ac:dyDescent="0.35">
      <c r="A11890" t="str">
        <f t="shared" si="4361"/>
        <v>PNSY</v>
      </c>
      <c r="B11890" t="str">
        <f>T("CODE 502 BLDG 153")</f>
        <v>CODE 502 BLDG 153</v>
      </c>
      <c r="C11890" t="str">
        <f t="shared" si="4367"/>
        <v>US NAVY YARD</v>
      </c>
      <c r="D11890" t="str">
        <f t="shared" si="4362"/>
        <v>PORTSMOUTH</v>
      </c>
      <c r="E11890" t="str">
        <f t="shared" si="4363"/>
        <v>NH</v>
      </c>
      <c r="F11890" t="str">
        <f t="shared" si="4355"/>
        <v>038040000</v>
      </c>
      <c r="G11890" t="str">
        <f>T("CODE 501 1 BLDG 153 FL 6")</f>
        <v>CODE 501 1 BLDG 153 FL 6</v>
      </c>
      <c r="H11890" t="str">
        <f t="shared" si="4366"/>
        <v>US NAVY YARD</v>
      </c>
      <c r="I11890" t="str">
        <f t="shared" si="4364"/>
        <v>PORTSMOUTH</v>
      </c>
      <c r="J11890" t="str">
        <f t="shared" si="4365"/>
        <v>NH</v>
      </c>
      <c r="K11890" t="str">
        <f>T("2074384501")</f>
        <v>2074384501</v>
      </c>
      <c r="L11890" t="str">
        <f>T("2074384720")</f>
        <v>2074384720</v>
      </c>
    </row>
    <row r="11891" spans="1:12" x14ac:dyDescent="0.35">
      <c r="A11891" t="str">
        <f t="shared" si="4361"/>
        <v>PNSY</v>
      </c>
      <c r="B11891" t="str">
        <f>T("CODE 502 BLDG 153")</f>
        <v>CODE 502 BLDG 153</v>
      </c>
      <c r="C11891" t="str">
        <f t="shared" si="4367"/>
        <v>US NAVY YARD</v>
      </c>
      <c r="D11891" t="str">
        <f t="shared" si="4362"/>
        <v>PORTSMOUTH</v>
      </c>
      <c r="E11891" t="str">
        <f t="shared" si="4363"/>
        <v>NH</v>
      </c>
      <c r="F11891" t="str">
        <f t="shared" si="4355"/>
        <v>038040000</v>
      </c>
      <c r="G11891" t="str">
        <f>T("CODE 501 118 BLDG 153 6")</f>
        <v>CODE 501 118 BLDG 153 6</v>
      </c>
      <c r="H11891" t="str">
        <f t="shared" si="4366"/>
        <v>US NAVY YARD</v>
      </c>
      <c r="I11891" t="str">
        <f t="shared" si="4364"/>
        <v>PORTSMOUTH</v>
      </c>
      <c r="J11891" t="str">
        <f t="shared" si="4365"/>
        <v>NH</v>
      </c>
      <c r="K11891" t="str">
        <f>T("2074384501")</f>
        <v>2074384501</v>
      </c>
      <c r="L11891" t="str">
        <f>T("2074385525")</f>
        <v>2074385525</v>
      </c>
    </row>
    <row r="11892" spans="1:12" x14ac:dyDescent="0.35">
      <c r="A11892" t="str">
        <f t="shared" si="4361"/>
        <v>PNSY</v>
      </c>
      <c r="B11892" t="str">
        <f>T("CODE 502 BLDG 153")</f>
        <v>CODE 502 BLDG 153</v>
      </c>
      <c r="C11892" t="str">
        <f t="shared" si="4367"/>
        <v>US NAVY YARD</v>
      </c>
      <c r="D11892" t="str">
        <f t="shared" si="4362"/>
        <v>PORTSMOUTH</v>
      </c>
      <c r="E11892" t="str">
        <f t="shared" si="4363"/>
        <v>NH</v>
      </c>
      <c r="F11892" t="str">
        <f t="shared" si="4355"/>
        <v>038040000</v>
      </c>
      <c r="G11892" t="str">
        <f>T("CODE 502 BLDG 153")</f>
        <v>CODE 502 BLDG 153</v>
      </c>
      <c r="H11892" t="str">
        <f t="shared" si="4366"/>
        <v>US NAVY YARD</v>
      </c>
      <c r="I11892" t="str">
        <f t="shared" si="4364"/>
        <v>PORTSMOUTH</v>
      </c>
      <c r="J11892" t="str">
        <f t="shared" si="4365"/>
        <v>NH</v>
      </c>
      <c r="K11892" t="str">
        <f>T("2074383847")</f>
        <v>2074383847</v>
      </c>
      <c r="L11892" t="str">
        <f>T("2074385210")</f>
        <v>2074385210</v>
      </c>
    </row>
    <row r="11893" spans="1:12" x14ac:dyDescent="0.35">
      <c r="A11893" t="str">
        <f t="shared" si="4361"/>
        <v>PNSY</v>
      </c>
      <c r="B11893" t="str">
        <f>T("CODE 502 BLDG 153")</f>
        <v>CODE 502 BLDG 153</v>
      </c>
      <c r="C11893" t="str">
        <f t="shared" si="4367"/>
        <v>US NAVY YARD</v>
      </c>
      <c r="D11893" t="str">
        <f t="shared" si="4362"/>
        <v>PORTSMOUTH</v>
      </c>
      <c r="E11893" t="str">
        <f t="shared" si="4363"/>
        <v>NH</v>
      </c>
      <c r="F11893" t="str">
        <f t="shared" si="4355"/>
        <v>038040000</v>
      </c>
      <c r="G11893" t="str">
        <f>T("CODE KMB BLDG 153")</f>
        <v>CODE KMB BLDG 153</v>
      </c>
      <c r="H11893" t="str">
        <f t="shared" si="4366"/>
        <v>US NAVY YARD</v>
      </c>
      <c r="I11893" t="str">
        <f t="shared" si="4364"/>
        <v>PORTSMOUTH</v>
      </c>
      <c r="J11893" t="str">
        <f t="shared" si="4365"/>
        <v>NH</v>
      </c>
      <c r="K11893" t="str">
        <f>T("2074384501")</f>
        <v>2074384501</v>
      </c>
      <c r="L11893" t="str">
        <f>T("2074382567")</f>
        <v>2074382567</v>
      </c>
    </row>
    <row r="11894" spans="1:12" x14ac:dyDescent="0.35">
      <c r="A11894" t="str">
        <f t="shared" si="4361"/>
        <v>PNSY</v>
      </c>
      <c r="B11894" t="str">
        <f>T("CODE 502 KMA BLDG 153")</f>
        <v>CODE 502 KMA BLDG 153</v>
      </c>
      <c r="C11894" t="str">
        <f t="shared" si="4367"/>
        <v>US NAVY YARD</v>
      </c>
      <c r="D11894" t="str">
        <f t="shared" si="4362"/>
        <v>PORTSMOUTH</v>
      </c>
      <c r="E11894" t="str">
        <f t="shared" si="4363"/>
        <v>NH</v>
      </c>
      <c r="F11894" t="str">
        <f t="shared" si="4355"/>
        <v>038040000</v>
      </c>
      <c r="G11894" t="str">
        <f>T("CODE 502 BLDG 153")</f>
        <v>CODE 502 BLDG 153</v>
      </c>
      <c r="H11894" t="str">
        <f t="shared" si="4366"/>
        <v>US NAVY YARD</v>
      </c>
      <c r="I11894" t="str">
        <f t="shared" si="4364"/>
        <v>PORTSMOUTH</v>
      </c>
      <c r="J11894" t="str">
        <f t="shared" si="4365"/>
        <v>NH</v>
      </c>
      <c r="K11894" t="str">
        <f>T("2074385516")</f>
        <v>2074385516</v>
      </c>
      <c r="L11894" t="str">
        <f>T("2074381920")</f>
        <v>2074381920</v>
      </c>
    </row>
    <row r="11895" spans="1:12" x14ac:dyDescent="0.35">
      <c r="A11895" t="str">
        <f t="shared" si="4361"/>
        <v>PNSY</v>
      </c>
      <c r="B11895" t="str">
        <f>T("CODE 502 KMA BLDG 153")</f>
        <v>CODE 502 KMA BLDG 153</v>
      </c>
      <c r="C11895" t="str">
        <f t="shared" si="4367"/>
        <v>US NAVY YARD</v>
      </c>
      <c r="D11895" t="str">
        <f t="shared" si="4362"/>
        <v>PORTSMOUTH</v>
      </c>
      <c r="E11895" t="str">
        <f t="shared" si="4363"/>
        <v>NH</v>
      </c>
      <c r="F11895" t="str">
        <f t="shared" si="4355"/>
        <v>038040000</v>
      </c>
      <c r="G11895" t="str">
        <f>T("CODE 502 KMA BLDG 153")</f>
        <v>CODE 502 KMA BLDG 153</v>
      </c>
      <c r="H11895" t="str">
        <f t="shared" si="4366"/>
        <v>US NAVY YARD</v>
      </c>
      <c r="I11895" t="str">
        <f t="shared" si="4364"/>
        <v>PORTSMOUTH</v>
      </c>
      <c r="J11895" t="str">
        <f t="shared" si="4365"/>
        <v>NH</v>
      </c>
      <c r="K11895" t="str">
        <f>T("2074385516")</f>
        <v>2074385516</v>
      </c>
      <c r="L11895" t="str">
        <f>T("2074385110")</f>
        <v>2074385110</v>
      </c>
    </row>
    <row r="11896" spans="1:12" x14ac:dyDescent="0.35">
      <c r="A11896" t="str">
        <f t="shared" si="4361"/>
        <v>PNSY</v>
      </c>
      <c r="B11896" t="str">
        <f>T("CODE 610 BLDG 153 6TH FLR")</f>
        <v>CODE 610 BLDG 153 6TH FLR</v>
      </c>
      <c r="C11896" t="str">
        <f t="shared" si="4367"/>
        <v>US NAVY YARD</v>
      </c>
      <c r="D11896" t="str">
        <f t="shared" si="4362"/>
        <v>PORTSMOUTH</v>
      </c>
      <c r="E11896" t="str">
        <f t="shared" si="4363"/>
        <v>NH</v>
      </c>
      <c r="F11896" t="str">
        <f t="shared" si="4355"/>
        <v>038040000</v>
      </c>
      <c r="G11896" t="str">
        <f>T("CODE 610 BLDG 153 6TH FLR")</f>
        <v>CODE 610 BLDG 153 6TH FLR</v>
      </c>
      <c r="H11896" t="str">
        <f t="shared" si="4366"/>
        <v>US NAVY YARD</v>
      </c>
      <c r="I11896" t="str">
        <f t="shared" si="4364"/>
        <v>PORTSMOUTH</v>
      </c>
      <c r="J11896" t="str">
        <f t="shared" si="4365"/>
        <v>NH</v>
      </c>
      <c r="K11896" t="str">
        <f>T("")</f>
        <v/>
      </c>
      <c r="L11896" t="str">
        <f>T("2074384427")</f>
        <v>2074384427</v>
      </c>
    </row>
    <row r="11897" spans="1:12" x14ac:dyDescent="0.35">
      <c r="A11897" t="str">
        <f t="shared" si="4361"/>
        <v>PNSY</v>
      </c>
      <c r="B11897" t="str">
        <f>T("CODE 610 BLDG 153 6TH FLR")</f>
        <v>CODE 610 BLDG 153 6TH FLR</v>
      </c>
      <c r="C11897" t="str">
        <f t="shared" si="4367"/>
        <v>US NAVY YARD</v>
      </c>
      <c r="D11897" t="str">
        <f t="shared" si="4362"/>
        <v>PORTSMOUTH</v>
      </c>
      <c r="E11897" t="str">
        <f t="shared" si="4363"/>
        <v>NH</v>
      </c>
      <c r="F11897" t="str">
        <f t="shared" si="4355"/>
        <v>038040000</v>
      </c>
      <c r="G11897" t="str">
        <f>T("CODE 612.2 BLDG 153/5TH FL")</f>
        <v>CODE 612.2 BLDG 153/5TH FL</v>
      </c>
      <c r="H11897" t="str">
        <f t="shared" si="4366"/>
        <v>US NAVY YARD</v>
      </c>
      <c r="I11897" t="str">
        <f t="shared" si="4364"/>
        <v>PORTSMOUTH</v>
      </c>
      <c r="J11897" t="str">
        <f t="shared" si="4365"/>
        <v>NH</v>
      </c>
      <c r="K11897" t="str">
        <f>T("2074384425")</f>
        <v>2074384425</v>
      </c>
      <c r="L11897" t="str">
        <f>T("2074384423")</f>
        <v>2074384423</v>
      </c>
    </row>
    <row r="11898" spans="1:12" x14ac:dyDescent="0.35">
      <c r="A11898" t="str">
        <f t="shared" si="4361"/>
        <v>PNSY</v>
      </c>
      <c r="B11898" t="str">
        <f t="shared" ref="B11898:B11903" si="4368">T("CODE 612 BLDG 153")</f>
        <v>CODE 612 BLDG 153</v>
      </c>
      <c r="C11898" t="str">
        <f t="shared" si="4367"/>
        <v>US NAVY YARD</v>
      </c>
      <c r="D11898" t="str">
        <f t="shared" si="4362"/>
        <v>PORTSMOUTH</v>
      </c>
      <c r="E11898" t="str">
        <f t="shared" si="4363"/>
        <v>NH</v>
      </c>
      <c r="F11898" t="str">
        <f t="shared" si="4355"/>
        <v>038040000</v>
      </c>
      <c r="G11898" t="str">
        <f>T("CODE 600 BLDG 153")</f>
        <v>CODE 600 BLDG 153</v>
      </c>
      <c r="H11898" t="str">
        <f t="shared" si="4366"/>
        <v>US NAVY YARD</v>
      </c>
      <c r="I11898" t="str">
        <f t="shared" si="4364"/>
        <v>PORTSMOUTH</v>
      </c>
      <c r="J11898" t="str">
        <f t="shared" si="4365"/>
        <v>NH</v>
      </c>
      <c r="K11898" t="str">
        <f>T("2074385601")</f>
        <v>2074385601</v>
      </c>
      <c r="L11898" t="str">
        <f>T("2074384439")</f>
        <v>2074384439</v>
      </c>
    </row>
    <row r="11899" spans="1:12" x14ac:dyDescent="0.35">
      <c r="A11899" t="str">
        <f t="shared" si="4361"/>
        <v>PNSY</v>
      </c>
      <c r="B11899" t="str">
        <f t="shared" si="4368"/>
        <v>CODE 612 BLDG 153</v>
      </c>
      <c r="C11899" t="str">
        <f t="shared" si="4367"/>
        <v>US NAVY YARD</v>
      </c>
      <c r="D11899" t="str">
        <f t="shared" si="4362"/>
        <v>PORTSMOUTH</v>
      </c>
      <c r="E11899" t="str">
        <f t="shared" si="4363"/>
        <v>NH</v>
      </c>
      <c r="F11899" t="str">
        <f t="shared" si="4355"/>
        <v>038040000</v>
      </c>
      <c r="G11899" t="str">
        <f>T("CODE 612 BLDG 153")</f>
        <v>CODE 612 BLDG 153</v>
      </c>
      <c r="H11899" t="str">
        <f t="shared" si="4366"/>
        <v>US NAVY YARD</v>
      </c>
      <c r="I11899" t="str">
        <f t="shared" si="4364"/>
        <v>PORTSMOUTH</v>
      </c>
      <c r="J11899" t="str">
        <f t="shared" si="4365"/>
        <v>NH</v>
      </c>
      <c r="K11899" t="str">
        <f>T("2074384200")</f>
        <v>2074384200</v>
      </c>
      <c r="L11899" t="str">
        <f>T("2074384424")</f>
        <v>2074384424</v>
      </c>
    </row>
    <row r="11900" spans="1:12" x14ac:dyDescent="0.35">
      <c r="A11900" t="str">
        <f t="shared" si="4361"/>
        <v>PNSY</v>
      </c>
      <c r="B11900" t="str">
        <f t="shared" si="4368"/>
        <v>CODE 612 BLDG 153</v>
      </c>
      <c r="C11900" t="str">
        <f t="shared" si="4367"/>
        <v>US NAVY YARD</v>
      </c>
      <c r="D11900" t="str">
        <f t="shared" si="4362"/>
        <v>PORTSMOUTH</v>
      </c>
      <c r="E11900" t="str">
        <f t="shared" si="4363"/>
        <v>NH</v>
      </c>
      <c r="F11900" t="str">
        <f t="shared" si="4355"/>
        <v>038040000</v>
      </c>
      <c r="G11900" t="str">
        <f>T("CODE 612 BLDG 153")</f>
        <v>CODE 612 BLDG 153</v>
      </c>
      <c r="H11900" t="str">
        <f t="shared" si="4366"/>
        <v>US NAVY YARD</v>
      </c>
      <c r="I11900" t="str">
        <f t="shared" si="4364"/>
        <v>PORTSMOUTH</v>
      </c>
      <c r="J11900" t="str">
        <f t="shared" si="4365"/>
        <v>NH</v>
      </c>
      <c r="K11900" t="str">
        <f>T("2074384200")</f>
        <v>2074384200</v>
      </c>
      <c r="L11900" t="str">
        <f>T("2074384430")</f>
        <v>2074384430</v>
      </c>
    </row>
    <row r="11901" spans="1:12" x14ac:dyDescent="0.35">
      <c r="A11901" t="str">
        <f t="shared" si="4361"/>
        <v>PNSY</v>
      </c>
      <c r="B11901" t="str">
        <f t="shared" si="4368"/>
        <v>CODE 612 BLDG 153</v>
      </c>
      <c r="C11901" t="str">
        <f t="shared" si="4367"/>
        <v>US NAVY YARD</v>
      </c>
      <c r="D11901" t="str">
        <f t="shared" si="4362"/>
        <v>PORTSMOUTH</v>
      </c>
      <c r="E11901" t="str">
        <f t="shared" si="4363"/>
        <v>NH</v>
      </c>
      <c r="F11901" t="str">
        <f t="shared" si="4355"/>
        <v>038040000</v>
      </c>
      <c r="G11901" t="str">
        <f>T("CODE 612 BLDG 153")</f>
        <v>CODE 612 BLDG 153</v>
      </c>
      <c r="H11901" t="str">
        <f t="shared" si="4366"/>
        <v>US NAVY YARD</v>
      </c>
      <c r="I11901" t="str">
        <f t="shared" si="4364"/>
        <v>PORTSMOUTH</v>
      </c>
      <c r="J11901" t="str">
        <f t="shared" si="4365"/>
        <v>NH</v>
      </c>
      <c r="K11901" t="str">
        <f>T("2074384200")</f>
        <v>2074384200</v>
      </c>
      <c r="L11901" t="str">
        <f>T("2074384467")</f>
        <v>2074384467</v>
      </c>
    </row>
    <row r="11902" spans="1:12" x14ac:dyDescent="0.35">
      <c r="A11902" t="str">
        <f t="shared" si="4361"/>
        <v>PNSY</v>
      </c>
      <c r="B11902" t="str">
        <f t="shared" si="4368"/>
        <v>CODE 612 BLDG 153</v>
      </c>
      <c r="C11902" t="str">
        <f t="shared" si="4367"/>
        <v>US NAVY YARD</v>
      </c>
      <c r="D11902" t="str">
        <f t="shared" si="4362"/>
        <v>PORTSMOUTH</v>
      </c>
      <c r="E11902" t="str">
        <f t="shared" si="4363"/>
        <v>NH</v>
      </c>
      <c r="F11902" t="str">
        <f t="shared" si="4355"/>
        <v>038040000</v>
      </c>
      <c r="G11902" t="str">
        <f>T("CODE 612 BLDG 153")</f>
        <v>CODE 612 BLDG 153</v>
      </c>
      <c r="H11902" t="str">
        <f t="shared" si="4366"/>
        <v>US NAVY YARD</v>
      </c>
      <c r="I11902" t="str">
        <f t="shared" si="4364"/>
        <v>PORTSMOUTH</v>
      </c>
      <c r="J11902" t="str">
        <f t="shared" si="4365"/>
        <v>NH</v>
      </c>
      <c r="K11902" t="str">
        <f>T("2074384425")</f>
        <v>2074384425</v>
      </c>
      <c r="L11902" t="str">
        <f>T("2074384418")</f>
        <v>2074384418</v>
      </c>
    </row>
    <row r="11903" spans="1:12" x14ac:dyDescent="0.35">
      <c r="A11903" t="str">
        <f t="shared" si="4361"/>
        <v>PNSY</v>
      </c>
      <c r="B11903" t="str">
        <f t="shared" si="4368"/>
        <v>CODE 612 BLDG 153</v>
      </c>
      <c r="C11903" t="str">
        <f t="shared" si="4367"/>
        <v>US NAVY YARD</v>
      </c>
      <c r="D11903" t="str">
        <f t="shared" si="4362"/>
        <v>PORTSMOUTH</v>
      </c>
      <c r="E11903" t="str">
        <f t="shared" si="4363"/>
        <v>NH</v>
      </c>
      <c r="F11903" t="str">
        <f t="shared" si="4355"/>
        <v>038040000</v>
      </c>
      <c r="G11903" t="str">
        <f>T("CODE 612 BLDG 153")</f>
        <v>CODE 612 BLDG 153</v>
      </c>
      <c r="H11903" t="str">
        <f t="shared" si="4366"/>
        <v>US NAVY YARD</v>
      </c>
      <c r="I11903" t="str">
        <f t="shared" si="4364"/>
        <v>PORTSMOUTH</v>
      </c>
      <c r="J11903" t="str">
        <f t="shared" si="4365"/>
        <v>NH</v>
      </c>
      <c r="K11903" t="str">
        <f>T("2074384425")</f>
        <v>2074384425</v>
      </c>
      <c r="L11903" t="str">
        <f>T("2074384428")</f>
        <v>2074384428</v>
      </c>
    </row>
    <row r="11904" spans="1:12" x14ac:dyDescent="0.35">
      <c r="A11904" t="str">
        <f t="shared" si="4361"/>
        <v>PNSY</v>
      </c>
      <c r="B11904" t="str">
        <f>T("CODE 732 BLDG 238")</f>
        <v>CODE 732 BLDG 238</v>
      </c>
      <c r="C11904" t="str">
        <f t="shared" si="4367"/>
        <v>US NAVY YARD</v>
      </c>
      <c r="D11904" t="str">
        <f t="shared" si="4362"/>
        <v>PORTSMOUTH</v>
      </c>
      <c r="E11904" t="str">
        <f t="shared" si="4363"/>
        <v>NH</v>
      </c>
      <c r="F11904" t="str">
        <f>T("038010000")</f>
        <v>038010000</v>
      </c>
      <c r="G11904" t="str">
        <f>T("CODE 700 BLDG 238 2")</f>
        <v>CODE 700 BLDG 238 2</v>
      </c>
      <c r="H11904" t="str">
        <f t="shared" si="4366"/>
        <v>US NAVY YARD</v>
      </c>
      <c r="I11904" t="str">
        <f t="shared" si="4364"/>
        <v>PORTSMOUTH</v>
      </c>
      <c r="J11904" t="str">
        <f t="shared" si="4365"/>
        <v>NH</v>
      </c>
      <c r="K11904" t="str">
        <f>T("2074385538")</f>
        <v>2074385538</v>
      </c>
      <c r="L11904" t="str">
        <f>T("2074385542")</f>
        <v>2074385542</v>
      </c>
    </row>
    <row r="11905" spans="1:12" x14ac:dyDescent="0.35">
      <c r="A11905" t="str">
        <f t="shared" si="4361"/>
        <v>PNSY</v>
      </c>
      <c r="B11905" t="str">
        <f>T("CODE 732 BLDG 238")</f>
        <v>CODE 732 BLDG 238</v>
      </c>
      <c r="C11905" t="str">
        <f t="shared" si="4367"/>
        <v>US NAVY YARD</v>
      </c>
      <c r="D11905" t="str">
        <f t="shared" si="4362"/>
        <v>PORTSMOUTH</v>
      </c>
      <c r="E11905" t="str">
        <f t="shared" si="4363"/>
        <v>NH</v>
      </c>
      <c r="F11905" t="str">
        <f>T("038010000")</f>
        <v>038010000</v>
      </c>
      <c r="G11905" t="str">
        <f>T("CODE 730 BLDG 238")</f>
        <v>CODE 730 BLDG 238</v>
      </c>
      <c r="H11905" t="str">
        <f>T("NAVY YARD")</f>
        <v>NAVY YARD</v>
      </c>
      <c r="I11905" t="str">
        <f t="shared" si="4364"/>
        <v>PORTSMOUTH</v>
      </c>
      <c r="J11905" t="str">
        <f t="shared" si="4365"/>
        <v>NH</v>
      </c>
      <c r="K11905" t="str">
        <f>T("000000000000000000")</f>
        <v>000000000000000000</v>
      </c>
      <c r="L11905" t="str">
        <f>T("2074381556")</f>
        <v>2074381556</v>
      </c>
    </row>
    <row r="11906" spans="1:12" x14ac:dyDescent="0.35">
      <c r="A11906" t="str">
        <f t="shared" si="4361"/>
        <v>PNSY</v>
      </c>
      <c r="B11906" t="str">
        <f>T("CODE 732 BLDG 238")</f>
        <v>CODE 732 BLDG 238</v>
      </c>
      <c r="C11906" t="str">
        <f t="shared" si="4367"/>
        <v>US NAVY YARD</v>
      </c>
      <c r="D11906" t="str">
        <f t="shared" si="4362"/>
        <v>PORTSMOUTH</v>
      </c>
      <c r="E11906" t="str">
        <f t="shared" si="4363"/>
        <v>NH</v>
      </c>
      <c r="F11906" t="str">
        <f>T("038010000")</f>
        <v>038010000</v>
      </c>
      <c r="G11906" t="str">
        <f>T("CODE 730 BLDG 238")</f>
        <v>CODE 730 BLDG 238</v>
      </c>
      <c r="H11906" t="str">
        <f t="shared" ref="H11906:H11915" si="4369">T("US NAVY YARD")</f>
        <v>US NAVY YARD</v>
      </c>
      <c r="I11906" t="str">
        <f t="shared" si="4364"/>
        <v>PORTSMOUTH</v>
      </c>
      <c r="J11906" t="str">
        <f t="shared" si="4365"/>
        <v>NH</v>
      </c>
      <c r="K11906" t="str">
        <f>T("2074383527")</f>
        <v>2074383527</v>
      </c>
      <c r="L11906" t="str">
        <f>T("2074382175")</f>
        <v>2074382175</v>
      </c>
    </row>
    <row r="11907" spans="1:12" x14ac:dyDescent="0.35">
      <c r="A11907" t="str">
        <f t="shared" si="4361"/>
        <v>PNSY</v>
      </c>
      <c r="B11907" t="str">
        <f>T("CODE 732 BLDG 238")</f>
        <v>CODE 732 BLDG 238</v>
      </c>
      <c r="C11907" t="str">
        <f t="shared" si="4367"/>
        <v>US NAVY YARD</v>
      </c>
      <c r="D11907" t="str">
        <f t="shared" si="4362"/>
        <v>PORTSMOUTH</v>
      </c>
      <c r="E11907" t="str">
        <f t="shared" si="4363"/>
        <v>NH</v>
      </c>
      <c r="F11907" t="str">
        <f>T("038010000")</f>
        <v>038010000</v>
      </c>
      <c r="G11907" t="str">
        <f>T("CODE 730 BLDG 238")</f>
        <v>CODE 730 BLDG 238</v>
      </c>
      <c r="H11907" t="str">
        <f t="shared" si="4369"/>
        <v>US NAVY YARD</v>
      </c>
      <c r="I11907" t="str">
        <f t="shared" si="4364"/>
        <v>PORTSMOUTH</v>
      </c>
      <c r="J11907" t="str">
        <f t="shared" si="4365"/>
        <v>NH</v>
      </c>
      <c r="K11907" t="str">
        <f>T("2074384943")</f>
        <v>2074384943</v>
      </c>
      <c r="L11907" t="str">
        <f>T("2074382167")</f>
        <v>2074382167</v>
      </c>
    </row>
    <row r="11908" spans="1:12" x14ac:dyDescent="0.35">
      <c r="A11908" t="str">
        <f t="shared" si="4361"/>
        <v>PNSY</v>
      </c>
      <c r="B11908" t="str">
        <f>T("CODE 732 BLDG 238")</f>
        <v>CODE 732 BLDG 238</v>
      </c>
      <c r="C11908" t="str">
        <f t="shared" si="4367"/>
        <v>US NAVY YARD</v>
      </c>
      <c r="D11908" t="str">
        <f t="shared" si="4362"/>
        <v>PORTSMOUTH</v>
      </c>
      <c r="E11908" t="str">
        <f t="shared" si="4363"/>
        <v>NH</v>
      </c>
      <c r="F11908" t="str">
        <f>T("038010000")</f>
        <v>038010000</v>
      </c>
      <c r="G11908" t="str">
        <f>T("CODE 732 BLDG 238")</f>
        <v>CODE 732 BLDG 238</v>
      </c>
      <c r="H11908" t="str">
        <f t="shared" si="4369"/>
        <v>US NAVY YARD</v>
      </c>
      <c r="I11908" t="str">
        <f t="shared" si="4364"/>
        <v>PORTSMOUTH</v>
      </c>
      <c r="J11908" t="str">
        <f t="shared" si="4365"/>
        <v>NH</v>
      </c>
      <c r="K11908" t="str">
        <f>T("2074384943")</f>
        <v>2074384943</v>
      </c>
      <c r="L11908" t="str">
        <f>T("2074385561")</f>
        <v>2074385561</v>
      </c>
    </row>
    <row r="11909" spans="1:12" x14ac:dyDescent="0.35">
      <c r="A11909" t="str">
        <f t="shared" si="4361"/>
        <v>PNSY</v>
      </c>
      <c r="B11909" t="str">
        <f>T("CODE 900R BLDG 86A 1ST FLR")</f>
        <v>CODE 900R BLDG 86A 1ST FLR</v>
      </c>
      <c r="C11909" t="str">
        <f t="shared" si="4367"/>
        <v>US NAVY YARD</v>
      </c>
      <c r="D11909" t="str">
        <f t="shared" si="4362"/>
        <v>PORTSMOUTH</v>
      </c>
      <c r="E11909" t="str">
        <f t="shared" si="4363"/>
        <v>NH</v>
      </c>
      <c r="F11909" t="str">
        <f>T("038040000")</f>
        <v>038040000</v>
      </c>
      <c r="G11909" t="str">
        <f>T("CODE 900R BLDG 86A 1ST FLR")</f>
        <v>CODE 900R BLDG 86A 1ST FLR</v>
      </c>
      <c r="H11909" t="str">
        <f t="shared" si="4369"/>
        <v>US NAVY YARD</v>
      </c>
      <c r="I11909" t="str">
        <f t="shared" si="4364"/>
        <v>PORTSMOUTH</v>
      </c>
      <c r="J11909" t="str">
        <f t="shared" si="4365"/>
        <v>NH</v>
      </c>
      <c r="K11909" t="str">
        <f>T("")</f>
        <v/>
      </c>
      <c r="L11909" t="str">
        <f>T("2074383672")</f>
        <v>2074383672</v>
      </c>
    </row>
    <row r="11910" spans="1:12" x14ac:dyDescent="0.35">
      <c r="A11910" t="str">
        <f t="shared" si="4361"/>
        <v>PNSY</v>
      </c>
      <c r="B11910" t="str">
        <f t="shared" ref="B11910:B11915" si="4370">T("CODE 900SD BUDG 633")</f>
        <v>CODE 900SD BUDG 633</v>
      </c>
      <c r="C11910" t="str">
        <f t="shared" si="4367"/>
        <v>US NAVY YARD</v>
      </c>
      <c r="D11910" t="str">
        <f t="shared" ref="D11910:D11915" si="4371">T("SAN DIEGO")</f>
        <v>SAN DIEGO</v>
      </c>
      <c r="E11910" t="str">
        <f t="shared" ref="E11910:E11915" si="4372">T("CA")</f>
        <v>CA</v>
      </c>
      <c r="F11910" t="str">
        <f t="shared" ref="F11910:F11915" si="4373">T("921060000")</f>
        <v>921060000</v>
      </c>
      <c r="G11910" t="str">
        <f>T("CODE 1102 BLDG 137")</f>
        <v>CODE 1102 BLDG 137</v>
      </c>
      <c r="H11910" t="str">
        <f t="shared" si="4369"/>
        <v>US NAVY YARD</v>
      </c>
      <c r="I11910" t="str">
        <f t="shared" si="4364"/>
        <v>PORTSMOUTH</v>
      </c>
      <c r="J11910" t="str">
        <f t="shared" si="4365"/>
        <v>NH</v>
      </c>
      <c r="K11910" t="str">
        <f>T("6195537989")</f>
        <v>6195537989</v>
      </c>
      <c r="L11910" t="str">
        <f>T("6195537999")</f>
        <v>6195537999</v>
      </c>
    </row>
    <row r="11911" spans="1:12" x14ac:dyDescent="0.35">
      <c r="A11911" t="str">
        <f t="shared" si="4361"/>
        <v>PNSY</v>
      </c>
      <c r="B11911" t="str">
        <f t="shared" si="4370"/>
        <v>CODE 900SD BUDG 633</v>
      </c>
      <c r="C11911" t="str">
        <f t="shared" si="4367"/>
        <v>US NAVY YARD</v>
      </c>
      <c r="D11911" t="str">
        <f t="shared" si="4371"/>
        <v>SAN DIEGO</v>
      </c>
      <c r="E11911" t="str">
        <f t="shared" si="4372"/>
        <v>CA</v>
      </c>
      <c r="F11911" t="str">
        <f t="shared" si="4373"/>
        <v>921060000</v>
      </c>
      <c r="G11911" t="str">
        <f>T("CODE 300 BLDG 127")</f>
        <v>CODE 300 BLDG 127</v>
      </c>
      <c r="H11911" t="str">
        <f t="shared" si="4369"/>
        <v>US NAVY YARD</v>
      </c>
      <c r="I11911" t="str">
        <f t="shared" si="4364"/>
        <v>PORTSMOUTH</v>
      </c>
      <c r="J11911" t="str">
        <f t="shared" si="4365"/>
        <v>NH</v>
      </c>
      <c r="K11911" t="str">
        <f>T("6195537088")</f>
        <v>6195537088</v>
      </c>
      <c r="L11911" t="str">
        <f>T("6195533235")</f>
        <v>6195533235</v>
      </c>
    </row>
    <row r="11912" spans="1:12" x14ac:dyDescent="0.35">
      <c r="A11912" t="str">
        <f t="shared" si="4361"/>
        <v>PNSY</v>
      </c>
      <c r="B11912" t="str">
        <f t="shared" si="4370"/>
        <v>CODE 900SD BUDG 633</v>
      </c>
      <c r="C11912" t="str">
        <f t="shared" si="4367"/>
        <v>US NAVY YARD</v>
      </c>
      <c r="D11912" t="str">
        <f t="shared" si="4371"/>
        <v>SAN DIEGO</v>
      </c>
      <c r="E11912" t="str">
        <f t="shared" si="4372"/>
        <v>CA</v>
      </c>
      <c r="F11912" t="str">
        <f t="shared" si="4373"/>
        <v>921060000</v>
      </c>
      <c r="G11912" t="str">
        <f>T("CODE 311 BLDG 137")</f>
        <v>CODE 311 BLDG 137</v>
      </c>
      <c r="H11912" t="str">
        <f t="shared" si="4369"/>
        <v>US NAVY YARD</v>
      </c>
      <c r="I11912" t="str">
        <f t="shared" si="4364"/>
        <v>PORTSMOUTH</v>
      </c>
      <c r="J11912" t="str">
        <f t="shared" si="4365"/>
        <v>NH</v>
      </c>
      <c r="K11912" t="str">
        <f>T("6195533808")</f>
        <v>6195533808</v>
      </c>
      <c r="L11912" t="str">
        <f>T("6195537999")</f>
        <v>6195537999</v>
      </c>
    </row>
    <row r="11913" spans="1:12" x14ac:dyDescent="0.35">
      <c r="A11913" t="str">
        <f t="shared" si="4361"/>
        <v>PNSY</v>
      </c>
      <c r="B11913" t="str">
        <f t="shared" si="4370"/>
        <v>CODE 900SD BUDG 633</v>
      </c>
      <c r="C11913" t="str">
        <f t="shared" si="4367"/>
        <v>US NAVY YARD</v>
      </c>
      <c r="D11913" t="str">
        <f t="shared" si="4371"/>
        <v>SAN DIEGO</v>
      </c>
      <c r="E11913" t="str">
        <f t="shared" si="4372"/>
        <v>CA</v>
      </c>
      <c r="F11913" t="str">
        <f t="shared" si="4373"/>
        <v>921060000</v>
      </c>
      <c r="G11913" t="str">
        <f>T("CODE 900SD BUDG 633")</f>
        <v>CODE 900SD BUDG 633</v>
      </c>
      <c r="H11913" t="str">
        <f t="shared" si="4369"/>
        <v>US NAVY YARD</v>
      </c>
      <c r="I11913" t="str">
        <f>T("SAN DIEGO")</f>
        <v>SAN DIEGO</v>
      </c>
      <c r="J11913" t="str">
        <f>T("CA")</f>
        <v>CA</v>
      </c>
      <c r="K11913" t="str">
        <f>T("6195535589")</f>
        <v>6195535589</v>
      </c>
      <c r="L11913" t="str">
        <f>T("6195533720")</f>
        <v>6195533720</v>
      </c>
    </row>
    <row r="11914" spans="1:12" x14ac:dyDescent="0.35">
      <c r="A11914" t="str">
        <f t="shared" si="4361"/>
        <v>PNSY</v>
      </c>
      <c r="B11914" t="str">
        <f t="shared" si="4370"/>
        <v>CODE 900SD BUDG 633</v>
      </c>
      <c r="C11914" t="str">
        <f t="shared" si="4367"/>
        <v>US NAVY YARD</v>
      </c>
      <c r="D11914" t="str">
        <f t="shared" si="4371"/>
        <v>SAN DIEGO</v>
      </c>
      <c r="E11914" t="str">
        <f t="shared" si="4372"/>
        <v>CA</v>
      </c>
      <c r="F11914" t="str">
        <f t="shared" si="4373"/>
        <v>921060000</v>
      </c>
      <c r="G11914" t="str">
        <f>T("CODE 930 BLDG 633")</f>
        <v>CODE 930 BLDG 633</v>
      </c>
      <c r="H11914" t="str">
        <f t="shared" si="4369"/>
        <v>US NAVY YARD</v>
      </c>
      <c r="I11914" t="str">
        <f t="shared" ref="I11914:I11945" si="4374">T("PORTSMOUTH")</f>
        <v>PORTSMOUTH</v>
      </c>
      <c r="J11914" t="str">
        <f t="shared" ref="J11914:J11945" si="4375">T("NH")</f>
        <v>NH</v>
      </c>
      <c r="K11914" t="str">
        <f>T("000000000000000000")</f>
        <v>000000000000000000</v>
      </c>
      <c r="L11914" t="str">
        <f>T("6195537377")</f>
        <v>6195537377</v>
      </c>
    </row>
    <row r="11915" spans="1:12" x14ac:dyDescent="0.35">
      <c r="A11915" t="str">
        <f t="shared" ref="A11915:A11946" si="4376">T("PNSY")</f>
        <v>PNSY</v>
      </c>
      <c r="B11915" t="str">
        <f t="shared" si="4370"/>
        <v>CODE 900SD BUDG 633</v>
      </c>
      <c r="C11915" t="str">
        <f t="shared" si="4367"/>
        <v>US NAVY YARD</v>
      </c>
      <c r="D11915" t="str">
        <f t="shared" si="4371"/>
        <v>SAN DIEGO</v>
      </c>
      <c r="E11915" t="str">
        <f t="shared" si="4372"/>
        <v>CA</v>
      </c>
      <c r="F11915" t="str">
        <f t="shared" si="4373"/>
        <v>921060000</v>
      </c>
      <c r="G11915" t="str">
        <f>T("CODE 980 BLDG 231")</f>
        <v>CODE 980 BLDG 231</v>
      </c>
      <c r="H11915" t="str">
        <f t="shared" si="4369"/>
        <v>US NAVY YARD</v>
      </c>
      <c r="I11915" t="str">
        <f t="shared" si="4374"/>
        <v>PORTSMOUTH</v>
      </c>
      <c r="J11915" t="str">
        <f t="shared" si="4375"/>
        <v>NH</v>
      </c>
      <c r="K11915" t="str">
        <f>T("6195535589")</f>
        <v>6195535589</v>
      </c>
      <c r="L11915" t="str">
        <f>T("6195535650")</f>
        <v>6195535650</v>
      </c>
    </row>
    <row r="11916" spans="1:12" x14ac:dyDescent="0.35">
      <c r="A11916" t="str">
        <f t="shared" si="4376"/>
        <v>PNSY</v>
      </c>
      <c r="B11916" t="str">
        <f>T("CODE 900T BLDG 170")</f>
        <v>CODE 900T BLDG 170</v>
      </c>
      <c r="C11916" t="str">
        <f>T("NAVY YARD")</f>
        <v>NAVY YARD</v>
      </c>
      <c r="D11916" t="str">
        <f t="shared" ref="D11916:D11947" si="4377">T("PORTSMOUTH")</f>
        <v>PORTSMOUTH</v>
      </c>
      <c r="E11916" t="str">
        <f t="shared" ref="E11916:E11947" si="4378">T("NH")</f>
        <v>NH</v>
      </c>
      <c r="F11916" t="str">
        <f t="shared" ref="F11916:F11924" si="4379">T("038010000")</f>
        <v>038010000</v>
      </c>
      <c r="G11916" t="str">
        <f>T("CODE 900T BLDG 170")</f>
        <v>CODE 900T BLDG 170</v>
      </c>
      <c r="H11916" t="str">
        <f>T("NAVY YARD")</f>
        <v>NAVY YARD</v>
      </c>
      <c r="I11916" t="str">
        <f t="shared" si="4374"/>
        <v>PORTSMOUTH</v>
      </c>
      <c r="J11916" t="str">
        <f t="shared" si="4375"/>
        <v>NH</v>
      </c>
      <c r="K11916" t="str">
        <f>T("2074381188")</f>
        <v>2074381188</v>
      </c>
      <c r="L11916" t="str">
        <f>T("2074381384")</f>
        <v>2074381384</v>
      </c>
    </row>
    <row r="11917" spans="1:12" x14ac:dyDescent="0.35">
      <c r="A11917" t="str">
        <f t="shared" si="4376"/>
        <v>PNSY</v>
      </c>
      <c r="B11917" t="str">
        <f>T("CODE 900T BLDG 170")</f>
        <v>CODE 900T BLDG 170</v>
      </c>
      <c r="C11917" t="str">
        <f>T("NAVY YARD")</f>
        <v>NAVY YARD</v>
      </c>
      <c r="D11917" t="str">
        <f t="shared" si="4377"/>
        <v>PORTSMOUTH</v>
      </c>
      <c r="E11917" t="str">
        <f t="shared" si="4378"/>
        <v>NH</v>
      </c>
      <c r="F11917" t="str">
        <f t="shared" si="4379"/>
        <v>038010000</v>
      </c>
      <c r="G11917" t="str">
        <f>T("CODE 900T BLDG 170")</f>
        <v>CODE 900T BLDG 170</v>
      </c>
      <c r="H11917" t="str">
        <f>T("US NAVY YARD")</f>
        <v>US NAVY YARD</v>
      </c>
      <c r="I11917" t="str">
        <f t="shared" si="4374"/>
        <v>PORTSMOUTH</v>
      </c>
      <c r="J11917" t="str">
        <f t="shared" si="4375"/>
        <v>NH</v>
      </c>
      <c r="K11917" t="str">
        <f>T("2074381188")</f>
        <v>2074381188</v>
      </c>
      <c r="L11917" t="str">
        <f>T("2074382717")</f>
        <v>2074382717</v>
      </c>
    </row>
    <row r="11918" spans="1:12" x14ac:dyDescent="0.35">
      <c r="A11918" t="str">
        <f t="shared" si="4376"/>
        <v>PNSY</v>
      </c>
      <c r="B11918" t="str">
        <f>T("CODE 900T BLDG 170")</f>
        <v>CODE 900T BLDG 170</v>
      </c>
      <c r="C11918" t="str">
        <f>T("NAVY YARD")</f>
        <v>NAVY YARD</v>
      </c>
      <c r="D11918" t="str">
        <f t="shared" si="4377"/>
        <v>PORTSMOUTH</v>
      </c>
      <c r="E11918" t="str">
        <f t="shared" si="4378"/>
        <v>NH</v>
      </c>
      <c r="F11918" t="str">
        <f t="shared" si="4379"/>
        <v>038010000</v>
      </c>
      <c r="G11918" t="str">
        <f>T("CODE 900TR BLDG 170 5TH FL")</f>
        <v>CODE 900TR BLDG 170 5TH FL</v>
      </c>
      <c r="H11918" t="str">
        <f>T("US NAVY")</f>
        <v>US NAVY</v>
      </c>
      <c r="I11918" t="str">
        <f t="shared" si="4374"/>
        <v>PORTSMOUTH</v>
      </c>
      <c r="J11918" t="str">
        <f t="shared" si="4375"/>
        <v>NH</v>
      </c>
      <c r="K11918" t="str">
        <f>T("000000000000000000")</f>
        <v>000000000000000000</v>
      </c>
      <c r="L11918" t="str">
        <f>T("2074381592")</f>
        <v>2074381592</v>
      </c>
    </row>
    <row r="11919" spans="1:12" x14ac:dyDescent="0.35">
      <c r="A11919" t="str">
        <f t="shared" si="4376"/>
        <v>PNSY</v>
      </c>
      <c r="B11919" t="str">
        <f t="shared" ref="B11919:B11924" si="4380">T("CODE 906 BLDG 74")</f>
        <v>CODE 906 BLDG 74</v>
      </c>
      <c r="C11919" t="str">
        <f t="shared" ref="C11919:C11929" si="4381">T("US NAVY YARD")</f>
        <v>US NAVY YARD</v>
      </c>
      <c r="D11919" t="str">
        <f t="shared" si="4377"/>
        <v>PORTSMOUTH</v>
      </c>
      <c r="E11919" t="str">
        <f t="shared" si="4378"/>
        <v>NH</v>
      </c>
      <c r="F11919" t="str">
        <f t="shared" si="4379"/>
        <v>038010000</v>
      </c>
      <c r="G11919" t="str">
        <f>T("CODE 906 BLDG 240")</f>
        <v>CODE 906 BLDG 240</v>
      </c>
      <c r="H11919" t="str">
        <f t="shared" ref="H11919:H11924" si="4382">T("US NAVY YARD")</f>
        <v>US NAVY YARD</v>
      </c>
      <c r="I11919" t="str">
        <f t="shared" si="4374"/>
        <v>PORTSMOUTH</v>
      </c>
      <c r="J11919" t="str">
        <f t="shared" si="4375"/>
        <v>NH</v>
      </c>
      <c r="K11919" t="str">
        <f>T("2074385148")</f>
        <v>2074385148</v>
      </c>
      <c r="L11919" t="str">
        <f>T("2074385308")</f>
        <v>2074385308</v>
      </c>
    </row>
    <row r="11920" spans="1:12" x14ac:dyDescent="0.35">
      <c r="A11920" t="str">
        <f t="shared" si="4376"/>
        <v>PNSY</v>
      </c>
      <c r="B11920" t="str">
        <f t="shared" si="4380"/>
        <v>CODE 906 BLDG 74</v>
      </c>
      <c r="C11920" t="str">
        <f t="shared" si="4381"/>
        <v>US NAVY YARD</v>
      </c>
      <c r="D11920" t="str">
        <f t="shared" si="4377"/>
        <v>PORTSMOUTH</v>
      </c>
      <c r="E11920" t="str">
        <f t="shared" si="4378"/>
        <v>NH</v>
      </c>
      <c r="F11920" t="str">
        <f t="shared" si="4379"/>
        <v>038010000</v>
      </c>
      <c r="G11920" t="str">
        <f>T("CODE 906 BLDG 74")</f>
        <v>CODE 906 BLDG 74</v>
      </c>
      <c r="H11920" t="str">
        <f t="shared" si="4382"/>
        <v>US NAVY YARD</v>
      </c>
      <c r="I11920" t="str">
        <f t="shared" si="4374"/>
        <v>PORTSMOUTH</v>
      </c>
      <c r="J11920" t="str">
        <f t="shared" si="4375"/>
        <v>NH</v>
      </c>
      <c r="K11920" t="str">
        <f>T("2074382540")</f>
        <v>2074382540</v>
      </c>
      <c r="L11920" t="str">
        <f>T("2074382618")</f>
        <v>2074382618</v>
      </c>
    </row>
    <row r="11921" spans="1:12" x14ac:dyDescent="0.35">
      <c r="A11921" t="str">
        <f t="shared" si="4376"/>
        <v>PNSY</v>
      </c>
      <c r="B11921" t="str">
        <f t="shared" si="4380"/>
        <v>CODE 906 BLDG 74</v>
      </c>
      <c r="C11921" t="str">
        <f t="shared" si="4381"/>
        <v>US NAVY YARD</v>
      </c>
      <c r="D11921" t="str">
        <f t="shared" si="4377"/>
        <v>PORTSMOUTH</v>
      </c>
      <c r="E11921" t="str">
        <f t="shared" si="4378"/>
        <v>NH</v>
      </c>
      <c r="F11921" t="str">
        <f t="shared" si="4379"/>
        <v>038010000</v>
      </c>
      <c r="G11921" t="str">
        <f>T("CODE 906 BLDG 74")</f>
        <v>CODE 906 BLDG 74</v>
      </c>
      <c r="H11921" t="str">
        <f t="shared" si="4382"/>
        <v>US NAVY YARD</v>
      </c>
      <c r="I11921" t="str">
        <f t="shared" si="4374"/>
        <v>PORTSMOUTH</v>
      </c>
      <c r="J11921" t="str">
        <f t="shared" si="4375"/>
        <v>NH</v>
      </c>
      <c r="K11921" t="str">
        <f>T("2074384107")</f>
        <v>2074384107</v>
      </c>
      <c r="L11921" t="str">
        <f>T("2074382618")</f>
        <v>2074382618</v>
      </c>
    </row>
    <row r="11922" spans="1:12" x14ac:dyDescent="0.35">
      <c r="A11922" t="str">
        <f t="shared" si="4376"/>
        <v>PNSY</v>
      </c>
      <c r="B11922" t="str">
        <f t="shared" si="4380"/>
        <v>CODE 906 BLDG 74</v>
      </c>
      <c r="C11922" t="str">
        <f t="shared" si="4381"/>
        <v>US NAVY YARD</v>
      </c>
      <c r="D11922" t="str">
        <f t="shared" si="4377"/>
        <v>PORTSMOUTH</v>
      </c>
      <c r="E11922" t="str">
        <f t="shared" si="4378"/>
        <v>NH</v>
      </c>
      <c r="F11922" t="str">
        <f t="shared" si="4379"/>
        <v>038010000</v>
      </c>
      <c r="G11922" t="str">
        <f>T("CODE 930 BLDG 74")</f>
        <v>CODE 930 BLDG 74</v>
      </c>
      <c r="H11922" t="str">
        <f t="shared" si="4382"/>
        <v>US NAVY YARD</v>
      </c>
      <c r="I11922" t="str">
        <f t="shared" si="4374"/>
        <v>PORTSMOUTH</v>
      </c>
      <c r="J11922" t="str">
        <f t="shared" si="4375"/>
        <v>NH</v>
      </c>
      <c r="K11922" t="str">
        <f>T("2074382540")</f>
        <v>2074382540</v>
      </c>
      <c r="L11922" t="str">
        <f>T("2074384306")</f>
        <v>2074384306</v>
      </c>
    </row>
    <row r="11923" spans="1:12" x14ac:dyDescent="0.35">
      <c r="A11923" t="str">
        <f t="shared" si="4376"/>
        <v>PNSY</v>
      </c>
      <c r="B11923" t="str">
        <f t="shared" si="4380"/>
        <v>CODE 906 BLDG 74</v>
      </c>
      <c r="C11923" t="str">
        <f t="shared" si="4381"/>
        <v>US NAVY YARD</v>
      </c>
      <c r="D11923" t="str">
        <f t="shared" si="4377"/>
        <v>PORTSMOUTH</v>
      </c>
      <c r="E11923" t="str">
        <f t="shared" si="4378"/>
        <v>NH</v>
      </c>
      <c r="F11923" t="str">
        <f t="shared" si="4379"/>
        <v>038010000</v>
      </c>
      <c r="G11923" t="str">
        <f>T("CODE 960 BLDG 74")</f>
        <v>CODE 960 BLDG 74</v>
      </c>
      <c r="H11923" t="str">
        <f t="shared" si="4382"/>
        <v>US NAVY YARD</v>
      </c>
      <c r="I11923" t="str">
        <f t="shared" si="4374"/>
        <v>PORTSMOUTH</v>
      </c>
      <c r="J11923" t="str">
        <f t="shared" si="4375"/>
        <v>NH</v>
      </c>
      <c r="K11923" t="str">
        <f>T("")</f>
        <v/>
      </c>
      <c r="L11923" t="str">
        <f>T("2074382783")</f>
        <v>2074382783</v>
      </c>
    </row>
    <row r="11924" spans="1:12" x14ac:dyDescent="0.35">
      <c r="A11924" t="str">
        <f t="shared" si="4376"/>
        <v>PNSY</v>
      </c>
      <c r="B11924" t="str">
        <f t="shared" si="4380"/>
        <v>CODE 906 BLDG 74</v>
      </c>
      <c r="C11924" t="str">
        <f t="shared" si="4381"/>
        <v>US NAVY YARD</v>
      </c>
      <c r="D11924" t="str">
        <f t="shared" si="4377"/>
        <v>PORTSMOUTH</v>
      </c>
      <c r="E11924" t="str">
        <f t="shared" si="4378"/>
        <v>NH</v>
      </c>
      <c r="F11924" t="str">
        <f t="shared" si="4379"/>
        <v>038010000</v>
      </c>
      <c r="G11924" t="str">
        <f>T("CODE 960 BLDG 74")</f>
        <v>CODE 960 BLDG 74</v>
      </c>
      <c r="H11924" t="str">
        <f t="shared" si="4382"/>
        <v>US NAVY YARD</v>
      </c>
      <c r="I11924" t="str">
        <f t="shared" si="4374"/>
        <v>PORTSMOUTH</v>
      </c>
      <c r="J11924" t="str">
        <f t="shared" si="4375"/>
        <v>NH</v>
      </c>
      <c r="K11924" t="str">
        <f>T("2074382540")</f>
        <v>2074382540</v>
      </c>
      <c r="L11924" t="str">
        <f>T("2074381889")</f>
        <v>2074381889</v>
      </c>
    </row>
    <row r="11925" spans="1:12" x14ac:dyDescent="0.35">
      <c r="A11925" t="str">
        <f t="shared" si="4376"/>
        <v>PNSY</v>
      </c>
      <c r="B11925" t="str">
        <f>T("CODE 920 BLDG 92")</f>
        <v>CODE 920 BLDG 92</v>
      </c>
      <c r="C11925" t="str">
        <f t="shared" si="4381"/>
        <v>US NAVY YARD</v>
      </c>
      <c r="D11925" t="str">
        <f t="shared" si="4377"/>
        <v>PORTSMOUTH</v>
      </c>
      <c r="E11925" t="str">
        <f t="shared" si="4378"/>
        <v>NH</v>
      </c>
      <c r="F11925" t="str">
        <f t="shared" ref="F11925:F11941" si="4383">T("038040000")</f>
        <v>038040000</v>
      </c>
      <c r="G11925" t="str">
        <f>T("CODE 911 BLDG 92")</f>
        <v>CODE 911 BLDG 92</v>
      </c>
      <c r="H11925" t="str">
        <f>T("US NAVY")</f>
        <v>US NAVY</v>
      </c>
      <c r="I11925" t="str">
        <f t="shared" si="4374"/>
        <v>PORTSMOUTH</v>
      </c>
      <c r="J11925" t="str">
        <f t="shared" si="4375"/>
        <v>NH</v>
      </c>
      <c r="K11925" t="str">
        <f>T("2074384425")</f>
        <v>2074384425</v>
      </c>
      <c r="L11925" t="str">
        <f>T("2074382339")</f>
        <v>2074382339</v>
      </c>
    </row>
    <row r="11926" spans="1:12" x14ac:dyDescent="0.35">
      <c r="A11926" t="str">
        <f t="shared" si="4376"/>
        <v>PNSY</v>
      </c>
      <c r="B11926" t="str">
        <f>T("CODE 920 BLDG 92")</f>
        <v>CODE 920 BLDG 92</v>
      </c>
      <c r="C11926" t="str">
        <f t="shared" si="4381"/>
        <v>US NAVY YARD</v>
      </c>
      <c r="D11926" t="str">
        <f t="shared" si="4377"/>
        <v>PORTSMOUTH</v>
      </c>
      <c r="E11926" t="str">
        <f t="shared" si="4378"/>
        <v>NH</v>
      </c>
      <c r="F11926" t="str">
        <f t="shared" si="4383"/>
        <v>038040000</v>
      </c>
      <c r="G11926" t="str">
        <f>T("CODE 917 BLDG 75")</f>
        <v>CODE 917 BLDG 75</v>
      </c>
      <c r="H11926" t="str">
        <f>T("US NAVY")</f>
        <v>US NAVY</v>
      </c>
      <c r="I11926" t="str">
        <f t="shared" si="4374"/>
        <v>PORTSMOUTH</v>
      </c>
      <c r="J11926" t="str">
        <f t="shared" si="4375"/>
        <v>NH</v>
      </c>
      <c r="K11926" t="str">
        <f>T("000000000000000000")</f>
        <v>000000000000000000</v>
      </c>
      <c r="L11926" t="str">
        <f>T("2074382789")</f>
        <v>2074382789</v>
      </c>
    </row>
    <row r="11927" spans="1:12" x14ac:dyDescent="0.35">
      <c r="A11927" t="str">
        <f t="shared" si="4376"/>
        <v>PNSY</v>
      </c>
      <c r="B11927" t="str">
        <f>T("CODE 920 BLDG 92")</f>
        <v>CODE 920 BLDG 92</v>
      </c>
      <c r="C11927" t="str">
        <f t="shared" si="4381"/>
        <v>US NAVY YARD</v>
      </c>
      <c r="D11927" t="str">
        <f t="shared" si="4377"/>
        <v>PORTSMOUTH</v>
      </c>
      <c r="E11927" t="str">
        <f t="shared" si="4378"/>
        <v>NH</v>
      </c>
      <c r="F11927" t="str">
        <f t="shared" si="4383"/>
        <v>038040000</v>
      </c>
      <c r="G11927" t="str">
        <f>T("CODE 920 BLDG 92")</f>
        <v>CODE 920 BLDG 92</v>
      </c>
      <c r="H11927" t="str">
        <f>T("US NAVY YARD")</f>
        <v>US NAVY YARD</v>
      </c>
      <c r="I11927" t="str">
        <f t="shared" si="4374"/>
        <v>PORTSMOUTH</v>
      </c>
      <c r="J11927" t="str">
        <f t="shared" si="4375"/>
        <v>NH</v>
      </c>
      <c r="K11927" t="str">
        <f>T("2074382192")</f>
        <v>2074382192</v>
      </c>
      <c r="L11927" t="str">
        <f>T("2074381965")</f>
        <v>2074381965</v>
      </c>
    </row>
    <row r="11928" spans="1:12" x14ac:dyDescent="0.35">
      <c r="A11928" t="str">
        <f t="shared" si="4376"/>
        <v>PNSY</v>
      </c>
      <c r="B11928" t="str">
        <f>T("CODE 920 BLDG 92")</f>
        <v>CODE 920 BLDG 92</v>
      </c>
      <c r="C11928" t="str">
        <f t="shared" si="4381"/>
        <v>US NAVY YARD</v>
      </c>
      <c r="D11928" t="str">
        <f t="shared" si="4377"/>
        <v>PORTSMOUTH</v>
      </c>
      <c r="E11928" t="str">
        <f t="shared" si="4378"/>
        <v>NH</v>
      </c>
      <c r="F11928" t="str">
        <f t="shared" si="4383"/>
        <v>038040000</v>
      </c>
      <c r="G11928" t="str">
        <f>T("CODE 920 BLDG 92")</f>
        <v>CODE 920 BLDG 92</v>
      </c>
      <c r="H11928" t="str">
        <f>T("US NAVY YARD")</f>
        <v>US NAVY YARD</v>
      </c>
      <c r="I11928" t="str">
        <f t="shared" si="4374"/>
        <v>PORTSMOUTH</v>
      </c>
      <c r="J11928" t="str">
        <f t="shared" si="4375"/>
        <v>NH</v>
      </c>
      <c r="K11928" t="str">
        <f>T("2074382192")</f>
        <v>2074382192</v>
      </c>
      <c r="L11928" t="str">
        <f>T("2074382699")</f>
        <v>2074382699</v>
      </c>
    </row>
    <row r="11929" spans="1:12" x14ac:dyDescent="0.35">
      <c r="A11929" t="str">
        <f t="shared" si="4376"/>
        <v>PNSY</v>
      </c>
      <c r="B11929" t="str">
        <f>T("CODE 920 BLDG 92")</f>
        <v>CODE 920 BLDG 92</v>
      </c>
      <c r="C11929" t="str">
        <f t="shared" si="4381"/>
        <v>US NAVY YARD</v>
      </c>
      <c r="D11929" t="str">
        <f t="shared" si="4377"/>
        <v>PORTSMOUTH</v>
      </c>
      <c r="E11929" t="str">
        <f t="shared" si="4378"/>
        <v>NH</v>
      </c>
      <c r="F11929" t="str">
        <f t="shared" si="4383"/>
        <v>038040000</v>
      </c>
      <c r="G11929" t="str">
        <f>T("CODE 920 BLDG 92")</f>
        <v>CODE 920 BLDG 92</v>
      </c>
      <c r="H11929" t="str">
        <f>T("US NAVY YARD")</f>
        <v>US NAVY YARD</v>
      </c>
      <c r="I11929" t="str">
        <f t="shared" si="4374"/>
        <v>PORTSMOUTH</v>
      </c>
      <c r="J11929" t="str">
        <f t="shared" si="4375"/>
        <v>NH</v>
      </c>
      <c r="K11929" t="str">
        <f>T("2074383840")</f>
        <v>2074383840</v>
      </c>
      <c r="L11929" t="str">
        <f>T("2074382129")</f>
        <v>2074382129</v>
      </c>
    </row>
    <row r="11930" spans="1:12" x14ac:dyDescent="0.35">
      <c r="A11930" t="str">
        <f t="shared" si="4376"/>
        <v>PNSY</v>
      </c>
      <c r="B11930" t="str">
        <f t="shared" ref="B11930:B11936" si="4384">T("CODE 930AM BLDG 300 2NDFL")</f>
        <v>CODE 930AM BLDG 300 2NDFL</v>
      </c>
      <c r="C11930" t="str">
        <f t="shared" ref="C11930:C11936" si="4385">T("NAVY YARD")</f>
        <v>NAVY YARD</v>
      </c>
      <c r="D11930" t="str">
        <f t="shared" si="4377"/>
        <v>PORTSMOUTH</v>
      </c>
      <c r="E11930" t="str">
        <f t="shared" si="4378"/>
        <v>NH</v>
      </c>
      <c r="F11930" t="str">
        <f t="shared" si="4383"/>
        <v>038040000</v>
      </c>
      <c r="G11930" t="str">
        <f>T("CODE 930 BLDG 300")</f>
        <v>CODE 930 BLDG 300</v>
      </c>
      <c r="H11930" t="str">
        <f>T("US NAVY YARD")</f>
        <v>US NAVY YARD</v>
      </c>
      <c r="I11930" t="str">
        <f t="shared" si="4374"/>
        <v>PORTSMOUTH</v>
      </c>
      <c r="J11930" t="str">
        <f t="shared" si="4375"/>
        <v>NH</v>
      </c>
      <c r="K11930" t="str">
        <f>T("2074385321")</f>
        <v>2074385321</v>
      </c>
      <c r="L11930" t="str">
        <f>T("2074385304")</f>
        <v>2074385304</v>
      </c>
    </row>
    <row r="11931" spans="1:12" x14ac:dyDescent="0.35">
      <c r="A11931" t="str">
        <f t="shared" si="4376"/>
        <v>PNSY</v>
      </c>
      <c r="B11931" t="str">
        <f t="shared" si="4384"/>
        <v>CODE 930AM BLDG 300 2NDFL</v>
      </c>
      <c r="C11931" t="str">
        <f t="shared" si="4385"/>
        <v>NAVY YARD</v>
      </c>
      <c r="D11931" t="str">
        <f t="shared" si="4377"/>
        <v>PORTSMOUTH</v>
      </c>
      <c r="E11931" t="str">
        <f t="shared" si="4378"/>
        <v>NH</v>
      </c>
      <c r="F11931" t="str">
        <f t="shared" si="4383"/>
        <v>038040000</v>
      </c>
      <c r="G11931" t="str">
        <f>T("CODE 930 BLDG 300")</f>
        <v>CODE 930 BLDG 300</v>
      </c>
      <c r="H11931" t="str">
        <f>T("US NAVY YARD")</f>
        <v>US NAVY YARD</v>
      </c>
      <c r="I11931" t="str">
        <f t="shared" si="4374"/>
        <v>PORTSMOUTH</v>
      </c>
      <c r="J11931" t="str">
        <f t="shared" si="4375"/>
        <v>NH</v>
      </c>
      <c r="K11931" t="str">
        <f>T("2074385369")</f>
        <v>2074385369</v>
      </c>
      <c r="L11931" t="str">
        <f>T("2074381914")</f>
        <v>2074381914</v>
      </c>
    </row>
    <row r="11932" spans="1:12" x14ac:dyDescent="0.35">
      <c r="A11932" t="str">
        <f t="shared" si="4376"/>
        <v>PNSY</v>
      </c>
      <c r="B11932" t="str">
        <f t="shared" si="4384"/>
        <v>CODE 930AM BLDG 300 2NDFL</v>
      </c>
      <c r="C11932" t="str">
        <f t="shared" si="4385"/>
        <v>NAVY YARD</v>
      </c>
      <c r="D11932" t="str">
        <f t="shared" si="4377"/>
        <v>PORTSMOUTH</v>
      </c>
      <c r="E11932" t="str">
        <f t="shared" si="4378"/>
        <v>NH</v>
      </c>
      <c r="F11932" t="str">
        <f t="shared" si="4383"/>
        <v>038040000</v>
      </c>
      <c r="G11932" t="str">
        <f>T("CODE 930AM BLDG 300 2NDFL")</f>
        <v>CODE 930AM BLDG 300 2NDFL</v>
      </c>
      <c r="H11932" t="str">
        <f>T("NAVY YARD")</f>
        <v>NAVY YARD</v>
      </c>
      <c r="I11932" t="str">
        <f t="shared" si="4374"/>
        <v>PORTSMOUTH</v>
      </c>
      <c r="J11932" t="str">
        <f t="shared" si="4375"/>
        <v>NH</v>
      </c>
      <c r="K11932" t="str">
        <f>T("2074385321")</f>
        <v>2074385321</v>
      </c>
      <c r="L11932" t="str">
        <f>T("2074385337")</f>
        <v>2074385337</v>
      </c>
    </row>
    <row r="11933" spans="1:12" x14ac:dyDescent="0.35">
      <c r="A11933" t="str">
        <f t="shared" si="4376"/>
        <v>PNSY</v>
      </c>
      <c r="B11933" t="str">
        <f t="shared" si="4384"/>
        <v>CODE 930AM BLDG 300 2NDFL</v>
      </c>
      <c r="C11933" t="str">
        <f t="shared" si="4385"/>
        <v>NAVY YARD</v>
      </c>
      <c r="D11933" t="str">
        <f t="shared" si="4377"/>
        <v>PORTSMOUTH</v>
      </c>
      <c r="E11933" t="str">
        <f t="shared" si="4378"/>
        <v>NH</v>
      </c>
      <c r="F11933" t="str">
        <f t="shared" si="4383"/>
        <v>038040000</v>
      </c>
      <c r="G11933" t="str">
        <f>T("CODE 931 3 BLDG 300")</f>
        <v>CODE 931 3 BLDG 300</v>
      </c>
      <c r="H11933" t="str">
        <f t="shared" ref="H11933:H11940" si="4386">T("US NAVY YARD")</f>
        <v>US NAVY YARD</v>
      </c>
      <c r="I11933" t="str">
        <f t="shared" si="4374"/>
        <v>PORTSMOUTH</v>
      </c>
      <c r="J11933" t="str">
        <f t="shared" si="4375"/>
        <v>NH</v>
      </c>
      <c r="K11933" t="str">
        <f>T("2074385369")</f>
        <v>2074385369</v>
      </c>
      <c r="L11933" t="str">
        <f>T("2074385310")</f>
        <v>2074385310</v>
      </c>
    </row>
    <row r="11934" spans="1:12" x14ac:dyDescent="0.35">
      <c r="A11934" t="str">
        <f t="shared" si="4376"/>
        <v>PNSY</v>
      </c>
      <c r="B11934" t="str">
        <f t="shared" si="4384"/>
        <v>CODE 930AM BLDG 300 2NDFL</v>
      </c>
      <c r="C11934" t="str">
        <f t="shared" si="4385"/>
        <v>NAVY YARD</v>
      </c>
      <c r="D11934" t="str">
        <f t="shared" si="4377"/>
        <v>PORTSMOUTH</v>
      </c>
      <c r="E11934" t="str">
        <f t="shared" si="4378"/>
        <v>NH</v>
      </c>
      <c r="F11934" t="str">
        <f t="shared" si="4383"/>
        <v>038040000</v>
      </c>
      <c r="G11934" t="str">
        <f>T("CODE 931 BLDG 300")</f>
        <v>CODE 931 BLDG 300</v>
      </c>
      <c r="H11934" t="str">
        <f t="shared" si="4386"/>
        <v>US NAVY YARD</v>
      </c>
      <c r="I11934" t="str">
        <f t="shared" si="4374"/>
        <v>PORTSMOUTH</v>
      </c>
      <c r="J11934" t="str">
        <f t="shared" si="4375"/>
        <v>NH</v>
      </c>
      <c r="K11934" t="str">
        <f>T("2074385369")</f>
        <v>2074385369</v>
      </c>
      <c r="L11934" t="str">
        <f>T("2074381190")</f>
        <v>2074381190</v>
      </c>
    </row>
    <row r="11935" spans="1:12" x14ac:dyDescent="0.35">
      <c r="A11935" t="str">
        <f t="shared" si="4376"/>
        <v>PNSY</v>
      </c>
      <c r="B11935" t="str">
        <f t="shared" si="4384"/>
        <v>CODE 930AM BLDG 300 2NDFL</v>
      </c>
      <c r="C11935" t="str">
        <f t="shared" si="4385"/>
        <v>NAVY YARD</v>
      </c>
      <c r="D11935" t="str">
        <f t="shared" si="4377"/>
        <v>PORTSMOUTH</v>
      </c>
      <c r="E11935" t="str">
        <f t="shared" si="4378"/>
        <v>NH</v>
      </c>
      <c r="F11935" t="str">
        <f t="shared" si="4383"/>
        <v>038040000</v>
      </c>
      <c r="G11935" t="str">
        <f>T("CODE 931 BLDG 300")</f>
        <v>CODE 931 BLDG 300</v>
      </c>
      <c r="H11935" t="str">
        <f t="shared" si="4386"/>
        <v>US NAVY YARD</v>
      </c>
      <c r="I11935" t="str">
        <f t="shared" si="4374"/>
        <v>PORTSMOUTH</v>
      </c>
      <c r="J11935" t="str">
        <f t="shared" si="4375"/>
        <v>NH</v>
      </c>
      <c r="K11935" t="str">
        <f>T("2074385369")</f>
        <v>2074385369</v>
      </c>
      <c r="L11935" t="str">
        <f>T("2074385323")</f>
        <v>2074385323</v>
      </c>
    </row>
    <row r="11936" spans="1:12" x14ac:dyDescent="0.35">
      <c r="A11936" t="str">
        <f t="shared" si="4376"/>
        <v>PNSY</v>
      </c>
      <c r="B11936" t="str">
        <f t="shared" si="4384"/>
        <v>CODE 930AM BLDG 300 2NDFL</v>
      </c>
      <c r="C11936" t="str">
        <f t="shared" si="4385"/>
        <v>NAVY YARD</v>
      </c>
      <c r="D11936" t="str">
        <f t="shared" si="4377"/>
        <v>PORTSMOUTH</v>
      </c>
      <c r="E11936" t="str">
        <f t="shared" si="4378"/>
        <v>NH</v>
      </c>
      <c r="F11936" t="str">
        <f t="shared" si="4383"/>
        <v>038040000</v>
      </c>
      <c r="G11936" t="str">
        <f>T("CODE 931 BLDG 300")</f>
        <v>CODE 931 BLDG 300</v>
      </c>
      <c r="H11936" t="str">
        <f t="shared" si="4386"/>
        <v>US NAVY YARD</v>
      </c>
      <c r="I11936" t="str">
        <f t="shared" si="4374"/>
        <v>PORTSMOUTH</v>
      </c>
      <c r="J11936" t="str">
        <f t="shared" si="4375"/>
        <v>NH</v>
      </c>
      <c r="K11936" t="str">
        <f>T("2074385369")</f>
        <v>2074385369</v>
      </c>
      <c r="L11936" t="str">
        <f>T("2074386333")</f>
        <v>2074386333</v>
      </c>
    </row>
    <row r="11937" spans="1:12" x14ac:dyDescent="0.35">
      <c r="A11937" t="str">
        <f t="shared" si="4376"/>
        <v>PNSY</v>
      </c>
      <c r="B11937" t="str">
        <f>T("CODE 950A BLDG 240 1ST FLR")</f>
        <v>CODE 950A BLDG 240 1ST FLR</v>
      </c>
      <c r="C11937" t="str">
        <f>T("US NAVY YARD")</f>
        <v>US NAVY YARD</v>
      </c>
      <c r="D11937" t="str">
        <f t="shared" si="4377"/>
        <v>PORTSMOUTH</v>
      </c>
      <c r="E11937" t="str">
        <f t="shared" si="4378"/>
        <v>NH</v>
      </c>
      <c r="F11937" t="str">
        <f t="shared" si="4383"/>
        <v>038040000</v>
      </c>
      <c r="G11937" t="str">
        <f>T("CODE 950A BLDG 240 1ST FLR")</f>
        <v>CODE 950A BLDG 240 1ST FLR</v>
      </c>
      <c r="H11937" t="str">
        <f t="shared" si="4386"/>
        <v>US NAVY YARD</v>
      </c>
      <c r="I11937" t="str">
        <f t="shared" si="4374"/>
        <v>PORTSMOUTH</v>
      </c>
      <c r="J11937" t="str">
        <f t="shared" si="4375"/>
        <v>NH</v>
      </c>
      <c r="K11937" t="str">
        <f>T("2074385045")</f>
        <v>2074385045</v>
      </c>
      <c r="L11937" t="str">
        <f>T("2074385414")</f>
        <v>2074385414</v>
      </c>
    </row>
    <row r="11938" spans="1:12" x14ac:dyDescent="0.35">
      <c r="A11938" t="str">
        <f t="shared" si="4376"/>
        <v>PNSY</v>
      </c>
      <c r="B11938" t="str">
        <f>T("CODE 950A BLDG 240 1ST FLR")</f>
        <v>CODE 950A BLDG 240 1ST FLR</v>
      </c>
      <c r="C11938" t="str">
        <f>T("US NAVY YARD")</f>
        <v>US NAVY YARD</v>
      </c>
      <c r="D11938" t="str">
        <f t="shared" si="4377"/>
        <v>PORTSMOUTH</v>
      </c>
      <c r="E11938" t="str">
        <f t="shared" si="4378"/>
        <v>NH</v>
      </c>
      <c r="F11938" t="str">
        <f t="shared" si="4383"/>
        <v>038040000</v>
      </c>
      <c r="G11938" t="str">
        <f>T("CODE 951 BLDG 240")</f>
        <v>CODE 951 BLDG 240</v>
      </c>
      <c r="H11938" t="str">
        <f t="shared" si="4386"/>
        <v>US NAVY YARD</v>
      </c>
      <c r="I11938" t="str">
        <f t="shared" si="4374"/>
        <v>PORTSMOUTH</v>
      </c>
      <c r="J11938" t="str">
        <f t="shared" si="4375"/>
        <v>NH</v>
      </c>
      <c r="K11938" t="str">
        <f>T("2074385416")</f>
        <v>2074385416</v>
      </c>
      <c r="L11938" t="str">
        <f>T("2074385401")</f>
        <v>2074385401</v>
      </c>
    </row>
    <row r="11939" spans="1:12" x14ac:dyDescent="0.35">
      <c r="A11939" t="str">
        <f t="shared" si="4376"/>
        <v>PNSY</v>
      </c>
      <c r="B11939" t="str">
        <f>T("CODE 950A BLDG 240 1ST FLR")</f>
        <v>CODE 950A BLDG 240 1ST FLR</v>
      </c>
      <c r="C11939" t="str">
        <f>T("US NAVY YARD")</f>
        <v>US NAVY YARD</v>
      </c>
      <c r="D11939" t="str">
        <f t="shared" si="4377"/>
        <v>PORTSMOUTH</v>
      </c>
      <c r="E11939" t="str">
        <f t="shared" si="4378"/>
        <v>NH</v>
      </c>
      <c r="F11939" t="str">
        <f t="shared" si="4383"/>
        <v>038040000</v>
      </c>
      <c r="G11939" t="str">
        <f>T("CODE 967 BLDG 240")</f>
        <v>CODE 967 BLDG 240</v>
      </c>
      <c r="H11939" t="str">
        <f t="shared" si="4386"/>
        <v>US NAVY YARD</v>
      </c>
      <c r="I11939" t="str">
        <f t="shared" si="4374"/>
        <v>PORTSMOUTH</v>
      </c>
      <c r="J11939" t="str">
        <f t="shared" si="4375"/>
        <v>NH</v>
      </c>
      <c r="K11939" t="str">
        <f>T("2074385416")</f>
        <v>2074385416</v>
      </c>
      <c r="L11939" t="str">
        <f>T("2074383857")</f>
        <v>2074383857</v>
      </c>
    </row>
    <row r="11940" spans="1:12" x14ac:dyDescent="0.35">
      <c r="A11940" t="str">
        <f t="shared" si="4376"/>
        <v>PNSY</v>
      </c>
      <c r="B11940" t="str">
        <f>T("CODE 952 BLDG 240/2")</f>
        <v>CODE 952 BLDG 240/2</v>
      </c>
      <c r="C11940" t="str">
        <f>T("NAVY YARD")</f>
        <v>NAVY YARD</v>
      </c>
      <c r="D11940" t="str">
        <f t="shared" si="4377"/>
        <v>PORTSMOUTH</v>
      </c>
      <c r="E11940" t="str">
        <f t="shared" si="4378"/>
        <v>NH</v>
      </c>
      <c r="F11940" t="str">
        <f t="shared" si="4383"/>
        <v>038040000</v>
      </c>
      <c r="G11940" t="str">
        <f>T("CODE 952 BLDG 240")</f>
        <v>CODE 952 BLDG 240</v>
      </c>
      <c r="H11940" t="str">
        <f t="shared" si="4386"/>
        <v>US NAVY YARD</v>
      </c>
      <c r="I11940" t="str">
        <f t="shared" si="4374"/>
        <v>PORTSMOUTH</v>
      </c>
      <c r="J11940" t="str">
        <f t="shared" si="4375"/>
        <v>NH</v>
      </c>
      <c r="K11940" t="str">
        <f>T("2074385450")</f>
        <v>2074385450</v>
      </c>
      <c r="L11940" t="str">
        <f>T("2074385439")</f>
        <v>2074385439</v>
      </c>
    </row>
    <row r="11941" spans="1:12" x14ac:dyDescent="0.35">
      <c r="A11941" t="str">
        <f t="shared" si="4376"/>
        <v>PNSY</v>
      </c>
      <c r="B11941" t="str">
        <f>T("CODE 952 BLDG 240/2")</f>
        <v>CODE 952 BLDG 240/2</v>
      </c>
      <c r="C11941" t="str">
        <f>T("NAVY YARD")</f>
        <v>NAVY YARD</v>
      </c>
      <c r="D11941" t="str">
        <f t="shared" si="4377"/>
        <v>PORTSMOUTH</v>
      </c>
      <c r="E11941" t="str">
        <f t="shared" si="4378"/>
        <v>NH</v>
      </c>
      <c r="F11941" t="str">
        <f t="shared" si="4383"/>
        <v>038040000</v>
      </c>
      <c r="G11941" t="str">
        <f>T("CODE 952 BLDG 240/2")</f>
        <v>CODE 952 BLDG 240/2</v>
      </c>
      <c r="H11941" t="str">
        <f>T("NAVY YARD")</f>
        <v>NAVY YARD</v>
      </c>
      <c r="I11941" t="str">
        <f t="shared" si="4374"/>
        <v>PORTSMOUTH</v>
      </c>
      <c r="J11941" t="str">
        <f t="shared" si="4375"/>
        <v>NH</v>
      </c>
      <c r="K11941" t="str">
        <f>T("2074385450")</f>
        <v>2074385450</v>
      </c>
      <c r="L11941" t="str">
        <f>T("2074384531")</f>
        <v>2074384531</v>
      </c>
    </row>
    <row r="11942" spans="1:12" x14ac:dyDescent="0.35">
      <c r="A11942" t="str">
        <f t="shared" si="4376"/>
        <v>PNSY</v>
      </c>
      <c r="B11942" t="str">
        <f>T("CODE 970  BLDG 18 1ST FL")</f>
        <v>CODE 970  BLDG 18 1ST FL</v>
      </c>
      <c r="C11942" t="str">
        <f t="shared" ref="C11942:C11958" si="4387">T("US NAVY YARD")</f>
        <v>US NAVY YARD</v>
      </c>
      <c r="D11942" t="str">
        <f t="shared" si="4377"/>
        <v>PORTSMOUTH</v>
      </c>
      <c r="E11942" t="str">
        <f t="shared" si="4378"/>
        <v>NH</v>
      </c>
      <c r="F11942" t="str">
        <f>T("038045000")</f>
        <v>038045000</v>
      </c>
      <c r="G11942" t="str">
        <f>T("CODE 970  BLDG 18 1ST FL")</f>
        <v>CODE 970  BLDG 18 1ST FL</v>
      </c>
      <c r="H11942" t="str">
        <f t="shared" ref="H11942:H11961" si="4388">T("US NAVY YARD")</f>
        <v>US NAVY YARD</v>
      </c>
      <c r="I11942" t="str">
        <f t="shared" si="4374"/>
        <v>PORTSMOUTH</v>
      </c>
      <c r="J11942" t="str">
        <f t="shared" si="4375"/>
        <v>NH</v>
      </c>
      <c r="K11942" t="str">
        <f>T("2074383650")</f>
        <v>2074383650</v>
      </c>
      <c r="L11942" t="str">
        <f>T("2074383650")</f>
        <v>2074383650</v>
      </c>
    </row>
    <row r="11943" spans="1:12" x14ac:dyDescent="0.35">
      <c r="A11943" t="str">
        <f t="shared" si="4376"/>
        <v>PNSY</v>
      </c>
      <c r="B11943" t="str">
        <f>T("CODE 970  BLDG 18 1ST FL")</f>
        <v>CODE 970  BLDG 18 1ST FL</v>
      </c>
      <c r="C11943" t="str">
        <f t="shared" si="4387"/>
        <v>US NAVY YARD</v>
      </c>
      <c r="D11943" t="str">
        <f t="shared" si="4377"/>
        <v>PORTSMOUTH</v>
      </c>
      <c r="E11943" t="str">
        <f t="shared" si="4378"/>
        <v>NH</v>
      </c>
      <c r="F11943" t="str">
        <f>T("038045000")</f>
        <v>038045000</v>
      </c>
      <c r="G11943" t="str">
        <f>T("CODE 970 B18")</f>
        <v>CODE 970 B18</v>
      </c>
      <c r="H11943" t="str">
        <f t="shared" si="4388"/>
        <v>US NAVY YARD</v>
      </c>
      <c r="I11943" t="str">
        <f t="shared" si="4374"/>
        <v>PORTSMOUTH</v>
      </c>
      <c r="J11943" t="str">
        <f t="shared" si="4375"/>
        <v>NH</v>
      </c>
      <c r="K11943" t="str">
        <f>T("2074383650")</f>
        <v>2074383650</v>
      </c>
      <c r="L11943" t="str">
        <f>T("2074383191")</f>
        <v>2074383191</v>
      </c>
    </row>
    <row r="11944" spans="1:12" x14ac:dyDescent="0.35">
      <c r="A11944" t="str">
        <f t="shared" si="4376"/>
        <v>PNSY</v>
      </c>
      <c r="B11944" t="str">
        <f>T("CODE 970  BLDG 18 1ST FL")</f>
        <v>CODE 970  BLDG 18 1ST FL</v>
      </c>
      <c r="C11944" t="str">
        <f t="shared" si="4387"/>
        <v>US NAVY YARD</v>
      </c>
      <c r="D11944" t="str">
        <f t="shared" si="4377"/>
        <v>PORTSMOUTH</v>
      </c>
      <c r="E11944" t="str">
        <f t="shared" si="4378"/>
        <v>NH</v>
      </c>
      <c r="F11944" t="str">
        <f>T("038045000")</f>
        <v>038045000</v>
      </c>
      <c r="G11944" t="str">
        <f>T("CODE 970 BLDG 18")</f>
        <v>CODE 970 BLDG 18</v>
      </c>
      <c r="H11944" t="str">
        <f t="shared" si="4388"/>
        <v>US NAVY YARD</v>
      </c>
      <c r="I11944" t="str">
        <f t="shared" si="4374"/>
        <v>PORTSMOUTH</v>
      </c>
      <c r="J11944" t="str">
        <f t="shared" si="4375"/>
        <v>NH</v>
      </c>
      <c r="K11944" t="str">
        <f>T("2074383650")</f>
        <v>2074383650</v>
      </c>
      <c r="L11944" t="str">
        <f>T("2074383613")</f>
        <v>2074383613</v>
      </c>
    </row>
    <row r="11945" spans="1:12" x14ac:dyDescent="0.35">
      <c r="A11945" t="str">
        <f t="shared" si="4376"/>
        <v>PNSY</v>
      </c>
      <c r="B11945" t="str">
        <f>T("CODE 970 BLDG 60")</f>
        <v>CODE 970 BLDG 60</v>
      </c>
      <c r="C11945" t="str">
        <f t="shared" si="4387"/>
        <v>US NAVY YARD</v>
      </c>
      <c r="D11945" t="str">
        <f t="shared" si="4377"/>
        <v>PORTSMOUTH</v>
      </c>
      <c r="E11945" t="str">
        <f t="shared" si="4378"/>
        <v>NH</v>
      </c>
      <c r="F11945" t="str">
        <f t="shared" ref="F11945:F11958" si="4389">T("038040000")</f>
        <v>038040000</v>
      </c>
      <c r="G11945" t="str">
        <f>T("CODE 964 BLDG 306")</f>
        <v>CODE 964 BLDG 306</v>
      </c>
      <c r="H11945" t="str">
        <f t="shared" si="4388"/>
        <v>US NAVY YARD</v>
      </c>
      <c r="I11945" t="str">
        <f t="shared" si="4374"/>
        <v>PORTSMOUTH</v>
      </c>
      <c r="J11945" t="str">
        <f t="shared" si="4375"/>
        <v>NH</v>
      </c>
      <c r="K11945" t="str">
        <f>T("000000000000000000")</f>
        <v>000000000000000000</v>
      </c>
      <c r="L11945" t="str">
        <f>T("2074381916")</f>
        <v>2074381916</v>
      </c>
    </row>
    <row r="11946" spans="1:12" x14ac:dyDescent="0.35">
      <c r="A11946" t="str">
        <f t="shared" si="4376"/>
        <v>PNSY</v>
      </c>
      <c r="B11946" t="str">
        <f>T("CODE 970 BLDG 60")</f>
        <v>CODE 970 BLDG 60</v>
      </c>
      <c r="C11946" t="str">
        <f t="shared" si="4387"/>
        <v>US NAVY YARD</v>
      </c>
      <c r="D11946" t="str">
        <f t="shared" si="4377"/>
        <v>PORTSMOUTH</v>
      </c>
      <c r="E11946" t="str">
        <f t="shared" si="4378"/>
        <v>NH</v>
      </c>
      <c r="F11946" t="str">
        <f t="shared" si="4389"/>
        <v>038040000</v>
      </c>
      <c r="G11946" t="str">
        <f>T("CODE 964 BLDG 306")</f>
        <v>CODE 964 BLDG 306</v>
      </c>
      <c r="H11946" t="str">
        <f t="shared" si="4388"/>
        <v>US NAVY YARD</v>
      </c>
      <c r="I11946" t="str">
        <f t="shared" ref="I11946:I11977" si="4390">T("PORTSMOUTH")</f>
        <v>PORTSMOUTH</v>
      </c>
      <c r="J11946" t="str">
        <f t="shared" ref="J11946:J11977" si="4391">T("NH")</f>
        <v>NH</v>
      </c>
      <c r="K11946" t="str">
        <f>T("2074384473")</f>
        <v>2074384473</v>
      </c>
      <c r="L11946" t="str">
        <f>T("2074382980")</f>
        <v>2074382980</v>
      </c>
    </row>
    <row r="11947" spans="1:12" x14ac:dyDescent="0.35">
      <c r="A11947" t="str">
        <f t="shared" ref="A11947:A11983" si="4392">T("PNSY")</f>
        <v>PNSY</v>
      </c>
      <c r="B11947" t="str">
        <f>T("CODE 970 BLDG 60")</f>
        <v>CODE 970 BLDG 60</v>
      </c>
      <c r="C11947" t="str">
        <f t="shared" si="4387"/>
        <v>US NAVY YARD</v>
      </c>
      <c r="D11947" t="str">
        <f t="shared" si="4377"/>
        <v>PORTSMOUTH</v>
      </c>
      <c r="E11947" t="str">
        <f t="shared" si="4378"/>
        <v>NH</v>
      </c>
      <c r="F11947" t="str">
        <f t="shared" si="4389"/>
        <v>038040000</v>
      </c>
      <c r="G11947" t="str">
        <f>T("CODE 970 BLDG 60")</f>
        <v>CODE 970 BLDG 60</v>
      </c>
      <c r="H11947" t="str">
        <f t="shared" si="4388"/>
        <v>US NAVY YARD</v>
      </c>
      <c r="I11947" t="str">
        <f t="shared" si="4390"/>
        <v>PORTSMOUTH</v>
      </c>
      <c r="J11947" t="str">
        <f t="shared" si="4391"/>
        <v>NH</v>
      </c>
      <c r="K11947" t="str">
        <f>T("2074382379")</f>
        <v>2074382379</v>
      </c>
      <c r="L11947" t="str">
        <f>T("2074382379")</f>
        <v>2074382379</v>
      </c>
    </row>
    <row r="11948" spans="1:12" x14ac:dyDescent="0.35">
      <c r="A11948" t="str">
        <f t="shared" si="4392"/>
        <v>PNSY</v>
      </c>
      <c r="B11948" t="str">
        <f>T("CODE 970 BLDG 60")</f>
        <v>CODE 970 BLDG 60</v>
      </c>
      <c r="C11948" t="str">
        <f t="shared" si="4387"/>
        <v>US NAVY YARD</v>
      </c>
      <c r="D11948" t="str">
        <f t="shared" ref="D11948:D11983" si="4393">T("PORTSMOUTH")</f>
        <v>PORTSMOUTH</v>
      </c>
      <c r="E11948" t="str">
        <f t="shared" ref="E11948:E11983" si="4394">T("NH")</f>
        <v>NH</v>
      </c>
      <c r="F11948" t="str">
        <f t="shared" si="4389"/>
        <v>038040000</v>
      </c>
      <c r="G11948" t="str">
        <f>T("CODE 976 BLDG 18")</f>
        <v>CODE 976 BLDG 18</v>
      </c>
      <c r="H11948" t="str">
        <f t="shared" si="4388"/>
        <v>US NAVY YARD</v>
      </c>
      <c r="I11948" t="str">
        <f t="shared" si="4390"/>
        <v>PORTSMOUTH</v>
      </c>
      <c r="J11948" t="str">
        <f t="shared" si="4391"/>
        <v>NH</v>
      </c>
      <c r="K11948" t="str">
        <f>T("2074382176")</f>
        <v>2074382176</v>
      </c>
      <c r="L11948" t="str">
        <f>T("2074381916")</f>
        <v>2074381916</v>
      </c>
    </row>
    <row r="11949" spans="1:12" x14ac:dyDescent="0.35">
      <c r="A11949" t="str">
        <f t="shared" si="4392"/>
        <v>PNSY</v>
      </c>
      <c r="B11949" t="str">
        <f>T("CODE 982 BLDG M1")</f>
        <v>CODE 982 BLDG M1</v>
      </c>
      <c r="C11949" t="str">
        <f t="shared" si="4387"/>
        <v>US NAVY YARD</v>
      </c>
      <c r="D11949" t="str">
        <f t="shared" si="4393"/>
        <v>PORTSMOUTH</v>
      </c>
      <c r="E11949" t="str">
        <f t="shared" si="4394"/>
        <v>NH</v>
      </c>
      <c r="F11949" t="str">
        <f t="shared" si="4389"/>
        <v>038040000</v>
      </c>
      <c r="G11949" t="str">
        <f>T("CODE 980 BLDG M3")</f>
        <v>CODE 980 BLDG M3</v>
      </c>
      <c r="H11949" t="str">
        <f t="shared" si="4388"/>
        <v>US NAVY YARD</v>
      </c>
      <c r="I11949" t="str">
        <f t="shared" si="4390"/>
        <v>PORTSMOUTH</v>
      </c>
      <c r="J11949" t="str">
        <f t="shared" si="4391"/>
        <v>NH</v>
      </c>
      <c r="K11949" t="str">
        <f>T("2074383571")</f>
        <v>2074383571</v>
      </c>
      <c r="L11949" t="str">
        <f>T("2074383676")</f>
        <v>2074383676</v>
      </c>
    </row>
    <row r="11950" spans="1:12" x14ac:dyDescent="0.35">
      <c r="A11950" t="str">
        <f t="shared" si="4392"/>
        <v>PNSY</v>
      </c>
      <c r="B11950" t="str">
        <f>T("CODE 982 BLDG M1")</f>
        <v>CODE 982 BLDG M1</v>
      </c>
      <c r="C11950" t="str">
        <f t="shared" si="4387"/>
        <v>US NAVY YARD</v>
      </c>
      <c r="D11950" t="str">
        <f t="shared" si="4393"/>
        <v>PORTSMOUTH</v>
      </c>
      <c r="E11950" t="str">
        <f t="shared" si="4394"/>
        <v>NH</v>
      </c>
      <c r="F11950" t="str">
        <f t="shared" si="4389"/>
        <v>038040000</v>
      </c>
      <c r="G11950" t="str">
        <f>T("CODE 982 BLDG M1")</f>
        <v>CODE 982 BLDG M1</v>
      </c>
      <c r="H11950" t="str">
        <f t="shared" si="4388"/>
        <v>US NAVY YARD</v>
      </c>
      <c r="I11950" t="str">
        <f t="shared" si="4390"/>
        <v>PORTSMOUTH</v>
      </c>
      <c r="J11950" t="str">
        <f t="shared" si="4391"/>
        <v>NH</v>
      </c>
      <c r="K11950" t="str">
        <f>T("2074383571")</f>
        <v>2074383571</v>
      </c>
      <c r="L11950" t="str">
        <f>T("2074383600")</f>
        <v>2074383600</v>
      </c>
    </row>
    <row r="11951" spans="1:12" x14ac:dyDescent="0.35">
      <c r="A11951" t="str">
        <f t="shared" si="4392"/>
        <v>PNSY</v>
      </c>
      <c r="B11951" t="str">
        <f t="shared" ref="B11951:B11958" si="4395">T("CODE 990 BLDG 178")</f>
        <v>CODE 990 BLDG 178</v>
      </c>
      <c r="C11951" t="str">
        <f t="shared" si="4387"/>
        <v>US NAVY YARD</v>
      </c>
      <c r="D11951" t="str">
        <f t="shared" si="4393"/>
        <v>PORTSMOUTH</v>
      </c>
      <c r="E11951" t="str">
        <f t="shared" si="4394"/>
        <v>NH</v>
      </c>
      <c r="F11951" t="str">
        <f t="shared" si="4389"/>
        <v>038040000</v>
      </c>
      <c r="G11951" t="str">
        <f>T("CODE 970 BLDG 42")</f>
        <v>CODE 970 BLDG 42</v>
      </c>
      <c r="H11951" t="str">
        <f t="shared" si="4388"/>
        <v>US NAVY YARD</v>
      </c>
      <c r="I11951" t="str">
        <f t="shared" si="4390"/>
        <v>PORTSMOUTH</v>
      </c>
      <c r="J11951" t="str">
        <f t="shared" si="4391"/>
        <v>NH</v>
      </c>
      <c r="K11951" t="str">
        <f>T("2074381932")</f>
        <v>2074381932</v>
      </c>
      <c r="L11951" t="str">
        <f>T("2074381922")</f>
        <v>2074381922</v>
      </c>
    </row>
    <row r="11952" spans="1:12" x14ac:dyDescent="0.35">
      <c r="A11952" t="str">
        <f t="shared" si="4392"/>
        <v>PNSY</v>
      </c>
      <c r="B11952" t="str">
        <f t="shared" si="4395"/>
        <v>CODE 990 BLDG 178</v>
      </c>
      <c r="C11952" t="str">
        <f t="shared" si="4387"/>
        <v>US NAVY YARD</v>
      </c>
      <c r="D11952" t="str">
        <f t="shared" si="4393"/>
        <v>PORTSMOUTH</v>
      </c>
      <c r="E11952" t="str">
        <f t="shared" si="4394"/>
        <v>NH</v>
      </c>
      <c r="F11952" t="str">
        <f t="shared" si="4389"/>
        <v>038040000</v>
      </c>
      <c r="G11952" t="str">
        <f>T("CODE 970 BLDG 45")</f>
        <v>CODE 970 BLDG 45</v>
      </c>
      <c r="H11952" t="str">
        <f t="shared" si="4388"/>
        <v>US NAVY YARD</v>
      </c>
      <c r="I11952" t="str">
        <f t="shared" si="4390"/>
        <v>PORTSMOUTH</v>
      </c>
      <c r="J11952" t="str">
        <f t="shared" si="4391"/>
        <v>NH</v>
      </c>
      <c r="K11952" t="str">
        <f>T("2074381230")</f>
        <v>2074381230</v>
      </c>
      <c r="L11952" t="str">
        <f>T("2074385407")</f>
        <v>2074385407</v>
      </c>
    </row>
    <row r="11953" spans="1:12" x14ac:dyDescent="0.35">
      <c r="A11953" t="str">
        <f t="shared" si="4392"/>
        <v>PNSY</v>
      </c>
      <c r="B11953" t="str">
        <f t="shared" si="4395"/>
        <v>CODE 990 BLDG 178</v>
      </c>
      <c r="C11953" t="str">
        <f t="shared" si="4387"/>
        <v>US NAVY YARD</v>
      </c>
      <c r="D11953" t="str">
        <f t="shared" si="4393"/>
        <v>PORTSMOUTH</v>
      </c>
      <c r="E11953" t="str">
        <f t="shared" si="4394"/>
        <v>NH</v>
      </c>
      <c r="F11953" t="str">
        <f t="shared" si="4389"/>
        <v>038040000</v>
      </c>
      <c r="G11953" t="str">
        <f>T("CODE 975 BLDG 07")</f>
        <v>CODE 975 BLDG 07</v>
      </c>
      <c r="H11953" t="str">
        <f t="shared" si="4388"/>
        <v>US NAVY YARD</v>
      </c>
      <c r="I11953" t="str">
        <f t="shared" si="4390"/>
        <v>PORTSMOUTH</v>
      </c>
      <c r="J11953" t="str">
        <f t="shared" si="4391"/>
        <v>NH</v>
      </c>
      <c r="K11953" t="str">
        <f>T("2074383044")</f>
        <v>2074383044</v>
      </c>
      <c r="L11953" t="str">
        <f>T("2074381422")</f>
        <v>2074381422</v>
      </c>
    </row>
    <row r="11954" spans="1:12" x14ac:dyDescent="0.35">
      <c r="A11954" t="str">
        <f t="shared" si="4392"/>
        <v>PNSY</v>
      </c>
      <c r="B11954" t="str">
        <f t="shared" si="4395"/>
        <v>CODE 990 BLDG 178</v>
      </c>
      <c r="C11954" t="str">
        <f t="shared" si="4387"/>
        <v>US NAVY YARD</v>
      </c>
      <c r="D11954" t="str">
        <f t="shared" si="4393"/>
        <v>PORTSMOUTH</v>
      </c>
      <c r="E11954" t="str">
        <f t="shared" si="4394"/>
        <v>NH</v>
      </c>
      <c r="F11954" t="str">
        <f t="shared" si="4389"/>
        <v>038040000</v>
      </c>
      <c r="G11954" t="str">
        <f>T("CODE 990 BLDG 178")</f>
        <v>CODE 990 BLDG 178</v>
      </c>
      <c r="H11954" t="str">
        <f t="shared" si="4388"/>
        <v>US NAVY YARD</v>
      </c>
      <c r="I11954" t="str">
        <f t="shared" si="4390"/>
        <v>PORTSMOUTH</v>
      </c>
      <c r="J11954" t="str">
        <f t="shared" si="4391"/>
        <v>NH</v>
      </c>
      <c r="K11954" t="str">
        <f>T("000000000000000000")</f>
        <v>000000000000000000</v>
      </c>
      <c r="L11954" t="str">
        <f>T("2074382881")</f>
        <v>2074382881</v>
      </c>
    </row>
    <row r="11955" spans="1:12" x14ac:dyDescent="0.35">
      <c r="A11955" t="str">
        <f t="shared" si="4392"/>
        <v>PNSY</v>
      </c>
      <c r="B11955" t="str">
        <f t="shared" si="4395"/>
        <v>CODE 990 BLDG 178</v>
      </c>
      <c r="C11955" t="str">
        <f t="shared" si="4387"/>
        <v>US NAVY YARD</v>
      </c>
      <c r="D11955" t="str">
        <f t="shared" si="4393"/>
        <v>PORTSMOUTH</v>
      </c>
      <c r="E11955" t="str">
        <f t="shared" si="4394"/>
        <v>NH</v>
      </c>
      <c r="F11955" t="str">
        <f t="shared" si="4389"/>
        <v>038040000</v>
      </c>
      <c r="G11955" t="str">
        <f>T("CODE 990 BLDG 178")</f>
        <v>CODE 990 BLDG 178</v>
      </c>
      <c r="H11955" t="str">
        <f t="shared" si="4388"/>
        <v>US NAVY YARD</v>
      </c>
      <c r="I11955" t="str">
        <f t="shared" si="4390"/>
        <v>PORTSMOUTH</v>
      </c>
      <c r="J11955" t="str">
        <f t="shared" si="4391"/>
        <v>NH</v>
      </c>
      <c r="K11955" t="str">
        <f>T("2074382343")</f>
        <v>2074382343</v>
      </c>
      <c r="L11955" t="str">
        <f>T("2074385407")</f>
        <v>2074385407</v>
      </c>
    </row>
    <row r="11956" spans="1:12" x14ac:dyDescent="0.35">
      <c r="A11956" t="str">
        <f t="shared" si="4392"/>
        <v>PNSY</v>
      </c>
      <c r="B11956" t="str">
        <f t="shared" si="4395"/>
        <v>CODE 990 BLDG 178</v>
      </c>
      <c r="C11956" t="str">
        <f t="shared" si="4387"/>
        <v>US NAVY YARD</v>
      </c>
      <c r="D11956" t="str">
        <f t="shared" si="4393"/>
        <v>PORTSMOUTH</v>
      </c>
      <c r="E11956" t="str">
        <f t="shared" si="4394"/>
        <v>NH</v>
      </c>
      <c r="F11956" t="str">
        <f t="shared" si="4389"/>
        <v>038040000</v>
      </c>
      <c r="G11956" t="str">
        <f>T("CODE 990 BLDG 299")</f>
        <v>CODE 990 BLDG 299</v>
      </c>
      <c r="H11956" t="str">
        <f t="shared" si="4388"/>
        <v>US NAVY YARD</v>
      </c>
      <c r="I11956" t="str">
        <f t="shared" si="4390"/>
        <v>PORTSMOUTH</v>
      </c>
      <c r="J11956" t="str">
        <f t="shared" si="4391"/>
        <v>NH</v>
      </c>
      <c r="K11956" t="str">
        <f>T("2074381885")</f>
        <v>2074381885</v>
      </c>
      <c r="L11956" t="str">
        <f>T("2074382894")</f>
        <v>2074382894</v>
      </c>
    </row>
    <row r="11957" spans="1:12" x14ac:dyDescent="0.35">
      <c r="A11957" t="str">
        <f t="shared" si="4392"/>
        <v>PNSY</v>
      </c>
      <c r="B11957" t="str">
        <f t="shared" si="4395"/>
        <v>CODE 990 BLDG 178</v>
      </c>
      <c r="C11957" t="str">
        <f t="shared" si="4387"/>
        <v>US NAVY YARD</v>
      </c>
      <c r="D11957" t="str">
        <f t="shared" si="4393"/>
        <v>PORTSMOUTH</v>
      </c>
      <c r="E11957" t="str">
        <f t="shared" si="4394"/>
        <v>NH</v>
      </c>
      <c r="F11957" t="str">
        <f t="shared" si="4389"/>
        <v>038040000</v>
      </c>
      <c r="G11957" t="str">
        <f>T("CODE 990 BLDG 42")</f>
        <v>CODE 990 BLDG 42</v>
      </c>
      <c r="H11957" t="str">
        <f t="shared" si="4388"/>
        <v>US NAVY YARD</v>
      </c>
      <c r="I11957" t="str">
        <f t="shared" si="4390"/>
        <v>PORTSMOUTH</v>
      </c>
      <c r="J11957" t="str">
        <f t="shared" si="4391"/>
        <v>NH</v>
      </c>
      <c r="K11957" t="str">
        <f>T("2074381932")</f>
        <v>2074381932</v>
      </c>
      <c r="L11957" t="str">
        <f>T("2074381922")</f>
        <v>2074381922</v>
      </c>
    </row>
    <row r="11958" spans="1:12" x14ac:dyDescent="0.35">
      <c r="A11958" t="str">
        <f t="shared" si="4392"/>
        <v>PNSY</v>
      </c>
      <c r="B11958" t="str">
        <f t="shared" si="4395"/>
        <v>CODE 990 BLDG 178</v>
      </c>
      <c r="C11958" t="str">
        <f t="shared" si="4387"/>
        <v>US NAVY YARD</v>
      </c>
      <c r="D11958" t="str">
        <f t="shared" si="4393"/>
        <v>PORTSMOUTH</v>
      </c>
      <c r="E11958" t="str">
        <f t="shared" si="4394"/>
        <v>NH</v>
      </c>
      <c r="F11958" t="str">
        <f t="shared" si="4389"/>
        <v>038040000</v>
      </c>
      <c r="G11958" t="str">
        <f>T("CODE 990 BLDG 42")</f>
        <v>CODE 990 BLDG 42</v>
      </c>
      <c r="H11958" t="str">
        <f t="shared" si="4388"/>
        <v>US NAVY YARD</v>
      </c>
      <c r="I11958" t="str">
        <f t="shared" si="4390"/>
        <v>PORTSMOUTH</v>
      </c>
      <c r="J11958" t="str">
        <f t="shared" si="4391"/>
        <v>NH</v>
      </c>
      <c r="K11958" t="str">
        <f>T("2074381932")</f>
        <v>2074381932</v>
      </c>
      <c r="L11958" t="str">
        <f>T("2074382574")</f>
        <v>2074382574</v>
      </c>
    </row>
    <row r="11959" spans="1:12" x14ac:dyDescent="0.35">
      <c r="A11959" t="str">
        <f t="shared" si="4392"/>
        <v>PNSY</v>
      </c>
      <c r="B11959" t="str">
        <f>T("U.S. NAVY SHIPYARD")</f>
        <v>U.S. NAVY SHIPYARD</v>
      </c>
      <c r="C11959" t="str">
        <f>T("CODE 960 BLDG 155")</f>
        <v>CODE 960 BLDG 155</v>
      </c>
      <c r="D11959" t="str">
        <f t="shared" si="4393"/>
        <v>PORTSMOUTH</v>
      </c>
      <c r="E11959" t="str">
        <f t="shared" si="4394"/>
        <v>NH</v>
      </c>
      <c r="F11959" t="str">
        <f>T("038010000")</f>
        <v>038010000</v>
      </c>
      <c r="G11959" t="str">
        <f>T("CODE 956 BLDG 96")</f>
        <v>CODE 956 BLDG 96</v>
      </c>
      <c r="H11959" t="str">
        <f t="shared" si="4388"/>
        <v>US NAVY YARD</v>
      </c>
      <c r="I11959" t="str">
        <f t="shared" si="4390"/>
        <v>PORTSMOUTH</v>
      </c>
      <c r="J11959" t="str">
        <f t="shared" si="4391"/>
        <v>NH</v>
      </c>
      <c r="K11959" t="str">
        <f>T("2074381434")</f>
        <v>2074381434</v>
      </c>
      <c r="L11959" t="str">
        <f>T("2074382149")</f>
        <v>2074382149</v>
      </c>
    </row>
    <row r="11960" spans="1:12" x14ac:dyDescent="0.35">
      <c r="A11960" t="str">
        <f t="shared" si="4392"/>
        <v>PNSY</v>
      </c>
      <c r="B11960" t="str">
        <f>T("U.S. NAVY SHIPYARD")</f>
        <v>U.S. NAVY SHIPYARD</v>
      </c>
      <c r="C11960" t="str">
        <f>T("CODE 960 BLDG 155")</f>
        <v>CODE 960 BLDG 155</v>
      </c>
      <c r="D11960" t="str">
        <f t="shared" si="4393"/>
        <v>PORTSMOUTH</v>
      </c>
      <c r="E11960" t="str">
        <f t="shared" si="4394"/>
        <v>NH</v>
      </c>
      <c r="F11960" t="str">
        <f>T("038010000")</f>
        <v>038010000</v>
      </c>
      <c r="G11960" t="str">
        <f>T("CODE 957 BLDG 155")</f>
        <v>CODE 957 BLDG 155</v>
      </c>
      <c r="H11960" t="str">
        <f t="shared" si="4388"/>
        <v>US NAVY YARD</v>
      </c>
      <c r="I11960" t="str">
        <f t="shared" si="4390"/>
        <v>PORTSMOUTH</v>
      </c>
      <c r="J11960" t="str">
        <f t="shared" si="4391"/>
        <v>NH</v>
      </c>
      <c r="K11960" t="str">
        <f>T("2074384425")</f>
        <v>2074384425</v>
      </c>
      <c r="L11960" t="str">
        <f>T("2074386675")</f>
        <v>2074386675</v>
      </c>
    </row>
    <row r="11961" spans="1:12" x14ac:dyDescent="0.35">
      <c r="A11961" t="str">
        <f t="shared" si="4392"/>
        <v>PNSY</v>
      </c>
      <c r="B11961" t="str">
        <f>T("U.S. NAVY SHIPYARD")</f>
        <v>U.S. NAVY SHIPYARD</v>
      </c>
      <c r="C11961" t="str">
        <f>T("CODE 960 BLDG 155")</f>
        <v>CODE 960 BLDG 155</v>
      </c>
      <c r="D11961" t="str">
        <f t="shared" si="4393"/>
        <v>PORTSMOUTH</v>
      </c>
      <c r="E11961" t="str">
        <f t="shared" si="4394"/>
        <v>NH</v>
      </c>
      <c r="F11961" t="str">
        <f>T("038010000")</f>
        <v>038010000</v>
      </c>
      <c r="G11961" t="str">
        <f>T("CODE 960 BLDG 155")</f>
        <v>CODE 960 BLDG 155</v>
      </c>
      <c r="H11961" t="str">
        <f t="shared" si="4388"/>
        <v>US NAVY YARD</v>
      </c>
      <c r="I11961" t="str">
        <f t="shared" si="4390"/>
        <v>PORTSMOUTH</v>
      </c>
      <c r="J11961" t="str">
        <f t="shared" si="4391"/>
        <v>NH</v>
      </c>
      <c r="K11961" t="str">
        <f>T("2074381434")</f>
        <v>2074381434</v>
      </c>
      <c r="L11961" t="str">
        <f>T("2074382065")</f>
        <v>2074382065</v>
      </c>
    </row>
    <row r="11962" spans="1:12" x14ac:dyDescent="0.35">
      <c r="A11962" t="str">
        <f t="shared" si="4392"/>
        <v>PNSY</v>
      </c>
      <c r="B11962" t="str">
        <f>T("U.S. NAVY SHIPYARD")</f>
        <v>U.S. NAVY SHIPYARD</v>
      </c>
      <c r="C11962" t="str">
        <f>T("CODE 960 BLDG 155")</f>
        <v>CODE 960 BLDG 155</v>
      </c>
      <c r="D11962" t="str">
        <f t="shared" si="4393"/>
        <v>PORTSMOUTH</v>
      </c>
      <c r="E11962" t="str">
        <f t="shared" si="4394"/>
        <v>NH</v>
      </c>
      <c r="F11962" t="str">
        <f>T("038010000")</f>
        <v>038010000</v>
      </c>
      <c r="G11962" t="str">
        <f>T("U.S. NAVY SHIPYARD")</f>
        <v>U.S. NAVY SHIPYARD</v>
      </c>
      <c r="H11962" t="str">
        <f>T("CODE 960 BLDG 155")</f>
        <v>CODE 960 BLDG 155</v>
      </c>
      <c r="I11962" t="str">
        <f t="shared" si="4390"/>
        <v>PORTSMOUTH</v>
      </c>
      <c r="J11962" t="str">
        <f t="shared" si="4391"/>
        <v>NH</v>
      </c>
      <c r="K11962" t="str">
        <f>T("2074381434")</f>
        <v>2074381434</v>
      </c>
      <c r="L11962" t="str">
        <f>T("2074382063")</f>
        <v>2074382063</v>
      </c>
    </row>
    <row r="11963" spans="1:12" x14ac:dyDescent="0.35">
      <c r="A11963" t="str">
        <f t="shared" si="4392"/>
        <v>PNSY</v>
      </c>
      <c r="B11963" t="str">
        <f t="shared" ref="B11963:B11983" si="4396">T("US NAVY YARD")</f>
        <v>US NAVY YARD</v>
      </c>
      <c r="C11963" t="str">
        <f t="shared" ref="C11963:C11968" si="4397">T("CODE 106.31 BLDG 44")</f>
        <v>CODE 106.31 BLDG 44</v>
      </c>
      <c r="D11963" t="str">
        <f t="shared" si="4393"/>
        <v>PORTSMOUTH</v>
      </c>
      <c r="E11963" t="str">
        <f t="shared" si="4394"/>
        <v>NH</v>
      </c>
      <c r="F11963" t="str">
        <f t="shared" ref="F11963:F11972" si="4398">T("038040000")</f>
        <v>038040000</v>
      </c>
      <c r="G11963" t="str">
        <f>T("CODE 106 32M BLDG 357")</f>
        <v>CODE 106 32M BLDG 357</v>
      </c>
      <c r="H11963" t="str">
        <f>T("US NAVY YARD")</f>
        <v>US NAVY YARD</v>
      </c>
      <c r="I11963" t="str">
        <f t="shared" si="4390"/>
        <v>PORTSMOUTH</v>
      </c>
      <c r="J11963" t="str">
        <f t="shared" si="4391"/>
        <v>NH</v>
      </c>
      <c r="K11963" t="str">
        <f>T("2074385573")</f>
        <v>2074385573</v>
      </c>
      <c r="L11963" t="str">
        <f>T("2074385223")</f>
        <v>2074385223</v>
      </c>
    </row>
    <row r="11964" spans="1:12" x14ac:dyDescent="0.35">
      <c r="A11964" t="str">
        <f t="shared" si="4392"/>
        <v>PNSY</v>
      </c>
      <c r="B11964" t="str">
        <f t="shared" si="4396"/>
        <v>US NAVY YARD</v>
      </c>
      <c r="C11964" t="str">
        <f t="shared" si="4397"/>
        <v>CODE 106.31 BLDG 44</v>
      </c>
      <c r="D11964" t="str">
        <f t="shared" si="4393"/>
        <v>PORTSMOUTH</v>
      </c>
      <c r="E11964" t="str">
        <f t="shared" si="4394"/>
        <v>NH</v>
      </c>
      <c r="F11964" t="str">
        <f t="shared" si="4398"/>
        <v>038040000</v>
      </c>
      <c r="G11964" t="str">
        <f>T("CODE 106 32N BLDG 357")</f>
        <v>CODE 106 32N BLDG 357</v>
      </c>
      <c r="H11964" t="str">
        <f>T("US NAVY YARD")</f>
        <v>US NAVY YARD</v>
      </c>
      <c r="I11964" t="str">
        <f t="shared" si="4390"/>
        <v>PORTSMOUTH</v>
      </c>
      <c r="J11964" t="str">
        <f t="shared" si="4391"/>
        <v>NH</v>
      </c>
      <c r="K11964" t="str">
        <f>T("2074385573")</f>
        <v>2074385573</v>
      </c>
      <c r="L11964" t="str">
        <f>T("2074385241")</f>
        <v>2074385241</v>
      </c>
    </row>
    <row r="11965" spans="1:12" x14ac:dyDescent="0.35">
      <c r="A11965" t="str">
        <f t="shared" si="4392"/>
        <v>PNSY</v>
      </c>
      <c r="B11965" t="str">
        <f t="shared" si="4396"/>
        <v>US NAVY YARD</v>
      </c>
      <c r="C11965" t="str">
        <f t="shared" si="4397"/>
        <v>CODE 106.31 BLDG 44</v>
      </c>
      <c r="D11965" t="str">
        <f t="shared" si="4393"/>
        <v>PORTSMOUTH</v>
      </c>
      <c r="E11965" t="str">
        <f t="shared" si="4394"/>
        <v>NH</v>
      </c>
      <c r="F11965" t="str">
        <f t="shared" si="4398"/>
        <v>038040000</v>
      </c>
      <c r="G11965" t="str">
        <f>T("CODE 106 BLDG 44")</f>
        <v>CODE 106 BLDG 44</v>
      </c>
      <c r="H11965" t="str">
        <f>T("US NAVY")</f>
        <v>US NAVY</v>
      </c>
      <c r="I11965" t="str">
        <f t="shared" si="4390"/>
        <v>PORTSMOUTH</v>
      </c>
      <c r="J11965" t="str">
        <f t="shared" si="4391"/>
        <v>NH</v>
      </c>
      <c r="K11965" t="str">
        <f>T("000000000000000000")</f>
        <v>000000000000000000</v>
      </c>
      <c r="L11965" t="str">
        <f>T("2074382612")</f>
        <v>2074382612</v>
      </c>
    </row>
    <row r="11966" spans="1:12" x14ac:dyDescent="0.35">
      <c r="A11966" t="str">
        <f t="shared" si="4392"/>
        <v>PNSY</v>
      </c>
      <c r="B11966" t="str">
        <f t="shared" si="4396"/>
        <v>US NAVY YARD</v>
      </c>
      <c r="C11966" t="str">
        <f t="shared" si="4397"/>
        <v>CODE 106.31 BLDG 44</v>
      </c>
      <c r="D11966" t="str">
        <f t="shared" si="4393"/>
        <v>PORTSMOUTH</v>
      </c>
      <c r="E11966" t="str">
        <f t="shared" si="4394"/>
        <v>NH</v>
      </c>
      <c r="F11966" t="str">
        <f t="shared" si="4398"/>
        <v>038040000</v>
      </c>
      <c r="G11966" t="str">
        <f>T("CODE 106 BLDG 44")</f>
        <v>CODE 106 BLDG 44</v>
      </c>
      <c r="H11966" t="str">
        <f>T("US NAVY YARD")</f>
        <v>US NAVY YARD</v>
      </c>
      <c r="I11966" t="str">
        <f t="shared" si="4390"/>
        <v>PORTSMOUTH</v>
      </c>
      <c r="J11966" t="str">
        <f t="shared" si="4391"/>
        <v>NH</v>
      </c>
      <c r="K11966" t="str">
        <f>T("2074381535")</f>
        <v>2074381535</v>
      </c>
      <c r="L11966" t="str">
        <f>T("2074384476")</f>
        <v>2074384476</v>
      </c>
    </row>
    <row r="11967" spans="1:12" x14ac:dyDescent="0.35">
      <c r="A11967" t="str">
        <f t="shared" si="4392"/>
        <v>PNSY</v>
      </c>
      <c r="B11967" t="str">
        <f t="shared" si="4396"/>
        <v>US NAVY YARD</v>
      </c>
      <c r="C11967" t="str">
        <f t="shared" si="4397"/>
        <v>CODE 106.31 BLDG 44</v>
      </c>
      <c r="D11967" t="str">
        <f t="shared" si="4393"/>
        <v>PORTSMOUTH</v>
      </c>
      <c r="E11967" t="str">
        <f t="shared" si="4394"/>
        <v>NH</v>
      </c>
      <c r="F11967" t="str">
        <f t="shared" si="4398"/>
        <v>038040000</v>
      </c>
      <c r="G11967" t="str">
        <f>T("CODE 106.32 BLDG 44")</f>
        <v>CODE 106.32 BLDG 44</v>
      </c>
      <c r="H11967" t="str">
        <f>T("US NAVY")</f>
        <v>US NAVY</v>
      </c>
      <c r="I11967" t="str">
        <f t="shared" si="4390"/>
        <v>PORTSMOUTH</v>
      </c>
      <c r="J11967" t="str">
        <f t="shared" si="4391"/>
        <v>NH</v>
      </c>
      <c r="K11967" t="str">
        <f>T("000000000000000000")</f>
        <v>000000000000000000</v>
      </c>
      <c r="L11967" t="str">
        <f>T("2074385223")</f>
        <v>2074385223</v>
      </c>
    </row>
    <row r="11968" spans="1:12" x14ac:dyDescent="0.35">
      <c r="A11968" t="str">
        <f t="shared" si="4392"/>
        <v>PNSY</v>
      </c>
      <c r="B11968" t="str">
        <f t="shared" si="4396"/>
        <v>US NAVY YARD</v>
      </c>
      <c r="C11968" t="str">
        <f t="shared" si="4397"/>
        <v>CODE 106.31 BLDG 44</v>
      </c>
      <c r="D11968" t="str">
        <f t="shared" si="4393"/>
        <v>PORTSMOUTH</v>
      </c>
      <c r="E11968" t="str">
        <f t="shared" si="4394"/>
        <v>NH</v>
      </c>
      <c r="F11968" t="str">
        <f t="shared" si="4398"/>
        <v>038040000</v>
      </c>
      <c r="G11968" t="str">
        <f>T("US NAVY YARD")</f>
        <v>US NAVY YARD</v>
      </c>
      <c r="H11968" t="str">
        <f>T("CODE 106.31 BLDG 44")</f>
        <v>CODE 106.31 BLDG 44</v>
      </c>
      <c r="I11968" t="str">
        <f t="shared" si="4390"/>
        <v>PORTSMOUTH</v>
      </c>
      <c r="J11968" t="str">
        <f t="shared" si="4391"/>
        <v>NH</v>
      </c>
      <c r="K11968" t="str">
        <f>T("2074381535")</f>
        <v>2074381535</v>
      </c>
      <c r="L11968" t="str">
        <f>T("2074381756")</f>
        <v>2074381756</v>
      </c>
    </row>
    <row r="11969" spans="1:12" x14ac:dyDescent="0.35">
      <c r="A11969" t="str">
        <f t="shared" si="4392"/>
        <v>PNSY</v>
      </c>
      <c r="B11969" t="str">
        <f t="shared" si="4396"/>
        <v>US NAVY YARD</v>
      </c>
      <c r="C11969" t="str">
        <f>T("CODE 205 BLDG 86A 5TH FLOOR")</f>
        <v>CODE 205 BLDG 86A 5TH FLOOR</v>
      </c>
      <c r="D11969" t="str">
        <f t="shared" si="4393"/>
        <v>PORTSMOUTH</v>
      </c>
      <c r="E11969" t="str">
        <f t="shared" si="4394"/>
        <v>NH</v>
      </c>
      <c r="F11969" t="str">
        <f t="shared" si="4398"/>
        <v>038040000</v>
      </c>
      <c r="G11969" t="str">
        <f>T("CODE 200DSS 01 BLDG 86A/5")</f>
        <v>CODE 200DSS 01 BLDG 86A/5</v>
      </c>
      <c r="H11969" t="str">
        <f>T("US NAVY YARD")</f>
        <v>US NAVY YARD</v>
      </c>
      <c r="I11969" t="str">
        <f t="shared" si="4390"/>
        <v>PORTSMOUTH</v>
      </c>
      <c r="J11969" t="str">
        <f t="shared" si="4391"/>
        <v>NH</v>
      </c>
      <c r="K11969" t="str">
        <f>T("2074383811")</f>
        <v>2074383811</v>
      </c>
      <c r="L11969" t="str">
        <f>T("2074383470")</f>
        <v>2074383470</v>
      </c>
    </row>
    <row r="11970" spans="1:12" x14ac:dyDescent="0.35">
      <c r="A11970" t="str">
        <f t="shared" si="4392"/>
        <v>PNSY</v>
      </c>
      <c r="B11970" t="str">
        <f t="shared" si="4396"/>
        <v>US NAVY YARD</v>
      </c>
      <c r="C11970" t="str">
        <f>T("CODE 205 BLDG 86A 5TH FLOOR")</f>
        <v>CODE 205 BLDG 86A 5TH FLOOR</v>
      </c>
      <c r="D11970" t="str">
        <f t="shared" si="4393"/>
        <v>PORTSMOUTH</v>
      </c>
      <c r="E11970" t="str">
        <f t="shared" si="4394"/>
        <v>NH</v>
      </c>
      <c r="F11970" t="str">
        <f t="shared" si="4398"/>
        <v>038040000</v>
      </c>
      <c r="G11970" t="str">
        <f>T("CODE 205 3PC BLDG 86A/5TH FL")</f>
        <v>CODE 205 3PC BLDG 86A/5TH FL</v>
      </c>
      <c r="H11970" t="str">
        <f>T("US NAVY YARD")</f>
        <v>US NAVY YARD</v>
      </c>
      <c r="I11970" t="str">
        <f t="shared" si="4390"/>
        <v>PORTSMOUTH</v>
      </c>
      <c r="J11970" t="str">
        <f t="shared" si="4391"/>
        <v>NH</v>
      </c>
      <c r="K11970" t="str">
        <f>T("000000000000000000")</f>
        <v>000000000000000000</v>
      </c>
      <c r="L11970" t="str">
        <f>T("2074383875")</f>
        <v>2074383875</v>
      </c>
    </row>
    <row r="11971" spans="1:12" x14ac:dyDescent="0.35">
      <c r="A11971" t="str">
        <f t="shared" si="4392"/>
        <v>PNSY</v>
      </c>
      <c r="B11971" t="str">
        <f t="shared" si="4396"/>
        <v>US NAVY YARD</v>
      </c>
      <c r="C11971" t="str">
        <f>T("CODE 205 BLDG 86A 5TH FLOOR")</f>
        <v>CODE 205 BLDG 86A 5TH FLOOR</v>
      </c>
      <c r="D11971" t="str">
        <f t="shared" si="4393"/>
        <v>PORTSMOUTH</v>
      </c>
      <c r="E11971" t="str">
        <f t="shared" si="4394"/>
        <v>NH</v>
      </c>
      <c r="F11971" t="str">
        <f t="shared" si="4398"/>
        <v>038040000</v>
      </c>
      <c r="G11971" t="str">
        <f>T("CODE 206 3LG BLDG 86A 5TH FL")</f>
        <v>CODE 206 3LG BLDG 86A 5TH FL</v>
      </c>
      <c r="H11971" t="str">
        <f>T("US NAVY")</f>
        <v>US NAVY</v>
      </c>
      <c r="I11971" t="str">
        <f t="shared" si="4390"/>
        <v>PORTSMOUTH</v>
      </c>
      <c r="J11971" t="str">
        <f t="shared" si="4391"/>
        <v>NH</v>
      </c>
      <c r="K11971" t="str">
        <f>T("000000000000000000")</f>
        <v>000000000000000000</v>
      </c>
      <c r="L11971" t="str">
        <f>T("2074383972")</f>
        <v>2074383972</v>
      </c>
    </row>
    <row r="11972" spans="1:12" x14ac:dyDescent="0.35">
      <c r="A11972" t="str">
        <f t="shared" si="4392"/>
        <v>PNSY</v>
      </c>
      <c r="B11972" t="str">
        <f t="shared" si="4396"/>
        <v>US NAVY YARD</v>
      </c>
      <c r="C11972" t="str">
        <f>T("CODE 205 BLDG 86A 5TH FLOOR")</f>
        <v>CODE 205 BLDG 86A 5TH FLOOR</v>
      </c>
      <c r="D11972" t="str">
        <f t="shared" si="4393"/>
        <v>PORTSMOUTH</v>
      </c>
      <c r="E11972" t="str">
        <f t="shared" si="4394"/>
        <v>NH</v>
      </c>
      <c r="F11972" t="str">
        <f t="shared" si="4398"/>
        <v>038040000</v>
      </c>
      <c r="G11972" t="str">
        <f>T("US NAVY YARD")</f>
        <v>US NAVY YARD</v>
      </c>
      <c r="H11972" t="str">
        <f>T("CODE 205 BLDG 86A 5TH FLOOR")</f>
        <v>CODE 205 BLDG 86A 5TH FLOOR</v>
      </c>
      <c r="I11972" t="str">
        <f t="shared" si="4390"/>
        <v>PORTSMOUTH</v>
      </c>
      <c r="J11972" t="str">
        <f t="shared" si="4391"/>
        <v>NH</v>
      </c>
      <c r="K11972" t="str">
        <f>T("2074384425")</f>
        <v>2074384425</v>
      </c>
      <c r="L11972" t="str">
        <f>T("2074383081")</f>
        <v>2074383081</v>
      </c>
    </row>
    <row r="11973" spans="1:12" x14ac:dyDescent="0.35">
      <c r="A11973" t="str">
        <f t="shared" si="4392"/>
        <v>PNSY</v>
      </c>
      <c r="B11973" t="str">
        <f t="shared" si="4396"/>
        <v>US NAVY YARD</v>
      </c>
      <c r="C11973" t="str">
        <f>T("CODE 260 BLDG 86A/4")</f>
        <v>CODE 260 BLDG 86A/4</v>
      </c>
      <c r="D11973" t="str">
        <f t="shared" si="4393"/>
        <v>PORTSMOUTH</v>
      </c>
      <c r="E11973" t="str">
        <f t="shared" si="4394"/>
        <v>NH</v>
      </c>
      <c r="F11973" t="str">
        <f>T("038010000")</f>
        <v>038010000</v>
      </c>
      <c r="G11973" t="str">
        <f>T("CODE 260 BLDG 86A")</f>
        <v>CODE 260 BLDG 86A</v>
      </c>
      <c r="H11973" t="str">
        <f>T("US NAVY YARD")</f>
        <v>US NAVY YARD</v>
      </c>
      <c r="I11973" t="str">
        <f t="shared" si="4390"/>
        <v>PORTSMOUTH</v>
      </c>
      <c r="J11973" t="str">
        <f t="shared" si="4391"/>
        <v>NH</v>
      </c>
      <c r="K11973" t="str">
        <f>T("2074383735")</f>
        <v>2074383735</v>
      </c>
      <c r="L11973" t="str">
        <f>T("2074383402")</f>
        <v>2074383402</v>
      </c>
    </row>
    <row r="11974" spans="1:12" x14ac:dyDescent="0.35">
      <c r="A11974" t="str">
        <f t="shared" si="4392"/>
        <v>PNSY</v>
      </c>
      <c r="B11974" t="str">
        <f t="shared" si="4396"/>
        <v>US NAVY YARD</v>
      </c>
      <c r="C11974" t="str">
        <f>T("CODE 260 BLDG 86A/4")</f>
        <v>CODE 260 BLDG 86A/4</v>
      </c>
      <c r="D11974" t="str">
        <f t="shared" si="4393"/>
        <v>PORTSMOUTH</v>
      </c>
      <c r="E11974" t="str">
        <f t="shared" si="4394"/>
        <v>NH</v>
      </c>
      <c r="F11974" t="str">
        <f>T("038010000")</f>
        <v>038010000</v>
      </c>
      <c r="G11974" t="str">
        <f>T("US NAVY YARD")</f>
        <v>US NAVY YARD</v>
      </c>
      <c r="H11974" t="str">
        <f>T("CODE 260 BLDG 86A/4")</f>
        <v>CODE 260 BLDG 86A/4</v>
      </c>
      <c r="I11974" t="str">
        <f t="shared" si="4390"/>
        <v>PORTSMOUTH</v>
      </c>
      <c r="J11974" t="str">
        <f t="shared" si="4391"/>
        <v>NH</v>
      </c>
      <c r="K11974" t="str">
        <f>T("2074383735")</f>
        <v>2074383735</v>
      </c>
      <c r="L11974" t="str">
        <f>T("2074383310")</f>
        <v>2074383310</v>
      </c>
    </row>
    <row r="11975" spans="1:12" x14ac:dyDescent="0.35">
      <c r="A11975" t="str">
        <f t="shared" si="4392"/>
        <v>PNSY</v>
      </c>
      <c r="B11975" t="str">
        <f t="shared" si="4396"/>
        <v>US NAVY YARD</v>
      </c>
      <c r="C11975" t="str">
        <f t="shared" ref="C11975:C11980" si="4399">T("CODE 501.35 BLDG 153/1")</f>
        <v>CODE 501.35 BLDG 153/1</v>
      </c>
      <c r="D11975" t="str">
        <f t="shared" si="4393"/>
        <v>PORTSMOUTH</v>
      </c>
      <c r="E11975" t="str">
        <f t="shared" si="4394"/>
        <v>NH</v>
      </c>
      <c r="F11975" t="str">
        <f t="shared" ref="F11975:F11980" si="4400">T("038040000")</f>
        <v>038040000</v>
      </c>
      <c r="G11975" t="str">
        <f>T("CODE 500 BLDG 170")</f>
        <v>CODE 500 BLDG 170</v>
      </c>
      <c r="H11975" t="str">
        <f>T("US NAVY YARD")</f>
        <v>US NAVY YARD</v>
      </c>
      <c r="I11975" t="str">
        <f t="shared" si="4390"/>
        <v>PORTSMOUTH</v>
      </c>
      <c r="J11975" t="str">
        <f t="shared" si="4391"/>
        <v>NH</v>
      </c>
      <c r="K11975" t="str">
        <f>T("2074385068")</f>
        <v>2074385068</v>
      </c>
      <c r="L11975" t="str">
        <f>T("2074385170")</f>
        <v>2074385170</v>
      </c>
    </row>
    <row r="11976" spans="1:12" x14ac:dyDescent="0.35">
      <c r="A11976" t="str">
        <f t="shared" si="4392"/>
        <v>PNSY</v>
      </c>
      <c r="B11976" t="str">
        <f t="shared" si="4396"/>
        <v>US NAVY YARD</v>
      </c>
      <c r="C11976" t="str">
        <f t="shared" si="4399"/>
        <v>CODE 501.35 BLDG 153/1</v>
      </c>
      <c r="D11976" t="str">
        <f t="shared" si="4393"/>
        <v>PORTSMOUTH</v>
      </c>
      <c r="E11976" t="str">
        <f t="shared" si="4394"/>
        <v>NH</v>
      </c>
      <c r="F11976" t="str">
        <f t="shared" si="4400"/>
        <v>038040000</v>
      </c>
      <c r="G11976" t="str">
        <f>T("CODE 501 3 BLDG 170")</f>
        <v>CODE 501 3 BLDG 170</v>
      </c>
      <c r="H11976" t="str">
        <f>T("US NAVY YARD")</f>
        <v>US NAVY YARD</v>
      </c>
      <c r="I11976" t="str">
        <f t="shared" si="4390"/>
        <v>PORTSMOUTH</v>
      </c>
      <c r="J11976" t="str">
        <f t="shared" si="4391"/>
        <v>NH</v>
      </c>
      <c r="K11976" t="str">
        <f>T("2074385214")</f>
        <v>2074385214</v>
      </c>
      <c r="L11976" t="str">
        <f>T("2074517183")</f>
        <v>2074517183</v>
      </c>
    </row>
    <row r="11977" spans="1:12" x14ac:dyDescent="0.35">
      <c r="A11977" t="str">
        <f t="shared" si="4392"/>
        <v>PNSY</v>
      </c>
      <c r="B11977" t="str">
        <f t="shared" si="4396"/>
        <v>US NAVY YARD</v>
      </c>
      <c r="C11977" t="str">
        <f t="shared" si="4399"/>
        <v>CODE 501.35 BLDG 153/1</v>
      </c>
      <c r="D11977" t="str">
        <f t="shared" si="4393"/>
        <v>PORTSMOUTH</v>
      </c>
      <c r="E11977" t="str">
        <f t="shared" si="4394"/>
        <v>NH</v>
      </c>
      <c r="F11977" t="str">
        <f t="shared" si="4400"/>
        <v>038040000</v>
      </c>
      <c r="G11977" t="str">
        <f>T("CODE 501 38 BLDG 337")</f>
        <v>CODE 501 38 BLDG 337</v>
      </c>
      <c r="H11977" t="str">
        <f>T("US NAVY YARD")</f>
        <v>US NAVY YARD</v>
      </c>
      <c r="I11977" t="str">
        <f t="shared" si="4390"/>
        <v>PORTSMOUTH</v>
      </c>
      <c r="J11977" t="str">
        <f t="shared" si="4391"/>
        <v>NH</v>
      </c>
      <c r="K11977" t="str">
        <f>T("2074381833")</f>
        <v>2074381833</v>
      </c>
      <c r="L11977" t="str">
        <f>T("2074383577")</f>
        <v>2074383577</v>
      </c>
    </row>
    <row r="11978" spans="1:12" x14ac:dyDescent="0.35">
      <c r="A11978" t="str">
        <f t="shared" si="4392"/>
        <v>PNSY</v>
      </c>
      <c r="B11978" t="str">
        <f t="shared" si="4396"/>
        <v>US NAVY YARD</v>
      </c>
      <c r="C11978" t="str">
        <f t="shared" si="4399"/>
        <v>CODE 501.35 BLDG 153/1</v>
      </c>
      <c r="D11978" t="str">
        <f t="shared" si="4393"/>
        <v>PORTSMOUTH</v>
      </c>
      <c r="E11978" t="str">
        <f t="shared" si="4394"/>
        <v>NH</v>
      </c>
      <c r="F11978" t="str">
        <f t="shared" si="4400"/>
        <v>038040000</v>
      </c>
      <c r="G11978" t="str">
        <f>T("CODE 501 BLDG 115")</f>
        <v>CODE 501 BLDG 115</v>
      </c>
      <c r="H11978" t="str">
        <f>T("US NAVY")</f>
        <v>US NAVY</v>
      </c>
      <c r="I11978" t="str">
        <f t="shared" ref="I11978:I11983" si="4401">T("PORTSMOUTH")</f>
        <v>PORTSMOUTH</v>
      </c>
      <c r="J11978" t="str">
        <f t="shared" ref="J11978:J11983" si="4402">T("NH")</f>
        <v>NH</v>
      </c>
      <c r="K11978" t="str">
        <f>T("2074384425")</f>
        <v>2074384425</v>
      </c>
      <c r="L11978" t="str">
        <f>T("2074385333")</f>
        <v>2074385333</v>
      </c>
    </row>
    <row r="11979" spans="1:12" x14ac:dyDescent="0.35">
      <c r="A11979" t="str">
        <f t="shared" si="4392"/>
        <v>PNSY</v>
      </c>
      <c r="B11979" t="str">
        <f t="shared" si="4396"/>
        <v>US NAVY YARD</v>
      </c>
      <c r="C11979" t="str">
        <f t="shared" si="4399"/>
        <v>CODE 501.35 BLDG 153/1</v>
      </c>
      <c r="D11979" t="str">
        <f t="shared" si="4393"/>
        <v>PORTSMOUTH</v>
      </c>
      <c r="E11979" t="str">
        <f t="shared" si="4394"/>
        <v>NH</v>
      </c>
      <c r="F11979" t="str">
        <f t="shared" si="4400"/>
        <v>038040000</v>
      </c>
      <c r="G11979" t="str">
        <f>T("CODE 501 BLDG 153/1ST FL")</f>
        <v>CODE 501 BLDG 153/1ST FL</v>
      </c>
      <c r="H11979" t="str">
        <f>T("US NAVY YARD")</f>
        <v>US NAVY YARD</v>
      </c>
      <c r="I11979" t="str">
        <f t="shared" si="4401"/>
        <v>PORTSMOUTH</v>
      </c>
      <c r="J11979" t="str">
        <f t="shared" si="4402"/>
        <v>NH</v>
      </c>
      <c r="K11979" t="str">
        <f>T("2074385623")</f>
        <v>2074385623</v>
      </c>
      <c r="L11979" t="str">
        <f>T("2074385625")</f>
        <v>2074385625</v>
      </c>
    </row>
    <row r="11980" spans="1:12" x14ac:dyDescent="0.35">
      <c r="A11980" t="str">
        <f t="shared" si="4392"/>
        <v>PNSY</v>
      </c>
      <c r="B11980" t="str">
        <f t="shared" si="4396"/>
        <v>US NAVY YARD</v>
      </c>
      <c r="C11980" t="str">
        <f t="shared" si="4399"/>
        <v>CODE 501.35 BLDG 153/1</v>
      </c>
      <c r="D11980" t="str">
        <f t="shared" si="4393"/>
        <v>PORTSMOUTH</v>
      </c>
      <c r="E11980" t="str">
        <f t="shared" si="4394"/>
        <v>NH</v>
      </c>
      <c r="F11980" t="str">
        <f t="shared" si="4400"/>
        <v>038040000</v>
      </c>
      <c r="G11980" t="str">
        <f>T("US NAVY YARD")</f>
        <v>US NAVY YARD</v>
      </c>
      <c r="H11980" t="str">
        <f>T("CODE 501.35 BLDG 153/1")</f>
        <v>CODE 501.35 BLDG 153/1</v>
      </c>
      <c r="I11980" t="str">
        <f t="shared" si="4401"/>
        <v>PORTSMOUTH</v>
      </c>
      <c r="J11980" t="str">
        <f t="shared" si="4402"/>
        <v>NH</v>
      </c>
      <c r="K11980" t="str">
        <f>T("")</f>
        <v/>
      </c>
      <c r="L11980" t="str">
        <f>T("2074517183")</f>
        <v>2074517183</v>
      </c>
    </row>
    <row r="11981" spans="1:12" x14ac:dyDescent="0.35">
      <c r="A11981" t="str">
        <f t="shared" si="4392"/>
        <v>PNSY</v>
      </c>
      <c r="B11981" t="str">
        <f t="shared" si="4396"/>
        <v>US NAVY YARD</v>
      </c>
      <c r="C11981" t="str">
        <f>T("CODE 701 PTS BLDG 7")</f>
        <v>CODE 701 PTS BLDG 7</v>
      </c>
      <c r="D11981" t="str">
        <f t="shared" si="4393"/>
        <v>PORTSMOUTH</v>
      </c>
      <c r="E11981" t="str">
        <f t="shared" si="4394"/>
        <v>NH</v>
      </c>
      <c r="F11981" t="str">
        <f>T("038010000")</f>
        <v>038010000</v>
      </c>
      <c r="G11981" t="str">
        <f>T("CODE 740 BLDG 7")</f>
        <v>CODE 740 BLDG 7</v>
      </c>
      <c r="H11981" t="str">
        <f>T("US NAVY YARD")</f>
        <v>US NAVY YARD</v>
      </c>
      <c r="I11981" t="str">
        <f t="shared" si="4401"/>
        <v>PORTSMOUTH</v>
      </c>
      <c r="J11981" t="str">
        <f t="shared" si="4402"/>
        <v>NH</v>
      </c>
      <c r="K11981" t="str">
        <f>T("2074381349")</f>
        <v>2074381349</v>
      </c>
      <c r="L11981" t="str">
        <f>T("2074381607")</f>
        <v>2074381607</v>
      </c>
    </row>
    <row r="11982" spans="1:12" x14ac:dyDescent="0.35">
      <c r="A11982" t="str">
        <f t="shared" si="4392"/>
        <v>PNSY</v>
      </c>
      <c r="B11982" t="str">
        <f t="shared" si="4396"/>
        <v>US NAVY YARD</v>
      </c>
      <c r="C11982" t="str">
        <f>T("CODE 701 PTS BLDG 7")</f>
        <v>CODE 701 PTS BLDG 7</v>
      </c>
      <c r="D11982" t="str">
        <f t="shared" si="4393"/>
        <v>PORTSMOUTH</v>
      </c>
      <c r="E11982" t="str">
        <f t="shared" si="4394"/>
        <v>NH</v>
      </c>
      <c r="F11982" t="str">
        <f>T("038010000")</f>
        <v>038010000</v>
      </c>
      <c r="G11982" t="str">
        <f>T("CODE 740 BLDG 7")</f>
        <v>CODE 740 BLDG 7</v>
      </c>
      <c r="H11982" t="str">
        <f>T("US NAVY YARD")</f>
        <v>US NAVY YARD</v>
      </c>
      <c r="I11982" t="str">
        <f t="shared" si="4401"/>
        <v>PORTSMOUTH</v>
      </c>
      <c r="J11982" t="str">
        <f t="shared" si="4402"/>
        <v>NH</v>
      </c>
      <c r="K11982" t="str">
        <f>T("2074381805")</f>
        <v>2074381805</v>
      </c>
      <c r="L11982" t="str">
        <f>T("2074382810")</f>
        <v>2074382810</v>
      </c>
    </row>
    <row r="11983" spans="1:12" x14ac:dyDescent="0.35">
      <c r="A11983" t="str">
        <f t="shared" si="4392"/>
        <v>PNSY</v>
      </c>
      <c r="B11983" t="str">
        <f t="shared" si="4396"/>
        <v>US NAVY YARD</v>
      </c>
      <c r="C11983" t="str">
        <f>T("CODE 701 PTS BLDG 7")</f>
        <v>CODE 701 PTS BLDG 7</v>
      </c>
      <c r="D11983" t="str">
        <f t="shared" si="4393"/>
        <v>PORTSMOUTH</v>
      </c>
      <c r="E11983" t="str">
        <f t="shared" si="4394"/>
        <v>NH</v>
      </c>
      <c r="F11983" t="str">
        <f>T("038010000")</f>
        <v>038010000</v>
      </c>
      <c r="G11983" t="str">
        <f>T("US NAVY YARD")</f>
        <v>US NAVY YARD</v>
      </c>
      <c r="H11983" t="str">
        <f>T("CODE 701 PTS BLDG 7")</f>
        <v>CODE 701 PTS BLDG 7</v>
      </c>
      <c r="I11983" t="str">
        <f t="shared" si="4401"/>
        <v>PORTSMOUTH</v>
      </c>
      <c r="J11983" t="str">
        <f t="shared" si="4402"/>
        <v>NH</v>
      </c>
      <c r="K11983" t="str">
        <f>T("2074381805")</f>
        <v>2074381805</v>
      </c>
      <c r="L11983" t="str">
        <f>T("2074383232")</f>
        <v>2074383232</v>
      </c>
    </row>
    <row r="11984" spans="1:12" x14ac:dyDescent="0.35">
      <c r="A11984" t="str">
        <f t="shared" ref="A11984:A11990" si="4403">T("SERMC")</f>
        <v>SERMC</v>
      </c>
      <c r="B11984" t="str">
        <f t="shared" ref="B11984:B11990" si="4404">T("SERMC MAYPORT")</f>
        <v>SERMC MAYPORT</v>
      </c>
      <c r="C11984" t="str">
        <f>T("NAVSTA MAYPORT BLDG 1488")</f>
        <v>NAVSTA MAYPORT BLDG 1488</v>
      </c>
      <c r="D11984" t="str">
        <f t="shared" ref="D11984:D11990" si="4405">T("MAYPORT")</f>
        <v>MAYPORT</v>
      </c>
      <c r="E11984" t="str">
        <f t="shared" ref="E11984:E11990" si="4406">T("FL")</f>
        <v>FL</v>
      </c>
      <c r="F11984" t="str">
        <f t="shared" ref="F11984:F11990" si="4407">T("322280000")</f>
        <v>322280000</v>
      </c>
      <c r="G11984" t="str">
        <f>T("SERMC MAYPORT")</f>
        <v>SERMC MAYPORT</v>
      </c>
      <c r="H11984" t="str">
        <f t="shared" ref="H11984:H11989" si="4408">T("NAVSTA MAYPORT BLDG 1488")</f>
        <v>NAVSTA MAYPORT BLDG 1488</v>
      </c>
      <c r="I11984" t="str">
        <f t="shared" ref="I11984:I11990" si="4409">T("MAYPORT")</f>
        <v>MAYPORT</v>
      </c>
      <c r="J11984" t="str">
        <f t="shared" ref="J11984:J11990" si="4410">T("FL")</f>
        <v>FL</v>
      </c>
      <c r="K11984" t="str">
        <f>T("904-270-6767")</f>
        <v>904-270-6767</v>
      </c>
      <c r="L11984" t="str">
        <f>T("9042705126")</f>
        <v>9042705126</v>
      </c>
    </row>
    <row r="11985" spans="1:12" x14ac:dyDescent="0.35">
      <c r="A11985" t="str">
        <f t="shared" si="4403"/>
        <v>SERMC</v>
      </c>
      <c r="B11985" t="str">
        <f t="shared" si="4404"/>
        <v>SERMC MAYPORT</v>
      </c>
      <c r="C11985" t="str">
        <f>T("NAVSTA MAYPORT BLDG 1488")</f>
        <v>NAVSTA MAYPORT BLDG 1488</v>
      </c>
      <c r="D11985" t="str">
        <f t="shared" si="4405"/>
        <v>MAYPORT</v>
      </c>
      <c r="E11985" t="str">
        <f t="shared" si="4406"/>
        <v>FL</v>
      </c>
      <c r="F11985" t="str">
        <f t="shared" si="4407"/>
        <v>322280000</v>
      </c>
      <c r="G11985" t="str">
        <f>T("SERMC MAYPORT")</f>
        <v>SERMC MAYPORT</v>
      </c>
      <c r="H11985" t="str">
        <f t="shared" si="4408"/>
        <v>NAVSTA MAYPORT BLDG 1488</v>
      </c>
      <c r="I11985" t="str">
        <f t="shared" si="4409"/>
        <v>MAYPORT</v>
      </c>
      <c r="J11985" t="str">
        <f t="shared" si="4410"/>
        <v>FL</v>
      </c>
      <c r="K11985" t="str">
        <f>T("9042705043")</f>
        <v>9042705043</v>
      </c>
      <c r="L11985" t="str">
        <f>T("1111111111")</f>
        <v>1111111111</v>
      </c>
    </row>
    <row r="11986" spans="1:12" x14ac:dyDescent="0.35">
      <c r="A11986" t="str">
        <f t="shared" si="4403"/>
        <v>SERMC</v>
      </c>
      <c r="B11986" t="str">
        <f t="shared" si="4404"/>
        <v>SERMC MAYPORT</v>
      </c>
      <c r="C11986" t="str">
        <f>T("NAVSTA MAYPORT BLDG 1488")</f>
        <v>NAVSTA MAYPORT BLDG 1488</v>
      </c>
      <c r="D11986" t="str">
        <f t="shared" si="4405"/>
        <v>MAYPORT</v>
      </c>
      <c r="E11986" t="str">
        <f t="shared" si="4406"/>
        <v>FL</v>
      </c>
      <c r="F11986" t="str">
        <f t="shared" si="4407"/>
        <v>322280000</v>
      </c>
      <c r="G11986" t="str">
        <f>T("SERMC MAYPORT")</f>
        <v>SERMC MAYPORT</v>
      </c>
      <c r="H11986" t="str">
        <f t="shared" si="4408"/>
        <v>NAVSTA MAYPORT BLDG 1488</v>
      </c>
      <c r="I11986" t="str">
        <f t="shared" si="4409"/>
        <v>MAYPORT</v>
      </c>
      <c r="J11986" t="str">
        <f t="shared" si="4410"/>
        <v>FL</v>
      </c>
      <c r="K11986" t="str">
        <f>T("9042705043")</f>
        <v>9042705043</v>
      </c>
      <c r="L11986" t="str">
        <f>T("9042705126")</f>
        <v>9042705126</v>
      </c>
    </row>
    <row r="11987" spans="1:12" x14ac:dyDescent="0.35">
      <c r="A11987" t="str">
        <f t="shared" si="4403"/>
        <v>SERMC</v>
      </c>
      <c r="B11987" t="str">
        <f t="shared" si="4404"/>
        <v>SERMC MAYPORT</v>
      </c>
      <c r="C11987" t="str">
        <f>T("NAVSTA MAYPORT BLDG 1488")</f>
        <v>NAVSTA MAYPORT BLDG 1488</v>
      </c>
      <c r="D11987" t="str">
        <f t="shared" si="4405"/>
        <v>MAYPORT</v>
      </c>
      <c r="E11987" t="str">
        <f t="shared" si="4406"/>
        <v>FL</v>
      </c>
      <c r="F11987" t="str">
        <f t="shared" si="4407"/>
        <v>322280000</v>
      </c>
      <c r="G11987" t="str">
        <f>T("SERMC MAYPORT")</f>
        <v>SERMC MAYPORT</v>
      </c>
      <c r="H11987" t="str">
        <f t="shared" si="4408"/>
        <v>NAVSTA MAYPORT BLDG 1488</v>
      </c>
      <c r="I11987" t="str">
        <f t="shared" si="4409"/>
        <v>MAYPORT</v>
      </c>
      <c r="J11987" t="str">
        <f t="shared" si="4410"/>
        <v>FL</v>
      </c>
      <c r="K11987" t="str">
        <f>T("9042706767")</f>
        <v>9042706767</v>
      </c>
      <c r="L11987" t="str">
        <f>T("1111111111")</f>
        <v>1111111111</v>
      </c>
    </row>
    <row r="11988" spans="1:12" x14ac:dyDescent="0.35">
      <c r="A11988" t="str">
        <f t="shared" si="4403"/>
        <v>SERMC</v>
      </c>
      <c r="B11988" t="str">
        <f t="shared" si="4404"/>
        <v>SERMC MAYPORT</v>
      </c>
      <c r="C11988" t="str">
        <f>T("NAVSTA MAYPORT BLDG 1488")</f>
        <v>NAVSTA MAYPORT BLDG 1488</v>
      </c>
      <c r="D11988" t="str">
        <f t="shared" si="4405"/>
        <v>MAYPORT</v>
      </c>
      <c r="E11988" t="str">
        <f t="shared" si="4406"/>
        <v>FL</v>
      </c>
      <c r="F11988" t="str">
        <f t="shared" si="4407"/>
        <v>322280000</v>
      </c>
      <c r="G11988" t="str">
        <f>T("SERMC MAYPORT")</f>
        <v>SERMC MAYPORT</v>
      </c>
      <c r="H11988" t="str">
        <f t="shared" si="4408"/>
        <v>NAVSTA MAYPORT BLDG 1488</v>
      </c>
      <c r="I11988" t="str">
        <f t="shared" si="4409"/>
        <v>MAYPORT</v>
      </c>
      <c r="J11988" t="str">
        <f t="shared" si="4410"/>
        <v>FL</v>
      </c>
      <c r="K11988" t="str">
        <f>T("9042706767")</f>
        <v>9042706767</v>
      </c>
      <c r="L11988" t="str">
        <f>T("9042705126")</f>
        <v>9042705126</v>
      </c>
    </row>
    <row r="11989" spans="1:12" x14ac:dyDescent="0.35">
      <c r="A11989" t="str">
        <f t="shared" si="4403"/>
        <v>SERMC</v>
      </c>
      <c r="B11989" t="str">
        <f t="shared" si="4404"/>
        <v>SERMC MAYPORT</v>
      </c>
      <c r="C11989" t="str">
        <f>T("NAVSTA MAYPORT, BLDG 1488")</f>
        <v>NAVSTA MAYPORT, BLDG 1488</v>
      </c>
      <c r="D11989" t="str">
        <f t="shared" si="4405"/>
        <v>MAYPORT</v>
      </c>
      <c r="E11989" t="str">
        <f t="shared" si="4406"/>
        <v>FL</v>
      </c>
      <c r="F11989" t="str">
        <f t="shared" si="4407"/>
        <v>322280000</v>
      </c>
      <c r="G11989" t="str">
        <f>T("NAVSTA MAYPORT")</f>
        <v>NAVSTA MAYPORT</v>
      </c>
      <c r="H11989" t="str">
        <f t="shared" si="4408"/>
        <v>NAVSTA MAYPORT BLDG 1488</v>
      </c>
      <c r="I11989" t="str">
        <f t="shared" si="4409"/>
        <v>MAYPORT</v>
      </c>
      <c r="J11989" t="str">
        <f t="shared" si="4410"/>
        <v>FL</v>
      </c>
      <c r="K11989" t="str">
        <f>T("9042707120")</f>
        <v>9042707120</v>
      </c>
      <c r="L11989" t="str">
        <f>T("1111111111")</f>
        <v>1111111111</v>
      </c>
    </row>
    <row r="11990" spans="1:12" x14ac:dyDescent="0.35">
      <c r="A11990" t="str">
        <f t="shared" si="4403"/>
        <v>SERMC</v>
      </c>
      <c r="B11990" t="str">
        <f t="shared" si="4404"/>
        <v>SERMC MAYPORT</v>
      </c>
      <c r="C11990" t="str">
        <f>T("NAVSTA MAYPORT, BLDG 1488")</f>
        <v>NAVSTA MAYPORT, BLDG 1488</v>
      </c>
      <c r="D11990" t="str">
        <f t="shared" si="4405"/>
        <v>MAYPORT</v>
      </c>
      <c r="E11990" t="str">
        <f t="shared" si="4406"/>
        <v>FL</v>
      </c>
      <c r="F11990" t="str">
        <f t="shared" si="4407"/>
        <v>322280000</v>
      </c>
      <c r="G11990" t="str">
        <f>T("SERMC MAYPORT")</f>
        <v>SERMC MAYPORT</v>
      </c>
      <c r="H11990" t="str">
        <f>T("NAVSTA MAYPORT, BLDG 1488")</f>
        <v>NAVSTA MAYPORT, BLDG 1488</v>
      </c>
      <c r="I11990" t="str">
        <f t="shared" si="4409"/>
        <v>MAYPORT</v>
      </c>
      <c r="J11990" t="str">
        <f t="shared" si="4410"/>
        <v>FL</v>
      </c>
      <c r="K11990" t="str">
        <f>T("")</f>
        <v/>
      </c>
      <c r="L11990" t="str">
        <f>T("9042705126")</f>
        <v>9042705126</v>
      </c>
    </row>
    <row r="11991" spans="1:12" x14ac:dyDescent="0.35">
      <c r="A11991" t="str">
        <f t="shared" ref="A11991:A12022" si="4411">T("NNSY")</f>
        <v>NNSY</v>
      </c>
      <c r="B11991" t="str">
        <f t="shared" ref="B11991:B12022" si="4412">T("1500 MAHONEY AVE")</f>
        <v>1500 MAHONEY AVE</v>
      </c>
      <c r="C11991" t="str">
        <f>T("C610 3")</f>
        <v>C610 3</v>
      </c>
      <c r="D11991" t="str">
        <f t="shared" ref="D11991:D11997" si="4413">T("PORTSMOUTH")</f>
        <v>PORTSMOUTH</v>
      </c>
      <c r="E11991" t="str">
        <f t="shared" ref="E11991:E12022" si="4414">T("VA")</f>
        <v>VA</v>
      </c>
      <c r="F11991" t="str">
        <f t="shared" ref="F11991:F11997" si="4415">T("237090000")</f>
        <v>237090000</v>
      </c>
      <c r="G11991" t="str">
        <f>T("1500 MAHONEY AVE")</f>
        <v>1500 MAHONEY AVE</v>
      </c>
      <c r="H11991" t="str">
        <f>T("C610 3")</f>
        <v>C610 3</v>
      </c>
      <c r="I11991" t="str">
        <f t="shared" ref="I11991:I11997" si="4416">T("PORTSMOUTH")</f>
        <v>PORTSMOUTH</v>
      </c>
      <c r="J11991" t="str">
        <f t="shared" ref="J11991:J12022" si="4417">T("VA")</f>
        <v>VA</v>
      </c>
      <c r="K11991" t="str">
        <f>T("757-396-1247")</f>
        <v>757-396-1247</v>
      </c>
      <c r="L11991" t="str">
        <f>T("7573963308")</f>
        <v>7573963308</v>
      </c>
    </row>
    <row r="11992" spans="1:12" x14ac:dyDescent="0.35">
      <c r="A11992" t="str">
        <f t="shared" si="4411"/>
        <v>NNSY</v>
      </c>
      <c r="B11992" t="str">
        <f t="shared" si="4412"/>
        <v>1500 MAHONEY AVE</v>
      </c>
      <c r="C11992" t="str">
        <f>T("C610 3")</f>
        <v>C610 3</v>
      </c>
      <c r="D11992" t="str">
        <f t="shared" si="4413"/>
        <v>PORTSMOUTH</v>
      </c>
      <c r="E11992" t="str">
        <f t="shared" si="4414"/>
        <v>VA</v>
      </c>
      <c r="F11992" t="str">
        <f t="shared" si="4415"/>
        <v>237090000</v>
      </c>
      <c r="G11992" t="str">
        <f>T("C610.3")</f>
        <v>C610.3</v>
      </c>
      <c r="H11992" t="str">
        <f>T("1500 MAHONEY AVE")</f>
        <v>1500 MAHONEY AVE</v>
      </c>
      <c r="I11992" t="str">
        <f t="shared" si="4416"/>
        <v>PORTSMOUTH</v>
      </c>
      <c r="J11992" t="str">
        <f t="shared" si="4417"/>
        <v>VA</v>
      </c>
      <c r="K11992" t="str">
        <f>T("7573961247")</f>
        <v>7573961247</v>
      </c>
      <c r="L11992" t="str">
        <f>T("7573962047")</f>
        <v>7573962047</v>
      </c>
    </row>
    <row r="11993" spans="1:12" x14ac:dyDescent="0.35">
      <c r="A11993" t="str">
        <f t="shared" si="4411"/>
        <v>NNSY</v>
      </c>
      <c r="B11993" t="str">
        <f t="shared" si="4412"/>
        <v>1500 MAHONEY AVE</v>
      </c>
      <c r="C11993" t="str">
        <f>T("C610 3")</f>
        <v>C610 3</v>
      </c>
      <c r="D11993" t="str">
        <f t="shared" si="4413"/>
        <v>PORTSMOUTH</v>
      </c>
      <c r="E11993" t="str">
        <f t="shared" si="4414"/>
        <v>VA</v>
      </c>
      <c r="F11993" t="str">
        <f t="shared" si="4415"/>
        <v>237090000</v>
      </c>
      <c r="G11993" t="str">
        <f>T("C612")</f>
        <v>C612</v>
      </c>
      <c r="H11993" t="str">
        <f>T("1500 MAHONEY AVE")</f>
        <v>1500 MAHONEY AVE</v>
      </c>
      <c r="I11993" t="str">
        <f t="shared" si="4416"/>
        <v>PORTSMOUTH</v>
      </c>
      <c r="J11993" t="str">
        <f t="shared" si="4417"/>
        <v>VA</v>
      </c>
      <c r="K11993" t="str">
        <f>T("7573961247")</f>
        <v>7573961247</v>
      </c>
      <c r="L11993" t="str">
        <f>T("7573964121")</f>
        <v>7573964121</v>
      </c>
    </row>
    <row r="11994" spans="1:12" x14ac:dyDescent="0.35">
      <c r="A11994" t="str">
        <f t="shared" si="4411"/>
        <v>NNSY</v>
      </c>
      <c r="B11994" t="str">
        <f t="shared" si="4412"/>
        <v>1500 MAHONEY AVE</v>
      </c>
      <c r="C11994" t="str">
        <f>T("C612")</f>
        <v>C612</v>
      </c>
      <c r="D11994" t="str">
        <f t="shared" si="4413"/>
        <v>PORTSMOUTH</v>
      </c>
      <c r="E11994" t="str">
        <f t="shared" si="4414"/>
        <v>VA</v>
      </c>
      <c r="F11994" t="str">
        <f t="shared" si="4415"/>
        <v>237090000</v>
      </c>
      <c r="G11994" t="str">
        <f>T("1500 MAHONEY AVE")</f>
        <v>1500 MAHONEY AVE</v>
      </c>
      <c r="H11994" t="str">
        <f>T("C612")</f>
        <v>C612</v>
      </c>
      <c r="I11994" t="str">
        <f t="shared" si="4416"/>
        <v>PORTSMOUTH</v>
      </c>
      <c r="J11994" t="str">
        <f t="shared" si="4417"/>
        <v>VA</v>
      </c>
      <c r="K11994" t="str">
        <f>T("7573961247")</f>
        <v>7573961247</v>
      </c>
      <c r="L11994" t="str">
        <f>T("7573964425")</f>
        <v>7573964425</v>
      </c>
    </row>
    <row r="11995" spans="1:12" x14ac:dyDescent="0.35">
      <c r="A11995" t="str">
        <f t="shared" si="4411"/>
        <v>NNSY</v>
      </c>
      <c r="B11995" t="str">
        <f t="shared" si="4412"/>
        <v>1500 MAHONEY AVE</v>
      </c>
      <c r="C11995" t="str">
        <f>T("C612")</f>
        <v>C612</v>
      </c>
      <c r="D11995" t="str">
        <f t="shared" si="4413"/>
        <v>PORTSMOUTH</v>
      </c>
      <c r="E11995" t="str">
        <f t="shared" si="4414"/>
        <v>VA</v>
      </c>
      <c r="F11995" t="str">
        <f t="shared" si="4415"/>
        <v>237090000</v>
      </c>
      <c r="G11995" t="str">
        <f>T("1500 MAHONEY AVE")</f>
        <v>1500 MAHONEY AVE</v>
      </c>
      <c r="H11995" t="str">
        <f>T("CODE 610.3")</f>
        <v>CODE 610.3</v>
      </c>
      <c r="I11995" t="str">
        <f t="shared" si="4416"/>
        <v>PORTSMOUTH</v>
      </c>
      <c r="J11995" t="str">
        <f t="shared" si="4417"/>
        <v>VA</v>
      </c>
      <c r="K11995" t="str">
        <f>T("7573961247")</f>
        <v>7573961247</v>
      </c>
      <c r="L11995" t="str">
        <f>T("7573962322")</f>
        <v>7573962322</v>
      </c>
    </row>
    <row r="11996" spans="1:12" x14ac:dyDescent="0.35">
      <c r="A11996" t="str">
        <f t="shared" si="4411"/>
        <v>NNSY</v>
      </c>
      <c r="B11996" t="str">
        <f t="shared" si="4412"/>
        <v>1500 MAHONEY AVE</v>
      </c>
      <c r="C11996" t="str">
        <f>T("C612")</f>
        <v>C612</v>
      </c>
      <c r="D11996" t="str">
        <f t="shared" si="4413"/>
        <v>PORTSMOUTH</v>
      </c>
      <c r="E11996" t="str">
        <f t="shared" si="4414"/>
        <v>VA</v>
      </c>
      <c r="F11996" t="str">
        <f t="shared" si="4415"/>
        <v>237090000</v>
      </c>
      <c r="G11996" t="str">
        <f>T("1500 MAHONEY AVE")</f>
        <v>1500 MAHONEY AVE</v>
      </c>
      <c r="H11996" t="str">
        <f>T("CODE 6103")</f>
        <v>CODE 6103</v>
      </c>
      <c r="I11996" t="str">
        <f t="shared" si="4416"/>
        <v>PORTSMOUTH</v>
      </c>
      <c r="J11996" t="str">
        <f t="shared" si="4417"/>
        <v>VA</v>
      </c>
      <c r="K11996" t="str">
        <f>T("000000000000000000")</f>
        <v>000000000000000000</v>
      </c>
      <c r="L11996" t="str">
        <f>T("7573964114")</f>
        <v>7573964114</v>
      </c>
    </row>
    <row r="11997" spans="1:12" x14ac:dyDescent="0.35">
      <c r="A11997" t="str">
        <f t="shared" si="4411"/>
        <v>NNSY</v>
      </c>
      <c r="B11997" t="str">
        <f t="shared" si="4412"/>
        <v>1500 MAHONEY AVE</v>
      </c>
      <c r="C11997" t="str">
        <f>T("C612")</f>
        <v>C612</v>
      </c>
      <c r="D11997" t="str">
        <f t="shared" si="4413"/>
        <v>PORTSMOUTH</v>
      </c>
      <c r="E11997" t="str">
        <f t="shared" si="4414"/>
        <v>VA</v>
      </c>
      <c r="F11997" t="str">
        <f t="shared" si="4415"/>
        <v>237090000</v>
      </c>
      <c r="G11997" t="str">
        <f>T("C610.3")</f>
        <v>C610.3</v>
      </c>
      <c r="H11997" t="str">
        <f>T("1500 MAHONEY AVE")</f>
        <v>1500 MAHONEY AVE</v>
      </c>
      <c r="I11997" t="str">
        <f t="shared" si="4416"/>
        <v>PORTSMOUTH</v>
      </c>
      <c r="J11997" t="str">
        <f t="shared" si="4417"/>
        <v>VA</v>
      </c>
      <c r="K11997" t="str">
        <f t="shared" ref="K11997:K12003" si="4418">T("7573961247")</f>
        <v>7573961247</v>
      </c>
      <c r="L11997" t="str">
        <f>T("7573964404")</f>
        <v>7573964404</v>
      </c>
    </row>
    <row r="11998" spans="1:12" x14ac:dyDescent="0.35">
      <c r="A11998" t="str">
        <f t="shared" si="4411"/>
        <v>NNSY</v>
      </c>
      <c r="B11998" t="str">
        <f t="shared" si="4412"/>
        <v>1500 MAHONEY AVE</v>
      </c>
      <c r="C11998" t="str">
        <f t="shared" ref="C11998:C12019" si="4419">T("CODE 610 3")</f>
        <v>CODE 610 3</v>
      </c>
      <c r="D11998" t="str">
        <f>T("PORTMOUTH")</f>
        <v>PORTMOUTH</v>
      </c>
      <c r="E11998" t="str">
        <f t="shared" si="4414"/>
        <v>VA</v>
      </c>
      <c r="F11998" t="str">
        <f>T("237095000")</f>
        <v>237095000</v>
      </c>
      <c r="G11998" t="str">
        <f>T("1500 MAHONEY AVE")</f>
        <v>1500 MAHONEY AVE</v>
      </c>
      <c r="H11998" t="str">
        <f>T("CODE 610 3")</f>
        <v>CODE 610 3</v>
      </c>
      <c r="I11998" t="str">
        <f>T("PORTMOUTH")</f>
        <v>PORTMOUTH</v>
      </c>
      <c r="J11998" t="str">
        <f t="shared" si="4417"/>
        <v>VA</v>
      </c>
      <c r="K11998" t="str">
        <f t="shared" si="4418"/>
        <v>7573961247</v>
      </c>
      <c r="L11998" t="str">
        <f>T("7573962903")</f>
        <v>7573962903</v>
      </c>
    </row>
    <row r="11999" spans="1:12" x14ac:dyDescent="0.35">
      <c r="A11999" t="str">
        <f t="shared" si="4411"/>
        <v>NNSY</v>
      </c>
      <c r="B11999" t="str">
        <f t="shared" si="4412"/>
        <v>1500 MAHONEY AVE</v>
      </c>
      <c r="C11999" t="str">
        <f t="shared" si="4419"/>
        <v>CODE 610 3</v>
      </c>
      <c r="D11999" t="str">
        <f>T("PORTMOUTH")</f>
        <v>PORTMOUTH</v>
      </c>
      <c r="E11999" t="str">
        <f t="shared" si="4414"/>
        <v>VA</v>
      </c>
      <c r="F11999" t="str">
        <f>T("237095000")</f>
        <v>237095000</v>
      </c>
      <c r="G11999" t="str">
        <f>T("C610.3")</f>
        <v>C610.3</v>
      </c>
      <c r="H11999" t="str">
        <f>T("1500 MAHONEY AVE")</f>
        <v>1500 MAHONEY AVE</v>
      </c>
      <c r="I11999" t="str">
        <f t="shared" ref="I11999:I12030" si="4420">T("PORTSMOUTH")</f>
        <v>PORTSMOUTH</v>
      </c>
      <c r="J11999" t="str">
        <f t="shared" si="4417"/>
        <v>VA</v>
      </c>
      <c r="K11999" t="str">
        <f t="shared" si="4418"/>
        <v>7573961247</v>
      </c>
      <c r="L11999" t="str">
        <f>T("7573962204")</f>
        <v>7573962204</v>
      </c>
    </row>
    <row r="12000" spans="1:12" x14ac:dyDescent="0.35">
      <c r="A12000" t="str">
        <f t="shared" si="4411"/>
        <v>NNSY</v>
      </c>
      <c r="B12000" t="str">
        <f t="shared" si="4412"/>
        <v>1500 MAHONEY AVE</v>
      </c>
      <c r="C12000" t="str">
        <f t="shared" si="4419"/>
        <v>CODE 610 3</v>
      </c>
      <c r="D12000" t="str">
        <f t="shared" ref="D12000:D12031" si="4421">T("PORTSMOUTH")</f>
        <v>PORTSMOUTH</v>
      </c>
      <c r="E12000" t="str">
        <f t="shared" si="4414"/>
        <v>VA</v>
      </c>
      <c r="F12000" t="str">
        <f t="shared" ref="F12000:F12013" si="4422">T("237090000")</f>
        <v>237090000</v>
      </c>
      <c r="G12000" t="str">
        <f t="shared" ref="G12000:G12009" si="4423">T("1500 MAHONEY AVE")</f>
        <v>1500 MAHONEY AVE</v>
      </c>
      <c r="H12000" t="str">
        <f>T("C610.3")</f>
        <v>C610.3</v>
      </c>
      <c r="I12000" t="str">
        <f t="shared" si="4420"/>
        <v>PORTSMOUTH</v>
      </c>
      <c r="J12000" t="str">
        <f t="shared" si="4417"/>
        <v>VA</v>
      </c>
      <c r="K12000" t="str">
        <f t="shared" si="4418"/>
        <v>7573961247</v>
      </c>
      <c r="L12000" t="str">
        <f>T("2158973446")</f>
        <v>2158973446</v>
      </c>
    </row>
    <row r="12001" spans="1:12" x14ac:dyDescent="0.35">
      <c r="A12001" t="str">
        <f t="shared" si="4411"/>
        <v>NNSY</v>
      </c>
      <c r="B12001" t="str">
        <f t="shared" si="4412"/>
        <v>1500 MAHONEY AVE</v>
      </c>
      <c r="C12001" t="str">
        <f t="shared" si="4419"/>
        <v>CODE 610 3</v>
      </c>
      <c r="D12001" t="str">
        <f t="shared" si="4421"/>
        <v>PORTSMOUTH</v>
      </c>
      <c r="E12001" t="str">
        <f t="shared" si="4414"/>
        <v>VA</v>
      </c>
      <c r="F12001" t="str">
        <f t="shared" si="4422"/>
        <v>237090000</v>
      </c>
      <c r="G12001" t="str">
        <f t="shared" si="4423"/>
        <v>1500 MAHONEY AVE</v>
      </c>
      <c r="H12001" t="str">
        <f>T("C610.3")</f>
        <v>C610.3</v>
      </c>
      <c r="I12001" t="str">
        <f t="shared" si="4420"/>
        <v>PORTSMOUTH</v>
      </c>
      <c r="J12001" t="str">
        <f t="shared" si="4417"/>
        <v>VA</v>
      </c>
      <c r="K12001" t="str">
        <f t="shared" si="4418"/>
        <v>7573961247</v>
      </c>
      <c r="L12001" t="str">
        <f>T("7573964576")</f>
        <v>7573964576</v>
      </c>
    </row>
    <row r="12002" spans="1:12" x14ac:dyDescent="0.35">
      <c r="A12002" t="str">
        <f t="shared" si="4411"/>
        <v>NNSY</v>
      </c>
      <c r="B12002" t="str">
        <f t="shared" si="4412"/>
        <v>1500 MAHONEY AVE</v>
      </c>
      <c r="C12002" t="str">
        <f t="shared" si="4419"/>
        <v>CODE 610 3</v>
      </c>
      <c r="D12002" t="str">
        <f t="shared" si="4421"/>
        <v>PORTSMOUTH</v>
      </c>
      <c r="E12002" t="str">
        <f t="shared" si="4414"/>
        <v>VA</v>
      </c>
      <c r="F12002" t="str">
        <f t="shared" si="4422"/>
        <v>237090000</v>
      </c>
      <c r="G12002" t="str">
        <f t="shared" si="4423"/>
        <v>1500 MAHONEY AVE</v>
      </c>
      <c r="H12002" t="str">
        <f>T("C610.3")</f>
        <v>C610.3</v>
      </c>
      <c r="I12002" t="str">
        <f t="shared" si="4420"/>
        <v>PORTSMOUTH</v>
      </c>
      <c r="J12002" t="str">
        <f t="shared" si="4417"/>
        <v>VA</v>
      </c>
      <c r="K12002" t="str">
        <f t="shared" si="4418"/>
        <v>7573961247</v>
      </c>
      <c r="L12002" t="str">
        <f>T("7573964771")</f>
        <v>7573964771</v>
      </c>
    </row>
    <row r="12003" spans="1:12" x14ac:dyDescent="0.35">
      <c r="A12003" t="str">
        <f t="shared" si="4411"/>
        <v>NNSY</v>
      </c>
      <c r="B12003" t="str">
        <f t="shared" si="4412"/>
        <v>1500 MAHONEY AVE</v>
      </c>
      <c r="C12003" t="str">
        <f t="shared" si="4419"/>
        <v>CODE 610 3</v>
      </c>
      <c r="D12003" t="str">
        <f t="shared" si="4421"/>
        <v>PORTSMOUTH</v>
      </c>
      <c r="E12003" t="str">
        <f t="shared" si="4414"/>
        <v>VA</v>
      </c>
      <c r="F12003" t="str">
        <f t="shared" si="4422"/>
        <v>237090000</v>
      </c>
      <c r="G12003" t="str">
        <f t="shared" si="4423"/>
        <v>1500 MAHONEY AVE</v>
      </c>
      <c r="H12003" t="str">
        <f>T("C610.3")</f>
        <v>C610.3</v>
      </c>
      <c r="I12003" t="str">
        <f t="shared" si="4420"/>
        <v>PORTSMOUTH</v>
      </c>
      <c r="J12003" t="str">
        <f t="shared" si="4417"/>
        <v>VA</v>
      </c>
      <c r="K12003" t="str">
        <f t="shared" si="4418"/>
        <v>7573961247</v>
      </c>
      <c r="L12003" t="str">
        <f>T("7573969767")</f>
        <v>7573969767</v>
      </c>
    </row>
    <row r="12004" spans="1:12" x14ac:dyDescent="0.35">
      <c r="A12004" t="str">
        <f t="shared" si="4411"/>
        <v>NNSY</v>
      </c>
      <c r="B12004" t="str">
        <f t="shared" si="4412"/>
        <v>1500 MAHONEY AVE</v>
      </c>
      <c r="C12004" t="str">
        <f t="shared" si="4419"/>
        <v>CODE 610 3</v>
      </c>
      <c r="D12004" t="str">
        <f t="shared" si="4421"/>
        <v>PORTSMOUTH</v>
      </c>
      <c r="E12004" t="str">
        <f t="shared" si="4414"/>
        <v>VA</v>
      </c>
      <c r="F12004" t="str">
        <f t="shared" si="4422"/>
        <v>237090000</v>
      </c>
      <c r="G12004" t="str">
        <f t="shared" si="4423"/>
        <v>1500 MAHONEY AVE</v>
      </c>
      <c r="H12004" t="str">
        <f t="shared" ref="H12004:H12009" si="4424">T("CODE 610 3")</f>
        <v>CODE 610 3</v>
      </c>
      <c r="I12004" t="str">
        <f t="shared" si="4420"/>
        <v>PORTSMOUTH</v>
      </c>
      <c r="J12004" t="str">
        <f t="shared" si="4417"/>
        <v>VA</v>
      </c>
      <c r="K12004" t="str">
        <f>T("")</f>
        <v/>
      </c>
      <c r="L12004" t="str">
        <f>T("7573968918")</f>
        <v>7573968918</v>
      </c>
    </row>
    <row r="12005" spans="1:12" x14ac:dyDescent="0.35">
      <c r="A12005" t="str">
        <f t="shared" si="4411"/>
        <v>NNSY</v>
      </c>
      <c r="B12005" t="str">
        <f t="shared" si="4412"/>
        <v>1500 MAHONEY AVE</v>
      </c>
      <c r="C12005" t="str">
        <f t="shared" si="4419"/>
        <v>CODE 610 3</v>
      </c>
      <c r="D12005" t="str">
        <f t="shared" si="4421"/>
        <v>PORTSMOUTH</v>
      </c>
      <c r="E12005" t="str">
        <f t="shared" si="4414"/>
        <v>VA</v>
      </c>
      <c r="F12005" t="str">
        <f t="shared" si="4422"/>
        <v>237090000</v>
      </c>
      <c r="G12005" t="str">
        <f t="shared" si="4423"/>
        <v>1500 MAHONEY AVE</v>
      </c>
      <c r="H12005" t="str">
        <f t="shared" si="4424"/>
        <v>CODE 610 3</v>
      </c>
      <c r="I12005" t="str">
        <f t="shared" si="4420"/>
        <v>PORTSMOUTH</v>
      </c>
      <c r="J12005" t="str">
        <f t="shared" si="4417"/>
        <v>VA</v>
      </c>
      <c r="K12005" t="str">
        <f>T("000000000000000000")</f>
        <v>000000000000000000</v>
      </c>
      <c r="L12005" t="str">
        <f>T("2158973044")</f>
        <v>2158973044</v>
      </c>
    </row>
    <row r="12006" spans="1:12" x14ac:dyDescent="0.35">
      <c r="A12006" t="str">
        <f t="shared" si="4411"/>
        <v>NNSY</v>
      </c>
      <c r="B12006" t="str">
        <f t="shared" si="4412"/>
        <v>1500 MAHONEY AVE</v>
      </c>
      <c r="C12006" t="str">
        <f t="shared" si="4419"/>
        <v>CODE 610 3</v>
      </c>
      <c r="D12006" t="str">
        <f t="shared" si="4421"/>
        <v>PORTSMOUTH</v>
      </c>
      <c r="E12006" t="str">
        <f t="shared" si="4414"/>
        <v>VA</v>
      </c>
      <c r="F12006" t="str">
        <f t="shared" si="4422"/>
        <v>237090000</v>
      </c>
      <c r="G12006" t="str">
        <f t="shared" si="4423"/>
        <v>1500 MAHONEY AVE</v>
      </c>
      <c r="H12006" t="str">
        <f t="shared" si="4424"/>
        <v>CODE 610 3</v>
      </c>
      <c r="I12006" t="str">
        <f t="shared" si="4420"/>
        <v>PORTSMOUTH</v>
      </c>
      <c r="J12006" t="str">
        <f t="shared" si="4417"/>
        <v>VA</v>
      </c>
      <c r="K12006" t="str">
        <f>T("7573961247")</f>
        <v>7573961247</v>
      </c>
      <c r="L12006" t="str">
        <f>T("7573963125")</f>
        <v>7573963125</v>
      </c>
    </row>
    <row r="12007" spans="1:12" x14ac:dyDescent="0.35">
      <c r="A12007" t="str">
        <f t="shared" si="4411"/>
        <v>NNSY</v>
      </c>
      <c r="B12007" t="str">
        <f t="shared" si="4412"/>
        <v>1500 MAHONEY AVE</v>
      </c>
      <c r="C12007" t="str">
        <f t="shared" si="4419"/>
        <v>CODE 610 3</v>
      </c>
      <c r="D12007" t="str">
        <f t="shared" si="4421"/>
        <v>PORTSMOUTH</v>
      </c>
      <c r="E12007" t="str">
        <f t="shared" si="4414"/>
        <v>VA</v>
      </c>
      <c r="F12007" t="str">
        <f t="shared" si="4422"/>
        <v>237090000</v>
      </c>
      <c r="G12007" t="str">
        <f t="shared" si="4423"/>
        <v>1500 MAHONEY AVE</v>
      </c>
      <c r="H12007" t="str">
        <f t="shared" si="4424"/>
        <v>CODE 610 3</v>
      </c>
      <c r="I12007" t="str">
        <f t="shared" si="4420"/>
        <v>PORTSMOUTH</v>
      </c>
      <c r="J12007" t="str">
        <f t="shared" si="4417"/>
        <v>VA</v>
      </c>
      <c r="K12007" t="str">
        <f>T("7573961247")</f>
        <v>7573961247</v>
      </c>
      <c r="L12007" t="str">
        <f>T("7573964158")</f>
        <v>7573964158</v>
      </c>
    </row>
    <row r="12008" spans="1:12" x14ac:dyDescent="0.35">
      <c r="A12008" t="str">
        <f t="shared" si="4411"/>
        <v>NNSY</v>
      </c>
      <c r="B12008" t="str">
        <f t="shared" si="4412"/>
        <v>1500 MAHONEY AVE</v>
      </c>
      <c r="C12008" t="str">
        <f t="shared" si="4419"/>
        <v>CODE 610 3</v>
      </c>
      <c r="D12008" t="str">
        <f t="shared" si="4421"/>
        <v>PORTSMOUTH</v>
      </c>
      <c r="E12008" t="str">
        <f t="shared" si="4414"/>
        <v>VA</v>
      </c>
      <c r="F12008" t="str">
        <f t="shared" si="4422"/>
        <v>237090000</v>
      </c>
      <c r="G12008" t="str">
        <f t="shared" si="4423"/>
        <v>1500 MAHONEY AVE</v>
      </c>
      <c r="H12008" t="str">
        <f t="shared" si="4424"/>
        <v>CODE 610 3</v>
      </c>
      <c r="I12008" t="str">
        <f t="shared" si="4420"/>
        <v>PORTSMOUTH</v>
      </c>
      <c r="J12008" t="str">
        <f t="shared" si="4417"/>
        <v>VA</v>
      </c>
      <c r="K12008" t="str">
        <f>T("7573961247")</f>
        <v>7573961247</v>
      </c>
      <c r="L12008" t="str">
        <f>T("7573969848")</f>
        <v>7573969848</v>
      </c>
    </row>
    <row r="12009" spans="1:12" x14ac:dyDescent="0.35">
      <c r="A12009" t="str">
        <f t="shared" si="4411"/>
        <v>NNSY</v>
      </c>
      <c r="B12009" t="str">
        <f t="shared" si="4412"/>
        <v>1500 MAHONEY AVE</v>
      </c>
      <c r="C12009" t="str">
        <f t="shared" si="4419"/>
        <v>CODE 610 3</v>
      </c>
      <c r="D12009" t="str">
        <f t="shared" si="4421"/>
        <v>PORTSMOUTH</v>
      </c>
      <c r="E12009" t="str">
        <f t="shared" si="4414"/>
        <v>VA</v>
      </c>
      <c r="F12009" t="str">
        <f t="shared" si="4422"/>
        <v>237090000</v>
      </c>
      <c r="G12009" t="str">
        <f t="shared" si="4423"/>
        <v>1500 MAHONEY AVE</v>
      </c>
      <c r="H12009" t="str">
        <f t="shared" si="4424"/>
        <v>CODE 610 3</v>
      </c>
      <c r="I12009" t="str">
        <f t="shared" si="4420"/>
        <v>PORTSMOUTH</v>
      </c>
      <c r="J12009" t="str">
        <f t="shared" si="4417"/>
        <v>VA</v>
      </c>
      <c r="K12009" t="str">
        <f>T("7573964128")</f>
        <v>7573964128</v>
      </c>
      <c r="L12009" t="str">
        <f>T("7573963475")</f>
        <v>7573963475</v>
      </c>
    </row>
    <row r="12010" spans="1:12" x14ac:dyDescent="0.35">
      <c r="A12010" t="str">
        <f t="shared" si="4411"/>
        <v>NNSY</v>
      </c>
      <c r="B12010" t="str">
        <f t="shared" si="4412"/>
        <v>1500 MAHONEY AVE</v>
      </c>
      <c r="C12010" t="str">
        <f t="shared" si="4419"/>
        <v>CODE 610 3</v>
      </c>
      <c r="D12010" t="str">
        <f t="shared" si="4421"/>
        <v>PORTSMOUTH</v>
      </c>
      <c r="E12010" t="str">
        <f t="shared" si="4414"/>
        <v>VA</v>
      </c>
      <c r="F12010" t="str">
        <f t="shared" si="4422"/>
        <v>237090000</v>
      </c>
      <c r="G12010" t="str">
        <f>T("C610 3")</f>
        <v>C610 3</v>
      </c>
      <c r="H12010" t="str">
        <f>T("BLDG 1500 MAHONEY AVE")</f>
        <v>BLDG 1500 MAHONEY AVE</v>
      </c>
      <c r="I12010" t="str">
        <f t="shared" si="4420"/>
        <v>PORTSMOUTH</v>
      </c>
      <c r="J12010" t="str">
        <f t="shared" si="4417"/>
        <v>VA</v>
      </c>
      <c r="K12010" t="str">
        <f>T("000000000000000000")</f>
        <v>000000000000000000</v>
      </c>
      <c r="L12010" t="str">
        <f>T("7573963806")</f>
        <v>7573963806</v>
      </c>
    </row>
    <row r="12011" spans="1:12" x14ac:dyDescent="0.35">
      <c r="A12011" t="str">
        <f t="shared" si="4411"/>
        <v>NNSY</v>
      </c>
      <c r="B12011" t="str">
        <f t="shared" si="4412"/>
        <v>1500 MAHONEY AVE</v>
      </c>
      <c r="C12011" t="str">
        <f t="shared" si="4419"/>
        <v>CODE 610 3</v>
      </c>
      <c r="D12011" t="str">
        <f t="shared" si="4421"/>
        <v>PORTSMOUTH</v>
      </c>
      <c r="E12011" t="str">
        <f t="shared" si="4414"/>
        <v>VA</v>
      </c>
      <c r="F12011" t="str">
        <f t="shared" si="4422"/>
        <v>237090000</v>
      </c>
      <c r="G12011" t="str">
        <f>T("C610.3")</f>
        <v>C610.3</v>
      </c>
      <c r="H12011" t="str">
        <f>T("1500 MAHONEY AVE")</f>
        <v>1500 MAHONEY AVE</v>
      </c>
      <c r="I12011" t="str">
        <f t="shared" si="4420"/>
        <v>PORTSMOUTH</v>
      </c>
      <c r="J12011" t="str">
        <f t="shared" si="4417"/>
        <v>VA</v>
      </c>
      <c r="K12011" t="str">
        <f>T("7573961247")</f>
        <v>7573961247</v>
      </c>
      <c r="L12011" t="str">
        <f>T("7573967162")</f>
        <v>7573967162</v>
      </c>
    </row>
    <row r="12012" spans="1:12" x14ac:dyDescent="0.35">
      <c r="A12012" t="str">
        <f t="shared" si="4411"/>
        <v>NNSY</v>
      </c>
      <c r="B12012" t="str">
        <f t="shared" si="4412"/>
        <v>1500 MAHONEY AVE</v>
      </c>
      <c r="C12012" t="str">
        <f t="shared" si="4419"/>
        <v>CODE 610 3</v>
      </c>
      <c r="D12012" t="str">
        <f t="shared" si="4421"/>
        <v>PORTSMOUTH</v>
      </c>
      <c r="E12012" t="str">
        <f t="shared" si="4414"/>
        <v>VA</v>
      </c>
      <c r="F12012" t="str">
        <f t="shared" si="4422"/>
        <v>237090000</v>
      </c>
      <c r="G12012" t="str">
        <f>T("C610.3")</f>
        <v>C610.3</v>
      </c>
      <c r="H12012" t="str">
        <f>T("1500 MAHONEY AVE")</f>
        <v>1500 MAHONEY AVE</v>
      </c>
      <c r="I12012" t="str">
        <f t="shared" si="4420"/>
        <v>PORTSMOUTH</v>
      </c>
      <c r="J12012" t="str">
        <f t="shared" si="4417"/>
        <v>VA</v>
      </c>
      <c r="K12012" t="str">
        <f>T("7573961247")</f>
        <v>7573961247</v>
      </c>
      <c r="L12012" t="str">
        <f>T("7573968613")</f>
        <v>7573968613</v>
      </c>
    </row>
    <row r="12013" spans="1:12" x14ac:dyDescent="0.35">
      <c r="A12013" t="str">
        <f t="shared" si="4411"/>
        <v>NNSY</v>
      </c>
      <c r="B12013" t="str">
        <f t="shared" si="4412"/>
        <v>1500 MAHONEY AVE</v>
      </c>
      <c r="C12013" t="str">
        <f t="shared" si="4419"/>
        <v>CODE 610 3</v>
      </c>
      <c r="D12013" t="str">
        <f t="shared" si="4421"/>
        <v>PORTSMOUTH</v>
      </c>
      <c r="E12013" t="str">
        <f t="shared" si="4414"/>
        <v>VA</v>
      </c>
      <c r="F12013" t="str">
        <f t="shared" si="4422"/>
        <v>237090000</v>
      </c>
      <c r="G12013" t="str">
        <f>T("C612")</f>
        <v>C612</v>
      </c>
      <c r="H12013" t="str">
        <f>T("1500 MAHONEY AVE")</f>
        <v>1500 MAHONEY AVE</v>
      </c>
      <c r="I12013" t="str">
        <f t="shared" si="4420"/>
        <v>PORTSMOUTH</v>
      </c>
      <c r="J12013" t="str">
        <f t="shared" si="4417"/>
        <v>VA</v>
      </c>
      <c r="K12013" t="str">
        <f>T("7573961247")</f>
        <v>7573961247</v>
      </c>
      <c r="L12013" t="str">
        <f>T("7573967727")</f>
        <v>7573967727</v>
      </c>
    </row>
    <row r="12014" spans="1:12" x14ac:dyDescent="0.35">
      <c r="A12014" t="str">
        <f t="shared" si="4411"/>
        <v>NNSY</v>
      </c>
      <c r="B12014" t="str">
        <f t="shared" si="4412"/>
        <v>1500 MAHONEY AVE</v>
      </c>
      <c r="C12014" t="str">
        <f t="shared" si="4419"/>
        <v>CODE 610 3</v>
      </c>
      <c r="D12014" t="str">
        <f t="shared" si="4421"/>
        <v>PORTSMOUTH</v>
      </c>
      <c r="E12014" t="str">
        <f t="shared" si="4414"/>
        <v>VA</v>
      </c>
      <c r="F12014" t="str">
        <f t="shared" ref="F12014:F12019" si="4425">T("237095000")</f>
        <v>237095000</v>
      </c>
      <c r="G12014" t="str">
        <f>T("1500 MAHONEY AVE")</f>
        <v>1500 MAHONEY AVE</v>
      </c>
      <c r="H12014" t="str">
        <f>T("CODE 610 3")</f>
        <v>CODE 610 3</v>
      </c>
      <c r="I12014" t="str">
        <f t="shared" si="4420"/>
        <v>PORTSMOUTH</v>
      </c>
      <c r="J12014" t="str">
        <f t="shared" si="4417"/>
        <v>VA</v>
      </c>
      <c r="K12014" t="str">
        <f>T("7573961247")</f>
        <v>7573961247</v>
      </c>
      <c r="L12014" t="str">
        <f>T("2158973263")</f>
        <v>2158973263</v>
      </c>
    </row>
    <row r="12015" spans="1:12" x14ac:dyDescent="0.35">
      <c r="A12015" t="str">
        <f t="shared" si="4411"/>
        <v>NNSY</v>
      </c>
      <c r="B12015" t="str">
        <f t="shared" si="4412"/>
        <v>1500 MAHONEY AVE</v>
      </c>
      <c r="C12015" t="str">
        <f t="shared" si="4419"/>
        <v>CODE 610 3</v>
      </c>
      <c r="D12015" t="str">
        <f t="shared" si="4421"/>
        <v>PORTSMOUTH</v>
      </c>
      <c r="E12015" t="str">
        <f t="shared" si="4414"/>
        <v>VA</v>
      </c>
      <c r="F12015" t="str">
        <f t="shared" si="4425"/>
        <v>237095000</v>
      </c>
      <c r="G12015" t="str">
        <f>T("1500 MAHONEY AVE")</f>
        <v>1500 MAHONEY AVE</v>
      </c>
      <c r="H12015" t="str">
        <f>T("CODE 610.3")</f>
        <v>CODE 610.3</v>
      </c>
      <c r="I12015" t="str">
        <f t="shared" si="4420"/>
        <v>PORTSMOUTH</v>
      </c>
      <c r="J12015" t="str">
        <f t="shared" si="4417"/>
        <v>VA</v>
      </c>
      <c r="K12015" t="str">
        <f>T("000000000000000000")</f>
        <v>000000000000000000</v>
      </c>
      <c r="L12015" t="str">
        <f>T("2158972440")</f>
        <v>2158972440</v>
      </c>
    </row>
    <row r="12016" spans="1:12" x14ac:dyDescent="0.35">
      <c r="A12016" t="str">
        <f t="shared" si="4411"/>
        <v>NNSY</v>
      </c>
      <c r="B12016" t="str">
        <f t="shared" si="4412"/>
        <v>1500 MAHONEY AVE</v>
      </c>
      <c r="C12016" t="str">
        <f t="shared" si="4419"/>
        <v>CODE 610 3</v>
      </c>
      <c r="D12016" t="str">
        <f t="shared" si="4421"/>
        <v>PORTSMOUTH</v>
      </c>
      <c r="E12016" t="str">
        <f t="shared" si="4414"/>
        <v>VA</v>
      </c>
      <c r="F12016" t="str">
        <f t="shared" si="4425"/>
        <v>237095000</v>
      </c>
      <c r="G12016" t="str">
        <f>T("1500 MAHONEY AVE")</f>
        <v>1500 MAHONEY AVE</v>
      </c>
      <c r="H12016" t="str">
        <f>T("CODE 610.3")</f>
        <v>CODE 610.3</v>
      </c>
      <c r="I12016" t="str">
        <f t="shared" si="4420"/>
        <v>PORTSMOUTH</v>
      </c>
      <c r="J12016" t="str">
        <f t="shared" si="4417"/>
        <v>VA</v>
      </c>
      <c r="K12016" t="str">
        <f>T("7573961247")</f>
        <v>7573961247</v>
      </c>
      <c r="L12016" t="str">
        <f>T("2158971784")</f>
        <v>2158971784</v>
      </c>
    </row>
    <row r="12017" spans="1:12" x14ac:dyDescent="0.35">
      <c r="A12017" t="str">
        <f t="shared" si="4411"/>
        <v>NNSY</v>
      </c>
      <c r="B12017" t="str">
        <f t="shared" si="4412"/>
        <v>1500 MAHONEY AVE</v>
      </c>
      <c r="C12017" t="str">
        <f t="shared" si="4419"/>
        <v>CODE 610 3</v>
      </c>
      <c r="D12017" t="str">
        <f t="shared" si="4421"/>
        <v>PORTSMOUTH</v>
      </c>
      <c r="E12017" t="str">
        <f t="shared" si="4414"/>
        <v>VA</v>
      </c>
      <c r="F12017" t="str">
        <f t="shared" si="4425"/>
        <v>237095000</v>
      </c>
      <c r="G12017" t="str">
        <f>T("C610.3")</f>
        <v>C610.3</v>
      </c>
      <c r="H12017" t="str">
        <f>T("1500 MAHONEY AVE")</f>
        <v>1500 MAHONEY AVE</v>
      </c>
      <c r="I12017" t="str">
        <f t="shared" si="4420"/>
        <v>PORTSMOUTH</v>
      </c>
      <c r="J12017" t="str">
        <f t="shared" si="4417"/>
        <v>VA</v>
      </c>
      <c r="K12017" t="str">
        <f>T("7573961247")</f>
        <v>7573961247</v>
      </c>
      <c r="L12017" t="str">
        <f>T("2158973537")</f>
        <v>2158973537</v>
      </c>
    </row>
    <row r="12018" spans="1:12" x14ac:dyDescent="0.35">
      <c r="A12018" t="str">
        <f t="shared" si="4411"/>
        <v>NNSY</v>
      </c>
      <c r="B12018" t="str">
        <f t="shared" si="4412"/>
        <v>1500 MAHONEY AVE</v>
      </c>
      <c r="C12018" t="str">
        <f t="shared" si="4419"/>
        <v>CODE 610 3</v>
      </c>
      <c r="D12018" t="str">
        <f t="shared" si="4421"/>
        <v>PORTSMOUTH</v>
      </c>
      <c r="E12018" t="str">
        <f t="shared" si="4414"/>
        <v>VA</v>
      </c>
      <c r="F12018" t="str">
        <f t="shared" si="4425"/>
        <v>237095000</v>
      </c>
      <c r="G12018" t="str">
        <f>T("C610.3")</f>
        <v>C610.3</v>
      </c>
      <c r="H12018" t="str">
        <f>T("1500 MAHONEY AVE")</f>
        <v>1500 MAHONEY AVE</v>
      </c>
      <c r="I12018" t="str">
        <f t="shared" si="4420"/>
        <v>PORTSMOUTH</v>
      </c>
      <c r="J12018" t="str">
        <f t="shared" si="4417"/>
        <v>VA</v>
      </c>
      <c r="K12018" t="str">
        <f>T("7573961247")</f>
        <v>7573961247</v>
      </c>
      <c r="L12018" t="str">
        <f>T("2158974462")</f>
        <v>2158974462</v>
      </c>
    </row>
    <row r="12019" spans="1:12" x14ac:dyDescent="0.35">
      <c r="A12019" t="str">
        <f t="shared" si="4411"/>
        <v>NNSY</v>
      </c>
      <c r="B12019" t="str">
        <f t="shared" si="4412"/>
        <v>1500 MAHONEY AVE</v>
      </c>
      <c r="C12019" t="str">
        <f t="shared" si="4419"/>
        <v>CODE 610 3</v>
      </c>
      <c r="D12019" t="str">
        <f t="shared" si="4421"/>
        <v>PORTSMOUTH</v>
      </c>
      <c r="E12019" t="str">
        <f t="shared" si="4414"/>
        <v>VA</v>
      </c>
      <c r="F12019" t="str">
        <f t="shared" si="4425"/>
        <v>237095000</v>
      </c>
      <c r="G12019" t="str">
        <f>T("C610.3")</f>
        <v>C610.3</v>
      </c>
      <c r="H12019" t="str">
        <f>T("1500 MAHONEY AVE")</f>
        <v>1500 MAHONEY AVE</v>
      </c>
      <c r="I12019" t="str">
        <f t="shared" si="4420"/>
        <v>PORTSMOUTH</v>
      </c>
      <c r="J12019" t="str">
        <f t="shared" si="4417"/>
        <v>VA</v>
      </c>
      <c r="K12019" t="str">
        <f>T("7573964128")</f>
        <v>7573964128</v>
      </c>
      <c r="L12019" t="str">
        <f>T("2158972802")</f>
        <v>2158972802</v>
      </c>
    </row>
    <row r="12020" spans="1:12" x14ac:dyDescent="0.35">
      <c r="A12020" t="str">
        <f t="shared" si="4411"/>
        <v>NNSY</v>
      </c>
      <c r="B12020" t="str">
        <f t="shared" si="4412"/>
        <v>1500 MAHONEY AVE</v>
      </c>
      <c r="C12020" t="str">
        <f t="shared" ref="C12020:C12044" si="4426">T("CODE 610.3")</f>
        <v>CODE 610.3</v>
      </c>
      <c r="D12020" t="str">
        <f t="shared" si="4421"/>
        <v>PORTSMOUTH</v>
      </c>
      <c r="E12020" t="str">
        <f t="shared" si="4414"/>
        <v>VA</v>
      </c>
      <c r="F12020" t="str">
        <f t="shared" ref="F12020:F12027" si="4427">T("237090000")</f>
        <v>237090000</v>
      </c>
      <c r="G12020" t="str">
        <f>T("1500 MAHONEY AVE")</f>
        <v>1500 MAHONEY AVE</v>
      </c>
      <c r="H12020" t="str">
        <f>T("CODE 610.3")</f>
        <v>CODE 610.3</v>
      </c>
      <c r="I12020" t="str">
        <f t="shared" si="4420"/>
        <v>PORTSMOUTH</v>
      </c>
      <c r="J12020" t="str">
        <f t="shared" si="4417"/>
        <v>VA</v>
      </c>
      <c r="K12020" t="str">
        <f>T("")</f>
        <v/>
      </c>
      <c r="L12020" t="str">
        <f>T("7573969131")</f>
        <v>7573969131</v>
      </c>
    </row>
    <row r="12021" spans="1:12" x14ac:dyDescent="0.35">
      <c r="A12021" t="str">
        <f t="shared" si="4411"/>
        <v>NNSY</v>
      </c>
      <c r="B12021" t="str">
        <f t="shared" si="4412"/>
        <v>1500 MAHONEY AVE</v>
      </c>
      <c r="C12021" t="str">
        <f t="shared" si="4426"/>
        <v>CODE 610.3</v>
      </c>
      <c r="D12021" t="str">
        <f t="shared" si="4421"/>
        <v>PORTSMOUTH</v>
      </c>
      <c r="E12021" t="str">
        <f t="shared" si="4414"/>
        <v>VA</v>
      </c>
      <c r="F12021" t="str">
        <f t="shared" si="4427"/>
        <v>237090000</v>
      </c>
      <c r="G12021" t="str">
        <f>T("1500 MAHONEY AVE")</f>
        <v>1500 MAHONEY AVE</v>
      </c>
      <c r="H12021" t="str">
        <f>T("CODE 610.3")</f>
        <v>CODE 610.3</v>
      </c>
      <c r="I12021" t="str">
        <f t="shared" si="4420"/>
        <v>PORTSMOUTH</v>
      </c>
      <c r="J12021" t="str">
        <f t="shared" si="4417"/>
        <v>VA</v>
      </c>
      <c r="K12021" t="str">
        <f>T("000000000000000000")</f>
        <v>000000000000000000</v>
      </c>
      <c r="L12021" t="str">
        <f>T("7573964677")</f>
        <v>7573964677</v>
      </c>
    </row>
    <row r="12022" spans="1:12" x14ac:dyDescent="0.35">
      <c r="A12022" t="str">
        <f t="shared" si="4411"/>
        <v>NNSY</v>
      </c>
      <c r="B12022" t="str">
        <f t="shared" si="4412"/>
        <v>1500 MAHONEY AVE</v>
      </c>
      <c r="C12022" t="str">
        <f t="shared" si="4426"/>
        <v>CODE 610.3</v>
      </c>
      <c r="D12022" t="str">
        <f t="shared" si="4421"/>
        <v>PORTSMOUTH</v>
      </c>
      <c r="E12022" t="str">
        <f t="shared" si="4414"/>
        <v>VA</v>
      </c>
      <c r="F12022" t="str">
        <f t="shared" si="4427"/>
        <v>237090000</v>
      </c>
      <c r="G12022" t="str">
        <f>T("1500 MAHONEY AVE")</f>
        <v>1500 MAHONEY AVE</v>
      </c>
      <c r="H12022" t="str">
        <f>T("CODE 610.3")</f>
        <v>CODE 610.3</v>
      </c>
      <c r="I12022" t="str">
        <f t="shared" si="4420"/>
        <v>PORTSMOUTH</v>
      </c>
      <c r="J12022" t="str">
        <f t="shared" si="4417"/>
        <v>VA</v>
      </c>
      <c r="K12022" t="str">
        <f>T("000000000000000000")</f>
        <v>000000000000000000</v>
      </c>
      <c r="L12022" t="str">
        <f>T("7573965803")</f>
        <v>7573965803</v>
      </c>
    </row>
    <row r="12023" spans="1:12" x14ac:dyDescent="0.35">
      <c r="A12023" t="str">
        <f t="shared" ref="A12023:A12051" si="4428">T("NNSY")</f>
        <v>NNSY</v>
      </c>
      <c r="B12023" t="str">
        <f t="shared" ref="B12023:B12044" si="4429">T("1500 MAHONEY AVE")</f>
        <v>1500 MAHONEY AVE</v>
      </c>
      <c r="C12023" t="str">
        <f t="shared" si="4426"/>
        <v>CODE 610.3</v>
      </c>
      <c r="D12023" t="str">
        <f t="shared" si="4421"/>
        <v>PORTSMOUTH</v>
      </c>
      <c r="E12023" t="str">
        <f t="shared" ref="E12023:E12054" si="4430">T("VA")</f>
        <v>VA</v>
      </c>
      <c r="F12023" t="str">
        <f t="shared" si="4427"/>
        <v>237090000</v>
      </c>
      <c r="G12023" t="str">
        <f>T("1500 MAHONEY AVE")</f>
        <v>1500 MAHONEY AVE</v>
      </c>
      <c r="H12023" t="str">
        <f>T("CODE 610.3")</f>
        <v>CODE 610.3</v>
      </c>
      <c r="I12023" t="str">
        <f t="shared" si="4420"/>
        <v>PORTSMOUTH</v>
      </c>
      <c r="J12023" t="str">
        <f t="shared" ref="J12023:J12054" si="4431">T("VA")</f>
        <v>VA</v>
      </c>
      <c r="K12023" t="str">
        <f t="shared" ref="K12023:K12030" si="4432">T("7573961247")</f>
        <v>7573961247</v>
      </c>
      <c r="L12023" t="str">
        <f>T("7573960722")</f>
        <v>7573960722</v>
      </c>
    </row>
    <row r="12024" spans="1:12" x14ac:dyDescent="0.35">
      <c r="A12024" t="str">
        <f t="shared" si="4428"/>
        <v>NNSY</v>
      </c>
      <c r="B12024" t="str">
        <f t="shared" si="4429"/>
        <v>1500 MAHONEY AVE</v>
      </c>
      <c r="C12024" t="str">
        <f t="shared" si="4426"/>
        <v>CODE 610.3</v>
      </c>
      <c r="D12024" t="str">
        <f t="shared" si="4421"/>
        <v>PORTSMOUTH</v>
      </c>
      <c r="E12024" t="str">
        <f t="shared" si="4430"/>
        <v>VA</v>
      </c>
      <c r="F12024" t="str">
        <f t="shared" si="4427"/>
        <v>237090000</v>
      </c>
      <c r="G12024" t="str">
        <f>T("1500 MAHONEY AVE")</f>
        <v>1500 MAHONEY AVE</v>
      </c>
      <c r="H12024" t="str">
        <f>T("CODE 610.3")</f>
        <v>CODE 610.3</v>
      </c>
      <c r="I12024" t="str">
        <f t="shared" si="4420"/>
        <v>PORTSMOUTH</v>
      </c>
      <c r="J12024" t="str">
        <f t="shared" si="4431"/>
        <v>VA</v>
      </c>
      <c r="K12024" t="str">
        <f t="shared" si="4432"/>
        <v>7573961247</v>
      </c>
      <c r="L12024" t="str">
        <f>T("7573969904")</f>
        <v>7573969904</v>
      </c>
    </row>
    <row r="12025" spans="1:12" x14ac:dyDescent="0.35">
      <c r="A12025" t="str">
        <f t="shared" si="4428"/>
        <v>NNSY</v>
      </c>
      <c r="B12025" t="str">
        <f t="shared" si="4429"/>
        <v>1500 MAHONEY AVE</v>
      </c>
      <c r="C12025" t="str">
        <f t="shared" si="4426"/>
        <v>CODE 610.3</v>
      </c>
      <c r="D12025" t="str">
        <f t="shared" si="4421"/>
        <v>PORTSMOUTH</v>
      </c>
      <c r="E12025" t="str">
        <f t="shared" si="4430"/>
        <v>VA</v>
      </c>
      <c r="F12025" t="str">
        <f t="shared" si="4427"/>
        <v>237090000</v>
      </c>
      <c r="G12025" t="str">
        <f>T("C610.3")</f>
        <v>C610.3</v>
      </c>
      <c r="H12025" t="str">
        <f>T("1500 MAHONEY AVE")</f>
        <v>1500 MAHONEY AVE</v>
      </c>
      <c r="I12025" t="str">
        <f t="shared" si="4420"/>
        <v>PORTSMOUTH</v>
      </c>
      <c r="J12025" t="str">
        <f t="shared" si="4431"/>
        <v>VA</v>
      </c>
      <c r="K12025" t="str">
        <f t="shared" si="4432"/>
        <v>7573961247</v>
      </c>
      <c r="L12025" t="str">
        <f>T("7573960359")</f>
        <v>7573960359</v>
      </c>
    </row>
    <row r="12026" spans="1:12" x14ac:dyDescent="0.35">
      <c r="A12026" t="str">
        <f t="shared" si="4428"/>
        <v>NNSY</v>
      </c>
      <c r="B12026" t="str">
        <f t="shared" si="4429"/>
        <v>1500 MAHONEY AVE</v>
      </c>
      <c r="C12026" t="str">
        <f t="shared" si="4426"/>
        <v>CODE 610.3</v>
      </c>
      <c r="D12026" t="str">
        <f t="shared" si="4421"/>
        <v>PORTSMOUTH</v>
      </c>
      <c r="E12026" t="str">
        <f t="shared" si="4430"/>
        <v>VA</v>
      </c>
      <c r="F12026" t="str">
        <f t="shared" si="4427"/>
        <v>237090000</v>
      </c>
      <c r="G12026" t="str">
        <f>T("C610.3")</f>
        <v>C610.3</v>
      </c>
      <c r="H12026" t="str">
        <f>T("1500 MAHONEY AVE")</f>
        <v>1500 MAHONEY AVE</v>
      </c>
      <c r="I12026" t="str">
        <f t="shared" si="4420"/>
        <v>PORTSMOUTH</v>
      </c>
      <c r="J12026" t="str">
        <f t="shared" si="4431"/>
        <v>VA</v>
      </c>
      <c r="K12026" t="str">
        <f t="shared" si="4432"/>
        <v>7573961247</v>
      </c>
      <c r="L12026" t="str">
        <f>T("7573960516")</f>
        <v>7573960516</v>
      </c>
    </row>
    <row r="12027" spans="1:12" x14ac:dyDescent="0.35">
      <c r="A12027" t="str">
        <f t="shared" si="4428"/>
        <v>NNSY</v>
      </c>
      <c r="B12027" t="str">
        <f t="shared" si="4429"/>
        <v>1500 MAHONEY AVE</v>
      </c>
      <c r="C12027" t="str">
        <f t="shared" si="4426"/>
        <v>CODE 610.3</v>
      </c>
      <c r="D12027" t="str">
        <f t="shared" si="4421"/>
        <v>PORTSMOUTH</v>
      </c>
      <c r="E12027" t="str">
        <f t="shared" si="4430"/>
        <v>VA</v>
      </c>
      <c r="F12027" t="str">
        <f t="shared" si="4427"/>
        <v>237090000</v>
      </c>
      <c r="G12027" t="str">
        <f>T("C610.3")</f>
        <v>C610.3</v>
      </c>
      <c r="H12027" t="str">
        <f>T("1500 MAHONEY AVE")</f>
        <v>1500 MAHONEY AVE</v>
      </c>
      <c r="I12027" t="str">
        <f t="shared" si="4420"/>
        <v>PORTSMOUTH</v>
      </c>
      <c r="J12027" t="str">
        <f t="shared" si="4431"/>
        <v>VA</v>
      </c>
      <c r="K12027" t="str">
        <f t="shared" si="4432"/>
        <v>7573961247</v>
      </c>
      <c r="L12027" t="str">
        <f>T("7573960557")</f>
        <v>7573960557</v>
      </c>
    </row>
    <row r="12028" spans="1:12" x14ac:dyDescent="0.35">
      <c r="A12028" t="str">
        <f t="shared" si="4428"/>
        <v>NNSY</v>
      </c>
      <c r="B12028" t="str">
        <f t="shared" si="4429"/>
        <v>1500 MAHONEY AVE</v>
      </c>
      <c r="C12028" t="str">
        <f t="shared" si="4426"/>
        <v>CODE 610.3</v>
      </c>
      <c r="D12028" t="str">
        <f t="shared" si="4421"/>
        <v>PORTSMOUTH</v>
      </c>
      <c r="E12028" t="str">
        <f t="shared" si="4430"/>
        <v>VA</v>
      </c>
      <c r="F12028" t="str">
        <f t="shared" ref="F12028:F12044" si="4433">T("237095000")</f>
        <v>237095000</v>
      </c>
      <c r="G12028" t="str">
        <f t="shared" ref="G12028:G12038" si="4434">T("1500 MAHONEY AVE")</f>
        <v>1500 MAHONEY AVE</v>
      </c>
      <c r="H12028" t="str">
        <f>T("2ND FL CODE 610 3")</f>
        <v>2ND FL CODE 610 3</v>
      </c>
      <c r="I12028" t="str">
        <f t="shared" si="4420"/>
        <v>PORTSMOUTH</v>
      </c>
      <c r="J12028" t="str">
        <f t="shared" si="4431"/>
        <v>VA</v>
      </c>
      <c r="K12028" t="str">
        <f t="shared" si="4432"/>
        <v>7573961247</v>
      </c>
      <c r="L12028" t="str">
        <f>T("7573965400")</f>
        <v>7573965400</v>
      </c>
    </row>
    <row r="12029" spans="1:12" x14ac:dyDescent="0.35">
      <c r="A12029" t="str">
        <f t="shared" si="4428"/>
        <v>NNSY</v>
      </c>
      <c r="B12029" t="str">
        <f t="shared" si="4429"/>
        <v>1500 MAHONEY AVE</v>
      </c>
      <c r="C12029" t="str">
        <f t="shared" si="4426"/>
        <v>CODE 610.3</v>
      </c>
      <c r="D12029" t="str">
        <f t="shared" si="4421"/>
        <v>PORTSMOUTH</v>
      </c>
      <c r="E12029" t="str">
        <f t="shared" si="4430"/>
        <v>VA</v>
      </c>
      <c r="F12029" t="str">
        <f t="shared" si="4433"/>
        <v>237095000</v>
      </c>
      <c r="G12029" t="str">
        <f t="shared" si="4434"/>
        <v>1500 MAHONEY AVE</v>
      </c>
      <c r="H12029" t="str">
        <f>T("C610.3")</f>
        <v>C610.3</v>
      </c>
      <c r="I12029" t="str">
        <f t="shared" si="4420"/>
        <v>PORTSMOUTH</v>
      </c>
      <c r="J12029" t="str">
        <f t="shared" si="4431"/>
        <v>VA</v>
      </c>
      <c r="K12029" t="str">
        <f t="shared" si="4432"/>
        <v>7573961247</v>
      </c>
      <c r="L12029" t="str">
        <f>T("7573968683")</f>
        <v>7573968683</v>
      </c>
    </row>
    <row r="12030" spans="1:12" x14ac:dyDescent="0.35">
      <c r="A12030" t="str">
        <f t="shared" si="4428"/>
        <v>NNSY</v>
      </c>
      <c r="B12030" t="str">
        <f t="shared" si="4429"/>
        <v>1500 MAHONEY AVE</v>
      </c>
      <c r="C12030" t="str">
        <f t="shared" si="4426"/>
        <v>CODE 610.3</v>
      </c>
      <c r="D12030" t="str">
        <f t="shared" si="4421"/>
        <v>PORTSMOUTH</v>
      </c>
      <c r="E12030" t="str">
        <f t="shared" si="4430"/>
        <v>VA</v>
      </c>
      <c r="F12030" t="str">
        <f t="shared" si="4433"/>
        <v>237095000</v>
      </c>
      <c r="G12030" t="str">
        <f t="shared" si="4434"/>
        <v>1500 MAHONEY AVE</v>
      </c>
      <c r="H12030" t="str">
        <f>T("C610.3")</f>
        <v>C610.3</v>
      </c>
      <c r="I12030" t="str">
        <f t="shared" si="4420"/>
        <v>PORTSMOUTH</v>
      </c>
      <c r="J12030" t="str">
        <f t="shared" si="4431"/>
        <v>VA</v>
      </c>
      <c r="K12030" t="str">
        <f t="shared" si="4432"/>
        <v>7573961247</v>
      </c>
      <c r="L12030" t="str">
        <f>T("7573969712")</f>
        <v>7573969712</v>
      </c>
    </row>
    <row r="12031" spans="1:12" x14ac:dyDescent="0.35">
      <c r="A12031" t="str">
        <f t="shared" si="4428"/>
        <v>NNSY</v>
      </c>
      <c r="B12031" t="str">
        <f t="shared" si="4429"/>
        <v>1500 MAHONEY AVE</v>
      </c>
      <c r="C12031" t="str">
        <f t="shared" si="4426"/>
        <v>CODE 610.3</v>
      </c>
      <c r="D12031" t="str">
        <f t="shared" si="4421"/>
        <v>PORTSMOUTH</v>
      </c>
      <c r="E12031" t="str">
        <f t="shared" si="4430"/>
        <v>VA</v>
      </c>
      <c r="F12031" t="str">
        <f t="shared" si="4433"/>
        <v>237095000</v>
      </c>
      <c r="G12031" t="str">
        <f t="shared" si="4434"/>
        <v>1500 MAHONEY AVE</v>
      </c>
      <c r="H12031" t="str">
        <f t="shared" ref="H12031:H12037" si="4435">T("CODE 610.3")</f>
        <v>CODE 610.3</v>
      </c>
      <c r="I12031" t="str">
        <f t="shared" ref="I12031:I12051" si="4436">T("PORTSMOUTH")</f>
        <v>PORTSMOUTH</v>
      </c>
      <c r="J12031" t="str">
        <f t="shared" si="4431"/>
        <v>VA</v>
      </c>
      <c r="K12031" t="str">
        <f>T("757-396-1247")</f>
        <v>757-396-1247</v>
      </c>
      <c r="L12031" t="str">
        <f>T("7573960936")</f>
        <v>7573960936</v>
      </c>
    </row>
    <row r="12032" spans="1:12" x14ac:dyDescent="0.35">
      <c r="A12032" t="str">
        <f t="shared" si="4428"/>
        <v>NNSY</v>
      </c>
      <c r="B12032" t="str">
        <f t="shared" si="4429"/>
        <v>1500 MAHONEY AVE</v>
      </c>
      <c r="C12032" t="str">
        <f t="shared" si="4426"/>
        <v>CODE 610.3</v>
      </c>
      <c r="D12032" t="str">
        <f t="shared" ref="D12032:D12051" si="4437">T("PORTSMOUTH")</f>
        <v>PORTSMOUTH</v>
      </c>
      <c r="E12032" t="str">
        <f t="shared" si="4430"/>
        <v>VA</v>
      </c>
      <c r="F12032" t="str">
        <f t="shared" si="4433"/>
        <v>237095000</v>
      </c>
      <c r="G12032" t="str">
        <f t="shared" si="4434"/>
        <v>1500 MAHONEY AVE</v>
      </c>
      <c r="H12032" t="str">
        <f t="shared" si="4435"/>
        <v>CODE 610.3</v>
      </c>
      <c r="I12032" t="str">
        <f t="shared" si="4436"/>
        <v>PORTSMOUTH</v>
      </c>
      <c r="J12032" t="str">
        <f t="shared" si="4431"/>
        <v>VA</v>
      </c>
      <c r="K12032" t="str">
        <f t="shared" ref="K12032:K12037" si="4438">T("7573961247")</f>
        <v>7573961247</v>
      </c>
      <c r="L12032" t="str">
        <f>T("1111111111")</f>
        <v>1111111111</v>
      </c>
    </row>
    <row r="12033" spans="1:12" x14ac:dyDescent="0.35">
      <c r="A12033" t="str">
        <f t="shared" si="4428"/>
        <v>NNSY</v>
      </c>
      <c r="B12033" t="str">
        <f t="shared" si="4429"/>
        <v>1500 MAHONEY AVE</v>
      </c>
      <c r="C12033" t="str">
        <f t="shared" si="4426"/>
        <v>CODE 610.3</v>
      </c>
      <c r="D12033" t="str">
        <f t="shared" si="4437"/>
        <v>PORTSMOUTH</v>
      </c>
      <c r="E12033" t="str">
        <f t="shared" si="4430"/>
        <v>VA</v>
      </c>
      <c r="F12033" t="str">
        <f t="shared" si="4433"/>
        <v>237095000</v>
      </c>
      <c r="G12033" t="str">
        <f t="shared" si="4434"/>
        <v>1500 MAHONEY AVE</v>
      </c>
      <c r="H12033" t="str">
        <f t="shared" si="4435"/>
        <v>CODE 610.3</v>
      </c>
      <c r="I12033" t="str">
        <f t="shared" si="4436"/>
        <v>PORTSMOUTH</v>
      </c>
      <c r="J12033" t="str">
        <f t="shared" si="4431"/>
        <v>VA</v>
      </c>
      <c r="K12033" t="str">
        <f t="shared" si="4438"/>
        <v>7573961247</v>
      </c>
      <c r="L12033" t="str">
        <f>T("7573960900")</f>
        <v>7573960900</v>
      </c>
    </row>
    <row r="12034" spans="1:12" x14ac:dyDescent="0.35">
      <c r="A12034" t="str">
        <f t="shared" si="4428"/>
        <v>NNSY</v>
      </c>
      <c r="B12034" t="str">
        <f t="shared" si="4429"/>
        <v>1500 MAHONEY AVE</v>
      </c>
      <c r="C12034" t="str">
        <f t="shared" si="4426"/>
        <v>CODE 610.3</v>
      </c>
      <c r="D12034" t="str">
        <f t="shared" si="4437"/>
        <v>PORTSMOUTH</v>
      </c>
      <c r="E12034" t="str">
        <f t="shared" si="4430"/>
        <v>VA</v>
      </c>
      <c r="F12034" t="str">
        <f t="shared" si="4433"/>
        <v>237095000</v>
      </c>
      <c r="G12034" t="str">
        <f t="shared" si="4434"/>
        <v>1500 MAHONEY AVE</v>
      </c>
      <c r="H12034" t="str">
        <f t="shared" si="4435"/>
        <v>CODE 610.3</v>
      </c>
      <c r="I12034" t="str">
        <f t="shared" si="4436"/>
        <v>PORTSMOUTH</v>
      </c>
      <c r="J12034" t="str">
        <f t="shared" si="4431"/>
        <v>VA</v>
      </c>
      <c r="K12034" t="str">
        <f t="shared" si="4438"/>
        <v>7573961247</v>
      </c>
      <c r="L12034" t="str">
        <f>T("7573962674")</f>
        <v>7573962674</v>
      </c>
    </row>
    <row r="12035" spans="1:12" x14ac:dyDescent="0.35">
      <c r="A12035" t="str">
        <f t="shared" si="4428"/>
        <v>NNSY</v>
      </c>
      <c r="B12035" t="str">
        <f t="shared" si="4429"/>
        <v>1500 MAHONEY AVE</v>
      </c>
      <c r="C12035" t="str">
        <f t="shared" si="4426"/>
        <v>CODE 610.3</v>
      </c>
      <c r="D12035" t="str">
        <f t="shared" si="4437"/>
        <v>PORTSMOUTH</v>
      </c>
      <c r="E12035" t="str">
        <f t="shared" si="4430"/>
        <v>VA</v>
      </c>
      <c r="F12035" t="str">
        <f t="shared" si="4433"/>
        <v>237095000</v>
      </c>
      <c r="G12035" t="str">
        <f t="shared" si="4434"/>
        <v>1500 MAHONEY AVE</v>
      </c>
      <c r="H12035" t="str">
        <f t="shared" si="4435"/>
        <v>CODE 610.3</v>
      </c>
      <c r="I12035" t="str">
        <f t="shared" si="4436"/>
        <v>PORTSMOUTH</v>
      </c>
      <c r="J12035" t="str">
        <f t="shared" si="4431"/>
        <v>VA</v>
      </c>
      <c r="K12035" t="str">
        <f t="shared" si="4438"/>
        <v>7573961247</v>
      </c>
      <c r="L12035" t="str">
        <f>T("7573964623")</f>
        <v>7573964623</v>
      </c>
    </row>
    <row r="12036" spans="1:12" x14ac:dyDescent="0.35">
      <c r="A12036" t="str">
        <f t="shared" si="4428"/>
        <v>NNSY</v>
      </c>
      <c r="B12036" t="str">
        <f t="shared" si="4429"/>
        <v>1500 MAHONEY AVE</v>
      </c>
      <c r="C12036" t="str">
        <f t="shared" si="4426"/>
        <v>CODE 610.3</v>
      </c>
      <c r="D12036" t="str">
        <f t="shared" si="4437"/>
        <v>PORTSMOUTH</v>
      </c>
      <c r="E12036" t="str">
        <f t="shared" si="4430"/>
        <v>VA</v>
      </c>
      <c r="F12036" t="str">
        <f t="shared" si="4433"/>
        <v>237095000</v>
      </c>
      <c r="G12036" t="str">
        <f t="shared" si="4434"/>
        <v>1500 MAHONEY AVE</v>
      </c>
      <c r="H12036" t="str">
        <f t="shared" si="4435"/>
        <v>CODE 610.3</v>
      </c>
      <c r="I12036" t="str">
        <f t="shared" si="4436"/>
        <v>PORTSMOUTH</v>
      </c>
      <c r="J12036" t="str">
        <f t="shared" si="4431"/>
        <v>VA</v>
      </c>
      <c r="K12036" t="str">
        <f t="shared" si="4438"/>
        <v>7573961247</v>
      </c>
      <c r="L12036" t="str">
        <f>T("8437647338")</f>
        <v>8437647338</v>
      </c>
    </row>
    <row r="12037" spans="1:12" x14ac:dyDescent="0.35">
      <c r="A12037" t="str">
        <f t="shared" si="4428"/>
        <v>NNSY</v>
      </c>
      <c r="B12037" t="str">
        <f t="shared" si="4429"/>
        <v>1500 MAHONEY AVE</v>
      </c>
      <c r="C12037" t="str">
        <f t="shared" si="4426"/>
        <v>CODE 610.3</v>
      </c>
      <c r="D12037" t="str">
        <f t="shared" si="4437"/>
        <v>PORTSMOUTH</v>
      </c>
      <c r="E12037" t="str">
        <f t="shared" si="4430"/>
        <v>VA</v>
      </c>
      <c r="F12037" t="str">
        <f t="shared" si="4433"/>
        <v>237095000</v>
      </c>
      <c r="G12037" t="str">
        <f t="shared" si="4434"/>
        <v>1500 MAHONEY AVE</v>
      </c>
      <c r="H12037" t="str">
        <f t="shared" si="4435"/>
        <v>CODE 610.3</v>
      </c>
      <c r="I12037" t="str">
        <f t="shared" si="4436"/>
        <v>PORTSMOUTH</v>
      </c>
      <c r="J12037" t="str">
        <f t="shared" si="4431"/>
        <v>VA</v>
      </c>
      <c r="K12037" t="str">
        <f t="shared" si="4438"/>
        <v>7573961247</v>
      </c>
      <c r="L12037" t="str">
        <f>T("8437947270")</f>
        <v>8437947270</v>
      </c>
    </row>
    <row r="12038" spans="1:12" x14ac:dyDescent="0.35">
      <c r="A12038" t="str">
        <f t="shared" si="4428"/>
        <v>NNSY</v>
      </c>
      <c r="B12038" t="str">
        <f t="shared" si="4429"/>
        <v>1500 MAHONEY AVE</v>
      </c>
      <c r="C12038" t="str">
        <f t="shared" si="4426"/>
        <v>CODE 610.3</v>
      </c>
      <c r="D12038" t="str">
        <f t="shared" si="4437"/>
        <v>PORTSMOUTH</v>
      </c>
      <c r="E12038" t="str">
        <f t="shared" si="4430"/>
        <v>VA</v>
      </c>
      <c r="F12038" t="str">
        <f t="shared" si="4433"/>
        <v>237095000</v>
      </c>
      <c r="G12038" t="str">
        <f t="shared" si="4434"/>
        <v>1500 MAHONEY AVE</v>
      </c>
      <c r="H12038" t="str">
        <f>T("CODE 6103")</f>
        <v>CODE 6103</v>
      </c>
      <c r="I12038" t="str">
        <f t="shared" si="4436"/>
        <v>PORTSMOUTH</v>
      </c>
      <c r="J12038" t="str">
        <f t="shared" si="4431"/>
        <v>VA</v>
      </c>
      <c r="K12038" t="str">
        <f>T("000000000000000000")</f>
        <v>000000000000000000</v>
      </c>
      <c r="L12038" t="str">
        <f>T("7573968798")</f>
        <v>7573968798</v>
      </c>
    </row>
    <row r="12039" spans="1:12" x14ac:dyDescent="0.35">
      <c r="A12039" t="str">
        <f t="shared" si="4428"/>
        <v>NNSY</v>
      </c>
      <c r="B12039" t="str">
        <f t="shared" si="4429"/>
        <v>1500 MAHONEY AVE</v>
      </c>
      <c r="C12039" t="str">
        <f t="shared" si="4426"/>
        <v>CODE 610.3</v>
      </c>
      <c r="D12039" t="str">
        <f t="shared" si="4437"/>
        <v>PORTSMOUTH</v>
      </c>
      <c r="E12039" t="str">
        <f t="shared" si="4430"/>
        <v>VA</v>
      </c>
      <c r="F12039" t="str">
        <f t="shared" si="4433"/>
        <v>237095000</v>
      </c>
      <c r="G12039" t="str">
        <f>T("C2305.6")</f>
        <v>C2305.6</v>
      </c>
      <c r="H12039" t="str">
        <f t="shared" ref="H12039:H12047" si="4439">T("1500 MAHONEY AVE")</f>
        <v>1500 MAHONEY AVE</v>
      </c>
      <c r="I12039" t="str">
        <f t="shared" si="4436"/>
        <v>PORTSMOUTH</v>
      </c>
      <c r="J12039" t="str">
        <f t="shared" si="4431"/>
        <v>VA</v>
      </c>
      <c r="K12039" t="str">
        <f>T("000000000000000000")</f>
        <v>000000000000000000</v>
      </c>
      <c r="L12039" t="str">
        <f>T("7573962676")</f>
        <v>7573962676</v>
      </c>
    </row>
    <row r="12040" spans="1:12" x14ac:dyDescent="0.35">
      <c r="A12040" t="str">
        <f t="shared" si="4428"/>
        <v>NNSY</v>
      </c>
      <c r="B12040" t="str">
        <f t="shared" si="4429"/>
        <v>1500 MAHONEY AVE</v>
      </c>
      <c r="C12040" t="str">
        <f t="shared" si="4426"/>
        <v>CODE 610.3</v>
      </c>
      <c r="D12040" t="str">
        <f t="shared" si="4437"/>
        <v>PORTSMOUTH</v>
      </c>
      <c r="E12040" t="str">
        <f t="shared" si="4430"/>
        <v>VA</v>
      </c>
      <c r="F12040" t="str">
        <f t="shared" si="4433"/>
        <v>237095000</v>
      </c>
      <c r="G12040" t="str">
        <f>T("C610.3")</f>
        <v>C610.3</v>
      </c>
      <c r="H12040" t="str">
        <f t="shared" si="4439"/>
        <v>1500 MAHONEY AVE</v>
      </c>
      <c r="I12040" t="str">
        <f t="shared" si="4436"/>
        <v>PORTSMOUTH</v>
      </c>
      <c r="J12040" t="str">
        <f t="shared" si="4431"/>
        <v>VA</v>
      </c>
      <c r="K12040" t="str">
        <f>T("7573961247")</f>
        <v>7573961247</v>
      </c>
      <c r="L12040" t="str">
        <f>T("7573965400")</f>
        <v>7573965400</v>
      </c>
    </row>
    <row r="12041" spans="1:12" x14ac:dyDescent="0.35">
      <c r="A12041" t="str">
        <f t="shared" si="4428"/>
        <v>NNSY</v>
      </c>
      <c r="B12041" t="str">
        <f t="shared" si="4429"/>
        <v>1500 MAHONEY AVE</v>
      </c>
      <c r="C12041" t="str">
        <f t="shared" si="4426"/>
        <v>CODE 610.3</v>
      </c>
      <c r="D12041" t="str">
        <f t="shared" si="4437"/>
        <v>PORTSMOUTH</v>
      </c>
      <c r="E12041" t="str">
        <f t="shared" si="4430"/>
        <v>VA</v>
      </c>
      <c r="F12041" t="str">
        <f t="shared" si="4433"/>
        <v>237095000</v>
      </c>
      <c r="G12041" t="str">
        <f>T("C610.3")</f>
        <v>C610.3</v>
      </c>
      <c r="H12041" t="str">
        <f t="shared" si="4439"/>
        <v>1500 MAHONEY AVE</v>
      </c>
      <c r="I12041" t="str">
        <f t="shared" si="4436"/>
        <v>PORTSMOUTH</v>
      </c>
      <c r="J12041" t="str">
        <f t="shared" si="4431"/>
        <v>VA</v>
      </c>
      <c r="K12041" t="str">
        <f>T("7573961247")</f>
        <v>7573961247</v>
      </c>
      <c r="L12041" t="str">
        <f>T("7573967590")</f>
        <v>7573967590</v>
      </c>
    </row>
    <row r="12042" spans="1:12" x14ac:dyDescent="0.35">
      <c r="A12042" t="str">
        <f t="shared" si="4428"/>
        <v>NNSY</v>
      </c>
      <c r="B12042" t="str">
        <f t="shared" si="4429"/>
        <v>1500 MAHONEY AVE</v>
      </c>
      <c r="C12042" t="str">
        <f t="shared" si="4426"/>
        <v>CODE 610.3</v>
      </c>
      <c r="D12042" t="str">
        <f t="shared" si="4437"/>
        <v>PORTSMOUTH</v>
      </c>
      <c r="E12042" t="str">
        <f t="shared" si="4430"/>
        <v>VA</v>
      </c>
      <c r="F12042" t="str">
        <f t="shared" si="4433"/>
        <v>237095000</v>
      </c>
      <c r="G12042" t="str">
        <f>T("C612")</f>
        <v>C612</v>
      </c>
      <c r="H12042" t="str">
        <f t="shared" si="4439"/>
        <v>1500 MAHONEY AVE</v>
      </c>
      <c r="I12042" t="str">
        <f t="shared" si="4436"/>
        <v>PORTSMOUTH</v>
      </c>
      <c r="J12042" t="str">
        <f t="shared" si="4431"/>
        <v>VA</v>
      </c>
      <c r="K12042" t="str">
        <f>T("7573961247")</f>
        <v>7573961247</v>
      </c>
      <c r="L12042" t="str">
        <f>T("7573968796")</f>
        <v>7573968796</v>
      </c>
    </row>
    <row r="12043" spans="1:12" x14ac:dyDescent="0.35">
      <c r="A12043" t="str">
        <f t="shared" si="4428"/>
        <v>NNSY</v>
      </c>
      <c r="B12043" t="str">
        <f t="shared" si="4429"/>
        <v>1500 MAHONEY AVE</v>
      </c>
      <c r="C12043" t="str">
        <f t="shared" si="4426"/>
        <v>CODE 610.3</v>
      </c>
      <c r="D12043" t="str">
        <f t="shared" si="4437"/>
        <v>PORTSMOUTH</v>
      </c>
      <c r="E12043" t="str">
        <f t="shared" si="4430"/>
        <v>VA</v>
      </c>
      <c r="F12043" t="str">
        <f t="shared" si="4433"/>
        <v>237095000</v>
      </c>
      <c r="G12043" t="str">
        <f>T("C612")</f>
        <v>C612</v>
      </c>
      <c r="H12043" t="str">
        <f t="shared" si="4439"/>
        <v>1500 MAHONEY AVE</v>
      </c>
      <c r="I12043" t="str">
        <f t="shared" si="4436"/>
        <v>PORTSMOUTH</v>
      </c>
      <c r="J12043" t="str">
        <f t="shared" si="4431"/>
        <v>VA</v>
      </c>
      <c r="K12043" t="str">
        <f>T("7573961247")</f>
        <v>7573961247</v>
      </c>
      <c r="L12043" t="str">
        <f>T("7573968895")</f>
        <v>7573968895</v>
      </c>
    </row>
    <row r="12044" spans="1:12" x14ac:dyDescent="0.35">
      <c r="A12044" t="str">
        <f t="shared" si="4428"/>
        <v>NNSY</v>
      </c>
      <c r="B12044" t="str">
        <f t="shared" si="4429"/>
        <v>1500 MAHONEY AVE</v>
      </c>
      <c r="C12044" t="str">
        <f t="shared" si="4426"/>
        <v>CODE 610.3</v>
      </c>
      <c r="D12044" t="str">
        <f t="shared" si="4437"/>
        <v>PORTSMOUTH</v>
      </c>
      <c r="E12044" t="str">
        <f t="shared" si="4430"/>
        <v>VA</v>
      </c>
      <c r="F12044" t="str">
        <f t="shared" si="4433"/>
        <v>237095000</v>
      </c>
      <c r="G12044" t="str">
        <f>T("NORFOLK NAVAL SHIPYARD")</f>
        <v>NORFOLK NAVAL SHIPYARD</v>
      </c>
      <c r="H12044" t="str">
        <f t="shared" si="4439"/>
        <v>1500 MAHONEY AVE</v>
      </c>
      <c r="I12044" t="str">
        <f t="shared" si="4436"/>
        <v>PORTSMOUTH</v>
      </c>
      <c r="J12044" t="str">
        <f t="shared" si="4431"/>
        <v>VA</v>
      </c>
      <c r="K12044" t="str">
        <f>T("7573961247")</f>
        <v>7573961247</v>
      </c>
      <c r="L12044" t="str">
        <f>T("7573968828")</f>
        <v>7573968828</v>
      </c>
    </row>
    <row r="12045" spans="1:12" x14ac:dyDescent="0.35">
      <c r="A12045" t="str">
        <f t="shared" si="4428"/>
        <v>NNSY</v>
      </c>
      <c r="B12045" t="str">
        <f>T("C610.3")</f>
        <v>C610.3</v>
      </c>
      <c r="C12045" t="str">
        <f>T("1500 MAHONEY AVE")</f>
        <v>1500 MAHONEY AVE</v>
      </c>
      <c r="D12045" t="str">
        <f t="shared" si="4437"/>
        <v>PORTSMOUTH</v>
      </c>
      <c r="E12045" t="str">
        <f t="shared" si="4430"/>
        <v>VA</v>
      </c>
      <c r="F12045" t="str">
        <f t="shared" ref="F12045:F12051" si="4440">T("237090000")</f>
        <v>237090000</v>
      </c>
      <c r="G12045" t="str">
        <f>T("C610.3")</f>
        <v>C610.3</v>
      </c>
      <c r="H12045" t="str">
        <f t="shared" si="4439"/>
        <v>1500 MAHONEY AVE</v>
      </c>
      <c r="I12045" t="str">
        <f t="shared" si="4436"/>
        <v>PORTSMOUTH</v>
      </c>
      <c r="J12045" t="str">
        <f t="shared" si="4431"/>
        <v>VA</v>
      </c>
      <c r="K12045" t="str">
        <f>T("000000000000000000")</f>
        <v>000000000000000000</v>
      </c>
      <c r="L12045" t="str">
        <f>T("7573963022")</f>
        <v>7573963022</v>
      </c>
    </row>
    <row r="12046" spans="1:12" x14ac:dyDescent="0.35">
      <c r="A12046" t="str">
        <f t="shared" si="4428"/>
        <v>NNSY</v>
      </c>
      <c r="B12046" t="str">
        <f>T("C610.3")</f>
        <v>C610.3</v>
      </c>
      <c r="C12046" t="str">
        <f>T("1500 MAHONEY AVE")</f>
        <v>1500 MAHONEY AVE</v>
      </c>
      <c r="D12046" t="str">
        <f t="shared" si="4437"/>
        <v>PORTSMOUTH</v>
      </c>
      <c r="E12046" t="str">
        <f t="shared" si="4430"/>
        <v>VA</v>
      </c>
      <c r="F12046" t="str">
        <f t="shared" si="4440"/>
        <v>237090000</v>
      </c>
      <c r="G12046" t="str">
        <f>T("C610.3")</f>
        <v>C610.3</v>
      </c>
      <c r="H12046" t="str">
        <f t="shared" si="4439"/>
        <v>1500 MAHONEY AVE</v>
      </c>
      <c r="I12046" t="str">
        <f t="shared" si="4436"/>
        <v>PORTSMOUTH</v>
      </c>
      <c r="J12046" t="str">
        <f t="shared" si="4431"/>
        <v>VA</v>
      </c>
      <c r="K12046" t="str">
        <f t="shared" ref="K12046:K12051" si="4441">T("7573961247")</f>
        <v>7573961247</v>
      </c>
      <c r="L12046" t="str">
        <f>T("7572848800")</f>
        <v>7572848800</v>
      </c>
    </row>
    <row r="12047" spans="1:12" x14ac:dyDescent="0.35">
      <c r="A12047" t="str">
        <f t="shared" si="4428"/>
        <v>NNSY</v>
      </c>
      <c r="B12047" t="str">
        <f>T("C610.3")</f>
        <v>C610.3</v>
      </c>
      <c r="C12047" t="str">
        <f>T("1500 MAHONEY AVE")</f>
        <v>1500 MAHONEY AVE</v>
      </c>
      <c r="D12047" t="str">
        <f t="shared" si="4437"/>
        <v>PORTSMOUTH</v>
      </c>
      <c r="E12047" t="str">
        <f t="shared" si="4430"/>
        <v>VA</v>
      </c>
      <c r="F12047" t="str">
        <f t="shared" si="4440"/>
        <v>237090000</v>
      </c>
      <c r="G12047" t="str">
        <f>T("C612")</f>
        <v>C612</v>
      </c>
      <c r="H12047" t="str">
        <f t="shared" si="4439"/>
        <v>1500 MAHONEY AVE</v>
      </c>
      <c r="I12047" t="str">
        <f t="shared" si="4436"/>
        <v>PORTSMOUTH</v>
      </c>
      <c r="J12047" t="str">
        <f t="shared" si="4431"/>
        <v>VA</v>
      </c>
      <c r="K12047" t="str">
        <f t="shared" si="4441"/>
        <v>7573961247</v>
      </c>
      <c r="L12047" t="str">
        <f>T("7577018120")</f>
        <v>7577018120</v>
      </c>
    </row>
    <row r="12048" spans="1:12" x14ac:dyDescent="0.35">
      <c r="A12048" t="str">
        <f t="shared" si="4428"/>
        <v>NNSY</v>
      </c>
      <c r="B12048" t="str">
        <f>T("NNSY")</f>
        <v>NNSY</v>
      </c>
      <c r="C12048" t="str">
        <f>T("BLDG 1500 CODE 610.3")</f>
        <v>BLDG 1500 CODE 610.3</v>
      </c>
      <c r="D12048" t="str">
        <f t="shared" si="4437"/>
        <v>PORTSMOUTH</v>
      </c>
      <c r="E12048" t="str">
        <f t="shared" si="4430"/>
        <v>VA</v>
      </c>
      <c r="F12048" t="str">
        <f t="shared" si="4440"/>
        <v>237090000</v>
      </c>
      <c r="G12048" t="str">
        <f>T("1500 MAHONEY AVE")</f>
        <v>1500 MAHONEY AVE</v>
      </c>
      <c r="H12048" t="str">
        <f>T("C610.3")</f>
        <v>C610.3</v>
      </c>
      <c r="I12048" t="str">
        <f t="shared" si="4436"/>
        <v>PORTSMOUTH</v>
      </c>
      <c r="J12048" t="str">
        <f t="shared" si="4431"/>
        <v>VA</v>
      </c>
      <c r="K12048" t="str">
        <f t="shared" si="4441"/>
        <v>7573961247</v>
      </c>
      <c r="L12048" t="str">
        <f>T("7573962731")</f>
        <v>7573962731</v>
      </c>
    </row>
    <row r="12049" spans="1:12" x14ac:dyDescent="0.35">
      <c r="A12049" t="str">
        <f t="shared" si="4428"/>
        <v>NNSY</v>
      </c>
      <c r="B12049" t="str">
        <f>T("NNSY")</f>
        <v>NNSY</v>
      </c>
      <c r="C12049" t="str">
        <f>T("BLDG 1500 CODE 610.3")</f>
        <v>BLDG 1500 CODE 610.3</v>
      </c>
      <c r="D12049" t="str">
        <f t="shared" si="4437"/>
        <v>PORTSMOUTH</v>
      </c>
      <c r="E12049" t="str">
        <f t="shared" si="4430"/>
        <v>VA</v>
      </c>
      <c r="F12049" t="str">
        <f t="shared" si="4440"/>
        <v>237090000</v>
      </c>
      <c r="G12049" t="str">
        <f>T("NNSY")</f>
        <v>NNSY</v>
      </c>
      <c r="H12049" t="str">
        <f>T("BLDG 1500 CODE 610.3")</f>
        <v>BLDG 1500 CODE 610.3</v>
      </c>
      <c r="I12049" t="str">
        <f t="shared" si="4436"/>
        <v>PORTSMOUTH</v>
      </c>
      <c r="J12049" t="str">
        <f t="shared" si="4431"/>
        <v>VA</v>
      </c>
      <c r="K12049" t="str">
        <f t="shared" si="4441"/>
        <v>7573961247</v>
      </c>
      <c r="L12049" t="str">
        <f>T("7573962701")</f>
        <v>7573962701</v>
      </c>
    </row>
    <row r="12050" spans="1:12" x14ac:dyDescent="0.35">
      <c r="A12050" t="str">
        <f t="shared" si="4428"/>
        <v>NNSY</v>
      </c>
      <c r="B12050" t="str">
        <f>T("NORFOLK NAVAL SHIPYARD")</f>
        <v>NORFOLK NAVAL SHIPYARD</v>
      </c>
      <c r="C12050" t="str">
        <f>T("BLDG 1500 C610.3")</f>
        <v>BLDG 1500 C610.3</v>
      </c>
      <c r="D12050" t="str">
        <f t="shared" si="4437"/>
        <v>PORTSMOUTH</v>
      </c>
      <c r="E12050" t="str">
        <f t="shared" si="4430"/>
        <v>VA</v>
      </c>
      <c r="F12050" t="str">
        <f t="shared" si="4440"/>
        <v>237090000</v>
      </c>
      <c r="G12050" t="str">
        <f>T("C612")</f>
        <v>C612</v>
      </c>
      <c r="H12050" t="str">
        <f>T("1500 MAHONEY AVE")</f>
        <v>1500 MAHONEY AVE</v>
      </c>
      <c r="I12050" t="str">
        <f t="shared" si="4436"/>
        <v>PORTSMOUTH</v>
      </c>
      <c r="J12050" t="str">
        <f t="shared" si="4431"/>
        <v>VA</v>
      </c>
      <c r="K12050" t="str">
        <f t="shared" si="4441"/>
        <v>7573961247</v>
      </c>
      <c r="L12050" t="str">
        <f>T("7573965789")</f>
        <v>7573965789</v>
      </c>
    </row>
    <row r="12051" spans="1:12" x14ac:dyDescent="0.35">
      <c r="A12051" t="str">
        <f t="shared" si="4428"/>
        <v>NNSY</v>
      </c>
      <c r="B12051" t="str">
        <f>T("NORFOLK NAVAL SHIPYARD")</f>
        <v>NORFOLK NAVAL SHIPYARD</v>
      </c>
      <c r="C12051" t="str">
        <f>T("BLDG 1500 C610.3")</f>
        <v>BLDG 1500 C610.3</v>
      </c>
      <c r="D12051" t="str">
        <f t="shared" si="4437"/>
        <v>PORTSMOUTH</v>
      </c>
      <c r="E12051" t="str">
        <f t="shared" si="4430"/>
        <v>VA</v>
      </c>
      <c r="F12051" t="str">
        <f t="shared" si="4440"/>
        <v>237090000</v>
      </c>
      <c r="G12051" t="str">
        <f>T("NORFOLK NAVAL SHIPYARD")</f>
        <v>NORFOLK NAVAL SHIPYARD</v>
      </c>
      <c r="H12051" t="str">
        <f>T("BLDG 1500 C610.3")</f>
        <v>BLDG 1500 C610.3</v>
      </c>
      <c r="I12051" t="str">
        <f t="shared" si="4436"/>
        <v>PORTSMOUTH</v>
      </c>
      <c r="J12051" t="str">
        <f t="shared" si="4431"/>
        <v>VA</v>
      </c>
      <c r="K12051" t="str">
        <f t="shared" si="4441"/>
        <v>7573961247</v>
      </c>
      <c r="L12051" t="str">
        <f>T("7576466812")</f>
        <v>7576466812</v>
      </c>
    </row>
    <row r="12052" spans="1:12" x14ac:dyDescent="0.35">
      <c r="A12052" t="str">
        <f t="shared" ref="A12052:A12082" si="4442">T("MARMC")</f>
        <v>MARMC</v>
      </c>
      <c r="B12052" t="str">
        <f>T("9727 AVIONICS LOOP")</f>
        <v>9727 AVIONICS LOOP</v>
      </c>
      <c r="C12052" t="str">
        <f>T("")</f>
        <v/>
      </c>
      <c r="D12052" t="str">
        <f t="shared" ref="D12052:D12079" si="4443">T("NORFOLK")</f>
        <v>NORFOLK</v>
      </c>
      <c r="E12052" t="str">
        <f t="shared" si="4430"/>
        <v>VA</v>
      </c>
      <c r="F12052" t="str">
        <f>T("235112132")</f>
        <v>235112132</v>
      </c>
      <c r="G12052" t="str">
        <f>T("9727 AVIONICS LOOP")</f>
        <v>9727 AVIONICS LOOP</v>
      </c>
      <c r="H12052" t="str">
        <f>T("")</f>
        <v/>
      </c>
      <c r="I12052" t="str">
        <f t="shared" ref="I12052:I12079" si="4444">T("NORFOLK")</f>
        <v>NORFOLK</v>
      </c>
      <c r="J12052" t="str">
        <f t="shared" si="4431"/>
        <v>VA</v>
      </c>
      <c r="K12052" t="str">
        <f>T("")</f>
        <v/>
      </c>
      <c r="L12052" t="str">
        <f>T("1111111111")</f>
        <v>1111111111</v>
      </c>
    </row>
    <row r="12053" spans="1:12" x14ac:dyDescent="0.35">
      <c r="A12053" t="str">
        <f t="shared" si="4442"/>
        <v>MARMC</v>
      </c>
      <c r="B12053" t="str">
        <f>T("9727 AVIONICS LOOP")</f>
        <v>9727 AVIONICS LOOP</v>
      </c>
      <c r="C12053" t="str">
        <f>T("")</f>
        <v/>
      </c>
      <c r="D12053" t="str">
        <f t="shared" si="4443"/>
        <v>NORFOLK</v>
      </c>
      <c r="E12053" t="str">
        <f t="shared" si="4430"/>
        <v>VA</v>
      </c>
      <c r="F12053" t="str">
        <f>T("235113731")</f>
        <v>235113731</v>
      </c>
      <c r="G12053" t="str">
        <f>T("9727 AVIONICS LOOP")</f>
        <v>9727 AVIONICS LOOP</v>
      </c>
      <c r="H12053" t="str">
        <f>T("")</f>
        <v/>
      </c>
      <c r="I12053" t="str">
        <f t="shared" si="4444"/>
        <v>NORFOLK</v>
      </c>
      <c r="J12053" t="str">
        <f t="shared" si="4431"/>
        <v>VA</v>
      </c>
      <c r="K12053" t="str">
        <f>T("")</f>
        <v/>
      </c>
      <c r="L12053" t="str">
        <f>T("7574433872")</f>
        <v>7574433872</v>
      </c>
    </row>
    <row r="12054" spans="1:12" x14ac:dyDescent="0.35">
      <c r="A12054" t="str">
        <f t="shared" si="4442"/>
        <v>MARMC</v>
      </c>
      <c r="B12054" t="str">
        <f>T("9727 AVIONICS LOOP")</f>
        <v>9727 AVIONICS LOOP</v>
      </c>
      <c r="C12054" t="str">
        <f>T("ATTN GLENDA MENDEZ CODE 650")</f>
        <v>ATTN GLENDA MENDEZ CODE 650</v>
      </c>
      <c r="D12054" t="str">
        <f t="shared" si="4443"/>
        <v>NORFOLK</v>
      </c>
      <c r="E12054" t="str">
        <f t="shared" si="4430"/>
        <v>VA</v>
      </c>
      <c r="F12054" t="str">
        <f>T("235113731")</f>
        <v>235113731</v>
      </c>
      <c r="G12054" t="str">
        <f>T("9727 AVIONICS LOOP")</f>
        <v>9727 AVIONICS LOOP</v>
      </c>
      <c r="H12054" t="str">
        <f>T("ATTN GLENDA MENDEZ CODE 650")</f>
        <v>ATTN GLENDA MENDEZ CODE 650</v>
      </c>
      <c r="I12054" t="str">
        <f t="shared" si="4444"/>
        <v>NORFOLK</v>
      </c>
      <c r="J12054" t="str">
        <f t="shared" si="4431"/>
        <v>VA</v>
      </c>
      <c r="K12054" t="str">
        <f>T("000000000000000000")</f>
        <v>000000000000000000</v>
      </c>
      <c r="L12054" t="str">
        <f>T("7573960131")</f>
        <v>7573960131</v>
      </c>
    </row>
    <row r="12055" spans="1:12" x14ac:dyDescent="0.35">
      <c r="A12055" t="str">
        <f t="shared" si="4442"/>
        <v>MARMC</v>
      </c>
      <c r="B12055" t="str">
        <f>T("9727 AVIONICS LOOP")</f>
        <v>9727 AVIONICS LOOP</v>
      </c>
      <c r="C12055" t="str">
        <f>T("ATTN GLENDA MENDEZ CODE 650")</f>
        <v>ATTN GLENDA MENDEZ CODE 650</v>
      </c>
      <c r="D12055" t="str">
        <f t="shared" si="4443"/>
        <v>NORFOLK</v>
      </c>
      <c r="E12055" t="str">
        <f t="shared" ref="E12055:E12079" si="4445">T("VA")</f>
        <v>VA</v>
      </c>
      <c r="F12055" t="str">
        <f>T("235113731")</f>
        <v>235113731</v>
      </c>
      <c r="G12055" t="str">
        <f>T("ATTN GLENDA MENDEZ CODE 650")</f>
        <v>ATTN GLENDA MENDEZ CODE 650</v>
      </c>
      <c r="H12055" t="str">
        <f>T("9727 AVIONICS LOOP")</f>
        <v>9727 AVIONICS LOOP</v>
      </c>
      <c r="I12055" t="str">
        <f t="shared" si="4444"/>
        <v>NORFOLK</v>
      </c>
      <c r="J12055" t="str">
        <f t="shared" ref="J12055:J12079" si="4446">T("VA")</f>
        <v>VA</v>
      </c>
      <c r="K12055" t="str">
        <f>T("7573960131157")</f>
        <v>7573960131157</v>
      </c>
      <c r="L12055" t="str">
        <f>T("7573960131")</f>
        <v>7573960131</v>
      </c>
    </row>
    <row r="12056" spans="1:12" x14ac:dyDescent="0.35">
      <c r="A12056" t="str">
        <f t="shared" si="4442"/>
        <v>MARMC</v>
      </c>
      <c r="B12056" t="str">
        <f t="shared" ref="B12056:B12079" si="4447">T("9727 AVOINICS LOOP")</f>
        <v>9727 AVOINICS LOOP</v>
      </c>
      <c r="C12056" t="str">
        <f t="shared" ref="C12056:C12082" si="4448">T("")</f>
        <v/>
      </c>
      <c r="D12056" t="str">
        <f t="shared" si="4443"/>
        <v>NORFOLK</v>
      </c>
      <c r="E12056" t="str">
        <f t="shared" si="4445"/>
        <v>VA</v>
      </c>
      <c r="F12056" t="str">
        <f>T("235112132")</f>
        <v>235112132</v>
      </c>
      <c r="G12056" t="str">
        <f>T("9727 AVIONICS LOOP BLDG LF-18")</f>
        <v>9727 AVIONICS LOOP BLDG LF-18</v>
      </c>
      <c r="H12056" t="str">
        <f>T("ATTN GLENDA MENDEZ")</f>
        <v>ATTN GLENDA MENDEZ</v>
      </c>
      <c r="I12056" t="str">
        <f t="shared" si="4444"/>
        <v>NORFOLK</v>
      </c>
      <c r="J12056" t="str">
        <f t="shared" si="4446"/>
        <v>VA</v>
      </c>
      <c r="K12056" t="str">
        <f>T("75744338721911")</f>
        <v>75744338721911</v>
      </c>
      <c r="L12056" t="str">
        <f>T("7574433872")</f>
        <v>7574433872</v>
      </c>
    </row>
    <row r="12057" spans="1:12" x14ac:dyDescent="0.35">
      <c r="A12057" t="str">
        <f t="shared" si="4442"/>
        <v>MARMC</v>
      </c>
      <c r="B12057" t="str">
        <f t="shared" si="4447"/>
        <v>9727 AVOINICS LOOP</v>
      </c>
      <c r="C12057" t="str">
        <f t="shared" si="4448"/>
        <v/>
      </c>
      <c r="D12057" t="str">
        <f t="shared" si="4443"/>
        <v>NORFOLK</v>
      </c>
      <c r="E12057" t="str">
        <f t="shared" si="4445"/>
        <v>VA</v>
      </c>
      <c r="F12057" t="str">
        <f>T("235112132")</f>
        <v>235112132</v>
      </c>
      <c r="G12057" t="str">
        <f>T("9727 AVOINICS LOOP")</f>
        <v>9727 AVOINICS LOOP</v>
      </c>
      <c r="H12057" t="str">
        <f>T("")</f>
        <v/>
      </c>
      <c r="I12057" t="str">
        <f t="shared" si="4444"/>
        <v>NORFOLK</v>
      </c>
      <c r="J12057" t="str">
        <f t="shared" si="4446"/>
        <v>VA</v>
      </c>
      <c r="K12057" t="str">
        <f>T("")</f>
        <v/>
      </c>
      <c r="L12057" t="str">
        <f>T("1111111111")</f>
        <v>1111111111</v>
      </c>
    </row>
    <row r="12058" spans="1:12" x14ac:dyDescent="0.35">
      <c r="A12058" t="str">
        <f t="shared" si="4442"/>
        <v>MARMC</v>
      </c>
      <c r="B12058" t="str">
        <f t="shared" si="4447"/>
        <v>9727 AVOINICS LOOP</v>
      </c>
      <c r="C12058" t="str">
        <f t="shared" si="4448"/>
        <v/>
      </c>
      <c r="D12058" t="str">
        <f t="shared" si="4443"/>
        <v>NORFOLK</v>
      </c>
      <c r="E12058" t="str">
        <f t="shared" si="4445"/>
        <v>VA</v>
      </c>
      <c r="F12058" t="str">
        <f t="shared" ref="F12058:F12079" si="4449">T("235113731")</f>
        <v>235113731</v>
      </c>
      <c r="G12058" t="str">
        <f t="shared" ref="G12058:G12069" si="4450">T("9727 AVIONICS LOOP")</f>
        <v>9727 AVIONICS LOOP</v>
      </c>
      <c r="H12058" t="str">
        <f>T("")</f>
        <v/>
      </c>
      <c r="I12058" t="str">
        <f t="shared" si="4444"/>
        <v>NORFOLK</v>
      </c>
      <c r="J12058" t="str">
        <f t="shared" si="4446"/>
        <v>VA</v>
      </c>
      <c r="K12058" t="str">
        <f>T("000000000000000000")</f>
        <v>000000000000000000</v>
      </c>
      <c r="L12058" t="str">
        <f>T("7574432650")</f>
        <v>7574432650</v>
      </c>
    </row>
    <row r="12059" spans="1:12" x14ac:dyDescent="0.35">
      <c r="A12059" t="str">
        <f t="shared" si="4442"/>
        <v>MARMC</v>
      </c>
      <c r="B12059" t="str">
        <f t="shared" si="4447"/>
        <v>9727 AVOINICS LOOP</v>
      </c>
      <c r="C12059" t="str">
        <f t="shared" si="4448"/>
        <v/>
      </c>
      <c r="D12059" t="str">
        <f t="shared" si="4443"/>
        <v>NORFOLK</v>
      </c>
      <c r="E12059" t="str">
        <f t="shared" si="4445"/>
        <v>VA</v>
      </c>
      <c r="F12059" t="str">
        <f t="shared" si="4449"/>
        <v>235113731</v>
      </c>
      <c r="G12059" t="str">
        <f t="shared" si="4450"/>
        <v>9727 AVIONICS LOOP</v>
      </c>
      <c r="H12059" t="str">
        <f>T("")</f>
        <v/>
      </c>
      <c r="I12059" t="str">
        <f t="shared" si="4444"/>
        <v>NORFOLK</v>
      </c>
      <c r="J12059" t="str">
        <f t="shared" si="4446"/>
        <v>VA</v>
      </c>
      <c r="K12059" t="str">
        <f>T("000000000000000000")</f>
        <v>000000000000000000</v>
      </c>
      <c r="L12059" t="str">
        <f>T("7574433872")</f>
        <v>7574433872</v>
      </c>
    </row>
    <row r="12060" spans="1:12" x14ac:dyDescent="0.35">
      <c r="A12060" t="str">
        <f t="shared" si="4442"/>
        <v>MARMC</v>
      </c>
      <c r="B12060" t="str">
        <f t="shared" si="4447"/>
        <v>9727 AVOINICS LOOP</v>
      </c>
      <c r="C12060" t="str">
        <f t="shared" si="4448"/>
        <v/>
      </c>
      <c r="D12060" t="str">
        <f t="shared" si="4443"/>
        <v>NORFOLK</v>
      </c>
      <c r="E12060" t="str">
        <f t="shared" si="4445"/>
        <v>VA</v>
      </c>
      <c r="F12060" t="str">
        <f t="shared" si="4449"/>
        <v>235113731</v>
      </c>
      <c r="G12060" t="str">
        <f t="shared" si="4450"/>
        <v>9727 AVIONICS LOOP</v>
      </c>
      <c r="H12060" t="str">
        <f>T("")</f>
        <v/>
      </c>
      <c r="I12060" t="str">
        <f t="shared" si="4444"/>
        <v>NORFOLK</v>
      </c>
      <c r="J12060" t="str">
        <f t="shared" si="4446"/>
        <v>VA</v>
      </c>
      <c r="K12060" t="str">
        <f>T("75744338721919")</f>
        <v>75744338721919</v>
      </c>
      <c r="L12060" t="str">
        <f>T("7574000768")</f>
        <v>7574000768</v>
      </c>
    </row>
    <row r="12061" spans="1:12" x14ac:dyDescent="0.35">
      <c r="A12061" t="str">
        <f t="shared" si="4442"/>
        <v>MARMC</v>
      </c>
      <c r="B12061" t="str">
        <f t="shared" si="4447"/>
        <v>9727 AVOINICS LOOP</v>
      </c>
      <c r="C12061" t="str">
        <f t="shared" si="4448"/>
        <v/>
      </c>
      <c r="D12061" t="str">
        <f t="shared" si="4443"/>
        <v>NORFOLK</v>
      </c>
      <c r="E12061" t="str">
        <f t="shared" si="4445"/>
        <v>VA</v>
      </c>
      <c r="F12061" t="str">
        <f t="shared" si="4449"/>
        <v>235113731</v>
      </c>
      <c r="G12061" t="str">
        <f t="shared" si="4450"/>
        <v>9727 AVIONICS LOOP</v>
      </c>
      <c r="H12061" t="str">
        <f>T("")</f>
        <v/>
      </c>
      <c r="I12061" t="str">
        <f t="shared" si="4444"/>
        <v>NORFOLK</v>
      </c>
      <c r="J12061" t="str">
        <f t="shared" si="4446"/>
        <v>VA</v>
      </c>
      <c r="K12061" t="str">
        <f>T("7574624442")</f>
        <v>7574624442</v>
      </c>
      <c r="L12061" t="str">
        <f>T("7574627112")</f>
        <v>7574627112</v>
      </c>
    </row>
    <row r="12062" spans="1:12" x14ac:dyDescent="0.35">
      <c r="A12062" t="str">
        <f t="shared" si="4442"/>
        <v>MARMC</v>
      </c>
      <c r="B12062" t="str">
        <f t="shared" si="4447"/>
        <v>9727 AVOINICS LOOP</v>
      </c>
      <c r="C12062" t="str">
        <f t="shared" si="4448"/>
        <v/>
      </c>
      <c r="D12062" t="str">
        <f t="shared" si="4443"/>
        <v>NORFOLK</v>
      </c>
      <c r="E12062" t="str">
        <f t="shared" si="4445"/>
        <v>VA</v>
      </c>
      <c r="F12062" t="str">
        <f t="shared" si="4449"/>
        <v>235113731</v>
      </c>
      <c r="G12062" t="str">
        <f t="shared" si="4450"/>
        <v>9727 AVIONICS LOOP</v>
      </c>
      <c r="H12062" t="str">
        <f>T("ATTN C650 GLENDA MENDEZ")</f>
        <v>ATTN C650 GLENDA MENDEZ</v>
      </c>
      <c r="I12062" t="str">
        <f t="shared" si="4444"/>
        <v>NORFOLK</v>
      </c>
      <c r="J12062" t="str">
        <f t="shared" si="4446"/>
        <v>VA</v>
      </c>
      <c r="K12062" t="str">
        <f>T("7573961895")</f>
        <v>7573961895</v>
      </c>
      <c r="L12062" t="str">
        <f>T("7573962884")</f>
        <v>7573962884</v>
      </c>
    </row>
    <row r="12063" spans="1:12" x14ac:dyDescent="0.35">
      <c r="A12063" t="str">
        <f t="shared" si="4442"/>
        <v>MARMC</v>
      </c>
      <c r="B12063" t="str">
        <f t="shared" si="4447"/>
        <v>9727 AVOINICS LOOP</v>
      </c>
      <c r="C12063" t="str">
        <f t="shared" si="4448"/>
        <v/>
      </c>
      <c r="D12063" t="str">
        <f t="shared" si="4443"/>
        <v>NORFOLK</v>
      </c>
      <c r="E12063" t="str">
        <f t="shared" si="4445"/>
        <v>VA</v>
      </c>
      <c r="F12063" t="str">
        <f t="shared" si="4449"/>
        <v>235113731</v>
      </c>
      <c r="G12063" t="str">
        <f t="shared" si="4450"/>
        <v>9727 AVIONICS LOOP</v>
      </c>
      <c r="H12063" t="str">
        <f>T("BULD LF 18")</f>
        <v>BULD LF 18</v>
      </c>
      <c r="I12063" t="str">
        <f t="shared" si="4444"/>
        <v>NORFOLK</v>
      </c>
      <c r="J12063" t="str">
        <f t="shared" si="4446"/>
        <v>VA</v>
      </c>
      <c r="K12063" t="str">
        <f>T("000000000000000000")</f>
        <v>000000000000000000</v>
      </c>
      <c r="L12063" t="str">
        <f>T("7574433872")</f>
        <v>7574433872</v>
      </c>
    </row>
    <row r="12064" spans="1:12" x14ac:dyDescent="0.35">
      <c r="A12064" t="str">
        <f t="shared" si="4442"/>
        <v>MARMC</v>
      </c>
      <c r="B12064" t="str">
        <f t="shared" si="4447"/>
        <v>9727 AVOINICS LOOP</v>
      </c>
      <c r="C12064" t="str">
        <f t="shared" si="4448"/>
        <v/>
      </c>
      <c r="D12064" t="str">
        <f t="shared" si="4443"/>
        <v>NORFOLK</v>
      </c>
      <c r="E12064" t="str">
        <f t="shared" si="4445"/>
        <v>VA</v>
      </c>
      <c r="F12064" t="str">
        <f t="shared" si="4449"/>
        <v>235113731</v>
      </c>
      <c r="G12064" t="str">
        <f t="shared" si="4450"/>
        <v>9727 AVIONICS LOOP</v>
      </c>
      <c r="H12064" t="str">
        <f>T("CODE 503")</f>
        <v>CODE 503</v>
      </c>
      <c r="I12064" t="str">
        <f t="shared" si="4444"/>
        <v>NORFOLK</v>
      </c>
      <c r="J12064" t="str">
        <f t="shared" si="4446"/>
        <v>VA</v>
      </c>
      <c r="K12064" t="str">
        <f>T("75744338721918")</f>
        <v>75744338721918</v>
      </c>
      <c r="L12064" t="str">
        <f>T("1111111111")</f>
        <v>1111111111</v>
      </c>
    </row>
    <row r="12065" spans="1:12" x14ac:dyDescent="0.35">
      <c r="A12065" t="str">
        <f t="shared" si="4442"/>
        <v>MARMC</v>
      </c>
      <c r="B12065" t="str">
        <f t="shared" si="4447"/>
        <v>9727 AVOINICS LOOP</v>
      </c>
      <c r="C12065" t="str">
        <f t="shared" si="4448"/>
        <v/>
      </c>
      <c r="D12065" t="str">
        <f t="shared" si="4443"/>
        <v>NORFOLK</v>
      </c>
      <c r="E12065" t="str">
        <f t="shared" si="4445"/>
        <v>VA</v>
      </c>
      <c r="F12065" t="str">
        <f t="shared" si="4449"/>
        <v>235113731</v>
      </c>
      <c r="G12065" t="str">
        <f t="shared" si="4450"/>
        <v>9727 AVIONICS LOOP</v>
      </c>
      <c r="H12065" t="str">
        <f>T("CODE 612 ATTN GLENDA MENDEZ")</f>
        <v>CODE 612 ATTN GLENDA MENDEZ</v>
      </c>
      <c r="I12065" t="str">
        <f t="shared" si="4444"/>
        <v>NORFOLK</v>
      </c>
      <c r="J12065" t="str">
        <f t="shared" si="4446"/>
        <v>VA</v>
      </c>
      <c r="K12065" t="str">
        <f>T("75744326503351")</f>
        <v>75744326503351</v>
      </c>
      <c r="L12065" t="str">
        <f>T("1111111111")</f>
        <v>1111111111</v>
      </c>
    </row>
    <row r="12066" spans="1:12" x14ac:dyDescent="0.35">
      <c r="A12066" t="str">
        <f t="shared" si="4442"/>
        <v>MARMC</v>
      </c>
      <c r="B12066" t="str">
        <f t="shared" si="4447"/>
        <v>9727 AVOINICS LOOP</v>
      </c>
      <c r="C12066" t="str">
        <f t="shared" si="4448"/>
        <v/>
      </c>
      <c r="D12066" t="str">
        <f t="shared" si="4443"/>
        <v>NORFOLK</v>
      </c>
      <c r="E12066" t="str">
        <f t="shared" si="4445"/>
        <v>VA</v>
      </c>
      <c r="F12066" t="str">
        <f t="shared" si="4449"/>
        <v>235113731</v>
      </c>
      <c r="G12066" t="str">
        <f t="shared" si="4450"/>
        <v>9727 AVIONICS LOOP</v>
      </c>
      <c r="H12066" t="str">
        <f>T("CODE 612 ATTN GLENDA MENDEZ")</f>
        <v>CODE 612 ATTN GLENDA MENDEZ</v>
      </c>
      <c r="I12066" t="str">
        <f t="shared" si="4444"/>
        <v>NORFOLK</v>
      </c>
      <c r="J12066" t="str">
        <f t="shared" si="4446"/>
        <v>VA</v>
      </c>
      <c r="K12066" t="str">
        <f>T("7574444755")</f>
        <v>7574444755</v>
      </c>
      <c r="L12066" t="str">
        <f>T("7574432650")</f>
        <v>7574432650</v>
      </c>
    </row>
    <row r="12067" spans="1:12" x14ac:dyDescent="0.35">
      <c r="A12067" t="str">
        <f t="shared" si="4442"/>
        <v>MARMC</v>
      </c>
      <c r="B12067" t="str">
        <f t="shared" si="4447"/>
        <v>9727 AVOINICS LOOP</v>
      </c>
      <c r="C12067" t="str">
        <f t="shared" si="4448"/>
        <v/>
      </c>
      <c r="D12067" t="str">
        <f t="shared" si="4443"/>
        <v>NORFOLK</v>
      </c>
      <c r="E12067" t="str">
        <f t="shared" si="4445"/>
        <v>VA</v>
      </c>
      <c r="F12067" t="str">
        <f t="shared" si="4449"/>
        <v>235113731</v>
      </c>
      <c r="G12067" t="str">
        <f t="shared" si="4450"/>
        <v>9727 AVIONICS LOOP</v>
      </c>
      <c r="H12067" t="str">
        <f>T("CODE 612 ATTN GLENDA MENDEZ")</f>
        <v>CODE 612 ATTN GLENDA MENDEZ</v>
      </c>
      <c r="I12067" t="str">
        <f t="shared" si="4444"/>
        <v>NORFOLK</v>
      </c>
      <c r="J12067" t="str">
        <f t="shared" si="4446"/>
        <v>VA</v>
      </c>
      <c r="K12067" t="str">
        <f>T("7574624442")</f>
        <v>7574624442</v>
      </c>
      <c r="L12067" t="str">
        <f>T("7574627112")</f>
        <v>7574627112</v>
      </c>
    </row>
    <row r="12068" spans="1:12" x14ac:dyDescent="0.35">
      <c r="A12068" t="str">
        <f t="shared" si="4442"/>
        <v>MARMC</v>
      </c>
      <c r="B12068" t="str">
        <f t="shared" si="4447"/>
        <v>9727 AVOINICS LOOP</v>
      </c>
      <c r="C12068" t="str">
        <f t="shared" si="4448"/>
        <v/>
      </c>
      <c r="D12068" t="str">
        <f t="shared" si="4443"/>
        <v>NORFOLK</v>
      </c>
      <c r="E12068" t="str">
        <f t="shared" si="4445"/>
        <v>VA</v>
      </c>
      <c r="F12068" t="str">
        <f t="shared" si="4449"/>
        <v>235113731</v>
      </c>
      <c r="G12068" t="str">
        <f t="shared" si="4450"/>
        <v>9727 AVIONICS LOOP</v>
      </c>
      <c r="H12068" t="str">
        <f>T("CODE 650 GLENDA MENDEZ")</f>
        <v>CODE 650 GLENDA MENDEZ</v>
      </c>
      <c r="I12068" t="str">
        <f t="shared" si="4444"/>
        <v>NORFOLK</v>
      </c>
      <c r="J12068" t="str">
        <f t="shared" si="4446"/>
        <v>VA</v>
      </c>
      <c r="K12068" t="str">
        <f>T("75744326503238")</f>
        <v>75744326503238</v>
      </c>
      <c r="L12068" t="str">
        <f>T("7574002462")</f>
        <v>7574002462</v>
      </c>
    </row>
    <row r="12069" spans="1:12" x14ac:dyDescent="0.35">
      <c r="A12069" t="str">
        <f t="shared" si="4442"/>
        <v>MARMC</v>
      </c>
      <c r="B12069" t="str">
        <f t="shared" si="4447"/>
        <v>9727 AVOINICS LOOP</v>
      </c>
      <c r="C12069" t="str">
        <f t="shared" si="4448"/>
        <v/>
      </c>
      <c r="D12069" t="str">
        <f t="shared" si="4443"/>
        <v>NORFOLK</v>
      </c>
      <c r="E12069" t="str">
        <f t="shared" si="4445"/>
        <v>VA</v>
      </c>
      <c r="F12069" t="str">
        <f t="shared" si="4449"/>
        <v>235113731</v>
      </c>
      <c r="G12069" t="str">
        <f t="shared" si="4450"/>
        <v>9727 AVIONICS LOOP</v>
      </c>
      <c r="H12069" t="str">
        <f>T("CODE 650 GLENDA MENDEZ")</f>
        <v>CODE 650 GLENDA MENDEZ</v>
      </c>
      <c r="I12069" t="str">
        <f t="shared" si="4444"/>
        <v>NORFOLK</v>
      </c>
      <c r="J12069" t="str">
        <f t="shared" si="4446"/>
        <v>VA</v>
      </c>
      <c r="K12069" t="str">
        <f>T("75744338721908")</f>
        <v>75744338721908</v>
      </c>
      <c r="L12069" t="str">
        <f>T("1111111111")</f>
        <v>1111111111</v>
      </c>
    </row>
    <row r="12070" spans="1:12" x14ac:dyDescent="0.35">
      <c r="A12070" t="str">
        <f t="shared" si="4442"/>
        <v>MARMC</v>
      </c>
      <c r="B12070" t="str">
        <f t="shared" si="4447"/>
        <v>9727 AVOINICS LOOP</v>
      </c>
      <c r="C12070" t="str">
        <f t="shared" si="4448"/>
        <v/>
      </c>
      <c r="D12070" t="str">
        <f t="shared" si="4443"/>
        <v>NORFOLK</v>
      </c>
      <c r="E12070" t="str">
        <f t="shared" si="4445"/>
        <v>VA</v>
      </c>
      <c r="F12070" t="str">
        <f t="shared" si="4449"/>
        <v>235113731</v>
      </c>
      <c r="G12070" t="str">
        <f>T("9727 AVIONICS LOOP BLDG LF-18")</f>
        <v>9727 AVIONICS LOOP BLDG LF-18</v>
      </c>
      <c r="H12070" t="str">
        <f>T("ATTN GLENDA MENDEZ CODE 612")</f>
        <v>ATTN GLENDA MENDEZ CODE 612</v>
      </c>
      <c r="I12070" t="str">
        <f t="shared" si="4444"/>
        <v>NORFOLK</v>
      </c>
      <c r="J12070" t="str">
        <f t="shared" si="4446"/>
        <v>VA</v>
      </c>
      <c r="K12070" t="str">
        <f>T("75744338721906")</f>
        <v>75744338721906</v>
      </c>
      <c r="L12070" t="str">
        <f>T("7574433872")</f>
        <v>7574433872</v>
      </c>
    </row>
    <row r="12071" spans="1:12" x14ac:dyDescent="0.35">
      <c r="A12071" t="str">
        <f t="shared" si="4442"/>
        <v>MARMC</v>
      </c>
      <c r="B12071" t="str">
        <f t="shared" si="4447"/>
        <v>9727 AVOINICS LOOP</v>
      </c>
      <c r="C12071" t="str">
        <f t="shared" si="4448"/>
        <v/>
      </c>
      <c r="D12071" t="str">
        <f t="shared" si="4443"/>
        <v>NORFOLK</v>
      </c>
      <c r="E12071" t="str">
        <f t="shared" si="4445"/>
        <v>VA</v>
      </c>
      <c r="F12071" t="str">
        <f t="shared" si="4449"/>
        <v>235113731</v>
      </c>
      <c r="G12071" t="str">
        <f>T("9727 AVIONICS LOOP BLDG LF18")</f>
        <v>9727 AVIONICS LOOP BLDG LF18</v>
      </c>
      <c r="H12071" t="str">
        <f>T("ATTN GLENDA MENDEZ")</f>
        <v>ATTN GLENDA MENDEZ</v>
      </c>
      <c r="I12071" t="str">
        <f t="shared" si="4444"/>
        <v>NORFOLK</v>
      </c>
      <c r="J12071" t="str">
        <f t="shared" si="4446"/>
        <v>VA</v>
      </c>
      <c r="K12071" t="str">
        <f>T("7573961895")</f>
        <v>7573961895</v>
      </c>
      <c r="L12071" t="str">
        <f>T("7573961669")</f>
        <v>7573961669</v>
      </c>
    </row>
    <row r="12072" spans="1:12" x14ac:dyDescent="0.35">
      <c r="A12072" t="str">
        <f t="shared" si="4442"/>
        <v>MARMC</v>
      </c>
      <c r="B12072" t="str">
        <f t="shared" si="4447"/>
        <v>9727 AVOINICS LOOP</v>
      </c>
      <c r="C12072" t="str">
        <f t="shared" si="4448"/>
        <v/>
      </c>
      <c r="D12072" t="str">
        <f t="shared" si="4443"/>
        <v>NORFOLK</v>
      </c>
      <c r="E12072" t="str">
        <f t="shared" si="4445"/>
        <v>VA</v>
      </c>
      <c r="F12072" t="str">
        <f t="shared" si="4449"/>
        <v>235113731</v>
      </c>
      <c r="G12072" t="str">
        <f t="shared" ref="G12072:G12079" si="4451">T("9727 AVOINICS LOOP")</f>
        <v>9727 AVOINICS LOOP</v>
      </c>
      <c r="H12072" t="str">
        <f t="shared" ref="H12072:H12082" si="4452">T("")</f>
        <v/>
      </c>
      <c r="I12072" t="str">
        <f t="shared" si="4444"/>
        <v>NORFOLK</v>
      </c>
      <c r="J12072" t="str">
        <f t="shared" si="4446"/>
        <v>VA</v>
      </c>
      <c r="K12072" t="str">
        <f>T("")</f>
        <v/>
      </c>
      <c r="L12072" t="str">
        <f>T("1111111111")</f>
        <v>1111111111</v>
      </c>
    </row>
    <row r="12073" spans="1:12" x14ac:dyDescent="0.35">
      <c r="A12073" t="str">
        <f t="shared" si="4442"/>
        <v>MARMC</v>
      </c>
      <c r="B12073" t="str">
        <f t="shared" si="4447"/>
        <v>9727 AVOINICS LOOP</v>
      </c>
      <c r="C12073" t="str">
        <f t="shared" si="4448"/>
        <v/>
      </c>
      <c r="D12073" t="str">
        <f t="shared" si="4443"/>
        <v>NORFOLK</v>
      </c>
      <c r="E12073" t="str">
        <f t="shared" si="4445"/>
        <v>VA</v>
      </c>
      <c r="F12073" t="str">
        <f t="shared" si="4449"/>
        <v>235113731</v>
      </c>
      <c r="G12073" t="str">
        <f t="shared" si="4451"/>
        <v>9727 AVOINICS LOOP</v>
      </c>
      <c r="H12073" t="str">
        <f t="shared" si="4452"/>
        <v/>
      </c>
      <c r="I12073" t="str">
        <f t="shared" si="4444"/>
        <v>NORFOLK</v>
      </c>
      <c r="J12073" t="str">
        <f t="shared" si="4446"/>
        <v>VA</v>
      </c>
      <c r="K12073" t="str">
        <f>T("")</f>
        <v/>
      </c>
      <c r="L12073" t="str">
        <f>T("7574432650")</f>
        <v>7574432650</v>
      </c>
    </row>
    <row r="12074" spans="1:12" x14ac:dyDescent="0.35">
      <c r="A12074" t="str">
        <f t="shared" si="4442"/>
        <v>MARMC</v>
      </c>
      <c r="B12074" t="str">
        <f t="shared" si="4447"/>
        <v>9727 AVOINICS LOOP</v>
      </c>
      <c r="C12074" t="str">
        <f t="shared" si="4448"/>
        <v/>
      </c>
      <c r="D12074" t="str">
        <f t="shared" si="4443"/>
        <v>NORFOLK</v>
      </c>
      <c r="E12074" t="str">
        <f t="shared" si="4445"/>
        <v>VA</v>
      </c>
      <c r="F12074" t="str">
        <f t="shared" si="4449"/>
        <v>235113731</v>
      </c>
      <c r="G12074" t="str">
        <f t="shared" si="4451"/>
        <v>9727 AVOINICS LOOP</v>
      </c>
      <c r="H12074" t="str">
        <f t="shared" si="4452"/>
        <v/>
      </c>
      <c r="I12074" t="str">
        <f t="shared" si="4444"/>
        <v>NORFOLK</v>
      </c>
      <c r="J12074" t="str">
        <f t="shared" si="4446"/>
        <v>VA</v>
      </c>
      <c r="K12074" t="str">
        <f>T("")</f>
        <v/>
      </c>
      <c r="L12074" t="str">
        <f>T("7574433872")</f>
        <v>7574433872</v>
      </c>
    </row>
    <row r="12075" spans="1:12" x14ac:dyDescent="0.35">
      <c r="A12075" t="str">
        <f t="shared" si="4442"/>
        <v>MARMC</v>
      </c>
      <c r="B12075" t="str">
        <f t="shared" si="4447"/>
        <v>9727 AVOINICS LOOP</v>
      </c>
      <c r="C12075" t="str">
        <f t="shared" si="4448"/>
        <v/>
      </c>
      <c r="D12075" t="str">
        <f t="shared" si="4443"/>
        <v>NORFOLK</v>
      </c>
      <c r="E12075" t="str">
        <f t="shared" si="4445"/>
        <v>VA</v>
      </c>
      <c r="F12075" t="str">
        <f t="shared" si="4449"/>
        <v>235113731</v>
      </c>
      <c r="G12075" t="str">
        <f t="shared" si="4451"/>
        <v>9727 AVOINICS LOOP</v>
      </c>
      <c r="H12075" t="str">
        <f t="shared" si="4452"/>
        <v/>
      </c>
      <c r="I12075" t="str">
        <f t="shared" si="4444"/>
        <v>NORFOLK</v>
      </c>
      <c r="J12075" t="str">
        <f t="shared" si="4446"/>
        <v>VA</v>
      </c>
      <c r="K12075" t="str">
        <f>T("")</f>
        <v/>
      </c>
      <c r="L12075" t="str">
        <f>T("7574627111")</f>
        <v>7574627111</v>
      </c>
    </row>
    <row r="12076" spans="1:12" x14ac:dyDescent="0.35">
      <c r="A12076" t="str">
        <f t="shared" si="4442"/>
        <v>MARMC</v>
      </c>
      <c r="B12076" t="str">
        <f t="shared" si="4447"/>
        <v>9727 AVOINICS LOOP</v>
      </c>
      <c r="C12076" t="str">
        <f t="shared" si="4448"/>
        <v/>
      </c>
      <c r="D12076" t="str">
        <f t="shared" si="4443"/>
        <v>NORFOLK</v>
      </c>
      <c r="E12076" t="str">
        <f t="shared" si="4445"/>
        <v>VA</v>
      </c>
      <c r="F12076" t="str">
        <f t="shared" si="4449"/>
        <v>235113731</v>
      </c>
      <c r="G12076" t="str">
        <f t="shared" si="4451"/>
        <v>9727 AVOINICS LOOP</v>
      </c>
      <c r="H12076" t="str">
        <f t="shared" si="4452"/>
        <v/>
      </c>
      <c r="I12076" t="str">
        <f t="shared" si="4444"/>
        <v>NORFOLK</v>
      </c>
      <c r="J12076" t="str">
        <f t="shared" si="4446"/>
        <v>VA</v>
      </c>
      <c r="K12076" t="str">
        <f>T("000000000000000000")</f>
        <v>000000000000000000</v>
      </c>
      <c r="L12076" t="str">
        <f>T("1111111111")</f>
        <v>1111111111</v>
      </c>
    </row>
    <row r="12077" spans="1:12" x14ac:dyDescent="0.35">
      <c r="A12077" t="str">
        <f t="shared" si="4442"/>
        <v>MARMC</v>
      </c>
      <c r="B12077" t="str">
        <f t="shared" si="4447"/>
        <v>9727 AVOINICS LOOP</v>
      </c>
      <c r="C12077" t="str">
        <f t="shared" si="4448"/>
        <v/>
      </c>
      <c r="D12077" t="str">
        <f t="shared" si="4443"/>
        <v>NORFOLK</v>
      </c>
      <c r="E12077" t="str">
        <f t="shared" si="4445"/>
        <v>VA</v>
      </c>
      <c r="F12077" t="str">
        <f t="shared" si="4449"/>
        <v>235113731</v>
      </c>
      <c r="G12077" t="str">
        <f t="shared" si="4451"/>
        <v>9727 AVOINICS LOOP</v>
      </c>
      <c r="H12077" t="str">
        <f t="shared" si="4452"/>
        <v/>
      </c>
      <c r="I12077" t="str">
        <f t="shared" si="4444"/>
        <v>NORFOLK</v>
      </c>
      <c r="J12077" t="str">
        <f t="shared" si="4446"/>
        <v>VA</v>
      </c>
      <c r="K12077" t="str">
        <f>T("7573961895")</f>
        <v>7573961895</v>
      </c>
      <c r="L12077" t="str">
        <f>T("1111111111")</f>
        <v>1111111111</v>
      </c>
    </row>
    <row r="12078" spans="1:12" x14ac:dyDescent="0.35">
      <c r="A12078" t="str">
        <f t="shared" si="4442"/>
        <v>MARMC</v>
      </c>
      <c r="B12078" t="str">
        <f t="shared" si="4447"/>
        <v>9727 AVOINICS LOOP</v>
      </c>
      <c r="C12078" t="str">
        <f t="shared" si="4448"/>
        <v/>
      </c>
      <c r="D12078" t="str">
        <f t="shared" si="4443"/>
        <v>NORFOLK</v>
      </c>
      <c r="E12078" t="str">
        <f t="shared" si="4445"/>
        <v>VA</v>
      </c>
      <c r="F12078" t="str">
        <f t="shared" si="4449"/>
        <v>235113731</v>
      </c>
      <c r="G12078" t="str">
        <f t="shared" si="4451"/>
        <v>9727 AVOINICS LOOP</v>
      </c>
      <c r="H12078" t="str">
        <f t="shared" si="4452"/>
        <v/>
      </c>
      <c r="I12078" t="str">
        <f t="shared" si="4444"/>
        <v>NORFOLK</v>
      </c>
      <c r="J12078" t="str">
        <f t="shared" si="4446"/>
        <v>VA</v>
      </c>
      <c r="K12078" t="str">
        <f>T("7573961895")</f>
        <v>7573961895</v>
      </c>
      <c r="L12078" t="str">
        <f>T("7573961669")</f>
        <v>7573961669</v>
      </c>
    </row>
    <row r="12079" spans="1:12" x14ac:dyDescent="0.35">
      <c r="A12079" t="str">
        <f t="shared" si="4442"/>
        <v>MARMC</v>
      </c>
      <c r="B12079" t="str">
        <f t="shared" si="4447"/>
        <v>9727 AVOINICS LOOP</v>
      </c>
      <c r="C12079" t="str">
        <f t="shared" si="4448"/>
        <v/>
      </c>
      <c r="D12079" t="str">
        <f t="shared" si="4443"/>
        <v>NORFOLK</v>
      </c>
      <c r="E12079" t="str">
        <f t="shared" si="4445"/>
        <v>VA</v>
      </c>
      <c r="F12079" t="str">
        <f t="shared" si="4449"/>
        <v>235113731</v>
      </c>
      <c r="G12079" t="str">
        <f t="shared" si="4451"/>
        <v>9727 AVOINICS LOOP</v>
      </c>
      <c r="H12079" t="str">
        <f t="shared" si="4452"/>
        <v/>
      </c>
      <c r="I12079" t="str">
        <f t="shared" si="4444"/>
        <v>NORFOLK</v>
      </c>
      <c r="J12079" t="str">
        <f t="shared" si="4446"/>
        <v>VA</v>
      </c>
      <c r="K12079" t="str">
        <f>T("7573961895")</f>
        <v>7573961895</v>
      </c>
      <c r="L12079" t="str">
        <f>T("7573964001")</f>
        <v>7573964001</v>
      </c>
    </row>
    <row r="12080" spans="1:12" x14ac:dyDescent="0.35">
      <c r="A12080" t="str">
        <f t="shared" si="4442"/>
        <v>MARMC</v>
      </c>
      <c r="B12080" t="str">
        <f>T("PSC 451 BOX 550")</f>
        <v>PSC 451 BOX 550</v>
      </c>
      <c r="C12080" t="str">
        <f t="shared" si="4448"/>
        <v/>
      </c>
      <c r="D12080" t="str">
        <f>T("FPO")</f>
        <v>FPO</v>
      </c>
      <c r="E12080" t="str">
        <f>T("AE")</f>
        <v>AE</v>
      </c>
      <c r="F12080" t="str">
        <f>T("098340006")</f>
        <v>098340006</v>
      </c>
      <c r="G12080" t="str">
        <f>T("PSC 451 BOX 550")</f>
        <v>PSC 451 BOX 550</v>
      </c>
      <c r="H12080" t="str">
        <f t="shared" si="4452"/>
        <v/>
      </c>
      <c r="I12080" t="str">
        <f>T("FPO")</f>
        <v>FPO</v>
      </c>
      <c r="J12080" t="str">
        <f>T("AE")</f>
        <v>AE</v>
      </c>
      <c r="K12080" t="str">
        <f>T("000000000000000000")</f>
        <v>000000000000000000</v>
      </c>
      <c r="L12080" t="str">
        <f>T("1111111111")</f>
        <v>1111111111</v>
      </c>
    </row>
    <row r="12081" spans="1:12" x14ac:dyDescent="0.35">
      <c r="A12081" t="str">
        <f t="shared" si="4442"/>
        <v>MARMC</v>
      </c>
      <c r="B12081" t="str">
        <f>T("PSC 817 BOX 11")</f>
        <v>PSC 817 BOX 11</v>
      </c>
      <c r="C12081" t="str">
        <f t="shared" si="4448"/>
        <v/>
      </c>
      <c r="D12081" t="str">
        <f>T("FPO")</f>
        <v>FPO</v>
      </c>
      <c r="E12081" t="str">
        <f>T("AE")</f>
        <v>AE</v>
      </c>
      <c r="F12081" t="str">
        <f>T("096220001")</f>
        <v>096220001</v>
      </c>
      <c r="G12081" t="str">
        <f>T("PSC 817 BOX 11")</f>
        <v>PSC 817 BOX 11</v>
      </c>
      <c r="H12081" t="str">
        <f t="shared" si="4452"/>
        <v/>
      </c>
      <c r="I12081" t="str">
        <f>T("FPO")</f>
        <v>FPO</v>
      </c>
      <c r="J12081" t="str">
        <f>T("AE")</f>
        <v>AE</v>
      </c>
      <c r="K12081" t="str">
        <f>T("000000000000000000")</f>
        <v>000000000000000000</v>
      </c>
      <c r="L12081" t="str">
        <f>T("3146267842")</f>
        <v>3146267842</v>
      </c>
    </row>
    <row r="12082" spans="1:12" x14ac:dyDescent="0.35">
      <c r="A12082" t="str">
        <f t="shared" si="4442"/>
        <v>MARMC</v>
      </c>
      <c r="B12082" t="str">
        <f>T("PSC 819 BOX 29")</f>
        <v>PSC 819 BOX 29</v>
      </c>
      <c r="C12082" t="str">
        <f t="shared" si="4448"/>
        <v/>
      </c>
      <c r="D12082" t="str">
        <f>T("FPO")</f>
        <v>FPO</v>
      </c>
      <c r="E12082" t="str">
        <f>T("AE")</f>
        <v>AE</v>
      </c>
      <c r="F12082" t="str">
        <f>T("096450001")</f>
        <v>096450001</v>
      </c>
      <c r="G12082" t="str">
        <f>T("PSC 819 BOX 29")</f>
        <v>PSC 819 BOX 29</v>
      </c>
      <c r="H12082" t="str">
        <f t="shared" si="4452"/>
        <v/>
      </c>
      <c r="I12082" t="str">
        <f>T("FPO")</f>
        <v>FPO</v>
      </c>
      <c r="J12082" t="str">
        <f>T("AE")</f>
        <v>AE</v>
      </c>
      <c r="K12082" t="str">
        <f>T("000000000000000000")</f>
        <v>000000000000000000</v>
      </c>
      <c r="L12082" t="str">
        <f>T("9999999999")</f>
        <v>9999999999</v>
      </c>
    </row>
    <row r="12083" spans="1:12" x14ac:dyDescent="0.35">
      <c r="A12083" t="str">
        <f>T("CCSG8")</f>
        <v>CCSG8</v>
      </c>
      <c r="B12083" t="str">
        <f>T("CSG 8")</f>
        <v>CSG 8</v>
      </c>
      <c r="C12083" t="str">
        <f>T("9756 DECATOR AVE")</f>
        <v>9756 DECATOR AVE</v>
      </c>
      <c r="D12083" t="str">
        <f>T("NORFOLK")</f>
        <v>NORFOLK</v>
      </c>
      <c r="E12083" t="str">
        <f t="shared" ref="E12083:E12094" si="4453">T("VA")</f>
        <v>VA</v>
      </c>
      <c r="F12083" t="str">
        <f>T("235113218")</f>
        <v>235113218</v>
      </c>
      <c r="G12083" t="str">
        <f>T("CSG 8")</f>
        <v>CSG 8</v>
      </c>
      <c r="H12083" t="str">
        <f>T("9756 DECATOR AVE")</f>
        <v>9756 DECATOR AVE</v>
      </c>
      <c r="I12083" t="str">
        <f>T("NORFOLK")</f>
        <v>NORFOLK</v>
      </c>
      <c r="J12083" t="str">
        <f t="shared" ref="J12083:J12094" si="4454">T("VA")</f>
        <v>VA</v>
      </c>
      <c r="K12083" t="str">
        <f>T("")</f>
        <v/>
      </c>
      <c r="L12083" t="str">
        <f>T("7573416967")</f>
        <v>7573416967</v>
      </c>
    </row>
    <row r="12084" spans="1:12" x14ac:dyDescent="0.35">
      <c r="A12084" t="str">
        <f>T("CCSG8")</f>
        <v>CCSG8</v>
      </c>
      <c r="B12084" t="str">
        <f>T("CSG 8")</f>
        <v>CSG 8</v>
      </c>
      <c r="C12084" t="str">
        <f>T("9756 DECATOR AVE")</f>
        <v>9756 DECATOR AVE</v>
      </c>
      <c r="D12084" t="str">
        <f>T("NORFOLK")</f>
        <v>NORFOLK</v>
      </c>
      <c r="E12084" t="str">
        <f t="shared" si="4453"/>
        <v>VA</v>
      </c>
      <c r="F12084" t="str">
        <f>T("235113218")</f>
        <v>235113218</v>
      </c>
      <c r="G12084" t="str">
        <f>T("CSG 8")</f>
        <v>CSG 8</v>
      </c>
      <c r="H12084" t="str">
        <f>T("9756 DECATOR AVE")</f>
        <v>9756 DECATOR AVE</v>
      </c>
      <c r="I12084" t="str">
        <f>T("NORFOLK")</f>
        <v>NORFOLK</v>
      </c>
      <c r="J12084" t="str">
        <f t="shared" si="4454"/>
        <v>VA</v>
      </c>
      <c r="K12084" t="str">
        <f>T("000000000000000000")</f>
        <v>000000000000000000</v>
      </c>
      <c r="L12084" t="str">
        <f>T("1111111111")</f>
        <v>1111111111</v>
      </c>
    </row>
    <row r="12085" spans="1:12" x14ac:dyDescent="0.35">
      <c r="A12085" t="str">
        <f>T("CCSG8")</f>
        <v>CCSG8</v>
      </c>
      <c r="B12085" t="str">
        <f>T("CSG 8")</f>
        <v>CSG 8</v>
      </c>
      <c r="C12085" t="str">
        <f>T("9756 DECATOR AVE")</f>
        <v>9756 DECATOR AVE</v>
      </c>
      <c r="D12085" t="str">
        <f>T("NORFOLK")</f>
        <v>NORFOLK</v>
      </c>
      <c r="E12085" t="str">
        <f t="shared" si="4453"/>
        <v>VA</v>
      </c>
      <c r="F12085" t="str">
        <f>T("235113218")</f>
        <v>235113218</v>
      </c>
      <c r="G12085" t="str">
        <f>T("CSG 8")</f>
        <v>CSG 8</v>
      </c>
      <c r="H12085" t="str">
        <f>T("9756 DECATOR AVE")</f>
        <v>9756 DECATOR AVE</v>
      </c>
      <c r="I12085" t="str">
        <f>T("NORFOLK")</f>
        <v>NORFOLK</v>
      </c>
      <c r="J12085" t="str">
        <f t="shared" si="4454"/>
        <v>VA</v>
      </c>
      <c r="K12085" t="str">
        <f>T("000000000000000000")</f>
        <v>000000000000000000</v>
      </c>
      <c r="L12085" t="str">
        <f>T("7573416969")</f>
        <v>7573416969</v>
      </c>
    </row>
    <row r="12086" spans="1:12" x14ac:dyDescent="0.35">
      <c r="A12086" t="str">
        <f>T("CCSG8")</f>
        <v>CCSG8</v>
      </c>
      <c r="B12086" t="str">
        <f>T("CSG 8")</f>
        <v>CSG 8</v>
      </c>
      <c r="C12086" t="str">
        <f>T("9756 DECATOR AVE")</f>
        <v>9756 DECATOR AVE</v>
      </c>
      <c r="D12086" t="str">
        <f>T("NORFOLK")</f>
        <v>NORFOLK</v>
      </c>
      <c r="E12086" t="str">
        <f t="shared" si="4453"/>
        <v>VA</v>
      </c>
      <c r="F12086" t="str">
        <f>T("235113218")</f>
        <v>235113218</v>
      </c>
      <c r="G12086" t="str">
        <f>T("CSG8")</f>
        <v>CSG8</v>
      </c>
      <c r="H12086" t="str">
        <f>T("9756 DECATOR AVE")</f>
        <v>9756 DECATOR AVE</v>
      </c>
      <c r="I12086" t="str">
        <f>T("NORFOLK")</f>
        <v>NORFOLK</v>
      </c>
      <c r="J12086" t="str">
        <f t="shared" si="4454"/>
        <v>VA</v>
      </c>
      <c r="K12086" t="str">
        <f>T("000000000000000000")</f>
        <v>000000000000000000</v>
      </c>
      <c r="L12086" t="str">
        <f>T("7573417189")</f>
        <v>7573417189</v>
      </c>
    </row>
    <row r="12087" spans="1:12" x14ac:dyDescent="0.35">
      <c r="A12087" t="str">
        <f>T("CESG2")</f>
        <v>CESG2</v>
      </c>
      <c r="B12087" t="str">
        <f>T("2600 TARAWA CT")</f>
        <v>2600 TARAWA CT</v>
      </c>
      <c r="C12087" t="str">
        <f>T("BLDG 1602 SUITE 260")</f>
        <v>BLDG 1602 SUITE 260</v>
      </c>
      <c r="D12087" t="str">
        <f>T("VIRGINIA BCH")</f>
        <v>VIRGINIA BCH</v>
      </c>
      <c r="E12087" t="str">
        <f t="shared" si="4453"/>
        <v>VA</v>
      </c>
      <c r="F12087" t="str">
        <f>T("234599235")</f>
        <v>234599235</v>
      </c>
      <c r="G12087" t="str">
        <f>T("2600 TARAWA CT")</f>
        <v>2600 TARAWA CT</v>
      </c>
      <c r="H12087" t="str">
        <f>T("BLDG 1602 STE 260")</f>
        <v>BLDG 1602 STE 260</v>
      </c>
      <c r="I12087" t="str">
        <f>T("VIRGINIA BEACH")</f>
        <v>VIRGINIA BEACH</v>
      </c>
      <c r="J12087" t="str">
        <f t="shared" si="4454"/>
        <v>VA</v>
      </c>
      <c r="K12087" t="str">
        <f>T("7574627246")</f>
        <v>7574627246</v>
      </c>
      <c r="L12087" t="str">
        <f>T("7574621293")</f>
        <v>7574621293</v>
      </c>
    </row>
    <row r="12088" spans="1:12" x14ac:dyDescent="0.35">
      <c r="A12088" t="str">
        <f>T("CESG2")</f>
        <v>CESG2</v>
      </c>
      <c r="B12088" t="str">
        <f>T("2600 TARAWA CT")</f>
        <v>2600 TARAWA CT</v>
      </c>
      <c r="C12088" t="str">
        <f>T("BLDG 1602 SUITE 260")</f>
        <v>BLDG 1602 SUITE 260</v>
      </c>
      <c r="D12088" t="str">
        <f>T("VIRGINIA BCH")</f>
        <v>VIRGINIA BCH</v>
      </c>
      <c r="E12088" t="str">
        <f t="shared" si="4453"/>
        <v>VA</v>
      </c>
      <c r="F12088" t="str">
        <f>T("234599235")</f>
        <v>234599235</v>
      </c>
      <c r="G12088" t="str">
        <f>T("2600 TARAWA CT")</f>
        <v>2600 TARAWA CT</v>
      </c>
      <c r="H12088" t="str">
        <f>T("BLDG 1602 SUITE 260")</f>
        <v>BLDG 1602 SUITE 260</v>
      </c>
      <c r="I12088" t="str">
        <f>T("VIRGINIA BCH")</f>
        <v>VIRGINIA BCH</v>
      </c>
      <c r="J12088" t="str">
        <f t="shared" si="4454"/>
        <v>VA</v>
      </c>
      <c r="K12088" t="str">
        <f>T("")</f>
        <v/>
      </c>
      <c r="L12088" t="str">
        <f>T("7574624986")</f>
        <v>7574624986</v>
      </c>
    </row>
    <row r="12089" spans="1:12" x14ac:dyDescent="0.35">
      <c r="A12089" t="str">
        <f>T("CESG2")</f>
        <v>CESG2</v>
      </c>
      <c r="B12089" t="str">
        <f>T("2600 TARAWA CT")</f>
        <v>2600 TARAWA CT</v>
      </c>
      <c r="C12089" t="str">
        <f>T("BLDG 1602 SUITE 260")</f>
        <v>BLDG 1602 SUITE 260</v>
      </c>
      <c r="D12089" t="str">
        <f>T("VIRGINIA BCH")</f>
        <v>VIRGINIA BCH</v>
      </c>
      <c r="E12089" t="str">
        <f t="shared" si="4453"/>
        <v>VA</v>
      </c>
      <c r="F12089" t="str">
        <f>T("234599235")</f>
        <v>234599235</v>
      </c>
      <c r="G12089" t="str">
        <f>T("2600 TARAWA CT")</f>
        <v>2600 TARAWA CT</v>
      </c>
      <c r="H12089" t="str">
        <f>T("STE 260")</f>
        <v>STE 260</v>
      </c>
      <c r="I12089" t="str">
        <f>T("VIRGINIA BEACH")</f>
        <v>VIRGINIA BEACH</v>
      </c>
      <c r="J12089" t="str">
        <f t="shared" si="4454"/>
        <v>VA</v>
      </c>
      <c r="K12089" t="str">
        <f>T("7574627246")</f>
        <v>7574627246</v>
      </c>
      <c r="L12089" t="str">
        <f>T("7574621293")</f>
        <v>7574621293</v>
      </c>
    </row>
    <row r="12090" spans="1:12" x14ac:dyDescent="0.35">
      <c r="A12090" t="str">
        <f>T("CESG2")</f>
        <v>CESG2</v>
      </c>
      <c r="B12090" t="str">
        <f>T("2600 TARAWA CT")</f>
        <v>2600 TARAWA CT</v>
      </c>
      <c r="C12090" t="str">
        <f>T("BLDG 1602 SUITE 260")</f>
        <v>BLDG 1602 SUITE 260</v>
      </c>
      <c r="D12090" t="str">
        <f>T("VIRGINIA BCH")</f>
        <v>VIRGINIA BCH</v>
      </c>
      <c r="E12090" t="str">
        <f t="shared" si="4453"/>
        <v>VA</v>
      </c>
      <c r="F12090" t="str">
        <f>T("234599235")</f>
        <v>234599235</v>
      </c>
      <c r="G12090" t="str">
        <f>T("2600 TARAWA CT")</f>
        <v>2600 TARAWA CT</v>
      </c>
      <c r="H12090" t="str">
        <f>T("STE 260")</f>
        <v>STE 260</v>
      </c>
      <c r="I12090" t="str">
        <f>T("VIRGINIA BEACH")</f>
        <v>VIRGINIA BEACH</v>
      </c>
      <c r="J12090" t="str">
        <f t="shared" si="4454"/>
        <v>VA</v>
      </c>
      <c r="K12090" t="str">
        <f>T("7574627246")</f>
        <v>7574627246</v>
      </c>
      <c r="L12090" t="str">
        <f>T("7574627245")</f>
        <v>7574627245</v>
      </c>
    </row>
    <row r="12091" spans="1:12" x14ac:dyDescent="0.35">
      <c r="A12091" t="str">
        <f>T("CESG2")</f>
        <v>CESG2</v>
      </c>
      <c r="B12091" t="str">
        <f>T("2600 TARAWA CT")</f>
        <v>2600 TARAWA CT</v>
      </c>
      <c r="C12091" t="str">
        <f>T("BLDG 1602 SUITE 260")</f>
        <v>BLDG 1602 SUITE 260</v>
      </c>
      <c r="D12091" t="str">
        <f>T("VIRGINIA BCH")</f>
        <v>VIRGINIA BCH</v>
      </c>
      <c r="E12091" t="str">
        <f t="shared" si="4453"/>
        <v>VA</v>
      </c>
      <c r="F12091" t="str">
        <f>T("234599235")</f>
        <v>234599235</v>
      </c>
      <c r="G12091" t="str">
        <f>T("2600 TARAWA CT SUITE 260")</f>
        <v>2600 TARAWA CT SUITE 260</v>
      </c>
      <c r="H12091" t="str">
        <f>T("BLDG 1602")</f>
        <v>BLDG 1602</v>
      </c>
      <c r="I12091" t="str">
        <f>T("VIRGINIA BEACH")</f>
        <v>VIRGINIA BEACH</v>
      </c>
      <c r="J12091" t="str">
        <f t="shared" si="4454"/>
        <v>VA</v>
      </c>
      <c r="K12091" t="str">
        <f>T("000000000000000000")</f>
        <v>000000000000000000</v>
      </c>
      <c r="L12091" t="str">
        <f>T("7574621269")</f>
        <v>7574621269</v>
      </c>
    </row>
    <row r="12092" spans="1:12" x14ac:dyDescent="0.35">
      <c r="A12092" t="str">
        <f t="shared" ref="A12092:B12094" si="4455">T("CCSG10")</f>
        <v>CCSG10</v>
      </c>
      <c r="B12092" t="str">
        <f t="shared" si="4455"/>
        <v>CCSG10</v>
      </c>
      <c r="C12092" t="str">
        <f>T("9756 DECATUR AVE STE 100")</f>
        <v>9756 DECATUR AVE STE 100</v>
      </c>
      <c r="D12092" t="str">
        <f>T("NORFOLK")</f>
        <v>NORFOLK</v>
      </c>
      <c r="E12092" t="str">
        <f t="shared" si="4453"/>
        <v>VA</v>
      </c>
      <c r="F12092" t="str">
        <f>T("235113234")</f>
        <v>235113234</v>
      </c>
      <c r="G12092" t="str">
        <f>T("CCSG10")</f>
        <v>CCSG10</v>
      </c>
      <c r="H12092" t="str">
        <f>T("9756 DECATUR AVE STE 100")</f>
        <v>9756 DECATUR AVE STE 100</v>
      </c>
      <c r="I12092" t="str">
        <f>T("NORFOLK")</f>
        <v>NORFOLK</v>
      </c>
      <c r="J12092" t="str">
        <f t="shared" si="4454"/>
        <v>VA</v>
      </c>
      <c r="K12092" t="str">
        <f>T("")</f>
        <v/>
      </c>
      <c r="L12092" t="str">
        <f>T("7573416998")</f>
        <v>7573416998</v>
      </c>
    </row>
    <row r="12093" spans="1:12" x14ac:dyDescent="0.35">
      <c r="A12093" t="str">
        <f t="shared" si="4455"/>
        <v>CCSG10</v>
      </c>
      <c r="B12093" t="str">
        <f t="shared" si="4455"/>
        <v>CCSG10</v>
      </c>
      <c r="C12093" t="str">
        <f>T("9756 DECATUR AVE STE 100")</f>
        <v>9756 DECATUR AVE STE 100</v>
      </c>
      <c r="D12093" t="str">
        <f>T("NORFOLK")</f>
        <v>NORFOLK</v>
      </c>
      <c r="E12093" t="str">
        <f t="shared" si="4453"/>
        <v>VA</v>
      </c>
      <c r="F12093" t="str">
        <f>T("235113234")</f>
        <v>235113234</v>
      </c>
      <c r="G12093" t="str">
        <f>T("COMCARSTRKGRU TEN")</f>
        <v>COMCARSTRKGRU TEN</v>
      </c>
      <c r="H12093" t="str">
        <f>T("9756 DECATUR AVE STE 100")</f>
        <v>9756 DECATUR AVE STE 100</v>
      </c>
      <c r="I12093" t="str">
        <f>T("NORFOLK")</f>
        <v>NORFOLK</v>
      </c>
      <c r="J12093" t="str">
        <f t="shared" si="4454"/>
        <v>VA</v>
      </c>
      <c r="K12093" t="str">
        <f>T("000000000000000000")</f>
        <v>000000000000000000</v>
      </c>
      <c r="L12093" t="str">
        <f>T("7573417200")</f>
        <v>7573417200</v>
      </c>
    </row>
    <row r="12094" spans="1:12" x14ac:dyDescent="0.35">
      <c r="A12094" t="str">
        <f t="shared" si="4455"/>
        <v>CCSG10</v>
      </c>
      <c r="B12094" t="str">
        <f t="shared" si="4455"/>
        <v>CCSG10</v>
      </c>
      <c r="C12094" t="str">
        <f>T("9756 DECATUR AVE STE 100")</f>
        <v>9756 DECATUR AVE STE 100</v>
      </c>
      <c r="D12094" t="str">
        <f>T("NORFOLK")</f>
        <v>NORFOLK</v>
      </c>
      <c r="E12094" t="str">
        <f t="shared" si="4453"/>
        <v>VA</v>
      </c>
      <c r="F12094" t="str">
        <f>T("235113234")</f>
        <v>235113234</v>
      </c>
      <c r="G12094" t="str">
        <f>T("COMCARSTRKGRU TEN")</f>
        <v>COMCARSTRKGRU TEN</v>
      </c>
      <c r="H12094" t="str">
        <f>T("9756 DECATUR AVENUE")</f>
        <v>9756 DECATUR AVENUE</v>
      </c>
      <c r="I12094" t="str">
        <f>T("NORFOLK")</f>
        <v>NORFOLK</v>
      </c>
      <c r="J12094" t="str">
        <f t="shared" si="4454"/>
        <v>VA</v>
      </c>
      <c r="K12094" t="str">
        <f>T("000000000000000000")</f>
        <v>000000000000000000</v>
      </c>
      <c r="L12094" t="str">
        <f>T("7573417017")</f>
        <v>7573417017</v>
      </c>
    </row>
    <row r="12095" spans="1:12" x14ac:dyDescent="0.35">
      <c r="A12095" t="str">
        <f t="shared" ref="A12095:A12105" si="4456">T("USNAVCENT")</f>
        <v>USNAVCENT</v>
      </c>
      <c r="B12095" t="str">
        <f t="shared" ref="B12095:B12101" si="4457">T("COMUSNAVCENT")</f>
        <v>COMUSNAVCENT</v>
      </c>
      <c r="C12095" t="str">
        <f t="shared" ref="C12095:C12101" si="4458">T("PSC 901 BOX 40")</f>
        <v>PSC 901 BOX 40</v>
      </c>
      <c r="D12095" t="str">
        <f t="shared" ref="D12095:D12107" si="4459">T("FPO")</f>
        <v>FPO</v>
      </c>
      <c r="E12095" t="str">
        <f t="shared" ref="E12095:E12105" si="4460">T("AE")</f>
        <v>AE</v>
      </c>
      <c r="F12095" t="str">
        <f t="shared" ref="F12095:F12105" si="4461">T("098050001")</f>
        <v>098050001</v>
      </c>
      <c r="G12095" t="str">
        <f>T("COMUSNAVCENT")</f>
        <v>COMUSNAVCENT</v>
      </c>
      <c r="H12095" t="str">
        <f>T("PSC 901 BOX 40")</f>
        <v>PSC 901 BOX 40</v>
      </c>
      <c r="I12095" t="str">
        <f t="shared" ref="I12095:I12107" si="4462">T("FPO")</f>
        <v>FPO</v>
      </c>
      <c r="J12095" t="str">
        <f t="shared" ref="J12095:J12105" si="4463">T("AE")</f>
        <v>AE</v>
      </c>
      <c r="K12095" t="str">
        <f>T("97317854415")</f>
        <v>97317854415</v>
      </c>
      <c r="L12095" t="str">
        <f>T("1111111111")</f>
        <v>1111111111</v>
      </c>
    </row>
    <row r="12096" spans="1:12" x14ac:dyDescent="0.35">
      <c r="A12096" t="str">
        <f t="shared" si="4456"/>
        <v>USNAVCENT</v>
      </c>
      <c r="B12096" t="str">
        <f t="shared" si="4457"/>
        <v>COMUSNAVCENT</v>
      </c>
      <c r="C12096" t="str">
        <f t="shared" si="4458"/>
        <v>PSC 901 BOX 40</v>
      </c>
      <c r="D12096" t="str">
        <f t="shared" si="4459"/>
        <v>FPO</v>
      </c>
      <c r="E12096" t="str">
        <f t="shared" si="4460"/>
        <v>AE</v>
      </c>
      <c r="F12096" t="str">
        <f t="shared" si="4461"/>
        <v>098050001</v>
      </c>
      <c r="G12096" t="str">
        <f>T("PSC 901")</f>
        <v>PSC 901</v>
      </c>
      <c r="H12096" t="str">
        <f>T("BOX 40")</f>
        <v>BOX 40</v>
      </c>
      <c r="I12096" t="str">
        <f t="shared" si="4462"/>
        <v>FPO</v>
      </c>
      <c r="J12096" t="str">
        <f t="shared" si="4463"/>
        <v>AE</v>
      </c>
      <c r="K12096" t="str">
        <f>T("97336646101")</f>
        <v>97336646101</v>
      </c>
      <c r="L12096" t="str">
        <f>T("1111111111")</f>
        <v>1111111111</v>
      </c>
    </row>
    <row r="12097" spans="1:12" x14ac:dyDescent="0.35">
      <c r="A12097" t="str">
        <f t="shared" si="4456"/>
        <v>USNAVCENT</v>
      </c>
      <c r="B12097" t="str">
        <f t="shared" si="4457"/>
        <v>COMUSNAVCENT</v>
      </c>
      <c r="C12097" t="str">
        <f t="shared" si="4458"/>
        <v>PSC 901 BOX 40</v>
      </c>
      <c r="D12097" t="str">
        <f t="shared" si="4459"/>
        <v>FPO</v>
      </c>
      <c r="E12097" t="str">
        <f t="shared" si="4460"/>
        <v>AE</v>
      </c>
      <c r="F12097" t="str">
        <f t="shared" si="4461"/>
        <v>098050001</v>
      </c>
      <c r="G12097" t="str">
        <f t="shared" ref="G12097:G12105" si="4464">T("PSC 901 BOX 40")</f>
        <v>PSC 901 BOX 40</v>
      </c>
      <c r="H12097" t="str">
        <f t="shared" ref="H12097:H12104" si="4465">T("")</f>
        <v/>
      </c>
      <c r="I12097" t="str">
        <f t="shared" si="4462"/>
        <v>FPO</v>
      </c>
      <c r="J12097" t="str">
        <f t="shared" si="4463"/>
        <v>AE</v>
      </c>
      <c r="K12097" t="str">
        <f>T("000000000000000000")</f>
        <v>000000000000000000</v>
      </c>
      <c r="L12097" t="str">
        <f>T("3184394155")</f>
        <v>3184394155</v>
      </c>
    </row>
    <row r="12098" spans="1:12" x14ac:dyDescent="0.35">
      <c r="A12098" t="str">
        <f t="shared" si="4456"/>
        <v>USNAVCENT</v>
      </c>
      <c r="B12098" t="str">
        <f t="shared" si="4457"/>
        <v>COMUSNAVCENT</v>
      </c>
      <c r="C12098" t="str">
        <f t="shared" si="4458"/>
        <v>PSC 901 BOX 40</v>
      </c>
      <c r="D12098" t="str">
        <f t="shared" si="4459"/>
        <v>FPO</v>
      </c>
      <c r="E12098" t="str">
        <f t="shared" si="4460"/>
        <v>AE</v>
      </c>
      <c r="F12098" t="str">
        <f t="shared" si="4461"/>
        <v>098050001</v>
      </c>
      <c r="G12098" t="str">
        <f t="shared" si="4464"/>
        <v>PSC 901 BOX 40</v>
      </c>
      <c r="H12098" t="str">
        <f t="shared" si="4465"/>
        <v/>
      </c>
      <c r="I12098" t="str">
        <f t="shared" si="4462"/>
        <v>FPO</v>
      </c>
      <c r="J12098" t="str">
        <f t="shared" si="4463"/>
        <v>AE</v>
      </c>
      <c r="K12098" t="str">
        <f>T("000000000000000000")</f>
        <v>000000000000000000</v>
      </c>
      <c r="L12098" t="str">
        <f>T("3184394610")</f>
        <v>3184394610</v>
      </c>
    </row>
    <row r="12099" spans="1:12" x14ac:dyDescent="0.35">
      <c r="A12099" t="str">
        <f t="shared" si="4456"/>
        <v>USNAVCENT</v>
      </c>
      <c r="B12099" t="str">
        <f t="shared" si="4457"/>
        <v>COMUSNAVCENT</v>
      </c>
      <c r="C12099" t="str">
        <f t="shared" si="4458"/>
        <v>PSC 901 BOX 40</v>
      </c>
      <c r="D12099" t="str">
        <f t="shared" si="4459"/>
        <v>FPO</v>
      </c>
      <c r="E12099" t="str">
        <f t="shared" si="4460"/>
        <v>AE</v>
      </c>
      <c r="F12099" t="str">
        <f t="shared" si="4461"/>
        <v>098050001</v>
      </c>
      <c r="G12099" t="str">
        <f t="shared" si="4464"/>
        <v>PSC 901 BOX 40</v>
      </c>
      <c r="H12099" t="str">
        <f t="shared" si="4465"/>
        <v/>
      </c>
      <c r="I12099" t="str">
        <f t="shared" si="4462"/>
        <v>FPO</v>
      </c>
      <c r="J12099" t="str">
        <f t="shared" si="4463"/>
        <v>AE</v>
      </c>
      <c r="K12099" t="str">
        <f>T("97317854155")</f>
        <v>97317854155</v>
      </c>
      <c r="L12099" t="str">
        <f>T("1111111111")</f>
        <v>1111111111</v>
      </c>
    </row>
    <row r="12100" spans="1:12" x14ac:dyDescent="0.35">
      <c r="A12100" t="str">
        <f t="shared" si="4456"/>
        <v>USNAVCENT</v>
      </c>
      <c r="B12100" t="str">
        <f t="shared" si="4457"/>
        <v>COMUSNAVCENT</v>
      </c>
      <c r="C12100" t="str">
        <f t="shared" si="4458"/>
        <v>PSC 901 BOX 40</v>
      </c>
      <c r="D12100" t="str">
        <f t="shared" si="4459"/>
        <v>FPO</v>
      </c>
      <c r="E12100" t="str">
        <f t="shared" si="4460"/>
        <v>AE</v>
      </c>
      <c r="F12100" t="str">
        <f t="shared" si="4461"/>
        <v>098050001</v>
      </c>
      <c r="G12100" t="str">
        <f t="shared" si="4464"/>
        <v>PSC 901 BOX 40</v>
      </c>
      <c r="H12100" t="str">
        <f t="shared" si="4465"/>
        <v/>
      </c>
      <c r="I12100" t="str">
        <f t="shared" si="4462"/>
        <v>FPO</v>
      </c>
      <c r="J12100" t="str">
        <f t="shared" si="4463"/>
        <v>AE</v>
      </c>
      <c r="K12100" t="str">
        <f>T("97317854610")</f>
        <v>97317854610</v>
      </c>
      <c r="L12100" t="str">
        <f>T("1111111111")</f>
        <v>1111111111</v>
      </c>
    </row>
    <row r="12101" spans="1:12" x14ac:dyDescent="0.35">
      <c r="A12101" t="str">
        <f t="shared" si="4456"/>
        <v>USNAVCENT</v>
      </c>
      <c r="B12101" t="str">
        <f t="shared" si="4457"/>
        <v>COMUSNAVCENT</v>
      </c>
      <c r="C12101" t="str">
        <f t="shared" si="4458"/>
        <v>PSC 901 BOX 40</v>
      </c>
      <c r="D12101" t="str">
        <f t="shared" si="4459"/>
        <v>FPO</v>
      </c>
      <c r="E12101" t="str">
        <f t="shared" si="4460"/>
        <v>AE</v>
      </c>
      <c r="F12101" t="str">
        <f t="shared" si="4461"/>
        <v>098050001</v>
      </c>
      <c r="G12101" t="str">
        <f t="shared" si="4464"/>
        <v>PSC 901 BOX 40</v>
      </c>
      <c r="H12101" t="str">
        <f t="shared" si="4465"/>
        <v/>
      </c>
      <c r="I12101" t="str">
        <f t="shared" si="4462"/>
        <v>FPO</v>
      </c>
      <c r="J12101" t="str">
        <f t="shared" si="4463"/>
        <v>AE</v>
      </c>
      <c r="K12101" t="str">
        <f>T("97317856101")</f>
        <v>97317856101</v>
      </c>
      <c r="L12101" t="str">
        <f>T("1111111111")</f>
        <v>1111111111</v>
      </c>
    </row>
    <row r="12102" spans="1:12" x14ac:dyDescent="0.35">
      <c r="A12102" t="str">
        <f t="shared" si="4456"/>
        <v>USNAVCENT</v>
      </c>
      <c r="B12102" t="str">
        <f>T("PSC 901 BOX 40")</f>
        <v>PSC 901 BOX 40</v>
      </c>
      <c r="C12102" t="str">
        <f>T("NAVCENT")</f>
        <v>NAVCENT</v>
      </c>
      <c r="D12102" t="str">
        <f t="shared" si="4459"/>
        <v>FPO</v>
      </c>
      <c r="E12102" t="str">
        <f t="shared" si="4460"/>
        <v>AE</v>
      </c>
      <c r="F12102" t="str">
        <f t="shared" si="4461"/>
        <v>098050001</v>
      </c>
      <c r="G12102" t="str">
        <f t="shared" si="4464"/>
        <v>PSC 901 BOX 40</v>
      </c>
      <c r="H12102" t="str">
        <f t="shared" si="4465"/>
        <v/>
      </c>
      <c r="I12102" t="str">
        <f t="shared" si="4462"/>
        <v>FPO</v>
      </c>
      <c r="J12102" t="str">
        <f t="shared" si="4463"/>
        <v>AE</v>
      </c>
      <c r="K12102" t="str">
        <f>T("000000000000000000")</f>
        <v>000000000000000000</v>
      </c>
      <c r="L12102" t="str">
        <f>T("3184394155")</f>
        <v>3184394155</v>
      </c>
    </row>
    <row r="12103" spans="1:12" x14ac:dyDescent="0.35">
      <c r="A12103" t="str">
        <f t="shared" si="4456"/>
        <v>USNAVCENT</v>
      </c>
      <c r="B12103" t="str">
        <f>T("PSC 901 BOX 40")</f>
        <v>PSC 901 BOX 40</v>
      </c>
      <c r="C12103" t="str">
        <f>T("NAVCENT")</f>
        <v>NAVCENT</v>
      </c>
      <c r="D12103" t="str">
        <f t="shared" si="4459"/>
        <v>FPO</v>
      </c>
      <c r="E12103" t="str">
        <f t="shared" si="4460"/>
        <v>AE</v>
      </c>
      <c r="F12103" t="str">
        <f t="shared" si="4461"/>
        <v>098050001</v>
      </c>
      <c r="G12103" t="str">
        <f t="shared" si="4464"/>
        <v>PSC 901 BOX 40</v>
      </c>
      <c r="H12103" t="str">
        <f t="shared" si="4465"/>
        <v/>
      </c>
      <c r="I12103" t="str">
        <f t="shared" si="4462"/>
        <v>FPO</v>
      </c>
      <c r="J12103" t="str">
        <f t="shared" si="4463"/>
        <v>AE</v>
      </c>
      <c r="K12103" t="str">
        <f>T("0119734394155")</f>
        <v>0119734394155</v>
      </c>
      <c r="L12103" t="str">
        <f>T("1111111111")</f>
        <v>1111111111</v>
      </c>
    </row>
    <row r="12104" spans="1:12" x14ac:dyDescent="0.35">
      <c r="A12104" t="str">
        <f t="shared" si="4456"/>
        <v>USNAVCENT</v>
      </c>
      <c r="B12104" t="str">
        <f>T("PSC 901 BOX 40")</f>
        <v>PSC 901 BOX 40</v>
      </c>
      <c r="C12104" t="str">
        <f>T("NAVCENT")</f>
        <v>NAVCENT</v>
      </c>
      <c r="D12104" t="str">
        <f t="shared" si="4459"/>
        <v>FPO</v>
      </c>
      <c r="E12104" t="str">
        <f t="shared" si="4460"/>
        <v>AE</v>
      </c>
      <c r="F12104" t="str">
        <f t="shared" si="4461"/>
        <v>098050001</v>
      </c>
      <c r="G12104" t="str">
        <f t="shared" si="4464"/>
        <v>PSC 901 BOX 40</v>
      </c>
      <c r="H12104" t="str">
        <f t="shared" si="4465"/>
        <v/>
      </c>
      <c r="I12104" t="str">
        <f t="shared" si="4462"/>
        <v>FPO</v>
      </c>
      <c r="J12104" t="str">
        <f t="shared" si="4463"/>
        <v>AE</v>
      </c>
      <c r="K12104" t="str">
        <f>T("97317854610")</f>
        <v>97317854610</v>
      </c>
      <c r="L12104" t="str">
        <f>T("1111111111")</f>
        <v>1111111111</v>
      </c>
    </row>
    <row r="12105" spans="1:12" x14ac:dyDescent="0.35">
      <c r="A12105" t="str">
        <f t="shared" si="4456"/>
        <v>USNAVCENT</v>
      </c>
      <c r="B12105" t="str">
        <f>T("PSC 901 BOX 40")</f>
        <v>PSC 901 BOX 40</v>
      </c>
      <c r="C12105" t="str">
        <f>T("NAVCENT")</f>
        <v>NAVCENT</v>
      </c>
      <c r="D12105" t="str">
        <f t="shared" si="4459"/>
        <v>FPO</v>
      </c>
      <c r="E12105" t="str">
        <f t="shared" si="4460"/>
        <v>AE</v>
      </c>
      <c r="F12105" t="str">
        <f t="shared" si="4461"/>
        <v>098050001</v>
      </c>
      <c r="G12105" t="str">
        <f t="shared" si="4464"/>
        <v>PSC 901 BOX 40</v>
      </c>
      <c r="H12105" t="str">
        <f>T("NAVCENT")</f>
        <v>NAVCENT</v>
      </c>
      <c r="I12105" t="str">
        <f t="shared" si="4462"/>
        <v>FPO</v>
      </c>
      <c r="J12105" t="str">
        <f t="shared" si="4463"/>
        <v>AE</v>
      </c>
      <c r="K12105" t="str">
        <f>T("97317854415")</f>
        <v>97317854415</v>
      </c>
      <c r="L12105" t="str">
        <f>T("1111111111")</f>
        <v>1111111111</v>
      </c>
    </row>
    <row r="12106" spans="1:12" x14ac:dyDescent="0.35">
      <c r="A12106" t="str">
        <f t="shared" ref="A12106:A12113" si="4466">T("USNAVSO")</f>
        <v>USNAVSO</v>
      </c>
      <c r="B12106" t="str">
        <f>T("CSL COMALAPA")</f>
        <v>CSL COMALAPA</v>
      </c>
      <c r="C12106" t="str">
        <f>T("UNIT 60001")</f>
        <v>UNIT 60001</v>
      </c>
      <c r="D12106" t="str">
        <f t="shared" si="4459"/>
        <v>FPO</v>
      </c>
      <c r="E12106" t="str">
        <f>T("AA")</f>
        <v>AA</v>
      </c>
      <c r="F12106" t="str">
        <f>T("340079997")</f>
        <v>340079997</v>
      </c>
      <c r="G12106" t="str">
        <f>T("CSL COMALAPA")</f>
        <v>CSL COMALAPA</v>
      </c>
      <c r="H12106" t="str">
        <f>T("UNIT 60001")</f>
        <v>UNIT 60001</v>
      </c>
      <c r="I12106" t="str">
        <f t="shared" si="4462"/>
        <v>FPO</v>
      </c>
      <c r="J12106" t="str">
        <f>T("AA")</f>
        <v>AA</v>
      </c>
      <c r="K12106" t="str">
        <f>T("")</f>
        <v/>
      </c>
      <c r="L12106" t="str">
        <f>T("1111111111")</f>
        <v>1111111111</v>
      </c>
    </row>
    <row r="12107" spans="1:12" x14ac:dyDescent="0.35">
      <c r="A12107" t="str">
        <f t="shared" si="4466"/>
        <v>USNAVSO</v>
      </c>
      <c r="B12107" t="str">
        <f>T("CSL COMALAPA")</f>
        <v>CSL COMALAPA</v>
      </c>
      <c r="C12107" t="str">
        <f>T("UNIT 60001")</f>
        <v>UNIT 60001</v>
      </c>
      <c r="D12107" t="str">
        <f t="shared" si="4459"/>
        <v>FPO</v>
      </c>
      <c r="E12107" t="str">
        <f>T("AA")</f>
        <v>AA</v>
      </c>
      <c r="F12107" t="str">
        <f>T("340079997")</f>
        <v>340079997</v>
      </c>
      <c r="G12107" t="str">
        <f>T("CSL COMALAPA")</f>
        <v>CSL COMALAPA</v>
      </c>
      <c r="H12107" t="str">
        <f>T("UNIT 60001")</f>
        <v>UNIT 60001</v>
      </c>
      <c r="I12107" t="str">
        <f t="shared" si="4462"/>
        <v>FPO</v>
      </c>
      <c r="J12107" t="str">
        <f>T("AA")</f>
        <v>AA</v>
      </c>
      <c r="K12107" t="str">
        <f t="shared" ref="K12107:K12113" si="4467">T("9042704092")</f>
        <v>9042704092</v>
      </c>
      <c r="L12107" t="str">
        <f>T("9042704933")</f>
        <v>9042704933</v>
      </c>
    </row>
    <row r="12108" spans="1:12" x14ac:dyDescent="0.35">
      <c r="A12108" t="str">
        <f t="shared" si="4466"/>
        <v>USNAVSO</v>
      </c>
      <c r="B12108" t="str">
        <f t="shared" ref="B12108:B12113" si="4468">T("US NAVAL STATION MAYPORT")</f>
        <v>US NAVAL STATION MAYPORT</v>
      </c>
      <c r="C12108" t="str">
        <f t="shared" ref="C12108:C12113" si="4469">T("BLDG 1878 COMUSNAVSO/C4F")</f>
        <v>BLDG 1878 COMUSNAVSO/C4F</v>
      </c>
      <c r="D12108" t="str">
        <f t="shared" ref="D12108:D12113" si="4470">T("MAYPORT")</f>
        <v>MAYPORT</v>
      </c>
      <c r="E12108" t="str">
        <f t="shared" ref="E12108:E12113" si="4471">T("FL")</f>
        <v>FL</v>
      </c>
      <c r="F12108" t="str">
        <f t="shared" ref="F12108:F12113" si="4472">T("322280003")</f>
        <v>322280003</v>
      </c>
      <c r="G12108" t="str">
        <f t="shared" ref="G12108:G12113" si="4473">T("US NAVAL STATION MAYPORT")</f>
        <v>US NAVAL STATION MAYPORT</v>
      </c>
      <c r="H12108" t="str">
        <f>T("BLDG 1878 COMUSNAVSO/C4F")</f>
        <v>BLDG 1878 COMUSNAVSO/C4F</v>
      </c>
      <c r="I12108" t="str">
        <f t="shared" ref="I12108:I12113" si="4474">T("MAYPORT")</f>
        <v>MAYPORT</v>
      </c>
      <c r="J12108" t="str">
        <f t="shared" ref="J12108:J12113" si="4475">T("FL")</f>
        <v>FL</v>
      </c>
      <c r="K12108" t="str">
        <f t="shared" si="4467"/>
        <v>9042704092</v>
      </c>
      <c r="L12108" t="str">
        <f>T("9042703138")</f>
        <v>9042703138</v>
      </c>
    </row>
    <row r="12109" spans="1:12" x14ac:dyDescent="0.35">
      <c r="A12109" t="str">
        <f t="shared" si="4466"/>
        <v>USNAVSO</v>
      </c>
      <c r="B12109" t="str">
        <f t="shared" si="4468"/>
        <v>US NAVAL STATION MAYPORT</v>
      </c>
      <c r="C12109" t="str">
        <f t="shared" si="4469"/>
        <v>BLDG 1878 COMUSNAVSO/C4F</v>
      </c>
      <c r="D12109" t="str">
        <f t="shared" si="4470"/>
        <v>MAYPORT</v>
      </c>
      <c r="E12109" t="str">
        <f t="shared" si="4471"/>
        <v>FL</v>
      </c>
      <c r="F12109" t="str">
        <f t="shared" si="4472"/>
        <v>322280003</v>
      </c>
      <c r="G12109" t="str">
        <f t="shared" si="4473"/>
        <v>US NAVAL STATION MAYPORT</v>
      </c>
      <c r="H12109" t="str">
        <f>T("BLDG 1878 COMUSNAVSO/C4F")</f>
        <v>BLDG 1878 COMUSNAVSO/C4F</v>
      </c>
      <c r="I12109" t="str">
        <f t="shared" si="4474"/>
        <v>MAYPORT</v>
      </c>
      <c r="J12109" t="str">
        <f t="shared" si="4475"/>
        <v>FL</v>
      </c>
      <c r="K12109" t="str">
        <f t="shared" si="4467"/>
        <v>9042704092</v>
      </c>
      <c r="L12109" t="str">
        <f>T("9042704700")</f>
        <v>9042704700</v>
      </c>
    </row>
    <row r="12110" spans="1:12" x14ac:dyDescent="0.35">
      <c r="A12110" t="str">
        <f t="shared" si="4466"/>
        <v>USNAVSO</v>
      </c>
      <c r="B12110" t="str">
        <f t="shared" si="4468"/>
        <v>US NAVAL STATION MAYPORT</v>
      </c>
      <c r="C12110" t="str">
        <f t="shared" si="4469"/>
        <v>BLDG 1878 COMUSNAVSO/C4F</v>
      </c>
      <c r="D12110" t="str">
        <f t="shared" si="4470"/>
        <v>MAYPORT</v>
      </c>
      <c r="E12110" t="str">
        <f t="shared" si="4471"/>
        <v>FL</v>
      </c>
      <c r="F12110" t="str">
        <f t="shared" si="4472"/>
        <v>322280003</v>
      </c>
      <c r="G12110" t="str">
        <f t="shared" si="4473"/>
        <v>US NAVAL STATION MAYPORT</v>
      </c>
      <c r="H12110" t="str">
        <f>T("BLDG 1878 COMUSNAVSO/C4F")</f>
        <v>BLDG 1878 COMUSNAVSO/C4F</v>
      </c>
      <c r="I12110" t="str">
        <f t="shared" si="4474"/>
        <v>MAYPORT</v>
      </c>
      <c r="J12110" t="str">
        <f t="shared" si="4475"/>
        <v>FL</v>
      </c>
      <c r="K12110" t="str">
        <f t="shared" si="4467"/>
        <v>9042704092</v>
      </c>
      <c r="L12110" t="str">
        <f>T("9042704726")</f>
        <v>9042704726</v>
      </c>
    </row>
    <row r="12111" spans="1:12" x14ac:dyDescent="0.35">
      <c r="A12111" t="str">
        <f t="shared" si="4466"/>
        <v>USNAVSO</v>
      </c>
      <c r="B12111" t="str">
        <f t="shared" si="4468"/>
        <v>US NAVAL STATION MAYPORT</v>
      </c>
      <c r="C12111" t="str">
        <f t="shared" si="4469"/>
        <v>BLDG 1878 COMUSNAVSO/C4F</v>
      </c>
      <c r="D12111" t="str">
        <f t="shared" si="4470"/>
        <v>MAYPORT</v>
      </c>
      <c r="E12111" t="str">
        <f t="shared" si="4471"/>
        <v>FL</v>
      </c>
      <c r="F12111" t="str">
        <f t="shared" si="4472"/>
        <v>322280003</v>
      </c>
      <c r="G12111" t="str">
        <f t="shared" si="4473"/>
        <v>US NAVAL STATION MAYPORT</v>
      </c>
      <c r="H12111" t="str">
        <f>T("BLDG 1878 COMUSNAVSO/C4F")</f>
        <v>BLDG 1878 COMUSNAVSO/C4F</v>
      </c>
      <c r="I12111" t="str">
        <f t="shared" si="4474"/>
        <v>MAYPORT</v>
      </c>
      <c r="J12111" t="str">
        <f t="shared" si="4475"/>
        <v>FL</v>
      </c>
      <c r="K12111" t="str">
        <f t="shared" si="4467"/>
        <v>9042704092</v>
      </c>
      <c r="L12111" t="str">
        <f>T("9042704933")</f>
        <v>9042704933</v>
      </c>
    </row>
    <row r="12112" spans="1:12" x14ac:dyDescent="0.35">
      <c r="A12112" t="str">
        <f t="shared" si="4466"/>
        <v>USNAVSO</v>
      </c>
      <c r="B12112" t="str">
        <f t="shared" si="4468"/>
        <v>US NAVAL STATION MAYPORT</v>
      </c>
      <c r="C12112" t="str">
        <f t="shared" si="4469"/>
        <v>BLDG 1878 COMUSNAVSO/C4F</v>
      </c>
      <c r="D12112" t="str">
        <f t="shared" si="4470"/>
        <v>MAYPORT</v>
      </c>
      <c r="E12112" t="str">
        <f t="shared" si="4471"/>
        <v>FL</v>
      </c>
      <c r="F12112" t="str">
        <f t="shared" si="4472"/>
        <v>322280003</v>
      </c>
      <c r="G12112" t="str">
        <f t="shared" si="4473"/>
        <v>US NAVAL STATION MAYPORT</v>
      </c>
      <c r="H12112" t="str">
        <f>T("BLDG 1878 COMUSNAVSO/C4F")</f>
        <v>BLDG 1878 COMUSNAVSO/C4F</v>
      </c>
      <c r="I12112" t="str">
        <f t="shared" si="4474"/>
        <v>MAYPORT</v>
      </c>
      <c r="J12112" t="str">
        <f t="shared" si="4475"/>
        <v>FL</v>
      </c>
      <c r="K12112" t="str">
        <f t="shared" si="4467"/>
        <v>9042704092</v>
      </c>
      <c r="L12112" t="str">
        <f>T("9042705856")</f>
        <v>9042705856</v>
      </c>
    </row>
    <row r="12113" spans="1:12" x14ac:dyDescent="0.35">
      <c r="A12113" t="str">
        <f t="shared" si="4466"/>
        <v>USNAVSO</v>
      </c>
      <c r="B12113" t="str">
        <f t="shared" si="4468"/>
        <v>US NAVAL STATION MAYPORT</v>
      </c>
      <c r="C12113" t="str">
        <f t="shared" si="4469"/>
        <v>BLDG 1878 COMUSNAVSO/C4F</v>
      </c>
      <c r="D12113" t="str">
        <f t="shared" si="4470"/>
        <v>MAYPORT</v>
      </c>
      <c r="E12113" t="str">
        <f t="shared" si="4471"/>
        <v>FL</v>
      </c>
      <c r="F12113" t="str">
        <f t="shared" si="4472"/>
        <v>322280003</v>
      </c>
      <c r="G12113" t="str">
        <f t="shared" si="4473"/>
        <v>US NAVAL STATION MAYPORT</v>
      </c>
      <c r="H12113" t="str">
        <f>T("BLDG 3 COMUSNAVSO/C4F")</f>
        <v>BLDG 3 COMUSNAVSO/C4F</v>
      </c>
      <c r="I12113" t="str">
        <f t="shared" si="4474"/>
        <v>MAYPORT</v>
      </c>
      <c r="J12113" t="str">
        <f t="shared" si="4475"/>
        <v>FL</v>
      </c>
      <c r="K12113" t="str">
        <f t="shared" si="4467"/>
        <v>9042704092</v>
      </c>
      <c r="L12113" t="str">
        <f>T("9042704700")</f>
        <v>9042704700</v>
      </c>
    </row>
    <row r="12114" spans="1:12" x14ac:dyDescent="0.35">
      <c r="A12114" t="str">
        <f t="shared" ref="A12114:A12123" si="4476">T("FDRMC")</f>
        <v>FDRMC</v>
      </c>
      <c r="B12114" t="str">
        <f>T("PSC 451 BOX 550")</f>
        <v>PSC 451 BOX 550</v>
      </c>
      <c r="C12114" t="str">
        <f t="shared" ref="C12114:C12123" si="4477">T("")</f>
        <v/>
      </c>
      <c r="D12114" t="str">
        <f t="shared" ref="D12114:D12123" si="4478">T("FPO")</f>
        <v>FPO</v>
      </c>
      <c r="E12114" t="str">
        <f t="shared" ref="E12114:E12123" si="4479">T("AE")</f>
        <v>AE</v>
      </c>
      <c r="F12114" t="str">
        <f>T("098340006")</f>
        <v>098340006</v>
      </c>
      <c r="G12114" t="str">
        <f>T("ATTN GOVT PURCHASE CARD PROGRAM")</f>
        <v>ATTN GOVT PURCHASE CARD PROGRAM</v>
      </c>
      <c r="H12114" t="str">
        <f>T("PSC 851 BOX 550")</f>
        <v>PSC 851 BOX 550</v>
      </c>
      <c r="I12114" t="str">
        <f t="shared" ref="I12114:I12123" si="4480">T("FPO")</f>
        <v>FPO</v>
      </c>
      <c r="J12114" t="str">
        <f t="shared" ref="J12114:J12123" si="4481">T("AE")</f>
        <v>AE</v>
      </c>
      <c r="K12114" t="str">
        <f>T("01197317858008")</f>
        <v>01197317858008</v>
      </c>
      <c r="L12114" t="str">
        <f>T("1111111111")</f>
        <v>1111111111</v>
      </c>
    </row>
    <row r="12115" spans="1:12" x14ac:dyDescent="0.35">
      <c r="A12115" t="str">
        <f t="shared" si="4476"/>
        <v>FDRMC</v>
      </c>
      <c r="B12115" t="str">
        <f>T("PSC 451 BOX 550")</f>
        <v>PSC 451 BOX 550</v>
      </c>
      <c r="C12115" t="str">
        <f t="shared" si="4477"/>
        <v/>
      </c>
      <c r="D12115" t="str">
        <f t="shared" si="4478"/>
        <v>FPO</v>
      </c>
      <c r="E12115" t="str">
        <f t="shared" si="4479"/>
        <v>AE</v>
      </c>
      <c r="F12115" t="str">
        <f>T("098340006")</f>
        <v>098340006</v>
      </c>
      <c r="G12115" t="str">
        <f>T("FDRMC DET BAHRAIN")</f>
        <v>FDRMC DET BAHRAIN</v>
      </c>
      <c r="H12115" t="str">
        <f>T("PSC 451 BOX 550")</f>
        <v>PSC 451 BOX 550</v>
      </c>
      <c r="I12115" t="str">
        <f t="shared" si="4480"/>
        <v>FPO</v>
      </c>
      <c r="J12115" t="str">
        <f t="shared" si="4481"/>
        <v>AE</v>
      </c>
      <c r="K12115" t="str">
        <f>T("000000000000000000")</f>
        <v>000000000000000000</v>
      </c>
      <c r="L12115" t="str">
        <f>T("3184396644")</f>
        <v>3184396644</v>
      </c>
    </row>
    <row r="12116" spans="1:12" x14ac:dyDescent="0.35">
      <c r="A12116" t="str">
        <f t="shared" si="4476"/>
        <v>FDRMC</v>
      </c>
      <c r="B12116" t="str">
        <f>T("PSC 451 BOX 550")</f>
        <v>PSC 451 BOX 550</v>
      </c>
      <c r="C12116" t="str">
        <f t="shared" si="4477"/>
        <v/>
      </c>
      <c r="D12116" t="str">
        <f t="shared" si="4478"/>
        <v>FPO</v>
      </c>
      <c r="E12116" t="str">
        <f t="shared" si="4479"/>
        <v>AE</v>
      </c>
      <c r="F12116" t="str">
        <f>T("098340006")</f>
        <v>098340006</v>
      </c>
      <c r="G12116" t="str">
        <f>T("PSC 451 BOX 550")</f>
        <v>PSC 451 BOX 550</v>
      </c>
      <c r="H12116" t="str">
        <f>T("")</f>
        <v/>
      </c>
      <c r="I12116" t="str">
        <f t="shared" si="4480"/>
        <v>FPO</v>
      </c>
      <c r="J12116" t="str">
        <f t="shared" si="4481"/>
        <v>AE</v>
      </c>
      <c r="K12116" t="str">
        <f>T("000000000000000000")</f>
        <v>000000000000000000</v>
      </c>
      <c r="L12116" t="str">
        <f>T("1111111111")</f>
        <v>1111111111</v>
      </c>
    </row>
    <row r="12117" spans="1:12" x14ac:dyDescent="0.35">
      <c r="A12117" t="str">
        <f t="shared" si="4476"/>
        <v>FDRMC</v>
      </c>
      <c r="B12117" t="str">
        <f>T("PSC 451 BOX 550")</f>
        <v>PSC 451 BOX 550</v>
      </c>
      <c r="C12117" t="str">
        <f t="shared" si="4477"/>
        <v/>
      </c>
      <c r="D12117" t="str">
        <f t="shared" si="4478"/>
        <v>FPO</v>
      </c>
      <c r="E12117" t="str">
        <f t="shared" si="4479"/>
        <v>AE</v>
      </c>
      <c r="F12117" t="str">
        <f>T("098340006")</f>
        <v>098340006</v>
      </c>
      <c r="G12117" t="str">
        <f>T("PSC 851 BOX 500")</f>
        <v>PSC 851 BOX 500</v>
      </c>
      <c r="H12117" t="str">
        <f>T("")</f>
        <v/>
      </c>
      <c r="I12117" t="str">
        <f t="shared" si="4480"/>
        <v>FPO</v>
      </c>
      <c r="J12117" t="str">
        <f t="shared" si="4481"/>
        <v>AE</v>
      </c>
      <c r="K12117" t="str">
        <f>T("01197317853773")</f>
        <v>01197317853773</v>
      </c>
      <c r="L12117" t="str">
        <f>T("1111111111")</f>
        <v>1111111111</v>
      </c>
    </row>
    <row r="12118" spans="1:12" x14ac:dyDescent="0.35">
      <c r="A12118" t="str">
        <f t="shared" si="4476"/>
        <v>FDRMC</v>
      </c>
      <c r="B12118" t="str">
        <f>T("PSC 817 BOX 11")</f>
        <v>PSC 817 BOX 11</v>
      </c>
      <c r="C12118" t="str">
        <f t="shared" si="4477"/>
        <v/>
      </c>
      <c r="D12118" t="str">
        <f t="shared" si="4478"/>
        <v>FPO</v>
      </c>
      <c r="E12118" t="str">
        <f t="shared" si="4479"/>
        <v>AE</v>
      </c>
      <c r="F12118" t="str">
        <f>T("096220001")</f>
        <v>096220001</v>
      </c>
      <c r="G12118" t="str">
        <f>T("FDRMC NAPLES")</f>
        <v>FDRMC NAPLES</v>
      </c>
      <c r="H12118" t="str">
        <f>T("PSC 817 BOX 11")</f>
        <v>PSC 817 BOX 11</v>
      </c>
      <c r="I12118" t="str">
        <f t="shared" si="4480"/>
        <v>FPO</v>
      </c>
      <c r="J12118" t="str">
        <f t="shared" si="4481"/>
        <v>AE</v>
      </c>
      <c r="K12118" t="str">
        <f>T("000000000000000000")</f>
        <v>000000000000000000</v>
      </c>
      <c r="L12118" t="str">
        <f>T("3146263273")</f>
        <v>3146263273</v>
      </c>
    </row>
    <row r="12119" spans="1:12" x14ac:dyDescent="0.35">
      <c r="A12119" t="str">
        <f t="shared" si="4476"/>
        <v>FDRMC</v>
      </c>
      <c r="B12119" t="str">
        <f>T("PSC 817 BOX 11")</f>
        <v>PSC 817 BOX 11</v>
      </c>
      <c r="C12119" t="str">
        <f t="shared" si="4477"/>
        <v/>
      </c>
      <c r="D12119" t="str">
        <f t="shared" si="4478"/>
        <v>FPO</v>
      </c>
      <c r="E12119" t="str">
        <f t="shared" si="4479"/>
        <v>AE</v>
      </c>
      <c r="F12119" t="str">
        <f>T("096220001")</f>
        <v>096220001</v>
      </c>
      <c r="G12119" t="str">
        <f>T("PSC 817 BOX 11")</f>
        <v>PSC 817 BOX 11</v>
      </c>
      <c r="H12119" t="str">
        <f>T("")</f>
        <v/>
      </c>
      <c r="I12119" t="str">
        <f t="shared" si="4480"/>
        <v>FPO</v>
      </c>
      <c r="J12119" t="str">
        <f t="shared" si="4481"/>
        <v>AE</v>
      </c>
      <c r="K12119" t="str">
        <f>T("000000000000000000")</f>
        <v>000000000000000000</v>
      </c>
      <c r="L12119" t="str">
        <f>T("1111111111")</f>
        <v>1111111111</v>
      </c>
    </row>
    <row r="12120" spans="1:12" x14ac:dyDescent="0.35">
      <c r="A12120" t="str">
        <f t="shared" si="4476"/>
        <v>FDRMC</v>
      </c>
      <c r="B12120" t="str">
        <f>T("PSC 817 BOX 11")</f>
        <v>PSC 817 BOX 11</v>
      </c>
      <c r="C12120" t="str">
        <f t="shared" si="4477"/>
        <v/>
      </c>
      <c r="D12120" t="str">
        <f t="shared" si="4478"/>
        <v>FPO</v>
      </c>
      <c r="E12120" t="str">
        <f t="shared" si="4479"/>
        <v>AE</v>
      </c>
      <c r="F12120" t="str">
        <f>T("096220001")</f>
        <v>096220001</v>
      </c>
      <c r="G12120" t="str">
        <f>T("PSC 817 BOX 11")</f>
        <v>PSC 817 BOX 11</v>
      </c>
      <c r="H12120" t="str">
        <f>T("")</f>
        <v/>
      </c>
      <c r="I12120" t="str">
        <f t="shared" si="4480"/>
        <v>FPO</v>
      </c>
      <c r="J12120" t="str">
        <f t="shared" si="4481"/>
        <v>AE</v>
      </c>
      <c r="K12120" t="str">
        <f>T("000000000000000000")</f>
        <v>000000000000000000</v>
      </c>
      <c r="L12120" t="str">
        <f>T("3146262127")</f>
        <v>3146262127</v>
      </c>
    </row>
    <row r="12121" spans="1:12" x14ac:dyDescent="0.35">
      <c r="A12121" t="str">
        <f t="shared" si="4476"/>
        <v>FDRMC</v>
      </c>
      <c r="B12121" t="str">
        <f>T("PSC 819 BOX 29")</f>
        <v>PSC 819 BOX 29</v>
      </c>
      <c r="C12121" t="str">
        <f t="shared" si="4477"/>
        <v/>
      </c>
      <c r="D12121" t="str">
        <f t="shared" si="4478"/>
        <v>FPO</v>
      </c>
      <c r="E12121" t="str">
        <f t="shared" si="4479"/>
        <v>AE</v>
      </c>
      <c r="F12121" t="str">
        <f>T("096450001")</f>
        <v>096450001</v>
      </c>
      <c r="G12121" t="str">
        <f>T("ATTN GOVT PURCHASE CARD PROGRAM")</f>
        <v>ATTN GOVT PURCHASE CARD PROGRAM</v>
      </c>
      <c r="H12121" t="str">
        <f>T("PSC 819 BOX 29")</f>
        <v>PSC 819 BOX 29</v>
      </c>
      <c r="I12121" t="str">
        <f t="shared" si="4480"/>
        <v>FPO</v>
      </c>
      <c r="J12121" t="str">
        <f t="shared" si="4481"/>
        <v>AE</v>
      </c>
      <c r="K12121" t="str">
        <f>T("01134956822877")</f>
        <v>01134956822877</v>
      </c>
      <c r="L12121" t="str">
        <f>T("1111111111")</f>
        <v>1111111111</v>
      </c>
    </row>
    <row r="12122" spans="1:12" x14ac:dyDescent="0.35">
      <c r="A12122" t="str">
        <f t="shared" si="4476"/>
        <v>FDRMC</v>
      </c>
      <c r="B12122" t="str">
        <f>T("PSC 819 BOX 29")</f>
        <v>PSC 819 BOX 29</v>
      </c>
      <c r="C12122" t="str">
        <f t="shared" si="4477"/>
        <v/>
      </c>
      <c r="D12122" t="str">
        <f t="shared" si="4478"/>
        <v>FPO</v>
      </c>
      <c r="E12122" t="str">
        <f t="shared" si="4479"/>
        <v>AE</v>
      </c>
      <c r="F12122" t="str">
        <f>T("096450001")</f>
        <v>096450001</v>
      </c>
      <c r="G12122" t="str">
        <f>T("PSC 819 BOX 29")</f>
        <v>PSC 819 BOX 29</v>
      </c>
      <c r="H12122" t="str">
        <f>T("")</f>
        <v/>
      </c>
      <c r="I12122" t="str">
        <f t="shared" si="4480"/>
        <v>FPO</v>
      </c>
      <c r="J12122" t="str">
        <f t="shared" si="4481"/>
        <v>AE</v>
      </c>
      <c r="K12122" t="str">
        <f>T("000000000000000000")</f>
        <v>000000000000000000</v>
      </c>
      <c r="L12122" t="str">
        <f>T("3147272712")</f>
        <v>3147272712</v>
      </c>
    </row>
    <row r="12123" spans="1:12" x14ac:dyDescent="0.35">
      <c r="A12123" t="str">
        <f t="shared" si="4476"/>
        <v>FDRMC</v>
      </c>
      <c r="B12123" t="str">
        <f>T("PSC 819 BOX 29")</f>
        <v>PSC 819 BOX 29</v>
      </c>
      <c r="C12123" t="str">
        <f t="shared" si="4477"/>
        <v/>
      </c>
      <c r="D12123" t="str">
        <f t="shared" si="4478"/>
        <v>FPO</v>
      </c>
      <c r="E12123" t="str">
        <f t="shared" si="4479"/>
        <v>AE</v>
      </c>
      <c r="F12123" t="str">
        <f>T("096450001")</f>
        <v>096450001</v>
      </c>
      <c r="G12123" t="str">
        <f>T("PSC 819 BOX 29")</f>
        <v>PSC 819 BOX 29</v>
      </c>
      <c r="H12123" t="str">
        <f>T("")</f>
        <v/>
      </c>
      <c r="I12123" t="str">
        <f t="shared" si="4480"/>
        <v>FPO</v>
      </c>
      <c r="J12123" t="str">
        <f t="shared" si="4481"/>
        <v>AE</v>
      </c>
      <c r="K12123" t="str">
        <f>T("34956821589")</f>
        <v>34956821589</v>
      </c>
      <c r="L12123" t="str">
        <f>T("1111111111")</f>
        <v>1111111111</v>
      </c>
    </row>
    <row r="12124" spans="1:12" x14ac:dyDescent="0.35">
      <c r="A12124" t="str">
        <f>T("NWDC")</f>
        <v>NWDC</v>
      </c>
      <c r="B12124" t="str">
        <f>T("1528 PIERSEY STREET")</f>
        <v>1528 PIERSEY STREET</v>
      </c>
      <c r="C12124" t="str">
        <f>T("BUILDING O-27")</f>
        <v>BUILDING O-27</v>
      </c>
      <c r="D12124" t="str">
        <f>T("NORFOLK")</f>
        <v>NORFOLK</v>
      </c>
      <c r="E12124" t="str">
        <f>T("VA")</f>
        <v>VA</v>
      </c>
      <c r="F12124" t="str">
        <f>T("235112601")</f>
        <v>235112601</v>
      </c>
      <c r="G12124" t="str">
        <f>T("1528 PIERSEY STREET")</f>
        <v>1528 PIERSEY STREET</v>
      </c>
      <c r="H12124" t="str">
        <f>T("BLDG O-27 ROOM 126")</f>
        <v>BLDG O-27 ROOM 126</v>
      </c>
      <c r="I12124" t="str">
        <f>T("NORFOLK")</f>
        <v>NORFOLK</v>
      </c>
      <c r="J12124" t="str">
        <f>T("VA")</f>
        <v>VA</v>
      </c>
      <c r="K12124" t="str">
        <f>T("7573414259")</f>
        <v>7573414259</v>
      </c>
      <c r="L12124" t="str">
        <f>T("7573414330")</f>
        <v>7573414330</v>
      </c>
    </row>
    <row r="12125" spans="1:12" x14ac:dyDescent="0.35">
      <c r="A12125" t="str">
        <f>T("NWDC")</f>
        <v>NWDC</v>
      </c>
      <c r="B12125" t="str">
        <f>T("1528 PIERSEY STREET")</f>
        <v>1528 PIERSEY STREET</v>
      </c>
      <c r="C12125" t="str">
        <f>T("BUILDING O-27")</f>
        <v>BUILDING O-27</v>
      </c>
      <c r="D12125" t="str">
        <f>T("NORFOLK")</f>
        <v>NORFOLK</v>
      </c>
      <c r="E12125" t="str">
        <f>T("VA")</f>
        <v>VA</v>
      </c>
      <c r="F12125" t="str">
        <f>T("235112601")</f>
        <v>235112601</v>
      </c>
      <c r="G12125" t="str">
        <f>T("1528 PIERSEY STREET")</f>
        <v>1528 PIERSEY STREET</v>
      </c>
      <c r="H12125" t="str">
        <f>T("BUILDING O-27")</f>
        <v>BUILDING O-27</v>
      </c>
      <c r="I12125" t="str">
        <f>T("NORFOLK")</f>
        <v>NORFOLK</v>
      </c>
      <c r="J12125" t="str">
        <f>T("VA")</f>
        <v>VA</v>
      </c>
      <c r="K12125" t="str">
        <f>T("7573414059")</f>
        <v>7573414059</v>
      </c>
      <c r="L12125" t="str">
        <f>T("7573414055")</f>
        <v>7573414055</v>
      </c>
    </row>
    <row r="12126" spans="1:12" x14ac:dyDescent="0.35">
      <c r="A12126" t="str">
        <f>T("NWDC")</f>
        <v>NWDC</v>
      </c>
      <c r="B12126" t="str">
        <f>T("1528 PIERSEY STREET")</f>
        <v>1528 PIERSEY STREET</v>
      </c>
      <c r="C12126" t="str">
        <f>T("BUILDING O-27")</f>
        <v>BUILDING O-27</v>
      </c>
      <c r="D12126" t="str">
        <f>T("NORFOLK")</f>
        <v>NORFOLK</v>
      </c>
      <c r="E12126" t="str">
        <f>T("VA")</f>
        <v>VA</v>
      </c>
      <c r="F12126" t="str">
        <f>T("235112601")</f>
        <v>235112601</v>
      </c>
      <c r="G12126" t="str">
        <f>T("1528 PIERSEY STREET BLDG O-27")</f>
        <v>1528 PIERSEY STREET BLDG O-27</v>
      </c>
      <c r="H12126" t="str">
        <f>T("")</f>
        <v/>
      </c>
      <c r="I12126" t="str">
        <f>T("NORFOLK")</f>
        <v>NORFOLK</v>
      </c>
      <c r="J12126" t="str">
        <f>T("VA")</f>
        <v>VA</v>
      </c>
      <c r="K12126" t="str">
        <f>T("7573414059")</f>
        <v>7573414059</v>
      </c>
      <c r="L12126" t="str">
        <f>T("7573414330")</f>
        <v>7573414330</v>
      </c>
    </row>
    <row r="12127" spans="1:12" x14ac:dyDescent="0.35">
      <c r="A12127" t="str">
        <f>T("NWDC")</f>
        <v>NWDC</v>
      </c>
      <c r="B12127" t="str">
        <f>T("1528 PIERSEY STREET")</f>
        <v>1528 PIERSEY STREET</v>
      </c>
      <c r="C12127" t="str">
        <f>T("BUILDING O-27")</f>
        <v>BUILDING O-27</v>
      </c>
      <c r="D12127" t="str">
        <f>T("NORFOLK")</f>
        <v>NORFOLK</v>
      </c>
      <c r="E12127" t="str">
        <f>T("VA")</f>
        <v>VA</v>
      </c>
      <c r="F12127" t="str">
        <f>T("235112601")</f>
        <v>235112601</v>
      </c>
      <c r="G12127" t="str">
        <f>T("NAVY WARFARE DEVELOPMENT COMMAND")</f>
        <v>NAVY WARFARE DEVELOPMENT COMMAND</v>
      </c>
      <c r="H12127" t="str">
        <f>T("1528 PIERSEY STREET BUILDING O27")</f>
        <v>1528 PIERSEY STREET BUILDING O27</v>
      </c>
      <c r="I12127" t="str">
        <f>T("NORFOLK")</f>
        <v>NORFOLK</v>
      </c>
      <c r="J12127" t="str">
        <f>T("VA")</f>
        <v>VA</v>
      </c>
      <c r="K12127" t="str">
        <f>T("000000000000000000")</f>
        <v>000000000000000000</v>
      </c>
      <c r="L12127" t="str">
        <f>T("7573414329")</f>
        <v>7573414329</v>
      </c>
    </row>
    <row r="12128" spans="1:12" x14ac:dyDescent="0.35">
      <c r="A12128" t="str">
        <f>T("ZZ DELETE")</f>
        <v>ZZ DELETE</v>
      </c>
      <c r="B12128" t="str">
        <f>T("4755 PASTURE RD")</f>
        <v>4755 PASTURE RD</v>
      </c>
      <c r="C12128" t="str">
        <f>T("BLDG 465")</f>
        <v>BLDG 465</v>
      </c>
      <c r="D12128" t="str">
        <f>T("FALLON")</f>
        <v>FALLON</v>
      </c>
      <c r="E12128" t="str">
        <f>T("NV")</f>
        <v>NV</v>
      </c>
      <c r="F12128" t="str">
        <f>T("894960001")</f>
        <v>894960001</v>
      </c>
      <c r="G12128" t="str">
        <f>T("4755 PASTURE RD")</f>
        <v>4755 PASTURE RD</v>
      </c>
      <c r="H12128" t="str">
        <f>T("BLDG 465")</f>
        <v>BLDG 465</v>
      </c>
      <c r="I12128" t="str">
        <f>T("FALLON")</f>
        <v>FALLON</v>
      </c>
      <c r="J12128" t="str">
        <f>T("NV")</f>
        <v>NV</v>
      </c>
      <c r="K12128" t="str">
        <f>T("7754263974")</f>
        <v>7754263974</v>
      </c>
      <c r="L12128" t="str">
        <f>T("7754263919")</f>
        <v>7754263919</v>
      </c>
    </row>
    <row r="12129" spans="1:12" x14ac:dyDescent="0.35">
      <c r="A12129" t="str">
        <f>T("CSG-4")</f>
        <v>CSG-4</v>
      </c>
      <c r="B12129" t="str">
        <f>T("1540 GILBERT ST")</f>
        <v>1540 GILBERT ST</v>
      </c>
      <c r="C12129" t="str">
        <f t="shared" ref="C12129:C12137" si="4482">T("")</f>
        <v/>
      </c>
      <c r="D12129" t="str">
        <f>T("NORFOLK")</f>
        <v>NORFOLK</v>
      </c>
      <c r="E12129" t="str">
        <f t="shared" ref="E12129:E12137" si="4483">T("VA")</f>
        <v>VA</v>
      </c>
      <c r="F12129" t="str">
        <f>T("235112701")</f>
        <v>235112701</v>
      </c>
      <c r="G12129" t="str">
        <f>T("1540 GILBERT ST")</f>
        <v>1540 GILBERT ST</v>
      </c>
      <c r="H12129" t="str">
        <f>T("")</f>
        <v/>
      </c>
      <c r="I12129" t="str">
        <f>T("NORFOLK")</f>
        <v>NORFOLK</v>
      </c>
      <c r="J12129" t="str">
        <f t="shared" ref="J12129:J12137" si="4484">T("VA")</f>
        <v>VA</v>
      </c>
      <c r="K12129" t="str">
        <f>T("000000000000000000")</f>
        <v>000000000000000000</v>
      </c>
      <c r="L12129" t="str">
        <f>T("7574623191")</f>
        <v>7574623191</v>
      </c>
    </row>
    <row r="12130" spans="1:12" x14ac:dyDescent="0.35">
      <c r="A12130" t="str">
        <f>T("CSG-4")</f>
        <v>CSG-4</v>
      </c>
      <c r="B12130" t="str">
        <f>T("1540 GILBERT ST")</f>
        <v>1540 GILBERT ST</v>
      </c>
      <c r="C12130" t="str">
        <f t="shared" si="4482"/>
        <v/>
      </c>
      <c r="D12130" t="str">
        <f>T("NORFOLK")</f>
        <v>NORFOLK</v>
      </c>
      <c r="E12130" t="str">
        <f t="shared" si="4483"/>
        <v>VA</v>
      </c>
      <c r="F12130" t="str">
        <f>T("235112701")</f>
        <v>235112701</v>
      </c>
      <c r="G12130" t="str">
        <f>T("1540 GILBERT ST")</f>
        <v>1540 GILBERT ST</v>
      </c>
      <c r="H12130" t="str">
        <f>T("")</f>
        <v/>
      </c>
      <c r="I12130" t="str">
        <f>T("NORFOLK")</f>
        <v>NORFOLK</v>
      </c>
      <c r="J12130" t="str">
        <f t="shared" si="4484"/>
        <v>VA</v>
      </c>
      <c r="K12130" t="str">
        <f>T("7573413549")</f>
        <v>7573413549</v>
      </c>
      <c r="L12130" t="str">
        <f>T("7573413598")</f>
        <v>7573413598</v>
      </c>
    </row>
    <row r="12131" spans="1:12" x14ac:dyDescent="0.35">
      <c r="A12131" t="str">
        <f>T("CSG-4")</f>
        <v>CSG-4</v>
      </c>
      <c r="B12131" t="str">
        <f>T("1540 GILBERT ST")</f>
        <v>1540 GILBERT ST</v>
      </c>
      <c r="C12131" t="str">
        <f t="shared" si="4482"/>
        <v/>
      </c>
      <c r="D12131" t="str">
        <f>T("NORFOLK")</f>
        <v>NORFOLK</v>
      </c>
      <c r="E12131" t="str">
        <f t="shared" si="4483"/>
        <v>VA</v>
      </c>
      <c r="F12131" t="str">
        <f>T("235112701")</f>
        <v>235112701</v>
      </c>
      <c r="G12131" t="str">
        <f>T("1540 GILBERT ST")</f>
        <v>1540 GILBERT ST</v>
      </c>
      <c r="H12131" t="str">
        <f>T("BLDG N-23")</f>
        <v>BLDG N-23</v>
      </c>
      <c r="I12131" t="str">
        <f>T("NORFOLK")</f>
        <v>NORFOLK</v>
      </c>
      <c r="J12131" t="str">
        <f t="shared" si="4484"/>
        <v>VA</v>
      </c>
      <c r="K12131" t="str">
        <f>T("000000000000000000")</f>
        <v>000000000000000000</v>
      </c>
      <c r="L12131" t="str">
        <f>T("7573413551")</f>
        <v>7573413551</v>
      </c>
    </row>
    <row r="12132" spans="1:12" x14ac:dyDescent="0.35">
      <c r="A12132" t="str">
        <f>T("CSG-4")</f>
        <v>CSG-4</v>
      </c>
      <c r="B12132" t="str">
        <f>T("1540 GILBERT ST")</f>
        <v>1540 GILBERT ST</v>
      </c>
      <c r="C12132" t="str">
        <f t="shared" si="4482"/>
        <v/>
      </c>
      <c r="D12132" t="str">
        <f>T("NORFOLK")</f>
        <v>NORFOLK</v>
      </c>
      <c r="E12132" t="str">
        <f t="shared" si="4483"/>
        <v>VA</v>
      </c>
      <c r="F12132" t="str">
        <f>T("235112701")</f>
        <v>235112701</v>
      </c>
      <c r="G12132" t="str">
        <f>T("1540 GILBERT ST")</f>
        <v>1540 GILBERT ST</v>
      </c>
      <c r="H12132" t="str">
        <f>T("BLDG N23")</f>
        <v>BLDG N23</v>
      </c>
      <c r="I12132" t="str">
        <f>T("NORFOLK")</f>
        <v>NORFOLK</v>
      </c>
      <c r="J12132" t="str">
        <f t="shared" si="4484"/>
        <v>VA</v>
      </c>
      <c r="K12132" t="str">
        <f>T("000000000000000000")</f>
        <v>000000000000000000</v>
      </c>
      <c r="L12132" t="str">
        <f>T("7574441263")</f>
        <v>7574441263</v>
      </c>
    </row>
    <row r="12133" spans="1:12" x14ac:dyDescent="0.35">
      <c r="A12133" t="str">
        <f>T("TACTICAL TRNING GROUP ATLANTIC")</f>
        <v>TACTICAL TRNING GROUP ATLANTIC</v>
      </c>
      <c r="B12133" t="str">
        <f>T("2132 REGULUS AVE")</f>
        <v>2132 REGULUS AVE</v>
      </c>
      <c r="C12133" t="str">
        <f t="shared" si="4482"/>
        <v/>
      </c>
      <c r="D12133" t="str">
        <f>T("VIRGINIA BCH")</f>
        <v>VIRGINIA BCH</v>
      </c>
      <c r="E12133" t="str">
        <f t="shared" si="4483"/>
        <v>VA</v>
      </c>
      <c r="F12133" t="str">
        <f>T("234612102")</f>
        <v>234612102</v>
      </c>
      <c r="G12133" t="str">
        <f>T("2132 REGULUS AVE")</f>
        <v>2132 REGULUS AVE</v>
      </c>
      <c r="H12133" t="str">
        <f>T("")</f>
        <v/>
      </c>
      <c r="I12133" t="str">
        <f>T("VIRGINIA BCH")</f>
        <v>VIRGINIA BCH</v>
      </c>
      <c r="J12133" t="str">
        <f t="shared" si="4484"/>
        <v>VA</v>
      </c>
      <c r="K12133" t="str">
        <f>T("")</f>
        <v/>
      </c>
      <c r="L12133" t="str">
        <f>T("7574927817")</f>
        <v>7574927817</v>
      </c>
    </row>
    <row r="12134" spans="1:12" x14ac:dyDescent="0.35">
      <c r="A12134" t="str">
        <f>T("TACTICAL TRNING GROUP ATLANTIC")</f>
        <v>TACTICAL TRNING GROUP ATLANTIC</v>
      </c>
      <c r="B12134" t="str">
        <f>T("2132 REGULUS AVE")</f>
        <v>2132 REGULUS AVE</v>
      </c>
      <c r="C12134" t="str">
        <f t="shared" si="4482"/>
        <v/>
      </c>
      <c r="D12134" t="str">
        <f>T("VIRGINIA BCH")</f>
        <v>VIRGINIA BCH</v>
      </c>
      <c r="E12134" t="str">
        <f t="shared" si="4483"/>
        <v>VA</v>
      </c>
      <c r="F12134" t="str">
        <f>T("234612102")</f>
        <v>234612102</v>
      </c>
      <c r="G12134" t="str">
        <f>T("2132 REGULUS AVE")</f>
        <v>2132 REGULUS AVE</v>
      </c>
      <c r="H12134" t="str">
        <f>T("BLDG 430")</f>
        <v>BLDG 430</v>
      </c>
      <c r="I12134" t="str">
        <f>T("VIRGINIA BEACH")</f>
        <v>VIRGINIA BEACH</v>
      </c>
      <c r="J12134" t="str">
        <f t="shared" si="4484"/>
        <v>VA</v>
      </c>
      <c r="K12134" t="str">
        <f>T("000000000000000000")</f>
        <v>000000000000000000</v>
      </c>
      <c r="L12134" t="str">
        <f>T("7574924656")</f>
        <v>7574924656</v>
      </c>
    </row>
    <row r="12135" spans="1:12" x14ac:dyDescent="0.35">
      <c r="A12135" t="str">
        <f>T("TACTICAL TRNING GROUP ATLANTIC")</f>
        <v>TACTICAL TRNING GROUP ATLANTIC</v>
      </c>
      <c r="B12135" t="str">
        <f>T("2132 REGULUS AVE")</f>
        <v>2132 REGULUS AVE</v>
      </c>
      <c r="C12135" t="str">
        <f t="shared" si="4482"/>
        <v/>
      </c>
      <c r="D12135" t="str">
        <f>T("VIRGINIA BCH")</f>
        <v>VIRGINIA BCH</v>
      </c>
      <c r="E12135" t="str">
        <f t="shared" si="4483"/>
        <v>VA</v>
      </c>
      <c r="F12135" t="str">
        <f>T("234612102")</f>
        <v>234612102</v>
      </c>
      <c r="G12135" t="str">
        <f>T("2132 REGULUS AVE")</f>
        <v>2132 REGULUS AVE</v>
      </c>
      <c r="H12135" t="str">
        <f>T("BLDG 430")</f>
        <v>BLDG 430</v>
      </c>
      <c r="I12135" t="str">
        <f>T("VIRGINIA BEACH")</f>
        <v>VIRGINIA BEACH</v>
      </c>
      <c r="J12135" t="str">
        <f t="shared" si="4484"/>
        <v>VA</v>
      </c>
      <c r="K12135" t="str">
        <f>T("7574923140")</f>
        <v>7574923140</v>
      </c>
      <c r="L12135" t="str">
        <f>T("7574927811")</f>
        <v>7574927811</v>
      </c>
    </row>
    <row r="12136" spans="1:12" x14ac:dyDescent="0.35">
      <c r="A12136" t="str">
        <f>T("ZZ DELETE")</f>
        <v>ZZ DELETE</v>
      </c>
      <c r="B12136" t="str">
        <f>T("1575 GATOR BLVD")</f>
        <v>1575 GATOR BLVD</v>
      </c>
      <c r="C12136" t="str">
        <f t="shared" si="4482"/>
        <v/>
      </c>
      <c r="D12136" t="str">
        <f>T("VIRGINIA BCH")</f>
        <v>VIRGINIA BCH</v>
      </c>
      <c r="E12136" t="str">
        <f t="shared" si="4483"/>
        <v>VA</v>
      </c>
      <c r="F12136" t="str">
        <f>T("234598739")</f>
        <v>234598739</v>
      </c>
      <c r="G12136" t="str">
        <f>T("1575 GATOR BLVD")</f>
        <v>1575 GATOR BLVD</v>
      </c>
      <c r="H12136" t="str">
        <f>T("")</f>
        <v/>
      </c>
      <c r="I12136" t="str">
        <f>T("VIRGINIA BCH")</f>
        <v>VIRGINIA BCH</v>
      </c>
      <c r="J12136" t="str">
        <f t="shared" si="4484"/>
        <v>VA</v>
      </c>
      <c r="K12136" t="str">
        <f>T("")</f>
        <v/>
      </c>
      <c r="L12136" t="str">
        <f>T("7574621503")</f>
        <v>7574621503</v>
      </c>
    </row>
    <row r="12137" spans="1:12" x14ac:dyDescent="0.35">
      <c r="A12137" t="str">
        <f>T("ZZ DELETE")</f>
        <v>ZZ DELETE</v>
      </c>
      <c r="B12137" t="str">
        <f>T("1575 GATOR BLVD")</f>
        <v>1575 GATOR BLVD</v>
      </c>
      <c r="C12137" t="str">
        <f t="shared" si="4482"/>
        <v/>
      </c>
      <c r="D12137" t="str">
        <f>T("VIRGINIA BCH")</f>
        <v>VIRGINIA BCH</v>
      </c>
      <c r="E12137" t="str">
        <f t="shared" si="4483"/>
        <v>VA</v>
      </c>
      <c r="F12137" t="str">
        <f>T("234598739")</f>
        <v>234598739</v>
      </c>
      <c r="G12137" t="str">
        <f>T("1575 GATOR BLVD")</f>
        <v>1575 GATOR BLVD</v>
      </c>
      <c r="H12137" t="str">
        <f>T("")</f>
        <v/>
      </c>
      <c r="I12137" t="str">
        <f>T("VIRGINIA BEACH")</f>
        <v>VIRGINIA BEACH</v>
      </c>
      <c r="J12137" t="str">
        <f t="shared" si="4484"/>
        <v>VA</v>
      </c>
      <c r="K12137" t="str">
        <f>T("000000000000000000")</f>
        <v>000000000000000000</v>
      </c>
      <c r="L12137" t="str">
        <f>T("7574624248")</f>
        <v>7574624248</v>
      </c>
    </row>
    <row r="12138" spans="1:12" x14ac:dyDescent="0.35">
      <c r="A12138" t="str">
        <f t="shared" ref="A12138:A12143" si="4485">T("NAVCOMTELSTA SAN DIEGO")</f>
        <v>NAVCOMTELSTA SAN DIEGO</v>
      </c>
      <c r="B12138" t="str">
        <f>T(" P O 357056")</f>
        <v xml:space="preserve"> P O 357056</v>
      </c>
      <c r="C12138" t="str">
        <f t="shared" ref="C12138:C12143" si="4486">T("ATTN CODE N1 SUSAN WATKINS")</f>
        <v>ATTN CODE N1 SUSAN WATKINS</v>
      </c>
      <c r="D12138" t="str">
        <f t="shared" ref="D12138:D12143" si="4487">T("SAN DIEGO")</f>
        <v>SAN DIEGO</v>
      </c>
      <c r="E12138" t="str">
        <f t="shared" ref="E12138:E12143" si="4488">T("CA")</f>
        <v>CA</v>
      </c>
      <c r="F12138" t="str">
        <f t="shared" ref="F12138:F12143" si="4489">T("921357056")</f>
        <v>921357056</v>
      </c>
      <c r="G12138" t="str">
        <f>T(" P O 357056")</f>
        <v xml:space="preserve"> P O 357056</v>
      </c>
      <c r="H12138" t="str">
        <f>T("ATTN CODE N1 SUSAN WATKINS")</f>
        <v>ATTN CODE N1 SUSAN WATKINS</v>
      </c>
      <c r="I12138" t="str">
        <f>T("SAN DIEGO")</f>
        <v>SAN DIEGO</v>
      </c>
      <c r="J12138" t="str">
        <f>T("CA")</f>
        <v>CA</v>
      </c>
      <c r="K12138" t="str">
        <f>T("619-545-8573")</f>
        <v>619-545-8573</v>
      </c>
      <c r="L12138" t="str">
        <f>T("6195459620")</f>
        <v>6195459620</v>
      </c>
    </row>
    <row r="12139" spans="1:12" x14ac:dyDescent="0.35">
      <c r="A12139" t="str">
        <f t="shared" si="4485"/>
        <v>NAVCOMTELSTA SAN DIEGO</v>
      </c>
      <c r="B12139" t="str">
        <f>T(" P O 357056")</f>
        <v xml:space="preserve"> P O 357056</v>
      </c>
      <c r="C12139" t="str">
        <f t="shared" si="4486"/>
        <v>ATTN CODE N1 SUSAN WATKINS</v>
      </c>
      <c r="D12139" t="str">
        <f t="shared" si="4487"/>
        <v>SAN DIEGO</v>
      </c>
      <c r="E12139" t="str">
        <f t="shared" si="4488"/>
        <v>CA</v>
      </c>
      <c r="F12139" t="str">
        <f t="shared" si="4489"/>
        <v>921357056</v>
      </c>
      <c r="G12139" t="str">
        <f>T("7641 MERCURY RD BLDG 820")</f>
        <v>7641 MERCURY RD BLDG 820</v>
      </c>
      <c r="H12139" t="str">
        <f>T("TINKER AFB")</f>
        <v>TINKER AFB</v>
      </c>
      <c r="I12139" t="str">
        <f>T("TINKER AFB")</f>
        <v>TINKER AFB</v>
      </c>
      <c r="J12139" t="str">
        <f>T("OK")</f>
        <v>OK</v>
      </c>
      <c r="K12139" t="str">
        <f>T("6195458573")</f>
        <v>6195458573</v>
      </c>
      <c r="L12139" t="str">
        <f>T("1111111111")</f>
        <v>1111111111</v>
      </c>
    </row>
    <row r="12140" spans="1:12" x14ac:dyDescent="0.35">
      <c r="A12140" t="str">
        <f t="shared" si="4485"/>
        <v>NAVCOMTELSTA SAN DIEGO</v>
      </c>
      <c r="B12140" t="str">
        <f>T(" P O 357056")</f>
        <v xml:space="preserve"> P O 357056</v>
      </c>
      <c r="C12140" t="str">
        <f t="shared" si="4486"/>
        <v>ATTN CODE N1 SUSAN WATKINS</v>
      </c>
      <c r="D12140" t="str">
        <f t="shared" si="4487"/>
        <v>SAN DIEGO</v>
      </c>
      <c r="E12140" t="str">
        <f t="shared" si="4488"/>
        <v>CA</v>
      </c>
      <c r="F12140" t="str">
        <f t="shared" si="4489"/>
        <v>921357056</v>
      </c>
      <c r="G12140" t="str">
        <f>T("NCTS ATTN CODE N1")</f>
        <v>NCTS ATTN CODE N1</v>
      </c>
      <c r="H12140" t="str">
        <f>T("PO 357056")</f>
        <v>PO 357056</v>
      </c>
      <c r="I12140" t="str">
        <f>T("SAN DIEGO")</f>
        <v>SAN DIEGO</v>
      </c>
      <c r="J12140" t="str">
        <f>T("CA")</f>
        <v>CA</v>
      </c>
      <c r="K12140" t="str">
        <f>T("6195458573")</f>
        <v>6195458573</v>
      </c>
      <c r="L12140" t="str">
        <f>T("1111111111")</f>
        <v>1111111111</v>
      </c>
    </row>
    <row r="12141" spans="1:12" x14ac:dyDescent="0.35">
      <c r="A12141" t="str">
        <f t="shared" si="4485"/>
        <v>NAVCOMTELSTA SAN DIEGO</v>
      </c>
      <c r="B12141" t="str">
        <f>T(" P O 357056")</f>
        <v xml:space="preserve"> P O 357056</v>
      </c>
      <c r="C12141" t="str">
        <f t="shared" si="4486"/>
        <v>ATTN CODE N1 SUSAN WATKINS</v>
      </c>
      <c r="D12141" t="str">
        <f t="shared" si="4487"/>
        <v>SAN DIEGO</v>
      </c>
      <c r="E12141" t="str">
        <f t="shared" si="4488"/>
        <v>CA</v>
      </c>
      <c r="F12141" t="str">
        <f t="shared" si="4489"/>
        <v>921357056</v>
      </c>
      <c r="G12141" t="str">
        <f>T("NCTS ATTN N1")</f>
        <v>NCTS ATTN N1</v>
      </c>
      <c r="H12141" t="str">
        <f>T("PO BOX 357056")</f>
        <v>PO BOX 357056</v>
      </c>
      <c r="I12141" t="str">
        <f>T("SAN DIEGO")</f>
        <v>SAN DIEGO</v>
      </c>
      <c r="J12141" t="str">
        <f>T("CA")</f>
        <v>CA</v>
      </c>
      <c r="K12141" t="str">
        <f>T("6195458573")</f>
        <v>6195458573</v>
      </c>
      <c r="L12141" t="str">
        <f>T("1111111111")</f>
        <v>1111111111</v>
      </c>
    </row>
    <row r="12142" spans="1:12" x14ac:dyDescent="0.35">
      <c r="A12142" t="str">
        <f t="shared" si="4485"/>
        <v>NAVCOMTELSTA SAN DIEGO</v>
      </c>
      <c r="B12142" t="str">
        <f>T("P O 357056")</f>
        <v>P O 357056</v>
      </c>
      <c r="C12142" t="str">
        <f t="shared" si="4486"/>
        <v>ATTN CODE N1 SUSAN WATKINS</v>
      </c>
      <c r="D12142" t="str">
        <f t="shared" si="4487"/>
        <v>SAN DIEGO</v>
      </c>
      <c r="E12142" t="str">
        <f t="shared" si="4488"/>
        <v>CA</v>
      </c>
      <c r="F12142" t="str">
        <f t="shared" si="4489"/>
        <v>921357056</v>
      </c>
      <c r="G12142" t="str">
        <f>T("NCTS ATTN N5 AO")</f>
        <v>NCTS ATTN N5 AO</v>
      </c>
      <c r="H12142" t="str">
        <f>T("PO BOX 357056")</f>
        <v>PO BOX 357056</v>
      </c>
      <c r="I12142" t="str">
        <f>T("SAN DIEGO")</f>
        <v>SAN DIEGO</v>
      </c>
      <c r="J12142" t="str">
        <f>T("CA")</f>
        <v>CA</v>
      </c>
      <c r="K12142" t="str">
        <f>T("6195458573")</f>
        <v>6195458573</v>
      </c>
      <c r="L12142" t="str">
        <f>T("6195452354")</f>
        <v>6195452354</v>
      </c>
    </row>
    <row r="12143" spans="1:12" x14ac:dyDescent="0.35">
      <c r="A12143" t="str">
        <f t="shared" si="4485"/>
        <v>NAVCOMTELSTA SAN DIEGO</v>
      </c>
      <c r="B12143" t="str">
        <f>T("P O 357056")</f>
        <v>P O 357056</v>
      </c>
      <c r="C12143" t="str">
        <f t="shared" si="4486"/>
        <v>ATTN CODE N1 SUSAN WATKINS</v>
      </c>
      <c r="D12143" t="str">
        <f t="shared" si="4487"/>
        <v>SAN DIEGO</v>
      </c>
      <c r="E12143" t="str">
        <f t="shared" si="4488"/>
        <v>CA</v>
      </c>
      <c r="F12143" t="str">
        <f t="shared" si="4489"/>
        <v>921357056</v>
      </c>
      <c r="G12143" t="str">
        <f>T("P O 357056")</f>
        <v>P O 357056</v>
      </c>
      <c r="H12143" t="str">
        <f>T("ATTN CODE N1 SUSAN WATKINS")</f>
        <v>ATTN CODE N1 SUSAN WATKINS</v>
      </c>
      <c r="I12143" t="str">
        <f>T("SAN DIEGO")</f>
        <v>SAN DIEGO</v>
      </c>
      <c r="J12143" t="str">
        <f>T("CA")</f>
        <v>CA</v>
      </c>
      <c r="K12143" t="str">
        <f>T("619-545-8573")</f>
        <v>619-545-8573</v>
      </c>
      <c r="L12143" t="str">
        <f>T("6195452354")</f>
        <v>6195452354</v>
      </c>
    </row>
    <row r="12144" spans="1:12" x14ac:dyDescent="0.35">
      <c r="A12144" t="str">
        <f>T("NCTS GUAM")</f>
        <v>NCTS GUAM</v>
      </c>
      <c r="B12144" t="str">
        <f>T("U S NAVCOMTELSTA GUAM")</f>
        <v>U S NAVCOMTELSTA GUAM</v>
      </c>
      <c r="C12144" t="str">
        <f>T("PSC 488 BOX 101")</f>
        <v>PSC 488 BOX 101</v>
      </c>
      <c r="D12144" t="str">
        <f>T("FPO")</f>
        <v>FPO</v>
      </c>
      <c r="E12144" t="str">
        <f>T("AP")</f>
        <v>AP</v>
      </c>
      <c r="F12144" t="str">
        <f>T("965370002")</f>
        <v>965370002</v>
      </c>
      <c r="G12144" t="str">
        <f>T("U S NAVCOMTELSTA GUAM")</f>
        <v>U S NAVCOMTELSTA GUAM</v>
      </c>
      <c r="H12144" t="str">
        <f>T("PSC 488 BOX 101")</f>
        <v>PSC 488 BOX 101</v>
      </c>
      <c r="I12144" t="str">
        <f>T("FPO")</f>
        <v>FPO</v>
      </c>
      <c r="J12144" t="str">
        <f>T("AP")</f>
        <v>AP</v>
      </c>
      <c r="K12144" t="str">
        <f>T("000000000000000000")</f>
        <v>000000000000000000</v>
      </c>
      <c r="L12144" t="str">
        <f>T("6713555006")</f>
        <v>6713555006</v>
      </c>
    </row>
    <row r="12145" spans="1:12" x14ac:dyDescent="0.35">
      <c r="A12145" t="str">
        <f>T("NCTS GUAM")</f>
        <v>NCTS GUAM</v>
      </c>
      <c r="B12145" t="str">
        <f>T("U S NAVCOMTELSTA GUAM")</f>
        <v>U S NAVCOMTELSTA GUAM</v>
      </c>
      <c r="C12145" t="str">
        <f>T("PSC 488 BOX 101")</f>
        <v>PSC 488 BOX 101</v>
      </c>
      <c r="D12145" t="str">
        <f>T("FPO")</f>
        <v>FPO</v>
      </c>
      <c r="E12145" t="str">
        <f>T("AP")</f>
        <v>AP</v>
      </c>
      <c r="F12145" t="str">
        <f>T("965370002")</f>
        <v>965370002</v>
      </c>
      <c r="G12145" t="str">
        <f>T("US NAVCOMTELSTAT GUAM")</f>
        <v>US NAVCOMTELSTAT GUAM</v>
      </c>
      <c r="H12145" t="str">
        <f>T("PSC 488 BOX 101")</f>
        <v>PSC 488 BOX 101</v>
      </c>
      <c r="I12145" t="str">
        <f>T("FPO")</f>
        <v>FPO</v>
      </c>
      <c r="J12145" t="str">
        <f>T("AP")</f>
        <v>AP</v>
      </c>
      <c r="K12145" t="str">
        <f>T("6713555132")</f>
        <v>6713555132</v>
      </c>
      <c r="L12145" t="str">
        <f>T("6713555431")</f>
        <v>6713555431</v>
      </c>
    </row>
    <row r="12146" spans="1:12" x14ac:dyDescent="0.35">
      <c r="A12146" t="str">
        <f t="shared" ref="A12146:A12168" si="4490">T("NCTAMSLANT")</f>
        <v>NCTAMSLANT</v>
      </c>
      <c r="B12146" t="str">
        <f t="shared" ref="B12146:B12164" si="4491">T("9625 MOFFETT AVENUE")</f>
        <v>9625 MOFFETT AVENUE</v>
      </c>
      <c r="C12146" t="str">
        <f t="shared" ref="C12146:C12176" si="4492">T("")</f>
        <v/>
      </c>
      <c r="D12146" t="str">
        <f t="shared" ref="D12146:D12164" si="4493">T("NORFOLK")</f>
        <v>NORFOLK</v>
      </c>
      <c r="E12146" t="str">
        <f t="shared" ref="E12146:E12164" si="4494">T("VA")</f>
        <v>VA</v>
      </c>
      <c r="F12146" t="str">
        <f t="shared" ref="F12146:F12164" si="4495">T("235112732")</f>
        <v>235112732</v>
      </c>
      <c r="G12146" t="str">
        <f>T("175 RIDGE ROAD")</f>
        <v>175 RIDGE ROAD</v>
      </c>
      <c r="H12146" t="str">
        <f>T("BUILDING 100")</f>
        <v>BUILDING 100</v>
      </c>
      <c r="I12146" t="str">
        <f>T("CUTLER")</f>
        <v>CUTLER</v>
      </c>
      <c r="J12146" t="str">
        <f>T("ME")</f>
        <v>ME</v>
      </c>
      <c r="K12146" t="str">
        <f>T("000000000000000000")</f>
        <v>000000000000000000</v>
      </c>
      <c r="L12146" t="str">
        <f>T("2072598291")</f>
        <v>2072598291</v>
      </c>
    </row>
    <row r="12147" spans="1:12" x14ac:dyDescent="0.35">
      <c r="A12147" t="str">
        <f t="shared" si="4490"/>
        <v>NCTAMSLANT</v>
      </c>
      <c r="B12147" t="str">
        <f t="shared" si="4491"/>
        <v>9625 MOFFETT AVENUE</v>
      </c>
      <c r="C12147" t="str">
        <f t="shared" si="4492"/>
        <v/>
      </c>
      <c r="D12147" t="str">
        <f t="shared" si="4493"/>
        <v>NORFOLK</v>
      </c>
      <c r="E12147" t="str">
        <f t="shared" si="4494"/>
        <v>VA</v>
      </c>
      <c r="F12147" t="str">
        <f t="shared" si="4495"/>
        <v>235112732</v>
      </c>
      <c r="G12147" t="str">
        <f>T("175 RIDGE ROAD")</f>
        <v>175 RIDGE ROAD</v>
      </c>
      <c r="H12147" t="str">
        <f>T("BUILDING 100")</f>
        <v>BUILDING 100</v>
      </c>
      <c r="I12147" t="str">
        <f>T("CUTLER")</f>
        <v>CUTLER</v>
      </c>
      <c r="J12147" t="str">
        <f>T("ME")</f>
        <v>ME</v>
      </c>
      <c r="K12147" t="str">
        <f>T("2072598300")</f>
        <v>2072598300</v>
      </c>
      <c r="L12147" t="str">
        <f>T("2072598223")</f>
        <v>2072598223</v>
      </c>
    </row>
    <row r="12148" spans="1:12" x14ac:dyDescent="0.35">
      <c r="A12148" t="str">
        <f t="shared" si="4490"/>
        <v>NCTAMSLANT</v>
      </c>
      <c r="B12148" t="str">
        <f t="shared" si="4491"/>
        <v>9625 MOFFETT AVENUE</v>
      </c>
      <c r="C12148" t="str">
        <f t="shared" si="4492"/>
        <v/>
      </c>
      <c r="D12148" t="str">
        <f t="shared" si="4493"/>
        <v>NORFOLK</v>
      </c>
      <c r="E12148" t="str">
        <f t="shared" si="4494"/>
        <v>VA</v>
      </c>
      <c r="F12148" t="str">
        <f t="shared" si="4495"/>
        <v>235112732</v>
      </c>
      <c r="G12148" t="str">
        <f>T("175 RIDGE ROAD BLDG 100")</f>
        <v>175 RIDGE ROAD BLDG 100</v>
      </c>
      <c r="H12148" t="str">
        <f>T("")</f>
        <v/>
      </c>
      <c r="I12148" t="str">
        <f>T("CUTLER")</f>
        <v>CUTLER</v>
      </c>
      <c r="J12148" t="str">
        <f>T("ME")</f>
        <v>ME</v>
      </c>
      <c r="K12148" t="str">
        <f>T("000000000000000000")</f>
        <v>000000000000000000</v>
      </c>
      <c r="L12148" t="str">
        <f>T("2072598291")</f>
        <v>2072598291</v>
      </c>
    </row>
    <row r="12149" spans="1:12" x14ac:dyDescent="0.35">
      <c r="A12149" t="str">
        <f t="shared" si="4490"/>
        <v>NCTAMSLANT</v>
      </c>
      <c r="B12149" t="str">
        <f t="shared" si="4491"/>
        <v>9625 MOFFETT AVENUE</v>
      </c>
      <c r="C12149" t="str">
        <f t="shared" si="4492"/>
        <v/>
      </c>
      <c r="D12149" t="str">
        <f t="shared" si="4493"/>
        <v>NORFOLK</v>
      </c>
      <c r="E12149" t="str">
        <f t="shared" si="4494"/>
        <v>VA</v>
      </c>
      <c r="F12149" t="str">
        <f t="shared" si="4495"/>
        <v>235112732</v>
      </c>
      <c r="G12149" t="str">
        <f>T("700 ROBBINS AVENUE")</f>
        <v>700 ROBBINS AVENUE</v>
      </c>
      <c r="H12149" t="str">
        <f>T("BLDG 1 ROOM 1110")</f>
        <v>BLDG 1 ROOM 1110</v>
      </c>
      <c r="I12149" t="str">
        <f>T("PHILADELPHIA")</f>
        <v>PHILADELPHIA</v>
      </c>
      <c r="J12149" t="str">
        <f>T("PA")</f>
        <v>PA</v>
      </c>
      <c r="K12149" t="str">
        <f>T("2156976228")</f>
        <v>2156976228</v>
      </c>
      <c r="L12149" t="str">
        <f>T("2156971200")</f>
        <v>2156971200</v>
      </c>
    </row>
    <row r="12150" spans="1:12" x14ac:dyDescent="0.35">
      <c r="A12150" t="str">
        <f t="shared" si="4490"/>
        <v>NCTAMSLANT</v>
      </c>
      <c r="B12150" t="str">
        <f t="shared" si="4491"/>
        <v>9625 MOFFETT AVENUE</v>
      </c>
      <c r="C12150" t="str">
        <f t="shared" si="4492"/>
        <v/>
      </c>
      <c r="D12150" t="str">
        <f t="shared" si="4493"/>
        <v>NORFOLK</v>
      </c>
      <c r="E12150" t="str">
        <f t="shared" si="4494"/>
        <v>VA</v>
      </c>
      <c r="F12150" t="str">
        <f t="shared" si="4495"/>
        <v>235112732</v>
      </c>
      <c r="G12150" t="str">
        <f t="shared" ref="G12150:G12158" si="4496">T("9625 MOFFETT AVENUE")</f>
        <v>9625 MOFFETT AVENUE</v>
      </c>
      <c r="H12150" t="str">
        <f t="shared" ref="H12150:H12157" si="4497">T("")</f>
        <v/>
      </c>
      <c r="I12150" t="str">
        <f t="shared" ref="I12150:I12162" si="4498">T("NORFOLK")</f>
        <v>NORFOLK</v>
      </c>
      <c r="J12150" t="str">
        <f t="shared" ref="J12150:J12162" si="4499">T("VA")</f>
        <v>VA</v>
      </c>
      <c r="K12150" t="str">
        <f t="shared" ref="K12150:K12156" si="4500">T("000000000000000000")</f>
        <v>000000000000000000</v>
      </c>
      <c r="L12150" t="str">
        <f>T("1111111111")</f>
        <v>1111111111</v>
      </c>
    </row>
    <row r="12151" spans="1:12" x14ac:dyDescent="0.35">
      <c r="A12151" t="str">
        <f t="shared" si="4490"/>
        <v>NCTAMSLANT</v>
      </c>
      <c r="B12151" t="str">
        <f t="shared" si="4491"/>
        <v>9625 MOFFETT AVENUE</v>
      </c>
      <c r="C12151" t="str">
        <f t="shared" si="4492"/>
        <v/>
      </c>
      <c r="D12151" t="str">
        <f t="shared" si="4493"/>
        <v>NORFOLK</v>
      </c>
      <c r="E12151" t="str">
        <f t="shared" si="4494"/>
        <v>VA</v>
      </c>
      <c r="F12151" t="str">
        <f t="shared" si="4495"/>
        <v>235112732</v>
      </c>
      <c r="G12151" t="str">
        <f t="shared" si="4496"/>
        <v>9625 MOFFETT AVENUE</v>
      </c>
      <c r="H12151" t="str">
        <f t="shared" si="4497"/>
        <v/>
      </c>
      <c r="I12151" t="str">
        <f t="shared" si="4498"/>
        <v>NORFOLK</v>
      </c>
      <c r="J12151" t="str">
        <f t="shared" si="4499"/>
        <v>VA</v>
      </c>
      <c r="K12151" t="str">
        <f t="shared" si="4500"/>
        <v>000000000000000000</v>
      </c>
      <c r="L12151" t="str">
        <f>T("2156974000")</f>
        <v>2156974000</v>
      </c>
    </row>
    <row r="12152" spans="1:12" x14ac:dyDescent="0.35">
      <c r="A12152" t="str">
        <f t="shared" si="4490"/>
        <v>NCTAMSLANT</v>
      </c>
      <c r="B12152" t="str">
        <f t="shared" si="4491"/>
        <v>9625 MOFFETT AVENUE</v>
      </c>
      <c r="C12152" t="str">
        <f t="shared" si="4492"/>
        <v/>
      </c>
      <c r="D12152" t="str">
        <f t="shared" si="4493"/>
        <v>NORFOLK</v>
      </c>
      <c r="E12152" t="str">
        <f t="shared" si="4494"/>
        <v>VA</v>
      </c>
      <c r="F12152" t="str">
        <f t="shared" si="4495"/>
        <v>235112732</v>
      </c>
      <c r="G12152" t="str">
        <f t="shared" si="4496"/>
        <v>9625 MOFFETT AVENUE</v>
      </c>
      <c r="H12152" t="str">
        <f t="shared" si="4497"/>
        <v/>
      </c>
      <c r="I12152" t="str">
        <f t="shared" si="4498"/>
        <v>NORFOLK</v>
      </c>
      <c r="J12152" t="str">
        <f t="shared" si="4499"/>
        <v>VA</v>
      </c>
      <c r="K12152" t="str">
        <f t="shared" si="4500"/>
        <v>000000000000000000</v>
      </c>
      <c r="L12152" t="str">
        <f>T("7574439080")</f>
        <v>7574439080</v>
      </c>
    </row>
    <row r="12153" spans="1:12" x14ac:dyDescent="0.35">
      <c r="A12153" t="str">
        <f t="shared" si="4490"/>
        <v>NCTAMSLANT</v>
      </c>
      <c r="B12153" t="str">
        <f t="shared" si="4491"/>
        <v>9625 MOFFETT AVENUE</v>
      </c>
      <c r="C12153" t="str">
        <f t="shared" si="4492"/>
        <v/>
      </c>
      <c r="D12153" t="str">
        <f t="shared" si="4493"/>
        <v>NORFOLK</v>
      </c>
      <c r="E12153" t="str">
        <f t="shared" si="4494"/>
        <v>VA</v>
      </c>
      <c r="F12153" t="str">
        <f t="shared" si="4495"/>
        <v>235112732</v>
      </c>
      <c r="G12153" t="str">
        <f t="shared" si="4496"/>
        <v>9625 MOFFETT AVENUE</v>
      </c>
      <c r="H12153" t="str">
        <f t="shared" si="4497"/>
        <v/>
      </c>
      <c r="I12153" t="str">
        <f t="shared" si="4498"/>
        <v>NORFOLK</v>
      </c>
      <c r="J12153" t="str">
        <f t="shared" si="4499"/>
        <v>VA</v>
      </c>
      <c r="K12153" t="str">
        <f t="shared" si="4500"/>
        <v>000000000000000000</v>
      </c>
      <c r="L12153" t="str">
        <f>T("7574439097")</f>
        <v>7574439097</v>
      </c>
    </row>
    <row r="12154" spans="1:12" x14ac:dyDescent="0.35">
      <c r="A12154" t="str">
        <f t="shared" si="4490"/>
        <v>NCTAMSLANT</v>
      </c>
      <c r="B12154" t="str">
        <f t="shared" si="4491"/>
        <v>9625 MOFFETT AVENUE</v>
      </c>
      <c r="C12154" t="str">
        <f t="shared" si="4492"/>
        <v/>
      </c>
      <c r="D12154" t="str">
        <f t="shared" si="4493"/>
        <v>NORFOLK</v>
      </c>
      <c r="E12154" t="str">
        <f t="shared" si="4494"/>
        <v>VA</v>
      </c>
      <c r="F12154" t="str">
        <f t="shared" si="4495"/>
        <v>235112732</v>
      </c>
      <c r="G12154" t="str">
        <f t="shared" si="4496"/>
        <v>9625 MOFFETT AVENUE</v>
      </c>
      <c r="H12154" t="str">
        <f t="shared" si="4497"/>
        <v/>
      </c>
      <c r="I12154" t="str">
        <f t="shared" si="4498"/>
        <v>NORFOLK</v>
      </c>
      <c r="J12154" t="str">
        <f t="shared" si="4499"/>
        <v>VA</v>
      </c>
      <c r="K12154" t="str">
        <f t="shared" si="4500"/>
        <v>000000000000000000</v>
      </c>
      <c r="L12154" t="str">
        <f>T("7574439256")</f>
        <v>7574439256</v>
      </c>
    </row>
    <row r="12155" spans="1:12" x14ac:dyDescent="0.35">
      <c r="A12155" t="str">
        <f t="shared" si="4490"/>
        <v>NCTAMSLANT</v>
      </c>
      <c r="B12155" t="str">
        <f t="shared" si="4491"/>
        <v>9625 MOFFETT AVENUE</v>
      </c>
      <c r="C12155" t="str">
        <f t="shared" si="4492"/>
        <v/>
      </c>
      <c r="D12155" t="str">
        <f t="shared" si="4493"/>
        <v>NORFOLK</v>
      </c>
      <c r="E12155" t="str">
        <f t="shared" si="4494"/>
        <v>VA</v>
      </c>
      <c r="F12155" t="str">
        <f t="shared" si="4495"/>
        <v>235112732</v>
      </c>
      <c r="G12155" t="str">
        <f t="shared" si="4496"/>
        <v>9625 MOFFETT AVENUE</v>
      </c>
      <c r="H12155" t="str">
        <f t="shared" si="4497"/>
        <v/>
      </c>
      <c r="I12155" t="str">
        <f t="shared" si="4498"/>
        <v>NORFOLK</v>
      </c>
      <c r="J12155" t="str">
        <f t="shared" si="4499"/>
        <v>VA</v>
      </c>
      <c r="K12155" t="str">
        <f t="shared" si="4500"/>
        <v>000000000000000000</v>
      </c>
      <c r="L12155" t="str">
        <f>T("7574448039")</f>
        <v>7574448039</v>
      </c>
    </row>
    <row r="12156" spans="1:12" x14ac:dyDescent="0.35">
      <c r="A12156" t="str">
        <f t="shared" si="4490"/>
        <v>NCTAMSLANT</v>
      </c>
      <c r="B12156" t="str">
        <f t="shared" si="4491"/>
        <v>9625 MOFFETT AVENUE</v>
      </c>
      <c r="C12156" t="str">
        <f t="shared" si="4492"/>
        <v/>
      </c>
      <c r="D12156" t="str">
        <f t="shared" si="4493"/>
        <v>NORFOLK</v>
      </c>
      <c r="E12156" t="str">
        <f t="shared" si="4494"/>
        <v>VA</v>
      </c>
      <c r="F12156" t="str">
        <f t="shared" si="4495"/>
        <v>235112732</v>
      </c>
      <c r="G12156" t="str">
        <f t="shared" si="4496"/>
        <v>9625 MOFFETT AVENUE</v>
      </c>
      <c r="H12156" t="str">
        <f t="shared" si="4497"/>
        <v/>
      </c>
      <c r="I12156" t="str">
        <f t="shared" si="4498"/>
        <v>NORFOLK</v>
      </c>
      <c r="J12156" t="str">
        <f t="shared" si="4499"/>
        <v>VA</v>
      </c>
      <c r="K12156" t="str">
        <f t="shared" si="4500"/>
        <v>000000000000000000</v>
      </c>
      <c r="L12156" t="str">
        <f>T("7574582762")</f>
        <v>7574582762</v>
      </c>
    </row>
    <row r="12157" spans="1:12" x14ac:dyDescent="0.35">
      <c r="A12157" t="str">
        <f t="shared" si="4490"/>
        <v>NCTAMSLANT</v>
      </c>
      <c r="B12157" t="str">
        <f t="shared" si="4491"/>
        <v>9625 MOFFETT AVENUE</v>
      </c>
      <c r="C12157" t="str">
        <f t="shared" si="4492"/>
        <v/>
      </c>
      <c r="D12157" t="str">
        <f t="shared" si="4493"/>
        <v>NORFOLK</v>
      </c>
      <c r="E12157" t="str">
        <f t="shared" si="4494"/>
        <v>VA</v>
      </c>
      <c r="F12157" t="str">
        <f t="shared" si="4495"/>
        <v>235112732</v>
      </c>
      <c r="G12157" t="str">
        <f t="shared" si="4496"/>
        <v>9625 MOFFETT AVENUE</v>
      </c>
      <c r="H12157" t="str">
        <f t="shared" si="4497"/>
        <v/>
      </c>
      <c r="I12157" t="str">
        <f t="shared" si="4498"/>
        <v>NORFOLK</v>
      </c>
      <c r="J12157" t="str">
        <f t="shared" si="4499"/>
        <v>VA</v>
      </c>
      <c r="K12157" t="str">
        <f>T("207-259-8376")</f>
        <v>207-259-8376</v>
      </c>
      <c r="L12157" t="str">
        <f>T("2072598465")</f>
        <v>2072598465</v>
      </c>
    </row>
    <row r="12158" spans="1:12" x14ac:dyDescent="0.35">
      <c r="A12158" t="str">
        <f t="shared" si="4490"/>
        <v>NCTAMSLANT</v>
      </c>
      <c r="B12158" t="str">
        <f t="shared" si="4491"/>
        <v>9625 MOFFETT AVENUE</v>
      </c>
      <c r="C12158" t="str">
        <f t="shared" si="4492"/>
        <v/>
      </c>
      <c r="D12158" t="str">
        <f t="shared" si="4493"/>
        <v>NORFOLK</v>
      </c>
      <c r="E12158" t="str">
        <f t="shared" si="4494"/>
        <v>VA</v>
      </c>
      <c r="F12158" t="str">
        <f t="shared" si="4495"/>
        <v>235112732</v>
      </c>
      <c r="G12158" t="str">
        <f t="shared" si="4496"/>
        <v>9625 MOFFETT AVENUE</v>
      </c>
      <c r="H12158" t="str">
        <f>T("CODE N4 BUILDING M113")</f>
        <v>CODE N4 BUILDING M113</v>
      </c>
      <c r="I12158" t="str">
        <f t="shared" si="4498"/>
        <v>NORFOLK</v>
      </c>
      <c r="J12158" t="str">
        <f t="shared" si="4499"/>
        <v>VA</v>
      </c>
      <c r="K12158" t="str">
        <f t="shared" ref="K12158:K12163" si="4501">T("000000000000000000")</f>
        <v>000000000000000000</v>
      </c>
      <c r="L12158" t="str">
        <f>T("7574439193")</f>
        <v>7574439193</v>
      </c>
    </row>
    <row r="12159" spans="1:12" x14ac:dyDescent="0.35">
      <c r="A12159" t="str">
        <f t="shared" si="4490"/>
        <v>NCTAMSLANT</v>
      </c>
      <c r="B12159" t="str">
        <f t="shared" si="4491"/>
        <v>9625 MOFFETT AVENUE</v>
      </c>
      <c r="C12159" t="str">
        <f t="shared" si="4492"/>
        <v/>
      </c>
      <c r="D12159" t="str">
        <f t="shared" si="4493"/>
        <v>NORFOLK</v>
      </c>
      <c r="E12159" t="str">
        <f t="shared" si="4494"/>
        <v>VA</v>
      </c>
      <c r="F12159" t="str">
        <f t="shared" si="4495"/>
        <v>235112732</v>
      </c>
      <c r="G12159" t="str">
        <f>T("NCTAMSLANT")</f>
        <v>NCTAMSLANT</v>
      </c>
      <c r="H12159" t="str">
        <f>T("9256 MOFFETT AVENUE")</f>
        <v>9256 MOFFETT AVENUE</v>
      </c>
      <c r="I12159" t="str">
        <f t="shared" si="4498"/>
        <v>NORFOLK</v>
      </c>
      <c r="J12159" t="str">
        <f t="shared" si="4499"/>
        <v>VA</v>
      </c>
      <c r="K12159" t="str">
        <f t="shared" si="4501"/>
        <v>000000000000000000</v>
      </c>
      <c r="L12159" t="str">
        <f>T("7574439193")</f>
        <v>7574439193</v>
      </c>
    </row>
    <row r="12160" spans="1:12" x14ac:dyDescent="0.35">
      <c r="A12160" t="str">
        <f t="shared" si="4490"/>
        <v>NCTAMSLANT</v>
      </c>
      <c r="B12160" t="str">
        <f t="shared" si="4491"/>
        <v>9625 MOFFETT AVENUE</v>
      </c>
      <c r="C12160" t="str">
        <f t="shared" si="4492"/>
        <v/>
      </c>
      <c r="D12160" t="str">
        <f t="shared" si="4493"/>
        <v>NORFOLK</v>
      </c>
      <c r="E12160" t="str">
        <f t="shared" si="4494"/>
        <v>VA</v>
      </c>
      <c r="F12160" t="str">
        <f t="shared" si="4495"/>
        <v>235112732</v>
      </c>
      <c r="G12160" t="str">
        <f>T("NCTAMSLANT")</f>
        <v>NCTAMSLANT</v>
      </c>
      <c r="H12160" t="str">
        <f>T("9625 MOFFETT AVE BLDG M52")</f>
        <v>9625 MOFFETT AVE BLDG M52</v>
      </c>
      <c r="I12160" t="str">
        <f t="shared" si="4498"/>
        <v>NORFOLK</v>
      </c>
      <c r="J12160" t="str">
        <f t="shared" si="4499"/>
        <v>VA</v>
      </c>
      <c r="K12160" t="str">
        <f t="shared" si="4501"/>
        <v>000000000000000000</v>
      </c>
      <c r="L12160" t="str">
        <f>T("7574439250")</f>
        <v>7574439250</v>
      </c>
    </row>
    <row r="12161" spans="1:12" x14ac:dyDescent="0.35">
      <c r="A12161" t="str">
        <f t="shared" si="4490"/>
        <v>NCTAMSLANT</v>
      </c>
      <c r="B12161" t="str">
        <f t="shared" si="4491"/>
        <v>9625 MOFFETT AVENUE</v>
      </c>
      <c r="C12161" t="str">
        <f t="shared" si="4492"/>
        <v/>
      </c>
      <c r="D12161" t="str">
        <f t="shared" si="4493"/>
        <v>NORFOLK</v>
      </c>
      <c r="E12161" t="str">
        <f t="shared" si="4494"/>
        <v>VA</v>
      </c>
      <c r="F12161" t="str">
        <f t="shared" si="4495"/>
        <v>235112732</v>
      </c>
      <c r="G12161" t="str">
        <f>T("NCTAMSLANT")</f>
        <v>NCTAMSLANT</v>
      </c>
      <c r="H12161" t="str">
        <f>T("9625 MOFFETT AVE BLDG M52")</f>
        <v>9625 MOFFETT AVE BLDG M52</v>
      </c>
      <c r="I12161" t="str">
        <f t="shared" si="4498"/>
        <v>NORFOLK</v>
      </c>
      <c r="J12161" t="str">
        <f t="shared" si="4499"/>
        <v>VA</v>
      </c>
      <c r="K12161" t="str">
        <f t="shared" si="4501"/>
        <v>000000000000000000</v>
      </c>
      <c r="L12161" t="str">
        <f>T("7574439447")</f>
        <v>7574439447</v>
      </c>
    </row>
    <row r="12162" spans="1:12" x14ac:dyDescent="0.35">
      <c r="A12162" t="str">
        <f t="shared" si="4490"/>
        <v>NCTAMSLANT</v>
      </c>
      <c r="B12162" t="str">
        <f t="shared" si="4491"/>
        <v>9625 MOFFETT AVENUE</v>
      </c>
      <c r="C12162" t="str">
        <f t="shared" si="4492"/>
        <v/>
      </c>
      <c r="D12162" t="str">
        <f t="shared" si="4493"/>
        <v>NORFOLK</v>
      </c>
      <c r="E12162" t="str">
        <f t="shared" si="4494"/>
        <v>VA</v>
      </c>
      <c r="F12162" t="str">
        <f t="shared" si="4495"/>
        <v>235112732</v>
      </c>
      <c r="G12162" t="str">
        <f>T("NCTAMSLANT")</f>
        <v>NCTAMSLANT</v>
      </c>
      <c r="H12162" t="str">
        <f>T("9625 MOFFETT AVENIUE")</f>
        <v>9625 MOFFETT AVENIUE</v>
      </c>
      <c r="I12162" t="str">
        <f t="shared" si="4498"/>
        <v>NORFOLK</v>
      </c>
      <c r="J12162" t="str">
        <f t="shared" si="4499"/>
        <v>VA</v>
      </c>
      <c r="K12162" t="str">
        <f t="shared" si="4501"/>
        <v>000000000000000000</v>
      </c>
      <c r="L12162" t="str">
        <f>T("7578365606")</f>
        <v>7578365606</v>
      </c>
    </row>
    <row r="12163" spans="1:12" x14ac:dyDescent="0.35">
      <c r="A12163" t="str">
        <f t="shared" si="4490"/>
        <v>NCTAMSLANT</v>
      </c>
      <c r="B12163" t="str">
        <f t="shared" si="4491"/>
        <v>9625 MOFFETT AVENUE</v>
      </c>
      <c r="C12163" t="str">
        <f t="shared" si="4492"/>
        <v/>
      </c>
      <c r="D12163" t="str">
        <f t="shared" si="4493"/>
        <v>NORFOLK</v>
      </c>
      <c r="E12163" t="str">
        <f t="shared" si="4494"/>
        <v>VA</v>
      </c>
      <c r="F12163" t="str">
        <f t="shared" si="4495"/>
        <v>235112732</v>
      </c>
      <c r="G12163" t="str">
        <f>T("PSC 814 BOX 21")</f>
        <v>PSC 814 BOX 21</v>
      </c>
      <c r="H12163" t="str">
        <f>T("")</f>
        <v/>
      </c>
      <c r="I12163" t="str">
        <f>T("FPO")</f>
        <v>FPO</v>
      </c>
      <c r="J12163" t="str">
        <f>T("AE")</f>
        <v>AE</v>
      </c>
      <c r="K12163" t="str">
        <f t="shared" si="4501"/>
        <v>000000000000000000</v>
      </c>
      <c r="L12163" t="str">
        <f>T("1111111111")</f>
        <v>1111111111</v>
      </c>
    </row>
    <row r="12164" spans="1:12" x14ac:dyDescent="0.35">
      <c r="A12164" t="str">
        <f t="shared" si="4490"/>
        <v>NCTAMSLANT</v>
      </c>
      <c r="B12164" t="str">
        <f t="shared" si="4491"/>
        <v>9625 MOFFETT AVENUE</v>
      </c>
      <c r="C12164" t="str">
        <f t="shared" si="4492"/>
        <v/>
      </c>
      <c r="D12164" t="str">
        <f t="shared" si="4493"/>
        <v>NORFOLK</v>
      </c>
      <c r="E12164" t="str">
        <f t="shared" si="4494"/>
        <v>VA</v>
      </c>
      <c r="F12164" t="str">
        <f t="shared" si="4495"/>
        <v>235112732</v>
      </c>
      <c r="G12164" t="str">
        <f>T("PSC 819 BOX 8301")</f>
        <v>PSC 819 BOX 8301</v>
      </c>
      <c r="H12164" t="str">
        <f>T("")</f>
        <v/>
      </c>
      <c r="I12164" t="str">
        <f>T("FPO")</f>
        <v>FPO</v>
      </c>
      <c r="J12164" t="str">
        <f>T("AE")</f>
        <v>AE</v>
      </c>
      <c r="K12164" t="str">
        <f>T("034956821540")</f>
        <v>034956821540</v>
      </c>
      <c r="L12164" t="str">
        <f>T("1111111111")</f>
        <v>1111111111</v>
      </c>
    </row>
    <row r="12165" spans="1:12" x14ac:dyDescent="0.35">
      <c r="A12165" t="str">
        <f t="shared" si="4490"/>
        <v>NCTAMSLANT</v>
      </c>
      <c r="B12165" t="str">
        <f>T("PO BOX 111")</f>
        <v>PO BOX 111</v>
      </c>
      <c r="C12165" t="str">
        <f t="shared" si="4492"/>
        <v/>
      </c>
      <c r="D12165" t="str">
        <f>T("JACKSONVILLE")</f>
        <v>JACKSONVILLE</v>
      </c>
      <c r="E12165" t="str">
        <f>T("FL")</f>
        <v>FL</v>
      </c>
      <c r="F12165" t="str">
        <f>T("322120111")</f>
        <v>322120111</v>
      </c>
      <c r="G12165" t="str">
        <f>T("NCTAMSLANT DET JACKSONVILLE")</f>
        <v>NCTAMSLANT DET JACKSONVILLE</v>
      </c>
      <c r="H12165" t="str">
        <f>T("P O BOX 111 BLDG")</f>
        <v>P O BOX 111 BLDG</v>
      </c>
      <c r="I12165" t="str">
        <f>T("JACKSONVILLE")</f>
        <v>JACKSONVILLE</v>
      </c>
      <c r="J12165" t="str">
        <f>T("FL")</f>
        <v>FL</v>
      </c>
      <c r="K12165" t="str">
        <f t="shared" ref="K12165:K12176" si="4502">T("000000000000000000")</f>
        <v>000000000000000000</v>
      </c>
      <c r="L12165" t="str">
        <f>T("9045428252")</f>
        <v>9045428252</v>
      </c>
    </row>
    <row r="12166" spans="1:12" x14ac:dyDescent="0.35">
      <c r="A12166" t="str">
        <f t="shared" si="4490"/>
        <v>NCTAMSLANT</v>
      </c>
      <c r="B12166" t="str">
        <f>T("PO BOX 111")</f>
        <v>PO BOX 111</v>
      </c>
      <c r="C12166" t="str">
        <f t="shared" si="4492"/>
        <v/>
      </c>
      <c r="D12166" t="str">
        <f>T("JACKSONVILLE")</f>
        <v>JACKSONVILLE</v>
      </c>
      <c r="E12166" t="str">
        <f>T("FL")</f>
        <v>FL</v>
      </c>
      <c r="F12166" t="str">
        <f>T("322120111")</f>
        <v>322120111</v>
      </c>
      <c r="G12166" t="str">
        <f>T("PO BOX 111")</f>
        <v>PO BOX 111</v>
      </c>
      <c r="H12166" t="str">
        <f t="shared" ref="H12166:H12173" si="4503">T("")</f>
        <v/>
      </c>
      <c r="I12166" t="str">
        <f>T("JACKSONVILLE")</f>
        <v>JACKSONVILLE</v>
      </c>
      <c r="J12166" t="str">
        <f>T("FL")</f>
        <v>FL</v>
      </c>
      <c r="K12166" t="str">
        <f t="shared" si="4502"/>
        <v>000000000000000000</v>
      </c>
      <c r="L12166" t="str">
        <f>T("9045428208")</f>
        <v>9045428208</v>
      </c>
    </row>
    <row r="12167" spans="1:12" x14ac:dyDescent="0.35">
      <c r="A12167" t="str">
        <f t="shared" si="4490"/>
        <v>NCTAMSLANT</v>
      </c>
      <c r="B12167" t="str">
        <f>T("PO BOX 111")</f>
        <v>PO BOX 111</v>
      </c>
      <c r="C12167" t="str">
        <f t="shared" si="4492"/>
        <v/>
      </c>
      <c r="D12167" t="str">
        <f>T("JACKSONVILLE")</f>
        <v>JACKSONVILLE</v>
      </c>
      <c r="E12167" t="str">
        <f>T("FL")</f>
        <v>FL</v>
      </c>
      <c r="F12167" t="str">
        <f>T("322120111")</f>
        <v>322120111</v>
      </c>
      <c r="G12167" t="str">
        <f>T("PO BOX 111 BLDG 27")</f>
        <v>PO BOX 111 BLDG 27</v>
      </c>
      <c r="H12167" t="str">
        <f t="shared" si="4503"/>
        <v/>
      </c>
      <c r="I12167" t="str">
        <f>T("JACKSONVILLE")</f>
        <v>JACKSONVILLE</v>
      </c>
      <c r="J12167" t="str">
        <f>T("FL")</f>
        <v>FL</v>
      </c>
      <c r="K12167" t="str">
        <f t="shared" si="4502"/>
        <v>000000000000000000</v>
      </c>
      <c r="L12167" t="str">
        <f>T("9045425141")</f>
        <v>9045425141</v>
      </c>
    </row>
    <row r="12168" spans="1:12" x14ac:dyDescent="0.35">
      <c r="A12168" t="str">
        <f t="shared" si="4490"/>
        <v>NCTAMSLANT</v>
      </c>
      <c r="B12168" t="str">
        <f>T("PO BOX 111")</f>
        <v>PO BOX 111</v>
      </c>
      <c r="C12168" t="str">
        <f t="shared" si="4492"/>
        <v/>
      </c>
      <c r="D12168" t="str">
        <f>T("JACKSONVILLE")</f>
        <v>JACKSONVILLE</v>
      </c>
      <c r="E12168" t="str">
        <f>T("FL")</f>
        <v>FL</v>
      </c>
      <c r="F12168" t="str">
        <f>T("322120111")</f>
        <v>322120111</v>
      </c>
      <c r="G12168" t="str">
        <f>T("PO BOX 111 BLDG 27")</f>
        <v>PO BOX 111 BLDG 27</v>
      </c>
      <c r="H12168" t="str">
        <f t="shared" si="4503"/>
        <v/>
      </c>
      <c r="I12168" t="str">
        <f>T("JACKSONVILLE")</f>
        <v>JACKSONVILLE</v>
      </c>
      <c r="J12168" t="str">
        <f>T("FL")</f>
        <v>FL</v>
      </c>
      <c r="K12168" t="str">
        <f t="shared" si="4502"/>
        <v>000000000000000000</v>
      </c>
      <c r="L12168" t="str">
        <f>T("9045426931")</f>
        <v>9045426931</v>
      </c>
    </row>
    <row r="12169" spans="1:12" x14ac:dyDescent="0.35">
      <c r="A12169" t="str">
        <f>T("NCDOC")</f>
        <v>NCDOC</v>
      </c>
      <c r="B12169" t="str">
        <f>T("112 LAKE VIEW PARKWAY")</f>
        <v>112 LAKE VIEW PARKWAY</v>
      </c>
      <c r="C12169" t="str">
        <f t="shared" si="4492"/>
        <v/>
      </c>
      <c r="D12169" t="str">
        <f>T("SUFFOLK")</f>
        <v>SUFFOLK</v>
      </c>
      <c r="E12169" t="str">
        <f>T("VA")</f>
        <v>VA</v>
      </c>
      <c r="F12169" t="str">
        <f>T("234353628")</f>
        <v>234353628</v>
      </c>
      <c r="G12169" t="str">
        <f>T("112 LAKE VIEW PARKWAY")</f>
        <v>112 LAKE VIEW PARKWAY</v>
      </c>
      <c r="H12169" t="str">
        <f t="shared" si="4503"/>
        <v/>
      </c>
      <c r="I12169" t="str">
        <f>T("SUFFOLK")</f>
        <v>SUFFOLK</v>
      </c>
      <c r="J12169" t="str">
        <f>T("VA")</f>
        <v>VA</v>
      </c>
      <c r="K12169" t="str">
        <f t="shared" si="4502"/>
        <v>000000000000000000</v>
      </c>
      <c r="L12169" t="str">
        <f>T("7572030663")</f>
        <v>7572030663</v>
      </c>
    </row>
    <row r="12170" spans="1:12" x14ac:dyDescent="0.35">
      <c r="A12170" t="str">
        <f>T("NCDOC")</f>
        <v>NCDOC</v>
      </c>
      <c r="B12170" t="str">
        <f>T("112 LAKE VIEW PARKWAY")</f>
        <v>112 LAKE VIEW PARKWAY</v>
      </c>
      <c r="C12170" t="str">
        <f t="shared" si="4492"/>
        <v/>
      </c>
      <c r="D12170" t="str">
        <f>T("SUFFOLK")</f>
        <v>SUFFOLK</v>
      </c>
      <c r="E12170" t="str">
        <f>T("VA")</f>
        <v>VA</v>
      </c>
      <c r="F12170" t="str">
        <f>T("234353628")</f>
        <v>234353628</v>
      </c>
      <c r="G12170" t="str">
        <f>T("112 LAKE VIEW PARKWAY")</f>
        <v>112 LAKE VIEW PARKWAY</v>
      </c>
      <c r="H12170" t="str">
        <f t="shared" si="4503"/>
        <v/>
      </c>
      <c r="I12170" t="str">
        <f>T("SUFFOLK")</f>
        <v>SUFFOLK</v>
      </c>
      <c r="J12170" t="str">
        <f>T("VA")</f>
        <v>VA</v>
      </c>
      <c r="K12170" t="str">
        <f t="shared" si="4502"/>
        <v>000000000000000000</v>
      </c>
      <c r="L12170" t="str">
        <f>T("7572030838")</f>
        <v>7572030838</v>
      </c>
    </row>
    <row r="12171" spans="1:12" x14ac:dyDescent="0.35">
      <c r="A12171" t="str">
        <f>T("NCDOC")</f>
        <v>NCDOC</v>
      </c>
      <c r="B12171" t="str">
        <f>T("112 LAKE VIEW PARKWAY")</f>
        <v>112 LAKE VIEW PARKWAY</v>
      </c>
      <c r="C12171" t="str">
        <f t="shared" si="4492"/>
        <v/>
      </c>
      <c r="D12171" t="str">
        <f>T("SUFFOLK")</f>
        <v>SUFFOLK</v>
      </c>
      <c r="E12171" t="str">
        <f>T("VA")</f>
        <v>VA</v>
      </c>
      <c r="F12171" t="str">
        <f>T("234353628")</f>
        <v>234353628</v>
      </c>
      <c r="G12171" t="str">
        <f>T("112 LAKE VIEW PARKWAY")</f>
        <v>112 LAKE VIEW PARKWAY</v>
      </c>
      <c r="H12171" t="str">
        <f t="shared" si="4503"/>
        <v/>
      </c>
      <c r="I12171" t="str">
        <f>T("SUFFOLK")</f>
        <v>SUFFOLK</v>
      </c>
      <c r="J12171" t="str">
        <f>T("VA")</f>
        <v>VA</v>
      </c>
      <c r="K12171" t="str">
        <f t="shared" si="4502"/>
        <v>000000000000000000</v>
      </c>
      <c r="L12171" t="str">
        <f>T("7572030845")</f>
        <v>7572030845</v>
      </c>
    </row>
    <row r="12172" spans="1:12" x14ac:dyDescent="0.35">
      <c r="A12172" t="str">
        <f>T("NCDOC")</f>
        <v>NCDOC</v>
      </c>
      <c r="B12172" t="str">
        <f>T("112 LAKE VIEW PARKWAY")</f>
        <v>112 LAKE VIEW PARKWAY</v>
      </c>
      <c r="C12172" t="str">
        <f t="shared" si="4492"/>
        <v/>
      </c>
      <c r="D12172" t="str">
        <f>T("SUFFOLK")</f>
        <v>SUFFOLK</v>
      </c>
      <c r="E12172" t="str">
        <f>T("VA")</f>
        <v>VA</v>
      </c>
      <c r="F12172" t="str">
        <f>T("234353628")</f>
        <v>234353628</v>
      </c>
      <c r="G12172" t="str">
        <f>T("112 LAKE VIEW PARKWAY")</f>
        <v>112 LAKE VIEW PARKWAY</v>
      </c>
      <c r="H12172" t="str">
        <f t="shared" si="4503"/>
        <v/>
      </c>
      <c r="I12172" t="str">
        <f>T("SUFFOLK")</f>
        <v>SUFFOLK</v>
      </c>
      <c r="J12172" t="str">
        <f>T("VA")</f>
        <v>VA</v>
      </c>
      <c r="K12172" t="str">
        <f t="shared" si="4502"/>
        <v>000000000000000000</v>
      </c>
      <c r="L12172" t="str">
        <f>T("7572030877")</f>
        <v>7572030877</v>
      </c>
    </row>
    <row r="12173" spans="1:12" x14ac:dyDescent="0.35">
      <c r="A12173" t="str">
        <f>T("NCDOC")</f>
        <v>NCDOC</v>
      </c>
      <c r="B12173" t="str">
        <f>T("112 LAKE VIEW PARKWAY")</f>
        <v>112 LAKE VIEW PARKWAY</v>
      </c>
      <c r="C12173" t="str">
        <f t="shared" si="4492"/>
        <v/>
      </c>
      <c r="D12173" t="str">
        <f>T("SUFFOLK")</f>
        <v>SUFFOLK</v>
      </c>
      <c r="E12173" t="str">
        <f>T("VA")</f>
        <v>VA</v>
      </c>
      <c r="F12173" t="str">
        <f>T("234353628")</f>
        <v>234353628</v>
      </c>
      <c r="G12173" t="str">
        <f>T("112 LAKE VIEW PARKWAY")</f>
        <v>112 LAKE VIEW PARKWAY</v>
      </c>
      <c r="H12173" t="str">
        <f t="shared" si="4503"/>
        <v/>
      </c>
      <c r="I12173" t="str">
        <f>T("SUFFOLK")</f>
        <v>SUFFOLK</v>
      </c>
      <c r="J12173" t="str">
        <f>T("VA")</f>
        <v>VA</v>
      </c>
      <c r="K12173" t="str">
        <f t="shared" si="4502"/>
        <v>000000000000000000</v>
      </c>
      <c r="L12173" t="str">
        <f>T("7572030882")</f>
        <v>7572030882</v>
      </c>
    </row>
    <row r="12174" spans="1:12" x14ac:dyDescent="0.35">
      <c r="A12174" t="str">
        <f>T("NCTAMS PAC HAWAII")</f>
        <v>NCTAMS PAC HAWAII</v>
      </c>
      <c r="B12174" t="str">
        <f>T("500 CENTER STREET BLDG 336")</f>
        <v>500 CENTER STREET BLDG 336</v>
      </c>
      <c r="C12174" t="str">
        <f t="shared" si="4492"/>
        <v/>
      </c>
      <c r="D12174" t="str">
        <f>T("WAHIAWA")</f>
        <v>WAHIAWA</v>
      </c>
      <c r="E12174" t="str">
        <f>T("HI")</f>
        <v>HI</v>
      </c>
      <c r="F12174" t="str">
        <f>T("967863007")</f>
        <v>967863007</v>
      </c>
      <c r="G12174" t="str">
        <f>T("500 CENTER STREET")</f>
        <v>500 CENTER STREET</v>
      </c>
      <c r="H12174" t="str">
        <f>T("BLDG 336")</f>
        <v>BLDG 336</v>
      </c>
      <c r="I12174" t="str">
        <f>T("WAHIAWA")</f>
        <v>WAHIAWA</v>
      </c>
      <c r="J12174" t="str">
        <f>T("HI")</f>
        <v>HI</v>
      </c>
      <c r="K12174" t="str">
        <f t="shared" si="4502"/>
        <v>000000000000000000</v>
      </c>
      <c r="L12174" t="str">
        <f>T("8086530015")</f>
        <v>8086530015</v>
      </c>
    </row>
    <row r="12175" spans="1:12" x14ac:dyDescent="0.35">
      <c r="A12175" t="str">
        <f>T("NCTAMS PAC HAWAII")</f>
        <v>NCTAMS PAC HAWAII</v>
      </c>
      <c r="B12175" t="str">
        <f>T("500 CENTER STREET BLDG 336")</f>
        <v>500 CENTER STREET BLDG 336</v>
      </c>
      <c r="C12175" t="str">
        <f t="shared" si="4492"/>
        <v/>
      </c>
      <c r="D12175" t="str">
        <f>T("WAHIAWA")</f>
        <v>WAHIAWA</v>
      </c>
      <c r="E12175" t="str">
        <f>T("HI")</f>
        <v>HI</v>
      </c>
      <c r="F12175" t="str">
        <f>T("967863007")</f>
        <v>967863007</v>
      </c>
      <c r="G12175" t="str">
        <f>T("500 CENTER STREET")</f>
        <v>500 CENTER STREET</v>
      </c>
      <c r="H12175" t="str">
        <f>T("BLDG 336")</f>
        <v>BLDG 336</v>
      </c>
      <c r="I12175" t="str">
        <f>T("WAHIAWA")</f>
        <v>WAHIAWA</v>
      </c>
      <c r="J12175" t="str">
        <f>T("HI")</f>
        <v>HI</v>
      </c>
      <c r="K12175" t="str">
        <f t="shared" si="4502"/>
        <v>000000000000000000</v>
      </c>
      <c r="L12175" t="str">
        <f>T("8086530370")</f>
        <v>8086530370</v>
      </c>
    </row>
    <row r="12176" spans="1:12" x14ac:dyDescent="0.35">
      <c r="A12176" t="str">
        <f>T("NCTAMS PAC HAWAII")</f>
        <v>NCTAMS PAC HAWAII</v>
      </c>
      <c r="B12176" t="str">
        <f>T("500 CENTER STREET BLDG 336")</f>
        <v>500 CENTER STREET BLDG 336</v>
      </c>
      <c r="C12176" t="str">
        <f t="shared" si="4492"/>
        <v/>
      </c>
      <c r="D12176" t="str">
        <f>T("WAHIAWA")</f>
        <v>WAHIAWA</v>
      </c>
      <c r="E12176" t="str">
        <f>T("HI")</f>
        <v>HI</v>
      </c>
      <c r="F12176" t="str">
        <f>T("967863007")</f>
        <v>967863007</v>
      </c>
      <c r="G12176" t="str">
        <f>T("500 CENTER STREET BLDG 336")</f>
        <v>500 CENTER STREET BLDG 336</v>
      </c>
      <c r="H12176" t="str">
        <f>T("")</f>
        <v/>
      </c>
      <c r="I12176" t="str">
        <f>T("WAHIAWA")</f>
        <v>WAHIAWA</v>
      </c>
      <c r="J12176" t="str">
        <f>T("HI")</f>
        <v>HI</v>
      </c>
      <c r="K12176" t="str">
        <f t="shared" si="4502"/>
        <v>000000000000000000</v>
      </c>
      <c r="L12176" t="str">
        <f>T("8086530370")</f>
        <v>8086530370</v>
      </c>
    </row>
    <row r="12177" spans="1:12" x14ac:dyDescent="0.35">
      <c r="A12177" t="str">
        <f t="shared" ref="A12177:A12185" si="4504">T("FORCES SURVEILLANCE SUPPORT")</f>
        <v>FORCES SURVEILLANCE SUPPORT</v>
      </c>
      <c r="B12177" t="str">
        <f t="shared" ref="B12177:B12184" si="4505">T("1298 OLYMPIC BLVD")</f>
        <v>1298 OLYMPIC BLVD</v>
      </c>
      <c r="C12177" t="str">
        <f t="shared" ref="C12177:C12185" si="4506">T("BLDG 310")</f>
        <v>BLDG 310</v>
      </c>
      <c r="D12177" t="str">
        <f t="shared" ref="D12177:D12185" si="4507">T("CHESAPEAKE")</f>
        <v>CHESAPEAKE</v>
      </c>
      <c r="E12177" t="str">
        <f t="shared" ref="E12177:E12185" si="4508">T("VA")</f>
        <v>VA</v>
      </c>
      <c r="F12177" t="str">
        <f t="shared" ref="F12177:F12185" si="4509">T("233224000")</f>
        <v>233224000</v>
      </c>
      <c r="G12177" t="str">
        <f>T("1012 GRANTHAM LN")</f>
        <v>1012 GRANTHAM LN</v>
      </c>
      <c r="H12177" t="str">
        <f>T("")</f>
        <v/>
      </c>
      <c r="I12177" t="str">
        <f t="shared" ref="I12177:I12183" si="4510">T("CHESAPEAKE")</f>
        <v>CHESAPEAKE</v>
      </c>
      <c r="J12177" t="str">
        <f t="shared" ref="J12177:J12183" si="4511">T("VA")</f>
        <v>VA</v>
      </c>
      <c r="K12177" t="str">
        <f>T("7574218416")</f>
        <v>7574218416</v>
      </c>
      <c r="L12177" t="str">
        <f>T("7574218482")</f>
        <v>7574218482</v>
      </c>
    </row>
    <row r="12178" spans="1:12" x14ac:dyDescent="0.35">
      <c r="A12178" t="str">
        <f t="shared" si="4504"/>
        <v>FORCES SURVEILLANCE SUPPORT</v>
      </c>
      <c r="B12178" t="str">
        <f t="shared" si="4505"/>
        <v>1298 OLYMPIC BLVD</v>
      </c>
      <c r="C12178" t="str">
        <f t="shared" si="4506"/>
        <v>BLDG 310</v>
      </c>
      <c r="D12178" t="str">
        <f t="shared" si="4507"/>
        <v>CHESAPEAKE</v>
      </c>
      <c r="E12178" t="str">
        <f t="shared" si="4508"/>
        <v>VA</v>
      </c>
      <c r="F12178" t="str">
        <f t="shared" si="4509"/>
        <v>233224000</v>
      </c>
      <c r="G12178" t="str">
        <f t="shared" ref="G12178:G12183" si="4512">T("1298 OLYMPIC BLVD")</f>
        <v>1298 OLYMPIC BLVD</v>
      </c>
      <c r="H12178" t="str">
        <f t="shared" ref="H12178:H12183" si="4513">T("BLDG 310")</f>
        <v>BLDG 310</v>
      </c>
      <c r="I12178" t="str">
        <f t="shared" si="4510"/>
        <v>CHESAPEAKE</v>
      </c>
      <c r="J12178" t="str">
        <f t="shared" si="4511"/>
        <v>VA</v>
      </c>
      <c r="K12178" t="str">
        <f>T("000000000000000000")</f>
        <v>000000000000000000</v>
      </c>
      <c r="L12178" t="str">
        <f>T("7574218095")</f>
        <v>7574218095</v>
      </c>
    </row>
    <row r="12179" spans="1:12" x14ac:dyDescent="0.35">
      <c r="A12179" t="str">
        <f t="shared" si="4504"/>
        <v>FORCES SURVEILLANCE SUPPORT</v>
      </c>
      <c r="B12179" t="str">
        <f t="shared" si="4505"/>
        <v>1298 OLYMPIC BLVD</v>
      </c>
      <c r="C12179" t="str">
        <f t="shared" si="4506"/>
        <v>BLDG 310</v>
      </c>
      <c r="D12179" t="str">
        <f t="shared" si="4507"/>
        <v>CHESAPEAKE</v>
      </c>
      <c r="E12179" t="str">
        <f t="shared" si="4508"/>
        <v>VA</v>
      </c>
      <c r="F12179" t="str">
        <f t="shared" si="4509"/>
        <v>233224000</v>
      </c>
      <c r="G12179" t="str">
        <f t="shared" si="4512"/>
        <v>1298 OLYMPIC BLVD</v>
      </c>
      <c r="H12179" t="str">
        <f t="shared" si="4513"/>
        <v>BLDG 310</v>
      </c>
      <c r="I12179" t="str">
        <f t="shared" si="4510"/>
        <v>CHESAPEAKE</v>
      </c>
      <c r="J12179" t="str">
        <f t="shared" si="4511"/>
        <v>VA</v>
      </c>
      <c r="K12179" t="str">
        <f>T("000000000000000000")</f>
        <v>000000000000000000</v>
      </c>
      <c r="L12179" t="str">
        <f>T("7574218448")</f>
        <v>7574218448</v>
      </c>
    </row>
    <row r="12180" spans="1:12" x14ac:dyDescent="0.35">
      <c r="A12180" t="str">
        <f t="shared" si="4504"/>
        <v>FORCES SURVEILLANCE SUPPORT</v>
      </c>
      <c r="B12180" t="str">
        <f t="shared" si="4505"/>
        <v>1298 OLYMPIC BLVD</v>
      </c>
      <c r="C12180" t="str">
        <f t="shared" si="4506"/>
        <v>BLDG 310</v>
      </c>
      <c r="D12180" t="str">
        <f t="shared" si="4507"/>
        <v>CHESAPEAKE</v>
      </c>
      <c r="E12180" t="str">
        <f t="shared" si="4508"/>
        <v>VA</v>
      </c>
      <c r="F12180" t="str">
        <f t="shared" si="4509"/>
        <v>233224000</v>
      </c>
      <c r="G12180" t="str">
        <f t="shared" si="4512"/>
        <v>1298 OLYMPIC BLVD</v>
      </c>
      <c r="H12180" t="str">
        <f t="shared" si="4513"/>
        <v>BLDG 310</v>
      </c>
      <c r="I12180" t="str">
        <f t="shared" si="4510"/>
        <v>CHESAPEAKE</v>
      </c>
      <c r="J12180" t="str">
        <f t="shared" si="4511"/>
        <v>VA</v>
      </c>
      <c r="K12180" t="str">
        <f>T("7574218416")</f>
        <v>7574218416</v>
      </c>
      <c r="L12180" t="str">
        <f>T("7574218095")</f>
        <v>7574218095</v>
      </c>
    </row>
    <row r="12181" spans="1:12" x14ac:dyDescent="0.35">
      <c r="A12181" t="str">
        <f t="shared" si="4504"/>
        <v>FORCES SURVEILLANCE SUPPORT</v>
      </c>
      <c r="B12181" t="str">
        <f t="shared" si="4505"/>
        <v>1298 OLYMPIC BLVD</v>
      </c>
      <c r="C12181" t="str">
        <f t="shared" si="4506"/>
        <v>BLDG 310</v>
      </c>
      <c r="D12181" t="str">
        <f t="shared" si="4507"/>
        <v>CHESAPEAKE</v>
      </c>
      <c r="E12181" t="str">
        <f t="shared" si="4508"/>
        <v>VA</v>
      </c>
      <c r="F12181" t="str">
        <f t="shared" si="4509"/>
        <v>233224000</v>
      </c>
      <c r="G12181" t="str">
        <f t="shared" si="4512"/>
        <v>1298 OLYMPIC BLVD</v>
      </c>
      <c r="H12181" t="str">
        <f t="shared" si="4513"/>
        <v>BLDG 310</v>
      </c>
      <c r="I12181" t="str">
        <f t="shared" si="4510"/>
        <v>CHESAPEAKE</v>
      </c>
      <c r="J12181" t="str">
        <f t="shared" si="4511"/>
        <v>VA</v>
      </c>
      <c r="K12181" t="str">
        <f>T("7574218416")</f>
        <v>7574218416</v>
      </c>
      <c r="L12181" t="str">
        <f>T("7574218423")</f>
        <v>7574218423</v>
      </c>
    </row>
    <row r="12182" spans="1:12" x14ac:dyDescent="0.35">
      <c r="A12182" t="str">
        <f t="shared" si="4504"/>
        <v>FORCES SURVEILLANCE SUPPORT</v>
      </c>
      <c r="B12182" t="str">
        <f t="shared" si="4505"/>
        <v>1298 OLYMPIC BLVD</v>
      </c>
      <c r="C12182" t="str">
        <f t="shared" si="4506"/>
        <v>BLDG 310</v>
      </c>
      <c r="D12182" t="str">
        <f t="shared" si="4507"/>
        <v>CHESAPEAKE</v>
      </c>
      <c r="E12182" t="str">
        <f t="shared" si="4508"/>
        <v>VA</v>
      </c>
      <c r="F12182" t="str">
        <f t="shared" si="4509"/>
        <v>233224000</v>
      </c>
      <c r="G12182" t="str">
        <f t="shared" si="4512"/>
        <v>1298 OLYMPIC BLVD</v>
      </c>
      <c r="H12182" t="str">
        <f t="shared" si="4513"/>
        <v>BLDG 310</v>
      </c>
      <c r="I12182" t="str">
        <f t="shared" si="4510"/>
        <v>CHESAPEAKE</v>
      </c>
      <c r="J12182" t="str">
        <f t="shared" si="4511"/>
        <v>VA</v>
      </c>
      <c r="K12182" t="str">
        <f>T("7574218416")</f>
        <v>7574218416</v>
      </c>
      <c r="L12182" t="str">
        <f>T("7574218448")</f>
        <v>7574218448</v>
      </c>
    </row>
    <row r="12183" spans="1:12" x14ac:dyDescent="0.35">
      <c r="A12183" t="str">
        <f t="shared" si="4504"/>
        <v>FORCES SURVEILLANCE SUPPORT</v>
      </c>
      <c r="B12183" t="str">
        <f t="shared" si="4505"/>
        <v>1298 OLYMPIC BLVD</v>
      </c>
      <c r="C12183" t="str">
        <f t="shared" si="4506"/>
        <v>BLDG 310</v>
      </c>
      <c r="D12183" t="str">
        <f t="shared" si="4507"/>
        <v>CHESAPEAKE</v>
      </c>
      <c r="E12183" t="str">
        <f t="shared" si="4508"/>
        <v>VA</v>
      </c>
      <c r="F12183" t="str">
        <f t="shared" si="4509"/>
        <v>233224000</v>
      </c>
      <c r="G12183" t="str">
        <f t="shared" si="4512"/>
        <v>1298 OLYMPIC BLVD</v>
      </c>
      <c r="H12183" t="str">
        <f t="shared" si="4513"/>
        <v>BLDG 310</v>
      </c>
      <c r="I12183" t="str">
        <f t="shared" si="4510"/>
        <v>CHESAPEAKE</v>
      </c>
      <c r="J12183" t="str">
        <f t="shared" si="4511"/>
        <v>VA</v>
      </c>
      <c r="K12183" t="str">
        <f>T("7574218416")</f>
        <v>7574218416</v>
      </c>
      <c r="L12183" t="str">
        <f>T("7574218451")</f>
        <v>7574218451</v>
      </c>
    </row>
    <row r="12184" spans="1:12" x14ac:dyDescent="0.35">
      <c r="A12184" t="str">
        <f t="shared" si="4504"/>
        <v>FORCES SURVEILLANCE SUPPORT</v>
      </c>
      <c r="B12184" t="str">
        <f t="shared" si="4505"/>
        <v>1298 OLYMPIC BLVD</v>
      </c>
      <c r="C12184" t="str">
        <f t="shared" si="4506"/>
        <v>BLDG 310</v>
      </c>
      <c r="D12184" t="str">
        <f t="shared" si="4507"/>
        <v>CHESAPEAKE</v>
      </c>
      <c r="E12184" t="str">
        <f t="shared" si="4508"/>
        <v>VA</v>
      </c>
      <c r="F12184" t="str">
        <f t="shared" si="4509"/>
        <v>233224000</v>
      </c>
      <c r="G12184" t="str">
        <f>T("URB MONTE BRISAS 1")</f>
        <v>URB MONTE BRISAS 1</v>
      </c>
      <c r="H12184" t="str">
        <f>T("P8, CALLE T")</f>
        <v>P8, CALLE T</v>
      </c>
      <c r="I12184" t="str">
        <f>T("FAJARDO")</f>
        <v>FAJARDO</v>
      </c>
      <c r="J12184" t="str">
        <f>T("PR")</f>
        <v>PR</v>
      </c>
      <c r="K12184" t="str">
        <f>T("000000000000000000")</f>
        <v>000000000000000000</v>
      </c>
      <c r="L12184" t="str">
        <f>T("7876554345")</f>
        <v>7876554345</v>
      </c>
    </row>
    <row r="12185" spans="1:12" x14ac:dyDescent="0.35">
      <c r="A12185" t="str">
        <f t="shared" si="4504"/>
        <v>FORCES SURVEILLANCE SUPPORT</v>
      </c>
      <c r="B12185" t="str">
        <f>T("1298 OLYMPIC SUPP")</f>
        <v>1298 OLYMPIC SUPP</v>
      </c>
      <c r="C12185" t="str">
        <f t="shared" si="4506"/>
        <v>BLDG 310</v>
      </c>
      <c r="D12185" t="str">
        <f t="shared" si="4507"/>
        <v>CHESAPEAKE</v>
      </c>
      <c r="E12185" t="str">
        <f t="shared" si="4508"/>
        <v>VA</v>
      </c>
      <c r="F12185" t="str">
        <f t="shared" si="4509"/>
        <v>233224000</v>
      </c>
      <c r="G12185" t="str">
        <f>T("1298 OLYMPIC SUPP")</f>
        <v>1298 OLYMPIC SUPP</v>
      </c>
      <c r="H12185" t="str">
        <f>T("BLDG 310")</f>
        <v>BLDG 310</v>
      </c>
      <c r="I12185" t="str">
        <f>T("CHESAPEAKE")</f>
        <v>CHESAPEAKE</v>
      </c>
      <c r="J12185" t="str">
        <f>T("VA")</f>
        <v>VA</v>
      </c>
      <c r="K12185" t="str">
        <f>T("000000000000000000")</f>
        <v>000000000000000000</v>
      </c>
      <c r="L12185" t="str">
        <f>T("7574218449")</f>
        <v>7574218449</v>
      </c>
    </row>
    <row r="12186" spans="1:12" x14ac:dyDescent="0.35">
      <c r="A12186" t="str">
        <f>T("NAVCOMTELSTA JACKSONVILLE")</f>
        <v>NAVCOMTELSTA JACKSONVILLE</v>
      </c>
      <c r="B12186" t="str">
        <f>T("BLDG 27 ENTERPRISE ST")</f>
        <v>BLDG 27 ENTERPRISE ST</v>
      </c>
      <c r="C12186" t="str">
        <f t="shared" ref="C12186:C12199" si="4514">T("")</f>
        <v/>
      </c>
      <c r="D12186" t="str">
        <f>T("JACKSONVILLE")</f>
        <v>JACKSONVILLE</v>
      </c>
      <c r="E12186" t="str">
        <f>T("FL")</f>
        <v>FL</v>
      </c>
      <c r="F12186" t="str">
        <f>T("322120000")</f>
        <v>322120000</v>
      </c>
      <c r="G12186" t="str">
        <f>T("BLDG 27 ENTERPRISE ST")</f>
        <v>BLDG 27 ENTERPRISE ST</v>
      </c>
      <c r="H12186" t="str">
        <f>T("")</f>
        <v/>
      </c>
      <c r="I12186" t="str">
        <f>T("JACKSONVILLE")</f>
        <v>JACKSONVILLE</v>
      </c>
      <c r="J12186" t="str">
        <f>T("FL")</f>
        <v>FL</v>
      </c>
      <c r="K12186" t="str">
        <f>T("000000000000000000")</f>
        <v>000000000000000000</v>
      </c>
      <c r="L12186" t="str">
        <f>T("9045428208")</f>
        <v>9045428208</v>
      </c>
    </row>
    <row r="12187" spans="1:12" x14ac:dyDescent="0.35">
      <c r="A12187" t="str">
        <f>T("NAVCOMTELSTA JACKSONVILLE")</f>
        <v>NAVCOMTELSTA JACKSONVILLE</v>
      </c>
      <c r="B12187" t="str">
        <f>T("BLDG 27 ENTERPRISE ST")</f>
        <v>BLDG 27 ENTERPRISE ST</v>
      </c>
      <c r="C12187" t="str">
        <f t="shared" si="4514"/>
        <v/>
      </c>
      <c r="D12187" t="str">
        <f>T("JACKSONVILLE")</f>
        <v>JACKSONVILLE</v>
      </c>
      <c r="E12187" t="str">
        <f>T("FL")</f>
        <v>FL</v>
      </c>
      <c r="F12187" t="str">
        <f>T("322120000")</f>
        <v>322120000</v>
      </c>
      <c r="G12187" t="str">
        <f>T("BOX 111")</f>
        <v>BOX 111</v>
      </c>
      <c r="H12187" t="str">
        <f>T("")</f>
        <v/>
      </c>
      <c r="I12187" t="str">
        <f>T("JACKSONVILLE")</f>
        <v>JACKSONVILLE</v>
      </c>
      <c r="J12187" t="str">
        <f>T("FL")</f>
        <v>FL</v>
      </c>
      <c r="K12187" t="str">
        <f>T("9045425191")</f>
        <v>9045425191</v>
      </c>
      <c r="L12187" t="str">
        <f>T("9045428252")</f>
        <v>9045428252</v>
      </c>
    </row>
    <row r="12188" spans="1:12" x14ac:dyDescent="0.35">
      <c r="A12188" t="str">
        <f>T("NAVCOMTELSTA JACKSONVILLE")</f>
        <v>NAVCOMTELSTA JACKSONVILLE</v>
      </c>
      <c r="B12188" t="str">
        <f>T("BLDG 27 ENTERPRISE ST")</f>
        <v>BLDG 27 ENTERPRISE ST</v>
      </c>
      <c r="C12188" t="str">
        <f t="shared" si="4514"/>
        <v/>
      </c>
      <c r="D12188" t="str">
        <f>T("JACKSONVILLE")</f>
        <v>JACKSONVILLE</v>
      </c>
      <c r="E12188" t="str">
        <f>T("FL")</f>
        <v>FL</v>
      </c>
      <c r="F12188" t="str">
        <f>T("322120000")</f>
        <v>322120000</v>
      </c>
      <c r="G12188" t="str">
        <f>T("NAVCOMTELSTA JACKSONVILLE")</f>
        <v>NAVCOMTELSTA JACKSONVILLE</v>
      </c>
      <c r="H12188" t="str">
        <f>T("PO BOX 111 BLDG 27 CODE N00FM")</f>
        <v>PO BOX 111 BLDG 27 CODE N00FM</v>
      </c>
      <c r="I12188" t="str">
        <f>T("JACKSONVILLE")</f>
        <v>JACKSONVILLE</v>
      </c>
      <c r="J12188" t="str">
        <f>T("FL")</f>
        <v>FL</v>
      </c>
      <c r="K12188" t="str">
        <f>T("9045425191")</f>
        <v>9045425191</v>
      </c>
      <c r="L12188" t="str">
        <f>T("9045422352")</f>
        <v>9045422352</v>
      </c>
    </row>
    <row r="12189" spans="1:12" x14ac:dyDescent="0.35">
      <c r="A12189" t="str">
        <f>T("NAVCOMTELSTA JACKSONVILLE")</f>
        <v>NAVCOMTELSTA JACKSONVILLE</v>
      </c>
      <c r="B12189" t="str">
        <f>T("BLDG 27 ENTERPRISE ST")</f>
        <v>BLDG 27 ENTERPRISE ST</v>
      </c>
      <c r="C12189" t="str">
        <f t="shared" si="4514"/>
        <v/>
      </c>
      <c r="D12189" t="str">
        <f>T("JACKSONVILLE")</f>
        <v>JACKSONVILLE</v>
      </c>
      <c r="E12189" t="str">
        <f>T("FL")</f>
        <v>FL</v>
      </c>
      <c r="F12189" t="str">
        <f>T("322120000")</f>
        <v>322120000</v>
      </c>
      <c r="G12189" t="str">
        <f>T("NAVCOMTELSTA JACKSONVILLE")</f>
        <v>NAVCOMTELSTA JACKSONVILLE</v>
      </c>
      <c r="H12189" t="str">
        <f>T("PO BOX 111 BLDG 27 CODE N00FM")</f>
        <v>PO BOX 111 BLDG 27 CODE N00FM</v>
      </c>
      <c r="I12189" t="str">
        <f>T("JACKSONVILLE")</f>
        <v>JACKSONVILLE</v>
      </c>
      <c r="J12189" t="str">
        <f>T("FL")</f>
        <v>FL</v>
      </c>
      <c r="K12189" t="str">
        <f>T("9045425191")</f>
        <v>9045425191</v>
      </c>
      <c r="L12189" t="str">
        <f>T("9045426931")</f>
        <v>9045426931</v>
      </c>
    </row>
    <row r="12190" spans="1:12" x14ac:dyDescent="0.35">
      <c r="A12190" t="str">
        <f t="shared" ref="A12190:A12199" si="4515">T("NOOC - NAVOCEANOPSCOM")</f>
        <v>NOOC - NAVOCEANOPSCOM</v>
      </c>
      <c r="B12190" t="str">
        <f>T("1100 BALCH BLVD RM 22266")</f>
        <v>1100 BALCH BLVD RM 22266</v>
      </c>
      <c r="C12190" t="str">
        <f t="shared" si="4514"/>
        <v/>
      </c>
      <c r="D12190" t="str">
        <f t="shared" ref="D12190:D12196" si="4516">T("STENNIS SPACE CENTER")</f>
        <v>STENNIS SPACE CENTER</v>
      </c>
      <c r="E12190" t="str">
        <f t="shared" ref="E12190:E12196" si="4517">T("MS")</f>
        <v>MS</v>
      </c>
      <c r="F12190" t="str">
        <f>T("395220001")</f>
        <v>395220001</v>
      </c>
      <c r="G12190" t="str">
        <f>T("1002 BALCH BLVD")</f>
        <v>1002 BALCH BLVD</v>
      </c>
      <c r="H12190" t="str">
        <f>T("RM 2217")</f>
        <v>RM 2217</v>
      </c>
      <c r="I12190" t="str">
        <f t="shared" ref="I12190:I12195" si="4518">T("STENNIS SPACE CENTER")</f>
        <v>STENNIS SPACE CENTER</v>
      </c>
      <c r="J12190" t="str">
        <f t="shared" ref="J12190:J12195" si="4519">T("MS")</f>
        <v>MS</v>
      </c>
      <c r="K12190" t="str">
        <f>T("2286884327")</f>
        <v>2286884327</v>
      </c>
      <c r="L12190" t="str">
        <f>T("2286884396")</f>
        <v>2286884396</v>
      </c>
    </row>
    <row r="12191" spans="1:12" x14ac:dyDescent="0.35">
      <c r="A12191" t="str">
        <f t="shared" si="4515"/>
        <v>NOOC - NAVOCEANOPSCOM</v>
      </c>
      <c r="B12191" t="str">
        <f>T("1100 BALCH BLVD RM 22266")</f>
        <v>1100 BALCH BLVD RM 22266</v>
      </c>
      <c r="C12191" t="str">
        <f t="shared" si="4514"/>
        <v/>
      </c>
      <c r="D12191" t="str">
        <f t="shared" si="4516"/>
        <v>STENNIS SPACE CENTER</v>
      </c>
      <c r="E12191" t="str">
        <f t="shared" si="4517"/>
        <v>MS</v>
      </c>
      <c r="F12191" t="str">
        <f>T("395220001")</f>
        <v>395220001</v>
      </c>
      <c r="G12191" t="str">
        <f>T("1100 BALCH BLVD RM 22266")</f>
        <v>1100 BALCH BLVD RM 22266</v>
      </c>
      <c r="H12191" t="str">
        <f t="shared" ref="H12191:H12199" si="4520">T("")</f>
        <v/>
      </c>
      <c r="I12191" t="str">
        <f t="shared" si="4518"/>
        <v>STENNIS SPACE CENTER</v>
      </c>
      <c r="J12191" t="str">
        <f t="shared" si="4519"/>
        <v>MS</v>
      </c>
      <c r="K12191" t="str">
        <f>T("000000000000000000")</f>
        <v>000000000000000000</v>
      </c>
      <c r="L12191" t="str">
        <f>T("2286885304")</f>
        <v>2286885304</v>
      </c>
    </row>
    <row r="12192" spans="1:12" x14ac:dyDescent="0.35">
      <c r="A12192" t="str">
        <f t="shared" si="4515"/>
        <v>NOOC - NAVOCEANOPSCOM</v>
      </c>
      <c r="B12192" t="str">
        <f>T("1100 BALCH BLVD RM 22266")</f>
        <v>1100 BALCH BLVD RM 22266</v>
      </c>
      <c r="C12192" t="str">
        <f t="shared" si="4514"/>
        <v/>
      </c>
      <c r="D12192" t="str">
        <f t="shared" si="4516"/>
        <v>STENNIS SPACE CENTER</v>
      </c>
      <c r="E12192" t="str">
        <f t="shared" si="4517"/>
        <v>MS</v>
      </c>
      <c r="F12192" t="str">
        <f>T("395220001")</f>
        <v>395220001</v>
      </c>
      <c r="G12192" t="str">
        <f>T("BLDG 1032")</f>
        <v>BLDG 1032</v>
      </c>
      <c r="H12192" t="str">
        <f t="shared" si="4520"/>
        <v/>
      </c>
      <c r="I12192" t="str">
        <f t="shared" si="4518"/>
        <v>STENNIS SPACE CENTER</v>
      </c>
      <c r="J12192" t="str">
        <f t="shared" si="4519"/>
        <v>MS</v>
      </c>
      <c r="K12192" t="str">
        <f>T("2286884569")</f>
        <v>2286884569</v>
      </c>
      <c r="L12192" t="str">
        <f>T("2286885373")</f>
        <v>2286885373</v>
      </c>
    </row>
    <row r="12193" spans="1:12" x14ac:dyDescent="0.35">
      <c r="A12193" t="str">
        <f t="shared" si="4515"/>
        <v>NOOC - NAVOCEANOPSCOM</v>
      </c>
      <c r="B12193" t="str">
        <f>T("1100 BALCH BOULEVARD")</f>
        <v>1100 BALCH BOULEVARD</v>
      </c>
      <c r="C12193" t="str">
        <f t="shared" si="4514"/>
        <v/>
      </c>
      <c r="D12193" t="str">
        <f t="shared" si="4516"/>
        <v>STENNIS SPACE CENTER</v>
      </c>
      <c r="E12193" t="str">
        <f t="shared" si="4517"/>
        <v>MS</v>
      </c>
      <c r="F12193" t="str">
        <f>T("395290001")</f>
        <v>395290001</v>
      </c>
      <c r="G12193" t="str">
        <f>T("1003 BALCH BOULEVARD")</f>
        <v>1003 BALCH BOULEVARD</v>
      </c>
      <c r="H12193" t="str">
        <f t="shared" si="4520"/>
        <v/>
      </c>
      <c r="I12193" t="str">
        <f t="shared" si="4518"/>
        <v>STENNIS SPACE CENTER</v>
      </c>
      <c r="J12193" t="str">
        <f t="shared" si="4519"/>
        <v>MS</v>
      </c>
      <c r="K12193" t="str">
        <f t="shared" ref="K12193:K12200" si="4521">T("000000000000000000")</f>
        <v>000000000000000000</v>
      </c>
      <c r="L12193" t="str">
        <f>T("2286134090")</f>
        <v>2286134090</v>
      </c>
    </row>
    <row r="12194" spans="1:12" x14ac:dyDescent="0.35">
      <c r="A12194" t="str">
        <f t="shared" si="4515"/>
        <v>NOOC - NAVOCEANOPSCOM</v>
      </c>
      <c r="B12194" t="str">
        <f>T("1100 BALCH BOULEVARD")</f>
        <v>1100 BALCH BOULEVARD</v>
      </c>
      <c r="C12194" t="str">
        <f t="shared" si="4514"/>
        <v/>
      </c>
      <c r="D12194" t="str">
        <f t="shared" si="4516"/>
        <v>STENNIS SPACE CENTER</v>
      </c>
      <c r="E12194" t="str">
        <f t="shared" si="4517"/>
        <v>MS</v>
      </c>
      <c r="F12194" t="str">
        <f>T("395290001")</f>
        <v>395290001</v>
      </c>
      <c r="G12194" t="str">
        <f>T("1100 BALCH BOULEVARD")</f>
        <v>1100 BALCH BOULEVARD</v>
      </c>
      <c r="H12194" t="str">
        <f t="shared" si="4520"/>
        <v/>
      </c>
      <c r="I12194" t="str">
        <f t="shared" si="4518"/>
        <v>STENNIS SPACE CENTER</v>
      </c>
      <c r="J12194" t="str">
        <f t="shared" si="4519"/>
        <v>MS</v>
      </c>
      <c r="K12194" t="str">
        <f t="shared" si="4521"/>
        <v>000000000000000000</v>
      </c>
      <c r="L12194" t="str">
        <f>T("2286884020")</f>
        <v>2286884020</v>
      </c>
    </row>
    <row r="12195" spans="1:12" x14ac:dyDescent="0.35">
      <c r="A12195" t="str">
        <f t="shared" si="4515"/>
        <v>NOOC - NAVOCEANOPSCOM</v>
      </c>
      <c r="B12195" t="str">
        <f>T("1100 BALCH BOULEVARD")</f>
        <v>1100 BALCH BOULEVARD</v>
      </c>
      <c r="C12195" t="str">
        <f t="shared" si="4514"/>
        <v/>
      </c>
      <c r="D12195" t="str">
        <f t="shared" si="4516"/>
        <v>STENNIS SPACE CENTER</v>
      </c>
      <c r="E12195" t="str">
        <f t="shared" si="4517"/>
        <v>MS</v>
      </c>
      <c r="F12195" t="str">
        <f>T("395290001")</f>
        <v>395290001</v>
      </c>
      <c r="G12195" t="str">
        <f>T("1100 BALCH BOULEVARD")</f>
        <v>1100 BALCH BOULEVARD</v>
      </c>
      <c r="H12195" t="str">
        <f t="shared" si="4520"/>
        <v/>
      </c>
      <c r="I12195" t="str">
        <f t="shared" si="4518"/>
        <v>STENNIS SPACE CENTER</v>
      </c>
      <c r="J12195" t="str">
        <f t="shared" si="4519"/>
        <v>MS</v>
      </c>
      <c r="K12195" t="str">
        <f t="shared" si="4521"/>
        <v>000000000000000000</v>
      </c>
      <c r="L12195" t="str">
        <f>T("2286885431")</f>
        <v>2286885431</v>
      </c>
    </row>
    <row r="12196" spans="1:12" x14ac:dyDescent="0.35">
      <c r="A12196" t="str">
        <f t="shared" si="4515"/>
        <v>NOOC - NAVOCEANOPSCOM</v>
      </c>
      <c r="B12196" t="str">
        <f>T("1100 BALCH BOULEVARD")</f>
        <v>1100 BALCH BOULEVARD</v>
      </c>
      <c r="C12196" t="str">
        <f t="shared" si="4514"/>
        <v/>
      </c>
      <c r="D12196" t="str">
        <f t="shared" si="4516"/>
        <v>STENNIS SPACE CENTER</v>
      </c>
      <c r="E12196" t="str">
        <f t="shared" si="4517"/>
        <v>MS</v>
      </c>
      <c r="F12196" t="str">
        <f>T("395290001")</f>
        <v>395290001</v>
      </c>
      <c r="G12196" t="str">
        <f>T("PSC 473 BOX 68")</f>
        <v>PSC 473 BOX 68</v>
      </c>
      <c r="H12196" t="str">
        <f t="shared" si="4520"/>
        <v/>
      </c>
      <c r="I12196" t="str">
        <f>T("FPO")</f>
        <v>FPO</v>
      </c>
      <c r="J12196" t="str">
        <f>T("AP")</f>
        <v>AP</v>
      </c>
      <c r="K12196" t="str">
        <f t="shared" si="4521"/>
        <v>000000000000000000</v>
      </c>
      <c r="L12196" t="str">
        <f>T("3152435299")</f>
        <v>3152435299</v>
      </c>
    </row>
    <row r="12197" spans="1:12" x14ac:dyDescent="0.35">
      <c r="A12197" t="str">
        <f t="shared" si="4515"/>
        <v>NOOC - NAVOCEANOPSCOM</v>
      </c>
      <c r="B12197" t="str">
        <f>T("425 LUAPELE ROAD")</f>
        <v>425 LUAPELE ROAD</v>
      </c>
      <c r="C12197" t="str">
        <f t="shared" si="4514"/>
        <v/>
      </c>
      <c r="D12197" t="str">
        <f>T("PEARL HARBOR")</f>
        <v>PEARL HARBOR</v>
      </c>
      <c r="E12197" t="str">
        <f>T("HI")</f>
        <v>HI</v>
      </c>
      <c r="F12197" t="str">
        <f>T("968603104")</f>
        <v>968603104</v>
      </c>
      <c r="G12197" t="str">
        <f>T("425 LUAPELE ROAD")</f>
        <v>425 LUAPELE ROAD</v>
      </c>
      <c r="H12197" t="str">
        <f t="shared" si="4520"/>
        <v/>
      </c>
      <c r="I12197" t="str">
        <f>T("PEARL HARBOR")</f>
        <v>PEARL HARBOR</v>
      </c>
      <c r="J12197" t="str">
        <f>T("HI")</f>
        <v>HI</v>
      </c>
      <c r="K12197" t="str">
        <f t="shared" si="4521"/>
        <v>000000000000000000</v>
      </c>
      <c r="L12197" t="str">
        <f>T("8084710363")</f>
        <v>8084710363</v>
      </c>
    </row>
    <row r="12198" spans="1:12" x14ac:dyDescent="0.35">
      <c r="A12198" t="str">
        <f t="shared" si="4515"/>
        <v>NOOC - NAVOCEANOPSCOM</v>
      </c>
      <c r="B12198" t="str">
        <f>T("9141 THIRD AVENUE")</f>
        <v>9141 THIRD AVENUE</v>
      </c>
      <c r="C12198" t="str">
        <f t="shared" si="4514"/>
        <v/>
      </c>
      <c r="D12198" t="str">
        <f>T("NORFOLK")</f>
        <v>NORFOLK</v>
      </c>
      <c r="E12198" t="str">
        <f>T("VA")</f>
        <v>VA</v>
      </c>
      <c r="F12198" t="str">
        <f>T("235112331")</f>
        <v>235112331</v>
      </c>
      <c r="G12198" t="str">
        <f>T("9141 THIRD AVENUE")</f>
        <v>9141 THIRD AVENUE</v>
      </c>
      <c r="H12198" t="str">
        <f t="shared" si="4520"/>
        <v/>
      </c>
      <c r="I12198" t="str">
        <f>T("NORFOLK")</f>
        <v>NORFOLK</v>
      </c>
      <c r="J12198" t="str">
        <f>T("VA")</f>
        <v>VA</v>
      </c>
      <c r="K12198" t="str">
        <f t="shared" si="4521"/>
        <v>000000000000000000</v>
      </c>
      <c r="L12198" t="str">
        <f>T("7574452078")</f>
        <v>7574452078</v>
      </c>
    </row>
    <row r="12199" spans="1:12" x14ac:dyDescent="0.35">
      <c r="A12199" t="str">
        <f t="shared" si="4515"/>
        <v>NOOC - NAVOCEANOPSCOM</v>
      </c>
      <c r="B12199" t="str">
        <f>T("BLDG 14 SAUFLEY ROAD")</f>
        <v>BLDG 14 SAUFLEY ROAD</v>
      </c>
      <c r="C12199" t="str">
        <f t="shared" si="4514"/>
        <v/>
      </c>
      <c r="D12199" t="str">
        <f>T("SAN DIEGO")</f>
        <v>SAN DIEGO</v>
      </c>
      <c r="E12199" t="str">
        <f>T("CA")</f>
        <v>CA</v>
      </c>
      <c r="F12199" t="str">
        <f>T("921350000")</f>
        <v>921350000</v>
      </c>
      <c r="G12199" t="str">
        <f>T("BLDG 14 SAUFLEY ROAD")</f>
        <v>BLDG 14 SAUFLEY ROAD</v>
      </c>
      <c r="H12199" t="str">
        <f t="shared" si="4520"/>
        <v/>
      </c>
      <c r="I12199" t="str">
        <f>T("SAN DIEGO")</f>
        <v>SAN DIEGO</v>
      </c>
      <c r="J12199" t="str">
        <f>T("CA")</f>
        <v>CA</v>
      </c>
      <c r="K12199" t="str">
        <f t="shared" si="4521"/>
        <v>000000000000000000</v>
      </c>
      <c r="L12199" t="str">
        <f>T("6195459869")</f>
        <v>6195459869</v>
      </c>
    </row>
    <row r="12200" spans="1:12" x14ac:dyDescent="0.35">
      <c r="A12200" t="str">
        <f>T("ZZ DELETE")</f>
        <v>ZZ DELETE</v>
      </c>
      <c r="B12200" t="str">
        <f>T("133 HEDRICK DR")</f>
        <v>133 HEDRICK DR</v>
      </c>
      <c r="C12200" t="str">
        <f>T("B 20 PUBLIC WORKS DEPT")</f>
        <v>B 20 PUBLIC WORKS DEPT</v>
      </c>
      <c r="D12200" t="str">
        <f>T("SUGAR GROVE")</f>
        <v>SUGAR GROVE</v>
      </c>
      <c r="E12200" t="str">
        <f>T("WV")</f>
        <v>WV</v>
      </c>
      <c r="F12200" t="str">
        <f>T("268155068")</f>
        <v>268155068</v>
      </c>
      <c r="G12200" t="str">
        <f>T("133 HEDRICK DR")</f>
        <v>133 HEDRICK DR</v>
      </c>
      <c r="H12200" t="str">
        <f>T("B 20 PUBLIC WORKS DEPT")</f>
        <v>B 20 PUBLIC WORKS DEPT</v>
      </c>
      <c r="I12200" t="str">
        <f>T("SUGAR GROVE")</f>
        <v>SUGAR GROVE</v>
      </c>
      <c r="J12200" t="str">
        <f>T("WV")</f>
        <v>WV</v>
      </c>
      <c r="K12200" t="str">
        <f t="shared" si="4521"/>
        <v>000000000000000000</v>
      </c>
      <c r="L12200" t="str">
        <f>T("7572033085")</f>
        <v>7572033085</v>
      </c>
    </row>
    <row r="12201" spans="1:12" x14ac:dyDescent="0.35">
      <c r="A12201" t="str">
        <f>T("ZZ DELETE")</f>
        <v>ZZ DELETE</v>
      </c>
      <c r="B12201" t="str">
        <f>T("133 HEDRICK DRIVE")</f>
        <v>133 HEDRICK DRIVE</v>
      </c>
      <c r="C12201" t="str">
        <f t="shared" ref="C12201:C12215" si="4522">T("")</f>
        <v/>
      </c>
      <c r="D12201" t="str">
        <f>T("SUGAR GROVE")</f>
        <v>SUGAR GROVE</v>
      </c>
      <c r="E12201" t="str">
        <f>T("WV")</f>
        <v>WV</v>
      </c>
      <c r="F12201" t="str">
        <f>T("268155068")</f>
        <v>268155068</v>
      </c>
      <c r="G12201" t="str">
        <f>T("133 HEDRICK DRIVE")</f>
        <v>133 HEDRICK DRIVE</v>
      </c>
      <c r="H12201" t="str">
        <f t="shared" ref="H12201:H12212" si="4523">T("")</f>
        <v/>
      </c>
      <c r="I12201" t="str">
        <f>T("SUGAR GROVE")</f>
        <v>SUGAR GROVE</v>
      </c>
      <c r="J12201" t="str">
        <f>T("WV")</f>
        <v>WV</v>
      </c>
      <c r="K12201" t="str">
        <f>T("3042496532")</f>
        <v>3042496532</v>
      </c>
      <c r="L12201" t="str">
        <f>T("3042496371")</f>
        <v>3042496371</v>
      </c>
    </row>
    <row r="12202" spans="1:12" x14ac:dyDescent="0.35">
      <c r="A12202" t="str">
        <f t="shared" ref="A12202:A12238" si="4524">T("NAVIFOR")</f>
        <v>NAVIFOR</v>
      </c>
      <c r="B12202" t="str">
        <f t="shared" ref="B12202:B12207" si="4525">T("112 LAKE VIEW PKWY")</f>
        <v>112 LAKE VIEW PKWY</v>
      </c>
      <c r="C12202" t="str">
        <f t="shared" si="4522"/>
        <v/>
      </c>
      <c r="D12202" t="str">
        <f t="shared" ref="D12202:D12217" si="4526">T("SUFFOLK")</f>
        <v>SUFFOLK</v>
      </c>
      <c r="E12202" t="str">
        <f t="shared" ref="E12202:E12217" si="4527">T("VA")</f>
        <v>VA</v>
      </c>
      <c r="F12202" t="str">
        <f t="shared" ref="F12202:F12207" si="4528">T("234353628")</f>
        <v>234353628</v>
      </c>
      <c r="G12202" t="str">
        <f>T("112 LAKE VIEW PARKWAY")</f>
        <v>112 LAKE VIEW PARKWAY</v>
      </c>
      <c r="H12202" t="str">
        <f t="shared" si="4523"/>
        <v/>
      </c>
      <c r="I12202" t="str">
        <f t="shared" ref="I12202:I12207" si="4529">T("SUFFOLK")</f>
        <v>SUFFOLK</v>
      </c>
      <c r="J12202" t="str">
        <f t="shared" ref="J12202:J12207" si="4530">T("VA")</f>
        <v>VA</v>
      </c>
      <c r="K12202" t="str">
        <f t="shared" ref="K12202:K12207" si="4531">T("000000000000000000")</f>
        <v>000000000000000000</v>
      </c>
      <c r="L12202" t="str">
        <f>T("1111111111")</f>
        <v>1111111111</v>
      </c>
    </row>
    <row r="12203" spans="1:12" x14ac:dyDescent="0.35">
      <c r="A12203" t="str">
        <f t="shared" si="4524"/>
        <v>NAVIFOR</v>
      </c>
      <c r="B12203" t="str">
        <f t="shared" si="4525"/>
        <v>112 LAKE VIEW PKWY</v>
      </c>
      <c r="C12203" t="str">
        <f t="shared" si="4522"/>
        <v/>
      </c>
      <c r="D12203" t="str">
        <f t="shared" si="4526"/>
        <v>SUFFOLK</v>
      </c>
      <c r="E12203" t="str">
        <f t="shared" si="4527"/>
        <v>VA</v>
      </c>
      <c r="F12203" t="str">
        <f t="shared" si="4528"/>
        <v>234353628</v>
      </c>
      <c r="G12203" t="str">
        <f>T("112 LAKE VIEW PARKWAY")</f>
        <v>112 LAKE VIEW PARKWAY</v>
      </c>
      <c r="H12203" t="str">
        <f t="shared" si="4523"/>
        <v/>
      </c>
      <c r="I12203" t="str">
        <f t="shared" si="4529"/>
        <v>SUFFOLK</v>
      </c>
      <c r="J12203" t="str">
        <f t="shared" si="4530"/>
        <v>VA</v>
      </c>
      <c r="K12203" t="str">
        <f t="shared" si="4531"/>
        <v>000000000000000000</v>
      </c>
      <c r="L12203" t="str">
        <f>T("7572020023")</f>
        <v>7572020023</v>
      </c>
    </row>
    <row r="12204" spans="1:12" x14ac:dyDescent="0.35">
      <c r="A12204" t="str">
        <f t="shared" si="4524"/>
        <v>NAVIFOR</v>
      </c>
      <c r="B12204" t="str">
        <f t="shared" si="4525"/>
        <v>112 LAKE VIEW PKWY</v>
      </c>
      <c r="C12204" t="str">
        <f t="shared" si="4522"/>
        <v/>
      </c>
      <c r="D12204" t="str">
        <f t="shared" si="4526"/>
        <v>SUFFOLK</v>
      </c>
      <c r="E12204" t="str">
        <f t="shared" si="4527"/>
        <v>VA</v>
      </c>
      <c r="F12204" t="str">
        <f t="shared" si="4528"/>
        <v>234353628</v>
      </c>
      <c r="G12204" t="str">
        <f>T("112 LAKE VIEW PKWY")</f>
        <v>112 LAKE VIEW PKWY</v>
      </c>
      <c r="H12204" t="str">
        <f t="shared" si="4523"/>
        <v/>
      </c>
      <c r="I12204" t="str">
        <f t="shared" si="4529"/>
        <v>SUFFOLK</v>
      </c>
      <c r="J12204" t="str">
        <f t="shared" si="4530"/>
        <v>VA</v>
      </c>
      <c r="K12204" t="str">
        <f t="shared" si="4531"/>
        <v>000000000000000000</v>
      </c>
      <c r="L12204" t="str">
        <f>T("7572030040")</f>
        <v>7572030040</v>
      </c>
    </row>
    <row r="12205" spans="1:12" x14ac:dyDescent="0.35">
      <c r="A12205" t="str">
        <f t="shared" si="4524"/>
        <v>NAVIFOR</v>
      </c>
      <c r="B12205" t="str">
        <f t="shared" si="4525"/>
        <v>112 LAKE VIEW PKWY</v>
      </c>
      <c r="C12205" t="str">
        <f t="shared" si="4522"/>
        <v/>
      </c>
      <c r="D12205" t="str">
        <f t="shared" si="4526"/>
        <v>SUFFOLK</v>
      </c>
      <c r="E12205" t="str">
        <f t="shared" si="4527"/>
        <v>VA</v>
      </c>
      <c r="F12205" t="str">
        <f t="shared" si="4528"/>
        <v>234353628</v>
      </c>
      <c r="G12205" t="str">
        <f>T("112 LAKE VIEW PKWY")</f>
        <v>112 LAKE VIEW PKWY</v>
      </c>
      <c r="H12205" t="str">
        <f t="shared" si="4523"/>
        <v/>
      </c>
      <c r="I12205" t="str">
        <f t="shared" si="4529"/>
        <v>SUFFOLK</v>
      </c>
      <c r="J12205" t="str">
        <f t="shared" si="4530"/>
        <v>VA</v>
      </c>
      <c r="K12205" t="str">
        <f t="shared" si="4531"/>
        <v>000000000000000000</v>
      </c>
      <c r="L12205" t="str">
        <f>T("7572030663")</f>
        <v>7572030663</v>
      </c>
    </row>
    <row r="12206" spans="1:12" x14ac:dyDescent="0.35">
      <c r="A12206" t="str">
        <f t="shared" si="4524"/>
        <v>NAVIFOR</v>
      </c>
      <c r="B12206" t="str">
        <f t="shared" si="4525"/>
        <v>112 LAKE VIEW PKWY</v>
      </c>
      <c r="C12206" t="str">
        <f t="shared" si="4522"/>
        <v/>
      </c>
      <c r="D12206" t="str">
        <f t="shared" si="4526"/>
        <v>SUFFOLK</v>
      </c>
      <c r="E12206" t="str">
        <f t="shared" si="4527"/>
        <v>VA</v>
      </c>
      <c r="F12206" t="str">
        <f t="shared" si="4528"/>
        <v>234353628</v>
      </c>
      <c r="G12206" t="str">
        <f>T("112 LAKE VIEW PKWY")</f>
        <v>112 LAKE VIEW PKWY</v>
      </c>
      <c r="H12206" t="str">
        <f t="shared" si="4523"/>
        <v/>
      </c>
      <c r="I12206" t="str">
        <f t="shared" si="4529"/>
        <v>SUFFOLK</v>
      </c>
      <c r="J12206" t="str">
        <f t="shared" si="4530"/>
        <v>VA</v>
      </c>
      <c r="K12206" t="str">
        <f t="shared" si="4531"/>
        <v>000000000000000000</v>
      </c>
      <c r="L12206" t="str">
        <f>T("7572030845")</f>
        <v>7572030845</v>
      </c>
    </row>
    <row r="12207" spans="1:12" x14ac:dyDescent="0.35">
      <c r="A12207" t="str">
        <f t="shared" si="4524"/>
        <v>NAVIFOR</v>
      </c>
      <c r="B12207" t="str">
        <f t="shared" si="4525"/>
        <v>112 LAKE VIEW PKWY</v>
      </c>
      <c r="C12207" t="str">
        <f t="shared" si="4522"/>
        <v/>
      </c>
      <c r="D12207" t="str">
        <f t="shared" si="4526"/>
        <v>SUFFOLK</v>
      </c>
      <c r="E12207" t="str">
        <f t="shared" si="4527"/>
        <v>VA</v>
      </c>
      <c r="F12207" t="str">
        <f t="shared" si="4528"/>
        <v>234353628</v>
      </c>
      <c r="G12207" t="str">
        <f>T("112 LAKE VIEW PKWY")</f>
        <v>112 LAKE VIEW PKWY</v>
      </c>
      <c r="H12207" t="str">
        <f t="shared" si="4523"/>
        <v/>
      </c>
      <c r="I12207" t="str">
        <f t="shared" si="4529"/>
        <v>SUFFOLK</v>
      </c>
      <c r="J12207" t="str">
        <f t="shared" si="4530"/>
        <v>VA</v>
      </c>
      <c r="K12207" t="str">
        <f t="shared" si="4531"/>
        <v>000000000000000000</v>
      </c>
      <c r="L12207" t="str">
        <f>T("7572030882")</f>
        <v>7572030882</v>
      </c>
    </row>
    <row r="12208" spans="1:12" x14ac:dyDescent="0.35">
      <c r="A12208" t="str">
        <f t="shared" si="4524"/>
        <v>NAVIFOR</v>
      </c>
      <c r="B12208" t="str">
        <f t="shared" ref="B12208:B12217" si="4532">T("115 LAKE VIEW PKWY")</f>
        <v>115 LAKE VIEW PKWY</v>
      </c>
      <c r="C12208" t="str">
        <f t="shared" si="4522"/>
        <v/>
      </c>
      <c r="D12208" t="str">
        <f t="shared" si="4526"/>
        <v>SUFFOLK</v>
      </c>
      <c r="E12208" t="str">
        <f t="shared" si="4527"/>
        <v>VA</v>
      </c>
      <c r="F12208" t="str">
        <f t="shared" ref="F12208:F12217" si="4533">T("234352660")</f>
        <v>234352660</v>
      </c>
      <c r="G12208" t="str">
        <f>T("1100 BALCH BLVD")</f>
        <v>1100 BALCH BLVD</v>
      </c>
      <c r="H12208" t="str">
        <f t="shared" si="4523"/>
        <v/>
      </c>
      <c r="I12208" t="str">
        <f>T("STENNIS SPACE CENTER")</f>
        <v>STENNIS SPACE CENTER</v>
      </c>
      <c r="J12208" t="str">
        <f>T("MS")</f>
        <v>MS</v>
      </c>
      <c r="K12208" t="str">
        <f>T("2286885743")</f>
        <v>2286885743</v>
      </c>
      <c r="L12208" t="str">
        <f>T("2286885179")</f>
        <v>2286885179</v>
      </c>
    </row>
    <row r="12209" spans="1:12" x14ac:dyDescent="0.35">
      <c r="A12209" t="str">
        <f t="shared" si="4524"/>
        <v>NAVIFOR</v>
      </c>
      <c r="B12209" t="str">
        <f t="shared" si="4532"/>
        <v>115 LAKE VIEW PKWY</v>
      </c>
      <c r="C12209" t="str">
        <f t="shared" si="4522"/>
        <v/>
      </c>
      <c r="D12209" t="str">
        <f t="shared" si="4526"/>
        <v>SUFFOLK</v>
      </c>
      <c r="E12209" t="str">
        <f t="shared" si="4527"/>
        <v>VA</v>
      </c>
      <c r="F12209" t="str">
        <f t="shared" si="4533"/>
        <v>234352660</v>
      </c>
      <c r="G12209" t="str">
        <f>T("11403 AVENGER ROAD")</f>
        <v>11403 AVENGER ROAD</v>
      </c>
      <c r="H12209" t="str">
        <f t="shared" si="4523"/>
        <v/>
      </c>
      <c r="I12209" t="str">
        <f>T("SAN DIEGO")</f>
        <v>SAN DIEGO</v>
      </c>
      <c r="J12209" t="str">
        <f>T("CA")</f>
        <v>CA</v>
      </c>
      <c r="K12209" t="str">
        <f>T("6194370887")</f>
        <v>6194370887</v>
      </c>
      <c r="L12209" t="str">
        <f>T("6198063856")</f>
        <v>6198063856</v>
      </c>
    </row>
    <row r="12210" spans="1:12" x14ac:dyDescent="0.35">
      <c r="A12210" t="str">
        <f t="shared" si="4524"/>
        <v>NAVIFOR</v>
      </c>
      <c r="B12210" t="str">
        <f t="shared" si="4532"/>
        <v>115 LAKE VIEW PKWY</v>
      </c>
      <c r="C12210" t="str">
        <f t="shared" si="4522"/>
        <v/>
      </c>
      <c r="D12210" t="str">
        <f t="shared" si="4526"/>
        <v>SUFFOLK</v>
      </c>
      <c r="E12210" t="str">
        <f t="shared" si="4527"/>
        <v>VA</v>
      </c>
      <c r="F12210" t="str">
        <f t="shared" si="4533"/>
        <v>234352660</v>
      </c>
      <c r="G12210" t="str">
        <f>T("115 LAKE VIEW PARKWAY")</f>
        <v>115 LAKE VIEW PARKWAY</v>
      </c>
      <c r="H12210" t="str">
        <f t="shared" si="4523"/>
        <v/>
      </c>
      <c r="I12210" t="str">
        <f>T("SUFFOLK")</f>
        <v>SUFFOLK</v>
      </c>
      <c r="J12210" t="str">
        <f>T("VA")</f>
        <v>VA</v>
      </c>
      <c r="K12210" t="str">
        <f>T("7572033439")</f>
        <v>7572033439</v>
      </c>
      <c r="L12210" t="str">
        <f>T("7572033075")</f>
        <v>7572033075</v>
      </c>
    </row>
    <row r="12211" spans="1:12" x14ac:dyDescent="0.35">
      <c r="A12211" t="str">
        <f t="shared" si="4524"/>
        <v>NAVIFOR</v>
      </c>
      <c r="B12211" t="str">
        <f t="shared" si="4532"/>
        <v>115 LAKE VIEW PKWY</v>
      </c>
      <c r="C12211" t="str">
        <f t="shared" si="4522"/>
        <v/>
      </c>
      <c r="D12211" t="str">
        <f t="shared" si="4526"/>
        <v>SUFFOLK</v>
      </c>
      <c r="E12211" t="str">
        <f t="shared" si="4527"/>
        <v>VA</v>
      </c>
      <c r="F12211" t="str">
        <f t="shared" si="4533"/>
        <v>234352660</v>
      </c>
      <c r="G12211" t="str">
        <f>T("115 LAKE VIEW PARKWAY")</f>
        <v>115 LAKE VIEW PARKWAY</v>
      </c>
      <c r="H12211" t="str">
        <f t="shared" si="4523"/>
        <v/>
      </c>
      <c r="I12211" t="str">
        <f>T("SUFFOLK")</f>
        <v>SUFFOLK</v>
      </c>
      <c r="J12211" t="str">
        <f>T("VA")</f>
        <v>VA</v>
      </c>
      <c r="K12211" t="str">
        <f>T("7572033439")</f>
        <v>7572033439</v>
      </c>
      <c r="L12211" t="str">
        <f>T("7572033086")</f>
        <v>7572033086</v>
      </c>
    </row>
    <row r="12212" spans="1:12" x14ac:dyDescent="0.35">
      <c r="A12212" t="str">
        <f t="shared" si="4524"/>
        <v>NAVIFOR</v>
      </c>
      <c r="B12212" t="str">
        <f t="shared" si="4532"/>
        <v>115 LAKE VIEW PKWY</v>
      </c>
      <c r="C12212" t="str">
        <f t="shared" si="4522"/>
        <v/>
      </c>
      <c r="D12212" t="str">
        <f t="shared" si="4526"/>
        <v>SUFFOLK</v>
      </c>
      <c r="E12212" t="str">
        <f t="shared" si="4527"/>
        <v>VA</v>
      </c>
      <c r="F12212" t="str">
        <f t="shared" si="4533"/>
        <v>234352660</v>
      </c>
      <c r="G12212" t="str">
        <f>T("115 LAKE VIEW PKWY")</f>
        <v>115 LAKE VIEW PKWY</v>
      </c>
      <c r="H12212" t="str">
        <f t="shared" si="4523"/>
        <v/>
      </c>
      <c r="I12212" t="str">
        <f>T("SUFFOLK")</f>
        <v>SUFFOLK</v>
      </c>
      <c r="J12212" t="str">
        <f>T("VA")</f>
        <v>VA</v>
      </c>
      <c r="K12212" t="str">
        <f>T("000000000000000000")</f>
        <v>000000000000000000</v>
      </c>
      <c r="L12212" t="str">
        <f>T("7572033093")</f>
        <v>7572033093</v>
      </c>
    </row>
    <row r="12213" spans="1:12" x14ac:dyDescent="0.35">
      <c r="A12213" t="str">
        <f t="shared" si="4524"/>
        <v>NAVIFOR</v>
      </c>
      <c r="B12213" t="str">
        <f t="shared" si="4532"/>
        <v>115 LAKE VIEW PKWY</v>
      </c>
      <c r="C12213" t="str">
        <f t="shared" si="4522"/>
        <v/>
      </c>
      <c r="D12213" t="str">
        <f t="shared" si="4526"/>
        <v>SUFFOLK</v>
      </c>
      <c r="E12213" t="str">
        <f t="shared" si="4527"/>
        <v>VA</v>
      </c>
      <c r="F12213" t="str">
        <f t="shared" si="4533"/>
        <v>234352660</v>
      </c>
      <c r="G12213" t="str">
        <f>T("3420 GUADALCANAL ROAD")</f>
        <v>3420 GUADALCANAL ROAD</v>
      </c>
      <c r="H12213" t="str">
        <f>T("SUITE 2")</f>
        <v>SUITE 2</v>
      </c>
      <c r="I12213" t="str">
        <f>T("SAN DIEGO")</f>
        <v>SAN DIEGO</v>
      </c>
      <c r="J12213" t="str">
        <f>T("CA")</f>
        <v>CA</v>
      </c>
      <c r="K12213" t="str">
        <f>T("000000000000000000")</f>
        <v>000000000000000000</v>
      </c>
      <c r="L12213" t="str">
        <f>T("6194370998")</f>
        <v>6194370998</v>
      </c>
    </row>
    <row r="12214" spans="1:12" x14ac:dyDescent="0.35">
      <c r="A12214" t="str">
        <f t="shared" si="4524"/>
        <v>NAVIFOR</v>
      </c>
      <c r="B12214" t="str">
        <f t="shared" si="4532"/>
        <v>115 LAKE VIEW PKWY</v>
      </c>
      <c r="C12214" t="str">
        <f t="shared" si="4522"/>
        <v/>
      </c>
      <c r="D12214" t="str">
        <f t="shared" si="4526"/>
        <v>SUFFOLK</v>
      </c>
      <c r="E12214" t="str">
        <f t="shared" si="4527"/>
        <v>VA</v>
      </c>
      <c r="F12214" t="str">
        <f t="shared" si="4533"/>
        <v>234352660</v>
      </c>
      <c r="G12214" t="str">
        <f>T("DOD SUFFOLK COMPLEX")</f>
        <v>DOD SUFFOLK COMPLEX</v>
      </c>
      <c r="H12214" t="str">
        <f>T("115 LAKE VIEW PARKWAY")</f>
        <v>115 LAKE VIEW PARKWAY</v>
      </c>
      <c r="I12214" t="str">
        <f>T("SUFFOLK")</f>
        <v>SUFFOLK</v>
      </c>
      <c r="J12214" t="str">
        <f>T("VA")</f>
        <v>VA</v>
      </c>
      <c r="K12214" t="str">
        <f>T("7572033439")</f>
        <v>7572033439</v>
      </c>
      <c r="L12214" t="str">
        <f>T("7572033075")</f>
        <v>7572033075</v>
      </c>
    </row>
    <row r="12215" spans="1:12" x14ac:dyDescent="0.35">
      <c r="A12215" t="str">
        <f t="shared" si="4524"/>
        <v>NAVIFOR</v>
      </c>
      <c r="B12215" t="str">
        <f t="shared" si="4532"/>
        <v>115 LAKE VIEW PKWY</v>
      </c>
      <c r="C12215" t="str">
        <f t="shared" si="4522"/>
        <v/>
      </c>
      <c r="D12215" t="str">
        <f t="shared" si="4526"/>
        <v>SUFFOLK</v>
      </c>
      <c r="E12215" t="str">
        <f t="shared" si="4527"/>
        <v>VA</v>
      </c>
      <c r="F12215" t="str">
        <f t="shared" si="4533"/>
        <v>234352660</v>
      </c>
      <c r="G12215" t="str">
        <f>T("DOD SUFFOLK COMPLEX")</f>
        <v>DOD SUFFOLK COMPLEX</v>
      </c>
      <c r="H12215" t="str">
        <f>T("115 LAKE VIEW PARKWAY")</f>
        <v>115 LAKE VIEW PARKWAY</v>
      </c>
      <c r="I12215" t="str">
        <f>T("SUFFOLK")</f>
        <v>SUFFOLK</v>
      </c>
      <c r="J12215" t="str">
        <f>T("VA")</f>
        <v>VA</v>
      </c>
      <c r="K12215" t="str">
        <f>T("7577532866")</f>
        <v>7577532866</v>
      </c>
      <c r="L12215" t="str">
        <f>T("7572033075")</f>
        <v>7572033075</v>
      </c>
    </row>
    <row r="12216" spans="1:12" x14ac:dyDescent="0.35">
      <c r="A12216" t="str">
        <f t="shared" si="4524"/>
        <v>NAVIFOR</v>
      </c>
      <c r="B12216" t="str">
        <f t="shared" si="4532"/>
        <v>115 LAKE VIEW PKWY</v>
      </c>
      <c r="C12216" t="str">
        <f>T("DOD SUFFOLK COMPLEX")</f>
        <v>DOD SUFFOLK COMPLEX</v>
      </c>
      <c r="D12216" t="str">
        <f t="shared" si="4526"/>
        <v>SUFFOLK</v>
      </c>
      <c r="E12216" t="str">
        <f t="shared" si="4527"/>
        <v>VA</v>
      </c>
      <c r="F12216" t="str">
        <f t="shared" si="4533"/>
        <v>234352660</v>
      </c>
      <c r="G12216" t="str">
        <f>T("115 LAKE VIEW PARKWAY")</f>
        <v>115 LAKE VIEW PARKWAY</v>
      </c>
      <c r="H12216" t="str">
        <f>T("")</f>
        <v/>
      </c>
      <c r="I12216" t="str">
        <f>T("SUFFOLK")</f>
        <v>SUFFOLK</v>
      </c>
      <c r="J12216" t="str">
        <f>T("VA")</f>
        <v>VA</v>
      </c>
      <c r="K12216" t="str">
        <f>T("000000000000000000")</f>
        <v>000000000000000000</v>
      </c>
      <c r="L12216" t="str">
        <f>T("7572033104")</f>
        <v>7572033104</v>
      </c>
    </row>
    <row r="12217" spans="1:12" x14ac:dyDescent="0.35">
      <c r="A12217" t="str">
        <f t="shared" si="4524"/>
        <v>NAVIFOR</v>
      </c>
      <c r="B12217" t="str">
        <f t="shared" si="4532"/>
        <v>115 LAKE VIEW PKWY</v>
      </c>
      <c r="C12217" t="str">
        <f>T("DOD SUFFOLK COMPLEX")</f>
        <v>DOD SUFFOLK COMPLEX</v>
      </c>
      <c r="D12217" t="str">
        <f t="shared" si="4526"/>
        <v>SUFFOLK</v>
      </c>
      <c r="E12217" t="str">
        <f t="shared" si="4527"/>
        <v>VA</v>
      </c>
      <c r="F12217" t="str">
        <f t="shared" si="4533"/>
        <v>234352660</v>
      </c>
      <c r="G12217" t="str">
        <f>T("115 LAKE VIEW PKWY")</f>
        <v>115 LAKE VIEW PKWY</v>
      </c>
      <c r="H12217" t="str">
        <f>T("DOD SUFFOLK COMPLEX")</f>
        <v>DOD SUFFOLK COMPLEX</v>
      </c>
      <c r="I12217" t="str">
        <f>T("SUFFOLK")</f>
        <v>SUFFOLK</v>
      </c>
      <c r="J12217" t="str">
        <f>T("VA")</f>
        <v>VA</v>
      </c>
      <c r="K12217" t="str">
        <f>T("000000000000000000")</f>
        <v>000000000000000000</v>
      </c>
      <c r="L12217" t="str">
        <f>T("7572033100")</f>
        <v>7572033100</v>
      </c>
    </row>
    <row r="12218" spans="1:12" x14ac:dyDescent="0.35">
      <c r="A12218" t="str">
        <f t="shared" si="4524"/>
        <v>NAVIFOR</v>
      </c>
      <c r="B12218" t="str">
        <f t="shared" ref="B12218:B12223" si="4534">T("1560 COLORADO AVENUE")</f>
        <v>1560 COLORADO AVENUE</v>
      </c>
      <c r="C12218" t="str">
        <f t="shared" ref="C12218:C12238" si="4535">T("")</f>
        <v/>
      </c>
      <c r="D12218" t="str">
        <f t="shared" ref="D12218:D12223" si="4536">T("JB ANDREWS")</f>
        <v>JB ANDREWS</v>
      </c>
      <c r="E12218" t="str">
        <f t="shared" ref="E12218:E12223" si="4537">T("MD")</f>
        <v>MD</v>
      </c>
      <c r="F12218" t="str">
        <f t="shared" ref="F12218:F12223" si="4538">T("207626108")</f>
        <v>207626108</v>
      </c>
      <c r="G12218" t="str">
        <f>T("1560 COLORADO AVE")</f>
        <v>1560 COLORADO AVE</v>
      </c>
      <c r="H12218" t="str">
        <f>T("")</f>
        <v/>
      </c>
      <c r="I12218" t="str">
        <f>T("JB ANDREWS")</f>
        <v>JB ANDREWS</v>
      </c>
      <c r="J12218" t="str">
        <f>T("MD")</f>
        <v>MD</v>
      </c>
      <c r="K12218" t="str">
        <f>T("2408579410")</f>
        <v>2408579410</v>
      </c>
      <c r="L12218" t="str">
        <f>T("2408579887")</f>
        <v>2408579887</v>
      </c>
    </row>
    <row r="12219" spans="1:12" x14ac:dyDescent="0.35">
      <c r="A12219" t="str">
        <f t="shared" si="4524"/>
        <v>NAVIFOR</v>
      </c>
      <c r="B12219" t="str">
        <f t="shared" si="4534"/>
        <v>1560 COLORADO AVENUE</v>
      </c>
      <c r="C12219" t="str">
        <f t="shared" si="4535"/>
        <v/>
      </c>
      <c r="D12219" t="str">
        <f t="shared" si="4536"/>
        <v>JB ANDREWS</v>
      </c>
      <c r="E12219" t="str">
        <f t="shared" si="4537"/>
        <v>MD</v>
      </c>
      <c r="F12219" t="str">
        <f t="shared" si="4538"/>
        <v>207626108</v>
      </c>
      <c r="G12219" t="str">
        <f>T("1560 COLORADO AVENUE")</f>
        <v>1560 COLORADO AVENUE</v>
      </c>
      <c r="H12219" t="str">
        <f>T("")</f>
        <v/>
      </c>
      <c r="I12219" t="str">
        <f>T("JB ANDREWS")</f>
        <v>JB ANDREWS</v>
      </c>
      <c r="J12219" t="str">
        <f>T("MD")</f>
        <v>MD</v>
      </c>
      <c r="K12219" t="str">
        <f>T("000000000000000000")</f>
        <v>000000000000000000</v>
      </c>
      <c r="L12219" t="str">
        <f>T("2408579887")</f>
        <v>2408579887</v>
      </c>
    </row>
    <row r="12220" spans="1:12" x14ac:dyDescent="0.35">
      <c r="A12220" t="str">
        <f t="shared" si="4524"/>
        <v>NAVIFOR</v>
      </c>
      <c r="B12220" t="str">
        <f t="shared" si="4534"/>
        <v>1560 COLORADO AVENUE</v>
      </c>
      <c r="C12220" t="str">
        <f t="shared" si="4535"/>
        <v/>
      </c>
      <c r="D12220" t="str">
        <f t="shared" si="4536"/>
        <v>JB ANDREWS</v>
      </c>
      <c r="E12220" t="str">
        <f t="shared" si="4537"/>
        <v>MD</v>
      </c>
      <c r="F12220" t="str">
        <f t="shared" si="4538"/>
        <v>207626108</v>
      </c>
      <c r="G12220" t="str">
        <f>T("1560 COLORADO AVENUE")</f>
        <v>1560 COLORADO AVENUE</v>
      </c>
      <c r="H12220" t="str">
        <f>T("")</f>
        <v/>
      </c>
      <c r="I12220" t="str">
        <f>T("JB ANDREWS")</f>
        <v>JB ANDREWS</v>
      </c>
      <c r="J12220" t="str">
        <f>T("MD")</f>
        <v>MD</v>
      </c>
      <c r="K12220" t="str">
        <f>T("2408579410")</f>
        <v>2408579410</v>
      </c>
      <c r="L12220" t="str">
        <f>T("2408579407")</f>
        <v>2408579407</v>
      </c>
    </row>
    <row r="12221" spans="1:12" x14ac:dyDescent="0.35">
      <c r="A12221" t="str">
        <f t="shared" si="4524"/>
        <v>NAVIFOR</v>
      </c>
      <c r="B12221" t="str">
        <f t="shared" si="4534"/>
        <v>1560 COLORADO AVENUE</v>
      </c>
      <c r="C12221" t="str">
        <f t="shared" si="4535"/>
        <v/>
      </c>
      <c r="D12221" t="str">
        <f t="shared" si="4536"/>
        <v>JB ANDREWS</v>
      </c>
      <c r="E12221" t="str">
        <f t="shared" si="4537"/>
        <v>MD</v>
      </c>
      <c r="F12221" t="str">
        <f t="shared" si="4538"/>
        <v>207626108</v>
      </c>
      <c r="G12221" t="str">
        <f>T("1560 COLORADO AVENUE")</f>
        <v>1560 COLORADO AVENUE</v>
      </c>
      <c r="H12221" t="str">
        <f>T("")</f>
        <v/>
      </c>
      <c r="I12221" t="str">
        <f>T("JB ANDREWS")</f>
        <v>JB ANDREWS</v>
      </c>
      <c r="J12221" t="str">
        <f>T("MD")</f>
        <v>MD</v>
      </c>
      <c r="K12221" t="str">
        <f>T("2408579410")</f>
        <v>2408579410</v>
      </c>
      <c r="L12221" t="str">
        <f>T("2408579887")</f>
        <v>2408579887</v>
      </c>
    </row>
    <row r="12222" spans="1:12" x14ac:dyDescent="0.35">
      <c r="A12222" t="str">
        <f t="shared" si="4524"/>
        <v>NAVIFOR</v>
      </c>
      <c r="B12222" t="str">
        <f t="shared" si="4534"/>
        <v>1560 COLORADO AVENUE</v>
      </c>
      <c r="C12222" t="str">
        <f t="shared" si="4535"/>
        <v/>
      </c>
      <c r="D12222" t="str">
        <f t="shared" si="4536"/>
        <v>JB ANDREWS</v>
      </c>
      <c r="E12222" t="str">
        <f t="shared" si="4537"/>
        <v>MD</v>
      </c>
      <c r="F12222" t="str">
        <f t="shared" si="4538"/>
        <v>207626108</v>
      </c>
      <c r="G12222" t="str">
        <f>T("8876 SECOND STREET")</f>
        <v>8876 SECOND STREET</v>
      </c>
      <c r="H12222" t="str">
        <f>T("BLDG CEP-113")</f>
        <v>BLDG CEP-113</v>
      </c>
      <c r="I12222" t="str">
        <f>T("NORFOLK")</f>
        <v>NORFOLK</v>
      </c>
      <c r="J12222" t="str">
        <f>T("VA")</f>
        <v>VA</v>
      </c>
      <c r="K12222" t="str">
        <f>T("7574451745")</f>
        <v>7574451745</v>
      </c>
      <c r="L12222" t="str">
        <f>T("7574457708")</f>
        <v>7574457708</v>
      </c>
    </row>
    <row r="12223" spans="1:12" x14ac:dyDescent="0.35">
      <c r="A12223" t="str">
        <f t="shared" si="4524"/>
        <v>NAVIFOR</v>
      </c>
      <c r="B12223" t="str">
        <f t="shared" si="4534"/>
        <v>1560 COLORADO AVENUE</v>
      </c>
      <c r="C12223" t="str">
        <f t="shared" si="4535"/>
        <v/>
      </c>
      <c r="D12223" t="str">
        <f t="shared" si="4536"/>
        <v>JB ANDREWS</v>
      </c>
      <c r="E12223" t="str">
        <f t="shared" si="4537"/>
        <v>MD</v>
      </c>
      <c r="F12223" t="str">
        <f t="shared" si="4538"/>
        <v>207626108</v>
      </c>
      <c r="G12223" t="str">
        <f>T("8876 SECOND STREET")</f>
        <v>8876 SECOND STREET</v>
      </c>
      <c r="H12223" t="str">
        <f>T("BLDG CEP-113")</f>
        <v>BLDG CEP-113</v>
      </c>
      <c r="I12223" t="str">
        <f>T("NORFOLK")</f>
        <v>NORFOLK</v>
      </c>
      <c r="J12223" t="str">
        <f>T("VA")</f>
        <v>VA</v>
      </c>
      <c r="K12223" t="str">
        <f>T("7574451745")</f>
        <v>7574451745</v>
      </c>
      <c r="L12223" t="str">
        <f>T("7574457777")</f>
        <v>7574457777</v>
      </c>
    </row>
    <row r="12224" spans="1:12" x14ac:dyDescent="0.35">
      <c r="A12224" t="str">
        <f t="shared" si="4524"/>
        <v>NAVIFOR</v>
      </c>
      <c r="B12224" t="str">
        <f>T("5901 NCBC 5TH STREET")</f>
        <v>5901 NCBC 5TH STREET</v>
      </c>
      <c r="C12224" t="str">
        <f t="shared" si="4535"/>
        <v/>
      </c>
      <c r="D12224" t="str">
        <f t="shared" ref="D12224:D12231" si="4539">T("GULFPORT")</f>
        <v>GULFPORT</v>
      </c>
      <c r="E12224" t="str">
        <f t="shared" ref="E12224:E12231" si="4540">T("MS")</f>
        <v>MS</v>
      </c>
      <c r="F12224" t="str">
        <f t="shared" ref="F12224:F12231" si="4541">T("395010000")</f>
        <v>395010000</v>
      </c>
      <c r="G12224" t="str">
        <f>T("1100 BALCH BLVD")</f>
        <v>1100 BALCH BLVD</v>
      </c>
      <c r="H12224" t="str">
        <f>T("ROOM 22239G")</f>
        <v>ROOM 22239G</v>
      </c>
      <c r="I12224" t="str">
        <f>T("STENNIS SPACE CENTER")</f>
        <v>STENNIS SPACE CENTER</v>
      </c>
      <c r="J12224" t="str">
        <f t="shared" ref="J12224:J12229" si="4542">T("MS")</f>
        <v>MS</v>
      </c>
      <c r="K12224" t="str">
        <f>T("2286885638")</f>
        <v>2286885638</v>
      </c>
      <c r="L12224" t="str">
        <f>T("2286884921")</f>
        <v>2286884921</v>
      </c>
    </row>
    <row r="12225" spans="1:12" x14ac:dyDescent="0.35">
      <c r="A12225" t="str">
        <f t="shared" si="4524"/>
        <v>NAVIFOR</v>
      </c>
      <c r="B12225" t="str">
        <f>T("5901 NCBC 5TH STREET")</f>
        <v>5901 NCBC 5TH STREET</v>
      </c>
      <c r="C12225" t="str">
        <f t="shared" si="4535"/>
        <v/>
      </c>
      <c r="D12225" t="str">
        <f t="shared" si="4539"/>
        <v>GULFPORT</v>
      </c>
      <c r="E12225" t="str">
        <f t="shared" si="4540"/>
        <v>MS</v>
      </c>
      <c r="F12225" t="str">
        <f t="shared" si="4541"/>
        <v>395010000</v>
      </c>
      <c r="G12225" t="str">
        <f>T("1100 BALCH BLVD")</f>
        <v>1100 BALCH BLVD</v>
      </c>
      <c r="H12225" t="str">
        <f>T("ROOM 22239I")</f>
        <v>ROOM 22239I</v>
      </c>
      <c r="I12225" t="str">
        <f>T("STENNIS SPACE CENTER")</f>
        <v>STENNIS SPACE CENTER</v>
      </c>
      <c r="J12225" t="str">
        <f t="shared" si="4542"/>
        <v>MS</v>
      </c>
      <c r="K12225" t="str">
        <f>T("2286885638")</f>
        <v>2286885638</v>
      </c>
      <c r="L12225" t="str">
        <f>T("2286884920")</f>
        <v>2286884920</v>
      </c>
    </row>
    <row r="12226" spans="1:12" x14ac:dyDescent="0.35">
      <c r="A12226" t="str">
        <f t="shared" si="4524"/>
        <v>NAVIFOR</v>
      </c>
      <c r="B12226" t="str">
        <f>T("5901 NCBC 5TH STREET")</f>
        <v>5901 NCBC 5TH STREET</v>
      </c>
      <c r="C12226" t="str">
        <f t="shared" si="4535"/>
        <v/>
      </c>
      <c r="D12226" t="str">
        <f t="shared" si="4539"/>
        <v>GULFPORT</v>
      </c>
      <c r="E12226" t="str">
        <f t="shared" si="4540"/>
        <v>MS</v>
      </c>
      <c r="F12226" t="str">
        <f t="shared" si="4541"/>
        <v>395010000</v>
      </c>
      <c r="G12226" t="str">
        <f>T("5901 NCBC 5TH STREET")</f>
        <v>5901 NCBC 5TH STREET</v>
      </c>
      <c r="H12226" t="str">
        <f>T("")</f>
        <v/>
      </c>
      <c r="I12226" t="str">
        <f>T("GULFPORT")</f>
        <v>GULFPORT</v>
      </c>
      <c r="J12226" t="str">
        <f t="shared" si="4542"/>
        <v>MS</v>
      </c>
      <c r="K12226" t="str">
        <f>T("000000000000000000")</f>
        <v>000000000000000000</v>
      </c>
      <c r="L12226" t="str">
        <f>T("2288225241")</f>
        <v>2288225241</v>
      </c>
    </row>
    <row r="12227" spans="1:12" x14ac:dyDescent="0.35">
      <c r="A12227" t="str">
        <f t="shared" si="4524"/>
        <v>NAVIFOR</v>
      </c>
      <c r="B12227" t="str">
        <f>T("5901 NCBC 5TH STREET BLDG 461")</f>
        <v>5901 NCBC 5TH STREET BLDG 461</v>
      </c>
      <c r="C12227" t="str">
        <f t="shared" si="4535"/>
        <v/>
      </c>
      <c r="D12227" t="str">
        <f t="shared" si="4539"/>
        <v>GULFPORT</v>
      </c>
      <c r="E12227" t="str">
        <f t="shared" si="4540"/>
        <v>MS</v>
      </c>
      <c r="F12227" t="str">
        <f t="shared" si="4541"/>
        <v>395010000</v>
      </c>
      <c r="G12227" t="str">
        <f>T("5901 5TH STREET")</f>
        <v>5901 5TH STREET</v>
      </c>
      <c r="H12227" t="str">
        <f>T("BLDG 461")</f>
        <v>BLDG 461</v>
      </c>
      <c r="I12227" t="str">
        <f>T("GULFPORT")</f>
        <v>GULFPORT</v>
      </c>
      <c r="J12227" t="str">
        <f t="shared" si="4542"/>
        <v>MS</v>
      </c>
      <c r="K12227" t="str">
        <f>T("2288712721")</f>
        <v>2288712721</v>
      </c>
      <c r="L12227" t="str">
        <f>T("2288713788")</f>
        <v>2288713788</v>
      </c>
    </row>
    <row r="12228" spans="1:12" x14ac:dyDescent="0.35">
      <c r="A12228" t="str">
        <f t="shared" si="4524"/>
        <v>NAVIFOR</v>
      </c>
      <c r="B12228" t="str">
        <f>T("5901 NCBC 5TH STREET BLDG 461")</f>
        <v>5901 NCBC 5TH STREET BLDG 461</v>
      </c>
      <c r="C12228" t="str">
        <f t="shared" si="4535"/>
        <v/>
      </c>
      <c r="D12228" t="str">
        <f t="shared" si="4539"/>
        <v>GULFPORT</v>
      </c>
      <c r="E12228" t="str">
        <f t="shared" si="4540"/>
        <v>MS</v>
      </c>
      <c r="F12228" t="str">
        <f t="shared" si="4541"/>
        <v>395010000</v>
      </c>
      <c r="G12228" t="str">
        <f>T("5901 NCBC 5TH STREET")</f>
        <v>5901 NCBC 5TH STREET</v>
      </c>
      <c r="H12228" t="str">
        <f>T("BLDG 461")</f>
        <v>BLDG 461</v>
      </c>
      <c r="I12228" t="str">
        <f>T("GULFPORT")</f>
        <v>GULFPORT</v>
      </c>
      <c r="J12228" t="str">
        <f t="shared" si="4542"/>
        <v>MS</v>
      </c>
      <c r="K12228" t="str">
        <f>T("2288712874")</f>
        <v>2288712874</v>
      </c>
      <c r="L12228" t="str">
        <f>T("2288714243")</f>
        <v>2288714243</v>
      </c>
    </row>
    <row r="12229" spans="1:12" x14ac:dyDescent="0.35">
      <c r="A12229" t="str">
        <f t="shared" si="4524"/>
        <v>NAVIFOR</v>
      </c>
      <c r="B12229" t="str">
        <f>T("5901 NCBC 5TH STREET BLDG 461")</f>
        <v>5901 NCBC 5TH STREET BLDG 461</v>
      </c>
      <c r="C12229" t="str">
        <f t="shared" si="4535"/>
        <v/>
      </c>
      <c r="D12229" t="str">
        <f t="shared" si="4539"/>
        <v>GULFPORT</v>
      </c>
      <c r="E12229" t="str">
        <f t="shared" si="4540"/>
        <v>MS</v>
      </c>
      <c r="F12229" t="str">
        <f t="shared" si="4541"/>
        <v>395010000</v>
      </c>
      <c r="G12229" t="str">
        <f>T("5901 NCBC 5TH STREET BLDG 461")</f>
        <v>5901 NCBC 5TH STREET BLDG 461</v>
      </c>
      <c r="H12229" t="str">
        <f>T("")</f>
        <v/>
      </c>
      <c r="I12229" t="str">
        <f>T("GULFPORT")</f>
        <v>GULFPORT</v>
      </c>
      <c r="J12229" t="str">
        <f t="shared" si="4542"/>
        <v>MS</v>
      </c>
      <c r="K12229" t="str">
        <f>T("000000000000000000")</f>
        <v>000000000000000000</v>
      </c>
      <c r="L12229" t="str">
        <f>T("2288225241")</f>
        <v>2288225241</v>
      </c>
    </row>
    <row r="12230" spans="1:12" x14ac:dyDescent="0.35">
      <c r="A12230" t="str">
        <f t="shared" si="4524"/>
        <v>NAVIFOR</v>
      </c>
      <c r="B12230" t="str">
        <f>T("5901 NCBC 5TH STREET BLDG 461")</f>
        <v>5901 NCBC 5TH STREET BLDG 461</v>
      </c>
      <c r="C12230" t="str">
        <f t="shared" si="4535"/>
        <v/>
      </c>
      <c r="D12230" t="str">
        <f t="shared" si="4539"/>
        <v>GULFPORT</v>
      </c>
      <c r="E12230" t="str">
        <f t="shared" si="4540"/>
        <v>MS</v>
      </c>
      <c r="F12230" t="str">
        <f t="shared" si="4541"/>
        <v>395010000</v>
      </c>
      <c r="G12230" t="str">
        <f>T("9141 THIRD AVE")</f>
        <v>9141 THIRD AVE</v>
      </c>
      <c r="H12230" t="str">
        <f>T("BLDG U-117")</f>
        <v>BLDG U-117</v>
      </c>
      <c r="I12230" t="str">
        <f>T("NORFOLK")</f>
        <v>NORFOLK</v>
      </c>
      <c r="J12230" t="str">
        <f>T("VA")</f>
        <v>VA</v>
      </c>
      <c r="K12230" t="str">
        <f>T("000000000000000000")</f>
        <v>000000000000000000</v>
      </c>
      <c r="L12230" t="str">
        <f>T("7574440123")</f>
        <v>7574440123</v>
      </c>
    </row>
    <row r="12231" spans="1:12" x14ac:dyDescent="0.35">
      <c r="A12231" t="str">
        <f t="shared" si="4524"/>
        <v>NAVIFOR</v>
      </c>
      <c r="B12231" t="str">
        <f>T("5901 NCBC 5TH STREET BLDG 461")</f>
        <v>5901 NCBC 5TH STREET BLDG 461</v>
      </c>
      <c r="C12231" t="str">
        <f t="shared" si="4535"/>
        <v/>
      </c>
      <c r="D12231" t="str">
        <f t="shared" si="4539"/>
        <v>GULFPORT</v>
      </c>
      <c r="E12231" t="str">
        <f t="shared" si="4540"/>
        <v>MS</v>
      </c>
      <c r="F12231" t="str">
        <f t="shared" si="4541"/>
        <v>395010000</v>
      </c>
      <c r="G12231" t="str">
        <f>T("NAVBASE CORONADO")</f>
        <v>NAVBASE CORONADO</v>
      </c>
      <c r="H12231" t="str">
        <f>T("BOX 357076")</f>
        <v>BOX 357076</v>
      </c>
      <c r="I12231" t="str">
        <f>T("SAN DIEGO")</f>
        <v>SAN DIEGO</v>
      </c>
      <c r="J12231" t="str">
        <f>T("CA")</f>
        <v>CA</v>
      </c>
      <c r="K12231" t="str">
        <f>T("6197671437")</f>
        <v>6197671437</v>
      </c>
      <c r="L12231" t="str">
        <f>T("6197677159")</f>
        <v>6197677159</v>
      </c>
    </row>
    <row r="12232" spans="1:12" x14ac:dyDescent="0.35">
      <c r="A12232" t="str">
        <f t="shared" si="4524"/>
        <v>NAVIFOR</v>
      </c>
      <c r="B12232" t="str">
        <f>T("6910 COOPER AVE")</f>
        <v>6910 COOPER AVE</v>
      </c>
      <c r="C12232" t="str">
        <f t="shared" si="4535"/>
        <v/>
      </c>
      <c r="D12232" t="str">
        <f>T("FORT MEADE")</f>
        <v>FORT MEADE</v>
      </c>
      <c r="E12232" t="str">
        <f>T("MD")</f>
        <v>MD</v>
      </c>
      <c r="F12232" t="str">
        <f>T("207557088")</f>
        <v>207557088</v>
      </c>
      <c r="G12232" t="str">
        <f>T("6910 COOPER AVE")</f>
        <v>6910 COOPER AVE</v>
      </c>
      <c r="H12232" t="str">
        <f>T("")</f>
        <v/>
      </c>
      <c r="I12232" t="str">
        <f>T("FORT MEADE")</f>
        <v>FORT MEADE</v>
      </c>
      <c r="J12232" t="str">
        <f>T("MD")</f>
        <v>MD</v>
      </c>
      <c r="K12232" t="str">
        <f>T("3012250583")</f>
        <v>3012250583</v>
      </c>
      <c r="L12232" t="str">
        <f>T("1111111111")</f>
        <v>1111111111</v>
      </c>
    </row>
    <row r="12233" spans="1:12" x14ac:dyDescent="0.35">
      <c r="A12233" t="str">
        <f t="shared" si="4524"/>
        <v>NAVIFOR</v>
      </c>
      <c r="B12233" t="str">
        <f>T("6910 COOPER AVE")</f>
        <v>6910 COOPER AVE</v>
      </c>
      <c r="C12233" t="str">
        <f t="shared" si="4535"/>
        <v/>
      </c>
      <c r="D12233" t="str">
        <f>T("FORT MEADE")</f>
        <v>FORT MEADE</v>
      </c>
      <c r="E12233" t="str">
        <f>T("MD")</f>
        <v>MD</v>
      </c>
      <c r="F12233" t="str">
        <f>T("207557088")</f>
        <v>207557088</v>
      </c>
      <c r="G12233" t="str">
        <f>T("6916 COOPER AVE")</f>
        <v>6916 COOPER AVE</v>
      </c>
      <c r="H12233" t="str">
        <f>T("")</f>
        <v/>
      </c>
      <c r="I12233" t="str">
        <f>T("FORT GEORGE G MEADE")</f>
        <v>FORT GEORGE G MEADE</v>
      </c>
      <c r="J12233" t="str">
        <f>T("MD")</f>
        <v>MD</v>
      </c>
      <c r="K12233" t="str">
        <f>T("000000000000000000")</f>
        <v>000000000000000000</v>
      </c>
      <c r="L12233" t="str">
        <f>T("3012253826")</f>
        <v>3012253826</v>
      </c>
    </row>
    <row r="12234" spans="1:12" x14ac:dyDescent="0.35">
      <c r="A12234" t="str">
        <f t="shared" si="4524"/>
        <v>NAVIFOR</v>
      </c>
      <c r="B12234" t="str">
        <f>T("6910 COOPER AVE")</f>
        <v>6910 COOPER AVE</v>
      </c>
      <c r="C12234" t="str">
        <f t="shared" si="4535"/>
        <v/>
      </c>
      <c r="D12234" t="str">
        <f>T("FORT MEADE")</f>
        <v>FORT MEADE</v>
      </c>
      <c r="E12234" t="str">
        <f>T("MD")</f>
        <v>MD</v>
      </c>
      <c r="F12234" t="str">
        <f>T("207557088")</f>
        <v>207557088</v>
      </c>
      <c r="G12234" t="str">
        <f>T("NMSCO PUGET SOUND")</f>
        <v>NMSCO PUGET SOUND</v>
      </c>
      <c r="H12234" t="str">
        <f>T("1100 HUNLEY ROAD SUITE 116")</f>
        <v>1100 HUNLEY ROAD SUITE 116</v>
      </c>
      <c r="I12234" t="str">
        <f>T("SILVERDALE")</f>
        <v>SILVERDALE</v>
      </c>
      <c r="J12234" t="str">
        <f>T("WA")</f>
        <v>WA</v>
      </c>
      <c r="K12234" t="str">
        <f>T("3603966321")</f>
        <v>3603966321</v>
      </c>
      <c r="L12234" t="str">
        <f>T("3603967075")</f>
        <v>3603967075</v>
      </c>
    </row>
    <row r="12235" spans="1:12" x14ac:dyDescent="0.35">
      <c r="A12235" t="str">
        <f t="shared" si="4524"/>
        <v>NAVIFOR</v>
      </c>
      <c r="B12235" t="str">
        <f>T("PSC 851 BOX 450")</f>
        <v>PSC 851 BOX 450</v>
      </c>
      <c r="C12235" t="str">
        <f t="shared" si="4535"/>
        <v/>
      </c>
      <c r="D12235" t="str">
        <f>T("FPO")</f>
        <v>FPO</v>
      </c>
      <c r="E12235" t="str">
        <f>T("AE")</f>
        <v>AE</v>
      </c>
      <c r="F12235" t="str">
        <f>T("098340005")</f>
        <v>098340005</v>
      </c>
      <c r="G12235" t="str">
        <f>T("PSC 851")</f>
        <v>PSC 851</v>
      </c>
      <c r="H12235" t="str">
        <f>T("")</f>
        <v/>
      </c>
      <c r="I12235" t="str">
        <f>T("FPO")</f>
        <v>FPO</v>
      </c>
      <c r="J12235" t="str">
        <f>T("AE")</f>
        <v>AE</v>
      </c>
      <c r="K12235" t="str">
        <f>T("0119731788199")</f>
        <v>0119731788199</v>
      </c>
      <c r="L12235" t="str">
        <f>T("1111111111")</f>
        <v>1111111111</v>
      </c>
    </row>
    <row r="12236" spans="1:12" x14ac:dyDescent="0.35">
      <c r="A12236" t="str">
        <f t="shared" si="4524"/>
        <v>NAVIFOR</v>
      </c>
      <c r="B12236" t="str">
        <f>T("PSC 851 BOX 450")</f>
        <v>PSC 851 BOX 450</v>
      </c>
      <c r="C12236" t="str">
        <f t="shared" si="4535"/>
        <v/>
      </c>
      <c r="D12236" t="str">
        <f>T("FPO")</f>
        <v>FPO</v>
      </c>
      <c r="E12236" t="str">
        <f>T("AE")</f>
        <v>AE</v>
      </c>
      <c r="F12236" t="str">
        <f>T("098340005")</f>
        <v>098340005</v>
      </c>
      <c r="G12236" t="str">
        <f>T("PSC 851 BOX 450")</f>
        <v>PSC 851 BOX 450</v>
      </c>
      <c r="H12236" t="str">
        <f>T("")</f>
        <v/>
      </c>
      <c r="I12236" t="str">
        <f>T("FPO")</f>
        <v>FPO</v>
      </c>
      <c r="J12236" t="str">
        <f>T("AE")</f>
        <v>AE</v>
      </c>
      <c r="K12236" t="str">
        <f>T("000000000000000000")</f>
        <v>000000000000000000</v>
      </c>
      <c r="L12236" t="str">
        <f>T("1111111111")</f>
        <v>1111111111</v>
      </c>
    </row>
    <row r="12237" spans="1:12" x14ac:dyDescent="0.35">
      <c r="A12237" t="str">
        <f t="shared" si="4524"/>
        <v>NAVIFOR</v>
      </c>
      <c r="B12237" t="str">
        <f>T("PSC 851 BOX 450")</f>
        <v>PSC 851 BOX 450</v>
      </c>
      <c r="C12237" t="str">
        <f t="shared" si="4535"/>
        <v/>
      </c>
      <c r="D12237" t="str">
        <f>T("FPO")</f>
        <v>FPO</v>
      </c>
      <c r="E12237" t="str">
        <f>T("AE")</f>
        <v>AE</v>
      </c>
      <c r="F12237" t="str">
        <f>T("098340005")</f>
        <v>098340005</v>
      </c>
      <c r="G12237" t="str">
        <f>T("PSC 851 BOX 450")</f>
        <v>PSC 851 BOX 450</v>
      </c>
      <c r="H12237" t="str">
        <f>T("")</f>
        <v/>
      </c>
      <c r="I12237" t="str">
        <f>T("FPO")</f>
        <v>FPO</v>
      </c>
      <c r="J12237" t="str">
        <f>T("AE")</f>
        <v>AE</v>
      </c>
      <c r="K12237" t="str">
        <f>T("01197317853704")</f>
        <v>01197317853704</v>
      </c>
      <c r="L12237" t="str">
        <f>T("1111111111")</f>
        <v>1111111111</v>
      </c>
    </row>
    <row r="12238" spans="1:12" x14ac:dyDescent="0.35">
      <c r="A12238" t="str">
        <f t="shared" si="4524"/>
        <v>NAVIFOR</v>
      </c>
      <c r="B12238" t="str">
        <f>T("PSC 851 BOX 450")</f>
        <v>PSC 851 BOX 450</v>
      </c>
      <c r="C12238" t="str">
        <f t="shared" si="4535"/>
        <v/>
      </c>
      <c r="D12238" t="str">
        <f>T("FPO")</f>
        <v>FPO</v>
      </c>
      <c r="E12238" t="str">
        <f>T("AE")</f>
        <v>AE</v>
      </c>
      <c r="F12238" t="str">
        <f>T("098340005")</f>
        <v>098340005</v>
      </c>
      <c r="G12238" t="str">
        <f>T("PSC 851 BOX 450")</f>
        <v>PSC 851 BOX 450</v>
      </c>
      <c r="H12238" t="str">
        <f>T("")</f>
        <v/>
      </c>
      <c r="I12238" t="str">
        <f>T("FPO")</f>
        <v>FPO</v>
      </c>
      <c r="J12238" t="str">
        <f>T("AE")</f>
        <v>AE</v>
      </c>
      <c r="K12238" t="str">
        <f>T("01197317858199")</f>
        <v>01197317858199</v>
      </c>
      <c r="L12238" t="str">
        <f>T("1111111111")</f>
        <v>1111111111</v>
      </c>
    </row>
    <row r="12239" spans="1:12" x14ac:dyDescent="0.35">
      <c r="A12239" t="str">
        <f>T("NIOC GEORGIA")</f>
        <v>NIOC GEORGIA</v>
      </c>
      <c r="B12239" t="str">
        <f>T("537 BRAINARD AVE")</f>
        <v>537 BRAINARD AVE</v>
      </c>
      <c r="C12239" t="str">
        <f>T("BLDG 28423")</f>
        <v>BLDG 28423</v>
      </c>
      <c r="D12239" t="str">
        <f>T("FORT GORDON")</f>
        <v>FORT GORDON</v>
      </c>
      <c r="E12239" t="str">
        <f>T("GA")</f>
        <v>GA</v>
      </c>
      <c r="F12239" t="str">
        <f>T("309055810")</f>
        <v>309055810</v>
      </c>
      <c r="G12239" t="str">
        <f>T("537 BRAINARD AVE")</f>
        <v>537 BRAINARD AVE</v>
      </c>
      <c r="H12239" t="str">
        <f>T("BLDG 28423")</f>
        <v>BLDG 28423</v>
      </c>
      <c r="I12239" t="str">
        <f>T("FORT GORDON")</f>
        <v>FORT GORDON</v>
      </c>
      <c r="J12239" t="str">
        <f>T("GA")</f>
        <v>GA</v>
      </c>
      <c r="K12239" t="str">
        <f>T("000000000000000000")</f>
        <v>000000000000000000</v>
      </c>
      <c r="L12239" t="str">
        <f>T("7622069612")</f>
        <v>7622069612</v>
      </c>
    </row>
    <row r="12240" spans="1:12" x14ac:dyDescent="0.35">
      <c r="A12240" t="str">
        <f>T("NIOC GEORGIA")</f>
        <v>NIOC GEORGIA</v>
      </c>
      <c r="B12240" t="str">
        <f>T("537 BRAINARD AVE")</f>
        <v>537 BRAINARD AVE</v>
      </c>
      <c r="C12240" t="str">
        <f>T("BLDG 28423")</f>
        <v>BLDG 28423</v>
      </c>
      <c r="D12240" t="str">
        <f>T("FORT GORDON")</f>
        <v>FORT GORDON</v>
      </c>
      <c r="E12240" t="str">
        <f>T("GA")</f>
        <v>GA</v>
      </c>
      <c r="F12240" t="str">
        <f>T("309055810")</f>
        <v>309055810</v>
      </c>
      <c r="G12240" t="str">
        <f>T("537 BRAINARD AVE")</f>
        <v>537 BRAINARD AVE</v>
      </c>
      <c r="H12240" t="str">
        <f>T("BLDG 28423")</f>
        <v>BLDG 28423</v>
      </c>
      <c r="I12240" t="str">
        <f>T("FORT GORDON")</f>
        <v>FORT GORDON</v>
      </c>
      <c r="J12240" t="str">
        <f>T("GA")</f>
        <v>GA</v>
      </c>
      <c r="K12240" t="str">
        <f>T("000000000000000000")</f>
        <v>000000000000000000</v>
      </c>
      <c r="L12240" t="str">
        <f>T("7622069618")</f>
        <v>7622069618</v>
      </c>
    </row>
    <row r="12241" spans="1:12" x14ac:dyDescent="0.35">
      <c r="A12241" t="str">
        <f>T("NIOC GEORGIA")</f>
        <v>NIOC GEORGIA</v>
      </c>
      <c r="B12241" t="str">
        <f>T("537 BRAINARD AVE")</f>
        <v>537 BRAINARD AVE</v>
      </c>
      <c r="C12241" t="str">
        <f>T("BLDG 28423")</f>
        <v>BLDG 28423</v>
      </c>
      <c r="D12241" t="str">
        <f>T("FORT GORDON")</f>
        <v>FORT GORDON</v>
      </c>
      <c r="E12241" t="str">
        <f>T("GA")</f>
        <v>GA</v>
      </c>
      <c r="F12241" t="str">
        <f>T("309055810")</f>
        <v>309055810</v>
      </c>
      <c r="G12241" t="str">
        <f>T("537 BRAINARD AVE")</f>
        <v>537 BRAINARD AVE</v>
      </c>
      <c r="H12241" t="str">
        <f>T("BLDG 28423")</f>
        <v>BLDG 28423</v>
      </c>
      <c r="I12241" t="str">
        <f>T("FORT GORDON")</f>
        <v>FORT GORDON</v>
      </c>
      <c r="J12241" t="str">
        <f>T("GA")</f>
        <v>GA</v>
      </c>
      <c r="K12241" t="str">
        <f>T("000000000000000000")</f>
        <v>000000000000000000</v>
      </c>
      <c r="L12241" t="str">
        <f>T("7622069619")</f>
        <v>7622069619</v>
      </c>
    </row>
    <row r="12242" spans="1:12" x14ac:dyDescent="0.35">
      <c r="A12242" t="str">
        <f>T("NIOC GEORGIA")</f>
        <v>NIOC GEORGIA</v>
      </c>
      <c r="B12242" t="str">
        <f>T("537 BRAINARD AVE")</f>
        <v>537 BRAINARD AVE</v>
      </c>
      <c r="C12242" t="str">
        <f>T("BLDG 28423")</f>
        <v>BLDG 28423</v>
      </c>
      <c r="D12242" t="str">
        <f>T("FORT GORDON")</f>
        <v>FORT GORDON</v>
      </c>
      <c r="E12242" t="str">
        <f>T("GA")</f>
        <v>GA</v>
      </c>
      <c r="F12242" t="str">
        <f>T("309055810")</f>
        <v>309055810</v>
      </c>
      <c r="G12242" t="str">
        <f>T("537 BRAINARD AVE")</f>
        <v>537 BRAINARD AVE</v>
      </c>
      <c r="H12242" t="str">
        <f>T("BLDG 28423")</f>
        <v>BLDG 28423</v>
      </c>
      <c r="I12242" t="str">
        <f>T("FORT GORDON")</f>
        <v>FORT GORDON</v>
      </c>
      <c r="J12242" t="str">
        <f>T("GA")</f>
        <v>GA</v>
      </c>
      <c r="K12242" t="str">
        <f>T("000000000000000000")</f>
        <v>000000000000000000</v>
      </c>
      <c r="L12242" t="str">
        <f>T("7622069620")</f>
        <v>7622069620</v>
      </c>
    </row>
    <row r="12243" spans="1:12" x14ac:dyDescent="0.35">
      <c r="A12243" t="str">
        <f>T("NIOC HI")</f>
        <v>NIOC HI</v>
      </c>
      <c r="B12243" t="str">
        <f>T("500 CENTER STREET, BLDG 336")</f>
        <v>500 CENTER STREET, BLDG 336</v>
      </c>
      <c r="C12243" t="str">
        <f>T("")</f>
        <v/>
      </c>
      <c r="D12243" t="str">
        <f>T("WAHIAWA")</f>
        <v>WAHIAWA</v>
      </c>
      <c r="E12243" t="str">
        <f>T("HI")</f>
        <v>HI</v>
      </c>
      <c r="F12243" t="str">
        <f>T("967863007")</f>
        <v>967863007</v>
      </c>
      <c r="G12243" t="str">
        <f>T("500 CENTER STREET")</f>
        <v>500 CENTER STREET</v>
      </c>
      <c r="H12243" t="str">
        <f>T("BLDG 336")</f>
        <v>BLDG 336</v>
      </c>
      <c r="I12243" t="str">
        <f>T("WAHIAWA")</f>
        <v>WAHIAWA</v>
      </c>
      <c r="J12243" t="str">
        <f>T("HI")</f>
        <v>HI</v>
      </c>
      <c r="K12243" t="str">
        <f>T("000000000000000000")</f>
        <v>000000000000000000</v>
      </c>
      <c r="L12243" t="str">
        <f>T("8086531157")</f>
        <v>8086531157</v>
      </c>
    </row>
    <row r="12244" spans="1:12" x14ac:dyDescent="0.35">
      <c r="A12244" t="str">
        <f>T("NIOC HI")</f>
        <v>NIOC HI</v>
      </c>
      <c r="B12244" t="str">
        <f>T("500 CENTER STREET, BLDG 336")</f>
        <v>500 CENTER STREET, BLDG 336</v>
      </c>
      <c r="C12244" t="str">
        <f>T("")</f>
        <v/>
      </c>
      <c r="D12244" t="str">
        <f>T("WAHIAWA")</f>
        <v>WAHIAWA</v>
      </c>
      <c r="E12244" t="str">
        <f>T("HI")</f>
        <v>HI</v>
      </c>
      <c r="F12244" t="str">
        <f>T("967863007")</f>
        <v>967863007</v>
      </c>
      <c r="G12244" t="str">
        <f>T("500 CENTER STREET")</f>
        <v>500 CENTER STREET</v>
      </c>
      <c r="H12244" t="str">
        <f>T("BLDG 336")</f>
        <v>BLDG 336</v>
      </c>
      <c r="I12244" t="str">
        <f>T("WAHIAWA")</f>
        <v>WAHIAWA</v>
      </c>
      <c r="J12244" t="str">
        <f>T("HI")</f>
        <v>HI</v>
      </c>
      <c r="K12244" t="str">
        <f>T("8086534020")</f>
        <v>8086534020</v>
      </c>
      <c r="L12244" t="str">
        <f>T("8086531127")</f>
        <v>8086531127</v>
      </c>
    </row>
    <row r="12245" spans="1:12" x14ac:dyDescent="0.35">
      <c r="A12245" t="str">
        <f>T("NIOC HI")</f>
        <v>NIOC HI</v>
      </c>
      <c r="B12245" t="str">
        <f>T("500 CENTER STREET, BLDG 336")</f>
        <v>500 CENTER STREET, BLDG 336</v>
      </c>
      <c r="C12245" t="str">
        <f>T("")</f>
        <v/>
      </c>
      <c r="D12245" t="str">
        <f>T("WAHIAWA")</f>
        <v>WAHIAWA</v>
      </c>
      <c r="E12245" t="str">
        <f>T("HI")</f>
        <v>HI</v>
      </c>
      <c r="F12245" t="str">
        <f>T("967863007")</f>
        <v>967863007</v>
      </c>
      <c r="G12245" t="str">
        <f>T("500 CENTER STREET, BLDG 336")</f>
        <v>500 CENTER STREET, BLDG 336</v>
      </c>
      <c r="H12245" t="str">
        <f>T("")</f>
        <v/>
      </c>
      <c r="I12245" t="str">
        <f>T("WAHIAWA")</f>
        <v>WAHIAWA</v>
      </c>
      <c r="J12245" t="str">
        <f>T("HI")</f>
        <v>HI</v>
      </c>
      <c r="K12245" t="str">
        <f>T("000000000000000000")</f>
        <v>000000000000000000</v>
      </c>
      <c r="L12245" t="str">
        <f>T("8086531127")</f>
        <v>8086531127</v>
      </c>
    </row>
    <row r="12246" spans="1:12" x14ac:dyDescent="0.35">
      <c r="A12246" t="str">
        <f>T("NIOC PENSACOLA")</f>
        <v>NIOC PENSACOLA</v>
      </c>
      <c r="B12246" t="str">
        <f>T("475 JONE ST")</f>
        <v>475 JONE ST</v>
      </c>
      <c r="C12246" t="str">
        <f>T("BLDG 3783 CORRY STATION")</f>
        <v>BLDG 3783 CORRY STATION</v>
      </c>
      <c r="D12246" t="str">
        <f>T("PENSACOLA")</f>
        <v>PENSACOLA</v>
      </c>
      <c r="E12246" t="str">
        <f>T("FL")</f>
        <v>FL</v>
      </c>
      <c r="F12246" t="str">
        <f>T("325115201")</f>
        <v>325115201</v>
      </c>
      <c r="G12246" t="str">
        <f>T("475 JONE ST")</f>
        <v>475 JONE ST</v>
      </c>
      <c r="H12246" t="str">
        <f>T("BLDG 3783 CORRY STATION")</f>
        <v>BLDG 3783 CORRY STATION</v>
      </c>
      <c r="I12246" t="str">
        <f>T("PENSACOLA")</f>
        <v>PENSACOLA</v>
      </c>
      <c r="J12246" t="str">
        <f>T("FL")</f>
        <v>FL</v>
      </c>
      <c r="K12246" t="str">
        <f>T("8504520300")</f>
        <v>8504520300</v>
      </c>
      <c r="L12246" t="str">
        <f>T("8504520330")</f>
        <v>8504520330</v>
      </c>
    </row>
    <row r="12247" spans="1:12" x14ac:dyDescent="0.35">
      <c r="A12247" t="str">
        <f>T("NIOC PENSACOLA")</f>
        <v>NIOC PENSACOLA</v>
      </c>
      <c r="B12247" t="str">
        <f>T("475 JONE ST")</f>
        <v>475 JONE ST</v>
      </c>
      <c r="C12247" t="str">
        <f>T("BLDG 3783 CORRY STATION")</f>
        <v>BLDG 3783 CORRY STATION</v>
      </c>
      <c r="D12247" t="str">
        <f>T("PENSACOLA")</f>
        <v>PENSACOLA</v>
      </c>
      <c r="E12247" t="str">
        <f>T("FL")</f>
        <v>FL</v>
      </c>
      <c r="F12247" t="str">
        <f>T("325115201")</f>
        <v>325115201</v>
      </c>
      <c r="G12247" t="str">
        <f>T("475 JONES ST BLDG 3783")</f>
        <v>475 JONES ST BLDG 3783</v>
      </c>
      <c r="H12247" t="str">
        <f>T("CORRY STATION")</f>
        <v>CORRY STATION</v>
      </c>
      <c r="I12247" t="str">
        <f>T("PENSACOLA")</f>
        <v>PENSACOLA</v>
      </c>
      <c r="J12247" t="str">
        <f>T("FL")</f>
        <v>FL</v>
      </c>
      <c r="K12247" t="str">
        <f>T("8504520300")</f>
        <v>8504520300</v>
      </c>
      <c r="L12247" t="str">
        <f>T("8504520276")</f>
        <v>8504520276</v>
      </c>
    </row>
    <row r="12248" spans="1:12" x14ac:dyDescent="0.35">
      <c r="A12248" t="str">
        <f>T("NIOC PENSACOLA")</f>
        <v>NIOC PENSACOLA</v>
      </c>
      <c r="B12248" t="str">
        <f>T("475 JONE ST")</f>
        <v>475 JONE ST</v>
      </c>
      <c r="C12248" t="str">
        <f>T("BLDG 3783 CORRY STATION")</f>
        <v>BLDG 3783 CORRY STATION</v>
      </c>
      <c r="D12248" t="str">
        <f>T("PENSACOLA")</f>
        <v>PENSACOLA</v>
      </c>
      <c r="E12248" t="str">
        <f>T("FL")</f>
        <v>FL</v>
      </c>
      <c r="F12248" t="str">
        <f>T("325115201")</f>
        <v>325115201</v>
      </c>
      <c r="G12248" t="str">
        <f>T("475 JONES ST BLDG 3783")</f>
        <v>475 JONES ST BLDG 3783</v>
      </c>
      <c r="H12248" t="str">
        <f>T("CORRY STATION")</f>
        <v>CORRY STATION</v>
      </c>
      <c r="I12248" t="str">
        <f>T("PENSACOLA")</f>
        <v>PENSACOLA</v>
      </c>
      <c r="J12248" t="str">
        <f>T("FL")</f>
        <v>FL</v>
      </c>
      <c r="K12248" t="str">
        <f>T("85204520264")</f>
        <v>85204520264</v>
      </c>
      <c r="L12248" t="str">
        <f>T("8504520264")</f>
        <v>8504520264</v>
      </c>
    </row>
    <row r="12249" spans="1:12" x14ac:dyDescent="0.35">
      <c r="A12249" t="str">
        <f t="shared" ref="A12249:A12255" si="4543">T("NCWDG")</f>
        <v>NCWDG</v>
      </c>
      <c r="B12249" t="str">
        <f t="shared" ref="B12249:B12255" si="4544">T("4251 SUITLAND ROAD")</f>
        <v>4251 SUITLAND ROAD</v>
      </c>
      <c r="C12249" t="str">
        <f t="shared" ref="C12249:C12255" si="4545">T("")</f>
        <v/>
      </c>
      <c r="D12249" t="str">
        <f t="shared" ref="D12249:D12255" si="4546">T("WASHINGTON")</f>
        <v>WASHINGTON</v>
      </c>
      <c r="E12249" t="str">
        <f t="shared" ref="E12249:E12255" si="4547">T("DC")</f>
        <v>DC</v>
      </c>
      <c r="F12249" t="str">
        <f t="shared" ref="F12249:F12255" si="4548">T("203950001")</f>
        <v>203950001</v>
      </c>
      <c r="G12249" t="str">
        <f t="shared" ref="G12249:G12255" si="4549">T("4251 SUITLAND ROAD")</f>
        <v>4251 SUITLAND ROAD</v>
      </c>
      <c r="H12249" t="str">
        <f t="shared" ref="H12249:H12256" si="4550">T("")</f>
        <v/>
      </c>
      <c r="I12249" t="str">
        <f t="shared" ref="I12249:I12255" si="4551">T("WASHINGTON")</f>
        <v>WASHINGTON</v>
      </c>
      <c r="J12249" t="str">
        <f t="shared" ref="J12249:J12255" si="4552">T("DC")</f>
        <v>DC</v>
      </c>
      <c r="K12249" t="str">
        <f>T("3016692118")</f>
        <v>3016692118</v>
      </c>
      <c r="L12249" t="str">
        <f>T("2407378470")</f>
        <v>2407378470</v>
      </c>
    </row>
    <row r="12250" spans="1:12" x14ac:dyDescent="0.35">
      <c r="A12250" t="str">
        <f t="shared" si="4543"/>
        <v>NCWDG</v>
      </c>
      <c r="B12250" t="str">
        <f t="shared" si="4544"/>
        <v>4251 SUITLAND ROAD</v>
      </c>
      <c r="C12250" t="str">
        <f t="shared" si="4545"/>
        <v/>
      </c>
      <c r="D12250" t="str">
        <f t="shared" si="4546"/>
        <v>WASHINGTON</v>
      </c>
      <c r="E12250" t="str">
        <f t="shared" si="4547"/>
        <v>DC</v>
      </c>
      <c r="F12250" t="str">
        <f t="shared" si="4548"/>
        <v>203950001</v>
      </c>
      <c r="G12250" t="str">
        <f t="shared" si="4549"/>
        <v>4251 SUITLAND ROAD</v>
      </c>
      <c r="H12250" t="str">
        <f t="shared" si="4550"/>
        <v/>
      </c>
      <c r="I12250" t="str">
        <f t="shared" si="4551"/>
        <v>WASHINGTON</v>
      </c>
      <c r="J12250" t="str">
        <f t="shared" si="4552"/>
        <v>DC</v>
      </c>
      <c r="K12250" t="str">
        <f>T("3016692119")</f>
        <v>3016692119</v>
      </c>
      <c r="L12250" t="str">
        <f>T("3016692149")</f>
        <v>3016692149</v>
      </c>
    </row>
    <row r="12251" spans="1:12" x14ac:dyDescent="0.35">
      <c r="A12251" t="str">
        <f t="shared" si="4543"/>
        <v>NCWDG</v>
      </c>
      <c r="B12251" t="str">
        <f t="shared" si="4544"/>
        <v>4251 SUITLAND ROAD</v>
      </c>
      <c r="C12251" t="str">
        <f t="shared" si="4545"/>
        <v/>
      </c>
      <c r="D12251" t="str">
        <f t="shared" si="4546"/>
        <v>WASHINGTON</v>
      </c>
      <c r="E12251" t="str">
        <f t="shared" si="4547"/>
        <v>DC</v>
      </c>
      <c r="F12251" t="str">
        <f t="shared" si="4548"/>
        <v>203950001</v>
      </c>
      <c r="G12251" t="str">
        <f t="shared" si="4549"/>
        <v>4251 SUITLAND ROAD</v>
      </c>
      <c r="H12251" t="str">
        <f t="shared" si="4550"/>
        <v/>
      </c>
      <c r="I12251" t="str">
        <f t="shared" si="4551"/>
        <v>WASHINGTON</v>
      </c>
      <c r="J12251" t="str">
        <f t="shared" si="4552"/>
        <v>DC</v>
      </c>
      <c r="K12251" t="str">
        <f>T("3016692119")</f>
        <v>3016692119</v>
      </c>
      <c r="L12251" t="str">
        <f>T("3016692256")</f>
        <v>3016692256</v>
      </c>
    </row>
    <row r="12252" spans="1:12" x14ac:dyDescent="0.35">
      <c r="A12252" t="str">
        <f t="shared" si="4543"/>
        <v>NCWDG</v>
      </c>
      <c r="B12252" t="str">
        <f t="shared" si="4544"/>
        <v>4251 SUITLAND ROAD</v>
      </c>
      <c r="C12252" t="str">
        <f t="shared" si="4545"/>
        <v/>
      </c>
      <c r="D12252" t="str">
        <f t="shared" si="4546"/>
        <v>WASHINGTON</v>
      </c>
      <c r="E12252" t="str">
        <f t="shared" si="4547"/>
        <v>DC</v>
      </c>
      <c r="F12252" t="str">
        <f t="shared" si="4548"/>
        <v>203950001</v>
      </c>
      <c r="G12252" t="str">
        <f t="shared" si="4549"/>
        <v>4251 SUITLAND ROAD</v>
      </c>
      <c r="H12252" t="str">
        <f t="shared" si="4550"/>
        <v/>
      </c>
      <c r="I12252" t="str">
        <f t="shared" si="4551"/>
        <v>WASHINGTON</v>
      </c>
      <c r="J12252" t="str">
        <f t="shared" si="4552"/>
        <v>DC</v>
      </c>
      <c r="K12252" t="str">
        <f>T("3016692119")</f>
        <v>3016692119</v>
      </c>
      <c r="L12252" t="str">
        <f>T("3016693249")</f>
        <v>3016693249</v>
      </c>
    </row>
    <row r="12253" spans="1:12" x14ac:dyDescent="0.35">
      <c r="A12253" t="str">
        <f t="shared" si="4543"/>
        <v>NCWDG</v>
      </c>
      <c r="B12253" t="str">
        <f t="shared" si="4544"/>
        <v>4251 SUITLAND ROAD</v>
      </c>
      <c r="C12253" t="str">
        <f t="shared" si="4545"/>
        <v/>
      </c>
      <c r="D12253" t="str">
        <f t="shared" si="4546"/>
        <v>WASHINGTON</v>
      </c>
      <c r="E12253" t="str">
        <f t="shared" si="4547"/>
        <v>DC</v>
      </c>
      <c r="F12253" t="str">
        <f t="shared" si="4548"/>
        <v>203950001</v>
      </c>
      <c r="G12253" t="str">
        <f t="shared" si="4549"/>
        <v>4251 SUITLAND ROAD</v>
      </c>
      <c r="H12253" t="str">
        <f t="shared" si="4550"/>
        <v/>
      </c>
      <c r="I12253" t="str">
        <f t="shared" si="4551"/>
        <v>WASHINGTON</v>
      </c>
      <c r="J12253" t="str">
        <f t="shared" si="4552"/>
        <v>DC</v>
      </c>
      <c r="K12253" t="str">
        <f>T("3016692119")</f>
        <v>3016692119</v>
      </c>
      <c r="L12253" t="str">
        <f>T("3016693955")</f>
        <v>3016693955</v>
      </c>
    </row>
    <row r="12254" spans="1:12" x14ac:dyDescent="0.35">
      <c r="A12254" t="str">
        <f t="shared" si="4543"/>
        <v>NCWDG</v>
      </c>
      <c r="B12254" t="str">
        <f t="shared" si="4544"/>
        <v>4251 SUITLAND ROAD</v>
      </c>
      <c r="C12254" t="str">
        <f t="shared" si="4545"/>
        <v/>
      </c>
      <c r="D12254" t="str">
        <f t="shared" si="4546"/>
        <v>WASHINGTON</v>
      </c>
      <c r="E12254" t="str">
        <f t="shared" si="4547"/>
        <v>DC</v>
      </c>
      <c r="F12254" t="str">
        <f t="shared" si="4548"/>
        <v>203950001</v>
      </c>
      <c r="G12254" t="str">
        <f t="shared" si="4549"/>
        <v>4251 SUITLAND ROAD</v>
      </c>
      <c r="H12254" t="str">
        <f t="shared" si="4550"/>
        <v/>
      </c>
      <c r="I12254" t="str">
        <f t="shared" si="4551"/>
        <v>WASHINGTON</v>
      </c>
      <c r="J12254" t="str">
        <f t="shared" si="4552"/>
        <v>DC</v>
      </c>
      <c r="K12254" t="str">
        <f>T("3016692119")</f>
        <v>3016692119</v>
      </c>
      <c r="L12254" t="str">
        <f>T("3016698552")</f>
        <v>3016698552</v>
      </c>
    </row>
    <row r="12255" spans="1:12" x14ac:dyDescent="0.35">
      <c r="A12255" t="str">
        <f t="shared" si="4543"/>
        <v>NCWDG</v>
      </c>
      <c r="B12255" t="str">
        <f t="shared" si="4544"/>
        <v>4251 SUITLAND ROAD</v>
      </c>
      <c r="C12255" t="str">
        <f t="shared" si="4545"/>
        <v/>
      </c>
      <c r="D12255" t="str">
        <f t="shared" si="4546"/>
        <v>WASHINGTON</v>
      </c>
      <c r="E12255" t="str">
        <f t="shared" si="4547"/>
        <v>DC</v>
      </c>
      <c r="F12255" t="str">
        <f t="shared" si="4548"/>
        <v>203950001</v>
      </c>
      <c r="G12255" t="str">
        <f t="shared" si="4549"/>
        <v>4251 SUITLAND ROAD</v>
      </c>
      <c r="H12255" t="str">
        <f t="shared" si="4550"/>
        <v/>
      </c>
      <c r="I12255" t="str">
        <f t="shared" si="4551"/>
        <v>WASHINGTON</v>
      </c>
      <c r="J12255" t="str">
        <f t="shared" si="4552"/>
        <v>DC</v>
      </c>
      <c r="K12255" t="str">
        <f>T("3016692170")</f>
        <v>3016692170</v>
      </c>
      <c r="L12255" t="str">
        <f>T("2403738768")</f>
        <v>2403738768</v>
      </c>
    </row>
    <row r="12256" spans="1:12" x14ac:dyDescent="0.35">
      <c r="A12256" t="str">
        <f>T("NIOC TEXAS")</f>
        <v>NIOC TEXAS</v>
      </c>
      <c r="B12256" t="str">
        <f>T("7700 POTRANCO ROAD")</f>
        <v>7700 POTRANCO ROAD</v>
      </c>
      <c r="C12256" t="str">
        <f>T("ATTN N8")</f>
        <v>ATTN N8</v>
      </c>
      <c r="D12256" t="str">
        <f>T("SAN ANTONIO")</f>
        <v>SAN ANTONIO</v>
      </c>
      <c r="E12256" t="str">
        <f>T("TX")</f>
        <v>TX</v>
      </c>
      <c r="F12256" t="str">
        <f>T("782512101")</f>
        <v>782512101</v>
      </c>
      <c r="G12256" t="str">
        <f>T("7700 POTRANCO RD")</f>
        <v>7700 POTRANCO RD</v>
      </c>
      <c r="H12256" t="str">
        <f t="shared" si="4550"/>
        <v/>
      </c>
      <c r="I12256" t="str">
        <f>T("SAN ANTONIO")</f>
        <v>SAN ANTONIO</v>
      </c>
      <c r="J12256" t="str">
        <f>T("TX")</f>
        <v>TX</v>
      </c>
      <c r="K12256" t="str">
        <f>T("2103467076")</f>
        <v>2103467076</v>
      </c>
      <c r="L12256" t="str">
        <f>T("2103463837")</f>
        <v>2103463837</v>
      </c>
    </row>
    <row r="12257" spans="1:12" x14ac:dyDescent="0.35">
      <c r="A12257" t="str">
        <f>T("NIOC TEXAS")</f>
        <v>NIOC TEXAS</v>
      </c>
      <c r="B12257" t="str">
        <f>T("7700 POTRANCO ROAD")</f>
        <v>7700 POTRANCO ROAD</v>
      </c>
      <c r="C12257" t="str">
        <f>T("ATTN N8")</f>
        <v>ATTN N8</v>
      </c>
      <c r="D12257" t="str">
        <f>T("SAN ANTONIO")</f>
        <v>SAN ANTONIO</v>
      </c>
      <c r="E12257" t="str">
        <f>T("TX")</f>
        <v>TX</v>
      </c>
      <c r="F12257" t="str">
        <f>T("782512101")</f>
        <v>782512101</v>
      </c>
      <c r="G12257" t="str">
        <f>T("7700 POTRANCO ROAD")</f>
        <v>7700 POTRANCO ROAD</v>
      </c>
      <c r="H12257" t="str">
        <f>T("ATTN N8")</f>
        <v>ATTN N8</v>
      </c>
      <c r="I12257" t="str">
        <f>T("SAN ANTONIO")</f>
        <v>SAN ANTONIO</v>
      </c>
      <c r="J12257" t="str">
        <f>T("TX")</f>
        <v>TX</v>
      </c>
      <c r="K12257" t="str">
        <f>T("210-346-3076")</f>
        <v>210-346-3076</v>
      </c>
      <c r="L12257" t="str">
        <f>T("2103463835")</f>
        <v>2103463835</v>
      </c>
    </row>
    <row r="12258" spans="1:12" x14ac:dyDescent="0.35">
      <c r="A12258" t="str">
        <f>T("NIOC TEXAS")</f>
        <v>NIOC TEXAS</v>
      </c>
      <c r="B12258" t="str">
        <f>T("7700 POTRANCO ROAD")</f>
        <v>7700 POTRANCO ROAD</v>
      </c>
      <c r="C12258" t="str">
        <f>T("ATTN N8")</f>
        <v>ATTN N8</v>
      </c>
      <c r="D12258" t="str">
        <f>T("SAN ANTONIO")</f>
        <v>SAN ANTONIO</v>
      </c>
      <c r="E12258" t="str">
        <f>T("TX")</f>
        <v>TX</v>
      </c>
      <c r="F12258" t="str">
        <f>T("782512101")</f>
        <v>782512101</v>
      </c>
      <c r="G12258" t="str">
        <f>T("7700 POTRANCO ROAD")</f>
        <v>7700 POTRANCO ROAD</v>
      </c>
      <c r="H12258" t="str">
        <f>T("BLDG 8000 ROOM 153")</f>
        <v>BLDG 8000 ROOM 153</v>
      </c>
      <c r="I12258" t="str">
        <f>T("SAN ANTONIO")</f>
        <v>SAN ANTONIO</v>
      </c>
      <c r="J12258" t="str">
        <f>T("TX")</f>
        <v>TX</v>
      </c>
      <c r="K12258" t="str">
        <f>T("2103463076")</f>
        <v>2103463076</v>
      </c>
      <c r="L12258" t="str">
        <f>T("2103463828")</f>
        <v>2103463828</v>
      </c>
    </row>
    <row r="12259" spans="1:12" x14ac:dyDescent="0.35">
      <c r="A12259" t="str">
        <f>T("NIOC COLORADO")</f>
        <v>NIOC COLORADO</v>
      </c>
      <c r="B12259" t="str">
        <f>T("17950 E STEAMBOAT AVE")</f>
        <v>17950 E STEAMBOAT AVE</v>
      </c>
      <c r="C12259" t="str">
        <f>T("BLDG 26 STOP 51")</f>
        <v>BLDG 26 STOP 51</v>
      </c>
      <c r="D12259" t="str">
        <f>T("AURORA")</f>
        <v>AURORA</v>
      </c>
      <c r="E12259" t="str">
        <f>T("CO")</f>
        <v>CO</v>
      </c>
      <c r="F12259" t="str">
        <f>T("800119420")</f>
        <v>800119420</v>
      </c>
      <c r="G12259" t="str">
        <f>T("17950 E STEAMBOAT AVE")</f>
        <v>17950 E STEAMBOAT AVE</v>
      </c>
      <c r="H12259" t="str">
        <f>T("BLDG 26 STOP 51")</f>
        <v>BLDG 26 STOP 51</v>
      </c>
      <c r="I12259" t="str">
        <f>T("AURORA")</f>
        <v>AURORA</v>
      </c>
      <c r="J12259" t="str">
        <f>T("CO")</f>
        <v>CO</v>
      </c>
      <c r="K12259" t="str">
        <f>T("000000000000000000")</f>
        <v>000000000000000000</v>
      </c>
      <c r="L12259" t="str">
        <f>T("7208476672")</f>
        <v>7208476672</v>
      </c>
    </row>
    <row r="12260" spans="1:12" x14ac:dyDescent="0.35">
      <c r="A12260" t="str">
        <f>T("NIOC COLORADO")</f>
        <v>NIOC COLORADO</v>
      </c>
      <c r="B12260" t="str">
        <f>T("17950 E STEAMBOAT AVE")</f>
        <v>17950 E STEAMBOAT AVE</v>
      </c>
      <c r="C12260" t="str">
        <f>T("BLDG 26 STOP 51")</f>
        <v>BLDG 26 STOP 51</v>
      </c>
      <c r="D12260" t="str">
        <f>T("AURORA")</f>
        <v>AURORA</v>
      </c>
      <c r="E12260" t="str">
        <f>T("CO")</f>
        <v>CO</v>
      </c>
      <c r="F12260" t="str">
        <f>T("800119420")</f>
        <v>800119420</v>
      </c>
      <c r="G12260" t="str">
        <f>T("17950 E STEAMBOAT AVE")</f>
        <v>17950 E STEAMBOAT AVE</v>
      </c>
      <c r="H12260" t="str">
        <f>T("BLDG 26 STOP 51")</f>
        <v>BLDG 26 STOP 51</v>
      </c>
      <c r="I12260" t="str">
        <f>T("AURORA")</f>
        <v>AURORA</v>
      </c>
      <c r="J12260" t="str">
        <f>T("CO")</f>
        <v>CO</v>
      </c>
      <c r="K12260" t="str">
        <f>T("7208476673")</f>
        <v>7208476673</v>
      </c>
      <c r="L12260" t="str">
        <f>T("7208476157")</f>
        <v>7208476157</v>
      </c>
    </row>
    <row r="12261" spans="1:12" x14ac:dyDescent="0.35">
      <c r="A12261" t="str">
        <f>T("NIOC COLORADO")</f>
        <v>NIOC COLORADO</v>
      </c>
      <c r="B12261" t="str">
        <f>T("17950 E STEAMBOAT AVE")</f>
        <v>17950 E STEAMBOAT AVE</v>
      </c>
      <c r="C12261" t="str">
        <f>T("BLDG 26 STOP 51")</f>
        <v>BLDG 26 STOP 51</v>
      </c>
      <c r="D12261" t="str">
        <f>T("AURORA")</f>
        <v>AURORA</v>
      </c>
      <c r="E12261" t="str">
        <f>T("CO")</f>
        <v>CO</v>
      </c>
      <c r="F12261" t="str">
        <f>T("800119420")</f>
        <v>800119420</v>
      </c>
      <c r="G12261" t="str">
        <f>T("17950 E STEAMBOAT AVE")</f>
        <v>17950 E STEAMBOAT AVE</v>
      </c>
      <c r="H12261" t="str">
        <f>T("STOP 51")</f>
        <v>STOP 51</v>
      </c>
      <c r="I12261" t="str">
        <f>T("AURORA")</f>
        <v>AURORA</v>
      </c>
      <c r="J12261" t="str">
        <f>T("CO")</f>
        <v>CO</v>
      </c>
      <c r="K12261" t="str">
        <f>T("7208476673")</f>
        <v>7208476673</v>
      </c>
      <c r="L12261" t="str">
        <f>T("7208476157")</f>
        <v>7208476157</v>
      </c>
    </row>
    <row r="12262" spans="1:12" x14ac:dyDescent="0.35">
      <c r="A12262" t="str">
        <f>T("NCTS BAHRAIN")</f>
        <v>NCTS BAHRAIN</v>
      </c>
      <c r="B12262" t="str">
        <f>T("NCTS BAHRAIN N4 SUPPLY")</f>
        <v>NCTS BAHRAIN N4 SUPPLY</v>
      </c>
      <c r="C12262" t="str">
        <f>T("PSC 851 BOX 680")</f>
        <v>PSC 851 BOX 680</v>
      </c>
      <c r="D12262" t="str">
        <f>T("FPO")</f>
        <v>FPO</v>
      </c>
      <c r="E12262" t="str">
        <f>T("AE")</f>
        <v>AE</v>
      </c>
      <c r="F12262" t="str">
        <f>T("098340007")</f>
        <v>098340007</v>
      </c>
      <c r="G12262" t="str">
        <f>T("NCTS BAHRAIN N4")</f>
        <v>NCTS BAHRAIN N4</v>
      </c>
      <c r="H12262" t="str">
        <f>T("PSC 851 BOX 680")</f>
        <v>PSC 851 BOX 680</v>
      </c>
      <c r="I12262" t="str">
        <f>T("FPO")</f>
        <v>FPO</v>
      </c>
      <c r="J12262" t="str">
        <f>T("AE")</f>
        <v>AE</v>
      </c>
      <c r="K12262" t="str">
        <f>T("97317853410")</f>
        <v>97317853410</v>
      </c>
      <c r="L12262" t="str">
        <f>T("1111111111")</f>
        <v>1111111111</v>
      </c>
    </row>
    <row r="12263" spans="1:12" x14ac:dyDescent="0.35">
      <c r="A12263" t="str">
        <f>T("NCTS BAHRAIN")</f>
        <v>NCTS BAHRAIN</v>
      </c>
      <c r="B12263" t="str">
        <f>T("NCTS BAHRAIN N4 SUPPLY")</f>
        <v>NCTS BAHRAIN N4 SUPPLY</v>
      </c>
      <c r="C12263" t="str">
        <f>T("PSC 851 BOX 680")</f>
        <v>PSC 851 BOX 680</v>
      </c>
      <c r="D12263" t="str">
        <f>T("FPO")</f>
        <v>FPO</v>
      </c>
      <c r="E12263" t="str">
        <f>T("AE")</f>
        <v>AE</v>
      </c>
      <c r="F12263" t="str">
        <f>T("098340007")</f>
        <v>098340007</v>
      </c>
      <c r="G12263" t="str">
        <f>T("NCTS BAHRAIN N4")</f>
        <v>NCTS BAHRAIN N4</v>
      </c>
      <c r="H12263" t="str">
        <f>T("PSC 851 BOX 680")</f>
        <v>PSC 851 BOX 680</v>
      </c>
      <c r="I12263" t="str">
        <f>T("FPO")</f>
        <v>FPO</v>
      </c>
      <c r="J12263" t="str">
        <f>T("AE")</f>
        <v>AE</v>
      </c>
      <c r="K12263" t="str">
        <f>T("97317859541")</f>
        <v>97317859541</v>
      </c>
      <c r="L12263" t="str">
        <f>T("1111111111")</f>
        <v>1111111111</v>
      </c>
    </row>
    <row r="12264" spans="1:12" x14ac:dyDescent="0.35">
      <c r="A12264" t="str">
        <f>T("NCTS BAHRAIN")</f>
        <v>NCTS BAHRAIN</v>
      </c>
      <c r="B12264" t="str">
        <f>T("NCTS BAHRAIN N4 SUPPLY")</f>
        <v>NCTS BAHRAIN N4 SUPPLY</v>
      </c>
      <c r="C12264" t="str">
        <f>T("PSC 851 BOX 680")</f>
        <v>PSC 851 BOX 680</v>
      </c>
      <c r="D12264" t="str">
        <f>T("FPO")</f>
        <v>FPO</v>
      </c>
      <c r="E12264" t="str">
        <f>T("AE")</f>
        <v>AE</v>
      </c>
      <c r="F12264" t="str">
        <f>T("098340007")</f>
        <v>098340007</v>
      </c>
      <c r="G12264" t="str">
        <f>T("NCTS BAHRAIN N4 SUPPLY")</f>
        <v>NCTS BAHRAIN N4 SUPPLY</v>
      </c>
      <c r="H12264" t="str">
        <f>T("")</f>
        <v/>
      </c>
      <c r="I12264" t="str">
        <f>T("FPO")</f>
        <v>FPO</v>
      </c>
      <c r="J12264" t="str">
        <f>T("AE")</f>
        <v>AE</v>
      </c>
      <c r="K12264" t="str">
        <f>T("01197317853720")</f>
        <v>01197317853720</v>
      </c>
      <c r="L12264" t="str">
        <f>T("1111111111")</f>
        <v>1111111111</v>
      </c>
    </row>
    <row r="12265" spans="1:12" x14ac:dyDescent="0.35">
      <c r="A12265" t="str">
        <f>T("NCTS BAHRAIN")</f>
        <v>NCTS BAHRAIN</v>
      </c>
      <c r="B12265" t="str">
        <f>T("NCTS BAHRAIN N4 SUPPLY")</f>
        <v>NCTS BAHRAIN N4 SUPPLY</v>
      </c>
      <c r="C12265" t="str">
        <f>T("PSC 851 BOX 680")</f>
        <v>PSC 851 BOX 680</v>
      </c>
      <c r="D12265" t="str">
        <f>T("FPO")</f>
        <v>FPO</v>
      </c>
      <c r="E12265" t="str">
        <f>T("AE")</f>
        <v>AE</v>
      </c>
      <c r="F12265" t="str">
        <f>T("098340007")</f>
        <v>098340007</v>
      </c>
      <c r="G12265" t="str">
        <f>T("NCTS BAHRAIN N4 SUPPLY")</f>
        <v>NCTS BAHRAIN N4 SUPPLY</v>
      </c>
      <c r="H12265" t="str">
        <f>T("PSC 851 BOX 680")</f>
        <v>PSC 851 BOX 680</v>
      </c>
      <c r="I12265" t="str">
        <f>T("FPO")</f>
        <v>FPO</v>
      </c>
      <c r="J12265" t="str">
        <f>T("AE")</f>
        <v>AE</v>
      </c>
      <c r="K12265" t="str">
        <f>T("000000000000000000")</f>
        <v>000000000000000000</v>
      </c>
      <c r="L12265" t="str">
        <f>T("1111111111")</f>
        <v>1111111111</v>
      </c>
    </row>
    <row r="12266" spans="1:12" x14ac:dyDescent="0.35">
      <c r="A12266" t="str">
        <f t="shared" ref="A12266:A12276" si="4553">T("NIOC NORFOLK")</f>
        <v>NIOC NORFOLK</v>
      </c>
      <c r="B12266" t="str">
        <f>T("1280 WEST INTRUDER STREET")</f>
        <v>1280 WEST INTRUDER STREET</v>
      </c>
      <c r="C12266" t="str">
        <f>T("BLDG 2700")</f>
        <v>BLDG 2700</v>
      </c>
      <c r="D12266" t="str">
        <f>T("IAK HARBOR")</f>
        <v>IAK HARBOR</v>
      </c>
      <c r="E12266" t="str">
        <f>T("WA")</f>
        <v>WA</v>
      </c>
      <c r="F12266" t="str">
        <f>T("982784906")</f>
        <v>982784906</v>
      </c>
      <c r="G12266" t="str">
        <f>T("1280 WEST INTRUDER STREET")</f>
        <v>1280 WEST INTRUDER STREET</v>
      </c>
      <c r="H12266" t="str">
        <f>T("BLDG 2700")</f>
        <v>BLDG 2700</v>
      </c>
      <c r="I12266" t="str">
        <f>T("IAK HARBOR")</f>
        <v>IAK HARBOR</v>
      </c>
      <c r="J12266" t="str">
        <f>T("WA")</f>
        <v>WA</v>
      </c>
      <c r="K12266" t="str">
        <f>T("360-257-4016")</f>
        <v>360-257-4016</v>
      </c>
      <c r="L12266" t="str">
        <f>T("3602575465")</f>
        <v>3602575465</v>
      </c>
    </row>
    <row r="12267" spans="1:12" x14ac:dyDescent="0.35">
      <c r="A12267" t="str">
        <f t="shared" si="4553"/>
        <v>NIOC NORFOLK</v>
      </c>
      <c r="B12267" t="str">
        <f>T("1280 WEST INTRUDER STREET")</f>
        <v>1280 WEST INTRUDER STREET</v>
      </c>
      <c r="C12267" t="str">
        <f>T("BLDG 2700")</f>
        <v>BLDG 2700</v>
      </c>
      <c r="D12267" t="str">
        <f>T("IAK HARBOR")</f>
        <v>IAK HARBOR</v>
      </c>
      <c r="E12267" t="str">
        <f>T("WA")</f>
        <v>WA</v>
      </c>
      <c r="F12267" t="str">
        <f>T("982784906")</f>
        <v>982784906</v>
      </c>
      <c r="G12267" t="str">
        <f>T("1280 WEST INTRUDER STREET")</f>
        <v>1280 WEST INTRUDER STREET</v>
      </c>
      <c r="H12267" t="str">
        <f>T("BLDG 2700")</f>
        <v>BLDG 2700</v>
      </c>
      <c r="I12267" t="str">
        <f>T("OAK HARBOR")</f>
        <v>OAK HARBOR</v>
      </c>
      <c r="J12267" t="str">
        <f>T("WA")</f>
        <v>WA</v>
      </c>
      <c r="K12267" t="str">
        <f>T("3602574016")</f>
        <v>3602574016</v>
      </c>
      <c r="L12267" t="str">
        <f>T("3602575465")</f>
        <v>3602575465</v>
      </c>
    </row>
    <row r="12268" spans="1:12" x14ac:dyDescent="0.35">
      <c r="A12268" t="str">
        <f t="shared" si="4553"/>
        <v>NIOC NORFOLK</v>
      </c>
      <c r="B12268" t="str">
        <f>T("2555 AMPHIBIOUS DR")</f>
        <v>2555 AMPHIBIOUS DR</v>
      </c>
      <c r="C12268" t="str">
        <f>T("BLDG 1126")</f>
        <v>BLDG 1126</v>
      </c>
      <c r="D12268" t="str">
        <f>T("VIRGINIA BCH")</f>
        <v>VIRGINIA BCH</v>
      </c>
      <c r="E12268" t="str">
        <f>T("VA")</f>
        <v>VA</v>
      </c>
      <c r="F12268" t="str">
        <f>T("234599201")</f>
        <v>234599201</v>
      </c>
      <c r="G12268" t="str">
        <f>T("2555 AMPHIBIOUS DR")</f>
        <v>2555 AMPHIBIOUS DR</v>
      </c>
      <c r="H12268" t="str">
        <f>T("BLDG 1126")</f>
        <v>BLDG 1126</v>
      </c>
      <c r="I12268" t="str">
        <f>T("VIRGINIA BCH")</f>
        <v>VIRGINIA BCH</v>
      </c>
      <c r="J12268" t="str">
        <f>T("VA")</f>
        <v>VA</v>
      </c>
      <c r="K12268" t="str">
        <f>T("757-417-7225")</f>
        <v>757-417-7225</v>
      </c>
      <c r="L12268" t="str">
        <f>T("7574176038")</f>
        <v>7574176038</v>
      </c>
    </row>
    <row r="12269" spans="1:12" x14ac:dyDescent="0.35">
      <c r="A12269" t="str">
        <f t="shared" si="4553"/>
        <v>NIOC NORFOLK</v>
      </c>
      <c r="B12269" t="str">
        <f>T("2555 AMPHIBIOUS DR")</f>
        <v>2555 AMPHIBIOUS DR</v>
      </c>
      <c r="C12269" t="str">
        <f>T("BLDG 1126")</f>
        <v>BLDG 1126</v>
      </c>
      <c r="D12269" t="str">
        <f>T("VIRGINIA BCH")</f>
        <v>VIRGINIA BCH</v>
      </c>
      <c r="E12269" t="str">
        <f>T("VA")</f>
        <v>VA</v>
      </c>
      <c r="F12269" t="str">
        <f>T("234599201")</f>
        <v>234599201</v>
      </c>
      <c r="G12269" t="str">
        <f>T("2555 AMPHIBIOUS DRIVE")</f>
        <v>2555 AMPHIBIOUS DRIVE</v>
      </c>
      <c r="H12269" t="str">
        <f>T("BLDG 1126")</f>
        <v>BLDG 1126</v>
      </c>
      <c r="I12269" t="str">
        <f>T("VIRGINIA BEACH")</f>
        <v>VIRGINIA BEACH</v>
      </c>
      <c r="J12269" t="str">
        <f>T("VA")</f>
        <v>VA</v>
      </c>
      <c r="K12269" t="str">
        <f>T("7574174084")</f>
        <v>7574174084</v>
      </c>
      <c r="L12269" t="str">
        <f>T("7574174047")</f>
        <v>7574174047</v>
      </c>
    </row>
    <row r="12270" spans="1:12" x14ac:dyDescent="0.35">
      <c r="A12270" t="str">
        <f t="shared" si="4553"/>
        <v>NIOC NORFOLK</v>
      </c>
      <c r="B12270" t="str">
        <f>T("2555 AMPHIBIOUS DR")</f>
        <v>2555 AMPHIBIOUS DR</v>
      </c>
      <c r="C12270" t="str">
        <f>T("BLDG 1126")</f>
        <v>BLDG 1126</v>
      </c>
      <c r="D12270" t="str">
        <f>T("VIRGINIA BCH")</f>
        <v>VIRGINIA BCH</v>
      </c>
      <c r="E12270" t="str">
        <f>T("VA")</f>
        <v>VA</v>
      </c>
      <c r="F12270" t="str">
        <f>T("234599201")</f>
        <v>234599201</v>
      </c>
      <c r="G12270" t="str">
        <f>T("2555 AMPHIBIOUS DRIVE")</f>
        <v>2555 AMPHIBIOUS DRIVE</v>
      </c>
      <c r="H12270" t="str">
        <f>T("BUILDING 1126")</f>
        <v>BUILDING 1126</v>
      </c>
      <c r="I12270" t="str">
        <f>T("VIRGINIA BEACH")</f>
        <v>VIRGINIA BEACH</v>
      </c>
      <c r="J12270" t="str">
        <f>T("VA")</f>
        <v>VA</v>
      </c>
      <c r="K12270" t="str">
        <f>T("7574177225")</f>
        <v>7574177225</v>
      </c>
      <c r="L12270" t="str">
        <f>T("7574177129")</f>
        <v>7574177129</v>
      </c>
    </row>
    <row r="12271" spans="1:12" x14ac:dyDescent="0.35">
      <c r="A12271" t="str">
        <f t="shared" si="4553"/>
        <v>NIOC NORFOLK</v>
      </c>
      <c r="B12271" t="str">
        <f>T("2555 AMPHIBIOUS DR")</f>
        <v>2555 AMPHIBIOUS DR</v>
      </c>
      <c r="C12271" t="str">
        <f>T("BLDG 1126")</f>
        <v>BLDG 1126</v>
      </c>
      <c r="D12271" t="str">
        <f>T("VIRGINIA BCH")</f>
        <v>VIRGINIA BCH</v>
      </c>
      <c r="E12271" t="str">
        <f>T("VA")</f>
        <v>VA</v>
      </c>
      <c r="F12271" t="str">
        <f>T("234599201")</f>
        <v>234599201</v>
      </c>
      <c r="G12271" t="str">
        <f>T("2555 AMPHIBIOUS DRIVE BUILDING 1126")</f>
        <v>2555 AMPHIBIOUS DRIVE BUILDING 1126</v>
      </c>
      <c r="H12271" t="str">
        <f>T("")</f>
        <v/>
      </c>
      <c r="I12271" t="str">
        <f>T("VIRGINIA BEACH")</f>
        <v>VIRGINIA BEACH</v>
      </c>
      <c r="J12271" t="str">
        <f>T("VA")</f>
        <v>VA</v>
      </c>
      <c r="K12271" t="str">
        <f>T("7574177225")</f>
        <v>7574177225</v>
      </c>
      <c r="L12271" t="str">
        <f>T("7574177129")</f>
        <v>7574177129</v>
      </c>
    </row>
    <row r="12272" spans="1:12" x14ac:dyDescent="0.35">
      <c r="A12272" t="str">
        <f t="shared" si="4553"/>
        <v>NIOC NORFOLK</v>
      </c>
      <c r="B12272" t="str">
        <f>T("335 VOUGHT STREET")</f>
        <v>335 VOUGHT STREET</v>
      </c>
      <c r="C12272" t="str">
        <f>T("")</f>
        <v/>
      </c>
      <c r="D12272" t="str">
        <f>T("SAN DIEGO")</f>
        <v>SAN DIEGO</v>
      </c>
      <c r="E12272" t="str">
        <f>T("CA")</f>
        <v>CA</v>
      </c>
      <c r="F12272" t="str">
        <f>T("921550001")</f>
        <v>921550001</v>
      </c>
      <c r="G12272" t="str">
        <f>T("335 VOUGHT ST")</f>
        <v>335 VOUGHT ST</v>
      </c>
      <c r="H12272" t="str">
        <f>T("BLDG 335")</f>
        <v>BLDG 335</v>
      </c>
      <c r="I12272" t="str">
        <f>T("SAN DIEGO")</f>
        <v>SAN DIEGO</v>
      </c>
      <c r="J12272" t="str">
        <f>T("CA")</f>
        <v>CA</v>
      </c>
      <c r="K12272" t="str">
        <f>T("6195451788")</f>
        <v>6195451788</v>
      </c>
      <c r="L12272" t="str">
        <f>T("6195458455")</f>
        <v>6195458455</v>
      </c>
    </row>
    <row r="12273" spans="1:12" x14ac:dyDescent="0.35">
      <c r="A12273" t="str">
        <f t="shared" si="4553"/>
        <v>NIOC NORFOLK</v>
      </c>
      <c r="B12273" t="str">
        <f>T("335 VOUGHT STREET")</f>
        <v>335 VOUGHT STREET</v>
      </c>
      <c r="C12273" t="str">
        <f>T("")</f>
        <v/>
      </c>
      <c r="D12273" t="str">
        <f>T("SAN DIEGO")</f>
        <v>SAN DIEGO</v>
      </c>
      <c r="E12273" t="str">
        <f>T("CA")</f>
        <v>CA</v>
      </c>
      <c r="F12273" t="str">
        <f>T("921550001")</f>
        <v>921550001</v>
      </c>
      <c r="G12273" t="str">
        <f>T("335 VOUGHT STREET")</f>
        <v>335 VOUGHT STREET</v>
      </c>
      <c r="H12273" t="str">
        <f>T("")</f>
        <v/>
      </c>
      <c r="I12273" t="str">
        <f>T("SAN DIEGO")</f>
        <v>SAN DIEGO</v>
      </c>
      <c r="J12273" t="str">
        <f>T("CA")</f>
        <v>CA</v>
      </c>
      <c r="K12273" t="str">
        <f>T("619-545-1788")</f>
        <v>619-545-1788</v>
      </c>
      <c r="L12273" t="str">
        <f>T("6195458455")</f>
        <v>6195458455</v>
      </c>
    </row>
    <row r="12274" spans="1:12" x14ac:dyDescent="0.35">
      <c r="A12274" t="str">
        <f t="shared" si="4553"/>
        <v>NIOC NORFOLK</v>
      </c>
      <c r="B12274" t="str">
        <f>T("335 VOUGHT STREET")</f>
        <v>335 VOUGHT STREET</v>
      </c>
      <c r="C12274" t="str">
        <f>T("")</f>
        <v/>
      </c>
      <c r="D12274" t="str">
        <f>T("SAN DIEGO")</f>
        <v>SAN DIEGO</v>
      </c>
      <c r="E12274" t="str">
        <f>T("CA")</f>
        <v>CA</v>
      </c>
      <c r="F12274" t="str">
        <f>T("921550001")</f>
        <v>921550001</v>
      </c>
      <c r="G12274" t="str">
        <f>T("335 VOUGHT STREET")</f>
        <v>335 VOUGHT STREET</v>
      </c>
      <c r="H12274" t="str">
        <f>T("BLDING 335")</f>
        <v>BLDING 335</v>
      </c>
      <c r="I12274" t="str">
        <f>T("SAN DIEGO")</f>
        <v>SAN DIEGO</v>
      </c>
      <c r="J12274" t="str">
        <f>T("CA")</f>
        <v>CA</v>
      </c>
      <c r="K12274" t="str">
        <f>T("6195451788")</f>
        <v>6195451788</v>
      </c>
      <c r="L12274" t="str">
        <f>T("6195458455")</f>
        <v>6195458455</v>
      </c>
    </row>
    <row r="12275" spans="1:12" x14ac:dyDescent="0.35">
      <c r="A12275" t="str">
        <f t="shared" si="4553"/>
        <v>NIOC NORFOLK</v>
      </c>
      <c r="B12275" t="str">
        <f>T("BLDG 106")</f>
        <v>BLDG 106</v>
      </c>
      <c r="C12275" t="str">
        <f>T("NAVSUB BASE NLON")</f>
        <v>NAVSUB BASE NLON</v>
      </c>
      <c r="D12275" t="str">
        <f>T("GROTON")</f>
        <v>GROTON</v>
      </c>
      <c r="E12275" t="str">
        <f>T("CT")</f>
        <v>CT</v>
      </c>
      <c r="F12275" t="str">
        <f>T("063490000")</f>
        <v>063490000</v>
      </c>
      <c r="G12275" t="str">
        <f>T("BLDG 106")</f>
        <v>BLDG 106</v>
      </c>
      <c r="H12275" t="str">
        <f>T("NAVSUB BASE NLON")</f>
        <v>NAVSUB BASE NLON</v>
      </c>
      <c r="I12275" t="str">
        <f>T("GROTON")</f>
        <v>GROTON</v>
      </c>
      <c r="J12275" t="str">
        <f>T("CT")</f>
        <v>CT</v>
      </c>
      <c r="K12275" t="str">
        <f>T("860-694-3962")</f>
        <v>860-694-3962</v>
      </c>
      <c r="L12275" t="str">
        <f>T("8606944180")</f>
        <v>8606944180</v>
      </c>
    </row>
    <row r="12276" spans="1:12" x14ac:dyDescent="0.35">
      <c r="A12276" t="str">
        <f t="shared" si="4553"/>
        <v>NIOC NORFOLK</v>
      </c>
      <c r="B12276" t="str">
        <f>T("BLDG 106")</f>
        <v>BLDG 106</v>
      </c>
      <c r="C12276" t="str">
        <f>T("NAVSUB BASE NLON")</f>
        <v>NAVSUB BASE NLON</v>
      </c>
      <c r="D12276" t="str">
        <f>T("GROTON")</f>
        <v>GROTON</v>
      </c>
      <c r="E12276" t="str">
        <f>T("CT")</f>
        <v>CT</v>
      </c>
      <c r="F12276" t="str">
        <f>T("063490000")</f>
        <v>063490000</v>
      </c>
      <c r="G12276" t="str">
        <f>T("BUILDING 106")</f>
        <v>BUILDING 106</v>
      </c>
      <c r="H12276" t="str">
        <f>T("NAVSUB BASE NLON")</f>
        <v>NAVSUB BASE NLON</v>
      </c>
      <c r="I12276" t="str">
        <f>T("GROTON")</f>
        <v>GROTON</v>
      </c>
      <c r="J12276" t="str">
        <f>T("CT")</f>
        <v>CT</v>
      </c>
      <c r="K12276" t="str">
        <f>T("8606943962")</f>
        <v>8606943962</v>
      </c>
      <c r="L12276" t="str">
        <f>T("8606944180")</f>
        <v>8606944180</v>
      </c>
    </row>
    <row r="12277" spans="1:12" x14ac:dyDescent="0.35">
      <c r="A12277" t="str">
        <f t="shared" ref="A12277:A12286" si="4554">T("NAVOBSY MD")</f>
        <v>NAVOBSY MD</v>
      </c>
      <c r="B12277" t="str">
        <f t="shared" ref="B12277:B12283" si="4555">T("3450 MASSACHUSETTS AVE NW")</f>
        <v>3450 MASSACHUSETTS AVE NW</v>
      </c>
      <c r="C12277" t="str">
        <f t="shared" ref="C12277:C12283" si="4556">T("")</f>
        <v/>
      </c>
      <c r="D12277" t="str">
        <f t="shared" ref="D12277:D12283" si="4557">T("WASHINGTON")</f>
        <v>WASHINGTON</v>
      </c>
      <c r="E12277" t="str">
        <f t="shared" ref="E12277:E12283" si="4558">T("DC")</f>
        <v>DC</v>
      </c>
      <c r="F12277" t="str">
        <f t="shared" ref="F12277:F12283" si="4559">T("203920001")</f>
        <v>203920001</v>
      </c>
      <c r="G12277" t="str">
        <f>T("10391 WEST NAVAL OBSERVATORY RD")</f>
        <v>10391 WEST NAVAL OBSERVATORY RD</v>
      </c>
      <c r="H12277" t="str">
        <f>T("USNO FLAG STAFF STATION")</f>
        <v>USNO FLAG STAFF STATION</v>
      </c>
      <c r="I12277" t="str">
        <f>T("FLAGSTAFF")</f>
        <v>FLAGSTAFF</v>
      </c>
      <c r="J12277" t="str">
        <f>T("AZ")</f>
        <v>AZ</v>
      </c>
      <c r="K12277" t="str">
        <f>T("9287743626")</f>
        <v>9287743626</v>
      </c>
      <c r="L12277" t="str">
        <f>T("9287795732")</f>
        <v>9287795732</v>
      </c>
    </row>
    <row r="12278" spans="1:12" x14ac:dyDescent="0.35">
      <c r="A12278" t="str">
        <f t="shared" si="4554"/>
        <v>NAVOBSY MD</v>
      </c>
      <c r="B12278" t="str">
        <f t="shared" si="4555"/>
        <v>3450 MASSACHUSETTS AVE NW</v>
      </c>
      <c r="C12278" t="str">
        <f t="shared" si="4556"/>
        <v/>
      </c>
      <c r="D12278" t="str">
        <f t="shared" si="4557"/>
        <v>WASHINGTON</v>
      </c>
      <c r="E12278" t="str">
        <f t="shared" si="4558"/>
        <v>DC</v>
      </c>
      <c r="F12278" t="str">
        <f t="shared" si="4559"/>
        <v>203920001</v>
      </c>
      <c r="G12278" t="str">
        <f>T("10391 WEST NAVAL OBSERVATORY RD")</f>
        <v>10391 WEST NAVAL OBSERVATORY RD</v>
      </c>
      <c r="H12278" t="str">
        <f>T("USNO FLAGSTAFF STATION")</f>
        <v>USNO FLAGSTAFF STATION</v>
      </c>
      <c r="I12278" t="str">
        <f>T("FLAGSTAFF")</f>
        <v>FLAGSTAFF</v>
      </c>
      <c r="J12278" t="str">
        <f>T("AZ")</f>
        <v>AZ</v>
      </c>
      <c r="K12278" t="str">
        <f>T("9287743626")</f>
        <v>9287743626</v>
      </c>
      <c r="L12278" t="str">
        <f>T("9287795732")</f>
        <v>9287795732</v>
      </c>
    </row>
    <row r="12279" spans="1:12" x14ac:dyDescent="0.35">
      <c r="A12279" t="str">
        <f t="shared" si="4554"/>
        <v>NAVOBSY MD</v>
      </c>
      <c r="B12279" t="str">
        <f t="shared" si="4555"/>
        <v>3450 MASSACHUSETTS AVE NW</v>
      </c>
      <c r="C12279" t="str">
        <f t="shared" si="4556"/>
        <v/>
      </c>
      <c r="D12279" t="str">
        <f t="shared" si="4557"/>
        <v>WASHINGTON</v>
      </c>
      <c r="E12279" t="str">
        <f t="shared" si="4558"/>
        <v>DC</v>
      </c>
      <c r="F12279" t="str">
        <f t="shared" si="4559"/>
        <v>203920001</v>
      </c>
      <c r="G12279" t="str">
        <f>T("3450 MASSACHUSETTS AVE NW")</f>
        <v>3450 MASSACHUSETTS AVE NW</v>
      </c>
      <c r="H12279" t="str">
        <f>T("")</f>
        <v/>
      </c>
      <c r="I12279" t="str">
        <f t="shared" ref="I12279:I12284" si="4560">T("WASHINGTON")</f>
        <v>WASHINGTON</v>
      </c>
      <c r="J12279" t="str">
        <f t="shared" ref="J12279:J12284" si="4561">T("DC")</f>
        <v>DC</v>
      </c>
      <c r="K12279" t="str">
        <f t="shared" ref="K12279:K12285" si="4562">T("000000000000000000")</f>
        <v>000000000000000000</v>
      </c>
      <c r="L12279" t="str">
        <f>T("2027620013")</f>
        <v>2027620013</v>
      </c>
    </row>
    <row r="12280" spans="1:12" x14ac:dyDescent="0.35">
      <c r="A12280" t="str">
        <f t="shared" si="4554"/>
        <v>NAVOBSY MD</v>
      </c>
      <c r="B12280" t="str">
        <f t="shared" si="4555"/>
        <v>3450 MASSACHUSETTS AVE NW</v>
      </c>
      <c r="C12280" t="str">
        <f t="shared" si="4556"/>
        <v/>
      </c>
      <c r="D12280" t="str">
        <f t="shared" si="4557"/>
        <v>WASHINGTON</v>
      </c>
      <c r="E12280" t="str">
        <f t="shared" si="4558"/>
        <v>DC</v>
      </c>
      <c r="F12280" t="str">
        <f t="shared" si="4559"/>
        <v>203920001</v>
      </c>
      <c r="G12280" t="str">
        <f>T("US NAVAL OBSERVATORY")</f>
        <v>US NAVAL OBSERVATORY</v>
      </c>
      <c r="H12280" t="str">
        <f>T("3450 MASSACHUSETTS AVE NW")</f>
        <v>3450 MASSACHUSETTS AVE NW</v>
      </c>
      <c r="I12280" t="str">
        <f t="shared" si="4560"/>
        <v>WASHINGTON</v>
      </c>
      <c r="J12280" t="str">
        <f t="shared" si="4561"/>
        <v>DC</v>
      </c>
      <c r="K12280" t="str">
        <f t="shared" si="4562"/>
        <v>000000000000000000</v>
      </c>
      <c r="L12280" t="str">
        <f>T("2027620148")</f>
        <v>2027620148</v>
      </c>
    </row>
    <row r="12281" spans="1:12" x14ac:dyDescent="0.35">
      <c r="A12281" t="str">
        <f t="shared" si="4554"/>
        <v>NAVOBSY MD</v>
      </c>
      <c r="B12281" t="str">
        <f t="shared" si="4555"/>
        <v>3450 MASSACHUSETTS AVE NW</v>
      </c>
      <c r="C12281" t="str">
        <f t="shared" si="4556"/>
        <v/>
      </c>
      <c r="D12281" t="str">
        <f t="shared" si="4557"/>
        <v>WASHINGTON</v>
      </c>
      <c r="E12281" t="str">
        <f t="shared" si="4558"/>
        <v>DC</v>
      </c>
      <c r="F12281" t="str">
        <f t="shared" si="4559"/>
        <v>203920001</v>
      </c>
      <c r="G12281" t="str">
        <f>T("US NAVAL OBSERVATORY")</f>
        <v>US NAVAL OBSERVATORY</v>
      </c>
      <c r="H12281" t="str">
        <f>T("3450 MASSACHUSETTS AVE NW")</f>
        <v>3450 MASSACHUSETTS AVE NW</v>
      </c>
      <c r="I12281" t="str">
        <f t="shared" si="4560"/>
        <v>WASHINGTON</v>
      </c>
      <c r="J12281" t="str">
        <f t="shared" si="4561"/>
        <v>DC</v>
      </c>
      <c r="K12281" t="str">
        <f t="shared" si="4562"/>
        <v>000000000000000000</v>
      </c>
      <c r="L12281" t="str">
        <f>T("2027620305")</f>
        <v>2027620305</v>
      </c>
    </row>
    <row r="12282" spans="1:12" x14ac:dyDescent="0.35">
      <c r="A12282" t="str">
        <f t="shared" si="4554"/>
        <v>NAVOBSY MD</v>
      </c>
      <c r="B12282" t="str">
        <f t="shared" si="4555"/>
        <v>3450 MASSACHUSETTS AVE NW</v>
      </c>
      <c r="C12282" t="str">
        <f t="shared" si="4556"/>
        <v/>
      </c>
      <c r="D12282" t="str">
        <f t="shared" si="4557"/>
        <v>WASHINGTON</v>
      </c>
      <c r="E12282" t="str">
        <f t="shared" si="4558"/>
        <v>DC</v>
      </c>
      <c r="F12282" t="str">
        <f t="shared" si="4559"/>
        <v>203920001</v>
      </c>
      <c r="G12282" t="str">
        <f>T("US NAVAL OBSERVATORY")</f>
        <v>US NAVAL OBSERVATORY</v>
      </c>
      <c r="H12282" t="str">
        <f>T("3450 MASSACHUSETTS AVE NW")</f>
        <v>3450 MASSACHUSETTS AVE NW</v>
      </c>
      <c r="I12282" t="str">
        <f t="shared" si="4560"/>
        <v>WASHINGTON</v>
      </c>
      <c r="J12282" t="str">
        <f t="shared" si="4561"/>
        <v>DC</v>
      </c>
      <c r="K12282" t="str">
        <f t="shared" si="4562"/>
        <v>000000000000000000</v>
      </c>
      <c r="L12282" t="str">
        <f>T("2027621425")</f>
        <v>2027621425</v>
      </c>
    </row>
    <row r="12283" spans="1:12" x14ac:dyDescent="0.35">
      <c r="A12283" t="str">
        <f t="shared" si="4554"/>
        <v>NAVOBSY MD</v>
      </c>
      <c r="B12283" t="str">
        <f t="shared" si="4555"/>
        <v>3450 MASSACHUSETTS AVE NW</v>
      </c>
      <c r="C12283" t="str">
        <f t="shared" si="4556"/>
        <v/>
      </c>
      <c r="D12283" t="str">
        <f t="shared" si="4557"/>
        <v>WASHINGTON</v>
      </c>
      <c r="E12283" t="str">
        <f t="shared" si="4558"/>
        <v>DC</v>
      </c>
      <c r="F12283" t="str">
        <f t="shared" si="4559"/>
        <v>203920001</v>
      </c>
      <c r="G12283" t="str">
        <f>T("US NAVAL OBSERVATORY")</f>
        <v>US NAVAL OBSERVATORY</v>
      </c>
      <c r="H12283" t="str">
        <f>T("3450 MASSACHUSETTS AVE NW")</f>
        <v>3450 MASSACHUSETTS AVE NW</v>
      </c>
      <c r="I12283" t="str">
        <f t="shared" si="4560"/>
        <v>WASHINGTON</v>
      </c>
      <c r="J12283" t="str">
        <f t="shared" si="4561"/>
        <v>DC</v>
      </c>
      <c r="K12283" t="str">
        <f t="shared" si="4562"/>
        <v>000000000000000000</v>
      </c>
      <c r="L12283" t="str">
        <f>T("2027621617")</f>
        <v>2027621617</v>
      </c>
    </row>
    <row r="12284" spans="1:12" x14ac:dyDescent="0.35">
      <c r="A12284" t="str">
        <f t="shared" si="4554"/>
        <v>NAVOBSY MD</v>
      </c>
      <c r="B12284" t="str">
        <f>T("US NAVAL OBSERVATORY FS")</f>
        <v>US NAVAL OBSERVATORY FS</v>
      </c>
      <c r="C12284" t="str">
        <f>T("10391 WEST NAVAL OBSERVATORY RD")</f>
        <v>10391 WEST NAVAL OBSERVATORY RD</v>
      </c>
      <c r="D12284" t="str">
        <f>T("FLAGSTAFF")</f>
        <v>FLAGSTAFF</v>
      </c>
      <c r="E12284" t="str">
        <f>T("AZ")</f>
        <v>AZ</v>
      </c>
      <c r="F12284" t="str">
        <f>T("860058521")</f>
        <v>860058521</v>
      </c>
      <c r="G12284" t="str">
        <f>T("3450 MASSACHUSETTS AVE NW")</f>
        <v>3450 MASSACHUSETTS AVE NW</v>
      </c>
      <c r="H12284" t="str">
        <f>T("US NAVAL OBSERVATORY")</f>
        <v>US NAVAL OBSERVATORY</v>
      </c>
      <c r="I12284" t="str">
        <f t="shared" si="4560"/>
        <v>WASHINGTON</v>
      </c>
      <c r="J12284" t="str">
        <f t="shared" si="4561"/>
        <v>DC</v>
      </c>
      <c r="K12284" t="str">
        <f t="shared" si="4562"/>
        <v>000000000000000000</v>
      </c>
      <c r="L12284" t="str">
        <f>T("2027620065")</f>
        <v>2027620065</v>
      </c>
    </row>
    <row r="12285" spans="1:12" x14ac:dyDescent="0.35">
      <c r="A12285" t="str">
        <f t="shared" si="4554"/>
        <v>NAVOBSY MD</v>
      </c>
      <c r="B12285" t="str">
        <f>T("US NAVAL OBSERVATORY FS")</f>
        <v>US NAVAL OBSERVATORY FS</v>
      </c>
      <c r="C12285" t="str">
        <f>T("10391 WEST NAVAL OBSERVATORY RD")</f>
        <v>10391 WEST NAVAL OBSERVATORY RD</v>
      </c>
      <c r="D12285" t="str">
        <f>T("FLAGSTAFF")</f>
        <v>FLAGSTAFF</v>
      </c>
      <c r="E12285" t="str">
        <f>T("AZ")</f>
        <v>AZ</v>
      </c>
      <c r="F12285" t="str">
        <f>T("860058521")</f>
        <v>860058521</v>
      </c>
      <c r="G12285" t="str">
        <f>T("US NAVAL OBSERVATORY FS")</f>
        <v>US NAVAL OBSERVATORY FS</v>
      </c>
      <c r="H12285" t="str">
        <f>T("10391 W NAVAL OBSERVATORY RD")</f>
        <v>10391 W NAVAL OBSERVATORY RD</v>
      </c>
      <c r="I12285" t="str">
        <f>T("FLAGSTAFF")</f>
        <v>FLAGSTAFF</v>
      </c>
      <c r="J12285" t="str">
        <f>T("AZ")</f>
        <v>AZ</v>
      </c>
      <c r="K12285" t="str">
        <f t="shared" si="4562"/>
        <v>000000000000000000</v>
      </c>
      <c r="L12285" t="str">
        <f>T("9287795132")</f>
        <v>9287795132</v>
      </c>
    </row>
    <row r="12286" spans="1:12" x14ac:dyDescent="0.35">
      <c r="A12286" t="str">
        <f t="shared" si="4554"/>
        <v>NAVOBSY MD</v>
      </c>
      <c r="B12286" t="str">
        <f>T("US NAVAL OBSERVATORY FS")</f>
        <v>US NAVAL OBSERVATORY FS</v>
      </c>
      <c r="C12286" t="str">
        <f>T("10391 WEST NAVAL OBSERVATORY RD")</f>
        <v>10391 WEST NAVAL OBSERVATORY RD</v>
      </c>
      <c r="D12286" t="str">
        <f>T("FLAGSTAFF")</f>
        <v>FLAGSTAFF</v>
      </c>
      <c r="E12286" t="str">
        <f>T("AZ")</f>
        <v>AZ</v>
      </c>
      <c r="F12286" t="str">
        <f>T("860058521")</f>
        <v>860058521</v>
      </c>
      <c r="G12286" t="str">
        <f>T("US NAVAL OBSERVATORY FS")</f>
        <v>US NAVAL OBSERVATORY FS</v>
      </c>
      <c r="H12286" t="str">
        <f>T("10391 WEST NAVAL OBSERVATORY RD")</f>
        <v>10391 WEST NAVAL OBSERVATORY RD</v>
      </c>
      <c r="I12286" t="str">
        <f>T("FLAGSTAFF")</f>
        <v>FLAGSTAFF</v>
      </c>
      <c r="J12286" t="str">
        <f>T("AZ")</f>
        <v>AZ</v>
      </c>
      <c r="K12286" t="str">
        <f>T("9287743626")</f>
        <v>9287743626</v>
      </c>
      <c r="L12286" t="str">
        <f>T("9287795132")</f>
        <v>9287795132</v>
      </c>
    </row>
    <row r="12287" spans="1:12" x14ac:dyDescent="0.35">
      <c r="A12287" t="str">
        <f t="shared" ref="A12287:A12318" si="4563">T("NAVAL OCEANOGRAPHIC OFFICE")</f>
        <v>NAVAL OCEANOGRAPHIC OFFICE</v>
      </c>
      <c r="B12287" t="str">
        <f t="shared" ref="B12287:B12318" si="4564">T("1002 BALCH BLVD")</f>
        <v>1002 BALCH BLVD</v>
      </c>
      <c r="C12287" t="str">
        <f t="shared" ref="C12287:C12318" si="4565">T("")</f>
        <v/>
      </c>
      <c r="D12287" t="str">
        <f t="shared" ref="D12287:D12306" si="4566">T("STENNIS CTR")</f>
        <v>STENNIS CTR</v>
      </c>
      <c r="E12287" t="str">
        <f t="shared" ref="E12287:E12318" si="4567">T("MS")</f>
        <v>MS</v>
      </c>
      <c r="F12287" t="str">
        <f t="shared" ref="F12287:F12318" si="4568">T("395225001")</f>
        <v>395225001</v>
      </c>
      <c r="G12287" t="str">
        <f t="shared" ref="G12287:G12318" si="4569">T("1002 BALCH BLVD")</f>
        <v>1002 BALCH BLVD</v>
      </c>
      <c r="H12287" t="str">
        <f t="shared" ref="H12287:H12304" si="4570">T("")</f>
        <v/>
      </c>
      <c r="I12287" t="str">
        <f t="shared" ref="I12287:I12294" si="4571">T("STENNIS CTR")</f>
        <v>STENNIS CTR</v>
      </c>
      <c r="J12287" t="str">
        <f t="shared" ref="J12287:J12318" si="4572">T("MS")</f>
        <v>MS</v>
      </c>
      <c r="K12287" t="str">
        <f t="shared" ref="K12287:K12318" si="4573">T("000000000000000000")</f>
        <v>000000000000000000</v>
      </c>
      <c r="L12287" t="str">
        <f>T("1111111111")</f>
        <v>1111111111</v>
      </c>
    </row>
    <row r="12288" spans="1:12" x14ac:dyDescent="0.35">
      <c r="A12288" t="str">
        <f t="shared" si="4563"/>
        <v>NAVAL OCEANOGRAPHIC OFFICE</v>
      </c>
      <c r="B12288" t="str">
        <f t="shared" si="4564"/>
        <v>1002 BALCH BLVD</v>
      </c>
      <c r="C12288" t="str">
        <f t="shared" si="4565"/>
        <v/>
      </c>
      <c r="D12288" t="str">
        <f t="shared" si="4566"/>
        <v>STENNIS CTR</v>
      </c>
      <c r="E12288" t="str">
        <f t="shared" si="4567"/>
        <v>MS</v>
      </c>
      <c r="F12288" t="str">
        <f t="shared" si="4568"/>
        <v>395225001</v>
      </c>
      <c r="G12288" t="str">
        <f t="shared" si="4569"/>
        <v>1002 BALCH BLVD</v>
      </c>
      <c r="H12288" t="str">
        <f t="shared" si="4570"/>
        <v/>
      </c>
      <c r="I12288" t="str">
        <f t="shared" si="4571"/>
        <v>STENNIS CTR</v>
      </c>
      <c r="J12288" t="str">
        <f t="shared" si="4572"/>
        <v>MS</v>
      </c>
      <c r="K12288" t="str">
        <f t="shared" si="4573"/>
        <v>000000000000000000</v>
      </c>
      <c r="L12288" t="str">
        <f>T("2286884406")</f>
        <v>2286884406</v>
      </c>
    </row>
    <row r="12289" spans="1:12" x14ac:dyDescent="0.35">
      <c r="A12289" t="str">
        <f t="shared" si="4563"/>
        <v>NAVAL OCEANOGRAPHIC OFFICE</v>
      </c>
      <c r="B12289" t="str">
        <f t="shared" si="4564"/>
        <v>1002 BALCH BLVD</v>
      </c>
      <c r="C12289" t="str">
        <f t="shared" si="4565"/>
        <v/>
      </c>
      <c r="D12289" t="str">
        <f t="shared" si="4566"/>
        <v>STENNIS CTR</v>
      </c>
      <c r="E12289" t="str">
        <f t="shared" si="4567"/>
        <v>MS</v>
      </c>
      <c r="F12289" t="str">
        <f t="shared" si="4568"/>
        <v>395225001</v>
      </c>
      <c r="G12289" t="str">
        <f t="shared" si="4569"/>
        <v>1002 BALCH BLVD</v>
      </c>
      <c r="H12289" t="str">
        <f t="shared" si="4570"/>
        <v/>
      </c>
      <c r="I12289" t="str">
        <f t="shared" si="4571"/>
        <v>STENNIS CTR</v>
      </c>
      <c r="J12289" t="str">
        <f t="shared" si="4572"/>
        <v>MS</v>
      </c>
      <c r="K12289" t="str">
        <f t="shared" si="4573"/>
        <v>000000000000000000</v>
      </c>
      <c r="L12289" t="str">
        <f>T("2286885885")</f>
        <v>2286885885</v>
      </c>
    </row>
    <row r="12290" spans="1:12" x14ac:dyDescent="0.35">
      <c r="A12290" t="str">
        <f t="shared" si="4563"/>
        <v>NAVAL OCEANOGRAPHIC OFFICE</v>
      </c>
      <c r="B12290" t="str">
        <f t="shared" si="4564"/>
        <v>1002 BALCH BLVD</v>
      </c>
      <c r="C12290" t="str">
        <f t="shared" si="4565"/>
        <v/>
      </c>
      <c r="D12290" t="str">
        <f t="shared" si="4566"/>
        <v>STENNIS CTR</v>
      </c>
      <c r="E12290" t="str">
        <f t="shared" si="4567"/>
        <v>MS</v>
      </c>
      <c r="F12290" t="str">
        <f t="shared" si="4568"/>
        <v>395225001</v>
      </c>
      <c r="G12290" t="str">
        <f t="shared" si="4569"/>
        <v>1002 BALCH BLVD</v>
      </c>
      <c r="H12290" t="str">
        <f t="shared" si="4570"/>
        <v/>
      </c>
      <c r="I12290" t="str">
        <f t="shared" si="4571"/>
        <v>STENNIS CTR</v>
      </c>
      <c r="J12290" t="str">
        <f t="shared" si="4572"/>
        <v>MS</v>
      </c>
      <c r="K12290" t="str">
        <f t="shared" si="4573"/>
        <v>000000000000000000</v>
      </c>
      <c r="L12290" t="str">
        <f>T("2286885909")</f>
        <v>2286885909</v>
      </c>
    </row>
    <row r="12291" spans="1:12" x14ac:dyDescent="0.35">
      <c r="A12291" t="str">
        <f t="shared" si="4563"/>
        <v>NAVAL OCEANOGRAPHIC OFFICE</v>
      </c>
      <c r="B12291" t="str">
        <f t="shared" si="4564"/>
        <v>1002 BALCH BLVD</v>
      </c>
      <c r="C12291" t="str">
        <f t="shared" si="4565"/>
        <v/>
      </c>
      <c r="D12291" t="str">
        <f t="shared" si="4566"/>
        <v>STENNIS CTR</v>
      </c>
      <c r="E12291" t="str">
        <f t="shared" si="4567"/>
        <v>MS</v>
      </c>
      <c r="F12291" t="str">
        <f t="shared" si="4568"/>
        <v>395225001</v>
      </c>
      <c r="G12291" t="str">
        <f t="shared" si="4569"/>
        <v>1002 BALCH BLVD</v>
      </c>
      <c r="H12291" t="str">
        <f t="shared" si="4570"/>
        <v/>
      </c>
      <c r="I12291" t="str">
        <f t="shared" si="4571"/>
        <v>STENNIS CTR</v>
      </c>
      <c r="J12291" t="str">
        <f t="shared" si="4572"/>
        <v>MS</v>
      </c>
      <c r="K12291" t="str">
        <f t="shared" si="4573"/>
        <v>000000000000000000</v>
      </c>
      <c r="L12291" t="str">
        <f>T("2286885968")</f>
        <v>2286885968</v>
      </c>
    </row>
    <row r="12292" spans="1:12" x14ac:dyDescent="0.35">
      <c r="A12292" t="str">
        <f t="shared" si="4563"/>
        <v>NAVAL OCEANOGRAPHIC OFFICE</v>
      </c>
      <c r="B12292" t="str">
        <f t="shared" si="4564"/>
        <v>1002 BALCH BLVD</v>
      </c>
      <c r="C12292" t="str">
        <f t="shared" si="4565"/>
        <v/>
      </c>
      <c r="D12292" t="str">
        <f t="shared" si="4566"/>
        <v>STENNIS CTR</v>
      </c>
      <c r="E12292" t="str">
        <f t="shared" si="4567"/>
        <v>MS</v>
      </c>
      <c r="F12292" t="str">
        <f t="shared" si="4568"/>
        <v>395225001</v>
      </c>
      <c r="G12292" t="str">
        <f t="shared" si="4569"/>
        <v>1002 BALCH BLVD</v>
      </c>
      <c r="H12292" t="str">
        <f t="shared" si="4570"/>
        <v/>
      </c>
      <c r="I12292" t="str">
        <f t="shared" si="4571"/>
        <v>STENNIS CTR</v>
      </c>
      <c r="J12292" t="str">
        <f t="shared" si="4572"/>
        <v>MS</v>
      </c>
      <c r="K12292" t="str">
        <f t="shared" si="4573"/>
        <v>000000000000000000</v>
      </c>
      <c r="L12292" t="str">
        <f>T("2286898061")</f>
        <v>2286898061</v>
      </c>
    </row>
    <row r="12293" spans="1:12" x14ac:dyDescent="0.35">
      <c r="A12293" t="str">
        <f t="shared" si="4563"/>
        <v>NAVAL OCEANOGRAPHIC OFFICE</v>
      </c>
      <c r="B12293" t="str">
        <f t="shared" si="4564"/>
        <v>1002 BALCH BLVD</v>
      </c>
      <c r="C12293" t="str">
        <f t="shared" si="4565"/>
        <v/>
      </c>
      <c r="D12293" t="str">
        <f t="shared" si="4566"/>
        <v>STENNIS CTR</v>
      </c>
      <c r="E12293" t="str">
        <f t="shared" si="4567"/>
        <v>MS</v>
      </c>
      <c r="F12293" t="str">
        <f t="shared" si="4568"/>
        <v>395225001</v>
      </c>
      <c r="G12293" t="str">
        <f t="shared" si="4569"/>
        <v>1002 BALCH BLVD</v>
      </c>
      <c r="H12293" t="str">
        <f t="shared" si="4570"/>
        <v/>
      </c>
      <c r="I12293" t="str">
        <f t="shared" si="4571"/>
        <v>STENNIS CTR</v>
      </c>
      <c r="J12293" t="str">
        <f t="shared" si="4572"/>
        <v>MS</v>
      </c>
      <c r="K12293" t="str">
        <f t="shared" si="4573"/>
        <v>000000000000000000</v>
      </c>
      <c r="L12293" t="str">
        <f>T("3018173946")</f>
        <v>3018173946</v>
      </c>
    </row>
    <row r="12294" spans="1:12" x14ac:dyDescent="0.35">
      <c r="A12294" t="str">
        <f t="shared" si="4563"/>
        <v>NAVAL OCEANOGRAPHIC OFFICE</v>
      </c>
      <c r="B12294" t="str">
        <f t="shared" si="4564"/>
        <v>1002 BALCH BLVD</v>
      </c>
      <c r="C12294" t="str">
        <f t="shared" si="4565"/>
        <v/>
      </c>
      <c r="D12294" t="str">
        <f t="shared" si="4566"/>
        <v>STENNIS CTR</v>
      </c>
      <c r="E12294" t="str">
        <f t="shared" si="4567"/>
        <v>MS</v>
      </c>
      <c r="F12294" t="str">
        <f t="shared" si="4568"/>
        <v>395225001</v>
      </c>
      <c r="G12294" t="str">
        <f t="shared" si="4569"/>
        <v>1002 BALCH BLVD</v>
      </c>
      <c r="H12294" t="str">
        <f t="shared" si="4570"/>
        <v/>
      </c>
      <c r="I12294" t="str">
        <f t="shared" si="4571"/>
        <v>STENNIS CTR</v>
      </c>
      <c r="J12294" t="str">
        <f t="shared" si="4572"/>
        <v>MS</v>
      </c>
      <c r="K12294" t="str">
        <f t="shared" si="4573"/>
        <v>000000000000000000</v>
      </c>
      <c r="L12294" t="str">
        <f>T("5228685885")</f>
        <v>5228685885</v>
      </c>
    </row>
    <row r="12295" spans="1:12" x14ac:dyDescent="0.35">
      <c r="A12295" t="str">
        <f t="shared" si="4563"/>
        <v>NAVAL OCEANOGRAPHIC OFFICE</v>
      </c>
      <c r="B12295" t="str">
        <f t="shared" si="4564"/>
        <v>1002 BALCH BLVD</v>
      </c>
      <c r="C12295" t="str">
        <f t="shared" si="4565"/>
        <v/>
      </c>
      <c r="D12295" t="str">
        <f t="shared" si="4566"/>
        <v>STENNIS CTR</v>
      </c>
      <c r="E12295" t="str">
        <f t="shared" si="4567"/>
        <v>MS</v>
      </c>
      <c r="F12295" t="str">
        <f t="shared" si="4568"/>
        <v>395225001</v>
      </c>
      <c r="G12295" t="str">
        <f t="shared" si="4569"/>
        <v>1002 BALCH BLVD</v>
      </c>
      <c r="H12295" t="str">
        <f t="shared" si="4570"/>
        <v/>
      </c>
      <c r="I12295" t="str">
        <f t="shared" ref="I12295:I12326" si="4574">T("STENNIS SPACE CENTER")</f>
        <v>STENNIS SPACE CENTER</v>
      </c>
      <c r="J12295" t="str">
        <f t="shared" si="4572"/>
        <v>MS</v>
      </c>
      <c r="K12295" t="str">
        <f t="shared" si="4573"/>
        <v>000000000000000000</v>
      </c>
      <c r="L12295" t="str">
        <f>T("2286884101")</f>
        <v>2286884101</v>
      </c>
    </row>
    <row r="12296" spans="1:12" x14ac:dyDescent="0.35">
      <c r="A12296" t="str">
        <f t="shared" si="4563"/>
        <v>NAVAL OCEANOGRAPHIC OFFICE</v>
      </c>
      <c r="B12296" t="str">
        <f t="shared" si="4564"/>
        <v>1002 BALCH BLVD</v>
      </c>
      <c r="C12296" t="str">
        <f t="shared" si="4565"/>
        <v/>
      </c>
      <c r="D12296" t="str">
        <f t="shared" si="4566"/>
        <v>STENNIS CTR</v>
      </c>
      <c r="E12296" t="str">
        <f t="shared" si="4567"/>
        <v>MS</v>
      </c>
      <c r="F12296" t="str">
        <f t="shared" si="4568"/>
        <v>395225001</v>
      </c>
      <c r="G12296" t="str">
        <f t="shared" si="4569"/>
        <v>1002 BALCH BLVD</v>
      </c>
      <c r="H12296" t="str">
        <f t="shared" si="4570"/>
        <v/>
      </c>
      <c r="I12296" t="str">
        <f t="shared" si="4574"/>
        <v>STENNIS SPACE CENTER</v>
      </c>
      <c r="J12296" t="str">
        <f t="shared" si="4572"/>
        <v>MS</v>
      </c>
      <c r="K12296" t="str">
        <f t="shared" si="4573"/>
        <v>000000000000000000</v>
      </c>
      <c r="L12296" t="str">
        <f>T("2286884172")</f>
        <v>2286884172</v>
      </c>
    </row>
    <row r="12297" spans="1:12" x14ac:dyDescent="0.35">
      <c r="A12297" t="str">
        <f t="shared" si="4563"/>
        <v>NAVAL OCEANOGRAPHIC OFFICE</v>
      </c>
      <c r="B12297" t="str">
        <f t="shared" si="4564"/>
        <v>1002 BALCH BLVD</v>
      </c>
      <c r="C12297" t="str">
        <f t="shared" si="4565"/>
        <v/>
      </c>
      <c r="D12297" t="str">
        <f t="shared" si="4566"/>
        <v>STENNIS CTR</v>
      </c>
      <c r="E12297" t="str">
        <f t="shared" si="4567"/>
        <v>MS</v>
      </c>
      <c r="F12297" t="str">
        <f t="shared" si="4568"/>
        <v>395225001</v>
      </c>
      <c r="G12297" t="str">
        <f t="shared" si="4569"/>
        <v>1002 BALCH BLVD</v>
      </c>
      <c r="H12297" t="str">
        <f t="shared" si="4570"/>
        <v/>
      </c>
      <c r="I12297" t="str">
        <f t="shared" si="4574"/>
        <v>STENNIS SPACE CENTER</v>
      </c>
      <c r="J12297" t="str">
        <f t="shared" si="4572"/>
        <v>MS</v>
      </c>
      <c r="K12297" t="str">
        <f t="shared" si="4573"/>
        <v>000000000000000000</v>
      </c>
      <c r="L12297" t="str">
        <f>T("2286884315")</f>
        <v>2286884315</v>
      </c>
    </row>
    <row r="12298" spans="1:12" x14ac:dyDescent="0.35">
      <c r="A12298" t="str">
        <f t="shared" si="4563"/>
        <v>NAVAL OCEANOGRAPHIC OFFICE</v>
      </c>
      <c r="B12298" t="str">
        <f t="shared" si="4564"/>
        <v>1002 BALCH BLVD</v>
      </c>
      <c r="C12298" t="str">
        <f t="shared" si="4565"/>
        <v/>
      </c>
      <c r="D12298" t="str">
        <f t="shared" si="4566"/>
        <v>STENNIS CTR</v>
      </c>
      <c r="E12298" t="str">
        <f t="shared" si="4567"/>
        <v>MS</v>
      </c>
      <c r="F12298" t="str">
        <f t="shared" si="4568"/>
        <v>395225001</v>
      </c>
      <c r="G12298" t="str">
        <f t="shared" si="4569"/>
        <v>1002 BALCH BLVD</v>
      </c>
      <c r="H12298" t="str">
        <f t="shared" si="4570"/>
        <v/>
      </c>
      <c r="I12298" t="str">
        <f t="shared" si="4574"/>
        <v>STENNIS SPACE CENTER</v>
      </c>
      <c r="J12298" t="str">
        <f t="shared" si="4572"/>
        <v>MS</v>
      </c>
      <c r="K12298" t="str">
        <f t="shared" si="4573"/>
        <v>000000000000000000</v>
      </c>
      <c r="L12298" t="str">
        <f>T("2286884387")</f>
        <v>2286884387</v>
      </c>
    </row>
    <row r="12299" spans="1:12" x14ac:dyDescent="0.35">
      <c r="A12299" t="str">
        <f t="shared" si="4563"/>
        <v>NAVAL OCEANOGRAPHIC OFFICE</v>
      </c>
      <c r="B12299" t="str">
        <f t="shared" si="4564"/>
        <v>1002 BALCH BLVD</v>
      </c>
      <c r="C12299" t="str">
        <f t="shared" si="4565"/>
        <v/>
      </c>
      <c r="D12299" t="str">
        <f t="shared" si="4566"/>
        <v>STENNIS CTR</v>
      </c>
      <c r="E12299" t="str">
        <f t="shared" si="4567"/>
        <v>MS</v>
      </c>
      <c r="F12299" t="str">
        <f t="shared" si="4568"/>
        <v>395225001</v>
      </c>
      <c r="G12299" t="str">
        <f t="shared" si="4569"/>
        <v>1002 BALCH BLVD</v>
      </c>
      <c r="H12299" t="str">
        <f t="shared" si="4570"/>
        <v/>
      </c>
      <c r="I12299" t="str">
        <f t="shared" si="4574"/>
        <v>STENNIS SPACE CENTER</v>
      </c>
      <c r="J12299" t="str">
        <f t="shared" si="4572"/>
        <v>MS</v>
      </c>
      <c r="K12299" t="str">
        <f t="shared" si="4573"/>
        <v>000000000000000000</v>
      </c>
      <c r="L12299" t="str">
        <f>T("2286884534")</f>
        <v>2286884534</v>
      </c>
    </row>
    <row r="12300" spans="1:12" x14ac:dyDescent="0.35">
      <c r="A12300" t="str">
        <f t="shared" si="4563"/>
        <v>NAVAL OCEANOGRAPHIC OFFICE</v>
      </c>
      <c r="B12300" t="str">
        <f t="shared" si="4564"/>
        <v>1002 BALCH BLVD</v>
      </c>
      <c r="C12300" t="str">
        <f t="shared" si="4565"/>
        <v/>
      </c>
      <c r="D12300" t="str">
        <f t="shared" si="4566"/>
        <v>STENNIS CTR</v>
      </c>
      <c r="E12300" t="str">
        <f t="shared" si="4567"/>
        <v>MS</v>
      </c>
      <c r="F12300" t="str">
        <f t="shared" si="4568"/>
        <v>395225001</v>
      </c>
      <c r="G12300" t="str">
        <f t="shared" si="4569"/>
        <v>1002 BALCH BLVD</v>
      </c>
      <c r="H12300" t="str">
        <f t="shared" si="4570"/>
        <v/>
      </c>
      <c r="I12300" t="str">
        <f t="shared" si="4574"/>
        <v>STENNIS SPACE CENTER</v>
      </c>
      <c r="J12300" t="str">
        <f t="shared" si="4572"/>
        <v>MS</v>
      </c>
      <c r="K12300" t="str">
        <f t="shared" si="4573"/>
        <v>000000000000000000</v>
      </c>
      <c r="L12300" t="str">
        <f>T("2286884957")</f>
        <v>2286884957</v>
      </c>
    </row>
    <row r="12301" spans="1:12" x14ac:dyDescent="0.35">
      <c r="A12301" t="str">
        <f t="shared" si="4563"/>
        <v>NAVAL OCEANOGRAPHIC OFFICE</v>
      </c>
      <c r="B12301" t="str">
        <f t="shared" si="4564"/>
        <v>1002 BALCH BLVD</v>
      </c>
      <c r="C12301" t="str">
        <f t="shared" si="4565"/>
        <v/>
      </c>
      <c r="D12301" t="str">
        <f t="shared" si="4566"/>
        <v>STENNIS CTR</v>
      </c>
      <c r="E12301" t="str">
        <f t="shared" si="4567"/>
        <v>MS</v>
      </c>
      <c r="F12301" t="str">
        <f t="shared" si="4568"/>
        <v>395225001</v>
      </c>
      <c r="G12301" t="str">
        <f t="shared" si="4569"/>
        <v>1002 BALCH BLVD</v>
      </c>
      <c r="H12301" t="str">
        <f t="shared" si="4570"/>
        <v/>
      </c>
      <c r="I12301" t="str">
        <f t="shared" si="4574"/>
        <v>STENNIS SPACE CENTER</v>
      </c>
      <c r="J12301" t="str">
        <f t="shared" si="4572"/>
        <v>MS</v>
      </c>
      <c r="K12301" t="str">
        <f t="shared" si="4573"/>
        <v>000000000000000000</v>
      </c>
      <c r="L12301" t="str">
        <f>T("2286885315")</f>
        <v>2286885315</v>
      </c>
    </row>
    <row r="12302" spans="1:12" x14ac:dyDescent="0.35">
      <c r="A12302" t="str">
        <f t="shared" si="4563"/>
        <v>NAVAL OCEANOGRAPHIC OFFICE</v>
      </c>
      <c r="B12302" t="str">
        <f t="shared" si="4564"/>
        <v>1002 BALCH BLVD</v>
      </c>
      <c r="C12302" t="str">
        <f t="shared" si="4565"/>
        <v/>
      </c>
      <c r="D12302" t="str">
        <f t="shared" si="4566"/>
        <v>STENNIS CTR</v>
      </c>
      <c r="E12302" t="str">
        <f t="shared" si="4567"/>
        <v>MS</v>
      </c>
      <c r="F12302" t="str">
        <f t="shared" si="4568"/>
        <v>395225001</v>
      </c>
      <c r="G12302" t="str">
        <f t="shared" si="4569"/>
        <v>1002 BALCH BLVD</v>
      </c>
      <c r="H12302" t="str">
        <f t="shared" si="4570"/>
        <v/>
      </c>
      <c r="I12302" t="str">
        <f t="shared" si="4574"/>
        <v>STENNIS SPACE CENTER</v>
      </c>
      <c r="J12302" t="str">
        <f t="shared" si="4572"/>
        <v>MS</v>
      </c>
      <c r="K12302" t="str">
        <f t="shared" si="4573"/>
        <v>000000000000000000</v>
      </c>
      <c r="L12302" t="str">
        <f>T("2286885389")</f>
        <v>2286885389</v>
      </c>
    </row>
    <row r="12303" spans="1:12" x14ac:dyDescent="0.35">
      <c r="A12303" t="str">
        <f t="shared" si="4563"/>
        <v>NAVAL OCEANOGRAPHIC OFFICE</v>
      </c>
      <c r="B12303" t="str">
        <f t="shared" si="4564"/>
        <v>1002 BALCH BLVD</v>
      </c>
      <c r="C12303" t="str">
        <f t="shared" si="4565"/>
        <v/>
      </c>
      <c r="D12303" t="str">
        <f t="shared" si="4566"/>
        <v>STENNIS CTR</v>
      </c>
      <c r="E12303" t="str">
        <f t="shared" si="4567"/>
        <v>MS</v>
      </c>
      <c r="F12303" t="str">
        <f t="shared" si="4568"/>
        <v>395225001</v>
      </c>
      <c r="G12303" t="str">
        <f t="shared" si="4569"/>
        <v>1002 BALCH BLVD</v>
      </c>
      <c r="H12303" t="str">
        <f t="shared" si="4570"/>
        <v/>
      </c>
      <c r="I12303" t="str">
        <f t="shared" si="4574"/>
        <v>STENNIS SPACE CENTER</v>
      </c>
      <c r="J12303" t="str">
        <f t="shared" si="4572"/>
        <v>MS</v>
      </c>
      <c r="K12303" t="str">
        <f t="shared" si="4573"/>
        <v>000000000000000000</v>
      </c>
      <c r="L12303" t="str">
        <f>T("2286885947")</f>
        <v>2286885947</v>
      </c>
    </row>
    <row r="12304" spans="1:12" x14ac:dyDescent="0.35">
      <c r="A12304" t="str">
        <f t="shared" si="4563"/>
        <v>NAVAL OCEANOGRAPHIC OFFICE</v>
      </c>
      <c r="B12304" t="str">
        <f t="shared" si="4564"/>
        <v>1002 BALCH BLVD</v>
      </c>
      <c r="C12304" t="str">
        <f t="shared" si="4565"/>
        <v/>
      </c>
      <c r="D12304" t="str">
        <f t="shared" si="4566"/>
        <v>STENNIS CTR</v>
      </c>
      <c r="E12304" t="str">
        <f t="shared" si="4567"/>
        <v>MS</v>
      </c>
      <c r="F12304" t="str">
        <f t="shared" si="4568"/>
        <v>395225001</v>
      </c>
      <c r="G12304" t="str">
        <f t="shared" si="4569"/>
        <v>1002 BALCH BLVD</v>
      </c>
      <c r="H12304" t="str">
        <f t="shared" si="4570"/>
        <v/>
      </c>
      <c r="I12304" t="str">
        <f t="shared" si="4574"/>
        <v>STENNIS SPACE CENTER</v>
      </c>
      <c r="J12304" t="str">
        <f t="shared" si="4572"/>
        <v>MS</v>
      </c>
      <c r="K12304" t="str">
        <f t="shared" si="4573"/>
        <v>000000000000000000</v>
      </c>
      <c r="L12304" t="str">
        <f>T("2286898039")</f>
        <v>2286898039</v>
      </c>
    </row>
    <row r="12305" spans="1:12" x14ac:dyDescent="0.35">
      <c r="A12305" t="str">
        <f t="shared" si="4563"/>
        <v>NAVAL OCEANOGRAPHIC OFFICE</v>
      </c>
      <c r="B12305" t="str">
        <f t="shared" si="4564"/>
        <v>1002 BALCH BLVD</v>
      </c>
      <c r="C12305" t="str">
        <f t="shared" si="4565"/>
        <v/>
      </c>
      <c r="D12305" t="str">
        <f t="shared" si="4566"/>
        <v>STENNIS CTR</v>
      </c>
      <c r="E12305" t="str">
        <f t="shared" si="4567"/>
        <v>MS</v>
      </c>
      <c r="F12305" t="str">
        <f t="shared" si="4568"/>
        <v>395225001</v>
      </c>
      <c r="G12305" t="str">
        <f t="shared" si="4569"/>
        <v>1002 BALCH BLVD</v>
      </c>
      <c r="H12305" t="str">
        <f>T("BLDG 1002")</f>
        <v>BLDG 1002</v>
      </c>
      <c r="I12305" t="str">
        <f t="shared" si="4574"/>
        <v>STENNIS SPACE CENTER</v>
      </c>
      <c r="J12305" t="str">
        <f t="shared" si="4572"/>
        <v>MS</v>
      </c>
      <c r="K12305" t="str">
        <f t="shared" si="4573"/>
        <v>000000000000000000</v>
      </c>
      <c r="L12305" t="str">
        <f>T("2286885315")</f>
        <v>2286885315</v>
      </c>
    </row>
    <row r="12306" spans="1:12" x14ac:dyDescent="0.35">
      <c r="A12306" t="str">
        <f t="shared" si="4563"/>
        <v>NAVAL OCEANOGRAPHIC OFFICE</v>
      </c>
      <c r="B12306" t="str">
        <f t="shared" si="4564"/>
        <v>1002 BALCH BLVD</v>
      </c>
      <c r="C12306" t="str">
        <f t="shared" si="4565"/>
        <v/>
      </c>
      <c r="D12306" t="str">
        <f t="shared" si="4566"/>
        <v>STENNIS CTR</v>
      </c>
      <c r="E12306" t="str">
        <f t="shared" si="4567"/>
        <v>MS</v>
      </c>
      <c r="F12306" t="str">
        <f t="shared" si="4568"/>
        <v>395225001</v>
      </c>
      <c r="G12306" t="str">
        <f t="shared" si="4569"/>
        <v>1002 BALCH BLVD</v>
      </c>
      <c r="H12306" t="str">
        <f>T("CODE N631")</f>
        <v>CODE N631</v>
      </c>
      <c r="I12306" t="str">
        <f t="shared" si="4574"/>
        <v>STENNIS SPACE CENTER</v>
      </c>
      <c r="J12306" t="str">
        <f t="shared" si="4572"/>
        <v>MS</v>
      </c>
      <c r="K12306" t="str">
        <f t="shared" si="4573"/>
        <v>000000000000000000</v>
      </c>
      <c r="L12306" t="str">
        <f>T("2286885530")</f>
        <v>2286885530</v>
      </c>
    </row>
    <row r="12307" spans="1:12" x14ac:dyDescent="0.35">
      <c r="A12307" t="str">
        <f t="shared" si="4563"/>
        <v>NAVAL OCEANOGRAPHIC OFFICE</v>
      </c>
      <c r="B12307" t="str">
        <f t="shared" si="4564"/>
        <v>1002 BALCH BLVD</v>
      </c>
      <c r="C12307" t="str">
        <f t="shared" si="4565"/>
        <v/>
      </c>
      <c r="D12307" t="str">
        <f t="shared" ref="D12307:D12338" si="4575">T("STENNIS SPACE CENTER")</f>
        <v>STENNIS SPACE CENTER</v>
      </c>
      <c r="E12307" t="str">
        <f t="shared" si="4567"/>
        <v>MS</v>
      </c>
      <c r="F12307" t="str">
        <f t="shared" si="4568"/>
        <v>395225001</v>
      </c>
      <c r="G12307" t="str">
        <f t="shared" si="4569"/>
        <v>1002 BALCH BLVD</v>
      </c>
      <c r="H12307" t="str">
        <f t="shared" ref="H12307:H12353" si="4576">T("")</f>
        <v/>
      </c>
      <c r="I12307" t="str">
        <f t="shared" si="4574"/>
        <v>STENNIS SPACE CENTER</v>
      </c>
      <c r="J12307" t="str">
        <f t="shared" si="4572"/>
        <v>MS</v>
      </c>
      <c r="K12307" t="str">
        <f t="shared" si="4573"/>
        <v>000000000000000000</v>
      </c>
      <c r="L12307" t="str">
        <f>T("2282161273")</f>
        <v>2282161273</v>
      </c>
    </row>
    <row r="12308" spans="1:12" x14ac:dyDescent="0.35">
      <c r="A12308" t="str">
        <f t="shared" si="4563"/>
        <v>NAVAL OCEANOGRAPHIC OFFICE</v>
      </c>
      <c r="B12308" t="str">
        <f t="shared" si="4564"/>
        <v>1002 BALCH BLVD</v>
      </c>
      <c r="C12308" t="str">
        <f t="shared" si="4565"/>
        <v/>
      </c>
      <c r="D12308" t="str">
        <f t="shared" si="4575"/>
        <v>STENNIS SPACE CENTER</v>
      </c>
      <c r="E12308" t="str">
        <f t="shared" si="4567"/>
        <v>MS</v>
      </c>
      <c r="F12308" t="str">
        <f t="shared" si="4568"/>
        <v>395225001</v>
      </c>
      <c r="G12308" t="str">
        <f t="shared" si="4569"/>
        <v>1002 BALCH BLVD</v>
      </c>
      <c r="H12308" t="str">
        <f t="shared" si="4576"/>
        <v/>
      </c>
      <c r="I12308" t="str">
        <f t="shared" si="4574"/>
        <v>STENNIS SPACE CENTER</v>
      </c>
      <c r="J12308" t="str">
        <f t="shared" si="4572"/>
        <v>MS</v>
      </c>
      <c r="K12308" t="str">
        <f t="shared" si="4573"/>
        <v>000000000000000000</v>
      </c>
      <c r="L12308" t="str">
        <f>T("2282162321")</f>
        <v>2282162321</v>
      </c>
    </row>
    <row r="12309" spans="1:12" x14ac:dyDescent="0.35">
      <c r="A12309" t="str">
        <f t="shared" si="4563"/>
        <v>NAVAL OCEANOGRAPHIC OFFICE</v>
      </c>
      <c r="B12309" t="str">
        <f t="shared" si="4564"/>
        <v>1002 BALCH BLVD</v>
      </c>
      <c r="C12309" t="str">
        <f t="shared" si="4565"/>
        <v/>
      </c>
      <c r="D12309" t="str">
        <f t="shared" si="4575"/>
        <v>STENNIS SPACE CENTER</v>
      </c>
      <c r="E12309" t="str">
        <f t="shared" si="4567"/>
        <v>MS</v>
      </c>
      <c r="F12309" t="str">
        <f t="shared" si="4568"/>
        <v>395225001</v>
      </c>
      <c r="G12309" t="str">
        <f t="shared" si="4569"/>
        <v>1002 BALCH BLVD</v>
      </c>
      <c r="H12309" t="str">
        <f t="shared" si="4576"/>
        <v/>
      </c>
      <c r="I12309" t="str">
        <f t="shared" si="4574"/>
        <v>STENNIS SPACE CENTER</v>
      </c>
      <c r="J12309" t="str">
        <f t="shared" si="4572"/>
        <v>MS</v>
      </c>
      <c r="K12309" t="str">
        <f t="shared" si="4573"/>
        <v>000000000000000000</v>
      </c>
      <c r="L12309" t="str">
        <f>T("2286884017")</f>
        <v>2286884017</v>
      </c>
    </row>
    <row r="12310" spans="1:12" x14ac:dyDescent="0.35">
      <c r="A12310" t="str">
        <f t="shared" si="4563"/>
        <v>NAVAL OCEANOGRAPHIC OFFICE</v>
      </c>
      <c r="B12310" t="str">
        <f t="shared" si="4564"/>
        <v>1002 BALCH BLVD</v>
      </c>
      <c r="C12310" t="str">
        <f t="shared" si="4565"/>
        <v/>
      </c>
      <c r="D12310" t="str">
        <f t="shared" si="4575"/>
        <v>STENNIS SPACE CENTER</v>
      </c>
      <c r="E12310" t="str">
        <f t="shared" si="4567"/>
        <v>MS</v>
      </c>
      <c r="F12310" t="str">
        <f t="shared" si="4568"/>
        <v>395225001</v>
      </c>
      <c r="G12310" t="str">
        <f t="shared" si="4569"/>
        <v>1002 BALCH BLVD</v>
      </c>
      <c r="H12310" t="str">
        <f t="shared" si="4576"/>
        <v/>
      </c>
      <c r="I12310" t="str">
        <f t="shared" si="4574"/>
        <v>STENNIS SPACE CENTER</v>
      </c>
      <c r="J12310" t="str">
        <f t="shared" si="4572"/>
        <v>MS</v>
      </c>
      <c r="K12310" t="str">
        <f t="shared" si="4573"/>
        <v>000000000000000000</v>
      </c>
      <c r="L12310" t="str">
        <f>T("2286884018")</f>
        <v>2286884018</v>
      </c>
    </row>
    <row r="12311" spans="1:12" x14ac:dyDescent="0.35">
      <c r="A12311" t="str">
        <f t="shared" si="4563"/>
        <v>NAVAL OCEANOGRAPHIC OFFICE</v>
      </c>
      <c r="B12311" t="str">
        <f t="shared" si="4564"/>
        <v>1002 BALCH BLVD</v>
      </c>
      <c r="C12311" t="str">
        <f t="shared" si="4565"/>
        <v/>
      </c>
      <c r="D12311" t="str">
        <f t="shared" si="4575"/>
        <v>STENNIS SPACE CENTER</v>
      </c>
      <c r="E12311" t="str">
        <f t="shared" si="4567"/>
        <v>MS</v>
      </c>
      <c r="F12311" t="str">
        <f t="shared" si="4568"/>
        <v>395225001</v>
      </c>
      <c r="G12311" t="str">
        <f t="shared" si="4569"/>
        <v>1002 BALCH BLVD</v>
      </c>
      <c r="H12311" t="str">
        <f t="shared" si="4576"/>
        <v/>
      </c>
      <c r="I12311" t="str">
        <f t="shared" si="4574"/>
        <v>STENNIS SPACE CENTER</v>
      </c>
      <c r="J12311" t="str">
        <f t="shared" si="4572"/>
        <v>MS</v>
      </c>
      <c r="K12311" t="str">
        <f t="shared" si="4573"/>
        <v>000000000000000000</v>
      </c>
      <c r="L12311" t="str">
        <f>T("2286884062")</f>
        <v>2286884062</v>
      </c>
    </row>
    <row r="12312" spans="1:12" x14ac:dyDescent="0.35">
      <c r="A12312" t="str">
        <f t="shared" si="4563"/>
        <v>NAVAL OCEANOGRAPHIC OFFICE</v>
      </c>
      <c r="B12312" t="str">
        <f t="shared" si="4564"/>
        <v>1002 BALCH BLVD</v>
      </c>
      <c r="C12312" t="str">
        <f t="shared" si="4565"/>
        <v/>
      </c>
      <c r="D12312" t="str">
        <f t="shared" si="4575"/>
        <v>STENNIS SPACE CENTER</v>
      </c>
      <c r="E12312" t="str">
        <f t="shared" si="4567"/>
        <v>MS</v>
      </c>
      <c r="F12312" t="str">
        <f t="shared" si="4568"/>
        <v>395225001</v>
      </c>
      <c r="G12312" t="str">
        <f t="shared" si="4569"/>
        <v>1002 BALCH BLVD</v>
      </c>
      <c r="H12312" t="str">
        <f t="shared" si="4576"/>
        <v/>
      </c>
      <c r="I12312" t="str">
        <f t="shared" si="4574"/>
        <v>STENNIS SPACE CENTER</v>
      </c>
      <c r="J12312" t="str">
        <f t="shared" si="4572"/>
        <v>MS</v>
      </c>
      <c r="K12312" t="str">
        <f t="shared" si="4573"/>
        <v>000000000000000000</v>
      </c>
      <c r="L12312" t="str">
        <f>T("2286884068")</f>
        <v>2286884068</v>
      </c>
    </row>
    <row r="12313" spans="1:12" x14ac:dyDescent="0.35">
      <c r="A12313" t="str">
        <f t="shared" si="4563"/>
        <v>NAVAL OCEANOGRAPHIC OFFICE</v>
      </c>
      <c r="B12313" t="str">
        <f t="shared" si="4564"/>
        <v>1002 BALCH BLVD</v>
      </c>
      <c r="C12313" t="str">
        <f t="shared" si="4565"/>
        <v/>
      </c>
      <c r="D12313" t="str">
        <f t="shared" si="4575"/>
        <v>STENNIS SPACE CENTER</v>
      </c>
      <c r="E12313" t="str">
        <f t="shared" si="4567"/>
        <v>MS</v>
      </c>
      <c r="F12313" t="str">
        <f t="shared" si="4568"/>
        <v>395225001</v>
      </c>
      <c r="G12313" t="str">
        <f t="shared" si="4569"/>
        <v>1002 BALCH BLVD</v>
      </c>
      <c r="H12313" t="str">
        <f t="shared" si="4576"/>
        <v/>
      </c>
      <c r="I12313" t="str">
        <f t="shared" si="4574"/>
        <v>STENNIS SPACE CENTER</v>
      </c>
      <c r="J12313" t="str">
        <f t="shared" si="4572"/>
        <v>MS</v>
      </c>
      <c r="K12313" t="str">
        <f t="shared" si="4573"/>
        <v>000000000000000000</v>
      </c>
      <c r="L12313" t="str">
        <f>T("2286884081")</f>
        <v>2286884081</v>
      </c>
    </row>
    <row r="12314" spans="1:12" x14ac:dyDescent="0.35">
      <c r="A12314" t="str">
        <f t="shared" si="4563"/>
        <v>NAVAL OCEANOGRAPHIC OFFICE</v>
      </c>
      <c r="B12314" t="str">
        <f t="shared" si="4564"/>
        <v>1002 BALCH BLVD</v>
      </c>
      <c r="C12314" t="str">
        <f t="shared" si="4565"/>
        <v/>
      </c>
      <c r="D12314" t="str">
        <f t="shared" si="4575"/>
        <v>STENNIS SPACE CENTER</v>
      </c>
      <c r="E12314" t="str">
        <f t="shared" si="4567"/>
        <v>MS</v>
      </c>
      <c r="F12314" t="str">
        <f t="shared" si="4568"/>
        <v>395225001</v>
      </c>
      <c r="G12314" t="str">
        <f t="shared" si="4569"/>
        <v>1002 BALCH BLVD</v>
      </c>
      <c r="H12314" t="str">
        <f t="shared" si="4576"/>
        <v/>
      </c>
      <c r="I12314" t="str">
        <f t="shared" si="4574"/>
        <v>STENNIS SPACE CENTER</v>
      </c>
      <c r="J12314" t="str">
        <f t="shared" si="4572"/>
        <v>MS</v>
      </c>
      <c r="K12314" t="str">
        <f t="shared" si="4573"/>
        <v>000000000000000000</v>
      </c>
      <c r="L12314" t="str">
        <f>T("2286884146")</f>
        <v>2286884146</v>
      </c>
    </row>
    <row r="12315" spans="1:12" x14ac:dyDescent="0.35">
      <c r="A12315" t="str">
        <f t="shared" si="4563"/>
        <v>NAVAL OCEANOGRAPHIC OFFICE</v>
      </c>
      <c r="B12315" t="str">
        <f t="shared" si="4564"/>
        <v>1002 BALCH BLVD</v>
      </c>
      <c r="C12315" t="str">
        <f t="shared" si="4565"/>
        <v/>
      </c>
      <c r="D12315" t="str">
        <f t="shared" si="4575"/>
        <v>STENNIS SPACE CENTER</v>
      </c>
      <c r="E12315" t="str">
        <f t="shared" si="4567"/>
        <v>MS</v>
      </c>
      <c r="F12315" t="str">
        <f t="shared" si="4568"/>
        <v>395225001</v>
      </c>
      <c r="G12315" t="str">
        <f t="shared" si="4569"/>
        <v>1002 BALCH BLVD</v>
      </c>
      <c r="H12315" t="str">
        <f t="shared" si="4576"/>
        <v/>
      </c>
      <c r="I12315" t="str">
        <f t="shared" si="4574"/>
        <v>STENNIS SPACE CENTER</v>
      </c>
      <c r="J12315" t="str">
        <f t="shared" si="4572"/>
        <v>MS</v>
      </c>
      <c r="K12315" t="str">
        <f t="shared" si="4573"/>
        <v>000000000000000000</v>
      </c>
      <c r="L12315" t="str">
        <f>T("2286884156")</f>
        <v>2286884156</v>
      </c>
    </row>
    <row r="12316" spans="1:12" x14ac:dyDescent="0.35">
      <c r="A12316" t="str">
        <f t="shared" si="4563"/>
        <v>NAVAL OCEANOGRAPHIC OFFICE</v>
      </c>
      <c r="B12316" t="str">
        <f t="shared" si="4564"/>
        <v>1002 BALCH BLVD</v>
      </c>
      <c r="C12316" t="str">
        <f t="shared" si="4565"/>
        <v/>
      </c>
      <c r="D12316" t="str">
        <f t="shared" si="4575"/>
        <v>STENNIS SPACE CENTER</v>
      </c>
      <c r="E12316" t="str">
        <f t="shared" si="4567"/>
        <v>MS</v>
      </c>
      <c r="F12316" t="str">
        <f t="shared" si="4568"/>
        <v>395225001</v>
      </c>
      <c r="G12316" t="str">
        <f t="shared" si="4569"/>
        <v>1002 BALCH BLVD</v>
      </c>
      <c r="H12316" t="str">
        <f t="shared" si="4576"/>
        <v/>
      </c>
      <c r="I12316" t="str">
        <f t="shared" si="4574"/>
        <v>STENNIS SPACE CENTER</v>
      </c>
      <c r="J12316" t="str">
        <f t="shared" si="4572"/>
        <v>MS</v>
      </c>
      <c r="K12316" t="str">
        <f t="shared" si="4573"/>
        <v>000000000000000000</v>
      </c>
      <c r="L12316" t="str">
        <f>T("2286884160")</f>
        <v>2286884160</v>
      </c>
    </row>
    <row r="12317" spans="1:12" x14ac:dyDescent="0.35">
      <c r="A12317" t="str">
        <f t="shared" si="4563"/>
        <v>NAVAL OCEANOGRAPHIC OFFICE</v>
      </c>
      <c r="B12317" t="str">
        <f t="shared" si="4564"/>
        <v>1002 BALCH BLVD</v>
      </c>
      <c r="C12317" t="str">
        <f t="shared" si="4565"/>
        <v/>
      </c>
      <c r="D12317" t="str">
        <f t="shared" si="4575"/>
        <v>STENNIS SPACE CENTER</v>
      </c>
      <c r="E12317" t="str">
        <f t="shared" si="4567"/>
        <v>MS</v>
      </c>
      <c r="F12317" t="str">
        <f t="shared" si="4568"/>
        <v>395225001</v>
      </c>
      <c r="G12317" t="str">
        <f t="shared" si="4569"/>
        <v>1002 BALCH BLVD</v>
      </c>
      <c r="H12317" t="str">
        <f t="shared" si="4576"/>
        <v/>
      </c>
      <c r="I12317" t="str">
        <f t="shared" si="4574"/>
        <v>STENNIS SPACE CENTER</v>
      </c>
      <c r="J12317" t="str">
        <f t="shared" si="4572"/>
        <v>MS</v>
      </c>
      <c r="K12317" t="str">
        <f t="shared" si="4573"/>
        <v>000000000000000000</v>
      </c>
      <c r="L12317" t="str">
        <f>T("2286884163")</f>
        <v>2286884163</v>
      </c>
    </row>
    <row r="12318" spans="1:12" x14ac:dyDescent="0.35">
      <c r="A12318" t="str">
        <f t="shared" si="4563"/>
        <v>NAVAL OCEANOGRAPHIC OFFICE</v>
      </c>
      <c r="B12318" t="str">
        <f t="shared" si="4564"/>
        <v>1002 BALCH BLVD</v>
      </c>
      <c r="C12318" t="str">
        <f t="shared" si="4565"/>
        <v/>
      </c>
      <c r="D12318" t="str">
        <f t="shared" si="4575"/>
        <v>STENNIS SPACE CENTER</v>
      </c>
      <c r="E12318" t="str">
        <f t="shared" si="4567"/>
        <v>MS</v>
      </c>
      <c r="F12318" t="str">
        <f t="shared" si="4568"/>
        <v>395225001</v>
      </c>
      <c r="G12318" t="str">
        <f t="shared" si="4569"/>
        <v>1002 BALCH BLVD</v>
      </c>
      <c r="H12318" t="str">
        <f t="shared" si="4576"/>
        <v/>
      </c>
      <c r="I12318" t="str">
        <f t="shared" si="4574"/>
        <v>STENNIS SPACE CENTER</v>
      </c>
      <c r="J12318" t="str">
        <f t="shared" si="4572"/>
        <v>MS</v>
      </c>
      <c r="K12318" t="str">
        <f t="shared" si="4573"/>
        <v>000000000000000000</v>
      </c>
      <c r="L12318" t="str">
        <f>T("2286884167")</f>
        <v>2286884167</v>
      </c>
    </row>
    <row r="12319" spans="1:12" x14ac:dyDescent="0.35">
      <c r="A12319" t="str">
        <f t="shared" ref="A12319:A12350" si="4577">T("NAVAL OCEANOGRAPHIC OFFICE")</f>
        <v>NAVAL OCEANOGRAPHIC OFFICE</v>
      </c>
      <c r="B12319" t="str">
        <f t="shared" ref="B12319:B12350" si="4578">T("1002 BALCH BLVD")</f>
        <v>1002 BALCH BLVD</v>
      </c>
      <c r="C12319" t="str">
        <f t="shared" ref="C12319:C12350" si="4579">T("")</f>
        <v/>
      </c>
      <c r="D12319" t="str">
        <f t="shared" si="4575"/>
        <v>STENNIS SPACE CENTER</v>
      </c>
      <c r="E12319" t="str">
        <f t="shared" ref="E12319:E12350" si="4580">T("MS")</f>
        <v>MS</v>
      </c>
      <c r="F12319" t="str">
        <f t="shared" ref="F12319:F12350" si="4581">T("395225001")</f>
        <v>395225001</v>
      </c>
      <c r="G12319" t="str">
        <f t="shared" ref="G12319:G12350" si="4582">T("1002 BALCH BLVD")</f>
        <v>1002 BALCH BLVD</v>
      </c>
      <c r="H12319" t="str">
        <f t="shared" si="4576"/>
        <v/>
      </c>
      <c r="I12319" t="str">
        <f t="shared" si="4574"/>
        <v>STENNIS SPACE CENTER</v>
      </c>
      <c r="J12319" t="str">
        <f t="shared" ref="J12319:J12350" si="4583">T("MS")</f>
        <v>MS</v>
      </c>
      <c r="K12319" t="str">
        <f t="shared" ref="K12319:K12350" si="4584">T("000000000000000000")</f>
        <v>000000000000000000</v>
      </c>
      <c r="L12319" t="str">
        <f>T("2286884183")</f>
        <v>2286884183</v>
      </c>
    </row>
    <row r="12320" spans="1:12" x14ac:dyDescent="0.35">
      <c r="A12320" t="str">
        <f t="shared" si="4577"/>
        <v>NAVAL OCEANOGRAPHIC OFFICE</v>
      </c>
      <c r="B12320" t="str">
        <f t="shared" si="4578"/>
        <v>1002 BALCH BLVD</v>
      </c>
      <c r="C12320" t="str">
        <f t="shared" si="4579"/>
        <v/>
      </c>
      <c r="D12320" t="str">
        <f t="shared" si="4575"/>
        <v>STENNIS SPACE CENTER</v>
      </c>
      <c r="E12320" t="str">
        <f t="shared" si="4580"/>
        <v>MS</v>
      </c>
      <c r="F12320" t="str">
        <f t="shared" si="4581"/>
        <v>395225001</v>
      </c>
      <c r="G12320" t="str">
        <f t="shared" si="4582"/>
        <v>1002 BALCH BLVD</v>
      </c>
      <c r="H12320" t="str">
        <f t="shared" si="4576"/>
        <v/>
      </c>
      <c r="I12320" t="str">
        <f t="shared" si="4574"/>
        <v>STENNIS SPACE CENTER</v>
      </c>
      <c r="J12320" t="str">
        <f t="shared" si="4583"/>
        <v>MS</v>
      </c>
      <c r="K12320" t="str">
        <f t="shared" si="4584"/>
        <v>000000000000000000</v>
      </c>
      <c r="L12320" t="str">
        <f>T("2286884205")</f>
        <v>2286884205</v>
      </c>
    </row>
    <row r="12321" spans="1:12" x14ac:dyDescent="0.35">
      <c r="A12321" t="str">
        <f t="shared" si="4577"/>
        <v>NAVAL OCEANOGRAPHIC OFFICE</v>
      </c>
      <c r="B12321" t="str">
        <f t="shared" si="4578"/>
        <v>1002 BALCH BLVD</v>
      </c>
      <c r="C12321" t="str">
        <f t="shared" si="4579"/>
        <v/>
      </c>
      <c r="D12321" t="str">
        <f t="shared" si="4575"/>
        <v>STENNIS SPACE CENTER</v>
      </c>
      <c r="E12321" t="str">
        <f t="shared" si="4580"/>
        <v>MS</v>
      </c>
      <c r="F12321" t="str">
        <f t="shared" si="4581"/>
        <v>395225001</v>
      </c>
      <c r="G12321" t="str">
        <f t="shared" si="4582"/>
        <v>1002 BALCH BLVD</v>
      </c>
      <c r="H12321" t="str">
        <f t="shared" si="4576"/>
        <v/>
      </c>
      <c r="I12321" t="str">
        <f t="shared" si="4574"/>
        <v>STENNIS SPACE CENTER</v>
      </c>
      <c r="J12321" t="str">
        <f t="shared" si="4583"/>
        <v>MS</v>
      </c>
      <c r="K12321" t="str">
        <f t="shared" si="4584"/>
        <v>000000000000000000</v>
      </c>
      <c r="L12321" t="str">
        <f>T("2286884244")</f>
        <v>2286884244</v>
      </c>
    </row>
    <row r="12322" spans="1:12" x14ac:dyDescent="0.35">
      <c r="A12322" t="str">
        <f t="shared" si="4577"/>
        <v>NAVAL OCEANOGRAPHIC OFFICE</v>
      </c>
      <c r="B12322" t="str">
        <f t="shared" si="4578"/>
        <v>1002 BALCH BLVD</v>
      </c>
      <c r="C12322" t="str">
        <f t="shared" si="4579"/>
        <v/>
      </c>
      <c r="D12322" t="str">
        <f t="shared" si="4575"/>
        <v>STENNIS SPACE CENTER</v>
      </c>
      <c r="E12322" t="str">
        <f t="shared" si="4580"/>
        <v>MS</v>
      </c>
      <c r="F12322" t="str">
        <f t="shared" si="4581"/>
        <v>395225001</v>
      </c>
      <c r="G12322" t="str">
        <f t="shared" si="4582"/>
        <v>1002 BALCH BLVD</v>
      </c>
      <c r="H12322" t="str">
        <f t="shared" si="4576"/>
        <v/>
      </c>
      <c r="I12322" t="str">
        <f t="shared" si="4574"/>
        <v>STENNIS SPACE CENTER</v>
      </c>
      <c r="J12322" t="str">
        <f t="shared" si="4583"/>
        <v>MS</v>
      </c>
      <c r="K12322" t="str">
        <f t="shared" si="4584"/>
        <v>000000000000000000</v>
      </c>
      <c r="L12322" t="str">
        <f>T("2286884291")</f>
        <v>2286884291</v>
      </c>
    </row>
    <row r="12323" spans="1:12" x14ac:dyDescent="0.35">
      <c r="A12323" t="str">
        <f t="shared" si="4577"/>
        <v>NAVAL OCEANOGRAPHIC OFFICE</v>
      </c>
      <c r="B12323" t="str">
        <f t="shared" si="4578"/>
        <v>1002 BALCH BLVD</v>
      </c>
      <c r="C12323" t="str">
        <f t="shared" si="4579"/>
        <v/>
      </c>
      <c r="D12323" t="str">
        <f t="shared" si="4575"/>
        <v>STENNIS SPACE CENTER</v>
      </c>
      <c r="E12323" t="str">
        <f t="shared" si="4580"/>
        <v>MS</v>
      </c>
      <c r="F12323" t="str">
        <f t="shared" si="4581"/>
        <v>395225001</v>
      </c>
      <c r="G12323" t="str">
        <f t="shared" si="4582"/>
        <v>1002 BALCH BLVD</v>
      </c>
      <c r="H12323" t="str">
        <f t="shared" si="4576"/>
        <v/>
      </c>
      <c r="I12323" t="str">
        <f t="shared" si="4574"/>
        <v>STENNIS SPACE CENTER</v>
      </c>
      <c r="J12323" t="str">
        <f t="shared" si="4583"/>
        <v>MS</v>
      </c>
      <c r="K12323" t="str">
        <f t="shared" si="4584"/>
        <v>000000000000000000</v>
      </c>
      <c r="L12323" t="str">
        <f>T("2286884332")</f>
        <v>2286884332</v>
      </c>
    </row>
    <row r="12324" spans="1:12" x14ac:dyDescent="0.35">
      <c r="A12324" t="str">
        <f t="shared" si="4577"/>
        <v>NAVAL OCEANOGRAPHIC OFFICE</v>
      </c>
      <c r="B12324" t="str">
        <f t="shared" si="4578"/>
        <v>1002 BALCH BLVD</v>
      </c>
      <c r="C12324" t="str">
        <f t="shared" si="4579"/>
        <v/>
      </c>
      <c r="D12324" t="str">
        <f t="shared" si="4575"/>
        <v>STENNIS SPACE CENTER</v>
      </c>
      <c r="E12324" t="str">
        <f t="shared" si="4580"/>
        <v>MS</v>
      </c>
      <c r="F12324" t="str">
        <f t="shared" si="4581"/>
        <v>395225001</v>
      </c>
      <c r="G12324" t="str">
        <f t="shared" si="4582"/>
        <v>1002 BALCH BLVD</v>
      </c>
      <c r="H12324" t="str">
        <f t="shared" si="4576"/>
        <v/>
      </c>
      <c r="I12324" t="str">
        <f t="shared" si="4574"/>
        <v>STENNIS SPACE CENTER</v>
      </c>
      <c r="J12324" t="str">
        <f t="shared" si="4583"/>
        <v>MS</v>
      </c>
      <c r="K12324" t="str">
        <f t="shared" si="4584"/>
        <v>000000000000000000</v>
      </c>
      <c r="L12324" t="str">
        <f>T("2286884370")</f>
        <v>2286884370</v>
      </c>
    </row>
    <row r="12325" spans="1:12" x14ac:dyDescent="0.35">
      <c r="A12325" t="str">
        <f t="shared" si="4577"/>
        <v>NAVAL OCEANOGRAPHIC OFFICE</v>
      </c>
      <c r="B12325" t="str">
        <f t="shared" si="4578"/>
        <v>1002 BALCH BLVD</v>
      </c>
      <c r="C12325" t="str">
        <f t="shared" si="4579"/>
        <v/>
      </c>
      <c r="D12325" t="str">
        <f t="shared" si="4575"/>
        <v>STENNIS SPACE CENTER</v>
      </c>
      <c r="E12325" t="str">
        <f t="shared" si="4580"/>
        <v>MS</v>
      </c>
      <c r="F12325" t="str">
        <f t="shared" si="4581"/>
        <v>395225001</v>
      </c>
      <c r="G12325" t="str">
        <f t="shared" si="4582"/>
        <v>1002 BALCH BLVD</v>
      </c>
      <c r="H12325" t="str">
        <f t="shared" si="4576"/>
        <v/>
      </c>
      <c r="I12325" t="str">
        <f t="shared" si="4574"/>
        <v>STENNIS SPACE CENTER</v>
      </c>
      <c r="J12325" t="str">
        <f t="shared" si="4583"/>
        <v>MS</v>
      </c>
      <c r="K12325" t="str">
        <f t="shared" si="4584"/>
        <v>000000000000000000</v>
      </c>
      <c r="L12325" t="str">
        <f>T("2286884406")</f>
        <v>2286884406</v>
      </c>
    </row>
    <row r="12326" spans="1:12" x14ac:dyDescent="0.35">
      <c r="A12326" t="str">
        <f t="shared" si="4577"/>
        <v>NAVAL OCEANOGRAPHIC OFFICE</v>
      </c>
      <c r="B12326" t="str">
        <f t="shared" si="4578"/>
        <v>1002 BALCH BLVD</v>
      </c>
      <c r="C12326" t="str">
        <f t="shared" si="4579"/>
        <v/>
      </c>
      <c r="D12326" t="str">
        <f t="shared" si="4575"/>
        <v>STENNIS SPACE CENTER</v>
      </c>
      <c r="E12326" t="str">
        <f t="shared" si="4580"/>
        <v>MS</v>
      </c>
      <c r="F12326" t="str">
        <f t="shared" si="4581"/>
        <v>395225001</v>
      </c>
      <c r="G12326" t="str">
        <f t="shared" si="4582"/>
        <v>1002 BALCH BLVD</v>
      </c>
      <c r="H12326" t="str">
        <f t="shared" si="4576"/>
        <v/>
      </c>
      <c r="I12326" t="str">
        <f t="shared" si="4574"/>
        <v>STENNIS SPACE CENTER</v>
      </c>
      <c r="J12326" t="str">
        <f t="shared" si="4583"/>
        <v>MS</v>
      </c>
      <c r="K12326" t="str">
        <f t="shared" si="4584"/>
        <v>000000000000000000</v>
      </c>
      <c r="L12326" t="str">
        <f>T("2286884560")</f>
        <v>2286884560</v>
      </c>
    </row>
    <row r="12327" spans="1:12" x14ac:dyDescent="0.35">
      <c r="A12327" t="str">
        <f t="shared" si="4577"/>
        <v>NAVAL OCEANOGRAPHIC OFFICE</v>
      </c>
      <c r="B12327" t="str">
        <f t="shared" si="4578"/>
        <v>1002 BALCH BLVD</v>
      </c>
      <c r="C12327" t="str">
        <f t="shared" si="4579"/>
        <v/>
      </c>
      <c r="D12327" t="str">
        <f t="shared" si="4575"/>
        <v>STENNIS SPACE CENTER</v>
      </c>
      <c r="E12327" t="str">
        <f t="shared" si="4580"/>
        <v>MS</v>
      </c>
      <c r="F12327" t="str">
        <f t="shared" si="4581"/>
        <v>395225001</v>
      </c>
      <c r="G12327" t="str">
        <f t="shared" si="4582"/>
        <v>1002 BALCH BLVD</v>
      </c>
      <c r="H12327" t="str">
        <f t="shared" si="4576"/>
        <v/>
      </c>
      <c r="I12327" t="str">
        <f t="shared" ref="I12327:I12362" si="4585">T("STENNIS SPACE CENTER")</f>
        <v>STENNIS SPACE CENTER</v>
      </c>
      <c r="J12327" t="str">
        <f t="shared" si="4583"/>
        <v>MS</v>
      </c>
      <c r="K12327" t="str">
        <f t="shared" si="4584"/>
        <v>000000000000000000</v>
      </c>
      <c r="L12327" t="str">
        <f>T("2286884868")</f>
        <v>2286884868</v>
      </c>
    </row>
    <row r="12328" spans="1:12" x14ac:dyDescent="0.35">
      <c r="A12328" t="str">
        <f t="shared" si="4577"/>
        <v>NAVAL OCEANOGRAPHIC OFFICE</v>
      </c>
      <c r="B12328" t="str">
        <f t="shared" si="4578"/>
        <v>1002 BALCH BLVD</v>
      </c>
      <c r="C12328" t="str">
        <f t="shared" si="4579"/>
        <v/>
      </c>
      <c r="D12328" t="str">
        <f t="shared" si="4575"/>
        <v>STENNIS SPACE CENTER</v>
      </c>
      <c r="E12328" t="str">
        <f t="shared" si="4580"/>
        <v>MS</v>
      </c>
      <c r="F12328" t="str">
        <f t="shared" si="4581"/>
        <v>395225001</v>
      </c>
      <c r="G12328" t="str">
        <f t="shared" si="4582"/>
        <v>1002 BALCH BLVD</v>
      </c>
      <c r="H12328" t="str">
        <f t="shared" si="4576"/>
        <v/>
      </c>
      <c r="I12328" t="str">
        <f t="shared" si="4585"/>
        <v>STENNIS SPACE CENTER</v>
      </c>
      <c r="J12328" t="str">
        <f t="shared" si="4583"/>
        <v>MS</v>
      </c>
      <c r="K12328" t="str">
        <f t="shared" si="4584"/>
        <v>000000000000000000</v>
      </c>
      <c r="L12328" t="str">
        <f>T("2286885122")</f>
        <v>2286885122</v>
      </c>
    </row>
    <row r="12329" spans="1:12" x14ac:dyDescent="0.35">
      <c r="A12329" t="str">
        <f t="shared" si="4577"/>
        <v>NAVAL OCEANOGRAPHIC OFFICE</v>
      </c>
      <c r="B12329" t="str">
        <f t="shared" si="4578"/>
        <v>1002 BALCH BLVD</v>
      </c>
      <c r="C12329" t="str">
        <f t="shared" si="4579"/>
        <v/>
      </c>
      <c r="D12329" t="str">
        <f t="shared" si="4575"/>
        <v>STENNIS SPACE CENTER</v>
      </c>
      <c r="E12329" t="str">
        <f t="shared" si="4580"/>
        <v>MS</v>
      </c>
      <c r="F12329" t="str">
        <f t="shared" si="4581"/>
        <v>395225001</v>
      </c>
      <c r="G12329" t="str">
        <f t="shared" si="4582"/>
        <v>1002 BALCH BLVD</v>
      </c>
      <c r="H12329" t="str">
        <f t="shared" si="4576"/>
        <v/>
      </c>
      <c r="I12329" t="str">
        <f t="shared" si="4585"/>
        <v>STENNIS SPACE CENTER</v>
      </c>
      <c r="J12329" t="str">
        <f t="shared" si="4583"/>
        <v>MS</v>
      </c>
      <c r="K12329" t="str">
        <f t="shared" si="4584"/>
        <v>000000000000000000</v>
      </c>
      <c r="L12329" t="str">
        <f>T("2286885195")</f>
        <v>2286885195</v>
      </c>
    </row>
    <row r="12330" spans="1:12" x14ac:dyDescent="0.35">
      <c r="A12330" t="str">
        <f t="shared" si="4577"/>
        <v>NAVAL OCEANOGRAPHIC OFFICE</v>
      </c>
      <c r="B12330" t="str">
        <f t="shared" si="4578"/>
        <v>1002 BALCH BLVD</v>
      </c>
      <c r="C12330" t="str">
        <f t="shared" si="4579"/>
        <v/>
      </c>
      <c r="D12330" t="str">
        <f t="shared" si="4575"/>
        <v>STENNIS SPACE CENTER</v>
      </c>
      <c r="E12330" t="str">
        <f t="shared" si="4580"/>
        <v>MS</v>
      </c>
      <c r="F12330" t="str">
        <f t="shared" si="4581"/>
        <v>395225001</v>
      </c>
      <c r="G12330" t="str">
        <f t="shared" si="4582"/>
        <v>1002 BALCH BLVD</v>
      </c>
      <c r="H12330" t="str">
        <f t="shared" si="4576"/>
        <v/>
      </c>
      <c r="I12330" t="str">
        <f t="shared" si="4585"/>
        <v>STENNIS SPACE CENTER</v>
      </c>
      <c r="J12330" t="str">
        <f t="shared" si="4583"/>
        <v>MS</v>
      </c>
      <c r="K12330" t="str">
        <f t="shared" si="4584"/>
        <v>000000000000000000</v>
      </c>
      <c r="L12330" t="str">
        <f>T("2286885281")</f>
        <v>2286885281</v>
      </c>
    </row>
    <row r="12331" spans="1:12" x14ac:dyDescent="0.35">
      <c r="A12331" t="str">
        <f t="shared" si="4577"/>
        <v>NAVAL OCEANOGRAPHIC OFFICE</v>
      </c>
      <c r="B12331" t="str">
        <f t="shared" si="4578"/>
        <v>1002 BALCH BLVD</v>
      </c>
      <c r="C12331" t="str">
        <f t="shared" si="4579"/>
        <v/>
      </c>
      <c r="D12331" t="str">
        <f t="shared" si="4575"/>
        <v>STENNIS SPACE CENTER</v>
      </c>
      <c r="E12331" t="str">
        <f t="shared" si="4580"/>
        <v>MS</v>
      </c>
      <c r="F12331" t="str">
        <f t="shared" si="4581"/>
        <v>395225001</v>
      </c>
      <c r="G12331" t="str">
        <f t="shared" si="4582"/>
        <v>1002 BALCH BLVD</v>
      </c>
      <c r="H12331" t="str">
        <f t="shared" si="4576"/>
        <v/>
      </c>
      <c r="I12331" t="str">
        <f t="shared" si="4585"/>
        <v>STENNIS SPACE CENTER</v>
      </c>
      <c r="J12331" t="str">
        <f t="shared" si="4583"/>
        <v>MS</v>
      </c>
      <c r="K12331" t="str">
        <f t="shared" si="4584"/>
        <v>000000000000000000</v>
      </c>
      <c r="L12331" t="str">
        <f>T("2286885360")</f>
        <v>2286885360</v>
      </c>
    </row>
    <row r="12332" spans="1:12" x14ac:dyDescent="0.35">
      <c r="A12332" t="str">
        <f t="shared" si="4577"/>
        <v>NAVAL OCEANOGRAPHIC OFFICE</v>
      </c>
      <c r="B12332" t="str">
        <f t="shared" si="4578"/>
        <v>1002 BALCH BLVD</v>
      </c>
      <c r="C12332" t="str">
        <f t="shared" si="4579"/>
        <v/>
      </c>
      <c r="D12332" t="str">
        <f t="shared" si="4575"/>
        <v>STENNIS SPACE CENTER</v>
      </c>
      <c r="E12332" t="str">
        <f t="shared" si="4580"/>
        <v>MS</v>
      </c>
      <c r="F12332" t="str">
        <f t="shared" si="4581"/>
        <v>395225001</v>
      </c>
      <c r="G12332" t="str">
        <f t="shared" si="4582"/>
        <v>1002 BALCH BLVD</v>
      </c>
      <c r="H12332" t="str">
        <f t="shared" si="4576"/>
        <v/>
      </c>
      <c r="I12332" t="str">
        <f t="shared" si="4585"/>
        <v>STENNIS SPACE CENTER</v>
      </c>
      <c r="J12332" t="str">
        <f t="shared" si="4583"/>
        <v>MS</v>
      </c>
      <c r="K12332" t="str">
        <f t="shared" si="4584"/>
        <v>000000000000000000</v>
      </c>
      <c r="L12332" t="str">
        <f>T("2286885408")</f>
        <v>2286885408</v>
      </c>
    </row>
    <row r="12333" spans="1:12" x14ac:dyDescent="0.35">
      <c r="A12333" t="str">
        <f t="shared" si="4577"/>
        <v>NAVAL OCEANOGRAPHIC OFFICE</v>
      </c>
      <c r="B12333" t="str">
        <f t="shared" si="4578"/>
        <v>1002 BALCH BLVD</v>
      </c>
      <c r="C12333" t="str">
        <f t="shared" si="4579"/>
        <v/>
      </c>
      <c r="D12333" t="str">
        <f t="shared" si="4575"/>
        <v>STENNIS SPACE CENTER</v>
      </c>
      <c r="E12333" t="str">
        <f t="shared" si="4580"/>
        <v>MS</v>
      </c>
      <c r="F12333" t="str">
        <f t="shared" si="4581"/>
        <v>395225001</v>
      </c>
      <c r="G12333" t="str">
        <f t="shared" si="4582"/>
        <v>1002 BALCH BLVD</v>
      </c>
      <c r="H12333" t="str">
        <f t="shared" si="4576"/>
        <v/>
      </c>
      <c r="I12333" t="str">
        <f t="shared" si="4585"/>
        <v>STENNIS SPACE CENTER</v>
      </c>
      <c r="J12333" t="str">
        <f t="shared" si="4583"/>
        <v>MS</v>
      </c>
      <c r="K12333" t="str">
        <f t="shared" si="4584"/>
        <v>000000000000000000</v>
      </c>
      <c r="L12333" t="str">
        <f>T("2286885439")</f>
        <v>2286885439</v>
      </c>
    </row>
    <row r="12334" spans="1:12" x14ac:dyDescent="0.35">
      <c r="A12334" t="str">
        <f t="shared" si="4577"/>
        <v>NAVAL OCEANOGRAPHIC OFFICE</v>
      </c>
      <c r="B12334" t="str">
        <f t="shared" si="4578"/>
        <v>1002 BALCH BLVD</v>
      </c>
      <c r="C12334" t="str">
        <f t="shared" si="4579"/>
        <v/>
      </c>
      <c r="D12334" t="str">
        <f t="shared" si="4575"/>
        <v>STENNIS SPACE CENTER</v>
      </c>
      <c r="E12334" t="str">
        <f t="shared" si="4580"/>
        <v>MS</v>
      </c>
      <c r="F12334" t="str">
        <f t="shared" si="4581"/>
        <v>395225001</v>
      </c>
      <c r="G12334" t="str">
        <f t="shared" si="4582"/>
        <v>1002 BALCH BLVD</v>
      </c>
      <c r="H12334" t="str">
        <f t="shared" si="4576"/>
        <v/>
      </c>
      <c r="I12334" t="str">
        <f t="shared" si="4585"/>
        <v>STENNIS SPACE CENTER</v>
      </c>
      <c r="J12334" t="str">
        <f t="shared" si="4583"/>
        <v>MS</v>
      </c>
      <c r="K12334" t="str">
        <f t="shared" si="4584"/>
        <v>000000000000000000</v>
      </c>
      <c r="L12334" t="str">
        <f>T("2286885515")</f>
        <v>2286885515</v>
      </c>
    </row>
    <row r="12335" spans="1:12" x14ac:dyDescent="0.35">
      <c r="A12335" t="str">
        <f t="shared" si="4577"/>
        <v>NAVAL OCEANOGRAPHIC OFFICE</v>
      </c>
      <c r="B12335" t="str">
        <f t="shared" si="4578"/>
        <v>1002 BALCH BLVD</v>
      </c>
      <c r="C12335" t="str">
        <f t="shared" si="4579"/>
        <v/>
      </c>
      <c r="D12335" t="str">
        <f t="shared" si="4575"/>
        <v>STENNIS SPACE CENTER</v>
      </c>
      <c r="E12335" t="str">
        <f t="shared" si="4580"/>
        <v>MS</v>
      </c>
      <c r="F12335" t="str">
        <f t="shared" si="4581"/>
        <v>395225001</v>
      </c>
      <c r="G12335" t="str">
        <f t="shared" si="4582"/>
        <v>1002 BALCH BLVD</v>
      </c>
      <c r="H12335" t="str">
        <f t="shared" si="4576"/>
        <v/>
      </c>
      <c r="I12335" t="str">
        <f t="shared" si="4585"/>
        <v>STENNIS SPACE CENTER</v>
      </c>
      <c r="J12335" t="str">
        <f t="shared" si="4583"/>
        <v>MS</v>
      </c>
      <c r="K12335" t="str">
        <f t="shared" si="4584"/>
        <v>000000000000000000</v>
      </c>
      <c r="L12335" t="str">
        <f>T("2286885547")</f>
        <v>2286885547</v>
      </c>
    </row>
    <row r="12336" spans="1:12" x14ac:dyDescent="0.35">
      <c r="A12336" t="str">
        <f t="shared" si="4577"/>
        <v>NAVAL OCEANOGRAPHIC OFFICE</v>
      </c>
      <c r="B12336" t="str">
        <f t="shared" si="4578"/>
        <v>1002 BALCH BLVD</v>
      </c>
      <c r="C12336" t="str">
        <f t="shared" si="4579"/>
        <v/>
      </c>
      <c r="D12336" t="str">
        <f t="shared" si="4575"/>
        <v>STENNIS SPACE CENTER</v>
      </c>
      <c r="E12336" t="str">
        <f t="shared" si="4580"/>
        <v>MS</v>
      </c>
      <c r="F12336" t="str">
        <f t="shared" si="4581"/>
        <v>395225001</v>
      </c>
      <c r="G12336" t="str">
        <f t="shared" si="4582"/>
        <v>1002 BALCH BLVD</v>
      </c>
      <c r="H12336" t="str">
        <f t="shared" si="4576"/>
        <v/>
      </c>
      <c r="I12336" t="str">
        <f t="shared" si="4585"/>
        <v>STENNIS SPACE CENTER</v>
      </c>
      <c r="J12336" t="str">
        <f t="shared" si="4583"/>
        <v>MS</v>
      </c>
      <c r="K12336" t="str">
        <f t="shared" si="4584"/>
        <v>000000000000000000</v>
      </c>
      <c r="L12336" t="str">
        <f>T("2286885548")</f>
        <v>2286885548</v>
      </c>
    </row>
    <row r="12337" spans="1:12" x14ac:dyDescent="0.35">
      <c r="A12337" t="str">
        <f t="shared" si="4577"/>
        <v>NAVAL OCEANOGRAPHIC OFFICE</v>
      </c>
      <c r="B12337" t="str">
        <f t="shared" si="4578"/>
        <v>1002 BALCH BLVD</v>
      </c>
      <c r="C12337" t="str">
        <f t="shared" si="4579"/>
        <v/>
      </c>
      <c r="D12337" t="str">
        <f t="shared" si="4575"/>
        <v>STENNIS SPACE CENTER</v>
      </c>
      <c r="E12337" t="str">
        <f t="shared" si="4580"/>
        <v>MS</v>
      </c>
      <c r="F12337" t="str">
        <f t="shared" si="4581"/>
        <v>395225001</v>
      </c>
      <c r="G12337" t="str">
        <f t="shared" si="4582"/>
        <v>1002 BALCH BLVD</v>
      </c>
      <c r="H12337" t="str">
        <f t="shared" si="4576"/>
        <v/>
      </c>
      <c r="I12337" t="str">
        <f t="shared" si="4585"/>
        <v>STENNIS SPACE CENTER</v>
      </c>
      <c r="J12337" t="str">
        <f t="shared" si="4583"/>
        <v>MS</v>
      </c>
      <c r="K12337" t="str">
        <f t="shared" si="4584"/>
        <v>000000000000000000</v>
      </c>
      <c r="L12337" t="str">
        <f>T("2286885562")</f>
        <v>2286885562</v>
      </c>
    </row>
    <row r="12338" spans="1:12" x14ac:dyDescent="0.35">
      <c r="A12338" t="str">
        <f t="shared" si="4577"/>
        <v>NAVAL OCEANOGRAPHIC OFFICE</v>
      </c>
      <c r="B12338" t="str">
        <f t="shared" si="4578"/>
        <v>1002 BALCH BLVD</v>
      </c>
      <c r="C12338" t="str">
        <f t="shared" si="4579"/>
        <v/>
      </c>
      <c r="D12338" t="str">
        <f t="shared" si="4575"/>
        <v>STENNIS SPACE CENTER</v>
      </c>
      <c r="E12338" t="str">
        <f t="shared" si="4580"/>
        <v>MS</v>
      </c>
      <c r="F12338" t="str">
        <f t="shared" si="4581"/>
        <v>395225001</v>
      </c>
      <c r="G12338" t="str">
        <f t="shared" si="4582"/>
        <v>1002 BALCH BLVD</v>
      </c>
      <c r="H12338" t="str">
        <f t="shared" si="4576"/>
        <v/>
      </c>
      <c r="I12338" t="str">
        <f t="shared" si="4585"/>
        <v>STENNIS SPACE CENTER</v>
      </c>
      <c r="J12338" t="str">
        <f t="shared" si="4583"/>
        <v>MS</v>
      </c>
      <c r="K12338" t="str">
        <f t="shared" si="4584"/>
        <v>000000000000000000</v>
      </c>
      <c r="L12338" t="str">
        <f>T("2286885600")</f>
        <v>2286885600</v>
      </c>
    </row>
    <row r="12339" spans="1:12" x14ac:dyDescent="0.35">
      <c r="A12339" t="str">
        <f t="shared" si="4577"/>
        <v>NAVAL OCEANOGRAPHIC OFFICE</v>
      </c>
      <c r="B12339" t="str">
        <f t="shared" si="4578"/>
        <v>1002 BALCH BLVD</v>
      </c>
      <c r="C12339" t="str">
        <f t="shared" si="4579"/>
        <v/>
      </c>
      <c r="D12339" t="str">
        <f t="shared" ref="D12339:D12362" si="4586">T("STENNIS SPACE CENTER")</f>
        <v>STENNIS SPACE CENTER</v>
      </c>
      <c r="E12339" t="str">
        <f t="shared" si="4580"/>
        <v>MS</v>
      </c>
      <c r="F12339" t="str">
        <f t="shared" si="4581"/>
        <v>395225001</v>
      </c>
      <c r="G12339" t="str">
        <f t="shared" si="4582"/>
        <v>1002 BALCH BLVD</v>
      </c>
      <c r="H12339" t="str">
        <f t="shared" si="4576"/>
        <v/>
      </c>
      <c r="I12339" t="str">
        <f t="shared" si="4585"/>
        <v>STENNIS SPACE CENTER</v>
      </c>
      <c r="J12339" t="str">
        <f t="shared" si="4583"/>
        <v>MS</v>
      </c>
      <c r="K12339" t="str">
        <f t="shared" si="4584"/>
        <v>000000000000000000</v>
      </c>
      <c r="L12339" t="str">
        <f>T("2286885606")</f>
        <v>2286885606</v>
      </c>
    </row>
    <row r="12340" spans="1:12" x14ac:dyDescent="0.35">
      <c r="A12340" t="str">
        <f t="shared" si="4577"/>
        <v>NAVAL OCEANOGRAPHIC OFFICE</v>
      </c>
      <c r="B12340" t="str">
        <f t="shared" si="4578"/>
        <v>1002 BALCH BLVD</v>
      </c>
      <c r="C12340" t="str">
        <f t="shared" si="4579"/>
        <v/>
      </c>
      <c r="D12340" t="str">
        <f t="shared" si="4586"/>
        <v>STENNIS SPACE CENTER</v>
      </c>
      <c r="E12340" t="str">
        <f t="shared" si="4580"/>
        <v>MS</v>
      </c>
      <c r="F12340" t="str">
        <f t="shared" si="4581"/>
        <v>395225001</v>
      </c>
      <c r="G12340" t="str">
        <f t="shared" si="4582"/>
        <v>1002 BALCH BLVD</v>
      </c>
      <c r="H12340" t="str">
        <f t="shared" si="4576"/>
        <v/>
      </c>
      <c r="I12340" t="str">
        <f t="shared" si="4585"/>
        <v>STENNIS SPACE CENTER</v>
      </c>
      <c r="J12340" t="str">
        <f t="shared" si="4583"/>
        <v>MS</v>
      </c>
      <c r="K12340" t="str">
        <f t="shared" si="4584"/>
        <v>000000000000000000</v>
      </c>
      <c r="L12340" t="str">
        <f>T("2286885618")</f>
        <v>2286885618</v>
      </c>
    </row>
    <row r="12341" spans="1:12" x14ac:dyDescent="0.35">
      <c r="A12341" t="str">
        <f t="shared" si="4577"/>
        <v>NAVAL OCEANOGRAPHIC OFFICE</v>
      </c>
      <c r="B12341" t="str">
        <f t="shared" si="4578"/>
        <v>1002 BALCH BLVD</v>
      </c>
      <c r="C12341" t="str">
        <f t="shared" si="4579"/>
        <v/>
      </c>
      <c r="D12341" t="str">
        <f t="shared" si="4586"/>
        <v>STENNIS SPACE CENTER</v>
      </c>
      <c r="E12341" t="str">
        <f t="shared" si="4580"/>
        <v>MS</v>
      </c>
      <c r="F12341" t="str">
        <f t="shared" si="4581"/>
        <v>395225001</v>
      </c>
      <c r="G12341" t="str">
        <f t="shared" si="4582"/>
        <v>1002 BALCH BLVD</v>
      </c>
      <c r="H12341" t="str">
        <f t="shared" si="4576"/>
        <v/>
      </c>
      <c r="I12341" t="str">
        <f t="shared" si="4585"/>
        <v>STENNIS SPACE CENTER</v>
      </c>
      <c r="J12341" t="str">
        <f t="shared" si="4583"/>
        <v>MS</v>
      </c>
      <c r="K12341" t="str">
        <f t="shared" si="4584"/>
        <v>000000000000000000</v>
      </c>
      <c r="L12341" t="str">
        <f>T("2286885656")</f>
        <v>2286885656</v>
      </c>
    </row>
    <row r="12342" spans="1:12" x14ac:dyDescent="0.35">
      <c r="A12342" t="str">
        <f t="shared" si="4577"/>
        <v>NAVAL OCEANOGRAPHIC OFFICE</v>
      </c>
      <c r="B12342" t="str">
        <f t="shared" si="4578"/>
        <v>1002 BALCH BLVD</v>
      </c>
      <c r="C12342" t="str">
        <f t="shared" si="4579"/>
        <v/>
      </c>
      <c r="D12342" t="str">
        <f t="shared" si="4586"/>
        <v>STENNIS SPACE CENTER</v>
      </c>
      <c r="E12342" t="str">
        <f t="shared" si="4580"/>
        <v>MS</v>
      </c>
      <c r="F12342" t="str">
        <f t="shared" si="4581"/>
        <v>395225001</v>
      </c>
      <c r="G12342" t="str">
        <f t="shared" si="4582"/>
        <v>1002 BALCH BLVD</v>
      </c>
      <c r="H12342" t="str">
        <f t="shared" si="4576"/>
        <v/>
      </c>
      <c r="I12342" t="str">
        <f t="shared" si="4585"/>
        <v>STENNIS SPACE CENTER</v>
      </c>
      <c r="J12342" t="str">
        <f t="shared" si="4583"/>
        <v>MS</v>
      </c>
      <c r="K12342" t="str">
        <f t="shared" si="4584"/>
        <v>000000000000000000</v>
      </c>
      <c r="L12342" t="str">
        <f>T("2286885769")</f>
        <v>2286885769</v>
      </c>
    </row>
    <row r="12343" spans="1:12" x14ac:dyDescent="0.35">
      <c r="A12343" t="str">
        <f t="shared" si="4577"/>
        <v>NAVAL OCEANOGRAPHIC OFFICE</v>
      </c>
      <c r="B12343" t="str">
        <f t="shared" si="4578"/>
        <v>1002 BALCH BLVD</v>
      </c>
      <c r="C12343" t="str">
        <f t="shared" si="4579"/>
        <v/>
      </c>
      <c r="D12343" t="str">
        <f t="shared" si="4586"/>
        <v>STENNIS SPACE CENTER</v>
      </c>
      <c r="E12343" t="str">
        <f t="shared" si="4580"/>
        <v>MS</v>
      </c>
      <c r="F12343" t="str">
        <f t="shared" si="4581"/>
        <v>395225001</v>
      </c>
      <c r="G12343" t="str">
        <f t="shared" si="4582"/>
        <v>1002 BALCH BLVD</v>
      </c>
      <c r="H12343" t="str">
        <f t="shared" si="4576"/>
        <v/>
      </c>
      <c r="I12343" t="str">
        <f t="shared" si="4585"/>
        <v>STENNIS SPACE CENTER</v>
      </c>
      <c r="J12343" t="str">
        <f t="shared" si="4583"/>
        <v>MS</v>
      </c>
      <c r="K12343" t="str">
        <f t="shared" si="4584"/>
        <v>000000000000000000</v>
      </c>
      <c r="L12343" t="str">
        <f>T("2286885810")</f>
        <v>2286885810</v>
      </c>
    </row>
    <row r="12344" spans="1:12" x14ac:dyDescent="0.35">
      <c r="A12344" t="str">
        <f t="shared" si="4577"/>
        <v>NAVAL OCEANOGRAPHIC OFFICE</v>
      </c>
      <c r="B12344" t="str">
        <f t="shared" si="4578"/>
        <v>1002 BALCH BLVD</v>
      </c>
      <c r="C12344" t="str">
        <f t="shared" si="4579"/>
        <v/>
      </c>
      <c r="D12344" t="str">
        <f t="shared" si="4586"/>
        <v>STENNIS SPACE CENTER</v>
      </c>
      <c r="E12344" t="str">
        <f t="shared" si="4580"/>
        <v>MS</v>
      </c>
      <c r="F12344" t="str">
        <f t="shared" si="4581"/>
        <v>395225001</v>
      </c>
      <c r="G12344" t="str">
        <f t="shared" si="4582"/>
        <v>1002 BALCH BLVD</v>
      </c>
      <c r="H12344" t="str">
        <f t="shared" si="4576"/>
        <v/>
      </c>
      <c r="I12344" t="str">
        <f t="shared" si="4585"/>
        <v>STENNIS SPACE CENTER</v>
      </c>
      <c r="J12344" t="str">
        <f t="shared" si="4583"/>
        <v>MS</v>
      </c>
      <c r="K12344" t="str">
        <f t="shared" si="4584"/>
        <v>000000000000000000</v>
      </c>
      <c r="L12344" t="str">
        <f>T("2286885818")</f>
        <v>2286885818</v>
      </c>
    </row>
    <row r="12345" spans="1:12" x14ac:dyDescent="0.35">
      <c r="A12345" t="str">
        <f t="shared" si="4577"/>
        <v>NAVAL OCEANOGRAPHIC OFFICE</v>
      </c>
      <c r="B12345" t="str">
        <f t="shared" si="4578"/>
        <v>1002 BALCH BLVD</v>
      </c>
      <c r="C12345" t="str">
        <f t="shared" si="4579"/>
        <v/>
      </c>
      <c r="D12345" t="str">
        <f t="shared" si="4586"/>
        <v>STENNIS SPACE CENTER</v>
      </c>
      <c r="E12345" t="str">
        <f t="shared" si="4580"/>
        <v>MS</v>
      </c>
      <c r="F12345" t="str">
        <f t="shared" si="4581"/>
        <v>395225001</v>
      </c>
      <c r="G12345" t="str">
        <f t="shared" si="4582"/>
        <v>1002 BALCH BLVD</v>
      </c>
      <c r="H12345" t="str">
        <f t="shared" si="4576"/>
        <v/>
      </c>
      <c r="I12345" t="str">
        <f t="shared" si="4585"/>
        <v>STENNIS SPACE CENTER</v>
      </c>
      <c r="J12345" t="str">
        <f t="shared" si="4583"/>
        <v>MS</v>
      </c>
      <c r="K12345" t="str">
        <f t="shared" si="4584"/>
        <v>000000000000000000</v>
      </c>
      <c r="L12345" t="str">
        <f>T("2286885847")</f>
        <v>2286885847</v>
      </c>
    </row>
    <row r="12346" spans="1:12" x14ac:dyDescent="0.35">
      <c r="A12346" t="str">
        <f t="shared" si="4577"/>
        <v>NAVAL OCEANOGRAPHIC OFFICE</v>
      </c>
      <c r="B12346" t="str">
        <f t="shared" si="4578"/>
        <v>1002 BALCH BLVD</v>
      </c>
      <c r="C12346" t="str">
        <f t="shared" si="4579"/>
        <v/>
      </c>
      <c r="D12346" t="str">
        <f t="shared" si="4586"/>
        <v>STENNIS SPACE CENTER</v>
      </c>
      <c r="E12346" t="str">
        <f t="shared" si="4580"/>
        <v>MS</v>
      </c>
      <c r="F12346" t="str">
        <f t="shared" si="4581"/>
        <v>395225001</v>
      </c>
      <c r="G12346" t="str">
        <f t="shared" si="4582"/>
        <v>1002 BALCH BLVD</v>
      </c>
      <c r="H12346" t="str">
        <f t="shared" si="4576"/>
        <v/>
      </c>
      <c r="I12346" t="str">
        <f t="shared" si="4585"/>
        <v>STENNIS SPACE CENTER</v>
      </c>
      <c r="J12346" t="str">
        <f t="shared" si="4583"/>
        <v>MS</v>
      </c>
      <c r="K12346" t="str">
        <f t="shared" si="4584"/>
        <v>000000000000000000</v>
      </c>
      <c r="L12346" t="str">
        <f>T("2286885940")</f>
        <v>2286885940</v>
      </c>
    </row>
    <row r="12347" spans="1:12" x14ac:dyDescent="0.35">
      <c r="A12347" t="str">
        <f t="shared" si="4577"/>
        <v>NAVAL OCEANOGRAPHIC OFFICE</v>
      </c>
      <c r="B12347" t="str">
        <f t="shared" si="4578"/>
        <v>1002 BALCH BLVD</v>
      </c>
      <c r="C12347" t="str">
        <f t="shared" si="4579"/>
        <v/>
      </c>
      <c r="D12347" t="str">
        <f t="shared" si="4586"/>
        <v>STENNIS SPACE CENTER</v>
      </c>
      <c r="E12347" t="str">
        <f t="shared" si="4580"/>
        <v>MS</v>
      </c>
      <c r="F12347" t="str">
        <f t="shared" si="4581"/>
        <v>395225001</v>
      </c>
      <c r="G12347" t="str">
        <f t="shared" si="4582"/>
        <v>1002 BALCH BLVD</v>
      </c>
      <c r="H12347" t="str">
        <f t="shared" si="4576"/>
        <v/>
      </c>
      <c r="I12347" t="str">
        <f t="shared" si="4585"/>
        <v>STENNIS SPACE CENTER</v>
      </c>
      <c r="J12347" t="str">
        <f t="shared" si="4583"/>
        <v>MS</v>
      </c>
      <c r="K12347" t="str">
        <f t="shared" si="4584"/>
        <v>000000000000000000</v>
      </c>
      <c r="L12347" t="str">
        <f>T("2286885953")</f>
        <v>2286885953</v>
      </c>
    </row>
    <row r="12348" spans="1:12" x14ac:dyDescent="0.35">
      <c r="A12348" t="str">
        <f t="shared" si="4577"/>
        <v>NAVAL OCEANOGRAPHIC OFFICE</v>
      </c>
      <c r="B12348" t="str">
        <f t="shared" si="4578"/>
        <v>1002 BALCH BLVD</v>
      </c>
      <c r="C12348" t="str">
        <f t="shared" si="4579"/>
        <v/>
      </c>
      <c r="D12348" t="str">
        <f t="shared" si="4586"/>
        <v>STENNIS SPACE CENTER</v>
      </c>
      <c r="E12348" t="str">
        <f t="shared" si="4580"/>
        <v>MS</v>
      </c>
      <c r="F12348" t="str">
        <f t="shared" si="4581"/>
        <v>395225001</v>
      </c>
      <c r="G12348" t="str">
        <f t="shared" si="4582"/>
        <v>1002 BALCH BLVD</v>
      </c>
      <c r="H12348" t="str">
        <f t="shared" si="4576"/>
        <v/>
      </c>
      <c r="I12348" t="str">
        <f t="shared" si="4585"/>
        <v>STENNIS SPACE CENTER</v>
      </c>
      <c r="J12348" t="str">
        <f t="shared" si="4583"/>
        <v>MS</v>
      </c>
      <c r="K12348" t="str">
        <f t="shared" si="4584"/>
        <v>000000000000000000</v>
      </c>
      <c r="L12348" t="str">
        <f>T("2286885956")</f>
        <v>2286885956</v>
      </c>
    </row>
    <row r="12349" spans="1:12" x14ac:dyDescent="0.35">
      <c r="A12349" t="str">
        <f t="shared" si="4577"/>
        <v>NAVAL OCEANOGRAPHIC OFFICE</v>
      </c>
      <c r="B12349" t="str">
        <f t="shared" si="4578"/>
        <v>1002 BALCH BLVD</v>
      </c>
      <c r="C12349" t="str">
        <f t="shared" si="4579"/>
        <v/>
      </c>
      <c r="D12349" t="str">
        <f t="shared" si="4586"/>
        <v>STENNIS SPACE CENTER</v>
      </c>
      <c r="E12349" t="str">
        <f t="shared" si="4580"/>
        <v>MS</v>
      </c>
      <c r="F12349" t="str">
        <f t="shared" si="4581"/>
        <v>395225001</v>
      </c>
      <c r="G12349" t="str">
        <f t="shared" si="4582"/>
        <v>1002 BALCH BLVD</v>
      </c>
      <c r="H12349" t="str">
        <f t="shared" si="4576"/>
        <v/>
      </c>
      <c r="I12349" t="str">
        <f t="shared" si="4585"/>
        <v>STENNIS SPACE CENTER</v>
      </c>
      <c r="J12349" t="str">
        <f t="shared" si="4583"/>
        <v>MS</v>
      </c>
      <c r="K12349" t="str">
        <f t="shared" si="4584"/>
        <v>000000000000000000</v>
      </c>
      <c r="L12349" t="str">
        <f>T("2286886114")</f>
        <v>2286886114</v>
      </c>
    </row>
    <row r="12350" spans="1:12" x14ac:dyDescent="0.35">
      <c r="A12350" t="str">
        <f t="shared" si="4577"/>
        <v>NAVAL OCEANOGRAPHIC OFFICE</v>
      </c>
      <c r="B12350" t="str">
        <f t="shared" si="4578"/>
        <v>1002 BALCH BLVD</v>
      </c>
      <c r="C12350" t="str">
        <f t="shared" si="4579"/>
        <v/>
      </c>
      <c r="D12350" t="str">
        <f t="shared" si="4586"/>
        <v>STENNIS SPACE CENTER</v>
      </c>
      <c r="E12350" t="str">
        <f t="shared" si="4580"/>
        <v>MS</v>
      </c>
      <c r="F12350" t="str">
        <f t="shared" si="4581"/>
        <v>395225001</v>
      </c>
      <c r="G12350" t="str">
        <f t="shared" si="4582"/>
        <v>1002 BALCH BLVD</v>
      </c>
      <c r="H12350" t="str">
        <f t="shared" si="4576"/>
        <v/>
      </c>
      <c r="I12350" t="str">
        <f t="shared" si="4585"/>
        <v>STENNIS SPACE CENTER</v>
      </c>
      <c r="J12350" t="str">
        <f t="shared" si="4583"/>
        <v>MS</v>
      </c>
      <c r="K12350" t="str">
        <f t="shared" si="4584"/>
        <v>000000000000000000</v>
      </c>
      <c r="L12350" t="str">
        <f>T("2286898020")</f>
        <v>2286898020</v>
      </c>
    </row>
    <row r="12351" spans="1:12" x14ac:dyDescent="0.35">
      <c r="A12351" t="str">
        <f t="shared" ref="A12351:A12362" si="4587">T("NAVAL OCEANOGRAPHIC OFFICE")</f>
        <v>NAVAL OCEANOGRAPHIC OFFICE</v>
      </c>
      <c r="B12351" t="str">
        <f t="shared" ref="B12351:B12362" si="4588">T("1002 BALCH BLVD")</f>
        <v>1002 BALCH BLVD</v>
      </c>
      <c r="C12351" t="str">
        <f t="shared" ref="C12351:C12362" si="4589">T("")</f>
        <v/>
      </c>
      <c r="D12351" t="str">
        <f t="shared" si="4586"/>
        <v>STENNIS SPACE CENTER</v>
      </c>
      <c r="E12351" t="str">
        <f t="shared" ref="E12351:E12362" si="4590">T("MS")</f>
        <v>MS</v>
      </c>
      <c r="F12351" t="str">
        <f t="shared" ref="F12351:F12362" si="4591">T("395225001")</f>
        <v>395225001</v>
      </c>
      <c r="G12351" t="str">
        <f t="shared" ref="G12351:G12362" si="4592">T("1002 BALCH BLVD")</f>
        <v>1002 BALCH BLVD</v>
      </c>
      <c r="H12351" t="str">
        <f t="shared" si="4576"/>
        <v/>
      </c>
      <c r="I12351" t="str">
        <f t="shared" si="4585"/>
        <v>STENNIS SPACE CENTER</v>
      </c>
      <c r="J12351" t="str">
        <f t="shared" ref="J12351:J12362" si="4593">T("MS")</f>
        <v>MS</v>
      </c>
      <c r="K12351" t="str">
        <f t="shared" ref="K12351:K12365" si="4594">T("000000000000000000")</f>
        <v>000000000000000000</v>
      </c>
      <c r="L12351" t="str">
        <f>T("2286898040")</f>
        <v>2286898040</v>
      </c>
    </row>
    <row r="12352" spans="1:12" x14ac:dyDescent="0.35">
      <c r="A12352" t="str">
        <f t="shared" si="4587"/>
        <v>NAVAL OCEANOGRAPHIC OFFICE</v>
      </c>
      <c r="B12352" t="str">
        <f t="shared" si="4588"/>
        <v>1002 BALCH BLVD</v>
      </c>
      <c r="C12352" t="str">
        <f t="shared" si="4589"/>
        <v/>
      </c>
      <c r="D12352" t="str">
        <f t="shared" si="4586"/>
        <v>STENNIS SPACE CENTER</v>
      </c>
      <c r="E12352" t="str">
        <f t="shared" si="4590"/>
        <v>MS</v>
      </c>
      <c r="F12352" t="str">
        <f t="shared" si="4591"/>
        <v>395225001</v>
      </c>
      <c r="G12352" t="str">
        <f t="shared" si="4592"/>
        <v>1002 BALCH BLVD</v>
      </c>
      <c r="H12352" t="str">
        <f t="shared" si="4576"/>
        <v/>
      </c>
      <c r="I12352" t="str">
        <f t="shared" si="4585"/>
        <v>STENNIS SPACE CENTER</v>
      </c>
      <c r="J12352" t="str">
        <f t="shared" si="4593"/>
        <v>MS</v>
      </c>
      <c r="K12352" t="str">
        <f t="shared" si="4594"/>
        <v>000000000000000000</v>
      </c>
      <c r="L12352" t="str">
        <f>T("2286898151")</f>
        <v>2286898151</v>
      </c>
    </row>
    <row r="12353" spans="1:12" x14ac:dyDescent="0.35">
      <c r="A12353" t="str">
        <f t="shared" si="4587"/>
        <v>NAVAL OCEANOGRAPHIC OFFICE</v>
      </c>
      <c r="B12353" t="str">
        <f t="shared" si="4588"/>
        <v>1002 BALCH BLVD</v>
      </c>
      <c r="C12353" t="str">
        <f t="shared" si="4589"/>
        <v/>
      </c>
      <c r="D12353" t="str">
        <f t="shared" si="4586"/>
        <v>STENNIS SPACE CENTER</v>
      </c>
      <c r="E12353" t="str">
        <f t="shared" si="4590"/>
        <v>MS</v>
      </c>
      <c r="F12353" t="str">
        <f t="shared" si="4591"/>
        <v>395225001</v>
      </c>
      <c r="G12353" t="str">
        <f t="shared" si="4592"/>
        <v>1002 BALCH BLVD</v>
      </c>
      <c r="H12353" t="str">
        <f t="shared" si="4576"/>
        <v/>
      </c>
      <c r="I12353" t="str">
        <f t="shared" si="4585"/>
        <v>STENNIS SPACE CENTER</v>
      </c>
      <c r="J12353" t="str">
        <f t="shared" si="4593"/>
        <v>MS</v>
      </c>
      <c r="K12353" t="str">
        <f t="shared" si="4594"/>
        <v>000000000000000000</v>
      </c>
      <c r="L12353" t="str">
        <f>T("2286898338")</f>
        <v>2286898338</v>
      </c>
    </row>
    <row r="12354" spans="1:12" x14ac:dyDescent="0.35">
      <c r="A12354" t="str">
        <f t="shared" si="4587"/>
        <v>NAVAL OCEANOGRAPHIC OFFICE</v>
      </c>
      <c r="B12354" t="str">
        <f t="shared" si="4588"/>
        <v>1002 BALCH BLVD</v>
      </c>
      <c r="C12354" t="str">
        <f t="shared" si="4589"/>
        <v/>
      </c>
      <c r="D12354" t="str">
        <f t="shared" si="4586"/>
        <v>STENNIS SPACE CENTER</v>
      </c>
      <c r="E12354" t="str">
        <f t="shared" si="4590"/>
        <v>MS</v>
      </c>
      <c r="F12354" t="str">
        <f t="shared" si="4591"/>
        <v>395225001</v>
      </c>
      <c r="G12354" t="str">
        <f t="shared" si="4592"/>
        <v>1002 BALCH BLVD</v>
      </c>
      <c r="H12354" t="str">
        <f>T("CODE 0TE1")</f>
        <v>CODE 0TE1</v>
      </c>
      <c r="I12354" t="str">
        <f t="shared" si="4585"/>
        <v>STENNIS SPACE CENTER</v>
      </c>
      <c r="J12354" t="str">
        <f t="shared" si="4593"/>
        <v>MS</v>
      </c>
      <c r="K12354" t="str">
        <f t="shared" si="4594"/>
        <v>000000000000000000</v>
      </c>
      <c r="L12354" t="str">
        <f>T("2286884946")</f>
        <v>2286884946</v>
      </c>
    </row>
    <row r="12355" spans="1:12" x14ac:dyDescent="0.35">
      <c r="A12355" t="str">
        <f t="shared" si="4587"/>
        <v>NAVAL OCEANOGRAPHIC OFFICE</v>
      </c>
      <c r="B12355" t="str">
        <f t="shared" si="4588"/>
        <v>1002 BALCH BLVD</v>
      </c>
      <c r="C12355" t="str">
        <f t="shared" si="4589"/>
        <v/>
      </c>
      <c r="D12355" t="str">
        <f t="shared" si="4586"/>
        <v>STENNIS SPACE CENTER</v>
      </c>
      <c r="E12355" t="str">
        <f t="shared" si="4590"/>
        <v>MS</v>
      </c>
      <c r="F12355" t="str">
        <f t="shared" si="4591"/>
        <v>395225001</v>
      </c>
      <c r="G12355" t="str">
        <f t="shared" si="4592"/>
        <v>1002 BALCH BLVD</v>
      </c>
      <c r="H12355" t="str">
        <f>T("CODE N111")</f>
        <v>CODE N111</v>
      </c>
      <c r="I12355" t="str">
        <f t="shared" si="4585"/>
        <v>STENNIS SPACE CENTER</v>
      </c>
      <c r="J12355" t="str">
        <f t="shared" si="4593"/>
        <v>MS</v>
      </c>
      <c r="K12355" t="str">
        <f t="shared" si="4594"/>
        <v>000000000000000000</v>
      </c>
      <c r="L12355" t="str">
        <f>T("2286898349")</f>
        <v>2286898349</v>
      </c>
    </row>
    <row r="12356" spans="1:12" x14ac:dyDescent="0.35">
      <c r="A12356" t="str">
        <f t="shared" si="4587"/>
        <v>NAVAL OCEANOGRAPHIC OFFICE</v>
      </c>
      <c r="B12356" t="str">
        <f t="shared" si="4588"/>
        <v>1002 BALCH BLVD</v>
      </c>
      <c r="C12356" t="str">
        <f t="shared" si="4589"/>
        <v/>
      </c>
      <c r="D12356" t="str">
        <f t="shared" si="4586"/>
        <v>STENNIS SPACE CENTER</v>
      </c>
      <c r="E12356" t="str">
        <f t="shared" si="4590"/>
        <v>MS</v>
      </c>
      <c r="F12356" t="str">
        <f t="shared" si="4591"/>
        <v>395225001</v>
      </c>
      <c r="G12356" t="str">
        <f t="shared" si="4592"/>
        <v>1002 BALCH BLVD</v>
      </c>
      <c r="H12356" t="str">
        <f>T("CODE N13")</f>
        <v>CODE N13</v>
      </c>
      <c r="I12356" t="str">
        <f t="shared" si="4585"/>
        <v>STENNIS SPACE CENTER</v>
      </c>
      <c r="J12356" t="str">
        <f t="shared" si="4593"/>
        <v>MS</v>
      </c>
      <c r="K12356" t="str">
        <f t="shared" si="4594"/>
        <v>000000000000000000</v>
      </c>
      <c r="L12356" t="str">
        <f>T("2286884023")</f>
        <v>2286884023</v>
      </c>
    </row>
    <row r="12357" spans="1:12" x14ac:dyDescent="0.35">
      <c r="A12357" t="str">
        <f t="shared" si="4587"/>
        <v>NAVAL OCEANOGRAPHIC OFFICE</v>
      </c>
      <c r="B12357" t="str">
        <f t="shared" si="4588"/>
        <v>1002 BALCH BLVD</v>
      </c>
      <c r="C12357" t="str">
        <f t="shared" si="4589"/>
        <v/>
      </c>
      <c r="D12357" t="str">
        <f t="shared" si="4586"/>
        <v>STENNIS SPACE CENTER</v>
      </c>
      <c r="E12357" t="str">
        <f t="shared" si="4590"/>
        <v>MS</v>
      </c>
      <c r="F12357" t="str">
        <f t="shared" si="4591"/>
        <v>395225001</v>
      </c>
      <c r="G12357" t="str">
        <f t="shared" si="4592"/>
        <v>1002 BALCH BLVD</v>
      </c>
      <c r="H12357" t="str">
        <f>T("CODE N611")</f>
        <v>CODE N611</v>
      </c>
      <c r="I12357" t="str">
        <f t="shared" si="4585"/>
        <v>STENNIS SPACE CENTER</v>
      </c>
      <c r="J12357" t="str">
        <f t="shared" si="4593"/>
        <v>MS</v>
      </c>
      <c r="K12357" t="str">
        <f t="shared" si="4594"/>
        <v>000000000000000000</v>
      </c>
      <c r="L12357" t="str">
        <f>T("2286884419")</f>
        <v>2286884419</v>
      </c>
    </row>
    <row r="12358" spans="1:12" x14ac:dyDescent="0.35">
      <c r="A12358" t="str">
        <f t="shared" si="4587"/>
        <v>NAVAL OCEANOGRAPHIC OFFICE</v>
      </c>
      <c r="B12358" t="str">
        <f t="shared" si="4588"/>
        <v>1002 BALCH BLVD</v>
      </c>
      <c r="C12358" t="str">
        <f t="shared" si="4589"/>
        <v/>
      </c>
      <c r="D12358" t="str">
        <f t="shared" si="4586"/>
        <v>STENNIS SPACE CENTER</v>
      </c>
      <c r="E12358" t="str">
        <f t="shared" si="4590"/>
        <v>MS</v>
      </c>
      <c r="F12358" t="str">
        <f t="shared" si="4591"/>
        <v>395225001</v>
      </c>
      <c r="G12358" t="str">
        <f t="shared" si="4592"/>
        <v>1002 BALCH BLVD</v>
      </c>
      <c r="H12358" t="str">
        <f>T("CODE N611")</f>
        <v>CODE N611</v>
      </c>
      <c r="I12358" t="str">
        <f t="shared" si="4585"/>
        <v>STENNIS SPACE CENTER</v>
      </c>
      <c r="J12358" t="str">
        <f t="shared" si="4593"/>
        <v>MS</v>
      </c>
      <c r="K12358" t="str">
        <f t="shared" si="4594"/>
        <v>000000000000000000</v>
      </c>
      <c r="L12358" t="str">
        <f>T("2286884747")</f>
        <v>2286884747</v>
      </c>
    </row>
    <row r="12359" spans="1:12" x14ac:dyDescent="0.35">
      <c r="A12359" t="str">
        <f t="shared" si="4587"/>
        <v>NAVAL OCEANOGRAPHIC OFFICE</v>
      </c>
      <c r="B12359" t="str">
        <f t="shared" si="4588"/>
        <v>1002 BALCH BLVD</v>
      </c>
      <c r="C12359" t="str">
        <f t="shared" si="4589"/>
        <v/>
      </c>
      <c r="D12359" t="str">
        <f t="shared" si="4586"/>
        <v>STENNIS SPACE CENTER</v>
      </c>
      <c r="E12359" t="str">
        <f t="shared" si="4590"/>
        <v>MS</v>
      </c>
      <c r="F12359" t="str">
        <f t="shared" si="4591"/>
        <v>395225001</v>
      </c>
      <c r="G12359" t="str">
        <f t="shared" si="4592"/>
        <v>1002 BALCH BLVD</v>
      </c>
      <c r="H12359" t="str">
        <f>T("CODE N612")</f>
        <v>CODE N612</v>
      </c>
      <c r="I12359" t="str">
        <f t="shared" si="4585"/>
        <v>STENNIS SPACE CENTER</v>
      </c>
      <c r="J12359" t="str">
        <f t="shared" si="4593"/>
        <v>MS</v>
      </c>
      <c r="K12359" t="str">
        <f t="shared" si="4594"/>
        <v>000000000000000000</v>
      </c>
      <c r="L12359" t="str">
        <f>T("2286884461")</f>
        <v>2286884461</v>
      </c>
    </row>
    <row r="12360" spans="1:12" x14ac:dyDescent="0.35">
      <c r="A12360" t="str">
        <f t="shared" si="4587"/>
        <v>NAVAL OCEANOGRAPHIC OFFICE</v>
      </c>
      <c r="B12360" t="str">
        <f t="shared" si="4588"/>
        <v>1002 BALCH BLVD</v>
      </c>
      <c r="C12360" t="str">
        <f t="shared" si="4589"/>
        <v/>
      </c>
      <c r="D12360" t="str">
        <f t="shared" si="4586"/>
        <v>STENNIS SPACE CENTER</v>
      </c>
      <c r="E12360" t="str">
        <f t="shared" si="4590"/>
        <v>MS</v>
      </c>
      <c r="F12360" t="str">
        <f t="shared" si="4591"/>
        <v>395225001</v>
      </c>
      <c r="G12360" t="str">
        <f t="shared" si="4592"/>
        <v>1002 BALCH BLVD</v>
      </c>
      <c r="H12360" t="str">
        <f>T("CODE NP2")</f>
        <v>CODE NP2</v>
      </c>
      <c r="I12360" t="str">
        <f t="shared" si="4585"/>
        <v>STENNIS SPACE CENTER</v>
      </c>
      <c r="J12360" t="str">
        <f t="shared" si="4593"/>
        <v>MS</v>
      </c>
      <c r="K12360" t="str">
        <f t="shared" si="4594"/>
        <v>000000000000000000</v>
      </c>
      <c r="L12360" t="str">
        <f>T("2286885152")</f>
        <v>2286885152</v>
      </c>
    </row>
    <row r="12361" spans="1:12" x14ac:dyDescent="0.35">
      <c r="A12361" t="str">
        <f t="shared" si="4587"/>
        <v>NAVAL OCEANOGRAPHIC OFFICE</v>
      </c>
      <c r="B12361" t="str">
        <f t="shared" si="4588"/>
        <v>1002 BALCH BLVD</v>
      </c>
      <c r="C12361" t="str">
        <f t="shared" si="4589"/>
        <v/>
      </c>
      <c r="D12361" t="str">
        <f t="shared" si="4586"/>
        <v>STENNIS SPACE CENTER</v>
      </c>
      <c r="E12361" t="str">
        <f t="shared" si="4590"/>
        <v>MS</v>
      </c>
      <c r="F12361" t="str">
        <f t="shared" si="4591"/>
        <v>395225001</v>
      </c>
      <c r="G12361" t="str">
        <f t="shared" si="4592"/>
        <v>1002 BALCH BLVD</v>
      </c>
      <c r="H12361" t="str">
        <f>T("CODE NP33")</f>
        <v>CODE NP33</v>
      </c>
      <c r="I12361" t="str">
        <f t="shared" si="4585"/>
        <v>STENNIS SPACE CENTER</v>
      </c>
      <c r="J12361" t="str">
        <f t="shared" si="4593"/>
        <v>MS</v>
      </c>
      <c r="K12361" t="str">
        <f t="shared" si="4594"/>
        <v>000000000000000000</v>
      </c>
      <c r="L12361" t="str">
        <f>T("2288315678")</f>
        <v>2288315678</v>
      </c>
    </row>
    <row r="12362" spans="1:12" x14ac:dyDescent="0.35">
      <c r="A12362" t="str">
        <f t="shared" si="4587"/>
        <v>NAVAL OCEANOGRAPHIC OFFICE</v>
      </c>
      <c r="B12362" t="str">
        <f t="shared" si="4588"/>
        <v>1002 BALCH BLVD</v>
      </c>
      <c r="C12362" t="str">
        <f t="shared" si="4589"/>
        <v/>
      </c>
      <c r="D12362" t="str">
        <f t="shared" si="4586"/>
        <v>STENNIS SPACE CENTER</v>
      </c>
      <c r="E12362" t="str">
        <f t="shared" si="4590"/>
        <v>MS</v>
      </c>
      <c r="F12362" t="str">
        <f t="shared" si="4591"/>
        <v>395225001</v>
      </c>
      <c r="G12362" t="str">
        <f t="shared" si="4592"/>
        <v>1002 BALCH BLVD</v>
      </c>
      <c r="H12362" t="str">
        <f>T("FST")</f>
        <v>FST</v>
      </c>
      <c r="I12362" t="str">
        <f t="shared" si="4585"/>
        <v>STENNIS SPACE CENTER</v>
      </c>
      <c r="J12362" t="str">
        <f t="shared" si="4593"/>
        <v>MS</v>
      </c>
      <c r="K12362" t="str">
        <f t="shared" si="4594"/>
        <v>000000000000000000</v>
      </c>
      <c r="L12362" t="str">
        <f>T("2288134155")</f>
        <v>2288134155</v>
      </c>
    </row>
    <row r="12363" spans="1:12" x14ac:dyDescent="0.35">
      <c r="A12363" t="str">
        <f>T("NIOC MARYLAND")</f>
        <v>NIOC MARYLAND</v>
      </c>
      <c r="B12363" t="str">
        <f>T("9800 SAVAGE ROAD")</f>
        <v>9800 SAVAGE ROAD</v>
      </c>
      <c r="C12363" t="str">
        <f>T("OPS-3 C1A34")</f>
        <v>OPS-3 C1A34</v>
      </c>
      <c r="D12363" t="str">
        <f>T("FORT GEORGE G MEADE")</f>
        <v>FORT GEORGE G MEADE</v>
      </c>
      <c r="E12363" t="str">
        <f>T("MD")</f>
        <v>MD</v>
      </c>
      <c r="F12363" t="str">
        <f>T("207555999")</f>
        <v>207555999</v>
      </c>
      <c r="G12363" t="str">
        <f>T("9800 SAVAGE ROAD")</f>
        <v>9800 SAVAGE ROAD</v>
      </c>
      <c r="H12363" t="str">
        <f>T("OPS-3 C1A34")</f>
        <v>OPS-3 C1A34</v>
      </c>
      <c r="I12363" t="str">
        <f>T("FORT GEORGE G MEADE")</f>
        <v>FORT GEORGE G MEADE</v>
      </c>
      <c r="J12363" t="str">
        <f>T("MD")</f>
        <v>MD</v>
      </c>
      <c r="K12363" t="str">
        <f t="shared" si="4594"/>
        <v>000000000000000000</v>
      </c>
      <c r="L12363" t="str">
        <f>T("2403733417")</f>
        <v>2403733417</v>
      </c>
    </row>
    <row r="12364" spans="1:12" x14ac:dyDescent="0.35">
      <c r="A12364" t="str">
        <f>T("NIOC MARYLAND")</f>
        <v>NIOC MARYLAND</v>
      </c>
      <c r="B12364" t="str">
        <f>T("9800 SAVAGE ROAD")</f>
        <v>9800 SAVAGE ROAD</v>
      </c>
      <c r="C12364" t="str">
        <f>T("OPS-3 C1A34")</f>
        <v>OPS-3 C1A34</v>
      </c>
      <c r="D12364" t="str">
        <f>T("FORT GEORGE G MEADE")</f>
        <v>FORT GEORGE G MEADE</v>
      </c>
      <c r="E12364" t="str">
        <f>T("MD")</f>
        <v>MD</v>
      </c>
      <c r="F12364" t="str">
        <f>T("207555999")</f>
        <v>207555999</v>
      </c>
      <c r="G12364" t="str">
        <f>T("9800 SAVAGE ROAD")</f>
        <v>9800 SAVAGE ROAD</v>
      </c>
      <c r="H12364" t="str">
        <f>T("OPS-3 C1A37")</f>
        <v>OPS-3 C1A37</v>
      </c>
      <c r="I12364" t="str">
        <f>T("FORT GEORGE G MEADE")</f>
        <v>FORT GEORGE G MEADE</v>
      </c>
      <c r="J12364" t="str">
        <f>T("MD")</f>
        <v>MD</v>
      </c>
      <c r="K12364" t="str">
        <f t="shared" si="4594"/>
        <v>000000000000000000</v>
      </c>
      <c r="L12364" t="str">
        <f>T("3016882539")</f>
        <v>3016882539</v>
      </c>
    </row>
    <row r="12365" spans="1:12" x14ac:dyDescent="0.35">
      <c r="A12365" t="str">
        <f>T("NIOC MARYLAND")</f>
        <v>NIOC MARYLAND</v>
      </c>
      <c r="B12365" t="str">
        <f>T("9800 SAVAGE ROAD")</f>
        <v>9800 SAVAGE ROAD</v>
      </c>
      <c r="C12365" t="str">
        <f>T("OPS-3 C1A34")</f>
        <v>OPS-3 C1A34</v>
      </c>
      <c r="D12365" t="str">
        <f>T("FORT GEORGE G MEADE")</f>
        <v>FORT GEORGE G MEADE</v>
      </c>
      <c r="E12365" t="str">
        <f>T("MD")</f>
        <v>MD</v>
      </c>
      <c r="F12365" t="str">
        <f>T("207555999")</f>
        <v>207555999</v>
      </c>
      <c r="G12365" t="str">
        <f>T("9800 SAVAGE ROAD")</f>
        <v>9800 SAVAGE ROAD</v>
      </c>
      <c r="H12365" t="str">
        <f>T("OPS-3 C1X05")</f>
        <v>OPS-3 C1X05</v>
      </c>
      <c r="I12365" t="str">
        <f>T("FORT GEORGE G MEADE")</f>
        <v>FORT GEORGE G MEADE</v>
      </c>
      <c r="J12365" t="str">
        <f>T("MD")</f>
        <v>MD</v>
      </c>
      <c r="K12365" t="str">
        <f t="shared" si="4594"/>
        <v>000000000000000000</v>
      </c>
      <c r="L12365" t="str">
        <f>T("3016882538")</f>
        <v>3016882538</v>
      </c>
    </row>
    <row r="12366" spans="1:12" x14ac:dyDescent="0.35">
      <c r="A12366" t="str">
        <f>T("FLEET WEATHER CTR SAN DIEGO")</f>
        <v>FLEET WEATHER CTR SAN DIEGO</v>
      </c>
      <c r="B12366" t="str">
        <f>T("BLDG 14 SAUFLEY ROAD")</f>
        <v>BLDG 14 SAUFLEY ROAD</v>
      </c>
      <c r="C12366" t="str">
        <f>T("")</f>
        <v/>
      </c>
      <c r="D12366" t="str">
        <f>T("SAN DEIGO")</f>
        <v>SAN DEIGO</v>
      </c>
      <c r="E12366" t="str">
        <f>T("CA")</f>
        <v>CA</v>
      </c>
      <c r="F12366" t="str">
        <f>T("921350000")</f>
        <v>921350000</v>
      </c>
      <c r="G12366" t="str">
        <f>T("425 LUAPELE RD")</f>
        <v>425 LUAPELE RD</v>
      </c>
      <c r="H12366" t="str">
        <f>T("BLDG 398")</f>
        <v>BLDG 398</v>
      </c>
      <c r="I12366" t="str">
        <f>T("PEARL HARBOR")</f>
        <v>PEARL HARBOR</v>
      </c>
      <c r="J12366" t="str">
        <f>T("HI")</f>
        <v>HI</v>
      </c>
      <c r="K12366" t="str">
        <f>T("8084714581")</f>
        <v>8084714581</v>
      </c>
      <c r="L12366" t="str">
        <f>T("8084747248")</f>
        <v>8084747248</v>
      </c>
    </row>
    <row r="12367" spans="1:12" x14ac:dyDescent="0.35">
      <c r="A12367" t="str">
        <f>T("FLEET WEATHER CTR SAN DIEGO")</f>
        <v>FLEET WEATHER CTR SAN DIEGO</v>
      </c>
      <c r="B12367" t="str">
        <f>T("BLDG 14 SAUFLEY ROAD")</f>
        <v>BLDG 14 SAUFLEY ROAD</v>
      </c>
      <c r="C12367" t="str">
        <f>T("")</f>
        <v/>
      </c>
      <c r="D12367" t="str">
        <f>T("SAN DEIGO")</f>
        <v>SAN DEIGO</v>
      </c>
      <c r="E12367" t="str">
        <f>T("CA")</f>
        <v>CA</v>
      </c>
      <c r="F12367" t="str">
        <f>T("921350000")</f>
        <v>921350000</v>
      </c>
      <c r="G12367" t="str">
        <f>T("425 LUAPELE RD")</f>
        <v>425 LUAPELE RD</v>
      </c>
      <c r="H12367" t="str">
        <f>T("BLDG 398")</f>
        <v>BLDG 398</v>
      </c>
      <c r="I12367" t="str">
        <f>T("PEARL HARBOR")</f>
        <v>PEARL HARBOR</v>
      </c>
      <c r="J12367" t="str">
        <f>T("HI")</f>
        <v>HI</v>
      </c>
      <c r="K12367" t="str">
        <f>T("8084714586")</f>
        <v>8084714586</v>
      </c>
      <c r="L12367" t="str">
        <f>T("8084714585")</f>
        <v>8084714585</v>
      </c>
    </row>
    <row r="12368" spans="1:12" x14ac:dyDescent="0.35">
      <c r="A12368" t="str">
        <f>T("FLEET WEATHER CTR SAN DIEGO")</f>
        <v>FLEET WEATHER CTR SAN DIEGO</v>
      </c>
      <c r="B12368" t="str">
        <f>T("BLDG 14 SAUFLEY ROAD")</f>
        <v>BLDG 14 SAUFLEY ROAD</v>
      </c>
      <c r="C12368" t="str">
        <f>T("")</f>
        <v/>
      </c>
      <c r="D12368" t="str">
        <f>T("SAN DEIGO")</f>
        <v>SAN DEIGO</v>
      </c>
      <c r="E12368" t="str">
        <f>T("CA")</f>
        <v>CA</v>
      </c>
      <c r="F12368" t="str">
        <f>T("921350000")</f>
        <v>921350000</v>
      </c>
      <c r="G12368" t="str">
        <f>T("BLDG 14 SAUFLEY ROAD")</f>
        <v>BLDG 14 SAUFLEY ROAD</v>
      </c>
      <c r="H12368" t="str">
        <f>T("")</f>
        <v/>
      </c>
      <c r="I12368" t="str">
        <f>T("SAN DEIGO")</f>
        <v>SAN DEIGO</v>
      </c>
      <c r="J12368" t="str">
        <f>T("CA")</f>
        <v>CA</v>
      </c>
      <c r="K12368" t="str">
        <f>T("000000000000000000")</f>
        <v>000000000000000000</v>
      </c>
      <c r="L12368" t="str">
        <f>T("6195459869")</f>
        <v>6195459869</v>
      </c>
    </row>
    <row r="12369" spans="1:12" x14ac:dyDescent="0.35">
      <c r="A12369" t="str">
        <f>T("FLEET WEATHER CTR SAN DIEGO")</f>
        <v>FLEET WEATHER CTR SAN DIEGO</v>
      </c>
      <c r="B12369" t="str">
        <f>T("BLDG 14 SAUFLEY ROAD")</f>
        <v>BLDG 14 SAUFLEY ROAD</v>
      </c>
      <c r="C12369" t="str">
        <f>T("")</f>
        <v/>
      </c>
      <c r="D12369" t="str">
        <f>T("SAN DEIGO")</f>
        <v>SAN DEIGO</v>
      </c>
      <c r="E12369" t="str">
        <f>T("CA")</f>
        <v>CA</v>
      </c>
      <c r="F12369" t="str">
        <f>T("921350000")</f>
        <v>921350000</v>
      </c>
      <c r="G12369" t="str">
        <f>T("NAS NORTH ISLAND")</f>
        <v>NAS NORTH ISLAND</v>
      </c>
      <c r="H12369" t="str">
        <f>T("BLDG 14 SAUFLEY RD")</f>
        <v>BLDG 14 SAUFLEY RD</v>
      </c>
      <c r="I12369" t="str">
        <f>T("SAN DIEGO")</f>
        <v>SAN DIEGO</v>
      </c>
      <c r="J12369" t="str">
        <f>T("CA")</f>
        <v>CA</v>
      </c>
      <c r="K12369" t="str">
        <f>T("000000000000000000")</f>
        <v>000000000000000000</v>
      </c>
      <c r="L12369" t="str">
        <f>T("6195459869")</f>
        <v>6195459869</v>
      </c>
    </row>
    <row r="12370" spans="1:12" x14ac:dyDescent="0.35">
      <c r="A12370" t="str">
        <f>T("FLEET WEATHER CTR SAN DIEGO")</f>
        <v>FLEET WEATHER CTR SAN DIEGO</v>
      </c>
      <c r="B12370" t="str">
        <f>T("BLDG 14 SAUFLEY ROAD")</f>
        <v>BLDG 14 SAUFLEY ROAD</v>
      </c>
      <c r="C12370" t="str">
        <f>T("")</f>
        <v/>
      </c>
      <c r="D12370" t="str">
        <f>T("SAN DEIGO")</f>
        <v>SAN DEIGO</v>
      </c>
      <c r="E12370" t="str">
        <f>T("CA")</f>
        <v>CA</v>
      </c>
      <c r="F12370" t="str">
        <f>T("921350000")</f>
        <v>921350000</v>
      </c>
      <c r="G12370" t="str">
        <f>T("NAS NORTH ISLAND")</f>
        <v>NAS NORTH ISLAND</v>
      </c>
      <c r="H12370" t="str">
        <f>T("BLDG 14 SAUFLEY RD")</f>
        <v>BLDG 14 SAUFLEY RD</v>
      </c>
      <c r="I12370" t="str">
        <f>T("SAN DIEGO")</f>
        <v>SAN DIEGO</v>
      </c>
      <c r="J12370" t="str">
        <f>T("CA")</f>
        <v>CA</v>
      </c>
      <c r="K12370" t="str">
        <f>T("6195457554")</f>
        <v>6195457554</v>
      </c>
      <c r="L12370" t="str">
        <f>T("6195456027")</f>
        <v>6195456027</v>
      </c>
    </row>
    <row r="12371" spans="1:12" x14ac:dyDescent="0.35">
      <c r="A12371" t="str">
        <f>T("FLEET WEATHER CTR NORFOLK")</f>
        <v>FLEET WEATHER CTR NORFOLK</v>
      </c>
      <c r="B12371" t="str">
        <f>T("4251 SUITLAND RD")</f>
        <v>4251 SUITLAND RD</v>
      </c>
      <c r="C12371" t="str">
        <f>T("FOB #4 RM 2003")</f>
        <v>FOB #4 RM 2003</v>
      </c>
      <c r="D12371" t="str">
        <f>T("WASHINGTON")</f>
        <v>WASHINGTON</v>
      </c>
      <c r="E12371" t="str">
        <f>T("DC")</f>
        <v>DC</v>
      </c>
      <c r="F12371" t="str">
        <f>T("203950001")</f>
        <v>203950001</v>
      </c>
      <c r="G12371" t="str">
        <f>T("4251 SUITLAND RD")</f>
        <v>4251 SUITLAND RD</v>
      </c>
      <c r="H12371" t="str">
        <f>T("FOB #4 RM 2003")</f>
        <v>FOB #4 RM 2003</v>
      </c>
      <c r="I12371" t="str">
        <f>T("WASHINGTON")</f>
        <v>WASHINGTON</v>
      </c>
      <c r="J12371" t="str">
        <f>T("DC")</f>
        <v>DC</v>
      </c>
      <c r="K12371" t="str">
        <f>T("301-394-3200")</f>
        <v>301-394-3200</v>
      </c>
      <c r="L12371" t="str">
        <f>T("3013943006")</f>
        <v>3013943006</v>
      </c>
    </row>
    <row r="12372" spans="1:12" x14ac:dyDescent="0.35">
      <c r="A12372" t="str">
        <f>T("FLEET WEATHER CTR NORFOLK")</f>
        <v>FLEET WEATHER CTR NORFOLK</v>
      </c>
      <c r="B12372" t="str">
        <f>T("4251 SUITLAND RD")</f>
        <v>4251 SUITLAND RD</v>
      </c>
      <c r="C12372" t="str">
        <f>T("FOB #4 RM 2003")</f>
        <v>FOB #4 RM 2003</v>
      </c>
      <c r="D12372" t="str">
        <f>T("WASHINGTON")</f>
        <v>WASHINGTON</v>
      </c>
      <c r="E12372" t="str">
        <f>T("DC")</f>
        <v>DC</v>
      </c>
      <c r="F12372" t="str">
        <f>T("203950001")</f>
        <v>203950001</v>
      </c>
      <c r="G12372" t="str">
        <f>T("4251 SUITLAND RD")</f>
        <v>4251 SUITLAND RD</v>
      </c>
      <c r="H12372" t="str">
        <f>T("FOB 4 RM 2003")</f>
        <v>FOB 4 RM 2003</v>
      </c>
      <c r="I12372" t="str">
        <f>T("WASHINGTON")</f>
        <v>WASHINGTON</v>
      </c>
      <c r="J12372" t="str">
        <f>T("DC")</f>
        <v>DC</v>
      </c>
      <c r="K12372" t="str">
        <f>T("3018173990")</f>
        <v>3018173990</v>
      </c>
      <c r="L12372" t="str">
        <f>T("3018173984")</f>
        <v>3018173984</v>
      </c>
    </row>
    <row r="12373" spans="1:12" x14ac:dyDescent="0.35">
      <c r="A12373" t="str">
        <f>T("FLEET WEATHER CTR NORFOLK")</f>
        <v>FLEET WEATHER CTR NORFOLK</v>
      </c>
      <c r="B12373" t="str">
        <f>T("9141 THIRD AVE")</f>
        <v>9141 THIRD AVE</v>
      </c>
      <c r="C12373" t="str">
        <f>T("")</f>
        <v/>
      </c>
      <c r="D12373" t="str">
        <f>T("NORFOLK")</f>
        <v>NORFOLK</v>
      </c>
      <c r="E12373" t="str">
        <f>T("VA")</f>
        <v>VA</v>
      </c>
      <c r="F12373" t="str">
        <f>T("235112331")</f>
        <v>235112331</v>
      </c>
      <c r="G12373" t="str">
        <f>T("9141 THIRD AVE")</f>
        <v>9141 THIRD AVE</v>
      </c>
      <c r="H12373" t="str">
        <f>T("")</f>
        <v/>
      </c>
      <c r="I12373" t="str">
        <f>T("NORFOLK")</f>
        <v>NORFOLK</v>
      </c>
      <c r="J12373" t="str">
        <f>T("VA")</f>
        <v>VA</v>
      </c>
      <c r="K12373" t="str">
        <f>T("7574447343")</f>
        <v>7574447343</v>
      </c>
      <c r="L12373" t="str">
        <f>T("7574441427")</f>
        <v>7574441427</v>
      </c>
    </row>
    <row r="12374" spans="1:12" x14ac:dyDescent="0.35">
      <c r="A12374" t="str">
        <f>T("FLEET WEATHER CTR NORFOLK")</f>
        <v>FLEET WEATHER CTR NORFOLK</v>
      </c>
      <c r="B12374" t="str">
        <f>T("9141 THIRD AVE")</f>
        <v>9141 THIRD AVE</v>
      </c>
      <c r="C12374" t="str">
        <f>T("")</f>
        <v/>
      </c>
      <c r="D12374" t="str">
        <f>T("NORFOLK")</f>
        <v>NORFOLK</v>
      </c>
      <c r="E12374" t="str">
        <f>T("VA")</f>
        <v>VA</v>
      </c>
      <c r="F12374" t="str">
        <f>T("235112331")</f>
        <v>235112331</v>
      </c>
      <c r="G12374" t="str">
        <f>T("9141 THIRD AVE")</f>
        <v>9141 THIRD AVE</v>
      </c>
      <c r="H12374" t="str">
        <f>T("")</f>
        <v/>
      </c>
      <c r="I12374" t="str">
        <f>T("NORFOLK")</f>
        <v>NORFOLK</v>
      </c>
      <c r="J12374" t="str">
        <f>T("VA")</f>
        <v>VA</v>
      </c>
      <c r="K12374" t="str">
        <f>T("7574447343")</f>
        <v>7574447343</v>
      </c>
      <c r="L12374" t="str">
        <f>T("7574451871")</f>
        <v>7574451871</v>
      </c>
    </row>
    <row r="12375" spans="1:12" x14ac:dyDescent="0.35">
      <c r="A12375" t="str">
        <f>T("FLEET WEATHER CTR NORFOLK")</f>
        <v>FLEET WEATHER CTR NORFOLK</v>
      </c>
      <c r="B12375" t="str">
        <f>T("9141 THIRD AVE")</f>
        <v>9141 THIRD AVE</v>
      </c>
      <c r="C12375" t="str">
        <f>T("")</f>
        <v/>
      </c>
      <c r="D12375" t="str">
        <f>T("NORFOLK")</f>
        <v>NORFOLK</v>
      </c>
      <c r="E12375" t="str">
        <f>T("VA")</f>
        <v>VA</v>
      </c>
      <c r="F12375" t="str">
        <f>T("235112331")</f>
        <v>235112331</v>
      </c>
      <c r="G12375" t="str">
        <f>T("9141 THIRD AVE")</f>
        <v>9141 THIRD AVE</v>
      </c>
      <c r="H12375" t="str">
        <f>T("")</f>
        <v/>
      </c>
      <c r="I12375" t="str">
        <f>T("NORFOLK")</f>
        <v>NORFOLK</v>
      </c>
      <c r="J12375" t="str">
        <f>T("VA")</f>
        <v>VA</v>
      </c>
      <c r="K12375" t="str">
        <f>T("7574447343")</f>
        <v>7574447343</v>
      </c>
      <c r="L12375" t="str">
        <f>T("7574452078")</f>
        <v>7574452078</v>
      </c>
    </row>
    <row r="12376" spans="1:12" x14ac:dyDescent="0.35">
      <c r="A12376" t="str">
        <f>T("FNMOC")</f>
        <v>FNMOC</v>
      </c>
      <c r="B12376" t="str">
        <f>T("7 GRACE HOPPER AVE")</f>
        <v>7 GRACE HOPPER AVE</v>
      </c>
      <c r="C12376" t="str">
        <f>T("STOP 1")</f>
        <v>STOP 1</v>
      </c>
      <c r="D12376" t="str">
        <f>T("MONTEREY")</f>
        <v>MONTEREY</v>
      </c>
      <c r="E12376" t="str">
        <f>T("CA")</f>
        <v>CA</v>
      </c>
      <c r="F12376" t="str">
        <f>T("939435598")</f>
        <v>939435598</v>
      </c>
      <c r="G12376" t="str">
        <f>T("7 GRACE HOPPER AVE")</f>
        <v>7 GRACE HOPPER AVE</v>
      </c>
      <c r="H12376" t="str">
        <f>T("STOP 1")</f>
        <v>STOP 1</v>
      </c>
      <c r="I12376" t="str">
        <f>T("MONTEREY")</f>
        <v>MONTEREY</v>
      </c>
      <c r="J12376" t="str">
        <f>T("CA")</f>
        <v>CA</v>
      </c>
      <c r="K12376" t="str">
        <f>T("8316564489")</f>
        <v>8316564489</v>
      </c>
      <c r="L12376" t="str">
        <f>T("8316564672")</f>
        <v>8316564672</v>
      </c>
    </row>
    <row r="12377" spans="1:12" x14ac:dyDescent="0.35">
      <c r="A12377" t="str">
        <f>T("FNMOC")</f>
        <v>FNMOC</v>
      </c>
      <c r="B12377" t="str">
        <f>T("7 GRACE HOPPER AVE")</f>
        <v>7 GRACE HOPPER AVE</v>
      </c>
      <c r="C12377" t="str">
        <f>T("STOP 1")</f>
        <v>STOP 1</v>
      </c>
      <c r="D12377" t="str">
        <f>T("MONTEREY")</f>
        <v>MONTEREY</v>
      </c>
      <c r="E12377" t="str">
        <f>T("CA")</f>
        <v>CA</v>
      </c>
      <c r="F12377" t="str">
        <f>T("939435598")</f>
        <v>939435598</v>
      </c>
      <c r="G12377" t="str">
        <f>T("7 GRACE HOPPER AVENUE STOP 1")</f>
        <v>7 GRACE HOPPER AVENUE STOP 1</v>
      </c>
      <c r="H12377" t="str">
        <f>T("")</f>
        <v/>
      </c>
      <c r="I12377" t="str">
        <f>T("MONTEREY")</f>
        <v>MONTEREY</v>
      </c>
      <c r="J12377" t="str">
        <f>T("CA")</f>
        <v>CA</v>
      </c>
      <c r="K12377" t="str">
        <f>T("8316564489")</f>
        <v>8316564489</v>
      </c>
      <c r="L12377" t="str">
        <f>T("8316564307")</f>
        <v>8316564307</v>
      </c>
    </row>
    <row r="12378" spans="1:12" x14ac:dyDescent="0.35">
      <c r="A12378" t="str">
        <f>T("FNMOC")</f>
        <v>FNMOC</v>
      </c>
      <c r="B12378" t="str">
        <f>T("7 GRACE HOPPER AVE")</f>
        <v>7 GRACE HOPPER AVE</v>
      </c>
      <c r="C12378" t="str">
        <f>T("STOP 1")</f>
        <v>STOP 1</v>
      </c>
      <c r="D12378" t="str">
        <f>T("MONTEREY")</f>
        <v>MONTEREY</v>
      </c>
      <c r="E12378" t="str">
        <f>T("CA")</f>
        <v>CA</v>
      </c>
      <c r="F12378" t="str">
        <f>T("939435598")</f>
        <v>939435598</v>
      </c>
      <c r="G12378" t="str">
        <f>T("FLENUMMETOCCEN")</f>
        <v>FLENUMMETOCCEN</v>
      </c>
      <c r="H12378" t="str">
        <f>T("7 GRACE HOPPER AVENUE, STOP 1")</f>
        <v>7 GRACE HOPPER AVENUE, STOP 1</v>
      </c>
      <c r="I12378" t="str">
        <f>T("MONTEREY")</f>
        <v>MONTEREY</v>
      </c>
      <c r="J12378" t="str">
        <f>T("CA")</f>
        <v>CA</v>
      </c>
      <c r="K12378" t="str">
        <f>T("8316564224")</f>
        <v>8316564224</v>
      </c>
      <c r="L12378" t="str">
        <f>T("2193108358")</f>
        <v>2193108358</v>
      </c>
    </row>
    <row r="12379" spans="1:12" x14ac:dyDescent="0.35">
      <c r="A12379" t="str">
        <f>T("ZZ DELETE")</f>
        <v>ZZ DELETE</v>
      </c>
      <c r="B12379" t="str">
        <f>T("PSC 819 BOX 84")</f>
        <v>PSC 819 BOX 84</v>
      </c>
      <c r="C12379" t="str">
        <f>T("")</f>
        <v/>
      </c>
      <c r="D12379" t="str">
        <f>T("FPO")</f>
        <v>FPO</v>
      </c>
      <c r="E12379" t="str">
        <f>T("AE")</f>
        <v>AE</v>
      </c>
      <c r="F12379" t="str">
        <f>T("096450001")</f>
        <v>096450001</v>
      </c>
      <c r="G12379" t="str">
        <f>T("PSC 819 BOX 84")</f>
        <v>PSC 819 BOX 84</v>
      </c>
      <c r="H12379" t="str">
        <f>T("")</f>
        <v/>
      </c>
      <c r="I12379" t="str">
        <f>T("FPO")</f>
        <v>FPO</v>
      </c>
      <c r="J12379" t="str">
        <f>T("AE")</f>
        <v>AE</v>
      </c>
      <c r="K12379" t="str">
        <f>T("34-956-821269")</f>
        <v>34-956-821269</v>
      </c>
      <c r="L12379" t="str">
        <f>T("7572033085")</f>
        <v>7572033085</v>
      </c>
    </row>
    <row r="12380" spans="1:12" x14ac:dyDescent="0.35">
      <c r="A12380" t="str">
        <f>T("NAVSOC")</f>
        <v>NAVSOC</v>
      </c>
      <c r="B12380" t="str">
        <f>T("NAVAL SATELLITE OPERATIONS CTR")</f>
        <v>NAVAL SATELLITE OPERATIONS CTR</v>
      </c>
      <c r="C12380" t="str">
        <f>T("661 13TH ST FINANCIAL MGMT")</f>
        <v>661 13TH ST FINANCIAL MGMT</v>
      </c>
      <c r="D12380" t="str">
        <f>T("PT MUGU NAWC")</f>
        <v>PT MUGU NAWC</v>
      </c>
      <c r="E12380" t="str">
        <f>T("CA")</f>
        <v>CA</v>
      </c>
      <c r="F12380" t="str">
        <f>T("930420001")</f>
        <v>930420001</v>
      </c>
      <c r="G12380" t="str">
        <f>T("661 13TH STREET")</f>
        <v>661 13TH STREET</v>
      </c>
      <c r="H12380" t="str">
        <f>T("BUILDING 375")</f>
        <v>BUILDING 375</v>
      </c>
      <c r="I12380" t="str">
        <f>T("POINT MUGU NAWC")</f>
        <v>POINT MUGU NAWC</v>
      </c>
      <c r="J12380" t="str">
        <f>T("CA")</f>
        <v>CA</v>
      </c>
      <c r="K12380" t="str">
        <f>T("000000000000000000")</f>
        <v>000000000000000000</v>
      </c>
      <c r="L12380" t="str">
        <f>T("6713555023")</f>
        <v>6713555023</v>
      </c>
    </row>
    <row r="12381" spans="1:12" x14ac:dyDescent="0.35">
      <c r="A12381" t="str">
        <f>T("NAVSOC")</f>
        <v>NAVSOC</v>
      </c>
      <c r="B12381" t="str">
        <f>T("NAVAL SATELLITE OPERATIONS CTR")</f>
        <v>NAVAL SATELLITE OPERATIONS CTR</v>
      </c>
      <c r="C12381" t="str">
        <f>T("661 13TH ST FINANCIAL MGMT")</f>
        <v>661 13TH ST FINANCIAL MGMT</v>
      </c>
      <c r="D12381" t="str">
        <f>T("PT MUGU NAWC")</f>
        <v>PT MUGU NAWC</v>
      </c>
      <c r="E12381" t="str">
        <f>T("CA")</f>
        <v>CA</v>
      </c>
      <c r="F12381" t="str">
        <f>T("930420001")</f>
        <v>930420001</v>
      </c>
      <c r="G12381" t="str">
        <f>T("661 13TH STREET")</f>
        <v>661 13TH STREET</v>
      </c>
      <c r="H12381" t="str">
        <f>T("BUILDING 375")</f>
        <v>BUILDING 375</v>
      </c>
      <c r="I12381" t="str">
        <f>T("PORT HUENEME")</f>
        <v>PORT HUENEME</v>
      </c>
      <c r="J12381" t="str">
        <f>T("CA")</f>
        <v>CA</v>
      </c>
      <c r="K12381" t="str">
        <f>T("000000000000000000")</f>
        <v>000000000000000000</v>
      </c>
      <c r="L12381" t="str">
        <f>T("8059893617")</f>
        <v>8059893617</v>
      </c>
    </row>
    <row r="12382" spans="1:12" x14ac:dyDescent="0.35">
      <c r="A12382" t="str">
        <f>T("NAVSOC")</f>
        <v>NAVSOC</v>
      </c>
      <c r="B12382" t="str">
        <f>T("NAVAL SATELLITE OPERATIONS CTR")</f>
        <v>NAVAL SATELLITE OPERATIONS CTR</v>
      </c>
      <c r="C12382" t="str">
        <f>T("661 13TH ST FINANCIAL MGMT")</f>
        <v>661 13TH ST FINANCIAL MGMT</v>
      </c>
      <c r="D12382" t="str">
        <f>T("PT MUGU NAWC")</f>
        <v>PT MUGU NAWC</v>
      </c>
      <c r="E12382" t="str">
        <f>T("CA")</f>
        <v>CA</v>
      </c>
      <c r="F12382" t="str">
        <f>T("930420001")</f>
        <v>930420001</v>
      </c>
      <c r="G12382" t="str">
        <f>T("661 13TH STREET")</f>
        <v>661 13TH STREET</v>
      </c>
      <c r="H12382" t="str">
        <f>T("BUILDING 375")</f>
        <v>BUILDING 375</v>
      </c>
      <c r="I12382" t="str">
        <f>T("PORT HUENEME")</f>
        <v>PORT HUENEME</v>
      </c>
      <c r="J12382" t="str">
        <f>T("CA")</f>
        <v>CA</v>
      </c>
      <c r="K12382" t="str">
        <f>T("000000000000000000")</f>
        <v>000000000000000000</v>
      </c>
      <c r="L12382" t="str">
        <f>T("8059894200")</f>
        <v>8059894200</v>
      </c>
    </row>
    <row r="12383" spans="1:12" x14ac:dyDescent="0.35">
      <c r="A12383" t="str">
        <f>T("NAVSOC")</f>
        <v>NAVSOC</v>
      </c>
      <c r="B12383" t="str">
        <f>T("NAVAL SATELLITE OPERATIONS CTR")</f>
        <v>NAVAL SATELLITE OPERATIONS CTR</v>
      </c>
      <c r="C12383" t="str">
        <f>T("661 13TH ST FINANCIAL MGMT")</f>
        <v>661 13TH ST FINANCIAL MGMT</v>
      </c>
      <c r="D12383" t="str">
        <f>T("PT MUGU NAWC")</f>
        <v>PT MUGU NAWC</v>
      </c>
      <c r="E12383" t="str">
        <f>T("CA")</f>
        <v>CA</v>
      </c>
      <c r="F12383" t="str">
        <f>T("930420001")</f>
        <v>930420001</v>
      </c>
      <c r="G12383" t="str">
        <f>T("661 31TH STREET")</f>
        <v>661 31TH STREET</v>
      </c>
      <c r="H12383" t="str">
        <f>T("BUILDING 375")</f>
        <v>BUILDING 375</v>
      </c>
      <c r="I12383" t="str">
        <f>T("PORT HUENEME")</f>
        <v>PORT HUENEME</v>
      </c>
      <c r="J12383" t="str">
        <f>T("CA")</f>
        <v>CA</v>
      </c>
      <c r="K12383" t="str">
        <f>T("000000000000000000")</f>
        <v>000000000000000000</v>
      </c>
      <c r="L12383" t="str">
        <f>T("8059891735")</f>
        <v>8059891735</v>
      </c>
    </row>
    <row r="12384" spans="1:12" x14ac:dyDescent="0.35">
      <c r="A12384" t="str">
        <f>T("NAVSOC")</f>
        <v>NAVSOC</v>
      </c>
      <c r="B12384" t="str">
        <f>T("NAVAL SATELLITE OPERATIONS CTR")</f>
        <v>NAVAL SATELLITE OPERATIONS CTR</v>
      </c>
      <c r="C12384" t="str">
        <f>T("661 13TH ST FINANCIAL MGMT")</f>
        <v>661 13TH ST FINANCIAL MGMT</v>
      </c>
      <c r="D12384" t="str">
        <f>T("PT MUGU NAWC")</f>
        <v>PT MUGU NAWC</v>
      </c>
      <c r="E12384" t="str">
        <f>T("CA")</f>
        <v>CA</v>
      </c>
      <c r="F12384" t="str">
        <f>T("930420001")</f>
        <v>930420001</v>
      </c>
      <c r="G12384" t="str">
        <f>T("NAVAL SATELLITE OPERATIONS CTR")</f>
        <v>NAVAL SATELLITE OPERATIONS CTR</v>
      </c>
      <c r="H12384" t="str">
        <f>T("661 13TH ST FINANCIAL MGMT")</f>
        <v>661 13TH ST FINANCIAL MGMT</v>
      </c>
      <c r="I12384" t="str">
        <f>T("PT MUGU NAWC")</f>
        <v>PT MUGU NAWC</v>
      </c>
      <c r="J12384" t="str">
        <f>T("CA")</f>
        <v>CA</v>
      </c>
      <c r="K12384" t="str">
        <f>T("8059894280")</f>
        <v>8059894280</v>
      </c>
      <c r="L12384" t="str">
        <f>T("8059894314")</f>
        <v>8059894314</v>
      </c>
    </row>
    <row r="12385" spans="1:12" x14ac:dyDescent="0.35">
      <c r="A12385" t="str">
        <f>T("NCTAMSPAC PUGET SOUND")</f>
        <v>NCTAMSPAC PUGET SOUND</v>
      </c>
      <c r="B12385" t="str">
        <f>T("1100 HUNLEY RD STE 116")</f>
        <v>1100 HUNLEY RD STE 116</v>
      </c>
      <c r="C12385" t="str">
        <f t="shared" ref="C12385:C12423" si="4595">T("")</f>
        <v/>
      </c>
      <c r="D12385" t="str">
        <f>T("SILVERDALE")</f>
        <v>SILVERDALE</v>
      </c>
      <c r="E12385" t="str">
        <f>T("WA")</f>
        <v>WA</v>
      </c>
      <c r="F12385" t="str">
        <f>T("983151100")</f>
        <v>983151100</v>
      </c>
      <c r="G12385" t="str">
        <f>T("1100 HUNLEY RD STE 116")</f>
        <v>1100 HUNLEY RD STE 116</v>
      </c>
      <c r="H12385" t="str">
        <f>T("")</f>
        <v/>
      </c>
      <c r="I12385" t="str">
        <f>T("SILVERDALE")</f>
        <v>SILVERDALE</v>
      </c>
      <c r="J12385" t="str">
        <f>T("WA")</f>
        <v>WA</v>
      </c>
      <c r="K12385" t="str">
        <f>T("360-396-7938")</f>
        <v>360-396-7938</v>
      </c>
      <c r="L12385" t="str">
        <f>T("3603961696")</f>
        <v>3603961696</v>
      </c>
    </row>
    <row r="12386" spans="1:12" x14ac:dyDescent="0.35">
      <c r="A12386" t="str">
        <f>T("NCTAMSPAC PUGET SOUND")</f>
        <v>NCTAMSPAC PUGET SOUND</v>
      </c>
      <c r="B12386" t="str">
        <f>T("1100 HUNLEY RD STE 116")</f>
        <v>1100 HUNLEY RD STE 116</v>
      </c>
      <c r="C12386" t="str">
        <f t="shared" si="4595"/>
        <v/>
      </c>
      <c r="D12386" t="str">
        <f>T("SILVERDALE")</f>
        <v>SILVERDALE</v>
      </c>
      <c r="E12386" t="str">
        <f>T("WA")</f>
        <v>WA</v>
      </c>
      <c r="F12386" t="str">
        <f>T("983151100")</f>
        <v>983151100</v>
      </c>
      <c r="G12386" t="str">
        <f>T("NCTAMSPAC DET PS")</f>
        <v>NCTAMSPAC DET PS</v>
      </c>
      <c r="H12386" t="str">
        <f>T("1100 HUNLEY RD STE 116")</f>
        <v>1100 HUNLEY RD STE 116</v>
      </c>
      <c r="I12386" t="str">
        <f>T("SILVERDALE")</f>
        <v>SILVERDALE</v>
      </c>
      <c r="J12386" t="str">
        <f>T("WA")</f>
        <v>WA</v>
      </c>
      <c r="K12386" t="str">
        <f>T("000000000000000000")</f>
        <v>000000000000000000</v>
      </c>
      <c r="L12386" t="str">
        <f>T("3603961696")</f>
        <v>3603961696</v>
      </c>
    </row>
    <row r="12387" spans="1:12" x14ac:dyDescent="0.35">
      <c r="A12387" t="str">
        <f>T("NCTAMSPAC PUGET SOUND")</f>
        <v>NCTAMSPAC PUGET SOUND</v>
      </c>
      <c r="B12387" t="str">
        <f>T("1100 HUNLEY RD STE 116")</f>
        <v>1100 HUNLEY RD STE 116</v>
      </c>
      <c r="C12387" t="str">
        <f t="shared" si="4595"/>
        <v/>
      </c>
      <c r="D12387" t="str">
        <f>T("SILVERDALE")</f>
        <v>SILVERDALE</v>
      </c>
      <c r="E12387" t="str">
        <f>T("WA")</f>
        <v>WA</v>
      </c>
      <c r="F12387" t="str">
        <f>T("983151100")</f>
        <v>983151100</v>
      </c>
      <c r="G12387" t="str">
        <f>T("NCTAMSPAC DET PS")</f>
        <v>NCTAMSPAC DET PS</v>
      </c>
      <c r="H12387" t="str">
        <f>T("1100 HUNLEY RD STE 116")</f>
        <v>1100 HUNLEY RD STE 116</v>
      </c>
      <c r="I12387" t="str">
        <f>T("SILVERDALE")</f>
        <v>SILVERDALE</v>
      </c>
      <c r="J12387" t="str">
        <f>T("WA")</f>
        <v>WA</v>
      </c>
      <c r="K12387" t="str">
        <f>T("4253045306")</f>
        <v>4253045306</v>
      </c>
      <c r="L12387" t="str">
        <f>T("4253045312")</f>
        <v>4253045312</v>
      </c>
    </row>
    <row r="12388" spans="1:12" x14ac:dyDescent="0.35">
      <c r="A12388" t="str">
        <f>T("NCTS SICILY")</f>
        <v>NCTS SICILY</v>
      </c>
      <c r="B12388" t="str">
        <f>T("PSC 812 BOX 0022")</f>
        <v>PSC 812 BOX 0022</v>
      </c>
      <c r="C12388" t="str">
        <f t="shared" si="4595"/>
        <v/>
      </c>
      <c r="D12388" t="str">
        <f t="shared" ref="D12388:D12408" si="4596">T("FPO")</f>
        <v>FPO</v>
      </c>
      <c r="E12388" t="str">
        <f>T("AE")</f>
        <v>AE</v>
      </c>
      <c r="F12388" t="str">
        <f>T("096270001")</f>
        <v>096270001</v>
      </c>
      <c r="G12388" t="str">
        <f>T("NCTS SICILY")</f>
        <v>NCTS SICILY</v>
      </c>
      <c r="H12388" t="str">
        <f>T("PSC 812 BOX 0022")</f>
        <v>PSC 812 BOX 0022</v>
      </c>
      <c r="I12388" t="str">
        <f t="shared" ref="I12388:I12408" si="4597">T("FPO")</f>
        <v>FPO</v>
      </c>
      <c r="J12388" t="str">
        <f>T("AE")</f>
        <v>AE</v>
      </c>
      <c r="K12388" t="str">
        <f>T("01139095865527")</f>
        <v>01139095865527</v>
      </c>
      <c r="L12388" t="str">
        <f>T("1111111111")</f>
        <v>1111111111</v>
      </c>
    </row>
    <row r="12389" spans="1:12" x14ac:dyDescent="0.35">
      <c r="A12389" t="str">
        <f>T("NCTS SICILY")</f>
        <v>NCTS SICILY</v>
      </c>
      <c r="B12389" t="str">
        <f>T("PSC 812 BOX 0022")</f>
        <v>PSC 812 BOX 0022</v>
      </c>
      <c r="C12389" t="str">
        <f t="shared" si="4595"/>
        <v/>
      </c>
      <c r="D12389" t="str">
        <f t="shared" si="4596"/>
        <v>FPO</v>
      </c>
      <c r="E12389" t="str">
        <f>T("AE")</f>
        <v>AE</v>
      </c>
      <c r="F12389" t="str">
        <f>T("096270001")</f>
        <v>096270001</v>
      </c>
      <c r="G12389" t="str">
        <f>T("PSC 812 BOX 0022")</f>
        <v>PSC 812 BOX 0022</v>
      </c>
      <c r="H12389" t="str">
        <f t="shared" ref="H12389:H12409" si="4598">T("")</f>
        <v/>
      </c>
      <c r="I12389" t="str">
        <f t="shared" si="4597"/>
        <v>FPO</v>
      </c>
      <c r="J12389" t="str">
        <f>T("AE")</f>
        <v>AE</v>
      </c>
      <c r="K12389" t="str">
        <f>T("000000000000000000")</f>
        <v>000000000000000000</v>
      </c>
      <c r="L12389" t="str">
        <f>T("1111111111")</f>
        <v>1111111111</v>
      </c>
    </row>
    <row r="12390" spans="1:12" x14ac:dyDescent="0.35">
      <c r="A12390" t="str">
        <f>T("NCTS SICILY")</f>
        <v>NCTS SICILY</v>
      </c>
      <c r="B12390" t="str">
        <f>T("PSC 812 BOX 0022")</f>
        <v>PSC 812 BOX 0022</v>
      </c>
      <c r="C12390" t="str">
        <f t="shared" si="4595"/>
        <v/>
      </c>
      <c r="D12390" t="str">
        <f t="shared" si="4596"/>
        <v>FPO</v>
      </c>
      <c r="E12390" t="str">
        <f>T("AE")</f>
        <v>AE</v>
      </c>
      <c r="F12390" t="str">
        <f>T("096270001")</f>
        <v>096270001</v>
      </c>
      <c r="G12390" t="str">
        <f>T("PSC 812 BOX 0022")</f>
        <v>PSC 812 BOX 0022</v>
      </c>
      <c r="H12390" t="str">
        <f t="shared" si="4598"/>
        <v/>
      </c>
      <c r="I12390" t="str">
        <f t="shared" si="4597"/>
        <v>FPO</v>
      </c>
      <c r="J12390" t="str">
        <f>T("AE")</f>
        <v>AE</v>
      </c>
      <c r="K12390" t="str">
        <f>T("01139095866238")</f>
        <v>01139095866238</v>
      </c>
      <c r="L12390" t="str">
        <f>T("1111111111")</f>
        <v>1111111111</v>
      </c>
    </row>
    <row r="12391" spans="1:12" x14ac:dyDescent="0.35">
      <c r="A12391" t="str">
        <f>T("NCTS SICILY")</f>
        <v>NCTS SICILY</v>
      </c>
      <c r="B12391" t="str">
        <f>T("PSC 812 BOX 0022")</f>
        <v>PSC 812 BOX 0022</v>
      </c>
      <c r="C12391" t="str">
        <f t="shared" si="4595"/>
        <v/>
      </c>
      <c r="D12391" t="str">
        <f t="shared" si="4596"/>
        <v>FPO</v>
      </c>
      <c r="E12391" t="str">
        <f>T("AE")</f>
        <v>AE</v>
      </c>
      <c r="F12391" t="str">
        <f>T("096270001")</f>
        <v>096270001</v>
      </c>
      <c r="G12391" t="str">
        <f>T("PSC 812 BOX 0022")</f>
        <v>PSC 812 BOX 0022</v>
      </c>
      <c r="H12391" t="str">
        <f t="shared" si="4598"/>
        <v/>
      </c>
      <c r="I12391" t="str">
        <f t="shared" si="4597"/>
        <v>FPO</v>
      </c>
      <c r="J12391" t="str">
        <f>T("AE")</f>
        <v>AE</v>
      </c>
      <c r="K12391" t="str">
        <f>T("01139095866239")</f>
        <v>01139095866239</v>
      </c>
      <c r="L12391" t="str">
        <f>T("1111111111")</f>
        <v>1111111111</v>
      </c>
    </row>
    <row r="12392" spans="1:12" x14ac:dyDescent="0.35">
      <c r="A12392" t="str">
        <f>T("NIOC YOKOSUKA")</f>
        <v>NIOC YOKOSUKA</v>
      </c>
      <c r="B12392" t="str">
        <f>T("PSC 473 BOX 97")</f>
        <v>PSC 473 BOX 97</v>
      </c>
      <c r="C12392" t="str">
        <f t="shared" si="4595"/>
        <v/>
      </c>
      <c r="D12392" t="str">
        <f t="shared" si="4596"/>
        <v>FPO</v>
      </c>
      <c r="E12392" t="str">
        <f t="shared" ref="E12392:E12405" si="4599">T("AP")</f>
        <v>AP</v>
      </c>
      <c r="F12392" t="str">
        <f t="shared" ref="F12392:F12405" si="4600">T("963490001")</f>
        <v>963490001</v>
      </c>
      <c r="G12392" t="str">
        <f>T("PSC 473 BOX 97")</f>
        <v>PSC 473 BOX 97</v>
      </c>
      <c r="H12392" t="str">
        <f t="shared" si="4598"/>
        <v/>
      </c>
      <c r="I12392" t="str">
        <f t="shared" si="4597"/>
        <v>FPO</v>
      </c>
      <c r="J12392" t="str">
        <f t="shared" ref="J12392:J12405" si="4601">T("AP")</f>
        <v>AP</v>
      </c>
      <c r="K12392" t="str">
        <f>T("000000000000000000")</f>
        <v>000000000000000000</v>
      </c>
      <c r="L12392" t="str">
        <f>T("1111111111")</f>
        <v>1111111111</v>
      </c>
    </row>
    <row r="12393" spans="1:12" x14ac:dyDescent="0.35">
      <c r="A12393" t="str">
        <f>T("NIOC YOKOSUKA")</f>
        <v>NIOC YOKOSUKA</v>
      </c>
      <c r="B12393" t="str">
        <f>T("PSC 473 BOX 97")</f>
        <v>PSC 473 BOX 97</v>
      </c>
      <c r="C12393" t="str">
        <f t="shared" si="4595"/>
        <v/>
      </c>
      <c r="D12393" t="str">
        <f t="shared" si="4596"/>
        <v>FPO</v>
      </c>
      <c r="E12393" t="str">
        <f t="shared" si="4599"/>
        <v>AP</v>
      </c>
      <c r="F12393" t="str">
        <f t="shared" si="4600"/>
        <v>963490001</v>
      </c>
      <c r="G12393" t="str">
        <f>T("PSC 473 BOX 97")</f>
        <v>PSC 473 BOX 97</v>
      </c>
      <c r="H12393" t="str">
        <f t="shared" si="4598"/>
        <v/>
      </c>
      <c r="I12393" t="str">
        <f t="shared" si="4597"/>
        <v>FPO</v>
      </c>
      <c r="J12393" t="str">
        <f t="shared" si="4601"/>
        <v>AP</v>
      </c>
      <c r="K12393" t="str">
        <f>T("01181468163301")</f>
        <v>01181468163301</v>
      </c>
      <c r="L12393" t="str">
        <f>T("3152435721")</f>
        <v>3152435721</v>
      </c>
    </row>
    <row r="12394" spans="1:12" x14ac:dyDescent="0.35">
      <c r="A12394" t="str">
        <f>T("NIOC YOKOSUKA")</f>
        <v>NIOC YOKOSUKA</v>
      </c>
      <c r="B12394" t="str">
        <f>T("PSC 473 BOX 97")</f>
        <v>PSC 473 BOX 97</v>
      </c>
      <c r="C12394" t="str">
        <f t="shared" si="4595"/>
        <v/>
      </c>
      <c r="D12394" t="str">
        <f t="shared" si="4596"/>
        <v>FPO</v>
      </c>
      <c r="E12394" t="str">
        <f t="shared" si="4599"/>
        <v>AP</v>
      </c>
      <c r="F12394" t="str">
        <f t="shared" si="4600"/>
        <v>963490001</v>
      </c>
      <c r="G12394" t="str">
        <f>T("PSC 473 BOX 97")</f>
        <v>PSC 473 BOX 97</v>
      </c>
      <c r="H12394" t="str">
        <f t="shared" si="4598"/>
        <v/>
      </c>
      <c r="I12394" t="str">
        <f t="shared" si="4597"/>
        <v>FPO</v>
      </c>
      <c r="J12394" t="str">
        <f t="shared" si="4601"/>
        <v>AP</v>
      </c>
      <c r="K12394" t="str">
        <f>T("01181468163303")</f>
        <v>01181468163303</v>
      </c>
      <c r="L12394" t="str">
        <f>T("1111111111")</f>
        <v>1111111111</v>
      </c>
    </row>
    <row r="12395" spans="1:12" x14ac:dyDescent="0.35">
      <c r="A12395" t="str">
        <f t="shared" ref="A12395:A12405" si="4602">T("NCTS-FE YOKOSUKA")</f>
        <v>NCTS-FE YOKOSUKA</v>
      </c>
      <c r="B12395" t="str">
        <f t="shared" ref="B12395:B12405" si="4603">T("PSC 473 BOX 3")</f>
        <v>PSC 473 BOX 3</v>
      </c>
      <c r="C12395" t="str">
        <f t="shared" si="4595"/>
        <v/>
      </c>
      <c r="D12395" t="str">
        <f t="shared" si="4596"/>
        <v>FPO</v>
      </c>
      <c r="E12395" t="str">
        <f t="shared" si="4599"/>
        <v>AP</v>
      </c>
      <c r="F12395" t="str">
        <f t="shared" si="4600"/>
        <v>963490001</v>
      </c>
      <c r="G12395" t="str">
        <f>T("PSC 466 BOX 8")</f>
        <v>PSC 466 BOX 8</v>
      </c>
      <c r="H12395" t="str">
        <f t="shared" si="4598"/>
        <v/>
      </c>
      <c r="I12395" t="str">
        <f t="shared" si="4597"/>
        <v>FPO</v>
      </c>
      <c r="J12395" t="str">
        <f t="shared" si="4601"/>
        <v>AP</v>
      </c>
      <c r="K12395" t="str">
        <f>T("0112463702404")</f>
        <v>0112463702404</v>
      </c>
      <c r="L12395" t="str">
        <f>T("1111111111")</f>
        <v>1111111111</v>
      </c>
    </row>
    <row r="12396" spans="1:12" x14ac:dyDescent="0.35">
      <c r="A12396" t="str">
        <f t="shared" si="4602"/>
        <v>NCTS-FE YOKOSUKA</v>
      </c>
      <c r="B12396" t="str">
        <f t="shared" si="4603"/>
        <v>PSC 473 BOX 3</v>
      </c>
      <c r="C12396" t="str">
        <f t="shared" si="4595"/>
        <v/>
      </c>
      <c r="D12396" t="str">
        <f t="shared" si="4596"/>
        <v>FPO</v>
      </c>
      <c r="E12396" t="str">
        <f t="shared" si="4599"/>
        <v>AP</v>
      </c>
      <c r="F12396" t="str">
        <f t="shared" si="4600"/>
        <v>963490001</v>
      </c>
      <c r="G12396" t="str">
        <f>T("PSC 470 BOX 2250")</f>
        <v>PSC 470 BOX 2250</v>
      </c>
      <c r="H12396" t="str">
        <f t="shared" si="4598"/>
        <v/>
      </c>
      <c r="I12396" t="str">
        <f t="shared" si="4597"/>
        <v>FPO</v>
      </c>
      <c r="J12396" t="str">
        <f t="shared" si="4601"/>
        <v>AP</v>
      </c>
      <c r="K12396" t="str">
        <f>T("000000000000000000")</f>
        <v>000000000000000000</v>
      </c>
      <c r="L12396" t="str">
        <f>T("3154212416")</f>
        <v>3154212416</v>
      </c>
    </row>
    <row r="12397" spans="1:12" x14ac:dyDescent="0.35">
      <c r="A12397" t="str">
        <f t="shared" si="4602"/>
        <v>NCTS-FE YOKOSUKA</v>
      </c>
      <c r="B12397" t="str">
        <f t="shared" si="4603"/>
        <v>PSC 473 BOX 3</v>
      </c>
      <c r="C12397" t="str">
        <f t="shared" si="4595"/>
        <v/>
      </c>
      <c r="D12397" t="str">
        <f t="shared" si="4596"/>
        <v>FPO</v>
      </c>
      <c r="E12397" t="str">
        <f t="shared" si="4599"/>
        <v>AP</v>
      </c>
      <c r="F12397" t="str">
        <f t="shared" si="4600"/>
        <v>963490001</v>
      </c>
      <c r="G12397" t="str">
        <f>T("PSC 473 BOX 3")</f>
        <v>PSC 473 BOX 3</v>
      </c>
      <c r="H12397" t="str">
        <f t="shared" si="4598"/>
        <v/>
      </c>
      <c r="I12397" t="str">
        <f t="shared" si="4597"/>
        <v>FPO</v>
      </c>
      <c r="J12397" t="str">
        <f t="shared" si="4601"/>
        <v>AP</v>
      </c>
      <c r="K12397" t="str">
        <f>T("000000000000000000")</f>
        <v>000000000000000000</v>
      </c>
      <c r="L12397" t="str">
        <f>T("1111111111")</f>
        <v>1111111111</v>
      </c>
    </row>
    <row r="12398" spans="1:12" x14ac:dyDescent="0.35">
      <c r="A12398" t="str">
        <f t="shared" si="4602"/>
        <v>NCTS-FE YOKOSUKA</v>
      </c>
      <c r="B12398" t="str">
        <f t="shared" si="4603"/>
        <v>PSC 473 BOX 3</v>
      </c>
      <c r="C12398" t="str">
        <f t="shared" si="4595"/>
        <v/>
      </c>
      <c r="D12398" t="str">
        <f t="shared" si="4596"/>
        <v>FPO</v>
      </c>
      <c r="E12398" t="str">
        <f t="shared" si="4599"/>
        <v>AP</v>
      </c>
      <c r="F12398" t="str">
        <f t="shared" si="4600"/>
        <v>963490001</v>
      </c>
      <c r="G12398" t="str">
        <f>T("PSC 473 BOX 3")</f>
        <v>PSC 473 BOX 3</v>
      </c>
      <c r="H12398" t="str">
        <f t="shared" si="4598"/>
        <v/>
      </c>
      <c r="I12398" t="str">
        <f t="shared" si="4597"/>
        <v>FPO</v>
      </c>
      <c r="J12398" t="str">
        <f t="shared" si="4601"/>
        <v>AP</v>
      </c>
      <c r="K12398" t="str">
        <f>T("01181468166666")</f>
        <v>01181468166666</v>
      </c>
      <c r="L12398" t="str">
        <f>T("1111111111")</f>
        <v>1111111111</v>
      </c>
    </row>
    <row r="12399" spans="1:12" x14ac:dyDescent="0.35">
      <c r="A12399" t="str">
        <f t="shared" si="4602"/>
        <v>NCTS-FE YOKOSUKA</v>
      </c>
      <c r="B12399" t="str">
        <f t="shared" si="4603"/>
        <v>PSC 473 BOX 3</v>
      </c>
      <c r="C12399" t="str">
        <f t="shared" si="4595"/>
        <v/>
      </c>
      <c r="D12399" t="str">
        <f t="shared" si="4596"/>
        <v>FPO</v>
      </c>
      <c r="E12399" t="str">
        <f t="shared" si="4599"/>
        <v>AP</v>
      </c>
      <c r="F12399" t="str">
        <f t="shared" si="4600"/>
        <v>963490001</v>
      </c>
      <c r="G12399" t="str">
        <f>T("PSC 476 BOX 130")</f>
        <v>PSC 476 BOX 130</v>
      </c>
      <c r="H12399" t="str">
        <f t="shared" si="4598"/>
        <v/>
      </c>
      <c r="I12399" t="str">
        <f t="shared" si="4597"/>
        <v>FPO</v>
      </c>
      <c r="J12399" t="str">
        <f t="shared" si="4601"/>
        <v>AP</v>
      </c>
      <c r="K12399" t="str">
        <f>T("01181956503325")</f>
        <v>01181956503325</v>
      </c>
      <c r="L12399" t="str">
        <f>T("1111111111")</f>
        <v>1111111111</v>
      </c>
    </row>
    <row r="12400" spans="1:12" x14ac:dyDescent="0.35">
      <c r="A12400" t="str">
        <f t="shared" si="4602"/>
        <v>NCTS-FE YOKOSUKA</v>
      </c>
      <c r="B12400" t="str">
        <f t="shared" si="4603"/>
        <v>PSC 473 BOX 3</v>
      </c>
      <c r="C12400" t="str">
        <f t="shared" si="4595"/>
        <v/>
      </c>
      <c r="D12400" t="str">
        <f t="shared" si="4596"/>
        <v>FPO</v>
      </c>
      <c r="E12400" t="str">
        <f t="shared" si="4599"/>
        <v>AP</v>
      </c>
      <c r="F12400" t="str">
        <f t="shared" si="4600"/>
        <v>963490001</v>
      </c>
      <c r="G12400" t="str">
        <f>T("PSC 476 BOX 70")</f>
        <v>PSC 476 BOX 70</v>
      </c>
      <c r="H12400" t="str">
        <f t="shared" si="4598"/>
        <v/>
      </c>
      <c r="I12400" t="str">
        <f t="shared" si="4597"/>
        <v>FPO</v>
      </c>
      <c r="J12400" t="str">
        <f t="shared" si="4601"/>
        <v>AP</v>
      </c>
      <c r="K12400" t="str">
        <f>T("01181956503809")</f>
        <v>01181956503809</v>
      </c>
      <c r="L12400" t="str">
        <f>T("0956502011")</f>
        <v>0956502011</v>
      </c>
    </row>
    <row r="12401" spans="1:12" x14ac:dyDescent="0.35">
      <c r="A12401" t="str">
        <f t="shared" si="4602"/>
        <v>NCTS-FE YOKOSUKA</v>
      </c>
      <c r="B12401" t="str">
        <f t="shared" si="4603"/>
        <v>PSC 473 BOX 3</v>
      </c>
      <c r="C12401" t="str">
        <f t="shared" si="4595"/>
        <v/>
      </c>
      <c r="D12401" t="str">
        <f t="shared" si="4596"/>
        <v>FPO</v>
      </c>
      <c r="E12401" t="str">
        <f t="shared" si="4599"/>
        <v>AP</v>
      </c>
      <c r="F12401" t="str">
        <f t="shared" si="4600"/>
        <v>963490001</v>
      </c>
      <c r="G12401" t="str">
        <f>T("PSC 477 BOX 60")</f>
        <v>PSC 477 BOX 60</v>
      </c>
      <c r="H12401" t="str">
        <f t="shared" si="4598"/>
        <v/>
      </c>
      <c r="I12401" t="str">
        <f t="shared" si="4597"/>
        <v>FPO</v>
      </c>
      <c r="J12401" t="str">
        <f t="shared" si="4601"/>
        <v>AP</v>
      </c>
      <c r="K12401" t="str">
        <f>T("01181467632571")</f>
        <v>01181467632571</v>
      </c>
      <c r="L12401" t="str">
        <f>T("1111111111")</f>
        <v>1111111111</v>
      </c>
    </row>
    <row r="12402" spans="1:12" x14ac:dyDescent="0.35">
      <c r="A12402" t="str">
        <f t="shared" si="4602"/>
        <v>NCTS-FE YOKOSUKA</v>
      </c>
      <c r="B12402" t="str">
        <f t="shared" si="4603"/>
        <v>PSC 473 BOX 3</v>
      </c>
      <c r="C12402" t="str">
        <f t="shared" si="4595"/>
        <v/>
      </c>
      <c r="D12402" t="str">
        <f t="shared" si="4596"/>
        <v>FPO</v>
      </c>
      <c r="E12402" t="str">
        <f t="shared" si="4599"/>
        <v>AP</v>
      </c>
      <c r="F12402" t="str">
        <f t="shared" si="4600"/>
        <v>963490001</v>
      </c>
      <c r="G12402" t="str">
        <f>T("PSC 477 BOX 80")</f>
        <v>PSC 477 BOX 80</v>
      </c>
      <c r="H12402" t="str">
        <f t="shared" si="4598"/>
        <v/>
      </c>
      <c r="I12402" t="str">
        <f t="shared" si="4597"/>
        <v>FPO</v>
      </c>
      <c r="J12402" t="str">
        <f t="shared" si="4601"/>
        <v>AP</v>
      </c>
      <c r="K12402" t="str">
        <f>T("01181467633333")</f>
        <v>01181467633333</v>
      </c>
      <c r="L12402" t="str">
        <f>T("1111111111")</f>
        <v>1111111111</v>
      </c>
    </row>
    <row r="12403" spans="1:12" x14ac:dyDescent="0.35">
      <c r="A12403" t="str">
        <f t="shared" si="4602"/>
        <v>NCTS-FE YOKOSUKA</v>
      </c>
      <c r="B12403" t="str">
        <f t="shared" si="4603"/>
        <v>PSC 473 BOX 3</v>
      </c>
      <c r="C12403" t="str">
        <f t="shared" si="4595"/>
        <v/>
      </c>
      <c r="D12403" t="str">
        <f t="shared" si="4596"/>
        <v>FPO</v>
      </c>
      <c r="E12403" t="str">
        <f t="shared" si="4599"/>
        <v>AP</v>
      </c>
      <c r="F12403" t="str">
        <f t="shared" si="4600"/>
        <v>963490001</v>
      </c>
      <c r="G12403" t="str">
        <f>T("PSC 479 BOX 267")</f>
        <v>PSC 479 BOX 267</v>
      </c>
      <c r="H12403" t="str">
        <f t="shared" si="4598"/>
        <v/>
      </c>
      <c r="I12403" t="str">
        <f t="shared" si="4597"/>
        <v>FPO</v>
      </c>
      <c r="J12403" t="str">
        <f t="shared" si="4601"/>
        <v>AP</v>
      </c>
      <c r="K12403" t="str">
        <f>T("8201055697511")</f>
        <v>8201055697511</v>
      </c>
      <c r="L12403" t="str">
        <f>T("1111111111")</f>
        <v>1111111111</v>
      </c>
    </row>
    <row r="12404" spans="1:12" x14ac:dyDescent="0.35">
      <c r="A12404" t="str">
        <f t="shared" si="4602"/>
        <v>NCTS-FE YOKOSUKA</v>
      </c>
      <c r="B12404" t="str">
        <f t="shared" si="4603"/>
        <v>PSC 473 BOX 3</v>
      </c>
      <c r="C12404" t="str">
        <f t="shared" si="4595"/>
        <v/>
      </c>
      <c r="D12404" t="str">
        <f t="shared" si="4596"/>
        <v>FPO</v>
      </c>
      <c r="E12404" t="str">
        <f t="shared" si="4599"/>
        <v>AP</v>
      </c>
      <c r="F12404" t="str">
        <f t="shared" si="4600"/>
        <v>963490001</v>
      </c>
      <c r="G12404" t="str">
        <f>T("PSC 480 BOX 784")</f>
        <v>PSC 480 BOX 784</v>
      </c>
      <c r="H12404" t="str">
        <f t="shared" si="4598"/>
        <v/>
      </c>
      <c r="I12404" t="str">
        <f t="shared" si="4597"/>
        <v>FPO</v>
      </c>
      <c r="J12404" t="str">
        <f t="shared" si="4601"/>
        <v>AP</v>
      </c>
      <c r="K12404" t="str">
        <f>T("000000000000000000")</f>
        <v>000000000000000000</v>
      </c>
      <c r="L12404" t="str">
        <f>T("3156347821")</f>
        <v>3156347821</v>
      </c>
    </row>
    <row r="12405" spans="1:12" x14ac:dyDescent="0.35">
      <c r="A12405" t="str">
        <f t="shared" si="4602"/>
        <v>NCTS-FE YOKOSUKA</v>
      </c>
      <c r="B12405" t="str">
        <f t="shared" si="4603"/>
        <v>PSC 473 BOX 3</v>
      </c>
      <c r="C12405" t="str">
        <f t="shared" si="4595"/>
        <v/>
      </c>
      <c r="D12405" t="str">
        <f t="shared" si="4596"/>
        <v>FPO</v>
      </c>
      <c r="E12405" t="str">
        <f t="shared" si="4599"/>
        <v>AP</v>
      </c>
      <c r="F12405" t="str">
        <f t="shared" si="4600"/>
        <v>963490001</v>
      </c>
      <c r="G12405" t="str">
        <f>T("PSC 76 BOX 5056")</f>
        <v>PSC 76 BOX 5056</v>
      </c>
      <c r="H12405" t="str">
        <f t="shared" si="4598"/>
        <v/>
      </c>
      <c r="I12405" t="str">
        <f t="shared" si="4597"/>
        <v>FPO</v>
      </c>
      <c r="J12405" t="str">
        <f t="shared" si="4601"/>
        <v>AP</v>
      </c>
      <c r="K12405" t="str">
        <f>T("000000000000000000")</f>
        <v>000000000000000000</v>
      </c>
      <c r="L12405" t="str">
        <f>T("3152264156")</f>
        <v>3152264156</v>
      </c>
    </row>
    <row r="12406" spans="1:12" x14ac:dyDescent="0.35">
      <c r="A12406" t="str">
        <f>T("NCTS NAPLES ITA")</f>
        <v>NCTS NAPLES ITA</v>
      </c>
      <c r="B12406" t="str">
        <f>T("PSC 822 BOX 1000")</f>
        <v>PSC 822 BOX 1000</v>
      </c>
      <c r="C12406" t="str">
        <f t="shared" si="4595"/>
        <v/>
      </c>
      <c r="D12406" t="str">
        <f t="shared" si="4596"/>
        <v>FPO</v>
      </c>
      <c r="E12406" t="str">
        <f>T("AE")</f>
        <v>AE</v>
      </c>
      <c r="F12406" t="str">
        <f>T("096219998")</f>
        <v>096219998</v>
      </c>
      <c r="G12406" t="str">
        <f>T("PSC 822 BOX 1000")</f>
        <v>PSC 822 BOX 1000</v>
      </c>
      <c r="H12406" t="str">
        <f t="shared" si="4598"/>
        <v/>
      </c>
      <c r="I12406" t="str">
        <f t="shared" si="4597"/>
        <v>FPO</v>
      </c>
      <c r="J12406" t="str">
        <f>T("AE")</f>
        <v>AE</v>
      </c>
      <c r="K12406" t="str">
        <f>T("000000000000000000")</f>
        <v>000000000000000000</v>
      </c>
      <c r="L12406" t="str">
        <f>T("3146263392")</f>
        <v>3146263392</v>
      </c>
    </row>
    <row r="12407" spans="1:12" x14ac:dyDescent="0.35">
      <c r="A12407" t="str">
        <f>T("NCTS NAPLES ITA")</f>
        <v>NCTS NAPLES ITA</v>
      </c>
      <c r="B12407" t="str">
        <f>T("PSC 822 BOX 1000")</f>
        <v>PSC 822 BOX 1000</v>
      </c>
      <c r="C12407" t="str">
        <f t="shared" si="4595"/>
        <v/>
      </c>
      <c r="D12407" t="str">
        <f t="shared" si="4596"/>
        <v>FPO</v>
      </c>
      <c r="E12407" t="str">
        <f>T("AE")</f>
        <v>AE</v>
      </c>
      <c r="F12407" t="str">
        <f>T("096219998")</f>
        <v>096219998</v>
      </c>
      <c r="G12407" t="str">
        <f>T("PSC 822 BOX 1000")</f>
        <v>PSC 822 BOX 1000</v>
      </c>
      <c r="H12407" t="str">
        <f t="shared" si="4598"/>
        <v/>
      </c>
      <c r="I12407" t="str">
        <f t="shared" si="4597"/>
        <v>FPO</v>
      </c>
      <c r="J12407" t="str">
        <f>T("AE")</f>
        <v>AE</v>
      </c>
      <c r="K12407" t="str">
        <f>T("000000000000000000")</f>
        <v>000000000000000000</v>
      </c>
      <c r="L12407" t="str">
        <f>T("3146264761")</f>
        <v>3146264761</v>
      </c>
    </row>
    <row r="12408" spans="1:12" x14ac:dyDescent="0.35">
      <c r="A12408" t="str">
        <f>T("NCTS NAPLES ITA")</f>
        <v>NCTS NAPLES ITA</v>
      </c>
      <c r="B12408" t="str">
        <f>T("PSC 822 BOX 1000")</f>
        <v>PSC 822 BOX 1000</v>
      </c>
      <c r="C12408" t="str">
        <f t="shared" si="4595"/>
        <v/>
      </c>
      <c r="D12408" t="str">
        <f t="shared" si="4596"/>
        <v>FPO</v>
      </c>
      <c r="E12408" t="str">
        <f>T("AE")</f>
        <v>AE</v>
      </c>
      <c r="F12408" t="str">
        <f>T("096219998")</f>
        <v>096219998</v>
      </c>
      <c r="G12408" t="str">
        <f>T("PSC 822 BOX 1000")</f>
        <v>PSC 822 BOX 1000</v>
      </c>
      <c r="H12408" t="str">
        <f t="shared" si="4598"/>
        <v/>
      </c>
      <c r="I12408" t="str">
        <f t="shared" si="4597"/>
        <v>FPO</v>
      </c>
      <c r="J12408" t="str">
        <f>T("AE")</f>
        <v>AE</v>
      </c>
      <c r="K12408" t="str">
        <f>T("390815686047")</f>
        <v>390815686047</v>
      </c>
      <c r="L12408" t="str">
        <f>T("3146266047")</f>
        <v>3146266047</v>
      </c>
    </row>
    <row r="12409" spans="1:12" x14ac:dyDescent="0.35">
      <c r="A12409" t="str">
        <f t="shared" ref="A12409:A12440" si="4604">T("NAVY MUNITIONS COMMAND")</f>
        <v>NAVY MUNITIONS COMMAND</v>
      </c>
      <c r="B12409" t="str">
        <f>T("101 VERNON AVE")</f>
        <v>101 VERNON AVE</v>
      </c>
      <c r="C12409" t="str">
        <f t="shared" si="4595"/>
        <v/>
      </c>
      <c r="D12409" t="str">
        <f>T("PANAMA CITY")</f>
        <v>PANAMA CITY</v>
      </c>
      <c r="E12409" t="str">
        <f>T("FL")</f>
        <v>FL</v>
      </c>
      <c r="F12409" t="str">
        <f>T("324077018")</f>
        <v>324077018</v>
      </c>
      <c r="G12409" t="str">
        <f>T("101 VERNON AVE")</f>
        <v>101 VERNON AVE</v>
      </c>
      <c r="H12409" t="str">
        <f t="shared" si="4598"/>
        <v/>
      </c>
      <c r="I12409" t="str">
        <f>T("PANAMA CITY")</f>
        <v>PANAMA CITY</v>
      </c>
      <c r="J12409" t="str">
        <f>T("FL")</f>
        <v>FL</v>
      </c>
      <c r="K12409" t="str">
        <f>T("850-235-5892")</f>
        <v>850-235-5892</v>
      </c>
      <c r="L12409" t="str">
        <f>T("8502355614")</f>
        <v>8502355614</v>
      </c>
    </row>
    <row r="12410" spans="1:12" x14ac:dyDescent="0.35">
      <c r="A12410" t="str">
        <f t="shared" si="4604"/>
        <v>NAVY MUNITIONS COMMAND</v>
      </c>
      <c r="B12410" t="str">
        <f>T("101 VERNON AVE")</f>
        <v>101 VERNON AVE</v>
      </c>
      <c r="C12410" t="str">
        <f t="shared" si="4595"/>
        <v/>
      </c>
      <c r="D12410" t="str">
        <f>T("PANAMA CITY")</f>
        <v>PANAMA CITY</v>
      </c>
      <c r="E12410" t="str">
        <f>T("FL")</f>
        <v>FL</v>
      </c>
      <c r="F12410" t="str">
        <f>T("324077018")</f>
        <v>324077018</v>
      </c>
      <c r="G12410" t="str">
        <f>T("101 VERNON AVE")</f>
        <v>101 VERNON AVE</v>
      </c>
      <c r="H12410" t="str">
        <f>T("BLDG 98")</f>
        <v>BLDG 98</v>
      </c>
      <c r="I12410" t="str">
        <f>T("PANAMA CITY")</f>
        <v>PANAMA CITY</v>
      </c>
      <c r="J12410" t="str">
        <f>T("FL")</f>
        <v>FL</v>
      </c>
      <c r="K12410" t="str">
        <f>T("8502355017")</f>
        <v>8502355017</v>
      </c>
      <c r="L12410" t="str">
        <f>T("8502355614")</f>
        <v>8502355614</v>
      </c>
    </row>
    <row r="12411" spans="1:12" x14ac:dyDescent="0.35">
      <c r="A12411" t="str">
        <f t="shared" si="4604"/>
        <v>NAVY MUNITIONS COMMAND</v>
      </c>
      <c r="B12411" t="str">
        <f t="shared" ref="B12411:B12420" si="4605">T("160 MAIN RD BLDG 1959")</f>
        <v>160 MAIN RD BLDG 1959</v>
      </c>
      <c r="C12411" t="str">
        <f t="shared" si="4595"/>
        <v/>
      </c>
      <c r="D12411" t="str">
        <f t="shared" ref="D12411:D12420" si="4606">T("YORKTOWN")</f>
        <v>YORKTOWN</v>
      </c>
      <c r="E12411" t="str">
        <f t="shared" ref="E12411:E12420" si="4607">T("VA")</f>
        <v>VA</v>
      </c>
      <c r="F12411" t="str">
        <f t="shared" ref="F12411:F12420" si="4608">T("236915111")</f>
        <v>236915111</v>
      </c>
      <c r="G12411" t="str">
        <f>T("160 MAIN RD")</f>
        <v>160 MAIN RD</v>
      </c>
      <c r="H12411" t="str">
        <f>T("BLDG 1959")</f>
        <v>BLDG 1959</v>
      </c>
      <c r="I12411" t="str">
        <f t="shared" ref="I12411:I12420" si="4609">T("YORKTOWN")</f>
        <v>YORKTOWN</v>
      </c>
      <c r="J12411" t="str">
        <f t="shared" ref="J12411:J12420" si="4610">T("VA")</f>
        <v>VA</v>
      </c>
      <c r="K12411" t="str">
        <f>T("000000000000000000")</f>
        <v>000000000000000000</v>
      </c>
      <c r="L12411" t="str">
        <f>T("7578877632")</f>
        <v>7578877632</v>
      </c>
    </row>
    <row r="12412" spans="1:12" x14ac:dyDescent="0.35">
      <c r="A12412" t="str">
        <f t="shared" si="4604"/>
        <v>NAVY MUNITIONS COMMAND</v>
      </c>
      <c r="B12412" t="str">
        <f t="shared" si="4605"/>
        <v>160 MAIN RD BLDG 1959</v>
      </c>
      <c r="C12412" t="str">
        <f t="shared" si="4595"/>
        <v/>
      </c>
      <c r="D12412" t="str">
        <f t="shared" si="4606"/>
        <v>YORKTOWN</v>
      </c>
      <c r="E12412" t="str">
        <f t="shared" si="4607"/>
        <v>VA</v>
      </c>
      <c r="F12412" t="str">
        <f t="shared" si="4608"/>
        <v>236915111</v>
      </c>
      <c r="G12412" t="str">
        <f>T("160 MAIN RD")</f>
        <v>160 MAIN RD</v>
      </c>
      <c r="H12412" t="str">
        <f>T("BLDG 1959")</f>
        <v>BLDG 1959</v>
      </c>
      <c r="I12412" t="str">
        <f t="shared" si="4609"/>
        <v>YORKTOWN</v>
      </c>
      <c r="J12412" t="str">
        <f t="shared" si="4610"/>
        <v>VA</v>
      </c>
      <c r="K12412" t="str">
        <f>T("000000000000000000")</f>
        <v>000000000000000000</v>
      </c>
      <c r="L12412" t="str">
        <f>T("7578877690")</f>
        <v>7578877690</v>
      </c>
    </row>
    <row r="12413" spans="1:12" x14ac:dyDescent="0.35">
      <c r="A12413" t="str">
        <f t="shared" si="4604"/>
        <v>NAVY MUNITIONS COMMAND</v>
      </c>
      <c r="B12413" t="str">
        <f t="shared" si="4605"/>
        <v>160 MAIN RD BLDG 1959</v>
      </c>
      <c r="C12413" t="str">
        <f t="shared" si="4595"/>
        <v/>
      </c>
      <c r="D12413" t="str">
        <f t="shared" si="4606"/>
        <v>YORKTOWN</v>
      </c>
      <c r="E12413" t="str">
        <f t="shared" si="4607"/>
        <v>VA</v>
      </c>
      <c r="F12413" t="str">
        <f t="shared" si="4608"/>
        <v>236915111</v>
      </c>
      <c r="G12413" t="str">
        <f>T("160 MAIN RD")</f>
        <v>160 MAIN RD</v>
      </c>
      <c r="H12413" t="str">
        <f>T("BLDG 1959")</f>
        <v>BLDG 1959</v>
      </c>
      <c r="I12413" t="str">
        <f t="shared" si="4609"/>
        <v>YORKTOWN</v>
      </c>
      <c r="J12413" t="str">
        <f t="shared" si="4610"/>
        <v>VA</v>
      </c>
      <c r="K12413" t="str">
        <f>T("000000000000000000")</f>
        <v>000000000000000000</v>
      </c>
      <c r="L12413" t="str">
        <f>T("7578877699")</f>
        <v>7578877699</v>
      </c>
    </row>
    <row r="12414" spans="1:12" x14ac:dyDescent="0.35">
      <c r="A12414" t="str">
        <f t="shared" si="4604"/>
        <v>NAVY MUNITIONS COMMAND</v>
      </c>
      <c r="B12414" t="str">
        <f t="shared" si="4605"/>
        <v>160 MAIN RD BLDG 1959</v>
      </c>
      <c r="C12414" t="str">
        <f t="shared" si="4595"/>
        <v/>
      </c>
      <c r="D12414" t="str">
        <f t="shared" si="4606"/>
        <v>YORKTOWN</v>
      </c>
      <c r="E12414" t="str">
        <f t="shared" si="4607"/>
        <v>VA</v>
      </c>
      <c r="F12414" t="str">
        <f t="shared" si="4608"/>
        <v>236915111</v>
      </c>
      <c r="G12414" t="str">
        <f>T("160 MAIN RD")</f>
        <v>160 MAIN RD</v>
      </c>
      <c r="H12414" t="str">
        <f>T("BLDG 1959")</f>
        <v>BLDG 1959</v>
      </c>
      <c r="I12414" t="str">
        <f t="shared" si="4609"/>
        <v>YORKTOWN</v>
      </c>
      <c r="J12414" t="str">
        <f t="shared" si="4610"/>
        <v>VA</v>
      </c>
      <c r="K12414" t="str">
        <f>T("7578874510")</f>
        <v>7578874510</v>
      </c>
      <c r="L12414" t="str">
        <f>T("7578877581")</f>
        <v>7578877581</v>
      </c>
    </row>
    <row r="12415" spans="1:12" x14ac:dyDescent="0.35">
      <c r="A12415" t="str">
        <f t="shared" si="4604"/>
        <v>NAVY MUNITIONS COMMAND</v>
      </c>
      <c r="B12415" t="str">
        <f t="shared" si="4605"/>
        <v>160 MAIN RD BLDG 1959</v>
      </c>
      <c r="C12415" t="str">
        <f t="shared" si="4595"/>
        <v/>
      </c>
      <c r="D12415" t="str">
        <f t="shared" si="4606"/>
        <v>YORKTOWN</v>
      </c>
      <c r="E12415" t="str">
        <f t="shared" si="4607"/>
        <v>VA</v>
      </c>
      <c r="F12415" t="str">
        <f t="shared" si="4608"/>
        <v>236915111</v>
      </c>
      <c r="G12415" t="str">
        <f t="shared" ref="G12415:G12420" si="4611">T("160 MAIN RD BLDG 1959")</f>
        <v>160 MAIN RD BLDG 1959</v>
      </c>
      <c r="H12415" t="str">
        <f t="shared" ref="H12415:H12420" si="4612">T("")</f>
        <v/>
      </c>
      <c r="I12415" t="str">
        <f t="shared" si="4609"/>
        <v>YORKTOWN</v>
      </c>
      <c r="J12415" t="str">
        <f t="shared" si="4610"/>
        <v>VA</v>
      </c>
      <c r="K12415" t="str">
        <f>T("000000000000000000")</f>
        <v>000000000000000000</v>
      </c>
      <c r="L12415" t="str">
        <f>T("7578877581")</f>
        <v>7578877581</v>
      </c>
    </row>
    <row r="12416" spans="1:12" x14ac:dyDescent="0.35">
      <c r="A12416" t="str">
        <f t="shared" si="4604"/>
        <v>NAVY MUNITIONS COMMAND</v>
      </c>
      <c r="B12416" t="str">
        <f t="shared" si="4605"/>
        <v>160 MAIN RD BLDG 1959</v>
      </c>
      <c r="C12416" t="str">
        <f t="shared" si="4595"/>
        <v/>
      </c>
      <c r="D12416" t="str">
        <f t="shared" si="4606"/>
        <v>YORKTOWN</v>
      </c>
      <c r="E12416" t="str">
        <f t="shared" si="4607"/>
        <v>VA</v>
      </c>
      <c r="F12416" t="str">
        <f t="shared" si="4608"/>
        <v>236915111</v>
      </c>
      <c r="G12416" t="str">
        <f t="shared" si="4611"/>
        <v>160 MAIN RD BLDG 1959</v>
      </c>
      <c r="H12416" t="str">
        <f t="shared" si="4612"/>
        <v/>
      </c>
      <c r="I12416" t="str">
        <f t="shared" si="4609"/>
        <v>YORKTOWN</v>
      </c>
      <c r="J12416" t="str">
        <f t="shared" si="4610"/>
        <v>VA</v>
      </c>
      <c r="K12416" t="str">
        <f>T("757-887-4127")</f>
        <v>757-887-4127</v>
      </c>
      <c r="L12416" t="str">
        <f>T("7578874403")</f>
        <v>7578874403</v>
      </c>
    </row>
    <row r="12417" spans="1:12" x14ac:dyDescent="0.35">
      <c r="A12417" t="str">
        <f t="shared" si="4604"/>
        <v>NAVY MUNITIONS COMMAND</v>
      </c>
      <c r="B12417" t="str">
        <f t="shared" si="4605"/>
        <v>160 MAIN RD BLDG 1959</v>
      </c>
      <c r="C12417" t="str">
        <f t="shared" si="4595"/>
        <v/>
      </c>
      <c r="D12417" t="str">
        <f t="shared" si="4606"/>
        <v>YORKTOWN</v>
      </c>
      <c r="E12417" t="str">
        <f t="shared" si="4607"/>
        <v>VA</v>
      </c>
      <c r="F12417" t="str">
        <f t="shared" si="4608"/>
        <v>236915111</v>
      </c>
      <c r="G12417" t="str">
        <f t="shared" si="4611"/>
        <v>160 MAIN RD BLDG 1959</v>
      </c>
      <c r="H12417" t="str">
        <f t="shared" si="4612"/>
        <v/>
      </c>
      <c r="I12417" t="str">
        <f t="shared" si="4609"/>
        <v>YORKTOWN</v>
      </c>
      <c r="J12417" t="str">
        <f t="shared" si="4610"/>
        <v>VA</v>
      </c>
      <c r="K12417" t="str">
        <f>T("757-887-4712")</f>
        <v>757-887-4712</v>
      </c>
      <c r="L12417" t="str">
        <f>T("7578874576")</f>
        <v>7578874576</v>
      </c>
    </row>
    <row r="12418" spans="1:12" x14ac:dyDescent="0.35">
      <c r="A12418" t="str">
        <f t="shared" si="4604"/>
        <v>NAVY MUNITIONS COMMAND</v>
      </c>
      <c r="B12418" t="str">
        <f t="shared" si="4605"/>
        <v>160 MAIN RD BLDG 1959</v>
      </c>
      <c r="C12418" t="str">
        <f t="shared" si="4595"/>
        <v/>
      </c>
      <c r="D12418" t="str">
        <f t="shared" si="4606"/>
        <v>YORKTOWN</v>
      </c>
      <c r="E12418" t="str">
        <f t="shared" si="4607"/>
        <v>VA</v>
      </c>
      <c r="F12418" t="str">
        <f t="shared" si="4608"/>
        <v>236915111</v>
      </c>
      <c r="G12418" t="str">
        <f t="shared" si="4611"/>
        <v>160 MAIN RD BLDG 1959</v>
      </c>
      <c r="H12418" t="str">
        <f t="shared" si="4612"/>
        <v/>
      </c>
      <c r="I12418" t="str">
        <f t="shared" si="4609"/>
        <v>YORKTOWN</v>
      </c>
      <c r="J12418" t="str">
        <f t="shared" si="4610"/>
        <v>VA</v>
      </c>
      <c r="K12418" t="str">
        <f>T("757-887-4926")</f>
        <v>757-887-4926</v>
      </c>
      <c r="L12418" t="str">
        <f>T("7578874421")</f>
        <v>7578874421</v>
      </c>
    </row>
    <row r="12419" spans="1:12" x14ac:dyDescent="0.35">
      <c r="A12419" t="str">
        <f t="shared" si="4604"/>
        <v>NAVY MUNITIONS COMMAND</v>
      </c>
      <c r="B12419" t="str">
        <f t="shared" si="4605"/>
        <v>160 MAIN RD BLDG 1959</v>
      </c>
      <c r="C12419" t="str">
        <f t="shared" si="4595"/>
        <v/>
      </c>
      <c r="D12419" t="str">
        <f t="shared" si="4606"/>
        <v>YORKTOWN</v>
      </c>
      <c r="E12419" t="str">
        <f t="shared" si="4607"/>
        <v>VA</v>
      </c>
      <c r="F12419" t="str">
        <f t="shared" si="4608"/>
        <v>236915111</v>
      </c>
      <c r="G12419" t="str">
        <f t="shared" si="4611"/>
        <v>160 MAIN RD BLDG 1959</v>
      </c>
      <c r="H12419" t="str">
        <f t="shared" si="4612"/>
        <v/>
      </c>
      <c r="I12419" t="str">
        <f t="shared" si="4609"/>
        <v>YORKTOWN</v>
      </c>
      <c r="J12419" t="str">
        <f t="shared" si="4610"/>
        <v>VA</v>
      </c>
      <c r="K12419" t="str">
        <f>T("757-887-5450")</f>
        <v>757-887-5450</v>
      </c>
      <c r="L12419" t="str">
        <f>T("7578877701")</f>
        <v>7578877701</v>
      </c>
    </row>
    <row r="12420" spans="1:12" x14ac:dyDescent="0.35">
      <c r="A12420" t="str">
        <f t="shared" si="4604"/>
        <v>NAVY MUNITIONS COMMAND</v>
      </c>
      <c r="B12420" t="str">
        <f t="shared" si="4605"/>
        <v>160 MAIN RD BLDG 1959</v>
      </c>
      <c r="C12420" t="str">
        <f t="shared" si="4595"/>
        <v/>
      </c>
      <c r="D12420" t="str">
        <f t="shared" si="4606"/>
        <v>YORKTOWN</v>
      </c>
      <c r="E12420" t="str">
        <f t="shared" si="4607"/>
        <v>VA</v>
      </c>
      <c r="F12420" t="str">
        <f t="shared" si="4608"/>
        <v>236915111</v>
      </c>
      <c r="G12420" t="str">
        <f t="shared" si="4611"/>
        <v>160 MAIN RD BLDG 1959</v>
      </c>
      <c r="H12420" t="str">
        <f t="shared" si="4612"/>
        <v/>
      </c>
      <c r="I12420" t="str">
        <f t="shared" si="4609"/>
        <v>YORKTOWN</v>
      </c>
      <c r="J12420" t="str">
        <f t="shared" si="4610"/>
        <v>VA</v>
      </c>
      <c r="K12420" t="str">
        <f>T("7578874211")</f>
        <v>7578874211</v>
      </c>
      <c r="L12420" t="str">
        <f>T("7578874222")</f>
        <v>7578874222</v>
      </c>
    </row>
    <row r="12421" spans="1:12" x14ac:dyDescent="0.35">
      <c r="A12421" t="str">
        <f t="shared" si="4604"/>
        <v>NAVY MUNITIONS COMMAND</v>
      </c>
      <c r="B12421" t="str">
        <f>T("201 HWY 34 BLDG C-33 2ND FLR")</f>
        <v>201 HWY 34 BLDG C-33 2ND FLR</v>
      </c>
      <c r="C12421" t="str">
        <f t="shared" si="4595"/>
        <v/>
      </c>
      <c r="D12421" t="str">
        <f>T("COLTS NECK")</f>
        <v>COLTS NECK</v>
      </c>
      <c r="E12421" t="str">
        <f>T("NJ")</f>
        <v>NJ</v>
      </c>
      <c r="F12421" t="str">
        <f>T("077221902")</f>
        <v>077221902</v>
      </c>
      <c r="G12421" t="str">
        <f>T("201 HIGHWAY 34")</f>
        <v>201 HIGHWAY 34</v>
      </c>
      <c r="H12421" t="str">
        <f>T("EARLE BLDG MA05")</f>
        <v>EARLE BLDG MA05</v>
      </c>
      <c r="I12421" t="str">
        <f>T("COLTS NECK")</f>
        <v>COLTS NECK</v>
      </c>
      <c r="J12421" t="str">
        <f>T("NJ")</f>
        <v>NJ</v>
      </c>
      <c r="K12421" t="str">
        <f>T("000000000000000000")</f>
        <v>000000000000000000</v>
      </c>
      <c r="L12421" t="str">
        <f>T("7328662348")</f>
        <v>7328662348</v>
      </c>
    </row>
    <row r="12422" spans="1:12" x14ac:dyDescent="0.35">
      <c r="A12422" t="str">
        <f t="shared" si="4604"/>
        <v>NAVY MUNITIONS COMMAND</v>
      </c>
      <c r="B12422" t="str">
        <f>T("201 HWY 34 BLDG C-33 2ND FLR")</f>
        <v>201 HWY 34 BLDG C-33 2ND FLR</v>
      </c>
      <c r="C12422" t="str">
        <f t="shared" si="4595"/>
        <v/>
      </c>
      <c r="D12422" t="str">
        <f>T("COLTS NECK")</f>
        <v>COLTS NECK</v>
      </c>
      <c r="E12422" t="str">
        <f>T("NJ")</f>
        <v>NJ</v>
      </c>
      <c r="F12422" t="str">
        <f>T("077221902")</f>
        <v>077221902</v>
      </c>
      <c r="G12422" t="str">
        <f>T("201 HIGHWAY 34")</f>
        <v>201 HIGHWAY 34</v>
      </c>
      <c r="H12422" t="str">
        <f>T("EARLE BLDG MA05")</f>
        <v>EARLE BLDG MA05</v>
      </c>
      <c r="I12422" t="str">
        <f>T("COLTS NECK")</f>
        <v>COLTS NECK</v>
      </c>
      <c r="J12422" t="str">
        <f>T("NJ")</f>
        <v>NJ</v>
      </c>
      <c r="K12422" t="str">
        <f>T("000000000000000000")</f>
        <v>000000000000000000</v>
      </c>
      <c r="L12422" t="str">
        <f>T("7328662411")</f>
        <v>7328662411</v>
      </c>
    </row>
    <row r="12423" spans="1:12" x14ac:dyDescent="0.35">
      <c r="A12423" t="str">
        <f t="shared" si="4604"/>
        <v>NAVY MUNITIONS COMMAND</v>
      </c>
      <c r="B12423" t="str">
        <f>T("201 HWY 34 BLDG C-33 2ND FLR")</f>
        <v>201 HWY 34 BLDG C-33 2ND FLR</v>
      </c>
      <c r="C12423" t="str">
        <f t="shared" si="4595"/>
        <v/>
      </c>
      <c r="D12423" t="str">
        <f>T("COLTS NECK")</f>
        <v>COLTS NECK</v>
      </c>
      <c r="E12423" t="str">
        <f>T("NJ")</f>
        <v>NJ</v>
      </c>
      <c r="F12423" t="str">
        <f>T("077221902")</f>
        <v>077221902</v>
      </c>
      <c r="G12423" t="str">
        <f>T("201 HWY 34 BLDG C-33 2ND FLR")</f>
        <v>201 HWY 34 BLDG C-33 2ND FLR</v>
      </c>
      <c r="H12423" t="str">
        <f>T("")</f>
        <v/>
      </c>
      <c r="I12423" t="str">
        <f>T("COLTS NECK")</f>
        <v>COLTS NECK</v>
      </c>
      <c r="J12423" t="str">
        <f>T("NJ")</f>
        <v>NJ</v>
      </c>
      <c r="K12423" t="str">
        <f>T("732-866-2236")</f>
        <v>732-866-2236</v>
      </c>
      <c r="L12423" t="str">
        <f>T("7328662510")</f>
        <v>7328662510</v>
      </c>
    </row>
    <row r="12424" spans="1:12" x14ac:dyDescent="0.35">
      <c r="A12424" t="str">
        <f t="shared" si="4604"/>
        <v>NAVY MUNITIONS COMMAND</v>
      </c>
      <c r="B12424" t="str">
        <f>T("211 10TH STREET BLDG 2005")</f>
        <v>211 10TH STREET BLDG 2005</v>
      </c>
      <c r="C12424" t="str">
        <f>T("CODE 283")</f>
        <v>CODE 283</v>
      </c>
      <c r="D12424" t="str">
        <f>T("VIRGINIA BEACH")</f>
        <v>VIRGINIA BEACH</v>
      </c>
      <c r="E12424" t="str">
        <f>T("VA")</f>
        <v>VA</v>
      </c>
      <c r="F12424" t="str">
        <f>T("234510000")</f>
        <v>234510000</v>
      </c>
      <c r="G12424" t="str">
        <f>T("211 10TH ST")</f>
        <v>211 10TH ST</v>
      </c>
      <c r="H12424" t="str">
        <f>T("")</f>
        <v/>
      </c>
      <c r="I12424" t="str">
        <f>T("VIRGINIA BEACH")</f>
        <v>VIRGINIA BEACH</v>
      </c>
      <c r="J12424" t="str">
        <f>T("VA")</f>
        <v>VA</v>
      </c>
      <c r="K12424" t="str">
        <f>T("000000000000000000")</f>
        <v>000000000000000000</v>
      </c>
      <c r="L12424" t="str">
        <f>T("7574332351")</f>
        <v>7574332351</v>
      </c>
    </row>
    <row r="12425" spans="1:12" x14ac:dyDescent="0.35">
      <c r="A12425" t="str">
        <f t="shared" si="4604"/>
        <v>NAVY MUNITIONS COMMAND</v>
      </c>
      <c r="B12425" t="str">
        <f>T("211 10TH STREET BLDG 2005")</f>
        <v>211 10TH STREET BLDG 2005</v>
      </c>
      <c r="C12425" t="str">
        <f>T("CODE 283")</f>
        <v>CODE 283</v>
      </c>
      <c r="D12425" t="str">
        <f>T("VIRGINIA BEACH")</f>
        <v>VIRGINIA BEACH</v>
      </c>
      <c r="E12425" t="str">
        <f>T("VA")</f>
        <v>VA</v>
      </c>
      <c r="F12425" t="str">
        <f>T("234510000")</f>
        <v>234510000</v>
      </c>
      <c r="G12425" t="str">
        <f>T("211 10TH STREET BLDG 2005")</f>
        <v>211 10TH STREET BLDG 2005</v>
      </c>
      <c r="H12425" t="str">
        <f>T("CODE 283")</f>
        <v>CODE 283</v>
      </c>
      <c r="I12425" t="str">
        <f>T("VIRGINIA BEACH")</f>
        <v>VIRGINIA BEACH</v>
      </c>
      <c r="J12425" t="str">
        <f>T("VA")</f>
        <v>VA</v>
      </c>
      <c r="K12425" t="str">
        <f>T("757-433-2491")</f>
        <v>757-433-2491</v>
      </c>
      <c r="L12425" t="str">
        <f>T("5555555555")</f>
        <v>5555555555</v>
      </c>
    </row>
    <row r="12426" spans="1:12" x14ac:dyDescent="0.35">
      <c r="A12426" t="str">
        <f t="shared" si="4604"/>
        <v>NAVY MUNITIONS COMMAND</v>
      </c>
      <c r="B12426" t="str">
        <f>T("211 10TH STREET BLDG 2005")</f>
        <v>211 10TH STREET BLDG 2005</v>
      </c>
      <c r="C12426" t="str">
        <f>T("CODE 283")</f>
        <v>CODE 283</v>
      </c>
      <c r="D12426" t="str">
        <f>T("VIRGINIA BEACH")</f>
        <v>VIRGINIA BEACH</v>
      </c>
      <c r="E12426" t="str">
        <f>T("VA")</f>
        <v>VA</v>
      </c>
      <c r="F12426" t="str">
        <f>T("234510000")</f>
        <v>234510000</v>
      </c>
      <c r="G12426" t="str">
        <f>T("211 TENTH ST")</f>
        <v>211 TENTH ST</v>
      </c>
      <c r="H12426" t="str">
        <f>T("")</f>
        <v/>
      </c>
      <c r="I12426" t="str">
        <f>T("VIRGINIA BEACH")</f>
        <v>VIRGINIA BEACH</v>
      </c>
      <c r="J12426" t="str">
        <f>T("VA")</f>
        <v>VA</v>
      </c>
      <c r="K12426" t="str">
        <f>T("000000000000000000")</f>
        <v>000000000000000000</v>
      </c>
      <c r="L12426" t="str">
        <f>T("7574332493")</f>
        <v>7574332493</v>
      </c>
    </row>
    <row r="12427" spans="1:12" x14ac:dyDescent="0.35">
      <c r="A12427" t="str">
        <f t="shared" si="4604"/>
        <v>NAVY MUNITIONS COMMAND</v>
      </c>
      <c r="B12427" t="str">
        <f>T("211 10TH STREET BLDG 2005")</f>
        <v>211 10TH STREET BLDG 2005</v>
      </c>
      <c r="C12427" t="str">
        <f>T("CODE 283")</f>
        <v>CODE 283</v>
      </c>
      <c r="D12427" t="str">
        <f>T("VIRGINIA BEACH")</f>
        <v>VIRGINIA BEACH</v>
      </c>
      <c r="E12427" t="str">
        <f>T("VA")</f>
        <v>VA</v>
      </c>
      <c r="F12427" t="str">
        <f>T("234510000")</f>
        <v>234510000</v>
      </c>
      <c r="G12427" t="str">
        <f>T("211 TENTH STREET")</f>
        <v>211 TENTH STREET</v>
      </c>
      <c r="H12427" t="str">
        <f>T("")</f>
        <v/>
      </c>
      <c r="I12427" t="str">
        <f>T("VIRGINIA BEACH")</f>
        <v>VIRGINIA BEACH</v>
      </c>
      <c r="J12427" t="str">
        <f>T("VA")</f>
        <v>VA</v>
      </c>
      <c r="K12427" t="str">
        <f>T("7574332490")</f>
        <v>7574332490</v>
      </c>
      <c r="L12427" t="str">
        <f>T("7574333317")</f>
        <v>7574333317</v>
      </c>
    </row>
    <row r="12428" spans="1:12" x14ac:dyDescent="0.35">
      <c r="A12428" t="str">
        <f t="shared" si="4604"/>
        <v>NAVY MUNITIONS COMMAND</v>
      </c>
      <c r="B12428" t="str">
        <f>T("22824 UTGOFF RD")</f>
        <v>22824 UTGOFF RD</v>
      </c>
      <c r="C12428" t="str">
        <f>T("BLDG 253")</f>
        <v>BLDG 253</v>
      </c>
      <c r="D12428" t="str">
        <f>T("PATUXENT RIVER")</f>
        <v>PATUXENT RIVER</v>
      </c>
      <c r="E12428" t="str">
        <f>T("MD")</f>
        <v>MD</v>
      </c>
      <c r="F12428" t="str">
        <f>T("206701802")</f>
        <v>206701802</v>
      </c>
      <c r="G12428" t="str">
        <f>T("22824 UTGOFF RD")</f>
        <v>22824 UTGOFF RD</v>
      </c>
      <c r="H12428" t="str">
        <f>T("BLDG 253")</f>
        <v>BLDG 253</v>
      </c>
      <c r="I12428" t="str">
        <f>T("PATUXENT RIVER")</f>
        <v>PATUXENT RIVER</v>
      </c>
      <c r="J12428" t="str">
        <f>T("MD")</f>
        <v>MD</v>
      </c>
      <c r="K12428" t="str">
        <f>T("301-342-5250")</f>
        <v>301-342-5250</v>
      </c>
      <c r="L12428" t="str">
        <f>T("3013423350")</f>
        <v>3013423350</v>
      </c>
    </row>
    <row r="12429" spans="1:12" x14ac:dyDescent="0.35">
      <c r="A12429" t="str">
        <f t="shared" si="4604"/>
        <v>NAVY MUNITIONS COMMAND</v>
      </c>
      <c r="B12429" t="str">
        <f>T("22824 UTGOFF RD")</f>
        <v>22824 UTGOFF RD</v>
      </c>
      <c r="C12429" t="str">
        <f>T("BLDG 253")</f>
        <v>BLDG 253</v>
      </c>
      <c r="D12429" t="str">
        <f>T("PATUXENT RIVER")</f>
        <v>PATUXENT RIVER</v>
      </c>
      <c r="E12429" t="str">
        <f>T("MD")</f>
        <v>MD</v>
      </c>
      <c r="F12429" t="str">
        <f>T("206701802")</f>
        <v>206701802</v>
      </c>
      <c r="G12429" t="str">
        <f>T("22824 UTGOFF RD BLDG 253")</f>
        <v>22824 UTGOFF RD BLDG 253</v>
      </c>
      <c r="H12429" t="str">
        <f>T("")</f>
        <v/>
      </c>
      <c r="I12429" t="str">
        <f>T("PATUXENT RIVER")</f>
        <v>PATUXENT RIVER</v>
      </c>
      <c r="J12429" t="str">
        <f>T("MD")</f>
        <v>MD</v>
      </c>
      <c r="K12429" t="str">
        <f>T("000000000000000000")</f>
        <v>000000000000000000</v>
      </c>
      <c r="L12429" t="str">
        <f>T("3013423350")</f>
        <v>3013423350</v>
      </c>
    </row>
    <row r="12430" spans="1:12" x14ac:dyDescent="0.35">
      <c r="A12430" t="str">
        <f t="shared" si="4604"/>
        <v>NAVY MUNITIONS COMMAND</v>
      </c>
      <c r="B12430" t="str">
        <f>T("22824 UTGOFF RD")</f>
        <v>22824 UTGOFF RD</v>
      </c>
      <c r="C12430" t="str">
        <f>T("BLDG 253")</f>
        <v>BLDG 253</v>
      </c>
      <c r="D12430" t="str">
        <f>T("PATUXENT RIVER")</f>
        <v>PATUXENT RIVER</v>
      </c>
      <c r="E12430" t="str">
        <f>T("MD")</f>
        <v>MD</v>
      </c>
      <c r="F12430" t="str">
        <f>T("206701802")</f>
        <v>206701802</v>
      </c>
      <c r="G12430" t="str">
        <f>T("2284 UTGOFF RD")</f>
        <v>2284 UTGOFF RD</v>
      </c>
      <c r="H12430" t="str">
        <f>T("BLDG 253")</f>
        <v>BLDG 253</v>
      </c>
      <c r="I12430" t="str">
        <f>T("PATUXENT RIVER")</f>
        <v>PATUXENT RIVER</v>
      </c>
      <c r="J12430" t="str">
        <f>T("MD")</f>
        <v>MD</v>
      </c>
      <c r="K12430" t="str">
        <f>T("000000000000000000")</f>
        <v>000000000000000000</v>
      </c>
      <c r="L12430" t="str">
        <f>T("3017574190")</f>
        <v>3017574190</v>
      </c>
    </row>
    <row r="12431" spans="1:12" x14ac:dyDescent="0.35">
      <c r="A12431" t="str">
        <f t="shared" si="4604"/>
        <v>NAVY MUNITIONS COMMAND</v>
      </c>
      <c r="B12431" t="str">
        <f>T("2315 RED BANK RD STE 100")</f>
        <v>2315 RED BANK RD STE 100</v>
      </c>
      <c r="C12431" t="str">
        <f t="shared" ref="C12431:C12449" si="4613">T("")</f>
        <v/>
      </c>
      <c r="D12431" t="str">
        <f>T("GOOSE CREEK")</f>
        <v>GOOSE CREEK</v>
      </c>
      <c r="E12431" t="str">
        <f>T("SC")</f>
        <v>SC</v>
      </c>
      <c r="F12431" t="str">
        <f>T("294458602")</f>
        <v>294458602</v>
      </c>
      <c r="G12431" t="str">
        <f>T("2315 RED BANK RD STE 100")</f>
        <v>2315 RED BANK RD STE 100</v>
      </c>
      <c r="H12431" t="str">
        <f>T("")</f>
        <v/>
      </c>
      <c r="I12431" t="str">
        <f>T("GOOSE CREEK")</f>
        <v>GOOSE CREEK</v>
      </c>
      <c r="J12431" t="str">
        <f>T("SC")</f>
        <v>SC</v>
      </c>
      <c r="K12431" t="str">
        <f>T("8437947763")</f>
        <v>8437947763</v>
      </c>
      <c r="L12431" t="str">
        <f>T("8437947029")</f>
        <v>8437947029</v>
      </c>
    </row>
    <row r="12432" spans="1:12" x14ac:dyDescent="0.35">
      <c r="A12432" t="str">
        <f t="shared" si="4604"/>
        <v>NAVY MUNITIONS COMMAND</v>
      </c>
      <c r="B12432" t="str">
        <f>T("2315 RED BANK RD STE 100")</f>
        <v>2315 RED BANK RD STE 100</v>
      </c>
      <c r="C12432" t="str">
        <f t="shared" si="4613"/>
        <v/>
      </c>
      <c r="D12432" t="str">
        <f>T("GOOSE CREEK")</f>
        <v>GOOSE CREEK</v>
      </c>
      <c r="E12432" t="str">
        <f>T("SC")</f>
        <v>SC</v>
      </c>
      <c r="F12432" t="str">
        <f>T("294458602")</f>
        <v>294458602</v>
      </c>
      <c r="G12432" t="str">
        <f>T("2315 REDBANK RD")</f>
        <v>2315 REDBANK RD</v>
      </c>
      <c r="H12432" t="str">
        <f>T("SUITE 100")</f>
        <v>SUITE 100</v>
      </c>
      <c r="I12432" t="str">
        <f>T("GOOSE CREEK")</f>
        <v>GOOSE CREEK</v>
      </c>
      <c r="J12432" t="str">
        <f>T("SC")</f>
        <v>SC</v>
      </c>
      <c r="K12432" t="str">
        <f>T("000000000000000000")</f>
        <v>000000000000000000</v>
      </c>
      <c r="L12432" t="str">
        <f>T("8437647763")</f>
        <v>8437647763</v>
      </c>
    </row>
    <row r="12433" spans="1:12" x14ac:dyDescent="0.35">
      <c r="A12433" t="str">
        <f t="shared" si="4604"/>
        <v>NAVY MUNITIONS COMMAND</v>
      </c>
      <c r="B12433" t="str">
        <f>T("2315 RED BANK RD STE 100")</f>
        <v>2315 RED BANK RD STE 100</v>
      </c>
      <c r="C12433" t="str">
        <f t="shared" si="4613"/>
        <v/>
      </c>
      <c r="D12433" t="str">
        <f>T("GOOSE CREEK")</f>
        <v>GOOSE CREEK</v>
      </c>
      <c r="E12433" t="str">
        <f>T("SC")</f>
        <v>SC</v>
      </c>
      <c r="F12433" t="str">
        <f>T("294458602")</f>
        <v>294458602</v>
      </c>
      <c r="G12433" t="str">
        <f>T("2316 RED BANK RD")</f>
        <v>2316 RED BANK RD</v>
      </c>
      <c r="H12433" t="str">
        <f>T("")</f>
        <v/>
      </c>
      <c r="I12433" t="str">
        <f>T("GOOSE CREEK")</f>
        <v>GOOSE CREEK</v>
      </c>
      <c r="J12433" t="str">
        <f>T("SC")</f>
        <v>SC</v>
      </c>
      <c r="K12433" t="str">
        <f>T("000000000000000000")</f>
        <v>000000000000000000</v>
      </c>
      <c r="L12433" t="str">
        <f>T("8437947618")</f>
        <v>8437947618</v>
      </c>
    </row>
    <row r="12434" spans="1:12" x14ac:dyDescent="0.35">
      <c r="A12434" t="str">
        <f t="shared" si="4604"/>
        <v>NAVY MUNITIONS COMMAND</v>
      </c>
      <c r="B12434" t="str">
        <f>T("2315 RED BANK RD STE 100")</f>
        <v>2315 RED BANK RD STE 100</v>
      </c>
      <c r="C12434" t="str">
        <f t="shared" si="4613"/>
        <v/>
      </c>
      <c r="D12434" t="str">
        <f>T("GOOSE CREEK")</f>
        <v>GOOSE CREEK</v>
      </c>
      <c r="E12434" t="str">
        <f>T("SC")</f>
        <v>SC</v>
      </c>
      <c r="F12434" t="str">
        <f>T("294458602")</f>
        <v>294458602</v>
      </c>
      <c r="G12434" t="str">
        <f>T("2316 RED BANK RD")</f>
        <v>2316 RED BANK RD</v>
      </c>
      <c r="H12434" t="str">
        <f>T("SUITE 100")</f>
        <v>SUITE 100</v>
      </c>
      <c r="I12434" t="str">
        <f>T("GOOSE CREEK")</f>
        <v>GOOSE CREEK</v>
      </c>
      <c r="J12434" t="str">
        <f>T("SC")</f>
        <v>SC</v>
      </c>
      <c r="K12434" t="str">
        <f>T("000000000000000000")</f>
        <v>000000000000000000</v>
      </c>
      <c r="L12434" t="str">
        <f>T("8437647221")</f>
        <v>8437647221</v>
      </c>
    </row>
    <row r="12435" spans="1:12" x14ac:dyDescent="0.35">
      <c r="A12435" t="str">
        <f t="shared" si="4604"/>
        <v>NAVY MUNITIONS COMMAND</v>
      </c>
      <c r="B12435" t="str">
        <f>T("2315 RED BANK RD STE 100")</f>
        <v>2315 RED BANK RD STE 100</v>
      </c>
      <c r="C12435" t="str">
        <f t="shared" si="4613"/>
        <v/>
      </c>
      <c r="D12435" t="str">
        <f>T("GOOSE CREEK")</f>
        <v>GOOSE CREEK</v>
      </c>
      <c r="E12435" t="str">
        <f>T("SC")</f>
        <v>SC</v>
      </c>
      <c r="F12435" t="str">
        <f>T("294458602")</f>
        <v>294458602</v>
      </c>
      <c r="G12435" t="str">
        <f>T("2316 RED BANK ROAD")</f>
        <v>2316 RED BANK ROAD</v>
      </c>
      <c r="H12435" t="str">
        <f>T("SUITE 100")</f>
        <v>SUITE 100</v>
      </c>
      <c r="I12435" t="str">
        <f>T("GOOSE CREEK")</f>
        <v>GOOSE CREEK</v>
      </c>
      <c r="J12435" t="str">
        <f>T("SC")</f>
        <v>SC</v>
      </c>
      <c r="K12435" t="str">
        <f>T("8437947763")</f>
        <v>8437947763</v>
      </c>
      <c r="L12435" t="str">
        <f>T("8437947618")</f>
        <v>8437947618</v>
      </c>
    </row>
    <row r="12436" spans="1:12" x14ac:dyDescent="0.35">
      <c r="A12436" t="str">
        <f t="shared" si="4604"/>
        <v>NAVY MUNITIONS COMMAND</v>
      </c>
      <c r="B12436" t="str">
        <f>T("255 IRONMONGER RD")</f>
        <v>255 IRONMONGER RD</v>
      </c>
      <c r="C12436" t="str">
        <f t="shared" si="4613"/>
        <v/>
      </c>
      <c r="D12436" t="str">
        <f>T("NORFOLK")</f>
        <v>NORFOLK</v>
      </c>
      <c r="E12436" t="str">
        <f>T("VA")</f>
        <v>VA</v>
      </c>
      <c r="F12436" t="str">
        <f>T("235112003")</f>
        <v>235112003</v>
      </c>
      <c r="G12436" t="str">
        <f>T("255 IRONMONGER RD")</f>
        <v>255 IRONMONGER RD</v>
      </c>
      <c r="H12436" t="str">
        <f>T("")</f>
        <v/>
      </c>
      <c r="I12436" t="str">
        <f>T("NORFOLK")</f>
        <v>NORFOLK</v>
      </c>
      <c r="J12436" t="str">
        <f>T("VA")</f>
        <v>VA</v>
      </c>
      <c r="K12436" t="str">
        <f>T("000000000000000000")</f>
        <v>000000000000000000</v>
      </c>
      <c r="L12436" t="str">
        <f>T("7574430836")</f>
        <v>7574430836</v>
      </c>
    </row>
    <row r="12437" spans="1:12" x14ac:dyDescent="0.35">
      <c r="A12437" t="str">
        <f t="shared" si="4604"/>
        <v>NAVY MUNITIONS COMMAND</v>
      </c>
      <c r="B12437" t="str">
        <f>T("255 IRONMONGER RD")</f>
        <v>255 IRONMONGER RD</v>
      </c>
      <c r="C12437" t="str">
        <f t="shared" si="4613"/>
        <v/>
      </c>
      <c r="D12437" t="str">
        <f>T("NORFOLK")</f>
        <v>NORFOLK</v>
      </c>
      <c r="E12437" t="str">
        <f>T("VA")</f>
        <v>VA</v>
      </c>
      <c r="F12437" t="str">
        <f>T("235112003")</f>
        <v>235112003</v>
      </c>
      <c r="G12437" t="str">
        <f>T("255 IRONMONGER RD")</f>
        <v>255 IRONMONGER RD</v>
      </c>
      <c r="H12437" t="str">
        <f>T("")</f>
        <v/>
      </c>
      <c r="I12437" t="str">
        <f>T("NORFOLK")</f>
        <v>NORFOLK</v>
      </c>
      <c r="J12437" t="str">
        <f>T("VA")</f>
        <v>VA</v>
      </c>
      <c r="K12437" t="str">
        <f>T("757-443-0832")</f>
        <v>757-443-0832</v>
      </c>
      <c r="L12437" t="str">
        <f>T("7574430803")</f>
        <v>7574430803</v>
      </c>
    </row>
    <row r="12438" spans="1:12" x14ac:dyDescent="0.35">
      <c r="A12438" t="str">
        <f t="shared" si="4604"/>
        <v>NAVY MUNITIONS COMMAND</v>
      </c>
      <c r="B12438" t="str">
        <f>T("32444 ECHO LANE SUITE 100")</f>
        <v>32444 ECHO LANE SUITE 100</v>
      </c>
      <c r="C12438" t="str">
        <f t="shared" si="4613"/>
        <v/>
      </c>
      <c r="D12438" t="str">
        <f>T("SAN DIEGO")</f>
        <v>SAN DIEGO</v>
      </c>
      <c r="E12438" t="str">
        <f>T("CA")</f>
        <v>CA</v>
      </c>
      <c r="F12438" t="str">
        <f>T("921475199")</f>
        <v>921475199</v>
      </c>
      <c r="G12438" t="str">
        <f>T("32444 ECHO LANE")</f>
        <v>32444 ECHO LANE</v>
      </c>
      <c r="H12438" t="str">
        <f>T("BLDG 1 SUITE 100")</f>
        <v>BLDG 1 SUITE 100</v>
      </c>
      <c r="I12438" t="str">
        <f>T("SAN DIEGO")</f>
        <v>SAN DIEGO</v>
      </c>
      <c r="J12438" t="str">
        <f>T("CA")</f>
        <v>CA</v>
      </c>
      <c r="K12438" t="str">
        <f>T("6195240999")</f>
        <v>6195240999</v>
      </c>
      <c r="L12438" t="str">
        <f>T("6195241722")</f>
        <v>6195241722</v>
      </c>
    </row>
    <row r="12439" spans="1:12" x14ac:dyDescent="0.35">
      <c r="A12439" t="str">
        <f t="shared" si="4604"/>
        <v>NAVY MUNITIONS COMMAND</v>
      </c>
      <c r="B12439" t="str">
        <f>T("32444 ECHO LANE SUITE 100")</f>
        <v>32444 ECHO LANE SUITE 100</v>
      </c>
      <c r="C12439" t="str">
        <f t="shared" si="4613"/>
        <v/>
      </c>
      <c r="D12439" t="str">
        <f>T("SAN DIEGO")</f>
        <v>SAN DIEGO</v>
      </c>
      <c r="E12439" t="str">
        <f>T("CA")</f>
        <v>CA</v>
      </c>
      <c r="F12439" t="str">
        <f>T("921475199")</f>
        <v>921475199</v>
      </c>
      <c r="G12439" t="str">
        <f>T("32444 ECHO LANE BLDG 1 STE 100")</f>
        <v>32444 ECHO LANE BLDG 1 STE 100</v>
      </c>
      <c r="H12439" t="str">
        <f t="shared" ref="H12439:H12444" si="4614">T("")</f>
        <v/>
      </c>
      <c r="I12439" t="str">
        <f>T("SAN DIEGO")</f>
        <v>SAN DIEGO</v>
      </c>
      <c r="J12439" t="str">
        <f>T("CA")</f>
        <v>CA</v>
      </c>
      <c r="K12439" t="str">
        <f>T("6195240999")</f>
        <v>6195240999</v>
      </c>
      <c r="L12439" t="str">
        <f>T("6195241722")</f>
        <v>6195241722</v>
      </c>
    </row>
    <row r="12440" spans="1:12" x14ac:dyDescent="0.35">
      <c r="A12440" t="str">
        <f t="shared" si="4604"/>
        <v>NAVY MUNITIONS COMMAND</v>
      </c>
      <c r="B12440" t="str">
        <f>T("32444 ECHO LANE SUITE 100")</f>
        <v>32444 ECHO LANE SUITE 100</v>
      </c>
      <c r="C12440" t="str">
        <f t="shared" si="4613"/>
        <v/>
      </c>
      <c r="D12440" t="str">
        <f>T("SAN DIEGO")</f>
        <v>SAN DIEGO</v>
      </c>
      <c r="E12440" t="str">
        <f>T("CA")</f>
        <v>CA</v>
      </c>
      <c r="F12440" t="str">
        <f>T("921475199")</f>
        <v>921475199</v>
      </c>
      <c r="G12440" t="str">
        <f>T("32444 ECHO LANE SUITE 100")</f>
        <v>32444 ECHO LANE SUITE 100</v>
      </c>
      <c r="H12440" t="str">
        <f t="shared" si="4614"/>
        <v/>
      </c>
      <c r="I12440" t="str">
        <f>T("SAN DIEGO")</f>
        <v>SAN DIEGO</v>
      </c>
      <c r="J12440" t="str">
        <f>T("CA")</f>
        <v>CA</v>
      </c>
      <c r="K12440" t="str">
        <f>T("619-524-0999")</f>
        <v>619-524-0999</v>
      </c>
      <c r="L12440" t="str">
        <f>T("6195241854")</f>
        <v>6195241854</v>
      </c>
    </row>
    <row r="12441" spans="1:12" x14ac:dyDescent="0.35">
      <c r="A12441" t="str">
        <f t="shared" ref="A12441:A12474" si="4615">T("NAVY MUNITIONS COMMAND")</f>
        <v>NAVY MUNITIONS COMMAND</v>
      </c>
      <c r="B12441" t="str">
        <f>T("3355 HENSLEY AVE")</f>
        <v>3355 HENSLEY AVE</v>
      </c>
      <c r="C12441" t="str">
        <f t="shared" si="4613"/>
        <v/>
      </c>
      <c r="D12441" t="str">
        <f>T("FORT WORTH")</f>
        <v>FORT WORTH</v>
      </c>
      <c r="E12441" t="str">
        <f>T("TX")</f>
        <v>TX</v>
      </c>
      <c r="F12441" t="str">
        <f>T("761270000")</f>
        <v>761270000</v>
      </c>
      <c r="G12441" t="str">
        <f>T("3355 HENSLEY AVE")</f>
        <v>3355 HENSLEY AVE</v>
      </c>
      <c r="H12441" t="str">
        <f t="shared" si="4614"/>
        <v/>
      </c>
      <c r="I12441" t="str">
        <f>T("FORT WORTH")</f>
        <v>FORT WORTH</v>
      </c>
      <c r="J12441" t="str">
        <f>T("TX")</f>
        <v>TX</v>
      </c>
      <c r="K12441" t="str">
        <f>T("000000000000000000")</f>
        <v>000000000000000000</v>
      </c>
      <c r="L12441" t="str">
        <f>T("8177823171")</f>
        <v>8177823171</v>
      </c>
    </row>
    <row r="12442" spans="1:12" x14ac:dyDescent="0.35">
      <c r="A12442" t="str">
        <f t="shared" si="4615"/>
        <v>NAVY MUNITIONS COMMAND</v>
      </c>
      <c r="B12442" t="str">
        <f>T("3355 HENSLEY AVE")</f>
        <v>3355 HENSLEY AVE</v>
      </c>
      <c r="C12442" t="str">
        <f t="shared" si="4613"/>
        <v/>
      </c>
      <c r="D12442" t="str">
        <f>T("FORT WORTH")</f>
        <v>FORT WORTH</v>
      </c>
      <c r="E12442" t="str">
        <f>T("TX")</f>
        <v>TX</v>
      </c>
      <c r="F12442" t="str">
        <f>T("761270000")</f>
        <v>761270000</v>
      </c>
      <c r="G12442" t="str">
        <f>T("3355 HENSLEY AVE")</f>
        <v>3355 HENSLEY AVE</v>
      </c>
      <c r="H12442" t="str">
        <f t="shared" si="4614"/>
        <v/>
      </c>
      <c r="I12442" t="str">
        <f>T("FORT WORTH")</f>
        <v>FORT WORTH</v>
      </c>
      <c r="J12442" t="str">
        <f>T("TX")</f>
        <v>TX</v>
      </c>
      <c r="K12442" t="str">
        <f>T("817-782-6273")</f>
        <v>817-782-6273</v>
      </c>
      <c r="L12442" t="str">
        <f>T("8177823584")</f>
        <v>8177823584</v>
      </c>
    </row>
    <row r="12443" spans="1:12" x14ac:dyDescent="0.35">
      <c r="A12443" t="str">
        <f t="shared" si="4615"/>
        <v>NAVY MUNITIONS COMMAND</v>
      </c>
      <c r="B12443" t="str">
        <f>T("374 AKRON ST")</f>
        <v>374 AKRON ST</v>
      </c>
      <c r="C12443" t="str">
        <f t="shared" si="4613"/>
        <v/>
      </c>
      <c r="D12443" t="str">
        <f>T("JACKSONVILLE")</f>
        <v>JACKSONVILLE</v>
      </c>
      <c r="E12443" t="str">
        <f>T("FL")</f>
        <v>FL</v>
      </c>
      <c r="F12443" t="str">
        <f>T("322120000")</f>
        <v>322120000</v>
      </c>
      <c r="G12443" t="str">
        <f>T("374 AKRON ST")</f>
        <v>374 AKRON ST</v>
      </c>
      <c r="H12443" t="str">
        <f t="shared" si="4614"/>
        <v/>
      </c>
      <c r="I12443" t="str">
        <f>T("JACKSONVILLE")</f>
        <v>JACKSONVILLE</v>
      </c>
      <c r="J12443" t="str">
        <f>T("FL")</f>
        <v>FL</v>
      </c>
      <c r="K12443" t="str">
        <f>T("904-542-4891")</f>
        <v>904-542-4891</v>
      </c>
      <c r="L12443" t="str">
        <f>T("9045423337")</f>
        <v>9045423337</v>
      </c>
    </row>
    <row r="12444" spans="1:12" x14ac:dyDescent="0.35">
      <c r="A12444" t="str">
        <f t="shared" si="4615"/>
        <v>NAVY MUNITIONS COMMAND</v>
      </c>
      <c r="B12444" t="str">
        <f>T("374 AKRON ST")</f>
        <v>374 AKRON ST</v>
      </c>
      <c r="C12444" t="str">
        <f t="shared" si="4613"/>
        <v/>
      </c>
      <c r="D12444" t="str">
        <f>T("JACKSONVILLE")</f>
        <v>JACKSONVILLE</v>
      </c>
      <c r="E12444" t="str">
        <f>T("FL")</f>
        <v>FL</v>
      </c>
      <c r="F12444" t="str">
        <f>T("322120000")</f>
        <v>322120000</v>
      </c>
      <c r="G12444" t="str">
        <f>T("374 AKRON STREET")</f>
        <v>374 AKRON STREET</v>
      </c>
      <c r="H12444" t="str">
        <f t="shared" si="4614"/>
        <v/>
      </c>
      <c r="I12444" t="str">
        <f>T("JACKSONVILLE")</f>
        <v>JACKSONVILLE</v>
      </c>
      <c r="J12444" t="str">
        <f>T("FL")</f>
        <v>FL</v>
      </c>
      <c r="K12444" t="str">
        <f>T("9045424891")</f>
        <v>9045424891</v>
      </c>
      <c r="L12444" t="str">
        <f>T("9045423337")</f>
        <v>9045423337</v>
      </c>
    </row>
    <row r="12445" spans="1:12" x14ac:dyDescent="0.35">
      <c r="A12445" t="str">
        <f t="shared" si="4615"/>
        <v>NAVY MUNITIONS COMMAND</v>
      </c>
      <c r="B12445" t="str">
        <f>T("374 AKRON ST")</f>
        <v>374 AKRON ST</v>
      </c>
      <c r="C12445" t="str">
        <f t="shared" si="4613"/>
        <v/>
      </c>
      <c r="D12445" t="str">
        <f>T("JACKSONVILLE")</f>
        <v>JACKSONVILLE</v>
      </c>
      <c r="E12445" t="str">
        <f>T("FL")</f>
        <v>FL</v>
      </c>
      <c r="F12445" t="str">
        <f>T("322120000")</f>
        <v>322120000</v>
      </c>
      <c r="G12445" t="str">
        <f>T("BLDG 374")</f>
        <v>BLDG 374</v>
      </c>
      <c r="H12445" t="str">
        <f>T("AKRON ROAD")</f>
        <v>AKRON ROAD</v>
      </c>
      <c r="I12445" t="str">
        <f>T("JACKSONVILLE")</f>
        <v>JACKSONVILLE</v>
      </c>
      <c r="J12445" t="str">
        <f>T("FL")</f>
        <v>FL</v>
      </c>
      <c r="K12445" t="str">
        <f>T("9045424891")</f>
        <v>9045424891</v>
      </c>
      <c r="L12445" t="str">
        <f>T("9045422939")</f>
        <v>9045422939</v>
      </c>
    </row>
    <row r="12446" spans="1:12" x14ac:dyDescent="0.35">
      <c r="A12446" t="str">
        <f t="shared" si="4615"/>
        <v>NAVY MUNITIONS COMMAND</v>
      </c>
      <c r="B12446" t="str">
        <f>T("374 AKRON ST")</f>
        <v>374 AKRON ST</v>
      </c>
      <c r="C12446" t="str">
        <f t="shared" si="4613"/>
        <v/>
      </c>
      <c r="D12446" t="str">
        <f>T("JACKSONVILLE")</f>
        <v>JACKSONVILLE</v>
      </c>
      <c r="E12446" t="str">
        <f>T("FL")</f>
        <v>FL</v>
      </c>
      <c r="F12446" t="str">
        <f>T("322120000")</f>
        <v>322120000</v>
      </c>
      <c r="G12446" t="str">
        <f>T("BLDG 374 AKRON ST")</f>
        <v>BLDG 374 AKRON ST</v>
      </c>
      <c r="H12446" t="str">
        <f>T("")</f>
        <v/>
      </c>
      <c r="I12446" t="str">
        <f>T("JACKSONVILLE")</f>
        <v>JACKSONVILLE</v>
      </c>
      <c r="J12446" t="str">
        <f>T("FL")</f>
        <v>FL</v>
      </c>
      <c r="K12446" t="str">
        <f>T("000000000000000000")</f>
        <v>000000000000000000</v>
      </c>
      <c r="L12446" t="str">
        <f>T("9045422939")</f>
        <v>9045422939</v>
      </c>
    </row>
    <row r="12447" spans="1:12" x14ac:dyDescent="0.35">
      <c r="A12447" t="str">
        <f t="shared" si="4615"/>
        <v>NAVY MUNITIONS COMMAND</v>
      </c>
      <c r="B12447" t="str">
        <f>T("400 RUSSELL AVE BLDG 90")</f>
        <v>400 RUSSELL AVE BLDG 90</v>
      </c>
      <c r="C12447" t="str">
        <f t="shared" si="4613"/>
        <v/>
      </c>
      <c r="D12447" t="str">
        <f>T("BELLE CHASSE")</f>
        <v>BELLE CHASSE</v>
      </c>
      <c r="E12447" t="str">
        <f>T("LA")</f>
        <v>LA</v>
      </c>
      <c r="F12447" t="str">
        <f>T("700371006")</f>
        <v>700371006</v>
      </c>
      <c r="G12447" t="str">
        <f>T("100 FULLER RD")</f>
        <v>100 FULLER RD</v>
      </c>
      <c r="H12447" t="str">
        <f>T("SUITE 100")</f>
        <v>SUITE 100</v>
      </c>
      <c r="I12447" t="str">
        <f>T("MERIDIAN")</f>
        <v>MERIDIAN</v>
      </c>
      <c r="J12447" t="str">
        <f>T("MS")</f>
        <v>MS</v>
      </c>
      <c r="K12447" t="str">
        <f>T("000000000000000000")</f>
        <v>000000000000000000</v>
      </c>
      <c r="L12447" t="str">
        <f>T("6016792719")</f>
        <v>6016792719</v>
      </c>
    </row>
    <row r="12448" spans="1:12" x14ac:dyDescent="0.35">
      <c r="A12448" t="str">
        <f t="shared" si="4615"/>
        <v>NAVY MUNITIONS COMMAND</v>
      </c>
      <c r="B12448" t="str">
        <f>T("400 RUSSELL AVE BLDG 90")</f>
        <v>400 RUSSELL AVE BLDG 90</v>
      </c>
      <c r="C12448" t="str">
        <f t="shared" si="4613"/>
        <v/>
      </c>
      <c r="D12448" t="str">
        <f>T("BELLE CHASSE")</f>
        <v>BELLE CHASSE</v>
      </c>
      <c r="E12448" t="str">
        <f>T("LA")</f>
        <v>LA</v>
      </c>
      <c r="F12448" t="str">
        <f>T("700371006")</f>
        <v>700371006</v>
      </c>
      <c r="G12448" t="str">
        <f>T("400 RUSSELL AVE BLDG 90")</f>
        <v>400 RUSSELL AVE BLDG 90</v>
      </c>
      <c r="H12448" t="str">
        <f>T("")</f>
        <v/>
      </c>
      <c r="I12448" t="str">
        <f>T("BELLE CHASSE")</f>
        <v>BELLE CHASSE</v>
      </c>
      <c r="J12448" t="str">
        <f>T("LA")</f>
        <v>LA</v>
      </c>
      <c r="K12448" t="str">
        <f>T("504-678-4658")</f>
        <v>504-678-4658</v>
      </c>
      <c r="L12448" t="str">
        <f>T("5046783883")</f>
        <v>5046783883</v>
      </c>
    </row>
    <row r="12449" spans="1:12" x14ac:dyDescent="0.35">
      <c r="A12449" t="str">
        <f t="shared" si="4615"/>
        <v>NAVY MUNITIONS COMMAND</v>
      </c>
      <c r="B12449" t="str">
        <f>T("400 RUSSELL AVE BLDG 90")</f>
        <v>400 RUSSELL AVE BLDG 90</v>
      </c>
      <c r="C12449" t="str">
        <f t="shared" si="4613"/>
        <v/>
      </c>
      <c r="D12449" t="str">
        <f>T("BELLE CHASSE")</f>
        <v>BELLE CHASSE</v>
      </c>
      <c r="E12449" t="str">
        <f>T("LA")</f>
        <v>LA</v>
      </c>
      <c r="F12449" t="str">
        <f>T("700371006")</f>
        <v>700371006</v>
      </c>
      <c r="G12449" t="str">
        <f>T("400 RUSSELL RD BLDG 90")</f>
        <v>400 RUSSELL RD BLDG 90</v>
      </c>
      <c r="H12449" t="str">
        <f>T("")</f>
        <v/>
      </c>
      <c r="I12449" t="str">
        <f>T("NEW ORLEANS")</f>
        <v>NEW ORLEANS</v>
      </c>
      <c r="J12449" t="str">
        <f>T("LA")</f>
        <v>LA</v>
      </c>
      <c r="K12449" t="str">
        <f>T("5046784658")</f>
        <v>5046784658</v>
      </c>
      <c r="L12449" t="str">
        <f>T("5046783279")</f>
        <v>5046783279</v>
      </c>
    </row>
    <row r="12450" spans="1:12" x14ac:dyDescent="0.35">
      <c r="A12450" t="str">
        <f t="shared" si="4615"/>
        <v>NAVY MUNITIONS COMMAND</v>
      </c>
      <c r="B12450" t="str">
        <f>T("410 HASE RD")</f>
        <v>410 HASE RD</v>
      </c>
      <c r="C12450" t="str">
        <f>T("BLDG 1735")</f>
        <v>BLDG 1735</v>
      </c>
      <c r="D12450" t="str">
        <f>T("PENSACOLA")</f>
        <v>PENSACOLA</v>
      </c>
      <c r="E12450" t="str">
        <f>T("FL")</f>
        <v>FL</v>
      </c>
      <c r="F12450" t="str">
        <f>T("325081098")</f>
        <v>325081098</v>
      </c>
      <c r="G12450" t="str">
        <f>T("410 HASE RD")</f>
        <v>410 HASE RD</v>
      </c>
      <c r="H12450" t="str">
        <f>T("BLDG 1735")</f>
        <v>BLDG 1735</v>
      </c>
      <c r="I12450" t="str">
        <f>T("PENSACOLA")</f>
        <v>PENSACOLA</v>
      </c>
      <c r="J12450" t="str">
        <f>T("FL")</f>
        <v>FL</v>
      </c>
      <c r="K12450" t="str">
        <f>T("000000000000000000")</f>
        <v>000000000000000000</v>
      </c>
      <c r="L12450" t="str">
        <f>T("8504528112")</f>
        <v>8504528112</v>
      </c>
    </row>
    <row r="12451" spans="1:12" x14ac:dyDescent="0.35">
      <c r="A12451" t="str">
        <f t="shared" si="4615"/>
        <v>NAVY MUNITIONS COMMAND</v>
      </c>
      <c r="B12451" t="str">
        <f>T("410 HASE RD")</f>
        <v>410 HASE RD</v>
      </c>
      <c r="C12451" t="str">
        <f>T("BLDG 1735")</f>
        <v>BLDG 1735</v>
      </c>
      <c r="D12451" t="str">
        <f>T("PENSACOLA")</f>
        <v>PENSACOLA</v>
      </c>
      <c r="E12451" t="str">
        <f>T("FL")</f>
        <v>FL</v>
      </c>
      <c r="F12451" t="str">
        <f>T("325081098")</f>
        <v>325081098</v>
      </c>
      <c r="G12451" t="str">
        <f>T("410 HASE RD")</f>
        <v>410 HASE RD</v>
      </c>
      <c r="H12451" t="str">
        <f>T("BLDG 1735")</f>
        <v>BLDG 1735</v>
      </c>
      <c r="I12451" t="str">
        <f>T("PENSACOLA")</f>
        <v>PENSACOLA</v>
      </c>
      <c r="J12451" t="str">
        <f>T("FL")</f>
        <v>FL</v>
      </c>
      <c r="K12451" t="str">
        <f>T("850-452-2527")</f>
        <v>850-452-2527</v>
      </c>
      <c r="L12451" t="str">
        <f>T("8504528071")</f>
        <v>8504528071</v>
      </c>
    </row>
    <row r="12452" spans="1:12" x14ac:dyDescent="0.35">
      <c r="A12452" t="str">
        <f t="shared" si="4615"/>
        <v>NAVY MUNITIONS COMMAND</v>
      </c>
      <c r="B12452" t="str">
        <f>T("BLDG 1990 NWS YORKTOWN")</f>
        <v>BLDG 1990 NWS YORKTOWN</v>
      </c>
      <c r="C12452" t="str">
        <f>T("CODE 283")</f>
        <v>CODE 283</v>
      </c>
      <c r="D12452" t="str">
        <f t="shared" ref="D12452:D12460" si="4616">T("YORKTOWN")</f>
        <v>YORKTOWN</v>
      </c>
      <c r="E12452" t="str">
        <f t="shared" ref="E12452:E12460" si="4617">T("VA")</f>
        <v>VA</v>
      </c>
      <c r="F12452" t="str">
        <f t="shared" ref="F12452:F12460" si="4618">T("236910000")</f>
        <v>236910000</v>
      </c>
      <c r="G12452" t="str">
        <f>T("160 MAIN RD")</f>
        <v>160 MAIN RD</v>
      </c>
      <c r="H12452" t="str">
        <f>T("BLDG 1959")</f>
        <v>BLDG 1959</v>
      </c>
      <c r="I12452" t="str">
        <f t="shared" ref="I12452:I12460" si="4619">T("YORKTOWN")</f>
        <v>YORKTOWN</v>
      </c>
      <c r="J12452" t="str">
        <f t="shared" ref="J12452:J12460" si="4620">T("VA")</f>
        <v>VA</v>
      </c>
      <c r="K12452" t="str">
        <f>T("000000000000000000")</f>
        <v>000000000000000000</v>
      </c>
      <c r="L12452" t="str">
        <f>T("7578874563")</f>
        <v>7578874563</v>
      </c>
    </row>
    <row r="12453" spans="1:12" x14ac:dyDescent="0.35">
      <c r="A12453" t="str">
        <f t="shared" si="4615"/>
        <v>NAVY MUNITIONS COMMAND</v>
      </c>
      <c r="B12453" t="str">
        <f>T("BLDG 1990 NWS YORKTOWN")</f>
        <v>BLDG 1990 NWS YORKTOWN</v>
      </c>
      <c r="C12453" t="str">
        <f>T("CODE 283")</f>
        <v>CODE 283</v>
      </c>
      <c r="D12453" t="str">
        <f t="shared" si="4616"/>
        <v>YORKTOWN</v>
      </c>
      <c r="E12453" t="str">
        <f t="shared" si="4617"/>
        <v>VA</v>
      </c>
      <c r="F12453" t="str">
        <f t="shared" si="4618"/>
        <v>236910000</v>
      </c>
      <c r="G12453" t="str">
        <f>T("160 MAIN RD")</f>
        <v>160 MAIN RD</v>
      </c>
      <c r="H12453" t="str">
        <f>T("BLDG 1990 CODE 2833")</f>
        <v>BLDG 1990 CODE 2833</v>
      </c>
      <c r="I12453" t="str">
        <f t="shared" si="4619"/>
        <v>YORKTOWN</v>
      </c>
      <c r="J12453" t="str">
        <f t="shared" si="4620"/>
        <v>VA</v>
      </c>
      <c r="K12453" t="str">
        <f>T("000000000000000000")</f>
        <v>000000000000000000</v>
      </c>
      <c r="L12453" t="str">
        <f>T("7578874903")</f>
        <v>7578874903</v>
      </c>
    </row>
    <row r="12454" spans="1:12" x14ac:dyDescent="0.35">
      <c r="A12454" t="str">
        <f t="shared" si="4615"/>
        <v>NAVY MUNITIONS COMMAND</v>
      </c>
      <c r="B12454" t="str">
        <f>T("BLDG 1990 NWS YORKTOWN")</f>
        <v>BLDG 1990 NWS YORKTOWN</v>
      </c>
      <c r="C12454" t="str">
        <f>T("CODE 283")</f>
        <v>CODE 283</v>
      </c>
      <c r="D12454" t="str">
        <f t="shared" si="4616"/>
        <v>YORKTOWN</v>
      </c>
      <c r="E12454" t="str">
        <f t="shared" si="4617"/>
        <v>VA</v>
      </c>
      <c r="F12454" t="str">
        <f t="shared" si="4618"/>
        <v>236910000</v>
      </c>
      <c r="G12454" t="str">
        <f>T("BLDG 1990 NWS YORKTOWN")</f>
        <v>BLDG 1990 NWS YORKTOWN</v>
      </c>
      <c r="H12454" t="str">
        <f>T("CODE 283")</f>
        <v>CODE 283</v>
      </c>
      <c r="I12454" t="str">
        <f t="shared" si="4619"/>
        <v>YORKTOWN</v>
      </c>
      <c r="J12454" t="str">
        <f t="shared" si="4620"/>
        <v>VA</v>
      </c>
      <c r="K12454" t="str">
        <f>T("757-887-4599")</f>
        <v>757-887-4599</v>
      </c>
      <c r="L12454" t="str">
        <f>T("7578874906")</f>
        <v>7578874906</v>
      </c>
    </row>
    <row r="12455" spans="1:12" x14ac:dyDescent="0.35">
      <c r="A12455" t="str">
        <f t="shared" si="4615"/>
        <v>NAVY MUNITIONS COMMAND</v>
      </c>
      <c r="B12455" t="str">
        <f t="shared" ref="B12455:B12460" si="4621">T("BLDG 476")</f>
        <v>BLDG 476</v>
      </c>
      <c r="C12455" t="str">
        <f t="shared" ref="C12455:C12474" si="4622">T("")</f>
        <v/>
      </c>
      <c r="D12455" t="str">
        <f t="shared" si="4616"/>
        <v>YORKTOWN</v>
      </c>
      <c r="E12455" t="str">
        <f t="shared" si="4617"/>
        <v>VA</v>
      </c>
      <c r="F12455" t="str">
        <f t="shared" si="4618"/>
        <v>236910000</v>
      </c>
      <c r="G12455" t="str">
        <f>T("160 MAIN RD")</f>
        <v>160 MAIN RD</v>
      </c>
      <c r="H12455" t="str">
        <f>T("BLDG 1959")</f>
        <v>BLDG 1959</v>
      </c>
      <c r="I12455" t="str">
        <f t="shared" si="4619"/>
        <v>YORKTOWN</v>
      </c>
      <c r="J12455" t="str">
        <f t="shared" si="4620"/>
        <v>VA</v>
      </c>
      <c r="K12455" t="str">
        <f>T("000000000000000000")</f>
        <v>000000000000000000</v>
      </c>
      <c r="L12455" t="str">
        <f>T("7578874598")</f>
        <v>7578874598</v>
      </c>
    </row>
    <row r="12456" spans="1:12" x14ac:dyDescent="0.35">
      <c r="A12456" t="str">
        <f t="shared" si="4615"/>
        <v>NAVY MUNITIONS COMMAND</v>
      </c>
      <c r="B12456" t="str">
        <f t="shared" si="4621"/>
        <v>BLDG 476</v>
      </c>
      <c r="C12456" t="str">
        <f t="shared" si="4622"/>
        <v/>
      </c>
      <c r="D12456" t="str">
        <f t="shared" si="4616"/>
        <v>YORKTOWN</v>
      </c>
      <c r="E12456" t="str">
        <f t="shared" si="4617"/>
        <v>VA</v>
      </c>
      <c r="F12456" t="str">
        <f t="shared" si="4618"/>
        <v>236910000</v>
      </c>
      <c r="G12456" t="str">
        <f>T("160 MAIN RD")</f>
        <v>160 MAIN RD</v>
      </c>
      <c r="H12456" t="str">
        <f>T("BLDG 1959")</f>
        <v>BLDG 1959</v>
      </c>
      <c r="I12456" t="str">
        <f t="shared" si="4619"/>
        <v>YORKTOWN</v>
      </c>
      <c r="J12456" t="str">
        <f t="shared" si="4620"/>
        <v>VA</v>
      </c>
      <c r="K12456" t="str">
        <f>T("000000000000000000")</f>
        <v>000000000000000000</v>
      </c>
      <c r="L12456" t="str">
        <f>T("7578874846")</f>
        <v>7578874846</v>
      </c>
    </row>
    <row r="12457" spans="1:12" x14ac:dyDescent="0.35">
      <c r="A12457" t="str">
        <f t="shared" si="4615"/>
        <v>NAVY MUNITIONS COMMAND</v>
      </c>
      <c r="B12457" t="str">
        <f t="shared" si="4621"/>
        <v>BLDG 476</v>
      </c>
      <c r="C12457" t="str">
        <f t="shared" si="4622"/>
        <v/>
      </c>
      <c r="D12457" t="str">
        <f t="shared" si="4616"/>
        <v>YORKTOWN</v>
      </c>
      <c r="E12457" t="str">
        <f t="shared" si="4617"/>
        <v>VA</v>
      </c>
      <c r="F12457" t="str">
        <f t="shared" si="4618"/>
        <v>236910000</v>
      </c>
      <c r="G12457" t="str">
        <f>T("160 MAIN RD")</f>
        <v>160 MAIN RD</v>
      </c>
      <c r="H12457" t="str">
        <f>T("CODE 233 BLDG 476 DOOR 57")</f>
        <v>CODE 233 BLDG 476 DOOR 57</v>
      </c>
      <c r="I12457" t="str">
        <f t="shared" si="4619"/>
        <v>YORKTOWN</v>
      </c>
      <c r="J12457" t="str">
        <f t="shared" si="4620"/>
        <v>VA</v>
      </c>
      <c r="K12457" t="str">
        <f>T("000000000000000000")</f>
        <v>000000000000000000</v>
      </c>
      <c r="L12457" t="str">
        <f>T("7578874698")</f>
        <v>7578874698</v>
      </c>
    </row>
    <row r="12458" spans="1:12" x14ac:dyDescent="0.35">
      <c r="A12458" t="str">
        <f t="shared" si="4615"/>
        <v>NAVY MUNITIONS COMMAND</v>
      </c>
      <c r="B12458" t="str">
        <f t="shared" si="4621"/>
        <v>BLDG 476</v>
      </c>
      <c r="C12458" t="str">
        <f t="shared" si="4622"/>
        <v/>
      </c>
      <c r="D12458" t="str">
        <f t="shared" si="4616"/>
        <v>YORKTOWN</v>
      </c>
      <c r="E12458" t="str">
        <f t="shared" si="4617"/>
        <v>VA</v>
      </c>
      <c r="F12458" t="str">
        <f t="shared" si="4618"/>
        <v>236910000</v>
      </c>
      <c r="G12458" t="str">
        <f>T("160 MAIN RD")</f>
        <v>160 MAIN RD</v>
      </c>
      <c r="H12458" t="str">
        <f>T("CODE 2333")</f>
        <v>CODE 2333</v>
      </c>
      <c r="I12458" t="str">
        <f t="shared" si="4619"/>
        <v>YORKTOWN</v>
      </c>
      <c r="J12458" t="str">
        <f t="shared" si="4620"/>
        <v>VA</v>
      </c>
      <c r="K12458" t="str">
        <f>T("000000000000000000")</f>
        <v>000000000000000000</v>
      </c>
      <c r="L12458" t="str">
        <f>T("7578874757")</f>
        <v>7578874757</v>
      </c>
    </row>
    <row r="12459" spans="1:12" x14ac:dyDescent="0.35">
      <c r="A12459" t="str">
        <f t="shared" si="4615"/>
        <v>NAVY MUNITIONS COMMAND</v>
      </c>
      <c r="B12459" t="str">
        <f t="shared" si="4621"/>
        <v>BLDG 476</v>
      </c>
      <c r="C12459" t="str">
        <f t="shared" si="4622"/>
        <v/>
      </c>
      <c r="D12459" t="str">
        <f t="shared" si="4616"/>
        <v>YORKTOWN</v>
      </c>
      <c r="E12459" t="str">
        <f t="shared" si="4617"/>
        <v>VA</v>
      </c>
      <c r="F12459" t="str">
        <f t="shared" si="4618"/>
        <v>236910000</v>
      </c>
      <c r="G12459" t="str">
        <f>T("160 MAIN ROAD")</f>
        <v>160 MAIN ROAD</v>
      </c>
      <c r="H12459" t="str">
        <f>T("BLDG 1959")</f>
        <v>BLDG 1959</v>
      </c>
      <c r="I12459" t="str">
        <f t="shared" si="4619"/>
        <v>YORKTOWN</v>
      </c>
      <c r="J12459" t="str">
        <f t="shared" si="4620"/>
        <v>VA</v>
      </c>
      <c r="K12459" t="str">
        <f>T("7578874552")</f>
        <v>7578874552</v>
      </c>
      <c r="L12459" t="str">
        <f>T("7578874089")</f>
        <v>7578874089</v>
      </c>
    </row>
    <row r="12460" spans="1:12" x14ac:dyDescent="0.35">
      <c r="A12460" t="str">
        <f t="shared" si="4615"/>
        <v>NAVY MUNITIONS COMMAND</v>
      </c>
      <c r="B12460" t="str">
        <f t="shared" si="4621"/>
        <v>BLDG 476</v>
      </c>
      <c r="C12460" t="str">
        <f t="shared" si="4622"/>
        <v/>
      </c>
      <c r="D12460" t="str">
        <f t="shared" si="4616"/>
        <v>YORKTOWN</v>
      </c>
      <c r="E12460" t="str">
        <f t="shared" si="4617"/>
        <v>VA</v>
      </c>
      <c r="F12460" t="str">
        <f t="shared" si="4618"/>
        <v>236910000</v>
      </c>
      <c r="G12460" t="str">
        <f>T("BLDG 476")</f>
        <v>BLDG 476</v>
      </c>
      <c r="H12460" t="str">
        <f>T("")</f>
        <v/>
      </c>
      <c r="I12460" t="str">
        <f t="shared" si="4619"/>
        <v>YORKTOWN</v>
      </c>
      <c r="J12460" t="str">
        <f t="shared" si="4620"/>
        <v>VA</v>
      </c>
      <c r="K12460" t="str">
        <f>T("757-887-4209")</f>
        <v>757-887-4209</v>
      </c>
      <c r="L12460" t="str">
        <f>T("7578874467")</f>
        <v>7578874467</v>
      </c>
    </row>
    <row r="12461" spans="1:12" x14ac:dyDescent="0.35">
      <c r="A12461" t="str">
        <f t="shared" si="4615"/>
        <v>NAVY MUNITIONS COMMAND</v>
      </c>
      <c r="B12461" t="str">
        <f>T("P O BOX 2800055")</f>
        <v>P O BOX 2800055</v>
      </c>
      <c r="C12461" t="str">
        <f t="shared" si="4622"/>
        <v/>
      </c>
      <c r="D12461" t="str">
        <f>T("JACKSONVILLE")</f>
        <v>JACKSONVILLE</v>
      </c>
      <c r="E12461" t="str">
        <f>T("FL")</f>
        <v>FL</v>
      </c>
      <c r="F12461" t="str">
        <f>T("322280000")</f>
        <v>322280000</v>
      </c>
      <c r="G12461" t="str">
        <f>T("NAVAL STATION MAYPORT")</f>
        <v>NAVAL STATION MAYPORT</v>
      </c>
      <c r="H12461" t="str">
        <f>T("P O BOX 2800055 BLDG 190")</f>
        <v>P O BOX 2800055 BLDG 190</v>
      </c>
      <c r="I12461" t="str">
        <f>T("MAYPORT")</f>
        <v>MAYPORT</v>
      </c>
      <c r="J12461" t="str">
        <f>T("FL")</f>
        <v>FL</v>
      </c>
      <c r="K12461" t="str">
        <f>T("000000000000000000")</f>
        <v>000000000000000000</v>
      </c>
      <c r="L12461" t="str">
        <f>T("9042705388")</f>
        <v>9042705388</v>
      </c>
    </row>
    <row r="12462" spans="1:12" x14ac:dyDescent="0.35">
      <c r="A12462" t="str">
        <f t="shared" si="4615"/>
        <v>NAVY MUNITIONS COMMAND</v>
      </c>
      <c r="B12462" t="str">
        <f>T("P O BOX 2800055")</f>
        <v>P O BOX 2800055</v>
      </c>
      <c r="C12462" t="str">
        <f t="shared" si="4622"/>
        <v/>
      </c>
      <c r="D12462" t="str">
        <f>T("JACKSONVILLE")</f>
        <v>JACKSONVILLE</v>
      </c>
      <c r="E12462" t="str">
        <f>T("FL")</f>
        <v>FL</v>
      </c>
      <c r="F12462" t="str">
        <f>T("322280000")</f>
        <v>322280000</v>
      </c>
      <c r="G12462" t="str">
        <f>T("NAVAL STATION MAYPORT")</f>
        <v>NAVAL STATION MAYPORT</v>
      </c>
      <c r="H12462" t="str">
        <f>T("P O BOX 280055 BLDG 190")</f>
        <v>P O BOX 280055 BLDG 190</v>
      </c>
      <c r="I12462" t="str">
        <f>T("MAYPORT")</f>
        <v>MAYPORT</v>
      </c>
      <c r="J12462" t="str">
        <f>T("FL")</f>
        <v>FL</v>
      </c>
      <c r="K12462" t="str">
        <f>T("000000000000000000")</f>
        <v>000000000000000000</v>
      </c>
      <c r="L12462" t="str">
        <f>T("9042705387")</f>
        <v>9042705387</v>
      </c>
    </row>
    <row r="12463" spans="1:12" x14ac:dyDescent="0.35">
      <c r="A12463" t="str">
        <f t="shared" si="4615"/>
        <v>NAVY MUNITIONS COMMAND</v>
      </c>
      <c r="B12463" t="str">
        <f>T("P O BOX 2800055")</f>
        <v>P O BOX 2800055</v>
      </c>
      <c r="C12463" t="str">
        <f t="shared" si="4622"/>
        <v/>
      </c>
      <c r="D12463" t="str">
        <f>T("JACKSONVILLE")</f>
        <v>JACKSONVILLE</v>
      </c>
      <c r="E12463" t="str">
        <f>T("FL")</f>
        <v>FL</v>
      </c>
      <c r="F12463" t="str">
        <f>T("322280000")</f>
        <v>322280000</v>
      </c>
      <c r="G12463" t="str">
        <f>T("P O BOX 2800055")</f>
        <v>P O BOX 2800055</v>
      </c>
      <c r="H12463" t="str">
        <f>T("")</f>
        <v/>
      </c>
      <c r="I12463" t="str">
        <f>T("JACKSONVILLE")</f>
        <v>JACKSONVILLE</v>
      </c>
      <c r="J12463" t="str">
        <f>T("FL")</f>
        <v>FL</v>
      </c>
      <c r="K12463" t="str">
        <f>T("904-270-5004")</f>
        <v>904-270-5004</v>
      </c>
      <c r="L12463" t="str">
        <f>T("9042705388")</f>
        <v>9042705388</v>
      </c>
    </row>
    <row r="12464" spans="1:12" x14ac:dyDescent="0.35">
      <c r="A12464" t="str">
        <f t="shared" si="4615"/>
        <v>NAVY MUNITIONS COMMAND</v>
      </c>
      <c r="B12464" t="str">
        <f>T("P O BOX 9053")</f>
        <v>P O BOX 9053</v>
      </c>
      <c r="C12464" t="str">
        <f t="shared" si="4622"/>
        <v/>
      </c>
      <c r="D12464" t="str">
        <f>T("KEY WEST")</f>
        <v>KEY WEST</v>
      </c>
      <c r="E12464" t="str">
        <f>T("FL")</f>
        <v>FL</v>
      </c>
      <c r="F12464" t="str">
        <f>T("330409053")</f>
        <v>330409053</v>
      </c>
      <c r="G12464" t="str">
        <f>T("P O BOX 9053")</f>
        <v>P O BOX 9053</v>
      </c>
      <c r="H12464" t="str">
        <f>T("")</f>
        <v/>
      </c>
      <c r="I12464" t="str">
        <f>T("KEY WEST")</f>
        <v>KEY WEST</v>
      </c>
      <c r="J12464" t="str">
        <f>T("FL")</f>
        <v>FL</v>
      </c>
      <c r="K12464" t="str">
        <f>T("305-293-2452")</f>
        <v>305-293-2452</v>
      </c>
      <c r="L12464" t="str">
        <f>T("3052933648")</f>
        <v>3052933648</v>
      </c>
    </row>
    <row r="12465" spans="1:12" x14ac:dyDescent="0.35">
      <c r="A12465" t="str">
        <f t="shared" si="4615"/>
        <v>NAVY MUNITIONS COMMAND</v>
      </c>
      <c r="B12465" t="str">
        <f>T("P O BOX 9053")</f>
        <v>P O BOX 9053</v>
      </c>
      <c r="C12465" t="str">
        <f t="shared" si="4622"/>
        <v/>
      </c>
      <c r="D12465" t="str">
        <f>T("KEY WEST")</f>
        <v>KEY WEST</v>
      </c>
      <c r="E12465" t="str">
        <f>T("FL")</f>
        <v>FL</v>
      </c>
      <c r="F12465" t="str">
        <f>T("330409053")</f>
        <v>330409053</v>
      </c>
      <c r="G12465" t="str">
        <f>T("P O BOX 9053 BLDG A 1112")</f>
        <v>P O BOX 9053 BLDG A 1112</v>
      </c>
      <c r="H12465" t="str">
        <f>T("")</f>
        <v/>
      </c>
      <c r="I12465" t="str">
        <f>T("KEY WEST")</f>
        <v>KEY WEST</v>
      </c>
      <c r="J12465" t="str">
        <f>T("FL")</f>
        <v>FL</v>
      </c>
      <c r="K12465" t="str">
        <f>T("000000000000000000")</f>
        <v>000000000000000000</v>
      </c>
      <c r="L12465" t="str">
        <f>T("3052932375")</f>
        <v>3052932375</v>
      </c>
    </row>
    <row r="12466" spans="1:12" x14ac:dyDescent="0.35">
      <c r="A12466" t="str">
        <f t="shared" si="4615"/>
        <v>NAVY MUNITIONS COMMAND</v>
      </c>
      <c r="B12466" t="str">
        <f>T("PSC 451 BOX 890")</f>
        <v>PSC 451 BOX 890</v>
      </c>
      <c r="C12466" t="str">
        <f t="shared" si="4622"/>
        <v/>
      </c>
      <c r="D12466" t="str">
        <f t="shared" ref="D12466:D12474" si="4623">T("FPO")</f>
        <v>FPO</v>
      </c>
      <c r="E12466" t="str">
        <f t="shared" ref="E12466:E12474" si="4624">T("AE")</f>
        <v>AE</v>
      </c>
      <c r="F12466" t="str">
        <f>T("098340009")</f>
        <v>098340009</v>
      </c>
      <c r="G12466" t="str">
        <f>T("NMCLANT DET BAHRAIN")</f>
        <v>NMCLANT DET BAHRAIN</v>
      </c>
      <c r="H12466" t="str">
        <f>T("PSC 851 BOX 890")</f>
        <v>PSC 851 BOX 890</v>
      </c>
      <c r="I12466" t="str">
        <f t="shared" ref="I12466:I12474" si="4625">T("FPO")</f>
        <v>FPO</v>
      </c>
      <c r="J12466" t="str">
        <f t="shared" ref="J12466:J12474" si="4626">T("AE")</f>
        <v>AE</v>
      </c>
      <c r="K12466" t="str">
        <f>T("000000000000000000")</f>
        <v>000000000000000000</v>
      </c>
      <c r="L12466" t="str">
        <f>T("3184396832")</f>
        <v>3184396832</v>
      </c>
    </row>
    <row r="12467" spans="1:12" x14ac:dyDescent="0.35">
      <c r="A12467" t="str">
        <f t="shared" si="4615"/>
        <v>NAVY MUNITIONS COMMAND</v>
      </c>
      <c r="B12467" t="str">
        <f>T("PSC 451 BOX 890")</f>
        <v>PSC 451 BOX 890</v>
      </c>
      <c r="C12467" t="str">
        <f t="shared" si="4622"/>
        <v/>
      </c>
      <c r="D12467" t="str">
        <f t="shared" si="4623"/>
        <v>FPO</v>
      </c>
      <c r="E12467" t="str">
        <f t="shared" si="4624"/>
        <v>AE</v>
      </c>
      <c r="F12467" t="str">
        <f>T("098340009")</f>
        <v>098340009</v>
      </c>
      <c r="G12467" t="str">
        <f>T("PSC 451 BOX 890")</f>
        <v>PSC 451 BOX 890</v>
      </c>
      <c r="H12467" t="str">
        <f>T("")</f>
        <v/>
      </c>
      <c r="I12467" t="str">
        <f t="shared" si="4625"/>
        <v>FPO</v>
      </c>
      <c r="J12467" t="str">
        <f t="shared" si="4626"/>
        <v>AE</v>
      </c>
      <c r="K12467" t="str">
        <f>T("318-439-6651")</f>
        <v>318-439-6651</v>
      </c>
      <c r="L12467" t="str">
        <f>T("3184396651")</f>
        <v>3184396651</v>
      </c>
    </row>
    <row r="12468" spans="1:12" x14ac:dyDescent="0.35">
      <c r="A12468" t="str">
        <f t="shared" si="4615"/>
        <v>NAVY MUNITIONS COMMAND</v>
      </c>
      <c r="B12468" t="str">
        <f>T("PSC 451 BOX 890")</f>
        <v>PSC 451 BOX 890</v>
      </c>
      <c r="C12468" t="str">
        <f t="shared" si="4622"/>
        <v/>
      </c>
      <c r="D12468" t="str">
        <f t="shared" si="4623"/>
        <v>FPO</v>
      </c>
      <c r="E12468" t="str">
        <f t="shared" si="4624"/>
        <v>AE</v>
      </c>
      <c r="F12468" t="str">
        <f>T("098340009")</f>
        <v>098340009</v>
      </c>
      <c r="G12468" t="str">
        <f>T("PSC 851 BOX 890")</f>
        <v>PSC 851 BOX 890</v>
      </c>
      <c r="H12468" t="str">
        <f>T("")</f>
        <v/>
      </c>
      <c r="I12468" t="str">
        <f t="shared" si="4625"/>
        <v>FPO</v>
      </c>
      <c r="J12468" t="str">
        <f t="shared" si="4626"/>
        <v>AE</v>
      </c>
      <c r="K12468" t="str">
        <f>T("000000000000000000")</f>
        <v>000000000000000000</v>
      </c>
      <c r="L12468" t="str">
        <f>T("3184396832")</f>
        <v>3184396832</v>
      </c>
    </row>
    <row r="12469" spans="1:12" x14ac:dyDescent="0.35">
      <c r="A12469" t="str">
        <f t="shared" si="4615"/>
        <v>NAVY MUNITIONS COMMAND</v>
      </c>
      <c r="B12469" t="str">
        <f>T("PSC 812 BOX 2849")</f>
        <v>PSC 812 BOX 2849</v>
      </c>
      <c r="C12469" t="str">
        <f t="shared" si="4622"/>
        <v/>
      </c>
      <c r="D12469" t="str">
        <f t="shared" si="4623"/>
        <v>FPO</v>
      </c>
      <c r="E12469" t="str">
        <f t="shared" si="4624"/>
        <v>AE</v>
      </c>
      <c r="F12469" t="str">
        <f>T("096270029")</f>
        <v>096270029</v>
      </c>
      <c r="G12469" t="str">
        <f>T("PSC 812")</f>
        <v>PSC 812</v>
      </c>
      <c r="H12469" t="str">
        <f>T("BOX 2834")</f>
        <v>BOX 2834</v>
      </c>
      <c r="I12469" t="str">
        <f t="shared" si="4625"/>
        <v>FPO</v>
      </c>
      <c r="J12469" t="str">
        <f t="shared" si="4626"/>
        <v>AE</v>
      </c>
      <c r="K12469" t="str">
        <f>T("39095865378")</f>
        <v>39095865378</v>
      </c>
      <c r="L12469" t="str">
        <f>T("1111111111")</f>
        <v>1111111111</v>
      </c>
    </row>
    <row r="12470" spans="1:12" x14ac:dyDescent="0.35">
      <c r="A12470" t="str">
        <f t="shared" si="4615"/>
        <v>NAVY MUNITIONS COMMAND</v>
      </c>
      <c r="B12470" t="str">
        <f>T("PSC 812 BOX 2849")</f>
        <v>PSC 812 BOX 2849</v>
      </c>
      <c r="C12470" t="str">
        <f t="shared" si="4622"/>
        <v/>
      </c>
      <c r="D12470" t="str">
        <f t="shared" si="4623"/>
        <v>FPO</v>
      </c>
      <c r="E12470" t="str">
        <f t="shared" si="4624"/>
        <v>AE</v>
      </c>
      <c r="F12470" t="str">
        <f>T("096270029")</f>
        <v>096270029</v>
      </c>
      <c r="G12470" t="str">
        <f>T("PSC 812 BOX 2849")</f>
        <v>PSC 812 BOX 2849</v>
      </c>
      <c r="H12470" t="str">
        <f>T("")</f>
        <v/>
      </c>
      <c r="I12470" t="str">
        <f t="shared" si="4625"/>
        <v>FPO</v>
      </c>
      <c r="J12470" t="str">
        <f t="shared" si="4626"/>
        <v>AE</v>
      </c>
      <c r="K12470" t="str">
        <f>T("000000000000000000")</f>
        <v>000000000000000000</v>
      </c>
      <c r="L12470" t="str">
        <f>T("3146246417")</f>
        <v>3146246417</v>
      </c>
    </row>
    <row r="12471" spans="1:12" x14ac:dyDescent="0.35">
      <c r="A12471" t="str">
        <f t="shared" si="4615"/>
        <v>NAVY MUNITIONS COMMAND</v>
      </c>
      <c r="B12471" t="str">
        <f>T("PSC 814 BOX 42")</f>
        <v>PSC 814 BOX 42</v>
      </c>
      <c r="C12471" t="str">
        <f t="shared" si="4622"/>
        <v/>
      </c>
      <c r="D12471" t="str">
        <f t="shared" si="4623"/>
        <v>FPO</v>
      </c>
      <c r="E12471" t="str">
        <f t="shared" si="4624"/>
        <v>AE</v>
      </c>
      <c r="F12471" t="str">
        <f>T("098650001")</f>
        <v>098650001</v>
      </c>
      <c r="G12471" t="str">
        <f>T("PSC 814 BOX 42")</f>
        <v>PSC 814 BOX 42</v>
      </c>
      <c r="H12471" t="str">
        <f>T("")</f>
        <v/>
      </c>
      <c r="I12471" t="str">
        <f t="shared" si="4625"/>
        <v>FPO</v>
      </c>
      <c r="J12471" t="str">
        <f t="shared" si="4626"/>
        <v>AE</v>
      </c>
      <c r="K12471" t="str">
        <f>T("000000000000000000")</f>
        <v>000000000000000000</v>
      </c>
      <c r="L12471" t="str">
        <f>T("3142661279")</f>
        <v>3142661279</v>
      </c>
    </row>
    <row r="12472" spans="1:12" x14ac:dyDescent="0.35">
      <c r="A12472" t="str">
        <f t="shared" si="4615"/>
        <v>NAVY MUNITIONS COMMAND</v>
      </c>
      <c r="B12472" t="str">
        <f>T("PSC 814 BOX 42")</f>
        <v>PSC 814 BOX 42</v>
      </c>
      <c r="C12472" t="str">
        <f t="shared" si="4622"/>
        <v/>
      </c>
      <c r="D12472" t="str">
        <f t="shared" si="4623"/>
        <v>FPO</v>
      </c>
      <c r="E12472" t="str">
        <f t="shared" si="4624"/>
        <v>AE</v>
      </c>
      <c r="F12472" t="str">
        <f>T("098650001")</f>
        <v>098650001</v>
      </c>
      <c r="G12472" t="str">
        <f>T("PSC 814 BOX 42")</f>
        <v>PSC 814 BOX 42</v>
      </c>
      <c r="H12472" t="str">
        <f>T("")</f>
        <v/>
      </c>
      <c r="I12472" t="str">
        <f t="shared" si="4625"/>
        <v>FPO</v>
      </c>
      <c r="J12472" t="str">
        <f t="shared" si="4626"/>
        <v>AE</v>
      </c>
      <c r="K12472" t="str">
        <f>T("000000000000000000")</f>
        <v>000000000000000000</v>
      </c>
      <c r="L12472" t="str">
        <f>T("3142661680")</f>
        <v>3142661680</v>
      </c>
    </row>
    <row r="12473" spans="1:12" x14ac:dyDescent="0.35">
      <c r="A12473" t="str">
        <f t="shared" si="4615"/>
        <v>NAVY MUNITIONS COMMAND</v>
      </c>
      <c r="B12473" t="str">
        <f>T("PSC 819 BOX 5548")</f>
        <v>PSC 819 BOX 5548</v>
      </c>
      <c r="C12473" t="str">
        <f t="shared" si="4622"/>
        <v/>
      </c>
      <c r="D12473" t="str">
        <f t="shared" si="4623"/>
        <v>FPO</v>
      </c>
      <c r="E12473" t="str">
        <f t="shared" si="4624"/>
        <v>AE</v>
      </c>
      <c r="F12473" t="str">
        <f>T("096450056")</f>
        <v>096450056</v>
      </c>
      <c r="G12473" t="str">
        <f>T("PSC 819")</f>
        <v>PSC 819</v>
      </c>
      <c r="H12473" t="str">
        <f>T("BOX 5505")</f>
        <v>BOX 5505</v>
      </c>
      <c r="I12473" t="str">
        <f t="shared" si="4625"/>
        <v>FPO</v>
      </c>
      <c r="J12473" t="str">
        <f t="shared" si="4626"/>
        <v>AE</v>
      </c>
      <c r="K12473" t="str">
        <f>T("01134956822286")</f>
        <v>01134956822286</v>
      </c>
      <c r="L12473" t="str">
        <f>T("1111111111")</f>
        <v>1111111111</v>
      </c>
    </row>
    <row r="12474" spans="1:12" x14ac:dyDescent="0.35">
      <c r="A12474" t="str">
        <f t="shared" si="4615"/>
        <v>NAVY MUNITIONS COMMAND</v>
      </c>
      <c r="B12474" t="str">
        <f>T("PSC 819 BOX 5548")</f>
        <v>PSC 819 BOX 5548</v>
      </c>
      <c r="C12474" t="str">
        <f t="shared" si="4622"/>
        <v/>
      </c>
      <c r="D12474" t="str">
        <f t="shared" si="4623"/>
        <v>FPO</v>
      </c>
      <c r="E12474" t="str">
        <f t="shared" si="4624"/>
        <v>AE</v>
      </c>
      <c r="F12474" t="str">
        <f>T("096450056")</f>
        <v>096450056</v>
      </c>
      <c r="G12474" t="str">
        <f>T("PSC 819 BOX 5548")</f>
        <v>PSC 819 BOX 5548</v>
      </c>
      <c r="H12474" t="str">
        <f>T("")</f>
        <v/>
      </c>
      <c r="I12474" t="str">
        <f t="shared" si="4625"/>
        <v>FPO</v>
      </c>
      <c r="J12474" t="str">
        <f t="shared" si="4626"/>
        <v>AE</v>
      </c>
      <c r="K12474" t="str">
        <f>T("000000000000000000")</f>
        <v>000000000000000000</v>
      </c>
      <c r="L12474" t="str">
        <f>T("3147272035")</f>
        <v>3147272035</v>
      </c>
    </row>
    <row r="12475" spans="1:12" x14ac:dyDescent="0.35">
      <c r="A12475" t="str">
        <f t="shared" ref="A12475:A12506" si="4627">T("SYSCOM")</f>
        <v>SYSCOM</v>
      </c>
      <c r="B12475" t="str">
        <f>T("1000 CORPORATE DRIVE")</f>
        <v>1000 CORPORATE DRIVE</v>
      </c>
      <c r="C12475" t="str">
        <f>T("SUITE 101")</f>
        <v>SUITE 101</v>
      </c>
      <c r="D12475" t="str">
        <f>T("STAFFORD")</f>
        <v>STAFFORD</v>
      </c>
      <c r="E12475" t="str">
        <f>T("VA")</f>
        <v>VA</v>
      </c>
      <c r="F12475" t="str">
        <f>T("225544885")</f>
        <v>225544885</v>
      </c>
      <c r="G12475" t="str">
        <f>T("1000 CORPORATE DRIVE")</f>
        <v>1000 CORPORATE DRIVE</v>
      </c>
      <c r="H12475" t="str">
        <f>T("SUITE 101")</f>
        <v>SUITE 101</v>
      </c>
      <c r="I12475" t="str">
        <f>T("STAFFORD")</f>
        <v>STAFFORD</v>
      </c>
      <c r="J12475" t="str">
        <f>T("VA")</f>
        <v>VA</v>
      </c>
      <c r="K12475" t="str">
        <f>T("")</f>
        <v/>
      </c>
      <c r="L12475" t="str">
        <f>T("7037844598")</f>
        <v>7037844598</v>
      </c>
    </row>
    <row r="12476" spans="1:12" x14ac:dyDescent="0.35">
      <c r="A12476" t="str">
        <f t="shared" si="4627"/>
        <v>SYSCOM</v>
      </c>
      <c r="B12476" t="str">
        <f>T("1000 CORPORATE DRIVE")</f>
        <v>1000 CORPORATE DRIVE</v>
      </c>
      <c r="C12476" t="str">
        <f>T("SUITE 101")</f>
        <v>SUITE 101</v>
      </c>
      <c r="D12476" t="str">
        <f>T("STAFFORD")</f>
        <v>STAFFORD</v>
      </c>
      <c r="E12476" t="str">
        <f>T("VA")</f>
        <v>VA</v>
      </c>
      <c r="F12476" t="str">
        <f>T("225544885")</f>
        <v>225544885</v>
      </c>
      <c r="G12476" t="str">
        <f>T("1000 CORPORATE DRIVE")</f>
        <v>1000 CORPORATE DRIVE</v>
      </c>
      <c r="H12476" t="str">
        <f>T("SUITE 101")</f>
        <v>SUITE 101</v>
      </c>
      <c r="I12476" t="str">
        <f>T("STAFFORD")</f>
        <v>STAFFORD</v>
      </c>
      <c r="J12476" t="str">
        <f>T("VA")</f>
        <v>VA</v>
      </c>
      <c r="K12476" t="str">
        <f>T("000000000000000000")</f>
        <v>000000000000000000</v>
      </c>
      <c r="L12476" t="str">
        <f>T("7037846458")</f>
        <v>7037846458</v>
      </c>
    </row>
    <row r="12477" spans="1:12" x14ac:dyDescent="0.35">
      <c r="A12477" t="str">
        <f t="shared" si="4627"/>
        <v>SYSCOM</v>
      </c>
      <c r="B12477" t="str">
        <f>T("105 TECH PARKWAY STE 105")</f>
        <v>105 TECH PARKWAY STE 105</v>
      </c>
      <c r="C12477" t="str">
        <f>T("")</f>
        <v/>
      </c>
      <c r="D12477" t="str">
        <f>T("STAFFORD")</f>
        <v>STAFFORD</v>
      </c>
      <c r="E12477" t="str">
        <f>T("VA")</f>
        <v>VA</v>
      </c>
      <c r="F12477" t="str">
        <f>T("225561777")</f>
        <v>225561777</v>
      </c>
      <c r="G12477" t="str">
        <f>T("105 TECH PARKWAY STE 105")</f>
        <v>105 TECH PARKWAY STE 105</v>
      </c>
      <c r="H12477" t="str">
        <f>T("")</f>
        <v/>
      </c>
      <c r="I12477" t="str">
        <f>T("STAFFORD")</f>
        <v>STAFFORD</v>
      </c>
      <c r="J12477" t="str">
        <f>T("VA")</f>
        <v>VA</v>
      </c>
      <c r="K12477" t="str">
        <f>T("")</f>
        <v/>
      </c>
      <c r="L12477" t="str">
        <f>T("7034418028")</f>
        <v>7034418028</v>
      </c>
    </row>
    <row r="12478" spans="1:12" x14ac:dyDescent="0.35">
      <c r="A12478" t="str">
        <f t="shared" si="4627"/>
        <v>SYSCOM</v>
      </c>
      <c r="B12478" t="str">
        <f>T("105 TECH PARKWAY STE 105")</f>
        <v>105 TECH PARKWAY STE 105</v>
      </c>
      <c r="C12478" t="str">
        <f>T("")</f>
        <v/>
      </c>
      <c r="D12478" t="str">
        <f>T("STAFFORD")</f>
        <v>STAFFORD</v>
      </c>
      <c r="E12478" t="str">
        <f>T("VA")</f>
        <v>VA</v>
      </c>
      <c r="F12478" t="str">
        <f>T("225561777")</f>
        <v>225561777</v>
      </c>
      <c r="G12478" t="str">
        <f>T("2200 LESTER ST")</f>
        <v>2200 LESTER ST</v>
      </c>
      <c r="H12478" t="str">
        <f>T("")</f>
        <v/>
      </c>
      <c r="I12478" t="str">
        <f>T("QUANTICO")</f>
        <v>QUANTICO</v>
      </c>
      <c r="J12478" t="str">
        <f>T("VA")</f>
        <v>VA</v>
      </c>
      <c r="K12478" t="str">
        <f t="shared" ref="K12478:K12485" si="4628">T("000000000000000000")</f>
        <v>000000000000000000</v>
      </c>
      <c r="L12478" t="str">
        <f>T("7034325812")</f>
        <v>7034325812</v>
      </c>
    </row>
    <row r="12479" spans="1:12" x14ac:dyDescent="0.35">
      <c r="A12479" t="str">
        <f t="shared" si="4627"/>
        <v>SYSCOM</v>
      </c>
      <c r="B12479" t="str">
        <f>T("12211 SCIENCE DRIVE")</f>
        <v>12211 SCIENCE DRIVE</v>
      </c>
      <c r="C12479" t="str">
        <f>T("PIII 5TH FLOOR")</f>
        <v>PIII 5TH FLOOR</v>
      </c>
      <c r="D12479" t="str">
        <f>T("ORLANDO")</f>
        <v>ORLANDO</v>
      </c>
      <c r="E12479" t="str">
        <f>T("FL")</f>
        <v>FL</v>
      </c>
      <c r="F12479" t="str">
        <f>T("328263266")</f>
        <v>328263266</v>
      </c>
      <c r="G12479" t="str">
        <f>T("12211 SCIENCE DRIVE")</f>
        <v>12211 SCIENCE DRIVE</v>
      </c>
      <c r="H12479" t="str">
        <f>T("PIII 5TH FLOOR")</f>
        <v>PIII 5TH FLOOR</v>
      </c>
      <c r="I12479" t="str">
        <f>T("ORLANDO")</f>
        <v>ORLANDO</v>
      </c>
      <c r="J12479" t="str">
        <f>T("FL")</f>
        <v>FL</v>
      </c>
      <c r="K12479" t="str">
        <f t="shared" si="4628"/>
        <v>000000000000000000</v>
      </c>
      <c r="L12479" t="str">
        <f>T("4073818784")</f>
        <v>4073818784</v>
      </c>
    </row>
    <row r="12480" spans="1:12" x14ac:dyDescent="0.35">
      <c r="A12480" t="str">
        <f t="shared" si="4627"/>
        <v>SYSCOM</v>
      </c>
      <c r="B12480" t="str">
        <f>T("12211 SCIENCE DRIVE")</f>
        <v>12211 SCIENCE DRIVE</v>
      </c>
      <c r="C12480" t="str">
        <f>T("PIII 5TH FLOOR")</f>
        <v>PIII 5TH FLOOR</v>
      </c>
      <c r="D12480" t="str">
        <f>T("ORLANDO")</f>
        <v>ORLANDO</v>
      </c>
      <c r="E12480" t="str">
        <f>T("FL")</f>
        <v>FL</v>
      </c>
      <c r="F12480" t="str">
        <f>T("328263266")</f>
        <v>328263266</v>
      </c>
      <c r="G12480" t="str">
        <f>T("12350 RESEARCH PARKWAY")</f>
        <v>12350 RESEARCH PARKWAY</v>
      </c>
      <c r="H12480" t="str">
        <f t="shared" ref="H12480:H12502" si="4629">T("")</f>
        <v/>
      </c>
      <c r="I12480" t="str">
        <f>T("ORLANDO")</f>
        <v>ORLANDO</v>
      </c>
      <c r="J12480" t="str">
        <f>T("FL")</f>
        <v>FL</v>
      </c>
      <c r="K12480" t="str">
        <f t="shared" si="4628"/>
        <v>000000000000000000</v>
      </c>
      <c r="L12480" t="str">
        <f>T("4073808257")</f>
        <v>4073808257</v>
      </c>
    </row>
    <row r="12481" spans="1:12" x14ac:dyDescent="0.35">
      <c r="A12481" t="str">
        <f t="shared" si="4627"/>
        <v>SYSCOM</v>
      </c>
      <c r="B12481" t="str">
        <f>T("12211 SCIENCE DRIVE")</f>
        <v>12211 SCIENCE DRIVE</v>
      </c>
      <c r="C12481" t="str">
        <f>T("PIII 5TH FLOOR")</f>
        <v>PIII 5TH FLOOR</v>
      </c>
      <c r="D12481" t="str">
        <f>T("ORLANDO")</f>
        <v>ORLANDO</v>
      </c>
      <c r="E12481" t="str">
        <f>T("FL")</f>
        <v>FL</v>
      </c>
      <c r="F12481" t="str">
        <f>T("328263266")</f>
        <v>328263266</v>
      </c>
      <c r="G12481" t="str">
        <f>T("12350 RESEARCH PARKWAY")</f>
        <v>12350 RESEARCH PARKWAY</v>
      </c>
      <c r="H12481" t="str">
        <f t="shared" si="4629"/>
        <v/>
      </c>
      <c r="I12481" t="str">
        <f>T("ORLANDO")</f>
        <v>ORLANDO</v>
      </c>
      <c r="J12481" t="str">
        <f>T("FL")</f>
        <v>FL</v>
      </c>
      <c r="K12481" t="str">
        <f t="shared" si="4628"/>
        <v>000000000000000000</v>
      </c>
      <c r="L12481" t="str">
        <f>T("4073818771")</f>
        <v>4073818771</v>
      </c>
    </row>
    <row r="12482" spans="1:12" x14ac:dyDescent="0.35">
      <c r="A12482" t="str">
        <f t="shared" si="4627"/>
        <v>SYSCOM</v>
      </c>
      <c r="B12482" t="str">
        <f>T("2032 BARNETT AVE")</f>
        <v>2032 BARNETT AVE</v>
      </c>
      <c r="C12482" t="str">
        <f t="shared" ref="C12482:C12505" si="4630">T("")</f>
        <v/>
      </c>
      <c r="D12482" t="str">
        <f t="shared" ref="D12482:D12513" si="4631">T("QUANTICO")</f>
        <v>QUANTICO</v>
      </c>
      <c r="E12482" t="str">
        <f t="shared" ref="E12482:E12513" si="4632">T("VA")</f>
        <v>VA</v>
      </c>
      <c r="F12482" t="str">
        <f>T("221345103")</f>
        <v>221345103</v>
      </c>
      <c r="G12482" t="str">
        <f>T("2032 BARNETT AVE")</f>
        <v>2032 BARNETT AVE</v>
      </c>
      <c r="H12482" t="str">
        <f t="shared" si="4629"/>
        <v/>
      </c>
      <c r="I12482" t="str">
        <f t="shared" ref="I12482:I12513" si="4633">T("QUANTICO")</f>
        <v>QUANTICO</v>
      </c>
      <c r="J12482" t="str">
        <f t="shared" ref="J12482:J12513" si="4634">T("VA")</f>
        <v>VA</v>
      </c>
      <c r="K12482" t="str">
        <f t="shared" si="4628"/>
        <v>000000000000000000</v>
      </c>
      <c r="L12482" t="str">
        <f>T("7034320937")</f>
        <v>7034320937</v>
      </c>
    </row>
    <row r="12483" spans="1:12" x14ac:dyDescent="0.35">
      <c r="A12483" t="str">
        <f t="shared" si="4627"/>
        <v>SYSCOM</v>
      </c>
      <c r="B12483" t="str">
        <f>T("2032 BARNETT AVE")</f>
        <v>2032 BARNETT AVE</v>
      </c>
      <c r="C12483" t="str">
        <f t="shared" si="4630"/>
        <v/>
      </c>
      <c r="D12483" t="str">
        <f t="shared" si="4631"/>
        <v>QUANTICO</v>
      </c>
      <c r="E12483" t="str">
        <f t="shared" si="4632"/>
        <v>VA</v>
      </c>
      <c r="F12483" t="str">
        <f>T("221345103")</f>
        <v>221345103</v>
      </c>
      <c r="G12483" t="str">
        <f>T("2032 BARNETT AVE")</f>
        <v>2032 BARNETT AVE</v>
      </c>
      <c r="H12483" t="str">
        <f t="shared" si="4629"/>
        <v/>
      </c>
      <c r="I12483" t="str">
        <f t="shared" si="4633"/>
        <v>QUANTICO</v>
      </c>
      <c r="J12483" t="str">
        <f t="shared" si="4634"/>
        <v>VA</v>
      </c>
      <c r="K12483" t="str">
        <f t="shared" si="4628"/>
        <v>000000000000000000</v>
      </c>
      <c r="L12483" t="str">
        <f>T("7034320952")</f>
        <v>7034320952</v>
      </c>
    </row>
    <row r="12484" spans="1:12" x14ac:dyDescent="0.35">
      <c r="A12484" t="str">
        <f t="shared" si="4627"/>
        <v>SYSCOM</v>
      </c>
      <c r="B12484" t="str">
        <f>T("2032 BARNETT AVE")</f>
        <v>2032 BARNETT AVE</v>
      </c>
      <c r="C12484" t="str">
        <f t="shared" si="4630"/>
        <v/>
      </c>
      <c r="D12484" t="str">
        <f t="shared" si="4631"/>
        <v>QUANTICO</v>
      </c>
      <c r="E12484" t="str">
        <f t="shared" si="4632"/>
        <v>VA</v>
      </c>
      <c r="F12484" t="str">
        <f>T("221345103")</f>
        <v>221345103</v>
      </c>
      <c r="G12484" t="str">
        <f>T("2032 BARNETT AVE")</f>
        <v>2032 BARNETT AVE</v>
      </c>
      <c r="H12484" t="str">
        <f t="shared" si="4629"/>
        <v/>
      </c>
      <c r="I12484" t="str">
        <f t="shared" si="4633"/>
        <v>QUANTICO</v>
      </c>
      <c r="J12484" t="str">
        <f t="shared" si="4634"/>
        <v>VA</v>
      </c>
      <c r="K12484" t="str">
        <f t="shared" si="4628"/>
        <v>000000000000000000</v>
      </c>
      <c r="L12484" t="str">
        <f>T("7034320967")</f>
        <v>7034320967</v>
      </c>
    </row>
    <row r="12485" spans="1:12" x14ac:dyDescent="0.35">
      <c r="A12485" t="str">
        <f t="shared" si="4627"/>
        <v>SYSCOM</v>
      </c>
      <c r="B12485" t="str">
        <f>T("2032 BARNETT AVE")</f>
        <v>2032 BARNETT AVE</v>
      </c>
      <c r="C12485" t="str">
        <f t="shared" si="4630"/>
        <v/>
      </c>
      <c r="D12485" t="str">
        <f t="shared" si="4631"/>
        <v>QUANTICO</v>
      </c>
      <c r="E12485" t="str">
        <f t="shared" si="4632"/>
        <v>VA</v>
      </c>
      <c r="F12485" t="str">
        <f>T("221345103")</f>
        <v>221345103</v>
      </c>
      <c r="G12485" t="str">
        <f>T("2032 BARNETT AVE")</f>
        <v>2032 BARNETT AVE</v>
      </c>
      <c r="H12485" t="str">
        <f t="shared" si="4629"/>
        <v/>
      </c>
      <c r="I12485" t="str">
        <f t="shared" si="4633"/>
        <v>QUANTICO</v>
      </c>
      <c r="J12485" t="str">
        <f t="shared" si="4634"/>
        <v>VA</v>
      </c>
      <c r="K12485" t="str">
        <f t="shared" si="4628"/>
        <v>000000000000000000</v>
      </c>
      <c r="L12485" t="str">
        <f>T("7037843286")</f>
        <v>7037843286</v>
      </c>
    </row>
    <row r="12486" spans="1:12" x14ac:dyDescent="0.35">
      <c r="A12486" t="str">
        <f t="shared" si="4627"/>
        <v>SYSCOM</v>
      </c>
      <c r="B12486" t="str">
        <f t="shared" ref="B12486:B12523" si="4635">T("2200 LESTER ST")</f>
        <v>2200 LESTER ST</v>
      </c>
      <c r="C12486" t="str">
        <f t="shared" si="4630"/>
        <v/>
      </c>
      <c r="D12486" t="str">
        <f t="shared" si="4631"/>
        <v>QUANTICO</v>
      </c>
      <c r="E12486" t="str">
        <f t="shared" si="4632"/>
        <v>VA</v>
      </c>
      <c r="F12486" t="str">
        <f t="shared" ref="F12486:F12523" si="4636">T("221345050")</f>
        <v>221345050</v>
      </c>
      <c r="G12486" t="str">
        <f t="shared" ref="G12486:G12498" si="4637">T("2200 LESTER ST")</f>
        <v>2200 LESTER ST</v>
      </c>
      <c r="H12486" t="str">
        <f t="shared" si="4629"/>
        <v/>
      </c>
      <c r="I12486" t="str">
        <f t="shared" si="4633"/>
        <v>QUANTICO</v>
      </c>
      <c r="J12486" t="str">
        <f t="shared" si="4634"/>
        <v>VA</v>
      </c>
      <c r="K12486" t="str">
        <f t="shared" ref="K12486:K12491" si="4638">T("")</f>
        <v/>
      </c>
      <c r="L12486" t="str">
        <f>T("1111111111")</f>
        <v>1111111111</v>
      </c>
    </row>
    <row r="12487" spans="1:12" x14ac:dyDescent="0.35">
      <c r="A12487" t="str">
        <f t="shared" si="4627"/>
        <v>SYSCOM</v>
      </c>
      <c r="B12487" t="str">
        <f t="shared" si="4635"/>
        <v>2200 LESTER ST</v>
      </c>
      <c r="C12487" t="str">
        <f t="shared" si="4630"/>
        <v/>
      </c>
      <c r="D12487" t="str">
        <f t="shared" si="4631"/>
        <v>QUANTICO</v>
      </c>
      <c r="E12487" t="str">
        <f t="shared" si="4632"/>
        <v>VA</v>
      </c>
      <c r="F12487" t="str">
        <f t="shared" si="4636"/>
        <v>221345050</v>
      </c>
      <c r="G12487" t="str">
        <f t="shared" si="4637"/>
        <v>2200 LESTER ST</v>
      </c>
      <c r="H12487" t="str">
        <f t="shared" si="4629"/>
        <v/>
      </c>
      <c r="I12487" t="str">
        <f t="shared" si="4633"/>
        <v>QUANTICO</v>
      </c>
      <c r="J12487" t="str">
        <f t="shared" si="4634"/>
        <v>VA</v>
      </c>
      <c r="K12487" t="str">
        <f t="shared" si="4638"/>
        <v/>
      </c>
      <c r="L12487" t="str">
        <f>T("7034322828")</f>
        <v>7034322828</v>
      </c>
    </row>
    <row r="12488" spans="1:12" x14ac:dyDescent="0.35">
      <c r="A12488" t="str">
        <f t="shared" si="4627"/>
        <v>SYSCOM</v>
      </c>
      <c r="B12488" t="str">
        <f t="shared" si="4635"/>
        <v>2200 LESTER ST</v>
      </c>
      <c r="C12488" t="str">
        <f t="shared" si="4630"/>
        <v/>
      </c>
      <c r="D12488" t="str">
        <f t="shared" si="4631"/>
        <v>QUANTICO</v>
      </c>
      <c r="E12488" t="str">
        <f t="shared" si="4632"/>
        <v>VA</v>
      </c>
      <c r="F12488" t="str">
        <f t="shared" si="4636"/>
        <v>221345050</v>
      </c>
      <c r="G12488" t="str">
        <f t="shared" si="4637"/>
        <v>2200 LESTER ST</v>
      </c>
      <c r="H12488" t="str">
        <f t="shared" si="4629"/>
        <v/>
      </c>
      <c r="I12488" t="str">
        <f t="shared" si="4633"/>
        <v>QUANTICO</v>
      </c>
      <c r="J12488" t="str">
        <f t="shared" si="4634"/>
        <v>VA</v>
      </c>
      <c r="K12488" t="str">
        <f t="shared" si="4638"/>
        <v/>
      </c>
      <c r="L12488" t="str">
        <f>T("7034323846")</f>
        <v>7034323846</v>
      </c>
    </row>
    <row r="12489" spans="1:12" x14ac:dyDescent="0.35">
      <c r="A12489" t="str">
        <f t="shared" si="4627"/>
        <v>SYSCOM</v>
      </c>
      <c r="B12489" t="str">
        <f t="shared" si="4635"/>
        <v>2200 LESTER ST</v>
      </c>
      <c r="C12489" t="str">
        <f t="shared" si="4630"/>
        <v/>
      </c>
      <c r="D12489" t="str">
        <f t="shared" si="4631"/>
        <v>QUANTICO</v>
      </c>
      <c r="E12489" t="str">
        <f t="shared" si="4632"/>
        <v>VA</v>
      </c>
      <c r="F12489" t="str">
        <f t="shared" si="4636"/>
        <v>221345050</v>
      </c>
      <c r="G12489" t="str">
        <f t="shared" si="4637"/>
        <v>2200 LESTER ST</v>
      </c>
      <c r="H12489" t="str">
        <f t="shared" si="4629"/>
        <v/>
      </c>
      <c r="I12489" t="str">
        <f t="shared" si="4633"/>
        <v>QUANTICO</v>
      </c>
      <c r="J12489" t="str">
        <f t="shared" si="4634"/>
        <v>VA</v>
      </c>
      <c r="K12489" t="str">
        <f t="shared" si="4638"/>
        <v/>
      </c>
      <c r="L12489" t="str">
        <f>T("7034325316")</f>
        <v>7034325316</v>
      </c>
    </row>
    <row r="12490" spans="1:12" x14ac:dyDescent="0.35">
      <c r="A12490" t="str">
        <f t="shared" si="4627"/>
        <v>SYSCOM</v>
      </c>
      <c r="B12490" t="str">
        <f t="shared" si="4635"/>
        <v>2200 LESTER ST</v>
      </c>
      <c r="C12490" t="str">
        <f t="shared" si="4630"/>
        <v/>
      </c>
      <c r="D12490" t="str">
        <f t="shared" si="4631"/>
        <v>QUANTICO</v>
      </c>
      <c r="E12490" t="str">
        <f t="shared" si="4632"/>
        <v>VA</v>
      </c>
      <c r="F12490" t="str">
        <f t="shared" si="4636"/>
        <v>221345050</v>
      </c>
      <c r="G12490" t="str">
        <f t="shared" si="4637"/>
        <v>2200 LESTER ST</v>
      </c>
      <c r="H12490" t="str">
        <f t="shared" si="4629"/>
        <v/>
      </c>
      <c r="I12490" t="str">
        <f t="shared" si="4633"/>
        <v>QUANTICO</v>
      </c>
      <c r="J12490" t="str">
        <f t="shared" si="4634"/>
        <v>VA</v>
      </c>
      <c r="K12490" t="str">
        <f t="shared" si="4638"/>
        <v/>
      </c>
      <c r="L12490" t="str">
        <f>T("7034325958")</f>
        <v>7034325958</v>
      </c>
    </row>
    <row r="12491" spans="1:12" x14ac:dyDescent="0.35">
      <c r="A12491" t="str">
        <f t="shared" si="4627"/>
        <v>SYSCOM</v>
      </c>
      <c r="B12491" t="str">
        <f t="shared" si="4635"/>
        <v>2200 LESTER ST</v>
      </c>
      <c r="C12491" t="str">
        <f t="shared" si="4630"/>
        <v/>
      </c>
      <c r="D12491" t="str">
        <f t="shared" si="4631"/>
        <v>QUANTICO</v>
      </c>
      <c r="E12491" t="str">
        <f t="shared" si="4632"/>
        <v>VA</v>
      </c>
      <c r="F12491" t="str">
        <f t="shared" si="4636"/>
        <v>221345050</v>
      </c>
      <c r="G12491" t="str">
        <f t="shared" si="4637"/>
        <v>2200 LESTER ST</v>
      </c>
      <c r="H12491" t="str">
        <f t="shared" si="4629"/>
        <v/>
      </c>
      <c r="I12491" t="str">
        <f t="shared" si="4633"/>
        <v>QUANTICO</v>
      </c>
      <c r="J12491" t="str">
        <f t="shared" si="4634"/>
        <v>VA</v>
      </c>
      <c r="K12491" t="str">
        <f t="shared" si="4638"/>
        <v/>
      </c>
      <c r="L12491" t="str">
        <f>T("7034923373")</f>
        <v>7034923373</v>
      </c>
    </row>
    <row r="12492" spans="1:12" x14ac:dyDescent="0.35">
      <c r="A12492" t="str">
        <f t="shared" si="4627"/>
        <v>SYSCOM</v>
      </c>
      <c r="B12492" t="str">
        <f t="shared" si="4635"/>
        <v>2200 LESTER ST</v>
      </c>
      <c r="C12492" t="str">
        <f t="shared" si="4630"/>
        <v/>
      </c>
      <c r="D12492" t="str">
        <f t="shared" si="4631"/>
        <v>QUANTICO</v>
      </c>
      <c r="E12492" t="str">
        <f t="shared" si="4632"/>
        <v>VA</v>
      </c>
      <c r="F12492" t="str">
        <f t="shared" si="4636"/>
        <v>221345050</v>
      </c>
      <c r="G12492" t="str">
        <f t="shared" si="4637"/>
        <v>2200 LESTER ST</v>
      </c>
      <c r="H12492" t="str">
        <f t="shared" si="4629"/>
        <v/>
      </c>
      <c r="I12492" t="str">
        <f t="shared" si="4633"/>
        <v>QUANTICO</v>
      </c>
      <c r="J12492" t="str">
        <f t="shared" si="4634"/>
        <v>VA</v>
      </c>
      <c r="K12492" t="str">
        <f t="shared" ref="K12492:K12501" si="4639">T("000000000000000000")</f>
        <v>000000000000000000</v>
      </c>
      <c r="L12492" t="str">
        <f>T("7034323012")</f>
        <v>7034323012</v>
      </c>
    </row>
    <row r="12493" spans="1:12" x14ac:dyDescent="0.35">
      <c r="A12493" t="str">
        <f t="shared" si="4627"/>
        <v>SYSCOM</v>
      </c>
      <c r="B12493" t="str">
        <f t="shared" si="4635"/>
        <v>2200 LESTER ST</v>
      </c>
      <c r="C12493" t="str">
        <f t="shared" si="4630"/>
        <v/>
      </c>
      <c r="D12493" t="str">
        <f t="shared" si="4631"/>
        <v>QUANTICO</v>
      </c>
      <c r="E12493" t="str">
        <f t="shared" si="4632"/>
        <v>VA</v>
      </c>
      <c r="F12493" t="str">
        <f t="shared" si="4636"/>
        <v>221345050</v>
      </c>
      <c r="G12493" t="str">
        <f t="shared" si="4637"/>
        <v>2200 LESTER ST</v>
      </c>
      <c r="H12493" t="str">
        <f t="shared" si="4629"/>
        <v/>
      </c>
      <c r="I12493" t="str">
        <f t="shared" si="4633"/>
        <v>QUANTICO</v>
      </c>
      <c r="J12493" t="str">
        <f t="shared" si="4634"/>
        <v>VA</v>
      </c>
      <c r="K12493" t="str">
        <f t="shared" si="4639"/>
        <v>000000000000000000</v>
      </c>
      <c r="L12493" t="str">
        <f>T("7034323229")</f>
        <v>7034323229</v>
      </c>
    </row>
    <row r="12494" spans="1:12" x14ac:dyDescent="0.35">
      <c r="A12494" t="str">
        <f t="shared" si="4627"/>
        <v>SYSCOM</v>
      </c>
      <c r="B12494" t="str">
        <f t="shared" si="4635"/>
        <v>2200 LESTER ST</v>
      </c>
      <c r="C12494" t="str">
        <f t="shared" si="4630"/>
        <v/>
      </c>
      <c r="D12494" t="str">
        <f t="shared" si="4631"/>
        <v>QUANTICO</v>
      </c>
      <c r="E12494" t="str">
        <f t="shared" si="4632"/>
        <v>VA</v>
      </c>
      <c r="F12494" t="str">
        <f t="shared" si="4636"/>
        <v>221345050</v>
      </c>
      <c r="G12494" t="str">
        <f t="shared" si="4637"/>
        <v>2200 LESTER ST</v>
      </c>
      <c r="H12494" t="str">
        <f t="shared" si="4629"/>
        <v/>
      </c>
      <c r="I12494" t="str">
        <f t="shared" si="4633"/>
        <v>QUANTICO</v>
      </c>
      <c r="J12494" t="str">
        <f t="shared" si="4634"/>
        <v>VA</v>
      </c>
      <c r="K12494" t="str">
        <f t="shared" si="4639"/>
        <v>000000000000000000</v>
      </c>
      <c r="L12494" t="str">
        <f>T("7034324068")</f>
        <v>7034324068</v>
      </c>
    </row>
    <row r="12495" spans="1:12" x14ac:dyDescent="0.35">
      <c r="A12495" t="str">
        <f t="shared" si="4627"/>
        <v>SYSCOM</v>
      </c>
      <c r="B12495" t="str">
        <f t="shared" si="4635"/>
        <v>2200 LESTER ST</v>
      </c>
      <c r="C12495" t="str">
        <f t="shared" si="4630"/>
        <v/>
      </c>
      <c r="D12495" t="str">
        <f t="shared" si="4631"/>
        <v>QUANTICO</v>
      </c>
      <c r="E12495" t="str">
        <f t="shared" si="4632"/>
        <v>VA</v>
      </c>
      <c r="F12495" t="str">
        <f t="shared" si="4636"/>
        <v>221345050</v>
      </c>
      <c r="G12495" t="str">
        <f t="shared" si="4637"/>
        <v>2200 LESTER ST</v>
      </c>
      <c r="H12495" t="str">
        <f t="shared" si="4629"/>
        <v/>
      </c>
      <c r="I12495" t="str">
        <f t="shared" si="4633"/>
        <v>QUANTICO</v>
      </c>
      <c r="J12495" t="str">
        <f t="shared" si="4634"/>
        <v>VA</v>
      </c>
      <c r="K12495" t="str">
        <f t="shared" si="4639"/>
        <v>000000000000000000</v>
      </c>
      <c r="L12495" t="str">
        <f>T("7034324281")</f>
        <v>7034324281</v>
      </c>
    </row>
    <row r="12496" spans="1:12" x14ac:dyDescent="0.35">
      <c r="A12496" t="str">
        <f t="shared" si="4627"/>
        <v>SYSCOM</v>
      </c>
      <c r="B12496" t="str">
        <f t="shared" si="4635"/>
        <v>2200 LESTER ST</v>
      </c>
      <c r="C12496" t="str">
        <f t="shared" si="4630"/>
        <v/>
      </c>
      <c r="D12496" t="str">
        <f t="shared" si="4631"/>
        <v>QUANTICO</v>
      </c>
      <c r="E12496" t="str">
        <f t="shared" si="4632"/>
        <v>VA</v>
      </c>
      <c r="F12496" t="str">
        <f t="shared" si="4636"/>
        <v>221345050</v>
      </c>
      <c r="G12496" t="str">
        <f t="shared" si="4637"/>
        <v>2200 LESTER ST</v>
      </c>
      <c r="H12496" t="str">
        <f t="shared" si="4629"/>
        <v/>
      </c>
      <c r="I12496" t="str">
        <f t="shared" si="4633"/>
        <v>QUANTICO</v>
      </c>
      <c r="J12496" t="str">
        <f t="shared" si="4634"/>
        <v>VA</v>
      </c>
      <c r="K12496" t="str">
        <f t="shared" si="4639"/>
        <v>000000000000000000</v>
      </c>
      <c r="L12496" t="str">
        <f>T("7034324408")</f>
        <v>7034324408</v>
      </c>
    </row>
    <row r="12497" spans="1:12" x14ac:dyDescent="0.35">
      <c r="A12497" t="str">
        <f t="shared" si="4627"/>
        <v>SYSCOM</v>
      </c>
      <c r="B12497" t="str">
        <f t="shared" si="4635"/>
        <v>2200 LESTER ST</v>
      </c>
      <c r="C12497" t="str">
        <f t="shared" si="4630"/>
        <v/>
      </c>
      <c r="D12497" t="str">
        <f t="shared" si="4631"/>
        <v>QUANTICO</v>
      </c>
      <c r="E12497" t="str">
        <f t="shared" si="4632"/>
        <v>VA</v>
      </c>
      <c r="F12497" t="str">
        <f t="shared" si="4636"/>
        <v>221345050</v>
      </c>
      <c r="G12497" t="str">
        <f t="shared" si="4637"/>
        <v>2200 LESTER ST</v>
      </c>
      <c r="H12497" t="str">
        <f t="shared" si="4629"/>
        <v/>
      </c>
      <c r="I12497" t="str">
        <f t="shared" si="4633"/>
        <v>QUANTICO</v>
      </c>
      <c r="J12497" t="str">
        <f t="shared" si="4634"/>
        <v>VA</v>
      </c>
      <c r="K12497" t="str">
        <f t="shared" si="4639"/>
        <v>000000000000000000</v>
      </c>
      <c r="L12497" t="str">
        <f>T("7037841349")</f>
        <v>7037841349</v>
      </c>
    </row>
    <row r="12498" spans="1:12" x14ac:dyDescent="0.35">
      <c r="A12498" t="str">
        <f t="shared" si="4627"/>
        <v>SYSCOM</v>
      </c>
      <c r="B12498" t="str">
        <f t="shared" si="4635"/>
        <v>2200 LESTER ST</v>
      </c>
      <c r="C12498" t="str">
        <f t="shared" si="4630"/>
        <v/>
      </c>
      <c r="D12498" t="str">
        <f t="shared" si="4631"/>
        <v>QUANTICO</v>
      </c>
      <c r="E12498" t="str">
        <f t="shared" si="4632"/>
        <v>VA</v>
      </c>
      <c r="F12498" t="str">
        <f t="shared" si="4636"/>
        <v>221345050</v>
      </c>
      <c r="G12498" t="str">
        <f t="shared" si="4637"/>
        <v>2200 LESTER ST</v>
      </c>
      <c r="H12498" t="str">
        <f t="shared" si="4629"/>
        <v/>
      </c>
      <c r="I12498" t="str">
        <f t="shared" si="4633"/>
        <v>QUANTICO</v>
      </c>
      <c r="J12498" t="str">
        <f t="shared" si="4634"/>
        <v>VA</v>
      </c>
      <c r="K12498" t="str">
        <f t="shared" si="4639"/>
        <v>000000000000000000</v>
      </c>
      <c r="L12498" t="str">
        <f>T("7037842916")</f>
        <v>7037842916</v>
      </c>
    </row>
    <row r="12499" spans="1:12" x14ac:dyDescent="0.35">
      <c r="A12499" t="str">
        <f t="shared" si="4627"/>
        <v>SYSCOM</v>
      </c>
      <c r="B12499" t="str">
        <f t="shared" si="4635"/>
        <v>2200 LESTER ST</v>
      </c>
      <c r="C12499" t="str">
        <f t="shared" si="4630"/>
        <v/>
      </c>
      <c r="D12499" t="str">
        <f t="shared" si="4631"/>
        <v>QUANTICO</v>
      </c>
      <c r="E12499" t="str">
        <f t="shared" si="4632"/>
        <v>VA</v>
      </c>
      <c r="F12499" t="str">
        <f t="shared" si="4636"/>
        <v>221345050</v>
      </c>
      <c r="G12499" t="str">
        <f t="shared" ref="G12499:G12504" si="4640">T("2200 LESTER STREET")</f>
        <v>2200 LESTER STREET</v>
      </c>
      <c r="H12499" t="str">
        <f t="shared" si="4629"/>
        <v/>
      </c>
      <c r="I12499" t="str">
        <f t="shared" si="4633"/>
        <v>QUANTICO</v>
      </c>
      <c r="J12499" t="str">
        <f t="shared" si="4634"/>
        <v>VA</v>
      </c>
      <c r="K12499" t="str">
        <f t="shared" si="4639"/>
        <v>000000000000000000</v>
      </c>
      <c r="L12499" t="str">
        <f>T("7034323262")</f>
        <v>7034323262</v>
      </c>
    </row>
    <row r="12500" spans="1:12" x14ac:dyDescent="0.35">
      <c r="A12500" t="str">
        <f t="shared" si="4627"/>
        <v>SYSCOM</v>
      </c>
      <c r="B12500" t="str">
        <f t="shared" si="4635"/>
        <v>2200 LESTER ST</v>
      </c>
      <c r="C12500" t="str">
        <f t="shared" si="4630"/>
        <v/>
      </c>
      <c r="D12500" t="str">
        <f t="shared" si="4631"/>
        <v>QUANTICO</v>
      </c>
      <c r="E12500" t="str">
        <f t="shared" si="4632"/>
        <v>VA</v>
      </c>
      <c r="F12500" t="str">
        <f t="shared" si="4636"/>
        <v>221345050</v>
      </c>
      <c r="G12500" t="str">
        <f t="shared" si="4640"/>
        <v>2200 LESTER STREET</v>
      </c>
      <c r="H12500" t="str">
        <f t="shared" si="4629"/>
        <v/>
      </c>
      <c r="I12500" t="str">
        <f t="shared" si="4633"/>
        <v>QUANTICO</v>
      </c>
      <c r="J12500" t="str">
        <f t="shared" si="4634"/>
        <v>VA</v>
      </c>
      <c r="K12500" t="str">
        <f t="shared" si="4639"/>
        <v>000000000000000000</v>
      </c>
      <c r="L12500" t="str">
        <f>T("7034325798")</f>
        <v>7034325798</v>
      </c>
    </row>
    <row r="12501" spans="1:12" x14ac:dyDescent="0.35">
      <c r="A12501" t="str">
        <f t="shared" si="4627"/>
        <v>SYSCOM</v>
      </c>
      <c r="B12501" t="str">
        <f t="shared" si="4635"/>
        <v>2200 LESTER ST</v>
      </c>
      <c r="C12501" t="str">
        <f t="shared" si="4630"/>
        <v/>
      </c>
      <c r="D12501" t="str">
        <f t="shared" si="4631"/>
        <v>QUANTICO</v>
      </c>
      <c r="E12501" t="str">
        <f t="shared" si="4632"/>
        <v>VA</v>
      </c>
      <c r="F12501" t="str">
        <f t="shared" si="4636"/>
        <v>221345050</v>
      </c>
      <c r="G12501" t="str">
        <f t="shared" si="4640"/>
        <v>2200 LESTER STREET</v>
      </c>
      <c r="H12501" t="str">
        <f t="shared" si="4629"/>
        <v/>
      </c>
      <c r="I12501" t="str">
        <f t="shared" si="4633"/>
        <v>QUANTICO</v>
      </c>
      <c r="J12501" t="str">
        <f t="shared" si="4634"/>
        <v>VA</v>
      </c>
      <c r="K12501" t="str">
        <f t="shared" si="4639"/>
        <v>000000000000000000</v>
      </c>
      <c r="L12501" t="str">
        <f>T("7034329859")</f>
        <v>7034329859</v>
      </c>
    </row>
    <row r="12502" spans="1:12" x14ac:dyDescent="0.35">
      <c r="A12502" t="str">
        <f t="shared" si="4627"/>
        <v>SYSCOM</v>
      </c>
      <c r="B12502" t="str">
        <f t="shared" si="4635"/>
        <v>2200 LESTER ST</v>
      </c>
      <c r="C12502" t="str">
        <f t="shared" si="4630"/>
        <v/>
      </c>
      <c r="D12502" t="str">
        <f t="shared" si="4631"/>
        <v>QUANTICO</v>
      </c>
      <c r="E12502" t="str">
        <f t="shared" si="4632"/>
        <v>VA</v>
      </c>
      <c r="F12502" t="str">
        <f t="shared" si="4636"/>
        <v>221345050</v>
      </c>
      <c r="G12502" t="str">
        <f t="shared" si="4640"/>
        <v>2200 LESTER STREET</v>
      </c>
      <c r="H12502" t="str">
        <f t="shared" si="4629"/>
        <v/>
      </c>
      <c r="I12502" t="str">
        <f t="shared" si="4633"/>
        <v>QUANTICO</v>
      </c>
      <c r="J12502" t="str">
        <f t="shared" si="4634"/>
        <v>VA</v>
      </c>
      <c r="K12502" t="str">
        <f>T("70343238751")</f>
        <v>70343238751</v>
      </c>
      <c r="L12502" t="str">
        <f>T("1111111111")</f>
        <v>1111111111</v>
      </c>
    </row>
    <row r="12503" spans="1:12" x14ac:dyDescent="0.35">
      <c r="A12503" t="str">
        <f t="shared" si="4627"/>
        <v>SYSCOM</v>
      </c>
      <c r="B12503" t="str">
        <f t="shared" si="4635"/>
        <v>2200 LESTER ST</v>
      </c>
      <c r="C12503" t="str">
        <f t="shared" si="4630"/>
        <v/>
      </c>
      <c r="D12503" t="str">
        <f t="shared" si="4631"/>
        <v>QUANTICO</v>
      </c>
      <c r="E12503" t="str">
        <f t="shared" si="4632"/>
        <v>VA</v>
      </c>
      <c r="F12503" t="str">
        <f t="shared" si="4636"/>
        <v>221345050</v>
      </c>
      <c r="G12503" t="str">
        <f t="shared" si="4640"/>
        <v>2200 LESTER STREET</v>
      </c>
      <c r="H12503" t="str">
        <f>T("ATTN AMMO")</f>
        <v>ATTN AMMO</v>
      </c>
      <c r="I12503" t="str">
        <f t="shared" si="4633"/>
        <v>QUANTICO</v>
      </c>
      <c r="J12503" t="str">
        <f t="shared" si="4634"/>
        <v>VA</v>
      </c>
      <c r="K12503" t="str">
        <f>T("000000000000000000")</f>
        <v>000000000000000000</v>
      </c>
      <c r="L12503" t="str">
        <f>T("7034328766")</f>
        <v>7034328766</v>
      </c>
    </row>
    <row r="12504" spans="1:12" x14ac:dyDescent="0.35">
      <c r="A12504" t="str">
        <f t="shared" si="4627"/>
        <v>SYSCOM</v>
      </c>
      <c r="B12504" t="str">
        <f t="shared" si="4635"/>
        <v>2200 LESTER ST</v>
      </c>
      <c r="C12504" t="str">
        <f t="shared" si="4630"/>
        <v/>
      </c>
      <c r="D12504" t="str">
        <f t="shared" si="4631"/>
        <v>QUANTICO</v>
      </c>
      <c r="E12504" t="str">
        <f t="shared" si="4632"/>
        <v>VA</v>
      </c>
      <c r="F12504" t="str">
        <f t="shared" si="4636"/>
        <v>221345050</v>
      </c>
      <c r="G12504" t="str">
        <f t="shared" si="4640"/>
        <v>2200 LESTER STREET</v>
      </c>
      <c r="H12504" t="str">
        <f>T("WMD")</f>
        <v>WMD</v>
      </c>
      <c r="I12504" t="str">
        <f t="shared" si="4633"/>
        <v>QUANTICO</v>
      </c>
      <c r="J12504" t="str">
        <f t="shared" si="4634"/>
        <v>VA</v>
      </c>
      <c r="K12504" t="str">
        <f>T("000000000000000000")</f>
        <v>000000000000000000</v>
      </c>
      <c r="L12504" t="str">
        <f>T("7034324458")</f>
        <v>7034324458</v>
      </c>
    </row>
    <row r="12505" spans="1:12" x14ac:dyDescent="0.35">
      <c r="A12505" t="str">
        <f t="shared" si="4627"/>
        <v>SYSCOM</v>
      </c>
      <c r="B12505" t="str">
        <f t="shared" si="4635"/>
        <v>2200 LESTER ST</v>
      </c>
      <c r="C12505" t="str">
        <f t="shared" si="4630"/>
        <v/>
      </c>
      <c r="D12505" t="str">
        <f t="shared" si="4631"/>
        <v>QUANTICO</v>
      </c>
      <c r="E12505" t="str">
        <f t="shared" si="4632"/>
        <v>VA</v>
      </c>
      <c r="F12505" t="str">
        <f t="shared" si="4636"/>
        <v>221345050</v>
      </c>
      <c r="G12505" t="str">
        <f>T("MARCORSYSCOM")</f>
        <v>MARCORSYSCOM</v>
      </c>
      <c r="H12505" t="str">
        <f>T("2200 LESTER ST")</f>
        <v>2200 LESTER ST</v>
      </c>
      <c r="I12505" t="str">
        <f t="shared" si="4633"/>
        <v>QUANTICO</v>
      </c>
      <c r="J12505" t="str">
        <f t="shared" si="4634"/>
        <v>VA</v>
      </c>
      <c r="K12505" t="str">
        <f>T("000000000000000000")</f>
        <v>000000000000000000</v>
      </c>
      <c r="L12505" t="str">
        <f>T("7034324307")</f>
        <v>7034324307</v>
      </c>
    </row>
    <row r="12506" spans="1:12" x14ac:dyDescent="0.35">
      <c r="A12506" t="str">
        <f t="shared" si="4627"/>
        <v>SYSCOM</v>
      </c>
      <c r="B12506" t="str">
        <f t="shared" si="4635"/>
        <v>2200 LESTER ST</v>
      </c>
      <c r="C12506" t="str">
        <f>T("ATTN CTQ")</f>
        <v>ATTN CTQ</v>
      </c>
      <c r="D12506" t="str">
        <f t="shared" si="4631"/>
        <v>QUANTICO</v>
      </c>
      <c r="E12506" t="str">
        <f t="shared" si="4632"/>
        <v>VA</v>
      </c>
      <c r="F12506" t="str">
        <f t="shared" si="4636"/>
        <v>221345050</v>
      </c>
      <c r="G12506" t="str">
        <f>T("2200 LESTER ST")</f>
        <v>2200 LESTER ST</v>
      </c>
      <c r="H12506" t="str">
        <f>T("")</f>
        <v/>
      </c>
      <c r="I12506" t="str">
        <f t="shared" si="4633"/>
        <v>QUANTICO</v>
      </c>
      <c r="J12506" t="str">
        <f t="shared" si="4634"/>
        <v>VA</v>
      </c>
      <c r="K12506" t="str">
        <f>T("000000000000000000")</f>
        <v>000000000000000000</v>
      </c>
      <c r="L12506" t="str">
        <f>T("7034323168")</f>
        <v>7034323168</v>
      </c>
    </row>
    <row r="12507" spans="1:12" x14ac:dyDescent="0.35">
      <c r="A12507" t="str">
        <f t="shared" ref="A12507:A12538" si="4641">T("SYSCOM")</f>
        <v>SYSCOM</v>
      </c>
      <c r="B12507" t="str">
        <f t="shared" si="4635"/>
        <v>2200 LESTER ST</v>
      </c>
      <c r="C12507" t="str">
        <f>T("ATTN CTQ")</f>
        <v>ATTN CTQ</v>
      </c>
      <c r="D12507" t="str">
        <f t="shared" si="4631"/>
        <v>QUANTICO</v>
      </c>
      <c r="E12507" t="str">
        <f t="shared" si="4632"/>
        <v>VA</v>
      </c>
      <c r="F12507" t="str">
        <f t="shared" si="4636"/>
        <v>221345050</v>
      </c>
      <c r="G12507" t="str">
        <f>T("2200 LESTER ST")</f>
        <v>2200 LESTER ST</v>
      </c>
      <c r="H12507" t="str">
        <f>T("ATTN CTQ")</f>
        <v>ATTN CTQ</v>
      </c>
      <c r="I12507" t="str">
        <f t="shared" si="4633"/>
        <v>QUANTICO</v>
      </c>
      <c r="J12507" t="str">
        <f t="shared" si="4634"/>
        <v>VA</v>
      </c>
      <c r="K12507" t="str">
        <f>T("")</f>
        <v/>
      </c>
      <c r="L12507" t="str">
        <f>T("7034323148")</f>
        <v>7034323148</v>
      </c>
    </row>
    <row r="12508" spans="1:12" x14ac:dyDescent="0.35">
      <c r="A12508" t="str">
        <f t="shared" si="4641"/>
        <v>SYSCOM</v>
      </c>
      <c r="B12508" t="str">
        <f t="shared" si="4635"/>
        <v>2200 LESTER ST</v>
      </c>
      <c r="C12508" t="str">
        <f>T("ATTN CTQ")</f>
        <v>ATTN CTQ</v>
      </c>
      <c r="D12508" t="str">
        <f t="shared" si="4631"/>
        <v>QUANTICO</v>
      </c>
      <c r="E12508" t="str">
        <f t="shared" si="4632"/>
        <v>VA</v>
      </c>
      <c r="F12508" t="str">
        <f t="shared" si="4636"/>
        <v>221345050</v>
      </c>
      <c r="G12508" t="str">
        <f>T("2200 LESTER STREET")</f>
        <v>2200 LESTER STREET</v>
      </c>
      <c r="H12508" t="str">
        <f>T("")</f>
        <v/>
      </c>
      <c r="I12508" t="str">
        <f t="shared" si="4633"/>
        <v>QUANTICO</v>
      </c>
      <c r="J12508" t="str">
        <f t="shared" si="4634"/>
        <v>VA</v>
      </c>
      <c r="K12508" t="str">
        <f t="shared" ref="K12508:K12516" si="4642">T("000000000000000000")</f>
        <v>000000000000000000</v>
      </c>
      <c r="L12508" t="str">
        <f>T("7034323949")</f>
        <v>7034323949</v>
      </c>
    </row>
    <row r="12509" spans="1:12" x14ac:dyDescent="0.35">
      <c r="A12509" t="str">
        <f t="shared" si="4641"/>
        <v>SYSCOM</v>
      </c>
      <c r="B12509" t="str">
        <f t="shared" si="4635"/>
        <v>2200 LESTER ST</v>
      </c>
      <c r="C12509" t="str">
        <f>T("ATTN CTQ")</f>
        <v>ATTN CTQ</v>
      </c>
      <c r="D12509" t="str">
        <f t="shared" si="4631"/>
        <v>QUANTICO</v>
      </c>
      <c r="E12509" t="str">
        <f t="shared" si="4632"/>
        <v>VA</v>
      </c>
      <c r="F12509" t="str">
        <f t="shared" si="4636"/>
        <v>221345050</v>
      </c>
      <c r="G12509" t="str">
        <f>T("CONTRACTS")</f>
        <v>CONTRACTS</v>
      </c>
      <c r="H12509" t="str">
        <f>T("2200 LESTER STREET")</f>
        <v>2200 LESTER STREET</v>
      </c>
      <c r="I12509" t="str">
        <f t="shared" si="4633"/>
        <v>QUANTICO</v>
      </c>
      <c r="J12509" t="str">
        <f t="shared" si="4634"/>
        <v>VA</v>
      </c>
      <c r="K12509" t="str">
        <f t="shared" si="4642"/>
        <v>000000000000000000</v>
      </c>
      <c r="L12509" t="str">
        <f>T("7034323949")</f>
        <v>7034323949</v>
      </c>
    </row>
    <row r="12510" spans="1:12" x14ac:dyDescent="0.35">
      <c r="A12510" t="str">
        <f t="shared" si="4641"/>
        <v>SYSCOM</v>
      </c>
      <c r="B12510" t="str">
        <f t="shared" si="4635"/>
        <v>2200 LESTER ST</v>
      </c>
      <c r="C12510" t="str">
        <f>T("ATTN SECURITY")</f>
        <v>ATTN SECURITY</v>
      </c>
      <c r="D12510" t="str">
        <f t="shared" si="4631"/>
        <v>QUANTICO</v>
      </c>
      <c r="E12510" t="str">
        <f t="shared" si="4632"/>
        <v>VA</v>
      </c>
      <c r="F12510" t="str">
        <f t="shared" si="4636"/>
        <v>221345050</v>
      </c>
      <c r="G12510" t="str">
        <f>T("2200 LESTER ST")</f>
        <v>2200 LESTER ST</v>
      </c>
      <c r="H12510" t="str">
        <f>T("")</f>
        <v/>
      </c>
      <c r="I12510" t="str">
        <f t="shared" si="4633"/>
        <v>QUANTICO</v>
      </c>
      <c r="J12510" t="str">
        <f t="shared" si="4634"/>
        <v>VA</v>
      </c>
      <c r="K12510" t="str">
        <f t="shared" si="4642"/>
        <v>000000000000000000</v>
      </c>
      <c r="L12510" t="str">
        <f>T("7034323490")</f>
        <v>7034323490</v>
      </c>
    </row>
    <row r="12511" spans="1:12" x14ac:dyDescent="0.35">
      <c r="A12511" t="str">
        <f t="shared" si="4641"/>
        <v>SYSCOM</v>
      </c>
      <c r="B12511" t="str">
        <f t="shared" si="4635"/>
        <v>2200 LESTER ST</v>
      </c>
      <c r="C12511" t="str">
        <f>T("ATTN SECURITY")</f>
        <v>ATTN SECURITY</v>
      </c>
      <c r="D12511" t="str">
        <f t="shared" si="4631"/>
        <v>QUANTICO</v>
      </c>
      <c r="E12511" t="str">
        <f t="shared" si="4632"/>
        <v>VA</v>
      </c>
      <c r="F12511" t="str">
        <f t="shared" si="4636"/>
        <v>221345050</v>
      </c>
      <c r="G12511" t="str">
        <f>T("2200 LESTER ST")</f>
        <v>2200 LESTER ST</v>
      </c>
      <c r="H12511" t="str">
        <f>T("ATTN SECURITY")</f>
        <v>ATTN SECURITY</v>
      </c>
      <c r="I12511" t="str">
        <f t="shared" si="4633"/>
        <v>QUANTICO</v>
      </c>
      <c r="J12511" t="str">
        <f t="shared" si="4634"/>
        <v>VA</v>
      </c>
      <c r="K12511" t="str">
        <f t="shared" si="4642"/>
        <v>000000000000000000</v>
      </c>
      <c r="L12511" t="str">
        <f>T("7037843001")</f>
        <v>7037843001</v>
      </c>
    </row>
    <row r="12512" spans="1:12" x14ac:dyDescent="0.35">
      <c r="A12512" t="str">
        <f t="shared" si="4641"/>
        <v>SYSCOM</v>
      </c>
      <c r="B12512" t="str">
        <f t="shared" si="4635"/>
        <v>2200 LESTER ST</v>
      </c>
      <c r="C12512" t="str">
        <f>T("ATTN SECURITY")</f>
        <v>ATTN SECURITY</v>
      </c>
      <c r="D12512" t="str">
        <f t="shared" si="4631"/>
        <v>QUANTICO</v>
      </c>
      <c r="E12512" t="str">
        <f t="shared" si="4632"/>
        <v>VA</v>
      </c>
      <c r="F12512" t="str">
        <f t="shared" si="4636"/>
        <v>221345050</v>
      </c>
      <c r="G12512" t="str">
        <f>T("2200 LESTER STREET")</f>
        <v>2200 LESTER STREET</v>
      </c>
      <c r="H12512" t="str">
        <f>T("")</f>
        <v/>
      </c>
      <c r="I12512" t="str">
        <f t="shared" si="4633"/>
        <v>QUANTICO</v>
      </c>
      <c r="J12512" t="str">
        <f t="shared" si="4634"/>
        <v>VA</v>
      </c>
      <c r="K12512" t="str">
        <f t="shared" si="4642"/>
        <v>000000000000000000</v>
      </c>
      <c r="L12512" t="str">
        <f>T("7034323952")</f>
        <v>7034323952</v>
      </c>
    </row>
    <row r="12513" spans="1:12" x14ac:dyDescent="0.35">
      <c r="A12513" t="str">
        <f t="shared" si="4641"/>
        <v>SYSCOM</v>
      </c>
      <c r="B12513" t="str">
        <f t="shared" si="4635"/>
        <v>2200 LESTER ST</v>
      </c>
      <c r="C12513" t="str">
        <f t="shared" ref="C12513:C12521" si="4643">T("IWS")</f>
        <v>IWS</v>
      </c>
      <c r="D12513" t="str">
        <f t="shared" si="4631"/>
        <v>QUANTICO</v>
      </c>
      <c r="E12513" t="str">
        <f t="shared" si="4632"/>
        <v>VA</v>
      </c>
      <c r="F12513" t="str">
        <f t="shared" si="4636"/>
        <v>221345050</v>
      </c>
      <c r="G12513" t="str">
        <f>T("2200 LESTER ST")</f>
        <v>2200 LESTER ST</v>
      </c>
      <c r="H12513" t="str">
        <f>T("")</f>
        <v/>
      </c>
      <c r="I12513" t="str">
        <f t="shared" si="4633"/>
        <v>QUANTICO</v>
      </c>
      <c r="J12513" t="str">
        <f t="shared" si="4634"/>
        <v>VA</v>
      </c>
      <c r="K12513" t="str">
        <f t="shared" si="4642"/>
        <v>000000000000000000</v>
      </c>
      <c r="L12513" t="str">
        <f>T("7034323588")</f>
        <v>7034323588</v>
      </c>
    </row>
    <row r="12514" spans="1:12" x14ac:dyDescent="0.35">
      <c r="A12514" t="str">
        <f t="shared" si="4641"/>
        <v>SYSCOM</v>
      </c>
      <c r="B12514" t="str">
        <f t="shared" si="4635"/>
        <v>2200 LESTER ST</v>
      </c>
      <c r="C12514" t="str">
        <f t="shared" si="4643"/>
        <v>IWS</v>
      </c>
      <c r="D12514" t="str">
        <f t="shared" ref="D12514:D12540" si="4644">T("QUANTICO")</f>
        <v>QUANTICO</v>
      </c>
      <c r="E12514" t="str">
        <f t="shared" ref="E12514:E12540" si="4645">T("VA")</f>
        <v>VA</v>
      </c>
      <c r="F12514" t="str">
        <f t="shared" si="4636"/>
        <v>221345050</v>
      </c>
      <c r="G12514" t="str">
        <f>T("2200 LESTER ST")</f>
        <v>2200 LESTER ST</v>
      </c>
      <c r="H12514" t="str">
        <f>T("")</f>
        <v/>
      </c>
      <c r="I12514" t="str">
        <f t="shared" ref="I12514:I12540" si="4646">T("QUANTICO")</f>
        <v>QUANTICO</v>
      </c>
      <c r="J12514" t="str">
        <f t="shared" ref="J12514:J12540" si="4647">T("VA")</f>
        <v>VA</v>
      </c>
      <c r="K12514" t="str">
        <f t="shared" si="4642"/>
        <v>000000000000000000</v>
      </c>
      <c r="L12514" t="str">
        <f>T("7034324940")</f>
        <v>7034324940</v>
      </c>
    </row>
    <row r="12515" spans="1:12" x14ac:dyDescent="0.35">
      <c r="A12515" t="str">
        <f t="shared" si="4641"/>
        <v>SYSCOM</v>
      </c>
      <c r="B12515" t="str">
        <f t="shared" si="4635"/>
        <v>2200 LESTER ST</v>
      </c>
      <c r="C12515" t="str">
        <f t="shared" si="4643"/>
        <v>IWS</v>
      </c>
      <c r="D12515" t="str">
        <f t="shared" si="4644"/>
        <v>QUANTICO</v>
      </c>
      <c r="E12515" t="str">
        <f t="shared" si="4645"/>
        <v>VA</v>
      </c>
      <c r="F12515" t="str">
        <f t="shared" si="4636"/>
        <v>221345050</v>
      </c>
      <c r="G12515" t="str">
        <f>T("2200 LESTER ST")</f>
        <v>2200 LESTER ST</v>
      </c>
      <c r="H12515" t="str">
        <f>T("")</f>
        <v/>
      </c>
      <c r="I12515" t="str">
        <f t="shared" si="4646"/>
        <v>QUANTICO</v>
      </c>
      <c r="J12515" t="str">
        <f t="shared" si="4647"/>
        <v>VA</v>
      </c>
      <c r="K12515" t="str">
        <f t="shared" si="4642"/>
        <v>000000000000000000</v>
      </c>
      <c r="L12515" t="str">
        <f>T("7034325036")</f>
        <v>7034325036</v>
      </c>
    </row>
    <row r="12516" spans="1:12" x14ac:dyDescent="0.35">
      <c r="A12516" t="str">
        <f t="shared" si="4641"/>
        <v>SYSCOM</v>
      </c>
      <c r="B12516" t="str">
        <f t="shared" si="4635"/>
        <v>2200 LESTER ST</v>
      </c>
      <c r="C12516" t="str">
        <f t="shared" si="4643"/>
        <v>IWS</v>
      </c>
      <c r="D12516" t="str">
        <f t="shared" si="4644"/>
        <v>QUANTICO</v>
      </c>
      <c r="E12516" t="str">
        <f t="shared" si="4645"/>
        <v>VA</v>
      </c>
      <c r="F12516" t="str">
        <f t="shared" si="4636"/>
        <v>221345050</v>
      </c>
      <c r="G12516" t="str">
        <f>T("2200 LESTER ST")</f>
        <v>2200 LESTER ST</v>
      </c>
      <c r="H12516" t="str">
        <f>T("")</f>
        <v/>
      </c>
      <c r="I12516" t="str">
        <f t="shared" si="4646"/>
        <v>QUANTICO</v>
      </c>
      <c r="J12516" t="str">
        <f t="shared" si="4647"/>
        <v>VA</v>
      </c>
      <c r="K12516" t="str">
        <f t="shared" si="4642"/>
        <v>000000000000000000</v>
      </c>
      <c r="L12516" t="str">
        <f>T("7034325042")</f>
        <v>7034325042</v>
      </c>
    </row>
    <row r="12517" spans="1:12" x14ac:dyDescent="0.35">
      <c r="A12517" t="str">
        <f t="shared" si="4641"/>
        <v>SYSCOM</v>
      </c>
      <c r="B12517" t="str">
        <f t="shared" si="4635"/>
        <v>2200 LESTER ST</v>
      </c>
      <c r="C12517" t="str">
        <f t="shared" si="4643"/>
        <v>IWS</v>
      </c>
      <c r="D12517" t="str">
        <f t="shared" si="4644"/>
        <v>QUANTICO</v>
      </c>
      <c r="E12517" t="str">
        <f t="shared" si="4645"/>
        <v>VA</v>
      </c>
      <c r="F12517" t="str">
        <f t="shared" si="4636"/>
        <v>221345050</v>
      </c>
      <c r="G12517" t="str">
        <f>T("2200 LESTER ST")</f>
        <v>2200 LESTER ST</v>
      </c>
      <c r="H12517" t="str">
        <f>T("IWS")</f>
        <v>IWS</v>
      </c>
      <c r="I12517" t="str">
        <f t="shared" si="4646"/>
        <v>QUANTICO</v>
      </c>
      <c r="J12517" t="str">
        <f t="shared" si="4647"/>
        <v>VA</v>
      </c>
      <c r="K12517" t="str">
        <f>T("")</f>
        <v/>
      </c>
      <c r="L12517" t="str">
        <f>T("7034325665")</f>
        <v>7034325665</v>
      </c>
    </row>
    <row r="12518" spans="1:12" x14ac:dyDescent="0.35">
      <c r="A12518" t="str">
        <f t="shared" si="4641"/>
        <v>SYSCOM</v>
      </c>
      <c r="B12518" t="str">
        <f t="shared" si="4635"/>
        <v>2200 LESTER ST</v>
      </c>
      <c r="C12518" t="str">
        <f t="shared" si="4643"/>
        <v>IWS</v>
      </c>
      <c r="D12518" t="str">
        <f t="shared" si="4644"/>
        <v>QUANTICO</v>
      </c>
      <c r="E12518" t="str">
        <f t="shared" si="4645"/>
        <v>VA</v>
      </c>
      <c r="F12518" t="str">
        <f t="shared" si="4636"/>
        <v>221345050</v>
      </c>
      <c r="G12518" t="str">
        <f>T("2200 LESTER STREET")</f>
        <v>2200 LESTER STREET</v>
      </c>
      <c r="H12518" t="str">
        <f>T("")</f>
        <v/>
      </c>
      <c r="I12518" t="str">
        <f t="shared" si="4646"/>
        <v>QUANTICO</v>
      </c>
      <c r="J12518" t="str">
        <f t="shared" si="4647"/>
        <v>VA</v>
      </c>
      <c r="K12518" t="str">
        <f>T("000000000000000000")</f>
        <v>000000000000000000</v>
      </c>
      <c r="L12518" t="str">
        <f>T("7034323605")</f>
        <v>7034323605</v>
      </c>
    </row>
    <row r="12519" spans="1:12" x14ac:dyDescent="0.35">
      <c r="A12519" t="str">
        <f t="shared" si="4641"/>
        <v>SYSCOM</v>
      </c>
      <c r="B12519" t="str">
        <f t="shared" si="4635"/>
        <v>2200 LESTER ST</v>
      </c>
      <c r="C12519" t="str">
        <f t="shared" si="4643"/>
        <v>IWS</v>
      </c>
      <c r="D12519" t="str">
        <f t="shared" si="4644"/>
        <v>QUANTICO</v>
      </c>
      <c r="E12519" t="str">
        <f t="shared" si="4645"/>
        <v>VA</v>
      </c>
      <c r="F12519" t="str">
        <f t="shared" si="4636"/>
        <v>221345050</v>
      </c>
      <c r="G12519" t="str">
        <f>T("2200 LESTER STREET")</f>
        <v>2200 LESTER STREET</v>
      </c>
      <c r="H12519" t="str">
        <f>T("")</f>
        <v/>
      </c>
      <c r="I12519" t="str">
        <f t="shared" si="4646"/>
        <v>QUANTICO</v>
      </c>
      <c r="J12519" t="str">
        <f t="shared" si="4647"/>
        <v>VA</v>
      </c>
      <c r="K12519" t="str">
        <f>T("000000000000000000")</f>
        <v>000000000000000000</v>
      </c>
      <c r="L12519" t="str">
        <f>T("7034324917")</f>
        <v>7034324917</v>
      </c>
    </row>
    <row r="12520" spans="1:12" x14ac:dyDescent="0.35">
      <c r="A12520" t="str">
        <f t="shared" si="4641"/>
        <v>SYSCOM</v>
      </c>
      <c r="B12520" t="str">
        <f t="shared" si="4635"/>
        <v>2200 LESTER ST</v>
      </c>
      <c r="C12520" t="str">
        <f t="shared" si="4643"/>
        <v>IWS</v>
      </c>
      <c r="D12520" t="str">
        <f t="shared" si="4644"/>
        <v>QUANTICO</v>
      </c>
      <c r="E12520" t="str">
        <f t="shared" si="4645"/>
        <v>VA</v>
      </c>
      <c r="F12520" t="str">
        <f t="shared" si="4636"/>
        <v>221345050</v>
      </c>
      <c r="G12520" t="str">
        <f>T("MARCORSYSCOM")</f>
        <v>MARCORSYSCOM</v>
      </c>
      <c r="H12520" t="str">
        <f>T("2200 LESTER ST")</f>
        <v>2200 LESTER ST</v>
      </c>
      <c r="I12520" t="str">
        <f t="shared" si="4646"/>
        <v>QUANTICO</v>
      </c>
      <c r="J12520" t="str">
        <f t="shared" si="4647"/>
        <v>VA</v>
      </c>
      <c r="K12520" t="str">
        <f>T("000000000000000000")</f>
        <v>000000000000000000</v>
      </c>
      <c r="L12520" t="str">
        <f>T("7034324979")</f>
        <v>7034324979</v>
      </c>
    </row>
    <row r="12521" spans="1:12" x14ac:dyDescent="0.35">
      <c r="A12521" t="str">
        <f t="shared" si="4641"/>
        <v>SYSCOM</v>
      </c>
      <c r="B12521" t="str">
        <f t="shared" si="4635"/>
        <v>2200 LESTER ST</v>
      </c>
      <c r="C12521" t="str">
        <f t="shared" si="4643"/>
        <v>IWS</v>
      </c>
      <c r="D12521" t="str">
        <f t="shared" si="4644"/>
        <v>QUANTICO</v>
      </c>
      <c r="E12521" t="str">
        <f t="shared" si="4645"/>
        <v>VA</v>
      </c>
      <c r="F12521" t="str">
        <f t="shared" si="4636"/>
        <v>221345050</v>
      </c>
      <c r="G12521" t="str">
        <f>T("MARCORSYSCOM/PG13")</f>
        <v>MARCORSYSCOM/PG13</v>
      </c>
      <c r="H12521" t="str">
        <f>T("2200 LESTER ST")</f>
        <v>2200 LESTER ST</v>
      </c>
      <c r="I12521" t="str">
        <f t="shared" si="4646"/>
        <v>QUANTICO</v>
      </c>
      <c r="J12521" t="str">
        <f t="shared" si="4647"/>
        <v>VA</v>
      </c>
      <c r="K12521" t="str">
        <f>T("000000000000000000")</f>
        <v>000000000000000000</v>
      </c>
      <c r="L12521" t="str">
        <f>T("7034326139")</f>
        <v>7034326139</v>
      </c>
    </row>
    <row r="12522" spans="1:12" x14ac:dyDescent="0.35">
      <c r="A12522" t="str">
        <f t="shared" si="4641"/>
        <v>SYSCOM</v>
      </c>
      <c r="B12522" t="str">
        <f t="shared" si="4635"/>
        <v>2200 LESTER ST</v>
      </c>
      <c r="C12522" t="str">
        <f>T("MARCORSYSCOM - AC PROG")</f>
        <v>MARCORSYSCOM - AC PROG</v>
      </c>
      <c r="D12522" t="str">
        <f t="shared" si="4644"/>
        <v>QUANTICO</v>
      </c>
      <c r="E12522" t="str">
        <f t="shared" si="4645"/>
        <v>VA</v>
      </c>
      <c r="F12522" t="str">
        <f t="shared" si="4636"/>
        <v>221345050</v>
      </c>
      <c r="G12522" t="str">
        <f>T("2200 LESTER ST")</f>
        <v>2200 LESTER ST</v>
      </c>
      <c r="H12522" t="str">
        <f>T("")</f>
        <v/>
      </c>
      <c r="I12522" t="str">
        <f t="shared" si="4646"/>
        <v>QUANTICO</v>
      </c>
      <c r="J12522" t="str">
        <f t="shared" si="4647"/>
        <v>VA</v>
      </c>
      <c r="K12522" t="str">
        <f>T("000000000000000000")</f>
        <v>000000000000000000</v>
      </c>
      <c r="L12522" t="str">
        <f>T("7034323991")</f>
        <v>7034323991</v>
      </c>
    </row>
    <row r="12523" spans="1:12" x14ac:dyDescent="0.35">
      <c r="A12523" t="str">
        <f t="shared" si="4641"/>
        <v>SYSCOM</v>
      </c>
      <c r="B12523" t="str">
        <f t="shared" si="4635"/>
        <v>2200 LESTER ST</v>
      </c>
      <c r="C12523" t="str">
        <f>T("MARCORSYSCOM - AC PROG")</f>
        <v>MARCORSYSCOM - AC PROG</v>
      </c>
      <c r="D12523" t="str">
        <f t="shared" si="4644"/>
        <v>QUANTICO</v>
      </c>
      <c r="E12523" t="str">
        <f t="shared" si="4645"/>
        <v>VA</v>
      </c>
      <c r="F12523" t="str">
        <f t="shared" si="4636"/>
        <v>221345050</v>
      </c>
      <c r="G12523" t="str">
        <f>T("2200 LESTER ST")</f>
        <v>2200 LESTER ST</v>
      </c>
      <c r="H12523" t="str">
        <f>T("MARCORSYSCOM - AC PROG")</f>
        <v>MARCORSYSCOM - AC PROG</v>
      </c>
      <c r="I12523" t="str">
        <f t="shared" si="4646"/>
        <v>QUANTICO</v>
      </c>
      <c r="J12523" t="str">
        <f t="shared" si="4647"/>
        <v>VA</v>
      </c>
      <c r="K12523" t="str">
        <f>T("")</f>
        <v/>
      </c>
      <c r="L12523" t="str">
        <f>T("7034323023")</f>
        <v>7034323023</v>
      </c>
    </row>
    <row r="12524" spans="1:12" x14ac:dyDescent="0.35">
      <c r="A12524" t="str">
        <f t="shared" si="4641"/>
        <v>SYSCOM</v>
      </c>
      <c r="B12524" t="str">
        <f t="shared" ref="B12524:B12540" si="4648">T("2200 LESTER STREET")</f>
        <v>2200 LESTER STREET</v>
      </c>
      <c r="C12524" t="str">
        <f t="shared" ref="C12524:C12535" si="4649">T("")</f>
        <v/>
      </c>
      <c r="D12524" t="str">
        <f t="shared" si="4644"/>
        <v>QUANTICO</v>
      </c>
      <c r="E12524" t="str">
        <f t="shared" si="4645"/>
        <v>VA</v>
      </c>
      <c r="F12524" t="str">
        <f>T("221340000")</f>
        <v>221340000</v>
      </c>
      <c r="G12524" t="str">
        <f>T("2200 LESTER STREET")</f>
        <v>2200 LESTER STREET</v>
      </c>
      <c r="H12524" t="str">
        <f>T("")</f>
        <v/>
      </c>
      <c r="I12524" t="str">
        <f t="shared" si="4646"/>
        <v>QUANTICO</v>
      </c>
      <c r="J12524" t="str">
        <f t="shared" si="4647"/>
        <v>VA</v>
      </c>
      <c r="K12524" t="str">
        <f>T("")</f>
        <v/>
      </c>
      <c r="L12524" t="str">
        <f>T("7034323229")</f>
        <v>7034323229</v>
      </c>
    </row>
    <row r="12525" spans="1:12" x14ac:dyDescent="0.35">
      <c r="A12525" t="str">
        <f t="shared" si="4641"/>
        <v>SYSCOM</v>
      </c>
      <c r="B12525" t="str">
        <f t="shared" si="4648"/>
        <v>2200 LESTER STREET</v>
      </c>
      <c r="C12525" t="str">
        <f t="shared" si="4649"/>
        <v/>
      </c>
      <c r="D12525" t="str">
        <f t="shared" si="4644"/>
        <v>QUANTICO</v>
      </c>
      <c r="E12525" t="str">
        <f t="shared" si="4645"/>
        <v>VA</v>
      </c>
      <c r="F12525" t="str">
        <f>T("221340000")</f>
        <v>221340000</v>
      </c>
      <c r="G12525" t="str">
        <f>T("2200 LESTER STREET")</f>
        <v>2200 LESTER STREET</v>
      </c>
      <c r="H12525" t="str">
        <f>T("")</f>
        <v/>
      </c>
      <c r="I12525" t="str">
        <f t="shared" si="4646"/>
        <v>QUANTICO</v>
      </c>
      <c r="J12525" t="str">
        <f t="shared" si="4647"/>
        <v>VA</v>
      </c>
      <c r="K12525" t="str">
        <f t="shared" ref="K12525:K12530" si="4650">T("000000000000000000")</f>
        <v>000000000000000000</v>
      </c>
      <c r="L12525" t="str">
        <f>T("7034323443")</f>
        <v>7034323443</v>
      </c>
    </row>
    <row r="12526" spans="1:12" x14ac:dyDescent="0.35">
      <c r="A12526" t="str">
        <f t="shared" si="4641"/>
        <v>SYSCOM</v>
      </c>
      <c r="B12526" t="str">
        <f t="shared" si="4648"/>
        <v>2200 LESTER STREET</v>
      </c>
      <c r="C12526" t="str">
        <f t="shared" si="4649"/>
        <v/>
      </c>
      <c r="D12526" t="str">
        <f t="shared" si="4644"/>
        <v>QUANTICO</v>
      </c>
      <c r="E12526" t="str">
        <f t="shared" si="4645"/>
        <v>VA</v>
      </c>
      <c r="F12526" t="str">
        <f>T("221340000")</f>
        <v>221340000</v>
      </c>
      <c r="G12526" t="str">
        <f>T("MARCORSYSCOM")</f>
        <v>MARCORSYSCOM</v>
      </c>
      <c r="H12526" t="str">
        <f>T("2200 LESTER ST")</f>
        <v>2200 LESTER ST</v>
      </c>
      <c r="I12526" t="str">
        <f t="shared" si="4646"/>
        <v>QUANTICO</v>
      </c>
      <c r="J12526" t="str">
        <f t="shared" si="4647"/>
        <v>VA</v>
      </c>
      <c r="K12526" t="str">
        <f t="shared" si="4650"/>
        <v>000000000000000000</v>
      </c>
      <c r="L12526" t="str">
        <f>T("7034321803")</f>
        <v>7034321803</v>
      </c>
    </row>
    <row r="12527" spans="1:12" x14ac:dyDescent="0.35">
      <c r="A12527" t="str">
        <f t="shared" si="4641"/>
        <v>SYSCOM</v>
      </c>
      <c r="B12527" t="str">
        <f t="shared" si="4648"/>
        <v>2200 LESTER STREET</v>
      </c>
      <c r="C12527" t="str">
        <f t="shared" si="4649"/>
        <v/>
      </c>
      <c r="D12527" t="str">
        <f t="shared" si="4644"/>
        <v>QUANTICO</v>
      </c>
      <c r="E12527" t="str">
        <f t="shared" si="4645"/>
        <v>VA</v>
      </c>
      <c r="F12527" t="str">
        <f t="shared" ref="F12527:F12540" si="4651">T("221345050")</f>
        <v>221345050</v>
      </c>
      <c r="G12527" t="str">
        <f>T("2200 LESTER ST")</f>
        <v>2200 LESTER ST</v>
      </c>
      <c r="H12527" t="str">
        <f>T("")</f>
        <v/>
      </c>
      <c r="I12527" t="str">
        <f t="shared" si="4646"/>
        <v>QUANTICO</v>
      </c>
      <c r="J12527" t="str">
        <f t="shared" si="4647"/>
        <v>VA</v>
      </c>
      <c r="K12527" t="str">
        <f t="shared" si="4650"/>
        <v>000000000000000000</v>
      </c>
      <c r="L12527" t="str">
        <f>T("2296396889")</f>
        <v>2296396889</v>
      </c>
    </row>
    <row r="12528" spans="1:12" x14ac:dyDescent="0.35">
      <c r="A12528" t="str">
        <f t="shared" si="4641"/>
        <v>SYSCOM</v>
      </c>
      <c r="B12528" t="str">
        <f t="shared" si="4648"/>
        <v>2200 LESTER STREET</v>
      </c>
      <c r="C12528" t="str">
        <f t="shared" si="4649"/>
        <v/>
      </c>
      <c r="D12528" t="str">
        <f t="shared" si="4644"/>
        <v>QUANTICO</v>
      </c>
      <c r="E12528" t="str">
        <f t="shared" si="4645"/>
        <v>VA</v>
      </c>
      <c r="F12528" t="str">
        <f t="shared" si="4651"/>
        <v>221345050</v>
      </c>
      <c r="G12528" t="str">
        <f>T("2200 LESTER ST")</f>
        <v>2200 LESTER ST</v>
      </c>
      <c r="H12528" t="str">
        <f>T("")</f>
        <v/>
      </c>
      <c r="I12528" t="str">
        <f t="shared" si="4646"/>
        <v>QUANTICO</v>
      </c>
      <c r="J12528" t="str">
        <f t="shared" si="4647"/>
        <v>VA</v>
      </c>
      <c r="K12528" t="str">
        <f t="shared" si="4650"/>
        <v>000000000000000000</v>
      </c>
      <c r="L12528" t="str">
        <f>T("7034323047")</f>
        <v>7034323047</v>
      </c>
    </row>
    <row r="12529" spans="1:12" x14ac:dyDescent="0.35">
      <c r="A12529" t="str">
        <f t="shared" si="4641"/>
        <v>SYSCOM</v>
      </c>
      <c r="B12529" t="str">
        <f t="shared" si="4648"/>
        <v>2200 LESTER STREET</v>
      </c>
      <c r="C12529" t="str">
        <f t="shared" si="4649"/>
        <v/>
      </c>
      <c r="D12529" t="str">
        <f t="shared" si="4644"/>
        <v>QUANTICO</v>
      </c>
      <c r="E12529" t="str">
        <f t="shared" si="4645"/>
        <v>VA</v>
      </c>
      <c r="F12529" t="str">
        <f t="shared" si="4651"/>
        <v>221345050</v>
      </c>
      <c r="G12529" t="str">
        <f>T("2200 LESTER ST")</f>
        <v>2200 LESTER ST</v>
      </c>
      <c r="H12529" t="str">
        <f>T("")</f>
        <v/>
      </c>
      <c r="I12529" t="str">
        <f t="shared" si="4646"/>
        <v>QUANTICO</v>
      </c>
      <c r="J12529" t="str">
        <f t="shared" si="4647"/>
        <v>VA</v>
      </c>
      <c r="K12529" t="str">
        <f t="shared" si="4650"/>
        <v>000000000000000000</v>
      </c>
      <c r="L12529" t="str">
        <f>T("7034323521")</f>
        <v>7034323521</v>
      </c>
    </row>
    <row r="12530" spans="1:12" x14ac:dyDescent="0.35">
      <c r="A12530" t="str">
        <f t="shared" si="4641"/>
        <v>SYSCOM</v>
      </c>
      <c r="B12530" t="str">
        <f t="shared" si="4648"/>
        <v>2200 LESTER STREET</v>
      </c>
      <c r="C12530" t="str">
        <f t="shared" si="4649"/>
        <v/>
      </c>
      <c r="D12530" t="str">
        <f t="shared" si="4644"/>
        <v>QUANTICO</v>
      </c>
      <c r="E12530" t="str">
        <f t="shared" si="4645"/>
        <v>VA</v>
      </c>
      <c r="F12530" t="str">
        <f t="shared" si="4651"/>
        <v>221345050</v>
      </c>
      <c r="G12530" t="str">
        <f>T("2200 LESTER ST")</f>
        <v>2200 LESTER ST</v>
      </c>
      <c r="H12530" t="str">
        <f>T("MARCORSYSCOM")</f>
        <v>MARCORSYSCOM</v>
      </c>
      <c r="I12530" t="str">
        <f t="shared" si="4646"/>
        <v>QUANTICO</v>
      </c>
      <c r="J12530" t="str">
        <f t="shared" si="4647"/>
        <v>VA</v>
      </c>
      <c r="K12530" t="str">
        <f t="shared" si="4650"/>
        <v>000000000000000000</v>
      </c>
      <c r="L12530" t="str">
        <f>T("7034323768")</f>
        <v>7034323768</v>
      </c>
    </row>
    <row r="12531" spans="1:12" x14ac:dyDescent="0.35">
      <c r="A12531" t="str">
        <f t="shared" si="4641"/>
        <v>SYSCOM</v>
      </c>
      <c r="B12531" t="str">
        <f t="shared" si="4648"/>
        <v>2200 LESTER STREET</v>
      </c>
      <c r="C12531" t="str">
        <f t="shared" si="4649"/>
        <v/>
      </c>
      <c r="D12531" t="str">
        <f t="shared" si="4644"/>
        <v>QUANTICO</v>
      </c>
      <c r="E12531" t="str">
        <f t="shared" si="4645"/>
        <v>VA</v>
      </c>
      <c r="F12531" t="str">
        <f t="shared" si="4651"/>
        <v>221345050</v>
      </c>
      <c r="G12531" t="str">
        <f>T("2200 LESTER STREET")</f>
        <v>2200 LESTER STREET</v>
      </c>
      <c r="H12531" t="str">
        <f t="shared" ref="H12531:H12538" si="4652">T("")</f>
        <v/>
      </c>
      <c r="I12531" t="str">
        <f t="shared" si="4646"/>
        <v>QUANTICO</v>
      </c>
      <c r="J12531" t="str">
        <f t="shared" si="4647"/>
        <v>VA</v>
      </c>
      <c r="K12531" t="str">
        <f>T("")</f>
        <v/>
      </c>
      <c r="L12531" t="str">
        <f>T("7034323027")</f>
        <v>7034323027</v>
      </c>
    </row>
    <row r="12532" spans="1:12" x14ac:dyDescent="0.35">
      <c r="A12532" t="str">
        <f t="shared" si="4641"/>
        <v>SYSCOM</v>
      </c>
      <c r="B12532" t="str">
        <f t="shared" si="4648"/>
        <v>2200 LESTER STREET</v>
      </c>
      <c r="C12532" t="str">
        <f t="shared" si="4649"/>
        <v/>
      </c>
      <c r="D12532" t="str">
        <f t="shared" si="4644"/>
        <v>QUANTICO</v>
      </c>
      <c r="E12532" t="str">
        <f t="shared" si="4645"/>
        <v>VA</v>
      </c>
      <c r="F12532" t="str">
        <f t="shared" si="4651"/>
        <v>221345050</v>
      </c>
      <c r="G12532" t="str">
        <f>T("2200 LESTER STREET")</f>
        <v>2200 LESTER STREET</v>
      </c>
      <c r="H12532" t="str">
        <f t="shared" si="4652"/>
        <v/>
      </c>
      <c r="I12532" t="str">
        <f t="shared" si="4646"/>
        <v>QUANTICO</v>
      </c>
      <c r="J12532" t="str">
        <f t="shared" si="4647"/>
        <v>VA</v>
      </c>
      <c r="K12532" t="str">
        <f>T("")</f>
        <v/>
      </c>
      <c r="L12532" t="str">
        <f>T("7034323894")</f>
        <v>7034323894</v>
      </c>
    </row>
    <row r="12533" spans="1:12" x14ac:dyDescent="0.35">
      <c r="A12533" t="str">
        <f t="shared" si="4641"/>
        <v>SYSCOM</v>
      </c>
      <c r="B12533" t="str">
        <f t="shared" si="4648"/>
        <v>2200 LESTER STREET</v>
      </c>
      <c r="C12533" t="str">
        <f t="shared" si="4649"/>
        <v/>
      </c>
      <c r="D12533" t="str">
        <f t="shared" si="4644"/>
        <v>QUANTICO</v>
      </c>
      <c r="E12533" t="str">
        <f t="shared" si="4645"/>
        <v>VA</v>
      </c>
      <c r="F12533" t="str">
        <f t="shared" si="4651"/>
        <v>221345050</v>
      </c>
      <c r="G12533" t="str">
        <f>T("2200 LESTER STREET")</f>
        <v>2200 LESTER STREET</v>
      </c>
      <c r="H12533" t="str">
        <f t="shared" si="4652"/>
        <v/>
      </c>
      <c r="I12533" t="str">
        <f t="shared" si="4646"/>
        <v>QUANTICO</v>
      </c>
      <c r="J12533" t="str">
        <f t="shared" si="4647"/>
        <v>VA</v>
      </c>
      <c r="K12533" t="str">
        <f t="shared" ref="K12533:K12539" si="4653">T("000000000000000000")</f>
        <v>000000000000000000</v>
      </c>
      <c r="L12533" t="str">
        <f>T("7034323098")</f>
        <v>7034323098</v>
      </c>
    </row>
    <row r="12534" spans="1:12" x14ac:dyDescent="0.35">
      <c r="A12534" t="str">
        <f t="shared" si="4641"/>
        <v>SYSCOM</v>
      </c>
      <c r="B12534" t="str">
        <f t="shared" si="4648"/>
        <v>2200 LESTER STREET</v>
      </c>
      <c r="C12534" t="str">
        <f t="shared" si="4649"/>
        <v/>
      </c>
      <c r="D12534" t="str">
        <f t="shared" si="4644"/>
        <v>QUANTICO</v>
      </c>
      <c r="E12534" t="str">
        <f t="shared" si="4645"/>
        <v>VA</v>
      </c>
      <c r="F12534" t="str">
        <f t="shared" si="4651"/>
        <v>221345050</v>
      </c>
      <c r="G12534" t="str">
        <f>T("2200 LESTER STREET")</f>
        <v>2200 LESTER STREET</v>
      </c>
      <c r="H12534" t="str">
        <f t="shared" si="4652"/>
        <v/>
      </c>
      <c r="I12534" t="str">
        <f t="shared" si="4646"/>
        <v>QUANTICO</v>
      </c>
      <c r="J12534" t="str">
        <f t="shared" si="4647"/>
        <v>VA</v>
      </c>
      <c r="K12534" t="str">
        <f t="shared" si="4653"/>
        <v>000000000000000000</v>
      </c>
      <c r="L12534" t="str">
        <f>T("7034323886")</f>
        <v>7034323886</v>
      </c>
    </row>
    <row r="12535" spans="1:12" x14ac:dyDescent="0.35">
      <c r="A12535" t="str">
        <f t="shared" si="4641"/>
        <v>SYSCOM</v>
      </c>
      <c r="B12535" t="str">
        <f t="shared" si="4648"/>
        <v>2200 LESTER STREET</v>
      </c>
      <c r="C12535" t="str">
        <f t="shared" si="4649"/>
        <v/>
      </c>
      <c r="D12535" t="str">
        <f t="shared" si="4644"/>
        <v>QUANTICO</v>
      </c>
      <c r="E12535" t="str">
        <f t="shared" si="4645"/>
        <v>VA</v>
      </c>
      <c r="F12535" t="str">
        <f t="shared" si="4651"/>
        <v>221345050</v>
      </c>
      <c r="G12535" t="str">
        <f>T("2200 LESTTER STREET")</f>
        <v>2200 LESTTER STREET</v>
      </c>
      <c r="H12535" t="str">
        <f t="shared" si="4652"/>
        <v/>
      </c>
      <c r="I12535" t="str">
        <f t="shared" si="4646"/>
        <v>QUANTICO</v>
      </c>
      <c r="J12535" t="str">
        <f t="shared" si="4647"/>
        <v>VA</v>
      </c>
      <c r="K12535" t="str">
        <f t="shared" si="4653"/>
        <v>000000000000000000</v>
      </c>
      <c r="L12535" t="str">
        <f>T("7034323027")</f>
        <v>7034323027</v>
      </c>
    </row>
    <row r="12536" spans="1:12" x14ac:dyDescent="0.35">
      <c r="A12536" t="str">
        <f t="shared" si="4641"/>
        <v>SYSCOM</v>
      </c>
      <c r="B12536" t="str">
        <f t="shared" si="4648"/>
        <v>2200 LESTER STREET</v>
      </c>
      <c r="C12536" t="str">
        <f>T("ATTN ACF&amp;S")</f>
        <v>ATTN ACF&amp;S</v>
      </c>
      <c r="D12536" t="str">
        <f t="shared" si="4644"/>
        <v>QUANTICO</v>
      </c>
      <c r="E12536" t="str">
        <f t="shared" si="4645"/>
        <v>VA</v>
      </c>
      <c r="F12536" t="str">
        <f t="shared" si="4651"/>
        <v>221345050</v>
      </c>
      <c r="G12536" t="str">
        <f>T("2200 LESTER ST")</f>
        <v>2200 LESTER ST</v>
      </c>
      <c r="H12536" t="str">
        <f t="shared" si="4652"/>
        <v/>
      </c>
      <c r="I12536" t="str">
        <f t="shared" si="4646"/>
        <v>QUANTICO</v>
      </c>
      <c r="J12536" t="str">
        <f t="shared" si="4647"/>
        <v>VA</v>
      </c>
      <c r="K12536" t="str">
        <f t="shared" si="4653"/>
        <v>000000000000000000</v>
      </c>
      <c r="L12536" t="str">
        <f>T("7034323001")</f>
        <v>7034323001</v>
      </c>
    </row>
    <row r="12537" spans="1:12" x14ac:dyDescent="0.35">
      <c r="A12537" t="str">
        <f t="shared" si="4641"/>
        <v>SYSCOM</v>
      </c>
      <c r="B12537" t="str">
        <f t="shared" si="4648"/>
        <v>2200 LESTER STREET</v>
      </c>
      <c r="C12537" t="str">
        <f>T("ATTN ACF&amp;S")</f>
        <v>ATTN ACF&amp;S</v>
      </c>
      <c r="D12537" t="str">
        <f t="shared" si="4644"/>
        <v>QUANTICO</v>
      </c>
      <c r="E12537" t="str">
        <f t="shared" si="4645"/>
        <v>VA</v>
      </c>
      <c r="F12537" t="str">
        <f t="shared" si="4651"/>
        <v>221345050</v>
      </c>
      <c r="G12537" t="str">
        <f>T("2200 LESTER ST")</f>
        <v>2200 LESTER ST</v>
      </c>
      <c r="H12537" t="str">
        <f t="shared" si="4652"/>
        <v/>
      </c>
      <c r="I12537" t="str">
        <f t="shared" si="4646"/>
        <v>QUANTICO</v>
      </c>
      <c r="J12537" t="str">
        <f t="shared" si="4647"/>
        <v>VA</v>
      </c>
      <c r="K12537" t="str">
        <f t="shared" si="4653"/>
        <v>000000000000000000</v>
      </c>
      <c r="L12537" t="str">
        <f>T("7034323383")</f>
        <v>7034323383</v>
      </c>
    </row>
    <row r="12538" spans="1:12" x14ac:dyDescent="0.35">
      <c r="A12538" t="str">
        <f t="shared" si="4641"/>
        <v>SYSCOM</v>
      </c>
      <c r="B12538" t="str">
        <f t="shared" si="4648"/>
        <v>2200 LESTER STREET</v>
      </c>
      <c r="C12538" t="str">
        <f>T("ATTN ACF&amp;S")</f>
        <v>ATTN ACF&amp;S</v>
      </c>
      <c r="D12538" t="str">
        <f t="shared" si="4644"/>
        <v>QUANTICO</v>
      </c>
      <c r="E12538" t="str">
        <f t="shared" si="4645"/>
        <v>VA</v>
      </c>
      <c r="F12538" t="str">
        <f t="shared" si="4651"/>
        <v>221345050</v>
      </c>
      <c r="G12538" t="str">
        <f>T("2200 LESTER ST")</f>
        <v>2200 LESTER ST</v>
      </c>
      <c r="H12538" t="str">
        <f t="shared" si="4652"/>
        <v/>
      </c>
      <c r="I12538" t="str">
        <f t="shared" si="4646"/>
        <v>QUANTICO</v>
      </c>
      <c r="J12538" t="str">
        <f t="shared" si="4647"/>
        <v>VA</v>
      </c>
      <c r="K12538" t="str">
        <f t="shared" si="4653"/>
        <v>000000000000000000</v>
      </c>
      <c r="L12538" t="str">
        <f>T("7034323494")</f>
        <v>7034323494</v>
      </c>
    </row>
    <row r="12539" spans="1:12" x14ac:dyDescent="0.35">
      <c r="A12539" t="str">
        <f t="shared" ref="A12539:A12553" si="4654">T("SYSCOM")</f>
        <v>SYSCOM</v>
      </c>
      <c r="B12539" t="str">
        <f t="shared" si="4648"/>
        <v>2200 LESTER STREET</v>
      </c>
      <c r="C12539" t="str">
        <f>T("ATTN ACF&amp;S")</f>
        <v>ATTN ACF&amp;S</v>
      </c>
      <c r="D12539" t="str">
        <f t="shared" si="4644"/>
        <v>QUANTICO</v>
      </c>
      <c r="E12539" t="str">
        <f t="shared" si="4645"/>
        <v>VA</v>
      </c>
      <c r="F12539" t="str">
        <f t="shared" si="4651"/>
        <v>221345050</v>
      </c>
      <c r="G12539" t="str">
        <f>T("2200 LESTER STREET")</f>
        <v>2200 LESTER STREET</v>
      </c>
      <c r="H12539" t="str">
        <f>T("ATTN AC F&amp;S")</f>
        <v>ATTN AC F&amp;S</v>
      </c>
      <c r="I12539" t="str">
        <f t="shared" si="4646"/>
        <v>QUANTICO</v>
      </c>
      <c r="J12539" t="str">
        <f t="shared" si="4647"/>
        <v>VA</v>
      </c>
      <c r="K12539" t="str">
        <f t="shared" si="4653"/>
        <v>000000000000000000</v>
      </c>
      <c r="L12539" t="str">
        <f>T("7034324943")</f>
        <v>7034324943</v>
      </c>
    </row>
    <row r="12540" spans="1:12" x14ac:dyDescent="0.35">
      <c r="A12540" t="str">
        <f t="shared" si="4654"/>
        <v>SYSCOM</v>
      </c>
      <c r="B12540" t="str">
        <f t="shared" si="4648"/>
        <v>2200 LESTER STREET</v>
      </c>
      <c r="C12540" t="str">
        <f>T("ATTN ACF&amp;S")</f>
        <v>ATTN ACF&amp;S</v>
      </c>
      <c r="D12540" t="str">
        <f t="shared" si="4644"/>
        <v>QUANTICO</v>
      </c>
      <c r="E12540" t="str">
        <f t="shared" si="4645"/>
        <v>VA</v>
      </c>
      <c r="F12540" t="str">
        <f t="shared" si="4651"/>
        <v>221345050</v>
      </c>
      <c r="G12540" t="str">
        <f>T("2200 LESTER STREET")</f>
        <v>2200 LESTER STREET</v>
      </c>
      <c r="H12540" t="str">
        <f>T("ATTN ACF&amp;S")</f>
        <v>ATTN ACF&amp;S</v>
      </c>
      <c r="I12540" t="str">
        <f t="shared" si="4646"/>
        <v>QUANTICO</v>
      </c>
      <c r="J12540" t="str">
        <f t="shared" si="4647"/>
        <v>VA</v>
      </c>
      <c r="K12540" t="str">
        <f>T("")</f>
        <v/>
      </c>
      <c r="L12540" t="str">
        <f>T("7034323012")</f>
        <v>7034323012</v>
      </c>
    </row>
    <row r="12541" spans="1:12" x14ac:dyDescent="0.35">
      <c r="A12541" t="str">
        <f t="shared" si="4654"/>
        <v>SYSCOM</v>
      </c>
      <c r="B12541" t="str">
        <f>T("2306 E BANNISTER")</f>
        <v>2306 E BANNISTER</v>
      </c>
      <c r="C12541" t="str">
        <f t="shared" ref="C12541:C12546" si="4655">T("")</f>
        <v/>
      </c>
      <c r="D12541" t="str">
        <f>T("KANSAS CITY")</f>
        <v>KANSAS CITY</v>
      </c>
      <c r="E12541" t="str">
        <f>T("MO")</f>
        <v>MO</v>
      </c>
      <c r="F12541" t="str">
        <f>T("641313061")</f>
        <v>641313061</v>
      </c>
      <c r="G12541" t="str">
        <f>T("2306 E BANNISTER")</f>
        <v>2306 E BANNISTER</v>
      </c>
      <c r="H12541" t="str">
        <f>T("")</f>
        <v/>
      </c>
      <c r="I12541" t="str">
        <f>T("KANSAS CITY")</f>
        <v>KANSAS CITY</v>
      </c>
      <c r="J12541" t="str">
        <f>T("MO")</f>
        <v>MO</v>
      </c>
      <c r="K12541" t="str">
        <f>T("000000000000000000")</f>
        <v>000000000000000000</v>
      </c>
      <c r="L12541" t="str">
        <f>T("8163947542")</f>
        <v>8163947542</v>
      </c>
    </row>
    <row r="12542" spans="1:12" x14ac:dyDescent="0.35">
      <c r="A12542" t="str">
        <f t="shared" si="4654"/>
        <v>SYSCOM</v>
      </c>
      <c r="B12542" t="str">
        <f>T("2306 E BANNISTER")</f>
        <v>2306 E BANNISTER</v>
      </c>
      <c r="C12542" t="str">
        <f t="shared" si="4655"/>
        <v/>
      </c>
      <c r="D12542" t="str">
        <f>T("KANSAS CITY")</f>
        <v>KANSAS CITY</v>
      </c>
      <c r="E12542" t="str">
        <f>T("MO")</f>
        <v>MO</v>
      </c>
      <c r="F12542" t="str">
        <f>T("641313061")</f>
        <v>641313061</v>
      </c>
      <c r="G12542" t="str">
        <f>T("2306 E BANNISTER RD")</f>
        <v>2306 E BANNISTER RD</v>
      </c>
      <c r="H12542" t="str">
        <f>T("")</f>
        <v/>
      </c>
      <c r="I12542" t="str">
        <f>T("KANSAS CITY")</f>
        <v>KANSAS CITY</v>
      </c>
      <c r="J12542" t="str">
        <f>T("MO")</f>
        <v>MO</v>
      </c>
      <c r="K12542" t="str">
        <f>T("000000000000000000")</f>
        <v>000000000000000000</v>
      </c>
      <c r="L12542" t="str">
        <f>T("8163947510")</f>
        <v>8163947510</v>
      </c>
    </row>
    <row r="12543" spans="1:12" x14ac:dyDescent="0.35">
      <c r="A12543" t="str">
        <f t="shared" si="4654"/>
        <v>SYSCOM</v>
      </c>
      <c r="B12543" t="str">
        <f>T("3097 RANGE RD")</f>
        <v>3097 RANGE RD</v>
      </c>
      <c r="C12543" t="str">
        <f t="shared" si="4655"/>
        <v/>
      </c>
      <c r="D12543" t="str">
        <f>T("QUANTICO")</f>
        <v>QUANTICO</v>
      </c>
      <c r="E12543" t="str">
        <f>T("VA")</f>
        <v>VA</v>
      </c>
      <c r="F12543" t="str">
        <f>T("221345126")</f>
        <v>221345126</v>
      </c>
      <c r="G12543" t="str">
        <f>T("3097 RANGE RD")</f>
        <v>3097 RANGE RD</v>
      </c>
      <c r="H12543" t="str">
        <f>T("")</f>
        <v/>
      </c>
      <c r="I12543" t="str">
        <f>T("QUANTICO")</f>
        <v>QUANTICO</v>
      </c>
      <c r="J12543" t="str">
        <f>T("VA")</f>
        <v>VA</v>
      </c>
      <c r="K12543" t="str">
        <f>T("")</f>
        <v/>
      </c>
      <c r="L12543" t="str">
        <f>T("7034328149")</f>
        <v>7034328149</v>
      </c>
    </row>
    <row r="12544" spans="1:12" x14ac:dyDescent="0.35">
      <c r="A12544" t="str">
        <f t="shared" si="4654"/>
        <v>SYSCOM</v>
      </c>
      <c r="B12544" t="str">
        <f>T("3097 RANGE RD")</f>
        <v>3097 RANGE RD</v>
      </c>
      <c r="C12544" t="str">
        <f t="shared" si="4655"/>
        <v/>
      </c>
      <c r="D12544" t="str">
        <f>T("QUANTICO")</f>
        <v>QUANTICO</v>
      </c>
      <c r="E12544" t="str">
        <f>T("VA")</f>
        <v>VA</v>
      </c>
      <c r="F12544" t="str">
        <f>T("221345126")</f>
        <v>221345126</v>
      </c>
      <c r="G12544" t="str">
        <f>T("3097 RANGE ROAD")</f>
        <v>3097 RANGE ROAD</v>
      </c>
      <c r="H12544" t="str">
        <f>T("")</f>
        <v/>
      </c>
      <c r="I12544" t="str">
        <f>T("QUANTICO")</f>
        <v>QUANTICO</v>
      </c>
      <c r="J12544" t="str">
        <f>T("VA")</f>
        <v>VA</v>
      </c>
      <c r="K12544" t="str">
        <f>T("000000000000000000")</f>
        <v>000000000000000000</v>
      </c>
      <c r="L12544" t="str">
        <f>T("7034321592")</f>
        <v>7034321592</v>
      </c>
    </row>
    <row r="12545" spans="1:12" x14ac:dyDescent="0.35">
      <c r="A12545" t="str">
        <f t="shared" si="4654"/>
        <v>SYSCOM</v>
      </c>
      <c r="B12545" t="str">
        <f>T("3097 RANGE RD")</f>
        <v>3097 RANGE RD</v>
      </c>
      <c r="C12545" t="str">
        <f t="shared" si="4655"/>
        <v/>
      </c>
      <c r="D12545" t="str">
        <f>T("QUANTICO")</f>
        <v>QUANTICO</v>
      </c>
      <c r="E12545" t="str">
        <f>T("VA")</f>
        <v>VA</v>
      </c>
      <c r="F12545" t="str">
        <f>T("221345126")</f>
        <v>221345126</v>
      </c>
      <c r="G12545" t="str">
        <f>T("3097 RANGE ROAD")</f>
        <v>3097 RANGE ROAD</v>
      </c>
      <c r="H12545" t="str">
        <f>T("")</f>
        <v/>
      </c>
      <c r="I12545" t="str">
        <f>T("QUANTICO")</f>
        <v>QUANTICO</v>
      </c>
      <c r="J12545" t="str">
        <f>T("VA")</f>
        <v>VA</v>
      </c>
      <c r="K12545" t="str">
        <f>T("000000000000000000")</f>
        <v>000000000000000000</v>
      </c>
      <c r="L12545" t="str">
        <f>T("7037841023")</f>
        <v>7037841023</v>
      </c>
    </row>
    <row r="12546" spans="1:12" x14ac:dyDescent="0.35">
      <c r="A12546" t="str">
        <f t="shared" si="4654"/>
        <v>SYSCOM</v>
      </c>
      <c r="B12546" t="str">
        <f>T("3097 RANGE RD")</f>
        <v>3097 RANGE RD</v>
      </c>
      <c r="C12546" t="str">
        <f t="shared" si="4655"/>
        <v/>
      </c>
      <c r="D12546" t="str">
        <f>T("QUANTICO")</f>
        <v>QUANTICO</v>
      </c>
      <c r="E12546" t="str">
        <f>T("VA")</f>
        <v>VA</v>
      </c>
      <c r="F12546" t="str">
        <f>T("221345126")</f>
        <v>221345126</v>
      </c>
      <c r="G12546" t="str">
        <f>T("JNLWD")</f>
        <v>JNLWD</v>
      </c>
      <c r="H12546" t="str">
        <f>T("3097 RANGE ROAD")</f>
        <v>3097 RANGE ROAD</v>
      </c>
      <c r="I12546" t="str">
        <f>T("QUANTICO")</f>
        <v>QUANTICO</v>
      </c>
      <c r="J12546" t="str">
        <f>T("VA")</f>
        <v>VA</v>
      </c>
      <c r="K12546" t="str">
        <f>T("000000000000000000")</f>
        <v>000000000000000000</v>
      </c>
      <c r="L12546" t="str">
        <f>T("7034320907")</f>
        <v>7034320907</v>
      </c>
    </row>
    <row r="12547" spans="1:12" x14ac:dyDescent="0.35">
      <c r="A12547" t="str">
        <f t="shared" si="4654"/>
        <v>SYSCOM</v>
      </c>
      <c r="B12547" t="str">
        <f>T("814 RADFORD BLVD BLDG 3500")</f>
        <v>814 RADFORD BLVD BLDG 3500</v>
      </c>
      <c r="C12547" t="str">
        <f>T("ROOM NO 72")</f>
        <v>ROOM NO 72</v>
      </c>
      <c r="D12547" t="str">
        <f>T("ALBANY")</f>
        <v>ALBANY</v>
      </c>
      <c r="E12547" t="str">
        <f>T("GA")</f>
        <v>GA</v>
      </c>
      <c r="F12547" t="str">
        <f>T("317041130")</f>
        <v>317041130</v>
      </c>
      <c r="G12547" t="str">
        <f>T("814 RADFORD BLVD BLDG 3500")</f>
        <v>814 RADFORD BLVD BLDG 3500</v>
      </c>
      <c r="H12547" t="str">
        <f>T("ROOM NO 72")</f>
        <v>ROOM NO 72</v>
      </c>
      <c r="I12547" t="str">
        <f>T("ALBANY")</f>
        <v>ALBANY</v>
      </c>
      <c r="J12547" t="str">
        <f>T("GA")</f>
        <v>GA</v>
      </c>
      <c r="K12547" t="str">
        <f>T("")</f>
        <v/>
      </c>
      <c r="L12547" t="str">
        <f>T("2296398987")</f>
        <v>2296398987</v>
      </c>
    </row>
    <row r="12548" spans="1:12" x14ac:dyDescent="0.35">
      <c r="A12548" t="str">
        <f t="shared" si="4654"/>
        <v>SYSCOM</v>
      </c>
      <c r="B12548" t="str">
        <f>T("814 RADFORD BLVD BLDG 3500")</f>
        <v>814 RADFORD BLVD BLDG 3500</v>
      </c>
      <c r="C12548" t="str">
        <f>T("ROOM NO 72")</f>
        <v>ROOM NO 72</v>
      </c>
      <c r="D12548" t="str">
        <f>T("ALBANY")</f>
        <v>ALBANY</v>
      </c>
      <c r="E12548" t="str">
        <f>T("GA")</f>
        <v>GA</v>
      </c>
      <c r="F12548" t="str">
        <f>T("317041130")</f>
        <v>317041130</v>
      </c>
      <c r="G12548" t="str">
        <f>T("MARCORSYSCOM")</f>
        <v>MARCORSYSCOM</v>
      </c>
      <c r="H12548" t="str">
        <f>T("814 RADFORD BOULEVARD BLDG 3500")</f>
        <v>814 RADFORD BOULEVARD BLDG 3500</v>
      </c>
      <c r="I12548" t="str">
        <f>T("ALBANY")</f>
        <v>ALBANY</v>
      </c>
      <c r="J12548" t="str">
        <f>T("GA")</f>
        <v>GA</v>
      </c>
      <c r="K12548" t="str">
        <f>T("000000000000000000")</f>
        <v>000000000000000000</v>
      </c>
      <c r="L12548" t="str">
        <f>T("2296397231")</f>
        <v>2296397231</v>
      </c>
    </row>
    <row r="12549" spans="1:12" x14ac:dyDescent="0.35">
      <c r="A12549" t="str">
        <f t="shared" si="4654"/>
        <v>SYSCOM</v>
      </c>
      <c r="B12549" t="str">
        <f>T("MARCORSYSCOM")</f>
        <v>MARCORSYSCOM</v>
      </c>
      <c r="C12549" t="str">
        <f>T("2200 LESTER STREET")</f>
        <v>2200 LESTER STREET</v>
      </c>
      <c r="D12549" t="str">
        <f>T("QUANTICO")</f>
        <v>QUANTICO</v>
      </c>
      <c r="E12549" t="str">
        <f>T("VA")</f>
        <v>VA</v>
      </c>
      <c r="F12549" t="str">
        <f>T("221345050")</f>
        <v>221345050</v>
      </c>
      <c r="G12549" t="str">
        <f>T("2200 LESTER ST")</f>
        <v>2200 LESTER ST</v>
      </c>
      <c r="H12549" t="str">
        <f>T("")</f>
        <v/>
      </c>
      <c r="I12549" t="str">
        <f>T("QUANTICO")</f>
        <v>QUANTICO</v>
      </c>
      <c r="J12549" t="str">
        <f>T("VA")</f>
        <v>VA</v>
      </c>
      <c r="K12549" t="str">
        <f>T("000000000000000000")</f>
        <v>000000000000000000</v>
      </c>
      <c r="L12549" t="str">
        <f>T("7034328953")</f>
        <v>7034328953</v>
      </c>
    </row>
    <row r="12550" spans="1:12" x14ac:dyDescent="0.35">
      <c r="A12550" t="str">
        <f t="shared" si="4654"/>
        <v>SYSCOM</v>
      </c>
      <c r="B12550" t="str">
        <f>T("MARCORSYSCOM")</f>
        <v>MARCORSYSCOM</v>
      </c>
      <c r="C12550" t="str">
        <f>T("2200 LESTER STREET")</f>
        <v>2200 LESTER STREET</v>
      </c>
      <c r="D12550" t="str">
        <f>T("QUANTICO")</f>
        <v>QUANTICO</v>
      </c>
      <c r="E12550" t="str">
        <f>T("VA")</f>
        <v>VA</v>
      </c>
      <c r="F12550" t="str">
        <f>T("221345050")</f>
        <v>221345050</v>
      </c>
      <c r="G12550" t="str">
        <f>T("2200 LESTER STREET")</f>
        <v>2200 LESTER STREET</v>
      </c>
      <c r="H12550" t="str">
        <f>T("CODE IP")</f>
        <v>CODE IP</v>
      </c>
      <c r="I12550" t="str">
        <f>T("QUANTICO")</f>
        <v>QUANTICO</v>
      </c>
      <c r="J12550" t="str">
        <f>T("VA")</f>
        <v>VA</v>
      </c>
      <c r="K12550" t="str">
        <f>T("000000000000000000")</f>
        <v>000000000000000000</v>
      </c>
      <c r="L12550" t="str">
        <f>T("7034328948")</f>
        <v>7034328948</v>
      </c>
    </row>
    <row r="12551" spans="1:12" x14ac:dyDescent="0.35">
      <c r="A12551" t="str">
        <f t="shared" si="4654"/>
        <v>SYSCOM</v>
      </c>
      <c r="B12551" t="str">
        <f>T("MARCORSYSCOM")</f>
        <v>MARCORSYSCOM</v>
      </c>
      <c r="C12551" t="str">
        <f>T("2200 LESTER STREET")</f>
        <v>2200 LESTER STREET</v>
      </c>
      <c r="D12551" t="str">
        <f>T("QUANTICO")</f>
        <v>QUANTICO</v>
      </c>
      <c r="E12551" t="str">
        <f>T("VA")</f>
        <v>VA</v>
      </c>
      <c r="F12551" t="str">
        <f>T("221345050")</f>
        <v>221345050</v>
      </c>
      <c r="G12551" t="str">
        <f>T("MARCORSYSCOM")</f>
        <v>MARCORSYSCOM</v>
      </c>
      <c r="H12551" t="str">
        <f>T("2200 LESTER STREET")</f>
        <v>2200 LESTER STREET</v>
      </c>
      <c r="I12551" t="str">
        <f>T("QUANTICO")</f>
        <v>QUANTICO</v>
      </c>
      <c r="J12551" t="str">
        <f>T("VA")</f>
        <v>VA</v>
      </c>
      <c r="K12551" t="str">
        <f>T("")</f>
        <v/>
      </c>
      <c r="L12551" t="str">
        <f>T("7034328942")</f>
        <v>7034328942</v>
      </c>
    </row>
    <row r="12552" spans="1:12" x14ac:dyDescent="0.35">
      <c r="A12552" t="str">
        <f t="shared" si="4654"/>
        <v>SYSCOM</v>
      </c>
      <c r="B12552" t="str">
        <f>T("PEO-LS")</f>
        <v>PEO-LS</v>
      </c>
      <c r="C12552" t="str">
        <f>T("2200 LESTER STREET")</f>
        <v>2200 LESTER STREET</v>
      </c>
      <c r="D12552" t="str">
        <f>T("QUANTICO")</f>
        <v>QUANTICO</v>
      </c>
      <c r="E12552" t="str">
        <f>T("VA")</f>
        <v>VA</v>
      </c>
      <c r="F12552" t="str">
        <f>T("221345050")</f>
        <v>221345050</v>
      </c>
      <c r="G12552" t="str">
        <f>T("MARCORSYSCOM/PEO")</f>
        <v>MARCORSYSCOM/PEO</v>
      </c>
      <c r="H12552" t="str">
        <f>T("2200 LESTER ST")</f>
        <v>2200 LESTER ST</v>
      </c>
      <c r="I12552" t="str">
        <f>T("QUANTICO")</f>
        <v>QUANTICO</v>
      </c>
      <c r="J12552" t="str">
        <f>T("VA")</f>
        <v>VA</v>
      </c>
      <c r="K12552" t="str">
        <f>T("000000000000000000")</f>
        <v>000000000000000000</v>
      </c>
      <c r="L12552" t="str">
        <f>T("7034325177")</f>
        <v>7034325177</v>
      </c>
    </row>
    <row r="12553" spans="1:12" x14ac:dyDescent="0.35">
      <c r="A12553" t="str">
        <f t="shared" si="4654"/>
        <v>SYSCOM</v>
      </c>
      <c r="B12553" t="str">
        <f>T("PEO-LS")</f>
        <v>PEO-LS</v>
      </c>
      <c r="C12553" t="str">
        <f>T("2200 LESTER STREET")</f>
        <v>2200 LESTER STREET</v>
      </c>
      <c r="D12553" t="str">
        <f>T("QUANTICO")</f>
        <v>QUANTICO</v>
      </c>
      <c r="E12553" t="str">
        <f>T("VA")</f>
        <v>VA</v>
      </c>
      <c r="F12553" t="str">
        <f>T("221345050")</f>
        <v>221345050</v>
      </c>
      <c r="G12553" t="str">
        <f>T("PEO-LS")</f>
        <v>PEO-LS</v>
      </c>
      <c r="H12553" t="str">
        <f>T("2200 LESTER STREET")</f>
        <v>2200 LESTER STREET</v>
      </c>
      <c r="I12553" t="str">
        <f>T("QUANTICO")</f>
        <v>QUANTICO</v>
      </c>
      <c r="J12553" t="str">
        <f>T("VA")</f>
        <v>VA</v>
      </c>
      <c r="K12553" t="str">
        <f>T("000000000000000000")</f>
        <v>000000000000000000</v>
      </c>
      <c r="L12553" t="str">
        <f>T("7034323352")</f>
        <v>7034323352</v>
      </c>
    </row>
    <row r="12554" spans="1:12" x14ac:dyDescent="0.35">
      <c r="A12554" t="str">
        <f t="shared" ref="A12554:A12569" si="4656">T("MCTSSA MARCORSYSCOM")</f>
        <v>MCTSSA MARCORSYSCOM</v>
      </c>
      <c r="B12554" t="str">
        <f>T("AVTB BLDG 210536")</f>
        <v>AVTB BLDG 210536</v>
      </c>
      <c r="C12554" t="str">
        <f>T("BOX 555217")</f>
        <v>BOX 555217</v>
      </c>
      <c r="D12554" t="str">
        <f t="shared" ref="D12554:D12569" si="4657">T("CAMP PENDLETON")</f>
        <v>CAMP PENDLETON</v>
      </c>
      <c r="E12554" t="str">
        <f t="shared" ref="E12554:E12569" si="4658">T("CA")</f>
        <v>CA</v>
      </c>
      <c r="F12554" t="str">
        <f>T("920555217")</f>
        <v>920555217</v>
      </c>
      <c r="G12554" t="str">
        <f>T("AMPHIBIOUS VEHICLE TEST BRANCH")</f>
        <v>AMPHIBIOUS VEHICLE TEST BRANCH</v>
      </c>
      <c r="H12554" t="str">
        <f>T("BLDG 210536 KRAUS ST")</f>
        <v>BLDG 210536 KRAUS ST</v>
      </c>
      <c r="I12554" t="str">
        <f t="shared" ref="I12554:I12569" si="4659">T("CAMP PENDLETON")</f>
        <v>CAMP PENDLETON</v>
      </c>
      <c r="J12554" t="str">
        <f t="shared" ref="J12554:J12569" si="4660">T("CA")</f>
        <v>CA</v>
      </c>
      <c r="K12554" t="str">
        <f>T("7607252513")</f>
        <v>7607252513</v>
      </c>
      <c r="L12554" t="str">
        <f>T("7607252785")</f>
        <v>7607252785</v>
      </c>
    </row>
    <row r="12555" spans="1:12" x14ac:dyDescent="0.35">
      <c r="A12555" t="str">
        <f t="shared" si="4656"/>
        <v>MCTSSA MARCORSYSCOM</v>
      </c>
      <c r="B12555" t="str">
        <f>T("AVTB BLDG 210536")</f>
        <v>AVTB BLDG 210536</v>
      </c>
      <c r="C12555" t="str">
        <f>T("BOX 555217")</f>
        <v>BOX 555217</v>
      </c>
      <c r="D12555" t="str">
        <f t="shared" si="4657"/>
        <v>CAMP PENDLETON</v>
      </c>
      <c r="E12555" t="str">
        <f t="shared" si="4658"/>
        <v>CA</v>
      </c>
      <c r="F12555" t="str">
        <f>T("920555217")</f>
        <v>920555217</v>
      </c>
      <c r="G12555" t="str">
        <f>T("AVTB BLDG 210536")</f>
        <v>AVTB BLDG 210536</v>
      </c>
      <c r="H12555" t="str">
        <f>T("BOX 555217")</f>
        <v>BOX 555217</v>
      </c>
      <c r="I12555" t="str">
        <f t="shared" si="4659"/>
        <v>CAMP PENDLETON</v>
      </c>
      <c r="J12555" t="str">
        <f t="shared" si="4660"/>
        <v>CA</v>
      </c>
      <c r="K12555" t="str">
        <f>T("")</f>
        <v/>
      </c>
      <c r="L12555" t="str">
        <f>T("7607252103")</f>
        <v>7607252103</v>
      </c>
    </row>
    <row r="12556" spans="1:12" x14ac:dyDescent="0.35">
      <c r="A12556" t="str">
        <f t="shared" si="4656"/>
        <v>MCTSSA MARCORSYSCOM</v>
      </c>
      <c r="B12556" t="str">
        <f>T("AVTB BLDG 210536")</f>
        <v>AVTB BLDG 210536</v>
      </c>
      <c r="C12556" t="str">
        <f>T("BOX 555217")</f>
        <v>BOX 555217</v>
      </c>
      <c r="D12556" t="str">
        <f t="shared" si="4657"/>
        <v>CAMP PENDLETON</v>
      </c>
      <c r="E12556" t="str">
        <f t="shared" si="4658"/>
        <v>CA</v>
      </c>
      <c r="F12556" t="str">
        <f>T("920555217")</f>
        <v>920555217</v>
      </c>
      <c r="G12556" t="str">
        <f>T("FISCAL OFFICE")</f>
        <v>FISCAL OFFICE</v>
      </c>
      <c r="H12556" t="str">
        <f>T("BLDG 210536 KRAUS ST")</f>
        <v>BLDG 210536 KRAUS ST</v>
      </c>
      <c r="I12556" t="str">
        <f t="shared" si="4659"/>
        <v>CAMP PENDLETON</v>
      </c>
      <c r="J12556" t="str">
        <f t="shared" si="4660"/>
        <v>CA</v>
      </c>
      <c r="K12556" t="str">
        <f>T("000000000000000000")</f>
        <v>000000000000000000</v>
      </c>
      <c r="L12556" t="str">
        <f>T("7607634440")</f>
        <v>7607634440</v>
      </c>
    </row>
    <row r="12557" spans="1:12" x14ac:dyDescent="0.35">
      <c r="A12557" t="str">
        <f t="shared" si="4656"/>
        <v>MCTSSA MARCORSYSCOM</v>
      </c>
      <c r="B12557" t="str">
        <f>T("HQTRS BLDG 31335A")</f>
        <v>HQTRS BLDG 31335A</v>
      </c>
      <c r="C12557" t="str">
        <f t="shared" ref="C12557:C12569" si="4661">T("BOX 555171")</f>
        <v>BOX 555171</v>
      </c>
      <c r="D12557" t="str">
        <f t="shared" si="4657"/>
        <v>CAMP PENDLETON</v>
      </c>
      <c r="E12557" t="str">
        <f t="shared" si="4658"/>
        <v>CA</v>
      </c>
      <c r="F12557" t="str">
        <f t="shared" ref="F12557:F12569" si="4662">T("920555171")</f>
        <v>920555171</v>
      </c>
      <c r="G12557" t="str">
        <f>T("CONTRACTS OFFICE")</f>
        <v>CONTRACTS OFFICE</v>
      </c>
      <c r="H12557" t="str">
        <f>T("BOX 555171 BLDG 31335B")</f>
        <v>BOX 555171 BLDG 31335B</v>
      </c>
      <c r="I12557" t="str">
        <f t="shared" si="4659"/>
        <v>CAMP PENDLETON</v>
      </c>
      <c r="J12557" t="str">
        <f t="shared" si="4660"/>
        <v>CA</v>
      </c>
      <c r="K12557" t="str">
        <f>T("7607252514")</f>
        <v>7607252514</v>
      </c>
      <c r="L12557" t="str">
        <f>T("7607252147")</f>
        <v>7607252147</v>
      </c>
    </row>
    <row r="12558" spans="1:12" x14ac:dyDescent="0.35">
      <c r="A12558" t="str">
        <f t="shared" si="4656"/>
        <v>MCTSSA MARCORSYSCOM</v>
      </c>
      <c r="B12558" t="str">
        <f>T("HQTRS BLDG 31335A")</f>
        <v>HQTRS BLDG 31335A</v>
      </c>
      <c r="C12558" t="str">
        <f t="shared" si="4661"/>
        <v>BOX 555171</v>
      </c>
      <c r="D12558" t="str">
        <f t="shared" si="4657"/>
        <v>CAMP PENDLETON</v>
      </c>
      <c r="E12558" t="str">
        <f t="shared" si="4658"/>
        <v>CA</v>
      </c>
      <c r="F12558" t="str">
        <f t="shared" si="4662"/>
        <v>920555171</v>
      </c>
      <c r="G12558" t="str">
        <f>T("FISCAL OFFICE")</f>
        <v>FISCAL OFFICE</v>
      </c>
      <c r="H12558" t="str">
        <f>T("BOX 555171 BLDG 31334T1")</f>
        <v>BOX 555171 BLDG 31334T1</v>
      </c>
      <c r="I12558" t="str">
        <f t="shared" si="4659"/>
        <v>CAMP PENDLETON</v>
      </c>
      <c r="J12558" t="str">
        <f t="shared" si="4660"/>
        <v>CA</v>
      </c>
      <c r="K12558" t="str">
        <f>T("000000000000000000")</f>
        <v>000000000000000000</v>
      </c>
      <c r="L12558" t="str">
        <f>T("7607252250")</f>
        <v>7607252250</v>
      </c>
    </row>
    <row r="12559" spans="1:12" x14ac:dyDescent="0.35">
      <c r="A12559" t="str">
        <f t="shared" si="4656"/>
        <v>MCTSSA MARCORSYSCOM</v>
      </c>
      <c r="B12559" t="str">
        <f>T("HQTRS BLDG 31335A")</f>
        <v>HQTRS BLDG 31335A</v>
      </c>
      <c r="C12559" t="str">
        <f t="shared" si="4661"/>
        <v>BOX 555171</v>
      </c>
      <c r="D12559" t="str">
        <f t="shared" si="4657"/>
        <v>CAMP PENDLETON</v>
      </c>
      <c r="E12559" t="str">
        <f t="shared" si="4658"/>
        <v>CA</v>
      </c>
      <c r="F12559" t="str">
        <f t="shared" si="4662"/>
        <v>920555171</v>
      </c>
      <c r="G12559" t="str">
        <f>T("FISCAL OFFICE")</f>
        <v>FISCAL OFFICE</v>
      </c>
      <c r="H12559" t="str">
        <f>T("BOX 555171 BLDG 31335B")</f>
        <v>BOX 555171 BLDG 31335B</v>
      </c>
      <c r="I12559" t="str">
        <f t="shared" si="4659"/>
        <v>CAMP PENDLETON</v>
      </c>
      <c r="J12559" t="str">
        <f t="shared" si="4660"/>
        <v>CA</v>
      </c>
      <c r="K12559" t="str">
        <f>T("7607252514")</f>
        <v>7607252514</v>
      </c>
      <c r="L12559" t="str">
        <f>T("7607250724")</f>
        <v>7607250724</v>
      </c>
    </row>
    <row r="12560" spans="1:12" x14ac:dyDescent="0.35">
      <c r="A12560" t="str">
        <f t="shared" si="4656"/>
        <v>MCTSSA MARCORSYSCOM</v>
      </c>
      <c r="B12560" t="str">
        <f>T("HQTRS BLDG 31335A")</f>
        <v>HQTRS BLDG 31335A</v>
      </c>
      <c r="C12560" t="str">
        <f t="shared" si="4661"/>
        <v>BOX 555171</v>
      </c>
      <c r="D12560" t="str">
        <f t="shared" si="4657"/>
        <v>CAMP PENDLETON</v>
      </c>
      <c r="E12560" t="str">
        <f t="shared" si="4658"/>
        <v>CA</v>
      </c>
      <c r="F12560" t="str">
        <f t="shared" si="4662"/>
        <v>920555171</v>
      </c>
      <c r="G12560" t="str">
        <f>T("HQTRS BLDG 31335A")</f>
        <v>HQTRS BLDG 31335A</v>
      </c>
      <c r="H12560" t="str">
        <f>T("BOX 555171")</f>
        <v>BOX 555171</v>
      </c>
      <c r="I12560" t="str">
        <f t="shared" si="4659"/>
        <v>CAMP PENDLETON</v>
      </c>
      <c r="J12560" t="str">
        <f t="shared" si="4660"/>
        <v>CA</v>
      </c>
      <c r="K12560" t="str">
        <f>T("")</f>
        <v/>
      </c>
      <c r="L12560" t="str">
        <f>T("7607252187")</f>
        <v>7607252187</v>
      </c>
    </row>
    <row r="12561" spans="1:12" x14ac:dyDescent="0.35">
      <c r="A12561" t="str">
        <f t="shared" si="4656"/>
        <v>MCTSSA MARCORSYSCOM</v>
      </c>
      <c r="B12561" t="str">
        <f>T("HQTRS BLDG 31335A")</f>
        <v>HQTRS BLDG 31335A</v>
      </c>
      <c r="C12561" t="str">
        <f t="shared" si="4661"/>
        <v>BOX 555171</v>
      </c>
      <c r="D12561" t="str">
        <f t="shared" si="4657"/>
        <v>CAMP PENDLETON</v>
      </c>
      <c r="E12561" t="str">
        <f t="shared" si="4658"/>
        <v>CA</v>
      </c>
      <c r="F12561" t="str">
        <f t="shared" si="4662"/>
        <v>920555171</v>
      </c>
      <c r="G12561" t="str">
        <f>T("MCTSSA HQTRS ONE")</f>
        <v>MCTSSA HQTRS ONE</v>
      </c>
      <c r="H12561" t="str">
        <f>T("BOX 555171 BLDG 31335")</f>
        <v>BOX 555171 BLDG 31335</v>
      </c>
      <c r="I12561" t="str">
        <f t="shared" si="4659"/>
        <v>CAMP PENDLETON</v>
      </c>
      <c r="J12561" t="str">
        <f t="shared" si="4660"/>
        <v>CA</v>
      </c>
      <c r="K12561" t="str">
        <f>T("000000000000000000")</f>
        <v>000000000000000000</v>
      </c>
      <c r="L12561" t="str">
        <f>T("7607252617")</f>
        <v>7607252617</v>
      </c>
    </row>
    <row r="12562" spans="1:12" x14ac:dyDescent="0.35">
      <c r="A12562" t="str">
        <f t="shared" si="4656"/>
        <v>MCTSSA MARCORSYSCOM</v>
      </c>
      <c r="B12562" t="str">
        <f>T("HQTRS BLDG 31335B")</f>
        <v>HQTRS BLDG 31335B</v>
      </c>
      <c r="C12562" t="str">
        <f t="shared" si="4661"/>
        <v>BOX 555171</v>
      </c>
      <c r="D12562" t="str">
        <f t="shared" si="4657"/>
        <v>CAMP PENDLETON</v>
      </c>
      <c r="E12562" t="str">
        <f t="shared" si="4658"/>
        <v>CA</v>
      </c>
      <c r="F12562" t="str">
        <f t="shared" si="4662"/>
        <v>920555171</v>
      </c>
      <c r="G12562" t="str">
        <f>T("HQTRS BLDG 31335B")</f>
        <v>HQTRS BLDG 31335B</v>
      </c>
      <c r="H12562" t="str">
        <f>T("BOX 555171")</f>
        <v>BOX 555171</v>
      </c>
      <c r="I12562" t="str">
        <f t="shared" si="4659"/>
        <v>CAMP PENDLETON</v>
      </c>
      <c r="J12562" t="str">
        <f t="shared" si="4660"/>
        <v>CA</v>
      </c>
      <c r="K12562" t="str">
        <f>T("")</f>
        <v/>
      </c>
      <c r="L12562" t="str">
        <f>T("7607252967")</f>
        <v>7607252967</v>
      </c>
    </row>
    <row r="12563" spans="1:12" x14ac:dyDescent="0.35">
      <c r="A12563" t="str">
        <f t="shared" si="4656"/>
        <v>MCTSSA MARCORSYSCOM</v>
      </c>
      <c r="B12563" t="str">
        <f>T("PESG, BLDG 31335B")</f>
        <v>PESG, BLDG 31335B</v>
      </c>
      <c r="C12563" t="str">
        <f t="shared" si="4661"/>
        <v>BOX 555171</v>
      </c>
      <c r="D12563" t="str">
        <f t="shared" si="4657"/>
        <v>CAMP PENDLETON</v>
      </c>
      <c r="E12563" t="str">
        <f t="shared" si="4658"/>
        <v>CA</v>
      </c>
      <c r="F12563" t="str">
        <f t="shared" si="4662"/>
        <v>920555171</v>
      </c>
      <c r="G12563" t="str">
        <f>T("MCTSSA PESG")</f>
        <v>MCTSSA PESG</v>
      </c>
      <c r="H12563" t="str">
        <f>T("BOX 555171 BLDG 31335B")</f>
        <v>BOX 555171 BLDG 31335B</v>
      </c>
      <c r="I12563" t="str">
        <f t="shared" si="4659"/>
        <v>CAMP PENDLETON</v>
      </c>
      <c r="J12563" t="str">
        <f t="shared" si="4660"/>
        <v>CA</v>
      </c>
      <c r="K12563" t="str">
        <f>T("000000000000000000")</f>
        <v>000000000000000000</v>
      </c>
      <c r="L12563" t="str">
        <f>T("7607252962")</f>
        <v>7607252962</v>
      </c>
    </row>
    <row r="12564" spans="1:12" x14ac:dyDescent="0.35">
      <c r="A12564" t="str">
        <f t="shared" si="4656"/>
        <v>MCTSSA MARCORSYSCOM</v>
      </c>
      <c r="B12564" t="str">
        <f>T("PESG, BLDG 31335B")</f>
        <v>PESG, BLDG 31335B</v>
      </c>
      <c r="C12564" t="str">
        <f t="shared" si="4661"/>
        <v>BOX 555171</v>
      </c>
      <c r="D12564" t="str">
        <f t="shared" si="4657"/>
        <v>CAMP PENDLETON</v>
      </c>
      <c r="E12564" t="str">
        <f t="shared" si="4658"/>
        <v>CA</v>
      </c>
      <c r="F12564" t="str">
        <f t="shared" si="4662"/>
        <v>920555171</v>
      </c>
      <c r="G12564" t="str">
        <f>T("PESG")</f>
        <v>PESG</v>
      </c>
      <c r="H12564" t="str">
        <f>T("DRAWER 555171 BLDG 31357")</f>
        <v>DRAWER 555171 BLDG 31357</v>
      </c>
      <c r="I12564" t="str">
        <f t="shared" si="4659"/>
        <v>CAMP PENDLETON</v>
      </c>
      <c r="J12564" t="str">
        <f t="shared" si="4660"/>
        <v>CA</v>
      </c>
      <c r="K12564" t="str">
        <f>T("000000000000000000")</f>
        <v>000000000000000000</v>
      </c>
      <c r="L12564" t="str">
        <f>T("7606377736")</f>
        <v>7606377736</v>
      </c>
    </row>
    <row r="12565" spans="1:12" x14ac:dyDescent="0.35">
      <c r="A12565" t="str">
        <f t="shared" si="4656"/>
        <v>MCTSSA MARCORSYSCOM</v>
      </c>
      <c r="B12565" t="str">
        <f>T("PESG, BLDG 31335B")</f>
        <v>PESG, BLDG 31335B</v>
      </c>
      <c r="C12565" t="str">
        <f t="shared" si="4661"/>
        <v>BOX 555171</v>
      </c>
      <c r="D12565" t="str">
        <f t="shared" si="4657"/>
        <v>CAMP PENDLETON</v>
      </c>
      <c r="E12565" t="str">
        <f t="shared" si="4658"/>
        <v>CA</v>
      </c>
      <c r="F12565" t="str">
        <f t="shared" si="4662"/>
        <v>920555171</v>
      </c>
      <c r="G12565" t="str">
        <f>T("PESG, BLDG 31335B")</f>
        <v>PESG, BLDG 31335B</v>
      </c>
      <c r="H12565" t="str">
        <f>T("BOX 555171")</f>
        <v>BOX 555171</v>
      </c>
      <c r="I12565" t="str">
        <f t="shared" si="4659"/>
        <v>CAMP PENDLETON</v>
      </c>
      <c r="J12565" t="str">
        <f t="shared" si="4660"/>
        <v>CA</v>
      </c>
      <c r="K12565" t="str">
        <f>T("")</f>
        <v/>
      </c>
      <c r="L12565" t="str">
        <f>T("7607252850")</f>
        <v>7607252850</v>
      </c>
    </row>
    <row r="12566" spans="1:12" x14ac:dyDescent="0.35">
      <c r="A12566" t="str">
        <f t="shared" si="4656"/>
        <v>MCTSSA MARCORSYSCOM</v>
      </c>
      <c r="B12566" t="str">
        <f>T("T&amp;CG BLDG 31337")</f>
        <v>T&amp;CG BLDG 31337</v>
      </c>
      <c r="C12566" t="str">
        <f t="shared" si="4661"/>
        <v>BOX 555171</v>
      </c>
      <c r="D12566" t="str">
        <f t="shared" si="4657"/>
        <v>CAMP PENDLETON</v>
      </c>
      <c r="E12566" t="str">
        <f t="shared" si="4658"/>
        <v>CA</v>
      </c>
      <c r="F12566" t="str">
        <f t="shared" si="4662"/>
        <v>920555171</v>
      </c>
      <c r="G12566" t="str">
        <f>T("T&amp;CG")</f>
        <v>T&amp;CG</v>
      </c>
      <c r="H12566" t="str">
        <f>T("BOX 555171 BLDG 31337")</f>
        <v>BOX 555171 BLDG 31337</v>
      </c>
      <c r="I12566" t="str">
        <f t="shared" si="4659"/>
        <v>CAMP PENDLETON</v>
      </c>
      <c r="J12566" t="str">
        <f t="shared" si="4660"/>
        <v>CA</v>
      </c>
      <c r="K12566" t="str">
        <f>T("000000000000000000")</f>
        <v>000000000000000000</v>
      </c>
      <c r="L12566" t="str">
        <f>T("7607635450")</f>
        <v>7607635450</v>
      </c>
    </row>
    <row r="12567" spans="1:12" x14ac:dyDescent="0.35">
      <c r="A12567" t="str">
        <f t="shared" si="4656"/>
        <v>MCTSSA MARCORSYSCOM</v>
      </c>
      <c r="B12567" t="str">
        <f>T("T&amp;CG BLDG 31337")</f>
        <v>T&amp;CG BLDG 31337</v>
      </c>
      <c r="C12567" t="str">
        <f t="shared" si="4661"/>
        <v>BOX 555171</v>
      </c>
      <c r="D12567" t="str">
        <f t="shared" si="4657"/>
        <v>CAMP PENDLETON</v>
      </c>
      <c r="E12567" t="str">
        <f t="shared" si="4658"/>
        <v>CA</v>
      </c>
      <c r="F12567" t="str">
        <f t="shared" si="4662"/>
        <v>920555171</v>
      </c>
      <c r="G12567" t="str">
        <f>T("T&amp;CG BLDG 31337")</f>
        <v>T&amp;CG BLDG 31337</v>
      </c>
      <c r="H12567" t="str">
        <f>T("BOX 555171")</f>
        <v>BOX 555171</v>
      </c>
      <c r="I12567" t="str">
        <f t="shared" si="4659"/>
        <v>CAMP PENDLETON</v>
      </c>
      <c r="J12567" t="str">
        <f t="shared" si="4660"/>
        <v>CA</v>
      </c>
      <c r="K12567" t="str">
        <f>T("")</f>
        <v/>
      </c>
      <c r="L12567" t="str">
        <f>T("7607635445")</f>
        <v>7607635445</v>
      </c>
    </row>
    <row r="12568" spans="1:12" x14ac:dyDescent="0.35">
      <c r="A12568" t="str">
        <f t="shared" si="4656"/>
        <v>MCTSSA MARCORSYSCOM</v>
      </c>
      <c r="B12568" t="str">
        <f>T("TISG BLDG 31338A")</f>
        <v>TISG BLDG 31338A</v>
      </c>
      <c r="C12568" t="str">
        <f t="shared" si="4661"/>
        <v>BOX 555171</v>
      </c>
      <c r="D12568" t="str">
        <f t="shared" si="4657"/>
        <v>CAMP PENDLETON</v>
      </c>
      <c r="E12568" t="str">
        <f t="shared" si="4658"/>
        <v>CA</v>
      </c>
      <c r="F12568" t="str">
        <f t="shared" si="4662"/>
        <v>920555171</v>
      </c>
      <c r="G12568" t="str">
        <f>T("MCTSSA TISG")</f>
        <v>MCTSSA TISG</v>
      </c>
      <c r="H12568" t="str">
        <f>T("BOX 555171 BLDG 31338B")</f>
        <v>BOX 555171 BLDG 31338B</v>
      </c>
      <c r="I12568" t="str">
        <f t="shared" si="4659"/>
        <v>CAMP PENDLETON</v>
      </c>
      <c r="J12568" t="str">
        <f t="shared" si="4660"/>
        <v>CA</v>
      </c>
      <c r="K12568" t="str">
        <f>T("000000000000000000")</f>
        <v>000000000000000000</v>
      </c>
      <c r="L12568" t="str">
        <f>T("7607255981")</f>
        <v>7607255981</v>
      </c>
    </row>
    <row r="12569" spans="1:12" x14ac:dyDescent="0.35">
      <c r="A12569" t="str">
        <f t="shared" si="4656"/>
        <v>MCTSSA MARCORSYSCOM</v>
      </c>
      <c r="B12569" t="str">
        <f>T("TISG BLDG 31338A")</f>
        <v>TISG BLDG 31338A</v>
      </c>
      <c r="C12569" t="str">
        <f t="shared" si="4661"/>
        <v>BOX 555171</v>
      </c>
      <c r="D12569" t="str">
        <f t="shared" si="4657"/>
        <v>CAMP PENDLETON</v>
      </c>
      <c r="E12569" t="str">
        <f t="shared" si="4658"/>
        <v>CA</v>
      </c>
      <c r="F12569" t="str">
        <f t="shared" si="4662"/>
        <v>920555171</v>
      </c>
      <c r="G12569" t="str">
        <f>T("TISG BLDG 31338A")</f>
        <v>TISG BLDG 31338A</v>
      </c>
      <c r="H12569" t="str">
        <f>T("BOX 555171")</f>
        <v>BOX 555171</v>
      </c>
      <c r="I12569" t="str">
        <f t="shared" si="4659"/>
        <v>CAMP PENDLETON</v>
      </c>
      <c r="J12569" t="str">
        <f t="shared" si="4660"/>
        <v>CA</v>
      </c>
      <c r="K12569" t="str">
        <f>T("")</f>
        <v/>
      </c>
      <c r="L12569" t="str">
        <f>T("7607252394")</f>
        <v>7607252394</v>
      </c>
    </row>
    <row r="12570" spans="1:12" x14ac:dyDescent="0.35">
      <c r="A12570" t="str">
        <f>T("COMMANDER DESTROYER SQUADRON")</f>
        <v>COMMANDER DESTROYER SQUADRON</v>
      </c>
      <c r="B12570" t="str">
        <f>T("PSC 470 BOX 4250")</f>
        <v>PSC 470 BOX 4250</v>
      </c>
      <c r="C12570" t="str">
        <f>T("")</f>
        <v/>
      </c>
      <c r="D12570" t="str">
        <f>T("FPO")</f>
        <v>FPO</v>
      </c>
      <c r="E12570" t="str">
        <f>T("AP")</f>
        <v>AP</v>
      </c>
      <c r="F12570" t="str">
        <f>T("965340043")</f>
        <v>965340043</v>
      </c>
      <c r="G12570" t="str">
        <f>T("ATTN SUPPLY OFFICER")</f>
        <v>ATTN SUPPLY OFFICER</v>
      </c>
      <c r="H12570" t="str">
        <f>T("PSC 470 BOX 4250")</f>
        <v>PSC 470 BOX 4250</v>
      </c>
      <c r="I12570" t="str">
        <f>T("FPO")</f>
        <v>FPO</v>
      </c>
      <c r="J12570" t="str">
        <f>T("AP")</f>
        <v>AP</v>
      </c>
      <c r="K12570" t="str">
        <f>T("000000000000000000")</f>
        <v>000000000000000000</v>
      </c>
      <c r="L12570" t="str">
        <f>T("3154211404")</f>
        <v>3154211404</v>
      </c>
    </row>
    <row r="12571" spans="1:12" x14ac:dyDescent="0.35">
      <c r="A12571" t="str">
        <f>T("COMMANDER DESTROYER SQUADRON")</f>
        <v>COMMANDER DESTROYER SQUADRON</v>
      </c>
      <c r="B12571" t="str">
        <f>T("PSC 470 BOX 4250")</f>
        <v>PSC 470 BOX 4250</v>
      </c>
      <c r="C12571" t="str">
        <f>T("")</f>
        <v/>
      </c>
      <c r="D12571" t="str">
        <f>T("FPO")</f>
        <v>FPO</v>
      </c>
      <c r="E12571" t="str">
        <f>T("AP")</f>
        <v>AP</v>
      </c>
      <c r="F12571" t="str">
        <f>T("965340043")</f>
        <v>965340043</v>
      </c>
      <c r="G12571" t="str">
        <f>T("PSC 470 BOX 4250")</f>
        <v>PSC 470 BOX 4250</v>
      </c>
      <c r="H12571" t="str">
        <f>T("")</f>
        <v/>
      </c>
      <c r="I12571" t="str">
        <f>T("FPO")</f>
        <v>FPO</v>
      </c>
      <c r="J12571" t="str">
        <f>T("AP")</f>
        <v>AP</v>
      </c>
      <c r="K12571" t="str">
        <f>T("000000000000000000")</f>
        <v>000000000000000000</v>
      </c>
      <c r="L12571" t="str">
        <f>T("3154211519")</f>
        <v>3154211519</v>
      </c>
    </row>
    <row r="12572" spans="1:12" x14ac:dyDescent="0.35">
      <c r="A12572" t="str">
        <f>T("COMDESRON NINE")</f>
        <v>COMDESRON NINE</v>
      </c>
      <c r="B12572" t="str">
        <f>T("COMDESRON NINE")</f>
        <v>COMDESRON NINE</v>
      </c>
      <c r="C12572" t="str">
        <f>T("2000 WEST MARINE VIEW DR BLDG 2202")</f>
        <v>2000 WEST MARINE VIEW DR BLDG 2202</v>
      </c>
      <c r="D12572" t="str">
        <f>T("EVERETT")</f>
        <v>EVERETT</v>
      </c>
      <c r="E12572" t="str">
        <f>T("WA")</f>
        <v>WA</v>
      </c>
      <c r="F12572" t="str">
        <f>T("982070001")</f>
        <v>982070001</v>
      </c>
      <c r="G12572" t="str">
        <f>T("2000 WEST MARINE VIEW DR")</f>
        <v>2000 WEST MARINE VIEW DR</v>
      </c>
      <c r="H12572" t="str">
        <f>T("BLDG 2202")</f>
        <v>BLDG 2202</v>
      </c>
      <c r="I12572" t="str">
        <f>T("EVERETT")</f>
        <v>EVERETT</v>
      </c>
      <c r="J12572" t="str">
        <f>T("WA")</f>
        <v>WA</v>
      </c>
      <c r="K12572" t="str">
        <f>T("4253044639")</f>
        <v>4253044639</v>
      </c>
      <c r="L12572" t="str">
        <f>T("4253044654")</f>
        <v>4253044654</v>
      </c>
    </row>
    <row r="12573" spans="1:12" x14ac:dyDescent="0.35">
      <c r="A12573" t="str">
        <f>T("COMDESRON NINE")</f>
        <v>COMDESRON NINE</v>
      </c>
      <c r="B12573" t="str">
        <f>T("COMDESRON NINE")</f>
        <v>COMDESRON NINE</v>
      </c>
      <c r="C12573" t="str">
        <f>T("2000 WEST MARINE VIEW DR BLDG 2202")</f>
        <v>2000 WEST MARINE VIEW DR BLDG 2202</v>
      </c>
      <c r="D12573" t="str">
        <f>T("EVERETT")</f>
        <v>EVERETT</v>
      </c>
      <c r="E12573" t="str">
        <f>T("WA")</f>
        <v>WA</v>
      </c>
      <c r="F12573" t="str">
        <f>T("982070001")</f>
        <v>982070001</v>
      </c>
      <c r="G12573" t="str">
        <f>T("COMDESRON NINE")</f>
        <v>COMDESRON NINE</v>
      </c>
      <c r="H12573" t="str">
        <f>T("2000 WEST MARINE VIEW DR BLDG 2202")</f>
        <v>2000 WEST MARINE VIEW DR BLDG 2202</v>
      </c>
      <c r="I12573" t="str">
        <f>T("EVERETT")</f>
        <v>EVERETT</v>
      </c>
      <c r="J12573" t="str">
        <f>T("WA")</f>
        <v>WA</v>
      </c>
      <c r="K12573" t="str">
        <f>T("425 304 4607")</f>
        <v>425 304 4607</v>
      </c>
      <c r="L12573" t="str">
        <f>T("4253044641")</f>
        <v>4253044641</v>
      </c>
    </row>
    <row r="12574" spans="1:12" x14ac:dyDescent="0.35">
      <c r="A12574" t="str">
        <f>T("COMDESRON ONE")</f>
        <v>COMDESRON ONE</v>
      </c>
      <c r="B12574" t="str">
        <f>T("DESTROYER SQUADRON ONE")</f>
        <v>DESTROYER SQUADRON ONE</v>
      </c>
      <c r="C12574" t="str">
        <f>T("")</f>
        <v/>
      </c>
      <c r="D12574" t="str">
        <f t="shared" ref="D12574:D12583" si="4663">T("FPO")</f>
        <v>FPO</v>
      </c>
      <c r="E12574" t="str">
        <f t="shared" ref="E12574:E12583" si="4664">T("AP")</f>
        <v>AP</v>
      </c>
      <c r="F12574" t="str">
        <f>T("966010000")</f>
        <v>966010000</v>
      </c>
      <c r="G12574" t="str">
        <f>T("ATTN SUPPLY DEPT")</f>
        <v>ATTN SUPPLY DEPT</v>
      </c>
      <c r="H12574" t="str">
        <f>T("3325 SENN RD BLDG 55")</f>
        <v>3325 SENN RD BLDG 55</v>
      </c>
      <c r="I12574" t="str">
        <f>T("SAN DIEGO")</f>
        <v>SAN DIEGO</v>
      </c>
      <c r="J12574" t="str">
        <f>T("CA")</f>
        <v>CA</v>
      </c>
      <c r="K12574" t="str">
        <f>T("6195565003")</f>
        <v>6195565003</v>
      </c>
      <c r="L12574" t="str">
        <f>T("6195564996")</f>
        <v>6195564996</v>
      </c>
    </row>
    <row r="12575" spans="1:12" x14ac:dyDescent="0.35">
      <c r="A12575" t="str">
        <f>T("COMDESRON ONE")</f>
        <v>COMDESRON ONE</v>
      </c>
      <c r="B12575" t="str">
        <f>T("DESTROYER SQUADRON ONE")</f>
        <v>DESTROYER SQUADRON ONE</v>
      </c>
      <c r="C12575" t="str">
        <f>T("")</f>
        <v/>
      </c>
      <c r="D12575" t="str">
        <f t="shared" si="4663"/>
        <v>FPO</v>
      </c>
      <c r="E12575" t="str">
        <f t="shared" si="4664"/>
        <v>AP</v>
      </c>
      <c r="F12575" t="str">
        <f>T("966010000")</f>
        <v>966010000</v>
      </c>
      <c r="G12575" t="str">
        <f>T("ATTN SUPPLY OFFICER")</f>
        <v>ATTN SUPPLY OFFICER</v>
      </c>
      <c r="H12575" t="str">
        <f>T("3325 SENN ROAD BLDG 55")</f>
        <v>3325 SENN ROAD BLDG 55</v>
      </c>
      <c r="I12575" t="str">
        <f>T("SAN DIEGO")</f>
        <v>SAN DIEGO</v>
      </c>
      <c r="J12575" t="str">
        <f>T("CA")</f>
        <v>CA</v>
      </c>
      <c r="K12575" t="str">
        <f>T("000000000000000000")</f>
        <v>000000000000000000</v>
      </c>
      <c r="L12575" t="str">
        <f>T("6195564996")</f>
        <v>6195564996</v>
      </c>
    </row>
    <row r="12576" spans="1:12" x14ac:dyDescent="0.35">
      <c r="A12576" t="str">
        <f>T("COMDESRON ONE")</f>
        <v>COMDESRON ONE</v>
      </c>
      <c r="B12576" t="str">
        <f>T("DESTROYER SQUADRON ONE")</f>
        <v>DESTROYER SQUADRON ONE</v>
      </c>
      <c r="C12576" t="str">
        <f>T("")</f>
        <v/>
      </c>
      <c r="D12576" t="str">
        <f t="shared" si="4663"/>
        <v>FPO</v>
      </c>
      <c r="E12576" t="str">
        <f t="shared" si="4664"/>
        <v>AP</v>
      </c>
      <c r="F12576" t="str">
        <f>T("966010000")</f>
        <v>966010000</v>
      </c>
      <c r="G12576" t="str">
        <f>T("DESTROYER SQUADRON ONE")</f>
        <v>DESTROYER SQUADRON ONE</v>
      </c>
      <c r="H12576" t="str">
        <f>T("")</f>
        <v/>
      </c>
      <c r="I12576" t="str">
        <f t="shared" ref="I12576:I12583" si="4665">T("FPO")</f>
        <v>FPO</v>
      </c>
      <c r="J12576" t="str">
        <f t="shared" ref="J12576:J12583" si="4666">T("AP")</f>
        <v>AP</v>
      </c>
      <c r="K12576" t="str">
        <f>T("6195565003")</f>
        <v>6195565003</v>
      </c>
      <c r="L12576" t="str">
        <f>T("6195456999")</f>
        <v>6195456999</v>
      </c>
    </row>
    <row r="12577" spans="1:12" x14ac:dyDescent="0.35">
      <c r="A12577" t="str">
        <f>T("USS JOHN PAUL JONES DDG-53")</f>
        <v>USS JOHN PAUL JONES DDG-53</v>
      </c>
      <c r="B12577" t="str">
        <f>T("USS JOHN PAUL JONES DDG 53")</f>
        <v>USS JOHN PAUL JONES DDG 53</v>
      </c>
      <c r="C12577" t="str">
        <f>T("S-1 DIVISION")</f>
        <v>S-1 DIVISION</v>
      </c>
      <c r="D12577" t="str">
        <f t="shared" si="4663"/>
        <v>FPO</v>
      </c>
      <c r="E12577" t="str">
        <f t="shared" si="4664"/>
        <v>AP</v>
      </c>
      <c r="F12577" t="str">
        <f>T("966691271")</f>
        <v>966691271</v>
      </c>
      <c r="G12577" t="str">
        <f>T("USS JOHN PAUL JONES DDG 53")</f>
        <v>USS JOHN PAUL JONES DDG 53</v>
      </c>
      <c r="H12577" t="str">
        <f>T("S-1 DIVISION")</f>
        <v>S-1 DIVISION</v>
      </c>
      <c r="I12577" t="str">
        <f t="shared" si="4665"/>
        <v>FPO</v>
      </c>
      <c r="J12577" t="str">
        <f t="shared" si="4666"/>
        <v>AP</v>
      </c>
      <c r="K12577" t="str">
        <f>T("6195564491")</f>
        <v>6195564491</v>
      </c>
      <c r="L12577" t="str">
        <f>T("8084743155")</f>
        <v>8084743155</v>
      </c>
    </row>
    <row r="12578" spans="1:12" x14ac:dyDescent="0.35">
      <c r="A12578" t="str">
        <f>T("USS JOHN PAUL JONES DDG-53")</f>
        <v>USS JOHN PAUL JONES DDG-53</v>
      </c>
      <c r="B12578" t="str">
        <f>T("USS JOHN PAUL JONES DDG 53")</f>
        <v>USS JOHN PAUL JONES DDG 53</v>
      </c>
      <c r="C12578" t="str">
        <f>T("S-1 DIVISION")</f>
        <v>S-1 DIVISION</v>
      </c>
      <c r="D12578" t="str">
        <f t="shared" si="4663"/>
        <v>FPO</v>
      </c>
      <c r="E12578" t="str">
        <f t="shared" si="4664"/>
        <v>AP</v>
      </c>
      <c r="F12578" t="str">
        <f>T("966691271")</f>
        <v>966691271</v>
      </c>
      <c r="G12578" t="str">
        <f>T("USS JOHN PAUL JONES DDG53")</f>
        <v>USS JOHN PAUL JONES DDG53</v>
      </c>
      <c r="H12578" t="str">
        <f>T("SUPPLY DEPT S1")</f>
        <v>SUPPLY DEPT S1</v>
      </c>
      <c r="I12578" t="str">
        <f t="shared" si="4665"/>
        <v>FPO</v>
      </c>
      <c r="J12578" t="str">
        <f t="shared" si="4666"/>
        <v>AP</v>
      </c>
      <c r="K12578" t="str">
        <f>T("000000000000000000")</f>
        <v>000000000000000000</v>
      </c>
      <c r="L12578" t="str">
        <f>T("6195564491")</f>
        <v>6195564491</v>
      </c>
    </row>
    <row r="12579" spans="1:12" x14ac:dyDescent="0.35">
      <c r="A12579" t="str">
        <f t="shared" ref="A12579:B12581" si="4667">T("USS BUNKER HILL CG-52")</f>
        <v>USS BUNKER HILL CG-52</v>
      </c>
      <c r="B12579" t="str">
        <f t="shared" si="4667"/>
        <v>USS BUNKER HILL CG-52</v>
      </c>
      <c r="C12579" t="str">
        <f>T("UNIT 100125 BOX 1")</f>
        <v>UNIT 100125 BOX 1</v>
      </c>
      <c r="D12579" t="str">
        <f t="shared" si="4663"/>
        <v>FPO</v>
      </c>
      <c r="E12579" t="str">
        <f t="shared" si="4664"/>
        <v>AP</v>
      </c>
      <c r="F12579" t="str">
        <f>T("966612500")</f>
        <v>966612500</v>
      </c>
      <c r="G12579" t="str">
        <f>T("ATTN SUPPLY OFFICER")</f>
        <v>ATTN SUPPLY OFFICER</v>
      </c>
      <c r="H12579" t="str">
        <f>T("UNIT 100125 BOX 1")</f>
        <v>UNIT 100125 BOX 1</v>
      </c>
      <c r="I12579" t="str">
        <f t="shared" si="4665"/>
        <v>FPO</v>
      </c>
      <c r="J12579" t="str">
        <f t="shared" si="4666"/>
        <v>AP</v>
      </c>
      <c r="K12579" t="str">
        <f>T("000000000000000000")</f>
        <v>000000000000000000</v>
      </c>
      <c r="L12579" t="str">
        <f>T("6195564195")</f>
        <v>6195564195</v>
      </c>
    </row>
    <row r="12580" spans="1:12" x14ac:dyDescent="0.35">
      <c r="A12580" t="str">
        <f t="shared" si="4667"/>
        <v>USS BUNKER HILL CG-52</v>
      </c>
      <c r="B12580" t="str">
        <f t="shared" si="4667"/>
        <v>USS BUNKER HILL CG-52</v>
      </c>
      <c r="C12580" t="str">
        <f>T("UNIT 100125 BOX 1")</f>
        <v>UNIT 100125 BOX 1</v>
      </c>
      <c r="D12580" t="str">
        <f t="shared" si="4663"/>
        <v>FPO</v>
      </c>
      <c r="E12580" t="str">
        <f t="shared" si="4664"/>
        <v>AP</v>
      </c>
      <c r="F12580" t="str">
        <f>T("966612500")</f>
        <v>966612500</v>
      </c>
      <c r="G12580" t="str">
        <f>T("USS BUNKER HILL CG 52")</f>
        <v>USS BUNKER HILL CG 52</v>
      </c>
      <c r="H12580" t="str">
        <f>T("UNIT 100125 BOX 1")</f>
        <v>UNIT 100125 BOX 1</v>
      </c>
      <c r="I12580" t="str">
        <f t="shared" si="4665"/>
        <v>FPO</v>
      </c>
      <c r="J12580" t="str">
        <f t="shared" si="4666"/>
        <v>AP</v>
      </c>
      <c r="K12580" t="str">
        <f>T("000000000000000000")</f>
        <v>000000000000000000</v>
      </c>
      <c r="L12580" t="str">
        <f>T("6195564195")</f>
        <v>6195564195</v>
      </c>
    </row>
    <row r="12581" spans="1:12" x14ac:dyDescent="0.35">
      <c r="A12581" t="str">
        <f t="shared" si="4667"/>
        <v>USS BUNKER HILL CG-52</v>
      </c>
      <c r="B12581" t="str">
        <f t="shared" si="4667"/>
        <v>USS BUNKER HILL CG-52</v>
      </c>
      <c r="C12581" t="str">
        <f>T("UNIT 100125 BOX 1")</f>
        <v>UNIT 100125 BOX 1</v>
      </c>
      <c r="D12581" t="str">
        <f t="shared" si="4663"/>
        <v>FPO</v>
      </c>
      <c r="E12581" t="str">
        <f t="shared" si="4664"/>
        <v>AP</v>
      </c>
      <c r="F12581" t="str">
        <f>T("966612500")</f>
        <v>966612500</v>
      </c>
      <c r="G12581" t="str">
        <f>T("USS BUNKER HILL CG-52")</f>
        <v>USS BUNKER HILL CG-52</v>
      </c>
      <c r="H12581" t="str">
        <f>T("UNIT 100125 BOX 1")</f>
        <v>UNIT 100125 BOX 1</v>
      </c>
      <c r="I12581" t="str">
        <f t="shared" si="4665"/>
        <v>FPO</v>
      </c>
      <c r="J12581" t="str">
        <f t="shared" si="4666"/>
        <v>AP</v>
      </c>
      <c r="K12581" t="str">
        <f>T("619 556 4198")</f>
        <v>619 556 4198</v>
      </c>
      <c r="L12581" t="str">
        <f>T("6195564198")</f>
        <v>6195564198</v>
      </c>
    </row>
    <row r="12582" spans="1:12" x14ac:dyDescent="0.35">
      <c r="A12582" t="str">
        <f>T("USS MOBILE BAY CG-53")</f>
        <v>USS MOBILE BAY CG-53</v>
      </c>
      <c r="B12582" t="str">
        <f>T("USS MIBILE BAY CG-53")</f>
        <v>USS MIBILE BAY CG-53</v>
      </c>
      <c r="C12582" t="str">
        <f>T("UNIT 100515 BOX 1")</f>
        <v>UNIT 100515 BOX 1</v>
      </c>
      <c r="D12582" t="str">
        <f t="shared" si="4663"/>
        <v>FPO</v>
      </c>
      <c r="E12582" t="str">
        <f t="shared" si="4664"/>
        <v>AP</v>
      </c>
      <c r="F12582" t="str">
        <f>T("966721500")</f>
        <v>966721500</v>
      </c>
      <c r="G12582" t="str">
        <f>T("ATTN SUPPLY OFFICER")</f>
        <v>ATTN SUPPLY OFFICER</v>
      </c>
      <c r="H12582" t="str">
        <f>T("UNIT 100515 BOX 1")</f>
        <v>UNIT 100515 BOX 1</v>
      </c>
      <c r="I12582" t="str">
        <f t="shared" si="4665"/>
        <v>FPO</v>
      </c>
      <c r="J12582" t="str">
        <f t="shared" si="4666"/>
        <v>AP</v>
      </c>
      <c r="K12582" t="str">
        <f>T("000000000000000000")</f>
        <v>000000000000000000</v>
      </c>
      <c r="L12582" t="str">
        <f>T("6195564529")</f>
        <v>6195564529</v>
      </c>
    </row>
    <row r="12583" spans="1:12" x14ac:dyDescent="0.35">
      <c r="A12583" t="str">
        <f>T("USS MOBILE BAY CG-53")</f>
        <v>USS MOBILE BAY CG-53</v>
      </c>
      <c r="B12583" t="str">
        <f>T("USS MIBILE BAY CG-53")</f>
        <v>USS MIBILE BAY CG-53</v>
      </c>
      <c r="C12583" t="str">
        <f>T("UNIT 100515 BOX 1")</f>
        <v>UNIT 100515 BOX 1</v>
      </c>
      <c r="D12583" t="str">
        <f t="shared" si="4663"/>
        <v>FPO</v>
      </c>
      <c r="E12583" t="str">
        <f t="shared" si="4664"/>
        <v>AP</v>
      </c>
      <c r="F12583" t="str">
        <f>T("966721500")</f>
        <v>966721500</v>
      </c>
      <c r="G12583" t="str">
        <f>T("USS MIBILE BAY CG-53")</f>
        <v>USS MIBILE BAY CG-53</v>
      </c>
      <c r="H12583" t="str">
        <f>T("UNIT 100515 BOX 1")</f>
        <v>UNIT 100515 BOX 1</v>
      </c>
      <c r="I12583" t="str">
        <f t="shared" si="4665"/>
        <v>FPO</v>
      </c>
      <c r="J12583" t="str">
        <f t="shared" si="4666"/>
        <v>AP</v>
      </c>
      <c r="K12583" t="str">
        <f>T("000000000000000000")</f>
        <v>000000000000000000</v>
      </c>
      <c r="L12583" t="str">
        <f>T("6195564529")</f>
        <v>6195564529</v>
      </c>
    </row>
    <row r="12584" spans="1:12" x14ac:dyDescent="0.35">
      <c r="A12584" t="str">
        <f>T("ATG PACNORWEST")</f>
        <v>ATG PACNORWEST</v>
      </c>
      <c r="B12584" t="str">
        <f>T("2000 W MARINE DRIVE")</f>
        <v>2000 W MARINE DRIVE</v>
      </c>
      <c r="C12584" t="str">
        <f>T("BLDG 2200")</f>
        <v>BLDG 2200</v>
      </c>
      <c r="D12584" t="str">
        <f>T("EVERETT")</f>
        <v>EVERETT</v>
      </c>
      <c r="E12584" t="str">
        <f>T("WA")</f>
        <v>WA</v>
      </c>
      <c r="F12584" t="str">
        <f>T("982070001")</f>
        <v>982070001</v>
      </c>
      <c r="G12584" t="str">
        <f>T("2000 W MARINE DRIVE")</f>
        <v>2000 W MARINE DRIVE</v>
      </c>
      <c r="H12584" t="str">
        <f>T("BLDG 2200")</f>
        <v>BLDG 2200</v>
      </c>
      <c r="I12584" t="str">
        <f>T("EVERETT")</f>
        <v>EVERETT</v>
      </c>
      <c r="J12584" t="str">
        <f>T("WA")</f>
        <v>WA</v>
      </c>
      <c r="K12584" t="str">
        <f>T("000000000000000000")</f>
        <v>000000000000000000</v>
      </c>
      <c r="L12584" t="str">
        <f>T("4253044731")</f>
        <v>4253044731</v>
      </c>
    </row>
    <row r="12585" spans="1:12" x14ac:dyDescent="0.35">
      <c r="A12585" t="str">
        <f>T("ATG PACNORWEST")</f>
        <v>ATG PACNORWEST</v>
      </c>
      <c r="B12585" t="str">
        <f>T("2000 W MARINE DRIVE")</f>
        <v>2000 W MARINE DRIVE</v>
      </c>
      <c r="C12585" t="str">
        <f>T("BLDG 2200")</f>
        <v>BLDG 2200</v>
      </c>
      <c r="D12585" t="str">
        <f>T("EVERETT")</f>
        <v>EVERETT</v>
      </c>
      <c r="E12585" t="str">
        <f>T("WA")</f>
        <v>WA</v>
      </c>
      <c r="F12585" t="str">
        <f>T("982070001")</f>
        <v>982070001</v>
      </c>
      <c r="G12585" t="str">
        <f>T("2000 W MARINE VIEW DRIVE")</f>
        <v>2000 W MARINE VIEW DRIVE</v>
      </c>
      <c r="H12585" t="str">
        <f>T("BLDG 2200")</f>
        <v>BLDG 2200</v>
      </c>
      <c r="I12585" t="str">
        <f>T("EVERETT")</f>
        <v>EVERETT</v>
      </c>
      <c r="J12585" t="str">
        <f>T("WA")</f>
        <v>WA</v>
      </c>
      <c r="K12585" t="str">
        <f>T("4253044744")</f>
        <v>4253044744</v>
      </c>
      <c r="L12585" t="str">
        <f>T("4253044717")</f>
        <v>4253044717</v>
      </c>
    </row>
    <row r="12586" spans="1:12" x14ac:dyDescent="0.35">
      <c r="A12586" t="str">
        <f>T("ATG PACNORWEST")</f>
        <v>ATG PACNORWEST</v>
      </c>
      <c r="B12586" t="str">
        <f>T("2000 W MARINE DRIVE")</f>
        <v>2000 W MARINE DRIVE</v>
      </c>
      <c r="C12586" t="str">
        <f>T("BLDG 2200")</f>
        <v>BLDG 2200</v>
      </c>
      <c r="D12586" t="str">
        <f>T("EVERETT")</f>
        <v>EVERETT</v>
      </c>
      <c r="E12586" t="str">
        <f>T("WA")</f>
        <v>WA</v>
      </c>
      <c r="F12586" t="str">
        <f>T("982070001")</f>
        <v>982070001</v>
      </c>
      <c r="G12586" t="str">
        <f>T("ATTN SUPPLY DEPT")</f>
        <v>ATTN SUPPLY DEPT</v>
      </c>
      <c r="H12586" t="str">
        <f>T("2000 W MARINE VIEW DR BLDG 2200")</f>
        <v>2000 W MARINE VIEW DR BLDG 2200</v>
      </c>
      <c r="I12586" t="str">
        <f>T("EVERETT")</f>
        <v>EVERETT</v>
      </c>
      <c r="J12586" t="str">
        <f>T("WA")</f>
        <v>WA</v>
      </c>
      <c r="K12586" t="str">
        <f>T("4253044744")</f>
        <v>4253044744</v>
      </c>
      <c r="L12586" t="str">
        <f>T("4253044718")</f>
        <v>4253044718</v>
      </c>
    </row>
    <row r="12587" spans="1:12" x14ac:dyDescent="0.35">
      <c r="A12587" t="str">
        <f>T("USS ANTIETAM CG 54")</f>
        <v>USS ANTIETAM CG 54</v>
      </c>
      <c r="B12587" t="str">
        <f>T("SUPPLY DEPT S-1 DIVISION")</f>
        <v>SUPPLY DEPT S-1 DIVISION</v>
      </c>
      <c r="C12587" t="str">
        <f>T("UNIT 100130 BOX 1")</f>
        <v>UNIT 100130 BOX 1</v>
      </c>
      <c r="D12587" t="str">
        <f t="shared" ref="D12587:D12618" si="4668">T("FPO")</f>
        <v>FPO</v>
      </c>
      <c r="E12587" t="str">
        <f t="shared" ref="E12587:E12618" si="4669">T("AP")</f>
        <v>AP</v>
      </c>
      <c r="F12587" t="str">
        <f>T("966603000")</f>
        <v>966603000</v>
      </c>
      <c r="G12587" t="str">
        <f>T("ATTN SUPPLY OFFICER")</f>
        <v>ATTN SUPPLY OFFICER</v>
      </c>
      <c r="H12587" t="str">
        <f>T("S1 DIV")</f>
        <v>S1 DIV</v>
      </c>
      <c r="I12587" t="str">
        <f t="shared" ref="I12587:I12605" si="4670">T("FPO")</f>
        <v>FPO</v>
      </c>
      <c r="J12587" t="str">
        <f t="shared" ref="J12587:J12605" si="4671">T("AP")</f>
        <v>AP</v>
      </c>
      <c r="K12587" t="str">
        <f>T("01181468162829")</f>
        <v>01181468162829</v>
      </c>
      <c r="L12587" t="str">
        <f>T("1111111111")</f>
        <v>1111111111</v>
      </c>
    </row>
    <row r="12588" spans="1:12" x14ac:dyDescent="0.35">
      <c r="A12588" t="str">
        <f>T("USS ANTIETAM CG 54")</f>
        <v>USS ANTIETAM CG 54</v>
      </c>
      <c r="B12588" t="str">
        <f>T("SUPPLY DEPT S-1 DIVISION")</f>
        <v>SUPPLY DEPT S-1 DIVISION</v>
      </c>
      <c r="C12588" t="str">
        <f>T("UNIT 100130 BOX 1")</f>
        <v>UNIT 100130 BOX 1</v>
      </c>
      <c r="D12588" t="str">
        <f t="shared" si="4668"/>
        <v>FPO</v>
      </c>
      <c r="E12588" t="str">
        <f t="shared" si="4669"/>
        <v>AP</v>
      </c>
      <c r="F12588" t="str">
        <f>T("966603000")</f>
        <v>966603000</v>
      </c>
      <c r="G12588" t="str">
        <f>T("ATTN SUPPLY OFFICER")</f>
        <v>ATTN SUPPLY OFFICER</v>
      </c>
      <c r="H12588" t="str">
        <f>T("UNIT 100130 BOX 1")</f>
        <v>UNIT 100130 BOX 1</v>
      </c>
      <c r="I12588" t="str">
        <f t="shared" si="4670"/>
        <v>FPO</v>
      </c>
      <c r="J12588" t="str">
        <f t="shared" si="4671"/>
        <v>AP</v>
      </c>
      <c r="K12588" t="str">
        <f>T("000000000000000000")</f>
        <v>000000000000000000</v>
      </c>
      <c r="L12588" t="str">
        <f>T("3154232829")</f>
        <v>3154232829</v>
      </c>
    </row>
    <row r="12589" spans="1:12" x14ac:dyDescent="0.35">
      <c r="A12589" t="str">
        <f>T("USS ANTIETAM CG 54")</f>
        <v>USS ANTIETAM CG 54</v>
      </c>
      <c r="B12589" t="str">
        <f>T("SUPPLY DEPT S-1 DIVISION")</f>
        <v>SUPPLY DEPT S-1 DIVISION</v>
      </c>
      <c r="C12589" t="str">
        <f>T("UNIT 100130 BOX 1")</f>
        <v>UNIT 100130 BOX 1</v>
      </c>
      <c r="D12589" t="str">
        <f t="shared" si="4668"/>
        <v>FPO</v>
      </c>
      <c r="E12589" t="str">
        <f t="shared" si="4669"/>
        <v>AP</v>
      </c>
      <c r="F12589" t="str">
        <f>T("966603000")</f>
        <v>966603000</v>
      </c>
      <c r="G12589" t="str">
        <f>T("SUPPLY DEPT")</f>
        <v>SUPPLY DEPT</v>
      </c>
      <c r="H12589" t="str">
        <f>T("S1 DIV")</f>
        <v>S1 DIV</v>
      </c>
      <c r="I12589" t="str">
        <f t="shared" si="4670"/>
        <v>FPO</v>
      </c>
      <c r="J12589" t="str">
        <f t="shared" si="4671"/>
        <v>AP</v>
      </c>
      <c r="K12589" t="str">
        <f>T("01181468162829")</f>
        <v>01181468162829</v>
      </c>
      <c r="L12589" t="str">
        <f>T("1111111111")</f>
        <v>1111111111</v>
      </c>
    </row>
    <row r="12590" spans="1:12" x14ac:dyDescent="0.35">
      <c r="A12590" t="str">
        <f>T("USS ANTIETAM CG 54")</f>
        <v>USS ANTIETAM CG 54</v>
      </c>
      <c r="B12590" t="str">
        <f>T("SUPPLY DEPT S-1 DIVISION")</f>
        <v>SUPPLY DEPT S-1 DIVISION</v>
      </c>
      <c r="C12590" t="str">
        <f>T("UNIT 100130 BOX 1")</f>
        <v>UNIT 100130 BOX 1</v>
      </c>
      <c r="D12590" t="str">
        <f t="shared" si="4668"/>
        <v>FPO</v>
      </c>
      <c r="E12590" t="str">
        <f t="shared" si="4669"/>
        <v>AP</v>
      </c>
      <c r="F12590" t="str">
        <f>T("966603000")</f>
        <v>966603000</v>
      </c>
      <c r="G12590" t="str">
        <f>T("SUPPLY DEPT S-1 DIVISION")</f>
        <v>SUPPLY DEPT S-1 DIVISION</v>
      </c>
      <c r="H12590" t="str">
        <f>T("UNIT 100130 BOX 1")</f>
        <v>UNIT 100130 BOX 1</v>
      </c>
      <c r="I12590" t="str">
        <f t="shared" si="4670"/>
        <v>FPO</v>
      </c>
      <c r="J12590" t="str">
        <f t="shared" si="4671"/>
        <v>AP</v>
      </c>
      <c r="K12590" t="str">
        <f>T("3152432829")</f>
        <v>3152432829</v>
      </c>
      <c r="L12590" t="str">
        <f>T("3152432829")</f>
        <v>3152432829</v>
      </c>
    </row>
    <row r="12591" spans="1:12" x14ac:dyDescent="0.35">
      <c r="A12591" t="str">
        <f t="shared" ref="A12591:B12595" si="4672">T("USS LAKE CHAMPLAIN CG 57")</f>
        <v>USS LAKE CHAMPLAIN CG 57</v>
      </c>
      <c r="B12591" t="str">
        <f t="shared" si="4672"/>
        <v>USS LAKE CHAMPLAIN CG 57</v>
      </c>
      <c r="C12591" t="str">
        <f>T("UNIT 100135 BOX 1")</f>
        <v>UNIT 100135 BOX 1</v>
      </c>
      <c r="D12591" t="str">
        <f t="shared" si="4668"/>
        <v>FPO</v>
      </c>
      <c r="E12591" t="str">
        <f t="shared" si="4669"/>
        <v>AP</v>
      </c>
      <c r="F12591" t="str">
        <f>T("966713500")</f>
        <v>966713500</v>
      </c>
      <c r="G12591" t="str">
        <f>T("ATTN SUPPLY OFFICER")</f>
        <v>ATTN SUPPLY OFFICER</v>
      </c>
      <c r="H12591" t="str">
        <f>T("UNIT 100135 BOX 1")</f>
        <v>UNIT 100135 BOX 1</v>
      </c>
      <c r="I12591" t="str">
        <f t="shared" si="4670"/>
        <v>FPO</v>
      </c>
      <c r="J12591" t="str">
        <f t="shared" si="4671"/>
        <v>AP</v>
      </c>
      <c r="K12591" t="str">
        <f>T("000000000000000000")</f>
        <v>000000000000000000</v>
      </c>
      <c r="L12591" t="str">
        <f>T("6195564478")</f>
        <v>6195564478</v>
      </c>
    </row>
    <row r="12592" spans="1:12" x14ac:dyDescent="0.35">
      <c r="A12592" t="str">
        <f t="shared" si="4672"/>
        <v>USS LAKE CHAMPLAIN CG 57</v>
      </c>
      <c r="B12592" t="str">
        <f t="shared" si="4672"/>
        <v>USS LAKE CHAMPLAIN CG 57</v>
      </c>
      <c r="C12592" t="str">
        <f>T("UNIT 100135 BOX 1")</f>
        <v>UNIT 100135 BOX 1</v>
      </c>
      <c r="D12592" t="str">
        <f t="shared" si="4668"/>
        <v>FPO</v>
      </c>
      <c r="E12592" t="str">
        <f t="shared" si="4669"/>
        <v>AP</v>
      </c>
      <c r="F12592" t="str">
        <f>T("966713500")</f>
        <v>966713500</v>
      </c>
      <c r="G12592" t="str">
        <f>T("ATTN SUPPLY OFFICER")</f>
        <v>ATTN SUPPLY OFFICER</v>
      </c>
      <c r="H12592" t="str">
        <f>T("UNIT 100135 BOX1")</f>
        <v>UNIT 100135 BOX1</v>
      </c>
      <c r="I12592" t="str">
        <f t="shared" si="4670"/>
        <v>FPO</v>
      </c>
      <c r="J12592" t="str">
        <f t="shared" si="4671"/>
        <v>AP</v>
      </c>
      <c r="K12592" t="str">
        <f>T("000000000000000000")</f>
        <v>000000000000000000</v>
      </c>
      <c r="L12592" t="str">
        <f>T("6195564478")</f>
        <v>6195564478</v>
      </c>
    </row>
    <row r="12593" spans="1:12" x14ac:dyDescent="0.35">
      <c r="A12593" t="str">
        <f t="shared" si="4672"/>
        <v>USS LAKE CHAMPLAIN CG 57</v>
      </c>
      <c r="B12593" t="str">
        <f t="shared" si="4672"/>
        <v>USS LAKE CHAMPLAIN CG 57</v>
      </c>
      <c r="C12593" t="str">
        <f>T("UNIT 100135 BOX 1")</f>
        <v>UNIT 100135 BOX 1</v>
      </c>
      <c r="D12593" t="str">
        <f t="shared" si="4668"/>
        <v>FPO</v>
      </c>
      <c r="E12593" t="str">
        <f t="shared" si="4669"/>
        <v>AP</v>
      </c>
      <c r="F12593" t="str">
        <f>T("966713500")</f>
        <v>966713500</v>
      </c>
      <c r="G12593" t="str">
        <f>T("SUPPLY DEPT")</f>
        <v>SUPPLY DEPT</v>
      </c>
      <c r="H12593" t="str">
        <f>T("S 1 DIV")</f>
        <v>S 1 DIV</v>
      </c>
      <c r="I12593" t="str">
        <f t="shared" si="4670"/>
        <v>FPO</v>
      </c>
      <c r="J12593" t="str">
        <f t="shared" si="4671"/>
        <v>AP</v>
      </c>
      <c r="K12593" t="str">
        <f>T("000000000000000000")</f>
        <v>000000000000000000</v>
      </c>
      <c r="L12593" t="str">
        <f>T("6195564478")</f>
        <v>6195564478</v>
      </c>
    </row>
    <row r="12594" spans="1:12" x14ac:dyDescent="0.35">
      <c r="A12594" t="str">
        <f t="shared" si="4672"/>
        <v>USS LAKE CHAMPLAIN CG 57</v>
      </c>
      <c r="B12594" t="str">
        <f t="shared" si="4672"/>
        <v>USS LAKE CHAMPLAIN CG 57</v>
      </c>
      <c r="C12594" t="str">
        <f>T("UNIT 100135 BOX 1")</f>
        <v>UNIT 100135 BOX 1</v>
      </c>
      <c r="D12594" t="str">
        <f t="shared" si="4668"/>
        <v>FPO</v>
      </c>
      <c r="E12594" t="str">
        <f t="shared" si="4669"/>
        <v>AP</v>
      </c>
      <c r="F12594" t="str">
        <f>T("966713500")</f>
        <v>966713500</v>
      </c>
      <c r="G12594" t="str">
        <f>T("SUPPLY DEPT")</f>
        <v>SUPPLY DEPT</v>
      </c>
      <c r="H12594" t="str">
        <f>T("S1 DIV")</f>
        <v>S1 DIV</v>
      </c>
      <c r="I12594" t="str">
        <f t="shared" si="4670"/>
        <v>FPO</v>
      </c>
      <c r="J12594" t="str">
        <f t="shared" si="4671"/>
        <v>AP</v>
      </c>
      <c r="K12594" t="str">
        <f>T("000000000000000000")</f>
        <v>000000000000000000</v>
      </c>
      <c r="L12594" t="str">
        <f>T("6195564478")</f>
        <v>6195564478</v>
      </c>
    </row>
    <row r="12595" spans="1:12" x14ac:dyDescent="0.35">
      <c r="A12595" t="str">
        <f t="shared" si="4672"/>
        <v>USS LAKE CHAMPLAIN CG 57</v>
      </c>
      <c r="B12595" t="str">
        <f t="shared" si="4672"/>
        <v>USS LAKE CHAMPLAIN CG 57</v>
      </c>
      <c r="C12595" t="str">
        <f>T("UNIT 100135 BOX 1")</f>
        <v>UNIT 100135 BOX 1</v>
      </c>
      <c r="D12595" t="str">
        <f t="shared" si="4668"/>
        <v>FPO</v>
      </c>
      <c r="E12595" t="str">
        <f t="shared" si="4669"/>
        <v>AP</v>
      </c>
      <c r="F12595" t="str">
        <f>T("966713500")</f>
        <v>966713500</v>
      </c>
      <c r="G12595" t="str">
        <f>T("USS LAKE CHAMPLAIN CG 57")</f>
        <v>USS LAKE CHAMPLAIN CG 57</v>
      </c>
      <c r="H12595" t="str">
        <f>T("UNIT 100135 BOX 1")</f>
        <v>UNIT 100135 BOX 1</v>
      </c>
      <c r="I12595" t="str">
        <f t="shared" si="4670"/>
        <v>FPO</v>
      </c>
      <c r="J12595" t="str">
        <f t="shared" si="4671"/>
        <v>AP</v>
      </c>
      <c r="K12595" t="str">
        <f>T("619 556 4478")</f>
        <v>619 556 4478</v>
      </c>
      <c r="L12595" t="str">
        <f>T("6195564478")</f>
        <v>6195564478</v>
      </c>
    </row>
    <row r="12596" spans="1:12" x14ac:dyDescent="0.35">
      <c r="A12596" t="str">
        <f t="shared" ref="A12596:B12599" si="4673">T("USS PRINCETON CG 59")</f>
        <v>USS PRINCETON CG 59</v>
      </c>
      <c r="B12596" t="str">
        <f t="shared" si="4673"/>
        <v>USS PRINCETON CG 59</v>
      </c>
      <c r="C12596" t="str">
        <f>T("SUPPLY DEPARTMENT")</f>
        <v>SUPPLY DEPARTMENT</v>
      </c>
      <c r="D12596" t="str">
        <f t="shared" si="4668"/>
        <v>FPO</v>
      </c>
      <c r="E12596" t="str">
        <f t="shared" si="4669"/>
        <v>AP</v>
      </c>
      <c r="F12596" t="str">
        <f>T("966751179")</f>
        <v>966751179</v>
      </c>
      <c r="G12596" t="str">
        <f>T("ATTN SUPPLY OFFICER")</f>
        <v>ATTN SUPPLY OFFICER</v>
      </c>
      <c r="H12596" t="str">
        <f>T("UNIT 100136 BOX 1")</f>
        <v>UNIT 100136 BOX 1</v>
      </c>
      <c r="I12596" t="str">
        <f t="shared" si="4670"/>
        <v>FPO</v>
      </c>
      <c r="J12596" t="str">
        <f t="shared" si="4671"/>
        <v>AP</v>
      </c>
      <c r="K12596" t="str">
        <f t="shared" ref="K12596:K12607" si="4674">T("000000000000000000")</f>
        <v>000000000000000000</v>
      </c>
      <c r="L12596" t="str">
        <f>T("6195563923")</f>
        <v>6195563923</v>
      </c>
    </row>
    <row r="12597" spans="1:12" x14ac:dyDescent="0.35">
      <c r="A12597" t="str">
        <f t="shared" si="4673"/>
        <v>USS PRINCETON CG 59</v>
      </c>
      <c r="B12597" t="str">
        <f t="shared" si="4673"/>
        <v>USS PRINCETON CG 59</v>
      </c>
      <c r="C12597" t="str">
        <f>T("SUPPLY DEPARTMENT")</f>
        <v>SUPPLY DEPARTMENT</v>
      </c>
      <c r="D12597" t="str">
        <f t="shared" si="4668"/>
        <v>FPO</v>
      </c>
      <c r="E12597" t="str">
        <f t="shared" si="4669"/>
        <v>AP</v>
      </c>
      <c r="F12597" t="str">
        <f>T("966751179")</f>
        <v>966751179</v>
      </c>
      <c r="G12597" t="str">
        <f>T("ATTN SUPPLY OFFICER")</f>
        <v>ATTN SUPPLY OFFICER</v>
      </c>
      <c r="H12597" t="str">
        <f>T("UNIT 100136 BOX1")</f>
        <v>UNIT 100136 BOX1</v>
      </c>
      <c r="I12597" t="str">
        <f t="shared" si="4670"/>
        <v>FPO</v>
      </c>
      <c r="J12597" t="str">
        <f t="shared" si="4671"/>
        <v>AP</v>
      </c>
      <c r="K12597" t="str">
        <f t="shared" si="4674"/>
        <v>000000000000000000</v>
      </c>
      <c r="L12597" t="str">
        <f>T("6195563904")</f>
        <v>6195563904</v>
      </c>
    </row>
    <row r="12598" spans="1:12" x14ac:dyDescent="0.35">
      <c r="A12598" t="str">
        <f t="shared" si="4673"/>
        <v>USS PRINCETON CG 59</v>
      </c>
      <c r="B12598" t="str">
        <f t="shared" si="4673"/>
        <v>USS PRINCETON CG 59</v>
      </c>
      <c r="C12598" t="str">
        <f>T("SUPPLY DEPARTMENT")</f>
        <v>SUPPLY DEPARTMENT</v>
      </c>
      <c r="D12598" t="str">
        <f t="shared" si="4668"/>
        <v>FPO</v>
      </c>
      <c r="E12598" t="str">
        <f t="shared" si="4669"/>
        <v>AP</v>
      </c>
      <c r="F12598" t="str">
        <f>T("966751179")</f>
        <v>966751179</v>
      </c>
      <c r="G12598" t="str">
        <f>T("USS PRINCETON CG 59")</f>
        <v>USS PRINCETON CG 59</v>
      </c>
      <c r="H12598" t="str">
        <f>T("SUPPLY DEPARTMENT")</f>
        <v>SUPPLY DEPARTMENT</v>
      </c>
      <c r="I12598" t="str">
        <f t="shared" si="4670"/>
        <v>FPO</v>
      </c>
      <c r="J12598" t="str">
        <f t="shared" si="4671"/>
        <v>AP</v>
      </c>
      <c r="K12598" t="str">
        <f t="shared" si="4674"/>
        <v>000000000000000000</v>
      </c>
      <c r="L12598" t="str">
        <f>T("6195563923")</f>
        <v>6195563923</v>
      </c>
    </row>
    <row r="12599" spans="1:12" x14ac:dyDescent="0.35">
      <c r="A12599" t="str">
        <f t="shared" si="4673"/>
        <v>USS PRINCETON CG 59</v>
      </c>
      <c r="B12599" t="str">
        <f t="shared" si="4673"/>
        <v>USS PRINCETON CG 59</v>
      </c>
      <c r="C12599" t="str">
        <f>T("SUPPLY DEPARTMENT")</f>
        <v>SUPPLY DEPARTMENT</v>
      </c>
      <c r="D12599" t="str">
        <f t="shared" si="4668"/>
        <v>FPO</v>
      </c>
      <c r="E12599" t="str">
        <f t="shared" si="4669"/>
        <v>AP</v>
      </c>
      <c r="F12599" t="str">
        <f>T("966751179")</f>
        <v>966751179</v>
      </c>
      <c r="G12599" t="str">
        <f>T("USS PRINCETON CG 59")</f>
        <v>USS PRINCETON CG 59</v>
      </c>
      <c r="H12599" t="str">
        <f>T("SUPPLY DEPT")</f>
        <v>SUPPLY DEPT</v>
      </c>
      <c r="I12599" t="str">
        <f t="shared" si="4670"/>
        <v>FPO</v>
      </c>
      <c r="J12599" t="str">
        <f t="shared" si="4671"/>
        <v>AP</v>
      </c>
      <c r="K12599" t="str">
        <f t="shared" si="4674"/>
        <v>000000000000000000</v>
      </c>
      <c r="L12599" t="str">
        <f>T("6195563904")</f>
        <v>6195563904</v>
      </c>
    </row>
    <row r="12600" spans="1:12" x14ac:dyDescent="0.35">
      <c r="A12600" t="str">
        <f t="shared" ref="A12600:A12605" si="4675">T("USS CHANCELLORSVILLE CG62")</f>
        <v>USS CHANCELLORSVILLE CG62</v>
      </c>
      <c r="B12600" t="str">
        <f t="shared" ref="B12600:B12605" si="4676">T("USS CHANCELLORSVILLE CG-62")</f>
        <v>USS CHANCELLORSVILLE CG-62</v>
      </c>
      <c r="C12600" t="str">
        <f t="shared" ref="C12600:C12605" si="4677">T("UNIT 100312 BOX 1")</f>
        <v>UNIT 100312 BOX 1</v>
      </c>
      <c r="D12600" t="str">
        <f t="shared" si="4668"/>
        <v>FPO</v>
      </c>
      <c r="E12600" t="str">
        <f t="shared" si="4669"/>
        <v>AP</v>
      </c>
      <c r="F12600" t="str">
        <f t="shared" ref="F12600:F12605" si="4678">T("966621200")</f>
        <v>966621200</v>
      </c>
      <c r="G12600" t="str">
        <f>T("ATTN SUPPLY OFFICER")</f>
        <v>ATTN SUPPLY OFFICER</v>
      </c>
      <c r="H12600" t="str">
        <f>T("UNIT 100312 BOX 1")</f>
        <v>UNIT 100312 BOX 1</v>
      </c>
      <c r="I12600" t="str">
        <f t="shared" si="4670"/>
        <v>FPO</v>
      </c>
      <c r="J12600" t="str">
        <f t="shared" si="4671"/>
        <v>AP</v>
      </c>
      <c r="K12600" t="str">
        <f t="shared" si="4674"/>
        <v>000000000000000000</v>
      </c>
      <c r="L12600" t="str">
        <f>T("0468162143")</f>
        <v>0468162143</v>
      </c>
    </row>
    <row r="12601" spans="1:12" x14ac:dyDescent="0.35">
      <c r="A12601" t="str">
        <f t="shared" si="4675"/>
        <v>USS CHANCELLORSVILLE CG62</v>
      </c>
      <c r="B12601" t="str">
        <f t="shared" si="4676"/>
        <v>USS CHANCELLORSVILLE CG-62</v>
      </c>
      <c r="C12601" t="str">
        <f t="shared" si="4677"/>
        <v>UNIT 100312 BOX 1</v>
      </c>
      <c r="D12601" t="str">
        <f t="shared" si="4668"/>
        <v>FPO</v>
      </c>
      <c r="E12601" t="str">
        <f t="shared" si="4669"/>
        <v>AP</v>
      </c>
      <c r="F12601" t="str">
        <f t="shared" si="4678"/>
        <v>966621200</v>
      </c>
      <c r="G12601" t="str">
        <f>T("ATTN SUPPLY OFFICER")</f>
        <v>ATTN SUPPLY OFFICER</v>
      </c>
      <c r="H12601" t="str">
        <f>T("UNIT 100312 BOX 1")</f>
        <v>UNIT 100312 BOX 1</v>
      </c>
      <c r="I12601" t="str">
        <f t="shared" si="4670"/>
        <v>FPO</v>
      </c>
      <c r="J12601" t="str">
        <f t="shared" si="4671"/>
        <v>AP</v>
      </c>
      <c r="K12601" t="str">
        <f t="shared" si="4674"/>
        <v>000000000000000000</v>
      </c>
      <c r="L12601" t="str">
        <f>T("6195458806")</f>
        <v>6195458806</v>
      </c>
    </row>
    <row r="12602" spans="1:12" x14ac:dyDescent="0.35">
      <c r="A12602" t="str">
        <f t="shared" si="4675"/>
        <v>USS CHANCELLORSVILLE CG62</v>
      </c>
      <c r="B12602" t="str">
        <f t="shared" si="4676"/>
        <v>USS CHANCELLORSVILLE CG-62</v>
      </c>
      <c r="C12602" t="str">
        <f t="shared" si="4677"/>
        <v>UNIT 100312 BOX 1</v>
      </c>
      <c r="D12602" t="str">
        <f t="shared" si="4668"/>
        <v>FPO</v>
      </c>
      <c r="E12602" t="str">
        <f t="shared" si="4669"/>
        <v>AP</v>
      </c>
      <c r="F12602" t="str">
        <f t="shared" si="4678"/>
        <v>966621200</v>
      </c>
      <c r="G12602" t="str">
        <f>T("USS CHANCELLORSVILLE CG 62")</f>
        <v>USS CHANCELLORSVILLE CG 62</v>
      </c>
      <c r="H12602" t="str">
        <f>T("SUPPLY DEPT")</f>
        <v>SUPPLY DEPT</v>
      </c>
      <c r="I12602" t="str">
        <f t="shared" si="4670"/>
        <v>FPO</v>
      </c>
      <c r="J12602" t="str">
        <f t="shared" si="4671"/>
        <v>AP</v>
      </c>
      <c r="K12602" t="str">
        <f t="shared" si="4674"/>
        <v>000000000000000000</v>
      </c>
      <c r="L12602" t="str">
        <f>T("6195458806")</f>
        <v>6195458806</v>
      </c>
    </row>
    <row r="12603" spans="1:12" x14ac:dyDescent="0.35">
      <c r="A12603" t="str">
        <f t="shared" si="4675"/>
        <v>USS CHANCELLORSVILLE CG62</v>
      </c>
      <c r="B12603" t="str">
        <f t="shared" si="4676"/>
        <v>USS CHANCELLORSVILLE CG-62</v>
      </c>
      <c r="C12603" t="str">
        <f t="shared" si="4677"/>
        <v>UNIT 100312 BOX 1</v>
      </c>
      <c r="D12603" t="str">
        <f t="shared" si="4668"/>
        <v>FPO</v>
      </c>
      <c r="E12603" t="str">
        <f t="shared" si="4669"/>
        <v>AP</v>
      </c>
      <c r="F12603" t="str">
        <f t="shared" si="4678"/>
        <v>966621200</v>
      </c>
      <c r="G12603" t="str">
        <f>T("USS CHANCELLORSVILLE CG 62")</f>
        <v>USS CHANCELLORSVILLE CG 62</v>
      </c>
      <c r="H12603" t="str">
        <f>T("SUPPLY DEPT S1")</f>
        <v>SUPPLY DEPT S1</v>
      </c>
      <c r="I12603" t="str">
        <f t="shared" si="4670"/>
        <v>FPO</v>
      </c>
      <c r="J12603" t="str">
        <f t="shared" si="4671"/>
        <v>AP</v>
      </c>
      <c r="K12603" t="str">
        <f t="shared" si="4674"/>
        <v>000000000000000000</v>
      </c>
      <c r="L12603" t="str">
        <f>T("6195564425")</f>
        <v>6195564425</v>
      </c>
    </row>
    <row r="12604" spans="1:12" x14ac:dyDescent="0.35">
      <c r="A12604" t="str">
        <f t="shared" si="4675"/>
        <v>USS CHANCELLORSVILLE CG62</v>
      </c>
      <c r="B12604" t="str">
        <f t="shared" si="4676"/>
        <v>USS CHANCELLORSVILLE CG-62</v>
      </c>
      <c r="C12604" t="str">
        <f t="shared" si="4677"/>
        <v>UNIT 100312 BOX 1</v>
      </c>
      <c r="D12604" t="str">
        <f t="shared" si="4668"/>
        <v>FPO</v>
      </c>
      <c r="E12604" t="str">
        <f t="shared" si="4669"/>
        <v>AP</v>
      </c>
      <c r="F12604" t="str">
        <f t="shared" si="4678"/>
        <v>966621200</v>
      </c>
      <c r="G12604" t="str">
        <f>T("USS CHANCELLORSVILLE CG 62")</f>
        <v>USS CHANCELLORSVILLE CG 62</v>
      </c>
      <c r="H12604" t="str">
        <f>T("UNIT 100312 BOX 1")</f>
        <v>UNIT 100312 BOX 1</v>
      </c>
      <c r="I12604" t="str">
        <f t="shared" si="4670"/>
        <v>FPO</v>
      </c>
      <c r="J12604" t="str">
        <f t="shared" si="4671"/>
        <v>AP</v>
      </c>
      <c r="K12604" t="str">
        <f t="shared" si="4674"/>
        <v>000000000000000000</v>
      </c>
      <c r="L12604" t="str">
        <f>T("6195564425")</f>
        <v>6195564425</v>
      </c>
    </row>
    <row r="12605" spans="1:12" x14ac:dyDescent="0.35">
      <c r="A12605" t="str">
        <f t="shared" si="4675"/>
        <v>USS CHANCELLORSVILLE CG62</v>
      </c>
      <c r="B12605" t="str">
        <f t="shared" si="4676"/>
        <v>USS CHANCELLORSVILLE CG-62</v>
      </c>
      <c r="C12605" t="str">
        <f t="shared" si="4677"/>
        <v>UNIT 100312 BOX 1</v>
      </c>
      <c r="D12605" t="str">
        <f t="shared" si="4668"/>
        <v>FPO</v>
      </c>
      <c r="E12605" t="str">
        <f t="shared" si="4669"/>
        <v>AP</v>
      </c>
      <c r="F12605" t="str">
        <f t="shared" si="4678"/>
        <v>966621200</v>
      </c>
      <c r="G12605" t="str">
        <f>T("USS CHANCELLORSVILLE CG-62")</f>
        <v>USS CHANCELLORSVILLE CG-62</v>
      </c>
      <c r="H12605" t="str">
        <f>T("UNIT 100312 BOX 1")</f>
        <v>UNIT 100312 BOX 1</v>
      </c>
      <c r="I12605" t="str">
        <f t="shared" si="4670"/>
        <v>FPO</v>
      </c>
      <c r="J12605" t="str">
        <f t="shared" si="4671"/>
        <v>AP</v>
      </c>
      <c r="K12605" t="str">
        <f t="shared" si="4674"/>
        <v>000000000000000000</v>
      </c>
      <c r="L12605" t="str">
        <f>T("0468162143")</f>
        <v>0468162143</v>
      </c>
    </row>
    <row r="12606" spans="1:12" x14ac:dyDescent="0.35">
      <c r="A12606" t="str">
        <f t="shared" ref="A12606:B12608" si="4679">T("USS COMSTOCK LSD-45")</f>
        <v>USS COMSTOCK LSD-45</v>
      </c>
      <c r="B12606" t="str">
        <f t="shared" si="4679"/>
        <v>USS COMSTOCK LSD-45</v>
      </c>
      <c r="C12606" t="str">
        <f>T("SUPPLY DEPT / S1")</f>
        <v>SUPPLY DEPT / S1</v>
      </c>
      <c r="D12606" t="str">
        <f t="shared" si="4668"/>
        <v>FPO</v>
      </c>
      <c r="E12606" t="str">
        <f t="shared" si="4669"/>
        <v>AP</v>
      </c>
      <c r="F12606" t="str">
        <f>T("966621733")</f>
        <v>966621733</v>
      </c>
      <c r="G12606" t="str">
        <f>T("3581 CUMMINGS RD MPC DLA SAN DIEGO")</f>
        <v>3581 CUMMINGS RD MPC DLA SAN DIEGO</v>
      </c>
      <c r="H12606" t="str">
        <f>T("MF USS COMSTOCK LSD 45")</f>
        <v>MF USS COMSTOCK LSD 45</v>
      </c>
      <c r="I12606" t="str">
        <f>T("SAN DIEGO")</f>
        <v>SAN DIEGO</v>
      </c>
      <c r="J12606" t="str">
        <f>T("CA")</f>
        <v>CA</v>
      </c>
      <c r="K12606" t="str">
        <f t="shared" si="4674"/>
        <v>000000000000000000</v>
      </c>
      <c r="L12606" t="str">
        <f>T("6195563852")</f>
        <v>6195563852</v>
      </c>
    </row>
    <row r="12607" spans="1:12" x14ac:dyDescent="0.35">
      <c r="A12607" t="str">
        <f t="shared" si="4679"/>
        <v>USS COMSTOCK LSD-45</v>
      </c>
      <c r="B12607" t="str">
        <f t="shared" si="4679"/>
        <v>USS COMSTOCK LSD-45</v>
      </c>
      <c r="C12607" t="str">
        <f>T("SUPPLY DEPT / S1")</f>
        <v>SUPPLY DEPT / S1</v>
      </c>
      <c r="D12607" t="str">
        <f t="shared" si="4668"/>
        <v>FPO</v>
      </c>
      <c r="E12607" t="str">
        <f t="shared" si="4669"/>
        <v>AP</v>
      </c>
      <c r="F12607" t="str">
        <f>T("966621733")</f>
        <v>966621733</v>
      </c>
      <c r="G12607" t="str">
        <f>T("ATTN SUPPLY OFFICER")</f>
        <v>ATTN SUPPLY OFFICER</v>
      </c>
      <c r="H12607" t="str">
        <f>T("UNIT 100230 BOX 1")</f>
        <v>UNIT 100230 BOX 1</v>
      </c>
      <c r="I12607" t="str">
        <f t="shared" ref="I12607:I12642" si="4680">T("FPO")</f>
        <v>FPO</v>
      </c>
      <c r="J12607" t="str">
        <f t="shared" ref="J12607:J12642" si="4681">T("AP")</f>
        <v>AP</v>
      </c>
      <c r="K12607" t="str">
        <f t="shared" si="4674"/>
        <v>000000000000000000</v>
      </c>
      <c r="L12607" t="str">
        <f>T("6195563852")</f>
        <v>6195563852</v>
      </c>
    </row>
    <row r="12608" spans="1:12" x14ac:dyDescent="0.35">
      <c r="A12608" t="str">
        <f t="shared" si="4679"/>
        <v>USS COMSTOCK LSD-45</v>
      </c>
      <c r="B12608" t="str">
        <f t="shared" si="4679"/>
        <v>USS COMSTOCK LSD-45</v>
      </c>
      <c r="C12608" t="str">
        <f>T("SUPPLY DEPT / S1")</f>
        <v>SUPPLY DEPT / S1</v>
      </c>
      <c r="D12608" t="str">
        <f t="shared" si="4668"/>
        <v>FPO</v>
      </c>
      <c r="E12608" t="str">
        <f t="shared" si="4669"/>
        <v>AP</v>
      </c>
      <c r="F12608" t="str">
        <f>T("966621733")</f>
        <v>966621733</v>
      </c>
      <c r="G12608" t="str">
        <f>T("USS COMSTOCK LSD-45")</f>
        <v>USS COMSTOCK LSD-45</v>
      </c>
      <c r="H12608" t="str">
        <f>T("SUPPLY DEPT / S1")</f>
        <v>SUPPLY DEPT / S1</v>
      </c>
      <c r="I12608" t="str">
        <f t="shared" si="4680"/>
        <v>FPO</v>
      </c>
      <c r="J12608" t="str">
        <f t="shared" si="4681"/>
        <v>AP</v>
      </c>
      <c r="K12608" t="str">
        <f>T("619 556 3859")</f>
        <v>619 556 3859</v>
      </c>
      <c r="L12608" t="str">
        <f>T("6195563859")</f>
        <v>6195563859</v>
      </c>
    </row>
    <row r="12609" spans="1:12" x14ac:dyDescent="0.35">
      <c r="A12609" t="str">
        <f>T("USS RUSHMORE LSD-47")</f>
        <v>USS RUSHMORE LSD-47</v>
      </c>
      <c r="B12609" t="str">
        <f>T("USS RUSHMORE LSD 47")</f>
        <v>USS RUSHMORE LSD 47</v>
      </c>
      <c r="C12609" t="str">
        <f>T("SUPPLY DEPARTMENT")</f>
        <v>SUPPLY DEPARTMENT</v>
      </c>
      <c r="D12609" t="str">
        <f t="shared" si="4668"/>
        <v>FPO</v>
      </c>
      <c r="E12609" t="str">
        <f t="shared" si="4669"/>
        <v>AP</v>
      </c>
      <c r="F12609" t="str">
        <f>T("966771735")</f>
        <v>966771735</v>
      </c>
      <c r="G12609" t="str">
        <f>T("S-1 DIVISION")</f>
        <v>S-1 DIVISION</v>
      </c>
      <c r="H12609" t="str">
        <f>T("USS RUSHMORE LSD 47 UNIT 100143")</f>
        <v>USS RUSHMORE LSD 47 UNIT 100143</v>
      </c>
      <c r="I12609" t="str">
        <f t="shared" si="4680"/>
        <v>FPO</v>
      </c>
      <c r="J12609" t="str">
        <f t="shared" si="4681"/>
        <v>AP</v>
      </c>
      <c r="K12609" t="str">
        <f t="shared" ref="K12609:K12614" si="4682">T("000000000000000000")</f>
        <v>000000000000000000</v>
      </c>
      <c r="L12609" t="str">
        <f>T("6195563821")</f>
        <v>6195563821</v>
      </c>
    </row>
    <row r="12610" spans="1:12" x14ac:dyDescent="0.35">
      <c r="A12610" t="str">
        <f>T("USS RUSHMORE LSD-47")</f>
        <v>USS RUSHMORE LSD-47</v>
      </c>
      <c r="B12610" t="str">
        <f>T("USS RUSHMORE LSD 47")</f>
        <v>USS RUSHMORE LSD 47</v>
      </c>
      <c r="C12610" t="str">
        <f>T("SUPPLY DEPARTMENT")</f>
        <v>SUPPLY DEPARTMENT</v>
      </c>
      <c r="D12610" t="str">
        <f t="shared" si="4668"/>
        <v>FPO</v>
      </c>
      <c r="E12610" t="str">
        <f t="shared" si="4669"/>
        <v>AP</v>
      </c>
      <c r="F12610" t="str">
        <f>T("966771735")</f>
        <v>966771735</v>
      </c>
      <c r="G12610" t="str">
        <f>T("S1 DIVISION")</f>
        <v>S1 DIVISION</v>
      </c>
      <c r="H12610" t="str">
        <f>T("USS RUSHMORE LSD 47 UNIT 100143")</f>
        <v>USS RUSHMORE LSD 47 UNIT 100143</v>
      </c>
      <c r="I12610" t="str">
        <f t="shared" si="4680"/>
        <v>FPO</v>
      </c>
      <c r="J12610" t="str">
        <f t="shared" si="4681"/>
        <v>AP</v>
      </c>
      <c r="K12610" t="str">
        <f t="shared" si="4682"/>
        <v>000000000000000000</v>
      </c>
      <c r="L12610" t="str">
        <f>T("6195563821")</f>
        <v>6195563821</v>
      </c>
    </row>
    <row r="12611" spans="1:12" x14ac:dyDescent="0.35">
      <c r="A12611" t="str">
        <f>T("USS RUSHMORE LSD-47")</f>
        <v>USS RUSHMORE LSD-47</v>
      </c>
      <c r="B12611" t="str">
        <f>T("USS RUSHMORE LSD 47")</f>
        <v>USS RUSHMORE LSD 47</v>
      </c>
      <c r="C12611" t="str">
        <f>T("SUPPLY DEPARTMENT")</f>
        <v>SUPPLY DEPARTMENT</v>
      </c>
      <c r="D12611" t="str">
        <f t="shared" si="4668"/>
        <v>FPO</v>
      </c>
      <c r="E12611" t="str">
        <f t="shared" si="4669"/>
        <v>AP</v>
      </c>
      <c r="F12611" t="str">
        <f>T("966771735")</f>
        <v>966771735</v>
      </c>
      <c r="G12611" t="str">
        <f>T("UNIT 100143")</f>
        <v>UNIT 100143</v>
      </c>
      <c r="H12611" t="str">
        <f>T("")</f>
        <v/>
      </c>
      <c r="I12611" t="str">
        <f t="shared" si="4680"/>
        <v>FPO</v>
      </c>
      <c r="J12611" t="str">
        <f t="shared" si="4681"/>
        <v>AP</v>
      </c>
      <c r="K12611" t="str">
        <f t="shared" si="4682"/>
        <v>000000000000000000</v>
      </c>
      <c r="L12611" t="str">
        <f>T("6195563821")</f>
        <v>6195563821</v>
      </c>
    </row>
    <row r="12612" spans="1:12" x14ac:dyDescent="0.35">
      <c r="A12612" t="str">
        <f>T("USS RUSHMORE LSD-47")</f>
        <v>USS RUSHMORE LSD-47</v>
      </c>
      <c r="B12612" t="str">
        <f>T("USS RUSHMORE LSD 47")</f>
        <v>USS RUSHMORE LSD 47</v>
      </c>
      <c r="C12612" t="str">
        <f>T("SUPPLY DEPARTMENT")</f>
        <v>SUPPLY DEPARTMENT</v>
      </c>
      <c r="D12612" t="str">
        <f t="shared" si="4668"/>
        <v>FPO</v>
      </c>
      <c r="E12612" t="str">
        <f t="shared" si="4669"/>
        <v>AP</v>
      </c>
      <c r="F12612" t="str">
        <f>T("966771735")</f>
        <v>966771735</v>
      </c>
      <c r="G12612" t="str">
        <f>T("USS RUSHMORE LSD 47")</f>
        <v>USS RUSHMORE LSD 47</v>
      </c>
      <c r="H12612" t="str">
        <f>T("SUPPLY DEPARTMENT")</f>
        <v>SUPPLY DEPARTMENT</v>
      </c>
      <c r="I12612" t="str">
        <f t="shared" si="4680"/>
        <v>FPO</v>
      </c>
      <c r="J12612" t="str">
        <f t="shared" si="4681"/>
        <v>AP</v>
      </c>
      <c r="K12612" t="str">
        <f t="shared" si="4682"/>
        <v>000000000000000000</v>
      </c>
      <c r="L12612" t="str">
        <f>T("6195563821")</f>
        <v>6195563821</v>
      </c>
    </row>
    <row r="12613" spans="1:12" x14ac:dyDescent="0.35">
      <c r="A12613" t="str">
        <f>T("USS RUSHMORE LSD-47")</f>
        <v>USS RUSHMORE LSD-47</v>
      </c>
      <c r="B12613" t="str">
        <f>T("USS RUSHMORE LSD 47")</f>
        <v>USS RUSHMORE LSD 47</v>
      </c>
      <c r="C12613" t="str">
        <f>T("SUPPLY DEPARTMENT")</f>
        <v>SUPPLY DEPARTMENT</v>
      </c>
      <c r="D12613" t="str">
        <f t="shared" si="4668"/>
        <v>FPO</v>
      </c>
      <c r="E12613" t="str">
        <f t="shared" si="4669"/>
        <v>AP</v>
      </c>
      <c r="F12613" t="str">
        <f>T("966771735")</f>
        <v>966771735</v>
      </c>
      <c r="G12613" t="str">
        <f>T("USS RUSHMORE LSD 47")</f>
        <v>USS RUSHMORE LSD 47</v>
      </c>
      <c r="H12613" t="str">
        <f>T("UNIT 100143")</f>
        <v>UNIT 100143</v>
      </c>
      <c r="I12613" t="str">
        <f t="shared" si="4680"/>
        <v>FPO</v>
      </c>
      <c r="J12613" t="str">
        <f t="shared" si="4681"/>
        <v>AP</v>
      </c>
      <c r="K12613" t="str">
        <f t="shared" si="4682"/>
        <v>000000000000000000</v>
      </c>
      <c r="L12613" t="str">
        <f>T("6195563821")</f>
        <v>6195563821</v>
      </c>
    </row>
    <row r="12614" spans="1:12" x14ac:dyDescent="0.35">
      <c r="A12614" t="str">
        <f>T("USS ESSEX LHD-2")</f>
        <v>USS ESSEX LHD-2</v>
      </c>
      <c r="B12614" t="str">
        <f>T("USS ESSEX LHD 2")</f>
        <v>USS ESSEX LHD 2</v>
      </c>
      <c r="C12614" t="str">
        <f>T("UNIT 100150 BOX 1")</f>
        <v>UNIT 100150 BOX 1</v>
      </c>
      <c r="D12614" t="str">
        <f t="shared" si="4668"/>
        <v>FPO</v>
      </c>
      <c r="E12614" t="str">
        <f t="shared" si="4669"/>
        <v>AP</v>
      </c>
      <c r="F12614" t="str">
        <f>T("966435000")</f>
        <v>966435000</v>
      </c>
      <c r="G12614" t="str">
        <f>T("ATTN SUPPLY OFFICER")</f>
        <v>ATTN SUPPLY OFFICER</v>
      </c>
      <c r="H12614" t="str">
        <f>T("UNIT 100150 BOX 1")</f>
        <v>UNIT 100150 BOX 1</v>
      </c>
      <c r="I12614" t="str">
        <f t="shared" si="4680"/>
        <v>FPO</v>
      </c>
      <c r="J12614" t="str">
        <f t="shared" si="4681"/>
        <v>AP</v>
      </c>
      <c r="K12614" t="str">
        <f t="shared" si="4682"/>
        <v>000000000000000000</v>
      </c>
      <c r="L12614" t="str">
        <f>T("6195563543")</f>
        <v>6195563543</v>
      </c>
    </row>
    <row r="12615" spans="1:12" x14ac:dyDescent="0.35">
      <c r="A12615" t="str">
        <f>T("USS ESSEX LHD-2")</f>
        <v>USS ESSEX LHD-2</v>
      </c>
      <c r="B12615" t="str">
        <f>T("USS ESSEX LHD 2")</f>
        <v>USS ESSEX LHD 2</v>
      </c>
      <c r="C12615" t="str">
        <f>T("UNIT 100150 BOX 1")</f>
        <v>UNIT 100150 BOX 1</v>
      </c>
      <c r="D12615" t="str">
        <f t="shared" si="4668"/>
        <v>FPO</v>
      </c>
      <c r="E12615" t="str">
        <f t="shared" si="4669"/>
        <v>AP</v>
      </c>
      <c r="F12615" t="str">
        <f>T("966435000")</f>
        <v>966435000</v>
      </c>
      <c r="G12615" t="str">
        <f>T("ATTN SUPPLY OFFICER")</f>
        <v>ATTN SUPPLY OFFICER</v>
      </c>
      <c r="H12615" t="str">
        <f>T("UNIT 100150 BOX 1")</f>
        <v>UNIT 100150 BOX 1</v>
      </c>
      <c r="I12615" t="str">
        <f t="shared" si="4680"/>
        <v>FPO</v>
      </c>
      <c r="J12615" t="str">
        <f t="shared" si="4681"/>
        <v>AP</v>
      </c>
      <c r="K12615" t="str">
        <f>T("6195563860")</f>
        <v>6195563860</v>
      </c>
      <c r="L12615" t="str">
        <f>T("6195563543")</f>
        <v>6195563543</v>
      </c>
    </row>
    <row r="12616" spans="1:12" x14ac:dyDescent="0.35">
      <c r="A12616" t="str">
        <f>T("USS ESSEX LHD-2")</f>
        <v>USS ESSEX LHD-2</v>
      </c>
      <c r="B12616" t="str">
        <f>T("USS ESSEX LHD 2")</f>
        <v>USS ESSEX LHD 2</v>
      </c>
      <c r="C12616" t="str">
        <f>T("UNIT 100150 BOX 1")</f>
        <v>UNIT 100150 BOX 1</v>
      </c>
      <c r="D12616" t="str">
        <f t="shared" si="4668"/>
        <v>FPO</v>
      </c>
      <c r="E12616" t="str">
        <f t="shared" si="4669"/>
        <v>AP</v>
      </c>
      <c r="F12616" t="str">
        <f>T("966435000")</f>
        <v>966435000</v>
      </c>
      <c r="G12616" t="str">
        <f>T("USS ESSEX LHD 2")</f>
        <v>USS ESSEX LHD 2</v>
      </c>
      <c r="H12616" t="str">
        <f>T("UNIT 100150 BOX 1")</f>
        <v>UNIT 100150 BOX 1</v>
      </c>
      <c r="I12616" t="str">
        <f t="shared" si="4680"/>
        <v>FPO</v>
      </c>
      <c r="J12616" t="str">
        <f t="shared" si="4681"/>
        <v>AP</v>
      </c>
      <c r="K12616" t="str">
        <f>T("6195563680")</f>
        <v>6195563680</v>
      </c>
      <c r="L12616" t="str">
        <f>T("6195563543")</f>
        <v>6195563543</v>
      </c>
    </row>
    <row r="12617" spans="1:12" x14ac:dyDescent="0.35">
      <c r="A12617" t="str">
        <f>T("ZZ DELETE")</f>
        <v>ZZ DELETE</v>
      </c>
      <c r="B12617" t="str">
        <f>T("USS COWPENS CG-63")</f>
        <v>USS COWPENS CG-63</v>
      </c>
      <c r="C12617" t="str">
        <f>T("S1 DIV")</f>
        <v>S1 DIV</v>
      </c>
      <c r="D12617" t="str">
        <f t="shared" si="4668"/>
        <v>FPO</v>
      </c>
      <c r="E12617" t="str">
        <f t="shared" si="4669"/>
        <v>AP</v>
      </c>
      <c r="F12617" t="str">
        <f>T("966621183")</f>
        <v>966621183</v>
      </c>
      <c r="G12617" t="str">
        <f>T("USS COWPENS CG-63")</f>
        <v>USS COWPENS CG-63</v>
      </c>
      <c r="H12617" t="str">
        <f>T("S1 DIV")</f>
        <v>S1 DIV</v>
      </c>
      <c r="I12617" t="str">
        <f t="shared" si="4680"/>
        <v>FPO</v>
      </c>
      <c r="J12617" t="str">
        <f t="shared" si="4681"/>
        <v>AP</v>
      </c>
      <c r="K12617" t="str">
        <f>T("01181468162829")</f>
        <v>01181468162829</v>
      </c>
      <c r="L12617" t="str">
        <f>T("6195564498")</f>
        <v>6195564498</v>
      </c>
    </row>
    <row r="12618" spans="1:12" x14ac:dyDescent="0.35">
      <c r="A12618" t="str">
        <f>T("ZZ DELETE")</f>
        <v>ZZ DELETE</v>
      </c>
      <c r="B12618" t="str">
        <f>T("USS CHOSIN CG 65")</f>
        <v>USS CHOSIN CG 65</v>
      </c>
      <c r="C12618" t="str">
        <f>T("UNIT 100142 BOX 1")</f>
        <v>UNIT 100142 BOX 1</v>
      </c>
      <c r="D12618" t="str">
        <f t="shared" si="4668"/>
        <v>FPO</v>
      </c>
      <c r="E12618" t="str">
        <f t="shared" si="4669"/>
        <v>AP</v>
      </c>
      <c r="F12618" t="str">
        <f>T("966624200")</f>
        <v>966624200</v>
      </c>
      <c r="G12618" t="str">
        <f>T("USS CHOSIN CG 65")</f>
        <v>USS CHOSIN CG 65</v>
      </c>
      <c r="H12618" t="str">
        <f>T("UNIT 100142 BOX 1")</f>
        <v>UNIT 100142 BOX 1</v>
      </c>
      <c r="I12618" t="str">
        <f t="shared" si="4680"/>
        <v>FPO</v>
      </c>
      <c r="J12618" t="str">
        <f t="shared" si="4681"/>
        <v>AP</v>
      </c>
      <c r="K12618" t="str">
        <f>T("8084748718")</f>
        <v>8084748718</v>
      </c>
      <c r="L12618" t="str">
        <f>T("8084748718")</f>
        <v>8084748718</v>
      </c>
    </row>
    <row r="12619" spans="1:12" x14ac:dyDescent="0.35">
      <c r="A12619" t="str">
        <f>T("USS GERMANTOWN LSD 42")</f>
        <v>USS GERMANTOWN LSD 42</v>
      </c>
      <c r="B12619" t="str">
        <f>T("USS GERMANTOWN LSD-42")</f>
        <v>USS GERMANTOWN LSD-42</v>
      </c>
      <c r="C12619" t="str">
        <f>T("UNIT 100123 BOX 1")</f>
        <v>UNIT 100123 BOX 1</v>
      </c>
      <c r="D12619" t="str">
        <f t="shared" ref="D12619:D12650" si="4683">T("FPO")</f>
        <v>FPO</v>
      </c>
      <c r="E12619" t="str">
        <f t="shared" ref="E12619:E12650" si="4684">T("AP")</f>
        <v>AP</v>
      </c>
      <c r="F12619" t="str">
        <f>T("966662300")</f>
        <v>966662300</v>
      </c>
      <c r="G12619" t="str">
        <f>T("ATTN SUPPLY OFFICER")</f>
        <v>ATTN SUPPLY OFFICER</v>
      </c>
      <c r="H12619" t="str">
        <f>T("SUPPLY DEPT")</f>
        <v>SUPPLY DEPT</v>
      </c>
      <c r="I12619" t="str">
        <f t="shared" si="4680"/>
        <v>FPO</v>
      </c>
      <c r="J12619" t="str">
        <f t="shared" si="4681"/>
        <v>AP</v>
      </c>
      <c r="K12619" t="str">
        <f>T("000000000000000000")</f>
        <v>000000000000000000</v>
      </c>
      <c r="L12619" t="str">
        <f>T("3152523786")</f>
        <v>3152523786</v>
      </c>
    </row>
    <row r="12620" spans="1:12" x14ac:dyDescent="0.35">
      <c r="A12620" t="str">
        <f>T("USS GERMANTOWN LSD 42")</f>
        <v>USS GERMANTOWN LSD 42</v>
      </c>
      <c r="B12620" t="str">
        <f>T("USS GERMANTOWN LSD-42")</f>
        <v>USS GERMANTOWN LSD-42</v>
      </c>
      <c r="C12620" t="str">
        <f>T("UNIT 100123 BOX 1")</f>
        <v>UNIT 100123 BOX 1</v>
      </c>
      <c r="D12620" t="str">
        <f t="shared" si="4683"/>
        <v>FPO</v>
      </c>
      <c r="E12620" t="str">
        <f t="shared" si="4684"/>
        <v>AP</v>
      </c>
      <c r="F12620" t="str">
        <f>T("966662300")</f>
        <v>966662300</v>
      </c>
      <c r="G12620" t="str">
        <f>T("ATTN SUPPLY OFFICER")</f>
        <v>ATTN SUPPLY OFFICER</v>
      </c>
      <c r="H12620" t="str">
        <f>T("UNIT 100123 BOX 1")</f>
        <v>UNIT 100123 BOX 1</v>
      </c>
      <c r="I12620" t="str">
        <f t="shared" si="4680"/>
        <v>FPO</v>
      </c>
      <c r="J12620" t="str">
        <f t="shared" si="4681"/>
        <v>AP</v>
      </c>
      <c r="K12620" t="str">
        <f>T("000000000000000000")</f>
        <v>000000000000000000</v>
      </c>
      <c r="L12620" t="str">
        <f>T("3152523786")</f>
        <v>3152523786</v>
      </c>
    </row>
    <row r="12621" spans="1:12" x14ac:dyDescent="0.35">
      <c r="A12621" t="str">
        <f>T("USS GERMANTOWN LSD 42")</f>
        <v>USS GERMANTOWN LSD 42</v>
      </c>
      <c r="B12621" t="str">
        <f>T("USS GERMANTOWN LSD-42")</f>
        <v>USS GERMANTOWN LSD-42</v>
      </c>
      <c r="C12621" t="str">
        <f>T("UNIT 100123 BOX 1")</f>
        <v>UNIT 100123 BOX 1</v>
      </c>
      <c r="D12621" t="str">
        <f t="shared" si="4683"/>
        <v>FPO</v>
      </c>
      <c r="E12621" t="str">
        <f t="shared" si="4684"/>
        <v>AP</v>
      </c>
      <c r="F12621" t="str">
        <f>T("966662300")</f>
        <v>966662300</v>
      </c>
      <c r="G12621" t="str">
        <f>T("USS GERMANTOWN LSD-42")</f>
        <v>USS GERMANTOWN LSD-42</v>
      </c>
      <c r="H12621" t="str">
        <f>T("UNIT 100123 BOX 1")</f>
        <v>UNIT 100123 BOX 1</v>
      </c>
      <c r="I12621" t="str">
        <f t="shared" si="4680"/>
        <v>FPO</v>
      </c>
      <c r="J12621" t="str">
        <f t="shared" si="4681"/>
        <v>AP</v>
      </c>
      <c r="K12621" t="str">
        <f>T("3152528776")</f>
        <v>3152528776</v>
      </c>
      <c r="L12621" t="str">
        <f>T("3152523786")</f>
        <v>3152523786</v>
      </c>
    </row>
    <row r="12622" spans="1:12" x14ac:dyDescent="0.35">
      <c r="A12622" t="str">
        <f t="shared" ref="A12622:B12624" si="4685">T("USS CURTIS WILBUR DDG-54")</f>
        <v>USS CURTIS WILBUR DDG-54</v>
      </c>
      <c r="B12622" t="str">
        <f t="shared" si="4685"/>
        <v>USS CURTIS WILBUR DDG-54</v>
      </c>
      <c r="C12622" t="str">
        <f>T("UNIT 100160 BOX 1")</f>
        <v>UNIT 100160 BOX 1</v>
      </c>
      <c r="D12622" t="str">
        <f t="shared" si="4683"/>
        <v>FPO</v>
      </c>
      <c r="E12622" t="str">
        <f t="shared" si="4684"/>
        <v>AP</v>
      </c>
      <c r="F12622" t="str">
        <f>T("966836000")</f>
        <v>966836000</v>
      </c>
      <c r="G12622" t="str">
        <f>T("ATTN SUPPLY OFFICER")</f>
        <v>ATTN SUPPLY OFFICER</v>
      </c>
      <c r="H12622" t="str">
        <f>T("UNIT 100160 BOX 1")</f>
        <v>UNIT 100160 BOX 1</v>
      </c>
      <c r="I12622" t="str">
        <f t="shared" si="4680"/>
        <v>FPO</v>
      </c>
      <c r="J12622" t="str">
        <f t="shared" si="4681"/>
        <v>AP</v>
      </c>
      <c r="K12622" t="str">
        <f>T("01181468166682")</f>
        <v>01181468166682</v>
      </c>
      <c r="L12622" t="str">
        <f>T("1111111111")</f>
        <v>1111111111</v>
      </c>
    </row>
    <row r="12623" spans="1:12" x14ac:dyDescent="0.35">
      <c r="A12623" t="str">
        <f t="shared" si="4685"/>
        <v>USS CURTIS WILBUR DDG-54</v>
      </c>
      <c r="B12623" t="str">
        <f t="shared" si="4685"/>
        <v>USS CURTIS WILBUR DDG-54</v>
      </c>
      <c r="C12623" t="str">
        <f>T("UNIT 100160 BOX 1")</f>
        <v>UNIT 100160 BOX 1</v>
      </c>
      <c r="D12623" t="str">
        <f t="shared" si="4683"/>
        <v>FPO</v>
      </c>
      <c r="E12623" t="str">
        <f t="shared" si="4684"/>
        <v>AP</v>
      </c>
      <c r="F12623" t="str">
        <f>T("966836000")</f>
        <v>966836000</v>
      </c>
      <c r="G12623" t="str">
        <f>T("SUPPLY DEPT")</f>
        <v>SUPPLY DEPT</v>
      </c>
      <c r="H12623" t="str">
        <f>T("S1 DIVISION")</f>
        <v>S1 DIVISION</v>
      </c>
      <c r="I12623" t="str">
        <f t="shared" si="4680"/>
        <v>FPO</v>
      </c>
      <c r="J12623" t="str">
        <f t="shared" si="4681"/>
        <v>AP</v>
      </c>
      <c r="K12623" t="str">
        <f>T("0118146816682")</f>
        <v>0118146816682</v>
      </c>
      <c r="L12623" t="str">
        <f>T("1111111111")</f>
        <v>1111111111</v>
      </c>
    </row>
    <row r="12624" spans="1:12" x14ac:dyDescent="0.35">
      <c r="A12624" t="str">
        <f t="shared" si="4685"/>
        <v>USS CURTIS WILBUR DDG-54</v>
      </c>
      <c r="B12624" t="str">
        <f t="shared" si="4685"/>
        <v>USS CURTIS WILBUR DDG-54</v>
      </c>
      <c r="C12624" t="str">
        <f>T("UNIT 100160 BOX 1")</f>
        <v>UNIT 100160 BOX 1</v>
      </c>
      <c r="D12624" t="str">
        <f t="shared" si="4683"/>
        <v>FPO</v>
      </c>
      <c r="E12624" t="str">
        <f t="shared" si="4684"/>
        <v>AP</v>
      </c>
      <c r="F12624" t="str">
        <f>T("966836000")</f>
        <v>966836000</v>
      </c>
      <c r="G12624" t="str">
        <f>T("USS CURTIS WILBUR DDG-54")</f>
        <v>USS CURTIS WILBUR DDG-54</v>
      </c>
      <c r="H12624" t="str">
        <f>T("UNIT 100160 BOX 1")</f>
        <v>UNIT 100160 BOX 1</v>
      </c>
      <c r="I12624" t="str">
        <f t="shared" si="4680"/>
        <v>FPO</v>
      </c>
      <c r="J12624" t="str">
        <f t="shared" si="4681"/>
        <v>AP</v>
      </c>
      <c r="K12624" t="str">
        <f>T("3122436682")</f>
        <v>3122436682</v>
      </c>
      <c r="L12624" t="str">
        <f>T("3122436682")</f>
        <v>3122436682</v>
      </c>
    </row>
    <row r="12625" spans="1:12" x14ac:dyDescent="0.35">
      <c r="A12625" t="str">
        <f>T("USS SHILOH CG-67")</f>
        <v>USS SHILOH CG-67</v>
      </c>
      <c r="B12625" t="str">
        <f>T("USS SHILOH CG 67")</f>
        <v>USS SHILOH CG 67</v>
      </c>
      <c r="C12625" t="str">
        <f>T("SUPPLY DEPT")</f>
        <v>SUPPLY DEPT</v>
      </c>
      <c r="D12625" t="str">
        <f t="shared" si="4683"/>
        <v>FPO</v>
      </c>
      <c r="E12625" t="str">
        <f t="shared" si="4684"/>
        <v>AP</v>
      </c>
      <c r="F12625" t="str">
        <f>T("966781187")</f>
        <v>966781187</v>
      </c>
      <c r="G12625" t="str">
        <f>T("ATTN SUPPLY OFFICER")</f>
        <v>ATTN SUPPLY OFFICER</v>
      </c>
      <c r="H12625" t="str">
        <f>T("UNIT 100149 BOX 1")</f>
        <v>UNIT 100149 BOX 1</v>
      </c>
      <c r="I12625" t="str">
        <f t="shared" si="4680"/>
        <v>FPO</v>
      </c>
      <c r="J12625" t="str">
        <f t="shared" si="4681"/>
        <v>AP</v>
      </c>
      <c r="K12625" t="str">
        <f>T("000000000000000000")</f>
        <v>000000000000000000</v>
      </c>
      <c r="L12625" t="str">
        <f>T("3152432078")</f>
        <v>3152432078</v>
      </c>
    </row>
    <row r="12626" spans="1:12" x14ac:dyDescent="0.35">
      <c r="A12626" t="str">
        <f>T("USS SHILOH CG-67")</f>
        <v>USS SHILOH CG-67</v>
      </c>
      <c r="B12626" t="str">
        <f>T("USS SHILOH CG 67")</f>
        <v>USS SHILOH CG 67</v>
      </c>
      <c r="C12626" t="str">
        <f>T("SUPPLY DEPT")</f>
        <v>SUPPLY DEPT</v>
      </c>
      <c r="D12626" t="str">
        <f t="shared" si="4683"/>
        <v>FPO</v>
      </c>
      <c r="E12626" t="str">
        <f t="shared" si="4684"/>
        <v>AP</v>
      </c>
      <c r="F12626" t="str">
        <f>T("966781187")</f>
        <v>966781187</v>
      </c>
      <c r="G12626" t="str">
        <f>T("USS SHILOH CG 67")</f>
        <v>USS SHILOH CG 67</v>
      </c>
      <c r="H12626" t="str">
        <f>T("S1 DIVISION")</f>
        <v>S1 DIVISION</v>
      </c>
      <c r="I12626" t="str">
        <f t="shared" si="4680"/>
        <v>FPO</v>
      </c>
      <c r="J12626" t="str">
        <f t="shared" si="4681"/>
        <v>AP</v>
      </c>
      <c r="K12626" t="str">
        <f>T("000000000000000000")</f>
        <v>000000000000000000</v>
      </c>
      <c r="L12626" t="str">
        <f>T("3152432078")</f>
        <v>3152432078</v>
      </c>
    </row>
    <row r="12627" spans="1:12" x14ac:dyDescent="0.35">
      <c r="A12627" t="str">
        <f>T("USS SHILOH CG-67")</f>
        <v>USS SHILOH CG-67</v>
      </c>
      <c r="B12627" t="str">
        <f>T("USS SHILOH CG 67")</f>
        <v>USS SHILOH CG 67</v>
      </c>
      <c r="C12627" t="str">
        <f>T("SUPPLY DEPT")</f>
        <v>SUPPLY DEPT</v>
      </c>
      <c r="D12627" t="str">
        <f t="shared" si="4683"/>
        <v>FPO</v>
      </c>
      <c r="E12627" t="str">
        <f t="shared" si="4684"/>
        <v>AP</v>
      </c>
      <c r="F12627" t="str">
        <f>T("966781187")</f>
        <v>966781187</v>
      </c>
      <c r="G12627" t="str">
        <f>T("USS SHILOH CG 67")</f>
        <v>USS SHILOH CG 67</v>
      </c>
      <c r="H12627" t="str">
        <f>T("SUPPLY DEPT")</f>
        <v>SUPPLY DEPT</v>
      </c>
      <c r="I12627" t="str">
        <f t="shared" si="4680"/>
        <v>FPO</v>
      </c>
      <c r="J12627" t="str">
        <f t="shared" si="4681"/>
        <v>AP</v>
      </c>
      <c r="K12627" t="str">
        <f>T("000000000000000000")</f>
        <v>000000000000000000</v>
      </c>
      <c r="L12627" t="str">
        <f>T("3152432078")</f>
        <v>3152432078</v>
      </c>
    </row>
    <row r="12628" spans="1:12" x14ac:dyDescent="0.35">
      <c r="A12628" t="str">
        <f>T("USS SHILOH CG-67")</f>
        <v>USS SHILOH CG-67</v>
      </c>
      <c r="B12628" t="str">
        <f>T("USS SHILOH CG 67")</f>
        <v>USS SHILOH CG 67</v>
      </c>
      <c r="C12628" t="str">
        <f>T("SUPPLY DEPT")</f>
        <v>SUPPLY DEPT</v>
      </c>
      <c r="D12628" t="str">
        <f t="shared" si="4683"/>
        <v>FPO</v>
      </c>
      <c r="E12628" t="str">
        <f t="shared" si="4684"/>
        <v>AP</v>
      </c>
      <c r="F12628" t="str">
        <f>T("966781187")</f>
        <v>966781187</v>
      </c>
      <c r="G12628" t="str">
        <f>T("USS SHILOH CG 67")</f>
        <v>USS SHILOH CG 67</v>
      </c>
      <c r="H12628" t="str">
        <f>T("UNIT 100149 BOX 1")</f>
        <v>UNIT 100149 BOX 1</v>
      </c>
      <c r="I12628" t="str">
        <f t="shared" si="4680"/>
        <v>FPO</v>
      </c>
      <c r="J12628" t="str">
        <f t="shared" si="4681"/>
        <v>AP</v>
      </c>
      <c r="K12628" t="str">
        <f>T("000000000000000000")</f>
        <v>000000000000000000</v>
      </c>
      <c r="L12628" t="str">
        <f>T("3152432078")</f>
        <v>3152432078</v>
      </c>
    </row>
    <row r="12629" spans="1:12" x14ac:dyDescent="0.35">
      <c r="A12629" t="str">
        <f>T("USS JOHN S MCCAIN DDG-56")</f>
        <v>USS JOHN S MCCAIN DDG-56</v>
      </c>
      <c r="B12629" t="str">
        <f>T("USS JOHN MCCAIN DDG 56")</f>
        <v>USS JOHN MCCAIN DDG 56</v>
      </c>
      <c r="C12629" t="str">
        <f>T("UNIT 100161 BOX 1")</f>
        <v>UNIT 100161 BOX 1</v>
      </c>
      <c r="D12629" t="str">
        <f t="shared" si="4683"/>
        <v>FPO</v>
      </c>
      <c r="E12629" t="str">
        <f t="shared" si="4684"/>
        <v>AP</v>
      </c>
      <c r="F12629" t="str">
        <f>T("966726100")</f>
        <v>966726100</v>
      </c>
      <c r="G12629" t="str">
        <f>T("ATTN SUPPLY OFFICER")</f>
        <v>ATTN SUPPLY OFFICER</v>
      </c>
      <c r="H12629" t="str">
        <f>T("UNIT 100161 BOX 1")</f>
        <v>UNIT 100161 BOX 1</v>
      </c>
      <c r="I12629" t="str">
        <f t="shared" si="4680"/>
        <v>FPO</v>
      </c>
      <c r="J12629" t="str">
        <f t="shared" si="4681"/>
        <v>AP</v>
      </c>
      <c r="K12629" t="str">
        <f>T("000000000000000000")</f>
        <v>000000000000000000</v>
      </c>
      <c r="L12629" t="str">
        <f>T("3152419975")</f>
        <v>3152419975</v>
      </c>
    </row>
    <row r="12630" spans="1:12" x14ac:dyDescent="0.35">
      <c r="A12630" t="str">
        <f>T("USS JOHN S MCCAIN DDG-56")</f>
        <v>USS JOHN S MCCAIN DDG-56</v>
      </c>
      <c r="B12630" t="str">
        <f>T("USS JOHN MCCAIN DDG 56")</f>
        <v>USS JOHN MCCAIN DDG 56</v>
      </c>
      <c r="C12630" t="str">
        <f>T("UNIT 100161 BOX 1")</f>
        <v>UNIT 100161 BOX 1</v>
      </c>
      <c r="D12630" t="str">
        <f t="shared" si="4683"/>
        <v>FPO</v>
      </c>
      <c r="E12630" t="str">
        <f t="shared" si="4684"/>
        <v>AP</v>
      </c>
      <c r="F12630" t="str">
        <f>T("966726100")</f>
        <v>966726100</v>
      </c>
      <c r="G12630" t="str">
        <f>T("USS JOHN MCCAIN DDG 56")</f>
        <v>USS JOHN MCCAIN DDG 56</v>
      </c>
      <c r="H12630" t="str">
        <f>T("UNIT 100161 BOX 1")</f>
        <v>UNIT 100161 BOX 1</v>
      </c>
      <c r="I12630" t="str">
        <f t="shared" si="4680"/>
        <v>FPO</v>
      </c>
      <c r="J12630" t="str">
        <f t="shared" si="4681"/>
        <v>AP</v>
      </c>
      <c r="K12630" t="str">
        <f>T("011813117419975")</f>
        <v>011813117419975</v>
      </c>
      <c r="L12630" t="str">
        <f>T("3152419975")</f>
        <v>3152419975</v>
      </c>
    </row>
    <row r="12631" spans="1:12" x14ac:dyDescent="0.35">
      <c r="A12631" t="str">
        <f>T("USS JOHN S MCCAIN DDG-56")</f>
        <v>USS JOHN S MCCAIN DDG-56</v>
      </c>
      <c r="B12631" t="str">
        <f>T("USS JOHN MCCAIN DDG 56")</f>
        <v>USS JOHN MCCAIN DDG 56</v>
      </c>
      <c r="C12631" t="str">
        <f>T("UNIT 100161 BOX 1")</f>
        <v>UNIT 100161 BOX 1</v>
      </c>
      <c r="D12631" t="str">
        <f t="shared" si="4683"/>
        <v>FPO</v>
      </c>
      <c r="E12631" t="str">
        <f t="shared" si="4684"/>
        <v>AP</v>
      </c>
      <c r="F12631" t="str">
        <f>T("966726100")</f>
        <v>966726100</v>
      </c>
      <c r="G12631" t="str">
        <f>T("USS JOHN S MCCAIN DDG 56")</f>
        <v>USS JOHN S MCCAIN DDG 56</v>
      </c>
      <c r="H12631" t="str">
        <f>T("")</f>
        <v/>
      </c>
      <c r="I12631" t="str">
        <f t="shared" si="4680"/>
        <v>FPO</v>
      </c>
      <c r="J12631" t="str">
        <f t="shared" si="4681"/>
        <v>AP</v>
      </c>
      <c r="K12631" t="str">
        <f>T("000000000000000000")</f>
        <v>000000000000000000</v>
      </c>
      <c r="L12631" t="str">
        <f>T("3152419975")</f>
        <v>3152419975</v>
      </c>
    </row>
    <row r="12632" spans="1:12" x14ac:dyDescent="0.35">
      <c r="A12632" t="str">
        <f>T("USS JOHN S MCCAIN DDG-56")</f>
        <v>USS JOHN S MCCAIN DDG-56</v>
      </c>
      <c r="B12632" t="str">
        <f>T("USS JOHN MCCAIN DDG 56")</f>
        <v>USS JOHN MCCAIN DDG 56</v>
      </c>
      <c r="C12632" t="str">
        <f>T("UNIT 100161 BOX 1")</f>
        <v>UNIT 100161 BOX 1</v>
      </c>
      <c r="D12632" t="str">
        <f t="shared" si="4683"/>
        <v>FPO</v>
      </c>
      <c r="E12632" t="str">
        <f t="shared" si="4684"/>
        <v>AP</v>
      </c>
      <c r="F12632" t="str">
        <f>T("966726100")</f>
        <v>966726100</v>
      </c>
      <c r="G12632" t="str">
        <f>T("USS JOHN S MCCAIN DDG 56")</f>
        <v>USS JOHN S MCCAIN DDG 56</v>
      </c>
      <c r="H12632" t="str">
        <f>T("UNIT 100161 BOX 1")</f>
        <v>UNIT 100161 BOX 1</v>
      </c>
      <c r="I12632" t="str">
        <f t="shared" si="4680"/>
        <v>FPO</v>
      </c>
      <c r="J12632" t="str">
        <f t="shared" si="4681"/>
        <v>AP</v>
      </c>
      <c r="K12632" t="str">
        <f>T("01181046896997")</f>
        <v>01181046896997</v>
      </c>
      <c r="L12632" t="str">
        <f>T("1111111111")</f>
        <v>1111111111</v>
      </c>
    </row>
    <row r="12633" spans="1:12" x14ac:dyDescent="0.35">
      <c r="A12633" t="str">
        <f>T("USS BOXER LHD4")</f>
        <v>USS BOXER LHD4</v>
      </c>
      <c r="B12633" t="str">
        <f>T("UNIT 100166")</f>
        <v>UNIT 100166</v>
      </c>
      <c r="C12633" t="str">
        <f>T("BOX1")</f>
        <v>BOX1</v>
      </c>
      <c r="D12633" t="str">
        <f t="shared" si="4683"/>
        <v>FPO</v>
      </c>
      <c r="E12633" t="str">
        <f t="shared" si="4684"/>
        <v>AP</v>
      </c>
      <c r="F12633" t="str">
        <f>T("966610000")</f>
        <v>966610000</v>
      </c>
      <c r="G12633" t="str">
        <f>T("UNIT 100166")</f>
        <v>UNIT 100166</v>
      </c>
      <c r="H12633" t="str">
        <f>T("BOX 106")</f>
        <v>BOX 106</v>
      </c>
      <c r="I12633" t="str">
        <f t="shared" si="4680"/>
        <v>FPO</v>
      </c>
      <c r="J12633" t="str">
        <f t="shared" si="4681"/>
        <v>AP</v>
      </c>
      <c r="K12633" t="str">
        <f>T("000000000000000000")</f>
        <v>000000000000000000</v>
      </c>
      <c r="L12633" t="str">
        <f>T("6195564109")</f>
        <v>6195564109</v>
      </c>
    </row>
    <row r="12634" spans="1:12" x14ac:dyDescent="0.35">
      <c r="A12634" t="str">
        <f>T("USS BOXER LHD4")</f>
        <v>USS BOXER LHD4</v>
      </c>
      <c r="B12634" t="str">
        <f>T("UNIT 100166")</f>
        <v>UNIT 100166</v>
      </c>
      <c r="C12634" t="str">
        <f>T("BOX1")</f>
        <v>BOX1</v>
      </c>
      <c r="D12634" t="str">
        <f t="shared" si="4683"/>
        <v>FPO</v>
      </c>
      <c r="E12634" t="str">
        <f t="shared" si="4684"/>
        <v>AP</v>
      </c>
      <c r="F12634" t="str">
        <f>T("966610000")</f>
        <v>966610000</v>
      </c>
      <c r="G12634" t="str">
        <f>T("UNIT 100166")</f>
        <v>UNIT 100166</v>
      </c>
      <c r="H12634" t="str">
        <f>T("BOX1")</f>
        <v>BOX1</v>
      </c>
      <c r="I12634" t="str">
        <f t="shared" si="4680"/>
        <v>FPO</v>
      </c>
      <c r="J12634" t="str">
        <f t="shared" si="4681"/>
        <v>AP</v>
      </c>
      <c r="K12634" t="str">
        <f>T("000000000000000000")</f>
        <v>000000000000000000</v>
      </c>
      <c r="L12634" t="str">
        <f>T("6195564109")</f>
        <v>6195564109</v>
      </c>
    </row>
    <row r="12635" spans="1:12" x14ac:dyDescent="0.35">
      <c r="A12635" t="str">
        <f>T("USS BOXER LHD4")</f>
        <v>USS BOXER LHD4</v>
      </c>
      <c r="B12635" t="str">
        <f>T("UNIT 100166")</f>
        <v>UNIT 100166</v>
      </c>
      <c r="C12635" t="str">
        <f>T("BOX1")</f>
        <v>BOX1</v>
      </c>
      <c r="D12635" t="str">
        <f t="shared" si="4683"/>
        <v>FPO</v>
      </c>
      <c r="E12635" t="str">
        <f t="shared" si="4684"/>
        <v>AP</v>
      </c>
      <c r="F12635" t="str">
        <f>T("966610000")</f>
        <v>966610000</v>
      </c>
      <c r="G12635" t="str">
        <f>T("USS BOXER LHD-4")</f>
        <v>USS BOXER LHD-4</v>
      </c>
      <c r="H12635" t="str">
        <f>T("SUPPLY DEPT")</f>
        <v>SUPPLY DEPT</v>
      </c>
      <c r="I12635" t="str">
        <f t="shared" si="4680"/>
        <v>FPO</v>
      </c>
      <c r="J12635" t="str">
        <f t="shared" si="4681"/>
        <v>AP</v>
      </c>
      <c r="K12635" t="str">
        <f>T("000000000000000000")</f>
        <v>000000000000000000</v>
      </c>
      <c r="L12635" t="str">
        <f>T("6195564109")</f>
        <v>6195564109</v>
      </c>
    </row>
    <row r="12636" spans="1:12" x14ac:dyDescent="0.35">
      <c r="A12636" t="str">
        <f>T("USS BOXER LHD4")</f>
        <v>USS BOXER LHD4</v>
      </c>
      <c r="B12636" t="str">
        <f>T("UNIT 100166")</f>
        <v>UNIT 100166</v>
      </c>
      <c r="C12636" t="str">
        <f>T("BOX1")</f>
        <v>BOX1</v>
      </c>
      <c r="D12636" t="str">
        <f t="shared" si="4683"/>
        <v>FPO</v>
      </c>
      <c r="E12636" t="str">
        <f t="shared" si="4684"/>
        <v>AP</v>
      </c>
      <c r="F12636" t="str">
        <f>T("966610000")</f>
        <v>966610000</v>
      </c>
      <c r="G12636" t="str">
        <f>T("USS BOXER LHD-4")</f>
        <v>USS BOXER LHD-4</v>
      </c>
      <c r="H12636" t="str">
        <f>T("SUPPLY DEPT/S1")</f>
        <v>SUPPLY DEPT/S1</v>
      </c>
      <c r="I12636" t="str">
        <f t="shared" si="4680"/>
        <v>FPO</v>
      </c>
      <c r="J12636" t="str">
        <f t="shared" si="4681"/>
        <v>AP</v>
      </c>
      <c r="K12636" t="str">
        <f>T("000000000000000000")</f>
        <v>000000000000000000</v>
      </c>
      <c r="L12636" t="str">
        <f>T("6195564109")</f>
        <v>6195564109</v>
      </c>
    </row>
    <row r="12637" spans="1:12" x14ac:dyDescent="0.35">
      <c r="A12637" t="str">
        <f>T("USS BOXER LHD4")</f>
        <v>USS BOXER LHD4</v>
      </c>
      <c r="B12637" t="str">
        <f>T("UNIT 100166")</f>
        <v>UNIT 100166</v>
      </c>
      <c r="C12637" t="str">
        <f>T("BOX1")</f>
        <v>BOX1</v>
      </c>
      <c r="D12637" t="str">
        <f t="shared" si="4683"/>
        <v>FPO</v>
      </c>
      <c r="E12637" t="str">
        <f t="shared" si="4684"/>
        <v>AP</v>
      </c>
      <c r="F12637" t="str">
        <f>T("966610000")</f>
        <v>966610000</v>
      </c>
      <c r="G12637" t="str">
        <f>T("USS BOXER LHD-4")</f>
        <v>USS BOXER LHD-4</v>
      </c>
      <c r="H12637" t="str">
        <f>T("UNIT 100166 BOX 510")</f>
        <v>UNIT 100166 BOX 510</v>
      </c>
      <c r="I12637" t="str">
        <f t="shared" si="4680"/>
        <v>FPO</v>
      </c>
      <c r="J12637" t="str">
        <f t="shared" si="4681"/>
        <v>AP</v>
      </c>
      <c r="K12637" t="str">
        <f>T("6195564145")</f>
        <v>6195564145</v>
      </c>
      <c r="L12637" t="str">
        <f>T("6195454145")</f>
        <v>6195454145</v>
      </c>
    </row>
    <row r="12638" spans="1:12" x14ac:dyDescent="0.35">
      <c r="A12638" t="str">
        <f>T("USS RUSSELL DDG-59")</f>
        <v>USS RUSSELL DDG-59</v>
      </c>
      <c r="B12638" t="str">
        <f>T("USS RUSSELL DDG 59")</f>
        <v>USS RUSSELL DDG 59</v>
      </c>
      <c r="C12638" t="str">
        <f>T("UNIT 100168 BOX 1")</f>
        <v>UNIT 100168 BOX 1</v>
      </c>
      <c r="D12638" t="str">
        <f t="shared" si="4683"/>
        <v>FPO</v>
      </c>
      <c r="E12638" t="str">
        <f t="shared" si="4684"/>
        <v>AP</v>
      </c>
      <c r="F12638" t="str">
        <f>T("966776800")</f>
        <v>966776800</v>
      </c>
      <c r="G12638" t="str">
        <f>T("100168 BOX 1")</f>
        <v>100168 BOX 1</v>
      </c>
      <c r="H12638" t="str">
        <f>T("")</f>
        <v/>
      </c>
      <c r="I12638" t="str">
        <f t="shared" si="4680"/>
        <v>FPO</v>
      </c>
      <c r="J12638" t="str">
        <f t="shared" si="4681"/>
        <v>AP</v>
      </c>
      <c r="K12638" t="str">
        <f>T("000000000000000000")</f>
        <v>000000000000000000</v>
      </c>
      <c r="L12638" t="str">
        <f>T("6195564015")</f>
        <v>6195564015</v>
      </c>
    </row>
    <row r="12639" spans="1:12" x14ac:dyDescent="0.35">
      <c r="A12639" t="str">
        <f>T("USS RUSSELL DDG-59")</f>
        <v>USS RUSSELL DDG-59</v>
      </c>
      <c r="B12639" t="str">
        <f>T("USS RUSSELL DDG 59")</f>
        <v>USS RUSSELL DDG 59</v>
      </c>
      <c r="C12639" t="str">
        <f>T("UNIT 100168 BOX 1")</f>
        <v>UNIT 100168 BOX 1</v>
      </c>
      <c r="D12639" t="str">
        <f t="shared" si="4683"/>
        <v>FPO</v>
      </c>
      <c r="E12639" t="str">
        <f t="shared" si="4684"/>
        <v>AP</v>
      </c>
      <c r="F12639" t="str">
        <f>T("966776800")</f>
        <v>966776800</v>
      </c>
      <c r="G12639" t="str">
        <f>T("ATTN SUPPLY OFFICER")</f>
        <v>ATTN SUPPLY OFFICER</v>
      </c>
      <c r="H12639" t="str">
        <f>T("UNIT 100168 BOX 1")</f>
        <v>UNIT 100168 BOX 1</v>
      </c>
      <c r="I12639" t="str">
        <f t="shared" si="4680"/>
        <v>FPO</v>
      </c>
      <c r="J12639" t="str">
        <f t="shared" si="4681"/>
        <v>AP</v>
      </c>
      <c r="K12639" t="str">
        <f>T("000000000000000000")</f>
        <v>000000000000000000</v>
      </c>
      <c r="L12639" t="str">
        <f>T("6195564015")</f>
        <v>6195564015</v>
      </c>
    </row>
    <row r="12640" spans="1:12" x14ac:dyDescent="0.35">
      <c r="A12640" t="str">
        <f>T("USS RUSSELL DDG-59")</f>
        <v>USS RUSSELL DDG-59</v>
      </c>
      <c r="B12640" t="str">
        <f>T("USS RUSSELL DDG 59")</f>
        <v>USS RUSSELL DDG 59</v>
      </c>
      <c r="C12640" t="str">
        <f>T("UNIT 100168 BOX 1")</f>
        <v>UNIT 100168 BOX 1</v>
      </c>
      <c r="D12640" t="str">
        <f t="shared" si="4683"/>
        <v>FPO</v>
      </c>
      <c r="E12640" t="str">
        <f t="shared" si="4684"/>
        <v>AP</v>
      </c>
      <c r="F12640" t="str">
        <f>T("966776800")</f>
        <v>966776800</v>
      </c>
      <c r="G12640" t="str">
        <f>T("SUPPLY DEPT")</f>
        <v>SUPPLY DEPT</v>
      </c>
      <c r="H12640" t="str">
        <f>T("")</f>
        <v/>
      </c>
      <c r="I12640" t="str">
        <f t="shared" si="4680"/>
        <v>FPO</v>
      </c>
      <c r="J12640" t="str">
        <f t="shared" si="4681"/>
        <v>AP</v>
      </c>
      <c r="K12640" t="str">
        <f>T("000000000000000000")</f>
        <v>000000000000000000</v>
      </c>
      <c r="L12640" t="str">
        <f>T("6195564015")</f>
        <v>6195564015</v>
      </c>
    </row>
    <row r="12641" spans="1:12" x14ac:dyDescent="0.35">
      <c r="A12641" t="str">
        <f>T("USS RUSSELL DDG-59")</f>
        <v>USS RUSSELL DDG-59</v>
      </c>
      <c r="B12641" t="str">
        <f>T("USS RUSSELL DDG 59")</f>
        <v>USS RUSSELL DDG 59</v>
      </c>
      <c r="C12641" t="str">
        <f>T("UNIT 100168 BOX 1")</f>
        <v>UNIT 100168 BOX 1</v>
      </c>
      <c r="D12641" t="str">
        <f t="shared" si="4683"/>
        <v>FPO</v>
      </c>
      <c r="E12641" t="str">
        <f t="shared" si="4684"/>
        <v>AP</v>
      </c>
      <c r="F12641" t="str">
        <f>T("966776800")</f>
        <v>966776800</v>
      </c>
      <c r="G12641" t="str">
        <f>T("USS RUSSELL DDG 59")</f>
        <v>USS RUSSELL DDG 59</v>
      </c>
      <c r="H12641" t="str">
        <f>T("")</f>
        <v/>
      </c>
      <c r="I12641" t="str">
        <f t="shared" si="4680"/>
        <v>FPO</v>
      </c>
      <c r="J12641" t="str">
        <f t="shared" si="4681"/>
        <v>AP</v>
      </c>
      <c r="K12641" t="str">
        <f>T("000000000000000000")</f>
        <v>000000000000000000</v>
      </c>
      <c r="L12641" t="str">
        <f>T("6195564017")</f>
        <v>6195564017</v>
      </c>
    </row>
    <row r="12642" spans="1:12" x14ac:dyDescent="0.35">
      <c r="A12642" t="str">
        <f>T("USS RUSSELL DDG-59")</f>
        <v>USS RUSSELL DDG-59</v>
      </c>
      <c r="B12642" t="str">
        <f>T("USS RUSSELL DDG 59")</f>
        <v>USS RUSSELL DDG 59</v>
      </c>
      <c r="C12642" t="str">
        <f>T("UNIT 100168 BOX 1")</f>
        <v>UNIT 100168 BOX 1</v>
      </c>
      <c r="D12642" t="str">
        <f t="shared" si="4683"/>
        <v>FPO</v>
      </c>
      <c r="E12642" t="str">
        <f t="shared" si="4684"/>
        <v>AP</v>
      </c>
      <c r="F12642" t="str">
        <f>T("966776800")</f>
        <v>966776800</v>
      </c>
      <c r="G12642" t="str">
        <f>T("USS RUSSELL DDG 59")</f>
        <v>USS RUSSELL DDG 59</v>
      </c>
      <c r="H12642" t="str">
        <f>T("UNIT 100168 BOX 1")</f>
        <v>UNIT 100168 BOX 1</v>
      </c>
      <c r="I12642" t="str">
        <f t="shared" si="4680"/>
        <v>FPO</v>
      </c>
      <c r="J12642" t="str">
        <f t="shared" si="4681"/>
        <v>AP</v>
      </c>
      <c r="K12642" t="str">
        <f>T("808 471 4875")</f>
        <v>808 471 4875</v>
      </c>
      <c r="L12642" t="str">
        <f>T("6195564625")</f>
        <v>6195564625</v>
      </c>
    </row>
    <row r="12643" spans="1:12" x14ac:dyDescent="0.35">
      <c r="A12643" t="str">
        <f>T("USS PAUL HAMILTON DDG-60")</f>
        <v>USS PAUL HAMILTON DDG-60</v>
      </c>
      <c r="B12643" t="str">
        <f>T("USS PAUL HAMILTON DDG 60")</f>
        <v>USS PAUL HAMILTON DDG 60</v>
      </c>
      <c r="C12643" t="str">
        <f>T("UNIT 100169 BOX 1")</f>
        <v>UNIT 100169 BOX 1</v>
      </c>
      <c r="D12643" t="str">
        <f t="shared" si="4683"/>
        <v>FPO</v>
      </c>
      <c r="E12643" t="str">
        <f t="shared" si="4684"/>
        <v>AP</v>
      </c>
      <c r="F12643" t="str">
        <f>T("966671278")</f>
        <v>966671278</v>
      </c>
      <c r="G12643" t="str">
        <f>T("3705 NORMAN SCOTT RD")</f>
        <v>3705 NORMAN SCOTT RD</v>
      </c>
      <c r="H12643" t="str">
        <f>T("")</f>
        <v/>
      </c>
      <c r="I12643" t="str">
        <f>T("SAN DIEGO")</f>
        <v>SAN DIEGO</v>
      </c>
      <c r="J12643" t="str">
        <f>T("CA")</f>
        <v>CA</v>
      </c>
      <c r="K12643" t="str">
        <f>T("000000000000000000")</f>
        <v>000000000000000000</v>
      </c>
      <c r="L12643" t="str">
        <f>T("8084749093")</f>
        <v>8084749093</v>
      </c>
    </row>
    <row r="12644" spans="1:12" x14ac:dyDescent="0.35">
      <c r="A12644" t="str">
        <f>T("USS PAUL HAMILTON DDG-60")</f>
        <v>USS PAUL HAMILTON DDG-60</v>
      </c>
      <c r="B12644" t="str">
        <f>T("USS PAUL HAMILTON DDG 60")</f>
        <v>USS PAUL HAMILTON DDG 60</v>
      </c>
      <c r="C12644" t="str">
        <f>T("UNIT 100169 BOX 1")</f>
        <v>UNIT 100169 BOX 1</v>
      </c>
      <c r="D12644" t="str">
        <f t="shared" si="4683"/>
        <v>FPO</v>
      </c>
      <c r="E12644" t="str">
        <f t="shared" si="4684"/>
        <v>AP</v>
      </c>
      <c r="F12644" t="str">
        <f>T("966671278")</f>
        <v>966671278</v>
      </c>
      <c r="G12644" t="str">
        <f>T("USS PAUL HAMILTON DDG 60")</f>
        <v>USS PAUL HAMILTON DDG 60</v>
      </c>
      <c r="H12644" t="str">
        <f>T("UNIT 100169 BOX 1")</f>
        <v>UNIT 100169 BOX 1</v>
      </c>
      <c r="I12644" t="str">
        <f t="shared" ref="I12644:I12675" si="4686">T("FPO")</f>
        <v>FPO</v>
      </c>
      <c r="J12644" t="str">
        <f t="shared" ref="J12644:J12675" si="4687">T("AP")</f>
        <v>AP</v>
      </c>
      <c r="K12644" t="str">
        <f>T("8084719204")</f>
        <v>8084719204</v>
      </c>
      <c r="L12644" t="str">
        <f>T("6193595961")</f>
        <v>6193595961</v>
      </c>
    </row>
    <row r="12645" spans="1:12" x14ac:dyDescent="0.35">
      <c r="A12645" t="str">
        <f>T("USS PAUL HAMILTON DDG-60")</f>
        <v>USS PAUL HAMILTON DDG-60</v>
      </c>
      <c r="B12645" t="str">
        <f>T("USS PAUL HAMILTON DDG 60")</f>
        <v>USS PAUL HAMILTON DDG 60</v>
      </c>
      <c r="C12645" t="str">
        <f>T("UNIT 100169 BOX 1")</f>
        <v>UNIT 100169 BOX 1</v>
      </c>
      <c r="D12645" t="str">
        <f t="shared" si="4683"/>
        <v>FPO</v>
      </c>
      <c r="E12645" t="str">
        <f t="shared" si="4684"/>
        <v>AP</v>
      </c>
      <c r="F12645" t="str">
        <f>T("966671278")</f>
        <v>966671278</v>
      </c>
      <c r="G12645" t="str">
        <f>T("USS PAUL HAMILTON DDG 60")</f>
        <v>USS PAUL HAMILTON DDG 60</v>
      </c>
      <c r="H12645" t="str">
        <f>T("UNIT 100169 BOX 111")</f>
        <v>UNIT 100169 BOX 111</v>
      </c>
      <c r="I12645" t="str">
        <f t="shared" si="4686"/>
        <v>FPO</v>
      </c>
      <c r="J12645" t="str">
        <f t="shared" si="4687"/>
        <v>AP</v>
      </c>
      <c r="K12645" t="str">
        <f>T("000000000000000000")</f>
        <v>000000000000000000</v>
      </c>
      <c r="L12645" t="str">
        <f>T("8084749093")</f>
        <v>8084749093</v>
      </c>
    </row>
    <row r="12646" spans="1:12" x14ac:dyDescent="0.35">
      <c r="A12646" t="str">
        <f>T("USS PAUL HAMILTON DDG-60")</f>
        <v>USS PAUL HAMILTON DDG-60</v>
      </c>
      <c r="B12646" t="str">
        <f>T("USS PAUL HAMILTON DDG 60")</f>
        <v>USS PAUL HAMILTON DDG 60</v>
      </c>
      <c r="C12646" t="str">
        <f>T("UNIT 100169 BOX 1")</f>
        <v>UNIT 100169 BOX 1</v>
      </c>
      <c r="D12646" t="str">
        <f t="shared" si="4683"/>
        <v>FPO</v>
      </c>
      <c r="E12646" t="str">
        <f t="shared" si="4684"/>
        <v>AP</v>
      </c>
      <c r="F12646" t="str">
        <f>T("966671278")</f>
        <v>966671278</v>
      </c>
      <c r="G12646" t="str">
        <f>T("USS PAUL HAMILTON DDG 60")</f>
        <v>USS PAUL HAMILTON DDG 60</v>
      </c>
      <c r="H12646" t="str">
        <f>T("UNIT 10069 BOX 111")</f>
        <v>UNIT 10069 BOX 111</v>
      </c>
      <c r="I12646" t="str">
        <f t="shared" si="4686"/>
        <v>FPO</v>
      </c>
      <c r="J12646" t="str">
        <f t="shared" si="4687"/>
        <v>AP</v>
      </c>
      <c r="K12646" t="str">
        <f>T("000000000000000000")</f>
        <v>000000000000000000</v>
      </c>
      <c r="L12646" t="str">
        <f>T("8084749093")</f>
        <v>8084749093</v>
      </c>
    </row>
    <row r="12647" spans="1:12" x14ac:dyDescent="0.35">
      <c r="A12647" t="str">
        <f>T("USS FITZGERALD DDG 62")</f>
        <v>USS FITZGERALD DDG 62</v>
      </c>
      <c r="B12647" t="str">
        <f>T("USS FITZGERALD DDG-62")</f>
        <v>USS FITZGERALD DDG-62</v>
      </c>
      <c r="C12647" t="str">
        <f>T("UNIT 100173 BOX 1")</f>
        <v>UNIT 100173 BOX 1</v>
      </c>
      <c r="D12647" t="str">
        <f t="shared" si="4683"/>
        <v>FPO</v>
      </c>
      <c r="E12647" t="str">
        <f t="shared" si="4684"/>
        <v>AP</v>
      </c>
      <c r="F12647" t="str">
        <f>T("966657300")</f>
        <v>966657300</v>
      </c>
      <c r="G12647" t="str">
        <f>T("ATTN SUPPLY OFFICER")</f>
        <v>ATTN SUPPLY OFFICER</v>
      </c>
      <c r="H12647" t="str">
        <f>T("UNIT 100173 BOX 1")</f>
        <v>UNIT 100173 BOX 1</v>
      </c>
      <c r="I12647" t="str">
        <f t="shared" si="4686"/>
        <v>FPO</v>
      </c>
      <c r="J12647" t="str">
        <f t="shared" si="4687"/>
        <v>AP</v>
      </c>
      <c r="K12647" t="str">
        <f>T("000000000000000000")</f>
        <v>000000000000000000</v>
      </c>
      <c r="L12647" t="str">
        <f>T("3152432459")</f>
        <v>3152432459</v>
      </c>
    </row>
    <row r="12648" spans="1:12" x14ac:dyDescent="0.35">
      <c r="A12648" t="str">
        <f>T("USS FITZGERALD DDG 62")</f>
        <v>USS FITZGERALD DDG 62</v>
      </c>
      <c r="B12648" t="str">
        <f>T("USS FITZGERALD DDG-62")</f>
        <v>USS FITZGERALD DDG-62</v>
      </c>
      <c r="C12648" t="str">
        <f>T("UNIT 100173 BOX 1")</f>
        <v>UNIT 100173 BOX 1</v>
      </c>
      <c r="D12648" t="str">
        <f t="shared" si="4683"/>
        <v>FPO</v>
      </c>
      <c r="E12648" t="str">
        <f t="shared" si="4684"/>
        <v>AP</v>
      </c>
      <c r="F12648" t="str">
        <f>T("966657300")</f>
        <v>966657300</v>
      </c>
      <c r="G12648" t="str">
        <f>T("SUPPLY DEPT")</f>
        <v>SUPPLY DEPT</v>
      </c>
      <c r="H12648" t="str">
        <f>T("S1 DIV")</f>
        <v>S1 DIV</v>
      </c>
      <c r="I12648" t="str">
        <f t="shared" si="4686"/>
        <v>FPO</v>
      </c>
      <c r="J12648" t="str">
        <f t="shared" si="4687"/>
        <v>AP</v>
      </c>
      <c r="K12648" t="str">
        <f>T("000000000000000000")</f>
        <v>000000000000000000</v>
      </c>
      <c r="L12648" t="str">
        <f>T("3152432459")</f>
        <v>3152432459</v>
      </c>
    </row>
    <row r="12649" spans="1:12" x14ac:dyDescent="0.35">
      <c r="A12649" t="str">
        <f>T("USS FITZGERALD DDG 62")</f>
        <v>USS FITZGERALD DDG 62</v>
      </c>
      <c r="B12649" t="str">
        <f>T("USS FITZGERALD DDG-62")</f>
        <v>USS FITZGERALD DDG-62</v>
      </c>
      <c r="C12649" t="str">
        <f>T("UNIT 100173 BOX 1")</f>
        <v>UNIT 100173 BOX 1</v>
      </c>
      <c r="D12649" t="str">
        <f t="shared" si="4683"/>
        <v>FPO</v>
      </c>
      <c r="E12649" t="str">
        <f t="shared" si="4684"/>
        <v>AP</v>
      </c>
      <c r="F12649" t="str">
        <f>T("966657300")</f>
        <v>966657300</v>
      </c>
      <c r="G12649" t="str">
        <f>T("USS FITZGERALD DDG-62")</f>
        <v>USS FITZGERALD DDG-62</v>
      </c>
      <c r="H12649" t="str">
        <f>T("UNIT 100173 BOX 1")</f>
        <v>UNIT 100173 BOX 1</v>
      </c>
      <c r="I12649" t="str">
        <f t="shared" si="4686"/>
        <v>FPO</v>
      </c>
      <c r="J12649" t="str">
        <f t="shared" si="4687"/>
        <v>AP</v>
      </c>
      <c r="K12649" t="str">
        <f>T("01181468162459")</f>
        <v>01181468162459</v>
      </c>
      <c r="L12649" t="str">
        <f>T("3152432459")</f>
        <v>3152432459</v>
      </c>
    </row>
    <row r="12650" spans="1:12" x14ac:dyDescent="0.35">
      <c r="A12650" t="str">
        <f t="shared" ref="A12650:B12653" si="4688">T("USS STETHEM DDG 63")</f>
        <v>USS STETHEM DDG 63</v>
      </c>
      <c r="B12650" t="str">
        <f t="shared" si="4688"/>
        <v>USS STETHEM DDG 63</v>
      </c>
      <c r="C12650" t="str">
        <f>T("")</f>
        <v/>
      </c>
      <c r="D12650" t="str">
        <f t="shared" si="4683"/>
        <v>FPO</v>
      </c>
      <c r="E12650" t="str">
        <f t="shared" si="4684"/>
        <v>AP</v>
      </c>
      <c r="F12650" t="str">
        <f>T("966781281")</f>
        <v>966781281</v>
      </c>
      <c r="G12650" t="str">
        <f>T("ATTN SUPPLY OFFICER")</f>
        <v>ATTN SUPPLY OFFICER</v>
      </c>
      <c r="H12650" t="str">
        <f>T("UNIT 100174 BOX 1")</f>
        <v>UNIT 100174 BOX 1</v>
      </c>
      <c r="I12650" t="str">
        <f t="shared" si="4686"/>
        <v>FPO</v>
      </c>
      <c r="J12650" t="str">
        <f t="shared" si="4687"/>
        <v>AP</v>
      </c>
      <c r="K12650" t="str">
        <f>T("01181468163030")</f>
        <v>01181468163030</v>
      </c>
      <c r="L12650" t="str">
        <f>T("1111111111")</f>
        <v>1111111111</v>
      </c>
    </row>
    <row r="12651" spans="1:12" x14ac:dyDescent="0.35">
      <c r="A12651" t="str">
        <f t="shared" si="4688"/>
        <v>USS STETHEM DDG 63</v>
      </c>
      <c r="B12651" t="str">
        <f t="shared" si="4688"/>
        <v>USS STETHEM DDG 63</v>
      </c>
      <c r="C12651" t="str">
        <f>T("")</f>
        <v/>
      </c>
      <c r="D12651" t="str">
        <f t="shared" ref="D12651:D12682" si="4689">T("FPO")</f>
        <v>FPO</v>
      </c>
      <c r="E12651" t="str">
        <f t="shared" ref="E12651:E12682" si="4690">T("AP")</f>
        <v>AP</v>
      </c>
      <c r="F12651" t="str">
        <f>T("966781281")</f>
        <v>966781281</v>
      </c>
      <c r="G12651" t="str">
        <f>T("SUPPLY DEPT")</f>
        <v>SUPPLY DEPT</v>
      </c>
      <c r="H12651" t="str">
        <f>T("S1 DIV")</f>
        <v>S1 DIV</v>
      </c>
      <c r="I12651" t="str">
        <f t="shared" si="4686"/>
        <v>FPO</v>
      </c>
      <c r="J12651" t="str">
        <f t="shared" si="4687"/>
        <v>AP</v>
      </c>
      <c r="K12651" t="str">
        <f>T("01181468463030")</f>
        <v>01181468463030</v>
      </c>
      <c r="L12651" t="str">
        <f>T("1111111111")</f>
        <v>1111111111</v>
      </c>
    </row>
    <row r="12652" spans="1:12" x14ac:dyDescent="0.35">
      <c r="A12652" t="str">
        <f t="shared" si="4688"/>
        <v>USS STETHEM DDG 63</v>
      </c>
      <c r="B12652" t="str">
        <f t="shared" si="4688"/>
        <v>USS STETHEM DDG 63</v>
      </c>
      <c r="C12652" t="str">
        <f>T("")</f>
        <v/>
      </c>
      <c r="D12652" t="str">
        <f t="shared" si="4689"/>
        <v>FPO</v>
      </c>
      <c r="E12652" t="str">
        <f t="shared" si="4690"/>
        <v>AP</v>
      </c>
      <c r="F12652" t="str">
        <f>T("966781281")</f>
        <v>966781281</v>
      </c>
      <c r="G12652" t="str">
        <f>T("USS STETHEM DDG 63")</f>
        <v>USS STETHEM DDG 63</v>
      </c>
      <c r="H12652" t="str">
        <f>T("")</f>
        <v/>
      </c>
      <c r="I12652" t="str">
        <f t="shared" si="4686"/>
        <v>FPO</v>
      </c>
      <c r="J12652" t="str">
        <f t="shared" si="4687"/>
        <v>AP</v>
      </c>
      <c r="K12652" t="str">
        <f>T("01181468163030")</f>
        <v>01181468163030</v>
      </c>
      <c r="L12652" t="str">
        <f>T("1111111111")</f>
        <v>1111111111</v>
      </c>
    </row>
    <row r="12653" spans="1:12" x14ac:dyDescent="0.35">
      <c r="A12653" t="str">
        <f t="shared" si="4688"/>
        <v>USS STETHEM DDG 63</v>
      </c>
      <c r="B12653" t="str">
        <f t="shared" si="4688"/>
        <v>USS STETHEM DDG 63</v>
      </c>
      <c r="C12653" t="str">
        <f>T("")</f>
        <v/>
      </c>
      <c r="D12653" t="str">
        <f t="shared" si="4689"/>
        <v>FPO</v>
      </c>
      <c r="E12653" t="str">
        <f t="shared" si="4690"/>
        <v>AP</v>
      </c>
      <c r="F12653" t="str">
        <f>T("966781281")</f>
        <v>966781281</v>
      </c>
      <c r="G12653" t="str">
        <f>T("USS STETHEM DDG 63")</f>
        <v>USS STETHEM DDG 63</v>
      </c>
      <c r="H12653" t="str">
        <f>T("SUPPLY DEPT S1 DIV")</f>
        <v>SUPPLY DEPT S1 DIV</v>
      </c>
      <c r="I12653" t="str">
        <f t="shared" si="4686"/>
        <v>FPO</v>
      </c>
      <c r="J12653" t="str">
        <f t="shared" si="4687"/>
        <v>AP</v>
      </c>
      <c r="K12653" t="str">
        <f>T("01181468163030")</f>
        <v>01181468163030</v>
      </c>
      <c r="L12653" t="str">
        <f>T("1111111111")</f>
        <v>1111111111</v>
      </c>
    </row>
    <row r="12654" spans="1:12" x14ac:dyDescent="0.35">
      <c r="A12654" t="str">
        <f>T("USS LAKE ERIE CG-70")</f>
        <v>USS LAKE ERIE CG-70</v>
      </c>
      <c r="B12654" t="str">
        <f>T("USS LAKE ERIE CG 70")</f>
        <v>USS LAKE ERIE CG 70</v>
      </c>
      <c r="C12654" t="str">
        <f>T("UNIT 100155 BOX 1")</f>
        <v>UNIT 100155 BOX 1</v>
      </c>
      <c r="D12654" t="str">
        <f t="shared" si="4689"/>
        <v>FPO</v>
      </c>
      <c r="E12654" t="str">
        <f t="shared" si="4690"/>
        <v>AP</v>
      </c>
      <c r="F12654" t="str">
        <f>T("966715500")</f>
        <v>966715500</v>
      </c>
      <c r="G12654" t="str">
        <f>T("ATTN SUPPLY OFFICER")</f>
        <v>ATTN SUPPLY OFFICER</v>
      </c>
      <c r="H12654" t="str">
        <f>T("UNIT 100155 BOX 1")</f>
        <v>UNIT 100155 BOX 1</v>
      </c>
      <c r="I12654" t="str">
        <f t="shared" si="4686"/>
        <v>FPO</v>
      </c>
      <c r="J12654" t="str">
        <f t="shared" si="4687"/>
        <v>AP</v>
      </c>
      <c r="K12654" t="str">
        <f>T("000000000000000000")</f>
        <v>000000000000000000</v>
      </c>
      <c r="L12654" t="str">
        <f>T("6195563860")</f>
        <v>6195563860</v>
      </c>
    </row>
    <row r="12655" spans="1:12" x14ac:dyDescent="0.35">
      <c r="A12655" t="str">
        <f>T("USS LAKE ERIE CG-70")</f>
        <v>USS LAKE ERIE CG-70</v>
      </c>
      <c r="B12655" t="str">
        <f>T("USS LAKE ERIE CG 70")</f>
        <v>USS LAKE ERIE CG 70</v>
      </c>
      <c r="C12655" t="str">
        <f>T("UNIT 100155 BOX 1")</f>
        <v>UNIT 100155 BOX 1</v>
      </c>
      <c r="D12655" t="str">
        <f t="shared" si="4689"/>
        <v>FPO</v>
      </c>
      <c r="E12655" t="str">
        <f t="shared" si="4690"/>
        <v>AP</v>
      </c>
      <c r="F12655" t="str">
        <f>T("966715500")</f>
        <v>966715500</v>
      </c>
      <c r="G12655" t="str">
        <f>T("ATTN SUPPY OFFICER")</f>
        <v>ATTN SUPPY OFFICER</v>
      </c>
      <c r="H12655" t="str">
        <f>T("UNIT 100155 BOX 1")</f>
        <v>UNIT 100155 BOX 1</v>
      </c>
      <c r="I12655" t="str">
        <f t="shared" si="4686"/>
        <v>FPO</v>
      </c>
      <c r="J12655" t="str">
        <f t="shared" si="4687"/>
        <v>AP</v>
      </c>
      <c r="K12655" t="str">
        <f>T("000000000000000000")</f>
        <v>000000000000000000</v>
      </c>
      <c r="L12655" t="str">
        <f>T("6195563860")</f>
        <v>6195563860</v>
      </c>
    </row>
    <row r="12656" spans="1:12" x14ac:dyDescent="0.35">
      <c r="A12656" t="str">
        <f>T("USS LAKE ERIE CG-70")</f>
        <v>USS LAKE ERIE CG-70</v>
      </c>
      <c r="B12656" t="str">
        <f>T("USS LAKE ERIE CG 70")</f>
        <v>USS LAKE ERIE CG 70</v>
      </c>
      <c r="C12656" t="str">
        <f>T("UNIT 100155 BOX 1")</f>
        <v>UNIT 100155 BOX 1</v>
      </c>
      <c r="D12656" t="str">
        <f t="shared" si="4689"/>
        <v>FPO</v>
      </c>
      <c r="E12656" t="str">
        <f t="shared" si="4690"/>
        <v>AP</v>
      </c>
      <c r="F12656" t="str">
        <f>T("966715500")</f>
        <v>966715500</v>
      </c>
      <c r="G12656" t="str">
        <f>T("USS LAKE ERIE CG 70")</f>
        <v>USS LAKE ERIE CG 70</v>
      </c>
      <c r="H12656" t="str">
        <f>T("UNIT 100155 BOX 1")</f>
        <v>UNIT 100155 BOX 1</v>
      </c>
      <c r="I12656" t="str">
        <f t="shared" si="4686"/>
        <v>FPO</v>
      </c>
      <c r="J12656" t="str">
        <f t="shared" si="4687"/>
        <v>AP</v>
      </c>
      <c r="K12656" t="str">
        <f>T("808 474 2276")</f>
        <v>808 474 2276</v>
      </c>
      <c r="L12656" t="str">
        <f>T("6195563860")</f>
        <v>6195563860</v>
      </c>
    </row>
    <row r="12657" spans="1:12" x14ac:dyDescent="0.35">
      <c r="A12657" t="str">
        <f>T("USS PORT ROYAL CG-73")</f>
        <v>USS PORT ROYAL CG-73</v>
      </c>
      <c r="B12657" t="str">
        <f>T("USS PORT ROYAL CG73")</f>
        <v>USS PORT ROYAL CG73</v>
      </c>
      <c r="C12657" t="str">
        <f>T("UNIT 100162 BOX 1")</f>
        <v>UNIT 100162 BOX 1</v>
      </c>
      <c r="D12657" t="str">
        <f t="shared" si="4689"/>
        <v>FPO</v>
      </c>
      <c r="E12657" t="str">
        <f t="shared" si="4690"/>
        <v>AP</v>
      </c>
      <c r="F12657" t="str">
        <f>T("966756200")</f>
        <v>966756200</v>
      </c>
      <c r="G12657" t="str">
        <f>T("ATTN SUPPLY OFFICER")</f>
        <v>ATTN SUPPLY OFFICER</v>
      </c>
      <c r="H12657" t="str">
        <f>T("SUPPLY DEPT")</f>
        <v>SUPPLY DEPT</v>
      </c>
      <c r="I12657" t="str">
        <f t="shared" si="4686"/>
        <v>FPO</v>
      </c>
      <c r="J12657" t="str">
        <f t="shared" si="4687"/>
        <v>AP</v>
      </c>
      <c r="K12657" t="str">
        <f>T("000000000000000000")</f>
        <v>000000000000000000</v>
      </c>
      <c r="L12657" t="str">
        <f>T("8084749294")</f>
        <v>8084749294</v>
      </c>
    </row>
    <row r="12658" spans="1:12" x14ac:dyDescent="0.35">
      <c r="A12658" t="str">
        <f>T("USS PORT ROYAL CG-73")</f>
        <v>USS PORT ROYAL CG-73</v>
      </c>
      <c r="B12658" t="str">
        <f>T("USS PORT ROYAL CG73")</f>
        <v>USS PORT ROYAL CG73</v>
      </c>
      <c r="C12658" t="str">
        <f>T("UNIT 100162 BOX 1")</f>
        <v>UNIT 100162 BOX 1</v>
      </c>
      <c r="D12658" t="str">
        <f t="shared" si="4689"/>
        <v>FPO</v>
      </c>
      <c r="E12658" t="str">
        <f t="shared" si="4690"/>
        <v>AP</v>
      </c>
      <c r="F12658" t="str">
        <f>T("966756200")</f>
        <v>966756200</v>
      </c>
      <c r="G12658" t="str">
        <f>T("SUPPLY DEPT")</f>
        <v>SUPPLY DEPT</v>
      </c>
      <c r="H12658" t="str">
        <f>T("")</f>
        <v/>
      </c>
      <c r="I12658" t="str">
        <f t="shared" si="4686"/>
        <v>FPO</v>
      </c>
      <c r="J12658" t="str">
        <f t="shared" si="4687"/>
        <v>AP</v>
      </c>
      <c r="K12658" t="str">
        <f>T("000000000000000000")</f>
        <v>000000000000000000</v>
      </c>
      <c r="L12658" t="str">
        <f>T("8084749298")</f>
        <v>8084749298</v>
      </c>
    </row>
    <row r="12659" spans="1:12" x14ac:dyDescent="0.35">
      <c r="A12659" t="str">
        <f>T("USS PORT ROYAL CG-73")</f>
        <v>USS PORT ROYAL CG-73</v>
      </c>
      <c r="B12659" t="str">
        <f>T("USS PORT ROYAL CG73")</f>
        <v>USS PORT ROYAL CG73</v>
      </c>
      <c r="C12659" t="str">
        <f>T("UNIT 100162 BOX 1")</f>
        <v>UNIT 100162 BOX 1</v>
      </c>
      <c r="D12659" t="str">
        <f t="shared" si="4689"/>
        <v>FPO</v>
      </c>
      <c r="E12659" t="str">
        <f t="shared" si="4690"/>
        <v>AP</v>
      </c>
      <c r="F12659" t="str">
        <f>T("966756200")</f>
        <v>966756200</v>
      </c>
      <c r="G12659" t="str">
        <f>T("SUPPLY OFFICER")</f>
        <v>SUPPLY OFFICER</v>
      </c>
      <c r="H12659" t="str">
        <f>T("")</f>
        <v/>
      </c>
      <c r="I12659" t="str">
        <f t="shared" si="4686"/>
        <v>FPO</v>
      </c>
      <c r="J12659" t="str">
        <f t="shared" si="4687"/>
        <v>AP</v>
      </c>
      <c r="K12659" t="str">
        <f>T("000000000000000000")</f>
        <v>000000000000000000</v>
      </c>
      <c r="L12659" t="str">
        <f>T("8084749298")</f>
        <v>8084749298</v>
      </c>
    </row>
    <row r="12660" spans="1:12" x14ac:dyDescent="0.35">
      <c r="A12660" t="str">
        <f>T("USS PORT ROYAL CG-73")</f>
        <v>USS PORT ROYAL CG-73</v>
      </c>
      <c r="B12660" t="str">
        <f>T("USS PORT ROYAL CG73")</f>
        <v>USS PORT ROYAL CG73</v>
      </c>
      <c r="C12660" t="str">
        <f>T("UNIT 100162 BOX 1")</f>
        <v>UNIT 100162 BOX 1</v>
      </c>
      <c r="D12660" t="str">
        <f t="shared" si="4689"/>
        <v>FPO</v>
      </c>
      <c r="E12660" t="str">
        <f t="shared" si="4690"/>
        <v>AP</v>
      </c>
      <c r="F12660" t="str">
        <f>T("966756200")</f>
        <v>966756200</v>
      </c>
      <c r="G12660" t="str">
        <f>T("USS PORT ROYAL CG73")</f>
        <v>USS PORT ROYAL CG73</v>
      </c>
      <c r="H12660" t="str">
        <f>T("UNIT 100162 BOX 1")</f>
        <v>UNIT 100162 BOX 1</v>
      </c>
      <c r="I12660" t="str">
        <f t="shared" si="4686"/>
        <v>FPO</v>
      </c>
      <c r="J12660" t="str">
        <f t="shared" si="4687"/>
        <v>AP</v>
      </c>
      <c r="K12660" t="str">
        <f>T("8084749219")</f>
        <v>8084749219</v>
      </c>
      <c r="L12660" t="str">
        <f>T("8084718251")</f>
        <v>8084718251</v>
      </c>
    </row>
    <row r="12661" spans="1:12" x14ac:dyDescent="0.35">
      <c r="A12661" t="str">
        <f>T("USS HARPERS FERRY LSD-49")</f>
        <v>USS HARPERS FERRY LSD-49</v>
      </c>
      <c r="B12661" t="str">
        <f>T("USS HARPERS FERRY LSD 49")</f>
        <v>USS HARPERS FERRY LSD 49</v>
      </c>
      <c r="C12661" t="str">
        <f>T("SUPPLY DEPT")</f>
        <v>SUPPLY DEPT</v>
      </c>
      <c r="D12661" t="str">
        <f t="shared" si="4689"/>
        <v>FPO</v>
      </c>
      <c r="E12661" t="str">
        <f t="shared" si="4690"/>
        <v>AP</v>
      </c>
      <c r="F12661" t="str">
        <f>T("966651737")</f>
        <v>966651737</v>
      </c>
      <c r="G12661" t="str">
        <f>T("ATTN SUPPLY OFFICER")</f>
        <v>ATTN SUPPLY OFFICER</v>
      </c>
      <c r="H12661" t="str">
        <f>T("UNIT 100165 BOX 1")</f>
        <v>UNIT 100165 BOX 1</v>
      </c>
      <c r="I12661" t="str">
        <f t="shared" si="4686"/>
        <v>FPO</v>
      </c>
      <c r="J12661" t="str">
        <f t="shared" si="4687"/>
        <v>AP</v>
      </c>
      <c r="K12661" t="str">
        <f>T("000000000000000000")</f>
        <v>000000000000000000</v>
      </c>
      <c r="L12661" t="str">
        <f>T("6195563995")</f>
        <v>6195563995</v>
      </c>
    </row>
    <row r="12662" spans="1:12" x14ac:dyDescent="0.35">
      <c r="A12662" t="str">
        <f>T("USS HARPERS FERRY LSD-49")</f>
        <v>USS HARPERS FERRY LSD-49</v>
      </c>
      <c r="B12662" t="str">
        <f>T("USS HARPERS FERRY LSD 49")</f>
        <v>USS HARPERS FERRY LSD 49</v>
      </c>
      <c r="C12662" t="str">
        <f>T("SUPPLY DEPT")</f>
        <v>SUPPLY DEPT</v>
      </c>
      <c r="D12662" t="str">
        <f t="shared" si="4689"/>
        <v>FPO</v>
      </c>
      <c r="E12662" t="str">
        <f t="shared" si="4690"/>
        <v>AP</v>
      </c>
      <c r="F12662" t="str">
        <f>T("966651737")</f>
        <v>966651737</v>
      </c>
      <c r="G12662" t="str">
        <f>T("SUPPLY DEPT")</f>
        <v>SUPPLY DEPT</v>
      </c>
      <c r="H12662" t="str">
        <f>T("UNIT 100165 BOX 1")</f>
        <v>UNIT 100165 BOX 1</v>
      </c>
      <c r="I12662" t="str">
        <f t="shared" si="4686"/>
        <v>FPO</v>
      </c>
      <c r="J12662" t="str">
        <f t="shared" si="4687"/>
        <v>AP</v>
      </c>
      <c r="K12662" t="str">
        <f>T("000000000000000000")</f>
        <v>000000000000000000</v>
      </c>
      <c r="L12662" t="str">
        <f>T("6195563984")</f>
        <v>6195563984</v>
      </c>
    </row>
    <row r="12663" spans="1:12" x14ac:dyDescent="0.35">
      <c r="A12663" t="str">
        <f>T("USS HARPERS FERRY LSD-49")</f>
        <v>USS HARPERS FERRY LSD-49</v>
      </c>
      <c r="B12663" t="str">
        <f>T("USS HARPERS FERRY LSD 49")</f>
        <v>USS HARPERS FERRY LSD 49</v>
      </c>
      <c r="C12663" t="str">
        <f>T("SUPPLY DEPT")</f>
        <v>SUPPLY DEPT</v>
      </c>
      <c r="D12663" t="str">
        <f t="shared" si="4689"/>
        <v>FPO</v>
      </c>
      <c r="E12663" t="str">
        <f t="shared" si="4690"/>
        <v>AP</v>
      </c>
      <c r="F12663" t="str">
        <f>T("966651737")</f>
        <v>966651737</v>
      </c>
      <c r="G12663" t="str">
        <f>T("USS HARPERS FERRY LSD 49")</f>
        <v>USS HARPERS FERRY LSD 49</v>
      </c>
      <c r="H12663" t="str">
        <f>T("SUPPLY DEPT")</f>
        <v>SUPPLY DEPT</v>
      </c>
      <c r="I12663" t="str">
        <f t="shared" si="4686"/>
        <v>FPO</v>
      </c>
      <c r="J12663" t="str">
        <f t="shared" si="4687"/>
        <v>AP</v>
      </c>
      <c r="K12663" t="str">
        <f>T("000000000000000000")</f>
        <v>000000000000000000</v>
      </c>
      <c r="L12663" t="str">
        <f>T("6195563995")</f>
        <v>6195563995</v>
      </c>
    </row>
    <row r="12664" spans="1:12" x14ac:dyDescent="0.35">
      <c r="A12664" t="str">
        <f t="shared" ref="A12664:B12666" si="4691">T("USS BENFOLD DDG 65")</f>
        <v>USS BENFOLD DDG 65</v>
      </c>
      <c r="B12664" t="str">
        <f t="shared" si="4691"/>
        <v>USS BENFOLD DDG 65</v>
      </c>
      <c r="C12664" t="str">
        <f>T("UNIT 100177 BOX 1")</f>
        <v>UNIT 100177 BOX 1</v>
      </c>
      <c r="D12664" t="str">
        <f t="shared" si="4689"/>
        <v>FPO</v>
      </c>
      <c r="E12664" t="str">
        <f t="shared" si="4690"/>
        <v>AP</v>
      </c>
      <c r="F12664" t="str">
        <f>T("966617700")</f>
        <v>966617700</v>
      </c>
      <c r="G12664" t="str">
        <f>T("ATTN SUPPLY OFFICER")</f>
        <v>ATTN SUPPLY OFFICER</v>
      </c>
      <c r="H12664" t="str">
        <f>T("UNIT 100177 BOX 1")</f>
        <v>UNIT 100177 BOX 1</v>
      </c>
      <c r="I12664" t="str">
        <f t="shared" si="4686"/>
        <v>FPO</v>
      </c>
      <c r="J12664" t="str">
        <f t="shared" si="4687"/>
        <v>AP</v>
      </c>
      <c r="K12664" t="str">
        <f>T("000000000000000000")</f>
        <v>000000000000000000</v>
      </c>
      <c r="L12664" t="str">
        <f>T("6195563825")</f>
        <v>6195563825</v>
      </c>
    </row>
    <row r="12665" spans="1:12" x14ac:dyDescent="0.35">
      <c r="A12665" t="str">
        <f t="shared" si="4691"/>
        <v>USS BENFOLD DDG 65</v>
      </c>
      <c r="B12665" t="str">
        <f t="shared" si="4691"/>
        <v>USS BENFOLD DDG 65</v>
      </c>
      <c r="C12665" t="str">
        <f>T("UNIT 100177 BOX 1")</f>
        <v>UNIT 100177 BOX 1</v>
      </c>
      <c r="D12665" t="str">
        <f t="shared" si="4689"/>
        <v>FPO</v>
      </c>
      <c r="E12665" t="str">
        <f t="shared" si="4690"/>
        <v>AP</v>
      </c>
      <c r="F12665" t="str">
        <f>T("966617700")</f>
        <v>966617700</v>
      </c>
      <c r="G12665" t="str">
        <f>T("USS BENFOLD DDG 65")</f>
        <v>USS BENFOLD DDG 65</v>
      </c>
      <c r="H12665" t="str">
        <f>T("SUPPLY DEPT")</f>
        <v>SUPPLY DEPT</v>
      </c>
      <c r="I12665" t="str">
        <f t="shared" si="4686"/>
        <v>FPO</v>
      </c>
      <c r="J12665" t="str">
        <f t="shared" si="4687"/>
        <v>AP</v>
      </c>
      <c r="K12665" t="str">
        <f>T("000000000000000000")</f>
        <v>000000000000000000</v>
      </c>
      <c r="L12665" t="str">
        <f>T("6195563825")</f>
        <v>6195563825</v>
      </c>
    </row>
    <row r="12666" spans="1:12" x14ac:dyDescent="0.35">
      <c r="A12666" t="str">
        <f t="shared" si="4691"/>
        <v>USS BENFOLD DDG 65</v>
      </c>
      <c r="B12666" t="str">
        <f t="shared" si="4691"/>
        <v>USS BENFOLD DDG 65</v>
      </c>
      <c r="C12666" t="str">
        <f>T("UNIT 100177 BOX 1")</f>
        <v>UNIT 100177 BOX 1</v>
      </c>
      <c r="D12666" t="str">
        <f t="shared" si="4689"/>
        <v>FPO</v>
      </c>
      <c r="E12666" t="str">
        <f t="shared" si="4690"/>
        <v>AP</v>
      </c>
      <c r="F12666" t="str">
        <f>T("966617700")</f>
        <v>966617700</v>
      </c>
      <c r="G12666" t="str">
        <f>T("USS BENFOLD DDG 65")</f>
        <v>USS BENFOLD DDG 65</v>
      </c>
      <c r="H12666" t="str">
        <f>T("UNIT 100177 BOX 1")</f>
        <v>UNIT 100177 BOX 1</v>
      </c>
      <c r="I12666" t="str">
        <f t="shared" si="4686"/>
        <v>FPO</v>
      </c>
      <c r="J12666" t="str">
        <f t="shared" si="4687"/>
        <v>AP</v>
      </c>
      <c r="K12666" t="str">
        <f>T("6195563825")</f>
        <v>6195563825</v>
      </c>
      <c r="L12666" t="str">
        <f>T("3152430755")</f>
        <v>3152430755</v>
      </c>
    </row>
    <row r="12667" spans="1:12" x14ac:dyDescent="0.35">
      <c r="A12667" t="str">
        <f t="shared" ref="A12667:B12671" si="4692">T("USS MILIUS DDG 69")</f>
        <v>USS MILIUS DDG 69</v>
      </c>
      <c r="B12667" t="str">
        <f t="shared" si="4692"/>
        <v>USS MILIUS DDG 69</v>
      </c>
      <c r="C12667" t="str">
        <f>T("UNIT 100179 BOX 1")</f>
        <v>UNIT 100179 BOX 1</v>
      </c>
      <c r="D12667" t="str">
        <f t="shared" si="4689"/>
        <v>FPO</v>
      </c>
      <c r="E12667" t="str">
        <f t="shared" si="4690"/>
        <v>AP</v>
      </c>
      <c r="F12667" t="str">
        <f>T("966727900")</f>
        <v>966727900</v>
      </c>
      <c r="G12667" t="str">
        <f>T("ATTN SUPPLY OFFICER")</f>
        <v>ATTN SUPPLY OFFICER</v>
      </c>
      <c r="H12667" t="str">
        <f>T("UNIT 100179 BOX 1")</f>
        <v>UNIT 100179 BOX 1</v>
      </c>
      <c r="I12667" t="str">
        <f t="shared" si="4686"/>
        <v>FPO</v>
      </c>
      <c r="J12667" t="str">
        <f t="shared" si="4687"/>
        <v>AP</v>
      </c>
      <c r="K12667" t="str">
        <f>T("000000000000000000")</f>
        <v>000000000000000000</v>
      </c>
      <c r="L12667" t="str">
        <f>T("6195563819")</f>
        <v>6195563819</v>
      </c>
    </row>
    <row r="12668" spans="1:12" x14ac:dyDescent="0.35">
      <c r="A12668" t="str">
        <f t="shared" si="4692"/>
        <v>USS MILIUS DDG 69</v>
      </c>
      <c r="B12668" t="str">
        <f t="shared" si="4692"/>
        <v>USS MILIUS DDG 69</v>
      </c>
      <c r="C12668" t="str">
        <f>T("UNIT 100179 BOX 1")</f>
        <v>UNIT 100179 BOX 1</v>
      </c>
      <c r="D12668" t="str">
        <f t="shared" si="4689"/>
        <v>FPO</v>
      </c>
      <c r="E12668" t="str">
        <f t="shared" si="4690"/>
        <v>AP</v>
      </c>
      <c r="F12668" t="str">
        <f>T("966727900")</f>
        <v>966727900</v>
      </c>
      <c r="G12668" t="str">
        <f>T("SUPPLY DEPT")</f>
        <v>SUPPLY DEPT</v>
      </c>
      <c r="H12668" t="str">
        <f>T("S 1 DIV")</f>
        <v>S 1 DIV</v>
      </c>
      <c r="I12668" t="str">
        <f t="shared" si="4686"/>
        <v>FPO</v>
      </c>
      <c r="J12668" t="str">
        <f t="shared" si="4687"/>
        <v>AP</v>
      </c>
      <c r="K12668" t="str">
        <f>T("000000000000000000")</f>
        <v>000000000000000000</v>
      </c>
      <c r="L12668" t="str">
        <f>T("6195563819")</f>
        <v>6195563819</v>
      </c>
    </row>
    <row r="12669" spans="1:12" x14ac:dyDescent="0.35">
      <c r="A12669" t="str">
        <f t="shared" si="4692"/>
        <v>USS MILIUS DDG 69</v>
      </c>
      <c r="B12669" t="str">
        <f t="shared" si="4692"/>
        <v>USS MILIUS DDG 69</v>
      </c>
      <c r="C12669" t="str">
        <f>T("UNIT 100179 BOX 1")</f>
        <v>UNIT 100179 BOX 1</v>
      </c>
      <c r="D12669" t="str">
        <f t="shared" si="4689"/>
        <v>FPO</v>
      </c>
      <c r="E12669" t="str">
        <f t="shared" si="4690"/>
        <v>AP</v>
      </c>
      <c r="F12669" t="str">
        <f>T("966727900")</f>
        <v>966727900</v>
      </c>
      <c r="G12669" t="str">
        <f>T("SUPPLY DEPT")</f>
        <v>SUPPLY DEPT</v>
      </c>
      <c r="H12669" t="str">
        <f>T("S1 DIV")</f>
        <v>S1 DIV</v>
      </c>
      <c r="I12669" t="str">
        <f t="shared" si="4686"/>
        <v>FPO</v>
      </c>
      <c r="J12669" t="str">
        <f t="shared" si="4687"/>
        <v>AP</v>
      </c>
      <c r="K12669" t="str">
        <f>T("000000000000000000")</f>
        <v>000000000000000000</v>
      </c>
      <c r="L12669" t="str">
        <f>T("6195563819")</f>
        <v>6195563819</v>
      </c>
    </row>
    <row r="12670" spans="1:12" x14ac:dyDescent="0.35">
      <c r="A12670" t="str">
        <f t="shared" si="4692"/>
        <v>USS MILIUS DDG 69</v>
      </c>
      <c r="B12670" t="str">
        <f t="shared" si="4692"/>
        <v>USS MILIUS DDG 69</v>
      </c>
      <c r="C12670" t="str">
        <f>T("UNIT 100179 BOX 1")</f>
        <v>UNIT 100179 BOX 1</v>
      </c>
      <c r="D12670" t="str">
        <f t="shared" si="4689"/>
        <v>FPO</v>
      </c>
      <c r="E12670" t="str">
        <f t="shared" si="4690"/>
        <v>AP</v>
      </c>
      <c r="F12670" t="str">
        <f>T("966727900")</f>
        <v>966727900</v>
      </c>
      <c r="G12670" t="str">
        <f>T("USS MILIUS DDG 69")</f>
        <v>USS MILIUS DDG 69</v>
      </c>
      <c r="H12670" t="str">
        <f>T("SUPPLY DEPT")</f>
        <v>SUPPLY DEPT</v>
      </c>
      <c r="I12670" t="str">
        <f t="shared" si="4686"/>
        <v>FPO</v>
      </c>
      <c r="J12670" t="str">
        <f t="shared" si="4687"/>
        <v>AP</v>
      </c>
      <c r="K12670" t="str">
        <f>T("000000000000000000")</f>
        <v>000000000000000000</v>
      </c>
      <c r="L12670" t="str">
        <f>T("6195563819")</f>
        <v>6195563819</v>
      </c>
    </row>
    <row r="12671" spans="1:12" x14ac:dyDescent="0.35">
      <c r="A12671" t="str">
        <f t="shared" si="4692"/>
        <v>USS MILIUS DDG 69</v>
      </c>
      <c r="B12671" t="str">
        <f t="shared" si="4692"/>
        <v>USS MILIUS DDG 69</v>
      </c>
      <c r="C12671" t="str">
        <f>T("UNIT 100179 BOX 1")</f>
        <v>UNIT 100179 BOX 1</v>
      </c>
      <c r="D12671" t="str">
        <f t="shared" si="4689"/>
        <v>FPO</v>
      </c>
      <c r="E12671" t="str">
        <f t="shared" si="4690"/>
        <v>AP</v>
      </c>
      <c r="F12671" t="str">
        <f>T("966727900")</f>
        <v>966727900</v>
      </c>
      <c r="G12671" t="str">
        <f>T("USS MILIUS DDG 69")</f>
        <v>USS MILIUS DDG 69</v>
      </c>
      <c r="H12671" t="str">
        <f>T("UNIT 100179 BOX 1")</f>
        <v>UNIT 100179 BOX 1</v>
      </c>
      <c r="I12671" t="str">
        <f t="shared" si="4686"/>
        <v>FPO</v>
      </c>
      <c r="J12671" t="str">
        <f t="shared" si="4687"/>
        <v>AP</v>
      </c>
      <c r="K12671" t="str">
        <f>T("6195563819")</f>
        <v>6195563819</v>
      </c>
      <c r="L12671" t="str">
        <f>T("6195563939")</f>
        <v>6195563939</v>
      </c>
    </row>
    <row r="12672" spans="1:12" x14ac:dyDescent="0.35">
      <c r="A12672" t="str">
        <f>T("USS HOPPER DDG 70")</f>
        <v>USS HOPPER DDG 70</v>
      </c>
      <c r="B12672" t="str">
        <f>T("USS HOPPER DDG-70")</f>
        <v>USS HOPPER DDG-70</v>
      </c>
      <c r="C12672" t="str">
        <f>T("S-1 DIVISION")</f>
        <v>S-1 DIVISION</v>
      </c>
      <c r="D12672" t="str">
        <f t="shared" si="4689"/>
        <v>FPO</v>
      </c>
      <c r="E12672" t="str">
        <f t="shared" si="4690"/>
        <v>AP</v>
      </c>
      <c r="F12672" t="str">
        <f>T("966670000")</f>
        <v>966670000</v>
      </c>
      <c r="G12672" t="str">
        <f>T("ATTN SUPPLY OFFICER")</f>
        <v>ATTN SUPPLY OFFICER</v>
      </c>
      <c r="H12672" t="str">
        <f>T("SUPPLY DEPT S1")</f>
        <v>SUPPLY DEPT S1</v>
      </c>
      <c r="I12672" t="str">
        <f t="shared" si="4686"/>
        <v>FPO</v>
      </c>
      <c r="J12672" t="str">
        <f t="shared" si="4687"/>
        <v>AP</v>
      </c>
      <c r="K12672" t="str">
        <f>T("000000000000000000")</f>
        <v>000000000000000000</v>
      </c>
      <c r="L12672" t="str">
        <f>T("8084748592")</f>
        <v>8084748592</v>
      </c>
    </row>
    <row r="12673" spans="1:12" x14ac:dyDescent="0.35">
      <c r="A12673" t="str">
        <f>T("USS HOPPER DDG 70")</f>
        <v>USS HOPPER DDG 70</v>
      </c>
      <c r="B12673" t="str">
        <f>T("USS HOPPER DDG-70")</f>
        <v>USS HOPPER DDG-70</v>
      </c>
      <c r="C12673" t="str">
        <f>T("S-1 DIVISION")</f>
        <v>S-1 DIVISION</v>
      </c>
      <c r="D12673" t="str">
        <f t="shared" si="4689"/>
        <v>FPO</v>
      </c>
      <c r="E12673" t="str">
        <f t="shared" si="4690"/>
        <v>AP</v>
      </c>
      <c r="F12673" t="str">
        <f>T("966670000")</f>
        <v>966670000</v>
      </c>
      <c r="G12673" t="str">
        <f>T("ATTN SUPPLY OFFICER")</f>
        <v>ATTN SUPPLY OFFICER</v>
      </c>
      <c r="H12673" t="str">
        <f>T("UNIT 100182 BOX 1")</f>
        <v>UNIT 100182 BOX 1</v>
      </c>
      <c r="I12673" t="str">
        <f t="shared" si="4686"/>
        <v>FPO</v>
      </c>
      <c r="J12673" t="str">
        <f t="shared" si="4687"/>
        <v>AP</v>
      </c>
      <c r="K12673" t="str">
        <f>T("000000000000000000")</f>
        <v>000000000000000000</v>
      </c>
      <c r="L12673" t="str">
        <f>T("8084748592")</f>
        <v>8084748592</v>
      </c>
    </row>
    <row r="12674" spans="1:12" x14ac:dyDescent="0.35">
      <c r="A12674" t="str">
        <f>T("USS HOPPER DDG 70")</f>
        <v>USS HOPPER DDG 70</v>
      </c>
      <c r="B12674" t="str">
        <f>T("USS HOPPER DDG-70")</f>
        <v>USS HOPPER DDG-70</v>
      </c>
      <c r="C12674" t="str">
        <f>T("S-1 DIVISION")</f>
        <v>S-1 DIVISION</v>
      </c>
      <c r="D12674" t="str">
        <f t="shared" si="4689"/>
        <v>FPO</v>
      </c>
      <c r="E12674" t="str">
        <f t="shared" si="4690"/>
        <v>AP</v>
      </c>
      <c r="F12674" t="str">
        <f>T("966670000")</f>
        <v>966670000</v>
      </c>
      <c r="G12674" t="str">
        <f>T("UNIT 100182")</f>
        <v>UNIT 100182</v>
      </c>
      <c r="H12674" t="str">
        <f>T("BOX 1926")</f>
        <v>BOX 1926</v>
      </c>
      <c r="I12674" t="str">
        <f t="shared" si="4686"/>
        <v>FPO</v>
      </c>
      <c r="J12674" t="str">
        <f t="shared" si="4687"/>
        <v>AP</v>
      </c>
      <c r="K12674" t="str">
        <f>T("8084748594")</f>
        <v>8084748594</v>
      </c>
      <c r="L12674" t="str">
        <f>T("8084748592")</f>
        <v>8084748592</v>
      </c>
    </row>
    <row r="12675" spans="1:12" x14ac:dyDescent="0.35">
      <c r="A12675" t="str">
        <f>T("USS HOPPER DDG 70")</f>
        <v>USS HOPPER DDG 70</v>
      </c>
      <c r="B12675" t="str">
        <f>T("USS HOPPER DDG-70")</f>
        <v>USS HOPPER DDG-70</v>
      </c>
      <c r="C12675" t="str">
        <f>T("S-1 DIVISION")</f>
        <v>S-1 DIVISION</v>
      </c>
      <c r="D12675" t="str">
        <f t="shared" si="4689"/>
        <v>FPO</v>
      </c>
      <c r="E12675" t="str">
        <f t="shared" si="4690"/>
        <v>AP</v>
      </c>
      <c r="F12675" t="str">
        <f>T("966670000")</f>
        <v>966670000</v>
      </c>
      <c r="G12675" t="str">
        <f>T("USS HOPPER DDG 70")</f>
        <v>USS HOPPER DDG 70</v>
      </c>
      <c r="H12675" t="str">
        <f>T("UNIT 100182 BOX 1")</f>
        <v>UNIT 100182 BOX 1</v>
      </c>
      <c r="I12675" t="str">
        <f t="shared" si="4686"/>
        <v>FPO</v>
      </c>
      <c r="J12675" t="str">
        <f t="shared" si="4687"/>
        <v>AP</v>
      </c>
      <c r="K12675" t="str">
        <f>T("000000000000000000")</f>
        <v>000000000000000000</v>
      </c>
      <c r="L12675" t="str">
        <f>T("8084748592")</f>
        <v>8084748592</v>
      </c>
    </row>
    <row r="12676" spans="1:12" x14ac:dyDescent="0.35">
      <c r="A12676" t="str">
        <f>T("USS HOPPER DDG 70")</f>
        <v>USS HOPPER DDG 70</v>
      </c>
      <c r="B12676" t="str">
        <f>T("USS HOPPER DDG-70")</f>
        <v>USS HOPPER DDG-70</v>
      </c>
      <c r="C12676" t="str">
        <f>T("S-1 DIVISION")</f>
        <v>S-1 DIVISION</v>
      </c>
      <c r="D12676" t="str">
        <f t="shared" si="4689"/>
        <v>FPO</v>
      </c>
      <c r="E12676" t="str">
        <f t="shared" si="4690"/>
        <v>AP</v>
      </c>
      <c r="F12676" t="str">
        <f>T("966670000")</f>
        <v>966670000</v>
      </c>
      <c r="G12676" t="str">
        <f>T("USS HOPPER DDG-70")</f>
        <v>USS HOPPER DDG-70</v>
      </c>
      <c r="H12676" t="str">
        <f>T("S-1 DIVISION")</f>
        <v>S-1 DIVISION</v>
      </c>
      <c r="I12676" t="str">
        <f t="shared" ref="I12676:I12707" si="4693">T("FPO")</f>
        <v>FPO</v>
      </c>
      <c r="J12676" t="str">
        <f t="shared" ref="J12676:J12707" si="4694">T("AP")</f>
        <v>AP</v>
      </c>
      <c r="K12676" t="str">
        <f>T("808 474 8594")</f>
        <v>808 474 8594</v>
      </c>
      <c r="L12676" t="str">
        <f>T("8084748592")</f>
        <v>8084748592</v>
      </c>
    </row>
    <row r="12677" spans="1:12" x14ac:dyDescent="0.35">
      <c r="A12677" t="str">
        <f>T("USS DECATUR DDG 73")</f>
        <v>USS DECATUR DDG 73</v>
      </c>
      <c r="B12677" t="str">
        <f>T("ATTN SUPPLY OFFICER")</f>
        <v>ATTN SUPPLY OFFICER</v>
      </c>
      <c r="C12677" t="str">
        <f>T("UNIT 100185 BOX 1")</f>
        <v>UNIT 100185 BOX 1</v>
      </c>
      <c r="D12677" t="str">
        <f t="shared" si="4689"/>
        <v>FPO</v>
      </c>
      <c r="E12677" t="str">
        <f t="shared" si="4690"/>
        <v>AP</v>
      </c>
      <c r="F12677" t="str">
        <f>T("966638500")</f>
        <v>966638500</v>
      </c>
      <c r="G12677" t="str">
        <f>T("ATTN SUPPLY OFFICER")</f>
        <v>ATTN SUPPLY OFFICER</v>
      </c>
      <c r="H12677" t="str">
        <f>T("UNIT 100185 BOX 1")</f>
        <v>UNIT 100185 BOX 1</v>
      </c>
      <c r="I12677" t="str">
        <f t="shared" si="4693"/>
        <v>FPO</v>
      </c>
      <c r="J12677" t="str">
        <f t="shared" si="4694"/>
        <v>AP</v>
      </c>
      <c r="K12677" t="str">
        <f>T("000000000000000000")</f>
        <v>000000000000000000</v>
      </c>
      <c r="L12677" t="str">
        <f>T("6195564661")</f>
        <v>6195564661</v>
      </c>
    </row>
    <row r="12678" spans="1:12" x14ac:dyDescent="0.35">
      <c r="A12678" t="str">
        <f>T("USS DECATUR DDG 73")</f>
        <v>USS DECATUR DDG 73</v>
      </c>
      <c r="B12678" t="str">
        <f>T("ATTN SUPPLY OFFICER")</f>
        <v>ATTN SUPPLY OFFICER</v>
      </c>
      <c r="C12678" t="str">
        <f>T("UNIT 100185 BOX 1")</f>
        <v>UNIT 100185 BOX 1</v>
      </c>
      <c r="D12678" t="str">
        <f t="shared" si="4689"/>
        <v>FPO</v>
      </c>
      <c r="E12678" t="str">
        <f t="shared" si="4690"/>
        <v>AP</v>
      </c>
      <c r="F12678" t="str">
        <f>T("966638500")</f>
        <v>966638500</v>
      </c>
      <c r="G12678" t="str">
        <f>T("ATTN SUPPLY OFFICER")</f>
        <v>ATTN SUPPLY OFFICER</v>
      </c>
      <c r="H12678" t="str">
        <f>T("UNIT 100185 BOX 1")</f>
        <v>UNIT 100185 BOX 1</v>
      </c>
      <c r="I12678" t="str">
        <f t="shared" si="4693"/>
        <v>FPO</v>
      </c>
      <c r="J12678" t="str">
        <f t="shared" si="4694"/>
        <v>AP</v>
      </c>
      <c r="K12678" t="str">
        <f>T("000000000000000000")</f>
        <v>000000000000000000</v>
      </c>
      <c r="L12678" t="str">
        <f>T("9096302038")</f>
        <v>9096302038</v>
      </c>
    </row>
    <row r="12679" spans="1:12" x14ac:dyDescent="0.35">
      <c r="A12679" t="str">
        <f>T("USS DECATUR DDG 73")</f>
        <v>USS DECATUR DDG 73</v>
      </c>
      <c r="B12679" t="str">
        <f>T("ATTN SUPPLY OFFICER")</f>
        <v>ATTN SUPPLY OFFICER</v>
      </c>
      <c r="C12679" t="str">
        <f>T("UNIT 100185 BOX 1")</f>
        <v>UNIT 100185 BOX 1</v>
      </c>
      <c r="D12679" t="str">
        <f t="shared" si="4689"/>
        <v>FPO</v>
      </c>
      <c r="E12679" t="str">
        <f t="shared" si="4690"/>
        <v>AP</v>
      </c>
      <c r="F12679" t="str">
        <f>T("966638500")</f>
        <v>966638500</v>
      </c>
      <c r="G12679" t="str">
        <f>T("ATTN SUPPLY OFFICER")</f>
        <v>ATTN SUPPLY OFFICER</v>
      </c>
      <c r="H12679" t="str">
        <f>T("UNIT 100185 BOX 1")</f>
        <v>UNIT 100185 BOX 1</v>
      </c>
      <c r="I12679" t="str">
        <f t="shared" si="4693"/>
        <v>FPO</v>
      </c>
      <c r="J12679" t="str">
        <f t="shared" si="4694"/>
        <v>AP</v>
      </c>
      <c r="K12679" t="str">
        <f>T("619 556 4661")</f>
        <v>619 556 4661</v>
      </c>
      <c r="L12679" t="str">
        <f>T("6195564661")</f>
        <v>6195564661</v>
      </c>
    </row>
    <row r="12680" spans="1:12" x14ac:dyDescent="0.35">
      <c r="A12680" t="str">
        <f>T("USS DECATUR DDG 73")</f>
        <v>USS DECATUR DDG 73</v>
      </c>
      <c r="B12680" t="str">
        <f>T("ATTN SUPPLY OFFICER")</f>
        <v>ATTN SUPPLY OFFICER</v>
      </c>
      <c r="C12680" t="str">
        <f>T("UNIT 100185 BOX 1")</f>
        <v>UNIT 100185 BOX 1</v>
      </c>
      <c r="D12680" t="str">
        <f t="shared" si="4689"/>
        <v>FPO</v>
      </c>
      <c r="E12680" t="str">
        <f t="shared" si="4690"/>
        <v>AP</v>
      </c>
      <c r="F12680" t="str">
        <f>T("966638500")</f>
        <v>966638500</v>
      </c>
      <c r="G12680" t="str">
        <f>T("USS DECATUR DDG 73")</f>
        <v>USS DECATUR DDG 73</v>
      </c>
      <c r="H12680" t="str">
        <f>T("UNIT 100185 BOX 1")</f>
        <v>UNIT 100185 BOX 1</v>
      </c>
      <c r="I12680" t="str">
        <f t="shared" si="4693"/>
        <v>FPO</v>
      </c>
      <c r="J12680" t="str">
        <f t="shared" si="4694"/>
        <v>AP</v>
      </c>
      <c r="K12680" t="str">
        <f>T("000000000000000000")</f>
        <v>000000000000000000</v>
      </c>
      <c r="L12680" t="str">
        <f>T("6195564661")</f>
        <v>6195564661</v>
      </c>
    </row>
    <row r="12681" spans="1:12" x14ac:dyDescent="0.35">
      <c r="A12681" t="str">
        <f t="shared" ref="A12681:B12683" si="4695">T("USS HIGGINS DDG-76")</f>
        <v>USS HIGGINS DDG-76</v>
      </c>
      <c r="B12681" t="str">
        <f t="shared" si="4695"/>
        <v>USS HIGGINS DDG-76</v>
      </c>
      <c r="C12681" t="str">
        <f>T("SUPPLY DEPT")</f>
        <v>SUPPLY DEPT</v>
      </c>
      <c r="D12681" t="str">
        <f t="shared" si="4689"/>
        <v>FPO</v>
      </c>
      <c r="E12681" t="str">
        <f t="shared" si="4690"/>
        <v>AP</v>
      </c>
      <c r="F12681" t="str">
        <f>T("966671291")</f>
        <v>966671291</v>
      </c>
      <c r="G12681" t="str">
        <f>T("ATTN SUPPLY OFFICER")</f>
        <v>ATTN SUPPLY OFFICER</v>
      </c>
      <c r="H12681" t="str">
        <f>T("UNIT 100188 BOX 1")</f>
        <v>UNIT 100188 BOX 1</v>
      </c>
      <c r="I12681" t="str">
        <f t="shared" si="4693"/>
        <v>FPO</v>
      </c>
      <c r="J12681" t="str">
        <f t="shared" si="4694"/>
        <v>AP</v>
      </c>
      <c r="K12681" t="str">
        <f>T("000000000000000000")</f>
        <v>000000000000000000</v>
      </c>
      <c r="L12681" t="str">
        <f>T("6195564532")</f>
        <v>6195564532</v>
      </c>
    </row>
    <row r="12682" spans="1:12" x14ac:dyDescent="0.35">
      <c r="A12682" t="str">
        <f t="shared" si="4695"/>
        <v>USS HIGGINS DDG-76</v>
      </c>
      <c r="B12682" t="str">
        <f t="shared" si="4695"/>
        <v>USS HIGGINS DDG-76</v>
      </c>
      <c r="C12682" t="str">
        <f>T("SUPPLY DEPT")</f>
        <v>SUPPLY DEPT</v>
      </c>
      <c r="D12682" t="str">
        <f t="shared" si="4689"/>
        <v>FPO</v>
      </c>
      <c r="E12682" t="str">
        <f t="shared" si="4690"/>
        <v>AP</v>
      </c>
      <c r="F12682" t="str">
        <f>T("966671291")</f>
        <v>966671291</v>
      </c>
      <c r="G12682" t="str">
        <f>T("USS HIGGINS DDG 76")</f>
        <v>USS HIGGINS DDG 76</v>
      </c>
      <c r="H12682" t="str">
        <f>T("S1 DIVISION")</f>
        <v>S1 DIVISION</v>
      </c>
      <c r="I12682" t="str">
        <f t="shared" si="4693"/>
        <v>FPO</v>
      </c>
      <c r="J12682" t="str">
        <f t="shared" si="4694"/>
        <v>AP</v>
      </c>
      <c r="K12682" t="str">
        <f>T("000000000000000000")</f>
        <v>000000000000000000</v>
      </c>
      <c r="L12682" t="str">
        <f>T("6195564532")</f>
        <v>6195564532</v>
      </c>
    </row>
    <row r="12683" spans="1:12" x14ac:dyDescent="0.35">
      <c r="A12683" t="str">
        <f t="shared" si="4695"/>
        <v>USS HIGGINS DDG-76</v>
      </c>
      <c r="B12683" t="str">
        <f t="shared" si="4695"/>
        <v>USS HIGGINS DDG-76</v>
      </c>
      <c r="C12683" t="str">
        <f>T("SUPPLY DEPT")</f>
        <v>SUPPLY DEPT</v>
      </c>
      <c r="D12683" t="str">
        <f t="shared" ref="D12683:D12714" si="4696">T("FPO")</f>
        <v>FPO</v>
      </c>
      <c r="E12683" t="str">
        <f t="shared" ref="E12683:E12714" si="4697">T("AP")</f>
        <v>AP</v>
      </c>
      <c r="F12683" t="str">
        <f>T("966671291")</f>
        <v>966671291</v>
      </c>
      <c r="G12683" t="str">
        <f>T("USS HIGGINS DDG-76")</f>
        <v>USS HIGGINS DDG-76</v>
      </c>
      <c r="H12683" t="str">
        <f>T("SUPPLY DEPT")</f>
        <v>SUPPLY DEPT</v>
      </c>
      <c r="I12683" t="str">
        <f t="shared" si="4693"/>
        <v>FPO</v>
      </c>
      <c r="J12683" t="str">
        <f t="shared" si="4694"/>
        <v>AP</v>
      </c>
      <c r="K12683" t="str">
        <f>T("619556 4532")</f>
        <v>619556 4532</v>
      </c>
      <c r="L12683" t="str">
        <f>T("6195458264")</f>
        <v>6195458264</v>
      </c>
    </row>
    <row r="12684" spans="1:12" x14ac:dyDescent="0.35">
      <c r="A12684" t="str">
        <f>T("USS LASSEN DDG 82")</f>
        <v>USS LASSEN DDG 82</v>
      </c>
      <c r="B12684" t="str">
        <f>T("USS LASSEN DDG 82")</f>
        <v>USS LASSEN DDG 82</v>
      </c>
      <c r="C12684" t="str">
        <f>T("SUPPLY OFFICER")</f>
        <v>SUPPLY OFFICER</v>
      </c>
      <c r="D12684" t="str">
        <f t="shared" si="4696"/>
        <v>FPO</v>
      </c>
      <c r="E12684" t="str">
        <f t="shared" si="4697"/>
        <v>AP</v>
      </c>
      <c r="F12684" t="str">
        <f>T("966710000")</f>
        <v>966710000</v>
      </c>
      <c r="G12684" t="str">
        <f>T("USS LASSEN DDG 82")</f>
        <v>USS LASSEN DDG 82</v>
      </c>
      <c r="H12684" t="str">
        <f>T("SUPPLY OFFICER")</f>
        <v>SUPPLY OFFICER</v>
      </c>
      <c r="I12684" t="str">
        <f t="shared" si="4693"/>
        <v>FPO</v>
      </c>
      <c r="J12684" t="str">
        <f t="shared" si="4694"/>
        <v>AP</v>
      </c>
      <c r="K12684" t="str">
        <f>T("3152433167")</f>
        <v>3152433167</v>
      </c>
      <c r="L12684" t="str">
        <f>T("3152433170")</f>
        <v>3152433170</v>
      </c>
    </row>
    <row r="12685" spans="1:12" x14ac:dyDescent="0.35">
      <c r="A12685" t="str">
        <f>T("USS PEARL HARBOR LSD 52")</f>
        <v>USS PEARL HARBOR LSD 52</v>
      </c>
      <c r="B12685" t="str">
        <f>T("USS PEARL HARBOR LSD -52")</f>
        <v>USS PEARL HARBOR LSD -52</v>
      </c>
      <c r="C12685" t="str">
        <f>T("UNIT 100183 BOX 1")</f>
        <v>UNIT 100183 BOX 1</v>
      </c>
      <c r="D12685" t="str">
        <f t="shared" si="4696"/>
        <v>FPO</v>
      </c>
      <c r="E12685" t="str">
        <f t="shared" si="4697"/>
        <v>AP</v>
      </c>
      <c r="F12685" t="str">
        <f>T("966678300")</f>
        <v>966678300</v>
      </c>
      <c r="G12685" t="str">
        <f>T("USS PEARL HARBOR LSD -52")</f>
        <v>USS PEARL HARBOR LSD -52</v>
      </c>
      <c r="H12685" t="str">
        <f>T("UNIT 100183 BOX 1")</f>
        <v>UNIT 100183 BOX 1</v>
      </c>
      <c r="I12685" t="str">
        <f t="shared" si="4693"/>
        <v>FPO</v>
      </c>
      <c r="J12685" t="str">
        <f t="shared" si="4694"/>
        <v>AP</v>
      </c>
      <c r="K12685" t="str">
        <f>T("000000000000000000")</f>
        <v>000000000000000000</v>
      </c>
      <c r="L12685" t="str">
        <f>T("6195564599")</f>
        <v>6195564599</v>
      </c>
    </row>
    <row r="12686" spans="1:12" x14ac:dyDescent="0.35">
      <c r="A12686" t="str">
        <f>T("USS PEARL HARBOR LSD 52")</f>
        <v>USS PEARL HARBOR LSD 52</v>
      </c>
      <c r="B12686" t="str">
        <f>T("USS PEARL HARBOR LSD 52")</f>
        <v>USS PEARL HARBOR LSD 52</v>
      </c>
      <c r="C12686" t="str">
        <f>T("UNIT 100183 BOX 1")</f>
        <v>UNIT 100183 BOX 1</v>
      </c>
      <c r="D12686" t="str">
        <f t="shared" si="4696"/>
        <v>FPO</v>
      </c>
      <c r="E12686" t="str">
        <f t="shared" si="4697"/>
        <v>AP</v>
      </c>
      <c r="F12686" t="str">
        <f>T("966678300")</f>
        <v>966678300</v>
      </c>
      <c r="G12686" t="str">
        <f>T("ATTN SUPPLY OFFICER")</f>
        <v>ATTN SUPPLY OFFICER</v>
      </c>
      <c r="H12686" t="str">
        <f>T("UNIT 100183 BOX 1")</f>
        <v>UNIT 100183 BOX 1</v>
      </c>
      <c r="I12686" t="str">
        <f t="shared" si="4693"/>
        <v>FPO</v>
      </c>
      <c r="J12686" t="str">
        <f t="shared" si="4694"/>
        <v>AP</v>
      </c>
      <c r="K12686" t="str">
        <f>T("000000000000000000")</f>
        <v>000000000000000000</v>
      </c>
      <c r="L12686" t="str">
        <f>T("6195564594")</f>
        <v>6195564594</v>
      </c>
    </row>
    <row r="12687" spans="1:12" x14ac:dyDescent="0.35">
      <c r="A12687" t="str">
        <f>T("USS PEARL HARBOR LSD 52")</f>
        <v>USS PEARL HARBOR LSD 52</v>
      </c>
      <c r="B12687" t="str">
        <f>T("USS PEARL HARBOR LSD 52")</f>
        <v>USS PEARL HARBOR LSD 52</v>
      </c>
      <c r="C12687" t="str">
        <f>T("UNIT 100183 BOX 1")</f>
        <v>UNIT 100183 BOX 1</v>
      </c>
      <c r="D12687" t="str">
        <f t="shared" si="4696"/>
        <v>FPO</v>
      </c>
      <c r="E12687" t="str">
        <f t="shared" si="4697"/>
        <v>AP</v>
      </c>
      <c r="F12687" t="str">
        <f>T("966678300")</f>
        <v>966678300</v>
      </c>
      <c r="G12687" t="str">
        <f>T("USS PEARL HARBOR LSD 52")</f>
        <v>USS PEARL HARBOR LSD 52</v>
      </c>
      <c r="H12687" t="str">
        <f>T("UNIT 100183 BOX 1")</f>
        <v>UNIT 100183 BOX 1</v>
      </c>
      <c r="I12687" t="str">
        <f t="shared" si="4693"/>
        <v>FPO</v>
      </c>
      <c r="J12687" t="str">
        <f t="shared" si="4694"/>
        <v>AP</v>
      </c>
      <c r="K12687" t="str">
        <f>T("619 556 4328")</f>
        <v>619 556 4328</v>
      </c>
      <c r="L12687" t="str">
        <f>T("6195564599")</f>
        <v>6195564599</v>
      </c>
    </row>
    <row r="12688" spans="1:12" x14ac:dyDescent="0.35">
      <c r="A12688" t="str">
        <f>T("USS BONHOMME RICHARD")</f>
        <v>USS BONHOMME RICHARD</v>
      </c>
      <c r="B12688" t="str">
        <f>T("USS BONHOMME RICHARD LHD 6")</f>
        <v>USS BONHOMME RICHARD LHD 6</v>
      </c>
      <c r="C12688" t="str">
        <f>T("UNIT 100184 BOX 1")</f>
        <v>UNIT 100184 BOX 1</v>
      </c>
      <c r="D12688" t="str">
        <f t="shared" si="4696"/>
        <v>FPO</v>
      </c>
      <c r="E12688" t="str">
        <f t="shared" si="4697"/>
        <v>AP</v>
      </c>
      <c r="F12688" t="str">
        <f>T("966178400")</f>
        <v>966178400</v>
      </c>
      <c r="G12688" t="str">
        <f>T("ATTN SUPPLY OFFICER")</f>
        <v>ATTN SUPPLY OFFICER</v>
      </c>
      <c r="H12688" t="str">
        <f>T("UNIT 100184 BOX 1")</f>
        <v>UNIT 100184 BOX 1</v>
      </c>
      <c r="I12688" t="str">
        <f t="shared" si="4693"/>
        <v>FPO</v>
      </c>
      <c r="J12688" t="str">
        <f t="shared" si="4694"/>
        <v>AP</v>
      </c>
      <c r="K12688" t="str">
        <f>T("810956503742")</f>
        <v>810956503742</v>
      </c>
      <c r="L12688" t="str">
        <f>T("1111111111")</f>
        <v>1111111111</v>
      </c>
    </row>
    <row r="12689" spans="1:12" x14ac:dyDescent="0.35">
      <c r="A12689" t="str">
        <f>T("USS BONHOMME RICHARD")</f>
        <v>USS BONHOMME RICHARD</v>
      </c>
      <c r="B12689" t="str">
        <f>T("USS BONHOMME RICHARD LHD 6")</f>
        <v>USS BONHOMME RICHARD LHD 6</v>
      </c>
      <c r="C12689" t="str">
        <f>T("UNIT 100184 BOX 1")</f>
        <v>UNIT 100184 BOX 1</v>
      </c>
      <c r="D12689" t="str">
        <f t="shared" si="4696"/>
        <v>FPO</v>
      </c>
      <c r="E12689" t="str">
        <f t="shared" si="4697"/>
        <v>AP</v>
      </c>
      <c r="F12689" t="str">
        <f>T("966178400")</f>
        <v>966178400</v>
      </c>
      <c r="G12689" t="str">
        <f>T("SUPPLY DEPT")</f>
        <v>SUPPLY DEPT</v>
      </c>
      <c r="H12689" t="str">
        <f>T("S1 DIV")</f>
        <v>S1 DIV</v>
      </c>
      <c r="I12689" t="str">
        <f t="shared" si="4693"/>
        <v>FPO</v>
      </c>
      <c r="J12689" t="str">
        <f t="shared" si="4694"/>
        <v>AP</v>
      </c>
      <c r="K12689" t="str">
        <f>T("810956503742")</f>
        <v>810956503742</v>
      </c>
      <c r="L12689" t="str">
        <f>T("1111111111")</f>
        <v>1111111111</v>
      </c>
    </row>
    <row r="12690" spans="1:12" x14ac:dyDescent="0.35">
      <c r="A12690" t="str">
        <f>T("USS BONHOMME RICHARD")</f>
        <v>USS BONHOMME RICHARD</v>
      </c>
      <c r="B12690" t="str">
        <f>T("USS BONHOMME RICHARD LHD 6")</f>
        <v>USS BONHOMME RICHARD LHD 6</v>
      </c>
      <c r="C12690" t="str">
        <f>T("UNIT 100184 BOX 1")</f>
        <v>UNIT 100184 BOX 1</v>
      </c>
      <c r="D12690" t="str">
        <f t="shared" si="4696"/>
        <v>FPO</v>
      </c>
      <c r="E12690" t="str">
        <f t="shared" si="4697"/>
        <v>AP</v>
      </c>
      <c r="F12690" t="str">
        <f>T("966178400")</f>
        <v>966178400</v>
      </c>
      <c r="G12690" t="str">
        <f>T("USS BONHOMME RICHARD LHD 6")</f>
        <v>USS BONHOMME RICHARD LHD 6</v>
      </c>
      <c r="H12690" t="str">
        <f>T("UNIT 100184 BOX 1")</f>
        <v>UNIT 100184 BOX 1</v>
      </c>
      <c r="I12690" t="str">
        <f t="shared" si="4693"/>
        <v>FPO</v>
      </c>
      <c r="J12690" t="str">
        <f t="shared" si="4694"/>
        <v>AP</v>
      </c>
      <c r="K12690" t="str">
        <f>T("")</f>
        <v/>
      </c>
      <c r="L12690" t="str">
        <f>T("8086535861")</f>
        <v>8086535861</v>
      </c>
    </row>
    <row r="12691" spans="1:12" x14ac:dyDescent="0.35">
      <c r="A12691" t="str">
        <f>T("USS MCCAMPBELL DDG 85")</f>
        <v>USS MCCAMPBELL DDG 85</v>
      </c>
      <c r="B12691" t="str">
        <f>T("USS MCCAMPBELL DDG85")</f>
        <v>USS MCCAMPBELL DDG85</v>
      </c>
      <c r="C12691" t="str">
        <f>T("S 1 DIVISION")</f>
        <v>S 1 DIVISION</v>
      </c>
      <c r="D12691" t="str">
        <f t="shared" si="4696"/>
        <v>FPO</v>
      </c>
      <c r="E12691" t="str">
        <f t="shared" si="4697"/>
        <v>AP</v>
      </c>
      <c r="F12691" t="str">
        <f>T("966721275")</f>
        <v>966721275</v>
      </c>
      <c r="G12691" t="str">
        <f>T("ATTN SUPPLY OFFICER")</f>
        <v>ATTN SUPPLY OFFICER</v>
      </c>
      <c r="H12691" t="str">
        <f>T("UNIT 100193 BOX 1")</f>
        <v>UNIT 100193 BOX 1</v>
      </c>
      <c r="I12691" t="str">
        <f t="shared" si="4693"/>
        <v>FPO</v>
      </c>
      <c r="J12691" t="str">
        <f t="shared" si="4694"/>
        <v>AP</v>
      </c>
      <c r="K12691" t="str">
        <f>T("000000000000000000")</f>
        <v>000000000000000000</v>
      </c>
      <c r="L12691" t="str">
        <f>T("3152432260")</f>
        <v>3152432260</v>
      </c>
    </row>
    <row r="12692" spans="1:12" x14ac:dyDescent="0.35">
      <c r="A12692" t="str">
        <f>T("USS MCCAMPBELL DDG 85")</f>
        <v>USS MCCAMPBELL DDG 85</v>
      </c>
      <c r="B12692" t="str">
        <f>T("USS MCCAMPBELL DDG85")</f>
        <v>USS MCCAMPBELL DDG85</v>
      </c>
      <c r="C12692" t="str">
        <f>T("S 1 DIVISION")</f>
        <v>S 1 DIVISION</v>
      </c>
      <c r="D12692" t="str">
        <f t="shared" si="4696"/>
        <v>FPO</v>
      </c>
      <c r="E12692" t="str">
        <f t="shared" si="4697"/>
        <v>AP</v>
      </c>
      <c r="F12692" t="str">
        <f>T("966721275")</f>
        <v>966721275</v>
      </c>
      <c r="G12692" t="str">
        <f>T("SUPPLY DEPT")</f>
        <v>SUPPLY DEPT</v>
      </c>
      <c r="H12692" t="str">
        <f>T("UNIT100193 BOX 1")</f>
        <v>UNIT100193 BOX 1</v>
      </c>
      <c r="I12692" t="str">
        <f t="shared" si="4693"/>
        <v>FPO</v>
      </c>
      <c r="J12692" t="str">
        <f t="shared" si="4694"/>
        <v>AP</v>
      </c>
      <c r="K12692" t="str">
        <f>T("01181468162256")</f>
        <v>01181468162256</v>
      </c>
      <c r="L12692" t="str">
        <f>T("1111111111")</f>
        <v>1111111111</v>
      </c>
    </row>
    <row r="12693" spans="1:12" x14ac:dyDescent="0.35">
      <c r="A12693" t="str">
        <f>T("USS MCCAMPBELL DDG 85")</f>
        <v>USS MCCAMPBELL DDG 85</v>
      </c>
      <c r="B12693" t="str">
        <f>T("USS MCCAMPBELL DDG85")</f>
        <v>USS MCCAMPBELL DDG85</v>
      </c>
      <c r="C12693" t="str">
        <f>T("S 1 DIVISION")</f>
        <v>S 1 DIVISION</v>
      </c>
      <c r="D12693" t="str">
        <f t="shared" si="4696"/>
        <v>FPO</v>
      </c>
      <c r="E12693" t="str">
        <f t="shared" si="4697"/>
        <v>AP</v>
      </c>
      <c r="F12693" t="str">
        <f>T("966721275")</f>
        <v>966721275</v>
      </c>
      <c r="G12693" t="str">
        <f>T("UNIT 100193")</f>
        <v>UNIT 100193</v>
      </c>
      <c r="H12693" t="str">
        <f>T("BOX 102")</f>
        <v>BOX 102</v>
      </c>
      <c r="I12693" t="str">
        <f t="shared" si="4693"/>
        <v>FPO</v>
      </c>
      <c r="J12693" t="str">
        <f t="shared" si="4694"/>
        <v>AP</v>
      </c>
      <c r="K12693" t="str">
        <f>T("01181468162256")</f>
        <v>01181468162256</v>
      </c>
      <c r="L12693" t="str">
        <f>T("1111111111")</f>
        <v>1111111111</v>
      </c>
    </row>
    <row r="12694" spans="1:12" x14ac:dyDescent="0.35">
      <c r="A12694" t="str">
        <f>T("USS MCCAMPBELL DDG 85")</f>
        <v>USS MCCAMPBELL DDG 85</v>
      </c>
      <c r="B12694" t="str">
        <f>T("USS MCCAMPBELL DDG85")</f>
        <v>USS MCCAMPBELL DDG85</v>
      </c>
      <c r="C12694" t="str">
        <f>T("S 1 DIVISION")</f>
        <v>S 1 DIVISION</v>
      </c>
      <c r="D12694" t="str">
        <f t="shared" si="4696"/>
        <v>FPO</v>
      </c>
      <c r="E12694" t="str">
        <f t="shared" si="4697"/>
        <v>AP</v>
      </c>
      <c r="F12694" t="str">
        <f>T("966721275")</f>
        <v>966721275</v>
      </c>
      <c r="G12694" t="str">
        <f>T("USS MCCAMPBELL DDG85")</f>
        <v>USS MCCAMPBELL DDG85</v>
      </c>
      <c r="H12694" t="str">
        <f>T("S 1 DIVISION")</f>
        <v>S 1 DIVISION</v>
      </c>
      <c r="I12694" t="str">
        <f t="shared" si="4693"/>
        <v>FPO</v>
      </c>
      <c r="J12694" t="str">
        <f t="shared" si="4694"/>
        <v>AP</v>
      </c>
      <c r="K12694" t="str">
        <f>T("000000000000000000")</f>
        <v>000000000000000000</v>
      </c>
      <c r="L12694" t="str">
        <f>T("1111111111")</f>
        <v>1111111111</v>
      </c>
    </row>
    <row r="12695" spans="1:12" x14ac:dyDescent="0.35">
      <c r="A12695" t="str">
        <f t="shared" ref="A12695:B12697" si="4698">T("USS SHOUP DDG 86")</f>
        <v>USS SHOUP DDG 86</v>
      </c>
      <c r="B12695" t="str">
        <f t="shared" si="4698"/>
        <v>USS SHOUP DDG 86</v>
      </c>
      <c r="C12695" t="str">
        <f>T("SUPPLY S 1")</f>
        <v>SUPPLY S 1</v>
      </c>
      <c r="D12695" t="str">
        <f t="shared" si="4696"/>
        <v>FPO</v>
      </c>
      <c r="E12695" t="str">
        <f t="shared" si="4697"/>
        <v>AP</v>
      </c>
      <c r="F12695" t="str">
        <f>T("966781300")</f>
        <v>966781300</v>
      </c>
      <c r="G12695" t="str">
        <f>T("ATTN SUPPLY OFFICER")</f>
        <v>ATTN SUPPLY OFFICER</v>
      </c>
      <c r="H12695" t="str">
        <f>T("UNIT 100192 BOX 1")</f>
        <v>UNIT 100192 BOX 1</v>
      </c>
      <c r="I12695" t="str">
        <f t="shared" si="4693"/>
        <v>FPO</v>
      </c>
      <c r="J12695" t="str">
        <f t="shared" si="4694"/>
        <v>AP</v>
      </c>
      <c r="K12695" t="str">
        <f>T("000000000000000000")</f>
        <v>000000000000000000</v>
      </c>
      <c r="L12695" t="str">
        <f>T("4253045033")</f>
        <v>4253045033</v>
      </c>
    </row>
    <row r="12696" spans="1:12" x14ac:dyDescent="0.35">
      <c r="A12696" t="str">
        <f t="shared" si="4698"/>
        <v>USS SHOUP DDG 86</v>
      </c>
      <c r="B12696" t="str">
        <f t="shared" si="4698"/>
        <v>USS SHOUP DDG 86</v>
      </c>
      <c r="C12696" t="str">
        <f>T("SUPPLY S 1")</f>
        <v>SUPPLY S 1</v>
      </c>
      <c r="D12696" t="str">
        <f t="shared" si="4696"/>
        <v>FPO</v>
      </c>
      <c r="E12696" t="str">
        <f t="shared" si="4697"/>
        <v>AP</v>
      </c>
      <c r="F12696" t="str">
        <f>T("966781300")</f>
        <v>966781300</v>
      </c>
      <c r="G12696" t="str">
        <f>T("USS SHOUP DDG 86")</f>
        <v>USS SHOUP DDG 86</v>
      </c>
      <c r="H12696" t="str">
        <f>T("SUPPLY S 1")</f>
        <v>SUPPLY S 1</v>
      </c>
      <c r="I12696" t="str">
        <f t="shared" si="4693"/>
        <v>FPO</v>
      </c>
      <c r="J12696" t="str">
        <f t="shared" si="4694"/>
        <v>AP</v>
      </c>
      <c r="K12696" t="str">
        <f>T("4253045042")</f>
        <v>4253045042</v>
      </c>
      <c r="L12696" t="str">
        <f>T("4253045033")</f>
        <v>4253045033</v>
      </c>
    </row>
    <row r="12697" spans="1:12" x14ac:dyDescent="0.35">
      <c r="A12697" t="str">
        <f t="shared" si="4698"/>
        <v>USS SHOUP DDG 86</v>
      </c>
      <c r="B12697" t="str">
        <f t="shared" si="4698"/>
        <v>USS SHOUP DDG 86</v>
      </c>
      <c r="C12697" t="str">
        <f>T("SUPPLY S 1")</f>
        <v>SUPPLY S 1</v>
      </c>
      <c r="D12697" t="str">
        <f t="shared" si="4696"/>
        <v>FPO</v>
      </c>
      <c r="E12697" t="str">
        <f t="shared" si="4697"/>
        <v>AP</v>
      </c>
      <c r="F12697" t="str">
        <f>T("966781300")</f>
        <v>966781300</v>
      </c>
      <c r="G12697" t="str">
        <f>T("USS SHOUP DDG-86")</f>
        <v>USS SHOUP DDG-86</v>
      </c>
      <c r="H12697" t="str">
        <f>T("SUPPLY DEPT / S-1")</f>
        <v>SUPPLY DEPT / S-1</v>
      </c>
      <c r="I12697" t="str">
        <f t="shared" si="4693"/>
        <v>FPO</v>
      </c>
      <c r="J12697" t="str">
        <f t="shared" si="4694"/>
        <v>AP</v>
      </c>
      <c r="K12697" t="str">
        <f>T("000000000000000000")</f>
        <v>000000000000000000</v>
      </c>
      <c r="L12697" t="str">
        <f>T("4253045033")</f>
        <v>4253045033</v>
      </c>
    </row>
    <row r="12698" spans="1:12" x14ac:dyDescent="0.35">
      <c r="A12698" t="str">
        <f>T("USS PREBLE DDG-88")</f>
        <v>USS PREBLE DDG-88</v>
      </c>
      <c r="B12698" t="str">
        <f>T("USS PREBLE DDG 88")</f>
        <v>USS PREBLE DDG 88</v>
      </c>
      <c r="C12698" t="str">
        <f>T("UNIT 100196 BOX 1")</f>
        <v>UNIT 100196 BOX 1</v>
      </c>
      <c r="D12698" t="str">
        <f t="shared" si="4696"/>
        <v>FPO</v>
      </c>
      <c r="E12698" t="str">
        <f t="shared" si="4697"/>
        <v>AP</v>
      </c>
      <c r="F12698" t="str">
        <f>T("966759600")</f>
        <v>966759600</v>
      </c>
      <c r="G12698" t="str">
        <f>T("ATTN SUPPLY OFFICER")</f>
        <v>ATTN SUPPLY OFFICER</v>
      </c>
      <c r="H12698" t="str">
        <f>T("UNIT 100196 BOX 1")</f>
        <v>UNIT 100196 BOX 1</v>
      </c>
      <c r="I12698" t="str">
        <f t="shared" si="4693"/>
        <v>FPO</v>
      </c>
      <c r="J12698" t="str">
        <f t="shared" si="4694"/>
        <v>AP</v>
      </c>
      <c r="K12698" t="str">
        <f>T("000000000000000000")</f>
        <v>000000000000000000</v>
      </c>
      <c r="L12698" t="str">
        <f>T("8084712434")</f>
        <v>8084712434</v>
      </c>
    </row>
    <row r="12699" spans="1:12" x14ac:dyDescent="0.35">
      <c r="A12699" t="str">
        <f>T("USS PREBLE DDG-88")</f>
        <v>USS PREBLE DDG-88</v>
      </c>
      <c r="B12699" t="str">
        <f>T("USS PREBLE DDG 88")</f>
        <v>USS PREBLE DDG 88</v>
      </c>
      <c r="C12699" t="str">
        <f>T("UNIT 100196 BOX 1")</f>
        <v>UNIT 100196 BOX 1</v>
      </c>
      <c r="D12699" t="str">
        <f t="shared" si="4696"/>
        <v>FPO</v>
      </c>
      <c r="E12699" t="str">
        <f t="shared" si="4697"/>
        <v>AP</v>
      </c>
      <c r="F12699" t="str">
        <f>T("966759600")</f>
        <v>966759600</v>
      </c>
      <c r="G12699" t="str">
        <f>T("USS PREBLE DDG 88")</f>
        <v>USS PREBLE DDG 88</v>
      </c>
      <c r="H12699" t="str">
        <f>T("UNIT 100196 BOX 1")</f>
        <v>UNIT 100196 BOX 1</v>
      </c>
      <c r="I12699" t="str">
        <f t="shared" si="4693"/>
        <v>FPO</v>
      </c>
      <c r="J12699" t="str">
        <f t="shared" si="4694"/>
        <v>AP</v>
      </c>
      <c r="K12699" t="str">
        <f>T("6195564706")</f>
        <v>6195564706</v>
      </c>
      <c r="L12699" t="str">
        <f>T("8084712434")</f>
        <v>8084712434</v>
      </c>
    </row>
    <row r="12700" spans="1:12" x14ac:dyDescent="0.35">
      <c r="A12700" t="str">
        <f t="shared" ref="A12700:B12703" si="4699">T("USS MUSTIN DDG 89")</f>
        <v>USS MUSTIN DDG 89</v>
      </c>
      <c r="B12700" t="str">
        <f t="shared" si="4699"/>
        <v>USS MUSTIN DDG 89</v>
      </c>
      <c r="C12700" t="str">
        <f>T("UNIT 100189 BOX 1")</f>
        <v>UNIT 100189 BOX 1</v>
      </c>
      <c r="D12700" t="str">
        <f t="shared" si="4696"/>
        <v>FPO</v>
      </c>
      <c r="E12700" t="str">
        <f t="shared" si="4697"/>
        <v>AP</v>
      </c>
      <c r="F12700" t="str">
        <f>T("966748900")</f>
        <v>966748900</v>
      </c>
      <c r="G12700" t="str">
        <f>T("ATTN CDS 15")</f>
        <v>ATTN CDS 15</v>
      </c>
      <c r="H12700" t="str">
        <f>T("PSC 473 BOX 108")</f>
        <v>PSC 473 BOX 108</v>
      </c>
      <c r="I12700" t="str">
        <f t="shared" si="4693"/>
        <v>FPO</v>
      </c>
      <c r="J12700" t="str">
        <f t="shared" si="4694"/>
        <v>AP</v>
      </c>
      <c r="K12700" t="str">
        <f>T("81468167679")</f>
        <v>81468167679</v>
      </c>
      <c r="L12700" t="str">
        <f>T("1111111111")</f>
        <v>1111111111</v>
      </c>
    </row>
    <row r="12701" spans="1:12" x14ac:dyDescent="0.35">
      <c r="A12701" t="str">
        <f t="shared" si="4699"/>
        <v>USS MUSTIN DDG 89</v>
      </c>
      <c r="B12701" t="str">
        <f t="shared" si="4699"/>
        <v>USS MUSTIN DDG 89</v>
      </c>
      <c r="C12701" t="str">
        <f>T("UNIT 100189 BOX 1")</f>
        <v>UNIT 100189 BOX 1</v>
      </c>
      <c r="D12701" t="str">
        <f t="shared" si="4696"/>
        <v>FPO</v>
      </c>
      <c r="E12701" t="str">
        <f t="shared" si="4697"/>
        <v>AP</v>
      </c>
      <c r="F12701" t="str">
        <f>T("966748900")</f>
        <v>966748900</v>
      </c>
      <c r="G12701" t="str">
        <f>T("ATTN SUPPLY OFFICER")</f>
        <v>ATTN SUPPLY OFFICER</v>
      </c>
      <c r="H12701" t="str">
        <f>T("UNIT 100198 BOX 1")</f>
        <v>UNIT 100198 BOX 1</v>
      </c>
      <c r="I12701" t="str">
        <f t="shared" si="4693"/>
        <v>FPO</v>
      </c>
      <c r="J12701" t="str">
        <f t="shared" si="4694"/>
        <v>AP</v>
      </c>
      <c r="K12701" t="str">
        <f>T("81468162166")</f>
        <v>81468162166</v>
      </c>
      <c r="L12701" t="str">
        <f>T("1111111111")</f>
        <v>1111111111</v>
      </c>
    </row>
    <row r="12702" spans="1:12" x14ac:dyDescent="0.35">
      <c r="A12702" t="str">
        <f t="shared" si="4699"/>
        <v>USS MUSTIN DDG 89</v>
      </c>
      <c r="B12702" t="str">
        <f t="shared" si="4699"/>
        <v>USS MUSTIN DDG 89</v>
      </c>
      <c r="C12702" t="str">
        <f>T("UNIT 100189 BOX 1")</f>
        <v>UNIT 100189 BOX 1</v>
      </c>
      <c r="D12702" t="str">
        <f t="shared" si="4696"/>
        <v>FPO</v>
      </c>
      <c r="E12702" t="str">
        <f t="shared" si="4697"/>
        <v>AP</v>
      </c>
      <c r="F12702" t="str">
        <f>T("966748900")</f>
        <v>966748900</v>
      </c>
      <c r="G12702" t="str">
        <f>T("UNIT 100198 BOX 1")</f>
        <v>UNIT 100198 BOX 1</v>
      </c>
      <c r="H12702" t="str">
        <f>T("")</f>
        <v/>
      </c>
      <c r="I12702" t="str">
        <f t="shared" si="4693"/>
        <v>FPO</v>
      </c>
      <c r="J12702" t="str">
        <f t="shared" si="4694"/>
        <v>AP</v>
      </c>
      <c r="K12702" t="str">
        <f>T("81468162166")</f>
        <v>81468162166</v>
      </c>
      <c r="L12702" t="str">
        <f>T("1111111111")</f>
        <v>1111111111</v>
      </c>
    </row>
    <row r="12703" spans="1:12" x14ac:dyDescent="0.35">
      <c r="A12703" t="str">
        <f t="shared" si="4699"/>
        <v>USS MUSTIN DDG 89</v>
      </c>
      <c r="B12703" t="str">
        <f t="shared" si="4699"/>
        <v>USS MUSTIN DDG 89</v>
      </c>
      <c r="C12703" t="str">
        <f>T("UNIT 100189 BOX 1")</f>
        <v>UNIT 100189 BOX 1</v>
      </c>
      <c r="D12703" t="str">
        <f t="shared" si="4696"/>
        <v>FPO</v>
      </c>
      <c r="E12703" t="str">
        <f t="shared" si="4697"/>
        <v>AP</v>
      </c>
      <c r="F12703" t="str">
        <f>T("966748900")</f>
        <v>966748900</v>
      </c>
      <c r="G12703" t="str">
        <f>T("USS MUSTIN DDG 89")</f>
        <v>USS MUSTIN DDG 89</v>
      </c>
      <c r="H12703" t="str">
        <f>T("UNIT 100189 BOX 1")</f>
        <v>UNIT 100189 BOX 1</v>
      </c>
      <c r="I12703" t="str">
        <f t="shared" si="4693"/>
        <v>FPO</v>
      </c>
      <c r="J12703" t="str">
        <f t="shared" si="4694"/>
        <v>AP</v>
      </c>
      <c r="K12703" t="str">
        <f>T("616 556 4321")</f>
        <v>616 556 4321</v>
      </c>
      <c r="L12703" t="str">
        <f>T("3152432166")</f>
        <v>3152432166</v>
      </c>
    </row>
    <row r="12704" spans="1:12" x14ac:dyDescent="0.35">
      <c r="A12704" t="str">
        <f t="shared" ref="A12704:B12706" si="4700">T("USS HOWARD DDG 83")</f>
        <v>USS HOWARD DDG 83</v>
      </c>
      <c r="B12704" t="str">
        <f t="shared" si="4700"/>
        <v>USS HOWARD DDG 83</v>
      </c>
      <c r="C12704" t="str">
        <f>T("UNIT 100191 BOX 1")</f>
        <v>UNIT 100191 BOX 1</v>
      </c>
      <c r="D12704" t="str">
        <f t="shared" si="4696"/>
        <v>FPO</v>
      </c>
      <c r="E12704" t="str">
        <f t="shared" si="4697"/>
        <v>AP</v>
      </c>
      <c r="F12704" t="str">
        <f>T("966679100")</f>
        <v>966679100</v>
      </c>
      <c r="G12704" t="str">
        <f>T("ATTN SUPPLY OFFICER")</f>
        <v>ATTN SUPPLY OFFICER</v>
      </c>
      <c r="H12704" t="str">
        <f>T("UNIT 100191 BOX 1")</f>
        <v>UNIT 100191 BOX 1</v>
      </c>
      <c r="I12704" t="str">
        <f t="shared" si="4693"/>
        <v>FPO</v>
      </c>
      <c r="J12704" t="str">
        <f t="shared" si="4694"/>
        <v>AP</v>
      </c>
      <c r="K12704" t="str">
        <f>T("000000000000000000")</f>
        <v>000000000000000000</v>
      </c>
      <c r="L12704" t="str">
        <f>T("6195564183")</f>
        <v>6195564183</v>
      </c>
    </row>
    <row r="12705" spans="1:12" x14ac:dyDescent="0.35">
      <c r="A12705" t="str">
        <f t="shared" si="4700"/>
        <v>USS HOWARD DDG 83</v>
      </c>
      <c r="B12705" t="str">
        <f t="shared" si="4700"/>
        <v>USS HOWARD DDG 83</v>
      </c>
      <c r="C12705" t="str">
        <f>T("UNIT 100191 BOX 1")</f>
        <v>UNIT 100191 BOX 1</v>
      </c>
      <c r="D12705" t="str">
        <f t="shared" si="4696"/>
        <v>FPO</v>
      </c>
      <c r="E12705" t="str">
        <f t="shared" si="4697"/>
        <v>AP</v>
      </c>
      <c r="F12705" t="str">
        <f>T("966679100")</f>
        <v>966679100</v>
      </c>
      <c r="G12705" t="str">
        <f>T("SUPPLY DEPT")</f>
        <v>SUPPLY DEPT</v>
      </c>
      <c r="H12705" t="str">
        <f>T("S 1 DIVISION")</f>
        <v>S 1 DIVISION</v>
      </c>
      <c r="I12705" t="str">
        <f t="shared" si="4693"/>
        <v>FPO</v>
      </c>
      <c r="J12705" t="str">
        <f t="shared" si="4694"/>
        <v>AP</v>
      </c>
      <c r="K12705" t="str">
        <f>T("000000000000000000")</f>
        <v>000000000000000000</v>
      </c>
      <c r="L12705" t="str">
        <f>T("6195564183")</f>
        <v>6195564183</v>
      </c>
    </row>
    <row r="12706" spans="1:12" x14ac:dyDescent="0.35">
      <c r="A12706" t="str">
        <f t="shared" si="4700"/>
        <v>USS HOWARD DDG 83</v>
      </c>
      <c r="B12706" t="str">
        <f t="shared" si="4700"/>
        <v>USS HOWARD DDG 83</v>
      </c>
      <c r="C12706" t="str">
        <f>T("UNIT 100191 BOX 1")</f>
        <v>UNIT 100191 BOX 1</v>
      </c>
      <c r="D12706" t="str">
        <f t="shared" si="4696"/>
        <v>FPO</v>
      </c>
      <c r="E12706" t="str">
        <f t="shared" si="4697"/>
        <v>AP</v>
      </c>
      <c r="F12706" t="str">
        <f>T("966679100")</f>
        <v>966679100</v>
      </c>
      <c r="G12706" t="str">
        <f>T("USS HOWARD DDG 83")</f>
        <v>USS HOWARD DDG 83</v>
      </c>
      <c r="H12706" t="str">
        <f>T("UNIT 100191 BOX 1")</f>
        <v>UNIT 100191 BOX 1</v>
      </c>
      <c r="I12706" t="str">
        <f t="shared" si="4693"/>
        <v>FPO</v>
      </c>
      <c r="J12706" t="str">
        <f t="shared" si="4694"/>
        <v>AP</v>
      </c>
      <c r="K12706" t="str">
        <f>T("619 556 4183")</f>
        <v>619 556 4183</v>
      </c>
      <c r="L12706" t="str">
        <f>T("6195564183")</f>
        <v>6195564183</v>
      </c>
    </row>
    <row r="12707" spans="1:12" x14ac:dyDescent="0.35">
      <c r="A12707" t="str">
        <f t="shared" ref="A12707:B12710" si="4701">T("USS GREEN BAY LPD 20")</f>
        <v>USS GREEN BAY LPD 20</v>
      </c>
      <c r="B12707" t="str">
        <f t="shared" si="4701"/>
        <v>USS GREEN BAY LPD 20</v>
      </c>
      <c r="C12707" t="str">
        <f>T("SUPPLY DEPT")</f>
        <v>SUPPLY DEPT</v>
      </c>
      <c r="D12707" t="str">
        <f t="shared" si="4696"/>
        <v>FPO</v>
      </c>
      <c r="E12707" t="str">
        <f t="shared" si="4697"/>
        <v>AP</v>
      </c>
      <c r="F12707" t="str">
        <f>T("966661703")</f>
        <v>966661703</v>
      </c>
      <c r="G12707" t="str">
        <f>T("ATTN SUPPLY OFFICER")</f>
        <v>ATTN SUPPLY OFFICER</v>
      </c>
      <c r="H12707" t="str">
        <f>T("UNIT 100218 BOX 1")</f>
        <v>UNIT 100218 BOX 1</v>
      </c>
      <c r="I12707" t="str">
        <f t="shared" si="4693"/>
        <v>FPO</v>
      </c>
      <c r="J12707" t="str">
        <f t="shared" si="4694"/>
        <v>AP</v>
      </c>
      <c r="K12707" t="str">
        <f>T("000000000000000000")</f>
        <v>000000000000000000</v>
      </c>
      <c r="L12707" t="str">
        <f>T("1111111111")</f>
        <v>1111111111</v>
      </c>
    </row>
    <row r="12708" spans="1:12" x14ac:dyDescent="0.35">
      <c r="A12708" t="str">
        <f t="shared" si="4701"/>
        <v>USS GREEN BAY LPD 20</v>
      </c>
      <c r="B12708" t="str">
        <f t="shared" si="4701"/>
        <v>USS GREEN BAY LPD 20</v>
      </c>
      <c r="C12708" t="str">
        <f>T("SUPPLY DEPT")</f>
        <v>SUPPLY DEPT</v>
      </c>
      <c r="D12708" t="str">
        <f t="shared" si="4696"/>
        <v>FPO</v>
      </c>
      <c r="E12708" t="str">
        <f t="shared" si="4697"/>
        <v>AP</v>
      </c>
      <c r="F12708" t="str">
        <f>T("966661703")</f>
        <v>966661703</v>
      </c>
      <c r="G12708" t="str">
        <f>T("ATTN SUPPLY OFFICER")</f>
        <v>ATTN SUPPLY OFFICER</v>
      </c>
      <c r="H12708" t="str">
        <f>T("UNIT 100218 BOX 1")</f>
        <v>UNIT 100218 BOX 1</v>
      </c>
      <c r="I12708" t="str">
        <f t="shared" ref="I12708:I12731" si="4702">T("FPO")</f>
        <v>FPO</v>
      </c>
      <c r="J12708" t="str">
        <f t="shared" ref="J12708:J12731" si="4703">T("AP")</f>
        <v>AP</v>
      </c>
      <c r="K12708" t="str">
        <f>T("000000000000000000")</f>
        <v>000000000000000000</v>
      </c>
      <c r="L12708" t="str">
        <f>T("3125264463")</f>
        <v>3125264463</v>
      </c>
    </row>
    <row r="12709" spans="1:12" x14ac:dyDescent="0.35">
      <c r="A12709" t="str">
        <f t="shared" si="4701"/>
        <v>USS GREEN BAY LPD 20</v>
      </c>
      <c r="B12709" t="str">
        <f t="shared" si="4701"/>
        <v>USS GREEN BAY LPD 20</v>
      </c>
      <c r="C12709" t="str">
        <f>T("SUPPLY DEPT")</f>
        <v>SUPPLY DEPT</v>
      </c>
      <c r="D12709" t="str">
        <f t="shared" si="4696"/>
        <v>FPO</v>
      </c>
      <c r="E12709" t="str">
        <f t="shared" si="4697"/>
        <v>AP</v>
      </c>
      <c r="F12709" t="str">
        <f>T("966661703")</f>
        <v>966661703</v>
      </c>
      <c r="G12709" t="str">
        <f>T("ATTN SUPPLY OFFICER")</f>
        <v>ATTN SUPPLY OFFICER</v>
      </c>
      <c r="H12709" t="str">
        <f>T("UNIT 100218 BOX 1")</f>
        <v>UNIT 100218 BOX 1</v>
      </c>
      <c r="I12709" t="str">
        <f t="shared" si="4702"/>
        <v>FPO</v>
      </c>
      <c r="J12709" t="str">
        <f t="shared" si="4703"/>
        <v>AP</v>
      </c>
      <c r="K12709" t="str">
        <f>T("81956501234")</f>
        <v>81956501234</v>
      </c>
      <c r="L12709" t="str">
        <f>T("1111111111")</f>
        <v>1111111111</v>
      </c>
    </row>
    <row r="12710" spans="1:12" x14ac:dyDescent="0.35">
      <c r="A12710" t="str">
        <f t="shared" si="4701"/>
        <v>USS GREEN BAY LPD 20</v>
      </c>
      <c r="B12710" t="str">
        <f t="shared" si="4701"/>
        <v>USS GREEN BAY LPD 20</v>
      </c>
      <c r="C12710" t="str">
        <f>T("SUPPLY DEPT")</f>
        <v>SUPPLY DEPT</v>
      </c>
      <c r="D12710" t="str">
        <f t="shared" si="4696"/>
        <v>FPO</v>
      </c>
      <c r="E12710" t="str">
        <f t="shared" si="4697"/>
        <v>AP</v>
      </c>
      <c r="F12710" t="str">
        <f>T("966661703")</f>
        <v>966661703</v>
      </c>
      <c r="G12710" t="str">
        <f>T("USS GREEN BAY LPD 20")</f>
        <v>USS GREEN BAY LPD 20</v>
      </c>
      <c r="H12710" t="str">
        <f>T("SUPPLY DEPT")</f>
        <v>SUPPLY DEPT</v>
      </c>
      <c r="I12710" t="str">
        <f t="shared" si="4702"/>
        <v>FPO</v>
      </c>
      <c r="J12710" t="str">
        <f t="shared" si="4703"/>
        <v>AP</v>
      </c>
      <c r="K12710" t="str">
        <f>T("000000000000000000")</f>
        <v>000000000000000000</v>
      </c>
      <c r="L12710" t="str">
        <f>T("6195564465")</f>
        <v>6195564465</v>
      </c>
    </row>
    <row r="12711" spans="1:12" x14ac:dyDescent="0.35">
      <c r="A12711" t="str">
        <f>T("USS SAN DIEGO LPD 22")</f>
        <v>USS SAN DIEGO LPD 22</v>
      </c>
      <c r="B12711" t="str">
        <f>T("USS SAN DIEGO LPD 22")</f>
        <v>USS SAN DIEGO LPD 22</v>
      </c>
      <c r="C12711" t="str">
        <f>T("UNIT100227 BOX 1")</f>
        <v>UNIT100227 BOX 1</v>
      </c>
      <c r="D12711" t="str">
        <f t="shared" si="4696"/>
        <v>FPO</v>
      </c>
      <c r="E12711" t="str">
        <f t="shared" si="4697"/>
        <v>AP</v>
      </c>
      <c r="F12711" t="str">
        <f>T("966780000")</f>
        <v>966780000</v>
      </c>
      <c r="G12711" t="str">
        <f>T("ATTN SUPPLY OFFICER")</f>
        <v>ATTN SUPPLY OFFICER</v>
      </c>
      <c r="H12711" t="str">
        <f>T("SUPPLY DEPT")</f>
        <v>SUPPLY DEPT</v>
      </c>
      <c r="I12711" t="str">
        <f t="shared" si="4702"/>
        <v>FPO</v>
      </c>
      <c r="J12711" t="str">
        <f t="shared" si="4703"/>
        <v>AP</v>
      </c>
      <c r="K12711" t="str">
        <f>T("000000000000000000")</f>
        <v>000000000000000000</v>
      </c>
      <c r="L12711" t="str">
        <f>T("6195564288")</f>
        <v>6195564288</v>
      </c>
    </row>
    <row r="12712" spans="1:12" x14ac:dyDescent="0.35">
      <c r="A12712" t="str">
        <f>T("USS SAN DIEGO LPD 22")</f>
        <v>USS SAN DIEGO LPD 22</v>
      </c>
      <c r="B12712" t="str">
        <f>T("USS SAN DIEGO LPD 22")</f>
        <v>USS SAN DIEGO LPD 22</v>
      </c>
      <c r="C12712" t="str">
        <f>T("UNIT100227 BOX 1")</f>
        <v>UNIT100227 BOX 1</v>
      </c>
      <c r="D12712" t="str">
        <f t="shared" si="4696"/>
        <v>FPO</v>
      </c>
      <c r="E12712" t="str">
        <f t="shared" si="4697"/>
        <v>AP</v>
      </c>
      <c r="F12712" t="str">
        <f>T("966780000")</f>
        <v>966780000</v>
      </c>
      <c r="G12712" t="str">
        <f>T("USS SAN DIEGO LPD 22")</f>
        <v>USS SAN DIEGO LPD 22</v>
      </c>
      <c r="H12712" t="str">
        <f>T("UNIT100227 BOX 1")</f>
        <v>UNIT100227 BOX 1</v>
      </c>
      <c r="I12712" t="str">
        <f t="shared" si="4702"/>
        <v>FPO</v>
      </c>
      <c r="J12712" t="str">
        <f t="shared" si="4703"/>
        <v>AP</v>
      </c>
      <c r="K12712" t="str">
        <f>T("")</f>
        <v/>
      </c>
      <c r="L12712" t="str">
        <f>T("6195564288")</f>
        <v>6195564288</v>
      </c>
    </row>
    <row r="12713" spans="1:12" x14ac:dyDescent="0.35">
      <c r="A12713" t="str">
        <f t="shared" ref="A12713:B12715" si="4704">T("USS ANCHORAGE LPD 23")</f>
        <v>USS ANCHORAGE LPD 23</v>
      </c>
      <c r="B12713" t="str">
        <f t="shared" si="4704"/>
        <v>USS ANCHORAGE LPD 23</v>
      </c>
      <c r="C12713" t="str">
        <f>T("SUPPLY DEPT")</f>
        <v>SUPPLY DEPT</v>
      </c>
      <c r="D12713" t="str">
        <f t="shared" si="4696"/>
        <v>FPO</v>
      </c>
      <c r="E12713" t="str">
        <f t="shared" si="4697"/>
        <v>AP</v>
      </c>
      <c r="F12713" t="str">
        <f>T("966600000")</f>
        <v>966600000</v>
      </c>
      <c r="G12713" t="str">
        <f>T("ATTN SUPPLY OFFICER")</f>
        <v>ATTN SUPPLY OFFICER</v>
      </c>
      <c r="H12713" t="str">
        <f>T("UNIT 100520 BOX 1")</f>
        <v>UNIT 100520 BOX 1</v>
      </c>
      <c r="I12713" t="str">
        <f t="shared" si="4702"/>
        <v>FPO</v>
      </c>
      <c r="J12713" t="str">
        <f t="shared" si="4703"/>
        <v>AP</v>
      </c>
      <c r="K12713" t="str">
        <f>T("000000000000000000")</f>
        <v>000000000000000000</v>
      </c>
      <c r="L12713" t="str">
        <f>T("6195564556")</f>
        <v>6195564556</v>
      </c>
    </row>
    <row r="12714" spans="1:12" x14ac:dyDescent="0.35">
      <c r="A12714" t="str">
        <f t="shared" si="4704"/>
        <v>USS ANCHORAGE LPD 23</v>
      </c>
      <c r="B12714" t="str">
        <f t="shared" si="4704"/>
        <v>USS ANCHORAGE LPD 23</v>
      </c>
      <c r="C12714" t="str">
        <f>T("SUPPLY DEPT")</f>
        <v>SUPPLY DEPT</v>
      </c>
      <c r="D12714" t="str">
        <f t="shared" si="4696"/>
        <v>FPO</v>
      </c>
      <c r="E12714" t="str">
        <f t="shared" si="4697"/>
        <v>AP</v>
      </c>
      <c r="F12714" t="str">
        <f>T("966600000")</f>
        <v>966600000</v>
      </c>
      <c r="G12714" t="str">
        <f>T("USS ANCHORAGE LPD 23")</f>
        <v>USS ANCHORAGE LPD 23</v>
      </c>
      <c r="H12714" t="str">
        <f>T("")</f>
        <v/>
      </c>
      <c r="I12714" t="str">
        <f t="shared" si="4702"/>
        <v>FPO</v>
      </c>
      <c r="J12714" t="str">
        <f t="shared" si="4703"/>
        <v>AP</v>
      </c>
      <c r="K12714" t="str">
        <f>T("000000000000000000")</f>
        <v>000000000000000000</v>
      </c>
      <c r="L12714" t="str">
        <f>T("6195457622")</f>
        <v>6195457622</v>
      </c>
    </row>
    <row r="12715" spans="1:12" x14ac:dyDescent="0.35">
      <c r="A12715" t="str">
        <f t="shared" si="4704"/>
        <v>USS ANCHORAGE LPD 23</v>
      </c>
      <c r="B12715" t="str">
        <f t="shared" si="4704"/>
        <v>USS ANCHORAGE LPD 23</v>
      </c>
      <c r="C12715" t="str">
        <f>T("SUPPLY DEPT")</f>
        <v>SUPPLY DEPT</v>
      </c>
      <c r="D12715" t="str">
        <f t="shared" ref="D12715:D12731" si="4705">T("FPO")</f>
        <v>FPO</v>
      </c>
      <c r="E12715" t="str">
        <f t="shared" ref="E12715:E12731" si="4706">T("AP")</f>
        <v>AP</v>
      </c>
      <c r="F12715" t="str">
        <f>T("966600000")</f>
        <v>966600000</v>
      </c>
      <c r="G12715" t="str">
        <f>T("USS ANCHORAGE LPD 23")</f>
        <v>USS ANCHORAGE LPD 23</v>
      </c>
      <c r="H12715" t="str">
        <f>T("SUPPLY DEPT")</f>
        <v>SUPPLY DEPT</v>
      </c>
      <c r="I12715" t="str">
        <f t="shared" si="4702"/>
        <v>FPO</v>
      </c>
      <c r="J12715" t="str">
        <f t="shared" si="4703"/>
        <v>AP</v>
      </c>
      <c r="K12715" t="str">
        <f>T("6195457622")</f>
        <v>6195457622</v>
      </c>
      <c r="L12715" t="str">
        <f>T("6195457622")</f>
        <v>6195457622</v>
      </c>
    </row>
    <row r="12716" spans="1:12" x14ac:dyDescent="0.35">
      <c r="A12716" t="str">
        <f>T("USS PINCKNEY DDG 91")</f>
        <v>USS PINCKNEY DDG 91</v>
      </c>
      <c r="B12716" t="str">
        <f>T("USS PINCKNEY DDG91")</f>
        <v>USS PINCKNEY DDG91</v>
      </c>
      <c r="C12716" t="str">
        <f>T("UNIT 100201 BOX 1")</f>
        <v>UNIT 100201 BOX 1</v>
      </c>
      <c r="D12716" t="str">
        <f t="shared" si="4705"/>
        <v>FPO</v>
      </c>
      <c r="E12716" t="str">
        <f t="shared" si="4706"/>
        <v>AP</v>
      </c>
      <c r="F12716" t="str">
        <f>T("966750100")</f>
        <v>966750100</v>
      </c>
      <c r="G12716" t="str">
        <f>T("ATTN SUPPLY OFFICER")</f>
        <v>ATTN SUPPLY OFFICER</v>
      </c>
      <c r="H12716" t="str">
        <f>T("UNIT 100201 BOX 1")</f>
        <v>UNIT 100201 BOX 1</v>
      </c>
      <c r="I12716" t="str">
        <f t="shared" si="4702"/>
        <v>FPO</v>
      </c>
      <c r="J12716" t="str">
        <f t="shared" si="4703"/>
        <v>AP</v>
      </c>
      <c r="K12716" t="str">
        <f t="shared" ref="K12716:K12726" si="4707">T("000000000000000000")</f>
        <v>000000000000000000</v>
      </c>
      <c r="L12716" t="str">
        <f>T("6195564090")</f>
        <v>6195564090</v>
      </c>
    </row>
    <row r="12717" spans="1:12" x14ac:dyDescent="0.35">
      <c r="A12717" t="str">
        <f>T("USS PINCKNEY DDG 91")</f>
        <v>USS PINCKNEY DDG 91</v>
      </c>
      <c r="B12717" t="str">
        <f>T("USS PINCKNEY DDG91")</f>
        <v>USS PINCKNEY DDG91</v>
      </c>
      <c r="C12717" t="str">
        <f>T("UNIT 100201 BOX 1")</f>
        <v>UNIT 100201 BOX 1</v>
      </c>
      <c r="D12717" t="str">
        <f t="shared" si="4705"/>
        <v>FPO</v>
      </c>
      <c r="E12717" t="str">
        <f t="shared" si="4706"/>
        <v>AP</v>
      </c>
      <c r="F12717" t="str">
        <f>T("966750100")</f>
        <v>966750100</v>
      </c>
      <c r="G12717" t="str">
        <f>T("ATTN SUPPLY OFFICER")</f>
        <v>ATTN SUPPLY OFFICER</v>
      </c>
      <c r="H12717" t="str">
        <f>T("UNIT 100201 BOX 1")</f>
        <v>UNIT 100201 BOX 1</v>
      </c>
      <c r="I12717" t="str">
        <f t="shared" si="4702"/>
        <v>FPO</v>
      </c>
      <c r="J12717" t="str">
        <f t="shared" si="4703"/>
        <v>AP</v>
      </c>
      <c r="K12717" t="str">
        <f t="shared" si="4707"/>
        <v>000000000000000000</v>
      </c>
      <c r="L12717" t="str">
        <f>T("6195564545")</f>
        <v>6195564545</v>
      </c>
    </row>
    <row r="12718" spans="1:12" x14ac:dyDescent="0.35">
      <c r="A12718" t="str">
        <f>T("USS PINCKNEY DDG 91")</f>
        <v>USS PINCKNEY DDG 91</v>
      </c>
      <c r="B12718" t="str">
        <f>T("USS PINCKNEY DDG91")</f>
        <v>USS PINCKNEY DDG91</v>
      </c>
      <c r="C12718" t="str">
        <f>T("UNIT 100201 BOX 1")</f>
        <v>UNIT 100201 BOX 1</v>
      </c>
      <c r="D12718" t="str">
        <f t="shared" si="4705"/>
        <v>FPO</v>
      </c>
      <c r="E12718" t="str">
        <f t="shared" si="4706"/>
        <v>AP</v>
      </c>
      <c r="F12718" t="str">
        <f>T("966750100")</f>
        <v>966750100</v>
      </c>
      <c r="G12718" t="str">
        <f>T("USS PINCKNEY DDG91")</f>
        <v>USS PINCKNEY DDG91</v>
      </c>
      <c r="H12718" t="str">
        <f>T("UNIT 100201 BOX 1")</f>
        <v>UNIT 100201 BOX 1</v>
      </c>
      <c r="I12718" t="str">
        <f t="shared" si="4702"/>
        <v>FPO</v>
      </c>
      <c r="J12718" t="str">
        <f t="shared" si="4703"/>
        <v>AP</v>
      </c>
      <c r="K12718" t="str">
        <f t="shared" si="4707"/>
        <v>000000000000000000</v>
      </c>
      <c r="L12718" t="str">
        <f>T("6195564090")</f>
        <v>6195564090</v>
      </c>
    </row>
    <row r="12719" spans="1:12" x14ac:dyDescent="0.35">
      <c r="A12719" t="str">
        <f>T("USS CHUNG-HOON DDG 93")</f>
        <v>USS CHUNG-HOON DDG 93</v>
      </c>
      <c r="B12719" t="str">
        <f>T("USS CHUNG-HOON DDG-93")</f>
        <v>USS CHUNG-HOON DDG-93</v>
      </c>
      <c r="C12719" t="str">
        <f>T("SUPPLY DEPARTMENT S1")</f>
        <v>SUPPLY DEPARTMENT S1</v>
      </c>
      <c r="D12719" t="str">
        <f t="shared" si="4705"/>
        <v>FPO</v>
      </c>
      <c r="E12719" t="str">
        <f t="shared" si="4706"/>
        <v>AP</v>
      </c>
      <c r="F12719" t="str">
        <f>T("966621302")</f>
        <v>966621302</v>
      </c>
      <c r="G12719" t="str">
        <f>T("ATTN SUPPLY OFFICER")</f>
        <v>ATTN SUPPLY OFFICER</v>
      </c>
      <c r="H12719" t="str">
        <f>T("UNIT 100203 BOX 1")</f>
        <v>UNIT 100203 BOX 1</v>
      </c>
      <c r="I12719" t="str">
        <f t="shared" si="4702"/>
        <v>FPO</v>
      </c>
      <c r="J12719" t="str">
        <f t="shared" si="4703"/>
        <v>AP</v>
      </c>
      <c r="K12719" t="str">
        <f t="shared" si="4707"/>
        <v>000000000000000000</v>
      </c>
      <c r="L12719" t="str">
        <f>T("8084742878")</f>
        <v>8084742878</v>
      </c>
    </row>
    <row r="12720" spans="1:12" x14ac:dyDescent="0.35">
      <c r="A12720" t="str">
        <f>T("USS CHUNG-HOON DDG 93")</f>
        <v>USS CHUNG-HOON DDG 93</v>
      </c>
      <c r="B12720" t="str">
        <f>T("USS CHUNG-HOON DDG-93")</f>
        <v>USS CHUNG-HOON DDG-93</v>
      </c>
      <c r="C12720" t="str">
        <f>T("SUPPLY DEPARTMENT S1")</f>
        <v>SUPPLY DEPARTMENT S1</v>
      </c>
      <c r="D12720" t="str">
        <f t="shared" si="4705"/>
        <v>FPO</v>
      </c>
      <c r="E12720" t="str">
        <f t="shared" si="4706"/>
        <v>AP</v>
      </c>
      <c r="F12720" t="str">
        <f>T("966621302")</f>
        <v>966621302</v>
      </c>
      <c r="G12720" t="str">
        <f>T("USS CHUNG HOON DDG 93")</f>
        <v>USS CHUNG HOON DDG 93</v>
      </c>
      <c r="H12720" t="str">
        <f>T("SUPPLY DEPT S1")</f>
        <v>SUPPLY DEPT S1</v>
      </c>
      <c r="I12720" t="str">
        <f t="shared" si="4702"/>
        <v>FPO</v>
      </c>
      <c r="J12720" t="str">
        <f t="shared" si="4703"/>
        <v>AP</v>
      </c>
      <c r="K12720" t="str">
        <f t="shared" si="4707"/>
        <v>000000000000000000</v>
      </c>
      <c r="L12720" t="str">
        <f>T("8084742878")</f>
        <v>8084742878</v>
      </c>
    </row>
    <row r="12721" spans="1:12" x14ac:dyDescent="0.35">
      <c r="A12721" t="str">
        <f>T("USS CHUNG-HOON DDG 93")</f>
        <v>USS CHUNG-HOON DDG 93</v>
      </c>
      <c r="B12721" t="str">
        <f>T("USS CHUNG-HOON DDG-93")</f>
        <v>USS CHUNG-HOON DDG-93</v>
      </c>
      <c r="C12721" t="str">
        <f>T("SUPPLY DEPARTMENT S1")</f>
        <v>SUPPLY DEPARTMENT S1</v>
      </c>
      <c r="D12721" t="str">
        <f t="shared" si="4705"/>
        <v>FPO</v>
      </c>
      <c r="E12721" t="str">
        <f t="shared" si="4706"/>
        <v>AP</v>
      </c>
      <c r="F12721" t="str">
        <f>T("966621302")</f>
        <v>966621302</v>
      </c>
      <c r="G12721" t="str">
        <f>T("USS CHUNG HOON DDG 93")</f>
        <v>USS CHUNG HOON DDG 93</v>
      </c>
      <c r="H12721" t="str">
        <f>T("SUPPLY DEPT S1")</f>
        <v>SUPPLY DEPT S1</v>
      </c>
      <c r="I12721" t="str">
        <f t="shared" si="4702"/>
        <v>FPO</v>
      </c>
      <c r="J12721" t="str">
        <f t="shared" si="4703"/>
        <v>AP</v>
      </c>
      <c r="K12721" t="str">
        <f t="shared" si="4707"/>
        <v>000000000000000000</v>
      </c>
      <c r="L12721" t="str">
        <f>T("8084742879")</f>
        <v>8084742879</v>
      </c>
    </row>
    <row r="12722" spans="1:12" x14ac:dyDescent="0.35">
      <c r="A12722" t="str">
        <f>T("USS CHUNG-HOON DDG 93")</f>
        <v>USS CHUNG-HOON DDG 93</v>
      </c>
      <c r="B12722" t="str">
        <f>T("USS CHUNG-HOON DDG-93")</f>
        <v>USS CHUNG-HOON DDG-93</v>
      </c>
      <c r="C12722" t="str">
        <f>T("SUPPLY DEPARTMENT S1")</f>
        <v>SUPPLY DEPARTMENT S1</v>
      </c>
      <c r="D12722" t="str">
        <f t="shared" si="4705"/>
        <v>FPO</v>
      </c>
      <c r="E12722" t="str">
        <f t="shared" si="4706"/>
        <v>AP</v>
      </c>
      <c r="F12722" t="str">
        <f>T("966621302")</f>
        <v>966621302</v>
      </c>
      <c r="G12722" t="str">
        <f>T("USS CHUNG-HOON DDG-93")</f>
        <v>USS CHUNG-HOON DDG-93</v>
      </c>
      <c r="H12722" t="str">
        <f>T("SUPPLY DEPARTMENT S1")</f>
        <v>SUPPLY DEPARTMENT S1</v>
      </c>
      <c r="I12722" t="str">
        <f t="shared" si="4702"/>
        <v>FPO</v>
      </c>
      <c r="J12722" t="str">
        <f t="shared" si="4703"/>
        <v>AP</v>
      </c>
      <c r="K12722" t="str">
        <f t="shared" si="4707"/>
        <v>000000000000000000</v>
      </c>
      <c r="L12722" t="str">
        <f>T("8084742879")</f>
        <v>8084742879</v>
      </c>
    </row>
    <row r="12723" spans="1:12" x14ac:dyDescent="0.35">
      <c r="A12723" t="str">
        <f t="shared" ref="A12723:B12725" si="4708">T("USS GRIDLEY DDG 101")</f>
        <v>USS GRIDLEY DDG 101</v>
      </c>
      <c r="B12723" t="str">
        <f t="shared" si="4708"/>
        <v>USS GRIDLEY DDG 101</v>
      </c>
      <c r="C12723" t="str">
        <f>T("SUPPLY DEPT")</f>
        <v>SUPPLY DEPT</v>
      </c>
      <c r="D12723" t="str">
        <f t="shared" si="4705"/>
        <v>FPO</v>
      </c>
      <c r="E12723" t="str">
        <f t="shared" si="4706"/>
        <v>AP</v>
      </c>
      <c r="F12723" t="str">
        <f>T("966660000")</f>
        <v>966660000</v>
      </c>
      <c r="G12723" t="str">
        <f>T("ATTN SUPPLY OFFICER")</f>
        <v>ATTN SUPPLY OFFICER</v>
      </c>
      <c r="H12723" t="str">
        <f>T("UNIT 100206 BOX 1")</f>
        <v>UNIT 100206 BOX 1</v>
      </c>
      <c r="I12723" t="str">
        <f t="shared" si="4702"/>
        <v>FPO</v>
      </c>
      <c r="J12723" t="str">
        <f t="shared" si="4703"/>
        <v>AP</v>
      </c>
      <c r="K12723" t="str">
        <f t="shared" si="4707"/>
        <v>000000000000000000</v>
      </c>
      <c r="L12723" t="str">
        <f>T("6195564057")</f>
        <v>6195564057</v>
      </c>
    </row>
    <row r="12724" spans="1:12" x14ac:dyDescent="0.35">
      <c r="A12724" t="str">
        <f t="shared" si="4708"/>
        <v>USS GRIDLEY DDG 101</v>
      </c>
      <c r="B12724" t="str">
        <f t="shared" si="4708"/>
        <v>USS GRIDLEY DDG 101</v>
      </c>
      <c r="C12724" t="str">
        <f>T("SUPPLY DEPT")</f>
        <v>SUPPLY DEPT</v>
      </c>
      <c r="D12724" t="str">
        <f t="shared" si="4705"/>
        <v>FPO</v>
      </c>
      <c r="E12724" t="str">
        <f t="shared" si="4706"/>
        <v>AP</v>
      </c>
      <c r="F12724" t="str">
        <f>T("966660000")</f>
        <v>966660000</v>
      </c>
      <c r="G12724" t="str">
        <f>T("SUPPLY DEPT")</f>
        <v>SUPPLY DEPT</v>
      </c>
      <c r="H12724" t="str">
        <f>T("S1 DIV")</f>
        <v>S1 DIV</v>
      </c>
      <c r="I12724" t="str">
        <f t="shared" si="4702"/>
        <v>FPO</v>
      </c>
      <c r="J12724" t="str">
        <f t="shared" si="4703"/>
        <v>AP</v>
      </c>
      <c r="K12724" t="str">
        <f t="shared" si="4707"/>
        <v>000000000000000000</v>
      </c>
      <c r="L12724" t="str">
        <f>T("6194345128")</f>
        <v>6194345128</v>
      </c>
    </row>
    <row r="12725" spans="1:12" x14ac:dyDescent="0.35">
      <c r="A12725" t="str">
        <f t="shared" si="4708"/>
        <v>USS GRIDLEY DDG 101</v>
      </c>
      <c r="B12725" t="str">
        <f t="shared" si="4708"/>
        <v>USS GRIDLEY DDG 101</v>
      </c>
      <c r="C12725" t="str">
        <f>T("SUPPLY DEPT")</f>
        <v>SUPPLY DEPT</v>
      </c>
      <c r="D12725" t="str">
        <f t="shared" si="4705"/>
        <v>FPO</v>
      </c>
      <c r="E12725" t="str">
        <f t="shared" si="4706"/>
        <v>AP</v>
      </c>
      <c r="F12725" t="str">
        <f>T("966660000")</f>
        <v>966660000</v>
      </c>
      <c r="G12725" t="str">
        <f>T("USS GRIDLEY DDG 101")</f>
        <v>USS GRIDLEY DDG 101</v>
      </c>
      <c r="H12725" t="str">
        <f>T("SUPPLY DEPT")</f>
        <v>SUPPLY DEPT</v>
      </c>
      <c r="I12725" t="str">
        <f t="shared" si="4702"/>
        <v>FPO</v>
      </c>
      <c r="J12725" t="str">
        <f t="shared" si="4703"/>
        <v>AP</v>
      </c>
      <c r="K12725" t="str">
        <f t="shared" si="4707"/>
        <v>000000000000000000</v>
      </c>
      <c r="L12725" t="str">
        <f>T("6195564057")</f>
        <v>6195564057</v>
      </c>
    </row>
    <row r="12726" spans="1:12" x14ac:dyDescent="0.35">
      <c r="A12726" t="str">
        <f>T("USS HALSEY DDG-97")</f>
        <v>USS HALSEY DDG-97</v>
      </c>
      <c r="B12726" t="str">
        <f>T("USS HALSEY DDG 97")</f>
        <v>USS HALSEY DDG 97</v>
      </c>
      <c r="C12726" t="str">
        <f>T("UNIT 100139 BOX 1")</f>
        <v>UNIT 100139 BOX 1</v>
      </c>
      <c r="D12726" t="str">
        <f t="shared" si="4705"/>
        <v>FPO</v>
      </c>
      <c r="E12726" t="str">
        <f t="shared" si="4706"/>
        <v>AP</v>
      </c>
      <c r="F12726" t="str">
        <f>T("966673900")</f>
        <v>966673900</v>
      </c>
      <c r="G12726" t="str">
        <f>T("ATTN SUPPLY OFFICER")</f>
        <v>ATTN SUPPLY OFFICER</v>
      </c>
      <c r="H12726" t="str">
        <f>T("UNIT 100139 BOX 1")</f>
        <v>UNIT 100139 BOX 1</v>
      </c>
      <c r="I12726" t="str">
        <f t="shared" si="4702"/>
        <v>FPO</v>
      </c>
      <c r="J12726" t="str">
        <f t="shared" si="4703"/>
        <v>AP</v>
      </c>
      <c r="K12726" t="str">
        <f t="shared" si="4707"/>
        <v>000000000000000000</v>
      </c>
      <c r="L12726" t="str">
        <f>T("8084711769")</f>
        <v>8084711769</v>
      </c>
    </row>
    <row r="12727" spans="1:12" x14ac:dyDescent="0.35">
      <c r="A12727" t="str">
        <f>T("USS HALSEY DDG-97")</f>
        <v>USS HALSEY DDG-97</v>
      </c>
      <c r="B12727" t="str">
        <f>T("USS HALSEY DDG 97")</f>
        <v>USS HALSEY DDG 97</v>
      </c>
      <c r="C12727" t="str">
        <f>T("UNIT 100139 BOX 1")</f>
        <v>UNIT 100139 BOX 1</v>
      </c>
      <c r="D12727" t="str">
        <f t="shared" si="4705"/>
        <v>FPO</v>
      </c>
      <c r="E12727" t="str">
        <f t="shared" si="4706"/>
        <v>AP</v>
      </c>
      <c r="F12727" t="str">
        <f>T("966673900")</f>
        <v>966673900</v>
      </c>
      <c r="G12727" t="str">
        <f>T("USS HALSEY DDG 97")</f>
        <v>USS HALSEY DDG 97</v>
      </c>
      <c r="H12727" t="str">
        <f>T("UNIT 100139 BOX 1")</f>
        <v>UNIT 100139 BOX 1</v>
      </c>
      <c r="I12727" t="str">
        <f t="shared" si="4702"/>
        <v>FPO</v>
      </c>
      <c r="J12727" t="str">
        <f t="shared" si="4703"/>
        <v>AP</v>
      </c>
      <c r="K12727" t="str">
        <f>T("8084714875")</f>
        <v>8084714875</v>
      </c>
      <c r="L12727" t="str">
        <f>T("9014713907")</f>
        <v>9014713907</v>
      </c>
    </row>
    <row r="12728" spans="1:12" x14ac:dyDescent="0.35">
      <c r="A12728" t="str">
        <f>T("USS CHAFEE DDG-90")</f>
        <v>USS CHAFEE DDG-90</v>
      </c>
      <c r="B12728" t="str">
        <f>T("USS CHAFEE DDG-90")</f>
        <v>USS CHAFEE DDG-90</v>
      </c>
      <c r="C12728" t="str">
        <f>T("UNIT100199 BOX 1")</f>
        <v>UNIT100199 BOX 1</v>
      </c>
      <c r="D12728" t="str">
        <f t="shared" si="4705"/>
        <v>FPO</v>
      </c>
      <c r="E12728" t="str">
        <f t="shared" si="4706"/>
        <v>AP</v>
      </c>
      <c r="F12728" t="str">
        <f>T("966621305")</f>
        <v>966621305</v>
      </c>
      <c r="G12728" t="str">
        <f>T("ATTN SUPPLY OFFICER")</f>
        <v>ATTN SUPPLY OFFICER</v>
      </c>
      <c r="H12728" t="str">
        <f>T("UNIT 100199 BOX 1")</f>
        <v>UNIT 100199 BOX 1</v>
      </c>
      <c r="I12728" t="str">
        <f t="shared" si="4702"/>
        <v>FPO</v>
      </c>
      <c r="J12728" t="str">
        <f t="shared" si="4703"/>
        <v>AP</v>
      </c>
      <c r="K12728" t="str">
        <f>T("000000000000000000")</f>
        <v>000000000000000000</v>
      </c>
      <c r="L12728" t="str">
        <f>T("8084749897")</f>
        <v>8084749897</v>
      </c>
    </row>
    <row r="12729" spans="1:12" x14ac:dyDescent="0.35">
      <c r="A12729" t="str">
        <f>T("USS CHAFEE DDG-90")</f>
        <v>USS CHAFEE DDG-90</v>
      </c>
      <c r="B12729" t="str">
        <f>T("USS CHAFEE DDG-90")</f>
        <v>USS CHAFEE DDG-90</v>
      </c>
      <c r="C12729" t="str">
        <f>T("UNIT100199 BOX 1")</f>
        <v>UNIT100199 BOX 1</v>
      </c>
      <c r="D12729" t="str">
        <f t="shared" si="4705"/>
        <v>FPO</v>
      </c>
      <c r="E12729" t="str">
        <f t="shared" si="4706"/>
        <v>AP</v>
      </c>
      <c r="F12729" t="str">
        <f>T("966621305")</f>
        <v>966621305</v>
      </c>
      <c r="G12729" t="str">
        <f>T("USS CHAFEE DDG-90")</f>
        <v>USS CHAFEE DDG-90</v>
      </c>
      <c r="H12729" t="str">
        <f>T("UNIT100199 BOX 1")</f>
        <v>UNIT100199 BOX 1</v>
      </c>
      <c r="I12729" t="str">
        <f t="shared" si="4702"/>
        <v>FPO</v>
      </c>
      <c r="J12729" t="str">
        <f t="shared" si="4703"/>
        <v>AP</v>
      </c>
      <c r="K12729" t="str">
        <f>T("000000000000000000")</f>
        <v>000000000000000000</v>
      </c>
      <c r="L12729" t="str">
        <f>T("8084749897")</f>
        <v>8084749897</v>
      </c>
    </row>
    <row r="12730" spans="1:12" x14ac:dyDescent="0.35">
      <c r="A12730" t="str">
        <f>T("USS MOMSEN DDG 92")</f>
        <v>USS MOMSEN DDG 92</v>
      </c>
      <c r="B12730" t="str">
        <f>T("USS MOMSEN DDG-92")</f>
        <v>USS MOMSEN DDG-92</v>
      </c>
      <c r="C12730" t="str">
        <f>T("UNIT 100202 BOX 1")</f>
        <v>UNIT 100202 BOX 1</v>
      </c>
      <c r="D12730" t="str">
        <f t="shared" si="4705"/>
        <v>FPO</v>
      </c>
      <c r="E12730" t="str">
        <f t="shared" si="4706"/>
        <v>AP</v>
      </c>
      <c r="F12730" t="str">
        <f>T("966720200")</f>
        <v>966720200</v>
      </c>
      <c r="G12730" t="str">
        <f>T("ATTN SUPPLY OFFICER")</f>
        <v>ATTN SUPPLY OFFICER</v>
      </c>
      <c r="H12730" t="str">
        <f>T("UNIT 100202 BOX 1")</f>
        <v>UNIT 100202 BOX 1</v>
      </c>
      <c r="I12730" t="str">
        <f t="shared" si="4702"/>
        <v>FPO</v>
      </c>
      <c r="J12730" t="str">
        <f t="shared" si="4703"/>
        <v>AP</v>
      </c>
      <c r="K12730" t="str">
        <f>T("000000000000000000")</f>
        <v>000000000000000000</v>
      </c>
      <c r="L12730" t="str">
        <f>T("4253045181")</f>
        <v>4253045181</v>
      </c>
    </row>
    <row r="12731" spans="1:12" x14ac:dyDescent="0.35">
      <c r="A12731" t="str">
        <f>T("USS MOMSEN DDG 92")</f>
        <v>USS MOMSEN DDG 92</v>
      </c>
      <c r="B12731" t="str">
        <f>T("USS MOMSEN DDG-92")</f>
        <v>USS MOMSEN DDG-92</v>
      </c>
      <c r="C12731" t="str">
        <f>T("UNIT 100202 BOX 1")</f>
        <v>UNIT 100202 BOX 1</v>
      </c>
      <c r="D12731" t="str">
        <f t="shared" si="4705"/>
        <v>FPO</v>
      </c>
      <c r="E12731" t="str">
        <f t="shared" si="4706"/>
        <v>AP</v>
      </c>
      <c r="F12731" t="str">
        <f>T("966720200")</f>
        <v>966720200</v>
      </c>
      <c r="G12731" t="str">
        <f>T("USS MOMSEN DDG-92")</f>
        <v>USS MOMSEN DDG-92</v>
      </c>
      <c r="H12731" t="str">
        <f>T("UNIT 100202 BOX 1")</f>
        <v>UNIT 100202 BOX 1</v>
      </c>
      <c r="I12731" t="str">
        <f t="shared" si="4702"/>
        <v>FPO</v>
      </c>
      <c r="J12731" t="str">
        <f t="shared" si="4703"/>
        <v>AP</v>
      </c>
      <c r="K12731" t="str">
        <f>T("2074424783")</f>
        <v>2074424783</v>
      </c>
      <c r="L12731" t="str">
        <f>T("4253045181")</f>
        <v>4253045181</v>
      </c>
    </row>
    <row r="12732" spans="1:12" x14ac:dyDescent="0.35">
      <c r="A12732" t="str">
        <f>T("BEACHMASTER UNIT ONE")</f>
        <v>BEACHMASTER UNIT ONE</v>
      </c>
      <c r="B12732" t="str">
        <f>T("3205 ATTU ROAD")</f>
        <v>3205 ATTU ROAD</v>
      </c>
      <c r="C12732" t="str">
        <f>T("BLDG 90")</f>
        <v>BLDG 90</v>
      </c>
      <c r="D12732" t="str">
        <f t="shared" ref="D12732:D12746" si="4709">T("SAN DIEGO")</f>
        <v>SAN DIEGO</v>
      </c>
      <c r="E12732" t="str">
        <f t="shared" ref="E12732:E12746" si="4710">T("CA")</f>
        <v>CA</v>
      </c>
      <c r="F12732" t="str">
        <f>T("921555076")</f>
        <v>921555076</v>
      </c>
      <c r="G12732" t="str">
        <f>T("3205 ATTU ROAD")</f>
        <v>3205 ATTU ROAD</v>
      </c>
      <c r="H12732" t="str">
        <f>T("BLDG 90")</f>
        <v>BLDG 90</v>
      </c>
      <c r="I12732" t="str">
        <f t="shared" ref="I12732:I12746" si="4711">T("SAN DIEGO")</f>
        <v>SAN DIEGO</v>
      </c>
      <c r="J12732" t="str">
        <f t="shared" ref="J12732:J12746" si="4712">T("CA")</f>
        <v>CA</v>
      </c>
      <c r="K12732" t="str">
        <f>T("619 437 2130")</f>
        <v>619 437 2130</v>
      </c>
      <c r="L12732" t="str">
        <f>T("6194372522")</f>
        <v>6194372522</v>
      </c>
    </row>
    <row r="12733" spans="1:12" x14ac:dyDescent="0.35">
      <c r="A12733" t="str">
        <f>T("BEACHMASTER UNIT ONE")</f>
        <v>BEACHMASTER UNIT ONE</v>
      </c>
      <c r="B12733" t="str">
        <f>T("3205 ATTU ROAD")</f>
        <v>3205 ATTU ROAD</v>
      </c>
      <c r="C12733" t="str">
        <f>T("BLDG 90")</f>
        <v>BLDG 90</v>
      </c>
      <c r="D12733" t="str">
        <f t="shared" si="4709"/>
        <v>SAN DIEGO</v>
      </c>
      <c r="E12733" t="str">
        <f t="shared" si="4710"/>
        <v>CA</v>
      </c>
      <c r="F12733" t="str">
        <f>T("921555076")</f>
        <v>921555076</v>
      </c>
      <c r="G12733" t="str">
        <f>T("ATTN SUPPLY OFFICER")</f>
        <v>ATTN SUPPLY OFFICER</v>
      </c>
      <c r="H12733" t="str">
        <f>T("3205 ATTU RD BLDG 90")</f>
        <v>3205 ATTU RD BLDG 90</v>
      </c>
      <c r="I12733" t="str">
        <f t="shared" si="4711"/>
        <v>SAN DIEGO</v>
      </c>
      <c r="J12733" t="str">
        <f t="shared" si="4712"/>
        <v>CA</v>
      </c>
      <c r="K12733" t="str">
        <f>T("6194372130")</f>
        <v>6194372130</v>
      </c>
      <c r="L12733" t="str">
        <f>T("6194372522")</f>
        <v>6194372522</v>
      </c>
    </row>
    <row r="12734" spans="1:12" x14ac:dyDescent="0.35">
      <c r="A12734" t="str">
        <f>T("ASSAULT CRAFT UNIT ONE")</f>
        <v>ASSAULT CRAFT UNIT ONE</v>
      </c>
      <c r="B12734" t="str">
        <f>T("3226 TARAWA RD BLDG 109")</f>
        <v>3226 TARAWA RD BLDG 109</v>
      </c>
      <c r="C12734" t="str">
        <f>T("NAB CORONADO")</f>
        <v>NAB CORONADO</v>
      </c>
      <c r="D12734" t="str">
        <f t="shared" si="4709"/>
        <v>SAN DIEGO</v>
      </c>
      <c r="E12734" t="str">
        <f t="shared" si="4710"/>
        <v>CA</v>
      </c>
      <c r="F12734" t="str">
        <f>T("921555084")</f>
        <v>921555084</v>
      </c>
      <c r="G12734" t="str">
        <f>T("3226 TARAWA RD")</f>
        <v>3226 TARAWA RD</v>
      </c>
      <c r="H12734" t="str">
        <f>T("ATTN SUPPLY OFFICER")</f>
        <v>ATTN SUPPLY OFFICER</v>
      </c>
      <c r="I12734" t="str">
        <f t="shared" si="4711"/>
        <v>SAN DIEGO</v>
      </c>
      <c r="J12734" t="str">
        <f t="shared" si="4712"/>
        <v>CA</v>
      </c>
      <c r="K12734" t="str">
        <f>T("6194375993")</f>
        <v>6194375993</v>
      </c>
      <c r="L12734" t="str">
        <f>T("6194373568")</f>
        <v>6194373568</v>
      </c>
    </row>
    <row r="12735" spans="1:12" x14ac:dyDescent="0.35">
      <c r="A12735" t="str">
        <f>T("ASSAULT CRAFT UNIT ONE")</f>
        <v>ASSAULT CRAFT UNIT ONE</v>
      </c>
      <c r="B12735" t="str">
        <f>T("3226 TARAWA RD BLDG 109")</f>
        <v>3226 TARAWA RD BLDG 109</v>
      </c>
      <c r="C12735" t="str">
        <f>T("NAB CORONADO")</f>
        <v>NAB CORONADO</v>
      </c>
      <c r="D12735" t="str">
        <f t="shared" si="4709"/>
        <v>SAN DIEGO</v>
      </c>
      <c r="E12735" t="str">
        <f t="shared" si="4710"/>
        <v>CA</v>
      </c>
      <c r="F12735" t="str">
        <f>T("921555084")</f>
        <v>921555084</v>
      </c>
      <c r="G12735" t="str">
        <f>T("3226 TARAWA RD BLDG 109")</f>
        <v>3226 TARAWA RD BLDG 109</v>
      </c>
      <c r="H12735" t="str">
        <f>T("NAB CORONADO")</f>
        <v>NAB CORONADO</v>
      </c>
      <c r="I12735" t="str">
        <f t="shared" si="4711"/>
        <v>SAN DIEGO</v>
      </c>
      <c r="J12735" t="str">
        <f t="shared" si="4712"/>
        <v>CA</v>
      </c>
      <c r="K12735" t="str">
        <f>T("000000000000000000")</f>
        <v>000000000000000000</v>
      </c>
      <c r="L12735" t="str">
        <f>T("6194373568")</f>
        <v>6194373568</v>
      </c>
    </row>
    <row r="12736" spans="1:12" x14ac:dyDescent="0.35">
      <c r="A12736" t="str">
        <f>T("ASSAULT CRAFT UNIT ONE")</f>
        <v>ASSAULT CRAFT UNIT ONE</v>
      </c>
      <c r="B12736" t="str">
        <f>T("3226 TARAWA RD BLDG 109")</f>
        <v>3226 TARAWA RD BLDG 109</v>
      </c>
      <c r="C12736" t="str">
        <f>T("NAB CORONADO")</f>
        <v>NAB CORONADO</v>
      </c>
      <c r="D12736" t="str">
        <f t="shared" si="4709"/>
        <v>SAN DIEGO</v>
      </c>
      <c r="E12736" t="str">
        <f t="shared" si="4710"/>
        <v>CA</v>
      </c>
      <c r="F12736" t="str">
        <f>T("921555084")</f>
        <v>921555084</v>
      </c>
      <c r="G12736" t="str">
        <f>T("ATN SUPPLY OFFICER")</f>
        <v>ATN SUPPLY OFFICER</v>
      </c>
      <c r="H12736" t="str">
        <f>T("3226 TARAWA RD")</f>
        <v>3226 TARAWA RD</v>
      </c>
      <c r="I12736" t="str">
        <f t="shared" si="4711"/>
        <v>SAN DIEGO</v>
      </c>
      <c r="J12736" t="str">
        <f t="shared" si="4712"/>
        <v>CA</v>
      </c>
      <c r="K12736" t="str">
        <f>T("6194375993")</f>
        <v>6194375993</v>
      </c>
      <c r="L12736" t="str">
        <f>T("6194373568")</f>
        <v>6194373568</v>
      </c>
    </row>
    <row r="12737" spans="1:12" x14ac:dyDescent="0.35">
      <c r="A12737" t="str">
        <f>T("COMNAVSURFPAC")</f>
        <v>COMNAVSURFPAC</v>
      </c>
      <c r="B12737" t="str">
        <f>T("COMNAVSURFPAC N41")</f>
        <v>COMNAVSURFPAC N41</v>
      </c>
      <c r="C12737" t="str">
        <f>T("2841 RENDOVA RD BLDG 11 RM 215")</f>
        <v>2841 RENDOVA RD BLDG 11 RM 215</v>
      </c>
      <c r="D12737" t="str">
        <f t="shared" si="4709"/>
        <v>SAN DIEGO</v>
      </c>
      <c r="E12737" t="str">
        <f t="shared" si="4710"/>
        <v>CA</v>
      </c>
      <c r="F12737" t="str">
        <f>T("921555490")</f>
        <v>921555490</v>
      </c>
      <c r="G12737" t="str">
        <f>T("ATTN N41 SUPPLY")</f>
        <v>ATTN N41 SUPPLY</v>
      </c>
      <c r="H12737" t="str">
        <f>T("2841 RENDOVA RD")</f>
        <v>2841 RENDOVA RD</v>
      </c>
      <c r="I12737" t="str">
        <f t="shared" si="4711"/>
        <v>SAN DIEGO</v>
      </c>
      <c r="J12737" t="str">
        <f t="shared" si="4712"/>
        <v>CA</v>
      </c>
      <c r="K12737" t="str">
        <f>T("000000000000000000")</f>
        <v>000000000000000000</v>
      </c>
      <c r="L12737" t="str">
        <f>T("6194372324")</f>
        <v>6194372324</v>
      </c>
    </row>
    <row r="12738" spans="1:12" x14ac:dyDescent="0.35">
      <c r="A12738" t="str">
        <f>T("COMNAVSURFPAC")</f>
        <v>COMNAVSURFPAC</v>
      </c>
      <c r="B12738" t="str">
        <f>T("COMNAVSURFPAC N41")</f>
        <v>COMNAVSURFPAC N41</v>
      </c>
      <c r="C12738" t="str">
        <f>T("2841 RENDOVA RD BLDG 11 RM 215")</f>
        <v>2841 RENDOVA RD BLDG 11 RM 215</v>
      </c>
      <c r="D12738" t="str">
        <f t="shared" si="4709"/>
        <v>SAN DIEGO</v>
      </c>
      <c r="E12738" t="str">
        <f t="shared" si="4710"/>
        <v>CA</v>
      </c>
      <c r="F12738" t="str">
        <f>T("921555490")</f>
        <v>921555490</v>
      </c>
      <c r="G12738" t="str">
        <f>T("COMNAVSURFPAC N41")</f>
        <v>COMNAVSURFPAC N41</v>
      </c>
      <c r="H12738" t="str">
        <f>T("2841 RENDOVA RD BLDG 11 RM 215")</f>
        <v>2841 RENDOVA RD BLDG 11 RM 215</v>
      </c>
      <c r="I12738" t="str">
        <f t="shared" si="4711"/>
        <v>SAN DIEGO</v>
      </c>
      <c r="J12738" t="str">
        <f t="shared" si="4712"/>
        <v>CA</v>
      </c>
      <c r="K12738" t="str">
        <f>T("619 437 2265")</f>
        <v>619 437 2265</v>
      </c>
      <c r="L12738" t="str">
        <f>T("6194372324")</f>
        <v>6194372324</v>
      </c>
    </row>
    <row r="12739" spans="1:12" x14ac:dyDescent="0.35">
      <c r="A12739" t="str">
        <f>T("COMNAVSURFPAC")</f>
        <v>COMNAVSURFPAC</v>
      </c>
      <c r="B12739" t="str">
        <f>T("COMNAVSURFPAC N41")</f>
        <v>COMNAVSURFPAC N41</v>
      </c>
      <c r="C12739" t="str">
        <f>T("2841 RENDOVA RD BLDG 11 RM 215")</f>
        <v>2841 RENDOVA RD BLDG 11 RM 215</v>
      </c>
      <c r="D12739" t="str">
        <f t="shared" si="4709"/>
        <v>SAN DIEGO</v>
      </c>
      <c r="E12739" t="str">
        <f t="shared" si="4710"/>
        <v>CA</v>
      </c>
      <c r="F12739" t="str">
        <f>T("921555490")</f>
        <v>921555490</v>
      </c>
      <c r="G12739" t="str">
        <f>T("N41")</f>
        <v>N41</v>
      </c>
      <c r="H12739" t="str">
        <f>T("2841 RENDOVA RD")</f>
        <v>2841 RENDOVA RD</v>
      </c>
      <c r="I12739" t="str">
        <f t="shared" si="4711"/>
        <v>SAN DIEGO</v>
      </c>
      <c r="J12739" t="str">
        <f t="shared" si="4712"/>
        <v>CA</v>
      </c>
      <c r="K12739" t="str">
        <f t="shared" ref="K12739:K12744" si="4713">T("000000000000000000")</f>
        <v>000000000000000000</v>
      </c>
      <c r="L12739" t="str">
        <f>T("6194372324")</f>
        <v>6194372324</v>
      </c>
    </row>
    <row r="12740" spans="1:12" x14ac:dyDescent="0.35">
      <c r="A12740" t="str">
        <f>T("SMWDC HQ")</f>
        <v>SMWDC HQ</v>
      </c>
      <c r="B12740" t="str">
        <f>T("4170 NORMAN SCOTT RD SUITE 4")</f>
        <v>4170 NORMAN SCOTT RD SUITE 4</v>
      </c>
      <c r="C12740" t="str">
        <f>T("")</f>
        <v/>
      </c>
      <c r="D12740" t="str">
        <f t="shared" si="4709"/>
        <v>SAN DIEGO</v>
      </c>
      <c r="E12740" t="str">
        <f t="shared" si="4710"/>
        <v>CA</v>
      </c>
      <c r="F12740" t="str">
        <f>T("921365029")</f>
        <v>921365029</v>
      </c>
      <c r="G12740" t="str">
        <f>T("32444 ECHO LANE BUILDING1")</f>
        <v>32444 ECHO LANE BUILDING1</v>
      </c>
      <c r="H12740" t="str">
        <f>T("")</f>
        <v/>
      </c>
      <c r="I12740" t="str">
        <f t="shared" si="4711"/>
        <v>SAN DIEGO</v>
      </c>
      <c r="J12740" t="str">
        <f t="shared" si="4712"/>
        <v>CA</v>
      </c>
      <c r="K12740" t="str">
        <f t="shared" si="4713"/>
        <v>000000000000000000</v>
      </c>
      <c r="L12740" t="str">
        <f>T("6195241068")</f>
        <v>6195241068</v>
      </c>
    </row>
    <row r="12741" spans="1:12" x14ac:dyDescent="0.35">
      <c r="A12741" t="str">
        <f>T("SMWDC HQ")</f>
        <v>SMWDC HQ</v>
      </c>
      <c r="B12741" t="str">
        <f>T("4170 NORMAN SCOTT RD SUITE 4")</f>
        <v>4170 NORMAN SCOTT RD SUITE 4</v>
      </c>
      <c r="C12741" t="str">
        <f>T("")</f>
        <v/>
      </c>
      <c r="D12741" t="str">
        <f t="shared" si="4709"/>
        <v>SAN DIEGO</v>
      </c>
      <c r="E12741" t="str">
        <f t="shared" si="4710"/>
        <v>CA</v>
      </c>
      <c r="F12741" t="str">
        <f>T("921365029")</f>
        <v>921365029</v>
      </c>
      <c r="G12741" t="str">
        <f>T("4170 NORMAN SCOTT RD SUITE 4")</f>
        <v>4170 NORMAN SCOTT RD SUITE 4</v>
      </c>
      <c r="H12741" t="str">
        <f>T("")</f>
        <v/>
      </c>
      <c r="I12741" t="str">
        <f t="shared" si="4711"/>
        <v>SAN DIEGO</v>
      </c>
      <c r="J12741" t="str">
        <f t="shared" si="4712"/>
        <v>CA</v>
      </c>
      <c r="K12741" t="str">
        <f t="shared" si="4713"/>
        <v>000000000000000000</v>
      </c>
      <c r="L12741" t="str">
        <f>T("6197676093")</f>
        <v>6197676093</v>
      </c>
    </row>
    <row r="12742" spans="1:12" x14ac:dyDescent="0.35">
      <c r="A12742" t="str">
        <f>T("SMWDC HQ")</f>
        <v>SMWDC HQ</v>
      </c>
      <c r="B12742" t="str">
        <f>T("4170 NORMAN SCOTT RD SUITE 4")</f>
        <v>4170 NORMAN SCOTT RD SUITE 4</v>
      </c>
      <c r="C12742" t="str">
        <f>T("")</f>
        <v/>
      </c>
      <c r="D12742" t="str">
        <f t="shared" si="4709"/>
        <v>SAN DIEGO</v>
      </c>
      <c r="E12742" t="str">
        <f t="shared" si="4710"/>
        <v>CA</v>
      </c>
      <c r="F12742" t="str">
        <f>T("921365029")</f>
        <v>921365029</v>
      </c>
      <c r="G12742" t="str">
        <f>T("ATTN SUPPLY OFFICER")</f>
        <v>ATTN SUPPLY OFFICER</v>
      </c>
      <c r="H12742" t="str">
        <f>T("4170 NORMAN SCOTT RD SUITE 4")</f>
        <v>4170 NORMAN SCOTT RD SUITE 4</v>
      </c>
      <c r="I12742" t="str">
        <f t="shared" si="4711"/>
        <v>SAN DIEGO</v>
      </c>
      <c r="J12742" t="str">
        <f t="shared" si="4712"/>
        <v>CA</v>
      </c>
      <c r="K12742" t="str">
        <f t="shared" si="4713"/>
        <v>000000000000000000</v>
      </c>
      <c r="L12742" t="str">
        <f>T("6197676044")</f>
        <v>6197676044</v>
      </c>
    </row>
    <row r="12743" spans="1:12" x14ac:dyDescent="0.35">
      <c r="A12743" t="str">
        <f>T("PHIBCB ONE")</f>
        <v>PHIBCB ONE</v>
      </c>
      <c r="B12743" t="str">
        <f>T("PHIBCB ONE NAB CORONADO")</f>
        <v>PHIBCB ONE NAB CORONADO</v>
      </c>
      <c r="C12743" t="str">
        <f>T("2524 ENIWETOK RD BLD 808")</f>
        <v>2524 ENIWETOK RD BLD 808</v>
      </c>
      <c r="D12743" t="str">
        <f t="shared" si="4709"/>
        <v>SAN DIEGO</v>
      </c>
      <c r="E12743" t="str">
        <f t="shared" si="4710"/>
        <v>CA</v>
      </c>
      <c r="F12743" t="str">
        <f>T("921555200")</f>
        <v>921555200</v>
      </c>
      <c r="G12743" t="str">
        <f>T("2524 ENIWETOK RD")</f>
        <v>2524 ENIWETOK RD</v>
      </c>
      <c r="H12743" t="str">
        <f>T("BLDG 808")</f>
        <v>BLDG 808</v>
      </c>
      <c r="I12743" t="str">
        <f t="shared" si="4711"/>
        <v>SAN DIEGO</v>
      </c>
      <c r="J12743" t="str">
        <f t="shared" si="4712"/>
        <v>CA</v>
      </c>
      <c r="K12743" t="str">
        <f t="shared" si="4713"/>
        <v>000000000000000000</v>
      </c>
      <c r="L12743" t="str">
        <f>T("6194372521")</f>
        <v>6194372521</v>
      </c>
    </row>
    <row r="12744" spans="1:12" x14ac:dyDescent="0.35">
      <c r="A12744" t="str">
        <f>T("PHIBCB ONE")</f>
        <v>PHIBCB ONE</v>
      </c>
      <c r="B12744" t="str">
        <f>T("PHIBCB ONE NAB CORONADO")</f>
        <v>PHIBCB ONE NAB CORONADO</v>
      </c>
      <c r="C12744" t="str">
        <f>T("2524 ENIWETOK RD BLD 808")</f>
        <v>2524 ENIWETOK RD BLD 808</v>
      </c>
      <c r="D12744" t="str">
        <f t="shared" si="4709"/>
        <v>SAN DIEGO</v>
      </c>
      <c r="E12744" t="str">
        <f t="shared" si="4710"/>
        <v>CA</v>
      </c>
      <c r="F12744" t="str">
        <f>T("921555200")</f>
        <v>921555200</v>
      </c>
      <c r="G12744" t="str">
        <f>T("ATTN SUPPLY OFFICER")</f>
        <v>ATTN SUPPLY OFFICER</v>
      </c>
      <c r="H12744" t="str">
        <f>T("2524 ENIWETOK RD BLDG 808")</f>
        <v>2524 ENIWETOK RD BLDG 808</v>
      </c>
      <c r="I12744" t="str">
        <f t="shared" si="4711"/>
        <v>SAN DIEGO</v>
      </c>
      <c r="J12744" t="str">
        <f t="shared" si="4712"/>
        <v>CA</v>
      </c>
      <c r="K12744" t="str">
        <f t="shared" si="4713"/>
        <v>000000000000000000</v>
      </c>
      <c r="L12744" t="str">
        <f>T("6194372521")</f>
        <v>6194372521</v>
      </c>
    </row>
    <row r="12745" spans="1:12" x14ac:dyDescent="0.35">
      <c r="A12745" t="str">
        <f>T("PHIBCB ONE")</f>
        <v>PHIBCB ONE</v>
      </c>
      <c r="B12745" t="str">
        <f>T("PHIBCB ONE NAB CORONADO")</f>
        <v>PHIBCB ONE NAB CORONADO</v>
      </c>
      <c r="C12745" t="str">
        <f>T("2524 ENIWETOK RD BLD 808")</f>
        <v>2524 ENIWETOK RD BLD 808</v>
      </c>
      <c r="D12745" t="str">
        <f t="shared" si="4709"/>
        <v>SAN DIEGO</v>
      </c>
      <c r="E12745" t="str">
        <f t="shared" si="4710"/>
        <v>CA</v>
      </c>
      <c r="F12745" t="str">
        <f>T("921555200")</f>
        <v>921555200</v>
      </c>
      <c r="G12745" t="str">
        <f>T("PHIBCB ONE NAB CORONADO")</f>
        <v>PHIBCB ONE NAB CORONADO</v>
      </c>
      <c r="H12745" t="str">
        <f>T("2524 ENIWETOK RD BLD 808")</f>
        <v>2524 ENIWETOK RD BLD 808</v>
      </c>
      <c r="I12745" t="str">
        <f t="shared" si="4711"/>
        <v>SAN DIEGO</v>
      </c>
      <c r="J12745" t="str">
        <f t="shared" si="4712"/>
        <v>CA</v>
      </c>
      <c r="K12745" t="str">
        <f>T("619 437 5655")</f>
        <v>619 437 5655</v>
      </c>
      <c r="L12745" t="str">
        <f>T("6194372521")</f>
        <v>6194372521</v>
      </c>
    </row>
    <row r="12746" spans="1:12" x14ac:dyDescent="0.35">
      <c r="A12746" t="str">
        <f>T("PHIBCB ONE")</f>
        <v>PHIBCB ONE</v>
      </c>
      <c r="B12746" t="str">
        <f>T("PHIBCB ONE NAB CORONADO")</f>
        <v>PHIBCB ONE NAB CORONADO</v>
      </c>
      <c r="C12746" t="str">
        <f>T("2524 ENIWETOK RD BLD 808")</f>
        <v>2524 ENIWETOK RD BLD 808</v>
      </c>
      <c r="D12746" t="str">
        <f t="shared" si="4709"/>
        <v>SAN DIEGO</v>
      </c>
      <c r="E12746" t="str">
        <f t="shared" si="4710"/>
        <v>CA</v>
      </c>
      <c r="F12746" t="str">
        <f>T("921555200")</f>
        <v>921555200</v>
      </c>
      <c r="G12746" t="str">
        <f>T("SUPPLY DEPT")</f>
        <v>SUPPLY DEPT</v>
      </c>
      <c r="H12746" t="str">
        <f>T("2524 ENIWETOK")</f>
        <v>2524 ENIWETOK</v>
      </c>
      <c r="I12746" t="str">
        <f t="shared" si="4711"/>
        <v>SAN DIEGO</v>
      </c>
      <c r="J12746" t="str">
        <f t="shared" si="4712"/>
        <v>CA</v>
      </c>
      <c r="K12746" t="str">
        <f>T("6194372496")</f>
        <v>6194372496</v>
      </c>
      <c r="L12746" t="str">
        <f>T("6194372521")</f>
        <v>6194372521</v>
      </c>
    </row>
    <row r="12747" spans="1:12" x14ac:dyDescent="0.35">
      <c r="A12747" t="str">
        <f>T("RSO PACNORWEST")</f>
        <v>RSO PACNORWEST</v>
      </c>
      <c r="B12747" t="str">
        <f>T("2000 WEST MARINE VIEW DR")</f>
        <v>2000 WEST MARINE VIEW DR</v>
      </c>
      <c r="C12747" t="str">
        <f>T("BLDG 2202 RSO PNW")</f>
        <v>BLDG 2202 RSO PNW</v>
      </c>
      <c r="D12747" t="str">
        <f>T("EVERETT")</f>
        <v>EVERETT</v>
      </c>
      <c r="E12747" t="str">
        <f>T("WA")</f>
        <v>WA</v>
      </c>
      <c r="F12747" t="str">
        <f>T("982070001")</f>
        <v>982070001</v>
      </c>
      <c r="G12747" t="str">
        <f>T("2000 WEST MARINE VIEW DR")</f>
        <v>2000 WEST MARINE VIEW DR</v>
      </c>
      <c r="H12747" t="str">
        <f>T("BLDG 2202 RSO PNW")</f>
        <v>BLDG 2202 RSO PNW</v>
      </c>
      <c r="I12747" t="str">
        <f>T("EVERETT")</f>
        <v>EVERETT</v>
      </c>
      <c r="J12747" t="str">
        <f>T("WA")</f>
        <v>WA</v>
      </c>
      <c r="K12747" t="str">
        <f>T("425 304 4649")</f>
        <v>425 304 4649</v>
      </c>
      <c r="L12747" t="str">
        <f>T("4253044673")</f>
        <v>4253044673</v>
      </c>
    </row>
    <row r="12748" spans="1:12" x14ac:dyDescent="0.35">
      <c r="A12748" t="str">
        <f>T("RSO PACNORWEST")</f>
        <v>RSO PACNORWEST</v>
      </c>
      <c r="B12748" t="str">
        <f>T("2000 WEST MARINE VIEW DR")</f>
        <v>2000 WEST MARINE VIEW DR</v>
      </c>
      <c r="C12748" t="str">
        <f>T("BLDG 2202 RSO PNW")</f>
        <v>BLDG 2202 RSO PNW</v>
      </c>
      <c r="D12748" t="str">
        <f>T("EVERETT")</f>
        <v>EVERETT</v>
      </c>
      <c r="E12748" t="str">
        <f>T("WA")</f>
        <v>WA</v>
      </c>
      <c r="F12748" t="str">
        <f>T("982070001")</f>
        <v>982070001</v>
      </c>
      <c r="G12748" t="str">
        <f>T("ATTN SUPPLY DEPT")</f>
        <v>ATTN SUPPLY DEPT</v>
      </c>
      <c r="H12748" t="str">
        <f>T("2000 WEST MARINE DRIVE")</f>
        <v>2000 WEST MARINE DRIVE</v>
      </c>
      <c r="I12748" t="str">
        <f>T("EVERETT")</f>
        <v>EVERETT</v>
      </c>
      <c r="J12748" t="str">
        <f>T("WA")</f>
        <v>WA</v>
      </c>
      <c r="K12748" t="str">
        <f>T("4253044649")</f>
        <v>4253044649</v>
      </c>
      <c r="L12748" t="str">
        <f>T("4253044638")</f>
        <v>4253044638</v>
      </c>
    </row>
    <row r="12749" spans="1:12" x14ac:dyDescent="0.35">
      <c r="A12749" t="str">
        <f t="shared" ref="A12749:B12751" si="4714">T("COMEXSTRIKGRU SEVEN")</f>
        <v>COMEXSTRIKGRU SEVEN</v>
      </c>
      <c r="B12749" t="str">
        <f t="shared" si="4714"/>
        <v>COMEXSTRIKGRU SEVEN</v>
      </c>
      <c r="C12749" t="str">
        <f>T("PSC 480 BOX 60")</f>
        <v>PSC 480 BOX 60</v>
      </c>
      <c r="D12749" t="str">
        <f>T("FPO")</f>
        <v>FPO</v>
      </c>
      <c r="E12749" t="str">
        <f>T("AP")</f>
        <v>AP</v>
      </c>
      <c r="F12749" t="str">
        <f>T("963700001")</f>
        <v>963700001</v>
      </c>
      <c r="G12749" t="str">
        <f>T("ATTN SUPPLY OFFICER")</f>
        <v>ATTN SUPPLY OFFICER</v>
      </c>
      <c r="H12749" t="str">
        <f>T("PSC 476 BOX 14")</f>
        <v>PSC 476 BOX 14</v>
      </c>
      <c r="I12749" t="str">
        <f>T("FPO")</f>
        <v>FPO</v>
      </c>
      <c r="J12749" t="str">
        <f>T("AP")</f>
        <v>AP</v>
      </c>
      <c r="K12749" t="str">
        <f>T("3156221574")</f>
        <v>3156221574</v>
      </c>
      <c r="L12749" t="str">
        <f>T("3152522268")</f>
        <v>3152522268</v>
      </c>
    </row>
    <row r="12750" spans="1:12" x14ac:dyDescent="0.35">
      <c r="A12750" t="str">
        <f t="shared" si="4714"/>
        <v>COMEXSTRIKGRU SEVEN</v>
      </c>
      <c r="B12750" t="str">
        <f t="shared" si="4714"/>
        <v>COMEXSTRIKGRU SEVEN</v>
      </c>
      <c r="C12750" t="str">
        <f>T("PSC 480 BOX 60")</f>
        <v>PSC 480 BOX 60</v>
      </c>
      <c r="D12750" t="str">
        <f>T("FPO")</f>
        <v>FPO</v>
      </c>
      <c r="E12750" t="str">
        <f>T("AP")</f>
        <v>AP</v>
      </c>
      <c r="F12750" t="str">
        <f>T("963700001")</f>
        <v>963700001</v>
      </c>
      <c r="G12750" t="str">
        <f>T("COMEXSTRIKGRU SEVEN")</f>
        <v>COMEXSTRIKGRU SEVEN</v>
      </c>
      <c r="H12750" t="str">
        <f>T("PSC 480 BOX 60")</f>
        <v>PSC 480 BOX 60</v>
      </c>
      <c r="I12750" t="str">
        <f>T("FPO")</f>
        <v>FPO</v>
      </c>
      <c r="J12750" t="str">
        <f>T("AP")</f>
        <v>AP</v>
      </c>
      <c r="K12750" t="str">
        <f>T("3156221614")</f>
        <v>3156221614</v>
      </c>
      <c r="L12750" t="str">
        <f>T("3156221656")</f>
        <v>3156221656</v>
      </c>
    </row>
    <row r="12751" spans="1:12" x14ac:dyDescent="0.35">
      <c r="A12751" t="str">
        <f t="shared" si="4714"/>
        <v>COMEXSTRIKGRU SEVEN</v>
      </c>
      <c r="B12751" t="str">
        <f t="shared" si="4714"/>
        <v>COMEXSTRIKGRU SEVEN</v>
      </c>
      <c r="C12751" t="str">
        <f>T("PSC 480 BOX 60")</f>
        <v>PSC 480 BOX 60</v>
      </c>
      <c r="D12751" t="str">
        <f>T("FPO")</f>
        <v>FPO</v>
      </c>
      <c r="E12751" t="str">
        <f>T("AP")</f>
        <v>AP</v>
      </c>
      <c r="F12751" t="str">
        <f>T("963700001")</f>
        <v>963700001</v>
      </c>
      <c r="G12751" t="str">
        <f>T("PSC 480")</f>
        <v>PSC 480</v>
      </c>
      <c r="H12751" t="str">
        <f>T("BOX 60")</f>
        <v>BOX 60</v>
      </c>
      <c r="I12751" t="str">
        <f>T("FPO")</f>
        <v>FPO</v>
      </c>
      <c r="J12751" t="str">
        <f>T("AP")</f>
        <v>AP</v>
      </c>
      <c r="K12751" t="str">
        <f>T("3156221614")</f>
        <v>3156221614</v>
      </c>
      <c r="L12751" t="str">
        <f>T("3156221643")</f>
        <v>3156221643</v>
      </c>
    </row>
    <row r="12752" spans="1:12" x14ac:dyDescent="0.35">
      <c r="A12752" t="str">
        <f>T("COMNAVSURFGRU MIDPAC")</f>
        <v>COMNAVSURFGRU MIDPAC</v>
      </c>
      <c r="B12752" t="str">
        <f>T("850 TICONDEROGA RD")</f>
        <v>850 TICONDEROGA RD</v>
      </c>
      <c r="C12752" t="str">
        <f>T("SUITE 210")</f>
        <v>SUITE 210</v>
      </c>
      <c r="D12752" t="str">
        <f>T("PEARL HARBOR")</f>
        <v>PEARL HARBOR</v>
      </c>
      <c r="E12752" t="str">
        <f>T("HI")</f>
        <v>HI</v>
      </c>
      <c r="F12752" t="str">
        <f>T("968605117")</f>
        <v>968605117</v>
      </c>
      <c r="G12752" t="str">
        <f>T("850 TICONDEROGA RD")</f>
        <v>850 TICONDEROGA RD</v>
      </c>
      <c r="H12752" t="str">
        <f>T("SUITE 210")</f>
        <v>SUITE 210</v>
      </c>
      <c r="I12752" t="str">
        <f>T("PEARL HARBOR")</f>
        <v>PEARL HARBOR</v>
      </c>
      <c r="J12752" t="str">
        <f>T("HI")</f>
        <v>HI</v>
      </c>
      <c r="K12752" t="str">
        <f>T("808473 3046")</f>
        <v>808473 3046</v>
      </c>
      <c r="L12752" t="str">
        <f>T("8084733047")</f>
        <v>8084733047</v>
      </c>
    </row>
    <row r="12753" spans="1:12" x14ac:dyDescent="0.35">
      <c r="A12753" t="str">
        <f>T("COMNAVSURFGRU MIDPAC")</f>
        <v>COMNAVSURFGRU MIDPAC</v>
      </c>
      <c r="B12753" t="str">
        <f>T("850 TICONDEROGA RD")</f>
        <v>850 TICONDEROGA RD</v>
      </c>
      <c r="C12753" t="str">
        <f>T("SUITE 210")</f>
        <v>SUITE 210</v>
      </c>
      <c r="D12753" t="str">
        <f>T("PEARL HARBOR")</f>
        <v>PEARL HARBOR</v>
      </c>
      <c r="E12753" t="str">
        <f>T("HI")</f>
        <v>HI</v>
      </c>
      <c r="F12753" t="str">
        <f>T("968605117")</f>
        <v>968605117</v>
      </c>
      <c r="G12753" t="str">
        <f>T("ATTN SUPPLY OFFICER")</f>
        <v>ATTN SUPPLY OFFICER</v>
      </c>
      <c r="H12753" t="str">
        <f>T("850")</f>
        <v>850</v>
      </c>
      <c r="I12753" t="str">
        <f>T("TICONDEROGA ST")</f>
        <v>TICONDEROGA ST</v>
      </c>
      <c r="J12753" t="str">
        <f>T("HI")</f>
        <v>HI</v>
      </c>
      <c r="K12753" t="str">
        <f>T("8084733046")</f>
        <v>8084733046</v>
      </c>
      <c r="L12753" t="str">
        <f>T("8084730692")</f>
        <v>8084730692</v>
      </c>
    </row>
    <row r="12754" spans="1:12" x14ac:dyDescent="0.35">
      <c r="A12754" t="str">
        <f>T("COMNAVSURFGRU MIDPAC")</f>
        <v>COMNAVSURFGRU MIDPAC</v>
      </c>
      <c r="B12754" t="str">
        <f>T("850 TICONDEROGA RD")</f>
        <v>850 TICONDEROGA RD</v>
      </c>
      <c r="C12754" t="str">
        <f>T("SUITE 210")</f>
        <v>SUITE 210</v>
      </c>
      <c r="D12754" t="str">
        <f>T("PEARL HARBOR")</f>
        <v>PEARL HARBOR</v>
      </c>
      <c r="E12754" t="str">
        <f>T("HI")</f>
        <v>HI</v>
      </c>
      <c r="F12754" t="str">
        <f>T("968605117")</f>
        <v>968605117</v>
      </c>
      <c r="G12754" t="str">
        <f>T("ATTN SUPPLY OFFICER")</f>
        <v>ATTN SUPPLY OFFICER</v>
      </c>
      <c r="H12754" t="str">
        <f>T("850 TICONDERGOA ST BLD 150 RM 210")</f>
        <v>850 TICONDERGOA ST BLD 150 RM 210</v>
      </c>
      <c r="I12754" t="str">
        <f>T("PEARL HARBOR")</f>
        <v>PEARL HARBOR</v>
      </c>
      <c r="J12754" t="str">
        <f>T("HI")</f>
        <v>HI</v>
      </c>
      <c r="K12754" t="str">
        <f>T("000000000000000000")</f>
        <v>000000000000000000</v>
      </c>
      <c r="L12754" t="str">
        <f>T("8084733158")</f>
        <v>8084733158</v>
      </c>
    </row>
    <row r="12755" spans="1:12" x14ac:dyDescent="0.35">
      <c r="A12755" t="str">
        <f>T("COMNAVSURFGRU MIDPAC")</f>
        <v>COMNAVSURFGRU MIDPAC</v>
      </c>
      <c r="B12755" t="str">
        <f>T("850 TICONDEROGA RD")</f>
        <v>850 TICONDEROGA RD</v>
      </c>
      <c r="C12755" t="str">
        <f>T("SUITE 210")</f>
        <v>SUITE 210</v>
      </c>
      <c r="D12755" t="str">
        <f>T("PEARL HARBOR")</f>
        <v>PEARL HARBOR</v>
      </c>
      <c r="E12755" t="str">
        <f>T("HI")</f>
        <v>HI</v>
      </c>
      <c r="F12755" t="str">
        <f>T("968605117")</f>
        <v>968605117</v>
      </c>
      <c r="G12755" t="str">
        <f>T("ATTN SUPPLY OFFICER")</f>
        <v>ATTN SUPPLY OFFICER</v>
      </c>
      <c r="H12755" t="str">
        <f>T("850 TICONDEROGA ST")</f>
        <v>850 TICONDEROGA ST</v>
      </c>
      <c r="I12755" t="str">
        <f>T("PEARL HARBOR")</f>
        <v>PEARL HARBOR</v>
      </c>
      <c r="J12755" t="str">
        <f>T("HI")</f>
        <v>HI</v>
      </c>
      <c r="K12755" t="str">
        <f>T("8084733046")</f>
        <v>8084733046</v>
      </c>
      <c r="L12755" t="str">
        <f>T("8084730692")</f>
        <v>8084730692</v>
      </c>
    </row>
    <row r="12756" spans="1:12" x14ac:dyDescent="0.35">
      <c r="A12756" t="str">
        <f>T("ASSAULT CRAFT UNIT FIVE")</f>
        <v>ASSAULT CRAFT UNIT FIVE</v>
      </c>
      <c r="B12756" t="str">
        <f>T("BLDG 31916")</f>
        <v>BLDG 31916</v>
      </c>
      <c r="C12756" t="str">
        <f>T("BOX 55561")</f>
        <v>BOX 55561</v>
      </c>
      <c r="D12756" t="str">
        <f>T("CAMP PENDLETON")</f>
        <v>CAMP PENDLETON</v>
      </c>
      <c r="E12756" t="str">
        <f>T("CA")</f>
        <v>CA</v>
      </c>
      <c r="F12756" t="str">
        <f>T("920555161")</f>
        <v>920555161</v>
      </c>
      <c r="G12756" t="str">
        <f>T("ASSAULT CRAFT UNIT FIVE")</f>
        <v>ASSAULT CRAFT UNIT FIVE</v>
      </c>
      <c r="H12756" t="str">
        <f>T("PO BOX 555161")</f>
        <v>PO BOX 555161</v>
      </c>
      <c r="I12756" t="str">
        <f>T("CAMP PENDLETON")</f>
        <v>CAMP PENDLETON</v>
      </c>
      <c r="J12756" t="str">
        <f>T("CA")</f>
        <v>CA</v>
      </c>
      <c r="K12756" t="str">
        <f>T("7607252710")</f>
        <v>7607252710</v>
      </c>
      <c r="L12756" t="str">
        <f>T("7607252280")</f>
        <v>7607252280</v>
      </c>
    </row>
    <row r="12757" spans="1:12" x14ac:dyDescent="0.35">
      <c r="A12757" t="str">
        <f>T("ASSAULT CRAFT UNIT FIVE")</f>
        <v>ASSAULT CRAFT UNIT FIVE</v>
      </c>
      <c r="B12757" t="str">
        <f>T("BLDG 31916")</f>
        <v>BLDG 31916</v>
      </c>
      <c r="C12757" t="str">
        <f>T("BOX 55561")</f>
        <v>BOX 55561</v>
      </c>
      <c r="D12757" t="str">
        <f>T("CAMP PENDLETON")</f>
        <v>CAMP PENDLETON</v>
      </c>
      <c r="E12757" t="str">
        <f>T("CA")</f>
        <v>CA</v>
      </c>
      <c r="F12757" t="str">
        <f>T("920555161")</f>
        <v>920555161</v>
      </c>
      <c r="G12757" t="str">
        <f>T("ASSAULT CRAFT UNIT FIVE")</f>
        <v>ASSAULT CRAFT UNIT FIVE</v>
      </c>
      <c r="H12757" t="str">
        <f>T("PO BOX 555161 BLDG 31916")</f>
        <v>PO BOX 555161 BLDG 31916</v>
      </c>
      <c r="I12757" t="str">
        <f>T("CAMP PENDLETON")</f>
        <v>CAMP PENDLETON</v>
      </c>
      <c r="J12757" t="str">
        <f>T("CA")</f>
        <v>CA</v>
      </c>
      <c r="K12757" t="str">
        <f>T("7607252710")</f>
        <v>7607252710</v>
      </c>
      <c r="L12757" t="str">
        <f>T("7607252280")</f>
        <v>7607252280</v>
      </c>
    </row>
    <row r="12758" spans="1:12" x14ac:dyDescent="0.35">
      <c r="A12758" t="str">
        <f>T("ASSAULT CRAFT UNIT FIVE")</f>
        <v>ASSAULT CRAFT UNIT FIVE</v>
      </c>
      <c r="B12758" t="str">
        <f>T("BLDG 31916")</f>
        <v>BLDG 31916</v>
      </c>
      <c r="C12758" t="str">
        <f>T("BOX 55561")</f>
        <v>BOX 55561</v>
      </c>
      <c r="D12758" t="str">
        <f>T("CAMP PENDLETON")</f>
        <v>CAMP PENDLETON</v>
      </c>
      <c r="E12758" t="str">
        <f>T("CA")</f>
        <v>CA</v>
      </c>
      <c r="F12758" t="str">
        <f>T("920555161")</f>
        <v>920555161</v>
      </c>
      <c r="G12758" t="str">
        <f>T("ASSAULT CRAFT UNIT FIVE")</f>
        <v>ASSAULT CRAFT UNIT FIVE</v>
      </c>
      <c r="H12758" t="str">
        <f>T("PO BOX 555161 BLDG 31916")</f>
        <v>PO BOX 555161 BLDG 31916</v>
      </c>
      <c r="I12758" t="str">
        <f>T("CAMP PENDLETON")</f>
        <v>CAMP PENDLETON</v>
      </c>
      <c r="J12758" t="str">
        <f>T("CA")</f>
        <v>CA</v>
      </c>
      <c r="K12758" t="str">
        <f>T("7607252710")</f>
        <v>7607252710</v>
      </c>
      <c r="L12758" t="str">
        <f>T("7607259243")</f>
        <v>7607259243</v>
      </c>
    </row>
    <row r="12759" spans="1:12" x14ac:dyDescent="0.35">
      <c r="A12759" t="str">
        <f>T("ASSAULT CRAFT UNIT FIVE")</f>
        <v>ASSAULT CRAFT UNIT FIVE</v>
      </c>
      <c r="B12759" t="str">
        <f>T("BLDG 31916")</f>
        <v>BLDG 31916</v>
      </c>
      <c r="C12759" t="str">
        <f>T("BOX 55561")</f>
        <v>BOX 55561</v>
      </c>
      <c r="D12759" t="str">
        <f>T("CAMP PENDLETON")</f>
        <v>CAMP PENDLETON</v>
      </c>
      <c r="E12759" t="str">
        <f>T("CA")</f>
        <v>CA</v>
      </c>
      <c r="F12759" t="str">
        <f>T("920555161")</f>
        <v>920555161</v>
      </c>
      <c r="G12759" t="str">
        <f>T("BLDG 31916")</f>
        <v>BLDG 31916</v>
      </c>
      <c r="H12759" t="str">
        <f>T("BOX 55561")</f>
        <v>BOX 55561</v>
      </c>
      <c r="I12759" t="str">
        <f>T("CAMP PENDLETON")</f>
        <v>CAMP PENDLETON</v>
      </c>
      <c r="J12759" t="str">
        <f>T("CA")</f>
        <v>CA</v>
      </c>
      <c r="K12759" t="str">
        <f>T("760 725 2710")</f>
        <v>760 725 2710</v>
      </c>
      <c r="L12759" t="str">
        <f>T("7607252280")</f>
        <v>7607252280</v>
      </c>
    </row>
    <row r="12760" spans="1:12" x14ac:dyDescent="0.35">
      <c r="A12760" t="str">
        <f>T("ASSAULT CRAFT UNIT FIVE")</f>
        <v>ASSAULT CRAFT UNIT FIVE</v>
      </c>
      <c r="B12760" t="str">
        <f>T("BLDG 31916")</f>
        <v>BLDG 31916</v>
      </c>
      <c r="C12760" t="str">
        <f>T("BOX 55561")</f>
        <v>BOX 55561</v>
      </c>
      <c r="D12760" t="str">
        <f>T("CAMP PENDLETON")</f>
        <v>CAMP PENDLETON</v>
      </c>
      <c r="E12760" t="str">
        <f>T("CA")</f>
        <v>CA</v>
      </c>
      <c r="F12760" t="str">
        <f>T("920555161")</f>
        <v>920555161</v>
      </c>
      <c r="G12760" t="str">
        <f>T("PO BOX 555464")</f>
        <v>PO BOX 555464</v>
      </c>
      <c r="H12760" t="str">
        <f>T("BLDG 31916")</f>
        <v>BLDG 31916</v>
      </c>
      <c r="I12760" t="str">
        <f>T("CAMP PENDLETON")</f>
        <v>CAMP PENDLETON</v>
      </c>
      <c r="J12760" t="str">
        <f>T("CA")</f>
        <v>CA</v>
      </c>
      <c r="K12760" t="str">
        <f>T("7607252710")</f>
        <v>7607252710</v>
      </c>
      <c r="L12760" t="str">
        <f>T("7607252340")</f>
        <v>7607252340</v>
      </c>
    </row>
    <row r="12761" spans="1:12" x14ac:dyDescent="0.35">
      <c r="A12761" t="str">
        <f>T("CCSG-11")</f>
        <v>CCSG-11</v>
      </c>
      <c r="B12761" t="str">
        <f>T("2000 WEST MARINE VIEW DR")</f>
        <v>2000 WEST MARINE VIEW DR</v>
      </c>
      <c r="C12761" t="str">
        <f>T("2133")</f>
        <v>2133</v>
      </c>
      <c r="D12761" t="str">
        <f>T("EVERETT")</f>
        <v>EVERETT</v>
      </c>
      <c r="E12761" t="str">
        <f>T("WA")</f>
        <v>WA</v>
      </c>
      <c r="F12761" t="str">
        <f>T("982070001")</f>
        <v>982070001</v>
      </c>
      <c r="G12761" t="str">
        <f>T("2000 WEST MARINE VIEW DR")</f>
        <v>2000 WEST MARINE VIEW DR</v>
      </c>
      <c r="H12761" t="str">
        <f>T("2133")</f>
        <v>2133</v>
      </c>
      <c r="I12761" t="str">
        <f>T("EVERETT")</f>
        <v>EVERETT</v>
      </c>
      <c r="J12761" t="str">
        <f>T("WA")</f>
        <v>WA</v>
      </c>
      <c r="K12761" t="str">
        <f>T("6192430943")</f>
        <v>6192430943</v>
      </c>
      <c r="L12761" t="str">
        <f>T("4253045142")</f>
        <v>4253045142</v>
      </c>
    </row>
    <row r="12762" spans="1:12" x14ac:dyDescent="0.35">
      <c r="A12762" t="str">
        <f>T("CCSG-11")</f>
        <v>CCSG-11</v>
      </c>
      <c r="B12762" t="str">
        <f>T("2000 WEST MARINE VIEW DR")</f>
        <v>2000 WEST MARINE VIEW DR</v>
      </c>
      <c r="C12762" t="str">
        <f>T("2133")</f>
        <v>2133</v>
      </c>
      <c r="D12762" t="str">
        <f>T("EVERETT")</f>
        <v>EVERETT</v>
      </c>
      <c r="E12762" t="str">
        <f>T("WA")</f>
        <v>WA</v>
      </c>
      <c r="F12762" t="str">
        <f>T("982070001")</f>
        <v>982070001</v>
      </c>
      <c r="G12762" t="str">
        <f>T("COMCARSTRKGRU 11")</f>
        <v>COMCARSTRKGRU 11</v>
      </c>
      <c r="H12762" t="str">
        <f>T("2000 W MARINE VIEW DR BLDG 2133")</f>
        <v>2000 W MARINE VIEW DR BLDG 2133</v>
      </c>
      <c r="I12762" t="str">
        <f>T("EVERETT")</f>
        <v>EVERETT</v>
      </c>
      <c r="J12762" t="str">
        <f>T("WA")</f>
        <v>WA</v>
      </c>
      <c r="K12762" t="str">
        <f>T("000000000000000000")</f>
        <v>000000000000000000</v>
      </c>
      <c r="L12762" t="str">
        <f>T("4253045142")</f>
        <v>4253045142</v>
      </c>
    </row>
    <row r="12763" spans="1:12" x14ac:dyDescent="0.35">
      <c r="A12763" t="str">
        <f>T("CCSG-11")</f>
        <v>CCSG-11</v>
      </c>
      <c r="B12763" t="str">
        <f>T("2000 WEST MARINE VIEW DR 2133")</f>
        <v>2000 WEST MARINE VIEW DR 2133</v>
      </c>
      <c r="C12763" t="str">
        <f>T("")</f>
        <v/>
      </c>
      <c r="D12763" t="str">
        <f>T("EVERETT")</f>
        <v>EVERETT</v>
      </c>
      <c r="E12763" t="str">
        <f>T("WA")</f>
        <v>WA</v>
      </c>
      <c r="F12763" t="str">
        <f>T("982070001")</f>
        <v>982070001</v>
      </c>
      <c r="G12763" t="str">
        <f>T("2000 WEST MARINE VIEW DR 2133")</f>
        <v>2000 WEST MARINE VIEW DR 2133</v>
      </c>
      <c r="H12763" t="str">
        <f>T("")</f>
        <v/>
      </c>
      <c r="I12763" t="str">
        <f>T("EVERETT")</f>
        <v>EVERETT</v>
      </c>
      <c r="J12763" t="str">
        <f>T("WA")</f>
        <v>WA</v>
      </c>
      <c r="K12763" t="str">
        <f>T("000000000000000000")</f>
        <v>000000000000000000</v>
      </c>
      <c r="L12763" t="str">
        <f>T("4253045142")</f>
        <v>4253045142</v>
      </c>
    </row>
    <row r="12764" spans="1:12" x14ac:dyDescent="0.35">
      <c r="A12764" t="str">
        <f>T("COMCARSTRKGRU 9")</f>
        <v>COMCARSTRKGRU 9</v>
      </c>
      <c r="B12764" t="str">
        <f>T("UNIT 25065")</f>
        <v>UNIT 25065</v>
      </c>
      <c r="C12764" t="str">
        <f>T("")</f>
        <v/>
      </c>
      <c r="D12764" t="str">
        <f>T("FPO")</f>
        <v>FPO</v>
      </c>
      <c r="E12764" t="str">
        <f>T("AP")</f>
        <v>AP</v>
      </c>
      <c r="F12764" t="str">
        <f>T("966014702")</f>
        <v>966014702</v>
      </c>
      <c r="G12764" t="str">
        <f>T("COMCARSTRKGRU NINE")</f>
        <v>COMCARSTRKGRU NINE</v>
      </c>
      <c r="H12764" t="str">
        <f>T("UNIT 25065")</f>
        <v>UNIT 25065</v>
      </c>
      <c r="I12764" t="str">
        <f>T("FPO")</f>
        <v>FPO</v>
      </c>
      <c r="J12764" t="str">
        <f>T("AP")</f>
        <v>AP</v>
      </c>
      <c r="K12764" t="str">
        <f>T("000000000000000000")</f>
        <v>000000000000000000</v>
      </c>
      <c r="L12764" t="str">
        <f>T("6195539250")</f>
        <v>6195539250</v>
      </c>
    </row>
    <row r="12765" spans="1:12" x14ac:dyDescent="0.35">
      <c r="A12765" t="str">
        <f>T("COMCARSTRKGRU 9")</f>
        <v>COMCARSTRKGRU 9</v>
      </c>
      <c r="B12765" t="str">
        <f>T("UNIT 25065")</f>
        <v>UNIT 25065</v>
      </c>
      <c r="C12765" t="str">
        <f>T("")</f>
        <v/>
      </c>
      <c r="D12765" t="str">
        <f>T("FPO")</f>
        <v>FPO</v>
      </c>
      <c r="E12765" t="str">
        <f>T("AP")</f>
        <v>AP</v>
      </c>
      <c r="F12765" t="str">
        <f>T("966014702")</f>
        <v>966014702</v>
      </c>
      <c r="G12765" t="str">
        <f>T("SUPPLY DEPT")</f>
        <v>SUPPLY DEPT</v>
      </c>
      <c r="H12765" t="str">
        <f>T("UNIT 25065")</f>
        <v>UNIT 25065</v>
      </c>
      <c r="I12765" t="str">
        <f>T("FPO")</f>
        <v>FPO</v>
      </c>
      <c r="J12765" t="str">
        <f>T("AP")</f>
        <v>AP</v>
      </c>
      <c r="K12765" t="str">
        <f>T("000000000000000000")</f>
        <v>000000000000000000</v>
      </c>
      <c r="L12765" t="str">
        <f>T("6195455657")</f>
        <v>6195455657</v>
      </c>
    </row>
    <row r="12766" spans="1:12" x14ac:dyDescent="0.35">
      <c r="A12766" t="str">
        <f>T("COMCARSTRKGRU 9")</f>
        <v>COMCARSTRKGRU 9</v>
      </c>
      <c r="B12766" t="str">
        <f>T("UNIT 25065")</f>
        <v>UNIT 25065</v>
      </c>
      <c r="C12766" t="str">
        <f>T("")</f>
        <v/>
      </c>
      <c r="D12766" t="str">
        <f>T("FPO")</f>
        <v>FPO</v>
      </c>
      <c r="E12766" t="str">
        <f>T("AP")</f>
        <v>AP</v>
      </c>
      <c r="F12766" t="str">
        <f>T("966014702")</f>
        <v>966014702</v>
      </c>
      <c r="G12766" t="str">
        <f>T("UNIT 25065")</f>
        <v>UNIT 25065</v>
      </c>
      <c r="H12766" t="str">
        <f>T("")</f>
        <v/>
      </c>
      <c r="I12766" t="str">
        <f>T("FPO")</f>
        <v>FPO</v>
      </c>
      <c r="J12766" t="str">
        <f>T("AP")</f>
        <v>AP</v>
      </c>
      <c r="K12766" t="str">
        <f>T("425 304 5131")</f>
        <v>425 304 5131</v>
      </c>
      <c r="L12766" t="str">
        <f>T("6195455657")</f>
        <v>6195455657</v>
      </c>
    </row>
    <row r="12767" spans="1:12" x14ac:dyDescent="0.35">
      <c r="A12767" t="str">
        <f>T("USS BLUE RIDGE LCC 19")</f>
        <v>USS BLUE RIDGE LCC 19</v>
      </c>
      <c r="B12767" t="str">
        <f>T("USS BLUE RIDGE LCC-19")</f>
        <v>USS BLUE RIDGE LCC-19</v>
      </c>
      <c r="C12767" t="str">
        <f>T("UNIT 100102 BOX 1")</f>
        <v>UNIT 100102 BOX 1</v>
      </c>
      <c r="D12767" t="str">
        <f>T("FPO")</f>
        <v>FPO</v>
      </c>
      <c r="E12767" t="str">
        <f>T("AP")</f>
        <v>AP</v>
      </c>
      <c r="F12767" t="str">
        <f>T("966280200")</f>
        <v>966280200</v>
      </c>
      <c r="G12767" t="str">
        <f>T("ATTN SUPPLY OFFICER")</f>
        <v>ATTN SUPPLY OFFICER</v>
      </c>
      <c r="H12767" t="str">
        <f>T("UNIT 100102 BOX 1")</f>
        <v>UNIT 100102 BOX 1</v>
      </c>
      <c r="I12767" t="str">
        <f>T("FPO")</f>
        <v>FPO</v>
      </c>
      <c r="J12767" t="str">
        <f>T("AP")</f>
        <v>AP</v>
      </c>
      <c r="K12767" t="str">
        <f>T("000000000000000000")</f>
        <v>000000000000000000</v>
      </c>
      <c r="L12767" t="str">
        <f>T("3152436600")</f>
        <v>3152436600</v>
      </c>
    </row>
    <row r="12768" spans="1:12" x14ac:dyDescent="0.35">
      <c r="A12768" t="str">
        <f>T("USS BLUE RIDGE LCC 19")</f>
        <v>USS BLUE RIDGE LCC 19</v>
      </c>
      <c r="B12768" t="str">
        <f>T("USS BLUE RIDGE LCC-19")</f>
        <v>USS BLUE RIDGE LCC-19</v>
      </c>
      <c r="C12768" t="str">
        <f>T("UNIT 100102 BOX 1")</f>
        <v>UNIT 100102 BOX 1</v>
      </c>
      <c r="D12768" t="str">
        <f>T("FPO")</f>
        <v>FPO</v>
      </c>
      <c r="E12768" t="str">
        <f>T("AP")</f>
        <v>AP</v>
      </c>
      <c r="F12768" t="str">
        <f>T("966280200")</f>
        <v>966280200</v>
      </c>
      <c r="G12768" t="str">
        <f>T("USS BLUE RIDGE LCC-19")</f>
        <v>USS BLUE RIDGE LCC-19</v>
      </c>
      <c r="H12768" t="str">
        <f>T("UNIT 100102 BOX 1")</f>
        <v>UNIT 100102 BOX 1</v>
      </c>
      <c r="I12768" t="str">
        <f>T("FPO")</f>
        <v>FPO</v>
      </c>
      <c r="J12768" t="str">
        <f>T("AP")</f>
        <v>AP</v>
      </c>
      <c r="K12768" t="str">
        <f>T("011810468169004")</f>
        <v>011810468169004</v>
      </c>
      <c r="L12768" t="str">
        <f>T("3152437704")</f>
        <v>3152437704</v>
      </c>
    </row>
    <row r="12769" spans="1:12" x14ac:dyDescent="0.35">
      <c r="A12769" t="str">
        <f>T("AFLOAT TRAINING GRP PAC")</f>
        <v>AFLOAT TRAINING GRP PAC</v>
      </c>
      <c r="B12769" t="str">
        <f>T("ATGPAC")</f>
        <v>ATGPAC</v>
      </c>
      <c r="C12769" t="str">
        <f>T("3455 STURTEVANT ST BLDG 58")</f>
        <v>3455 STURTEVANT ST BLDG 58</v>
      </c>
      <c r="D12769" t="str">
        <f>T("SAN DIEGO")</f>
        <v>SAN DIEGO</v>
      </c>
      <c r="E12769" t="str">
        <f>T("CA")</f>
        <v>CA</v>
      </c>
      <c r="F12769" t="str">
        <f>T("921365035")</f>
        <v>921365035</v>
      </c>
      <c r="G12769" t="str">
        <f>T("3455 STURTEVANT ST")</f>
        <v>3455 STURTEVANT ST</v>
      </c>
      <c r="H12769" t="str">
        <f>T("BLDG 58 SUITE 1")</f>
        <v>BLDG 58 SUITE 1</v>
      </c>
      <c r="I12769" t="str">
        <f>T("SAN DIEGO")</f>
        <v>SAN DIEGO</v>
      </c>
      <c r="J12769" t="str">
        <f>T("CA")</f>
        <v>CA</v>
      </c>
      <c r="K12769" t="str">
        <f>T("6195560887")</f>
        <v>6195560887</v>
      </c>
      <c r="L12769" t="str">
        <f>T("6195560107")</f>
        <v>6195560107</v>
      </c>
    </row>
    <row r="12770" spans="1:12" x14ac:dyDescent="0.35">
      <c r="A12770" t="str">
        <f>T("AFLOAT TRAINING GRP PAC")</f>
        <v>AFLOAT TRAINING GRP PAC</v>
      </c>
      <c r="B12770" t="str">
        <f>T("ATGPAC")</f>
        <v>ATGPAC</v>
      </c>
      <c r="C12770" t="str">
        <f>T("3455 STURTEVANT ST BLDG 58")</f>
        <v>3455 STURTEVANT ST BLDG 58</v>
      </c>
      <c r="D12770" t="str">
        <f>T("SAN DIEGO")</f>
        <v>SAN DIEGO</v>
      </c>
      <c r="E12770" t="str">
        <f>T("CA")</f>
        <v>CA</v>
      </c>
      <c r="F12770" t="str">
        <f>T("921365035")</f>
        <v>921365035</v>
      </c>
      <c r="G12770" t="str">
        <f>T("ATGPAC")</f>
        <v>ATGPAC</v>
      </c>
      <c r="H12770" t="str">
        <f>T("3455 STURTEVANT ST BLDG 58")</f>
        <v>3455 STURTEVANT ST BLDG 58</v>
      </c>
      <c r="I12770" t="str">
        <f>T("SAN DIEGO")</f>
        <v>SAN DIEGO</v>
      </c>
      <c r="J12770" t="str">
        <f>T("CA")</f>
        <v>CA</v>
      </c>
      <c r="K12770" t="str">
        <f>T("6195560887")</f>
        <v>6195560887</v>
      </c>
      <c r="L12770" t="str">
        <f>T("6195569308")</f>
        <v>6195569308</v>
      </c>
    </row>
    <row r="12771" spans="1:12" x14ac:dyDescent="0.35">
      <c r="A12771" t="str">
        <f t="shared" ref="A12771:B12774" si="4715">T("ATG MIDPAC")</f>
        <v>ATG MIDPAC</v>
      </c>
      <c r="B12771" t="str">
        <f t="shared" si="4715"/>
        <v>ATG MIDPAC</v>
      </c>
      <c r="C12771" t="str">
        <f>T("226 LEXINGTON BLVD")</f>
        <v>226 LEXINGTON BLVD</v>
      </c>
      <c r="D12771" t="str">
        <f>T("PEARL HARBOR")</f>
        <v>PEARL HARBOR</v>
      </c>
      <c r="E12771" t="str">
        <f>T("HI")</f>
        <v>HI</v>
      </c>
      <c r="F12771" t="str">
        <f>T("968605807")</f>
        <v>968605807</v>
      </c>
      <c r="G12771" t="str">
        <f>T("226 LEXINGTON BLVD")</f>
        <v>226 LEXINGTON BLVD</v>
      </c>
      <c r="H12771" t="str">
        <f>T("")</f>
        <v/>
      </c>
      <c r="I12771" t="str">
        <f>T("PEARL HARBOR")</f>
        <v>PEARL HARBOR</v>
      </c>
      <c r="J12771" t="str">
        <f>T("HI")</f>
        <v>HI</v>
      </c>
      <c r="K12771" t="str">
        <f>T("8084725940")</f>
        <v>8084725940</v>
      </c>
      <c r="L12771" t="str">
        <f>T("8084728881")</f>
        <v>8084728881</v>
      </c>
    </row>
    <row r="12772" spans="1:12" x14ac:dyDescent="0.35">
      <c r="A12772" t="str">
        <f t="shared" si="4715"/>
        <v>ATG MIDPAC</v>
      </c>
      <c r="B12772" t="str">
        <f t="shared" si="4715"/>
        <v>ATG MIDPAC</v>
      </c>
      <c r="C12772" t="str">
        <f>T("226 LEXINGTON BLVD")</f>
        <v>226 LEXINGTON BLVD</v>
      </c>
      <c r="D12772" t="str">
        <f>T("PEARL HARBOR")</f>
        <v>PEARL HARBOR</v>
      </c>
      <c r="E12772" t="str">
        <f>T("HI")</f>
        <v>HI</v>
      </c>
      <c r="F12772" t="str">
        <f>T("968605807")</f>
        <v>968605807</v>
      </c>
      <c r="G12772" t="str">
        <f>T("226 LEXINGTON BLVD")</f>
        <v>226 LEXINGTON BLVD</v>
      </c>
      <c r="H12772" t="str">
        <f>T("")</f>
        <v/>
      </c>
      <c r="I12772" t="str">
        <f>T("PEARL HARBOR")</f>
        <v>PEARL HARBOR</v>
      </c>
      <c r="J12772" t="str">
        <f>T("HI")</f>
        <v>HI</v>
      </c>
      <c r="K12772" t="str">
        <f>T("8084728881346")</f>
        <v>8084728881346</v>
      </c>
      <c r="L12772" t="str">
        <f>T("1111111111")</f>
        <v>1111111111</v>
      </c>
    </row>
    <row r="12773" spans="1:12" x14ac:dyDescent="0.35">
      <c r="A12773" t="str">
        <f t="shared" si="4715"/>
        <v>ATG MIDPAC</v>
      </c>
      <c r="B12773" t="str">
        <f t="shared" si="4715"/>
        <v>ATG MIDPAC</v>
      </c>
      <c r="C12773" t="str">
        <f>T("226 LEXINGTON BLVD")</f>
        <v>226 LEXINGTON BLVD</v>
      </c>
      <c r="D12773" t="str">
        <f>T("PEARL HARBOR")</f>
        <v>PEARL HARBOR</v>
      </c>
      <c r="E12773" t="str">
        <f>T("HI")</f>
        <v>HI</v>
      </c>
      <c r="F12773" t="str">
        <f>T("968605807")</f>
        <v>968605807</v>
      </c>
      <c r="G12773" t="str">
        <f>T("ATG MID PAC")</f>
        <v>ATG MID PAC</v>
      </c>
      <c r="H12773" t="str">
        <f>T("226 LEXINGTON BLVD")</f>
        <v>226 LEXINGTON BLVD</v>
      </c>
      <c r="I12773" t="str">
        <f>T("PEARL HARBOR")</f>
        <v>PEARL HARBOR</v>
      </c>
      <c r="J12773" t="str">
        <f>T("HI")</f>
        <v>HI</v>
      </c>
      <c r="K12773" t="str">
        <f>T("000000000000000000")</f>
        <v>000000000000000000</v>
      </c>
      <c r="L12773" t="str">
        <f>T("8084728881")</f>
        <v>8084728881</v>
      </c>
    </row>
    <row r="12774" spans="1:12" x14ac:dyDescent="0.35">
      <c r="A12774" t="str">
        <f t="shared" si="4715"/>
        <v>ATG MIDPAC</v>
      </c>
      <c r="B12774" t="str">
        <f t="shared" si="4715"/>
        <v>ATG MIDPAC</v>
      </c>
      <c r="C12774" t="str">
        <f>T("226 LEXINGTON BLVD")</f>
        <v>226 LEXINGTON BLVD</v>
      </c>
      <c r="D12774" t="str">
        <f>T("PEARL HARBOR")</f>
        <v>PEARL HARBOR</v>
      </c>
      <c r="E12774" t="str">
        <f>T("HI")</f>
        <v>HI</v>
      </c>
      <c r="F12774" t="str">
        <f>T("968605807")</f>
        <v>968605807</v>
      </c>
      <c r="G12774" t="str">
        <f>T("ATG MIDPAC")</f>
        <v>ATG MIDPAC</v>
      </c>
      <c r="H12774" t="str">
        <f>T("226 LEXINGTON BLVD")</f>
        <v>226 LEXINGTON BLVD</v>
      </c>
      <c r="I12774" t="str">
        <f>T("PEARL HARBOR")</f>
        <v>PEARL HARBOR</v>
      </c>
      <c r="J12774" t="str">
        <f>T("HI")</f>
        <v>HI</v>
      </c>
      <c r="K12774" t="str">
        <f>T("")</f>
        <v/>
      </c>
      <c r="L12774" t="str">
        <f>T("8084728811")</f>
        <v>8084728811</v>
      </c>
    </row>
    <row r="12775" spans="1:12" x14ac:dyDescent="0.35">
      <c r="A12775" t="str">
        <f>T("ATGWESTPAC")</f>
        <v>ATGWESTPAC</v>
      </c>
      <c r="B12775" t="str">
        <f>T("COMAFLOATRAGRU WESTPAC")</f>
        <v>COMAFLOATRAGRU WESTPAC</v>
      </c>
      <c r="C12775" t="str">
        <f>T("PSC 473 BOX 16C")</f>
        <v>PSC 473 BOX 16C</v>
      </c>
      <c r="D12775" t="str">
        <f>T("FPO")</f>
        <v>FPO</v>
      </c>
      <c r="E12775" t="str">
        <f>T("AP")</f>
        <v>AP</v>
      </c>
      <c r="F12775" t="str">
        <f>T("963490001")</f>
        <v>963490001</v>
      </c>
      <c r="G12775" t="str">
        <f>T("AFLOATRAGRUWESTPAC")</f>
        <v>AFLOATRAGRUWESTPAC</v>
      </c>
      <c r="H12775" t="str">
        <f>T("PSC 473 BOX 79")</f>
        <v>PSC 473 BOX 79</v>
      </c>
      <c r="I12775" t="str">
        <f>T("FPO")</f>
        <v>FPO</v>
      </c>
      <c r="J12775" t="str">
        <f>T("AP")</f>
        <v>AP</v>
      </c>
      <c r="K12775" t="str">
        <f>T("000000000000000000")</f>
        <v>000000000000000000</v>
      </c>
      <c r="L12775" t="str">
        <f>T("3152523916")</f>
        <v>3152523916</v>
      </c>
    </row>
    <row r="12776" spans="1:12" x14ac:dyDescent="0.35">
      <c r="A12776" t="str">
        <f>T("ATGWESTPAC")</f>
        <v>ATGWESTPAC</v>
      </c>
      <c r="B12776" t="str">
        <f>T("COMAFLOATRAGRU WESTPAC")</f>
        <v>COMAFLOATRAGRU WESTPAC</v>
      </c>
      <c r="C12776" t="str">
        <f>T("PSC 473 BOX 16C")</f>
        <v>PSC 473 BOX 16C</v>
      </c>
      <c r="D12776" t="str">
        <f>T("FPO")</f>
        <v>FPO</v>
      </c>
      <c r="E12776" t="str">
        <f>T("AP")</f>
        <v>AP</v>
      </c>
      <c r="F12776" t="str">
        <f>T("963490001")</f>
        <v>963490001</v>
      </c>
      <c r="G12776" t="str">
        <f>T("COMAFLOATRAGRU WESTPAC")</f>
        <v>COMAFLOATRAGRU WESTPAC</v>
      </c>
      <c r="H12776" t="str">
        <f>T("PSC 473 BOX 16C")</f>
        <v>PSC 473 BOX 16C</v>
      </c>
      <c r="I12776" t="str">
        <f>T("FPO")</f>
        <v>FPO</v>
      </c>
      <c r="J12776" t="str">
        <f>T("AP")</f>
        <v>AP</v>
      </c>
      <c r="K12776" t="str">
        <f>T("3117436100")</f>
        <v>3117436100</v>
      </c>
      <c r="L12776" t="str">
        <f>T("3152433382")</f>
        <v>3152433382</v>
      </c>
    </row>
    <row r="12777" spans="1:12" x14ac:dyDescent="0.35">
      <c r="A12777" t="str">
        <f>T("ATGWESTPAC")</f>
        <v>ATGWESTPAC</v>
      </c>
      <c r="B12777" t="str">
        <f>T("COMAFLOATRAGRU WESTPAC")</f>
        <v>COMAFLOATRAGRU WESTPAC</v>
      </c>
      <c r="C12777" t="str">
        <f>T("PSC 473 BOX 16C")</f>
        <v>PSC 473 BOX 16C</v>
      </c>
      <c r="D12777" t="str">
        <f>T("FPO")</f>
        <v>FPO</v>
      </c>
      <c r="E12777" t="str">
        <f>T("AP")</f>
        <v>AP</v>
      </c>
      <c r="F12777" t="str">
        <f>T("963490001")</f>
        <v>963490001</v>
      </c>
      <c r="G12777" t="str">
        <f>T("PSC 473")</f>
        <v>PSC 473</v>
      </c>
      <c r="H12777" t="str">
        <f>T("BOX 16")</f>
        <v>BOX 16</v>
      </c>
      <c r="I12777" t="str">
        <f>T("FPO")</f>
        <v>FPO</v>
      </c>
      <c r="J12777" t="str">
        <f>T("AP")</f>
        <v>AP</v>
      </c>
      <c r="K12777" t="str">
        <f>T("000000000000000000")</f>
        <v>000000000000000000</v>
      </c>
      <c r="L12777" t="str">
        <f>T("3152436203")</f>
        <v>3152436203</v>
      </c>
    </row>
    <row r="12778" spans="1:12" x14ac:dyDescent="0.35">
      <c r="A12778" t="str">
        <f>T("ATGWESTPAC")</f>
        <v>ATGWESTPAC</v>
      </c>
      <c r="B12778" t="str">
        <f>T("COMAFLOATRAGRU WESTPAC")</f>
        <v>COMAFLOATRAGRU WESTPAC</v>
      </c>
      <c r="C12778" t="str">
        <f>T("PSC 473 BOX 16C")</f>
        <v>PSC 473 BOX 16C</v>
      </c>
      <c r="D12778" t="str">
        <f>T("FPO")</f>
        <v>FPO</v>
      </c>
      <c r="E12778" t="str">
        <f>T("AP")</f>
        <v>AP</v>
      </c>
      <c r="F12778" t="str">
        <f>T("963490001")</f>
        <v>963490001</v>
      </c>
      <c r="G12778" t="str">
        <f>T("PSC 473 BOX 16")</f>
        <v>PSC 473 BOX 16</v>
      </c>
      <c r="H12778" t="str">
        <f>T("")</f>
        <v/>
      </c>
      <c r="I12778" t="str">
        <f>T("FPO")</f>
        <v>FPO</v>
      </c>
      <c r="J12778" t="str">
        <f>T("AP")</f>
        <v>AP</v>
      </c>
      <c r="K12778" t="str">
        <f>T("3152436100")</f>
        <v>3152436100</v>
      </c>
      <c r="L12778" t="str">
        <f>T("3152438819")</f>
        <v>3152438819</v>
      </c>
    </row>
    <row r="12779" spans="1:12" x14ac:dyDescent="0.35">
      <c r="A12779" t="str">
        <f>T("COMNAVBEACHGRU ONE")</f>
        <v>COMNAVBEACHGRU ONE</v>
      </c>
      <c r="B12779" t="str">
        <f>T("SUPPLY DEPT")</f>
        <v>SUPPLY DEPT</v>
      </c>
      <c r="C12779" t="str">
        <f>T("3600 TARAWA ROAD BLDG 149")</f>
        <v>3600 TARAWA ROAD BLDG 149</v>
      </c>
      <c r="D12779" t="str">
        <f t="shared" ref="D12779:D12809" si="4716">T("SAN DIEGO")</f>
        <v>SAN DIEGO</v>
      </c>
      <c r="E12779" t="str">
        <f t="shared" ref="E12779:E12809" si="4717">T("CA")</f>
        <v>CA</v>
      </c>
      <c r="F12779" t="str">
        <f>T("921555592")</f>
        <v>921555592</v>
      </c>
      <c r="G12779" t="str">
        <f>T("ATTN SUPPLY OFFICER")</f>
        <v>ATTN SUPPLY OFFICER</v>
      </c>
      <c r="H12779" t="str">
        <f>T("3600 TARAWA RD BLD 149")</f>
        <v>3600 TARAWA RD BLD 149</v>
      </c>
      <c r="I12779" t="str">
        <f t="shared" ref="I12779:I12809" si="4718">T("SAN DIEGO")</f>
        <v>SAN DIEGO</v>
      </c>
      <c r="J12779" t="str">
        <f t="shared" ref="J12779:J12809" si="4719">T("CA")</f>
        <v>CA</v>
      </c>
      <c r="K12779" t="str">
        <f>T("6194372391")</f>
        <v>6194372391</v>
      </c>
      <c r="L12779" t="str">
        <f>T("6194375761")</f>
        <v>6194375761</v>
      </c>
    </row>
    <row r="12780" spans="1:12" x14ac:dyDescent="0.35">
      <c r="A12780" t="str">
        <f>T("COMNAVBEACHGRU ONE")</f>
        <v>COMNAVBEACHGRU ONE</v>
      </c>
      <c r="B12780" t="str">
        <f>T("SUPPLY DEPT")</f>
        <v>SUPPLY DEPT</v>
      </c>
      <c r="C12780" t="str">
        <f>T("3600 TARAWA ROAD BLDG 149")</f>
        <v>3600 TARAWA ROAD BLDG 149</v>
      </c>
      <c r="D12780" t="str">
        <f t="shared" si="4716"/>
        <v>SAN DIEGO</v>
      </c>
      <c r="E12780" t="str">
        <f t="shared" si="4717"/>
        <v>CA</v>
      </c>
      <c r="F12780" t="str">
        <f>T("921555592")</f>
        <v>921555592</v>
      </c>
      <c r="G12780" t="str">
        <f>T("ATTN SUPPLY OFFICER")</f>
        <v>ATTN SUPPLY OFFICER</v>
      </c>
      <c r="H12780" t="str">
        <f>T("3600 TARAWA RD BLDG 149")</f>
        <v>3600 TARAWA RD BLDG 149</v>
      </c>
      <c r="I12780" t="str">
        <f t="shared" si="4718"/>
        <v>SAN DIEGO</v>
      </c>
      <c r="J12780" t="str">
        <f t="shared" si="4719"/>
        <v>CA</v>
      </c>
      <c r="K12780" t="str">
        <f>T("6194372391")</f>
        <v>6194372391</v>
      </c>
      <c r="L12780" t="str">
        <f>T("6194375761")</f>
        <v>6194375761</v>
      </c>
    </row>
    <row r="12781" spans="1:12" x14ac:dyDescent="0.35">
      <c r="A12781" t="str">
        <f>T("COMNAVBEACHGRU ONE")</f>
        <v>COMNAVBEACHGRU ONE</v>
      </c>
      <c r="B12781" t="str">
        <f>T("SUPPLY DEPT")</f>
        <v>SUPPLY DEPT</v>
      </c>
      <c r="C12781" t="str">
        <f>T("3600 TARAWA ROAD BLDG 149")</f>
        <v>3600 TARAWA ROAD BLDG 149</v>
      </c>
      <c r="D12781" t="str">
        <f t="shared" si="4716"/>
        <v>SAN DIEGO</v>
      </c>
      <c r="E12781" t="str">
        <f t="shared" si="4717"/>
        <v>CA</v>
      </c>
      <c r="F12781" t="str">
        <f>T("921555592")</f>
        <v>921555592</v>
      </c>
      <c r="G12781" t="str">
        <f>T("SUPPLY DEPT")</f>
        <v>SUPPLY DEPT</v>
      </c>
      <c r="H12781" t="str">
        <f>T("3600 TARAWA ROAD BLDG 149")</f>
        <v>3600 TARAWA ROAD BLDG 149</v>
      </c>
      <c r="I12781" t="str">
        <f t="shared" si="4718"/>
        <v>SAN DIEGO</v>
      </c>
      <c r="J12781" t="str">
        <f t="shared" si="4719"/>
        <v>CA</v>
      </c>
      <c r="K12781" t="str">
        <f>T("6194372391")</f>
        <v>6194372391</v>
      </c>
      <c r="L12781" t="str">
        <f>T("6194375761")</f>
        <v>6194375761</v>
      </c>
    </row>
    <row r="12782" spans="1:12" x14ac:dyDescent="0.35">
      <c r="A12782" t="str">
        <f t="shared" ref="A12782:B12785" si="4720">T("COMEXSTRIKGRU THREE")</f>
        <v>COMEXSTRIKGRU THREE</v>
      </c>
      <c r="B12782" t="str">
        <f t="shared" si="4720"/>
        <v>COMEXSTRIKGRU THREE</v>
      </c>
      <c r="C12782" t="str">
        <f>T("3205 SENN RD BLD 73")</f>
        <v>3205 SENN RD BLD 73</v>
      </c>
      <c r="D12782" t="str">
        <f t="shared" si="4716"/>
        <v>SAN DIEGO</v>
      </c>
      <c r="E12782" t="str">
        <f t="shared" si="4717"/>
        <v>CA</v>
      </c>
      <c r="F12782" t="str">
        <f>T("921365090")</f>
        <v>921365090</v>
      </c>
      <c r="G12782" t="str">
        <f>T("3205 SENN ROAD")</f>
        <v>3205 SENN ROAD</v>
      </c>
      <c r="H12782" t="str">
        <f>T("")</f>
        <v/>
      </c>
      <c r="I12782" t="str">
        <f t="shared" si="4718"/>
        <v>SAN DIEGO</v>
      </c>
      <c r="J12782" t="str">
        <f t="shared" si="4719"/>
        <v>CA</v>
      </c>
      <c r="K12782" t="str">
        <f>T("6195563073")</f>
        <v>6195563073</v>
      </c>
      <c r="L12782" t="str">
        <f>T("6195561469")</f>
        <v>6195561469</v>
      </c>
    </row>
    <row r="12783" spans="1:12" x14ac:dyDescent="0.35">
      <c r="A12783" t="str">
        <f t="shared" si="4720"/>
        <v>COMEXSTRIKGRU THREE</v>
      </c>
      <c r="B12783" t="str">
        <f t="shared" si="4720"/>
        <v>COMEXSTRIKGRU THREE</v>
      </c>
      <c r="C12783" t="str">
        <f>T("3205 SENN RD BLD 73")</f>
        <v>3205 SENN RD BLD 73</v>
      </c>
      <c r="D12783" t="str">
        <f t="shared" si="4716"/>
        <v>SAN DIEGO</v>
      </c>
      <c r="E12783" t="str">
        <f t="shared" si="4717"/>
        <v>CA</v>
      </c>
      <c r="F12783" t="str">
        <f>T("921365090")</f>
        <v>921365090</v>
      </c>
      <c r="G12783" t="str">
        <f>T("3205 SENN ROAD BLDG 73")</f>
        <v>3205 SENN ROAD BLDG 73</v>
      </c>
      <c r="H12783" t="str">
        <f>T("")</f>
        <v/>
      </c>
      <c r="I12783" t="str">
        <f t="shared" si="4718"/>
        <v>SAN DIEGO</v>
      </c>
      <c r="J12783" t="str">
        <f t="shared" si="4719"/>
        <v>CA</v>
      </c>
      <c r="K12783" t="str">
        <f>T("000000000000000000")</f>
        <v>000000000000000000</v>
      </c>
      <c r="L12783" t="str">
        <f>T("6195561436")</f>
        <v>6195561436</v>
      </c>
    </row>
    <row r="12784" spans="1:12" x14ac:dyDescent="0.35">
      <c r="A12784" t="str">
        <f t="shared" si="4720"/>
        <v>COMEXSTRIKGRU THREE</v>
      </c>
      <c r="B12784" t="str">
        <f t="shared" si="4720"/>
        <v>COMEXSTRIKGRU THREE</v>
      </c>
      <c r="C12784" t="str">
        <f>T("3205 SENN RD BLD 73")</f>
        <v>3205 SENN RD BLD 73</v>
      </c>
      <c r="D12784" t="str">
        <f t="shared" si="4716"/>
        <v>SAN DIEGO</v>
      </c>
      <c r="E12784" t="str">
        <f t="shared" si="4717"/>
        <v>CA</v>
      </c>
      <c r="F12784" t="str">
        <f>T("921365090")</f>
        <v>921365090</v>
      </c>
      <c r="G12784" t="str">
        <f>T("COMEXSTRIKGRU THREE")</f>
        <v>COMEXSTRIKGRU THREE</v>
      </c>
      <c r="H12784" t="str">
        <f>T("3205 SENN RD BLD 73")</f>
        <v>3205 SENN RD BLD 73</v>
      </c>
      <c r="I12784" t="str">
        <f t="shared" si="4718"/>
        <v>SAN DIEGO</v>
      </c>
      <c r="J12784" t="str">
        <f t="shared" si="4719"/>
        <v>CA</v>
      </c>
      <c r="K12784" t="str">
        <f>T("6195563073")</f>
        <v>6195563073</v>
      </c>
      <c r="L12784" t="str">
        <f>T("6195563573")</f>
        <v>6195563573</v>
      </c>
    </row>
    <row r="12785" spans="1:12" x14ac:dyDescent="0.35">
      <c r="A12785" t="str">
        <f t="shared" si="4720"/>
        <v>COMEXSTRIKGRU THREE</v>
      </c>
      <c r="B12785" t="str">
        <f t="shared" si="4720"/>
        <v>COMEXSTRIKGRU THREE</v>
      </c>
      <c r="C12785" t="str">
        <f>T("3205 SENN RD BLD 73")</f>
        <v>3205 SENN RD BLD 73</v>
      </c>
      <c r="D12785" t="str">
        <f t="shared" si="4716"/>
        <v>SAN DIEGO</v>
      </c>
      <c r="E12785" t="str">
        <f t="shared" si="4717"/>
        <v>CA</v>
      </c>
      <c r="F12785" t="str">
        <f>T("921365090")</f>
        <v>921365090</v>
      </c>
      <c r="G12785" t="str">
        <f>T("COMEXSTRIKGRU THREE")</f>
        <v>COMEXSTRIKGRU THREE</v>
      </c>
      <c r="H12785" t="str">
        <f>T("3205 SENN ROAD")</f>
        <v>3205 SENN ROAD</v>
      </c>
      <c r="I12785" t="str">
        <f t="shared" si="4718"/>
        <v>SAN DIEGO</v>
      </c>
      <c r="J12785" t="str">
        <f t="shared" si="4719"/>
        <v>CA</v>
      </c>
      <c r="K12785" t="str">
        <f>T("6195563073")</f>
        <v>6195563073</v>
      </c>
      <c r="L12785" t="str">
        <f>T("6195563598")</f>
        <v>6195563598</v>
      </c>
    </row>
    <row r="12786" spans="1:12" x14ac:dyDescent="0.35">
      <c r="A12786" t="str">
        <f>T("COMTACGRU ONE")</f>
        <v>COMTACGRU ONE</v>
      </c>
      <c r="B12786" t="str">
        <f>T("3603 TARAWA RD")</f>
        <v>3603 TARAWA RD</v>
      </c>
      <c r="C12786" t="str">
        <f>T("BLDG 150")</f>
        <v>BLDG 150</v>
      </c>
      <c r="D12786" t="str">
        <f t="shared" si="4716"/>
        <v>SAN DIEGO</v>
      </c>
      <c r="E12786" t="str">
        <f t="shared" si="4717"/>
        <v>CA</v>
      </c>
      <c r="F12786" t="str">
        <f>T("921555511")</f>
        <v>921555511</v>
      </c>
      <c r="G12786" t="str">
        <f>T("3603 TARAWA RD")</f>
        <v>3603 TARAWA RD</v>
      </c>
      <c r="H12786" t="str">
        <f>T("BLD 150")</f>
        <v>BLD 150</v>
      </c>
      <c r="I12786" t="str">
        <f t="shared" si="4718"/>
        <v>SAN DIEGO</v>
      </c>
      <c r="J12786" t="str">
        <f t="shared" si="4719"/>
        <v>CA</v>
      </c>
      <c r="K12786" t="str">
        <f>T("6194372045")</f>
        <v>6194372045</v>
      </c>
      <c r="L12786" t="str">
        <f>T("6194373818")</f>
        <v>6194373818</v>
      </c>
    </row>
    <row r="12787" spans="1:12" x14ac:dyDescent="0.35">
      <c r="A12787" t="str">
        <f>T("COMTACGRU ONE")</f>
        <v>COMTACGRU ONE</v>
      </c>
      <c r="B12787" t="str">
        <f>T("3603 TARAWA RD")</f>
        <v>3603 TARAWA RD</v>
      </c>
      <c r="C12787" t="str">
        <f>T("BLDG 150")</f>
        <v>BLDG 150</v>
      </c>
      <c r="D12787" t="str">
        <f t="shared" si="4716"/>
        <v>SAN DIEGO</v>
      </c>
      <c r="E12787" t="str">
        <f t="shared" si="4717"/>
        <v>CA</v>
      </c>
      <c r="F12787" t="str">
        <f>T("921555511")</f>
        <v>921555511</v>
      </c>
      <c r="G12787" t="str">
        <f>T("3603 TARAWA RD")</f>
        <v>3603 TARAWA RD</v>
      </c>
      <c r="H12787" t="str">
        <f>T("BLDG 150")</f>
        <v>BLDG 150</v>
      </c>
      <c r="I12787" t="str">
        <f t="shared" si="4718"/>
        <v>SAN DIEGO</v>
      </c>
      <c r="J12787" t="str">
        <f t="shared" si="4719"/>
        <v>CA</v>
      </c>
      <c r="K12787" t="str">
        <f>T("619-437-2045")</f>
        <v>619-437-2045</v>
      </c>
      <c r="L12787" t="str">
        <f>T("6194373900")</f>
        <v>6194373900</v>
      </c>
    </row>
    <row r="12788" spans="1:12" x14ac:dyDescent="0.35">
      <c r="A12788" t="str">
        <f>T("COMTACGRU ONE")</f>
        <v>COMTACGRU ONE</v>
      </c>
      <c r="B12788" t="str">
        <f>T("3603 TARAWA RD")</f>
        <v>3603 TARAWA RD</v>
      </c>
      <c r="C12788" t="str">
        <f>T("BLDG 150")</f>
        <v>BLDG 150</v>
      </c>
      <c r="D12788" t="str">
        <f t="shared" si="4716"/>
        <v>SAN DIEGO</v>
      </c>
      <c r="E12788" t="str">
        <f t="shared" si="4717"/>
        <v>CA</v>
      </c>
      <c r="F12788" t="str">
        <f>T("921555511")</f>
        <v>921555511</v>
      </c>
      <c r="G12788" t="str">
        <f>T("3603 TARAWA RD")</f>
        <v>3603 TARAWA RD</v>
      </c>
      <c r="H12788" t="str">
        <f>T("BLDG 150")</f>
        <v>BLDG 150</v>
      </c>
      <c r="I12788" t="str">
        <f t="shared" si="4718"/>
        <v>SAN DIEGO</v>
      </c>
      <c r="J12788" t="str">
        <f t="shared" si="4719"/>
        <v>CA</v>
      </c>
      <c r="K12788" t="str">
        <f>T("6194372045")</f>
        <v>6194372045</v>
      </c>
      <c r="L12788" t="str">
        <f>T("6194373900")</f>
        <v>6194373900</v>
      </c>
    </row>
    <row r="12789" spans="1:12" x14ac:dyDescent="0.35">
      <c r="A12789" t="str">
        <f>T("COMTACGRU ONE")</f>
        <v>COMTACGRU ONE</v>
      </c>
      <c r="B12789" t="str">
        <f>T("3603 TARAWA RD")</f>
        <v>3603 TARAWA RD</v>
      </c>
      <c r="C12789" t="str">
        <f>T("BLDG 150")</f>
        <v>BLDG 150</v>
      </c>
      <c r="D12789" t="str">
        <f t="shared" si="4716"/>
        <v>SAN DIEGO</v>
      </c>
      <c r="E12789" t="str">
        <f t="shared" si="4717"/>
        <v>CA</v>
      </c>
      <c r="F12789" t="str">
        <f>T("921555511")</f>
        <v>921555511</v>
      </c>
      <c r="G12789" t="str">
        <f>T("ATTN SUPPLY OFFICER")</f>
        <v>ATTN SUPPLY OFFICER</v>
      </c>
      <c r="H12789" t="str">
        <f>T("3603 TARAWA RD")</f>
        <v>3603 TARAWA RD</v>
      </c>
      <c r="I12789" t="str">
        <f t="shared" si="4718"/>
        <v>SAN DIEGO</v>
      </c>
      <c r="J12789" t="str">
        <f t="shared" si="4719"/>
        <v>CA</v>
      </c>
      <c r="K12789" t="str">
        <f>T("000000000000000000")</f>
        <v>000000000000000000</v>
      </c>
      <c r="L12789" t="str">
        <f>T("6194373900")</f>
        <v>6194373900</v>
      </c>
    </row>
    <row r="12790" spans="1:12" x14ac:dyDescent="0.35">
      <c r="A12790" t="str">
        <f t="shared" ref="A12790:A12809" si="4721">T("LCS SQUADRON ONE")</f>
        <v>LCS SQUADRON ONE</v>
      </c>
      <c r="B12790" t="str">
        <f>T("3325 SENN RD RM 146")</f>
        <v>3325 SENN RD RM 146</v>
      </c>
      <c r="C12790" t="str">
        <f>T("")</f>
        <v/>
      </c>
      <c r="D12790" t="str">
        <f t="shared" si="4716"/>
        <v>SAN DIEGO</v>
      </c>
      <c r="E12790" t="str">
        <f t="shared" si="4717"/>
        <v>CA</v>
      </c>
      <c r="F12790" t="str">
        <f t="shared" ref="F12790:F12802" si="4722">T("921365029")</f>
        <v>921365029</v>
      </c>
      <c r="G12790" t="str">
        <f>T("3325 SENN RD RM 146")</f>
        <v>3325 SENN RD RM 146</v>
      </c>
      <c r="H12790" t="str">
        <f>T("")</f>
        <v/>
      </c>
      <c r="I12790" t="str">
        <f t="shared" si="4718"/>
        <v>SAN DIEGO</v>
      </c>
      <c r="J12790" t="str">
        <f t="shared" si="4719"/>
        <v>CA</v>
      </c>
      <c r="K12790" t="str">
        <f>T("000000000000000000")</f>
        <v>000000000000000000</v>
      </c>
      <c r="L12790" t="str">
        <f>T("6195562758")</f>
        <v>6195562758</v>
      </c>
    </row>
    <row r="12791" spans="1:12" x14ac:dyDescent="0.35">
      <c r="A12791" t="str">
        <f t="shared" si="4721"/>
        <v>LCS SQUADRON ONE</v>
      </c>
      <c r="B12791" t="str">
        <f>T("3325 SENN RD RM 146")</f>
        <v>3325 SENN RD RM 146</v>
      </c>
      <c r="C12791" t="str">
        <f>T("")</f>
        <v/>
      </c>
      <c r="D12791" t="str">
        <f t="shared" si="4716"/>
        <v>SAN DIEGO</v>
      </c>
      <c r="E12791" t="str">
        <f t="shared" si="4717"/>
        <v>CA</v>
      </c>
      <c r="F12791" t="str">
        <f t="shared" si="4722"/>
        <v>921365029</v>
      </c>
      <c r="G12791" t="str">
        <f>T("3325 SENN ROAD")</f>
        <v>3325 SENN ROAD</v>
      </c>
      <c r="H12791" t="str">
        <f>T("BLDG 55 ROOM 146")</f>
        <v>BLDG 55 ROOM 146</v>
      </c>
      <c r="I12791" t="str">
        <f t="shared" si="4718"/>
        <v>SAN DIEGO</v>
      </c>
      <c r="J12791" t="str">
        <f t="shared" si="4719"/>
        <v>CA</v>
      </c>
      <c r="K12791" t="str">
        <f>T("000000000000000000")</f>
        <v>000000000000000000</v>
      </c>
      <c r="L12791" t="str">
        <f>T("6195562758")</f>
        <v>6195562758</v>
      </c>
    </row>
    <row r="12792" spans="1:12" x14ac:dyDescent="0.35">
      <c r="A12792" t="str">
        <f t="shared" si="4721"/>
        <v>LCS SQUADRON ONE</v>
      </c>
      <c r="B12792" t="str">
        <f t="shared" ref="B12792:B12802" si="4723">T("3325 SENN ROAD")</f>
        <v>3325 SENN ROAD</v>
      </c>
      <c r="C12792" t="str">
        <f>T("BLDG 55 RM 146")</f>
        <v>BLDG 55 RM 146</v>
      </c>
      <c r="D12792" t="str">
        <f t="shared" si="4716"/>
        <v>SAN DIEGO</v>
      </c>
      <c r="E12792" t="str">
        <f t="shared" si="4717"/>
        <v>CA</v>
      </c>
      <c r="F12792" t="str">
        <f t="shared" si="4722"/>
        <v>921365029</v>
      </c>
      <c r="G12792" t="str">
        <f>T("3325 SENN ROAD")</f>
        <v>3325 SENN ROAD</v>
      </c>
      <c r="H12792" t="str">
        <f>T("BLDG 55 RM 146")</f>
        <v>BLDG 55 RM 146</v>
      </c>
      <c r="I12792" t="str">
        <f t="shared" si="4718"/>
        <v>SAN DIEGO</v>
      </c>
      <c r="J12792" t="str">
        <f t="shared" si="4719"/>
        <v>CA</v>
      </c>
      <c r="K12792" t="str">
        <f>T("000000000000000000")</f>
        <v>000000000000000000</v>
      </c>
      <c r="L12792" t="str">
        <f>T("6195560628")</f>
        <v>6195560628</v>
      </c>
    </row>
    <row r="12793" spans="1:12" x14ac:dyDescent="0.35">
      <c r="A12793" t="str">
        <f t="shared" si="4721"/>
        <v>LCS SQUADRON ONE</v>
      </c>
      <c r="B12793" t="str">
        <f t="shared" si="4723"/>
        <v>3325 SENN ROAD</v>
      </c>
      <c r="C12793" t="str">
        <f>T("BLDG 55 RM 146")</f>
        <v>BLDG 55 RM 146</v>
      </c>
      <c r="D12793" t="str">
        <f t="shared" si="4716"/>
        <v>SAN DIEGO</v>
      </c>
      <c r="E12793" t="str">
        <f t="shared" si="4717"/>
        <v>CA</v>
      </c>
      <c r="F12793" t="str">
        <f t="shared" si="4722"/>
        <v>921365029</v>
      </c>
      <c r="G12793" t="str">
        <f>T("3325 SENN ROAD")</f>
        <v>3325 SENN ROAD</v>
      </c>
      <c r="H12793" t="str">
        <f>T("BLDG 55 RM 146")</f>
        <v>BLDG 55 RM 146</v>
      </c>
      <c r="I12793" t="str">
        <f t="shared" si="4718"/>
        <v>SAN DIEGO</v>
      </c>
      <c r="J12793" t="str">
        <f t="shared" si="4719"/>
        <v>CA</v>
      </c>
      <c r="K12793" t="str">
        <f>T("000000000000000000")</f>
        <v>000000000000000000</v>
      </c>
      <c r="L12793" t="str">
        <f t="shared" ref="L12793:L12798" si="4724">T("6195562758")</f>
        <v>6195562758</v>
      </c>
    </row>
    <row r="12794" spans="1:12" x14ac:dyDescent="0.35">
      <c r="A12794" t="str">
        <f t="shared" si="4721"/>
        <v>LCS SQUADRON ONE</v>
      </c>
      <c r="B12794" t="str">
        <f t="shared" si="4723"/>
        <v>3325 SENN ROAD</v>
      </c>
      <c r="C12794" t="str">
        <f>T("BLDG 55 RM 146")</f>
        <v>BLDG 55 RM 146</v>
      </c>
      <c r="D12794" t="str">
        <f t="shared" si="4716"/>
        <v>SAN DIEGO</v>
      </c>
      <c r="E12794" t="str">
        <f t="shared" si="4717"/>
        <v>CA</v>
      </c>
      <c r="F12794" t="str">
        <f t="shared" si="4722"/>
        <v>921365029</v>
      </c>
      <c r="G12794" t="str">
        <f>T("3325 SENN ROAD")</f>
        <v>3325 SENN ROAD</v>
      </c>
      <c r="H12794" t="str">
        <f>T("BLDG 55 RM 146")</f>
        <v>BLDG 55 RM 146</v>
      </c>
      <c r="I12794" t="str">
        <f t="shared" si="4718"/>
        <v>SAN DIEGO</v>
      </c>
      <c r="J12794" t="str">
        <f t="shared" si="4719"/>
        <v>CA</v>
      </c>
      <c r="K12794" t="str">
        <f>T("3382")</f>
        <v>3382</v>
      </c>
      <c r="L12794" t="str">
        <f t="shared" si="4724"/>
        <v>6195562758</v>
      </c>
    </row>
    <row r="12795" spans="1:12" x14ac:dyDescent="0.35">
      <c r="A12795" t="str">
        <f t="shared" si="4721"/>
        <v>LCS SQUADRON ONE</v>
      </c>
      <c r="B12795" t="str">
        <f t="shared" si="4723"/>
        <v>3325 SENN ROAD</v>
      </c>
      <c r="C12795" t="str">
        <f>T("BLDG 55 RM 147")</f>
        <v>BLDG 55 RM 147</v>
      </c>
      <c r="D12795" t="str">
        <f t="shared" si="4716"/>
        <v>SAN DIEGO</v>
      </c>
      <c r="E12795" t="str">
        <f t="shared" si="4717"/>
        <v>CA</v>
      </c>
      <c r="F12795" t="str">
        <f t="shared" si="4722"/>
        <v>921365029</v>
      </c>
      <c r="G12795" t="str">
        <f>T("3255 SENN ROAD")</f>
        <v>3255 SENN ROAD</v>
      </c>
      <c r="H12795" t="str">
        <f>T("BUILDING 55 RM 146")</f>
        <v>BUILDING 55 RM 146</v>
      </c>
      <c r="I12795" t="str">
        <f t="shared" si="4718"/>
        <v>SAN DIEGO</v>
      </c>
      <c r="J12795" t="str">
        <f t="shared" si="4719"/>
        <v>CA</v>
      </c>
      <c r="K12795" t="str">
        <f t="shared" ref="K12795:K12802" si="4725">T("000000000000000000")</f>
        <v>000000000000000000</v>
      </c>
      <c r="L12795" t="str">
        <f t="shared" si="4724"/>
        <v>6195562758</v>
      </c>
    </row>
    <row r="12796" spans="1:12" x14ac:dyDescent="0.35">
      <c r="A12796" t="str">
        <f t="shared" si="4721"/>
        <v>LCS SQUADRON ONE</v>
      </c>
      <c r="B12796" t="str">
        <f t="shared" si="4723"/>
        <v>3325 SENN ROAD</v>
      </c>
      <c r="C12796" t="str">
        <f>T("BLDG 55 RM 147")</f>
        <v>BLDG 55 RM 147</v>
      </c>
      <c r="D12796" t="str">
        <f t="shared" si="4716"/>
        <v>SAN DIEGO</v>
      </c>
      <c r="E12796" t="str">
        <f t="shared" si="4717"/>
        <v>CA</v>
      </c>
      <c r="F12796" t="str">
        <f t="shared" si="4722"/>
        <v>921365029</v>
      </c>
      <c r="G12796" t="str">
        <f>T("3325 SENN RD")</f>
        <v>3325 SENN RD</v>
      </c>
      <c r="H12796" t="str">
        <f>T("BLDG 55 RM 147")</f>
        <v>BLDG 55 RM 147</v>
      </c>
      <c r="I12796" t="str">
        <f t="shared" si="4718"/>
        <v>SAN DIEGO</v>
      </c>
      <c r="J12796" t="str">
        <f t="shared" si="4719"/>
        <v>CA</v>
      </c>
      <c r="K12796" t="str">
        <f t="shared" si="4725"/>
        <v>000000000000000000</v>
      </c>
      <c r="L12796" t="str">
        <f t="shared" si="4724"/>
        <v>6195562758</v>
      </c>
    </row>
    <row r="12797" spans="1:12" x14ac:dyDescent="0.35">
      <c r="A12797" t="str">
        <f t="shared" si="4721"/>
        <v>LCS SQUADRON ONE</v>
      </c>
      <c r="B12797" t="str">
        <f t="shared" si="4723"/>
        <v>3325 SENN ROAD</v>
      </c>
      <c r="C12797" t="str">
        <f>T("BLDG 55 RM 147")</f>
        <v>BLDG 55 RM 147</v>
      </c>
      <c r="D12797" t="str">
        <f t="shared" si="4716"/>
        <v>SAN DIEGO</v>
      </c>
      <c r="E12797" t="str">
        <f t="shared" si="4717"/>
        <v>CA</v>
      </c>
      <c r="F12797" t="str">
        <f t="shared" si="4722"/>
        <v>921365029</v>
      </c>
      <c r="G12797" t="str">
        <f>T("3325 SENN RD BLDG 55")</f>
        <v>3325 SENN RD BLDG 55</v>
      </c>
      <c r="H12797" t="str">
        <f>T("STE 7")</f>
        <v>STE 7</v>
      </c>
      <c r="I12797" t="str">
        <f t="shared" si="4718"/>
        <v>SAN DIEGO</v>
      </c>
      <c r="J12797" t="str">
        <f t="shared" si="4719"/>
        <v>CA</v>
      </c>
      <c r="K12797" t="str">
        <f t="shared" si="4725"/>
        <v>000000000000000000</v>
      </c>
      <c r="L12797" t="str">
        <f t="shared" si="4724"/>
        <v>6195562758</v>
      </c>
    </row>
    <row r="12798" spans="1:12" x14ac:dyDescent="0.35">
      <c r="A12798" t="str">
        <f t="shared" si="4721"/>
        <v>LCS SQUADRON ONE</v>
      </c>
      <c r="B12798" t="str">
        <f t="shared" si="4723"/>
        <v>3325 SENN ROAD</v>
      </c>
      <c r="C12798" t="str">
        <f>T("BLDG 55 RM 147")</f>
        <v>BLDG 55 RM 147</v>
      </c>
      <c r="D12798" t="str">
        <f t="shared" si="4716"/>
        <v>SAN DIEGO</v>
      </c>
      <c r="E12798" t="str">
        <f t="shared" si="4717"/>
        <v>CA</v>
      </c>
      <c r="F12798" t="str">
        <f t="shared" si="4722"/>
        <v>921365029</v>
      </c>
      <c r="G12798" t="str">
        <f>T("3325 SENN ROAD")</f>
        <v>3325 SENN ROAD</v>
      </c>
      <c r="H12798" t="str">
        <f>T("BLDG 55 RM 147")</f>
        <v>BLDG 55 RM 147</v>
      </c>
      <c r="I12798" t="str">
        <f t="shared" si="4718"/>
        <v>SAN DIEGO</v>
      </c>
      <c r="J12798" t="str">
        <f t="shared" si="4719"/>
        <v>CA</v>
      </c>
      <c r="K12798" t="str">
        <f t="shared" si="4725"/>
        <v>000000000000000000</v>
      </c>
      <c r="L12798" t="str">
        <f t="shared" si="4724"/>
        <v>6195562758</v>
      </c>
    </row>
    <row r="12799" spans="1:12" x14ac:dyDescent="0.35">
      <c r="A12799" t="str">
        <f t="shared" si="4721"/>
        <v>LCS SQUADRON ONE</v>
      </c>
      <c r="B12799" t="str">
        <f t="shared" si="4723"/>
        <v>3325 SENN ROAD</v>
      </c>
      <c r="C12799" t="str">
        <f>T("BLDG 55 ROOM 147")</f>
        <v>BLDG 55 ROOM 147</v>
      </c>
      <c r="D12799" t="str">
        <f t="shared" si="4716"/>
        <v>SAN DIEGO</v>
      </c>
      <c r="E12799" t="str">
        <f t="shared" si="4717"/>
        <v>CA</v>
      </c>
      <c r="F12799" t="str">
        <f t="shared" si="4722"/>
        <v>921365029</v>
      </c>
      <c r="G12799" t="str">
        <f>T("3325 SENN RD BLDG 55")</f>
        <v>3325 SENN RD BLDG 55</v>
      </c>
      <c r="H12799" t="str">
        <f>T("")</f>
        <v/>
      </c>
      <c r="I12799" t="str">
        <f t="shared" si="4718"/>
        <v>SAN DIEGO</v>
      </c>
      <c r="J12799" t="str">
        <f t="shared" si="4719"/>
        <v>CA</v>
      </c>
      <c r="K12799" t="str">
        <f t="shared" si="4725"/>
        <v>000000000000000000</v>
      </c>
      <c r="L12799" t="str">
        <f>T("6195560628")</f>
        <v>6195560628</v>
      </c>
    </row>
    <row r="12800" spans="1:12" x14ac:dyDescent="0.35">
      <c r="A12800" t="str">
        <f t="shared" si="4721"/>
        <v>LCS SQUADRON ONE</v>
      </c>
      <c r="B12800" t="str">
        <f t="shared" si="4723"/>
        <v>3325 SENN ROAD</v>
      </c>
      <c r="C12800" t="str">
        <f>T("BLDG 55 ROOM 147")</f>
        <v>BLDG 55 ROOM 147</v>
      </c>
      <c r="D12800" t="str">
        <f t="shared" si="4716"/>
        <v>SAN DIEGO</v>
      </c>
      <c r="E12800" t="str">
        <f t="shared" si="4717"/>
        <v>CA</v>
      </c>
      <c r="F12800" t="str">
        <f t="shared" si="4722"/>
        <v>921365029</v>
      </c>
      <c r="G12800" t="str">
        <f>T("3325 SENN RD RM 146")</f>
        <v>3325 SENN RD RM 146</v>
      </c>
      <c r="H12800" t="str">
        <f>T("")</f>
        <v/>
      </c>
      <c r="I12800" t="str">
        <f t="shared" si="4718"/>
        <v>SAN DIEGO</v>
      </c>
      <c r="J12800" t="str">
        <f t="shared" si="4719"/>
        <v>CA</v>
      </c>
      <c r="K12800" t="str">
        <f t="shared" si="4725"/>
        <v>000000000000000000</v>
      </c>
      <c r="L12800" t="str">
        <f>T("6195562758")</f>
        <v>6195562758</v>
      </c>
    </row>
    <row r="12801" spans="1:12" x14ac:dyDescent="0.35">
      <c r="A12801" t="str">
        <f t="shared" si="4721"/>
        <v>LCS SQUADRON ONE</v>
      </c>
      <c r="B12801" t="str">
        <f t="shared" si="4723"/>
        <v>3325 SENN ROAD</v>
      </c>
      <c r="C12801" t="str">
        <f>T("BLDG 55 ROOM 147")</f>
        <v>BLDG 55 ROOM 147</v>
      </c>
      <c r="D12801" t="str">
        <f t="shared" si="4716"/>
        <v>SAN DIEGO</v>
      </c>
      <c r="E12801" t="str">
        <f t="shared" si="4717"/>
        <v>CA</v>
      </c>
      <c r="F12801" t="str">
        <f t="shared" si="4722"/>
        <v>921365029</v>
      </c>
      <c r="G12801" t="str">
        <f>T("3325 SENN ROAD")</f>
        <v>3325 SENN ROAD</v>
      </c>
      <c r="H12801" t="str">
        <f>T("BLDG 55 RM 147")</f>
        <v>BLDG 55 RM 147</v>
      </c>
      <c r="I12801" t="str">
        <f t="shared" si="4718"/>
        <v>SAN DIEGO</v>
      </c>
      <c r="J12801" t="str">
        <f t="shared" si="4719"/>
        <v>CA</v>
      </c>
      <c r="K12801" t="str">
        <f t="shared" si="4725"/>
        <v>000000000000000000</v>
      </c>
      <c r="L12801" t="str">
        <f>T("6195562758")</f>
        <v>6195562758</v>
      </c>
    </row>
    <row r="12802" spans="1:12" x14ac:dyDescent="0.35">
      <c r="A12802" t="str">
        <f t="shared" si="4721"/>
        <v>LCS SQUADRON ONE</v>
      </c>
      <c r="B12802" t="str">
        <f t="shared" si="4723"/>
        <v>3325 SENN ROAD</v>
      </c>
      <c r="C12802" t="str">
        <f>T("BLDG 55 ROOM 147")</f>
        <v>BLDG 55 ROOM 147</v>
      </c>
      <c r="D12802" t="str">
        <f t="shared" si="4716"/>
        <v>SAN DIEGO</v>
      </c>
      <c r="E12802" t="str">
        <f t="shared" si="4717"/>
        <v>CA</v>
      </c>
      <c r="F12802" t="str">
        <f t="shared" si="4722"/>
        <v>921365029</v>
      </c>
      <c r="G12802" t="str">
        <f>T("3325 SENN ROAD")</f>
        <v>3325 SENN ROAD</v>
      </c>
      <c r="H12802" t="str">
        <f>T("BLDG 55 ROOM 147")</f>
        <v>BLDG 55 ROOM 147</v>
      </c>
      <c r="I12802" t="str">
        <f t="shared" si="4718"/>
        <v>SAN DIEGO</v>
      </c>
      <c r="J12802" t="str">
        <f t="shared" si="4719"/>
        <v>CA</v>
      </c>
      <c r="K12802" t="str">
        <f t="shared" si="4725"/>
        <v>000000000000000000</v>
      </c>
      <c r="L12802" t="str">
        <f>T("6195562758")</f>
        <v>6195562758</v>
      </c>
    </row>
    <row r="12803" spans="1:12" x14ac:dyDescent="0.35">
      <c r="A12803" t="str">
        <f t="shared" si="4721"/>
        <v>LCS SQUADRON ONE</v>
      </c>
      <c r="B12803" t="str">
        <f>T("3985 CUMMING RD")</f>
        <v>3985 CUMMING RD</v>
      </c>
      <c r="C12803" t="str">
        <f>T("BLDG 116 2ND FLR")</f>
        <v>BLDG 116 2ND FLR</v>
      </c>
      <c r="D12803" t="str">
        <f t="shared" si="4716"/>
        <v>SAN DIEGO</v>
      </c>
      <c r="E12803" t="str">
        <f t="shared" si="4717"/>
        <v>CA</v>
      </c>
      <c r="F12803" t="str">
        <f>T("921360001")</f>
        <v>921360001</v>
      </c>
      <c r="G12803" t="str">
        <f>T("3985 CUMMING RD")</f>
        <v>3985 CUMMING RD</v>
      </c>
      <c r="H12803" t="str">
        <f>T("BLDG 116 2ND FLR")</f>
        <v>BLDG 116 2ND FLR</v>
      </c>
      <c r="I12803" t="str">
        <f t="shared" si="4718"/>
        <v>SAN DIEGO</v>
      </c>
      <c r="J12803" t="str">
        <f t="shared" si="4719"/>
        <v>CA</v>
      </c>
      <c r="K12803" t="str">
        <f>T("6195560437")</f>
        <v>6195560437</v>
      </c>
      <c r="L12803" t="str">
        <f>T("6195568217")</f>
        <v>6195568217</v>
      </c>
    </row>
    <row r="12804" spans="1:12" x14ac:dyDescent="0.35">
      <c r="A12804" t="str">
        <f t="shared" si="4721"/>
        <v>LCS SQUADRON ONE</v>
      </c>
      <c r="B12804" t="str">
        <f>T("3985 CUMMING RD")</f>
        <v>3985 CUMMING RD</v>
      </c>
      <c r="C12804" t="str">
        <f>T("BLDG 116 2ND FLR")</f>
        <v>BLDG 116 2ND FLR</v>
      </c>
      <c r="D12804" t="str">
        <f t="shared" si="4716"/>
        <v>SAN DIEGO</v>
      </c>
      <c r="E12804" t="str">
        <f t="shared" si="4717"/>
        <v>CA</v>
      </c>
      <c r="F12804" t="str">
        <f>T("921360001")</f>
        <v>921360001</v>
      </c>
      <c r="G12804" t="str">
        <f>T("3985 CUMMINGS RD BLDG 116 2ND FLOOR")</f>
        <v>3985 CUMMINGS RD BLDG 116 2ND FLOOR</v>
      </c>
      <c r="H12804" t="str">
        <f>T("")</f>
        <v/>
      </c>
      <c r="I12804" t="str">
        <f t="shared" si="4718"/>
        <v>SAN DIEGO</v>
      </c>
      <c r="J12804" t="str">
        <f t="shared" si="4719"/>
        <v>CA</v>
      </c>
      <c r="K12804" t="str">
        <f>T("6195560437")</f>
        <v>6195560437</v>
      </c>
      <c r="L12804" t="str">
        <f>T("6195565181")</f>
        <v>6195565181</v>
      </c>
    </row>
    <row r="12805" spans="1:12" x14ac:dyDescent="0.35">
      <c r="A12805" t="str">
        <f t="shared" si="4721"/>
        <v>LCS SQUADRON ONE</v>
      </c>
      <c r="B12805" t="str">
        <f>T("COMLCSRON ONE")</f>
        <v>COMLCSRON ONE</v>
      </c>
      <c r="C12805" t="str">
        <f>T("3325 SENN RD BLD 55 STE 146")</f>
        <v>3325 SENN RD BLD 55 STE 146</v>
      </c>
      <c r="D12805" t="str">
        <f t="shared" si="4716"/>
        <v>SAN DIEGO</v>
      </c>
      <c r="E12805" t="str">
        <f t="shared" si="4717"/>
        <v>CA</v>
      </c>
      <c r="F12805" t="str">
        <f>T("919195029")</f>
        <v>919195029</v>
      </c>
      <c r="G12805" t="str">
        <f>T("3325 SENN RD")</f>
        <v>3325 SENN RD</v>
      </c>
      <c r="H12805" t="str">
        <f>T("BUILDING 55 SUITE 157")</f>
        <v>BUILDING 55 SUITE 157</v>
      </c>
      <c r="I12805" t="str">
        <f t="shared" si="4718"/>
        <v>SAN DIEGO</v>
      </c>
      <c r="J12805" t="str">
        <f t="shared" si="4719"/>
        <v>CA</v>
      </c>
      <c r="K12805" t="str">
        <f>T("000000000000000000")</f>
        <v>000000000000000000</v>
      </c>
      <c r="L12805" t="str">
        <f>T("6195562779")</f>
        <v>6195562779</v>
      </c>
    </row>
    <row r="12806" spans="1:12" x14ac:dyDescent="0.35">
      <c r="A12806" t="str">
        <f t="shared" si="4721"/>
        <v>LCS SQUADRON ONE</v>
      </c>
      <c r="B12806" t="str">
        <f>T("COMLCSRON ONE")</f>
        <v>COMLCSRON ONE</v>
      </c>
      <c r="C12806" t="str">
        <f>T("3325 SENN RD BLD 55 STE 146")</f>
        <v>3325 SENN RD BLD 55 STE 146</v>
      </c>
      <c r="D12806" t="str">
        <f t="shared" si="4716"/>
        <v>SAN DIEGO</v>
      </c>
      <c r="E12806" t="str">
        <f t="shared" si="4717"/>
        <v>CA</v>
      </c>
      <c r="F12806" t="str">
        <f>T("919195029")</f>
        <v>919195029</v>
      </c>
      <c r="G12806" t="str">
        <f>T("3325 SENN ROAD")</f>
        <v>3325 SENN ROAD</v>
      </c>
      <c r="H12806" t="str">
        <f>T("BLDG 55 RM 146")</f>
        <v>BLDG 55 RM 146</v>
      </c>
      <c r="I12806" t="str">
        <f t="shared" si="4718"/>
        <v>SAN DIEGO</v>
      </c>
      <c r="J12806" t="str">
        <f t="shared" si="4719"/>
        <v>CA</v>
      </c>
      <c r="K12806" t="str">
        <f>T("000000000000000000")</f>
        <v>000000000000000000</v>
      </c>
      <c r="L12806" t="str">
        <f>T("6195562758")</f>
        <v>6195562758</v>
      </c>
    </row>
    <row r="12807" spans="1:12" x14ac:dyDescent="0.35">
      <c r="A12807" t="str">
        <f t="shared" si="4721"/>
        <v>LCS SQUADRON ONE</v>
      </c>
      <c r="B12807" t="str">
        <f>T("COMLCSRON ONE")</f>
        <v>COMLCSRON ONE</v>
      </c>
      <c r="C12807" t="str">
        <f>T("3325 SENN RD BLD 55 STE 146")</f>
        <v>3325 SENN RD BLD 55 STE 146</v>
      </c>
      <c r="D12807" t="str">
        <f t="shared" si="4716"/>
        <v>SAN DIEGO</v>
      </c>
      <c r="E12807" t="str">
        <f t="shared" si="4717"/>
        <v>CA</v>
      </c>
      <c r="F12807" t="str">
        <f>T("919195029")</f>
        <v>919195029</v>
      </c>
      <c r="G12807" t="str">
        <f>T("3325 SENN ROAD")</f>
        <v>3325 SENN ROAD</v>
      </c>
      <c r="H12807" t="str">
        <f>T("BUILDING 55")</f>
        <v>BUILDING 55</v>
      </c>
      <c r="I12807" t="str">
        <f t="shared" si="4718"/>
        <v>SAN DIEGO</v>
      </c>
      <c r="J12807" t="str">
        <f t="shared" si="4719"/>
        <v>CA</v>
      </c>
      <c r="K12807" t="str">
        <f>T("000000000000000000")</f>
        <v>000000000000000000</v>
      </c>
      <c r="L12807" t="str">
        <f>T("6195560628")</f>
        <v>6195560628</v>
      </c>
    </row>
    <row r="12808" spans="1:12" x14ac:dyDescent="0.35">
      <c r="A12808" t="str">
        <f t="shared" si="4721"/>
        <v>LCS SQUADRON ONE</v>
      </c>
      <c r="B12808" t="str">
        <f>T("COMLCSRON ONE")</f>
        <v>COMLCSRON ONE</v>
      </c>
      <c r="C12808" t="str">
        <f>T("3325 SENN RD BLD 55 STE 146")</f>
        <v>3325 SENN RD BLD 55 STE 146</v>
      </c>
      <c r="D12808" t="str">
        <f t="shared" si="4716"/>
        <v>SAN DIEGO</v>
      </c>
      <c r="E12808" t="str">
        <f t="shared" si="4717"/>
        <v>CA</v>
      </c>
      <c r="F12808" t="str">
        <f>T("919195029")</f>
        <v>919195029</v>
      </c>
      <c r="G12808" t="str">
        <f>T("3325 SENN ROAD BLDG 55")</f>
        <v>3325 SENN ROAD BLDG 55</v>
      </c>
      <c r="H12808" t="str">
        <f>T("")</f>
        <v/>
      </c>
      <c r="I12808" t="str">
        <f t="shared" si="4718"/>
        <v>SAN DIEGO</v>
      </c>
      <c r="J12808" t="str">
        <f t="shared" si="4719"/>
        <v>CA</v>
      </c>
      <c r="K12808" t="str">
        <f>T("000000000000000000")</f>
        <v>000000000000000000</v>
      </c>
      <c r="L12808" t="str">
        <f>T("6195560628")</f>
        <v>6195560628</v>
      </c>
    </row>
    <row r="12809" spans="1:12" x14ac:dyDescent="0.35">
      <c r="A12809" t="str">
        <f t="shared" si="4721"/>
        <v>LCS SQUADRON ONE</v>
      </c>
      <c r="B12809" t="str">
        <f>T("COMLCSRON ONE")</f>
        <v>COMLCSRON ONE</v>
      </c>
      <c r="C12809" t="str">
        <f>T("3325 SENN RD BLD 55 STE 146")</f>
        <v>3325 SENN RD BLD 55 STE 146</v>
      </c>
      <c r="D12809" t="str">
        <f t="shared" si="4716"/>
        <v>SAN DIEGO</v>
      </c>
      <c r="E12809" t="str">
        <f t="shared" si="4717"/>
        <v>CA</v>
      </c>
      <c r="F12809" t="str">
        <f>T("919195029")</f>
        <v>919195029</v>
      </c>
      <c r="G12809" t="str">
        <f>T("COMLCSRON ONE")</f>
        <v>COMLCSRON ONE</v>
      </c>
      <c r="H12809" t="str">
        <f>T("3325 SENN RD BLD 55 STE 146")</f>
        <v>3325 SENN RD BLD 55 STE 146</v>
      </c>
      <c r="I12809" t="str">
        <f t="shared" si="4718"/>
        <v>SAN DIEGO</v>
      </c>
      <c r="J12809" t="str">
        <f t="shared" si="4719"/>
        <v>CA</v>
      </c>
      <c r="K12809" t="str">
        <f>T("619 556 0800")</f>
        <v>619 556 0800</v>
      </c>
      <c r="L12809" t="str">
        <f>T("6195562758")</f>
        <v>6195562758</v>
      </c>
    </row>
    <row r="12810" spans="1:12" x14ac:dyDescent="0.35">
      <c r="A12810" t="str">
        <f t="shared" ref="A12810:B12813" si="4726">T("USS AMERICA LHA 6")</f>
        <v>USS AMERICA LHA 6</v>
      </c>
      <c r="B12810" t="str">
        <f t="shared" si="4726"/>
        <v>USS AMERICA LHA 6</v>
      </c>
      <c r="C12810" t="str">
        <f>T("UNIT 100233 BOX 1")</f>
        <v>UNIT 100233 BOX 1</v>
      </c>
      <c r="D12810" t="str">
        <f>T("FPO")</f>
        <v>FPO</v>
      </c>
      <c r="E12810" t="str">
        <f>T("AP")</f>
        <v>AP</v>
      </c>
      <c r="F12810" t="str">
        <f>T("966603300")</f>
        <v>966603300</v>
      </c>
      <c r="G12810" t="str">
        <f>T("ATTN SUPPLY OFFICER")</f>
        <v>ATTN SUPPLY OFFICER</v>
      </c>
      <c r="H12810" t="str">
        <f>T("UNIT 100233 BOX 1")</f>
        <v>UNIT 100233 BOX 1</v>
      </c>
      <c r="I12810" t="str">
        <f>T("FPO")</f>
        <v>FPO</v>
      </c>
      <c r="J12810" t="str">
        <f>T("AP")</f>
        <v>AP</v>
      </c>
      <c r="K12810" t="str">
        <f t="shared" ref="K12810:K12817" si="4727">T("000000000000000000")</f>
        <v>000000000000000000</v>
      </c>
      <c r="L12810" t="str">
        <f>T("6195563897")</f>
        <v>6195563897</v>
      </c>
    </row>
    <row r="12811" spans="1:12" x14ac:dyDescent="0.35">
      <c r="A12811" t="str">
        <f t="shared" si="4726"/>
        <v>USS AMERICA LHA 6</v>
      </c>
      <c r="B12811" t="str">
        <f t="shared" si="4726"/>
        <v>USS AMERICA LHA 6</v>
      </c>
      <c r="C12811" t="str">
        <f>T("UNIT 100233 BOX 1")</f>
        <v>UNIT 100233 BOX 1</v>
      </c>
      <c r="D12811" t="str">
        <f>T("FPO")</f>
        <v>FPO</v>
      </c>
      <c r="E12811" t="str">
        <f>T("AP")</f>
        <v>AP</v>
      </c>
      <c r="F12811" t="str">
        <f>T("966603300")</f>
        <v>966603300</v>
      </c>
      <c r="G12811" t="str">
        <f>T("USS AMERICA")</f>
        <v>USS AMERICA</v>
      </c>
      <c r="H12811" t="str">
        <f>T("")</f>
        <v/>
      </c>
      <c r="I12811" t="str">
        <f>T("FPO")</f>
        <v>FPO</v>
      </c>
      <c r="J12811" t="str">
        <f>T("AP")</f>
        <v>AP</v>
      </c>
      <c r="K12811" t="str">
        <f t="shared" si="4727"/>
        <v>000000000000000000</v>
      </c>
      <c r="L12811" t="str">
        <f>T("6195564001")</f>
        <v>6195564001</v>
      </c>
    </row>
    <row r="12812" spans="1:12" x14ac:dyDescent="0.35">
      <c r="A12812" t="str">
        <f t="shared" si="4726"/>
        <v>USS AMERICA LHA 6</v>
      </c>
      <c r="B12812" t="str">
        <f t="shared" si="4726"/>
        <v>USS AMERICA LHA 6</v>
      </c>
      <c r="C12812" t="str">
        <f>T("UNIT 100233 BOX 1")</f>
        <v>UNIT 100233 BOX 1</v>
      </c>
      <c r="D12812" t="str">
        <f>T("FPO")</f>
        <v>FPO</v>
      </c>
      <c r="E12812" t="str">
        <f>T("AP")</f>
        <v>AP</v>
      </c>
      <c r="F12812" t="str">
        <f>T("966603300")</f>
        <v>966603300</v>
      </c>
      <c r="G12812" t="str">
        <f>T("USS AMERICA LHA 6")</f>
        <v>USS AMERICA LHA 6</v>
      </c>
      <c r="H12812" t="str">
        <f>T("")</f>
        <v/>
      </c>
      <c r="I12812" t="str">
        <f>T("UNIT 100233 BOX 803")</f>
        <v>UNIT 100233 BOX 803</v>
      </c>
      <c r="J12812" t="str">
        <f>T("AP")</f>
        <v>AP</v>
      </c>
      <c r="K12812" t="str">
        <f t="shared" si="4727"/>
        <v>000000000000000000</v>
      </c>
      <c r="L12812" t="str">
        <f>T("6195563897")</f>
        <v>6195563897</v>
      </c>
    </row>
    <row r="12813" spans="1:12" x14ac:dyDescent="0.35">
      <c r="A12813" t="str">
        <f t="shared" si="4726"/>
        <v>USS AMERICA LHA 6</v>
      </c>
      <c r="B12813" t="str">
        <f t="shared" si="4726"/>
        <v>USS AMERICA LHA 6</v>
      </c>
      <c r="C12813" t="str">
        <f>T("UNIT 100233 BOX 1")</f>
        <v>UNIT 100233 BOX 1</v>
      </c>
      <c r="D12813" t="str">
        <f>T("FPO")</f>
        <v>FPO</v>
      </c>
      <c r="E12813" t="str">
        <f>T("AP")</f>
        <v>AP</v>
      </c>
      <c r="F12813" t="str">
        <f>T("966603300")</f>
        <v>966603300</v>
      </c>
      <c r="G12813" t="str">
        <f>T("USS AMERICA LHA 6")</f>
        <v>USS AMERICA LHA 6</v>
      </c>
      <c r="H12813" t="str">
        <f>T("UNIT 100233 BOX 1")</f>
        <v>UNIT 100233 BOX 1</v>
      </c>
      <c r="I12813" t="str">
        <f>T("FPO")</f>
        <v>FPO</v>
      </c>
      <c r="J12813" t="str">
        <f>T("AP")</f>
        <v>AP</v>
      </c>
      <c r="K12813" t="str">
        <f t="shared" si="4727"/>
        <v>000000000000000000</v>
      </c>
      <c r="L12813" t="str">
        <f>T("6195560507")</f>
        <v>6195560507</v>
      </c>
    </row>
    <row r="12814" spans="1:12" x14ac:dyDescent="0.35">
      <c r="A12814" t="str">
        <f>T("USS ZUMWALT DDG 1000")</f>
        <v>USS ZUMWALT DDG 1000</v>
      </c>
      <c r="B12814" t="str">
        <f>T("590 WASHINGTON ST")</f>
        <v>590 WASHINGTON ST</v>
      </c>
      <c r="C12814" t="str">
        <f>T("")</f>
        <v/>
      </c>
      <c r="D12814" t="str">
        <f>T("BATH")</f>
        <v>BATH</v>
      </c>
      <c r="E12814" t="str">
        <f>T("ME")</f>
        <v>ME</v>
      </c>
      <c r="F12814" t="str">
        <f>T("045301934")</f>
        <v>045301934</v>
      </c>
      <c r="G12814" t="str">
        <f>T("590 WASHINGTON ST")</f>
        <v>590 WASHINGTON ST</v>
      </c>
      <c r="H12814" t="str">
        <f>T("")</f>
        <v/>
      </c>
      <c r="I12814" t="str">
        <f>T("BATH")</f>
        <v>BATH</v>
      </c>
      <c r="J12814" t="str">
        <f>T("ME")</f>
        <v>ME</v>
      </c>
      <c r="K12814" t="str">
        <f t="shared" si="4727"/>
        <v>000000000000000000</v>
      </c>
      <c r="L12814" t="str">
        <f>T("6193068808")</f>
        <v>6193068808</v>
      </c>
    </row>
    <row r="12815" spans="1:12" x14ac:dyDescent="0.35">
      <c r="A12815" t="str">
        <f>T("USS ZUMWALT DDG 1000")</f>
        <v>USS ZUMWALT DDG 1000</v>
      </c>
      <c r="B12815" t="str">
        <f>T("590 WASHINGTON ST")</f>
        <v>590 WASHINGTON ST</v>
      </c>
      <c r="C12815" t="str">
        <f>T("")</f>
        <v/>
      </c>
      <c r="D12815" t="str">
        <f>T("BATH")</f>
        <v>BATH</v>
      </c>
      <c r="E12815" t="str">
        <f>T("ME")</f>
        <v>ME</v>
      </c>
      <c r="F12815" t="str">
        <f>T("045301934")</f>
        <v>045301934</v>
      </c>
      <c r="G12815" t="str">
        <f>T("ATTN SUPPLY OFFICER")</f>
        <v>ATTN SUPPLY OFFICER</v>
      </c>
      <c r="H12815" t="str">
        <f>T("590 WASHINGTON ST")</f>
        <v>590 WASHINGTON ST</v>
      </c>
      <c r="I12815" t="str">
        <f>T("BATH")</f>
        <v>BATH</v>
      </c>
      <c r="J12815" t="str">
        <f>T("ME")</f>
        <v>ME</v>
      </c>
      <c r="K12815" t="str">
        <f t="shared" si="4727"/>
        <v>000000000000000000</v>
      </c>
      <c r="L12815" t="str">
        <f>T("8054627730")</f>
        <v>8054627730</v>
      </c>
    </row>
    <row r="12816" spans="1:12" x14ac:dyDescent="0.35">
      <c r="A12816" t="str">
        <f>T("ZZ DELETE")</f>
        <v>ZZ DELETE</v>
      </c>
      <c r="B12816" t="str">
        <f>T("USS GARY FFG-51")</f>
        <v>USS GARY FFG-51</v>
      </c>
      <c r="C12816" t="str">
        <f>T("S-1 DIVISION")</f>
        <v>S-1 DIVISION</v>
      </c>
      <c r="D12816" t="str">
        <f t="shared" ref="D12816:D12849" si="4728">T("FPO")</f>
        <v>FPO</v>
      </c>
      <c r="E12816" t="str">
        <f>T("AP")</f>
        <v>AP</v>
      </c>
      <c r="F12816" t="str">
        <f>T("966661505")</f>
        <v>966661505</v>
      </c>
      <c r="G12816" t="str">
        <f>T("USS GARY FFG-51")</f>
        <v>USS GARY FFG-51</v>
      </c>
      <c r="H12816" t="str">
        <f>T("S-1 DIVISION")</f>
        <v>S-1 DIVISION</v>
      </c>
      <c r="I12816" t="str">
        <f t="shared" ref="I12816:I12851" si="4729">T("FPO")</f>
        <v>FPO</v>
      </c>
      <c r="J12816" t="str">
        <f>T("AP")</f>
        <v>AP</v>
      </c>
      <c r="K12816" t="str">
        <f t="shared" si="4727"/>
        <v>000000000000000000</v>
      </c>
      <c r="L12816" t="str">
        <f>T("6195564309")</f>
        <v>6195564309</v>
      </c>
    </row>
    <row r="12817" spans="1:12" x14ac:dyDescent="0.35">
      <c r="A12817" t="str">
        <f>T("USS SENTRY MCM 3")</f>
        <v>USS SENTRY MCM 3</v>
      </c>
      <c r="B12817" t="str">
        <f>T("ATTN SUPPLY OFFICER")</f>
        <v>ATTN SUPPLY OFFICER</v>
      </c>
      <c r="C12817" t="str">
        <f>T("UNIT 100210 BOX 1")</f>
        <v>UNIT 100210 BOX 1</v>
      </c>
      <c r="D12817" t="str">
        <f t="shared" si="4728"/>
        <v>FPO</v>
      </c>
      <c r="E12817" t="str">
        <f>T("AE")</f>
        <v>AE</v>
      </c>
      <c r="F12817" t="str">
        <f>T("095871000")</f>
        <v>095871000</v>
      </c>
      <c r="G12817" t="str">
        <f t="shared" ref="G12817:G12822" si="4730">T("ATTN SUPPLY OFFICER")</f>
        <v>ATTN SUPPLY OFFICER</v>
      </c>
      <c r="H12817" t="str">
        <f>T("UNIT 100210 BOX 1")</f>
        <v>UNIT 100210 BOX 1</v>
      </c>
      <c r="I12817" t="str">
        <f t="shared" si="4729"/>
        <v>FPO</v>
      </c>
      <c r="J12817" t="str">
        <f>T("AE")</f>
        <v>AE</v>
      </c>
      <c r="K12817" t="str">
        <f t="shared" si="4727"/>
        <v>000000000000000000</v>
      </c>
      <c r="L12817" t="str">
        <f>T("1111111111")</f>
        <v>1111111111</v>
      </c>
    </row>
    <row r="12818" spans="1:12" x14ac:dyDescent="0.35">
      <c r="A12818" t="str">
        <f>T("USS SENTRY MCM 3")</f>
        <v>USS SENTRY MCM 3</v>
      </c>
      <c r="B12818" t="str">
        <f>T("ATTN SUPPLY OFFICER")</f>
        <v>ATTN SUPPLY OFFICER</v>
      </c>
      <c r="C12818" t="str">
        <f>T("UNIT 100210 BOX 1")</f>
        <v>UNIT 100210 BOX 1</v>
      </c>
      <c r="D12818" t="str">
        <f t="shared" si="4728"/>
        <v>FPO</v>
      </c>
      <c r="E12818" t="str">
        <f>T("AE")</f>
        <v>AE</v>
      </c>
      <c r="F12818" t="str">
        <f>T("095871000")</f>
        <v>095871000</v>
      </c>
      <c r="G12818" t="str">
        <f t="shared" si="4730"/>
        <v>ATTN SUPPLY OFFICER</v>
      </c>
      <c r="H12818" t="str">
        <f>T("UNIT 100210 BOX 1")</f>
        <v>UNIT 100210 BOX 1</v>
      </c>
      <c r="I12818" t="str">
        <f t="shared" si="4729"/>
        <v>FPO</v>
      </c>
      <c r="J12818" t="str">
        <f>T("AE")</f>
        <v>AE</v>
      </c>
      <c r="K12818" t="str">
        <f>T("01197338405288")</f>
        <v>01197338405288</v>
      </c>
      <c r="L12818" t="str">
        <f>T("1111111111")</f>
        <v>1111111111</v>
      </c>
    </row>
    <row r="12819" spans="1:12" x14ac:dyDescent="0.35">
      <c r="A12819" t="str">
        <f>T("USS SENTRY MCM 3")</f>
        <v>USS SENTRY MCM 3</v>
      </c>
      <c r="B12819" t="str">
        <f>T("ATTN SUPPLY OFFICER")</f>
        <v>ATTN SUPPLY OFFICER</v>
      </c>
      <c r="C12819" t="str">
        <f>T("UNIT 100210 BOX 1")</f>
        <v>UNIT 100210 BOX 1</v>
      </c>
      <c r="D12819" t="str">
        <f t="shared" si="4728"/>
        <v>FPO</v>
      </c>
      <c r="E12819" t="str">
        <f>T("AE")</f>
        <v>AE</v>
      </c>
      <c r="F12819" t="str">
        <f>T("095871000")</f>
        <v>095871000</v>
      </c>
      <c r="G12819" t="str">
        <f t="shared" si="4730"/>
        <v>ATTN SUPPLY OFFICER</v>
      </c>
      <c r="H12819" t="str">
        <f>T("UNIT 100210 BOX 1")</f>
        <v>UNIT 100210 BOX 1</v>
      </c>
      <c r="I12819" t="str">
        <f t="shared" si="4729"/>
        <v>FPO</v>
      </c>
      <c r="J12819" t="str">
        <f>T("AE")</f>
        <v>AE</v>
      </c>
      <c r="K12819" t="str">
        <f>T("97339097274")</f>
        <v>97339097274</v>
      </c>
      <c r="L12819" t="str">
        <f>T("1111111111")</f>
        <v>1111111111</v>
      </c>
    </row>
    <row r="12820" spans="1:12" x14ac:dyDescent="0.35">
      <c r="A12820" t="str">
        <f>T("USS CHAMPION MCM 4")</f>
        <v>USS CHAMPION MCM 4</v>
      </c>
      <c r="B12820" t="str">
        <f>T("ATTN SUPPLY OFFICER")</f>
        <v>ATTN SUPPLY OFFICER</v>
      </c>
      <c r="C12820" t="str">
        <f>T("UNIT 100211 BOX 1")</f>
        <v>UNIT 100211 BOX 1</v>
      </c>
      <c r="D12820" t="str">
        <f t="shared" si="4728"/>
        <v>FPO</v>
      </c>
      <c r="E12820" t="str">
        <f>T("AP")</f>
        <v>AP</v>
      </c>
      <c r="F12820" t="str">
        <f>T("966621100")</f>
        <v>966621100</v>
      </c>
      <c r="G12820" t="str">
        <f t="shared" si="4730"/>
        <v>ATTN SUPPLY OFFICER</v>
      </c>
      <c r="H12820" t="str">
        <f>T("SUPPLY DEPT")</f>
        <v>SUPPLY DEPT</v>
      </c>
      <c r="I12820" t="str">
        <f t="shared" si="4729"/>
        <v>FPO</v>
      </c>
      <c r="J12820" t="str">
        <f>T("AP")</f>
        <v>AP</v>
      </c>
      <c r="K12820" t="str">
        <f>T("000000000000000000")</f>
        <v>000000000000000000</v>
      </c>
      <c r="L12820" t="str">
        <f>T("6198229424")</f>
        <v>6198229424</v>
      </c>
    </row>
    <row r="12821" spans="1:12" x14ac:dyDescent="0.35">
      <c r="A12821" t="str">
        <f>T("USS CHAMPION MCM 4")</f>
        <v>USS CHAMPION MCM 4</v>
      </c>
      <c r="B12821" t="str">
        <f>T("ATTN SUPPLY OFFICER")</f>
        <v>ATTN SUPPLY OFFICER</v>
      </c>
      <c r="C12821" t="str">
        <f>T("UNIT 100211 BOX 1")</f>
        <v>UNIT 100211 BOX 1</v>
      </c>
      <c r="D12821" t="str">
        <f t="shared" si="4728"/>
        <v>FPO</v>
      </c>
      <c r="E12821" t="str">
        <f>T("AP")</f>
        <v>AP</v>
      </c>
      <c r="F12821" t="str">
        <f>T("966621100")</f>
        <v>966621100</v>
      </c>
      <c r="G12821" t="str">
        <f t="shared" si="4730"/>
        <v>ATTN SUPPLY OFFICER</v>
      </c>
      <c r="H12821" t="str">
        <f>T("UNIT 100211 BOX 1")</f>
        <v>UNIT 100211 BOX 1</v>
      </c>
      <c r="I12821" t="str">
        <f t="shared" si="4729"/>
        <v>FPO</v>
      </c>
      <c r="J12821" t="str">
        <f>T("AP")</f>
        <v>AP</v>
      </c>
      <c r="K12821" t="str">
        <f>T("000000000000000000")</f>
        <v>000000000000000000</v>
      </c>
      <c r="L12821" t="str">
        <f>T("6194580463")</f>
        <v>6194580463</v>
      </c>
    </row>
    <row r="12822" spans="1:12" x14ac:dyDescent="0.35">
      <c r="A12822" t="str">
        <f>T("USS DEVASTATOR MCM 6")</f>
        <v>USS DEVASTATOR MCM 6</v>
      </c>
      <c r="B12822" t="str">
        <f>T("UNIT 100220 BOX 1")</f>
        <v>UNIT 100220 BOX 1</v>
      </c>
      <c r="C12822" t="str">
        <f>T("")</f>
        <v/>
      </c>
      <c r="D12822" t="str">
        <f t="shared" si="4728"/>
        <v>FPO</v>
      </c>
      <c r="E12822" t="str">
        <f>T("AE")</f>
        <v>AE</v>
      </c>
      <c r="F12822" t="str">
        <f>T("095672000")</f>
        <v>095672000</v>
      </c>
      <c r="G12822" t="str">
        <f t="shared" si="4730"/>
        <v>ATTN SUPPLY OFFICER</v>
      </c>
      <c r="H12822" t="str">
        <f>T("FPO")</f>
        <v>FPO</v>
      </c>
      <c r="I12822" t="str">
        <f t="shared" si="4729"/>
        <v>FPO</v>
      </c>
      <c r="J12822" t="str">
        <f>T("AE")</f>
        <v>AE</v>
      </c>
      <c r="K12822" t="str">
        <f>T("97338405661")</f>
        <v>97338405661</v>
      </c>
      <c r="L12822" t="str">
        <f>T("1111111111")</f>
        <v>1111111111</v>
      </c>
    </row>
    <row r="12823" spans="1:12" x14ac:dyDescent="0.35">
      <c r="A12823" t="str">
        <f>T("USS DEVASTATOR MCM 6")</f>
        <v>USS DEVASTATOR MCM 6</v>
      </c>
      <c r="B12823" t="str">
        <f>T("UNIT 100220 BOX 1")</f>
        <v>UNIT 100220 BOX 1</v>
      </c>
      <c r="C12823" t="str">
        <f>T("")</f>
        <v/>
      </c>
      <c r="D12823" t="str">
        <f t="shared" si="4728"/>
        <v>FPO</v>
      </c>
      <c r="E12823" t="str">
        <f>T("AE")</f>
        <v>AE</v>
      </c>
      <c r="F12823" t="str">
        <f>T("095672000")</f>
        <v>095672000</v>
      </c>
      <c r="G12823" t="str">
        <f>T("UNIT 100220 BOX 1")</f>
        <v>UNIT 100220 BOX 1</v>
      </c>
      <c r="H12823" t="str">
        <f>T("")</f>
        <v/>
      </c>
      <c r="I12823" t="str">
        <f t="shared" si="4729"/>
        <v>FPO</v>
      </c>
      <c r="J12823" t="str">
        <f>T("AE")</f>
        <v>AE</v>
      </c>
      <c r="K12823" t="str">
        <f>T("000000000000000000")</f>
        <v>000000000000000000</v>
      </c>
      <c r="L12823" t="str">
        <f>T("1111111111")</f>
        <v>1111111111</v>
      </c>
    </row>
    <row r="12824" spans="1:12" x14ac:dyDescent="0.35">
      <c r="A12824" t="str">
        <f>T("USS DEVASTATOR MCM 6")</f>
        <v>USS DEVASTATOR MCM 6</v>
      </c>
      <c r="B12824" t="str">
        <f>T("UNIT 100220 BOX 1")</f>
        <v>UNIT 100220 BOX 1</v>
      </c>
      <c r="C12824" t="str">
        <f>T("")</f>
        <v/>
      </c>
      <c r="D12824" t="str">
        <f t="shared" si="4728"/>
        <v>FPO</v>
      </c>
      <c r="E12824" t="str">
        <f>T("AE")</f>
        <v>AE</v>
      </c>
      <c r="F12824" t="str">
        <f>T("095672000")</f>
        <v>095672000</v>
      </c>
      <c r="G12824" t="str">
        <f>T("USS DEVASTATOR")</f>
        <v>USS DEVASTATOR</v>
      </c>
      <c r="H12824" t="str">
        <f>T("UNIT 100220 BOX 001")</f>
        <v>UNIT 100220 BOX 001</v>
      </c>
      <c r="I12824" t="str">
        <f t="shared" si="4729"/>
        <v>FPO</v>
      </c>
      <c r="J12824" t="str">
        <f>T("AE")</f>
        <v>AE</v>
      </c>
      <c r="K12824" t="str">
        <f>T("01197338405659")</f>
        <v>01197338405659</v>
      </c>
      <c r="L12824" t="str">
        <f>T("1111111111")</f>
        <v>1111111111</v>
      </c>
    </row>
    <row r="12825" spans="1:12" x14ac:dyDescent="0.35">
      <c r="A12825" t="str">
        <f>T("USS DEVASTATOR MCM 6")</f>
        <v>USS DEVASTATOR MCM 6</v>
      </c>
      <c r="B12825" t="str">
        <f>T("UNIT 100220 BOX 1")</f>
        <v>UNIT 100220 BOX 1</v>
      </c>
      <c r="C12825" t="str">
        <f>T("")</f>
        <v/>
      </c>
      <c r="D12825" t="str">
        <f t="shared" si="4728"/>
        <v>FPO</v>
      </c>
      <c r="E12825" t="str">
        <f>T("AE")</f>
        <v>AE</v>
      </c>
      <c r="F12825" t="str">
        <f>T("095672000")</f>
        <v>095672000</v>
      </c>
      <c r="G12825" t="str">
        <f>T("USS DEVASTATOR UNIT 1000220 BOX 001")</f>
        <v>USS DEVASTATOR UNIT 1000220 BOX 001</v>
      </c>
      <c r="H12825" t="str">
        <f>T("")</f>
        <v/>
      </c>
      <c r="I12825" t="str">
        <f t="shared" si="4729"/>
        <v>FPO</v>
      </c>
      <c r="J12825" t="str">
        <f>T("AE")</f>
        <v>AE</v>
      </c>
      <c r="K12825" t="str">
        <f>T("01197338405659")</f>
        <v>01197338405659</v>
      </c>
      <c r="L12825" t="str">
        <f>T("1111111111")</f>
        <v>1111111111</v>
      </c>
    </row>
    <row r="12826" spans="1:12" x14ac:dyDescent="0.35">
      <c r="A12826" t="str">
        <f>T("USS PATRIOT MCM-7")</f>
        <v>USS PATRIOT MCM-7</v>
      </c>
      <c r="B12826" t="str">
        <f>T("USS PATRIOT MCM 7")</f>
        <v>USS PATRIOT MCM 7</v>
      </c>
      <c r="C12826" t="str">
        <f>T("UNIT 100145 BOX 1")</f>
        <v>UNIT 100145 BOX 1</v>
      </c>
      <c r="D12826" t="str">
        <f t="shared" si="4728"/>
        <v>FPO</v>
      </c>
      <c r="E12826" t="str">
        <f>T("AP")</f>
        <v>AP</v>
      </c>
      <c r="F12826" t="str">
        <f>T("966754500")</f>
        <v>966754500</v>
      </c>
      <c r="G12826" t="str">
        <f>T("ATTN SUPPLY OFFICER")</f>
        <v>ATTN SUPPLY OFFICER</v>
      </c>
      <c r="H12826" t="str">
        <f>T("UNIT 100145 BOX 1")</f>
        <v>UNIT 100145 BOX 1</v>
      </c>
      <c r="I12826" t="str">
        <f t="shared" si="4729"/>
        <v>FPO</v>
      </c>
      <c r="J12826" t="str">
        <f>T("AP")</f>
        <v>AP</v>
      </c>
      <c r="K12826" t="str">
        <f>T("000000000000000000")</f>
        <v>000000000000000000</v>
      </c>
      <c r="L12826" t="str">
        <f>T("3152521202")</f>
        <v>3152521202</v>
      </c>
    </row>
    <row r="12827" spans="1:12" x14ac:dyDescent="0.35">
      <c r="A12827" t="str">
        <f>T("USS PATRIOT MCM-7")</f>
        <v>USS PATRIOT MCM-7</v>
      </c>
      <c r="B12827" t="str">
        <f>T("USS PATRIOT MCM 7")</f>
        <v>USS PATRIOT MCM 7</v>
      </c>
      <c r="C12827" t="str">
        <f>T("UNIT 100145 BOX 1")</f>
        <v>UNIT 100145 BOX 1</v>
      </c>
      <c r="D12827" t="str">
        <f t="shared" si="4728"/>
        <v>FPO</v>
      </c>
      <c r="E12827" t="str">
        <f>T("AP")</f>
        <v>AP</v>
      </c>
      <c r="F12827" t="str">
        <f>T("966754500")</f>
        <v>966754500</v>
      </c>
      <c r="G12827" t="str">
        <f>T("USS PATRIOT MCM 7")</f>
        <v>USS PATRIOT MCM 7</v>
      </c>
      <c r="H12827" t="str">
        <f>T("UNIT 100145 BOX 1")</f>
        <v>UNIT 100145 BOX 1</v>
      </c>
      <c r="I12827" t="str">
        <f t="shared" si="4729"/>
        <v>FPO</v>
      </c>
      <c r="J12827" t="str">
        <f>T("AP")</f>
        <v>AP</v>
      </c>
      <c r="K12827" t="str">
        <f>T("000000000000000000")</f>
        <v>000000000000000000</v>
      </c>
      <c r="L12827" t="str">
        <f>T("3152521203")</f>
        <v>3152521203</v>
      </c>
    </row>
    <row r="12828" spans="1:12" x14ac:dyDescent="0.35">
      <c r="A12828" t="str">
        <f>T("USS GLADIATOR MCM11")</f>
        <v>USS GLADIATOR MCM11</v>
      </c>
      <c r="B12828" t="str">
        <f>T("USS GLADIATOR  MCM11")</f>
        <v>USS GLADIATOR  MCM11</v>
      </c>
      <c r="C12828" t="str">
        <f>T("UNIT 100413 BOX 1")</f>
        <v>UNIT 100413 BOX 1</v>
      </c>
      <c r="D12828" t="str">
        <f t="shared" si="4728"/>
        <v>FPO</v>
      </c>
      <c r="E12828" t="str">
        <f>T("AA")</f>
        <v>AA</v>
      </c>
      <c r="F12828" t="str">
        <f>T("340911300")</f>
        <v>340911300</v>
      </c>
      <c r="G12828" t="str">
        <f>T("ATTN SUPPLY OFFICER")</f>
        <v>ATTN SUPPLY OFFICER</v>
      </c>
      <c r="H12828" t="str">
        <f>T("UNIT 100413 BOX 1")</f>
        <v>UNIT 100413 BOX 1</v>
      </c>
      <c r="I12828" t="str">
        <f t="shared" si="4729"/>
        <v>FPO</v>
      </c>
      <c r="J12828" t="str">
        <f>T("AA")</f>
        <v>AA</v>
      </c>
      <c r="K12828" t="str">
        <f>T("101197339225163")</f>
        <v>101197339225163</v>
      </c>
      <c r="L12828" t="str">
        <f>T("1111111111")</f>
        <v>1111111111</v>
      </c>
    </row>
    <row r="12829" spans="1:12" x14ac:dyDescent="0.35">
      <c r="A12829" t="str">
        <f>T("USS GLADIATOR MCM11")</f>
        <v>USS GLADIATOR MCM11</v>
      </c>
      <c r="B12829" t="str">
        <f>T("USS GLADIATOR  MCM11")</f>
        <v>USS GLADIATOR  MCM11</v>
      </c>
      <c r="C12829" t="str">
        <f>T("UNIT 100413 BOX 1")</f>
        <v>UNIT 100413 BOX 1</v>
      </c>
      <c r="D12829" t="str">
        <f t="shared" si="4728"/>
        <v>FPO</v>
      </c>
      <c r="E12829" t="str">
        <f>T("AA")</f>
        <v>AA</v>
      </c>
      <c r="F12829" t="str">
        <f>T("340911300")</f>
        <v>340911300</v>
      </c>
      <c r="G12829" t="str">
        <f>T("ATTN SUPPLY OFFICER")</f>
        <v>ATTN SUPPLY OFFICER</v>
      </c>
      <c r="H12829" t="str">
        <f>T("UNIT 100413 BOX 1")</f>
        <v>UNIT 100413 BOX 1</v>
      </c>
      <c r="I12829" t="str">
        <f t="shared" si="4729"/>
        <v>FPO</v>
      </c>
      <c r="J12829" t="str">
        <f>T("AA")</f>
        <v>AA</v>
      </c>
      <c r="K12829" t="str">
        <f>T("97336195807")</f>
        <v>97336195807</v>
      </c>
      <c r="L12829" t="str">
        <f>T("1111111111")</f>
        <v>1111111111</v>
      </c>
    </row>
    <row r="12830" spans="1:12" x14ac:dyDescent="0.35">
      <c r="A12830" t="str">
        <f>T("USS GLADIATOR MCM11")</f>
        <v>USS GLADIATOR MCM11</v>
      </c>
      <c r="B12830" t="str">
        <f>T("USS GLADIATOR  MCM11")</f>
        <v>USS GLADIATOR  MCM11</v>
      </c>
      <c r="C12830" t="str">
        <f>T("UNIT 100413 BOX 1")</f>
        <v>UNIT 100413 BOX 1</v>
      </c>
      <c r="D12830" t="str">
        <f t="shared" si="4728"/>
        <v>FPO</v>
      </c>
      <c r="E12830" t="str">
        <f>T("AA")</f>
        <v>AA</v>
      </c>
      <c r="F12830" t="str">
        <f>T("340911300")</f>
        <v>340911300</v>
      </c>
      <c r="G12830" t="str">
        <f>T("USS GLADIATOR  MCM11")</f>
        <v>USS GLADIATOR  MCM11</v>
      </c>
      <c r="H12830" t="str">
        <f>T("UNIT 100413 BOX 1")</f>
        <v>UNIT 100413 BOX 1</v>
      </c>
      <c r="I12830" t="str">
        <f t="shared" si="4729"/>
        <v>FPO</v>
      </c>
      <c r="J12830" t="str">
        <f>T("AA")</f>
        <v>AA</v>
      </c>
      <c r="K12830" t="str">
        <f>T("")</f>
        <v/>
      </c>
      <c r="L12830" t="str">
        <f>T("1111111111")</f>
        <v>1111111111</v>
      </c>
    </row>
    <row r="12831" spans="1:12" x14ac:dyDescent="0.35">
      <c r="A12831" t="str">
        <f t="shared" ref="A12831:B12833" si="4731">T("USS SCOUT MCM 8")</f>
        <v>USS SCOUT MCM 8</v>
      </c>
      <c r="B12831" t="str">
        <f t="shared" si="4731"/>
        <v>USS SCOUT MCM 8</v>
      </c>
      <c r="C12831" t="str">
        <f>T("UNIT 100486 BOX 1")</f>
        <v>UNIT 100486 BOX 1</v>
      </c>
      <c r="D12831" t="str">
        <f t="shared" si="4728"/>
        <v>FPO</v>
      </c>
      <c r="E12831" t="str">
        <f t="shared" ref="E12831:E12849" si="4732">T("AP")</f>
        <v>AP</v>
      </c>
      <c r="F12831" t="str">
        <f>T("966788600")</f>
        <v>966788600</v>
      </c>
      <c r="G12831" t="str">
        <f>T("ATTN SUPPLY OFFICER")</f>
        <v>ATTN SUPPLY OFFICER</v>
      </c>
      <c r="H12831" t="str">
        <f>T("UNIT 100486 BOX 1")</f>
        <v>UNIT 100486 BOX 1</v>
      </c>
      <c r="I12831" t="str">
        <f t="shared" si="4729"/>
        <v>FPO</v>
      </c>
      <c r="J12831" t="str">
        <f t="shared" ref="J12831:J12851" si="4733">T("AP")</f>
        <v>AP</v>
      </c>
      <c r="K12831" t="str">
        <f>T("000000000000000000")</f>
        <v>000000000000000000</v>
      </c>
      <c r="L12831" t="str">
        <f>T("6195564199")</f>
        <v>6195564199</v>
      </c>
    </row>
    <row r="12832" spans="1:12" x14ac:dyDescent="0.35">
      <c r="A12832" t="str">
        <f t="shared" si="4731"/>
        <v>USS SCOUT MCM 8</v>
      </c>
      <c r="B12832" t="str">
        <f t="shared" si="4731"/>
        <v>USS SCOUT MCM 8</v>
      </c>
      <c r="C12832" t="str">
        <f>T("UNIT 100486 BOX 1")</f>
        <v>UNIT 100486 BOX 1</v>
      </c>
      <c r="D12832" t="str">
        <f t="shared" si="4728"/>
        <v>FPO</v>
      </c>
      <c r="E12832" t="str">
        <f t="shared" si="4732"/>
        <v>AP</v>
      </c>
      <c r="F12832" t="str">
        <f>T("966788600")</f>
        <v>966788600</v>
      </c>
      <c r="G12832" t="str">
        <f>T("USS SCOUT MCM 8")</f>
        <v>USS SCOUT MCM 8</v>
      </c>
      <c r="H12832" t="str">
        <f>T("UNIT 100486 BOX 1")</f>
        <v>UNIT 100486 BOX 1</v>
      </c>
      <c r="I12832" t="str">
        <f t="shared" si="4729"/>
        <v>FPO</v>
      </c>
      <c r="J12832" t="str">
        <f t="shared" si="4733"/>
        <v>AP</v>
      </c>
      <c r="K12832" t="str">
        <f>T("01197317858958")</f>
        <v>01197317858958</v>
      </c>
      <c r="L12832" t="str">
        <f>T("6195564199")</f>
        <v>6195564199</v>
      </c>
    </row>
    <row r="12833" spans="1:12" x14ac:dyDescent="0.35">
      <c r="A12833" t="str">
        <f t="shared" si="4731"/>
        <v>USS SCOUT MCM 8</v>
      </c>
      <c r="B12833" t="str">
        <f t="shared" si="4731"/>
        <v>USS SCOUT MCM 8</v>
      </c>
      <c r="C12833" t="str">
        <f>T("UNIT 100486 BOX 1")</f>
        <v>UNIT 100486 BOX 1</v>
      </c>
      <c r="D12833" t="str">
        <f t="shared" si="4728"/>
        <v>FPO</v>
      </c>
      <c r="E12833" t="str">
        <f t="shared" si="4732"/>
        <v>AP</v>
      </c>
      <c r="F12833" t="str">
        <f>T("966788600")</f>
        <v>966788600</v>
      </c>
      <c r="G12833" t="str">
        <f>T("USS SCOUT MCM-8")</f>
        <v>USS SCOUT MCM-8</v>
      </c>
      <c r="H12833" t="str">
        <f>T("")</f>
        <v/>
      </c>
      <c r="I12833" t="str">
        <f t="shared" si="4729"/>
        <v>FPO</v>
      </c>
      <c r="J12833" t="str">
        <f t="shared" si="4733"/>
        <v>AP</v>
      </c>
      <c r="K12833" t="str">
        <f t="shared" ref="K12833:K12840" si="4734">T("000000000000000000")</f>
        <v>000000000000000000</v>
      </c>
      <c r="L12833" t="str">
        <f>T("6195564199")</f>
        <v>6195564199</v>
      </c>
    </row>
    <row r="12834" spans="1:12" x14ac:dyDescent="0.35">
      <c r="A12834" t="str">
        <f t="shared" ref="A12834:B12836" si="4735">T("USS PIONEER MCM 9")</f>
        <v>USS PIONEER MCM 9</v>
      </c>
      <c r="B12834" t="str">
        <f t="shared" si="4735"/>
        <v>USS PIONEER MCM 9</v>
      </c>
      <c r="C12834" t="str">
        <f>T("UNIT 100151 BOX 1")</f>
        <v>UNIT 100151 BOX 1</v>
      </c>
      <c r="D12834" t="str">
        <f t="shared" si="4728"/>
        <v>FPO</v>
      </c>
      <c r="E12834" t="str">
        <f t="shared" si="4732"/>
        <v>AP</v>
      </c>
      <c r="F12834" t="str">
        <f>T("966755100")</f>
        <v>966755100</v>
      </c>
      <c r="G12834" t="str">
        <f>T("ATTN SUPPLY OFFICER")</f>
        <v>ATTN SUPPLY OFFICER</v>
      </c>
      <c r="H12834" t="str">
        <f>T("UNIT 100151 BOX 1")</f>
        <v>UNIT 100151 BOX 1</v>
      </c>
      <c r="I12834" t="str">
        <f t="shared" si="4729"/>
        <v>FPO</v>
      </c>
      <c r="J12834" t="str">
        <f t="shared" si="4733"/>
        <v>AP</v>
      </c>
      <c r="K12834" t="str">
        <f t="shared" si="4734"/>
        <v>000000000000000000</v>
      </c>
      <c r="L12834" t="str">
        <f>T("3152521222")</f>
        <v>3152521222</v>
      </c>
    </row>
    <row r="12835" spans="1:12" x14ac:dyDescent="0.35">
      <c r="A12835" t="str">
        <f t="shared" si="4735"/>
        <v>USS PIONEER MCM 9</v>
      </c>
      <c r="B12835" t="str">
        <f t="shared" si="4735"/>
        <v>USS PIONEER MCM 9</v>
      </c>
      <c r="C12835" t="str">
        <f>T("UNIT 100151 BOX 1")</f>
        <v>UNIT 100151 BOX 1</v>
      </c>
      <c r="D12835" t="str">
        <f t="shared" si="4728"/>
        <v>FPO</v>
      </c>
      <c r="E12835" t="str">
        <f t="shared" si="4732"/>
        <v>AP</v>
      </c>
      <c r="F12835" t="str">
        <f>T("966755100")</f>
        <v>966755100</v>
      </c>
      <c r="G12835" t="str">
        <f>T("UNIT 100151 BOX 1")</f>
        <v>UNIT 100151 BOX 1</v>
      </c>
      <c r="H12835" t="str">
        <f>T("SUPPLY DEPT")</f>
        <v>SUPPLY DEPT</v>
      </c>
      <c r="I12835" t="str">
        <f t="shared" si="4729"/>
        <v>FPO</v>
      </c>
      <c r="J12835" t="str">
        <f t="shared" si="4733"/>
        <v>AP</v>
      </c>
      <c r="K12835" t="str">
        <f t="shared" si="4734"/>
        <v>000000000000000000</v>
      </c>
      <c r="L12835" t="str">
        <f>T("3152521222")</f>
        <v>3152521222</v>
      </c>
    </row>
    <row r="12836" spans="1:12" x14ac:dyDescent="0.35">
      <c r="A12836" t="str">
        <f t="shared" si="4735"/>
        <v>USS PIONEER MCM 9</v>
      </c>
      <c r="B12836" t="str">
        <f t="shared" si="4735"/>
        <v>USS PIONEER MCM 9</v>
      </c>
      <c r="C12836" t="str">
        <f>T("UNIT 100151 BOX 1")</f>
        <v>UNIT 100151 BOX 1</v>
      </c>
      <c r="D12836" t="str">
        <f t="shared" si="4728"/>
        <v>FPO</v>
      </c>
      <c r="E12836" t="str">
        <f t="shared" si="4732"/>
        <v>AP</v>
      </c>
      <c r="F12836" t="str">
        <f>T("966755100")</f>
        <v>966755100</v>
      </c>
      <c r="G12836" t="str">
        <f>T("USS PIONEER MCM 9")</f>
        <v>USS PIONEER MCM 9</v>
      </c>
      <c r="H12836" t="str">
        <f>T("UNIT 100151 BOX 1")</f>
        <v>UNIT 100151 BOX 1</v>
      </c>
      <c r="I12836" t="str">
        <f t="shared" si="4729"/>
        <v>FPO</v>
      </c>
      <c r="J12836" t="str">
        <f t="shared" si="4733"/>
        <v>AP</v>
      </c>
      <c r="K12836" t="str">
        <f t="shared" si="4734"/>
        <v>000000000000000000</v>
      </c>
      <c r="L12836" t="str">
        <f>T("3152521222")</f>
        <v>3152521222</v>
      </c>
    </row>
    <row r="12837" spans="1:12" x14ac:dyDescent="0.35">
      <c r="A12837" t="str">
        <f>T("USS WARRIOR MCM 10")</f>
        <v>USS WARRIOR MCM 10</v>
      </c>
      <c r="B12837" t="str">
        <f>T("USS WARRIOR MCM10")</f>
        <v>USS WARRIOR MCM10</v>
      </c>
      <c r="C12837" t="str">
        <f>T("UNIT 100152")</f>
        <v>UNIT 100152</v>
      </c>
      <c r="D12837" t="str">
        <f t="shared" si="4728"/>
        <v>FPO</v>
      </c>
      <c r="E12837" t="str">
        <f t="shared" si="4732"/>
        <v>AP</v>
      </c>
      <c r="F12837" t="str">
        <f>T("966830000")</f>
        <v>966830000</v>
      </c>
      <c r="G12837" t="str">
        <f>T("USS WARRIOR MCM 10")</f>
        <v>USS WARRIOR MCM 10</v>
      </c>
      <c r="H12837" t="str">
        <f>T("SUPPLY DEPT")</f>
        <v>SUPPLY DEPT</v>
      </c>
      <c r="I12837" t="str">
        <f t="shared" si="4729"/>
        <v>FPO</v>
      </c>
      <c r="J12837" t="str">
        <f t="shared" si="4733"/>
        <v>AP</v>
      </c>
      <c r="K12837" t="str">
        <f t="shared" si="4734"/>
        <v>000000000000000000</v>
      </c>
      <c r="L12837" t="str">
        <f>T("3152521292")</f>
        <v>3152521292</v>
      </c>
    </row>
    <row r="12838" spans="1:12" x14ac:dyDescent="0.35">
      <c r="A12838" t="str">
        <f>T("USS WARRIOR MCM 10")</f>
        <v>USS WARRIOR MCM 10</v>
      </c>
      <c r="B12838" t="str">
        <f>T("USS WARRIOR MCM10")</f>
        <v>USS WARRIOR MCM10</v>
      </c>
      <c r="C12838" t="str">
        <f>T("UNIT 100152")</f>
        <v>UNIT 100152</v>
      </c>
      <c r="D12838" t="str">
        <f t="shared" si="4728"/>
        <v>FPO</v>
      </c>
      <c r="E12838" t="str">
        <f t="shared" si="4732"/>
        <v>AP</v>
      </c>
      <c r="F12838" t="str">
        <f>T("966830000")</f>
        <v>966830000</v>
      </c>
      <c r="G12838" t="str">
        <f>T("USS WARRIOR MCM-10")</f>
        <v>USS WARRIOR MCM-10</v>
      </c>
      <c r="H12838" t="str">
        <f>T("UNIT 100152 BOX 1")</f>
        <v>UNIT 100152 BOX 1</v>
      </c>
      <c r="I12838" t="str">
        <f t="shared" si="4729"/>
        <v>FPO</v>
      </c>
      <c r="J12838" t="str">
        <f t="shared" si="4733"/>
        <v>AP</v>
      </c>
      <c r="K12838" t="str">
        <f t="shared" si="4734"/>
        <v>000000000000000000</v>
      </c>
      <c r="L12838" t="str">
        <f>T("3152521292")</f>
        <v>3152521292</v>
      </c>
    </row>
    <row r="12839" spans="1:12" x14ac:dyDescent="0.35">
      <c r="A12839" t="str">
        <f>T("USS WARRIOR MCM 10")</f>
        <v>USS WARRIOR MCM 10</v>
      </c>
      <c r="B12839" t="str">
        <f>T("USS WARRIOR MCM10")</f>
        <v>USS WARRIOR MCM10</v>
      </c>
      <c r="C12839" t="str">
        <f>T("UNIT 100152")</f>
        <v>UNIT 100152</v>
      </c>
      <c r="D12839" t="str">
        <f t="shared" si="4728"/>
        <v>FPO</v>
      </c>
      <c r="E12839" t="str">
        <f t="shared" si="4732"/>
        <v>AP</v>
      </c>
      <c r="F12839" t="str">
        <f>T("966830000")</f>
        <v>966830000</v>
      </c>
      <c r="G12839" t="str">
        <f>T("USS WARRIOR MCM10")</f>
        <v>USS WARRIOR MCM10</v>
      </c>
      <c r="H12839" t="str">
        <f>T("UNIT 100152")</f>
        <v>UNIT 100152</v>
      </c>
      <c r="I12839" t="str">
        <f t="shared" si="4729"/>
        <v>FPO</v>
      </c>
      <c r="J12839" t="str">
        <f t="shared" si="4733"/>
        <v>AP</v>
      </c>
      <c r="K12839" t="str">
        <f t="shared" si="4734"/>
        <v>000000000000000000</v>
      </c>
      <c r="L12839" t="str">
        <f>T("3152521292")</f>
        <v>3152521292</v>
      </c>
    </row>
    <row r="12840" spans="1:12" x14ac:dyDescent="0.35">
      <c r="A12840" t="str">
        <f t="shared" ref="A12840:B12842" si="4736">T("USS ASHLAND LSD 48")</f>
        <v>USS ASHLAND LSD 48</v>
      </c>
      <c r="B12840" t="str">
        <f t="shared" si="4736"/>
        <v>USS ASHLAND LSD 48</v>
      </c>
      <c r="C12840" t="str">
        <f>T("UNIT 100147 BOX 1")</f>
        <v>UNIT 100147 BOX 1</v>
      </c>
      <c r="D12840" t="str">
        <f t="shared" si="4728"/>
        <v>FPO</v>
      </c>
      <c r="E12840" t="str">
        <f t="shared" si="4732"/>
        <v>AP</v>
      </c>
      <c r="F12840" t="str">
        <f>T("966604700")</f>
        <v>966604700</v>
      </c>
      <c r="G12840" t="str">
        <f>T("UNIT 100147")</f>
        <v>UNIT 100147</v>
      </c>
      <c r="H12840" t="str">
        <f>T("BOX 1")</f>
        <v>BOX 1</v>
      </c>
      <c r="I12840" t="str">
        <f t="shared" si="4729"/>
        <v>FPO</v>
      </c>
      <c r="J12840" t="str">
        <f t="shared" si="4733"/>
        <v>AP</v>
      </c>
      <c r="K12840" t="str">
        <f t="shared" si="4734"/>
        <v>000000000000000000</v>
      </c>
      <c r="L12840" t="str">
        <f>T("3152521287")</f>
        <v>3152521287</v>
      </c>
    </row>
    <row r="12841" spans="1:12" x14ac:dyDescent="0.35">
      <c r="A12841" t="str">
        <f t="shared" si="4736"/>
        <v>USS ASHLAND LSD 48</v>
      </c>
      <c r="B12841" t="str">
        <f t="shared" si="4736"/>
        <v>USS ASHLAND LSD 48</v>
      </c>
      <c r="C12841" t="str">
        <f>T("UNIT 100147 BOX 1")</f>
        <v>UNIT 100147 BOX 1</v>
      </c>
      <c r="D12841" t="str">
        <f t="shared" si="4728"/>
        <v>FPO</v>
      </c>
      <c r="E12841" t="str">
        <f t="shared" si="4732"/>
        <v>AP</v>
      </c>
      <c r="F12841" t="str">
        <f>T("966604700")</f>
        <v>966604700</v>
      </c>
      <c r="G12841" t="str">
        <f>T("USS ASHLAND LSD 48")</f>
        <v>USS ASHLAND LSD 48</v>
      </c>
      <c r="H12841" t="str">
        <f>T("SUPPLY DEPT")</f>
        <v>SUPPLY DEPT</v>
      </c>
      <c r="I12841" t="str">
        <f t="shared" si="4729"/>
        <v>FPO</v>
      </c>
      <c r="J12841" t="str">
        <f t="shared" si="4733"/>
        <v>AP</v>
      </c>
      <c r="K12841" t="str">
        <f>T("81956503192")</f>
        <v>81956503192</v>
      </c>
      <c r="L12841" t="str">
        <f>T("1111111111")</f>
        <v>1111111111</v>
      </c>
    </row>
    <row r="12842" spans="1:12" x14ac:dyDescent="0.35">
      <c r="A12842" t="str">
        <f t="shared" si="4736"/>
        <v>USS ASHLAND LSD 48</v>
      </c>
      <c r="B12842" t="str">
        <f t="shared" si="4736"/>
        <v>USS ASHLAND LSD 48</v>
      </c>
      <c r="C12842" t="str">
        <f>T("UNIT 100147 BOX 1")</f>
        <v>UNIT 100147 BOX 1</v>
      </c>
      <c r="D12842" t="str">
        <f t="shared" si="4728"/>
        <v>FPO</v>
      </c>
      <c r="E12842" t="str">
        <f t="shared" si="4732"/>
        <v>AP</v>
      </c>
      <c r="F12842" t="str">
        <f>T("966604700")</f>
        <v>966604700</v>
      </c>
      <c r="G12842" t="str">
        <f>T("USS ASHLAND LSD 48")</f>
        <v>USS ASHLAND LSD 48</v>
      </c>
      <c r="H12842" t="str">
        <f>T("UNIT 100147 BOX 1")</f>
        <v>UNIT 100147 BOX 1</v>
      </c>
      <c r="I12842" t="str">
        <f t="shared" si="4729"/>
        <v>FPO</v>
      </c>
      <c r="J12842" t="str">
        <f t="shared" si="4733"/>
        <v>AP</v>
      </c>
      <c r="K12842" t="str">
        <f>T("000000000000000000")</f>
        <v>000000000000000000</v>
      </c>
      <c r="L12842" t="str">
        <f>T("1111111111")</f>
        <v>1111111111</v>
      </c>
    </row>
    <row r="12843" spans="1:12" x14ac:dyDescent="0.35">
      <c r="A12843" t="str">
        <f>T("USS BARRY (DDG 52)")</f>
        <v>USS BARRY (DDG 52)</v>
      </c>
      <c r="B12843" t="str">
        <f>T("ATTN SUPPLY OFFICER")</f>
        <v>ATTN SUPPLY OFFICER</v>
      </c>
      <c r="C12843" t="str">
        <f>T("UNIT 100278 BOX 1")</f>
        <v>UNIT 100278 BOX 1</v>
      </c>
      <c r="D12843" t="str">
        <f t="shared" si="4728"/>
        <v>FPO</v>
      </c>
      <c r="E12843" t="str">
        <f t="shared" si="4732"/>
        <v>AP</v>
      </c>
      <c r="F12843" t="str">
        <f>T("966927800")</f>
        <v>966927800</v>
      </c>
      <c r="G12843" t="str">
        <f>T("ATTN SUPPLY OFFICER")</f>
        <v>ATTN SUPPLY OFFICER</v>
      </c>
      <c r="H12843" t="str">
        <f>T("UNIT 100278 BOX 1")</f>
        <v>UNIT 100278 BOX 1</v>
      </c>
      <c r="I12843" t="str">
        <f t="shared" si="4729"/>
        <v>FPO</v>
      </c>
      <c r="J12843" t="str">
        <f t="shared" si="4733"/>
        <v>AP</v>
      </c>
      <c r="K12843" t="str">
        <f>T("000000000000000000")</f>
        <v>000000000000000000</v>
      </c>
      <c r="L12843" t="str">
        <f>T("7574441689")</f>
        <v>7574441689</v>
      </c>
    </row>
    <row r="12844" spans="1:12" x14ac:dyDescent="0.35">
      <c r="A12844" t="str">
        <f>T("USS BARRY (DDG 52)")</f>
        <v>USS BARRY (DDG 52)</v>
      </c>
      <c r="B12844" t="str">
        <f>T("ATTN SUPPLY OFFICER")</f>
        <v>ATTN SUPPLY OFFICER</v>
      </c>
      <c r="C12844" t="str">
        <f>T("UNIT 100278 BOX 1")</f>
        <v>UNIT 100278 BOX 1</v>
      </c>
      <c r="D12844" t="str">
        <f t="shared" si="4728"/>
        <v>FPO</v>
      </c>
      <c r="E12844" t="str">
        <f t="shared" si="4732"/>
        <v>AP</v>
      </c>
      <c r="F12844" t="str">
        <f>T("966927800")</f>
        <v>966927800</v>
      </c>
      <c r="G12844" t="str">
        <f>T("ATTN SUPPLY OFFICER")</f>
        <v>ATTN SUPPLY OFFICER</v>
      </c>
      <c r="H12844" t="str">
        <f>T("UNIT 100278 BOX 1")</f>
        <v>UNIT 100278 BOX 1</v>
      </c>
      <c r="I12844" t="str">
        <f t="shared" si="4729"/>
        <v>FPO</v>
      </c>
      <c r="J12844" t="str">
        <f t="shared" si="4733"/>
        <v>AP</v>
      </c>
      <c r="K12844" t="str">
        <f>T("000000000000000000")</f>
        <v>000000000000000000</v>
      </c>
      <c r="L12844" t="str">
        <f>T("9043253127")</f>
        <v>9043253127</v>
      </c>
    </row>
    <row r="12845" spans="1:12" x14ac:dyDescent="0.35">
      <c r="A12845" t="str">
        <f>T("USS BARRY (DDG 52)")</f>
        <v>USS BARRY (DDG 52)</v>
      </c>
      <c r="B12845" t="str">
        <f>T("ATTN SUPPLY OFFICER")</f>
        <v>ATTN SUPPLY OFFICER</v>
      </c>
      <c r="C12845" t="str">
        <f>T("UNIT 100278 BOX 1")</f>
        <v>UNIT 100278 BOX 1</v>
      </c>
      <c r="D12845" t="str">
        <f t="shared" si="4728"/>
        <v>FPO</v>
      </c>
      <c r="E12845" t="str">
        <f t="shared" si="4732"/>
        <v>AP</v>
      </c>
      <c r="F12845" t="str">
        <f>T("966927800")</f>
        <v>966927800</v>
      </c>
      <c r="G12845" t="str">
        <f>T("ATTN SUPPLY OFFICER")</f>
        <v>ATTN SUPPLY OFFICER</v>
      </c>
      <c r="H12845" t="str">
        <f>T("UNIT 100278 BOX 1")</f>
        <v>UNIT 100278 BOX 1</v>
      </c>
      <c r="I12845" t="str">
        <f t="shared" si="4729"/>
        <v>FPO</v>
      </c>
      <c r="J12845" t="str">
        <f t="shared" si="4733"/>
        <v>AP</v>
      </c>
      <c r="K12845" t="str">
        <f>T("803152433167")</f>
        <v>803152433167</v>
      </c>
      <c r="L12845" t="str">
        <f>T("1111111111")</f>
        <v>1111111111</v>
      </c>
    </row>
    <row r="12846" spans="1:12" x14ac:dyDescent="0.35">
      <c r="A12846" t="str">
        <f t="shared" ref="A12846:B12849" si="4737">T("USS CAPE ST GEORGE CG71")</f>
        <v>USS CAPE ST GEORGE CG71</v>
      </c>
      <c r="B12846" t="str">
        <f t="shared" si="4737"/>
        <v>USS CAPE ST GEORGE CG71</v>
      </c>
      <c r="C12846" t="str">
        <f>T("UNIT 100153 BOX 1")</f>
        <v>UNIT 100153 BOX 1</v>
      </c>
      <c r="D12846" t="str">
        <f t="shared" si="4728"/>
        <v>FPO</v>
      </c>
      <c r="E12846" t="str">
        <f t="shared" si="4732"/>
        <v>AP</v>
      </c>
      <c r="F12846" t="str">
        <f>T("966625300")</f>
        <v>966625300</v>
      </c>
      <c r="G12846" t="str">
        <f>T("ATTN SUPPLY OFFICER")</f>
        <v>ATTN SUPPLY OFFICER</v>
      </c>
      <c r="H12846" t="str">
        <f>T("S 1 DIVISION")</f>
        <v>S 1 DIVISION</v>
      </c>
      <c r="I12846" t="str">
        <f t="shared" si="4729"/>
        <v>FPO</v>
      </c>
      <c r="J12846" t="str">
        <f t="shared" si="4733"/>
        <v>AP</v>
      </c>
      <c r="K12846" t="str">
        <f>T("000000000000000000")</f>
        <v>000000000000000000</v>
      </c>
      <c r="L12846" t="str">
        <f>T("6195564048")</f>
        <v>6195564048</v>
      </c>
    </row>
    <row r="12847" spans="1:12" x14ac:dyDescent="0.35">
      <c r="A12847" t="str">
        <f t="shared" si="4737"/>
        <v>USS CAPE ST GEORGE CG71</v>
      </c>
      <c r="B12847" t="str">
        <f t="shared" si="4737"/>
        <v>USS CAPE ST GEORGE CG71</v>
      </c>
      <c r="C12847" t="str">
        <f>T("UNIT 100153 BOX 1")</f>
        <v>UNIT 100153 BOX 1</v>
      </c>
      <c r="D12847" t="str">
        <f t="shared" si="4728"/>
        <v>FPO</v>
      </c>
      <c r="E12847" t="str">
        <f t="shared" si="4732"/>
        <v>AP</v>
      </c>
      <c r="F12847" t="str">
        <f>T("966625300")</f>
        <v>966625300</v>
      </c>
      <c r="G12847" t="str">
        <f>T("USS CAP ST GEORGE CG 71")</f>
        <v>USS CAP ST GEORGE CG 71</v>
      </c>
      <c r="H12847" t="str">
        <f>T("UNIT 100153 BOX 1")</f>
        <v>UNIT 100153 BOX 1</v>
      </c>
      <c r="I12847" t="str">
        <f t="shared" si="4729"/>
        <v>FPO</v>
      </c>
      <c r="J12847" t="str">
        <f t="shared" si="4733"/>
        <v>AP</v>
      </c>
      <c r="K12847" t="str">
        <f>T("6195564072")</f>
        <v>6195564072</v>
      </c>
      <c r="L12847" t="str">
        <f>T("6195564000")</f>
        <v>6195564000</v>
      </c>
    </row>
    <row r="12848" spans="1:12" x14ac:dyDescent="0.35">
      <c r="A12848" t="str">
        <f t="shared" si="4737"/>
        <v>USS CAPE ST GEORGE CG71</v>
      </c>
      <c r="B12848" t="str">
        <f t="shared" si="4737"/>
        <v>USS CAPE ST GEORGE CG71</v>
      </c>
      <c r="C12848" t="str">
        <f>T("UNIT 100153 BOX 1")</f>
        <v>UNIT 100153 BOX 1</v>
      </c>
      <c r="D12848" t="str">
        <f t="shared" si="4728"/>
        <v>FPO</v>
      </c>
      <c r="E12848" t="str">
        <f t="shared" si="4732"/>
        <v>AP</v>
      </c>
      <c r="F12848" t="str">
        <f>T("966625300")</f>
        <v>966625300</v>
      </c>
      <c r="G12848" t="str">
        <f>T("USS CAPE ST GEORGE CG 71")</f>
        <v>USS CAPE ST GEORGE CG 71</v>
      </c>
      <c r="H12848" t="str">
        <f>T("SUPPLY S1")</f>
        <v>SUPPLY S1</v>
      </c>
      <c r="I12848" t="str">
        <f t="shared" si="4729"/>
        <v>FPO</v>
      </c>
      <c r="J12848" t="str">
        <f t="shared" si="4733"/>
        <v>AP</v>
      </c>
      <c r="K12848" t="str">
        <f>T("6195534072")</f>
        <v>6195534072</v>
      </c>
      <c r="L12848" t="str">
        <f>T("6195564048")</f>
        <v>6195564048</v>
      </c>
    </row>
    <row r="12849" spans="1:12" x14ac:dyDescent="0.35">
      <c r="A12849" t="str">
        <f t="shared" si="4737"/>
        <v>USS CAPE ST GEORGE CG71</v>
      </c>
      <c r="B12849" t="str">
        <f t="shared" si="4737"/>
        <v>USS CAPE ST GEORGE CG71</v>
      </c>
      <c r="C12849" t="str">
        <f>T("UNIT 100153 BOX 1")</f>
        <v>UNIT 100153 BOX 1</v>
      </c>
      <c r="D12849" t="str">
        <f t="shared" si="4728"/>
        <v>FPO</v>
      </c>
      <c r="E12849" t="str">
        <f t="shared" si="4732"/>
        <v>AP</v>
      </c>
      <c r="F12849" t="str">
        <f>T("966625300")</f>
        <v>966625300</v>
      </c>
      <c r="G12849" t="str">
        <f>T("USS CAPE ST GEORGE CG71")</f>
        <v>USS CAPE ST GEORGE CG71</v>
      </c>
      <c r="H12849" t="str">
        <f>T("UNIT 100153 BOX 1")</f>
        <v>UNIT 100153 BOX 1</v>
      </c>
      <c r="I12849" t="str">
        <f t="shared" si="4729"/>
        <v>FPO</v>
      </c>
      <c r="J12849" t="str">
        <f t="shared" si="4733"/>
        <v>AP</v>
      </c>
      <c r="K12849" t="str">
        <f>T("6195564072")</f>
        <v>6195564072</v>
      </c>
      <c r="L12849" t="str">
        <f>T("6195564048")</f>
        <v>6195564048</v>
      </c>
    </row>
    <row r="12850" spans="1:12" x14ac:dyDescent="0.35">
      <c r="A12850" t="str">
        <f>T("USS ARDENT MCM12")</f>
        <v>USS ARDENT MCM12</v>
      </c>
      <c r="B12850" t="str">
        <f>T("USS ARDENT MCM 12")</f>
        <v>USS ARDENT MCM 12</v>
      </c>
      <c r="C12850" t="str">
        <f>T("3581 CUMMINGS RD BLDG 3581")</f>
        <v>3581 CUMMINGS RD BLDG 3581</v>
      </c>
      <c r="D12850" t="str">
        <f>T("SAN DIEGO")</f>
        <v>SAN DIEGO</v>
      </c>
      <c r="E12850" t="str">
        <f>T("CA")</f>
        <v>CA</v>
      </c>
      <c r="F12850" t="str">
        <f>T("921363581")</f>
        <v>921363581</v>
      </c>
      <c r="G12850" t="str">
        <f>T("ATTN SUPPLY OFFICER")</f>
        <v>ATTN SUPPLY OFFICER</v>
      </c>
      <c r="H12850" t="str">
        <f>T("UNIT 100417 BOX 1")</f>
        <v>UNIT 100417 BOX 1</v>
      </c>
      <c r="I12850" t="str">
        <f t="shared" si="4729"/>
        <v>FPO</v>
      </c>
      <c r="J12850" t="str">
        <f t="shared" si="4733"/>
        <v>AP</v>
      </c>
      <c r="K12850" t="str">
        <f>T("000000000000000000")</f>
        <v>000000000000000000</v>
      </c>
      <c r="L12850" t="str">
        <f>T("3307618578")</f>
        <v>3307618578</v>
      </c>
    </row>
    <row r="12851" spans="1:12" x14ac:dyDescent="0.35">
      <c r="A12851" t="str">
        <f>T("USS ARDENT MCM12")</f>
        <v>USS ARDENT MCM12</v>
      </c>
      <c r="B12851" t="str">
        <f>T("USS ARDENT MCM 12")</f>
        <v>USS ARDENT MCM 12</v>
      </c>
      <c r="C12851" t="str">
        <f>T("3581 CUMMINGS RD BLDG 3581")</f>
        <v>3581 CUMMINGS RD BLDG 3581</v>
      </c>
      <c r="D12851" t="str">
        <f>T("SAN DIEGO")</f>
        <v>SAN DIEGO</v>
      </c>
      <c r="E12851" t="str">
        <f>T("CA")</f>
        <v>CA</v>
      </c>
      <c r="F12851" t="str">
        <f>T("921363581")</f>
        <v>921363581</v>
      </c>
      <c r="G12851" t="str">
        <f>T("ATTN SUPPLY OFFICER")</f>
        <v>ATTN SUPPLY OFFICER</v>
      </c>
      <c r="H12851" t="str">
        <f>T("UNIT 100417 BOX 1")</f>
        <v>UNIT 100417 BOX 1</v>
      </c>
      <c r="I12851" t="str">
        <f t="shared" si="4729"/>
        <v>FPO</v>
      </c>
      <c r="J12851" t="str">
        <f t="shared" si="4733"/>
        <v>AP</v>
      </c>
      <c r="K12851" t="str">
        <f>T("000000000000000000")</f>
        <v>000000000000000000</v>
      </c>
      <c r="L12851" t="str">
        <f>T("6192286405")</f>
        <v>6192286405</v>
      </c>
    </row>
    <row r="12852" spans="1:12" x14ac:dyDescent="0.35">
      <c r="A12852" t="str">
        <f>T("USS ARDENT MCM12")</f>
        <v>USS ARDENT MCM12</v>
      </c>
      <c r="B12852" t="str">
        <f>T("USS ARDENT MCM 12")</f>
        <v>USS ARDENT MCM 12</v>
      </c>
      <c r="C12852" t="str">
        <f>T("3581 CUMMINGS RD BLDG 3581")</f>
        <v>3581 CUMMINGS RD BLDG 3581</v>
      </c>
      <c r="D12852" t="str">
        <f>T("SAN DIEGO")</f>
        <v>SAN DIEGO</v>
      </c>
      <c r="E12852" t="str">
        <f>T("CA")</f>
        <v>CA</v>
      </c>
      <c r="F12852" t="str">
        <f>T("921363581")</f>
        <v>921363581</v>
      </c>
      <c r="G12852" t="str">
        <f>T("USS ARDENT MCM 12")</f>
        <v>USS ARDENT MCM 12</v>
      </c>
      <c r="H12852" t="str">
        <f>T("3581 CUMMINGS RD BLDG 3581")</f>
        <v>3581 CUMMINGS RD BLDG 3581</v>
      </c>
      <c r="I12852" t="str">
        <f>T("SAN DIEGO")</f>
        <v>SAN DIEGO</v>
      </c>
      <c r="J12852" t="str">
        <f>T("CA")</f>
        <v>CA</v>
      </c>
      <c r="K12852" t="str">
        <f>T("")</f>
        <v/>
      </c>
      <c r="L12852" t="str">
        <f>T("6199171802")</f>
        <v>6199171802</v>
      </c>
    </row>
    <row r="12853" spans="1:12" x14ac:dyDescent="0.35">
      <c r="A12853" t="str">
        <f>T("USS DEXTROUS MCM13")</f>
        <v>USS DEXTROUS MCM13</v>
      </c>
      <c r="B12853" t="str">
        <f>T("USS DEXTROUS MCM13*")</f>
        <v>USS DEXTROUS MCM13*</v>
      </c>
      <c r="C12853" t="str">
        <f>T("UNIT 100347 BOX 1")</f>
        <v>UNIT 100347 BOX 1</v>
      </c>
      <c r="D12853" t="str">
        <f t="shared" ref="D12853:D12885" si="4738">T("FPO")</f>
        <v>FPO</v>
      </c>
      <c r="E12853" t="str">
        <f>T("AE")</f>
        <v>AE</v>
      </c>
      <c r="F12853" t="str">
        <f>T("095054700")</f>
        <v>095054700</v>
      </c>
      <c r="G12853" t="str">
        <f>T("ATTN SUPPLY OFFICER")</f>
        <v>ATTN SUPPLY OFFICER</v>
      </c>
      <c r="H12853" t="str">
        <f>T("UNIT 100346 BOX 1")</f>
        <v>UNIT 100346 BOX 1</v>
      </c>
      <c r="I12853" t="str">
        <f t="shared" ref="I12853:I12885" si="4739">T("FPO")</f>
        <v>FPO</v>
      </c>
      <c r="J12853" t="str">
        <f>T("AE")</f>
        <v>AE</v>
      </c>
      <c r="K12853" t="str">
        <f>T("000000000000000000")</f>
        <v>000000000000000000</v>
      </c>
      <c r="L12853" t="str">
        <f>T("6629109427")</f>
        <v>6629109427</v>
      </c>
    </row>
    <row r="12854" spans="1:12" x14ac:dyDescent="0.35">
      <c r="A12854" t="str">
        <f>T("USS DEXTROUS MCM13")</f>
        <v>USS DEXTROUS MCM13</v>
      </c>
      <c r="B12854" t="str">
        <f>T("USS DEXTROUS MCM13*")</f>
        <v>USS DEXTROUS MCM13*</v>
      </c>
      <c r="C12854" t="str">
        <f>T("UNIT 100347 BOX 1")</f>
        <v>UNIT 100347 BOX 1</v>
      </c>
      <c r="D12854" t="str">
        <f t="shared" si="4738"/>
        <v>FPO</v>
      </c>
      <c r="E12854" t="str">
        <f>T("AE")</f>
        <v>AE</v>
      </c>
      <c r="F12854" t="str">
        <f>T("095054700")</f>
        <v>095054700</v>
      </c>
      <c r="G12854" t="str">
        <f>T("ATTN SUPPLY OFFICER")</f>
        <v>ATTN SUPPLY OFFICER</v>
      </c>
      <c r="H12854" t="str">
        <f>T("UNIT 100346 BOX 1")</f>
        <v>UNIT 100346 BOX 1</v>
      </c>
      <c r="I12854" t="str">
        <f t="shared" si="4739"/>
        <v>FPO</v>
      </c>
      <c r="J12854" t="str">
        <f>T("AE")</f>
        <v>AE</v>
      </c>
      <c r="K12854" t="str">
        <f>T("01197339415997")</f>
        <v>01197339415997</v>
      </c>
      <c r="L12854" t="str">
        <f>T("1111111111")</f>
        <v>1111111111</v>
      </c>
    </row>
    <row r="12855" spans="1:12" x14ac:dyDescent="0.35">
      <c r="A12855" t="str">
        <f>T("USS DEXTROUS MCM13")</f>
        <v>USS DEXTROUS MCM13</v>
      </c>
      <c r="B12855" t="str">
        <f>T("USS DEXTROUS MCM13*")</f>
        <v>USS DEXTROUS MCM13*</v>
      </c>
      <c r="C12855" t="str">
        <f>T("UNIT 100347 BOX 1")</f>
        <v>UNIT 100347 BOX 1</v>
      </c>
      <c r="D12855" t="str">
        <f t="shared" si="4738"/>
        <v>FPO</v>
      </c>
      <c r="E12855" t="str">
        <f>T("AE")</f>
        <v>AE</v>
      </c>
      <c r="F12855" t="str">
        <f>T("095054700")</f>
        <v>095054700</v>
      </c>
      <c r="G12855" t="str">
        <f>T("USS DEXTROUS MCM13*")</f>
        <v>USS DEXTROUS MCM13*</v>
      </c>
      <c r="H12855" t="str">
        <f>T("UNIT 100347 BOX 1")</f>
        <v>UNIT 100347 BOX 1</v>
      </c>
      <c r="I12855" t="str">
        <f t="shared" si="4739"/>
        <v>FPO</v>
      </c>
      <c r="J12855" t="str">
        <f>T("AE")</f>
        <v>AE</v>
      </c>
      <c r="K12855" t="str">
        <f>T("000000000000000000")</f>
        <v>000000000000000000</v>
      </c>
      <c r="L12855" t="str">
        <f>T("1111111111")</f>
        <v>1111111111</v>
      </c>
    </row>
    <row r="12856" spans="1:12" x14ac:dyDescent="0.35">
      <c r="A12856" t="str">
        <f t="shared" ref="A12856:B12858" si="4740">T("USS CHIEF MCM 14")</f>
        <v>USS CHIEF MCM 14</v>
      </c>
      <c r="B12856" t="str">
        <f t="shared" si="4740"/>
        <v>USS CHIEF MCM 14</v>
      </c>
      <c r="C12856" t="str">
        <f>T("UNIT 100164 BOX 1")</f>
        <v>UNIT 100164 BOX 1</v>
      </c>
      <c r="D12856" t="str">
        <f t="shared" si="4738"/>
        <v>FPO</v>
      </c>
      <c r="E12856" t="str">
        <f t="shared" ref="E12856:E12885" si="4741">T("AP")</f>
        <v>AP</v>
      </c>
      <c r="F12856" t="str">
        <f>T("966626400")</f>
        <v>966626400</v>
      </c>
      <c r="G12856" t="str">
        <f>T("ATTN SUPPLY OFFICER")</f>
        <v>ATTN SUPPLY OFFICER</v>
      </c>
      <c r="H12856" t="str">
        <f>T("UNIT 100164 BOX 1")</f>
        <v>UNIT 100164 BOX 1</v>
      </c>
      <c r="I12856" t="str">
        <f t="shared" si="4739"/>
        <v>FPO</v>
      </c>
      <c r="J12856" t="str">
        <f t="shared" ref="J12856:J12885" si="4742">T("AP")</f>
        <v>AP</v>
      </c>
      <c r="K12856" t="str">
        <f>T("000000000000000000")</f>
        <v>000000000000000000</v>
      </c>
      <c r="L12856" t="str">
        <f>T("3152521212")</f>
        <v>3152521212</v>
      </c>
    </row>
    <row r="12857" spans="1:12" x14ac:dyDescent="0.35">
      <c r="A12857" t="str">
        <f t="shared" si="4740"/>
        <v>USS CHIEF MCM 14</v>
      </c>
      <c r="B12857" t="str">
        <f t="shared" si="4740"/>
        <v>USS CHIEF MCM 14</v>
      </c>
      <c r="C12857" t="str">
        <f>T("UNIT 100164 BOX 1")</f>
        <v>UNIT 100164 BOX 1</v>
      </c>
      <c r="D12857" t="str">
        <f t="shared" si="4738"/>
        <v>FPO</v>
      </c>
      <c r="E12857" t="str">
        <f t="shared" si="4741"/>
        <v>AP</v>
      </c>
      <c r="F12857" t="str">
        <f>T("966626400")</f>
        <v>966626400</v>
      </c>
      <c r="G12857" t="str">
        <f>T("USS CHIEF MCM 14")</f>
        <v>USS CHIEF MCM 14</v>
      </c>
      <c r="H12857" t="str">
        <f>T("UNIT 100164 BOX 1")</f>
        <v>UNIT 100164 BOX 1</v>
      </c>
      <c r="I12857" t="str">
        <f t="shared" si="4739"/>
        <v>FPO</v>
      </c>
      <c r="J12857" t="str">
        <f t="shared" si="4742"/>
        <v>AP</v>
      </c>
      <c r="K12857" t="str">
        <f>T("000000000000000000")</f>
        <v>000000000000000000</v>
      </c>
      <c r="L12857" t="str">
        <f>T("1111111111")</f>
        <v>1111111111</v>
      </c>
    </row>
    <row r="12858" spans="1:12" x14ac:dyDescent="0.35">
      <c r="A12858" t="str">
        <f t="shared" si="4740"/>
        <v>USS CHIEF MCM 14</v>
      </c>
      <c r="B12858" t="str">
        <f t="shared" si="4740"/>
        <v>USS CHIEF MCM 14</v>
      </c>
      <c r="C12858" t="str">
        <f>T("UNIT 100164 BOX 1")</f>
        <v>UNIT 100164 BOX 1</v>
      </c>
      <c r="D12858" t="str">
        <f t="shared" si="4738"/>
        <v>FPO</v>
      </c>
      <c r="E12858" t="str">
        <f t="shared" si="4741"/>
        <v>AP</v>
      </c>
      <c r="F12858" t="str">
        <f>T("966626400")</f>
        <v>966626400</v>
      </c>
      <c r="G12858" t="str">
        <f>T("USS CHIEF MCM 14")</f>
        <v>USS CHIEF MCM 14</v>
      </c>
      <c r="H12858" t="str">
        <f>T("UNIT 100164 BOX 1")</f>
        <v>UNIT 100164 BOX 1</v>
      </c>
      <c r="I12858" t="str">
        <f t="shared" si="4739"/>
        <v>FPO</v>
      </c>
      <c r="J12858" t="str">
        <f t="shared" si="4742"/>
        <v>AP</v>
      </c>
      <c r="K12858" t="str">
        <f>T("000000000000000000")</f>
        <v>000000000000000000</v>
      </c>
      <c r="L12858" t="str">
        <f>T("3152521212")</f>
        <v>3152521212</v>
      </c>
    </row>
    <row r="12859" spans="1:12" x14ac:dyDescent="0.35">
      <c r="A12859" t="str">
        <f>T("USS O'KANE DDG 77")</f>
        <v>USS O'KANE DDG 77</v>
      </c>
      <c r="B12859" t="str">
        <f>T("SUPPLY DEPARTMENT")</f>
        <v>SUPPLY DEPARTMENT</v>
      </c>
      <c r="C12859" t="str">
        <f>T("USS O'KANE DDG77")</f>
        <v>USS O'KANE DDG77</v>
      </c>
      <c r="D12859" t="str">
        <f t="shared" si="4738"/>
        <v>FPO</v>
      </c>
      <c r="E12859" t="str">
        <f t="shared" si="4741"/>
        <v>AP</v>
      </c>
      <c r="F12859" t="str">
        <f>T("966741295")</f>
        <v>966741295</v>
      </c>
      <c r="G12859" t="str">
        <f>T("ATTN SUPPLY OFFICER")</f>
        <v>ATTN SUPPLY OFFICER</v>
      </c>
      <c r="H12859" t="str">
        <f>T("UNIT 100189 BOX 1")</f>
        <v>UNIT 100189 BOX 1</v>
      </c>
      <c r="I12859" t="str">
        <f t="shared" si="4739"/>
        <v>FPO</v>
      </c>
      <c r="J12859" t="str">
        <f t="shared" si="4742"/>
        <v>AP</v>
      </c>
      <c r="K12859" t="str">
        <f>T("01181956502127")</f>
        <v>01181956502127</v>
      </c>
      <c r="L12859" t="str">
        <f>T("8084710757")</f>
        <v>8084710757</v>
      </c>
    </row>
    <row r="12860" spans="1:12" x14ac:dyDescent="0.35">
      <c r="A12860" t="str">
        <f>T("USS O'KANE DDG 77")</f>
        <v>USS O'KANE DDG 77</v>
      </c>
      <c r="B12860" t="str">
        <f>T("SUPPLY DEPARTMENT")</f>
        <v>SUPPLY DEPARTMENT</v>
      </c>
      <c r="C12860" t="str">
        <f>T("USS O'KANE DDG77")</f>
        <v>USS O'KANE DDG77</v>
      </c>
      <c r="D12860" t="str">
        <f t="shared" si="4738"/>
        <v>FPO</v>
      </c>
      <c r="E12860" t="str">
        <f t="shared" si="4741"/>
        <v>AP</v>
      </c>
      <c r="F12860" t="str">
        <f>T("966741295")</f>
        <v>966741295</v>
      </c>
      <c r="G12860" t="str">
        <f>T("SUPPLY DEPARTMENT")</f>
        <v>SUPPLY DEPARTMENT</v>
      </c>
      <c r="H12860" t="str">
        <f>T("USS O'KANE DDG77")</f>
        <v>USS O'KANE DDG77</v>
      </c>
      <c r="I12860" t="str">
        <f t="shared" si="4739"/>
        <v>FPO</v>
      </c>
      <c r="J12860" t="str">
        <f t="shared" si="4742"/>
        <v>AP</v>
      </c>
      <c r="K12860" t="str">
        <f>T("8084710740")</f>
        <v>8084710740</v>
      </c>
      <c r="L12860" t="str">
        <f>T("8084748745")</f>
        <v>8084748745</v>
      </c>
    </row>
    <row r="12861" spans="1:12" x14ac:dyDescent="0.35">
      <c r="A12861" t="str">
        <f>T("USS O'KANE DDG 77")</f>
        <v>USS O'KANE DDG 77</v>
      </c>
      <c r="B12861" t="str">
        <f>T("SUPPLY DEPARTMENT")</f>
        <v>SUPPLY DEPARTMENT</v>
      </c>
      <c r="C12861" t="str">
        <f>T("USS O'KANE DDG77")</f>
        <v>USS O'KANE DDG77</v>
      </c>
      <c r="D12861" t="str">
        <f t="shared" si="4738"/>
        <v>FPO</v>
      </c>
      <c r="E12861" t="str">
        <f t="shared" si="4741"/>
        <v>AP</v>
      </c>
      <c r="F12861" t="str">
        <f>T("966741295")</f>
        <v>966741295</v>
      </c>
      <c r="G12861" t="str">
        <f>T("UNIT 100189 BOX 100")</f>
        <v>UNIT 100189 BOX 100</v>
      </c>
      <c r="H12861" t="str">
        <f>T("SUPPLY OFFICER")</f>
        <v>SUPPLY OFFICER</v>
      </c>
      <c r="I12861" t="str">
        <f t="shared" si="4739"/>
        <v>FPO</v>
      </c>
      <c r="J12861" t="str">
        <f t="shared" si="4742"/>
        <v>AP</v>
      </c>
      <c r="K12861" t="str">
        <f>T("000000000000000000")</f>
        <v>000000000000000000</v>
      </c>
      <c r="L12861" t="str">
        <f>T("8084748745")</f>
        <v>8084748745</v>
      </c>
    </row>
    <row r="12862" spans="1:12" x14ac:dyDescent="0.35">
      <c r="A12862" t="str">
        <f>T("USS KIDD DDG 100")</f>
        <v>USS KIDD DDG 100</v>
      </c>
      <c r="B12862" t="str">
        <f>T("USS KIDD DDG 100")</f>
        <v>USS KIDD DDG 100</v>
      </c>
      <c r="C12862" t="str">
        <f>T("UNIT 100209 BOX 1")</f>
        <v>UNIT 100209 BOX 1</v>
      </c>
      <c r="D12862" t="str">
        <f t="shared" si="4738"/>
        <v>FPO</v>
      </c>
      <c r="E12862" t="str">
        <f t="shared" si="4741"/>
        <v>AP</v>
      </c>
      <c r="F12862" t="str">
        <f>T("966700900")</f>
        <v>966700900</v>
      </c>
      <c r="G12862" t="str">
        <f>T("ATTN SUPPLY OFFICER")</f>
        <v>ATTN SUPPLY OFFICER</v>
      </c>
      <c r="H12862" t="str">
        <f>T("UNIT 100209 BOX 1")</f>
        <v>UNIT 100209 BOX 1</v>
      </c>
      <c r="I12862" t="str">
        <f t="shared" si="4739"/>
        <v>FPO</v>
      </c>
      <c r="J12862" t="str">
        <f t="shared" si="4742"/>
        <v>AP</v>
      </c>
      <c r="K12862" t="str">
        <f>T("000000000000000000")</f>
        <v>000000000000000000</v>
      </c>
      <c r="L12862" t="str">
        <f>T("6195563810")</f>
        <v>6195563810</v>
      </c>
    </row>
    <row r="12863" spans="1:12" x14ac:dyDescent="0.35">
      <c r="A12863" t="str">
        <f>T("USS KIDD DDG 100")</f>
        <v>USS KIDD DDG 100</v>
      </c>
      <c r="B12863" t="str">
        <f>T("USS KIDD DDG 100")</f>
        <v>USS KIDD DDG 100</v>
      </c>
      <c r="C12863" t="str">
        <f>T("UNIT 100209 BOX 1")</f>
        <v>UNIT 100209 BOX 1</v>
      </c>
      <c r="D12863" t="str">
        <f t="shared" si="4738"/>
        <v>FPO</v>
      </c>
      <c r="E12863" t="str">
        <f t="shared" si="4741"/>
        <v>AP</v>
      </c>
      <c r="F12863" t="str">
        <f>T("966700900")</f>
        <v>966700900</v>
      </c>
      <c r="G12863" t="str">
        <f>T("USS KIDD DDG 100")</f>
        <v>USS KIDD DDG 100</v>
      </c>
      <c r="H12863" t="str">
        <f>T("UNIT 100209 BOX 1")</f>
        <v>UNIT 100209 BOX 1</v>
      </c>
      <c r="I12863" t="str">
        <f t="shared" si="4739"/>
        <v>FPO</v>
      </c>
      <c r="J12863" t="str">
        <f t="shared" si="4742"/>
        <v>AP</v>
      </c>
      <c r="K12863" t="str">
        <f>T("2287694259")</f>
        <v>2287694259</v>
      </c>
      <c r="L12863" t="str">
        <f>T("1111111111")</f>
        <v>1111111111</v>
      </c>
    </row>
    <row r="12864" spans="1:12" x14ac:dyDescent="0.35">
      <c r="A12864" t="str">
        <f>T("USS SAMPSON DDG-102")</f>
        <v>USS SAMPSON DDG-102</v>
      </c>
      <c r="B12864" t="str">
        <f>T("USS SAMPSON DDG 102")</f>
        <v>USS SAMPSON DDG 102</v>
      </c>
      <c r="C12864" t="str">
        <f>T("UNIT 100214 BOX 1")</f>
        <v>UNIT 100214 BOX 1</v>
      </c>
      <c r="D12864" t="str">
        <f t="shared" si="4738"/>
        <v>FPO</v>
      </c>
      <c r="E12864" t="str">
        <f t="shared" si="4741"/>
        <v>AP</v>
      </c>
      <c r="F12864" t="str">
        <f>T("966781400")</f>
        <v>966781400</v>
      </c>
      <c r="G12864" t="str">
        <f>T("ATTN SUPPLY OFFICER")</f>
        <v>ATTN SUPPLY OFFICER</v>
      </c>
      <c r="H12864" t="str">
        <f>T("UNIT 100214 BOX 1")</f>
        <v>UNIT 100214 BOX 1</v>
      </c>
      <c r="I12864" t="str">
        <f t="shared" si="4739"/>
        <v>FPO</v>
      </c>
      <c r="J12864" t="str">
        <f t="shared" si="4742"/>
        <v>AP</v>
      </c>
      <c r="K12864" t="str">
        <f>T("000000000000000000")</f>
        <v>000000000000000000</v>
      </c>
      <c r="L12864" t="str">
        <f>T("6192391382")</f>
        <v>6192391382</v>
      </c>
    </row>
    <row r="12865" spans="1:12" x14ac:dyDescent="0.35">
      <c r="A12865" t="str">
        <f>T("USS SAMPSON DDG-102")</f>
        <v>USS SAMPSON DDG-102</v>
      </c>
      <c r="B12865" t="str">
        <f>T("USS SAMPSON DDG 102")</f>
        <v>USS SAMPSON DDG 102</v>
      </c>
      <c r="C12865" t="str">
        <f>T("UNIT 100214 BOX 1")</f>
        <v>UNIT 100214 BOX 1</v>
      </c>
      <c r="D12865" t="str">
        <f t="shared" si="4738"/>
        <v>FPO</v>
      </c>
      <c r="E12865" t="str">
        <f t="shared" si="4741"/>
        <v>AP</v>
      </c>
      <c r="F12865" t="str">
        <f>T("966781400")</f>
        <v>966781400</v>
      </c>
      <c r="G12865" t="str">
        <f>T("SUPPLY DEPT S1 DIV")</f>
        <v>SUPPLY DEPT S1 DIV</v>
      </c>
      <c r="H12865" t="str">
        <f>T("")</f>
        <v/>
      </c>
      <c r="I12865" t="str">
        <f t="shared" si="4739"/>
        <v>FPO</v>
      </c>
      <c r="J12865" t="str">
        <f t="shared" si="4742"/>
        <v>AP</v>
      </c>
      <c r="K12865" t="str">
        <f>T("000000000000000000")</f>
        <v>000000000000000000</v>
      </c>
      <c r="L12865" t="str">
        <f>T("6195564713")</f>
        <v>6195564713</v>
      </c>
    </row>
    <row r="12866" spans="1:12" x14ac:dyDescent="0.35">
      <c r="A12866" t="str">
        <f>T("USS SAMPSON DDG-102")</f>
        <v>USS SAMPSON DDG-102</v>
      </c>
      <c r="B12866" t="str">
        <f>T("USS SAMPSON DDG 102")</f>
        <v>USS SAMPSON DDG 102</v>
      </c>
      <c r="C12866" t="str">
        <f>T("UNIT 100214 BOX 1")</f>
        <v>UNIT 100214 BOX 1</v>
      </c>
      <c r="D12866" t="str">
        <f t="shared" si="4738"/>
        <v>FPO</v>
      </c>
      <c r="E12866" t="str">
        <f t="shared" si="4741"/>
        <v>AP</v>
      </c>
      <c r="F12866" t="str">
        <f>T("966781400")</f>
        <v>966781400</v>
      </c>
      <c r="G12866" t="str">
        <f>T("USS SAMPSON DDG 102")</f>
        <v>USS SAMPSON DDG 102</v>
      </c>
      <c r="H12866" t="str">
        <f>T("S1 DIV")</f>
        <v>S1 DIV</v>
      </c>
      <c r="I12866" t="str">
        <f t="shared" si="4739"/>
        <v>FPO</v>
      </c>
      <c r="J12866" t="str">
        <f t="shared" si="4742"/>
        <v>AP</v>
      </c>
      <c r="K12866" t="str">
        <f>T("000000000000000000")</f>
        <v>000000000000000000</v>
      </c>
      <c r="L12866" t="str">
        <f>T("6195564713")</f>
        <v>6195564713</v>
      </c>
    </row>
    <row r="12867" spans="1:12" x14ac:dyDescent="0.35">
      <c r="A12867" t="str">
        <f>T("USS SAMPSON DDG-102")</f>
        <v>USS SAMPSON DDG-102</v>
      </c>
      <c r="B12867" t="str">
        <f>T("USS SAMPSON DDG 102")</f>
        <v>USS SAMPSON DDG 102</v>
      </c>
      <c r="C12867" t="str">
        <f>T("UNIT 100214 BOX 1")</f>
        <v>UNIT 100214 BOX 1</v>
      </c>
      <c r="D12867" t="str">
        <f t="shared" si="4738"/>
        <v>FPO</v>
      </c>
      <c r="E12867" t="str">
        <f t="shared" si="4741"/>
        <v>AP</v>
      </c>
      <c r="F12867" t="str">
        <f>T("966781400")</f>
        <v>966781400</v>
      </c>
      <c r="G12867" t="str">
        <f>T("USS SAMPSON DDG 102")</f>
        <v>USS SAMPSON DDG 102</v>
      </c>
      <c r="H12867" t="str">
        <f>T("UNIT 100214 BOX 1")</f>
        <v>UNIT 100214 BOX 1</v>
      </c>
      <c r="I12867" t="str">
        <f t="shared" si="4739"/>
        <v>FPO</v>
      </c>
      <c r="J12867" t="str">
        <f t="shared" si="4742"/>
        <v>AP</v>
      </c>
      <c r="K12867" t="str">
        <f>T("6195564733")</f>
        <v>6195564733</v>
      </c>
      <c r="L12867" t="str">
        <f>T("6195564713")</f>
        <v>6195564713</v>
      </c>
    </row>
    <row r="12868" spans="1:12" x14ac:dyDescent="0.35">
      <c r="A12868" t="str">
        <f>T("USS DEWEY DDG 105")</f>
        <v>USS DEWEY DDG 105</v>
      </c>
      <c r="B12868" t="str">
        <f>T("USS DEWEY DDG 105")</f>
        <v>USS DEWEY DDG 105</v>
      </c>
      <c r="C12868" t="str">
        <f>T("")</f>
        <v/>
      </c>
      <c r="D12868" t="str">
        <f t="shared" si="4738"/>
        <v>FPO</v>
      </c>
      <c r="E12868" t="str">
        <f t="shared" si="4741"/>
        <v>AP</v>
      </c>
      <c r="F12868" t="str">
        <f>T("966631303")</f>
        <v>966631303</v>
      </c>
      <c r="G12868" t="str">
        <f>T("ATTN SUPPLY OFFICER")</f>
        <v>ATTN SUPPLY OFFICER</v>
      </c>
      <c r="H12868" t="str">
        <f>T("UNIT 100224 BOX 1")</f>
        <v>UNIT 100224 BOX 1</v>
      </c>
      <c r="I12868" t="str">
        <f t="shared" si="4739"/>
        <v>FPO</v>
      </c>
      <c r="J12868" t="str">
        <f t="shared" si="4742"/>
        <v>AP</v>
      </c>
      <c r="K12868" t="str">
        <f>T("000000000000000000")</f>
        <v>000000000000000000</v>
      </c>
      <c r="L12868" t="str">
        <f>T("6195564634")</f>
        <v>6195564634</v>
      </c>
    </row>
    <row r="12869" spans="1:12" x14ac:dyDescent="0.35">
      <c r="A12869" t="str">
        <f>T("USS DEWEY DDG 105")</f>
        <v>USS DEWEY DDG 105</v>
      </c>
      <c r="B12869" t="str">
        <f>T("USS DEWEY DDG 105")</f>
        <v>USS DEWEY DDG 105</v>
      </c>
      <c r="C12869" t="str">
        <f>T("")</f>
        <v/>
      </c>
      <c r="D12869" t="str">
        <f t="shared" si="4738"/>
        <v>FPO</v>
      </c>
      <c r="E12869" t="str">
        <f t="shared" si="4741"/>
        <v>AP</v>
      </c>
      <c r="F12869" t="str">
        <f>T("966631303")</f>
        <v>966631303</v>
      </c>
      <c r="G12869" t="str">
        <f>T("USS DEWEY DDG 105")</f>
        <v>USS DEWEY DDG 105</v>
      </c>
      <c r="H12869" t="str">
        <f>T("")</f>
        <v/>
      </c>
      <c r="I12869" t="str">
        <f t="shared" si="4739"/>
        <v>FPO</v>
      </c>
      <c r="J12869" t="str">
        <f t="shared" si="4742"/>
        <v>AP</v>
      </c>
      <c r="K12869" t="str">
        <f>T("000000000000000000")</f>
        <v>000000000000000000</v>
      </c>
      <c r="L12869" t="str">
        <f>T("6185584634")</f>
        <v>6185584634</v>
      </c>
    </row>
    <row r="12870" spans="1:12" x14ac:dyDescent="0.35">
      <c r="A12870" t="str">
        <f>T("USS STOCKDALE DDG 106")</f>
        <v>USS STOCKDALE DDG 106</v>
      </c>
      <c r="B12870" t="str">
        <f>T("USS STOCKDALE DDG 106")</f>
        <v>USS STOCKDALE DDG 106</v>
      </c>
      <c r="C12870" t="str">
        <f>T("SUPPLY DEPT")</f>
        <v>SUPPLY DEPT</v>
      </c>
      <c r="D12870" t="str">
        <f t="shared" si="4738"/>
        <v>FPO</v>
      </c>
      <c r="E12870" t="str">
        <f t="shared" si="4741"/>
        <v>AP</v>
      </c>
      <c r="F12870" t="str">
        <f>T("966781205")</f>
        <v>966781205</v>
      </c>
      <c r="G12870" t="str">
        <f>T("ATTN SUPPLY OFFICER")</f>
        <v>ATTN SUPPLY OFFICER</v>
      </c>
      <c r="H12870" t="str">
        <f>T("UNIT 100219 BOX 1")</f>
        <v>UNIT 100219 BOX 1</v>
      </c>
      <c r="I12870" t="str">
        <f t="shared" si="4739"/>
        <v>FPO</v>
      </c>
      <c r="J12870" t="str">
        <f t="shared" si="4742"/>
        <v>AP</v>
      </c>
      <c r="K12870" t="str">
        <f>T("000000000000000000")</f>
        <v>000000000000000000</v>
      </c>
      <c r="L12870" t="str">
        <f>T("6195564563")</f>
        <v>6195564563</v>
      </c>
    </row>
    <row r="12871" spans="1:12" x14ac:dyDescent="0.35">
      <c r="A12871" t="str">
        <f>T("USS STOCKDALE DDG 106")</f>
        <v>USS STOCKDALE DDG 106</v>
      </c>
      <c r="B12871" t="str">
        <f>T("USS STOCKDALE DDG 106")</f>
        <v>USS STOCKDALE DDG 106</v>
      </c>
      <c r="C12871" t="str">
        <f>T("SUPPLY DEPT")</f>
        <v>SUPPLY DEPT</v>
      </c>
      <c r="D12871" t="str">
        <f t="shared" si="4738"/>
        <v>FPO</v>
      </c>
      <c r="E12871" t="str">
        <f t="shared" si="4741"/>
        <v>AP</v>
      </c>
      <c r="F12871" t="str">
        <f>T("966781205")</f>
        <v>966781205</v>
      </c>
      <c r="G12871" t="str">
        <f>T("USS STOCKDALE DDG 106")</f>
        <v>USS STOCKDALE DDG 106</v>
      </c>
      <c r="H12871" t="str">
        <f>T("SUPPLY DEPT")</f>
        <v>SUPPLY DEPT</v>
      </c>
      <c r="I12871" t="str">
        <f t="shared" si="4739"/>
        <v>FPO</v>
      </c>
      <c r="J12871" t="str">
        <f t="shared" si="4742"/>
        <v>AP</v>
      </c>
      <c r="K12871" t="str">
        <f>T("")</f>
        <v/>
      </c>
      <c r="L12871" t="str">
        <f>T("6195564563")</f>
        <v>6195564563</v>
      </c>
    </row>
    <row r="12872" spans="1:12" x14ac:dyDescent="0.35">
      <c r="A12872" t="str">
        <f t="shared" ref="A12872:B12875" si="4743">T("USS STERETT DDG 104")</f>
        <v>USS STERETT DDG 104</v>
      </c>
      <c r="B12872" t="str">
        <f t="shared" si="4743"/>
        <v>USS STERETT DDG 104</v>
      </c>
      <c r="C12872" t="str">
        <f>T("UNIT 100216 BOX 1")</f>
        <v>UNIT 100216 BOX 1</v>
      </c>
      <c r="D12872" t="str">
        <f t="shared" si="4738"/>
        <v>FPO</v>
      </c>
      <c r="E12872" t="str">
        <f t="shared" si="4741"/>
        <v>AP</v>
      </c>
      <c r="F12872" t="str">
        <f>T("966781600")</f>
        <v>966781600</v>
      </c>
      <c r="G12872" t="str">
        <f>T("ATTN SUPPLY OFFICER")</f>
        <v>ATTN SUPPLY OFFICER</v>
      </c>
      <c r="H12872" t="str">
        <f>T("UNIT 100216 BOX 20002")</f>
        <v>UNIT 100216 BOX 20002</v>
      </c>
      <c r="I12872" t="str">
        <f t="shared" si="4739"/>
        <v>FPO</v>
      </c>
      <c r="J12872" t="str">
        <f t="shared" si="4742"/>
        <v>AP</v>
      </c>
      <c r="K12872" t="str">
        <f t="shared" ref="K12872:K12887" si="4744">T("000000000000000000")</f>
        <v>000000000000000000</v>
      </c>
      <c r="L12872" t="str">
        <f>T("6195563990")</f>
        <v>6195563990</v>
      </c>
    </row>
    <row r="12873" spans="1:12" x14ac:dyDescent="0.35">
      <c r="A12873" t="str">
        <f t="shared" si="4743"/>
        <v>USS STERETT DDG 104</v>
      </c>
      <c r="B12873" t="str">
        <f t="shared" si="4743"/>
        <v>USS STERETT DDG 104</v>
      </c>
      <c r="C12873" t="str">
        <f>T("UNIT 100216 BOX 1")</f>
        <v>UNIT 100216 BOX 1</v>
      </c>
      <c r="D12873" t="str">
        <f t="shared" si="4738"/>
        <v>FPO</v>
      </c>
      <c r="E12873" t="str">
        <f t="shared" si="4741"/>
        <v>AP</v>
      </c>
      <c r="F12873" t="str">
        <f>T("966781600")</f>
        <v>966781600</v>
      </c>
      <c r="G12873" t="str">
        <f>T("USS STERETT DDG 104")</f>
        <v>USS STERETT DDG 104</v>
      </c>
      <c r="H12873" t="str">
        <f>T("UNIT 100216 BOX 1")</f>
        <v>UNIT 100216 BOX 1</v>
      </c>
      <c r="I12873" t="str">
        <f t="shared" si="4739"/>
        <v>FPO</v>
      </c>
      <c r="J12873" t="str">
        <f t="shared" si="4742"/>
        <v>AP</v>
      </c>
      <c r="K12873" t="str">
        <f t="shared" si="4744"/>
        <v>000000000000000000</v>
      </c>
      <c r="L12873" t="str">
        <f>T("6195563969")</f>
        <v>6195563969</v>
      </c>
    </row>
    <row r="12874" spans="1:12" x14ac:dyDescent="0.35">
      <c r="A12874" t="str">
        <f t="shared" si="4743"/>
        <v>USS STERETT DDG 104</v>
      </c>
      <c r="B12874" t="str">
        <f t="shared" si="4743"/>
        <v>USS STERETT DDG 104</v>
      </c>
      <c r="C12874" t="str">
        <f>T("UNIT 100216 BOX 1")</f>
        <v>UNIT 100216 BOX 1</v>
      </c>
      <c r="D12874" t="str">
        <f t="shared" si="4738"/>
        <v>FPO</v>
      </c>
      <c r="E12874" t="str">
        <f t="shared" si="4741"/>
        <v>AP</v>
      </c>
      <c r="F12874" t="str">
        <f>T("966781600")</f>
        <v>966781600</v>
      </c>
      <c r="G12874" t="str">
        <f>T("USS STERETT DDG 104")</f>
        <v>USS STERETT DDG 104</v>
      </c>
      <c r="H12874" t="str">
        <f>T("UNIT 100216 BOX 1")</f>
        <v>UNIT 100216 BOX 1</v>
      </c>
      <c r="I12874" t="str">
        <f t="shared" si="4739"/>
        <v>FPO</v>
      </c>
      <c r="J12874" t="str">
        <f t="shared" si="4742"/>
        <v>AP</v>
      </c>
      <c r="K12874" t="str">
        <f t="shared" si="4744"/>
        <v>000000000000000000</v>
      </c>
      <c r="L12874" t="str">
        <f>T("6195563990")</f>
        <v>6195563990</v>
      </c>
    </row>
    <row r="12875" spans="1:12" x14ac:dyDescent="0.35">
      <c r="A12875" t="str">
        <f t="shared" si="4743"/>
        <v>USS STERETT DDG 104</v>
      </c>
      <c r="B12875" t="str">
        <f t="shared" si="4743"/>
        <v>USS STERETT DDG 104</v>
      </c>
      <c r="C12875" t="str">
        <f>T("UNIT 100216 BOX 1")</f>
        <v>UNIT 100216 BOX 1</v>
      </c>
      <c r="D12875" t="str">
        <f t="shared" si="4738"/>
        <v>FPO</v>
      </c>
      <c r="E12875" t="str">
        <f t="shared" si="4741"/>
        <v>AP</v>
      </c>
      <c r="F12875" t="str">
        <f>T("966781600")</f>
        <v>966781600</v>
      </c>
      <c r="G12875" t="str">
        <f>T("USS STERETT DDG 1O4")</f>
        <v>USS STERETT DDG 1O4</v>
      </c>
      <c r="H12875" t="str">
        <f>T("UNIT 100216 BOX 1")</f>
        <v>UNIT 100216 BOX 1</v>
      </c>
      <c r="I12875" t="str">
        <f t="shared" si="4739"/>
        <v>FPO</v>
      </c>
      <c r="J12875" t="str">
        <f t="shared" si="4742"/>
        <v>AP</v>
      </c>
      <c r="K12875" t="str">
        <f t="shared" si="4744"/>
        <v>000000000000000000</v>
      </c>
      <c r="L12875" t="str">
        <f>T("6195563969")</f>
        <v>6195563969</v>
      </c>
    </row>
    <row r="12876" spans="1:12" x14ac:dyDescent="0.35">
      <c r="A12876" t="str">
        <f t="shared" ref="A12876:B12878" si="4745">T("USS NEW ORLEANS LPD 18")</f>
        <v>USS NEW ORLEANS LPD 18</v>
      </c>
      <c r="B12876" t="str">
        <f t="shared" si="4745"/>
        <v>USS NEW ORLEANS LPD 18</v>
      </c>
      <c r="C12876" t="str">
        <f>T("UNIT 100207 BOX 1")</f>
        <v>UNIT 100207 BOX 1</v>
      </c>
      <c r="D12876" t="str">
        <f t="shared" si="4738"/>
        <v>FPO</v>
      </c>
      <c r="E12876" t="str">
        <f t="shared" si="4741"/>
        <v>AP</v>
      </c>
      <c r="F12876" t="str">
        <f>T("966730700")</f>
        <v>966730700</v>
      </c>
      <c r="G12876" t="str">
        <f>T("ATTN SUPPLY OFFICER")</f>
        <v>ATTN SUPPLY OFFICER</v>
      </c>
      <c r="H12876" t="str">
        <f>T("S1 DIV")</f>
        <v>S1 DIV</v>
      </c>
      <c r="I12876" t="str">
        <f t="shared" si="4739"/>
        <v>FPO</v>
      </c>
      <c r="J12876" t="str">
        <f t="shared" si="4742"/>
        <v>AP</v>
      </c>
      <c r="K12876" t="str">
        <f t="shared" si="4744"/>
        <v>000000000000000000</v>
      </c>
      <c r="L12876" t="str">
        <f>T("6195564748")</f>
        <v>6195564748</v>
      </c>
    </row>
    <row r="12877" spans="1:12" x14ac:dyDescent="0.35">
      <c r="A12877" t="str">
        <f t="shared" si="4745"/>
        <v>USS NEW ORLEANS LPD 18</v>
      </c>
      <c r="B12877" t="str">
        <f t="shared" si="4745"/>
        <v>USS NEW ORLEANS LPD 18</v>
      </c>
      <c r="C12877" t="str">
        <f>T("UNIT 100207 BOX 1")</f>
        <v>UNIT 100207 BOX 1</v>
      </c>
      <c r="D12877" t="str">
        <f t="shared" si="4738"/>
        <v>FPO</v>
      </c>
      <c r="E12877" t="str">
        <f t="shared" si="4741"/>
        <v>AP</v>
      </c>
      <c r="F12877" t="str">
        <f>T("966730700")</f>
        <v>966730700</v>
      </c>
      <c r="G12877" t="str">
        <f>T("ATTN SUPPLY OFFICER")</f>
        <v>ATTN SUPPLY OFFICER</v>
      </c>
      <c r="H12877" t="str">
        <f>T("UNIT 100207 BOX 1")</f>
        <v>UNIT 100207 BOX 1</v>
      </c>
      <c r="I12877" t="str">
        <f t="shared" si="4739"/>
        <v>FPO</v>
      </c>
      <c r="J12877" t="str">
        <f t="shared" si="4742"/>
        <v>AP</v>
      </c>
      <c r="K12877" t="str">
        <f t="shared" si="4744"/>
        <v>000000000000000000</v>
      </c>
      <c r="L12877" t="str">
        <f>T("6195564759")</f>
        <v>6195564759</v>
      </c>
    </row>
    <row r="12878" spans="1:12" x14ac:dyDescent="0.35">
      <c r="A12878" t="str">
        <f t="shared" si="4745"/>
        <v>USS NEW ORLEANS LPD 18</v>
      </c>
      <c r="B12878" t="str">
        <f t="shared" si="4745"/>
        <v>USS NEW ORLEANS LPD 18</v>
      </c>
      <c r="C12878" t="str">
        <f>T("UNIT 100207 BOX 1")</f>
        <v>UNIT 100207 BOX 1</v>
      </c>
      <c r="D12878" t="str">
        <f t="shared" si="4738"/>
        <v>FPO</v>
      </c>
      <c r="E12878" t="str">
        <f t="shared" si="4741"/>
        <v>AP</v>
      </c>
      <c r="F12878" t="str">
        <f>T("966730700")</f>
        <v>966730700</v>
      </c>
      <c r="G12878" t="str">
        <f>T("USS NEW ORLEANS LPD 18")</f>
        <v>USS NEW ORLEANS LPD 18</v>
      </c>
      <c r="H12878" t="str">
        <f>T("UNIT 100207 BOX 1")</f>
        <v>UNIT 100207 BOX 1</v>
      </c>
      <c r="I12878" t="str">
        <f t="shared" si="4739"/>
        <v>FPO</v>
      </c>
      <c r="J12878" t="str">
        <f t="shared" si="4742"/>
        <v>AP</v>
      </c>
      <c r="K12878" t="str">
        <f t="shared" si="4744"/>
        <v>000000000000000000</v>
      </c>
      <c r="L12878" t="str">
        <f>T("6195564748")</f>
        <v>6195564748</v>
      </c>
    </row>
    <row r="12879" spans="1:12" x14ac:dyDescent="0.35">
      <c r="A12879" t="str">
        <f t="shared" ref="A12879:B12881" si="4746">T("USS MAKIN ISLAND LHD 8")</f>
        <v>USS MAKIN ISLAND LHD 8</v>
      </c>
      <c r="B12879" t="str">
        <f t="shared" si="4746"/>
        <v>USS MAKIN ISLAND LHD 8</v>
      </c>
      <c r="C12879" t="str">
        <f>T("S-1 DIVISION")</f>
        <v>S-1 DIVISION</v>
      </c>
      <c r="D12879" t="str">
        <f t="shared" si="4738"/>
        <v>FPO</v>
      </c>
      <c r="E12879" t="str">
        <f t="shared" si="4741"/>
        <v>AP</v>
      </c>
      <c r="F12879" t="str">
        <f>T("966721601")</f>
        <v>966721601</v>
      </c>
      <c r="G12879" t="str">
        <f>T("USS MAKIN ISLAND")</f>
        <v>USS MAKIN ISLAND</v>
      </c>
      <c r="H12879" t="str">
        <f>T("SUPPLY S 1")</f>
        <v>SUPPLY S 1</v>
      </c>
      <c r="I12879" t="str">
        <f t="shared" si="4739"/>
        <v>FPO</v>
      </c>
      <c r="J12879" t="str">
        <f t="shared" si="4742"/>
        <v>AP</v>
      </c>
      <c r="K12879" t="str">
        <f t="shared" si="4744"/>
        <v>000000000000000000</v>
      </c>
      <c r="L12879" t="str">
        <f>T("6195564242")</f>
        <v>6195564242</v>
      </c>
    </row>
    <row r="12880" spans="1:12" x14ac:dyDescent="0.35">
      <c r="A12880" t="str">
        <f t="shared" si="4746"/>
        <v>USS MAKIN ISLAND LHD 8</v>
      </c>
      <c r="B12880" t="str">
        <f t="shared" si="4746"/>
        <v>USS MAKIN ISLAND LHD 8</v>
      </c>
      <c r="C12880" t="str">
        <f>T("S-1 DIVISION")</f>
        <v>S-1 DIVISION</v>
      </c>
      <c r="D12880" t="str">
        <f t="shared" si="4738"/>
        <v>FPO</v>
      </c>
      <c r="E12880" t="str">
        <f t="shared" si="4741"/>
        <v>AP</v>
      </c>
      <c r="F12880" t="str">
        <f>T("966721601")</f>
        <v>966721601</v>
      </c>
      <c r="G12880" t="str">
        <f>T("USS MAKIN ISLAND LHD 8")</f>
        <v>USS MAKIN ISLAND LHD 8</v>
      </c>
      <c r="H12880" t="str">
        <f>T("")</f>
        <v/>
      </c>
      <c r="I12880" t="str">
        <f t="shared" si="4739"/>
        <v>FPO</v>
      </c>
      <c r="J12880" t="str">
        <f t="shared" si="4742"/>
        <v>AP</v>
      </c>
      <c r="K12880" t="str">
        <f t="shared" si="4744"/>
        <v>000000000000000000</v>
      </c>
      <c r="L12880" t="str">
        <f>T("6195564242")</f>
        <v>6195564242</v>
      </c>
    </row>
    <row r="12881" spans="1:12" x14ac:dyDescent="0.35">
      <c r="A12881" t="str">
        <f t="shared" si="4746"/>
        <v>USS MAKIN ISLAND LHD 8</v>
      </c>
      <c r="B12881" t="str">
        <f t="shared" si="4746"/>
        <v>USS MAKIN ISLAND LHD 8</v>
      </c>
      <c r="C12881" t="str">
        <f>T("S-1 DIVISION")</f>
        <v>S-1 DIVISION</v>
      </c>
      <c r="D12881" t="str">
        <f t="shared" si="4738"/>
        <v>FPO</v>
      </c>
      <c r="E12881" t="str">
        <f t="shared" si="4741"/>
        <v>AP</v>
      </c>
      <c r="F12881" t="str">
        <f>T("966721601")</f>
        <v>966721601</v>
      </c>
      <c r="G12881" t="str">
        <f>T("USS MAKIN ISLAND LHD 8")</f>
        <v>USS MAKIN ISLAND LHD 8</v>
      </c>
      <c r="H12881" t="str">
        <f>T("S-1 DIVISION")</f>
        <v>S-1 DIVISION</v>
      </c>
      <c r="I12881" t="str">
        <f t="shared" si="4739"/>
        <v>FPO</v>
      </c>
      <c r="J12881" t="str">
        <f t="shared" si="4742"/>
        <v>AP</v>
      </c>
      <c r="K12881" t="str">
        <f t="shared" si="4744"/>
        <v>000000000000000000</v>
      </c>
      <c r="L12881" t="str">
        <f>T("6195564242")</f>
        <v>6195564242</v>
      </c>
    </row>
    <row r="12882" spans="1:12" x14ac:dyDescent="0.35">
      <c r="A12882" t="str">
        <f>T("USS SOMERSET LPD-25")</f>
        <v>USS SOMERSET LPD-25</v>
      </c>
      <c r="B12882" t="str">
        <f>T("ATTN SUPPLY/S-1")</f>
        <v>ATTN SUPPLY/S-1</v>
      </c>
      <c r="C12882" t="str">
        <f>T("UNIT 100232 BOX 1")</f>
        <v>UNIT 100232 BOX 1</v>
      </c>
      <c r="D12882" t="str">
        <f t="shared" si="4738"/>
        <v>FPO</v>
      </c>
      <c r="E12882" t="str">
        <f t="shared" si="4741"/>
        <v>AP</v>
      </c>
      <c r="F12882" t="str">
        <f>T("966783200")</f>
        <v>966783200</v>
      </c>
      <c r="G12882" t="str">
        <f>T("ATTN SUPPLY OFFICER")</f>
        <v>ATTN SUPPLY OFFICER</v>
      </c>
      <c r="H12882" t="str">
        <f>T("S1 DIV")</f>
        <v>S1 DIV</v>
      </c>
      <c r="I12882" t="str">
        <f t="shared" si="4739"/>
        <v>FPO</v>
      </c>
      <c r="J12882" t="str">
        <f t="shared" si="4742"/>
        <v>AP</v>
      </c>
      <c r="K12882" t="str">
        <f t="shared" si="4744"/>
        <v>000000000000000000</v>
      </c>
      <c r="L12882" t="str">
        <f>T("6195563836")</f>
        <v>6195563836</v>
      </c>
    </row>
    <row r="12883" spans="1:12" x14ac:dyDescent="0.35">
      <c r="A12883" t="str">
        <f>T("USS SOMERSET LPD-25")</f>
        <v>USS SOMERSET LPD-25</v>
      </c>
      <c r="B12883" t="str">
        <f>T("ATTN SUPPLY/S-1")</f>
        <v>ATTN SUPPLY/S-1</v>
      </c>
      <c r="C12883" t="str">
        <f>T("UNIT 100232 BOX 1")</f>
        <v>UNIT 100232 BOX 1</v>
      </c>
      <c r="D12883" t="str">
        <f t="shared" si="4738"/>
        <v>FPO</v>
      </c>
      <c r="E12883" t="str">
        <f t="shared" si="4741"/>
        <v>AP</v>
      </c>
      <c r="F12883" t="str">
        <f>T("966783200")</f>
        <v>966783200</v>
      </c>
      <c r="G12883" t="str">
        <f>T("ATTN SUPPLY OFFICER")</f>
        <v>ATTN SUPPLY OFFICER</v>
      </c>
      <c r="H12883" t="str">
        <f>T("UNIT 100232 BOX 1")</f>
        <v>UNIT 100232 BOX 1</v>
      </c>
      <c r="I12883" t="str">
        <f t="shared" si="4739"/>
        <v>FPO</v>
      </c>
      <c r="J12883" t="str">
        <f t="shared" si="4742"/>
        <v>AP</v>
      </c>
      <c r="K12883" t="str">
        <f t="shared" si="4744"/>
        <v>000000000000000000</v>
      </c>
      <c r="L12883" t="str">
        <f>T("6195563836")</f>
        <v>6195563836</v>
      </c>
    </row>
    <row r="12884" spans="1:12" x14ac:dyDescent="0.35">
      <c r="A12884" t="str">
        <f>T("USS SOMERSET LPD-25")</f>
        <v>USS SOMERSET LPD-25</v>
      </c>
      <c r="B12884" t="str">
        <f>T("ATTN SUPPLY/S-1")</f>
        <v>ATTN SUPPLY/S-1</v>
      </c>
      <c r="C12884" t="str">
        <f>T("UNIT 100232 BOX 1")</f>
        <v>UNIT 100232 BOX 1</v>
      </c>
      <c r="D12884" t="str">
        <f t="shared" si="4738"/>
        <v>FPO</v>
      </c>
      <c r="E12884" t="str">
        <f t="shared" si="4741"/>
        <v>AP</v>
      </c>
      <c r="F12884" t="str">
        <f>T("966783200")</f>
        <v>966783200</v>
      </c>
      <c r="G12884" t="str">
        <f>T("ATTN SUPPLY/S-1")</f>
        <v>ATTN SUPPLY/S-1</v>
      </c>
      <c r="H12884" t="str">
        <f>T("UNIT 100232 BOX 1")</f>
        <v>UNIT 100232 BOX 1</v>
      </c>
      <c r="I12884" t="str">
        <f t="shared" si="4739"/>
        <v>FPO</v>
      </c>
      <c r="J12884" t="str">
        <f t="shared" si="4742"/>
        <v>AP</v>
      </c>
      <c r="K12884" t="str">
        <f t="shared" si="4744"/>
        <v>000000000000000000</v>
      </c>
      <c r="L12884" t="str">
        <f>T("6195563836")</f>
        <v>6195563836</v>
      </c>
    </row>
    <row r="12885" spans="1:12" x14ac:dyDescent="0.35">
      <c r="A12885" t="str">
        <f>T("USS SOMERSET LPD-25")</f>
        <v>USS SOMERSET LPD-25</v>
      </c>
      <c r="B12885" t="str">
        <f>T("ATTN SUPPLY/S-1")</f>
        <v>ATTN SUPPLY/S-1</v>
      </c>
      <c r="C12885" t="str">
        <f>T("UNIT 100232 BOX 1")</f>
        <v>UNIT 100232 BOX 1</v>
      </c>
      <c r="D12885" t="str">
        <f t="shared" si="4738"/>
        <v>FPO</v>
      </c>
      <c r="E12885" t="str">
        <f t="shared" si="4741"/>
        <v>AP</v>
      </c>
      <c r="F12885" t="str">
        <f>T("966783200")</f>
        <v>966783200</v>
      </c>
      <c r="G12885" t="str">
        <f>T("USS SOMERSET LPD 25")</f>
        <v>USS SOMERSET LPD 25</v>
      </c>
      <c r="H12885" t="str">
        <f>T("SUPPLY DEPT S 1")</f>
        <v>SUPPLY DEPT S 1</v>
      </c>
      <c r="I12885" t="str">
        <f t="shared" si="4739"/>
        <v>FPO</v>
      </c>
      <c r="J12885" t="str">
        <f t="shared" si="4742"/>
        <v>AP</v>
      </c>
      <c r="K12885" t="str">
        <f t="shared" si="4744"/>
        <v>000000000000000000</v>
      </c>
      <c r="L12885" t="str">
        <f>T("6195563836")</f>
        <v>6195563836</v>
      </c>
    </row>
    <row r="12886" spans="1:12" x14ac:dyDescent="0.35">
      <c r="A12886" t="str">
        <f>T("USS JOHN P MURTHA")</f>
        <v>USS JOHN P MURTHA</v>
      </c>
      <c r="B12886" t="str">
        <f>T("100 SINGING RIVER ISLAND")</f>
        <v>100 SINGING RIVER ISLAND</v>
      </c>
      <c r="C12886" t="str">
        <f>T("BLDG 88 USS BARRY LANE")</f>
        <v>BLDG 88 USS BARRY LANE</v>
      </c>
      <c r="D12886" t="str">
        <f>T("PASCAGOULA")</f>
        <v>PASCAGOULA</v>
      </c>
      <c r="E12886" t="str">
        <f>T("MS")</f>
        <v>MS</v>
      </c>
      <c r="F12886" t="str">
        <f>T("395955000")</f>
        <v>395955000</v>
      </c>
      <c r="G12886" t="str">
        <f>T("100 SINGING RIVER ISLAND")</f>
        <v>100 SINGING RIVER ISLAND</v>
      </c>
      <c r="H12886" t="str">
        <f>T("BLDG 88 USS BARRY LANE")</f>
        <v>BLDG 88 USS BARRY LANE</v>
      </c>
      <c r="I12886" t="str">
        <f>T("PASCAGOULA")</f>
        <v>PASCAGOULA</v>
      </c>
      <c r="J12886" t="str">
        <f>T("MS")</f>
        <v>MS</v>
      </c>
      <c r="K12886" t="str">
        <f t="shared" si="4744"/>
        <v>000000000000000000</v>
      </c>
      <c r="L12886" t="str">
        <f>T("2287694575")</f>
        <v>2287694575</v>
      </c>
    </row>
    <row r="12887" spans="1:12" x14ac:dyDescent="0.35">
      <c r="A12887" t="str">
        <f>T("USS JOHN P MURTHA")</f>
        <v>USS JOHN P MURTHA</v>
      </c>
      <c r="B12887" t="str">
        <f>T("100 SINGING RIVER ISLAND")</f>
        <v>100 SINGING RIVER ISLAND</v>
      </c>
      <c r="C12887" t="str">
        <f>T("BLDG 88 USS BARRY LANE")</f>
        <v>BLDG 88 USS BARRY LANE</v>
      </c>
      <c r="D12887" t="str">
        <f>T("PASCAGOULA")</f>
        <v>PASCAGOULA</v>
      </c>
      <c r="E12887" t="str">
        <f>T("MS")</f>
        <v>MS</v>
      </c>
      <c r="F12887" t="str">
        <f>T("395955000")</f>
        <v>395955000</v>
      </c>
      <c r="G12887" t="str">
        <f>T("100 SINGING RIVER ISLAND")</f>
        <v>100 SINGING RIVER ISLAND</v>
      </c>
      <c r="H12887" t="str">
        <f>T("BLDG 88 USS BARRY LN")</f>
        <v>BLDG 88 USS BARRY LN</v>
      </c>
      <c r="I12887" t="str">
        <f>T("PASCAGOULA")</f>
        <v>PASCAGOULA</v>
      </c>
      <c r="J12887" t="str">
        <f>T("MS")</f>
        <v>MS</v>
      </c>
      <c r="K12887" t="str">
        <f t="shared" si="4744"/>
        <v>000000000000000000</v>
      </c>
      <c r="L12887" t="str">
        <f>T("2287694575")</f>
        <v>2287694575</v>
      </c>
    </row>
    <row r="12888" spans="1:12" x14ac:dyDescent="0.35">
      <c r="A12888" t="str">
        <f>T("CRUISER CLASS SQUADRON")</f>
        <v>CRUISER CLASS SQUADRON</v>
      </c>
      <c r="B12888" t="str">
        <f>T("3325 SENN RD")</f>
        <v>3325 SENN RD</v>
      </c>
      <c r="C12888" t="str">
        <f>T("BLDG 551 SUITE 1")</f>
        <v>BLDG 551 SUITE 1</v>
      </c>
      <c r="D12888" t="str">
        <f t="shared" ref="D12888:D12893" si="4747">T("SAN DIEGO")</f>
        <v>SAN DIEGO</v>
      </c>
      <c r="E12888" t="str">
        <f t="shared" ref="E12888:E12893" si="4748">T("CA")</f>
        <v>CA</v>
      </c>
      <c r="F12888" t="str">
        <f>T("921365218")</f>
        <v>921365218</v>
      </c>
      <c r="G12888" t="str">
        <f>T("3325 SENN RD")</f>
        <v>3325 SENN RD</v>
      </c>
      <c r="H12888" t="str">
        <f>T("BLDG 551 SUITE 1")</f>
        <v>BLDG 551 SUITE 1</v>
      </c>
      <c r="I12888" t="str">
        <f t="shared" ref="I12888:I12893" si="4749">T("SAN DIEGO")</f>
        <v>SAN DIEGO</v>
      </c>
      <c r="J12888" t="str">
        <f t="shared" ref="J12888:J12893" si="4750">T("CA")</f>
        <v>CA</v>
      </c>
      <c r="K12888" t="str">
        <f>T("6195560506")</f>
        <v>6195560506</v>
      </c>
      <c r="L12888" t="str">
        <f>T("6195565899")</f>
        <v>6195565899</v>
      </c>
    </row>
    <row r="12889" spans="1:12" x14ac:dyDescent="0.35">
      <c r="A12889" t="str">
        <f>T("CRUISER CLASS SQUADRON")</f>
        <v>CRUISER CLASS SQUADRON</v>
      </c>
      <c r="B12889" t="str">
        <f>T("3325 SENN RD")</f>
        <v>3325 SENN RD</v>
      </c>
      <c r="C12889" t="str">
        <f>T("BLDG 551 SUITE 1")</f>
        <v>BLDG 551 SUITE 1</v>
      </c>
      <c r="D12889" t="str">
        <f t="shared" si="4747"/>
        <v>SAN DIEGO</v>
      </c>
      <c r="E12889" t="str">
        <f t="shared" si="4748"/>
        <v>CA</v>
      </c>
      <c r="F12889" t="str">
        <f>T("921365218")</f>
        <v>921365218</v>
      </c>
      <c r="G12889" t="str">
        <f>T("COMNAVSURFPAC")</f>
        <v>COMNAVSURFPAC</v>
      </c>
      <c r="H12889" t="str">
        <f>T("2841 RENDOVA RD ATTN N46/N47 NBSD")</f>
        <v>2841 RENDOVA RD ATTN N46/N47 NBSD</v>
      </c>
      <c r="I12889" t="str">
        <f t="shared" si="4749"/>
        <v>SAN DIEGO</v>
      </c>
      <c r="J12889" t="str">
        <f t="shared" si="4750"/>
        <v>CA</v>
      </c>
      <c r="K12889" t="str">
        <f>T("6195560250")</f>
        <v>6195560250</v>
      </c>
      <c r="L12889" t="str">
        <f>T("6195565708")</f>
        <v>6195565708</v>
      </c>
    </row>
    <row r="12890" spans="1:12" x14ac:dyDescent="0.35">
      <c r="A12890" t="str">
        <f>T("CRUISER CLASS SQUADRON")</f>
        <v>CRUISER CLASS SQUADRON</v>
      </c>
      <c r="B12890" t="str">
        <f>T("3325 SENN RD")</f>
        <v>3325 SENN RD</v>
      </c>
      <c r="C12890" t="str">
        <f>T("BLDG 551 SUITE 1")</f>
        <v>BLDG 551 SUITE 1</v>
      </c>
      <c r="D12890" t="str">
        <f t="shared" si="4747"/>
        <v>SAN DIEGO</v>
      </c>
      <c r="E12890" t="str">
        <f t="shared" si="4748"/>
        <v>CA</v>
      </c>
      <c r="F12890" t="str">
        <f>T("921365218")</f>
        <v>921365218</v>
      </c>
      <c r="G12890" t="str">
        <f>T("COMNAVSURFPAC")</f>
        <v>COMNAVSURFPAC</v>
      </c>
      <c r="H12890" t="str">
        <f>T("2841 RENDOVA RD ATTN N46/N47 NBSD")</f>
        <v>2841 RENDOVA RD ATTN N46/N47 NBSD</v>
      </c>
      <c r="I12890" t="str">
        <f t="shared" si="4749"/>
        <v>SAN DIEGO</v>
      </c>
      <c r="J12890" t="str">
        <f t="shared" si="4750"/>
        <v>CA</v>
      </c>
      <c r="K12890" t="str">
        <f>T("6195560250")</f>
        <v>6195560250</v>
      </c>
      <c r="L12890" t="str">
        <f>T("6195565899")</f>
        <v>6195565899</v>
      </c>
    </row>
    <row r="12891" spans="1:12" x14ac:dyDescent="0.35">
      <c r="A12891" t="str">
        <f>T("AFLOAT TRAINING GROUP SAN DIE")</f>
        <v>AFLOAT TRAINING GROUP SAN DIE</v>
      </c>
      <c r="B12891" t="str">
        <f>T("3455 STURTEVANT ST")</f>
        <v>3455 STURTEVANT ST</v>
      </c>
      <c r="C12891" t="str">
        <f>T("BLDG 58 SUITE 1")</f>
        <v>BLDG 58 SUITE 1</v>
      </c>
      <c r="D12891" t="str">
        <f t="shared" si="4747"/>
        <v>SAN DIEGO</v>
      </c>
      <c r="E12891" t="str">
        <f t="shared" si="4748"/>
        <v>CA</v>
      </c>
      <c r="F12891" t="str">
        <f>T("921365069")</f>
        <v>921365069</v>
      </c>
      <c r="G12891" t="str">
        <f>T("3455 STURTEVANT ST")</f>
        <v>3455 STURTEVANT ST</v>
      </c>
      <c r="H12891" t="str">
        <f>T("BLDG 58 STE 1")</f>
        <v>BLDG 58 STE 1</v>
      </c>
      <c r="I12891" t="str">
        <f t="shared" si="4749"/>
        <v>SAN DIEGO</v>
      </c>
      <c r="J12891" t="str">
        <f t="shared" si="4750"/>
        <v>CA</v>
      </c>
      <c r="K12891" t="str">
        <f>T("6195560887")</f>
        <v>6195560887</v>
      </c>
      <c r="L12891" t="str">
        <f>T("6195560958")</f>
        <v>6195560958</v>
      </c>
    </row>
    <row r="12892" spans="1:12" x14ac:dyDescent="0.35">
      <c r="A12892" t="str">
        <f>T("AFLOAT TRAINING GROUP SAN DIE")</f>
        <v>AFLOAT TRAINING GROUP SAN DIE</v>
      </c>
      <c r="B12892" t="str">
        <f>T("3455 STURTEVANT ST")</f>
        <v>3455 STURTEVANT ST</v>
      </c>
      <c r="C12892" t="str">
        <f>T("BLDG 58 SUITE 1")</f>
        <v>BLDG 58 SUITE 1</v>
      </c>
      <c r="D12892" t="str">
        <f t="shared" si="4747"/>
        <v>SAN DIEGO</v>
      </c>
      <c r="E12892" t="str">
        <f t="shared" si="4748"/>
        <v>CA</v>
      </c>
      <c r="F12892" t="str">
        <f>T("921365069")</f>
        <v>921365069</v>
      </c>
      <c r="G12892" t="str">
        <f>T("3455 STURTEVANT ST")</f>
        <v>3455 STURTEVANT ST</v>
      </c>
      <c r="H12892" t="str">
        <f>T("BLDG 58 SUITE 1")</f>
        <v>BLDG 58 SUITE 1</v>
      </c>
      <c r="I12892" t="str">
        <f t="shared" si="4749"/>
        <v>SAN DIEGO</v>
      </c>
      <c r="J12892" t="str">
        <f t="shared" si="4750"/>
        <v>CA</v>
      </c>
      <c r="K12892" t="str">
        <f>T("000000000000000000")</f>
        <v>000000000000000000</v>
      </c>
      <c r="L12892" t="str">
        <f>T("6195560879")</f>
        <v>6195560879</v>
      </c>
    </row>
    <row r="12893" spans="1:12" x14ac:dyDescent="0.35">
      <c r="A12893" t="str">
        <f>T("AFLOAT TRAINING GROUP SAN DIE")</f>
        <v>AFLOAT TRAINING GROUP SAN DIE</v>
      </c>
      <c r="B12893" t="str">
        <f>T("3455 STURTEVANT ST")</f>
        <v>3455 STURTEVANT ST</v>
      </c>
      <c r="C12893" t="str">
        <f>T("BLDG 58 SUITE 1")</f>
        <v>BLDG 58 SUITE 1</v>
      </c>
      <c r="D12893" t="str">
        <f t="shared" si="4747"/>
        <v>SAN DIEGO</v>
      </c>
      <c r="E12893" t="str">
        <f t="shared" si="4748"/>
        <v>CA</v>
      </c>
      <c r="F12893" t="str">
        <f>T("921365069")</f>
        <v>921365069</v>
      </c>
      <c r="G12893" t="str">
        <f>T("3455 STURTEVANT ST")</f>
        <v>3455 STURTEVANT ST</v>
      </c>
      <c r="H12893" t="str">
        <f>T("BLDG 58 SUITE 1")</f>
        <v>BLDG 58 SUITE 1</v>
      </c>
      <c r="I12893" t="str">
        <f t="shared" si="4749"/>
        <v>SAN DIEGO</v>
      </c>
      <c r="J12893" t="str">
        <f t="shared" si="4750"/>
        <v>CA</v>
      </c>
      <c r="K12893" t="str">
        <f>T("6195560887")</f>
        <v>6195560887</v>
      </c>
      <c r="L12893" t="str">
        <f>T("6195560700")</f>
        <v>6195560700</v>
      </c>
    </row>
    <row r="12894" spans="1:12" x14ac:dyDescent="0.35">
      <c r="A12894" t="str">
        <f>T("SMWDC DET LITTLE CREEK")</f>
        <v>SMWDC DET LITTLE CREEK</v>
      </c>
      <c r="B12894" t="str">
        <f>T("2200 AMPHIBIOUS DRIVE")</f>
        <v>2200 AMPHIBIOUS DRIVE</v>
      </c>
      <c r="C12894" t="str">
        <f>T("BLDG 112")</f>
        <v>BLDG 112</v>
      </c>
      <c r="D12894" t="str">
        <f>T("VIRGINIA BEACH")</f>
        <v>VIRGINIA BEACH</v>
      </c>
      <c r="E12894" t="str">
        <f>T("VA")</f>
        <v>VA</v>
      </c>
      <c r="F12894" t="str">
        <f>T("234598808")</f>
        <v>234598808</v>
      </c>
      <c r="G12894" t="str">
        <f>T("2200 AMPHIBIOUS DRIVE")</f>
        <v>2200 AMPHIBIOUS DRIVE</v>
      </c>
      <c r="H12894" t="str">
        <f>T("BLD 112")</f>
        <v>BLD 112</v>
      </c>
      <c r="I12894" t="str">
        <f>T("VIRGINIA BEACH")</f>
        <v>VIRGINIA BEACH</v>
      </c>
      <c r="J12894" t="str">
        <f>T("VA")</f>
        <v>VA</v>
      </c>
      <c r="K12894" t="str">
        <f>T("7574627081")</f>
        <v>7574627081</v>
      </c>
      <c r="L12894" t="str">
        <f>T("7574621373")</f>
        <v>7574621373</v>
      </c>
    </row>
    <row r="12895" spans="1:12" x14ac:dyDescent="0.35">
      <c r="A12895" t="str">
        <f>T("SMWDC DET LITTLE CREEK")</f>
        <v>SMWDC DET LITTLE CREEK</v>
      </c>
      <c r="B12895" t="str">
        <f>T("2200 AMPHIBIOUS DRIVE")</f>
        <v>2200 AMPHIBIOUS DRIVE</v>
      </c>
      <c r="C12895" t="str">
        <f>T("BLDG 112")</f>
        <v>BLDG 112</v>
      </c>
      <c r="D12895" t="str">
        <f>T("VIRGINIA BEACH")</f>
        <v>VIRGINIA BEACH</v>
      </c>
      <c r="E12895" t="str">
        <f>T("VA")</f>
        <v>VA</v>
      </c>
      <c r="F12895" t="str">
        <f>T("234598808")</f>
        <v>234598808</v>
      </c>
      <c r="G12895" t="str">
        <f>T("2200 AMPHIBIOUS DRIVE")</f>
        <v>2200 AMPHIBIOUS DRIVE</v>
      </c>
      <c r="H12895" t="str">
        <f>T("BLDG 112")</f>
        <v>BLDG 112</v>
      </c>
      <c r="I12895" t="str">
        <f>T("VIRGINIA BEACH")</f>
        <v>VIRGINIA BEACH</v>
      </c>
      <c r="J12895" t="str">
        <f>T("VA")</f>
        <v>VA</v>
      </c>
      <c r="K12895" t="str">
        <f>T("000000000000000000")</f>
        <v>000000000000000000</v>
      </c>
      <c r="L12895" t="str">
        <f>T("7574621391")</f>
        <v>7574621391</v>
      </c>
    </row>
    <row r="12896" spans="1:12" x14ac:dyDescent="0.35">
      <c r="A12896" t="str">
        <f t="shared" ref="A12896:B12898" si="4751">T("COMCMRON SEVEN")</f>
        <v>COMCMRON SEVEN</v>
      </c>
      <c r="B12896" t="str">
        <f t="shared" si="4751"/>
        <v>COMCMRON SEVEN</v>
      </c>
      <c r="C12896" t="str">
        <f>T("PSC 476 BOX 191")</f>
        <v>PSC 476 BOX 191</v>
      </c>
      <c r="D12896" t="str">
        <f>T("FPO")</f>
        <v>FPO</v>
      </c>
      <c r="E12896" t="str">
        <f>T("AP")</f>
        <v>AP</v>
      </c>
      <c r="F12896" t="str">
        <f>T("963220002")</f>
        <v>963220002</v>
      </c>
      <c r="G12896" t="str">
        <f>T("ATTN SUPPLY OFFICER")</f>
        <v>ATTN SUPPLY OFFICER</v>
      </c>
      <c r="H12896" t="str">
        <f>T("PSC 476 BOX 191")</f>
        <v>PSC 476 BOX 191</v>
      </c>
      <c r="I12896" t="str">
        <f>T("FPO")</f>
        <v>FPO</v>
      </c>
      <c r="J12896" t="str">
        <f>T("AP")</f>
        <v>AP</v>
      </c>
      <c r="K12896" t="str">
        <f>T("000000000000000000")</f>
        <v>000000000000000000</v>
      </c>
      <c r="L12896" t="str">
        <f>T("1111111111")</f>
        <v>1111111111</v>
      </c>
    </row>
    <row r="12897" spans="1:12" x14ac:dyDescent="0.35">
      <c r="A12897" t="str">
        <f t="shared" si="4751"/>
        <v>COMCMRON SEVEN</v>
      </c>
      <c r="B12897" t="str">
        <f t="shared" si="4751"/>
        <v>COMCMRON SEVEN</v>
      </c>
      <c r="C12897" t="str">
        <f>T("PSC 476 BOX 191")</f>
        <v>PSC 476 BOX 191</v>
      </c>
      <c r="D12897" t="str">
        <f>T("FPO")</f>
        <v>FPO</v>
      </c>
      <c r="E12897" t="str">
        <f>T("AP")</f>
        <v>AP</v>
      </c>
      <c r="F12897" t="str">
        <f>T("963220002")</f>
        <v>963220002</v>
      </c>
      <c r="G12897" t="str">
        <f>T("COMCMRON SEVEN")</f>
        <v>COMCMRON SEVEN</v>
      </c>
      <c r="H12897" t="str">
        <f>T("PSC 476 BOX 191")</f>
        <v>PSC 476 BOX 191</v>
      </c>
      <c r="I12897" t="str">
        <f>T("FPO")</f>
        <v>FPO</v>
      </c>
      <c r="J12897" t="str">
        <f>T("AP")</f>
        <v>AP</v>
      </c>
      <c r="K12897" t="str">
        <f>T("3152523971")</f>
        <v>3152523971</v>
      </c>
      <c r="L12897" t="str">
        <f>T("3152522280")</f>
        <v>3152522280</v>
      </c>
    </row>
    <row r="12898" spans="1:12" x14ac:dyDescent="0.35">
      <c r="A12898" t="str">
        <f t="shared" si="4751"/>
        <v>COMCMRON SEVEN</v>
      </c>
      <c r="B12898" t="str">
        <f t="shared" si="4751"/>
        <v>COMCMRON SEVEN</v>
      </c>
      <c r="C12898" t="str">
        <f>T("PSC 476 BOX 191")</f>
        <v>PSC 476 BOX 191</v>
      </c>
      <c r="D12898" t="str">
        <f>T("FPO")</f>
        <v>FPO</v>
      </c>
      <c r="E12898" t="str">
        <f>T("AP")</f>
        <v>AP</v>
      </c>
      <c r="F12898" t="str">
        <f>T("963220002")</f>
        <v>963220002</v>
      </c>
      <c r="G12898" t="str">
        <f>T("PSC 476")</f>
        <v>PSC 476</v>
      </c>
      <c r="H12898" t="str">
        <f>T("BOX 191")</f>
        <v>BOX 191</v>
      </c>
      <c r="I12898" t="str">
        <f>T("FPO")</f>
        <v>FPO</v>
      </c>
      <c r="J12898" t="str">
        <f>T("AP")</f>
        <v>AP</v>
      </c>
      <c r="K12898" t="str">
        <f>T("000000000000000000")</f>
        <v>000000000000000000</v>
      </c>
      <c r="L12898" t="str">
        <f>T("3152526694")</f>
        <v>3152526694</v>
      </c>
    </row>
    <row r="12899" spans="1:12" x14ac:dyDescent="0.35">
      <c r="A12899" t="str">
        <f t="shared" ref="A12899:A12904" si="4752">T("COMCMRON THREE")</f>
        <v>COMCMRON THREE</v>
      </c>
      <c r="B12899" t="str">
        <f t="shared" ref="B12899:B12904" si="4753">T("140 SYLVESTER ROAD")</f>
        <v>140 SYLVESTER ROAD</v>
      </c>
      <c r="C12899" t="str">
        <f t="shared" ref="C12899:C12904" si="4754">T("BLDG 139")</f>
        <v>BLDG 139</v>
      </c>
      <c r="D12899" t="str">
        <f t="shared" ref="D12899:D12904" si="4755">T("SAN DIEGO")</f>
        <v>SAN DIEGO</v>
      </c>
      <c r="E12899" t="str">
        <f t="shared" ref="E12899:E12904" si="4756">T("CA")</f>
        <v>CA</v>
      </c>
      <c r="F12899" t="str">
        <f t="shared" ref="F12899:F12904" si="4757">T("921063521")</f>
        <v>921063521</v>
      </c>
      <c r="G12899" t="str">
        <f>T("140 SYLVESTER ROAD")</f>
        <v>140 SYLVESTER ROAD</v>
      </c>
      <c r="H12899" t="str">
        <f>T("BLD 139")</f>
        <v>BLD 139</v>
      </c>
      <c r="I12899" t="str">
        <f t="shared" ref="I12899:I12904" si="4758">T("SAN DIEGO")</f>
        <v>SAN DIEGO</v>
      </c>
      <c r="J12899" t="str">
        <f t="shared" ref="J12899:J12904" si="4759">T("CA")</f>
        <v>CA</v>
      </c>
      <c r="K12899" t="str">
        <f>T("000000000000000000")</f>
        <v>000000000000000000</v>
      </c>
      <c r="L12899" t="str">
        <f>T("6192215608")</f>
        <v>6192215608</v>
      </c>
    </row>
    <row r="12900" spans="1:12" x14ac:dyDescent="0.35">
      <c r="A12900" t="str">
        <f t="shared" si="4752"/>
        <v>COMCMRON THREE</v>
      </c>
      <c r="B12900" t="str">
        <f t="shared" si="4753"/>
        <v>140 SYLVESTER ROAD</v>
      </c>
      <c r="C12900" t="str">
        <f t="shared" si="4754"/>
        <v>BLDG 139</v>
      </c>
      <c r="D12900" t="str">
        <f t="shared" si="4755"/>
        <v>SAN DIEGO</v>
      </c>
      <c r="E12900" t="str">
        <f t="shared" si="4756"/>
        <v>CA</v>
      </c>
      <c r="F12900" t="str">
        <f t="shared" si="4757"/>
        <v>921063521</v>
      </c>
      <c r="G12900" t="str">
        <f>T("140 SYLVESTER ROAD")</f>
        <v>140 SYLVESTER ROAD</v>
      </c>
      <c r="H12900" t="str">
        <f>T("BLD 139")</f>
        <v>BLD 139</v>
      </c>
      <c r="I12900" t="str">
        <f t="shared" si="4758"/>
        <v>SAN DIEGO</v>
      </c>
      <c r="J12900" t="str">
        <f t="shared" si="4759"/>
        <v>CA</v>
      </c>
      <c r="K12900" t="str">
        <f>T("000000000000000000")</f>
        <v>000000000000000000</v>
      </c>
      <c r="L12900" t="str">
        <f>T("6198636663")</f>
        <v>6198636663</v>
      </c>
    </row>
    <row r="12901" spans="1:12" x14ac:dyDescent="0.35">
      <c r="A12901" t="str">
        <f t="shared" si="4752"/>
        <v>COMCMRON THREE</v>
      </c>
      <c r="B12901" t="str">
        <f t="shared" si="4753"/>
        <v>140 SYLVESTER ROAD</v>
      </c>
      <c r="C12901" t="str">
        <f t="shared" si="4754"/>
        <v>BLDG 139</v>
      </c>
      <c r="D12901" t="str">
        <f t="shared" si="4755"/>
        <v>SAN DIEGO</v>
      </c>
      <c r="E12901" t="str">
        <f t="shared" si="4756"/>
        <v>CA</v>
      </c>
      <c r="F12901" t="str">
        <f t="shared" si="4757"/>
        <v>921063521</v>
      </c>
      <c r="G12901" t="str">
        <f>T("140 SYLVESTER ROAD")</f>
        <v>140 SYLVESTER ROAD</v>
      </c>
      <c r="H12901" t="str">
        <f>T("BLDG 139")</f>
        <v>BLDG 139</v>
      </c>
      <c r="I12901" t="str">
        <f t="shared" si="4758"/>
        <v>SAN DIEGO</v>
      </c>
      <c r="J12901" t="str">
        <f t="shared" si="4759"/>
        <v>CA</v>
      </c>
      <c r="K12901" t="str">
        <f>T("")</f>
        <v/>
      </c>
      <c r="L12901" t="str">
        <f>T("6195249925")</f>
        <v>6195249925</v>
      </c>
    </row>
    <row r="12902" spans="1:12" x14ac:dyDescent="0.35">
      <c r="A12902" t="str">
        <f t="shared" si="4752"/>
        <v>COMCMRON THREE</v>
      </c>
      <c r="B12902" t="str">
        <f t="shared" si="4753"/>
        <v>140 SYLVESTER ROAD</v>
      </c>
      <c r="C12902" t="str">
        <f t="shared" si="4754"/>
        <v>BLDG 139</v>
      </c>
      <c r="D12902" t="str">
        <f t="shared" si="4755"/>
        <v>SAN DIEGO</v>
      </c>
      <c r="E12902" t="str">
        <f t="shared" si="4756"/>
        <v>CA</v>
      </c>
      <c r="F12902" t="str">
        <f t="shared" si="4757"/>
        <v>921063521</v>
      </c>
      <c r="G12902" t="str">
        <f>T("140 SYLVESTER ROAD BLDG 139")</f>
        <v>140 SYLVESTER ROAD BLDG 139</v>
      </c>
      <c r="H12902" t="str">
        <f>T("")</f>
        <v/>
      </c>
      <c r="I12902" t="str">
        <f t="shared" si="4758"/>
        <v>SAN DIEGO</v>
      </c>
      <c r="J12902" t="str">
        <f t="shared" si="4759"/>
        <v>CA</v>
      </c>
      <c r="K12902" t="str">
        <f>T("000000000000000000")</f>
        <v>000000000000000000</v>
      </c>
      <c r="L12902" t="str">
        <f>T("6195249650")</f>
        <v>6195249650</v>
      </c>
    </row>
    <row r="12903" spans="1:12" x14ac:dyDescent="0.35">
      <c r="A12903" t="str">
        <f t="shared" si="4752"/>
        <v>COMCMRON THREE</v>
      </c>
      <c r="B12903" t="str">
        <f t="shared" si="4753"/>
        <v>140 SYLVESTER ROAD</v>
      </c>
      <c r="C12903" t="str">
        <f t="shared" si="4754"/>
        <v>BLDG 139</v>
      </c>
      <c r="D12903" t="str">
        <f t="shared" si="4755"/>
        <v>SAN DIEGO</v>
      </c>
      <c r="E12903" t="str">
        <f t="shared" si="4756"/>
        <v>CA</v>
      </c>
      <c r="F12903" t="str">
        <f t="shared" si="4757"/>
        <v>921063521</v>
      </c>
      <c r="G12903" t="str">
        <f t="shared" ref="G12903:G12909" si="4760">T("ATTN SUPPLY OFFICER")</f>
        <v>ATTN SUPPLY OFFICER</v>
      </c>
      <c r="H12903" t="str">
        <f>T("140 SYLVERSTER ROAD BLDG 139")</f>
        <v>140 SYLVERSTER ROAD BLDG 139</v>
      </c>
      <c r="I12903" t="str">
        <f t="shared" si="4758"/>
        <v>SAN DIEGO</v>
      </c>
      <c r="J12903" t="str">
        <f t="shared" si="4759"/>
        <v>CA</v>
      </c>
      <c r="K12903" t="str">
        <f>T("000000000000000000")</f>
        <v>000000000000000000</v>
      </c>
      <c r="L12903" t="str">
        <f>T("6197674052")</f>
        <v>6197674052</v>
      </c>
    </row>
    <row r="12904" spans="1:12" x14ac:dyDescent="0.35">
      <c r="A12904" t="str">
        <f t="shared" si="4752"/>
        <v>COMCMRON THREE</v>
      </c>
      <c r="B12904" t="str">
        <f t="shared" si="4753"/>
        <v>140 SYLVESTER ROAD</v>
      </c>
      <c r="C12904" t="str">
        <f t="shared" si="4754"/>
        <v>BLDG 139</v>
      </c>
      <c r="D12904" t="str">
        <f t="shared" si="4755"/>
        <v>SAN DIEGO</v>
      </c>
      <c r="E12904" t="str">
        <f t="shared" si="4756"/>
        <v>CA</v>
      </c>
      <c r="F12904" t="str">
        <f t="shared" si="4757"/>
        <v>921063521</v>
      </c>
      <c r="G12904" t="str">
        <f t="shared" si="4760"/>
        <v>ATTN SUPPLY OFFICER</v>
      </c>
      <c r="H12904" t="str">
        <f>T("140 SYLVESTER RD BLDG 139")</f>
        <v>140 SYLVESTER RD BLDG 139</v>
      </c>
      <c r="I12904" t="str">
        <f t="shared" si="4758"/>
        <v>SAN DIEGO</v>
      </c>
      <c r="J12904" t="str">
        <f t="shared" si="4759"/>
        <v>CA</v>
      </c>
      <c r="K12904" t="str">
        <f>T("000000000000000000")</f>
        <v>000000000000000000</v>
      </c>
      <c r="L12904" t="str">
        <f>T("6195565172")</f>
        <v>6195565172</v>
      </c>
    </row>
    <row r="12905" spans="1:12" x14ac:dyDescent="0.35">
      <c r="A12905" t="str">
        <f>T("COMCMRON FIVE CTF 52")</f>
        <v>COMCMRON FIVE CTF 52</v>
      </c>
      <c r="B12905" t="str">
        <f>T("ATTN SUPPLY OFFICER")</f>
        <v>ATTN SUPPLY OFFICER</v>
      </c>
      <c r="C12905" t="str">
        <f>T("PSC 851 BOX 120")</f>
        <v>PSC 851 BOX 120</v>
      </c>
      <c r="D12905" t="str">
        <f t="shared" ref="D12905:D12920" si="4761">T("FPO")</f>
        <v>FPO</v>
      </c>
      <c r="E12905" t="str">
        <f>T("AE")</f>
        <v>AE</v>
      </c>
      <c r="F12905" t="str">
        <f>T("098340002")</f>
        <v>098340002</v>
      </c>
      <c r="G12905" t="str">
        <f t="shared" si="4760"/>
        <v>ATTN SUPPLY OFFICER</v>
      </c>
      <c r="H12905" t="str">
        <f>T("PSC 451 BOX 120")</f>
        <v>PSC 451 BOX 120</v>
      </c>
      <c r="I12905" t="str">
        <f t="shared" ref="I12905:I12920" si="4762">T("FPO")</f>
        <v>FPO</v>
      </c>
      <c r="J12905" t="str">
        <f>T("AE")</f>
        <v>AE</v>
      </c>
      <c r="K12905" t="str">
        <f>T("01197317858964")</f>
        <v>01197317858964</v>
      </c>
      <c r="L12905" t="str">
        <f>T("1111111111")</f>
        <v>1111111111</v>
      </c>
    </row>
    <row r="12906" spans="1:12" x14ac:dyDescent="0.35">
      <c r="A12906" t="str">
        <f>T("COMCMRON FIVE CTF 52")</f>
        <v>COMCMRON FIVE CTF 52</v>
      </c>
      <c r="B12906" t="str">
        <f>T("ATTN SUPPLY OFFICER")</f>
        <v>ATTN SUPPLY OFFICER</v>
      </c>
      <c r="C12906" t="str">
        <f>T("PSC 851 BOX 120")</f>
        <v>PSC 851 BOX 120</v>
      </c>
      <c r="D12906" t="str">
        <f t="shared" si="4761"/>
        <v>FPO</v>
      </c>
      <c r="E12906" t="str">
        <f>T("AE")</f>
        <v>AE</v>
      </c>
      <c r="F12906" t="str">
        <f>T("098340002")</f>
        <v>098340002</v>
      </c>
      <c r="G12906" t="str">
        <f t="shared" si="4760"/>
        <v>ATTN SUPPLY OFFICER</v>
      </c>
      <c r="H12906" t="str">
        <f>T("PSC 831 BOX 120")</f>
        <v>PSC 831 BOX 120</v>
      </c>
      <c r="I12906" t="str">
        <f t="shared" si="4762"/>
        <v>FPO</v>
      </c>
      <c r="J12906" t="str">
        <f>T("AE")</f>
        <v>AE</v>
      </c>
      <c r="K12906" t="str">
        <f>T("01197317858955")</f>
        <v>01197317858955</v>
      </c>
      <c r="L12906" t="str">
        <f>T("1111111111")</f>
        <v>1111111111</v>
      </c>
    </row>
    <row r="12907" spans="1:12" x14ac:dyDescent="0.35">
      <c r="A12907" t="str">
        <f>T("COMCMRON FIVE CTF 52")</f>
        <v>COMCMRON FIVE CTF 52</v>
      </c>
      <c r="B12907" t="str">
        <f>T("ATTN SUPPLY OFFICER")</f>
        <v>ATTN SUPPLY OFFICER</v>
      </c>
      <c r="C12907" t="str">
        <f>T("PSC 851 BOX 120")</f>
        <v>PSC 851 BOX 120</v>
      </c>
      <c r="D12907" t="str">
        <f t="shared" si="4761"/>
        <v>FPO</v>
      </c>
      <c r="E12907" t="str">
        <f>T("AE")</f>
        <v>AE</v>
      </c>
      <c r="F12907" t="str">
        <f>T("098340002")</f>
        <v>098340002</v>
      </c>
      <c r="G12907" t="str">
        <f t="shared" si="4760"/>
        <v>ATTN SUPPLY OFFICER</v>
      </c>
      <c r="H12907" t="str">
        <f>T("PSC 851 BOX 120")</f>
        <v>PSC 851 BOX 120</v>
      </c>
      <c r="I12907" t="str">
        <f t="shared" si="4762"/>
        <v>FPO</v>
      </c>
      <c r="J12907" t="str">
        <f>T("AE")</f>
        <v>AE</v>
      </c>
      <c r="K12907" t="str">
        <f>T("01197317858958")</f>
        <v>01197317858958</v>
      </c>
      <c r="L12907" t="str">
        <f>T("1111111111")</f>
        <v>1111111111</v>
      </c>
    </row>
    <row r="12908" spans="1:12" x14ac:dyDescent="0.35">
      <c r="A12908" t="str">
        <f>T("USS WAYNE E MEYER DDG108")</f>
        <v>USS WAYNE E MEYER DDG108</v>
      </c>
      <c r="B12908" t="str">
        <f>T("SUPPLY DEPT")</f>
        <v>SUPPLY DEPT</v>
      </c>
      <c r="C12908" t="str">
        <f>T("S1 DIV")</f>
        <v>S1 DIV</v>
      </c>
      <c r="D12908" t="str">
        <f t="shared" si="4761"/>
        <v>FPO</v>
      </c>
      <c r="E12908" t="str">
        <f t="shared" ref="E12908:E12920" si="4763">T("AP")</f>
        <v>AP</v>
      </c>
      <c r="F12908" t="str">
        <f>T("966831201")</f>
        <v>966831201</v>
      </c>
      <c r="G12908" t="str">
        <f t="shared" si="4760"/>
        <v>ATTN SUPPLY OFFICER</v>
      </c>
      <c r="H12908" t="str">
        <f>T("S1 DIV")</f>
        <v>S1 DIV</v>
      </c>
      <c r="I12908" t="str">
        <f t="shared" si="4762"/>
        <v>FPO</v>
      </c>
      <c r="J12908" t="str">
        <f t="shared" ref="J12908:J12920" si="4764">T("AP")</f>
        <v>AP</v>
      </c>
      <c r="K12908" t="str">
        <f>T("000000000000000000")</f>
        <v>000000000000000000</v>
      </c>
      <c r="L12908" t="str">
        <f>T("6195563917")</f>
        <v>6195563917</v>
      </c>
    </row>
    <row r="12909" spans="1:12" x14ac:dyDescent="0.35">
      <c r="A12909" t="str">
        <f>T("USS WAYNE E MEYER DDG108")</f>
        <v>USS WAYNE E MEYER DDG108</v>
      </c>
      <c r="B12909" t="str">
        <f>T("SUPPLY DEPT")</f>
        <v>SUPPLY DEPT</v>
      </c>
      <c r="C12909" t="str">
        <f>T("S1 DIV")</f>
        <v>S1 DIV</v>
      </c>
      <c r="D12909" t="str">
        <f t="shared" si="4761"/>
        <v>FPO</v>
      </c>
      <c r="E12909" t="str">
        <f t="shared" si="4763"/>
        <v>AP</v>
      </c>
      <c r="F12909" t="str">
        <f>T("966831201")</f>
        <v>966831201</v>
      </c>
      <c r="G12909" t="str">
        <f t="shared" si="4760"/>
        <v>ATTN SUPPLY OFFICER</v>
      </c>
      <c r="H12909" t="str">
        <f>T("UNIT 100221 BOX 1")</f>
        <v>UNIT 100221 BOX 1</v>
      </c>
      <c r="I12909" t="str">
        <f t="shared" si="4762"/>
        <v>FPO</v>
      </c>
      <c r="J12909" t="str">
        <f t="shared" si="4764"/>
        <v>AP</v>
      </c>
      <c r="K12909" t="str">
        <f>T("000000000000000000")</f>
        <v>000000000000000000</v>
      </c>
      <c r="L12909" t="str">
        <f>T("6195563917")</f>
        <v>6195563917</v>
      </c>
    </row>
    <row r="12910" spans="1:12" x14ac:dyDescent="0.35">
      <c r="A12910" t="str">
        <f>T("USS WAYNE E MEYER DDG108")</f>
        <v>USS WAYNE E MEYER DDG108</v>
      </c>
      <c r="B12910" t="str">
        <f>T("SUPPLY DEPT")</f>
        <v>SUPPLY DEPT</v>
      </c>
      <c r="C12910" t="str">
        <f>T("S1 DIV")</f>
        <v>S1 DIV</v>
      </c>
      <c r="D12910" t="str">
        <f t="shared" si="4761"/>
        <v>FPO</v>
      </c>
      <c r="E12910" t="str">
        <f t="shared" si="4763"/>
        <v>AP</v>
      </c>
      <c r="F12910" t="str">
        <f>T("966831201")</f>
        <v>966831201</v>
      </c>
      <c r="G12910" t="str">
        <f>T("SUPPLY DEPT")</f>
        <v>SUPPLY DEPT</v>
      </c>
      <c r="H12910" t="str">
        <f>T("S1 DIV")</f>
        <v>S1 DIV</v>
      </c>
      <c r="I12910" t="str">
        <f t="shared" si="4762"/>
        <v>FPO</v>
      </c>
      <c r="J12910" t="str">
        <f t="shared" si="4764"/>
        <v>AP</v>
      </c>
      <c r="K12910" t="str">
        <f>T("")</f>
        <v/>
      </c>
      <c r="L12910" t="str">
        <f>T("6195563917")</f>
        <v>6195563917</v>
      </c>
    </row>
    <row r="12911" spans="1:12" x14ac:dyDescent="0.35">
      <c r="A12911" t="str">
        <f>T("USS WAYNE E MEYER DDG108")</f>
        <v>USS WAYNE E MEYER DDG108</v>
      </c>
      <c r="B12911" t="str">
        <f>T("SUPPLY DEPT")</f>
        <v>SUPPLY DEPT</v>
      </c>
      <c r="C12911" t="str">
        <f>T("S1 DIV")</f>
        <v>S1 DIV</v>
      </c>
      <c r="D12911" t="str">
        <f t="shared" si="4761"/>
        <v>FPO</v>
      </c>
      <c r="E12911" t="str">
        <f t="shared" si="4763"/>
        <v>AP</v>
      </c>
      <c r="F12911" t="str">
        <f>T("966831201")</f>
        <v>966831201</v>
      </c>
      <c r="G12911" t="str">
        <f>T("USS WAYNE E MEYER DDG 108")</f>
        <v>USS WAYNE E MEYER DDG 108</v>
      </c>
      <c r="H12911" t="str">
        <f>T("SUPPLY DEPT")</f>
        <v>SUPPLY DEPT</v>
      </c>
      <c r="I12911" t="str">
        <f t="shared" si="4762"/>
        <v>FPO</v>
      </c>
      <c r="J12911" t="str">
        <f t="shared" si="4764"/>
        <v>AP</v>
      </c>
      <c r="K12911" t="str">
        <f>T("000000000000000000")</f>
        <v>000000000000000000</v>
      </c>
      <c r="L12911" t="str">
        <f>T("6195563917")</f>
        <v>6195563917</v>
      </c>
    </row>
    <row r="12912" spans="1:12" x14ac:dyDescent="0.35">
      <c r="A12912" t="str">
        <f>T("USS WILLIAM P LAWRENCE DDG 110")</f>
        <v>USS WILLIAM P LAWRENCE DDG 110</v>
      </c>
      <c r="B12912" t="str">
        <f>T("USS WILLIAM P LAWRENCE DDG 110")</f>
        <v>USS WILLIAM P LAWRENCE DDG 110</v>
      </c>
      <c r="C12912" t="str">
        <f>T("UNIT 100225 BOX 1")</f>
        <v>UNIT 100225 BOX 1</v>
      </c>
      <c r="D12912" t="str">
        <f t="shared" si="4761"/>
        <v>FPO</v>
      </c>
      <c r="E12912" t="str">
        <f t="shared" si="4763"/>
        <v>AP</v>
      </c>
      <c r="F12912" t="str">
        <f>T("966712500")</f>
        <v>966712500</v>
      </c>
      <c r="G12912" t="str">
        <f>T("ATTN SUPPLY OFFICER")</f>
        <v>ATTN SUPPLY OFFICER</v>
      </c>
      <c r="H12912" t="str">
        <f>T("UNIT 100225 BOX 1")</f>
        <v>UNIT 100225 BOX 1</v>
      </c>
      <c r="I12912" t="str">
        <f t="shared" si="4762"/>
        <v>FPO</v>
      </c>
      <c r="J12912" t="str">
        <f t="shared" si="4764"/>
        <v>AP</v>
      </c>
      <c r="K12912" t="str">
        <f>T("000000000000000000")</f>
        <v>000000000000000000</v>
      </c>
      <c r="L12912" t="str">
        <f>T("6195563974")</f>
        <v>6195563974</v>
      </c>
    </row>
    <row r="12913" spans="1:12" x14ac:dyDescent="0.35">
      <c r="A12913" t="str">
        <f>T("USS WILLIAM P LAWRENCE DDG 110")</f>
        <v>USS WILLIAM P LAWRENCE DDG 110</v>
      </c>
      <c r="B12913" t="str">
        <f>T("USS WILLIAM P LAWRENCE DDG 110")</f>
        <v>USS WILLIAM P LAWRENCE DDG 110</v>
      </c>
      <c r="C12913" t="str">
        <f>T("UNIT 100225 BOX 1")</f>
        <v>UNIT 100225 BOX 1</v>
      </c>
      <c r="D12913" t="str">
        <f t="shared" si="4761"/>
        <v>FPO</v>
      </c>
      <c r="E12913" t="str">
        <f t="shared" si="4763"/>
        <v>AP</v>
      </c>
      <c r="F12913" t="str">
        <f>T("966712500")</f>
        <v>966712500</v>
      </c>
      <c r="G12913" t="str">
        <f>T("USS WILLIAM P LAWRENCE DDG 110")</f>
        <v>USS WILLIAM P LAWRENCE DDG 110</v>
      </c>
      <c r="H12913" t="str">
        <f>T("UNIT 100225 BOX 1")</f>
        <v>UNIT 100225 BOX 1</v>
      </c>
      <c r="I12913" t="str">
        <f t="shared" si="4762"/>
        <v>FPO</v>
      </c>
      <c r="J12913" t="str">
        <f t="shared" si="4764"/>
        <v>AP</v>
      </c>
      <c r="K12913" t="str">
        <f>T("")</f>
        <v/>
      </c>
      <c r="L12913" t="str">
        <f>T("6195563974")</f>
        <v>6195563974</v>
      </c>
    </row>
    <row r="12914" spans="1:12" x14ac:dyDescent="0.35">
      <c r="A12914" t="str">
        <f>T("USS SPRUANCE DDG 111")</f>
        <v>USS SPRUANCE DDG 111</v>
      </c>
      <c r="B12914" t="str">
        <f>T("ATTN SUPPLY OFFICER")</f>
        <v>ATTN SUPPLY OFFICER</v>
      </c>
      <c r="C12914" t="str">
        <f>T("UNIT 100226 BOX 1")</f>
        <v>UNIT 100226 BOX 1</v>
      </c>
      <c r="D12914" t="str">
        <f t="shared" si="4761"/>
        <v>FPO</v>
      </c>
      <c r="E12914" t="str">
        <f t="shared" si="4763"/>
        <v>AP</v>
      </c>
      <c r="F12914" t="str">
        <f>T("966782600")</f>
        <v>966782600</v>
      </c>
      <c r="G12914" t="str">
        <f>T("ATTN SUPPLY OFFICER")</f>
        <v>ATTN SUPPLY OFFICER</v>
      </c>
      <c r="H12914" t="str">
        <f>T("UNIT 100226 BOX 1")</f>
        <v>UNIT 100226 BOX 1</v>
      </c>
      <c r="I12914" t="str">
        <f t="shared" si="4762"/>
        <v>FPO</v>
      </c>
      <c r="J12914" t="str">
        <f t="shared" si="4764"/>
        <v>AP</v>
      </c>
      <c r="K12914" t="str">
        <f>T("6195564335")</f>
        <v>6195564335</v>
      </c>
      <c r="L12914" t="str">
        <f>T("6195564335")</f>
        <v>6195564335</v>
      </c>
    </row>
    <row r="12915" spans="1:12" x14ac:dyDescent="0.35">
      <c r="A12915" t="str">
        <f>T("USS SPRUANCE DDG 111")</f>
        <v>USS SPRUANCE DDG 111</v>
      </c>
      <c r="B12915" t="str">
        <f>T("ATTN SUPPLY OFFICER")</f>
        <v>ATTN SUPPLY OFFICER</v>
      </c>
      <c r="C12915" t="str">
        <f>T("UNIT 100226 BOX 1")</f>
        <v>UNIT 100226 BOX 1</v>
      </c>
      <c r="D12915" t="str">
        <f t="shared" si="4761"/>
        <v>FPO</v>
      </c>
      <c r="E12915" t="str">
        <f t="shared" si="4763"/>
        <v>AP</v>
      </c>
      <c r="F12915" t="str">
        <f>T("966782600")</f>
        <v>966782600</v>
      </c>
      <c r="G12915" t="str">
        <f>T("LT JAMES DONALDSON")</f>
        <v>LT JAMES DONALDSON</v>
      </c>
      <c r="H12915" t="str">
        <f>T("UNIT 100226 BOX 2001")</f>
        <v>UNIT 100226 BOX 2001</v>
      </c>
      <c r="I12915" t="str">
        <f t="shared" si="4762"/>
        <v>FPO</v>
      </c>
      <c r="J12915" t="str">
        <f t="shared" si="4764"/>
        <v>AP</v>
      </c>
      <c r="K12915" t="str">
        <f>T("000000000000000000")</f>
        <v>000000000000000000</v>
      </c>
      <c r="L12915" t="str">
        <f>T("6195564335")</f>
        <v>6195564335</v>
      </c>
    </row>
    <row r="12916" spans="1:12" x14ac:dyDescent="0.35">
      <c r="A12916" t="str">
        <f>T("USS MICHAEL MURPHY DDG-112")</f>
        <v>USS MICHAEL MURPHY DDG-112</v>
      </c>
      <c r="B12916" t="str">
        <f>T("USS MICHAEL MURPHY DDG-12")</f>
        <v>USS MICHAEL MURPHY DDG-12</v>
      </c>
      <c r="C12916" t="str">
        <f>T("UNIT 100229 BOX 1")</f>
        <v>UNIT 100229 BOX 1</v>
      </c>
      <c r="D12916" t="str">
        <f t="shared" si="4761"/>
        <v>FPO</v>
      </c>
      <c r="E12916" t="str">
        <f t="shared" si="4763"/>
        <v>AP</v>
      </c>
      <c r="F12916" t="str">
        <f>T("966722900")</f>
        <v>966722900</v>
      </c>
      <c r="G12916" t="str">
        <f>T("ATTN SUPPLY OFFICER")</f>
        <v>ATTN SUPPLY OFFICER</v>
      </c>
      <c r="H12916" t="str">
        <f>T("UNIT 100229 BOX 1")</f>
        <v>UNIT 100229 BOX 1</v>
      </c>
      <c r="I12916" t="str">
        <f t="shared" si="4762"/>
        <v>FPO</v>
      </c>
      <c r="J12916" t="str">
        <f t="shared" si="4764"/>
        <v>AP</v>
      </c>
      <c r="K12916" t="str">
        <f>T("000000000000000000")</f>
        <v>000000000000000000</v>
      </c>
      <c r="L12916" t="str">
        <f>T("8084711549")</f>
        <v>8084711549</v>
      </c>
    </row>
    <row r="12917" spans="1:12" x14ac:dyDescent="0.35">
      <c r="A12917" t="str">
        <f>T("USS MICHAEL MURPHY DDG-112")</f>
        <v>USS MICHAEL MURPHY DDG-112</v>
      </c>
      <c r="B12917" t="str">
        <f>T("USS MICHAEL MURPHY DDG-12")</f>
        <v>USS MICHAEL MURPHY DDG-12</v>
      </c>
      <c r="C12917" t="str">
        <f>T("UNIT 100229 BOX 1")</f>
        <v>UNIT 100229 BOX 1</v>
      </c>
      <c r="D12917" t="str">
        <f t="shared" si="4761"/>
        <v>FPO</v>
      </c>
      <c r="E12917" t="str">
        <f t="shared" si="4763"/>
        <v>AP</v>
      </c>
      <c r="F12917" t="str">
        <f>T("966722900")</f>
        <v>966722900</v>
      </c>
      <c r="G12917" t="str">
        <f>T("USS MICHAEL MURPHY DDG 112")</f>
        <v>USS MICHAEL MURPHY DDG 112</v>
      </c>
      <c r="H12917" t="str">
        <f>T("UNIT 100229 SUPPLY DEPT/S1 DIV")</f>
        <v>UNIT 100229 SUPPLY DEPT/S1 DIV</v>
      </c>
      <c r="I12917" t="str">
        <f t="shared" si="4762"/>
        <v>FPO</v>
      </c>
      <c r="J12917" t="str">
        <f t="shared" si="4764"/>
        <v>AP</v>
      </c>
      <c r="K12917" t="str">
        <f>T("000000000000000000")</f>
        <v>000000000000000000</v>
      </c>
      <c r="L12917" t="str">
        <f>T("8084711810")</f>
        <v>8084711810</v>
      </c>
    </row>
    <row r="12918" spans="1:12" x14ac:dyDescent="0.35">
      <c r="A12918" t="str">
        <f>T("USS MICHAEL MURPHY DDG-112")</f>
        <v>USS MICHAEL MURPHY DDG-112</v>
      </c>
      <c r="B12918" t="str">
        <f>T("USS MICHAEL MURPHY DDG-12")</f>
        <v>USS MICHAEL MURPHY DDG-12</v>
      </c>
      <c r="C12918" t="str">
        <f>T("UNIT 100229 BOX 1")</f>
        <v>UNIT 100229 BOX 1</v>
      </c>
      <c r="D12918" t="str">
        <f t="shared" si="4761"/>
        <v>FPO</v>
      </c>
      <c r="E12918" t="str">
        <f t="shared" si="4763"/>
        <v>AP</v>
      </c>
      <c r="F12918" t="str">
        <f>T("966722900")</f>
        <v>966722900</v>
      </c>
      <c r="G12918" t="str">
        <f>T("USS MICHAEL MURPHY DDG-12")</f>
        <v>USS MICHAEL MURPHY DDG-12</v>
      </c>
      <c r="H12918" t="str">
        <f>T("UNIT 100229 BOX 1")</f>
        <v>UNIT 100229 BOX 1</v>
      </c>
      <c r="I12918" t="str">
        <f t="shared" si="4762"/>
        <v>FPO</v>
      </c>
      <c r="J12918" t="str">
        <f t="shared" si="4764"/>
        <v>AP</v>
      </c>
      <c r="K12918" t="str">
        <f>T("000000000000000000")</f>
        <v>000000000000000000</v>
      </c>
      <c r="L12918" t="str">
        <f>T("8084711549")</f>
        <v>8084711549</v>
      </c>
    </row>
    <row r="12919" spans="1:12" x14ac:dyDescent="0.35">
      <c r="A12919" t="str">
        <f>T("NAVAL BEACH UNIT SEVEN")</f>
        <v>NAVAL BEACH UNIT SEVEN</v>
      </c>
      <c r="B12919" t="str">
        <f>T("NAVAL BEACH UNIT SEVEN")</f>
        <v>NAVAL BEACH UNIT SEVEN</v>
      </c>
      <c r="C12919" t="str">
        <f>T("PSC 476 BOX 1315")</f>
        <v>PSC 476 BOX 1315</v>
      </c>
      <c r="D12919" t="str">
        <f t="shared" si="4761"/>
        <v>FPO</v>
      </c>
      <c r="E12919" t="str">
        <f t="shared" si="4763"/>
        <v>AP</v>
      </c>
      <c r="F12919" t="str">
        <f>T("963220014")</f>
        <v>963220014</v>
      </c>
      <c r="G12919" t="str">
        <f>T("NAVAL BEACH UNIT SEVEN")</f>
        <v>NAVAL BEACH UNIT SEVEN</v>
      </c>
      <c r="H12919" t="str">
        <f>T("PSC 476 BOX 1315")</f>
        <v>PSC 476 BOX 1315</v>
      </c>
      <c r="I12919" t="str">
        <f t="shared" si="4762"/>
        <v>FPO</v>
      </c>
      <c r="J12919" t="str">
        <f t="shared" si="4764"/>
        <v>AP</v>
      </c>
      <c r="K12919" t="str">
        <f>T("000000000000000000")</f>
        <v>000000000000000000</v>
      </c>
      <c r="L12919" t="str">
        <f>T("1111111111")</f>
        <v>1111111111</v>
      </c>
    </row>
    <row r="12920" spans="1:12" x14ac:dyDescent="0.35">
      <c r="A12920" t="str">
        <f>T("NAVAL BEACH UNIT SEVEN")</f>
        <v>NAVAL BEACH UNIT SEVEN</v>
      </c>
      <c r="B12920" t="str">
        <f>T("NAVAL BEACH UNIT SEVEN")</f>
        <v>NAVAL BEACH UNIT SEVEN</v>
      </c>
      <c r="C12920" t="str">
        <f>T("PSC 476 BOX 1315")</f>
        <v>PSC 476 BOX 1315</v>
      </c>
      <c r="D12920" t="str">
        <f t="shared" si="4761"/>
        <v>FPO</v>
      </c>
      <c r="E12920" t="str">
        <f t="shared" si="4763"/>
        <v>AP</v>
      </c>
      <c r="F12920" t="str">
        <f>T("963220014")</f>
        <v>963220014</v>
      </c>
      <c r="G12920" t="str">
        <f>T("PSC 476 BOX 1315")</f>
        <v>PSC 476 BOX 1315</v>
      </c>
      <c r="H12920" t="str">
        <f>T("")</f>
        <v/>
      </c>
      <c r="I12920" t="str">
        <f t="shared" si="4762"/>
        <v>FPO</v>
      </c>
      <c r="J12920" t="str">
        <f t="shared" si="4764"/>
        <v>AP</v>
      </c>
      <c r="K12920" t="str">
        <f>T("3152524604")</f>
        <v>3152524604</v>
      </c>
      <c r="L12920" t="str">
        <f>T("3152524605")</f>
        <v>3152524605</v>
      </c>
    </row>
    <row r="12921" spans="1:12" x14ac:dyDescent="0.35">
      <c r="A12921" t="str">
        <f>T("SMWDC DET DAHLGREN")</f>
        <v>SMWDC DET DAHLGREN</v>
      </c>
      <c r="B12921" t="str">
        <f>T("5280 4TH SUITE 162")</f>
        <v>5280 4TH SUITE 162</v>
      </c>
      <c r="C12921" t="str">
        <f t="shared" ref="C12921:C12928" si="4765">T("")</f>
        <v/>
      </c>
      <c r="D12921" t="str">
        <f>T("DAHLGREN")</f>
        <v>DAHLGREN</v>
      </c>
      <c r="E12921" t="str">
        <f>T("WA")</f>
        <v>WA</v>
      </c>
      <c r="F12921" t="str">
        <f>T("224485202")</f>
        <v>224485202</v>
      </c>
      <c r="G12921" t="str">
        <f>T("5280 4TH ST STE 162")</f>
        <v>5280 4TH ST STE 162</v>
      </c>
      <c r="H12921" t="str">
        <f>T("BLDG 1700")</f>
        <v>BLDG 1700</v>
      </c>
      <c r="I12921" t="str">
        <f>T("DAHLGREN")</f>
        <v>DAHLGREN</v>
      </c>
      <c r="J12921" t="str">
        <f>T("VA")</f>
        <v>VA</v>
      </c>
      <c r="K12921" t="str">
        <f>T("000000000000000000")</f>
        <v>000000000000000000</v>
      </c>
      <c r="L12921" t="str">
        <f>T("5402844816")</f>
        <v>5402844816</v>
      </c>
    </row>
    <row r="12922" spans="1:12" x14ac:dyDescent="0.35">
      <c r="A12922" t="str">
        <f>T("SMWDC DET DAHLGREN")</f>
        <v>SMWDC DET DAHLGREN</v>
      </c>
      <c r="B12922" t="str">
        <f>T("5280 4TH SUITE 162")</f>
        <v>5280 4TH SUITE 162</v>
      </c>
      <c r="C12922" t="str">
        <f t="shared" si="4765"/>
        <v/>
      </c>
      <c r="D12922" t="str">
        <f>T("DAHLGREN")</f>
        <v>DAHLGREN</v>
      </c>
      <c r="E12922" t="str">
        <f>T("WA")</f>
        <v>WA</v>
      </c>
      <c r="F12922" t="str">
        <f>T("224485202")</f>
        <v>224485202</v>
      </c>
      <c r="G12922" t="str">
        <f>T("5280 4TH SUITE 162")</f>
        <v>5280 4TH SUITE 162</v>
      </c>
      <c r="H12922" t="str">
        <f>T("")</f>
        <v/>
      </c>
      <c r="I12922" t="str">
        <f>T("DAHLGREN")</f>
        <v>DAHLGREN</v>
      </c>
      <c r="J12922" t="str">
        <f>T("WA")</f>
        <v>WA</v>
      </c>
      <c r="K12922" t="str">
        <f>T("000000000000000000")</f>
        <v>000000000000000000</v>
      </c>
      <c r="L12922" t="str">
        <f>T("5404848081")</f>
        <v>5404848081</v>
      </c>
    </row>
    <row r="12923" spans="1:12" x14ac:dyDescent="0.35">
      <c r="A12923" t="str">
        <f>T("SMWDC DET DAHLGREN")</f>
        <v>SMWDC DET DAHLGREN</v>
      </c>
      <c r="B12923" t="str">
        <f>T("5280 4TH SUITE 162")</f>
        <v>5280 4TH SUITE 162</v>
      </c>
      <c r="C12923" t="str">
        <f t="shared" si="4765"/>
        <v/>
      </c>
      <c r="D12923" t="str">
        <f>T("DAHLGREN")</f>
        <v>DAHLGREN</v>
      </c>
      <c r="E12923" t="str">
        <f>T("WA")</f>
        <v>WA</v>
      </c>
      <c r="F12923" t="str">
        <f>T("224485202")</f>
        <v>224485202</v>
      </c>
      <c r="G12923" t="str">
        <f>T("NSMWDC IAMD DIVISION")</f>
        <v>NSMWDC IAMD DIVISION</v>
      </c>
      <c r="H12923" t="str">
        <f>T("5280 4TH ST SUITE 162")</f>
        <v>5280 4TH ST SUITE 162</v>
      </c>
      <c r="I12923" t="str">
        <f>T("DAHLGREN")</f>
        <v>DAHLGREN</v>
      </c>
      <c r="J12923" t="str">
        <f>T("VA")</f>
        <v>VA</v>
      </c>
      <c r="K12923" t="str">
        <f>T("000000000000000000")</f>
        <v>000000000000000000</v>
      </c>
      <c r="L12923" t="str">
        <f>T("5402844805")</f>
        <v>5402844805</v>
      </c>
    </row>
    <row r="12924" spans="1:12" x14ac:dyDescent="0.35">
      <c r="A12924" t="str">
        <f>T("COMAEWWINGPAC AIMD DET")</f>
        <v>COMAEWWINGPAC AIMD DET</v>
      </c>
      <c r="B12924" t="str">
        <f>T("672 13TH STREET")</f>
        <v>672 13TH STREET</v>
      </c>
      <c r="C12924" t="str">
        <f t="shared" si="4765"/>
        <v/>
      </c>
      <c r="D12924" t="str">
        <f>T("PT MUGU NAWC")</f>
        <v>PT MUGU NAWC</v>
      </c>
      <c r="E12924" t="str">
        <f>T("CA")</f>
        <v>CA</v>
      </c>
      <c r="F12924" t="str">
        <f>T("930425011")</f>
        <v>930425011</v>
      </c>
      <c r="G12924" t="str">
        <f>T("570 RONALD REAGAN BLVD")</f>
        <v>570 RONALD REAGAN BLVD</v>
      </c>
      <c r="H12924" t="str">
        <f>T("BLDG 311")</f>
        <v>BLDG 311</v>
      </c>
      <c r="I12924" t="str">
        <f>T("POINT MUGU NAWC")</f>
        <v>POINT MUGU NAWC</v>
      </c>
      <c r="J12924" t="str">
        <f>T("CA")</f>
        <v>CA</v>
      </c>
      <c r="K12924" t="str">
        <f>T("000000000000000000")</f>
        <v>000000000000000000</v>
      </c>
      <c r="L12924" t="str">
        <f>T("8059891328")</f>
        <v>8059891328</v>
      </c>
    </row>
    <row r="12925" spans="1:12" x14ac:dyDescent="0.35">
      <c r="A12925" t="str">
        <f>T("COMAEWWINGPAC AIMD DET")</f>
        <v>COMAEWWINGPAC AIMD DET</v>
      </c>
      <c r="B12925" t="str">
        <f>T("672 13TH STREET")</f>
        <v>672 13TH STREET</v>
      </c>
      <c r="C12925" t="str">
        <f t="shared" si="4765"/>
        <v/>
      </c>
      <c r="D12925" t="str">
        <f>T("PT MUGU NAWC")</f>
        <v>PT MUGU NAWC</v>
      </c>
      <c r="E12925" t="str">
        <f>T("CA")</f>
        <v>CA</v>
      </c>
      <c r="F12925" t="str">
        <f>T("930425011")</f>
        <v>930425011</v>
      </c>
      <c r="G12925" t="str">
        <f>T("570 RONALD REAGAN BLVD")</f>
        <v>570 RONALD REAGAN BLVD</v>
      </c>
      <c r="H12925" t="str">
        <f>T("BLDG 311")</f>
        <v>BLDG 311</v>
      </c>
      <c r="I12925" t="str">
        <f>T("PT MUGU NAWC")</f>
        <v>PT MUGU NAWC</v>
      </c>
      <c r="J12925" t="str">
        <f>T("CA")</f>
        <v>CA</v>
      </c>
      <c r="K12925" t="str">
        <f>T("8059899301")</f>
        <v>8059899301</v>
      </c>
      <c r="L12925" t="str">
        <f>T("8059891328")</f>
        <v>8059891328</v>
      </c>
    </row>
    <row r="12926" spans="1:12" x14ac:dyDescent="0.35">
      <c r="A12926" t="str">
        <f>T("COMAEWWINGPAC AIMD DET")</f>
        <v>COMAEWWINGPAC AIMD DET</v>
      </c>
      <c r="B12926" t="str">
        <f>T("672 13TH STREET")</f>
        <v>672 13TH STREET</v>
      </c>
      <c r="C12926" t="str">
        <f t="shared" si="4765"/>
        <v/>
      </c>
      <c r="D12926" t="str">
        <f>T("PT MUGU NAWC")</f>
        <v>PT MUGU NAWC</v>
      </c>
      <c r="E12926" t="str">
        <f>T("CA")</f>
        <v>CA</v>
      </c>
      <c r="F12926" t="str">
        <f>T("930425011")</f>
        <v>930425011</v>
      </c>
      <c r="G12926" t="str">
        <f>T("672 13TH STREET")</f>
        <v>672 13TH STREET</v>
      </c>
      <c r="H12926" t="str">
        <f>T("")</f>
        <v/>
      </c>
      <c r="I12926" t="str">
        <f>T("PT MUGU NAWC")</f>
        <v>PT MUGU NAWC</v>
      </c>
      <c r="J12926" t="str">
        <f>T("CA")</f>
        <v>CA</v>
      </c>
      <c r="K12926" t="str">
        <f>T("8059899301")</f>
        <v>8059899301</v>
      </c>
      <c r="L12926" t="str">
        <f>T("8059891328")</f>
        <v>8059891328</v>
      </c>
    </row>
    <row r="12927" spans="1:12" x14ac:dyDescent="0.35">
      <c r="A12927" t="str">
        <f>T("COMAEWWINGPAC AIMD DET")</f>
        <v>COMAEWWINGPAC AIMD DET</v>
      </c>
      <c r="B12927" t="str">
        <f>T("672 13TH STREET")</f>
        <v>672 13TH STREET</v>
      </c>
      <c r="C12927" t="str">
        <f t="shared" si="4765"/>
        <v/>
      </c>
      <c r="D12927" t="str">
        <f>T("PT MUGU NAWC")</f>
        <v>PT MUGU NAWC</v>
      </c>
      <c r="E12927" t="str">
        <f>T("CA")</f>
        <v>CA</v>
      </c>
      <c r="F12927" t="str">
        <f>T("930425011")</f>
        <v>930425011</v>
      </c>
      <c r="G12927" t="str">
        <f>T("COMACCLOGWING")</f>
        <v>COMACCLOGWING</v>
      </c>
      <c r="H12927" t="str">
        <f>T("672 13TH ST BLDG 50")</f>
        <v>672 13TH ST BLDG 50</v>
      </c>
      <c r="I12927" t="str">
        <f>T("POINT MUGU NAWC")</f>
        <v>POINT MUGU NAWC</v>
      </c>
      <c r="J12927" t="str">
        <f>T("CA")</f>
        <v>CA</v>
      </c>
      <c r="K12927" t="str">
        <f>T("000000000000000000")</f>
        <v>000000000000000000</v>
      </c>
      <c r="L12927" t="str">
        <f>T("8059897664")</f>
        <v>8059897664</v>
      </c>
    </row>
    <row r="12928" spans="1:12" x14ac:dyDescent="0.35">
      <c r="A12928" t="str">
        <f>T("COMAEWWINGPAC AIMD DET")</f>
        <v>COMAEWWINGPAC AIMD DET</v>
      </c>
      <c r="B12928" t="str">
        <f>T("672 13TH STREET")</f>
        <v>672 13TH STREET</v>
      </c>
      <c r="C12928" t="str">
        <f t="shared" si="4765"/>
        <v/>
      </c>
      <c r="D12928" t="str">
        <f>T("PT MUGU NAWC")</f>
        <v>PT MUGU NAWC</v>
      </c>
      <c r="E12928" t="str">
        <f>T("CA")</f>
        <v>CA</v>
      </c>
      <c r="F12928" t="str">
        <f>T("930425011")</f>
        <v>930425011</v>
      </c>
      <c r="G12928" t="str">
        <f>T("COMACCLOGWING DET AIMD")</f>
        <v>COMACCLOGWING DET AIMD</v>
      </c>
      <c r="H12928" t="str">
        <f>T("570 RONALD REAGAN BLVD")</f>
        <v>570 RONALD REAGAN BLVD</v>
      </c>
      <c r="I12928" t="str">
        <f>T("PT MUGU NAWC")</f>
        <v>PT MUGU NAWC</v>
      </c>
      <c r="J12928" t="str">
        <f>T("CA")</f>
        <v>CA</v>
      </c>
      <c r="K12928" t="str">
        <f>T("8059899301")</f>
        <v>8059899301</v>
      </c>
      <c r="L12928" t="str">
        <f>T("8059891328")</f>
        <v>8059891328</v>
      </c>
    </row>
    <row r="12929" spans="1:12" x14ac:dyDescent="0.35">
      <c r="A12929" t="str">
        <f t="shared" ref="A12929:B12933" si="4766">T("USS CARL VINSON CVN 70")</f>
        <v>USS CARL VINSON CVN 70</v>
      </c>
      <c r="B12929" t="str">
        <f t="shared" si="4766"/>
        <v>USS CARL VINSON CVN 70</v>
      </c>
      <c r="C12929" t="str">
        <f>T("UNIT 10011 BOX 1")</f>
        <v>UNIT 10011 BOX 1</v>
      </c>
      <c r="D12929" t="str">
        <f t="shared" ref="D12929:D12950" si="4767">T("FPO")</f>
        <v>FPO</v>
      </c>
      <c r="E12929" t="str">
        <f t="shared" ref="E12929:E12939" si="4768">T("AP")</f>
        <v>AP</v>
      </c>
      <c r="F12929" t="str">
        <f>T("966292840")</f>
        <v>966292840</v>
      </c>
      <c r="G12929" t="str">
        <f>T("SUPPLY/S-1")</f>
        <v>SUPPLY/S-1</v>
      </c>
      <c r="H12929" t="str">
        <f>T("USS CARL VINSON CVN 70")</f>
        <v>USS CARL VINSON CVN 70</v>
      </c>
      <c r="I12929" t="str">
        <f t="shared" ref="I12929:I12950" si="4769">T("FPO")</f>
        <v>FPO</v>
      </c>
      <c r="J12929" t="str">
        <f t="shared" ref="J12929:J12936" si="4770">T("AP")</f>
        <v>AP</v>
      </c>
      <c r="K12929" t="str">
        <f>T("000000000000000000")</f>
        <v>000000000000000000</v>
      </c>
      <c r="L12929" t="str">
        <f>T("6195457002")</f>
        <v>6195457002</v>
      </c>
    </row>
    <row r="12930" spans="1:12" x14ac:dyDescent="0.35">
      <c r="A12930" t="str">
        <f t="shared" si="4766"/>
        <v>USS CARL VINSON CVN 70</v>
      </c>
      <c r="B12930" t="str">
        <f t="shared" si="4766"/>
        <v>USS CARL VINSON CVN 70</v>
      </c>
      <c r="C12930" t="str">
        <f>T("UNIT 10011 BOX 1")</f>
        <v>UNIT 10011 BOX 1</v>
      </c>
      <c r="D12930" t="str">
        <f t="shared" si="4767"/>
        <v>FPO</v>
      </c>
      <c r="E12930" t="str">
        <f t="shared" si="4768"/>
        <v>AP</v>
      </c>
      <c r="F12930" t="str">
        <f>T("966292840")</f>
        <v>966292840</v>
      </c>
      <c r="G12930" t="str">
        <f>T("USS CARL VINSON")</f>
        <v>USS CARL VINSON</v>
      </c>
      <c r="H12930" t="str">
        <f>T("UNIT 100111 BOX 1")</f>
        <v>UNIT 100111 BOX 1</v>
      </c>
      <c r="I12930" t="str">
        <f t="shared" si="4769"/>
        <v>FPO</v>
      </c>
      <c r="J12930" t="str">
        <f t="shared" si="4770"/>
        <v>AP</v>
      </c>
      <c r="K12930" t="str">
        <f>T("000000000000000000")</f>
        <v>000000000000000000</v>
      </c>
      <c r="L12930" t="str">
        <f>T("6195457002")</f>
        <v>6195457002</v>
      </c>
    </row>
    <row r="12931" spans="1:12" x14ac:dyDescent="0.35">
      <c r="A12931" t="str">
        <f t="shared" si="4766"/>
        <v>USS CARL VINSON CVN 70</v>
      </c>
      <c r="B12931" t="str">
        <f t="shared" si="4766"/>
        <v>USS CARL VINSON CVN 70</v>
      </c>
      <c r="C12931" t="str">
        <f>T("UNIT 10011 BOX 1")</f>
        <v>UNIT 10011 BOX 1</v>
      </c>
      <c r="D12931" t="str">
        <f t="shared" si="4767"/>
        <v>FPO</v>
      </c>
      <c r="E12931" t="str">
        <f t="shared" si="4768"/>
        <v>AP</v>
      </c>
      <c r="F12931" t="str">
        <f>T("966292840")</f>
        <v>966292840</v>
      </c>
      <c r="G12931" t="str">
        <f>T("USS CARL VINSON CVN 70")</f>
        <v>USS CARL VINSON CVN 70</v>
      </c>
      <c r="H12931" t="str">
        <f>T("")</f>
        <v/>
      </c>
      <c r="I12931" t="str">
        <f t="shared" si="4769"/>
        <v>FPO</v>
      </c>
      <c r="J12931" t="str">
        <f t="shared" si="4770"/>
        <v>AP</v>
      </c>
      <c r="K12931" t="str">
        <f>T("000000000000000000")</f>
        <v>000000000000000000</v>
      </c>
      <c r="L12931" t="str">
        <f>T("6195457002")</f>
        <v>6195457002</v>
      </c>
    </row>
    <row r="12932" spans="1:12" x14ac:dyDescent="0.35">
      <c r="A12932" t="str">
        <f t="shared" si="4766"/>
        <v>USS CARL VINSON CVN 70</v>
      </c>
      <c r="B12932" t="str">
        <f t="shared" si="4766"/>
        <v>USS CARL VINSON CVN 70</v>
      </c>
      <c r="C12932" t="str">
        <f>T("UNIT 10011 BOX 1")</f>
        <v>UNIT 10011 BOX 1</v>
      </c>
      <c r="D12932" t="str">
        <f t="shared" si="4767"/>
        <v>FPO</v>
      </c>
      <c r="E12932" t="str">
        <f t="shared" si="4768"/>
        <v>AP</v>
      </c>
      <c r="F12932" t="str">
        <f>T("966292840")</f>
        <v>966292840</v>
      </c>
      <c r="G12932" t="str">
        <f>T("USS CARL VINSON CVN 70")</f>
        <v>USS CARL VINSON CVN 70</v>
      </c>
      <c r="H12932" t="str">
        <f>T("")</f>
        <v/>
      </c>
      <c r="I12932" t="str">
        <f t="shared" si="4769"/>
        <v>FPO</v>
      </c>
      <c r="J12932" t="str">
        <f t="shared" si="4770"/>
        <v>AP</v>
      </c>
      <c r="K12932" t="str">
        <f>T("6195457002")</f>
        <v>6195457002</v>
      </c>
      <c r="L12932" t="str">
        <f>T("6195457002")</f>
        <v>6195457002</v>
      </c>
    </row>
    <row r="12933" spans="1:12" x14ac:dyDescent="0.35">
      <c r="A12933" t="str">
        <f t="shared" si="4766"/>
        <v>USS CARL VINSON CVN 70</v>
      </c>
      <c r="B12933" t="str">
        <f t="shared" si="4766"/>
        <v>USS CARL VINSON CVN 70</v>
      </c>
      <c r="C12933" t="str">
        <f>T("UNIT 10011 BOX 1")</f>
        <v>UNIT 10011 BOX 1</v>
      </c>
      <c r="D12933" t="str">
        <f t="shared" si="4767"/>
        <v>FPO</v>
      </c>
      <c r="E12933" t="str">
        <f t="shared" si="4768"/>
        <v>AP</v>
      </c>
      <c r="F12933" t="str">
        <f>T("966292840")</f>
        <v>966292840</v>
      </c>
      <c r="G12933" t="str">
        <f>T("USS CARL VINSON CVN 70")</f>
        <v>USS CARL VINSON CVN 70</v>
      </c>
      <c r="H12933" t="str">
        <f>T("UNIT 10011 BOX 1")</f>
        <v>UNIT 10011 BOX 1</v>
      </c>
      <c r="I12933" t="str">
        <f t="shared" si="4769"/>
        <v>FPO</v>
      </c>
      <c r="J12933" t="str">
        <f t="shared" si="4770"/>
        <v>AP</v>
      </c>
      <c r="K12933" t="str">
        <f>T("6195457002")</f>
        <v>6195457002</v>
      </c>
      <c r="L12933" t="str">
        <f>T("6195457002")</f>
        <v>6195457002</v>
      </c>
    </row>
    <row r="12934" spans="1:12" x14ac:dyDescent="0.35">
      <c r="A12934" t="str">
        <f>T("USS THEODORE ROSOSEVELT CVN")</f>
        <v>USS THEODORE ROSOSEVELT CVN</v>
      </c>
      <c r="B12934" t="str">
        <f>T("SUPPLY/STOCK CONTROL")</f>
        <v>SUPPLY/STOCK CONTROL</v>
      </c>
      <c r="C12934" t="str">
        <f>T("UNIT 100250 BOX 1")</f>
        <v>UNIT 100250 BOX 1</v>
      </c>
      <c r="D12934" t="str">
        <f t="shared" si="4767"/>
        <v>FPO</v>
      </c>
      <c r="E12934" t="str">
        <f t="shared" si="4768"/>
        <v>AP</v>
      </c>
      <c r="F12934" t="str">
        <f>T("966325000")</f>
        <v>966325000</v>
      </c>
      <c r="G12934" t="str">
        <f>T("SUPPLY DEPT/S-1")</f>
        <v>SUPPLY DEPT/S-1</v>
      </c>
      <c r="H12934" t="str">
        <f>T("UNIT 100250 BOX 1")</f>
        <v>UNIT 100250 BOX 1</v>
      </c>
      <c r="I12934" t="str">
        <f t="shared" si="4769"/>
        <v>FPO</v>
      </c>
      <c r="J12934" t="str">
        <f t="shared" si="4770"/>
        <v>AP</v>
      </c>
      <c r="K12934" t="str">
        <f>T("000000000000000000")</f>
        <v>000000000000000000</v>
      </c>
      <c r="L12934" t="str">
        <f>T("6195455374")</f>
        <v>6195455374</v>
      </c>
    </row>
    <row r="12935" spans="1:12" x14ac:dyDescent="0.35">
      <c r="A12935" t="str">
        <f>T("USS THEODORE ROSOSEVELT CVN")</f>
        <v>USS THEODORE ROSOSEVELT CVN</v>
      </c>
      <c r="B12935" t="str">
        <f>T("SUPPLY/STOCK CONTROL")</f>
        <v>SUPPLY/STOCK CONTROL</v>
      </c>
      <c r="C12935" t="str">
        <f>T("UNIT 100250 BOX 1")</f>
        <v>UNIT 100250 BOX 1</v>
      </c>
      <c r="D12935" t="str">
        <f t="shared" si="4767"/>
        <v>FPO</v>
      </c>
      <c r="E12935" t="str">
        <f t="shared" si="4768"/>
        <v>AP</v>
      </c>
      <c r="F12935" t="str">
        <f>T("966325000")</f>
        <v>966325000</v>
      </c>
      <c r="G12935" t="str">
        <f>T("SUPPLY DEPT/S-1")</f>
        <v>SUPPLY DEPT/S-1</v>
      </c>
      <c r="H12935" t="str">
        <f>T("UNIT 100250 BOX 1")</f>
        <v>UNIT 100250 BOX 1</v>
      </c>
      <c r="I12935" t="str">
        <f t="shared" si="4769"/>
        <v>FPO</v>
      </c>
      <c r="J12935" t="str">
        <f t="shared" si="4770"/>
        <v>AP</v>
      </c>
      <c r="K12935" t="str">
        <f>T("000000000000000000")</f>
        <v>000000000000000000</v>
      </c>
      <c r="L12935" t="str">
        <f>T("7574437466")</f>
        <v>7574437466</v>
      </c>
    </row>
    <row r="12936" spans="1:12" x14ac:dyDescent="0.35">
      <c r="A12936" t="str">
        <f>T("USS THEODORE ROSOSEVELT CVN")</f>
        <v>USS THEODORE ROSOSEVELT CVN</v>
      </c>
      <c r="B12936" t="str">
        <f>T("SUPPLY/STOCK CONTROL")</f>
        <v>SUPPLY/STOCK CONTROL</v>
      </c>
      <c r="C12936" t="str">
        <f>T("UNIT 100250 BOX 1")</f>
        <v>UNIT 100250 BOX 1</v>
      </c>
      <c r="D12936" t="str">
        <f t="shared" si="4767"/>
        <v>FPO</v>
      </c>
      <c r="E12936" t="str">
        <f t="shared" si="4768"/>
        <v>AP</v>
      </c>
      <c r="F12936" t="str">
        <f>T("966325000")</f>
        <v>966325000</v>
      </c>
      <c r="G12936" t="str">
        <f>T("SUPPLY/STOCK CONTROL")</f>
        <v>SUPPLY/STOCK CONTROL</v>
      </c>
      <c r="H12936" t="str">
        <f>T("UNIT 100250 BOX 1")</f>
        <v>UNIT 100250 BOX 1</v>
      </c>
      <c r="I12936" t="str">
        <f t="shared" si="4769"/>
        <v>FPO</v>
      </c>
      <c r="J12936" t="str">
        <f t="shared" si="4770"/>
        <v>AP</v>
      </c>
      <c r="K12936" t="str">
        <f>T("757-443-7466")</f>
        <v>757-443-7466</v>
      </c>
      <c r="L12936" t="str">
        <f>T("6195455374")</f>
        <v>6195455374</v>
      </c>
    </row>
    <row r="12937" spans="1:12" x14ac:dyDescent="0.35">
      <c r="A12937" t="str">
        <f t="shared" ref="A12937:B12939" si="4771">T("USS ABRAHAM LINCOLN")</f>
        <v>USS ABRAHAM LINCOLN</v>
      </c>
      <c r="B12937" t="str">
        <f t="shared" si="4771"/>
        <v>USS ABRAHAM LINCOLN</v>
      </c>
      <c r="C12937" t="str">
        <f>T("")</f>
        <v/>
      </c>
      <c r="D12937" t="str">
        <f t="shared" si="4767"/>
        <v>FPO</v>
      </c>
      <c r="E12937" t="str">
        <f t="shared" si="4768"/>
        <v>AP</v>
      </c>
      <c r="F12937" t="str">
        <f>T("966122872")</f>
        <v>966122872</v>
      </c>
      <c r="G12937" t="str">
        <f>T("FPO AE 09520-2782")</f>
        <v>FPO AE 09520-2782</v>
      </c>
      <c r="H12937" t="str">
        <f>T("")</f>
        <v/>
      </c>
      <c r="I12937" t="str">
        <f t="shared" si="4769"/>
        <v>FPO</v>
      </c>
      <c r="J12937" t="str">
        <f>T("AE")</f>
        <v>AE</v>
      </c>
      <c r="K12937" t="str">
        <f>T("7575341069")</f>
        <v>7575341069</v>
      </c>
      <c r="L12937" t="str">
        <f>T("7575341072")</f>
        <v>7575341072</v>
      </c>
    </row>
    <row r="12938" spans="1:12" x14ac:dyDescent="0.35">
      <c r="A12938" t="str">
        <f t="shared" si="4771"/>
        <v>USS ABRAHAM LINCOLN</v>
      </c>
      <c r="B12938" t="str">
        <f t="shared" si="4771"/>
        <v>USS ABRAHAM LINCOLN</v>
      </c>
      <c r="C12938" t="str">
        <f>T("")</f>
        <v/>
      </c>
      <c r="D12938" t="str">
        <f t="shared" si="4767"/>
        <v>FPO</v>
      </c>
      <c r="E12938" t="str">
        <f t="shared" si="4768"/>
        <v>AP</v>
      </c>
      <c r="F12938" t="str">
        <f>T("966122872")</f>
        <v>966122872</v>
      </c>
      <c r="G12938" t="str">
        <f>T("S-1 DIVISION")</f>
        <v>S-1 DIVISION</v>
      </c>
      <c r="H12938" t="str">
        <f>T("")</f>
        <v/>
      </c>
      <c r="I12938" t="str">
        <f t="shared" si="4769"/>
        <v>FPO</v>
      </c>
      <c r="J12938" t="str">
        <f>T("AE")</f>
        <v>AE</v>
      </c>
      <c r="K12938" t="str">
        <f>T("000000000000000000")</f>
        <v>000000000000000000</v>
      </c>
      <c r="L12938" t="str">
        <f>T("7575341072")</f>
        <v>7575341072</v>
      </c>
    </row>
    <row r="12939" spans="1:12" x14ac:dyDescent="0.35">
      <c r="A12939" t="str">
        <f t="shared" si="4771"/>
        <v>USS ABRAHAM LINCOLN</v>
      </c>
      <c r="B12939" t="str">
        <f t="shared" si="4771"/>
        <v>USS ABRAHAM LINCOLN</v>
      </c>
      <c r="C12939" t="str">
        <f>T("")</f>
        <v/>
      </c>
      <c r="D12939" t="str">
        <f t="shared" si="4767"/>
        <v>FPO</v>
      </c>
      <c r="E12939" t="str">
        <f t="shared" si="4768"/>
        <v>AP</v>
      </c>
      <c r="F12939" t="str">
        <f>T("966122872")</f>
        <v>966122872</v>
      </c>
      <c r="G12939" t="str">
        <f>T("USS ABRAHAM LINCOLN")</f>
        <v>USS ABRAHAM LINCOLN</v>
      </c>
      <c r="H12939" t="str">
        <f>T("")</f>
        <v/>
      </c>
      <c r="I12939" t="str">
        <f t="shared" si="4769"/>
        <v>FPO</v>
      </c>
      <c r="J12939" t="str">
        <f>T("AP")</f>
        <v>AP</v>
      </c>
      <c r="K12939" t="str">
        <f>T("")</f>
        <v/>
      </c>
      <c r="L12939" t="str">
        <f>T("4253045134")</f>
        <v>4253045134</v>
      </c>
    </row>
    <row r="12940" spans="1:12" x14ac:dyDescent="0.35">
      <c r="A12940" t="str">
        <f t="shared" ref="A12940:B12942" si="4772">T("USS GEORGE WASHINGTON CVN 73")</f>
        <v>USS GEORGE WASHINGTON CVN 73</v>
      </c>
      <c r="B12940" t="str">
        <f t="shared" si="4772"/>
        <v>USS GEORGE WASHINGTON CVN 73</v>
      </c>
      <c r="C12940" t="str">
        <f>T("UNIT 100148 BOX 1")</f>
        <v>UNIT 100148 BOX 1</v>
      </c>
      <c r="D12940" t="str">
        <f t="shared" si="4767"/>
        <v>FPO</v>
      </c>
      <c r="E12940" t="str">
        <f>T("AE")</f>
        <v>AE</v>
      </c>
      <c r="F12940" t="str">
        <f>T("095504800")</f>
        <v>095504800</v>
      </c>
      <c r="G12940" t="str">
        <f>T("USS GEORGE WASHINGTON CVN 73")</f>
        <v>USS GEORGE WASHINGTON CVN 73</v>
      </c>
      <c r="H12940" t="str">
        <f>T("UNIT 1001148 BOX 9044 S-1")</f>
        <v>UNIT 1001148 BOX 9044 S-1</v>
      </c>
      <c r="I12940" t="str">
        <f t="shared" si="4769"/>
        <v>FPO</v>
      </c>
      <c r="J12940" t="str">
        <f>T("AE")</f>
        <v>AE</v>
      </c>
      <c r="K12940" t="str">
        <f>T("000000000000000000")</f>
        <v>000000000000000000</v>
      </c>
      <c r="L12940" t="str">
        <f>T("7574438958")</f>
        <v>7574438958</v>
      </c>
    </row>
    <row r="12941" spans="1:12" x14ac:dyDescent="0.35">
      <c r="A12941" t="str">
        <f t="shared" si="4772"/>
        <v>USS GEORGE WASHINGTON CVN 73</v>
      </c>
      <c r="B12941" t="str">
        <f t="shared" si="4772"/>
        <v>USS GEORGE WASHINGTON CVN 73</v>
      </c>
      <c r="C12941" t="str">
        <f>T("UNIT 100148 BOX 1")</f>
        <v>UNIT 100148 BOX 1</v>
      </c>
      <c r="D12941" t="str">
        <f t="shared" si="4767"/>
        <v>FPO</v>
      </c>
      <c r="E12941" t="str">
        <f>T("AE")</f>
        <v>AE</v>
      </c>
      <c r="F12941" t="str">
        <f>T("095504800")</f>
        <v>095504800</v>
      </c>
      <c r="G12941" t="str">
        <f>T("USS GEORGE WASHINGTON CVN 73")</f>
        <v>USS GEORGE WASHINGTON CVN 73</v>
      </c>
      <c r="H12941" t="str">
        <f>T("UNIT 100148 BOX 1")</f>
        <v>UNIT 100148 BOX 1</v>
      </c>
      <c r="I12941" t="str">
        <f t="shared" si="4769"/>
        <v>FPO</v>
      </c>
      <c r="J12941" t="str">
        <f>T("AE")</f>
        <v>AE</v>
      </c>
      <c r="K12941" t="str">
        <f>T("3096936095")</f>
        <v>3096936095</v>
      </c>
      <c r="L12941" t="str">
        <f>T("7574438958")</f>
        <v>7574438958</v>
      </c>
    </row>
    <row r="12942" spans="1:12" x14ac:dyDescent="0.35">
      <c r="A12942" t="str">
        <f t="shared" si="4772"/>
        <v>USS GEORGE WASHINGTON CVN 73</v>
      </c>
      <c r="B12942" t="str">
        <f t="shared" si="4772"/>
        <v>USS GEORGE WASHINGTON CVN 73</v>
      </c>
      <c r="C12942" t="str">
        <f>T("UNIT 100148 BOX 1")</f>
        <v>UNIT 100148 BOX 1</v>
      </c>
      <c r="D12942" t="str">
        <f t="shared" si="4767"/>
        <v>FPO</v>
      </c>
      <c r="E12942" t="str">
        <f>T("AE")</f>
        <v>AE</v>
      </c>
      <c r="F12942" t="str">
        <f>T("095504800")</f>
        <v>095504800</v>
      </c>
      <c r="G12942" t="str">
        <f>T("USS GEORGE WASHINGTON CVN-73")</f>
        <v>USS GEORGE WASHINGTON CVN-73</v>
      </c>
      <c r="H12942" t="str">
        <f>T("UNIT 100148 BOX 1")</f>
        <v>UNIT 100148 BOX 1</v>
      </c>
      <c r="I12942" t="str">
        <f t="shared" si="4769"/>
        <v>FPO</v>
      </c>
      <c r="J12942" t="str">
        <f>T("AE")</f>
        <v>AE</v>
      </c>
      <c r="K12942" t="str">
        <f>T("000000000000000000")</f>
        <v>000000000000000000</v>
      </c>
      <c r="L12942" t="str">
        <f>T("7574438958")</f>
        <v>7574438958</v>
      </c>
    </row>
    <row r="12943" spans="1:12" x14ac:dyDescent="0.35">
      <c r="A12943" t="str">
        <f>T("USS JOHN C STENNIS CVN 74")</f>
        <v>USS JOHN C STENNIS CVN 74</v>
      </c>
      <c r="B12943" t="str">
        <f>T("PO BOX 50")</f>
        <v>PO BOX 50</v>
      </c>
      <c r="C12943" t="str">
        <f>T("")</f>
        <v/>
      </c>
      <c r="D12943" t="str">
        <f t="shared" si="4767"/>
        <v>FPO</v>
      </c>
      <c r="E12943" t="str">
        <f t="shared" ref="E12943:E12950" si="4773">T("AP")</f>
        <v>AP</v>
      </c>
      <c r="F12943" t="str">
        <f>T("966152874")</f>
        <v>966152874</v>
      </c>
      <c r="G12943" t="str">
        <f>T("PO BOX 50")</f>
        <v>PO BOX 50</v>
      </c>
      <c r="H12943" t="str">
        <f>T("")</f>
        <v/>
      </c>
      <c r="I12943" t="str">
        <f t="shared" si="4769"/>
        <v>FPO</v>
      </c>
      <c r="J12943" t="str">
        <f t="shared" ref="J12943:J12950" si="4774">T("AP")</f>
        <v>AP</v>
      </c>
      <c r="K12943" t="str">
        <f>T("")</f>
        <v/>
      </c>
      <c r="L12943" t="str">
        <f>T("3066272530")</f>
        <v>3066272530</v>
      </c>
    </row>
    <row r="12944" spans="1:12" x14ac:dyDescent="0.35">
      <c r="A12944" t="str">
        <f>T("USS JOHN C STENNIS CVN 74")</f>
        <v>USS JOHN C STENNIS CVN 74</v>
      </c>
      <c r="B12944" t="str">
        <f>T("PO BOX 50")</f>
        <v>PO BOX 50</v>
      </c>
      <c r="C12944" t="str">
        <f>T("")</f>
        <v/>
      </c>
      <c r="D12944" t="str">
        <f t="shared" si="4767"/>
        <v>FPO</v>
      </c>
      <c r="E12944" t="str">
        <f t="shared" si="4773"/>
        <v>AP</v>
      </c>
      <c r="F12944" t="str">
        <f>T("966152874")</f>
        <v>966152874</v>
      </c>
      <c r="G12944" t="str">
        <f>T("S-1 DIVISION")</f>
        <v>S-1 DIVISION</v>
      </c>
      <c r="H12944" t="str">
        <f>T("BOX 50")</f>
        <v>BOX 50</v>
      </c>
      <c r="I12944" t="str">
        <f t="shared" si="4769"/>
        <v>FPO</v>
      </c>
      <c r="J12944" t="str">
        <f t="shared" si="4774"/>
        <v>AP</v>
      </c>
      <c r="K12944" t="str">
        <f>T("000000000000000000")</f>
        <v>000000000000000000</v>
      </c>
      <c r="L12944" t="str">
        <f>T("3606272530")</f>
        <v>3606272530</v>
      </c>
    </row>
    <row r="12945" spans="1:12" x14ac:dyDescent="0.35">
      <c r="A12945" t="str">
        <f>T("USS JOHN C STENNIS CVN 74")</f>
        <v>USS JOHN C STENNIS CVN 74</v>
      </c>
      <c r="B12945" t="str">
        <f>T("PO BOX 50")</f>
        <v>PO BOX 50</v>
      </c>
      <c r="C12945" t="str">
        <f>T("")</f>
        <v/>
      </c>
      <c r="D12945" t="str">
        <f t="shared" si="4767"/>
        <v>FPO</v>
      </c>
      <c r="E12945" t="str">
        <f t="shared" si="4773"/>
        <v>AP</v>
      </c>
      <c r="F12945" t="str">
        <f>T("966152874")</f>
        <v>966152874</v>
      </c>
      <c r="G12945" t="str">
        <f>T("UNIT 100175")</f>
        <v>UNIT 100175</v>
      </c>
      <c r="H12945" t="str">
        <f>T("BOX 1")</f>
        <v>BOX 1</v>
      </c>
      <c r="I12945" t="str">
        <f t="shared" si="4769"/>
        <v>FPO</v>
      </c>
      <c r="J12945" t="str">
        <f t="shared" si="4774"/>
        <v>AP</v>
      </c>
      <c r="K12945" t="str">
        <f>T("000000000000000000")</f>
        <v>000000000000000000</v>
      </c>
      <c r="L12945" t="str">
        <f>T("3606272530")</f>
        <v>3606272530</v>
      </c>
    </row>
    <row r="12946" spans="1:12" x14ac:dyDescent="0.35">
      <c r="A12946" t="str">
        <f>T("USS JOHN C STENNIS CVN 74")</f>
        <v>USS JOHN C STENNIS CVN 74</v>
      </c>
      <c r="B12946" t="str">
        <f>T("PO BOX 50")</f>
        <v>PO BOX 50</v>
      </c>
      <c r="C12946" t="str">
        <f>T("")</f>
        <v/>
      </c>
      <c r="D12946" t="str">
        <f t="shared" si="4767"/>
        <v>FPO</v>
      </c>
      <c r="E12946" t="str">
        <f t="shared" si="4773"/>
        <v>AP</v>
      </c>
      <c r="F12946" t="str">
        <f>T("966152874")</f>
        <v>966152874</v>
      </c>
      <c r="G12946" t="str">
        <f>T("UNIT 100175")</f>
        <v>UNIT 100175</v>
      </c>
      <c r="H12946" t="str">
        <f>T("BOX 5064 S1")</f>
        <v>BOX 5064 S1</v>
      </c>
      <c r="I12946" t="str">
        <f t="shared" si="4769"/>
        <v>FPO</v>
      </c>
      <c r="J12946" t="str">
        <f t="shared" si="4774"/>
        <v>AP</v>
      </c>
      <c r="K12946" t="str">
        <f>T("000000000000000000")</f>
        <v>000000000000000000</v>
      </c>
      <c r="L12946" t="str">
        <f>T("3606272530")</f>
        <v>3606272530</v>
      </c>
    </row>
    <row r="12947" spans="1:12" x14ac:dyDescent="0.35">
      <c r="A12947" t="str">
        <f>T("USS JOHN C STENNIS CVN 74")</f>
        <v>USS JOHN C STENNIS CVN 74</v>
      </c>
      <c r="B12947" t="str">
        <f>T("PO BOX 50")</f>
        <v>PO BOX 50</v>
      </c>
      <c r="C12947" t="str">
        <f>T("")</f>
        <v/>
      </c>
      <c r="D12947" t="str">
        <f t="shared" si="4767"/>
        <v>FPO</v>
      </c>
      <c r="E12947" t="str">
        <f t="shared" si="4773"/>
        <v>AP</v>
      </c>
      <c r="F12947" t="str">
        <f>T("966152874")</f>
        <v>966152874</v>
      </c>
      <c r="G12947" t="str">
        <f>T("UNIT 100175 BOX 1")</f>
        <v>UNIT 100175 BOX 1</v>
      </c>
      <c r="H12947" t="str">
        <f>T("")</f>
        <v/>
      </c>
      <c r="I12947" t="str">
        <f t="shared" si="4769"/>
        <v>FPO</v>
      </c>
      <c r="J12947" t="str">
        <f t="shared" si="4774"/>
        <v>AP</v>
      </c>
      <c r="K12947" t="str">
        <f>T("000000000000000000")</f>
        <v>000000000000000000</v>
      </c>
      <c r="L12947" t="str">
        <f>T("3606272530")</f>
        <v>3606272530</v>
      </c>
    </row>
    <row r="12948" spans="1:12" x14ac:dyDescent="0.35">
      <c r="A12948" t="str">
        <f>T("PRF7F DET KADENA")</f>
        <v>PRF7F DET KADENA</v>
      </c>
      <c r="B12948" t="str">
        <f>T("OIC PRF7F DET KADENA")</f>
        <v>OIC PRF7F DET KADENA</v>
      </c>
      <c r="C12948" t="str">
        <f>T("PSC 480 BOX 055")</f>
        <v>PSC 480 BOX 055</v>
      </c>
      <c r="D12948" t="str">
        <f t="shared" si="4767"/>
        <v>FPO</v>
      </c>
      <c r="E12948" t="str">
        <f t="shared" si="4773"/>
        <v>AP</v>
      </c>
      <c r="F12948" t="str">
        <f>T("963700001")</f>
        <v>963700001</v>
      </c>
      <c r="G12948" t="str">
        <f>T("OFFICER IN CHARGE PRF7F DET KADENA")</f>
        <v>OFFICER IN CHARGE PRF7F DET KADENA</v>
      </c>
      <c r="H12948" t="str">
        <f>T("PSC 480 BOX 55")</f>
        <v>PSC 480 BOX 55</v>
      </c>
      <c r="I12948" t="str">
        <f t="shared" si="4769"/>
        <v>FPO</v>
      </c>
      <c r="J12948" t="str">
        <f t="shared" si="4774"/>
        <v>AP</v>
      </c>
      <c r="K12948" t="str">
        <f>T("01181989616609")</f>
        <v>01181989616609</v>
      </c>
      <c r="L12948" t="str">
        <f>T("1111111111")</f>
        <v>1111111111</v>
      </c>
    </row>
    <row r="12949" spans="1:12" x14ac:dyDescent="0.35">
      <c r="A12949" t="str">
        <f>T("PRF7F DET KADENA")</f>
        <v>PRF7F DET KADENA</v>
      </c>
      <c r="B12949" t="str">
        <f>T("OIC PRF7F DET KADENA")</f>
        <v>OIC PRF7F DET KADENA</v>
      </c>
      <c r="C12949" t="str">
        <f>T("PSC 480 BOX 055")</f>
        <v>PSC 480 BOX 055</v>
      </c>
      <c r="D12949" t="str">
        <f t="shared" si="4767"/>
        <v>FPO</v>
      </c>
      <c r="E12949" t="str">
        <f t="shared" si="4773"/>
        <v>AP</v>
      </c>
      <c r="F12949" t="str">
        <f>T("963700001")</f>
        <v>963700001</v>
      </c>
      <c r="G12949" t="str">
        <f>T("OFFICER IN CHARGE PRF7F DET KADENA")</f>
        <v>OFFICER IN CHARGE PRF7F DET KADENA</v>
      </c>
      <c r="H12949" t="str">
        <f>T("PSC 480 BOX 55")</f>
        <v>PSC 480 BOX 55</v>
      </c>
      <c r="I12949" t="str">
        <f t="shared" si="4769"/>
        <v>FPO</v>
      </c>
      <c r="J12949" t="str">
        <f t="shared" si="4774"/>
        <v>AP</v>
      </c>
      <c r="K12949" t="str">
        <f>T("01181989619829")</f>
        <v>01181989619829</v>
      </c>
      <c r="L12949" t="str">
        <f>T("1111111111")</f>
        <v>1111111111</v>
      </c>
    </row>
    <row r="12950" spans="1:12" x14ac:dyDescent="0.35">
      <c r="A12950" t="str">
        <f>T("PRF7F DET KADENA")</f>
        <v>PRF7F DET KADENA</v>
      </c>
      <c r="B12950" t="str">
        <f>T("OIC PRF7F DET KADENA")</f>
        <v>OIC PRF7F DET KADENA</v>
      </c>
      <c r="C12950" t="str">
        <f>T("PSC 480 BOX 055")</f>
        <v>PSC 480 BOX 055</v>
      </c>
      <c r="D12950" t="str">
        <f t="shared" si="4767"/>
        <v>FPO</v>
      </c>
      <c r="E12950" t="str">
        <f t="shared" si="4773"/>
        <v>AP</v>
      </c>
      <c r="F12950" t="str">
        <f>T("963700001")</f>
        <v>963700001</v>
      </c>
      <c r="G12950" t="str">
        <f>T("OIC PRF7F DET KADENA")</f>
        <v>OIC PRF7F DET KADENA</v>
      </c>
      <c r="H12950" t="str">
        <f>T("PSC 480 BOX 055")</f>
        <v>PSC 480 BOX 055</v>
      </c>
      <c r="I12950" t="str">
        <f t="shared" si="4769"/>
        <v>FPO</v>
      </c>
      <c r="J12950" t="str">
        <f t="shared" si="4774"/>
        <v>AP</v>
      </c>
      <c r="K12950" t="str">
        <f>T("")</f>
        <v/>
      </c>
      <c r="L12950" t="str">
        <f>T("3156349823")</f>
        <v>3156349823</v>
      </c>
    </row>
    <row r="12951" spans="1:12" x14ac:dyDescent="0.35">
      <c r="A12951" t="str">
        <f>T("HSM-37")</f>
        <v>HSM-37</v>
      </c>
      <c r="B12951" t="str">
        <f>T("HSL-37 1ST ST HANGER 103")</f>
        <v>HSL-37 1ST ST HANGER 103</v>
      </c>
      <c r="C12951" t="str">
        <f>T("BOX 64006, MCBH")</f>
        <v>BOX 64006, MCBH</v>
      </c>
      <c r="D12951" t="str">
        <f>T("MCBH KANEOHE BAY")</f>
        <v>MCBH KANEOHE BAY</v>
      </c>
      <c r="E12951" t="str">
        <f>T("HI")</f>
        <v>HI</v>
      </c>
      <c r="F12951" t="str">
        <f>T("968634000")</f>
        <v>968634000</v>
      </c>
      <c r="G12951" t="str">
        <f>T("HSL-37 1ST ST HANGER 103")</f>
        <v>HSL-37 1ST ST HANGER 103</v>
      </c>
      <c r="H12951" t="str">
        <f>T("BOX 64006, MCBH")</f>
        <v>BOX 64006, MCBH</v>
      </c>
      <c r="I12951" t="str">
        <f>T("MCBH KANEOHE BAY")</f>
        <v>MCBH KANEOHE BAY</v>
      </c>
      <c r="J12951" t="str">
        <f>T("HI")</f>
        <v>HI</v>
      </c>
      <c r="K12951" t="str">
        <f>T("808-257-0147")</f>
        <v>808-257-0147</v>
      </c>
      <c r="L12951" t="str">
        <f>T("8082570143")</f>
        <v>8082570143</v>
      </c>
    </row>
    <row r="12952" spans="1:12" x14ac:dyDescent="0.35">
      <c r="A12952" t="str">
        <f>T("HSM-37")</f>
        <v>HSM-37</v>
      </c>
      <c r="B12952" t="str">
        <f>T("HSL-37 1ST ST HANGER 103")</f>
        <v>HSL-37 1ST ST HANGER 103</v>
      </c>
      <c r="C12952" t="str">
        <f>T("BOX 64006, MCBH")</f>
        <v>BOX 64006, MCBH</v>
      </c>
      <c r="D12952" t="str">
        <f>T("MCBH KANEOHE BAY")</f>
        <v>MCBH KANEOHE BAY</v>
      </c>
      <c r="E12952" t="str">
        <f>T("HI")</f>
        <v>HI</v>
      </c>
      <c r="F12952" t="str">
        <f>T("968634000")</f>
        <v>968634000</v>
      </c>
      <c r="G12952" t="str">
        <f>T("HSM-37 1ST ST")</f>
        <v>HSM-37 1ST ST</v>
      </c>
      <c r="H12952" t="str">
        <f>T("HANGAR 103 BOX 64006 MCBH")</f>
        <v>HANGAR 103 BOX 64006 MCBH</v>
      </c>
      <c r="I12952" t="str">
        <f>T("KANEOHE BAY")</f>
        <v>KANEOHE BAY</v>
      </c>
      <c r="J12952" t="str">
        <f>T("HI")</f>
        <v>HI</v>
      </c>
      <c r="K12952" t="str">
        <f>T("8082570147")</f>
        <v>8082570147</v>
      </c>
      <c r="L12952" t="str">
        <f>T("8082570119")</f>
        <v>8082570119</v>
      </c>
    </row>
    <row r="12953" spans="1:12" x14ac:dyDescent="0.35">
      <c r="A12953" t="str">
        <f>T("HSM-37")</f>
        <v>HSM-37</v>
      </c>
      <c r="B12953" t="str">
        <f>T("HSL-37 1ST ST HANGER 103")</f>
        <v>HSL-37 1ST ST HANGER 103</v>
      </c>
      <c r="C12953" t="str">
        <f>T("BOX 64006, MCBH")</f>
        <v>BOX 64006, MCBH</v>
      </c>
      <c r="D12953" t="str">
        <f>T("MCBH KANEOHE BAY")</f>
        <v>MCBH KANEOHE BAY</v>
      </c>
      <c r="E12953" t="str">
        <f>T("HI")</f>
        <v>HI</v>
      </c>
      <c r="F12953" t="str">
        <f>T("968634000")</f>
        <v>968634000</v>
      </c>
      <c r="G12953" t="str">
        <f>T("HSM-37 1ST ST")</f>
        <v>HSM-37 1ST ST</v>
      </c>
      <c r="H12953" t="str">
        <f>T("HANGER 103 BOX 64006 MCBH")</f>
        <v>HANGER 103 BOX 64006 MCBH</v>
      </c>
      <c r="I12953" t="str">
        <f>T("KANEOHE BAY")</f>
        <v>KANEOHE BAY</v>
      </c>
      <c r="J12953" t="str">
        <f>T("HI")</f>
        <v>HI</v>
      </c>
      <c r="K12953" t="str">
        <f>T("8082570147")</f>
        <v>8082570147</v>
      </c>
      <c r="L12953" t="str">
        <f>T("8082570119")</f>
        <v>8082570119</v>
      </c>
    </row>
    <row r="12954" spans="1:12" x14ac:dyDescent="0.35">
      <c r="A12954" t="str">
        <f>T("HSM-37")</f>
        <v>HSM-37</v>
      </c>
      <c r="B12954" t="str">
        <f>T("HSL-37 1ST ST HANGER 103")</f>
        <v>HSL-37 1ST ST HANGER 103</v>
      </c>
      <c r="C12954" t="str">
        <f>T("BOX 64006, MCBH")</f>
        <v>BOX 64006, MCBH</v>
      </c>
      <c r="D12954" t="str">
        <f>T("MCBH KANEOHE BAY")</f>
        <v>MCBH KANEOHE BAY</v>
      </c>
      <c r="E12954" t="str">
        <f>T("HI")</f>
        <v>HI</v>
      </c>
      <c r="F12954" t="str">
        <f>T("968634000")</f>
        <v>968634000</v>
      </c>
      <c r="G12954" t="str">
        <f>T("HSM-37 1ST ST HANGAR 103")</f>
        <v>HSM-37 1ST ST HANGAR 103</v>
      </c>
      <c r="H12954" t="str">
        <f>T("BOX 64006 MCBH")</f>
        <v>BOX 64006 MCBH</v>
      </c>
      <c r="I12954" t="str">
        <f>T("KANEOHE BAY")</f>
        <v>KANEOHE BAY</v>
      </c>
      <c r="J12954" t="str">
        <f>T("HI")</f>
        <v>HI</v>
      </c>
      <c r="K12954" t="str">
        <f>T("8082570147")</f>
        <v>8082570147</v>
      </c>
      <c r="L12954" t="str">
        <f>T("8082570119")</f>
        <v>8082570119</v>
      </c>
    </row>
    <row r="12955" spans="1:12" x14ac:dyDescent="0.35">
      <c r="A12955" t="str">
        <f>T("HSM-37")</f>
        <v>HSM-37</v>
      </c>
      <c r="B12955" t="str">
        <f>T("HSL-37 1ST ST HANGER 103")</f>
        <v>HSL-37 1ST ST HANGER 103</v>
      </c>
      <c r="C12955" t="str">
        <f>T("BOX 64006, MCBH")</f>
        <v>BOX 64006, MCBH</v>
      </c>
      <c r="D12955" t="str">
        <f>T("MCBH KANEOHE BAY")</f>
        <v>MCBH KANEOHE BAY</v>
      </c>
      <c r="E12955" t="str">
        <f>T("HI")</f>
        <v>HI</v>
      </c>
      <c r="F12955" t="str">
        <f>T("968634000")</f>
        <v>968634000</v>
      </c>
      <c r="G12955" t="str">
        <f>T("HSM-37 HANGAR 103 1ST ST")</f>
        <v>HSM-37 HANGAR 103 1ST ST</v>
      </c>
      <c r="H12955" t="str">
        <f>T("")</f>
        <v/>
      </c>
      <c r="I12955" t="str">
        <f>T("KANEOHE")</f>
        <v>KANEOHE</v>
      </c>
      <c r="J12955" t="str">
        <f>T("HI")</f>
        <v>HI</v>
      </c>
      <c r="K12955" t="str">
        <f>T("8082570147")</f>
        <v>8082570147</v>
      </c>
      <c r="L12955" t="str">
        <f>T("8082570156")</f>
        <v>8082570156</v>
      </c>
    </row>
    <row r="12956" spans="1:12" x14ac:dyDescent="0.35">
      <c r="A12956" t="str">
        <f>T("STRIKEFITRON VFA-97")</f>
        <v>STRIKEFITRON VFA-97</v>
      </c>
      <c r="B12956" t="str">
        <f>T("VFA 97 240 REEVES BLVD")</f>
        <v>VFA 97 240 REEVES BLVD</v>
      </c>
      <c r="C12956" t="str">
        <f>T("HANGER 2 MOD 3")</f>
        <v>HANGER 2 MOD 3</v>
      </c>
      <c r="D12956" t="str">
        <f>T("FPO")</f>
        <v>FPO</v>
      </c>
      <c r="E12956" t="str">
        <f>T("AP")</f>
        <v>AP</v>
      </c>
      <c r="F12956" t="str">
        <f>T("966010000")</f>
        <v>966010000</v>
      </c>
      <c r="G12956" t="str">
        <f>T("240 REEVES BLVD")</f>
        <v>240 REEVES BLVD</v>
      </c>
      <c r="H12956" t="str">
        <f>T("HANGAR 2 MOD 3")</f>
        <v>HANGAR 2 MOD 3</v>
      </c>
      <c r="I12956" t="str">
        <f>T("LEMOORE")</f>
        <v>LEMOORE</v>
      </c>
      <c r="J12956" t="str">
        <f>T("CA")</f>
        <v>CA</v>
      </c>
      <c r="K12956" t="str">
        <f>T("5599983082")</f>
        <v>5599983082</v>
      </c>
      <c r="L12956" t="str">
        <f>T("5599982194")</f>
        <v>5599982194</v>
      </c>
    </row>
    <row r="12957" spans="1:12" x14ac:dyDescent="0.35">
      <c r="A12957" t="str">
        <f>T("STRIKEFITRON VFA-97")</f>
        <v>STRIKEFITRON VFA-97</v>
      </c>
      <c r="B12957" t="str">
        <f>T("VFA 97 240 REEVES BLVD")</f>
        <v>VFA 97 240 REEVES BLVD</v>
      </c>
      <c r="C12957" t="str">
        <f>T("HANGER 2 MOD 3")</f>
        <v>HANGER 2 MOD 3</v>
      </c>
      <c r="D12957" t="str">
        <f>T("FPO")</f>
        <v>FPO</v>
      </c>
      <c r="E12957" t="str">
        <f>T("AP")</f>
        <v>AP</v>
      </c>
      <c r="F12957" t="str">
        <f>T("966010000")</f>
        <v>966010000</v>
      </c>
      <c r="G12957" t="str">
        <f>T("240 REEVES BLVD")</f>
        <v>240 REEVES BLVD</v>
      </c>
      <c r="H12957" t="str">
        <f>T("HGR 2 MOD 3")</f>
        <v>HGR 2 MOD 3</v>
      </c>
      <c r="I12957" t="str">
        <f>T("LEMOORE")</f>
        <v>LEMOORE</v>
      </c>
      <c r="J12957" t="str">
        <f>T("CA")</f>
        <v>CA</v>
      </c>
      <c r="K12957" t="str">
        <f>T("5599983082")</f>
        <v>5599983082</v>
      </c>
      <c r="L12957" t="str">
        <f>T("5599982194")</f>
        <v>5599982194</v>
      </c>
    </row>
    <row r="12958" spans="1:12" x14ac:dyDescent="0.35">
      <c r="A12958" t="str">
        <f>T("STRIKEFITRON VFA-97")</f>
        <v>STRIKEFITRON VFA-97</v>
      </c>
      <c r="B12958" t="str">
        <f>T("VFA 97 240 REEVES BLVD")</f>
        <v>VFA 97 240 REEVES BLVD</v>
      </c>
      <c r="C12958" t="str">
        <f>T("HANGER 2 MOD 3")</f>
        <v>HANGER 2 MOD 3</v>
      </c>
      <c r="D12958" t="str">
        <f>T("FPO")</f>
        <v>FPO</v>
      </c>
      <c r="E12958" t="str">
        <f>T("AP")</f>
        <v>AP</v>
      </c>
      <c r="F12958" t="str">
        <f>T("966010000")</f>
        <v>966010000</v>
      </c>
      <c r="G12958" t="str">
        <f>T("VFA 97 240 REEVES BLVD")</f>
        <v>VFA 97 240 REEVES BLVD</v>
      </c>
      <c r="H12958" t="str">
        <f>T("HANGER 2 MOD 3")</f>
        <v>HANGER 2 MOD 3</v>
      </c>
      <c r="I12958" t="str">
        <f>T("FPO")</f>
        <v>FPO</v>
      </c>
      <c r="J12958" t="str">
        <f>T("AP")</f>
        <v>AP</v>
      </c>
      <c r="K12958" t="str">
        <f>T("5599983082")</f>
        <v>5599983082</v>
      </c>
      <c r="L12958" t="str">
        <f>T("5599982194")</f>
        <v>5599982194</v>
      </c>
    </row>
    <row r="12959" spans="1:12" x14ac:dyDescent="0.35">
      <c r="A12959" t="str">
        <f>T("FACSFAC PEARL HARBOR")</f>
        <v>FACSFAC PEARL HARBOR</v>
      </c>
      <c r="B12959" t="str">
        <f>T("275 LISCOME BAY ST")</f>
        <v>275 LISCOME BAY ST</v>
      </c>
      <c r="C12959" t="str">
        <f>T("")</f>
        <v/>
      </c>
      <c r="D12959" t="str">
        <f>T("PEARL HARBOR")</f>
        <v>PEARL HARBOR</v>
      </c>
      <c r="E12959" t="str">
        <f>T("HI")</f>
        <v>HI</v>
      </c>
      <c r="F12959" t="str">
        <f>T("968605808")</f>
        <v>968605808</v>
      </c>
      <c r="G12959" t="str">
        <f>T("275 LISCOME BAY ST")</f>
        <v>275 LISCOME BAY ST</v>
      </c>
      <c r="H12959" t="str">
        <f>T("")</f>
        <v/>
      </c>
      <c r="I12959" t="str">
        <f>T("PEARL HARBOR")</f>
        <v>PEARL HARBOR</v>
      </c>
      <c r="J12959" t="str">
        <f>T("HI")</f>
        <v>HI</v>
      </c>
      <c r="K12959" t="str">
        <f>T("000000000000000000")</f>
        <v>000000000000000000</v>
      </c>
      <c r="L12959" t="str">
        <f>T("8084728669")</f>
        <v>8084728669</v>
      </c>
    </row>
    <row r="12960" spans="1:12" x14ac:dyDescent="0.35">
      <c r="A12960" t="str">
        <f>T("FACSFAC PEARL HARBOR")</f>
        <v>FACSFAC PEARL HARBOR</v>
      </c>
      <c r="B12960" t="str">
        <f>T("275 LISCOME BAY ST")</f>
        <v>275 LISCOME BAY ST</v>
      </c>
      <c r="C12960" t="str">
        <f>T("")</f>
        <v/>
      </c>
      <c r="D12960" t="str">
        <f>T("PEARL HARBOR")</f>
        <v>PEARL HARBOR</v>
      </c>
      <c r="E12960" t="str">
        <f>T("HI")</f>
        <v>HI</v>
      </c>
      <c r="F12960" t="str">
        <f>T("968605808")</f>
        <v>968605808</v>
      </c>
      <c r="G12960" t="str">
        <f>T("275 LISCOME BAY ST")</f>
        <v>275 LISCOME BAY ST</v>
      </c>
      <c r="H12960" t="str">
        <f>T("")</f>
        <v/>
      </c>
      <c r="I12960" t="str">
        <f>T("PEARL HARBOR")</f>
        <v>PEARL HARBOR</v>
      </c>
      <c r="J12960" t="str">
        <f>T("HI")</f>
        <v>HI</v>
      </c>
      <c r="K12960" t="str">
        <f>T("808 472 7317")</f>
        <v>808 472 7317</v>
      </c>
      <c r="L12960" t="str">
        <f>T("8084728360")</f>
        <v>8084728360</v>
      </c>
    </row>
    <row r="12961" spans="1:12" x14ac:dyDescent="0.35">
      <c r="A12961" t="str">
        <f>T("FACSFAC PEARL HARBOR")</f>
        <v>FACSFAC PEARL HARBOR</v>
      </c>
      <c r="B12961" t="str">
        <f>T("275 LISCOME BAY ST")</f>
        <v>275 LISCOME BAY ST</v>
      </c>
      <c r="C12961" t="str">
        <f>T("")</f>
        <v/>
      </c>
      <c r="D12961" t="str">
        <f>T("PEARL HARBOR")</f>
        <v>PEARL HARBOR</v>
      </c>
      <c r="E12961" t="str">
        <f>T("HI")</f>
        <v>HI</v>
      </c>
      <c r="F12961" t="str">
        <f>T("968605808")</f>
        <v>968605808</v>
      </c>
      <c r="G12961" t="str">
        <f>T("275 LISCOME BAY ST")</f>
        <v>275 LISCOME BAY ST</v>
      </c>
      <c r="H12961" t="str">
        <f>T("")</f>
        <v/>
      </c>
      <c r="I12961" t="str">
        <f>T("PEARL HARBOR")</f>
        <v>PEARL HARBOR</v>
      </c>
      <c r="J12961" t="str">
        <f>T("HI")</f>
        <v>HI</v>
      </c>
      <c r="K12961" t="str">
        <f>T("8084727317")</f>
        <v>8084727317</v>
      </c>
      <c r="L12961" t="str">
        <f>T("8084727343")</f>
        <v>8084727343</v>
      </c>
    </row>
    <row r="12962" spans="1:12" x14ac:dyDescent="0.35">
      <c r="A12962" t="str">
        <f t="shared" ref="A12962:B12964" si="4775">T("VAQ-140")</f>
        <v>VAQ-140</v>
      </c>
      <c r="B12962" t="str">
        <f t="shared" si="4775"/>
        <v>VAQ-140</v>
      </c>
      <c r="C12962" t="str">
        <f>T("3760 N CHARLES PORTER AVE")</f>
        <v>3760 N CHARLES PORTER AVE</v>
      </c>
      <c r="D12962" t="str">
        <f>T("OAK HARBOR")</f>
        <v>OAK HARBOR</v>
      </c>
      <c r="E12962" t="str">
        <f>T("WA")</f>
        <v>WA</v>
      </c>
      <c r="F12962" t="str">
        <f>T("982786424")</f>
        <v>982786424</v>
      </c>
      <c r="G12962" t="str">
        <f>T("3760 N CHARLES PORTER AVE")</f>
        <v>3760 N CHARLES PORTER AVE</v>
      </c>
      <c r="H12962" t="str">
        <f>T("")</f>
        <v/>
      </c>
      <c r="I12962" t="str">
        <f>T("OAK HARBOR")</f>
        <v>OAK HARBOR</v>
      </c>
      <c r="J12962" t="str">
        <f>T("WA")</f>
        <v>WA</v>
      </c>
      <c r="K12962" t="str">
        <f>T("000000000000000000")</f>
        <v>000000000000000000</v>
      </c>
      <c r="L12962" t="str">
        <f>T("3602573571")</f>
        <v>3602573571</v>
      </c>
    </row>
    <row r="12963" spans="1:12" x14ac:dyDescent="0.35">
      <c r="A12963" t="str">
        <f t="shared" si="4775"/>
        <v>VAQ-140</v>
      </c>
      <c r="B12963" t="str">
        <f t="shared" si="4775"/>
        <v>VAQ-140</v>
      </c>
      <c r="C12963" t="str">
        <f>T("3760 N CHARLES PORTER AVE")</f>
        <v>3760 N CHARLES PORTER AVE</v>
      </c>
      <c r="D12963" t="str">
        <f>T("OAK HARBOR")</f>
        <v>OAK HARBOR</v>
      </c>
      <c r="E12963" t="str">
        <f>T("WA")</f>
        <v>WA</v>
      </c>
      <c r="F12963" t="str">
        <f>T("982786424")</f>
        <v>982786424</v>
      </c>
      <c r="G12963" t="str">
        <f>T("VAQ-140")</f>
        <v>VAQ-140</v>
      </c>
      <c r="H12963" t="str">
        <f>T("3760 N CHARLES PORTER AVE")</f>
        <v>3760 N CHARLES PORTER AVE</v>
      </c>
      <c r="I12963" t="str">
        <f>T("OAK HARBOR")</f>
        <v>OAK HARBOR</v>
      </c>
      <c r="J12963" t="str">
        <f>T("WA")</f>
        <v>WA</v>
      </c>
      <c r="K12963" t="str">
        <f>T("")</f>
        <v/>
      </c>
      <c r="L12963" t="str">
        <f>T("3602572198")</f>
        <v>3602572198</v>
      </c>
    </row>
    <row r="12964" spans="1:12" x14ac:dyDescent="0.35">
      <c r="A12964" t="str">
        <f t="shared" si="4775"/>
        <v>VAQ-140</v>
      </c>
      <c r="B12964" t="str">
        <f t="shared" si="4775"/>
        <v>VAQ-140</v>
      </c>
      <c r="C12964" t="str">
        <f>T("3760 N CHARLES PORTER AVE")</f>
        <v>3760 N CHARLES PORTER AVE</v>
      </c>
      <c r="D12964" t="str">
        <f>T("OAK HARBOR")</f>
        <v>OAK HARBOR</v>
      </c>
      <c r="E12964" t="str">
        <f>T("WA")</f>
        <v>WA</v>
      </c>
      <c r="F12964" t="str">
        <f>T("982786424")</f>
        <v>982786424</v>
      </c>
      <c r="G12964" t="str">
        <f>T("VAQ-140")</f>
        <v>VAQ-140</v>
      </c>
      <c r="H12964" t="str">
        <f>T("3760 N. CHARLES PORTER AVE")</f>
        <v>3760 N. CHARLES PORTER AVE</v>
      </c>
      <c r="I12964" t="str">
        <f>T("OAK HARBOR")</f>
        <v>OAK HARBOR</v>
      </c>
      <c r="J12964" t="str">
        <f>T("WA")</f>
        <v>WA</v>
      </c>
      <c r="K12964" t="str">
        <f>T("000000000000000000")</f>
        <v>000000000000000000</v>
      </c>
      <c r="L12964" t="str">
        <f>T("3602572198")</f>
        <v>3602572198</v>
      </c>
    </row>
    <row r="12965" spans="1:12" x14ac:dyDescent="0.35">
      <c r="A12965" t="str">
        <f>T("VAQ-141")</f>
        <v>VAQ-141</v>
      </c>
      <c r="B12965" t="str">
        <f>T("VAQ-141 UNIT 200141 BOX 1")</f>
        <v>VAQ-141 UNIT 200141 BOX 1</v>
      </c>
      <c r="C12965" t="str">
        <f>T("")</f>
        <v/>
      </c>
      <c r="D12965" t="str">
        <f>T("FPO")</f>
        <v>FPO</v>
      </c>
      <c r="E12965" t="str">
        <f>T("AP")</f>
        <v>AP</v>
      </c>
      <c r="F12965" t="str">
        <f>T("966014100")</f>
        <v>966014100</v>
      </c>
      <c r="G12965" t="str">
        <f>T("VAQ 141 UNIT 200141 BOX 1")</f>
        <v>VAQ 141 UNIT 200141 BOX 1</v>
      </c>
      <c r="H12965" t="str">
        <f>T("")</f>
        <v/>
      </c>
      <c r="I12965" t="str">
        <f>T("FPO")</f>
        <v>FPO</v>
      </c>
      <c r="J12965" t="str">
        <f>T("AP")</f>
        <v>AP</v>
      </c>
      <c r="K12965" t="str">
        <f>T("000000000000000000")</f>
        <v>000000000000000000</v>
      </c>
      <c r="L12965" t="str">
        <f>T("3122644526")</f>
        <v>3122644526</v>
      </c>
    </row>
    <row r="12966" spans="1:12" x14ac:dyDescent="0.35">
      <c r="A12966" t="str">
        <f>T("VAQ-141")</f>
        <v>VAQ-141</v>
      </c>
      <c r="B12966" t="str">
        <f>T("VAQ-141 UNIT 200141 BOX 1")</f>
        <v>VAQ-141 UNIT 200141 BOX 1</v>
      </c>
      <c r="C12966" t="str">
        <f>T("")</f>
        <v/>
      </c>
      <c r="D12966" t="str">
        <f>T("FPO")</f>
        <v>FPO</v>
      </c>
      <c r="E12966" t="str">
        <f>T("AP")</f>
        <v>AP</v>
      </c>
      <c r="F12966" t="str">
        <f>T("966014100")</f>
        <v>966014100</v>
      </c>
      <c r="G12966" t="str">
        <f>T("VAQ-141 UNIT 200141 BOX 1")</f>
        <v>VAQ-141 UNIT 200141 BOX 1</v>
      </c>
      <c r="H12966" t="str">
        <f>T("")</f>
        <v/>
      </c>
      <c r="I12966" t="str">
        <f>T("FPO")</f>
        <v>FPO</v>
      </c>
      <c r="J12966" t="str">
        <f>T("AP")</f>
        <v>AP</v>
      </c>
      <c r="K12966" t="str">
        <f>T("3602572988")</f>
        <v>3602572988</v>
      </c>
      <c r="L12966" t="str">
        <f>T("3152644526")</f>
        <v>3152644526</v>
      </c>
    </row>
    <row r="12967" spans="1:12" x14ac:dyDescent="0.35">
      <c r="A12967" t="str">
        <f>T("HSM-75")</f>
        <v>HSM-75</v>
      </c>
      <c r="B12967" t="str">
        <f>T("P O BOX 357128")</f>
        <v>P O BOX 357128</v>
      </c>
      <c r="C12967" t="str">
        <f>T("HSM-75")</f>
        <v>HSM-75</v>
      </c>
      <c r="D12967" t="str">
        <f>T("SAN DIEGO")</f>
        <v>SAN DIEGO</v>
      </c>
      <c r="E12967" t="str">
        <f>T("CA")</f>
        <v>CA</v>
      </c>
      <c r="F12967" t="str">
        <f>T("921357128")</f>
        <v>921357128</v>
      </c>
      <c r="G12967" t="str">
        <f>T("HSM-75 PO BOX 357128")</f>
        <v>HSM-75 PO BOX 357128</v>
      </c>
      <c r="H12967" t="str">
        <f>T("")</f>
        <v/>
      </c>
      <c r="I12967" t="str">
        <f>T("SAN DIEGO")</f>
        <v>SAN DIEGO</v>
      </c>
      <c r="J12967" t="str">
        <f>T("CA")</f>
        <v>CA</v>
      </c>
      <c r="K12967" t="str">
        <f>T("6195459481")</f>
        <v>6195459481</v>
      </c>
      <c r="L12967" t="str">
        <f>T("6195459481")</f>
        <v>6195459481</v>
      </c>
    </row>
    <row r="12968" spans="1:12" x14ac:dyDescent="0.35">
      <c r="A12968" t="str">
        <f>T("HSM-75")</f>
        <v>HSM-75</v>
      </c>
      <c r="B12968" t="str">
        <f>T("P O BOX 357128")</f>
        <v>P O BOX 357128</v>
      </c>
      <c r="C12968" t="str">
        <f>T("HSM-75")</f>
        <v>HSM-75</v>
      </c>
      <c r="D12968" t="str">
        <f>T("SAN DIEGO")</f>
        <v>SAN DIEGO</v>
      </c>
      <c r="E12968" t="str">
        <f>T("CA")</f>
        <v>CA</v>
      </c>
      <c r="F12968" t="str">
        <f>T("921357128")</f>
        <v>921357128</v>
      </c>
      <c r="G12968" t="str">
        <f>T("P O BOX 357128")</f>
        <v>P O BOX 357128</v>
      </c>
      <c r="H12968" t="str">
        <f>T("HSM-75")</f>
        <v>HSM-75</v>
      </c>
      <c r="I12968" t="str">
        <f>T("SAN DIEGO")</f>
        <v>SAN DIEGO</v>
      </c>
      <c r="J12968" t="str">
        <f>T("CA")</f>
        <v>CA</v>
      </c>
      <c r="K12968" t="str">
        <f>T("6195459491")</f>
        <v>6195459491</v>
      </c>
      <c r="L12968" t="str">
        <f>T("6195459492")</f>
        <v>6195459492</v>
      </c>
    </row>
    <row r="12969" spans="1:12" x14ac:dyDescent="0.35">
      <c r="A12969" t="str">
        <f>T("HSM-75")</f>
        <v>HSM-75</v>
      </c>
      <c r="B12969" t="str">
        <f>T("P O BOX 357128")</f>
        <v>P O BOX 357128</v>
      </c>
      <c r="C12969" t="str">
        <f>T("HSM-75")</f>
        <v>HSM-75</v>
      </c>
      <c r="D12969" t="str">
        <f>T("SAN DIEGO")</f>
        <v>SAN DIEGO</v>
      </c>
      <c r="E12969" t="str">
        <f>T("CA")</f>
        <v>CA</v>
      </c>
      <c r="F12969" t="str">
        <f>T("921357128")</f>
        <v>921357128</v>
      </c>
      <c r="G12969" t="str">
        <f>T("P.O. BOX 357128")</f>
        <v>P.O. BOX 357128</v>
      </c>
      <c r="H12969" t="str">
        <f>T("")</f>
        <v/>
      </c>
      <c r="I12969" t="str">
        <f>T("SAN DIEGO")</f>
        <v>SAN DIEGO</v>
      </c>
      <c r="J12969" t="str">
        <f>T("CA")</f>
        <v>CA</v>
      </c>
      <c r="K12969" t="str">
        <f>T("6195459481")</f>
        <v>6195459481</v>
      </c>
      <c r="L12969" t="str">
        <f>T("6195459481")</f>
        <v>6195459481</v>
      </c>
    </row>
    <row r="12970" spans="1:12" x14ac:dyDescent="0.35">
      <c r="A12970" t="str">
        <f>T("HSM-77")</f>
        <v>HSM-77</v>
      </c>
      <c r="B12970" t="str">
        <f>T("UNIT 200186 BOX")</f>
        <v>UNIT 200186 BOX</v>
      </c>
      <c r="C12970" t="str">
        <f>T("")</f>
        <v/>
      </c>
      <c r="D12970" t="str">
        <f>T("FPO")</f>
        <v>FPO</v>
      </c>
      <c r="E12970" t="str">
        <f>T("AP")</f>
        <v>AP</v>
      </c>
      <c r="F12970" t="str">
        <f>T("966010000")</f>
        <v>966010000</v>
      </c>
      <c r="G12970" t="str">
        <f>T("HSM 77 UNIT 200186 BOX 1")</f>
        <v>HSM 77 UNIT 200186 BOX 1</v>
      </c>
      <c r="H12970" t="str">
        <f>T("")</f>
        <v/>
      </c>
      <c r="I12970" t="str">
        <f>T("FPO")</f>
        <v>FPO</v>
      </c>
      <c r="J12970" t="str">
        <f>T("AP")</f>
        <v>AP</v>
      </c>
      <c r="K12970" t="str">
        <f>T("01181467633875")</f>
        <v>01181467633875</v>
      </c>
      <c r="L12970" t="str">
        <f>T("1111111111")</f>
        <v>1111111111</v>
      </c>
    </row>
    <row r="12971" spans="1:12" x14ac:dyDescent="0.35">
      <c r="A12971" t="str">
        <f>T("HSM-77")</f>
        <v>HSM-77</v>
      </c>
      <c r="B12971" t="str">
        <f>T("UNIT 200186 BOX")</f>
        <v>UNIT 200186 BOX</v>
      </c>
      <c r="C12971" t="str">
        <f>T("")</f>
        <v/>
      </c>
      <c r="D12971" t="str">
        <f>T("FPO")</f>
        <v>FPO</v>
      </c>
      <c r="E12971" t="str">
        <f>T("AP")</f>
        <v>AP</v>
      </c>
      <c r="F12971" t="str">
        <f>T("966010000")</f>
        <v>966010000</v>
      </c>
      <c r="G12971" t="str">
        <f>T("UNIT 200186 BOX")</f>
        <v>UNIT 200186 BOX</v>
      </c>
      <c r="H12971" t="str">
        <f>T("")</f>
        <v/>
      </c>
      <c r="I12971" t="str">
        <f>T("FPO")</f>
        <v>FPO</v>
      </c>
      <c r="J12971" t="str">
        <f>T("AP")</f>
        <v>AP</v>
      </c>
      <c r="K12971" t="str">
        <f>T("000000000000000000")</f>
        <v>000000000000000000</v>
      </c>
      <c r="L12971" t="str">
        <f>T("3152643820")</f>
        <v>3152643820</v>
      </c>
    </row>
    <row r="12972" spans="1:12" x14ac:dyDescent="0.35">
      <c r="A12972" t="str">
        <f>T("HSM-77")</f>
        <v>HSM-77</v>
      </c>
      <c r="B12972" t="str">
        <f>T("UNIT 200186 BOX")</f>
        <v>UNIT 200186 BOX</v>
      </c>
      <c r="C12972" t="str">
        <f>T("")</f>
        <v/>
      </c>
      <c r="D12972" t="str">
        <f>T("FPO")</f>
        <v>FPO</v>
      </c>
      <c r="E12972" t="str">
        <f>T("AP")</f>
        <v>AP</v>
      </c>
      <c r="F12972" t="str">
        <f>T("966010000")</f>
        <v>966010000</v>
      </c>
      <c r="G12972" t="str">
        <f>T("UNIT 200186 BOX")</f>
        <v>UNIT 200186 BOX</v>
      </c>
      <c r="H12972" t="str">
        <f>T("")</f>
        <v/>
      </c>
      <c r="I12972" t="str">
        <f>T("FPO")</f>
        <v>FPO</v>
      </c>
      <c r="J12972" t="str">
        <f>T("AP")</f>
        <v>AP</v>
      </c>
      <c r="K12972" t="str">
        <f>T("01181467633875")</f>
        <v>01181467633875</v>
      </c>
      <c r="L12972" t="str">
        <f>T("1111111111")</f>
        <v>1111111111</v>
      </c>
    </row>
    <row r="12973" spans="1:12" x14ac:dyDescent="0.35">
      <c r="A12973" t="str">
        <f>T("HSM-49")</f>
        <v>HSM-49</v>
      </c>
      <c r="B12973" t="str">
        <f>T("HSM 49")</f>
        <v>HSM 49</v>
      </c>
      <c r="C12973" t="str">
        <f>T("PO BOX 357135")</f>
        <v>PO BOX 357135</v>
      </c>
      <c r="D12973" t="str">
        <f>T("SAN DIEGO")</f>
        <v>SAN DIEGO</v>
      </c>
      <c r="E12973" t="str">
        <f>T("CA")</f>
        <v>CA</v>
      </c>
      <c r="F12973" t="str">
        <f>T("921357135")</f>
        <v>921357135</v>
      </c>
      <c r="G12973" t="str">
        <f>T("HSM 49")</f>
        <v>HSM 49</v>
      </c>
      <c r="H12973" t="str">
        <f>T("PO BOX 357135")</f>
        <v>PO BOX 357135</v>
      </c>
      <c r="I12973" t="str">
        <f>T("SAN DIEGO")</f>
        <v>SAN DIEGO</v>
      </c>
      <c r="J12973" t="str">
        <f>T("CA")</f>
        <v>CA</v>
      </c>
      <c r="K12973" t="str">
        <f>T("6195450334")</f>
        <v>6195450334</v>
      </c>
      <c r="L12973" t="str">
        <f>T("6195450118")</f>
        <v>6195450118</v>
      </c>
    </row>
    <row r="12974" spans="1:12" x14ac:dyDescent="0.35">
      <c r="A12974" t="str">
        <f>T("HSM-49")</f>
        <v>HSM-49</v>
      </c>
      <c r="B12974" t="str">
        <f>T("HSM 49")</f>
        <v>HSM 49</v>
      </c>
      <c r="C12974" t="str">
        <f>T("PO BOX 357135")</f>
        <v>PO BOX 357135</v>
      </c>
      <c r="D12974" t="str">
        <f>T("SAN DIEGO")</f>
        <v>SAN DIEGO</v>
      </c>
      <c r="E12974" t="str">
        <f>T("CA")</f>
        <v>CA</v>
      </c>
      <c r="F12974" t="str">
        <f>T("921357135")</f>
        <v>921357135</v>
      </c>
      <c r="G12974" t="str">
        <f>T("HSM-49 ATTN: MATERIAL CONTROL")</f>
        <v>HSM-49 ATTN: MATERIAL CONTROL</v>
      </c>
      <c r="H12974" t="str">
        <f>T("P O BOX 357135")</f>
        <v>P O BOX 357135</v>
      </c>
      <c r="I12974" t="str">
        <f>T("SAN DIEGO")</f>
        <v>SAN DIEGO</v>
      </c>
      <c r="J12974" t="str">
        <f>T("CA")</f>
        <v>CA</v>
      </c>
      <c r="K12974" t="str">
        <f>T("6195450334")</f>
        <v>6195450334</v>
      </c>
      <c r="L12974" t="str">
        <f>T("6195450118")</f>
        <v>6195450118</v>
      </c>
    </row>
    <row r="12975" spans="1:12" x14ac:dyDescent="0.35">
      <c r="A12975" t="str">
        <f t="shared" ref="A12975:B12977" si="4776">T("HSC-21")</f>
        <v>HSC-21</v>
      </c>
      <c r="B12975" t="str">
        <f t="shared" si="4776"/>
        <v>HSC-21</v>
      </c>
      <c r="C12975" t="str">
        <f>T("PO BOX 357113")</f>
        <v>PO BOX 357113</v>
      </c>
      <c r="D12975" t="str">
        <f>T("SAN DIEGO")</f>
        <v>SAN DIEGO</v>
      </c>
      <c r="E12975" t="str">
        <f>T("CA")</f>
        <v>CA</v>
      </c>
      <c r="F12975" t="str">
        <f>T("921357113")</f>
        <v>921357113</v>
      </c>
      <c r="G12975" t="str">
        <f>T("DEPT OF THE NAVY")</f>
        <v>DEPT OF THE NAVY</v>
      </c>
      <c r="H12975" t="str">
        <f>T("PO BOX 357113")</f>
        <v>PO BOX 357113</v>
      </c>
      <c r="I12975" t="str">
        <f>T("SAN DIEGO")</f>
        <v>SAN DIEGO</v>
      </c>
      <c r="J12975" t="str">
        <f>T("CA")</f>
        <v>CA</v>
      </c>
      <c r="K12975" t="str">
        <f>T("000000000000000000")</f>
        <v>000000000000000000</v>
      </c>
      <c r="L12975" t="str">
        <f>T("6195458786")</f>
        <v>6195458786</v>
      </c>
    </row>
    <row r="12976" spans="1:12" x14ac:dyDescent="0.35">
      <c r="A12976" t="str">
        <f t="shared" si="4776"/>
        <v>HSC-21</v>
      </c>
      <c r="B12976" t="str">
        <f t="shared" si="4776"/>
        <v>HSC-21</v>
      </c>
      <c r="C12976" t="str">
        <f>T("PO BOX 357113")</f>
        <v>PO BOX 357113</v>
      </c>
      <c r="D12976" t="str">
        <f>T("SAN DIEGO")</f>
        <v>SAN DIEGO</v>
      </c>
      <c r="E12976" t="str">
        <f>T("CA")</f>
        <v>CA</v>
      </c>
      <c r="F12976" t="str">
        <f>T("921357113")</f>
        <v>921357113</v>
      </c>
      <c r="G12976" t="str">
        <f>T("DEPT OF THE NAVY")</f>
        <v>DEPT OF THE NAVY</v>
      </c>
      <c r="H12976" t="str">
        <f>T("PO BOX 357113")</f>
        <v>PO BOX 357113</v>
      </c>
      <c r="I12976" t="str">
        <f>T("SAN DIEGO")</f>
        <v>SAN DIEGO</v>
      </c>
      <c r="J12976" t="str">
        <f>T("CA")</f>
        <v>CA</v>
      </c>
      <c r="K12976" t="str">
        <f>T("000000000000000000")</f>
        <v>000000000000000000</v>
      </c>
      <c r="L12976" t="str">
        <f>T("6195458986")</f>
        <v>6195458986</v>
      </c>
    </row>
    <row r="12977" spans="1:12" x14ac:dyDescent="0.35">
      <c r="A12977" t="str">
        <f t="shared" si="4776"/>
        <v>HSC-21</v>
      </c>
      <c r="B12977" t="str">
        <f t="shared" si="4776"/>
        <v>HSC-21</v>
      </c>
      <c r="C12977" t="str">
        <f>T("PO BOX 357113")</f>
        <v>PO BOX 357113</v>
      </c>
      <c r="D12977" t="str">
        <f>T("SAN DIEGO")</f>
        <v>SAN DIEGO</v>
      </c>
      <c r="E12977" t="str">
        <f>T("CA")</f>
        <v>CA</v>
      </c>
      <c r="F12977" t="str">
        <f>T("921357113")</f>
        <v>921357113</v>
      </c>
      <c r="G12977" t="str">
        <f>T("HSC-21")</f>
        <v>HSC-21</v>
      </c>
      <c r="H12977" t="str">
        <f>T("PO BOX 357113")</f>
        <v>PO BOX 357113</v>
      </c>
      <c r="I12977" t="str">
        <f>T("SAN DIEGO")</f>
        <v>SAN DIEGO</v>
      </c>
      <c r="J12977" t="str">
        <f>T("CA")</f>
        <v>CA</v>
      </c>
      <c r="K12977" t="str">
        <f>T("6195450294")</f>
        <v>6195450294</v>
      </c>
      <c r="L12977" t="str">
        <f>T("6195450294")</f>
        <v>6195450294</v>
      </c>
    </row>
    <row r="12978" spans="1:12" x14ac:dyDescent="0.35">
      <c r="A12978" t="str">
        <f>T("HSC-25")</f>
        <v>HSC-25</v>
      </c>
      <c r="B12978" t="str">
        <f>T("HSC-25 SUPPLY DEPT")</f>
        <v>HSC-25 SUPPLY DEPT</v>
      </c>
      <c r="C12978" t="str">
        <f>T("UNIT 200222 BOX 1")</f>
        <v>UNIT 200222 BOX 1</v>
      </c>
      <c r="D12978" t="str">
        <f>T("FPO")</f>
        <v>FPO</v>
      </c>
      <c r="E12978" t="str">
        <f>T("AP")</f>
        <v>AP</v>
      </c>
      <c r="F12978" t="str">
        <f>T("966020000")</f>
        <v>966020000</v>
      </c>
      <c r="G12978" t="str">
        <f>T("COMMANDING OFFICER UIC 52961 HSC-25")</f>
        <v>COMMANDING OFFICER UIC 52961 HSC-25</v>
      </c>
      <c r="H12978" t="str">
        <f>T("UNIT 14052 BOX 51")</f>
        <v>UNIT 14052 BOX 51</v>
      </c>
      <c r="I12978" t="str">
        <f>T("APO")</f>
        <v>APO</v>
      </c>
      <c r="J12978" t="str">
        <f>T("AP")</f>
        <v>AP</v>
      </c>
      <c r="K12978" t="str">
        <f>T("6713664012")</f>
        <v>6713664012</v>
      </c>
      <c r="L12978" t="str">
        <f>T("6713666410")</f>
        <v>6713666410</v>
      </c>
    </row>
    <row r="12979" spans="1:12" x14ac:dyDescent="0.35">
      <c r="A12979" t="str">
        <f>T("HSC-25")</f>
        <v>HSC-25</v>
      </c>
      <c r="B12979" t="str">
        <f>T("HSC-25 SUPPLY DEPT")</f>
        <v>HSC-25 SUPPLY DEPT</v>
      </c>
      <c r="C12979" t="str">
        <f>T("UNIT 200222 BOX 1")</f>
        <v>UNIT 200222 BOX 1</v>
      </c>
      <c r="D12979" t="str">
        <f>T("FPO")</f>
        <v>FPO</v>
      </c>
      <c r="E12979" t="str">
        <f>T("AP")</f>
        <v>AP</v>
      </c>
      <c r="F12979" t="str">
        <f>T("966020000")</f>
        <v>966020000</v>
      </c>
      <c r="G12979" t="str">
        <f>T("HSC-25 SUPPLY DEPT")</f>
        <v>HSC-25 SUPPLY DEPT</v>
      </c>
      <c r="H12979" t="str">
        <f>T("UNIT 200222 BOX 1")</f>
        <v>UNIT 200222 BOX 1</v>
      </c>
      <c r="I12979" t="str">
        <f>T("FPO")</f>
        <v>FPO</v>
      </c>
      <c r="J12979" t="str">
        <f>T("AP")</f>
        <v>AP</v>
      </c>
      <c r="K12979" t="str">
        <f>T("6713664012")</f>
        <v>6713664012</v>
      </c>
      <c r="L12979" t="str">
        <f>T("6713662023")</f>
        <v>6713662023</v>
      </c>
    </row>
    <row r="12980" spans="1:12" x14ac:dyDescent="0.35">
      <c r="A12980" t="str">
        <f>T("HSC-25")</f>
        <v>HSC-25</v>
      </c>
      <c r="B12980" t="str">
        <f>T("HSC-25 SUPPLY DEPT")</f>
        <v>HSC-25 SUPPLY DEPT</v>
      </c>
      <c r="C12980" t="str">
        <f>T("UNIT 200222 BOX 1")</f>
        <v>UNIT 200222 BOX 1</v>
      </c>
      <c r="D12980" t="str">
        <f>T("FPO")</f>
        <v>FPO</v>
      </c>
      <c r="E12980" t="str">
        <f>T("AP")</f>
        <v>AP</v>
      </c>
      <c r="F12980" t="str">
        <f>T("966020000")</f>
        <v>966020000</v>
      </c>
      <c r="G12980" t="str">
        <f>T("UNIT 200222 BOX 1")</f>
        <v>UNIT 200222 BOX 1</v>
      </c>
      <c r="H12980" t="str">
        <f>T("")</f>
        <v/>
      </c>
      <c r="I12980" t="str">
        <f>T("FPO")</f>
        <v>FPO</v>
      </c>
      <c r="J12980" t="str">
        <f>T("AP")</f>
        <v>AP</v>
      </c>
      <c r="K12980" t="str">
        <f>T("6713664012")</f>
        <v>6713664012</v>
      </c>
      <c r="L12980" t="str">
        <f>T("6713662023")</f>
        <v>6713662023</v>
      </c>
    </row>
    <row r="12981" spans="1:12" x14ac:dyDescent="0.35">
      <c r="A12981" t="str">
        <f>T("HSC-25")</f>
        <v>HSC-25</v>
      </c>
      <c r="B12981" t="str">
        <f>T("HSC-25 SUPPLY DEPT")</f>
        <v>HSC-25 SUPPLY DEPT</v>
      </c>
      <c r="C12981" t="str">
        <f>T("UNIT 200222 BOX 1")</f>
        <v>UNIT 200222 BOX 1</v>
      </c>
      <c r="D12981" t="str">
        <f>T("FPO")</f>
        <v>FPO</v>
      </c>
      <c r="E12981" t="str">
        <f>T("AP")</f>
        <v>AP</v>
      </c>
      <c r="F12981" t="str">
        <f>T("966020000")</f>
        <v>966020000</v>
      </c>
      <c r="G12981" t="str">
        <f>T("UNIT 200222 BOX 1")</f>
        <v>UNIT 200222 BOX 1</v>
      </c>
      <c r="H12981" t="str">
        <f>T("")</f>
        <v/>
      </c>
      <c r="I12981" t="str">
        <f>T("FPO")</f>
        <v>FPO</v>
      </c>
      <c r="J12981" t="str">
        <f>T("AP")</f>
        <v>AP</v>
      </c>
      <c r="K12981" t="str">
        <f>T("6713666468")</f>
        <v>6713666468</v>
      </c>
      <c r="L12981" t="str">
        <f>T("6713666410")</f>
        <v>6713666410</v>
      </c>
    </row>
    <row r="12982" spans="1:12" x14ac:dyDescent="0.35">
      <c r="A12982" t="str">
        <f t="shared" ref="A12982:A12988" si="4777">T("AIMD NORTH ISLAND")</f>
        <v>AIMD NORTH ISLAND</v>
      </c>
      <c r="B12982" t="str">
        <f t="shared" ref="B12982:B12988" si="4778">T("PO BOX 357034")</f>
        <v>PO BOX 357034</v>
      </c>
      <c r="C12982" t="str">
        <f t="shared" ref="C12982:C12988" si="4779">T("NAS NORTH ISLAND")</f>
        <v>NAS NORTH ISLAND</v>
      </c>
      <c r="D12982" t="str">
        <f t="shared" ref="D12982:D12991" si="4780">T("SAN DIEGO")</f>
        <v>SAN DIEGO</v>
      </c>
      <c r="E12982" t="str">
        <f t="shared" ref="E12982:E12991" si="4781">T("CA")</f>
        <v>CA</v>
      </c>
      <c r="F12982" t="str">
        <f t="shared" ref="F12982:F12988" si="4782">T("921357034")</f>
        <v>921357034</v>
      </c>
      <c r="G12982" t="str">
        <f>T("FRCSW MATCON BLDG 463")</f>
        <v>FRCSW MATCON BLDG 463</v>
      </c>
      <c r="H12982" t="str">
        <f>T("DOOR 7 FL 1 PO BOX 357058")</f>
        <v>DOOR 7 FL 1 PO BOX 357058</v>
      </c>
      <c r="I12982" t="str">
        <f>T("SAN DIEGO")</f>
        <v>SAN DIEGO</v>
      </c>
      <c r="J12982" t="str">
        <f t="shared" ref="J12982:J12991" si="4783">T("CA")</f>
        <v>CA</v>
      </c>
      <c r="K12982" t="str">
        <f>T("6195458873")</f>
        <v>6195458873</v>
      </c>
      <c r="L12982" t="str">
        <f>T("6195457551")</f>
        <v>6195457551</v>
      </c>
    </row>
    <row r="12983" spans="1:12" x14ac:dyDescent="0.35">
      <c r="A12983" t="str">
        <f t="shared" si="4777"/>
        <v>AIMD NORTH ISLAND</v>
      </c>
      <c r="B12983" t="str">
        <f t="shared" si="4778"/>
        <v>PO BOX 357034</v>
      </c>
      <c r="C12983" t="str">
        <f t="shared" si="4779"/>
        <v>NAS NORTH ISLAND</v>
      </c>
      <c r="D12983" t="str">
        <f t="shared" si="4780"/>
        <v>SAN DIEGO</v>
      </c>
      <c r="E12983" t="str">
        <f t="shared" si="4781"/>
        <v>CA</v>
      </c>
      <c r="F12983" t="str">
        <f t="shared" si="4782"/>
        <v>921357034</v>
      </c>
      <c r="G12983" t="str">
        <f>T("PO BOX 357034")</f>
        <v>PO BOX 357034</v>
      </c>
      <c r="H12983" t="str">
        <f>T("NAS NORTH ISLAND")</f>
        <v>NAS NORTH ISLAND</v>
      </c>
      <c r="I12983" t="str">
        <f>T("SAN DIEGO")</f>
        <v>SAN DIEGO</v>
      </c>
      <c r="J12983" t="str">
        <f t="shared" si="4783"/>
        <v>CA</v>
      </c>
      <c r="K12983" t="str">
        <f>T("6195450606")</f>
        <v>6195450606</v>
      </c>
      <c r="L12983" t="str">
        <f>T("6195450616")</f>
        <v>6195450616</v>
      </c>
    </row>
    <row r="12984" spans="1:12" x14ac:dyDescent="0.35">
      <c r="A12984" t="str">
        <f t="shared" si="4777"/>
        <v>AIMD NORTH ISLAND</v>
      </c>
      <c r="B12984" t="str">
        <f t="shared" si="4778"/>
        <v>PO BOX 357034</v>
      </c>
      <c r="C12984" t="str">
        <f t="shared" si="4779"/>
        <v>NAS NORTH ISLAND</v>
      </c>
      <c r="D12984" t="str">
        <f t="shared" si="4780"/>
        <v>SAN DIEGO</v>
      </c>
      <c r="E12984" t="str">
        <f t="shared" si="4781"/>
        <v>CA</v>
      </c>
      <c r="F12984" t="str">
        <f t="shared" si="4782"/>
        <v>921357034</v>
      </c>
      <c r="G12984" t="str">
        <f>T("PO BOX 357058")</f>
        <v>PO BOX 357058</v>
      </c>
      <c r="H12984" t="str">
        <f>T("FRCSW MATCON BLDG 463 DOOR 7")</f>
        <v>FRCSW MATCON BLDG 463 DOOR 7</v>
      </c>
      <c r="I12984" t="str">
        <f>T("SAN DIEGO")</f>
        <v>SAN DIEGO</v>
      </c>
      <c r="J12984" t="str">
        <f t="shared" si="4783"/>
        <v>CA</v>
      </c>
      <c r="K12984" t="str">
        <f>T("000000000000000000")</f>
        <v>000000000000000000</v>
      </c>
      <c r="L12984" t="str">
        <f>T("6195457551")</f>
        <v>6195457551</v>
      </c>
    </row>
    <row r="12985" spans="1:12" x14ac:dyDescent="0.35">
      <c r="A12985" t="str">
        <f t="shared" si="4777"/>
        <v>AIMD NORTH ISLAND</v>
      </c>
      <c r="B12985" t="str">
        <f t="shared" si="4778"/>
        <v>PO BOX 357034</v>
      </c>
      <c r="C12985" t="str">
        <f t="shared" si="4779"/>
        <v>NAS NORTH ISLAND</v>
      </c>
      <c r="D12985" t="str">
        <f t="shared" si="4780"/>
        <v>SAN DIEGO</v>
      </c>
      <c r="E12985" t="str">
        <f t="shared" si="4781"/>
        <v>CA</v>
      </c>
      <c r="F12985" t="str">
        <f t="shared" si="4782"/>
        <v>921357034</v>
      </c>
      <c r="G12985" t="str">
        <f>T("PO BOX 357058")</f>
        <v>PO BOX 357058</v>
      </c>
      <c r="H12985" t="str">
        <f>T("FRCSW MATCON BLDG 463 DOOR 7 NASNI")</f>
        <v>FRCSW MATCON BLDG 463 DOOR 7 NASNI</v>
      </c>
      <c r="I12985" t="str">
        <f>T("SAN DIEGO")</f>
        <v>SAN DIEGO</v>
      </c>
      <c r="J12985" t="str">
        <f t="shared" si="4783"/>
        <v>CA</v>
      </c>
      <c r="K12985" t="str">
        <f>T("000000000000000000")</f>
        <v>000000000000000000</v>
      </c>
      <c r="L12985" t="str">
        <f>T("6195457551")</f>
        <v>6195457551</v>
      </c>
    </row>
    <row r="12986" spans="1:12" x14ac:dyDescent="0.35">
      <c r="A12986" t="str">
        <f t="shared" si="4777"/>
        <v>AIMD NORTH ISLAND</v>
      </c>
      <c r="B12986" t="str">
        <f t="shared" si="4778"/>
        <v>PO BOX 357034</v>
      </c>
      <c r="C12986" t="str">
        <f t="shared" si="4779"/>
        <v>NAS NORTH ISLAND</v>
      </c>
      <c r="D12986" t="str">
        <f t="shared" si="4780"/>
        <v>SAN DIEGO</v>
      </c>
      <c r="E12986" t="str">
        <f t="shared" si="4781"/>
        <v>CA</v>
      </c>
      <c r="F12986" t="str">
        <f t="shared" si="4782"/>
        <v>921357034</v>
      </c>
      <c r="G12986" t="str">
        <f>T("PO BOX 357058")</f>
        <v>PO BOX 357058</v>
      </c>
      <c r="H12986" t="str">
        <f>T("NAS NORTH ISLAND")</f>
        <v>NAS NORTH ISLAND</v>
      </c>
      <c r="I12986" t="str">
        <f>T("CORONADO")</f>
        <v>CORONADO</v>
      </c>
      <c r="J12986" t="str">
        <f t="shared" si="4783"/>
        <v>CA</v>
      </c>
      <c r="K12986" t="str">
        <f>T("6195458773")</f>
        <v>6195458773</v>
      </c>
      <c r="L12986" t="str">
        <f>T("6195457551")</f>
        <v>6195457551</v>
      </c>
    </row>
    <row r="12987" spans="1:12" x14ac:dyDescent="0.35">
      <c r="A12987" t="str">
        <f t="shared" si="4777"/>
        <v>AIMD NORTH ISLAND</v>
      </c>
      <c r="B12987" t="str">
        <f t="shared" si="4778"/>
        <v>PO BOX 357034</v>
      </c>
      <c r="C12987" t="str">
        <f t="shared" si="4779"/>
        <v>NAS NORTH ISLAND</v>
      </c>
      <c r="D12987" t="str">
        <f t="shared" si="4780"/>
        <v>SAN DIEGO</v>
      </c>
      <c r="E12987" t="str">
        <f t="shared" si="4781"/>
        <v>CA</v>
      </c>
      <c r="F12987" t="str">
        <f t="shared" si="4782"/>
        <v>921357034</v>
      </c>
      <c r="G12987" t="str">
        <f>T("PO BOX 357058")</f>
        <v>PO BOX 357058</v>
      </c>
      <c r="H12987" t="str">
        <f>T("NAS NORTH ISLAND")</f>
        <v>NAS NORTH ISLAND</v>
      </c>
      <c r="I12987" t="str">
        <f>T("SAN DIEGO")</f>
        <v>SAN DIEGO</v>
      </c>
      <c r="J12987" t="str">
        <f t="shared" si="4783"/>
        <v>CA</v>
      </c>
      <c r="K12987" t="str">
        <f>T("6195455966")</f>
        <v>6195455966</v>
      </c>
      <c r="L12987" t="str">
        <f>T("6195454226")</f>
        <v>6195454226</v>
      </c>
    </row>
    <row r="12988" spans="1:12" x14ac:dyDescent="0.35">
      <c r="A12988" t="str">
        <f t="shared" si="4777"/>
        <v>AIMD NORTH ISLAND</v>
      </c>
      <c r="B12988" t="str">
        <f t="shared" si="4778"/>
        <v>PO BOX 357034</v>
      </c>
      <c r="C12988" t="str">
        <f t="shared" si="4779"/>
        <v>NAS NORTH ISLAND</v>
      </c>
      <c r="D12988" t="str">
        <f t="shared" si="4780"/>
        <v>SAN DIEGO</v>
      </c>
      <c r="E12988" t="str">
        <f t="shared" si="4781"/>
        <v>CA</v>
      </c>
      <c r="F12988" t="str">
        <f t="shared" si="4782"/>
        <v>921357034</v>
      </c>
      <c r="G12988" t="str">
        <f>T("PO BOX 357058")</f>
        <v>PO BOX 357058</v>
      </c>
      <c r="H12988" t="str">
        <f>T("NAS NORTH ISLAND")</f>
        <v>NAS NORTH ISLAND</v>
      </c>
      <c r="I12988" t="str">
        <f>T("SAN DIEGO")</f>
        <v>SAN DIEGO</v>
      </c>
      <c r="J12988" t="str">
        <f t="shared" si="4783"/>
        <v>CA</v>
      </c>
      <c r="K12988" t="str">
        <f>T("6195458773")</f>
        <v>6195458773</v>
      </c>
      <c r="L12988" t="str">
        <f>T("6195457551")</f>
        <v>6195457551</v>
      </c>
    </row>
    <row r="12989" spans="1:12" x14ac:dyDescent="0.35">
      <c r="A12989" t="str">
        <f t="shared" ref="A12989:B12991" si="4784">T("HSM-41")</f>
        <v>HSM-41</v>
      </c>
      <c r="B12989" t="str">
        <f t="shared" si="4784"/>
        <v>HSM-41</v>
      </c>
      <c r="C12989" t="str">
        <f>T("PO BOX 357126")</f>
        <v>PO BOX 357126</v>
      </c>
      <c r="D12989" t="str">
        <f t="shared" si="4780"/>
        <v>SAN DIEGO</v>
      </c>
      <c r="E12989" t="str">
        <f t="shared" si="4781"/>
        <v>CA</v>
      </c>
      <c r="F12989" t="str">
        <f>T("921357126")</f>
        <v>921357126</v>
      </c>
      <c r="G12989" t="str">
        <f>T("HSM-41")</f>
        <v>HSM-41</v>
      </c>
      <c r="H12989" t="str">
        <f>T("PO BOX 357126")</f>
        <v>PO BOX 357126</v>
      </c>
      <c r="I12989" t="str">
        <f>T("SAN DIEGO")</f>
        <v>SAN DIEGO</v>
      </c>
      <c r="J12989" t="str">
        <f t="shared" si="4783"/>
        <v>CA</v>
      </c>
      <c r="K12989" t="str">
        <f>T("619-545-9553")</f>
        <v>619-545-9553</v>
      </c>
      <c r="L12989" t="str">
        <f>T("6195458313")</f>
        <v>6195458313</v>
      </c>
    </row>
    <row r="12990" spans="1:12" x14ac:dyDescent="0.35">
      <c r="A12990" t="str">
        <f t="shared" si="4784"/>
        <v>HSM-41</v>
      </c>
      <c r="B12990" t="str">
        <f t="shared" si="4784"/>
        <v>HSM-41</v>
      </c>
      <c r="C12990" t="str">
        <f>T("PO BOX 357126")</f>
        <v>PO BOX 357126</v>
      </c>
      <c r="D12990" t="str">
        <f t="shared" si="4780"/>
        <v>SAN DIEGO</v>
      </c>
      <c r="E12990" t="str">
        <f t="shared" si="4781"/>
        <v>CA</v>
      </c>
      <c r="F12990" t="str">
        <f>T("921357126")</f>
        <v>921357126</v>
      </c>
      <c r="G12990" t="str">
        <f>T("NAS NORTH ISLAND HSM41")</f>
        <v>NAS NORTH ISLAND HSM41</v>
      </c>
      <c r="H12990" t="str">
        <f>T("BLDG 1474 RM139 MATERIAL CONTROL")</f>
        <v>BLDG 1474 RM139 MATERIAL CONTROL</v>
      </c>
      <c r="I12990" t="str">
        <f>T("SAN DIEGO")</f>
        <v>SAN DIEGO</v>
      </c>
      <c r="J12990" t="str">
        <f t="shared" si="4783"/>
        <v>CA</v>
      </c>
      <c r="K12990" t="str">
        <f>T("000000000000000000")</f>
        <v>000000000000000000</v>
      </c>
      <c r="L12990" t="str">
        <f>T("6195458313")</f>
        <v>6195458313</v>
      </c>
    </row>
    <row r="12991" spans="1:12" x14ac:dyDescent="0.35">
      <c r="A12991" t="str">
        <f t="shared" si="4784"/>
        <v>HSM-41</v>
      </c>
      <c r="B12991" t="str">
        <f t="shared" si="4784"/>
        <v>HSM-41</v>
      </c>
      <c r="C12991" t="str">
        <f>T("PO BOX 357126")</f>
        <v>PO BOX 357126</v>
      </c>
      <c r="D12991" t="str">
        <f t="shared" si="4780"/>
        <v>SAN DIEGO</v>
      </c>
      <c r="E12991" t="str">
        <f t="shared" si="4781"/>
        <v>CA</v>
      </c>
      <c r="F12991" t="str">
        <f>T("921357126")</f>
        <v>921357126</v>
      </c>
      <c r="G12991" t="str">
        <f>T("PO BOX 357126")</f>
        <v>PO BOX 357126</v>
      </c>
      <c r="H12991" t="str">
        <f>T("")</f>
        <v/>
      </c>
      <c r="I12991" t="str">
        <f>T("SAN DIEGO")</f>
        <v>SAN DIEGO</v>
      </c>
      <c r="J12991" t="str">
        <f t="shared" si="4783"/>
        <v>CA</v>
      </c>
      <c r="K12991" t="str">
        <f>T("6195459553")</f>
        <v>6195459553</v>
      </c>
      <c r="L12991" t="str">
        <f>T("6195458313")</f>
        <v>6195458313</v>
      </c>
    </row>
    <row r="12992" spans="1:12" x14ac:dyDescent="0.35">
      <c r="A12992" t="str">
        <f>T("VAQ-142")</f>
        <v>VAQ-142</v>
      </c>
      <c r="B12992" t="str">
        <f>T("VAQ-142/USN")</f>
        <v>VAQ-142/USN</v>
      </c>
      <c r="C12992" t="str">
        <f>T("3760 N CHARLES PORTER AVE")</f>
        <v>3760 N CHARLES PORTER AVE</v>
      </c>
      <c r="D12992" t="str">
        <f>T("OAK HARBOR")</f>
        <v>OAK HARBOR</v>
      </c>
      <c r="E12992" t="str">
        <f>T("WA")</f>
        <v>WA</v>
      </c>
      <c r="F12992" t="str">
        <f>T("982780001")</f>
        <v>982780001</v>
      </c>
      <c r="G12992" t="str">
        <f>T("VAQ-142")</f>
        <v>VAQ-142</v>
      </c>
      <c r="H12992" t="str">
        <f>T("3760 N CHARLES AVE")</f>
        <v>3760 N CHARLES AVE</v>
      </c>
      <c r="I12992" t="str">
        <f>T("OAK HARBOR")</f>
        <v>OAK HARBOR</v>
      </c>
      <c r="J12992" t="str">
        <f>T("WA")</f>
        <v>WA</v>
      </c>
      <c r="K12992" t="str">
        <f>T("3602578594")</f>
        <v>3602578594</v>
      </c>
      <c r="L12992" t="str">
        <f>T("3602578517")</f>
        <v>3602578517</v>
      </c>
    </row>
    <row r="12993" spans="1:12" x14ac:dyDescent="0.35">
      <c r="A12993" t="str">
        <f>T("VAQ-142")</f>
        <v>VAQ-142</v>
      </c>
      <c r="B12993" t="str">
        <f>T("VAQ-142/USN")</f>
        <v>VAQ-142/USN</v>
      </c>
      <c r="C12993" t="str">
        <f>T("3760 N CHARLES PORTER AVE")</f>
        <v>3760 N CHARLES PORTER AVE</v>
      </c>
      <c r="D12993" t="str">
        <f>T("OAK HARBOR")</f>
        <v>OAK HARBOR</v>
      </c>
      <c r="E12993" t="str">
        <f>T("WA")</f>
        <v>WA</v>
      </c>
      <c r="F12993" t="str">
        <f>T("982780001")</f>
        <v>982780001</v>
      </c>
      <c r="G12993" t="str">
        <f>T("VAQ-142")</f>
        <v>VAQ-142</v>
      </c>
      <c r="H12993" t="str">
        <f>T("3760 N CHARLES PORTER AVE")</f>
        <v>3760 N CHARLES PORTER AVE</v>
      </c>
      <c r="I12993" t="str">
        <f>T("OAK HARBOR")</f>
        <v>OAK HARBOR</v>
      </c>
      <c r="J12993" t="str">
        <f>T("WA")</f>
        <v>WA</v>
      </c>
      <c r="K12993" t="str">
        <f>T("3602578594")</f>
        <v>3602578594</v>
      </c>
      <c r="L12993" t="str">
        <f>T("3602578517")</f>
        <v>3602578517</v>
      </c>
    </row>
    <row r="12994" spans="1:12" x14ac:dyDescent="0.35">
      <c r="A12994" t="str">
        <f>T("VAQ-142")</f>
        <v>VAQ-142</v>
      </c>
      <c r="B12994" t="str">
        <f>T("VAQ-142/USN")</f>
        <v>VAQ-142/USN</v>
      </c>
      <c r="C12994" t="str">
        <f>T("3760 N CHARLES PORTER AVE")</f>
        <v>3760 N CHARLES PORTER AVE</v>
      </c>
      <c r="D12994" t="str">
        <f>T("OAK HARBOR")</f>
        <v>OAK HARBOR</v>
      </c>
      <c r="E12994" t="str">
        <f>T("WA")</f>
        <v>WA</v>
      </c>
      <c r="F12994" t="str">
        <f>T("982780001")</f>
        <v>982780001</v>
      </c>
      <c r="G12994" t="str">
        <f>T("VAQ-142/USN")</f>
        <v>VAQ-142/USN</v>
      </c>
      <c r="H12994" t="str">
        <f>T("3760 N CHARLES PORTER AVE")</f>
        <v>3760 N CHARLES PORTER AVE</v>
      </c>
      <c r="I12994" t="str">
        <f>T("OAK HARBOR")</f>
        <v>OAK HARBOR</v>
      </c>
      <c r="J12994" t="str">
        <f>T("WA")</f>
        <v>WA</v>
      </c>
      <c r="K12994" t="str">
        <f>T("360-257-4101")</f>
        <v>360-257-4101</v>
      </c>
      <c r="L12994" t="str">
        <f>T("3602575851")</f>
        <v>3602575851</v>
      </c>
    </row>
    <row r="12995" spans="1:12" x14ac:dyDescent="0.35">
      <c r="A12995" t="str">
        <f>T("VFA-136")</f>
        <v>VFA-136</v>
      </c>
      <c r="B12995" t="str">
        <f>T("VFA-136 HGR 2 MOD 5")</f>
        <v>VFA-136 HGR 2 MOD 5</v>
      </c>
      <c r="C12995" t="str">
        <f>T("240 REEVES BLVD")</f>
        <v>240 REEVES BLVD</v>
      </c>
      <c r="D12995" t="str">
        <f>T("LEMOORE")</f>
        <v>LEMOORE</v>
      </c>
      <c r="E12995" t="str">
        <f>T("CA")</f>
        <v>CA</v>
      </c>
      <c r="F12995" t="str">
        <f>T("932467201")</f>
        <v>932467201</v>
      </c>
      <c r="G12995" t="str">
        <f>T("240 REEVES BLVD")</f>
        <v>240 REEVES BLVD</v>
      </c>
      <c r="H12995" t="str">
        <f>T("HANGAR 2 MOD 5")</f>
        <v>HANGAR 2 MOD 5</v>
      </c>
      <c r="I12995" t="str">
        <f>T("LEMOORE")</f>
        <v>LEMOORE</v>
      </c>
      <c r="J12995" t="str">
        <f>T("CA")</f>
        <v>CA</v>
      </c>
      <c r="K12995" t="str">
        <f>T("000000000000000000")</f>
        <v>000000000000000000</v>
      </c>
      <c r="L12995" t="str">
        <f>T("5594483278")</f>
        <v>5594483278</v>
      </c>
    </row>
    <row r="12996" spans="1:12" x14ac:dyDescent="0.35">
      <c r="A12996" t="str">
        <f>T("VFA-136")</f>
        <v>VFA-136</v>
      </c>
      <c r="B12996" t="str">
        <f>T("VFA-136 HGR 2 MOD 5")</f>
        <v>VFA-136 HGR 2 MOD 5</v>
      </c>
      <c r="C12996" t="str">
        <f>T("240 REEVES BLVD")</f>
        <v>240 REEVES BLVD</v>
      </c>
      <c r="D12996" t="str">
        <f>T("LEMOORE")</f>
        <v>LEMOORE</v>
      </c>
      <c r="E12996" t="str">
        <f>T("CA")</f>
        <v>CA</v>
      </c>
      <c r="F12996" t="str">
        <f>T("932467201")</f>
        <v>932467201</v>
      </c>
      <c r="G12996" t="str">
        <f>T("240 REEVES BLVD")</f>
        <v>240 REEVES BLVD</v>
      </c>
      <c r="H12996" t="str">
        <f>T("HANGAR 2 MOD 5")</f>
        <v>HANGAR 2 MOD 5</v>
      </c>
      <c r="I12996" t="str">
        <f>T("LEMOORE")</f>
        <v>LEMOORE</v>
      </c>
      <c r="J12996" t="str">
        <f>T("CA")</f>
        <v>CA</v>
      </c>
      <c r="K12996" t="str">
        <f>T("000000000000000000")</f>
        <v>000000000000000000</v>
      </c>
      <c r="L12996" t="str">
        <f>T("5599983278")</f>
        <v>5599983278</v>
      </c>
    </row>
    <row r="12997" spans="1:12" x14ac:dyDescent="0.35">
      <c r="A12997" t="str">
        <f>T("VFA-136")</f>
        <v>VFA-136</v>
      </c>
      <c r="B12997" t="str">
        <f>T("VFA-136 HGR 2 MOD 5")</f>
        <v>VFA-136 HGR 2 MOD 5</v>
      </c>
      <c r="C12997" t="str">
        <f>T("240 REEVES BLVD")</f>
        <v>240 REEVES BLVD</v>
      </c>
      <c r="D12997" t="str">
        <f>T("LEMOORE")</f>
        <v>LEMOORE</v>
      </c>
      <c r="E12997" t="str">
        <f>T("CA")</f>
        <v>CA</v>
      </c>
      <c r="F12997" t="str">
        <f>T("932467201")</f>
        <v>932467201</v>
      </c>
      <c r="G12997" t="str">
        <f>T("240 REEVES BLVD HANGAR 2 MOD 5")</f>
        <v>240 REEVES BLVD HANGAR 2 MOD 5</v>
      </c>
      <c r="H12997" t="str">
        <f>T("")</f>
        <v/>
      </c>
      <c r="I12997" t="str">
        <f>T("LEMOORE")</f>
        <v>LEMOORE</v>
      </c>
      <c r="J12997" t="str">
        <f>T("CA")</f>
        <v>CA</v>
      </c>
      <c r="K12997" t="str">
        <f>T("000000000000000000")</f>
        <v>000000000000000000</v>
      </c>
      <c r="L12997" t="str">
        <f>T("5599983280")</f>
        <v>5599983280</v>
      </c>
    </row>
    <row r="12998" spans="1:12" x14ac:dyDescent="0.35">
      <c r="A12998" t="str">
        <f>T("VFA-136")</f>
        <v>VFA-136</v>
      </c>
      <c r="B12998" t="str">
        <f>T("VFA-136 HGR 2 MOD 5")</f>
        <v>VFA-136 HGR 2 MOD 5</v>
      </c>
      <c r="C12998" t="str">
        <f>T("240 REEVES BLVD")</f>
        <v>240 REEVES BLVD</v>
      </c>
      <c r="D12998" t="str">
        <f>T("LEMOORE")</f>
        <v>LEMOORE</v>
      </c>
      <c r="E12998" t="str">
        <f>T("CA")</f>
        <v>CA</v>
      </c>
      <c r="F12998" t="str">
        <f>T("932467201")</f>
        <v>932467201</v>
      </c>
      <c r="G12998" t="str">
        <f>T("VFA-136 HGR 2 MOD 5")</f>
        <v>VFA-136 HGR 2 MOD 5</v>
      </c>
      <c r="H12998" t="str">
        <f>T("240 REEVES BLVD")</f>
        <v>240 REEVES BLVD</v>
      </c>
      <c r="I12998" t="str">
        <f>T("LEMOORE")</f>
        <v>LEMOORE</v>
      </c>
      <c r="J12998" t="str">
        <f>T("CA")</f>
        <v>CA</v>
      </c>
      <c r="K12998" t="str">
        <f>T("000000000000000000")</f>
        <v>000000000000000000</v>
      </c>
      <c r="L12998" t="str">
        <f>T("5599983278")</f>
        <v>5599983278</v>
      </c>
    </row>
    <row r="12999" spans="1:12" x14ac:dyDescent="0.35">
      <c r="A12999" t="str">
        <f>T("VFA 137")</f>
        <v>VFA 137</v>
      </c>
      <c r="B12999" t="str">
        <f>T("VFA-137")</f>
        <v>VFA-137</v>
      </c>
      <c r="C12999" t="str">
        <f>T("UNIT 60148")</f>
        <v>UNIT 60148</v>
      </c>
      <c r="D12999" t="str">
        <f>T("FPO")</f>
        <v>FPO</v>
      </c>
      <c r="E12999" t="str">
        <f>T("AP")</f>
        <v>AP</v>
      </c>
      <c r="F12999" t="str">
        <f>T("966010000")</f>
        <v>966010000</v>
      </c>
      <c r="G12999" t="str">
        <f>T("330 REEVES BLVD")</f>
        <v>330 REEVES BLVD</v>
      </c>
      <c r="H12999" t="str">
        <f>T("")</f>
        <v/>
      </c>
      <c r="I12999" t="str">
        <f>T("LEMOORE")</f>
        <v>LEMOORE</v>
      </c>
      <c r="J12999" t="str">
        <f>T("CA")</f>
        <v>CA</v>
      </c>
      <c r="K12999" t="str">
        <f>T("5599983742")</f>
        <v>5599983742</v>
      </c>
      <c r="L12999" t="str">
        <f>T("5599983408")</f>
        <v>5599983408</v>
      </c>
    </row>
    <row r="13000" spans="1:12" x14ac:dyDescent="0.35">
      <c r="A13000" t="str">
        <f>T("VFA 137")</f>
        <v>VFA 137</v>
      </c>
      <c r="B13000" t="str">
        <f>T("VFA-137")</f>
        <v>VFA-137</v>
      </c>
      <c r="C13000" t="str">
        <f>T("UNIT 60148")</f>
        <v>UNIT 60148</v>
      </c>
      <c r="D13000" t="str">
        <f>T("FPO")</f>
        <v>FPO</v>
      </c>
      <c r="E13000" t="str">
        <f>T("AP")</f>
        <v>AP</v>
      </c>
      <c r="F13000" t="str">
        <f>T("966010000")</f>
        <v>966010000</v>
      </c>
      <c r="G13000" t="str">
        <f>T("VFA-137")</f>
        <v>VFA-137</v>
      </c>
      <c r="H13000" t="str">
        <f>T("UNIT 60148")</f>
        <v>UNIT 60148</v>
      </c>
      <c r="I13000" t="str">
        <f>T("FPO")</f>
        <v>FPO</v>
      </c>
      <c r="J13000" t="str">
        <f>T("AP")</f>
        <v>AP</v>
      </c>
      <c r="K13000" t="str">
        <f>T("5599981959")</f>
        <v>5599981959</v>
      </c>
      <c r="L13000" t="str">
        <f>T("5599983408")</f>
        <v>5599983408</v>
      </c>
    </row>
    <row r="13001" spans="1:12" x14ac:dyDescent="0.35">
      <c r="A13001" t="str">
        <f>T("VFA 137")</f>
        <v>VFA 137</v>
      </c>
      <c r="B13001" t="str">
        <f>T("VFA-137")</f>
        <v>VFA-137</v>
      </c>
      <c r="C13001" t="str">
        <f>T("UNIT 60148")</f>
        <v>UNIT 60148</v>
      </c>
      <c r="D13001" t="str">
        <f>T("FPO")</f>
        <v>FPO</v>
      </c>
      <c r="E13001" t="str">
        <f>T("AP")</f>
        <v>AP</v>
      </c>
      <c r="F13001" t="str">
        <f>T("966010000")</f>
        <v>966010000</v>
      </c>
      <c r="G13001" t="str">
        <f>T("VFA-137")</f>
        <v>VFA-137</v>
      </c>
      <c r="H13001" t="str">
        <f>T("UNIT 60148")</f>
        <v>UNIT 60148</v>
      </c>
      <c r="I13001" t="str">
        <f>T("FPO")</f>
        <v>FPO</v>
      </c>
      <c r="J13001" t="str">
        <f>T("AP")</f>
        <v>AP</v>
      </c>
      <c r="K13001" t="str">
        <f>T("5599982239")</f>
        <v>5599982239</v>
      </c>
      <c r="L13001" t="str">
        <f>T("5599983408")</f>
        <v>5599983408</v>
      </c>
    </row>
    <row r="13002" spans="1:12" x14ac:dyDescent="0.35">
      <c r="A13002" t="str">
        <f>T("COMPATRECWING-10")</f>
        <v>COMPATRECWING-10</v>
      </c>
      <c r="B13002" t="str">
        <f>T("3560 N CHARLES PORTER AVE")</f>
        <v>3560 N CHARLES PORTER AVE</v>
      </c>
      <c r="C13002" t="str">
        <f t="shared" ref="C13002:C13010" si="4785">T("")</f>
        <v/>
      </c>
      <c r="D13002" t="str">
        <f>T("OAK HARBOR")</f>
        <v>OAK HARBOR</v>
      </c>
      <c r="E13002" t="str">
        <f>T("WA")</f>
        <v>WA</v>
      </c>
      <c r="F13002" t="str">
        <f>T("982784908")</f>
        <v>982784908</v>
      </c>
      <c r="G13002" t="str">
        <f>T("3560 N CHARLES PORTER AVE")</f>
        <v>3560 N CHARLES PORTER AVE</v>
      </c>
      <c r="H13002" t="str">
        <f>T("")</f>
        <v/>
      </c>
      <c r="I13002" t="str">
        <f>T("OAK HARBOR")</f>
        <v>OAK HARBOR</v>
      </c>
      <c r="J13002" t="str">
        <f>T("WA")</f>
        <v>WA</v>
      </c>
      <c r="K13002" t="str">
        <f>T("360 257 5516")</f>
        <v>360 257 5516</v>
      </c>
      <c r="L13002" t="str">
        <f>T("3602575570")</f>
        <v>3602575570</v>
      </c>
    </row>
    <row r="13003" spans="1:12" x14ac:dyDescent="0.35">
      <c r="A13003" t="str">
        <f>T("COMPATRECWING-10")</f>
        <v>COMPATRECWING-10</v>
      </c>
      <c r="B13003" t="str">
        <f>T("3560 N CHARLES PORTER AVE")</f>
        <v>3560 N CHARLES PORTER AVE</v>
      </c>
      <c r="C13003" t="str">
        <f t="shared" si="4785"/>
        <v/>
      </c>
      <c r="D13003" t="str">
        <f>T("OAK HARBOR")</f>
        <v>OAK HARBOR</v>
      </c>
      <c r="E13003" t="str">
        <f>T("WA")</f>
        <v>WA</v>
      </c>
      <c r="F13003" t="str">
        <f>T("982784908")</f>
        <v>982784908</v>
      </c>
      <c r="G13003" t="str">
        <f>T("3560 N CHARLES PORTER AVE")</f>
        <v>3560 N CHARLES PORTER AVE</v>
      </c>
      <c r="H13003" t="str">
        <f>T("")</f>
        <v/>
      </c>
      <c r="I13003" t="str">
        <f>T("OAK HARBOR")</f>
        <v>OAK HARBOR</v>
      </c>
      <c r="J13003" t="str">
        <f>T("WA")</f>
        <v>WA</v>
      </c>
      <c r="K13003" t="str">
        <f>T("3602575516")</f>
        <v>3602575516</v>
      </c>
      <c r="L13003" t="str">
        <f>T("3602576093")</f>
        <v>3602576093</v>
      </c>
    </row>
    <row r="13004" spans="1:12" x14ac:dyDescent="0.35">
      <c r="A13004" t="str">
        <f>T("VFA 27")</f>
        <v>VFA 27</v>
      </c>
      <c r="B13004" t="str">
        <f>T("VFA-27 UNIT 200138 BOX 229")</f>
        <v>VFA-27 UNIT 200138 BOX 229</v>
      </c>
      <c r="C13004" t="str">
        <f t="shared" si="4785"/>
        <v/>
      </c>
      <c r="D13004" t="str">
        <f>T("FPO")</f>
        <v>FPO</v>
      </c>
      <c r="E13004" t="str">
        <f>T("AP")</f>
        <v>AP</v>
      </c>
      <c r="F13004" t="str">
        <f>T("966013802")</f>
        <v>966013802</v>
      </c>
      <c r="G13004" t="str">
        <f>T("UNIT 200138 BOX 229")</f>
        <v>UNIT 200138 BOX 229</v>
      </c>
      <c r="H13004" t="str">
        <f>T("")</f>
        <v/>
      </c>
      <c r="I13004" t="str">
        <f>T("FPO")</f>
        <v>FPO</v>
      </c>
      <c r="J13004" t="str">
        <f>T("AP")</f>
        <v>AP</v>
      </c>
      <c r="K13004" t="str">
        <f>T("000000000000000000")</f>
        <v>000000000000000000</v>
      </c>
      <c r="L13004" t="str">
        <f>T("3122644378")</f>
        <v>3122644378</v>
      </c>
    </row>
    <row r="13005" spans="1:12" x14ac:dyDescent="0.35">
      <c r="A13005" t="str">
        <f>T("VFA 27")</f>
        <v>VFA 27</v>
      </c>
      <c r="B13005" t="str">
        <f>T("VFA-27 UNIT 200138 BOX 229")</f>
        <v>VFA-27 UNIT 200138 BOX 229</v>
      </c>
      <c r="C13005" t="str">
        <f t="shared" si="4785"/>
        <v/>
      </c>
      <c r="D13005" t="str">
        <f>T("FPO")</f>
        <v>FPO</v>
      </c>
      <c r="E13005" t="str">
        <f>T("AP")</f>
        <v>AP</v>
      </c>
      <c r="F13005" t="str">
        <f>T("966013802")</f>
        <v>966013802</v>
      </c>
      <c r="G13005" t="str">
        <f>T("VFA 27 UNIT 200138 BOX 1")</f>
        <v>VFA 27 UNIT 200138 BOX 1</v>
      </c>
      <c r="H13005" t="str">
        <f>T("")</f>
        <v/>
      </c>
      <c r="I13005" t="str">
        <f>T("FPO")</f>
        <v>FPO</v>
      </c>
      <c r="J13005" t="str">
        <f>T("AP")</f>
        <v>AP</v>
      </c>
      <c r="K13005" t="str">
        <f>T("0118146734398")</f>
        <v>0118146734398</v>
      </c>
      <c r="L13005" t="str">
        <f>T("1111111111")</f>
        <v>1111111111</v>
      </c>
    </row>
    <row r="13006" spans="1:12" x14ac:dyDescent="0.35">
      <c r="A13006" t="str">
        <f>T("VFA 27")</f>
        <v>VFA 27</v>
      </c>
      <c r="B13006" t="str">
        <f>T("VFA-27 UNIT 200138 BOX 229")</f>
        <v>VFA-27 UNIT 200138 BOX 229</v>
      </c>
      <c r="C13006" t="str">
        <f t="shared" si="4785"/>
        <v/>
      </c>
      <c r="D13006" t="str">
        <f>T("FPO")</f>
        <v>FPO</v>
      </c>
      <c r="E13006" t="str">
        <f>T("AP")</f>
        <v>AP</v>
      </c>
      <c r="F13006" t="str">
        <f>T("966013802")</f>
        <v>966013802</v>
      </c>
      <c r="G13006" t="str">
        <f>T("VFA-27 UNIT 200138 BOX 229")</f>
        <v>VFA-27 UNIT 200138 BOX 229</v>
      </c>
      <c r="H13006" t="str">
        <f>T("")</f>
        <v/>
      </c>
      <c r="I13006" t="str">
        <f>T("FPO")</f>
        <v>FPO</v>
      </c>
      <c r="J13006" t="str">
        <f>T("AP")</f>
        <v>AP</v>
      </c>
      <c r="K13006" t="str">
        <f>T("01181467634398")</f>
        <v>01181467634398</v>
      </c>
      <c r="L13006" t="str">
        <f>T("1111111111")</f>
        <v>1111111111</v>
      </c>
    </row>
    <row r="13007" spans="1:12" x14ac:dyDescent="0.35">
      <c r="A13007" t="str">
        <f>T("SFPMU  EL CENTRO")</f>
        <v>SFPMU  EL CENTRO</v>
      </c>
      <c r="B13007" t="str">
        <f>T("BLDG 830 HANGAR 3")</f>
        <v>BLDG 830 HANGAR 3</v>
      </c>
      <c r="C13007" t="str">
        <f t="shared" si="4785"/>
        <v/>
      </c>
      <c r="D13007" t="str">
        <f>T("EL CENTRO")</f>
        <v>EL CENTRO</v>
      </c>
      <c r="E13007" t="str">
        <f t="shared" ref="E13007:E13014" si="4786">T("CA")</f>
        <v>CA</v>
      </c>
      <c r="F13007" t="str">
        <f>T("922430000")</f>
        <v>922430000</v>
      </c>
      <c r="G13007" t="str">
        <f>T("1605 3RD ST")</f>
        <v>1605 3RD ST</v>
      </c>
      <c r="H13007" t="str">
        <f>T("BLDG 830 HNGR 3")</f>
        <v>BLDG 830 HNGR 3</v>
      </c>
      <c r="I13007" t="str">
        <f>T("EL CENTRO")</f>
        <v>EL CENTRO</v>
      </c>
      <c r="J13007" t="str">
        <f t="shared" ref="J13007:J13014" si="4787">T("CA")</f>
        <v>CA</v>
      </c>
      <c r="K13007" t="str">
        <f>T("7603392430")</f>
        <v>7603392430</v>
      </c>
      <c r="L13007" t="str">
        <f>T("7603392612")</f>
        <v>7603392612</v>
      </c>
    </row>
    <row r="13008" spans="1:12" x14ac:dyDescent="0.35">
      <c r="A13008" t="str">
        <f>T("SFPMU  EL CENTRO")</f>
        <v>SFPMU  EL CENTRO</v>
      </c>
      <c r="B13008" t="str">
        <f>T("BLDG 830 HANGAR 3")</f>
        <v>BLDG 830 HANGAR 3</v>
      </c>
      <c r="C13008" t="str">
        <f t="shared" si="4785"/>
        <v/>
      </c>
      <c r="D13008" t="str">
        <f>T("EL CENTRO")</f>
        <v>EL CENTRO</v>
      </c>
      <c r="E13008" t="str">
        <f t="shared" si="4786"/>
        <v>CA</v>
      </c>
      <c r="F13008" t="str">
        <f>T("922430000")</f>
        <v>922430000</v>
      </c>
      <c r="G13008" t="str">
        <f>T("1605 THIRD ST")</f>
        <v>1605 THIRD ST</v>
      </c>
      <c r="H13008" t="str">
        <f>T("BLDG 830 HNGR 3")</f>
        <v>BLDG 830 HNGR 3</v>
      </c>
      <c r="I13008" t="str">
        <f>T("EL CENTRO")</f>
        <v>EL CENTRO</v>
      </c>
      <c r="J13008" t="str">
        <f t="shared" si="4787"/>
        <v>CA</v>
      </c>
      <c r="K13008" t="str">
        <f>T("7603392430")</f>
        <v>7603392430</v>
      </c>
      <c r="L13008" t="str">
        <f>T("7603392612")</f>
        <v>7603392612</v>
      </c>
    </row>
    <row r="13009" spans="1:12" x14ac:dyDescent="0.35">
      <c r="A13009" t="str">
        <f>T("SFPMU  EL CENTRO")</f>
        <v>SFPMU  EL CENTRO</v>
      </c>
      <c r="B13009" t="str">
        <f>T("BLDG 830 HANGAR 3")</f>
        <v>BLDG 830 HANGAR 3</v>
      </c>
      <c r="C13009" t="str">
        <f t="shared" si="4785"/>
        <v/>
      </c>
      <c r="D13009" t="str">
        <f>T("EL CENTRO")</f>
        <v>EL CENTRO</v>
      </c>
      <c r="E13009" t="str">
        <f t="shared" si="4786"/>
        <v>CA</v>
      </c>
      <c r="F13009" t="str">
        <f>T("922430000")</f>
        <v>922430000</v>
      </c>
      <c r="G13009" t="str">
        <f>T("BLDG 830 HANGAR 3")</f>
        <v>BLDG 830 HANGAR 3</v>
      </c>
      <c r="H13009" t="str">
        <f>T("")</f>
        <v/>
      </c>
      <c r="I13009" t="str">
        <f>T("EL CENTRO")</f>
        <v>EL CENTRO</v>
      </c>
      <c r="J13009" t="str">
        <f t="shared" si="4787"/>
        <v>CA</v>
      </c>
      <c r="K13009" t="str">
        <f>T("")</f>
        <v/>
      </c>
      <c r="L13009" t="str">
        <f>T("7603392302")</f>
        <v>7603392302</v>
      </c>
    </row>
    <row r="13010" spans="1:12" x14ac:dyDescent="0.35">
      <c r="A13010" t="str">
        <f>T("SFPMU  EL CENTRO")</f>
        <v>SFPMU  EL CENTRO</v>
      </c>
      <c r="B13010" t="str">
        <f>T("BLDG 830 HANGAR 3")</f>
        <v>BLDG 830 HANGAR 3</v>
      </c>
      <c r="C13010" t="str">
        <f t="shared" si="4785"/>
        <v/>
      </c>
      <c r="D13010" t="str">
        <f>T("EL CENTRO")</f>
        <v>EL CENTRO</v>
      </c>
      <c r="E13010" t="str">
        <f t="shared" si="4786"/>
        <v>CA</v>
      </c>
      <c r="F13010" t="str">
        <f>T("922430000")</f>
        <v>922430000</v>
      </c>
      <c r="G13010" t="str">
        <f>T("SFWPMU")</f>
        <v>SFWPMU</v>
      </c>
      <c r="H13010" t="str">
        <f>T("BLDG 830 HANGAR 3")</f>
        <v>BLDG 830 HANGAR 3</v>
      </c>
      <c r="I13010" t="str">
        <f>T("NAF EL CENTRO")</f>
        <v>NAF EL CENTRO</v>
      </c>
      <c r="J13010" t="str">
        <f t="shared" si="4787"/>
        <v>CA</v>
      </c>
      <c r="K13010" t="str">
        <f>T("7603392430")</f>
        <v>7603392430</v>
      </c>
      <c r="L13010" t="str">
        <f>T("7603392612")</f>
        <v>7603392612</v>
      </c>
    </row>
    <row r="13011" spans="1:12" x14ac:dyDescent="0.35">
      <c r="A13011" t="str">
        <f>T("HSM-73")</f>
        <v>HSM-73</v>
      </c>
      <c r="B13011" t="str">
        <f>T("HSM 73 BLDG 1474")</f>
        <v>HSM 73 BLDG 1474</v>
      </c>
      <c r="C13011" t="str">
        <f>T("HANGAR RD NASNI")</f>
        <v>HANGAR RD NASNI</v>
      </c>
      <c r="D13011" t="str">
        <f>T("SAN DIEGO")</f>
        <v>SAN DIEGO</v>
      </c>
      <c r="E13011" t="str">
        <f t="shared" si="4786"/>
        <v>CA</v>
      </c>
      <c r="F13011" t="str">
        <f>T("921357127")</f>
        <v>921357127</v>
      </c>
      <c r="G13011" t="str">
        <f>T("HSM 73 BLDG 1474")</f>
        <v>HSM 73 BLDG 1474</v>
      </c>
      <c r="H13011" t="str">
        <f>T("HANGAR RD NASNI")</f>
        <v>HANGAR RD NASNI</v>
      </c>
      <c r="I13011" t="str">
        <f>T("SAN DIEGO")</f>
        <v>SAN DIEGO</v>
      </c>
      <c r="J13011" t="str">
        <f t="shared" si="4787"/>
        <v>CA</v>
      </c>
      <c r="K13011" t="str">
        <f>T("6195456114")</f>
        <v>6195456114</v>
      </c>
      <c r="L13011" t="str">
        <f>T("6195456096")</f>
        <v>6195456096</v>
      </c>
    </row>
    <row r="13012" spans="1:12" x14ac:dyDescent="0.35">
      <c r="A13012" t="str">
        <f>T("HSM-73")</f>
        <v>HSM-73</v>
      </c>
      <c r="B13012" t="str">
        <f>T("HSM 73 BLDG 1474")</f>
        <v>HSM 73 BLDG 1474</v>
      </c>
      <c r="C13012" t="str">
        <f>T("HANGAR RD NASNI")</f>
        <v>HANGAR RD NASNI</v>
      </c>
      <c r="D13012" t="str">
        <f>T("SAN DIEGO")</f>
        <v>SAN DIEGO</v>
      </c>
      <c r="E13012" t="str">
        <f t="shared" si="4786"/>
        <v>CA</v>
      </c>
      <c r="F13012" t="str">
        <f>T("921357127")</f>
        <v>921357127</v>
      </c>
      <c r="G13012" t="str">
        <f>T("HSM-73")</f>
        <v>HSM-73</v>
      </c>
      <c r="H13012" t="str">
        <f>T("P O BOX 357127")</f>
        <v>P O BOX 357127</v>
      </c>
      <c r="I13012" t="str">
        <f>T("SAN DIEGO")</f>
        <v>SAN DIEGO</v>
      </c>
      <c r="J13012" t="str">
        <f t="shared" si="4787"/>
        <v>CA</v>
      </c>
      <c r="K13012" t="str">
        <f>T("000000000000000000")</f>
        <v>000000000000000000</v>
      </c>
      <c r="L13012" t="str">
        <f>T("6195456096")</f>
        <v>6195456096</v>
      </c>
    </row>
    <row r="13013" spans="1:12" x14ac:dyDescent="0.35">
      <c r="A13013" t="str">
        <f>T("HSM-73")</f>
        <v>HSM-73</v>
      </c>
      <c r="B13013" t="str">
        <f>T("HSM 73 BLDG 1474")</f>
        <v>HSM 73 BLDG 1474</v>
      </c>
      <c r="C13013" t="str">
        <f>T("HANGAR RD NASNI")</f>
        <v>HANGAR RD NASNI</v>
      </c>
      <c r="D13013" t="str">
        <f>T("SAN DIEGO")</f>
        <v>SAN DIEGO</v>
      </c>
      <c r="E13013" t="str">
        <f t="shared" si="4786"/>
        <v>CA</v>
      </c>
      <c r="F13013" t="str">
        <f>T("921357127")</f>
        <v>921357127</v>
      </c>
      <c r="G13013" t="str">
        <f>T("HSM-73")</f>
        <v>HSM-73</v>
      </c>
      <c r="H13013" t="str">
        <f>T("PO BOX 357127")</f>
        <v>PO BOX 357127</v>
      </c>
      <c r="I13013" t="str">
        <f>T("SAN DIEGO")</f>
        <v>SAN DIEGO</v>
      </c>
      <c r="J13013" t="str">
        <f t="shared" si="4787"/>
        <v>CA</v>
      </c>
      <c r="K13013" t="str">
        <f>T("000000000000000000")</f>
        <v>000000000000000000</v>
      </c>
      <c r="L13013" t="str">
        <f>T("6195456096")</f>
        <v>6195456096</v>
      </c>
    </row>
    <row r="13014" spans="1:12" x14ac:dyDescent="0.35">
      <c r="A13014" t="str">
        <f>T("HSM-73")</f>
        <v>HSM-73</v>
      </c>
      <c r="B13014" t="str">
        <f>T("HSM 73 BLDG 1474")</f>
        <v>HSM 73 BLDG 1474</v>
      </c>
      <c r="C13014" t="str">
        <f>T("HANGAR RD NASNI")</f>
        <v>HANGAR RD NASNI</v>
      </c>
      <c r="D13014" t="str">
        <f>T("SAN DIEGO")</f>
        <v>SAN DIEGO</v>
      </c>
      <c r="E13014" t="str">
        <f t="shared" si="4786"/>
        <v>CA</v>
      </c>
      <c r="F13014" t="str">
        <f>T("921357127")</f>
        <v>921357127</v>
      </c>
      <c r="G13014" t="str">
        <f>T("HSM-73 BLDG 1474")</f>
        <v>HSM-73 BLDG 1474</v>
      </c>
      <c r="H13014" t="str">
        <f>T("PO BOX 357127")</f>
        <v>PO BOX 357127</v>
      </c>
      <c r="I13014" t="str">
        <f>T("SAN DIEGO")</f>
        <v>SAN DIEGO</v>
      </c>
      <c r="J13014" t="str">
        <f t="shared" si="4787"/>
        <v>CA</v>
      </c>
      <c r="K13014" t="str">
        <f>T("000000000000000000")</f>
        <v>000000000000000000</v>
      </c>
      <c r="L13014" t="str">
        <f>T("6195455696")</f>
        <v>6195455696</v>
      </c>
    </row>
    <row r="13015" spans="1:12" x14ac:dyDescent="0.35">
      <c r="A13015" t="str">
        <f t="shared" ref="A13015:A13027" si="4788">T("COMPATRECWING 10")</f>
        <v>COMPATRECWING 10</v>
      </c>
      <c r="B13015" t="str">
        <f t="shared" ref="B13015:B13027" si="4789">T("3560 N CHARLES PORTER AVE")</f>
        <v>3560 N CHARLES PORTER AVE</v>
      </c>
      <c r="C13015" t="str">
        <f t="shared" ref="C13015:C13027" si="4790">T("")</f>
        <v/>
      </c>
      <c r="D13015" t="str">
        <f t="shared" ref="D13015:D13027" si="4791">T("OAK HARBOR")</f>
        <v>OAK HARBOR</v>
      </c>
      <c r="E13015" t="str">
        <f t="shared" ref="E13015:E13027" si="4792">T("WA")</f>
        <v>WA</v>
      </c>
      <c r="F13015" t="str">
        <f t="shared" ref="F13015:F13027" si="4793">T("982784908")</f>
        <v>982784908</v>
      </c>
      <c r="G13015" t="str">
        <f t="shared" ref="G13015:G13025" si="4794">T("3560 N CHARLES PORTER AVE")</f>
        <v>3560 N CHARLES PORTER AVE</v>
      </c>
      <c r="H13015" t="str">
        <f t="shared" ref="H13015:H13025" si="4795">T("")</f>
        <v/>
      </c>
      <c r="I13015" t="str">
        <f t="shared" ref="I13015:I13027" si="4796">T("OAK HARBOR")</f>
        <v>OAK HARBOR</v>
      </c>
      <c r="J13015" t="str">
        <f t="shared" ref="J13015:J13027" si="4797">T("WA")</f>
        <v>WA</v>
      </c>
      <c r="K13015" t="str">
        <f>T("000000000000000000")</f>
        <v>000000000000000000</v>
      </c>
      <c r="L13015" t="str">
        <f>T("1111111111")</f>
        <v>1111111111</v>
      </c>
    </row>
    <row r="13016" spans="1:12" x14ac:dyDescent="0.35">
      <c r="A13016" t="str">
        <f t="shared" si="4788"/>
        <v>COMPATRECWING 10</v>
      </c>
      <c r="B13016" t="str">
        <f t="shared" si="4789"/>
        <v>3560 N CHARLES PORTER AVE</v>
      </c>
      <c r="C13016" t="str">
        <f t="shared" si="4790"/>
        <v/>
      </c>
      <c r="D13016" t="str">
        <f t="shared" si="4791"/>
        <v>OAK HARBOR</v>
      </c>
      <c r="E13016" t="str">
        <f t="shared" si="4792"/>
        <v>WA</v>
      </c>
      <c r="F13016" t="str">
        <f t="shared" si="4793"/>
        <v>982784908</v>
      </c>
      <c r="G13016" t="str">
        <f t="shared" si="4794"/>
        <v>3560 N CHARLES PORTER AVE</v>
      </c>
      <c r="H13016" t="str">
        <f t="shared" si="4795"/>
        <v/>
      </c>
      <c r="I13016" t="str">
        <f t="shared" si="4796"/>
        <v>OAK HARBOR</v>
      </c>
      <c r="J13016" t="str">
        <f t="shared" si="4797"/>
        <v>WA</v>
      </c>
      <c r="K13016" t="str">
        <f>T("000000000000000000")</f>
        <v>000000000000000000</v>
      </c>
      <c r="L13016" t="str">
        <f>T("3602570375")</f>
        <v>3602570375</v>
      </c>
    </row>
    <row r="13017" spans="1:12" x14ac:dyDescent="0.35">
      <c r="A13017" t="str">
        <f t="shared" si="4788"/>
        <v>COMPATRECWING 10</v>
      </c>
      <c r="B13017" t="str">
        <f t="shared" si="4789"/>
        <v>3560 N CHARLES PORTER AVE</v>
      </c>
      <c r="C13017" t="str">
        <f t="shared" si="4790"/>
        <v/>
      </c>
      <c r="D13017" t="str">
        <f t="shared" si="4791"/>
        <v>OAK HARBOR</v>
      </c>
      <c r="E13017" t="str">
        <f t="shared" si="4792"/>
        <v>WA</v>
      </c>
      <c r="F13017" t="str">
        <f t="shared" si="4793"/>
        <v>982784908</v>
      </c>
      <c r="G13017" t="str">
        <f t="shared" si="4794"/>
        <v>3560 N CHARLES PORTER AVE</v>
      </c>
      <c r="H13017" t="str">
        <f t="shared" si="4795"/>
        <v/>
      </c>
      <c r="I13017" t="str">
        <f t="shared" si="4796"/>
        <v>OAK HARBOR</v>
      </c>
      <c r="J13017" t="str">
        <f t="shared" si="4797"/>
        <v>WA</v>
      </c>
      <c r="K13017" t="str">
        <f>T("360-257-1576")</f>
        <v>360-257-1576</v>
      </c>
      <c r="L13017" t="str">
        <f>T("3602571560")</f>
        <v>3602571560</v>
      </c>
    </row>
    <row r="13018" spans="1:12" x14ac:dyDescent="0.35">
      <c r="A13018" t="str">
        <f t="shared" si="4788"/>
        <v>COMPATRECWING 10</v>
      </c>
      <c r="B13018" t="str">
        <f t="shared" si="4789"/>
        <v>3560 N CHARLES PORTER AVE</v>
      </c>
      <c r="C13018" t="str">
        <f t="shared" si="4790"/>
        <v/>
      </c>
      <c r="D13018" t="str">
        <f t="shared" si="4791"/>
        <v>OAK HARBOR</v>
      </c>
      <c r="E13018" t="str">
        <f t="shared" si="4792"/>
        <v>WA</v>
      </c>
      <c r="F13018" t="str">
        <f t="shared" si="4793"/>
        <v>982784908</v>
      </c>
      <c r="G13018" t="str">
        <f t="shared" si="4794"/>
        <v>3560 N CHARLES PORTER AVE</v>
      </c>
      <c r="H13018" t="str">
        <f t="shared" si="4795"/>
        <v/>
      </c>
      <c r="I13018" t="str">
        <f t="shared" si="4796"/>
        <v>OAK HARBOR</v>
      </c>
      <c r="J13018" t="str">
        <f t="shared" si="4797"/>
        <v>WA</v>
      </c>
      <c r="K13018" t="str">
        <f>T("360-257-1576")</f>
        <v>360-257-1576</v>
      </c>
      <c r="L13018" t="str">
        <f>T("3602572825")</f>
        <v>3602572825</v>
      </c>
    </row>
    <row r="13019" spans="1:12" x14ac:dyDescent="0.35">
      <c r="A13019" t="str">
        <f t="shared" si="4788"/>
        <v>COMPATRECWING 10</v>
      </c>
      <c r="B13019" t="str">
        <f t="shared" si="4789"/>
        <v>3560 N CHARLES PORTER AVE</v>
      </c>
      <c r="C13019" t="str">
        <f t="shared" si="4790"/>
        <v/>
      </c>
      <c r="D13019" t="str">
        <f t="shared" si="4791"/>
        <v>OAK HARBOR</v>
      </c>
      <c r="E13019" t="str">
        <f t="shared" si="4792"/>
        <v>WA</v>
      </c>
      <c r="F13019" t="str">
        <f t="shared" si="4793"/>
        <v>982784908</v>
      </c>
      <c r="G13019" t="str">
        <f t="shared" si="4794"/>
        <v>3560 N CHARLES PORTER AVE</v>
      </c>
      <c r="H13019" t="str">
        <f t="shared" si="4795"/>
        <v/>
      </c>
      <c r="I13019" t="str">
        <f t="shared" si="4796"/>
        <v>OAK HARBOR</v>
      </c>
      <c r="J13019" t="str">
        <f t="shared" si="4797"/>
        <v>WA</v>
      </c>
      <c r="K13019" t="str">
        <f>T("3602571576")</f>
        <v>3602571576</v>
      </c>
      <c r="L13019" t="str">
        <f>T("3602571560")</f>
        <v>3602571560</v>
      </c>
    </row>
    <row r="13020" spans="1:12" x14ac:dyDescent="0.35">
      <c r="A13020" t="str">
        <f t="shared" si="4788"/>
        <v>COMPATRECWING 10</v>
      </c>
      <c r="B13020" t="str">
        <f t="shared" si="4789"/>
        <v>3560 N CHARLES PORTER AVE</v>
      </c>
      <c r="C13020" t="str">
        <f t="shared" si="4790"/>
        <v/>
      </c>
      <c r="D13020" t="str">
        <f t="shared" si="4791"/>
        <v>OAK HARBOR</v>
      </c>
      <c r="E13020" t="str">
        <f t="shared" si="4792"/>
        <v>WA</v>
      </c>
      <c r="F13020" t="str">
        <f t="shared" si="4793"/>
        <v>982784908</v>
      </c>
      <c r="G13020" t="str">
        <f t="shared" si="4794"/>
        <v>3560 N CHARLES PORTER AVE</v>
      </c>
      <c r="H13020" t="str">
        <f t="shared" si="4795"/>
        <v/>
      </c>
      <c r="I13020" t="str">
        <f t="shared" si="4796"/>
        <v>OAK HARBOR</v>
      </c>
      <c r="J13020" t="str">
        <f t="shared" si="4797"/>
        <v>WA</v>
      </c>
      <c r="K13020" t="str">
        <f>T("3602571576")</f>
        <v>3602571576</v>
      </c>
      <c r="L13020" t="str">
        <f>T("3602572825")</f>
        <v>3602572825</v>
      </c>
    </row>
    <row r="13021" spans="1:12" x14ac:dyDescent="0.35">
      <c r="A13021" t="str">
        <f t="shared" si="4788"/>
        <v>COMPATRECWING 10</v>
      </c>
      <c r="B13021" t="str">
        <f t="shared" si="4789"/>
        <v>3560 N CHARLES PORTER AVE</v>
      </c>
      <c r="C13021" t="str">
        <f t="shared" si="4790"/>
        <v/>
      </c>
      <c r="D13021" t="str">
        <f t="shared" si="4791"/>
        <v>OAK HARBOR</v>
      </c>
      <c r="E13021" t="str">
        <f t="shared" si="4792"/>
        <v>WA</v>
      </c>
      <c r="F13021" t="str">
        <f t="shared" si="4793"/>
        <v>982784908</v>
      </c>
      <c r="G13021" t="str">
        <f t="shared" si="4794"/>
        <v>3560 N CHARLES PORTER AVE</v>
      </c>
      <c r="H13021" t="str">
        <f t="shared" si="4795"/>
        <v/>
      </c>
      <c r="I13021" t="str">
        <f t="shared" si="4796"/>
        <v>OAK HARBOR</v>
      </c>
      <c r="J13021" t="str">
        <f t="shared" si="4797"/>
        <v>WA</v>
      </c>
      <c r="K13021" t="str">
        <f>T("3602571576")</f>
        <v>3602571576</v>
      </c>
      <c r="L13021" t="str">
        <f>T("3602576806")</f>
        <v>3602576806</v>
      </c>
    </row>
    <row r="13022" spans="1:12" x14ac:dyDescent="0.35">
      <c r="A13022" t="str">
        <f t="shared" si="4788"/>
        <v>COMPATRECWING 10</v>
      </c>
      <c r="B13022" t="str">
        <f t="shared" si="4789"/>
        <v>3560 N CHARLES PORTER AVE</v>
      </c>
      <c r="C13022" t="str">
        <f t="shared" si="4790"/>
        <v/>
      </c>
      <c r="D13022" t="str">
        <f t="shared" si="4791"/>
        <v>OAK HARBOR</v>
      </c>
      <c r="E13022" t="str">
        <f t="shared" si="4792"/>
        <v>WA</v>
      </c>
      <c r="F13022" t="str">
        <f t="shared" si="4793"/>
        <v>982784908</v>
      </c>
      <c r="G13022" t="str">
        <f t="shared" si="4794"/>
        <v>3560 N CHARLES PORTER AVE</v>
      </c>
      <c r="H13022" t="str">
        <f t="shared" si="4795"/>
        <v/>
      </c>
      <c r="I13022" t="str">
        <f t="shared" si="4796"/>
        <v>OAK HARBOR</v>
      </c>
      <c r="J13022" t="str">
        <f t="shared" si="4797"/>
        <v>WA</v>
      </c>
      <c r="K13022" t="str">
        <f>T("3602574333")</f>
        <v>3602574333</v>
      </c>
      <c r="L13022" t="str">
        <f>T("3602572824")</f>
        <v>3602572824</v>
      </c>
    </row>
    <row r="13023" spans="1:12" x14ac:dyDescent="0.35">
      <c r="A13023" t="str">
        <f t="shared" si="4788"/>
        <v>COMPATRECWING 10</v>
      </c>
      <c r="B13023" t="str">
        <f t="shared" si="4789"/>
        <v>3560 N CHARLES PORTER AVE</v>
      </c>
      <c r="C13023" t="str">
        <f t="shared" si="4790"/>
        <v/>
      </c>
      <c r="D13023" t="str">
        <f t="shared" si="4791"/>
        <v>OAK HARBOR</v>
      </c>
      <c r="E13023" t="str">
        <f t="shared" si="4792"/>
        <v>WA</v>
      </c>
      <c r="F13023" t="str">
        <f t="shared" si="4793"/>
        <v>982784908</v>
      </c>
      <c r="G13023" t="str">
        <f t="shared" si="4794"/>
        <v>3560 N CHARLES PORTER AVE</v>
      </c>
      <c r="H13023" t="str">
        <f t="shared" si="4795"/>
        <v/>
      </c>
      <c r="I13023" t="str">
        <f t="shared" si="4796"/>
        <v>OAK HARBOR</v>
      </c>
      <c r="J13023" t="str">
        <f t="shared" si="4797"/>
        <v>WA</v>
      </c>
      <c r="K13023" t="str">
        <f>T("3602574333")</f>
        <v>3602574333</v>
      </c>
      <c r="L13023" t="str">
        <f>T("3602578668")</f>
        <v>3602578668</v>
      </c>
    </row>
    <row r="13024" spans="1:12" x14ac:dyDescent="0.35">
      <c r="A13024" t="str">
        <f t="shared" si="4788"/>
        <v>COMPATRECWING 10</v>
      </c>
      <c r="B13024" t="str">
        <f t="shared" si="4789"/>
        <v>3560 N CHARLES PORTER AVE</v>
      </c>
      <c r="C13024" t="str">
        <f t="shared" si="4790"/>
        <v/>
      </c>
      <c r="D13024" t="str">
        <f t="shared" si="4791"/>
        <v>OAK HARBOR</v>
      </c>
      <c r="E13024" t="str">
        <f t="shared" si="4792"/>
        <v>WA</v>
      </c>
      <c r="F13024" t="str">
        <f t="shared" si="4793"/>
        <v>982784908</v>
      </c>
      <c r="G13024" t="str">
        <f t="shared" si="4794"/>
        <v>3560 N CHARLES PORTER AVE</v>
      </c>
      <c r="H13024" t="str">
        <f t="shared" si="4795"/>
        <v/>
      </c>
      <c r="I13024" t="str">
        <f t="shared" si="4796"/>
        <v>OAK HARBOR</v>
      </c>
      <c r="J13024" t="str">
        <f t="shared" si="4797"/>
        <v>WA</v>
      </c>
      <c r="K13024" t="str">
        <f>T("3602574599")</f>
        <v>3602574599</v>
      </c>
      <c r="L13024" t="str">
        <f>T("3602572701")</f>
        <v>3602572701</v>
      </c>
    </row>
    <row r="13025" spans="1:12" x14ac:dyDescent="0.35">
      <c r="A13025" t="str">
        <f t="shared" si="4788"/>
        <v>COMPATRECWING 10</v>
      </c>
      <c r="B13025" t="str">
        <f t="shared" si="4789"/>
        <v>3560 N CHARLES PORTER AVE</v>
      </c>
      <c r="C13025" t="str">
        <f t="shared" si="4790"/>
        <v/>
      </c>
      <c r="D13025" t="str">
        <f t="shared" si="4791"/>
        <v>OAK HARBOR</v>
      </c>
      <c r="E13025" t="str">
        <f t="shared" si="4792"/>
        <v>WA</v>
      </c>
      <c r="F13025" t="str">
        <f t="shared" si="4793"/>
        <v>982784908</v>
      </c>
      <c r="G13025" t="str">
        <f t="shared" si="4794"/>
        <v>3560 N CHARLES PORTER AVE</v>
      </c>
      <c r="H13025" t="str">
        <f t="shared" si="4795"/>
        <v/>
      </c>
      <c r="I13025" t="str">
        <f t="shared" si="4796"/>
        <v>OAK HARBOR</v>
      </c>
      <c r="J13025" t="str">
        <f t="shared" si="4797"/>
        <v>WA</v>
      </c>
      <c r="K13025" t="str">
        <f>T("3602575516")</f>
        <v>3602575516</v>
      </c>
      <c r="L13025" t="str">
        <f>T("3602575963")</f>
        <v>3602575963</v>
      </c>
    </row>
    <row r="13026" spans="1:12" x14ac:dyDescent="0.35">
      <c r="A13026" t="str">
        <f t="shared" si="4788"/>
        <v>COMPATRECWING 10</v>
      </c>
      <c r="B13026" t="str">
        <f t="shared" si="4789"/>
        <v>3560 N CHARLES PORTER AVE</v>
      </c>
      <c r="C13026" t="str">
        <f t="shared" si="4790"/>
        <v/>
      </c>
      <c r="D13026" t="str">
        <f t="shared" si="4791"/>
        <v>OAK HARBOR</v>
      </c>
      <c r="E13026" t="str">
        <f t="shared" si="4792"/>
        <v>WA</v>
      </c>
      <c r="F13026" t="str">
        <f t="shared" si="4793"/>
        <v>982784908</v>
      </c>
      <c r="G13026" t="str">
        <f>T("COMPATRECONWING TEN")</f>
        <v>COMPATRECONWING TEN</v>
      </c>
      <c r="H13026" t="str">
        <f>T("3560 N CHARLES PORTER AVE")</f>
        <v>3560 N CHARLES PORTER AVE</v>
      </c>
      <c r="I13026" t="str">
        <f t="shared" si="4796"/>
        <v>OAK HARBOR</v>
      </c>
      <c r="J13026" t="str">
        <f t="shared" si="4797"/>
        <v>WA</v>
      </c>
      <c r="K13026" t="str">
        <f>T("3602571576")</f>
        <v>3602571576</v>
      </c>
      <c r="L13026" t="str">
        <f>T("3602570375")</f>
        <v>3602570375</v>
      </c>
    </row>
    <row r="13027" spans="1:12" x14ac:dyDescent="0.35">
      <c r="A13027" t="str">
        <f t="shared" si="4788"/>
        <v>COMPATRECWING 10</v>
      </c>
      <c r="B13027" t="str">
        <f t="shared" si="4789"/>
        <v>3560 N CHARLES PORTER AVE</v>
      </c>
      <c r="C13027" t="str">
        <f t="shared" si="4790"/>
        <v/>
      </c>
      <c r="D13027" t="str">
        <f t="shared" si="4791"/>
        <v>OAK HARBOR</v>
      </c>
      <c r="E13027" t="str">
        <f t="shared" si="4792"/>
        <v>WA</v>
      </c>
      <c r="F13027" t="str">
        <f t="shared" si="4793"/>
        <v>982784908</v>
      </c>
      <c r="G13027" t="str">
        <f>T("COMPATRECONWING TEN")</f>
        <v>COMPATRECONWING TEN</v>
      </c>
      <c r="H13027" t="str">
        <f>T("3560 N CHARLES PORTER AVE")</f>
        <v>3560 N CHARLES PORTER AVE</v>
      </c>
      <c r="I13027" t="str">
        <f t="shared" si="4796"/>
        <v>OAK HARBOR</v>
      </c>
      <c r="J13027" t="str">
        <f t="shared" si="4797"/>
        <v>WA</v>
      </c>
      <c r="K13027" t="str">
        <f>T("3602571576")</f>
        <v>3602571576</v>
      </c>
      <c r="L13027" t="str">
        <f>T("3602578955")</f>
        <v>3602578955</v>
      </c>
    </row>
    <row r="13028" spans="1:12" x14ac:dyDescent="0.35">
      <c r="A13028" t="str">
        <f t="shared" ref="A13028:A13066" si="4798">T("STRATCOMWING 1")</f>
        <v>STRATCOMWING 1</v>
      </c>
      <c r="B13028" t="str">
        <f>T("201 LOOKING GLASS AVE")</f>
        <v>201 LOOKING GLASS AVE</v>
      </c>
      <c r="C13028" t="str">
        <f>T("BLDG 484 STE 133")</f>
        <v>BLDG 484 STE 133</v>
      </c>
      <c r="D13028" t="str">
        <f>T("OFFUTT AFB")</f>
        <v>OFFUTT AFB</v>
      </c>
      <c r="E13028" t="str">
        <f>T("NE")</f>
        <v>NE</v>
      </c>
      <c r="F13028" t="str">
        <f>T("681133124")</f>
        <v>681133124</v>
      </c>
      <c r="G13028" t="str">
        <f>T("201 LOOKING GLASS AVE")</f>
        <v>201 LOOKING GLASS AVE</v>
      </c>
      <c r="H13028" t="str">
        <f>T("BLDG 484 STE 133")</f>
        <v>BLDG 484 STE 133</v>
      </c>
      <c r="I13028" t="str">
        <f>T("OFFUTT AFB")</f>
        <v>OFFUTT AFB</v>
      </c>
      <c r="J13028" t="str">
        <f>T("NE")</f>
        <v>NE</v>
      </c>
      <c r="K13028" t="str">
        <f>T("4022327269")</f>
        <v>4022327269</v>
      </c>
      <c r="L13028" t="str">
        <f>T("4022327269")</f>
        <v>4022327269</v>
      </c>
    </row>
    <row r="13029" spans="1:12" x14ac:dyDescent="0.35">
      <c r="A13029" t="str">
        <f t="shared" si="4798"/>
        <v>STRATCOMWING 1</v>
      </c>
      <c r="B13029" t="str">
        <f>T("201 LOOKING GLASS AVE")</f>
        <v>201 LOOKING GLASS AVE</v>
      </c>
      <c r="C13029" t="str">
        <f>T("BLDG 484 STE 133")</f>
        <v>BLDG 484 STE 133</v>
      </c>
      <c r="D13029" t="str">
        <f>T("OFFUTT AFB")</f>
        <v>OFFUTT AFB</v>
      </c>
      <c r="E13029" t="str">
        <f>T("NE")</f>
        <v>NE</v>
      </c>
      <c r="F13029" t="str">
        <f>T("681133124")</f>
        <v>681133124</v>
      </c>
      <c r="G13029" t="str">
        <f>T("201 LOOKING GLASS AVE")</f>
        <v>201 LOOKING GLASS AVE</v>
      </c>
      <c r="H13029" t="str">
        <f>T("BLDG 484 STE 141")</f>
        <v>BLDG 484 STE 141</v>
      </c>
      <c r="I13029" t="str">
        <f>T("OFFUTT AFB")</f>
        <v>OFFUTT AFB</v>
      </c>
      <c r="J13029" t="str">
        <f>T("NE")</f>
        <v>NE</v>
      </c>
      <c r="K13029" t="str">
        <f>T("000000000000000000")</f>
        <v>000000000000000000</v>
      </c>
      <c r="L13029" t="str">
        <f>T("4022327269")</f>
        <v>4022327269</v>
      </c>
    </row>
    <row r="13030" spans="1:12" x14ac:dyDescent="0.35">
      <c r="A13030" t="str">
        <f t="shared" si="4798"/>
        <v>STRATCOMWING 1</v>
      </c>
      <c r="B13030" t="str">
        <f>T("201 LOOKING GLASS AVE")</f>
        <v>201 LOOKING GLASS AVE</v>
      </c>
      <c r="C13030" t="str">
        <f>T("BLDG 484 STE 133")</f>
        <v>BLDG 484 STE 133</v>
      </c>
      <c r="D13030" t="str">
        <f>T("OFFUTT AFB")</f>
        <v>OFFUTT AFB</v>
      </c>
      <c r="E13030" t="str">
        <f>T("NE")</f>
        <v>NE</v>
      </c>
      <c r="F13030" t="str">
        <f>T("681133124")</f>
        <v>681133124</v>
      </c>
      <c r="G13030" t="str">
        <f>T("201 LOOKING GLASS AVE")</f>
        <v>201 LOOKING GLASS AVE</v>
      </c>
      <c r="H13030" t="str">
        <f>T("BLDG 484 STE 141")</f>
        <v>BLDG 484 STE 141</v>
      </c>
      <c r="I13030" t="str">
        <f>T("OFFUTT AFB")</f>
        <v>OFFUTT AFB</v>
      </c>
      <c r="J13030" t="str">
        <f>T("NE")</f>
        <v>NE</v>
      </c>
      <c r="K13030" t="str">
        <f>T("000000000000000000")</f>
        <v>000000000000000000</v>
      </c>
      <c r="L13030" t="str">
        <f>T("4022948748")</f>
        <v>4022948748</v>
      </c>
    </row>
    <row r="13031" spans="1:12" x14ac:dyDescent="0.35">
      <c r="A13031" t="str">
        <f t="shared" si="4798"/>
        <v>STRATCOMWING 1</v>
      </c>
      <c r="B13031" t="str">
        <f>T("22296 BUCK RD")</f>
        <v>22296 BUCK RD</v>
      </c>
      <c r="C13031" t="str">
        <f>T("BLDG 2199")</f>
        <v>BLDG 2199</v>
      </c>
      <c r="D13031" t="str">
        <f>T("PATUXENT RVR")</f>
        <v>PATUXENT RVR</v>
      </c>
      <c r="E13031" t="str">
        <f>T("MD")</f>
        <v>MD</v>
      </c>
      <c r="F13031" t="str">
        <f>T("206701143")</f>
        <v>206701143</v>
      </c>
      <c r="G13031" t="str">
        <f>T("22296 BUCK RD")</f>
        <v>22296 BUCK RD</v>
      </c>
      <c r="H13031" t="str">
        <f>T("BLDG 2199")</f>
        <v>BLDG 2199</v>
      </c>
      <c r="I13031" t="str">
        <f>T("PATUXENT RIVER")</f>
        <v>PATUXENT RIVER</v>
      </c>
      <c r="J13031" t="str">
        <f>T("MD")</f>
        <v>MD</v>
      </c>
      <c r="K13031" t="str">
        <f>T("000000000000000000")</f>
        <v>000000000000000000</v>
      </c>
      <c r="L13031" t="str">
        <f>T("3013424580")</f>
        <v>3013424580</v>
      </c>
    </row>
    <row r="13032" spans="1:12" x14ac:dyDescent="0.35">
      <c r="A13032" t="str">
        <f t="shared" si="4798"/>
        <v>STRATCOMWING 1</v>
      </c>
      <c r="B13032" t="str">
        <f>T("22296 BUCK RD")</f>
        <v>22296 BUCK RD</v>
      </c>
      <c r="C13032" t="str">
        <f>T("BLDG 2199")</f>
        <v>BLDG 2199</v>
      </c>
      <c r="D13032" t="str">
        <f>T("PATUXENT RVR")</f>
        <v>PATUXENT RVR</v>
      </c>
      <c r="E13032" t="str">
        <f>T("MD")</f>
        <v>MD</v>
      </c>
      <c r="F13032" t="str">
        <f>T("206701143")</f>
        <v>206701143</v>
      </c>
      <c r="G13032" t="str">
        <f>T("22296 BUCK RD")</f>
        <v>22296 BUCK RD</v>
      </c>
      <c r="H13032" t="str">
        <f>T("BLDG 2199")</f>
        <v>BLDG 2199</v>
      </c>
      <c r="I13032" t="str">
        <f>T("PATUXENT RIVER")</f>
        <v>PATUXENT RIVER</v>
      </c>
      <c r="J13032" t="str">
        <f>T("MD")</f>
        <v>MD</v>
      </c>
      <c r="K13032" t="str">
        <f>T("000000000000000000")</f>
        <v>000000000000000000</v>
      </c>
      <c r="L13032" t="str">
        <f>T("3013424853")</f>
        <v>3013424853</v>
      </c>
    </row>
    <row r="13033" spans="1:12" x14ac:dyDescent="0.35">
      <c r="A13033" t="str">
        <f t="shared" si="4798"/>
        <v>STRATCOMWING 1</v>
      </c>
      <c r="B13033" t="str">
        <f>T("22296 BUCK RD")</f>
        <v>22296 BUCK RD</v>
      </c>
      <c r="C13033" t="str">
        <f>T("BLDG 2199")</f>
        <v>BLDG 2199</v>
      </c>
      <c r="D13033" t="str">
        <f>T("PATUXENT RVR")</f>
        <v>PATUXENT RVR</v>
      </c>
      <c r="E13033" t="str">
        <f>T("MD")</f>
        <v>MD</v>
      </c>
      <c r="F13033" t="str">
        <f>T("206701143")</f>
        <v>206701143</v>
      </c>
      <c r="G13033" t="str">
        <f>T("22296 BUCK RD")</f>
        <v>22296 BUCK RD</v>
      </c>
      <c r="H13033" t="str">
        <f>T("BLDG 2199")</f>
        <v>BLDG 2199</v>
      </c>
      <c r="I13033" t="str">
        <f>T("PATUXENT RVR")</f>
        <v>PATUXENT RVR</v>
      </c>
      <c r="J13033" t="str">
        <f>T("MD")</f>
        <v>MD</v>
      </c>
      <c r="K13033" t="str">
        <f>T("3013423343")</f>
        <v>3013423343</v>
      </c>
      <c r="L13033" t="str">
        <f>T("3013423343")</f>
        <v>3013423343</v>
      </c>
    </row>
    <row r="13034" spans="1:12" x14ac:dyDescent="0.35">
      <c r="A13034" t="str">
        <f t="shared" si="4798"/>
        <v>STRATCOMWING 1</v>
      </c>
      <c r="B13034" t="str">
        <f t="shared" ref="B13034:B13047" si="4799">T("7641 MERCURY RD")</f>
        <v>7641 MERCURY RD</v>
      </c>
      <c r="C13034" t="str">
        <f>T("")</f>
        <v/>
      </c>
      <c r="D13034" t="str">
        <f t="shared" ref="D13034:D13063" si="4800">T("TINKER AFB")</f>
        <v>TINKER AFB</v>
      </c>
      <c r="E13034" t="str">
        <f t="shared" ref="E13034:E13063" si="4801">T("OK")</f>
        <v>OK</v>
      </c>
      <c r="F13034" t="str">
        <f>T("731458707")</f>
        <v>731458707</v>
      </c>
      <c r="G13034" t="str">
        <f t="shared" ref="G13034:G13048" si="4802">T("7641 MERCURY RD")</f>
        <v>7641 MERCURY RD</v>
      </c>
      <c r="H13034" t="str">
        <f>T("")</f>
        <v/>
      </c>
      <c r="I13034" t="str">
        <f t="shared" ref="I13034:I13063" si="4803">T("TINKER AFB")</f>
        <v>TINKER AFB</v>
      </c>
      <c r="J13034" t="str">
        <f t="shared" ref="J13034:J13063" si="4804">T("OK")</f>
        <v>OK</v>
      </c>
      <c r="K13034" t="str">
        <f>T("")</f>
        <v/>
      </c>
      <c r="L13034" t="str">
        <f>T("4057395630")</f>
        <v>4057395630</v>
      </c>
    </row>
    <row r="13035" spans="1:12" x14ac:dyDescent="0.35">
      <c r="A13035" t="str">
        <f t="shared" si="4798"/>
        <v>STRATCOMWING 1</v>
      </c>
      <c r="B13035" t="str">
        <f t="shared" si="4799"/>
        <v>7641 MERCURY RD</v>
      </c>
      <c r="C13035" t="str">
        <f>T("")</f>
        <v/>
      </c>
      <c r="D13035" t="str">
        <f t="shared" si="4800"/>
        <v>TINKER AFB</v>
      </c>
      <c r="E13035" t="str">
        <f t="shared" si="4801"/>
        <v>OK</v>
      </c>
      <c r="F13035" t="str">
        <f>T("731458707")</f>
        <v>731458707</v>
      </c>
      <c r="G13035" t="str">
        <f t="shared" si="4802"/>
        <v>7641 MERCURY RD</v>
      </c>
      <c r="H13035" t="str">
        <f>T("")</f>
        <v/>
      </c>
      <c r="I13035" t="str">
        <f t="shared" si="4803"/>
        <v>TINKER AFB</v>
      </c>
      <c r="J13035" t="str">
        <f t="shared" si="4804"/>
        <v>OK</v>
      </c>
      <c r="K13035" t="str">
        <f>T("000000000000000000")</f>
        <v>000000000000000000</v>
      </c>
      <c r="L13035" t="str">
        <f>T("4057395823")</f>
        <v>4057395823</v>
      </c>
    </row>
    <row r="13036" spans="1:12" x14ac:dyDescent="0.35">
      <c r="A13036" t="str">
        <f t="shared" si="4798"/>
        <v>STRATCOMWING 1</v>
      </c>
      <c r="B13036" t="str">
        <f t="shared" si="4799"/>
        <v>7641 MERCURY RD</v>
      </c>
      <c r="C13036" t="str">
        <f>T("")</f>
        <v/>
      </c>
      <c r="D13036" t="str">
        <f t="shared" si="4800"/>
        <v>TINKER AFB</v>
      </c>
      <c r="E13036" t="str">
        <f t="shared" si="4801"/>
        <v>OK</v>
      </c>
      <c r="F13036" t="str">
        <f>T("731458707")</f>
        <v>731458707</v>
      </c>
      <c r="G13036" t="str">
        <f t="shared" si="4802"/>
        <v>7641 MERCURY RD</v>
      </c>
      <c r="H13036" t="str">
        <f>T("BLDG 825")</f>
        <v>BLDG 825</v>
      </c>
      <c r="I13036" t="str">
        <f t="shared" si="4803"/>
        <v>TINKER AFB</v>
      </c>
      <c r="J13036" t="str">
        <f t="shared" si="4804"/>
        <v>OK</v>
      </c>
      <c r="K13036" t="str">
        <f>T("000000000000000000")</f>
        <v>000000000000000000</v>
      </c>
      <c r="L13036" t="str">
        <f>T("4057392242")</f>
        <v>4057392242</v>
      </c>
    </row>
    <row r="13037" spans="1:12" x14ac:dyDescent="0.35">
      <c r="A13037" t="str">
        <f t="shared" si="4798"/>
        <v>STRATCOMWING 1</v>
      </c>
      <c r="B13037" t="str">
        <f t="shared" si="4799"/>
        <v>7641 MERCURY RD</v>
      </c>
      <c r="C13037" t="str">
        <f>T("BLDG 825")</f>
        <v>BLDG 825</v>
      </c>
      <c r="D13037" t="str">
        <f t="shared" si="4800"/>
        <v>TINKER AFB</v>
      </c>
      <c r="E13037" t="str">
        <f t="shared" si="4801"/>
        <v>OK</v>
      </c>
      <c r="F13037" t="str">
        <f>T("731458701")</f>
        <v>731458701</v>
      </c>
      <c r="G13037" t="str">
        <f t="shared" si="4802"/>
        <v>7641 MERCURY RD</v>
      </c>
      <c r="H13037" t="str">
        <f>T("BLDG 825")</f>
        <v>BLDG 825</v>
      </c>
      <c r="I13037" t="str">
        <f t="shared" si="4803"/>
        <v>TINKER AFB</v>
      </c>
      <c r="J13037" t="str">
        <f t="shared" si="4804"/>
        <v>OK</v>
      </c>
      <c r="K13037" t="str">
        <f>T("000000000000000000")</f>
        <v>000000000000000000</v>
      </c>
      <c r="L13037" t="str">
        <f>T("4057394861")</f>
        <v>4057394861</v>
      </c>
    </row>
    <row r="13038" spans="1:12" x14ac:dyDescent="0.35">
      <c r="A13038" t="str">
        <f t="shared" si="4798"/>
        <v>STRATCOMWING 1</v>
      </c>
      <c r="B13038" t="str">
        <f t="shared" si="4799"/>
        <v>7641 MERCURY RD</v>
      </c>
      <c r="C13038" t="str">
        <f>T("BLDG 825")</f>
        <v>BLDG 825</v>
      </c>
      <c r="D13038" t="str">
        <f t="shared" si="4800"/>
        <v>TINKER AFB</v>
      </c>
      <c r="E13038" t="str">
        <f t="shared" si="4801"/>
        <v>OK</v>
      </c>
      <c r="F13038" t="str">
        <f>T("731458701")</f>
        <v>731458701</v>
      </c>
      <c r="G13038" t="str">
        <f t="shared" si="4802"/>
        <v>7641 MERCURY RD</v>
      </c>
      <c r="H13038" t="str">
        <f>T("BLDG 825")</f>
        <v>BLDG 825</v>
      </c>
      <c r="I13038" t="str">
        <f t="shared" si="4803"/>
        <v>TINKER AFB</v>
      </c>
      <c r="J13038" t="str">
        <f t="shared" si="4804"/>
        <v>OK</v>
      </c>
      <c r="K13038" t="str">
        <f>T("4057395633")</f>
        <v>4057395633</v>
      </c>
      <c r="L13038" t="str">
        <f>T("4057395610")</f>
        <v>4057395610</v>
      </c>
    </row>
    <row r="13039" spans="1:12" x14ac:dyDescent="0.35">
      <c r="A13039" t="str">
        <f t="shared" si="4798"/>
        <v>STRATCOMWING 1</v>
      </c>
      <c r="B13039" t="str">
        <f t="shared" si="4799"/>
        <v>7641 MERCURY RD</v>
      </c>
      <c r="C13039" t="str">
        <f>T("BLDG 825")</f>
        <v>BLDG 825</v>
      </c>
      <c r="D13039" t="str">
        <f t="shared" si="4800"/>
        <v>TINKER AFB</v>
      </c>
      <c r="E13039" t="str">
        <f t="shared" si="4801"/>
        <v>OK</v>
      </c>
      <c r="F13039" t="str">
        <f>T("731458701")</f>
        <v>731458701</v>
      </c>
      <c r="G13039" t="str">
        <f t="shared" si="4802"/>
        <v>7641 MERCURY RD</v>
      </c>
      <c r="H13039" t="str">
        <f>T("BLDG 825")</f>
        <v>BLDG 825</v>
      </c>
      <c r="I13039" t="str">
        <f t="shared" si="4803"/>
        <v>TINKER AFB</v>
      </c>
      <c r="J13039" t="str">
        <f t="shared" si="4804"/>
        <v>OK</v>
      </c>
      <c r="K13039" t="str">
        <f>T("4057395633")</f>
        <v>4057395633</v>
      </c>
      <c r="L13039" t="str">
        <f>T("4057395640")</f>
        <v>4057395640</v>
      </c>
    </row>
    <row r="13040" spans="1:12" x14ac:dyDescent="0.35">
      <c r="A13040" t="str">
        <f t="shared" si="4798"/>
        <v>STRATCOMWING 1</v>
      </c>
      <c r="B13040" t="str">
        <f t="shared" si="4799"/>
        <v>7641 MERCURY RD</v>
      </c>
      <c r="C13040" t="str">
        <f>T("BLDG 825")</f>
        <v>BLDG 825</v>
      </c>
      <c r="D13040" t="str">
        <f t="shared" si="4800"/>
        <v>TINKER AFB</v>
      </c>
      <c r="E13040" t="str">
        <f t="shared" si="4801"/>
        <v>OK</v>
      </c>
      <c r="F13040" t="str">
        <f>T("731458701")</f>
        <v>731458701</v>
      </c>
      <c r="G13040" t="str">
        <f t="shared" si="4802"/>
        <v>7641 MERCURY RD</v>
      </c>
      <c r="H13040" t="str">
        <f>T("BLDG 825")</f>
        <v>BLDG 825</v>
      </c>
      <c r="I13040" t="str">
        <f t="shared" si="4803"/>
        <v>TINKER AFB</v>
      </c>
      <c r="J13040" t="str">
        <f t="shared" si="4804"/>
        <v>OK</v>
      </c>
      <c r="K13040" t="str">
        <f>T("4057395633")</f>
        <v>4057395633</v>
      </c>
      <c r="L13040" t="str">
        <f>T("4057399861")</f>
        <v>4057399861</v>
      </c>
    </row>
    <row r="13041" spans="1:12" x14ac:dyDescent="0.35">
      <c r="A13041" t="str">
        <f t="shared" si="4798"/>
        <v>STRATCOMWING 1</v>
      </c>
      <c r="B13041" t="str">
        <f t="shared" si="4799"/>
        <v>7641 MERCURY RD</v>
      </c>
      <c r="C13041" t="str">
        <f t="shared" ref="C13041:C13047" si="4805">T("TRAT 1")</f>
        <v>TRAT 1</v>
      </c>
      <c r="D13041" t="str">
        <f t="shared" si="4800"/>
        <v>TINKER AFB</v>
      </c>
      <c r="E13041" t="str">
        <f t="shared" si="4801"/>
        <v>OK</v>
      </c>
      <c r="F13041" t="str">
        <f t="shared" ref="F13041:F13049" si="4806">T("731458707")</f>
        <v>731458707</v>
      </c>
      <c r="G13041" t="str">
        <f t="shared" si="4802"/>
        <v>7641 MERCURY RD</v>
      </c>
      <c r="H13041" t="str">
        <f>T("")</f>
        <v/>
      </c>
      <c r="I13041" t="str">
        <f t="shared" si="4803"/>
        <v>TINKER AFB</v>
      </c>
      <c r="J13041" t="str">
        <f t="shared" si="4804"/>
        <v>OK</v>
      </c>
      <c r="K13041" t="str">
        <f t="shared" ref="K13041:K13046" si="4807">T("000000000000000000")</f>
        <v>000000000000000000</v>
      </c>
      <c r="L13041" t="str">
        <f>T("4057392150")</f>
        <v>4057392150</v>
      </c>
    </row>
    <row r="13042" spans="1:12" x14ac:dyDescent="0.35">
      <c r="A13042" t="str">
        <f t="shared" si="4798"/>
        <v>STRATCOMWING 1</v>
      </c>
      <c r="B13042" t="str">
        <f t="shared" si="4799"/>
        <v>7641 MERCURY RD</v>
      </c>
      <c r="C13042" t="str">
        <f t="shared" si="4805"/>
        <v>TRAT 1</v>
      </c>
      <c r="D13042" t="str">
        <f t="shared" si="4800"/>
        <v>TINKER AFB</v>
      </c>
      <c r="E13042" t="str">
        <f t="shared" si="4801"/>
        <v>OK</v>
      </c>
      <c r="F13042" t="str">
        <f t="shared" si="4806"/>
        <v>731458707</v>
      </c>
      <c r="G13042" t="str">
        <f t="shared" si="4802"/>
        <v>7641 MERCURY RD</v>
      </c>
      <c r="H13042" t="str">
        <f>T("")</f>
        <v/>
      </c>
      <c r="I13042" t="str">
        <f t="shared" si="4803"/>
        <v>TINKER AFB</v>
      </c>
      <c r="J13042" t="str">
        <f t="shared" si="4804"/>
        <v>OK</v>
      </c>
      <c r="K13042" t="str">
        <f t="shared" si="4807"/>
        <v>000000000000000000</v>
      </c>
      <c r="L13042" t="str">
        <f>T("4057392178")</f>
        <v>4057392178</v>
      </c>
    </row>
    <row r="13043" spans="1:12" x14ac:dyDescent="0.35">
      <c r="A13043" t="str">
        <f t="shared" si="4798"/>
        <v>STRATCOMWING 1</v>
      </c>
      <c r="B13043" t="str">
        <f t="shared" si="4799"/>
        <v>7641 MERCURY RD</v>
      </c>
      <c r="C13043" t="str">
        <f t="shared" si="4805"/>
        <v>TRAT 1</v>
      </c>
      <c r="D13043" t="str">
        <f t="shared" si="4800"/>
        <v>TINKER AFB</v>
      </c>
      <c r="E13043" t="str">
        <f t="shared" si="4801"/>
        <v>OK</v>
      </c>
      <c r="F13043" t="str">
        <f t="shared" si="4806"/>
        <v>731458707</v>
      </c>
      <c r="G13043" t="str">
        <f t="shared" si="4802"/>
        <v>7641 MERCURY RD</v>
      </c>
      <c r="H13043" t="str">
        <f>T("")</f>
        <v/>
      </c>
      <c r="I13043" t="str">
        <f t="shared" si="4803"/>
        <v>TINKER AFB</v>
      </c>
      <c r="J13043" t="str">
        <f t="shared" si="4804"/>
        <v>OK</v>
      </c>
      <c r="K13043" t="str">
        <f t="shared" si="4807"/>
        <v>000000000000000000</v>
      </c>
      <c r="L13043" t="str">
        <f>T("4057393296")</f>
        <v>4057393296</v>
      </c>
    </row>
    <row r="13044" spans="1:12" x14ac:dyDescent="0.35">
      <c r="A13044" t="str">
        <f t="shared" si="4798"/>
        <v>STRATCOMWING 1</v>
      </c>
      <c r="B13044" t="str">
        <f t="shared" si="4799"/>
        <v>7641 MERCURY RD</v>
      </c>
      <c r="C13044" t="str">
        <f t="shared" si="4805"/>
        <v>TRAT 1</v>
      </c>
      <c r="D13044" t="str">
        <f t="shared" si="4800"/>
        <v>TINKER AFB</v>
      </c>
      <c r="E13044" t="str">
        <f t="shared" si="4801"/>
        <v>OK</v>
      </c>
      <c r="F13044" t="str">
        <f t="shared" si="4806"/>
        <v>731458707</v>
      </c>
      <c r="G13044" t="str">
        <f t="shared" si="4802"/>
        <v>7641 MERCURY RD</v>
      </c>
      <c r="H13044" t="str">
        <f>T("")</f>
        <v/>
      </c>
      <c r="I13044" t="str">
        <f t="shared" si="4803"/>
        <v>TINKER AFB</v>
      </c>
      <c r="J13044" t="str">
        <f t="shared" si="4804"/>
        <v>OK</v>
      </c>
      <c r="K13044" t="str">
        <f t="shared" si="4807"/>
        <v>000000000000000000</v>
      </c>
      <c r="L13044" t="str">
        <f>T("4057394300")</f>
        <v>4057394300</v>
      </c>
    </row>
    <row r="13045" spans="1:12" x14ac:dyDescent="0.35">
      <c r="A13045" t="str">
        <f t="shared" si="4798"/>
        <v>STRATCOMWING 1</v>
      </c>
      <c r="B13045" t="str">
        <f t="shared" si="4799"/>
        <v>7641 MERCURY RD</v>
      </c>
      <c r="C13045" t="str">
        <f t="shared" si="4805"/>
        <v>TRAT 1</v>
      </c>
      <c r="D13045" t="str">
        <f t="shared" si="4800"/>
        <v>TINKER AFB</v>
      </c>
      <c r="E13045" t="str">
        <f t="shared" si="4801"/>
        <v>OK</v>
      </c>
      <c r="F13045" t="str">
        <f t="shared" si="4806"/>
        <v>731458707</v>
      </c>
      <c r="G13045" t="str">
        <f t="shared" si="4802"/>
        <v>7641 MERCURY RD</v>
      </c>
      <c r="H13045" t="str">
        <f>T("")</f>
        <v/>
      </c>
      <c r="I13045" t="str">
        <f t="shared" si="4803"/>
        <v>TINKER AFB</v>
      </c>
      <c r="J13045" t="str">
        <f t="shared" si="4804"/>
        <v>OK</v>
      </c>
      <c r="K13045" t="str">
        <f t="shared" si="4807"/>
        <v>000000000000000000</v>
      </c>
      <c r="L13045" t="str">
        <f>T("4057394571")</f>
        <v>4057394571</v>
      </c>
    </row>
    <row r="13046" spans="1:12" x14ac:dyDescent="0.35">
      <c r="A13046" t="str">
        <f t="shared" si="4798"/>
        <v>STRATCOMWING 1</v>
      </c>
      <c r="B13046" t="str">
        <f t="shared" si="4799"/>
        <v>7641 MERCURY RD</v>
      </c>
      <c r="C13046" t="str">
        <f t="shared" si="4805"/>
        <v>TRAT 1</v>
      </c>
      <c r="D13046" t="str">
        <f t="shared" si="4800"/>
        <v>TINKER AFB</v>
      </c>
      <c r="E13046" t="str">
        <f t="shared" si="4801"/>
        <v>OK</v>
      </c>
      <c r="F13046" t="str">
        <f t="shared" si="4806"/>
        <v>731458707</v>
      </c>
      <c r="G13046" t="str">
        <f t="shared" si="4802"/>
        <v>7641 MERCURY RD</v>
      </c>
      <c r="H13046" t="str">
        <f>T("BLDG 825")</f>
        <v>BLDG 825</v>
      </c>
      <c r="I13046" t="str">
        <f t="shared" si="4803"/>
        <v>TINKER AFB</v>
      </c>
      <c r="J13046" t="str">
        <f t="shared" si="4804"/>
        <v>OK</v>
      </c>
      <c r="K13046" t="str">
        <f t="shared" si="4807"/>
        <v>000000000000000000</v>
      </c>
      <c r="L13046" t="str">
        <f>T("4057394558")</f>
        <v>4057394558</v>
      </c>
    </row>
    <row r="13047" spans="1:12" x14ac:dyDescent="0.35">
      <c r="A13047" t="str">
        <f t="shared" si="4798"/>
        <v>STRATCOMWING 1</v>
      </c>
      <c r="B13047" t="str">
        <f t="shared" si="4799"/>
        <v>7641 MERCURY RD</v>
      </c>
      <c r="C13047" t="str">
        <f t="shared" si="4805"/>
        <v>TRAT 1</v>
      </c>
      <c r="D13047" t="str">
        <f t="shared" si="4800"/>
        <v>TINKER AFB</v>
      </c>
      <c r="E13047" t="str">
        <f t="shared" si="4801"/>
        <v>OK</v>
      </c>
      <c r="F13047" t="str">
        <f t="shared" si="4806"/>
        <v>731458707</v>
      </c>
      <c r="G13047" t="str">
        <f t="shared" si="4802"/>
        <v>7641 MERCURY RD</v>
      </c>
      <c r="H13047" t="str">
        <f>T("TRAT 1")</f>
        <v>TRAT 1</v>
      </c>
      <c r="I13047" t="str">
        <f t="shared" si="4803"/>
        <v>TINKER AFB</v>
      </c>
      <c r="J13047" t="str">
        <f t="shared" si="4804"/>
        <v>OK</v>
      </c>
      <c r="K13047" t="str">
        <f>T("4057392178")</f>
        <v>4057392178</v>
      </c>
      <c r="L13047" t="str">
        <f>T("4057392178")</f>
        <v>4057392178</v>
      </c>
    </row>
    <row r="13048" spans="1:12" x14ac:dyDescent="0.35">
      <c r="A13048" t="str">
        <f t="shared" si="4798"/>
        <v>STRATCOMWING 1</v>
      </c>
      <c r="B13048" t="str">
        <f>T("7641 MERCURY RD BLDG 830")</f>
        <v>7641 MERCURY RD BLDG 830</v>
      </c>
      <c r="C13048" t="str">
        <f>T("VQ-7")</f>
        <v>VQ-7</v>
      </c>
      <c r="D13048" t="str">
        <f t="shared" si="4800"/>
        <v>TINKER AFB</v>
      </c>
      <c r="E13048" t="str">
        <f t="shared" si="4801"/>
        <v>OK</v>
      </c>
      <c r="F13048" t="str">
        <f t="shared" si="4806"/>
        <v>731458707</v>
      </c>
      <c r="G13048" t="str">
        <f t="shared" si="4802"/>
        <v>7641 MERCURY RD</v>
      </c>
      <c r="H13048" t="str">
        <f>T("BLDG 830")</f>
        <v>BLDG 830</v>
      </c>
      <c r="I13048" t="str">
        <f t="shared" si="4803"/>
        <v>TINKER AFB</v>
      </c>
      <c r="J13048" t="str">
        <f t="shared" si="4804"/>
        <v>OK</v>
      </c>
      <c r="K13048" t="str">
        <f>T("000000000000000000")</f>
        <v>000000000000000000</v>
      </c>
      <c r="L13048" t="str">
        <f>T("4057395977")</f>
        <v>4057395977</v>
      </c>
    </row>
    <row r="13049" spans="1:12" x14ac:dyDescent="0.35">
      <c r="A13049" t="str">
        <f t="shared" si="4798"/>
        <v>STRATCOMWING 1</v>
      </c>
      <c r="B13049" t="str">
        <f>T("7641 MERCURY RD BLDG 830")</f>
        <v>7641 MERCURY RD BLDG 830</v>
      </c>
      <c r="C13049" t="str">
        <f>T("VQ-7")</f>
        <v>VQ-7</v>
      </c>
      <c r="D13049" t="str">
        <f t="shared" si="4800"/>
        <v>TINKER AFB</v>
      </c>
      <c r="E13049" t="str">
        <f t="shared" si="4801"/>
        <v>OK</v>
      </c>
      <c r="F13049" t="str">
        <f t="shared" si="4806"/>
        <v>731458707</v>
      </c>
      <c r="G13049" t="str">
        <f>T("7641 MERCURY RD BLDG 830")</f>
        <v>7641 MERCURY RD BLDG 830</v>
      </c>
      <c r="H13049" t="str">
        <f>T("VQ-7")</f>
        <v>VQ-7</v>
      </c>
      <c r="I13049" t="str">
        <f t="shared" si="4803"/>
        <v>TINKER AFB</v>
      </c>
      <c r="J13049" t="str">
        <f t="shared" si="4804"/>
        <v>OK</v>
      </c>
      <c r="K13049" t="str">
        <f>T("4057395633")</f>
        <v>4057395633</v>
      </c>
      <c r="L13049" t="str">
        <f>T("4057395977")</f>
        <v>4057395977</v>
      </c>
    </row>
    <row r="13050" spans="1:12" x14ac:dyDescent="0.35">
      <c r="A13050" t="str">
        <f t="shared" si="4798"/>
        <v>STRATCOMWING 1</v>
      </c>
      <c r="B13050" t="str">
        <f t="shared" ref="B13050:B13061" si="4808">T("7791 MERCURY RD")</f>
        <v>7791 MERCURY RD</v>
      </c>
      <c r="C13050" t="str">
        <f t="shared" ref="C13050:C13063" si="4809">T("BLDG 820")</f>
        <v>BLDG 820</v>
      </c>
      <c r="D13050" t="str">
        <f t="shared" si="4800"/>
        <v>TINKER AFB</v>
      </c>
      <c r="E13050" t="str">
        <f t="shared" si="4801"/>
        <v>OK</v>
      </c>
      <c r="F13050" t="str">
        <f t="shared" ref="F13050:F13063" si="4810">T("731458712")</f>
        <v>731458712</v>
      </c>
      <c r="G13050" t="str">
        <f>T("7641 MERCURY RD")</f>
        <v>7641 MERCURY RD</v>
      </c>
      <c r="H13050" t="str">
        <f>T("BLDG 825")</f>
        <v>BLDG 825</v>
      </c>
      <c r="I13050" t="str">
        <f t="shared" si="4803"/>
        <v>TINKER AFB</v>
      </c>
      <c r="J13050" t="str">
        <f t="shared" si="4804"/>
        <v>OK</v>
      </c>
      <c r="K13050" t="str">
        <f t="shared" ref="K13050:K13058" si="4811">T("000000000000000000")</f>
        <v>000000000000000000</v>
      </c>
      <c r="L13050" t="str">
        <f>T("4057394530")</f>
        <v>4057394530</v>
      </c>
    </row>
    <row r="13051" spans="1:12" x14ac:dyDescent="0.35">
      <c r="A13051" t="str">
        <f t="shared" si="4798"/>
        <v>STRATCOMWING 1</v>
      </c>
      <c r="B13051" t="str">
        <f t="shared" si="4808"/>
        <v>7791 MERCURY RD</v>
      </c>
      <c r="C13051" t="str">
        <f t="shared" si="4809"/>
        <v>BLDG 820</v>
      </c>
      <c r="D13051" t="str">
        <f t="shared" si="4800"/>
        <v>TINKER AFB</v>
      </c>
      <c r="E13051" t="str">
        <f t="shared" si="4801"/>
        <v>OK</v>
      </c>
      <c r="F13051" t="str">
        <f t="shared" si="4810"/>
        <v>731458712</v>
      </c>
      <c r="G13051" t="str">
        <f>T("7790 MERCURY RD")</f>
        <v>7790 MERCURY RD</v>
      </c>
      <c r="H13051" t="str">
        <f t="shared" ref="H13051:H13063" si="4812">T("BLDG 820")</f>
        <v>BLDG 820</v>
      </c>
      <c r="I13051" t="str">
        <f t="shared" si="4803"/>
        <v>TINKER AFB</v>
      </c>
      <c r="J13051" t="str">
        <f t="shared" si="4804"/>
        <v>OK</v>
      </c>
      <c r="K13051" t="str">
        <f t="shared" si="4811"/>
        <v>000000000000000000</v>
      </c>
      <c r="L13051" t="str">
        <f>T("4057393485")</f>
        <v>4057393485</v>
      </c>
    </row>
    <row r="13052" spans="1:12" x14ac:dyDescent="0.35">
      <c r="A13052" t="str">
        <f t="shared" si="4798"/>
        <v>STRATCOMWING 1</v>
      </c>
      <c r="B13052" t="str">
        <f t="shared" si="4808"/>
        <v>7791 MERCURY RD</v>
      </c>
      <c r="C13052" t="str">
        <f t="shared" si="4809"/>
        <v>BLDG 820</v>
      </c>
      <c r="D13052" t="str">
        <f t="shared" si="4800"/>
        <v>TINKER AFB</v>
      </c>
      <c r="E13052" t="str">
        <f t="shared" si="4801"/>
        <v>OK</v>
      </c>
      <c r="F13052" t="str">
        <f t="shared" si="4810"/>
        <v>731458712</v>
      </c>
      <c r="G13052" t="str">
        <f t="shared" ref="G13052:G13062" si="4813">T("7791 MERCURY RD")</f>
        <v>7791 MERCURY RD</v>
      </c>
      <c r="H13052" t="str">
        <f t="shared" si="4812"/>
        <v>BLDG 820</v>
      </c>
      <c r="I13052" t="str">
        <f t="shared" si="4803"/>
        <v>TINKER AFB</v>
      </c>
      <c r="J13052" t="str">
        <f t="shared" si="4804"/>
        <v>OK</v>
      </c>
      <c r="K13052" t="str">
        <f t="shared" si="4811"/>
        <v>000000000000000000</v>
      </c>
      <c r="L13052" t="str">
        <f>T("4037393294")</f>
        <v>4037393294</v>
      </c>
    </row>
    <row r="13053" spans="1:12" x14ac:dyDescent="0.35">
      <c r="A13053" t="str">
        <f t="shared" si="4798"/>
        <v>STRATCOMWING 1</v>
      </c>
      <c r="B13053" t="str">
        <f t="shared" si="4808"/>
        <v>7791 MERCURY RD</v>
      </c>
      <c r="C13053" t="str">
        <f t="shared" si="4809"/>
        <v>BLDG 820</v>
      </c>
      <c r="D13053" t="str">
        <f t="shared" si="4800"/>
        <v>TINKER AFB</v>
      </c>
      <c r="E13053" t="str">
        <f t="shared" si="4801"/>
        <v>OK</v>
      </c>
      <c r="F13053" t="str">
        <f t="shared" si="4810"/>
        <v>731458712</v>
      </c>
      <c r="G13053" t="str">
        <f t="shared" si="4813"/>
        <v>7791 MERCURY RD</v>
      </c>
      <c r="H13053" t="str">
        <f t="shared" si="4812"/>
        <v>BLDG 820</v>
      </c>
      <c r="I13053" t="str">
        <f t="shared" si="4803"/>
        <v>TINKER AFB</v>
      </c>
      <c r="J13053" t="str">
        <f t="shared" si="4804"/>
        <v>OK</v>
      </c>
      <c r="K13053" t="str">
        <f t="shared" si="4811"/>
        <v>000000000000000000</v>
      </c>
      <c r="L13053" t="str">
        <f>T("4057393294")</f>
        <v>4057393294</v>
      </c>
    </row>
    <row r="13054" spans="1:12" x14ac:dyDescent="0.35">
      <c r="A13054" t="str">
        <f t="shared" si="4798"/>
        <v>STRATCOMWING 1</v>
      </c>
      <c r="B13054" t="str">
        <f t="shared" si="4808"/>
        <v>7791 MERCURY RD</v>
      </c>
      <c r="C13054" t="str">
        <f t="shared" si="4809"/>
        <v>BLDG 820</v>
      </c>
      <c r="D13054" t="str">
        <f t="shared" si="4800"/>
        <v>TINKER AFB</v>
      </c>
      <c r="E13054" t="str">
        <f t="shared" si="4801"/>
        <v>OK</v>
      </c>
      <c r="F13054" t="str">
        <f t="shared" si="4810"/>
        <v>731458712</v>
      </c>
      <c r="G13054" t="str">
        <f t="shared" si="4813"/>
        <v>7791 MERCURY RD</v>
      </c>
      <c r="H13054" t="str">
        <f t="shared" si="4812"/>
        <v>BLDG 820</v>
      </c>
      <c r="I13054" t="str">
        <f t="shared" si="4803"/>
        <v>TINKER AFB</v>
      </c>
      <c r="J13054" t="str">
        <f t="shared" si="4804"/>
        <v>OK</v>
      </c>
      <c r="K13054" t="str">
        <f t="shared" si="4811"/>
        <v>000000000000000000</v>
      </c>
      <c r="L13054" t="str">
        <f>T("4057393296")</f>
        <v>4057393296</v>
      </c>
    </row>
    <row r="13055" spans="1:12" x14ac:dyDescent="0.35">
      <c r="A13055" t="str">
        <f t="shared" si="4798"/>
        <v>STRATCOMWING 1</v>
      </c>
      <c r="B13055" t="str">
        <f t="shared" si="4808"/>
        <v>7791 MERCURY RD</v>
      </c>
      <c r="C13055" t="str">
        <f t="shared" si="4809"/>
        <v>BLDG 820</v>
      </c>
      <c r="D13055" t="str">
        <f t="shared" si="4800"/>
        <v>TINKER AFB</v>
      </c>
      <c r="E13055" t="str">
        <f t="shared" si="4801"/>
        <v>OK</v>
      </c>
      <c r="F13055" t="str">
        <f t="shared" si="4810"/>
        <v>731458712</v>
      </c>
      <c r="G13055" t="str">
        <f t="shared" si="4813"/>
        <v>7791 MERCURY RD</v>
      </c>
      <c r="H13055" t="str">
        <f t="shared" si="4812"/>
        <v>BLDG 820</v>
      </c>
      <c r="I13055" t="str">
        <f t="shared" si="4803"/>
        <v>TINKER AFB</v>
      </c>
      <c r="J13055" t="str">
        <f t="shared" si="4804"/>
        <v>OK</v>
      </c>
      <c r="K13055" t="str">
        <f t="shared" si="4811"/>
        <v>000000000000000000</v>
      </c>
      <c r="L13055" t="str">
        <f>T("4057393485")</f>
        <v>4057393485</v>
      </c>
    </row>
    <row r="13056" spans="1:12" x14ac:dyDescent="0.35">
      <c r="A13056" t="str">
        <f t="shared" si="4798"/>
        <v>STRATCOMWING 1</v>
      </c>
      <c r="B13056" t="str">
        <f t="shared" si="4808"/>
        <v>7791 MERCURY RD</v>
      </c>
      <c r="C13056" t="str">
        <f t="shared" si="4809"/>
        <v>BLDG 820</v>
      </c>
      <c r="D13056" t="str">
        <f t="shared" si="4800"/>
        <v>TINKER AFB</v>
      </c>
      <c r="E13056" t="str">
        <f t="shared" si="4801"/>
        <v>OK</v>
      </c>
      <c r="F13056" t="str">
        <f t="shared" si="4810"/>
        <v>731458712</v>
      </c>
      <c r="G13056" t="str">
        <f t="shared" si="4813"/>
        <v>7791 MERCURY RD</v>
      </c>
      <c r="H13056" t="str">
        <f t="shared" si="4812"/>
        <v>BLDG 820</v>
      </c>
      <c r="I13056" t="str">
        <f t="shared" si="4803"/>
        <v>TINKER AFB</v>
      </c>
      <c r="J13056" t="str">
        <f t="shared" si="4804"/>
        <v>OK</v>
      </c>
      <c r="K13056" t="str">
        <f t="shared" si="4811"/>
        <v>000000000000000000</v>
      </c>
      <c r="L13056" t="str">
        <f>T("4057394530")</f>
        <v>4057394530</v>
      </c>
    </row>
    <row r="13057" spans="1:12" x14ac:dyDescent="0.35">
      <c r="A13057" t="str">
        <f t="shared" si="4798"/>
        <v>STRATCOMWING 1</v>
      </c>
      <c r="B13057" t="str">
        <f t="shared" si="4808"/>
        <v>7791 MERCURY RD</v>
      </c>
      <c r="C13057" t="str">
        <f t="shared" si="4809"/>
        <v>BLDG 820</v>
      </c>
      <c r="D13057" t="str">
        <f t="shared" si="4800"/>
        <v>TINKER AFB</v>
      </c>
      <c r="E13057" t="str">
        <f t="shared" si="4801"/>
        <v>OK</v>
      </c>
      <c r="F13057" t="str">
        <f t="shared" si="4810"/>
        <v>731458712</v>
      </c>
      <c r="G13057" t="str">
        <f t="shared" si="4813"/>
        <v>7791 MERCURY RD</v>
      </c>
      <c r="H13057" t="str">
        <f t="shared" si="4812"/>
        <v>BLDG 820</v>
      </c>
      <c r="I13057" t="str">
        <f t="shared" si="4803"/>
        <v>TINKER AFB</v>
      </c>
      <c r="J13057" t="str">
        <f t="shared" si="4804"/>
        <v>OK</v>
      </c>
      <c r="K13057" t="str">
        <f t="shared" si="4811"/>
        <v>000000000000000000</v>
      </c>
      <c r="L13057" t="str">
        <f>T("4057394558")</f>
        <v>4057394558</v>
      </c>
    </row>
    <row r="13058" spans="1:12" x14ac:dyDescent="0.35">
      <c r="A13058" t="str">
        <f t="shared" si="4798"/>
        <v>STRATCOMWING 1</v>
      </c>
      <c r="B13058" t="str">
        <f t="shared" si="4808"/>
        <v>7791 MERCURY RD</v>
      </c>
      <c r="C13058" t="str">
        <f t="shared" si="4809"/>
        <v>BLDG 820</v>
      </c>
      <c r="D13058" t="str">
        <f t="shared" si="4800"/>
        <v>TINKER AFB</v>
      </c>
      <c r="E13058" t="str">
        <f t="shared" si="4801"/>
        <v>OK</v>
      </c>
      <c r="F13058" t="str">
        <f t="shared" si="4810"/>
        <v>731458712</v>
      </c>
      <c r="G13058" t="str">
        <f t="shared" si="4813"/>
        <v>7791 MERCURY RD</v>
      </c>
      <c r="H13058" t="str">
        <f t="shared" si="4812"/>
        <v>BLDG 820</v>
      </c>
      <c r="I13058" t="str">
        <f t="shared" si="4803"/>
        <v>TINKER AFB</v>
      </c>
      <c r="J13058" t="str">
        <f t="shared" si="4804"/>
        <v>OK</v>
      </c>
      <c r="K13058" t="str">
        <f t="shared" si="4811"/>
        <v>000000000000000000</v>
      </c>
      <c r="L13058" t="str">
        <f>T("4057394571")</f>
        <v>4057394571</v>
      </c>
    </row>
    <row r="13059" spans="1:12" x14ac:dyDescent="0.35">
      <c r="A13059" t="str">
        <f t="shared" si="4798"/>
        <v>STRATCOMWING 1</v>
      </c>
      <c r="B13059" t="str">
        <f t="shared" si="4808"/>
        <v>7791 MERCURY RD</v>
      </c>
      <c r="C13059" t="str">
        <f t="shared" si="4809"/>
        <v>BLDG 820</v>
      </c>
      <c r="D13059" t="str">
        <f t="shared" si="4800"/>
        <v>TINKER AFB</v>
      </c>
      <c r="E13059" t="str">
        <f t="shared" si="4801"/>
        <v>OK</v>
      </c>
      <c r="F13059" t="str">
        <f t="shared" si="4810"/>
        <v>731458712</v>
      </c>
      <c r="G13059" t="str">
        <f t="shared" si="4813"/>
        <v>7791 MERCURY RD</v>
      </c>
      <c r="H13059" t="str">
        <f t="shared" si="4812"/>
        <v>BLDG 820</v>
      </c>
      <c r="I13059" t="str">
        <f t="shared" si="4803"/>
        <v>TINKER AFB</v>
      </c>
      <c r="J13059" t="str">
        <f t="shared" si="4804"/>
        <v>OK</v>
      </c>
      <c r="K13059" t="str">
        <f>T("4057395633")</f>
        <v>4057395633</v>
      </c>
      <c r="L13059" t="str">
        <f>T("4057394562")</f>
        <v>4057394562</v>
      </c>
    </row>
    <row r="13060" spans="1:12" x14ac:dyDescent="0.35">
      <c r="A13060" t="str">
        <f t="shared" si="4798"/>
        <v>STRATCOMWING 1</v>
      </c>
      <c r="B13060" t="str">
        <f t="shared" si="4808"/>
        <v>7791 MERCURY RD</v>
      </c>
      <c r="C13060" t="str">
        <f t="shared" si="4809"/>
        <v>BLDG 820</v>
      </c>
      <c r="D13060" t="str">
        <f t="shared" si="4800"/>
        <v>TINKER AFB</v>
      </c>
      <c r="E13060" t="str">
        <f t="shared" si="4801"/>
        <v>OK</v>
      </c>
      <c r="F13060" t="str">
        <f t="shared" si="4810"/>
        <v>731458712</v>
      </c>
      <c r="G13060" t="str">
        <f t="shared" si="4813"/>
        <v>7791 MERCURY RD</v>
      </c>
      <c r="H13060" t="str">
        <f t="shared" si="4812"/>
        <v>BLDG 820</v>
      </c>
      <c r="I13060" t="str">
        <f t="shared" si="4803"/>
        <v>TINKER AFB</v>
      </c>
      <c r="J13060" t="str">
        <f t="shared" si="4804"/>
        <v>OK</v>
      </c>
      <c r="K13060" t="str">
        <f>T("4067395633")</f>
        <v>4067395633</v>
      </c>
      <c r="L13060" t="str">
        <f>T("4057393296")</f>
        <v>4057393296</v>
      </c>
    </row>
    <row r="13061" spans="1:12" x14ac:dyDescent="0.35">
      <c r="A13061" t="str">
        <f t="shared" si="4798"/>
        <v>STRATCOMWING 1</v>
      </c>
      <c r="B13061" t="str">
        <f t="shared" si="4808"/>
        <v>7791 MERCURY RD</v>
      </c>
      <c r="C13061" t="str">
        <f t="shared" si="4809"/>
        <v>BLDG 820</v>
      </c>
      <c r="D13061" t="str">
        <f t="shared" si="4800"/>
        <v>TINKER AFB</v>
      </c>
      <c r="E13061" t="str">
        <f t="shared" si="4801"/>
        <v>OK</v>
      </c>
      <c r="F13061" t="str">
        <f t="shared" si="4810"/>
        <v>731458712</v>
      </c>
      <c r="G13061" t="str">
        <f t="shared" si="4813"/>
        <v>7791 MERCURY RD</v>
      </c>
      <c r="H13061" t="str">
        <f t="shared" si="4812"/>
        <v>BLDG 820</v>
      </c>
      <c r="I13061" t="str">
        <f t="shared" si="4803"/>
        <v>TINKER AFB</v>
      </c>
      <c r="J13061" t="str">
        <f t="shared" si="4804"/>
        <v>OK</v>
      </c>
      <c r="K13061" t="str">
        <f>T("4067395633")</f>
        <v>4067395633</v>
      </c>
      <c r="L13061" t="str">
        <f>T("4057393485")</f>
        <v>4057393485</v>
      </c>
    </row>
    <row r="13062" spans="1:12" x14ac:dyDescent="0.35">
      <c r="A13062" t="str">
        <f t="shared" si="4798"/>
        <v>STRATCOMWING 1</v>
      </c>
      <c r="B13062" t="str">
        <f>T("7791 MERCURY ROAD")</f>
        <v>7791 MERCURY ROAD</v>
      </c>
      <c r="C13062" t="str">
        <f t="shared" si="4809"/>
        <v>BLDG 820</v>
      </c>
      <c r="D13062" t="str">
        <f t="shared" si="4800"/>
        <v>TINKER AFB</v>
      </c>
      <c r="E13062" t="str">
        <f t="shared" si="4801"/>
        <v>OK</v>
      </c>
      <c r="F13062" t="str">
        <f t="shared" si="4810"/>
        <v>731458712</v>
      </c>
      <c r="G13062" t="str">
        <f t="shared" si="4813"/>
        <v>7791 MERCURY RD</v>
      </c>
      <c r="H13062" t="str">
        <f t="shared" si="4812"/>
        <v>BLDG 820</v>
      </c>
      <c r="I13062" t="str">
        <f t="shared" si="4803"/>
        <v>TINKER AFB</v>
      </c>
      <c r="J13062" t="str">
        <f t="shared" si="4804"/>
        <v>OK</v>
      </c>
      <c r="K13062" t="str">
        <f>T("000000000000000000")</f>
        <v>000000000000000000</v>
      </c>
      <c r="L13062" t="str">
        <f>T("4057394530")</f>
        <v>4057394530</v>
      </c>
    </row>
    <row r="13063" spans="1:12" x14ac:dyDescent="0.35">
      <c r="A13063" t="str">
        <f t="shared" si="4798"/>
        <v>STRATCOMWING 1</v>
      </c>
      <c r="B13063" t="str">
        <f>T("7791 MERCURY ROAD")</f>
        <v>7791 MERCURY ROAD</v>
      </c>
      <c r="C13063" t="str">
        <f t="shared" si="4809"/>
        <v>BLDG 820</v>
      </c>
      <c r="D13063" t="str">
        <f t="shared" si="4800"/>
        <v>TINKER AFB</v>
      </c>
      <c r="E13063" t="str">
        <f t="shared" si="4801"/>
        <v>OK</v>
      </c>
      <c r="F13063" t="str">
        <f t="shared" si="4810"/>
        <v>731458712</v>
      </c>
      <c r="G13063" t="str">
        <f>T("7791 MERCURY ROAD")</f>
        <v>7791 MERCURY ROAD</v>
      </c>
      <c r="H13063" t="str">
        <f t="shared" si="4812"/>
        <v>BLDG 820</v>
      </c>
      <c r="I13063" t="str">
        <f t="shared" si="4803"/>
        <v>TINKER AFB</v>
      </c>
      <c r="J13063" t="str">
        <f t="shared" si="4804"/>
        <v>OK</v>
      </c>
      <c r="K13063" t="str">
        <f>T("4057395633")</f>
        <v>4057395633</v>
      </c>
      <c r="L13063" t="str">
        <f>T("4057394562")</f>
        <v>4057394562</v>
      </c>
    </row>
    <row r="13064" spans="1:12" x14ac:dyDescent="0.35">
      <c r="A13064" t="str">
        <f t="shared" si="4798"/>
        <v>STRATCOMWING 1</v>
      </c>
      <c r="B13064" t="str">
        <f>T("VQ-3 TRAVIS DET")</f>
        <v>VQ-3 TRAVIS DET</v>
      </c>
      <c r="C13064" t="str">
        <f>T("740 INNER PERIMETER RD")</f>
        <v>740 INNER PERIMETER RD</v>
      </c>
      <c r="D13064" t="str">
        <f>T("TRAVIS AFB")</f>
        <v>TRAVIS AFB</v>
      </c>
      <c r="E13064" t="str">
        <f>T("CA")</f>
        <v>CA</v>
      </c>
      <c r="F13064" t="str">
        <f>T("945352942")</f>
        <v>945352942</v>
      </c>
      <c r="G13064" t="str">
        <f>T("740 INNER PEREMETER RD")</f>
        <v>740 INNER PEREMETER RD</v>
      </c>
      <c r="H13064" t="str">
        <f>T("")</f>
        <v/>
      </c>
      <c r="I13064" t="str">
        <f>T("TRAVIS AFB")</f>
        <v>TRAVIS AFB</v>
      </c>
      <c r="J13064" t="str">
        <f>T("CA")</f>
        <v>CA</v>
      </c>
      <c r="K13064" t="str">
        <f>T("000000000000000000")</f>
        <v>000000000000000000</v>
      </c>
      <c r="L13064" t="str">
        <f>T("7078163601")</f>
        <v>7078163601</v>
      </c>
    </row>
    <row r="13065" spans="1:12" x14ac:dyDescent="0.35">
      <c r="A13065" t="str">
        <f t="shared" si="4798"/>
        <v>STRATCOMWING 1</v>
      </c>
      <c r="B13065" t="str">
        <f>T("VQ-3 TRAVIS DET")</f>
        <v>VQ-3 TRAVIS DET</v>
      </c>
      <c r="C13065" t="str">
        <f>T("740 INNER PERIMETER RD")</f>
        <v>740 INNER PERIMETER RD</v>
      </c>
      <c r="D13065" t="str">
        <f>T("TRAVIS AFB")</f>
        <v>TRAVIS AFB</v>
      </c>
      <c r="E13065" t="str">
        <f>T("CA")</f>
        <v>CA</v>
      </c>
      <c r="F13065" t="str">
        <f>T("945352942")</f>
        <v>945352942</v>
      </c>
      <c r="G13065" t="str">
        <f>T("FAIRECONRON THREE DET TRAVIS")</f>
        <v>FAIRECONRON THREE DET TRAVIS</v>
      </c>
      <c r="H13065" t="str">
        <f>T("740 INNER PEREMETER RD")</f>
        <v>740 INNER PEREMETER RD</v>
      </c>
      <c r="I13065" t="str">
        <f>T("TRAVIS AFB")</f>
        <v>TRAVIS AFB</v>
      </c>
      <c r="J13065" t="str">
        <f>T("CA")</f>
        <v>CA</v>
      </c>
      <c r="K13065" t="str">
        <f>T("000000000000000000")</f>
        <v>000000000000000000</v>
      </c>
      <c r="L13065" t="str">
        <f>T("7078163655")</f>
        <v>7078163655</v>
      </c>
    </row>
    <row r="13066" spans="1:12" x14ac:dyDescent="0.35">
      <c r="A13066" t="str">
        <f t="shared" si="4798"/>
        <v>STRATCOMWING 1</v>
      </c>
      <c r="B13066" t="str">
        <f>T("VQ-3 TRAVIS DET")</f>
        <v>VQ-3 TRAVIS DET</v>
      </c>
      <c r="C13066" t="str">
        <f>T("740 INNER PERIMETER RD")</f>
        <v>740 INNER PERIMETER RD</v>
      </c>
      <c r="D13066" t="str">
        <f>T("TRAVIS AFB")</f>
        <v>TRAVIS AFB</v>
      </c>
      <c r="E13066" t="str">
        <f>T("CA")</f>
        <v>CA</v>
      </c>
      <c r="F13066" t="str">
        <f>T("945352942")</f>
        <v>945352942</v>
      </c>
      <c r="G13066" t="str">
        <f>T("VQ-3 TRAVIS DET")</f>
        <v>VQ-3 TRAVIS DET</v>
      </c>
      <c r="H13066" t="str">
        <f>T("740 INNER PERIMETER RD")</f>
        <v>740 INNER PERIMETER RD</v>
      </c>
      <c r="I13066" t="str">
        <f>T("TRAVIS AFB")</f>
        <v>TRAVIS AFB</v>
      </c>
      <c r="J13066" t="str">
        <f>T("CA")</f>
        <v>CA</v>
      </c>
      <c r="K13066" t="str">
        <f>T("7074243704")</f>
        <v>7074243704</v>
      </c>
      <c r="L13066" t="str">
        <f>T("7074243704")</f>
        <v>7074243704</v>
      </c>
    </row>
    <row r="13067" spans="1:12" x14ac:dyDescent="0.35">
      <c r="A13067" t="str">
        <f>T("HSM-51")</f>
        <v>HSM-51</v>
      </c>
      <c r="B13067" t="str">
        <f>T("HSM 51 UNIT 200227 BOX 1")</f>
        <v>HSM 51 UNIT 200227 BOX 1</v>
      </c>
      <c r="C13067" t="str">
        <f t="shared" ref="C13067:C13080" si="4814">T("")</f>
        <v/>
      </c>
      <c r="D13067" t="str">
        <f>T("FPO")</f>
        <v>FPO</v>
      </c>
      <c r="E13067" t="str">
        <f>T("AP")</f>
        <v>AP</v>
      </c>
      <c r="F13067" t="str">
        <f>T("966022700")</f>
        <v>966022700</v>
      </c>
      <c r="G13067" t="str">
        <f>T("HSM 51 UNIT 200227 BOX 1")</f>
        <v>HSM 51 UNIT 200227 BOX 1</v>
      </c>
      <c r="H13067" t="str">
        <f>T("")</f>
        <v/>
      </c>
      <c r="I13067" t="str">
        <f>T("FPO")</f>
        <v>FPO</v>
      </c>
      <c r="J13067" t="str">
        <f>T("AP")</f>
        <v>AP</v>
      </c>
      <c r="K13067" t="str">
        <f>T("01181467633319")</f>
        <v>01181467633319</v>
      </c>
      <c r="L13067" t="str">
        <f>T("1111111111")</f>
        <v>1111111111</v>
      </c>
    </row>
    <row r="13068" spans="1:12" x14ac:dyDescent="0.35">
      <c r="A13068" t="str">
        <f>T("HSM-51")</f>
        <v>HSM-51</v>
      </c>
      <c r="B13068" t="str">
        <f>T("HSM 51 UNIT 200227 BOX 1")</f>
        <v>HSM 51 UNIT 200227 BOX 1</v>
      </c>
      <c r="C13068" t="str">
        <f t="shared" si="4814"/>
        <v/>
      </c>
      <c r="D13068" t="str">
        <f>T("FPO")</f>
        <v>FPO</v>
      </c>
      <c r="E13068" t="str">
        <f>T("AP")</f>
        <v>AP</v>
      </c>
      <c r="F13068" t="str">
        <f>T("966022700")</f>
        <v>966022700</v>
      </c>
      <c r="G13068" t="str">
        <f>T("HSM-51")</f>
        <v>HSM-51</v>
      </c>
      <c r="H13068" t="str">
        <f>T("UNIT 200227 BOX 1")</f>
        <v>UNIT 200227 BOX 1</v>
      </c>
      <c r="I13068" t="str">
        <f>T("FPO")</f>
        <v>FPO</v>
      </c>
      <c r="J13068" t="str">
        <f>T("AP")</f>
        <v>AP</v>
      </c>
      <c r="K13068" t="str">
        <f>T("01181467633693")</f>
        <v>01181467633693</v>
      </c>
      <c r="L13068" t="str">
        <f>T("1111111111")</f>
        <v>1111111111</v>
      </c>
    </row>
    <row r="13069" spans="1:12" x14ac:dyDescent="0.35">
      <c r="A13069" t="str">
        <f>T("HSM-51")</f>
        <v>HSM-51</v>
      </c>
      <c r="B13069" t="str">
        <f>T("HSM 51 UNIT 200227 BOX 1")</f>
        <v>HSM 51 UNIT 200227 BOX 1</v>
      </c>
      <c r="C13069" t="str">
        <f t="shared" si="4814"/>
        <v/>
      </c>
      <c r="D13069" t="str">
        <f>T("FPO")</f>
        <v>FPO</v>
      </c>
      <c r="E13069" t="str">
        <f>T("AP")</f>
        <v>AP</v>
      </c>
      <c r="F13069" t="str">
        <f>T("966022700")</f>
        <v>966022700</v>
      </c>
      <c r="G13069" t="str">
        <f>T("HSM-51 UNIT 200227")</f>
        <v>HSM-51 UNIT 200227</v>
      </c>
      <c r="H13069" t="str">
        <f>T("")</f>
        <v/>
      </c>
      <c r="I13069" t="str">
        <f>T("FPO")</f>
        <v>FPO</v>
      </c>
      <c r="J13069" t="str">
        <f>T("AP")</f>
        <v>AP</v>
      </c>
      <c r="K13069" t="str">
        <f>T("01181467633693")</f>
        <v>01181467633693</v>
      </c>
      <c r="L13069" t="str">
        <f>T("1111111111")</f>
        <v>1111111111</v>
      </c>
    </row>
    <row r="13070" spans="1:12" x14ac:dyDescent="0.35">
      <c r="A13070" t="str">
        <f>T("COMVAQWINGPAC")</f>
        <v>COMVAQWINGPAC</v>
      </c>
      <c r="B13070" t="str">
        <f>T("950 W ESSEX ROAD BLDG 2547")</f>
        <v>950 W ESSEX ROAD BLDG 2547</v>
      </c>
      <c r="C13070" t="str">
        <f t="shared" si="4814"/>
        <v/>
      </c>
      <c r="D13070" t="str">
        <f>T("OAK HARBOR")</f>
        <v>OAK HARBOR</v>
      </c>
      <c r="E13070" t="str">
        <f>T("WA")</f>
        <v>WA</v>
      </c>
      <c r="F13070" t="str">
        <f>T("982784914")</f>
        <v>982784914</v>
      </c>
      <c r="G13070" t="str">
        <f>T("950 W ESSEX RD")</f>
        <v>950 W ESSEX RD</v>
      </c>
      <c r="H13070" t="str">
        <f>T("")</f>
        <v/>
      </c>
      <c r="I13070" t="str">
        <f>T("OAK HARBOR")</f>
        <v>OAK HARBOR</v>
      </c>
      <c r="J13070" t="str">
        <f>T("WA")</f>
        <v>WA</v>
      </c>
      <c r="K13070" t="str">
        <f>T("000000000000000000")</f>
        <v>000000000000000000</v>
      </c>
      <c r="L13070" t="str">
        <f>T("3602578713")</f>
        <v>3602578713</v>
      </c>
    </row>
    <row r="13071" spans="1:12" x14ac:dyDescent="0.35">
      <c r="A13071" t="str">
        <f>T("COMVAQWINGPAC")</f>
        <v>COMVAQWINGPAC</v>
      </c>
      <c r="B13071" t="str">
        <f>T("950 W ESSEX ROAD BLDG 2547")</f>
        <v>950 W ESSEX ROAD BLDG 2547</v>
      </c>
      <c r="C13071" t="str">
        <f t="shared" si="4814"/>
        <v/>
      </c>
      <c r="D13071" t="str">
        <f>T("OAK HARBOR")</f>
        <v>OAK HARBOR</v>
      </c>
      <c r="E13071" t="str">
        <f>T("WA")</f>
        <v>WA</v>
      </c>
      <c r="F13071" t="str">
        <f>T("982784914")</f>
        <v>982784914</v>
      </c>
      <c r="G13071" t="str">
        <f>T("950 W ESSEX RD")</f>
        <v>950 W ESSEX RD</v>
      </c>
      <c r="H13071" t="str">
        <f>T("")</f>
        <v/>
      </c>
      <c r="I13071" t="str">
        <f>T("OAK HARBOR")</f>
        <v>OAK HARBOR</v>
      </c>
      <c r="J13071" t="str">
        <f>T("WA")</f>
        <v>WA</v>
      </c>
      <c r="K13071" t="str">
        <f>T("3602574764")</f>
        <v>3602574764</v>
      </c>
      <c r="L13071" t="str">
        <f>T("3602576044")</f>
        <v>3602576044</v>
      </c>
    </row>
    <row r="13072" spans="1:12" x14ac:dyDescent="0.35">
      <c r="A13072" t="str">
        <f>T("COMVAQWINGPAC")</f>
        <v>COMVAQWINGPAC</v>
      </c>
      <c r="B13072" t="str">
        <f>T("950 W ESSEX ROAD BLDG 2547")</f>
        <v>950 W ESSEX ROAD BLDG 2547</v>
      </c>
      <c r="C13072" t="str">
        <f t="shared" si="4814"/>
        <v/>
      </c>
      <c r="D13072" t="str">
        <f>T("OAK HARBOR")</f>
        <v>OAK HARBOR</v>
      </c>
      <c r="E13072" t="str">
        <f>T("WA")</f>
        <v>WA</v>
      </c>
      <c r="F13072" t="str">
        <f>T("982784914")</f>
        <v>982784914</v>
      </c>
      <c r="G13072" t="str">
        <f>T("950 W ESSEX RD")</f>
        <v>950 W ESSEX RD</v>
      </c>
      <c r="H13072" t="str">
        <f>T("BLDG 2546")</f>
        <v>BLDG 2546</v>
      </c>
      <c r="I13072" t="str">
        <f>T("OAK HARBOR")</f>
        <v>OAK HARBOR</v>
      </c>
      <c r="J13072" t="str">
        <f>T("WA")</f>
        <v>WA</v>
      </c>
      <c r="K13072" t="str">
        <f>T("000000000000000000")</f>
        <v>000000000000000000</v>
      </c>
      <c r="L13072" t="str">
        <f>T("3602572818")</f>
        <v>3602572818</v>
      </c>
    </row>
    <row r="13073" spans="1:12" x14ac:dyDescent="0.35">
      <c r="A13073" t="str">
        <f>T("COMVAQWINGPAC")</f>
        <v>COMVAQWINGPAC</v>
      </c>
      <c r="B13073" t="str">
        <f>T("950 W ESSEX ROAD BLDG 2547")</f>
        <v>950 W ESSEX ROAD BLDG 2547</v>
      </c>
      <c r="C13073" t="str">
        <f t="shared" si="4814"/>
        <v/>
      </c>
      <c r="D13073" t="str">
        <f>T("OAK HARBOR")</f>
        <v>OAK HARBOR</v>
      </c>
      <c r="E13073" t="str">
        <f>T("WA")</f>
        <v>WA</v>
      </c>
      <c r="F13073" t="str">
        <f>T("982784914")</f>
        <v>982784914</v>
      </c>
      <c r="G13073" t="str">
        <f>T("950 W ESSEX ROAD BLDG 2547")</f>
        <v>950 W ESSEX ROAD BLDG 2547</v>
      </c>
      <c r="H13073" t="str">
        <f>T("")</f>
        <v/>
      </c>
      <c r="I13073" t="str">
        <f>T("OAK HARBOR")</f>
        <v>OAK HARBOR</v>
      </c>
      <c r="J13073" t="str">
        <f>T("WA")</f>
        <v>WA</v>
      </c>
      <c r="K13073" t="str">
        <f>T("")</f>
        <v/>
      </c>
      <c r="L13073" t="str">
        <f>T("3602578086")</f>
        <v>3602578086</v>
      </c>
    </row>
    <row r="13074" spans="1:12" x14ac:dyDescent="0.35">
      <c r="A13074" t="str">
        <f>T("COMHSMWINGPAC -BUDGET")</f>
        <v>COMHSMWINGPAC -BUDGET</v>
      </c>
      <c r="B13074" t="str">
        <f>T("BOX 357137")</f>
        <v>BOX 357137</v>
      </c>
      <c r="C13074" t="str">
        <f t="shared" si="4814"/>
        <v/>
      </c>
      <c r="D13074" t="str">
        <f>T("SAN DIEGO")</f>
        <v>SAN DIEGO</v>
      </c>
      <c r="E13074" t="str">
        <f t="shared" ref="E13074:E13086" si="4815">T("CA")</f>
        <v>CA</v>
      </c>
      <c r="F13074" t="str">
        <f>T("921357137")</f>
        <v>921357137</v>
      </c>
      <c r="G13074" t="str">
        <f>T("BOX 357137")</f>
        <v>BOX 357137</v>
      </c>
      <c r="H13074" t="str">
        <f>T("")</f>
        <v/>
      </c>
      <c r="I13074" t="str">
        <f>T("SAN DIEGO")</f>
        <v>SAN DIEGO</v>
      </c>
      <c r="J13074" t="str">
        <f t="shared" ref="J13074:J13086" si="4816">T("CA")</f>
        <v>CA</v>
      </c>
      <c r="K13074" t="str">
        <f>T("6195451875")</f>
        <v>6195451875</v>
      </c>
      <c r="L13074" t="str">
        <f>T("6197677836")</f>
        <v>6197677836</v>
      </c>
    </row>
    <row r="13075" spans="1:12" x14ac:dyDescent="0.35">
      <c r="A13075" t="str">
        <f>T("COMHSMWINGPAC -BUDGET")</f>
        <v>COMHSMWINGPAC -BUDGET</v>
      </c>
      <c r="B13075" t="str">
        <f>T("BOX 357137")</f>
        <v>BOX 357137</v>
      </c>
      <c r="C13075" t="str">
        <f t="shared" si="4814"/>
        <v/>
      </c>
      <c r="D13075" t="str">
        <f>T("SAN DIEGO")</f>
        <v>SAN DIEGO</v>
      </c>
      <c r="E13075" t="str">
        <f t="shared" si="4815"/>
        <v>CA</v>
      </c>
      <c r="F13075" t="str">
        <f>T("921357137")</f>
        <v>921357137</v>
      </c>
      <c r="G13075" t="str">
        <f>T("COMHSMWINGPAC")</f>
        <v>COMHSMWINGPAC</v>
      </c>
      <c r="H13075" t="str">
        <f>T("P O BOX 357137")</f>
        <v>P O BOX 357137</v>
      </c>
      <c r="I13075" t="str">
        <f>T("SAN DIEGO")</f>
        <v>SAN DIEGO</v>
      </c>
      <c r="J13075" t="str">
        <f t="shared" si="4816"/>
        <v>CA</v>
      </c>
      <c r="K13075" t="str">
        <f>T("6195451875")</f>
        <v>6195451875</v>
      </c>
      <c r="L13075" t="str">
        <f>T("6195451874")</f>
        <v>6195451874</v>
      </c>
    </row>
    <row r="13076" spans="1:12" x14ac:dyDescent="0.35">
      <c r="A13076" t="str">
        <f>T("COMHSMWINGPAC -BUDGET")</f>
        <v>COMHSMWINGPAC -BUDGET</v>
      </c>
      <c r="B13076" t="str">
        <f>T("BOX 357137")</f>
        <v>BOX 357137</v>
      </c>
      <c r="C13076" t="str">
        <f t="shared" si="4814"/>
        <v/>
      </c>
      <c r="D13076" t="str">
        <f>T("SAN DIEGO")</f>
        <v>SAN DIEGO</v>
      </c>
      <c r="E13076" t="str">
        <f t="shared" si="4815"/>
        <v>CA</v>
      </c>
      <c r="F13076" t="str">
        <f>T("921357137")</f>
        <v>921357137</v>
      </c>
      <c r="G13076" t="str">
        <f>T("COMHSMWINGPAC")</f>
        <v>COMHSMWINGPAC</v>
      </c>
      <c r="H13076" t="str">
        <f>T("PO BOX 357137")</f>
        <v>PO BOX 357137</v>
      </c>
      <c r="I13076" t="str">
        <f>T("SAN DIEGO")</f>
        <v>SAN DIEGO</v>
      </c>
      <c r="J13076" t="str">
        <f t="shared" si="4816"/>
        <v>CA</v>
      </c>
      <c r="K13076" t="str">
        <f>T("6195451875")</f>
        <v>6195451875</v>
      </c>
      <c r="L13076" t="str">
        <f>T("6195451874")</f>
        <v>6195451874</v>
      </c>
    </row>
    <row r="13077" spans="1:12" x14ac:dyDescent="0.35">
      <c r="A13077" t="str">
        <f>T("COMAEWWINGPAC")</f>
        <v>COMAEWWINGPAC</v>
      </c>
      <c r="B13077" t="str">
        <f>T("672 13TH STREET BLDG 50")</f>
        <v>672 13TH STREET BLDG 50</v>
      </c>
      <c r="C13077" t="str">
        <f t="shared" si="4814"/>
        <v/>
      </c>
      <c r="D13077" t="str">
        <f>T("POINT MUGU NAWC")</f>
        <v>POINT MUGU NAWC</v>
      </c>
      <c r="E13077" t="str">
        <f t="shared" si="4815"/>
        <v>CA</v>
      </c>
      <c r="F13077" t="str">
        <f>T("930425011")</f>
        <v>930425011</v>
      </c>
      <c r="G13077" t="str">
        <f>T("672 13TH ST")</f>
        <v>672 13TH ST</v>
      </c>
      <c r="H13077" t="str">
        <f>T("BLDG 50")</f>
        <v>BLDG 50</v>
      </c>
      <c r="I13077" t="str">
        <f>T("POINT MUGU NAWC")</f>
        <v>POINT MUGU NAWC</v>
      </c>
      <c r="J13077" t="str">
        <f t="shared" si="4816"/>
        <v>CA</v>
      </c>
      <c r="K13077" t="str">
        <f>T("000000000000000000")</f>
        <v>000000000000000000</v>
      </c>
      <c r="L13077" t="str">
        <f>T("8059890403")</f>
        <v>8059890403</v>
      </c>
    </row>
    <row r="13078" spans="1:12" x14ac:dyDescent="0.35">
      <c r="A13078" t="str">
        <f>T("COMAEWWINGPAC")</f>
        <v>COMAEWWINGPAC</v>
      </c>
      <c r="B13078" t="str">
        <f>T("672 13TH STREET BLDG 50")</f>
        <v>672 13TH STREET BLDG 50</v>
      </c>
      <c r="C13078" t="str">
        <f t="shared" si="4814"/>
        <v/>
      </c>
      <c r="D13078" t="str">
        <f>T("POINT MUGU NAWC")</f>
        <v>POINT MUGU NAWC</v>
      </c>
      <c r="E13078" t="str">
        <f t="shared" si="4815"/>
        <v>CA</v>
      </c>
      <c r="F13078" t="str">
        <f>T("930425011")</f>
        <v>930425011</v>
      </c>
      <c r="G13078" t="str">
        <f>T("672 13TH STREET")</f>
        <v>672 13TH STREET</v>
      </c>
      <c r="H13078" t="str">
        <f>T("")</f>
        <v/>
      </c>
      <c r="I13078" t="str">
        <f>T("PT MUGU NAWC")</f>
        <v>PT MUGU NAWC</v>
      </c>
      <c r="J13078" t="str">
        <f t="shared" si="4816"/>
        <v>CA</v>
      </c>
      <c r="K13078" t="str">
        <f>T("8059899301")</f>
        <v>8059899301</v>
      </c>
      <c r="L13078" t="str">
        <f>T("8059890353")</f>
        <v>8059890353</v>
      </c>
    </row>
    <row r="13079" spans="1:12" x14ac:dyDescent="0.35">
      <c r="A13079" t="str">
        <f>T("COMAEWWINGPAC")</f>
        <v>COMAEWWINGPAC</v>
      </c>
      <c r="B13079" t="str">
        <f>T("672 13TH STREET BLDG 50")</f>
        <v>672 13TH STREET BLDG 50</v>
      </c>
      <c r="C13079" t="str">
        <f t="shared" si="4814"/>
        <v/>
      </c>
      <c r="D13079" t="str">
        <f>T("POINT MUGU NAWC")</f>
        <v>POINT MUGU NAWC</v>
      </c>
      <c r="E13079" t="str">
        <f t="shared" si="4815"/>
        <v>CA</v>
      </c>
      <c r="F13079" t="str">
        <f>T("930425011")</f>
        <v>930425011</v>
      </c>
      <c r="G13079" t="str">
        <f>T("672 13TH STREET BLDG 50")</f>
        <v>672 13TH STREET BLDG 50</v>
      </c>
      <c r="H13079" t="str">
        <f>T("")</f>
        <v/>
      </c>
      <c r="I13079" t="str">
        <f>T("POINT MUGU NAWC")</f>
        <v>POINT MUGU NAWC</v>
      </c>
      <c r="J13079" t="str">
        <f t="shared" si="4816"/>
        <v>CA</v>
      </c>
      <c r="K13079" t="str">
        <f>T("8059899301")</f>
        <v>8059899301</v>
      </c>
      <c r="L13079" t="str">
        <f>T("8059890068")</f>
        <v>8059890068</v>
      </c>
    </row>
    <row r="13080" spans="1:12" x14ac:dyDescent="0.35">
      <c r="A13080" t="str">
        <f>T("COMAEWWINGPAC")</f>
        <v>COMAEWWINGPAC</v>
      </c>
      <c r="B13080" t="str">
        <f>T("672 13TH STREET BLDG 50")</f>
        <v>672 13TH STREET BLDG 50</v>
      </c>
      <c r="C13080" t="str">
        <f t="shared" si="4814"/>
        <v/>
      </c>
      <c r="D13080" t="str">
        <f>T("POINT MUGU NAWC")</f>
        <v>POINT MUGU NAWC</v>
      </c>
      <c r="E13080" t="str">
        <f t="shared" si="4815"/>
        <v>CA</v>
      </c>
      <c r="F13080" t="str">
        <f>T("930425011")</f>
        <v>930425011</v>
      </c>
      <c r="G13080" t="str">
        <f>T("COMACCLOGWING")</f>
        <v>COMACCLOGWING</v>
      </c>
      <c r="H13080" t="str">
        <f>T("672 13TH ST BLDG 50")</f>
        <v>672 13TH ST BLDG 50</v>
      </c>
      <c r="I13080" t="str">
        <f>T("POINT MUGU NAWC")</f>
        <v>POINT MUGU NAWC</v>
      </c>
      <c r="J13080" t="str">
        <f t="shared" si="4816"/>
        <v>CA</v>
      </c>
      <c r="K13080" t="str">
        <f>T("000000000000000000")</f>
        <v>000000000000000000</v>
      </c>
      <c r="L13080" t="str">
        <f>T("8059890068")</f>
        <v>8059890068</v>
      </c>
    </row>
    <row r="13081" spans="1:12" x14ac:dyDescent="0.35">
      <c r="A13081" t="str">
        <f>T("COMHELSEACOMBATWINGPAC")</f>
        <v>COMHELSEACOMBATWINGPAC</v>
      </c>
      <c r="B13081" t="str">
        <f>T("SAUFLEY ROAD")</f>
        <v>SAUFLEY ROAD</v>
      </c>
      <c r="C13081" t="str">
        <f>T("BUILDING G ROOM 237")</f>
        <v>BUILDING G ROOM 237</v>
      </c>
      <c r="D13081" t="str">
        <f>T("SAN DIEGO")</f>
        <v>SAN DIEGO</v>
      </c>
      <c r="E13081" t="str">
        <f t="shared" si="4815"/>
        <v>CA</v>
      </c>
      <c r="F13081" t="str">
        <f>T("921350000")</f>
        <v>921350000</v>
      </c>
      <c r="G13081" t="str">
        <f>T("BLDG G RM 238")</f>
        <v>BLDG G RM 238</v>
      </c>
      <c r="H13081" t="str">
        <f>T("")</f>
        <v/>
      </c>
      <c r="I13081" t="str">
        <f>T("SAN DIEGO")</f>
        <v>SAN DIEGO</v>
      </c>
      <c r="J13081" t="str">
        <f t="shared" si="4816"/>
        <v>CA</v>
      </c>
      <c r="K13081" t="str">
        <f>T("6195455124")</f>
        <v>6195455124</v>
      </c>
      <c r="L13081" t="str">
        <f>T("6195455149")</f>
        <v>6195455149</v>
      </c>
    </row>
    <row r="13082" spans="1:12" x14ac:dyDescent="0.35">
      <c r="A13082" t="str">
        <f>T("COMHELSEACOMBATWINGPAC")</f>
        <v>COMHELSEACOMBATWINGPAC</v>
      </c>
      <c r="B13082" t="str">
        <f>T("SAUFLEY ROAD")</f>
        <v>SAUFLEY ROAD</v>
      </c>
      <c r="C13082" t="str">
        <f>T("BUILDING G ROOM 237")</f>
        <v>BUILDING G ROOM 237</v>
      </c>
      <c r="D13082" t="str">
        <f>T("SAN DIEGO")</f>
        <v>SAN DIEGO</v>
      </c>
      <c r="E13082" t="str">
        <f t="shared" si="4815"/>
        <v>CA</v>
      </c>
      <c r="F13082" t="str">
        <f>T("921350000")</f>
        <v>921350000</v>
      </c>
      <c r="G13082" t="str">
        <f>T("COM HSC WINGPAC SUAFLEY RD")</f>
        <v>COM HSC WINGPAC SUAFLEY RD</v>
      </c>
      <c r="H13082" t="str">
        <f>T("BUILDING G ROOM 237")</f>
        <v>BUILDING G ROOM 237</v>
      </c>
      <c r="I13082" t="str">
        <f>T("SAN DIEGO")</f>
        <v>SAN DIEGO</v>
      </c>
      <c r="J13082" t="str">
        <f t="shared" si="4816"/>
        <v>CA</v>
      </c>
      <c r="K13082" t="str">
        <f>T("000000000000000000")</f>
        <v>000000000000000000</v>
      </c>
      <c r="L13082" t="str">
        <f>T("6195455149")</f>
        <v>6195455149</v>
      </c>
    </row>
    <row r="13083" spans="1:12" x14ac:dyDescent="0.35">
      <c r="A13083" t="str">
        <f>T("COMHELSEACOMBATWINGPAC")</f>
        <v>COMHELSEACOMBATWINGPAC</v>
      </c>
      <c r="B13083" t="str">
        <f>T("SAUFLEY ROAD")</f>
        <v>SAUFLEY ROAD</v>
      </c>
      <c r="C13083" t="str">
        <f>T("BUILDING G ROOM 237")</f>
        <v>BUILDING G ROOM 237</v>
      </c>
      <c r="D13083" t="str">
        <f>T("SAN DIEGO")</f>
        <v>SAN DIEGO</v>
      </c>
      <c r="E13083" t="str">
        <f t="shared" si="4815"/>
        <v>CA</v>
      </c>
      <c r="F13083" t="str">
        <f>T("921350000")</f>
        <v>921350000</v>
      </c>
      <c r="G13083" t="str">
        <f>T("SAUFLEY ROAD")</f>
        <v>SAUFLEY ROAD</v>
      </c>
      <c r="H13083" t="str">
        <f>T("BUILDING G ROOM 237")</f>
        <v>BUILDING G ROOM 237</v>
      </c>
      <c r="I13083" t="str">
        <f>T("SAN DIEGO")</f>
        <v>SAN DIEGO</v>
      </c>
      <c r="J13083" t="str">
        <f t="shared" si="4816"/>
        <v>CA</v>
      </c>
      <c r="K13083" t="str">
        <f>T("6195454220")</f>
        <v>6195454220</v>
      </c>
      <c r="L13083" t="str">
        <f>T("6195456181")</f>
        <v>6195456181</v>
      </c>
    </row>
    <row r="13084" spans="1:12" x14ac:dyDescent="0.35">
      <c r="A13084" t="str">
        <f>T("VX-9")</f>
        <v>VX-9</v>
      </c>
      <c r="B13084" t="str">
        <f>T("VX-9 HANGER 1")</f>
        <v>VX-9 HANGER 1</v>
      </c>
      <c r="C13084" t="str">
        <f>T("1 ADMINISTRATION CIR")</f>
        <v>1 ADMINISTRATION CIR</v>
      </c>
      <c r="D13084" t="str">
        <f>T("CHINA LAKE")</f>
        <v>CHINA LAKE</v>
      </c>
      <c r="E13084" t="str">
        <f t="shared" si="4815"/>
        <v>CA</v>
      </c>
      <c r="F13084" t="str">
        <f>T("935556104")</f>
        <v>935556104</v>
      </c>
      <c r="G13084" t="str">
        <f>T("1 ADMINSTRATION CIRCLE")</f>
        <v>1 ADMINSTRATION CIRCLE</v>
      </c>
      <c r="H13084" t="str">
        <f>T("HANGAR 1 RM 1107")</f>
        <v>HANGAR 1 RM 1107</v>
      </c>
      <c r="I13084" t="str">
        <f>T("RIDGECREST")</f>
        <v>RIDGECREST</v>
      </c>
      <c r="J13084" t="str">
        <f t="shared" si="4816"/>
        <v>CA</v>
      </c>
      <c r="K13084" t="str">
        <f>T("000000000000000000")</f>
        <v>000000000000000000</v>
      </c>
      <c r="L13084" t="str">
        <f>T("7609395516")</f>
        <v>7609395516</v>
      </c>
    </row>
    <row r="13085" spans="1:12" x14ac:dyDescent="0.35">
      <c r="A13085" t="str">
        <f>T("VX-9")</f>
        <v>VX-9</v>
      </c>
      <c r="B13085" t="str">
        <f>T("VX-9 HANGER 1")</f>
        <v>VX-9 HANGER 1</v>
      </c>
      <c r="C13085" t="str">
        <f>T("1 ADMINISTRATION CIR")</f>
        <v>1 ADMINISTRATION CIR</v>
      </c>
      <c r="D13085" t="str">
        <f>T("CHINA LAKE")</f>
        <v>CHINA LAKE</v>
      </c>
      <c r="E13085" t="str">
        <f t="shared" si="4815"/>
        <v>CA</v>
      </c>
      <c r="F13085" t="str">
        <f>T("935556104")</f>
        <v>935556104</v>
      </c>
      <c r="G13085" t="str">
        <f>T("VX-9 HANGAR 1 RM 1107")</f>
        <v>VX-9 HANGAR 1 RM 1107</v>
      </c>
      <c r="H13085" t="str">
        <f>T("1 ADMINISTRATION CIR")</f>
        <v>1 ADMINISTRATION CIR</v>
      </c>
      <c r="I13085" t="str">
        <f>T("RIDGECREST")</f>
        <v>RIDGECREST</v>
      </c>
      <c r="J13085" t="str">
        <f t="shared" si="4816"/>
        <v>CA</v>
      </c>
      <c r="K13085" t="str">
        <f>T("7604370417")</f>
        <v>7604370417</v>
      </c>
      <c r="L13085" t="str">
        <f>T("7609395516")</f>
        <v>7609395516</v>
      </c>
    </row>
    <row r="13086" spans="1:12" x14ac:dyDescent="0.35">
      <c r="A13086" t="str">
        <f>T("VX-9")</f>
        <v>VX-9</v>
      </c>
      <c r="B13086" t="str">
        <f>T("VX-9 HANGER 1")</f>
        <v>VX-9 HANGER 1</v>
      </c>
      <c r="C13086" t="str">
        <f>T("1 ADMINISTRATION CIR")</f>
        <v>1 ADMINISTRATION CIR</v>
      </c>
      <c r="D13086" t="str">
        <f>T("CHINA LAKE")</f>
        <v>CHINA LAKE</v>
      </c>
      <c r="E13086" t="str">
        <f t="shared" si="4815"/>
        <v>CA</v>
      </c>
      <c r="F13086" t="str">
        <f>T("935556104")</f>
        <v>935556104</v>
      </c>
      <c r="G13086" t="str">
        <f>T("VX-9 HANGER 1")</f>
        <v>VX-9 HANGER 1</v>
      </c>
      <c r="H13086" t="str">
        <f>T("1 ADMINISTRATION CIR")</f>
        <v>1 ADMINISTRATION CIR</v>
      </c>
      <c r="I13086" t="str">
        <f>T("CHINA LAKE")</f>
        <v>CHINA LAKE</v>
      </c>
      <c r="J13086" t="str">
        <f t="shared" si="4816"/>
        <v>CA</v>
      </c>
      <c r="K13086" t="str">
        <f>T("7609390417")</f>
        <v>7609390417</v>
      </c>
      <c r="L13086" t="str">
        <f>T("7609399833")</f>
        <v>7609399833</v>
      </c>
    </row>
    <row r="13087" spans="1:12" x14ac:dyDescent="0.35">
      <c r="A13087" t="str">
        <f t="shared" ref="A13087:A13093" si="4817">T("USS NIMITZ CVN-68")</f>
        <v>USS NIMITZ CVN-68</v>
      </c>
      <c r="B13087" t="str">
        <f t="shared" ref="B13087:B13093" si="4818">T("USS NIMITZ CVN 68")</f>
        <v>USS NIMITZ CVN 68</v>
      </c>
      <c r="C13087" t="str">
        <f t="shared" ref="C13087:C13093" si="4819">T("SUPPLY DEPT S-1")</f>
        <v>SUPPLY DEPT S-1</v>
      </c>
      <c r="D13087" t="str">
        <f t="shared" ref="D13087:D13093" si="4820">T("FPO")</f>
        <v>FPO</v>
      </c>
      <c r="E13087" t="str">
        <f t="shared" ref="E13087:E13093" si="4821">T("AP")</f>
        <v>AP</v>
      </c>
      <c r="F13087" t="str">
        <f t="shared" ref="F13087:F13093" si="4822">T("966202820")</f>
        <v>966202820</v>
      </c>
      <c r="G13087" t="str">
        <f>T("USS NIMITZ CVN 68")</f>
        <v>USS NIMITZ CVN 68</v>
      </c>
      <c r="H13087" t="str">
        <f>T("SUPPLY DEPT S-1")</f>
        <v>SUPPLY DEPT S-1</v>
      </c>
      <c r="I13087" t="str">
        <f t="shared" ref="I13087:I13093" si="4823">T("FPO")</f>
        <v>FPO</v>
      </c>
      <c r="J13087" t="str">
        <f t="shared" ref="J13087:J13093" si="4824">T("AP")</f>
        <v>AP</v>
      </c>
      <c r="K13087" t="str">
        <f>T("6195454923")</f>
        <v>6195454923</v>
      </c>
      <c r="L13087" t="str">
        <f>T("6195458472")</f>
        <v>6195458472</v>
      </c>
    </row>
    <row r="13088" spans="1:12" x14ac:dyDescent="0.35">
      <c r="A13088" t="str">
        <f t="shared" si="4817"/>
        <v>USS NIMITZ CVN-68</v>
      </c>
      <c r="B13088" t="str">
        <f t="shared" si="4818"/>
        <v>USS NIMITZ CVN 68</v>
      </c>
      <c r="C13088" t="str">
        <f t="shared" si="4819"/>
        <v>SUPPLY DEPT S-1</v>
      </c>
      <c r="D13088" t="str">
        <f t="shared" si="4820"/>
        <v>FPO</v>
      </c>
      <c r="E13088" t="str">
        <f t="shared" si="4821"/>
        <v>AP</v>
      </c>
      <c r="F13088" t="str">
        <f t="shared" si="4822"/>
        <v>966202820</v>
      </c>
      <c r="G13088" t="str">
        <f>T("USS NIMITZ CVN 68")</f>
        <v>USS NIMITZ CVN 68</v>
      </c>
      <c r="H13088" t="str">
        <f>T("SUPPLY DEPT/S-1A")</f>
        <v>SUPPLY DEPT/S-1A</v>
      </c>
      <c r="I13088" t="str">
        <f t="shared" si="4823"/>
        <v>FPO</v>
      </c>
      <c r="J13088" t="str">
        <f t="shared" si="4824"/>
        <v>AP</v>
      </c>
      <c r="K13088" t="str">
        <f>T("3604766100")</f>
        <v>3604766100</v>
      </c>
      <c r="L13088" t="str">
        <f>T("3604766100")</f>
        <v>3604766100</v>
      </c>
    </row>
    <row r="13089" spans="1:12" x14ac:dyDescent="0.35">
      <c r="A13089" t="str">
        <f t="shared" si="4817"/>
        <v>USS NIMITZ CVN-68</v>
      </c>
      <c r="B13089" t="str">
        <f t="shared" si="4818"/>
        <v>USS NIMITZ CVN 68</v>
      </c>
      <c r="C13089" t="str">
        <f t="shared" si="4819"/>
        <v>SUPPLY DEPT S-1</v>
      </c>
      <c r="D13089" t="str">
        <f t="shared" si="4820"/>
        <v>FPO</v>
      </c>
      <c r="E13089" t="str">
        <f t="shared" si="4821"/>
        <v>AP</v>
      </c>
      <c r="F13089" t="str">
        <f t="shared" si="4822"/>
        <v>966202820</v>
      </c>
      <c r="G13089" t="str">
        <f>T("USS NIMITZ CVN 68")</f>
        <v>USS NIMITZ CVN 68</v>
      </c>
      <c r="H13089" t="str">
        <f>T("SUPPLY DEPT/S-1A DIV")</f>
        <v>SUPPLY DEPT/S-1A DIV</v>
      </c>
      <c r="I13089" t="str">
        <f t="shared" si="4823"/>
        <v>FPO</v>
      </c>
      <c r="J13089" t="str">
        <f t="shared" si="4824"/>
        <v>AP</v>
      </c>
      <c r="K13089" t="str">
        <f>T("000000000000000000")</f>
        <v>000000000000000000</v>
      </c>
      <c r="L13089" t="str">
        <f>T("6195458472")</f>
        <v>6195458472</v>
      </c>
    </row>
    <row r="13090" spans="1:12" x14ac:dyDescent="0.35">
      <c r="A13090" t="str">
        <f t="shared" si="4817"/>
        <v>USS NIMITZ CVN-68</v>
      </c>
      <c r="B13090" t="str">
        <f t="shared" si="4818"/>
        <v>USS NIMITZ CVN 68</v>
      </c>
      <c r="C13090" t="str">
        <f t="shared" si="4819"/>
        <v>SUPPLY DEPT S-1</v>
      </c>
      <c r="D13090" t="str">
        <f t="shared" si="4820"/>
        <v>FPO</v>
      </c>
      <c r="E13090" t="str">
        <f t="shared" si="4821"/>
        <v>AP</v>
      </c>
      <c r="F13090" t="str">
        <f t="shared" si="4822"/>
        <v>966202820</v>
      </c>
      <c r="G13090" t="str">
        <f>T("USS NIMITZ CVN 68")</f>
        <v>USS NIMITZ CVN 68</v>
      </c>
      <c r="H13090" t="str">
        <f>T("UNIT 100103 BOX 1")</f>
        <v>UNIT 100103 BOX 1</v>
      </c>
      <c r="I13090" t="str">
        <f t="shared" si="4823"/>
        <v>FPO</v>
      </c>
      <c r="J13090" t="str">
        <f t="shared" si="4824"/>
        <v>AP</v>
      </c>
      <c r="K13090" t="str">
        <f>T("000000000000000000")</f>
        <v>000000000000000000</v>
      </c>
      <c r="L13090" t="str">
        <f>T("6195458472")</f>
        <v>6195458472</v>
      </c>
    </row>
    <row r="13091" spans="1:12" x14ac:dyDescent="0.35">
      <c r="A13091" t="str">
        <f t="shared" si="4817"/>
        <v>USS NIMITZ CVN-68</v>
      </c>
      <c r="B13091" t="str">
        <f t="shared" si="4818"/>
        <v>USS NIMITZ CVN 68</v>
      </c>
      <c r="C13091" t="str">
        <f t="shared" si="4819"/>
        <v>SUPPLY DEPT S-1</v>
      </c>
      <c r="D13091" t="str">
        <f t="shared" si="4820"/>
        <v>FPO</v>
      </c>
      <c r="E13091" t="str">
        <f t="shared" si="4821"/>
        <v>AP</v>
      </c>
      <c r="F13091" t="str">
        <f t="shared" si="4822"/>
        <v>966202820</v>
      </c>
      <c r="G13091" t="str">
        <f>T("USS NIMITZ CVN-68")</f>
        <v>USS NIMITZ CVN-68</v>
      </c>
      <c r="H13091" t="str">
        <f>T("UNIT 100103 BOX 1")</f>
        <v>UNIT 100103 BOX 1</v>
      </c>
      <c r="I13091" t="str">
        <f t="shared" si="4823"/>
        <v>FPO</v>
      </c>
      <c r="J13091" t="str">
        <f t="shared" si="4824"/>
        <v>AP</v>
      </c>
      <c r="K13091" t="str">
        <f>T("000000000000000000")</f>
        <v>000000000000000000</v>
      </c>
      <c r="L13091" t="str">
        <f>T("1111111111")</f>
        <v>1111111111</v>
      </c>
    </row>
    <row r="13092" spans="1:12" x14ac:dyDescent="0.35">
      <c r="A13092" t="str">
        <f t="shared" si="4817"/>
        <v>USS NIMITZ CVN-68</v>
      </c>
      <c r="B13092" t="str">
        <f t="shared" si="4818"/>
        <v>USS NIMITZ CVN 68</v>
      </c>
      <c r="C13092" t="str">
        <f t="shared" si="4819"/>
        <v>SUPPLY DEPT S-1</v>
      </c>
      <c r="D13092" t="str">
        <f t="shared" si="4820"/>
        <v>FPO</v>
      </c>
      <c r="E13092" t="str">
        <f t="shared" si="4821"/>
        <v>AP</v>
      </c>
      <c r="F13092" t="str">
        <f t="shared" si="4822"/>
        <v>966202820</v>
      </c>
      <c r="G13092" t="str">
        <f>T("USS NIMITZ CVN68")</f>
        <v>USS NIMITZ CVN68</v>
      </c>
      <c r="H13092" t="str">
        <f>T("SUPPLY/S-1A DIV")</f>
        <v>SUPPLY/S-1A DIV</v>
      </c>
      <c r="I13092" t="str">
        <f t="shared" si="4823"/>
        <v>FPO</v>
      </c>
      <c r="J13092" t="str">
        <f t="shared" si="4824"/>
        <v>AP</v>
      </c>
      <c r="K13092" t="str">
        <f>T("4253045461")</f>
        <v>4253045461</v>
      </c>
      <c r="L13092" t="str">
        <f>T("6195458472")</f>
        <v>6195458472</v>
      </c>
    </row>
    <row r="13093" spans="1:12" x14ac:dyDescent="0.35">
      <c r="A13093" t="str">
        <f t="shared" si="4817"/>
        <v>USS NIMITZ CVN-68</v>
      </c>
      <c r="B13093" t="str">
        <f t="shared" si="4818"/>
        <v>USS NIMITZ CVN 68</v>
      </c>
      <c r="C13093" t="str">
        <f t="shared" si="4819"/>
        <v>SUPPLY DEPT S-1</v>
      </c>
      <c r="D13093" t="str">
        <f t="shared" si="4820"/>
        <v>FPO</v>
      </c>
      <c r="E13093" t="str">
        <f t="shared" si="4821"/>
        <v>AP</v>
      </c>
      <c r="F13093" t="str">
        <f t="shared" si="4822"/>
        <v>966202820</v>
      </c>
      <c r="G13093" t="str">
        <f>T("USS NIMITZ CVN68")</f>
        <v>USS NIMITZ CVN68</v>
      </c>
      <c r="H13093" t="str">
        <f>T("SUPPLY/S1A DIVISION")</f>
        <v>SUPPLY/S1A DIVISION</v>
      </c>
      <c r="I13093" t="str">
        <f t="shared" si="4823"/>
        <v>FPO</v>
      </c>
      <c r="J13093" t="str">
        <f t="shared" si="4824"/>
        <v>AP</v>
      </c>
      <c r="K13093" t="str">
        <f>T("000000000000000000")</f>
        <v>000000000000000000</v>
      </c>
      <c r="L13093" t="str">
        <f>T("6195458472")</f>
        <v>6195458472</v>
      </c>
    </row>
    <row r="13094" spans="1:12" x14ac:dyDescent="0.35">
      <c r="A13094" t="str">
        <f t="shared" ref="A13094:A13109" si="4825">T("COMNAVAIRPAC N4125")</f>
        <v>COMNAVAIRPAC N4125</v>
      </c>
      <c r="B13094" t="str">
        <f>T("NAS NORTH ISLAND")</f>
        <v>NAS NORTH ISLAND</v>
      </c>
      <c r="C13094" t="str">
        <f>T("PO BOX 357051")</f>
        <v>PO BOX 357051</v>
      </c>
      <c r="D13094" t="str">
        <f>T("SAN DIEGO")</f>
        <v>SAN DIEGO</v>
      </c>
      <c r="E13094" t="str">
        <f>T("CA")</f>
        <v>CA</v>
      </c>
      <c r="F13094" t="str">
        <f>T("921357051")</f>
        <v>921357051</v>
      </c>
      <c r="G13094" t="str">
        <f>T("COMNAVAIRPAC CODE N412")</f>
        <v>COMNAVAIRPAC CODE N412</v>
      </c>
      <c r="H13094" t="str">
        <f>T("PO BOX 357051")</f>
        <v>PO BOX 357051</v>
      </c>
      <c r="I13094" t="str">
        <f>T("SAN DIEGO")</f>
        <v>SAN DIEGO</v>
      </c>
      <c r="J13094" t="str">
        <f>T("CA")</f>
        <v>CA</v>
      </c>
      <c r="K13094" t="str">
        <f>T("6195451329")</f>
        <v>6195451329</v>
      </c>
      <c r="L13094" t="str">
        <f>T("6195450251")</f>
        <v>6195450251</v>
      </c>
    </row>
    <row r="13095" spans="1:12" x14ac:dyDescent="0.35">
      <c r="A13095" t="str">
        <f t="shared" si="4825"/>
        <v>COMNAVAIRPAC N4125</v>
      </c>
      <c r="B13095" t="str">
        <f>T("NAS NORTH ISLAND")</f>
        <v>NAS NORTH ISLAND</v>
      </c>
      <c r="C13095" t="str">
        <f>T("PO BOX 357051")</f>
        <v>PO BOX 357051</v>
      </c>
      <c r="D13095" t="str">
        <f>T("SAN DIEGO")</f>
        <v>SAN DIEGO</v>
      </c>
      <c r="E13095" t="str">
        <f>T("CA")</f>
        <v>CA</v>
      </c>
      <c r="F13095" t="str">
        <f>T("921357051")</f>
        <v>921357051</v>
      </c>
      <c r="G13095" t="str">
        <f>T("COMNAVAIRPAC CODE N412")</f>
        <v>COMNAVAIRPAC CODE N412</v>
      </c>
      <c r="H13095" t="str">
        <f>T("PO BOX 357051")</f>
        <v>PO BOX 357051</v>
      </c>
      <c r="I13095" t="str">
        <f>T("SAN DIEGO")</f>
        <v>SAN DIEGO</v>
      </c>
      <c r="J13095" t="str">
        <f>T("CA")</f>
        <v>CA</v>
      </c>
      <c r="K13095" t="str">
        <f>T("6195451329")</f>
        <v>6195451329</v>
      </c>
      <c r="L13095" t="str">
        <f>T("6195451148")</f>
        <v>6195451148</v>
      </c>
    </row>
    <row r="13096" spans="1:12" x14ac:dyDescent="0.35">
      <c r="A13096" t="str">
        <f t="shared" si="4825"/>
        <v>COMNAVAIRPAC N4125</v>
      </c>
      <c r="B13096" t="str">
        <f>T("NAS NORTH ISLAND")</f>
        <v>NAS NORTH ISLAND</v>
      </c>
      <c r="C13096" t="str">
        <f>T("PO BOX 357051")</f>
        <v>PO BOX 357051</v>
      </c>
      <c r="D13096" t="str">
        <f>T("SAN DIEGO")</f>
        <v>SAN DIEGO</v>
      </c>
      <c r="E13096" t="str">
        <f>T("CA")</f>
        <v>CA</v>
      </c>
      <c r="F13096" t="str">
        <f>T("921357051")</f>
        <v>921357051</v>
      </c>
      <c r="G13096" t="str">
        <f>T("COMNAVAIRPAC N4151B")</f>
        <v>COMNAVAIRPAC N4151B</v>
      </c>
      <c r="H13096" t="str">
        <f>T("PO BOX 357051")</f>
        <v>PO BOX 357051</v>
      </c>
      <c r="I13096" t="str">
        <f>T("SAN DIEGO")</f>
        <v>SAN DIEGO</v>
      </c>
      <c r="J13096" t="str">
        <f>T("CA")</f>
        <v>CA</v>
      </c>
      <c r="K13096" t="str">
        <f>T("000000000000000000")</f>
        <v>000000000000000000</v>
      </c>
      <c r="L13096" t="str">
        <f>T("6195454470")</f>
        <v>6195454470</v>
      </c>
    </row>
    <row r="13097" spans="1:12" x14ac:dyDescent="0.35">
      <c r="A13097" t="str">
        <f t="shared" si="4825"/>
        <v>COMNAVAIRPAC N4125</v>
      </c>
      <c r="B13097" t="str">
        <f>T("NAS NORTH ISLAND")</f>
        <v>NAS NORTH ISLAND</v>
      </c>
      <c r="C13097" t="str">
        <f>T("PO BOX 357051")</f>
        <v>PO BOX 357051</v>
      </c>
      <c r="D13097" t="str">
        <f>T("SAN DIEGO")</f>
        <v>SAN DIEGO</v>
      </c>
      <c r="E13097" t="str">
        <f>T("CA")</f>
        <v>CA</v>
      </c>
      <c r="F13097" t="str">
        <f>T("921357051")</f>
        <v>921357051</v>
      </c>
      <c r="G13097" t="str">
        <f>T("NAS NORTH ISLAND")</f>
        <v>NAS NORTH ISLAND</v>
      </c>
      <c r="H13097" t="str">
        <f>T("PO BOX 357051")</f>
        <v>PO BOX 357051</v>
      </c>
      <c r="I13097" t="str">
        <f>T("SAN DIEGO")</f>
        <v>SAN DIEGO</v>
      </c>
      <c r="J13097" t="str">
        <f>T("CA")</f>
        <v>CA</v>
      </c>
      <c r="K13097" t="str">
        <f>T("6195451329")</f>
        <v>6195451329</v>
      </c>
      <c r="L13097" t="str">
        <f>T("6195450251")</f>
        <v>6195450251</v>
      </c>
    </row>
    <row r="13098" spans="1:12" x14ac:dyDescent="0.35">
      <c r="A13098" t="str">
        <f t="shared" si="4825"/>
        <v>COMNAVAIRPAC N4125</v>
      </c>
      <c r="B13098" t="str">
        <f>T("NAVAL STATION-GSE")</f>
        <v>NAVAL STATION-GSE</v>
      </c>
      <c r="C13098" t="str">
        <f>T("2130 POTER ST")</f>
        <v>2130 POTER ST</v>
      </c>
      <c r="D13098" t="str">
        <f>T("EVERETT")</f>
        <v>EVERETT</v>
      </c>
      <c r="E13098" t="str">
        <f>T("WA")</f>
        <v>WA</v>
      </c>
      <c r="F13098" t="str">
        <f>T("982070001")</f>
        <v>982070001</v>
      </c>
      <c r="G13098" t="str">
        <f>T("NAVAL STATION EVERETT")</f>
        <v>NAVAL STATION EVERETT</v>
      </c>
      <c r="H13098" t="str">
        <f>T("2130 POTTER ST")</f>
        <v>2130 POTTER ST</v>
      </c>
      <c r="I13098" t="str">
        <f>T("EVERETT")</f>
        <v>EVERETT</v>
      </c>
      <c r="J13098" t="str">
        <f>T("WA")</f>
        <v>WA</v>
      </c>
      <c r="K13098" t="str">
        <f>T("4253044402")</f>
        <v>4253044402</v>
      </c>
      <c r="L13098" t="str">
        <f>T("4253044418")</f>
        <v>4253044418</v>
      </c>
    </row>
    <row r="13099" spans="1:12" x14ac:dyDescent="0.35">
      <c r="A13099" t="str">
        <f t="shared" si="4825"/>
        <v>COMNAVAIRPAC N4125</v>
      </c>
      <c r="B13099" t="str">
        <f>T("NAVAL STATION-GSE")</f>
        <v>NAVAL STATION-GSE</v>
      </c>
      <c r="C13099" t="str">
        <f>T("2130 POTER ST")</f>
        <v>2130 POTER ST</v>
      </c>
      <c r="D13099" t="str">
        <f>T("EVERETT")</f>
        <v>EVERETT</v>
      </c>
      <c r="E13099" t="str">
        <f>T("WA")</f>
        <v>WA</v>
      </c>
      <c r="F13099" t="str">
        <f>T("982070001")</f>
        <v>982070001</v>
      </c>
      <c r="G13099" t="str">
        <f>T("NAVAL STATION- GSE")</f>
        <v>NAVAL STATION- GSE</v>
      </c>
      <c r="H13099" t="str">
        <f>T("2130 POTTER ST")</f>
        <v>2130 POTTER ST</v>
      </c>
      <c r="I13099" t="str">
        <f>T("EVERETT")</f>
        <v>EVERETT</v>
      </c>
      <c r="J13099" t="str">
        <f>T("WA")</f>
        <v>WA</v>
      </c>
      <c r="K13099" t="str">
        <f>T("4253044402")</f>
        <v>4253044402</v>
      </c>
      <c r="L13099" t="str">
        <f>T("4253044408")</f>
        <v>4253044408</v>
      </c>
    </row>
    <row r="13100" spans="1:12" x14ac:dyDescent="0.35">
      <c r="A13100" t="str">
        <f t="shared" si="4825"/>
        <v>COMNAVAIRPAC N4125</v>
      </c>
      <c r="B13100" t="str">
        <f>T("NAVAL STATION-GSE")</f>
        <v>NAVAL STATION-GSE</v>
      </c>
      <c r="C13100" t="str">
        <f>T("2130 POTER ST")</f>
        <v>2130 POTER ST</v>
      </c>
      <c r="D13100" t="str">
        <f>T("EVERETT")</f>
        <v>EVERETT</v>
      </c>
      <c r="E13100" t="str">
        <f>T("WA")</f>
        <v>WA</v>
      </c>
      <c r="F13100" t="str">
        <f>T("982070001")</f>
        <v>982070001</v>
      </c>
      <c r="G13100" t="str">
        <f>T("NAVAL STATION- GSE")</f>
        <v>NAVAL STATION- GSE</v>
      </c>
      <c r="H13100" t="str">
        <f>T("2130 POTTER ST")</f>
        <v>2130 POTTER ST</v>
      </c>
      <c r="I13100" t="str">
        <f>T("EVERETT")</f>
        <v>EVERETT</v>
      </c>
      <c r="J13100" t="str">
        <f>T("WA")</f>
        <v>WA</v>
      </c>
      <c r="K13100" t="str">
        <f>T("4253044402")</f>
        <v>4253044402</v>
      </c>
      <c r="L13100" t="str">
        <f>T("4253044409")</f>
        <v>4253044409</v>
      </c>
    </row>
    <row r="13101" spans="1:12" x14ac:dyDescent="0.35">
      <c r="A13101" t="str">
        <f t="shared" si="4825"/>
        <v>COMNAVAIRPAC N4125</v>
      </c>
      <c r="B13101" t="str">
        <f>T("NAVAL STATION-GSE")</f>
        <v>NAVAL STATION-GSE</v>
      </c>
      <c r="C13101" t="str">
        <f>T("2130 POTER ST")</f>
        <v>2130 POTER ST</v>
      </c>
      <c r="D13101" t="str">
        <f>T("EVERETT")</f>
        <v>EVERETT</v>
      </c>
      <c r="E13101" t="str">
        <f>T("WA")</f>
        <v>WA</v>
      </c>
      <c r="F13101" t="str">
        <f>T("982070001")</f>
        <v>982070001</v>
      </c>
      <c r="G13101" t="str">
        <f>T("NAVAL STATION-GSE")</f>
        <v>NAVAL STATION-GSE</v>
      </c>
      <c r="H13101" t="str">
        <f>T("2130 POTER ST")</f>
        <v>2130 POTER ST</v>
      </c>
      <c r="I13101" t="str">
        <f>T("EVERETT")</f>
        <v>EVERETT</v>
      </c>
      <c r="J13101" t="str">
        <f>T("WA")</f>
        <v>WA</v>
      </c>
      <c r="K13101" t="str">
        <f>T("4253044402")</f>
        <v>4253044402</v>
      </c>
      <c r="L13101" t="str">
        <f>T("4253044403")</f>
        <v>4253044403</v>
      </c>
    </row>
    <row r="13102" spans="1:12" x14ac:dyDescent="0.35">
      <c r="A13102" t="str">
        <f t="shared" si="4825"/>
        <v>COMNAVAIRPAC N4125</v>
      </c>
      <c r="B13102" t="str">
        <f t="shared" ref="B13102:B13107" si="4826">T("PO BOX 357051")</f>
        <v>PO BOX 357051</v>
      </c>
      <c r="C13102" t="str">
        <f>T("CODE N62")</f>
        <v>CODE N62</v>
      </c>
      <c r="D13102" t="str">
        <f t="shared" ref="D13102:D13107" si="4827">T("SAN DIEGO")</f>
        <v>SAN DIEGO</v>
      </c>
      <c r="E13102" t="str">
        <f t="shared" ref="E13102:E13107" si="4828">T("CA")</f>
        <v>CA</v>
      </c>
      <c r="F13102" t="str">
        <f t="shared" ref="F13102:F13107" si="4829">T("921357051")</f>
        <v>921357051</v>
      </c>
      <c r="G13102" t="str">
        <f>T("COMNAVAIRPAC N62")</f>
        <v>COMNAVAIRPAC N62</v>
      </c>
      <c r="H13102" t="str">
        <f>T("PO BOX 357051")</f>
        <v>PO BOX 357051</v>
      </c>
      <c r="I13102" t="str">
        <f t="shared" ref="I13102:I13107" si="4830">T("SAN DIEGO")</f>
        <v>SAN DIEGO</v>
      </c>
      <c r="J13102" t="str">
        <f t="shared" ref="J13102:J13107" si="4831">T("CA")</f>
        <v>CA</v>
      </c>
      <c r="K13102" t="str">
        <f>T("6195452023")</f>
        <v>6195452023</v>
      </c>
      <c r="L13102" t="str">
        <f>T("6195452023")</f>
        <v>6195452023</v>
      </c>
    </row>
    <row r="13103" spans="1:12" x14ac:dyDescent="0.35">
      <c r="A13103" t="str">
        <f t="shared" si="4825"/>
        <v>COMNAVAIRPAC N4125</v>
      </c>
      <c r="B13103" t="str">
        <f t="shared" si="4826"/>
        <v>PO BOX 357051</v>
      </c>
      <c r="C13103" t="str">
        <f>T("CODE N62")</f>
        <v>CODE N62</v>
      </c>
      <c r="D13103" t="str">
        <f t="shared" si="4827"/>
        <v>SAN DIEGO</v>
      </c>
      <c r="E13103" t="str">
        <f t="shared" si="4828"/>
        <v>CA</v>
      </c>
      <c r="F13103" t="str">
        <f t="shared" si="4829"/>
        <v>921357051</v>
      </c>
      <c r="G13103" t="str">
        <f>T("MURRAY ST BLDG 11")</f>
        <v>MURRAY ST BLDG 11</v>
      </c>
      <c r="H13103" t="str">
        <f>T("NAS NORTH ISLAND")</f>
        <v>NAS NORTH ISLAND</v>
      </c>
      <c r="I13103" t="str">
        <f t="shared" si="4830"/>
        <v>SAN DIEGO</v>
      </c>
      <c r="J13103" t="str">
        <f t="shared" si="4831"/>
        <v>CA</v>
      </c>
      <c r="K13103" t="str">
        <f>T("6195458783")</f>
        <v>6195458783</v>
      </c>
      <c r="L13103" t="str">
        <f>T("6195458783")</f>
        <v>6195458783</v>
      </c>
    </row>
    <row r="13104" spans="1:12" x14ac:dyDescent="0.35">
      <c r="A13104" t="str">
        <f t="shared" si="4825"/>
        <v>COMNAVAIRPAC N4125</v>
      </c>
      <c r="B13104" t="str">
        <f t="shared" si="4826"/>
        <v>PO BOX 357051</v>
      </c>
      <c r="C13104" t="str">
        <f>T("CODE N62")</f>
        <v>CODE N62</v>
      </c>
      <c r="D13104" t="str">
        <f t="shared" si="4827"/>
        <v>SAN DIEGO</v>
      </c>
      <c r="E13104" t="str">
        <f t="shared" si="4828"/>
        <v>CA</v>
      </c>
      <c r="F13104" t="str">
        <f t="shared" si="4829"/>
        <v>921357051</v>
      </c>
      <c r="G13104" t="str">
        <f>T("PO BOX 357051")</f>
        <v>PO BOX 357051</v>
      </c>
      <c r="H13104" t="str">
        <f>T("CODE N62")</f>
        <v>CODE N62</v>
      </c>
      <c r="I13104" t="str">
        <f t="shared" si="4830"/>
        <v>SAN DIEGO</v>
      </c>
      <c r="J13104" t="str">
        <f t="shared" si="4831"/>
        <v>CA</v>
      </c>
      <c r="K13104" t="str">
        <f>T("619 545 4524")</f>
        <v>619 545 4524</v>
      </c>
      <c r="L13104" t="str">
        <f>T("6195451150")</f>
        <v>6195451150</v>
      </c>
    </row>
    <row r="13105" spans="1:12" x14ac:dyDescent="0.35">
      <c r="A13105" t="str">
        <f t="shared" si="4825"/>
        <v>COMNAVAIRPAC N4125</v>
      </c>
      <c r="B13105" t="str">
        <f t="shared" si="4826"/>
        <v>PO BOX 357051</v>
      </c>
      <c r="C13105" t="str">
        <f>T("NAS NORTH ISLAND")</f>
        <v>NAS NORTH ISLAND</v>
      </c>
      <c r="D13105" t="str">
        <f t="shared" si="4827"/>
        <v>SAN DIEGO</v>
      </c>
      <c r="E13105" t="str">
        <f t="shared" si="4828"/>
        <v>CA</v>
      </c>
      <c r="F13105" t="str">
        <f t="shared" si="4829"/>
        <v>921357051</v>
      </c>
      <c r="G13105" t="str">
        <f>T("COMNAVAIRPAC CODE N432A")</f>
        <v>COMNAVAIRPAC CODE N432A</v>
      </c>
      <c r="H13105" t="str">
        <f>T("PO BOX 357051")</f>
        <v>PO BOX 357051</v>
      </c>
      <c r="I13105" t="str">
        <f t="shared" si="4830"/>
        <v>SAN DIEGO</v>
      </c>
      <c r="J13105" t="str">
        <f t="shared" si="4831"/>
        <v>CA</v>
      </c>
      <c r="K13105" t="str">
        <f>T("000000000000000000")</f>
        <v>000000000000000000</v>
      </c>
      <c r="L13105" t="str">
        <f>T("6195455524")</f>
        <v>6195455524</v>
      </c>
    </row>
    <row r="13106" spans="1:12" x14ac:dyDescent="0.35">
      <c r="A13106" t="str">
        <f t="shared" si="4825"/>
        <v>COMNAVAIRPAC N4125</v>
      </c>
      <c r="B13106" t="str">
        <f t="shared" si="4826"/>
        <v>PO BOX 357051</v>
      </c>
      <c r="C13106" t="str">
        <f>T("NAS NORTH ISLAND")</f>
        <v>NAS NORTH ISLAND</v>
      </c>
      <c r="D13106" t="str">
        <f t="shared" si="4827"/>
        <v>SAN DIEGO</v>
      </c>
      <c r="E13106" t="str">
        <f t="shared" si="4828"/>
        <v>CA</v>
      </c>
      <c r="F13106" t="str">
        <f t="shared" si="4829"/>
        <v>921357051</v>
      </c>
      <c r="G13106" t="str">
        <f>T("COMNAVAIRPAC CODE N432A")</f>
        <v>COMNAVAIRPAC CODE N432A</v>
      </c>
      <c r="H13106" t="str">
        <f>T("PO BOX 357051")</f>
        <v>PO BOX 357051</v>
      </c>
      <c r="I13106" t="str">
        <f t="shared" si="4830"/>
        <v>SAN DIEGO</v>
      </c>
      <c r="J13106" t="str">
        <f t="shared" si="4831"/>
        <v>CA</v>
      </c>
      <c r="K13106" t="str">
        <f>T("6195459673")</f>
        <v>6195459673</v>
      </c>
      <c r="L13106" t="str">
        <f>T("6195451525")</f>
        <v>6195451525</v>
      </c>
    </row>
    <row r="13107" spans="1:12" x14ac:dyDescent="0.35">
      <c r="A13107" t="str">
        <f t="shared" si="4825"/>
        <v>COMNAVAIRPAC N4125</v>
      </c>
      <c r="B13107" t="str">
        <f t="shared" si="4826"/>
        <v>PO BOX 357051</v>
      </c>
      <c r="C13107" t="str">
        <f>T("NAS NORTH ISLAND")</f>
        <v>NAS NORTH ISLAND</v>
      </c>
      <c r="D13107" t="str">
        <f t="shared" si="4827"/>
        <v>SAN DIEGO</v>
      </c>
      <c r="E13107" t="str">
        <f t="shared" si="4828"/>
        <v>CA</v>
      </c>
      <c r="F13107" t="str">
        <f t="shared" si="4829"/>
        <v>921357051</v>
      </c>
      <c r="G13107" t="str">
        <f>T("PO BOX 357051")</f>
        <v>PO BOX 357051</v>
      </c>
      <c r="H13107" t="str">
        <f>T("NAS NORTH ISLAND")</f>
        <v>NAS NORTH ISLAND</v>
      </c>
      <c r="I13107" t="str">
        <f t="shared" si="4830"/>
        <v>SAN DIEGO</v>
      </c>
      <c r="J13107" t="str">
        <f t="shared" si="4831"/>
        <v>CA</v>
      </c>
      <c r="K13107" t="str">
        <f>T("6195455570")</f>
        <v>6195455570</v>
      </c>
      <c r="L13107" t="str">
        <f>T("6195452847")</f>
        <v>6195452847</v>
      </c>
    </row>
    <row r="13108" spans="1:12" x14ac:dyDescent="0.35">
      <c r="A13108" t="str">
        <f t="shared" si="4825"/>
        <v>COMNAVAIRPAC N4125</v>
      </c>
      <c r="B13108" t="str">
        <f>T("PSC 473 BOX 11-63")</f>
        <v>PSC 473 BOX 11-63</v>
      </c>
      <c r="C13108" t="str">
        <f>T("")</f>
        <v/>
      </c>
      <c r="D13108" t="str">
        <f>T("FPO")</f>
        <v>FPO</v>
      </c>
      <c r="E13108" t="str">
        <f>T("AP")</f>
        <v>AP</v>
      </c>
      <c r="F13108" t="str">
        <f>T("963490012")</f>
        <v>963490012</v>
      </c>
      <c r="G13108" t="str">
        <f>T("PSC 473 BOX 11-63")</f>
        <v>PSC 473 BOX 11-63</v>
      </c>
      <c r="H13108" t="str">
        <f>T("")</f>
        <v/>
      </c>
      <c r="I13108" t="str">
        <f>T("FPO")</f>
        <v>FPO</v>
      </c>
      <c r="J13108" t="str">
        <f>T("AP")</f>
        <v>AP</v>
      </c>
      <c r="K13108" t="str">
        <f>T("8084738703")</f>
        <v>8084738703</v>
      </c>
      <c r="L13108" t="str">
        <f>T("1111111111")</f>
        <v>1111111111</v>
      </c>
    </row>
    <row r="13109" spans="1:12" x14ac:dyDescent="0.35">
      <c r="A13109" t="str">
        <f t="shared" si="4825"/>
        <v>COMNAVAIRPAC N4125</v>
      </c>
      <c r="B13109" t="str">
        <f>T("PSC 473 BOX 11-63")</f>
        <v>PSC 473 BOX 11-63</v>
      </c>
      <c r="C13109" t="str">
        <f>T("")</f>
        <v/>
      </c>
      <c r="D13109" t="str">
        <f>T("FPO")</f>
        <v>FPO</v>
      </c>
      <c r="E13109" t="str">
        <f>T("AP")</f>
        <v>AP</v>
      </c>
      <c r="F13109" t="str">
        <f>T("963490012")</f>
        <v>963490012</v>
      </c>
      <c r="G13109" t="str">
        <f>T("PSC 473 BOX 11119")</f>
        <v>PSC 473 BOX 11119</v>
      </c>
      <c r="H13109" t="str">
        <f>T("")</f>
        <v/>
      </c>
      <c r="I13109" t="str">
        <f>T("FPO")</f>
        <v>FPO</v>
      </c>
      <c r="J13109" t="str">
        <f>T("AP")</f>
        <v>AP</v>
      </c>
      <c r="K13109" t="str">
        <f>T("000000000000000000")</f>
        <v>000000000000000000</v>
      </c>
      <c r="L13109" t="str">
        <f>T("3152431527")</f>
        <v>3152431527</v>
      </c>
    </row>
    <row r="13110" spans="1:12" x14ac:dyDescent="0.35">
      <c r="A13110" t="str">
        <f>T("FLT IMAGING COMMAND PAC")</f>
        <v>FLT IMAGING COMMAND PAC</v>
      </c>
      <c r="B13110" t="str">
        <f>T("BOX 357094")</f>
        <v>BOX 357094</v>
      </c>
      <c r="C13110" t="str">
        <f>T("NAS NORTH ISLAND")</f>
        <v>NAS NORTH ISLAND</v>
      </c>
      <c r="D13110" t="str">
        <f>T("SAN DIEGO")</f>
        <v>SAN DIEGO</v>
      </c>
      <c r="E13110" t="str">
        <f>T("CA")</f>
        <v>CA</v>
      </c>
      <c r="F13110" t="str">
        <f>T("921357094")</f>
        <v>921357094</v>
      </c>
      <c r="G13110" t="str">
        <f>T("BLDG 251 SAUFLEY RD")</f>
        <v>BLDG 251 SAUFLEY RD</v>
      </c>
      <c r="H13110" t="str">
        <f>T("")</f>
        <v/>
      </c>
      <c r="I13110" t="str">
        <f>T("SAN DIEGO")</f>
        <v>SAN DIEGO</v>
      </c>
      <c r="J13110" t="str">
        <f>T("CA")</f>
        <v>CA</v>
      </c>
      <c r="K13110" t="str">
        <f>T("6195451185")</f>
        <v>6195451185</v>
      </c>
      <c r="L13110" t="str">
        <f>T("6195451203")</f>
        <v>6195451203</v>
      </c>
    </row>
    <row r="13111" spans="1:12" x14ac:dyDescent="0.35">
      <c r="A13111" t="str">
        <f>T("FLT IMAGING COMMAND PAC")</f>
        <v>FLT IMAGING COMMAND PAC</v>
      </c>
      <c r="B13111" t="str">
        <f>T("BOX 357094")</f>
        <v>BOX 357094</v>
      </c>
      <c r="C13111" t="str">
        <f>T("NAS NORTH ISLAND")</f>
        <v>NAS NORTH ISLAND</v>
      </c>
      <c r="D13111" t="str">
        <f>T("SAN DIEGO")</f>
        <v>SAN DIEGO</v>
      </c>
      <c r="E13111" t="str">
        <f>T("CA")</f>
        <v>CA</v>
      </c>
      <c r="F13111" t="str">
        <f>T("921357094")</f>
        <v>921357094</v>
      </c>
      <c r="G13111" t="str">
        <f>T("BOX 357094")</f>
        <v>BOX 357094</v>
      </c>
      <c r="H13111" t="str">
        <f>T("NAS NORTH ISLAND")</f>
        <v>NAS NORTH ISLAND</v>
      </c>
      <c r="I13111" t="str">
        <f>T("SAN DIEGO")</f>
        <v>SAN DIEGO</v>
      </c>
      <c r="J13111" t="str">
        <f>T("CA")</f>
        <v>CA</v>
      </c>
      <c r="K13111" t="str">
        <f>T("619 545 1213")</f>
        <v>619 545 1213</v>
      </c>
      <c r="L13111" t="str">
        <f>T("6195451202")</f>
        <v>6195451202</v>
      </c>
    </row>
    <row r="13112" spans="1:12" x14ac:dyDescent="0.35">
      <c r="A13112" t="str">
        <f>T("FLT IMAGING COMMAND PAC")</f>
        <v>FLT IMAGING COMMAND PAC</v>
      </c>
      <c r="B13112" t="str">
        <f>T("BOX 357094")</f>
        <v>BOX 357094</v>
      </c>
      <c r="C13112" t="str">
        <f>T("NAS NORTH ISLAND")</f>
        <v>NAS NORTH ISLAND</v>
      </c>
      <c r="D13112" t="str">
        <f>T("SAN DIEGO")</f>
        <v>SAN DIEGO</v>
      </c>
      <c r="E13112" t="str">
        <f>T("CA")</f>
        <v>CA</v>
      </c>
      <c r="F13112" t="str">
        <f>T("921357094")</f>
        <v>921357094</v>
      </c>
      <c r="G13112" t="str">
        <f>T("FLTIMAGCOMPAC BLDG 251 SAUFLEY RD")</f>
        <v>FLTIMAGCOMPAC BLDG 251 SAUFLEY RD</v>
      </c>
      <c r="H13112" t="str">
        <f>T("BOX 357074 NAS NORTH ISLAND")</f>
        <v>BOX 357074 NAS NORTH ISLAND</v>
      </c>
      <c r="I13112" t="str">
        <f>T("SAN DIEGO")</f>
        <v>SAN DIEGO</v>
      </c>
      <c r="J13112" t="str">
        <f>T("CA")</f>
        <v>CA</v>
      </c>
      <c r="K13112" t="str">
        <f>T("6195451185")</f>
        <v>6195451185</v>
      </c>
      <c r="L13112" t="str">
        <f>T("6195451203")</f>
        <v>6195451203</v>
      </c>
    </row>
    <row r="13113" spans="1:12" x14ac:dyDescent="0.35">
      <c r="A13113" t="str">
        <f>T("ELATTKWPNS SCHOOL")</f>
        <v>ELATTKWPNS SCHOOL</v>
      </c>
      <c r="B13113" t="str">
        <f>T("3760 N CHARLES PORTER AVE")</f>
        <v>3760 N CHARLES PORTER AVE</v>
      </c>
      <c r="C13113" t="str">
        <f>T("HANGAR 5")</f>
        <v>HANGAR 5</v>
      </c>
      <c r="D13113" t="str">
        <f>T("OAK HARBOR")</f>
        <v>OAK HARBOR</v>
      </c>
      <c r="E13113" t="str">
        <f>T("WA")</f>
        <v>WA</v>
      </c>
      <c r="F13113" t="str">
        <f>T("982784909")</f>
        <v>982784909</v>
      </c>
      <c r="G13113" t="str">
        <f>T("3760 N CHARLES PORTER AVE")</f>
        <v>3760 N CHARLES PORTER AVE</v>
      </c>
      <c r="H13113" t="str">
        <f>T("HANGAR 5")</f>
        <v>HANGAR 5</v>
      </c>
      <c r="I13113" t="str">
        <f>T("OAK HARBOR")</f>
        <v>OAK HARBOR</v>
      </c>
      <c r="J13113" t="str">
        <f>T("WA")</f>
        <v>WA</v>
      </c>
      <c r="K13113" t="str">
        <f>T("3602573792")</f>
        <v>3602573792</v>
      </c>
      <c r="L13113" t="str">
        <f>T("3602573510")</f>
        <v>3602573510</v>
      </c>
    </row>
    <row r="13114" spans="1:12" x14ac:dyDescent="0.35">
      <c r="A13114" t="str">
        <f>T("ELATTKWPNS SCHOOL")</f>
        <v>ELATTKWPNS SCHOOL</v>
      </c>
      <c r="B13114" t="str">
        <f>T("3760 N CHARLES PORTER AVE")</f>
        <v>3760 N CHARLES PORTER AVE</v>
      </c>
      <c r="C13114" t="str">
        <f>T("HANGAR 5")</f>
        <v>HANGAR 5</v>
      </c>
      <c r="D13114" t="str">
        <f>T("OAK HARBOR")</f>
        <v>OAK HARBOR</v>
      </c>
      <c r="E13114" t="str">
        <f>T("WA")</f>
        <v>WA</v>
      </c>
      <c r="F13114" t="str">
        <f>T("982784909")</f>
        <v>982784909</v>
      </c>
      <c r="G13114" t="str">
        <f>T("3760 N CHARLES PORTER AVE")</f>
        <v>3760 N CHARLES PORTER AVE</v>
      </c>
      <c r="H13114" t="str">
        <f>T("HANGAR 5 BLDG 386")</f>
        <v>HANGAR 5 BLDG 386</v>
      </c>
      <c r="I13114" t="str">
        <f>T("OAK HARBOR")</f>
        <v>OAK HARBOR</v>
      </c>
      <c r="J13114" t="str">
        <f>T("WA")</f>
        <v>WA</v>
      </c>
      <c r="K13114" t="str">
        <f>T("3602573792")</f>
        <v>3602573792</v>
      </c>
      <c r="L13114" t="str">
        <f>T("3602571056")</f>
        <v>3602571056</v>
      </c>
    </row>
    <row r="13115" spans="1:12" x14ac:dyDescent="0.35">
      <c r="A13115" t="str">
        <f>T("VFA-146 MATERIAL CONTROL")</f>
        <v>VFA-146 MATERIAL CONTROL</v>
      </c>
      <c r="B13115" t="str">
        <f t="shared" ref="B13115:B13120" si="4832">T("270 REEVES BLVD")</f>
        <v>270 REEVES BLVD</v>
      </c>
      <c r="C13115" t="str">
        <f>T("HGR 3 MOD 1")</f>
        <v>HGR 3 MOD 1</v>
      </c>
      <c r="D13115" t="str">
        <f t="shared" ref="D13115:D13130" si="4833">T("LEMOORE")</f>
        <v>LEMOORE</v>
      </c>
      <c r="E13115" t="str">
        <f t="shared" ref="E13115:E13130" si="4834">T("CA")</f>
        <v>CA</v>
      </c>
      <c r="F13115" t="str">
        <f>T("932467301")</f>
        <v>932467301</v>
      </c>
      <c r="G13115" t="str">
        <f>T("270 REEVES BLVD")</f>
        <v>270 REEVES BLVD</v>
      </c>
      <c r="H13115" t="str">
        <f>T("HANGAR 3 MOD 1")</f>
        <v>HANGAR 3 MOD 1</v>
      </c>
      <c r="I13115" t="str">
        <f>T("LEMOORE")</f>
        <v>LEMOORE</v>
      </c>
      <c r="J13115" t="str">
        <f t="shared" ref="J13115:J13130" si="4835">T("CA")</f>
        <v>CA</v>
      </c>
      <c r="K13115" t="str">
        <f>T("000000000000000000")</f>
        <v>000000000000000000</v>
      </c>
      <c r="L13115" t="str">
        <f>T("5599983148")</f>
        <v>5599983148</v>
      </c>
    </row>
    <row r="13116" spans="1:12" x14ac:dyDescent="0.35">
      <c r="A13116" t="str">
        <f>T("VFA-146 MATERIAL CONTROL")</f>
        <v>VFA-146 MATERIAL CONTROL</v>
      </c>
      <c r="B13116" t="str">
        <f t="shared" si="4832"/>
        <v>270 REEVES BLVD</v>
      </c>
      <c r="C13116" t="str">
        <f>T("HGR 3 MOD 1")</f>
        <v>HGR 3 MOD 1</v>
      </c>
      <c r="D13116" t="str">
        <f t="shared" si="4833"/>
        <v>LEMOORE</v>
      </c>
      <c r="E13116" t="str">
        <f t="shared" si="4834"/>
        <v>CA</v>
      </c>
      <c r="F13116" t="str">
        <f>T("932467301")</f>
        <v>932467301</v>
      </c>
      <c r="G13116" t="str">
        <f>T("270 REEVES BLVD")</f>
        <v>270 REEVES BLVD</v>
      </c>
      <c r="H13116" t="str">
        <f>T("HGR 3 MOD 1")</f>
        <v>HGR 3 MOD 1</v>
      </c>
      <c r="I13116" t="str">
        <f>T("LEMOORE")</f>
        <v>LEMOORE</v>
      </c>
      <c r="J13116" t="str">
        <f t="shared" si="4835"/>
        <v>CA</v>
      </c>
      <c r="K13116" t="str">
        <f>T("5599983145")</f>
        <v>5599983145</v>
      </c>
      <c r="L13116" t="str">
        <f>T("5599983148")</f>
        <v>5599983148</v>
      </c>
    </row>
    <row r="13117" spans="1:12" x14ac:dyDescent="0.35">
      <c r="A13117" t="str">
        <f>T("VFA-146 MATERIAL CONTROL")</f>
        <v>VFA-146 MATERIAL CONTROL</v>
      </c>
      <c r="B13117" t="str">
        <f t="shared" si="4832"/>
        <v>270 REEVES BLVD</v>
      </c>
      <c r="C13117" t="str">
        <f>T("HGR 3 MOD 1")</f>
        <v>HGR 3 MOD 1</v>
      </c>
      <c r="D13117" t="str">
        <f t="shared" si="4833"/>
        <v>LEMOORE</v>
      </c>
      <c r="E13117" t="str">
        <f t="shared" si="4834"/>
        <v>CA</v>
      </c>
      <c r="F13117" t="str">
        <f>T("932467301")</f>
        <v>932467301</v>
      </c>
      <c r="G13117" t="str">
        <f>T("270 REEVES BLVD UNIT 146")</f>
        <v>270 REEVES BLVD UNIT 146</v>
      </c>
      <c r="H13117" t="str">
        <f>T("HANGAR 3 MOD 1")</f>
        <v>HANGAR 3 MOD 1</v>
      </c>
      <c r="I13117" t="str">
        <f>T("LEMOORE")</f>
        <v>LEMOORE</v>
      </c>
      <c r="J13117" t="str">
        <f t="shared" si="4835"/>
        <v>CA</v>
      </c>
      <c r="K13117" t="str">
        <f>T("5599983184")</f>
        <v>5599983184</v>
      </c>
      <c r="L13117" t="str">
        <f>T("5599983148")</f>
        <v>5599983148</v>
      </c>
    </row>
    <row r="13118" spans="1:12" x14ac:dyDescent="0.35">
      <c r="A13118" t="str">
        <f>T("VFA-146 MATERIAL CONTROL")</f>
        <v>VFA-146 MATERIAL CONTROL</v>
      </c>
      <c r="B13118" t="str">
        <f t="shared" si="4832"/>
        <v>270 REEVES BLVD</v>
      </c>
      <c r="C13118" t="str">
        <f>T("HGR 3 MOD 1")</f>
        <v>HGR 3 MOD 1</v>
      </c>
      <c r="D13118" t="str">
        <f t="shared" si="4833"/>
        <v>LEMOORE</v>
      </c>
      <c r="E13118" t="str">
        <f t="shared" si="4834"/>
        <v>CA</v>
      </c>
      <c r="F13118" t="str">
        <f>T("932467301")</f>
        <v>932467301</v>
      </c>
      <c r="G13118" t="str">
        <f>T("VFA-146 270 REEVES BLVD")</f>
        <v>VFA-146 270 REEVES BLVD</v>
      </c>
      <c r="H13118" t="str">
        <f>T("HNG 3 MOD 1")</f>
        <v>HNG 3 MOD 1</v>
      </c>
      <c r="I13118" t="str">
        <f>T("LEMOORE")</f>
        <v>LEMOORE</v>
      </c>
      <c r="J13118" t="str">
        <f t="shared" si="4835"/>
        <v>CA</v>
      </c>
      <c r="K13118" t="str">
        <f>T("000000000000000000")</f>
        <v>000000000000000000</v>
      </c>
      <c r="L13118" t="str">
        <f>T("5599983148")</f>
        <v>5599983148</v>
      </c>
    </row>
    <row r="13119" spans="1:12" x14ac:dyDescent="0.35">
      <c r="A13119" t="str">
        <f>T("VFA-192")</f>
        <v>VFA-192</v>
      </c>
      <c r="B13119" t="str">
        <f t="shared" si="4832"/>
        <v>270 REEVES BLVD</v>
      </c>
      <c r="C13119" t="str">
        <f>T("HANGAR 3 MOD 3")</f>
        <v>HANGAR 3 MOD 3</v>
      </c>
      <c r="D13119" t="str">
        <f t="shared" si="4833"/>
        <v>LEMOORE</v>
      </c>
      <c r="E13119" t="str">
        <f t="shared" si="4834"/>
        <v>CA</v>
      </c>
      <c r="F13119" t="str">
        <f>T("932466236")</f>
        <v>932466236</v>
      </c>
      <c r="G13119" t="str">
        <f>T("270 REEVES BLVD")</f>
        <v>270 REEVES BLVD</v>
      </c>
      <c r="H13119" t="str">
        <f>T("HANGAR 3 MOD 3")</f>
        <v>HANGAR 3 MOD 3</v>
      </c>
      <c r="I13119" t="str">
        <f>T("LEMOORE")</f>
        <v>LEMOORE</v>
      </c>
      <c r="J13119" t="str">
        <f t="shared" si="4835"/>
        <v>CA</v>
      </c>
      <c r="K13119" t="str">
        <f>T("011810467634575")</f>
        <v>011810467634575</v>
      </c>
      <c r="L13119" t="str">
        <f>T("1111111111")</f>
        <v>1111111111</v>
      </c>
    </row>
    <row r="13120" spans="1:12" x14ac:dyDescent="0.35">
      <c r="A13120" t="str">
        <f>T("VFA-192")</f>
        <v>VFA-192</v>
      </c>
      <c r="B13120" t="str">
        <f t="shared" si="4832"/>
        <v>270 REEVES BLVD</v>
      </c>
      <c r="C13120" t="str">
        <f>T("HANGAR 3 MOD 3")</f>
        <v>HANGAR 3 MOD 3</v>
      </c>
      <c r="D13120" t="str">
        <f t="shared" si="4833"/>
        <v>LEMOORE</v>
      </c>
      <c r="E13120" t="str">
        <f t="shared" si="4834"/>
        <v>CA</v>
      </c>
      <c r="F13120" t="str">
        <f>T("932466236")</f>
        <v>932466236</v>
      </c>
      <c r="G13120" t="str">
        <f>T("270 REEVES BLVD HGR 3 MOD 3")</f>
        <v>270 REEVES BLVD HGR 3 MOD 3</v>
      </c>
      <c r="H13120" t="str">
        <f>T("")</f>
        <v/>
      </c>
      <c r="I13120" t="str">
        <f>T("LEMOORE NAS")</f>
        <v>LEMOORE NAS</v>
      </c>
      <c r="J13120" t="str">
        <f t="shared" si="4835"/>
        <v>CA</v>
      </c>
      <c r="K13120" t="str">
        <f>T("000000000000000000")</f>
        <v>000000000000000000</v>
      </c>
      <c r="L13120" t="str">
        <f>T("5599983096")</f>
        <v>5599983096</v>
      </c>
    </row>
    <row r="13121" spans="1:12" x14ac:dyDescent="0.35">
      <c r="A13121" t="str">
        <f>T("VFA FOURTEEN")</f>
        <v>VFA FOURTEEN</v>
      </c>
      <c r="B13121" t="str">
        <f t="shared" ref="B13121:B13127" si="4836">T("240 REEVES BLVD")</f>
        <v>240 REEVES BLVD</v>
      </c>
      <c r="C13121" t="str">
        <f>T("HANGAR 2 MOD 4")</f>
        <v>HANGAR 2 MOD 4</v>
      </c>
      <c r="D13121" t="str">
        <f t="shared" si="4833"/>
        <v>LEMOORE</v>
      </c>
      <c r="E13121" t="str">
        <f t="shared" si="4834"/>
        <v>CA</v>
      </c>
      <c r="F13121" t="str">
        <f>T("932467202")</f>
        <v>932467202</v>
      </c>
      <c r="G13121" t="str">
        <f>T("240 REEVES BLVD")</f>
        <v>240 REEVES BLVD</v>
      </c>
      <c r="H13121" t="str">
        <f>T("HANGAR 2 MOD 4")</f>
        <v>HANGAR 2 MOD 4</v>
      </c>
      <c r="I13121" t="str">
        <f t="shared" ref="I13121:I13130" si="4837">T("LEMOORE")</f>
        <v>LEMOORE</v>
      </c>
      <c r="J13121" t="str">
        <f t="shared" si="4835"/>
        <v>CA</v>
      </c>
      <c r="K13121" t="str">
        <f>T("5599980406")</f>
        <v>5599980406</v>
      </c>
      <c r="L13121" t="str">
        <f>T("5599980403")</f>
        <v>5599980403</v>
      </c>
    </row>
    <row r="13122" spans="1:12" x14ac:dyDescent="0.35">
      <c r="A13122" t="str">
        <f>T("VFA FOURTEEN")</f>
        <v>VFA FOURTEEN</v>
      </c>
      <c r="B13122" t="str">
        <f t="shared" si="4836"/>
        <v>240 REEVES BLVD</v>
      </c>
      <c r="C13122" t="str">
        <f>T("HANGAR 2 MOD 4")</f>
        <v>HANGAR 2 MOD 4</v>
      </c>
      <c r="D13122" t="str">
        <f t="shared" si="4833"/>
        <v>LEMOORE</v>
      </c>
      <c r="E13122" t="str">
        <f t="shared" si="4834"/>
        <v>CA</v>
      </c>
      <c r="F13122" t="str">
        <f>T("932467202")</f>
        <v>932467202</v>
      </c>
      <c r="G13122" t="str">
        <f>T("VFA-14 HANGAR 2 MOD 4")</f>
        <v>VFA-14 HANGAR 2 MOD 4</v>
      </c>
      <c r="H13122" t="str">
        <f>T("240 REEVES BLVD UNIT 14")</f>
        <v>240 REEVES BLVD UNIT 14</v>
      </c>
      <c r="I13122" t="str">
        <f t="shared" si="4837"/>
        <v>LEMOORE</v>
      </c>
      <c r="J13122" t="str">
        <f t="shared" si="4835"/>
        <v>CA</v>
      </c>
      <c r="K13122" t="str">
        <f>T("000000000000000000")</f>
        <v>000000000000000000</v>
      </c>
      <c r="L13122" t="str">
        <f>T("5599980442")</f>
        <v>5599980442</v>
      </c>
    </row>
    <row r="13123" spans="1:12" x14ac:dyDescent="0.35">
      <c r="A13123" t="str">
        <f>T("VFA FOURTEEN")</f>
        <v>VFA FOURTEEN</v>
      </c>
      <c r="B13123" t="str">
        <f t="shared" si="4836"/>
        <v>240 REEVES BLVD</v>
      </c>
      <c r="C13123" t="str">
        <f>T("HANGAR 2 MOD 4")</f>
        <v>HANGAR 2 MOD 4</v>
      </c>
      <c r="D13123" t="str">
        <f t="shared" si="4833"/>
        <v>LEMOORE</v>
      </c>
      <c r="E13123" t="str">
        <f t="shared" si="4834"/>
        <v>CA</v>
      </c>
      <c r="F13123" t="str">
        <f>T("932467202")</f>
        <v>932467202</v>
      </c>
      <c r="G13123" t="str">
        <f>T("VFA-14 HANGAR 2 MOD 4")</f>
        <v>VFA-14 HANGAR 2 MOD 4</v>
      </c>
      <c r="H13123" t="str">
        <f>T("240 REEVES BLVD UNIT 14")</f>
        <v>240 REEVES BLVD UNIT 14</v>
      </c>
      <c r="I13123" t="str">
        <f t="shared" si="4837"/>
        <v>LEMOORE</v>
      </c>
      <c r="J13123" t="str">
        <f t="shared" si="4835"/>
        <v>CA</v>
      </c>
      <c r="K13123" t="str">
        <f>T("5599980406")</f>
        <v>5599980406</v>
      </c>
      <c r="L13123" t="str">
        <f>T("5599980442")</f>
        <v>5599980442</v>
      </c>
    </row>
    <row r="13124" spans="1:12" x14ac:dyDescent="0.35">
      <c r="A13124" t="str">
        <f>T("VFA-113")</f>
        <v>VFA-113</v>
      </c>
      <c r="B13124" t="str">
        <f t="shared" si="4836"/>
        <v>240 REEVES BLVD</v>
      </c>
      <c r="C13124" t="str">
        <f>T("HANGAR 2 MOD 1")</f>
        <v>HANGAR 2 MOD 1</v>
      </c>
      <c r="D13124" t="str">
        <f t="shared" si="4833"/>
        <v>LEMOORE</v>
      </c>
      <c r="E13124" t="str">
        <f t="shared" si="4834"/>
        <v>CA</v>
      </c>
      <c r="F13124" t="str">
        <f>T("932467201")</f>
        <v>932467201</v>
      </c>
      <c r="G13124" t="str">
        <f>T("240 REEVES BLVD")</f>
        <v>240 REEVES BLVD</v>
      </c>
      <c r="H13124" t="str">
        <f>T("")</f>
        <v/>
      </c>
      <c r="I13124" t="str">
        <f t="shared" si="4837"/>
        <v>LEMOORE</v>
      </c>
      <c r="J13124" t="str">
        <f t="shared" si="4835"/>
        <v>CA</v>
      </c>
      <c r="K13124" t="str">
        <f>T("5599983495")</f>
        <v>5599983495</v>
      </c>
      <c r="L13124" t="str">
        <f>T("5599981877")</f>
        <v>5599981877</v>
      </c>
    </row>
    <row r="13125" spans="1:12" x14ac:dyDescent="0.35">
      <c r="A13125" t="str">
        <f>T("VFA-113")</f>
        <v>VFA-113</v>
      </c>
      <c r="B13125" t="str">
        <f t="shared" si="4836"/>
        <v>240 REEVES BLVD</v>
      </c>
      <c r="C13125" t="str">
        <f>T("HANGAR 2 MOD 1")</f>
        <v>HANGAR 2 MOD 1</v>
      </c>
      <c r="D13125" t="str">
        <f t="shared" si="4833"/>
        <v>LEMOORE</v>
      </c>
      <c r="E13125" t="str">
        <f t="shared" si="4834"/>
        <v>CA</v>
      </c>
      <c r="F13125" t="str">
        <f>T("932467201")</f>
        <v>932467201</v>
      </c>
      <c r="G13125" t="str">
        <f>T("240 REEVES BLVD")</f>
        <v>240 REEVES BLVD</v>
      </c>
      <c r="H13125" t="str">
        <f>T("HANGAR 2 MOD 1")</f>
        <v>HANGAR 2 MOD 1</v>
      </c>
      <c r="I13125" t="str">
        <f t="shared" si="4837"/>
        <v>LEMOORE</v>
      </c>
      <c r="J13125" t="str">
        <f t="shared" si="4835"/>
        <v>CA</v>
      </c>
      <c r="K13125" t="str">
        <f>T("000000000000000000")</f>
        <v>000000000000000000</v>
      </c>
      <c r="L13125" t="str">
        <f>T("5599981877")</f>
        <v>5599981877</v>
      </c>
    </row>
    <row r="13126" spans="1:12" x14ac:dyDescent="0.35">
      <c r="A13126" t="str">
        <f>T("VFA-113")</f>
        <v>VFA-113</v>
      </c>
      <c r="B13126" t="str">
        <f t="shared" si="4836"/>
        <v>240 REEVES BLVD</v>
      </c>
      <c r="C13126" t="str">
        <f>T("HANGAR 2 MOD 1")</f>
        <v>HANGAR 2 MOD 1</v>
      </c>
      <c r="D13126" t="str">
        <f t="shared" si="4833"/>
        <v>LEMOORE</v>
      </c>
      <c r="E13126" t="str">
        <f t="shared" si="4834"/>
        <v>CA</v>
      </c>
      <c r="F13126" t="str">
        <f>T("932467201")</f>
        <v>932467201</v>
      </c>
      <c r="G13126" t="str">
        <f>T("240 REEVES BLVD")</f>
        <v>240 REEVES BLVD</v>
      </c>
      <c r="H13126" t="str">
        <f>T("HANGAR 2 MOD 1")</f>
        <v>HANGAR 2 MOD 1</v>
      </c>
      <c r="I13126" t="str">
        <f t="shared" si="4837"/>
        <v>LEMOORE</v>
      </c>
      <c r="J13126" t="str">
        <f t="shared" si="4835"/>
        <v>CA</v>
      </c>
      <c r="K13126" t="str">
        <f>T("5599983295")</f>
        <v>5599983295</v>
      </c>
      <c r="L13126" t="str">
        <f>T("5559981877")</f>
        <v>5559981877</v>
      </c>
    </row>
    <row r="13127" spans="1:12" x14ac:dyDescent="0.35">
      <c r="A13127" t="str">
        <f>T("VFA-113")</f>
        <v>VFA-113</v>
      </c>
      <c r="B13127" t="str">
        <f t="shared" si="4836"/>
        <v>240 REEVES BLVD</v>
      </c>
      <c r="C13127" t="str">
        <f>T("HANGAR 2 MOD 1")</f>
        <v>HANGAR 2 MOD 1</v>
      </c>
      <c r="D13127" t="str">
        <f t="shared" si="4833"/>
        <v>LEMOORE</v>
      </c>
      <c r="E13127" t="str">
        <f t="shared" si="4834"/>
        <v>CA</v>
      </c>
      <c r="F13127" t="str">
        <f>T("932467201")</f>
        <v>932467201</v>
      </c>
      <c r="G13127" t="str">
        <f>T("STRIKE FIGHTER SQUADRON 113")</f>
        <v>STRIKE FIGHTER SQUADRON 113</v>
      </c>
      <c r="H13127" t="str">
        <f>T("240 REEVES BLVD HGR 2 MOD 1 UNIT 113")</f>
        <v>240 REEVES BLVD HGR 2 MOD 1 UNIT 113</v>
      </c>
      <c r="I13127" t="str">
        <f t="shared" si="4837"/>
        <v>LEMOORE</v>
      </c>
      <c r="J13127" t="str">
        <f t="shared" si="4835"/>
        <v>CA</v>
      </c>
      <c r="K13127" t="str">
        <f>T("000000000000000000")</f>
        <v>000000000000000000</v>
      </c>
      <c r="L13127" t="str">
        <f>T("5599981865")</f>
        <v>5599981865</v>
      </c>
    </row>
    <row r="13128" spans="1:12" x14ac:dyDescent="0.35">
      <c r="A13128" t="str">
        <f>T("VFA-2")</f>
        <v>VFA-2</v>
      </c>
      <c r="B13128" t="str">
        <f>T("300 REEVES BLVD")</f>
        <v>300 REEVES BLVD</v>
      </c>
      <c r="C13128" t="str">
        <f>T("HANGAR 4 MOD 5")</f>
        <v>HANGAR 4 MOD 5</v>
      </c>
      <c r="D13128" t="str">
        <f t="shared" si="4833"/>
        <v>LEMOORE</v>
      </c>
      <c r="E13128" t="str">
        <f t="shared" si="4834"/>
        <v>CA</v>
      </c>
      <c r="F13128" t="str">
        <f>T("932467400")</f>
        <v>932467400</v>
      </c>
      <c r="G13128" t="str">
        <f>T("300 REEVES BLVD")</f>
        <v>300 REEVES BLVD</v>
      </c>
      <c r="H13128" t="str">
        <f>T("HANGAR 4 MOD 5")</f>
        <v>HANGAR 4 MOD 5</v>
      </c>
      <c r="I13128" t="str">
        <f t="shared" si="4837"/>
        <v>LEMOORE</v>
      </c>
      <c r="J13128" t="str">
        <f t="shared" si="4835"/>
        <v>CA</v>
      </c>
      <c r="K13128" t="str">
        <f>T("5599980943")</f>
        <v>5599980943</v>
      </c>
      <c r="L13128" t="str">
        <f>T("5599980928")</f>
        <v>5599980928</v>
      </c>
    </row>
    <row r="13129" spans="1:12" x14ac:dyDescent="0.35">
      <c r="A13129" t="str">
        <f>T("VFA-2")</f>
        <v>VFA-2</v>
      </c>
      <c r="B13129" t="str">
        <f>T("300 REEVES BLVD")</f>
        <v>300 REEVES BLVD</v>
      </c>
      <c r="C13129" t="str">
        <f>T("HANGAR 4 MOD 5")</f>
        <v>HANGAR 4 MOD 5</v>
      </c>
      <c r="D13129" t="str">
        <f t="shared" si="4833"/>
        <v>LEMOORE</v>
      </c>
      <c r="E13129" t="str">
        <f t="shared" si="4834"/>
        <v>CA</v>
      </c>
      <c r="F13129" t="str">
        <f>T("932467400")</f>
        <v>932467400</v>
      </c>
      <c r="G13129" t="str">
        <f>T("STRIKE FIGHTER SQUADRON TWO")</f>
        <v>STRIKE FIGHTER SQUADRON TWO</v>
      </c>
      <c r="H13129" t="str">
        <f>T("300 REEVES BLVD HNGR 4 MOD 5")</f>
        <v>300 REEVES BLVD HNGR 4 MOD 5</v>
      </c>
      <c r="I13129" t="str">
        <f t="shared" si="4837"/>
        <v>LEMOORE</v>
      </c>
      <c r="J13129" t="str">
        <f t="shared" si="4835"/>
        <v>CA</v>
      </c>
      <c r="K13129" t="str">
        <f>T("55999809946")</f>
        <v>55999809946</v>
      </c>
      <c r="L13129" t="str">
        <f>T("5599980926")</f>
        <v>5599980926</v>
      </c>
    </row>
    <row r="13130" spans="1:12" x14ac:dyDescent="0.35">
      <c r="A13130" t="str">
        <f>T("VFA-2")</f>
        <v>VFA-2</v>
      </c>
      <c r="B13130" t="str">
        <f>T("300 REEVES BLVD")</f>
        <v>300 REEVES BLVD</v>
      </c>
      <c r="C13130" t="str">
        <f>T("HANGAR 4 MOD 5")</f>
        <v>HANGAR 4 MOD 5</v>
      </c>
      <c r="D13130" t="str">
        <f t="shared" si="4833"/>
        <v>LEMOORE</v>
      </c>
      <c r="E13130" t="str">
        <f t="shared" si="4834"/>
        <v>CA</v>
      </c>
      <c r="F13130" t="str">
        <f>T("932467400")</f>
        <v>932467400</v>
      </c>
      <c r="G13130" t="str">
        <f>T("STRKFITRON TWO/VFA-2")</f>
        <v>STRKFITRON TWO/VFA-2</v>
      </c>
      <c r="H13130" t="str">
        <f>T("300 REEVES BLVD HANGAR 4 MOD 5")</f>
        <v>300 REEVES BLVD HANGAR 4 MOD 5</v>
      </c>
      <c r="I13130" t="str">
        <f t="shared" si="4837"/>
        <v>LEMOORE</v>
      </c>
      <c r="J13130" t="str">
        <f t="shared" si="4835"/>
        <v>CA</v>
      </c>
      <c r="K13130" t="str">
        <f>T("5599980943")</f>
        <v>5599980943</v>
      </c>
      <c r="L13130" t="str">
        <f>T("5599980926")</f>
        <v>5599980926</v>
      </c>
    </row>
    <row r="13131" spans="1:12" x14ac:dyDescent="0.35">
      <c r="A13131" t="str">
        <f>T("HSC-4")</f>
        <v>HSC-4</v>
      </c>
      <c r="B13131" t="str">
        <f>T("HS-4")</f>
        <v>HS-4</v>
      </c>
      <c r="C13131" t="str">
        <f>T("UNIT 25172")</f>
        <v>UNIT 25172</v>
      </c>
      <c r="D13131" t="str">
        <f t="shared" ref="D13131:D13139" si="4838">T("FPO")</f>
        <v>FPO</v>
      </c>
      <c r="E13131" t="str">
        <f t="shared" ref="E13131:E13139" si="4839">T("AP")</f>
        <v>AP</v>
      </c>
      <c r="F13131" t="str">
        <f>T("966015704")</f>
        <v>966015704</v>
      </c>
      <c r="G13131" t="str">
        <f>T("HS-4")</f>
        <v>HS-4</v>
      </c>
      <c r="H13131" t="str">
        <f>T("UNIT 25172")</f>
        <v>UNIT 25172</v>
      </c>
      <c r="I13131" t="str">
        <f>T("FPO")</f>
        <v>FPO</v>
      </c>
      <c r="J13131" t="str">
        <f>T("AP")</f>
        <v>AP</v>
      </c>
      <c r="K13131" t="str">
        <f>T("")</f>
        <v/>
      </c>
      <c r="L13131" t="str">
        <f>T("6195456822")</f>
        <v>6195456822</v>
      </c>
    </row>
    <row r="13132" spans="1:12" x14ac:dyDescent="0.35">
      <c r="A13132" t="str">
        <f>T("HSC-4")</f>
        <v>HSC-4</v>
      </c>
      <c r="B13132" t="str">
        <f>T("HS-4")</f>
        <v>HS-4</v>
      </c>
      <c r="C13132" t="str">
        <f>T("UNIT 25172")</f>
        <v>UNIT 25172</v>
      </c>
      <c r="D13132" t="str">
        <f t="shared" si="4838"/>
        <v>FPO</v>
      </c>
      <c r="E13132" t="str">
        <f t="shared" si="4839"/>
        <v>AP</v>
      </c>
      <c r="F13132" t="str">
        <f>T("966015704")</f>
        <v>966015704</v>
      </c>
      <c r="G13132" t="str">
        <f>T("HSC-4 UNIT 25172")</f>
        <v>HSC-4 UNIT 25172</v>
      </c>
      <c r="H13132" t="str">
        <f>T("")</f>
        <v/>
      </c>
      <c r="I13132" t="str">
        <f>T("FPO")</f>
        <v>FPO</v>
      </c>
      <c r="J13132" t="str">
        <f>T("AP")</f>
        <v>AP</v>
      </c>
      <c r="K13132" t="str">
        <f>T("6195450602")</f>
        <v>6195450602</v>
      </c>
      <c r="L13132" t="str">
        <f>T("6195456822")</f>
        <v>6195456822</v>
      </c>
    </row>
    <row r="13133" spans="1:12" x14ac:dyDescent="0.35">
      <c r="A13133" t="str">
        <f>T("HSC-4")</f>
        <v>HSC-4</v>
      </c>
      <c r="B13133" t="str">
        <f>T("HS-4")</f>
        <v>HS-4</v>
      </c>
      <c r="C13133" t="str">
        <f>T("UNIT 25172")</f>
        <v>UNIT 25172</v>
      </c>
      <c r="D13133" t="str">
        <f t="shared" si="4838"/>
        <v>FPO</v>
      </c>
      <c r="E13133" t="str">
        <f t="shared" si="4839"/>
        <v>AP</v>
      </c>
      <c r="F13133" t="str">
        <f>T("966015704")</f>
        <v>966015704</v>
      </c>
      <c r="G13133" t="str">
        <f>T("HSC-4 UNIT 25172")</f>
        <v>HSC-4 UNIT 25172</v>
      </c>
      <c r="H13133" t="str">
        <f>T("PO BOX 357101")</f>
        <v>PO BOX 357101</v>
      </c>
      <c r="I13133" t="str">
        <f>T("SAN DIEGO")</f>
        <v>SAN DIEGO</v>
      </c>
      <c r="J13133" t="str">
        <f>T("CA")</f>
        <v>CA</v>
      </c>
      <c r="K13133" t="str">
        <f>T("6195450602")</f>
        <v>6195450602</v>
      </c>
      <c r="L13133" t="str">
        <f>T("6195456800")</f>
        <v>6195456800</v>
      </c>
    </row>
    <row r="13134" spans="1:12" x14ac:dyDescent="0.35">
      <c r="A13134" t="str">
        <f>T("TACELRON VAQ 138")</f>
        <v>TACELRON VAQ 138</v>
      </c>
      <c r="B13134" t="str">
        <f>T("VAQ-138 UNIT 25412")</f>
        <v>VAQ-138 UNIT 25412</v>
      </c>
      <c r="C13134" t="str">
        <f>T("")</f>
        <v/>
      </c>
      <c r="D13134" t="str">
        <f t="shared" si="4838"/>
        <v>FPO</v>
      </c>
      <c r="E13134" t="str">
        <f t="shared" si="4839"/>
        <v>AP</v>
      </c>
      <c r="F13134" t="str">
        <f>T("966016422")</f>
        <v>966016422</v>
      </c>
      <c r="G13134" t="str">
        <f>T("3760 N CHARLES PORTER AVE")</f>
        <v>3760 N CHARLES PORTER AVE</v>
      </c>
      <c r="H13134" t="str">
        <f>T("")</f>
        <v/>
      </c>
      <c r="I13134" t="str">
        <f>T("OAK HARBOR")</f>
        <v>OAK HARBOR</v>
      </c>
      <c r="J13134" t="str">
        <f>T("WA")</f>
        <v>WA</v>
      </c>
      <c r="K13134" t="str">
        <f>T("000000000000000000")</f>
        <v>000000000000000000</v>
      </c>
      <c r="L13134" t="str">
        <f>T("3184375575")</f>
        <v>3184375575</v>
      </c>
    </row>
    <row r="13135" spans="1:12" x14ac:dyDescent="0.35">
      <c r="A13135" t="str">
        <f>T("TACELRON VAQ 138")</f>
        <v>TACELRON VAQ 138</v>
      </c>
      <c r="B13135" t="str">
        <f>T("VAQ-138 UNIT 25412")</f>
        <v>VAQ-138 UNIT 25412</v>
      </c>
      <c r="C13135" t="str">
        <f>T("")</f>
        <v/>
      </c>
      <c r="D13135" t="str">
        <f t="shared" si="4838"/>
        <v>FPO</v>
      </c>
      <c r="E13135" t="str">
        <f t="shared" si="4839"/>
        <v>AP</v>
      </c>
      <c r="F13135" t="str">
        <f>T("966016422")</f>
        <v>966016422</v>
      </c>
      <c r="G13135" t="str">
        <f>T("3760 N CHARLES PORTER AVE")</f>
        <v>3760 N CHARLES PORTER AVE</v>
      </c>
      <c r="H13135" t="str">
        <f>T("HANGAR 5")</f>
        <v>HANGAR 5</v>
      </c>
      <c r="I13135" t="str">
        <f>T("OAK HARBOR")</f>
        <v>OAK HARBOR</v>
      </c>
      <c r="J13135" t="str">
        <f>T("WA")</f>
        <v>WA</v>
      </c>
      <c r="K13135" t="str">
        <f>T("3602574938")</f>
        <v>3602574938</v>
      </c>
      <c r="L13135" t="str">
        <f>T("3602574938")</f>
        <v>3602574938</v>
      </c>
    </row>
    <row r="13136" spans="1:12" x14ac:dyDescent="0.35">
      <c r="A13136" t="str">
        <f>T("TACELRON VAQ 138")</f>
        <v>TACELRON VAQ 138</v>
      </c>
      <c r="B13136" t="str">
        <f>T("VAQ-138 UNIT 25412")</f>
        <v>VAQ-138 UNIT 25412</v>
      </c>
      <c r="C13136" t="str">
        <f>T("")</f>
        <v/>
      </c>
      <c r="D13136" t="str">
        <f t="shared" si="4838"/>
        <v>FPO</v>
      </c>
      <c r="E13136" t="str">
        <f t="shared" si="4839"/>
        <v>AP</v>
      </c>
      <c r="F13136" t="str">
        <f>T("966016422")</f>
        <v>966016422</v>
      </c>
      <c r="G13136" t="str">
        <f>T("VAQ-138 UNIT 25412")</f>
        <v>VAQ-138 UNIT 25412</v>
      </c>
      <c r="H13136" t="str">
        <f>T("")</f>
        <v/>
      </c>
      <c r="I13136" t="str">
        <f>T("FPO")</f>
        <v>FPO</v>
      </c>
      <c r="J13136" t="str">
        <f>T("AP")</f>
        <v>AP</v>
      </c>
      <c r="K13136" t="str">
        <f>T("3602571392")</f>
        <v>3602571392</v>
      </c>
      <c r="L13136" t="str">
        <f>T("3602572998")</f>
        <v>3602572998</v>
      </c>
    </row>
    <row r="13137" spans="1:12" x14ac:dyDescent="0.35">
      <c r="A13137" t="str">
        <f t="shared" ref="A13137:B13139" si="4840">T("VAQ-139")</f>
        <v>VAQ-139</v>
      </c>
      <c r="B13137" t="str">
        <f t="shared" si="4840"/>
        <v>VAQ-139</v>
      </c>
      <c r="C13137" t="str">
        <f>T("UNIT 25413")</f>
        <v>UNIT 25413</v>
      </c>
      <c r="D13137" t="str">
        <f t="shared" si="4838"/>
        <v>FPO</v>
      </c>
      <c r="E13137" t="str">
        <f t="shared" si="4839"/>
        <v>AP</v>
      </c>
      <c r="F13137" t="str">
        <f>T("966016423")</f>
        <v>966016423</v>
      </c>
      <c r="G13137" t="str">
        <f>T("ELECTRONIC ATTACK SQUADRON 139")</f>
        <v>ELECTRONIC ATTACK SQUADRON 139</v>
      </c>
      <c r="H13137" t="str">
        <f>T("3760 NORTH CHARLES PORTER AVE")</f>
        <v>3760 NORTH CHARLES PORTER AVE</v>
      </c>
      <c r="I13137" t="str">
        <f>T("OAK HARBOR")</f>
        <v>OAK HARBOR</v>
      </c>
      <c r="J13137" t="str">
        <f>T("WA")</f>
        <v>WA</v>
      </c>
      <c r="K13137" t="str">
        <f>T("3602578594")</f>
        <v>3602578594</v>
      </c>
      <c r="L13137" t="str">
        <f>T("3602578517")</f>
        <v>3602578517</v>
      </c>
    </row>
    <row r="13138" spans="1:12" x14ac:dyDescent="0.35">
      <c r="A13138" t="str">
        <f t="shared" si="4840"/>
        <v>VAQ-139</v>
      </c>
      <c r="B13138" t="str">
        <f t="shared" si="4840"/>
        <v>VAQ-139</v>
      </c>
      <c r="C13138" t="str">
        <f>T("UNIT 25413")</f>
        <v>UNIT 25413</v>
      </c>
      <c r="D13138" t="str">
        <f t="shared" si="4838"/>
        <v>FPO</v>
      </c>
      <c r="E13138" t="str">
        <f t="shared" si="4839"/>
        <v>AP</v>
      </c>
      <c r="F13138" t="str">
        <f>T("966016423")</f>
        <v>966016423</v>
      </c>
      <c r="G13138" t="str">
        <f>T("VAQ-139")</f>
        <v>VAQ-139</v>
      </c>
      <c r="H13138" t="str">
        <f>T("3760 N CHARLES PORTER AVE")</f>
        <v>3760 N CHARLES PORTER AVE</v>
      </c>
      <c r="I13138" t="str">
        <f>T("OAK HARBOR")</f>
        <v>OAK HARBOR</v>
      </c>
      <c r="J13138" t="str">
        <f>T("WA")</f>
        <v>WA</v>
      </c>
      <c r="K13138" t="str">
        <f>T("000000000000000000")</f>
        <v>000000000000000000</v>
      </c>
      <c r="L13138" t="str">
        <f>T("3602574961")</f>
        <v>3602574961</v>
      </c>
    </row>
    <row r="13139" spans="1:12" x14ac:dyDescent="0.35">
      <c r="A13139" t="str">
        <f t="shared" si="4840"/>
        <v>VAQ-139</v>
      </c>
      <c r="B13139" t="str">
        <f t="shared" si="4840"/>
        <v>VAQ-139</v>
      </c>
      <c r="C13139" t="str">
        <f>T("UNIT 25413")</f>
        <v>UNIT 25413</v>
      </c>
      <c r="D13139" t="str">
        <f t="shared" si="4838"/>
        <v>FPO</v>
      </c>
      <c r="E13139" t="str">
        <f t="shared" si="4839"/>
        <v>AP</v>
      </c>
      <c r="F13139" t="str">
        <f>T("966016423")</f>
        <v>966016423</v>
      </c>
      <c r="G13139" t="str">
        <f>T("VAQ-139")</f>
        <v>VAQ-139</v>
      </c>
      <c r="H13139" t="str">
        <f>T("UNIT 25413")</f>
        <v>UNIT 25413</v>
      </c>
      <c r="I13139" t="str">
        <f>T("FPO")</f>
        <v>FPO</v>
      </c>
      <c r="J13139" t="str">
        <f>T("AP")</f>
        <v>AP</v>
      </c>
      <c r="K13139" t="str">
        <f>T("3602576226")</f>
        <v>3602576226</v>
      </c>
      <c r="L13139" t="str">
        <f>T("3602572601")</f>
        <v>3602572601</v>
      </c>
    </row>
    <row r="13140" spans="1:12" x14ac:dyDescent="0.35">
      <c r="A13140" t="str">
        <f>T("HS-15")</f>
        <v>HS-15</v>
      </c>
      <c r="B13140" t="str">
        <f>T("NAVAL AIR STATION NORTH ISLAND")</f>
        <v>NAVAL AIR STATION NORTH ISLAND</v>
      </c>
      <c r="C13140" t="str">
        <f>T("BLDG 370 CURTIS ROAD")</f>
        <v>BLDG 370 CURTIS ROAD</v>
      </c>
      <c r="D13140" t="str">
        <f t="shared" ref="D13140:D13145" si="4841">T("SAN DIEGO")</f>
        <v>SAN DIEGO</v>
      </c>
      <c r="E13140" t="str">
        <f t="shared" ref="E13140:E13145" si="4842">T("CA")</f>
        <v>CA</v>
      </c>
      <c r="F13140" t="str">
        <f t="shared" ref="F13140:F13145" si="4843">T("921350000")</f>
        <v>921350000</v>
      </c>
      <c r="G13140" t="str">
        <f>T("1456 NAS NORTH ISLAND")</f>
        <v>1456 NAS NORTH ISLAND</v>
      </c>
      <c r="H13140" t="str">
        <f>T("BLDG 1456 MOD C")</f>
        <v>BLDG 1456 MOD C</v>
      </c>
      <c r="I13140" t="str">
        <f t="shared" ref="I13140:I13145" si="4844">T("SAN DIEGO")</f>
        <v>SAN DIEGO</v>
      </c>
      <c r="J13140" t="str">
        <f t="shared" ref="J13140:J13145" si="4845">T("CA")</f>
        <v>CA</v>
      </c>
      <c r="K13140" t="str">
        <f>T("000000000000000000")</f>
        <v>000000000000000000</v>
      </c>
      <c r="L13140" t="str">
        <f>T("6195455506")</f>
        <v>6195455506</v>
      </c>
    </row>
    <row r="13141" spans="1:12" x14ac:dyDescent="0.35">
      <c r="A13141" t="str">
        <f>T("HS-15")</f>
        <v>HS-15</v>
      </c>
      <c r="B13141" t="str">
        <f>T("NAVAL AIR STATION NORTH ISLAND")</f>
        <v>NAVAL AIR STATION NORTH ISLAND</v>
      </c>
      <c r="C13141" t="str">
        <f>T("BLDG 370 CURTIS ROAD")</f>
        <v>BLDG 370 CURTIS ROAD</v>
      </c>
      <c r="D13141" t="str">
        <f t="shared" si="4841"/>
        <v>SAN DIEGO</v>
      </c>
      <c r="E13141" t="str">
        <f t="shared" si="4842"/>
        <v>CA</v>
      </c>
      <c r="F13141" t="str">
        <f t="shared" si="4843"/>
        <v>921350000</v>
      </c>
      <c r="G13141" t="str">
        <f>T("NAVAL AIR STATION NORTH ISLAND")</f>
        <v>NAVAL AIR STATION NORTH ISLAND</v>
      </c>
      <c r="H13141" t="str">
        <f>T("BLDG 370 CURTIS ROAD")</f>
        <v>BLDG 370 CURTIS ROAD</v>
      </c>
      <c r="I13141" t="str">
        <f t="shared" si="4844"/>
        <v>SAN DIEGO</v>
      </c>
      <c r="J13141" t="str">
        <f t="shared" si="4845"/>
        <v>CA</v>
      </c>
      <c r="K13141" t="str">
        <f>T("")</f>
        <v/>
      </c>
      <c r="L13141" t="str">
        <f>T("6195450624")</f>
        <v>6195450624</v>
      </c>
    </row>
    <row r="13142" spans="1:12" x14ac:dyDescent="0.35">
      <c r="A13142" t="str">
        <f>T("HS-15")</f>
        <v>HS-15</v>
      </c>
      <c r="B13142" t="str">
        <f>T("NAVAL AIR STATION NORTH ISLAND")</f>
        <v>NAVAL AIR STATION NORTH ISLAND</v>
      </c>
      <c r="C13142" t="str">
        <f>T("BLDG 370 CURTIS ROAD")</f>
        <v>BLDG 370 CURTIS ROAD</v>
      </c>
      <c r="D13142" t="str">
        <f t="shared" si="4841"/>
        <v>SAN DIEGO</v>
      </c>
      <c r="E13142" t="str">
        <f t="shared" si="4842"/>
        <v>CA</v>
      </c>
      <c r="F13142" t="str">
        <f t="shared" si="4843"/>
        <v>921350000</v>
      </c>
      <c r="G13142" t="str">
        <f>T("PO BOX 357104")</f>
        <v>PO BOX 357104</v>
      </c>
      <c r="H13142" t="str">
        <f>T("")</f>
        <v/>
      </c>
      <c r="I13142" t="str">
        <f t="shared" si="4844"/>
        <v>SAN DIEGO</v>
      </c>
      <c r="J13142" t="str">
        <f t="shared" si="4845"/>
        <v>CA</v>
      </c>
      <c r="K13142" t="str">
        <f>T("000000000000000000")</f>
        <v>000000000000000000</v>
      </c>
      <c r="L13142" t="str">
        <f>T("6195450808")</f>
        <v>6195450808</v>
      </c>
    </row>
    <row r="13143" spans="1:12" x14ac:dyDescent="0.35">
      <c r="A13143" t="str">
        <f>T("HELANTISUBRON 14")</f>
        <v>HELANTISUBRON 14</v>
      </c>
      <c r="B13143" t="str">
        <f>T("370 CURTIS ST")</f>
        <v>370 CURTIS ST</v>
      </c>
      <c r="C13143" t="str">
        <f>T("BLDG 370")</f>
        <v>BLDG 370</v>
      </c>
      <c r="D13143" t="str">
        <f t="shared" si="4841"/>
        <v>SAN DIEGO</v>
      </c>
      <c r="E13143" t="str">
        <f t="shared" si="4842"/>
        <v>CA</v>
      </c>
      <c r="F13143" t="str">
        <f t="shared" si="4843"/>
        <v>921350000</v>
      </c>
      <c r="G13143" t="str">
        <f>T("370 CURTIS ST")</f>
        <v>370 CURTIS ST</v>
      </c>
      <c r="H13143" t="str">
        <f>T("BLDG 370")</f>
        <v>BLDG 370</v>
      </c>
      <c r="I13143" t="str">
        <f t="shared" si="4844"/>
        <v>SAN DIEGO</v>
      </c>
      <c r="J13143" t="str">
        <f t="shared" si="4845"/>
        <v>CA</v>
      </c>
      <c r="K13143" t="str">
        <f>T("011816160644642")</f>
        <v>011816160644642</v>
      </c>
      <c r="L13143" t="str">
        <f>T("6197671526")</f>
        <v>6197671526</v>
      </c>
    </row>
    <row r="13144" spans="1:12" x14ac:dyDescent="0.35">
      <c r="A13144" t="str">
        <f>T("HELANTISUBRON 14")</f>
        <v>HELANTISUBRON 14</v>
      </c>
      <c r="B13144" t="str">
        <f>T("370 CURTIS ST")</f>
        <v>370 CURTIS ST</v>
      </c>
      <c r="C13144" t="str">
        <f>T("BLDG 370")</f>
        <v>BLDG 370</v>
      </c>
      <c r="D13144" t="str">
        <f t="shared" si="4841"/>
        <v>SAN DIEGO</v>
      </c>
      <c r="E13144" t="str">
        <f t="shared" si="4842"/>
        <v>CA</v>
      </c>
      <c r="F13144" t="str">
        <f t="shared" si="4843"/>
        <v>921350000</v>
      </c>
      <c r="G13144" t="str">
        <f>T("HS-14")</f>
        <v>HS-14</v>
      </c>
      <c r="H13144" t="str">
        <f>T("PO BOX 357100")</f>
        <v>PO BOX 357100</v>
      </c>
      <c r="I13144" t="str">
        <f t="shared" si="4844"/>
        <v>SAN DIEGO</v>
      </c>
      <c r="J13144" t="str">
        <f t="shared" si="4845"/>
        <v>CA</v>
      </c>
      <c r="K13144" t="str">
        <f>T("000000000000000000")</f>
        <v>000000000000000000</v>
      </c>
      <c r="L13144" t="str">
        <f>T("6195456651")</f>
        <v>6195456651</v>
      </c>
    </row>
    <row r="13145" spans="1:12" x14ac:dyDescent="0.35">
      <c r="A13145" t="str">
        <f>T("HELANTISUBRON 14")</f>
        <v>HELANTISUBRON 14</v>
      </c>
      <c r="B13145" t="str">
        <f>T("370 CURTIS ST")</f>
        <v>370 CURTIS ST</v>
      </c>
      <c r="C13145" t="str">
        <f>T("BLDG 370")</f>
        <v>BLDG 370</v>
      </c>
      <c r="D13145" t="str">
        <f t="shared" si="4841"/>
        <v>SAN DIEGO</v>
      </c>
      <c r="E13145" t="str">
        <f t="shared" si="4842"/>
        <v>CA</v>
      </c>
      <c r="F13145" t="str">
        <f t="shared" si="4843"/>
        <v>921350000</v>
      </c>
      <c r="G13145" t="str">
        <f>T("P O BOX 357100")</f>
        <v>P O BOX 357100</v>
      </c>
      <c r="H13145" t="str">
        <f>T("")</f>
        <v/>
      </c>
      <c r="I13145" t="str">
        <f t="shared" si="4844"/>
        <v>SAN DIEGO</v>
      </c>
      <c r="J13145" t="str">
        <f t="shared" si="4845"/>
        <v>CA</v>
      </c>
      <c r="K13145" t="str">
        <f>T("000000000000000000")</f>
        <v>000000000000000000</v>
      </c>
      <c r="L13145" t="str">
        <f>T("6195456651")</f>
        <v>6195456651</v>
      </c>
    </row>
    <row r="13146" spans="1:12" x14ac:dyDescent="0.35">
      <c r="A13146" t="str">
        <f>T("VPU-2")</f>
        <v>VPU-2</v>
      </c>
      <c r="B13146" t="str">
        <f>T("P O BOX 64014")</f>
        <v>P O BOX 64014</v>
      </c>
      <c r="C13146" t="str">
        <f>T("MCBH HANGAR 105")</f>
        <v>MCBH HANGAR 105</v>
      </c>
      <c r="D13146" t="str">
        <f>T("MCBH K BAY")</f>
        <v>MCBH K BAY</v>
      </c>
      <c r="E13146" t="str">
        <f>T("HI")</f>
        <v>HI</v>
      </c>
      <c r="F13146" t="str">
        <f>T("968634000")</f>
        <v>968634000</v>
      </c>
      <c r="G13146" t="str">
        <f>T("P O BOX 64014")</f>
        <v>P O BOX 64014</v>
      </c>
      <c r="H13146" t="str">
        <f>T("MCBH HANGAR 105")</f>
        <v>MCBH HANGAR 105</v>
      </c>
      <c r="I13146" t="str">
        <f>T("MCBH K BAY")</f>
        <v>MCBH K BAY</v>
      </c>
      <c r="J13146" t="str">
        <f>T("HI")</f>
        <v>HI</v>
      </c>
      <c r="K13146" t="str">
        <f>T("8082570733")</f>
        <v>8082570733</v>
      </c>
      <c r="L13146" t="str">
        <f>T("1111111111")</f>
        <v>1111111111</v>
      </c>
    </row>
    <row r="13147" spans="1:12" x14ac:dyDescent="0.35">
      <c r="A13147" t="str">
        <f>T("VPU-2")</f>
        <v>VPU-2</v>
      </c>
      <c r="B13147" t="str">
        <f>T("P O BOX 64014")</f>
        <v>P O BOX 64014</v>
      </c>
      <c r="C13147" t="str">
        <f>T("MCBH HANGAR 105")</f>
        <v>MCBH HANGAR 105</v>
      </c>
      <c r="D13147" t="str">
        <f>T("MCBH K BAY")</f>
        <v>MCBH K BAY</v>
      </c>
      <c r="E13147" t="str">
        <f>T("HI")</f>
        <v>HI</v>
      </c>
      <c r="F13147" t="str">
        <f>T("968634000")</f>
        <v>968634000</v>
      </c>
      <c r="G13147" t="str">
        <f>T("PO BOX 64014")</f>
        <v>PO BOX 64014</v>
      </c>
      <c r="H13147" t="str">
        <f>T("MCBH")</f>
        <v>MCBH</v>
      </c>
      <c r="I13147" t="str">
        <f>T("KANEOHE BAY")</f>
        <v>KANEOHE BAY</v>
      </c>
      <c r="J13147" t="str">
        <f>T("HI")</f>
        <v>HI</v>
      </c>
      <c r="K13147" t="str">
        <f>T("000000000000000000")</f>
        <v>000000000000000000</v>
      </c>
      <c r="L13147" t="str">
        <f>T("8082572982")</f>
        <v>8082572982</v>
      </c>
    </row>
    <row r="13148" spans="1:12" x14ac:dyDescent="0.35">
      <c r="A13148" t="str">
        <f>T("VAQ-130")</f>
        <v>VAQ-130</v>
      </c>
      <c r="B13148" t="str">
        <f>T("3760 CHARLES PORTER AVE")</f>
        <v>3760 CHARLES PORTER AVE</v>
      </c>
      <c r="C13148" t="str">
        <f t="shared" ref="C13148:C13155" si="4846">T("")</f>
        <v/>
      </c>
      <c r="D13148" t="str">
        <f>T("OAK HARBOR")</f>
        <v>OAK HARBOR</v>
      </c>
      <c r="E13148" t="str">
        <f>T("WA")</f>
        <v>WA</v>
      </c>
      <c r="F13148" t="str">
        <f>T("982770000")</f>
        <v>982770000</v>
      </c>
      <c r="G13148" t="str">
        <f>T("3760 CHARLES PORTER AVE")</f>
        <v>3760 CHARLES PORTER AVE</v>
      </c>
      <c r="H13148" t="str">
        <f>T("")</f>
        <v/>
      </c>
      <c r="I13148" t="str">
        <f>T("OAK HARBOR")</f>
        <v>OAK HARBOR</v>
      </c>
      <c r="J13148" t="str">
        <f>T("WA")</f>
        <v>WA</v>
      </c>
      <c r="K13148" t="str">
        <f>T("3602578594")</f>
        <v>3602578594</v>
      </c>
      <c r="L13148" t="str">
        <f>T("3602573571")</f>
        <v>3602573571</v>
      </c>
    </row>
    <row r="13149" spans="1:12" x14ac:dyDescent="0.35">
      <c r="A13149" t="str">
        <f>T("VAQ-130")</f>
        <v>VAQ-130</v>
      </c>
      <c r="B13149" t="str">
        <f>T("3760 CHARLES PORTER AVE")</f>
        <v>3760 CHARLES PORTER AVE</v>
      </c>
      <c r="C13149" t="str">
        <f t="shared" si="4846"/>
        <v/>
      </c>
      <c r="D13149" t="str">
        <f>T("OAK HARBOR")</f>
        <v>OAK HARBOR</v>
      </c>
      <c r="E13149" t="str">
        <f>T("WA")</f>
        <v>WA</v>
      </c>
      <c r="F13149" t="str">
        <f>T("982770000")</f>
        <v>982770000</v>
      </c>
      <c r="G13149" t="str">
        <f>T("3760 N CHARLES PORTER AVE")</f>
        <v>3760 N CHARLES PORTER AVE</v>
      </c>
      <c r="H13149" t="str">
        <f>T("VAQ-130 BLD 386 HANGAR 5")</f>
        <v>VAQ-130 BLD 386 HANGAR 5</v>
      </c>
      <c r="I13149" t="str">
        <f>T("OAK HARBOR")</f>
        <v>OAK HARBOR</v>
      </c>
      <c r="J13149" t="str">
        <f>T("WA")</f>
        <v>WA</v>
      </c>
      <c r="K13149" t="str">
        <f>T("000000000000000000")</f>
        <v>000000000000000000</v>
      </c>
      <c r="L13149" t="str">
        <f>T("3602578517")</f>
        <v>3602578517</v>
      </c>
    </row>
    <row r="13150" spans="1:12" x14ac:dyDescent="0.35">
      <c r="A13150" t="str">
        <f>T("VAQ-130")</f>
        <v>VAQ-130</v>
      </c>
      <c r="B13150" t="str">
        <f>T("3760 CHARLES PORTER AVE")</f>
        <v>3760 CHARLES PORTER AVE</v>
      </c>
      <c r="C13150" t="str">
        <f t="shared" si="4846"/>
        <v/>
      </c>
      <c r="D13150" t="str">
        <f>T("OAK HARBOR")</f>
        <v>OAK HARBOR</v>
      </c>
      <c r="E13150" t="str">
        <f>T("WA")</f>
        <v>WA</v>
      </c>
      <c r="F13150" t="str">
        <f>T("982770000")</f>
        <v>982770000</v>
      </c>
      <c r="G13150" t="str">
        <f>T("3760 N CHARLES PORTER AVE VAQ-130")</f>
        <v>3760 N CHARLES PORTER AVE VAQ-130</v>
      </c>
      <c r="H13150" t="str">
        <f>T("")</f>
        <v/>
      </c>
      <c r="I13150" t="str">
        <f>T("OAK HARBOR")</f>
        <v>OAK HARBOR</v>
      </c>
      <c r="J13150" t="str">
        <f>T("WA")</f>
        <v>WA</v>
      </c>
      <c r="K13150" t="str">
        <f>T("3602578594")</f>
        <v>3602578594</v>
      </c>
      <c r="L13150" t="str">
        <f>T("3602573571")</f>
        <v>3602573571</v>
      </c>
    </row>
    <row r="13151" spans="1:12" x14ac:dyDescent="0.35">
      <c r="A13151" t="str">
        <f>T("VAQ-130")</f>
        <v>VAQ-130</v>
      </c>
      <c r="B13151" t="str">
        <f>T("3760 CHARLES PORTER AVE")</f>
        <v>3760 CHARLES PORTER AVE</v>
      </c>
      <c r="C13151" t="str">
        <f t="shared" si="4846"/>
        <v/>
      </c>
      <c r="D13151" t="str">
        <f>T("OAK HARBOR")</f>
        <v>OAK HARBOR</v>
      </c>
      <c r="E13151" t="str">
        <f>T("WA")</f>
        <v>WA</v>
      </c>
      <c r="F13151" t="str">
        <f>T("982770000")</f>
        <v>982770000</v>
      </c>
      <c r="G13151" t="str">
        <f>T("3760 N CHARLES PORTER AVE VAQ130")</f>
        <v>3760 N CHARLES PORTER AVE VAQ130</v>
      </c>
      <c r="H13151" t="str">
        <f>T("BLDG 386 HANGAR 5")</f>
        <v>BLDG 386 HANGAR 5</v>
      </c>
      <c r="I13151" t="str">
        <f>T("OAK HARBOR")</f>
        <v>OAK HARBOR</v>
      </c>
      <c r="J13151" t="str">
        <f>T("WA")</f>
        <v>WA</v>
      </c>
      <c r="K13151" t="str">
        <f>T("000000000000000000")</f>
        <v>000000000000000000</v>
      </c>
      <c r="L13151" t="str">
        <f>T("3602573571")</f>
        <v>3602573571</v>
      </c>
    </row>
    <row r="13152" spans="1:12" x14ac:dyDescent="0.35">
      <c r="A13152" t="str">
        <f>T("VFA-94")</f>
        <v>VFA-94</v>
      </c>
      <c r="B13152" t="str">
        <f>T("VFA-94 UNIT 25432")</f>
        <v>VFA-94 UNIT 25432</v>
      </c>
      <c r="C13152" t="str">
        <f t="shared" si="4846"/>
        <v/>
      </c>
      <c r="D13152" t="str">
        <f>T("FPO")</f>
        <v>FPO</v>
      </c>
      <c r="E13152" t="str">
        <f>T("AP")</f>
        <v>AP</v>
      </c>
      <c r="F13152" t="str">
        <f>T("932450000")</f>
        <v>932450000</v>
      </c>
      <c r="G13152" t="str">
        <f>T("270 REEVES BLVD")</f>
        <v>270 REEVES BLVD</v>
      </c>
      <c r="H13152" t="str">
        <f>T("HANGAR 3, MOD 5")</f>
        <v>HANGAR 3, MOD 5</v>
      </c>
      <c r="I13152" t="str">
        <f>T("LEMOORE")</f>
        <v>LEMOORE</v>
      </c>
      <c r="J13152" t="str">
        <f>T("CA")</f>
        <v>CA</v>
      </c>
      <c r="K13152" t="str">
        <f>T("000000000000000000")</f>
        <v>000000000000000000</v>
      </c>
      <c r="L13152" t="str">
        <f>T("5599983007")</f>
        <v>5599983007</v>
      </c>
    </row>
    <row r="13153" spans="1:12" x14ac:dyDescent="0.35">
      <c r="A13153" t="str">
        <f>T("VFA-94")</f>
        <v>VFA-94</v>
      </c>
      <c r="B13153" t="str">
        <f>T("VFA-94 UNIT 25432")</f>
        <v>VFA-94 UNIT 25432</v>
      </c>
      <c r="C13153" t="str">
        <f t="shared" si="4846"/>
        <v/>
      </c>
      <c r="D13153" t="str">
        <f>T("FPO")</f>
        <v>FPO</v>
      </c>
      <c r="E13153" t="str">
        <f>T("AP")</f>
        <v>AP</v>
      </c>
      <c r="F13153" t="str">
        <f>T("932450000")</f>
        <v>932450000</v>
      </c>
      <c r="G13153" t="str">
        <f>T("270 REEVES BLVD HGR3 MOD 5")</f>
        <v>270 REEVES BLVD HGR3 MOD 5</v>
      </c>
      <c r="H13153" t="str">
        <f>T("")</f>
        <v/>
      </c>
      <c r="I13153" t="str">
        <f>T("LEMOORE")</f>
        <v>LEMOORE</v>
      </c>
      <c r="J13153" t="str">
        <f>T("CA")</f>
        <v>CA</v>
      </c>
      <c r="K13153" t="str">
        <f>T("000000000000000000")</f>
        <v>000000000000000000</v>
      </c>
      <c r="L13153" t="str">
        <f>T("5599983017")</f>
        <v>5599983017</v>
      </c>
    </row>
    <row r="13154" spans="1:12" x14ac:dyDescent="0.35">
      <c r="A13154" t="str">
        <f>T("VFA-94")</f>
        <v>VFA-94</v>
      </c>
      <c r="B13154" t="str">
        <f>T("VFA-94 UNIT 25432")</f>
        <v>VFA-94 UNIT 25432</v>
      </c>
      <c r="C13154" t="str">
        <f t="shared" si="4846"/>
        <v/>
      </c>
      <c r="D13154" t="str">
        <f>T("FPO")</f>
        <v>FPO</v>
      </c>
      <c r="E13154" t="str">
        <f>T("AP")</f>
        <v>AP</v>
      </c>
      <c r="F13154" t="str">
        <f>T("932450000")</f>
        <v>932450000</v>
      </c>
      <c r="G13154" t="str">
        <f>T("HANGER 3 MOD 5")</f>
        <v>HANGER 3 MOD 5</v>
      </c>
      <c r="H13154" t="str">
        <f>T("270 REEVES BLVD.")</f>
        <v>270 REEVES BLVD.</v>
      </c>
      <c r="I13154" t="str">
        <f>T("LEMOORE")</f>
        <v>LEMOORE</v>
      </c>
      <c r="J13154" t="str">
        <f>T("CA")</f>
        <v>CA</v>
      </c>
      <c r="K13154" t="str">
        <f>T("5599981562")</f>
        <v>5599981562</v>
      </c>
      <c r="L13154" t="str">
        <f>T("5599983093")</f>
        <v>5599983093</v>
      </c>
    </row>
    <row r="13155" spans="1:12" x14ac:dyDescent="0.35">
      <c r="A13155" t="str">
        <f>T("VFA-94")</f>
        <v>VFA-94</v>
      </c>
      <c r="B13155" t="str">
        <f>T("VFA-94 UNIT 25432")</f>
        <v>VFA-94 UNIT 25432</v>
      </c>
      <c r="C13155" t="str">
        <f t="shared" si="4846"/>
        <v/>
      </c>
      <c r="D13155" t="str">
        <f>T("FPO")</f>
        <v>FPO</v>
      </c>
      <c r="E13155" t="str">
        <f>T("AP")</f>
        <v>AP</v>
      </c>
      <c r="F13155" t="str">
        <f>T("932450000")</f>
        <v>932450000</v>
      </c>
      <c r="G13155" t="str">
        <f>T("VFA-94 UNIT 25432")</f>
        <v>VFA-94 UNIT 25432</v>
      </c>
      <c r="H13155" t="str">
        <f>T("")</f>
        <v/>
      </c>
      <c r="I13155" t="str">
        <f>T("FPO")</f>
        <v>FPO</v>
      </c>
      <c r="J13155" t="str">
        <f>T("AP")</f>
        <v>AP</v>
      </c>
      <c r="K13155" t="str">
        <f>T("5599983025")</f>
        <v>5599983025</v>
      </c>
      <c r="L13155" t="str">
        <f>T("5599983039")</f>
        <v>5599983039</v>
      </c>
    </row>
    <row r="13156" spans="1:12" x14ac:dyDescent="0.35">
      <c r="A13156" t="str">
        <f>T("VFA-122")</f>
        <v>VFA-122</v>
      </c>
      <c r="B13156" t="str">
        <f>T("VFA-122 MATCON")</f>
        <v>VFA-122 MATCON</v>
      </c>
      <c r="C13156" t="str">
        <f>T("210 REEVES BLVD HANGER ONE")</f>
        <v>210 REEVES BLVD HANGER ONE</v>
      </c>
      <c r="D13156" t="str">
        <f>T("LEMOORE")</f>
        <v>LEMOORE</v>
      </c>
      <c r="E13156" t="str">
        <f>T("CA")</f>
        <v>CA</v>
      </c>
      <c r="F13156" t="str">
        <f>T("932467206")</f>
        <v>932467206</v>
      </c>
      <c r="G13156" t="str">
        <f>T("VFA-122 MATCON")</f>
        <v>VFA-122 MATCON</v>
      </c>
      <c r="H13156" t="str">
        <f>T("210 REEVES BLVD HANGER ONE")</f>
        <v>210 REEVES BLVD HANGER ONE</v>
      </c>
      <c r="I13156" t="str">
        <f>T("LEMOORE")</f>
        <v>LEMOORE</v>
      </c>
      <c r="J13156" t="str">
        <f>T("CA")</f>
        <v>CA</v>
      </c>
      <c r="K13156" t="str">
        <f>T("5599982874")</f>
        <v>5599982874</v>
      </c>
      <c r="L13156" t="str">
        <f>T("5599981738")</f>
        <v>5599981738</v>
      </c>
    </row>
    <row r="13157" spans="1:12" x14ac:dyDescent="0.35">
      <c r="A13157" t="str">
        <f>T("VFA-122")</f>
        <v>VFA-122</v>
      </c>
      <c r="B13157" t="str">
        <f>T("VFA-122 MATCON")</f>
        <v>VFA-122 MATCON</v>
      </c>
      <c r="C13157" t="str">
        <f>T("210 REEVES BLVD HANGER ONE")</f>
        <v>210 REEVES BLVD HANGER ONE</v>
      </c>
      <c r="D13157" t="str">
        <f>T("LEMOORE")</f>
        <v>LEMOORE</v>
      </c>
      <c r="E13157" t="str">
        <f>T("CA")</f>
        <v>CA</v>
      </c>
      <c r="F13157" t="str">
        <f>T("932467206")</f>
        <v>932467206</v>
      </c>
      <c r="G13157" t="str">
        <f>T("VFA-122 MATCON")</f>
        <v>VFA-122 MATCON</v>
      </c>
      <c r="H13157" t="str">
        <f>T("210 REEVES BLVD HANGER ONE")</f>
        <v>210 REEVES BLVD HANGER ONE</v>
      </c>
      <c r="I13157" t="str">
        <f>T("LEMOORE")</f>
        <v>LEMOORE</v>
      </c>
      <c r="J13157" t="str">
        <f>T("CA")</f>
        <v>CA</v>
      </c>
      <c r="K13157" t="str">
        <f>T("5599982874")</f>
        <v>5599982874</v>
      </c>
      <c r="L13157" t="str">
        <f>T("5599981742")</f>
        <v>5599981742</v>
      </c>
    </row>
    <row r="13158" spans="1:12" x14ac:dyDescent="0.35">
      <c r="A13158" t="str">
        <f t="shared" ref="A13158:A13180" si="4847">T("USN/CFAF")</f>
        <v>USN/CFAF</v>
      </c>
      <c r="B13158" t="str">
        <f>T("N3557A ASD DET MISAWA")</f>
        <v>N3557A ASD DET MISAWA</v>
      </c>
      <c r="C13158" t="str">
        <f>T("UNIT 5043")</f>
        <v>UNIT 5043</v>
      </c>
      <c r="D13158" t="str">
        <f>T("APO")</f>
        <v>APO</v>
      </c>
      <c r="E13158" t="str">
        <f t="shared" ref="E13158:E13180" si="4848">T("AP")</f>
        <v>AP</v>
      </c>
      <c r="F13158" t="str">
        <f>T("963195043")</f>
        <v>963195043</v>
      </c>
      <c r="G13158" t="str">
        <f>T("N3557A ASD DET MISAWA")</f>
        <v>N3557A ASD DET MISAWA</v>
      </c>
      <c r="H13158" t="str">
        <f>T("UNIT 5043")</f>
        <v>UNIT 5043</v>
      </c>
      <c r="I13158" t="str">
        <f>T("APO")</f>
        <v>APO</v>
      </c>
      <c r="J13158" t="str">
        <f t="shared" ref="J13158:J13165" si="4849">T("AP")</f>
        <v>AP</v>
      </c>
      <c r="K13158" t="str">
        <f>T("001813117669569")</f>
        <v>001813117669569</v>
      </c>
      <c r="L13158" t="str">
        <f>T("1111111111")</f>
        <v>1111111111</v>
      </c>
    </row>
    <row r="13159" spans="1:12" x14ac:dyDescent="0.35">
      <c r="A13159" t="str">
        <f t="shared" si="4847"/>
        <v>USN/CFAF</v>
      </c>
      <c r="B13159" t="str">
        <f>T("N3557A ASD DET MISAWA")</f>
        <v>N3557A ASD DET MISAWA</v>
      </c>
      <c r="C13159" t="str">
        <f>T("UNIT 5043")</f>
        <v>UNIT 5043</v>
      </c>
      <c r="D13159" t="str">
        <f>T("APO")</f>
        <v>APO</v>
      </c>
      <c r="E13159" t="str">
        <f t="shared" si="4848"/>
        <v>AP</v>
      </c>
      <c r="F13159" t="str">
        <f>T("963195043")</f>
        <v>963195043</v>
      </c>
      <c r="G13159" t="str">
        <f>T("UNIT 5048")</f>
        <v>UNIT 5048</v>
      </c>
      <c r="H13159" t="str">
        <f t="shared" ref="H13159:H13165" si="4850">T("")</f>
        <v/>
      </c>
      <c r="I13159" t="str">
        <f>T("APO")</f>
        <v>APO</v>
      </c>
      <c r="J13159" t="str">
        <f t="shared" si="4849"/>
        <v>AP</v>
      </c>
      <c r="K13159" t="str">
        <f>T("000000000000000000")</f>
        <v>000000000000000000</v>
      </c>
      <c r="L13159" t="str">
        <f>T("3152264846")</f>
        <v>3152264846</v>
      </c>
    </row>
    <row r="13160" spans="1:12" x14ac:dyDescent="0.35">
      <c r="A13160" t="str">
        <f t="shared" si="4847"/>
        <v>USN/CFAF</v>
      </c>
      <c r="B13160" t="str">
        <f>T("N3557A ASD DET MISAWA")</f>
        <v>N3557A ASD DET MISAWA</v>
      </c>
      <c r="C13160" t="str">
        <f>T("UNIT 5043")</f>
        <v>UNIT 5043</v>
      </c>
      <c r="D13160" t="str">
        <f>T("APO")</f>
        <v>APO</v>
      </c>
      <c r="E13160" t="str">
        <f t="shared" si="4848"/>
        <v>AP</v>
      </c>
      <c r="F13160" t="str">
        <f>T("963195043")</f>
        <v>963195043</v>
      </c>
      <c r="G13160" t="str">
        <f>T("UNIT 5048")</f>
        <v>UNIT 5048</v>
      </c>
      <c r="H13160" t="str">
        <f t="shared" si="4850"/>
        <v/>
      </c>
      <c r="I13160" t="str">
        <f>T("APO")</f>
        <v>APO</v>
      </c>
      <c r="J13160" t="str">
        <f t="shared" si="4849"/>
        <v>AP</v>
      </c>
      <c r="K13160" t="str">
        <f>T("01181176774092")</f>
        <v>01181176774092</v>
      </c>
      <c r="L13160" t="str">
        <f>T("1111111111")</f>
        <v>1111111111</v>
      </c>
    </row>
    <row r="13161" spans="1:12" x14ac:dyDescent="0.35">
      <c r="A13161" t="str">
        <f t="shared" si="4847"/>
        <v>USN/CFAF</v>
      </c>
      <c r="B13161" t="str">
        <f>T("N3557A ASD DET MISAWA")</f>
        <v>N3557A ASD DET MISAWA</v>
      </c>
      <c r="C13161" t="str">
        <f>T("UNIT 5043")</f>
        <v>UNIT 5043</v>
      </c>
      <c r="D13161" t="str">
        <f>T("APO")</f>
        <v>APO</v>
      </c>
      <c r="E13161" t="str">
        <f t="shared" si="4848"/>
        <v>AP</v>
      </c>
      <c r="F13161" t="str">
        <f>T("963195043")</f>
        <v>963195043</v>
      </c>
      <c r="G13161" t="str">
        <f>T("UNIT 5048")</f>
        <v>UNIT 5048</v>
      </c>
      <c r="H13161" t="str">
        <f t="shared" si="4850"/>
        <v/>
      </c>
      <c r="I13161" t="str">
        <f>T("APO")</f>
        <v>APO</v>
      </c>
      <c r="J13161" t="str">
        <f t="shared" si="4849"/>
        <v>AP</v>
      </c>
      <c r="K13161" t="str">
        <f>T("011813117664092")</f>
        <v>011813117664092</v>
      </c>
      <c r="L13161" t="str">
        <f>T("1111111111")</f>
        <v>1111111111</v>
      </c>
    </row>
    <row r="13162" spans="1:12" x14ac:dyDescent="0.35">
      <c r="A13162" t="str">
        <f t="shared" si="4847"/>
        <v>USN/CFAF</v>
      </c>
      <c r="B13162" t="str">
        <f>T("PSC 477 BOX 25")</f>
        <v>PSC 477 BOX 25</v>
      </c>
      <c r="C13162" t="str">
        <f t="shared" ref="C13162:C13174" si="4851">T("")</f>
        <v/>
      </c>
      <c r="D13162" t="str">
        <f t="shared" ref="D13162:D13174" si="4852">T("FPO")</f>
        <v>FPO</v>
      </c>
      <c r="E13162" t="str">
        <f t="shared" si="4848"/>
        <v>AP</v>
      </c>
      <c r="F13162" t="str">
        <f t="shared" ref="F13162:F13174" si="4853">T("963060001")</f>
        <v>963060001</v>
      </c>
      <c r="G13162" t="str">
        <f>T("PSC 477 BOX 25")</f>
        <v>PSC 477 BOX 25</v>
      </c>
      <c r="H13162" t="str">
        <f t="shared" si="4850"/>
        <v/>
      </c>
      <c r="I13162" t="str">
        <f t="shared" ref="I13162:I13175" si="4854">T("FPO")</f>
        <v>FPO</v>
      </c>
      <c r="J13162" t="str">
        <f t="shared" si="4849"/>
        <v>AP</v>
      </c>
      <c r="K13162" t="str">
        <f>T("0118146733593")</f>
        <v>0118146733593</v>
      </c>
      <c r="L13162" t="str">
        <f>T("1111111111")</f>
        <v>1111111111</v>
      </c>
    </row>
    <row r="13163" spans="1:12" x14ac:dyDescent="0.35">
      <c r="A13163" t="str">
        <f t="shared" si="4847"/>
        <v>USN/CFAF</v>
      </c>
      <c r="B13163" t="str">
        <f>T("PSC 477 BOX 25")</f>
        <v>PSC 477 BOX 25</v>
      </c>
      <c r="C13163" t="str">
        <f t="shared" si="4851"/>
        <v/>
      </c>
      <c r="D13163" t="str">
        <f t="shared" si="4852"/>
        <v>FPO</v>
      </c>
      <c r="E13163" t="str">
        <f t="shared" si="4848"/>
        <v>AP</v>
      </c>
      <c r="F13163" t="str">
        <f t="shared" si="4853"/>
        <v>963060001</v>
      </c>
      <c r="G13163" t="str">
        <f>T("PSC 477 BOX 25")</f>
        <v>PSC 477 BOX 25</v>
      </c>
      <c r="H13163" t="str">
        <f t="shared" si="4850"/>
        <v/>
      </c>
      <c r="I13163" t="str">
        <f t="shared" si="4854"/>
        <v>FPO</v>
      </c>
      <c r="J13163" t="str">
        <f t="shared" si="4849"/>
        <v>AP</v>
      </c>
      <c r="K13163" t="str">
        <f>T("01181467633593")</f>
        <v>01181467633593</v>
      </c>
      <c r="L13163" t="str">
        <f>T("1111111111")</f>
        <v>1111111111</v>
      </c>
    </row>
    <row r="13164" spans="1:12" x14ac:dyDescent="0.35">
      <c r="A13164" t="str">
        <f t="shared" si="4847"/>
        <v>USN/CFAF</v>
      </c>
      <c r="B13164" t="str">
        <f>T("PSC 477 BOX 25")</f>
        <v>PSC 477 BOX 25</v>
      </c>
      <c r="C13164" t="str">
        <f t="shared" si="4851"/>
        <v/>
      </c>
      <c r="D13164" t="str">
        <f t="shared" si="4852"/>
        <v>FPO</v>
      </c>
      <c r="E13164" t="str">
        <f t="shared" si="4848"/>
        <v>AP</v>
      </c>
      <c r="F13164" t="str">
        <f t="shared" si="4853"/>
        <v>963060001</v>
      </c>
      <c r="G13164" t="str">
        <f>T("PSC 477 BOX 25")</f>
        <v>PSC 477 BOX 25</v>
      </c>
      <c r="H13164" t="str">
        <f t="shared" si="4850"/>
        <v/>
      </c>
      <c r="I13164" t="str">
        <f t="shared" si="4854"/>
        <v>FPO</v>
      </c>
      <c r="J13164" t="str">
        <f t="shared" si="4849"/>
        <v>AP</v>
      </c>
      <c r="K13164" t="str">
        <f>T("01181467633593")</f>
        <v>01181467633593</v>
      </c>
      <c r="L13164" t="str">
        <f>T("3152643593")</f>
        <v>3152643593</v>
      </c>
    </row>
    <row r="13165" spans="1:12" x14ac:dyDescent="0.35">
      <c r="A13165" t="str">
        <f t="shared" si="4847"/>
        <v>USN/CFAF</v>
      </c>
      <c r="B13165" t="str">
        <f>T("PSC 477 BOX 25")</f>
        <v>PSC 477 BOX 25</v>
      </c>
      <c r="C13165" t="str">
        <f t="shared" si="4851"/>
        <v/>
      </c>
      <c r="D13165" t="str">
        <f t="shared" si="4852"/>
        <v>FPO</v>
      </c>
      <c r="E13165" t="str">
        <f t="shared" si="4848"/>
        <v>AP</v>
      </c>
      <c r="F13165" t="str">
        <f t="shared" si="4853"/>
        <v>963060001</v>
      </c>
      <c r="G13165" t="str">
        <f>T("PSC 477 BOX 25")</f>
        <v>PSC 477 BOX 25</v>
      </c>
      <c r="H13165" t="str">
        <f t="shared" si="4850"/>
        <v/>
      </c>
      <c r="I13165" t="str">
        <f t="shared" si="4854"/>
        <v>FPO</v>
      </c>
      <c r="J13165" t="str">
        <f t="shared" si="4849"/>
        <v>AP</v>
      </c>
      <c r="K13165" t="str">
        <f>T("011816160643347")</f>
        <v>011816160643347</v>
      </c>
      <c r="L13165" t="str">
        <f>T("1111111111")</f>
        <v>1111111111</v>
      </c>
    </row>
    <row r="13166" spans="1:12" x14ac:dyDescent="0.35">
      <c r="A13166" t="str">
        <f t="shared" si="4847"/>
        <v>USN/CFAF</v>
      </c>
      <c r="B13166" t="str">
        <f t="shared" ref="B13166:B13174" si="4855">T("PSC 477 BOX 3")</f>
        <v>PSC 477 BOX 3</v>
      </c>
      <c r="C13166" t="str">
        <f t="shared" si="4851"/>
        <v/>
      </c>
      <c r="D13166" t="str">
        <f t="shared" si="4852"/>
        <v>FPO</v>
      </c>
      <c r="E13166" t="str">
        <f t="shared" si="4848"/>
        <v>AP</v>
      </c>
      <c r="F13166" t="str">
        <f t="shared" si="4853"/>
        <v>963060001</v>
      </c>
      <c r="G13166" t="str">
        <f>T("CFAF ASD BAHRAIN")</f>
        <v>CFAF ASD BAHRAIN</v>
      </c>
      <c r="H13166" t="str">
        <f>T("PSC 900 BOX SE ASD")</f>
        <v>PSC 900 BOX SE ASD</v>
      </c>
      <c r="I13166" t="str">
        <f t="shared" si="4854"/>
        <v>FPO</v>
      </c>
      <c r="J13166" t="str">
        <f>T("AE")</f>
        <v>AE</v>
      </c>
      <c r="K13166" t="str">
        <f>T("97317856455")</f>
        <v>97317856455</v>
      </c>
      <c r="L13166" t="str">
        <f>T("1111111111")</f>
        <v>1111111111</v>
      </c>
    </row>
    <row r="13167" spans="1:12" x14ac:dyDescent="0.35">
      <c r="A13167" t="str">
        <f t="shared" si="4847"/>
        <v>USN/CFAF</v>
      </c>
      <c r="B13167" t="str">
        <f t="shared" si="4855"/>
        <v>PSC 477 BOX 3</v>
      </c>
      <c r="C13167" t="str">
        <f t="shared" si="4851"/>
        <v/>
      </c>
      <c r="D13167" t="str">
        <f t="shared" si="4852"/>
        <v>FPO</v>
      </c>
      <c r="E13167" t="str">
        <f t="shared" si="4848"/>
        <v>AP</v>
      </c>
      <c r="F13167" t="str">
        <f t="shared" si="4853"/>
        <v>963060001</v>
      </c>
      <c r="G13167" t="str">
        <f>T("PSC 477 BOX 21")</f>
        <v>PSC 477 BOX 21</v>
      </c>
      <c r="H13167" t="str">
        <f t="shared" ref="H13167:H13174" si="4856">T("")</f>
        <v/>
      </c>
      <c r="I13167" t="str">
        <f t="shared" si="4854"/>
        <v>FPO</v>
      </c>
      <c r="J13167" t="str">
        <f>T("AP")</f>
        <v>AP</v>
      </c>
      <c r="K13167" t="str">
        <f>T("000000000000000000")</f>
        <v>000000000000000000</v>
      </c>
      <c r="L13167" t="str">
        <f>T("3152643934")</f>
        <v>3152643934</v>
      </c>
    </row>
    <row r="13168" spans="1:12" x14ac:dyDescent="0.35">
      <c r="A13168" t="str">
        <f t="shared" si="4847"/>
        <v>USN/CFAF</v>
      </c>
      <c r="B13168" t="str">
        <f t="shared" si="4855"/>
        <v>PSC 477 BOX 3</v>
      </c>
      <c r="C13168" t="str">
        <f t="shared" si="4851"/>
        <v/>
      </c>
      <c r="D13168" t="str">
        <f t="shared" si="4852"/>
        <v>FPO</v>
      </c>
      <c r="E13168" t="str">
        <f t="shared" si="4848"/>
        <v>AP</v>
      </c>
      <c r="F13168" t="str">
        <f t="shared" si="4853"/>
        <v>963060001</v>
      </c>
      <c r="G13168" t="str">
        <f>T("PSC 477 BOX 3")</f>
        <v>PSC 477 BOX 3</v>
      </c>
      <c r="H13168" t="str">
        <f t="shared" si="4856"/>
        <v/>
      </c>
      <c r="I13168" t="str">
        <f t="shared" si="4854"/>
        <v>FPO</v>
      </c>
      <c r="J13168" t="str">
        <f>T("AP")</f>
        <v>AP</v>
      </c>
      <c r="K13168" t="str">
        <f>T("000000000000000000")</f>
        <v>000000000000000000</v>
      </c>
      <c r="L13168" t="str">
        <f>T("3152552043")</f>
        <v>3152552043</v>
      </c>
    </row>
    <row r="13169" spans="1:12" x14ac:dyDescent="0.35">
      <c r="A13169" t="str">
        <f t="shared" si="4847"/>
        <v>USN/CFAF</v>
      </c>
      <c r="B13169" t="str">
        <f t="shared" si="4855"/>
        <v>PSC 477 BOX 3</v>
      </c>
      <c r="C13169" t="str">
        <f t="shared" si="4851"/>
        <v/>
      </c>
      <c r="D13169" t="str">
        <f t="shared" si="4852"/>
        <v>FPO</v>
      </c>
      <c r="E13169" t="str">
        <f t="shared" si="4848"/>
        <v>AP</v>
      </c>
      <c r="F13169" t="str">
        <f t="shared" si="4853"/>
        <v>963060001</v>
      </c>
      <c r="G13169" t="str">
        <f>T("PSC 477 BOX 3")</f>
        <v>PSC 477 BOX 3</v>
      </c>
      <c r="H13169" t="str">
        <f t="shared" si="4856"/>
        <v/>
      </c>
      <c r="I13169" t="str">
        <f t="shared" si="4854"/>
        <v>FPO</v>
      </c>
      <c r="J13169" t="str">
        <f>T("AP")</f>
        <v>AP</v>
      </c>
      <c r="K13169" t="str">
        <f>T("011810467634814")</f>
        <v>011810467634814</v>
      </c>
      <c r="L13169" t="str">
        <f>T("1111111111")</f>
        <v>1111111111</v>
      </c>
    </row>
    <row r="13170" spans="1:12" x14ac:dyDescent="0.35">
      <c r="A13170" t="str">
        <f t="shared" si="4847"/>
        <v>USN/CFAF</v>
      </c>
      <c r="B13170" t="str">
        <f t="shared" si="4855"/>
        <v>PSC 477 BOX 3</v>
      </c>
      <c r="C13170" t="str">
        <f t="shared" si="4851"/>
        <v/>
      </c>
      <c r="D13170" t="str">
        <f t="shared" si="4852"/>
        <v>FPO</v>
      </c>
      <c r="E13170" t="str">
        <f t="shared" si="4848"/>
        <v>AP</v>
      </c>
      <c r="F13170" t="str">
        <f t="shared" si="4853"/>
        <v>963060001</v>
      </c>
      <c r="G13170" t="str">
        <f>T("PSC 477 BOX 3")</f>
        <v>PSC 477 BOX 3</v>
      </c>
      <c r="H13170" t="str">
        <f t="shared" si="4856"/>
        <v/>
      </c>
      <c r="I13170" t="str">
        <f t="shared" si="4854"/>
        <v>FPO</v>
      </c>
      <c r="J13170" t="str">
        <f>T("AP")</f>
        <v>AP</v>
      </c>
      <c r="K13170" t="str">
        <f>T("01197317853797")</f>
        <v>01197317853797</v>
      </c>
      <c r="L13170" t="str">
        <f>T("1111111111")</f>
        <v>1111111111</v>
      </c>
    </row>
    <row r="13171" spans="1:12" x14ac:dyDescent="0.35">
      <c r="A13171" t="str">
        <f t="shared" si="4847"/>
        <v>USN/CFAF</v>
      </c>
      <c r="B13171" t="str">
        <f t="shared" si="4855"/>
        <v>PSC 477 BOX 3</v>
      </c>
      <c r="C13171" t="str">
        <f t="shared" si="4851"/>
        <v/>
      </c>
      <c r="D13171" t="str">
        <f t="shared" si="4852"/>
        <v>FPO</v>
      </c>
      <c r="E13171" t="str">
        <f t="shared" si="4848"/>
        <v>AP</v>
      </c>
      <c r="F13171" t="str">
        <f t="shared" si="4853"/>
        <v>963060001</v>
      </c>
      <c r="G13171" t="str">
        <f>T("PSC 477 BOX 3")</f>
        <v>PSC 477 BOX 3</v>
      </c>
      <c r="H13171" t="str">
        <f t="shared" si="4856"/>
        <v/>
      </c>
      <c r="I13171" t="str">
        <f t="shared" si="4854"/>
        <v>FPO</v>
      </c>
      <c r="J13171" t="str">
        <f>T("AP")</f>
        <v>AP</v>
      </c>
      <c r="K13171" t="str">
        <f>T("601181467633185")</f>
        <v>601181467633185</v>
      </c>
      <c r="L13171" t="str">
        <f>T("1111111111")</f>
        <v>1111111111</v>
      </c>
    </row>
    <row r="13172" spans="1:12" x14ac:dyDescent="0.35">
      <c r="A13172" t="str">
        <f t="shared" si="4847"/>
        <v>USN/CFAF</v>
      </c>
      <c r="B13172" t="str">
        <f t="shared" si="4855"/>
        <v>PSC 477 BOX 3</v>
      </c>
      <c r="C13172" t="str">
        <f t="shared" si="4851"/>
        <v/>
      </c>
      <c r="D13172" t="str">
        <f t="shared" si="4852"/>
        <v>FPO</v>
      </c>
      <c r="E13172" t="str">
        <f t="shared" si="4848"/>
        <v>AP</v>
      </c>
      <c r="F13172" t="str">
        <f t="shared" si="4853"/>
        <v>963060001</v>
      </c>
      <c r="G13172" t="str">
        <f>T("PSC 851 BOX 540")</f>
        <v>PSC 851 BOX 540</v>
      </c>
      <c r="H13172" t="str">
        <f t="shared" si="4856"/>
        <v/>
      </c>
      <c r="I13172" t="str">
        <f t="shared" si="4854"/>
        <v>FPO</v>
      </c>
      <c r="J13172" t="str">
        <f>T("AE")</f>
        <v>AE</v>
      </c>
      <c r="K13172" t="str">
        <f>T("000000000000000000")</f>
        <v>000000000000000000</v>
      </c>
      <c r="L13172" t="str">
        <f>T("3184396452")</f>
        <v>3184396452</v>
      </c>
    </row>
    <row r="13173" spans="1:12" x14ac:dyDescent="0.35">
      <c r="A13173" t="str">
        <f t="shared" si="4847"/>
        <v>USN/CFAF</v>
      </c>
      <c r="B13173" t="str">
        <f t="shared" si="4855"/>
        <v>PSC 477 BOX 3</v>
      </c>
      <c r="C13173" t="str">
        <f t="shared" si="4851"/>
        <v/>
      </c>
      <c r="D13173" t="str">
        <f t="shared" si="4852"/>
        <v>FPO</v>
      </c>
      <c r="E13173" t="str">
        <f t="shared" si="4848"/>
        <v>AP</v>
      </c>
      <c r="F13173" t="str">
        <f t="shared" si="4853"/>
        <v>963060001</v>
      </c>
      <c r="G13173" t="str">
        <f>T("PSC 851 BOX 970")</f>
        <v>PSC 851 BOX 970</v>
      </c>
      <c r="H13173" t="str">
        <f t="shared" si="4856"/>
        <v/>
      </c>
      <c r="I13173" t="str">
        <f t="shared" si="4854"/>
        <v>FPO</v>
      </c>
      <c r="J13173" t="str">
        <f>T("AE")</f>
        <v>AE</v>
      </c>
      <c r="K13173" t="str">
        <f>T("97317856454")</f>
        <v>97317856454</v>
      </c>
      <c r="L13173" t="str">
        <f>T("1111111111")</f>
        <v>1111111111</v>
      </c>
    </row>
    <row r="13174" spans="1:12" x14ac:dyDescent="0.35">
      <c r="A13174" t="str">
        <f t="shared" si="4847"/>
        <v>USN/CFAF</v>
      </c>
      <c r="B13174" t="str">
        <f t="shared" si="4855"/>
        <v>PSC 477 BOX 3</v>
      </c>
      <c r="C13174" t="str">
        <f t="shared" si="4851"/>
        <v/>
      </c>
      <c r="D13174" t="str">
        <f t="shared" si="4852"/>
        <v>FPO</v>
      </c>
      <c r="E13174" t="str">
        <f t="shared" si="4848"/>
        <v>AP</v>
      </c>
      <c r="F13174" t="str">
        <f t="shared" si="4853"/>
        <v>963060001</v>
      </c>
      <c r="G13174" t="str">
        <f>T("PSC 900 BOX SE ASD")</f>
        <v>PSC 900 BOX SE ASD</v>
      </c>
      <c r="H13174" t="str">
        <f t="shared" si="4856"/>
        <v/>
      </c>
      <c r="I13174" t="str">
        <f t="shared" si="4854"/>
        <v>FPO</v>
      </c>
      <c r="J13174" t="str">
        <f>T("AE")</f>
        <v>AE</v>
      </c>
      <c r="K13174" t="str">
        <f>T("000000000000000000")</f>
        <v>000000000000000000</v>
      </c>
      <c r="L13174" t="str">
        <f>T("3184396454")</f>
        <v>3184396454</v>
      </c>
    </row>
    <row r="13175" spans="1:12" x14ac:dyDescent="0.35">
      <c r="A13175" t="str">
        <f t="shared" si="4847"/>
        <v>USN/CFAF</v>
      </c>
      <c r="B13175" t="str">
        <f t="shared" ref="B13175:B13180" si="4857">T("UNIT 14052 BOX 51")</f>
        <v>UNIT 14052 BOX 51</v>
      </c>
      <c r="C13175" t="str">
        <f t="shared" ref="C13175:C13180" si="4858">T("ANDERSEN AFB GUAM")</f>
        <v>ANDERSEN AFB GUAM</v>
      </c>
      <c r="D13175" t="str">
        <f t="shared" ref="D13175:D13180" si="4859">T("APO")</f>
        <v>APO</v>
      </c>
      <c r="E13175" t="str">
        <f t="shared" si="4848"/>
        <v>AP</v>
      </c>
      <c r="F13175" t="str">
        <f t="shared" ref="F13175:F13180" si="4860">T("965434052")</f>
        <v>965434052</v>
      </c>
      <c r="G13175" t="str">
        <f>T("CFAF ASD GUAM")</f>
        <v>CFAF ASD GUAM</v>
      </c>
      <c r="H13175" t="str">
        <f>T("UNIT 14052 51")</f>
        <v>UNIT 14052 51</v>
      </c>
      <c r="I13175" t="str">
        <f t="shared" si="4854"/>
        <v>FPO</v>
      </c>
      <c r="J13175" t="str">
        <f t="shared" ref="J13175:J13180" si="4861">T("AP")</f>
        <v>AP</v>
      </c>
      <c r="K13175" t="str">
        <f>T("000000000000000000")</f>
        <v>000000000000000000</v>
      </c>
      <c r="L13175" t="str">
        <f>T("6713663957")</f>
        <v>6713663957</v>
      </c>
    </row>
    <row r="13176" spans="1:12" x14ac:dyDescent="0.35">
      <c r="A13176" t="str">
        <f t="shared" si="4847"/>
        <v>USN/CFAF</v>
      </c>
      <c r="B13176" t="str">
        <f t="shared" si="4857"/>
        <v>UNIT 14052 BOX 51</v>
      </c>
      <c r="C13176" t="str">
        <f t="shared" si="4858"/>
        <v>ANDERSEN AFB GUAM</v>
      </c>
      <c r="D13176" t="str">
        <f t="shared" si="4859"/>
        <v>APO</v>
      </c>
      <c r="E13176" t="str">
        <f t="shared" si="4848"/>
        <v>AP</v>
      </c>
      <c r="F13176" t="str">
        <f t="shared" si="4860"/>
        <v>965434052</v>
      </c>
      <c r="G13176" t="str">
        <f>T("CFAF ASD GUAM")</f>
        <v>CFAF ASD GUAM</v>
      </c>
      <c r="H13176" t="str">
        <f>T("UNIT 14054")</f>
        <v>UNIT 14054</v>
      </c>
      <c r="I13176" t="str">
        <f>T("APO")</f>
        <v>APO</v>
      </c>
      <c r="J13176" t="str">
        <f t="shared" si="4861"/>
        <v>AP</v>
      </c>
      <c r="K13176" t="str">
        <f>T("000000000000000000")</f>
        <v>000000000000000000</v>
      </c>
      <c r="L13176" t="str">
        <f>T("6713663957")</f>
        <v>6713663957</v>
      </c>
    </row>
    <row r="13177" spans="1:12" x14ac:dyDescent="0.35">
      <c r="A13177" t="str">
        <f t="shared" si="4847"/>
        <v>USN/CFAF</v>
      </c>
      <c r="B13177" t="str">
        <f t="shared" si="4857"/>
        <v>UNIT 14052 BOX 51</v>
      </c>
      <c r="C13177" t="str">
        <f t="shared" si="4858"/>
        <v>ANDERSEN AFB GUAM</v>
      </c>
      <c r="D13177" t="str">
        <f t="shared" si="4859"/>
        <v>APO</v>
      </c>
      <c r="E13177" t="str">
        <f t="shared" si="4848"/>
        <v>AP</v>
      </c>
      <c r="F13177" t="str">
        <f t="shared" si="4860"/>
        <v>965434052</v>
      </c>
      <c r="G13177" t="str">
        <f>T("UNIT 14052 BOX 51")</f>
        <v>UNIT 14052 BOX 51</v>
      </c>
      <c r="H13177" t="str">
        <f>T("")</f>
        <v/>
      </c>
      <c r="I13177" t="str">
        <f>T("FPO")</f>
        <v>FPO</v>
      </c>
      <c r="J13177" t="str">
        <f t="shared" si="4861"/>
        <v>AP</v>
      </c>
      <c r="K13177" t="str">
        <f>T("000000000000000000")</f>
        <v>000000000000000000</v>
      </c>
      <c r="L13177" t="str">
        <f>T("6713663957")</f>
        <v>6713663957</v>
      </c>
    </row>
    <row r="13178" spans="1:12" x14ac:dyDescent="0.35">
      <c r="A13178" t="str">
        <f t="shared" si="4847"/>
        <v>USN/CFAF</v>
      </c>
      <c r="B13178" t="str">
        <f t="shared" si="4857"/>
        <v>UNIT 14052 BOX 51</v>
      </c>
      <c r="C13178" t="str">
        <f t="shared" si="4858"/>
        <v>ANDERSEN AFB GUAM</v>
      </c>
      <c r="D13178" t="str">
        <f t="shared" si="4859"/>
        <v>APO</v>
      </c>
      <c r="E13178" t="str">
        <f t="shared" si="4848"/>
        <v>AP</v>
      </c>
      <c r="F13178" t="str">
        <f t="shared" si="4860"/>
        <v>965434052</v>
      </c>
      <c r="G13178" t="str">
        <f>T("UNIT 14052 BOX 51")</f>
        <v>UNIT 14052 BOX 51</v>
      </c>
      <c r="H13178" t="str">
        <f>T("ANDERSEN AFB GUAM")</f>
        <v>ANDERSEN AFB GUAM</v>
      </c>
      <c r="I13178" t="str">
        <f>T("APO")</f>
        <v>APO</v>
      </c>
      <c r="J13178" t="str">
        <f t="shared" si="4861"/>
        <v>AP</v>
      </c>
      <c r="K13178" t="str">
        <f>T("6713666461")</f>
        <v>6713666461</v>
      </c>
      <c r="L13178" t="str">
        <f>T("6713663957")</f>
        <v>6713663957</v>
      </c>
    </row>
    <row r="13179" spans="1:12" x14ac:dyDescent="0.35">
      <c r="A13179" t="str">
        <f t="shared" si="4847"/>
        <v>USN/CFAF</v>
      </c>
      <c r="B13179" t="str">
        <f t="shared" si="4857"/>
        <v>UNIT 14052 BOX 51</v>
      </c>
      <c r="C13179" t="str">
        <f t="shared" si="4858"/>
        <v>ANDERSEN AFB GUAM</v>
      </c>
      <c r="D13179" t="str">
        <f t="shared" si="4859"/>
        <v>APO</v>
      </c>
      <c r="E13179" t="str">
        <f t="shared" si="4848"/>
        <v>AP</v>
      </c>
      <c r="F13179" t="str">
        <f t="shared" si="4860"/>
        <v>965434052</v>
      </c>
      <c r="G13179" t="str">
        <f>T("UNIT 14054")</f>
        <v>UNIT 14054</v>
      </c>
      <c r="H13179" t="str">
        <f>T("")</f>
        <v/>
      </c>
      <c r="I13179" t="str">
        <f>T("APO")</f>
        <v>APO</v>
      </c>
      <c r="J13179" t="str">
        <f t="shared" si="4861"/>
        <v>AP</v>
      </c>
      <c r="K13179" t="str">
        <f>T("000000000000000000")</f>
        <v>000000000000000000</v>
      </c>
      <c r="L13179" t="str">
        <f>T("6713663957")</f>
        <v>6713663957</v>
      </c>
    </row>
    <row r="13180" spans="1:12" x14ac:dyDescent="0.35">
      <c r="A13180" t="str">
        <f t="shared" si="4847"/>
        <v>USN/CFAF</v>
      </c>
      <c r="B13180" t="str">
        <f t="shared" si="4857"/>
        <v>UNIT 14052 BOX 51</v>
      </c>
      <c r="C13180" t="str">
        <f t="shared" si="4858"/>
        <v>ANDERSEN AFB GUAM</v>
      </c>
      <c r="D13180" t="str">
        <f t="shared" si="4859"/>
        <v>APO</v>
      </c>
      <c r="E13180" t="str">
        <f t="shared" si="4848"/>
        <v>AP</v>
      </c>
      <c r="F13180" t="str">
        <f t="shared" si="4860"/>
        <v>965434052</v>
      </c>
      <c r="G13180" t="str">
        <f>T("UNIT 14054")</f>
        <v>UNIT 14054</v>
      </c>
      <c r="H13180" t="str">
        <f>T("")</f>
        <v/>
      </c>
      <c r="I13180" t="str">
        <f>T("APO")</f>
        <v>APO</v>
      </c>
      <c r="J13180" t="str">
        <f t="shared" si="4861"/>
        <v>AP</v>
      </c>
      <c r="K13180" t="str">
        <f>T("000000000000000000")</f>
        <v>000000000000000000</v>
      </c>
      <c r="L13180" t="str">
        <f>T("6713666487")</f>
        <v>6713666487</v>
      </c>
    </row>
    <row r="13181" spans="1:12" x14ac:dyDescent="0.35">
      <c r="A13181" t="str">
        <f>T("VAQ 131")</f>
        <v>VAQ 131</v>
      </c>
      <c r="B13181" t="str">
        <f>T("DON VAQ-131")</f>
        <v>DON VAQ-131</v>
      </c>
      <c r="C13181" t="str">
        <f>T("3760 N CHARLES PORTER AVE")</f>
        <v>3760 N CHARLES PORTER AVE</v>
      </c>
      <c r="D13181" t="str">
        <f>T("OAK HARBOR")</f>
        <v>OAK HARBOR</v>
      </c>
      <c r="E13181" t="str">
        <f>T("WA")</f>
        <v>WA</v>
      </c>
      <c r="F13181" t="str">
        <f>T("982784909")</f>
        <v>982784909</v>
      </c>
      <c r="G13181" t="str">
        <f>T("DON VAQ-131")</f>
        <v>DON VAQ-131</v>
      </c>
      <c r="H13181" t="str">
        <f>T("3760 N CHARLES PORTER AVE")</f>
        <v>3760 N CHARLES PORTER AVE</v>
      </c>
      <c r="I13181" t="str">
        <f>T("OAK HARBOR")</f>
        <v>OAK HARBOR</v>
      </c>
      <c r="J13181" t="str">
        <f>T("WA")</f>
        <v>WA</v>
      </c>
      <c r="K13181" t="str">
        <f>T("3602576033")</f>
        <v>3602576033</v>
      </c>
      <c r="L13181" t="str">
        <f>T("3602576232")</f>
        <v>3602576232</v>
      </c>
    </row>
    <row r="13182" spans="1:12" x14ac:dyDescent="0.35">
      <c r="A13182" t="str">
        <f>T("VAQ 131")</f>
        <v>VAQ 131</v>
      </c>
      <c r="B13182" t="str">
        <f>T("DON VAQ-131")</f>
        <v>DON VAQ-131</v>
      </c>
      <c r="C13182" t="str">
        <f>T("3760 N CHARLES PORTER AVE")</f>
        <v>3760 N CHARLES PORTER AVE</v>
      </c>
      <c r="D13182" t="str">
        <f>T("OAK HARBOR")</f>
        <v>OAK HARBOR</v>
      </c>
      <c r="E13182" t="str">
        <f>T("WA")</f>
        <v>WA</v>
      </c>
      <c r="F13182" t="str">
        <f>T("982784909")</f>
        <v>982784909</v>
      </c>
      <c r="G13182" t="str">
        <f>T("VAQ-131")</f>
        <v>VAQ-131</v>
      </c>
      <c r="H13182" t="str">
        <f>T("3760 N CHARLES PORTER AVE")</f>
        <v>3760 N CHARLES PORTER AVE</v>
      </c>
      <c r="I13182" t="str">
        <f>T("OAK HARBOR")</f>
        <v>OAK HARBOR</v>
      </c>
      <c r="J13182" t="str">
        <f>T("WA")</f>
        <v>WA</v>
      </c>
      <c r="K13182" t="str">
        <f>T("000000000000000000")</f>
        <v>000000000000000000</v>
      </c>
      <c r="L13182" t="str">
        <f>T("3602574908")</f>
        <v>3602574908</v>
      </c>
    </row>
    <row r="13183" spans="1:12" x14ac:dyDescent="0.35">
      <c r="A13183" t="str">
        <f>T("VAQ 131")</f>
        <v>VAQ 131</v>
      </c>
      <c r="B13183" t="str">
        <f>T("DON VAQ-131")</f>
        <v>DON VAQ-131</v>
      </c>
      <c r="C13183" t="str">
        <f>T("3760 N CHARLES PORTER AVE")</f>
        <v>3760 N CHARLES PORTER AVE</v>
      </c>
      <c r="D13183" t="str">
        <f>T("OAK HARBOR")</f>
        <v>OAK HARBOR</v>
      </c>
      <c r="E13183" t="str">
        <f>T("WA")</f>
        <v>WA</v>
      </c>
      <c r="F13183" t="str">
        <f>T("982784909")</f>
        <v>982784909</v>
      </c>
      <c r="G13183" t="str">
        <f>T("VAQ-131")</f>
        <v>VAQ-131</v>
      </c>
      <c r="H13183" t="str">
        <f>T("3760 N CHARLES PORTER AVE")</f>
        <v>3760 N CHARLES PORTER AVE</v>
      </c>
      <c r="I13183" t="str">
        <f>T("OAK HARBOR")</f>
        <v>OAK HARBOR</v>
      </c>
      <c r="J13183" t="str">
        <f>T("WA")</f>
        <v>WA</v>
      </c>
      <c r="K13183" t="str">
        <f>T("000000000000000000")</f>
        <v>000000000000000000</v>
      </c>
      <c r="L13183" t="str">
        <f>T("3602576223")</f>
        <v>3602576223</v>
      </c>
    </row>
    <row r="13184" spans="1:12" x14ac:dyDescent="0.35">
      <c r="A13184" t="str">
        <f>T("VAQ 131")</f>
        <v>VAQ 131</v>
      </c>
      <c r="B13184" t="str">
        <f>T("DON VAQ-131")</f>
        <v>DON VAQ-131</v>
      </c>
      <c r="C13184" t="str">
        <f>T("3760 N CHARLES PORTER AVE")</f>
        <v>3760 N CHARLES PORTER AVE</v>
      </c>
      <c r="D13184" t="str">
        <f>T("OAK HARBOR")</f>
        <v>OAK HARBOR</v>
      </c>
      <c r="E13184" t="str">
        <f>T("WA")</f>
        <v>WA</v>
      </c>
      <c r="F13184" t="str">
        <f>T("982784909")</f>
        <v>982784909</v>
      </c>
      <c r="G13184" t="str">
        <f>T("VAQ-131")</f>
        <v>VAQ-131</v>
      </c>
      <c r="H13184" t="str">
        <f>T("3760 N CHARLES PORTER AVE")</f>
        <v>3760 N CHARLES PORTER AVE</v>
      </c>
      <c r="I13184" t="str">
        <f>T("OAK HARBOR")</f>
        <v>OAK HARBOR</v>
      </c>
      <c r="J13184" t="str">
        <f>T("WA")</f>
        <v>WA</v>
      </c>
      <c r="K13184" t="str">
        <f>T("000000000000000000")</f>
        <v>000000000000000000</v>
      </c>
      <c r="L13184" t="str">
        <f>T("3602576232")</f>
        <v>3602576232</v>
      </c>
    </row>
    <row r="13185" spans="1:12" x14ac:dyDescent="0.35">
      <c r="A13185" t="str">
        <f>T("HSC-12")</f>
        <v>HSC-12</v>
      </c>
      <c r="B13185" t="str">
        <f>T("HSC 12 UNIT 200185 BOX 1")</f>
        <v>HSC 12 UNIT 200185 BOX 1</v>
      </c>
      <c r="C13185" t="str">
        <f t="shared" ref="C13185:C13192" si="4862">T("")</f>
        <v/>
      </c>
      <c r="D13185" t="str">
        <f>T("FPO")</f>
        <v>FPO</v>
      </c>
      <c r="E13185" t="str">
        <f t="shared" ref="E13185:E13195" si="4863">T("AP")</f>
        <v>AP</v>
      </c>
      <c r="F13185" t="str">
        <f>T("966018500")</f>
        <v>966018500</v>
      </c>
      <c r="G13185" t="str">
        <f>T("HSC 12 UNIT 200185 BOX 1")</f>
        <v>HSC 12 UNIT 200185 BOX 1</v>
      </c>
      <c r="H13185" t="str">
        <f>T("")</f>
        <v/>
      </c>
      <c r="I13185" t="str">
        <f>T("FPO")</f>
        <v>FPO</v>
      </c>
      <c r="J13185" t="str">
        <f t="shared" ref="J13185:J13195" si="4864">T("AP")</f>
        <v>AP</v>
      </c>
      <c r="K13185" t="str">
        <f>T("3152642988")</f>
        <v>3152642988</v>
      </c>
      <c r="L13185" t="str">
        <f>T("3152642988")</f>
        <v>3152642988</v>
      </c>
    </row>
    <row r="13186" spans="1:12" x14ac:dyDescent="0.35">
      <c r="A13186" t="str">
        <f>T("HSC-12")</f>
        <v>HSC-12</v>
      </c>
      <c r="B13186" t="str">
        <f>T("HSC 12 UNIT 200185 BOX 1")</f>
        <v>HSC 12 UNIT 200185 BOX 1</v>
      </c>
      <c r="C13186" t="str">
        <f t="shared" si="4862"/>
        <v/>
      </c>
      <c r="D13186" t="str">
        <f>T("FPO")</f>
        <v>FPO</v>
      </c>
      <c r="E13186" t="str">
        <f t="shared" si="4863"/>
        <v>AP</v>
      </c>
      <c r="F13186" t="str">
        <f>T("966018500")</f>
        <v>966018500</v>
      </c>
      <c r="G13186" t="str">
        <f>T("HSC-12")</f>
        <v>HSC-12</v>
      </c>
      <c r="H13186" t="str">
        <f>T("HSC 12 UNIT 200185 BOX 1")</f>
        <v>HSC 12 UNIT 200185 BOX 1</v>
      </c>
      <c r="I13186" t="str">
        <f>T("FPO")</f>
        <v>FPO</v>
      </c>
      <c r="J13186" t="str">
        <f t="shared" si="4864"/>
        <v>AP</v>
      </c>
      <c r="K13186" t="str">
        <f>T("810467632980")</f>
        <v>810467632980</v>
      </c>
      <c r="L13186" t="str">
        <f t="shared" ref="L13186:L13192" si="4865">T("1111111111")</f>
        <v>1111111111</v>
      </c>
    </row>
    <row r="13187" spans="1:12" x14ac:dyDescent="0.35">
      <c r="A13187" t="str">
        <f>T("HSC-12")</f>
        <v>HSC-12</v>
      </c>
      <c r="B13187" t="str">
        <f>T("HSC 12 UNIT 200185 BOX 1")</f>
        <v>HSC 12 UNIT 200185 BOX 1</v>
      </c>
      <c r="C13187" t="str">
        <f t="shared" si="4862"/>
        <v/>
      </c>
      <c r="D13187" t="str">
        <f>T("FPO")</f>
        <v>FPO</v>
      </c>
      <c r="E13187" t="str">
        <f t="shared" si="4863"/>
        <v>AP</v>
      </c>
      <c r="F13187" t="str">
        <f>T("966018500")</f>
        <v>966018500</v>
      </c>
      <c r="G13187" t="str">
        <f>T("HSC-12")</f>
        <v>HSC-12</v>
      </c>
      <c r="H13187" t="str">
        <f>T("UNIT 200185")</f>
        <v>UNIT 200185</v>
      </c>
      <c r="I13187" t="str">
        <f>T("FPO")</f>
        <v>FPO</v>
      </c>
      <c r="J13187" t="str">
        <f t="shared" si="4864"/>
        <v>AP</v>
      </c>
      <c r="K13187" t="str">
        <f>T("810467632980")</f>
        <v>810467632980</v>
      </c>
      <c r="L13187" t="str">
        <f t="shared" si="4865"/>
        <v>1111111111</v>
      </c>
    </row>
    <row r="13188" spans="1:12" x14ac:dyDescent="0.35">
      <c r="A13188" t="str">
        <f>T("HSC-12")</f>
        <v>HSC-12</v>
      </c>
      <c r="B13188" t="str">
        <f>T("HSC 12 UNIT 200185 BOX 1")</f>
        <v>HSC 12 UNIT 200185 BOX 1</v>
      </c>
      <c r="C13188" t="str">
        <f t="shared" si="4862"/>
        <v/>
      </c>
      <c r="D13188" t="str">
        <f>T("FPO")</f>
        <v>FPO</v>
      </c>
      <c r="E13188" t="str">
        <f t="shared" si="4863"/>
        <v>AP</v>
      </c>
      <c r="F13188" t="str">
        <f>T("966018500")</f>
        <v>966018500</v>
      </c>
      <c r="G13188" t="str">
        <f>T("HSC-12")</f>
        <v>HSC-12</v>
      </c>
      <c r="H13188" t="str">
        <f>T("UNIT 200185 BOX 1")</f>
        <v>UNIT 200185 BOX 1</v>
      </c>
      <c r="I13188" t="str">
        <f>T("FPO")</f>
        <v>FPO</v>
      </c>
      <c r="J13188" t="str">
        <f t="shared" si="4864"/>
        <v>AP</v>
      </c>
      <c r="K13188" t="str">
        <f>T("810467632980")</f>
        <v>810467632980</v>
      </c>
      <c r="L13188" t="str">
        <f t="shared" si="4865"/>
        <v>1111111111</v>
      </c>
    </row>
    <row r="13189" spans="1:12" x14ac:dyDescent="0.35">
      <c r="A13189" t="str">
        <f>T("COMPATRECONFOR 7TH")</f>
        <v>COMPATRECONFOR 7TH</v>
      </c>
      <c r="B13189" t="str">
        <f>T("PSC 76 BOX 5056")</f>
        <v>PSC 76 BOX 5056</v>
      </c>
      <c r="C13189" t="str">
        <f t="shared" si="4862"/>
        <v/>
      </c>
      <c r="D13189" t="str">
        <f>T("APO")</f>
        <v>APO</v>
      </c>
      <c r="E13189" t="str">
        <f t="shared" si="4863"/>
        <v>AP</v>
      </c>
      <c r="F13189" t="str">
        <f>T("963190051")</f>
        <v>963190051</v>
      </c>
      <c r="G13189" t="str">
        <f>T("PSC 76 BOX 5056")</f>
        <v>PSC 76 BOX 5056</v>
      </c>
      <c r="H13189" t="str">
        <f>T("")</f>
        <v/>
      </c>
      <c r="I13189" t="str">
        <f>T("APO")</f>
        <v>APO</v>
      </c>
      <c r="J13189" t="str">
        <f t="shared" si="4864"/>
        <v>AP</v>
      </c>
      <c r="K13189" t="str">
        <f>T("011813117665107")</f>
        <v>011813117665107</v>
      </c>
      <c r="L13189" t="str">
        <f t="shared" si="4865"/>
        <v>1111111111</v>
      </c>
    </row>
    <row r="13190" spans="1:12" x14ac:dyDescent="0.35">
      <c r="A13190" t="str">
        <f>T("COMPATRECONFOR 7TH")</f>
        <v>COMPATRECONFOR 7TH</v>
      </c>
      <c r="B13190" t="str">
        <f>T("PSC 76 BOX 5056")</f>
        <v>PSC 76 BOX 5056</v>
      </c>
      <c r="C13190" t="str">
        <f t="shared" si="4862"/>
        <v/>
      </c>
      <c r="D13190" t="str">
        <f>T("APO")</f>
        <v>APO</v>
      </c>
      <c r="E13190" t="str">
        <f t="shared" si="4863"/>
        <v>AP</v>
      </c>
      <c r="F13190" t="str">
        <f>T("963190051")</f>
        <v>963190051</v>
      </c>
      <c r="G13190" t="str">
        <f>T("PSC 76 UNIT 5056")</f>
        <v>PSC 76 UNIT 5056</v>
      </c>
      <c r="H13190" t="str">
        <f>T("")</f>
        <v/>
      </c>
      <c r="I13190" t="str">
        <f>T("APO")</f>
        <v>APO</v>
      </c>
      <c r="J13190" t="str">
        <f t="shared" si="4864"/>
        <v>AP</v>
      </c>
      <c r="K13190" t="str">
        <f>T("01181176775748")</f>
        <v>01181176775748</v>
      </c>
      <c r="L13190" t="str">
        <f t="shared" si="4865"/>
        <v>1111111111</v>
      </c>
    </row>
    <row r="13191" spans="1:12" x14ac:dyDescent="0.35">
      <c r="A13191" t="str">
        <f>T("COMPATRECONFOR 7TH")</f>
        <v>COMPATRECONFOR 7TH</v>
      </c>
      <c r="B13191" t="str">
        <f>T("PSC 76 BOX 5056")</f>
        <v>PSC 76 BOX 5056</v>
      </c>
      <c r="C13191" t="str">
        <f t="shared" si="4862"/>
        <v/>
      </c>
      <c r="D13191" t="str">
        <f>T("APO")</f>
        <v>APO</v>
      </c>
      <c r="E13191" t="str">
        <f t="shared" si="4863"/>
        <v>AP</v>
      </c>
      <c r="F13191" t="str">
        <f>T("963190051")</f>
        <v>963190051</v>
      </c>
      <c r="G13191" t="str">
        <f>T("PSC 76 UNIT 5056")</f>
        <v>PSC 76 UNIT 5056</v>
      </c>
      <c r="H13191" t="str">
        <f>T("")</f>
        <v/>
      </c>
      <c r="I13191" t="str">
        <f>T("APO")</f>
        <v>APO</v>
      </c>
      <c r="J13191" t="str">
        <f t="shared" si="4864"/>
        <v>AP</v>
      </c>
      <c r="K13191" t="str">
        <f>T("01181176775749")</f>
        <v>01181176775749</v>
      </c>
      <c r="L13191" t="str">
        <f t="shared" si="4865"/>
        <v>1111111111</v>
      </c>
    </row>
    <row r="13192" spans="1:12" x14ac:dyDescent="0.35">
      <c r="A13192" t="str">
        <f>T("COMPATRECONFOR 7TH")</f>
        <v>COMPATRECONFOR 7TH</v>
      </c>
      <c r="B13192" t="str">
        <f>T("PSC 76 BOX 5056")</f>
        <v>PSC 76 BOX 5056</v>
      </c>
      <c r="C13192" t="str">
        <f t="shared" si="4862"/>
        <v/>
      </c>
      <c r="D13192" t="str">
        <f>T("APO")</f>
        <v>APO</v>
      </c>
      <c r="E13192" t="str">
        <f t="shared" si="4863"/>
        <v>AP</v>
      </c>
      <c r="F13192" t="str">
        <f>T("963190051")</f>
        <v>963190051</v>
      </c>
      <c r="G13192" t="str">
        <f>T("PSC 76 UNIT 5056")</f>
        <v>PSC 76 UNIT 5056</v>
      </c>
      <c r="H13192" t="str">
        <f>T("")</f>
        <v/>
      </c>
      <c r="I13192" t="str">
        <f>T("APO")</f>
        <v>APO</v>
      </c>
      <c r="J13192" t="str">
        <f t="shared" si="4864"/>
        <v>AP</v>
      </c>
      <c r="K13192" t="str">
        <f>T("0181176775749")</f>
        <v>0181176775749</v>
      </c>
      <c r="L13192" t="str">
        <f t="shared" si="4865"/>
        <v>1111111111</v>
      </c>
    </row>
    <row r="13193" spans="1:12" x14ac:dyDescent="0.35">
      <c r="A13193" t="str">
        <f t="shared" ref="A13193:B13195" si="4866">T("VAW 112")</f>
        <v>VAW 112</v>
      </c>
      <c r="B13193" t="str">
        <f t="shared" si="4866"/>
        <v>VAW 112</v>
      </c>
      <c r="C13193" t="str">
        <f>T("VAW 112 UNIT 25417")</f>
        <v>VAW 112 UNIT 25417</v>
      </c>
      <c r="D13193" t="str">
        <f>T("FPO")</f>
        <v>FPO</v>
      </c>
      <c r="E13193" t="str">
        <f t="shared" si="4863"/>
        <v>AP</v>
      </c>
      <c r="F13193" t="str">
        <f>T("966016400")</f>
        <v>966016400</v>
      </c>
      <c r="G13193" t="str">
        <f>T("VAW 112")</f>
        <v>VAW 112</v>
      </c>
      <c r="H13193" t="str">
        <f>T("UNIT 25417")</f>
        <v>UNIT 25417</v>
      </c>
      <c r="I13193" t="str">
        <f>T("FPO")</f>
        <v>FPO</v>
      </c>
      <c r="J13193" t="str">
        <f t="shared" si="4864"/>
        <v>AP</v>
      </c>
      <c r="K13193" t="str">
        <f>T("8059891356")</f>
        <v>8059891356</v>
      </c>
      <c r="L13193" t="str">
        <f>T("8059899379")</f>
        <v>8059899379</v>
      </c>
    </row>
    <row r="13194" spans="1:12" x14ac:dyDescent="0.35">
      <c r="A13194" t="str">
        <f t="shared" si="4866"/>
        <v>VAW 112</v>
      </c>
      <c r="B13194" t="str">
        <f t="shared" si="4866"/>
        <v>VAW 112</v>
      </c>
      <c r="C13194" t="str">
        <f>T("VAW 112 UNIT 25417")</f>
        <v>VAW 112 UNIT 25417</v>
      </c>
      <c r="D13194" t="str">
        <f>T("FPO")</f>
        <v>FPO</v>
      </c>
      <c r="E13194" t="str">
        <f t="shared" si="4863"/>
        <v>AP</v>
      </c>
      <c r="F13194" t="str">
        <f>T("966016400")</f>
        <v>966016400</v>
      </c>
      <c r="G13194" t="str">
        <f>T("VAW 112")</f>
        <v>VAW 112</v>
      </c>
      <c r="H13194" t="str">
        <f>T("VAW 112 UNIT 25417")</f>
        <v>VAW 112 UNIT 25417</v>
      </c>
      <c r="I13194" t="str">
        <f>T("FPO")</f>
        <v>FPO</v>
      </c>
      <c r="J13194" t="str">
        <f t="shared" si="4864"/>
        <v>AP</v>
      </c>
      <c r="K13194" t="str">
        <f>T("")</f>
        <v/>
      </c>
      <c r="L13194" t="str">
        <f>T("8059898333")</f>
        <v>8059898333</v>
      </c>
    </row>
    <row r="13195" spans="1:12" x14ac:dyDescent="0.35">
      <c r="A13195" t="str">
        <f t="shared" si="4866"/>
        <v>VAW 112</v>
      </c>
      <c r="B13195" t="str">
        <f t="shared" si="4866"/>
        <v>VAW 112</v>
      </c>
      <c r="C13195" t="str">
        <f>T("VAW 112 UNIT 25417")</f>
        <v>VAW 112 UNIT 25417</v>
      </c>
      <c r="D13195" t="str">
        <f>T("FPO")</f>
        <v>FPO</v>
      </c>
      <c r="E13195" t="str">
        <f t="shared" si="4863"/>
        <v>AP</v>
      </c>
      <c r="F13195" t="str">
        <f>T("966016400")</f>
        <v>966016400</v>
      </c>
      <c r="G13195" t="str">
        <f>T("VAW 112 UNIT 25417")</f>
        <v>VAW 112 UNIT 25417</v>
      </c>
      <c r="H13195" t="str">
        <f>T("")</f>
        <v/>
      </c>
      <c r="I13195" t="str">
        <f>T("FPO")</f>
        <v>FPO</v>
      </c>
      <c r="J13195" t="str">
        <f t="shared" si="4864"/>
        <v>AP</v>
      </c>
      <c r="K13195" t="str">
        <f>T("8059891356")</f>
        <v>8059891356</v>
      </c>
      <c r="L13195" t="str">
        <f>T("8059899379")</f>
        <v>8059899379</v>
      </c>
    </row>
    <row r="13196" spans="1:12" x14ac:dyDescent="0.35">
      <c r="A13196" t="str">
        <f>T("VAW-113")</f>
        <v>VAW-113</v>
      </c>
      <c r="B13196" t="str">
        <f>T("VAW -113")</f>
        <v>VAW -113</v>
      </c>
      <c r="C13196" t="str">
        <f>T("13TH STREET HANGAR 553")</f>
        <v>13TH STREET HANGAR 553</v>
      </c>
      <c r="D13196" t="str">
        <f>T("PT MUGU NAWC")</f>
        <v>PT MUGU NAWC</v>
      </c>
      <c r="E13196" t="str">
        <f>T("CA")</f>
        <v>CA</v>
      </c>
      <c r="F13196" t="str">
        <f>T("930420001")</f>
        <v>930420001</v>
      </c>
      <c r="G13196" t="str">
        <f>T("13TH STREET HANGER 553")</f>
        <v>13TH STREET HANGER 553</v>
      </c>
      <c r="H13196" t="str">
        <f>T("")</f>
        <v/>
      </c>
      <c r="I13196" t="str">
        <f>T("POINT MUGU NAWC")</f>
        <v>POINT MUGU NAWC</v>
      </c>
      <c r="J13196" t="str">
        <f>T("CA")</f>
        <v>CA</v>
      </c>
      <c r="K13196" t="str">
        <f>T("8059899074")</f>
        <v>8059899074</v>
      </c>
      <c r="L13196" t="str">
        <f>T("8059890790")</f>
        <v>8059890790</v>
      </c>
    </row>
    <row r="13197" spans="1:12" x14ac:dyDescent="0.35">
      <c r="A13197" t="str">
        <f>T("VAW-113")</f>
        <v>VAW-113</v>
      </c>
      <c r="B13197" t="str">
        <f>T("VAW -113")</f>
        <v>VAW -113</v>
      </c>
      <c r="C13197" t="str">
        <f>T("13TH STREET HANGAR 553")</f>
        <v>13TH STREET HANGAR 553</v>
      </c>
      <c r="D13197" t="str">
        <f>T("PT MUGU NAWC")</f>
        <v>PT MUGU NAWC</v>
      </c>
      <c r="E13197" t="str">
        <f>T("CA")</f>
        <v>CA</v>
      </c>
      <c r="F13197" t="str">
        <f>T("930420001")</f>
        <v>930420001</v>
      </c>
      <c r="G13197" t="str">
        <f>T("VAW -113")</f>
        <v>VAW -113</v>
      </c>
      <c r="H13197" t="str">
        <f>T("13TH STREET HANGAR 553")</f>
        <v>13TH STREET HANGAR 553</v>
      </c>
      <c r="I13197" t="str">
        <f>T("PT MUGU NAWC")</f>
        <v>PT MUGU NAWC</v>
      </c>
      <c r="J13197" t="str">
        <f>T("CA")</f>
        <v>CA</v>
      </c>
      <c r="K13197" t="str">
        <f>T("8059893313")</f>
        <v>8059893313</v>
      </c>
      <c r="L13197" t="str">
        <f>T("8059899074")</f>
        <v>8059899074</v>
      </c>
    </row>
    <row r="13198" spans="1:12" x14ac:dyDescent="0.35">
      <c r="A13198" t="str">
        <f>T("VAW-113")</f>
        <v>VAW-113</v>
      </c>
      <c r="B13198" t="str">
        <f>T("VAW -113")</f>
        <v>VAW -113</v>
      </c>
      <c r="C13198" t="str">
        <f>T("13TH STREET HANGAR 553")</f>
        <v>13TH STREET HANGAR 553</v>
      </c>
      <c r="D13198" t="str">
        <f>T("PT MUGU NAWC")</f>
        <v>PT MUGU NAWC</v>
      </c>
      <c r="E13198" t="str">
        <f>T("CA")</f>
        <v>CA</v>
      </c>
      <c r="F13198" t="str">
        <f>T("930420001")</f>
        <v>930420001</v>
      </c>
      <c r="G13198" t="str">
        <f>T("VAW-113")</f>
        <v>VAW-113</v>
      </c>
      <c r="H13198" t="str">
        <f>T("13TH STREET HGR 553")</f>
        <v>13TH STREET HGR 553</v>
      </c>
      <c r="I13198" t="str">
        <f>T("NAWC POINT MUGU")</f>
        <v>NAWC POINT MUGU</v>
      </c>
      <c r="J13198" t="str">
        <f>T("CA")</f>
        <v>CA</v>
      </c>
      <c r="K13198" t="str">
        <f>T("000000000000000000")</f>
        <v>000000000000000000</v>
      </c>
      <c r="L13198" t="str">
        <f>T("8059890790")</f>
        <v>8059890790</v>
      </c>
    </row>
    <row r="13199" spans="1:12" x14ac:dyDescent="0.35">
      <c r="A13199" t="str">
        <f>T("VAW-113")</f>
        <v>VAW-113</v>
      </c>
      <c r="B13199" t="str">
        <f>T("VAW -113")</f>
        <v>VAW -113</v>
      </c>
      <c r="C13199" t="str">
        <f>T("13TH STREET HANGAR 553")</f>
        <v>13TH STREET HANGAR 553</v>
      </c>
      <c r="D13199" t="str">
        <f>T("PT MUGU NAWC")</f>
        <v>PT MUGU NAWC</v>
      </c>
      <c r="E13199" t="str">
        <f>T("CA")</f>
        <v>CA</v>
      </c>
      <c r="F13199" t="str">
        <f>T("930420001")</f>
        <v>930420001</v>
      </c>
      <c r="G13199" t="str">
        <f>T("VAW-113")</f>
        <v>VAW-113</v>
      </c>
      <c r="H13199" t="str">
        <f>T("13TH STREET HGR 553")</f>
        <v>13TH STREET HGR 553</v>
      </c>
      <c r="I13199" t="str">
        <f>T("POINT MUGU NAWC")</f>
        <v>POINT MUGU NAWC</v>
      </c>
      <c r="J13199" t="str">
        <f>T("CA")</f>
        <v>CA</v>
      </c>
      <c r="K13199" t="str">
        <f>T("000000000000000000")</f>
        <v>000000000000000000</v>
      </c>
      <c r="L13199" t="str">
        <f>T("8059890790")</f>
        <v>8059890790</v>
      </c>
    </row>
    <row r="13200" spans="1:12" x14ac:dyDescent="0.35">
      <c r="A13200" t="str">
        <f>T("VAW-113")</f>
        <v>VAW-113</v>
      </c>
      <c r="B13200" t="str">
        <f>T("VAW -113")</f>
        <v>VAW -113</v>
      </c>
      <c r="C13200" t="str">
        <f>T("13TH STREET HANGAR 553")</f>
        <v>13TH STREET HANGAR 553</v>
      </c>
      <c r="D13200" t="str">
        <f>T("PT MUGU NAWC")</f>
        <v>PT MUGU NAWC</v>
      </c>
      <c r="E13200" t="str">
        <f>T("CA")</f>
        <v>CA</v>
      </c>
      <c r="F13200" t="str">
        <f>T("930420001")</f>
        <v>930420001</v>
      </c>
      <c r="G13200" t="str">
        <f>T("VAW-113")</f>
        <v>VAW-113</v>
      </c>
      <c r="H13200" t="str">
        <f>T("HANGAR 553 NBVC")</f>
        <v>HANGAR 553 NBVC</v>
      </c>
      <c r="I13200" t="str">
        <f>T("POINT MUGU NAWC")</f>
        <v>POINT MUGU NAWC</v>
      </c>
      <c r="J13200" t="str">
        <f>T("CA")</f>
        <v>CA</v>
      </c>
      <c r="K13200" t="str">
        <f>T("000000000000000000")</f>
        <v>000000000000000000</v>
      </c>
      <c r="L13200" t="str">
        <f>T("8059893371")</f>
        <v>8059893371</v>
      </c>
    </row>
    <row r="13201" spans="1:12" x14ac:dyDescent="0.35">
      <c r="A13201" t="str">
        <f>T("VAW-115")</f>
        <v>VAW-115</v>
      </c>
      <c r="B13201" t="str">
        <f>T("VAW 115 UNIT 200184 BOX 1")</f>
        <v>VAW 115 UNIT 200184 BOX 1</v>
      </c>
      <c r="C13201" t="str">
        <f>T("MATERIAL CONTROL")</f>
        <v>MATERIAL CONTROL</v>
      </c>
      <c r="D13201" t="str">
        <f>T("FPO")</f>
        <v>FPO</v>
      </c>
      <c r="E13201" t="str">
        <f>T("AP")</f>
        <v>AP</v>
      </c>
      <c r="F13201" t="str">
        <f>T("966018400")</f>
        <v>966018400</v>
      </c>
      <c r="G13201" t="str">
        <f>T("VAW 115 UNIT 200184 BOX 1")</f>
        <v>VAW 115 UNIT 200184 BOX 1</v>
      </c>
      <c r="H13201" t="str">
        <f>T("")</f>
        <v/>
      </c>
      <c r="I13201" t="str">
        <f>T("FPO")</f>
        <v>FPO</v>
      </c>
      <c r="J13201" t="str">
        <f>T("AP")</f>
        <v>AP</v>
      </c>
      <c r="K13201" t="str">
        <f>T("01181467634294")</f>
        <v>01181467634294</v>
      </c>
      <c r="L13201" t="str">
        <f>T("1111111111")</f>
        <v>1111111111</v>
      </c>
    </row>
    <row r="13202" spans="1:12" x14ac:dyDescent="0.35">
      <c r="A13202" t="str">
        <f>T("VAW-115")</f>
        <v>VAW-115</v>
      </c>
      <c r="B13202" t="str">
        <f>T("VAW 115 UNIT 200184 BOX 1")</f>
        <v>VAW 115 UNIT 200184 BOX 1</v>
      </c>
      <c r="C13202" t="str">
        <f>T("MATERIAL CONTROL")</f>
        <v>MATERIAL CONTROL</v>
      </c>
      <c r="D13202" t="str">
        <f>T("FPO")</f>
        <v>FPO</v>
      </c>
      <c r="E13202" t="str">
        <f>T("AP")</f>
        <v>AP</v>
      </c>
      <c r="F13202" t="str">
        <f>T("966018400")</f>
        <v>966018400</v>
      </c>
      <c r="G13202" t="str">
        <f>T("VAW 115 UNIT 200184 BOX 1")</f>
        <v>VAW 115 UNIT 200184 BOX 1</v>
      </c>
      <c r="H13202" t="str">
        <f>T("MATERIAL CONTROL")</f>
        <v>MATERIAL CONTROL</v>
      </c>
      <c r="I13202" t="str">
        <f>T("FPO")</f>
        <v>FPO</v>
      </c>
      <c r="J13202" t="str">
        <f>T("AP")</f>
        <v>AP</v>
      </c>
      <c r="K13202" t="str">
        <f>T("0118146763395")</f>
        <v>0118146763395</v>
      </c>
      <c r="L13202" t="str">
        <f>T("1111111111")</f>
        <v>1111111111</v>
      </c>
    </row>
    <row r="13203" spans="1:12" x14ac:dyDescent="0.35">
      <c r="A13203" t="str">
        <f>T("VAW-115")</f>
        <v>VAW-115</v>
      </c>
      <c r="B13203" t="str">
        <f>T("VAW 115 UNIT 200184 BOX 1")</f>
        <v>VAW 115 UNIT 200184 BOX 1</v>
      </c>
      <c r="C13203" t="str">
        <f>T("MATERIAL CONTROL")</f>
        <v>MATERIAL CONTROL</v>
      </c>
      <c r="D13203" t="str">
        <f>T("FPO")</f>
        <v>FPO</v>
      </c>
      <c r="E13203" t="str">
        <f>T("AP")</f>
        <v>AP</v>
      </c>
      <c r="F13203" t="str">
        <f>T("966018400")</f>
        <v>966018400</v>
      </c>
      <c r="G13203" t="str">
        <f>T("VAW-115 UNIT 200184")</f>
        <v>VAW-115 UNIT 200184</v>
      </c>
      <c r="H13203" t="str">
        <f>T("BOX 1")</f>
        <v>BOX 1</v>
      </c>
      <c r="I13203" t="str">
        <f>T("FPO")</f>
        <v>FPO</v>
      </c>
      <c r="J13203" t="str">
        <f>T("AP")</f>
        <v>AP</v>
      </c>
      <c r="K13203" t="str">
        <f>T("01181467634294")</f>
        <v>01181467634294</v>
      </c>
      <c r="L13203" t="str">
        <f>T("1111111111")</f>
        <v>1111111111</v>
      </c>
    </row>
    <row r="13204" spans="1:12" x14ac:dyDescent="0.35">
      <c r="A13204" t="str">
        <f>T("VAW-115")</f>
        <v>VAW-115</v>
      </c>
      <c r="B13204" t="str">
        <f>T("VAW 115 UNIT 200184 BOX 1")</f>
        <v>VAW 115 UNIT 200184 BOX 1</v>
      </c>
      <c r="C13204" t="str">
        <f>T("MATERIAL CONTROL")</f>
        <v>MATERIAL CONTROL</v>
      </c>
      <c r="D13204" t="str">
        <f>T("FPO")</f>
        <v>FPO</v>
      </c>
      <c r="E13204" t="str">
        <f>T("AP")</f>
        <v>AP</v>
      </c>
      <c r="F13204" t="str">
        <f>T("966018400")</f>
        <v>966018400</v>
      </c>
      <c r="G13204" t="str">
        <f>T("VAW-115 UNIT 200184 BOX 1")</f>
        <v>VAW-115 UNIT 200184 BOX 1</v>
      </c>
      <c r="H13204" t="str">
        <f t="shared" ref="H13204:H13209" si="4867">T("")</f>
        <v/>
      </c>
      <c r="I13204" t="str">
        <f>T("FPO")</f>
        <v>FPO</v>
      </c>
      <c r="J13204" t="str">
        <f>T("AP")</f>
        <v>AP</v>
      </c>
      <c r="K13204" t="str">
        <f>T("01181467634294")</f>
        <v>01181467634294</v>
      </c>
      <c r="L13204" t="str">
        <f>T("3152644294")</f>
        <v>3152644294</v>
      </c>
    </row>
    <row r="13205" spans="1:12" x14ac:dyDescent="0.35">
      <c r="A13205" t="str">
        <f>T("VAW-116")</f>
        <v>VAW-116</v>
      </c>
      <c r="B13205" t="str">
        <f>T("13TH STREET HANGAR 553")</f>
        <v>13TH STREET HANGAR 553</v>
      </c>
      <c r="C13205" t="str">
        <f>T("")</f>
        <v/>
      </c>
      <c r="D13205" t="str">
        <f>T("PT MUGU NAWC")</f>
        <v>PT MUGU NAWC</v>
      </c>
      <c r="E13205" t="str">
        <f>T("CA")</f>
        <v>CA</v>
      </c>
      <c r="F13205" t="str">
        <f>T("930420001")</f>
        <v>930420001</v>
      </c>
      <c r="G13205" t="str">
        <f>T("13TH ST HANGAR 553")</f>
        <v>13TH ST HANGAR 553</v>
      </c>
      <c r="H13205" t="str">
        <f t="shared" si="4867"/>
        <v/>
      </c>
      <c r="I13205" t="str">
        <f>T("POINT MUGU NAWC")</f>
        <v>POINT MUGU NAWC</v>
      </c>
      <c r="J13205" t="str">
        <f>T("CA")</f>
        <v>CA</v>
      </c>
      <c r="K13205" t="str">
        <f>T("000000000000000000")</f>
        <v>000000000000000000</v>
      </c>
      <c r="L13205" t="str">
        <f>T("8059890279")</f>
        <v>8059890279</v>
      </c>
    </row>
    <row r="13206" spans="1:12" x14ac:dyDescent="0.35">
      <c r="A13206" t="str">
        <f>T("VAW-116")</f>
        <v>VAW-116</v>
      </c>
      <c r="B13206" t="str">
        <f>T("13TH STREET HANGAR 553")</f>
        <v>13TH STREET HANGAR 553</v>
      </c>
      <c r="C13206" t="str">
        <f>T("")</f>
        <v/>
      </c>
      <c r="D13206" t="str">
        <f>T("PT MUGU NAWC")</f>
        <v>PT MUGU NAWC</v>
      </c>
      <c r="E13206" t="str">
        <f>T("CA")</f>
        <v>CA</v>
      </c>
      <c r="F13206" t="str">
        <f>T("930420001")</f>
        <v>930420001</v>
      </c>
      <c r="G13206" t="str">
        <f>T("13TH ST HANGAR 553")</f>
        <v>13TH ST HANGAR 553</v>
      </c>
      <c r="H13206" t="str">
        <f t="shared" si="4867"/>
        <v/>
      </c>
      <c r="I13206" t="str">
        <f>T("POINT MUGU NAWC")</f>
        <v>POINT MUGU NAWC</v>
      </c>
      <c r="J13206" t="str">
        <f>T("CA")</f>
        <v>CA</v>
      </c>
      <c r="K13206" t="str">
        <f>T("8059899047")</f>
        <v>8059899047</v>
      </c>
      <c r="L13206" t="str">
        <f>T("8059890279")</f>
        <v>8059890279</v>
      </c>
    </row>
    <row r="13207" spans="1:12" x14ac:dyDescent="0.35">
      <c r="A13207" t="str">
        <f>T("VAW-116")</f>
        <v>VAW-116</v>
      </c>
      <c r="B13207" t="str">
        <f>T("13TH STREET HANGAR 553")</f>
        <v>13TH STREET HANGAR 553</v>
      </c>
      <c r="C13207" t="str">
        <f>T("")</f>
        <v/>
      </c>
      <c r="D13207" t="str">
        <f>T("PT MUGU NAWC")</f>
        <v>PT MUGU NAWC</v>
      </c>
      <c r="E13207" t="str">
        <f>T("CA")</f>
        <v>CA</v>
      </c>
      <c r="F13207" t="str">
        <f>T("930420001")</f>
        <v>930420001</v>
      </c>
      <c r="G13207" t="str">
        <f>T("13TH STREET HANGAR 553")</f>
        <v>13TH STREET HANGAR 553</v>
      </c>
      <c r="H13207" t="str">
        <f t="shared" si="4867"/>
        <v/>
      </c>
      <c r="I13207" t="str">
        <f>T("POINT MUGU NAWC")</f>
        <v>POINT MUGU NAWC</v>
      </c>
      <c r="J13207" t="str">
        <f>T("CA")</f>
        <v>CA</v>
      </c>
      <c r="K13207" t="str">
        <f>T("8059899047")</f>
        <v>8059899047</v>
      </c>
      <c r="L13207" t="str">
        <f>T("8059890279")</f>
        <v>8059890279</v>
      </c>
    </row>
    <row r="13208" spans="1:12" x14ac:dyDescent="0.35">
      <c r="A13208" t="str">
        <f>T("VAW-116")</f>
        <v>VAW-116</v>
      </c>
      <c r="B13208" t="str">
        <f>T("13TH STREET HANGAR 553")</f>
        <v>13TH STREET HANGAR 553</v>
      </c>
      <c r="C13208" t="str">
        <f>T("")</f>
        <v/>
      </c>
      <c r="D13208" t="str">
        <f>T("PT MUGU NAWC")</f>
        <v>PT MUGU NAWC</v>
      </c>
      <c r="E13208" t="str">
        <f>T("CA")</f>
        <v>CA</v>
      </c>
      <c r="F13208" t="str">
        <f>T("930420001")</f>
        <v>930420001</v>
      </c>
      <c r="G13208" t="str">
        <f>T("13TH STREET HANGAR 553")</f>
        <v>13TH STREET HANGAR 553</v>
      </c>
      <c r="H13208" t="str">
        <f t="shared" si="4867"/>
        <v/>
      </c>
      <c r="I13208" t="str">
        <f>T("PT MUGU NAWC")</f>
        <v>PT MUGU NAWC</v>
      </c>
      <c r="J13208" t="str">
        <f>T("CA")</f>
        <v>CA</v>
      </c>
      <c r="K13208" t="str">
        <f>T("8059899064")</f>
        <v>8059899064</v>
      </c>
      <c r="L13208" t="str">
        <f>T("8059890279")</f>
        <v>8059890279</v>
      </c>
    </row>
    <row r="13209" spans="1:12" x14ac:dyDescent="0.35">
      <c r="A13209" t="str">
        <f>T("VAW-116")</f>
        <v>VAW-116</v>
      </c>
      <c r="B13209" t="str">
        <f>T("13TH STREET HANGAR 553")</f>
        <v>13TH STREET HANGAR 553</v>
      </c>
      <c r="C13209" t="str">
        <f>T("")</f>
        <v/>
      </c>
      <c r="D13209" t="str">
        <f>T("PT MUGU NAWC")</f>
        <v>PT MUGU NAWC</v>
      </c>
      <c r="E13209" t="str">
        <f>T("CA")</f>
        <v>CA</v>
      </c>
      <c r="F13209" t="str">
        <f>T("930420001")</f>
        <v>930420001</v>
      </c>
      <c r="G13209" t="str">
        <f>T("VAW-116 13TH STREET HANGAR 553")</f>
        <v>VAW-116 13TH STREET HANGAR 553</v>
      </c>
      <c r="H13209" t="str">
        <f t="shared" si="4867"/>
        <v/>
      </c>
      <c r="I13209" t="str">
        <f>T("POINT MUGU NAWC")</f>
        <v>POINT MUGU NAWC</v>
      </c>
      <c r="J13209" t="str">
        <f>T("CA")</f>
        <v>CA</v>
      </c>
      <c r="K13209" t="str">
        <f>T("000000000000000000")</f>
        <v>000000000000000000</v>
      </c>
      <c r="L13209" t="str">
        <f>T("8059899385")</f>
        <v>8059899385</v>
      </c>
    </row>
    <row r="13210" spans="1:12" x14ac:dyDescent="0.35">
      <c r="A13210" t="str">
        <f>T("VRC-30 DET 5")</f>
        <v>VRC-30 DET 5</v>
      </c>
      <c r="B13210" t="str">
        <f>T("VRC-30 DET 5")</f>
        <v>VRC-30 DET 5</v>
      </c>
      <c r="C13210" t="str">
        <f>T("UNIT 200142 BOX 1")</f>
        <v>UNIT 200142 BOX 1</v>
      </c>
      <c r="D13210" t="str">
        <f>T("FPO")</f>
        <v>FPO</v>
      </c>
      <c r="E13210" t="str">
        <f>T("AP")</f>
        <v>AP</v>
      </c>
      <c r="F13210" t="str">
        <f>T("966014200")</f>
        <v>966014200</v>
      </c>
      <c r="G13210" t="str">
        <f>T("VRC-30 DET 5")</f>
        <v>VRC-30 DET 5</v>
      </c>
      <c r="H13210" t="str">
        <f>T("UNIT 200142 BOX 1")</f>
        <v>UNIT 200142 BOX 1</v>
      </c>
      <c r="I13210" t="str">
        <f>T("FPO")</f>
        <v>FPO</v>
      </c>
      <c r="J13210" t="str">
        <f>T("AP")</f>
        <v>AP</v>
      </c>
      <c r="K13210" t="str">
        <f>T("01181467634577")</f>
        <v>01181467634577</v>
      </c>
      <c r="L13210" t="str">
        <f>T("1111111111")</f>
        <v>1111111111</v>
      </c>
    </row>
    <row r="13211" spans="1:12" x14ac:dyDescent="0.35">
      <c r="A13211" t="str">
        <f>T("VRC-30 DET 5")</f>
        <v>VRC-30 DET 5</v>
      </c>
      <c r="B13211" t="str">
        <f>T("VRC-30 DET 5")</f>
        <v>VRC-30 DET 5</v>
      </c>
      <c r="C13211" t="str">
        <f>T("UNIT 200142 BOX 1")</f>
        <v>UNIT 200142 BOX 1</v>
      </c>
      <c r="D13211" t="str">
        <f>T("FPO")</f>
        <v>FPO</v>
      </c>
      <c r="E13211" t="str">
        <f>T("AP")</f>
        <v>AP</v>
      </c>
      <c r="F13211" t="str">
        <f>T("966014200")</f>
        <v>966014200</v>
      </c>
      <c r="G13211" t="str">
        <f>T("VRC-30 DET 5")</f>
        <v>VRC-30 DET 5</v>
      </c>
      <c r="H13211" t="str">
        <f>T("UNIT 200142 BOX 1")</f>
        <v>UNIT 200142 BOX 1</v>
      </c>
      <c r="I13211" t="str">
        <f>T("FPO")</f>
        <v>FPO</v>
      </c>
      <c r="J13211" t="str">
        <f>T("AP")</f>
        <v>AP</v>
      </c>
      <c r="K13211" t="str">
        <f>T("3152644577")</f>
        <v>3152644577</v>
      </c>
      <c r="L13211" t="str">
        <f>T("3152643370")</f>
        <v>3152643370</v>
      </c>
    </row>
    <row r="13212" spans="1:12" x14ac:dyDescent="0.35">
      <c r="A13212" t="str">
        <f>T("CPRW-2")</f>
        <v>CPRW-2</v>
      </c>
      <c r="B13212" t="str">
        <f>T("PO BOX 64000")</f>
        <v>PO BOX 64000</v>
      </c>
      <c r="C13212" t="str">
        <f>T("BLDG 6468")</f>
        <v>BLDG 6468</v>
      </c>
      <c r="D13212" t="str">
        <f>T("KANEOHE BAY")</f>
        <v>KANEOHE BAY</v>
      </c>
      <c r="E13212" t="str">
        <f>T("HI")</f>
        <v>HI</v>
      </c>
      <c r="F13212" t="str">
        <f>T("968634000")</f>
        <v>968634000</v>
      </c>
      <c r="G13212" t="str">
        <f>T("BLDG 6468")</f>
        <v>BLDG 6468</v>
      </c>
      <c r="H13212" t="str">
        <f>T("")</f>
        <v/>
      </c>
      <c r="I13212" t="str">
        <f>T("MARINE CORPS BASE HAWAII")</f>
        <v>MARINE CORPS BASE HAWAII</v>
      </c>
      <c r="J13212" t="str">
        <f>T("HI")</f>
        <v>HI</v>
      </c>
      <c r="K13212" t="str">
        <f>T("80825705098350")</f>
        <v>80825705098350</v>
      </c>
      <c r="L13212" t="str">
        <f>T("1111111111")</f>
        <v>1111111111</v>
      </c>
    </row>
    <row r="13213" spans="1:12" x14ac:dyDescent="0.35">
      <c r="A13213" t="str">
        <f>T("CPRW-2")</f>
        <v>CPRW-2</v>
      </c>
      <c r="B13213" t="str">
        <f>T("PO BOX 64000")</f>
        <v>PO BOX 64000</v>
      </c>
      <c r="C13213" t="str">
        <f>T("BLDG 6468")</f>
        <v>BLDG 6468</v>
      </c>
      <c r="D13213" t="str">
        <f>T("KANEOHE BAY")</f>
        <v>KANEOHE BAY</v>
      </c>
      <c r="E13213" t="str">
        <f>T("HI")</f>
        <v>HI</v>
      </c>
      <c r="F13213" t="str">
        <f>T("968634000")</f>
        <v>968634000</v>
      </c>
      <c r="G13213" t="str">
        <f>T("BOX 64001")</f>
        <v>BOX 64001</v>
      </c>
      <c r="H13213" t="str">
        <f>T("MARINE CORPS BASE HAWAII")</f>
        <v>MARINE CORPS BASE HAWAII</v>
      </c>
      <c r="I13213" t="str">
        <f>T("KANEOHE BAY")</f>
        <v>KANEOHE BAY</v>
      </c>
      <c r="J13213" t="str">
        <f>T("HI")</f>
        <v>HI</v>
      </c>
      <c r="K13213" t="str">
        <f>T("000000000000000000")</f>
        <v>000000000000000000</v>
      </c>
      <c r="L13213" t="str">
        <f>T("8082570509")</f>
        <v>8082570509</v>
      </c>
    </row>
    <row r="13214" spans="1:12" x14ac:dyDescent="0.35">
      <c r="A13214" t="str">
        <f>T("CPRW-2")</f>
        <v>CPRW-2</v>
      </c>
      <c r="B13214" t="str">
        <f>T("PO BOX 64000")</f>
        <v>PO BOX 64000</v>
      </c>
      <c r="C13214" t="str">
        <f>T("BLDG 6468")</f>
        <v>BLDG 6468</v>
      </c>
      <c r="D13214" t="str">
        <f>T("KANEOHE BAY")</f>
        <v>KANEOHE BAY</v>
      </c>
      <c r="E13214" t="str">
        <f>T("HI")</f>
        <v>HI</v>
      </c>
      <c r="F13214" t="str">
        <f>T("968634000")</f>
        <v>968634000</v>
      </c>
      <c r="G13214" t="str">
        <f>T("DEPT OF NAVY/MARINES")</f>
        <v>DEPT OF NAVY/MARINES</v>
      </c>
      <c r="H13214" t="str">
        <f>T("BLDG 6468")</f>
        <v>BLDG 6468</v>
      </c>
      <c r="I13214" t="str">
        <f>T("MARINE CORPS BASE HAWAII")</f>
        <v>MARINE CORPS BASE HAWAII</v>
      </c>
      <c r="J13214" t="str">
        <f>T("HI")</f>
        <v>HI</v>
      </c>
      <c r="K13214" t="str">
        <f>T("000000000000000000")</f>
        <v>000000000000000000</v>
      </c>
      <c r="L13214" t="str">
        <f>T("8082570509")</f>
        <v>8082570509</v>
      </c>
    </row>
    <row r="13215" spans="1:12" x14ac:dyDescent="0.35">
      <c r="A13215" t="str">
        <f>T("CPRW-2")</f>
        <v>CPRW-2</v>
      </c>
      <c r="B13215" t="str">
        <f>T("PO BOX 64000")</f>
        <v>PO BOX 64000</v>
      </c>
      <c r="C13215" t="str">
        <f>T("BLDG 6468")</f>
        <v>BLDG 6468</v>
      </c>
      <c r="D13215" t="str">
        <f>T("KANEOHE BAY")</f>
        <v>KANEOHE BAY</v>
      </c>
      <c r="E13215" t="str">
        <f>T("HI")</f>
        <v>HI</v>
      </c>
      <c r="F13215" t="str">
        <f>T("968634000")</f>
        <v>968634000</v>
      </c>
      <c r="G13215" t="str">
        <f>T("PO BOX 64000")</f>
        <v>PO BOX 64000</v>
      </c>
      <c r="H13215" t="str">
        <f>T("BLDG 6468")</f>
        <v>BLDG 6468</v>
      </c>
      <c r="I13215" t="str">
        <f>T("KANEOHE BAY")</f>
        <v>KANEOHE BAY</v>
      </c>
      <c r="J13215" t="str">
        <f>T("HI")</f>
        <v>HI</v>
      </c>
      <c r="K13215" t="str">
        <f>T("808 257 0338")</f>
        <v>808 257 0338</v>
      </c>
      <c r="L13215" t="str">
        <f>T("1111111111")</f>
        <v>1111111111</v>
      </c>
    </row>
    <row r="13216" spans="1:12" x14ac:dyDescent="0.35">
      <c r="A13216" t="str">
        <f t="shared" ref="A13216:A13225" si="4868">T("COMSTRKFIGHTWINGPAC")</f>
        <v>COMSTRKFIGHTWINGPAC</v>
      </c>
      <c r="B13216" t="str">
        <f t="shared" ref="B13216:B13221" si="4869">T("BLDG 180 RM 212 REEVES BLVD")</f>
        <v>BLDG 180 RM 212 REEVES BLVD</v>
      </c>
      <c r="C13216" t="str">
        <f t="shared" ref="C13216:C13221" si="4870">T("NAVAL AIR STATION")</f>
        <v>NAVAL AIR STATION</v>
      </c>
      <c r="D13216" t="str">
        <f t="shared" ref="D13216:D13221" si="4871">T("NAS LEMOORE")</f>
        <v>NAS LEMOORE</v>
      </c>
      <c r="E13216" t="str">
        <f t="shared" ref="E13216:E13238" si="4872">T("CA")</f>
        <v>CA</v>
      </c>
      <c r="F13216" t="str">
        <f t="shared" ref="F13216:F13221" si="4873">T("932467200")</f>
        <v>932467200</v>
      </c>
      <c r="G13216" t="str">
        <f>T("AVIATION SUPPORT DEPT")</f>
        <v>AVIATION SUPPORT DEPT</v>
      </c>
      <c r="H13216" t="str">
        <f>T("BLDG 180 RM 201 NAS")</f>
        <v>BLDG 180 RM 201 NAS</v>
      </c>
      <c r="I13216" t="str">
        <f>T("LEMOORE")</f>
        <v>LEMOORE</v>
      </c>
      <c r="J13216" t="str">
        <f t="shared" ref="J13216:J13238" si="4874">T("CA")</f>
        <v>CA</v>
      </c>
      <c r="K13216" t="str">
        <f>T("000000000000000000")</f>
        <v>000000000000000000</v>
      </c>
      <c r="L13216" t="str">
        <f>T("5599981386")</f>
        <v>5599981386</v>
      </c>
    </row>
    <row r="13217" spans="1:12" x14ac:dyDescent="0.35">
      <c r="A13217" t="str">
        <f t="shared" si="4868"/>
        <v>COMSTRKFIGHTWINGPAC</v>
      </c>
      <c r="B13217" t="str">
        <f t="shared" si="4869"/>
        <v>BLDG 180 RM 212 REEVES BLVD</v>
      </c>
      <c r="C13217" t="str">
        <f t="shared" si="4870"/>
        <v>NAVAL AIR STATION</v>
      </c>
      <c r="D13217" t="str">
        <f t="shared" si="4871"/>
        <v>NAS LEMOORE</v>
      </c>
      <c r="E13217" t="str">
        <f t="shared" si="4872"/>
        <v>CA</v>
      </c>
      <c r="F13217" t="str">
        <f t="shared" si="4873"/>
        <v>932467200</v>
      </c>
      <c r="G13217" t="str">
        <f>T("AVIATION SUPPORT DEPT")</f>
        <v>AVIATION SUPPORT DEPT</v>
      </c>
      <c r="H13217" t="str">
        <f>T("BLDG 180 RM 207")</f>
        <v>BLDG 180 RM 207</v>
      </c>
      <c r="I13217" t="str">
        <f>T("NAS LEMOORE")</f>
        <v>NAS LEMOORE</v>
      </c>
      <c r="J13217" t="str">
        <f t="shared" si="4874"/>
        <v>CA</v>
      </c>
      <c r="K13217" t="str">
        <f>T("5599981264")</f>
        <v>5599981264</v>
      </c>
      <c r="L13217" t="str">
        <f>T("5599982321")</f>
        <v>5599982321</v>
      </c>
    </row>
    <row r="13218" spans="1:12" x14ac:dyDescent="0.35">
      <c r="A13218" t="str">
        <f t="shared" si="4868"/>
        <v>COMSTRKFIGHTWINGPAC</v>
      </c>
      <c r="B13218" t="str">
        <f t="shared" si="4869"/>
        <v>BLDG 180 RM 212 REEVES BLVD</v>
      </c>
      <c r="C13218" t="str">
        <f t="shared" si="4870"/>
        <v>NAVAL AIR STATION</v>
      </c>
      <c r="D13218" t="str">
        <f t="shared" si="4871"/>
        <v>NAS LEMOORE</v>
      </c>
      <c r="E13218" t="str">
        <f t="shared" si="4872"/>
        <v>CA</v>
      </c>
      <c r="F13218" t="str">
        <f t="shared" si="4873"/>
        <v>932467200</v>
      </c>
      <c r="G13218" t="str">
        <f>T("AVIATION SUPPORT DEPT")</f>
        <v>AVIATION SUPPORT DEPT</v>
      </c>
      <c r="H13218" t="str">
        <f>T("BLDG 180 RM 207")</f>
        <v>BLDG 180 RM 207</v>
      </c>
      <c r="I13218" t="str">
        <f>T("NAS LEMOORE")</f>
        <v>NAS LEMOORE</v>
      </c>
      <c r="J13218" t="str">
        <f t="shared" si="4874"/>
        <v>CA</v>
      </c>
      <c r="K13218" t="str">
        <f>T("5599981264")</f>
        <v>5599981264</v>
      </c>
      <c r="L13218" t="str">
        <f>T("5599983336")</f>
        <v>5599983336</v>
      </c>
    </row>
    <row r="13219" spans="1:12" x14ac:dyDescent="0.35">
      <c r="A13219" t="str">
        <f t="shared" si="4868"/>
        <v>COMSTRKFIGHTWINGPAC</v>
      </c>
      <c r="B13219" t="str">
        <f t="shared" si="4869"/>
        <v>BLDG 180 RM 212 REEVES BLVD</v>
      </c>
      <c r="C13219" t="str">
        <f t="shared" si="4870"/>
        <v>NAVAL AIR STATION</v>
      </c>
      <c r="D13219" t="str">
        <f t="shared" si="4871"/>
        <v>NAS LEMOORE</v>
      </c>
      <c r="E13219" t="str">
        <f t="shared" si="4872"/>
        <v>CA</v>
      </c>
      <c r="F13219" t="str">
        <f t="shared" si="4873"/>
        <v>932467200</v>
      </c>
      <c r="G13219" t="str">
        <f>T("BLDG 180 RM 212 REEVES BLVD")</f>
        <v>BLDG 180 RM 212 REEVES BLVD</v>
      </c>
      <c r="H13219" t="str">
        <f>T("NAVAL AIR STATION")</f>
        <v>NAVAL AIR STATION</v>
      </c>
      <c r="I13219" t="str">
        <f>T("NAS LEMOORE")</f>
        <v>NAS LEMOORE</v>
      </c>
      <c r="J13219" t="str">
        <f t="shared" si="4874"/>
        <v>CA</v>
      </c>
      <c r="K13219" t="str">
        <f>T("5599981264")</f>
        <v>5599981264</v>
      </c>
      <c r="L13219" t="str">
        <f>T("5599981338")</f>
        <v>5599981338</v>
      </c>
    </row>
    <row r="13220" spans="1:12" x14ac:dyDescent="0.35">
      <c r="A13220" t="str">
        <f t="shared" si="4868"/>
        <v>COMSTRKFIGHTWINGPAC</v>
      </c>
      <c r="B13220" t="str">
        <f t="shared" si="4869"/>
        <v>BLDG 180 RM 212 REEVES BLVD</v>
      </c>
      <c r="C13220" t="str">
        <f t="shared" si="4870"/>
        <v>NAVAL AIR STATION</v>
      </c>
      <c r="D13220" t="str">
        <f t="shared" si="4871"/>
        <v>NAS LEMOORE</v>
      </c>
      <c r="E13220" t="str">
        <f t="shared" si="4872"/>
        <v>CA</v>
      </c>
      <c r="F13220" t="str">
        <f t="shared" si="4873"/>
        <v>932467200</v>
      </c>
      <c r="G13220" t="str">
        <f>T("LEMOORE SAR DET")</f>
        <v>LEMOORE SAR DET</v>
      </c>
      <c r="H13220" t="str">
        <f>T("BLDG 180 RM 211 REEVES BLVD")</f>
        <v>BLDG 180 RM 211 REEVES BLVD</v>
      </c>
      <c r="I13220" t="str">
        <f>T("NAS LEMOORE")</f>
        <v>NAS LEMOORE</v>
      </c>
      <c r="J13220" t="str">
        <f t="shared" si="4874"/>
        <v>CA</v>
      </c>
      <c r="K13220" t="str">
        <f>T("5599981264")</f>
        <v>5599981264</v>
      </c>
      <c r="L13220" t="str">
        <f>T("5599982321")</f>
        <v>5599982321</v>
      </c>
    </row>
    <row r="13221" spans="1:12" x14ac:dyDescent="0.35">
      <c r="A13221" t="str">
        <f t="shared" si="4868"/>
        <v>COMSTRKFIGHTWINGPAC</v>
      </c>
      <c r="B13221" t="str">
        <f t="shared" si="4869"/>
        <v>BLDG 180 RM 212 REEVES BLVD</v>
      </c>
      <c r="C13221" t="str">
        <f t="shared" si="4870"/>
        <v>NAVAL AIR STATION</v>
      </c>
      <c r="D13221" t="str">
        <f t="shared" si="4871"/>
        <v>NAS LEMOORE</v>
      </c>
      <c r="E13221" t="str">
        <f t="shared" si="4872"/>
        <v>CA</v>
      </c>
      <c r="F13221" t="str">
        <f t="shared" si="4873"/>
        <v>932467200</v>
      </c>
      <c r="G13221" t="str">
        <f>T("SEARCH AND RESCURE DET")</f>
        <v>SEARCH AND RESCURE DET</v>
      </c>
      <c r="H13221" t="str">
        <f>T("BLDG 180 RM 211 REEVES BLVD")</f>
        <v>BLDG 180 RM 211 REEVES BLVD</v>
      </c>
      <c r="I13221" t="str">
        <f>T("LEMOORE")</f>
        <v>LEMOORE</v>
      </c>
      <c r="J13221" t="str">
        <f t="shared" si="4874"/>
        <v>CA</v>
      </c>
      <c r="K13221" t="str">
        <f>T("5599982595")</f>
        <v>5599982595</v>
      </c>
      <c r="L13221" t="str">
        <f>T("5599981386")</f>
        <v>5599981386</v>
      </c>
    </row>
    <row r="13222" spans="1:12" x14ac:dyDescent="0.35">
      <c r="A13222" t="str">
        <f t="shared" si="4868"/>
        <v>COMSTRKFIGHTWINGPAC</v>
      </c>
      <c r="B13222" t="str">
        <f>T("COMSTRIKEFIGHTWINGPAC")</f>
        <v>COMSTRIKEFIGHTWINGPAC</v>
      </c>
      <c r="C13222" t="str">
        <f>T("BLDG 180 RM 210 REEVES BLVD")</f>
        <v>BLDG 180 RM 210 REEVES BLVD</v>
      </c>
      <c r="D13222" t="str">
        <f>T("LEMOORE")</f>
        <v>LEMOORE</v>
      </c>
      <c r="E13222" t="str">
        <f t="shared" si="4872"/>
        <v>CA</v>
      </c>
      <c r="F13222" t="str">
        <f>T("932460001")</f>
        <v>932460001</v>
      </c>
      <c r="G13222" t="str">
        <f>T("COMSTRIKEFIGHTWINGPAC")</f>
        <v>COMSTRIKEFIGHTWINGPAC</v>
      </c>
      <c r="H13222" t="str">
        <f>T("BLDG 180 RM 208 REEVES BLVD")</f>
        <v>BLDG 180 RM 208 REEVES BLVD</v>
      </c>
      <c r="I13222" t="str">
        <f>T("NAS LEMOORE")</f>
        <v>NAS LEMOORE</v>
      </c>
      <c r="J13222" t="str">
        <f t="shared" si="4874"/>
        <v>CA</v>
      </c>
      <c r="K13222" t="str">
        <f>T("5599981064")</f>
        <v>5599981064</v>
      </c>
      <c r="L13222" t="str">
        <f>T("5599983573")</f>
        <v>5599983573</v>
      </c>
    </row>
    <row r="13223" spans="1:12" x14ac:dyDescent="0.35">
      <c r="A13223" t="str">
        <f t="shared" si="4868"/>
        <v>COMSTRKFIGHTWINGPAC</v>
      </c>
      <c r="B13223" t="str">
        <f>T("COMSTRIKEFIGHTWINGPAC")</f>
        <v>COMSTRIKEFIGHTWINGPAC</v>
      </c>
      <c r="C13223" t="str">
        <f>T("BLDG 180 RM 210 REEVES BLVD")</f>
        <v>BLDG 180 RM 210 REEVES BLVD</v>
      </c>
      <c r="D13223" t="str">
        <f>T("LEMOORE")</f>
        <v>LEMOORE</v>
      </c>
      <c r="E13223" t="str">
        <f t="shared" si="4872"/>
        <v>CA</v>
      </c>
      <c r="F13223" t="str">
        <f>T("932460001")</f>
        <v>932460001</v>
      </c>
      <c r="G13223" t="str">
        <f>T("COMSTRIKEFIGHTWINGPAC")</f>
        <v>COMSTRIKEFIGHTWINGPAC</v>
      </c>
      <c r="H13223" t="str">
        <f>T("BLDG 180 RM 210 REEVES BLVD")</f>
        <v>BLDG 180 RM 210 REEVES BLVD</v>
      </c>
      <c r="I13223" t="str">
        <f>T("LEMOORE")</f>
        <v>LEMOORE</v>
      </c>
      <c r="J13223" t="str">
        <f t="shared" si="4874"/>
        <v>CA</v>
      </c>
      <c r="K13223" t="str">
        <f>T("5599981264")</f>
        <v>5599981264</v>
      </c>
      <c r="L13223" t="str">
        <f>T("5599982621")</f>
        <v>5599982621</v>
      </c>
    </row>
    <row r="13224" spans="1:12" x14ac:dyDescent="0.35">
      <c r="A13224" t="str">
        <f t="shared" si="4868"/>
        <v>COMSTRKFIGHTWINGPAC</v>
      </c>
      <c r="B13224" t="str">
        <f>T("COMSTRIKEFIGHTWINGPAC")</f>
        <v>COMSTRIKEFIGHTWINGPAC</v>
      </c>
      <c r="C13224" t="str">
        <f>T("BLDG 180 RM 210 REEVES BLVD")</f>
        <v>BLDG 180 RM 210 REEVES BLVD</v>
      </c>
      <c r="D13224" t="str">
        <f>T("LEMOORE")</f>
        <v>LEMOORE</v>
      </c>
      <c r="E13224" t="str">
        <f t="shared" si="4872"/>
        <v>CA</v>
      </c>
      <c r="F13224" t="str">
        <f>T("932460001")</f>
        <v>932460001</v>
      </c>
      <c r="G13224" t="str">
        <f>T("CSFWP")</f>
        <v>CSFWP</v>
      </c>
      <c r="H13224" t="str">
        <f>T("BLDG 1 RM 131A K ST")</f>
        <v>BLDG 1 RM 131A K ST</v>
      </c>
      <c r="I13224" t="str">
        <f>T("LEMOORE")</f>
        <v>LEMOORE</v>
      </c>
      <c r="J13224" t="str">
        <f t="shared" si="4874"/>
        <v>CA</v>
      </c>
      <c r="K13224" t="str">
        <f>T("5599981391")</f>
        <v>5599981391</v>
      </c>
      <c r="L13224" t="str">
        <f>T("5599981950")</f>
        <v>5599981950</v>
      </c>
    </row>
    <row r="13225" spans="1:12" x14ac:dyDescent="0.35">
      <c r="A13225" t="str">
        <f t="shared" si="4868"/>
        <v>COMSTRKFIGHTWINGPAC</v>
      </c>
      <c r="B13225" t="str">
        <f>T("COMSTRIKEFIGHTWINGPAC")</f>
        <v>COMSTRIKEFIGHTWINGPAC</v>
      </c>
      <c r="C13225" t="str">
        <f>T("BLDG 180 RM 210 REEVES BLVD")</f>
        <v>BLDG 180 RM 210 REEVES BLVD</v>
      </c>
      <c r="D13225" t="str">
        <f>T("LEMOORE")</f>
        <v>LEMOORE</v>
      </c>
      <c r="E13225" t="str">
        <f t="shared" si="4872"/>
        <v>CA</v>
      </c>
      <c r="F13225" t="str">
        <f>T("932460001")</f>
        <v>932460001</v>
      </c>
      <c r="G13225" t="str">
        <f>T("CSFWP")</f>
        <v>CSFWP</v>
      </c>
      <c r="H13225" t="str">
        <f>T("BLDG 1 RM 131A K STREET")</f>
        <v>BLDG 1 RM 131A K STREET</v>
      </c>
      <c r="I13225" t="str">
        <f>T("LEMOORE")</f>
        <v>LEMOORE</v>
      </c>
      <c r="J13225" t="str">
        <f t="shared" si="4874"/>
        <v>CA</v>
      </c>
      <c r="K13225" t="str">
        <f>T("5599981064")</f>
        <v>5599981064</v>
      </c>
      <c r="L13225" t="str">
        <f>T("5599983573")</f>
        <v>5599983573</v>
      </c>
    </row>
    <row r="13226" spans="1:12" x14ac:dyDescent="0.35">
      <c r="A13226" t="str">
        <f>T("FACSFAC SAN DIEGO")</f>
        <v>FACSFAC SAN DIEGO</v>
      </c>
      <c r="B13226" t="str">
        <f>T("FACSFAC")</f>
        <v>FACSFAC</v>
      </c>
      <c r="C13226" t="str">
        <f>T("PO BOX 357062")</f>
        <v>PO BOX 357062</v>
      </c>
      <c r="D13226" t="str">
        <f>T("SAN DIEGO")</f>
        <v>SAN DIEGO</v>
      </c>
      <c r="E13226" t="str">
        <f t="shared" si="4872"/>
        <v>CA</v>
      </c>
      <c r="F13226" t="str">
        <f>T("921357062")</f>
        <v>921357062</v>
      </c>
      <c r="G13226" t="str">
        <f>T("FACSFAC")</f>
        <v>FACSFAC</v>
      </c>
      <c r="H13226" t="str">
        <f>T("PO BOX 357062")</f>
        <v>PO BOX 357062</v>
      </c>
      <c r="I13226" t="str">
        <f>T("SAN DIEGO")</f>
        <v>SAN DIEGO</v>
      </c>
      <c r="J13226" t="str">
        <f t="shared" si="4874"/>
        <v>CA</v>
      </c>
      <c r="K13226" t="str">
        <f>T("6195458667")</f>
        <v>6195458667</v>
      </c>
      <c r="L13226" t="str">
        <f>T("1111111111")</f>
        <v>1111111111</v>
      </c>
    </row>
    <row r="13227" spans="1:12" x14ac:dyDescent="0.35">
      <c r="A13227" t="str">
        <f>T("FACSFAC SAN DIEGO")</f>
        <v>FACSFAC SAN DIEGO</v>
      </c>
      <c r="B13227" t="str">
        <f>T("FACSFAC")</f>
        <v>FACSFAC</v>
      </c>
      <c r="C13227" t="str">
        <f>T("PO BOX 357062")</f>
        <v>PO BOX 357062</v>
      </c>
      <c r="D13227" t="str">
        <f>T("SAN DIEGO")</f>
        <v>SAN DIEGO</v>
      </c>
      <c r="E13227" t="str">
        <f t="shared" si="4872"/>
        <v>CA</v>
      </c>
      <c r="F13227" t="str">
        <f>T("921357062")</f>
        <v>921357062</v>
      </c>
      <c r="G13227" t="str">
        <f>T("FACSFAC SD")</f>
        <v>FACSFAC SD</v>
      </c>
      <c r="H13227" t="str">
        <f>T("PO BOX 357062")</f>
        <v>PO BOX 357062</v>
      </c>
      <c r="I13227" t="str">
        <f>T("SAN DIEGO")</f>
        <v>SAN DIEGO</v>
      </c>
      <c r="J13227" t="str">
        <f t="shared" si="4874"/>
        <v>CA</v>
      </c>
      <c r="K13227" t="str">
        <f>T("6195456667")</f>
        <v>6195456667</v>
      </c>
      <c r="L13227" t="str">
        <f>T("6195451766")</f>
        <v>6195451766</v>
      </c>
    </row>
    <row r="13228" spans="1:12" x14ac:dyDescent="0.35">
      <c r="A13228" t="str">
        <f>T("FACSFAC SAN DIEGO")</f>
        <v>FACSFAC SAN DIEGO</v>
      </c>
      <c r="B13228" t="str">
        <f>T("FACSFAC")</f>
        <v>FACSFAC</v>
      </c>
      <c r="C13228" t="str">
        <f>T("PO BOX 357062")</f>
        <v>PO BOX 357062</v>
      </c>
      <c r="D13228" t="str">
        <f>T("SAN DIEGO")</f>
        <v>SAN DIEGO</v>
      </c>
      <c r="E13228" t="str">
        <f t="shared" si="4872"/>
        <v>CA</v>
      </c>
      <c r="F13228" t="str">
        <f>T("921357062")</f>
        <v>921357062</v>
      </c>
      <c r="G13228" t="str">
        <f>T("FACSFAC SD")</f>
        <v>FACSFAC SD</v>
      </c>
      <c r="H13228" t="str">
        <f>T("PO BOX 357062")</f>
        <v>PO BOX 357062</v>
      </c>
      <c r="I13228" t="str">
        <f>T("SAN DIEGO")</f>
        <v>SAN DIEGO</v>
      </c>
      <c r="J13228" t="str">
        <f t="shared" si="4874"/>
        <v>CA</v>
      </c>
      <c r="K13228" t="str">
        <f>T("6195458667")</f>
        <v>6195458667</v>
      </c>
      <c r="L13228" t="str">
        <f>T("6195451766")</f>
        <v>6195451766</v>
      </c>
    </row>
    <row r="13229" spans="1:12" x14ac:dyDescent="0.35">
      <c r="A13229" t="str">
        <f>T("FACSFAC SAN DIEGO")</f>
        <v>FACSFAC SAN DIEGO</v>
      </c>
      <c r="B13229" t="str">
        <f>T("FACSFAC")</f>
        <v>FACSFAC</v>
      </c>
      <c r="C13229" t="str">
        <f>T("PO BOX 357062")</f>
        <v>PO BOX 357062</v>
      </c>
      <c r="D13229" t="str">
        <f>T("SAN DIEGO")</f>
        <v>SAN DIEGO</v>
      </c>
      <c r="E13229" t="str">
        <f t="shared" si="4872"/>
        <v>CA</v>
      </c>
      <c r="F13229" t="str">
        <f>T("921357062")</f>
        <v>921357062</v>
      </c>
      <c r="G13229" t="str">
        <f>T("FACSFAC SD PO BOX 357062")</f>
        <v>FACSFAC SD PO BOX 357062</v>
      </c>
      <c r="H13229" t="str">
        <f>T("")</f>
        <v/>
      </c>
      <c r="I13229" t="str">
        <f>T("SAN DIEGO")</f>
        <v>SAN DIEGO</v>
      </c>
      <c r="J13229" t="str">
        <f t="shared" si="4874"/>
        <v>CA</v>
      </c>
      <c r="K13229" t="str">
        <f>T("6195458667")</f>
        <v>6195458667</v>
      </c>
      <c r="L13229" t="str">
        <f>T("6195451767")</f>
        <v>6195451767</v>
      </c>
    </row>
    <row r="13230" spans="1:12" x14ac:dyDescent="0.35">
      <c r="A13230" t="str">
        <f>T("VFA-151")</f>
        <v>VFA-151</v>
      </c>
      <c r="B13230" t="str">
        <f>T("270 REEVES BLVD HANGAR 3 MOD 4")</f>
        <v>270 REEVES BLVD HANGAR 3 MOD 4</v>
      </c>
      <c r="C13230" t="str">
        <f>T("")</f>
        <v/>
      </c>
      <c r="D13230" t="str">
        <f>T("LEMOORE")</f>
        <v>LEMOORE</v>
      </c>
      <c r="E13230" t="str">
        <f t="shared" si="4872"/>
        <v>CA</v>
      </c>
      <c r="F13230" t="str">
        <f>T("932467300")</f>
        <v>932467300</v>
      </c>
      <c r="G13230" t="str">
        <f>T("270 REEVES BLVD HANGAR 3 MOD 4")</f>
        <v>270 REEVES BLVD HANGAR 3 MOD 4</v>
      </c>
      <c r="H13230" t="str">
        <f>T("")</f>
        <v/>
      </c>
      <c r="I13230" t="str">
        <f>T("LEMOORE")</f>
        <v>LEMOORE</v>
      </c>
      <c r="J13230" t="str">
        <f t="shared" si="4874"/>
        <v>CA</v>
      </c>
      <c r="K13230" t="str">
        <f>T("000000000000000000")</f>
        <v>000000000000000000</v>
      </c>
      <c r="L13230" t="str">
        <f>T("5599980390")</f>
        <v>5599980390</v>
      </c>
    </row>
    <row r="13231" spans="1:12" x14ac:dyDescent="0.35">
      <c r="A13231" t="str">
        <f>T("VFA-151")</f>
        <v>VFA-151</v>
      </c>
      <c r="B13231" t="str">
        <f>T("VFA-151 MATERIAL CONTROL")</f>
        <v>VFA-151 MATERIAL CONTROL</v>
      </c>
      <c r="C13231" t="str">
        <f>T("330 REEVES BLVD HGR 5 MOD 1")</f>
        <v>330 REEVES BLVD HGR 5 MOD 1</v>
      </c>
      <c r="D13231" t="str">
        <f>T("NAS LEMOORE")</f>
        <v>NAS LEMOORE</v>
      </c>
      <c r="E13231" t="str">
        <f t="shared" si="4872"/>
        <v>CA</v>
      </c>
      <c r="F13231" t="str">
        <f t="shared" ref="F13231:F13238" si="4875">T("932467400")</f>
        <v>932467400</v>
      </c>
      <c r="G13231" t="str">
        <f>T("VFA-151")</f>
        <v>VFA-151</v>
      </c>
      <c r="H13231" t="str">
        <f>T("270 REEVES BLVD HANGAR 3 MOD 4")</f>
        <v>270 REEVES BLVD HANGAR 3 MOD 4</v>
      </c>
      <c r="I13231" t="str">
        <f>T("LEMOORE")</f>
        <v>LEMOORE</v>
      </c>
      <c r="J13231" t="str">
        <f t="shared" si="4874"/>
        <v>CA</v>
      </c>
      <c r="K13231" t="str">
        <f>T("5599983441")</f>
        <v>5599983441</v>
      </c>
      <c r="L13231" t="str">
        <f>T("5599980390")</f>
        <v>5599980390</v>
      </c>
    </row>
    <row r="13232" spans="1:12" x14ac:dyDescent="0.35">
      <c r="A13232" t="str">
        <f>T("VFA-151")</f>
        <v>VFA-151</v>
      </c>
      <c r="B13232" t="str">
        <f>T("VFA-151 MATERIAL CONTROL")</f>
        <v>VFA-151 MATERIAL CONTROL</v>
      </c>
      <c r="C13232" t="str">
        <f>T("330 REEVES BLVD HGR 5 MOD 1")</f>
        <v>330 REEVES BLVD HGR 5 MOD 1</v>
      </c>
      <c r="D13232" t="str">
        <f>T("NAS LEMOORE")</f>
        <v>NAS LEMOORE</v>
      </c>
      <c r="E13232" t="str">
        <f t="shared" si="4872"/>
        <v>CA</v>
      </c>
      <c r="F13232" t="str">
        <f t="shared" si="4875"/>
        <v>932467400</v>
      </c>
      <c r="G13232" t="str">
        <f>T("VFA-151 MATERIAL CONTROL")</f>
        <v>VFA-151 MATERIAL CONTROL</v>
      </c>
      <c r="H13232" t="str">
        <f>T("270 REEVES BLVD HGR 3 MOD 4")</f>
        <v>270 REEVES BLVD HGR 3 MOD 4</v>
      </c>
      <c r="I13232" t="str">
        <f>T("LEMOORE")</f>
        <v>LEMOORE</v>
      </c>
      <c r="J13232" t="str">
        <f t="shared" si="4874"/>
        <v>CA</v>
      </c>
      <c r="K13232" t="str">
        <f>T("5599982824")</f>
        <v>5599982824</v>
      </c>
      <c r="L13232" t="str">
        <f>T("5599980390")</f>
        <v>5599980390</v>
      </c>
    </row>
    <row r="13233" spans="1:12" x14ac:dyDescent="0.35">
      <c r="A13233" t="str">
        <f>T("VFA-151")</f>
        <v>VFA-151</v>
      </c>
      <c r="B13233" t="str">
        <f>T("VFA-151 MATERIAL CONTROL")</f>
        <v>VFA-151 MATERIAL CONTROL</v>
      </c>
      <c r="C13233" t="str">
        <f>T("330 REEVES BLVD HGR 5 MOD 1")</f>
        <v>330 REEVES BLVD HGR 5 MOD 1</v>
      </c>
      <c r="D13233" t="str">
        <f>T("NAS LEMOORE")</f>
        <v>NAS LEMOORE</v>
      </c>
      <c r="E13233" t="str">
        <f t="shared" si="4872"/>
        <v>CA</v>
      </c>
      <c r="F13233" t="str">
        <f t="shared" si="4875"/>
        <v>932467400</v>
      </c>
      <c r="G13233" t="str">
        <f>T("VFA-151 MATERIAL CONTROL")</f>
        <v>VFA-151 MATERIAL CONTROL</v>
      </c>
      <c r="H13233" t="str">
        <f>T("330 REEVES BLVD HGR 5 MOD 1")</f>
        <v>330 REEVES BLVD HGR 5 MOD 1</v>
      </c>
      <c r="I13233" t="str">
        <f>T("NAS LEMOORE")</f>
        <v>NAS LEMOORE</v>
      </c>
      <c r="J13233" t="str">
        <f t="shared" si="4874"/>
        <v>CA</v>
      </c>
      <c r="K13233" t="str">
        <f>T("5599983441")</f>
        <v>5599983441</v>
      </c>
      <c r="L13233" t="str">
        <f>T("5599980390")</f>
        <v>5599980390</v>
      </c>
    </row>
    <row r="13234" spans="1:12" x14ac:dyDescent="0.35">
      <c r="A13234" t="str">
        <f>T("VFA-151")</f>
        <v>VFA-151</v>
      </c>
      <c r="B13234" t="str">
        <f>T("VFA-151 MATERIAL CONTROL")</f>
        <v>VFA-151 MATERIAL CONTROL</v>
      </c>
      <c r="C13234" t="str">
        <f>T("330 REEVES BLVD HGR 5 MOD 1")</f>
        <v>330 REEVES BLVD HGR 5 MOD 1</v>
      </c>
      <c r="D13234" t="str">
        <f>T("NAS LEMOORE")</f>
        <v>NAS LEMOORE</v>
      </c>
      <c r="E13234" t="str">
        <f t="shared" si="4872"/>
        <v>CA</v>
      </c>
      <c r="F13234" t="str">
        <f t="shared" si="4875"/>
        <v>932467400</v>
      </c>
      <c r="G13234" t="str">
        <f>T("VFA-151 MATERIAL CONTROL")</f>
        <v>VFA-151 MATERIAL CONTROL</v>
      </c>
      <c r="H13234" t="str">
        <f>T("HGR 5 MOD 1 BLDG 330")</f>
        <v>HGR 5 MOD 1 BLDG 330</v>
      </c>
      <c r="I13234" t="str">
        <f>T("NAS LEMOORE")</f>
        <v>NAS LEMOORE</v>
      </c>
      <c r="J13234" t="str">
        <f t="shared" si="4874"/>
        <v>CA</v>
      </c>
      <c r="K13234" t="str">
        <f>T("5599983441")</f>
        <v>5599983441</v>
      </c>
      <c r="L13234" t="str">
        <f>T("5599980390")</f>
        <v>5599980390</v>
      </c>
    </row>
    <row r="13235" spans="1:12" x14ac:dyDescent="0.35">
      <c r="A13235" t="str">
        <f>T("VFA-22")</f>
        <v>VFA-22</v>
      </c>
      <c r="B13235" t="str">
        <f>T("300 REEVES BLVD")</f>
        <v>300 REEVES BLVD</v>
      </c>
      <c r="C13235" t="str">
        <f>T("HANGAR 4 MOD 4")</f>
        <v>HANGAR 4 MOD 4</v>
      </c>
      <c r="D13235" t="str">
        <f>T("LEMOORE")</f>
        <v>LEMOORE</v>
      </c>
      <c r="E13235" t="str">
        <f t="shared" si="4872"/>
        <v>CA</v>
      </c>
      <c r="F13235" t="str">
        <f t="shared" si="4875"/>
        <v>932467400</v>
      </c>
      <c r="G13235" t="str">
        <f>T("300 REEVES BLVD")</f>
        <v>300 REEVES BLVD</v>
      </c>
      <c r="H13235" t="str">
        <f>T("HANGAR 4 MOD 4")</f>
        <v>HANGAR 4 MOD 4</v>
      </c>
      <c r="I13235" t="str">
        <f>T("LEMOORE")</f>
        <v>LEMOORE</v>
      </c>
      <c r="J13235" t="str">
        <f t="shared" si="4874"/>
        <v>CA</v>
      </c>
      <c r="K13235" t="str">
        <f>T("")</f>
        <v/>
      </c>
      <c r="L13235" t="str">
        <f>T("5599981969")</f>
        <v>5599981969</v>
      </c>
    </row>
    <row r="13236" spans="1:12" x14ac:dyDescent="0.35">
      <c r="A13236" t="str">
        <f>T("VFA-22")</f>
        <v>VFA-22</v>
      </c>
      <c r="B13236" t="str">
        <f>T("300 REEVES BLVD")</f>
        <v>300 REEVES BLVD</v>
      </c>
      <c r="C13236" t="str">
        <f>T("HANGAR 4 MOD 4")</f>
        <v>HANGAR 4 MOD 4</v>
      </c>
      <c r="D13236" t="str">
        <f>T("LEMOORE")</f>
        <v>LEMOORE</v>
      </c>
      <c r="E13236" t="str">
        <f t="shared" si="4872"/>
        <v>CA</v>
      </c>
      <c r="F13236" t="str">
        <f t="shared" si="4875"/>
        <v>932467400</v>
      </c>
      <c r="G13236" t="str">
        <f>T("300 REEVES BLVD")</f>
        <v>300 REEVES BLVD</v>
      </c>
      <c r="H13236" t="str">
        <f>T("HANGAR 4 MOD 4")</f>
        <v>HANGAR 4 MOD 4</v>
      </c>
      <c r="I13236" t="str">
        <f>T("LEMOORE")</f>
        <v>LEMOORE</v>
      </c>
      <c r="J13236" t="str">
        <f t="shared" si="4874"/>
        <v>CA</v>
      </c>
      <c r="K13236" t="str">
        <f t="shared" ref="K13236:K13241" si="4876">T("000000000000000000")</f>
        <v>000000000000000000</v>
      </c>
      <c r="L13236" t="str">
        <f>T("5599981969")</f>
        <v>5599981969</v>
      </c>
    </row>
    <row r="13237" spans="1:12" x14ac:dyDescent="0.35">
      <c r="A13237" t="str">
        <f>T("VFA-22")</f>
        <v>VFA-22</v>
      </c>
      <c r="B13237" t="str">
        <f>T("300 REEVES BLVD")</f>
        <v>300 REEVES BLVD</v>
      </c>
      <c r="C13237" t="str">
        <f>T("HANGAR 4 MOD 4")</f>
        <v>HANGAR 4 MOD 4</v>
      </c>
      <c r="D13237" t="str">
        <f>T("LEMOORE")</f>
        <v>LEMOORE</v>
      </c>
      <c r="E13237" t="str">
        <f t="shared" si="4872"/>
        <v>CA</v>
      </c>
      <c r="F13237" t="str">
        <f t="shared" si="4875"/>
        <v>932467400</v>
      </c>
      <c r="G13237" t="str">
        <f>T("300 REEVES BLVD")</f>
        <v>300 REEVES BLVD</v>
      </c>
      <c r="H13237" t="str">
        <f>T("HANGARD 4 MOD 4")</f>
        <v>HANGARD 4 MOD 4</v>
      </c>
      <c r="I13237" t="str">
        <f>T("LEMOORE")</f>
        <v>LEMOORE</v>
      </c>
      <c r="J13237" t="str">
        <f t="shared" si="4874"/>
        <v>CA</v>
      </c>
      <c r="K13237" t="str">
        <f t="shared" si="4876"/>
        <v>000000000000000000</v>
      </c>
      <c r="L13237" t="str">
        <f>T("5599981969")</f>
        <v>5599981969</v>
      </c>
    </row>
    <row r="13238" spans="1:12" x14ac:dyDescent="0.35">
      <c r="A13238" t="str">
        <f>T("VFA-22")</f>
        <v>VFA-22</v>
      </c>
      <c r="B13238" t="str">
        <f>T("300 REEVES BLVD")</f>
        <v>300 REEVES BLVD</v>
      </c>
      <c r="C13238" t="str">
        <f>T("HANGAR 4 MOD 4")</f>
        <v>HANGAR 4 MOD 4</v>
      </c>
      <c r="D13238" t="str">
        <f>T("LEMOORE")</f>
        <v>LEMOORE</v>
      </c>
      <c r="E13238" t="str">
        <f t="shared" si="4872"/>
        <v>CA</v>
      </c>
      <c r="F13238" t="str">
        <f t="shared" si="4875"/>
        <v>932467400</v>
      </c>
      <c r="G13238" t="str">
        <f>T("300 REEVES BLVD HANGAR 4")</f>
        <v>300 REEVES BLVD HANGAR 4</v>
      </c>
      <c r="H13238" t="str">
        <f>T("MOD 4")</f>
        <v>MOD 4</v>
      </c>
      <c r="I13238" t="str">
        <f>T("LEMOORE")</f>
        <v>LEMOORE</v>
      </c>
      <c r="J13238" t="str">
        <f t="shared" si="4874"/>
        <v>CA</v>
      </c>
      <c r="K13238" t="str">
        <f t="shared" si="4876"/>
        <v>000000000000000000</v>
      </c>
      <c r="L13238" t="str">
        <f>T("5599981969")</f>
        <v>5599981969</v>
      </c>
    </row>
    <row r="13239" spans="1:12" x14ac:dyDescent="0.35">
      <c r="A13239" t="str">
        <f>T("VP-47")</f>
        <v>VP-47</v>
      </c>
      <c r="B13239" t="str">
        <f>T("VP47")</f>
        <v>VP47</v>
      </c>
      <c r="C13239" t="str">
        <f>T("UNIT 25454")</f>
        <v>UNIT 25454</v>
      </c>
      <c r="D13239" t="str">
        <f t="shared" ref="D13239:D13245" si="4877">T("FPO")</f>
        <v>FPO</v>
      </c>
      <c r="E13239" t="str">
        <f t="shared" ref="E13239:E13245" si="4878">T("AP")</f>
        <v>AP</v>
      </c>
      <c r="F13239" t="str">
        <f>T("966015920")</f>
        <v>966015920</v>
      </c>
      <c r="G13239" t="str">
        <f>T("HANGAR 104 MCBH HAWAII")</f>
        <v>HANGAR 104 MCBH HAWAII</v>
      </c>
      <c r="H13239" t="str">
        <f>T("")</f>
        <v/>
      </c>
      <c r="I13239" t="str">
        <f>T("KANEOHE BAY")</f>
        <v>KANEOHE BAY</v>
      </c>
      <c r="J13239" t="str">
        <f>T("HI")</f>
        <v>HI</v>
      </c>
      <c r="K13239" t="str">
        <f t="shared" si="4876"/>
        <v>000000000000000000</v>
      </c>
      <c r="L13239" t="str">
        <f>T("8082570554")</f>
        <v>8082570554</v>
      </c>
    </row>
    <row r="13240" spans="1:12" x14ac:dyDescent="0.35">
      <c r="A13240" t="str">
        <f>T("VP-47")</f>
        <v>VP-47</v>
      </c>
      <c r="B13240" t="str">
        <f>T("VP47")</f>
        <v>VP47</v>
      </c>
      <c r="C13240" t="str">
        <f>T("UNIT 25454")</f>
        <v>UNIT 25454</v>
      </c>
      <c r="D13240" t="str">
        <f t="shared" si="4877"/>
        <v>FPO</v>
      </c>
      <c r="E13240" t="str">
        <f t="shared" si="4878"/>
        <v>AP</v>
      </c>
      <c r="F13240" t="str">
        <f>T("966015920")</f>
        <v>966015920</v>
      </c>
      <c r="G13240" t="str">
        <f>T("HANGAR 104 MCBH KANEOHE")</f>
        <v>HANGAR 104 MCBH KANEOHE</v>
      </c>
      <c r="H13240" t="str">
        <f>T("")</f>
        <v/>
      </c>
      <c r="I13240" t="str">
        <f>T("KANEOHE")</f>
        <v>KANEOHE</v>
      </c>
      <c r="J13240" t="str">
        <f>T("HI")</f>
        <v>HI</v>
      </c>
      <c r="K13240" t="str">
        <f t="shared" si="4876"/>
        <v>000000000000000000</v>
      </c>
      <c r="L13240" t="str">
        <f>T("1111111111")</f>
        <v>1111111111</v>
      </c>
    </row>
    <row r="13241" spans="1:12" x14ac:dyDescent="0.35">
      <c r="A13241" t="str">
        <f>T("VP-47")</f>
        <v>VP-47</v>
      </c>
      <c r="B13241" t="str">
        <f>T("VP47")</f>
        <v>VP47</v>
      </c>
      <c r="C13241" t="str">
        <f>T("UNIT 25454")</f>
        <v>UNIT 25454</v>
      </c>
      <c r="D13241" t="str">
        <f t="shared" si="4877"/>
        <v>FPO</v>
      </c>
      <c r="E13241" t="str">
        <f t="shared" si="4878"/>
        <v>AP</v>
      </c>
      <c r="F13241" t="str">
        <f>T("966015920")</f>
        <v>966015920</v>
      </c>
      <c r="G13241" t="str">
        <f>T("HANGAR 104 MCBH KANEOHE")</f>
        <v>HANGAR 104 MCBH KANEOHE</v>
      </c>
      <c r="H13241" t="str">
        <f>T("")</f>
        <v/>
      </c>
      <c r="I13241" t="str">
        <f>T("KANEOHE")</f>
        <v>KANEOHE</v>
      </c>
      <c r="J13241" t="str">
        <f>T("HI")</f>
        <v>HI</v>
      </c>
      <c r="K13241" t="str">
        <f t="shared" si="4876"/>
        <v>000000000000000000</v>
      </c>
      <c r="L13241" t="str">
        <f>T("8082570621")</f>
        <v>8082570621</v>
      </c>
    </row>
    <row r="13242" spans="1:12" x14ac:dyDescent="0.35">
      <c r="A13242" t="str">
        <f>T("VP-47")</f>
        <v>VP-47</v>
      </c>
      <c r="B13242" t="str">
        <f>T("VP47")</f>
        <v>VP47</v>
      </c>
      <c r="C13242" t="str">
        <f>T("UNIT 25454")</f>
        <v>UNIT 25454</v>
      </c>
      <c r="D13242" t="str">
        <f t="shared" si="4877"/>
        <v>FPO</v>
      </c>
      <c r="E13242" t="str">
        <f t="shared" si="4878"/>
        <v>AP</v>
      </c>
      <c r="F13242" t="str">
        <f>T("966015920")</f>
        <v>966015920</v>
      </c>
      <c r="G13242" t="str">
        <f>T("VP47")</f>
        <v>VP47</v>
      </c>
      <c r="H13242" t="str">
        <f>T("UNIT 25454")</f>
        <v>UNIT 25454</v>
      </c>
      <c r="I13242" t="str">
        <f>T("FPO")</f>
        <v>FPO</v>
      </c>
      <c r="J13242" t="str">
        <f>T("AP")</f>
        <v>AP</v>
      </c>
      <c r="K13242" t="str">
        <f>T("8082570622")</f>
        <v>8082570622</v>
      </c>
      <c r="L13242" t="str">
        <f>T("1111111111")</f>
        <v>1111111111</v>
      </c>
    </row>
    <row r="13243" spans="1:12" x14ac:dyDescent="0.35">
      <c r="A13243" t="str">
        <f>T("VFA-115")</f>
        <v>VFA-115</v>
      </c>
      <c r="B13243" t="str">
        <f>T("VFA-115 MATERIAL CONTROL")</f>
        <v>VFA-115 MATERIAL CONTROL</v>
      </c>
      <c r="C13243" t="str">
        <f>T("UNIT 200137 BOX 1")</f>
        <v>UNIT 200137 BOX 1</v>
      </c>
      <c r="D13243" t="str">
        <f t="shared" si="4877"/>
        <v>FPO</v>
      </c>
      <c r="E13243" t="str">
        <f t="shared" si="4878"/>
        <v>AP</v>
      </c>
      <c r="F13243" t="str">
        <f>T("966013700")</f>
        <v>966013700</v>
      </c>
      <c r="G13243" t="str">
        <f>T("VFA-115 MATERIAL CONTROL")</f>
        <v>VFA-115 MATERIAL CONTROL</v>
      </c>
      <c r="H13243" t="str">
        <f>T("UNIT 200137 BOX 1")</f>
        <v>UNIT 200137 BOX 1</v>
      </c>
      <c r="I13243" t="str">
        <f>T("FPO")</f>
        <v>FPO</v>
      </c>
      <c r="J13243" t="str">
        <f>T("AP")</f>
        <v>AP</v>
      </c>
      <c r="K13243" t="str">
        <f>T("000000000000000000")</f>
        <v>000000000000000000</v>
      </c>
      <c r="L13243" t="str">
        <f>T("3152643386")</f>
        <v>3152643386</v>
      </c>
    </row>
    <row r="13244" spans="1:12" x14ac:dyDescent="0.35">
      <c r="A13244" t="str">
        <f>T("VFA-115")</f>
        <v>VFA-115</v>
      </c>
      <c r="B13244" t="str">
        <f>T("VFA-115 MATERIAL CONTROL")</f>
        <v>VFA-115 MATERIAL CONTROL</v>
      </c>
      <c r="C13244" t="str">
        <f>T("UNIT 200137 BOX 1")</f>
        <v>UNIT 200137 BOX 1</v>
      </c>
      <c r="D13244" t="str">
        <f t="shared" si="4877"/>
        <v>FPO</v>
      </c>
      <c r="E13244" t="str">
        <f t="shared" si="4878"/>
        <v>AP</v>
      </c>
      <c r="F13244" t="str">
        <f>T("966013700")</f>
        <v>966013700</v>
      </c>
      <c r="G13244" t="str">
        <f>T("VFA-115 MATERIAL CONTROL")</f>
        <v>VFA-115 MATERIAL CONTROL</v>
      </c>
      <c r="H13244" t="str">
        <f>T("UNIT 200137 BOX 1")</f>
        <v>UNIT 200137 BOX 1</v>
      </c>
      <c r="I13244" t="str">
        <f>T("FPO")</f>
        <v>FPO</v>
      </c>
      <c r="J13244" t="str">
        <f>T("AP")</f>
        <v>AP</v>
      </c>
      <c r="K13244" t="str">
        <f>T("01181467633581")</f>
        <v>01181467633581</v>
      </c>
      <c r="L13244" t="str">
        <f>T("1111111111")</f>
        <v>1111111111</v>
      </c>
    </row>
    <row r="13245" spans="1:12" x14ac:dyDescent="0.35">
      <c r="A13245" t="str">
        <f>T("VFA-115")</f>
        <v>VFA-115</v>
      </c>
      <c r="B13245" t="str">
        <f>T("VFA-115 MATERIAL CONTROL")</f>
        <v>VFA-115 MATERIAL CONTROL</v>
      </c>
      <c r="C13245" t="str">
        <f>T("UNIT 200137 BOX 1")</f>
        <v>UNIT 200137 BOX 1</v>
      </c>
      <c r="D13245" t="str">
        <f t="shared" si="4877"/>
        <v>FPO</v>
      </c>
      <c r="E13245" t="str">
        <f t="shared" si="4878"/>
        <v>AP</v>
      </c>
      <c r="F13245" t="str">
        <f>T("966013700")</f>
        <v>966013700</v>
      </c>
      <c r="G13245" t="str">
        <f>T("VFA-115 MATERIAL CONTROL")</f>
        <v>VFA-115 MATERIAL CONTROL</v>
      </c>
      <c r="H13245" t="str">
        <f>T("UNIT 200137 BOX 1")</f>
        <v>UNIT 200137 BOX 1</v>
      </c>
      <c r="I13245" t="str">
        <f>T("FPO")</f>
        <v>FPO</v>
      </c>
      <c r="J13245" t="str">
        <f>T("AP")</f>
        <v>AP</v>
      </c>
      <c r="K13245" t="str">
        <f>T("01181467634906")</f>
        <v>01181467634906</v>
      </c>
      <c r="L13245" t="str">
        <f>T("1111111111")</f>
        <v>1111111111</v>
      </c>
    </row>
    <row r="13246" spans="1:12" x14ac:dyDescent="0.35">
      <c r="A13246" t="str">
        <f t="shared" ref="A13246:A13252" si="4879">T("US NAVY/VRC-30")</f>
        <v>US NAVY/VRC-30</v>
      </c>
      <c r="B13246" t="str">
        <f t="shared" ref="B13246:B13251" si="4880">T("NASNI PO BOX 357114")</f>
        <v>NASNI PO BOX 357114</v>
      </c>
      <c r="C13246" t="str">
        <f t="shared" ref="C13246:C13252" si="4881">T("")</f>
        <v/>
      </c>
      <c r="D13246" t="str">
        <f t="shared" ref="D13246:D13252" si="4882">T("SAN DIEGO")</f>
        <v>SAN DIEGO</v>
      </c>
      <c r="E13246" t="str">
        <f t="shared" ref="E13246:E13252" si="4883">T("CA")</f>
        <v>CA</v>
      </c>
      <c r="F13246" t="str">
        <f t="shared" ref="F13246:F13252" si="4884">T("921357114")</f>
        <v>921357114</v>
      </c>
      <c r="G13246" t="str">
        <f>T("NASNI P.O. BOX 357114")</f>
        <v>NASNI P.O. BOX 357114</v>
      </c>
      <c r="H13246" t="str">
        <f>T("M/F: 357114")</f>
        <v>M/F: 357114</v>
      </c>
      <c r="I13246" t="str">
        <f t="shared" ref="I13246:I13252" si="4885">T("SAN DIEGO")</f>
        <v>SAN DIEGO</v>
      </c>
      <c r="J13246" t="str">
        <f t="shared" ref="J13246:J13252" si="4886">T("CA")</f>
        <v>CA</v>
      </c>
      <c r="K13246" t="str">
        <f>T("7677458")</f>
        <v>7677458</v>
      </c>
      <c r="L13246" t="str">
        <f>T("6195456473")</f>
        <v>6195456473</v>
      </c>
    </row>
    <row r="13247" spans="1:12" x14ac:dyDescent="0.35">
      <c r="A13247" t="str">
        <f t="shared" si="4879"/>
        <v>US NAVY/VRC-30</v>
      </c>
      <c r="B13247" t="str">
        <f t="shared" si="4880"/>
        <v>NASNI PO BOX 357114</v>
      </c>
      <c r="C13247" t="str">
        <f t="shared" si="4881"/>
        <v/>
      </c>
      <c r="D13247" t="str">
        <f t="shared" si="4882"/>
        <v>SAN DIEGO</v>
      </c>
      <c r="E13247" t="str">
        <f t="shared" si="4883"/>
        <v>CA</v>
      </c>
      <c r="F13247" t="str">
        <f t="shared" si="4884"/>
        <v>921357114</v>
      </c>
      <c r="G13247" t="str">
        <f>T("NASNI P.O. BOX 357114")</f>
        <v>NASNI P.O. BOX 357114</v>
      </c>
      <c r="H13247" t="str">
        <f>T("M/F: VRC-30")</f>
        <v>M/F: VRC-30</v>
      </c>
      <c r="I13247" t="str">
        <f t="shared" si="4885"/>
        <v>SAN DIEGO</v>
      </c>
      <c r="J13247" t="str">
        <f t="shared" si="4886"/>
        <v>CA</v>
      </c>
      <c r="K13247" t="str">
        <f>T("000000000000000000")</f>
        <v>000000000000000000</v>
      </c>
      <c r="L13247" t="str">
        <f>T("6195456473")</f>
        <v>6195456473</v>
      </c>
    </row>
    <row r="13248" spans="1:12" x14ac:dyDescent="0.35">
      <c r="A13248" t="str">
        <f t="shared" si="4879"/>
        <v>US NAVY/VRC-30</v>
      </c>
      <c r="B13248" t="str">
        <f t="shared" si="4880"/>
        <v>NASNI PO BOX 357114</v>
      </c>
      <c r="C13248" t="str">
        <f t="shared" si="4881"/>
        <v/>
      </c>
      <c r="D13248" t="str">
        <f t="shared" si="4882"/>
        <v>SAN DIEGO</v>
      </c>
      <c r="E13248" t="str">
        <f t="shared" si="4883"/>
        <v>CA</v>
      </c>
      <c r="F13248" t="str">
        <f t="shared" si="4884"/>
        <v>921357114</v>
      </c>
      <c r="G13248" t="str">
        <f>T("NASNI P.O. BOX 357114")</f>
        <v>NASNI P.O. BOX 357114</v>
      </c>
      <c r="H13248" t="str">
        <f>T("M/F:VRC-30 AO")</f>
        <v>M/F:VRC-30 AO</v>
      </c>
      <c r="I13248" t="str">
        <f t="shared" si="4885"/>
        <v>SAN DIEGO</v>
      </c>
      <c r="J13248" t="str">
        <f t="shared" si="4886"/>
        <v>CA</v>
      </c>
      <c r="K13248" t="str">
        <f>T("000000000000000000")</f>
        <v>000000000000000000</v>
      </c>
      <c r="L13248" t="str">
        <f>T("6195456473")</f>
        <v>6195456473</v>
      </c>
    </row>
    <row r="13249" spans="1:12" x14ac:dyDescent="0.35">
      <c r="A13249" t="str">
        <f t="shared" si="4879"/>
        <v>US NAVY/VRC-30</v>
      </c>
      <c r="B13249" t="str">
        <f t="shared" si="4880"/>
        <v>NASNI PO BOX 357114</v>
      </c>
      <c r="C13249" t="str">
        <f t="shared" si="4881"/>
        <v/>
      </c>
      <c r="D13249" t="str">
        <f t="shared" si="4882"/>
        <v>SAN DIEGO</v>
      </c>
      <c r="E13249" t="str">
        <f t="shared" si="4883"/>
        <v>CA</v>
      </c>
      <c r="F13249" t="str">
        <f t="shared" si="4884"/>
        <v>921357114</v>
      </c>
      <c r="G13249" t="str">
        <f>T("NASNI PO BOX 357114")</f>
        <v>NASNI PO BOX 357114</v>
      </c>
      <c r="H13249" t="str">
        <f>T("")</f>
        <v/>
      </c>
      <c r="I13249" t="str">
        <f t="shared" si="4885"/>
        <v>SAN DIEGO</v>
      </c>
      <c r="J13249" t="str">
        <f t="shared" si="4886"/>
        <v>CA</v>
      </c>
      <c r="K13249" t="str">
        <f>T("")</f>
        <v/>
      </c>
      <c r="L13249" t="str">
        <f>T("6197677457")</f>
        <v>6197677457</v>
      </c>
    </row>
    <row r="13250" spans="1:12" x14ac:dyDescent="0.35">
      <c r="A13250" t="str">
        <f t="shared" si="4879"/>
        <v>US NAVY/VRC-30</v>
      </c>
      <c r="B13250" t="str">
        <f t="shared" si="4880"/>
        <v>NASNI PO BOX 357114</v>
      </c>
      <c r="C13250" t="str">
        <f t="shared" si="4881"/>
        <v/>
      </c>
      <c r="D13250" t="str">
        <f t="shared" si="4882"/>
        <v>SAN DIEGO</v>
      </c>
      <c r="E13250" t="str">
        <f t="shared" si="4883"/>
        <v>CA</v>
      </c>
      <c r="F13250" t="str">
        <f t="shared" si="4884"/>
        <v>921357114</v>
      </c>
      <c r="G13250" t="str">
        <f>T("NASNI PO BOX 357114")</f>
        <v>NASNI PO BOX 357114</v>
      </c>
      <c r="H13250" t="str">
        <f>T("M/F VRC-30")</f>
        <v>M/F VRC-30</v>
      </c>
      <c r="I13250" t="str">
        <f t="shared" si="4885"/>
        <v>SAN DIEGO</v>
      </c>
      <c r="J13250" t="str">
        <f t="shared" si="4886"/>
        <v>CA</v>
      </c>
      <c r="K13250" t="str">
        <f>T("6195456581")</f>
        <v>6195456581</v>
      </c>
      <c r="L13250" t="str">
        <f>T("6197676473")</f>
        <v>6197676473</v>
      </c>
    </row>
    <row r="13251" spans="1:12" x14ac:dyDescent="0.35">
      <c r="A13251" t="str">
        <f t="shared" si="4879"/>
        <v>US NAVY/VRC-30</v>
      </c>
      <c r="B13251" t="str">
        <f t="shared" si="4880"/>
        <v>NASNI PO BOX 357114</v>
      </c>
      <c r="C13251" t="str">
        <f t="shared" si="4881"/>
        <v/>
      </c>
      <c r="D13251" t="str">
        <f t="shared" si="4882"/>
        <v>SAN DIEGO</v>
      </c>
      <c r="E13251" t="str">
        <f t="shared" si="4883"/>
        <v>CA</v>
      </c>
      <c r="F13251" t="str">
        <f t="shared" si="4884"/>
        <v>921357114</v>
      </c>
      <c r="G13251" t="str">
        <f>T("NASNI VRC-30")</f>
        <v>NASNI VRC-30</v>
      </c>
      <c r="H13251" t="str">
        <f>T("BLDG 525")</f>
        <v>BLDG 525</v>
      </c>
      <c r="I13251" t="str">
        <f t="shared" si="4885"/>
        <v>SAN DIEGO</v>
      </c>
      <c r="J13251" t="str">
        <f t="shared" si="4886"/>
        <v>CA</v>
      </c>
      <c r="K13251" t="str">
        <f>T("000000000000000000")</f>
        <v>000000000000000000</v>
      </c>
      <c r="L13251" t="str">
        <f>T("6197677457")</f>
        <v>6197677457</v>
      </c>
    </row>
    <row r="13252" spans="1:12" x14ac:dyDescent="0.35">
      <c r="A13252" t="str">
        <f t="shared" si="4879"/>
        <v>US NAVY/VRC-30</v>
      </c>
      <c r="B13252" t="str">
        <f>T("VRC-30, NASNI PO BOX 357114")</f>
        <v>VRC-30, NASNI PO BOX 357114</v>
      </c>
      <c r="C13252" t="str">
        <f t="shared" si="4881"/>
        <v/>
      </c>
      <c r="D13252" t="str">
        <f t="shared" si="4882"/>
        <v>SAN DIEGO</v>
      </c>
      <c r="E13252" t="str">
        <f t="shared" si="4883"/>
        <v>CA</v>
      </c>
      <c r="F13252" t="str">
        <f t="shared" si="4884"/>
        <v>921357114</v>
      </c>
      <c r="G13252" t="str">
        <f>T("VRC-30, NASNI PO BOX 357114")</f>
        <v>VRC-30, NASNI PO BOX 357114</v>
      </c>
      <c r="H13252" t="str">
        <f>T("")</f>
        <v/>
      </c>
      <c r="I13252" t="str">
        <f t="shared" si="4885"/>
        <v>SAN DIEGO</v>
      </c>
      <c r="J13252" t="str">
        <f t="shared" si="4886"/>
        <v>CA</v>
      </c>
      <c r="K13252" t="str">
        <f>T("000000000000000000")</f>
        <v>000000000000000000</v>
      </c>
      <c r="L13252" t="str">
        <f>T("6195456473")</f>
        <v>6195456473</v>
      </c>
    </row>
    <row r="13253" spans="1:12" x14ac:dyDescent="0.35">
      <c r="A13253" t="str">
        <f>T("VAQ 132")</f>
        <v>VAQ 132</v>
      </c>
      <c r="B13253" t="str">
        <f>T("3760 N CHARLES PORTER AVE")</f>
        <v>3760 N CHARLES PORTER AVE</v>
      </c>
      <c r="C13253" t="str">
        <f>T("HANGER 5")</f>
        <v>HANGER 5</v>
      </c>
      <c r="D13253" t="str">
        <f t="shared" ref="D13253:D13266" si="4887">T("OAK HARBOR")</f>
        <v>OAK HARBOR</v>
      </c>
      <c r="E13253" t="str">
        <f t="shared" ref="E13253:E13266" si="4888">T("WA")</f>
        <v>WA</v>
      </c>
      <c r="F13253" t="str">
        <f>T("982784909")</f>
        <v>982784909</v>
      </c>
      <c r="G13253" t="str">
        <f>T("3760 N CHARLES PORTER AVE")</f>
        <v>3760 N CHARLES PORTER AVE</v>
      </c>
      <c r="H13253" t="str">
        <f>T("HANGER 5")</f>
        <v>HANGER 5</v>
      </c>
      <c r="I13253" t="str">
        <f>T("OAK HARBOR")</f>
        <v>OAK HARBOR</v>
      </c>
      <c r="J13253" t="str">
        <f>T("WA")</f>
        <v>WA</v>
      </c>
      <c r="K13253" t="str">
        <f>T("")</f>
        <v/>
      </c>
      <c r="L13253" t="str">
        <f>T("3602574961")</f>
        <v>3602574961</v>
      </c>
    </row>
    <row r="13254" spans="1:12" x14ac:dyDescent="0.35">
      <c r="A13254" t="str">
        <f>T("VAQ 132")</f>
        <v>VAQ 132</v>
      </c>
      <c r="B13254" t="str">
        <f>T("3760 N CHARLES PORTER AVE")</f>
        <v>3760 N CHARLES PORTER AVE</v>
      </c>
      <c r="C13254" t="str">
        <f>T("HANGER 5")</f>
        <v>HANGER 5</v>
      </c>
      <c r="D13254" t="str">
        <f t="shared" si="4887"/>
        <v>OAK HARBOR</v>
      </c>
      <c r="E13254" t="str">
        <f t="shared" si="4888"/>
        <v>WA</v>
      </c>
      <c r="F13254" t="str">
        <f>T("982784909")</f>
        <v>982784909</v>
      </c>
      <c r="G13254" t="str">
        <f>T("UNIT 200116 BOX 47")</f>
        <v>UNIT 200116 BOX 47</v>
      </c>
      <c r="H13254" t="str">
        <f>T("")</f>
        <v/>
      </c>
      <c r="I13254" t="str">
        <f>T("FPO")</f>
        <v>FPO</v>
      </c>
      <c r="J13254" t="str">
        <f>T("AP")</f>
        <v>AP</v>
      </c>
      <c r="K13254" t="str">
        <f>T("000000000000000000")</f>
        <v>000000000000000000</v>
      </c>
      <c r="L13254" t="str">
        <f>T("3152263571")</f>
        <v>3152263571</v>
      </c>
    </row>
    <row r="13255" spans="1:12" x14ac:dyDescent="0.35">
      <c r="A13255" t="str">
        <f>T("VAQ 132")</f>
        <v>VAQ 132</v>
      </c>
      <c r="B13255" t="str">
        <f>T("3760 N CHARLES PORTER AVE")</f>
        <v>3760 N CHARLES PORTER AVE</v>
      </c>
      <c r="C13255" t="str">
        <f>T("HANGER 5")</f>
        <v>HANGER 5</v>
      </c>
      <c r="D13255" t="str">
        <f t="shared" si="4887"/>
        <v>OAK HARBOR</v>
      </c>
      <c r="E13255" t="str">
        <f t="shared" si="4888"/>
        <v>WA</v>
      </c>
      <c r="F13255" t="str">
        <f>T("982784909")</f>
        <v>982784909</v>
      </c>
      <c r="G13255" t="str">
        <f>T("VAQ-132")</f>
        <v>VAQ-132</v>
      </c>
      <c r="H13255" t="str">
        <f>T("")</f>
        <v/>
      </c>
      <c r="I13255" t="str">
        <f>T("FPO")</f>
        <v>FPO</v>
      </c>
      <c r="J13255" t="str">
        <f>T("AP")</f>
        <v>AP</v>
      </c>
      <c r="K13255" t="str">
        <f>T("000000000000000000")</f>
        <v>000000000000000000</v>
      </c>
      <c r="L13255" t="str">
        <f>T("3602573571")</f>
        <v>3602573571</v>
      </c>
    </row>
    <row r="13256" spans="1:12" x14ac:dyDescent="0.35">
      <c r="A13256" t="str">
        <f>T("PATROL SQUADRON ONE")</f>
        <v>PATROL SQUADRON ONE</v>
      </c>
      <c r="B13256" t="str">
        <f>T("3560 N CHARLES PORTER AVE HANGAR 6")</f>
        <v>3560 N CHARLES PORTER AVE HANGAR 6</v>
      </c>
      <c r="C13256" t="str">
        <f>T("")</f>
        <v/>
      </c>
      <c r="D13256" t="str">
        <f t="shared" si="4887"/>
        <v>OAK HARBOR</v>
      </c>
      <c r="E13256" t="str">
        <f t="shared" si="4888"/>
        <v>WA</v>
      </c>
      <c r="F13256" t="str">
        <f t="shared" ref="F13256:F13266" si="4889">T("982784908")</f>
        <v>982784908</v>
      </c>
      <c r="G13256" t="str">
        <f>T("3560 N CHARLES PORTER AVE")</f>
        <v>3560 N CHARLES PORTER AVE</v>
      </c>
      <c r="H13256" t="str">
        <f>T("")</f>
        <v/>
      </c>
      <c r="I13256" t="str">
        <f t="shared" ref="I13256:I13266" si="4890">T("OAK HARBOR")</f>
        <v>OAK HARBOR</v>
      </c>
      <c r="J13256" t="str">
        <f t="shared" ref="J13256:J13266" si="4891">T("WA")</f>
        <v>WA</v>
      </c>
      <c r="K13256" t="str">
        <f>T("000000000000000000")</f>
        <v>000000000000000000</v>
      </c>
      <c r="L13256" t="str">
        <f>T("3602574393")</f>
        <v>3602574393</v>
      </c>
    </row>
    <row r="13257" spans="1:12" x14ac:dyDescent="0.35">
      <c r="A13257" t="str">
        <f>T("PATROL SQUADRON ONE")</f>
        <v>PATROL SQUADRON ONE</v>
      </c>
      <c r="B13257" t="str">
        <f>T("3560 N CHARLES PORTER AVE HANGAR 6")</f>
        <v>3560 N CHARLES PORTER AVE HANGAR 6</v>
      </c>
      <c r="C13257" t="str">
        <f>T("")</f>
        <v/>
      </c>
      <c r="D13257" t="str">
        <f t="shared" si="4887"/>
        <v>OAK HARBOR</v>
      </c>
      <c r="E13257" t="str">
        <f t="shared" si="4888"/>
        <v>WA</v>
      </c>
      <c r="F13257" t="str">
        <f t="shared" si="4889"/>
        <v>982784908</v>
      </c>
      <c r="G13257" t="str">
        <f>T("3560 N CHARLES PORTER AVE")</f>
        <v>3560 N CHARLES PORTER AVE</v>
      </c>
      <c r="H13257" t="str">
        <f>T("HANGAR 6")</f>
        <v>HANGAR 6</v>
      </c>
      <c r="I13257" t="str">
        <f t="shared" si="4890"/>
        <v>OAK HARBOR</v>
      </c>
      <c r="J13257" t="str">
        <f t="shared" si="4891"/>
        <v>WA</v>
      </c>
      <c r="K13257" t="str">
        <f>T("000000000000000000")</f>
        <v>000000000000000000</v>
      </c>
      <c r="L13257" t="str">
        <f>T("3602574393")</f>
        <v>3602574393</v>
      </c>
    </row>
    <row r="13258" spans="1:12" x14ac:dyDescent="0.35">
      <c r="A13258" t="str">
        <f>T("PATROL SQUADRON ONE")</f>
        <v>PATROL SQUADRON ONE</v>
      </c>
      <c r="B13258" t="str">
        <f>T("3560 N CHARLES PORTER AVE HANGAR 6")</f>
        <v>3560 N CHARLES PORTER AVE HANGAR 6</v>
      </c>
      <c r="C13258" t="str">
        <f>T("")</f>
        <v/>
      </c>
      <c r="D13258" t="str">
        <f t="shared" si="4887"/>
        <v>OAK HARBOR</v>
      </c>
      <c r="E13258" t="str">
        <f t="shared" si="4888"/>
        <v>WA</v>
      </c>
      <c r="F13258" t="str">
        <f t="shared" si="4889"/>
        <v>982784908</v>
      </c>
      <c r="G13258" t="str">
        <f>T("3560 N CHARLES PORTER AVE")</f>
        <v>3560 N CHARLES PORTER AVE</v>
      </c>
      <c r="H13258" t="str">
        <f>T("VP-1")</f>
        <v>VP-1</v>
      </c>
      <c r="I13258" t="str">
        <f t="shared" si="4890"/>
        <v>OAK HARBOR</v>
      </c>
      <c r="J13258" t="str">
        <f t="shared" si="4891"/>
        <v>WA</v>
      </c>
      <c r="K13258" t="str">
        <f>T("000000000000000000")</f>
        <v>000000000000000000</v>
      </c>
      <c r="L13258" t="str">
        <f>T("3602573813")</f>
        <v>3602573813</v>
      </c>
    </row>
    <row r="13259" spans="1:12" x14ac:dyDescent="0.35">
      <c r="A13259" t="str">
        <f>T("PATROL SQUADRON ONE")</f>
        <v>PATROL SQUADRON ONE</v>
      </c>
      <c r="B13259" t="str">
        <f>T("3560 N CHARLES PORTER AVE HANGAR 6")</f>
        <v>3560 N CHARLES PORTER AVE HANGAR 6</v>
      </c>
      <c r="C13259" t="str">
        <f>T("")</f>
        <v/>
      </c>
      <c r="D13259" t="str">
        <f t="shared" si="4887"/>
        <v>OAK HARBOR</v>
      </c>
      <c r="E13259" t="str">
        <f t="shared" si="4888"/>
        <v>WA</v>
      </c>
      <c r="F13259" t="str">
        <f t="shared" si="4889"/>
        <v>982784908</v>
      </c>
      <c r="G13259" t="str">
        <f>T("3560 N CHARLES PORTER AVE HANGAR 6")</f>
        <v>3560 N CHARLES PORTER AVE HANGAR 6</v>
      </c>
      <c r="H13259" t="str">
        <f>T("")</f>
        <v/>
      </c>
      <c r="I13259" t="str">
        <f t="shared" si="4890"/>
        <v>OAK HARBOR</v>
      </c>
      <c r="J13259" t="str">
        <f t="shared" si="4891"/>
        <v>WA</v>
      </c>
      <c r="K13259" t="str">
        <f>T("360 257 5313")</f>
        <v>360 257 5313</v>
      </c>
      <c r="L13259" t="str">
        <f>T("3602572650")</f>
        <v>3602572650</v>
      </c>
    </row>
    <row r="13260" spans="1:12" x14ac:dyDescent="0.35">
      <c r="A13260" t="str">
        <f>T("PATROL SQUADRON FOUR")</f>
        <v>PATROL SQUADRON FOUR</v>
      </c>
      <c r="B13260" t="str">
        <f>T("3560 NORTH CHARLES PORTER AVE")</f>
        <v>3560 NORTH CHARLES PORTER AVE</v>
      </c>
      <c r="C13260" t="str">
        <f>T("HANGER 6 NAS WHIDNEY ISLAND")</f>
        <v>HANGER 6 NAS WHIDNEY ISLAND</v>
      </c>
      <c r="D13260" t="str">
        <f t="shared" si="4887"/>
        <v>OAK HARBOR</v>
      </c>
      <c r="E13260" t="str">
        <f t="shared" si="4888"/>
        <v>WA</v>
      </c>
      <c r="F13260" t="str">
        <f t="shared" si="4889"/>
        <v>982784908</v>
      </c>
      <c r="G13260" t="str">
        <f>T("3560 NORTH CHARLES PORTER AVE")</f>
        <v>3560 NORTH CHARLES PORTER AVE</v>
      </c>
      <c r="H13260" t="str">
        <f>T("HANGER 6 NAS WHIDNEY ISLAND")</f>
        <v>HANGER 6 NAS WHIDNEY ISLAND</v>
      </c>
      <c r="I13260" t="str">
        <f t="shared" si="4890"/>
        <v>OAK HARBOR</v>
      </c>
      <c r="J13260" t="str">
        <f t="shared" si="4891"/>
        <v>WA</v>
      </c>
      <c r="K13260" t="str">
        <f>T("")</f>
        <v/>
      </c>
      <c r="L13260" t="str">
        <f>T("8082570612")</f>
        <v>8082570612</v>
      </c>
    </row>
    <row r="13261" spans="1:12" x14ac:dyDescent="0.35">
      <c r="A13261" t="str">
        <f>T("PATROL SQUADRON FOUR")</f>
        <v>PATROL SQUADRON FOUR</v>
      </c>
      <c r="B13261" t="str">
        <f>T("3560 NORTH CHARLES PORTER AVE")</f>
        <v>3560 NORTH CHARLES PORTER AVE</v>
      </c>
      <c r="C13261" t="str">
        <f>T("HANGER 6 NAS WHIDNEY ISLAND")</f>
        <v>HANGER 6 NAS WHIDNEY ISLAND</v>
      </c>
      <c r="D13261" t="str">
        <f t="shared" si="4887"/>
        <v>OAK HARBOR</v>
      </c>
      <c r="E13261" t="str">
        <f t="shared" si="4888"/>
        <v>WA</v>
      </c>
      <c r="F13261" t="str">
        <f t="shared" si="4889"/>
        <v>982784908</v>
      </c>
      <c r="G13261" t="str">
        <f>T("3560 NORTH CHARLES PORTER AVE")</f>
        <v>3560 NORTH CHARLES PORTER AVE</v>
      </c>
      <c r="H13261" t="str">
        <f>T("HANGER 6 NAS WHIDNEY ISLAND")</f>
        <v>HANGER 6 NAS WHIDNEY ISLAND</v>
      </c>
      <c r="I13261" t="str">
        <f t="shared" si="4890"/>
        <v>OAK HARBOR</v>
      </c>
      <c r="J13261" t="str">
        <f t="shared" si="4891"/>
        <v>WA</v>
      </c>
      <c r="K13261" t="str">
        <f>T("8082570612 7051")</f>
        <v>8082570612 7051</v>
      </c>
      <c r="L13261" t="str">
        <f>T("1111111111")</f>
        <v>1111111111</v>
      </c>
    </row>
    <row r="13262" spans="1:12" x14ac:dyDescent="0.35">
      <c r="A13262" t="str">
        <f>T("VP 46")</f>
        <v>VP 46</v>
      </c>
      <c r="B13262" t="str">
        <f>T("3560 N CHARLES PORTER AVE")</f>
        <v>3560 N CHARLES PORTER AVE</v>
      </c>
      <c r="C13262" t="str">
        <f>T("HANGAR")</f>
        <v>HANGAR</v>
      </c>
      <c r="D13262" t="str">
        <f t="shared" si="4887"/>
        <v>OAK HARBOR</v>
      </c>
      <c r="E13262" t="str">
        <f t="shared" si="4888"/>
        <v>WA</v>
      </c>
      <c r="F13262" t="str">
        <f t="shared" si="4889"/>
        <v>982784908</v>
      </c>
      <c r="G13262" t="str">
        <f>T("3560 N CHARLES PORTER AVE")</f>
        <v>3560 N CHARLES PORTER AVE</v>
      </c>
      <c r="H13262" t="str">
        <f>T("BLDG 2544 HGR 7 NAS WHIDBEY ISLAND")</f>
        <v>BLDG 2544 HGR 7 NAS WHIDBEY ISLAND</v>
      </c>
      <c r="I13262" t="str">
        <f t="shared" si="4890"/>
        <v>OAK HARBOR</v>
      </c>
      <c r="J13262" t="str">
        <f t="shared" si="4891"/>
        <v>WA</v>
      </c>
      <c r="K13262" t="str">
        <f>T("3602574616")</f>
        <v>3602574616</v>
      </c>
      <c r="L13262" t="str">
        <f>T("3602576946")</f>
        <v>3602576946</v>
      </c>
    </row>
    <row r="13263" spans="1:12" x14ac:dyDescent="0.35">
      <c r="A13263" t="str">
        <f>T("VP 46")</f>
        <v>VP 46</v>
      </c>
      <c r="B13263" t="str">
        <f>T("3560 N CHARLES PORTER AVE")</f>
        <v>3560 N CHARLES PORTER AVE</v>
      </c>
      <c r="C13263" t="str">
        <f>T("HANGAR")</f>
        <v>HANGAR</v>
      </c>
      <c r="D13263" t="str">
        <f t="shared" si="4887"/>
        <v>OAK HARBOR</v>
      </c>
      <c r="E13263" t="str">
        <f t="shared" si="4888"/>
        <v>WA</v>
      </c>
      <c r="F13263" t="str">
        <f t="shared" si="4889"/>
        <v>982784908</v>
      </c>
      <c r="G13263" t="str">
        <f>T("3560 N CHARLES PORTER AVE")</f>
        <v>3560 N CHARLES PORTER AVE</v>
      </c>
      <c r="H13263" t="str">
        <f>T("HANGAR")</f>
        <v>HANGAR</v>
      </c>
      <c r="I13263" t="str">
        <f t="shared" si="4890"/>
        <v>OAK HARBOR</v>
      </c>
      <c r="J13263" t="str">
        <f t="shared" si="4891"/>
        <v>WA</v>
      </c>
      <c r="K13263" t="str">
        <f>T("3602574393")</f>
        <v>3602574393</v>
      </c>
      <c r="L13263" t="str">
        <f>T("3602574337")</f>
        <v>3602574337</v>
      </c>
    </row>
    <row r="13264" spans="1:12" x14ac:dyDescent="0.35">
      <c r="A13264" t="str">
        <f>T("VP 46")</f>
        <v>VP 46</v>
      </c>
      <c r="B13264" t="str">
        <f>T("3560 N CHARLES PORTER AVE")</f>
        <v>3560 N CHARLES PORTER AVE</v>
      </c>
      <c r="C13264" t="str">
        <f>T("HANGAR")</f>
        <v>HANGAR</v>
      </c>
      <c r="D13264" t="str">
        <f t="shared" si="4887"/>
        <v>OAK HARBOR</v>
      </c>
      <c r="E13264" t="str">
        <f t="shared" si="4888"/>
        <v>WA</v>
      </c>
      <c r="F13264" t="str">
        <f t="shared" si="4889"/>
        <v>982784908</v>
      </c>
      <c r="G13264" t="str">
        <f>T("3560 NORTH CHARLES PORTER AVE")</f>
        <v>3560 NORTH CHARLES PORTER AVE</v>
      </c>
      <c r="H13264" t="str">
        <f>T("")</f>
        <v/>
      </c>
      <c r="I13264" t="str">
        <f t="shared" si="4890"/>
        <v>OAK HARBOR</v>
      </c>
      <c r="J13264" t="str">
        <f t="shared" si="4891"/>
        <v>WA</v>
      </c>
      <c r="K13264" t="str">
        <f>T("000000000000000000")</f>
        <v>000000000000000000</v>
      </c>
      <c r="L13264" t="str">
        <f>T("3602574337")</f>
        <v>3602574337</v>
      </c>
    </row>
    <row r="13265" spans="1:12" x14ac:dyDescent="0.35">
      <c r="A13265" t="str">
        <f>T("VP 46")</f>
        <v>VP 46</v>
      </c>
      <c r="B13265" t="str">
        <f>T("3560 N CHARLES PORTER AVE")</f>
        <v>3560 N CHARLES PORTER AVE</v>
      </c>
      <c r="C13265" t="str">
        <f>T("HANGAR")</f>
        <v>HANGAR</v>
      </c>
      <c r="D13265" t="str">
        <f t="shared" si="4887"/>
        <v>OAK HARBOR</v>
      </c>
      <c r="E13265" t="str">
        <f t="shared" si="4888"/>
        <v>WA</v>
      </c>
      <c r="F13265" t="str">
        <f t="shared" si="4889"/>
        <v>982784908</v>
      </c>
      <c r="G13265" t="str">
        <f>T("3560 NORTH CHARLES PORTER AVENUE")</f>
        <v>3560 NORTH CHARLES PORTER AVENUE</v>
      </c>
      <c r="H13265" t="str">
        <f>T("BLDG 2544 HGR 7 NAS WHIDBEY ISLAND")</f>
        <v>BLDG 2544 HGR 7 NAS WHIDBEY ISLAND</v>
      </c>
      <c r="I13265" t="str">
        <f t="shared" si="4890"/>
        <v>OAK HARBOR</v>
      </c>
      <c r="J13265" t="str">
        <f t="shared" si="4891"/>
        <v>WA</v>
      </c>
      <c r="K13265" t="str">
        <f>T("000000000000000000")</f>
        <v>000000000000000000</v>
      </c>
      <c r="L13265" t="str">
        <f>T("3602574616")</f>
        <v>3602574616</v>
      </c>
    </row>
    <row r="13266" spans="1:12" x14ac:dyDescent="0.35">
      <c r="A13266" t="str">
        <f>T("VP 46")</f>
        <v>VP 46</v>
      </c>
      <c r="B13266" t="str">
        <f>T("3560 N CHARLES PORTER AVE")</f>
        <v>3560 N CHARLES PORTER AVE</v>
      </c>
      <c r="C13266" t="str">
        <f>T("HANGAR")</f>
        <v>HANGAR</v>
      </c>
      <c r="D13266" t="str">
        <f t="shared" si="4887"/>
        <v>OAK HARBOR</v>
      </c>
      <c r="E13266" t="str">
        <f t="shared" si="4888"/>
        <v>WA</v>
      </c>
      <c r="F13266" t="str">
        <f t="shared" si="4889"/>
        <v>982784908</v>
      </c>
      <c r="G13266" t="str">
        <f>T("850 W PROWLER ST")</f>
        <v>850 W PROWLER ST</v>
      </c>
      <c r="H13266" t="str">
        <f>T("UNIT 25453")</f>
        <v>UNIT 25453</v>
      </c>
      <c r="I13266" t="str">
        <f t="shared" si="4890"/>
        <v>OAK HARBOR</v>
      </c>
      <c r="J13266" t="str">
        <f t="shared" si="4891"/>
        <v>WA</v>
      </c>
      <c r="K13266" t="str">
        <f>T("3602574616")</f>
        <v>3602574616</v>
      </c>
      <c r="L13266" t="str">
        <f>T("3602572235")</f>
        <v>3602572235</v>
      </c>
    </row>
    <row r="13267" spans="1:12" x14ac:dyDescent="0.35">
      <c r="A13267" t="str">
        <f>T("VFA-25")</f>
        <v>VFA-25</v>
      </c>
      <c r="B13267" t="str">
        <f>T("VFA 25 HANGAR 2 MOD 2")</f>
        <v>VFA 25 HANGAR 2 MOD 2</v>
      </c>
      <c r="C13267" t="str">
        <f>T("240 REEVES BLVD UNIT 25")</f>
        <v>240 REEVES BLVD UNIT 25</v>
      </c>
      <c r="D13267" t="str">
        <f>T("LEMOORE")</f>
        <v>LEMOORE</v>
      </c>
      <c r="E13267" t="str">
        <f>T("CA")</f>
        <v>CA</v>
      </c>
      <c r="F13267" t="str">
        <f>T("932467204")</f>
        <v>932467204</v>
      </c>
      <c r="G13267" t="str">
        <f>T("VFA 25 HANGAR 2 MOD 2")</f>
        <v>VFA 25 HANGAR 2 MOD 2</v>
      </c>
      <c r="H13267" t="str">
        <f>T("240 REEVES BLVD UNIT 25")</f>
        <v>240 REEVES BLVD UNIT 25</v>
      </c>
      <c r="I13267" t="str">
        <f>T("LEMOORE")</f>
        <v>LEMOORE</v>
      </c>
      <c r="J13267" t="str">
        <f>T("CA")</f>
        <v>CA</v>
      </c>
      <c r="K13267" t="str">
        <f>T("5599981923")</f>
        <v>5599981923</v>
      </c>
      <c r="L13267" t="str">
        <f>T("5599981900")</f>
        <v>5599981900</v>
      </c>
    </row>
    <row r="13268" spans="1:12" x14ac:dyDescent="0.35">
      <c r="A13268" t="str">
        <f>T("VFA-25")</f>
        <v>VFA-25</v>
      </c>
      <c r="B13268" t="str">
        <f>T("VFA 25 HANGAR 2 MOD 2")</f>
        <v>VFA 25 HANGAR 2 MOD 2</v>
      </c>
      <c r="C13268" t="str">
        <f>T("240 REEVES BLVD UNIT 25")</f>
        <v>240 REEVES BLVD UNIT 25</v>
      </c>
      <c r="D13268" t="str">
        <f>T("LEMOORE")</f>
        <v>LEMOORE</v>
      </c>
      <c r="E13268" t="str">
        <f>T("CA")</f>
        <v>CA</v>
      </c>
      <c r="F13268" t="str">
        <f>T("932467204")</f>
        <v>932467204</v>
      </c>
      <c r="G13268" t="str">
        <f>T("VFA-25 HGR 2 MOD 2")</f>
        <v>VFA-25 HGR 2 MOD 2</v>
      </c>
      <c r="H13268" t="str">
        <f>T("240 REEVES BLVD UNIT 25")</f>
        <v>240 REEVES BLVD UNIT 25</v>
      </c>
      <c r="I13268" t="str">
        <f>T("LEMOORE")</f>
        <v>LEMOORE</v>
      </c>
      <c r="J13268" t="str">
        <f>T("CA")</f>
        <v>CA</v>
      </c>
      <c r="K13268" t="str">
        <f>T("5599981923")</f>
        <v>5599981923</v>
      </c>
      <c r="L13268" t="str">
        <f>T("5599981900")</f>
        <v>5599981900</v>
      </c>
    </row>
    <row r="13269" spans="1:12" x14ac:dyDescent="0.35">
      <c r="A13269" t="str">
        <f>T("VP 9")</f>
        <v>VP 9</v>
      </c>
      <c r="B13269" t="str">
        <f>T("VP-9 HANGAR 104")</f>
        <v>VP-9 HANGAR 104</v>
      </c>
      <c r="C13269" t="str">
        <f>T("")</f>
        <v/>
      </c>
      <c r="D13269" t="str">
        <f>T("KANEOHE BAY")</f>
        <v>KANEOHE BAY</v>
      </c>
      <c r="E13269" t="str">
        <f>T("HI")</f>
        <v>HI</v>
      </c>
      <c r="F13269" t="str">
        <f>T("968630000")</f>
        <v>968630000</v>
      </c>
      <c r="G13269" t="str">
        <f>T("ASD ATTN LS2 DONATO")</f>
        <v>ASD ATTN LS2 DONATO</v>
      </c>
      <c r="H13269" t="str">
        <f>T("HANGER 1000 NAS")</f>
        <v>HANGER 1000 NAS</v>
      </c>
      <c r="I13269" t="str">
        <f>T("JACKSONVILLE")</f>
        <v>JACKSONVILLE</v>
      </c>
      <c r="J13269" t="str">
        <f>T("FL")</f>
        <v>FL</v>
      </c>
      <c r="K13269" t="str">
        <f>T("000000000000000000")</f>
        <v>000000000000000000</v>
      </c>
      <c r="L13269" t="str">
        <f>T("8082570612")</f>
        <v>8082570612</v>
      </c>
    </row>
    <row r="13270" spans="1:12" x14ac:dyDescent="0.35">
      <c r="A13270" t="str">
        <f>T("VP 9")</f>
        <v>VP 9</v>
      </c>
      <c r="B13270" t="str">
        <f>T("VP-9 HANGAR 104")</f>
        <v>VP-9 HANGAR 104</v>
      </c>
      <c r="C13270" t="str">
        <f>T("")</f>
        <v/>
      </c>
      <c r="D13270" t="str">
        <f>T("KANEOHE BAY")</f>
        <v>KANEOHE BAY</v>
      </c>
      <c r="E13270" t="str">
        <f>T("HI")</f>
        <v>HI</v>
      </c>
      <c r="F13270" t="str">
        <f>T("968630000")</f>
        <v>968630000</v>
      </c>
      <c r="G13270" t="str">
        <f>T("HANGAR 104 MCBH")</f>
        <v>HANGAR 104 MCBH</v>
      </c>
      <c r="H13270" t="str">
        <f>T("")</f>
        <v/>
      </c>
      <c r="I13270" t="str">
        <f>T("KANEOHE")</f>
        <v>KANEOHE</v>
      </c>
      <c r="J13270" t="str">
        <f>T("HI")</f>
        <v>HI</v>
      </c>
      <c r="K13270" t="str">
        <f>T("000000000000000000")</f>
        <v>000000000000000000</v>
      </c>
      <c r="L13270" t="str">
        <f>T("8082570612")</f>
        <v>8082570612</v>
      </c>
    </row>
    <row r="13271" spans="1:12" x14ac:dyDescent="0.35">
      <c r="A13271" t="str">
        <f>T("VP 9")</f>
        <v>VP 9</v>
      </c>
      <c r="B13271" t="str">
        <f>T("VP-9 HANGAR 104")</f>
        <v>VP-9 HANGAR 104</v>
      </c>
      <c r="C13271" t="str">
        <f>T("")</f>
        <v/>
      </c>
      <c r="D13271" t="str">
        <f>T("KANEOHE BAY")</f>
        <v>KANEOHE BAY</v>
      </c>
      <c r="E13271" t="str">
        <f>T("HI")</f>
        <v>HI</v>
      </c>
      <c r="F13271" t="str">
        <f>T("968630000")</f>
        <v>968630000</v>
      </c>
      <c r="G13271" t="str">
        <f>T("HANGAR 104 MCBH")</f>
        <v>HANGAR 104 MCBH</v>
      </c>
      <c r="H13271" t="str">
        <f>T("")</f>
        <v/>
      </c>
      <c r="I13271" t="str">
        <f>T("KANEOHE BAY")</f>
        <v>KANEOHE BAY</v>
      </c>
      <c r="J13271" t="str">
        <f>T("HI")</f>
        <v>HI</v>
      </c>
      <c r="K13271" t="str">
        <f>T("000000000000000000")</f>
        <v>000000000000000000</v>
      </c>
      <c r="L13271" t="str">
        <f>T("8082570612")</f>
        <v>8082570612</v>
      </c>
    </row>
    <row r="13272" spans="1:12" x14ac:dyDescent="0.35">
      <c r="A13272" t="str">
        <f>T("VP 9")</f>
        <v>VP 9</v>
      </c>
      <c r="B13272" t="str">
        <f>T("VP-9 HANGAR 104")</f>
        <v>VP-9 HANGAR 104</v>
      </c>
      <c r="C13272" t="str">
        <f>T("")</f>
        <v/>
      </c>
      <c r="D13272" t="str">
        <f>T("KANEOHE BAY")</f>
        <v>KANEOHE BAY</v>
      </c>
      <c r="E13272" t="str">
        <f>T("HI")</f>
        <v>HI</v>
      </c>
      <c r="F13272" t="str">
        <f>T("968630000")</f>
        <v>968630000</v>
      </c>
      <c r="G13272" t="str">
        <f>T("VP-9 HANGAR 104")</f>
        <v>VP-9 HANGAR 104</v>
      </c>
      <c r="H13272" t="str">
        <f>T("")</f>
        <v/>
      </c>
      <c r="I13272" t="str">
        <f>T("KANEOHE BAY")</f>
        <v>KANEOHE BAY</v>
      </c>
      <c r="J13272" t="str">
        <f>T("HI")</f>
        <v>HI</v>
      </c>
      <c r="K13272" t="str">
        <f>T("")</f>
        <v/>
      </c>
      <c r="L13272" t="str">
        <f>T("8082570629")</f>
        <v>8082570629</v>
      </c>
    </row>
    <row r="13273" spans="1:12" x14ac:dyDescent="0.35">
      <c r="A13273" t="str">
        <f>T("VP-40")</f>
        <v>VP-40</v>
      </c>
      <c r="B13273" t="str">
        <f>T("3560 N CHARLES PORTER AVE")</f>
        <v>3560 N CHARLES PORTER AVE</v>
      </c>
      <c r="C13273" t="str">
        <f>T("NAS WHIDBEY ISLAND")</f>
        <v>NAS WHIDBEY ISLAND</v>
      </c>
      <c r="D13273" t="str">
        <f>T("OAK HARBOR")</f>
        <v>OAK HARBOR</v>
      </c>
      <c r="E13273" t="str">
        <f>T("WA")</f>
        <v>WA</v>
      </c>
      <c r="F13273" t="str">
        <f>T("982784908")</f>
        <v>982784908</v>
      </c>
      <c r="G13273" t="str">
        <f>T("3560 N CHARLES PORTER AVE")</f>
        <v>3560 N CHARLES PORTER AVE</v>
      </c>
      <c r="H13273" t="str">
        <f>T("NAS WHIDBEY ISLAND")</f>
        <v>NAS WHIDBEY ISLAND</v>
      </c>
      <c r="I13273" t="str">
        <f>T("OAK HARBOR")</f>
        <v>OAK HARBOR</v>
      </c>
      <c r="J13273" t="str">
        <f>T("WA")</f>
        <v>WA</v>
      </c>
      <c r="K13273" t="str">
        <f>T("3602574393")</f>
        <v>3602574393</v>
      </c>
      <c r="L13273" t="str">
        <f>T("3602574337")</f>
        <v>3602574337</v>
      </c>
    </row>
    <row r="13274" spans="1:12" x14ac:dyDescent="0.35">
      <c r="A13274" t="str">
        <f>T("VP-40")</f>
        <v>VP-40</v>
      </c>
      <c r="B13274" t="str">
        <f>T("3560 N CHARLES PORTER AVE")</f>
        <v>3560 N CHARLES PORTER AVE</v>
      </c>
      <c r="C13274" t="str">
        <f>T("NAS WHIDBEY ISLAND")</f>
        <v>NAS WHIDBEY ISLAND</v>
      </c>
      <c r="D13274" t="str">
        <f>T("OAK HARBOR")</f>
        <v>OAK HARBOR</v>
      </c>
      <c r="E13274" t="str">
        <f>T("WA")</f>
        <v>WA</v>
      </c>
      <c r="F13274" t="str">
        <f>T("982784908")</f>
        <v>982784908</v>
      </c>
      <c r="G13274" t="str">
        <f>T("3560 N CHARLES PORTER AVE")</f>
        <v>3560 N CHARLES PORTER AVE</v>
      </c>
      <c r="H13274" t="str">
        <f>T("VP-40")</f>
        <v>VP-40</v>
      </c>
      <c r="I13274" t="str">
        <f>T("OAK HARBOR")</f>
        <v>OAK HARBOR</v>
      </c>
      <c r="J13274" t="str">
        <f>T("WA")</f>
        <v>WA</v>
      </c>
      <c r="K13274" t="str">
        <f>T("000000000000000000")</f>
        <v>000000000000000000</v>
      </c>
      <c r="L13274" t="str">
        <f>T("3602575314")</f>
        <v>3602575314</v>
      </c>
    </row>
    <row r="13275" spans="1:12" x14ac:dyDescent="0.35">
      <c r="A13275" t="str">
        <f>T("VP-40")</f>
        <v>VP-40</v>
      </c>
      <c r="B13275" t="str">
        <f>T("3560 N CHARLES PORTER AVE")</f>
        <v>3560 N CHARLES PORTER AVE</v>
      </c>
      <c r="C13275" t="str">
        <f>T("NAS WHIDBEY ISLAND")</f>
        <v>NAS WHIDBEY ISLAND</v>
      </c>
      <c r="D13275" t="str">
        <f>T("OAK HARBOR")</f>
        <v>OAK HARBOR</v>
      </c>
      <c r="E13275" t="str">
        <f>T("WA")</f>
        <v>WA</v>
      </c>
      <c r="F13275" t="str">
        <f>T("982784908")</f>
        <v>982784908</v>
      </c>
      <c r="G13275" t="str">
        <f>T("VP 40 3560 N CHARLES PORTER AVE")</f>
        <v>VP 40 3560 N CHARLES PORTER AVE</v>
      </c>
      <c r="H13275" t="str">
        <f>T("")</f>
        <v/>
      </c>
      <c r="I13275" t="str">
        <f>T("OAK HARBOR")</f>
        <v>OAK HARBOR</v>
      </c>
      <c r="J13275" t="str">
        <f>T("WA")</f>
        <v>WA</v>
      </c>
      <c r="K13275" t="str">
        <f>T("000000000000000000")</f>
        <v>000000000000000000</v>
      </c>
      <c r="L13275" t="str">
        <f>T("3602575314")</f>
        <v>3602575314</v>
      </c>
    </row>
    <row r="13276" spans="1:12" x14ac:dyDescent="0.35">
      <c r="A13276" t="str">
        <f>T("VP-40")</f>
        <v>VP-40</v>
      </c>
      <c r="B13276" t="str">
        <f>T("3560 N CHARLES PORTER AVE")</f>
        <v>3560 N CHARLES PORTER AVE</v>
      </c>
      <c r="C13276" t="str">
        <f>T("NAS WHIDBEY ISLAND")</f>
        <v>NAS WHIDBEY ISLAND</v>
      </c>
      <c r="D13276" t="str">
        <f>T("OAK HARBOR")</f>
        <v>OAK HARBOR</v>
      </c>
      <c r="E13276" t="str">
        <f>T("WA")</f>
        <v>WA</v>
      </c>
      <c r="F13276" t="str">
        <f>T("982784908")</f>
        <v>982784908</v>
      </c>
      <c r="G13276" t="str">
        <f>T("VP-40 3560 N CHARLES PORTER AVE")</f>
        <v>VP-40 3560 N CHARLES PORTER AVE</v>
      </c>
      <c r="H13276" t="str">
        <f>T("")</f>
        <v/>
      </c>
      <c r="I13276" t="str">
        <f>T("OAK HARBOR")</f>
        <v>OAK HARBOR</v>
      </c>
      <c r="J13276" t="str">
        <f>T("WA")</f>
        <v>WA</v>
      </c>
      <c r="K13276" t="str">
        <f>T("000000000000000000")</f>
        <v>000000000000000000</v>
      </c>
      <c r="L13276" t="str">
        <f>T("3602575749")</f>
        <v>3602575749</v>
      </c>
    </row>
    <row r="13277" spans="1:12" x14ac:dyDescent="0.35">
      <c r="A13277" t="str">
        <f>T("VFA-154")</f>
        <v>VFA-154</v>
      </c>
      <c r="B13277" t="str">
        <f>T("300 REEVES BLVD")</f>
        <v>300 REEVES BLVD</v>
      </c>
      <c r="C13277" t="str">
        <f>T("HGR 4 MOD 2")</f>
        <v>HGR 4 MOD 2</v>
      </c>
      <c r="D13277" t="str">
        <f>T("LEMOORE")</f>
        <v>LEMOORE</v>
      </c>
      <c r="E13277" t="str">
        <f>T("CA")</f>
        <v>CA</v>
      </c>
      <c r="F13277" t="str">
        <f>T("932460001")</f>
        <v>932460001</v>
      </c>
      <c r="G13277" t="str">
        <f>T("300 REEVES BLVD")</f>
        <v>300 REEVES BLVD</v>
      </c>
      <c r="H13277" t="str">
        <f>T("HGR 4 MOD 2")</f>
        <v>HGR 4 MOD 2</v>
      </c>
      <c r="I13277" t="str">
        <f>T("LEMOORE")</f>
        <v>LEMOORE</v>
      </c>
      <c r="J13277" t="str">
        <f>T("CA")</f>
        <v>CA</v>
      </c>
      <c r="K13277" t="str">
        <f>T("5599980664")</f>
        <v>5599980664</v>
      </c>
      <c r="L13277" t="str">
        <f>T("5599980663")</f>
        <v>5599980663</v>
      </c>
    </row>
    <row r="13278" spans="1:12" x14ac:dyDescent="0.35">
      <c r="A13278" t="str">
        <f>T("VFA-154")</f>
        <v>VFA-154</v>
      </c>
      <c r="B13278" t="str">
        <f>T("300 REEVES BLVD")</f>
        <v>300 REEVES BLVD</v>
      </c>
      <c r="C13278" t="str">
        <f>T("HGR 4 MOD 2")</f>
        <v>HGR 4 MOD 2</v>
      </c>
      <c r="D13278" t="str">
        <f>T("LEMOORE")</f>
        <v>LEMOORE</v>
      </c>
      <c r="E13278" t="str">
        <f>T("CA")</f>
        <v>CA</v>
      </c>
      <c r="F13278" t="str">
        <f>T("932460001")</f>
        <v>932460001</v>
      </c>
      <c r="G13278" t="str">
        <f>T("BLDG 030 SKYTRAIN AVE")</f>
        <v>BLDG 030 SKYTRAIN AVE</v>
      </c>
      <c r="H13278" t="str">
        <f>T("")</f>
        <v/>
      </c>
      <c r="I13278" t="str">
        <f>T("NAS LEMOORE")</f>
        <v>NAS LEMOORE</v>
      </c>
      <c r="J13278" t="str">
        <f>T("CA")</f>
        <v>CA</v>
      </c>
      <c r="K13278" t="str">
        <f>T("5599980608")</f>
        <v>5599980608</v>
      </c>
      <c r="L13278" t="str">
        <f>T("5599980663")</f>
        <v>5599980663</v>
      </c>
    </row>
    <row r="13279" spans="1:12" x14ac:dyDescent="0.35">
      <c r="A13279" t="str">
        <f>T("VFA-154")</f>
        <v>VFA-154</v>
      </c>
      <c r="B13279" t="str">
        <f>T("300 REEVES BLVD")</f>
        <v>300 REEVES BLVD</v>
      </c>
      <c r="C13279" t="str">
        <f>T("HGR 4 MOD 2")</f>
        <v>HGR 4 MOD 2</v>
      </c>
      <c r="D13279" t="str">
        <f>T("LEMOORE")</f>
        <v>LEMOORE</v>
      </c>
      <c r="E13279" t="str">
        <f>T("CA")</f>
        <v>CA</v>
      </c>
      <c r="F13279" t="str">
        <f>T("932460001")</f>
        <v>932460001</v>
      </c>
      <c r="G13279" t="str">
        <f>T("BLDG 300 REEVES BLVD")</f>
        <v>BLDG 300 REEVES BLVD</v>
      </c>
      <c r="H13279" t="str">
        <f>T("HANGAR 4 MOD 2")</f>
        <v>HANGAR 4 MOD 2</v>
      </c>
      <c r="I13279" t="str">
        <f>T("NAS LEMOORE")</f>
        <v>NAS LEMOORE</v>
      </c>
      <c r="J13279" t="str">
        <f>T("CA")</f>
        <v>CA</v>
      </c>
      <c r="K13279" t="str">
        <f>T("5599980608")</f>
        <v>5599980608</v>
      </c>
      <c r="L13279" t="str">
        <f>T("5599980663")</f>
        <v>5599980663</v>
      </c>
    </row>
    <row r="13280" spans="1:12" x14ac:dyDescent="0.35">
      <c r="A13280" t="str">
        <f>T("VFA-154")</f>
        <v>VFA-154</v>
      </c>
      <c r="B13280" t="str">
        <f>T("300 REEVES BLVD")</f>
        <v>300 REEVES BLVD</v>
      </c>
      <c r="C13280" t="str">
        <f>T("HGR 4 MOD 2")</f>
        <v>HGR 4 MOD 2</v>
      </c>
      <c r="D13280" t="str">
        <f>T("LEMOORE")</f>
        <v>LEMOORE</v>
      </c>
      <c r="E13280" t="str">
        <f>T("CA")</f>
        <v>CA</v>
      </c>
      <c r="F13280" t="str">
        <f>T("932460001")</f>
        <v>932460001</v>
      </c>
      <c r="G13280" t="str">
        <f>T("VFA-154 HANGAR 4 MOD 2")</f>
        <v>VFA-154 HANGAR 4 MOD 2</v>
      </c>
      <c r="H13280" t="str">
        <f>T("300 REEVES BLVD")</f>
        <v>300 REEVES BLVD</v>
      </c>
      <c r="I13280" t="str">
        <f>T("LEMOORE")</f>
        <v>LEMOORE</v>
      </c>
      <c r="J13280" t="str">
        <f>T("CA")</f>
        <v>CA</v>
      </c>
      <c r="K13280" t="str">
        <f>T("000000000000000000")</f>
        <v>000000000000000000</v>
      </c>
      <c r="L13280" t="str">
        <f>T("5599980663")</f>
        <v>5599980663</v>
      </c>
    </row>
    <row r="13281" spans="1:12" x14ac:dyDescent="0.35">
      <c r="A13281" t="str">
        <f t="shared" ref="A13281:B13283" si="4892">T("VFA-195")</f>
        <v>VFA-195</v>
      </c>
      <c r="B13281" t="str">
        <f t="shared" si="4892"/>
        <v>VFA-195</v>
      </c>
      <c r="C13281" t="str">
        <f>T("UNIT 25443")</f>
        <v>UNIT 25443</v>
      </c>
      <c r="D13281" t="str">
        <f t="shared" ref="D13281:D13291" si="4893">T("FPO")</f>
        <v>FPO</v>
      </c>
      <c r="E13281" t="str">
        <f t="shared" ref="E13281:E13291" si="4894">T("AP")</f>
        <v>AP</v>
      </c>
      <c r="F13281" t="str">
        <f>T("966016237")</f>
        <v>966016237</v>
      </c>
      <c r="G13281" t="str">
        <f>T("UNIT 200140 BOX 1")</f>
        <v>UNIT 200140 BOX 1</v>
      </c>
      <c r="H13281" t="str">
        <f>T("")</f>
        <v/>
      </c>
      <c r="I13281" t="str">
        <f t="shared" ref="I13281:I13291" si="4895">T("FPO")</f>
        <v>FPO</v>
      </c>
      <c r="J13281" t="str">
        <f t="shared" ref="J13281:J13291" si="4896">T("AP")</f>
        <v>AP</v>
      </c>
      <c r="K13281" t="str">
        <f>T("01181487833282")</f>
        <v>01181487833282</v>
      </c>
      <c r="L13281" t="str">
        <f>T("1111111111")</f>
        <v>1111111111</v>
      </c>
    </row>
    <row r="13282" spans="1:12" x14ac:dyDescent="0.35">
      <c r="A13282" t="str">
        <f t="shared" si="4892"/>
        <v>VFA-195</v>
      </c>
      <c r="B13282" t="str">
        <f t="shared" si="4892"/>
        <v>VFA-195</v>
      </c>
      <c r="C13282" t="str">
        <f>T("UNIT 25443")</f>
        <v>UNIT 25443</v>
      </c>
      <c r="D13282" t="str">
        <f t="shared" si="4893"/>
        <v>FPO</v>
      </c>
      <c r="E13282" t="str">
        <f t="shared" si="4894"/>
        <v>AP</v>
      </c>
      <c r="F13282" t="str">
        <f>T("966016237")</f>
        <v>966016237</v>
      </c>
      <c r="G13282" t="str">
        <f>T("VFA-195")</f>
        <v>VFA-195</v>
      </c>
      <c r="H13282" t="str">
        <f>T("UNIT 200140 BOX")</f>
        <v>UNIT 200140 BOX</v>
      </c>
      <c r="I13282" t="str">
        <f t="shared" si="4895"/>
        <v>FPO</v>
      </c>
      <c r="J13282" t="str">
        <f t="shared" si="4896"/>
        <v>AP</v>
      </c>
      <c r="K13282" t="str">
        <f>T("81467634616")</f>
        <v>81467634616</v>
      </c>
      <c r="L13282" t="str">
        <f>T("1111111111")</f>
        <v>1111111111</v>
      </c>
    </row>
    <row r="13283" spans="1:12" x14ac:dyDescent="0.35">
      <c r="A13283" t="str">
        <f t="shared" si="4892"/>
        <v>VFA-195</v>
      </c>
      <c r="B13283" t="str">
        <f t="shared" si="4892"/>
        <v>VFA-195</v>
      </c>
      <c r="C13283" t="str">
        <f>T("UNIT 25443")</f>
        <v>UNIT 25443</v>
      </c>
      <c r="D13283" t="str">
        <f t="shared" si="4893"/>
        <v>FPO</v>
      </c>
      <c r="E13283" t="str">
        <f t="shared" si="4894"/>
        <v>AP</v>
      </c>
      <c r="F13283" t="str">
        <f>T("966016237")</f>
        <v>966016237</v>
      </c>
      <c r="G13283" t="str">
        <f>T("VFA-195")</f>
        <v>VFA-195</v>
      </c>
      <c r="H13283" t="str">
        <f>T("UNIT 25443")</f>
        <v>UNIT 25443</v>
      </c>
      <c r="I13283" t="str">
        <f t="shared" si="4895"/>
        <v>FPO</v>
      </c>
      <c r="J13283" t="str">
        <f t="shared" si="4896"/>
        <v>AP</v>
      </c>
      <c r="K13283" t="str">
        <f>T("01181467634610")</f>
        <v>01181467634610</v>
      </c>
      <c r="L13283" t="str">
        <f>T("1111111111")</f>
        <v>1111111111</v>
      </c>
    </row>
    <row r="13284" spans="1:12" x14ac:dyDescent="0.35">
      <c r="A13284" t="str">
        <f t="shared" ref="A13284:B13288" si="4897">T("VFA 102")</f>
        <v>VFA 102</v>
      </c>
      <c r="B13284" t="str">
        <f t="shared" si="4897"/>
        <v>VFA 102</v>
      </c>
      <c r="C13284" t="str">
        <f>T("UNIT 200139 BOX 1")</f>
        <v>UNIT 200139 BOX 1</v>
      </c>
      <c r="D13284" t="str">
        <f t="shared" si="4893"/>
        <v>FPO</v>
      </c>
      <c r="E13284" t="str">
        <f t="shared" si="4894"/>
        <v>AP</v>
      </c>
      <c r="F13284" t="str">
        <f>T("966013900")</f>
        <v>966013900</v>
      </c>
      <c r="G13284" t="str">
        <f>T("SUPPLY DEPARTMENT")</f>
        <v>SUPPLY DEPARTMENT</v>
      </c>
      <c r="H13284" t="str">
        <f>T("VFA 102 UNIT 200139 BOX 1")</f>
        <v>VFA 102 UNIT 200139 BOX 1</v>
      </c>
      <c r="I13284" t="str">
        <f t="shared" si="4895"/>
        <v>FPO</v>
      </c>
      <c r="J13284" t="str">
        <f t="shared" si="4896"/>
        <v>AP</v>
      </c>
      <c r="K13284" t="str">
        <f>T("0113152644940")</f>
        <v>0113152644940</v>
      </c>
      <c r="L13284" t="str">
        <f>T("1111111111")</f>
        <v>1111111111</v>
      </c>
    </row>
    <row r="13285" spans="1:12" x14ac:dyDescent="0.35">
      <c r="A13285" t="str">
        <f t="shared" si="4897"/>
        <v>VFA 102</v>
      </c>
      <c r="B13285" t="str">
        <f t="shared" si="4897"/>
        <v>VFA 102</v>
      </c>
      <c r="C13285" t="str">
        <f>T("UNIT 200139 BOX 1")</f>
        <v>UNIT 200139 BOX 1</v>
      </c>
      <c r="D13285" t="str">
        <f t="shared" si="4893"/>
        <v>FPO</v>
      </c>
      <c r="E13285" t="str">
        <f t="shared" si="4894"/>
        <v>AP</v>
      </c>
      <c r="F13285" t="str">
        <f>T("966013900")</f>
        <v>966013900</v>
      </c>
      <c r="G13285" t="str">
        <f>T("UNIT 200139 BOX 1")</f>
        <v>UNIT 200139 BOX 1</v>
      </c>
      <c r="H13285" t="str">
        <f>T("VFA-102")</f>
        <v>VFA-102</v>
      </c>
      <c r="I13285" t="str">
        <f t="shared" si="4895"/>
        <v>FPO</v>
      </c>
      <c r="J13285" t="str">
        <f t="shared" si="4896"/>
        <v>AP</v>
      </c>
      <c r="K13285" t="str">
        <f>T("000000000000000000")</f>
        <v>000000000000000000</v>
      </c>
      <c r="L13285" t="str">
        <f>T("8146733649")</f>
        <v>8146733649</v>
      </c>
    </row>
    <row r="13286" spans="1:12" x14ac:dyDescent="0.35">
      <c r="A13286" t="str">
        <f t="shared" si="4897"/>
        <v>VFA 102</v>
      </c>
      <c r="B13286" t="str">
        <f t="shared" si="4897"/>
        <v>VFA 102</v>
      </c>
      <c r="C13286" t="str">
        <f>T("UNIT 200139 BOX 1")</f>
        <v>UNIT 200139 BOX 1</v>
      </c>
      <c r="D13286" t="str">
        <f t="shared" si="4893"/>
        <v>FPO</v>
      </c>
      <c r="E13286" t="str">
        <f t="shared" si="4894"/>
        <v>AP</v>
      </c>
      <c r="F13286" t="str">
        <f>T("966013900")</f>
        <v>966013900</v>
      </c>
      <c r="G13286" t="str">
        <f>T("VFA 102")</f>
        <v>VFA 102</v>
      </c>
      <c r="H13286" t="str">
        <f>T("UNIT 200139 BOX 1")</f>
        <v>UNIT 200139 BOX 1</v>
      </c>
      <c r="I13286" t="str">
        <f t="shared" si="4895"/>
        <v>FPO</v>
      </c>
      <c r="J13286" t="str">
        <f t="shared" si="4896"/>
        <v>AP</v>
      </c>
      <c r="K13286" t="str">
        <f>T("01181467634935")</f>
        <v>01181467634935</v>
      </c>
      <c r="L13286" t="str">
        <f>T("1111111111")</f>
        <v>1111111111</v>
      </c>
    </row>
    <row r="13287" spans="1:12" x14ac:dyDescent="0.35">
      <c r="A13287" t="str">
        <f t="shared" si="4897"/>
        <v>VFA 102</v>
      </c>
      <c r="B13287" t="str">
        <f t="shared" si="4897"/>
        <v>VFA 102</v>
      </c>
      <c r="C13287" t="str">
        <f>T("UNIT 200139 BOX 1")</f>
        <v>UNIT 200139 BOX 1</v>
      </c>
      <c r="D13287" t="str">
        <f t="shared" si="4893"/>
        <v>FPO</v>
      </c>
      <c r="E13287" t="str">
        <f t="shared" si="4894"/>
        <v>AP</v>
      </c>
      <c r="F13287" t="str">
        <f>T("966013900")</f>
        <v>966013900</v>
      </c>
      <c r="G13287" t="str">
        <f>T("VFA 102 UNIT 200139 BOX 1")</f>
        <v>VFA 102 UNIT 200139 BOX 1</v>
      </c>
      <c r="H13287" t="str">
        <f>T("")</f>
        <v/>
      </c>
      <c r="I13287" t="str">
        <f t="shared" si="4895"/>
        <v>FPO</v>
      </c>
      <c r="J13287" t="str">
        <f t="shared" si="4896"/>
        <v>AP</v>
      </c>
      <c r="K13287" t="str">
        <f>T("81467634102")</f>
        <v>81467634102</v>
      </c>
      <c r="L13287" t="str">
        <f>T("1111111111")</f>
        <v>1111111111</v>
      </c>
    </row>
    <row r="13288" spans="1:12" x14ac:dyDescent="0.35">
      <c r="A13288" t="str">
        <f t="shared" si="4897"/>
        <v>VFA 102</v>
      </c>
      <c r="B13288" t="str">
        <f t="shared" si="4897"/>
        <v>VFA 102</v>
      </c>
      <c r="C13288" t="str">
        <f>T("UNIT 200139 BOX 1")</f>
        <v>UNIT 200139 BOX 1</v>
      </c>
      <c r="D13288" t="str">
        <f t="shared" si="4893"/>
        <v>FPO</v>
      </c>
      <c r="E13288" t="str">
        <f t="shared" si="4894"/>
        <v>AP</v>
      </c>
      <c r="F13288" t="str">
        <f>T("966013900")</f>
        <v>966013900</v>
      </c>
      <c r="G13288" t="str">
        <f>T("VFA-102 UNIT 200139 BOX 1")</f>
        <v>VFA-102 UNIT 200139 BOX 1</v>
      </c>
      <c r="H13288" t="str">
        <f>T("")</f>
        <v/>
      </c>
      <c r="I13288" t="str">
        <f t="shared" si="4895"/>
        <v>FPO</v>
      </c>
      <c r="J13288" t="str">
        <f t="shared" si="4896"/>
        <v>AP</v>
      </c>
      <c r="K13288" t="str">
        <f>T("81467634102")</f>
        <v>81467634102</v>
      </c>
      <c r="L13288" t="str">
        <f>T("1111111111")</f>
        <v>1111111111</v>
      </c>
    </row>
    <row r="13289" spans="1:12" x14ac:dyDescent="0.35">
      <c r="A13289" t="str">
        <f>T("CARRIER AIR WING 5")</f>
        <v>CARRIER AIR WING 5</v>
      </c>
      <c r="B13289" t="str">
        <f>T("COMMANDER/ CVW5 UNIT 200136 BOX 1")</f>
        <v>COMMANDER/ CVW5 UNIT 200136 BOX 1</v>
      </c>
      <c r="C13289" t="str">
        <f>T("")</f>
        <v/>
      </c>
      <c r="D13289" t="str">
        <f t="shared" si="4893"/>
        <v>FPO</v>
      </c>
      <c r="E13289" t="str">
        <f t="shared" si="4894"/>
        <v>AP</v>
      </c>
      <c r="F13289" t="str">
        <f>T("966013600")</f>
        <v>966013600</v>
      </c>
      <c r="G13289" t="str">
        <f>T("COMMANDER/ CVW5 UNIT 200136 BOX 1")</f>
        <v>COMMANDER/ CVW5 UNIT 200136 BOX 1</v>
      </c>
      <c r="H13289" t="str">
        <f>T("")</f>
        <v/>
      </c>
      <c r="I13289" t="str">
        <f t="shared" si="4895"/>
        <v>FPO</v>
      </c>
      <c r="J13289" t="str">
        <f t="shared" si="4896"/>
        <v>AP</v>
      </c>
      <c r="K13289" t="str">
        <f>T("")</f>
        <v/>
      </c>
      <c r="L13289" t="str">
        <f>T("3152644304")</f>
        <v>3152644304</v>
      </c>
    </row>
    <row r="13290" spans="1:12" x14ac:dyDescent="0.35">
      <c r="A13290" t="str">
        <f>T("CARRIER AIR WING 5")</f>
        <v>CARRIER AIR WING 5</v>
      </c>
      <c r="B13290" t="str">
        <f>T("COMMANDER/ CVW5 UNIT 200136 BOX 1")</f>
        <v>COMMANDER/ CVW5 UNIT 200136 BOX 1</v>
      </c>
      <c r="C13290" t="str">
        <f>T("")</f>
        <v/>
      </c>
      <c r="D13290" t="str">
        <f t="shared" si="4893"/>
        <v>FPO</v>
      </c>
      <c r="E13290" t="str">
        <f t="shared" si="4894"/>
        <v>AP</v>
      </c>
      <c r="F13290" t="str">
        <f>T("966013600")</f>
        <v>966013600</v>
      </c>
      <c r="G13290" t="str">
        <f>T("CVW5 / UNIT 200136 BOX 1")</f>
        <v>CVW5 / UNIT 200136 BOX 1</v>
      </c>
      <c r="H13290" t="str">
        <f>T("")</f>
        <v/>
      </c>
      <c r="I13290" t="str">
        <f t="shared" si="4895"/>
        <v>FPO</v>
      </c>
      <c r="J13290" t="str">
        <f t="shared" si="4896"/>
        <v>AP</v>
      </c>
      <c r="K13290" t="str">
        <f>T("01181467634304")</f>
        <v>01181467634304</v>
      </c>
      <c r="L13290" t="str">
        <f>T("1111111111")</f>
        <v>1111111111</v>
      </c>
    </row>
    <row r="13291" spans="1:12" x14ac:dyDescent="0.35">
      <c r="A13291" t="str">
        <f>T("CARRIER AIR WING 5")</f>
        <v>CARRIER AIR WING 5</v>
      </c>
      <c r="B13291" t="str">
        <f>T("COMMANDER/ CVW5 UNIT 200136 BOX 1")</f>
        <v>COMMANDER/ CVW5 UNIT 200136 BOX 1</v>
      </c>
      <c r="C13291" t="str">
        <f>T("")</f>
        <v/>
      </c>
      <c r="D13291" t="str">
        <f t="shared" si="4893"/>
        <v>FPO</v>
      </c>
      <c r="E13291" t="str">
        <f t="shared" si="4894"/>
        <v>AP</v>
      </c>
      <c r="F13291" t="str">
        <f>T("966013600")</f>
        <v>966013600</v>
      </c>
      <c r="G13291" t="str">
        <f>T("CVW5 / UNIT 200136 BOX 1")</f>
        <v>CVW5 / UNIT 200136 BOX 1</v>
      </c>
      <c r="H13291" t="str">
        <f>T("")</f>
        <v/>
      </c>
      <c r="I13291" t="str">
        <f t="shared" si="4895"/>
        <v>FPO</v>
      </c>
      <c r="J13291" t="str">
        <f t="shared" si="4896"/>
        <v>AP</v>
      </c>
      <c r="K13291" t="str">
        <f>T("01181467634304")</f>
        <v>01181467634304</v>
      </c>
      <c r="L13291" t="str">
        <f>T("3152644304")</f>
        <v>3152644304</v>
      </c>
    </row>
    <row r="13292" spans="1:12" x14ac:dyDescent="0.35">
      <c r="A13292" t="str">
        <f>T("VFA 41")</f>
        <v>VFA 41</v>
      </c>
      <c r="B13292" t="str">
        <f>T("300 REEVES BLVD")</f>
        <v>300 REEVES BLVD</v>
      </c>
      <c r="C13292" t="str">
        <f>T("HANGAR 4 MOD 1")</f>
        <v>HANGAR 4 MOD 1</v>
      </c>
      <c r="D13292" t="str">
        <f>T("LEMOORE")</f>
        <v>LEMOORE</v>
      </c>
      <c r="E13292" t="str">
        <f t="shared" ref="E13292:E13301" si="4898">T("CA")</f>
        <v>CA</v>
      </c>
      <c r="F13292" t="str">
        <f>T("932467400")</f>
        <v>932467400</v>
      </c>
      <c r="G13292" t="str">
        <f>T("300 REEVES BLVD")</f>
        <v>300 REEVES BLVD</v>
      </c>
      <c r="H13292" t="str">
        <f>T("HANGAR 4 MOD 1")</f>
        <v>HANGAR 4 MOD 1</v>
      </c>
      <c r="I13292" t="str">
        <f>T("LEMOORE")</f>
        <v>LEMOORE</v>
      </c>
      <c r="J13292" t="str">
        <f t="shared" ref="J13292:J13301" si="4899">T("CA")</f>
        <v>CA</v>
      </c>
      <c r="K13292" t="str">
        <f>T("559-998-0561")</f>
        <v>559-998-0561</v>
      </c>
      <c r="L13292" t="str">
        <f>T("5599980546")</f>
        <v>5599980546</v>
      </c>
    </row>
    <row r="13293" spans="1:12" x14ac:dyDescent="0.35">
      <c r="A13293" t="str">
        <f>T("VFA 41")</f>
        <v>VFA 41</v>
      </c>
      <c r="B13293" t="str">
        <f>T("300 REEVES BLVD")</f>
        <v>300 REEVES BLVD</v>
      </c>
      <c r="C13293" t="str">
        <f>T("HANGAR 4 MOD 1")</f>
        <v>HANGAR 4 MOD 1</v>
      </c>
      <c r="D13293" t="str">
        <f>T("LEMOORE")</f>
        <v>LEMOORE</v>
      </c>
      <c r="E13293" t="str">
        <f t="shared" si="4898"/>
        <v>CA</v>
      </c>
      <c r="F13293" t="str">
        <f>T("932467400")</f>
        <v>932467400</v>
      </c>
      <c r="G13293" t="str">
        <f>T("VFA 41")</f>
        <v>VFA 41</v>
      </c>
      <c r="H13293" t="str">
        <f>T("HANGER 4 MOD1")</f>
        <v>HANGER 4 MOD1</v>
      </c>
      <c r="I13293" t="str">
        <f>T("LEMOORE")</f>
        <v>LEMOORE</v>
      </c>
      <c r="J13293" t="str">
        <f t="shared" si="4899"/>
        <v>CA</v>
      </c>
      <c r="K13293" t="str">
        <f>T("5599980561")</f>
        <v>5599980561</v>
      </c>
      <c r="L13293" t="str">
        <f>T("5599980546")</f>
        <v>5599980546</v>
      </c>
    </row>
    <row r="13294" spans="1:12" x14ac:dyDescent="0.35">
      <c r="A13294" t="str">
        <f>T("VFA 41")</f>
        <v>VFA 41</v>
      </c>
      <c r="B13294" t="str">
        <f>T("300 REEVES BLVD")</f>
        <v>300 REEVES BLVD</v>
      </c>
      <c r="C13294" t="str">
        <f>T("HANGAR 4 MOD 1")</f>
        <v>HANGAR 4 MOD 1</v>
      </c>
      <c r="D13294" t="str">
        <f>T("LEMOORE")</f>
        <v>LEMOORE</v>
      </c>
      <c r="E13294" t="str">
        <f t="shared" si="4898"/>
        <v>CA</v>
      </c>
      <c r="F13294" t="str">
        <f>T("932467400")</f>
        <v>932467400</v>
      </c>
      <c r="G13294" t="str">
        <f>T("VFA-41")</f>
        <v>VFA-41</v>
      </c>
      <c r="H13294" t="str">
        <f>T("300 REEVES BLVD, HANGAR 4 MOD 1")</f>
        <v>300 REEVES BLVD, HANGAR 4 MOD 1</v>
      </c>
      <c r="I13294" t="str">
        <f>T("LEMOORE")</f>
        <v>LEMOORE</v>
      </c>
      <c r="J13294" t="str">
        <f t="shared" si="4899"/>
        <v>CA</v>
      </c>
      <c r="K13294" t="str">
        <f>T("5599980559")</f>
        <v>5599980559</v>
      </c>
      <c r="L13294" t="str">
        <f>T("5599980559")</f>
        <v>5599980559</v>
      </c>
    </row>
    <row r="13295" spans="1:12" x14ac:dyDescent="0.35">
      <c r="A13295" t="str">
        <f>T("HSC 3")</f>
        <v>HSC 3</v>
      </c>
      <c r="B13295" t="str">
        <f>T("HSC-3 NASNI")</f>
        <v>HSC-3 NASNI</v>
      </c>
      <c r="C13295" t="str">
        <f>T("BLDG 346 RM 113")</f>
        <v>BLDG 346 RM 113</v>
      </c>
      <c r="D13295" t="str">
        <f t="shared" ref="D13295:D13301" si="4900">T("SAN DIEGO")</f>
        <v>SAN DIEGO</v>
      </c>
      <c r="E13295" t="str">
        <f t="shared" si="4898"/>
        <v>CA</v>
      </c>
      <c r="F13295" t="str">
        <f>T("921350000")</f>
        <v>921350000</v>
      </c>
      <c r="G13295" t="str">
        <f>T("HSC-3 NASNI")</f>
        <v>HSC-3 NASNI</v>
      </c>
      <c r="H13295" t="str">
        <f>T("BLDG 346 RM 113")</f>
        <v>BLDG 346 RM 113</v>
      </c>
      <c r="I13295" t="str">
        <f t="shared" ref="I13295:I13301" si="4901">T("SAN DIEGO")</f>
        <v>SAN DIEGO</v>
      </c>
      <c r="J13295" t="str">
        <f t="shared" si="4899"/>
        <v>CA</v>
      </c>
      <c r="K13295" t="str">
        <f>T("000000000000000000")</f>
        <v>000000000000000000</v>
      </c>
      <c r="L13295" t="str">
        <f>T("6195456976")</f>
        <v>6195456976</v>
      </c>
    </row>
    <row r="13296" spans="1:12" x14ac:dyDescent="0.35">
      <c r="A13296" t="str">
        <f>T("HSC 3")</f>
        <v>HSC 3</v>
      </c>
      <c r="B13296" t="str">
        <f>T("NAS BLDG 364")</f>
        <v>NAS BLDG 364</v>
      </c>
      <c r="C13296" t="str">
        <f>T("PO BOX 357122")</f>
        <v>PO BOX 357122</v>
      </c>
      <c r="D13296" t="str">
        <f t="shared" si="4900"/>
        <v>SAN DIEGO</v>
      </c>
      <c r="E13296" t="str">
        <f t="shared" si="4898"/>
        <v>CA</v>
      </c>
      <c r="F13296" t="str">
        <f>T("921357122")</f>
        <v>921357122</v>
      </c>
      <c r="G13296" t="str">
        <f>T("BOX 357122")</f>
        <v>BOX 357122</v>
      </c>
      <c r="H13296" t="str">
        <f>T("")</f>
        <v/>
      </c>
      <c r="I13296" t="str">
        <f t="shared" si="4901"/>
        <v>SAN DIEGO</v>
      </c>
      <c r="J13296" t="str">
        <f t="shared" si="4899"/>
        <v>CA</v>
      </c>
      <c r="K13296" t="str">
        <f>T("6195458206")</f>
        <v>6195458206</v>
      </c>
      <c r="L13296" t="str">
        <f>T("6195458205")</f>
        <v>6195458205</v>
      </c>
    </row>
    <row r="13297" spans="1:12" x14ac:dyDescent="0.35">
      <c r="A13297" t="str">
        <f>T("HSC 3")</f>
        <v>HSC 3</v>
      </c>
      <c r="B13297" t="str">
        <f>T("NAS BLDG 364")</f>
        <v>NAS BLDG 364</v>
      </c>
      <c r="C13297" t="str">
        <f>T("PO BOX 357122")</f>
        <v>PO BOX 357122</v>
      </c>
      <c r="D13297" t="str">
        <f t="shared" si="4900"/>
        <v>SAN DIEGO</v>
      </c>
      <c r="E13297" t="str">
        <f t="shared" si="4898"/>
        <v>CA</v>
      </c>
      <c r="F13297" t="str">
        <f>T("921357122")</f>
        <v>921357122</v>
      </c>
      <c r="G13297" t="str">
        <f>T("NAS BLDG 364")</f>
        <v>NAS BLDG 364</v>
      </c>
      <c r="H13297" t="str">
        <f>T("PO BOX 357122")</f>
        <v>PO BOX 357122</v>
      </c>
      <c r="I13297" t="str">
        <f t="shared" si="4901"/>
        <v>SAN DIEGO</v>
      </c>
      <c r="J13297" t="str">
        <f t="shared" si="4899"/>
        <v>CA</v>
      </c>
      <c r="K13297" t="str">
        <f>T("619-545-8188")</f>
        <v>619-545-8188</v>
      </c>
      <c r="L13297" t="str">
        <f>T("6195456976")</f>
        <v>6195456976</v>
      </c>
    </row>
    <row r="13298" spans="1:12" x14ac:dyDescent="0.35">
      <c r="A13298" t="str">
        <f>T("HSC 3")</f>
        <v>HSC 3</v>
      </c>
      <c r="B13298" t="str">
        <f>T("NAS BLDG 364")</f>
        <v>NAS BLDG 364</v>
      </c>
      <c r="C13298" t="str">
        <f>T("PO BOX 357122")</f>
        <v>PO BOX 357122</v>
      </c>
      <c r="D13298" t="str">
        <f t="shared" si="4900"/>
        <v>SAN DIEGO</v>
      </c>
      <c r="E13298" t="str">
        <f t="shared" si="4898"/>
        <v>CA</v>
      </c>
      <c r="F13298" t="str">
        <f>T("921357122")</f>
        <v>921357122</v>
      </c>
      <c r="G13298" t="str">
        <f>T("NASNI HSC-3")</f>
        <v>NASNI HSC-3</v>
      </c>
      <c r="H13298" t="str">
        <f>T("BLDG 346 RM 113")</f>
        <v>BLDG 346 RM 113</v>
      </c>
      <c r="I13298" t="str">
        <f t="shared" si="4901"/>
        <v>SAN DIEGO</v>
      </c>
      <c r="J13298" t="str">
        <f t="shared" si="4899"/>
        <v>CA</v>
      </c>
      <c r="K13298" t="str">
        <f>T("6195458188")</f>
        <v>6195458188</v>
      </c>
      <c r="L13298" t="str">
        <f>T("6195456976")</f>
        <v>6195456976</v>
      </c>
    </row>
    <row r="13299" spans="1:12" x14ac:dyDescent="0.35">
      <c r="A13299" t="str">
        <f>T("HSC-23")</f>
        <v>HSC-23</v>
      </c>
      <c r="B13299" t="str">
        <f>T("HELSEACOMBAT SQDN 23")</f>
        <v>HELSEACOMBAT SQDN 23</v>
      </c>
      <c r="C13299" t="str">
        <f>T("P O BOX 357090")</f>
        <v>P O BOX 357090</v>
      </c>
      <c r="D13299" t="str">
        <f t="shared" si="4900"/>
        <v>SAN DIEGO</v>
      </c>
      <c r="E13299" t="str">
        <f t="shared" si="4898"/>
        <v>CA</v>
      </c>
      <c r="F13299" t="str">
        <f>T("921357090")</f>
        <v>921357090</v>
      </c>
      <c r="G13299" t="str">
        <f>T("HELSEACOMBAT SQDN 23")</f>
        <v>HELSEACOMBAT SQDN 23</v>
      </c>
      <c r="H13299" t="str">
        <f>T("P O BOX 357090")</f>
        <v>P O BOX 357090</v>
      </c>
      <c r="I13299" t="str">
        <f t="shared" si="4901"/>
        <v>SAN DIEGO</v>
      </c>
      <c r="J13299" t="str">
        <f t="shared" si="4899"/>
        <v>CA</v>
      </c>
      <c r="K13299" t="str">
        <f>T("")</f>
        <v/>
      </c>
      <c r="L13299" t="str">
        <f>T("6195457182")</f>
        <v>6195457182</v>
      </c>
    </row>
    <row r="13300" spans="1:12" x14ac:dyDescent="0.35">
      <c r="A13300" t="str">
        <f>T("HSC-23")</f>
        <v>HSC-23</v>
      </c>
      <c r="B13300" t="str">
        <f>T("HELSEACOMBAT SQDN 23")</f>
        <v>HELSEACOMBAT SQDN 23</v>
      </c>
      <c r="C13300" t="str">
        <f>T("P O BOX 357090")</f>
        <v>P O BOX 357090</v>
      </c>
      <c r="D13300" t="str">
        <f t="shared" si="4900"/>
        <v>SAN DIEGO</v>
      </c>
      <c r="E13300" t="str">
        <f t="shared" si="4898"/>
        <v>CA</v>
      </c>
      <c r="F13300" t="str">
        <f>T("921357090")</f>
        <v>921357090</v>
      </c>
      <c r="G13300" t="str">
        <f>T("HELSEACOMBATRON TWO THREE")</f>
        <v>HELSEACOMBATRON TWO THREE</v>
      </c>
      <c r="H13300" t="str">
        <f>T("PO BOX 357090 NAS NORTH ISLAND")</f>
        <v>PO BOX 357090 NAS NORTH ISLAND</v>
      </c>
      <c r="I13300" t="str">
        <f t="shared" si="4901"/>
        <v>SAN DIEGO</v>
      </c>
      <c r="J13300" t="str">
        <f t="shared" si="4899"/>
        <v>CA</v>
      </c>
      <c r="K13300" t="str">
        <f>T("6195458986")</f>
        <v>6195458986</v>
      </c>
      <c r="L13300" t="str">
        <f>T("6195457158")</f>
        <v>6195457158</v>
      </c>
    </row>
    <row r="13301" spans="1:12" x14ac:dyDescent="0.35">
      <c r="A13301" t="str">
        <f>T("HSC-23")</f>
        <v>HSC-23</v>
      </c>
      <c r="B13301" t="str">
        <f>T("HELSEACOMBAT SQDN 23")</f>
        <v>HELSEACOMBAT SQDN 23</v>
      </c>
      <c r="C13301" t="str">
        <f>T("P O BOX 357090")</f>
        <v>P O BOX 357090</v>
      </c>
      <c r="D13301" t="str">
        <f t="shared" si="4900"/>
        <v>SAN DIEGO</v>
      </c>
      <c r="E13301" t="str">
        <f t="shared" si="4898"/>
        <v>CA</v>
      </c>
      <c r="F13301" t="str">
        <f>T("921357090")</f>
        <v>921357090</v>
      </c>
      <c r="G13301" t="str">
        <f>T("HELSEACOMBATRON TWO THREE")</f>
        <v>HELSEACOMBATRON TWO THREE</v>
      </c>
      <c r="H13301" t="str">
        <f>T("PO BOX 357090 NAS NORTH ISLAND")</f>
        <v>PO BOX 357090 NAS NORTH ISLAND</v>
      </c>
      <c r="I13301" t="str">
        <f t="shared" si="4901"/>
        <v>SAN DIEGO</v>
      </c>
      <c r="J13301" t="str">
        <f t="shared" si="4899"/>
        <v>CA</v>
      </c>
      <c r="K13301" t="str">
        <f>T("6195458986")</f>
        <v>6195458986</v>
      </c>
      <c r="L13301" t="str">
        <f>T("6195458986")</f>
        <v>6195458986</v>
      </c>
    </row>
    <row r="13302" spans="1:12" x14ac:dyDescent="0.35">
      <c r="A13302" t="str">
        <f>T("HSM 71")</f>
        <v>HSM 71</v>
      </c>
      <c r="B13302" t="str">
        <f>T("HSM-71")</f>
        <v>HSM-71</v>
      </c>
      <c r="C13302" t="str">
        <f>T("UNIT 25262")</f>
        <v>UNIT 25262</v>
      </c>
      <c r="D13302" t="str">
        <f>T("FPO")</f>
        <v>FPO</v>
      </c>
      <c r="E13302" t="str">
        <f>T("AP")</f>
        <v>AP</v>
      </c>
      <c r="F13302" t="str">
        <f>T("966017037")</f>
        <v>966017037</v>
      </c>
      <c r="G13302" t="str">
        <f>T("HSM-71")</f>
        <v>HSM-71</v>
      </c>
      <c r="H13302" t="str">
        <f>T("UNIT 25262")</f>
        <v>UNIT 25262</v>
      </c>
      <c r="I13302" t="str">
        <f>T("FPO")</f>
        <v>FPO</v>
      </c>
      <c r="J13302" t="str">
        <f>T("AP")</f>
        <v>AP</v>
      </c>
      <c r="K13302" t="str">
        <f>T("6195457101")</f>
        <v>6195457101</v>
      </c>
      <c r="L13302" t="str">
        <f>T("6195457085")</f>
        <v>6195457085</v>
      </c>
    </row>
    <row r="13303" spans="1:12" x14ac:dyDescent="0.35">
      <c r="A13303" t="str">
        <f>T("HSM 71")</f>
        <v>HSM 71</v>
      </c>
      <c r="B13303" t="str">
        <f>T("HSM-71")</f>
        <v>HSM-71</v>
      </c>
      <c r="C13303" t="str">
        <f>T("UNIT 25262")</f>
        <v>UNIT 25262</v>
      </c>
      <c r="D13303" t="str">
        <f>T("FPO")</f>
        <v>FPO</v>
      </c>
      <c r="E13303" t="str">
        <f>T("AP")</f>
        <v>AP</v>
      </c>
      <c r="F13303" t="str">
        <f>T("966017037")</f>
        <v>966017037</v>
      </c>
      <c r="G13303" t="str">
        <f>T("HSM-71 UNIT 25262")</f>
        <v>HSM-71 UNIT 25262</v>
      </c>
      <c r="H13303" t="str">
        <f>T("P O BOX 357098")</f>
        <v>P O BOX 357098</v>
      </c>
      <c r="I13303" t="str">
        <f>T("SAN DIEGO")</f>
        <v>SAN DIEGO</v>
      </c>
      <c r="J13303" t="str">
        <f>T("CA")</f>
        <v>CA</v>
      </c>
      <c r="K13303" t="str">
        <f>T("000000000000000000")</f>
        <v>000000000000000000</v>
      </c>
      <c r="L13303" t="str">
        <f>T("7575457085")</f>
        <v>7575457085</v>
      </c>
    </row>
    <row r="13304" spans="1:12" x14ac:dyDescent="0.35">
      <c r="A13304" t="str">
        <f>T("HSM 71")</f>
        <v>HSM 71</v>
      </c>
      <c r="B13304" t="str">
        <f>T("HSM-71")</f>
        <v>HSM-71</v>
      </c>
      <c r="C13304" t="str">
        <f>T("UNIT 25262")</f>
        <v>UNIT 25262</v>
      </c>
      <c r="D13304" t="str">
        <f>T("FPO")</f>
        <v>FPO</v>
      </c>
      <c r="E13304" t="str">
        <f>T("AP")</f>
        <v>AP</v>
      </c>
      <c r="F13304" t="str">
        <f>T("966017037")</f>
        <v>966017037</v>
      </c>
      <c r="G13304" t="str">
        <f>T("UNIT 25262")</f>
        <v>UNIT 25262</v>
      </c>
      <c r="H13304" t="str">
        <f>T("")</f>
        <v/>
      </c>
      <c r="I13304" t="str">
        <f>T("FPO")</f>
        <v>FPO</v>
      </c>
      <c r="J13304" t="str">
        <f>T("AP")</f>
        <v>AP</v>
      </c>
      <c r="K13304" t="str">
        <f>T("6195457085")</f>
        <v>6195457085</v>
      </c>
      <c r="L13304" t="str">
        <f>T("6195457085")</f>
        <v>6195457085</v>
      </c>
    </row>
    <row r="13305" spans="1:12" x14ac:dyDescent="0.35">
      <c r="A13305" t="str">
        <f t="shared" ref="A13305:B13307" si="4902">T("HSM-78")</f>
        <v>HSM-78</v>
      </c>
      <c r="B13305" t="str">
        <f t="shared" si="4902"/>
        <v>HSM-78</v>
      </c>
      <c r="C13305" t="str">
        <f>T("BOX  357111")</f>
        <v>BOX  357111</v>
      </c>
      <c r="D13305" t="str">
        <f>T("SAN DIEGO")</f>
        <v>SAN DIEGO</v>
      </c>
      <c r="E13305" t="str">
        <f>T("CA")</f>
        <v>CA</v>
      </c>
      <c r="F13305" t="str">
        <f>T("921357111")</f>
        <v>921357111</v>
      </c>
      <c r="G13305" t="str">
        <f>T("HSM 78")</f>
        <v>HSM 78</v>
      </c>
      <c r="H13305" t="str">
        <f>T("PO BOX 357111")</f>
        <v>PO BOX 357111</v>
      </c>
      <c r="I13305" t="str">
        <f>T("SAN DIEGO")</f>
        <v>SAN DIEGO</v>
      </c>
      <c r="J13305" t="str">
        <f>T("CA")</f>
        <v>CA</v>
      </c>
      <c r="K13305" t="str">
        <f>T("6195450823")</f>
        <v>6195450823</v>
      </c>
      <c r="L13305" t="str">
        <f>T("6195450571")</f>
        <v>6195450571</v>
      </c>
    </row>
    <row r="13306" spans="1:12" x14ac:dyDescent="0.35">
      <c r="A13306" t="str">
        <f t="shared" si="4902"/>
        <v>HSM-78</v>
      </c>
      <c r="B13306" t="str">
        <f t="shared" si="4902"/>
        <v>HSM-78</v>
      </c>
      <c r="C13306" t="str">
        <f>T("BOX  357111")</f>
        <v>BOX  357111</v>
      </c>
      <c r="D13306" t="str">
        <f>T("SAN DIEGO")</f>
        <v>SAN DIEGO</v>
      </c>
      <c r="E13306" t="str">
        <f>T("CA")</f>
        <v>CA</v>
      </c>
      <c r="F13306" t="str">
        <f>T("921357111")</f>
        <v>921357111</v>
      </c>
      <c r="G13306" t="str">
        <f>T("HSM-78")</f>
        <v>HSM-78</v>
      </c>
      <c r="H13306" t="str">
        <f>T("BOX  357111")</f>
        <v>BOX  357111</v>
      </c>
      <c r="I13306" t="str">
        <f>T("SAN DIEGO")</f>
        <v>SAN DIEGO</v>
      </c>
      <c r="J13306" t="str">
        <f>T("CA")</f>
        <v>CA</v>
      </c>
      <c r="K13306" t="str">
        <f>T("6195451152")</f>
        <v>6195451152</v>
      </c>
      <c r="L13306" t="str">
        <f>T("6195456105")</f>
        <v>6195456105</v>
      </c>
    </row>
    <row r="13307" spans="1:12" x14ac:dyDescent="0.35">
      <c r="A13307" t="str">
        <f t="shared" si="4902"/>
        <v>HSM-78</v>
      </c>
      <c r="B13307" t="str">
        <f t="shared" si="4902"/>
        <v>HSM-78</v>
      </c>
      <c r="C13307" t="str">
        <f>T("BOX  357111")</f>
        <v>BOX  357111</v>
      </c>
      <c r="D13307" t="str">
        <f>T("SAN DIEGO")</f>
        <v>SAN DIEGO</v>
      </c>
      <c r="E13307" t="str">
        <f>T("CA")</f>
        <v>CA</v>
      </c>
      <c r="F13307" t="str">
        <f>T("921357111")</f>
        <v>921357111</v>
      </c>
      <c r="G13307" t="str">
        <f>T("HSM-78")</f>
        <v>HSM-78</v>
      </c>
      <c r="H13307" t="str">
        <f>T("BOX 357111")</f>
        <v>BOX 357111</v>
      </c>
      <c r="I13307" t="str">
        <f>T("SAN DIEGO")</f>
        <v>SAN DIEGO</v>
      </c>
      <c r="J13307" t="str">
        <f>T("CA")</f>
        <v>CA</v>
      </c>
      <c r="K13307" t="str">
        <f>T("000000000000000000")</f>
        <v>000000000000000000</v>
      </c>
      <c r="L13307" t="str">
        <f>T("6195450571")</f>
        <v>6195450571</v>
      </c>
    </row>
    <row r="13308" spans="1:12" x14ac:dyDescent="0.35">
      <c r="A13308" t="str">
        <f t="shared" ref="A13308:A13313" si="4903">T("VQ-1")</f>
        <v>VQ-1</v>
      </c>
      <c r="B13308" t="str">
        <f t="shared" ref="B13308:B13313" si="4904">T("3560 N CHARLES PORTER AVENUE")</f>
        <v>3560 N CHARLES PORTER AVENUE</v>
      </c>
      <c r="C13308" t="str">
        <f t="shared" ref="C13308:C13313" si="4905">T("")</f>
        <v/>
      </c>
      <c r="D13308" t="str">
        <f t="shared" ref="D13308:D13313" si="4906">T("OAK HARBOR")</f>
        <v>OAK HARBOR</v>
      </c>
      <c r="E13308" t="str">
        <f t="shared" ref="E13308:E13313" si="4907">T("WA")</f>
        <v>WA</v>
      </c>
      <c r="F13308" t="str">
        <f t="shared" ref="F13308:F13313" si="4908">T("982784908")</f>
        <v>982784908</v>
      </c>
      <c r="G13308" t="str">
        <f>T("3560 N CHARLES PORTER AVENUE")</f>
        <v>3560 N CHARLES PORTER AVENUE</v>
      </c>
      <c r="H13308" t="str">
        <f>T("")</f>
        <v/>
      </c>
      <c r="I13308" t="str">
        <f t="shared" ref="I13308:I13313" si="4909">T("OAK HARBOR")</f>
        <v>OAK HARBOR</v>
      </c>
      <c r="J13308" t="str">
        <f t="shared" ref="J13308:J13313" si="4910">T("WA")</f>
        <v>WA</v>
      </c>
      <c r="K13308" t="str">
        <f>T("3602575464")</f>
        <v>3602575464</v>
      </c>
      <c r="L13308" t="str">
        <f>T("3602574553")</f>
        <v>3602574553</v>
      </c>
    </row>
    <row r="13309" spans="1:12" x14ac:dyDescent="0.35">
      <c r="A13309" t="str">
        <f t="shared" si="4903"/>
        <v>VQ-1</v>
      </c>
      <c r="B13309" t="str">
        <f t="shared" si="4904"/>
        <v>3560 N CHARLES PORTER AVENUE</v>
      </c>
      <c r="C13309" t="str">
        <f t="shared" si="4905"/>
        <v/>
      </c>
      <c r="D13309" t="str">
        <f t="shared" si="4906"/>
        <v>OAK HARBOR</v>
      </c>
      <c r="E13309" t="str">
        <f t="shared" si="4907"/>
        <v>WA</v>
      </c>
      <c r="F13309" t="str">
        <f t="shared" si="4908"/>
        <v>982784908</v>
      </c>
      <c r="G13309" t="str">
        <f>T("850 W PROWLER ST")</f>
        <v>850 W PROWLER ST</v>
      </c>
      <c r="H13309" t="str">
        <f>T("ATTN LSC THOMPSON")</f>
        <v>ATTN LSC THOMPSON</v>
      </c>
      <c r="I13309" t="str">
        <f t="shared" si="4909"/>
        <v>OAK HARBOR</v>
      </c>
      <c r="J13309" t="str">
        <f t="shared" si="4910"/>
        <v>WA</v>
      </c>
      <c r="K13309" t="str">
        <f>T("3602575464")</f>
        <v>3602575464</v>
      </c>
      <c r="L13309" t="str">
        <f>T("3602573461")</f>
        <v>3602573461</v>
      </c>
    </row>
    <row r="13310" spans="1:12" x14ac:dyDescent="0.35">
      <c r="A13310" t="str">
        <f t="shared" si="4903"/>
        <v>VQ-1</v>
      </c>
      <c r="B13310" t="str">
        <f t="shared" si="4904"/>
        <v>3560 N CHARLES PORTER AVENUE</v>
      </c>
      <c r="C13310" t="str">
        <f t="shared" si="4905"/>
        <v/>
      </c>
      <c r="D13310" t="str">
        <f t="shared" si="4906"/>
        <v>OAK HARBOR</v>
      </c>
      <c r="E13310" t="str">
        <f t="shared" si="4907"/>
        <v>WA</v>
      </c>
      <c r="F13310" t="str">
        <f t="shared" si="4908"/>
        <v>982784908</v>
      </c>
      <c r="G13310" t="str">
        <f>T("850 WEST PROWLER STREET")</f>
        <v>850 WEST PROWLER STREET</v>
      </c>
      <c r="H13310" t="str">
        <f>T("")</f>
        <v/>
      </c>
      <c r="I13310" t="str">
        <f t="shared" si="4909"/>
        <v>OAK HARBOR</v>
      </c>
      <c r="J13310" t="str">
        <f t="shared" si="4910"/>
        <v>WA</v>
      </c>
      <c r="K13310" t="str">
        <f>T("000000000000000000")</f>
        <v>000000000000000000</v>
      </c>
      <c r="L13310" t="str">
        <f>T("3602573461")</f>
        <v>3602573461</v>
      </c>
    </row>
    <row r="13311" spans="1:12" x14ac:dyDescent="0.35">
      <c r="A13311" t="str">
        <f t="shared" si="4903"/>
        <v>VQ-1</v>
      </c>
      <c r="B13311" t="str">
        <f t="shared" si="4904"/>
        <v>3560 N CHARLES PORTER AVENUE</v>
      </c>
      <c r="C13311" t="str">
        <f t="shared" si="4905"/>
        <v/>
      </c>
      <c r="D13311" t="str">
        <f t="shared" si="4906"/>
        <v>OAK HARBOR</v>
      </c>
      <c r="E13311" t="str">
        <f t="shared" si="4907"/>
        <v>WA</v>
      </c>
      <c r="F13311" t="str">
        <f t="shared" si="4908"/>
        <v>982784908</v>
      </c>
      <c r="G13311" t="str">
        <f>T("850 WEST PROWLER STREET")</f>
        <v>850 WEST PROWLER STREET</v>
      </c>
      <c r="H13311" t="str">
        <f>T("")</f>
        <v/>
      </c>
      <c r="I13311" t="str">
        <f t="shared" si="4909"/>
        <v>OAK HARBOR</v>
      </c>
      <c r="J13311" t="str">
        <f t="shared" si="4910"/>
        <v>WA</v>
      </c>
      <c r="K13311" t="str">
        <f>T("3602575464")</f>
        <v>3602575464</v>
      </c>
      <c r="L13311" t="str">
        <f>T("3602573461")</f>
        <v>3602573461</v>
      </c>
    </row>
    <row r="13312" spans="1:12" x14ac:dyDescent="0.35">
      <c r="A13312" t="str">
        <f t="shared" si="4903"/>
        <v>VQ-1</v>
      </c>
      <c r="B13312" t="str">
        <f t="shared" si="4904"/>
        <v>3560 N CHARLES PORTER AVENUE</v>
      </c>
      <c r="C13312" t="str">
        <f t="shared" si="4905"/>
        <v/>
      </c>
      <c r="D13312" t="str">
        <f t="shared" si="4906"/>
        <v>OAK HARBOR</v>
      </c>
      <c r="E13312" t="str">
        <f t="shared" si="4907"/>
        <v>WA</v>
      </c>
      <c r="F13312" t="str">
        <f t="shared" si="4908"/>
        <v>982784908</v>
      </c>
      <c r="G13312" t="str">
        <f>T("850 WEST PROWLER STREET")</f>
        <v>850 WEST PROWLER STREET</v>
      </c>
      <c r="H13312" t="str">
        <f>T("ATTN LSC THOMPSON")</f>
        <v>ATTN LSC THOMPSON</v>
      </c>
      <c r="I13312" t="str">
        <f t="shared" si="4909"/>
        <v>OAK HARBOR</v>
      </c>
      <c r="J13312" t="str">
        <f t="shared" si="4910"/>
        <v>WA</v>
      </c>
      <c r="K13312" t="str">
        <f>T("3602575464")</f>
        <v>3602575464</v>
      </c>
      <c r="L13312" t="str">
        <f>T("3602573461")</f>
        <v>3602573461</v>
      </c>
    </row>
    <row r="13313" spans="1:12" x14ac:dyDescent="0.35">
      <c r="A13313" t="str">
        <f t="shared" si="4903"/>
        <v>VQ-1</v>
      </c>
      <c r="B13313" t="str">
        <f t="shared" si="4904"/>
        <v>3560 N CHARLES PORTER AVENUE</v>
      </c>
      <c r="C13313" t="str">
        <f t="shared" si="4905"/>
        <v/>
      </c>
      <c r="D13313" t="str">
        <f t="shared" si="4906"/>
        <v>OAK HARBOR</v>
      </c>
      <c r="E13313" t="str">
        <f t="shared" si="4907"/>
        <v>WA</v>
      </c>
      <c r="F13313" t="str">
        <f t="shared" si="4908"/>
        <v>982784908</v>
      </c>
      <c r="G13313" t="str">
        <f>T("FAIRECONRON ONE")</f>
        <v>FAIRECONRON ONE</v>
      </c>
      <c r="H13313" t="str">
        <f>T("850 WEST PROWLER STREET")</f>
        <v>850 WEST PROWLER STREET</v>
      </c>
      <c r="I13313" t="str">
        <f t="shared" si="4909"/>
        <v>OAK HARBOR</v>
      </c>
      <c r="J13313" t="str">
        <f t="shared" si="4910"/>
        <v>WA</v>
      </c>
      <c r="K13313" t="str">
        <f>T("3602575464")</f>
        <v>3602575464</v>
      </c>
      <c r="L13313" t="str">
        <f>T("3602575410")</f>
        <v>3602575410</v>
      </c>
    </row>
    <row r="13314" spans="1:12" x14ac:dyDescent="0.35">
      <c r="A13314" t="str">
        <f>T("VFA-86/US NAVY")</f>
        <v>VFA-86/US NAVY</v>
      </c>
      <c r="B13314" t="str">
        <f>T("VFA-86 330 REEVES BLVD")</f>
        <v>VFA-86 330 REEVES BLVD</v>
      </c>
      <c r="C13314" t="str">
        <f>T("HANGAR 5 MOD 3")</f>
        <v>HANGAR 5 MOD 3</v>
      </c>
      <c r="D13314" t="str">
        <f>T("LEMOORE")</f>
        <v>LEMOORE</v>
      </c>
      <c r="E13314" t="str">
        <f t="shared" ref="E13314:E13321" si="4911">T("CA")</f>
        <v>CA</v>
      </c>
      <c r="F13314" t="str">
        <f>T("932450000")</f>
        <v>932450000</v>
      </c>
      <c r="G13314" t="str">
        <f>T("330 REEVES BLVD")</f>
        <v>330 REEVES BLVD</v>
      </c>
      <c r="H13314" t="str">
        <f>T("HANGAR 5 MOD 3")</f>
        <v>HANGAR 5 MOD 3</v>
      </c>
      <c r="I13314" t="str">
        <f>T("LEMOORE")</f>
        <v>LEMOORE</v>
      </c>
      <c r="J13314" t="str">
        <f t="shared" ref="J13314:J13321" si="4912">T("CA")</f>
        <v>CA</v>
      </c>
      <c r="K13314" t="str">
        <f>T("5599981796")</f>
        <v>5599981796</v>
      </c>
      <c r="L13314" t="str">
        <f>T("5599981781")</f>
        <v>5599981781</v>
      </c>
    </row>
    <row r="13315" spans="1:12" x14ac:dyDescent="0.35">
      <c r="A13315" t="str">
        <f>T("VFA-86/US NAVY")</f>
        <v>VFA-86/US NAVY</v>
      </c>
      <c r="B13315" t="str">
        <f>T("VFA-86 330 REEVES BLVD")</f>
        <v>VFA-86 330 REEVES BLVD</v>
      </c>
      <c r="C13315" t="str">
        <f>T("HANGAR 5 MOD 3")</f>
        <v>HANGAR 5 MOD 3</v>
      </c>
      <c r="D13315" t="str">
        <f>T("LEMOORE")</f>
        <v>LEMOORE</v>
      </c>
      <c r="E13315" t="str">
        <f t="shared" si="4911"/>
        <v>CA</v>
      </c>
      <c r="F13315" t="str">
        <f>T("932450000")</f>
        <v>932450000</v>
      </c>
      <c r="G13315" t="str">
        <f>T("VFA-86 330 REEVES BLVD")</f>
        <v>VFA-86 330 REEVES BLVD</v>
      </c>
      <c r="H13315" t="str">
        <f>T("HANGAR 5 MOD 3")</f>
        <v>HANGAR 5 MOD 3</v>
      </c>
      <c r="I13315" t="str">
        <f>T("LEMOORE")</f>
        <v>LEMOORE</v>
      </c>
      <c r="J13315" t="str">
        <f t="shared" si="4912"/>
        <v>CA</v>
      </c>
      <c r="K13315" t="str">
        <f>T("000000000000000000")</f>
        <v>000000000000000000</v>
      </c>
      <c r="L13315" t="str">
        <f>T("5599981781")</f>
        <v>5599981781</v>
      </c>
    </row>
    <row r="13316" spans="1:12" x14ac:dyDescent="0.35">
      <c r="A13316" t="str">
        <f>T("VFA-86/US NAVY")</f>
        <v>VFA-86/US NAVY</v>
      </c>
      <c r="B13316" t="str">
        <f>T("VFA-86 330 REEVES BLVD")</f>
        <v>VFA-86 330 REEVES BLVD</v>
      </c>
      <c r="C13316" t="str">
        <f>T("HANGAR 5 MOD 3")</f>
        <v>HANGAR 5 MOD 3</v>
      </c>
      <c r="D13316" t="str">
        <f>T("LEMOORE")</f>
        <v>LEMOORE</v>
      </c>
      <c r="E13316" t="str">
        <f t="shared" si="4911"/>
        <v>CA</v>
      </c>
      <c r="F13316" t="str">
        <f>T("932450000")</f>
        <v>932450000</v>
      </c>
      <c r="G13316" t="str">
        <f>T("VFA-86 330 REEVES BLVD")</f>
        <v>VFA-86 330 REEVES BLVD</v>
      </c>
      <c r="H13316" t="str">
        <f>T("HANGAR 5 MOD 3")</f>
        <v>HANGAR 5 MOD 3</v>
      </c>
      <c r="I13316" t="str">
        <f>T("LEMOORE")</f>
        <v>LEMOORE</v>
      </c>
      <c r="J13316" t="str">
        <f t="shared" si="4912"/>
        <v>CA</v>
      </c>
      <c r="K13316" t="str">
        <f>T("5599982094")</f>
        <v>5599982094</v>
      </c>
      <c r="L13316" t="str">
        <f>T("5599981815")</f>
        <v>5599981815</v>
      </c>
    </row>
    <row r="13317" spans="1:12" x14ac:dyDescent="0.35">
      <c r="A13317" t="str">
        <f>T("HSC-6")</f>
        <v>HSC-6</v>
      </c>
      <c r="B13317" t="str">
        <f>T("HSC 6 NASNI BLDG 370")</f>
        <v>HSC 6 NASNI BLDG 370</v>
      </c>
      <c r="C13317" t="str">
        <f>T("")</f>
        <v/>
      </c>
      <c r="D13317" t="str">
        <f>T("SAN DIEGO")</f>
        <v>SAN DIEGO</v>
      </c>
      <c r="E13317" t="str">
        <f t="shared" si="4911"/>
        <v>CA</v>
      </c>
      <c r="F13317" t="str">
        <f>T("921350000")</f>
        <v>921350000</v>
      </c>
      <c r="G13317" t="str">
        <f>T("HSC 6 NASNI BLDG 370")</f>
        <v>HSC 6 NASNI BLDG 370</v>
      </c>
      <c r="H13317" t="str">
        <f>T("")</f>
        <v/>
      </c>
      <c r="I13317" t="str">
        <f>T("SAN DIEGO")</f>
        <v>SAN DIEGO</v>
      </c>
      <c r="J13317" t="str">
        <f t="shared" si="4912"/>
        <v>CA</v>
      </c>
      <c r="K13317" t="str">
        <f>T("6197477130")</f>
        <v>6197477130</v>
      </c>
      <c r="L13317" t="str">
        <f>T("6197477130")</f>
        <v>6197477130</v>
      </c>
    </row>
    <row r="13318" spans="1:12" x14ac:dyDescent="0.35">
      <c r="A13318" t="str">
        <f>T("HSC-6")</f>
        <v>HSC-6</v>
      </c>
      <c r="B13318" t="str">
        <f>T("HSC 6 NASNI BLDG 370")</f>
        <v>HSC 6 NASNI BLDG 370</v>
      </c>
      <c r="C13318" t="str">
        <f>T("")</f>
        <v/>
      </c>
      <c r="D13318" t="str">
        <f>T("SAN DIEGO")</f>
        <v>SAN DIEGO</v>
      </c>
      <c r="E13318" t="str">
        <f t="shared" si="4911"/>
        <v>CA</v>
      </c>
      <c r="F13318" t="str">
        <f>T("921350000")</f>
        <v>921350000</v>
      </c>
      <c r="G13318" t="str">
        <f>T("HSC-6, NASNI, BLDG 370")</f>
        <v>HSC-6, NASNI, BLDG 370</v>
      </c>
      <c r="H13318" t="str">
        <f>T("")</f>
        <v/>
      </c>
      <c r="I13318" t="str">
        <f>T("SAN DIEGO")</f>
        <v>SAN DIEGO</v>
      </c>
      <c r="J13318" t="str">
        <f t="shared" si="4912"/>
        <v>CA</v>
      </c>
      <c r="K13318" t="str">
        <f>T("000000000000000000")</f>
        <v>000000000000000000</v>
      </c>
      <c r="L13318" t="str">
        <f>T("6197677130")</f>
        <v>6197677130</v>
      </c>
    </row>
    <row r="13319" spans="1:12" x14ac:dyDescent="0.35">
      <c r="A13319" t="str">
        <f>T("HSC-8")</f>
        <v>HSC-8</v>
      </c>
      <c r="B13319" t="str">
        <f>T("BLDG 340 NASNI")</f>
        <v>BLDG 340 NASNI</v>
      </c>
      <c r="C13319" t="str">
        <f>T("")</f>
        <v/>
      </c>
      <c r="D13319" t="str">
        <f>T("SAN DIEGO")</f>
        <v>SAN DIEGO</v>
      </c>
      <c r="E13319" t="str">
        <f t="shared" si="4911"/>
        <v>CA</v>
      </c>
      <c r="F13319" t="str">
        <f>T("921350000")</f>
        <v>921350000</v>
      </c>
      <c r="G13319" t="str">
        <f>T("BLDG 340 NASNI")</f>
        <v>BLDG 340 NASNI</v>
      </c>
      <c r="H13319" t="str">
        <f>T("")</f>
        <v/>
      </c>
      <c r="I13319" t="str">
        <f>T("SAN DIEGO")</f>
        <v>SAN DIEGO</v>
      </c>
      <c r="J13319" t="str">
        <f t="shared" si="4912"/>
        <v>CA</v>
      </c>
      <c r="K13319" t="str">
        <f>T("6195458203")</f>
        <v>6195458203</v>
      </c>
      <c r="L13319" t="str">
        <f>T("6195459055")</f>
        <v>6195459055</v>
      </c>
    </row>
    <row r="13320" spans="1:12" x14ac:dyDescent="0.35">
      <c r="A13320" t="str">
        <f>T("HSC-8")</f>
        <v>HSC-8</v>
      </c>
      <c r="B13320" t="str">
        <f>T("BLDG 340 NASNI")</f>
        <v>BLDG 340 NASNI</v>
      </c>
      <c r="C13320" t="str">
        <f>T("")</f>
        <v/>
      </c>
      <c r="D13320" t="str">
        <f>T("SAN DIEGO")</f>
        <v>SAN DIEGO</v>
      </c>
      <c r="E13320" t="str">
        <f t="shared" si="4911"/>
        <v>CA</v>
      </c>
      <c r="F13320" t="str">
        <f>T("921350000")</f>
        <v>921350000</v>
      </c>
      <c r="G13320" t="str">
        <f>T("HSC-8")</f>
        <v>HSC-8</v>
      </c>
      <c r="H13320" t="str">
        <f>T("BLDG 340 NASNI")</f>
        <v>BLDG 340 NASNI</v>
      </c>
      <c r="I13320" t="str">
        <f>T("SAN DIEGO")</f>
        <v>SAN DIEGO</v>
      </c>
      <c r="J13320" t="str">
        <f t="shared" si="4912"/>
        <v>CA</v>
      </c>
      <c r="K13320" t="str">
        <f>T("000000000000000000")</f>
        <v>000000000000000000</v>
      </c>
      <c r="L13320" t="str">
        <f>T("6195459055")</f>
        <v>6195459055</v>
      </c>
    </row>
    <row r="13321" spans="1:12" x14ac:dyDescent="0.35">
      <c r="A13321" t="str">
        <f>T("HSC-8")</f>
        <v>HSC-8</v>
      </c>
      <c r="B13321" t="str">
        <f>T("BLDG 340 NASNI")</f>
        <v>BLDG 340 NASNI</v>
      </c>
      <c r="C13321" t="str">
        <f>T("")</f>
        <v/>
      </c>
      <c r="D13321" t="str">
        <f>T("SAN DIEGO")</f>
        <v>SAN DIEGO</v>
      </c>
      <c r="E13321" t="str">
        <f t="shared" si="4911"/>
        <v>CA</v>
      </c>
      <c r="F13321" t="str">
        <f>T("921350000")</f>
        <v>921350000</v>
      </c>
      <c r="G13321" t="str">
        <f>T("UNIT 25174")</f>
        <v>UNIT 25174</v>
      </c>
      <c r="H13321" t="str">
        <f>T("HSC-8 BLDG 340")</f>
        <v>HSC-8 BLDG 340</v>
      </c>
      <c r="I13321" t="str">
        <f>T("SAN DIEGO")</f>
        <v>SAN DIEGO</v>
      </c>
      <c r="J13321" t="str">
        <f t="shared" si="4912"/>
        <v>CA</v>
      </c>
      <c r="K13321" t="str">
        <f>T("6195458203")</f>
        <v>6195458203</v>
      </c>
      <c r="L13321" t="str">
        <f>T("6195459055")</f>
        <v>6195459055</v>
      </c>
    </row>
    <row r="13322" spans="1:12" x14ac:dyDescent="0.35">
      <c r="A13322" t="str">
        <f t="shared" ref="A13322:B13325" si="4913">T("VAQ 133")</f>
        <v>VAQ 133</v>
      </c>
      <c r="B13322" t="str">
        <f t="shared" si="4913"/>
        <v>VAQ 133</v>
      </c>
      <c r="C13322" t="str">
        <f>T("UNIT 25407")</f>
        <v>UNIT 25407</v>
      </c>
      <c r="D13322" t="str">
        <f t="shared" ref="D13322:D13329" si="4914">T("FPO")</f>
        <v>FPO</v>
      </c>
      <c r="E13322" t="str">
        <f t="shared" ref="E13322:E13329" si="4915">T("AP")</f>
        <v>AP</v>
      </c>
      <c r="F13322" t="str">
        <f>T("966016417")</f>
        <v>966016417</v>
      </c>
      <c r="G13322" t="str">
        <f>T("3620 N RANGER ST")</f>
        <v>3620 N RANGER ST</v>
      </c>
      <c r="H13322" t="str">
        <f>T("")</f>
        <v/>
      </c>
      <c r="I13322" t="str">
        <f>T("OAK HARBOR")</f>
        <v>OAK HARBOR</v>
      </c>
      <c r="J13322" t="str">
        <f>T("WA")</f>
        <v>WA</v>
      </c>
      <c r="K13322" t="str">
        <f>T("000000000000000000")</f>
        <v>000000000000000000</v>
      </c>
      <c r="L13322" t="str">
        <f>T("3602575851")</f>
        <v>3602575851</v>
      </c>
    </row>
    <row r="13323" spans="1:12" x14ac:dyDescent="0.35">
      <c r="A13323" t="str">
        <f t="shared" si="4913"/>
        <v>VAQ 133</v>
      </c>
      <c r="B13323" t="str">
        <f t="shared" si="4913"/>
        <v>VAQ 133</v>
      </c>
      <c r="C13323" t="str">
        <f>T("UNIT 25407")</f>
        <v>UNIT 25407</v>
      </c>
      <c r="D13323" t="str">
        <f t="shared" si="4914"/>
        <v>FPO</v>
      </c>
      <c r="E13323" t="str">
        <f t="shared" si="4915"/>
        <v>AP</v>
      </c>
      <c r="F13323" t="str">
        <f>T("966016417")</f>
        <v>966016417</v>
      </c>
      <c r="G13323" t="str">
        <f>T("3760 N CHARLES PORTER AVE")</f>
        <v>3760 N CHARLES PORTER AVE</v>
      </c>
      <c r="H13323" t="str">
        <f>T("")</f>
        <v/>
      </c>
      <c r="I13323" t="str">
        <f>T("OAK HARBOR")</f>
        <v>OAK HARBOR</v>
      </c>
      <c r="J13323" t="str">
        <f>T("WA")</f>
        <v>WA</v>
      </c>
      <c r="K13323" t="str">
        <f>T("000000000000000000")</f>
        <v>000000000000000000</v>
      </c>
      <c r="L13323" t="str">
        <f>T("3602475851")</f>
        <v>3602475851</v>
      </c>
    </row>
    <row r="13324" spans="1:12" x14ac:dyDescent="0.35">
      <c r="A13324" t="str">
        <f t="shared" si="4913"/>
        <v>VAQ 133</v>
      </c>
      <c r="B13324" t="str">
        <f t="shared" si="4913"/>
        <v>VAQ 133</v>
      </c>
      <c r="C13324" t="str">
        <f>T("UNIT 25407")</f>
        <v>UNIT 25407</v>
      </c>
      <c r="D13324" t="str">
        <f t="shared" si="4914"/>
        <v>FPO</v>
      </c>
      <c r="E13324" t="str">
        <f t="shared" si="4915"/>
        <v>AP</v>
      </c>
      <c r="F13324" t="str">
        <f>T("966016417")</f>
        <v>966016417</v>
      </c>
      <c r="G13324" t="str">
        <f>T("3760 N CHARLES PORTER AVE")</f>
        <v>3760 N CHARLES PORTER AVE</v>
      </c>
      <c r="H13324" t="str">
        <f>T("VAQ-133 HANGAR 9")</f>
        <v>VAQ-133 HANGAR 9</v>
      </c>
      <c r="I13324" t="str">
        <f>T("OAK HARBOR")</f>
        <v>OAK HARBOR</v>
      </c>
      <c r="J13324" t="str">
        <f>T("WA")</f>
        <v>WA</v>
      </c>
      <c r="K13324" t="str">
        <f>T("000000000000000000")</f>
        <v>000000000000000000</v>
      </c>
      <c r="L13324" t="str">
        <f>T("3602576994")</f>
        <v>3602576994</v>
      </c>
    </row>
    <row r="13325" spans="1:12" x14ac:dyDescent="0.35">
      <c r="A13325" t="str">
        <f t="shared" si="4913"/>
        <v>VAQ 133</v>
      </c>
      <c r="B13325" t="str">
        <f t="shared" si="4913"/>
        <v>VAQ 133</v>
      </c>
      <c r="C13325" t="str">
        <f>T("UNIT 25407")</f>
        <v>UNIT 25407</v>
      </c>
      <c r="D13325" t="str">
        <f t="shared" si="4914"/>
        <v>FPO</v>
      </c>
      <c r="E13325" t="str">
        <f t="shared" si="4915"/>
        <v>AP</v>
      </c>
      <c r="F13325" t="str">
        <f>T("966016417")</f>
        <v>966016417</v>
      </c>
      <c r="G13325" t="str">
        <f>T("VAQ 133")</f>
        <v>VAQ 133</v>
      </c>
      <c r="H13325" t="str">
        <f>T("UNIT 25407")</f>
        <v>UNIT 25407</v>
      </c>
      <c r="I13325" t="str">
        <f>T("FPO")</f>
        <v>FPO</v>
      </c>
      <c r="J13325" t="str">
        <f>T("AP")</f>
        <v>AP</v>
      </c>
      <c r="K13325" t="str">
        <f>T("")</f>
        <v/>
      </c>
      <c r="L13325" t="str">
        <f>T("3602576360")</f>
        <v>3602576360</v>
      </c>
    </row>
    <row r="13326" spans="1:12" x14ac:dyDescent="0.35">
      <c r="A13326" t="str">
        <f>T("VAQ 134")</f>
        <v>VAQ 134</v>
      </c>
      <c r="B13326" t="str">
        <f>T("VAQ-134")</f>
        <v>VAQ-134</v>
      </c>
      <c r="C13326" t="str">
        <f>T("UNIT 25408")</f>
        <v>UNIT 25408</v>
      </c>
      <c r="D13326" t="str">
        <f t="shared" si="4914"/>
        <v>FPO</v>
      </c>
      <c r="E13326" t="str">
        <f t="shared" si="4915"/>
        <v>AP</v>
      </c>
      <c r="F13326" t="str">
        <f>T("966016418")</f>
        <v>966016418</v>
      </c>
      <c r="G13326" t="str">
        <f>T("3760 N CHARLES PORTER AVE")</f>
        <v>3760 N CHARLES PORTER AVE</v>
      </c>
      <c r="H13326" t="str">
        <f>T("")</f>
        <v/>
      </c>
      <c r="I13326" t="str">
        <f>T("OAK HARBOR")</f>
        <v>OAK HARBOR</v>
      </c>
      <c r="J13326" t="str">
        <f>T("WA")</f>
        <v>WA</v>
      </c>
      <c r="K13326" t="str">
        <f>T("000000000000000000")</f>
        <v>000000000000000000</v>
      </c>
      <c r="L13326" t="str">
        <f>T("3602574938")</f>
        <v>3602574938</v>
      </c>
    </row>
    <row r="13327" spans="1:12" x14ac:dyDescent="0.35">
      <c r="A13327" t="str">
        <f>T("VAQ 134")</f>
        <v>VAQ 134</v>
      </c>
      <c r="B13327" t="str">
        <f>T("VAQ-134")</f>
        <v>VAQ-134</v>
      </c>
      <c r="C13327" t="str">
        <f>T("UNIT 25408")</f>
        <v>UNIT 25408</v>
      </c>
      <c r="D13327" t="str">
        <f t="shared" si="4914"/>
        <v>FPO</v>
      </c>
      <c r="E13327" t="str">
        <f t="shared" si="4915"/>
        <v>AP</v>
      </c>
      <c r="F13327" t="str">
        <f>T("966016418")</f>
        <v>966016418</v>
      </c>
      <c r="G13327" t="str">
        <f>T("3760 N CHARLES PORTER AVE")</f>
        <v>3760 N CHARLES PORTER AVE</v>
      </c>
      <c r="H13327" t="str">
        <f>T("")</f>
        <v/>
      </c>
      <c r="I13327" t="str">
        <f>T("OAK HARBOR")</f>
        <v>OAK HARBOR</v>
      </c>
      <c r="J13327" t="str">
        <f>T("WA")</f>
        <v>WA</v>
      </c>
      <c r="K13327" t="str">
        <f>T("000000000000000000")</f>
        <v>000000000000000000</v>
      </c>
      <c r="L13327" t="str">
        <f>T("3602578517")</f>
        <v>3602578517</v>
      </c>
    </row>
    <row r="13328" spans="1:12" x14ac:dyDescent="0.35">
      <c r="A13328" t="str">
        <f>T("VAQ 134")</f>
        <v>VAQ 134</v>
      </c>
      <c r="B13328" t="str">
        <f>T("VAQ-134")</f>
        <v>VAQ-134</v>
      </c>
      <c r="C13328" t="str">
        <f>T("UNIT 25408")</f>
        <v>UNIT 25408</v>
      </c>
      <c r="D13328" t="str">
        <f t="shared" si="4914"/>
        <v>FPO</v>
      </c>
      <c r="E13328" t="str">
        <f t="shared" si="4915"/>
        <v>AP</v>
      </c>
      <c r="F13328" t="str">
        <f>T("966016418")</f>
        <v>966016418</v>
      </c>
      <c r="G13328" t="str">
        <f>T("VAQ-134")</f>
        <v>VAQ-134</v>
      </c>
      <c r="H13328" t="str">
        <f>T("3760 N CHARLES PORTER AVE")</f>
        <v>3760 N CHARLES PORTER AVE</v>
      </c>
      <c r="I13328" t="str">
        <f>T("OAK HARBOR")</f>
        <v>OAK HARBOR</v>
      </c>
      <c r="J13328" t="str">
        <f>T("WA")</f>
        <v>WA</v>
      </c>
      <c r="K13328" t="str">
        <f>T("000000000000000000")</f>
        <v>000000000000000000</v>
      </c>
      <c r="L13328" t="str">
        <f>T("3602574938")</f>
        <v>3602574938</v>
      </c>
    </row>
    <row r="13329" spans="1:12" x14ac:dyDescent="0.35">
      <c r="A13329" t="str">
        <f>T("VAQ 134")</f>
        <v>VAQ 134</v>
      </c>
      <c r="B13329" t="str">
        <f>T("VAQ-134")</f>
        <v>VAQ-134</v>
      </c>
      <c r="C13329" t="str">
        <f>T("UNIT 25408")</f>
        <v>UNIT 25408</v>
      </c>
      <c r="D13329" t="str">
        <f t="shared" si="4914"/>
        <v>FPO</v>
      </c>
      <c r="E13329" t="str">
        <f t="shared" si="4915"/>
        <v>AP</v>
      </c>
      <c r="F13329" t="str">
        <f>T("966016418")</f>
        <v>966016418</v>
      </c>
      <c r="G13329" t="str">
        <f>T("VAQ-134")</f>
        <v>VAQ-134</v>
      </c>
      <c r="H13329" t="str">
        <f>T("UNIT 25408")</f>
        <v>UNIT 25408</v>
      </c>
      <c r="I13329" t="str">
        <f>T("FPO")</f>
        <v>FPO</v>
      </c>
      <c r="J13329" t="str">
        <f>T("AP")</f>
        <v>AP</v>
      </c>
      <c r="K13329" t="str">
        <f>T("3602573491")</f>
        <v>3602573491</v>
      </c>
      <c r="L13329" t="str">
        <f>T("3602576994")</f>
        <v>3602576994</v>
      </c>
    </row>
    <row r="13330" spans="1:12" x14ac:dyDescent="0.35">
      <c r="A13330" t="str">
        <f>T("VAQ 135")</f>
        <v>VAQ 135</v>
      </c>
      <c r="B13330" t="str">
        <f>T("3760 N CHARLES PORTER AVE")</f>
        <v>3760 N CHARLES PORTER AVE</v>
      </c>
      <c r="C13330" t="str">
        <f>T("NAS WHIDBEY ISLAND")</f>
        <v>NAS WHIDBEY ISLAND</v>
      </c>
      <c r="D13330" t="str">
        <f t="shared" ref="D13330:D13337" si="4916">T("OAK HARBOR")</f>
        <v>OAK HARBOR</v>
      </c>
      <c r="E13330" t="str">
        <f t="shared" ref="E13330:E13337" si="4917">T("WA")</f>
        <v>WA</v>
      </c>
      <c r="F13330" t="str">
        <f t="shared" ref="F13330:F13337" si="4918">T("982784909")</f>
        <v>982784909</v>
      </c>
      <c r="G13330" t="str">
        <f>T("3760 N CHARLES PORTER AVE")</f>
        <v>3760 N CHARLES PORTER AVE</v>
      </c>
      <c r="H13330" t="str">
        <f>T("")</f>
        <v/>
      </c>
      <c r="I13330" t="str">
        <f t="shared" ref="I13330:I13337" si="4919">T("OAK HARBOR")</f>
        <v>OAK HARBOR</v>
      </c>
      <c r="J13330" t="str">
        <f t="shared" ref="J13330:J13337" si="4920">T("WA")</f>
        <v>WA</v>
      </c>
      <c r="K13330" t="str">
        <f>T("000000000000000000")</f>
        <v>000000000000000000</v>
      </c>
      <c r="L13330" t="str">
        <f>T("3122267904")</f>
        <v>3122267904</v>
      </c>
    </row>
    <row r="13331" spans="1:12" x14ac:dyDescent="0.35">
      <c r="A13331" t="str">
        <f>T("VAQ 135")</f>
        <v>VAQ 135</v>
      </c>
      <c r="B13331" t="str">
        <f>T("3760 N CHARLES PORTER AVE")</f>
        <v>3760 N CHARLES PORTER AVE</v>
      </c>
      <c r="C13331" t="str">
        <f>T("NAS WHIDBEY ISLAND")</f>
        <v>NAS WHIDBEY ISLAND</v>
      </c>
      <c r="D13331" t="str">
        <f t="shared" si="4916"/>
        <v>OAK HARBOR</v>
      </c>
      <c r="E13331" t="str">
        <f t="shared" si="4917"/>
        <v>WA</v>
      </c>
      <c r="F13331" t="str">
        <f t="shared" si="4918"/>
        <v>982784909</v>
      </c>
      <c r="G13331" t="str">
        <f>T("3760 N CHARLES PORTER AVE")</f>
        <v>3760 N CHARLES PORTER AVE</v>
      </c>
      <c r="H13331" t="str">
        <f>T("NAS WHIDBEY ISLAND")</f>
        <v>NAS WHIDBEY ISLAND</v>
      </c>
      <c r="I13331" t="str">
        <f t="shared" si="4919"/>
        <v>OAK HARBOR</v>
      </c>
      <c r="J13331" t="str">
        <f t="shared" si="4920"/>
        <v>WA</v>
      </c>
      <c r="K13331" t="str">
        <f>T("3602574916")</f>
        <v>3602574916</v>
      </c>
      <c r="L13331" t="str">
        <f>T("3602574938")</f>
        <v>3602574938</v>
      </c>
    </row>
    <row r="13332" spans="1:12" x14ac:dyDescent="0.35">
      <c r="A13332" t="str">
        <f>T("VAQ 135")</f>
        <v>VAQ 135</v>
      </c>
      <c r="B13332" t="str">
        <f>T("3760 N CHARLES PORTER AVE")</f>
        <v>3760 N CHARLES PORTER AVE</v>
      </c>
      <c r="C13332" t="str">
        <f>T("NAS WHIDBEY ISLAND")</f>
        <v>NAS WHIDBEY ISLAND</v>
      </c>
      <c r="D13332" t="str">
        <f t="shared" si="4916"/>
        <v>OAK HARBOR</v>
      </c>
      <c r="E13332" t="str">
        <f t="shared" si="4917"/>
        <v>WA</v>
      </c>
      <c r="F13332" t="str">
        <f t="shared" si="4918"/>
        <v>982784909</v>
      </c>
      <c r="G13332" t="str">
        <f>T("3760 N CHARLES PORTER AVE")</f>
        <v>3760 N CHARLES PORTER AVE</v>
      </c>
      <c r="H13332" t="str">
        <f>T("VAQ 135 UNIT 25409")</f>
        <v>VAQ 135 UNIT 25409</v>
      </c>
      <c r="I13332" t="str">
        <f t="shared" si="4919"/>
        <v>OAK HARBOR</v>
      </c>
      <c r="J13332" t="str">
        <f t="shared" si="4920"/>
        <v>WA</v>
      </c>
      <c r="K13332" t="str">
        <f>T("000000000000000000")</f>
        <v>000000000000000000</v>
      </c>
      <c r="L13332" t="str">
        <f>T("3602574961")</f>
        <v>3602574961</v>
      </c>
    </row>
    <row r="13333" spans="1:12" x14ac:dyDescent="0.35">
      <c r="A13333" t="str">
        <f>T("VAQ 135")</f>
        <v>VAQ 135</v>
      </c>
      <c r="B13333" t="str">
        <f>T("3760 N CHARLES PORTER AVE")</f>
        <v>3760 N CHARLES PORTER AVE</v>
      </c>
      <c r="C13333" t="str">
        <f>T("NAS WHIDBEY ISLAND")</f>
        <v>NAS WHIDBEY ISLAND</v>
      </c>
      <c r="D13333" t="str">
        <f t="shared" si="4916"/>
        <v>OAK HARBOR</v>
      </c>
      <c r="E13333" t="str">
        <f t="shared" si="4917"/>
        <v>WA</v>
      </c>
      <c r="F13333" t="str">
        <f t="shared" si="4918"/>
        <v>982784909</v>
      </c>
      <c r="G13333" t="str">
        <f>T("3760 N CHARLES PORTER AVE")</f>
        <v>3760 N CHARLES PORTER AVE</v>
      </c>
      <c r="H13333" t="str">
        <f>T("VAQ-135 HANGER 8")</f>
        <v>VAQ-135 HANGER 8</v>
      </c>
      <c r="I13333" t="str">
        <f t="shared" si="4919"/>
        <v>OAK HARBOR</v>
      </c>
      <c r="J13333" t="str">
        <f t="shared" si="4920"/>
        <v>WA</v>
      </c>
      <c r="K13333" t="str">
        <f>T("000000000000000000")</f>
        <v>000000000000000000</v>
      </c>
      <c r="L13333" t="str">
        <f>T("3152267907")</f>
        <v>3152267907</v>
      </c>
    </row>
    <row r="13334" spans="1:12" x14ac:dyDescent="0.35">
      <c r="A13334" t="str">
        <f>T("VAQ 135")</f>
        <v>VAQ 135</v>
      </c>
      <c r="B13334" t="str">
        <f>T("3760 N CHARLES PORTER AVE")</f>
        <v>3760 N CHARLES PORTER AVE</v>
      </c>
      <c r="C13334" t="str">
        <f>T("NAS WHIDBEY ISLAND")</f>
        <v>NAS WHIDBEY ISLAND</v>
      </c>
      <c r="D13334" t="str">
        <f t="shared" si="4916"/>
        <v>OAK HARBOR</v>
      </c>
      <c r="E13334" t="str">
        <f t="shared" si="4917"/>
        <v>WA</v>
      </c>
      <c r="F13334" t="str">
        <f t="shared" si="4918"/>
        <v>982784909</v>
      </c>
      <c r="G13334" t="str">
        <f>T("VAQ 135")</f>
        <v>VAQ 135</v>
      </c>
      <c r="H13334" t="str">
        <f>T("3760 N CHARLES PORTER AVE")</f>
        <v>3760 N CHARLES PORTER AVE</v>
      </c>
      <c r="I13334" t="str">
        <f t="shared" si="4919"/>
        <v>OAK HARBOR</v>
      </c>
      <c r="J13334" t="str">
        <f t="shared" si="4920"/>
        <v>WA</v>
      </c>
      <c r="K13334" t="str">
        <f>T("000000000000000000")</f>
        <v>000000000000000000</v>
      </c>
      <c r="L13334" t="str">
        <f>T("3602574938")</f>
        <v>3602574938</v>
      </c>
    </row>
    <row r="13335" spans="1:12" x14ac:dyDescent="0.35">
      <c r="A13335" t="str">
        <f>T("VAQ 136")</f>
        <v>VAQ 136</v>
      </c>
      <c r="B13335" t="str">
        <f>T("VAQ 136 MATERIAL CONTROL")</f>
        <v>VAQ 136 MATERIAL CONTROL</v>
      </c>
      <c r="C13335" t="str">
        <f>T("3760 N CHARLES PRTER AVE")</f>
        <v>3760 N CHARLES PRTER AVE</v>
      </c>
      <c r="D13335" t="str">
        <f t="shared" si="4916"/>
        <v>OAK HARBOR</v>
      </c>
      <c r="E13335" t="str">
        <f t="shared" si="4917"/>
        <v>WA</v>
      </c>
      <c r="F13335" t="str">
        <f t="shared" si="4918"/>
        <v>982784909</v>
      </c>
      <c r="G13335" t="str">
        <f>T("3760 N CHARLES PORTER AVENUE")</f>
        <v>3760 N CHARLES PORTER AVENUE</v>
      </c>
      <c r="H13335" t="str">
        <f>T("")</f>
        <v/>
      </c>
      <c r="I13335" t="str">
        <f t="shared" si="4919"/>
        <v>OAK HARBOR</v>
      </c>
      <c r="J13335" t="str">
        <f t="shared" si="4920"/>
        <v>WA</v>
      </c>
      <c r="K13335" t="str">
        <f>T("3602572988")</f>
        <v>3602572988</v>
      </c>
      <c r="L13335" t="str">
        <f>T("3062571549")</f>
        <v>3062571549</v>
      </c>
    </row>
    <row r="13336" spans="1:12" x14ac:dyDescent="0.35">
      <c r="A13336" t="str">
        <f>T("VAQ 136")</f>
        <v>VAQ 136</v>
      </c>
      <c r="B13336" t="str">
        <f>T("VAQ 136 MATERIAL CONTROL")</f>
        <v>VAQ 136 MATERIAL CONTROL</v>
      </c>
      <c r="C13336" t="str">
        <f>T("3760 N CHARLES PRTER AVE")</f>
        <v>3760 N CHARLES PRTER AVE</v>
      </c>
      <c r="D13336" t="str">
        <f t="shared" si="4916"/>
        <v>OAK HARBOR</v>
      </c>
      <c r="E13336" t="str">
        <f t="shared" si="4917"/>
        <v>WA</v>
      </c>
      <c r="F13336" t="str">
        <f t="shared" si="4918"/>
        <v>982784909</v>
      </c>
      <c r="G13336" t="str">
        <f>T("VAQ 136 MATERIAL CONTROL")</f>
        <v>VAQ 136 MATERIAL CONTROL</v>
      </c>
      <c r="H13336" t="str">
        <f>T("3760 N CHARLES PRTER AVE")</f>
        <v>3760 N CHARLES PRTER AVE</v>
      </c>
      <c r="I13336" t="str">
        <f t="shared" si="4919"/>
        <v>OAK HARBOR</v>
      </c>
      <c r="J13336" t="str">
        <f t="shared" si="4920"/>
        <v>WA</v>
      </c>
      <c r="K13336" t="str">
        <f>T("3602572988")</f>
        <v>3602572988</v>
      </c>
      <c r="L13336" t="str">
        <f>T("3602571548")</f>
        <v>3602571548</v>
      </c>
    </row>
    <row r="13337" spans="1:12" x14ac:dyDescent="0.35">
      <c r="A13337" t="str">
        <f>T("VAQ 136")</f>
        <v>VAQ 136</v>
      </c>
      <c r="B13337" t="str">
        <f>T("VAQ 136 MATERIAL CONTROL")</f>
        <v>VAQ 136 MATERIAL CONTROL</v>
      </c>
      <c r="C13337" t="str">
        <f>T("3760 N CHARLES PRTER AVE")</f>
        <v>3760 N CHARLES PRTER AVE</v>
      </c>
      <c r="D13337" t="str">
        <f t="shared" si="4916"/>
        <v>OAK HARBOR</v>
      </c>
      <c r="E13337" t="str">
        <f t="shared" si="4917"/>
        <v>WA</v>
      </c>
      <c r="F13337" t="str">
        <f t="shared" si="4918"/>
        <v>982784909</v>
      </c>
      <c r="G13337" t="str">
        <f>T("VAQ-136 HANGER 5")</f>
        <v>VAQ-136 HANGER 5</v>
      </c>
      <c r="H13337" t="str">
        <f>T("3760 N CHARLES PORTER AVENUE")</f>
        <v>3760 N CHARLES PORTER AVENUE</v>
      </c>
      <c r="I13337" t="str">
        <f t="shared" si="4919"/>
        <v>OAK HARBOR</v>
      </c>
      <c r="J13337" t="str">
        <f t="shared" si="4920"/>
        <v>WA</v>
      </c>
      <c r="K13337" t="str">
        <f>T("3602571549")</f>
        <v>3602571549</v>
      </c>
      <c r="L13337" t="str">
        <f>T("3602571548")</f>
        <v>3602571548</v>
      </c>
    </row>
    <row r="13338" spans="1:12" x14ac:dyDescent="0.35">
      <c r="A13338" t="str">
        <f>T("VAW 117")</f>
        <v>VAW 117</v>
      </c>
      <c r="B13338" t="str">
        <f>T("VAW-117")</f>
        <v>VAW-117</v>
      </c>
      <c r="C13338" t="str">
        <f>T("VAW-117 UNIT 25422")</f>
        <v>VAW-117 UNIT 25422</v>
      </c>
      <c r="D13338" t="str">
        <f>T("FPO")</f>
        <v>FPO</v>
      </c>
      <c r="E13338" t="str">
        <f>T("AP")</f>
        <v>AP</v>
      </c>
      <c r="F13338" t="str">
        <f>T("966016405")</f>
        <v>966016405</v>
      </c>
      <c r="G13338" t="str">
        <f>T("BLDG 533 HAWKEYE COUNTRY RD")</f>
        <v>BLDG 533 HAWKEYE COUNTRY RD</v>
      </c>
      <c r="H13338" t="str">
        <f>T("")</f>
        <v/>
      </c>
      <c r="I13338" t="str">
        <f>T("POINT MUGU NAWC")</f>
        <v>POINT MUGU NAWC</v>
      </c>
      <c r="J13338" t="str">
        <f>T("CA")</f>
        <v>CA</v>
      </c>
      <c r="K13338" t="str">
        <f>T("8059894725")</f>
        <v>8059894725</v>
      </c>
      <c r="L13338" t="str">
        <f>T("8059895255")</f>
        <v>8059895255</v>
      </c>
    </row>
    <row r="13339" spans="1:12" x14ac:dyDescent="0.35">
      <c r="A13339" t="str">
        <f>T("VAW 117")</f>
        <v>VAW 117</v>
      </c>
      <c r="B13339" t="str">
        <f>T("VAW-117")</f>
        <v>VAW-117</v>
      </c>
      <c r="C13339" t="str">
        <f>T("VAW-117 UNIT 25422")</f>
        <v>VAW-117 UNIT 25422</v>
      </c>
      <c r="D13339" t="str">
        <f>T("FPO")</f>
        <v>FPO</v>
      </c>
      <c r="E13339" t="str">
        <f>T("AP")</f>
        <v>AP</v>
      </c>
      <c r="F13339" t="str">
        <f>T("966016405")</f>
        <v>966016405</v>
      </c>
      <c r="G13339" t="str">
        <f>T("BLDG 553 HAWKEYE COUNTRY RD")</f>
        <v>BLDG 553 HAWKEYE COUNTRY RD</v>
      </c>
      <c r="H13339" t="str">
        <f>T("")</f>
        <v/>
      </c>
      <c r="I13339" t="str">
        <f>T("POINT MUGU NAWC")</f>
        <v>POINT MUGU NAWC</v>
      </c>
      <c r="J13339" t="str">
        <f>T("CA")</f>
        <v>CA</v>
      </c>
      <c r="K13339" t="str">
        <f>T("8059894725")</f>
        <v>8059894725</v>
      </c>
      <c r="L13339" t="str">
        <f>T("8059895255")</f>
        <v>8059895255</v>
      </c>
    </row>
    <row r="13340" spans="1:12" x14ac:dyDescent="0.35">
      <c r="A13340" t="str">
        <f>T("VAW 117")</f>
        <v>VAW 117</v>
      </c>
      <c r="B13340" t="str">
        <f>T("VAW-117")</f>
        <v>VAW-117</v>
      </c>
      <c r="C13340" t="str">
        <f>T("VAW-117 UNIT 25422")</f>
        <v>VAW-117 UNIT 25422</v>
      </c>
      <c r="D13340" t="str">
        <f>T("FPO")</f>
        <v>FPO</v>
      </c>
      <c r="E13340" t="str">
        <f>T("AP")</f>
        <v>AP</v>
      </c>
      <c r="F13340" t="str">
        <f>T("966016405")</f>
        <v>966016405</v>
      </c>
      <c r="G13340" t="str">
        <f>T("VAW-117")</f>
        <v>VAW-117</v>
      </c>
      <c r="H13340" t="str">
        <f>T("VAW-117 UNIT 25422")</f>
        <v>VAW-117 UNIT 25422</v>
      </c>
      <c r="I13340" t="str">
        <f>T("FPO")</f>
        <v>FPO</v>
      </c>
      <c r="J13340" t="str">
        <f>T("AP")</f>
        <v>AP</v>
      </c>
      <c r="K13340" t="str">
        <f>T("")</f>
        <v/>
      </c>
      <c r="L13340" t="str">
        <f>T("8059895264")</f>
        <v>8059895264</v>
      </c>
    </row>
    <row r="13341" spans="1:12" x14ac:dyDescent="0.35">
      <c r="A13341" t="str">
        <f>T("VAQ 129")</f>
        <v>VAQ 129</v>
      </c>
      <c r="B13341" t="str">
        <f>T("3740 CHARLES PORTER AVE")</f>
        <v>3740 CHARLES PORTER AVE</v>
      </c>
      <c r="C13341" t="str">
        <f t="shared" ref="C13341:C13347" si="4921">T("")</f>
        <v/>
      </c>
      <c r="D13341" t="str">
        <f t="shared" ref="D13341:D13347" si="4922">T("OAK HARBOR")</f>
        <v>OAK HARBOR</v>
      </c>
      <c r="E13341" t="str">
        <f t="shared" ref="E13341:E13347" si="4923">T("WA")</f>
        <v>WA</v>
      </c>
      <c r="F13341" t="str">
        <f t="shared" ref="F13341:F13347" si="4924">T("982784909")</f>
        <v>982784909</v>
      </c>
      <c r="G13341" t="str">
        <f>T("3740 CHARLES PORTER AVE")</f>
        <v>3740 CHARLES PORTER AVE</v>
      </c>
      <c r="H13341" t="str">
        <f>T("")</f>
        <v/>
      </c>
      <c r="I13341" t="str">
        <f t="shared" ref="I13341:I13347" si="4925">T("OAK HARBOR")</f>
        <v>OAK HARBOR</v>
      </c>
      <c r="J13341" t="str">
        <f t="shared" ref="J13341:J13347" si="4926">T("WA")</f>
        <v>WA</v>
      </c>
      <c r="K13341" t="str">
        <f>T("3602578117")</f>
        <v>3602578117</v>
      </c>
      <c r="L13341" t="str">
        <f>T("3602578119")</f>
        <v>3602578119</v>
      </c>
    </row>
    <row r="13342" spans="1:12" x14ac:dyDescent="0.35">
      <c r="A13342" t="str">
        <f>T("VAQ 129")</f>
        <v>VAQ 129</v>
      </c>
      <c r="B13342" t="str">
        <f>T("3740 CHARLES PORTER AVE")</f>
        <v>3740 CHARLES PORTER AVE</v>
      </c>
      <c r="C13342" t="str">
        <f t="shared" si="4921"/>
        <v/>
      </c>
      <c r="D13342" t="str">
        <f t="shared" si="4922"/>
        <v>OAK HARBOR</v>
      </c>
      <c r="E13342" t="str">
        <f t="shared" si="4923"/>
        <v>WA</v>
      </c>
      <c r="F13342" t="str">
        <f t="shared" si="4924"/>
        <v>982784909</v>
      </c>
      <c r="G13342" t="str">
        <f>T("3740 N CHARLES PORTER AVENUE")</f>
        <v>3740 N CHARLES PORTER AVENUE</v>
      </c>
      <c r="H13342" t="str">
        <f>T("")</f>
        <v/>
      </c>
      <c r="I13342" t="str">
        <f t="shared" si="4925"/>
        <v>OAK HARBOR</v>
      </c>
      <c r="J13342" t="str">
        <f t="shared" si="4926"/>
        <v>WA</v>
      </c>
      <c r="K13342" t="str">
        <f>T("000000000000000000")</f>
        <v>000000000000000000</v>
      </c>
      <c r="L13342" t="str">
        <f>T("3602578119")</f>
        <v>3602578119</v>
      </c>
    </row>
    <row r="13343" spans="1:12" x14ac:dyDescent="0.35">
      <c r="A13343" t="str">
        <f>T("VAQ 129")</f>
        <v>VAQ 129</v>
      </c>
      <c r="B13343" t="str">
        <f>T("3740 CHARLES PORTER AVE")</f>
        <v>3740 CHARLES PORTER AVE</v>
      </c>
      <c r="C13343" t="str">
        <f t="shared" si="4921"/>
        <v/>
      </c>
      <c r="D13343" t="str">
        <f t="shared" si="4922"/>
        <v>OAK HARBOR</v>
      </c>
      <c r="E13343" t="str">
        <f t="shared" si="4923"/>
        <v>WA</v>
      </c>
      <c r="F13343" t="str">
        <f t="shared" si="4924"/>
        <v>982784909</v>
      </c>
      <c r="G13343" t="str">
        <f>T("3740 NORTH CHARLES PORTER AVE")</f>
        <v>3740 NORTH CHARLES PORTER AVE</v>
      </c>
      <c r="H13343" t="str">
        <f>T("")</f>
        <v/>
      </c>
      <c r="I13343" t="str">
        <f t="shared" si="4925"/>
        <v>OAK HARBOR</v>
      </c>
      <c r="J13343" t="str">
        <f t="shared" si="4926"/>
        <v>WA</v>
      </c>
      <c r="K13343" t="str">
        <f>T("000000000000000000")</f>
        <v>000000000000000000</v>
      </c>
      <c r="L13343" t="str">
        <f>T("3602578119")</f>
        <v>3602578119</v>
      </c>
    </row>
    <row r="13344" spans="1:12" x14ac:dyDescent="0.35">
      <c r="A13344" t="str">
        <f t="shared" ref="A13344:B13347" si="4927">T("VAQ-137")</f>
        <v>VAQ-137</v>
      </c>
      <c r="B13344" t="str">
        <f t="shared" si="4927"/>
        <v>VAQ-137</v>
      </c>
      <c r="C13344" t="str">
        <f t="shared" si="4921"/>
        <v/>
      </c>
      <c r="D13344" t="str">
        <f t="shared" si="4922"/>
        <v>OAK HARBOR</v>
      </c>
      <c r="E13344" t="str">
        <f t="shared" si="4923"/>
        <v>WA</v>
      </c>
      <c r="F13344" t="str">
        <f t="shared" si="4924"/>
        <v>982784909</v>
      </c>
      <c r="G13344" t="str">
        <f>T("3760 N CHARLES PORTER AVE")</f>
        <v>3760 N CHARLES PORTER AVE</v>
      </c>
      <c r="H13344" t="str">
        <f>T("HANGAR 5 VAQ-137")</f>
        <v>HANGAR 5 VAQ-137</v>
      </c>
      <c r="I13344" t="str">
        <f t="shared" si="4925"/>
        <v>OAK HARBOR</v>
      </c>
      <c r="J13344" t="str">
        <f t="shared" si="4926"/>
        <v>WA</v>
      </c>
      <c r="K13344" t="str">
        <f>T("000000000000000000")</f>
        <v>000000000000000000</v>
      </c>
      <c r="L13344" t="str">
        <f>T("3602572998")</f>
        <v>3602572998</v>
      </c>
    </row>
    <row r="13345" spans="1:12" x14ac:dyDescent="0.35">
      <c r="A13345" t="str">
        <f t="shared" si="4927"/>
        <v>VAQ-137</v>
      </c>
      <c r="B13345" t="str">
        <f t="shared" si="4927"/>
        <v>VAQ-137</v>
      </c>
      <c r="C13345" t="str">
        <f t="shared" si="4921"/>
        <v/>
      </c>
      <c r="D13345" t="str">
        <f t="shared" si="4922"/>
        <v>OAK HARBOR</v>
      </c>
      <c r="E13345" t="str">
        <f t="shared" si="4923"/>
        <v>WA</v>
      </c>
      <c r="F13345" t="str">
        <f t="shared" si="4924"/>
        <v>982784909</v>
      </c>
      <c r="G13345" t="str">
        <f>T("3760 N CHARLES PORTER AVE")</f>
        <v>3760 N CHARLES PORTER AVE</v>
      </c>
      <c r="H13345" t="str">
        <f>T("VAQ 137")</f>
        <v>VAQ 137</v>
      </c>
      <c r="I13345" t="str">
        <f t="shared" si="4925"/>
        <v>OAK HARBOR</v>
      </c>
      <c r="J13345" t="str">
        <f t="shared" si="4926"/>
        <v>WA</v>
      </c>
      <c r="K13345" t="str">
        <f>T("000000000000000000")</f>
        <v>000000000000000000</v>
      </c>
      <c r="L13345" t="str">
        <f>T("3602572998")</f>
        <v>3602572998</v>
      </c>
    </row>
    <row r="13346" spans="1:12" x14ac:dyDescent="0.35">
      <c r="A13346" t="str">
        <f t="shared" si="4927"/>
        <v>VAQ-137</v>
      </c>
      <c r="B13346" t="str">
        <f t="shared" si="4927"/>
        <v>VAQ-137</v>
      </c>
      <c r="C13346" t="str">
        <f t="shared" si="4921"/>
        <v/>
      </c>
      <c r="D13346" t="str">
        <f t="shared" si="4922"/>
        <v>OAK HARBOR</v>
      </c>
      <c r="E13346" t="str">
        <f t="shared" si="4923"/>
        <v>WA</v>
      </c>
      <c r="F13346" t="str">
        <f t="shared" si="4924"/>
        <v>982784909</v>
      </c>
      <c r="G13346" t="str">
        <f>T("UNIT VAQ 137")</f>
        <v>UNIT VAQ 137</v>
      </c>
      <c r="H13346" t="str">
        <f>T("3760 N CHARLES PORTER AVE")</f>
        <v>3760 N CHARLES PORTER AVE</v>
      </c>
      <c r="I13346" t="str">
        <f t="shared" si="4925"/>
        <v>OAK HARBOR</v>
      </c>
      <c r="J13346" t="str">
        <f t="shared" si="4926"/>
        <v>WA</v>
      </c>
      <c r="K13346" t="str">
        <f>T("000000000000000000")</f>
        <v>000000000000000000</v>
      </c>
      <c r="L13346" t="str">
        <f>T("3602574049")</f>
        <v>3602574049</v>
      </c>
    </row>
    <row r="13347" spans="1:12" x14ac:dyDescent="0.35">
      <c r="A13347" t="str">
        <f t="shared" si="4927"/>
        <v>VAQ-137</v>
      </c>
      <c r="B13347" t="str">
        <f t="shared" si="4927"/>
        <v>VAQ-137</v>
      </c>
      <c r="C13347" t="str">
        <f t="shared" si="4921"/>
        <v/>
      </c>
      <c r="D13347" t="str">
        <f t="shared" si="4922"/>
        <v>OAK HARBOR</v>
      </c>
      <c r="E13347" t="str">
        <f t="shared" si="4923"/>
        <v>WA</v>
      </c>
      <c r="F13347" t="str">
        <f t="shared" si="4924"/>
        <v>982784909</v>
      </c>
      <c r="G13347" t="str">
        <f>T("VAQ-137")</f>
        <v>VAQ-137</v>
      </c>
      <c r="H13347" t="str">
        <f>T("")</f>
        <v/>
      </c>
      <c r="I13347" t="str">
        <f t="shared" si="4925"/>
        <v>OAK HARBOR</v>
      </c>
      <c r="J13347" t="str">
        <f t="shared" si="4926"/>
        <v>WA</v>
      </c>
      <c r="K13347" t="str">
        <f>T("")</f>
        <v/>
      </c>
      <c r="L13347" t="str">
        <f>T("3602574970")</f>
        <v>3602574970</v>
      </c>
    </row>
    <row r="13348" spans="1:12" x14ac:dyDescent="0.35">
      <c r="A13348" t="str">
        <f t="shared" ref="A13348:B13351" si="4928">T("USS RONALD REAGAN CVN 76")</f>
        <v>USS RONALD REAGAN CVN 76</v>
      </c>
      <c r="B13348" t="str">
        <f t="shared" si="4928"/>
        <v>USS RONALD REAGAN CVN 76</v>
      </c>
      <c r="C13348" t="str">
        <f>T("UNIT 100197 BOX 1")</f>
        <v>UNIT 100197 BOX 1</v>
      </c>
      <c r="D13348" t="str">
        <f>T("FPO")</f>
        <v>FPO</v>
      </c>
      <c r="E13348" t="str">
        <f>T("AP")</f>
        <v>AP</v>
      </c>
      <c r="F13348" t="str">
        <f>T("966169700")</f>
        <v>966169700</v>
      </c>
      <c r="G13348" t="str">
        <f>T("UNIT 100197 BOX 01")</f>
        <v>UNIT 100197 BOX 01</v>
      </c>
      <c r="H13348" t="str">
        <f>T("")</f>
        <v/>
      </c>
      <c r="I13348" t="str">
        <f>T("FPO")</f>
        <v>FPO</v>
      </c>
      <c r="J13348" t="str">
        <f>T("AP")</f>
        <v>AP</v>
      </c>
      <c r="K13348" t="str">
        <f>T("000000000000000000")</f>
        <v>000000000000000000</v>
      </c>
      <c r="L13348" t="str">
        <f>T("8086532296")</f>
        <v>8086532296</v>
      </c>
    </row>
    <row r="13349" spans="1:12" x14ac:dyDescent="0.35">
      <c r="A13349" t="str">
        <f t="shared" si="4928"/>
        <v>USS RONALD REAGAN CVN 76</v>
      </c>
      <c r="B13349" t="str">
        <f t="shared" si="4928"/>
        <v>USS RONALD REAGAN CVN 76</v>
      </c>
      <c r="C13349" t="str">
        <f>T("UNIT 100197 BOX 1")</f>
        <v>UNIT 100197 BOX 1</v>
      </c>
      <c r="D13349" t="str">
        <f>T("FPO")</f>
        <v>FPO</v>
      </c>
      <c r="E13349" t="str">
        <f>T("AP")</f>
        <v>AP</v>
      </c>
      <c r="F13349" t="str">
        <f>T("966169700")</f>
        <v>966169700</v>
      </c>
      <c r="G13349" t="str">
        <f>T("UNIT 100197 BOX 1")</f>
        <v>UNIT 100197 BOX 1</v>
      </c>
      <c r="H13349" t="str">
        <f>T("")</f>
        <v/>
      </c>
      <c r="I13349" t="str">
        <f>T("FPO")</f>
        <v>FPO</v>
      </c>
      <c r="J13349" t="str">
        <f>T("AP")</f>
        <v>AP</v>
      </c>
      <c r="K13349" t="str">
        <f>T("000000000000000000")</f>
        <v>000000000000000000</v>
      </c>
      <c r="L13349" t="str">
        <f>T("8086532296")</f>
        <v>8086532296</v>
      </c>
    </row>
    <row r="13350" spans="1:12" x14ac:dyDescent="0.35">
      <c r="A13350" t="str">
        <f t="shared" si="4928"/>
        <v>USS RONALD REAGAN CVN 76</v>
      </c>
      <c r="B13350" t="str">
        <f t="shared" si="4928"/>
        <v>USS RONALD REAGAN CVN 76</v>
      </c>
      <c r="C13350" t="str">
        <f>T("UNIT 100197 BOX 1")</f>
        <v>UNIT 100197 BOX 1</v>
      </c>
      <c r="D13350" t="str">
        <f>T("FPO")</f>
        <v>FPO</v>
      </c>
      <c r="E13350" t="str">
        <f>T("AP")</f>
        <v>AP</v>
      </c>
      <c r="F13350" t="str">
        <f>T("966169700")</f>
        <v>966169700</v>
      </c>
      <c r="G13350" t="str">
        <f>T("USS RONALD REAGAN CVN 76")</f>
        <v>USS RONALD REAGAN CVN 76</v>
      </c>
      <c r="H13350" t="str">
        <f>T("UNIT 100197 BOX 1")</f>
        <v>UNIT 100197 BOX 1</v>
      </c>
      <c r="I13350" t="str">
        <f>T("FPO")</f>
        <v>FPO</v>
      </c>
      <c r="J13350" t="str">
        <f>T("AP")</f>
        <v>AP</v>
      </c>
      <c r="K13350" t="str">
        <f>T("6195453037")</f>
        <v>6195453037</v>
      </c>
      <c r="L13350" t="str">
        <f>T("6195453039")</f>
        <v>6195453039</v>
      </c>
    </row>
    <row r="13351" spans="1:12" x14ac:dyDescent="0.35">
      <c r="A13351" t="str">
        <f t="shared" si="4928"/>
        <v>USS RONALD REAGAN CVN 76</v>
      </c>
      <c r="B13351" t="str">
        <f t="shared" si="4928"/>
        <v>USS RONALD REAGAN CVN 76</v>
      </c>
      <c r="C13351" t="str">
        <f>T("UNIT 100197 BOX 1")</f>
        <v>UNIT 100197 BOX 1</v>
      </c>
      <c r="D13351" t="str">
        <f>T("FPO")</f>
        <v>FPO</v>
      </c>
      <c r="E13351" t="str">
        <f>T("AP")</f>
        <v>AP</v>
      </c>
      <c r="F13351" t="str">
        <f>T("966169700")</f>
        <v>966169700</v>
      </c>
      <c r="G13351" t="str">
        <f>T("USS RONALD REAGAN CVN 76")</f>
        <v>USS RONALD REAGAN CVN 76</v>
      </c>
      <c r="H13351" t="str">
        <f>T("UNIT 100197 BOX 1")</f>
        <v>UNIT 100197 BOX 1</v>
      </c>
      <c r="I13351" t="str">
        <f>T("FPO")</f>
        <v>FPO</v>
      </c>
      <c r="J13351" t="str">
        <f>T("AP")</f>
        <v>AP</v>
      </c>
      <c r="K13351" t="str">
        <f>T("6195453037")</f>
        <v>6195453037</v>
      </c>
      <c r="L13351" t="str">
        <f>T("8086532296")</f>
        <v>8086532296</v>
      </c>
    </row>
    <row r="13352" spans="1:12" x14ac:dyDescent="0.35">
      <c r="A13352" t="str">
        <f>T("SFWSPAC LEMOORE CA")</f>
        <v>SFWSPAC LEMOORE CA</v>
      </c>
      <c r="B13352" t="str">
        <f>T("BLDG 4 WEST K STREET")</f>
        <v>BLDG 4 WEST K STREET</v>
      </c>
      <c r="C13352" t="str">
        <f>T("")</f>
        <v/>
      </c>
      <c r="D13352" t="str">
        <f>T("LEMOORE")</f>
        <v>LEMOORE</v>
      </c>
      <c r="E13352" t="str">
        <f t="shared" ref="E13352:E13367" si="4929">T("CA")</f>
        <v>CA</v>
      </c>
      <c r="F13352" t="str">
        <f>T("932365028")</f>
        <v>932365028</v>
      </c>
      <c r="G13352" t="str">
        <f>T("4 WEST K ST")</f>
        <v>4 WEST K ST</v>
      </c>
      <c r="H13352" t="str">
        <f>T("")</f>
        <v/>
      </c>
      <c r="I13352" t="str">
        <f>T("LEMOORE")</f>
        <v>LEMOORE</v>
      </c>
      <c r="J13352" t="str">
        <f t="shared" ref="J13352:J13367" si="4930">T("CA")</f>
        <v>CA</v>
      </c>
      <c r="K13352" t="str">
        <f>T("000000000000000000")</f>
        <v>000000000000000000</v>
      </c>
      <c r="L13352" t="str">
        <f>T("5599981183")</f>
        <v>5599981183</v>
      </c>
    </row>
    <row r="13353" spans="1:12" x14ac:dyDescent="0.35">
      <c r="A13353" t="str">
        <f>T("SFWSPAC LEMOORE CA")</f>
        <v>SFWSPAC LEMOORE CA</v>
      </c>
      <c r="B13353" t="str">
        <f>T("BLDG 4 WEST K STREET")</f>
        <v>BLDG 4 WEST K STREET</v>
      </c>
      <c r="C13353" t="str">
        <f>T("")</f>
        <v/>
      </c>
      <c r="D13353" t="str">
        <f>T("LEMOORE")</f>
        <v>LEMOORE</v>
      </c>
      <c r="E13353" t="str">
        <f t="shared" si="4929"/>
        <v>CA</v>
      </c>
      <c r="F13353" t="str">
        <f>T("932365028")</f>
        <v>932365028</v>
      </c>
      <c r="G13353" t="str">
        <f>T("BLDG 4 WEST K STREET")</f>
        <v>BLDG 4 WEST K STREET</v>
      </c>
      <c r="H13353" t="str">
        <f>T("")</f>
        <v/>
      </c>
      <c r="I13353" t="str">
        <f>T("LEMOORE")</f>
        <v>LEMOORE</v>
      </c>
      <c r="J13353" t="str">
        <f t="shared" si="4930"/>
        <v>CA</v>
      </c>
      <c r="K13353" t="str">
        <f>T("5599981164")</f>
        <v>5599981164</v>
      </c>
      <c r="L13353" t="str">
        <f>T("5599981167")</f>
        <v>5599981167</v>
      </c>
    </row>
    <row r="13354" spans="1:12" x14ac:dyDescent="0.35">
      <c r="A13354" t="str">
        <f t="shared" ref="A13354:A13385" si="4931">T("CSFWP LEMOORE")</f>
        <v>CSFWP LEMOORE</v>
      </c>
      <c r="B13354" t="str">
        <f>T("300 REEVES BLVD")</f>
        <v>300 REEVES BLVD</v>
      </c>
      <c r="C13354" t="str">
        <f>T("HANGAR4 MOD 5")</f>
        <v>HANGAR4 MOD 5</v>
      </c>
      <c r="D13354" t="str">
        <f t="shared" ref="D13354:D13362" si="4932">T("NAS LEMOORE")</f>
        <v>NAS LEMOORE</v>
      </c>
      <c r="E13354" t="str">
        <f t="shared" si="4929"/>
        <v>CA</v>
      </c>
      <c r="F13354" t="str">
        <f>T("932467400")</f>
        <v>932467400</v>
      </c>
      <c r="G13354" t="str">
        <f>T("300 REEVES BLVD")</f>
        <v>300 REEVES BLVD</v>
      </c>
      <c r="H13354" t="str">
        <f>T("HANGAR4 MOD 5")</f>
        <v>HANGAR4 MOD 5</v>
      </c>
      <c r="I13354" t="str">
        <f>T("NAS LEMOORE")</f>
        <v>NAS LEMOORE</v>
      </c>
      <c r="J13354" t="str">
        <f t="shared" si="4930"/>
        <v>CA</v>
      </c>
      <c r="K13354" t="str">
        <f>T("559-998-0943")</f>
        <v>559-998-0943</v>
      </c>
      <c r="L13354" t="str">
        <f>T("5599980928")</f>
        <v>5599980928</v>
      </c>
    </row>
    <row r="13355" spans="1:12" x14ac:dyDescent="0.35">
      <c r="A13355" t="str">
        <f t="shared" si="4931"/>
        <v>CSFWP LEMOORE</v>
      </c>
      <c r="B13355" t="str">
        <f>T("300 REEVES BLVD")</f>
        <v>300 REEVES BLVD</v>
      </c>
      <c r="C13355" t="str">
        <f>T("HANGAR4 MOD 5")</f>
        <v>HANGAR4 MOD 5</v>
      </c>
      <c r="D13355" t="str">
        <f t="shared" si="4932"/>
        <v>NAS LEMOORE</v>
      </c>
      <c r="E13355" t="str">
        <f t="shared" si="4929"/>
        <v>CA</v>
      </c>
      <c r="F13355" t="str">
        <f>T("932467400")</f>
        <v>932467400</v>
      </c>
      <c r="G13355" t="str">
        <f>T("VFA-2 MATCON")</f>
        <v>VFA-2 MATCON</v>
      </c>
      <c r="H13355" t="str">
        <f>T("HANGAR 4 MOD 5")</f>
        <v>HANGAR 4 MOD 5</v>
      </c>
      <c r="I13355" t="str">
        <f>T("NAS LEMOORE")</f>
        <v>NAS LEMOORE</v>
      </c>
      <c r="J13355" t="str">
        <f t="shared" si="4930"/>
        <v>CA</v>
      </c>
      <c r="K13355" t="str">
        <f>T("5599980943")</f>
        <v>5599980943</v>
      </c>
      <c r="L13355" t="str">
        <f>T("5599980926")</f>
        <v>5599980926</v>
      </c>
    </row>
    <row r="13356" spans="1:12" x14ac:dyDescent="0.35">
      <c r="A13356" t="str">
        <f t="shared" si="4931"/>
        <v>CSFWP LEMOORE</v>
      </c>
      <c r="B13356" t="str">
        <f>T("BLDG 180 RM 207 REEVES BLVD")</f>
        <v>BLDG 180 RM 207 REEVES BLVD</v>
      </c>
      <c r="C13356" t="str">
        <f>T("NAVAL AIR STATION")</f>
        <v>NAVAL AIR STATION</v>
      </c>
      <c r="D13356" t="str">
        <f t="shared" si="4932"/>
        <v>NAS LEMOORE</v>
      </c>
      <c r="E13356" t="str">
        <f t="shared" si="4929"/>
        <v>CA</v>
      </c>
      <c r="F13356" t="str">
        <f t="shared" ref="F13356:F13362" si="4933">T("932467200")</f>
        <v>932467200</v>
      </c>
      <c r="G13356" t="str">
        <f>T("AVIATION SUPPORT DEPT")</f>
        <v>AVIATION SUPPORT DEPT</v>
      </c>
      <c r="H13356" t="str">
        <f>T("BLDG 180 RM 201 NAS")</f>
        <v>BLDG 180 RM 201 NAS</v>
      </c>
      <c r="I13356" t="str">
        <f>T("LEMOORE")</f>
        <v>LEMOORE</v>
      </c>
      <c r="J13356" t="str">
        <f t="shared" si="4930"/>
        <v>CA</v>
      </c>
      <c r="K13356" t="str">
        <f>T("000000000000000000")</f>
        <v>000000000000000000</v>
      </c>
      <c r="L13356" t="str">
        <f>T("5599981386")</f>
        <v>5599981386</v>
      </c>
    </row>
    <row r="13357" spans="1:12" x14ac:dyDescent="0.35">
      <c r="A13357" t="str">
        <f t="shared" si="4931"/>
        <v>CSFWP LEMOORE</v>
      </c>
      <c r="B13357" t="str">
        <f>T("BLDG 180 RM 207 REEVES BLVD")</f>
        <v>BLDG 180 RM 207 REEVES BLVD</v>
      </c>
      <c r="C13357" t="str">
        <f>T("NAVAL AIR STATION")</f>
        <v>NAVAL AIR STATION</v>
      </c>
      <c r="D13357" t="str">
        <f t="shared" si="4932"/>
        <v>NAS LEMOORE</v>
      </c>
      <c r="E13357" t="str">
        <f t="shared" si="4929"/>
        <v>CA</v>
      </c>
      <c r="F13357" t="str">
        <f t="shared" si="4933"/>
        <v>932467200</v>
      </c>
      <c r="G13357" t="str">
        <f>T("AVIATION SUPPORT DEPT")</f>
        <v>AVIATION SUPPORT DEPT</v>
      </c>
      <c r="H13357" t="str">
        <f>T("BLDG 180 RM 207")</f>
        <v>BLDG 180 RM 207</v>
      </c>
      <c r="I13357" t="str">
        <f t="shared" ref="I13357:I13362" si="4934">T("NAS LEMOORE")</f>
        <v>NAS LEMOORE</v>
      </c>
      <c r="J13357" t="str">
        <f t="shared" si="4930"/>
        <v>CA</v>
      </c>
      <c r="K13357" t="str">
        <f>T("5599981264")</f>
        <v>5599981264</v>
      </c>
      <c r="L13357" t="str">
        <f>T("5599982321")</f>
        <v>5599982321</v>
      </c>
    </row>
    <row r="13358" spans="1:12" x14ac:dyDescent="0.35">
      <c r="A13358" t="str">
        <f t="shared" si="4931"/>
        <v>CSFWP LEMOORE</v>
      </c>
      <c r="B13358" t="str">
        <f>T("BLDG 180 RM 207 REEVES BLVD")</f>
        <v>BLDG 180 RM 207 REEVES BLVD</v>
      </c>
      <c r="C13358" t="str">
        <f>T("NAVAL AIR STATION")</f>
        <v>NAVAL AIR STATION</v>
      </c>
      <c r="D13358" t="str">
        <f t="shared" si="4932"/>
        <v>NAS LEMOORE</v>
      </c>
      <c r="E13358" t="str">
        <f t="shared" si="4929"/>
        <v>CA</v>
      </c>
      <c r="F13358" t="str">
        <f t="shared" si="4933"/>
        <v>932467200</v>
      </c>
      <c r="G13358" t="str">
        <f>T("AVIATION SUPPORT DEPT")</f>
        <v>AVIATION SUPPORT DEPT</v>
      </c>
      <c r="H13358" t="str">
        <f>T("BLDG 180 RM 207")</f>
        <v>BLDG 180 RM 207</v>
      </c>
      <c r="I13358" t="str">
        <f t="shared" si="4934"/>
        <v>NAS LEMOORE</v>
      </c>
      <c r="J13358" t="str">
        <f t="shared" si="4930"/>
        <v>CA</v>
      </c>
      <c r="K13358" t="str">
        <f>T("5599981264")</f>
        <v>5599981264</v>
      </c>
      <c r="L13358" t="str">
        <f>T("5599983336")</f>
        <v>5599983336</v>
      </c>
    </row>
    <row r="13359" spans="1:12" x14ac:dyDescent="0.35">
      <c r="A13359" t="str">
        <f t="shared" si="4931"/>
        <v>CSFWP LEMOORE</v>
      </c>
      <c r="B13359" t="str">
        <f>T("BLDG 180 RM 207 REEVES BLVD")</f>
        <v>BLDG 180 RM 207 REEVES BLVD</v>
      </c>
      <c r="C13359" t="str">
        <f>T("NAVAL AIR STATION")</f>
        <v>NAVAL AIR STATION</v>
      </c>
      <c r="D13359" t="str">
        <f t="shared" si="4932"/>
        <v>NAS LEMOORE</v>
      </c>
      <c r="E13359" t="str">
        <f t="shared" si="4929"/>
        <v>CA</v>
      </c>
      <c r="F13359" t="str">
        <f t="shared" si="4933"/>
        <v>932467200</v>
      </c>
      <c r="G13359" t="str">
        <f>T("BLDG 180 RM 207 REEVES BLVD")</f>
        <v>BLDG 180 RM 207 REEVES BLVD</v>
      </c>
      <c r="H13359" t="str">
        <f>T("NAVAL AIR STATION")</f>
        <v>NAVAL AIR STATION</v>
      </c>
      <c r="I13359" t="str">
        <f t="shared" si="4934"/>
        <v>NAS LEMOORE</v>
      </c>
      <c r="J13359" t="str">
        <f t="shared" si="4930"/>
        <v>CA</v>
      </c>
      <c r="K13359" t="str">
        <f>T("5599981264")</f>
        <v>5599981264</v>
      </c>
      <c r="L13359" t="str">
        <f>T("5599981338")</f>
        <v>5599981338</v>
      </c>
    </row>
    <row r="13360" spans="1:12" x14ac:dyDescent="0.35">
      <c r="A13360" t="str">
        <f t="shared" si="4931"/>
        <v>CSFWP LEMOORE</v>
      </c>
      <c r="B13360" t="str">
        <f>T("EL CENTRO WEAPONS")</f>
        <v>EL CENTRO WEAPONS</v>
      </c>
      <c r="C13360" t="str">
        <f>T("BLDG 180 RM 211 REEVES BLVD")</f>
        <v>BLDG 180 RM 211 REEVES BLVD</v>
      </c>
      <c r="D13360" t="str">
        <f t="shared" si="4932"/>
        <v>NAS LEMOORE</v>
      </c>
      <c r="E13360" t="str">
        <f t="shared" si="4929"/>
        <v>CA</v>
      </c>
      <c r="F13360" t="str">
        <f t="shared" si="4933"/>
        <v>932467200</v>
      </c>
      <c r="G13360" t="str">
        <f>T("EL CENTRO WEAPONS")</f>
        <v>EL CENTRO WEAPONS</v>
      </c>
      <c r="H13360" t="str">
        <f>T("BLDG 180 RM 211 REEVES BLVD")</f>
        <v>BLDG 180 RM 211 REEVES BLVD</v>
      </c>
      <c r="I13360" t="str">
        <f t="shared" si="4934"/>
        <v>NAS LEMOORE</v>
      </c>
      <c r="J13360" t="str">
        <f t="shared" si="4930"/>
        <v>CA</v>
      </c>
      <c r="K13360" t="str">
        <f>T("7603392692")</f>
        <v>7603392692</v>
      </c>
      <c r="L13360" t="str">
        <f>T("7603392265")</f>
        <v>7603392265</v>
      </c>
    </row>
    <row r="13361" spans="1:12" x14ac:dyDescent="0.35">
      <c r="A13361" t="str">
        <f t="shared" si="4931"/>
        <v>CSFWP LEMOORE</v>
      </c>
      <c r="B13361" t="str">
        <f>T("EL CENTRO WEAPONS")</f>
        <v>EL CENTRO WEAPONS</v>
      </c>
      <c r="C13361" t="str">
        <f>T("BLDG 180 RM 211 REEVES BLVD")</f>
        <v>BLDG 180 RM 211 REEVES BLVD</v>
      </c>
      <c r="D13361" t="str">
        <f t="shared" si="4932"/>
        <v>NAS LEMOORE</v>
      </c>
      <c r="E13361" t="str">
        <f t="shared" si="4929"/>
        <v>CA</v>
      </c>
      <c r="F13361" t="str">
        <f t="shared" si="4933"/>
        <v>932467200</v>
      </c>
      <c r="G13361" t="str">
        <f>T("EL CENTRO WEAPONS")</f>
        <v>EL CENTRO WEAPONS</v>
      </c>
      <c r="H13361" t="str">
        <f>T("BLDG 180 RM 211 REEVES BLVD")</f>
        <v>BLDG 180 RM 211 REEVES BLVD</v>
      </c>
      <c r="I13361" t="str">
        <f t="shared" si="4934"/>
        <v>NAS LEMOORE</v>
      </c>
      <c r="J13361" t="str">
        <f t="shared" si="4930"/>
        <v>CA</v>
      </c>
      <c r="K13361" t="str">
        <f>T("7603392692")</f>
        <v>7603392692</v>
      </c>
      <c r="L13361" t="str">
        <f>T("7603392648")</f>
        <v>7603392648</v>
      </c>
    </row>
    <row r="13362" spans="1:12" x14ac:dyDescent="0.35">
      <c r="A13362" t="str">
        <f t="shared" si="4931"/>
        <v>CSFWP LEMOORE</v>
      </c>
      <c r="B13362" t="str">
        <f>T("EL CENTRO WEAPONS")</f>
        <v>EL CENTRO WEAPONS</v>
      </c>
      <c r="C13362" t="str">
        <f>T("BLDG 180 RM 211 REEVES BLVD")</f>
        <v>BLDG 180 RM 211 REEVES BLVD</v>
      </c>
      <c r="D13362" t="str">
        <f t="shared" si="4932"/>
        <v>NAS LEMOORE</v>
      </c>
      <c r="E13362" t="str">
        <f t="shared" si="4929"/>
        <v>CA</v>
      </c>
      <c r="F13362" t="str">
        <f t="shared" si="4933"/>
        <v>932467200</v>
      </c>
      <c r="G13362" t="str">
        <f>T("EL CENTRO WEAPONS")</f>
        <v>EL CENTRO WEAPONS</v>
      </c>
      <c r="H13362" t="str">
        <f>T("BLDG 180 RM 211 REEVES BLVD")</f>
        <v>BLDG 180 RM 211 REEVES BLVD</v>
      </c>
      <c r="I13362" t="str">
        <f t="shared" si="4934"/>
        <v>NAS LEMOORE</v>
      </c>
      <c r="J13362" t="str">
        <f t="shared" si="4930"/>
        <v>CA</v>
      </c>
      <c r="K13362" t="str">
        <f>T("7603392696")</f>
        <v>7603392696</v>
      </c>
      <c r="L13362" t="str">
        <f>T("7603392606")</f>
        <v>7603392606</v>
      </c>
    </row>
    <row r="13363" spans="1:12" x14ac:dyDescent="0.35">
      <c r="A13363" t="str">
        <f t="shared" si="4931"/>
        <v>CSFWP LEMOORE</v>
      </c>
      <c r="B13363" t="str">
        <f>T("FRC WEST MATCON BLDG 160 L ST")</f>
        <v>FRC WEST MATCON BLDG 160 L ST</v>
      </c>
      <c r="C13363" t="str">
        <f>T("NAVAL AIR STATION")</f>
        <v>NAVAL AIR STATION</v>
      </c>
      <c r="D13363" t="str">
        <f>T("LEMOORE")</f>
        <v>LEMOORE</v>
      </c>
      <c r="E13363" t="str">
        <f t="shared" si="4929"/>
        <v>CA</v>
      </c>
      <c r="F13363" t="str">
        <f>T("932460001")</f>
        <v>932460001</v>
      </c>
      <c r="G13363" t="str">
        <f>T("BLDG 160 L ST")</f>
        <v>BLDG 160 L ST</v>
      </c>
      <c r="H13363" t="str">
        <f>T("NAS")</f>
        <v>NAS</v>
      </c>
      <c r="I13363" t="str">
        <f>T("LEMOORE")</f>
        <v>LEMOORE</v>
      </c>
      <c r="J13363" t="str">
        <f t="shared" si="4930"/>
        <v>CA</v>
      </c>
      <c r="K13363" t="str">
        <f>T("5599980272")</f>
        <v>5599980272</v>
      </c>
      <c r="L13363" t="str">
        <f>T("5599981479")</f>
        <v>5599981479</v>
      </c>
    </row>
    <row r="13364" spans="1:12" x14ac:dyDescent="0.35">
      <c r="A13364" t="str">
        <f t="shared" si="4931"/>
        <v>CSFWP LEMOORE</v>
      </c>
      <c r="B13364" t="str">
        <f>T("FRC WEST MATCON BLDG 160 L ST")</f>
        <v>FRC WEST MATCON BLDG 160 L ST</v>
      </c>
      <c r="C13364" t="str">
        <f>T("NAVAL AIR STATION")</f>
        <v>NAVAL AIR STATION</v>
      </c>
      <c r="D13364" t="str">
        <f>T("LEMOORE")</f>
        <v>LEMOORE</v>
      </c>
      <c r="E13364" t="str">
        <f t="shared" si="4929"/>
        <v>CA</v>
      </c>
      <c r="F13364" t="str">
        <f>T("932460001")</f>
        <v>932460001</v>
      </c>
      <c r="G13364" t="str">
        <f>T("BLDG 160 L ST")</f>
        <v>BLDG 160 L ST</v>
      </c>
      <c r="H13364" t="str">
        <f>T("NAS")</f>
        <v>NAS</v>
      </c>
      <c r="I13364" t="str">
        <f>T("LEMOORE")</f>
        <v>LEMOORE</v>
      </c>
      <c r="J13364" t="str">
        <f t="shared" si="4930"/>
        <v>CA</v>
      </c>
      <c r="K13364" t="str">
        <f>T("5599980272")</f>
        <v>5599980272</v>
      </c>
      <c r="L13364" t="str">
        <f>T("5599981662")</f>
        <v>5599981662</v>
      </c>
    </row>
    <row r="13365" spans="1:12" x14ac:dyDescent="0.35">
      <c r="A13365" t="str">
        <f t="shared" si="4931"/>
        <v>CSFWP LEMOORE</v>
      </c>
      <c r="B13365" t="str">
        <f>T("FRC WEST MATCON BLDG 160 L ST")</f>
        <v>FRC WEST MATCON BLDG 160 L ST</v>
      </c>
      <c r="C13365" t="str">
        <f>T("NAVAL AIR STATION")</f>
        <v>NAVAL AIR STATION</v>
      </c>
      <c r="D13365" t="str">
        <f>T("LEMOORE")</f>
        <v>LEMOORE</v>
      </c>
      <c r="E13365" t="str">
        <f t="shared" si="4929"/>
        <v>CA</v>
      </c>
      <c r="F13365" t="str">
        <f>T("932460001")</f>
        <v>932460001</v>
      </c>
      <c r="G13365" t="str">
        <f>T("BLDG 160 L ST")</f>
        <v>BLDG 160 L ST</v>
      </c>
      <c r="H13365" t="str">
        <f>T("NAS")</f>
        <v>NAS</v>
      </c>
      <c r="I13365" t="str">
        <f>T("LEMOORE")</f>
        <v>LEMOORE</v>
      </c>
      <c r="J13365" t="str">
        <f t="shared" si="4930"/>
        <v>CA</v>
      </c>
      <c r="K13365" t="str">
        <f>T("5599981577")</f>
        <v>5599981577</v>
      </c>
      <c r="L13365" t="str">
        <f>T("5599981445")</f>
        <v>5599981445</v>
      </c>
    </row>
    <row r="13366" spans="1:12" x14ac:dyDescent="0.35">
      <c r="A13366" t="str">
        <f t="shared" si="4931"/>
        <v>CSFWP LEMOORE</v>
      </c>
      <c r="B13366" t="str">
        <f>T("FRC WEST MATCON BLDG 160 L ST")</f>
        <v>FRC WEST MATCON BLDG 160 L ST</v>
      </c>
      <c r="C13366" t="str">
        <f>T("NAVAL AIR STATION")</f>
        <v>NAVAL AIR STATION</v>
      </c>
      <c r="D13366" t="str">
        <f>T("LEMOORE")</f>
        <v>LEMOORE</v>
      </c>
      <c r="E13366" t="str">
        <f t="shared" si="4929"/>
        <v>CA</v>
      </c>
      <c r="F13366" t="str">
        <f>T("932460001")</f>
        <v>932460001</v>
      </c>
      <c r="G13366" t="str">
        <f>T("FRC WEST MATCON BLDG 160 L ST")</f>
        <v>FRC WEST MATCON BLDG 160 L ST</v>
      </c>
      <c r="H13366" t="str">
        <f>T("NAVAL AIR STATION")</f>
        <v>NAVAL AIR STATION</v>
      </c>
      <c r="I13366" t="str">
        <f>T("LEMOORE")</f>
        <v>LEMOORE</v>
      </c>
      <c r="J13366" t="str">
        <f t="shared" si="4930"/>
        <v>CA</v>
      </c>
      <c r="K13366" t="str">
        <f>T("5599981431")</f>
        <v>5599981431</v>
      </c>
      <c r="L13366" t="str">
        <f>T("5599981436")</f>
        <v>5599981436</v>
      </c>
    </row>
    <row r="13367" spans="1:12" x14ac:dyDescent="0.35">
      <c r="A13367" t="str">
        <f t="shared" si="4931"/>
        <v>CSFWP LEMOORE</v>
      </c>
      <c r="B13367" t="str">
        <f>T("FRC WEST MATCON BLDG 160 L ST")</f>
        <v>FRC WEST MATCON BLDG 160 L ST</v>
      </c>
      <c r="C13367" t="str">
        <f>T("NAVAL AIR STATION")</f>
        <v>NAVAL AIR STATION</v>
      </c>
      <c r="D13367" t="str">
        <f>T("LEMOORE")</f>
        <v>LEMOORE</v>
      </c>
      <c r="E13367" t="str">
        <f t="shared" si="4929"/>
        <v>CA</v>
      </c>
      <c r="F13367" t="str">
        <f>T("932460001")</f>
        <v>932460001</v>
      </c>
      <c r="G13367" t="str">
        <f>T("FRCW MATCON")</f>
        <v>FRCW MATCON</v>
      </c>
      <c r="H13367" t="str">
        <f>T("BLDG 180 RM 211 REEVES BLVD")</f>
        <v>BLDG 180 RM 211 REEVES BLVD</v>
      </c>
      <c r="I13367" t="str">
        <f>T("NAS LEMOORE")</f>
        <v>NAS LEMOORE</v>
      </c>
      <c r="J13367" t="str">
        <f t="shared" si="4930"/>
        <v>CA</v>
      </c>
      <c r="K13367" t="str">
        <f>T("5599981577")</f>
        <v>5599981577</v>
      </c>
      <c r="L13367" t="str">
        <f>T("5599981445")</f>
        <v>5599981445</v>
      </c>
    </row>
    <row r="13368" spans="1:12" x14ac:dyDescent="0.35">
      <c r="A13368" t="str">
        <f t="shared" si="4931"/>
        <v>CSFWP LEMOORE</v>
      </c>
      <c r="B13368" t="str">
        <f>T("VFA 101")</f>
        <v>VFA 101</v>
      </c>
      <c r="C13368" t="str">
        <f>T("812 NOMAD WAY")</f>
        <v>812 NOMAD WAY</v>
      </c>
      <c r="D13368" t="str">
        <f>T("EGLIN AFB")</f>
        <v>EGLIN AFB</v>
      </c>
      <c r="E13368" t="str">
        <f>T("FL")</f>
        <v>FL</v>
      </c>
      <c r="F13368" t="str">
        <f>T("325420000")</f>
        <v>325420000</v>
      </c>
      <c r="G13368" t="str">
        <f>T("VFA 101")</f>
        <v>VFA 101</v>
      </c>
      <c r="H13368" t="str">
        <f>T("812 NOMAD WAY")</f>
        <v>812 NOMAD WAY</v>
      </c>
      <c r="I13368" t="str">
        <f>T("EGLIN AFB")</f>
        <v>EGLIN AFB</v>
      </c>
      <c r="J13368" t="str">
        <f>T("FL")</f>
        <v>FL</v>
      </c>
      <c r="K13368" t="str">
        <f>T("8058834580")</f>
        <v>8058834580</v>
      </c>
      <c r="L13368" t="str">
        <f>T("8058853786")</f>
        <v>8058853786</v>
      </c>
    </row>
    <row r="13369" spans="1:12" x14ac:dyDescent="0.35">
      <c r="A13369" t="str">
        <f t="shared" si="4931"/>
        <v>CSFWP LEMOORE</v>
      </c>
      <c r="B13369" t="str">
        <f>T("VFA 101")</f>
        <v>VFA 101</v>
      </c>
      <c r="C13369" t="str">
        <f>T("812 NOMAD WAY")</f>
        <v>812 NOMAD WAY</v>
      </c>
      <c r="D13369" t="str">
        <f>T("EGLIN AFB")</f>
        <v>EGLIN AFB</v>
      </c>
      <c r="E13369" t="str">
        <f>T("FL")</f>
        <v>FL</v>
      </c>
      <c r="F13369" t="str">
        <f>T("325420000")</f>
        <v>325420000</v>
      </c>
      <c r="G13369" t="str">
        <f>T("VFA-101 MATCON")</f>
        <v>VFA-101 MATCON</v>
      </c>
      <c r="H13369" t="str">
        <f>T("BLDG 180 RM 205 REEVES BLVD")</f>
        <v>BLDG 180 RM 205 REEVES BLVD</v>
      </c>
      <c r="I13369" t="str">
        <f>T("NAS LEMOORE")</f>
        <v>NAS LEMOORE</v>
      </c>
      <c r="J13369" t="str">
        <f t="shared" ref="J13369:J13413" si="4935">T("CA")</f>
        <v>CA</v>
      </c>
      <c r="K13369" t="str">
        <f>T("8508853926")</f>
        <v>8508853926</v>
      </c>
      <c r="L13369" t="str">
        <f>T("8508853791")</f>
        <v>8508853791</v>
      </c>
    </row>
    <row r="13370" spans="1:12" x14ac:dyDescent="0.35">
      <c r="A13370" t="str">
        <f t="shared" si="4931"/>
        <v>CSFWP LEMOORE</v>
      </c>
      <c r="B13370" t="str">
        <f>T("VFA-113 MATCON")</f>
        <v>VFA-113 MATCON</v>
      </c>
      <c r="C13370" t="str">
        <f>T("HANGAR 2 MOD 1")</f>
        <v>HANGAR 2 MOD 1</v>
      </c>
      <c r="D13370" t="str">
        <f>T("NAS LEMOORE")</f>
        <v>NAS LEMOORE</v>
      </c>
      <c r="E13370" t="str">
        <f t="shared" ref="E13370:E13413" si="4936">T("CA")</f>
        <v>CA</v>
      </c>
      <c r="F13370" t="str">
        <f t="shared" ref="F13370:F13385" si="4937">T("932460001")</f>
        <v>932460001</v>
      </c>
      <c r="G13370" t="str">
        <f>T("VFA-113 MATCON")</f>
        <v>VFA-113 MATCON</v>
      </c>
      <c r="H13370" t="str">
        <f>T("HANGAR 2 MOD 1")</f>
        <v>HANGAR 2 MOD 1</v>
      </c>
      <c r="I13370" t="str">
        <f>T("LEMOORE")</f>
        <v>LEMOORE</v>
      </c>
      <c r="J13370" t="str">
        <f t="shared" si="4935"/>
        <v>CA</v>
      </c>
      <c r="K13370" t="str">
        <f>T("5599983495")</f>
        <v>5599983495</v>
      </c>
      <c r="L13370" t="str">
        <f>T("5599981877")</f>
        <v>5599981877</v>
      </c>
    </row>
    <row r="13371" spans="1:12" x14ac:dyDescent="0.35">
      <c r="A13371" t="str">
        <f t="shared" si="4931"/>
        <v>CSFWP LEMOORE</v>
      </c>
      <c r="B13371" t="str">
        <f>T("VFA-113 MATCON")</f>
        <v>VFA-113 MATCON</v>
      </c>
      <c r="C13371" t="str">
        <f>T("HANGAR 2 MOD 1")</f>
        <v>HANGAR 2 MOD 1</v>
      </c>
      <c r="D13371" t="str">
        <f>T("NAS LEMOORE")</f>
        <v>NAS LEMOORE</v>
      </c>
      <c r="E13371" t="str">
        <f t="shared" si="4936"/>
        <v>CA</v>
      </c>
      <c r="F13371" t="str">
        <f t="shared" si="4937"/>
        <v>932460001</v>
      </c>
      <c r="G13371" t="str">
        <f>T("VFA-113 MATCON")</f>
        <v>VFA-113 MATCON</v>
      </c>
      <c r="H13371" t="str">
        <f>T("HANGAR 2 MOD 1")</f>
        <v>HANGAR 2 MOD 1</v>
      </c>
      <c r="I13371" t="str">
        <f>T("NAS LEMOORE")</f>
        <v>NAS LEMOORE</v>
      </c>
      <c r="J13371" t="str">
        <f t="shared" si="4935"/>
        <v>CA</v>
      </c>
      <c r="K13371" t="str">
        <f>T("5599981897")</f>
        <v>5599981897</v>
      </c>
      <c r="L13371" t="str">
        <f>T("5599981877")</f>
        <v>5599981877</v>
      </c>
    </row>
    <row r="13372" spans="1:12" x14ac:dyDescent="0.35">
      <c r="A13372" t="str">
        <f t="shared" si="4931"/>
        <v>CSFWP LEMOORE</v>
      </c>
      <c r="B13372" t="str">
        <f>T("VFA-113 MATCON")</f>
        <v>VFA-113 MATCON</v>
      </c>
      <c r="C13372" t="str">
        <f>T("HANGAR 2 MOD 1")</f>
        <v>HANGAR 2 MOD 1</v>
      </c>
      <c r="D13372" t="str">
        <f>T("NAS LEMOORE")</f>
        <v>NAS LEMOORE</v>
      </c>
      <c r="E13372" t="str">
        <f t="shared" si="4936"/>
        <v>CA</v>
      </c>
      <c r="F13372" t="str">
        <f t="shared" si="4937"/>
        <v>932460001</v>
      </c>
      <c r="G13372" t="str">
        <f>T("VFA-113 MATCON")</f>
        <v>VFA-113 MATCON</v>
      </c>
      <c r="H13372" t="str">
        <f>T("HANGAR 2 MOD 1")</f>
        <v>HANGAR 2 MOD 1</v>
      </c>
      <c r="I13372" t="str">
        <f>T("NAS LEMOORE")</f>
        <v>NAS LEMOORE</v>
      </c>
      <c r="J13372" t="str">
        <f t="shared" si="4935"/>
        <v>CA</v>
      </c>
      <c r="K13372" t="str">
        <f>T("5599983495")</f>
        <v>5599983495</v>
      </c>
      <c r="L13372" t="str">
        <f>T("5599982741")</f>
        <v>5599982741</v>
      </c>
    </row>
    <row r="13373" spans="1:12" x14ac:dyDescent="0.35">
      <c r="A13373" t="str">
        <f t="shared" si="4931"/>
        <v>CSFWP LEMOORE</v>
      </c>
      <c r="B13373" t="str">
        <f>T("VFA-122 MATERIAL CONTROL")</f>
        <v>VFA-122 MATERIAL CONTROL</v>
      </c>
      <c r="C13373" t="str">
        <f>T("HANGAR 1 NAVAL AIR STATION")</f>
        <v>HANGAR 1 NAVAL AIR STATION</v>
      </c>
      <c r="D13373" t="str">
        <f>T("LEMOORE")</f>
        <v>LEMOORE</v>
      </c>
      <c r="E13373" t="str">
        <f t="shared" si="4936"/>
        <v>CA</v>
      </c>
      <c r="F13373" t="str">
        <f t="shared" si="4937"/>
        <v>932460001</v>
      </c>
      <c r="G13373" t="str">
        <f>T("VFA-122 MATCON")</f>
        <v>VFA-122 MATCON</v>
      </c>
      <c r="H13373" t="str">
        <f>T("HANGAR 1 NAVAL AIR STATION")</f>
        <v>HANGAR 1 NAVAL AIR STATION</v>
      </c>
      <c r="I13373" t="str">
        <f>T("LEMOORE")</f>
        <v>LEMOORE</v>
      </c>
      <c r="J13373" t="str">
        <f t="shared" si="4935"/>
        <v>CA</v>
      </c>
      <c r="K13373" t="str">
        <f>T("5599982874")</f>
        <v>5599982874</v>
      </c>
      <c r="L13373" t="str">
        <f>T("5599981738")</f>
        <v>5599981738</v>
      </c>
    </row>
    <row r="13374" spans="1:12" x14ac:dyDescent="0.35">
      <c r="A13374" t="str">
        <f t="shared" si="4931"/>
        <v>CSFWP LEMOORE</v>
      </c>
      <c r="B13374" t="str">
        <f>T("VFA-122 MATERIAL CONTROL")</f>
        <v>VFA-122 MATERIAL CONTROL</v>
      </c>
      <c r="C13374" t="str">
        <f>T("HANGAR 1 NAVAL AIR STATION")</f>
        <v>HANGAR 1 NAVAL AIR STATION</v>
      </c>
      <c r="D13374" t="str">
        <f>T("LEMOORE")</f>
        <v>LEMOORE</v>
      </c>
      <c r="E13374" t="str">
        <f t="shared" si="4936"/>
        <v>CA</v>
      </c>
      <c r="F13374" t="str">
        <f t="shared" si="4937"/>
        <v>932460001</v>
      </c>
      <c r="G13374" t="str">
        <f>T("VFA-122 MATERIAL CONTROL")</f>
        <v>VFA-122 MATERIAL CONTROL</v>
      </c>
      <c r="H13374" t="str">
        <f>T("HANGAR 1 NAVAL AIR STATION")</f>
        <v>HANGAR 1 NAVAL AIR STATION</v>
      </c>
      <c r="I13374" t="str">
        <f>T("LEMOORE")</f>
        <v>LEMOORE</v>
      </c>
      <c r="J13374" t="str">
        <f t="shared" si="4935"/>
        <v>CA</v>
      </c>
      <c r="K13374" t="str">
        <f>T("5599981749")</f>
        <v>5599981749</v>
      </c>
      <c r="L13374" t="str">
        <f>T("5599981060")</f>
        <v>5599981060</v>
      </c>
    </row>
    <row r="13375" spans="1:12" x14ac:dyDescent="0.35">
      <c r="A13375" t="str">
        <f t="shared" si="4931"/>
        <v>CSFWP LEMOORE</v>
      </c>
      <c r="B13375" t="str">
        <f>T("VFA-136 MATCON")</f>
        <v>VFA-136 MATCON</v>
      </c>
      <c r="C13375" t="str">
        <f>T("HANGAR 2 MOD 5")</f>
        <v>HANGAR 2 MOD 5</v>
      </c>
      <c r="D13375" t="str">
        <f>T("NAS LEMOORE")</f>
        <v>NAS LEMOORE</v>
      </c>
      <c r="E13375" t="str">
        <f t="shared" si="4936"/>
        <v>CA</v>
      </c>
      <c r="F13375" t="str">
        <f t="shared" si="4937"/>
        <v>932460001</v>
      </c>
      <c r="G13375" t="str">
        <f>T("VFA-136 MATCON")</f>
        <v>VFA-136 MATCON</v>
      </c>
      <c r="H13375" t="str">
        <f>T("HANGAR 2 MOD 5")</f>
        <v>HANGAR 2 MOD 5</v>
      </c>
      <c r="I13375" t="str">
        <f>T("NAS LEMOORE")</f>
        <v>NAS LEMOORE</v>
      </c>
      <c r="J13375" t="str">
        <f t="shared" si="4935"/>
        <v>CA</v>
      </c>
      <c r="K13375" t="str">
        <f>T("000000000000000000")</f>
        <v>000000000000000000</v>
      </c>
      <c r="L13375" t="str">
        <f>T("5599983280")</f>
        <v>5599983280</v>
      </c>
    </row>
    <row r="13376" spans="1:12" x14ac:dyDescent="0.35">
      <c r="A13376" t="str">
        <f t="shared" si="4931"/>
        <v>CSFWP LEMOORE</v>
      </c>
      <c r="B13376" t="str">
        <f>T("VFA-137 MATCON")</f>
        <v>VFA-137 MATCON</v>
      </c>
      <c r="C13376" t="str">
        <f>T("HANGAR 3 MOD 4 NAS")</f>
        <v>HANGAR 3 MOD 4 NAS</v>
      </c>
      <c r="D13376" t="str">
        <f>T("LEMOORE")</f>
        <v>LEMOORE</v>
      </c>
      <c r="E13376" t="str">
        <f t="shared" si="4936"/>
        <v>CA</v>
      </c>
      <c r="F13376" t="str">
        <f t="shared" si="4937"/>
        <v>932460001</v>
      </c>
      <c r="G13376" t="str">
        <f>T("VFA-137 MATCON")</f>
        <v>VFA-137 MATCON</v>
      </c>
      <c r="H13376" t="str">
        <f>T("BLDG 180 RM 205 NAS")</f>
        <v>BLDG 180 RM 205 NAS</v>
      </c>
      <c r="I13376" t="str">
        <f>T("LEMOORE")</f>
        <v>LEMOORE</v>
      </c>
      <c r="J13376" t="str">
        <f t="shared" si="4935"/>
        <v>CA</v>
      </c>
      <c r="K13376" t="str">
        <f>T("5599983742")</f>
        <v>5599983742</v>
      </c>
      <c r="L13376" t="str">
        <f>T("5599983408")</f>
        <v>5599983408</v>
      </c>
    </row>
    <row r="13377" spans="1:12" x14ac:dyDescent="0.35">
      <c r="A13377" t="str">
        <f t="shared" si="4931"/>
        <v>CSFWP LEMOORE</v>
      </c>
      <c r="B13377" t="str">
        <f>T("VFA-137 MATCON")</f>
        <v>VFA-137 MATCON</v>
      </c>
      <c r="C13377" t="str">
        <f>T("HANGAR 3 MOD 4 NAS")</f>
        <v>HANGAR 3 MOD 4 NAS</v>
      </c>
      <c r="D13377" t="str">
        <f>T("LEMOORE")</f>
        <v>LEMOORE</v>
      </c>
      <c r="E13377" t="str">
        <f t="shared" si="4936"/>
        <v>CA</v>
      </c>
      <c r="F13377" t="str">
        <f t="shared" si="4937"/>
        <v>932460001</v>
      </c>
      <c r="G13377" t="str">
        <f>T("VFA-137 MATCON")</f>
        <v>VFA-137 MATCON</v>
      </c>
      <c r="H13377" t="str">
        <f>T("HANGAR 3 MOD 4 NAS")</f>
        <v>HANGAR 3 MOD 4 NAS</v>
      </c>
      <c r="I13377" t="str">
        <f>T("LEMOORE")</f>
        <v>LEMOORE</v>
      </c>
      <c r="J13377" t="str">
        <f t="shared" si="4935"/>
        <v>CA</v>
      </c>
      <c r="K13377" t="str">
        <f>T("5599983742")</f>
        <v>5599983742</v>
      </c>
      <c r="L13377" t="str">
        <f>T("5599983408")</f>
        <v>5599983408</v>
      </c>
    </row>
    <row r="13378" spans="1:12" x14ac:dyDescent="0.35">
      <c r="A13378" t="str">
        <f t="shared" si="4931"/>
        <v>CSFWP LEMOORE</v>
      </c>
      <c r="B13378" t="str">
        <f>T("VFA-137 MATCON")</f>
        <v>VFA-137 MATCON</v>
      </c>
      <c r="C13378" t="str">
        <f>T("HANGAR 3 MOD 4 NAS")</f>
        <v>HANGAR 3 MOD 4 NAS</v>
      </c>
      <c r="D13378" t="str">
        <f>T("LEMOORE")</f>
        <v>LEMOORE</v>
      </c>
      <c r="E13378" t="str">
        <f t="shared" si="4936"/>
        <v>CA</v>
      </c>
      <c r="F13378" t="str">
        <f t="shared" si="4937"/>
        <v>932460001</v>
      </c>
      <c r="G13378" t="str">
        <f>T("VFA-137 MATCON")</f>
        <v>VFA-137 MATCON</v>
      </c>
      <c r="H13378" t="str">
        <f>T("HANGAR 5 MOD 2")</f>
        <v>HANGAR 5 MOD 2</v>
      </c>
      <c r="I13378" t="str">
        <f>T("LEMOORE")</f>
        <v>LEMOORE</v>
      </c>
      <c r="J13378" t="str">
        <f t="shared" si="4935"/>
        <v>CA</v>
      </c>
      <c r="K13378" t="str">
        <f>T("5599983742")</f>
        <v>5599983742</v>
      </c>
      <c r="L13378" t="str">
        <f>T("5599983408")</f>
        <v>5599983408</v>
      </c>
    </row>
    <row r="13379" spans="1:12" x14ac:dyDescent="0.35">
      <c r="A13379" t="str">
        <f t="shared" si="4931"/>
        <v>CSFWP LEMOORE</v>
      </c>
      <c r="B13379" t="str">
        <f>T("VFA-14 MATCON")</f>
        <v>VFA-14 MATCON</v>
      </c>
      <c r="C13379" t="str">
        <f>T("HANGAR 2 MOD 4")</f>
        <v>HANGAR 2 MOD 4</v>
      </c>
      <c r="D13379" t="str">
        <f t="shared" ref="D13379:D13385" si="4938">T("NAS LEMOORE")</f>
        <v>NAS LEMOORE</v>
      </c>
      <c r="E13379" t="str">
        <f t="shared" si="4936"/>
        <v>CA</v>
      </c>
      <c r="F13379" t="str">
        <f t="shared" si="4937"/>
        <v>932460001</v>
      </c>
      <c r="G13379" t="str">
        <f>T("VFA-14 MATCON")</f>
        <v>VFA-14 MATCON</v>
      </c>
      <c r="H13379" t="str">
        <f>T("HANGAR 2 MOD 4")</f>
        <v>HANGAR 2 MOD 4</v>
      </c>
      <c r="I13379" t="str">
        <f>T("NAS LEMOORE")</f>
        <v>NAS LEMOORE</v>
      </c>
      <c r="J13379" t="str">
        <f t="shared" si="4935"/>
        <v>CA</v>
      </c>
      <c r="K13379" t="str">
        <f>T("5599980406")</f>
        <v>5599980406</v>
      </c>
      <c r="L13379" t="str">
        <f>T("5599980442")</f>
        <v>5599980442</v>
      </c>
    </row>
    <row r="13380" spans="1:12" x14ac:dyDescent="0.35">
      <c r="A13380" t="str">
        <f t="shared" si="4931"/>
        <v>CSFWP LEMOORE</v>
      </c>
      <c r="B13380" t="str">
        <f>T("VFA-14 MATCON")</f>
        <v>VFA-14 MATCON</v>
      </c>
      <c r="C13380" t="str">
        <f>T("HANGAR 2 MOD 4")</f>
        <v>HANGAR 2 MOD 4</v>
      </c>
      <c r="D13380" t="str">
        <f t="shared" si="4938"/>
        <v>NAS LEMOORE</v>
      </c>
      <c r="E13380" t="str">
        <f t="shared" si="4936"/>
        <v>CA</v>
      </c>
      <c r="F13380" t="str">
        <f t="shared" si="4937"/>
        <v>932460001</v>
      </c>
      <c r="G13380" t="str">
        <f>T("VFA-14 MATERIAL CONTROL")</f>
        <v>VFA-14 MATERIAL CONTROL</v>
      </c>
      <c r="H13380" t="str">
        <f>T("HAGAR 2 MOD 2")</f>
        <v>HAGAR 2 MOD 2</v>
      </c>
      <c r="I13380" t="str">
        <f>T("LEMOORE")</f>
        <v>LEMOORE</v>
      </c>
      <c r="J13380" t="str">
        <f t="shared" si="4935"/>
        <v>CA</v>
      </c>
      <c r="K13380" t="str">
        <f>T("5599980406")</f>
        <v>5599980406</v>
      </c>
      <c r="L13380" t="str">
        <f>T("5599980442")</f>
        <v>5599980442</v>
      </c>
    </row>
    <row r="13381" spans="1:12" x14ac:dyDescent="0.35">
      <c r="A13381" t="str">
        <f t="shared" si="4931"/>
        <v>CSFWP LEMOORE</v>
      </c>
      <c r="B13381" t="str">
        <f>T("VFA-14 MATCON")</f>
        <v>VFA-14 MATCON</v>
      </c>
      <c r="C13381" t="str">
        <f>T("HANGAR 2 MOD 4")</f>
        <v>HANGAR 2 MOD 4</v>
      </c>
      <c r="D13381" t="str">
        <f t="shared" si="4938"/>
        <v>NAS LEMOORE</v>
      </c>
      <c r="E13381" t="str">
        <f t="shared" si="4936"/>
        <v>CA</v>
      </c>
      <c r="F13381" t="str">
        <f t="shared" si="4937"/>
        <v>932460001</v>
      </c>
      <c r="G13381" t="str">
        <f>T("VFA-14 MATERIAL CONTROL")</f>
        <v>VFA-14 MATERIAL CONTROL</v>
      </c>
      <c r="H13381" t="str">
        <f>T("HANGAR 2 MOD 4")</f>
        <v>HANGAR 2 MOD 4</v>
      </c>
      <c r="I13381" t="str">
        <f>T("NAS LEMOORE")</f>
        <v>NAS LEMOORE</v>
      </c>
      <c r="J13381" t="str">
        <f t="shared" si="4935"/>
        <v>CA</v>
      </c>
      <c r="K13381" t="str">
        <f>T("5599980406")</f>
        <v>5599980406</v>
      </c>
      <c r="L13381" t="str">
        <f>T("5599980442")</f>
        <v>5599980442</v>
      </c>
    </row>
    <row r="13382" spans="1:12" x14ac:dyDescent="0.35">
      <c r="A13382" t="str">
        <f t="shared" si="4931"/>
        <v>CSFWP LEMOORE</v>
      </c>
      <c r="B13382" t="str">
        <f>T("VFA-146 MATCON")</f>
        <v>VFA-146 MATCON</v>
      </c>
      <c r="C13382" t="str">
        <f>T("HANGAR 3 MOD 1")</f>
        <v>HANGAR 3 MOD 1</v>
      </c>
      <c r="D13382" t="str">
        <f t="shared" si="4938"/>
        <v>NAS LEMOORE</v>
      </c>
      <c r="E13382" t="str">
        <f t="shared" si="4936"/>
        <v>CA</v>
      </c>
      <c r="F13382" t="str">
        <f t="shared" si="4937"/>
        <v>932460001</v>
      </c>
      <c r="G13382" t="str">
        <f>T("VFA-146 MATCON")</f>
        <v>VFA-146 MATCON</v>
      </c>
      <c r="H13382" t="str">
        <f>T("HANGAR 3 MOD 1")</f>
        <v>HANGAR 3 MOD 1</v>
      </c>
      <c r="I13382" t="str">
        <f>T("NAS LEMOORE")</f>
        <v>NAS LEMOORE</v>
      </c>
      <c r="J13382" t="str">
        <f t="shared" si="4935"/>
        <v>CA</v>
      </c>
      <c r="K13382" t="str">
        <f>T("5599983184")</f>
        <v>5599983184</v>
      </c>
      <c r="L13382" t="str">
        <f>T("5599983148")</f>
        <v>5599983148</v>
      </c>
    </row>
    <row r="13383" spans="1:12" x14ac:dyDescent="0.35">
      <c r="A13383" t="str">
        <f t="shared" si="4931"/>
        <v>CSFWP LEMOORE</v>
      </c>
      <c r="B13383" t="str">
        <f>T("VFA-146 MATCON")</f>
        <v>VFA-146 MATCON</v>
      </c>
      <c r="C13383" t="str">
        <f>T("HANGAR 3 MOD 1")</f>
        <v>HANGAR 3 MOD 1</v>
      </c>
      <c r="D13383" t="str">
        <f t="shared" si="4938"/>
        <v>NAS LEMOORE</v>
      </c>
      <c r="E13383" t="str">
        <f t="shared" si="4936"/>
        <v>CA</v>
      </c>
      <c r="F13383" t="str">
        <f t="shared" si="4937"/>
        <v>932460001</v>
      </c>
      <c r="G13383" t="str">
        <f>T("VFA-146 MATERIAL CONTROL")</f>
        <v>VFA-146 MATERIAL CONTROL</v>
      </c>
      <c r="H13383" t="str">
        <f>T("HANGAR 3 MOD 1")</f>
        <v>HANGAR 3 MOD 1</v>
      </c>
      <c r="I13383" t="str">
        <f>T("NAS LEMOORE")</f>
        <v>NAS LEMOORE</v>
      </c>
      <c r="J13383" t="str">
        <f t="shared" si="4935"/>
        <v>CA</v>
      </c>
      <c r="K13383" t="str">
        <f>T("5599983184")</f>
        <v>5599983184</v>
      </c>
      <c r="L13383" t="str">
        <f>T("5599983148")</f>
        <v>5599983148</v>
      </c>
    </row>
    <row r="13384" spans="1:12" x14ac:dyDescent="0.35">
      <c r="A13384" t="str">
        <f t="shared" si="4931"/>
        <v>CSFWP LEMOORE</v>
      </c>
      <c r="B13384" t="str">
        <f>T("VFA-147 MATCON")</f>
        <v>VFA-147 MATCON</v>
      </c>
      <c r="C13384" t="str">
        <f>T("HANGAR 3 MOD 2")</f>
        <v>HANGAR 3 MOD 2</v>
      </c>
      <c r="D13384" t="str">
        <f t="shared" si="4938"/>
        <v>NAS LEMOORE</v>
      </c>
      <c r="E13384" t="str">
        <f t="shared" si="4936"/>
        <v>CA</v>
      </c>
      <c r="F13384" t="str">
        <f t="shared" si="4937"/>
        <v>932460001</v>
      </c>
      <c r="G13384" t="str">
        <f>T("VFA-147 MATCON")</f>
        <v>VFA-147 MATCON</v>
      </c>
      <c r="H13384" t="str">
        <f>T("HANGAR 3 MOD 2")</f>
        <v>HANGAR 3 MOD 2</v>
      </c>
      <c r="I13384" t="str">
        <f>T("NAS LEMOORE")</f>
        <v>NAS LEMOORE</v>
      </c>
      <c r="J13384" t="str">
        <f t="shared" si="4935"/>
        <v>CA</v>
      </c>
      <c r="K13384" t="str">
        <f>T("5599983120")</f>
        <v>5599983120</v>
      </c>
      <c r="L13384" t="str">
        <f>T("5599983186")</f>
        <v>5599983186</v>
      </c>
    </row>
    <row r="13385" spans="1:12" x14ac:dyDescent="0.35">
      <c r="A13385" t="str">
        <f t="shared" si="4931"/>
        <v>CSFWP LEMOORE</v>
      </c>
      <c r="B13385" t="str">
        <f>T("VFA-147 MATCON")</f>
        <v>VFA-147 MATCON</v>
      </c>
      <c r="C13385" t="str">
        <f>T("HANGAR 3 MOD 2")</f>
        <v>HANGAR 3 MOD 2</v>
      </c>
      <c r="D13385" t="str">
        <f t="shared" si="4938"/>
        <v>NAS LEMOORE</v>
      </c>
      <c r="E13385" t="str">
        <f t="shared" si="4936"/>
        <v>CA</v>
      </c>
      <c r="F13385" t="str">
        <f t="shared" si="4937"/>
        <v>932460001</v>
      </c>
      <c r="G13385" t="str">
        <f>T("VFA-147 MATERIAL CONTROL")</f>
        <v>VFA-147 MATERIAL CONTROL</v>
      </c>
      <c r="H13385" t="str">
        <f>T("HANGAR 3 MOD 2")</f>
        <v>HANGAR 3 MOD 2</v>
      </c>
      <c r="I13385" t="str">
        <f>T("NAS LEMOORE")</f>
        <v>NAS LEMOORE</v>
      </c>
      <c r="J13385" t="str">
        <f t="shared" si="4935"/>
        <v>CA</v>
      </c>
      <c r="K13385" t="str">
        <f>T("5599983193")</f>
        <v>5599983193</v>
      </c>
      <c r="L13385" t="str">
        <f>T("5599983192")</f>
        <v>5599983192</v>
      </c>
    </row>
    <row r="13386" spans="1:12" x14ac:dyDescent="0.35">
      <c r="A13386" t="str">
        <f t="shared" ref="A13386:A13407" si="4939">T("CSFWP LEMOORE")</f>
        <v>CSFWP LEMOORE</v>
      </c>
      <c r="B13386" t="str">
        <f>T("VFA-151")</f>
        <v>VFA-151</v>
      </c>
      <c r="C13386" t="str">
        <f>T("HANGAR 3 MOD 5")</f>
        <v>HANGAR 3 MOD 5</v>
      </c>
      <c r="D13386" t="str">
        <f>T("REEVES BLVD")</f>
        <v>REEVES BLVD</v>
      </c>
      <c r="E13386" t="str">
        <f t="shared" si="4936"/>
        <v>CA</v>
      </c>
      <c r="F13386" t="str">
        <f>T("932460000")</f>
        <v>932460000</v>
      </c>
      <c r="G13386" t="str">
        <f>T("VAF-151 MATERIAL CONTROL")</f>
        <v>VAF-151 MATERIAL CONTROL</v>
      </c>
      <c r="H13386" t="str">
        <f>T("HANGAR 3 MOD 5")</f>
        <v>HANGAR 3 MOD 5</v>
      </c>
      <c r="I13386" t="str">
        <f>T("LEMOORE")</f>
        <v>LEMOORE</v>
      </c>
      <c r="J13386" t="str">
        <f t="shared" si="4935"/>
        <v>CA</v>
      </c>
      <c r="K13386" t="str">
        <f>T("5599983441")</f>
        <v>5599983441</v>
      </c>
      <c r="L13386" t="str">
        <f>T("5599980390")</f>
        <v>5599980390</v>
      </c>
    </row>
    <row r="13387" spans="1:12" x14ac:dyDescent="0.35">
      <c r="A13387" t="str">
        <f t="shared" si="4939"/>
        <v>CSFWP LEMOORE</v>
      </c>
      <c r="B13387" t="str">
        <f>T("VFA-151")</f>
        <v>VFA-151</v>
      </c>
      <c r="C13387" t="str">
        <f>T("HANGAR 3 MOD 5")</f>
        <v>HANGAR 3 MOD 5</v>
      </c>
      <c r="D13387" t="str">
        <f>T("REEVES BLVD")</f>
        <v>REEVES BLVD</v>
      </c>
      <c r="E13387" t="str">
        <f t="shared" si="4936"/>
        <v>CA</v>
      </c>
      <c r="F13387" t="str">
        <f>T("932460000")</f>
        <v>932460000</v>
      </c>
      <c r="G13387" t="str">
        <f>T("VFA-151")</f>
        <v>VFA-151</v>
      </c>
      <c r="H13387" t="str">
        <f>T("HANGAR 3 MOD 5")</f>
        <v>HANGAR 3 MOD 5</v>
      </c>
      <c r="I13387" t="str">
        <f>T("REEVES BLVD")</f>
        <v>REEVES BLVD</v>
      </c>
      <c r="J13387" t="str">
        <f t="shared" si="4935"/>
        <v>CA</v>
      </c>
      <c r="K13387" t="str">
        <f>T("5599982824")</f>
        <v>5599982824</v>
      </c>
      <c r="L13387" t="str">
        <f>T("5599980390")</f>
        <v>5599980390</v>
      </c>
    </row>
    <row r="13388" spans="1:12" x14ac:dyDescent="0.35">
      <c r="A13388" t="str">
        <f t="shared" si="4939"/>
        <v>CSFWP LEMOORE</v>
      </c>
      <c r="B13388" t="str">
        <f>T("VFA-151")</f>
        <v>VFA-151</v>
      </c>
      <c r="C13388" t="str">
        <f>T("HANGAR 3 MOD 5")</f>
        <v>HANGAR 3 MOD 5</v>
      </c>
      <c r="D13388" t="str">
        <f>T("REEVES BLVD")</f>
        <v>REEVES BLVD</v>
      </c>
      <c r="E13388" t="str">
        <f t="shared" si="4936"/>
        <v>CA</v>
      </c>
      <c r="F13388" t="str">
        <f>T("932460000")</f>
        <v>932460000</v>
      </c>
      <c r="G13388" t="str">
        <f>T("VFA-151 MATERIAL CONTROL")</f>
        <v>VFA-151 MATERIAL CONTROL</v>
      </c>
      <c r="H13388" t="str">
        <f>T("HANGAR 3 MOD 4")</f>
        <v>HANGAR 3 MOD 4</v>
      </c>
      <c r="I13388" t="str">
        <f>T("LEMOORE")</f>
        <v>LEMOORE</v>
      </c>
      <c r="J13388" t="str">
        <f t="shared" si="4935"/>
        <v>CA</v>
      </c>
      <c r="K13388" t="str">
        <f>T("000000000000000000")</f>
        <v>000000000000000000</v>
      </c>
      <c r="L13388" t="str">
        <f>T("5599980390")</f>
        <v>5599980390</v>
      </c>
    </row>
    <row r="13389" spans="1:12" x14ac:dyDescent="0.35">
      <c r="A13389" t="str">
        <f t="shared" si="4939"/>
        <v>CSFWP LEMOORE</v>
      </c>
      <c r="B13389" t="str">
        <f>T("VFA-154 MATCON")</f>
        <v>VFA-154 MATCON</v>
      </c>
      <c r="C13389" t="str">
        <f>T("HANGAR 4 MOD 2")</f>
        <v>HANGAR 4 MOD 2</v>
      </c>
      <c r="D13389" t="str">
        <f t="shared" ref="D13389:D13394" si="4940">T("NAS LEMOORE")</f>
        <v>NAS LEMOORE</v>
      </c>
      <c r="E13389" t="str">
        <f t="shared" si="4936"/>
        <v>CA</v>
      </c>
      <c r="F13389" t="str">
        <f t="shared" ref="F13389:F13407" si="4941">T("932460001")</f>
        <v>932460001</v>
      </c>
      <c r="G13389" t="str">
        <f>T("VFA-154 MAT CON")</f>
        <v>VFA-154 MAT CON</v>
      </c>
      <c r="H13389" t="str">
        <f>T("HGR 4 MOD 2")</f>
        <v>HGR 4 MOD 2</v>
      </c>
      <c r="I13389" t="str">
        <f t="shared" ref="I13389:I13394" si="4942">T("NAS LEMOORE")</f>
        <v>NAS LEMOORE</v>
      </c>
      <c r="J13389" t="str">
        <f t="shared" si="4935"/>
        <v>CA</v>
      </c>
      <c r="K13389" t="str">
        <f>T("5599980608")</f>
        <v>5599980608</v>
      </c>
      <c r="L13389" t="str">
        <f>T("5599980663")</f>
        <v>5599980663</v>
      </c>
    </row>
    <row r="13390" spans="1:12" x14ac:dyDescent="0.35">
      <c r="A13390" t="str">
        <f t="shared" si="4939"/>
        <v>CSFWP LEMOORE</v>
      </c>
      <c r="B13390" t="str">
        <f>T("VFA-154 MATCON")</f>
        <v>VFA-154 MATCON</v>
      </c>
      <c r="C13390" t="str">
        <f>T("HANGAR 4 MOD 2")</f>
        <v>HANGAR 4 MOD 2</v>
      </c>
      <c r="D13390" t="str">
        <f t="shared" si="4940"/>
        <v>NAS LEMOORE</v>
      </c>
      <c r="E13390" t="str">
        <f t="shared" si="4936"/>
        <v>CA</v>
      </c>
      <c r="F13390" t="str">
        <f t="shared" si="4941"/>
        <v>932460001</v>
      </c>
      <c r="G13390" t="str">
        <f>T("VFA-154 MATCON")</f>
        <v>VFA-154 MATCON</v>
      </c>
      <c r="H13390" t="str">
        <f>T("BLDG 180 RM 211 REEVES BLVD")</f>
        <v>BLDG 180 RM 211 REEVES BLVD</v>
      </c>
      <c r="I13390" t="str">
        <f t="shared" si="4942"/>
        <v>NAS LEMOORE</v>
      </c>
      <c r="J13390" t="str">
        <f t="shared" si="4935"/>
        <v>CA</v>
      </c>
      <c r="K13390" t="str">
        <f>T("5599980608")</f>
        <v>5599980608</v>
      </c>
      <c r="L13390" t="str">
        <f>T("5599980663")</f>
        <v>5599980663</v>
      </c>
    </row>
    <row r="13391" spans="1:12" x14ac:dyDescent="0.35">
      <c r="A13391" t="str">
        <f t="shared" si="4939"/>
        <v>CSFWP LEMOORE</v>
      </c>
      <c r="B13391" t="str">
        <f>T("VFA-154 MATCON")</f>
        <v>VFA-154 MATCON</v>
      </c>
      <c r="C13391" t="str">
        <f>T("HANGAR 4 MOD 2")</f>
        <v>HANGAR 4 MOD 2</v>
      </c>
      <c r="D13391" t="str">
        <f t="shared" si="4940"/>
        <v>NAS LEMOORE</v>
      </c>
      <c r="E13391" t="str">
        <f t="shared" si="4936"/>
        <v>CA</v>
      </c>
      <c r="F13391" t="str">
        <f t="shared" si="4941"/>
        <v>932460001</v>
      </c>
      <c r="G13391" t="str">
        <f>T("VFA-154 MATCON")</f>
        <v>VFA-154 MATCON</v>
      </c>
      <c r="H13391" t="str">
        <f>T("HANGAR 4 MOD 2")</f>
        <v>HANGAR 4 MOD 2</v>
      </c>
      <c r="I13391" t="str">
        <f t="shared" si="4942"/>
        <v>NAS LEMOORE</v>
      </c>
      <c r="J13391" t="str">
        <f t="shared" si="4935"/>
        <v>CA</v>
      </c>
      <c r="K13391" t="str">
        <f>T("5599980608")</f>
        <v>5599980608</v>
      </c>
      <c r="L13391" t="str">
        <f>T("5599980663")</f>
        <v>5599980663</v>
      </c>
    </row>
    <row r="13392" spans="1:12" x14ac:dyDescent="0.35">
      <c r="A13392" t="str">
        <f t="shared" si="4939"/>
        <v>CSFWP LEMOORE</v>
      </c>
      <c r="B13392" t="str">
        <f>T("VFA-192 MATCON")</f>
        <v>VFA-192 MATCON</v>
      </c>
      <c r="C13392" t="str">
        <f>T("HANGAR 3 MOD 3")</f>
        <v>HANGAR 3 MOD 3</v>
      </c>
      <c r="D13392" t="str">
        <f t="shared" si="4940"/>
        <v>NAS LEMOORE</v>
      </c>
      <c r="E13392" t="str">
        <f t="shared" si="4936"/>
        <v>CA</v>
      </c>
      <c r="F13392" t="str">
        <f t="shared" si="4941"/>
        <v>932460001</v>
      </c>
      <c r="G13392" t="str">
        <f>T("VFA-192 MATCON")</f>
        <v>VFA-192 MATCON</v>
      </c>
      <c r="H13392" t="str">
        <f>T("HANGAR 3 MOD 3")</f>
        <v>HANGAR 3 MOD 3</v>
      </c>
      <c r="I13392" t="str">
        <f t="shared" si="4942"/>
        <v>NAS LEMOORE</v>
      </c>
      <c r="J13392" t="str">
        <f t="shared" si="4935"/>
        <v>CA</v>
      </c>
      <c r="K13392" t="str">
        <f>T("5599980358")</f>
        <v>5599980358</v>
      </c>
      <c r="L13392" t="str">
        <f>T("5599983096")</f>
        <v>5599983096</v>
      </c>
    </row>
    <row r="13393" spans="1:12" x14ac:dyDescent="0.35">
      <c r="A13393" t="str">
        <f t="shared" si="4939"/>
        <v>CSFWP LEMOORE</v>
      </c>
      <c r="B13393" t="str">
        <f>T("VFA-22 MATCON")</f>
        <v>VFA-22 MATCON</v>
      </c>
      <c r="C13393" t="str">
        <f>T("HANGAR 4 MOC 4")</f>
        <v>HANGAR 4 MOC 4</v>
      </c>
      <c r="D13393" t="str">
        <f t="shared" si="4940"/>
        <v>NAS LEMOORE</v>
      </c>
      <c r="E13393" t="str">
        <f t="shared" si="4936"/>
        <v>CA</v>
      </c>
      <c r="F13393" t="str">
        <f t="shared" si="4941"/>
        <v>932460001</v>
      </c>
      <c r="G13393" t="str">
        <f>T("HANGAR 4 MOD 4")</f>
        <v>HANGAR 4 MOD 4</v>
      </c>
      <c r="H13393" t="str">
        <f>T("REEVES BLVD")</f>
        <v>REEVES BLVD</v>
      </c>
      <c r="I13393" t="str">
        <f t="shared" si="4942"/>
        <v>NAS LEMOORE</v>
      </c>
      <c r="J13393" t="str">
        <f t="shared" si="4935"/>
        <v>CA</v>
      </c>
      <c r="K13393" t="str">
        <f>T("5599983000")</f>
        <v>5599983000</v>
      </c>
      <c r="L13393" t="str">
        <f>T("5599981970")</f>
        <v>5599981970</v>
      </c>
    </row>
    <row r="13394" spans="1:12" x14ac:dyDescent="0.35">
      <c r="A13394" t="str">
        <f t="shared" si="4939"/>
        <v>CSFWP LEMOORE</v>
      </c>
      <c r="B13394" t="str">
        <f>T("VFA-22 MATCON")</f>
        <v>VFA-22 MATCON</v>
      </c>
      <c r="C13394" t="str">
        <f>T("HANGAR 4 MOC 4")</f>
        <v>HANGAR 4 MOC 4</v>
      </c>
      <c r="D13394" t="str">
        <f t="shared" si="4940"/>
        <v>NAS LEMOORE</v>
      </c>
      <c r="E13394" t="str">
        <f t="shared" si="4936"/>
        <v>CA</v>
      </c>
      <c r="F13394" t="str">
        <f t="shared" si="4941"/>
        <v>932460001</v>
      </c>
      <c r="G13394" t="str">
        <f>T("VFA-22 MATCON")</f>
        <v>VFA-22 MATCON</v>
      </c>
      <c r="H13394" t="str">
        <f>T("HANGAR 4 MOC 4")</f>
        <v>HANGAR 4 MOC 4</v>
      </c>
      <c r="I13394" t="str">
        <f t="shared" si="4942"/>
        <v>NAS LEMOORE</v>
      </c>
      <c r="J13394" t="str">
        <f t="shared" si="4935"/>
        <v>CA</v>
      </c>
      <c r="K13394" t="str">
        <f>T("5599983000")</f>
        <v>5599983000</v>
      </c>
      <c r="L13394" t="str">
        <f>T("5599981969")</f>
        <v>5599981969</v>
      </c>
    </row>
    <row r="13395" spans="1:12" x14ac:dyDescent="0.35">
      <c r="A13395" t="str">
        <f t="shared" si="4939"/>
        <v>CSFWP LEMOORE</v>
      </c>
      <c r="B13395" t="str">
        <f>T("VFA-25 MATCON")</f>
        <v>VFA-25 MATCON</v>
      </c>
      <c r="C13395" t="str">
        <f>T("HANGAR 2 MOD 2")</f>
        <v>HANGAR 2 MOD 2</v>
      </c>
      <c r="D13395" t="str">
        <f>T("LEMOORE")</f>
        <v>LEMOORE</v>
      </c>
      <c r="E13395" t="str">
        <f t="shared" si="4936"/>
        <v>CA</v>
      </c>
      <c r="F13395" t="str">
        <f t="shared" si="4941"/>
        <v>932460001</v>
      </c>
      <c r="G13395" t="str">
        <f>T("VFA-25 MATCON")</f>
        <v>VFA-25 MATCON</v>
      </c>
      <c r="H13395" t="str">
        <f>T("HANGAR 2 MOD 2")</f>
        <v>HANGAR 2 MOD 2</v>
      </c>
      <c r="I13395" t="str">
        <f>T("LEMOORE")</f>
        <v>LEMOORE</v>
      </c>
      <c r="J13395" t="str">
        <f t="shared" si="4935"/>
        <v>CA</v>
      </c>
      <c r="K13395" t="str">
        <f>T("5599981923")</f>
        <v>5599981923</v>
      </c>
      <c r="L13395" t="str">
        <f>T("5599981900")</f>
        <v>5599981900</v>
      </c>
    </row>
    <row r="13396" spans="1:12" x14ac:dyDescent="0.35">
      <c r="A13396" t="str">
        <f t="shared" si="4939"/>
        <v>CSFWP LEMOORE</v>
      </c>
      <c r="B13396" t="str">
        <f>T("VFA-25 MATCON")</f>
        <v>VFA-25 MATCON</v>
      </c>
      <c r="C13396" t="str">
        <f>T("HANGAR 2 MOD 2")</f>
        <v>HANGAR 2 MOD 2</v>
      </c>
      <c r="D13396" t="str">
        <f>T("LEMOORE")</f>
        <v>LEMOORE</v>
      </c>
      <c r="E13396" t="str">
        <f t="shared" si="4936"/>
        <v>CA</v>
      </c>
      <c r="F13396" t="str">
        <f t="shared" si="4941"/>
        <v>932460001</v>
      </c>
      <c r="G13396" t="str">
        <f>T("VFA-25 MATCON")</f>
        <v>VFA-25 MATCON</v>
      </c>
      <c r="H13396" t="str">
        <f>T("HANGAR 2 MOD 2 NAS")</f>
        <v>HANGAR 2 MOD 2 NAS</v>
      </c>
      <c r="I13396" t="str">
        <f>T("LEMOORE")</f>
        <v>LEMOORE</v>
      </c>
      <c r="J13396" t="str">
        <f t="shared" si="4935"/>
        <v>CA</v>
      </c>
      <c r="K13396" t="str">
        <f>T("5599981923")</f>
        <v>5599981923</v>
      </c>
      <c r="L13396" t="str">
        <f>T("5599981900")</f>
        <v>5599981900</v>
      </c>
    </row>
    <row r="13397" spans="1:12" x14ac:dyDescent="0.35">
      <c r="A13397" t="str">
        <f t="shared" si="4939"/>
        <v>CSFWP LEMOORE</v>
      </c>
      <c r="B13397" t="str">
        <f>T("VFA-41 MATCON")</f>
        <v>VFA-41 MATCON</v>
      </c>
      <c r="C13397" t="str">
        <f>T("HGR 4 MOD 1")</f>
        <v>HGR 4 MOD 1</v>
      </c>
      <c r="D13397" t="str">
        <f>T("NAS LEMOORE")</f>
        <v>NAS LEMOORE</v>
      </c>
      <c r="E13397" t="str">
        <f t="shared" si="4936"/>
        <v>CA</v>
      </c>
      <c r="F13397" t="str">
        <f t="shared" si="4941"/>
        <v>932460001</v>
      </c>
      <c r="G13397" t="str">
        <f>T("VFA-41 MATCON")</f>
        <v>VFA-41 MATCON</v>
      </c>
      <c r="H13397" t="str">
        <f>T("HANGAR 4 MOD 1")</f>
        <v>HANGAR 4 MOD 1</v>
      </c>
      <c r="I13397" t="str">
        <f>T("LEMOORE")</f>
        <v>LEMOORE</v>
      </c>
      <c r="J13397" t="str">
        <f t="shared" si="4935"/>
        <v>CA</v>
      </c>
      <c r="K13397" t="str">
        <f>T("5599980561")</f>
        <v>5599980561</v>
      </c>
      <c r="L13397" t="str">
        <f>T("5599980524")</f>
        <v>5599980524</v>
      </c>
    </row>
    <row r="13398" spans="1:12" x14ac:dyDescent="0.35">
      <c r="A13398" t="str">
        <f t="shared" si="4939"/>
        <v>CSFWP LEMOORE</v>
      </c>
      <c r="B13398" t="str">
        <f>T("VFA-41 MATCON")</f>
        <v>VFA-41 MATCON</v>
      </c>
      <c r="C13398" t="str">
        <f>T("HGR 4 MOD 1")</f>
        <v>HGR 4 MOD 1</v>
      </c>
      <c r="D13398" t="str">
        <f>T("NAS LEMOORE")</f>
        <v>NAS LEMOORE</v>
      </c>
      <c r="E13398" t="str">
        <f t="shared" si="4936"/>
        <v>CA</v>
      </c>
      <c r="F13398" t="str">
        <f t="shared" si="4941"/>
        <v>932460001</v>
      </c>
      <c r="G13398" t="str">
        <f>T("VFA-41 MATCON")</f>
        <v>VFA-41 MATCON</v>
      </c>
      <c r="H13398" t="str">
        <f>T("HANGAR 4 MOD 1")</f>
        <v>HANGAR 4 MOD 1</v>
      </c>
      <c r="I13398" t="str">
        <f>T("NAS LEMOORE")</f>
        <v>NAS LEMOORE</v>
      </c>
      <c r="J13398" t="str">
        <f t="shared" si="4935"/>
        <v>CA</v>
      </c>
      <c r="K13398" t="str">
        <f>T("5599980561")</f>
        <v>5599980561</v>
      </c>
      <c r="L13398" t="str">
        <f>T("5599980559")</f>
        <v>5599980559</v>
      </c>
    </row>
    <row r="13399" spans="1:12" x14ac:dyDescent="0.35">
      <c r="A13399" t="str">
        <f t="shared" si="4939"/>
        <v>CSFWP LEMOORE</v>
      </c>
      <c r="B13399" t="str">
        <f>T("VFA-41 MATCON")</f>
        <v>VFA-41 MATCON</v>
      </c>
      <c r="C13399" t="str">
        <f>T("HGR 4 MOD 1")</f>
        <v>HGR 4 MOD 1</v>
      </c>
      <c r="D13399" t="str">
        <f>T("NAS LEMOORE")</f>
        <v>NAS LEMOORE</v>
      </c>
      <c r="E13399" t="str">
        <f t="shared" si="4936"/>
        <v>CA</v>
      </c>
      <c r="F13399" t="str">
        <f t="shared" si="4941"/>
        <v>932460001</v>
      </c>
      <c r="G13399" t="str">
        <f>T("VFA-41 MATCON")</f>
        <v>VFA-41 MATCON</v>
      </c>
      <c r="H13399" t="str">
        <f>T("HGR 4 MOD 1")</f>
        <v>HGR 4 MOD 1</v>
      </c>
      <c r="I13399" t="str">
        <f>T("NAS LEMOORE")</f>
        <v>NAS LEMOORE</v>
      </c>
      <c r="J13399" t="str">
        <f t="shared" si="4935"/>
        <v>CA</v>
      </c>
      <c r="K13399" t="str">
        <f>T("5599980561")</f>
        <v>5599980561</v>
      </c>
      <c r="L13399" t="str">
        <f>T("5599980546")</f>
        <v>5599980546</v>
      </c>
    </row>
    <row r="13400" spans="1:12" x14ac:dyDescent="0.35">
      <c r="A13400" t="str">
        <f t="shared" si="4939"/>
        <v>CSFWP LEMOORE</v>
      </c>
      <c r="B13400" t="str">
        <f>T("VFA-86 MATCON")</f>
        <v>VFA-86 MATCON</v>
      </c>
      <c r="C13400" t="str">
        <f>T("HANGAR 5 MOD 3")</f>
        <v>HANGAR 5 MOD 3</v>
      </c>
      <c r="D13400" t="str">
        <f>T("NAS LEMOORE")</f>
        <v>NAS LEMOORE</v>
      </c>
      <c r="E13400" t="str">
        <f t="shared" si="4936"/>
        <v>CA</v>
      </c>
      <c r="F13400" t="str">
        <f t="shared" si="4941"/>
        <v>932460001</v>
      </c>
      <c r="G13400" t="str">
        <f>T("VFA-86 MATCON")</f>
        <v>VFA-86 MATCON</v>
      </c>
      <c r="H13400" t="str">
        <f>T("HANGAR 5 MOD 3")</f>
        <v>HANGAR 5 MOD 3</v>
      </c>
      <c r="I13400" t="str">
        <f>T("NAS LEMOORE")</f>
        <v>NAS LEMOORE</v>
      </c>
      <c r="J13400" t="str">
        <f t="shared" si="4935"/>
        <v>CA</v>
      </c>
      <c r="K13400" t="str">
        <f>T("5599982054")</f>
        <v>5599982054</v>
      </c>
      <c r="L13400" t="str">
        <f>T("5599982089")</f>
        <v>5599982089</v>
      </c>
    </row>
    <row r="13401" spans="1:12" x14ac:dyDescent="0.35">
      <c r="A13401" t="str">
        <f t="shared" si="4939"/>
        <v>CSFWP LEMOORE</v>
      </c>
      <c r="B13401" t="str">
        <f>T("VFA-86 MATCON")</f>
        <v>VFA-86 MATCON</v>
      </c>
      <c r="C13401" t="str">
        <f>T("HANGAR 5 MOD 3")</f>
        <v>HANGAR 5 MOD 3</v>
      </c>
      <c r="D13401" t="str">
        <f>T("NAS LEMOORE")</f>
        <v>NAS LEMOORE</v>
      </c>
      <c r="E13401" t="str">
        <f t="shared" si="4936"/>
        <v>CA</v>
      </c>
      <c r="F13401" t="str">
        <f t="shared" si="4941"/>
        <v>932460001</v>
      </c>
      <c r="G13401" t="str">
        <f>T("VFA-86 MATERIAL CONTROL")</f>
        <v>VFA-86 MATERIAL CONTROL</v>
      </c>
      <c r="H13401" t="str">
        <f>T("HANGAR 5 MOD 3")</f>
        <v>HANGAR 5 MOD 3</v>
      </c>
      <c r="I13401" t="str">
        <f>T("NAS LEMOORE")</f>
        <v>NAS LEMOORE</v>
      </c>
      <c r="J13401" t="str">
        <f t="shared" si="4935"/>
        <v>CA</v>
      </c>
      <c r="K13401" t="str">
        <f>T("5599981796")</f>
        <v>5599981796</v>
      </c>
      <c r="L13401" t="str">
        <f>T("5599981781")</f>
        <v>5599981781</v>
      </c>
    </row>
    <row r="13402" spans="1:12" x14ac:dyDescent="0.35">
      <c r="A13402" t="str">
        <f t="shared" si="4939"/>
        <v>CSFWP LEMOORE</v>
      </c>
      <c r="B13402" t="str">
        <f>T("VFA-94 MATCON")</f>
        <v>VFA-94 MATCON</v>
      </c>
      <c r="C13402" t="str">
        <f>T("HANGAR 2 MOD 5")</f>
        <v>HANGAR 2 MOD 5</v>
      </c>
      <c r="D13402" t="str">
        <f>T("LEMOORE")</f>
        <v>LEMOORE</v>
      </c>
      <c r="E13402" t="str">
        <f t="shared" si="4936"/>
        <v>CA</v>
      </c>
      <c r="F13402" t="str">
        <f t="shared" si="4941"/>
        <v>932460001</v>
      </c>
      <c r="G13402" t="str">
        <f>T("VFA-94 MATCON")</f>
        <v>VFA-94 MATCON</v>
      </c>
      <c r="H13402" t="str">
        <f>T("HANGAR 2 MOD 5")</f>
        <v>HANGAR 2 MOD 5</v>
      </c>
      <c r="I13402" t="str">
        <f>T("LEMOORE")</f>
        <v>LEMOORE</v>
      </c>
      <c r="J13402" t="str">
        <f t="shared" si="4935"/>
        <v>CA</v>
      </c>
      <c r="K13402" t="str">
        <f>T("5599981562")</f>
        <v>5599981562</v>
      </c>
      <c r="L13402" t="str">
        <f>T("5599982967")</f>
        <v>5599982967</v>
      </c>
    </row>
    <row r="13403" spans="1:12" x14ac:dyDescent="0.35">
      <c r="A13403" t="str">
        <f t="shared" si="4939"/>
        <v>CSFWP LEMOORE</v>
      </c>
      <c r="B13403" t="str">
        <f>T("VFA-94 MATCON")</f>
        <v>VFA-94 MATCON</v>
      </c>
      <c r="C13403" t="str">
        <f>T("HANGAR 2 MOD 5")</f>
        <v>HANGAR 2 MOD 5</v>
      </c>
      <c r="D13403" t="str">
        <f>T("LEMOORE")</f>
        <v>LEMOORE</v>
      </c>
      <c r="E13403" t="str">
        <f t="shared" si="4936"/>
        <v>CA</v>
      </c>
      <c r="F13403" t="str">
        <f t="shared" si="4941"/>
        <v>932460001</v>
      </c>
      <c r="G13403" t="str">
        <f>T("VFA-94 MATCON")</f>
        <v>VFA-94 MATCON</v>
      </c>
      <c r="H13403" t="str">
        <f>T("HANGAR 2 MOD 5")</f>
        <v>HANGAR 2 MOD 5</v>
      </c>
      <c r="I13403" t="str">
        <f>T("LEMOORE")</f>
        <v>LEMOORE</v>
      </c>
      <c r="J13403" t="str">
        <f t="shared" si="4935"/>
        <v>CA</v>
      </c>
      <c r="K13403" t="str">
        <f>T("5599981562")</f>
        <v>5599981562</v>
      </c>
      <c r="L13403" t="str">
        <f>T("5599983039")</f>
        <v>5599983039</v>
      </c>
    </row>
    <row r="13404" spans="1:12" x14ac:dyDescent="0.35">
      <c r="A13404" t="str">
        <f t="shared" si="4939"/>
        <v>CSFWP LEMOORE</v>
      </c>
      <c r="B13404" t="str">
        <f>T("VFA-94 MATCON")</f>
        <v>VFA-94 MATCON</v>
      </c>
      <c r="C13404" t="str">
        <f>T("HANGAR 2 MOD 5")</f>
        <v>HANGAR 2 MOD 5</v>
      </c>
      <c r="D13404" t="str">
        <f>T("LEMOORE")</f>
        <v>LEMOORE</v>
      </c>
      <c r="E13404" t="str">
        <f t="shared" si="4936"/>
        <v>CA</v>
      </c>
      <c r="F13404" t="str">
        <f t="shared" si="4941"/>
        <v>932460001</v>
      </c>
      <c r="G13404" t="str">
        <f>T("VFA-94 MATCON")</f>
        <v>VFA-94 MATCON</v>
      </c>
      <c r="H13404" t="str">
        <f>T("HANGAR 2 MOD 5")</f>
        <v>HANGAR 2 MOD 5</v>
      </c>
      <c r="I13404" t="str">
        <f>T("NAS LEMOORE")</f>
        <v>NAS LEMOORE</v>
      </c>
      <c r="J13404" t="str">
        <f t="shared" si="4935"/>
        <v>CA</v>
      </c>
      <c r="K13404" t="str">
        <f>T("5599951562")</f>
        <v>5599951562</v>
      </c>
      <c r="L13404" t="str">
        <f>T("5599983007")</f>
        <v>5599983007</v>
      </c>
    </row>
    <row r="13405" spans="1:12" x14ac:dyDescent="0.35">
      <c r="A13405" t="str">
        <f t="shared" si="4939"/>
        <v>CSFWP LEMOORE</v>
      </c>
      <c r="B13405" t="str">
        <f>T("VFA-94 MATCON")</f>
        <v>VFA-94 MATCON</v>
      </c>
      <c r="C13405" t="str">
        <f>T("HANGAR 2 MOD 5")</f>
        <v>HANGAR 2 MOD 5</v>
      </c>
      <c r="D13405" t="str">
        <f>T("LEMOORE")</f>
        <v>LEMOORE</v>
      </c>
      <c r="E13405" t="str">
        <f t="shared" si="4936"/>
        <v>CA</v>
      </c>
      <c r="F13405" t="str">
        <f t="shared" si="4941"/>
        <v>932460001</v>
      </c>
      <c r="G13405" t="str">
        <f>T("VFA-94 MATCON")</f>
        <v>VFA-94 MATCON</v>
      </c>
      <c r="H13405" t="str">
        <f>T("HANGAR 2 MOD 5")</f>
        <v>HANGAR 2 MOD 5</v>
      </c>
      <c r="I13405" t="str">
        <f>T("NAS LEMOORE")</f>
        <v>NAS LEMOORE</v>
      </c>
      <c r="J13405" t="str">
        <f t="shared" si="4935"/>
        <v>CA</v>
      </c>
      <c r="K13405" t="str">
        <f>T("5599981562")</f>
        <v>5599981562</v>
      </c>
      <c r="L13405" t="str">
        <f>T("5599983007")</f>
        <v>5599983007</v>
      </c>
    </row>
    <row r="13406" spans="1:12" x14ac:dyDescent="0.35">
      <c r="A13406" t="str">
        <f t="shared" si="4939"/>
        <v>CSFWP LEMOORE</v>
      </c>
      <c r="B13406" t="str">
        <f>T("VFA-97 MATCON")</f>
        <v>VFA-97 MATCON</v>
      </c>
      <c r="C13406" t="str">
        <f>T("HANGAR 2 MOD 3")</f>
        <v>HANGAR 2 MOD 3</v>
      </c>
      <c r="D13406" t="str">
        <f>T("NAS LEMOORE")</f>
        <v>NAS LEMOORE</v>
      </c>
      <c r="E13406" t="str">
        <f t="shared" si="4936"/>
        <v>CA</v>
      </c>
      <c r="F13406" t="str">
        <f t="shared" si="4941"/>
        <v>932460001</v>
      </c>
      <c r="G13406" t="str">
        <f>T("VFA-97 MATCON")</f>
        <v>VFA-97 MATCON</v>
      </c>
      <c r="H13406" t="str">
        <f>T("HANGAR 2 MOD 3")</f>
        <v>HANGAR 2 MOD 3</v>
      </c>
      <c r="I13406" t="str">
        <f>T("NAS LEMOORE")</f>
        <v>NAS LEMOORE</v>
      </c>
      <c r="J13406" t="str">
        <f t="shared" si="4935"/>
        <v>CA</v>
      </c>
      <c r="K13406" t="str">
        <f>T("5599983082")</f>
        <v>5599983082</v>
      </c>
      <c r="L13406" t="str">
        <f>T("5599982113")</f>
        <v>5599982113</v>
      </c>
    </row>
    <row r="13407" spans="1:12" x14ac:dyDescent="0.35">
      <c r="A13407" t="str">
        <f t="shared" si="4939"/>
        <v>CSFWP LEMOORE</v>
      </c>
      <c r="B13407" t="str">
        <f>T("VFA-97 MATCON")</f>
        <v>VFA-97 MATCON</v>
      </c>
      <c r="C13407" t="str">
        <f>T("HANGAR 2 MOD 3")</f>
        <v>HANGAR 2 MOD 3</v>
      </c>
      <c r="D13407" t="str">
        <f>T("NAS LEMOORE")</f>
        <v>NAS LEMOORE</v>
      </c>
      <c r="E13407" t="str">
        <f t="shared" si="4936"/>
        <v>CA</v>
      </c>
      <c r="F13407" t="str">
        <f t="shared" si="4941"/>
        <v>932460001</v>
      </c>
      <c r="G13407" t="str">
        <f>T("VFA-97 MATERIAL CONTROL")</f>
        <v>VFA-97 MATERIAL CONTROL</v>
      </c>
      <c r="H13407" t="str">
        <f>T("HANGAR 2 MOD 3")</f>
        <v>HANGAR 2 MOD 3</v>
      </c>
      <c r="I13407" t="str">
        <f>T("NAS LEMOORE")</f>
        <v>NAS LEMOORE</v>
      </c>
      <c r="J13407" t="str">
        <f t="shared" si="4935"/>
        <v>CA</v>
      </c>
      <c r="K13407" t="str">
        <f>T("5599983082")</f>
        <v>5599983082</v>
      </c>
      <c r="L13407" t="str">
        <f>T("5599982194")</f>
        <v>5599982194</v>
      </c>
    </row>
    <row r="13408" spans="1:12" x14ac:dyDescent="0.35">
      <c r="A13408" t="str">
        <f t="shared" ref="A13408:A13413" si="4943">T("COMHSMWINGPAC ASD-N411")</f>
        <v>COMHSMWINGPAC ASD-N411</v>
      </c>
      <c r="B13408" t="str">
        <f t="shared" ref="B13408:B13413" si="4944">T("ASD SUPPLY DEPT POB357039")</f>
        <v>ASD SUPPLY DEPT POB357039</v>
      </c>
      <c r="C13408" t="str">
        <f t="shared" ref="C13408:C13413" si="4945">T("BLDG 318-2 NAS NORTH ISLAND")</f>
        <v>BLDG 318-2 NAS NORTH ISLAND</v>
      </c>
      <c r="D13408" t="str">
        <f t="shared" ref="D13408:D13413" si="4946">T("SAN DIEGO")</f>
        <v>SAN DIEGO</v>
      </c>
      <c r="E13408" t="str">
        <f t="shared" si="4936"/>
        <v>CA</v>
      </c>
      <c r="F13408" t="str">
        <f t="shared" ref="F13408:F13413" si="4947">T("921357039")</f>
        <v>921357039</v>
      </c>
      <c r="G13408" t="str">
        <f>T("357039 NAS NORTH ISLAND")</f>
        <v>357039 NAS NORTH ISLAND</v>
      </c>
      <c r="H13408" t="str">
        <f>T("ASD BLDG 318-2")</f>
        <v>ASD BLDG 318-2</v>
      </c>
      <c r="I13408" t="str">
        <f t="shared" ref="I13408:I13413" si="4948">T("SAN DIEGO")</f>
        <v>SAN DIEGO</v>
      </c>
      <c r="J13408" t="str">
        <f t="shared" si="4935"/>
        <v>CA</v>
      </c>
      <c r="K13408" t="str">
        <f>T("000000000000000000")</f>
        <v>000000000000000000</v>
      </c>
      <c r="L13408" t="str">
        <f>T("6195458072")</f>
        <v>6195458072</v>
      </c>
    </row>
    <row r="13409" spans="1:12" x14ac:dyDescent="0.35">
      <c r="A13409" t="str">
        <f t="shared" si="4943"/>
        <v>COMHSMWINGPAC ASD-N411</v>
      </c>
      <c r="B13409" t="str">
        <f t="shared" si="4944"/>
        <v>ASD SUPPLY DEPT POB357039</v>
      </c>
      <c r="C13409" t="str">
        <f t="shared" si="4945"/>
        <v>BLDG 318-2 NAS NORTH ISLAND</v>
      </c>
      <c r="D13409" t="str">
        <f t="shared" si="4946"/>
        <v>SAN DIEGO</v>
      </c>
      <c r="E13409" t="str">
        <f t="shared" si="4936"/>
        <v>CA</v>
      </c>
      <c r="F13409" t="str">
        <f t="shared" si="4947"/>
        <v>921357039</v>
      </c>
      <c r="G13409" t="str">
        <f>T("357039 NAS NORTH ISLAND")</f>
        <v>357039 NAS NORTH ISLAND</v>
      </c>
      <c r="H13409" t="str">
        <f>T("ASD BLDG 318-2")</f>
        <v>ASD BLDG 318-2</v>
      </c>
      <c r="I13409" t="str">
        <f t="shared" si="4948"/>
        <v>SAN DIEGO</v>
      </c>
      <c r="J13409" t="str">
        <f t="shared" si="4935"/>
        <v>CA</v>
      </c>
      <c r="K13409" t="str">
        <f>T("6195453251")</f>
        <v>6195453251</v>
      </c>
      <c r="L13409" t="str">
        <f>T("6195458072")</f>
        <v>6195458072</v>
      </c>
    </row>
    <row r="13410" spans="1:12" x14ac:dyDescent="0.35">
      <c r="A13410" t="str">
        <f t="shared" si="4943"/>
        <v>COMHSMWINGPAC ASD-N411</v>
      </c>
      <c r="B13410" t="str">
        <f t="shared" si="4944"/>
        <v>ASD SUPPLY DEPT POB357039</v>
      </c>
      <c r="C13410" t="str">
        <f t="shared" si="4945"/>
        <v>BLDG 318-2 NAS NORTH ISLAND</v>
      </c>
      <c r="D13410" t="str">
        <f t="shared" si="4946"/>
        <v>SAN DIEGO</v>
      </c>
      <c r="E13410" t="str">
        <f t="shared" si="4936"/>
        <v>CA</v>
      </c>
      <c r="F13410" t="str">
        <f t="shared" si="4947"/>
        <v>921357039</v>
      </c>
      <c r="G13410" t="str">
        <f>T("ASD N411 BLDG 318-2")</f>
        <v>ASD N411 BLDG 318-2</v>
      </c>
      <c r="H13410" t="str">
        <f>T("PO BOX 357039 NAS NRTH ISLAND")</f>
        <v>PO BOX 357039 NAS NRTH ISLAND</v>
      </c>
      <c r="I13410" t="str">
        <f t="shared" si="4948"/>
        <v>SAN DIEGO</v>
      </c>
      <c r="J13410" t="str">
        <f t="shared" si="4935"/>
        <v>CA</v>
      </c>
      <c r="K13410" t="str">
        <f>T("000000000000000000")</f>
        <v>000000000000000000</v>
      </c>
      <c r="L13410" t="str">
        <f>T("6195453216")</f>
        <v>6195453216</v>
      </c>
    </row>
    <row r="13411" spans="1:12" x14ac:dyDescent="0.35">
      <c r="A13411" t="str">
        <f t="shared" si="4943"/>
        <v>COMHSMWINGPAC ASD-N411</v>
      </c>
      <c r="B13411" t="str">
        <f t="shared" si="4944"/>
        <v>ASD SUPPLY DEPT POB357039</v>
      </c>
      <c r="C13411" t="str">
        <f t="shared" si="4945"/>
        <v>BLDG 318-2 NAS NORTH ISLAND</v>
      </c>
      <c r="D13411" t="str">
        <f t="shared" si="4946"/>
        <v>SAN DIEGO</v>
      </c>
      <c r="E13411" t="str">
        <f t="shared" si="4936"/>
        <v>CA</v>
      </c>
      <c r="F13411" t="str">
        <f t="shared" si="4947"/>
        <v>921357039</v>
      </c>
      <c r="G13411" t="str">
        <f>T("ASD SUPPLY DEPT POB357039")</f>
        <v>ASD SUPPLY DEPT POB357039</v>
      </c>
      <c r="H13411" t="str">
        <f>T("BLD 318-2 NAS NORTH ISLAND")</f>
        <v>BLD 318-2 NAS NORTH ISLAND</v>
      </c>
      <c r="I13411" t="str">
        <f t="shared" si="4948"/>
        <v>SAN DIEGO</v>
      </c>
      <c r="J13411" t="str">
        <f t="shared" si="4935"/>
        <v>CA</v>
      </c>
      <c r="K13411" t="str">
        <f>T("6195453251")</f>
        <v>6195453251</v>
      </c>
      <c r="L13411" t="str">
        <f>T("6195453522")</f>
        <v>6195453522</v>
      </c>
    </row>
    <row r="13412" spans="1:12" x14ac:dyDescent="0.35">
      <c r="A13412" t="str">
        <f t="shared" si="4943"/>
        <v>COMHSMWINGPAC ASD-N411</v>
      </c>
      <c r="B13412" t="str">
        <f t="shared" si="4944"/>
        <v>ASD SUPPLY DEPT POB357039</v>
      </c>
      <c r="C13412" t="str">
        <f t="shared" si="4945"/>
        <v>BLDG 318-2 NAS NORTH ISLAND</v>
      </c>
      <c r="D13412" t="str">
        <f t="shared" si="4946"/>
        <v>SAN DIEGO</v>
      </c>
      <c r="E13412" t="str">
        <f t="shared" si="4936"/>
        <v>CA</v>
      </c>
      <c r="F13412" t="str">
        <f t="shared" si="4947"/>
        <v>921357039</v>
      </c>
      <c r="G13412" t="str">
        <f>T("ASD SUPPLY DEPT POB357039")</f>
        <v>ASD SUPPLY DEPT POB357039</v>
      </c>
      <c r="H13412" t="str">
        <f>T("BLDG 318-2 NAS NORTH ISLAND")</f>
        <v>BLDG 318-2 NAS NORTH ISLAND</v>
      </c>
      <c r="I13412" t="str">
        <f t="shared" si="4948"/>
        <v>SAN DIEGO</v>
      </c>
      <c r="J13412" t="str">
        <f t="shared" si="4935"/>
        <v>CA</v>
      </c>
      <c r="K13412" t="str">
        <f>T("6195453251")</f>
        <v>6195453251</v>
      </c>
      <c r="L13412" t="str">
        <f>T("6195454749")</f>
        <v>6195454749</v>
      </c>
    </row>
    <row r="13413" spans="1:12" x14ac:dyDescent="0.35">
      <c r="A13413" t="str">
        <f t="shared" si="4943"/>
        <v>COMHSMWINGPAC ASD-N411</v>
      </c>
      <c r="B13413" t="str">
        <f t="shared" si="4944"/>
        <v>ASD SUPPLY DEPT POB357039</v>
      </c>
      <c r="C13413" t="str">
        <f t="shared" si="4945"/>
        <v>BLDG 318-2 NAS NORTH ISLAND</v>
      </c>
      <c r="D13413" t="str">
        <f t="shared" si="4946"/>
        <v>SAN DIEGO</v>
      </c>
      <c r="E13413" t="str">
        <f t="shared" si="4936"/>
        <v>CA</v>
      </c>
      <c r="F13413" t="str">
        <f t="shared" si="4947"/>
        <v>921357039</v>
      </c>
      <c r="G13413" t="str">
        <f>T("COMHSMWINGPAC NAS NI BUILING 318-2")</f>
        <v>COMHSMWINGPAC NAS NI BUILING 318-2</v>
      </c>
      <c r="H13413" t="str">
        <f>T("")</f>
        <v/>
      </c>
      <c r="I13413" t="str">
        <f t="shared" si="4948"/>
        <v>SAN DIEGO</v>
      </c>
      <c r="J13413" t="str">
        <f t="shared" si="4935"/>
        <v>CA</v>
      </c>
      <c r="K13413" t="str">
        <f>T("5455453251")</f>
        <v>5455453251</v>
      </c>
      <c r="L13413" t="str">
        <f>T("6195453522")</f>
        <v>6195453522</v>
      </c>
    </row>
    <row r="13414" spans="1:12" x14ac:dyDescent="0.35">
      <c r="A13414" t="str">
        <f t="shared" ref="A13414:A13428" si="4949">T("COMVAQWINGPAC")</f>
        <v>COMVAQWINGPAC</v>
      </c>
      <c r="B13414" t="str">
        <f>T("3730 N CHARLES PORTER AVE")</f>
        <v>3730 N CHARLES PORTER AVE</v>
      </c>
      <c r="C13414" t="str">
        <f t="shared" ref="C13414:C13428" si="4950">T("")</f>
        <v/>
      </c>
      <c r="D13414" t="str">
        <f t="shared" ref="D13414:D13428" si="4951">T("OAK HARBOR")</f>
        <v>OAK HARBOR</v>
      </c>
      <c r="E13414" t="str">
        <f t="shared" ref="E13414:E13428" si="4952">T("WA")</f>
        <v>WA</v>
      </c>
      <c r="F13414" t="str">
        <f>T("982784200")</f>
        <v>982784200</v>
      </c>
      <c r="G13414" t="str">
        <f>T("3730 N CHARLES PORTER AVE")</f>
        <v>3730 N CHARLES PORTER AVE</v>
      </c>
      <c r="H13414" t="str">
        <f>T("")</f>
        <v/>
      </c>
      <c r="I13414" t="str">
        <f t="shared" ref="I13414:I13428" si="4953">T("OAK HARBOR")</f>
        <v>OAK HARBOR</v>
      </c>
      <c r="J13414" t="str">
        <f t="shared" ref="J13414:J13428" si="4954">T("WA")</f>
        <v>WA</v>
      </c>
      <c r="K13414" t="str">
        <f>T("000000000000000000")</f>
        <v>000000000000000000</v>
      </c>
      <c r="L13414" t="str">
        <f>T("1111111111")</f>
        <v>1111111111</v>
      </c>
    </row>
    <row r="13415" spans="1:12" x14ac:dyDescent="0.35">
      <c r="A13415" t="str">
        <f t="shared" si="4949"/>
        <v>COMVAQWINGPAC</v>
      </c>
      <c r="B13415" t="str">
        <f>T("3730 N CHARLES PORTER AVE")</f>
        <v>3730 N CHARLES PORTER AVE</v>
      </c>
      <c r="C13415" t="str">
        <f t="shared" si="4950"/>
        <v/>
      </c>
      <c r="D13415" t="str">
        <f t="shared" si="4951"/>
        <v>OAK HARBOR</v>
      </c>
      <c r="E13415" t="str">
        <f t="shared" si="4952"/>
        <v>WA</v>
      </c>
      <c r="F13415" t="str">
        <f>T("982784200")</f>
        <v>982784200</v>
      </c>
      <c r="G13415" t="str">
        <f>T("950 W ESSEX ROAD")</f>
        <v>950 W ESSEX ROAD</v>
      </c>
      <c r="H13415" t="str">
        <f>T("")</f>
        <v/>
      </c>
      <c r="I13415" t="str">
        <f t="shared" si="4953"/>
        <v>OAK HARBOR</v>
      </c>
      <c r="J13415" t="str">
        <f t="shared" si="4954"/>
        <v>WA</v>
      </c>
      <c r="K13415" t="str">
        <f>T("000000000000000000")</f>
        <v>000000000000000000</v>
      </c>
      <c r="L13415" t="str">
        <f>T("3602576192")</f>
        <v>3602576192</v>
      </c>
    </row>
    <row r="13416" spans="1:12" x14ac:dyDescent="0.35">
      <c r="A13416" t="str">
        <f t="shared" si="4949"/>
        <v>COMVAQWINGPAC</v>
      </c>
      <c r="B13416" t="str">
        <f>T("3730 N CHARLES PORTER AVE")</f>
        <v>3730 N CHARLES PORTER AVE</v>
      </c>
      <c r="C13416" t="str">
        <f t="shared" si="4950"/>
        <v/>
      </c>
      <c r="D13416" t="str">
        <f t="shared" si="4951"/>
        <v>OAK HARBOR</v>
      </c>
      <c r="E13416" t="str">
        <f t="shared" si="4952"/>
        <v>WA</v>
      </c>
      <c r="F13416" t="str">
        <f>T("982784200")</f>
        <v>982784200</v>
      </c>
      <c r="G13416" t="str">
        <f>T("NASWI SEARCH AND RESCUE")</f>
        <v>NASWI SEARCH AND RESCUE</v>
      </c>
      <c r="H13416" t="str">
        <f>T("3730 N CHARLES PORTER AVE")</f>
        <v>3730 N CHARLES PORTER AVE</v>
      </c>
      <c r="I13416" t="str">
        <f t="shared" si="4953"/>
        <v>OAK HARBOR</v>
      </c>
      <c r="J13416" t="str">
        <f t="shared" si="4954"/>
        <v>WA</v>
      </c>
      <c r="K13416" t="str">
        <f>T("000000000000000000")</f>
        <v>000000000000000000</v>
      </c>
      <c r="L13416" t="str">
        <f>T("3602573044")</f>
        <v>3602573044</v>
      </c>
    </row>
    <row r="13417" spans="1:12" x14ac:dyDescent="0.35">
      <c r="A13417" t="str">
        <f t="shared" si="4949"/>
        <v>COMVAQWINGPAC</v>
      </c>
      <c r="B13417" t="str">
        <f t="shared" ref="B13417:B13422" si="4955">T("950 W ESSEX RD")</f>
        <v>950 W ESSEX RD</v>
      </c>
      <c r="C13417" t="str">
        <f t="shared" si="4950"/>
        <v/>
      </c>
      <c r="D13417" t="str">
        <f t="shared" si="4951"/>
        <v>OAK HARBOR</v>
      </c>
      <c r="E13417" t="str">
        <f t="shared" si="4952"/>
        <v>WA</v>
      </c>
      <c r="F13417" t="str">
        <f t="shared" ref="F13417:F13428" si="4956">T("982784914")</f>
        <v>982784914</v>
      </c>
      <c r="G13417" t="str">
        <f>T("950 W ESSEX RD")</f>
        <v>950 W ESSEX RD</v>
      </c>
      <c r="H13417" t="str">
        <f t="shared" ref="H13417:H13423" si="4957">T("")</f>
        <v/>
      </c>
      <c r="I13417" t="str">
        <f t="shared" si="4953"/>
        <v>OAK HARBOR</v>
      </c>
      <c r="J13417" t="str">
        <f t="shared" si="4954"/>
        <v>WA</v>
      </c>
      <c r="K13417" t="str">
        <f>T("")</f>
        <v/>
      </c>
      <c r="L13417" t="str">
        <f>T("3602571215")</f>
        <v>3602571215</v>
      </c>
    </row>
    <row r="13418" spans="1:12" x14ac:dyDescent="0.35">
      <c r="A13418" t="str">
        <f t="shared" si="4949"/>
        <v>COMVAQWINGPAC</v>
      </c>
      <c r="B13418" t="str">
        <f t="shared" si="4955"/>
        <v>950 W ESSEX RD</v>
      </c>
      <c r="C13418" t="str">
        <f t="shared" si="4950"/>
        <v/>
      </c>
      <c r="D13418" t="str">
        <f t="shared" si="4951"/>
        <v>OAK HARBOR</v>
      </c>
      <c r="E13418" t="str">
        <f t="shared" si="4952"/>
        <v>WA</v>
      </c>
      <c r="F13418" t="str">
        <f t="shared" si="4956"/>
        <v>982784914</v>
      </c>
      <c r="G13418" t="str">
        <f>T("950 W ESSEX RD")</f>
        <v>950 W ESSEX RD</v>
      </c>
      <c r="H13418" t="str">
        <f t="shared" si="4957"/>
        <v/>
      </c>
      <c r="I13418" t="str">
        <f t="shared" si="4953"/>
        <v>OAK HARBOR</v>
      </c>
      <c r="J13418" t="str">
        <f t="shared" si="4954"/>
        <v>WA</v>
      </c>
      <c r="K13418" t="str">
        <f t="shared" ref="K13418:K13425" si="4958">T("000000000000000000")</f>
        <v>000000000000000000</v>
      </c>
      <c r="L13418" t="str">
        <f>T("3602574731")</f>
        <v>3602574731</v>
      </c>
    </row>
    <row r="13419" spans="1:12" x14ac:dyDescent="0.35">
      <c r="A13419" t="str">
        <f t="shared" si="4949"/>
        <v>COMVAQWINGPAC</v>
      </c>
      <c r="B13419" t="str">
        <f t="shared" si="4955"/>
        <v>950 W ESSEX RD</v>
      </c>
      <c r="C13419" t="str">
        <f t="shared" si="4950"/>
        <v/>
      </c>
      <c r="D13419" t="str">
        <f t="shared" si="4951"/>
        <v>OAK HARBOR</v>
      </c>
      <c r="E13419" t="str">
        <f t="shared" si="4952"/>
        <v>WA</v>
      </c>
      <c r="F13419" t="str">
        <f t="shared" si="4956"/>
        <v>982784914</v>
      </c>
      <c r="G13419" t="str">
        <f>T("950 W ESSEX RD")</f>
        <v>950 W ESSEX RD</v>
      </c>
      <c r="H13419" t="str">
        <f t="shared" si="4957"/>
        <v/>
      </c>
      <c r="I13419" t="str">
        <f t="shared" si="4953"/>
        <v>OAK HARBOR</v>
      </c>
      <c r="J13419" t="str">
        <f t="shared" si="4954"/>
        <v>WA</v>
      </c>
      <c r="K13419" t="str">
        <f t="shared" si="4958"/>
        <v>000000000000000000</v>
      </c>
      <c r="L13419" t="str">
        <f>T("3602578626")</f>
        <v>3602578626</v>
      </c>
    </row>
    <row r="13420" spans="1:12" x14ac:dyDescent="0.35">
      <c r="A13420" t="str">
        <f t="shared" si="4949"/>
        <v>COMVAQWINGPAC</v>
      </c>
      <c r="B13420" t="str">
        <f t="shared" si="4955"/>
        <v>950 W ESSEX RD</v>
      </c>
      <c r="C13420" t="str">
        <f t="shared" si="4950"/>
        <v/>
      </c>
      <c r="D13420" t="str">
        <f t="shared" si="4951"/>
        <v>OAK HARBOR</v>
      </c>
      <c r="E13420" t="str">
        <f t="shared" si="4952"/>
        <v>WA</v>
      </c>
      <c r="F13420" t="str">
        <f t="shared" si="4956"/>
        <v>982784914</v>
      </c>
      <c r="G13420" t="str">
        <f>T("950 W ESSEX ROAD")</f>
        <v>950 W ESSEX ROAD</v>
      </c>
      <c r="H13420" t="str">
        <f t="shared" si="4957"/>
        <v/>
      </c>
      <c r="I13420" t="str">
        <f t="shared" si="4953"/>
        <v>OAK HARBOR</v>
      </c>
      <c r="J13420" t="str">
        <f t="shared" si="4954"/>
        <v>WA</v>
      </c>
      <c r="K13420" t="str">
        <f t="shared" si="4958"/>
        <v>000000000000000000</v>
      </c>
      <c r="L13420" t="str">
        <f>T("3602575233")</f>
        <v>3602575233</v>
      </c>
    </row>
    <row r="13421" spans="1:12" x14ac:dyDescent="0.35">
      <c r="A13421" t="str">
        <f t="shared" si="4949"/>
        <v>COMVAQWINGPAC</v>
      </c>
      <c r="B13421" t="str">
        <f t="shared" si="4955"/>
        <v>950 W ESSEX RD</v>
      </c>
      <c r="C13421" t="str">
        <f t="shared" si="4950"/>
        <v/>
      </c>
      <c r="D13421" t="str">
        <f t="shared" si="4951"/>
        <v>OAK HARBOR</v>
      </c>
      <c r="E13421" t="str">
        <f t="shared" si="4952"/>
        <v>WA</v>
      </c>
      <c r="F13421" t="str">
        <f t="shared" si="4956"/>
        <v>982784914</v>
      </c>
      <c r="G13421" t="str">
        <f>T("950 W ESSEX ROAD")</f>
        <v>950 W ESSEX ROAD</v>
      </c>
      <c r="H13421" t="str">
        <f t="shared" si="4957"/>
        <v/>
      </c>
      <c r="I13421" t="str">
        <f t="shared" si="4953"/>
        <v>OAK HARBOR</v>
      </c>
      <c r="J13421" t="str">
        <f t="shared" si="4954"/>
        <v>WA</v>
      </c>
      <c r="K13421" t="str">
        <f t="shared" si="4958"/>
        <v>000000000000000000</v>
      </c>
      <c r="L13421" t="str">
        <f>T("3602578532")</f>
        <v>3602578532</v>
      </c>
    </row>
    <row r="13422" spans="1:12" x14ac:dyDescent="0.35">
      <c r="A13422" t="str">
        <f t="shared" si="4949"/>
        <v>COMVAQWINGPAC</v>
      </c>
      <c r="B13422" t="str">
        <f t="shared" si="4955"/>
        <v>950 W ESSEX RD</v>
      </c>
      <c r="C13422" t="str">
        <f t="shared" si="4950"/>
        <v/>
      </c>
      <c r="D13422" t="str">
        <f t="shared" si="4951"/>
        <v>OAK HARBOR</v>
      </c>
      <c r="E13422" t="str">
        <f t="shared" si="4952"/>
        <v>WA</v>
      </c>
      <c r="F13422" t="str">
        <f t="shared" si="4956"/>
        <v>982784914</v>
      </c>
      <c r="G13422" t="str">
        <f>T("950 W ESSEX ROAD BLDG 2547")</f>
        <v>950 W ESSEX ROAD BLDG 2547</v>
      </c>
      <c r="H13422" t="str">
        <f t="shared" si="4957"/>
        <v/>
      </c>
      <c r="I13422" t="str">
        <f t="shared" si="4953"/>
        <v>OAK HARBOR</v>
      </c>
      <c r="J13422" t="str">
        <f t="shared" si="4954"/>
        <v>WA</v>
      </c>
      <c r="K13422" t="str">
        <f t="shared" si="4958"/>
        <v>000000000000000000</v>
      </c>
      <c r="L13422" t="str">
        <f>T("3602576044")</f>
        <v>3602576044</v>
      </c>
    </row>
    <row r="13423" spans="1:12" x14ac:dyDescent="0.35">
      <c r="A13423" t="str">
        <f t="shared" si="4949"/>
        <v>COMVAQWINGPAC</v>
      </c>
      <c r="B13423" t="str">
        <f t="shared" ref="B13423:B13428" si="4959">T("950 W ESSEX ROAD")</f>
        <v>950 W ESSEX ROAD</v>
      </c>
      <c r="C13423" t="str">
        <f t="shared" si="4950"/>
        <v/>
      </c>
      <c r="D13423" t="str">
        <f t="shared" si="4951"/>
        <v>OAK HARBOR</v>
      </c>
      <c r="E13423" t="str">
        <f t="shared" si="4952"/>
        <v>WA</v>
      </c>
      <c r="F13423" t="str">
        <f t="shared" si="4956"/>
        <v>982784914</v>
      </c>
      <c r="G13423" t="str">
        <f>T("950 W ESSEX RD")</f>
        <v>950 W ESSEX RD</v>
      </c>
      <c r="H13423" t="str">
        <f t="shared" si="4957"/>
        <v/>
      </c>
      <c r="I13423" t="str">
        <f t="shared" si="4953"/>
        <v>OAK HARBOR</v>
      </c>
      <c r="J13423" t="str">
        <f t="shared" si="4954"/>
        <v>WA</v>
      </c>
      <c r="K13423" t="str">
        <f t="shared" si="4958"/>
        <v>000000000000000000</v>
      </c>
      <c r="L13423" t="str">
        <f>T("3602571078")</f>
        <v>3602571078</v>
      </c>
    </row>
    <row r="13424" spans="1:12" x14ac:dyDescent="0.35">
      <c r="A13424" t="str">
        <f t="shared" si="4949"/>
        <v>COMVAQWINGPAC</v>
      </c>
      <c r="B13424" t="str">
        <f t="shared" si="4959"/>
        <v>950 W ESSEX ROAD</v>
      </c>
      <c r="C13424" t="str">
        <f t="shared" si="4950"/>
        <v/>
      </c>
      <c r="D13424" t="str">
        <f t="shared" si="4951"/>
        <v>OAK HARBOR</v>
      </c>
      <c r="E13424" t="str">
        <f t="shared" si="4952"/>
        <v>WA</v>
      </c>
      <c r="F13424" t="str">
        <f t="shared" si="4956"/>
        <v>982784914</v>
      </c>
      <c r="G13424" t="str">
        <f>T("950 W ESSEX RD")</f>
        <v>950 W ESSEX RD</v>
      </c>
      <c r="H13424" t="str">
        <f>T("BLDG 2546")</f>
        <v>BLDG 2546</v>
      </c>
      <c r="I13424" t="str">
        <f t="shared" si="4953"/>
        <v>OAK HARBOR</v>
      </c>
      <c r="J13424" t="str">
        <f t="shared" si="4954"/>
        <v>WA</v>
      </c>
      <c r="K13424" t="str">
        <f t="shared" si="4958"/>
        <v>000000000000000000</v>
      </c>
      <c r="L13424" t="str">
        <f>T("3602572910")</f>
        <v>3602572910</v>
      </c>
    </row>
    <row r="13425" spans="1:12" x14ac:dyDescent="0.35">
      <c r="A13425" t="str">
        <f t="shared" si="4949"/>
        <v>COMVAQWINGPAC</v>
      </c>
      <c r="B13425" t="str">
        <f t="shared" si="4959"/>
        <v>950 W ESSEX ROAD</v>
      </c>
      <c r="C13425" t="str">
        <f t="shared" si="4950"/>
        <v/>
      </c>
      <c r="D13425" t="str">
        <f t="shared" si="4951"/>
        <v>OAK HARBOR</v>
      </c>
      <c r="E13425" t="str">
        <f t="shared" si="4952"/>
        <v>WA</v>
      </c>
      <c r="F13425" t="str">
        <f t="shared" si="4956"/>
        <v>982784914</v>
      </c>
      <c r="G13425" t="str">
        <f>T("950 W ESSEX RD")</f>
        <v>950 W ESSEX RD</v>
      </c>
      <c r="H13425" t="str">
        <f>T("BLDG 2546")</f>
        <v>BLDG 2546</v>
      </c>
      <c r="I13425" t="str">
        <f t="shared" si="4953"/>
        <v>OAK HARBOR</v>
      </c>
      <c r="J13425" t="str">
        <f t="shared" si="4954"/>
        <v>WA</v>
      </c>
      <c r="K13425" t="str">
        <f t="shared" si="4958"/>
        <v>000000000000000000</v>
      </c>
      <c r="L13425" t="str">
        <f>T("3602578614")</f>
        <v>3602578614</v>
      </c>
    </row>
    <row r="13426" spans="1:12" x14ac:dyDescent="0.35">
      <c r="A13426" t="str">
        <f t="shared" si="4949"/>
        <v>COMVAQWINGPAC</v>
      </c>
      <c r="B13426" t="str">
        <f t="shared" si="4959"/>
        <v>950 W ESSEX ROAD</v>
      </c>
      <c r="C13426" t="str">
        <f t="shared" si="4950"/>
        <v/>
      </c>
      <c r="D13426" t="str">
        <f t="shared" si="4951"/>
        <v>OAK HARBOR</v>
      </c>
      <c r="E13426" t="str">
        <f t="shared" si="4952"/>
        <v>WA</v>
      </c>
      <c r="F13426" t="str">
        <f t="shared" si="4956"/>
        <v>982784914</v>
      </c>
      <c r="G13426" t="str">
        <f>T("950 W ESSEX ROAD")</f>
        <v>950 W ESSEX ROAD</v>
      </c>
      <c r="H13426" t="str">
        <f>T("")</f>
        <v/>
      </c>
      <c r="I13426" t="str">
        <f t="shared" si="4953"/>
        <v>OAK HARBOR</v>
      </c>
      <c r="J13426" t="str">
        <f t="shared" si="4954"/>
        <v>WA</v>
      </c>
      <c r="K13426" t="str">
        <f>T("3602572031")</f>
        <v>3602572031</v>
      </c>
      <c r="L13426" t="str">
        <f>T("3602572224")</f>
        <v>3602572224</v>
      </c>
    </row>
    <row r="13427" spans="1:12" x14ac:dyDescent="0.35">
      <c r="A13427" t="str">
        <f t="shared" si="4949"/>
        <v>COMVAQWINGPAC</v>
      </c>
      <c r="B13427" t="str">
        <f t="shared" si="4959"/>
        <v>950 W ESSEX ROAD</v>
      </c>
      <c r="C13427" t="str">
        <f t="shared" si="4950"/>
        <v/>
      </c>
      <c r="D13427" t="str">
        <f t="shared" si="4951"/>
        <v>OAK HARBOR</v>
      </c>
      <c r="E13427" t="str">
        <f t="shared" si="4952"/>
        <v>WA</v>
      </c>
      <c r="F13427" t="str">
        <f t="shared" si="4956"/>
        <v>982784914</v>
      </c>
      <c r="G13427" t="str">
        <f>T("950 W ESSEX ROAD")</f>
        <v>950 W ESSEX ROAD</v>
      </c>
      <c r="H13427" t="str">
        <f>T("BLDG 2546")</f>
        <v>BLDG 2546</v>
      </c>
      <c r="I13427" t="str">
        <f t="shared" si="4953"/>
        <v>OAK HARBOR</v>
      </c>
      <c r="J13427" t="str">
        <f t="shared" si="4954"/>
        <v>WA</v>
      </c>
      <c r="K13427" t="str">
        <f>T("000000000000000000")</f>
        <v>000000000000000000</v>
      </c>
      <c r="L13427" t="str">
        <f>T("3602578614")</f>
        <v>3602578614</v>
      </c>
    </row>
    <row r="13428" spans="1:12" x14ac:dyDescent="0.35">
      <c r="A13428" t="str">
        <f t="shared" si="4949"/>
        <v>COMVAQWINGPAC</v>
      </c>
      <c r="B13428" t="str">
        <f t="shared" si="4959"/>
        <v>950 W ESSEX ROAD</v>
      </c>
      <c r="C13428" t="str">
        <f t="shared" si="4950"/>
        <v/>
      </c>
      <c r="D13428" t="str">
        <f t="shared" si="4951"/>
        <v>OAK HARBOR</v>
      </c>
      <c r="E13428" t="str">
        <f t="shared" si="4952"/>
        <v>WA</v>
      </c>
      <c r="F13428" t="str">
        <f t="shared" si="4956"/>
        <v>982784914</v>
      </c>
      <c r="G13428" t="str">
        <f>T("950 W ESSEX ROAD")</f>
        <v>950 W ESSEX ROAD</v>
      </c>
      <c r="H13428" t="str">
        <f>T("NAS WHIDBEY ISLAND -HAZMAT")</f>
        <v>NAS WHIDBEY ISLAND -HAZMAT</v>
      </c>
      <c r="I13428" t="str">
        <f t="shared" si="4953"/>
        <v>OAK HARBOR</v>
      </c>
      <c r="J13428" t="str">
        <f t="shared" si="4954"/>
        <v>WA</v>
      </c>
      <c r="K13428" t="str">
        <f>T("000000000000000000")</f>
        <v>000000000000000000</v>
      </c>
      <c r="L13428" t="str">
        <f>T("3602574836")</f>
        <v>3602574836</v>
      </c>
    </row>
    <row r="13429" spans="1:12" x14ac:dyDescent="0.35">
      <c r="A13429" t="str">
        <f t="shared" ref="A13429:B13431" si="4960">T("TASK FORCE FIVE SEVEN")</f>
        <v>TASK FORCE FIVE SEVEN</v>
      </c>
      <c r="B13429" t="str">
        <f t="shared" si="4960"/>
        <v>TASK FORCE FIVE SEVEN</v>
      </c>
      <c r="C13429" t="str">
        <f>T("PSC 451 BOX 490")</f>
        <v>PSC 451 BOX 490</v>
      </c>
      <c r="D13429" t="str">
        <f>T("FPO")</f>
        <v>FPO</v>
      </c>
      <c r="E13429" t="str">
        <f>T("AE")</f>
        <v>AE</v>
      </c>
      <c r="F13429" t="str">
        <f>T("098340005")</f>
        <v>098340005</v>
      </c>
      <c r="G13429" t="str">
        <f>T("CPRW 57")</f>
        <v>CPRW 57</v>
      </c>
      <c r="H13429" t="str">
        <f>T("PSC 851 BOX 490")</f>
        <v>PSC 851 BOX 490</v>
      </c>
      <c r="I13429" t="str">
        <f>T("FPO")</f>
        <v>FPO</v>
      </c>
      <c r="J13429" t="str">
        <f>T("AE")</f>
        <v>AE</v>
      </c>
      <c r="K13429" t="str">
        <f>T("01197317858182")</f>
        <v>01197317858182</v>
      </c>
      <c r="L13429" t="str">
        <f>T("1111111111")</f>
        <v>1111111111</v>
      </c>
    </row>
    <row r="13430" spans="1:12" x14ac:dyDescent="0.35">
      <c r="A13430" t="str">
        <f t="shared" si="4960"/>
        <v>TASK FORCE FIVE SEVEN</v>
      </c>
      <c r="B13430" t="str">
        <f t="shared" si="4960"/>
        <v>TASK FORCE FIVE SEVEN</v>
      </c>
      <c r="C13430" t="str">
        <f>T("PSC 451 BOX 490")</f>
        <v>PSC 451 BOX 490</v>
      </c>
      <c r="D13430" t="str">
        <f>T("FPO")</f>
        <v>FPO</v>
      </c>
      <c r="E13430" t="str">
        <f>T("AE")</f>
        <v>AE</v>
      </c>
      <c r="F13430" t="str">
        <f>T("098340005")</f>
        <v>098340005</v>
      </c>
      <c r="G13430" t="str">
        <f>T("TASK FORCE FIVE SEVEN")</f>
        <v>TASK FORCE FIVE SEVEN</v>
      </c>
      <c r="H13430" t="str">
        <f>T("PSC 451 BOX 490")</f>
        <v>PSC 451 BOX 490</v>
      </c>
      <c r="I13430" t="str">
        <f>T("FPO")</f>
        <v>FPO</v>
      </c>
      <c r="J13430" t="str">
        <f>T("AE")</f>
        <v>AE</v>
      </c>
      <c r="K13430" t="str">
        <f>T("01197317856305")</f>
        <v>01197317856305</v>
      </c>
      <c r="L13430" t="str">
        <f>T("1111111111")</f>
        <v>1111111111</v>
      </c>
    </row>
    <row r="13431" spans="1:12" x14ac:dyDescent="0.35">
      <c r="A13431" t="str">
        <f t="shared" si="4960"/>
        <v>TASK FORCE FIVE SEVEN</v>
      </c>
      <c r="B13431" t="str">
        <f t="shared" si="4960"/>
        <v>TASK FORCE FIVE SEVEN</v>
      </c>
      <c r="C13431" t="str">
        <f>T("PSC 451 BOX 490")</f>
        <v>PSC 451 BOX 490</v>
      </c>
      <c r="D13431" t="str">
        <f>T("FPO")</f>
        <v>FPO</v>
      </c>
      <c r="E13431" t="str">
        <f>T("AE")</f>
        <v>AE</v>
      </c>
      <c r="F13431" t="str">
        <f>T("098340005")</f>
        <v>098340005</v>
      </c>
      <c r="G13431" t="str">
        <f>T("TASK FORCE FIVE SEVEN")</f>
        <v>TASK FORCE FIVE SEVEN</v>
      </c>
      <c r="H13431" t="str">
        <f>T("PSC 851 BX 490")</f>
        <v>PSC 851 BX 490</v>
      </c>
      <c r="I13431" t="str">
        <f>T("FPO")</f>
        <v>FPO</v>
      </c>
      <c r="J13431" t="str">
        <f>T("AE")</f>
        <v>AE</v>
      </c>
      <c r="K13431" t="str">
        <f>T("01197317858181")</f>
        <v>01197317858181</v>
      </c>
      <c r="L13431" t="str">
        <f>T("1111111111")</f>
        <v>1111111111</v>
      </c>
    </row>
    <row r="13432" spans="1:12" x14ac:dyDescent="0.35">
      <c r="A13432" t="str">
        <f>T("HSM-35")</f>
        <v>HSM-35</v>
      </c>
      <c r="B13432" t="str">
        <f>T("BLDG 1477 HANGAR RD")</f>
        <v>BLDG 1477 HANGAR RD</v>
      </c>
      <c r="C13432" t="str">
        <f>T("")</f>
        <v/>
      </c>
      <c r="D13432" t="str">
        <f>T("SAN DIEGO")</f>
        <v>SAN DIEGO</v>
      </c>
      <c r="E13432" t="str">
        <f>T("CA")</f>
        <v>CA</v>
      </c>
      <c r="F13432" t="str">
        <f>T("921350000")</f>
        <v>921350000</v>
      </c>
      <c r="G13432" t="str">
        <f>T("BLDG 1477 HANGAR RD")</f>
        <v>BLDG 1477 HANGAR RD</v>
      </c>
      <c r="H13432" t="str">
        <f>T("")</f>
        <v/>
      </c>
      <c r="I13432" t="str">
        <f>T("SAN DIEGO")</f>
        <v>SAN DIEGO</v>
      </c>
      <c r="J13432" t="str">
        <f>T("CA")</f>
        <v>CA</v>
      </c>
      <c r="K13432" t="str">
        <f>T("000000000000000000")</f>
        <v>000000000000000000</v>
      </c>
      <c r="L13432" t="str">
        <f>T("6195458896")</f>
        <v>6195458896</v>
      </c>
    </row>
    <row r="13433" spans="1:12" x14ac:dyDescent="0.35">
      <c r="A13433" t="str">
        <f>T("HSM-35")</f>
        <v>HSM-35</v>
      </c>
      <c r="B13433" t="str">
        <f>T("BLDG 1477 HANGAR RD")</f>
        <v>BLDG 1477 HANGAR RD</v>
      </c>
      <c r="C13433" t="str">
        <f>T("")</f>
        <v/>
      </c>
      <c r="D13433" t="str">
        <f>T("SAN DIEGO")</f>
        <v>SAN DIEGO</v>
      </c>
      <c r="E13433" t="str">
        <f>T("CA")</f>
        <v>CA</v>
      </c>
      <c r="F13433" t="str">
        <f>T("921350000")</f>
        <v>921350000</v>
      </c>
      <c r="G13433" t="str">
        <f>T("BLDG 1477 HANGAR RD")</f>
        <v>BLDG 1477 HANGAR RD</v>
      </c>
      <c r="H13433" t="str">
        <f>T("")</f>
        <v/>
      </c>
      <c r="I13433" t="str">
        <f>T("SAN DIEGO")</f>
        <v>SAN DIEGO</v>
      </c>
      <c r="J13433" t="str">
        <f>T("CA")</f>
        <v>CA</v>
      </c>
      <c r="K13433" t="str">
        <f>T("6195458896")</f>
        <v>6195458896</v>
      </c>
      <c r="L13433" t="str">
        <f>T("6195458896")</f>
        <v>6195458896</v>
      </c>
    </row>
    <row r="13434" spans="1:12" x14ac:dyDescent="0.35">
      <c r="A13434" t="str">
        <f>T("CHSCWP VTUAV MAINTENANCE")</f>
        <v>CHSCWP VTUAV MAINTENANCE</v>
      </c>
      <c r="B13434" t="str">
        <f>T("CHSCWP VTUAV MAIN DET")</f>
        <v>CHSCWP VTUAV MAIN DET</v>
      </c>
      <c r="C13434" t="str">
        <f>T("HANGAR 362 RONALD REGAN")</f>
        <v>HANGAR 362 RONALD REGAN</v>
      </c>
      <c r="D13434" t="str">
        <f>T("PT MUGU NAWC")</f>
        <v>PT MUGU NAWC</v>
      </c>
      <c r="E13434" t="str">
        <f>T("CA")</f>
        <v>CA</v>
      </c>
      <c r="F13434" t="str">
        <f>T("930420001")</f>
        <v>930420001</v>
      </c>
      <c r="G13434" t="str">
        <f>T("CHSCWP VTUAV MAIN DET")</f>
        <v>CHSCWP VTUAV MAIN DET</v>
      </c>
      <c r="H13434" t="str">
        <f>T("HANGAR 362 RONALD REGAN")</f>
        <v>HANGAR 362 RONALD REGAN</v>
      </c>
      <c r="I13434" t="str">
        <f>T("PT MUGU NAWC")</f>
        <v>PT MUGU NAWC</v>
      </c>
      <c r="J13434" t="str">
        <f>T("CA")</f>
        <v>CA</v>
      </c>
      <c r="K13434" t="str">
        <f>T("8059899474")</f>
        <v>8059899474</v>
      </c>
      <c r="L13434" t="str">
        <f>T("8059899876")</f>
        <v>8059899876</v>
      </c>
    </row>
    <row r="13435" spans="1:12" x14ac:dyDescent="0.35">
      <c r="A13435" t="str">
        <f>T("CHSCWP VTUAV MAINTENANCE")</f>
        <v>CHSCWP VTUAV MAINTENANCE</v>
      </c>
      <c r="B13435" t="str">
        <f>T("CHSCWP VTUAV MAIN DET")</f>
        <v>CHSCWP VTUAV MAIN DET</v>
      </c>
      <c r="C13435" t="str">
        <f>T("HANGAR 362 RONALD REGAN")</f>
        <v>HANGAR 362 RONALD REGAN</v>
      </c>
      <c r="D13435" t="str">
        <f>T("PT MUGU NAWC")</f>
        <v>PT MUGU NAWC</v>
      </c>
      <c r="E13435" t="str">
        <f>T("CA")</f>
        <v>CA</v>
      </c>
      <c r="F13435" t="str">
        <f>T("930420001")</f>
        <v>930420001</v>
      </c>
      <c r="G13435" t="str">
        <f>T("CHSCWP VTUAV MAINT DET")</f>
        <v>CHSCWP VTUAV MAINT DET</v>
      </c>
      <c r="H13435" t="str">
        <f>T("HANGAR 362 RONALD REAGAN BLVD")</f>
        <v>HANGAR 362 RONALD REAGAN BLVD</v>
      </c>
      <c r="I13435" t="str">
        <f>T("POINT MUGU NAWC")</f>
        <v>POINT MUGU NAWC</v>
      </c>
      <c r="J13435" t="str">
        <f>T("CA")</f>
        <v>CA</v>
      </c>
      <c r="K13435" t="str">
        <f>T("8059899474")</f>
        <v>8059899474</v>
      </c>
      <c r="L13435" t="str">
        <f>T("8059899490")</f>
        <v>8059899490</v>
      </c>
    </row>
    <row r="13436" spans="1:12" x14ac:dyDescent="0.35">
      <c r="A13436" t="str">
        <f>T("STRIKEFIGHTWINGPAT DET")</f>
        <v>STRIKEFIGHTWINGPAT DET</v>
      </c>
      <c r="B13436" t="str">
        <f>T("4755 PASTURE RD BLDG 431")</f>
        <v>4755 PASTURE RD BLDG 431</v>
      </c>
      <c r="C13436" t="str">
        <f>T("HANGAR 2")</f>
        <v>HANGAR 2</v>
      </c>
      <c r="D13436" t="str">
        <f>T("FALLON")</f>
        <v>FALLON</v>
      </c>
      <c r="E13436" t="str">
        <f>T("NV")</f>
        <v>NV</v>
      </c>
      <c r="F13436" t="str">
        <f>T("894965000")</f>
        <v>894965000</v>
      </c>
      <c r="G13436" t="str">
        <f>T("4755 PASTURE RD BLDG 431")</f>
        <v>4755 PASTURE RD BLDG 431</v>
      </c>
      <c r="H13436" t="str">
        <f>T("HANGAR 2")</f>
        <v>HANGAR 2</v>
      </c>
      <c r="I13436" t="str">
        <f>T("FALLON")</f>
        <v>FALLON</v>
      </c>
      <c r="J13436" t="str">
        <f>T("NV")</f>
        <v>NV</v>
      </c>
      <c r="K13436" t="str">
        <f>T("775-426-2292")</f>
        <v>775-426-2292</v>
      </c>
      <c r="L13436" t="str">
        <f>T("7754263679")</f>
        <v>7754263679</v>
      </c>
    </row>
    <row r="13437" spans="1:12" x14ac:dyDescent="0.35">
      <c r="A13437" t="str">
        <f>T("STRIKEFIGHTWINGPAT DET")</f>
        <v>STRIKEFIGHTWINGPAT DET</v>
      </c>
      <c r="B13437" t="str">
        <f>T("4755 PASTURE RD BLDG 431")</f>
        <v>4755 PASTURE RD BLDG 431</v>
      </c>
      <c r="C13437" t="str">
        <f>T("HANGAR 2")</f>
        <v>HANGAR 2</v>
      </c>
      <c r="D13437" t="str">
        <f>T("FALLON")</f>
        <v>FALLON</v>
      </c>
      <c r="E13437" t="str">
        <f>T("NV")</f>
        <v>NV</v>
      </c>
      <c r="F13437" t="str">
        <f>T("894965000")</f>
        <v>894965000</v>
      </c>
      <c r="G13437" t="str">
        <f>T("4755 PASTURE ROAD HANGAR 2")</f>
        <v>4755 PASTURE ROAD HANGAR 2</v>
      </c>
      <c r="H13437" t="str">
        <f>T("")</f>
        <v/>
      </c>
      <c r="I13437" t="str">
        <f>T("FALLON")</f>
        <v>FALLON</v>
      </c>
      <c r="J13437" t="str">
        <f>T("NV")</f>
        <v>NV</v>
      </c>
      <c r="K13437" t="str">
        <f>T("7754263661")</f>
        <v>7754263661</v>
      </c>
      <c r="L13437" t="str">
        <f>T("7754262292")</f>
        <v>7754262292</v>
      </c>
    </row>
    <row r="13438" spans="1:12" x14ac:dyDescent="0.35">
      <c r="A13438" t="str">
        <f>T("HSM-79")</f>
        <v>HSM-79</v>
      </c>
      <c r="B13438" t="str">
        <f>T("COMMANDING OFFICER HSM-79")</f>
        <v>COMMANDING OFFICER HSM-79</v>
      </c>
      <c r="C13438" t="str">
        <f>T("P O BOX 7114 BLDG 1456 NAS NOR")</f>
        <v>P O BOX 7114 BLDG 1456 NAS NOR</v>
      </c>
      <c r="D13438" t="str">
        <f>T("SAN DIEGO")</f>
        <v>SAN DIEGO</v>
      </c>
      <c r="E13438" t="str">
        <f>T("CA")</f>
        <v>CA</v>
      </c>
      <c r="F13438" t="str">
        <f>T("921670114")</f>
        <v>921670114</v>
      </c>
      <c r="G13438" t="str">
        <f>T("COMMANDING OFFICER HSM-79")</f>
        <v>COMMANDING OFFICER HSM-79</v>
      </c>
      <c r="H13438" t="str">
        <f>T("P O BOX 7114 BLDG 1456 NAS NOR")</f>
        <v>P O BOX 7114 BLDG 1456 NAS NOR</v>
      </c>
      <c r="I13438" t="str">
        <f>T("SAN DIEGO")</f>
        <v>SAN DIEGO</v>
      </c>
      <c r="J13438" t="str">
        <f>T("CA")</f>
        <v>CA</v>
      </c>
      <c r="K13438" t="str">
        <f>T("619-545-8323")</f>
        <v>619-545-8323</v>
      </c>
      <c r="L13438" t="str">
        <f>T("6197677876")</f>
        <v>6197677876</v>
      </c>
    </row>
    <row r="13439" spans="1:12" x14ac:dyDescent="0.35">
      <c r="A13439" t="str">
        <f>T("HSM-79")</f>
        <v>HSM-79</v>
      </c>
      <c r="B13439" t="str">
        <f>T("COMMANDING OFFICER HSM-79")</f>
        <v>COMMANDING OFFICER HSM-79</v>
      </c>
      <c r="C13439" t="str">
        <f>T("P O BOX 7114 BLDG 1456 NAS NOR")</f>
        <v>P O BOX 7114 BLDG 1456 NAS NOR</v>
      </c>
      <c r="D13439" t="str">
        <f>T("SAN DIEGO")</f>
        <v>SAN DIEGO</v>
      </c>
      <c r="E13439" t="str">
        <f>T("CA")</f>
        <v>CA</v>
      </c>
      <c r="F13439" t="str">
        <f>T("921670114")</f>
        <v>921670114</v>
      </c>
      <c r="G13439" t="str">
        <f>T("COMMANDING OFFICER HSM-79")</f>
        <v>COMMANDING OFFICER HSM-79</v>
      </c>
      <c r="H13439" t="str">
        <f>T("PO BOX 357124 BLDG 1456 NORTH ISLAND")</f>
        <v>PO BOX 357124 BLDG 1456 NORTH ISLAND</v>
      </c>
      <c r="I13439" t="str">
        <f>T("SAN DIEGO")</f>
        <v>SAN DIEGO</v>
      </c>
      <c r="J13439" t="str">
        <f>T("CA")</f>
        <v>CA</v>
      </c>
      <c r="K13439" t="str">
        <f>T("6195458323")</f>
        <v>6195458323</v>
      </c>
      <c r="L13439" t="str">
        <f>T("6195451152")</f>
        <v>6195451152</v>
      </c>
    </row>
    <row r="13440" spans="1:12" x14ac:dyDescent="0.35">
      <c r="A13440" t="str">
        <f t="shared" ref="A13440:A13445" si="4961">T("USN/NAWDC")</f>
        <v>USN/NAWDC</v>
      </c>
      <c r="B13440" t="str">
        <f t="shared" ref="B13440:B13445" si="4962">T("4755 PASTURE RD")</f>
        <v>4755 PASTURE RD</v>
      </c>
      <c r="C13440" t="str">
        <f t="shared" ref="C13440:C13445" si="4963">T("BLDG 465")</f>
        <v>BLDG 465</v>
      </c>
      <c r="D13440" t="str">
        <f t="shared" ref="D13440:D13445" si="4964">T("FALLON")</f>
        <v>FALLON</v>
      </c>
      <c r="E13440" t="str">
        <f t="shared" ref="E13440:E13445" si="4965">T("NV")</f>
        <v>NV</v>
      </c>
      <c r="F13440" t="str">
        <f t="shared" ref="F13440:F13445" si="4966">T("894960001")</f>
        <v>894960001</v>
      </c>
      <c r="G13440" t="str">
        <f>T("4755 PASTURE RD")</f>
        <v>4755 PASTURE RD</v>
      </c>
      <c r="H13440" t="str">
        <f>T("BLDG 465")</f>
        <v>BLDG 465</v>
      </c>
      <c r="I13440" t="str">
        <f t="shared" ref="I13440:I13445" si="4967">T("FALLON")</f>
        <v>FALLON</v>
      </c>
      <c r="J13440" t="str">
        <f t="shared" ref="J13440:J13445" si="4968">T("NV")</f>
        <v>NV</v>
      </c>
      <c r="K13440" t="str">
        <f>T("7754263974")</f>
        <v>7754263974</v>
      </c>
      <c r="L13440" t="str">
        <f>T("7754263899")</f>
        <v>7754263899</v>
      </c>
    </row>
    <row r="13441" spans="1:12" x14ac:dyDescent="0.35">
      <c r="A13441" t="str">
        <f t="shared" si="4961"/>
        <v>USN/NAWDC</v>
      </c>
      <c r="B13441" t="str">
        <f t="shared" si="4962"/>
        <v>4755 PASTURE RD</v>
      </c>
      <c r="C13441" t="str">
        <f t="shared" si="4963"/>
        <v>BLDG 465</v>
      </c>
      <c r="D13441" t="str">
        <f t="shared" si="4964"/>
        <v>FALLON</v>
      </c>
      <c r="E13441" t="str">
        <f t="shared" si="4965"/>
        <v>NV</v>
      </c>
      <c r="F13441" t="str">
        <f t="shared" si="4966"/>
        <v>894960001</v>
      </c>
      <c r="G13441" t="str">
        <f>T("4755 PASTURE RD")</f>
        <v>4755 PASTURE RD</v>
      </c>
      <c r="H13441" t="str">
        <f>T("BLDG 465")</f>
        <v>BLDG 465</v>
      </c>
      <c r="I13441" t="str">
        <f t="shared" si="4967"/>
        <v>FALLON</v>
      </c>
      <c r="J13441" t="str">
        <f t="shared" si="4968"/>
        <v>NV</v>
      </c>
      <c r="K13441" t="str">
        <f>T("7754263974")</f>
        <v>7754263974</v>
      </c>
      <c r="L13441" t="str">
        <f>T("7754263926")</f>
        <v>7754263926</v>
      </c>
    </row>
    <row r="13442" spans="1:12" x14ac:dyDescent="0.35">
      <c r="A13442" t="str">
        <f t="shared" si="4961"/>
        <v>USN/NAWDC</v>
      </c>
      <c r="B13442" t="str">
        <f t="shared" si="4962"/>
        <v>4755 PASTURE RD</v>
      </c>
      <c r="C13442" t="str">
        <f t="shared" si="4963"/>
        <v>BLDG 465</v>
      </c>
      <c r="D13442" t="str">
        <f t="shared" si="4964"/>
        <v>FALLON</v>
      </c>
      <c r="E13442" t="str">
        <f t="shared" si="4965"/>
        <v>NV</v>
      </c>
      <c r="F13442" t="str">
        <f t="shared" si="4966"/>
        <v>894960001</v>
      </c>
      <c r="G13442" t="str">
        <f>T("4755 PASTURE ROAD")</f>
        <v>4755 PASTURE ROAD</v>
      </c>
      <c r="H13442" t="str">
        <f>T("BLDG 465")</f>
        <v>BLDG 465</v>
      </c>
      <c r="I13442" t="str">
        <f t="shared" si="4967"/>
        <v>FALLON</v>
      </c>
      <c r="J13442" t="str">
        <f t="shared" si="4968"/>
        <v>NV</v>
      </c>
      <c r="K13442" t="str">
        <f>T("000000000000000000")</f>
        <v>000000000000000000</v>
      </c>
      <c r="L13442" t="str">
        <f>T("7754263899")</f>
        <v>7754263899</v>
      </c>
    </row>
    <row r="13443" spans="1:12" x14ac:dyDescent="0.35">
      <c r="A13443" t="str">
        <f t="shared" si="4961"/>
        <v>USN/NAWDC</v>
      </c>
      <c r="B13443" t="str">
        <f t="shared" si="4962"/>
        <v>4755 PASTURE RD</v>
      </c>
      <c r="C13443" t="str">
        <f t="shared" si="4963"/>
        <v>BLDG 465</v>
      </c>
      <c r="D13443" t="str">
        <f t="shared" si="4964"/>
        <v>FALLON</v>
      </c>
      <c r="E13443" t="str">
        <f t="shared" si="4965"/>
        <v>NV</v>
      </c>
      <c r="F13443" t="str">
        <f t="shared" si="4966"/>
        <v>894960001</v>
      </c>
      <c r="G13443" t="str">
        <f>T("4755 PASTURE ROAD")</f>
        <v>4755 PASTURE ROAD</v>
      </c>
      <c r="H13443" t="str">
        <f>T("BLDG 465")</f>
        <v>BLDG 465</v>
      </c>
      <c r="I13443" t="str">
        <f t="shared" si="4967"/>
        <v>FALLON</v>
      </c>
      <c r="J13443" t="str">
        <f t="shared" si="4968"/>
        <v>NV</v>
      </c>
      <c r="K13443" t="str">
        <f>T("7754263974")</f>
        <v>7754263974</v>
      </c>
      <c r="L13443" t="str">
        <f>T("7754263909")</f>
        <v>7754263909</v>
      </c>
    </row>
    <row r="13444" spans="1:12" x14ac:dyDescent="0.35">
      <c r="A13444" t="str">
        <f t="shared" si="4961"/>
        <v>USN/NAWDC</v>
      </c>
      <c r="B13444" t="str">
        <f t="shared" si="4962"/>
        <v>4755 PASTURE RD</v>
      </c>
      <c r="C13444" t="str">
        <f t="shared" si="4963"/>
        <v>BLDG 465</v>
      </c>
      <c r="D13444" t="str">
        <f t="shared" si="4964"/>
        <v>FALLON</v>
      </c>
      <c r="E13444" t="str">
        <f t="shared" si="4965"/>
        <v>NV</v>
      </c>
      <c r="F13444" t="str">
        <f t="shared" si="4966"/>
        <v>894960001</v>
      </c>
      <c r="G13444" t="str">
        <f>T("4755 PASTURE ROAD")</f>
        <v>4755 PASTURE ROAD</v>
      </c>
      <c r="H13444" t="str">
        <f>T("BLDG 465")</f>
        <v>BLDG 465</v>
      </c>
      <c r="I13444" t="str">
        <f t="shared" si="4967"/>
        <v>FALLON</v>
      </c>
      <c r="J13444" t="str">
        <f t="shared" si="4968"/>
        <v>NV</v>
      </c>
      <c r="K13444" t="str">
        <f>T("7754263974")</f>
        <v>7754263974</v>
      </c>
      <c r="L13444" t="str">
        <f>T("7754264323")</f>
        <v>7754264323</v>
      </c>
    </row>
    <row r="13445" spans="1:12" x14ac:dyDescent="0.35">
      <c r="A13445" t="str">
        <f t="shared" si="4961"/>
        <v>USN/NAWDC</v>
      </c>
      <c r="B13445" t="str">
        <f t="shared" si="4962"/>
        <v>4755 PASTURE RD</v>
      </c>
      <c r="C13445" t="str">
        <f t="shared" si="4963"/>
        <v>BLDG 465</v>
      </c>
      <c r="D13445" t="str">
        <f t="shared" si="4964"/>
        <v>FALLON</v>
      </c>
      <c r="E13445" t="str">
        <f t="shared" si="4965"/>
        <v>NV</v>
      </c>
      <c r="F13445" t="str">
        <f t="shared" si="4966"/>
        <v>894960001</v>
      </c>
      <c r="G13445" t="str">
        <f>T("4755 PASTURE ROAD")</f>
        <v>4755 PASTURE ROAD</v>
      </c>
      <c r="H13445" t="str">
        <f>T("BUILDING 465")</f>
        <v>BUILDING 465</v>
      </c>
      <c r="I13445" t="str">
        <f t="shared" si="4967"/>
        <v>FALLON</v>
      </c>
      <c r="J13445" t="str">
        <f t="shared" si="4968"/>
        <v>NV</v>
      </c>
      <c r="K13445" t="str">
        <f>T("000000000000000000")</f>
        <v>000000000000000000</v>
      </c>
      <c r="L13445" t="str">
        <f>T("7754263909")</f>
        <v>7754263909</v>
      </c>
    </row>
    <row r="13446" spans="1:12" x14ac:dyDescent="0.35">
      <c r="A13446" t="str">
        <f>T("VFA-147")</f>
        <v>VFA-147</v>
      </c>
      <c r="B13446" t="str">
        <f>T("VFA 147 270 REEVES BLVD HGR 3 MOD 2")</f>
        <v>VFA 147 270 REEVES BLVD HGR 3 MOD 2</v>
      </c>
      <c r="C13446" t="str">
        <f>T("")</f>
        <v/>
      </c>
      <c r="D13446" t="str">
        <f>T("LEMOORE")</f>
        <v>LEMOORE</v>
      </c>
      <c r="E13446" t="str">
        <f>T("CA")</f>
        <v>CA</v>
      </c>
      <c r="F13446" t="str">
        <f>T("932467300")</f>
        <v>932467300</v>
      </c>
      <c r="G13446" t="str">
        <f>T("VFA 147 270 REEVES BLVD HGR 3 MOD 2")</f>
        <v>VFA 147 270 REEVES BLVD HGR 3 MOD 2</v>
      </c>
      <c r="H13446" t="str">
        <f>T("")</f>
        <v/>
      </c>
      <c r="I13446" t="str">
        <f>T("LEMOORE")</f>
        <v>LEMOORE</v>
      </c>
      <c r="J13446" t="str">
        <f>T("CA")</f>
        <v>CA</v>
      </c>
      <c r="K13446" t="str">
        <f>T("5599983608")</f>
        <v>5599983608</v>
      </c>
      <c r="L13446" t="str">
        <f>T("5599981354")</f>
        <v>5599981354</v>
      </c>
    </row>
    <row r="13447" spans="1:12" x14ac:dyDescent="0.35">
      <c r="A13447" t="str">
        <f>T("VFA-147")</f>
        <v>VFA-147</v>
      </c>
      <c r="B13447" t="str">
        <f>T("VFA 147 270 REEVES BLVD HGR 3 MOD 2")</f>
        <v>VFA 147 270 REEVES BLVD HGR 3 MOD 2</v>
      </c>
      <c r="C13447" t="str">
        <f>T("")</f>
        <v/>
      </c>
      <c r="D13447" t="str">
        <f>T("LEMOORE")</f>
        <v>LEMOORE</v>
      </c>
      <c r="E13447" t="str">
        <f>T("CA")</f>
        <v>CA</v>
      </c>
      <c r="F13447" t="str">
        <f>T("932467300")</f>
        <v>932467300</v>
      </c>
      <c r="G13447" t="str">
        <f>T("VFA-147")</f>
        <v>VFA-147</v>
      </c>
      <c r="H13447" t="str">
        <f>T("270 REEVES BLVD HGR 3 MOD 2")</f>
        <v>270 REEVES BLVD HGR 3 MOD 2</v>
      </c>
      <c r="I13447" t="str">
        <f>T("LEMOORE")</f>
        <v>LEMOORE</v>
      </c>
      <c r="J13447" t="str">
        <f>T("CA")</f>
        <v>CA</v>
      </c>
      <c r="K13447" t="str">
        <f>T("5599983193")</f>
        <v>5599983193</v>
      </c>
      <c r="L13447" t="str">
        <f>T("5599983192")</f>
        <v>5599983192</v>
      </c>
    </row>
    <row r="13448" spans="1:12" x14ac:dyDescent="0.35">
      <c r="A13448" t="str">
        <f>T("NAWDC")</f>
        <v>NAWDC</v>
      </c>
      <c r="B13448" t="str">
        <f t="shared" ref="B13448:B13458" si="4969">T("4755 PASTURE ROAD")</f>
        <v>4755 PASTURE ROAD</v>
      </c>
      <c r="C13448" t="str">
        <f>T("BLDG 465")</f>
        <v>BLDG 465</v>
      </c>
      <c r="D13448" t="str">
        <f t="shared" ref="D13448:D13458" si="4970">T("FALLON")</f>
        <v>FALLON</v>
      </c>
      <c r="E13448" t="str">
        <f t="shared" ref="E13448:E13458" si="4971">T("NV")</f>
        <v>NV</v>
      </c>
      <c r="F13448" t="str">
        <f t="shared" ref="F13448:F13458" si="4972">T("894960001")</f>
        <v>894960001</v>
      </c>
      <c r="G13448" t="str">
        <f>T("4755 PASTURE RD")</f>
        <v>4755 PASTURE RD</v>
      </c>
      <c r="H13448" t="str">
        <f>T("BLDG 465")</f>
        <v>BLDG 465</v>
      </c>
      <c r="I13448" t="str">
        <f t="shared" ref="I13448:I13458" si="4973">T("FALLON")</f>
        <v>FALLON</v>
      </c>
      <c r="J13448" t="str">
        <f t="shared" ref="J13448:J13458" si="4974">T("NV")</f>
        <v>NV</v>
      </c>
      <c r="K13448" t="str">
        <f>T("7754264608")</f>
        <v>7754264608</v>
      </c>
      <c r="L13448" t="str">
        <f>T("7754263391")</f>
        <v>7754263391</v>
      </c>
    </row>
    <row r="13449" spans="1:12" x14ac:dyDescent="0.35">
      <c r="A13449" t="str">
        <f>T("NAWDC")</f>
        <v>NAWDC</v>
      </c>
      <c r="B13449" t="str">
        <f t="shared" si="4969"/>
        <v>4755 PASTURE ROAD</v>
      </c>
      <c r="C13449" t="str">
        <f>T("BLDG 465")</f>
        <v>BLDG 465</v>
      </c>
      <c r="D13449" t="str">
        <f t="shared" si="4970"/>
        <v>FALLON</v>
      </c>
      <c r="E13449" t="str">
        <f t="shared" si="4971"/>
        <v>NV</v>
      </c>
      <c r="F13449" t="str">
        <f t="shared" si="4972"/>
        <v>894960001</v>
      </c>
      <c r="G13449" t="str">
        <f>T("4755 PASTURE RD")</f>
        <v>4755 PASTURE RD</v>
      </c>
      <c r="H13449" t="str">
        <f>T("BLDG 465")</f>
        <v>BLDG 465</v>
      </c>
      <c r="I13449" t="str">
        <f t="shared" si="4973"/>
        <v>FALLON</v>
      </c>
      <c r="J13449" t="str">
        <f t="shared" si="4974"/>
        <v>NV</v>
      </c>
      <c r="K13449" t="str">
        <f>T("7754264633")</f>
        <v>7754264633</v>
      </c>
      <c r="L13449" t="str">
        <f>T("7754264630")</f>
        <v>7754264630</v>
      </c>
    </row>
    <row r="13450" spans="1:12" x14ac:dyDescent="0.35">
      <c r="A13450" t="str">
        <f>T("NAWDC")</f>
        <v>NAWDC</v>
      </c>
      <c r="B13450" t="str">
        <f t="shared" si="4969"/>
        <v>4755 PASTURE ROAD</v>
      </c>
      <c r="C13450" t="str">
        <f>T("BLDG 465")</f>
        <v>BLDG 465</v>
      </c>
      <c r="D13450" t="str">
        <f t="shared" si="4970"/>
        <v>FALLON</v>
      </c>
      <c r="E13450" t="str">
        <f t="shared" si="4971"/>
        <v>NV</v>
      </c>
      <c r="F13450" t="str">
        <f t="shared" si="4972"/>
        <v>894960001</v>
      </c>
      <c r="G13450" t="str">
        <f>T("4755 PASTURE ROAD")</f>
        <v>4755 PASTURE ROAD</v>
      </c>
      <c r="H13450" t="str">
        <f>T("BLDG 465")</f>
        <v>BLDG 465</v>
      </c>
      <c r="I13450" t="str">
        <f t="shared" si="4973"/>
        <v>FALLON</v>
      </c>
      <c r="J13450" t="str">
        <f t="shared" si="4974"/>
        <v>NV</v>
      </c>
      <c r="K13450" t="str">
        <f>T("000000000000000000")</f>
        <v>000000000000000000</v>
      </c>
      <c r="L13450" t="str">
        <f>T("7754264630")</f>
        <v>7754264630</v>
      </c>
    </row>
    <row r="13451" spans="1:12" x14ac:dyDescent="0.35">
      <c r="A13451" t="str">
        <f>T("NAWDC")</f>
        <v>NAWDC</v>
      </c>
      <c r="B13451" t="str">
        <f t="shared" si="4969"/>
        <v>4755 PASTURE ROAD</v>
      </c>
      <c r="C13451" t="str">
        <f>T("BLDG 465")</f>
        <v>BLDG 465</v>
      </c>
      <c r="D13451" t="str">
        <f t="shared" si="4970"/>
        <v>FALLON</v>
      </c>
      <c r="E13451" t="str">
        <f t="shared" si="4971"/>
        <v>NV</v>
      </c>
      <c r="F13451" t="str">
        <f t="shared" si="4972"/>
        <v>894960001</v>
      </c>
      <c r="G13451" t="str">
        <f>T("4755 PASTURE ROAD")</f>
        <v>4755 PASTURE ROAD</v>
      </c>
      <c r="H13451" t="str">
        <f>T("BLDG 465")</f>
        <v>BLDG 465</v>
      </c>
      <c r="I13451" t="str">
        <f t="shared" si="4973"/>
        <v>FALLON</v>
      </c>
      <c r="J13451" t="str">
        <f t="shared" si="4974"/>
        <v>NV</v>
      </c>
      <c r="K13451" t="str">
        <f>T("7754264608")</f>
        <v>7754264608</v>
      </c>
      <c r="L13451" t="str">
        <f>T("7754262020")</f>
        <v>7754262020</v>
      </c>
    </row>
    <row r="13452" spans="1:12" x14ac:dyDescent="0.35">
      <c r="A13452" t="str">
        <f>T("NAWDC")</f>
        <v>NAWDC</v>
      </c>
      <c r="B13452" t="str">
        <f t="shared" si="4969"/>
        <v>4755 PASTURE ROAD</v>
      </c>
      <c r="C13452" t="str">
        <f>T("BLDG 465")</f>
        <v>BLDG 465</v>
      </c>
      <c r="D13452" t="str">
        <f t="shared" si="4970"/>
        <v>FALLON</v>
      </c>
      <c r="E13452" t="str">
        <f t="shared" si="4971"/>
        <v>NV</v>
      </c>
      <c r="F13452" t="str">
        <f t="shared" si="4972"/>
        <v>894960001</v>
      </c>
      <c r="G13452" t="str">
        <f>T("4755 PASTURE ROAD")</f>
        <v>4755 PASTURE ROAD</v>
      </c>
      <c r="H13452" t="str">
        <f>T("BUILDING 465")</f>
        <v>BUILDING 465</v>
      </c>
      <c r="I13452" t="str">
        <f t="shared" si="4973"/>
        <v>FALLON</v>
      </c>
      <c r="J13452" t="str">
        <f t="shared" si="4974"/>
        <v>NV</v>
      </c>
      <c r="K13452" t="str">
        <f>T("000000000000000000")</f>
        <v>000000000000000000</v>
      </c>
      <c r="L13452" t="str">
        <f>T("7754264630")</f>
        <v>7754264630</v>
      </c>
    </row>
    <row r="13453" spans="1:12" x14ac:dyDescent="0.35">
      <c r="A13453" t="str">
        <f t="shared" ref="A13453:A13458" si="4975">T("FRCWDET ASD NAS FALLON")</f>
        <v>FRCWDET ASD NAS FALLON</v>
      </c>
      <c r="B13453" t="str">
        <f t="shared" si="4969"/>
        <v>4755 PASTURE ROAD</v>
      </c>
      <c r="C13453" t="str">
        <f t="shared" ref="C13453:C13458" si="4976">T("BLDG 66")</f>
        <v>BLDG 66</v>
      </c>
      <c r="D13453" t="str">
        <f t="shared" si="4970"/>
        <v>FALLON</v>
      </c>
      <c r="E13453" t="str">
        <f t="shared" si="4971"/>
        <v>NV</v>
      </c>
      <c r="F13453" t="str">
        <f t="shared" si="4972"/>
        <v>894960001</v>
      </c>
      <c r="G13453" t="str">
        <f>T("4755 PASTURE RD")</f>
        <v>4755 PASTURE RD</v>
      </c>
      <c r="H13453" t="str">
        <f>T("BLDG 24")</f>
        <v>BLDG 24</v>
      </c>
      <c r="I13453" t="str">
        <f t="shared" si="4973"/>
        <v>FALLON</v>
      </c>
      <c r="J13453" t="str">
        <f t="shared" si="4974"/>
        <v>NV</v>
      </c>
      <c r="K13453" t="str">
        <f>T("7754262766")</f>
        <v>7754262766</v>
      </c>
      <c r="L13453" t="str">
        <f>T("7754262887")</f>
        <v>7754262887</v>
      </c>
    </row>
    <row r="13454" spans="1:12" x14ac:dyDescent="0.35">
      <c r="A13454" t="str">
        <f t="shared" si="4975"/>
        <v>FRCWDET ASD NAS FALLON</v>
      </c>
      <c r="B13454" t="str">
        <f t="shared" si="4969"/>
        <v>4755 PASTURE ROAD</v>
      </c>
      <c r="C13454" t="str">
        <f t="shared" si="4976"/>
        <v>BLDG 66</v>
      </c>
      <c r="D13454" t="str">
        <f t="shared" si="4970"/>
        <v>FALLON</v>
      </c>
      <c r="E13454" t="str">
        <f t="shared" si="4971"/>
        <v>NV</v>
      </c>
      <c r="F13454" t="str">
        <f t="shared" si="4972"/>
        <v>894960001</v>
      </c>
      <c r="G13454" t="str">
        <f>T("4755 PASTURE RD")</f>
        <v>4755 PASTURE RD</v>
      </c>
      <c r="H13454" t="str">
        <f>T("BLDG 25")</f>
        <v>BLDG 25</v>
      </c>
      <c r="I13454" t="str">
        <f t="shared" si="4973"/>
        <v>FALLON</v>
      </c>
      <c r="J13454" t="str">
        <f t="shared" si="4974"/>
        <v>NV</v>
      </c>
      <c r="K13454" t="str">
        <f>T("7754262766")</f>
        <v>7754262766</v>
      </c>
      <c r="L13454" t="str">
        <f>T("7754262661")</f>
        <v>7754262661</v>
      </c>
    </row>
    <row r="13455" spans="1:12" x14ac:dyDescent="0.35">
      <c r="A13455" t="str">
        <f t="shared" si="4975"/>
        <v>FRCWDET ASD NAS FALLON</v>
      </c>
      <c r="B13455" t="str">
        <f t="shared" si="4969"/>
        <v>4755 PASTURE ROAD</v>
      </c>
      <c r="C13455" t="str">
        <f t="shared" si="4976"/>
        <v>BLDG 66</v>
      </c>
      <c r="D13455" t="str">
        <f t="shared" si="4970"/>
        <v>FALLON</v>
      </c>
      <c r="E13455" t="str">
        <f t="shared" si="4971"/>
        <v>NV</v>
      </c>
      <c r="F13455" t="str">
        <f t="shared" si="4972"/>
        <v>894960001</v>
      </c>
      <c r="G13455" t="str">
        <f>T("4755 PASTURE RD")</f>
        <v>4755 PASTURE RD</v>
      </c>
      <c r="H13455" t="str">
        <f>T("BLDG 25")</f>
        <v>BLDG 25</v>
      </c>
      <c r="I13455" t="str">
        <f t="shared" si="4973"/>
        <v>FALLON</v>
      </c>
      <c r="J13455" t="str">
        <f t="shared" si="4974"/>
        <v>NV</v>
      </c>
      <c r="K13455" t="str">
        <f>T("7754262766")</f>
        <v>7754262766</v>
      </c>
      <c r="L13455" t="str">
        <f>T("7754262755")</f>
        <v>7754262755</v>
      </c>
    </row>
    <row r="13456" spans="1:12" x14ac:dyDescent="0.35">
      <c r="A13456" t="str">
        <f t="shared" si="4975"/>
        <v>FRCWDET ASD NAS FALLON</v>
      </c>
      <c r="B13456" t="str">
        <f t="shared" si="4969"/>
        <v>4755 PASTURE ROAD</v>
      </c>
      <c r="C13456" t="str">
        <f t="shared" si="4976"/>
        <v>BLDG 66</v>
      </c>
      <c r="D13456" t="str">
        <f t="shared" si="4970"/>
        <v>FALLON</v>
      </c>
      <c r="E13456" t="str">
        <f t="shared" si="4971"/>
        <v>NV</v>
      </c>
      <c r="F13456" t="str">
        <f t="shared" si="4972"/>
        <v>894960001</v>
      </c>
      <c r="G13456" t="str">
        <f>T("4755 PASTURE RD")</f>
        <v>4755 PASTURE RD</v>
      </c>
      <c r="H13456" t="str">
        <f>T("BLDG 66")</f>
        <v>BLDG 66</v>
      </c>
      <c r="I13456" t="str">
        <f t="shared" si="4973"/>
        <v>FALLON</v>
      </c>
      <c r="J13456" t="str">
        <f t="shared" si="4974"/>
        <v>NV</v>
      </c>
      <c r="K13456" t="str">
        <f>T("7754263703")</f>
        <v>7754263703</v>
      </c>
      <c r="L13456" t="str">
        <f>T("7754263295")</f>
        <v>7754263295</v>
      </c>
    </row>
    <row r="13457" spans="1:12" x14ac:dyDescent="0.35">
      <c r="A13457" t="str">
        <f t="shared" si="4975"/>
        <v>FRCWDET ASD NAS FALLON</v>
      </c>
      <c r="B13457" t="str">
        <f t="shared" si="4969"/>
        <v>4755 PASTURE ROAD</v>
      </c>
      <c r="C13457" t="str">
        <f t="shared" si="4976"/>
        <v>BLDG 66</v>
      </c>
      <c r="D13457" t="str">
        <f t="shared" si="4970"/>
        <v>FALLON</v>
      </c>
      <c r="E13457" t="str">
        <f t="shared" si="4971"/>
        <v>NV</v>
      </c>
      <c r="F13457" t="str">
        <f t="shared" si="4972"/>
        <v>894960001</v>
      </c>
      <c r="G13457" t="str">
        <f>T("4755 PASTURE RD BLDG 24")</f>
        <v>4755 PASTURE RD BLDG 24</v>
      </c>
      <c r="H13457" t="str">
        <f>T("")</f>
        <v/>
      </c>
      <c r="I13457" t="str">
        <f t="shared" si="4973"/>
        <v>FALLON</v>
      </c>
      <c r="J13457" t="str">
        <f t="shared" si="4974"/>
        <v>NV</v>
      </c>
      <c r="K13457" t="str">
        <f>T("7754263703")</f>
        <v>7754263703</v>
      </c>
      <c r="L13457" t="str">
        <f>T("7754262887")</f>
        <v>7754262887</v>
      </c>
    </row>
    <row r="13458" spans="1:12" x14ac:dyDescent="0.35">
      <c r="A13458" t="str">
        <f t="shared" si="4975"/>
        <v>FRCWDET ASD NAS FALLON</v>
      </c>
      <c r="B13458" t="str">
        <f t="shared" si="4969"/>
        <v>4755 PASTURE ROAD</v>
      </c>
      <c r="C13458" t="str">
        <f t="shared" si="4976"/>
        <v>BLDG 66</v>
      </c>
      <c r="D13458" t="str">
        <f t="shared" si="4970"/>
        <v>FALLON</v>
      </c>
      <c r="E13458" t="str">
        <f t="shared" si="4971"/>
        <v>NV</v>
      </c>
      <c r="F13458" t="str">
        <f t="shared" si="4972"/>
        <v>894960001</v>
      </c>
      <c r="G13458" t="str">
        <f>T("4755 PASTURE ROAD")</f>
        <v>4755 PASTURE ROAD</v>
      </c>
      <c r="H13458" t="str">
        <f>T("BLDG 66")</f>
        <v>BLDG 66</v>
      </c>
      <c r="I13458" t="str">
        <f t="shared" si="4973"/>
        <v>FALLON</v>
      </c>
      <c r="J13458" t="str">
        <f t="shared" si="4974"/>
        <v>NV</v>
      </c>
      <c r="K13458" t="str">
        <f>T("7754264175")</f>
        <v>7754264175</v>
      </c>
      <c r="L13458" t="str">
        <f>T("7754263295")</f>
        <v>7754263295</v>
      </c>
    </row>
    <row r="13459" spans="1:12" x14ac:dyDescent="0.35">
      <c r="A13459" t="str">
        <f>T("PMO BREMERTON WA")</f>
        <v>PMO BREMERTON WA</v>
      </c>
      <c r="B13459" t="str">
        <f>T("467 W STREET")</f>
        <v>467 W STREET</v>
      </c>
      <c r="C13459" t="str">
        <f>T("")</f>
        <v/>
      </c>
      <c r="D13459" t="str">
        <f>T("BREMERTON")</f>
        <v>BREMERTON</v>
      </c>
      <c r="E13459" t="str">
        <f>T("WA")</f>
        <v>WA</v>
      </c>
      <c r="F13459" t="str">
        <f>T("983146008")</f>
        <v>983146008</v>
      </c>
      <c r="G13459" t="str">
        <f>T("467 W STREET")</f>
        <v>467 W STREET</v>
      </c>
      <c r="H13459" t="str">
        <f>T("")</f>
        <v/>
      </c>
      <c r="I13459" t="str">
        <f>T("BREMERTON")</f>
        <v>BREMERTON</v>
      </c>
      <c r="J13459" t="str">
        <f>T("WA")</f>
        <v>WA</v>
      </c>
      <c r="K13459" t="str">
        <f>T("000000000000000000")</f>
        <v>000000000000000000</v>
      </c>
      <c r="L13459" t="str">
        <f>T("3604767099")</f>
        <v>3604767099</v>
      </c>
    </row>
    <row r="13460" spans="1:12" x14ac:dyDescent="0.35">
      <c r="A13460" t="str">
        <f>T("PMO BREMERTON WA")</f>
        <v>PMO BREMERTON WA</v>
      </c>
      <c r="B13460" t="str">
        <f>T("467 W STREET")</f>
        <v>467 W STREET</v>
      </c>
      <c r="C13460" t="str">
        <f>T("")</f>
        <v/>
      </c>
      <c r="D13460" t="str">
        <f>T("BREMERTON")</f>
        <v>BREMERTON</v>
      </c>
      <c r="E13460" t="str">
        <f>T("WA")</f>
        <v>WA</v>
      </c>
      <c r="F13460" t="str">
        <f>T("983146008")</f>
        <v>983146008</v>
      </c>
      <c r="G13460" t="str">
        <f>T("467 W STREET")</f>
        <v>467 W STREET</v>
      </c>
      <c r="H13460" t="str">
        <f>T("")</f>
        <v/>
      </c>
      <c r="I13460" t="str">
        <f>T("BREMERTON")</f>
        <v>BREMERTON</v>
      </c>
      <c r="J13460" t="str">
        <f>T("WA")</f>
        <v>WA</v>
      </c>
      <c r="K13460" t="str">
        <f>T("3604760309")</f>
        <v>3604760309</v>
      </c>
      <c r="L13460" t="str">
        <f>T("3604761347")</f>
        <v>3604761347</v>
      </c>
    </row>
    <row r="13461" spans="1:12" x14ac:dyDescent="0.35">
      <c r="A13461" t="str">
        <f>T("PMO BREMERTON WA")</f>
        <v>PMO BREMERTON WA</v>
      </c>
      <c r="B13461" t="str">
        <f>T("467 W STREET")</f>
        <v>467 W STREET</v>
      </c>
      <c r="C13461" t="str">
        <f>T("")</f>
        <v/>
      </c>
      <c r="D13461" t="str">
        <f>T("BREMERTON")</f>
        <v>BREMERTON</v>
      </c>
      <c r="E13461" t="str">
        <f>T("WA")</f>
        <v>WA</v>
      </c>
      <c r="F13461" t="str">
        <f>T("983146008")</f>
        <v>983146008</v>
      </c>
      <c r="G13461" t="str">
        <f>T("467 W STREET")</f>
        <v>467 W STREET</v>
      </c>
      <c r="H13461" t="str">
        <f>T("ATTN PRIORITY MATERIAL OFFICE")</f>
        <v>ATTN PRIORITY MATERIAL OFFICE</v>
      </c>
      <c r="I13461" t="str">
        <f>T("BREMERTON")</f>
        <v>BREMERTON</v>
      </c>
      <c r="J13461" t="str">
        <f>T("WA")</f>
        <v>WA</v>
      </c>
      <c r="K13461" t="str">
        <f>T("3604760309")</f>
        <v>3604760309</v>
      </c>
      <c r="L13461" t="str">
        <f>T("3604767067")</f>
        <v>3604767067</v>
      </c>
    </row>
    <row r="13462" spans="1:12" x14ac:dyDescent="0.35">
      <c r="A13462" t="str">
        <f>T("PMO BREMERTON WA")</f>
        <v>PMO BREMERTON WA</v>
      </c>
      <c r="B13462" t="str">
        <f>T("467 W STREET")</f>
        <v>467 W STREET</v>
      </c>
      <c r="C13462" t="str">
        <f>T("")</f>
        <v/>
      </c>
      <c r="D13462" t="str">
        <f>T("BREMERTON")</f>
        <v>BREMERTON</v>
      </c>
      <c r="E13462" t="str">
        <f>T("WA")</f>
        <v>WA</v>
      </c>
      <c r="F13462" t="str">
        <f>T("983146008")</f>
        <v>983146008</v>
      </c>
      <c r="G13462" t="str">
        <f>T("467 W STREET")</f>
        <v>467 W STREET</v>
      </c>
      <c r="H13462" t="str">
        <f>T("PRIORITY MATERIAL OFFICE")</f>
        <v>PRIORITY MATERIAL OFFICE</v>
      </c>
      <c r="I13462" t="str">
        <f>T("BREMERTON")</f>
        <v>BREMERTON</v>
      </c>
      <c r="J13462" t="str">
        <f>T("WA")</f>
        <v>WA</v>
      </c>
      <c r="K13462" t="str">
        <f>T("3604760309")</f>
        <v>3604760309</v>
      </c>
      <c r="L13462" t="str">
        <f>T("3604767099")</f>
        <v>3604767099</v>
      </c>
    </row>
    <row r="13463" spans="1:12" x14ac:dyDescent="0.35">
      <c r="A13463" t="str">
        <f>T("PMO BREMERTON WA")</f>
        <v>PMO BREMERTON WA</v>
      </c>
      <c r="B13463" t="str">
        <f>T("467 W STREET")</f>
        <v>467 W STREET</v>
      </c>
      <c r="C13463" t="str">
        <f>T("")</f>
        <v/>
      </c>
      <c r="D13463" t="str">
        <f>T("BREMERTON")</f>
        <v>BREMERTON</v>
      </c>
      <c r="E13463" t="str">
        <f>T("WA")</f>
        <v>WA</v>
      </c>
      <c r="F13463" t="str">
        <f>T("983146008")</f>
        <v>983146008</v>
      </c>
      <c r="G13463" t="str">
        <f>T("PRIORITY MATERIAL OFFICE")</f>
        <v>PRIORITY MATERIAL OFFICE</v>
      </c>
      <c r="H13463" t="str">
        <f>T("467 W STREET")</f>
        <v>467 W STREET</v>
      </c>
      <c r="I13463" t="str">
        <f>T("BREMERTON")</f>
        <v>BREMERTON</v>
      </c>
      <c r="J13463" t="str">
        <f>T("WA")</f>
        <v>WA</v>
      </c>
      <c r="K13463" t="str">
        <f>T("3604767311")</f>
        <v>3604767311</v>
      </c>
      <c r="L13463" t="str">
        <f>T("3604767507")</f>
        <v>3604767507</v>
      </c>
    </row>
    <row r="13464" spans="1:12" x14ac:dyDescent="0.35">
      <c r="A13464" t="str">
        <f t="shared" ref="A13464:A13469" si="4977">T("USS EMORY S LAND AS 39")</f>
        <v>USS EMORY S LAND AS 39</v>
      </c>
      <c r="B13464" t="str">
        <f t="shared" ref="B13464:B13469" si="4978">T("USS EMORY S LAND AS39")</f>
        <v>USS EMORY S LAND AS39</v>
      </c>
      <c r="C13464" t="str">
        <f t="shared" ref="C13464:C13469" si="4979">T("SUPPLY DEPT S-6 DIVISION")</f>
        <v>SUPPLY DEPT S-6 DIVISION</v>
      </c>
      <c r="D13464" t="str">
        <f t="shared" ref="D13464:D13469" si="4980">T("FPO")</f>
        <v>FPO</v>
      </c>
      <c r="E13464" t="str">
        <f t="shared" ref="E13464:E13469" si="4981">T("AP")</f>
        <v>AP</v>
      </c>
      <c r="F13464" t="str">
        <f t="shared" ref="F13464:F13469" si="4982">T("966672610")</f>
        <v>966672610</v>
      </c>
      <c r="G13464" t="str">
        <f>T("SUPPLY DEPARTMENT")</f>
        <v>SUPPLY DEPARTMENT</v>
      </c>
      <c r="H13464" t="str">
        <f>T("S-6 DIVISION")</f>
        <v>S-6 DIVISION</v>
      </c>
      <c r="I13464" t="str">
        <f t="shared" ref="I13464:I13470" si="4983">T("FPO")</f>
        <v>FPO</v>
      </c>
      <c r="J13464" t="str">
        <f t="shared" ref="J13464:J13470" si="4984">T("AP")</f>
        <v>AP</v>
      </c>
      <c r="K13464" t="str">
        <f>T("000000000000000000")</f>
        <v>000000000000000000</v>
      </c>
      <c r="L13464" t="str">
        <f>T("6713395590")</f>
        <v>6713395590</v>
      </c>
    </row>
    <row r="13465" spans="1:12" x14ac:dyDescent="0.35">
      <c r="A13465" t="str">
        <f t="shared" si="4977"/>
        <v>USS EMORY S LAND AS 39</v>
      </c>
      <c r="B13465" t="str">
        <f t="shared" si="4978"/>
        <v>USS EMORY S LAND AS39</v>
      </c>
      <c r="C13465" t="str">
        <f t="shared" si="4979"/>
        <v>SUPPLY DEPT S-6 DIVISION</v>
      </c>
      <c r="D13465" t="str">
        <f t="shared" si="4980"/>
        <v>FPO</v>
      </c>
      <c r="E13465" t="str">
        <f t="shared" si="4981"/>
        <v>AP</v>
      </c>
      <c r="F13465" t="str">
        <f t="shared" si="4982"/>
        <v>966672610</v>
      </c>
      <c r="G13465" t="str">
        <f>T("SUPPLY DEPARTMENT")</f>
        <v>SUPPLY DEPARTMENT</v>
      </c>
      <c r="H13465" t="str">
        <f>T("S-6 DIVISION")</f>
        <v>S-6 DIVISION</v>
      </c>
      <c r="I13465" t="str">
        <f t="shared" si="4983"/>
        <v>FPO</v>
      </c>
      <c r="J13465" t="str">
        <f t="shared" si="4984"/>
        <v>AP</v>
      </c>
      <c r="K13465" t="str">
        <f>T("000000000000000000")</f>
        <v>000000000000000000</v>
      </c>
      <c r="L13465" t="str">
        <f>T("6713434510")</f>
        <v>6713434510</v>
      </c>
    </row>
    <row r="13466" spans="1:12" x14ac:dyDescent="0.35">
      <c r="A13466" t="str">
        <f t="shared" si="4977"/>
        <v>USS EMORY S LAND AS 39</v>
      </c>
      <c r="B13466" t="str">
        <f t="shared" si="4978"/>
        <v>USS EMORY S LAND AS39</v>
      </c>
      <c r="C13466" t="str">
        <f t="shared" si="4979"/>
        <v>SUPPLY DEPT S-6 DIVISION</v>
      </c>
      <c r="D13466" t="str">
        <f t="shared" si="4980"/>
        <v>FPO</v>
      </c>
      <c r="E13466" t="str">
        <f t="shared" si="4981"/>
        <v>AP</v>
      </c>
      <c r="F13466" t="str">
        <f t="shared" si="4982"/>
        <v>966672610</v>
      </c>
      <c r="G13466" t="str">
        <f>T("USS EMORY S LAND")</f>
        <v>USS EMORY S LAND</v>
      </c>
      <c r="H13466" t="str">
        <f>T("S-6 DIVISION")</f>
        <v>S-6 DIVISION</v>
      </c>
      <c r="I13466" t="str">
        <f t="shared" si="4983"/>
        <v>FPO</v>
      </c>
      <c r="J13466" t="str">
        <f t="shared" si="4984"/>
        <v>AP</v>
      </c>
      <c r="K13466" t="str">
        <f>T("000000000000000000")</f>
        <v>000000000000000000</v>
      </c>
      <c r="L13466" t="str">
        <f>T("6713430921")</f>
        <v>6713430921</v>
      </c>
    </row>
    <row r="13467" spans="1:12" x14ac:dyDescent="0.35">
      <c r="A13467" t="str">
        <f t="shared" si="4977"/>
        <v>USS EMORY S LAND AS 39</v>
      </c>
      <c r="B13467" t="str">
        <f t="shared" si="4978"/>
        <v>USS EMORY S LAND AS39</v>
      </c>
      <c r="C13467" t="str">
        <f t="shared" si="4979"/>
        <v>SUPPLY DEPT S-6 DIVISION</v>
      </c>
      <c r="D13467" t="str">
        <f t="shared" si="4980"/>
        <v>FPO</v>
      </c>
      <c r="E13467" t="str">
        <f t="shared" si="4981"/>
        <v>AP</v>
      </c>
      <c r="F13467" t="str">
        <f t="shared" si="4982"/>
        <v>966672610</v>
      </c>
      <c r="G13467" t="str">
        <f>T("USS EMORY S LAND AS 39")</f>
        <v>USS EMORY S LAND AS 39</v>
      </c>
      <c r="H13467" t="str">
        <f>T("")</f>
        <v/>
      </c>
      <c r="I13467" t="str">
        <f t="shared" si="4983"/>
        <v>FPO</v>
      </c>
      <c r="J13467" t="str">
        <f t="shared" si="4984"/>
        <v>AP</v>
      </c>
      <c r="K13467" t="str">
        <f>T("000000000000000000")</f>
        <v>000000000000000000</v>
      </c>
      <c r="L13467" t="str">
        <f>T("6713434510")</f>
        <v>6713434510</v>
      </c>
    </row>
    <row r="13468" spans="1:12" x14ac:dyDescent="0.35">
      <c r="A13468" t="str">
        <f t="shared" si="4977"/>
        <v>USS EMORY S LAND AS 39</v>
      </c>
      <c r="B13468" t="str">
        <f t="shared" si="4978"/>
        <v>USS EMORY S LAND AS39</v>
      </c>
      <c r="C13468" t="str">
        <f t="shared" si="4979"/>
        <v>SUPPLY DEPT S-6 DIVISION</v>
      </c>
      <c r="D13468" t="str">
        <f t="shared" si="4980"/>
        <v>FPO</v>
      </c>
      <c r="E13468" t="str">
        <f t="shared" si="4981"/>
        <v>AP</v>
      </c>
      <c r="F13468" t="str">
        <f t="shared" si="4982"/>
        <v>966672610</v>
      </c>
      <c r="G13468" t="str">
        <f>T("USS EMORY S LAND AS 39")</f>
        <v>USS EMORY S LAND AS 39</v>
      </c>
      <c r="H13468" t="str">
        <f>T("S-6 DIVISION")</f>
        <v>S-6 DIVISION</v>
      </c>
      <c r="I13468" t="str">
        <f t="shared" si="4983"/>
        <v>FPO</v>
      </c>
      <c r="J13468" t="str">
        <f t="shared" si="4984"/>
        <v>AP</v>
      </c>
      <c r="K13468" t="str">
        <f>T("000000000000000000")</f>
        <v>000000000000000000</v>
      </c>
      <c r="L13468" t="str">
        <f>T("6713430920")</f>
        <v>6713430920</v>
      </c>
    </row>
    <row r="13469" spans="1:12" x14ac:dyDescent="0.35">
      <c r="A13469" t="str">
        <f t="shared" si="4977"/>
        <v>USS EMORY S LAND AS 39</v>
      </c>
      <c r="B13469" t="str">
        <f t="shared" si="4978"/>
        <v>USS EMORY S LAND AS39</v>
      </c>
      <c r="C13469" t="str">
        <f t="shared" si="4979"/>
        <v>SUPPLY DEPT S-6 DIVISION</v>
      </c>
      <c r="D13469" t="str">
        <f t="shared" si="4980"/>
        <v>FPO</v>
      </c>
      <c r="E13469" t="str">
        <f t="shared" si="4981"/>
        <v>AP</v>
      </c>
      <c r="F13469" t="str">
        <f t="shared" si="4982"/>
        <v>966672610</v>
      </c>
      <c r="G13469" t="str">
        <f>T("USS EMORY S LAND AS39")</f>
        <v>USS EMORY S LAND AS39</v>
      </c>
      <c r="H13469" t="str">
        <f>T("SUPPLY DEPT S-6 DIVISION")</f>
        <v>SUPPLY DEPT S-6 DIVISION</v>
      </c>
      <c r="I13469" t="str">
        <f t="shared" si="4983"/>
        <v>FPO</v>
      </c>
      <c r="J13469" t="str">
        <f t="shared" si="4984"/>
        <v>AP</v>
      </c>
      <c r="K13469" t="str">
        <f>T("1111111111")</f>
        <v>1111111111</v>
      </c>
      <c r="L13469" t="str">
        <f>T("1111111111")</f>
        <v>1111111111</v>
      </c>
    </row>
    <row r="13470" spans="1:12" x14ac:dyDescent="0.35">
      <c r="A13470" t="str">
        <f>T("USS FRANK CABLE AS-40")</f>
        <v>USS FRANK CABLE AS-40</v>
      </c>
      <c r="B13470" t="str">
        <f>T("USS FRANK CABLE")</f>
        <v>USS FRANK CABLE</v>
      </c>
      <c r="C13470" t="str">
        <f>T("BLDG 4436 POLARIS POINT WARE")</f>
        <v>BLDG 4436 POLARIS POINT WARE</v>
      </c>
      <c r="D13470" t="str">
        <f>T("PITI")</f>
        <v>PITI</v>
      </c>
      <c r="E13470" t="str">
        <f>T("GU")</f>
        <v>GU</v>
      </c>
      <c r="F13470" t="str">
        <f>T("969150000")</f>
        <v>969150000</v>
      </c>
      <c r="G13470" t="str">
        <f>T("ATTN GCPC APC/AO")</f>
        <v>ATTN GCPC APC/AO</v>
      </c>
      <c r="H13470" t="str">
        <f>T("UNIT 100105 BOX 1")</f>
        <v>UNIT 100105 BOX 1</v>
      </c>
      <c r="I13470" t="str">
        <f t="shared" si="4983"/>
        <v>FPO</v>
      </c>
      <c r="J13470" t="str">
        <f t="shared" si="4984"/>
        <v>AP</v>
      </c>
      <c r="K13470" t="str">
        <f>T("000000000000000000")</f>
        <v>000000000000000000</v>
      </c>
      <c r="L13470" t="str">
        <f>T("6713432454")</f>
        <v>6713432454</v>
      </c>
    </row>
    <row r="13471" spans="1:12" x14ac:dyDescent="0.35">
      <c r="A13471" t="str">
        <f>T("USS FRANK CABLE AS-40")</f>
        <v>USS FRANK CABLE AS-40</v>
      </c>
      <c r="B13471" t="str">
        <f>T("USS FRANK CABLE")</f>
        <v>USS FRANK CABLE</v>
      </c>
      <c r="C13471" t="str">
        <f>T("BLDG 4436 POLARIS POINT WARE")</f>
        <v>BLDG 4436 POLARIS POINT WARE</v>
      </c>
      <c r="D13471" t="str">
        <f>T("PITI")</f>
        <v>PITI</v>
      </c>
      <c r="E13471" t="str">
        <f>T("GU")</f>
        <v>GU</v>
      </c>
      <c r="F13471" t="str">
        <f>T("969150000")</f>
        <v>969150000</v>
      </c>
      <c r="G13471" t="str">
        <f>T("USS FRANK CABLE")</f>
        <v>USS FRANK CABLE</v>
      </c>
      <c r="H13471" t="str">
        <f>T("BLDG 4436 POLARIS POINT WARE")</f>
        <v>BLDG 4436 POLARIS POINT WARE</v>
      </c>
      <c r="I13471" t="str">
        <f>T("PITI")</f>
        <v>PITI</v>
      </c>
      <c r="J13471" t="str">
        <f>T("GU")</f>
        <v>GU</v>
      </c>
      <c r="K13471" t="str">
        <f>T("67134325457875")</f>
        <v>67134325457875</v>
      </c>
      <c r="L13471" t="str">
        <f>T("6713432545")</f>
        <v>6713432545</v>
      </c>
    </row>
    <row r="13472" spans="1:12" x14ac:dyDescent="0.35">
      <c r="A13472" t="str">
        <f>T("USS FRANK CABLE AS-40")</f>
        <v>USS FRANK CABLE AS-40</v>
      </c>
      <c r="B13472" t="str">
        <f>T("USS FRANK CABLE")</f>
        <v>USS FRANK CABLE</v>
      </c>
      <c r="C13472" t="str">
        <f>T("BLDG 4436 POLARIS POINT WARE")</f>
        <v>BLDG 4436 POLARIS POINT WARE</v>
      </c>
      <c r="D13472" t="str">
        <f>T("PITI")</f>
        <v>PITI</v>
      </c>
      <c r="E13472" t="str">
        <f>T("GU")</f>
        <v>GU</v>
      </c>
      <c r="F13472" t="str">
        <f>T("969150000")</f>
        <v>969150000</v>
      </c>
      <c r="G13472" t="str">
        <f>T("USS FRANK CABLE AS 40")</f>
        <v>USS FRANK CABLE AS 40</v>
      </c>
      <c r="H13472" t="str">
        <f>T("")</f>
        <v/>
      </c>
      <c r="I13472" t="str">
        <f>T("SANTA RITA")</f>
        <v>SANTA RITA</v>
      </c>
      <c r="J13472" t="str">
        <f>T("AP")</f>
        <v>AP</v>
      </c>
      <c r="K13472" t="str">
        <f>T("000000000000000000")</f>
        <v>000000000000000000</v>
      </c>
      <c r="L13472" t="str">
        <f>T("6713432545")</f>
        <v>6713432545</v>
      </c>
    </row>
    <row r="13473" spans="1:12" x14ac:dyDescent="0.35">
      <c r="A13473" t="str">
        <f>T("UNDERSEA RESCUE COMMAND")</f>
        <v>UNDERSEA RESCUE COMMAND</v>
      </c>
      <c r="B13473" t="str">
        <f>T("PO BOX 357049 BLDG 497")</f>
        <v>PO BOX 357049 BLDG 497</v>
      </c>
      <c r="C13473" t="str">
        <f>T("NAS NORTH IS")</f>
        <v>NAS NORTH IS</v>
      </c>
      <c r="D13473" t="str">
        <f>T("SAN DIEGO")</f>
        <v>SAN DIEGO</v>
      </c>
      <c r="E13473" t="str">
        <f>T("CA")</f>
        <v>CA</v>
      </c>
      <c r="F13473" t="str">
        <f>T("921357049")</f>
        <v>921357049</v>
      </c>
      <c r="G13473" t="str">
        <f>T("PO BOX 357049 BLDG 497")</f>
        <v>PO BOX 357049 BLDG 497</v>
      </c>
      <c r="H13473" t="str">
        <f>T("NAS NORTH IS")</f>
        <v>NAS NORTH IS</v>
      </c>
      <c r="I13473" t="str">
        <f>T("SAN DIEGO")</f>
        <v>SAN DIEGO</v>
      </c>
      <c r="J13473" t="str">
        <f>T("CA")</f>
        <v>CA</v>
      </c>
      <c r="K13473" t="str">
        <f>T("")</f>
        <v/>
      </c>
      <c r="L13473" t="str">
        <f>T("1111111111")</f>
        <v>1111111111</v>
      </c>
    </row>
    <row r="13474" spans="1:12" x14ac:dyDescent="0.35">
      <c r="A13474" t="str">
        <f>T("UNDERSEA RESCUE COMMAND")</f>
        <v>UNDERSEA RESCUE COMMAND</v>
      </c>
      <c r="B13474" t="str">
        <f>T("PO BOX 357049 BLDG 497")</f>
        <v>PO BOX 357049 BLDG 497</v>
      </c>
      <c r="C13474" t="str">
        <f>T("NAS NORTH IS")</f>
        <v>NAS NORTH IS</v>
      </c>
      <c r="D13474" t="str">
        <f>T("SAN DIEGO")</f>
        <v>SAN DIEGO</v>
      </c>
      <c r="E13474" t="str">
        <f>T("CA")</f>
        <v>CA</v>
      </c>
      <c r="F13474" t="str">
        <f>T("921357049")</f>
        <v>921357049</v>
      </c>
      <c r="G13474" t="str">
        <f>T("UNDERSEA RESCUE COMMAND")</f>
        <v>UNDERSEA RESCUE COMMAND</v>
      </c>
      <c r="H13474" t="str">
        <f>T("497 MOFFET RD NASNI")</f>
        <v>497 MOFFET RD NASNI</v>
      </c>
      <c r="I13474" t="str">
        <f>T("SAN DIEGO")</f>
        <v>SAN DIEGO</v>
      </c>
      <c r="J13474" t="str">
        <f>T("CA")</f>
        <v>CA</v>
      </c>
      <c r="K13474" t="str">
        <f>T("000000000000000000")</f>
        <v>000000000000000000</v>
      </c>
      <c r="L13474" t="str">
        <f>T("6195456882")</f>
        <v>6195456882</v>
      </c>
    </row>
    <row r="13475" spans="1:12" x14ac:dyDescent="0.35">
      <c r="A13475" t="str">
        <f>T("UNDERSEA RESCUE COMMAND")</f>
        <v>UNDERSEA RESCUE COMMAND</v>
      </c>
      <c r="B13475" t="str">
        <f>T("PO BOX 357049 BLDG 497")</f>
        <v>PO BOX 357049 BLDG 497</v>
      </c>
      <c r="C13475" t="str">
        <f>T("NAS NORTH IS")</f>
        <v>NAS NORTH IS</v>
      </c>
      <c r="D13475" t="str">
        <f>T("SAN DIEGO")</f>
        <v>SAN DIEGO</v>
      </c>
      <c r="E13475" t="str">
        <f>T("CA")</f>
        <v>CA</v>
      </c>
      <c r="F13475" t="str">
        <f>T("921357049")</f>
        <v>921357049</v>
      </c>
      <c r="G13475" t="str">
        <f>T("UNSEARESCOM")</f>
        <v>UNSEARESCOM</v>
      </c>
      <c r="H13475" t="str">
        <f>T("PO BOX 357049")</f>
        <v>PO BOX 357049</v>
      </c>
      <c r="I13475" t="str">
        <f>T("SAN DIEGO")</f>
        <v>SAN DIEGO</v>
      </c>
      <c r="J13475" t="str">
        <f>T("CA")</f>
        <v>CA</v>
      </c>
      <c r="K13475" t="str">
        <f>T("6195456868")</f>
        <v>6195456868</v>
      </c>
      <c r="L13475" t="str">
        <f>T("6195456882")</f>
        <v>6195456882</v>
      </c>
    </row>
    <row r="13476" spans="1:12" x14ac:dyDescent="0.35">
      <c r="A13476" t="str">
        <f>T("COMMANDER UNDERSEA SURVEILLANC")</f>
        <v>COMMANDER UNDERSEA SURVEILLANC</v>
      </c>
      <c r="B13476" t="str">
        <f>T("373 BULLPUP ST")</f>
        <v>373 BULLPUP ST</v>
      </c>
      <c r="C13476" t="str">
        <f>T("")</f>
        <v/>
      </c>
      <c r="D13476" t="str">
        <f>T("VIRGINIA BCH")</f>
        <v>VIRGINIA BCH</v>
      </c>
      <c r="E13476" t="str">
        <f>T("VA")</f>
        <v>VA</v>
      </c>
      <c r="F13476" t="str">
        <f>T("234612101")</f>
        <v>234612101</v>
      </c>
      <c r="G13476" t="str">
        <f>T("373 BULLPUP ST")</f>
        <v>373 BULLPUP ST</v>
      </c>
      <c r="H13476" t="str">
        <f>T("")</f>
        <v/>
      </c>
      <c r="I13476" t="str">
        <f>T("VIRGINIA BCH")</f>
        <v>VIRGINIA BCH</v>
      </c>
      <c r="J13476" t="str">
        <f>T("VA")</f>
        <v>VA</v>
      </c>
      <c r="K13476" t="str">
        <f>T("")</f>
        <v/>
      </c>
      <c r="L13476" t="str">
        <f>T("4927575177")</f>
        <v>4927575177</v>
      </c>
    </row>
    <row r="13477" spans="1:12" x14ac:dyDescent="0.35">
      <c r="A13477" t="str">
        <f>T("COMMANDER UNDERSEA SURVEILLANC")</f>
        <v>COMMANDER UNDERSEA SURVEILLANC</v>
      </c>
      <c r="B13477" t="str">
        <f>T("373 BULLPUP ST")</f>
        <v>373 BULLPUP ST</v>
      </c>
      <c r="C13477" t="str">
        <f>T("")</f>
        <v/>
      </c>
      <c r="D13477" t="str">
        <f>T("VIRGINIA BCH")</f>
        <v>VIRGINIA BCH</v>
      </c>
      <c r="E13477" t="str">
        <f>T("VA")</f>
        <v>VA</v>
      </c>
      <c r="F13477" t="str">
        <f>T("234612101")</f>
        <v>234612101</v>
      </c>
      <c r="G13477" t="str">
        <f>T("373 BULLPUP ST")</f>
        <v>373 BULLPUP ST</v>
      </c>
      <c r="H13477" t="str">
        <f>T("")</f>
        <v/>
      </c>
      <c r="I13477" t="str">
        <f>T("VIRGINIA BEACH")</f>
        <v>VIRGINIA BEACH</v>
      </c>
      <c r="J13477" t="str">
        <f>T("VA")</f>
        <v>VA</v>
      </c>
      <c r="K13477" t="str">
        <f>T("7574927134")</f>
        <v>7574927134</v>
      </c>
      <c r="L13477" t="str">
        <f>T("7574926549")</f>
        <v>7574926549</v>
      </c>
    </row>
    <row r="13478" spans="1:12" x14ac:dyDescent="0.35">
      <c r="A13478" t="str">
        <f t="shared" ref="A13478:A13485" si="4985">T("NAVAL OCEAN PROCESSING FACILIT")</f>
        <v>NAVAL OCEAN PROCESSING FACILIT</v>
      </c>
      <c r="B13478" t="str">
        <f t="shared" ref="B13478:B13485" si="4986">T("1280 WEST INTRUDER STREET")</f>
        <v>1280 WEST INTRUDER STREET</v>
      </c>
      <c r="C13478" t="str">
        <f t="shared" ref="C13478:C13485" si="4987">T("BLDG 2700")</f>
        <v>BLDG 2700</v>
      </c>
      <c r="D13478" t="str">
        <f t="shared" ref="D13478:D13485" si="4988">T("OAK HARBOR")</f>
        <v>OAK HARBOR</v>
      </c>
      <c r="E13478" t="str">
        <f t="shared" ref="E13478:E13485" si="4989">T("WA")</f>
        <v>WA</v>
      </c>
      <c r="F13478" t="str">
        <f t="shared" ref="F13478:F13485" si="4990">T("982789400")</f>
        <v>982789400</v>
      </c>
      <c r="G13478" t="str">
        <f>T("1280 W INTRUDER ST")</f>
        <v>1280 W INTRUDER ST</v>
      </c>
      <c r="H13478" t="str">
        <f>T("BLDG 2700")</f>
        <v>BLDG 2700</v>
      </c>
      <c r="I13478" t="str">
        <f t="shared" ref="I13478:I13485" si="4991">T("OAK HARBOR")</f>
        <v>OAK HARBOR</v>
      </c>
      <c r="J13478" t="str">
        <f t="shared" ref="J13478:J13485" si="4992">T("WA")</f>
        <v>WA</v>
      </c>
      <c r="K13478" t="str">
        <f>T("3602571675")</f>
        <v>3602571675</v>
      </c>
      <c r="L13478" t="str">
        <f>T("3602570205")</f>
        <v>3602570205</v>
      </c>
    </row>
    <row r="13479" spans="1:12" x14ac:dyDescent="0.35">
      <c r="A13479" t="str">
        <f t="shared" si="4985"/>
        <v>NAVAL OCEAN PROCESSING FACILIT</v>
      </c>
      <c r="B13479" t="str">
        <f t="shared" si="4986"/>
        <v>1280 WEST INTRUDER STREET</v>
      </c>
      <c r="C13479" t="str">
        <f t="shared" si="4987"/>
        <v>BLDG 2700</v>
      </c>
      <c r="D13479" t="str">
        <f t="shared" si="4988"/>
        <v>OAK HARBOR</v>
      </c>
      <c r="E13479" t="str">
        <f t="shared" si="4989"/>
        <v>WA</v>
      </c>
      <c r="F13479" t="str">
        <f t="shared" si="4990"/>
        <v>982789400</v>
      </c>
      <c r="G13479" t="str">
        <f>T("1280 W INTRUDER ST")</f>
        <v>1280 W INTRUDER ST</v>
      </c>
      <c r="H13479" t="str">
        <f>T("BLDG 2700")</f>
        <v>BLDG 2700</v>
      </c>
      <c r="I13479" t="str">
        <f t="shared" si="4991"/>
        <v>OAK HARBOR</v>
      </c>
      <c r="J13479" t="str">
        <f t="shared" si="4992"/>
        <v>WA</v>
      </c>
      <c r="K13479" t="str">
        <f>T("3602571675")</f>
        <v>3602571675</v>
      </c>
      <c r="L13479" t="str">
        <f>T("3602570225")</f>
        <v>3602570225</v>
      </c>
    </row>
    <row r="13480" spans="1:12" x14ac:dyDescent="0.35">
      <c r="A13480" t="str">
        <f t="shared" si="4985"/>
        <v>NAVAL OCEAN PROCESSING FACILIT</v>
      </c>
      <c r="B13480" t="str">
        <f t="shared" si="4986"/>
        <v>1280 WEST INTRUDER STREET</v>
      </c>
      <c r="C13480" t="str">
        <f t="shared" si="4987"/>
        <v>BLDG 2700</v>
      </c>
      <c r="D13480" t="str">
        <f t="shared" si="4988"/>
        <v>OAK HARBOR</v>
      </c>
      <c r="E13480" t="str">
        <f t="shared" si="4989"/>
        <v>WA</v>
      </c>
      <c r="F13480" t="str">
        <f t="shared" si="4990"/>
        <v>982789400</v>
      </c>
      <c r="G13480" t="str">
        <f>T("1280 W INTRUDER ST")</f>
        <v>1280 W INTRUDER ST</v>
      </c>
      <c r="H13480" t="str">
        <f>T("BUILDING 2700 CODE N3")</f>
        <v>BUILDING 2700 CODE N3</v>
      </c>
      <c r="I13480" t="str">
        <f t="shared" si="4991"/>
        <v>OAK HARBOR</v>
      </c>
      <c r="J13480" t="str">
        <f t="shared" si="4992"/>
        <v>WA</v>
      </c>
      <c r="K13480" t="str">
        <f>T("000000000000000000")</f>
        <v>000000000000000000</v>
      </c>
      <c r="L13480" t="str">
        <f>T("3602570225")</f>
        <v>3602570225</v>
      </c>
    </row>
    <row r="13481" spans="1:12" x14ac:dyDescent="0.35">
      <c r="A13481" t="str">
        <f t="shared" si="4985"/>
        <v>NAVAL OCEAN PROCESSING FACILIT</v>
      </c>
      <c r="B13481" t="str">
        <f t="shared" si="4986"/>
        <v>1280 WEST INTRUDER STREET</v>
      </c>
      <c r="C13481" t="str">
        <f t="shared" si="4987"/>
        <v>BLDG 2700</v>
      </c>
      <c r="D13481" t="str">
        <f t="shared" si="4988"/>
        <v>OAK HARBOR</v>
      </c>
      <c r="E13481" t="str">
        <f t="shared" si="4989"/>
        <v>WA</v>
      </c>
      <c r="F13481" t="str">
        <f t="shared" si="4990"/>
        <v>982789400</v>
      </c>
      <c r="G13481" t="str">
        <f>T("1280 W INTRUDER STREET")</f>
        <v>1280 W INTRUDER STREET</v>
      </c>
      <c r="H13481" t="str">
        <f>T("BUILDING 2700, CODE N1")</f>
        <v>BUILDING 2700, CODE N1</v>
      </c>
      <c r="I13481" t="str">
        <f t="shared" si="4991"/>
        <v>OAK HARBOR</v>
      </c>
      <c r="J13481" t="str">
        <f t="shared" si="4992"/>
        <v>WA</v>
      </c>
      <c r="K13481" t="str">
        <f>T("3602571675")</f>
        <v>3602571675</v>
      </c>
      <c r="L13481" t="str">
        <f>T("3602570200")</f>
        <v>3602570200</v>
      </c>
    </row>
    <row r="13482" spans="1:12" x14ac:dyDescent="0.35">
      <c r="A13482" t="str">
        <f t="shared" si="4985"/>
        <v>NAVAL OCEAN PROCESSING FACILIT</v>
      </c>
      <c r="B13482" t="str">
        <f t="shared" si="4986"/>
        <v>1280 WEST INTRUDER STREET</v>
      </c>
      <c r="C13482" t="str">
        <f t="shared" si="4987"/>
        <v>BLDG 2700</v>
      </c>
      <c r="D13482" t="str">
        <f t="shared" si="4988"/>
        <v>OAK HARBOR</v>
      </c>
      <c r="E13482" t="str">
        <f t="shared" si="4989"/>
        <v>WA</v>
      </c>
      <c r="F13482" t="str">
        <f t="shared" si="4990"/>
        <v>982789400</v>
      </c>
      <c r="G13482" t="str">
        <f>T("1280 WEST INTRUDER ST")</f>
        <v>1280 WEST INTRUDER ST</v>
      </c>
      <c r="H13482" t="str">
        <f>T("BLDG 2700")</f>
        <v>BLDG 2700</v>
      </c>
      <c r="I13482" t="str">
        <f t="shared" si="4991"/>
        <v>OAK HARBOR</v>
      </c>
      <c r="J13482" t="str">
        <f t="shared" si="4992"/>
        <v>WA</v>
      </c>
      <c r="K13482" t="str">
        <f>T("3602571675")</f>
        <v>3602571675</v>
      </c>
      <c r="L13482" t="str">
        <f>T("3602570228")</f>
        <v>3602570228</v>
      </c>
    </row>
    <row r="13483" spans="1:12" x14ac:dyDescent="0.35">
      <c r="A13483" t="str">
        <f t="shared" si="4985"/>
        <v>NAVAL OCEAN PROCESSING FACILIT</v>
      </c>
      <c r="B13483" t="str">
        <f t="shared" si="4986"/>
        <v>1280 WEST INTRUDER STREET</v>
      </c>
      <c r="C13483" t="str">
        <f t="shared" si="4987"/>
        <v>BLDG 2700</v>
      </c>
      <c r="D13483" t="str">
        <f t="shared" si="4988"/>
        <v>OAK HARBOR</v>
      </c>
      <c r="E13483" t="str">
        <f t="shared" si="4989"/>
        <v>WA</v>
      </c>
      <c r="F13483" t="str">
        <f t="shared" si="4990"/>
        <v>982789400</v>
      </c>
      <c r="G13483" t="str">
        <f>T("1280 WEST INTRUDER STREET")</f>
        <v>1280 WEST INTRUDER STREET</v>
      </c>
      <c r="H13483" t="str">
        <f>T("BLDG 2700")</f>
        <v>BLDG 2700</v>
      </c>
      <c r="I13483" t="str">
        <f t="shared" si="4991"/>
        <v>OAK HARBOR</v>
      </c>
      <c r="J13483" t="str">
        <f t="shared" si="4992"/>
        <v>WA</v>
      </c>
      <c r="K13483" t="str">
        <f>T("3606751875")</f>
        <v>3606751875</v>
      </c>
      <c r="L13483" t="str">
        <f>T("2573600201")</f>
        <v>2573600201</v>
      </c>
    </row>
    <row r="13484" spans="1:12" x14ac:dyDescent="0.35">
      <c r="A13484" t="str">
        <f t="shared" si="4985"/>
        <v>NAVAL OCEAN PROCESSING FACILIT</v>
      </c>
      <c r="B13484" t="str">
        <f t="shared" si="4986"/>
        <v>1280 WEST INTRUDER STREET</v>
      </c>
      <c r="C13484" t="str">
        <f t="shared" si="4987"/>
        <v>BLDG 2700</v>
      </c>
      <c r="D13484" t="str">
        <f t="shared" si="4988"/>
        <v>OAK HARBOR</v>
      </c>
      <c r="E13484" t="str">
        <f t="shared" si="4989"/>
        <v>WA</v>
      </c>
      <c r="F13484" t="str">
        <f t="shared" si="4990"/>
        <v>982789400</v>
      </c>
      <c r="G13484" t="str">
        <f>T("1280WEST INTRUDER ST")</f>
        <v>1280WEST INTRUDER ST</v>
      </c>
      <c r="H13484" t="str">
        <f>T("BLDG 2700")</f>
        <v>BLDG 2700</v>
      </c>
      <c r="I13484" t="str">
        <f t="shared" si="4991"/>
        <v>OAK HARBOR</v>
      </c>
      <c r="J13484" t="str">
        <f t="shared" si="4992"/>
        <v>WA</v>
      </c>
      <c r="K13484" t="str">
        <f>T("000000000000000000")</f>
        <v>000000000000000000</v>
      </c>
      <c r="L13484" t="str">
        <f>T("3602579157")</f>
        <v>3602579157</v>
      </c>
    </row>
    <row r="13485" spans="1:12" x14ac:dyDescent="0.35">
      <c r="A13485" t="str">
        <f t="shared" si="4985"/>
        <v>NAVAL OCEAN PROCESSING FACILIT</v>
      </c>
      <c r="B13485" t="str">
        <f t="shared" si="4986"/>
        <v>1280 WEST INTRUDER STREET</v>
      </c>
      <c r="C13485" t="str">
        <f t="shared" si="4987"/>
        <v>BLDG 2700</v>
      </c>
      <c r="D13485" t="str">
        <f t="shared" si="4988"/>
        <v>OAK HARBOR</v>
      </c>
      <c r="E13485" t="str">
        <f t="shared" si="4989"/>
        <v>WA</v>
      </c>
      <c r="F13485" t="str">
        <f t="shared" si="4990"/>
        <v>982789400</v>
      </c>
      <c r="G13485" t="str">
        <f>T("NOPF WHIDBEY ISLAND")</f>
        <v>NOPF WHIDBEY ISLAND</v>
      </c>
      <c r="H13485" t="str">
        <f>T("1280 WEST INTRUDER ST")</f>
        <v>1280 WEST INTRUDER ST</v>
      </c>
      <c r="I13485" t="str">
        <f t="shared" si="4991"/>
        <v>OAK HARBOR</v>
      </c>
      <c r="J13485" t="str">
        <f t="shared" si="4992"/>
        <v>WA</v>
      </c>
      <c r="K13485" t="str">
        <f>T("000000000000000000")</f>
        <v>000000000000000000</v>
      </c>
      <c r="L13485" t="str">
        <f>T("3602579178")</f>
        <v>3602579178</v>
      </c>
    </row>
    <row r="13486" spans="1:12" x14ac:dyDescent="0.35">
      <c r="A13486" t="str">
        <f>T("NOPF DAM NECK")</f>
        <v>NOPF DAM NECK</v>
      </c>
      <c r="B13486" t="str">
        <f>T("352 BULLPUP ST")</f>
        <v>352 BULLPUP ST</v>
      </c>
      <c r="C13486" t="str">
        <f>T("BLDG 470")</f>
        <v>BLDG 470</v>
      </c>
      <c r="D13486" t="str">
        <f>T("VIRGINIA BEACH")</f>
        <v>VIRGINIA BEACH</v>
      </c>
      <c r="E13486" t="str">
        <f>T("VA")</f>
        <v>VA</v>
      </c>
      <c r="F13486" t="str">
        <f>T("234612100")</f>
        <v>234612100</v>
      </c>
      <c r="G13486" t="str">
        <f>T("352 BULLPULP ST")</f>
        <v>352 BULLPULP ST</v>
      </c>
      <c r="H13486" t="str">
        <f>T("")</f>
        <v/>
      </c>
      <c r="I13486" t="str">
        <f>T("VIRGINIA BEACH")</f>
        <v>VIRGINIA BEACH</v>
      </c>
      <c r="J13486" t="str">
        <f>T("VA")</f>
        <v>VA</v>
      </c>
      <c r="K13486" t="str">
        <f>T("7574924730")</f>
        <v>7574924730</v>
      </c>
      <c r="L13486" t="str">
        <f>T("7574924735")</f>
        <v>7574924735</v>
      </c>
    </row>
    <row r="13487" spans="1:12" x14ac:dyDescent="0.35">
      <c r="A13487" t="str">
        <f>T("NOPF DAM NECK")</f>
        <v>NOPF DAM NECK</v>
      </c>
      <c r="B13487" t="str">
        <f>T("352 BULLPUP ST")</f>
        <v>352 BULLPUP ST</v>
      </c>
      <c r="C13487" t="str">
        <f>T("BLDG 470")</f>
        <v>BLDG 470</v>
      </c>
      <c r="D13487" t="str">
        <f>T("VIRGINIA BEACH")</f>
        <v>VIRGINIA BEACH</v>
      </c>
      <c r="E13487" t="str">
        <f>T("VA")</f>
        <v>VA</v>
      </c>
      <c r="F13487" t="str">
        <f>T("234612100")</f>
        <v>234612100</v>
      </c>
      <c r="G13487" t="str">
        <f>T("352 BULLPUP ST")</f>
        <v>352 BULLPUP ST</v>
      </c>
      <c r="H13487" t="str">
        <f>T("")</f>
        <v/>
      </c>
      <c r="I13487" t="str">
        <f>T("VIRGINIA BEACH")</f>
        <v>VIRGINIA BEACH</v>
      </c>
      <c r="J13487" t="str">
        <f>T("VA")</f>
        <v>VA</v>
      </c>
      <c r="K13487" t="str">
        <f>T("000000000000000000")</f>
        <v>000000000000000000</v>
      </c>
      <c r="L13487" t="str">
        <f>T("7574928587")</f>
        <v>7574928587</v>
      </c>
    </row>
    <row r="13488" spans="1:12" x14ac:dyDescent="0.35">
      <c r="A13488" t="str">
        <f>T("NOPF DAM NECK")</f>
        <v>NOPF DAM NECK</v>
      </c>
      <c r="B13488" t="str">
        <f>T("352 BULLPUP ST")</f>
        <v>352 BULLPUP ST</v>
      </c>
      <c r="C13488" t="str">
        <f>T("BLDG 470")</f>
        <v>BLDG 470</v>
      </c>
      <c r="D13488" t="str">
        <f>T("VIRGINIA BEACH")</f>
        <v>VIRGINIA BEACH</v>
      </c>
      <c r="E13488" t="str">
        <f>T("VA")</f>
        <v>VA</v>
      </c>
      <c r="F13488" t="str">
        <f>T("234612100")</f>
        <v>234612100</v>
      </c>
      <c r="G13488" t="str">
        <f>T("352 BULLPUP ST")</f>
        <v>352 BULLPUP ST</v>
      </c>
      <c r="H13488" t="str">
        <f>T("BLDG 470")</f>
        <v>BLDG 470</v>
      </c>
      <c r="I13488" t="str">
        <f>T("VIRGINIA BEACH")</f>
        <v>VIRGINIA BEACH</v>
      </c>
      <c r="J13488" t="str">
        <f>T("VA")</f>
        <v>VA</v>
      </c>
      <c r="K13488" t="str">
        <f>T("7574924730")</f>
        <v>7574924730</v>
      </c>
      <c r="L13488" t="str">
        <f>T("7574924724")</f>
        <v>7574924724</v>
      </c>
    </row>
    <row r="13489" spans="1:12" x14ac:dyDescent="0.35">
      <c r="A13489" t="str">
        <f>T("NOPF DAM NECK")</f>
        <v>NOPF DAM NECK</v>
      </c>
      <c r="B13489" t="str">
        <f>T("352 BULLPUP ST")</f>
        <v>352 BULLPUP ST</v>
      </c>
      <c r="C13489" t="str">
        <f>T("BLDG 470")</f>
        <v>BLDG 470</v>
      </c>
      <c r="D13489" t="str">
        <f>T("VIRGINIA BEACH")</f>
        <v>VIRGINIA BEACH</v>
      </c>
      <c r="E13489" t="str">
        <f>T("VA")</f>
        <v>VA</v>
      </c>
      <c r="F13489" t="str">
        <f>T("234612100")</f>
        <v>234612100</v>
      </c>
      <c r="G13489" t="str">
        <f>T("NAVOCEANPROFAC")</f>
        <v>NAVOCEANPROFAC</v>
      </c>
      <c r="H13489" t="str">
        <f>T("352 BULLPUP ST")</f>
        <v>352 BULLPUP ST</v>
      </c>
      <c r="I13489" t="str">
        <f>T("VIRGINIA BEACH")</f>
        <v>VIRGINIA BEACH</v>
      </c>
      <c r="J13489" t="str">
        <f>T("VA")</f>
        <v>VA</v>
      </c>
      <c r="K13489" t="str">
        <f>T("000000000000000000")</f>
        <v>000000000000000000</v>
      </c>
      <c r="L13489" t="str">
        <f>T("7574928587")</f>
        <v>7574928587</v>
      </c>
    </row>
    <row r="13490" spans="1:12" x14ac:dyDescent="0.35">
      <c r="A13490" t="str">
        <f t="shared" ref="A13490:B13493" si="4993">T("COMSUBGRU 9")</f>
        <v>COMSUBGRU 9</v>
      </c>
      <c r="B13490" t="str">
        <f t="shared" si="4993"/>
        <v>COMSUBGRU 9</v>
      </c>
      <c r="C13490" t="str">
        <f>T("2150 THRESHER AVE")</f>
        <v>2150 THRESHER AVE</v>
      </c>
      <c r="D13490" t="str">
        <f>T("SILVERDALE")</f>
        <v>SILVERDALE</v>
      </c>
      <c r="E13490" t="str">
        <f>T("WA")</f>
        <v>WA</v>
      </c>
      <c r="F13490" t="str">
        <f>T("983152150")</f>
        <v>983152150</v>
      </c>
      <c r="G13490" t="str">
        <f>T("COMMANDER SUBMARINE GROUP 9")</f>
        <v>COMMANDER SUBMARINE GROUP 9</v>
      </c>
      <c r="H13490" t="str">
        <f>T("2150 THRESHER AVE")</f>
        <v>2150 THRESHER AVE</v>
      </c>
      <c r="I13490" t="str">
        <f>T("SILVERDALE")</f>
        <v>SILVERDALE</v>
      </c>
      <c r="J13490" t="str">
        <f>T("WA")</f>
        <v>WA</v>
      </c>
      <c r="K13490" t="str">
        <f>T("3603964006")</f>
        <v>3603964006</v>
      </c>
      <c r="L13490" t="str">
        <f>T("3603964152")</f>
        <v>3603964152</v>
      </c>
    </row>
    <row r="13491" spans="1:12" x14ac:dyDescent="0.35">
      <c r="A13491" t="str">
        <f t="shared" si="4993"/>
        <v>COMSUBGRU 9</v>
      </c>
      <c r="B13491" t="str">
        <f t="shared" si="4993"/>
        <v>COMSUBGRU 9</v>
      </c>
      <c r="C13491" t="str">
        <f>T("2150 THRESHER AVE")</f>
        <v>2150 THRESHER AVE</v>
      </c>
      <c r="D13491" t="str">
        <f>T("SILVERDALE")</f>
        <v>SILVERDALE</v>
      </c>
      <c r="E13491" t="str">
        <f>T("WA")</f>
        <v>WA</v>
      </c>
      <c r="F13491" t="str">
        <f>T("983152150")</f>
        <v>983152150</v>
      </c>
      <c r="G13491" t="str">
        <f>T("COMMANDER SUBMARINE GROUP 9")</f>
        <v>COMMANDER SUBMARINE GROUP 9</v>
      </c>
      <c r="H13491" t="str">
        <f>T("2150 THRESHER AVE")</f>
        <v>2150 THRESHER AVE</v>
      </c>
      <c r="I13491" t="str">
        <f>T("SILVERDALE")</f>
        <v>SILVERDALE</v>
      </c>
      <c r="J13491" t="str">
        <f>T("WA")</f>
        <v>WA</v>
      </c>
      <c r="K13491" t="str">
        <f>T("3603964006")</f>
        <v>3603964006</v>
      </c>
      <c r="L13491" t="str">
        <f>T("3603965476")</f>
        <v>3603965476</v>
      </c>
    </row>
    <row r="13492" spans="1:12" x14ac:dyDescent="0.35">
      <c r="A13492" t="str">
        <f t="shared" si="4993"/>
        <v>COMSUBGRU 9</v>
      </c>
      <c r="B13492" t="str">
        <f t="shared" si="4993"/>
        <v>COMSUBGRU 9</v>
      </c>
      <c r="C13492" t="str">
        <f>T("2150 THRESHER AVE")</f>
        <v>2150 THRESHER AVE</v>
      </c>
      <c r="D13492" t="str">
        <f>T("SILVERDALE")</f>
        <v>SILVERDALE</v>
      </c>
      <c r="E13492" t="str">
        <f>T("WA")</f>
        <v>WA</v>
      </c>
      <c r="F13492" t="str">
        <f>T("983152150")</f>
        <v>983152150</v>
      </c>
      <c r="G13492" t="str">
        <f>T("COMMANDER SUBMARINE GROUP 9")</f>
        <v>COMMANDER SUBMARINE GROUP 9</v>
      </c>
      <c r="H13492" t="str">
        <f>T("2150 THRESHER AVE")</f>
        <v>2150 THRESHER AVE</v>
      </c>
      <c r="I13492" t="str">
        <f>T("SILVERDALE")</f>
        <v>SILVERDALE</v>
      </c>
      <c r="J13492" t="str">
        <f>T("WA")</f>
        <v>WA</v>
      </c>
      <c r="K13492" t="str">
        <f>T("3603967145")</f>
        <v>3603967145</v>
      </c>
      <c r="L13492" t="str">
        <f>T("3603966976")</f>
        <v>3603966976</v>
      </c>
    </row>
    <row r="13493" spans="1:12" x14ac:dyDescent="0.35">
      <c r="A13493" t="str">
        <f t="shared" si="4993"/>
        <v>COMSUBGRU 9</v>
      </c>
      <c r="B13493" t="str">
        <f t="shared" si="4993"/>
        <v>COMSUBGRU 9</v>
      </c>
      <c r="C13493" t="str">
        <f>T("2150 THRESHER AVE")</f>
        <v>2150 THRESHER AVE</v>
      </c>
      <c r="D13493" t="str">
        <f>T("SILVERDALE")</f>
        <v>SILVERDALE</v>
      </c>
      <c r="E13493" t="str">
        <f>T("WA")</f>
        <v>WA</v>
      </c>
      <c r="F13493" t="str">
        <f>T("983152150")</f>
        <v>983152150</v>
      </c>
      <c r="G13493" t="str">
        <f>T("COMSUBGRU 9")</f>
        <v>COMSUBGRU 9</v>
      </c>
      <c r="H13493" t="str">
        <f>T("2150 THRESHER AVE")</f>
        <v>2150 THRESHER AVE</v>
      </c>
      <c r="I13493" t="str">
        <f>T("SILVERDALE")</f>
        <v>SILVERDALE</v>
      </c>
      <c r="J13493" t="str">
        <f>T("WA")</f>
        <v>WA</v>
      </c>
      <c r="K13493" t="str">
        <f>T("3603967145")</f>
        <v>3603967145</v>
      </c>
      <c r="L13493" t="str">
        <f>T("3603966977")</f>
        <v>3603966977</v>
      </c>
    </row>
    <row r="13494" spans="1:12" x14ac:dyDescent="0.35">
      <c r="A13494" t="str">
        <f t="shared" ref="A13494:A13500" si="4994">T("NAVAL SUBMARINE SUPPORT")</f>
        <v>NAVAL SUBMARINE SUPPORT</v>
      </c>
      <c r="B13494" t="str">
        <f t="shared" ref="B13494:B13500" si="4995">T("822 CLARK STREET")</f>
        <v>822 CLARK STREET</v>
      </c>
      <c r="C13494" t="str">
        <f t="shared" ref="C13494:C13500" si="4996">T("SUITE 130")</f>
        <v>SUITE 130</v>
      </c>
      <c r="D13494" t="str">
        <f t="shared" ref="D13494:D13500" si="4997">T("PEARL HARBOR")</f>
        <v>PEARL HARBOR</v>
      </c>
      <c r="E13494" t="str">
        <f t="shared" ref="E13494:E13500" si="4998">T("HI")</f>
        <v>HI</v>
      </c>
      <c r="F13494" t="str">
        <f t="shared" ref="F13494:F13500" si="4999">T("968604652")</f>
        <v>968604652</v>
      </c>
      <c r="G13494" t="str">
        <f>T("1942 GAFFNEY STREET")</f>
        <v>1942 GAFFNEY STREET</v>
      </c>
      <c r="H13494" t="str">
        <f>T("SUITE 500")</f>
        <v>SUITE 500</v>
      </c>
      <c r="I13494" t="str">
        <f t="shared" ref="I13494:I13500" si="5000">T("PEARL HARBOR")</f>
        <v>PEARL HARBOR</v>
      </c>
      <c r="J13494" t="str">
        <f t="shared" ref="J13494:J13500" si="5001">T("HI")</f>
        <v>HI</v>
      </c>
      <c r="K13494" t="str">
        <f>T("000000000000000000")</f>
        <v>000000000000000000</v>
      </c>
      <c r="L13494" t="str">
        <f>T("8084731589")</f>
        <v>8084731589</v>
      </c>
    </row>
    <row r="13495" spans="1:12" x14ac:dyDescent="0.35">
      <c r="A13495" t="str">
        <f t="shared" si="4994"/>
        <v>NAVAL SUBMARINE SUPPORT</v>
      </c>
      <c r="B13495" t="str">
        <f t="shared" si="4995"/>
        <v>822 CLARK STREET</v>
      </c>
      <c r="C13495" t="str">
        <f t="shared" si="4996"/>
        <v>SUITE 130</v>
      </c>
      <c r="D13495" t="str">
        <f t="shared" si="4997"/>
        <v>PEARL HARBOR</v>
      </c>
      <c r="E13495" t="str">
        <f t="shared" si="4998"/>
        <v>HI</v>
      </c>
      <c r="F13495" t="str">
        <f t="shared" si="4999"/>
        <v>968604652</v>
      </c>
      <c r="G13495" t="str">
        <f>T("822 CLARK ST")</f>
        <v>822 CLARK ST</v>
      </c>
      <c r="H13495" t="str">
        <f>T("BLDG 661 ROOM 130")</f>
        <v>BLDG 661 ROOM 130</v>
      </c>
      <c r="I13495" t="str">
        <f t="shared" si="5000"/>
        <v>PEARL HARBOR</v>
      </c>
      <c r="J13495" t="str">
        <f t="shared" si="5001"/>
        <v>HI</v>
      </c>
      <c r="K13495" t="str">
        <f>T("8084732432")</f>
        <v>8084732432</v>
      </c>
      <c r="L13495" t="str">
        <f>T("8084733014")</f>
        <v>8084733014</v>
      </c>
    </row>
    <row r="13496" spans="1:12" x14ac:dyDescent="0.35">
      <c r="A13496" t="str">
        <f t="shared" si="4994"/>
        <v>NAVAL SUBMARINE SUPPORT</v>
      </c>
      <c r="B13496" t="str">
        <f t="shared" si="4995"/>
        <v>822 CLARK STREET</v>
      </c>
      <c r="C13496" t="str">
        <f t="shared" si="4996"/>
        <v>SUITE 130</v>
      </c>
      <c r="D13496" t="str">
        <f t="shared" si="4997"/>
        <v>PEARL HARBOR</v>
      </c>
      <c r="E13496" t="str">
        <f t="shared" si="4998"/>
        <v>HI</v>
      </c>
      <c r="F13496" t="str">
        <f t="shared" si="4999"/>
        <v>968604652</v>
      </c>
      <c r="G13496" t="str">
        <f>T("822 CLARK ST")</f>
        <v>822 CLARK ST</v>
      </c>
      <c r="H13496" t="str">
        <f>T("RM 130")</f>
        <v>RM 130</v>
      </c>
      <c r="I13496" t="str">
        <f t="shared" si="5000"/>
        <v>PEARL HARBOR</v>
      </c>
      <c r="J13496" t="str">
        <f t="shared" si="5001"/>
        <v>HI</v>
      </c>
      <c r="K13496" t="str">
        <f>T("000000000000000000")</f>
        <v>000000000000000000</v>
      </c>
      <c r="L13496" t="str">
        <f>T("8084731589")</f>
        <v>8084731589</v>
      </c>
    </row>
    <row r="13497" spans="1:12" x14ac:dyDescent="0.35">
      <c r="A13497" t="str">
        <f t="shared" si="4994"/>
        <v>NAVAL SUBMARINE SUPPORT</v>
      </c>
      <c r="B13497" t="str">
        <f t="shared" si="4995"/>
        <v>822 CLARK STREET</v>
      </c>
      <c r="C13497" t="str">
        <f t="shared" si="4996"/>
        <v>SUITE 130</v>
      </c>
      <c r="D13497" t="str">
        <f t="shared" si="4997"/>
        <v>PEARL HARBOR</v>
      </c>
      <c r="E13497" t="str">
        <f t="shared" si="4998"/>
        <v>HI</v>
      </c>
      <c r="F13497" t="str">
        <f t="shared" si="4999"/>
        <v>968604652</v>
      </c>
      <c r="G13497" t="str">
        <f>T("822 CLARK ST B661 RM 130")</f>
        <v>822 CLARK ST B661 RM 130</v>
      </c>
      <c r="H13497" t="str">
        <f>T("")</f>
        <v/>
      </c>
      <c r="I13497" t="str">
        <f t="shared" si="5000"/>
        <v>PEARL HARBOR</v>
      </c>
      <c r="J13497" t="str">
        <f t="shared" si="5001"/>
        <v>HI</v>
      </c>
      <c r="K13497" t="str">
        <f>T("8084732432")</f>
        <v>8084732432</v>
      </c>
      <c r="L13497" t="str">
        <f>T("8084733014")</f>
        <v>8084733014</v>
      </c>
    </row>
    <row r="13498" spans="1:12" x14ac:dyDescent="0.35">
      <c r="A13498" t="str">
        <f t="shared" si="4994"/>
        <v>NAVAL SUBMARINE SUPPORT</v>
      </c>
      <c r="B13498" t="str">
        <f t="shared" si="4995"/>
        <v>822 CLARK STREET</v>
      </c>
      <c r="C13498" t="str">
        <f t="shared" si="4996"/>
        <v>SUITE 130</v>
      </c>
      <c r="D13498" t="str">
        <f t="shared" si="4997"/>
        <v>PEARL HARBOR</v>
      </c>
      <c r="E13498" t="str">
        <f t="shared" si="4998"/>
        <v>HI</v>
      </c>
      <c r="F13498" t="str">
        <f t="shared" si="4999"/>
        <v>968604652</v>
      </c>
      <c r="G13498" t="str">
        <f>T("822 CLARK ST RM 130")</f>
        <v>822 CLARK ST RM 130</v>
      </c>
      <c r="H13498" t="str">
        <f>T("")</f>
        <v/>
      </c>
      <c r="I13498" t="str">
        <f t="shared" si="5000"/>
        <v>PEARL HARBOR</v>
      </c>
      <c r="J13498" t="str">
        <f t="shared" si="5001"/>
        <v>HI</v>
      </c>
      <c r="K13498" t="str">
        <f>T("8084732432")</f>
        <v>8084732432</v>
      </c>
      <c r="L13498" t="str">
        <f>T("2106437240")</f>
        <v>2106437240</v>
      </c>
    </row>
    <row r="13499" spans="1:12" x14ac:dyDescent="0.35">
      <c r="A13499" t="str">
        <f t="shared" si="4994"/>
        <v>NAVAL SUBMARINE SUPPORT</v>
      </c>
      <c r="B13499" t="str">
        <f t="shared" si="4995"/>
        <v>822 CLARK STREET</v>
      </c>
      <c r="C13499" t="str">
        <f t="shared" si="4996"/>
        <v>SUITE 130</v>
      </c>
      <c r="D13499" t="str">
        <f t="shared" si="4997"/>
        <v>PEARL HARBOR</v>
      </c>
      <c r="E13499" t="str">
        <f t="shared" si="4998"/>
        <v>HI</v>
      </c>
      <c r="F13499" t="str">
        <f t="shared" si="4999"/>
        <v>968604652</v>
      </c>
      <c r="G13499" t="str">
        <f>T("822 CLARK STREET")</f>
        <v>822 CLARK STREET</v>
      </c>
      <c r="H13499" t="str">
        <f>T("SUITE 130")</f>
        <v>SUITE 130</v>
      </c>
      <c r="I13499" t="str">
        <f t="shared" si="5000"/>
        <v>PEARL HARBOR</v>
      </c>
      <c r="J13499" t="str">
        <f t="shared" si="5001"/>
        <v>HI</v>
      </c>
      <c r="K13499" t="str">
        <f>T("8084732432")</f>
        <v>8084732432</v>
      </c>
      <c r="L13499" t="str">
        <f>T("8084731825")</f>
        <v>8084731825</v>
      </c>
    </row>
    <row r="13500" spans="1:12" x14ac:dyDescent="0.35">
      <c r="A13500" t="str">
        <f t="shared" si="4994"/>
        <v>NAVAL SUBMARINE SUPPORT</v>
      </c>
      <c r="B13500" t="str">
        <f t="shared" si="4995"/>
        <v>822 CLARK STREET</v>
      </c>
      <c r="C13500" t="str">
        <f t="shared" si="4996"/>
        <v>SUITE 130</v>
      </c>
      <c r="D13500" t="str">
        <f t="shared" si="4997"/>
        <v>PEARL HARBOR</v>
      </c>
      <c r="E13500" t="str">
        <f t="shared" si="4998"/>
        <v>HI</v>
      </c>
      <c r="F13500" t="str">
        <f t="shared" si="4999"/>
        <v>968604652</v>
      </c>
      <c r="G13500" t="str">
        <f>T("822 CLARKE ST RM 130")</f>
        <v>822 CLARKE ST RM 130</v>
      </c>
      <c r="H13500" t="str">
        <f t="shared" ref="H13500:H13505" si="5002">T("")</f>
        <v/>
      </c>
      <c r="I13500" t="str">
        <f t="shared" si="5000"/>
        <v>PEARL HARBOR</v>
      </c>
      <c r="J13500" t="str">
        <f t="shared" si="5001"/>
        <v>HI</v>
      </c>
      <c r="K13500" t="str">
        <f>T("8084732432")</f>
        <v>8084732432</v>
      </c>
      <c r="L13500" t="str">
        <f>T("8084733104")</f>
        <v>8084733104</v>
      </c>
    </row>
    <row r="13501" spans="1:12" x14ac:dyDescent="0.35">
      <c r="A13501" t="str">
        <f>T("COMSUBDEVRON FIVE")</f>
        <v>COMSUBDEVRON FIVE</v>
      </c>
      <c r="B13501" t="str">
        <f>T("7111 SEALION RD")</f>
        <v>7111 SEALION RD</v>
      </c>
      <c r="C13501" t="str">
        <f>T("")</f>
        <v/>
      </c>
      <c r="D13501" t="str">
        <f>T("SILVERDALE")</f>
        <v>SILVERDALE</v>
      </c>
      <c r="E13501" t="str">
        <f>T("WA")</f>
        <v>WA</v>
      </c>
      <c r="F13501" t="str">
        <f>T("983157102")</f>
        <v>983157102</v>
      </c>
      <c r="G13501" t="str">
        <f>T("7111 SEA LION RD")</f>
        <v>7111 SEA LION RD</v>
      </c>
      <c r="H13501" t="str">
        <f t="shared" si="5002"/>
        <v/>
      </c>
      <c r="I13501" t="str">
        <f>T("SILVERDALE")</f>
        <v>SILVERDALE</v>
      </c>
      <c r="J13501" t="str">
        <f>T("WA")</f>
        <v>WA</v>
      </c>
      <c r="K13501" t="str">
        <f>T("3603153717")</f>
        <v>3603153717</v>
      </c>
      <c r="L13501" t="str">
        <f>T("3603153722")</f>
        <v>3603153722</v>
      </c>
    </row>
    <row r="13502" spans="1:12" x14ac:dyDescent="0.35">
      <c r="A13502" t="str">
        <f>T("COMSUBDEVRON FIVE")</f>
        <v>COMSUBDEVRON FIVE</v>
      </c>
      <c r="B13502" t="str">
        <f>T("7111 SEALION RD")</f>
        <v>7111 SEALION RD</v>
      </c>
      <c r="C13502" t="str">
        <f>T("")</f>
        <v/>
      </c>
      <c r="D13502" t="str">
        <f>T("SILVERDALE")</f>
        <v>SILVERDALE</v>
      </c>
      <c r="E13502" t="str">
        <f>T("WA")</f>
        <v>WA</v>
      </c>
      <c r="F13502" t="str">
        <f>T("983157102")</f>
        <v>983157102</v>
      </c>
      <c r="G13502" t="str">
        <f>T("7111 SEALION RD")</f>
        <v>7111 SEALION RD</v>
      </c>
      <c r="H13502" t="str">
        <f t="shared" si="5002"/>
        <v/>
      </c>
      <c r="I13502" t="str">
        <f>T("SILVERDALE")</f>
        <v>SILVERDALE</v>
      </c>
      <c r="J13502" t="str">
        <f>T("WA")</f>
        <v>WA</v>
      </c>
      <c r="K13502" t="str">
        <f>T("3603153717")</f>
        <v>3603153717</v>
      </c>
      <c r="L13502" t="str">
        <f>T("3603153718")</f>
        <v>3603153718</v>
      </c>
    </row>
    <row r="13503" spans="1:12" x14ac:dyDescent="0.35">
      <c r="A13503" t="str">
        <f>T("COMSUBDEVRON FIVE")</f>
        <v>COMSUBDEVRON FIVE</v>
      </c>
      <c r="B13503" t="str">
        <f>T("7111 SEALION RD")</f>
        <v>7111 SEALION RD</v>
      </c>
      <c r="C13503" t="str">
        <f>T("")</f>
        <v/>
      </c>
      <c r="D13503" t="str">
        <f>T("SILVERDALE")</f>
        <v>SILVERDALE</v>
      </c>
      <c r="E13503" t="str">
        <f>T("WA")</f>
        <v>WA</v>
      </c>
      <c r="F13503" t="str">
        <f>T("983157102")</f>
        <v>983157102</v>
      </c>
      <c r="G13503" t="str">
        <f>T("7111 SEALION RD")</f>
        <v>7111 SEALION RD</v>
      </c>
      <c r="H13503" t="str">
        <f t="shared" si="5002"/>
        <v/>
      </c>
      <c r="I13503" t="str">
        <f>T("SILVERDALE")</f>
        <v>SILVERDALE</v>
      </c>
      <c r="J13503" t="str">
        <f>T("WA")</f>
        <v>WA</v>
      </c>
      <c r="K13503" t="str">
        <f>T("3603154137")</f>
        <v>3603154137</v>
      </c>
      <c r="L13503" t="str">
        <f>T("3603153712")</f>
        <v>3603153712</v>
      </c>
    </row>
    <row r="13504" spans="1:12" x14ac:dyDescent="0.35">
      <c r="A13504" t="str">
        <f>T("COMSUBDEVRON FIVE")</f>
        <v>COMSUBDEVRON FIVE</v>
      </c>
      <c r="B13504" t="str">
        <f>T("7111 SEALION RD")</f>
        <v>7111 SEALION RD</v>
      </c>
      <c r="C13504" t="str">
        <f>T("")</f>
        <v/>
      </c>
      <c r="D13504" t="str">
        <f>T("SILVERDALE")</f>
        <v>SILVERDALE</v>
      </c>
      <c r="E13504" t="str">
        <f>T("WA")</f>
        <v>WA</v>
      </c>
      <c r="F13504" t="str">
        <f>T("983157102")</f>
        <v>983157102</v>
      </c>
      <c r="G13504" t="str">
        <f>T("7111 SEALION ROAD")</f>
        <v>7111 SEALION ROAD</v>
      </c>
      <c r="H13504" t="str">
        <f t="shared" si="5002"/>
        <v/>
      </c>
      <c r="I13504" t="str">
        <f>T("SILVERDALE")</f>
        <v>SILVERDALE</v>
      </c>
      <c r="J13504" t="str">
        <f>T("WA")</f>
        <v>WA</v>
      </c>
      <c r="K13504" t="str">
        <f>T("3603153717")</f>
        <v>3603153717</v>
      </c>
      <c r="L13504" t="str">
        <f>T("3603153713")</f>
        <v>3603153713</v>
      </c>
    </row>
    <row r="13505" spans="1:12" x14ac:dyDescent="0.35">
      <c r="A13505" t="str">
        <f t="shared" ref="A13505:B13507" si="5003">T("COMSUBPAC")</f>
        <v>COMSUBPAC</v>
      </c>
      <c r="B13505" t="str">
        <f t="shared" si="5003"/>
        <v>COMSUBPAC</v>
      </c>
      <c r="C13505" t="str">
        <f>T("1430 MORTON ST BLDG 619-3")</f>
        <v>1430 MORTON ST BLDG 619-3</v>
      </c>
      <c r="D13505" t="str">
        <f>T("PEARL HARBOR")</f>
        <v>PEARL HARBOR</v>
      </c>
      <c r="E13505" t="str">
        <f>T("HI")</f>
        <v>HI</v>
      </c>
      <c r="F13505" t="str">
        <f>T("968604664")</f>
        <v>968604664</v>
      </c>
      <c r="G13505" t="str">
        <f>T("1430 MORTON ST BLDG 619-3")</f>
        <v>1430 MORTON ST BLDG 619-3</v>
      </c>
      <c r="H13505" t="str">
        <f t="shared" si="5002"/>
        <v/>
      </c>
      <c r="I13505" t="str">
        <f>T("PEARL HARBOR")</f>
        <v>PEARL HARBOR</v>
      </c>
      <c r="J13505" t="str">
        <f>T("HI")</f>
        <v>HI</v>
      </c>
      <c r="K13505" t="str">
        <f>T("8084730464")</f>
        <v>8084730464</v>
      </c>
      <c r="L13505" t="str">
        <f>T("8084731834")</f>
        <v>8084731834</v>
      </c>
    </row>
    <row r="13506" spans="1:12" x14ac:dyDescent="0.35">
      <c r="A13506" t="str">
        <f t="shared" si="5003"/>
        <v>COMSUBPAC</v>
      </c>
      <c r="B13506" t="str">
        <f t="shared" si="5003"/>
        <v>COMSUBPAC</v>
      </c>
      <c r="C13506" t="str">
        <f>T("1430 MORTON ST BLDG 619-3")</f>
        <v>1430 MORTON ST BLDG 619-3</v>
      </c>
      <c r="D13506" t="str">
        <f>T("PEARL HARBOR")</f>
        <v>PEARL HARBOR</v>
      </c>
      <c r="E13506" t="str">
        <f>T("HI")</f>
        <v>HI</v>
      </c>
      <c r="F13506" t="str">
        <f>T("968604664")</f>
        <v>968604664</v>
      </c>
      <c r="G13506" t="str">
        <f>T("COMSUBPAC")</f>
        <v>COMSUBPAC</v>
      </c>
      <c r="H13506" t="str">
        <f>T("1430 MORTON ST BLDG 619-3")</f>
        <v>1430 MORTON ST BLDG 619-3</v>
      </c>
      <c r="I13506" t="str">
        <f>T("PEARL HARBOR")</f>
        <v>PEARL HARBOR</v>
      </c>
      <c r="J13506" t="str">
        <f>T("HI")</f>
        <v>HI</v>
      </c>
      <c r="K13506" t="str">
        <f>T("8084730464")</f>
        <v>8084730464</v>
      </c>
      <c r="L13506" t="str">
        <f>T("8084735556")</f>
        <v>8084735556</v>
      </c>
    </row>
    <row r="13507" spans="1:12" x14ac:dyDescent="0.35">
      <c r="A13507" t="str">
        <f t="shared" si="5003"/>
        <v>COMSUBPAC</v>
      </c>
      <c r="B13507" t="str">
        <f t="shared" si="5003"/>
        <v>COMSUBPAC</v>
      </c>
      <c r="C13507" t="str">
        <f>T("1430 MORTON ST BLDG 619-3")</f>
        <v>1430 MORTON ST BLDG 619-3</v>
      </c>
      <c r="D13507" t="str">
        <f>T("PEARL HARBOR")</f>
        <v>PEARL HARBOR</v>
      </c>
      <c r="E13507" t="str">
        <f>T("HI")</f>
        <v>HI</v>
      </c>
      <c r="F13507" t="str">
        <f>T("968604664")</f>
        <v>968604664</v>
      </c>
      <c r="G13507" t="str">
        <f>T("COMSUBPAC")</f>
        <v>COMSUBPAC</v>
      </c>
      <c r="H13507" t="str">
        <f>T("1430 MORTON STREET BLDG 619 3RD DK")</f>
        <v>1430 MORTON STREET BLDG 619 3RD DK</v>
      </c>
      <c r="I13507" t="str">
        <f>T("PEARL HARBOR")</f>
        <v>PEARL HARBOR</v>
      </c>
      <c r="J13507" t="str">
        <f>T("HI")</f>
        <v>HI</v>
      </c>
      <c r="K13507" t="str">
        <f>T("8084730464")</f>
        <v>8084730464</v>
      </c>
      <c r="L13507" t="str">
        <f>T("8084735563")</f>
        <v>8084735563</v>
      </c>
    </row>
    <row r="13508" spans="1:12" x14ac:dyDescent="0.35">
      <c r="A13508" t="str">
        <f t="shared" ref="A13508:A13513" si="5004">T("COMMANDERSUBGRP SEVEN")</f>
        <v>COMMANDERSUBGRP SEVEN</v>
      </c>
      <c r="B13508" t="str">
        <f t="shared" ref="B13508:B13513" si="5005">T("PSC 473 BOX 50")</f>
        <v>PSC 473 BOX 50</v>
      </c>
      <c r="C13508" t="str">
        <f t="shared" ref="C13508:C13513" si="5006">T("")</f>
        <v/>
      </c>
      <c r="D13508" t="str">
        <f t="shared" ref="D13508:D13515" si="5007">T("FPO")</f>
        <v>FPO</v>
      </c>
      <c r="E13508" t="str">
        <f t="shared" ref="E13508:E13515" si="5008">T("AP")</f>
        <v>AP</v>
      </c>
      <c r="F13508" t="str">
        <f t="shared" ref="F13508:F13513" si="5009">T("963490001")</f>
        <v>963490001</v>
      </c>
      <c r="G13508" t="str">
        <f>T("CSS-21")</f>
        <v>CSS-21</v>
      </c>
      <c r="H13508" t="str">
        <f>T("PSC 851 BOX 870")</f>
        <v>PSC 851 BOX 870</v>
      </c>
      <c r="I13508" t="str">
        <f t="shared" ref="I13508:I13514" si="5010">T("FPO")</f>
        <v>FPO</v>
      </c>
      <c r="J13508" t="str">
        <f>T("AE")</f>
        <v>AE</v>
      </c>
      <c r="K13508" t="str">
        <f>T("000000000000000000")</f>
        <v>000000000000000000</v>
      </c>
      <c r="L13508" t="str">
        <f>T("3184396247")</f>
        <v>3184396247</v>
      </c>
    </row>
    <row r="13509" spans="1:12" x14ac:dyDescent="0.35">
      <c r="A13509" t="str">
        <f t="shared" si="5004"/>
        <v>COMMANDERSUBGRP SEVEN</v>
      </c>
      <c r="B13509" t="str">
        <f t="shared" si="5005"/>
        <v>PSC 473 BOX 50</v>
      </c>
      <c r="C13509" t="str">
        <f t="shared" si="5006"/>
        <v/>
      </c>
      <c r="D13509" t="str">
        <f t="shared" si="5007"/>
        <v>FPO</v>
      </c>
      <c r="E13509" t="str">
        <f t="shared" si="5008"/>
        <v>AP</v>
      </c>
      <c r="F13509" t="str">
        <f t="shared" si="5009"/>
        <v>963490001</v>
      </c>
      <c r="G13509" t="str">
        <f>T("PSC 473")</f>
        <v>PSC 473</v>
      </c>
      <c r="H13509" t="str">
        <f>T("BOX 50")</f>
        <v>BOX 50</v>
      </c>
      <c r="I13509" t="str">
        <f t="shared" si="5010"/>
        <v>FPO</v>
      </c>
      <c r="J13509" t="str">
        <f>T("AP")</f>
        <v>AP</v>
      </c>
      <c r="K13509" t="str">
        <f>T("81468166838")</f>
        <v>81468166838</v>
      </c>
      <c r="L13509" t="str">
        <f>T("1111111111")</f>
        <v>1111111111</v>
      </c>
    </row>
    <row r="13510" spans="1:12" x14ac:dyDescent="0.35">
      <c r="A13510" t="str">
        <f t="shared" si="5004"/>
        <v>COMMANDERSUBGRP SEVEN</v>
      </c>
      <c r="B13510" t="str">
        <f t="shared" si="5005"/>
        <v>PSC 473 BOX 50</v>
      </c>
      <c r="C13510" t="str">
        <f t="shared" si="5006"/>
        <v/>
      </c>
      <c r="D13510" t="str">
        <f t="shared" si="5007"/>
        <v>FPO</v>
      </c>
      <c r="E13510" t="str">
        <f t="shared" si="5008"/>
        <v>AP</v>
      </c>
      <c r="F13510" t="str">
        <f t="shared" si="5009"/>
        <v>963490001</v>
      </c>
      <c r="G13510" t="str">
        <f>T("PSC 473 BOX 50")</f>
        <v>PSC 473 BOX 50</v>
      </c>
      <c r="H13510" t="str">
        <f>T("")</f>
        <v/>
      </c>
      <c r="I13510" t="str">
        <f t="shared" si="5010"/>
        <v>FPO</v>
      </c>
      <c r="J13510" t="str">
        <f>T("AP")</f>
        <v>AP</v>
      </c>
      <c r="K13510" t="str">
        <f>T("000000000000000000")</f>
        <v>000000000000000000</v>
      </c>
      <c r="L13510" t="str">
        <f>T("3152435714")</f>
        <v>3152435714</v>
      </c>
    </row>
    <row r="13511" spans="1:12" x14ac:dyDescent="0.35">
      <c r="A13511" t="str">
        <f t="shared" si="5004"/>
        <v>COMMANDERSUBGRP SEVEN</v>
      </c>
      <c r="B13511" t="str">
        <f t="shared" si="5005"/>
        <v>PSC 473 BOX 50</v>
      </c>
      <c r="C13511" t="str">
        <f t="shared" si="5006"/>
        <v/>
      </c>
      <c r="D13511" t="str">
        <f t="shared" si="5007"/>
        <v>FPO</v>
      </c>
      <c r="E13511" t="str">
        <f t="shared" si="5008"/>
        <v>AP</v>
      </c>
      <c r="F13511" t="str">
        <f t="shared" si="5009"/>
        <v>963490001</v>
      </c>
      <c r="G13511" t="str">
        <f>T("PSC 473 BOX 50")</f>
        <v>PSC 473 BOX 50</v>
      </c>
      <c r="H13511" t="str">
        <f>T("")</f>
        <v/>
      </c>
      <c r="I13511" t="str">
        <f t="shared" si="5010"/>
        <v>FPO</v>
      </c>
      <c r="J13511" t="str">
        <f>T("AP")</f>
        <v>AP</v>
      </c>
      <c r="K13511" t="str">
        <f>T("000000000000000000")</f>
        <v>000000000000000000</v>
      </c>
      <c r="L13511" t="str">
        <f>T("3152436834")</f>
        <v>3152436834</v>
      </c>
    </row>
    <row r="13512" spans="1:12" x14ac:dyDescent="0.35">
      <c r="A13512" t="str">
        <f t="shared" si="5004"/>
        <v>COMMANDERSUBGRP SEVEN</v>
      </c>
      <c r="B13512" t="str">
        <f t="shared" si="5005"/>
        <v>PSC 473 BOX 50</v>
      </c>
      <c r="C13512" t="str">
        <f t="shared" si="5006"/>
        <v/>
      </c>
      <c r="D13512" t="str">
        <f t="shared" si="5007"/>
        <v>FPO</v>
      </c>
      <c r="E13512" t="str">
        <f t="shared" si="5008"/>
        <v>AP</v>
      </c>
      <c r="F13512" t="str">
        <f t="shared" si="5009"/>
        <v>963490001</v>
      </c>
      <c r="G13512" t="str">
        <f>T("PSC 473 BOX 50")</f>
        <v>PSC 473 BOX 50</v>
      </c>
      <c r="H13512" t="str">
        <f>T("")</f>
        <v/>
      </c>
      <c r="I13512" t="str">
        <f t="shared" si="5010"/>
        <v>FPO</v>
      </c>
      <c r="J13512" t="str">
        <f>T("AP")</f>
        <v>AP</v>
      </c>
      <c r="K13512" t="str">
        <f>T("810468166829")</f>
        <v>810468166829</v>
      </c>
      <c r="L13512" t="str">
        <f>T("1111111111")</f>
        <v>1111111111</v>
      </c>
    </row>
    <row r="13513" spans="1:12" x14ac:dyDescent="0.35">
      <c r="A13513" t="str">
        <f t="shared" si="5004"/>
        <v>COMMANDERSUBGRP SEVEN</v>
      </c>
      <c r="B13513" t="str">
        <f t="shared" si="5005"/>
        <v>PSC 473 BOX 50</v>
      </c>
      <c r="C13513" t="str">
        <f t="shared" si="5006"/>
        <v/>
      </c>
      <c r="D13513" t="str">
        <f t="shared" si="5007"/>
        <v>FPO</v>
      </c>
      <c r="E13513" t="str">
        <f t="shared" si="5008"/>
        <v>AP</v>
      </c>
      <c r="F13513" t="str">
        <f t="shared" si="5009"/>
        <v>963490001</v>
      </c>
      <c r="G13513" t="str">
        <f>T("PSC 851 BOX 870")</f>
        <v>PSC 851 BOX 870</v>
      </c>
      <c r="H13513" t="str">
        <f>T("CSS-21")</f>
        <v>CSS-21</v>
      </c>
      <c r="I13513" t="str">
        <f t="shared" si="5010"/>
        <v>FPO</v>
      </c>
      <c r="J13513" t="str">
        <f>T("AE")</f>
        <v>AE</v>
      </c>
      <c r="K13513" t="str">
        <f>T("000000000000000000")</f>
        <v>000000000000000000</v>
      </c>
      <c r="L13513" t="str">
        <f>T("3184396247")</f>
        <v>3184396247</v>
      </c>
    </row>
    <row r="13514" spans="1:12" x14ac:dyDescent="0.35">
      <c r="A13514" t="str">
        <f>T("COMSUBRON FIFTEEN")</f>
        <v>COMSUBRON FIFTEEN</v>
      </c>
      <c r="B13514" t="str">
        <f>T("COMSUBRON 15")</f>
        <v>COMSUBRON 15</v>
      </c>
      <c r="C13514" t="str">
        <f>T("PSC 455 BOX 162")</f>
        <v>PSC 455 BOX 162</v>
      </c>
      <c r="D13514" t="str">
        <f t="shared" si="5007"/>
        <v>FPO</v>
      </c>
      <c r="E13514" t="str">
        <f t="shared" si="5008"/>
        <v>AP</v>
      </c>
      <c r="F13514" t="str">
        <f>T("965400002")</f>
        <v>965400002</v>
      </c>
      <c r="G13514" t="str">
        <f>T("COMSUBRON 15")</f>
        <v>COMSUBRON 15</v>
      </c>
      <c r="H13514" t="str">
        <f>T("PSC 455 BOX 162")</f>
        <v>PSC 455 BOX 162</v>
      </c>
      <c r="I13514" t="str">
        <f t="shared" si="5010"/>
        <v>FPO</v>
      </c>
      <c r="J13514" t="str">
        <f>T("AP")</f>
        <v>AP</v>
      </c>
      <c r="K13514" t="str">
        <f>T("6713392179")</f>
        <v>6713392179</v>
      </c>
      <c r="L13514" t="str">
        <f>T("6713392178")</f>
        <v>6713392178</v>
      </c>
    </row>
    <row r="13515" spans="1:12" x14ac:dyDescent="0.35">
      <c r="A13515" t="str">
        <f>T("COMSUBRON FIFTEEN")</f>
        <v>COMSUBRON FIFTEEN</v>
      </c>
      <c r="B13515" t="str">
        <f>T("COMSUBRON 15")</f>
        <v>COMSUBRON 15</v>
      </c>
      <c r="C13515" t="str">
        <f>T("PSC 455 BOX 162")</f>
        <v>PSC 455 BOX 162</v>
      </c>
      <c r="D13515" t="str">
        <f t="shared" si="5007"/>
        <v>FPO</v>
      </c>
      <c r="E13515" t="str">
        <f t="shared" si="5008"/>
        <v>AP</v>
      </c>
      <c r="F13515" t="str">
        <f>T("965400002")</f>
        <v>965400002</v>
      </c>
      <c r="G13515" t="str">
        <f>T("COMSUBRON FIFTEEN")</f>
        <v>COMSUBRON FIFTEEN</v>
      </c>
      <c r="H13515" t="str">
        <f>T("PSC 455 BOX 162 FPO AP 96540-1162")</f>
        <v>PSC 455 BOX 162 FPO AP 96540-1162</v>
      </c>
      <c r="I13515" t="str">
        <f>T("SANTA RITA")</f>
        <v>SANTA RITA</v>
      </c>
      <c r="J13515" t="str">
        <f>T("GU")</f>
        <v>GU</v>
      </c>
      <c r="K13515" t="str">
        <f>T("000000000000000000")</f>
        <v>000000000000000000</v>
      </c>
      <c r="L13515" t="str">
        <f>T("6713432178")</f>
        <v>6713432178</v>
      </c>
    </row>
    <row r="13516" spans="1:12" x14ac:dyDescent="0.35">
      <c r="A13516" t="str">
        <f>T("COMSUBRON ELEVEN")</f>
        <v>COMSUBRON ELEVEN</v>
      </c>
      <c r="B13516" t="str">
        <f>T("140 SYLVESTER RD")</f>
        <v>140 SYLVESTER RD</v>
      </c>
      <c r="C13516" t="str">
        <f>T("BDLG 633")</f>
        <v>BDLG 633</v>
      </c>
      <c r="D13516" t="str">
        <f t="shared" ref="D13516:D13525" si="5011">T("SAN DIEGO")</f>
        <v>SAN DIEGO</v>
      </c>
      <c r="E13516" t="str">
        <f t="shared" ref="E13516:E13525" si="5012">T("CA")</f>
        <v>CA</v>
      </c>
      <c r="F13516" t="str">
        <f>T("921063521")</f>
        <v>921063521</v>
      </c>
      <c r="G13516" t="str">
        <f>T("140 SYLVESTER RD")</f>
        <v>140 SYLVESTER RD</v>
      </c>
      <c r="H13516" t="str">
        <f>T("BDLG 633")</f>
        <v>BDLG 633</v>
      </c>
      <c r="I13516" t="str">
        <f t="shared" ref="I13516:I13525" si="5013">T("SAN DIEGO")</f>
        <v>SAN DIEGO</v>
      </c>
      <c r="J13516" t="str">
        <f t="shared" ref="J13516:J13525" si="5014">T("CA")</f>
        <v>CA</v>
      </c>
      <c r="K13516" t="str">
        <f>T("6195538783")</f>
        <v>6195538783</v>
      </c>
      <c r="L13516" t="str">
        <f>T("6195539049")</f>
        <v>6195539049</v>
      </c>
    </row>
    <row r="13517" spans="1:12" x14ac:dyDescent="0.35">
      <c r="A13517" t="str">
        <f>T("COMSUBRON ELEVEN")</f>
        <v>COMSUBRON ELEVEN</v>
      </c>
      <c r="B13517" t="str">
        <f>T("140 SYLVESTER RD")</f>
        <v>140 SYLVESTER RD</v>
      </c>
      <c r="C13517" t="str">
        <f>T("BDLG 633")</f>
        <v>BDLG 633</v>
      </c>
      <c r="D13517" t="str">
        <f t="shared" si="5011"/>
        <v>SAN DIEGO</v>
      </c>
      <c r="E13517" t="str">
        <f t="shared" si="5012"/>
        <v>CA</v>
      </c>
      <c r="F13517" t="str">
        <f>T("921063521")</f>
        <v>921063521</v>
      </c>
      <c r="G13517" t="str">
        <f>T("140 SYLVESTER ROAD")</f>
        <v>140 SYLVESTER ROAD</v>
      </c>
      <c r="H13517" t="str">
        <f>T("")</f>
        <v/>
      </c>
      <c r="I13517" t="str">
        <f t="shared" si="5013"/>
        <v>SAN DIEGO</v>
      </c>
      <c r="J13517" t="str">
        <f t="shared" si="5014"/>
        <v>CA</v>
      </c>
      <c r="K13517" t="str">
        <f>T("000000000000000000")</f>
        <v>000000000000000000</v>
      </c>
      <c r="L13517" t="str">
        <f>T("6195539046")</f>
        <v>6195539046</v>
      </c>
    </row>
    <row r="13518" spans="1:12" x14ac:dyDescent="0.35">
      <c r="A13518" t="str">
        <f>T("COMSUBRON ELEVEN")</f>
        <v>COMSUBRON ELEVEN</v>
      </c>
      <c r="B13518" t="str">
        <f>T("140 SYLVESTER RD")</f>
        <v>140 SYLVESTER RD</v>
      </c>
      <c r="C13518" t="str">
        <f>T("BDLG 633")</f>
        <v>BDLG 633</v>
      </c>
      <c r="D13518" t="str">
        <f t="shared" si="5011"/>
        <v>SAN DIEGO</v>
      </c>
      <c r="E13518" t="str">
        <f t="shared" si="5012"/>
        <v>CA</v>
      </c>
      <c r="F13518" t="str">
        <f>T("921063521")</f>
        <v>921063521</v>
      </c>
      <c r="G13518" t="str">
        <f>T("140 SYLVESTER ROAD")</f>
        <v>140 SYLVESTER ROAD</v>
      </c>
      <c r="H13518" t="str">
        <f>T("BLDG 511")</f>
        <v>BLDG 511</v>
      </c>
      <c r="I13518" t="str">
        <f t="shared" si="5013"/>
        <v>SAN DIEGO</v>
      </c>
      <c r="J13518" t="str">
        <f t="shared" si="5014"/>
        <v>CA</v>
      </c>
      <c r="K13518" t="str">
        <f>T("000000000000000000")</f>
        <v>000000000000000000</v>
      </c>
      <c r="L13518" t="str">
        <f>T("6195539049")</f>
        <v>6195539049</v>
      </c>
    </row>
    <row r="13519" spans="1:12" x14ac:dyDescent="0.35">
      <c r="A13519" t="str">
        <f>T("COMSUBRON ELEVEN")</f>
        <v>COMSUBRON ELEVEN</v>
      </c>
      <c r="B13519" t="str">
        <f>T("140 SYLVESTER RD")</f>
        <v>140 SYLVESTER RD</v>
      </c>
      <c r="C13519" t="str">
        <f>T("BDLG 633")</f>
        <v>BDLG 633</v>
      </c>
      <c r="D13519" t="str">
        <f t="shared" si="5011"/>
        <v>SAN DIEGO</v>
      </c>
      <c r="E13519" t="str">
        <f t="shared" si="5012"/>
        <v>CA</v>
      </c>
      <c r="F13519" t="str">
        <f>T("921063521")</f>
        <v>921063521</v>
      </c>
      <c r="G13519" t="str">
        <f>T("140 SYLVESTER ROAD")</f>
        <v>140 SYLVESTER ROAD</v>
      </c>
      <c r="H13519" t="str">
        <f>T("BLDG 633")</f>
        <v>BLDG 633</v>
      </c>
      <c r="I13519" t="str">
        <f t="shared" si="5013"/>
        <v>SAN DIEGO</v>
      </c>
      <c r="J13519" t="str">
        <f t="shared" si="5014"/>
        <v>CA</v>
      </c>
      <c r="K13519" t="str">
        <f>T("000000000000000000")</f>
        <v>000000000000000000</v>
      </c>
      <c r="L13519" t="str">
        <f>T("6195538729")</f>
        <v>6195538729</v>
      </c>
    </row>
    <row r="13520" spans="1:12" x14ac:dyDescent="0.35">
      <c r="A13520" t="str">
        <f>T("COMSUBRON ELEVEN")</f>
        <v>COMSUBRON ELEVEN</v>
      </c>
      <c r="B13520" t="str">
        <f>T("140 SYLVESTER RD")</f>
        <v>140 SYLVESTER RD</v>
      </c>
      <c r="C13520" t="str">
        <f>T("BDLG 633")</f>
        <v>BDLG 633</v>
      </c>
      <c r="D13520" t="str">
        <f t="shared" si="5011"/>
        <v>SAN DIEGO</v>
      </c>
      <c r="E13520" t="str">
        <f t="shared" si="5012"/>
        <v>CA</v>
      </c>
      <c r="F13520" t="str">
        <f>T("921063521")</f>
        <v>921063521</v>
      </c>
      <c r="G13520" t="str">
        <f>T("140 SYLVESTER ROAD")</f>
        <v>140 SYLVESTER ROAD</v>
      </c>
      <c r="H13520" t="str">
        <f>T("COMSUBRON 11")</f>
        <v>COMSUBRON 11</v>
      </c>
      <c r="I13520" t="str">
        <f t="shared" si="5013"/>
        <v>SAN DIEGO</v>
      </c>
      <c r="J13520" t="str">
        <f t="shared" si="5014"/>
        <v>CA</v>
      </c>
      <c r="K13520" t="str">
        <f>T("000000000000000000")</f>
        <v>000000000000000000</v>
      </c>
      <c r="L13520" t="str">
        <f>T("6195539049")</f>
        <v>6195539049</v>
      </c>
    </row>
    <row r="13521" spans="1:12" x14ac:dyDescent="0.35">
      <c r="A13521" t="str">
        <f>T("ARCTIC SUBMARINE LAB")</f>
        <v>ARCTIC SUBMARINE LAB</v>
      </c>
      <c r="B13521" t="str">
        <f>T("53370 CABRILLO MEMORIAL DR")</f>
        <v>53370 CABRILLO MEMORIAL DR</v>
      </c>
      <c r="C13521" t="str">
        <f>T("BLDG 370")</f>
        <v>BLDG 370</v>
      </c>
      <c r="D13521" t="str">
        <f t="shared" si="5011"/>
        <v>SAN DIEGO</v>
      </c>
      <c r="E13521" t="str">
        <f t="shared" si="5012"/>
        <v>CA</v>
      </c>
      <c r="F13521" t="str">
        <f>T("921527020")</f>
        <v>921527020</v>
      </c>
      <c r="G13521" t="str">
        <f>T("140 SYLVESTER RD")</f>
        <v>140 SYLVESTER RD</v>
      </c>
      <c r="H13521" t="str">
        <f>T("")</f>
        <v/>
      </c>
      <c r="I13521" t="str">
        <f t="shared" si="5013"/>
        <v>SAN DIEGO</v>
      </c>
      <c r="J13521" t="str">
        <f t="shared" si="5014"/>
        <v>CA</v>
      </c>
      <c r="K13521" t="str">
        <f>T("6195530972")</f>
        <v>6195530972</v>
      </c>
      <c r="L13521" t="str">
        <f>T("6195530274")</f>
        <v>6195530274</v>
      </c>
    </row>
    <row r="13522" spans="1:12" x14ac:dyDescent="0.35">
      <c r="A13522" t="str">
        <f>T("ARCTIC SUBMARINE LAB")</f>
        <v>ARCTIC SUBMARINE LAB</v>
      </c>
      <c r="B13522" t="str">
        <f>T("53370 CABRILLO MEMORIAL DR")</f>
        <v>53370 CABRILLO MEMORIAL DR</v>
      </c>
      <c r="C13522" t="str">
        <f>T("BLDG 370")</f>
        <v>BLDG 370</v>
      </c>
      <c r="D13522" t="str">
        <f t="shared" si="5011"/>
        <v>SAN DIEGO</v>
      </c>
      <c r="E13522" t="str">
        <f t="shared" si="5012"/>
        <v>CA</v>
      </c>
      <c r="F13522" t="str">
        <f>T("921527020")</f>
        <v>921527020</v>
      </c>
      <c r="G13522" t="str">
        <f>T("140 SYLVESTER RD")</f>
        <v>140 SYLVESTER RD</v>
      </c>
      <c r="H13522" t="str">
        <f>T("")</f>
        <v/>
      </c>
      <c r="I13522" t="str">
        <f t="shared" si="5013"/>
        <v>SAN DIEGO</v>
      </c>
      <c r="J13522" t="str">
        <f t="shared" si="5014"/>
        <v>CA</v>
      </c>
      <c r="K13522" t="str">
        <f>T("6195530972")</f>
        <v>6195530972</v>
      </c>
      <c r="L13522" t="str">
        <f>T("6195537457")</f>
        <v>6195537457</v>
      </c>
    </row>
    <row r="13523" spans="1:12" x14ac:dyDescent="0.35">
      <c r="A13523" t="str">
        <f>T("ARCTIC SUBMARINE LAB")</f>
        <v>ARCTIC SUBMARINE LAB</v>
      </c>
      <c r="B13523" t="str">
        <f>T("53370 CABRILLO MEMORIAL DR")</f>
        <v>53370 CABRILLO MEMORIAL DR</v>
      </c>
      <c r="C13523" t="str">
        <f>T("BLDG 370")</f>
        <v>BLDG 370</v>
      </c>
      <c r="D13523" t="str">
        <f t="shared" si="5011"/>
        <v>SAN DIEGO</v>
      </c>
      <c r="E13523" t="str">
        <f t="shared" si="5012"/>
        <v>CA</v>
      </c>
      <c r="F13523" t="str">
        <f>T("921527020")</f>
        <v>921527020</v>
      </c>
      <c r="G13523" t="str">
        <f>T("140 SYLVESTOR ROAD")</f>
        <v>140 SYLVESTOR ROAD</v>
      </c>
      <c r="H13523" t="str">
        <f>T("")</f>
        <v/>
      </c>
      <c r="I13523" t="str">
        <f t="shared" si="5013"/>
        <v>SAN DIEGO</v>
      </c>
      <c r="J13523" t="str">
        <f t="shared" si="5014"/>
        <v>CA</v>
      </c>
      <c r="K13523" t="str">
        <f>T("000000000000000000")</f>
        <v>000000000000000000</v>
      </c>
      <c r="L13523" t="str">
        <f>T("6195537444")</f>
        <v>6195537444</v>
      </c>
    </row>
    <row r="13524" spans="1:12" x14ac:dyDescent="0.35">
      <c r="A13524" t="str">
        <f>T("ARCTIC SUBMARINE LAB")</f>
        <v>ARCTIC SUBMARINE LAB</v>
      </c>
      <c r="B13524" t="str">
        <f>T("53370 CABRILLO MEMORIAL DR")</f>
        <v>53370 CABRILLO MEMORIAL DR</v>
      </c>
      <c r="C13524" t="str">
        <f>T("BLDG 370")</f>
        <v>BLDG 370</v>
      </c>
      <c r="D13524" t="str">
        <f t="shared" si="5011"/>
        <v>SAN DIEGO</v>
      </c>
      <c r="E13524" t="str">
        <f t="shared" si="5012"/>
        <v>CA</v>
      </c>
      <c r="F13524" t="str">
        <f>T("921527020")</f>
        <v>921527020</v>
      </c>
      <c r="G13524" t="str">
        <f>T("53370 CABRILLO MEMORIAL DR")</f>
        <v>53370 CABRILLO MEMORIAL DR</v>
      </c>
      <c r="H13524" t="str">
        <f>T("BLDG 370")</f>
        <v>BLDG 370</v>
      </c>
      <c r="I13524" t="str">
        <f t="shared" si="5013"/>
        <v>SAN DIEGO</v>
      </c>
      <c r="J13524" t="str">
        <f t="shared" si="5014"/>
        <v>CA</v>
      </c>
      <c r="K13524" t="str">
        <f>T("6195530972")</f>
        <v>6195530972</v>
      </c>
      <c r="L13524" t="str">
        <f>T("6195537443")</f>
        <v>6195537443</v>
      </c>
    </row>
    <row r="13525" spans="1:12" x14ac:dyDescent="0.35">
      <c r="A13525" t="str">
        <f>T("ARCTIC SUBMARINE LAB")</f>
        <v>ARCTIC SUBMARINE LAB</v>
      </c>
      <c r="B13525" t="str">
        <f>T("53370 CABRILLO MEMORIAL DR")</f>
        <v>53370 CABRILLO MEMORIAL DR</v>
      </c>
      <c r="C13525" t="str">
        <f>T("BLDG 370")</f>
        <v>BLDG 370</v>
      </c>
      <c r="D13525" t="str">
        <f t="shared" si="5011"/>
        <v>SAN DIEGO</v>
      </c>
      <c r="E13525" t="str">
        <f t="shared" si="5012"/>
        <v>CA</v>
      </c>
      <c r="F13525" t="str">
        <f>T("921527020")</f>
        <v>921527020</v>
      </c>
      <c r="G13525" t="str">
        <f>T("ARCTIC SUBMARINE LAB")</f>
        <v>ARCTIC SUBMARINE LAB</v>
      </c>
      <c r="H13525" t="str">
        <f>T("140 SYLVESTER RD")</f>
        <v>140 SYLVESTER RD</v>
      </c>
      <c r="I13525" t="str">
        <f t="shared" si="5013"/>
        <v>SAN DIEGO</v>
      </c>
      <c r="J13525" t="str">
        <f t="shared" si="5014"/>
        <v>CA</v>
      </c>
      <c r="K13525" t="str">
        <f>T("000000000000000000")</f>
        <v>000000000000000000</v>
      </c>
      <c r="L13525" t="str">
        <f>T("6195537450")</f>
        <v>6195537450</v>
      </c>
    </row>
    <row r="13526" spans="1:12" x14ac:dyDescent="0.35">
      <c r="A13526" t="str">
        <f t="shared" ref="A13526:A13536" si="5015">T("COMPACLT N00070")</f>
        <v>COMPACLT N00070</v>
      </c>
      <c r="B13526" t="str">
        <f>T("250 MAKALAPA DR")</f>
        <v>250 MAKALAPA DR</v>
      </c>
      <c r="C13526" t="str">
        <f>T("BLDG 259")</f>
        <v>BLDG 259</v>
      </c>
      <c r="D13526" t="str">
        <f>T("PEARL HARBOR")</f>
        <v>PEARL HARBOR</v>
      </c>
      <c r="E13526" t="str">
        <f t="shared" ref="E13526:E13536" si="5016">T("HI")</f>
        <v>HI</v>
      </c>
      <c r="F13526" t="str">
        <f>T("968603131")</f>
        <v>968603131</v>
      </c>
      <c r="G13526" t="str">
        <f>T("250 MAKALAPA DR")</f>
        <v>250 MAKALAPA DR</v>
      </c>
      <c r="H13526" t="str">
        <f>T("BLDG 259")</f>
        <v>BLDG 259</v>
      </c>
      <c r="I13526" t="str">
        <f>T("PEARL HARBOR")</f>
        <v>PEARL HARBOR</v>
      </c>
      <c r="J13526" t="str">
        <f t="shared" ref="J13526:J13536" si="5017">T("HI")</f>
        <v>HI</v>
      </c>
      <c r="K13526" t="str">
        <f>T("8084744700")</f>
        <v>8084744700</v>
      </c>
      <c r="L13526" t="str">
        <f>T("8084710674")</f>
        <v>8084710674</v>
      </c>
    </row>
    <row r="13527" spans="1:12" x14ac:dyDescent="0.35">
      <c r="A13527" t="str">
        <f t="shared" si="5015"/>
        <v>COMPACLT N00070</v>
      </c>
      <c r="B13527" t="str">
        <f>T("250 MAKALAPA DR")</f>
        <v>250 MAKALAPA DR</v>
      </c>
      <c r="C13527" t="str">
        <f>T("BLDG 259")</f>
        <v>BLDG 259</v>
      </c>
      <c r="D13527" t="str">
        <f>T("PEARL HARBOR")</f>
        <v>PEARL HARBOR</v>
      </c>
      <c r="E13527" t="str">
        <f t="shared" si="5016"/>
        <v>HI</v>
      </c>
      <c r="F13527" t="str">
        <f>T("968603131")</f>
        <v>968603131</v>
      </c>
      <c r="G13527" t="str">
        <f>T("250 MAKALAPA DR")</f>
        <v>250 MAKALAPA DR</v>
      </c>
      <c r="H13527" t="str">
        <f>T("BLDG 259")</f>
        <v>BLDG 259</v>
      </c>
      <c r="I13527" t="str">
        <f>T("PEARL HARBOR")</f>
        <v>PEARL HARBOR</v>
      </c>
      <c r="J13527" t="str">
        <f t="shared" si="5017"/>
        <v>HI</v>
      </c>
      <c r="K13527" t="str">
        <f>T("8084744700")</f>
        <v>8084744700</v>
      </c>
      <c r="L13527" t="str">
        <f>T("8084719514")</f>
        <v>8084719514</v>
      </c>
    </row>
    <row r="13528" spans="1:12" x14ac:dyDescent="0.35">
      <c r="A13528" t="str">
        <f t="shared" si="5015"/>
        <v>COMPACLT N00070</v>
      </c>
      <c r="B13528" t="str">
        <f>T("250 MAKALAPA DR")</f>
        <v>250 MAKALAPA DR</v>
      </c>
      <c r="C13528" t="str">
        <f>T("BLDG 259")</f>
        <v>BLDG 259</v>
      </c>
      <c r="D13528" t="str">
        <f>T("PEARL HARBOR")</f>
        <v>PEARL HARBOR</v>
      </c>
      <c r="E13528" t="str">
        <f t="shared" si="5016"/>
        <v>HI</v>
      </c>
      <c r="F13528" t="str">
        <f>T("968603131")</f>
        <v>968603131</v>
      </c>
      <c r="G13528" t="str">
        <f>T("250 MAKALAPA DR")</f>
        <v>250 MAKALAPA DR</v>
      </c>
      <c r="H13528" t="str">
        <f>T("BLDG 259")</f>
        <v>BLDG 259</v>
      </c>
      <c r="I13528" t="str">
        <f>T("PEARL HARBOR")</f>
        <v>PEARL HARBOR</v>
      </c>
      <c r="J13528" t="str">
        <f t="shared" si="5017"/>
        <v>HI</v>
      </c>
      <c r="K13528" t="str">
        <f>T("8084744700")</f>
        <v>8084744700</v>
      </c>
      <c r="L13528" t="str">
        <f>T("8084744699")</f>
        <v>8084744699</v>
      </c>
    </row>
    <row r="13529" spans="1:12" x14ac:dyDescent="0.35">
      <c r="A13529" t="str">
        <f t="shared" si="5015"/>
        <v>COMPACLT N00070</v>
      </c>
      <c r="B13529" t="str">
        <f>T("250 MAKALAPA DR")</f>
        <v>250 MAKALAPA DR</v>
      </c>
      <c r="C13529" t="str">
        <f>T("BLDG 259")</f>
        <v>BLDG 259</v>
      </c>
      <c r="D13529" t="str">
        <f>T("PEARL HARBOR")</f>
        <v>PEARL HARBOR</v>
      </c>
      <c r="E13529" t="str">
        <f t="shared" si="5016"/>
        <v>HI</v>
      </c>
      <c r="F13529" t="str">
        <f>T("968603131")</f>
        <v>968603131</v>
      </c>
      <c r="G13529" t="str">
        <f>T("250 MAKALAPA DR")</f>
        <v>250 MAKALAPA DR</v>
      </c>
      <c r="H13529" t="str">
        <f>T("BLDG 259")</f>
        <v>BLDG 259</v>
      </c>
      <c r="I13529" t="str">
        <f>T("PEARL HARBOR")</f>
        <v>PEARL HARBOR</v>
      </c>
      <c r="J13529" t="str">
        <f t="shared" si="5017"/>
        <v>HI</v>
      </c>
      <c r="K13529" t="str">
        <f>T("8084744700")</f>
        <v>8084744700</v>
      </c>
      <c r="L13529" t="str">
        <f>T("8084746343")</f>
        <v>8084746343</v>
      </c>
    </row>
    <row r="13530" spans="1:12" x14ac:dyDescent="0.35">
      <c r="A13530" t="str">
        <f t="shared" si="5015"/>
        <v>COMPACLT N00070</v>
      </c>
      <c r="B13530" t="str">
        <f>T("500 CENTER ST")</f>
        <v>500 CENTER ST</v>
      </c>
      <c r="C13530" t="str">
        <f>T("BLDG 244")</f>
        <v>BLDG 244</v>
      </c>
      <c r="D13530" t="str">
        <f>T("WAHIAWA")</f>
        <v>WAHIAWA</v>
      </c>
      <c r="E13530" t="str">
        <f t="shared" si="5016"/>
        <v>HI</v>
      </c>
      <c r="F13530" t="str">
        <f>T("967863007")</f>
        <v>967863007</v>
      </c>
      <c r="G13530" t="str">
        <f>T("205 FORD ISLAND WAY-LANDING")</f>
        <v>205 FORD ISLAND WAY-LANDING</v>
      </c>
      <c r="H13530" t="str">
        <f>T("BLDG 174")</f>
        <v>BLDG 174</v>
      </c>
      <c r="I13530" t="str">
        <f>T("JBPHH")</f>
        <v>JBPHH</v>
      </c>
      <c r="J13530" t="str">
        <f t="shared" si="5017"/>
        <v>HI</v>
      </c>
      <c r="K13530" t="str">
        <f>T("8086535371")</f>
        <v>8086535371</v>
      </c>
      <c r="L13530" t="str">
        <f>T("8084713892")</f>
        <v>8084713892</v>
      </c>
    </row>
    <row r="13531" spans="1:12" x14ac:dyDescent="0.35">
      <c r="A13531" t="str">
        <f t="shared" si="5015"/>
        <v>COMPACLT N00070</v>
      </c>
      <c r="B13531" t="str">
        <f>T("500 CENTER ST")</f>
        <v>500 CENTER ST</v>
      </c>
      <c r="C13531" t="str">
        <f>T("BLDG 244")</f>
        <v>BLDG 244</v>
      </c>
      <c r="D13531" t="str">
        <f>T("WAHIAWA")</f>
        <v>WAHIAWA</v>
      </c>
      <c r="E13531" t="str">
        <f t="shared" si="5016"/>
        <v>HI</v>
      </c>
      <c r="F13531" t="str">
        <f>T("967863007")</f>
        <v>967863007</v>
      </c>
      <c r="G13531" t="str">
        <f>T("500 CENTER ST")</f>
        <v>500 CENTER ST</v>
      </c>
      <c r="H13531" t="str">
        <f>T("BLDG 244")</f>
        <v>BLDG 244</v>
      </c>
      <c r="I13531" t="str">
        <f>T("WAHIAWA")</f>
        <v>WAHIAWA</v>
      </c>
      <c r="J13531" t="str">
        <f t="shared" si="5017"/>
        <v>HI</v>
      </c>
      <c r="K13531" t="str">
        <f>T("808-653-1101")</f>
        <v>808-653-1101</v>
      </c>
      <c r="L13531" t="str">
        <f>T("8086531097")</f>
        <v>8086531097</v>
      </c>
    </row>
    <row r="13532" spans="1:12" x14ac:dyDescent="0.35">
      <c r="A13532" t="str">
        <f t="shared" si="5015"/>
        <v>COMPACLT N00070</v>
      </c>
      <c r="B13532" t="str">
        <f>T("COMPACTFLT PROTOCOL N005")</f>
        <v>COMPACTFLT PROTOCOL N005</v>
      </c>
      <c r="C13532" t="str">
        <f>T("250 MAKALAPA DR")</f>
        <v>250 MAKALAPA DR</v>
      </c>
      <c r="D13532" t="str">
        <f>T("PEARL HARBOR")</f>
        <v>PEARL HARBOR</v>
      </c>
      <c r="E13532" t="str">
        <f t="shared" si="5016"/>
        <v>HI</v>
      </c>
      <c r="F13532" t="str">
        <f>T("968603131")</f>
        <v>968603131</v>
      </c>
      <c r="G13532" t="str">
        <f>T("250 MAKALAPA DR")</f>
        <v>250 MAKALAPA DR</v>
      </c>
      <c r="H13532" t="str">
        <f>T("BLDG 250 PROTOCOL ORF")</f>
        <v>BLDG 250 PROTOCOL ORF</v>
      </c>
      <c r="I13532" t="str">
        <f>T("PEARL HARBOR")</f>
        <v>PEARL HARBOR</v>
      </c>
      <c r="J13532" t="str">
        <f t="shared" si="5017"/>
        <v>HI</v>
      </c>
      <c r="K13532" t="str">
        <f>T("8084742194 122")</f>
        <v>8084742194 122</v>
      </c>
      <c r="L13532" t="str">
        <f>T("1111111111")</f>
        <v>1111111111</v>
      </c>
    </row>
    <row r="13533" spans="1:12" x14ac:dyDescent="0.35">
      <c r="A13533" t="str">
        <f t="shared" si="5015"/>
        <v>COMPACLT N00070</v>
      </c>
      <c r="B13533" t="str">
        <f>T("COMPACTFLT PROTOCOL N005")</f>
        <v>COMPACTFLT PROTOCOL N005</v>
      </c>
      <c r="C13533" t="str">
        <f>T("250 MAKALAPA DR")</f>
        <v>250 MAKALAPA DR</v>
      </c>
      <c r="D13533" t="str">
        <f>T("PEARL HARBOR")</f>
        <v>PEARL HARBOR</v>
      </c>
      <c r="E13533" t="str">
        <f t="shared" si="5016"/>
        <v>HI</v>
      </c>
      <c r="F13533" t="str">
        <f>T("968603131")</f>
        <v>968603131</v>
      </c>
      <c r="G13533" t="str">
        <f>T("250 MAKALAPA DR")</f>
        <v>250 MAKALAPA DR</v>
      </c>
      <c r="H13533" t="str">
        <f>T("BLDG 259 PROTOCOL ORF")</f>
        <v>BLDG 259 PROTOCOL ORF</v>
      </c>
      <c r="I13533" t="str">
        <f>T("PEARL HARBOR")</f>
        <v>PEARL HARBOR</v>
      </c>
      <c r="J13533" t="str">
        <f t="shared" si="5017"/>
        <v>HI</v>
      </c>
      <c r="K13533" t="str">
        <f>T("8084744700")</f>
        <v>8084744700</v>
      </c>
      <c r="L13533" t="str">
        <f>T("8088648044")</f>
        <v>8088648044</v>
      </c>
    </row>
    <row r="13534" spans="1:12" x14ac:dyDescent="0.35">
      <c r="A13534" t="str">
        <f t="shared" si="5015"/>
        <v>COMPACLT N00070</v>
      </c>
      <c r="B13534" t="str">
        <f>T("COMPACTFLT PROTOCOL N005")</f>
        <v>COMPACTFLT PROTOCOL N005</v>
      </c>
      <c r="C13534" t="str">
        <f>T("250 MAKALAPA DR")</f>
        <v>250 MAKALAPA DR</v>
      </c>
      <c r="D13534" t="str">
        <f>T("PEARL HARBOR")</f>
        <v>PEARL HARBOR</v>
      </c>
      <c r="E13534" t="str">
        <f t="shared" si="5016"/>
        <v>HI</v>
      </c>
      <c r="F13534" t="str">
        <f>T("968603131")</f>
        <v>968603131</v>
      </c>
      <c r="G13534" t="str">
        <f>T("250 MAKALAPA DRIVE")</f>
        <v>250 MAKALAPA DRIVE</v>
      </c>
      <c r="H13534" t="str">
        <f>T("")</f>
        <v/>
      </c>
      <c r="I13534" t="str">
        <f>T("PEARL HARBOR")</f>
        <v>PEARL HARBOR</v>
      </c>
      <c r="J13534" t="str">
        <f t="shared" si="5017"/>
        <v>HI</v>
      </c>
      <c r="K13534" t="str">
        <f>T("000000000000000000")</f>
        <v>000000000000000000</v>
      </c>
      <c r="L13534" t="str">
        <f>T("8084710370")</f>
        <v>8084710370</v>
      </c>
    </row>
    <row r="13535" spans="1:12" x14ac:dyDescent="0.35">
      <c r="A13535" t="str">
        <f t="shared" si="5015"/>
        <v>COMPACLT N00070</v>
      </c>
      <c r="B13535" t="str">
        <f>T("COMPACTFLT PROTOCOL N005")</f>
        <v>COMPACTFLT PROTOCOL N005</v>
      </c>
      <c r="C13535" t="str">
        <f>T("250 MAKALAPA DR")</f>
        <v>250 MAKALAPA DR</v>
      </c>
      <c r="D13535" t="str">
        <f>T("PEARL HARBOR")</f>
        <v>PEARL HARBOR</v>
      </c>
      <c r="E13535" t="str">
        <f t="shared" si="5016"/>
        <v>HI</v>
      </c>
      <c r="F13535" t="str">
        <f>T("968603131")</f>
        <v>968603131</v>
      </c>
      <c r="G13535" t="str">
        <f>T("250 MAKALAPA DRIVE")</f>
        <v>250 MAKALAPA DRIVE</v>
      </c>
      <c r="H13535" t="str">
        <f>T("")</f>
        <v/>
      </c>
      <c r="I13535" t="str">
        <f>T("PEARL HARBOR")</f>
        <v>PEARL HARBOR</v>
      </c>
      <c r="J13535" t="str">
        <f t="shared" si="5017"/>
        <v>HI</v>
      </c>
      <c r="K13535" t="str">
        <f>T("8084742194122")</f>
        <v>8084742194122</v>
      </c>
      <c r="L13535" t="str">
        <f>T("8084742194")</f>
        <v>8084742194</v>
      </c>
    </row>
    <row r="13536" spans="1:12" x14ac:dyDescent="0.35">
      <c r="A13536" t="str">
        <f t="shared" si="5015"/>
        <v>COMPACLT N00070</v>
      </c>
      <c r="B13536" t="str">
        <f>T("COMPACTFLT PROTOCOL N005")</f>
        <v>COMPACTFLT PROTOCOL N005</v>
      </c>
      <c r="C13536" t="str">
        <f>T("250 MAKALAPA DR")</f>
        <v>250 MAKALAPA DR</v>
      </c>
      <c r="D13536" t="str">
        <f>T("PEARL HARBOR")</f>
        <v>PEARL HARBOR</v>
      </c>
      <c r="E13536" t="str">
        <f t="shared" si="5016"/>
        <v>HI</v>
      </c>
      <c r="F13536" t="str">
        <f>T("968603131")</f>
        <v>968603131</v>
      </c>
      <c r="G13536" t="str">
        <f>T("COMPACTFLT PROTOCOL N005")</f>
        <v>COMPACTFLT PROTOCOL N005</v>
      </c>
      <c r="H13536" t="str">
        <f>T("250 MAKALAPA DR")</f>
        <v>250 MAKALAPA DR</v>
      </c>
      <c r="I13536" t="str">
        <f>T("PEARL HARBOR")</f>
        <v>PEARL HARBOR</v>
      </c>
      <c r="J13536" t="str">
        <f t="shared" si="5017"/>
        <v>HI</v>
      </c>
      <c r="K13536" t="str">
        <f>T("8084715161")</f>
        <v>8084715161</v>
      </c>
      <c r="L13536" t="str">
        <f>T("8084716357")</f>
        <v>8084716357</v>
      </c>
    </row>
    <row r="13537" spans="1:12" x14ac:dyDescent="0.35">
      <c r="A13537" t="str">
        <f t="shared" ref="A13537:A13545" si="5018">T("PMRF KAUAI HI")</f>
        <v>PMRF KAUAI HI</v>
      </c>
      <c r="B13537" t="str">
        <f>T("NAVY CFAO TARGET")</f>
        <v>NAVY CFAO TARGET</v>
      </c>
      <c r="C13537" t="str">
        <f>T("PSC 480 BOX 794")</f>
        <v>PSC 480 BOX 794</v>
      </c>
      <c r="D13537" t="str">
        <f>T("FPO")</f>
        <v>FPO</v>
      </c>
      <c r="E13537" t="str">
        <f>T("AP")</f>
        <v>AP</v>
      </c>
      <c r="F13537" t="str">
        <f>T("963700008")</f>
        <v>963700008</v>
      </c>
      <c r="G13537" t="str">
        <f>T("NAVY CFAO TARGET")</f>
        <v>NAVY CFAO TARGET</v>
      </c>
      <c r="H13537" t="str">
        <f>T("PSC 480 BOX 776")</f>
        <v>PSC 480 BOX 776</v>
      </c>
      <c r="I13537" t="str">
        <f>T("FPO")</f>
        <v>FPO</v>
      </c>
      <c r="J13537" t="str">
        <f>T("AP")</f>
        <v>AP</v>
      </c>
      <c r="K13537" t="str">
        <f>T("000000000000000000")</f>
        <v>000000000000000000</v>
      </c>
      <c r="L13537" t="str">
        <f>T("3156221475")</f>
        <v>3156221475</v>
      </c>
    </row>
    <row r="13538" spans="1:12" x14ac:dyDescent="0.35">
      <c r="A13538" t="str">
        <f t="shared" si="5018"/>
        <v>PMRF KAUAI HI</v>
      </c>
      <c r="B13538" t="str">
        <f>T("NAVY CFAO TARGET")</f>
        <v>NAVY CFAO TARGET</v>
      </c>
      <c r="C13538" t="str">
        <f>T("PSC 480 BOX 794")</f>
        <v>PSC 480 BOX 794</v>
      </c>
      <c r="D13538" t="str">
        <f>T("FPO")</f>
        <v>FPO</v>
      </c>
      <c r="E13538" t="str">
        <f>T("AP")</f>
        <v>AP</v>
      </c>
      <c r="F13538" t="str">
        <f>T("963700008")</f>
        <v>963700008</v>
      </c>
      <c r="G13538" t="str">
        <f>T("NAVY CFAO TARGET")</f>
        <v>NAVY CFAO TARGET</v>
      </c>
      <c r="H13538" t="str">
        <f>T("PSC 480 BOX 794")</f>
        <v>PSC 480 BOX 794</v>
      </c>
      <c r="I13538" t="str">
        <f>T("FPO")</f>
        <v>FPO</v>
      </c>
      <c r="J13538" t="str">
        <f>T("AP")</f>
        <v>AP</v>
      </c>
      <c r="K13538" t="str">
        <f>T("011816117349475")</f>
        <v>011816117349475</v>
      </c>
      <c r="L13538" t="str">
        <f>T("0118161172")</f>
        <v>0118161172</v>
      </c>
    </row>
    <row r="13539" spans="1:12" x14ac:dyDescent="0.35">
      <c r="A13539" t="str">
        <f t="shared" si="5018"/>
        <v>PMRF KAUAI HI</v>
      </c>
      <c r="B13539" t="str">
        <f>T("OFFICIAL REP FUNDS")</f>
        <v>OFFICIAL REP FUNDS</v>
      </c>
      <c r="C13539" t="str">
        <f t="shared" ref="C13539:C13545" si="5019">T("PO BOX 128")</f>
        <v>PO BOX 128</v>
      </c>
      <c r="D13539" t="str">
        <f t="shared" ref="D13539:D13545" si="5020">T("KEKAHA")</f>
        <v>KEKAHA</v>
      </c>
      <c r="E13539" t="str">
        <f t="shared" ref="E13539:E13545" si="5021">T("HI")</f>
        <v>HI</v>
      </c>
      <c r="F13539" t="str">
        <f t="shared" ref="F13539:F13545" si="5022">T("967520128")</f>
        <v>967520128</v>
      </c>
      <c r="G13539" t="str">
        <f>T("OFFICIAL REP FUNDS")</f>
        <v>OFFICIAL REP FUNDS</v>
      </c>
      <c r="H13539" t="str">
        <f t="shared" ref="H13539:H13545" si="5023">T("PO BOX 128")</f>
        <v>PO BOX 128</v>
      </c>
      <c r="I13539" t="str">
        <f t="shared" ref="I13539:I13545" si="5024">T("KEKAHA")</f>
        <v>KEKAHA</v>
      </c>
      <c r="J13539" t="str">
        <f t="shared" ref="J13539:J13545" si="5025">T("HI")</f>
        <v>HI</v>
      </c>
      <c r="K13539" t="str">
        <f>T("8083354304")</f>
        <v>8083354304</v>
      </c>
      <c r="L13539" t="str">
        <f>T("8083354198")</f>
        <v>8083354198</v>
      </c>
    </row>
    <row r="13540" spans="1:12" x14ac:dyDescent="0.35">
      <c r="A13540" t="str">
        <f t="shared" si="5018"/>
        <v>PMRF KAUAI HI</v>
      </c>
      <c r="B13540" t="str">
        <f>T("OFFICIAL REP FUNDS")</f>
        <v>OFFICIAL REP FUNDS</v>
      </c>
      <c r="C13540" t="str">
        <f t="shared" si="5019"/>
        <v>PO BOX 128</v>
      </c>
      <c r="D13540" t="str">
        <f t="shared" si="5020"/>
        <v>KEKAHA</v>
      </c>
      <c r="E13540" t="str">
        <f t="shared" si="5021"/>
        <v>HI</v>
      </c>
      <c r="F13540" t="str">
        <f t="shared" si="5022"/>
        <v>967520128</v>
      </c>
      <c r="G13540" t="str">
        <f>T("OFFICIAL REP FUNDS")</f>
        <v>OFFICIAL REP FUNDS</v>
      </c>
      <c r="H13540" t="str">
        <f t="shared" si="5023"/>
        <v>PO BOX 128</v>
      </c>
      <c r="I13540" t="str">
        <f t="shared" si="5024"/>
        <v>KEKAHA</v>
      </c>
      <c r="J13540" t="str">
        <f t="shared" si="5025"/>
        <v>HI</v>
      </c>
      <c r="K13540" t="str">
        <f>T("8083354304")</f>
        <v>8083354304</v>
      </c>
      <c r="L13540" t="str">
        <f>T("8083354949")</f>
        <v>8083354949</v>
      </c>
    </row>
    <row r="13541" spans="1:12" x14ac:dyDescent="0.35">
      <c r="A13541" t="str">
        <f t="shared" si="5018"/>
        <v>PMRF KAUAI HI</v>
      </c>
      <c r="B13541" t="str">
        <f>T("OFFICIAL REP FUNDS")</f>
        <v>OFFICIAL REP FUNDS</v>
      </c>
      <c r="C13541" t="str">
        <f t="shared" si="5019"/>
        <v>PO BOX 128</v>
      </c>
      <c r="D13541" t="str">
        <f t="shared" si="5020"/>
        <v>KEKAHA</v>
      </c>
      <c r="E13541" t="str">
        <f t="shared" si="5021"/>
        <v>HI</v>
      </c>
      <c r="F13541" t="str">
        <f t="shared" si="5022"/>
        <v>967520128</v>
      </c>
      <c r="G13541" t="str">
        <f>T("OFFICIAL REP FUNDS")</f>
        <v>OFFICIAL REP FUNDS</v>
      </c>
      <c r="H13541" t="str">
        <f t="shared" si="5023"/>
        <v>PO BOX 128</v>
      </c>
      <c r="I13541" t="str">
        <f t="shared" si="5024"/>
        <v>KEKAHA</v>
      </c>
      <c r="J13541" t="str">
        <f t="shared" si="5025"/>
        <v>HI</v>
      </c>
      <c r="K13541" t="str">
        <f>T("8083354817")</f>
        <v>8083354817</v>
      </c>
      <c r="L13541" t="str">
        <f>T("8083354176")</f>
        <v>8083354176</v>
      </c>
    </row>
    <row r="13542" spans="1:12" x14ac:dyDescent="0.35">
      <c r="A13542" t="str">
        <f t="shared" si="5018"/>
        <v>PMRF KAUAI HI</v>
      </c>
      <c r="B13542" t="str">
        <f>T("SUPPLY ROS")</f>
        <v>SUPPLY ROS</v>
      </c>
      <c r="C13542" t="str">
        <f t="shared" si="5019"/>
        <v>PO BOX 128</v>
      </c>
      <c r="D13542" t="str">
        <f t="shared" si="5020"/>
        <v>KEKAHA</v>
      </c>
      <c r="E13542" t="str">
        <f t="shared" si="5021"/>
        <v>HI</v>
      </c>
      <c r="F13542" t="str">
        <f t="shared" si="5022"/>
        <v>967520128</v>
      </c>
      <c r="G13542" t="str">
        <f>T("ROS CONV CHECK")</f>
        <v>ROS CONV CHECK</v>
      </c>
      <c r="H13542" t="str">
        <f t="shared" si="5023"/>
        <v>PO BOX 128</v>
      </c>
      <c r="I13542" t="str">
        <f t="shared" si="5024"/>
        <v>KEKAHA</v>
      </c>
      <c r="J13542" t="str">
        <f t="shared" si="5025"/>
        <v>HI</v>
      </c>
      <c r="K13542" t="str">
        <f>T("8083354817")</f>
        <v>8083354817</v>
      </c>
      <c r="L13542" t="str">
        <f>T("8083354176")</f>
        <v>8083354176</v>
      </c>
    </row>
    <row r="13543" spans="1:12" x14ac:dyDescent="0.35">
      <c r="A13543" t="str">
        <f t="shared" si="5018"/>
        <v>PMRF KAUAI HI</v>
      </c>
      <c r="B13543" t="str">
        <f>T("SUPPLY ROS")</f>
        <v>SUPPLY ROS</v>
      </c>
      <c r="C13543" t="str">
        <f t="shared" si="5019"/>
        <v>PO BOX 128</v>
      </c>
      <c r="D13543" t="str">
        <f t="shared" si="5020"/>
        <v>KEKAHA</v>
      </c>
      <c r="E13543" t="str">
        <f t="shared" si="5021"/>
        <v>HI</v>
      </c>
      <c r="F13543" t="str">
        <f t="shared" si="5022"/>
        <v>967520128</v>
      </c>
      <c r="G13543" t="str">
        <f>T("SUPPLY ROS")</f>
        <v>SUPPLY ROS</v>
      </c>
      <c r="H13543" t="str">
        <f t="shared" si="5023"/>
        <v>PO BOX 128</v>
      </c>
      <c r="I13543" t="str">
        <f t="shared" si="5024"/>
        <v>KEKAHA</v>
      </c>
      <c r="J13543" t="str">
        <f t="shared" si="5025"/>
        <v>HI</v>
      </c>
      <c r="K13543" t="str">
        <f>T("000000000000000000")</f>
        <v>000000000000000000</v>
      </c>
      <c r="L13543" t="str">
        <f>T("8083354176")</f>
        <v>8083354176</v>
      </c>
    </row>
    <row r="13544" spans="1:12" x14ac:dyDescent="0.35">
      <c r="A13544" t="str">
        <f t="shared" si="5018"/>
        <v>PMRF KAUAI HI</v>
      </c>
      <c r="B13544" t="str">
        <f>T("SUPPLY ROS")</f>
        <v>SUPPLY ROS</v>
      </c>
      <c r="C13544" t="str">
        <f t="shared" si="5019"/>
        <v>PO BOX 128</v>
      </c>
      <c r="D13544" t="str">
        <f t="shared" si="5020"/>
        <v>KEKAHA</v>
      </c>
      <c r="E13544" t="str">
        <f t="shared" si="5021"/>
        <v>HI</v>
      </c>
      <c r="F13544" t="str">
        <f t="shared" si="5022"/>
        <v>967520128</v>
      </c>
      <c r="G13544" t="str">
        <f>T("SUPPLY ROS")</f>
        <v>SUPPLY ROS</v>
      </c>
      <c r="H13544" t="str">
        <f t="shared" si="5023"/>
        <v>PO BOX 128</v>
      </c>
      <c r="I13544" t="str">
        <f t="shared" si="5024"/>
        <v>KEKAHA</v>
      </c>
      <c r="J13544" t="str">
        <f t="shared" si="5025"/>
        <v>HI</v>
      </c>
      <c r="K13544" t="str">
        <f>T("000000000000000000")</f>
        <v>000000000000000000</v>
      </c>
      <c r="L13544" t="str">
        <f>T("8083354198")</f>
        <v>8083354198</v>
      </c>
    </row>
    <row r="13545" spans="1:12" x14ac:dyDescent="0.35">
      <c r="A13545" t="str">
        <f t="shared" si="5018"/>
        <v>PMRF KAUAI HI</v>
      </c>
      <c r="B13545" t="str">
        <f>T("SUPPLY ROS")</f>
        <v>SUPPLY ROS</v>
      </c>
      <c r="C13545" t="str">
        <f t="shared" si="5019"/>
        <v>PO BOX 128</v>
      </c>
      <c r="D13545" t="str">
        <f t="shared" si="5020"/>
        <v>KEKAHA</v>
      </c>
      <c r="E13545" t="str">
        <f t="shared" si="5021"/>
        <v>HI</v>
      </c>
      <c r="F13545" t="str">
        <f t="shared" si="5022"/>
        <v>967520128</v>
      </c>
      <c r="G13545" t="str">
        <f>T("SUPPLY ROS")</f>
        <v>SUPPLY ROS</v>
      </c>
      <c r="H13545" t="str">
        <f t="shared" si="5023"/>
        <v>PO BOX 128</v>
      </c>
      <c r="I13545" t="str">
        <f t="shared" si="5024"/>
        <v>KEKAHA</v>
      </c>
      <c r="J13545" t="str">
        <f t="shared" si="5025"/>
        <v>HI</v>
      </c>
      <c r="K13545" t="str">
        <f>T("8083354304")</f>
        <v>8083354304</v>
      </c>
      <c r="L13545" t="str">
        <f>T("8083354949")</f>
        <v>8083354949</v>
      </c>
    </row>
    <row r="13546" spans="1:12" x14ac:dyDescent="0.35">
      <c r="A13546" t="str">
        <f>T("CPF MHD DET CPA")</f>
        <v>CPF MHD DET CPA</v>
      </c>
      <c r="B13546" t="str">
        <f>T("COAST GUARD ISLAND")</f>
        <v>COAST GUARD ISLAND</v>
      </c>
      <c r="C13546" t="str">
        <f>T("BUILDING 50-4")</f>
        <v>BUILDING 50-4</v>
      </c>
      <c r="D13546" t="str">
        <f>T("ALAMEDA")</f>
        <v>ALAMEDA</v>
      </c>
      <c r="E13546" t="str">
        <f>T("CA")</f>
        <v>CA</v>
      </c>
      <c r="F13546" t="str">
        <f>T("945010000")</f>
        <v>945010000</v>
      </c>
      <c r="G13546" t="str">
        <f>T("COAST GUARD ISLAND")</f>
        <v>COAST GUARD ISLAND</v>
      </c>
      <c r="H13546" t="str">
        <f>T("BLDG 50-4")</f>
        <v>BLDG 50-4</v>
      </c>
      <c r="I13546" t="str">
        <f>T("ALAMEDA")</f>
        <v>ALAMEDA</v>
      </c>
      <c r="J13546" t="str">
        <f>T("CA")</f>
        <v>CA</v>
      </c>
      <c r="K13546" t="str">
        <f>T("000000000000000000")</f>
        <v>000000000000000000</v>
      </c>
      <c r="L13546" t="str">
        <f>T("5104375674")</f>
        <v>5104375674</v>
      </c>
    </row>
    <row r="13547" spans="1:12" x14ac:dyDescent="0.35">
      <c r="A13547" t="str">
        <f>T("CPF MHD DET CPA")</f>
        <v>CPF MHD DET CPA</v>
      </c>
      <c r="B13547" t="str">
        <f>T("COAST GUARD ISLAND")</f>
        <v>COAST GUARD ISLAND</v>
      </c>
      <c r="C13547" t="str">
        <f>T("BUILDING 50-4")</f>
        <v>BUILDING 50-4</v>
      </c>
      <c r="D13547" t="str">
        <f>T("ALAMEDA")</f>
        <v>ALAMEDA</v>
      </c>
      <c r="E13547" t="str">
        <f>T("CA")</f>
        <v>CA</v>
      </c>
      <c r="F13547" t="str">
        <f>T("945010000")</f>
        <v>945010000</v>
      </c>
      <c r="G13547" t="str">
        <f>T("COAST GUARD ISLAND")</f>
        <v>COAST GUARD ISLAND</v>
      </c>
      <c r="H13547" t="str">
        <f>T("BUILDING 50-4")</f>
        <v>BUILDING 50-4</v>
      </c>
      <c r="I13547" t="str">
        <f>T("ALAMEDA")</f>
        <v>ALAMEDA</v>
      </c>
      <c r="J13547" t="str">
        <f>T("CA")</f>
        <v>CA</v>
      </c>
      <c r="K13547" t="str">
        <f>T("5104375700")</f>
        <v>5104375700</v>
      </c>
      <c r="L13547" t="str">
        <f>T("5104373988")</f>
        <v>5104373988</v>
      </c>
    </row>
    <row r="13548" spans="1:12" x14ac:dyDescent="0.35">
      <c r="A13548" t="str">
        <f t="shared" ref="A13548:B13551" si="5026">T("COMSEVENTHFLT")</f>
        <v>COMSEVENTHFLT</v>
      </c>
      <c r="B13548" t="str">
        <f t="shared" si="5026"/>
        <v>COMSEVENTHFLT</v>
      </c>
      <c r="C13548" t="str">
        <f>T("UNIT 200225 BOX 1")</f>
        <v>UNIT 200225 BOX 1</v>
      </c>
      <c r="D13548" t="str">
        <f>T("FPO")</f>
        <v>FPO</v>
      </c>
      <c r="E13548" t="str">
        <f>T("AP")</f>
        <v>AP</v>
      </c>
      <c r="F13548" t="str">
        <f>T("966022500")</f>
        <v>966022500</v>
      </c>
      <c r="G13548" t="str">
        <f>T("C7F N4")</f>
        <v>C7F N4</v>
      </c>
      <c r="H13548" t="str">
        <f>T("UNIT 200225 BOX 1")</f>
        <v>UNIT 200225 BOX 1</v>
      </c>
      <c r="I13548" t="str">
        <f>T("FPO")</f>
        <v>FPO</v>
      </c>
      <c r="J13548" t="str">
        <f>T("AP")</f>
        <v>AP</v>
      </c>
      <c r="K13548" t="str">
        <f>T("000000000000000000")</f>
        <v>000000000000000000</v>
      </c>
      <c r="L13548" t="str">
        <f>T("3152419029")</f>
        <v>3152419029</v>
      </c>
    </row>
    <row r="13549" spans="1:12" x14ac:dyDescent="0.35">
      <c r="A13549" t="str">
        <f t="shared" si="5026"/>
        <v>COMSEVENTHFLT</v>
      </c>
      <c r="B13549" t="str">
        <f t="shared" si="5026"/>
        <v>COMSEVENTHFLT</v>
      </c>
      <c r="C13549" t="str">
        <f>T("UNIT 200225 BOX 1")</f>
        <v>UNIT 200225 BOX 1</v>
      </c>
      <c r="D13549" t="str">
        <f>T("FPO")</f>
        <v>FPO</v>
      </c>
      <c r="E13549" t="str">
        <f>T("AP")</f>
        <v>AP</v>
      </c>
      <c r="F13549" t="str">
        <f>T("966022500")</f>
        <v>966022500</v>
      </c>
      <c r="G13549" t="str">
        <f>T("COMSEVENTFLT")</f>
        <v>COMSEVENTFLT</v>
      </c>
      <c r="H13549" t="str">
        <f>T("UNIT 200225 BOX 1")</f>
        <v>UNIT 200225 BOX 1</v>
      </c>
      <c r="I13549" t="str">
        <f>T("FPO")</f>
        <v>FPO</v>
      </c>
      <c r="J13549" t="str">
        <f>T("AP")</f>
        <v>AP</v>
      </c>
      <c r="K13549" t="str">
        <f>T("8086532145")</f>
        <v>8086532145</v>
      </c>
      <c r="L13549" t="str">
        <f>T("8086532127")</f>
        <v>8086532127</v>
      </c>
    </row>
    <row r="13550" spans="1:12" x14ac:dyDescent="0.35">
      <c r="A13550" t="str">
        <f t="shared" si="5026"/>
        <v>COMSEVENTHFLT</v>
      </c>
      <c r="B13550" t="str">
        <f t="shared" si="5026"/>
        <v>COMSEVENTHFLT</v>
      </c>
      <c r="C13550" t="str">
        <f>T("UNIT 200225 BOX 1")</f>
        <v>UNIT 200225 BOX 1</v>
      </c>
      <c r="D13550" t="str">
        <f>T("FPO")</f>
        <v>FPO</v>
      </c>
      <c r="E13550" t="str">
        <f>T("AP")</f>
        <v>AP</v>
      </c>
      <c r="F13550" t="str">
        <f>T("966022500")</f>
        <v>966022500</v>
      </c>
      <c r="G13550" t="str">
        <f>T("COMSEVENTHFLT")</f>
        <v>COMSEVENTHFLT</v>
      </c>
      <c r="H13550" t="str">
        <f>T("UNIT 200225 BOX 1")</f>
        <v>UNIT 200225 BOX 1</v>
      </c>
      <c r="I13550" t="str">
        <f>T("FPO")</f>
        <v>FPO</v>
      </c>
      <c r="J13550" t="str">
        <f>T("AP")</f>
        <v>AP</v>
      </c>
      <c r="K13550" t="str">
        <f>T("8086532145")</f>
        <v>8086532145</v>
      </c>
      <c r="L13550" t="str">
        <f>T("8086532127")</f>
        <v>8086532127</v>
      </c>
    </row>
    <row r="13551" spans="1:12" x14ac:dyDescent="0.35">
      <c r="A13551" t="str">
        <f t="shared" si="5026"/>
        <v>COMSEVENTHFLT</v>
      </c>
      <c r="B13551" t="str">
        <f t="shared" si="5026"/>
        <v>COMSEVENTHFLT</v>
      </c>
      <c r="C13551" t="str">
        <f>T("UNIT 200225 BOX 1")</f>
        <v>UNIT 200225 BOX 1</v>
      </c>
      <c r="D13551" t="str">
        <f>T("FPO")</f>
        <v>FPO</v>
      </c>
      <c r="E13551" t="str">
        <f>T("AP")</f>
        <v>AP</v>
      </c>
      <c r="F13551" t="str">
        <f>T("966022500")</f>
        <v>966022500</v>
      </c>
      <c r="G13551" t="str">
        <f>T("COMSEVENTHFLT")</f>
        <v>COMSEVENTHFLT</v>
      </c>
      <c r="H13551" t="str">
        <f>T("UNIT 25104 DEPT N4")</f>
        <v>UNIT 25104 DEPT N4</v>
      </c>
      <c r="I13551" t="str">
        <f>T("FPO")</f>
        <v>FPO</v>
      </c>
      <c r="J13551" t="str">
        <f>T("AP")</f>
        <v>AP</v>
      </c>
      <c r="K13551" t="str">
        <f>T("8086532145")</f>
        <v>8086532145</v>
      </c>
      <c r="L13551" t="str">
        <f>T("8086532127")</f>
        <v>8086532127</v>
      </c>
    </row>
    <row r="13552" spans="1:12" x14ac:dyDescent="0.35">
      <c r="A13552" t="str">
        <f>T("COMTHIRDFLT")</f>
        <v>COMTHIRDFLT</v>
      </c>
      <c r="B13552" t="str">
        <f>T("53690 TOMAHAWK DR")</f>
        <v>53690 TOMAHAWK DR</v>
      </c>
      <c r="C13552" t="str">
        <f>T("BLDG 60 STE 338")</f>
        <v>BLDG 60 STE 338</v>
      </c>
      <c r="D13552" t="str">
        <f>T("SAN DIEGO")</f>
        <v>SAN DIEGO</v>
      </c>
      <c r="E13552" t="str">
        <f t="shared" ref="E13552:E13559" si="5027">T("CA")</f>
        <v>CA</v>
      </c>
      <c r="F13552" t="str">
        <f>T("921475012")</f>
        <v>921475012</v>
      </c>
      <c r="G13552" t="str">
        <f>T("53690 TOMAHAWK DR")</f>
        <v>53690 TOMAHAWK DR</v>
      </c>
      <c r="H13552" t="str">
        <f>T("BLDG 60 STE 338")</f>
        <v>BLDG 60 STE 338</v>
      </c>
      <c r="I13552" t="str">
        <f>T("SAN DIEGO")</f>
        <v>SAN DIEGO</v>
      </c>
      <c r="J13552" t="str">
        <f t="shared" ref="J13552:J13559" si="5028">T("CA")</f>
        <v>CA</v>
      </c>
      <c r="K13552" t="str">
        <f>T("")</f>
        <v/>
      </c>
      <c r="L13552" t="str">
        <f>T("6197674212")</f>
        <v>6197674212</v>
      </c>
    </row>
    <row r="13553" spans="1:12" x14ac:dyDescent="0.35">
      <c r="A13553" t="str">
        <f>T("COMTHIRDFLT")</f>
        <v>COMTHIRDFLT</v>
      </c>
      <c r="B13553" t="str">
        <f>T("53690 TOMAHAWK DR")</f>
        <v>53690 TOMAHAWK DR</v>
      </c>
      <c r="C13553" t="str">
        <f>T("BLDG 60 STE 338")</f>
        <v>BLDG 60 STE 338</v>
      </c>
      <c r="D13553" t="str">
        <f>T("SAN DIEGO")</f>
        <v>SAN DIEGO</v>
      </c>
      <c r="E13553" t="str">
        <f t="shared" si="5027"/>
        <v>CA</v>
      </c>
      <c r="F13553" t="str">
        <f>T("921475012")</f>
        <v>921475012</v>
      </c>
      <c r="G13553" t="str">
        <f>T("COMMANDER US THIRD FLEET")</f>
        <v>COMMANDER US THIRD FLEET</v>
      </c>
      <c r="H13553" t="str">
        <f>T("53690 TOMAHAWK DR STE 337")</f>
        <v>53690 TOMAHAWK DR STE 337</v>
      </c>
      <c r="I13553" t="str">
        <f>T("SAN DIEGO")</f>
        <v>SAN DIEGO</v>
      </c>
      <c r="J13553" t="str">
        <f t="shared" si="5028"/>
        <v>CA</v>
      </c>
      <c r="K13553" t="str">
        <f>T("6195249524")</f>
        <v>6195249524</v>
      </c>
      <c r="L13553" t="str">
        <f>T("6197674422")</f>
        <v>6197674422</v>
      </c>
    </row>
    <row r="13554" spans="1:12" x14ac:dyDescent="0.35">
      <c r="A13554" t="str">
        <f>T("COMTHIRDFLT")</f>
        <v>COMTHIRDFLT</v>
      </c>
      <c r="B13554" t="str">
        <f>T("53690 TOMAHAWK DR")</f>
        <v>53690 TOMAHAWK DR</v>
      </c>
      <c r="C13554" t="str">
        <f>T("BLDG 60 STE 338")</f>
        <v>BLDG 60 STE 338</v>
      </c>
      <c r="D13554" t="str">
        <f>T("SAN DIEGO")</f>
        <v>SAN DIEGO</v>
      </c>
      <c r="E13554" t="str">
        <f t="shared" si="5027"/>
        <v>CA</v>
      </c>
      <c r="F13554" t="str">
        <f>T("921475012")</f>
        <v>921475012</v>
      </c>
      <c r="G13554" t="str">
        <f>T("COMMANDER US THIRD FLEET")</f>
        <v>COMMANDER US THIRD FLEET</v>
      </c>
      <c r="H13554" t="str">
        <f>T("53690 TOMAHAWK DR STE 337")</f>
        <v>53690 TOMAHAWK DR STE 337</v>
      </c>
      <c r="I13554" t="str">
        <f>T("SAN DIEGO")</f>
        <v>SAN DIEGO</v>
      </c>
      <c r="J13554" t="str">
        <f t="shared" si="5028"/>
        <v>CA</v>
      </c>
      <c r="K13554" t="str">
        <f>T("6195249524")</f>
        <v>6195249524</v>
      </c>
      <c r="L13554" t="str">
        <f>T("6197674429")</f>
        <v>6197674429</v>
      </c>
    </row>
    <row r="13555" spans="1:12" x14ac:dyDescent="0.35">
      <c r="A13555" t="str">
        <f>T("NMAWC")</f>
        <v>NMAWC</v>
      </c>
      <c r="B13555" t="str">
        <f>T("32444 ECHO LANE")</f>
        <v>32444 ECHO LANE</v>
      </c>
      <c r="C13555" t="str">
        <f>T("STE 300")</f>
        <v>STE 300</v>
      </c>
      <c r="D13555" t="str">
        <f>T("SAN DIEGO")</f>
        <v>SAN DIEGO</v>
      </c>
      <c r="E13555" t="str">
        <f t="shared" si="5027"/>
        <v>CA</v>
      </c>
      <c r="F13555" t="str">
        <f>T("921475119")</f>
        <v>921475119</v>
      </c>
      <c r="G13555" t="str">
        <f>T("32444 ECHO LANE")</f>
        <v>32444 ECHO LANE</v>
      </c>
      <c r="H13555" t="str">
        <f>T("STE 300")</f>
        <v>STE 300</v>
      </c>
      <c r="I13555" t="str">
        <f>T("SAN DIEGO")</f>
        <v>SAN DIEGO</v>
      </c>
      <c r="J13555" t="str">
        <f t="shared" si="5028"/>
        <v>CA</v>
      </c>
      <c r="K13555" t="str">
        <f>T("")</f>
        <v/>
      </c>
      <c r="L13555" t="str">
        <f>T("6195241076")</f>
        <v>6195241076</v>
      </c>
    </row>
    <row r="13556" spans="1:12" x14ac:dyDescent="0.35">
      <c r="A13556" t="str">
        <f t="shared" ref="A13556:A13600" si="5029">T("NMC CWD")</f>
        <v>NMC CWD</v>
      </c>
      <c r="B13556" t="str">
        <f>T("1 ADMINISTRATION CIR")</f>
        <v>1 ADMINISTRATION CIR</v>
      </c>
      <c r="C13556" t="str">
        <f>T("CODE N42N2/STOP 1112")</f>
        <v>CODE N42N2/STOP 1112</v>
      </c>
      <c r="D13556" t="str">
        <f>T("RIDGECREST")</f>
        <v>RIDGECREST</v>
      </c>
      <c r="E13556" t="str">
        <f t="shared" si="5027"/>
        <v>CA</v>
      </c>
      <c r="F13556" t="str">
        <f>T("935556104")</f>
        <v>935556104</v>
      </c>
      <c r="G13556" t="str">
        <f>T("1 ADMINISTRATION CIR")</f>
        <v>1 ADMINISTRATION CIR</v>
      </c>
      <c r="H13556" t="str">
        <f>T("CODE N42N2/STOP 1112")</f>
        <v>CODE N42N2/STOP 1112</v>
      </c>
      <c r="I13556" t="str">
        <f>T("RIDGECREST")</f>
        <v>RIDGECREST</v>
      </c>
      <c r="J13556" t="str">
        <f t="shared" si="5028"/>
        <v>CA</v>
      </c>
      <c r="K13556" t="str">
        <f>T("760 939 6110")</f>
        <v>760 939 6110</v>
      </c>
      <c r="L13556" t="str">
        <f>T("7609395833")</f>
        <v>7609395833</v>
      </c>
    </row>
    <row r="13557" spans="1:12" x14ac:dyDescent="0.35">
      <c r="A13557" t="str">
        <f t="shared" si="5029"/>
        <v>NMC CWD</v>
      </c>
      <c r="B13557" t="str">
        <f>T("1 ADMINISTRATION CIR")</f>
        <v>1 ADMINISTRATION CIR</v>
      </c>
      <c r="C13557" t="str">
        <f>T("CODE N42N2/STOP 1112")</f>
        <v>CODE N42N2/STOP 1112</v>
      </c>
      <c r="D13557" t="str">
        <f>T("RIDGECREST")</f>
        <v>RIDGECREST</v>
      </c>
      <c r="E13557" t="str">
        <f t="shared" si="5027"/>
        <v>CA</v>
      </c>
      <c r="F13557" t="str">
        <f>T("935556104")</f>
        <v>935556104</v>
      </c>
      <c r="G13557" t="str">
        <f>T("1 ADMINISTRATION CIRCLE")</f>
        <v>1 ADMINISTRATION CIRCLE</v>
      </c>
      <c r="H13557" t="str">
        <f>T("STOP 1112")</f>
        <v>STOP 1112</v>
      </c>
      <c r="I13557" t="str">
        <f>T("RIDGECREST")</f>
        <v>RIDGECREST</v>
      </c>
      <c r="J13557" t="str">
        <f t="shared" si="5028"/>
        <v>CA</v>
      </c>
      <c r="K13557" t="str">
        <f>T("000000000000000000")</f>
        <v>000000000000000000</v>
      </c>
      <c r="L13557" t="str">
        <f>T("7609396410")</f>
        <v>7609396410</v>
      </c>
    </row>
    <row r="13558" spans="1:12" x14ac:dyDescent="0.35">
      <c r="A13558" t="str">
        <f t="shared" si="5029"/>
        <v>NMC CWD</v>
      </c>
      <c r="B13558" t="str">
        <f>T("1 ADMINISTRATION CIR")</f>
        <v>1 ADMINISTRATION CIR</v>
      </c>
      <c r="C13558" t="str">
        <f>T("CODE N42N2/STOP 1112")</f>
        <v>CODE N42N2/STOP 1112</v>
      </c>
      <c r="D13558" t="str">
        <f>T("RIDGECREST")</f>
        <v>RIDGECREST</v>
      </c>
      <c r="E13558" t="str">
        <f t="shared" si="5027"/>
        <v>CA</v>
      </c>
      <c r="F13558" t="str">
        <f>T("935556104")</f>
        <v>935556104</v>
      </c>
      <c r="G13558" t="str">
        <f>T("1 ADMINISTRATION CIRCLE")</f>
        <v>1 ADMINISTRATION CIRCLE</v>
      </c>
      <c r="H13558" t="str">
        <f>T("STOP 1112")</f>
        <v>STOP 1112</v>
      </c>
      <c r="I13558" t="str">
        <f>T("RIDGECREST")</f>
        <v>RIDGECREST</v>
      </c>
      <c r="J13558" t="str">
        <f t="shared" si="5028"/>
        <v>CA</v>
      </c>
      <c r="K13558" t="str">
        <f>T("7609396110")</f>
        <v>7609396110</v>
      </c>
      <c r="L13558" t="str">
        <f>T("7609396108")</f>
        <v>7609396108</v>
      </c>
    </row>
    <row r="13559" spans="1:12" x14ac:dyDescent="0.35">
      <c r="A13559" t="str">
        <f t="shared" si="5029"/>
        <v>NMC CWD</v>
      </c>
      <c r="B13559" t="str">
        <f>T("1 ADMINISTRATION CIR")</f>
        <v>1 ADMINISTRATION CIR</v>
      </c>
      <c r="C13559" t="str">
        <f>T("CODE N42N2/STOP 1112")</f>
        <v>CODE N42N2/STOP 1112</v>
      </c>
      <c r="D13559" t="str">
        <f>T("RIDGECREST")</f>
        <v>RIDGECREST</v>
      </c>
      <c r="E13559" t="str">
        <f t="shared" si="5027"/>
        <v>CA</v>
      </c>
      <c r="F13559" t="str">
        <f>T("935556104")</f>
        <v>935556104</v>
      </c>
      <c r="G13559" t="str">
        <f>T("1 ADMINISTRATION CIRCLE")</f>
        <v>1 ADMINISTRATION CIRCLE</v>
      </c>
      <c r="H13559" t="str">
        <f>T("STOP 1112")</f>
        <v>STOP 1112</v>
      </c>
      <c r="I13559" t="str">
        <f>T("RIDGECREST")</f>
        <v>RIDGECREST</v>
      </c>
      <c r="J13559" t="str">
        <f t="shared" si="5028"/>
        <v>CA</v>
      </c>
      <c r="K13559" t="str">
        <f>T("7609396110")</f>
        <v>7609396110</v>
      </c>
      <c r="L13559" t="str">
        <f>T("7609396242")</f>
        <v>7609396242</v>
      </c>
    </row>
    <row r="13560" spans="1:12" x14ac:dyDescent="0.35">
      <c r="A13560" t="str">
        <f t="shared" si="5029"/>
        <v>NMC CWD</v>
      </c>
      <c r="B13560" t="str">
        <f>T("100 INDIAN ISLAND RD")</f>
        <v>100 INDIAN ISLAND RD</v>
      </c>
      <c r="C13560" t="str">
        <f>T("BLDG 69")</f>
        <v>BLDG 69</v>
      </c>
      <c r="D13560" t="str">
        <f>T("PORT HADLOCK")</f>
        <v>PORT HADLOCK</v>
      </c>
      <c r="E13560" t="str">
        <f>T("WA")</f>
        <v>WA</v>
      </c>
      <c r="F13560" t="str">
        <f>T("983399723")</f>
        <v>983399723</v>
      </c>
      <c r="G13560" t="str">
        <f>T("100 INDIAN ISLAND RD")</f>
        <v>100 INDIAN ISLAND RD</v>
      </c>
      <c r="H13560" t="str">
        <f>T("BLDG 69")</f>
        <v>BLDG 69</v>
      </c>
      <c r="I13560" t="str">
        <f>T("PORT HADLOCK")</f>
        <v>PORT HADLOCK</v>
      </c>
      <c r="J13560" t="str">
        <f>T("WA")</f>
        <v>WA</v>
      </c>
      <c r="K13560" t="str">
        <f>T("3603965392")</f>
        <v>3603965392</v>
      </c>
      <c r="L13560" t="str">
        <f>T("3603965365")</f>
        <v>3603965365</v>
      </c>
    </row>
    <row r="13561" spans="1:12" x14ac:dyDescent="0.35">
      <c r="A13561" t="str">
        <f t="shared" si="5029"/>
        <v>NMC CWD</v>
      </c>
      <c r="B13561" t="str">
        <f>T("100 INDIAN ISLAND RD")</f>
        <v>100 INDIAN ISLAND RD</v>
      </c>
      <c r="C13561" t="str">
        <f>T("BLDG 69")</f>
        <v>BLDG 69</v>
      </c>
      <c r="D13561" t="str">
        <f>T("PORT HADLOCK")</f>
        <v>PORT HADLOCK</v>
      </c>
      <c r="E13561" t="str">
        <f>T("WA")</f>
        <v>WA</v>
      </c>
      <c r="F13561" t="str">
        <f>T("983399723")</f>
        <v>983399723</v>
      </c>
      <c r="G13561" t="str">
        <f>T("100 INDIAN ISLAND ROAD BLDG 70")</f>
        <v>100 INDIAN ISLAND ROAD BLDG 70</v>
      </c>
      <c r="H13561" t="str">
        <f>T("")</f>
        <v/>
      </c>
      <c r="I13561" t="str">
        <f>T("PORT HADLOCK")</f>
        <v>PORT HADLOCK</v>
      </c>
      <c r="J13561" t="str">
        <f>T("WA")</f>
        <v>WA</v>
      </c>
      <c r="K13561" t="str">
        <f>T("3603965392")</f>
        <v>3603965392</v>
      </c>
      <c r="L13561" t="str">
        <f>T("3603965362")</f>
        <v>3603965362</v>
      </c>
    </row>
    <row r="13562" spans="1:12" x14ac:dyDescent="0.35">
      <c r="A13562" t="str">
        <f t="shared" si="5029"/>
        <v>NMC CWD</v>
      </c>
      <c r="B13562" t="str">
        <f>T("100 INDIAN ISLAND RD")</f>
        <v>100 INDIAN ISLAND RD</v>
      </c>
      <c r="C13562" t="str">
        <f>T("BLDG 69")</f>
        <v>BLDG 69</v>
      </c>
      <c r="D13562" t="str">
        <f>T("PORT HADLOCK")</f>
        <v>PORT HADLOCK</v>
      </c>
      <c r="E13562" t="str">
        <f>T("WA")</f>
        <v>WA</v>
      </c>
      <c r="F13562" t="str">
        <f>T("983399723")</f>
        <v>983399723</v>
      </c>
      <c r="G13562" t="str">
        <f>T("100 INDIAN ISLAND ROAD BLDG 70")</f>
        <v>100 INDIAN ISLAND ROAD BLDG 70</v>
      </c>
      <c r="H13562" t="str">
        <f>T("")</f>
        <v/>
      </c>
      <c r="I13562" t="str">
        <f>T("PORT HADLOCK")</f>
        <v>PORT HADLOCK</v>
      </c>
      <c r="J13562" t="str">
        <f>T("WA")</f>
        <v>WA</v>
      </c>
      <c r="K13562" t="str">
        <f>T("3603967197")</f>
        <v>3603967197</v>
      </c>
      <c r="L13562" t="str">
        <f>T("3603965222")</f>
        <v>3603965222</v>
      </c>
    </row>
    <row r="13563" spans="1:12" x14ac:dyDescent="0.35">
      <c r="A13563" t="str">
        <f t="shared" si="5029"/>
        <v>NMC CWD</v>
      </c>
      <c r="B13563" t="str">
        <f>T("1080 LEXINGTON ST")</f>
        <v>1080 LEXINGTON ST</v>
      </c>
      <c r="C13563" t="str">
        <f>T("BLDG 100")</f>
        <v>BLDG 100</v>
      </c>
      <c r="D13563" t="str">
        <f>T("OAK HARBOR")</f>
        <v>OAK HARBOR</v>
      </c>
      <c r="E13563" t="str">
        <f>T("WA")</f>
        <v>WA</v>
      </c>
      <c r="F13563" t="str">
        <f>T("982784959")</f>
        <v>982784959</v>
      </c>
      <c r="G13563" t="str">
        <f>T("1080 LEXINGTON ST")</f>
        <v>1080 LEXINGTON ST</v>
      </c>
      <c r="H13563" t="str">
        <f>T("BLDG 100")</f>
        <v>BLDG 100</v>
      </c>
      <c r="I13563" t="str">
        <f>T("OAK HARBOR")</f>
        <v>OAK HARBOR</v>
      </c>
      <c r="J13563" t="str">
        <f>T("WA")</f>
        <v>WA</v>
      </c>
      <c r="K13563" t="str">
        <f>T("000000000000000000")</f>
        <v>000000000000000000</v>
      </c>
      <c r="L13563" t="str">
        <f>T("3602573941")</f>
        <v>3602573941</v>
      </c>
    </row>
    <row r="13564" spans="1:12" x14ac:dyDescent="0.35">
      <c r="A13564" t="str">
        <f t="shared" si="5029"/>
        <v>NMC CWD</v>
      </c>
      <c r="B13564" t="str">
        <f>T("1080 LEXINGTON ST")</f>
        <v>1080 LEXINGTON ST</v>
      </c>
      <c r="C13564" t="str">
        <f>T("BLDG 100")</f>
        <v>BLDG 100</v>
      </c>
      <c r="D13564" t="str">
        <f>T("OAK HARBOR")</f>
        <v>OAK HARBOR</v>
      </c>
      <c r="E13564" t="str">
        <f>T("WA")</f>
        <v>WA</v>
      </c>
      <c r="F13564" t="str">
        <f>T("982784959")</f>
        <v>982784959</v>
      </c>
      <c r="G13564" t="str">
        <f>T("1080 W LEXINGTON ST")</f>
        <v>1080 W LEXINGTON ST</v>
      </c>
      <c r="H13564" t="str">
        <f>T("BLDG 100")</f>
        <v>BLDG 100</v>
      </c>
      <c r="I13564" t="str">
        <f>T("OAK HARBOR")</f>
        <v>OAK HARBOR</v>
      </c>
      <c r="J13564" t="str">
        <f>T("WA")</f>
        <v>WA</v>
      </c>
      <c r="K13564" t="str">
        <f>T("3602573203")</f>
        <v>3602573203</v>
      </c>
      <c r="L13564" t="str">
        <f>T("3602571591")</f>
        <v>3602571591</v>
      </c>
    </row>
    <row r="13565" spans="1:12" x14ac:dyDescent="0.35">
      <c r="A13565" t="str">
        <f t="shared" si="5029"/>
        <v>NMC CWD</v>
      </c>
      <c r="B13565" t="str">
        <f>T("140 SYLVESTER RD")</f>
        <v>140 SYLVESTER RD</v>
      </c>
      <c r="C13565" t="str">
        <f>T("BLDG 263")</f>
        <v>BLDG 263</v>
      </c>
      <c r="D13565" t="str">
        <f>T("SAN DIEGO")</f>
        <v>SAN DIEGO</v>
      </c>
      <c r="E13565" t="str">
        <f t="shared" ref="E13565:E13592" si="5030">T("CA")</f>
        <v>CA</v>
      </c>
      <c r="F13565" t="str">
        <f>T("921063521")</f>
        <v>921063521</v>
      </c>
      <c r="G13565" t="str">
        <f>T("140 SYLVESTER RD")</f>
        <v>140 SYLVESTER RD</v>
      </c>
      <c r="H13565" t="str">
        <f>T("BLDG 263")</f>
        <v>BLDG 263</v>
      </c>
      <c r="I13565" t="str">
        <f>T("SAN DIEGO")</f>
        <v>SAN DIEGO</v>
      </c>
      <c r="J13565" t="str">
        <f t="shared" ref="J13565:J13592" si="5031">T("CA")</f>
        <v>CA</v>
      </c>
      <c r="K13565" t="str">
        <f>T("6195530818")</f>
        <v>6195530818</v>
      </c>
      <c r="L13565" t="str">
        <f>T("6195530789")</f>
        <v>6195530789</v>
      </c>
    </row>
    <row r="13566" spans="1:12" x14ac:dyDescent="0.35">
      <c r="A13566" t="str">
        <f t="shared" si="5029"/>
        <v>NMC CWD</v>
      </c>
      <c r="B13566" t="str">
        <f>T("140 SYLVESTER RD")</f>
        <v>140 SYLVESTER RD</v>
      </c>
      <c r="C13566" t="str">
        <f>T("BLDG 263")</f>
        <v>BLDG 263</v>
      </c>
      <c r="D13566" t="str">
        <f>T("SAN DIEGO")</f>
        <v>SAN DIEGO</v>
      </c>
      <c r="E13566" t="str">
        <f t="shared" si="5030"/>
        <v>CA</v>
      </c>
      <c r="F13566" t="str">
        <f>T("921063521")</f>
        <v>921063521</v>
      </c>
      <c r="G13566" t="str">
        <f>T("140 SYLVESTER RD BLDG 263")</f>
        <v>140 SYLVESTER RD BLDG 263</v>
      </c>
      <c r="H13566" t="str">
        <f>T("")</f>
        <v/>
      </c>
      <c r="I13566" t="str">
        <f>T("SAN DIEGO")</f>
        <v>SAN DIEGO</v>
      </c>
      <c r="J13566" t="str">
        <f t="shared" si="5031"/>
        <v>CA</v>
      </c>
      <c r="K13566" t="str">
        <f>T("6195530818")</f>
        <v>6195530818</v>
      </c>
      <c r="L13566" t="str">
        <f>T("6195320668")</f>
        <v>6195320668</v>
      </c>
    </row>
    <row r="13567" spans="1:12" x14ac:dyDescent="0.35">
      <c r="A13567" t="str">
        <f t="shared" si="5029"/>
        <v>NMC CWD</v>
      </c>
      <c r="B13567" t="str">
        <f>T("1605 3RD STREET")</f>
        <v>1605 3RD STREET</v>
      </c>
      <c r="C13567" t="str">
        <f>T("BLDG 529")</f>
        <v>BLDG 529</v>
      </c>
      <c r="D13567" t="str">
        <f>T("EL CENTRO")</f>
        <v>EL CENTRO</v>
      </c>
      <c r="E13567" t="str">
        <f t="shared" si="5030"/>
        <v>CA</v>
      </c>
      <c r="F13567" t="str">
        <f>T("922435041")</f>
        <v>922435041</v>
      </c>
      <c r="G13567" t="str">
        <f>T("1605 3RD STREET")</f>
        <v>1605 3RD STREET</v>
      </c>
      <c r="H13567" t="str">
        <f>T("BLDG 529")</f>
        <v>BLDG 529</v>
      </c>
      <c r="I13567" t="str">
        <f>T("EL CENTRO")</f>
        <v>EL CENTRO</v>
      </c>
      <c r="J13567" t="str">
        <f t="shared" si="5031"/>
        <v>CA</v>
      </c>
      <c r="K13567" t="str">
        <f>T("7603392692")</f>
        <v>7603392692</v>
      </c>
      <c r="L13567" t="str">
        <f>T("7603392665")</f>
        <v>7603392665</v>
      </c>
    </row>
    <row r="13568" spans="1:12" x14ac:dyDescent="0.35">
      <c r="A13568" t="str">
        <f t="shared" si="5029"/>
        <v>NMC CWD</v>
      </c>
      <c r="B13568" t="str">
        <f>T("1605 3RD STREET")</f>
        <v>1605 3RD STREET</v>
      </c>
      <c r="C13568" t="str">
        <f>T("BLDG 529")</f>
        <v>BLDG 529</v>
      </c>
      <c r="D13568" t="str">
        <f>T("EL CENTRO")</f>
        <v>EL CENTRO</v>
      </c>
      <c r="E13568" t="str">
        <f t="shared" si="5030"/>
        <v>CA</v>
      </c>
      <c r="F13568" t="str">
        <f>T("922435041")</f>
        <v>922435041</v>
      </c>
      <c r="G13568" t="str">
        <f>T("1605 THIRD STREET")</f>
        <v>1605 THIRD STREET</v>
      </c>
      <c r="H13568" t="str">
        <f>T("BLDG 529")</f>
        <v>BLDG 529</v>
      </c>
      <c r="I13568" t="str">
        <f>T("EL CENTRO")</f>
        <v>EL CENTRO</v>
      </c>
      <c r="J13568" t="str">
        <f t="shared" si="5031"/>
        <v>CA</v>
      </c>
      <c r="K13568" t="str">
        <f>T("7603392692")</f>
        <v>7603392692</v>
      </c>
      <c r="L13568" t="str">
        <f>T("7603392606")</f>
        <v>7603392606</v>
      </c>
    </row>
    <row r="13569" spans="1:12" x14ac:dyDescent="0.35">
      <c r="A13569" t="str">
        <f t="shared" si="5029"/>
        <v>NMC CWD</v>
      </c>
      <c r="B13569" t="str">
        <f>T("311 MAIN STREET")</f>
        <v>311 MAIN STREET</v>
      </c>
      <c r="C13569" t="str">
        <f>T("BLDG 68")</f>
        <v>BLDG 68</v>
      </c>
      <c r="D13569" t="str">
        <f>T("PT MUGU NAWC")</f>
        <v>PT MUGU NAWC</v>
      </c>
      <c r="E13569" t="str">
        <f t="shared" si="5030"/>
        <v>CA</v>
      </c>
      <c r="F13569" t="str">
        <f>T("930430000")</f>
        <v>930430000</v>
      </c>
      <c r="G13569" t="str">
        <f>T("311 MAIN ROAD STE 1")</f>
        <v>311 MAIN ROAD STE 1</v>
      </c>
      <c r="H13569" t="str">
        <f>T("")</f>
        <v/>
      </c>
      <c r="I13569" t="str">
        <f>T("POINT MUGU NAWC")</f>
        <v>POINT MUGU NAWC</v>
      </c>
      <c r="J13569" t="str">
        <f t="shared" si="5031"/>
        <v>CA</v>
      </c>
      <c r="K13569" t="str">
        <f>T("8053234087")</f>
        <v>8053234087</v>
      </c>
      <c r="L13569" t="str">
        <f>T("8059897736")</f>
        <v>8059897736</v>
      </c>
    </row>
    <row r="13570" spans="1:12" x14ac:dyDescent="0.35">
      <c r="A13570" t="str">
        <f t="shared" si="5029"/>
        <v>NMC CWD</v>
      </c>
      <c r="B13570" t="str">
        <f>T("311 MAIN STREET")</f>
        <v>311 MAIN STREET</v>
      </c>
      <c r="C13570" t="str">
        <f>T("BLDG 68")</f>
        <v>BLDG 68</v>
      </c>
      <c r="D13570" t="str">
        <f>T("PT MUGU NAWC")</f>
        <v>PT MUGU NAWC</v>
      </c>
      <c r="E13570" t="str">
        <f t="shared" si="5030"/>
        <v>CA</v>
      </c>
      <c r="F13570" t="str">
        <f>T("930430000")</f>
        <v>930430000</v>
      </c>
      <c r="G13570" t="str">
        <f>T("311 MAIN STREET")</f>
        <v>311 MAIN STREET</v>
      </c>
      <c r="H13570" t="str">
        <f>T("BLDG 68")</f>
        <v>BLDG 68</v>
      </c>
      <c r="I13570" t="str">
        <f>T("PT MUGU NAWC")</f>
        <v>PT MUGU NAWC</v>
      </c>
      <c r="J13570" t="str">
        <f t="shared" si="5031"/>
        <v>CA</v>
      </c>
      <c r="K13570" t="str">
        <f>T("8059894087")</f>
        <v>8059894087</v>
      </c>
      <c r="L13570" t="str">
        <f>T("8059899801")</f>
        <v>8059899801</v>
      </c>
    </row>
    <row r="13571" spans="1:12" x14ac:dyDescent="0.35">
      <c r="A13571" t="str">
        <f t="shared" si="5029"/>
        <v>NMC CWD</v>
      </c>
      <c r="B13571" t="str">
        <f>T("700 AMMUNITION RD")</f>
        <v>700 AMMUNITION RD</v>
      </c>
      <c r="C13571" t="str">
        <f>T("BLDG 1")</f>
        <v>BLDG 1</v>
      </c>
      <c r="D13571" t="str">
        <f>T("FALLBROOK")</f>
        <v>FALLBROOK</v>
      </c>
      <c r="E13571" t="str">
        <f t="shared" si="5030"/>
        <v>CA</v>
      </c>
      <c r="F13571" t="str">
        <f>T("920283187")</f>
        <v>920283187</v>
      </c>
      <c r="G13571" t="str">
        <f>T("700 AMMUNITION RD")</f>
        <v>700 AMMUNITION RD</v>
      </c>
      <c r="H13571" t="str">
        <f>T("BLDG 1")</f>
        <v>BLDG 1</v>
      </c>
      <c r="I13571" t="str">
        <f>T("FALLBROOK")</f>
        <v>FALLBROOK</v>
      </c>
      <c r="J13571" t="str">
        <f t="shared" si="5031"/>
        <v>CA</v>
      </c>
      <c r="K13571" t="str">
        <f>T("7607313535")</f>
        <v>7607313535</v>
      </c>
      <c r="L13571" t="str">
        <f>T("7607313493")</f>
        <v>7607313493</v>
      </c>
    </row>
    <row r="13572" spans="1:12" x14ac:dyDescent="0.35">
      <c r="A13572" t="str">
        <f t="shared" si="5029"/>
        <v>NMC CWD</v>
      </c>
      <c r="B13572" t="str">
        <f>T("700 AMMUNITION RD")</f>
        <v>700 AMMUNITION RD</v>
      </c>
      <c r="C13572" t="str">
        <f>T("BLDG 1")</f>
        <v>BLDG 1</v>
      </c>
      <c r="D13572" t="str">
        <f>T("FALLBROOK")</f>
        <v>FALLBROOK</v>
      </c>
      <c r="E13572" t="str">
        <f t="shared" si="5030"/>
        <v>CA</v>
      </c>
      <c r="F13572" t="str">
        <f>T("920283187")</f>
        <v>920283187</v>
      </c>
      <c r="G13572" t="str">
        <f>T("700 AMMUNITION RD")</f>
        <v>700 AMMUNITION RD</v>
      </c>
      <c r="H13572" t="str">
        <f>T("BLDG 1")</f>
        <v>BLDG 1</v>
      </c>
      <c r="I13572" t="str">
        <f>T("FALLBROOK")</f>
        <v>FALLBROOK</v>
      </c>
      <c r="J13572" t="str">
        <f t="shared" si="5031"/>
        <v>CA</v>
      </c>
      <c r="K13572" t="str">
        <f>T("7607313535")</f>
        <v>7607313535</v>
      </c>
      <c r="L13572" t="str">
        <f>T("7607313635")</f>
        <v>7607313635</v>
      </c>
    </row>
    <row r="13573" spans="1:12" x14ac:dyDescent="0.35">
      <c r="A13573" t="str">
        <f t="shared" si="5029"/>
        <v>NMC CWD</v>
      </c>
      <c r="B13573" t="str">
        <f>T("700 AMUNITION RD")</f>
        <v>700 AMUNITION RD</v>
      </c>
      <c r="C13573" t="str">
        <f t="shared" ref="C13573:C13578" si="5032">T("")</f>
        <v/>
      </c>
      <c r="D13573" t="str">
        <f>T("FALLBROOK")</f>
        <v>FALLBROOK</v>
      </c>
      <c r="E13573" t="str">
        <f t="shared" si="5030"/>
        <v>CA</v>
      </c>
      <c r="F13573" t="str">
        <f>T("920283187")</f>
        <v>920283187</v>
      </c>
      <c r="G13573" t="str">
        <f>T("700 AMMUNITION RD")</f>
        <v>700 AMMUNITION RD</v>
      </c>
      <c r="H13573" t="str">
        <f>T("ALM CODE N42K42 BLDG 380")</f>
        <v>ALM CODE N42K42 BLDG 380</v>
      </c>
      <c r="I13573" t="str">
        <f>T("FALLBROOK")</f>
        <v>FALLBROOK</v>
      </c>
      <c r="J13573" t="str">
        <f t="shared" si="5031"/>
        <v>CA</v>
      </c>
      <c r="K13573" t="str">
        <f>T("000000000000000000")</f>
        <v>000000000000000000</v>
      </c>
      <c r="L13573" t="str">
        <f>T("7607313823")</f>
        <v>7607313823</v>
      </c>
    </row>
    <row r="13574" spans="1:12" x14ac:dyDescent="0.35">
      <c r="A13574" t="str">
        <f t="shared" si="5029"/>
        <v>NMC CWD</v>
      </c>
      <c r="B13574" t="str">
        <f>T("700 AMUNITION RD")</f>
        <v>700 AMUNITION RD</v>
      </c>
      <c r="C13574" t="str">
        <f t="shared" si="5032"/>
        <v/>
      </c>
      <c r="D13574" t="str">
        <f>T("FALLBROOK")</f>
        <v>FALLBROOK</v>
      </c>
      <c r="E13574" t="str">
        <f t="shared" si="5030"/>
        <v>CA</v>
      </c>
      <c r="F13574" t="str">
        <f>T("920283187")</f>
        <v>920283187</v>
      </c>
      <c r="G13574" t="str">
        <f>T("700 AMMUNITION ROAD")</f>
        <v>700 AMMUNITION ROAD</v>
      </c>
      <c r="H13574" t="str">
        <f>T("ALM SECT CDE N42K42 BLDG PF380")</f>
        <v>ALM SECT CDE N42K42 BLDG PF380</v>
      </c>
      <c r="I13574" t="str">
        <f>T("FALLBROOK")</f>
        <v>FALLBROOK</v>
      </c>
      <c r="J13574" t="str">
        <f t="shared" si="5031"/>
        <v>CA</v>
      </c>
      <c r="K13574" t="str">
        <f>T("000000000000000000")</f>
        <v>000000000000000000</v>
      </c>
      <c r="L13574" t="str">
        <f>T("7607313801")</f>
        <v>7607313801</v>
      </c>
    </row>
    <row r="13575" spans="1:12" x14ac:dyDescent="0.35">
      <c r="A13575" t="str">
        <f t="shared" si="5029"/>
        <v>NMC CWD</v>
      </c>
      <c r="B13575" t="str">
        <f>T("700 AMUNITION RD")</f>
        <v>700 AMUNITION RD</v>
      </c>
      <c r="C13575" t="str">
        <f t="shared" si="5032"/>
        <v/>
      </c>
      <c r="D13575" t="str">
        <f>T("FALLBROOK")</f>
        <v>FALLBROOK</v>
      </c>
      <c r="E13575" t="str">
        <f t="shared" si="5030"/>
        <v>CA</v>
      </c>
      <c r="F13575" t="str">
        <f>T("920283187")</f>
        <v>920283187</v>
      </c>
      <c r="G13575" t="str">
        <f>T("700 AMUNITION RD")</f>
        <v>700 AMUNITION RD</v>
      </c>
      <c r="H13575" t="str">
        <f t="shared" ref="H13575:H13581" si="5033">T("")</f>
        <v/>
      </c>
      <c r="I13575" t="str">
        <f>T("FALLBROOK")</f>
        <v>FALLBROOK</v>
      </c>
      <c r="J13575" t="str">
        <f t="shared" si="5031"/>
        <v>CA</v>
      </c>
      <c r="K13575" t="str">
        <f>T("7607313582")</f>
        <v>7607313582</v>
      </c>
      <c r="L13575" t="str">
        <f>T("7607313491")</f>
        <v>7607313491</v>
      </c>
    </row>
    <row r="13576" spans="1:12" x14ac:dyDescent="0.35">
      <c r="A13576" t="str">
        <f t="shared" si="5029"/>
        <v>NMC CWD</v>
      </c>
      <c r="B13576" t="str">
        <f t="shared" ref="B13576:B13592" si="5034">T("800 SEAL BEACH BLVD")</f>
        <v>800 SEAL BEACH BLVD</v>
      </c>
      <c r="C13576" t="str">
        <f t="shared" si="5032"/>
        <v/>
      </c>
      <c r="D13576" t="str">
        <f t="shared" ref="D13576:D13592" si="5035">T("SEAL BEACH")</f>
        <v>SEAL BEACH</v>
      </c>
      <c r="E13576" t="str">
        <f t="shared" si="5030"/>
        <v>CA</v>
      </c>
      <c r="F13576" t="str">
        <f t="shared" ref="F13576:F13592" si="5036">T("907405607")</f>
        <v>907405607</v>
      </c>
      <c r="G13576" t="str">
        <f>T("3455 SENN RD BLDG 72")</f>
        <v>3455 SENN RD BLDG 72</v>
      </c>
      <c r="H13576" t="str">
        <f t="shared" si="5033"/>
        <v/>
      </c>
      <c r="I13576" t="str">
        <f>T("SAN DIEGO")</f>
        <v>SAN DIEGO</v>
      </c>
      <c r="J13576" t="str">
        <f t="shared" si="5031"/>
        <v>CA</v>
      </c>
      <c r="K13576" t="str">
        <f>T("6195249128")</f>
        <v>6195249128</v>
      </c>
      <c r="L13576" t="str">
        <f>T("6195455170")</f>
        <v>6195455170</v>
      </c>
    </row>
    <row r="13577" spans="1:12" x14ac:dyDescent="0.35">
      <c r="A13577" t="str">
        <f t="shared" si="5029"/>
        <v>NMC CWD</v>
      </c>
      <c r="B13577" t="str">
        <f t="shared" si="5034"/>
        <v>800 SEAL BEACH BLVD</v>
      </c>
      <c r="C13577" t="str">
        <f t="shared" si="5032"/>
        <v/>
      </c>
      <c r="D13577" t="str">
        <f t="shared" si="5035"/>
        <v>SEAL BEACH</v>
      </c>
      <c r="E13577" t="str">
        <f t="shared" si="5030"/>
        <v>CA</v>
      </c>
      <c r="F13577" t="str">
        <f t="shared" si="5036"/>
        <v>907405607</v>
      </c>
      <c r="G13577" t="str">
        <f>T("3455 SENN RD BLDG 72")</f>
        <v>3455 SENN RD BLDG 72</v>
      </c>
      <c r="H13577" t="str">
        <f t="shared" si="5033"/>
        <v/>
      </c>
      <c r="I13577" t="str">
        <f>T("SAN DIEGO")</f>
        <v>SAN DIEGO</v>
      </c>
      <c r="J13577" t="str">
        <f t="shared" si="5031"/>
        <v>CA</v>
      </c>
      <c r="K13577" t="str">
        <f>T("6195561438")</f>
        <v>6195561438</v>
      </c>
      <c r="L13577" t="str">
        <f>T("6195565700")</f>
        <v>6195565700</v>
      </c>
    </row>
    <row r="13578" spans="1:12" x14ac:dyDescent="0.35">
      <c r="A13578" t="str">
        <f t="shared" si="5029"/>
        <v>NMC CWD</v>
      </c>
      <c r="B13578" t="str">
        <f t="shared" si="5034"/>
        <v>800 SEAL BEACH BLVD</v>
      </c>
      <c r="C13578" t="str">
        <f t="shared" si="5032"/>
        <v/>
      </c>
      <c r="D13578" t="str">
        <f t="shared" si="5035"/>
        <v>SEAL BEACH</v>
      </c>
      <c r="E13578" t="str">
        <f t="shared" si="5030"/>
        <v>CA</v>
      </c>
      <c r="F13578" t="str">
        <f t="shared" si="5036"/>
        <v>907405607</v>
      </c>
      <c r="G13578" t="str">
        <f t="shared" ref="G13578:G13592" si="5037">T("800 SEAL BEACH BLVD")</f>
        <v>800 SEAL BEACH BLVD</v>
      </c>
      <c r="H13578" t="str">
        <f t="shared" si="5033"/>
        <v/>
      </c>
      <c r="I13578" t="str">
        <f t="shared" ref="I13578:I13592" si="5038">T("SEAL BEACH")</f>
        <v>SEAL BEACH</v>
      </c>
      <c r="J13578" t="str">
        <f t="shared" si="5031"/>
        <v>CA</v>
      </c>
      <c r="K13578" t="str">
        <f>T("6195561438")</f>
        <v>6195561438</v>
      </c>
      <c r="L13578" t="str">
        <f>T("6195459402")</f>
        <v>6195459402</v>
      </c>
    </row>
    <row r="13579" spans="1:12" x14ac:dyDescent="0.35">
      <c r="A13579" t="str">
        <f t="shared" si="5029"/>
        <v>NMC CWD</v>
      </c>
      <c r="B13579" t="str">
        <f t="shared" si="5034"/>
        <v>800 SEAL BEACH BLVD</v>
      </c>
      <c r="C13579" t="str">
        <f t="shared" ref="C13579:C13585" si="5039">T("BLDG 110")</f>
        <v>BLDG 110</v>
      </c>
      <c r="D13579" t="str">
        <f t="shared" si="5035"/>
        <v>SEAL BEACH</v>
      </c>
      <c r="E13579" t="str">
        <f t="shared" si="5030"/>
        <v>CA</v>
      </c>
      <c r="F13579" t="str">
        <f t="shared" si="5036"/>
        <v>907405607</v>
      </c>
      <c r="G13579" t="str">
        <f t="shared" si="5037"/>
        <v>800 SEAL BEACH BLVD</v>
      </c>
      <c r="H13579" t="str">
        <f t="shared" si="5033"/>
        <v/>
      </c>
      <c r="I13579" t="str">
        <f t="shared" si="5038"/>
        <v>SEAL BEACH</v>
      </c>
      <c r="J13579" t="str">
        <f t="shared" si="5031"/>
        <v>CA</v>
      </c>
      <c r="K13579" t="str">
        <f>T("000000000000000000")</f>
        <v>000000000000000000</v>
      </c>
      <c r="L13579" t="str">
        <f>T("5626267066")</f>
        <v>5626267066</v>
      </c>
    </row>
    <row r="13580" spans="1:12" x14ac:dyDescent="0.35">
      <c r="A13580" t="str">
        <f t="shared" si="5029"/>
        <v>NMC CWD</v>
      </c>
      <c r="B13580" t="str">
        <f t="shared" si="5034"/>
        <v>800 SEAL BEACH BLVD</v>
      </c>
      <c r="C13580" t="str">
        <f t="shared" si="5039"/>
        <v>BLDG 110</v>
      </c>
      <c r="D13580" t="str">
        <f t="shared" si="5035"/>
        <v>SEAL BEACH</v>
      </c>
      <c r="E13580" t="str">
        <f t="shared" si="5030"/>
        <v>CA</v>
      </c>
      <c r="F13580" t="str">
        <f t="shared" si="5036"/>
        <v>907405607</v>
      </c>
      <c r="G13580" t="str">
        <f t="shared" si="5037"/>
        <v>800 SEAL BEACH BLVD</v>
      </c>
      <c r="H13580" t="str">
        <f t="shared" si="5033"/>
        <v/>
      </c>
      <c r="I13580" t="str">
        <f t="shared" si="5038"/>
        <v>SEAL BEACH</v>
      </c>
      <c r="J13580" t="str">
        <f t="shared" si="5031"/>
        <v>CA</v>
      </c>
      <c r="K13580" t="str">
        <f>T("000000000000000000")</f>
        <v>000000000000000000</v>
      </c>
      <c r="L13580" t="str">
        <f>T("5626267403")</f>
        <v>5626267403</v>
      </c>
    </row>
    <row r="13581" spans="1:12" x14ac:dyDescent="0.35">
      <c r="A13581" t="str">
        <f t="shared" si="5029"/>
        <v>NMC CWD</v>
      </c>
      <c r="B13581" t="str">
        <f t="shared" si="5034"/>
        <v>800 SEAL BEACH BLVD</v>
      </c>
      <c r="C13581" t="str">
        <f t="shared" si="5039"/>
        <v>BLDG 110</v>
      </c>
      <c r="D13581" t="str">
        <f t="shared" si="5035"/>
        <v>SEAL BEACH</v>
      </c>
      <c r="E13581" t="str">
        <f t="shared" si="5030"/>
        <v>CA</v>
      </c>
      <c r="F13581" t="str">
        <f t="shared" si="5036"/>
        <v>907405607</v>
      </c>
      <c r="G13581" t="str">
        <f t="shared" si="5037"/>
        <v>800 SEAL BEACH BLVD</v>
      </c>
      <c r="H13581" t="str">
        <f t="shared" si="5033"/>
        <v/>
      </c>
      <c r="I13581" t="str">
        <f t="shared" si="5038"/>
        <v>SEAL BEACH</v>
      </c>
      <c r="J13581" t="str">
        <f t="shared" si="5031"/>
        <v>CA</v>
      </c>
      <c r="K13581" t="str">
        <f>T("000000000000000000")</f>
        <v>000000000000000000</v>
      </c>
      <c r="L13581" t="str">
        <f>T("5626267567")</f>
        <v>5626267567</v>
      </c>
    </row>
    <row r="13582" spans="1:12" x14ac:dyDescent="0.35">
      <c r="A13582" t="str">
        <f t="shared" si="5029"/>
        <v>NMC CWD</v>
      </c>
      <c r="B13582" t="str">
        <f t="shared" si="5034"/>
        <v>800 SEAL BEACH BLVD</v>
      </c>
      <c r="C13582" t="str">
        <f t="shared" si="5039"/>
        <v>BLDG 110</v>
      </c>
      <c r="D13582" t="str">
        <f t="shared" si="5035"/>
        <v>SEAL BEACH</v>
      </c>
      <c r="E13582" t="str">
        <f t="shared" si="5030"/>
        <v>CA</v>
      </c>
      <c r="F13582" t="str">
        <f t="shared" si="5036"/>
        <v>907405607</v>
      </c>
      <c r="G13582" t="str">
        <f t="shared" si="5037"/>
        <v>800 SEAL BEACH BLVD</v>
      </c>
      <c r="H13582" t="str">
        <f>T("BLDG 110")</f>
        <v>BLDG 110</v>
      </c>
      <c r="I13582" t="str">
        <f t="shared" si="5038"/>
        <v>SEAL BEACH</v>
      </c>
      <c r="J13582" t="str">
        <f t="shared" si="5031"/>
        <v>CA</v>
      </c>
      <c r="K13582" t="str">
        <f>T("000000000000000000")</f>
        <v>000000000000000000</v>
      </c>
      <c r="L13582" t="str">
        <f>T("5626267737")</f>
        <v>5626267737</v>
      </c>
    </row>
    <row r="13583" spans="1:12" x14ac:dyDescent="0.35">
      <c r="A13583" t="str">
        <f t="shared" si="5029"/>
        <v>NMC CWD</v>
      </c>
      <c r="B13583" t="str">
        <f t="shared" si="5034"/>
        <v>800 SEAL BEACH BLVD</v>
      </c>
      <c r="C13583" t="str">
        <f t="shared" si="5039"/>
        <v>BLDG 110</v>
      </c>
      <c r="D13583" t="str">
        <f t="shared" si="5035"/>
        <v>SEAL BEACH</v>
      </c>
      <c r="E13583" t="str">
        <f t="shared" si="5030"/>
        <v>CA</v>
      </c>
      <c r="F13583" t="str">
        <f t="shared" si="5036"/>
        <v>907405607</v>
      </c>
      <c r="G13583" t="str">
        <f t="shared" si="5037"/>
        <v>800 SEAL BEACH BLVD</v>
      </c>
      <c r="H13583" t="str">
        <f>T("BLDG 110")</f>
        <v>BLDG 110</v>
      </c>
      <c r="I13583" t="str">
        <f t="shared" si="5038"/>
        <v>SEAL BEACH</v>
      </c>
      <c r="J13583" t="str">
        <f t="shared" si="5031"/>
        <v>CA</v>
      </c>
      <c r="K13583" t="str">
        <f>T("5626267212")</f>
        <v>5626267212</v>
      </c>
      <c r="L13583" t="str">
        <f>T("5626267189")</f>
        <v>5626267189</v>
      </c>
    </row>
    <row r="13584" spans="1:12" x14ac:dyDescent="0.35">
      <c r="A13584" t="str">
        <f t="shared" si="5029"/>
        <v>NMC CWD</v>
      </c>
      <c r="B13584" t="str">
        <f t="shared" si="5034"/>
        <v>800 SEAL BEACH BLVD</v>
      </c>
      <c r="C13584" t="str">
        <f t="shared" si="5039"/>
        <v>BLDG 110</v>
      </c>
      <c r="D13584" t="str">
        <f t="shared" si="5035"/>
        <v>SEAL BEACH</v>
      </c>
      <c r="E13584" t="str">
        <f t="shared" si="5030"/>
        <v>CA</v>
      </c>
      <c r="F13584" t="str">
        <f t="shared" si="5036"/>
        <v>907405607</v>
      </c>
      <c r="G13584" t="str">
        <f t="shared" si="5037"/>
        <v>800 SEAL BEACH BLVD</v>
      </c>
      <c r="H13584" t="str">
        <f>T("BLDG 110")</f>
        <v>BLDG 110</v>
      </c>
      <c r="I13584" t="str">
        <f t="shared" si="5038"/>
        <v>SEAL BEACH</v>
      </c>
      <c r="J13584" t="str">
        <f t="shared" si="5031"/>
        <v>CA</v>
      </c>
      <c r="K13584" t="str">
        <f>T("5626267212")</f>
        <v>5626267212</v>
      </c>
      <c r="L13584" t="str">
        <f>T("5626267811")</f>
        <v>5626267811</v>
      </c>
    </row>
    <row r="13585" spans="1:12" x14ac:dyDescent="0.35">
      <c r="A13585" t="str">
        <f t="shared" si="5029"/>
        <v>NMC CWD</v>
      </c>
      <c r="B13585" t="str">
        <f t="shared" si="5034"/>
        <v>800 SEAL BEACH BLVD</v>
      </c>
      <c r="C13585" t="str">
        <f t="shared" si="5039"/>
        <v>BLDG 110</v>
      </c>
      <c r="D13585" t="str">
        <f t="shared" si="5035"/>
        <v>SEAL BEACH</v>
      </c>
      <c r="E13585" t="str">
        <f t="shared" si="5030"/>
        <v>CA</v>
      </c>
      <c r="F13585" t="str">
        <f t="shared" si="5036"/>
        <v>907405607</v>
      </c>
      <c r="G13585" t="str">
        <f t="shared" si="5037"/>
        <v>800 SEAL BEACH BLVD</v>
      </c>
      <c r="H13585" t="str">
        <f>T("BLDG 110")</f>
        <v>BLDG 110</v>
      </c>
      <c r="I13585" t="str">
        <f t="shared" si="5038"/>
        <v>SEAL BEACH</v>
      </c>
      <c r="J13585" t="str">
        <f t="shared" si="5031"/>
        <v>CA</v>
      </c>
      <c r="K13585" t="str">
        <f>T("5626267750")</f>
        <v>5626267750</v>
      </c>
      <c r="L13585" t="str">
        <f>T("5626266058")</f>
        <v>5626266058</v>
      </c>
    </row>
    <row r="13586" spans="1:12" x14ac:dyDescent="0.35">
      <c r="A13586" t="str">
        <f t="shared" si="5029"/>
        <v>NMC CWD</v>
      </c>
      <c r="B13586" t="str">
        <f t="shared" si="5034"/>
        <v>800 SEAL BEACH BLVD</v>
      </c>
      <c r="C13586" t="str">
        <f>T("BLDG 78")</f>
        <v>BLDG 78</v>
      </c>
      <c r="D13586" t="str">
        <f t="shared" si="5035"/>
        <v>SEAL BEACH</v>
      </c>
      <c r="E13586" t="str">
        <f t="shared" si="5030"/>
        <v>CA</v>
      </c>
      <c r="F13586" t="str">
        <f t="shared" si="5036"/>
        <v>907405607</v>
      </c>
      <c r="G13586" t="str">
        <f t="shared" si="5037"/>
        <v>800 SEAL BEACH BLVD</v>
      </c>
      <c r="H13586" t="str">
        <f>T("")</f>
        <v/>
      </c>
      <c r="I13586" t="str">
        <f t="shared" si="5038"/>
        <v>SEAL BEACH</v>
      </c>
      <c r="J13586" t="str">
        <f t="shared" si="5031"/>
        <v>CA</v>
      </c>
      <c r="K13586" t="str">
        <f>T("5626267225")</f>
        <v>5626267225</v>
      </c>
      <c r="L13586" t="str">
        <f>T("5626267056")</f>
        <v>5626267056</v>
      </c>
    </row>
    <row r="13587" spans="1:12" x14ac:dyDescent="0.35">
      <c r="A13587" t="str">
        <f t="shared" si="5029"/>
        <v>NMC CWD</v>
      </c>
      <c r="B13587" t="str">
        <f t="shared" si="5034"/>
        <v>800 SEAL BEACH BLVD</v>
      </c>
      <c r="C13587" t="str">
        <f>T("BLDG 78")</f>
        <v>BLDG 78</v>
      </c>
      <c r="D13587" t="str">
        <f t="shared" si="5035"/>
        <v>SEAL BEACH</v>
      </c>
      <c r="E13587" t="str">
        <f t="shared" si="5030"/>
        <v>CA</v>
      </c>
      <c r="F13587" t="str">
        <f t="shared" si="5036"/>
        <v>907405607</v>
      </c>
      <c r="G13587" t="str">
        <f t="shared" si="5037"/>
        <v>800 SEAL BEACH BLVD</v>
      </c>
      <c r="H13587" t="str">
        <f>T("BLDG 78")</f>
        <v>BLDG 78</v>
      </c>
      <c r="I13587" t="str">
        <f t="shared" si="5038"/>
        <v>SEAL BEACH</v>
      </c>
      <c r="J13587" t="str">
        <f t="shared" si="5031"/>
        <v>CA</v>
      </c>
      <c r="K13587" t="str">
        <f>T("5626267083")</f>
        <v>5626267083</v>
      </c>
      <c r="L13587" t="str">
        <f>T("5626267066")</f>
        <v>5626267066</v>
      </c>
    </row>
    <row r="13588" spans="1:12" x14ac:dyDescent="0.35">
      <c r="A13588" t="str">
        <f t="shared" si="5029"/>
        <v>NMC CWD</v>
      </c>
      <c r="B13588" t="str">
        <f t="shared" si="5034"/>
        <v>800 SEAL BEACH BLVD</v>
      </c>
      <c r="C13588" t="str">
        <f>T("BLDG 907")</f>
        <v>BLDG 907</v>
      </c>
      <c r="D13588" t="str">
        <f t="shared" si="5035"/>
        <v>SEAL BEACH</v>
      </c>
      <c r="E13588" t="str">
        <f t="shared" si="5030"/>
        <v>CA</v>
      </c>
      <c r="F13588" t="str">
        <f t="shared" si="5036"/>
        <v>907405607</v>
      </c>
      <c r="G13588" t="str">
        <f t="shared" si="5037"/>
        <v>800 SEAL BEACH BLVD</v>
      </c>
      <c r="H13588" t="str">
        <f>T("BLDG 907")</f>
        <v>BLDG 907</v>
      </c>
      <c r="I13588" t="str">
        <f t="shared" si="5038"/>
        <v>SEAL BEACH</v>
      </c>
      <c r="J13588" t="str">
        <f t="shared" si="5031"/>
        <v>CA</v>
      </c>
      <c r="K13588" t="str">
        <f>T("")</f>
        <v/>
      </c>
      <c r="L13588" t="str">
        <f>T("5626267388")</f>
        <v>5626267388</v>
      </c>
    </row>
    <row r="13589" spans="1:12" x14ac:dyDescent="0.35">
      <c r="A13589" t="str">
        <f t="shared" si="5029"/>
        <v>NMC CWD</v>
      </c>
      <c r="B13589" t="str">
        <f t="shared" si="5034"/>
        <v>800 SEAL BEACH BLVD</v>
      </c>
      <c r="C13589" t="str">
        <f>T("BLDG 907")</f>
        <v>BLDG 907</v>
      </c>
      <c r="D13589" t="str">
        <f t="shared" si="5035"/>
        <v>SEAL BEACH</v>
      </c>
      <c r="E13589" t="str">
        <f t="shared" si="5030"/>
        <v>CA</v>
      </c>
      <c r="F13589" t="str">
        <f t="shared" si="5036"/>
        <v>907405607</v>
      </c>
      <c r="G13589" t="str">
        <f t="shared" si="5037"/>
        <v>800 SEAL BEACH BLVD</v>
      </c>
      <c r="H13589" t="str">
        <f>T("BLDG 907")</f>
        <v>BLDG 907</v>
      </c>
      <c r="I13589" t="str">
        <f t="shared" si="5038"/>
        <v>SEAL BEACH</v>
      </c>
      <c r="J13589" t="str">
        <f t="shared" si="5031"/>
        <v>CA</v>
      </c>
      <c r="K13589" t="str">
        <f>T("000000000000000000")</f>
        <v>000000000000000000</v>
      </c>
      <c r="L13589" t="str">
        <f>T("5626267349")</f>
        <v>5626267349</v>
      </c>
    </row>
    <row r="13590" spans="1:12" x14ac:dyDescent="0.35">
      <c r="A13590" t="str">
        <f t="shared" si="5029"/>
        <v>NMC CWD</v>
      </c>
      <c r="B13590" t="str">
        <f t="shared" si="5034"/>
        <v>800 SEAL BEACH BLVD</v>
      </c>
      <c r="C13590" t="str">
        <f>T("BLDG 907")</f>
        <v>BLDG 907</v>
      </c>
      <c r="D13590" t="str">
        <f t="shared" si="5035"/>
        <v>SEAL BEACH</v>
      </c>
      <c r="E13590" t="str">
        <f t="shared" si="5030"/>
        <v>CA</v>
      </c>
      <c r="F13590" t="str">
        <f t="shared" si="5036"/>
        <v>907405607</v>
      </c>
      <c r="G13590" t="str">
        <f t="shared" si="5037"/>
        <v>800 SEAL BEACH BLVD</v>
      </c>
      <c r="H13590" t="str">
        <f>T("BLDG 907")</f>
        <v>BLDG 907</v>
      </c>
      <c r="I13590" t="str">
        <f t="shared" si="5038"/>
        <v>SEAL BEACH</v>
      </c>
      <c r="J13590" t="str">
        <f t="shared" si="5031"/>
        <v>CA</v>
      </c>
      <c r="K13590" t="str">
        <f>T("000000000000000000")</f>
        <v>000000000000000000</v>
      </c>
      <c r="L13590" t="str">
        <f>T("5626267437")</f>
        <v>5626267437</v>
      </c>
    </row>
    <row r="13591" spans="1:12" x14ac:dyDescent="0.35">
      <c r="A13591" t="str">
        <f t="shared" si="5029"/>
        <v>NMC CWD</v>
      </c>
      <c r="B13591" t="str">
        <f t="shared" si="5034"/>
        <v>800 SEAL BEACH BLVD</v>
      </c>
      <c r="C13591" t="str">
        <f>T("BLG 110")</f>
        <v>BLG 110</v>
      </c>
      <c r="D13591" t="str">
        <f t="shared" si="5035"/>
        <v>SEAL BEACH</v>
      </c>
      <c r="E13591" t="str">
        <f t="shared" si="5030"/>
        <v>CA</v>
      </c>
      <c r="F13591" t="str">
        <f t="shared" si="5036"/>
        <v>907405607</v>
      </c>
      <c r="G13591" t="str">
        <f t="shared" si="5037"/>
        <v>800 SEAL BEACH BLVD</v>
      </c>
      <c r="H13591" t="str">
        <f>T("")</f>
        <v/>
      </c>
      <c r="I13591" t="str">
        <f t="shared" si="5038"/>
        <v>SEAL BEACH</v>
      </c>
      <c r="J13591" t="str">
        <f t="shared" si="5031"/>
        <v>CA</v>
      </c>
      <c r="K13591" t="str">
        <f>T("5626267347")</f>
        <v>5626267347</v>
      </c>
      <c r="L13591" t="str">
        <f>T("5626267695")</f>
        <v>5626267695</v>
      </c>
    </row>
    <row r="13592" spans="1:12" x14ac:dyDescent="0.35">
      <c r="A13592" t="str">
        <f t="shared" si="5029"/>
        <v>NMC CWD</v>
      </c>
      <c r="B13592" t="str">
        <f t="shared" si="5034"/>
        <v>800 SEAL BEACH BLVD</v>
      </c>
      <c r="C13592" t="str">
        <f>T("BLG 110")</f>
        <v>BLG 110</v>
      </c>
      <c r="D13592" t="str">
        <f t="shared" si="5035"/>
        <v>SEAL BEACH</v>
      </c>
      <c r="E13592" t="str">
        <f t="shared" si="5030"/>
        <v>CA</v>
      </c>
      <c r="F13592" t="str">
        <f t="shared" si="5036"/>
        <v>907405607</v>
      </c>
      <c r="G13592" t="str">
        <f t="shared" si="5037"/>
        <v>800 SEAL BEACH BLVD</v>
      </c>
      <c r="H13592" t="str">
        <f>T("BLG 110")</f>
        <v>BLG 110</v>
      </c>
      <c r="I13592" t="str">
        <f t="shared" si="5038"/>
        <v>SEAL BEACH</v>
      </c>
      <c r="J13592" t="str">
        <f t="shared" si="5031"/>
        <v>CA</v>
      </c>
      <c r="K13592" t="str">
        <f>T("5626267347")</f>
        <v>5626267347</v>
      </c>
      <c r="L13592" t="str">
        <f>T("5626267937")</f>
        <v>5626267937</v>
      </c>
    </row>
    <row r="13593" spans="1:12" x14ac:dyDescent="0.35">
      <c r="A13593" t="str">
        <f t="shared" si="5029"/>
        <v>NMC CWD</v>
      </c>
      <c r="B13593" t="str">
        <f>T("AOIC NMC CWD DET FALLON")</f>
        <v>AOIC NMC CWD DET FALLON</v>
      </c>
      <c r="C13593" t="str">
        <f>T("4755 PASTURE RD")</f>
        <v>4755 PASTURE RD</v>
      </c>
      <c r="D13593" t="str">
        <f>T("FALLON")</f>
        <v>FALLON</v>
      </c>
      <c r="E13593" t="str">
        <f>T("NV")</f>
        <v>NV</v>
      </c>
      <c r="F13593" t="str">
        <f>T("894960001")</f>
        <v>894960001</v>
      </c>
      <c r="G13593" t="str">
        <f>T("4755 PASTURE RD BLDG 245")</f>
        <v>4755 PASTURE RD BLDG 245</v>
      </c>
      <c r="H13593" t="str">
        <f>T("")</f>
        <v/>
      </c>
      <c r="I13593" t="str">
        <f>T("FALLON")</f>
        <v>FALLON</v>
      </c>
      <c r="J13593" t="str">
        <f>T("NV")</f>
        <v>NV</v>
      </c>
      <c r="K13593" t="str">
        <f>T("7754262468")</f>
        <v>7754262468</v>
      </c>
      <c r="L13593" t="str">
        <f>T("7754263530")</f>
        <v>7754263530</v>
      </c>
    </row>
    <row r="13594" spans="1:12" x14ac:dyDescent="0.35">
      <c r="A13594" t="str">
        <f t="shared" si="5029"/>
        <v>NMC CWD</v>
      </c>
      <c r="B13594" t="str">
        <f>T("AOIC NMC CWD DET FALLON")</f>
        <v>AOIC NMC CWD DET FALLON</v>
      </c>
      <c r="C13594" t="str">
        <f>T("4755 PASTURE RD")</f>
        <v>4755 PASTURE RD</v>
      </c>
      <c r="D13594" t="str">
        <f>T("FALLON")</f>
        <v>FALLON</v>
      </c>
      <c r="E13594" t="str">
        <f>T("NV")</f>
        <v>NV</v>
      </c>
      <c r="F13594" t="str">
        <f>T("894960001")</f>
        <v>894960001</v>
      </c>
      <c r="G13594" t="str">
        <f>T("AOIC NMC CWD DET FALLON")</f>
        <v>AOIC NMC CWD DET FALLON</v>
      </c>
      <c r="H13594" t="str">
        <f>T("4755 PASTURE RD")</f>
        <v>4755 PASTURE RD</v>
      </c>
      <c r="I13594" t="str">
        <f>T("FALLON")</f>
        <v>FALLON</v>
      </c>
      <c r="J13594" t="str">
        <f>T("NV")</f>
        <v>NV</v>
      </c>
      <c r="K13594" t="str">
        <f>T("7754262468")</f>
        <v>7754262468</v>
      </c>
      <c r="L13594" t="str">
        <f>T("7754263524")</f>
        <v>7754263524</v>
      </c>
    </row>
    <row r="13595" spans="1:12" x14ac:dyDescent="0.35">
      <c r="A13595" t="str">
        <f t="shared" si="5029"/>
        <v>NMC CWD</v>
      </c>
      <c r="B13595" t="str">
        <f>T("NAVAL AIR STATION NORTH ISLAND")</f>
        <v>NAVAL AIR STATION NORTH ISLAND</v>
      </c>
      <c r="C13595" t="str">
        <f>T("BLDG 744")</f>
        <v>BLDG 744</v>
      </c>
      <c r="D13595" t="str">
        <f>T("SAN DIEGO")</f>
        <v>SAN DIEGO</v>
      </c>
      <c r="E13595" t="str">
        <f t="shared" ref="E13595:E13600" si="5040">T("CA")</f>
        <v>CA</v>
      </c>
      <c r="F13595" t="str">
        <f>T("921350000")</f>
        <v>921350000</v>
      </c>
      <c r="G13595" t="str">
        <f>T("NAVAL AIR STATION NORTH ISLAND")</f>
        <v>NAVAL AIR STATION NORTH ISLAND</v>
      </c>
      <c r="H13595" t="str">
        <f>T("BLDG 744")</f>
        <v>BLDG 744</v>
      </c>
      <c r="I13595" t="str">
        <f>T("SAN DIEGO")</f>
        <v>SAN DIEGO</v>
      </c>
      <c r="J13595" t="str">
        <f t="shared" ref="J13595:J13600" si="5041">T("CA")</f>
        <v>CA</v>
      </c>
      <c r="K13595" t="str">
        <f>T("6195459390")</f>
        <v>6195459390</v>
      </c>
      <c r="L13595" t="str">
        <f>T("6195459399")</f>
        <v>6195459399</v>
      </c>
    </row>
    <row r="13596" spans="1:12" x14ac:dyDescent="0.35">
      <c r="A13596" t="str">
        <f t="shared" si="5029"/>
        <v>NMC CWD</v>
      </c>
      <c r="B13596" t="str">
        <f>T("NAVAL AIR STATION NORTH ISLAND")</f>
        <v>NAVAL AIR STATION NORTH ISLAND</v>
      </c>
      <c r="C13596" t="str">
        <f>T("BLDG 744")</f>
        <v>BLDG 744</v>
      </c>
      <c r="D13596" t="str">
        <f>T("SAN DIEGO")</f>
        <v>SAN DIEGO</v>
      </c>
      <c r="E13596" t="str">
        <f t="shared" si="5040"/>
        <v>CA</v>
      </c>
      <c r="F13596" t="str">
        <f>T("921350000")</f>
        <v>921350000</v>
      </c>
      <c r="G13596" t="str">
        <f>T("PO BOX 357047")</f>
        <v>PO BOX 357047</v>
      </c>
      <c r="H13596" t="str">
        <f>T("BLDG 872")</f>
        <v>BLDG 872</v>
      </c>
      <c r="I13596" t="str">
        <f>T("SAN DIEGO")</f>
        <v>SAN DIEGO</v>
      </c>
      <c r="J13596" t="str">
        <f t="shared" si="5041"/>
        <v>CA</v>
      </c>
      <c r="K13596" t="str">
        <f>T("6195459371")</f>
        <v>6195459371</v>
      </c>
      <c r="L13596" t="str">
        <f>T("6197677989")</f>
        <v>6197677989</v>
      </c>
    </row>
    <row r="13597" spans="1:12" x14ac:dyDescent="0.35">
      <c r="A13597" t="str">
        <f t="shared" si="5029"/>
        <v>NMC CWD</v>
      </c>
      <c r="B13597" t="str">
        <f>T("NMC CWD")</f>
        <v>NMC CWD</v>
      </c>
      <c r="C13597" t="str">
        <f>T("800 SEAL BEACH BLVD")</f>
        <v>800 SEAL BEACH BLVD</v>
      </c>
      <c r="D13597" t="str">
        <f>T("SEAL BEACH")</f>
        <v>SEAL BEACH</v>
      </c>
      <c r="E13597" t="str">
        <f t="shared" si="5040"/>
        <v>CA</v>
      </c>
      <c r="F13597" t="str">
        <f>T("907405607")</f>
        <v>907405607</v>
      </c>
      <c r="G13597" t="str">
        <f>T("NMC CWD")</f>
        <v>NMC CWD</v>
      </c>
      <c r="H13597" t="str">
        <f>T("800 SEAL BEACH BLVD")</f>
        <v>800 SEAL BEACH BLVD</v>
      </c>
      <c r="I13597" t="str">
        <f>T("SEAL BEACH")</f>
        <v>SEAL BEACH</v>
      </c>
      <c r="J13597" t="str">
        <f t="shared" si="5041"/>
        <v>CA</v>
      </c>
      <c r="K13597" t="str">
        <f>T("5626267212")</f>
        <v>5626267212</v>
      </c>
      <c r="L13597" t="str">
        <f>T("5626267737")</f>
        <v>5626267737</v>
      </c>
    </row>
    <row r="13598" spans="1:12" x14ac:dyDescent="0.35">
      <c r="A13598" t="str">
        <f t="shared" si="5029"/>
        <v>NMC CWD</v>
      </c>
      <c r="B13598" t="str">
        <f>T("NMCCWD DET LEMOORE")</f>
        <v>NMCCWD DET LEMOORE</v>
      </c>
      <c r="C13598" t="str">
        <f>T("440 ORDINANCE ROAD")</f>
        <v>440 ORDINANCE ROAD</v>
      </c>
      <c r="D13598" t="str">
        <f>T("LEMOORE")</f>
        <v>LEMOORE</v>
      </c>
      <c r="E13598" t="str">
        <f t="shared" si="5040"/>
        <v>CA</v>
      </c>
      <c r="F13598" t="str">
        <f>T("932468000")</f>
        <v>932468000</v>
      </c>
      <c r="G13598" t="str">
        <f>T("440 ORDNANCE ROAD")</f>
        <v>440 ORDNANCE ROAD</v>
      </c>
      <c r="H13598" t="str">
        <f>T("")</f>
        <v/>
      </c>
      <c r="I13598" t="str">
        <f>T("LEMOORE")</f>
        <v>LEMOORE</v>
      </c>
      <c r="J13598" t="str">
        <f t="shared" si="5041"/>
        <v>CA</v>
      </c>
      <c r="K13598" t="str">
        <f>T("5599983538")</f>
        <v>5599983538</v>
      </c>
      <c r="L13598" t="str">
        <f>T("5599983533")</f>
        <v>5599983533</v>
      </c>
    </row>
    <row r="13599" spans="1:12" x14ac:dyDescent="0.35">
      <c r="A13599" t="str">
        <f t="shared" si="5029"/>
        <v>NMC CWD</v>
      </c>
      <c r="B13599" t="str">
        <f>T("NMCCWD DET LEMOORE")</f>
        <v>NMCCWD DET LEMOORE</v>
      </c>
      <c r="C13599" t="str">
        <f>T("440 ORDINANCE ROAD")</f>
        <v>440 ORDINANCE ROAD</v>
      </c>
      <c r="D13599" t="str">
        <f>T("LEMOORE")</f>
        <v>LEMOORE</v>
      </c>
      <c r="E13599" t="str">
        <f t="shared" si="5040"/>
        <v>CA</v>
      </c>
      <c r="F13599" t="str">
        <f>T("932468000")</f>
        <v>932468000</v>
      </c>
      <c r="G13599" t="str">
        <f>T("NMC CWD LEMOORE")</f>
        <v>NMC CWD LEMOORE</v>
      </c>
      <c r="H13599" t="str">
        <f>T("440 ORDNANCE ROAD")</f>
        <v>440 ORDNANCE ROAD</v>
      </c>
      <c r="I13599" t="str">
        <f>T("LEMOORE")</f>
        <v>LEMOORE</v>
      </c>
      <c r="J13599" t="str">
        <f t="shared" si="5041"/>
        <v>CA</v>
      </c>
      <c r="K13599" t="str">
        <f>T("5599983538")</f>
        <v>5599983538</v>
      </c>
      <c r="L13599" t="str">
        <f>T("5599983533")</f>
        <v>5599983533</v>
      </c>
    </row>
    <row r="13600" spans="1:12" x14ac:dyDescent="0.35">
      <c r="A13600" t="str">
        <f t="shared" si="5029"/>
        <v>NMC CWD</v>
      </c>
      <c r="B13600" t="str">
        <f>T("NMCCWD DET LEMOORE")</f>
        <v>NMCCWD DET LEMOORE</v>
      </c>
      <c r="C13600" t="str">
        <f>T("440 ORDINANCE ROAD")</f>
        <v>440 ORDINANCE ROAD</v>
      </c>
      <c r="D13600" t="str">
        <f>T("LEMOORE")</f>
        <v>LEMOORE</v>
      </c>
      <c r="E13600" t="str">
        <f t="shared" si="5040"/>
        <v>CA</v>
      </c>
      <c r="F13600" t="str">
        <f>T("932468000")</f>
        <v>932468000</v>
      </c>
      <c r="G13600" t="str">
        <f>T("NMCCWD DET LEMOORE")</f>
        <v>NMCCWD DET LEMOORE</v>
      </c>
      <c r="H13600" t="str">
        <f>T("440 ORDINANCE ROAD")</f>
        <v>440 ORDINANCE ROAD</v>
      </c>
      <c r="I13600" t="str">
        <f>T("LEMOORE")</f>
        <v>LEMOORE</v>
      </c>
      <c r="J13600" t="str">
        <f t="shared" si="5041"/>
        <v>CA</v>
      </c>
      <c r="K13600" t="str">
        <f>T("")</f>
        <v/>
      </c>
      <c r="L13600" t="str">
        <f>T("5599981949")</f>
        <v>5599981949</v>
      </c>
    </row>
    <row r="13601" spans="1:12" x14ac:dyDescent="0.35">
      <c r="A13601" t="str">
        <f t="shared" ref="A13601:A13618" si="5042">T("NMC EAD")</f>
        <v>NMC EAD</v>
      </c>
      <c r="B13601" t="str">
        <f t="shared" ref="B13601:B13608" si="5043">T("562 G AVENUE")</f>
        <v>562 G AVENUE</v>
      </c>
      <c r="C13601" t="str">
        <f>T("BLDG 562")</f>
        <v>BLDG 562</v>
      </c>
      <c r="D13601" t="str">
        <f t="shared" ref="D13601:D13610" si="5044">T("EWA BEACH")</f>
        <v>EWA BEACH</v>
      </c>
      <c r="E13601" t="str">
        <f t="shared" ref="E13601:E13610" si="5045">T("HI")</f>
        <v>HI</v>
      </c>
      <c r="F13601" t="str">
        <f t="shared" ref="F13601:F13610" si="5046">T("967063381")</f>
        <v>967063381</v>
      </c>
      <c r="G13601" t="str">
        <f>T("562 G AVE")</f>
        <v>562 G AVE</v>
      </c>
      <c r="H13601" t="str">
        <f>T("BLDG 562")</f>
        <v>BLDG 562</v>
      </c>
      <c r="I13601" t="str">
        <f>T("EWA BEACH")</f>
        <v>EWA BEACH</v>
      </c>
      <c r="J13601" t="str">
        <f>T("HI")</f>
        <v>HI</v>
      </c>
      <c r="K13601" t="str">
        <f>T("8084711111 118")</f>
        <v>8084711111 118</v>
      </c>
      <c r="L13601" t="str">
        <f>T("1111111111")</f>
        <v>1111111111</v>
      </c>
    </row>
    <row r="13602" spans="1:12" x14ac:dyDescent="0.35">
      <c r="A13602" t="str">
        <f t="shared" si="5042"/>
        <v>NMC EAD</v>
      </c>
      <c r="B13602" t="str">
        <f t="shared" si="5043"/>
        <v>562 G AVENUE</v>
      </c>
      <c r="C13602" t="str">
        <f>T("BLDG 562")</f>
        <v>BLDG 562</v>
      </c>
      <c r="D13602" t="str">
        <f t="shared" si="5044"/>
        <v>EWA BEACH</v>
      </c>
      <c r="E13602" t="str">
        <f t="shared" si="5045"/>
        <v>HI</v>
      </c>
      <c r="F13602" t="str">
        <f t="shared" si="5046"/>
        <v>967063381</v>
      </c>
      <c r="G13602" t="str">
        <f>T("562 G AVENUE")</f>
        <v>562 G AVENUE</v>
      </c>
      <c r="H13602" t="str">
        <f>T("BLDG 562")</f>
        <v>BLDG 562</v>
      </c>
      <c r="I13602" t="str">
        <f>T("EWA BEACH")</f>
        <v>EWA BEACH</v>
      </c>
      <c r="J13602" t="str">
        <f>T("HI")</f>
        <v>HI</v>
      </c>
      <c r="K13602" t="str">
        <f>T("000000000000000000")</f>
        <v>000000000000000000</v>
      </c>
      <c r="L13602" t="str">
        <f>T("1111111111")</f>
        <v>1111111111</v>
      </c>
    </row>
    <row r="13603" spans="1:12" x14ac:dyDescent="0.35">
      <c r="A13603" t="str">
        <f t="shared" si="5042"/>
        <v>NMC EAD</v>
      </c>
      <c r="B13603" t="str">
        <f t="shared" si="5043"/>
        <v>562 G AVENUE</v>
      </c>
      <c r="C13603" t="str">
        <f>T("BLDG 562")</f>
        <v>BLDG 562</v>
      </c>
      <c r="D13603" t="str">
        <f t="shared" si="5044"/>
        <v>EWA BEACH</v>
      </c>
      <c r="E13603" t="str">
        <f t="shared" si="5045"/>
        <v>HI</v>
      </c>
      <c r="F13603" t="str">
        <f t="shared" si="5046"/>
        <v>967063381</v>
      </c>
      <c r="G13603" t="str">
        <f>T("PSC 480 BOX 54")</f>
        <v>PSC 480 BOX 54</v>
      </c>
      <c r="H13603" t="str">
        <f>T("")</f>
        <v/>
      </c>
      <c r="I13603" t="str">
        <f>T("FPO")</f>
        <v>FPO</v>
      </c>
      <c r="J13603" t="str">
        <f>T("AP")</f>
        <v>AP</v>
      </c>
      <c r="K13603" t="str">
        <f>T("000000000000000000")</f>
        <v>000000000000000000</v>
      </c>
      <c r="L13603" t="str">
        <f>T("3156325103")</f>
        <v>3156325103</v>
      </c>
    </row>
    <row r="13604" spans="1:12" x14ac:dyDescent="0.35">
      <c r="A13604" t="str">
        <f t="shared" si="5042"/>
        <v>NMC EAD</v>
      </c>
      <c r="B13604" t="str">
        <f t="shared" si="5043"/>
        <v>562 G AVENUE</v>
      </c>
      <c r="C13604" t="str">
        <f>T("BLG 562")</f>
        <v>BLG 562</v>
      </c>
      <c r="D13604" t="str">
        <f t="shared" si="5044"/>
        <v>EWA BEACH</v>
      </c>
      <c r="E13604" t="str">
        <f t="shared" si="5045"/>
        <v>HI</v>
      </c>
      <c r="F13604" t="str">
        <f t="shared" si="5046"/>
        <v>967063381</v>
      </c>
      <c r="G13604" t="str">
        <f>T("562 G AVE")</f>
        <v>562 G AVE</v>
      </c>
      <c r="H13604" t="str">
        <f>T("")</f>
        <v/>
      </c>
      <c r="I13604" t="str">
        <f t="shared" ref="I13604:I13611" si="5047">T("EWA BEACH")</f>
        <v>EWA BEACH</v>
      </c>
      <c r="J13604" t="str">
        <f t="shared" ref="J13604:J13611" si="5048">T("HI")</f>
        <v>HI</v>
      </c>
      <c r="K13604" t="str">
        <f>T("8084711111116")</f>
        <v>8084711111116</v>
      </c>
      <c r="L13604" t="str">
        <f>T("1111111111")</f>
        <v>1111111111</v>
      </c>
    </row>
    <row r="13605" spans="1:12" x14ac:dyDescent="0.35">
      <c r="A13605" t="str">
        <f t="shared" si="5042"/>
        <v>NMC EAD</v>
      </c>
      <c r="B13605" t="str">
        <f t="shared" si="5043"/>
        <v>562 G AVENUE</v>
      </c>
      <c r="C13605" t="str">
        <f>T("BLG 562")</f>
        <v>BLG 562</v>
      </c>
      <c r="D13605" t="str">
        <f t="shared" si="5044"/>
        <v>EWA BEACH</v>
      </c>
      <c r="E13605" t="str">
        <f t="shared" si="5045"/>
        <v>HI</v>
      </c>
      <c r="F13605" t="str">
        <f t="shared" si="5046"/>
        <v>967063381</v>
      </c>
      <c r="G13605" t="str">
        <f>T("562 G AVE")</f>
        <v>562 G AVE</v>
      </c>
      <c r="H13605" t="str">
        <f>T("BLDG 562")</f>
        <v>BLDG 562</v>
      </c>
      <c r="I13605" t="str">
        <f t="shared" si="5047"/>
        <v>EWA BEACH</v>
      </c>
      <c r="J13605" t="str">
        <f t="shared" si="5048"/>
        <v>HI</v>
      </c>
      <c r="K13605" t="str">
        <f>T("8084711111 118")</f>
        <v>8084711111 118</v>
      </c>
      <c r="L13605" t="str">
        <f>T("8084711111")</f>
        <v>8084711111</v>
      </c>
    </row>
    <row r="13606" spans="1:12" x14ac:dyDescent="0.35">
      <c r="A13606" t="str">
        <f t="shared" si="5042"/>
        <v>NMC EAD</v>
      </c>
      <c r="B13606" t="str">
        <f t="shared" si="5043"/>
        <v>562 G AVENUE</v>
      </c>
      <c r="C13606" t="str">
        <f>T("BLG 562")</f>
        <v>BLG 562</v>
      </c>
      <c r="D13606" t="str">
        <f t="shared" si="5044"/>
        <v>EWA BEACH</v>
      </c>
      <c r="E13606" t="str">
        <f t="shared" si="5045"/>
        <v>HI</v>
      </c>
      <c r="F13606" t="str">
        <f t="shared" si="5046"/>
        <v>967063381</v>
      </c>
      <c r="G13606" t="str">
        <f>T("562 G AVE")</f>
        <v>562 G AVE</v>
      </c>
      <c r="H13606" t="str">
        <f>T("BLDG 562")</f>
        <v>BLDG 562</v>
      </c>
      <c r="I13606" t="str">
        <f t="shared" si="5047"/>
        <v>EWA BEACH</v>
      </c>
      <c r="J13606" t="str">
        <f t="shared" si="5048"/>
        <v>HI</v>
      </c>
      <c r="K13606" t="str">
        <f>T("8084711111 118")</f>
        <v>8084711111 118</v>
      </c>
      <c r="L13606" t="str">
        <f>T("8084744313")</f>
        <v>8084744313</v>
      </c>
    </row>
    <row r="13607" spans="1:12" x14ac:dyDescent="0.35">
      <c r="A13607" t="str">
        <f t="shared" si="5042"/>
        <v>NMC EAD</v>
      </c>
      <c r="B13607" t="str">
        <f t="shared" si="5043"/>
        <v>562 G AVENUE</v>
      </c>
      <c r="C13607" t="str">
        <f>T("BLG 562")</f>
        <v>BLG 562</v>
      </c>
      <c r="D13607" t="str">
        <f t="shared" si="5044"/>
        <v>EWA BEACH</v>
      </c>
      <c r="E13607" t="str">
        <f t="shared" si="5045"/>
        <v>HI</v>
      </c>
      <c r="F13607" t="str">
        <f t="shared" si="5046"/>
        <v>967063381</v>
      </c>
      <c r="G13607" t="str">
        <f>T("562 G AVENUE")</f>
        <v>562 G AVENUE</v>
      </c>
      <c r="H13607" t="str">
        <f>T("BLG 562")</f>
        <v>BLG 562</v>
      </c>
      <c r="I13607" t="str">
        <f t="shared" si="5047"/>
        <v>EWA BEACH</v>
      </c>
      <c r="J13607" t="str">
        <f t="shared" si="5048"/>
        <v>HI</v>
      </c>
      <c r="K13607" t="str">
        <f>T("000000000000000000")</f>
        <v>000000000000000000</v>
      </c>
      <c r="L13607" t="str">
        <f>T("8084711111")</f>
        <v>8084711111</v>
      </c>
    </row>
    <row r="13608" spans="1:12" x14ac:dyDescent="0.35">
      <c r="A13608" t="str">
        <f t="shared" si="5042"/>
        <v>NMC EAD</v>
      </c>
      <c r="B13608" t="str">
        <f t="shared" si="5043"/>
        <v>562 G AVENUE</v>
      </c>
      <c r="C13608" t="str">
        <f>T("BLG 562")</f>
        <v>BLG 562</v>
      </c>
      <c r="D13608" t="str">
        <f t="shared" si="5044"/>
        <v>EWA BEACH</v>
      </c>
      <c r="E13608" t="str">
        <f t="shared" si="5045"/>
        <v>HI</v>
      </c>
      <c r="F13608" t="str">
        <f t="shared" si="5046"/>
        <v>967063381</v>
      </c>
      <c r="G13608" t="str">
        <f>T("562 G AVENUE")</f>
        <v>562 G AVENUE</v>
      </c>
      <c r="H13608" t="str">
        <f>T("BLG 562")</f>
        <v>BLG 562</v>
      </c>
      <c r="I13608" t="str">
        <f t="shared" si="5047"/>
        <v>EWA BEACH</v>
      </c>
      <c r="J13608" t="str">
        <f t="shared" si="5048"/>
        <v>HI</v>
      </c>
      <c r="K13608" t="str">
        <f>T("8084715601")</f>
        <v>8084715601</v>
      </c>
      <c r="L13608" t="str">
        <f>T("1111111111")</f>
        <v>1111111111</v>
      </c>
    </row>
    <row r="13609" spans="1:12" x14ac:dyDescent="0.35">
      <c r="A13609" t="str">
        <f t="shared" si="5042"/>
        <v>NMC EAD</v>
      </c>
      <c r="B13609" t="str">
        <f>T("NMC EAD")</f>
        <v>NMC EAD</v>
      </c>
      <c r="C13609" t="str">
        <f>T("562 G AVENUE BLG 562")</f>
        <v>562 G AVENUE BLG 562</v>
      </c>
      <c r="D13609" t="str">
        <f t="shared" si="5044"/>
        <v>EWA BEACH</v>
      </c>
      <c r="E13609" t="str">
        <f t="shared" si="5045"/>
        <v>HI</v>
      </c>
      <c r="F13609" t="str">
        <f t="shared" si="5046"/>
        <v>967063381</v>
      </c>
      <c r="G13609" t="str">
        <f>T("562 G AVE")</f>
        <v>562 G AVE</v>
      </c>
      <c r="H13609" t="str">
        <f>T("BLDG 562")</f>
        <v>BLDG 562</v>
      </c>
      <c r="I13609" t="str">
        <f t="shared" si="5047"/>
        <v>EWA BEACH</v>
      </c>
      <c r="J13609" t="str">
        <f t="shared" si="5048"/>
        <v>HI</v>
      </c>
      <c r="K13609" t="str">
        <f>T("8084711111 118")</f>
        <v>8084711111 118</v>
      </c>
      <c r="L13609" t="str">
        <f>T("1111111111")</f>
        <v>1111111111</v>
      </c>
    </row>
    <row r="13610" spans="1:12" x14ac:dyDescent="0.35">
      <c r="A13610" t="str">
        <f t="shared" si="5042"/>
        <v>NMC EAD</v>
      </c>
      <c r="B13610" t="str">
        <f>T("NMC EAD")</f>
        <v>NMC EAD</v>
      </c>
      <c r="C13610" t="str">
        <f>T("562 G AVENUE BLG 562")</f>
        <v>562 G AVENUE BLG 562</v>
      </c>
      <c r="D13610" t="str">
        <f t="shared" si="5044"/>
        <v>EWA BEACH</v>
      </c>
      <c r="E13610" t="str">
        <f t="shared" si="5045"/>
        <v>HI</v>
      </c>
      <c r="F13610" t="str">
        <f t="shared" si="5046"/>
        <v>967063381</v>
      </c>
      <c r="G13610" t="str">
        <f>T("NMC EAD")</f>
        <v>NMC EAD</v>
      </c>
      <c r="H13610" t="str">
        <f>T("562 G AVENUE BLG 562")</f>
        <v>562 G AVENUE BLG 562</v>
      </c>
      <c r="I13610" t="str">
        <f t="shared" si="5047"/>
        <v>EWA BEACH</v>
      </c>
      <c r="J13610" t="str">
        <f t="shared" si="5048"/>
        <v>HI</v>
      </c>
      <c r="K13610" t="str">
        <f>T("000000000000000000")</f>
        <v>000000000000000000</v>
      </c>
      <c r="L13610" t="str">
        <f>T("9999999999")</f>
        <v>9999999999</v>
      </c>
    </row>
    <row r="13611" spans="1:12" x14ac:dyDescent="0.35">
      <c r="A13611" t="str">
        <f t="shared" si="5042"/>
        <v>NMC EAD</v>
      </c>
      <c r="B13611" t="str">
        <f>T("PSC 455 BOX 201")</f>
        <v>PSC 455 BOX 201</v>
      </c>
      <c r="C13611" t="str">
        <f t="shared" ref="C13611:C13618" si="5049">T("")</f>
        <v/>
      </c>
      <c r="D13611" t="str">
        <f t="shared" ref="D13611:D13618" si="5050">T("FPO")</f>
        <v>FPO</v>
      </c>
      <c r="E13611" t="str">
        <f t="shared" ref="E13611:E13618" si="5051">T("AP")</f>
        <v>AP</v>
      </c>
      <c r="F13611" t="str">
        <f>T("965400003")</f>
        <v>965400003</v>
      </c>
      <c r="G13611" t="str">
        <f>T("562 G AVENUE")</f>
        <v>562 G AVENUE</v>
      </c>
      <c r="H13611" t="str">
        <f t="shared" ref="H13611:H13619" si="5052">T("")</f>
        <v/>
      </c>
      <c r="I13611" t="str">
        <f t="shared" si="5047"/>
        <v>EWA BEACH</v>
      </c>
      <c r="J13611" t="str">
        <f t="shared" si="5048"/>
        <v>HI</v>
      </c>
      <c r="K13611" t="str">
        <f>T("000000000000000000")</f>
        <v>000000000000000000</v>
      </c>
      <c r="L13611" t="str">
        <f>T("6713499238")</f>
        <v>6713499238</v>
      </c>
    </row>
    <row r="13612" spans="1:12" x14ac:dyDescent="0.35">
      <c r="A13612" t="str">
        <f t="shared" si="5042"/>
        <v>NMC EAD</v>
      </c>
      <c r="B13612" t="str">
        <f>T("PSC 455 BOX 201")</f>
        <v>PSC 455 BOX 201</v>
      </c>
      <c r="C13612" t="str">
        <f t="shared" si="5049"/>
        <v/>
      </c>
      <c r="D13612" t="str">
        <f t="shared" si="5050"/>
        <v>FPO</v>
      </c>
      <c r="E13612" t="str">
        <f t="shared" si="5051"/>
        <v>AP</v>
      </c>
      <c r="F13612" t="str">
        <f>T("965400003")</f>
        <v>965400003</v>
      </c>
      <c r="G13612" t="str">
        <f>T("PSC 455 BOX 201")</f>
        <v>PSC 455 BOX 201</v>
      </c>
      <c r="H13612" t="str">
        <f t="shared" si="5052"/>
        <v/>
      </c>
      <c r="I13612" t="str">
        <f>T("FPO")</f>
        <v>FPO</v>
      </c>
      <c r="J13612" t="str">
        <f>T("AP")</f>
        <v>AP</v>
      </c>
      <c r="K13612" t="str">
        <f>T("")</f>
        <v/>
      </c>
      <c r="L13612" t="str">
        <f>T("3153499695")</f>
        <v>3153499695</v>
      </c>
    </row>
    <row r="13613" spans="1:12" x14ac:dyDescent="0.35">
      <c r="A13613" t="str">
        <f t="shared" si="5042"/>
        <v>NMC EAD</v>
      </c>
      <c r="B13613" t="str">
        <f>T("PSC 455 BOX 201")</f>
        <v>PSC 455 BOX 201</v>
      </c>
      <c r="C13613" t="str">
        <f t="shared" si="5049"/>
        <v/>
      </c>
      <c r="D13613" t="str">
        <f t="shared" si="5050"/>
        <v>FPO</v>
      </c>
      <c r="E13613" t="str">
        <f t="shared" si="5051"/>
        <v>AP</v>
      </c>
      <c r="F13613" t="str">
        <f>T("965400003")</f>
        <v>965400003</v>
      </c>
      <c r="G13613" t="str">
        <f>T("PSC 455 BOX 201")</f>
        <v>PSC 455 BOX 201</v>
      </c>
      <c r="H13613" t="str">
        <f t="shared" si="5052"/>
        <v/>
      </c>
      <c r="I13613" t="str">
        <f>T("FPO")</f>
        <v>FPO</v>
      </c>
      <c r="J13613" t="str">
        <f>T("AP")</f>
        <v>AP</v>
      </c>
      <c r="K13613" t="str">
        <f t="shared" ref="K13613:K13618" si="5053">T("000000000000000000")</f>
        <v>000000000000000000</v>
      </c>
      <c r="L13613" t="str">
        <f>T("6713499238")</f>
        <v>6713499238</v>
      </c>
    </row>
    <row r="13614" spans="1:12" x14ac:dyDescent="0.35">
      <c r="A13614" t="str">
        <f t="shared" si="5042"/>
        <v>NMC EAD</v>
      </c>
      <c r="B13614" t="str">
        <f>T("PSC 455 BOX 201")</f>
        <v>PSC 455 BOX 201</v>
      </c>
      <c r="C13614" t="str">
        <f t="shared" si="5049"/>
        <v/>
      </c>
      <c r="D13614" t="str">
        <f t="shared" si="5050"/>
        <v>FPO</v>
      </c>
      <c r="E13614" t="str">
        <f t="shared" si="5051"/>
        <v>AP</v>
      </c>
      <c r="F13614" t="str">
        <f>T("965400003")</f>
        <v>965400003</v>
      </c>
      <c r="G13614" t="str">
        <f>T("PSC 455 BOX 201")</f>
        <v>PSC 455 BOX 201</v>
      </c>
      <c r="H13614" t="str">
        <f t="shared" si="5052"/>
        <v/>
      </c>
      <c r="I13614" t="str">
        <f>T("FPO")</f>
        <v>FPO</v>
      </c>
      <c r="J13614" t="str">
        <f>T("AP")</f>
        <v>AP</v>
      </c>
      <c r="K13614" t="str">
        <f t="shared" si="5053"/>
        <v>000000000000000000</v>
      </c>
      <c r="L13614" t="str">
        <f>T("6713499301")</f>
        <v>6713499301</v>
      </c>
    </row>
    <row r="13615" spans="1:12" x14ac:dyDescent="0.35">
      <c r="A13615" t="str">
        <f t="shared" si="5042"/>
        <v>NMC EAD</v>
      </c>
      <c r="B13615" t="str">
        <f>T("PSC 473 BOX 6")</f>
        <v>PSC 473 BOX 6</v>
      </c>
      <c r="C13615" t="str">
        <f t="shared" si="5049"/>
        <v/>
      </c>
      <c r="D13615" t="str">
        <f t="shared" si="5050"/>
        <v>FPO</v>
      </c>
      <c r="E13615" t="str">
        <f t="shared" si="5051"/>
        <v>AP</v>
      </c>
      <c r="F13615" t="str">
        <f>T("963490001")</f>
        <v>963490001</v>
      </c>
      <c r="G13615" t="str">
        <f>T("562 G AVE")</f>
        <v>562 G AVE</v>
      </c>
      <c r="H13615" t="str">
        <f t="shared" si="5052"/>
        <v/>
      </c>
      <c r="I13615" t="str">
        <f>T("EWA BEACH")</f>
        <v>EWA BEACH</v>
      </c>
      <c r="J13615" t="str">
        <f>T("HI")</f>
        <v>HI</v>
      </c>
      <c r="K13615" t="str">
        <f t="shared" si="5053"/>
        <v>000000000000000000</v>
      </c>
      <c r="L13615" t="str">
        <f>T("3152430300")</f>
        <v>3152430300</v>
      </c>
    </row>
    <row r="13616" spans="1:12" x14ac:dyDescent="0.35">
      <c r="A13616" t="str">
        <f t="shared" si="5042"/>
        <v>NMC EAD</v>
      </c>
      <c r="B13616" t="str">
        <f>T("PSC 473 BOX 6")</f>
        <v>PSC 473 BOX 6</v>
      </c>
      <c r="C13616" t="str">
        <f t="shared" si="5049"/>
        <v/>
      </c>
      <c r="D13616" t="str">
        <f t="shared" si="5050"/>
        <v>FPO</v>
      </c>
      <c r="E13616" t="str">
        <f t="shared" si="5051"/>
        <v>AP</v>
      </c>
      <c r="F13616" t="str">
        <f>T("963490001")</f>
        <v>963490001</v>
      </c>
      <c r="G13616" t="str">
        <f>T("PSC 473 BOX 6")</f>
        <v>PSC 473 BOX 6</v>
      </c>
      <c r="H13616" t="str">
        <f t="shared" si="5052"/>
        <v/>
      </c>
      <c r="I13616" t="str">
        <f>T("FPO")</f>
        <v>FPO</v>
      </c>
      <c r="J13616" t="str">
        <f>T("AP")</f>
        <v>AP</v>
      </c>
      <c r="K13616" t="str">
        <f t="shared" si="5053"/>
        <v>000000000000000000</v>
      </c>
      <c r="L13616" t="str">
        <f>T("1111111111")</f>
        <v>1111111111</v>
      </c>
    </row>
    <row r="13617" spans="1:12" x14ac:dyDescent="0.35">
      <c r="A13617" t="str">
        <f t="shared" si="5042"/>
        <v>NMC EAD</v>
      </c>
      <c r="B13617" t="str">
        <f>T("PSC 476 BOX 20")</f>
        <v>PSC 476 BOX 20</v>
      </c>
      <c r="C13617" t="str">
        <f t="shared" si="5049"/>
        <v/>
      </c>
      <c r="D13617" t="str">
        <f t="shared" si="5050"/>
        <v>FPO</v>
      </c>
      <c r="E13617" t="str">
        <f t="shared" si="5051"/>
        <v>AP</v>
      </c>
      <c r="F13617" t="str">
        <f>T("963220001")</f>
        <v>963220001</v>
      </c>
      <c r="G13617" t="str">
        <f>T("562 G AVE")</f>
        <v>562 G AVE</v>
      </c>
      <c r="H13617" t="str">
        <f t="shared" si="5052"/>
        <v/>
      </c>
      <c r="I13617" t="str">
        <f>T("EWA BEACH")</f>
        <v>EWA BEACH</v>
      </c>
      <c r="J13617" t="str">
        <f>T("HI")</f>
        <v>HI</v>
      </c>
      <c r="K13617" t="str">
        <f t="shared" si="5053"/>
        <v>000000000000000000</v>
      </c>
      <c r="L13617" t="str">
        <f>T("3152525555")</f>
        <v>3152525555</v>
      </c>
    </row>
    <row r="13618" spans="1:12" x14ac:dyDescent="0.35">
      <c r="A13618" t="str">
        <f t="shared" si="5042"/>
        <v>NMC EAD</v>
      </c>
      <c r="B13618" t="str">
        <f>T("PSC 476 BOX 20")</f>
        <v>PSC 476 BOX 20</v>
      </c>
      <c r="C13618" t="str">
        <f t="shared" si="5049"/>
        <v/>
      </c>
      <c r="D13618" t="str">
        <f t="shared" si="5050"/>
        <v>FPO</v>
      </c>
      <c r="E13618" t="str">
        <f t="shared" si="5051"/>
        <v>AP</v>
      </c>
      <c r="F13618" t="str">
        <f>T("963220001")</f>
        <v>963220001</v>
      </c>
      <c r="G13618" t="str">
        <f>T("PSC 476 BOX 20")</f>
        <v>PSC 476 BOX 20</v>
      </c>
      <c r="H13618" t="str">
        <f t="shared" si="5052"/>
        <v/>
      </c>
      <c r="I13618" t="str">
        <f>T("FPO")</f>
        <v>FPO</v>
      </c>
      <c r="J13618" t="str">
        <f>T("AP")</f>
        <v>AP</v>
      </c>
      <c r="K13618" t="str">
        <f t="shared" si="5053"/>
        <v>000000000000000000</v>
      </c>
      <c r="L13618" t="str">
        <f>T("3152525555")</f>
        <v>3152525555</v>
      </c>
    </row>
    <row r="13619" spans="1:12" x14ac:dyDescent="0.35">
      <c r="A13619" t="str">
        <f>T("NAVY AIR&amp; MISSILE COMMAND")</f>
        <v>NAVY AIR&amp; MISSILE COMMAND</v>
      </c>
      <c r="B13619" t="str">
        <f>T("5280 4TH STREET")</f>
        <v>5280 4TH STREET</v>
      </c>
      <c r="C13619" t="str">
        <f>T("SUITE 162")</f>
        <v>SUITE 162</v>
      </c>
      <c r="D13619" t="str">
        <f>T("DAHLGREN")</f>
        <v>DAHLGREN</v>
      </c>
      <c r="E13619" t="str">
        <f>T("VA")</f>
        <v>VA</v>
      </c>
      <c r="F13619" t="str">
        <f>T("224485202")</f>
        <v>224485202</v>
      </c>
      <c r="G13619" t="str">
        <f>T("5280 4TH ST STE 162")</f>
        <v>5280 4TH ST STE 162</v>
      </c>
      <c r="H13619" t="str">
        <f t="shared" si="5052"/>
        <v/>
      </c>
      <c r="I13619" t="str">
        <f>T("DAHLGREN")</f>
        <v>DAHLGREN</v>
      </c>
      <c r="J13619" t="str">
        <f>T("VA")</f>
        <v>VA</v>
      </c>
      <c r="K13619" t="str">
        <f>T("5406539918")</f>
        <v>5406539918</v>
      </c>
      <c r="L13619" t="str">
        <f>T("5406539929")</f>
        <v>5406539929</v>
      </c>
    </row>
    <row r="13620" spans="1:12" x14ac:dyDescent="0.35">
      <c r="A13620" t="str">
        <f>T("NAVY AIR&amp; MISSILE COMMAND")</f>
        <v>NAVY AIR&amp; MISSILE COMMAND</v>
      </c>
      <c r="B13620" t="str">
        <f>T("5280 4TH STREET")</f>
        <v>5280 4TH STREET</v>
      </c>
      <c r="C13620" t="str">
        <f>T("SUITE 162")</f>
        <v>SUITE 162</v>
      </c>
      <c r="D13620" t="str">
        <f>T("DAHLGREN")</f>
        <v>DAHLGREN</v>
      </c>
      <c r="E13620" t="str">
        <f>T("VA")</f>
        <v>VA</v>
      </c>
      <c r="F13620" t="str">
        <f>T("224485202")</f>
        <v>224485202</v>
      </c>
      <c r="G13620" t="str">
        <f>T("5280 4TH STREET")</f>
        <v>5280 4TH STREET</v>
      </c>
      <c r="H13620" t="str">
        <f>T("SUITE 162")</f>
        <v>SUITE 162</v>
      </c>
      <c r="I13620" t="str">
        <f>T("DAHLGREN")</f>
        <v>DAHLGREN</v>
      </c>
      <c r="J13620" t="str">
        <f>T("VA")</f>
        <v>VA</v>
      </c>
      <c r="K13620" t="str">
        <f>T("")</f>
        <v/>
      </c>
      <c r="L13620" t="str">
        <f>T("5406539986")</f>
        <v>5406539986</v>
      </c>
    </row>
    <row r="13621" spans="1:12" x14ac:dyDescent="0.35">
      <c r="A13621" t="str">
        <f t="shared" ref="A13621:A13655" si="5054">T("SRF-JRMC YOKOSUKA")</f>
        <v>SRF-JRMC YOKOSUKA</v>
      </c>
      <c r="B13621" t="str">
        <f>T("467 W STREET")</f>
        <v>467 W STREET</v>
      </c>
      <c r="C13621" t="str">
        <f>T("CODE 434")</f>
        <v>CODE 434</v>
      </c>
      <c r="D13621" t="str">
        <f>T("BREMERTON")</f>
        <v>BREMERTON</v>
      </c>
      <c r="E13621" t="str">
        <f>T("WA")</f>
        <v>WA</v>
      </c>
      <c r="F13621" t="str">
        <f>T("983145100")</f>
        <v>983145100</v>
      </c>
      <c r="G13621" t="str">
        <f>T("467 W STREET")</f>
        <v>467 W STREET</v>
      </c>
      <c r="H13621" t="str">
        <f>T("CODE 430")</f>
        <v>CODE 430</v>
      </c>
      <c r="I13621" t="str">
        <f>T("BREMERTON")</f>
        <v>BREMERTON</v>
      </c>
      <c r="J13621" t="str">
        <f>T("WA")</f>
        <v>WA</v>
      </c>
      <c r="K13621" t="str">
        <f t="shared" ref="K13621:K13626" si="5055">T("000000000000000000")</f>
        <v>000000000000000000</v>
      </c>
      <c r="L13621" t="str">
        <f>T("3604762362")</f>
        <v>3604762362</v>
      </c>
    </row>
    <row r="13622" spans="1:12" x14ac:dyDescent="0.35">
      <c r="A13622" t="str">
        <f t="shared" si="5054"/>
        <v>SRF-JRMC YOKOSUKA</v>
      </c>
      <c r="B13622" t="str">
        <f>T("467 W STREET")</f>
        <v>467 W STREET</v>
      </c>
      <c r="C13622" t="str">
        <f>T("CODE 434")</f>
        <v>CODE 434</v>
      </c>
      <c r="D13622" t="str">
        <f>T("BREMERTON")</f>
        <v>BREMERTON</v>
      </c>
      <c r="E13622" t="str">
        <f>T("WA")</f>
        <v>WA</v>
      </c>
      <c r="F13622" t="str">
        <f>T("983145100")</f>
        <v>983145100</v>
      </c>
      <c r="G13622" t="str">
        <f>T("467 W STREET")</f>
        <v>467 W STREET</v>
      </c>
      <c r="H13622" t="str">
        <f>T("CODE 430")</f>
        <v>CODE 430</v>
      </c>
      <c r="I13622" t="str">
        <f>T("BREMERTON")</f>
        <v>BREMERTON</v>
      </c>
      <c r="J13622" t="str">
        <f>T("WA")</f>
        <v>WA</v>
      </c>
      <c r="K13622" t="str">
        <f t="shared" si="5055"/>
        <v>000000000000000000</v>
      </c>
      <c r="L13622" t="str">
        <f>T("3604762364")</f>
        <v>3604762364</v>
      </c>
    </row>
    <row r="13623" spans="1:12" x14ac:dyDescent="0.35">
      <c r="A13623" t="str">
        <f t="shared" si="5054"/>
        <v>SRF-JRMC YOKOSUKA</v>
      </c>
      <c r="B13623" t="str">
        <f>T("467 W STREET")</f>
        <v>467 W STREET</v>
      </c>
      <c r="C13623" t="str">
        <f>T("CODE 434")</f>
        <v>CODE 434</v>
      </c>
      <c r="D13623" t="str">
        <f>T("BREMERTON")</f>
        <v>BREMERTON</v>
      </c>
      <c r="E13623" t="str">
        <f>T("WA")</f>
        <v>WA</v>
      </c>
      <c r="F13623" t="str">
        <f>T("983145100")</f>
        <v>983145100</v>
      </c>
      <c r="G13623" t="str">
        <f>T("467 W STREET")</f>
        <v>467 W STREET</v>
      </c>
      <c r="H13623" t="str">
        <f>T("CODE 430")</f>
        <v>CODE 430</v>
      </c>
      <c r="I13623" t="str">
        <f>T("BREMERTON")</f>
        <v>BREMERTON</v>
      </c>
      <c r="J13623" t="str">
        <f>T("WA")</f>
        <v>WA</v>
      </c>
      <c r="K13623" t="str">
        <f t="shared" si="5055"/>
        <v>000000000000000000</v>
      </c>
      <c r="L13623" t="str">
        <f>T("3604767301")</f>
        <v>3604767301</v>
      </c>
    </row>
    <row r="13624" spans="1:12" x14ac:dyDescent="0.35">
      <c r="A13624" t="str">
        <f t="shared" si="5054"/>
        <v>SRF-JRMC YOKOSUKA</v>
      </c>
      <c r="B13624" t="str">
        <f>T("467 W STREET")</f>
        <v>467 W STREET</v>
      </c>
      <c r="C13624" t="str">
        <f>T("CODE 434")</f>
        <v>CODE 434</v>
      </c>
      <c r="D13624" t="str">
        <f>T("BREMERTON")</f>
        <v>BREMERTON</v>
      </c>
      <c r="E13624" t="str">
        <f>T("WA")</f>
        <v>WA</v>
      </c>
      <c r="F13624" t="str">
        <f>T("983145100")</f>
        <v>983145100</v>
      </c>
      <c r="G13624" t="str">
        <f>T("467 W STREET")</f>
        <v>467 W STREET</v>
      </c>
      <c r="H13624" t="str">
        <f>T("CODE 434")</f>
        <v>CODE 434</v>
      </c>
      <c r="I13624" t="str">
        <f>T("BREMERTON")</f>
        <v>BREMERTON</v>
      </c>
      <c r="J13624" t="str">
        <f>T("WA")</f>
        <v>WA</v>
      </c>
      <c r="K13624" t="str">
        <f t="shared" si="5055"/>
        <v>000000000000000000</v>
      </c>
      <c r="L13624" t="str">
        <f>T("3604769308")</f>
        <v>3604769308</v>
      </c>
    </row>
    <row r="13625" spans="1:12" x14ac:dyDescent="0.35">
      <c r="A13625" t="str">
        <f t="shared" si="5054"/>
        <v>SRF-JRMC YOKOSUKA</v>
      </c>
      <c r="B13625" t="str">
        <f t="shared" ref="B13625:B13649" si="5056">T("PSC 473 BOX 8")</f>
        <v>PSC 473 BOX 8</v>
      </c>
      <c r="C13625" t="str">
        <f t="shared" ref="C13625:C13666" si="5057">T("")</f>
        <v/>
      </c>
      <c r="D13625" t="str">
        <f t="shared" ref="D13625:D13655" si="5058">T("FPO")</f>
        <v>FPO</v>
      </c>
      <c r="E13625" t="str">
        <f t="shared" ref="E13625:E13655" si="5059">T("AP")</f>
        <v>AP</v>
      </c>
      <c r="F13625" t="str">
        <f t="shared" ref="F13625:F13649" si="5060">T("963490001")</f>
        <v>963490001</v>
      </c>
      <c r="G13625" t="str">
        <f t="shared" ref="G13625:G13649" si="5061">T("PSC 473 BOX 8")</f>
        <v>PSC 473 BOX 8</v>
      </c>
      <c r="H13625" t="str">
        <f t="shared" ref="H13625:H13655" si="5062">T("")</f>
        <v/>
      </c>
      <c r="I13625" t="str">
        <f t="shared" ref="I13625:I13655" si="5063">T("FPO")</f>
        <v>FPO</v>
      </c>
      <c r="J13625" t="str">
        <f t="shared" ref="J13625:J13655" si="5064">T("AP")</f>
        <v>AP</v>
      </c>
      <c r="K13625" t="str">
        <f t="shared" si="5055"/>
        <v>000000000000000000</v>
      </c>
      <c r="L13625" t="str">
        <f>T("0118146816")</f>
        <v>0118146816</v>
      </c>
    </row>
    <row r="13626" spans="1:12" x14ac:dyDescent="0.35">
      <c r="A13626" t="str">
        <f t="shared" si="5054"/>
        <v>SRF-JRMC YOKOSUKA</v>
      </c>
      <c r="B13626" t="str">
        <f t="shared" si="5056"/>
        <v>PSC 473 BOX 8</v>
      </c>
      <c r="C13626" t="str">
        <f t="shared" si="5057"/>
        <v/>
      </c>
      <c r="D13626" t="str">
        <f t="shared" si="5058"/>
        <v>FPO</v>
      </c>
      <c r="E13626" t="str">
        <f t="shared" si="5059"/>
        <v>AP</v>
      </c>
      <c r="F13626" t="str">
        <f t="shared" si="5060"/>
        <v>963490001</v>
      </c>
      <c r="G13626" t="str">
        <f t="shared" si="5061"/>
        <v>PSC 473 BOX 8</v>
      </c>
      <c r="H13626" t="str">
        <f t="shared" si="5062"/>
        <v/>
      </c>
      <c r="I13626" t="str">
        <f t="shared" si="5063"/>
        <v>FPO</v>
      </c>
      <c r="J13626" t="str">
        <f t="shared" si="5064"/>
        <v>AP</v>
      </c>
      <c r="K13626" t="str">
        <f t="shared" si="5055"/>
        <v>000000000000000000</v>
      </c>
      <c r="L13626" t="str">
        <f t="shared" ref="L13626:L13636" si="5065">T("1111111111")</f>
        <v>1111111111</v>
      </c>
    </row>
    <row r="13627" spans="1:12" x14ac:dyDescent="0.35">
      <c r="A13627" t="str">
        <f t="shared" si="5054"/>
        <v>SRF-JRMC YOKOSUKA</v>
      </c>
      <c r="B13627" t="str">
        <f t="shared" si="5056"/>
        <v>PSC 473 BOX 8</v>
      </c>
      <c r="C13627" t="str">
        <f t="shared" si="5057"/>
        <v/>
      </c>
      <c r="D13627" t="str">
        <f t="shared" si="5058"/>
        <v>FPO</v>
      </c>
      <c r="E13627" t="str">
        <f t="shared" si="5059"/>
        <v>AP</v>
      </c>
      <c r="F13627" t="str">
        <f t="shared" si="5060"/>
        <v>963490001</v>
      </c>
      <c r="G13627" t="str">
        <f t="shared" si="5061"/>
        <v>PSC 473 BOX 8</v>
      </c>
      <c r="H13627" t="str">
        <f t="shared" si="5062"/>
        <v/>
      </c>
      <c r="I13627" t="str">
        <f t="shared" si="5063"/>
        <v>FPO</v>
      </c>
      <c r="J13627" t="str">
        <f t="shared" si="5064"/>
        <v>AP</v>
      </c>
      <c r="K13627" t="str">
        <f>T("011468164574")</f>
        <v>011468164574</v>
      </c>
      <c r="L13627" t="str">
        <f t="shared" si="5065"/>
        <v>1111111111</v>
      </c>
    </row>
    <row r="13628" spans="1:12" x14ac:dyDescent="0.35">
      <c r="A13628" t="str">
        <f t="shared" si="5054"/>
        <v>SRF-JRMC YOKOSUKA</v>
      </c>
      <c r="B13628" t="str">
        <f t="shared" si="5056"/>
        <v>PSC 473 BOX 8</v>
      </c>
      <c r="C13628" t="str">
        <f t="shared" si="5057"/>
        <v/>
      </c>
      <c r="D13628" t="str">
        <f t="shared" si="5058"/>
        <v>FPO</v>
      </c>
      <c r="E13628" t="str">
        <f t="shared" si="5059"/>
        <v>AP</v>
      </c>
      <c r="F13628" t="str">
        <f t="shared" si="5060"/>
        <v>963490001</v>
      </c>
      <c r="G13628" t="str">
        <f t="shared" si="5061"/>
        <v>PSC 473 BOX 8</v>
      </c>
      <c r="H13628" t="str">
        <f t="shared" si="5062"/>
        <v/>
      </c>
      <c r="I13628" t="str">
        <f t="shared" si="5063"/>
        <v>FPO</v>
      </c>
      <c r="J13628" t="str">
        <f t="shared" si="5064"/>
        <v>AP</v>
      </c>
      <c r="K13628" t="str">
        <f>T("01181416864188")</f>
        <v>01181416864188</v>
      </c>
      <c r="L13628" t="str">
        <f t="shared" si="5065"/>
        <v>1111111111</v>
      </c>
    </row>
    <row r="13629" spans="1:12" x14ac:dyDescent="0.35">
      <c r="A13629" t="str">
        <f t="shared" si="5054"/>
        <v>SRF-JRMC YOKOSUKA</v>
      </c>
      <c r="B13629" t="str">
        <f t="shared" si="5056"/>
        <v>PSC 473 BOX 8</v>
      </c>
      <c r="C13629" t="str">
        <f t="shared" si="5057"/>
        <v/>
      </c>
      <c r="D13629" t="str">
        <f t="shared" si="5058"/>
        <v>FPO</v>
      </c>
      <c r="E13629" t="str">
        <f t="shared" si="5059"/>
        <v>AP</v>
      </c>
      <c r="F13629" t="str">
        <f t="shared" si="5060"/>
        <v>963490001</v>
      </c>
      <c r="G13629" t="str">
        <f t="shared" si="5061"/>
        <v>PSC 473 BOX 8</v>
      </c>
      <c r="H13629" t="str">
        <f t="shared" si="5062"/>
        <v/>
      </c>
      <c r="I13629" t="str">
        <f t="shared" si="5063"/>
        <v>FPO</v>
      </c>
      <c r="J13629" t="str">
        <f t="shared" si="5064"/>
        <v>AP</v>
      </c>
      <c r="K13629" t="str">
        <f>T("01181468162199")</f>
        <v>01181468162199</v>
      </c>
      <c r="L13629" t="str">
        <f t="shared" si="5065"/>
        <v>1111111111</v>
      </c>
    </row>
    <row r="13630" spans="1:12" x14ac:dyDescent="0.35">
      <c r="A13630" t="str">
        <f t="shared" si="5054"/>
        <v>SRF-JRMC YOKOSUKA</v>
      </c>
      <c r="B13630" t="str">
        <f t="shared" si="5056"/>
        <v>PSC 473 BOX 8</v>
      </c>
      <c r="C13630" t="str">
        <f t="shared" si="5057"/>
        <v/>
      </c>
      <c r="D13630" t="str">
        <f t="shared" si="5058"/>
        <v>FPO</v>
      </c>
      <c r="E13630" t="str">
        <f t="shared" si="5059"/>
        <v>AP</v>
      </c>
      <c r="F13630" t="str">
        <f t="shared" si="5060"/>
        <v>963490001</v>
      </c>
      <c r="G13630" t="str">
        <f t="shared" si="5061"/>
        <v>PSC 473 BOX 8</v>
      </c>
      <c r="H13630" t="str">
        <f t="shared" si="5062"/>
        <v/>
      </c>
      <c r="I13630" t="str">
        <f t="shared" si="5063"/>
        <v>FPO</v>
      </c>
      <c r="J13630" t="str">
        <f t="shared" si="5064"/>
        <v>AP</v>
      </c>
      <c r="K13630" t="str">
        <f>T("01181468163628")</f>
        <v>01181468163628</v>
      </c>
      <c r="L13630" t="str">
        <f t="shared" si="5065"/>
        <v>1111111111</v>
      </c>
    </row>
    <row r="13631" spans="1:12" x14ac:dyDescent="0.35">
      <c r="A13631" t="str">
        <f t="shared" si="5054"/>
        <v>SRF-JRMC YOKOSUKA</v>
      </c>
      <c r="B13631" t="str">
        <f t="shared" si="5056"/>
        <v>PSC 473 BOX 8</v>
      </c>
      <c r="C13631" t="str">
        <f t="shared" si="5057"/>
        <v/>
      </c>
      <c r="D13631" t="str">
        <f t="shared" si="5058"/>
        <v>FPO</v>
      </c>
      <c r="E13631" t="str">
        <f t="shared" si="5059"/>
        <v>AP</v>
      </c>
      <c r="F13631" t="str">
        <f t="shared" si="5060"/>
        <v>963490001</v>
      </c>
      <c r="G13631" t="str">
        <f t="shared" si="5061"/>
        <v>PSC 473 BOX 8</v>
      </c>
      <c r="H13631" t="str">
        <f t="shared" si="5062"/>
        <v/>
      </c>
      <c r="I13631" t="str">
        <f t="shared" si="5063"/>
        <v>FPO</v>
      </c>
      <c r="J13631" t="str">
        <f t="shared" si="5064"/>
        <v>AP</v>
      </c>
      <c r="K13631" t="str">
        <f>T("01181468164133")</f>
        <v>01181468164133</v>
      </c>
      <c r="L13631" t="str">
        <f t="shared" si="5065"/>
        <v>1111111111</v>
      </c>
    </row>
    <row r="13632" spans="1:12" x14ac:dyDescent="0.35">
      <c r="A13632" t="str">
        <f t="shared" si="5054"/>
        <v>SRF-JRMC YOKOSUKA</v>
      </c>
      <c r="B13632" t="str">
        <f t="shared" si="5056"/>
        <v>PSC 473 BOX 8</v>
      </c>
      <c r="C13632" t="str">
        <f t="shared" si="5057"/>
        <v/>
      </c>
      <c r="D13632" t="str">
        <f t="shared" si="5058"/>
        <v>FPO</v>
      </c>
      <c r="E13632" t="str">
        <f t="shared" si="5059"/>
        <v>AP</v>
      </c>
      <c r="F13632" t="str">
        <f t="shared" si="5060"/>
        <v>963490001</v>
      </c>
      <c r="G13632" t="str">
        <f t="shared" si="5061"/>
        <v>PSC 473 BOX 8</v>
      </c>
      <c r="H13632" t="str">
        <f t="shared" si="5062"/>
        <v/>
      </c>
      <c r="I13632" t="str">
        <f t="shared" si="5063"/>
        <v>FPO</v>
      </c>
      <c r="J13632" t="str">
        <f t="shared" si="5064"/>
        <v>AP</v>
      </c>
      <c r="K13632" t="str">
        <f>T("01181468164256")</f>
        <v>01181468164256</v>
      </c>
      <c r="L13632" t="str">
        <f t="shared" si="5065"/>
        <v>1111111111</v>
      </c>
    </row>
    <row r="13633" spans="1:12" x14ac:dyDescent="0.35">
      <c r="A13633" t="str">
        <f t="shared" si="5054"/>
        <v>SRF-JRMC YOKOSUKA</v>
      </c>
      <c r="B13633" t="str">
        <f t="shared" si="5056"/>
        <v>PSC 473 BOX 8</v>
      </c>
      <c r="C13633" t="str">
        <f t="shared" si="5057"/>
        <v/>
      </c>
      <c r="D13633" t="str">
        <f t="shared" si="5058"/>
        <v>FPO</v>
      </c>
      <c r="E13633" t="str">
        <f t="shared" si="5059"/>
        <v>AP</v>
      </c>
      <c r="F13633" t="str">
        <f t="shared" si="5060"/>
        <v>963490001</v>
      </c>
      <c r="G13633" t="str">
        <f t="shared" si="5061"/>
        <v>PSC 473 BOX 8</v>
      </c>
      <c r="H13633" t="str">
        <f t="shared" si="5062"/>
        <v/>
      </c>
      <c r="I13633" t="str">
        <f t="shared" si="5063"/>
        <v>FPO</v>
      </c>
      <c r="J13633" t="str">
        <f t="shared" si="5064"/>
        <v>AP</v>
      </c>
      <c r="K13633" t="str">
        <f>T("01181468164303")</f>
        <v>01181468164303</v>
      </c>
      <c r="L13633" t="str">
        <f t="shared" si="5065"/>
        <v>1111111111</v>
      </c>
    </row>
    <row r="13634" spans="1:12" x14ac:dyDescent="0.35">
      <c r="A13634" t="str">
        <f t="shared" si="5054"/>
        <v>SRF-JRMC YOKOSUKA</v>
      </c>
      <c r="B13634" t="str">
        <f t="shared" si="5056"/>
        <v>PSC 473 BOX 8</v>
      </c>
      <c r="C13634" t="str">
        <f t="shared" si="5057"/>
        <v/>
      </c>
      <c r="D13634" t="str">
        <f t="shared" si="5058"/>
        <v>FPO</v>
      </c>
      <c r="E13634" t="str">
        <f t="shared" si="5059"/>
        <v>AP</v>
      </c>
      <c r="F13634" t="str">
        <f t="shared" si="5060"/>
        <v>963490001</v>
      </c>
      <c r="G13634" t="str">
        <f t="shared" si="5061"/>
        <v>PSC 473 BOX 8</v>
      </c>
      <c r="H13634" t="str">
        <f t="shared" si="5062"/>
        <v/>
      </c>
      <c r="I13634" t="str">
        <f t="shared" si="5063"/>
        <v>FPO</v>
      </c>
      <c r="J13634" t="str">
        <f t="shared" si="5064"/>
        <v>AP</v>
      </c>
      <c r="K13634" t="str">
        <f>T("01181468164367")</f>
        <v>01181468164367</v>
      </c>
      <c r="L13634" t="str">
        <f t="shared" si="5065"/>
        <v>1111111111</v>
      </c>
    </row>
    <row r="13635" spans="1:12" x14ac:dyDescent="0.35">
      <c r="A13635" t="str">
        <f t="shared" si="5054"/>
        <v>SRF-JRMC YOKOSUKA</v>
      </c>
      <c r="B13635" t="str">
        <f t="shared" si="5056"/>
        <v>PSC 473 BOX 8</v>
      </c>
      <c r="C13635" t="str">
        <f t="shared" si="5057"/>
        <v/>
      </c>
      <c r="D13635" t="str">
        <f t="shared" si="5058"/>
        <v>FPO</v>
      </c>
      <c r="E13635" t="str">
        <f t="shared" si="5059"/>
        <v>AP</v>
      </c>
      <c r="F13635" t="str">
        <f t="shared" si="5060"/>
        <v>963490001</v>
      </c>
      <c r="G13635" t="str">
        <f t="shared" si="5061"/>
        <v>PSC 473 BOX 8</v>
      </c>
      <c r="H13635" t="str">
        <f t="shared" si="5062"/>
        <v/>
      </c>
      <c r="I13635" t="str">
        <f t="shared" si="5063"/>
        <v>FPO</v>
      </c>
      <c r="J13635" t="str">
        <f t="shared" si="5064"/>
        <v>AP</v>
      </c>
      <c r="K13635" t="str">
        <f>T("01181468164386")</f>
        <v>01181468164386</v>
      </c>
      <c r="L13635" t="str">
        <f t="shared" si="5065"/>
        <v>1111111111</v>
      </c>
    </row>
    <row r="13636" spans="1:12" x14ac:dyDescent="0.35">
      <c r="A13636" t="str">
        <f t="shared" si="5054"/>
        <v>SRF-JRMC YOKOSUKA</v>
      </c>
      <c r="B13636" t="str">
        <f t="shared" si="5056"/>
        <v>PSC 473 BOX 8</v>
      </c>
      <c r="C13636" t="str">
        <f t="shared" si="5057"/>
        <v/>
      </c>
      <c r="D13636" t="str">
        <f t="shared" si="5058"/>
        <v>FPO</v>
      </c>
      <c r="E13636" t="str">
        <f t="shared" si="5059"/>
        <v>AP</v>
      </c>
      <c r="F13636" t="str">
        <f t="shared" si="5060"/>
        <v>963490001</v>
      </c>
      <c r="G13636" t="str">
        <f t="shared" si="5061"/>
        <v>PSC 473 BOX 8</v>
      </c>
      <c r="H13636" t="str">
        <f t="shared" si="5062"/>
        <v/>
      </c>
      <c r="I13636" t="str">
        <f t="shared" si="5063"/>
        <v>FPO</v>
      </c>
      <c r="J13636" t="str">
        <f t="shared" si="5064"/>
        <v>AP</v>
      </c>
      <c r="K13636" t="str">
        <f>T("01181468164389")</f>
        <v>01181468164389</v>
      </c>
      <c r="L13636" t="str">
        <f t="shared" si="5065"/>
        <v>1111111111</v>
      </c>
    </row>
    <row r="13637" spans="1:12" x14ac:dyDescent="0.35">
      <c r="A13637" t="str">
        <f t="shared" si="5054"/>
        <v>SRF-JRMC YOKOSUKA</v>
      </c>
      <c r="B13637" t="str">
        <f t="shared" si="5056"/>
        <v>PSC 473 BOX 8</v>
      </c>
      <c r="C13637" t="str">
        <f t="shared" si="5057"/>
        <v/>
      </c>
      <c r="D13637" t="str">
        <f t="shared" si="5058"/>
        <v>FPO</v>
      </c>
      <c r="E13637" t="str">
        <f t="shared" si="5059"/>
        <v>AP</v>
      </c>
      <c r="F13637" t="str">
        <f t="shared" si="5060"/>
        <v>963490001</v>
      </c>
      <c r="G13637" t="str">
        <f t="shared" si="5061"/>
        <v>PSC 473 BOX 8</v>
      </c>
      <c r="H13637" t="str">
        <f t="shared" si="5062"/>
        <v/>
      </c>
      <c r="I13637" t="str">
        <f t="shared" si="5063"/>
        <v>FPO</v>
      </c>
      <c r="J13637" t="str">
        <f t="shared" si="5064"/>
        <v>AP</v>
      </c>
      <c r="K13637" t="str">
        <f>T("01181468164545")</f>
        <v>01181468164545</v>
      </c>
      <c r="L13637" t="str">
        <f>T("3152432344")</f>
        <v>3152432344</v>
      </c>
    </row>
    <row r="13638" spans="1:12" x14ac:dyDescent="0.35">
      <c r="A13638" t="str">
        <f t="shared" si="5054"/>
        <v>SRF-JRMC YOKOSUKA</v>
      </c>
      <c r="B13638" t="str">
        <f t="shared" si="5056"/>
        <v>PSC 473 BOX 8</v>
      </c>
      <c r="C13638" t="str">
        <f t="shared" si="5057"/>
        <v/>
      </c>
      <c r="D13638" t="str">
        <f t="shared" si="5058"/>
        <v>FPO</v>
      </c>
      <c r="E13638" t="str">
        <f t="shared" si="5059"/>
        <v>AP</v>
      </c>
      <c r="F13638" t="str">
        <f t="shared" si="5060"/>
        <v>963490001</v>
      </c>
      <c r="G13638" t="str">
        <f t="shared" si="5061"/>
        <v>PSC 473 BOX 8</v>
      </c>
      <c r="H13638" t="str">
        <f t="shared" si="5062"/>
        <v/>
      </c>
      <c r="I13638" t="str">
        <f t="shared" si="5063"/>
        <v>FPO</v>
      </c>
      <c r="J13638" t="str">
        <f t="shared" si="5064"/>
        <v>AP</v>
      </c>
      <c r="K13638" t="str">
        <f>T("01181468164560")</f>
        <v>01181468164560</v>
      </c>
      <c r="L13638" t="str">
        <f t="shared" ref="L13638:L13655" si="5066">T("1111111111")</f>
        <v>1111111111</v>
      </c>
    </row>
    <row r="13639" spans="1:12" x14ac:dyDescent="0.35">
      <c r="A13639" t="str">
        <f t="shared" si="5054"/>
        <v>SRF-JRMC YOKOSUKA</v>
      </c>
      <c r="B13639" t="str">
        <f t="shared" si="5056"/>
        <v>PSC 473 BOX 8</v>
      </c>
      <c r="C13639" t="str">
        <f t="shared" si="5057"/>
        <v/>
      </c>
      <c r="D13639" t="str">
        <f t="shared" si="5058"/>
        <v>FPO</v>
      </c>
      <c r="E13639" t="str">
        <f t="shared" si="5059"/>
        <v>AP</v>
      </c>
      <c r="F13639" t="str">
        <f t="shared" si="5060"/>
        <v>963490001</v>
      </c>
      <c r="G13639" t="str">
        <f t="shared" si="5061"/>
        <v>PSC 473 BOX 8</v>
      </c>
      <c r="H13639" t="str">
        <f t="shared" si="5062"/>
        <v/>
      </c>
      <c r="I13639" t="str">
        <f t="shared" si="5063"/>
        <v>FPO</v>
      </c>
      <c r="J13639" t="str">
        <f t="shared" si="5064"/>
        <v>AP</v>
      </c>
      <c r="K13639" t="str">
        <f>T("01181468164574")</f>
        <v>01181468164574</v>
      </c>
      <c r="L13639" t="str">
        <f t="shared" si="5066"/>
        <v>1111111111</v>
      </c>
    </row>
    <row r="13640" spans="1:12" x14ac:dyDescent="0.35">
      <c r="A13640" t="str">
        <f t="shared" si="5054"/>
        <v>SRF-JRMC YOKOSUKA</v>
      </c>
      <c r="B13640" t="str">
        <f t="shared" si="5056"/>
        <v>PSC 473 BOX 8</v>
      </c>
      <c r="C13640" t="str">
        <f t="shared" si="5057"/>
        <v/>
      </c>
      <c r="D13640" t="str">
        <f t="shared" si="5058"/>
        <v>FPO</v>
      </c>
      <c r="E13640" t="str">
        <f t="shared" si="5059"/>
        <v>AP</v>
      </c>
      <c r="F13640" t="str">
        <f t="shared" si="5060"/>
        <v>963490001</v>
      </c>
      <c r="G13640" t="str">
        <f t="shared" si="5061"/>
        <v>PSC 473 BOX 8</v>
      </c>
      <c r="H13640" t="str">
        <f t="shared" si="5062"/>
        <v/>
      </c>
      <c r="I13640" t="str">
        <f t="shared" si="5063"/>
        <v>FPO</v>
      </c>
      <c r="J13640" t="str">
        <f t="shared" si="5064"/>
        <v>AP</v>
      </c>
      <c r="K13640" t="str">
        <f>T("01181468164601")</f>
        <v>01181468164601</v>
      </c>
      <c r="L13640" t="str">
        <f t="shared" si="5066"/>
        <v>1111111111</v>
      </c>
    </row>
    <row r="13641" spans="1:12" x14ac:dyDescent="0.35">
      <c r="A13641" t="str">
        <f t="shared" si="5054"/>
        <v>SRF-JRMC YOKOSUKA</v>
      </c>
      <c r="B13641" t="str">
        <f t="shared" si="5056"/>
        <v>PSC 473 BOX 8</v>
      </c>
      <c r="C13641" t="str">
        <f t="shared" si="5057"/>
        <v/>
      </c>
      <c r="D13641" t="str">
        <f t="shared" si="5058"/>
        <v>FPO</v>
      </c>
      <c r="E13641" t="str">
        <f t="shared" si="5059"/>
        <v>AP</v>
      </c>
      <c r="F13641" t="str">
        <f t="shared" si="5060"/>
        <v>963490001</v>
      </c>
      <c r="G13641" t="str">
        <f t="shared" si="5061"/>
        <v>PSC 473 BOX 8</v>
      </c>
      <c r="H13641" t="str">
        <f t="shared" si="5062"/>
        <v/>
      </c>
      <c r="I13641" t="str">
        <f t="shared" si="5063"/>
        <v>FPO</v>
      </c>
      <c r="J13641" t="str">
        <f t="shared" si="5064"/>
        <v>AP</v>
      </c>
      <c r="K13641" t="str">
        <f>T("01181468165470")</f>
        <v>01181468165470</v>
      </c>
      <c r="L13641" t="str">
        <f t="shared" si="5066"/>
        <v>1111111111</v>
      </c>
    </row>
    <row r="13642" spans="1:12" x14ac:dyDescent="0.35">
      <c r="A13642" t="str">
        <f t="shared" si="5054"/>
        <v>SRF-JRMC YOKOSUKA</v>
      </c>
      <c r="B13642" t="str">
        <f t="shared" si="5056"/>
        <v>PSC 473 BOX 8</v>
      </c>
      <c r="C13642" t="str">
        <f t="shared" si="5057"/>
        <v/>
      </c>
      <c r="D13642" t="str">
        <f t="shared" si="5058"/>
        <v>FPO</v>
      </c>
      <c r="E13642" t="str">
        <f t="shared" si="5059"/>
        <v>AP</v>
      </c>
      <c r="F13642" t="str">
        <f t="shared" si="5060"/>
        <v>963490001</v>
      </c>
      <c r="G13642" t="str">
        <f t="shared" si="5061"/>
        <v>PSC 473 BOX 8</v>
      </c>
      <c r="H13642" t="str">
        <f t="shared" si="5062"/>
        <v/>
      </c>
      <c r="I13642" t="str">
        <f t="shared" si="5063"/>
        <v>FPO</v>
      </c>
      <c r="J13642" t="str">
        <f t="shared" si="5064"/>
        <v>AP</v>
      </c>
      <c r="K13642" t="str">
        <f>T("01181468165500")</f>
        <v>01181468165500</v>
      </c>
      <c r="L13642" t="str">
        <f t="shared" si="5066"/>
        <v>1111111111</v>
      </c>
    </row>
    <row r="13643" spans="1:12" x14ac:dyDescent="0.35">
      <c r="A13643" t="str">
        <f t="shared" si="5054"/>
        <v>SRF-JRMC YOKOSUKA</v>
      </c>
      <c r="B13643" t="str">
        <f t="shared" si="5056"/>
        <v>PSC 473 BOX 8</v>
      </c>
      <c r="C13643" t="str">
        <f t="shared" si="5057"/>
        <v/>
      </c>
      <c r="D13643" t="str">
        <f t="shared" si="5058"/>
        <v>FPO</v>
      </c>
      <c r="E13643" t="str">
        <f t="shared" si="5059"/>
        <v>AP</v>
      </c>
      <c r="F13643" t="str">
        <f t="shared" si="5060"/>
        <v>963490001</v>
      </c>
      <c r="G13643" t="str">
        <f t="shared" si="5061"/>
        <v>PSC 473 BOX 8</v>
      </c>
      <c r="H13643" t="str">
        <f t="shared" si="5062"/>
        <v/>
      </c>
      <c r="I13643" t="str">
        <f t="shared" si="5063"/>
        <v>FPO</v>
      </c>
      <c r="J13643" t="str">
        <f t="shared" si="5064"/>
        <v>AP</v>
      </c>
      <c r="K13643" t="str">
        <f>T("01181468166227")</f>
        <v>01181468166227</v>
      </c>
      <c r="L13643" t="str">
        <f t="shared" si="5066"/>
        <v>1111111111</v>
      </c>
    </row>
    <row r="13644" spans="1:12" x14ac:dyDescent="0.35">
      <c r="A13644" t="str">
        <f t="shared" si="5054"/>
        <v>SRF-JRMC YOKOSUKA</v>
      </c>
      <c r="B13644" t="str">
        <f t="shared" si="5056"/>
        <v>PSC 473 BOX 8</v>
      </c>
      <c r="C13644" t="str">
        <f t="shared" si="5057"/>
        <v/>
      </c>
      <c r="D13644" t="str">
        <f t="shared" si="5058"/>
        <v>FPO</v>
      </c>
      <c r="E13644" t="str">
        <f t="shared" si="5059"/>
        <v>AP</v>
      </c>
      <c r="F13644" t="str">
        <f t="shared" si="5060"/>
        <v>963490001</v>
      </c>
      <c r="G13644" t="str">
        <f t="shared" si="5061"/>
        <v>PSC 473 BOX 8</v>
      </c>
      <c r="H13644" t="str">
        <f t="shared" si="5062"/>
        <v/>
      </c>
      <c r="I13644" t="str">
        <f t="shared" si="5063"/>
        <v>FPO</v>
      </c>
      <c r="J13644" t="str">
        <f t="shared" si="5064"/>
        <v>AP</v>
      </c>
      <c r="K13644" t="str">
        <f>T("01181468166423")</f>
        <v>01181468166423</v>
      </c>
      <c r="L13644" t="str">
        <f t="shared" si="5066"/>
        <v>1111111111</v>
      </c>
    </row>
    <row r="13645" spans="1:12" x14ac:dyDescent="0.35">
      <c r="A13645" t="str">
        <f t="shared" si="5054"/>
        <v>SRF-JRMC YOKOSUKA</v>
      </c>
      <c r="B13645" t="str">
        <f t="shared" si="5056"/>
        <v>PSC 473 BOX 8</v>
      </c>
      <c r="C13645" t="str">
        <f t="shared" si="5057"/>
        <v/>
      </c>
      <c r="D13645" t="str">
        <f t="shared" si="5058"/>
        <v>FPO</v>
      </c>
      <c r="E13645" t="str">
        <f t="shared" si="5059"/>
        <v>AP</v>
      </c>
      <c r="F13645" t="str">
        <f t="shared" si="5060"/>
        <v>963490001</v>
      </c>
      <c r="G13645" t="str">
        <f t="shared" si="5061"/>
        <v>PSC 473 BOX 8</v>
      </c>
      <c r="H13645" t="str">
        <f t="shared" si="5062"/>
        <v/>
      </c>
      <c r="I13645" t="str">
        <f t="shared" si="5063"/>
        <v>FPO</v>
      </c>
      <c r="J13645" t="str">
        <f t="shared" si="5064"/>
        <v>AP</v>
      </c>
      <c r="K13645" t="str">
        <f>T("01181468167229")</f>
        <v>01181468167229</v>
      </c>
      <c r="L13645" t="str">
        <f t="shared" si="5066"/>
        <v>1111111111</v>
      </c>
    </row>
    <row r="13646" spans="1:12" x14ac:dyDescent="0.35">
      <c r="A13646" t="str">
        <f t="shared" si="5054"/>
        <v>SRF-JRMC YOKOSUKA</v>
      </c>
      <c r="B13646" t="str">
        <f t="shared" si="5056"/>
        <v>PSC 473 BOX 8</v>
      </c>
      <c r="C13646" t="str">
        <f t="shared" si="5057"/>
        <v/>
      </c>
      <c r="D13646" t="str">
        <f t="shared" si="5058"/>
        <v>FPO</v>
      </c>
      <c r="E13646" t="str">
        <f t="shared" si="5059"/>
        <v>AP</v>
      </c>
      <c r="F13646" t="str">
        <f t="shared" si="5060"/>
        <v>963490001</v>
      </c>
      <c r="G13646" t="str">
        <f t="shared" si="5061"/>
        <v>PSC 473 BOX 8</v>
      </c>
      <c r="H13646" t="str">
        <f t="shared" si="5062"/>
        <v/>
      </c>
      <c r="I13646" t="str">
        <f t="shared" si="5063"/>
        <v>FPO</v>
      </c>
      <c r="J13646" t="str">
        <f t="shared" si="5064"/>
        <v>AP</v>
      </c>
      <c r="K13646" t="str">
        <f>T("01181468167343")</f>
        <v>01181468167343</v>
      </c>
      <c r="L13646" t="str">
        <f t="shared" si="5066"/>
        <v>1111111111</v>
      </c>
    </row>
    <row r="13647" spans="1:12" x14ac:dyDescent="0.35">
      <c r="A13647" t="str">
        <f t="shared" si="5054"/>
        <v>SRF-JRMC YOKOSUKA</v>
      </c>
      <c r="B13647" t="str">
        <f t="shared" si="5056"/>
        <v>PSC 473 BOX 8</v>
      </c>
      <c r="C13647" t="str">
        <f t="shared" si="5057"/>
        <v/>
      </c>
      <c r="D13647" t="str">
        <f t="shared" si="5058"/>
        <v>FPO</v>
      </c>
      <c r="E13647" t="str">
        <f t="shared" si="5059"/>
        <v>AP</v>
      </c>
      <c r="F13647" t="str">
        <f t="shared" si="5060"/>
        <v>963490001</v>
      </c>
      <c r="G13647" t="str">
        <f t="shared" si="5061"/>
        <v>PSC 473 BOX 8</v>
      </c>
      <c r="H13647" t="str">
        <f t="shared" si="5062"/>
        <v/>
      </c>
      <c r="I13647" t="str">
        <f t="shared" si="5063"/>
        <v>FPO</v>
      </c>
      <c r="J13647" t="str">
        <f t="shared" si="5064"/>
        <v>AP</v>
      </c>
      <c r="K13647" t="str">
        <f>T("01181468167618")</f>
        <v>01181468167618</v>
      </c>
      <c r="L13647" t="str">
        <f t="shared" si="5066"/>
        <v>1111111111</v>
      </c>
    </row>
    <row r="13648" spans="1:12" x14ac:dyDescent="0.35">
      <c r="A13648" t="str">
        <f t="shared" si="5054"/>
        <v>SRF-JRMC YOKOSUKA</v>
      </c>
      <c r="B13648" t="str">
        <f t="shared" si="5056"/>
        <v>PSC 473 BOX 8</v>
      </c>
      <c r="C13648" t="str">
        <f t="shared" si="5057"/>
        <v/>
      </c>
      <c r="D13648" t="str">
        <f t="shared" si="5058"/>
        <v>FPO</v>
      </c>
      <c r="E13648" t="str">
        <f t="shared" si="5059"/>
        <v>AP</v>
      </c>
      <c r="F13648" t="str">
        <f t="shared" si="5060"/>
        <v>963490001</v>
      </c>
      <c r="G13648" t="str">
        <f t="shared" si="5061"/>
        <v>PSC 473 BOX 8</v>
      </c>
      <c r="H13648" t="str">
        <f t="shared" si="5062"/>
        <v/>
      </c>
      <c r="I13648" t="str">
        <f t="shared" si="5063"/>
        <v>FPO</v>
      </c>
      <c r="J13648" t="str">
        <f t="shared" si="5064"/>
        <v>AP</v>
      </c>
      <c r="K13648" t="str">
        <f>T("01181468169810")</f>
        <v>01181468169810</v>
      </c>
      <c r="L13648" t="str">
        <f t="shared" si="5066"/>
        <v>1111111111</v>
      </c>
    </row>
    <row r="13649" spans="1:12" x14ac:dyDescent="0.35">
      <c r="A13649" t="str">
        <f t="shared" si="5054"/>
        <v>SRF-JRMC YOKOSUKA</v>
      </c>
      <c r="B13649" t="str">
        <f t="shared" si="5056"/>
        <v>PSC 473 BOX 8</v>
      </c>
      <c r="C13649" t="str">
        <f t="shared" si="5057"/>
        <v/>
      </c>
      <c r="D13649" t="str">
        <f t="shared" si="5058"/>
        <v>FPO</v>
      </c>
      <c r="E13649" t="str">
        <f t="shared" si="5059"/>
        <v>AP</v>
      </c>
      <c r="F13649" t="str">
        <f t="shared" si="5060"/>
        <v>963490001</v>
      </c>
      <c r="G13649" t="str">
        <f t="shared" si="5061"/>
        <v>PSC 473 BOX 8</v>
      </c>
      <c r="H13649" t="str">
        <f t="shared" si="5062"/>
        <v/>
      </c>
      <c r="I13649" t="str">
        <f t="shared" si="5063"/>
        <v>FPO</v>
      </c>
      <c r="J13649" t="str">
        <f t="shared" si="5064"/>
        <v>AP</v>
      </c>
      <c r="K13649" t="str">
        <f>T("81468164574")</f>
        <v>81468164574</v>
      </c>
      <c r="L13649" t="str">
        <f t="shared" si="5066"/>
        <v>1111111111</v>
      </c>
    </row>
    <row r="13650" spans="1:12" x14ac:dyDescent="0.35">
      <c r="A13650" t="str">
        <f t="shared" si="5054"/>
        <v>SRF-JRMC YOKOSUKA</v>
      </c>
      <c r="B13650" t="str">
        <f t="shared" ref="B13650:B13655" si="5067">T("PSC 476 BOX 16")</f>
        <v>PSC 476 BOX 16</v>
      </c>
      <c r="C13650" t="str">
        <f t="shared" si="5057"/>
        <v/>
      </c>
      <c r="D13650" t="str">
        <f t="shared" si="5058"/>
        <v>FPO</v>
      </c>
      <c r="E13650" t="str">
        <f t="shared" si="5059"/>
        <v>AP</v>
      </c>
      <c r="F13650" t="str">
        <f t="shared" ref="F13650:F13655" si="5068">T("963220001")</f>
        <v>963220001</v>
      </c>
      <c r="G13650" t="str">
        <f t="shared" ref="G13650:G13655" si="5069">T("PSC 476 BOX 16")</f>
        <v>PSC 476 BOX 16</v>
      </c>
      <c r="H13650" t="str">
        <f t="shared" si="5062"/>
        <v/>
      </c>
      <c r="I13650" t="str">
        <f t="shared" si="5063"/>
        <v>FPO</v>
      </c>
      <c r="J13650" t="str">
        <f t="shared" si="5064"/>
        <v>AP</v>
      </c>
      <c r="K13650" t="str">
        <f>T("000000000000000000")</f>
        <v>000000000000000000</v>
      </c>
      <c r="L13650" t="str">
        <f t="shared" si="5066"/>
        <v>1111111111</v>
      </c>
    </row>
    <row r="13651" spans="1:12" x14ac:dyDescent="0.35">
      <c r="A13651" t="str">
        <f t="shared" si="5054"/>
        <v>SRF-JRMC YOKOSUKA</v>
      </c>
      <c r="B13651" t="str">
        <f t="shared" si="5067"/>
        <v>PSC 476 BOX 16</v>
      </c>
      <c r="C13651" t="str">
        <f t="shared" si="5057"/>
        <v/>
      </c>
      <c r="D13651" t="str">
        <f t="shared" si="5058"/>
        <v>FPO</v>
      </c>
      <c r="E13651" t="str">
        <f t="shared" si="5059"/>
        <v>AP</v>
      </c>
      <c r="F13651" t="str">
        <f t="shared" si="5068"/>
        <v>963220001</v>
      </c>
      <c r="G13651" t="str">
        <f t="shared" si="5069"/>
        <v>PSC 476 BOX 16</v>
      </c>
      <c r="H13651" t="str">
        <f t="shared" si="5062"/>
        <v/>
      </c>
      <c r="I13651" t="str">
        <f t="shared" si="5063"/>
        <v>FPO</v>
      </c>
      <c r="J13651" t="str">
        <f t="shared" si="5064"/>
        <v>AP</v>
      </c>
      <c r="K13651" t="str">
        <f>T("01181468163641")</f>
        <v>01181468163641</v>
      </c>
      <c r="L13651" t="str">
        <f t="shared" si="5066"/>
        <v>1111111111</v>
      </c>
    </row>
    <row r="13652" spans="1:12" x14ac:dyDescent="0.35">
      <c r="A13652" t="str">
        <f t="shared" si="5054"/>
        <v>SRF-JRMC YOKOSUKA</v>
      </c>
      <c r="B13652" t="str">
        <f t="shared" si="5067"/>
        <v>PSC 476 BOX 16</v>
      </c>
      <c r="C13652" t="str">
        <f t="shared" si="5057"/>
        <v/>
      </c>
      <c r="D13652" t="str">
        <f t="shared" si="5058"/>
        <v>FPO</v>
      </c>
      <c r="E13652" t="str">
        <f t="shared" si="5059"/>
        <v>AP</v>
      </c>
      <c r="F13652" t="str">
        <f t="shared" si="5068"/>
        <v>963220001</v>
      </c>
      <c r="G13652" t="str">
        <f t="shared" si="5069"/>
        <v>PSC 476 BOX 16</v>
      </c>
      <c r="H13652" t="str">
        <f t="shared" si="5062"/>
        <v/>
      </c>
      <c r="I13652" t="str">
        <f t="shared" si="5063"/>
        <v>FPO</v>
      </c>
      <c r="J13652" t="str">
        <f t="shared" si="5064"/>
        <v>AP</v>
      </c>
      <c r="K13652" t="str">
        <f>T("01181956503732")</f>
        <v>01181956503732</v>
      </c>
      <c r="L13652" t="str">
        <f t="shared" si="5066"/>
        <v>1111111111</v>
      </c>
    </row>
    <row r="13653" spans="1:12" x14ac:dyDescent="0.35">
      <c r="A13653" t="str">
        <f t="shared" si="5054"/>
        <v>SRF-JRMC YOKOSUKA</v>
      </c>
      <c r="B13653" t="str">
        <f t="shared" si="5067"/>
        <v>PSC 476 BOX 16</v>
      </c>
      <c r="C13653" t="str">
        <f t="shared" si="5057"/>
        <v/>
      </c>
      <c r="D13653" t="str">
        <f t="shared" si="5058"/>
        <v>FPO</v>
      </c>
      <c r="E13653" t="str">
        <f t="shared" si="5059"/>
        <v>AP</v>
      </c>
      <c r="F13653" t="str">
        <f t="shared" si="5068"/>
        <v>963220001</v>
      </c>
      <c r="G13653" t="str">
        <f t="shared" si="5069"/>
        <v>PSC 476 BOX 16</v>
      </c>
      <c r="H13653" t="str">
        <f t="shared" si="5062"/>
        <v/>
      </c>
      <c r="I13653" t="str">
        <f t="shared" si="5063"/>
        <v>FPO</v>
      </c>
      <c r="J13653" t="str">
        <f t="shared" si="5064"/>
        <v>AP</v>
      </c>
      <c r="K13653" t="str">
        <f>T("01181956505232")</f>
        <v>01181956505232</v>
      </c>
      <c r="L13653" t="str">
        <f t="shared" si="5066"/>
        <v>1111111111</v>
      </c>
    </row>
    <row r="13654" spans="1:12" x14ac:dyDescent="0.35">
      <c r="A13654" t="str">
        <f t="shared" si="5054"/>
        <v>SRF-JRMC YOKOSUKA</v>
      </c>
      <c r="B13654" t="str">
        <f t="shared" si="5067"/>
        <v>PSC 476 BOX 16</v>
      </c>
      <c r="C13654" t="str">
        <f t="shared" si="5057"/>
        <v/>
      </c>
      <c r="D13654" t="str">
        <f t="shared" si="5058"/>
        <v>FPO</v>
      </c>
      <c r="E13654" t="str">
        <f t="shared" si="5059"/>
        <v>AP</v>
      </c>
      <c r="F13654" t="str">
        <f t="shared" si="5068"/>
        <v>963220001</v>
      </c>
      <c r="G13654" t="str">
        <f t="shared" si="5069"/>
        <v>PSC 476 BOX 16</v>
      </c>
      <c r="H13654" t="str">
        <f t="shared" si="5062"/>
        <v/>
      </c>
      <c r="I13654" t="str">
        <f t="shared" si="5063"/>
        <v>FPO</v>
      </c>
      <c r="J13654" t="str">
        <f t="shared" si="5064"/>
        <v>AP</v>
      </c>
      <c r="K13654" t="str">
        <f>T("01181956506772")</f>
        <v>01181956506772</v>
      </c>
      <c r="L13654" t="str">
        <f t="shared" si="5066"/>
        <v>1111111111</v>
      </c>
    </row>
    <row r="13655" spans="1:12" x14ac:dyDescent="0.35">
      <c r="A13655" t="str">
        <f t="shared" si="5054"/>
        <v>SRF-JRMC YOKOSUKA</v>
      </c>
      <c r="B13655" t="str">
        <f t="shared" si="5067"/>
        <v>PSC 476 BOX 16</v>
      </c>
      <c r="C13655" t="str">
        <f t="shared" si="5057"/>
        <v/>
      </c>
      <c r="D13655" t="str">
        <f t="shared" si="5058"/>
        <v>FPO</v>
      </c>
      <c r="E13655" t="str">
        <f t="shared" si="5059"/>
        <v>AP</v>
      </c>
      <c r="F13655" t="str">
        <f t="shared" si="5068"/>
        <v>963220001</v>
      </c>
      <c r="G13655" t="str">
        <f t="shared" si="5069"/>
        <v>PSC 476 BOX 16</v>
      </c>
      <c r="H13655" t="str">
        <f t="shared" si="5062"/>
        <v/>
      </c>
      <c r="I13655" t="str">
        <f t="shared" si="5063"/>
        <v>FPO</v>
      </c>
      <c r="J13655" t="str">
        <f t="shared" si="5064"/>
        <v>AP</v>
      </c>
      <c r="K13655" t="str">
        <f>T("01181965502872")</f>
        <v>01181965502872</v>
      </c>
      <c r="L13655" t="str">
        <f t="shared" si="5066"/>
        <v>1111111111</v>
      </c>
    </row>
    <row r="13656" spans="1:12" x14ac:dyDescent="0.35">
      <c r="A13656" t="str">
        <f>T("EXPEDITIONARY WAFARE TRAINING")</f>
        <v>EXPEDITIONARY WAFARE TRAINING</v>
      </c>
      <c r="B13656" t="str">
        <f>T("3423 GUADALCANAL ROAD")</f>
        <v>3423 GUADALCANAL ROAD</v>
      </c>
      <c r="C13656" t="str">
        <f t="shared" si="5057"/>
        <v/>
      </c>
      <c r="D13656" t="str">
        <f t="shared" ref="D13656:D13661" si="5070">T("SAN DIEGO")</f>
        <v>SAN DIEGO</v>
      </c>
      <c r="E13656" t="str">
        <f t="shared" ref="E13656:E13661" si="5071">T("CA")</f>
        <v>CA</v>
      </c>
      <c r="F13656" t="str">
        <f>T("921555000")</f>
        <v>921555000</v>
      </c>
      <c r="G13656" t="str">
        <f>T("3423 GUADALCANAL RD")</f>
        <v>3423 GUADALCANAL RD</v>
      </c>
      <c r="H13656" t="str">
        <f>T("BLDG 15")</f>
        <v>BLDG 15</v>
      </c>
      <c r="I13656" t="str">
        <f t="shared" ref="I13656:I13661" si="5072">T("SAN DIEGO")</f>
        <v>SAN DIEGO</v>
      </c>
      <c r="J13656" t="str">
        <f t="shared" ref="J13656:J13661" si="5073">T("CA")</f>
        <v>CA</v>
      </c>
      <c r="K13656" t="str">
        <f>T("6194372771")</f>
        <v>6194372771</v>
      </c>
      <c r="L13656" t="str">
        <f>T("6194372241")</f>
        <v>6194372241</v>
      </c>
    </row>
    <row r="13657" spans="1:12" x14ac:dyDescent="0.35">
      <c r="A13657" t="str">
        <f>T("EXPEDITIONARY WAFARE TRAINING")</f>
        <v>EXPEDITIONARY WAFARE TRAINING</v>
      </c>
      <c r="B13657" t="str">
        <f>T("3423 GUADALCANAL ROAD")</f>
        <v>3423 GUADALCANAL ROAD</v>
      </c>
      <c r="C13657" t="str">
        <f t="shared" si="5057"/>
        <v/>
      </c>
      <c r="D13657" t="str">
        <f t="shared" si="5070"/>
        <v>SAN DIEGO</v>
      </c>
      <c r="E13657" t="str">
        <f t="shared" si="5071"/>
        <v>CA</v>
      </c>
      <c r="F13657" t="str">
        <f>T("921555000")</f>
        <v>921555000</v>
      </c>
      <c r="G13657" t="str">
        <f>T("3423 GUADALCANAL RD BLDG 15")</f>
        <v>3423 GUADALCANAL RD BLDG 15</v>
      </c>
      <c r="H13657" t="str">
        <f>T("")</f>
        <v/>
      </c>
      <c r="I13657" t="str">
        <f t="shared" si="5072"/>
        <v>SAN DIEGO</v>
      </c>
      <c r="J13657" t="str">
        <f t="shared" si="5073"/>
        <v>CA</v>
      </c>
      <c r="K13657" t="str">
        <f>T("6194372771")</f>
        <v>6194372771</v>
      </c>
      <c r="L13657" t="str">
        <f>T("6195227758")</f>
        <v>6195227758</v>
      </c>
    </row>
    <row r="13658" spans="1:12" x14ac:dyDescent="0.35">
      <c r="A13658" t="str">
        <f>T("EXPEDITIONARY WAFARE TRAINING")</f>
        <v>EXPEDITIONARY WAFARE TRAINING</v>
      </c>
      <c r="B13658" t="str">
        <f>T("3423 GUADALCANAL ROAD")</f>
        <v>3423 GUADALCANAL ROAD</v>
      </c>
      <c r="C13658" t="str">
        <f t="shared" si="5057"/>
        <v/>
      </c>
      <c r="D13658" t="str">
        <f t="shared" si="5070"/>
        <v>SAN DIEGO</v>
      </c>
      <c r="E13658" t="str">
        <f t="shared" si="5071"/>
        <v>CA</v>
      </c>
      <c r="F13658" t="str">
        <f>T("921555000")</f>
        <v>921555000</v>
      </c>
      <c r="G13658" t="str">
        <f>T("3423 GUADALCANAL ROAD")</f>
        <v>3423 GUADALCANAL ROAD</v>
      </c>
      <c r="H13658" t="str">
        <f>T("")</f>
        <v/>
      </c>
      <c r="I13658" t="str">
        <f t="shared" si="5072"/>
        <v>SAN DIEGO</v>
      </c>
      <c r="J13658" t="str">
        <f t="shared" si="5073"/>
        <v>CA</v>
      </c>
      <c r="K13658" t="str">
        <f>T("6194372771")</f>
        <v>6194372771</v>
      </c>
      <c r="L13658" t="str">
        <f>T("6194373576")</f>
        <v>6194373576</v>
      </c>
    </row>
    <row r="13659" spans="1:12" x14ac:dyDescent="0.35">
      <c r="A13659" t="str">
        <f>T("TACTRAGRUPAC")</f>
        <v>TACTRAGRUPAC</v>
      </c>
      <c r="B13659" t="str">
        <f>T("53720 HORIZON DR BLDG 59")</f>
        <v>53720 HORIZON DR BLDG 59</v>
      </c>
      <c r="C13659" t="str">
        <f t="shared" si="5057"/>
        <v/>
      </c>
      <c r="D13659" t="str">
        <f t="shared" si="5070"/>
        <v>SAN DIEGO</v>
      </c>
      <c r="E13659" t="str">
        <f t="shared" si="5071"/>
        <v>CA</v>
      </c>
      <c r="F13659" t="str">
        <f>T("921475087")</f>
        <v>921475087</v>
      </c>
      <c r="G13659" t="str">
        <f>T("53720 HORIZON DR")</f>
        <v>53720 HORIZON DR</v>
      </c>
      <c r="H13659" t="str">
        <f>T("")</f>
        <v/>
      </c>
      <c r="I13659" t="str">
        <f t="shared" si="5072"/>
        <v>SAN DIEGO</v>
      </c>
      <c r="J13659" t="str">
        <f t="shared" si="5073"/>
        <v>CA</v>
      </c>
      <c r="K13659" t="str">
        <f>T("000000000000000000")</f>
        <v>000000000000000000</v>
      </c>
      <c r="L13659" t="str">
        <f>T("6195538210")</f>
        <v>6195538210</v>
      </c>
    </row>
    <row r="13660" spans="1:12" x14ac:dyDescent="0.35">
      <c r="A13660" t="str">
        <f>T("TACTRAGRUPAC")</f>
        <v>TACTRAGRUPAC</v>
      </c>
      <c r="B13660" t="str">
        <f>T("53720 HORIZON DR BLDG 59")</f>
        <v>53720 HORIZON DR BLDG 59</v>
      </c>
      <c r="C13660" t="str">
        <f t="shared" si="5057"/>
        <v/>
      </c>
      <c r="D13660" t="str">
        <f t="shared" si="5070"/>
        <v>SAN DIEGO</v>
      </c>
      <c r="E13660" t="str">
        <f t="shared" si="5071"/>
        <v>CA</v>
      </c>
      <c r="F13660" t="str">
        <f>T("921475087")</f>
        <v>921475087</v>
      </c>
      <c r="G13660" t="str">
        <f>T("53720 HORIZON DR")</f>
        <v>53720 HORIZON DR</v>
      </c>
      <c r="H13660" t="str">
        <f>T("BLDG 58")</f>
        <v>BLDG 58</v>
      </c>
      <c r="I13660" t="str">
        <f t="shared" si="5072"/>
        <v>SAN DIEGO</v>
      </c>
      <c r="J13660" t="str">
        <f t="shared" si="5073"/>
        <v>CA</v>
      </c>
      <c r="K13660" t="str">
        <f>T("000000000000000000")</f>
        <v>000000000000000000</v>
      </c>
      <c r="L13660" t="str">
        <f>T("6195538210")</f>
        <v>6195538210</v>
      </c>
    </row>
    <row r="13661" spans="1:12" x14ac:dyDescent="0.35">
      <c r="A13661" t="str">
        <f>T("TACTRAGRUPAC")</f>
        <v>TACTRAGRUPAC</v>
      </c>
      <c r="B13661" t="str">
        <f>T("53720 HORIZON DR BLDG 59")</f>
        <v>53720 HORIZON DR BLDG 59</v>
      </c>
      <c r="C13661" t="str">
        <f t="shared" si="5057"/>
        <v/>
      </c>
      <c r="D13661" t="str">
        <f t="shared" si="5070"/>
        <v>SAN DIEGO</v>
      </c>
      <c r="E13661" t="str">
        <f t="shared" si="5071"/>
        <v>CA</v>
      </c>
      <c r="F13661" t="str">
        <f>T("921475087")</f>
        <v>921475087</v>
      </c>
      <c r="G13661" t="str">
        <f>T("53720 HORIZON DR BLDG 59")</f>
        <v>53720 HORIZON DR BLDG 59</v>
      </c>
      <c r="H13661" t="str">
        <f>T("")</f>
        <v/>
      </c>
      <c r="I13661" t="str">
        <f t="shared" si="5072"/>
        <v>SAN DIEGO</v>
      </c>
      <c r="J13661" t="str">
        <f t="shared" si="5073"/>
        <v>CA</v>
      </c>
      <c r="K13661" t="str">
        <f>T("6195538094")</f>
        <v>6195538094</v>
      </c>
      <c r="L13661" t="str">
        <f>T("6195538210")</f>
        <v>6195538210</v>
      </c>
    </row>
    <row r="13662" spans="1:12" x14ac:dyDescent="0.35">
      <c r="A13662" t="str">
        <f>T("CLWP")</f>
        <v>CLWP</v>
      </c>
      <c r="B13662" t="str">
        <f>T("PSC 470 BOX 2400")</f>
        <v>PSC 470 BOX 2400</v>
      </c>
      <c r="C13662" t="str">
        <f t="shared" si="5057"/>
        <v/>
      </c>
      <c r="D13662" t="str">
        <f>T("FPO")</f>
        <v>FPO</v>
      </c>
      <c r="E13662" t="str">
        <f>T("AP")</f>
        <v>AP</v>
      </c>
      <c r="F13662" t="str">
        <f>T("965342400")</f>
        <v>965342400</v>
      </c>
      <c r="G13662" t="str">
        <f>T("CLWP")</f>
        <v>CLWP</v>
      </c>
      <c r="H13662" t="str">
        <f>T("PSC 470 BOX 2400")</f>
        <v>PSC 470 BOX 2400</v>
      </c>
      <c r="I13662" t="str">
        <f>T("FPO")</f>
        <v>FPO</v>
      </c>
      <c r="J13662" t="str">
        <f>T("AP")</f>
        <v>AP</v>
      </c>
      <c r="K13662" t="str">
        <f>T("000000000000000000")</f>
        <v>000000000000000000</v>
      </c>
      <c r="L13662" t="str">
        <f>T("6567502487")</f>
        <v>6567502487</v>
      </c>
    </row>
    <row r="13663" spans="1:12" x14ac:dyDescent="0.35">
      <c r="A13663" t="str">
        <f>T("CLWP")</f>
        <v>CLWP</v>
      </c>
      <c r="B13663" t="str">
        <f>T("PSC 470 BOX 2400")</f>
        <v>PSC 470 BOX 2400</v>
      </c>
      <c r="C13663" t="str">
        <f t="shared" si="5057"/>
        <v/>
      </c>
      <c r="D13663" t="str">
        <f>T("FPO")</f>
        <v>FPO</v>
      </c>
      <c r="E13663" t="str">
        <f>T("AP")</f>
        <v>AP</v>
      </c>
      <c r="F13663" t="str">
        <f>T("965342400")</f>
        <v>965342400</v>
      </c>
      <c r="G13663" t="str">
        <f>T("CLWP")</f>
        <v>CLWP</v>
      </c>
      <c r="H13663" t="str">
        <f>T("PSC 470 BOX 2400")</f>
        <v>PSC 470 BOX 2400</v>
      </c>
      <c r="I13663" t="str">
        <f>T("FPO")</f>
        <v>FPO</v>
      </c>
      <c r="J13663" t="str">
        <f>T("AP")</f>
        <v>AP</v>
      </c>
      <c r="K13663" t="str">
        <f>T("000000000000000000")</f>
        <v>000000000000000000</v>
      </c>
      <c r="L13663" t="str">
        <f>T("6567502488")</f>
        <v>6567502488</v>
      </c>
    </row>
    <row r="13664" spans="1:12" x14ac:dyDescent="0.35">
      <c r="A13664" t="str">
        <f>T("CLWP")</f>
        <v>CLWP</v>
      </c>
      <c r="B13664" t="str">
        <f>T("PSC 470 BOX 2400")</f>
        <v>PSC 470 BOX 2400</v>
      </c>
      <c r="C13664" t="str">
        <f t="shared" si="5057"/>
        <v/>
      </c>
      <c r="D13664" t="str">
        <f>T("FPO")</f>
        <v>FPO</v>
      </c>
      <c r="E13664" t="str">
        <f>T("AP")</f>
        <v>AP</v>
      </c>
      <c r="F13664" t="str">
        <f>T("965342400")</f>
        <v>965342400</v>
      </c>
      <c r="G13664" t="str">
        <f>T("CLWP")</f>
        <v>CLWP</v>
      </c>
      <c r="H13664" t="str">
        <f>T("PSC 470 BOX 2400")</f>
        <v>PSC 470 BOX 2400</v>
      </c>
      <c r="I13664" t="str">
        <f>T("FPO")</f>
        <v>FPO</v>
      </c>
      <c r="J13664" t="str">
        <f>T("AP")</f>
        <v>AP</v>
      </c>
      <c r="K13664" t="str">
        <f>T("6587431439")</f>
        <v>6587431439</v>
      </c>
      <c r="L13664" t="str">
        <f>T("1111111111")</f>
        <v>1111111111</v>
      </c>
    </row>
    <row r="13665" spans="1:12" x14ac:dyDescent="0.35">
      <c r="A13665" t="str">
        <f>T("CLWP")</f>
        <v>CLWP</v>
      </c>
      <c r="B13665" t="str">
        <f>T("PSC 470 BOX 2400")</f>
        <v>PSC 470 BOX 2400</v>
      </c>
      <c r="C13665" t="str">
        <f t="shared" si="5057"/>
        <v/>
      </c>
      <c r="D13665" t="str">
        <f>T("FPO")</f>
        <v>FPO</v>
      </c>
      <c r="E13665" t="str">
        <f>T("AP")</f>
        <v>AP</v>
      </c>
      <c r="F13665" t="str">
        <f>T("965342400")</f>
        <v>965342400</v>
      </c>
      <c r="G13665" t="str">
        <f>T("PSC 470 BOX 2400")</f>
        <v>PSC 470 BOX 2400</v>
      </c>
      <c r="H13665" t="str">
        <f>T("")</f>
        <v/>
      </c>
      <c r="I13665" t="str">
        <f>T("FPO")</f>
        <v>FPO</v>
      </c>
      <c r="J13665" t="str">
        <f>T("AP")</f>
        <v>AP</v>
      </c>
      <c r="K13665" t="str">
        <f>T("")</f>
        <v/>
      </c>
      <c r="L13665" t="str">
        <f>T("6567502429")</f>
        <v>6567502429</v>
      </c>
    </row>
    <row r="13666" spans="1:12" x14ac:dyDescent="0.35">
      <c r="A13666" t="str">
        <f>T("CLWP")</f>
        <v>CLWP</v>
      </c>
      <c r="B13666" t="str">
        <f>T("PSC 470 BOX 2400")</f>
        <v>PSC 470 BOX 2400</v>
      </c>
      <c r="C13666" t="str">
        <f t="shared" si="5057"/>
        <v/>
      </c>
      <c r="D13666" t="str">
        <f>T("FPO")</f>
        <v>FPO</v>
      </c>
      <c r="E13666" t="str">
        <f>T("AP")</f>
        <v>AP</v>
      </c>
      <c r="F13666" t="str">
        <f>T("965342400")</f>
        <v>965342400</v>
      </c>
      <c r="G13666" t="str">
        <f>T("PSC 470 BOX 2400")</f>
        <v>PSC 470 BOX 2400</v>
      </c>
      <c r="H13666" t="str">
        <f>T("")</f>
        <v/>
      </c>
      <c r="I13666" t="str">
        <f>T("FPO")</f>
        <v>FPO</v>
      </c>
      <c r="J13666" t="str">
        <f>T("AP")</f>
        <v>AP</v>
      </c>
      <c r="K13666" t="str">
        <f>T("000000000000000000")</f>
        <v>000000000000000000</v>
      </c>
      <c r="L13666" t="str">
        <f>T("6567502334")</f>
        <v>6567502334</v>
      </c>
    </row>
    <row r="13667" spans="1:12" x14ac:dyDescent="0.35">
      <c r="A13667" t="str">
        <f t="shared" ref="A13667:A13698" si="5074">T("PEARL HARBOR NSY/IMF")</f>
        <v>PEARL HARBOR NSY/IMF</v>
      </c>
      <c r="B13667" t="str">
        <f>T("CODE 100PI")</f>
        <v>CODE 100PI</v>
      </c>
      <c r="C13667" t="str">
        <f t="shared" ref="C13667:C13697" si="5075">T("667 SAFEGUARD ST STE 100")</f>
        <v>667 SAFEGUARD ST STE 100</v>
      </c>
      <c r="D13667" t="str">
        <f t="shared" ref="D13667:D13690" si="5076">T("PEARL HARBOR")</f>
        <v>PEARL HARBOR</v>
      </c>
      <c r="E13667" t="str">
        <f t="shared" ref="E13667:E13698" si="5077">T("HI")</f>
        <v>HI</v>
      </c>
      <c r="F13667" t="str">
        <f t="shared" ref="F13667:F13710" si="5078">T("968605033")</f>
        <v>968605033</v>
      </c>
      <c r="G13667" t="str">
        <f>T("CODE 100PI")</f>
        <v>CODE 100PI</v>
      </c>
      <c r="H13667" t="str">
        <f>T("667 SAFEGUARD ST STE 100")</f>
        <v>667 SAFEGUARD ST STE 100</v>
      </c>
      <c r="I13667" t="str">
        <f>T("PEARL HARBOR")</f>
        <v>PEARL HARBOR</v>
      </c>
      <c r="J13667" t="str">
        <f t="shared" ref="J13667:J13698" si="5079">T("HI")</f>
        <v>HI</v>
      </c>
      <c r="K13667" t="str">
        <f>T("808 471 9142")</f>
        <v>808 471 9142</v>
      </c>
      <c r="L13667" t="str">
        <f>T("8084732688")</f>
        <v>8084732688</v>
      </c>
    </row>
    <row r="13668" spans="1:12" x14ac:dyDescent="0.35">
      <c r="A13668" t="str">
        <f t="shared" si="5074"/>
        <v>PEARL HARBOR NSY/IMF</v>
      </c>
      <c r="B13668" t="str">
        <f>T("CODE 100PI")</f>
        <v>CODE 100PI</v>
      </c>
      <c r="C13668" t="str">
        <f t="shared" si="5075"/>
        <v>667 SAFEGUARD ST STE 100</v>
      </c>
      <c r="D13668" t="str">
        <f t="shared" si="5076"/>
        <v>PEARL HARBOR</v>
      </c>
      <c r="E13668" t="str">
        <f t="shared" si="5077"/>
        <v>HI</v>
      </c>
      <c r="F13668" t="str">
        <f t="shared" si="5078"/>
        <v>968605033</v>
      </c>
      <c r="G13668" t="str">
        <f>T("CODE 100PI")</f>
        <v>CODE 100PI</v>
      </c>
      <c r="H13668" t="str">
        <f>T("667 SAFEGUARD ST SUITE 100")</f>
        <v>667 SAFEGUARD ST SUITE 100</v>
      </c>
      <c r="I13668" t="str">
        <f>T("PEARL HARBOR")</f>
        <v>PEARL HARBOR</v>
      </c>
      <c r="J13668" t="str">
        <f t="shared" si="5079"/>
        <v>HI</v>
      </c>
      <c r="K13668" t="str">
        <f>T("8084715031")</f>
        <v>8084715031</v>
      </c>
      <c r="L13668" t="str">
        <f>T("1111111111")</f>
        <v>1111111111</v>
      </c>
    </row>
    <row r="13669" spans="1:12" x14ac:dyDescent="0.35">
      <c r="A13669" t="str">
        <f t="shared" si="5074"/>
        <v>PEARL HARBOR NSY/IMF</v>
      </c>
      <c r="B13669" t="str">
        <f t="shared" ref="B13669:B13674" si="5080">T("CODE 105")</f>
        <v>CODE 105</v>
      </c>
      <c r="C13669" t="str">
        <f t="shared" si="5075"/>
        <v>667 SAFEGUARD ST STE 100</v>
      </c>
      <c r="D13669" t="str">
        <f t="shared" si="5076"/>
        <v>PEARL HARBOR</v>
      </c>
      <c r="E13669" t="str">
        <f t="shared" si="5077"/>
        <v>HI</v>
      </c>
      <c r="F13669" t="str">
        <f t="shared" si="5078"/>
        <v>968605033</v>
      </c>
      <c r="G13669" t="str">
        <f>T("667 SAFEGUARD ST STE 100")</f>
        <v>667 SAFEGUARD ST STE 100</v>
      </c>
      <c r="H13669" t="str">
        <f>T("")</f>
        <v/>
      </c>
      <c r="I13669" t="str">
        <f>T("JBPHH")</f>
        <v>JBPHH</v>
      </c>
      <c r="J13669" t="str">
        <f t="shared" si="5079"/>
        <v>HI</v>
      </c>
      <c r="K13669" t="str">
        <f>T("80847380003823")</f>
        <v>80847380003823</v>
      </c>
      <c r="L13669" t="str">
        <f>T("1111111111")</f>
        <v>1111111111</v>
      </c>
    </row>
    <row r="13670" spans="1:12" x14ac:dyDescent="0.35">
      <c r="A13670" t="str">
        <f t="shared" si="5074"/>
        <v>PEARL HARBOR NSY/IMF</v>
      </c>
      <c r="B13670" t="str">
        <f t="shared" si="5080"/>
        <v>CODE 105</v>
      </c>
      <c r="C13670" t="str">
        <f t="shared" si="5075"/>
        <v>667 SAFEGUARD ST STE 100</v>
      </c>
      <c r="D13670" t="str">
        <f t="shared" si="5076"/>
        <v>PEARL HARBOR</v>
      </c>
      <c r="E13670" t="str">
        <f t="shared" si="5077"/>
        <v>HI</v>
      </c>
      <c r="F13670" t="str">
        <f t="shared" si="5078"/>
        <v>968605033</v>
      </c>
      <c r="G13670" t="str">
        <f>T("CODE 105")</f>
        <v>CODE 105</v>
      </c>
      <c r="H13670" t="str">
        <f>T("667 SAFEGUARD ST STE 100")</f>
        <v>667 SAFEGUARD ST STE 100</v>
      </c>
      <c r="I13670" t="str">
        <f>T("JBPHH")</f>
        <v>JBPHH</v>
      </c>
      <c r="J13670" t="str">
        <f t="shared" si="5079"/>
        <v>HI</v>
      </c>
      <c r="K13670" t="str">
        <f>T("80847380002158")</f>
        <v>80847380002158</v>
      </c>
      <c r="L13670" t="str">
        <f>T("1111111111")</f>
        <v>1111111111</v>
      </c>
    </row>
    <row r="13671" spans="1:12" x14ac:dyDescent="0.35">
      <c r="A13671" t="str">
        <f t="shared" si="5074"/>
        <v>PEARL HARBOR NSY/IMF</v>
      </c>
      <c r="B13671" t="str">
        <f t="shared" si="5080"/>
        <v>CODE 105</v>
      </c>
      <c r="C13671" t="str">
        <f t="shared" si="5075"/>
        <v>667 SAFEGUARD ST STE 100</v>
      </c>
      <c r="D13671" t="str">
        <f t="shared" si="5076"/>
        <v>PEARL HARBOR</v>
      </c>
      <c r="E13671" t="str">
        <f t="shared" si="5077"/>
        <v>HI</v>
      </c>
      <c r="F13671" t="str">
        <f t="shared" si="5078"/>
        <v>968605033</v>
      </c>
      <c r="G13671" t="str">
        <f>T("CODE 105")</f>
        <v>CODE 105</v>
      </c>
      <c r="H13671" t="str">
        <f>T("667 SAFEGUARD ST STE 100")</f>
        <v>667 SAFEGUARD ST STE 100</v>
      </c>
      <c r="I13671" t="str">
        <f>T("JBPHH")</f>
        <v>JBPHH</v>
      </c>
      <c r="J13671" t="str">
        <f t="shared" si="5079"/>
        <v>HI</v>
      </c>
      <c r="K13671" t="str">
        <f>T("80847380003285")</f>
        <v>80847380003285</v>
      </c>
      <c r="L13671" t="str">
        <f>T("8083681389")</f>
        <v>8083681389</v>
      </c>
    </row>
    <row r="13672" spans="1:12" x14ac:dyDescent="0.35">
      <c r="A13672" t="str">
        <f t="shared" si="5074"/>
        <v>PEARL HARBOR NSY/IMF</v>
      </c>
      <c r="B13672" t="str">
        <f t="shared" si="5080"/>
        <v>CODE 105</v>
      </c>
      <c r="C13672" t="str">
        <f t="shared" si="5075"/>
        <v>667 SAFEGUARD ST STE 100</v>
      </c>
      <c r="D13672" t="str">
        <f t="shared" si="5076"/>
        <v>PEARL HARBOR</v>
      </c>
      <c r="E13672" t="str">
        <f t="shared" si="5077"/>
        <v>HI</v>
      </c>
      <c r="F13672" t="str">
        <f t="shared" si="5078"/>
        <v>968605033</v>
      </c>
      <c r="G13672" t="str">
        <f>T("CODE 105")</f>
        <v>CODE 105</v>
      </c>
      <c r="H13672" t="str">
        <f>T("667 SAFEGUARD ST STE 100")</f>
        <v>667 SAFEGUARD ST STE 100</v>
      </c>
      <c r="I13672" t="str">
        <f>T("PEARL HARBOR")</f>
        <v>PEARL HARBOR</v>
      </c>
      <c r="J13672" t="str">
        <f t="shared" si="5079"/>
        <v>HI</v>
      </c>
      <c r="K13672" t="str">
        <f>T("808 474 4966")</f>
        <v>808 474 4966</v>
      </c>
      <c r="L13672" t="str">
        <f t="shared" ref="L13672:L13677" si="5081">T("1111111111")</f>
        <v>1111111111</v>
      </c>
    </row>
    <row r="13673" spans="1:12" x14ac:dyDescent="0.35">
      <c r="A13673" t="str">
        <f t="shared" si="5074"/>
        <v>PEARL HARBOR NSY/IMF</v>
      </c>
      <c r="B13673" t="str">
        <f t="shared" si="5080"/>
        <v>CODE 105</v>
      </c>
      <c r="C13673" t="str">
        <f t="shared" si="5075"/>
        <v>667 SAFEGUARD ST STE 100</v>
      </c>
      <c r="D13673" t="str">
        <f t="shared" si="5076"/>
        <v>PEARL HARBOR</v>
      </c>
      <c r="E13673" t="str">
        <f t="shared" si="5077"/>
        <v>HI</v>
      </c>
      <c r="F13673" t="str">
        <f t="shared" si="5078"/>
        <v>968605033</v>
      </c>
      <c r="G13673" t="str">
        <f>T("CODE 105")</f>
        <v>CODE 105</v>
      </c>
      <c r="H13673" t="str">
        <f>T("667 SAFEGUARD ST SUITE 100")</f>
        <v>667 SAFEGUARD ST SUITE 100</v>
      </c>
      <c r="I13673" t="str">
        <f>T("PEARL HARBOR")</f>
        <v>PEARL HARBOR</v>
      </c>
      <c r="J13673" t="str">
        <f t="shared" si="5079"/>
        <v>HI</v>
      </c>
      <c r="K13673" t="str">
        <f>T("8084710168")</f>
        <v>8084710168</v>
      </c>
      <c r="L13673" t="str">
        <f t="shared" si="5081"/>
        <v>1111111111</v>
      </c>
    </row>
    <row r="13674" spans="1:12" x14ac:dyDescent="0.35">
      <c r="A13674" t="str">
        <f t="shared" si="5074"/>
        <v>PEARL HARBOR NSY/IMF</v>
      </c>
      <c r="B13674" t="str">
        <f t="shared" si="5080"/>
        <v>CODE 105</v>
      </c>
      <c r="C13674" t="str">
        <f t="shared" si="5075"/>
        <v>667 SAFEGUARD ST STE 100</v>
      </c>
      <c r="D13674" t="str">
        <f t="shared" si="5076"/>
        <v>PEARL HARBOR</v>
      </c>
      <c r="E13674" t="str">
        <f t="shared" si="5077"/>
        <v>HI</v>
      </c>
      <c r="F13674" t="str">
        <f t="shared" si="5078"/>
        <v>968605033</v>
      </c>
      <c r="G13674" t="str">
        <f>T("CODE 105")</f>
        <v>CODE 105</v>
      </c>
      <c r="H13674" t="str">
        <f>T("667 SAFEGUARD ST SUITE 100")</f>
        <v>667 SAFEGUARD ST SUITE 100</v>
      </c>
      <c r="I13674" t="str">
        <f>T("PEARL HARBOR")</f>
        <v>PEARL HARBOR</v>
      </c>
      <c r="J13674" t="str">
        <f t="shared" si="5079"/>
        <v>HI</v>
      </c>
      <c r="K13674" t="str">
        <f>T("8084711934")</f>
        <v>8084711934</v>
      </c>
      <c r="L13674" t="str">
        <f t="shared" si="5081"/>
        <v>1111111111</v>
      </c>
    </row>
    <row r="13675" spans="1:12" x14ac:dyDescent="0.35">
      <c r="A13675" t="str">
        <f t="shared" si="5074"/>
        <v>PEARL HARBOR NSY/IMF</v>
      </c>
      <c r="B13675" t="str">
        <f>T("CODE 106")</f>
        <v>CODE 106</v>
      </c>
      <c r="C13675" t="str">
        <f t="shared" si="5075"/>
        <v>667 SAFEGUARD ST STE 100</v>
      </c>
      <c r="D13675" t="str">
        <f t="shared" si="5076"/>
        <v>PEARL HARBOR</v>
      </c>
      <c r="E13675" t="str">
        <f t="shared" si="5077"/>
        <v>HI</v>
      </c>
      <c r="F13675" t="str">
        <f t="shared" si="5078"/>
        <v>968605033</v>
      </c>
      <c r="G13675" t="str">
        <f>T("CODE 106")</f>
        <v>CODE 106</v>
      </c>
      <c r="H13675" t="str">
        <f t="shared" ref="H13675:H13681" si="5082">T("667 SAFEGUARD ST STE 100")</f>
        <v>667 SAFEGUARD ST STE 100</v>
      </c>
      <c r="I13675" t="str">
        <f>T("JBPHH")</f>
        <v>JBPHH</v>
      </c>
      <c r="J13675" t="str">
        <f t="shared" si="5079"/>
        <v>HI</v>
      </c>
      <c r="K13675" t="str">
        <f>T("80847380004439")</f>
        <v>80847380004439</v>
      </c>
      <c r="L13675" t="str">
        <f t="shared" si="5081"/>
        <v>1111111111</v>
      </c>
    </row>
    <row r="13676" spans="1:12" x14ac:dyDescent="0.35">
      <c r="A13676" t="str">
        <f t="shared" si="5074"/>
        <v>PEARL HARBOR NSY/IMF</v>
      </c>
      <c r="B13676" t="str">
        <f>T("CODE 106")</f>
        <v>CODE 106</v>
      </c>
      <c r="C13676" t="str">
        <f t="shared" si="5075"/>
        <v>667 SAFEGUARD ST STE 100</v>
      </c>
      <c r="D13676" t="str">
        <f t="shared" si="5076"/>
        <v>PEARL HARBOR</v>
      </c>
      <c r="E13676" t="str">
        <f t="shared" si="5077"/>
        <v>HI</v>
      </c>
      <c r="F13676" t="str">
        <f t="shared" si="5078"/>
        <v>968605033</v>
      </c>
      <c r="G13676" t="str">
        <f>T("CODE 106")</f>
        <v>CODE 106</v>
      </c>
      <c r="H13676" t="str">
        <f t="shared" si="5082"/>
        <v>667 SAFEGUARD ST STE 100</v>
      </c>
      <c r="I13676" t="str">
        <f>T("JBPHH")</f>
        <v>JBPHH</v>
      </c>
      <c r="J13676" t="str">
        <f t="shared" si="5079"/>
        <v>HI</v>
      </c>
      <c r="K13676" t="str">
        <f>T("80847380004582")</f>
        <v>80847380004582</v>
      </c>
      <c r="L13676" t="str">
        <f t="shared" si="5081"/>
        <v>1111111111</v>
      </c>
    </row>
    <row r="13677" spans="1:12" x14ac:dyDescent="0.35">
      <c r="A13677" t="str">
        <f t="shared" si="5074"/>
        <v>PEARL HARBOR NSY/IMF</v>
      </c>
      <c r="B13677" t="str">
        <f>T("CODE 106")</f>
        <v>CODE 106</v>
      </c>
      <c r="C13677" t="str">
        <f t="shared" si="5075"/>
        <v>667 SAFEGUARD ST STE 100</v>
      </c>
      <c r="D13677" t="str">
        <f t="shared" si="5076"/>
        <v>PEARL HARBOR</v>
      </c>
      <c r="E13677" t="str">
        <f t="shared" si="5077"/>
        <v>HI</v>
      </c>
      <c r="F13677" t="str">
        <f t="shared" si="5078"/>
        <v>968605033</v>
      </c>
      <c r="G13677" t="str">
        <f>T("CODE 106")</f>
        <v>CODE 106</v>
      </c>
      <c r="H13677" t="str">
        <f t="shared" si="5082"/>
        <v>667 SAFEGUARD ST STE 100</v>
      </c>
      <c r="I13677" t="str">
        <f>T("PEARL HARBOR")</f>
        <v>PEARL HARBOR</v>
      </c>
      <c r="J13677" t="str">
        <f t="shared" si="5079"/>
        <v>HI</v>
      </c>
      <c r="K13677" t="str">
        <f>T("8084749030")</f>
        <v>8084749030</v>
      </c>
      <c r="L13677" t="str">
        <f t="shared" si="5081"/>
        <v>1111111111</v>
      </c>
    </row>
    <row r="13678" spans="1:12" x14ac:dyDescent="0.35">
      <c r="A13678" t="str">
        <f t="shared" si="5074"/>
        <v>PEARL HARBOR NSY/IMF</v>
      </c>
      <c r="B13678" t="str">
        <f>T("CODE 106")</f>
        <v>CODE 106</v>
      </c>
      <c r="C13678" t="str">
        <f t="shared" si="5075"/>
        <v>667 SAFEGUARD ST STE 100</v>
      </c>
      <c r="D13678" t="str">
        <f t="shared" si="5076"/>
        <v>PEARL HARBOR</v>
      </c>
      <c r="E13678" t="str">
        <f t="shared" si="5077"/>
        <v>HI</v>
      </c>
      <c r="F13678" t="str">
        <f t="shared" si="5078"/>
        <v>968605033</v>
      </c>
      <c r="G13678" t="str">
        <f>T("CODE 106")</f>
        <v>CODE 106</v>
      </c>
      <c r="H13678" t="str">
        <f t="shared" si="5082"/>
        <v>667 SAFEGUARD ST STE 100</v>
      </c>
      <c r="I13678" t="str">
        <f>T("PEARL HARBOR")</f>
        <v>PEARL HARBOR</v>
      </c>
      <c r="J13678" t="str">
        <f t="shared" si="5079"/>
        <v>HI</v>
      </c>
      <c r="K13678" t="str">
        <f>T("8084749030")</f>
        <v>8084749030</v>
      </c>
      <c r="L13678" t="str">
        <f>T("8084738000")</f>
        <v>8084738000</v>
      </c>
    </row>
    <row r="13679" spans="1:12" x14ac:dyDescent="0.35">
      <c r="A13679" t="str">
        <f t="shared" si="5074"/>
        <v>PEARL HARBOR NSY/IMF</v>
      </c>
      <c r="B13679" t="str">
        <f>T("CODE 106")</f>
        <v>CODE 106</v>
      </c>
      <c r="C13679" t="str">
        <f t="shared" si="5075"/>
        <v>667 SAFEGUARD ST STE 100</v>
      </c>
      <c r="D13679" t="str">
        <f t="shared" si="5076"/>
        <v>PEARL HARBOR</v>
      </c>
      <c r="E13679" t="str">
        <f t="shared" si="5077"/>
        <v>HI</v>
      </c>
      <c r="F13679" t="str">
        <f t="shared" si="5078"/>
        <v>968605033</v>
      </c>
      <c r="G13679" t="str">
        <f>T("CODE 106.3")</f>
        <v>CODE 106.3</v>
      </c>
      <c r="H13679" t="str">
        <f t="shared" si="5082"/>
        <v>667 SAFEGUARD ST STE 100</v>
      </c>
      <c r="I13679" t="str">
        <f>T("PEARL HARBOR")</f>
        <v>PEARL HARBOR</v>
      </c>
      <c r="J13679" t="str">
        <f t="shared" si="5079"/>
        <v>HI</v>
      </c>
      <c r="K13679" t="str">
        <f>T("000000000000000000")</f>
        <v>000000000000000000</v>
      </c>
      <c r="L13679" t="str">
        <f>T("8084719533")</f>
        <v>8084719533</v>
      </c>
    </row>
    <row r="13680" spans="1:12" x14ac:dyDescent="0.35">
      <c r="A13680" t="str">
        <f t="shared" si="5074"/>
        <v>PEARL HARBOR NSY/IMF</v>
      </c>
      <c r="B13680" t="str">
        <f>T("CODE 107")</f>
        <v>CODE 107</v>
      </c>
      <c r="C13680" t="str">
        <f t="shared" si="5075"/>
        <v>667 SAFEGUARD ST STE 100</v>
      </c>
      <c r="D13680" t="str">
        <f t="shared" si="5076"/>
        <v>PEARL HARBOR</v>
      </c>
      <c r="E13680" t="str">
        <f t="shared" si="5077"/>
        <v>HI</v>
      </c>
      <c r="F13680" t="str">
        <f t="shared" si="5078"/>
        <v>968605033</v>
      </c>
      <c r="G13680" t="str">
        <f>T("CODE 107")</f>
        <v>CODE 107</v>
      </c>
      <c r="H13680" t="str">
        <f t="shared" si="5082"/>
        <v>667 SAFEGUARD ST STE 100</v>
      </c>
      <c r="I13680" t="str">
        <f>T("JBPHH")</f>
        <v>JBPHH</v>
      </c>
      <c r="J13680" t="str">
        <f t="shared" si="5079"/>
        <v>HI</v>
      </c>
      <c r="K13680" t="str">
        <f>T("80847380002707")</f>
        <v>80847380002707</v>
      </c>
      <c r="L13680" t="str">
        <f>T("8084738000")</f>
        <v>8084738000</v>
      </c>
    </row>
    <row r="13681" spans="1:12" x14ac:dyDescent="0.35">
      <c r="A13681" t="str">
        <f t="shared" si="5074"/>
        <v>PEARL HARBOR NSY/IMF</v>
      </c>
      <c r="B13681" t="str">
        <f>T("CODE 107")</f>
        <v>CODE 107</v>
      </c>
      <c r="C13681" t="str">
        <f t="shared" si="5075"/>
        <v>667 SAFEGUARD ST STE 100</v>
      </c>
      <c r="D13681" t="str">
        <f t="shared" si="5076"/>
        <v>PEARL HARBOR</v>
      </c>
      <c r="E13681" t="str">
        <f t="shared" si="5077"/>
        <v>HI</v>
      </c>
      <c r="F13681" t="str">
        <f t="shared" si="5078"/>
        <v>968605033</v>
      </c>
      <c r="G13681" t="str">
        <f>T("CODE 107")</f>
        <v>CODE 107</v>
      </c>
      <c r="H13681" t="str">
        <f t="shared" si="5082"/>
        <v>667 SAFEGUARD ST STE 100</v>
      </c>
      <c r="I13681" t="str">
        <f>T("PEARL HARBOR")</f>
        <v>PEARL HARBOR</v>
      </c>
      <c r="J13681" t="str">
        <f t="shared" si="5079"/>
        <v>HI</v>
      </c>
      <c r="K13681" t="str">
        <f>T("8084719148")</f>
        <v>8084719148</v>
      </c>
      <c r="L13681" t="str">
        <f>T("1111111111")</f>
        <v>1111111111</v>
      </c>
    </row>
    <row r="13682" spans="1:12" x14ac:dyDescent="0.35">
      <c r="A13682" t="str">
        <f t="shared" si="5074"/>
        <v>PEARL HARBOR NSY/IMF</v>
      </c>
      <c r="B13682" t="str">
        <f>T("CODE 109")</f>
        <v>CODE 109</v>
      </c>
      <c r="C13682" t="str">
        <f t="shared" si="5075"/>
        <v>667 SAFEGUARD ST STE 100</v>
      </c>
      <c r="D13682" t="str">
        <f t="shared" si="5076"/>
        <v>PEARL HARBOR</v>
      </c>
      <c r="E13682" t="str">
        <f t="shared" si="5077"/>
        <v>HI</v>
      </c>
      <c r="F13682" t="str">
        <f t="shared" si="5078"/>
        <v>968605033</v>
      </c>
      <c r="G13682" t="str">
        <f>T("667 SAFEGUARD ST STE 100")</f>
        <v>667 SAFEGUARD ST STE 100</v>
      </c>
      <c r="H13682" t="str">
        <f>T("")</f>
        <v/>
      </c>
      <c r="I13682" t="str">
        <f>T("JBPHH")</f>
        <v>JBPHH</v>
      </c>
      <c r="J13682" t="str">
        <f t="shared" si="5079"/>
        <v>HI</v>
      </c>
      <c r="K13682" t="str">
        <f>T("80847380006115")</f>
        <v>80847380006115</v>
      </c>
      <c r="L13682" t="str">
        <f>T("1111111111")</f>
        <v>1111111111</v>
      </c>
    </row>
    <row r="13683" spans="1:12" x14ac:dyDescent="0.35">
      <c r="A13683" t="str">
        <f t="shared" si="5074"/>
        <v>PEARL HARBOR NSY/IMF</v>
      </c>
      <c r="B13683" t="str">
        <f>T("CODE 109")</f>
        <v>CODE 109</v>
      </c>
      <c r="C13683" t="str">
        <f t="shared" si="5075"/>
        <v>667 SAFEGUARD ST STE 100</v>
      </c>
      <c r="D13683" t="str">
        <f t="shared" si="5076"/>
        <v>PEARL HARBOR</v>
      </c>
      <c r="E13683" t="str">
        <f t="shared" si="5077"/>
        <v>HI</v>
      </c>
      <c r="F13683" t="str">
        <f t="shared" si="5078"/>
        <v>968605033</v>
      </c>
      <c r="G13683" t="str">
        <f>T("CODE 109")</f>
        <v>CODE 109</v>
      </c>
      <c r="H13683" t="str">
        <f>T("667 SAFEGUARD ST STE 100")</f>
        <v>667 SAFEGUARD ST STE 100</v>
      </c>
      <c r="I13683" t="str">
        <f>T("PEARL HARBOR")</f>
        <v>PEARL HARBOR</v>
      </c>
      <c r="J13683" t="str">
        <f t="shared" si="5079"/>
        <v>HI</v>
      </c>
      <c r="K13683" t="str">
        <f>T("")</f>
        <v/>
      </c>
      <c r="L13683" t="str">
        <f>T("8084739023")</f>
        <v>8084739023</v>
      </c>
    </row>
    <row r="13684" spans="1:12" x14ac:dyDescent="0.35">
      <c r="A13684" t="str">
        <f t="shared" si="5074"/>
        <v>PEARL HARBOR NSY/IMF</v>
      </c>
      <c r="B13684" t="str">
        <f>T("CODE 109")</f>
        <v>CODE 109</v>
      </c>
      <c r="C13684" t="str">
        <f t="shared" si="5075"/>
        <v>667 SAFEGUARD ST STE 100</v>
      </c>
      <c r="D13684" t="str">
        <f t="shared" si="5076"/>
        <v>PEARL HARBOR</v>
      </c>
      <c r="E13684" t="str">
        <f t="shared" si="5077"/>
        <v>HI</v>
      </c>
      <c r="F13684" t="str">
        <f t="shared" si="5078"/>
        <v>968605033</v>
      </c>
      <c r="G13684" t="str">
        <f>T("CODE 109")</f>
        <v>CODE 109</v>
      </c>
      <c r="H13684" t="str">
        <f>T("677 SAFEGUARD ST STE 100")</f>
        <v>677 SAFEGUARD ST STE 100</v>
      </c>
      <c r="I13684" t="str">
        <f>T("JBPHH")</f>
        <v>JBPHH</v>
      </c>
      <c r="J13684" t="str">
        <f t="shared" si="5079"/>
        <v>HI</v>
      </c>
      <c r="K13684" t="str">
        <f>T("80847380006296")</f>
        <v>80847380006296</v>
      </c>
      <c r="L13684" t="str">
        <f>T("1111111111")</f>
        <v>1111111111</v>
      </c>
    </row>
    <row r="13685" spans="1:12" x14ac:dyDescent="0.35">
      <c r="A13685" t="str">
        <f t="shared" si="5074"/>
        <v>PEARL HARBOR NSY/IMF</v>
      </c>
      <c r="B13685" t="str">
        <f>T("CODE 109")</f>
        <v>CODE 109</v>
      </c>
      <c r="C13685" t="str">
        <f t="shared" si="5075"/>
        <v>667 SAFEGUARD ST STE 100</v>
      </c>
      <c r="D13685" t="str">
        <f t="shared" si="5076"/>
        <v>PEARL HARBOR</v>
      </c>
      <c r="E13685" t="str">
        <f t="shared" si="5077"/>
        <v>HI</v>
      </c>
      <c r="F13685" t="str">
        <f t="shared" si="5078"/>
        <v>968605033</v>
      </c>
      <c r="G13685" t="str">
        <f>T("CODE 1230")</f>
        <v>CODE 1230</v>
      </c>
      <c r="H13685" t="str">
        <f>T("667 SAFEGUARD ST SUITE 100")</f>
        <v>667 SAFEGUARD ST SUITE 100</v>
      </c>
      <c r="I13685" t="str">
        <f>T("PEARL HARBOR")</f>
        <v>PEARL HARBOR</v>
      </c>
      <c r="J13685" t="str">
        <f t="shared" si="5079"/>
        <v>HI</v>
      </c>
      <c r="K13685" t="str">
        <f>T("000000000000000000")</f>
        <v>000000000000000000</v>
      </c>
      <c r="L13685" t="str">
        <f>T("8084739394")</f>
        <v>8084739394</v>
      </c>
    </row>
    <row r="13686" spans="1:12" x14ac:dyDescent="0.35">
      <c r="A13686" t="str">
        <f t="shared" si="5074"/>
        <v>PEARL HARBOR NSY/IMF</v>
      </c>
      <c r="B13686" t="str">
        <f>T("CODE 109")</f>
        <v>CODE 109</v>
      </c>
      <c r="C13686" t="str">
        <f t="shared" si="5075"/>
        <v>667 SAFEGUARD ST STE 100</v>
      </c>
      <c r="D13686" t="str">
        <f t="shared" si="5076"/>
        <v>PEARL HARBOR</v>
      </c>
      <c r="E13686" t="str">
        <f t="shared" si="5077"/>
        <v>HI</v>
      </c>
      <c r="F13686" t="str">
        <f t="shared" si="5078"/>
        <v>968605033</v>
      </c>
      <c r="G13686" t="str">
        <f>T("CODE 1230")</f>
        <v>CODE 1230</v>
      </c>
      <c r="H13686" t="str">
        <f>T("667 SAFEGUARD ST SUITE 100")</f>
        <v>667 SAFEGUARD ST SUITE 100</v>
      </c>
      <c r="I13686" t="str">
        <f>T("PEARL HARBOR")</f>
        <v>PEARL HARBOR</v>
      </c>
      <c r="J13686" t="str">
        <f t="shared" si="5079"/>
        <v>HI</v>
      </c>
      <c r="K13686" t="str">
        <f>T("8084711514")</f>
        <v>8084711514</v>
      </c>
      <c r="L13686" t="str">
        <f>T("1111111111")</f>
        <v>1111111111</v>
      </c>
    </row>
    <row r="13687" spans="1:12" x14ac:dyDescent="0.35">
      <c r="A13687" t="str">
        <f t="shared" si="5074"/>
        <v>PEARL HARBOR NSY/IMF</v>
      </c>
      <c r="B13687" t="str">
        <f>T("CODE 1120")</f>
        <v>CODE 1120</v>
      </c>
      <c r="C13687" t="str">
        <f t="shared" si="5075"/>
        <v>667 SAFEGUARD ST STE 100</v>
      </c>
      <c r="D13687" t="str">
        <f t="shared" si="5076"/>
        <v>PEARL HARBOR</v>
      </c>
      <c r="E13687" t="str">
        <f t="shared" si="5077"/>
        <v>HI</v>
      </c>
      <c r="F13687" t="str">
        <f t="shared" si="5078"/>
        <v>968605033</v>
      </c>
      <c r="G13687" t="str">
        <f>T("CODE 1120")</f>
        <v>CODE 1120</v>
      </c>
      <c r="H13687" t="str">
        <f>T("667 SAFEGUARD ST STE 100")</f>
        <v>667 SAFEGUARD ST STE 100</v>
      </c>
      <c r="I13687" t="str">
        <f>T("JBPHH")</f>
        <v>JBPHH</v>
      </c>
      <c r="J13687" t="str">
        <f t="shared" si="5079"/>
        <v>HI</v>
      </c>
      <c r="K13687" t="str">
        <f>T("80847380006205")</f>
        <v>80847380006205</v>
      </c>
      <c r="L13687" t="str">
        <f>T("8084738000")</f>
        <v>8084738000</v>
      </c>
    </row>
    <row r="13688" spans="1:12" x14ac:dyDescent="0.35">
      <c r="A13688" t="str">
        <f t="shared" si="5074"/>
        <v>PEARL HARBOR NSY/IMF</v>
      </c>
      <c r="B13688" t="str">
        <f>T("CODE 1120")</f>
        <v>CODE 1120</v>
      </c>
      <c r="C13688" t="str">
        <f t="shared" si="5075"/>
        <v>667 SAFEGUARD ST STE 100</v>
      </c>
      <c r="D13688" t="str">
        <f t="shared" si="5076"/>
        <v>PEARL HARBOR</v>
      </c>
      <c r="E13688" t="str">
        <f t="shared" si="5077"/>
        <v>HI</v>
      </c>
      <c r="F13688" t="str">
        <f t="shared" si="5078"/>
        <v>968605033</v>
      </c>
      <c r="G13688" t="str">
        <f>T("CODE 1120")</f>
        <v>CODE 1120</v>
      </c>
      <c r="H13688" t="str">
        <f>T("667 SAFEGUARD ST STE 100")</f>
        <v>667 SAFEGUARD ST STE 100</v>
      </c>
      <c r="I13688" t="str">
        <f>T("PEARL HARBOR")</f>
        <v>PEARL HARBOR</v>
      </c>
      <c r="J13688" t="str">
        <f t="shared" si="5079"/>
        <v>HI</v>
      </c>
      <c r="K13688" t="str">
        <f>T("8084712488")</f>
        <v>8084712488</v>
      </c>
      <c r="L13688" t="str">
        <f>T("1111111111")</f>
        <v>1111111111</v>
      </c>
    </row>
    <row r="13689" spans="1:12" x14ac:dyDescent="0.35">
      <c r="A13689" t="str">
        <f t="shared" si="5074"/>
        <v>PEARL HARBOR NSY/IMF</v>
      </c>
      <c r="B13689" t="str">
        <f>T("CODE 1130")</f>
        <v>CODE 1130</v>
      </c>
      <c r="C13689" t="str">
        <f t="shared" si="5075"/>
        <v>667 SAFEGUARD ST STE 100</v>
      </c>
      <c r="D13689" t="str">
        <f t="shared" si="5076"/>
        <v>PEARL HARBOR</v>
      </c>
      <c r="E13689" t="str">
        <f t="shared" si="5077"/>
        <v>HI</v>
      </c>
      <c r="F13689" t="str">
        <f t="shared" si="5078"/>
        <v>968605033</v>
      </c>
      <c r="G13689" t="str">
        <f>T("CODE 1130")</f>
        <v>CODE 1130</v>
      </c>
      <c r="H13689" t="str">
        <f>T("667 SAFEGUARD ST STE 100")</f>
        <v>667 SAFEGUARD ST STE 100</v>
      </c>
      <c r="I13689" t="str">
        <f>T("JBPHH")</f>
        <v>JBPHH</v>
      </c>
      <c r="J13689" t="str">
        <f t="shared" si="5079"/>
        <v>HI</v>
      </c>
      <c r="K13689" t="str">
        <f>T("80847380002536")</f>
        <v>80847380002536</v>
      </c>
      <c r="L13689" t="str">
        <f>T("8084738000")</f>
        <v>8084738000</v>
      </c>
    </row>
    <row r="13690" spans="1:12" x14ac:dyDescent="0.35">
      <c r="A13690" t="str">
        <f t="shared" si="5074"/>
        <v>PEARL HARBOR NSY/IMF</v>
      </c>
      <c r="B13690" t="str">
        <f>T("CODE 1130")</f>
        <v>CODE 1130</v>
      </c>
      <c r="C13690" t="str">
        <f t="shared" si="5075"/>
        <v>667 SAFEGUARD ST STE 100</v>
      </c>
      <c r="D13690" t="str">
        <f t="shared" si="5076"/>
        <v>PEARL HARBOR</v>
      </c>
      <c r="E13690" t="str">
        <f t="shared" si="5077"/>
        <v>HI</v>
      </c>
      <c r="F13690" t="str">
        <f t="shared" si="5078"/>
        <v>968605033</v>
      </c>
      <c r="G13690" t="str">
        <f>T("CODE 1130")</f>
        <v>CODE 1130</v>
      </c>
      <c r="H13690" t="str">
        <f>T("667 SAFEGUARD ST STE 100")</f>
        <v>667 SAFEGUARD ST STE 100</v>
      </c>
      <c r="I13690" t="str">
        <f>T("PEARL HARBOR")</f>
        <v>PEARL HARBOR</v>
      </c>
      <c r="J13690" t="str">
        <f t="shared" si="5079"/>
        <v>HI</v>
      </c>
      <c r="K13690" t="str">
        <f>T("8084743294")</f>
        <v>8084743294</v>
      </c>
      <c r="L13690" t="str">
        <f>T("1111111111")</f>
        <v>1111111111</v>
      </c>
    </row>
    <row r="13691" spans="1:12" x14ac:dyDescent="0.35">
      <c r="A13691" t="str">
        <f t="shared" si="5074"/>
        <v>PEARL HARBOR NSY/IMF</v>
      </c>
      <c r="B13691" t="str">
        <f t="shared" ref="B13691:B13697" si="5083">T("CODE 1140")</f>
        <v>CODE 1140</v>
      </c>
      <c r="C13691" t="str">
        <f t="shared" si="5075"/>
        <v>667 SAFEGUARD ST STE 100</v>
      </c>
      <c r="D13691" t="str">
        <f t="shared" ref="D13691:D13697" si="5084">T("JBPHH")</f>
        <v>JBPHH</v>
      </c>
      <c r="E13691" t="str">
        <f t="shared" si="5077"/>
        <v>HI</v>
      </c>
      <c r="F13691" t="str">
        <f t="shared" si="5078"/>
        <v>968605033</v>
      </c>
      <c r="G13691" t="str">
        <f>T("CODE 1100")</f>
        <v>CODE 1100</v>
      </c>
      <c r="H13691" t="str">
        <f>T("667 SAFEGUARD ST STE 100")</f>
        <v>667 SAFEGUARD ST STE 100</v>
      </c>
      <c r="I13691" t="str">
        <f>T("JBPHH")</f>
        <v>JBPHH</v>
      </c>
      <c r="J13691" t="str">
        <f t="shared" si="5079"/>
        <v>HI</v>
      </c>
      <c r="K13691" t="str">
        <f>T("80847380002980")</f>
        <v>80847380002980</v>
      </c>
      <c r="L13691" t="str">
        <f>T("1111111111")</f>
        <v>1111111111</v>
      </c>
    </row>
    <row r="13692" spans="1:12" x14ac:dyDescent="0.35">
      <c r="A13692" t="str">
        <f t="shared" si="5074"/>
        <v>PEARL HARBOR NSY/IMF</v>
      </c>
      <c r="B13692" t="str">
        <f t="shared" si="5083"/>
        <v>CODE 1140</v>
      </c>
      <c r="C13692" t="str">
        <f t="shared" si="5075"/>
        <v>667 SAFEGUARD ST STE 100</v>
      </c>
      <c r="D13692" t="str">
        <f t="shared" si="5084"/>
        <v>JBPHH</v>
      </c>
      <c r="E13692" t="str">
        <f t="shared" si="5077"/>
        <v>HI</v>
      </c>
      <c r="F13692" t="str">
        <f t="shared" si="5078"/>
        <v>968605033</v>
      </c>
      <c r="G13692" t="str">
        <f>T("CODE 1100")</f>
        <v>CODE 1100</v>
      </c>
      <c r="H13692" t="str">
        <f>T("667 SAFEGUARD ST SUITE 100")</f>
        <v>667 SAFEGUARD ST SUITE 100</v>
      </c>
      <c r="I13692" t="str">
        <f>T("JBPHH")</f>
        <v>JBPHH</v>
      </c>
      <c r="J13692" t="str">
        <f t="shared" si="5079"/>
        <v>HI</v>
      </c>
      <c r="K13692" t="str">
        <f>T("80847380002981")</f>
        <v>80847380002981</v>
      </c>
      <c r="L13692" t="str">
        <f>T("1111111111")</f>
        <v>1111111111</v>
      </c>
    </row>
    <row r="13693" spans="1:12" x14ac:dyDescent="0.35">
      <c r="A13693" t="str">
        <f t="shared" si="5074"/>
        <v>PEARL HARBOR NSY/IMF</v>
      </c>
      <c r="B13693" t="str">
        <f t="shared" si="5083"/>
        <v>CODE 1140</v>
      </c>
      <c r="C13693" t="str">
        <f t="shared" si="5075"/>
        <v>667 SAFEGUARD ST STE 100</v>
      </c>
      <c r="D13693" t="str">
        <f t="shared" si="5084"/>
        <v>JBPHH</v>
      </c>
      <c r="E13693" t="str">
        <f t="shared" si="5077"/>
        <v>HI</v>
      </c>
      <c r="F13693" t="str">
        <f t="shared" si="5078"/>
        <v>968605033</v>
      </c>
      <c r="G13693" t="str">
        <f>T("CODE 1140")</f>
        <v>CODE 1140</v>
      </c>
      <c r="H13693" t="str">
        <f>T("667 SAFEGUARD ST STE 100")</f>
        <v>667 SAFEGUARD ST STE 100</v>
      </c>
      <c r="I13693" t="str">
        <f>T("JBPHH")</f>
        <v>JBPHH</v>
      </c>
      <c r="J13693" t="str">
        <f t="shared" si="5079"/>
        <v>HI</v>
      </c>
      <c r="K13693" t="str">
        <f>T("8084715841")</f>
        <v>8084715841</v>
      </c>
      <c r="L13693" t="str">
        <f>T("1111111111")</f>
        <v>1111111111</v>
      </c>
    </row>
    <row r="13694" spans="1:12" x14ac:dyDescent="0.35">
      <c r="A13694" t="str">
        <f t="shared" si="5074"/>
        <v>PEARL HARBOR NSY/IMF</v>
      </c>
      <c r="B13694" t="str">
        <f t="shared" si="5083"/>
        <v>CODE 1140</v>
      </c>
      <c r="C13694" t="str">
        <f t="shared" si="5075"/>
        <v>667 SAFEGUARD ST STE 100</v>
      </c>
      <c r="D13694" t="str">
        <f t="shared" si="5084"/>
        <v>JBPHH</v>
      </c>
      <c r="E13694" t="str">
        <f t="shared" si="5077"/>
        <v>HI</v>
      </c>
      <c r="F13694" t="str">
        <f t="shared" si="5078"/>
        <v>968605033</v>
      </c>
      <c r="G13694" t="str">
        <f>T("CODE 1140")</f>
        <v>CODE 1140</v>
      </c>
      <c r="H13694" t="str">
        <f>T("667 SAFEGUARD ST STE 100")</f>
        <v>667 SAFEGUARD ST STE 100</v>
      </c>
      <c r="I13694" t="str">
        <f>T("JBPHH")</f>
        <v>JBPHH</v>
      </c>
      <c r="J13694" t="str">
        <f t="shared" si="5079"/>
        <v>HI</v>
      </c>
      <c r="K13694" t="str">
        <f>T("8084715841")</f>
        <v>8084715841</v>
      </c>
      <c r="L13694" t="str">
        <f>T("8084738000")</f>
        <v>8084738000</v>
      </c>
    </row>
    <row r="13695" spans="1:12" x14ac:dyDescent="0.35">
      <c r="A13695" t="str">
        <f t="shared" si="5074"/>
        <v>PEARL HARBOR NSY/IMF</v>
      </c>
      <c r="B13695" t="str">
        <f t="shared" si="5083"/>
        <v>CODE 1140</v>
      </c>
      <c r="C13695" t="str">
        <f t="shared" si="5075"/>
        <v>667 SAFEGUARD ST STE 100</v>
      </c>
      <c r="D13695" t="str">
        <f t="shared" si="5084"/>
        <v>JBPHH</v>
      </c>
      <c r="E13695" t="str">
        <f t="shared" si="5077"/>
        <v>HI</v>
      </c>
      <c r="F13695" t="str">
        <f t="shared" si="5078"/>
        <v>968605033</v>
      </c>
      <c r="G13695" t="str">
        <f>T("CODE 1140")</f>
        <v>CODE 1140</v>
      </c>
      <c r="H13695" t="str">
        <f>T("667 SAFEGUARD ST STE 100")</f>
        <v>667 SAFEGUARD ST STE 100</v>
      </c>
      <c r="I13695" t="str">
        <f>T("PEARL HARBOR")</f>
        <v>PEARL HARBOR</v>
      </c>
      <c r="J13695" t="str">
        <f t="shared" si="5079"/>
        <v>HI</v>
      </c>
      <c r="K13695" t="str">
        <f>T("8084743294")</f>
        <v>8084743294</v>
      </c>
      <c r="L13695" t="str">
        <f>T("8084738000")</f>
        <v>8084738000</v>
      </c>
    </row>
    <row r="13696" spans="1:12" x14ac:dyDescent="0.35">
      <c r="A13696" t="str">
        <f t="shared" si="5074"/>
        <v>PEARL HARBOR NSY/IMF</v>
      </c>
      <c r="B13696" t="str">
        <f t="shared" si="5083"/>
        <v>CODE 1140</v>
      </c>
      <c r="C13696" t="str">
        <f t="shared" si="5075"/>
        <v>667 SAFEGUARD ST STE 100</v>
      </c>
      <c r="D13696" t="str">
        <f t="shared" si="5084"/>
        <v>JBPHH</v>
      </c>
      <c r="E13696" t="str">
        <f t="shared" si="5077"/>
        <v>HI</v>
      </c>
      <c r="F13696" t="str">
        <f t="shared" si="5078"/>
        <v>968605033</v>
      </c>
      <c r="G13696" t="str">
        <f>T("CODE 1143")</f>
        <v>CODE 1143</v>
      </c>
      <c r="H13696" t="str">
        <f>T("667 SAFEGUARD ST SUITE 100")</f>
        <v>667 SAFEGUARD ST SUITE 100</v>
      </c>
      <c r="I13696" t="str">
        <f>T("PEARL HARBOR")</f>
        <v>PEARL HARBOR</v>
      </c>
      <c r="J13696" t="str">
        <f t="shared" si="5079"/>
        <v>HI</v>
      </c>
      <c r="K13696" t="str">
        <f>T("000000000000000000")</f>
        <v>000000000000000000</v>
      </c>
      <c r="L13696" t="str">
        <f>T("8084738000")</f>
        <v>8084738000</v>
      </c>
    </row>
    <row r="13697" spans="1:12" x14ac:dyDescent="0.35">
      <c r="A13697" t="str">
        <f t="shared" si="5074"/>
        <v>PEARL HARBOR NSY/IMF</v>
      </c>
      <c r="B13697" t="str">
        <f t="shared" si="5083"/>
        <v>CODE 1140</v>
      </c>
      <c r="C13697" t="str">
        <f t="shared" si="5075"/>
        <v>667 SAFEGUARD ST STE 100</v>
      </c>
      <c r="D13697" t="str">
        <f t="shared" si="5084"/>
        <v>JBPHH</v>
      </c>
      <c r="E13697" t="str">
        <f t="shared" si="5077"/>
        <v>HI</v>
      </c>
      <c r="F13697" t="str">
        <f t="shared" si="5078"/>
        <v>968605033</v>
      </c>
      <c r="G13697" t="str">
        <f>T("CODE 1145")</f>
        <v>CODE 1145</v>
      </c>
      <c r="H13697" t="str">
        <f>T("667 SAFEGUARD ST STE 100")</f>
        <v>667 SAFEGUARD ST STE 100</v>
      </c>
      <c r="I13697" t="str">
        <f>T("JBPHH")</f>
        <v>JBPHH</v>
      </c>
      <c r="J13697" t="str">
        <f t="shared" si="5079"/>
        <v>HI</v>
      </c>
      <c r="K13697" t="str">
        <f>T("80847380005024")</f>
        <v>80847380005024</v>
      </c>
      <c r="L13697" t="str">
        <f>T("8084738000")</f>
        <v>8084738000</v>
      </c>
    </row>
    <row r="13698" spans="1:12" x14ac:dyDescent="0.35">
      <c r="A13698" t="str">
        <f t="shared" si="5074"/>
        <v>PEARL HARBOR NSY/IMF</v>
      </c>
      <c r="B13698" t="str">
        <f>T("CODE 1160")</f>
        <v>CODE 1160</v>
      </c>
      <c r="C13698" t="str">
        <f>T("667 SAFEGUARD ST SUITE 100")</f>
        <v>667 SAFEGUARD ST SUITE 100</v>
      </c>
      <c r="D13698" t="str">
        <f t="shared" ref="D13698:D13704" si="5085">T("PEARL HARBOR")</f>
        <v>PEARL HARBOR</v>
      </c>
      <c r="E13698" t="str">
        <f t="shared" si="5077"/>
        <v>HI</v>
      </c>
      <c r="F13698" t="str">
        <f t="shared" si="5078"/>
        <v>968605033</v>
      </c>
      <c r="G13698" t="str">
        <f>T("CODE 1160")</f>
        <v>CODE 1160</v>
      </c>
      <c r="H13698" t="str">
        <f>T("667 SAFEGUARD ST SUITE 100")</f>
        <v>667 SAFEGUARD ST SUITE 100</v>
      </c>
      <c r="I13698" t="str">
        <f>T("PEARL HARBOR")</f>
        <v>PEARL HARBOR</v>
      </c>
      <c r="J13698" t="str">
        <f t="shared" si="5079"/>
        <v>HI</v>
      </c>
      <c r="K13698" t="str">
        <f>T("")</f>
        <v/>
      </c>
      <c r="L13698" t="str">
        <f>T("8084738000")</f>
        <v>8084738000</v>
      </c>
    </row>
    <row r="13699" spans="1:12" x14ac:dyDescent="0.35">
      <c r="A13699" t="str">
        <f t="shared" ref="A13699:A13730" si="5086">T("PEARL HARBOR NSY/IMF")</f>
        <v>PEARL HARBOR NSY/IMF</v>
      </c>
      <c r="B13699" t="str">
        <f>T("CODE 1170")</f>
        <v>CODE 1170</v>
      </c>
      <c r="C13699" t="str">
        <f t="shared" ref="C13699:C13710" si="5087">T("667 SAFEGUARD ST STE 100")</f>
        <v>667 SAFEGUARD ST STE 100</v>
      </c>
      <c r="D13699" t="str">
        <f t="shared" si="5085"/>
        <v>PEARL HARBOR</v>
      </c>
      <c r="E13699" t="str">
        <f t="shared" ref="E13699:E13730" si="5088">T("HI")</f>
        <v>HI</v>
      </c>
      <c r="F13699" t="str">
        <f t="shared" si="5078"/>
        <v>968605033</v>
      </c>
      <c r="G13699" t="str">
        <f>T("CODE 1170")</f>
        <v>CODE 1170</v>
      </c>
      <c r="H13699" t="str">
        <f>T("667 SAFEGUARD ST STE 100")</f>
        <v>667 SAFEGUARD ST STE 100</v>
      </c>
      <c r="I13699" t="str">
        <f>T("JBPHH")</f>
        <v>JBPHH</v>
      </c>
      <c r="J13699" t="str">
        <f t="shared" ref="J13699:J13730" si="5089">T("HI")</f>
        <v>HI</v>
      </c>
      <c r="K13699" t="str">
        <f>T("80847380002910")</f>
        <v>80847380002910</v>
      </c>
      <c r="L13699" t="str">
        <f>T("1111111111")</f>
        <v>1111111111</v>
      </c>
    </row>
    <row r="13700" spans="1:12" x14ac:dyDescent="0.35">
      <c r="A13700" t="str">
        <f t="shared" si="5086"/>
        <v>PEARL HARBOR NSY/IMF</v>
      </c>
      <c r="B13700" t="str">
        <f>T("CODE 1170")</f>
        <v>CODE 1170</v>
      </c>
      <c r="C13700" t="str">
        <f t="shared" si="5087"/>
        <v>667 SAFEGUARD ST STE 100</v>
      </c>
      <c r="D13700" t="str">
        <f t="shared" si="5085"/>
        <v>PEARL HARBOR</v>
      </c>
      <c r="E13700" t="str">
        <f t="shared" si="5088"/>
        <v>HI</v>
      </c>
      <c r="F13700" t="str">
        <f t="shared" si="5078"/>
        <v>968605033</v>
      </c>
      <c r="G13700" t="str">
        <f>T("CODE 1170")</f>
        <v>CODE 1170</v>
      </c>
      <c r="H13700" t="str">
        <f>T("667 SAFEGUARD ST STE 100")</f>
        <v>667 SAFEGUARD ST STE 100</v>
      </c>
      <c r="I13700" t="str">
        <f>T("PEARL HARBOR")</f>
        <v>PEARL HARBOR</v>
      </c>
      <c r="J13700" t="str">
        <f t="shared" si="5089"/>
        <v>HI</v>
      </c>
      <c r="K13700" t="str">
        <f>T("808 474 3138")</f>
        <v>808 474 3138</v>
      </c>
      <c r="L13700" t="str">
        <f>T("8084739312")</f>
        <v>8084739312</v>
      </c>
    </row>
    <row r="13701" spans="1:12" x14ac:dyDescent="0.35">
      <c r="A13701" t="str">
        <f t="shared" si="5086"/>
        <v>PEARL HARBOR NSY/IMF</v>
      </c>
      <c r="B13701" t="str">
        <f>T("CODE 1170")</f>
        <v>CODE 1170</v>
      </c>
      <c r="C13701" t="str">
        <f t="shared" si="5087"/>
        <v>667 SAFEGUARD ST STE 100</v>
      </c>
      <c r="D13701" t="str">
        <f t="shared" si="5085"/>
        <v>PEARL HARBOR</v>
      </c>
      <c r="E13701" t="str">
        <f t="shared" si="5088"/>
        <v>HI</v>
      </c>
      <c r="F13701" t="str">
        <f t="shared" si="5078"/>
        <v>968605033</v>
      </c>
      <c r="G13701" t="str">
        <f>T("CODE 1170")</f>
        <v>CODE 1170</v>
      </c>
      <c r="H13701" t="str">
        <f>T("667 SAFEGUARD STREET STE 100")</f>
        <v>667 SAFEGUARD STREET STE 100</v>
      </c>
      <c r="I13701" t="str">
        <f>T("PEARL HARBOR")</f>
        <v>PEARL HARBOR</v>
      </c>
      <c r="J13701" t="str">
        <f t="shared" si="5089"/>
        <v>HI</v>
      </c>
      <c r="K13701" t="str">
        <f>T("000000000000000000")</f>
        <v>000000000000000000</v>
      </c>
      <c r="L13701" t="str">
        <f>T("8084732394")</f>
        <v>8084732394</v>
      </c>
    </row>
    <row r="13702" spans="1:12" x14ac:dyDescent="0.35">
      <c r="A13702" t="str">
        <f t="shared" si="5086"/>
        <v>PEARL HARBOR NSY/IMF</v>
      </c>
      <c r="B13702" t="str">
        <f>T("CODE 1200")</f>
        <v>CODE 1200</v>
      </c>
      <c r="C13702" t="str">
        <f t="shared" si="5087"/>
        <v>667 SAFEGUARD ST STE 100</v>
      </c>
      <c r="D13702" t="str">
        <f t="shared" si="5085"/>
        <v>PEARL HARBOR</v>
      </c>
      <c r="E13702" t="str">
        <f t="shared" si="5088"/>
        <v>HI</v>
      </c>
      <c r="F13702" t="str">
        <f t="shared" si="5078"/>
        <v>968605033</v>
      </c>
      <c r="G13702" t="str">
        <f>T("CODE 1200")</f>
        <v>CODE 1200</v>
      </c>
      <c r="H13702" t="str">
        <f t="shared" ref="H13702:H13707" si="5090">T("667 SAFEGUARD ST STE 100")</f>
        <v>667 SAFEGUARD ST STE 100</v>
      </c>
      <c r="I13702" t="str">
        <f>T("JBPHH")</f>
        <v>JBPHH</v>
      </c>
      <c r="J13702" t="str">
        <f t="shared" si="5089"/>
        <v>HI</v>
      </c>
      <c r="K13702" t="str">
        <f>T("80847380006277")</f>
        <v>80847380006277</v>
      </c>
      <c r="L13702" t="str">
        <f>T("1111111111")</f>
        <v>1111111111</v>
      </c>
    </row>
    <row r="13703" spans="1:12" x14ac:dyDescent="0.35">
      <c r="A13703" t="str">
        <f t="shared" si="5086"/>
        <v>PEARL HARBOR NSY/IMF</v>
      </c>
      <c r="B13703" t="str">
        <f>T("CODE 1200")</f>
        <v>CODE 1200</v>
      </c>
      <c r="C13703" t="str">
        <f t="shared" si="5087"/>
        <v>667 SAFEGUARD ST STE 100</v>
      </c>
      <c r="D13703" t="str">
        <f t="shared" si="5085"/>
        <v>PEARL HARBOR</v>
      </c>
      <c r="E13703" t="str">
        <f t="shared" si="5088"/>
        <v>HI</v>
      </c>
      <c r="F13703" t="str">
        <f t="shared" si="5078"/>
        <v>968605033</v>
      </c>
      <c r="G13703" t="str">
        <f>T("CODE 1200")</f>
        <v>CODE 1200</v>
      </c>
      <c r="H13703" t="str">
        <f t="shared" si="5090"/>
        <v>667 SAFEGUARD ST STE 100</v>
      </c>
      <c r="I13703" t="str">
        <f>T("PEARL HARBOR")</f>
        <v>PEARL HARBOR</v>
      </c>
      <c r="J13703" t="str">
        <f t="shared" si="5089"/>
        <v>HI</v>
      </c>
      <c r="K13703" t="str">
        <f>T("000000000000000000")</f>
        <v>000000000000000000</v>
      </c>
      <c r="L13703" t="str">
        <f>T("8084739338")</f>
        <v>8084739338</v>
      </c>
    </row>
    <row r="13704" spans="1:12" x14ac:dyDescent="0.35">
      <c r="A13704" t="str">
        <f t="shared" si="5086"/>
        <v>PEARL HARBOR NSY/IMF</v>
      </c>
      <c r="B13704" t="str">
        <f>T("CODE 1200")</f>
        <v>CODE 1200</v>
      </c>
      <c r="C13704" t="str">
        <f t="shared" si="5087"/>
        <v>667 SAFEGUARD ST STE 100</v>
      </c>
      <c r="D13704" t="str">
        <f t="shared" si="5085"/>
        <v>PEARL HARBOR</v>
      </c>
      <c r="E13704" t="str">
        <f t="shared" si="5088"/>
        <v>HI</v>
      </c>
      <c r="F13704" t="str">
        <f t="shared" si="5078"/>
        <v>968605033</v>
      </c>
      <c r="G13704" t="str">
        <f>T("CODE 1210")</f>
        <v>CODE 1210</v>
      </c>
      <c r="H13704" t="str">
        <f t="shared" si="5090"/>
        <v>667 SAFEGUARD ST STE 100</v>
      </c>
      <c r="I13704" t="str">
        <f>T("PEARL HARBOR")</f>
        <v>PEARL HARBOR</v>
      </c>
      <c r="J13704" t="str">
        <f t="shared" si="5089"/>
        <v>HI</v>
      </c>
      <c r="K13704" t="str">
        <f>T("8084740062")</f>
        <v>8084740062</v>
      </c>
      <c r="L13704" t="str">
        <f>T("8084739418")</f>
        <v>8084739418</v>
      </c>
    </row>
    <row r="13705" spans="1:12" x14ac:dyDescent="0.35">
      <c r="A13705" t="str">
        <f t="shared" si="5086"/>
        <v>PEARL HARBOR NSY/IMF</v>
      </c>
      <c r="B13705" t="str">
        <f>T("CODE 132")</f>
        <v>CODE 132</v>
      </c>
      <c r="C13705" t="str">
        <f t="shared" si="5087"/>
        <v>667 SAFEGUARD ST STE 100</v>
      </c>
      <c r="D13705" t="str">
        <f>T("JBPHH")</f>
        <v>JBPHH</v>
      </c>
      <c r="E13705" t="str">
        <f t="shared" si="5088"/>
        <v>HI</v>
      </c>
      <c r="F13705" t="str">
        <f t="shared" si="5078"/>
        <v>968605033</v>
      </c>
      <c r="G13705" t="str">
        <f>T("CODE 132")</f>
        <v>CODE 132</v>
      </c>
      <c r="H13705" t="str">
        <f t="shared" si="5090"/>
        <v>667 SAFEGUARD ST STE 100</v>
      </c>
      <c r="I13705" t="str">
        <f>T("JBPHH")</f>
        <v>JBPHH</v>
      </c>
      <c r="J13705" t="str">
        <f t="shared" si="5089"/>
        <v>HI</v>
      </c>
      <c r="K13705" t="str">
        <f>T("80847380003471")</f>
        <v>80847380003471</v>
      </c>
      <c r="L13705" t="str">
        <f>T("1111111111")</f>
        <v>1111111111</v>
      </c>
    </row>
    <row r="13706" spans="1:12" x14ac:dyDescent="0.35">
      <c r="A13706" t="str">
        <f t="shared" si="5086"/>
        <v>PEARL HARBOR NSY/IMF</v>
      </c>
      <c r="B13706" t="str">
        <f>T("CODE 132")</f>
        <v>CODE 132</v>
      </c>
      <c r="C13706" t="str">
        <f t="shared" si="5087"/>
        <v>667 SAFEGUARD ST STE 100</v>
      </c>
      <c r="D13706" t="str">
        <f>T("JBPHH")</f>
        <v>JBPHH</v>
      </c>
      <c r="E13706" t="str">
        <f t="shared" si="5088"/>
        <v>HI</v>
      </c>
      <c r="F13706" t="str">
        <f t="shared" si="5078"/>
        <v>968605033</v>
      </c>
      <c r="G13706" t="str">
        <f>T("CODE 132")</f>
        <v>CODE 132</v>
      </c>
      <c r="H13706" t="str">
        <f t="shared" si="5090"/>
        <v>667 SAFEGUARD ST STE 100</v>
      </c>
      <c r="I13706" t="str">
        <f>T("JBPHH")</f>
        <v>JBPHH</v>
      </c>
      <c r="J13706" t="str">
        <f t="shared" si="5089"/>
        <v>HI</v>
      </c>
      <c r="K13706" t="str">
        <f>T("8084747338")</f>
        <v>8084747338</v>
      </c>
      <c r="L13706" t="str">
        <f>T("1111111111")</f>
        <v>1111111111</v>
      </c>
    </row>
    <row r="13707" spans="1:12" x14ac:dyDescent="0.35">
      <c r="A13707" t="str">
        <f t="shared" si="5086"/>
        <v>PEARL HARBOR NSY/IMF</v>
      </c>
      <c r="B13707" t="str">
        <f>T("CODE 134")</f>
        <v>CODE 134</v>
      </c>
      <c r="C13707" t="str">
        <f t="shared" si="5087"/>
        <v>667 SAFEGUARD ST STE 100</v>
      </c>
      <c r="D13707" t="str">
        <f t="shared" ref="D13707:D13726" si="5091">T("PEARL HARBOR")</f>
        <v>PEARL HARBOR</v>
      </c>
      <c r="E13707" t="str">
        <f t="shared" si="5088"/>
        <v>HI</v>
      </c>
      <c r="F13707" t="str">
        <f t="shared" si="5078"/>
        <v>968605033</v>
      </c>
      <c r="G13707" t="str">
        <f>T("CODE 134")</f>
        <v>CODE 134</v>
      </c>
      <c r="H13707" t="str">
        <f t="shared" si="5090"/>
        <v>667 SAFEGUARD ST STE 100</v>
      </c>
      <c r="I13707" t="str">
        <f t="shared" ref="I13707:I13715" si="5092">T("PEARL HARBOR")</f>
        <v>PEARL HARBOR</v>
      </c>
      <c r="J13707" t="str">
        <f t="shared" si="5089"/>
        <v>HI</v>
      </c>
      <c r="K13707" t="str">
        <f>T("4748746")</f>
        <v>4748746</v>
      </c>
      <c r="L13707" t="str">
        <f>T("1111111111")</f>
        <v>1111111111</v>
      </c>
    </row>
    <row r="13708" spans="1:12" x14ac:dyDescent="0.35">
      <c r="A13708" t="str">
        <f t="shared" si="5086"/>
        <v>PEARL HARBOR NSY/IMF</v>
      </c>
      <c r="B13708" t="str">
        <f>T("CODE 134")</f>
        <v>CODE 134</v>
      </c>
      <c r="C13708" t="str">
        <f t="shared" si="5087"/>
        <v>667 SAFEGUARD ST STE 100</v>
      </c>
      <c r="D13708" t="str">
        <f t="shared" si="5091"/>
        <v>PEARL HARBOR</v>
      </c>
      <c r="E13708" t="str">
        <f t="shared" si="5088"/>
        <v>HI</v>
      </c>
      <c r="F13708" t="str">
        <f t="shared" si="5078"/>
        <v>968605033</v>
      </c>
      <c r="G13708" t="str">
        <f>T("CODE134")</f>
        <v>CODE134</v>
      </c>
      <c r="H13708" t="str">
        <f>T("667 SAFEGUARD ST SUITE 100")</f>
        <v>667 SAFEGUARD ST SUITE 100</v>
      </c>
      <c r="I13708" t="str">
        <f t="shared" si="5092"/>
        <v>PEARL HARBOR</v>
      </c>
      <c r="J13708" t="str">
        <f t="shared" si="5089"/>
        <v>HI</v>
      </c>
      <c r="K13708" t="str">
        <f>T("80847380003525")</f>
        <v>80847380003525</v>
      </c>
      <c r="L13708" t="str">
        <f>T("1111111111")</f>
        <v>1111111111</v>
      </c>
    </row>
    <row r="13709" spans="1:12" x14ac:dyDescent="0.35">
      <c r="A13709" t="str">
        <f t="shared" si="5086"/>
        <v>PEARL HARBOR NSY/IMF</v>
      </c>
      <c r="B13709" t="str">
        <f>T("CODE 135")</f>
        <v>CODE 135</v>
      </c>
      <c r="C13709" t="str">
        <f t="shared" si="5087"/>
        <v>667 SAFEGUARD ST STE 100</v>
      </c>
      <c r="D13709" t="str">
        <f t="shared" si="5091"/>
        <v>PEARL HARBOR</v>
      </c>
      <c r="E13709" t="str">
        <f t="shared" si="5088"/>
        <v>HI</v>
      </c>
      <c r="F13709" t="str">
        <f t="shared" si="5078"/>
        <v>968605033</v>
      </c>
      <c r="G13709" t="str">
        <f>T("CODE 135")</f>
        <v>CODE 135</v>
      </c>
      <c r="H13709" t="str">
        <f>T("667 SAFEGUARD ST STE 100")</f>
        <v>667 SAFEGUARD ST STE 100</v>
      </c>
      <c r="I13709" t="str">
        <f t="shared" si="5092"/>
        <v>PEARL HARBOR</v>
      </c>
      <c r="J13709" t="str">
        <f t="shared" si="5089"/>
        <v>HI</v>
      </c>
      <c r="K13709" t="str">
        <f>T("8084743310")</f>
        <v>8084743310</v>
      </c>
      <c r="L13709" t="str">
        <f>T("1111111111")</f>
        <v>1111111111</v>
      </c>
    </row>
    <row r="13710" spans="1:12" x14ac:dyDescent="0.35">
      <c r="A13710" t="str">
        <f t="shared" si="5086"/>
        <v>PEARL HARBOR NSY/IMF</v>
      </c>
      <c r="B13710" t="str">
        <f>T("CODE 135")</f>
        <v>CODE 135</v>
      </c>
      <c r="C13710" t="str">
        <f t="shared" si="5087"/>
        <v>667 SAFEGUARD ST STE 100</v>
      </c>
      <c r="D13710" t="str">
        <f t="shared" si="5091"/>
        <v>PEARL HARBOR</v>
      </c>
      <c r="E13710" t="str">
        <f t="shared" si="5088"/>
        <v>HI</v>
      </c>
      <c r="F13710" t="str">
        <f t="shared" si="5078"/>
        <v>968605033</v>
      </c>
      <c r="G13710" t="str">
        <f>T("CODE 135")</f>
        <v>CODE 135</v>
      </c>
      <c r="H13710" t="str">
        <f>T("667 SAFEGUARD ST SUITE 100")</f>
        <v>667 SAFEGUARD ST SUITE 100</v>
      </c>
      <c r="I13710" t="str">
        <f t="shared" si="5092"/>
        <v>PEARL HARBOR</v>
      </c>
      <c r="J13710" t="str">
        <f t="shared" si="5089"/>
        <v>HI</v>
      </c>
      <c r="K13710" t="str">
        <f>T("8084744432")</f>
        <v>8084744432</v>
      </c>
      <c r="L13710" t="str">
        <f>T("8084738000")</f>
        <v>8084738000</v>
      </c>
    </row>
    <row r="13711" spans="1:12" x14ac:dyDescent="0.35">
      <c r="A13711" t="str">
        <f t="shared" si="5086"/>
        <v>PEARL HARBOR NSY/IMF</v>
      </c>
      <c r="B13711" t="str">
        <f>T("CODE 200")</f>
        <v>CODE 200</v>
      </c>
      <c r="C13711" t="str">
        <f>T("667 SAFEGUARD ST")</f>
        <v>667 SAFEGUARD ST</v>
      </c>
      <c r="D13711" t="str">
        <f t="shared" si="5091"/>
        <v>PEARL HARBOR</v>
      </c>
      <c r="E13711" t="str">
        <f t="shared" si="5088"/>
        <v>HI</v>
      </c>
      <c r="F13711" t="str">
        <f>T("968605023")</f>
        <v>968605023</v>
      </c>
      <c r="G13711" t="str">
        <f>T("CODE 200")</f>
        <v>CODE 200</v>
      </c>
      <c r="H13711" t="str">
        <f>T("667 SAFEGUARD ST")</f>
        <v>667 SAFEGUARD ST</v>
      </c>
      <c r="I13711" t="str">
        <f t="shared" si="5092"/>
        <v>PEARL HARBOR</v>
      </c>
      <c r="J13711" t="str">
        <f t="shared" si="5089"/>
        <v>HI</v>
      </c>
      <c r="K13711" t="str">
        <f>T("8084719142")</f>
        <v>8084719142</v>
      </c>
      <c r="L13711" t="str">
        <f>T("1111111111")</f>
        <v>1111111111</v>
      </c>
    </row>
    <row r="13712" spans="1:12" x14ac:dyDescent="0.35">
      <c r="A13712" t="str">
        <f t="shared" si="5086"/>
        <v>PEARL HARBOR NSY/IMF</v>
      </c>
      <c r="B13712" t="str">
        <f>T("CODE 200")</f>
        <v>CODE 200</v>
      </c>
      <c r="C13712" t="str">
        <f>T("667 SAFEGUARD ST")</f>
        <v>667 SAFEGUARD ST</v>
      </c>
      <c r="D13712" t="str">
        <f t="shared" si="5091"/>
        <v>PEARL HARBOR</v>
      </c>
      <c r="E13712" t="str">
        <f t="shared" si="5088"/>
        <v>HI</v>
      </c>
      <c r="F13712" t="str">
        <f>T("968605023")</f>
        <v>968605023</v>
      </c>
      <c r="G13712" t="str">
        <f>T("CODE 210")</f>
        <v>CODE 210</v>
      </c>
      <c r="H13712" t="str">
        <f>T("667 SAFEGUARD ST STE 100")</f>
        <v>667 SAFEGUARD ST STE 100</v>
      </c>
      <c r="I13712" t="str">
        <f t="shared" si="5092"/>
        <v>PEARL HARBOR</v>
      </c>
      <c r="J13712" t="str">
        <f t="shared" si="5089"/>
        <v>HI</v>
      </c>
      <c r="K13712" t="str">
        <f>T("8084730210")</f>
        <v>8084730210</v>
      </c>
      <c r="L13712" t="str">
        <f>T("8084730044")</f>
        <v>8084730044</v>
      </c>
    </row>
    <row r="13713" spans="1:12" x14ac:dyDescent="0.35">
      <c r="A13713" t="str">
        <f t="shared" si="5086"/>
        <v>PEARL HARBOR NSY/IMF</v>
      </c>
      <c r="B13713" t="str">
        <f>T("CODE 200")</f>
        <v>CODE 200</v>
      </c>
      <c r="C13713" t="str">
        <f>T("667 SAFEGUARD ST")</f>
        <v>667 SAFEGUARD ST</v>
      </c>
      <c r="D13713" t="str">
        <f t="shared" si="5091"/>
        <v>PEARL HARBOR</v>
      </c>
      <c r="E13713" t="str">
        <f t="shared" si="5088"/>
        <v>HI</v>
      </c>
      <c r="F13713" t="str">
        <f>T("968605023")</f>
        <v>968605023</v>
      </c>
      <c r="G13713" t="str">
        <f>T("CODE 244")</f>
        <v>CODE 244</v>
      </c>
      <c r="H13713" t="str">
        <f>T("667 SAFEGUARD ST SUITE 100")</f>
        <v>667 SAFEGUARD ST SUITE 100</v>
      </c>
      <c r="I13713" t="str">
        <f t="shared" si="5092"/>
        <v>PEARL HARBOR</v>
      </c>
      <c r="J13713" t="str">
        <f t="shared" si="5089"/>
        <v>HI</v>
      </c>
      <c r="K13713" t="str">
        <f>T("000000000000000000")</f>
        <v>000000000000000000</v>
      </c>
      <c r="L13713" t="str">
        <f>T("8084738000")</f>
        <v>8084738000</v>
      </c>
    </row>
    <row r="13714" spans="1:12" x14ac:dyDescent="0.35">
      <c r="A13714" t="str">
        <f t="shared" si="5086"/>
        <v>PEARL HARBOR NSY/IMF</v>
      </c>
      <c r="B13714" t="str">
        <f>T("CODE 2301")</f>
        <v>CODE 2301</v>
      </c>
      <c r="C13714" t="str">
        <f t="shared" ref="C13714:C13721" si="5093">T("667 SAFEGUARD ST STE 100")</f>
        <v>667 SAFEGUARD ST STE 100</v>
      </c>
      <c r="D13714" t="str">
        <f t="shared" si="5091"/>
        <v>PEARL HARBOR</v>
      </c>
      <c r="E13714" t="str">
        <f t="shared" si="5088"/>
        <v>HI</v>
      </c>
      <c r="F13714" t="str">
        <f t="shared" ref="F13714:F13745" si="5094">T("968605033")</f>
        <v>968605033</v>
      </c>
      <c r="G13714" t="str">
        <f>T("CODE 2301")</f>
        <v>CODE 2301</v>
      </c>
      <c r="H13714" t="str">
        <f>T("667 SAFEGUARD ST STE 100")</f>
        <v>667 SAFEGUARD ST STE 100</v>
      </c>
      <c r="I13714" t="str">
        <f t="shared" si="5092"/>
        <v>PEARL HARBOR</v>
      </c>
      <c r="J13714" t="str">
        <f t="shared" si="5089"/>
        <v>HI</v>
      </c>
      <c r="K13714" t="str">
        <f>T("000000000000000000")</f>
        <v>000000000000000000</v>
      </c>
      <c r="L13714" t="str">
        <f>T("1111111111")</f>
        <v>1111111111</v>
      </c>
    </row>
    <row r="13715" spans="1:12" x14ac:dyDescent="0.35">
      <c r="A13715" t="str">
        <f t="shared" si="5086"/>
        <v>PEARL HARBOR NSY/IMF</v>
      </c>
      <c r="B13715" t="str">
        <f>T("CODE 2301")</f>
        <v>CODE 2301</v>
      </c>
      <c r="C13715" t="str">
        <f t="shared" si="5093"/>
        <v>667 SAFEGUARD ST STE 100</v>
      </c>
      <c r="D13715" t="str">
        <f t="shared" si="5091"/>
        <v>PEARL HARBOR</v>
      </c>
      <c r="E13715" t="str">
        <f t="shared" si="5088"/>
        <v>HI</v>
      </c>
      <c r="F13715" t="str">
        <f t="shared" si="5094"/>
        <v>968605033</v>
      </c>
      <c r="G13715" t="str">
        <f>T("CODE 2309.3")</f>
        <v>CODE 2309.3</v>
      </c>
      <c r="H13715" t="str">
        <f>T("667 SAFEGUARD ST STE 100")</f>
        <v>667 SAFEGUARD ST STE 100</v>
      </c>
      <c r="I13715" t="str">
        <f t="shared" si="5092"/>
        <v>PEARL HARBOR</v>
      </c>
      <c r="J13715" t="str">
        <f t="shared" si="5089"/>
        <v>HI</v>
      </c>
      <c r="K13715" t="str">
        <f>T("000000000000000000")</f>
        <v>000000000000000000</v>
      </c>
      <c r="L13715" t="str">
        <f>T("8084738000")</f>
        <v>8084738000</v>
      </c>
    </row>
    <row r="13716" spans="1:12" x14ac:dyDescent="0.35">
      <c r="A13716" t="str">
        <f t="shared" si="5086"/>
        <v>PEARL HARBOR NSY/IMF</v>
      </c>
      <c r="B13716" t="str">
        <f t="shared" ref="B13716:B13721" si="5095">T("CODE 2305")</f>
        <v>CODE 2305</v>
      </c>
      <c r="C13716" t="str">
        <f t="shared" si="5093"/>
        <v>667 SAFEGUARD ST STE 100</v>
      </c>
      <c r="D13716" t="str">
        <f t="shared" si="5091"/>
        <v>PEARL HARBOR</v>
      </c>
      <c r="E13716" t="str">
        <f t="shared" si="5088"/>
        <v>HI</v>
      </c>
      <c r="F13716" t="str">
        <f t="shared" si="5094"/>
        <v>968605033</v>
      </c>
      <c r="G13716" t="str">
        <f>T("CODE 2300")</f>
        <v>CODE 2300</v>
      </c>
      <c r="H13716" t="str">
        <f>T("667 SAFEGUARD ST STE 100")</f>
        <v>667 SAFEGUARD ST STE 100</v>
      </c>
      <c r="I13716" t="str">
        <f>T("JBPHH")</f>
        <v>JBPHH</v>
      </c>
      <c r="J13716" t="str">
        <f t="shared" si="5089"/>
        <v>HI</v>
      </c>
      <c r="K13716" t="str">
        <f>T("80847380005215")</f>
        <v>80847380005215</v>
      </c>
      <c r="L13716" t="str">
        <f>T("8084738000")</f>
        <v>8084738000</v>
      </c>
    </row>
    <row r="13717" spans="1:12" x14ac:dyDescent="0.35">
      <c r="A13717" t="str">
        <f t="shared" si="5086"/>
        <v>PEARL HARBOR NSY/IMF</v>
      </c>
      <c r="B13717" t="str">
        <f t="shared" si="5095"/>
        <v>CODE 2305</v>
      </c>
      <c r="C13717" t="str">
        <f t="shared" si="5093"/>
        <v>667 SAFEGUARD ST STE 100</v>
      </c>
      <c r="D13717" t="str">
        <f t="shared" si="5091"/>
        <v>PEARL HARBOR</v>
      </c>
      <c r="E13717" t="str">
        <f t="shared" si="5088"/>
        <v>HI</v>
      </c>
      <c r="F13717" t="str">
        <f t="shared" si="5094"/>
        <v>968605033</v>
      </c>
      <c r="G13717" t="str">
        <f>T("CODE 2300")</f>
        <v>CODE 2300</v>
      </c>
      <c r="H13717" t="str">
        <f>T("667 SAFEGUARD ST STE 100")</f>
        <v>667 SAFEGUARD ST STE 100</v>
      </c>
      <c r="I13717" t="str">
        <f>T("JBPHH")</f>
        <v>JBPHH</v>
      </c>
      <c r="J13717" t="str">
        <f t="shared" si="5089"/>
        <v>HI</v>
      </c>
      <c r="K13717" t="str">
        <f>T("80847380005447")</f>
        <v>80847380005447</v>
      </c>
      <c r="L13717" t="str">
        <f>T("1111111111")</f>
        <v>1111111111</v>
      </c>
    </row>
    <row r="13718" spans="1:12" x14ac:dyDescent="0.35">
      <c r="A13718" t="str">
        <f t="shared" si="5086"/>
        <v>PEARL HARBOR NSY/IMF</v>
      </c>
      <c r="B13718" t="str">
        <f t="shared" si="5095"/>
        <v>CODE 2305</v>
      </c>
      <c r="C13718" t="str">
        <f t="shared" si="5093"/>
        <v>667 SAFEGUARD ST STE 100</v>
      </c>
      <c r="D13718" t="str">
        <f t="shared" si="5091"/>
        <v>PEARL HARBOR</v>
      </c>
      <c r="E13718" t="str">
        <f t="shared" si="5088"/>
        <v>HI</v>
      </c>
      <c r="F13718" t="str">
        <f t="shared" si="5094"/>
        <v>968605033</v>
      </c>
      <c r="G13718" t="str">
        <f>T("CODE 2305")</f>
        <v>CODE 2305</v>
      </c>
      <c r="H13718" t="str">
        <f>T("667 SAFEGUARD ST STE 100")</f>
        <v>667 SAFEGUARD ST STE 100</v>
      </c>
      <c r="I13718" t="str">
        <f>T("PEARL HARBOR")</f>
        <v>PEARL HARBOR</v>
      </c>
      <c r="J13718" t="str">
        <f t="shared" si="5089"/>
        <v>HI</v>
      </c>
      <c r="K13718" t="str">
        <f>T("8084710472")</f>
        <v>8084710472</v>
      </c>
      <c r="L13718" t="str">
        <f>T("1111111111")</f>
        <v>1111111111</v>
      </c>
    </row>
    <row r="13719" spans="1:12" x14ac:dyDescent="0.35">
      <c r="A13719" t="str">
        <f t="shared" si="5086"/>
        <v>PEARL HARBOR NSY/IMF</v>
      </c>
      <c r="B13719" t="str">
        <f t="shared" si="5095"/>
        <v>CODE 2305</v>
      </c>
      <c r="C13719" t="str">
        <f t="shared" si="5093"/>
        <v>667 SAFEGUARD ST STE 100</v>
      </c>
      <c r="D13719" t="str">
        <f t="shared" si="5091"/>
        <v>PEARL HARBOR</v>
      </c>
      <c r="E13719" t="str">
        <f t="shared" si="5088"/>
        <v>HI</v>
      </c>
      <c r="F13719" t="str">
        <f t="shared" si="5094"/>
        <v>968605033</v>
      </c>
      <c r="G13719" t="str">
        <f>T("CODE 2305")</f>
        <v>CODE 2305</v>
      </c>
      <c r="H13719" t="str">
        <f>T("667 SAFEGUARD ST SUITE 100")</f>
        <v>667 SAFEGUARD ST SUITE 100</v>
      </c>
      <c r="I13719" t="str">
        <f>T("PEARL HARBOR")</f>
        <v>PEARL HARBOR</v>
      </c>
      <c r="J13719" t="str">
        <f t="shared" si="5089"/>
        <v>HI</v>
      </c>
      <c r="K13719" t="str">
        <f>T("000000000000000000")</f>
        <v>000000000000000000</v>
      </c>
      <c r="L13719" t="str">
        <f>T("8084738000")</f>
        <v>8084738000</v>
      </c>
    </row>
    <row r="13720" spans="1:12" x14ac:dyDescent="0.35">
      <c r="A13720" t="str">
        <f t="shared" si="5086"/>
        <v>PEARL HARBOR NSY/IMF</v>
      </c>
      <c r="B13720" t="str">
        <f t="shared" si="5095"/>
        <v>CODE 2305</v>
      </c>
      <c r="C13720" t="str">
        <f t="shared" si="5093"/>
        <v>667 SAFEGUARD ST STE 100</v>
      </c>
      <c r="D13720" t="str">
        <f t="shared" si="5091"/>
        <v>PEARL HARBOR</v>
      </c>
      <c r="E13720" t="str">
        <f t="shared" si="5088"/>
        <v>HI</v>
      </c>
      <c r="F13720" t="str">
        <f t="shared" si="5094"/>
        <v>968605033</v>
      </c>
      <c r="G13720" t="str">
        <f>T("CODE 2305")</f>
        <v>CODE 2305</v>
      </c>
      <c r="H13720" t="str">
        <f>T("667 SAFEGUARD ST SUITE 100")</f>
        <v>667 SAFEGUARD ST SUITE 100</v>
      </c>
      <c r="I13720" t="str">
        <f>T("PEARL HARBOR")</f>
        <v>PEARL HARBOR</v>
      </c>
      <c r="J13720" t="str">
        <f t="shared" si="5089"/>
        <v>HI</v>
      </c>
      <c r="K13720" t="str">
        <f>T("8084711053")</f>
        <v>8084711053</v>
      </c>
      <c r="L13720" t="str">
        <f>T("8084738000")</f>
        <v>8084738000</v>
      </c>
    </row>
    <row r="13721" spans="1:12" x14ac:dyDescent="0.35">
      <c r="A13721" t="str">
        <f t="shared" si="5086"/>
        <v>PEARL HARBOR NSY/IMF</v>
      </c>
      <c r="B13721" t="str">
        <f t="shared" si="5095"/>
        <v>CODE 2305</v>
      </c>
      <c r="C13721" t="str">
        <f t="shared" si="5093"/>
        <v>667 SAFEGUARD ST STE 100</v>
      </c>
      <c r="D13721" t="str">
        <f t="shared" si="5091"/>
        <v>PEARL HARBOR</v>
      </c>
      <c r="E13721" t="str">
        <f t="shared" si="5088"/>
        <v>HI</v>
      </c>
      <c r="F13721" t="str">
        <f t="shared" si="5094"/>
        <v>968605033</v>
      </c>
      <c r="G13721" t="str">
        <f>T("CODE 3205")</f>
        <v>CODE 3205</v>
      </c>
      <c r="H13721" t="str">
        <f>T("667 SAFEGUARD ST STE 100")</f>
        <v>667 SAFEGUARD ST STE 100</v>
      </c>
      <c r="I13721" t="str">
        <f>T("JBPHH")</f>
        <v>JBPHH</v>
      </c>
      <c r="J13721" t="str">
        <f t="shared" si="5089"/>
        <v>HI</v>
      </c>
      <c r="K13721" t="str">
        <f>T("80847380005583")</f>
        <v>80847380005583</v>
      </c>
      <c r="L13721" t="str">
        <f>T("8084738000")</f>
        <v>8084738000</v>
      </c>
    </row>
    <row r="13722" spans="1:12" x14ac:dyDescent="0.35">
      <c r="A13722" t="str">
        <f t="shared" si="5086"/>
        <v>PEARL HARBOR NSY/IMF</v>
      </c>
      <c r="B13722" t="str">
        <f>T("CODE 300")</f>
        <v>CODE 300</v>
      </c>
      <c r="C13722" t="str">
        <f>T("667 SAFEGUARD ST SUITE 100")</f>
        <v>667 SAFEGUARD ST SUITE 100</v>
      </c>
      <c r="D13722" t="str">
        <f t="shared" si="5091"/>
        <v>PEARL HARBOR</v>
      </c>
      <c r="E13722" t="str">
        <f t="shared" si="5088"/>
        <v>HI</v>
      </c>
      <c r="F13722" t="str">
        <f t="shared" si="5094"/>
        <v>968605033</v>
      </c>
      <c r="G13722" t="str">
        <f t="shared" ref="G13722:G13727" si="5096">T("CODE 300")</f>
        <v>CODE 300</v>
      </c>
      <c r="H13722" t="str">
        <f>T("667 SAFEGUARD ST STE 100")</f>
        <v>667 SAFEGUARD ST STE 100</v>
      </c>
      <c r="I13722" t="str">
        <f>T("JBPHH")</f>
        <v>JBPHH</v>
      </c>
      <c r="J13722" t="str">
        <f t="shared" si="5089"/>
        <v>HI</v>
      </c>
      <c r="K13722" t="str">
        <f>T("80847380003109")</f>
        <v>80847380003109</v>
      </c>
      <c r="L13722" t="str">
        <f>T("8084738000")</f>
        <v>8084738000</v>
      </c>
    </row>
    <row r="13723" spans="1:12" x14ac:dyDescent="0.35">
      <c r="A13723" t="str">
        <f t="shared" si="5086"/>
        <v>PEARL HARBOR NSY/IMF</v>
      </c>
      <c r="B13723" t="str">
        <f>T("CODE 300")</f>
        <v>CODE 300</v>
      </c>
      <c r="C13723" t="str">
        <f>T("667 SAFEGUARD ST SUITE 100")</f>
        <v>667 SAFEGUARD ST SUITE 100</v>
      </c>
      <c r="D13723" t="str">
        <f t="shared" si="5091"/>
        <v>PEARL HARBOR</v>
      </c>
      <c r="E13723" t="str">
        <f t="shared" si="5088"/>
        <v>HI</v>
      </c>
      <c r="F13723" t="str">
        <f t="shared" si="5094"/>
        <v>968605033</v>
      </c>
      <c r="G13723" t="str">
        <f t="shared" si="5096"/>
        <v>CODE 300</v>
      </c>
      <c r="H13723" t="str">
        <f>T("667 SAFEGUARD ST STE 100")</f>
        <v>667 SAFEGUARD ST STE 100</v>
      </c>
      <c r="I13723" t="str">
        <f>T("JBPHH")</f>
        <v>JBPHH</v>
      </c>
      <c r="J13723" t="str">
        <f t="shared" si="5089"/>
        <v>HI</v>
      </c>
      <c r="K13723" t="str">
        <f>T("80847380005176")</f>
        <v>80847380005176</v>
      </c>
      <c r="L13723" t="str">
        <f>T("8084738000")</f>
        <v>8084738000</v>
      </c>
    </row>
    <row r="13724" spans="1:12" x14ac:dyDescent="0.35">
      <c r="A13724" t="str">
        <f t="shared" si="5086"/>
        <v>PEARL HARBOR NSY/IMF</v>
      </c>
      <c r="B13724" t="str">
        <f>T("CODE 300")</f>
        <v>CODE 300</v>
      </c>
      <c r="C13724" t="str">
        <f>T("667 SAFEGUARD ST SUITE 100")</f>
        <v>667 SAFEGUARD ST SUITE 100</v>
      </c>
      <c r="D13724" t="str">
        <f t="shared" si="5091"/>
        <v>PEARL HARBOR</v>
      </c>
      <c r="E13724" t="str">
        <f t="shared" si="5088"/>
        <v>HI</v>
      </c>
      <c r="F13724" t="str">
        <f t="shared" si="5094"/>
        <v>968605033</v>
      </c>
      <c r="G13724" t="str">
        <f t="shared" si="5096"/>
        <v>CODE 300</v>
      </c>
      <c r="H13724" t="str">
        <f>T("667 SAFEGUARD ST STE 100")</f>
        <v>667 SAFEGUARD ST STE 100</v>
      </c>
      <c r="I13724" t="str">
        <f>T("JBPHH")</f>
        <v>JBPHH</v>
      </c>
      <c r="J13724" t="str">
        <f t="shared" si="5089"/>
        <v>HI</v>
      </c>
      <c r="K13724" t="str">
        <f>T("80847380006119")</f>
        <v>80847380006119</v>
      </c>
      <c r="L13724" t="str">
        <f>T("8083680113")</f>
        <v>8083680113</v>
      </c>
    </row>
    <row r="13725" spans="1:12" x14ac:dyDescent="0.35">
      <c r="A13725" t="str">
        <f t="shared" si="5086"/>
        <v>PEARL HARBOR NSY/IMF</v>
      </c>
      <c r="B13725" t="str">
        <f>T("CODE 300")</f>
        <v>CODE 300</v>
      </c>
      <c r="C13725" t="str">
        <f>T("667 SAFEGUARD ST SUITE 100")</f>
        <v>667 SAFEGUARD ST SUITE 100</v>
      </c>
      <c r="D13725" t="str">
        <f t="shared" si="5091"/>
        <v>PEARL HARBOR</v>
      </c>
      <c r="E13725" t="str">
        <f t="shared" si="5088"/>
        <v>HI</v>
      </c>
      <c r="F13725" t="str">
        <f t="shared" si="5094"/>
        <v>968605033</v>
      </c>
      <c r="G13725" t="str">
        <f t="shared" si="5096"/>
        <v>CODE 300</v>
      </c>
      <c r="H13725" t="str">
        <f>T("667 SAFEGUARD ST SUITE 100")</f>
        <v>667 SAFEGUARD ST SUITE 100</v>
      </c>
      <c r="I13725" t="str">
        <f>T("PEARL HARBOR")</f>
        <v>PEARL HARBOR</v>
      </c>
      <c r="J13725" t="str">
        <f t="shared" si="5089"/>
        <v>HI</v>
      </c>
      <c r="K13725" t="str">
        <f>T("8084710102")</f>
        <v>8084710102</v>
      </c>
      <c r="L13725" t="str">
        <f>T("1111111111")</f>
        <v>1111111111</v>
      </c>
    </row>
    <row r="13726" spans="1:12" x14ac:dyDescent="0.35">
      <c r="A13726" t="str">
        <f t="shared" si="5086"/>
        <v>PEARL HARBOR NSY/IMF</v>
      </c>
      <c r="B13726" t="str">
        <f>T("CODE 300")</f>
        <v>CODE 300</v>
      </c>
      <c r="C13726" t="str">
        <f>T("667 SAFEGUARD ST SUITE 100")</f>
        <v>667 SAFEGUARD ST SUITE 100</v>
      </c>
      <c r="D13726" t="str">
        <f t="shared" si="5091"/>
        <v>PEARL HARBOR</v>
      </c>
      <c r="E13726" t="str">
        <f t="shared" si="5088"/>
        <v>HI</v>
      </c>
      <c r="F13726" t="str">
        <f t="shared" si="5094"/>
        <v>968605033</v>
      </c>
      <c r="G13726" t="str">
        <f t="shared" si="5096"/>
        <v>CODE 300</v>
      </c>
      <c r="H13726" t="str">
        <f>T("667 SAFEGUARD ST SUITE 100")</f>
        <v>667 SAFEGUARD ST SUITE 100</v>
      </c>
      <c r="I13726" t="str">
        <f>T("PEARL HARBOR")</f>
        <v>PEARL HARBOR</v>
      </c>
      <c r="J13726" t="str">
        <f t="shared" si="5089"/>
        <v>HI</v>
      </c>
      <c r="K13726" t="str">
        <f>T("8084718851")</f>
        <v>8084718851</v>
      </c>
      <c r="L13726" t="str">
        <f>T("1111111111")</f>
        <v>1111111111</v>
      </c>
    </row>
    <row r="13727" spans="1:12" x14ac:dyDescent="0.35">
      <c r="A13727" t="str">
        <f t="shared" si="5086"/>
        <v>PEARL HARBOR NSY/IMF</v>
      </c>
      <c r="B13727" t="str">
        <f>T("CODE 300N")</f>
        <v>CODE 300N</v>
      </c>
      <c r="C13727" t="str">
        <f t="shared" ref="C13727:C13754" si="5097">T("667 SAFEGUARD ST STE 100")</f>
        <v>667 SAFEGUARD ST STE 100</v>
      </c>
      <c r="D13727" t="str">
        <f>T("JBPHH")</f>
        <v>JBPHH</v>
      </c>
      <c r="E13727" t="str">
        <f t="shared" si="5088"/>
        <v>HI</v>
      </c>
      <c r="F13727" t="str">
        <f t="shared" si="5094"/>
        <v>968605033</v>
      </c>
      <c r="G13727" t="str">
        <f t="shared" si="5096"/>
        <v>CODE 300</v>
      </c>
      <c r="H13727" t="str">
        <f t="shared" ref="H13727:H13733" si="5098">T("667 SAFEGUARD ST STE 100")</f>
        <v>667 SAFEGUARD ST STE 100</v>
      </c>
      <c r="I13727" t="str">
        <f>T("JBPHH")</f>
        <v>JBPHH</v>
      </c>
      <c r="J13727" t="str">
        <f t="shared" si="5089"/>
        <v>HI</v>
      </c>
      <c r="K13727" t="str">
        <f>T("000000000000000000")</f>
        <v>000000000000000000</v>
      </c>
      <c r="L13727" t="str">
        <f>T("8087545997")</f>
        <v>8087545997</v>
      </c>
    </row>
    <row r="13728" spans="1:12" x14ac:dyDescent="0.35">
      <c r="A13728" t="str">
        <f t="shared" si="5086"/>
        <v>PEARL HARBOR NSY/IMF</v>
      </c>
      <c r="B13728" t="str">
        <f>T("CODE 300N")</f>
        <v>CODE 300N</v>
      </c>
      <c r="C13728" t="str">
        <f t="shared" si="5097"/>
        <v>667 SAFEGUARD ST STE 100</v>
      </c>
      <c r="D13728" t="str">
        <f>T("JBPHH")</f>
        <v>JBPHH</v>
      </c>
      <c r="E13728" t="str">
        <f t="shared" si="5088"/>
        <v>HI</v>
      </c>
      <c r="F13728" t="str">
        <f t="shared" si="5094"/>
        <v>968605033</v>
      </c>
      <c r="G13728" t="str">
        <f>T("CODE 300N")</f>
        <v>CODE 300N</v>
      </c>
      <c r="H13728" t="str">
        <f t="shared" si="5098"/>
        <v>667 SAFEGUARD ST STE 100</v>
      </c>
      <c r="I13728" t="str">
        <f>T("JBPHH")</f>
        <v>JBPHH</v>
      </c>
      <c r="J13728" t="str">
        <f t="shared" si="5089"/>
        <v>HI</v>
      </c>
      <c r="K13728" t="str">
        <f>T("8084718851")</f>
        <v>8084718851</v>
      </c>
      <c r="L13728" t="str">
        <f>T("1111111111")</f>
        <v>1111111111</v>
      </c>
    </row>
    <row r="13729" spans="1:12" x14ac:dyDescent="0.35">
      <c r="A13729" t="str">
        <f t="shared" si="5086"/>
        <v>PEARL HARBOR NSY/IMF</v>
      </c>
      <c r="B13729" t="str">
        <f>T("CODE 300N")</f>
        <v>CODE 300N</v>
      </c>
      <c r="C13729" t="str">
        <f t="shared" si="5097"/>
        <v>667 SAFEGUARD ST STE 100</v>
      </c>
      <c r="D13729" t="str">
        <f>T("JBPHH")</f>
        <v>JBPHH</v>
      </c>
      <c r="E13729" t="str">
        <f t="shared" si="5088"/>
        <v>HI</v>
      </c>
      <c r="F13729" t="str">
        <f t="shared" si="5094"/>
        <v>968605033</v>
      </c>
      <c r="G13729" t="str">
        <f>T("CODE 300N")</f>
        <v>CODE 300N</v>
      </c>
      <c r="H13729" t="str">
        <f t="shared" si="5098"/>
        <v>667 SAFEGUARD ST STE 100</v>
      </c>
      <c r="I13729" t="str">
        <f>T("JBPHH")</f>
        <v>JBPHH</v>
      </c>
      <c r="J13729" t="str">
        <f t="shared" si="5089"/>
        <v>HI</v>
      </c>
      <c r="K13729" t="str">
        <f>T("80847380003430")</f>
        <v>80847380003430</v>
      </c>
      <c r="L13729" t="str">
        <f>T("1111111111")</f>
        <v>1111111111</v>
      </c>
    </row>
    <row r="13730" spans="1:12" x14ac:dyDescent="0.35">
      <c r="A13730" t="str">
        <f t="shared" si="5086"/>
        <v>PEARL HARBOR NSY/IMF</v>
      </c>
      <c r="B13730" t="str">
        <f>T("CODE 430")</f>
        <v>CODE 430</v>
      </c>
      <c r="C13730" t="str">
        <f t="shared" si="5097"/>
        <v>667 SAFEGUARD ST STE 100</v>
      </c>
      <c r="D13730" t="str">
        <f t="shared" ref="D13730:D13746" si="5099">T("PEARL HARBOR")</f>
        <v>PEARL HARBOR</v>
      </c>
      <c r="E13730" t="str">
        <f t="shared" si="5088"/>
        <v>HI</v>
      </c>
      <c r="F13730" t="str">
        <f t="shared" si="5094"/>
        <v>968605033</v>
      </c>
      <c r="G13730" t="str">
        <f>T("CODE 430")</f>
        <v>CODE 430</v>
      </c>
      <c r="H13730" t="str">
        <f t="shared" si="5098"/>
        <v>667 SAFEGUARD ST STE 100</v>
      </c>
      <c r="I13730" t="str">
        <f>T("JBPHH")</f>
        <v>JBPHH</v>
      </c>
      <c r="J13730" t="str">
        <f t="shared" si="5089"/>
        <v>HI</v>
      </c>
      <c r="K13730" t="str">
        <f>T("80847380002977")</f>
        <v>80847380002977</v>
      </c>
      <c r="L13730" t="str">
        <f>T("1111111111")</f>
        <v>1111111111</v>
      </c>
    </row>
    <row r="13731" spans="1:12" x14ac:dyDescent="0.35">
      <c r="A13731" t="str">
        <f t="shared" ref="A13731:A13762" si="5100">T("PEARL HARBOR NSY/IMF")</f>
        <v>PEARL HARBOR NSY/IMF</v>
      </c>
      <c r="B13731" t="str">
        <f>T("CODE 430")</f>
        <v>CODE 430</v>
      </c>
      <c r="C13731" t="str">
        <f t="shared" si="5097"/>
        <v>667 SAFEGUARD ST STE 100</v>
      </c>
      <c r="D13731" t="str">
        <f t="shared" si="5099"/>
        <v>PEARL HARBOR</v>
      </c>
      <c r="E13731" t="str">
        <f t="shared" ref="E13731:E13762" si="5101">T("HI")</f>
        <v>HI</v>
      </c>
      <c r="F13731" t="str">
        <f t="shared" si="5094"/>
        <v>968605033</v>
      </c>
      <c r="G13731" t="str">
        <f>T("CODE 430")</f>
        <v>CODE 430</v>
      </c>
      <c r="H13731" t="str">
        <f t="shared" si="5098"/>
        <v>667 SAFEGUARD ST STE 100</v>
      </c>
      <c r="I13731" t="str">
        <f>T("PEARL HARBOR")</f>
        <v>PEARL HARBOR</v>
      </c>
      <c r="J13731" t="str">
        <f t="shared" ref="J13731:J13762" si="5102">T("HI")</f>
        <v>HI</v>
      </c>
      <c r="K13731" t="str">
        <f>T("")</f>
        <v/>
      </c>
      <c r="L13731" t="str">
        <f>T("1111111111")</f>
        <v>1111111111</v>
      </c>
    </row>
    <row r="13732" spans="1:12" x14ac:dyDescent="0.35">
      <c r="A13732" t="str">
        <f t="shared" si="5100"/>
        <v>PEARL HARBOR NSY/IMF</v>
      </c>
      <c r="B13732" t="str">
        <f>T("CODE 600")</f>
        <v>CODE 600</v>
      </c>
      <c r="C13732" t="str">
        <f t="shared" si="5097"/>
        <v>667 SAFEGUARD ST STE 100</v>
      </c>
      <c r="D13732" t="str">
        <f t="shared" si="5099"/>
        <v>PEARL HARBOR</v>
      </c>
      <c r="E13732" t="str">
        <f t="shared" si="5101"/>
        <v>HI</v>
      </c>
      <c r="F13732" t="str">
        <f t="shared" si="5094"/>
        <v>968605033</v>
      </c>
      <c r="G13732" t="str">
        <f>T("CODE 600")</f>
        <v>CODE 600</v>
      </c>
      <c r="H13732" t="str">
        <f t="shared" si="5098"/>
        <v>667 SAFEGUARD ST STE 100</v>
      </c>
      <c r="I13732" t="str">
        <f>T("JBPHH")</f>
        <v>JBPHH</v>
      </c>
      <c r="J13732" t="str">
        <f t="shared" si="5102"/>
        <v>HI</v>
      </c>
      <c r="K13732" t="str">
        <f>T("80847380006187")</f>
        <v>80847380006187</v>
      </c>
      <c r="L13732" t="str">
        <f>T("8084738000")</f>
        <v>8084738000</v>
      </c>
    </row>
    <row r="13733" spans="1:12" x14ac:dyDescent="0.35">
      <c r="A13733" t="str">
        <f t="shared" si="5100"/>
        <v>PEARL HARBOR NSY/IMF</v>
      </c>
      <c r="B13733" t="str">
        <f>T("CODE 600")</f>
        <v>CODE 600</v>
      </c>
      <c r="C13733" t="str">
        <f t="shared" si="5097"/>
        <v>667 SAFEGUARD ST STE 100</v>
      </c>
      <c r="D13733" t="str">
        <f t="shared" si="5099"/>
        <v>PEARL HARBOR</v>
      </c>
      <c r="E13733" t="str">
        <f t="shared" si="5101"/>
        <v>HI</v>
      </c>
      <c r="F13733" t="str">
        <f t="shared" si="5094"/>
        <v>968605033</v>
      </c>
      <c r="G13733" t="str">
        <f>T("CODE 600")</f>
        <v>CODE 600</v>
      </c>
      <c r="H13733" t="str">
        <f t="shared" si="5098"/>
        <v>667 SAFEGUARD ST STE 100</v>
      </c>
      <c r="I13733" t="str">
        <f>T("PEARL HARBOR")</f>
        <v>PEARL HARBOR</v>
      </c>
      <c r="J13733" t="str">
        <f t="shared" si="5102"/>
        <v>HI</v>
      </c>
      <c r="K13733" t="str">
        <f>T("8084714297")</f>
        <v>8084714297</v>
      </c>
      <c r="L13733" t="str">
        <f>T("1111111111")</f>
        <v>1111111111</v>
      </c>
    </row>
    <row r="13734" spans="1:12" x14ac:dyDescent="0.35">
      <c r="A13734" t="str">
        <f t="shared" si="5100"/>
        <v>PEARL HARBOR NSY/IMF</v>
      </c>
      <c r="B13734" t="str">
        <f>T("CODE 600")</f>
        <v>CODE 600</v>
      </c>
      <c r="C13734" t="str">
        <f t="shared" si="5097"/>
        <v>667 SAFEGUARD ST STE 100</v>
      </c>
      <c r="D13734" t="str">
        <f t="shared" si="5099"/>
        <v>PEARL HARBOR</v>
      </c>
      <c r="E13734" t="str">
        <f t="shared" si="5101"/>
        <v>HI</v>
      </c>
      <c r="F13734" t="str">
        <f t="shared" si="5094"/>
        <v>968605033</v>
      </c>
      <c r="G13734" t="str">
        <f>T("CODE 610")</f>
        <v>CODE 610</v>
      </c>
      <c r="H13734" t="str">
        <f>T("667 SAFEGUARD ST SUITE 100")</f>
        <v>667 SAFEGUARD ST SUITE 100</v>
      </c>
      <c r="I13734" t="str">
        <f>T("PEARL HARBOR")</f>
        <v>PEARL HARBOR</v>
      </c>
      <c r="J13734" t="str">
        <f t="shared" si="5102"/>
        <v>HI</v>
      </c>
      <c r="K13734" t="str">
        <f>T("000000000000000000")</f>
        <v>000000000000000000</v>
      </c>
      <c r="L13734" t="str">
        <f>T("1111111111")</f>
        <v>1111111111</v>
      </c>
    </row>
    <row r="13735" spans="1:12" x14ac:dyDescent="0.35">
      <c r="A13735" t="str">
        <f t="shared" si="5100"/>
        <v>PEARL HARBOR NSY/IMF</v>
      </c>
      <c r="B13735" t="str">
        <f>T("CODE 600")</f>
        <v>CODE 600</v>
      </c>
      <c r="C13735" t="str">
        <f t="shared" si="5097"/>
        <v>667 SAFEGUARD ST STE 100</v>
      </c>
      <c r="D13735" t="str">
        <f t="shared" si="5099"/>
        <v>PEARL HARBOR</v>
      </c>
      <c r="E13735" t="str">
        <f t="shared" si="5101"/>
        <v>HI</v>
      </c>
      <c r="F13735" t="str">
        <f t="shared" si="5094"/>
        <v>968605033</v>
      </c>
      <c r="G13735" t="str">
        <f>T("CODE 610 4")</f>
        <v>CODE 610 4</v>
      </c>
      <c r="H13735" t="str">
        <f>T("667 SAFEGUARD ST STE 100")</f>
        <v>667 SAFEGUARD ST STE 100</v>
      </c>
      <c r="I13735" t="str">
        <f>T("JBPHH")</f>
        <v>JBPHH</v>
      </c>
      <c r="J13735" t="str">
        <f t="shared" si="5102"/>
        <v>HI</v>
      </c>
      <c r="K13735" t="str">
        <f>T("8084715031")</f>
        <v>8084715031</v>
      </c>
      <c r="L13735" t="str">
        <f>T("1111111111")</f>
        <v>1111111111</v>
      </c>
    </row>
    <row r="13736" spans="1:12" x14ac:dyDescent="0.35">
      <c r="A13736" t="str">
        <f t="shared" si="5100"/>
        <v>PEARL HARBOR NSY/IMF</v>
      </c>
      <c r="B13736" t="str">
        <f>T("CODE 600")</f>
        <v>CODE 600</v>
      </c>
      <c r="C13736" t="str">
        <f t="shared" si="5097"/>
        <v>667 SAFEGUARD ST STE 100</v>
      </c>
      <c r="D13736" t="str">
        <f t="shared" si="5099"/>
        <v>PEARL HARBOR</v>
      </c>
      <c r="E13736" t="str">
        <f t="shared" si="5101"/>
        <v>HI</v>
      </c>
      <c r="F13736" t="str">
        <f t="shared" si="5094"/>
        <v>968605033</v>
      </c>
      <c r="G13736" t="str">
        <f>T("CODE 610 4")</f>
        <v>CODE 610 4</v>
      </c>
      <c r="H13736" t="str">
        <f>T("667 SAFEGUARD ST STE 100")</f>
        <v>667 SAFEGUARD ST STE 100</v>
      </c>
      <c r="I13736" t="str">
        <f>T("JBPHH")</f>
        <v>JBPHH</v>
      </c>
      <c r="J13736" t="str">
        <f t="shared" si="5102"/>
        <v>HI</v>
      </c>
      <c r="K13736" t="str">
        <f>T("80847380006284")</f>
        <v>80847380006284</v>
      </c>
      <c r="L13736" t="str">
        <f>T("8084738000")</f>
        <v>8084738000</v>
      </c>
    </row>
    <row r="13737" spans="1:12" x14ac:dyDescent="0.35">
      <c r="A13737" t="str">
        <f t="shared" si="5100"/>
        <v>PEARL HARBOR NSY/IMF</v>
      </c>
      <c r="B13737" t="str">
        <f>T("CODE 610")</f>
        <v>CODE 610</v>
      </c>
      <c r="C13737" t="str">
        <f t="shared" si="5097"/>
        <v>667 SAFEGUARD ST STE 100</v>
      </c>
      <c r="D13737" t="str">
        <f t="shared" si="5099"/>
        <v>PEARL HARBOR</v>
      </c>
      <c r="E13737" t="str">
        <f t="shared" si="5101"/>
        <v>HI</v>
      </c>
      <c r="F13737" t="str">
        <f t="shared" si="5094"/>
        <v>968605033</v>
      </c>
      <c r="G13737" t="str">
        <f>T("CODE 600")</f>
        <v>CODE 600</v>
      </c>
      <c r="H13737" t="str">
        <f>T("667 SAFEGUARD ST SUITE 100")</f>
        <v>667 SAFEGUARD ST SUITE 100</v>
      </c>
      <c r="I13737" t="str">
        <f t="shared" ref="I13737:I13742" si="5103">T("PEARL HARBOR")</f>
        <v>PEARL HARBOR</v>
      </c>
      <c r="J13737" t="str">
        <f t="shared" si="5102"/>
        <v>HI</v>
      </c>
      <c r="K13737" t="str">
        <f>T("8084711364")</f>
        <v>8084711364</v>
      </c>
      <c r="L13737" t="str">
        <f>T("1111111111")</f>
        <v>1111111111</v>
      </c>
    </row>
    <row r="13738" spans="1:12" x14ac:dyDescent="0.35">
      <c r="A13738" t="str">
        <f t="shared" si="5100"/>
        <v>PEARL HARBOR NSY/IMF</v>
      </c>
      <c r="B13738" t="str">
        <f>T("CODE 610")</f>
        <v>CODE 610</v>
      </c>
      <c r="C13738" t="str">
        <f t="shared" si="5097"/>
        <v>667 SAFEGUARD ST STE 100</v>
      </c>
      <c r="D13738" t="str">
        <f t="shared" si="5099"/>
        <v>PEARL HARBOR</v>
      </c>
      <c r="E13738" t="str">
        <f t="shared" si="5101"/>
        <v>HI</v>
      </c>
      <c r="F13738" t="str">
        <f t="shared" si="5094"/>
        <v>968605033</v>
      </c>
      <c r="G13738" t="str">
        <f>T("CODE 610")</f>
        <v>CODE 610</v>
      </c>
      <c r="H13738" t="str">
        <f>T("667 SAFEGUARD ST STE 100")</f>
        <v>667 SAFEGUARD ST STE 100</v>
      </c>
      <c r="I13738" t="str">
        <f t="shared" si="5103"/>
        <v>PEARL HARBOR</v>
      </c>
      <c r="J13738" t="str">
        <f t="shared" si="5102"/>
        <v>HI</v>
      </c>
      <c r="K13738" t="str">
        <f>T("8084715031")</f>
        <v>8084715031</v>
      </c>
      <c r="L13738" t="str">
        <f>T("8084738000")</f>
        <v>8084738000</v>
      </c>
    </row>
    <row r="13739" spans="1:12" x14ac:dyDescent="0.35">
      <c r="A13739" t="str">
        <f t="shared" si="5100"/>
        <v>PEARL HARBOR NSY/IMF</v>
      </c>
      <c r="B13739" t="str">
        <f>T("CODE 730")</f>
        <v>CODE 730</v>
      </c>
      <c r="C13739" t="str">
        <f t="shared" si="5097"/>
        <v>667 SAFEGUARD ST STE 100</v>
      </c>
      <c r="D13739" t="str">
        <f t="shared" si="5099"/>
        <v>PEARL HARBOR</v>
      </c>
      <c r="E13739" t="str">
        <f t="shared" si="5101"/>
        <v>HI</v>
      </c>
      <c r="F13739" t="str">
        <f t="shared" si="5094"/>
        <v>968605033</v>
      </c>
      <c r="G13739" t="str">
        <f>T("CODE 730")</f>
        <v>CODE 730</v>
      </c>
      <c r="H13739" t="str">
        <f>T("667 SAFEGUARD ST STE 100")</f>
        <v>667 SAFEGUARD ST STE 100</v>
      </c>
      <c r="I13739" t="str">
        <f t="shared" si="5103"/>
        <v>PEARL HARBOR</v>
      </c>
      <c r="J13739" t="str">
        <f t="shared" si="5102"/>
        <v>HI</v>
      </c>
      <c r="K13739" t="str">
        <f>T("8084740569")</f>
        <v>8084740569</v>
      </c>
      <c r="L13739" t="str">
        <f>T("8083680944")</f>
        <v>8083680944</v>
      </c>
    </row>
    <row r="13740" spans="1:12" x14ac:dyDescent="0.35">
      <c r="A13740" t="str">
        <f t="shared" si="5100"/>
        <v>PEARL HARBOR NSY/IMF</v>
      </c>
      <c r="B13740" t="str">
        <f>T("CODE 730")</f>
        <v>CODE 730</v>
      </c>
      <c r="C13740" t="str">
        <f t="shared" si="5097"/>
        <v>667 SAFEGUARD ST STE 100</v>
      </c>
      <c r="D13740" t="str">
        <f t="shared" si="5099"/>
        <v>PEARL HARBOR</v>
      </c>
      <c r="E13740" t="str">
        <f t="shared" si="5101"/>
        <v>HI</v>
      </c>
      <c r="F13740" t="str">
        <f t="shared" si="5094"/>
        <v>968605033</v>
      </c>
      <c r="G13740" t="str">
        <f>T("CODE 730")</f>
        <v>CODE 730</v>
      </c>
      <c r="H13740" t="str">
        <f>T("667 SAFEGUARD ST SUITE 100")</f>
        <v>667 SAFEGUARD ST SUITE 100</v>
      </c>
      <c r="I13740" t="str">
        <f t="shared" si="5103"/>
        <v>PEARL HARBOR</v>
      </c>
      <c r="J13740" t="str">
        <f t="shared" si="5102"/>
        <v>HI</v>
      </c>
      <c r="K13740" t="str">
        <f>T("000000000000000000")</f>
        <v>000000000000000000</v>
      </c>
      <c r="L13740" t="str">
        <f>T("8084739261")</f>
        <v>8084739261</v>
      </c>
    </row>
    <row r="13741" spans="1:12" x14ac:dyDescent="0.35">
      <c r="A13741" t="str">
        <f t="shared" si="5100"/>
        <v>PEARL HARBOR NSY/IMF</v>
      </c>
      <c r="B13741" t="str">
        <f>T("CODE 730")</f>
        <v>CODE 730</v>
      </c>
      <c r="C13741" t="str">
        <f t="shared" si="5097"/>
        <v>667 SAFEGUARD ST STE 100</v>
      </c>
      <c r="D13741" t="str">
        <f t="shared" si="5099"/>
        <v>PEARL HARBOR</v>
      </c>
      <c r="E13741" t="str">
        <f t="shared" si="5101"/>
        <v>HI</v>
      </c>
      <c r="F13741" t="str">
        <f t="shared" si="5094"/>
        <v>968605033</v>
      </c>
      <c r="G13741" t="str">
        <f>T("CODE 733")</f>
        <v>CODE 733</v>
      </c>
      <c r="H13741" t="str">
        <f>T("667 SAFEGUARD ST STE 100")</f>
        <v>667 SAFEGUARD ST STE 100</v>
      </c>
      <c r="I13741" t="str">
        <f t="shared" si="5103"/>
        <v>PEARL HARBOR</v>
      </c>
      <c r="J13741" t="str">
        <f t="shared" si="5102"/>
        <v>HI</v>
      </c>
      <c r="K13741" t="str">
        <f>T("000000000000000000")</f>
        <v>000000000000000000</v>
      </c>
      <c r="L13741" t="str">
        <f>T("8083681592")</f>
        <v>8083681592</v>
      </c>
    </row>
    <row r="13742" spans="1:12" x14ac:dyDescent="0.35">
      <c r="A13742" t="str">
        <f t="shared" si="5100"/>
        <v>PEARL HARBOR NSY/IMF</v>
      </c>
      <c r="B13742" t="str">
        <f>T("CODE 730")</f>
        <v>CODE 730</v>
      </c>
      <c r="C13742" t="str">
        <f t="shared" si="5097"/>
        <v>667 SAFEGUARD ST STE 100</v>
      </c>
      <c r="D13742" t="str">
        <f t="shared" si="5099"/>
        <v>PEARL HARBOR</v>
      </c>
      <c r="E13742" t="str">
        <f t="shared" si="5101"/>
        <v>HI</v>
      </c>
      <c r="F13742" t="str">
        <f t="shared" si="5094"/>
        <v>968605033</v>
      </c>
      <c r="G13742" t="str">
        <f>T("CODE 733")</f>
        <v>CODE 733</v>
      </c>
      <c r="H13742" t="str">
        <f>T("667 SAFEGUARD ST STE 100")</f>
        <v>667 SAFEGUARD ST STE 100</v>
      </c>
      <c r="I13742" t="str">
        <f t="shared" si="5103"/>
        <v>PEARL HARBOR</v>
      </c>
      <c r="J13742" t="str">
        <f t="shared" si="5102"/>
        <v>HI</v>
      </c>
      <c r="K13742" t="str">
        <f>T("8084740569")</f>
        <v>8084740569</v>
      </c>
      <c r="L13742" t="str">
        <f>T("1111111111")</f>
        <v>1111111111</v>
      </c>
    </row>
    <row r="13743" spans="1:12" x14ac:dyDescent="0.35">
      <c r="A13743" t="str">
        <f t="shared" si="5100"/>
        <v>PEARL HARBOR NSY/IMF</v>
      </c>
      <c r="B13743" t="str">
        <f>T("CODE 740")</f>
        <v>CODE 740</v>
      </c>
      <c r="C13743" t="str">
        <f t="shared" si="5097"/>
        <v>667 SAFEGUARD ST STE 100</v>
      </c>
      <c r="D13743" t="str">
        <f t="shared" si="5099"/>
        <v>PEARL HARBOR</v>
      </c>
      <c r="E13743" t="str">
        <f t="shared" si="5101"/>
        <v>HI</v>
      </c>
      <c r="F13743" t="str">
        <f t="shared" si="5094"/>
        <v>968605033</v>
      </c>
      <c r="G13743" t="str">
        <f>T("CODE 733")</f>
        <v>CODE 733</v>
      </c>
      <c r="H13743" t="str">
        <f>T("667 SAFEGUARD ST STE 100")</f>
        <v>667 SAFEGUARD ST STE 100</v>
      </c>
      <c r="I13743" t="str">
        <f>T("JBPHH")</f>
        <v>JBPHH</v>
      </c>
      <c r="J13743" t="str">
        <f t="shared" si="5102"/>
        <v>HI</v>
      </c>
      <c r="K13743" t="str">
        <f>T("80847380006186")</f>
        <v>80847380006186</v>
      </c>
      <c r="L13743" t="str">
        <f>T("8084738000")</f>
        <v>8084738000</v>
      </c>
    </row>
    <row r="13744" spans="1:12" x14ac:dyDescent="0.35">
      <c r="A13744" t="str">
        <f t="shared" si="5100"/>
        <v>PEARL HARBOR NSY/IMF</v>
      </c>
      <c r="B13744" t="str">
        <f>T("CODE 740")</f>
        <v>CODE 740</v>
      </c>
      <c r="C13744" t="str">
        <f t="shared" si="5097"/>
        <v>667 SAFEGUARD ST STE 100</v>
      </c>
      <c r="D13744" t="str">
        <f t="shared" si="5099"/>
        <v>PEARL HARBOR</v>
      </c>
      <c r="E13744" t="str">
        <f t="shared" si="5101"/>
        <v>HI</v>
      </c>
      <c r="F13744" t="str">
        <f t="shared" si="5094"/>
        <v>968605033</v>
      </c>
      <c r="G13744" t="str">
        <f>T("CODE 740")</f>
        <v>CODE 740</v>
      </c>
      <c r="H13744" t="str">
        <f>T("667 SAFEGUARD ST STE 100")</f>
        <v>667 SAFEGUARD ST STE 100</v>
      </c>
      <c r="I13744" t="str">
        <f>T("PEARL HARBOR")</f>
        <v>PEARL HARBOR</v>
      </c>
      <c r="J13744" t="str">
        <f t="shared" si="5102"/>
        <v>HI</v>
      </c>
      <c r="K13744" t="str">
        <f>T("")</f>
        <v/>
      </c>
      <c r="L13744" t="str">
        <f>T("8083680944")</f>
        <v>8083680944</v>
      </c>
    </row>
    <row r="13745" spans="1:12" x14ac:dyDescent="0.35">
      <c r="A13745" t="str">
        <f t="shared" si="5100"/>
        <v>PEARL HARBOR NSY/IMF</v>
      </c>
      <c r="B13745" t="str">
        <f>T("CODE 740")</f>
        <v>CODE 740</v>
      </c>
      <c r="C13745" t="str">
        <f t="shared" si="5097"/>
        <v>667 SAFEGUARD ST STE 100</v>
      </c>
      <c r="D13745" t="str">
        <f t="shared" si="5099"/>
        <v>PEARL HARBOR</v>
      </c>
      <c r="E13745" t="str">
        <f t="shared" si="5101"/>
        <v>HI</v>
      </c>
      <c r="F13745" t="str">
        <f t="shared" si="5094"/>
        <v>968605033</v>
      </c>
      <c r="G13745" t="str">
        <f>T("CODE 740")</f>
        <v>CODE 740</v>
      </c>
      <c r="H13745" t="str">
        <f>T("667 SAFEGUARD ST SUITE 100")</f>
        <v>667 SAFEGUARD ST SUITE 100</v>
      </c>
      <c r="I13745" t="str">
        <f>T("PEARL HARBOR")</f>
        <v>PEARL HARBOR</v>
      </c>
      <c r="J13745" t="str">
        <f t="shared" si="5102"/>
        <v>HI</v>
      </c>
      <c r="K13745" t="str">
        <f>T("000000000000000000")</f>
        <v>000000000000000000</v>
      </c>
      <c r="L13745" t="str">
        <f>T("8084738000")</f>
        <v>8084738000</v>
      </c>
    </row>
    <row r="13746" spans="1:12" x14ac:dyDescent="0.35">
      <c r="A13746" t="str">
        <f t="shared" si="5100"/>
        <v>PEARL HARBOR NSY/IMF</v>
      </c>
      <c r="B13746" t="str">
        <f>T("CODE 740")</f>
        <v>CODE 740</v>
      </c>
      <c r="C13746" t="str">
        <f t="shared" si="5097"/>
        <v>667 SAFEGUARD ST STE 100</v>
      </c>
      <c r="D13746" t="str">
        <f t="shared" si="5099"/>
        <v>PEARL HARBOR</v>
      </c>
      <c r="E13746" t="str">
        <f t="shared" si="5101"/>
        <v>HI</v>
      </c>
      <c r="F13746" t="str">
        <f t="shared" ref="F13746:F13773" si="5104">T("968605033")</f>
        <v>968605033</v>
      </c>
      <c r="G13746" t="str">
        <f>T("CODE 740SP")</f>
        <v>CODE 740SP</v>
      </c>
      <c r="H13746" t="str">
        <f>T("667 SAFEGUARD ST STE 100")</f>
        <v>667 SAFEGUARD ST STE 100</v>
      </c>
      <c r="I13746" t="str">
        <f>T("PEARL HARBOR")</f>
        <v>PEARL HARBOR</v>
      </c>
      <c r="J13746" t="str">
        <f t="shared" si="5102"/>
        <v>HI</v>
      </c>
      <c r="K13746" t="str">
        <f>T("000000000000000000")</f>
        <v>000000000000000000</v>
      </c>
      <c r="L13746" t="str">
        <f>T("8084745099")</f>
        <v>8084745099</v>
      </c>
    </row>
    <row r="13747" spans="1:12" x14ac:dyDescent="0.35">
      <c r="A13747" t="str">
        <f t="shared" si="5100"/>
        <v>PEARL HARBOR NSY/IMF</v>
      </c>
      <c r="B13747" t="str">
        <f>T("CODE 760")</f>
        <v>CODE 760</v>
      </c>
      <c r="C13747" t="str">
        <f t="shared" si="5097"/>
        <v>667 SAFEGUARD ST STE 100</v>
      </c>
      <c r="D13747" t="str">
        <f>T("JBPHH")</f>
        <v>JBPHH</v>
      </c>
      <c r="E13747" t="str">
        <f t="shared" si="5101"/>
        <v>HI</v>
      </c>
      <c r="F13747" t="str">
        <f t="shared" si="5104"/>
        <v>968605033</v>
      </c>
      <c r="G13747" t="str">
        <f>T("CODE 760")</f>
        <v>CODE 760</v>
      </c>
      <c r="H13747" t="str">
        <f>T("667 SAFEGUARD ST STE 100")</f>
        <v>667 SAFEGUARD ST STE 100</v>
      </c>
      <c r="I13747" t="str">
        <f>T("JBPHH")</f>
        <v>JBPHH</v>
      </c>
      <c r="J13747" t="str">
        <f t="shared" si="5102"/>
        <v>HI</v>
      </c>
      <c r="K13747" t="str">
        <f>T("000000000000000000")</f>
        <v>000000000000000000</v>
      </c>
      <c r="L13747" t="str">
        <f>T("8084656183")</f>
        <v>8084656183</v>
      </c>
    </row>
    <row r="13748" spans="1:12" x14ac:dyDescent="0.35">
      <c r="A13748" t="str">
        <f t="shared" si="5100"/>
        <v>PEARL HARBOR NSY/IMF</v>
      </c>
      <c r="B13748" t="str">
        <f>T("CODE 760")</f>
        <v>CODE 760</v>
      </c>
      <c r="C13748" t="str">
        <f t="shared" si="5097"/>
        <v>667 SAFEGUARD ST STE 100</v>
      </c>
      <c r="D13748" t="str">
        <f>T("JBPHH")</f>
        <v>JBPHH</v>
      </c>
      <c r="E13748" t="str">
        <f t="shared" si="5101"/>
        <v>HI</v>
      </c>
      <c r="F13748" t="str">
        <f t="shared" si="5104"/>
        <v>968605033</v>
      </c>
      <c r="G13748" t="str">
        <f>T("CODE 760")</f>
        <v>CODE 760</v>
      </c>
      <c r="H13748" t="str">
        <f>T("667 SAFEGUARD ST STE 100")</f>
        <v>667 SAFEGUARD ST STE 100</v>
      </c>
      <c r="I13748" t="str">
        <f>T("JBPHH")</f>
        <v>JBPHH</v>
      </c>
      <c r="J13748" t="str">
        <f t="shared" si="5102"/>
        <v>HI</v>
      </c>
      <c r="K13748" t="str">
        <f>T("80847380005111")</f>
        <v>80847380005111</v>
      </c>
      <c r="L13748" t="str">
        <f>T("1111111111")</f>
        <v>1111111111</v>
      </c>
    </row>
    <row r="13749" spans="1:12" x14ac:dyDescent="0.35">
      <c r="A13749" t="str">
        <f t="shared" si="5100"/>
        <v>PEARL HARBOR NSY/IMF</v>
      </c>
      <c r="B13749" t="str">
        <f>T("CODE 760")</f>
        <v>CODE 760</v>
      </c>
      <c r="C13749" t="str">
        <f t="shared" si="5097"/>
        <v>667 SAFEGUARD ST STE 100</v>
      </c>
      <c r="D13749" t="str">
        <f>T("JBPHH")</f>
        <v>JBPHH</v>
      </c>
      <c r="E13749" t="str">
        <f t="shared" si="5101"/>
        <v>HI</v>
      </c>
      <c r="F13749" t="str">
        <f t="shared" si="5104"/>
        <v>968605033</v>
      </c>
      <c r="G13749" t="str">
        <f>T("CODE 760")</f>
        <v>CODE 760</v>
      </c>
      <c r="H13749" t="str">
        <f>T("667 SAFEGUARD ST STE 100")</f>
        <v>667 SAFEGUARD ST STE 100</v>
      </c>
      <c r="I13749" t="str">
        <f>T("JBPHH")</f>
        <v>JBPHH</v>
      </c>
      <c r="J13749" t="str">
        <f t="shared" si="5102"/>
        <v>HI</v>
      </c>
      <c r="K13749" t="str">
        <f>T("80847380005235")</f>
        <v>80847380005235</v>
      </c>
      <c r="L13749" t="str">
        <f>T("8087980106")</f>
        <v>8087980106</v>
      </c>
    </row>
    <row r="13750" spans="1:12" x14ac:dyDescent="0.35">
      <c r="A13750" t="str">
        <f t="shared" si="5100"/>
        <v>PEARL HARBOR NSY/IMF</v>
      </c>
      <c r="B13750" t="str">
        <f>T("CODE 760")</f>
        <v>CODE 760</v>
      </c>
      <c r="C13750" t="str">
        <f t="shared" si="5097"/>
        <v>667 SAFEGUARD ST STE 100</v>
      </c>
      <c r="D13750" t="str">
        <f>T("JBPHH")</f>
        <v>JBPHH</v>
      </c>
      <c r="E13750" t="str">
        <f t="shared" si="5101"/>
        <v>HI</v>
      </c>
      <c r="F13750" t="str">
        <f t="shared" si="5104"/>
        <v>968605033</v>
      </c>
      <c r="G13750" t="str">
        <f>T("CODE 760")</f>
        <v>CODE 760</v>
      </c>
      <c r="H13750" t="str">
        <f>T("667 SAFEGUARD ST STE 100")</f>
        <v>667 SAFEGUARD ST STE 100</v>
      </c>
      <c r="I13750" t="str">
        <f>T("JBPHH")</f>
        <v>JBPHH</v>
      </c>
      <c r="J13750" t="str">
        <f t="shared" si="5102"/>
        <v>HI</v>
      </c>
      <c r="K13750" t="str">
        <f>T("8084738954")</f>
        <v>8084738954</v>
      </c>
      <c r="L13750" t="str">
        <f>T("1111111111")</f>
        <v>1111111111</v>
      </c>
    </row>
    <row r="13751" spans="1:12" x14ac:dyDescent="0.35">
      <c r="A13751" t="str">
        <f t="shared" si="5100"/>
        <v>PEARL HARBOR NSY/IMF</v>
      </c>
      <c r="B13751" t="str">
        <f>T("CODE 760")</f>
        <v>CODE 760</v>
      </c>
      <c r="C13751" t="str">
        <f t="shared" si="5097"/>
        <v>667 SAFEGUARD ST STE 100</v>
      </c>
      <c r="D13751" t="str">
        <f>T("JBPHH")</f>
        <v>JBPHH</v>
      </c>
      <c r="E13751" t="str">
        <f t="shared" si="5101"/>
        <v>HI</v>
      </c>
      <c r="F13751" t="str">
        <f t="shared" si="5104"/>
        <v>968605033</v>
      </c>
      <c r="G13751" t="str">
        <f>T("CODE 760")</f>
        <v>CODE 760</v>
      </c>
      <c r="H13751" t="str">
        <f>T("667 SAFEGUARD ST SUITE 100")</f>
        <v>667 SAFEGUARD ST SUITE 100</v>
      </c>
      <c r="I13751" t="str">
        <f>T("PEARL HARBOR")</f>
        <v>PEARL HARBOR</v>
      </c>
      <c r="J13751" t="str">
        <f t="shared" si="5102"/>
        <v>HI</v>
      </c>
      <c r="K13751" t="str">
        <f>T("000000000000000000")</f>
        <v>000000000000000000</v>
      </c>
      <c r="L13751" t="str">
        <f>T("8084738000")</f>
        <v>8084738000</v>
      </c>
    </row>
    <row r="13752" spans="1:12" x14ac:dyDescent="0.35">
      <c r="A13752" t="str">
        <f t="shared" si="5100"/>
        <v>PEARL HARBOR NSY/IMF</v>
      </c>
      <c r="B13752" t="str">
        <f>T("CODE 900T")</f>
        <v>CODE 900T</v>
      </c>
      <c r="C13752" t="str">
        <f t="shared" si="5097"/>
        <v>667 SAFEGUARD ST STE 100</v>
      </c>
      <c r="D13752" t="str">
        <f t="shared" ref="D13752:D13783" si="5105">T("PEARL HARBOR")</f>
        <v>PEARL HARBOR</v>
      </c>
      <c r="E13752" t="str">
        <f t="shared" si="5101"/>
        <v>HI</v>
      </c>
      <c r="F13752" t="str">
        <f t="shared" si="5104"/>
        <v>968605033</v>
      </c>
      <c r="G13752" t="str">
        <f>T("CODE 900")</f>
        <v>CODE 900</v>
      </c>
      <c r="H13752" t="str">
        <f>T("667 SAFEGUARD ST SUITE 100")</f>
        <v>667 SAFEGUARD ST SUITE 100</v>
      </c>
      <c r="I13752" t="str">
        <f>T("PEARL HARBOR")</f>
        <v>PEARL HARBOR</v>
      </c>
      <c r="J13752" t="str">
        <f t="shared" si="5102"/>
        <v>HI</v>
      </c>
      <c r="K13752" t="str">
        <f>T("8084740405")</f>
        <v>8084740405</v>
      </c>
      <c r="L13752" t="str">
        <f>T("1111111111")</f>
        <v>1111111111</v>
      </c>
    </row>
    <row r="13753" spans="1:12" x14ac:dyDescent="0.35">
      <c r="A13753" t="str">
        <f t="shared" si="5100"/>
        <v>PEARL HARBOR NSY/IMF</v>
      </c>
      <c r="B13753" t="str">
        <f>T("CODE 900T")</f>
        <v>CODE 900T</v>
      </c>
      <c r="C13753" t="str">
        <f t="shared" si="5097"/>
        <v>667 SAFEGUARD ST STE 100</v>
      </c>
      <c r="D13753" t="str">
        <f t="shared" si="5105"/>
        <v>PEARL HARBOR</v>
      </c>
      <c r="E13753" t="str">
        <f t="shared" si="5101"/>
        <v>HI</v>
      </c>
      <c r="F13753" t="str">
        <f t="shared" si="5104"/>
        <v>968605033</v>
      </c>
      <c r="G13753" t="str">
        <f>T("CODE 900T")</f>
        <v>CODE 900T</v>
      </c>
      <c r="H13753" t="str">
        <f>T("667 SAFEGUARD ST STE 100")</f>
        <v>667 SAFEGUARD ST STE 100</v>
      </c>
      <c r="I13753" t="str">
        <f>T("PEARL HARBOR")</f>
        <v>PEARL HARBOR</v>
      </c>
      <c r="J13753" t="str">
        <f t="shared" si="5102"/>
        <v>HI</v>
      </c>
      <c r="K13753" t="str">
        <f>T("8084746516")</f>
        <v>8084746516</v>
      </c>
      <c r="L13753" t="str">
        <f>T("1111111111")</f>
        <v>1111111111</v>
      </c>
    </row>
    <row r="13754" spans="1:12" x14ac:dyDescent="0.35">
      <c r="A13754" t="str">
        <f t="shared" si="5100"/>
        <v>PEARL HARBOR NSY/IMF</v>
      </c>
      <c r="B13754" t="str">
        <f>T("CODE 900T")</f>
        <v>CODE 900T</v>
      </c>
      <c r="C13754" t="str">
        <f t="shared" si="5097"/>
        <v>667 SAFEGUARD ST STE 100</v>
      </c>
      <c r="D13754" t="str">
        <f t="shared" si="5105"/>
        <v>PEARL HARBOR</v>
      </c>
      <c r="E13754" t="str">
        <f t="shared" si="5101"/>
        <v>HI</v>
      </c>
      <c r="F13754" t="str">
        <f t="shared" si="5104"/>
        <v>968605033</v>
      </c>
      <c r="G13754" t="str">
        <f>T("CODE 900T")</f>
        <v>CODE 900T</v>
      </c>
      <c r="H13754" t="str">
        <f>T("667 SAFEGUARD ST STE 100")</f>
        <v>667 SAFEGUARD ST STE 100</v>
      </c>
      <c r="I13754" t="str">
        <f>T("PEARL HARBOR")</f>
        <v>PEARL HARBOR</v>
      </c>
      <c r="J13754" t="str">
        <f t="shared" si="5102"/>
        <v>HI</v>
      </c>
      <c r="K13754" t="str">
        <f>T("8086307772")</f>
        <v>8086307772</v>
      </c>
      <c r="L13754" t="str">
        <f>T("8086307772")</f>
        <v>8086307772</v>
      </c>
    </row>
    <row r="13755" spans="1:12" x14ac:dyDescent="0.35">
      <c r="A13755" t="str">
        <f t="shared" si="5100"/>
        <v>PEARL HARBOR NSY/IMF</v>
      </c>
      <c r="B13755" t="str">
        <f t="shared" ref="B13755:B13760" si="5106">T("CODE 920")</f>
        <v>CODE 920</v>
      </c>
      <c r="C13755" t="str">
        <f t="shared" ref="C13755:C13760" si="5107">T("667 SAFEGUARD ST SUITE 100")</f>
        <v>667 SAFEGUARD ST SUITE 100</v>
      </c>
      <c r="D13755" t="str">
        <f t="shared" si="5105"/>
        <v>PEARL HARBOR</v>
      </c>
      <c r="E13755" t="str">
        <f t="shared" si="5101"/>
        <v>HI</v>
      </c>
      <c r="F13755" t="str">
        <f t="shared" si="5104"/>
        <v>968605033</v>
      </c>
      <c r="G13755" t="str">
        <f t="shared" ref="G13755:G13760" si="5108">T("CODE 920")</f>
        <v>CODE 920</v>
      </c>
      <c r="H13755" t="str">
        <f>T("667 SAFEGUARD ST STE 100")</f>
        <v>667 SAFEGUARD ST STE 100</v>
      </c>
      <c r="I13755" t="str">
        <f>T("JBPHH")</f>
        <v>JBPHH</v>
      </c>
      <c r="J13755" t="str">
        <f t="shared" si="5102"/>
        <v>HI</v>
      </c>
      <c r="K13755" t="str">
        <f>T("80847380003952")</f>
        <v>80847380003952</v>
      </c>
      <c r="L13755" t="str">
        <f>T("8084738000")</f>
        <v>8084738000</v>
      </c>
    </row>
    <row r="13756" spans="1:12" x14ac:dyDescent="0.35">
      <c r="A13756" t="str">
        <f t="shared" si="5100"/>
        <v>PEARL HARBOR NSY/IMF</v>
      </c>
      <c r="B13756" t="str">
        <f t="shared" si="5106"/>
        <v>CODE 920</v>
      </c>
      <c r="C13756" t="str">
        <f t="shared" si="5107"/>
        <v>667 SAFEGUARD ST SUITE 100</v>
      </c>
      <c r="D13756" t="str">
        <f t="shared" si="5105"/>
        <v>PEARL HARBOR</v>
      </c>
      <c r="E13756" t="str">
        <f t="shared" si="5101"/>
        <v>HI</v>
      </c>
      <c r="F13756" t="str">
        <f t="shared" si="5104"/>
        <v>968605033</v>
      </c>
      <c r="G13756" t="str">
        <f t="shared" si="5108"/>
        <v>CODE 920</v>
      </c>
      <c r="H13756" t="str">
        <f>T("667 SAFEGUARD ST STE 100")</f>
        <v>667 SAFEGUARD ST STE 100</v>
      </c>
      <c r="I13756" t="str">
        <f>T("JBPHH")</f>
        <v>JBPHH</v>
      </c>
      <c r="J13756" t="str">
        <f t="shared" si="5102"/>
        <v>HI</v>
      </c>
      <c r="K13756" t="str">
        <f>T("80847380004482")</f>
        <v>80847380004482</v>
      </c>
      <c r="L13756" t="str">
        <f>T("8084738000")</f>
        <v>8084738000</v>
      </c>
    </row>
    <row r="13757" spans="1:12" x14ac:dyDescent="0.35">
      <c r="A13757" t="str">
        <f t="shared" si="5100"/>
        <v>PEARL HARBOR NSY/IMF</v>
      </c>
      <c r="B13757" t="str">
        <f t="shared" si="5106"/>
        <v>CODE 920</v>
      </c>
      <c r="C13757" t="str">
        <f t="shared" si="5107"/>
        <v>667 SAFEGUARD ST SUITE 100</v>
      </c>
      <c r="D13757" t="str">
        <f t="shared" si="5105"/>
        <v>PEARL HARBOR</v>
      </c>
      <c r="E13757" t="str">
        <f t="shared" si="5101"/>
        <v>HI</v>
      </c>
      <c r="F13757" t="str">
        <f t="shared" si="5104"/>
        <v>968605033</v>
      </c>
      <c r="G13757" t="str">
        <f t="shared" si="5108"/>
        <v>CODE 920</v>
      </c>
      <c r="H13757" t="str">
        <f>T("667 SAFEGUARD ST SUITE 100")</f>
        <v>667 SAFEGUARD ST SUITE 100</v>
      </c>
      <c r="I13757" t="str">
        <f>T("PEARL HARBOR")</f>
        <v>PEARL HARBOR</v>
      </c>
      <c r="J13757" t="str">
        <f t="shared" si="5102"/>
        <v>HI</v>
      </c>
      <c r="K13757" t="str">
        <f>T("000000000000000000")</f>
        <v>000000000000000000</v>
      </c>
      <c r="L13757" t="str">
        <f>T("8084734402")</f>
        <v>8084734402</v>
      </c>
    </row>
    <row r="13758" spans="1:12" x14ac:dyDescent="0.35">
      <c r="A13758" t="str">
        <f t="shared" si="5100"/>
        <v>PEARL HARBOR NSY/IMF</v>
      </c>
      <c r="B13758" t="str">
        <f t="shared" si="5106"/>
        <v>CODE 920</v>
      </c>
      <c r="C13758" t="str">
        <f t="shared" si="5107"/>
        <v>667 SAFEGUARD ST SUITE 100</v>
      </c>
      <c r="D13758" t="str">
        <f t="shared" si="5105"/>
        <v>PEARL HARBOR</v>
      </c>
      <c r="E13758" t="str">
        <f t="shared" si="5101"/>
        <v>HI</v>
      </c>
      <c r="F13758" t="str">
        <f t="shared" si="5104"/>
        <v>968605033</v>
      </c>
      <c r="G13758" t="str">
        <f t="shared" si="5108"/>
        <v>CODE 920</v>
      </c>
      <c r="H13758" t="str">
        <f>T("667 SAFEGUARD ST SUITE 100")</f>
        <v>667 SAFEGUARD ST SUITE 100</v>
      </c>
      <c r="I13758" t="str">
        <f>T("PEARL HARBOR")</f>
        <v>PEARL HARBOR</v>
      </c>
      <c r="J13758" t="str">
        <f t="shared" si="5102"/>
        <v>HI</v>
      </c>
      <c r="K13758" t="str">
        <f>T("000000000000000000")</f>
        <v>000000000000000000</v>
      </c>
      <c r="L13758" t="str">
        <f>T("8084738000")</f>
        <v>8084738000</v>
      </c>
    </row>
    <row r="13759" spans="1:12" x14ac:dyDescent="0.35">
      <c r="A13759" t="str">
        <f t="shared" si="5100"/>
        <v>PEARL HARBOR NSY/IMF</v>
      </c>
      <c r="B13759" t="str">
        <f t="shared" si="5106"/>
        <v>CODE 920</v>
      </c>
      <c r="C13759" t="str">
        <f t="shared" si="5107"/>
        <v>667 SAFEGUARD ST SUITE 100</v>
      </c>
      <c r="D13759" t="str">
        <f t="shared" si="5105"/>
        <v>PEARL HARBOR</v>
      </c>
      <c r="E13759" t="str">
        <f t="shared" si="5101"/>
        <v>HI</v>
      </c>
      <c r="F13759" t="str">
        <f t="shared" si="5104"/>
        <v>968605033</v>
      </c>
      <c r="G13759" t="str">
        <f t="shared" si="5108"/>
        <v>CODE 920</v>
      </c>
      <c r="H13759" t="str">
        <f>T("667 SAFEGUARD ST SUITE 100")</f>
        <v>667 SAFEGUARD ST SUITE 100</v>
      </c>
      <c r="I13759" t="str">
        <f>T("PEARL HARBOR")</f>
        <v>PEARL HARBOR</v>
      </c>
      <c r="J13759" t="str">
        <f t="shared" si="5102"/>
        <v>HI</v>
      </c>
      <c r="K13759" t="str">
        <f>T("8084734271")</f>
        <v>8084734271</v>
      </c>
      <c r="L13759" t="str">
        <f>T("8084738000")</f>
        <v>8084738000</v>
      </c>
    </row>
    <row r="13760" spans="1:12" x14ac:dyDescent="0.35">
      <c r="A13760" t="str">
        <f t="shared" si="5100"/>
        <v>PEARL HARBOR NSY/IMF</v>
      </c>
      <c r="B13760" t="str">
        <f t="shared" si="5106"/>
        <v>CODE 920</v>
      </c>
      <c r="C13760" t="str">
        <f t="shared" si="5107"/>
        <v>667 SAFEGUARD ST SUITE 100</v>
      </c>
      <c r="D13760" t="str">
        <f t="shared" si="5105"/>
        <v>PEARL HARBOR</v>
      </c>
      <c r="E13760" t="str">
        <f t="shared" si="5101"/>
        <v>HI</v>
      </c>
      <c r="F13760" t="str">
        <f t="shared" si="5104"/>
        <v>968605033</v>
      </c>
      <c r="G13760" t="str">
        <f t="shared" si="5108"/>
        <v>CODE 920</v>
      </c>
      <c r="H13760" t="str">
        <f>T("667 SAFEGUARD STREET SUITE 100")</f>
        <v>667 SAFEGUARD STREET SUITE 100</v>
      </c>
      <c r="I13760" t="str">
        <f>T("JBPHH")</f>
        <v>JBPHH</v>
      </c>
      <c r="J13760" t="str">
        <f t="shared" si="5102"/>
        <v>HI</v>
      </c>
      <c r="K13760" t="str">
        <f>T("80847380004394")</f>
        <v>80847380004394</v>
      </c>
      <c r="L13760" t="str">
        <f>T("1111111111")</f>
        <v>1111111111</v>
      </c>
    </row>
    <row r="13761" spans="1:12" x14ac:dyDescent="0.35">
      <c r="A13761" t="str">
        <f t="shared" si="5100"/>
        <v>PEARL HARBOR NSY/IMF</v>
      </c>
      <c r="B13761" t="str">
        <f>T("CODE 930")</f>
        <v>CODE 930</v>
      </c>
      <c r="C13761" t="str">
        <f t="shared" ref="C13761:C13767" si="5109">T("667 SAFEGUARD ST STE 100")</f>
        <v>667 SAFEGUARD ST STE 100</v>
      </c>
      <c r="D13761" t="str">
        <f t="shared" si="5105"/>
        <v>PEARL HARBOR</v>
      </c>
      <c r="E13761" t="str">
        <f t="shared" si="5101"/>
        <v>HI</v>
      </c>
      <c r="F13761" t="str">
        <f t="shared" si="5104"/>
        <v>968605033</v>
      </c>
      <c r="G13761" t="str">
        <f>T("C930")</f>
        <v>C930</v>
      </c>
      <c r="H13761" t="str">
        <f>T("667 SAFEGUARD ST")</f>
        <v>667 SAFEGUARD ST</v>
      </c>
      <c r="I13761" t="str">
        <f>T("JBPHH")</f>
        <v>JBPHH</v>
      </c>
      <c r="J13761" t="str">
        <f t="shared" si="5102"/>
        <v>HI</v>
      </c>
      <c r="K13761" t="str">
        <f>T("80847380006477")</f>
        <v>80847380006477</v>
      </c>
      <c r="L13761" t="str">
        <f>T("1111111111")</f>
        <v>1111111111</v>
      </c>
    </row>
    <row r="13762" spans="1:12" x14ac:dyDescent="0.35">
      <c r="A13762" t="str">
        <f t="shared" si="5100"/>
        <v>PEARL HARBOR NSY/IMF</v>
      </c>
      <c r="B13762" t="str">
        <f>T("CODE 930")</f>
        <v>CODE 930</v>
      </c>
      <c r="C13762" t="str">
        <f t="shared" si="5109"/>
        <v>667 SAFEGUARD ST STE 100</v>
      </c>
      <c r="D13762" t="str">
        <f t="shared" si="5105"/>
        <v>PEARL HARBOR</v>
      </c>
      <c r="E13762" t="str">
        <f t="shared" si="5101"/>
        <v>HI</v>
      </c>
      <c r="F13762" t="str">
        <f t="shared" si="5104"/>
        <v>968605033</v>
      </c>
      <c r="G13762" t="str">
        <f>T("CODE 930")</f>
        <v>CODE 930</v>
      </c>
      <c r="H13762" t="str">
        <f>T("667 SAFEGUARD ST STE 100")</f>
        <v>667 SAFEGUARD ST STE 100</v>
      </c>
      <c r="I13762" t="str">
        <f>T("PEARL HARBOR")</f>
        <v>PEARL HARBOR</v>
      </c>
      <c r="J13762" t="str">
        <f t="shared" si="5102"/>
        <v>HI</v>
      </c>
      <c r="K13762" t="str">
        <f>T("8084718929")</f>
        <v>8084718929</v>
      </c>
      <c r="L13762" t="str">
        <f>T("8084738000")</f>
        <v>8084738000</v>
      </c>
    </row>
    <row r="13763" spans="1:12" x14ac:dyDescent="0.35">
      <c r="A13763" t="str">
        <f t="shared" ref="A13763:A13794" si="5110">T("PEARL HARBOR NSY/IMF")</f>
        <v>PEARL HARBOR NSY/IMF</v>
      </c>
      <c r="B13763" t="str">
        <f>T("CODE 930")</f>
        <v>CODE 930</v>
      </c>
      <c r="C13763" t="str">
        <f t="shared" si="5109"/>
        <v>667 SAFEGUARD ST STE 100</v>
      </c>
      <c r="D13763" t="str">
        <f t="shared" si="5105"/>
        <v>PEARL HARBOR</v>
      </c>
      <c r="E13763" t="str">
        <f t="shared" ref="E13763:E13794" si="5111">T("HI")</f>
        <v>HI</v>
      </c>
      <c r="F13763" t="str">
        <f t="shared" si="5104"/>
        <v>968605033</v>
      </c>
      <c r="G13763" t="str">
        <f>T("CODE 930")</f>
        <v>CODE 930</v>
      </c>
      <c r="H13763" t="str">
        <f>T("667 SAFEGUARD ST STE 100")</f>
        <v>667 SAFEGUARD ST STE 100</v>
      </c>
      <c r="I13763" t="str">
        <f>T("PEARL HARBOR")</f>
        <v>PEARL HARBOR</v>
      </c>
      <c r="J13763" t="str">
        <f t="shared" ref="J13763:J13794" si="5112">T("HI")</f>
        <v>HI</v>
      </c>
      <c r="K13763" t="str">
        <f>T("8084731983")</f>
        <v>8084731983</v>
      </c>
      <c r="L13763" t="str">
        <f>T("8086201757")</f>
        <v>8086201757</v>
      </c>
    </row>
    <row r="13764" spans="1:12" x14ac:dyDescent="0.35">
      <c r="A13764" t="str">
        <f t="shared" si="5110"/>
        <v>PEARL HARBOR NSY/IMF</v>
      </c>
      <c r="B13764" t="str">
        <f>T("CODE 930")</f>
        <v>CODE 930</v>
      </c>
      <c r="C13764" t="str">
        <f t="shared" si="5109"/>
        <v>667 SAFEGUARD ST STE 100</v>
      </c>
      <c r="D13764" t="str">
        <f t="shared" si="5105"/>
        <v>PEARL HARBOR</v>
      </c>
      <c r="E13764" t="str">
        <f t="shared" si="5111"/>
        <v>HI</v>
      </c>
      <c r="F13764" t="str">
        <f t="shared" si="5104"/>
        <v>968605033</v>
      </c>
      <c r="G13764" t="str">
        <f>T("CODE 930")</f>
        <v>CODE 930</v>
      </c>
      <c r="H13764" t="str">
        <f>T("667 SAFEGUARD ST SUITE 100")</f>
        <v>667 SAFEGUARD ST SUITE 100</v>
      </c>
      <c r="I13764" t="str">
        <f>T("PEARL HARBOR")</f>
        <v>PEARL HARBOR</v>
      </c>
      <c r="J13764" t="str">
        <f t="shared" si="5112"/>
        <v>HI</v>
      </c>
      <c r="K13764" t="str">
        <f>T("")</f>
        <v/>
      </c>
      <c r="L13764" t="str">
        <f>T("1111111111")</f>
        <v>1111111111</v>
      </c>
    </row>
    <row r="13765" spans="1:12" x14ac:dyDescent="0.35">
      <c r="A13765" t="str">
        <f t="shared" si="5110"/>
        <v>PEARL HARBOR NSY/IMF</v>
      </c>
      <c r="B13765" t="str">
        <f>T("CODE 930")</f>
        <v>CODE 930</v>
      </c>
      <c r="C13765" t="str">
        <f t="shared" si="5109"/>
        <v>667 SAFEGUARD ST STE 100</v>
      </c>
      <c r="D13765" t="str">
        <f t="shared" si="5105"/>
        <v>PEARL HARBOR</v>
      </c>
      <c r="E13765" t="str">
        <f t="shared" si="5111"/>
        <v>HI</v>
      </c>
      <c r="F13765" t="str">
        <f t="shared" si="5104"/>
        <v>968605033</v>
      </c>
      <c r="G13765" t="str">
        <f>T("CODE 930")</f>
        <v>CODE 930</v>
      </c>
      <c r="H13765" t="str">
        <f>T("667 SAFEGUARD STREET STE 100")</f>
        <v>667 SAFEGUARD STREET STE 100</v>
      </c>
      <c r="I13765" t="str">
        <f>T("JBPHH")</f>
        <v>JBPHH</v>
      </c>
      <c r="J13765" t="str">
        <f t="shared" si="5112"/>
        <v>HI</v>
      </c>
      <c r="K13765" t="str">
        <f>T("")</f>
        <v/>
      </c>
      <c r="L13765" t="str">
        <f>T("1111111111")</f>
        <v>1111111111</v>
      </c>
    </row>
    <row r="13766" spans="1:12" x14ac:dyDescent="0.35">
      <c r="A13766" t="str">
        <f t="shared" si="5110"/>
        <v>PEARL HARBOR NSY/IMF</v>
      </c>
      <c r="B13766" t="str">
        <f>T("CODE 940")</f>
        <v>CODE 940</v>
      </c>
      <c r="C13766" t="str">
        <f t="shared" si="5109"/>
        <v>667 SAFEGUARD ST STE 100</v>
      </c>
      <c r="D13766" t="str">
        <f t="shared" si="5105"/>
        <v>PEARL HARBOR</v>
      </c>
      <c r="E13766" t="str">
        <f t="shared" si="5111"/>
        <v>HI</v>
      </c>
      <c r="F13766" t="str">
        <f t="shared" si="5104"/>
        <v>968605033</v>
      </c>
      <c r="G13766" t="str">
        <f>T("CODE 940")</f>
        <v>CODE 940</v>
      </c>
      <c r="H13766" t="str">
        <f>T("667 SAFEGUARD ST STE 100")</f>
        <v>667 SAFEGUARD ST STE 100</v>
      </c>
      <c r="I13766" t="str">
        <f>T("PEARL HARBOR")</f>
        <v>PEARL HARBOR</v>
      </c>
      <c r="J13766" t="str">
        <f t="shared" si="5112"/>
        <v>HI</v>
      </c>
      <c r="K13766" t="str">
        <f>T("")</f>
        <v/>
      </c>
      <c r="L13766" t="str">
        <f>T("1111111111")</f>
        <v>1111111111</v>
      </c>
    </row>
    <row r="13767" spans="1:12" x14ac:dyDescent="0.35">
      <c r="A13767" t="str">
        <f t="shared" si="5110"/>
        <v>PEARL HARBOR NSY/IMF</v>
      </c>
      <c r="B13767" t="str">
        <f>T("CODE 940")</f>
        <v>CODE 940</v>
      </c>
      <c r="C13767" t="str">
        <f t="shared" si="5109"/>
        <v>667 SAFEGUARD ST STE 100</v>
      </c>
      <c r="D13767" t="str">
        <f t="shared" si="5105"/>
        <v>PEARL HARBOR</v>
      </c>
      <c r="E13767" t="str">
        <f t="shared" si="5111"/>
        <v>HI</v>
      </c>
      <c r="F13767" t="str">
        <f t="shared" si="5104"/>
        <v>968605033</v>
      </c>
      <c r="G13767" t="str">
        <f>T("CODE 940")</f>
        <v>CODE 940</v>
      </c>
      <c r="H13767" t="str">
        <f>T("667 SAFEGUARD ST SUITE 100")</f>
        <v>667 SAFEGUARD ST SUITE 100</v>
      </c>
      <c r="I13767" t="str">
        <f>T("PEARL HARBOR")</f>
        <v>PEARL HARBOR</v>
      </c>
      <c r="J13767" t="str">
        <f t="shared" si="5112"/>
        <v>HI</v>
      </c>
      <c r="K13767" t="str">
        <f>T("000000000000000000")</f>
        <v>000000000000000000</v>
      </c>
      <c r="L13767" t="str">
        <f>T("8084738000")</f>
        <v>8084738000</v>
      </c>
    </row>
    <row r="13768" spans="1:12" x14ac:dyDescent="0.35">
      <c r="A13768" t="str">
        <f t="shared" si="5110"/>
        <v>PEARL HARBOR NSY/IMF</v>
      </c>
      <c r="B13768" t="str">
        <f>T("CODE 940")</f>
        <v>CODE 940</v>
      </c>
      <c r="C13768" t="str">
        <f>T("667 SAFEGUARD ST SUITE 100")</f>
        <v>667 SAFEGUARD ST SUITE 100</v>
      </c>
      <c r="D13768" t="str">
        <f t="shared" si="5105"/>
        <v>PEARL HARBOR</v>
      </c>
      <c r="E13768" t="str">
        <f t="shared" si="5111"/>
        <v>HI</v>
      </c>
      <c r="F13768" t="str">
        <f t="shared" si="5104"/>
        <v>968605033</v>
      </c>
      <c r="G13768" t="str">
        <f>T("CODE 940")</f>
        <v>CODE 940</v>
      </c>
      <c r="H13768" t="str">
        <f>T("667 SAFEGUARD ST SUITE 100")</f>
        <v>667 SAFEGUARD ST SUITE 100</v>
      </c>
      <c r="I13768" t="str">
        <f>T("PEARL HARBOR")</f>
        <v>PEARL HARBOR</v>
      </c>
      <c r="J13768" t="str">
        <f t="shared" si="5112"/>
        <v>HI</v>
      </c>
      <c r="K13768" t="str">
        <f>T("000000000000000000")</f>
        <v>000000000000000000</v>
      </c>
      <c r="L13768" t="str">
        <f>T("1111111111")</f>
        <v>1111111111</v>
      </c>
    </row>
    <row r="13769" spans="1:12" x14ac:dyDescent="0.35">
      <c r="A13769" t="str">
        <f t="shared" si="5110"/>
        <v>PEARL HARBOR NSY/IMF</v>
      </c>
      <c r="B13769" t="str">
        <f>T("CODE 940")</f>
        <v>CODE 940</v>
      </c>
      <c r="C13769" t="str">
        <f>T("667 SAFEGUARD ST SUITE 100")</f>
        <v>667 SAFEGUARD ST SUITE 100</v>
      </c>
      <c r="D13769" t="str">
        <f t="shared" si="5105"/>
        <v>PEARL HARBOR</v>
      </c>
      <c r="E13769" t="str">
        <f t="shared" si="5111"/>
        <v>HI</v>
      </c>
      <c r="F13769" t="str">
        <f t="shared" si="5104"/>
        <v>968605033</v>
      </c>
      <c r="G13769" t="str">
        <f>T("CODE 940")</f>
        <v>CODE 940</v>
      </c>
      <c r="H13769" t="str">
        <f>T("667 SAFEGUARD ST SUITE 100")</f>
        <v>667 SAFEGUARD ST SUITE 100</v>
      </c>
      <c r="I13769" t="str">
        <f>T("PEARL HARBOR")</f>
        <v>PEARL HARBOR</v>
      </c>
      <c r="J13769" t="str">
        <f t="shared" si="5112"/>
        <v>HI</v>
      </c>
      <c r="K13769" t="str">
        <f>T("808 474 3164")</f>
        <v>808 474 3164</v>
      </c>
      <c r="L13769" t="str">
        <f>T("1111111111")</f>
        <v>1111111111</v>
      </c>
    </row>
    <row r="13770" spans="1:12" x14ac:dyDescent="0.35">
      <c r="A13770" t="str">
        <f t="shared" si="5110"/>
        <v>PEARL HARBOR NSY/IMF</v>
      </c>
      <c r="B13770" t="str">
        <f>T("CODE 950")</f>
        <v>CODE 950</v>
      </c>
      <c r="C13770" t="str">
        <f>T("667 SAFEGUARD ST STE 100")</f>
        <v>667 SAFEGUARD ST STE 100</v>
      </c>
      <c r="D13770" t="str">
        <f t="shared" si="5105"/>
        <v>PEARL HARBOR</v>
      </c>
      <c r="E13770" t="str">
        <f t="shared" si="5111"/>
        <v>HI</v>
      </c>
      <c r="F13770" t="str">
        <f t="shared" si="5104"/>
        <v>968605033</v>
      </c>
      <c r="G13770" t="str">
        <f>T("CODE 950")</f>
        <v>CODE 950</v>
      </c>
      <c r="H13770" t="str">
        <f>T("667 SAFEGUARD ST STE 100")</f>
        <v>667 SAFEGUARD ST STE 100</v>
      </c>
      <c r="I13770" t="str">
        <f>T("JBPHH")</f>
        <v>JBPHH</v>
      </c>
      <c r="J13770" t="str">
        <f t="shared" si="5112"/>
        <v>HI</v>
      </c>
      <c r="K13770" t="str">
        <f>T("80847380005502")</f>
        <v>80847380005502</v>
      </c>
      <c r="L13770" t="str">
        <f>T("1111111111")</f>
        <v>1111111111</v>
      </c>
    </row>
    <row r="13771" spans="1:12" x14ac:dyDescent="0.35">
      <c r="A13771" t="str">
        <f t="shared" si="5110"/>
        <v>PEARL HARBOR NSY/IMF</v>
      </c>
      <c r="B13771" t="str">
        <f>T("CODE 950")</f>
        <v>CODE 950</v>
      </c>
      <c r="C13771" t="str">
        <f>T("667 SAFEGUARD ST STE 100")</f>
        <v>667 SAFEGUARD ST STE 100</v>
      </c>
      <c r="D13771" t="str">
        <f t="shared" si="5105"/>
        <v>PEARL HARBOR</v>
      </c>
      <c r="E13771" t="str">
        <f t="shared" si="5111"/>
        <v>HI</v>
      </c>
      <c r="F13771" t="str">
        <f t="shared" si="5104"/>
        <v>968605033</v>
      </c>
      <c r="G13771" t="str">
        <f>T("CODE 950")</f>
        <v>CODE 950</v>
      </c>
      <c r="H13771" t="str">
        <f>T("667 SAFEGUARD ST STE 100")</f>
        <v>667 SAFEGUARD ST STE 100</v>
      </c>
      <c r="I13771" t="str">
        <f>T("PEARL HARBOR")</f>
        <v>PEARL HARBOR</v>
      </c>
      <c r="J13771" t="str">
        <f t="shared" si="5112"/>
        <v>HI</v>
      </c>
      <c r="K13771" t="str">
        <f>T("000000000000000000")</f>
        <v>000000000000000000</v>
      </c>
      <c r="L13771" t="str">
        <f>T("8084738000")</f>
        <v>8084738000</v>
      </c>
    </row>
    <row r="13772" spans="1:12" x14ac:dyDescent="0.35">
      <c r="A13772" t="str">
        <f t="shared" si="5110"/>
        <v>PEARL HARBOR NSY/IMF</v>
      </c>
      <c r="B13772" t="str">
        <f>T("CODE 950")</f>
        <v>CODE 950</v>
      </c>
      <c r="C13772" t="str">
        <f>T("667 SAFEGUARD ST STE 100")</f>
        <v>667 SAFEGUARD ST STE 100</v>
      </c>
      <c r="D13772" t="str">
        <f t="shared" si="5105"/>
        <v>PEARL HARBOR</v>
      </c>
      <c r="E13772" t="str">
        <f t="shared" si="5111"/>
        <v>HI</v>
      </c>
      <c r="F13772" t="str">
        <f t="shared" si="5104"/>
        <v>968605033</v>
      </c>
      <c r="G13772" t="str">
        <f>T("CODE 950")</f>
        <v>CODE 950</v>
      </c>
      <c r="H13772" t="str">
        <f>T("667 SAFEGUARD ST STE 100")</f>
        <v>667 SAFEGUARD ST STE 100</v>
      </c>
      <c r="I13772" t="str">
        <f>T("PEARL HARBOR")</f>
        <v>PEARL HARBOR</v>
      </c>
      <c r="J13772" t="str">
        <f t="shared" si="5112"/>
        <v>HI</v>
      </c>
      <c r="K13772" t="str">
        <f>T("8084748778")</f>
        <v>8084748778</v>
      </c>
      <c r="L13772" t="str">
        <f>T("1111111111")</f>
        <v>1111111111</v>
      </c>
    </row>
    <row r="13773" spans="1:12" x14ac:dyDescent="0.35">
      <c r="A13773" t="str">
        <f t="shared" si="5110"/>
        <v>PEARL HARBOR NSY/IMF</v>
      </c>
      <c r="B13773" t="str">
        <f>T("CODE 950")</f>
        <v>CODE 950</v>
      </c>
      <c r="C13773" t="str">
        <f>T("667 SAFEGUARD ST STE 100")</f>
        <v>667 SAFEGUARD ST STE 100</v>
      </c>
      <c r="D13773" t="str">
        <f t="shared" si="5105"/>
        <v>PEARL HARBOR</v>
      </c>
      <c r="E13773" t="str">
        <f t="shared" si="5111"/>
        <v>HI</v>
      </c>
      <c r="F13773" t="str">
        <f t="shared" si="5104"/>
        <v>968605033</v>
      </c>
      <c r="G13773" t="str">
        <f>T("CODE 952E")</f>
        <v>CODE 952E</v>
      </c>
      <c r="H13773" t="str">
        <f>T("667 SAFEGUARD ST STE 100")</f>
        <v>667 SAFEGUARD ST STE 100</v>
      </c>
      <c r="I13773" t="str">
        <f>T("PEARL HARBOR")</f>
        <v>PEARL HARBOR</v>
      </c>
      <c r="J13773" t="str">
        <f t="shared" si="5112"/>
        <v>HI</v>
      </c>
      <c r="K13773" t="str">
        <f>T("000000000000000000")</f>
        <v>000000000000000000</v>
      </c>
      <c r="L13773" t="str">
        <f>T("1111111111")</f>
        <v>1111111111</v>
      </c>
    </row>
    <row r="13774" spans="1:12" x14ac:dyDescent="0.35">
      <c r="A13774" t="str">
        <f t="shared" si="5110"/>
        <v>PEARL HARBOR NSY/IMF</v>
      </c>
      <c r="B13774" t="str">
        <f t="shared" ref="B13774:B13781" si="5113">T("CODE 960")</f>
        <v>CODE 960</v>
      </c>
      <c r="C13774" t="str">
        <f>T("667 SAFEGUARD ST")</f>
        <v>667 SAFEGUARD ST</v>
      </c>
      <c r="D13774" t="str">
        <f t="shared" si="5105"/>
        <v>PEARL HARBOR</v>
      </c>
      <c r="E13774" t="str">
        <f t="shared" si="5111"/>
        <v>HI</v>
      </c>
      <c r="F13774" t="str">
        <f>T("968605023")</f>
        <v>968605023</v>
      </c>
      <c r="G13774" t="str">
        <f>T("CODE 900")</f>
        <v>CODE 900</v>
      </c>
      <c r="H13774" t="str">
        <f>T("667 SAFEGUARD STREET STE 100")</f>
        <v>667 SAFEGUARD STREET STE 100</v>
      </c>
      <c r="I13774" t="str">
        <f>T("JBPHH")</f>
        <v>JBPHH</v>
      </c>
      <c r="J13774" t="str">
        <f t="shared" si="5112"/>
        <v>HI</v>
      </c>
      <c r="K13774" t="str">
        <f>T("80847380005040")</f>
        <v>80847380005040</v>
      </c>
      <c r="L13774" t="str">
        <f>T("1111111111")</f>
        <v>1111111111</v>
      </c>
    </row>
    <row r="13775" spans="1:12" x14ac:dyDescent="0.35">
      <c r="A13775" t="str">
        <f t="shared" si="5110"/>
        <v>PEARL HARBOR NSY/IMF</v>
      </c>
      <c r="B13775" t="str">
        <f t="shared" si="5113"/>
        <v>CODE 960</v>
      </c>
      <c r="C13775" t="str">
        <f>T("667 SAFEGUARD ST")</f>
        <v>667 SAFEGUARD ST</v>
      </c>
      <c r="D13775" t="str">
        <f t="shared" si="5105"/>
        <v>PEARL HARBOR</v>
      </c>
      <c r="E13775" t="str">
        <f t="shared" si="5111"/>
        <v>HI</v>
      </c>
      <c r="F13775" t="str">
        <f>T("968605023")</f>
        <v>968605023</v>
      </c>
      <c r="G13775" t="str">
        <f t="shared" ref="G13775:G13781" si="5114">T("CODE 960")</f>
        <v>CODE 960</v>
      </c>
      <c r="H13775" t="str">
        <f>T("667 SAFEGUARD ST")</f>
        <v>667 SAFEGUARD ST</v>
      </c>
      <c r="I13775" t="str">
        <f>T("PEARL HARBOR")</f>
        <v>PEARL HARBOR</v>
      </c>
      <c r="J13775" t="str">
        <f t="shared" si="5112"/>
        <v>HI</v>
      </c>
      <c r="K13775" t="str">
        <f>T("8084740844")</f>
        <v>8084740844</v>
      </c>
      <c r="L13775" t="str">
        <f>T("8084738000")</f>
        <v>8084738000</v>
      </c>
    </row>
    <row r="13776" spans="1:12" x14ac:dyDescent="0.35">
      <c r="A13776" t="str">
        <f t="shared" si="5110"/>
        <v>PEARL HARBOR NSY/IMF</v>
      </c>
      <c r="B13776" t="str">
        <f t="shared" si="5113"/>
        <v>CODE 960</v>
      </c>
      <c r="C13776" t="str">
        <f>T("667 SAFEGUARD ST")</f>
        <v>667 SAFEGUARD ST</v>
      </c>
      <c r="D13776" t="str">
        <f t="shared" si="5105"/>
        <v>PEARL HARBOR</v>
      </c>
      <c r="E13776" t="str">
        <f t="shared" si="5111"/>
        <v>HI</v>
      </c>
      <c r="F13776" t="str">
        <f>T("968605023")</f>
        <v>968605023</v>
      </c>
      <c r="G13776" t="str">
        <f t="shared" si="5114"/>
        <v>CODE 960</v>
      </c>
      <c r="H13776" t="str">
        <f>T("667 SAFEGUARD ST STE 100")</f>
        <v>667 SAFEGUARD ST STE 100</v>
      </c>
      <c r="I13776" t="str">
        <f>T("JBPHH")</f>
        <v>JBPHH</v>
      </c>
      <c r="J13776" t="str">
        <f t="shared" si="5112"/>
        <v>HI</v>
      </c>
      <c r="K13776" t="str">
        <f>T("80847380003989")</f>
        <v>80847380003989</v>
      </c>
      <c r="L13776" t="str">
        <f>T("8084738000")</f>
        <v>8084738000</v>
      </c>
    </row>
    <row r="13777" spans="1:12" x14ac:dyDescent="0.35">
      <c r="A13777" t="str">
        <f t="shared" si="5110"/>
        <v>PEARL HARBOR NSY/IMF</v>
      </c>
      <c r="B13777" t="str">
        <f t="shared" si="5113"/>
        <v>CODE 960</v>
      </c>
      <c r="C13777" t="str">
        <f t="shared" ref="C13777:C13804" si="5115">T("667 SAFEGUARD ST STE 100")</f>
        <v>667 SAFEGUARD ST STE 100</v>
      </c>
      <c r="D13777" t="str">
        <f t="shared" si="5105"/>
        <v>PEARL HARBOR</v>
      </c>
      <c r="E13777" t="str">
        <f t="shared" si="5111"/>
        <v>HI</v>
      </c>
      <c r="F13777" t="str">
        <f t="shared" ref="F13777:F13804" si="5116">T("968605033")</f>
        <v>968605033</v>
      </c>
      <c r="G13777" t="str">
        <f t="shared" si="5114"/>
        <v>CODE 960</v>
      </c>
      <c r="H13777" t="str">
        <f>T("667 SAFEGUARD ST STE 100")</f>
        <v>667 SAFEGUARD ST STE 100</v>
      </c>
      <c r="I13777" t="str">
        <f t="shared" ref="I13777:I13789" si="5117">T("PEARL HARBOR")</f>
        <v>PEARL HARBOR</v>
      </c>
      <c r="J13777" t="str">
        <f t="shared" si="5112"/>
        <v>HI</v>
      </c>
      <c r="K13777" t="str">
        <f>T("")</f>
        <v/>
      </c>
      <c r="L13777" t="str">
        <f>T("1111111111")</f>
        <v>1111111111</v>
      </c>
    </row>
    <row r="13778" spans="1:12" x14ac:dyDescent="0.35">
      <c r="A13778" t="str">
        <f t="shared" si="5110"/>
        <v>PEARL HARBOR NSY/IMF</v>
      </c>
      <c r="B13778" t="str">
        <f t="shared" si="5113"/>
        <v>CODE 960</v>
      </c>
      <c r="C13778" t="str">
        <f t="shared" si="5115"/>
        <v>667 SAFEGUARD ST STE 100</v>
      </c>
      <c r="D13778" t="str">
        <f t="shared" si="5105"/>
        <v>PEARL HARBOR</v>
      </c>
      <c r="E13778" t="str">
        <f t="shared" si="5111"/>
        <v>HI</v>
      </c>
      <c r="F13778" t="str">
        <f t="shared" si="5116"/>
        <v>968605033</v>
      </c>
      <c r="G13778" t="str">
        <f t="shared" si="5114"/>
        <v>CODE 960</v>
      </c>
      <c r="H13778" t="str">
        <f>T("667 SAFEGUARD ST STE 100")</f>
        <v>667 SAFEGUARD ST STE 100</v>
      </c>
      <c r="I13778" t="str">
        <f t="shared" si="5117"/>
        <v>PEARL HARBOR</v>
      </c>
      <c r="J13778" t="str">
        <f t="shared" si="5112"/>
        <v>HI</v>
      </c>
      <c r="K13778" t="str">
        <f>T("")</f>
        <v/>
      </c>
      <c r="L13778" t="str">
        <f>T("8084738000")</f>
        <v>8084738000</v>
      </c>
    </row>
    <row r="13779" spans="1:12" x14ac:dyDescent="0.35">
      <c r="A13779" t="str">
        <f t="shared" si="5110"/>
        <v>PEARL HARBOR NSY/IMF</v>
      </c>
      <c r="B13779" t="str">
        <f t="shared" si="5113"/>
        <v>CODE 960</v>
      </c>
      <c r="C13779" t="str">
        <f t="shared" si="5115"/>
        <v>667 SAFEGUARD ST STE 100</v>
      </c>
      <c r="D13779" t="str">
        <f t="shared" si="5105"/>
        <v>PEARL HARBOR</v>
      </c>
      <c r="E13779" t="str">
        <f t="shared" si="5111"/>
        <v>HI</v>
      </c>
      <c r="F13779" t="str">
        <f t="shared" si="5116"/>
        <v>968605033</v>
      </c>
      <c r="G13779" t="str">
        <f t="shared" si="5114"/>
        <v>CODE 960</v>
      </c>
      <c r="H13779" t="str">
        <f>T("667 SAFEGUARD ST STE 100")</f>
        <v>667 SAFEGUARD ST STE 100</v>
      </c>
      <c r="I13779" t="str">
        <f t="shared" si="5117"/>
        <v>PEARL HARBOR</v>
      </c>
      <c r="J13779" t="str">
        <f t="shared" si="5112"/>
        <v>HI</v>
      </c>
      <c r="K13779" t="str">
        <f>T("8084731462")</f>
        <v>8084731462</v>
      </c>
      <c r="L13779" t="str">
        <f>T("1111111111")</f>
        <v>1111111111</v>
      </c>
    </row>
    <row r="13780" spans="1:12" x14ac:dyDescent="0.35">
      <c r="A13780" t="str">
        <f t="shared" si="5110"/>
        <v>PEARL HARBOR NSY/IMF</v>
      </c>
      <c r="B13780" t="str">
        <f t="shared" si="5113"/>
        <v>CODE 960</v>
      </c>
      <c r="C13780" t="str">
        <f t="shared" si="5115"/>
        <v>667 SAFEGUARD ST STE 100</v>
      </c>
      <c r="D13780" t="str">
        <f t="shared" si="5105"/>
        <v>PEARL HARBOR</v>
      </c>
      <c r="E13780" t="str">
        <f t="shared" si="5111"/>
        <v>HI</v>
      </c>
      <c r="F13780" t="str">
        <f t="shared" si="5116"/>
        <v>968605033</v>
      </c>
      <c r="G13780" t="str">
        <f t="shared" si="5114"/>
        <v>CODE 960</v>
      </c>
      <c r="H13780" t="str">
        <f>T("667 SAFEGUARD ST SUITE 100")</f>
        <v>667 SAFEGUARD ST SUITE 100</v>
      </c>
      <c r="I13780" t="str">
        <f t="shared" si="5117"/>
        <v>PEARL HARBOR</v>
      </c>
      <c r="J13780" t="str">
        <f t="shared" si="5112"/>
        <v>HI</v>
      </c>
      <c r="K13780" t="str">
        <f>T("8084730250")</f>
        <v>8084730250</v>
      </c>
      <c r="L13780" t="str">
        <f>T("1111111111")</f>
        <v>1111111111</v>
      </c>
    </row>
    <row r="13781" spans="1:12" x14ac:dyDescent="0.35">
      <c r="A13781" t="str">
        <f t="shared" si="5110"/>
        <v>PEARL HARBOR NSY/IMF</v>
      </c>
      <c r="B13781" t="str">
        <f t="shared" si="5113"/>
        <v>CODE 960</v>
      </c>
      <c r="C13781" t="str">
        <f t="shared" si="5115"/>
        <v>667 SAFEGUARD ST STE 100</v>
      </c>
      <c r="D13781" t="str">
        <f t="shared" si="5105"/>
        <v>PEARL HARBOR</v>
      </c>
      <c r="E13781" t="str">
        <f t="shared" si="5111"/>
        <v>HI</v>
      </c>
      <c r="F13781" t="str">
        <f t="shared" si="5116"/>
        <v>968605033</v>
      </c>
      <c r="G13781" t="str">
        <f t="shared" si="5114"/>
        <v>CODE 960</v>
      </c>
      <c r="H13781" t="str">
        <f>T("667 SAFEGUARD ST SUITE 100")</f>
        <v>667 SAFEGUARD ST SUITE 100</v>
      </c>
      <c r="I13781" t="str">
        <f t="shared" si="5117"/>
        <v>PEARL HARBOR</v>
      </c>
      <c r="J13781" t="str">
        <f t="shared" si="5112"/>
        <v>HI</v>
      </c>
      <c r="K13781" t="str">
        <f>T("8084731462")</f>
        <v>8084731462</v>
      </c>
      <c r="L13781" t="str">
        <f>T("8084738000")</f>
        <v>8084738000</v>
      </c>
    </row>
    <row r="13782" spans="1:12" x14ac:dyDescent="0.35">
      <c r="A13782" t="str">
        <f t="shared" si="5110"/>
        <v>PEARL HARBOR NSY/IMF</v>
      </c>
      <c r="B13782" t="str">
        <f>T("CODE 970")</f>
        <v>CODE 970</v>
      </c>
      <c r="C13782" t="str">
        <f t="shared" si="5115"/>
        <v>667 SAFEGUARD ST STE 100</v>
      </c>
      <c r="D13782" t="str">
        <f t="shared" si="5105"/>
        <v>PEARL HARBOR</v>
      </c>
      <c r="E13782" t="str">
        <f t="shared" si="5111"/>
        <v>HI</v>
      </c>
      <c r="F13782" t="str">
        <f t="shared" si="5116"/>
        <v>968605033</v>
      </c>
      <c r="G13782" t="str">
        <f>T("CODE 970")</f>
        <v>CODE 970</v>
      </c>
      <c r="H13782" t="str">
        <f>T("667 SAFEGUARD ST STE 100")</f>
        <v>667 SAFEGUARD ST STE 100</v>
      </c>
      <c r="I13782" t="str">
        <f t="shared" si="5117"/>
        <v>PEARL HARBOR</v>
      </c>
      <c r="J13782" t="str">
        <f t="shared" si="5112"/>
        <v>HI</v>
      </c>
      <c r="K13782" t="str">
        <f>T("000000000000000000")</f>
        <v>000000000000000000</v>
      </c>
      <c r="L13782" t="str">
        <f>T("1111111111")</f>
        <v>1111111111</v>
      </c>
    </row>
    <row r="13783" spans="1:12" x14ac:dyDescent="0.35">
      <c r="A13783" t="str">
        <f t="shared" si="5110"/>
        <v>PEARL HARBOR NSY/IMF</v>
      </c>
      <c r="B13783" t="str">
        <f>T("CODE 970")</f>
        <v>CODE 970</v>
      </c>
      <c r="C13783" t="str">
        <f t="shared" si="5115"/>
        <v>667 SAFEGUARD ST STE 100</v>
      </c>
      <c r="D13783" t="str">
        <f t="shared" si="5105"/>
        <v>PEARL HARBOR</v>
      </c>
      <c r="E13783" t="str">
        <f t="shared" si="5111"/>
        <v>HI</v>
      </c>
      <c r="F13783" t="str">
        <f t="shared" si="5116"/>
        <v>968605033</v>
      </c>
      <c r="G13783" t="str">
        <f>T("CODE 970")</f>
        <v>CODE 970</v>
      </c>
      <c r="H13783" t="str">
        <f>T("667 SAFEGUARD ST SUITE 100")</f>
        <v>667 SAFEGUARD ST SUITE 100</v>
      </c>
      <c r="I13783" t="str">
        <f t="shared" si="5117"/>
        <v>PEARL HARBOR</v>
      </c>
      <c r="J13783" t="str">
        <f t="shared" si="5112"/>
        <v>HI</v>
      </c>
      <c r="K13783" t="str">
        <f>T("000000000000000000")</f>
        <v>000000000000000000</v>
      </c>
      <c r="L13783" t="str">
        <f>T("8084733435")</f>
        <v>8084733435</v>
      </c>
    </row>
    <row r="13784" spans="1:12" x14ac:dyDescent="0.35">
      <c r="A13784" t="str">
        <f t="shared" si="5110"/>
        <v>PEARL HARBOR NSY/IMF</v>
      </c>
      <c r="B13784" t="str">
        <f>T("CODE 970")</f>
        <v>CODE 970</v>
      </c>
      <c r="C13784" t="str">
        <f t="shared" si="5115"/>
        <v>667 SAFEGUARD ST STE 100</v>
      </c>
      <c r="D13784" t="str">
        <f t="shared" ref="D13784:D13804" si="5118">T("PEARL HARBOR")</f>
        <v>PEARL HARBOR</v>
      </c>
      <c r="E13784" t="str">
        <f t="shared" si="5111"/>
        <v>HI</v>
      </c>
      <c r="F13784" t="str">
        <f t="shared" si="5116"/>
        <v>968605033</v>
      </c>
      <c r="G13784" t="str">
        <f>T("CODE 970")</f>
        <v>CODE 970</v>
      </c>
      <c r="H13784" t="str">
        <f>T("667 SAFEGUARD ST SUITE 100")</f>
        <v>667 SAFEGUARD ST SUITE 100</v>
      </c>
      <c r="I13784" t="str">
        <f t="shared" si="5117"/>
        <v>PEARL HARBOR</v>
      </c>
      <c r="J13784" t="str">
        <f t="shared" si="5112"/>
        <v>HI</v>
      </c>
      <c r="K13784" t="str">
        <f>T("8084743164")</f>
        <v>8084743164</v>
      </c>
      <c r="L13784" t="str">
        <f>T("8084738000")</f>
        <v>8084738000</v>
      </c>
    </row>
    <row r="13785" spans="1:12" x14ac:dyDescent="0.35">
      <c r="A13785" t="str">
        <f t="shared" si="5110"/>
        <v>PEARL HARBOR NSY/IMF</v>
      </c>
      <c r="B13785" t="str">
        <f>T("CODE 982")</f>
        <v>CODE 982</v>
      </c>
      <c r="C13785" t="str">
        <f t="shared" si="5115"/>
        <v>667 SAFEGUARD ST STE 100</v>
      </c>
      <c r="D13785" t="str">
        <f t="shared" si="5118"/>
        <v>PEARL HARBOR</v>
      </c>
      <c r="E13785" t="str">
        <f t="shared" si="5111"/>
        <v>HI</v>
      </c>
      <c r="F13785" t="str">
        <f t="shared" si="5116"/>
        <v>968605033</v>
      </c>
      <c r="G13785" t="str">
        <f>T("CODE 913 2")</f>
        <v>CODE 913 2</v>
      </c>
      <c r="H13785" t="str">
        <f>T("667 SAFEGUARD ST STE 100")</f>
        <v>667 SAFEGUARD ST STE 100</v>
      </c>
      <c r="I13785" t="str">
        <f t="shared" si="5117"/>
        <v>PEARL HARBOR</v>
      </c>
      <c r="J13785" t="str">
        <f t="shared" si="5112"/>
        <v>HI</v>
      </c>
      <c r="K13785" t="str">
        <f>T("000000000000000000")</f>
        <v>000000000000000000</v>
      </c>
      <c r="L13785" t="str">
        <f>T("8084713937")</f>
        <v>8084713937</v>
      </c>
    </row>
    <row r="13786" spans="1:12" x14ac:dyDescent="0.35">
      <c r="A13786" t="str">
        <f t="shared" si="5110"/>
        <v>PEARL HARBOR NSY/IMF</v>
      </c>
      <c r="B13786" t="str">
        <f>T("CODE 982")</f>
        <v>CODE 982</v>
      </c>
      <c r="C13786" t="str">
        <f t="shared" si="5115"/>
        <v>667 SAFEGUARD ST STE 100</v>
      </c>
      <c r="D13786" t="str">
        <f t="shared" si="5118"/>
        <v>PEARL HARBOR</v>
      </c>
      <c r="E13786" t="str">
        <f t="shared" si="5111"/>
        <v>HI</v>
      </c>
      <c r="F13786" t="str">
        <f t="shared" si="5116"/>
        <v>968605033</v>
      </c>
      <c r="G13786" t="str">
        <f>T("CODE 982")</f>
        <v>CODE 982</v>
      </c>
      <c r="H13786" t="str">
        <f>T("667 SAFEGUARD ST STE 100")</f>
        <v>667 SAFEGUARD ST STE 100</v>
      </c>
      <c r="I13786" t="str">
        <f t="shared" si="5117"/>
        <v>PEARL HARBOR</v>
      </c>
      <c r="J13786" t="str">
        <f t="shared" si="5112"/>
        <v>HI</v>
      </c>
      <c r="K13786" t="str">
        <f>T("8084712249")</f>
        <v>8084712249</v>
      </c>
      <c r="L13786" t="str">
        <f>T("1111111111")</f>
        <v>1111111111</v>
      </c>
    </row>
    <row r="13787" spans="1:12" x14ac:dyDescent="0.35">
      <c r="A13787" t="str">
        <f t="shared" si="5110"/>
        <v>PEARL HARBOR NSY/IMF</v>
      </c>
      <c r="B13787" t="str">
        <f>T("CODE 983")</f>
        <v>CODE 983</v>
      </c>
      <c r="C13787" t="str">
        <f t="shared" si="5115"/>
        <v>667 SAFEGUARD ST STE 100</v>
      </c>
      <c r="D13787" t="str">
        <f t="shared" si="5118"/>
        <v>PEARL HARBOR</v>
      </c>
      <c r="E13787" t="str">
        <f t="shared" si="5111"/>
        <v>HI</v>
      </c>
      <c r="F13787" t="str">
        <f t="shared" si="5116"/>
        <v>968605033</v>
      </c>
      <c r="G13787" t="str">
        <f>T("CODE 980")</f>
        <v>CODE 980</v>
      </c>
      <c r="H13787" t="str">
        <f>T("667 SAFEGUARD ST STE 100")</f>
        <v>667 SAFEGUARD ST STE 100</v>
      </c>
      <c r="I13787" t="str">
        <f t="shared" si="5117"/>
        <v>PEARL HARBOR</v>
      </c>
      <c r="J13787" t="str">
        <f t="shared" si="5112"/>
        <v>HI</v>
      </c>
      <c r="K13787" t="str">
        <f>T("000000000000000000")</f>
        <v>000000000000000000</v>
      </c>
      <c r="L13787" t="str">
        <f>T("8084715474")</f>
        <v>8084715474</v>
      </c>
    </row>
    <row r="13788" spans="1:12" x14ac:dyDescent="0.35">
      <c r="A13788" t="str">
        <f t="shared" si="5110"/>
        <v>PEARL HARBOR NSY/IMF</v>
      </c>
      <c r="B13788" t="str">
        <f>T("CODE 983")</f>
        <v>CODE 983</v>
      </c>
      <c r="C13788" t="str">
        <f t="shared" si="5115"/>
        <v>667 SAFEGUARD ST STE 100</v>
      </c>
      <c r="D13788" t="str">
        <f t="shared" si="5118"/>
        <v>PEARL HARBOR</v>
      </c>
      <c r="E13788" t="str">
        <f t="shared" si="5111"/>
        <v>HI</v>
      </c>
      <c r="F13788" t="str">
        <f t="shared" si="5116"/>
        <v>968605033</v>
      </c>
      <c r="G13788" t="str">
        <f>T("CODE 980")</f>
        <v>CODE 980</v>
      </c>
      <c r="H13788" t="str">
        <f>T("667 SAFEGUARD ST STE 100")</f>
        <v>667 SAFEGUARD ST STE 100</v>
      </c>
      <c r="I13788" t="str">
        <f t="shared" si="5117"/>
        <v>PEARL HARBOR</v>
      </c>
      <c r="J13788" t="str">
        <f t="shared" si="5112"/>
        <v>HI</v>
      </c>
      <c r="K13788" t="str">
        <f>T("000000000000000000")</f>
        <v>000000000000000000</v>
      </c>
      <c r="L13788" t="str">
        <f>T("8084738000")</f>
        <v>8084738000</v>
      </c>
    </row>
    <row r="13789" spans="1:12" x14ac:dyDescent="0.35">
      <c r="A13789" t="str">
        <f t="shared" si="5110"/>
        <v>PEARL HARBOR NSY/IMF</v>
      </c>
      <c r="B13789" t="str">
        <f>T("CODE 983")</f>
        <v>CODE 983</v>
      </c>
      <c r="C13789" t="str">
        <f t="shared" si="5115"/>
        <v>667 SAFEGUARD ST STE 100</v>
      </c>
      <c r="D13789" t="str">
        <f t="shared" si="5118"/>
        <v>PEARL HARBOR</v>
      </c>
      <c r="E13789" t="str">
        <f t="shared" si="5111"/>
        <v>HI</v>
      </c>
      <c r="F13789" t="str">
        <f t="shared" si="5116"/>
        <v>968605033</v>
      </c>
      <c r="G13789" t="str">
        <f>T("CODE 980")</f>
        <v>CODE 980</v>
      </c>
      <c r="H13789" t="str">
        <f>T("667 SAFEGUARD ST SUITE 100")</f>
        <v>667 SAFEGUARD ST SUITE 100</v>
      </c>
      <c r="I13789" t="str">
        <f t="shared" si="5117"/>
        <v>PEARL HARBOR</v>
      </c>
      <c r="J13789" t="str">
        <f t="shared" si="5112"/>
        <v>HI</v>
      </c>
      <c r="K13789" t="str">
        <f>T("000000000000000000")</f>
        <v>000000000000000000</v>
      </c>
      <c r="L13789" t="str">
        <f>T("8084738000")</f>
        <v>8084738000</v>
      </c>
    </row>
    <row r="13790" spans="1:12" x14ac:dyDescent="0.35">
      <c r="A13790" t="str">
        <f t="shared" si="5110"/>
        <v>PEARL HARBOR NSY/IMF</v>
      </c>
      <c r="B13790" t="str">
        <f>T("CODE 983")</f>
        <v>CODE 983</v>
      </c>
      <c r="C13790" t="str">
        <f t="shared" si="5115"/>
        <v>667 SAFEGUARD ST STE 100</v>
      </c>
      <c r="D13790" t="str">
        <f t="shared" si="5118"/>
        <v>PEARL HARBOR</v>
      </c>
      <c r="E13790" t="str">
        <f t="shared" si="5111"/>
        <v>HI</v>
      </c>
      <c r="F13790" t="str">
        <f t="shared" si="5116"/>
        <v>968605033</v>
      </c>
      <c r="G13790" t="str">
        <f>T("CODE 983")</f>
        <v>CODE 983</v>
      </c>
      <c r="H13790" t="str">
        <f>T("667 SAFEGUARD ST STE 100")</f>
        <v>667 SAFEGUARD ST STE 100</v>
      </c>
      <c r="I13790" t="str">
        <f>T("JBPHH")</f>
        <v>JBPHH</v>
      </c>
      <c r="J13790" t="str">
        <f t="shared" si="5112"/>
        <v>HI</v>
      </c>
      <c r="K13790" t="str">
        <f>T("8084738002498")</f>
        <v>8084738002498</v>
      </c>
      <c r="L13790" t="str">
        <f>T("1111111111")</f>
        <v>1111111111</v>
      </c>
    </row>
    <row r="13791" spans="1:12" x14ac:dyDescent="0.35">
      <c r="A13791" t="str">
        <f t="shared" si="5110"/>
        <v>PEARL HARBOR NSY/IMF</v>
      </c>
      <c r="B13791" t="str">
        <f>T("CODE 983")</f>
        <v>CODE 983</v>
      </c>
      <c r="C13791" t="str">
        <f t="shared" si="5115"/>
        <v>667 SAFEGUARD ST STE 100</v>
      </c>
      <c r="D13791" t="str">
        <f t="shared" si="5118"/>
        <v>PEARL HARBOR</v>
      </c>
      <c r="E13791" t="str">
        <f t="shared" si="5111"/>
        <v>HI</v>
      </c>
      <c r="F13791" t="str">
        <f t="shared" si="5116"/>
        <v>968605033</v>
      </c>
      <c r="G13791" t="str">
        <f>T("CODE 983")</f>
        <v>CODE 983</v>
      </c>
      <c r="H13791" t="str">
        <f>T("667 SAFEGUARD ST STE 100")</f>
        <v>667 SAFEGUARD ST STE 100</v>
      </c>
      <c r="I13791" t="str">
        <f>T("PEARL HARBOR")</f>
        <v>PEARL HARBOR</v>
      </c>
      <c r="J13791" t="str">
        <f t="shared" si="5112"/>
        <v>HI</v>
      </c>
      <c r="K13791" t="str">
        <f>T("")</f>
        <v/>
      </c>
      <c r="L13791" t="str">
        <f>T("1111111111")</f>
        <v>1111111111</v>
      </c>
    </row>
    <row r="13792" spans="1:12" x14ac:dyDescent="0.35">
      <c r="A13792" t="str">
        <f t="shared" si="5110"/>
        <v>PEARL HARBOR NSY/IMF</v>
      </c>
      <c r="B13792" t="str">
        <f t="shared" ref="B13792:B13803" si="5119">T("DLA HMC")</f>
        <v>DLA HMC</v>
      </c>
      <c r="C13792" t="str">
        <f t="shared" si="5115"/>
        <v>667 SAFEGUARD ST STE 100</v>
      </c>
      <c r="D13792" t="str">
        <f t="shared" si="5118"/>
        <v>PEARL HARBOR</v>
      </c>
      <c r="E13792" t="str">
        <f t="shared" si="5111"/>
        <v>HI</v>
      </c>
      <c r="F13792" t="str">
        <f t="shared" si="5116"/>
        <v>968605033</v>
      </c>
      <c r="G13792" t="str">
        <f>T("667 SAFEGUARD ST STE 100")</f>
        <v>667 SAFEGUARD ST STE 100</v>
      </c>
      <c r="H13792" t="str">
        <f>T("")</f>
        <v/>
      </c>
      <c r="I13792" t="str">
        <f t="shared" ref="I13792:I13797" si="5120">T("JBPHH")</f>
        <v>JBPHH</v>
      </c>
      <c r="J13792" t="str">
        <f t="shared" si="5112"/>
        <v>HI</v>
      </c>
      <c r="K13792" t="str">
        <f>T("80847380002481")</f>
        <v>80847380002481</v>
      </c>
      <c r="L13792" t="str">
        <f>T("1111111111")</f>
        <v>1111111111</v>
      </c>
    </row>
    <row r="13793" spans="1:12" x14ac:dyDescent="0.35">
      <c r="A13793" t="str">
        <f t="shared" si="5110"/>
        <v>PEARL HARBOR NSY/IMF</v>
      </c>
      <c r="B13793" t="str">
        <f t="shared" si="5119"/>
        <v>DLA HMC</v>
      </c>
      <c r="C13793" t="str">
        <f t="shared" si="5115"/>
        <v>667 SAFEGUARD ST STE 100</v>
      </c>
      <c r="D13793" t="str">
        <f t="shared" si="5118"/>
        <v>PEARL HARBOR</v>
      </c>
      <c r="E13793" t="str">
        <f t="shared" si="5111"/>
        <v>HI</v>
      </c>
      <c r="F13793" t="str">
        <f t="shared" si="5116"/>
        <v>968605033</v>
      </c>
      <c r="G13793" t="str">
        <f>T("DLA")</f>
        <v>DLA</v>
      </c>
      <c r="H13793" t="str">
        <f t="shared" ref="H13793:H13800" si="5121">T("667 SAFEGUARD ST STE 100")</f>
        <v>667 SAFEGUARD ST STE 100</v>
      </c>
      <c r="I13793" t="str">
        <f t="shared" si="5120"/>
        <v>JBPHH</v>
      </c>
      <c r="J13793" t="str">
        <f t="shared" si="5112"/>
        <v>HI</v>
      </c>
      <c r="K13793" t="str">
        <f>T("80847380002481")</f>
        <v>80847380002481</v>
      </c>
      <c r="L13793" t="str">
        <f>T("1111111111")</f>
        <v>1111111111</v>
      </c>
    </row>
    <row r="13794" spans="1:12" x14ac:dyDescent="0.35">
      <c r="A13794" t="str">
        <f t="shared" si="5110"/>
        <v>PEARL HARBOR NSY/IMF</v>
      </c>
      <c r="B13794" t="str">
        <f t="shared" si="5119"/>
        <v>DLA HMC</v>
      </c>
      <c r="C13794" t="str">
        <f t="shared" si="5115"/>
        <v>667 SAFEGUARD ST STE 100</v>
      </c>
      <c r="D13794" t="str">
        <f t="shared" si="5118"/>
        <v>PEARL HARBOR</v>
      </c>
      <c r="E13794" t="str">
        <f t="shared" si="5111"/>
        <v>HI</v>
      </c>
      <c r="F13794" t="str">
        <f t="shared" si="5116"/>
        <v>968605033</v>
      </c>
      <c r="G13794" t="str">
        <f>T("DLA")</f>
        <v>DLA</v>
      </c>
      <c r="H13794" t="str">
        <f t="shared" si="5121"/>
        <v>667 SAFEGUARD ST STE 100</v>
      </c>
      <c r="I13794" t="str">
        <f t="shared" si="5120"/>
        <v>JBPHH</v>
      </c>
      <c r="J13794" t="str">
        <f t="shared" si="5112"/>
        <v>HI</v>
      </c>
      <c r="K13794" t="str">
        <f>T("80847380005561")</f>
        <v>80847380005561</v>
      </c>
      <c r="L13794" t="str">
        <f>T("8084738000")</f>
        <v>8084738000</v>
      </c>
    </row>
    <row r="13795" spans="1:12" x14ac:dyDescent="0.35">
      <c r="A13795" t="str">
        <f t="shared" ref="A13795:A13804" si="5122">T("PEARL HARBOR NSY/IMF")</f>
        <v>PEARL HARBOR NSY/IMF</v>
      </c>
      <c r="B13795" t="str">
        <f t="shared" si="5119"/>
        <v>DLA HMC</v>
      </c>
      <c r="C13795" t="str">
        <f t="shared" si="5115"/>
        <v>667 SAFEGUARD ST STE 100</v>
      </c>
      <c r="D13795" t="str">
        <f t="shared" si="5118"/>
        <v>PEARL HARBOR</v>
      </c>
      <c r="E13795" t="str">
        <f t="shared" ref="E13795:E13804" si="5123">T("HI")</f>
        <v>HI</v>
      </c>
      <c r="F13795" t="str">
        <f t="shared" si="5116"/>
        <v>968605033</v>
      </c>
      <c r="G13795" t="str">
        <f>T("DLA HMB")</f>
        <v>DLA HMB</v>
      </c>
      <c r="H13795" t="str">
        <f t="shared" si="5121"/>
        <v>667 SAFEGUARD ST STE 100</v>
      </c>
      <c r="I13795" t="str">
        <f t="shared" si="5120"/>
        <v>JBPHH</v>
      </c>
      <c r="J13795" t="str">
        <f t="shared" ref="J13795:J13804" si="5124">T("HI")</f>
        <v>HI</v>
      </c>
      <c r="K13795" t="str">
        <f>T("80847380003314")</f>
        <v>80847380003314</v>
      </c>
      <c r="L13795" t="str">
        <f>T("1111111111")</f>
        <v>1111111111</v>
      </c>
    </row>
    <row r="13796" spans="1:12" x14ac:dyDescent="0.35">
      <c r="A13796" t="str">
        <f t="shared" si="5122"/>
        <v>PEARL HARBOR NSY/IMF</v>
      </c>
      <c r="B13796" t="str">
        <f t="shared" si="5119"/>
        <v>DLA HMC</v>
      </c>
      <c r="C13796" t="str">
        <f t="shared" si="5115"/>
        <v>667 SAFEGUARD ST STE 100</v>
      </c>
      <c r="D13796" t="str">
        <f t="shared" si="5118"/>
        <v>PEARL HARBOR</v>
      </c>
      <c r="E13796" t="str">
        <f t="shared" si="5123"/>
        <v>HI</v>
      </c>
      <c r="F13796" t="str">
        <f t="shared" si="5116"/>
        <v>968605033</v>
      </c>
      <c r="G13796" t="str">
        <f>T("DLA HMB")</f>
        <v>DLA HMB</v>
      </c>
      <c r="H13796" t="str">
        <f t="shared" si="5121"/>
        <v>667 SAFEGUARD ST STE 100</v>
      </c>
      <c r="I13796" t="str">
        <f t="shared" si="5120"/>
        <v>JBPHH</v>
      </c>
      <c r="J13796" t="str">
        <f t="shared" si="5124"/>
        <v>HI</v>
      </c>
      <c r="K13796" t="str">
        <f>T("80847380004912")</f>
        <v>80847380004912</v>
      </c>
      <c r="L13796" t="str">
        <f>T("8084738000")</f>
        <v>8084738000</v>
      </c>
    </row>
    <row r="13797" spans="1:12" x14ac:dyDescent="0.35">
      <c r="A13797" t="str">
        <f t="shared" si="5122"/>
        <v>PEARL HARBOR NSY/IMF</v>
      </c>
      <c r="B13797" t="str">
        <f t="shared" si="5119"/>
        <v>DLA HMC</v>
      </c>
      <c r="C13797" t="str">
        <f t="shared" si="5115"/>
        <v>667 SAFEGUARD ST STE 100</v>
      </c>
      <c r="D13797" t="str">
        <f t="shared" si="5118"/>
        <v>PEARL HARBOR</v>
      </c>
      <c r="E13797" t="str">
        <f t="shared" si="5123"/>
        <v>HI</v>
      </c>
      <c r="F13797" t="str">
        <f t="shared" si="5116"/>
        <v>968605033</v>
      </c>
      <c r="G13797" t="str">
        <f>T("DLA HMB")</f>
        <v>DLA HMB</v>
      </c>
      <c r="H13797" t="str">
        <f t="shared" si="5121"/>
        <v>667 SAFEGUARD ST STE 100</v>
      </c>
      <c r="I13797" t="str">
        <f t="shared" si="5120"/>
        <v>JBPHH</v>
      </c>
      <c r="J13797" t="str">
        <f t="shared" si="5124"/>
        <v>HI</v>
      </c>
      <c r="K13797" t="str">
        <f>T("80847380005561")</f>
        <v>80847380005561</v>
      </c>
      <c r="L13797" t="str">
        <f>T("8084738000")</f>
        <v>8084738000</v>
      </c>
    </row>
    <row r="13798" spans="1:12" x14ac:dyDescent="0.35">
      <c r="A13798" t="str">
        <f t="shared" si="5122"/>
        <v>PEARL HARBOR NSY/IMF</v>
      </c>
      <c r="B13798" t="str">
        <f t="shared" si="5119"/>
        <v>DLA HMC</v>
      </c>
      <c r="C13798" t="str">
        <f t="shared" si="5115"/>
        <v>667 SAFEGUARD ST STE 100</v>
      </c>
      <c r="D13798" t="str">
        <f t="shared" si="5118"/>
        <v>PEARL HARBOR</v>
      </c>
      <c r="E13798" t="str">
        <f t="shared" si="5123"/>
        <v>HI</v>
      </c>
      <c r="F13798" t="str">
        <f t="shared" si="5116"/>
        <v>968605033</v>
      </c>
      <c r="G13798" t="str">
        <f>T("DLA HMC")</f>
        <v>DLA HMC</v>
      </c>
      <c r="H13798" t="str">
        <f t="shared" si="5121"/>
        <v>667 SAFEGUARD ST STE 100</v>
      </c>
      <c r="I13798" t="str">
        <f>T("PEARL HARBOR")</f>
        <v>PEARL HARBOR</v>
      </c>
      <c r="J13798" t="str">
        <f t="shared" si="5124"/>
        <v>HI</v>
      </c>
      <c r="K13798" t="str">
        <f>T("")</f>
        <v/>
      </c>
      <c r="L13798" t="str">
        <f>T("1111111111")</f>
        <v>1111111111</v>
      </c>
    </row>
    <row r="13799" spans="1:12" x14ac:dyDescent="0.35">
      <c r="A13799" t="str">
        <f t="shared" si="5122"/>
        <v>PEARL HARBOR NSY/IMF</v>
      </c>
      <c r="B13799" t="str">
        <f t="shared" si="5119"/>
        <v>DLA HMC</v>
      </c>
      <c r="C13799" t="str">
        <f t="shared" si="5115"/>
        <v>667 SAFEGUARD ST STE 100</v>
      </c>
      <c r="D13799" t="str">
        <f t="shared" si="5118"/>
        <v>PEARL HARBOR</v>
      </c>
      <c r="E13799" t="str">
        <f t="shared" si="5123"/>
        <v>HI</v>
      </c>
      <c r="F13799" t="str">
        <f t="shared" si="5116"/>
        <v>968605033</v>
      </c>
      <c r="G13799" t="str">
        <f>T("DLA HMC")</f>
        <v>DLA HMC</v>
      </c>
      <c r="H13799" t="str">
        <f t="shared" si="5121"/>
        <v>667 SAFEGUARD ST STE 100</v>
      </c>
      <c r="I13799" t="str">
        <f>T("PEARL HARBOR")</f>
        <v>PEARL HARBOR</v>
      </c>
      <c r="J13799" t="str">
        <f t="shared" si="5124"/>
        <v>HI</v>
      </c>
      <c r="K13799" t="str">
        <f>T("000000000000000000")</f>
        <v>000000000000000000</v>
      </c>
      <c r="L13799" t="str">
        <f>T("8084738000")</f>
        <v>8084738000</v>
      </c>
    </row>
    <row r="13800" spans="1:12" x14ac:dyDescent="0.35">
      <c r="A13800" t="str">
        <f t="shared" si="5122"/>
        <v>PEARL HARBOR NSY/IMF</v>
      </c>
      <c r="B13800" t="str">
        <f t="shared" si="5119"/>
        <v>DLA HMC</v>
      </c>
      <c r="C13800" t="str">
        <f t="shared" si="5115"/>
        <v>667 SAFEGUARD ST STE 100</v>
      </c>
      <c r="D13800" t="str">
        <f t="shared" si="5118"/>
        <v>PEARL HARBOR</v>
      </c>
      <c r="E13800" t="str">
        <f t="shared" si="5123"/>
        <v>HI</v>
      </c>
      <c r="F13800" t="str">
        <f t="shared" si="5116"/>
        <v>968605033</v>
      </c>
      <c r="G13800" t="str">
        <f>T("DLA HMC")</f>
        <v>DLA HMC</v>
      </c>
      <c r="H13800" t="str">
        <f t="shared" si="5121"/>
        <v>667 SAFEGUARD ST STE 100</v>
      </c>
      <c r="I13800" t="str">
        <f>T("PEARL HARBOR")</f>
        <v>PEARL HARBOR</v>
      </c>
      <c r="J13800" t="str">
        <f t="shared" si="5124"/>
        <v>HI</v>
      </c>
      <c r="K13800" t="str">
        <f>T("8084742013")</f>
        <v>8084742013</v>
      </c>
      <c r="L13800" t="str">
        <f>T("1111111111")</f>
        <v>1111111111</v>
      </c>
    </row>
    <row r="13801" spans="1:12" x14ac:dyDescent="0.35">
      <c r="A13801" t="str">
        <f t="shared" si="5122"/>
        <v>PEARL HARBOR NSY/IMF</v>
      </c>
      <c r="B13801" t="str">
        <f t="shared" si="5119"/>
        <v>DLA HMC</v>
      </c>
      <c r="C13801" t="str">
        <f t="shared" si="5115"/>
        <v>667 SAFEGUARD ST STE 100</v>
      </c>
      <c r="D13801" t="str">
        <f t="shared" si="5118"/>
        <v>PEARL HARBOR</v>
      </c>
      <c r="E13801" t="str">
        <f t="shared" si="5123"/>
        <v>HI</v>
      </c>
      <c r="F13801" t="str">
        <f t="shared" si="5116"/>
        <v>968605033</v>
      </c>
      <c r="G13801" t="str">
        <f>T("DLA HMC")</f>
        <v>DLA HMC</v>
      </c>
      <c r="H13801" t="str">
        <f>T("667 SAFEGUARD ST SUITE 100")</f>
        <v>667 SAFEGUARD ST SUITE 100</v>
      </c>
      <c r="I13801" t="str">
        <f>T("PEARL HARBOR")</f>
        <v>PEARL HARBOR</v>
      </c>
      <c r="J13801" t="str">
        <f t="shared" si="5124"/>
        <v>HI</v>
      </c>
      <c r="K13801" t="str">
        <f>T("8084742013")</f>
        <v>8084742013</v>
      </c>
      <c r="L13801" t="str">
        <f>T("1111111111")</f>
        <v>1111111111</v>
      </c>
    </row>
    <row r="13802" spans="1:12" x14ac:dyDescent="0.35">
      <c r="A13802" t="str">
        <f t="shared" si="5122"/>
        <v>PEARL HARBOR NSY/IMF</v>
      </c>
      <c r="B13802" t="str">
        <f t="shared" si="5119"/>
        <v>DLA HMC</v>
      </c>
      <c r="C13802" t="str">
        <f t="shared" si="5115"/>
        <v>667 SAFEGUARD ST STE 100</v>
      </c>
      <c r="D13802" t="str">
        <f t="shared" si="5118"/>
        <v>PEARL HARBOR</v>
      </c>
      <c r="E13802" t="str">
        <f t="shared" si="5123"/>
        <v>HI</v>
      </c>
      <c r="F13802" t="str">
        <f t="shared" si="5116"/>
        <v>968605033</v>
      </c>
      <c r="G13802" t="str">
        <f>T("DLA-HMDA")</f>
        <v>DLA-HMDA</v>
      </c>
      <c r="H13802" t="str">
        <f>T("667 SAFEGUARD ST STE 100")</f>
        <v>667 SAFEGUARD ST STE 100</v>
      </c>
      <c r="I13802" t="str">
        <f>T("JBPHH")</f>
        <v>JBPHH</v>
      </c>
      <c r="J13802" t="str">
        <f t="shared" si="5124"/>
        <v>HI</v>
      </c>
      <c r="K13802" t="str">
        <f>T("80847380005564")</f>
        <v>80847380005564</v>
      </c>
      <c r="L13802" t="str">
        <f>T("8084738000")</f>
        <v>8084738000</v>
      </c>
    </row>
    <row r="13803" spans="1:12" x14ac:dyDescent="0.35">
      <c r="A13803" t="str">
        <f t="shared" si="5122"/>
        <v>PEARL HARBOR NSY/IMF</v>
      </c>
      <c r="B13803" t="str">
        <f t="shared" si="5119"/>
        <v>DLA HMC</v>
      </c>
      <c r="C13803" t="str">
        <f t="shared" si="5115"/>
        <v>667 SAFEGUARD ST STE 100</v>
      </c>
      <c r="D13803" t="str">
        <f t="shared" si="5118"/>
        <v>PEARL HARBOR</v>
      </c>
      <c r="E13803" t="str">
        <f t="shared" si="5123"/>
        <v>HI</v>
      </c>
      <c r="F13803" t="str">
        <f t="shared" si="5116"/>
        <v>968605033</v>
      </c>
      <c r="G13803" t="str">
        <f>T("HMDB")</f>
        <v>HMDB</v>
      </c>
      <c r="H13803" t="str">
        <f>T("667 SAFEGUARD ST STE 100")</f>
        <v>667 SAFEGUARD ST STE 100</v>
      </c>
      <c r="I13803" t="str">
        <f>T("JBPHH")</f>
        <v>JBPHH</v>
      </c>
      <c r="J13803" t="str">
        <f t="shared" si="5124"/>
        <v>HI</v>
      </c>
      <c r="K13803" t="str">
        <f>T("80847380004186")</f>
        <v>80847380004186</v>
      </c>
      <c r="L13803" t="str">
        <f>T("8084738000")</f>
        <v>8084738000</v>
      </c>
    </row>
    <row r="13804" spans="1:12" x14ac:dyDescent="0.35">
      <c r="A13804" t="str">
        <f t="shared" si="5122"/>
        <v>PEARL HARBOR NSY/IMF</v>
      </c>
      <c r="B13804" t="str">
        <f>T("DLA HMD")</f>
        <v>DLA HMD</v>
      </c>
      <c r="C13804" t="str">
        <f t="shared" si="5115"/>
        <v>667 SAFEGUARD ST STE 100</v>
      </c>
      <c r="D13804" t="str">
        <f t="shared" si="5118"/>
        <v>PEARL HARBOR</v>
      </c>
      <c r="E13804" t="str">
        <f t="shared" si="5123"/>
        <v>HI</v>
      </c>
      <c r="F13804" t="str">
        <f t="shared" si="5116"/>
        <v>968605033</v>
      </c>
      <c r="G13804" t="str">
        <f>T("DLA HMD")</f>
        <v>DLA HMD</v>
      </c>
      <c r="H13804" t="str">
        <f>T("667 SAFEGUARD ST STE 100")</f>
        <v>667 SAFEGUARD ST STE 100</v>
      </c>
      <c r="I13804" t="str">
        <f>T("PEARL HARBOR")</f>
        <v>PEARL HARBOR</v>
      </c>
      <c r="J13804" t="str">
        <f t="shared" si="5124"/>
        <v>HI</v>
      </c>
      <c r="K13804" t="str">
        <f>T("8084711142")</f>
        <v>8084711142</v>
      </c>
      <c r="L13804" t="str">
        <f>T("1111111111")</f>
        <v>1111111111</v>
      </c>
    </row>
    <row r="13805" spans="1:12" x14ac:dyDescent="0.35">
      <c r="A13805" t="str">
        <f t="shared" ref="A13805:A13836" si="5125">T("PSNS &amp; IMF")</f>
        <v>PSNS &amp; IMF</v>
      </c>
      <c r="B13805" t="str">
        <f t="shared" ref="B13805:B13836" si="5126">T("1400 FARRAGUT AVE")</f>
        <v>1400 FARRAGUT AVE</v>
      </c>
      <c r="C13805" t="str">
        <f t="shared" ref="C13805:C13812" si="5127">T("BLDG 431-2 C/1000B 12")</f>
        <v>BLDG 431-2 C/1000B 12</v>
      </c>
      <c r="D13805" t="str">
        <f t="shared" ref="D13805:D13836" si="5128">T("BREMERTON")</f>
        <v>BREMERTON</v>
      </c>
      <c r="E13805" t="str">
        <f t="shared" ref="E13805:E13836" si="5129">T("WA")</f>
        <v>WA</v>
      </c>
      <c r="F13805" t="str">
        <f t="shared" ref="F13805:F13812" si="5130">T("983146001")</f>
        <v>983146001</v>
      </c>
      <c r="G13805" t="str">
        <f>T("1400 FARRAGUT AVE")</f>
        <v>1400 FARRAGUT AVE</v>
      </c>
      <c r="H13805" t="str">
        <f>T("BLDG 431 C/1000B 12")</f>
        <v>BLDG 431 C/1000B 12</v>
      </c>
      <c r="I13805" t="str">
        <f t="shared" ref="I13805:I13836" si="5131">T("BREMERTON")</f>
        <v>BREMERTON</v>
      </c>
      <c r="J13805" t="str">
        <f t="shared" ref="J13805:J13836" si="5132">T("WA")</f>
        <v>WA</v>
      </c>
      <c r="K13805" t="str">
        <f>T("000000000000000000")</f>
        <v>000000000000000000</v>
      </c>
      <c r="L13805" t="str">
        <f>T("3604761964")</f>
        <v>3604761964</v>
      </c>
    </row>
    <row r="13806" spans="1:12" x14ac:dyDescent="0.35">
      <c r="A13806" t="str">
        <f t="shared" si="5125"/>
        <v>PSNS &amp; IMF</v>
      </c>
      <c r="B13806" t="str">
        <f t="shared" si="5126"/>
        <v>1400 FARRAGUT AVE</v>
      </c>
      <c r="C13806" t="str">
        <f t="shared" si="5127"/>
        <v>BLDG 431-2 C/1000B 12</v>
      </c>
      <c r="D13806" t="str">
        <f t="shared" si="5128"/>
        <v>BREMERTON</v>
      </c>
      <c r="E13806" t="str">
        <f t="shared" si="5129"/>
        <v>WA</v>
      </c>
      <c r="F13806" t="str">
        <f t="shared" si="5130"/>
        <v>983146001</v>
      </c>
      <c r="G13806" t="str">
        <f>T("1400 FARRAGUT AVE")</f>
        <v>1400 FARRAGUT AVE</v>
      </c>
      <c r="H13806" t="str">
        <f>T("BLDG 431 C/1000B 12")</f>
        <v>BLDG 431 C/1000B 12</v>
      </c>
      <c r="I13806" t="str">
        <f t="shared" si="5131"/>
        <v>BREMERTON</v>
      </c>
      <c r="J13806" t="str">
        <f t="shared" si="5132"/>
        <v>WA</v>
      </c>
      <c r="K13806" t="str">
        <f>T("000000000000000000")</f>
        <v>000000000000000000</v>
      </c>
      <c r="L13806" t="str">
        <f>T("3604768919")</f>
        <v>3604768919</v>
      </c>
    </row>
    <row r="13807" spans="1:12" x14ac:dyDescent="0.35">
      <c r="A13807" t="str">
        <f t="shared" si="5125"/>
        <v>PSNS &amp; IMF</v>
      </c>
      <c r="B13807" t="str">
        <f t="shared" si="5126"/>
        <v>1400 FARRAGUT AVE</v>
      </c>
      <c r="C13807" t="str">
        <f t="shared" si="5127"/>
        <v>BLDG 431-2 C/1000B 12</v>
      </c>
      <c r="D13807" t="str">
        <f t="shared" si="5128"/>
        <v>BREMERTON</v>
      </c>
      <c r="E13807" t="str">
        <f t="shared" si="5129"/>
        <v>WA</v>
      </c>
      <c r="F13807" t="str">
        <f t="shared" si="5130"/>
        <v>983146001</v>
      </c>
      <c r="G13807" t="str">
        <f>T("1400 FARRAGUT AVE")</f>
        <v>1400 FARRAGUT AVE</v>
      </c>
      <c r="H13807" t="str">
        <f>T("BLDG 431-2 C/1000B 12")</f>
        <v>BLDG 431-2 C/1000B 12</v>
      </c>
      <c r="I13807" t="str">
        <f t="shared" si="5131"/>
        <v>BREMERTON</v>
      </c>
      <c r="J13807" t="str">
        <f t="shared" si="5132"/>
        <v>WA</v>
      </c>
      <c r="K13807" t="str">
        <f>T("3604761146")</f>
        <v>3604761146</v>
      </c>
      <c r="L13807" t="str">
        <f>T("3603402619")</f>
        <v>3603402619</v>
      </c>
    </row>
    <row r="13808" spans="1:12" x14ac:dyDescent="0.35">
      <c r="A13808" t="str">
        <f t="shared" si="5125"/>
        <v>PSNS &amp; IMF</v>
      </c>
      <c r="B13808" t="str">
        <f t="shared" si="5126"/>
        <v>1400 FARRAGUT AVE</v>
      </c>
      <c r="C13808" t="str">
        <f t="shared" si="5127"/>
        <v>BLDG 431-2 C/1000B 12</v>
      </c>
      <c r="D13808" t="str">
        <f t="shared" si="5128"/>
        <v>BREMERTON</v>
      </c>
      <c r="E13808" t="str">
        <f t="shared" si="5129"/>
        <v>WA</v>
      </c>
      <c r="F13808" t="str">
        <f t="shared" si="5130"/>
        <v>983146001</v>
      </c>
      <c r="G13808" t="str">
        <f>T("1400 FARRAGUT AVE")</f>
        <v>1400 FARRAGUT AVE</v>
      </c>
      <c r="H13808" t="str">
        <f>T("BLDG 431-2 C/1000B 12")</f>
        <v>BLDG 431-2 C/1000B 12</v>
      </c>
      <c r="I13808" t="str">
        <f t="shared" si="5131"/>
        <v>BREMERTON</v>
      </c>
      <c r="J13808" t="str">
        <f t="shared" si="5132"/>
        <v>WA</v>
      </c>
      <c r="K13808" t="str">
        <f>T("3604763931")</f>
        <v>3604763931</v>
      </c>
      <c r="L13808" t="str">
        <f>T("3605352642")</f>
        <v>3605352642</v>
      </c>
    </row>
    <row r="13809" spans="1:12" x14ac:dyDescent="0.35">
      <c r="A13809" t="str">
        <f t="shared" si="5125"/>
        <v>PSNS &amp; IMF</v>
      </c>
      <c r="B13809" t="str">
        <f t="shared" si="5126"/>
        <v>1400 FARRAGUT AVE</v>
      </c>
      <c r="C13809" t="str">
        <f t="shared" si="5127"/>
        <v>BLDG 431-2 C/1000B 12</v>
      </c>
      <c r="D13809" t="str">
        <f t="shared" si="5128"/>
        <v>BREMERTON</v>
      </c>
      <c r="E13809" t="str">
        <f t="shared" si="5129"/>
        <v>WA</v>
      </c>
      <c r="F13809" t="str">
        <f t="shared" si="5130"/>
        <v>983146001</v>
      </c>
      <c r="G13809" t="str">
        <f>T("1400 FARRAGUT AVE")</f>
        <v>1400 FARRAGUT AVE</v>
      </c>
      <c r="H13809" t="str">
        <f>T("BLDG 467 C/1000B 12")</f>
        <v>BLDG 467 C/1000B 12</v>
      </c>
      <c r="I13809" t="str">
        <f t="shared" si="5131"/>
        <v>BREMERTON</v>
      </c>
      <c r="J13809" t="str">
        <f t="shared" si="5132"/>
        <v>WA</v>
      </c>
      <c r="K13809" t="str">
        <f>T("3606276792")</f>
        <v>3606276792</v>
      </c>
      <c r="L13809" t="str">
        <f>T("3606276764")</f>
        <v>3606276764</v>
      </c>
    </row>
    <row r="13810" spans="1:12" x14ac:dyDescent="0.35">
      <c r="A13810" t="str">
        <f t="shared" si="5125"/>
        <v>PSNS &amp; IMF</v>
      </c>
      <c r="B13810" t="str">
        <f t="shared" si="5126"/>
        <v>1400 FARRAGUT AVE</v>
      </c>
      <c r="C13810" t="str">
        <f t="shared" si="5127"/>
        <v>BLDG 431-2 C/1000B 12</v>
      </c>
      <c r="D13810" t="str">
        <f t="shared" si="5128"/>
        <v>BREMERTON</v>
      </c>
      <c r="E13810" t="str">
        <f t="shared" si="5129"/>
        <v>WA</v>
      </c>
      <c r="F13810" t="str">
        <f t="shared" si="5130"/>
        <v>983146001</v>
      </c>
      <c r="G13810" t="str">
        <f>T("1400 FARRAGUT AVENUE")</f>
        <v>1400 FARRAGUT AVENUE</v>
      </c>
      <c r="H13810" t="str">
        <f>T("BLDG 431-2 C/900P")</f>
        <v>BLDG 431-2 C/900P</v>
      </c>
      <c r="I13810" t="str">
        <f t="shared" si="5131"/>
        <v>BREMERTON</v>
      </c>
      <c r="J13810" t="str">
        <f t="shared" si="5132"/>
        <v>WA</v>
      </c>
      <c r="K13810" t="str">
        <f>T("000000000000000000")</f>
        <v>000000000000000000</v>
      </c>
      <c r="L13810" t="str">
        <f>T("3604760645")</f>
        <v>3604760645</v>
      </c>
    </row>
    <row r="13811" spans="1:12" x14ac:dyDescent="0.35">
      <c r="A13811" t="str">
        <f t="shared" si="5125"/>
        <v>PSNS &amp; IMF</v>
      </c>
      <c r="B13811" t="str">
        <f t="shared" si="5126"/>
        <v>1400 FARRAGUT AVE</v>
      </c>
      <c r="C13811" t="str">
        <f t="shared" si="5127"/>
        <v>BLDG 431-2 C/1000B 12</v>
      </c>
      <c r="D13811" t="str">
        <f t="shared" si="5128"/>
        <v>BREMERTON</v>
      </c>
      <c r="E13811" t="str">
        <f t="shared" si="5129"/>
        <v>WA</v>
      </c>
      <c r="F13811" t="str">
        <f t="shared" si="5130"/>
        <v>983146001</v>
      </c>
      <c r="G13811" t="str">
        <f>T("1400 FARRAGUT AVENUE")</f>
        <v>1400 FARRAGUT AVENUE</v>
      </c>
      <c r="H13811" t="str">
        <f>T("BLDG 851 C/909")</f>
        <v>BLDG 851 C/909</v>
      </c>
      <c r="I13811" t="str">
        <f t="shared" si="5131"/>
        <v>BREMERTON</v>
      </c>
      <c r="J13811" t="str">
        <f t="shared" si="5132"/>
        <v>WA</v>
      </c>
      <c r="K13811" t="str">
        <f>T("000000000000000000")</f>
        <v>000000000000000000</v>
      </c>
      <c r="L13811" t="str">
        <f>T("3604765365")</f>
        <v>3604765365</v>
      </c>
    </row>
    <row r="13812" spans="1:12" x14ac:dyDescent="0.35">
      <c r="A13812" t="str">
        <f t="shared" si="5125"/>
        <v>PSNS &amp; IMF</v>
      </c>
      <c r="B13812" t="str">
        <f t="shared" si="5126"/>
        <v>1400 FARRAGUT AVE</v>
      </c>
      <c r="C13812" t="str">
        <f t="shared" si="5127"/>
        <v>BLDG 431-2 C/1000B 12</v>
      </c>
      <c r="D13812" t="str">
        <f t="shared" si="5128"/>
        <v>BREMERTON</v>
      </c>
      <c r="E13812" t="str">
        <f t="shared" si="5129"/>
        <v>WA</v>
      </c>
      <c r="F13812" t="str">
        <f t="shared" si="5130"/>
        <v>983146001</v>
      </c>
      <c r="G13812" t="str">
        <f>T("1400 FARRAGUT AVENUE")</f>
        <v>1400 FARRAGUT AVENUE</v>
      </c>
      <c r="H13812" t="str">
        <f>T("C/900P BLDG 107 RM 103")</f>
        <v>C/900P BLDG 107 RM 103</v>
      </c>
      <c r="I13812" t="str">
        <f t="shared" si="5131"/>
        <v>BREMERTON</v>
      </c>
      <c r="J13812" t="str">
        <f t="shared" si="5132"/>
        <v>WA</v>
      </c>
      <c r="K13812" t="str">
        <f>T("3604769517")</f>
        <v>3604769517</v>
      </c>
      <c r="L13812" t="str">
        <f>T("3604764456")</f>
        <v>3604764456</v>
      </c>
    </row>
    <row r="13813" spans="1:12" x14ac:dyDescent="0.35">
      <c r="A13813" t="str">
        <f t="shared" si="5125"/>
        <v>PSNS &amp; IMF</v>
      </c>
      <c r="B13813" t="str">
        <f t="shared" si="5126"/>
        <v>1400 FARRAGUT AVE</v>
      </c>
      <c r="C13813" t="str">
        <f t="shared" ref="C13813:C13819" si="5133">T("BLDG 431-2 C/909.122")</f>
        <v>BLDG 431-2 C/909.122</v>
      </c>
      <c r="D13813" t="str">
        <f t="shared" si="5128"/>
        <v>BREMERTON</v>
      </c>
      <c r="E13813" t="str">
        <f t="shared" si="5129"/>
        <v>WA</v>
      </c>
      <c r="F13813" t="str">
        <f t="shared" ref="F13813:F13823" si="5134">T("983140001")</f>
        <v>983140001</v>
      </c>
      <c r="G13813" t="str">
        <f>T("1400 FARRAGUT AVE")</f>
        <v>1400 FARRAGUT AVE</v>
      </c>
      <c r="H13813" t="str">
        <f>T("BLDG 431 C/1000B 12")</f>
        <v>BLDG 431 C/1000B 12</v>
      </c>
      <c r="I13813" t="str">
        <f t="shared" si="5131"/>
        <v>BREMERTON</v>
      </c>
      <c r="J13813" t="str">
        <f t="shared" si="5132"/>
        <v>WA</v>
      </c>
      <c r="K13813" t="str">
        <f>T("6197671026")</f>
        <v>6197671026</v>
      </c>
      <c r="L13813" t="str">
        <f>T("6197782056")</f>
        <v>6197782056</v>
      </c>
    </row>
    <row r="13814" spans="1:12" x14ac:dyDescent="0.35">
      <c r="A13814" t="str">
        <f t="shared" si="5125"/>
        <v>PSNS &amp; IMF</v>
      </c>
      <c r="B13814" t="str">
        <f t="shared" si="5126"/>
        <v>1400 FARRAGUT AVE</v>
      </c>
      <c r="C13814" t="str">
        <f t="shared" si="5133"/>
        <v>BLDG 431-2 C/909.122</v>
      </c>
      <c r="D13814" t="str">
        <f t="shared" si="5128"/>
        <v>BREMERTON</v>
      </c>
      <c r="E13814" t="str">
        <f t="shared" si="5129"/>
        <v>WA</v>
      </c>
      <c r="F13814" t="str">
        <f t="shared" si="5134"/>
        <v>983140001</v>
      </c>
      <c r="G13814" t="str">
        <f>T("1400 FARRAGUT AVE")</f>
        <v>1400 FARRAGUT AVE</v>
      </c>
      <c r="H13814" t="str">
        <f>T("BLDG 431 C/1000B SHOP 06")</f>
        <v>BLDG 431 C/1000B SHOP 06</v>
      </c>
      <c r="I13814" t="str">
        <f t="shared" si="5131"/>
        <v>BREMERTON</v>
      </c>
      <c r="J13814" t="str">
        <f t="shared" si="5132"/>
        <v>WA</v>
      </c>
      <c r="K13814" t="str">
        <f>T("3604761146")</f>
        <v>3604761146</v>
      </c>
      <c r="L13814" t="str">
        <f>T("3604760649")</f>
        <v>3604760649</v>
      </c>
    </row>
    <row r="13815" spans="1:12" x14ac:dyDescent="0.35">
      <c r="A13815" t="str">
        <f t="shared" si="5125"/>
        <v>PSNS &amp; IMF</v>
      </c>
      <c r="B13815" t="str">
        <f t="shared" si="5126"/>
        <v>1400 FARRAGUT AVE</v>
      </c>
      <c r="C13815" t="str">
        <f t="shared" si="5133"/>
        <v>BLDG 431-2 C/909.122</v>
      </c>
      <c r="D13815" t="str">
        <f t="shared" si="5128"/>
        <v>BREMERTON</v>
      </c>
      <c r="E13815" t="str">
        <f t="shared" si="5129"/>
        <v>WA</v>
      </c>
      <c r="F13815" t="str">
        <f t="shared" si="5134"/>
        <v>983140001</v>
      </c>
      <c r="G13815" t="str">
        <f>T("1400 FARRAGUT AVE")</f>
        <v>1400 FARRAGUT AVE</v>
      </c>
      <c r="H13815" t="str">
        <f>T("BLDG 431-2 C/1000B 12")</f>
        <v>BLDG 431-2 C/1000B 12</v>
      </c>
      <c r="I13815" t="str">
        <f t="shared" si="5131"/>
        <v>BREMERTON</v>
      </c>
      <c r="J13815" t="str">
        <f t="shared" si="5132"/>
        <v>WA</v>
      </c>
      <c r="K13815" t="str">
        <f>T("3604761146")</f>
        <v>3604761146</v>
      </c>
      <c r="L13815" t="str">
        <f>T("3604760645")</f>
        <v>3604760645</v>
      </c>
    </row>
    <row r="13816" spans="1:12" x14ac:dyDescent="0.35">
      <c r="A13816" t="str">
        <f t="shared" si="5125"/>
        <v>PSNS &amp; IMF</v>
      </c>
      <c r="B13816" t="str">
        <f t="shared" si="5126"/>
        <v>1400 FARRAGUT AVE</v>
      </c>
      <c r="C13816" t="str">
        <f t="shared" si="5133"/>
        <v>BLDG 431-2 C/909.122</v>
      </c>
      <c r="D13816" t="str">
        <f t="shared" si="5128"/>
        <v>BREMERTON</v>
      </c>
      <c r="E13816" t="str">
        <f t="shared" si="5129"/>
        <v>WA</v>
      </c>
      <c r="F13816" t="str">
        <f t="shared" si="5134"/>
        <v>983140001</v>
      </c>
      <c r="G13816" t="str">
        <f>T("1400 FARRAGUT AVE")</f>
        <v>1400 FARRAGUT AVE</v>
      </c>
      <c r="H13816" t="str">
        <f>T("BLDG 431-2 C/1000B 12")</f>
        <v>BLDG 431-2 C/1000B 12</v>
      </c>
      <c r="I13816" t="str">
        <f t="shared" si="5131"/>
        <v>BREMERTON</v>
      </c>
      <c r="J13816" t="str">
        <f t="shared" si="5132"/>
        <v>WA</v>
      </c>
      <c r="K13816" t="str">
        <f>T("3604761146")</f>
        <v>3604761146</v>
      </c>
      <c r="L13816" t="str">
        <f>T("3604761964")</f>
        <v>3604761964</v>
      </c>
    </row>
    <row r="13817" spans="1:12" x14ac:dyDescent="0.35">
      <c r="A13817" t="str">
        <f t="shared" si="5125"/>
        <v>PSNS &amp; IMF</v>
      </c>
      <c r="B13817" t="str">
        <f t="shared" si="5126"/>
        <v>1400 FARRAGUT AVE</v>
      </c>
      <c r="C13817" t="str">
        <f t="shared" si="5133"/>
        <v>BLDG 431-2 C/909.122</v>
      </c>
      <c r="D13817" t="str">
        <f t="shared" si="5128"/>
        <v>BREMERTON</v>
      </c>
      <c r="E13817" t="str">
        <f t="shared" si="5129"/>
        <v>WA</v>
      </c>
      <c r="F13817" t="str">
        <f t="shared" si="5134"/>
        <v>983140001</v>
      </c>
      <c r="G13817" t="str">
        <f>T("1400 FARRAGUT AVE")</f>
        <v>1400 FARRAGUT AVE</v>
      </c>
      <c r="H13817" t="str">
        <f>T("BLDG 431-2 C/909.122")</f>
        <v>BLDG 431-2 C/909.122</v>
      </c>
      <c r="I13817" t="str">
        <f t="shared" si="5131"/>
        <v>BREMERTON</v>
      </c>
      <c r="J13817" t="str">
        <f t="shared" si="5132"/>
        <v>WA</v>
      </c>
      <c r="K13817" t="str">
        <f>T("3604761146")</f>
        <v>3604761146</v>
      </c>
      <c r="L13817" t="str">
        <f>T("3604761986")</f>
        <v>3604761986</v>
      </c>
    </row>
    <row r="13818" spans="1:12" x14ac:dyDescent="0.35">
      <c r="A13818" t="str">
        <f t="shared" si="5125"/>
        <v>PSNS &amp; IMF</v>
      </c>
      <c r="B13818" t="str">
        <f t="shared" si="5126"/>
        <v>1400 FARRAGUT AVE</v>
      </c>
      <c r="C13818" t="str">
        <f t="shared" si="5133"/>
        <v>BLDG 431-2 C/909.122</v>
      </c>
      <c r="D13818" t="str">
        <f t="shared" si="5128"/>
        <v>BREMERTON</v>
      </c>
      <c r="E13818" t="str">
        <f t="shared" si="5129"/>
        <v>WA</v>
      </c>
      <c r="F13818" t="str">
        <f t="shared" si="5134"/>
        <v>983140001</v>
      </c>
      <c r="G13818" t="str">
        <f>T("1400 FARRAGUT AVENUE")</f>
        <v>1400 FARRAGUT AVENUE</v>
      </c>
      <c r="H13818" t="str">
        <f>T("BLDG 431-2 C/909")</f>
        <v>BLDG 431-2 C/909</v>
      </c>
      <c r="I13818" t="str">
        <f t="shared" si="5131"/>
        <v>BREMERTON</v>
      </c>
      <c r="J13818" t="str">
        <f t="shared" si="5132"/>
        <v>WA</v>
      </c>
      <c r="K13818" t="str">
        <f>T("000000000000000000")</f>
        <v>000000000000000000</v>
      </c>
      <c r="L13818" t="str">
        <f>T("3604762205")</f>
        <v>3604762205</v>
      </c>
    </row>
    <row r="13819" spans="1:12" x14ac:dyDescent="0.35">
      <c r="A13819" t="str">
        <f t="shared" si="5125"/>
        <v>PSNS &amp; IMF</v>
      </c>
      <c r="B13819" t="str">
        <f t="shared" si="5126"/>
        <v>1400 FARRAGUT AVE</v>
      </c>
      <c r="C13819" t="str">
        <f t="shared" si="5133"/>
        <v>BLDG 431-2 C/909.122</v>
      </c>
      <c r="D13819" t="str">
        <f t="shared" si="5128"/>
        <v>BREMERTON</v>
      </c>
      <c r="E13819" t="str">
        <f t="shared" si="5129"/>
        <v>WA</v>
      </c>
      <c r="F13819" t="str">
        <f t="shared" si="5134"/>
        <v>983140001</v>
      </c>
      <c r="G13819" t="str">
        <f>T("1400 FARRAGUT AVENUE")</f>
        <v>1400 FARRAGUT AVENUE</v>
      </c>
      <c r="H13819" t="str">
        <f>T("BLDG 850-3 C/900P")</f>
        <v>BLDG 850-3 C/900P</v>
      </c>
      <c r="I13819" t="str">
        <f t="shared" si="5131"/>
        <v>BREMERTON</v>
      </c>
      <c r="J13819" t="str">
        <f t="shared" si="5132"/>
        <v>WA</v>
      </c>
      <c r="K13819" t="str">
        <f>T("08047380007481")</f>
        <v>08047380007481</v>
      </c>
      <c r="L13819" t="str">
        <f>T("0804738000")</f>
        <v>0804738000</v>
      </c>
    </row>
    <row r="13820" spans="1:12" x14ac:dyDescent="0.35">
      <c r="A13820" t="str">
        <f t="shared" si="5125"/>
        <v>PSNS &amp; IMF</v>
      </c>
      <c r="B13820" t="str">
        <f t="shared" si="5126"/>
        <v>1400 FARRAGUT AVE</v>
      </c>
      <c r="C13820" t="str">
        <f>T("BLDG 431-2 C/940")</f>
        <v>BLDG 431-2 C/940</v>
      </c>
      <c r="D13820" t="str">
        <f t="shared" si="5128"/>
        <v>BREMERTON</v>
      </c>
      <c r="E13820" t="str">
        <f t="shared" si="5129"/>
        <v>WA</v>
      </c>
      <c r="F13820" t="str">
        <f t="shared" si="5134"/>
        <v>983140001</v>
      </c>
      <c r="G13820" t="str">
        <f>T("1400 FARRAGUT AVE")</f>
        <v>1400 FARRAGUT AVE</v>
      </c>
      <c r="H13820" t="str">
        <f>T("BLDG 431-2 C/1060 S/31T")</f>
        <v>BLDG 431-2 C/1060 S/31T</v>
      </c>
      <c r="I13820" t="str">
        <f t="shared" si="5131"/>
        <v>BREMERTON</v>
      </c>
      <c r="J13820" t="str">
        <f t="shared" si="5132"/>
        <v>WA</v>
      </c>
      <c r="K13820" t="str">
        <f>T("000000000000000000")</f>
        <v>000000000000000000</v>
      </c>
      <c r="L13820" t="str">
        <f>T("3604768977")</f>
        <v>3604768977</v>
      </c>
    </row>
    <row r="13821" spans="1:12" x14ac:dyDescent="0.35">
      <c r="A13821" t="str">
        <f t="shared" si="5125"/>
        <v>PSNS &amp; IMF</v>
      </c>
      <c r="B13821" t="str">
        <f t="shared" si="5126"/>
        <v>1400 FARRAGUT AVE</v>
      </c>
      <c r="C13821" t="str">
        <f>T("BLDG 431-2 C/940")</f>
        <v>BLDG 431-2 C/940</v>
      </c>
      <c r="D13821" t="str">
        <f t="shared" si="5128"/>
        <v>BREMERTON</v>
      </c>
      <c r="E13821" t="str">
        <f t="shared" si="5129"/>
        <v>WA</v>
      </c>
      <c r="F13821" t="str">
        <f t="shared" si="5134"/>
        <v>983140001</v>
      </c>
      <c r="G13821" t="str">
        <f>T("1400 FARRAGUT AVE")</f>
        <v>1400 FARRAGUT AVE</v>
      </c>
      <c r="H13821" t="str">
        <f>T("BLDG 431-2 C/940")</f>
        <v>BLDG 431-2 C/940</v>
      </c>
      <c r="I13821" t="str">
        <f t="shared" si="5131"/>
        <v>BREMERTON</v>
      </c>
      <c r="J13821" t="str">
        <f t="shared" si="5132"/>
        <v>WA</v>
      </c>
      <c r="K13821" t="str">
        <f>T("3604766247")</f>
        <v>3604766247</v>
      </c>
      <c r="L13821" t="str">
        <f>T("3604763540")</f>
        <v>3604763540</v>
      </c>
    </row>
    <row r="13822" spans="1:12" x14ac:dyDescent="0.35">
      <c r="A13822" t="str">
        <f t="shared" si="5125"/>
        <v>PSNS &amp; IMF</v>
      </c>
      <c r="B13822" t="str">
        <f t="shared" si="5126"/>
        <v>1400 FARRAGUT AVE</v>
      </c>
      <c r="C13822" t="str">
        <f>T("BLDG 431-2 C/940")</f>
        <v>BLDG 431-2 C/940</v>
      </c>
      <c r="D13822" t="str">
        <f t="shared" si="5128"/>
        <v>BREMERTON</v>
      </c>
      <c r="E13822" t="str">
        <f t="shared" si="5129"/>
        <v>WA</v>
      </c>
      <c r="F13822" t="str">
        <f t="shared" si="5134"/>
        <v>983140001</v>
      </c>
      <c r="G13822" t="str">
        <f>T("1400 FARRAGUT AVENUE")</f>
        <v>1400 FARRAGUT AVENUE</v>
      </c>
      <c r="H13822" t="str">
        <f>T("BLDG 431 S/06")</f>
        <v>BLDG 431 S/06</v>
      </c>
      <c r="I13822" t="str">
        <f t="shared" si="5131"/>
        <v>BREMERTON</v>
      </c>
      <c r="J13822" t="str">
        <f t="shared" si="5132"/>
        <v>WA</v>
      </c>
      <c r="K13822" t="str">
        <f>T("000000000000000000")</f>
        <v>000000000000000000</v>
      </c>
      <c r="L13822" t="str">
        <f>T("3604769319")</f>
        <v>3604769319</v>
      </c>
    </row>
    <row r="13823" spans="1:12" x14ac:dyDescent="0.35">
      <c r="A13823" t="str">
        <f t="shared" si="5125"/>
        <v>PSNS &amp; IMF</v>
      </c>
      <c r="B13823" t="str">
        <f t="shared" si="5126"/>
        <v>1400 FARRAGUT AVE</v>
      </c>
      <c r="C13823" t="str">
        <f>T("BLDG 431-2 C/940")</f>
        <v>BLDG 431-2 C/940</v>
      </c>
      <c r="D13823" t="str">
        <f t="shared" si="5128"/>
        <v>BREMERTON</v>
      </c>
      <c r="E13823" t="str">
        <f t="shared" si="5129"/>
        <v>WA</v>
      </c>
      <c r="F13823" t="str">
        <f t="shared" si="5134"/>
        <v>983140001</v>
      </c>
      <c r="G13823" t="str">
        <f>T("1400 FARRAGUT AVENUE")</f>
        <v>1400 FARRAGUT AVENUE</v>
      </c>
      <c r="H13823" t="str">
        <f>T("S/31T BLDG 431-2")</f>
        <v>S/31T BLDG 431-2</v>
      </c>
      <c r="I13823" t="str">
        <f t="shared" si="5131"/>
        <v>BREMERTON</v>
      </c>
      <c r="J13823" t="str">
        <f t="shared" si="5132"/>
        <v>WA</v>
      </c>
      <c r="K13823" t="str">
        <f>T("000000000000000000")</f>
        <v>000000000000000000</v>
      </c>
      <c r="L13823" t="str">
        <f>T("3604762459")</f>
        <v>3604762459</v>
      </c>
    </row>
    <row r="13824" spans="1:12" x14ac:dyDescent="0.35">
      <c r="A13824" t="str">
        <f t="shared" si="5125"/>
        <v>PSNS &amp; IMF</v>
      </c>
      <c r="B13824" t="str">
        <f t="shared" si="5126"/>
        <v>1400 FARRAGUT AVE</v>
      </c>
      <c r="C13824" t="str">
        <f>T("BLDG 448-2 C/980 3")</f>
        <v>BLDG 448-2 C/980 3</v>
      </c>
      <c r="D13824" t="str">
        <f t="shared" si="5128"/>
        <v>BREMERTON</v>
      </c>
      <c r="E13824" t="str">
        <f t="shared" si="5129"/>
        <v>WA</v>
      </c>
      <c r="F13824" t="str">
        <f>T("983146001")</f>
        <v>983146001</v>
      </c>
      <c r="G13824" t="str">
        <f>T("1400 FARRAGUT AVE")</f>
        <v>1400 FARRAGUT AVE</v>
      </c>
      <c r="H13824" t="str">
        <f>T("BLDG 448 RM 128 C/380 5")</f>
        <v>BLDG 448 RM 128 C/380 5</v>
      </c>
      <c r="I13824" t="str">
        <f t="shared" si="5131"/>
        <v>BREMERTON</v>
      </c>
      <c r="J13824" t="str">
        <f t="shared" si="5132"/>
        <v>WA</v>
      </c>
      <c r="K13824" t="str">
        <f>T("000000000000000000")</f>
        <v>000000000000000000</v>
      </c>
      <c r="L13824" t="str">
        <f>T("3604768672")</f>
        <v>3604768672</v>
      </c>
    </row>
    <row r="13825" spans="1:12" x14ac:dyDescent="0.35">
      <c r="A13825" t="str">
        <f t="shared" si="5125"/>
        <v>PSNS &amp; IMF</v>
      </c>
      <c r="B13825" t="str">
        <f t="shared" si="5126"/>
        <v>1400 FARRAGUT AVE</v>
      </c>
      <c r="C13825" t="str">
        <f>T("BLDG 448-2 C/980 3")</f>
        <v>BLDG 448-2 C/980 3</v>
      </c>
      <c r="D13825" t="str">
        <f t="shared" si="5128"/>
        <v>BREMERTON</v>
      </c>
      <c r="E13825" t="str">
        <f t="shared" si="5129"/>
        <v>WA</v>
      </c>
      <c r="F13825" t="str">
        <f>T("983146001")</f>
        <v>983146001</v>
      </c>
      <c r="G13825" t="str">
        <f>T("1400 FARRAGUT AVE")</f>
        <v>1400 FARRAGUT AVE</v>
      </c>
      <c r="H13825" t="str">
        <f>T("BLDG 448-2 C/980 3")</f>
        <v>BLDG 448-2 C/980 3</v>
      </c>
      <c r="I13825" t="str">
        <f t="shared" si="5131"/>
        <v>BREMERTON</v>
      </c>
      <c r="J13825" t="str">
        <f t="shared" si="5132"/>
        <v>WA</v>
      </c>
      <c r="K13825" t="str">
        <f>T("3604764811")</f>
        <v>3604764811</v>
      </c>
      <c r="L13825" t="str">
        <f>T("3606274758")</f>
        <v>3606274758</v>
      </c>
    </row>
    <row r="13826" spans="1:12" x14ac:dyDescent="0.35">
      <c r="A13826" t="str">
        <f t="shared" si="5125"/>
        <v>PSNS &amp; IMF</v>
      </c>
      <c r="B13826" t="str">
        <f t="shared" si="5126"/>
        <v>1400 FARRAGUT AVE</v>
      </c>
      <c r="C13826" t="str">
        <f>T("BLDG 448-2 C/980 3")</f>
        <v>BLDG 448-2 C/980 3</v>
      </c>
      <c r="D13826" t="str">
        <f t="shared" si="5128"/>
        <v>BREMERTON</v>
      </c>
      <c r="E13826" t="str">
        <f t="shared" si="5129"/>
        <v>WA</v>
      </c>
      <c r="F13826" t="str">
        <f>T("983146001")</f>
        <v>983146001</v>
      </c>
      <c r="G13826" t="str">
        <f>T("1400 FARRAGUT AVE")</f>
        <v>1400 FARRAGUT AVE</v>
      </c>
      <c r="H13826" t="str">
        <f>T("BLDG 462")</f>
        <v>BLDG 462</v>
      </c>
      <c r="I13826" t="str">
        <f t="shared" si="5131"/>
        <v>BREMERTON</v>
      </c>
      <c r="J13826" t="str">
        <f t="shared" si="5132"/>
        <v>WA</v>
      </c>
      <c r="K13826" t="str">
        <f>T("000000000000000000")</f>
        <v>000000000000000000</v>
      </c>
      <c r="L13826" t="str">
        <f>T("3604765626")</f>
        <v>3604765626</v>
      </c>
    </row>
    <row r="13827" spans="1:12" x14ac:dyDescent="0.35">
      <c r="A13827" t="str">
        <f t="shared" si="5125"/>
        <v>PSNS &amp; IMF</v>
      </c>
      <c r="B13827" t="str">
        <f t="shared" si="5126"/>
        <v>1400 FARRAGUT AVE</v>
      </c>
      <c r="C13827" t="str">
        <f>T("BLDG 448-2 C/980 3")</f>
        <v>BLDG 448-2 C/980 3</v>
      </c>
      <c r="D13827" t="str">
        <f t="shared" si="5128"/>
        <v>BREMERTON</v>
      </c>
      <c r="E13827" t="str">
        <f t="shared" si="5129"/>
        <v>WA</v>
      </c>
      <c r="F13827" t="str">
        <f>T("983146001")</f>
        <v>983146001</v>
      </c>
      <c r="G13827" t="str">
        <f>T("1400 FARRAGUT AVENUE")</f>
        <v>1400 FARRAGUT AVENUE</v>
      </c>
      <c r="H13827" t="str">
        <f>T("BLDG 448-2")</f>
        <v>BLDG 448-2</v>
      </c>
      <c r="I13827" t="str">
        <f t="shared" si="5131"/>
        <v>BREMERTON</v>
      </c>
      <c r="J13827" t="str">
        <f t="shared" si="5132"/>
        <v>WA</v>
      </c>
      <c r="K13827" t="str">
        <f>T("000000000000000000")</f>
        <v>000000000000000000</v>
      </c>
      <c r="L13827" t="str">
        <f>T("3606274754")</f>
        <v>3606274754</v>
      </c>
    </row>
    <row r="13828" spans="1:12" x14ac:dyDescent="0.35">
      <c r="A13828" t="str">
        <f t="shared" si="5125"/>
        <v>PSNS &amp; IMF</v>
      </c>
      <c r="B13828" t="str">
        <f t="shared" si="5126"/>
        <v>1400 FARRAGUT AVE</v>
      </c>
      <c r="C13828" t="str">
        <f t="shared" ref="C13828:C13834" si="5135">T("BLDG 455 C/909.123")</f>
        <v>BLDG 455 C/909.123</v>
      </c>
      <c r="D13828" t="str">
        <f t="shared" si="5128"/>
        <v>BREMERTON</v>
      </c>
      <c r="E13828" t="str">
        <f t="shared" si="5129"/>
        <v>WA</v>
      </c>
      <c r="F13828" t="str">
        <f t="shared" ref="F13828:F13837" si="5136">T("983140001")</f>
        <v>983140001</v>
      </c>
      <c r="G13828" t="str">
        <f t="shared" ref="G13828:G13868" si="5137">T("1400 FARRAGUT AVE")</f>
        <v>1400 FARRAGUT AVE</v>
      </c>
      <c r="H13828" t="str">
        <f>T("BLDG 107 C/1000B 12")</f>
        <v>BLDG 107 C/1000B 12</v>
      </c>
      <c r="I13828" t="str">
        <f t="shared" si="5131"/>
        <v>BREMERTON</v>
      </c>
      <c r="J13828" t="str">
        <f t="shared" si="5132"/>
        <v>WA</v>
      </c>
      <c r="K13828" t="str">
        <f>T("3604766437")</f>
        <v>3604766437</v>
      </c>
      <c r="L13828" t="str">
        <f>T("3604769069")</f>
        <v>3604769069</v>
      </c>
    </row>
    <row r="13829" spans="1:12" x14ac:dyDescent="0.35">
      <c r="A13829" t="str">
        <f t="shared" si="5125"/>
        <v>PSNS &amp; IMF</v>
      </c>
      <c r="B13829" t="str">
        <f t="shared" si="5126"/>
        <v>1400 FARRAGUT AVE</v>
      </c>
      <c r="C13829" t="str">
        <f t="shared" si="5135"/>
        <v>BLDG 455 C/909.123</v>
      </c>
      <c r="D13829" t="str">
        <f t="shared" si="5128"/>
        <v>BREMERTON</v>
      </c>
      <c r="E13829" t="str">
        <f t="shared" si="5129"/>
        <v>WA</v>
      </c>
      <c r="F13829" t="str">
        <f t="shared" si="5136"/>
        <v>983140001</v>
      </c>
      <c r="G13829" t="str">
        <f t="shared" si="5137"/>
        <v>1400 FARRAGUT AVE</v>
      </c>
      <c r="H13829" t="str">
        <f>T("BLDG 431 C/1000B 12")</f>
        <v>BLDG 431 C/1000B 12</v>
      </c>
      <c r="I13829" t="str">
        <f t="shared" si="5131"/>
        <v>BREMERTON</v>
      </c>
      <c r="J13829" t="str">
        <f t="shared" si="5132"/>
        <v>WA</v>
      </c>
      <c r="K13829" t="str">
        <f>T("3604766263")</f>
        <v>3604766263</v>
      </c>
      <c r="L13829" t="str">
        <f>T("3604763109")</f>
        <v>3604763109</v>
      </c>
    </row>
    <row r="13830" spans="1:12" x14ac:dyDescent="0.35">
      <c r="A13830" t="str">
        <f t="shared" si="5125"/>
        <v>PSNS &amp; IMF</v>
      </c>
      <c r="B13830" t="str">
        <f t="shared" si="5126"/>
        <v>1400 FARRAGUT AVE</v>
      </c>
      <c r="C13830" t="str">
        <f t="shared" si="5135"/>
        <v>BLDG 455 C/909.123</v>
      </c>
      <c r="D13830" t="str">
        <f t="shared" si="5128"/>
        <v>BREMERTON</v>
      </c>
      <c r="E13830" t="str">
        <f t="shared" si="5129"/>
        <v>WA</v>
      </c>
      <c r="F13830" t="str">
        <f t="shared" si="5136"/>
        <v>983140001</v>
      </c>
      <c r="G13830" t="str">
        <f t="shared" si="5137"/>
        <v>1400 FARRAGUT AVE</v>
      </c>
      <c r="H13830" t="str">
        <f>T("BLDG 431-2 C/1000B 12")</f>
        <v>BLDG 431-2 C/1000B 12</v>
      </c>
      <c r="I13830" t="str">
        <f t="shared" si="5131"/>
        <v>BREMERTON</v>
      </c>
      <c r="J13830" t="str">
        <f t="shared" si="5132"/>
        <v>WA</v>
      </c>
      <c r="K13830" t="str">
        <f>T("000000000000000000")</f>
        <v>000000000000000000</v>
      </c>
      <c r="L13830" t="str">
        <f>T("3604760597")</f>
        <v>3604760597</v>
      </c>
    </row>
    <row r="13831" spans="1:12" x14ac:dyDescent="0.35">
      <c r="A13831" t="str">
        <f t="shared" si="5125"/>
        <v>PSNS &amp; IMF</v>
      </c>
      <c r="B13831" t="str">
        <f t="shared" si="5126"/>
        <v>1400 FARRAGUT AVE</v>
      </c>
      <c r="C13831" t="str">
        <f t="shared" si="5135"/>
        <v>BLDG 455 C/909.123</v>
      </c>
      <c r="D13831" t="str">
        <f t="shared" si="5128"/>
        <v>BREMERTON</v>
      </c>
      <c r="E13831" t="str">
        <f t="shared" si="5129"/>
        <v>WA</v>
      </c>
      <c r="F13831" t="str">
        <f t="shared" si="5136"/>
        <v>983140001</v>
      </c>
      <c r="G13831" t="str">
        <f t="shared" si="5137"/>
        <v>1400 FARRAGUT AVE</v>
      </c>
      <c r="H13831" t="str">
        <f>T("BLDG 455 C/909.123")</f>
        <v>BLDG 455 C/909.123</v>
      </c>
      <c r="I13831" t="str">
        <f t="shared" si="5131"/>
        <v>BREMERTON</v>
      </c>
      <c r="J13831" t="str">
        <f t="shared" si="5132"/>
        <v>WA</v>
      </c>
      <c r="K13831" t="str">
        <f>T("3604768483")</f>
        <v>3604768483</v>
      </c>
      <c r="L13831" t="str">
        <f>T("3604768726")</f>
        <v>3604768726</v>
      </c>
    </row>
    <row r="13832" spans="1:12" x14ac:dyDescent="0.35">
      <c r="A13832" t="str">
        <f t="shared" si="5125"/>
        <v>PSNS &amp; IMF</v>
      </c>
      <c r="B13832" t="str">
        <f t="shared" si="5126"/>
        <v>1400 FARRAGUT AVE</v>
      </c>
      <c r="C13832" t="str">
        <f t="shared" si="5135"/>
        <v>BLDG 455 C/909.123</v>
      </c>
      <c r="D13832" t="str">
        <f t="shared" si="5128"/>
        <v>BREMERTON</v>
      </c>
      <c r="E13832" t="str">
        <f t="shared" si="5129"/>
        <v>WA</v>
      </c>
      <c r="F13832" t="str">
        <f t="shared" si="5136"/>
        <v>983140001</v>
      </c>
      <c r="G13832" t="str">
        <f t="shared" si="5137"/>
        <v>1400 FARRAGUT AVE</v>
      </c>
      <c r="H13832" t="str">
        <f>T("BLDG 980 C/1000B 12")</f>
        <v>BLDG 980 C/1000B 12</v>
      </c>
      <c r="I13832" t="str">
        <f t="shared" si="5131"/>
        <v>BREMERTON</v>
      </c>
      <c r="J13832" t="str">
        <f t="shared" si="5132"/>
        <v>WA</v>
      </c>
      <c r="K13832" t="str">
        <f>T("000000000000000000")</f>
        <v>000000000000000000</v>
      </c>
      <c r="L13832" t="str">
        <f>T("3606276737")</f>
        <v>3606276737</v>
      </c>
    </row>
    <row r="13833" spans="1:12" x14ac:dyDescent="0.35">
      <c r="A13833" t="str">
        <f t="shared" si="5125"/>
        <v>PSNS &amp; IMF</v>
      </c>
      <c r="B13833" t="str">
        <f t="shared" si="5126"/>
        <v>1400 FARRAGUT AVE</v>
      </c>
      <c r="C13833" t="str">
        <f t="shared" si="5135"/>
        <v>BLDG 455 C/909.123</v>
      </c>
      <c r="D13833" t="str">
        <f t="shared" si="5128"/>
        <v>BREMERTON</v>
      </c>
      <c r="E13833" t="str">
        <f t="shared" si="5129"/>
        <v>WA</v>
      </c>
      <c r="F13833" t="str">
        <f t="shared" si="5136"/>
        <v>983140001</v>
      </c>
      <c r="G13833" t="str">
        <f t="shared" si="5137"/>
        <v>1400 FARRAGUT AVE</v>
      </c>
      <c r="H13833" t="str">
        <f>T("C/900P BLDG 457-2")</f>
        <v>C/900P BLDG 457-2</v>
      </c>
      <c r="I13833" t="str">
        <f t="shared" si="5131"/>
        <v>BREMERTON</v>
      </c>
      <c r="J13833" t="str">
        <f t="shared" si="5132"/>
        <v>WA</v>
      </c>
      <c r="K13833" t="str">
        <f>T("3604761360")</f>
        <v>3604761360</v>
      </c>
      <c r="L13833" t="str">
        <f>T("3604762991")</f>
        <v>3604762991</v>
      </c>
    </row>
    <row r="13834" spans="1:12" x14ac:dyDescent="0.35">
      <c r="A13834" t="str">
        <f t="shared" si="5125"/>
        <v>PSNS &amp; IMF</v>
      </c>
      <c r="B13834" t="str">
        <f t="shared" si="5126"/>
        <v>1400 FARRAGUT AVE</v>
      </c>
      <c r="C13834" t="str">
        <f t="shared" si="5135"/>
        <v>BLDG 455 C/909.123</v>
      </c>
      <c r="D13834" t="str">
        <f t="shared" si="5128"/>
        <v>BREMERTON</v>
      </c>
      <c r="E13834" t="str">
        <f t="shared" si="5129"/>
        <v>WA</v>
      </c>
      <c r="F13834" t="str">
        <f t="shared" si="5136"/>
        <v>983140001</v>
      </c>
      <c r="G13834" t="str">
        <f t="shared" si="5137"/>
        <v>1400 FARRAGUT AVE</v>
      </c>
      <c r="H13834" t="str">
        <f>T("PIER B TRAILER 35 C/1000B 12")</f>
        <v>PIER B TRAILER 35 C/1000B 12</v>
      </c>
      <c r="I13834" t="str">
        <f t="shared" si="5131"/>
        <v>BREMERTON</v>
      </c>
      <c r="J13834" t="str">
        <f t="shared" si="5132"/>
        <v>WA</v>
      </c>
      <c r="K13834" t="str">
        <f>T("3604761616")</f>
        <v>3604761616</v>
      </c>
      <c r="L13834" t="str">
        <f>T("3604761468")</f>
        <v>3604761468</v>
      </c>
    </row>
    <row r="13835" spans="1:12" x14ac:dyDescent="0.35">
      <c r="A13835" t="str">
        <f t="shared" si="5125"/>
        <v>PSNS &amp; IMF</v>
      </c>
      <c r="B13835" t="str">
        <f t="shared" si="5126"/>
        <v>1400 FARRAGUT AVE</v>
      </c>
      <c r="C13835" t="str">
        <f>T("BLDG 460-2 C/1000T 61")</f>
        <v>BLDG 460-2 C/1000T 61</v>
      </c>
      <c r="D13835" t="str">
        <f t="shared" si="5128"/>
        <v>BREMERTON</v>
      </c>
      <c r="E13835" t="str">
        <f t="shared" si="5129"/>
        <v>WA</v>
      </c>
      <c r="F13835" t="str">
        <f t="shared" si="5136"/>
        <v>983140001</v>
      </c>
      <c r="G13835" t="str">
        <f t="shared" si="5137"/>
        <v>1400 FARRAGUT AVE</v>
      </c>
      <c r="H13835" t="str">
        <f>T("BLDG 460-2 C/1000T")</f>
        <v>BLDG 460-2 C/1000T</v>
      </c>
      <c r="I13835" t="str">
        <f t="shared" si="5131"/>
        <v>BREMERTON</v>
      </c>
      <c r="J13835" t="str">
        <f t="shared" si="5132"/>
        <v>WA</v>
      </c>
      <c r="K13835" t="str">
        <f>T("3604768718")</f>
        <v>3604768718</v>
      </c>
      <c r="L13835" t="str">
        <f>T("3604769186")</f>
        <v>3604769186</v>
      </c>
    </row>
    <row r="13836" spans="1:12" x14ac:dyDescent="0.35">
      <c r="A13836" t="str">
        <f t="shared" si="5125"/>
        <v>PSNS &amp; IMF</v>
      </c>
      <c r="B13836" t="str">
        <f t="shared" si="5126"/>
        <v>1400 FARRAGUT AVE</v>
      </c>
      <c r="C13836" t="str">
        <f>T("BLDG 460-2 C/1000T 61")</f>
        <v>BLDG 460-2 C/1000T 61</v>
      </c>
      <c r="D13836" t="str">
        <f t="shared" si="5128"/>
        <v>BREMERTON</v>
      </c>
      <c r="E13836" t="str">
        <f t="shared" si="5129"/>
        <v>WA</v>
      </c>
      <c r="F13836" t="str">
        <f t="shared" si="5136"/>
        <v>983140001</v>
      </c>
      <c r="G13836" t="str">
        <f t="shared" si="5137"/>
        <v>1400 FARRAGUT AVE</v>
      </c>
      <c r="H13836" t="str">
        <f>T("BLDG 460-2 C/1000T 61")</f>
        <v>BLDG 460-2 C/1000T 61</v>
      </c>
      <c r="I13836" t="str">
        <f t="shared" si="5131"/>
        <v>BREMERTON</v>
      </c>
      <c r="J13836" t="str">
        <f t="shared" si="5132"/>
        <v>WA</v>
      </c>
      <c r="K13836" t="str">
        <f>T("360 476 3477")</f>
        <v>360 476 3477</v>
      </c>
      <c r="L13836" t="str">
        <f>T("3604764670")</f>
        <v>3604764670</v>
      </c>
    </row>
    <row r="13837" spans="1:12" x14ac:dyDescent="0.35">
      <c r="A13837" t="str">
        <f t="shared" ref="A13837:A13868" si="5138">T("PSNS &amp; IMF")</f>
        <v>PSNS &amp; IMF</v>
      </c>
      <c r="B13837" t="str">
        <f t="shared" ref="B13837:B13868" si="5139">T("1400 FARRAGUT AVE")</f>
        <v>1400 FARRAGUT AVE</v>
      </c>
      <c r="C13837" t="str">
        <f>T("BLDG 460-2 C/1000T 61")</f>
        <v>BLDG 460-2 C/1000T 61</v>
      </c>
      <c r="D13837" t="str">
        <f t="shared" ref="D13837:D13868" si="5140">T("BREMERTON")</f>
        <v>BREMERTON</v>
      </c>
      <c r="E13837" t="str">
        <f t="shared" ref="E13837:E13868" si="5141">T("WA")</f>
        <v>WA</v>
      </c>
      <c r="F13837" t="str">
        <f t="shared" si="5136"/>
        <v>983140001</v>
      </c>
      <c r="G13837" t="str">
        <f t="shared" si="5137"/>
        <v>1400 FARRAGUT AVE</v>
      </c>
      <c r="H13837" t="str">
        <f>T("BLDG 850-3 C/1000T 1")</f>
        <v>BLDG 850-3 C/1000T 1</v>
      </c>
      <c r="I13837" t="str">
        <f t="shared" ref="I13837:I13869" si="5142">T("BREMERTON")</f>
        <v>BREMERTON</v>
      </c>
      <c r="J13837" t="str">
        <f t="shared" ref="J13837:J13868" si="5143">T("WA")</f>
        <v>WA</v>
      </c>
      <c r="K13837" t="str">
        <f>T("000000000000000000")</f>
        <v>000000000000000000</v>
      </c>
      <c r="L13837" t="str">
        <f>T("3606275718")</f>
        <v>3606275718</v>
      </c>
    </row>
    <row r="13838" spans="1:12" x14ac:dyDescent="0.35">
      <c r="A13838" t="str">
        <f t="shared" si="5138"/>
        <v>PSNS &amp; IMF</v>
      </c>
      <c r="B13838" t="str">
        <f t="shared" si="5139"/>
        <v>1400 FARRAGUT AVE</v>
      </c>
      <c r="C13838" t="str">
        <f>T("BLDG 466 C-1182")</f>
        <v>BLDG 466 C-1182</v>
      </c>
      <c r="D13838" t="str">
        <f t="shared" si="5140"/>
        <v>BREMERTON</v>
      </c>
      <c r="E13838" t="str">
        <f t="shared" si="5141"/>
        <v>WA</v>
      </c>
      <c r="F13838" t="str">
        <f>T("983146001")</f>
        <v>983146001</v>
      </c>
      <c r="G13838" t="str">
        <f t="shared" si="5137"/>
        <v>1400 FARRAGUT AVE</v>
      </c>
      <c r="H13838" t="str">
        <f>T("BLDG 466 C-1182")</f>
        <v>BLDG 466 C-1182</v>
      </c>
      <c r="I13838" t="str">
        <f t="shared" si="5142"/>
        <v>BREMERTON</v>
      </c>
      <c r="J13838" t="str">
        <f t="shared" si="5143"/>
        <v>WA</v>
      </c>
      <c r="K13838" t="str">
        <f>T("3604765783")</f>
        <v>3604765783</v>
      </c>
      <c r="L13838" t="str">
        <f>T("3606208402")</f>
        <v>3606208402</v>
      </c>
    </row>
    <row r="13839" spans="1:12" x14ac:dyDescent="0.35">
      <c r="A13839" t="str">
        <f t="shared" si="5138"/>
        <v>PSNS &amp; IMF</v>
      </c>
      <c r="B13839" t="str">
        <f t="shared" si="5139"/>
        <v>1400 FARRAGUT AVE</v>
      </c>
      <c r="C13839" t="str">
        <f>T("BLDG 466 C-1182")</f>
        <v>BLDG 466 C-1182</v>
      </c>
      <c r="D13839" t="str">
        <f t="shared" si="5140"/>
        <v>BREMERTON</v>
      </c>
      <c r="E13839" t="str">
        <f t="shared" si="5141"/>
        <v>WA</v>
      </c>
      <c r="F13839" t="str">
        <f>T("983146001")</f>
        <v>983146001</v>
      </c>
      <c r="G13839" t="str">
        <f t="shared" si="5137"/>
        <v>1400 FARRAGUT AVE</v>
      </c>
      <c r="H13839" t="str">
        <f>T("BLDG 466 C/1180")</f>
        <v>BLDG 466 C/1180</v>
      </c>
      <c r="I13839" t="str">
        <f t="shared" si="5142"/>
        <v>BREMERTON</v>
      </c>
      <c r="J13839" t="str">
        <f t="shared" si="5143"/>
        <v>WA</v>
      </c>
      <c r="K13839" t="str">
        <f>T("000000000000000000")</f>
        <v>000000000000000000</v>
      </c>
      <c r="L13839" t="str">
        <f>T("3604769187")</f>
        <v>3604769187</v>
      </c>
    </row>
    <row r="13840" spans="1:12" x14ac:dyDescent="0.35">
      <c r="A13840" t="str">
        <f t="shared" si="5138"/>
        <v>PSNS &amp; IMF</v>
      </c>
      <c r="B13840" t="str">
        <f t="shared" si="5139"/>
        <v>1400 FARRAGUT AVE</v>
      </c>
      <c r="C13840" t="str">
        <f>T("BLDG 467-7 C/127 2")</f>
        <v>BLDG 467-7 C/127 2</v>
      </c>
      <c r="D13840" t="str">
        <f t="shared" si="5140"/>
        <v>BREMERTON</v>
      </c>
      <c r="E13840" t="str">
        <f t="shared" si="5141"/>
        <v>WA</v>
      </c>
      <c r="F13840" t="str">
        <f>T("983146001")</f>
        <v>983146001</v>
      </c>
      <c r="G13840" t="str">
        <f t="shared" si="5137"/>
        <v>1400 FARRAGUT AVE</v>
      </c>
      <c r="H13840" t="str">
        <f>T("BLDG 467-7 C/122 2")</f>
        <v>BLDG 467-7 C/122 2</v>
      </c>
      <c r="I13840" t="str">
        <f t="shared" si="5142"/>
        <v>BREMERTON</v>
      </c>
      <c r="J13840" t="str">
        <f t="shared" si="5143"/>
        <v>WA</v>
      </c>
      <c r="K13840" t="str">
        <f>T("6275296")</f>
        <v>6275296</v>
      </c>
      <c r="L13840" t="str">
        <f>T("3606275077")</f>
        <v>3606275077</v>
      </c>
    </row>
    <row r="13841" spans="1:12" x14ac:dyDescent="0.35">
      <c r="A13841" t="str">
        <f t="shared" si="5138"/>
        <v>PSNS &amp; IMF</v>
      </c>
      <c r="B13841" t="str">
        <f t="shared" si="5139"/>
        <v>1400 FARRAGUT AVE</v>
      </c>
      <c r="C13841" t="str">
        <f>T("BLDG 467-7 C/127 2")</f>
        <v>BLDG 467-7 C/127 2</v>
      </c>
      <c r="D13841" t="str">
        <f t="shared" si="5140"/>
        <v>BREMERTON</v>
      </c>
      <c r="E13841" t="str">
        <f t="shared" si="5141"/>
        <v>WA</v>
      </c>
      <c r="F13841" t="str">
        <f>T("983146001")</f>
        <v>983146001</v>
      </c>
      <c r="G13841" t="str">
        <f t="shared" si="5137"/>
        <v>1400 FARRAGUT AVE</v>
      </c>
      <c r="H13841" t="str">
        <f>T("BLDG 467-7 C/127 2")</f>
        <v>BLDG 467-7 C/127 2</v>
      </c>
      <c r="I13841" t="str">
        <f t="shared" si="5142"/>
        <v>BREMERTON</v>
      </c>
      <c r="J13841" t="str">
        <f t="shared" si="5143"/>
        <v>WA</v>
      </c>
      <c r="K13841" t="str">
        <f>T("000000000000000000")</f>
        <v>000000000000000000</v>
      </c>
      <c r="L13841" t="str">
        <f>T("3606274242")</f>
        <v>3606274242</v>
      </c>
    </row>
    <row r="13842" spans="1:12" x14ac:dyDescent="0.35">
      <c r="A13842" t="str">
        <f t="shared" si="5138"/>
        <v>PSNS &amp; IMF</v>
      </c>
      <c r="B13842" t="str">
        <f t="shared" si="5139"/>
        <v>1400 FARRAGUT AVE</v>
      </c>
      <c r="C13842" t="str">
        <f>T("BLDG 467-7 C/127 2")</f>
        <v>BLDG 467-7 C/127 2</v>
      </c>
      <c r="D13842" t="str">
        <f t="shared" si="5140"/>
        <v>BREMERTON</v>
      </c>
      <c r="E13842" t="str">
        <f t="shared" si="5141"/>
        <v>WA</v>
      </c>
      <c r="F13842" t="str">
        <f>T("983146001")</f>
        <v>983146001</v>
      </c>
      <c r="G13842" t="str">
        <f t="shared" si="5137"/>
        <v>1400 FARRAGUT AVE</v>
      </c>
      <c r="H13842" t="str">
        <f>T("BLDG 467-7 C/127 2")</f>
        <v>BLDG 467-7 C/127 2</v>
      </c>
      <c r="I13842" t="str">
        <f t="shared" si="5142"/>
        <v>BREMERTON</v>
      </c>
      <c r="J13842" t="str">
        <f t="shared" si="5143"/>
        <v>WA</v>
      </c>
      <c r="K13842" t="str">
        <f>T("3606275296")</f>
        <v>3606275296</v>
      </c>
      <c r="L13842" t="str">
        <f>T("3606275180")</f>
        <v>3606275180</v>
      </c>
    </row>
    <row r="13843" spans="1:12" x14ac:dyDescent="0.35">
      <c r="A13843" t="str">
        <f t="shared" si="5138"/>
        <v>PSNS &amp; IMF</v>
      </c>
      <c r="B13843" t="str">
        <f t="shared" si="5139"/>
        <v>1400 FARRAGUT AVE</v>
      </c>
      <c r="C13843" t="str">
        <f t="shared" ref="C13843:C13850" si="5144">T("BLDG 514 C/1000B 12")</f>
        <v>BLDG 514 C/1000B 12</v>
      </c>
      <c r="D13843" t="str">
        <f t="shared" si="5140"/>
        <v>BREMERTON</v>
      </c>
      <c r="E13843" t="str">
        <f t="shared" si="5141"/>
        <v>WA</v>
      </c>
      <c r="F13843" t="str">
        <f t="shared" ref="F13843:F13850" si="5145">T("983140001")</f>
        <v>983140001</v>
      </c>
      <c r="G13843" t="str">
        <f t="shared" si="5137"/>
        <v>1400 FARRAGUT AVE</v>
      </c>
      <c r="H13843" t="str">
        <f>T("BLDG 431 C/1000B")</f>
        <v>BLDG 431 C/1000B</v>
      </c>
      <c r="I13843" t="str">
        <f t="shared" si="5142"/>
        <v>BREMERTON</v>
      </c>
      <c r="J13843" t="str">
        <f t="shared" si="5143"/>
        <v>WA</v>
      </c>
      <c r="K13843" t="str">
        <f>T("000000000000000000")</f>
        <v>000000000000000000</v>
      </c>
      <c r="L13843" t="str">
        <f>T("3604767735")</f>
        <v>3604767735</v>
      </c>
    </row>
    <row r="13844" spans="1:12" x14ac:dyDescent="0.35">
      <c r="A13844" t="str">
        <f t="shared" si="5138"/>
        <v>PSNS &amp; IMF</v>
      </c>
      <c r="B13844" t="str">
        <f t="shared" si="5139"/>
        <v>1400 FARRAGUT AVE</v>
      </c>
      <c r="C13844" t="str">
        <f t="shared" si="5144"/>
        <v>BLDG 514 C/1000B 12</v>
      </c>
      <c r="D13844" t="str">
        <f t="shared" si="5140"/>
        <v>BREMERTON</v>
      </c>
      <c r="E13844" t="str">
        <f t="shared" si="5141"/>
        <v>WA</v>
      </c>
      <c r="F13844" t="str">
        <f t="shared" si="5145"/>
        <v>983140001</v>
      </c>
      <c r="G13844" t="str">
        <f t="shared" si="5137"/>
        <v>1400 FARRAGUT AVE</v>
      </c>
      <c r="H13844" t="str">
        <f>T("BLDG 431-2 C/1000B 12")</f>
        <v>BLDG 431-2 C/1000B 12</v>
      </c>
      <c r="I13844" t="str">
        <f t="shared" si="5142"/>
        <v>BREMERTON</v>
      </c>
      <c r="J13844" t="str">
        <f t="shared" si="5143"/>
        <v>WA</v>
      </c>
      <c r="K13844" t="str">
        <f>T("3604761146")</f>
        <v>3604761146</v>
      </c>
      <c r="L13844" t="str">
        <f>T("3604761468")</f>
        <v>3604761468</v>
      </c>
    </row>
    <row r="13845" spans="1:12" x14ac:dyDescent="0.35">
      <c r="A13845" t="str">
        <f t="shared" si="5138"/>
        <v>PSNS &amp; IMF</v>
      </c>
      <c r="B13845" t="str">
        <f t="shared" si="5139"/>
        <v>1400 FARRAGUT AVE</v>
      </c>
      <c r="C13845" t="str">
        <f t="shared" si="5144"/>
        <v>BLDG 514 C/1000B 12</v>
      </c>
      <c r="D13845" t="str">
        <f t="shared" si="5140"/>
        <v>BREMERTON</v>
      </c>
      <c r="E13845" t="str">
        <f t="shared" si="5141"/>
        <v>WA</v>
      </c>
      <c r="F13845" t="str">
        <f t="shared" si="5145"/>
        <v>983140001</v>
      </c>
      <c r="G13845" t="str">
        <f t="shared" si="5137"/>
        <v>1400 FARRAGUT AVE</v>
      </c>
      <c r="H13845" t="str">
        <f>T("BLDG 457-2 C/900P")</f>
        <v>BLDG 457-2 C/900P</v>
      </c>
      <c r="I13845" t="str">
        <f t="shared" si="5142"/>
        <v>BREMERTON</v>
      </c>
      <c r="J13845" t="str">
        <f t="shared" si="5143"/>
        <v>WA</v>
      </c>
      <c r="K13845" t="str">
        <f>T("3604762600")</f>
        <v>3604762600</v>
      </c>
      <c r="L13845" t="str">
        <f>T("3604760785")</f>
        <v>3604760785</v>
      </c>
    </row>
    <row r="13846" spans="1:12" x14ac:dyDescent="0.35">
      <c r="A13846" t="str">
        <f t="shared" si="5138"/>
        <v>PSNS &amp; IMF</v>
      </c>
      <c r="B13846" t="str">
        <f t="shared" si="5139"/>
        <v>1400 FARRAGUT AVE</v>
      </c>
      <c r="C13846" t="str">
        <f t="shared" si="5144"/>
        <v>BLDG 514 C/1000B 12</v>
      </c>
      <c r="D13846" t="str">
        <f t="shared" si="5140"/>
        <v>BREMERTON</v>
      </c>
      <c r="E13846" t="str">
        <f t="shared" si="5141"/>
        <v>WA</v>
      </c>
      <c r="F13846" t="str">
        <f t="shared" si="5145"/>
        <v>983140001</v>
      </c>
      <c r="G13846" t="str">
        <f t="shared" si="5137"/>
        <v>1400 FARRAGUT AVE</v>
      </c>
      <c r="H13846" t="str">
        <f>T("BLDG 462 C/1000B 12")</f>
        <v>BLDG 462 C/1000B 12</v>
      </c>
      <c r="I13846" t="str">
        <f t="shared" si="5142"/>
        <v>BREMERTON</v>
      </c>
      <c r="J13846" t="str">
        <f t="shared" si="5143"/>
        <v>WA</v>
      </c>
      <c r="K13846" t="str">
        <f>T("000000000000000000")</f>
        <v>000000000000000000</v>
      </c>
      <c r="L13846" t="str">
        <f>T("3604765626")</f>
        <v>3604765626</v>
      </c>
    </row>
    <row r="13847" spans="1:12" x14ac:dyDescent="0.35">
      <c r="A13847" t="str">
        <f t="shared" si="5138"/>
        <v>PSNS &amp; IMF</v>
      </c>
      <c r="B13847" t="str">
        <f t="shared" si="5139"/>
        <v>1400 FARRAGUT AVE</v>
      </c>
      <c r="C13847" t="str">
        <f t="shared" si="5144"/>
        <v>BLDG 514 C/1000B 12</v>
      </c>
      <c r="D13847" t="str">
        <f t="shared" si="5140"/>
        <v>BREMERTON</v>
      </c>
      <c r="E13847" t="str">
        <f t="shared" si="5141"/>
        <v>WA</v>
      </c>
      <c r="F13847" t="str">
        <f t="shared" si="5145"/>
        <v>983140001</v>
      </c>
      <c r="G13847" t="str">
        <f t="shared" si="5137"/>
        <v>1400 FARRAGUT AVE</v>
      </c>
      <c r="H13847" t="str">
        <f>T("BLDG 514 C/1000B 12")</f>
        <v>BLDG 514 C/1000B 12</v>
      </c>
      <c r="I13847" t="str">
        <f t="shared" si="5142"/>
        <v>BREMERTON</v>
      </c>
      <c r="J13847" t="str">
        <f t="shared" si="5143"/>
        <v>WA</v>
      </c>
      <c r="K13847" t="str">
        <f>T("360476-6671")</f>
        <v>360476-6671</v>
      </c>
      <c r="L13847" t="str">
        <f>T("3602042898")</f>
        <v>3602042898</v>
      </c>
    </row>
    <row r="13848" spans="1:12" x14ac:dyDescent="0.35">
      <c r="A13848" t="str">
        <f t="shared" si="5138"/>
        <v>PSNS &amp; IMF</v>
      </c>
      <c r="B13848" t="str">
        <f t="shared" si="5139"/>
        <v>1400 FARRAGUT AVE</v>
      </c>
      <c r="C13848" t="str">
        <f t="shared" si="5144"/>
        <v>BLDG 514 C/1000B 12</v>
      </c>
      <c r="D13848" t="str">
        <f t="shared" si="5140"/>
        <v>BREMERTON</v>
      </c>
      <c r="E13848" t="str">
        <f t="shared" si="5141"/>
        <v>WA</v>
      </c>
      <c r="F13848" t="str">
        <f t="shared" si="5145"/>
        <v>983140001</v>
      </c>
      <c r="G13848" t="str">
        <f t="shared" si="5137"/>
        <v>1400 FARRAGUT AVE</v>
      </c>
      <c r="H13848" t="str">
        <f>T("BLDG 517 DR 7 C/900P")</f>
        <v>BLDG 517 DR 7 C/900P</v>
      </c>
      <c r="I13848" t="str">
        <f t="shared" si="5142"/>
        <v>BREMERTON</v>
      </c>
      <c r="J13848" t="str">
        <f t="shared" si="5143"/>
        <v>WA</v>
      </c>
      <c r="K13848" t="str">
        <f>T("000000000000000000")</f>
        <v>000000000000000000</v>
      </c>
      <c r="L13848" t="str">
        <f>T("3604761468")</f>
        <v>3604761468</v>
      </c>
    </row>
    <row r="13849" spans="1:12" x14ac:dyDescent="0.35">
      <c r="A13849" t="str">
        <f t="shared" si="5138"/>
        <v>PSNS &amp; IMF</v>
      </c>
      <c r="B13849" t="str">
        <f t="shared" si="5139"/>
        <v>1400 FARRAGUT AVE</v>
      </c>
      <c r="C13849" t="str">
        <f t="shared" si="5144"/>
        <v>BLDG 514 C/1000B 12</v>
      </c>
      <c r="D13849" t="str">
        <f t="shared" si="5140"/>
        <v>BREMERTON</v>
      </c>
      <c r="E13849" t="str">
        <f t="shared" si="5141"/>
        <v>WA</v>
      </c>
      <c r="F13849" t="str">
        <f t="shared" si="5145"/>
        <v>983140001</v>
      </c>
      <c r="G13849" t="str">
        <f t="shared" si="5137"/>
        <v>1400 FARRAGUT AVE</v>
      </c>
      <c r="H13849" t="str">
        <f>T("BLDG E0101 C/1000B 12")</f>
        <v>BLDG E0101 C/1000B 12</v>
      </c>
      <c r="I13849" t="str">
        <f t="shared" si="5142"/>
        <v>BREMERTON</v>
      </c>
      <c r="J13849" t="str">
        <f t="shared" si="5143"/>
        <v>WA</v>
      </c>
      <c r="K13849" t="str">
        <f>T("000000000000000000")</f>
        <v>000000000000000000</v>
      </c>
      <c r="L13849" t="str">
        <f>T("3604765410")</f>
        <v>3604765410</v>
      </c>
    </row>
    <row r="13850" spans="1:12" x14ac:dyDescent="0.35">
      <c r="A13850" t="str">
        <f t="shared" si="5138"/>
        <v>PSNS &amp; IMF</v>
      </c>
      <c r="B13850" t="str">
        <f t="shared" si="5139"/>
        <v>1400 FARRAGUT AVE</v>
      </c>
      <c r="C13850" t="str">
        <f t="shared" si="5144"/>
        <v>BLDG 514 C/1000B 12</v>
      </c>
      <c r="D13850" t="str">
        <f t="shared" si="5140"/>
        <v>BREMERTON</v>
      </c>
      <c r="E13850" t="str">
        <f t="shared" si="5141"/>
        <v>WA</v>
      </c>
      <c r="F13850" t="str">
        <f t="shared" si="5145"/>
        <v>983140001</v>
      </c>
      <c r="G13850" t="str">
        <f t="shared" si="5137"/>
        <v>1400 FARRAGUT AVE</v>
      </c>
      <c r="H13850" t="str">
        <f>T("C/900P 1 BLDG 431-2")</f>
        <v>C/900P 1 BLDG 431-2</v>
      </c>
      <c r="I13850" t="str">
        <f t="shared" si="5142"/>
        <v>BREMERTON</v>
      </c>
      <c r="J13850" t="str">
        <f t="shared" si="5143"/>
        <v>WA</v>
      </c>
      <c r="K13850" t="str">
        <f>T("3604761146")</f>
        <v>3604761146</v>
      </c>
      <c r="L13850" t="str">
        <f>T("3604768926")</f>
        <v>3604768926</v>
      </c>
    </row>
    <row r="13851" spans="1:12" x14ac:dyDescent="0.35">
      <c r="A13851" t="str">
        <f t="shared" si="5138"/>
        <v>PSNS &amp; IMF</v>
      </c>
      <c r="B13851" t="str">
        <f t="shared" si="5139"/>
        <v>1400 FARRAGUT AVE</v>
      </c>
      <c r="C13851" t="str">
        <f>T("BLDG 850-2 C/1142")</f>
        <v>BLDG 850-2 C/1142</v>
      </c>
      <c r="D13851" t="str">
        <f t="shared" si="5140"/>
        <v>BREMERTON</v>
      </c>
      <c r="E13851" t="str">
        <f t="shared" si="5141"/>
        <v>WA</v>
      </c>
      <c r="F13851" t="str">
        <f>T("983146001")</f>
        <v>983146001</v>
      </c>
      <c r="G13851" t="str">
        <f t="shared" si="5137"/>
        <v>1400 FARRAGUT AVE</v>
      </c>
      <c r="H13851" t="str">
        <f>T("BLDG 850-2 C/1142")</f>
        <v>BLDG 850-2 C/1142</v>
      </c>
      <c r="I13851" t="str">
        <f t="shared" si="5142"/>
        <v>BREMERTON</v>
      </c>
      <c r="J13851" t="str">
        <f t="shared" si="5143"/>
        <v>WA</v>
      </c>
      <c r="K13851" t="str">
        <f>T("000000000000000000")</f>
        <v>000000000000000000</v>
      </c>
      <c r="L13851" t="str">
        <f>T("3604762767")</f>
        <v>3604762767</v>
      </c>
    </row>
    <row r="13852" spans="1:12" x14ac:dyDescent="0.35">
      <c r="A13852" t="str">
        <f t="shared" si="5138"/>
        <v>PSNS &amp; IMF</v>
      </c>
      <c r="B13852" t="str">
        <f t="shared" si="5139"/>
        <v>1400 FARRAGUT AVE</v>
      </c>
      <c r="C13852" t="str">
        <f>T("BLDG 850-2 C/1142")</f>
        <v>BLDG 850-2 C/1142</v>
      </c>
      <c r="D13852" t="str">
        <f t="shared" si="5140"/>
        <v>BREMERTON</v>
      </c>
      <c r="E13852" t="str">
        <f t="shared" si="5141"/>
        <v>WA</v>
      </c>
      <c r="F13852" t="str">
        <f>T("983146001")</f>
        <v>983146001</v>
      </c>
      <c r="G13852" t="str">
        <f t="shared" si="5137"/>
        <v>1400 FARRAGUT AVE</v>
      </c>
      <c r="H13852" t="str">
        <f>T("BLDG 850-2 C/1142")</f>
        <v>BLDG 850-2 C/1142</v>
      </c>
      <c r="I13852" t="str">
        <f t="shared" si="5142"/>
        <v>BREMERTON</v>
      </c>
      <c r="J13852" t="str">
        <f t="shared" si="5143"/>
        <v>WA</v>
      </c>
      <c r="K13852" t="str">
        <f>T("3604761730")</f>
        <v>3604761730</v>
      </c>
      <c r="L13852" t="str">
        <f>T("3607109520")</f>
        <v>3607109520</v>
      </c>
    </row>
    <row r="13853" spans="1:12" x14ac:dyDescent="0.35">
      <c r="A13853" t="str">
        <f t="shared" si="5138"/>
        <v>PSNS &amp; IMF</v>
      </c>
      <c r="B13853" t="str">
        <f t="shared" si="5139"/>
        <v>1400 FARRAGUT AVE</v>
      </c>
      <c r="C13853" t="str">
        <f>T("BLDG 850-3 C/700")</f>
        <v>BLDG 850-3 C/700</v>
      </c>
      <c r="D13853" t="str">
        <f t="shared" si="5140"/>
        <v>BREMERTON</v>
      </c>
      <c r="E13853" t="str">
        <f t="shared" si="5141"/>
        <v>WA</v>
      </c>
      <c r="F13853" t="str">
        <f t="shared" ref="F13853:F13863" si="5146">T("983140001")</f>
        <v>983140001</v>
      </c>
      <c r="G13853" t="str">
        <f t="shared" si="5137"/>
        <v>1400 FARRAGUT AVE</v>
      </c>
      <c r="H13853" t="str">
        <f>T("BLDG 448 C/760")</f>
        <v>BLDG 448 C/760</v>
      </c>
      <c r="I13853" t="str">
        <f t="shared" si="5142"/>
        <v>BREMERTON</v>
      </c>
      <c r="J13853" t="str">
        <f t="shared" si="5143"/>
        <v>WA</v>
      </c>
      <c r="K13853" t="str">
        <f>T("000000000000000000")</f>
        <v>000000000000000000</v>
      </c>
      <c r="L13853" t="str">
        <f>T("3604765135")</f>
        <v>3604765135</v>
      </c>
    </row>
    <row r="13854" spans="1:12" x14ac:dyDescent="0.35">
      <c r="A13854" t="str">
        <f t="shared" si="5138"/>
        <v>PSNS &amp; IMF</v>
      </c>
      <c r="B13854" t="str">
        <f t="shared" si="5139"/>
        <v>1400 FARRAGUT AVE</v>
      </c>
      <c r="C13854" t="str">
        <f>T("BLDG 850-3 C/700")</f>
        <v>BLDG 850-3 C/700</v>
      </c>
      <c r="D13854" t="str">
        <f t="shared" si="5140"/>
        <v>BREMERTON</v>
      </c>
      <c r="E13854" t="str">
        <f t="shared" si="5141"/>
        <v>WA</v>
      </c>
      <c r="F13854" t="str">
        <f t="shared" si="5146"/>
        <v>983140001</v>
      </c>
      <c r="G13854" t="str">
        <f t="shared" si="5137"/>
        <v>1400 FARRAGUT AVE</v>
      </c>
      <c r="H13854" t="str">
        <f>T("BLDG 455 C/730 1")</f>
        <v>BLDG 455 C/730 1</v>
      </c>
      <c r="I13854" t="str">
        <f t="shared" si="5142"/>
        <v>BREMERTON</v>
      </c>
      <c r="J13854" t="str">
        <f t="shared" si="5143"/>
        <v>WA</v>
      </c>
      <c r="K13854" t="str">
        <f>T("000000000000000000")</f>
        <v>000000000000000000</v>
      </c>
      <c r="L13854" t="str">
        <f>T("3604762416")</f>
        <v>3604762416</v>
      </c>
    </row>
    <row r="13855" spans="1:12" x14ac:dyDescent="0.35">
      <c r="A13855" t="str">
        <f t="shared" si="5138"/>
        <v>PSNS &amp; IMF</v>
      </c>
      <c r="B13855" t="str">
        <f t="shared" si="5139"/>
        <v>1400 FARRAGUT AVE</v>
      </c>
      <c r="C13855" t="str">
        <f>T("BLDG 850-3 C/700")</f>
        <v>BLDG 850-3 C/700</v>
      </c>
      <c r="D13855" t="str">
        <f t="shared" si="5140"/>
        <v>BREMERTON</v>
      </c>
      <c r="E13855" t="str">
        <f t="shared" si="5141"/>
        <v>WA</v>
      </c>
      <c r="F13855" t="str">
        <f t="shared" si="5146"/>
        <v>983140001</v>
      </c>
      <c r="G13855" t="str">
        <f t="shared" si="5137"/>
        <v>1400 FARRAGUT AVE</v>
      </c>
      <c r="H13855" t="str">
        <f>T("BLDG 455 RM 119")</f>
        <v>BLDG 455 RM 119</v>
      </c>
      <c r="I13855" t="str">
        <f t="shared" si="5142"/>
        <v>BREMERTON</v>
      </c>
      <c r="J13855" t="str">
        <f t="shared" si="5143"/>
        <v>WA</v>
      </c>
      <c r="K13855" t="str">
        <f>T("3604760900")</f>
        <v>3604760900</v>
      </c>
      <c r="L13855" t="str">
        <f>T("3604760151")</f>
        <v>3604760151</v>
      </c>
    </row>
    <row r="13856" spans="1:12" x14ac:dyDescent="0.35">
      <c r="A13856" t="str">
        <f t="shared" si="5138"/>
        <v>PSNS &amp; IMF</v>
      </c>
      <c r="B13856" t="str">
        <f t="shared" si="5139"/>
        <v>1400 FARRAGUT AVE</v>
      </c>
      <c r="C13856" t="str">
        <f>T("BLDG 850-3 C/700")</f>
        <v>BLDG 850-3 C/700</v>
      </c>
      <c r="D13856" t="str">
        <f t="shared" si="5140"/>
        <v>BREMERTON</v>
      </c>
      <c r="E13856" t="str">
        <f t="shared" si="5141"/>
        <v>WA</v>
      </c>
      <c r="F13856" t="str">
        <f t="shared" si="5146"/>
        <v>983140001</v>
      </c>
      <c r="G13856" t="str">
        <f t="shared" si="5137"/>
        <v>1400 FARRAGUT AVE</v>
      </c>
      <c r="H13856" t="str">
        <f>T("BLDG 850-3 C/700")</f>
        <v>BLDG 850-3 C/700</v>
      </c>
      <c r="I13856" t="str">
        <f t="shared" si="5142"/>
        <v>BREMERTON</v>
      </c>
      <c r="J13856" t="str">
        <f t="shared" si="5143"/>
        <v>WA</v>
      </c>
      <c r="K13856" t="str">
        <f>T("3604760395")</f>
        <v>3604760395</v>
      </c>
      <c r="L13856" t="str">
        <f>T("3604769864")</f>
        <v>3604769864</v>
      </c>
    </row>
    <row r="13857" spans="1:12" x14ac:dyDescent="0.35">
      <c r="A13857" t="str">
        <f t="shared" si="5138"/>
        <v>PSNS &amp; IMF</v>
      </c>
      <c r="B13857" t="str">
        <f t="shared" si="5139"/>
        <v>1400 FARRAGUT AVE</v>
      </c>
      <c r="C13857" t="str">
        <f>T("BLDG 850-5 C/1102")</f>
        <v>BLDG 850-5 C/1102</v>
      </c>
      <c r="D13857" t="str">
        <f t="shared" si="5140"/>
        <v>BREMERTON</v>
      </c>
      <c r="E13857" t="str">
        <f t="shared" si="5141"/>
        <v>WA</v>
      </c>
      <c r="F13857" t="str">
        <f t="shared" si="5146"/>
        <v>983140001</v>
      </c>
      <c r="G13857" t="str">
        <f t="shared" si="5137"/>
        <v>1400 FARRAGUT AVE</v>
      </c>
      <c r="H13857" t="str">
        <f>T("BLDG 435-3 C/1104 4")</f>
        <v>BLDG 435-3 C/1104 4</v>
      </c>
      <c r="I13857" t="str">
        <f t="shared" si="5142"/>
        <v>BREMERTON</v>
      </c>
      <c r="J13857" t="str">
        <f t="shared" si="5143"/>
        <v>WA</v>
      </c>
      <c r="K13857" t="str">
        <f>T("000000000000000000")</f>
        <v>000000000000000000</v>
      </c>
      <c r="L13857" t="str">
        <f>T("3604762635")</f>
        <v>3604762635</v>
      </c>
    </row>
    <row r="13858" spans="1:12" x14ac:dyDescent="0.35">
      <c r="A13858" t="str">
        <f t="shared" si="5138"/>
        <v>PSNS &amp; IMF</v>
      </c>
      <c r="B13858" t="str">
        <f t="shared" si="5139"/>
        <v>1400 FARRAGUT AVE</v>
      </c>
      <c r="C13858" t="str">
        <f>T("BLDG 850-5 C/1102")</f>
        <v>BLDG 850-5 C/1102</v>
      </c>
      <c r="D13858" t="str">
        <f t="shared" si="5140"/>
        <v>BREMERTON</v>
      </c>
      <c r="E13858" t="str">
        <f t="shared" si="5141"/>
        <v>WA</v>
      </c>
      <c r="F13858" t="str">
        <f t="shared" si="5146"/>
        <v>983140001</v>
      </c>
      <c r="G13858" t="str">
        <f t="shared" si="5137"/>
        <v>1400 FARRAGUT AVE</v>
      </c>
      <c r="H13858" t="str">
        <f>T("BLDG 850-5 C/1102")</f>
        <v>BLDG 850-5 C/1102</v>
      </c>
      <c r="I13858" t="str">
        <f t="shared" si="5142"/>
        <v>BREMERTON</v>
      </c>
      <c r="J13858" t="str">
        <f t="shared" si="5143"/>
        <v>WA</v>
      </c>
      <c r="K13858" t="str">
        <f>T("000000000000000000")</f>
        <v>000000000000000000</v>
      </c>
      <c r="L13858" t="str">
        <f>T("3604760192")</f>
        <v>3604760192</v>
      </c>
    </row>
    <row r="13859" spans="1:12" x14ac:dyDescent="0.35">
      <c r="A13859" t="str">
        <f t="shared" si="5138"/>
        <v>PSNS &amp; IMF</v>
      </c>
      <c r="B13859" t="str">
        <f t="shared" si="5139"/>
        <v>1400 FARRAGUT AVE</v>
      </c>
      <c r="C13859" t="str">
        <f>T("BLDG 850-5 C/1102")</f>
        <v>BLDG 850-5 C/1102</v>
      </c>
      <c r="D13859" t="str">
        <f t="shared" si="5140"/>
        <v>BREMERTON</v>
      </c>
      <c r="E13859" t="str">
        <f t="shared" si="5141"/>
        <v>WA</v>
      </c>
      <c r="F13859" t="str">
        <f t="shared" si="5146"/>
        <v>983140001</v>
      </c>
      <c r="G13859" t="str">
        <f t="shared" si="5137"/>
        <v>1400 FARRAGUT AVE</v>
      </c>
      <c r="H13859" t="str">
        <f>T("BLDG 850-5 C/1102")</f>
        <v>BLDG 850-5 C/1102</v>
      </c>
      <c r="I13859" t="str">
        <f t="shared" si="5142"/>
        <v>BREMERTON</v>
      </c>
      <c r="J13859" t="str">
        <f t="shared" si="5143"/>
        <v>WA</v>
      </c>
      <c r="K13859" t="str">
        <f>T("3604760668")</f>
        <v>3604760668</v>
      </c>
      <c r="L13859" t="str">
        <f>T("3604764946")</f>
        <v>3604764946</v>
      </c>
    </row>
    <row r="13860" spans="1:12" x14ac:dyDescent="0.35">
      <c r="A13860" t="str">
        <f t="shared" si="5138"/>
        <v>PSNS &amp; IMF</v>
      </c>
      <c r="B13860" t="str">
        <f t="shared" si="5139"/>
        <v>1400 FARRAGUT AVE</v>
      </c>
      <c r="C13860" t="str">
        <f>T("BLDG 850-5 C/1102")</f>
        <v>BLDG 850-5 C/1102</v>
      </c>
      <c r="D13860" t="str">
        <f t="shared" si="5140"/>
        <v>BREMERTON</v>
      </c>
      <c r="E13860" t="str">
        <f t="shared" si="5141"/>
        <v>WA</v>
      </c>
      <c r="F13860" t="str">
        <f t="shared" si="5146"/>
        <v>983140001</v>
      </c>
      <c r="G13860" t="str">
        <f t="shared" si="5137"/>
        <v>1400 FARRAGUT AVE</v>
      </c>
      <c r="H13860" t="str">
        <f>T("C/1102 BLDG-850")</f>
        <v>C/1102 BLDG-850</v>
      </c>
      <c r="I13860" t="str">
        <f t="shared" si="5142"/>
        <v>BREMERTON</v>
      </c>
      <c r="J13860" t="str">
        <f t="shared" si="5143"/>
        <v>WA</v>
      </c>
      <c r="K13860" t="str">
        <f>T("000000000000000000")</f>
        <v>000000000000000000</v>
      </c>
      <c r="L13860" t="str">
        <f>T("3604760483")</f>
        <v>3604760483</v>
      </c>
    </row>
    <row r="13861" spans="1:12" x14ac:dyDescent="0.35">
      <c r="A13861" t="str">
        <f t="shared" si="5138"/>
        <v>PSNS &amp; IMF</v>
      </c>
      <c r="B13861" t="str">
        <f t="shared" si="5139"/>
        <v>1400 FARRAGUT AVE</v>
      </c>
      <c r="C13861" t="str">
        <f t="shared" ref="C13861:C13870" si="5147">T("BLDG 850A-2 C/610 23")</f>
        <v>BLDG 850A-2 C/610 23</v>
      </c>
      <c r="D13861" t="str">
        <f t="shared" si="5140"/>
        <v>BREMERTON</v>
      </c>
      <c r="E13861" t="str">
        <f t="shared" si="5141"/>
        <v>WA</v>
      </c>
      <c r="F13861" t="str">
        <f t="shared" si="5146"/>
        <v>983140001</v>
      </c>
      <c r="G13861" t="str">
        <f t="shared" si="5137"/>
        <v>1400 FARRAGUT AVE</v>
      </c>
      <c r="H13861" t="str">
        <f>T("BLDG 850A-2 C/610 23")</f>
        <v>BLDG 850A-2 C/610 23</v>
      </c>
      <c r="I13861" t="str">
        <f t="shared" si="5142"/>
        <v>BREMERTON</v>
      </c>
      <c r="J13861" t="str">
        <f t="shared" si="5143"/>
        <v>WA</v>
      </c>
      <c r="K13861" t="str">
        <f>T("000000000000000000")</f>
        <v>000000000000000000</v>
      </c>
      <c r="L13861" t="str">
        <f>T("3604767477")</f>
        <v>3604767477</v>
      </c>
    </row>
    <row r="13862" spans="1:12" x14ac:dyDescent="0.35">
      <c r="A13862" t="str">
        <f t="shared" si="5138"/>
        <v>PSNS &amp; IMF</v>
      </c>
      <c r="B13862" t="str">
        <f t="shared" si="5139"/>
        <v>1400 FARRAGUT AVE</v>
      </c>
      <c r="C13862" t="str">
        <f t="shared" si="5147"/>
        <v>BLDG 850A-2 C/610 23</v>
      </c>
      <c r="D13862" t="str">
        <f t="shared" si="5140"/>
        <v>BREMERTON</v>
      </c>
      <c r="E13862" t="str">
        <f t="shared" si="5141"/>
        <v>WA</v>
      </c>
      <c r="F13862" t="str">
        <f t="shared" si="5146"/>
        <v>983140001</v>
      </c>
      <c r="G13862" t="str">
        <f t="shared" si="5137"/>
        <v>1400 FARRAGUT AVE</v>
      </c>
      <c r="H13862" t="str">
        <f>T("BLDG 850A-2 C/610 23")</f>
        <v>BLDG 850A-2 C/610 23</v>
      </c>
      <c r="I13862" t="str">
        <f t="shared" si="5142"/>
        <v>BREMERTON</v>
      </c>
      <c r="J13862" t="str">
        <f t="shared" si="5143"/>
        <v>WA</v>
      </c>
      <c r="K13862" t="str">
        <f>T("3604768553")</f>
        <v>3604768553</v>
      </c>
      <c r="L13862" t="str">
        <f>T("3604767571")</f>
        <v>3604767571</v>
      </c>
    </row>
    <row r="13863" spans="1:12" x14ac:dyDescent="0.35">
      <c r="A13863" t="str">
        <f t="shared" si="5138"/>
        <v>PSNS &amp; IMF</v>
      </c>
      <c r="B13863" t="str">
        <f t="shared" si="5139"/>
        <v>1400 FARRAGUT AVE</v>
      </c>
      <c r="C13863" t="str">
        <f t="shared" si="5147"/>
        <v>BLDG 850A-2 C/610 23</v>
      </c>
      <c r="D13863" t="str">
        <f t="shared" si="5140"/>
        <v>BREMERTON</v>
      </c>
      <c r="E13863" t="str">
        <f t="shared" si="5141"/>
        <v>WA</v>
      </c>
      <c r="F13863" t="str">
        <f t="shared" si="5146"/>
        <v>983140001</v>
      </c>
      <c r="G13863" t="str">
        <f t="shared" si="5137"/>
        <v>1400 FARRAGUT AVE</v>
      </c>
      <c r="H13863" t="str">
        <f>T("BLDG 850A-2 C/610 23")</f>
        <v>BLDG 850A-2 C/610 23</v>
      </c>
      <c r="I13863" t="str">
        <f t="shared" si="5142"/>
        <v>BREMERTON</v>
      </c>
      <c r="J13863" t="str">
        <f t="shared" si="5143"/>
        <v>WA</v>
      </c>
      <c r="K13863" t="str">
        <f>T("3604768553")</f>
        <v>3604768553</v>
      </c>
      <c r="L13863" t="str">
        <f>T("3604768217")</f>
        <v>3604768217</v>
      </c>
    </row>
    <row r="13864" spans="1:12" x14ac:dyDescent="0.35">
      <c r="A13864" t="str">
        <f t="shared" si="5138"/>
        <v>PSNS &amp; IMF</v>
      </c>
      <c r="B13864" t="str">
        <f t="shared" si="5139"/>
        <v>1400 FARRAGUT AVE</v>
      </c>
      <c r="C13864" t="str">
        <f t="shared" si="5147"/>
        <v>BLDG 850A-2 C/610 23</v>
      </c>
      <c r="D13864" t="str">
        <f t="shared" si="5140"/>
        <v>BREMERTON</v>
      </c>
      <c r="E13864" t="str">
        <f t="shared" si="5141"/>
        <v>WA</v>
      </c>
      <c r="F13864" t="str">
        <f t="shared" ref="F13864:F13870" si="5148">T("983146001")</f>
        <v>983146001</v>
      </c>
      <c r="G13864" t="str">
        <f t="shared" si="5137"/>
        <v>1400 FARRAGUT AVE</v>
      </c>
      <c r="H13864" t="str">
        <f>T("BLDG 850-2 C/610 23")</f>
        <v>BLDG 850-2 C/610 23</v>
      </c>
      <c r="I13864" t="str">
        <f t="shared" si="5142"/>
        <v>BREMERTON</v>
      </c>
      <c r="J13864" t="str">
        <f t="shared" si="5143"/>
        <v>WA</v>
      </c>
      <c r="K13864" t="str">
        <f>T("3604768553")</f>
        <v>3604768553</v>
      </c>
      <c r="L13864" t="str">
        <f>T("3604760625")</f>
        <v>3604760625</v>
      </c>
    </row>
    <row r="13865" spans="1:12" x14ac:dyDescent="0.35">
      <c r="A13865" t="str">
        <f t="shared" si="5138"/>
        <v>PSNS &amp; IMF</v>
      </c>
      <c r="B13865" t="str">
        <f t="shared" si="5139"/>
        <v>1400 FARRAGUT AVE</v>
      </c>
      <c r="C13865" t="str">
        <f t="shared" si="5147"/>
        <v>BLDG 850A-2 C/610 23</v>
      </c>
      <c r="D13865" t="str">
        <f t="shared" si="5140"/>
        <v>BREMERTON</v>
      </c>
      <c r="E13865" t="str">
        <f t="shared" si="5141"/>
        <v>WA</v>
      </c>
      <c r="F13865" t="str">
        <f t="shared" si="5148"/>
        <v>983146001</v>
      </c>
      <c r="G13865" t="str">
        <f t="shared" si="5137"/>
        <v>1400 FARRAGUT AVE</v>
      </c>
      <c r="H13865" t="str">
        <f>T("BLDG 850A-2 C/610 2")</f>
        <v>BLDG 850A-2 C/610 2</v>
      </c>
      <c r="I13865" t="str">
        <f t="shared" si="5142"/>
        <v>BREMERTON</v>
      </c>
      <c r="J13865" t="str">
        <f t="shared" si="5143"/>
        <v>WA</v>
      </c>
      <c r="K13865" t="str">
        <f>T("000000000000000000")</f>
        <v>000000000000000000</v>
      </c>
      <c r="L13865" t="str">
        <f>T("3604767574")</f>
        <v>3604767574</v>
      </c>
    </row>
    <row r="13866" spans="1:12" x14ac:dyDescent="0.35">
      <c r="A13866" t="str">
        <f t="shared" si="5138"/>
        <v>PSNS &amp; IMF</v>
      </c>
      <c r="B13866" t="str">
        <f t="shared" si="5139"/>
        <v>1400 FARRAGUT AVE</v>
      </c>
      <c r="C13866" t="str">
        <f t="shared" si="5147"/>
        <v>BLDG 850A-2 C/610 23</v>
      </c>
      <c r="D13866" t="str">
        <f t="shared" si="5140"/>
        <v>BREMERTON</v>
      </c>
      <c r="E13866" t="str">
        <f t="shared" si="5141"/>
        <v>WA</v>
      </c>
      <c r="F13866" t="str">
        <f t="shared" si="5148"/>
        <v>983146001</v>
      </c>
      <c r="G13866" t="str">
        <f t="shared" si="5137"/>
        <v>1400 FARRAGUT AVE</v>
      </c>
      <c r="H13866" t="str">
        <f>T("BLDG 850A-2 C/610 23")</f>
        <v>BLDG 850A-2 C/610 23</v>
      </c>
      <c r="I13866" t="str">
        <f t="shared" si="5142"/>
        <v>BREMERTON</v>
      </c>
      <c r="J13866" t="str">
        <f t="shared" si="5143"/>
        <v>WA</v>
      </c>
      <c r="K13866" t="str">
        <f>T("000000000000000000")</f>
        <v>000000000000000000</v>
      </c>
      <c r="L13866" t="str">
        <f>T("3604767447")</f>
        <v>3604767447</v>
      </c>
    </row>
    <row r="13867" spans="1:12" x14ac:dyDescent="0.35">
      <c r="A13867" t="str">
        <f t="shared" si="5138"/>
        <v>PSNS &amp; IMF</v>
      </c>
      <c r="B13867" t="str">
        <f t="shared" si="5139"/>
        <v>1400 FARRAGUT AVE</v>
      </c>
      <c r="C13867" t="str">
        <f t="shared" si="5147"/>
        <v>BLDG 850A-2 C/610 23</v>
      </c>
      <c r="D13867" t="str">
        <f t="shared" si="5140"/>
        <v>BREMERTON</v>
      </c>
      <c r="E13867" t="str">
        <f t="shared" si="5141"/>
        <v>WA</v>
      </c>
      <c r="F13867" t="str">
        <f t="shared" si="5148"/>
        <v>983146001</v>
      </c>
      <c r="G13867" t="str">
        <f t="shared" si="5137"/>
        <v>1400 FARRAGUT AVE</v>
      </c>
      <c r="H13867" t="str">
        <f>T("BLDG 850A-2 C/610 23")</f>
        <v>BLDG 850A-2 C/610 23</v>
      </c>
      <c r="I13867" t="str">
        <f t="shared" si="5142"/>
        <v>BREMERTON</v>
      </c>
      <c r="J13867" t="str">
        <f t="shared" si="5143"/>
        <v>WA</v>
      </c>
      <c r="K13867" t="str">
        <f>T("3604768553")</f>
        <v>3604768553</v>
      </c>
      <c r="L13867" t="str">
        <f>T("3604767571")</f>
        <v>3604767571</v>
      </c>
    </row>
    <row r="13868" spans="1:12" x14ac:dyDescent="0.35">
      <c r="A13868" t="str">
        <f t="shared" si="5138"/>
        <v>PSNS &amp; IMF</v>
      </c>
      <c r="B13868" t="str">
        <f t="shared" si="5139"/>
        <v>1400 FARRAGUT AVE</v>
      </c>
      <c r="C13868" t="str">
        <f t="shared" si="5147"/>
        <v>BLDG 850A-2 C/610 23</v>
      </c>
      <c r="D13868" t="str">
        <f t="shared" si="5140"/>
        <v>BREMERTON</v>
      </c>
      <c r="E13868" t="str">
        <f t="shared" si="5141"/>
        <v>WA</v>
      </c>
      <c r="F13868" t="str">
        <f t="shared" si="5148"/>
        <v>983146001</v>
      </c>
      <c r="G13868" t="str">
        <f t="shared" si="5137"/>
        <v>1400 FARRAGUT AVE</v>
      </c>
      <c r="H13868" t="str">
        <f>T("C/610 23 BLDG 850A-2")</f>
        <v>C/610 23 BLDG 850A-2</v>
      </c>
      <c r="I13868" t="str">
        <f t="shared" si="5142"/>
        <v>BREMERTON</v>
      </c>
      <c r="J13868" t="str">
        <f t="shared" si="5143"/>
        <v>WA</v>
      </c>
      <c r="K13868" t="str">
        <f>T("000000000000000000")</f>
        <v>000000000000000000</v>
      </c>
      <c r="L13868" t="str">
        <f>T("3604762968")</f>
        <v>3604762968</v>
      </c>
    </row>
    <row r="13869" spans="1:12" x14ac:dyDescent="0.35">
      <c r="A13869" t="str">
        <f t="shared" ref="A13869:A13885" si="5149">T("PSNS &amp; IMF")</f>
        <v>PSNS &amp; IMF</v>
      </c>
      <c r="B13869" t="str">
        <f t="shared" ref="B13869:B13876" si="5150">T("1400 FARRAGUT AVE")</f>
        <v>1400 FARRAGUT AVE</v>
      </c>
      <c r="C13869" t="str">
        <f t="shared" si="5147"/>
        <v>BLDG 850A-2 C/610 23</v>
      </c>
      <c r="D13869" t="str">
        <f t="shared" ref="D13869:D13881" si="5151">T("BREMERTON")</f>
        <v>BREMERTON</v>
      </c>
      <c r="E13869" t="str">
        <f t="shared" ref="E13869:E13885" si="5152">T("WA")</f>
        <v>WA</v>
      </c>
      <c r="F13869" t="str">
        <f t="shared" si="5148"/>
        <v>983146001</v>
      </c>
      <c r="G13869" t="str">
        <f>T("4200 FARRAGUT AVE")</f>
        <v>4200 FARRAGUT AVE</v>
      </c>
      <c r="H13869" t="str">
        <f>T("BLDG 850A-2 C/610 23")</f>
        <v>BLDG 850A-2 C/610 23</v>
      </c>
      <c r="I13869" t="str">
        <f t="shared" si="5142"/>
        <v>BREMERTON</v>
      </c>
      <c r="J13869" t="str">
        <f t="shared" ref="J13869:J13885" si="5153">T("WA")</f>
        <v>WA</v>
      </c>
      <c r="K13869" t="str">
        <f>T("3604768553")</f>
        <v>3604768553</v>
      </c>
      <c r="L13869" t="str">
        <f>T("3604768217")</f>
        <v>3604768217</v>
      </c>
    </row>
    <row r="13870" spans="1:12" x14ac:dyDescent="0.35">
      <c r="A13870" t="str">
        <f t="shared" si="5149"/>
        <v>PSNS &amp; IMF</v>
      </c>
      <c r="B13870" t="str">
        <f t="shared" si="5150"/>
        <v>1400 FARRAGUT AVE</v>
      </c>
      <c r="C13870" t="str">
        <f t="shared" si="5147"/>
        <v>BLDG 850A-2 C/610 23</v>
      </c>
      <c r="D13870" t="str">
        <f t="shared" si="5151"/>
        <v>BREMERTON</v>
      </c>
      <c r="E13870" t="str">
        <f t="shared" si="5152"/>
        <v>WA</v>
      </c>
      <c r="F13870" t="str">
        <f t="shared" si="5148"/>
        <v>983146001</v>
      </c>
      <c r="G13870" t="str">
        <f>T("7000 FINBACK CIRCLE")</f>
        <v>7000 FINBACK CIRCLE</v>
      </c>
      <c r="H13870" t="str">
        <f>T("BLDG 7000 C/610 3")</f>
        <v>BLDG 7000 C/610 3</v>
      </c>
      <c r="I13870" t="str">
        <f>T("SILVERDALE")</f>
        <v>SILVERDALE</v>
      </c>
      <c r="J13870" t="str">
        <f t="shared" si="5153"/>
        <v>WA</v>
      </c>
      <c r="K13870" t="str">
        <f>T("000000000000000000")</f>
        <v>000000000000000000</v>
      </c>
      <c r="L13870" t="str">
        <f>T("3603151170")</f>
        <v>3603151170</v>
      </c>
    </row>
    <row r="13871" spans="1:12" x14ac:dyDescent="0.35">
      <c r="A13871" t="str">
        <f t="shared" si="5149"/>
        <v>PSNS &amp; IMF</v>
      </c>
      <c r="B13871" t="str">
        <f t="shared" si="5150"/>
        <v>1400 FARRAGUT AVE</v>
      </c>
      <c r="C13871" t="str">
        <f>T("C/1102 BLDG 850-5")</f>
        <v>C/1102 BLDG 850-5</v>
      </c>
      <c r="D13871" t="str">
        <f t="shared" si="5151"/>
        <v>BREMERTON</v>
      </c>
      <c r="E13871" t="str">
        <f t="shared" si="5152"/>
        <v>WA</v>
      </c>
      <c r="F13871" t="str">
        <f>T("983140001")</f>
        <v>983140001</v>
      </c>
      <c r="G13871" t="str">
        <f>T("1400 FARRAGUT AVE")</f>
        <v>1400 FARRAGUT AVE</v>
      </c>
      <c r="H13871" t="str">
        <f>T("C/1102 BLDG 850-5")</f>
        <v>C/1102 BLDG 850-5</v>
      </c>
      <c r="I13871" t="str">
        <f t="shared" ref="I13871:I13881" si="5154">T("BREMERTON")</f>
        <v>BREMERTON</v>
      </c>
      <c r="J13871" t="str">
        <f t="shared" si="5153"/>
        <v>WA</v>
      </c>
      <c r="K13871" t="str">
        <f>T("000000000000000000")</f>
        <v>000000000000000000</v>
      </c>
      <c r="L13871" t="str">
        <f>T("3604764946")</f>
        <v>3604764946</v>
      </c>
    </row>
    <row r="13872" spans="1:12" x14ac:dyDescent="0.35">
      <c r="A13872" t="str">
        <f t="shared" si="5149"/>
        <v>PSNS &amp; IMF</v>
      </c>
      <c r="B13872" t="str">
        <f t="shared" si="5150"/>
        <v>1400 FARRAGUT AVE</v>
      </c>
      <c r="C13872" t="str">
        <f>T("C/2305 21 BLDG 467-2")</f>
        <v>C/2305 21 BLDG 467-2</v>
      </c>
      <c r="D13872" t="str">
        <f t="shared" si="5151"/>
        <v>BREMERTON</v>
      </c>
      <c r="E13872" t="str">
        <f t="shared" si="5152"/>
        <v>WA</v>
      </c>
      <c r="F13872" t="str">
        <f>T("983146001")</f>
        <v>983146001</v>
      </c>
      <c r="G13872" t="str">
        <f>T("1400 FARRAGUT AVE")</f>
        <v>1400 FARRAGUT AVE</v>
      </c>
      <c r="H13872" t="str">
        <f>T("BLDG 467-2 C/2305")</f>
        <v>BLDG 467-2 C/2305</v>
      </c>
      <c r="I13872" t="str">
        <f t="shared" si="5154"/>
        <v>BREMERTON</v>
      </c>
      <c r="J13872" t="str">
        <f t="shared" si="5153"/>
        <v>WA</v>
      </c>
      <c r="K13872" t="str">
        <f>T("3604763257")</f>
        <v>3604763257</v>
      </c>
      <c r="L13872" t="str">
        <f>T("3604763891")</f>
        <v>3604763891</v>
      </c>
    </row>
    <row r="13873" spans="1:12" x14ac:dyDescent="0.35">
      <c r="A13873" t="str">
        <f t="shared" si="5149"/>
        <v>PSNS &amp; IMF</v>
      </c>
      <c r="B13873" t="str">
        <f t="shared" si="5150"/>
        <v>1400 FARRAGUT AVE</v>
      </c>
      <c r="C13873" t="str">
        <f>T("C/2305 21 BLDG 467-2")</f>
        <v>C/2305 21 BLDG 467-2</v>
      </c>
      <c r="D13873" t="str">
        <f t="shared" si="5151"/>
        <v>BREMERTON</v>
      </c>
      <c r="E13873" t="str">
        <f t="shared" si="5152"/>
        <v>WA</v>
      </c>
      <c r="F13873" t="str">
        <f>T("983146001")</f>
        <v>983146001</v>
      </c>
      <c r="G13873" t="str">
        <f>T("1400 FARRAGUT AVE")</f>
        <v>1400 FARRAGUT AVE</v>
      </c>
      <c r="H13873" t="str">
        <f>T("BLDG 467-2 C/2305 62")</f>
        <v>BLDG 467-2 C/2305 62</v>
      </c>
      <c r="I13873" t="str">
        <f t="shared" si="5154"/>
        <v>BREMERTON</v>
      </c>
      <c r="J13873" t="str">
        <f t="shared" si="5153"/>
        <v>WA</v>
      </c>
      <c r="K13873" t="str">
        <f>T("000000000000000000")</f>
        <v>000000000000000000</v>
      </c>
      <c r="L13873" t="str">
        <f>T("3604762148")</f>
        <v>3604762148</v>
      </c>
    </row>
    <row r="13874" spans="1:12" x14ac:dyDescent="0.35">
      <c r="A13874" t="str">
        <f t="shared" si="5149"/>
        <v>PSNS &amp; IMF</v>
      </c>
      <c r="B13874" t="str">
        <f t="shared" si="5150"/>
        <v>1400 FARRAGUT AVE</v>
      </c>
      <c r="C13874" t="str">
        <f>T("C/2305 21 BLDG 467-2")</f>
        <v>C/2305 21 BLDG 467-2</v>
      </c>
      <c r="D13874" t="str">
        <f t="shared" si="5151"/>
        <v>BREMERTON</v>
      </c>
      <c r="E13874" t="str">
        <f t="shared" si="5152"/>
        <v>WA</v>
      </c>
      <c r="F13874" t="str">
        <f>T("983146001")</f>
        <v>983146001</v>
      </c>
      <c r="G13874" t="str">
        <f>T("1400 FARRAGUT AVE")</f>
        <v>1400 FARRAGUT AVE</v>
      </c>
      <c r="H13874" t="str">
        <f>T("C/2305 21 BLDG 467-2")</f>
        <v>C/2305 21 BLDG 467-2</v>
      </c>
      <c r="I13874" t="str">
        <f t="shared" si="5154"/>
        <v>BREMERTON</v>
      </c>
      <c r="J13874" t="str">
        <f t="shared" si="5153"/>
        <v>WA</v>
      </c>
      <c r="K13874" t="str">
        <f>T("")</f>
        <v/>
      </c>
      <c r="L13874" t="str">
        <f>T("3604764140")</f>
        <v>3604764140</v>
      </c>
    </row>
    <row r="13875" spans="1:12" x14ac:dyDescent="0.35">
      <c r="A13875" t="str">
        <f t="shared" si="5149"/>
        <v>PSNS &amp; IMF</v>
      </c>
      <c r="B13875" t="str">
        <f t="shared" si="5150"/>
        <v>1400 FARRAGUT AVE</v>
      </c>
      <c r="C13875" t="str">
        <f>T("C/2305 21 BLDG 467-2")</f>
        <v>C/2305 21 BLDG 467-2</v>
      </c>
      <c r="D13875" t="str">
        <f t="shared" si="5151"/>
        <v>BREMERTON</v>
      </c>
      <c r="E13875" t="str">
        <f t="shared" si="5152"/>
        <v>WA</v>
      </c>
      <c r="F13875" t="str">
        <f>T("983146001")</f>
        <v>983146001</v>
      </c>
      <c r="G13875" t="str">
        <f>T("1400 FARRAGUT AVENUE")</f>
        <v>1400 FARRAGUT AVENUE</v>
      </c>
      <c r="H13875" t="str">
        <f>T("BLDG 850A C/2305")</f>
        <v>BLDG 850A C/2305</v>
      </c>
      <c r="I13875" t="str">
        <f t="shared" si="5154"/>
        <v>BREMERTON</v>
      </c>
      <c r="J13875" t="str">
        <f t="shared" si="5153"/>
        <v>WA</v>
      </c>
      <c r="K13875" t="str">
        <f>T("000000000000000000")</f>
        <v>000000000000000000</v>
      </c>
      <c r="L13875" t="str">
        <f>T("3604763815")</f>
        <v>3604763815</v>
      </c>
    </row>
    <row r="13876" spans="1:12" x14ac:dyDescent="0.35">
      <c r="A13876" t="str">
        <f t="shared" si="5149"/>
        <v>PSNS &amp; IMF</v>
      </c>
      <c r="B13876" t="str">
        <f t="shared" si="5150"/>
        <v>1400 FARRAGUT AVE</v>
      </c>
      <c r="C13876" t="str">
        <f>T("C/2305 21 BLDG 467-2")</f>
        <v>C/2305 21 BLDG 467-2</v>
      </c>
      <c r="D13876" t="str">
        <f t="shared" si="5151"/>
        <v>BREMERTON</v>
      </c>
      <c r="E13876" t="str">
        <f t="shared" si="5152"/>
        <v>WA</v>
      </c>
      <c r="F13876" t="str">
        <f>T("983146001")</f>
        <v>983146001</v>
      </c>
      <c r="G13876" t="str">
        <f>T("4200 FARRAGUT AVE")</f>
        <v>4200 FARRAGUT AVE</v>
      </c>
      <c r="H13876" t="str">
        <f>T("BLDG 467-2 C/2305 62")</f>
        <v>BLDG 467-2 C/2305 62</v>
      </c>
      <c r="I13876" t="str">
        <f t="shared" si="5154"/>
        <v>BREMERTON</v>
      </c>
      <c r="J13876" t="str">
        <f t="shared" si="5153"/>
        <v>WA</v>
      </c>
      <c r="K13876" t="str">
        <f>T("3604763257")</f>
        <v>3604763257</v>
      </c>
      <c r="L13876" t="str">
        <f>T("3604763892")</f>
        <v>3604763892</v>
      </c>
    </row>
    <row r="13877" spans="1:12" x14ac:dyDescent="0.35">
      <c r="A13877" t="str">
        <f t="shared" si="5149"/>
        <v>PSNS &amp; IMF</v>
      </c>
      <c r="B13877" t="str">
        <f>T("1400 FARRAGUT AVENUE")</f>
        <v>1400 FARRAGUT AVENUE</v>
      </c>
      <c r="C13877" t="str">
        <f>T("BLDG 850A-1 C/1144")</f>
        <v>BLDG 850A-1 C/1144</v>
      </c>
      <c r="D13877" t="str">
        <f t="shared" si="5151"/>
        <v>BREMERTON</v>
      </c>
      <c r="E13877" t="str">
        <f t="shared" si="5152"/>
        <v>WA</v>
      </c>
      <c r="F13877" t="str">
        <f>T("983140001")</f>
        <v>983140001</v>
      </c>
      <c r="G13877" t="str">
        <f>T("1400 FARAGUT AVENUE")</f>
        <v>1400 FARAGUT AVENUE</v>
      </c>
      <c r="H13877" t="str">
        <f>T("BLDG 850A C/1144")</f>
        <v>BLDG 850A C/1144</v>
      </c>
      <c r="I13877" t="str">
        <f t="shared" si="5154"/>
        <v>BREMERTON</v>
      </c>
      <c r="J13877" t="str">
        <f t="shared" si="5153"/>
        <v>WA</v>
      </c>
      <c r="K13877" t="str">
        <f>T("000000000000000000")</f>
        <v>000000000000000000</v>
      </c>
      <c r="L13877" t="str">
        <f>T("3604762589")</f>
        <v>3604762589</v>
      </c>
    </row>
    <row r="13878" spans="1:12" x14ac:dyDescent="0.35">
      <c r="A13878" t="str">
        <f t="shared" si="5149"/>
        <v>PSNS &amp; IMF</v>
      </c>
      <c r="B13878" t="str">
        <f>T("1400 FARRAGUT AVENUE")</f>
        <v>1400 FARRAGUT AVENUE</v>
      </c>
      <c r="C13878" t="str">
        <f>T("BLDG 850A-1 C/1144")</f>
        <v>BLDG 850A-1 C/1144</v>
      </c>
      <c r="D13878" t="str">
        <f t="shared" si="5151"/>
        <v>BREMERTON</v>
      </c>
      <c r="E13878" t="str">
        <f t="shared" si="5152"/>
        <v>WA</v>
      </c>
      <c r="F13878" t="str">
        <f>T("983140001")</f>
        <v>983140001</v>
      </c>
      <c r="G13878" t="str">
        <f>T("1400 FARRAGUT AVENUE")</f>
        <v>1400 FARRAGUT AVENUE</v>
      </c>
      <c r="H13878" t="str">
        <f>T("BLDG 850A-1 C/1144")</f>
        <v>BLDG 850A-1 C/1144</v>
      </c>
      <c r="I13878" t="str">
        <f t="shared" si="5154"/>
        <v>BREMERTON</v>
      </c>
      <c r="J13878" t="str">
        <f t="shared" si="5153"/>
        <v>WA</v>
      </c>
      <c r="K13878" t="str">
        <f>T("3604765783")</f>
        <v>3604765783</v>
      </c>
      <c r="L13878" t="str">
        <f>T("3604762589")</f>
        <v>3604762589</v>
      </c>
    </row>
    <row r="13879" spans="1:12" x14ac:dyDescent="0.35">
      <c r="A13879" t="str">
        <f t="shared" si="5149"/>
        <v>PSNS &amp; IMF</v>
      </c>
      <c r="B13879" t="str">
        <f>T("1400 FARRAGUT AVENUE")</f>
        <v>1400 FARRAGUT AVENUE</v>
      </c>
      <c r="C13879" t="str">
        <f>T("BLDG 850A-5 C/109 32")</f>
        <v>BLDG 850A-5 C/109 32</v>
      </c>
      <c r="D13879" t="str">
        <f t="shared" si="5151"/>
        <v>BREMERTON</v>
      </c>
      <c r="E13879" t="str">
        <f t="shared" si="5152"/>
        <v>WA</v>
      </c>
      <c r="F13879" t="str">
        <f>T("983146001")</f>
        <v>983146001</v>
      </c>
      <c r="G13879" t="str">
        <f>T("1400 FARRAGUT AVE")</f>
        <v>1400 FARRAGUT AVE</v>
      </c>
      <c r="H13879" t="str">
        <f>T("BLDG 850A-5 C/109 32")</f>
        <v>BLDG 850A-5 C/109 32</v>
      </c>
      <c r="I13879" t="str">
        <f t="shared" si="5154"/>
        <v>BREMERTON</v>
      </c>
      <c r="J13879" t="str">
        <f t="shared" si="5153"/>
        <v>WA</v>
      </c>
      <c r="K13879" t="str">
        <f>T("000000000000000000")</f>
        <v>000000000000000000</v>
      </c>
      <c r="L13879" t="str">
        <f>T("3604763155")</f>
        <v>3604763155</v>
      </c>
    </row>
    <row r="13880" spans="1:12" x14ac:dyDescent="0.35">
      <c r="A13880" t="str">
        <f t="shared" si="5149"/>
        <v>PSNS &amp; IMF</v>
      </c>
      <c r="B13880" t="str">
        <f>T("1400 FARRAGUT AVENUE")</f>
        <v>1400 FARRAGUT AVENUE</v>
      </c>
      <c r="C13880" t="str">
        <f>T("BLDG 850A-5 C/109 32")</f>
        <v>BLDG 850A-5 C/109 32</v>
      </c>
      <c r="D13880" t="str">
        <f t="shared" si="5151"/>
        <v>BREMERTON</v>
      </c>
      <c r="E13880" t="str">
        <f t="shared" si="5152"/>
        <v>WA</v>
      </c>
      <c r="F13880" t="str">
        <f>T("983146001")</f>
        <v>983146001</v>
      </c>
      <c r="G13880" t="str">
        <f>T("1400 FARRAGUT AVE")</f>
        <v>1400 FARRAGUT AVE</v>
      </c>
      <c r="H13880" t="str">
        <f>T("BLDG 850A-5 C/109 32")</f>
        <v>BLDG 850A-5 C/109 32</v>
      </c>
      <c r="I13880" t="str">
        <f t="shared" si="5154"/>
        <v>BREMERTON</v>
      </c>
      <c r="J13880" t="str">
        <f t="shared" si="5153"/>
        <v>WA</v>
      </c>
      <c r="K13880" t="str">
        <f>T("3604762159")</f>
        <v>3604762159</v>
      </c>
      <c r="L13880" t="str">
        <f>T("3604764913")</f>
        <v>3604764913</v>
      </c>
    </row>
    <row r="13881" spans="1:12" x14ac:dyDescent="0.35">
      <c r="A13881" t="str">
        <f t="shared" si="5149"/>
        <v>PSNS &amp; IMF</v>
      </c>
      <c r="B13881" t="str">
        <f>T("1400 FARRAGUT AVENUE")</f>
        <v>1400 FARRAGUT AVENUE</v>
      </c>
      <c r="C13881" t="str">
        <f>T("BLDG 850A-5 C/109 32")</f>
        <v>BLDG 850A-5 C/109 32</v>
      </c>
      <c r="D13881" t="str">
        <f t="shared" si="5151"/>
        <v>BREMERTON</v>
      </c>
      <c r="E13881" t="str">
        <f t="shared" si="5152"/>
        <v>WA</v>
      </c>
      <c r="F13881" t="str">
        <f>T("983146001")</f>
        <v>983146001</v>
      </c>
      <c r="G13881" t="str">
        <f>T("1400 FARRAGUT AVENUE")</f>
        <v>1400 FARRAGUT AVENUE</v>
      </c>
      <c r="H13881" t="str">
        <f>T("BLDG 850A-5 C/109 32")</f>
        <v>BLDG 850A-5 C/109 32</v>
      </c>
      <c r="I13881" t="str">
        <f t="shared" si="5154"/>
        <v>BREMERTON</v>
      </c>
      <c r="J13881" t="str">
        <f t="shared" si="5153"/>
        <v>WA</v>
      </c>
      <c r="K13881" t="str">
        <f>T("3604762195")</f>
        <v>3604762195</v>
      </c>
      <c r="L13881" t="str">
        <f>T("3604768505")</f>
        <v>3604768505</v>
      </c>
    </row>
    <row r="13882" spans="1:12" x14ac:dyDescent="0.35">
      <c r="A13882" t="str">
        <f t="shared" si="5149"/>
        <v>PSNS &amp; IMF</v>
      </c>
      <c r="B13882" t="str">
        <f>T("2000 W MARINE VIEW DR")</f>
        <v>2000 W MARINE VIEW DR</v>
      </c>
      <c r="C13882" t="str">
        <f>T("C/210")</f>
        <v>C/210</v>
      </c>
      <c r="D13882" t="str">
        <f>T("EVERETT")</f>
        <v>EVERETT</v>
      </c>
      <c r="E13882" t="str">
        <f t="shared" si="5152"/>
        <v>WA</v>
      </c>
      <c r="F13882" t="str">
        <f>T("982070002")</f>
        <v>982070002</v>
      </c>
      <c r="G13882" t="str">
        <f>T("2000 W MARINE VIEW DR")</f>
        <v>2000 W MARINE VIEW DR</v>
      </c>
      <c r="H13882" t="str">
        <f>T("BLDG 2200-1 C/210")</f>
        <v>BLDG 2200-1 C/210</v>
      </c>
      <c r="I13882" t="str">
        <f>T("EVERETT")</f>
        <v>EVERETT</v>
      </c>
      <c r="J13882" t="str">
        <f t="shared" si="5153"/>
        <v>WA</v>
      </c>
      <c r="K13882" t="str">
        <f>T("4253045409")</f>
        <v>4253045409</v>
      </c>
      <c r="L13882" t="str">
        <f>T("4253045452")</f>
        <v>4253045452</v>
      </c>
    </row>
    <row r="13883" spans="1:12" x14ac:dyDescent="0.35">
      <c r="A13883" t="str">
        <f t="shared" si="5149"/>
        <v>PSNS &amp; IMF</v>
      </c>
      <c r="B13883" t="str">
        <f>T("2000 W MARINE VIEW DR")</f>
        <v>2000 W MARINE VIEW DR</v>
      </c>
      <c r="C13883" t="str">
        <f>T("C/210")</f>
        <v>C/210</v>
      </c>
      <c r="D13883" t="str">
        <f>T("EVERETT")</f>
        <v>EVERETT</v>
      </c>
      <c r="E13883" t="str">
        <f t="shared" si="5152"/>
        <v>WA</v>
      </c>
      <c r="F13883" t="str">
        <f>T("982070002")</f>
        <v>982070002</v>
      </c>
      <c r="G13883" t="str">
        <f>T("2000 W MARINE VIEW DR")</f>
        <v>2000 W MARINE VIEW DR</v>
      </c>
      <c r="H13883" t="str">
        <f>T("C/210")</f>
        <v>C/210</v>
      </c>
      <c r="I13883" t="str">
        <f>T("EVERETT")</f>
        <v>EVERETT</v>
      </c>
      <c r="J13883" t="str">
        <f t="shared" si="5153"/>
        <v>WA</v>
      </c>
      <c r="K13883" t="str">
        <f>T("4253045409")</f>
        <v>4253045409</v>
      </c>
      <c r="L13883" t="str">
        <f>T("4253045401")</f>
        <v>4253045401</v>
      </c>
    </row>
    <row r="13884" spans="1:12" x14ac:dyDescent="0.35">
      <c r="A13884" t="str">
        <f t="shared" si="5149"/>
        <v>PSNS &amp; IMF</v>
      </c>
      <c r="B13884" t="str">
        <f>T("PSNS &amp; IMF")</f>
        <v>PSNS &amp; IMF</v>
      </c>
      <c r="C13884" t="str">
        <f>T("1400 FARRAGUT AVE C/443")</f>
        <v>1400 FARRAGUT AVE C/443</v>
      </c>
      <c r="D13884" t="str">
        <f>T("BREMERTON")</f>
        <v>BREMERTON</v>
      </c>
      <c r="E13884" t="str">
        <f t="shared" si="5152"/>
        <v>WA</v>
      </c>
      <c r="F13884" t="str">
        <f>T("983146001")</f>
        <v>983146001</v>
      </c>
      <c r="G13884" t="str">
        <f>T("1400 FARRAGUT AVE")</f>
        <v>1400 FARRAGUT AVE</v>
      </c>
      <c r="H13884" t="str">
        <f>T("BLDG 844-2 C/443")</f>
        <v>BLDG 844-2 C/443</v>
      </c>
      <c r="I13884" t="str">
        <f>T("BREMERTON")</f>
        <v>BREMERTON</v>
      </c>
      <c r="J13884" t="str">
        <f t="shared" si="5153"/>
        <v>WA</v>
      </c>
      <c r="K13884" t="str">
        <f>T("3604761543")</f>
        <v>3604761543</v>
      </c>
      <c r="L13884" t="str">
        <f>T("3604765002")</f>
        <v>3604765002</v>
      </c>
    </row>
    <row r="13885" spans="1:12" x14ac:dyDescent="0.35">
      <c r="A13885" t="str">
        <f t="shared" si="5149"/>
        <v>PSNS &amp; IMF</v>
      </c>
      <c r="B13885" t="str">
        <f>T("PSNS &amp; IMF")</f>
        <v>PSNS &amp; IMF</v>
      </c>
      <c r="C13885" t="str">
        <f>T("1400 FARRAGUT AVE C/443")</f>
        <v>1400 FARRAGUT AVE C/443</v>
      </c>
      <c r="D13885" t="str">
        <f>T("BREMERTON")</f>
        <v>BREMERTON</v>
      </c>
      <c r="E13885" t="str">
        <f t="shared" si="5152"/>
        <v>WA</v>
      </c>
      <c r="F13885" t="str">
        <f>T("983146001")</f>
        <v>983146001</v>
      </c>
      <c r="G13885" t="str">
        <f>T("PSNS &amp; IMF")</f>
        <v>PSNS &amp; IMF</v>
      </c>
      <c r="H13885" t="str">
        <f>T("1400 FARRAGUT AVE C/443")</f>
        <v>1400 FARRAGUT AVE C/443</v>
      </c>
      <c r="I13885" t="str">
        <f>T("BREMERTON")</f>
        <v>BREMERTON</v>
      </c>
      <c r="J13885" t="str">
        <f t="shared" si="5153"/>
        <v>WA</v>
      </c>
      <c r="K13885" t="str">
        <f>T("3604761543")</f>
        <v>3604761543</v>
      </c>
      <c r="L13885" t="str">
        <f>T("3603402940")</f>
        <v>3603402940</v>
      </c>
    </row>
    <row r="13886" spans="1:12" x14ac:dyDescent="0.35">
      <c r="A13886" t="str">
        <f t="shared" ref="A13886:A13929" si="5155">T("SWRMC")</f>
        <v>SWRMC</v>
      </c>
      <c r="B13886" t="str">
        <f t="shared" ref="B13886:B13929" si="5156">T("3755 BRINSER ST STE 1")</f>
        <v>3755 BRINSER ST STE 1</v>
      </c>
      <c r="C13886" t="str">
        <f t="shared" ref="C13886:C13932" si="5157">T("")</f>
        <v/>
      </c>
      <c r="D13886" t="str">
        <f t="shared" ref="D13886:D13929" si="5158">T("SAN DIEGO")</f>
        <v>SAN DIEGO</v>
      </c>
      <c r="E13886" t="str">
        <f t="shared" ref="E13886:E13929" si="5159">T("CA")</f>
        <v>CA</v>
      </c>
      <c r="F13886" t="str">
        <f t="shared" ref="F13886:F13929" si="5160">T("921365299")</f>
        <v>921365299</v>
      </c>
      <c r="G13886" t="str">
        <f t="shared" ref="G13886:G13900" si="5161">T("3755 BRINSER ST STE 1")</f>
        <v>3755 BRINSER ST STE 1</v>
      </c>
      <c r="H13886" t="str">
        <f t="shared" ref="H13886:H13900" si="5162">T("")</f>
        <v/>
      </c>
      <c r="I13886" t="str">
        <f t="shared" ref="I13886:I13929" si="5163">T("SAN DIEGO")</f>
        <v>SAN DIEGO</v>
      </c>
      <c r="J13886" t="str">
        <f t="shared" ref="J13886:J13929" si="5164">T("CA")</f>
        <v>CA</v>
      </c>
      <c r="K13886" t="str">
        <f t="shared" ref="K13886:K13896" si="5165">T("")</f>
        <v/>
      </c>
      <c r="L13886" t="str">
        <f>T("6195561943")</f>
        <v>6195561943</v>
      </c>
    </row>
    <row r="13887" spans="1:12" x14ac:dyDescent="0.35">
      <c r="A13887" t="str">
        <f t="shared" si="5155"/>
        <v>SWRMC</v>
      </c>
      <c r="B13887" t="str">
        <f t="shared" si="5156"/>
        <v>3755 BRINSER ST STE 1</v>
      </c>
      <c r="C13887" t="str">
        <f t="shared" si="5157"/>
        <v/>
      </c>
      <c r="D13887" t="str">
        <f t="shared" si="5158"/>
        <v>SAN DIEGO</v>
      </c>
      <c r="E13887" t="str">
        <f t="shared" si="5159"/>
        <v>CA</v>
      </c>
      <c r="F13887" t="str">
        <f t="shared" si="5160"/>
        <v>921365299</v>
      </c>
      <c r="G13887" t="str">
        <f t="shared" si="5161"/>
        <v>3755 BRINSER ST STE 1</v>
      </c>
      <c r="H13887" t="str">
        <f t="shared" si="5162"/>
        <v/>
      </c>
      <c r="I13887" t="str">
        <f t="shared" si="5163"/>
        <v>SAN DIEGO</v>
      </c>
      <c r="J13887" t="str">
        <f t="shared" si="5164"/>
        <v>CA</v>
      </c>
      <c r="K13887" t="str">
        <f t="shared" si="5165"/>
        <v/>
      </c>
      <c r="L13887" t="str">
        <f>T("6195562432")</f>
        <v>6195562432</v>
      </c>
    </row>
    <row r="13888" spans="1:12" x14ac:dyDescent="0.35">
      <c r="A13888" t="str">
        <f t="shared" si="5155"/>
        <v>SWRMC</v>
      </c>
      <c r="B13888" t="str">
        <f t="shared" si="5156"/>
        <v>3755 BRINSER ST STE 1</v>
      </c>
      <c r="C13888" t="str">
        <f t="shared" si="5157"/>
        <v/>
      </c>
      <c r="D13888" t="str">
        <f t="shared" si="5158"/>
        <v>SAN DIEGO</v>
      </c>
      <c r="E13888" t="str">
        <f t="shared" si="5159"/>
        <v>CA</v>
      </c>
      <c r="F13888" t="str">
        <f t="shared" si="5160"/>
        <v>921365299</v>
      </c>
      <c r="G13888" t="str">
        <f t="shared" si="5161"/>
        <v>3755 BRINSER ST STE 1</v>
      </c>
      <c r="H13888" t="str">
        <f t="shared" si="5162"/>
        <v/>
      </c>
      <c r="I13888" t="str">
        <f t="shared" si="5163"/>
        <v>SAN DIEGO</v>
      </c>
      <c r="J13888" t="str">
        <f t="shared" si="5164"/>
        <v>CA</v>
      </c>
      <c r="K13888" t="str">
        <f t="shared" si="5165"/>
        <v/>
      </c>
      <c r="L13888" t="str">
        <f>T("6195562661")</f>
        <v>6195562661</v>
      </c>
    </row>
    <row r="13889" spans="1:12" x14ac:dyDescent="0.35">
      <c r="A13889" t="str">
        <f t="shared" si="5155"/>
        <v>SWRMC</v>
      </c>
      <c r="B13889" t="str">
        <f t="shared" si="5156"/>
        <v>3755 BRINSER ST STE 1</v>
      </c>
      <c r="C13889" t="str">
        <f t="shared" si="5157"/>
        <v/>
      </c>
      <c r="D13889" t="str">
        <f t="shared" si="5158"/>
        <v>SAN DIEGO</v>
      </c>
      <c r="E13889" t="str">
        <f t="shared" si="5159"/>
        <v>CA</v>
      </c>
      <c r="F13889" t="str">
        <f t="shared" si="5160"/>
        <v>921365299</v>
      </c>
      <c r="G13889" t="str">
        <f t="shared" si="5161"/>
        <v>3755 BRINSER ST STE 1</v>
      </c>
      <c r="H13889" t="str">
        <f t="shared" si="5162"/>
        <v/>
      </c>
      <c r="I13889" t="str">
        <f t="shared" si="5163"/>
        <v>SAN DIEGO</v>
      </c>
      <c r="J13889" t="str">
        <f t="shared" si="5164"/>
        <v>CA</v>
      </c>
      <c r="K13889" t="str">
        <f t="shared" si="5165"/>
        <v/>
      </c>
      <c r="L13889" t="str">
        <f>T("6195563415")</f>
        <v>6195563415</v>
      </c>
    </row>
    <row r="13890" spans="1:12" x14ac:dyDescent="0.35">
      <c r="A13890" t="str">
        <f t="shared" si="5155"/>
        <v>SWRMC</v>
      </c>
      <c r="B13890" t="str">
        <f t="shared" si="5156"/>
        <v>3755 BRINSER ST STE 1</v>
      </c>
      <c r="C13890" t="str">
        <f t="shared" si="5157"/>
        <v/>
      </c>
      <c r="D13890" t="str">
        <f t="shared" si="5158"/>
        <v>SAN DIEGO</v>
      </c>
      <c r="E13890" t="str">
        <f t="shared" si="5159"/>
        <v>CA</v>
      </c>
      <c r="F13890" t="str">
        <f t="shared" si="5160"/>
        <v>921365299</v>
      </c>
      <c r="G13890" t="str">
        <f t="shared" si="5161"/>
        <v>3755 BRINSER ST STE 1</v>
      </c>
      <c r="H13890" t="str">
        <f t="shared" si="5162"/>
        <v/>
      </c>
      <c r="I13890" t="str">
        <f t="shared" si="5163"/>
        <v>SAN DIEGO</v>
      </c>
      <c r="J13890" t="str">
        <f t="shared" si="5164"/>
        <v>CA</v>
      </c>
      <c r="K13890" t="str">
        <f t="shared" si="5165"/>
        <v/>
      </c>
      <c r="L13890" t="str">
        <f>T("6195563644")</f>
        <v>6195563644</v>
      </c>
    </row>
    <row r="13891" spans="1:12" x14ac:dyDescent="0.35">
      <c r="A13891" t="str">
        <f t="shared" si="5155"/>
        <v>SWRMC</v>
      </c>
      <c r="B13891" t="str">
        <f t="shared" si="5156"/>
        <v>3755 BRINSER ST STE 1</v>
      </c>
      <c r="C13891" t="str">
        <f t="shared" si="5157"/>
        <v/>
      </c>
      <c r="D13891" t="str">
        <f t="shared" si="5158"/>
        <v>SAN DIEGO</v>
      </c>
      <c r="E13891" t="str">
        <f t="shared" si="5159"/>
        <v>CA</v>
      </c>
      <c r="F13891" t="str">
        <f t="shared" si="5160"/>
        <v>921365299</v>
      </c>
      <c r="G13891" t="str">
        <f t="shared" si="5161"/>
        <v>3755 BRINSER ST STE 1</v>
      </c>
      <c r="H13891" t="str">
        <f t="shared" si="5162"/>
        <v/>
      </c>
      <c r="I13891" t="str">
        <f t="shared" si="5163"/>
        <v>SAN DIEGO</v>
      </c>
      <c r="J13891" t="str">
        <f t="shared" si="5164"/>
        <v>CA</v>
      </c>
      <c r="K13891" t="str">
        <f t="shared" si="5165"/>
        <v/>
      </c>
      <c r="L13891" t="str">
        <f>T("6195563772")</f>
        <v>6195563772</v>
      </c>
    </row>
    <row r="13892" spans="1:12" x14ac:dyDescent="0.35">
      <c r="A13892" t="str">
        <f t="shared" si="5155"/>
        <v>SWRMC</v>
      </c>
      <c r="B13892" t="str">
        <f t="shared" si="5156"/>
        <v>3755 BRINSER ST STE 1</v>
      </c>
      <c r="C13892" t="str">
        <f t="shared" si="5157"/>
        <v/>
      </c>
      <c r="D13892" t="str">
        <f t="shared" si="5158"/>
        <v>SAN DIEGO</v>
      </c>
      <c r="E13892" t="str">
        <f t="shared" si="5159"/>
        <v>CA</v>
      </c>
      <c r="F13892" t="str">
        <f t="shared" si="5160"/>
        <v>921365299</v>
      </c>
      <c r="G13892" t="str">
        <f t="shared" si="5161"/>
        <v>3755 BRINSER ST STE 1</v>
      </c>
      <c r="H13892" t="str">
        <f t="shared" si="5162"/>
        <v/>
      </c>
      <c r="I13892" t="str">
        <f t="shared" si="5163"/>
        <v>SAN DIEGO</v>
      </c>
      <c r="J13892" t="str">
        <f t="shared" si="5164"/>
        <v>CA</v>
      </c>
      <c r="K13892" t="str">
        <f t="shared" si="5165"/>
        <v/>
      </c>
      <c r="L13892" t="str">
        <f>T("6195564857")</f>
        <v>6195564857</v>
      </c>
    </row>
    <row r="13893" spans="1:12" x14ac:dyDescent="0.35">
      <c r="A13893" t="str">
        <f t="shared" si="5155"/>
        <v>SWRMC</v>
      </c>
      <c r="B13893" t="str">
        <f t="shared" si="5156"/>
        <v>3755 BRINSER ST STE 1</v>
      </c>
      <c r="C13893" t="str">
        <f t="shared" si="5157"/>
        <v/>
      </c>
      <c r="D13893" t="str">
        <f t="shared" si="5158"/>
        <v>SAN DIEGO</v>
      </c>
      <c r="E13893" t="str">
        <f t="shared" si="5159"/>
        <v>CA</v>
      </c>
      <c r="F13893" t="str">
        <f t="shared" si="5160"/>
        <v>921365299</v>
      </c>
      <c r="G13893" t="str">
        <f t="shared" si="5161"/>
        <v>3755 BRINSER ST STE 1</v>
      </c>
      <c r="H13893" t="str">
        <f t="shared" si="5162"/>
        <v/>
      </c>
      <c r="I13893" t="str">
        <f t="shared" si="5163"/>
        <v>SAN DIEGO</v>
      </c>
      <c r="J13893" t="str">
        <f t="shared" si="5164"/>
        <v>CA</v>
      </c>
      <c r="K13893" t="str">
        <f t="shared" si="5165"/>
        <v/>
      </c>
      <c r="L13893" t="str">
        <f>T("6195564906")</f>
        <v>6195564906</v>
      </c>
    </row>
    <row r="13894" spans="1:12" x14ac:dyDescent="0.35">
      <c r="A13894" t="str">
        <f t="shared" si="5155"/>
        <v>SWRMC</v>
      </c>
      <c r="B13894" t="str">
        <f t="shared" si="5156"/>
        <v>3755 BRINSER ST STE 1</v>
      </c>
      <c r="C13894" t="str">
        <f t="shared" si="5157"/>
        <v/>
      </c>
      <c r="D13894" t="str">
        <f t="shared" si="5158"/>
        <v>SAN DIEGO</v>
      </c>
      <c r="E13894" t="str">
        <f t="shared" si="5159"/>
        <v>CA</v>
      </c>
      <c r="F13894" t="str">
        <f t="shared" si="5160"/>
        <v>921365299</v>
      </c>
      <c r="G13894" t="str">
        <f t="shared" si="5161"/>
        <v>3755 BRINSER ST STE 1</v>
      </c>
      <c r="H13894" t="str">
        <f t="shared" si="5162"/>
        <v/>
      </c>
      <c r="I13894" t="str">
        <f t="shared" si="5163"/>
        <v>SAN DIEGO</v>
      </c>
      <c r="J13894" t="str">
        <f t="shared" si="5164"/>
        <v>CA</v>
      </c>
      <c r="K13894" t="str">
        <f t="shared" si="5165"/>
        <v/>
      </c>
      <c r="L13894" t="str">
        <f>T("6195566051")</f>
        <v>6195566051</v>
      </c>
    </row>
    <row r="13895" spans="1:12" x14ac:dyDescent="0.35">
      <c r="A13895" t="str">
        <f t="shared" si="5155"/>
        <v>SWRMC</v>
      </c>
      <c r="B13895" t="str">
        <f t="shared" si="5156"/>
        <v>3755 BRINSER ST STE 1</v>
      </c>
      <c r="C13895" t="str">
        <f t="shared" si="5157"/>
        <v/>
      </c>
      <c r="D13895" t="str">
        <f t="shared" si="5158"/>
        <v>SAN DIEGO</v>
      </c>
      <c r="E13895" t="str">
        <f t="shared" si="5159"/>
        <v>CA</v>
      </c>
      <c r="F13895" t="str">
        <f t="shared" si="5160"/>
        <v>921365299</v>
      </c>
      <c r="G13895" t="str">
        <f t="shared" si="5161"/>
        <v>3755 BRINSER ST STE 1</v>
      </c>
      <c r="H13895" t="str">
        <f t="shared" si="5162"/>
        <v/>
      </c>
      <c r="I13895" t="str">
        <f t="shared" si="5163"/>
        <v>SAN DIEGO</v>
      </c>
      <c r="J13895" t="str">
        <f t="shared" si="5164"/>
        <v>CA</v>
      </c>
      <c r="K13895" t="str">
        <f t="shared" si="5165"/>
        <v/>
      </c>
      <c r="L13895" t="str">
        <f>T("6195567841")</f>
        <v>6195567841</v>
      </c>
    </row>
    <row r="13896" spans="1:12" x14ac:dyDescent="0.35">
      <c r="A13896" t="str">
        <f t="shared" si="5155"/>
        <v>SWRMC</v>
      </c>
      <c r="B13896" t="str">
        <f t="shared" si="5156"/>
        <v>3755 BRINSER ST STE 1</v>
      </c>
      <c r="C13896" t="str">
        <f t="shared" si="5157"/>
        <v/>
      </c>
      <c r="D13896" t="str">
        <f t="shared" si="5158"/>
        <v>SAN DIEGO</v>
      </c>
      <c r="E13896" t="str">
        <f t="shared" si="5159"/>
        <v>CA</v>
      </c>
      <c r="F13896" t="str">
        <f t="shared" si="5160"/>
        <v>921365299</v>
      </c>
      <c r="G13896" t="str">
        <f t="shared" si="5161"/>
        <v>3755 BRINSER ST STE 1</v>
      </c>
      <c r="H13896" t="str">
        <f t="shared" si="5162"/>
        <v/>
      </c>
      <c r="I13896" t="str">
        <f t="shared" si="5163"/>
        <v>SAN DIEGO</v>
      </c>
      <c r="J13896" t="str">
        <f t="shared" si="5164"/>
        <v>CA</v>
      </c>
      <c r="K13896" t="str">
        <f t="shared" si="5165"/>
        <v/>
      </c>
      <c r="L13896" t="str">
        <f>T("6195568290")</f>
        <v>6195568290</v>
      </c>
    </row>
    <row r="13897" spans="1:12" x14ac:dyDescent="0.35">
      <c r="A13897" t="str">
        <f t="shared" si="5155"/>
        <v>SWRMC</v>
      </c>
      <c r="B13897" t="str">
        <f t="shared" si="5156"/>
        <v>3755 BRINSER ST STE 1</v>
      </c>
      <c r="C13897" t="str">
        <f t="shared" si="5157"/>
        <v/>
      </c>
      <c r="D13897" t="str">
        <f t="shared" si="5158"/>
        <v>SAN DIEGO</v>
      </c>
      <c r="E13897" t="str">
        <f t="shared" si="5159"/>
        <v>CA</v>
      </c>
      <c r="F13897" t="str">
        <f t="shared" si="5160"/>
        <v>921365299</v>
      </c>
      <c r="G13897" t="str">
        <f t="shared" si="5161"/>
        <v>3755 BRINSER ST STE 1</v>
      </c>
      <c r="H13897" t="str">
        <f t="shared" si="5162"/>
        <v/>
      </c>
      <c r="I13897" t="str">
        <f t="shared" si="5163"/>
        <v>SAN DIEGO</v>
      </c>
      <c r="J13897" t="str">
        <f t="shared" si="5164"/>
        <v>CA</v>
      </c>
      <c r="K13897" t="str">
        <f>T("000000000000000000")</f>
        <v>000000000000000000</v>
      </c>
      <c r="L13897" t="str">
        <f>T("6195560592")</f>
        <v>6195560592</v>
      </c>
    </row>
    <row r="13898" spans="1:12" x14ac:dyDescent="0.35">
      <c r="A13898" t="str">
        <f t="shared" si="5155"/>
        <v>SWRMC</v>
      </c>
      <c r="B13898" t="str">
        <f t="shared" si="5156"/>
        <v>3755 BRINSER ST STE 1</v>
      </c>
      <c r="C13898" t="str">
        <f t="shared" si="5157"/>
        <v/>
      </c>
      <c r="D13898" t="str">
        <f t="shared" si="5158"/>
        <v>SAN DIEGO</v>
      </c>
      <c r="E13898" t="str">
        <f t="shared" si="5159"/>
        <v>CA</v>
      </c>
      <c r="F13898" t="str">
        <f t="shared" si="5160"/>
        <v>921365299</v>
      </c>
      <c r="G13898" t="str">
        <f t="shared" si="5161"/>
        <v>3755 BRINSER ST STE 1</v>
      </c>
      <c r="H13898" t="str">
        <f t="shared" si="5162"/>
        <v/>
      </c>
      <c r="I13898" t="str">
        <f t="shared" si="5163"/>
        <v>SAN DIEGO</v>
      </c>
      <c r="J13898" t="str">
        <f t="shared" si="5164"/>
        <v>CA</v>
      </c>
      <c r="K13898" t="str">
        <f>T("000000000000000000")</f>
        <v>000000000000000000</v>
      </c>
      <c r="L13898" t="str">
        <f>T("6195562621")</f>
        <v>6195562621</v>
      </c>
    </row>
    <row r="13899" spans="1:12" x14ac:dyDescent="0.35">
      <c r="A13899" t="str">
        <f t="shared" si="5155"/>
        <v>SWRMC</v>
      </c>
      <c r="B13899" t="str">
        <f t="shared" si="5156"/>
        <v>3755 BRINSER ST STE 1</v>
      </c>
      <c r="C13899" t="str">
        <f t="shared" si="5157"/>
        <v/>
      </c>
      <c r="D13899" t="str">
        <f t="shared" si="5158"/>
        <v>SAN DIEGO</v>
      </c>
      <c r="E13899" t="str">
        <f t="shared" si="5159"/>
        <v>CA</v>
      </c>
      <c r="F13899" t="str">
        <f t="shared" si="5160"/>
        <v>921365299</v>
      </c>
      <c r="G13899" t="str">
        <f t="shared" si="5161"/>
        <v>3755 BRINSER ST STE 1</v>
      </c>
      <c r="H13899" t="str">
        <f t="shared" si="5162"/>
        <v/>
      </c>
      <c r="I13899" t="str">
        <f t="shared" si="5163"/>
        <v>SAN DIEGO</v>
      </c>
      <c r="J13899" t="str">
        <f t="shared" si="5164"/>
        <v>CA</v>
      </c>
      <c r="K13899" t="str">
        <f>T("000000000000000000")</f>
        <v>000000000000000000</v>
      </c>
      <c r="L13899" t="str">
        <f>T("6195563090")</f>
        <v>6195563090</v>
      </c>
    </row>
    <row r="13900" spans="1:12" x14ac:dyDescent="0.35">
      <c r="A13900" t="str">
        <f t="shared" si="5155"/>
        <v>SWRMC</v>
      </c>
      <c r="B13900" t="str">
        <f t="shared" si="5156"/>
        <v>3755 BRINSER ST STE 1</v>
      </c>
      <c r="C13900" t="str">
        <f t="shared" si="5157"/>
        <v/>
      </c>
      <c r="D13900" t="str">
        <f t="shared" si="5158"/>
        <v>SAN DIEGO</v>
      </c>
      <c r="E13900" t="str">
        <f t="shared" si="5159"/>
        <v>CA</v>
      </c>
      <c r="F13900" t="str">
        <f t="shared" si="5160"/>
        <v>921365299</v>
      </c>
      <c r="G13900" t="str">
        <f t="shared" si="5161"/>
        <v>3755 BRINSER ST STE 1</v>
      </c>
      <c r="H13900" t="str">
        <f t="shared" si="5162"/>
        <v/>
      </c>
      <c r="I13900" t="str">
        <f t="shared" si="5163"/>
        <v>SAN DIEGO</v>
      </c>
      <c r="J13900" t="str">
        <f t="shared" si="5164"/>
        <v>CA</v>
      </c>
      <c r="K13900" t="str">
        <f>T("6195561870")</f>
        <v>6195561870</v>
      </c>
      <c r="L13900" t="str">
        <f>T("6195565912")</f>
        <v>6195565912</v>
      </c>
    </row>
    <row r="13901" spans="1:12" x14ac:dyDescent="0.35">
      <c r="A13901" t="str">
        <f t="shared" si="5155"/>
        <v>SWRMC</v>
      </c>
      <c r="B13901" t="str">
        <f t="shared" si="5156"/>
        <v>3755 BRINSER ST STE 1</v>
      </c>
      <c r="C13901" t="str">
        <f t="shared" si="5157"/>
        <v/>
      </c>
      <c r="D13901" t="str">
        <f t="shared" si="5158"/>
        <v>SAN DIEGO</v>
      </c>
      <c r="E13901" t="str">
        <f t="shared" si="5159"/>
        <v>CA</v>
      </c>
      <c r="F13901" t="str">
        <f t="shared" si="5160"/>
        <v>921365299</v>
      </c>
      <c r="G13901" t="str">
        <f t="shared" ref="G13901:G13929" si="5166">T("3755 BRINSER STREET")</f>
        <v>3755 BRINSER STREET</v>
      </c>
      <c r="H13901" t="str">
        <f>T("520 S BLDG 116")</f>
        <v>520 S BLDG 116</v>
      </c>
      <c r="I13901" t="str">
        <f t="shared" si="5163"/>
        <v>SAN DIEGO</v>
      </c>
      <c r="J13901" t="str">
        <f t="shared" si="5164"/>
        <v>CA</v>
      </c>
      <c r="K13901" t="str">
        <f t="shared" ref="K13901:K13911" si="5167">T("000000000000000000")</f>
        <v>000000000000000000</v>
      </c>
      <c r="L13901" t="str">
        <f>T("6195562537")</f>
        <v>6195562537</v>
      </c>
    </row>
    <row r="13902" spans="1:12" x14ac:dyDescent="0.35">
      <c r="A13902" t="str">
        <f t="shared" si="5155"/>
        <v>SWRMC</v>
      </c>
      <c r="B13902" t="str">
        <f t="shared" si="5156"/>
        <v>3755 BRINSER ST STE 1</v>
      </c>
      <c r="C13902" t="str">
        <f t="shared" si="5157"/>
        <v/>
      </c>
      <c r="D13902" t="str">
        <f t="shared" si="5158"/>
        <v>SAN DIEGO</v>
      </c>
      <c r="E13902" t="str">
        <f t="shared" si="5159"/>
        <v>CA</v>
      </c>
      <c r="F13902" t="str">
        <f t="shared" si="5160"/>
        <v>921365299</v>
      </c>
      <c r="G13902" t="str">
        <f t="shared" si="5166"/>
        <v>3755 BRINSER STREET</v>
      </c>
      <c r="H13902" t="str">
        <f t="shared" ref="H13902:H13929" si="5168">T("SUITE 1")</f>
        <v>SUITE 1</v>
      </c>
      <c r="I13902" t="str">
        <f t="shared" si="5163"/>
        <v>SAN DIEGO</v>
      </c>
      <c r="J13902" t="str">
        <f t="shared" si="5164"/>
        <v>CA</v>
      </c>
      <c r="K13902" t="str">
        <f t="shared" si="5167"/>
        <v>000000000000000000</v>
      </c>
      <c r="L13902" t="str">
        <f>T("6195560493")</f>
        <v>6195560493</v>
      </c>
    </row>
    <row r="13903" spans="1:12" x14ac:dyDescent="0.35">
      <c r="A13903" t="str">
        <f t="shared" si="5155"/>
        <v>SWRMC</v>
      </c>
      <c r="B13903" t="str">
        <f t="shared" si="5156"/>
        <v>3755 BRINSER ST STE 1</v>
      </c>
      <c r="C13903" t="str">
        <f t="shared" si="5157"/>
        <v/>
      </c>
      <c r="D13903" t="str">
        <f t="shared" si="5158"/>
        <v>SAN DIEGO</v>
      </c>
      <c r="E13903" t="str">
        <f t="shared" si="5159"/>
        <v>CA</v>
      </c>
      <c r="F13903" t="str">
        <f t="shared" si="5160"/>
        <v>921365299</v>
      </c>
      <c r="G13903" t="str">
        <f t="shared" si="5166"/>
        <v>3755 BRINSER STREET</v>
      </c>
      <c r="H13903" t="str">
        <f t="shared" si="5168"/>
        <v>SUITE 1</v>
      </c>
      <c r="I13903" t="str">
        <f t="shared" si="5163"/>
        <v>SAN DIEGO</v>
      </c>
      <c r="J13903" t="str">
        <f t="shared" si="5164"/>
        <v>CA</v>
      </c>
      <c r="K13903" t="str">
        <f t="shared" si="5167"/>
        <v>000000000000000000</v>
      </c>
      <c r="L13903" t="str">
        <f>T("6195562074")</f>
        <v>6195562074</v>
      </c>
    </row>
    <row r="13904" spans="1:12" x14ac:dyDescent="0.35">
      <c r="A13904" t="str">
        <f t="shared" si="5155"/>
        <v>SWRMC</v>
      </c>
      <c r="B13904" t="str">
        <f t="shared" si="5156"/>
        <v>3755 BRINSER ST STE 1</v>
      </c>
      <c r="C13904" t="str">
        <f t="shared" si="5157"/>
        <v/>
      </c>
      <c r="D13904" t="str">
        <f t="shared" si="5158"/>
        <v>SAN DIEGO</v>
      </c>
      <c r="E13904" t="str">
        <f t="shared" si="5159"/>
        <v>CA</v>
      </c>
      <c r="F13904" t="str">
        <f t="shared" si="5160"/>
        <v>921365299</v>
      </c>
      <c r="G13904" t="str">
        <f t="shared" si="5166"/>
        <v>3755 BRINSER STREET</v>
      </c>
      <c r="H13904" t="str">
        <f t="shared" si="5168"/>
        <v>SUITE 1</v>
      </c>
      <c r="I13904" t="str">
        <f t="shared" si="5163"/>
        <v>SAN DIEGO</v>
      </c>
      <c r="J13904" t="str">
        <f t="shared" si="5164"/>
        <v>CA</v>
      </c>
      <c r="K13904" t="str">
        <f t="shared" si="5167"/>
        <v>000000000000000000</v>
      </c>
      <c r="L13904" t="str">
        <f>T("6195562684")</f>
        <v>6195562684</v>
      </c>
    </row>
    <row r="13905" spans="1:12" x14ac:dyDescent="0.35">
      <c r="A13905" t="str">
        <f t="shared" si="5155"/>
        <v>SWRMC</v>
      </c>
      <c r="B13905" t="str">
        <f t="shared" si="5156"/>
        <v>3755 BRINSER ST STE 1</v>
      </c>
      <c r="C13905" t="str">
        <f t="shared" si="5157"/>
        <v/>
      </c>
      <c r="D13905" t="str">
        <f t="shared" si="5158"/>
        <v>SAN DIEGO</v>
      </c>
      <c r="E13905" t="str">
        <f t="shared" si="5159"/>
        <v>CA</v>
      </c>
      <c r="F13905" t="str">
        <f t="shared" si="5160"/>
        <v>921365299</v>
      </c>
      <c r="G13905" t="str">
        <f t="shared" si="5166"/>
        <v>3755 BRINSER STREET</v>
      </c>
      <c r="H13905" t="str">
        <f t="shared" si="5168"/>
        <v>SUITE 1</v>
      </c>
      <c r="I13905" t="str">
        <f t="shared" si="5163"/>
        <v>SAN DIEGO</v>
      </c>
      <c r="J13905" t="str">
        <f t="shared" si="5164"/>
        <v>CA</v>
      </c>
      <c r="K13905" t="str">
        <f t="shared" si="5167"/>
        <v>000000000000000000</v>
      </c>
      <c r="L13905" t="str">
        <f>T("6195562777")</f>
        <v>6195562777</v>
      </c>
    </row>
    <row r="13906" spans="1:12" x14ac:dyDescent="0.35">
      <c r="A13906" t="str">
        <f t="shared" si="5155"/>
        <v>SWRMC</v>
      </c>
      <c r="B13906" t="str">
        <f t="shared" si="5156"/>
        <v>3755 BRINSER ST STE 1</v>
      </c>
      <c r="C13906" t="str">
        <f t="shared" si="5157"/>
        <v/>
      </c>
      <c r="D13906" t="str">
        <f t="shared" si="5158"/>
        <v>SAN DIEGO</v>
      </c>
      <c r="E13906" t="str">
        <f t="shared" si="5159"/>
        <v>CA</v>
      </c>
      <c r="F13906" t="str">
        <f t="shared" si="5160"/>
        <v>921365299</v>
      </c>
      <c r="G13906" t="str">
        <f t="shared" si="5166"/>
        <v>3755 BRINSER STREET</v>
      </c>
      <c r="H13906" t="str">
        <f t="shared" si="5168"/>
        <v>SUITE 1</v>
      </c>
      <c r="I13906" t="str">
        <f t="shared" si="5163"/>
        <v>SAN DIEGO</v>
      </c>
      <c r="J13906" t="str">
        <f t="shared" si="5164"/>
        <v>CA</v>
      </c>
      <c r="K13906" t="str">
        <f t="shared" si="5167"/>
        <v>000000000000000000</v>
      </c>
      <c r="L13906" t="str">
        <f>T("6195562988")</f>
        <v>6195562988</v>
      </c>
    </row>
    <row r="13907" spans="1:12" x14ac:dyDescent="0.35">
      <c r="A13907" t="str">
        <f t="shared" si="5155"/>
        <v>SWRMC</v>
      </c>
      <c r="B13907" t="str">
        <f t="shared" si="5156"/>
        <v>3755 BRINSER ST STE 1</v>
      </c>
      <c r="C13907" t="str">
        <f t="shared" si="5157"/>
        <v/>
      </c>
      <c r="D13907" t="str">
        <f t="shared" si="5158"/>
        <v>SAN DIEGO</v>
      </c>
      <c r="E13907" t="str">
        <f t="shared" si="5159"/>
        <v>CA</v>
      </c>
      <c r="F13907" t="str">
        <f t="shared" si="5160"/>
        <v>921365299</v>
      </c>
      <c r="G13907" t="str">
        <f t="shared" si="5166"/>
        <v>3755 BRINSER STREET</v>
      </c>
      <c r="H13907" t="str">
        <f t="shared" si="5168"/>
        <v>SUITE 1</v>
      </c>
      <c r="I13907" t="str">
        <f t="shared" si="5163"/>
        <v>SAN DIEGO</v>
      </c>
      <c r="J13907" t="str">
        <f t="shared" si="5164"/>
        <v>CA</v>
      </c>
      <c r="K13907" t="str">
        <f t="shared" si="5167"/>
        <v>000000000000000000</v>
      </c>
      <c r="L13907" t="str">
        <f>T("6195563051")</f>
        <v>6195563051</v>
      </c>
    </row>
    <row r="13908" spans="1:12" x14ac:dyDescent="0.35">
      <c r="A13908" t="str">
        <f t="shared" si="5155"/>
        <v>SWRMC</v>
      </c>
      <c r="B13908" t="str">
        <f t="shared" si="5156"/>
        <v>3755 BRINSER ST STE 1</v>
      </c>
      <c r="C13908" t="str">
        <f t="shared" si="5157"/>
        <v/>
      </c>
      <c r="D13908" t="str">
        <f t="shared" si="5158"/>
        <v>SAN DIEGO</v>
      </c>
      <c r="E13908" t="str">
        <f t="shared" si="5159"/>
        <v>CA</v>
      </c>
      <c r="F13908" t="str">
        <f t="shared" si="5160"/>
        <v>921365299</v>
      </c>
      <c r="G13908" t="str">
        <f t="shared" si="5166"/>
        <v>3755 BRINSER STREET</v>
      </c>
      <c r="H13908" t="str">
        <f t="shared" si="5168"/>
        <v>SUITE 1</v>
      </c>
      <c r="I13908" t="str">
        <f t="shared" si="5163"/>
        <v>SAN DIEGO</v>
      </c>
      <c r="J13908" t="str">
        <f t="shared" si="5164"/>
        <v>CA</v>
      </c>
      <c r="K13908" t="str">
        <f t="shared" si="5167"/>
        <v>000000000000000000</v>
      </c>
      <c r="L13908" t="str">
        <f>T("6195565694")</f>
        <v>6195565694</v>
      </c>
    </row>
    <row r="13909" spans="1:12" x14ac:dyDescent="0.35">
      <c r="A13909" t="str">
        <f t="shared" si="5155"/>
        <v>SWRMC</v>
      </c>
      <c r="B13909" t="str">
        <f t="shared" si="5156"/>
        <v>3755 BRINSER ST STE 1</v>
      </c>
      <c r="C13909" t="str">
        <f t="shared" si="5157"/>
        <v/>
      </c>
      <c r="D13909" t="str">
        <f t="shared" si="5158"/>
        <v>SAN DIEGO</v>
      </c>
      <c r="E13909" t="str">
        <f t="shared" si="5159"/>
        <v>CA</v>
      </c>
      <c r="F13909" t="str">
        <f t="shared" si="5160"/>
        <v>921365299</v>
      </c>
      <c r="G13909" t="str">
        <f t="shared" si="5166"/>
        <v>3755 BRINSER STREET</v>
      </c>
      <c r="H13909" t="str">
        <f t="shared" si="5168"/>
        <v>SUITE 1</v>
      </c>
      <c r="I13909" t="str">
        <f t="shared" si="5163"/>
        <v>SAN DIEGO</v>
      </c>
      <c r="J13909" t="str">
        <f t="shared" si="5164"/>
        <v>CA</v>
      </c>
      <c r="K13909" t="str">
        <f t="shared" si="5167"/>
        <v>000000000000000000</v>
      </c>
      <c r="L13909" t="str">
        <f>T("6195566743")</f>
        <v>6195566743</v>
      </c>
    </row>
    <row r="13910" spans="1:12" x14ac:dyDescent="0.35">
      <c r="A13910" t="str">
        <f t="shared" si="5155"/>
        <v>SWRMC</v>
      </c>
      <c r="B13910" t="str">
        <f t="shared" si="5156"/>
        <v>3755 BRINSER ST STE 1</v>
      </c>
      <c r="C13910" t="str">
        <f t="shared" si="5157"/>
        <v/>
      </c>
      <c r="D13910" t="str">
        <f t="shared" si="5158"/>
        <v>SAN DIEGO</v>
      </c>
      <c r="E13910" t="str">
        <f t="shared" si="5159"/>
        <v>CA</v>
      </c>
      <c r="F13910" t="str">
        <f t="shared" si="5160"/>
        <v>921365299</v>
      </c>
      <c r="G13910" t="str">
        <f t="shared" si="5166"/>
        <v>3755 BRINSER STREET</v>
      </c>
      <c r="H13910" t="str">
        <f t="shared" si="5168"/>
        <v>SUITE 1</v>
      </c>
      <c r="I13910" t="str">
        <f t="shared" si="5163"/>
        <v>SAN DIEGO</v>
      </c>
      <c r="J13910" t="str">
        <f t="shared" si="5164"/>
        <v>CA</v>
      </c>
      <c r="K13910" t="str">
        <f t="shared" si="5167"/>
        <v>000000000000000000</v>
      </c>
      <c r="L13910" t="str">
        <f>T("6195569074")</f>
        <v>6195569074</v>
      </c>
    </row>
    <row r="13911" spans="1:12" x14ac:dyDescent="0.35">
      <c r="A13911" t="str">
        <f t="shared" si="5155"/>
        <v>SWRMC</v>
      </c>
      <c r="B13911" t="str">
        <f t="shared" si="5156"/>
        <v>3755 BRINSER ST STE 1</v>
      </c>
      <c r="C13911" t="str">
        <f t="shared" si="5157"/>
        <v/>
      </c>
      <c r="D13911" t="str">
        <f t="shared" si="5158"/>
        <v>SAN DIEGO</v>
      </c>
      <c r="E13911" t="str">
        <f t="shared" si="5159"/>
        <v>CA</v>
      </c>
      <c r="F13911" t="str">
        <f t="shared" si="5160"/>
        <v>921365299</v>
      </c>
      <c r="G13911" t="str">
        <f t="shared" si="5166"/>
        <v>3755 BRINSER STREET</v>
      </c>
      <c r="H13911" t="str">
        <f t="shared" si="5168"/>
        <v>SUITE 1</v>
      </c>
      <c r="I13911" t="str">
        <f t="shared" si="5163"/>
        <v>SAN DIEGO</v>
      </c>
      <c r="J13911" t="str">
        <f t="shared" si="5164"/>
        <v>CA</v>
      </c>
      <c r="K13911" t="str">
        <f t="shared" si="5167"/>
        <v>000000000000000000</v>
      </c>
      <c r="L13911" t="str">
        <f>T("6199859833")</f>
        <v>6199859833</v>
      </c>
    </row>
    <row r="13912" spans="1:12" x14ac:dyDescent="0.35">
      <c r="A13912" t="str">
        <f t="shared" si="5155"/>
        <v>SWRMC</v>
      </c>
      <c r="B13912" t="str">
        <f t="shared" si="5156"/>
        <v>3755 BRINSER ST STE 1</v>
      </c>
      <c r="C13912" t="str">
        <f t="shared" si="5157"/>
        <v/>
      </c>
      <c r="D13912" t="str">
        <f t="shared" si="5158"/>
        <v>SAN DIEGO</v>
      </c>
      <c r="E13912" t="str">
        <f t="shared" si="5159"/>
        <v>CA</v>
      </c>
      <c r="F13912" t="str">
        <f t="shared" si="5160"/>
        <v>921365299</v>
      </c>
      <c r="G13912" t="str">
        <f t="shared" si="5166"/>
        <v>3755 BRINSER STREET</v>
      </c>
      <c r="H13912" t="str">
        <f t="shared" si="5168"/>
        <v>SUITE 1</v>
      </c>
      <c r="I13912" t="str">
        <f t="shared" si="5163"/>
        <v>SAN DIEGO</v>
      </c>
      <c r="J13912" t="str">
        <f t="shared" si="5164"/>
        <v>CA</v>
      </c>
      <c r="K13912" t="str">
        <f>T("6195561870")</f>
        <v>6195561870</v>
      </c>
      <c r="L13912" t="str">
        <f>T("6195565263")</f>
        <v>6195565263</v>
      </c>
    </row>
    <row r="13913" spans="1:12" x14ac:dyDescent="0.35">
      <c r="A13913" t="str">
        <f t="shared" si="5155"/>
        <v>SWRMC</v>
      </c>
      <c r="B13913" t="str">
        <f t="shared" si="5156"/>
        <v>3755 BRINSER ST STE 1</v>
      </c>
      <c r="C13913" t="str">
        <f t="shared" si="5157"/>
        <v/>
      </c>
      <c r="D13913" t="str">
        <f t="shared" si="5158"/>
        <v>SAN DIEGO</v>
      </c>
      <c r="E13913" t="str">
        <f t="shared" si="5159"/>
        <v>CA</v>
      </c>
      <c r="F13913" t="str">
        <f t="shared" si="5160"/>
        <v>921365299</v>
      </c>
      <c r="G13913" t="str">
        <f t="shared" si="5166"/>
        <v>3755 BRINSER STREET</v>
      </c>
      <c r="H13913" t="str">
        <f t="shared" si="5168"/>
        <v>SUITE 1</v>
      </c>
      <c r="I13913" t="str">
        <f t="shared" si="5163"/>
        <v>SAN DIEGO</v>
      </c>
      <c r="J13913" t="str">
        <f t="shared" si="5164"/>
        <v>CA</v>
      </c>
      <c r="K13913" t="str">
        <f>T("6195561878")</f>
        <v>6195561878</v>
      </c>
      <c r="L13913" t="str">
        <f>T("6195562442")</f>
        <v>6195562442</v>
      </c>
    </row>
    <row r="13914" spans="1:12" x14ac:dyDescent="0.35">
      <c r="A13914" t="str">
        <f t="shared" si="5155"/>
        <v>SWRMC</v>
      </c>
      <c r="B13914" t="str">
        <f t="shared" si="5156"/>
        <v>3755 BRINSER ST STE 1</v>
      </c>
      <c r="C13914" t="str">
        <f t="shared" si="5157"/>
        <v/>
      </c>
      <c r="D13914" t="str">
        <f t="shared" si="5158"/>
        <v>SAN DIEGO</v>
      </c>
      <c r="E13914" t="str">
        <f t="shared" si="5159"/>
        <v>CA</v>
      </c>
      <c r="F13914" t="str">
        <f t="shared" si="5160"/>
        <v>921365299</v>
      </c>
      <c r="G13914" t="str">
        <f t="shared" si="5166"/>
        <v>3755 BRINSER STREET</v>
      </c>
      <c r="H13914" t="str">
        <f t="shared" si="5168"/>
        <v>SUITE 1</v>
      </c>
      <c r="I13914" t="str">
        <f t="shared" si="5163"/>
        <v>SAN DIEGO</v>
      </c>
      <c r="J13914" t="str">
        <f t="shared" si="5164"/>
        <v>CA</v>
      </c>
      <c r="K13914" t="str">
        <f>T("6195562156")</f>
        <v>6195562156</v>
      </c>
      <c r="L13914" t="str">
        <f>T("6195562142")</f>
        <v>6195562142</v>
      </c>
    </row>
    <row r="13915" spans="1:12" x14ac:dyDescent="0.35">
      <c r="A13915" t="str">
        <f t="shared" si="5155"/>
        <v>SWRMC</v>
      </c>
      <c r="B13915" t="str">
        <f t="shared" si="5156"/>
        <v>3755 BRINSER ST STE 1</v>
      </c>
      <c r="C13915" t="str">
        <f t="shared" si="5157"/>
        <v/>
      </c>
      <c r="D13915" t="str">
        <f t="shared" si="5158"/>
        <v>SAN DIEGO</v>
      </c>
      <c r="E13915" t="str">
        <f t="shared" si="5159"/>
        <v>CA</v>
      </c>
      <c r="F13915" t="str">
        <f t="shared" si="5160"/>
        <v>921365299</v>
      </c>
      <c r="G13915" t="str">
        <f t="shared" si="5166"/>
        <v>3755 BRINSER STREET</v>
      </c>
      <c r="H13915" t="str">
        <f t="shared" si="5168"/>
        <v>SUITE 1</v>
      </c>
      <c r="I13915" t="str">
        <f t="shared" si="5163"/>
        <v>SAN DIEGO</v>
      </c>
      <c r="J13915" t="str">
        <f t="shared" si="5164"/>
        <v>CA</v>
      </c>
      <c r="K13915" t="str">
        <f>T("6195562156")</f>
        <v>6195562156</v>
      </c>
      <c r="L13915" t="str">
        <f>T("6195562153")</f>
        <v>6195562153</v>
      </c>
    </row>
    <row r="13916" spans="1:12" x14ac:dyDescent="0.35">
      <c r="A13916" t="str">
        <f t="shared" si="5155"/>
        <v>SWRMC</v>
      </c>
      <c r="B13916" t="str">
        <f t="shared" si="5156"/>
        <v>3755 BRINSER ST STE 1</v>
      </c>
      <c r="C13916" t="str">
        <f t="shared" si="5157"/>
        <v/>
      </c>
      <c r="D13916" t="str">
        <f t="shared" si="5158"/>
        <v>SAN DIEGO</v>
      </c>
      <c r="E13916" t="str">
        <f t="shared" si="5159"/>
        <v>CA</v>
      </c>
      <c r="F13916" t="str">
        <f t="shared" si="5160"/>
        <v>921365299</v>
      </c>
      <c r="G13916" t="str">
        <f t="shared" si="5166"/>
        <v>3755 BRINSER STREET</v>
      </c>
      <c r="H13916" t="str">
        <f t="shared" si="5168"/>
        <v>SUITE 1</v>
      </c>
      <c r="I13916" t="str">
        <f t="shared" si="5163"/>
        <v>SAN DIEGO</v>
      </c>
      <c r="J13916" t="str">
        <f t="shared" si="5164"/>
        <v>CA</v>
      </c>
      <c r="K13916" t="str">
        <f>T("6195562156")</f>
        <v>6195562156</v>
      </c>
      <c r="L13916" t="str">
        <f>T("6195562627")</f>
        <v>6195562627</v>
      </c>
    </row>
    <row r="13917" spans="1:12" x14ac:dyDescent="0.35">
      <c r="A13917" t="str">
        <f t="shared" si="5155"/>
        <v>SWRMC</v>
      </c>
      <c r="B13917" t="str">
        <f t="shared" si="5156"/>
        <v>3755 BRINSER ST STE 1</v>
      </c>
      <c r="C13917" t="str">
        <f t="shared" si="5157"/>
        <v/>
      </c>
      <c r="D13917" t="str">
        <f t="shared" si="5158"/>
        <v>SAN DIEGO</v>
      </c>
      <c r="E13917" t="str">
        <f t="shared" si="5159"/>
        <v>CA</v>
      </c>
      <c r="F13917" t="str">
        <f t="shared" si="5160"/>
        <v>921365299</v>
      </c>
      <c r="G13917" t="str">
        <f t="shared" si="5166"/>
        <v>3755 BRINSER STREET</v>
      </c>
      <c r="H13917" t="str">
        <f t="shared" si="5168"/>
        <v>SUITE 1</v>
      </c>
      <c r="I13917" t="str">
        <f t="shared" si="5163"/>
        <v>SAN DIEGO</v>
      </c>
      <c r="J13917" t="str">
        <f t="shared" si="5164"/>
        <v>CA</v>
      </c>
      <c r="K13917" t="str">
        <f>T("6195562156")</f>
        <v>6195562156</v>
      </c>
      <c r="L13917" t="str">
        <f>T("6195562684")</f>
        <v>6195562684</v>
      </c>
    </row>
    <row r="13918" spans="1:12" x14ac:dyDescent="0.35">
      <c r="A13918" t="str">
        <f t="shared" si="5155"/>
        <v>SWRMC</v>
      </c>
      <c r="B13918" t="str">
        <f t="shared" si="5156"/>
        <v>3755 BRINSER ST STE 1</v>
      </c>
      <c r="C13918" t="str">
        <f t="shared" si="5157"/>
        <v/>
      </c>
      <c r="D13918" t="str">
        <f t="shared" si="5158"/>
        <v>SAN DIEGO</v>
      </c>
      <c r="E13918" t="str">
        <f t="shared" si="5159"/>
        <v>CA</v>
      </c>
      <c r="F13918" t="str">
        <f t="shared" si="5160"/>
        <v>921365299</v>
      </c>
      <c r="G13918" t="str">
        <f t="shared" si="5166"/>
        <v>3755 BRINSER STREET</v>
      </c>
      <c r="H13918" t="str">
        <f t="shared" si="5168"/>
        <v>SUITE 1</v>
      </c>
      <c r="I13918" t="str">
        <f t="shared" si="5163"/>
        <v>SAN DIEGO</v>
      </c>
      <c r="J13918" t="str">
        <f t="shared" si="5164"/>
        <v>CA</v>
      </c>
      <c r="K13918" t="str">
        <f>T("6195562156")</f>
        <v>6195562156</v>
      </c>
      <c r="L13918" t="str">
        <f>T("6195566278")</f>
        <v>6195566278</v>
      </c>
    </row>
    <row r="13919" spans="1:12" x14ac:dyDescent="0.35">
      <c r="A13919" t="str">
        <f t="shared" si="5155"/>
        <v>SWRMC</v>
      </c>
      <c r="B13919" t="str">
        <f t="shared" si="5156"/>
        <v>3755 BRINSER ST STE 1</v>
      </c>
      <c r="C13919" t="str">
        <f t="shared" si="5157"/>
        <v/>
      </c>
      <c r="D13919" t="str">
        <f t="shared" si="5158"/>
        <v>SAN DIEGO</v>
      </c>
      <c r="E13919" t="str">
        <f t="shared" si="5159"/>
        <v>CA</v>
      </c>
      <c r="F13919" t="str">
        <f t="shared" si="5160"/>
        <v>921365299</v>
      </c>
      <c r="G13919" t="str">
        <f t="shared" si="5166"/>
        <v>3755 BRINSER STREET</v>
      </c>
      <c r="H13919" t="str">
        <f t="shared" si="5168"/>
        <v>SUITE 1</v>
      </c>
      <c r="I13919" t="str">
        <f t="shared" si="5163"/>
        <v>SAN DIEGO</v>
      </c>
      <c r="J13919" t="str">
        <f t="shared" si="5164"/>
        <v>CA</v>
      </c>
      <c r="K13919" t="str">
        <f>T("6195562294")</f>
        <v>6195562294</v>
      </c>
      <c r="L13919" t="str">
        <f>T("6195564871")</f>
        <v>6195564871</v>
      </c>
    </row>
    <row r="13920" spans="1:12" x14ac:dyDescent="0.35">
      <c r="A13920" t="str">
        <f t="shared" si="5155"/>
        <v>SWRMC</v>
      </c>
      <c r="B13920" t="str">
        <f t="shared" si="5156"/>
        <v>3755 BRINSER ST STE 1</v>
      </c>
      <c r="C13920" t="str">
        <f t="shared" si="5157"/>
        <v/>
      </c>
      <c r="D13920" t="str">
        <f t="shared" si="5158"/>
        <v>SAN DIEGO</v>
      </c>
      <c r="E13920" t="str">
        <f t="shared" si="5159"/>
        <v>CA</v>
      </c>
      <c r="F13920" t="str">
        <f t="shared" si="5160"/>
        <v>921365299</v>
      </c>
      <c r="G13920" t="str">
        <f t="shared" si="5166"/>
        <v>3755 BRINSER STREET</v>
      </c>
      <c r="H13920" t="str">
        <f t="shared" si="5168"/>
        <v>SUITE 1</v>
      </c>
      <c r="I13920" t="str">
        <f t="shared" si="5163"/>
        <v>SAN DIEGO</v>
      </c>
      <c r="J13920" t="str">
        <f t="shared" si="5164"/>
        <v>CA</v>
      </c>
      <c r="K13920" t="str">
        <f>T("6195562917")</f>
        <v>6195562917</v>
      </c>
      <c r="L13920" t="str">
        <f>T("6195563082")</f>
        <v>6195563082</v>
      </c>
    </row>
    <row r="13921" spans="1:12" x14ac:dyDescent="0.35">
      <c r="A13921" t="str">
        <f t="shared" si="5155"/>
        <v>SWRMC</v>
      </c>
      <c r="B13921" t="str">
        <f t="shared" si="5156"/>
        <v>3755 BRINSER ST STE 1</v>
      </c>
      <c r="C13921" t="str">
        <f t="shared" si="5157"/>
        <v/>
      </c>
      <c r="D13921" t="str">
        <f t="shared" si="5158"/>
        <v>SAN DIEGO</v>
      </c>
      <c r="E13921" t="str">
        <f t="shared" si="5159"/>
        <v>CA</v>
      </c>
      <c r="F13921" t="str">
        <f t="shared" si="5160"/>
        <v>921365299</v>
      </c>
      <c r="G13921" t="str">
        <f t="shared" si="5166"/>
        <v>3755 BRINSER STREET</v>
      </c>
      <c r="H13921" t="str">
        <f t="shared" si="5168"/>
        <v>SUITE 1</v>
      </c>
      <c r="I13921" t="str">
        <f t="shared" si="5163"/>
        <v>SAN DIEGO</v>
      </c>
      <c r="J13921" t="str">
        <f t="shared" si="5164"/>
        <v>CA</v>
      </c>
      <c r="K13921" t="str">
        <f>T("6195562917")</f>
        <v>6195562917</v>
      </c>
      <c r="L13921" t="str">
        <f>T("6195566743")</f>
        <v>6195566743</v>
      </c>
    </row>
    <row r="13922" spans="1:12" x14ac:dyDescent="0.35">
      <c r="A13922" t="str">
        <f t="shared" si="5155"/>
        <v>SWRMC</v>
      </c>
      <c r="B13922" t="str">
        <f t="shared" si="5156"/>
        <v>3755 BRINSER ST STE 1</v>
      </c>
      <c r="C13922" t="str">
        <f t="shared" si="5157"/>
        <v/>
      </c>
      <c r="D13922" t="str">
        <f t="shared" si="5158"/>
        <v>SAN DIEGO</v>
      </c>
      <c r="E13922" t="str">
        <f t="shared" si="5159"/>
        <v>CA</v>
      </c>
      <c r="F13922" t="str">
        <f t="shared" si="5160"/>
        <v>921365299</v>
      </c>
      <c r="G13922" t="str">
        <f t="shared" si="5166"/>
        <v>3755 BRINSER STREET</v>
      </c>
      <c r="H13922" t="str">
        <f t="shared" si="5168"/>
        <v>SUITE 1</v>
      </c>
      <c r="I13922" t="str">
        <f t="shared" si="5163"/>
        <v>SAN DIEGO</v>
      </c>
      <c r="J13922" t="str">
        <f t="shared" si="5164"/>
        <v>CA</v>
      </c>
      <c r="K13922" t="str">
        <f>T("6195562946")</f>
        <v>6195562946</v>
      </c>
      <c r="L13922" t="str">
        <f>T("6195562943")</f>
        <v>6195562943</v>
      </c>
    </row>
    <row r="13923" spans="1:12" x14ac:dyDescent="0.35">
      <c r="A13923" t="str">
        <f t="shared" si="5155"/>
        <v>SWRMC</v>
      </c>
      <c r="B13923" t="str">
        <f t="shared" si="5156"/>
        <v>3755 BRINSER ST STE 1</v>
      </c>
      <c r="C13923" t="str">
        <f t="shared" si="5157"/>
        <v/>
      </c>
      <c r="D13923" t="str">
        <f t="shared" si="5158"/>
        <v>SAN DIEGO</v>
      </c>
      <c r="E13923" t="str">
        <f t="shared" si="5159"/>
        <v>CA</v>
      </c>
      <c r="F13923" t="str">
        <f t="shared" si="5160"/>
        <v>921365299</v>
      </c>
      <c r="G13923" t="str">
        <f t="shared" si="5166"/>
        <v>3755 BRINSER STREET</v>
      </c>
      <c r="H13923" t="str">
        <f t="shared" si="5168"/>
        <v>SUITE 1</v>
      </c>
      <c r="I13923" t="str">
        <f t="shared" si="5163"/>
        <v>SAN DIEGO</v>
      </c>
      <c r="J13923" t="str">
        <f t="shared" si="5164"/>
        <v>CA</v>
      </c>
      <c r="K13923" t="str">
        <f>T("6195562966")</f>
        <v>6195562966</v>
      </c>
      <c r="L13923" t="str">
        <f>T("6195560998")</f>
        <v>6195560998</v>
      </c>
    </row>
    <row r="13924" spans="1:12" x14ac:dyDescent="0.35">
      <c r="A13924" t="str">
        <f t="shared" si="5155"/>
        <v>SWRMC</v>
      </c>
      <c r="B13924" t="str">
        <f t="shared" si="5156"/>
        <v>3755 BRINSER ST STE 1</v>
      </c>
      <c r="C13924" t="str">
        <f t="shared" si="5157"/>
        <v/>
      </c>
      <c r="D13924" t="str">
        <f t="shared" si="5158"/>
        <v>SAN DIEGO</v>
      </c>
      <c r="E13924" t="str">
        <f t="shared" si="5159"/>
        <v>CA</v>
      </c>
      <c r="F13924" t="str">
        <f t="shared" si="5160"/>
        <v>921365299</v>
      </c>
      <c r="G13924" t="str">
        <f t="shared" si="5166"/>
        <v>3755 BRINSER STREET</v>
      </c>
      <c r="H13924" t="str">
        <f t="shared" si="5168"/>
        <v>SUITE 1</v>
      </c>
      <c r="I13924" t="str">
        <f t="shared" si="5163"/>
        <v>SAN DIEGO</v>
      </c>
      <c r="J13924" t="str">
        <f t="shared" si="5164"/>
        <v>CA</v>
      </c>
      <c r="K13924" t="str">
        <f>T("6195562966")</f>
        <v>6195562966</v>
      </c>
      <c r="L13924" t="str">
        <f>T("6195567246")</f>
        <v>6195567246</v>
      </c>
    </row>
    <row r="13925" spans="1:12" x14ac:dyDescent="0.35">
      <c r="A13925" t="str">
        <f t="shared" si="5155"/>
        <v>SWRMC</v>
      </c>
      <c r="B13925" t="str">
        <f t="shared" si="5156"/>
        <v>3755 BRINSER ST STE 1</v>
      </c>
      <c r="C13925" t="str">
        <f t="shared" si="5157"/>
        <v/>
      </c>
      <c r="D13925" t="str">
        <f t="shared" si="5158"/>
        <v>SAN DIEGO</v>
      </c>
      <c r="E13925" t="str">
        <f t="shared" si="5159"/>
        <v>CA</v>
      </c>
      <c r="F13925" t="str">
        <f t="shared" si="5160"/>
        <v>921365299</v>
      </c>
      <c r="G13925" t="str">
        <f t="shared" si="5166"/>
        <v>3755 BRINSER STREET</v>
      </c>
      <c r="H13925" t="str">
        <f t="shared" si="5168"/>
        <v>SUITE 1</v>
      </c>
      <c r="I13925" t="str">
        <f t="shared" si="5163"/>
        <v>SAN DIEGO</v>
      </c>
      <c r="J13925" t="str">
        <f t="shared" si="5164"/>
        <v>CA</v>
      </c>
      <c r="K13925" t="str">
        <f>T("6195565159")</f>
        <v>6195565159</v>
      </c>
      <c r="L13925" t="str">
        <f>T("6195562053")</f>
        <v>6195562053</v>
      </c>
    </row>
    <row r="13926" spans="1:12" x14ac:dyDescent="0.35">
      <c r="A13926" t="str">
        <f t="shared" si="5155"/>
        <v>SWRMC</v>
      </c>
      <c r="B13926" t="str">
        <f t="shared" si="5156"/>
        <v>3755 BRINSER ST STE 1</v>
      </c>
      <c r="C13926" t="str">
        <f t="shared" si="5157"/>
        <v/>
      </c>
      <c r="D13926" t="str">
        <f t="shared" si="5158"/>
        <v>SAN DIEGO</v>
      </c>
      <c r="E13926" t="str">
        <f t="shared" si="5159"/>
        <v>CA</v>
      </c>
      <c r="F13926" t="str">
        <f t="shared" si="5160"/>
        <v>921365299</v>
      </c>
      <c r="G13926" t="str">
        <f t="shared" si="5166"/>
        <v>3755 BRINSER STREET</v>
      </c>
      <c r="H13926" t="str">
        <f t="shared" si="5168"/>
        <v>SUITE 1</v>
      </c>
      <c r="I13926" t="str">
        <f t="shared" si="5163"/>
        <v>SAN DIEGO</v>
      </c>
      <c r="J13926" t="str">
        <f t="shared" si="5164"/>
        <v>CA</v>
      </c>
      <c r="K13926" t="str">
        <f>T("6195567724")</f>
        <v>6195567724</v>
      </c>
      <c r="L13926" t="str">
        <f>T("6195562380")</f>
        <v>6195562380</v>
      </c>
    </row>
    <row r="13927" spans="1:12" x14ac:dyDescent="0.35">
      <c r="A13927" t="str">
        <f t="shared" si="5155"/>
        <v>SWRMC</v>
      </c>
      <c r="B13927" t="str">
        <f t="shared" si="5156"/>
        <v>3755 BRINSER ST STE 1</v>
      </c>
      <c r="C13927" t="str">
        <f t="shared" si="5157"/>
        <v/>
      </c>
      <c r="D13927" t="str">
        <f t="shared" si="5158"/>
        <v>SAN DIEGO</v>
      </c>
      <c r="E13927" t="str">
        <f t="shared" si="5159"/>
        <v>CA</v>
      </c>
      <c r="F13927" t="str">
        <f t="shared" si="5160"/>
        <v>921365299</v>
      </c>
      <c r="G13927" t="str">
        <f t="shared" si="5166"/>
        <v>3755 BRINSER STREET</v>
      </c>
      <c r="H13927" t="str">
        <f t="shared" si="5168"/>
        <v>SUITE 1</v>
      </c>
      <c r="I13927" t="str">
        <f t="shared" si="5163"/>
        <v>SAN DIEGO</v>
      </c>
      <c r="J13927" t="str">
        <f t="shared" si="5164"/>
        <v>CA</v>
      </c>
      <c r="K13927" t="str">
        <f>T("6195568011")</f>
        <v>6195568011</v>
      </c>
      <c r="L13927" t="str">
        <f>T("6195562466")</f>
        <v>6195562466</v>
      </c>
    </row>
    <row r="13928" spans="1:12" x14ac:dyDescent="0.35">
      <c r="A13928" t="str">
        <f t="shared" si="5155"/>
        <v>SWRMC</v>
      </c>
      <c r="B13928" t="str">
        <f t="shared" si="5156"/>
        <v>3755 BRINSER ST STE 1</v>
      </c>
      <c r="C13928" t="str">
        <f t="shared" si="5157"/>
        <v/>
      </c>
      <c r="D13928" t="str">
        <f t="shared" si="5158"/>
        <v>SAN DIEGO</v>
      </c>
      <c r="E13928" t="str">
        <f t="shared" si="5159"/>
        <v>CA</v>
      </c>
      <c r="F13928" t="str">
        <f t="shared" si="5160"/>
        <v>921365299</v>
      </c>
      <c r="G13928" t="str">
        <f t="shared" si="5166"/>
        <v>3755 BRINSER STREET</v>
      </c>
      <c r="H13928" t="str">
        <f t="shared" si="5168"/>
        <v>SUITE 1</v>
      </c>
      <c r="I13928" t="str">
        <f t="shared" si="5163"/>
        <v>SAN DIEGO</v>
      </c>
      <c r="J13928" t="str">
        <f t="shared" si="5164"/>
        <v>CA</v>
      </c>
      <c r="K13928" t="str">
        <f>T("6195569080")</f>
        <v>6195569080</v>
      </c>
      <c r="L13928" t="str">
        <f>T("6195560493")</f>
        <v>6195560493</v>
      </c>
    </row>
    <row r="13929" spans="1:12" x14ac:dyDescent="0.35">
      <c r="A13929" t="str">
        <f t="shared" si="5155"/>
        <v>SWRMC</v>
      </c>
      <c r="B13929" t="str">
        <f t="shared" si="5156"/>
        <v>3755 BRINSER ST STE 1</v>
      </c>
      <c r="C13929" t="str">
        <f t="shared" si="5157"/>
        <v/>
      </c>
      <c r="D13929" t="str">
        <f t="shared" si="5158"/>
        <v>SAN DIEGO</v>
      </c>
      <c r="E13929" t="str">
        <f t="shared" si="5159"/>
        <v>CA</v>
      </c>
      <c r="F13929" t="str">
        <f t="shared" si="5160"/>
        <v>921365299</v>
      </c>
      <c r="G13929" t="str">
        <f t="shared" si="5166"/>
        <v>3755 BRINSER STREET</v>
      </c>
      <c r="H13929" t="str">
        <f t="shared" si="5168"/>
        <v>SUITE 1</v>
      </c>
      <c r="I13929" t="str">
        <f t="shared" si="5163"/>
        <v>SAN DIEGO</v>
      </c>
      <c r="J13929" t="str">
        <f t="shared" si="5164"/>
        <v>CA</v>
      </c>
      <c r="K13929" t="str">
        <f>T("6195569700")</f>
        <v>6195569700</v>
      </c>
      <c r="L13929" t="str">
        <f>T("6195562452")</f>
        <v>6195562452</v>
      </c>
    </row>
    <row r="13930" spans="1:12" x14ac:dyDescent="0.35">
      <c r="A13930" t="str">
        <f t="shared" ref="A13930:A13938" si="5169">T("COMNAVFORJAPAN")</f>
        <v>COMNAVFORJAPAN</v>
      </c>
      <c r="B13930" t="str">
        <f t="shared" ref="B13930:B13936" si="5170">T("PSC 473 BOX 12")</f>
        <v>PSC 473 BOX 12</v>
      </c>
      <c r="C13930" t="str">
        <f t="shared" si="5157"/>
        <v/>
      </c>
      <c r="D13930" t="str">
        <f t="shared" ref="D13930:D13940" si="5171">T("FPO")</f>
        <v>FPO</v>
      </c>
      <c r="E13930" t="str">
        <f t="shared" ref="E13930:E13956" si="5172">T("AP")</f>
        <v>AP</v>
      </c>
      <c r="F13930" t="str">
        <f t="shared" ref="F13930:F13936" si="5173">T("963490001")</f>
        <v>963490001</v>
      </c>
      <c r="G13930" t="str">
        <f>T("PSC 473 BOX 12")</f>
        <v>PSC 473 BOX 12</v>
      </c>
      <c r="H13930" t="str">
        <f>T("")</f>
        <v/>
      </c>
      <c r="I13930" t="str">
        <f t="shared" ref="I13930:I13940" si="5174">T("FPO")</f>
        <v>FPO</v>
      </c>
      <c r="J13930" t="str">
        <f t="shared" ref="J13930:J13952" si="5175">T("AP")</f>
        <v>AP</v>
      </c>
      <c r="K13930" t="str">
        <f>T("")</f>
        <v/>
      </c>
      <c r="L13930" t="str">
        <f>T("1111111111")</f>
        <v>1111111111</v>
      </c>
    </row>
    <row r="13931" spans="1:12" x14ac:dyDescent="0.35">
      <c r="A13931" t="str">
        <f t="shared" si="5169"/>
        <v>COMNAVFORJAPAN</v>
      </c>
      <c r="B13931" t="str">
        <f t="shared" si="5170"/>
        <v>PSC 473 BOX 12</v>
      </c>
      <c r="C13931" t="str">
        <f t="shared" si="5157"/>
        <v/>
      </c>
      <c r="D13931" t="str">
        <f t="shared" si="5171"/>
        <v>FPO</v>
      </c>
      <c r="E13931" t="str">
        <f t="shared" si="5172"/>
        <v>AP</v>
      </c>
      <c r="F13931" t="str">
        <f t="shared" si="5173"/>
        <v>963490001</v>
      </c>
      <c r="G13931" t="str">
        <f>T("PSC 473 BOX 12")</f>
        <v>PSC 473 BOX 12</v>
      </c>
      <c r="H13931" t="str">
        <f>T("")</f>
        <v/>
      </c>
      <c r="I13931" t="str">
        <f t="shared" si="5174"/>
        <v>FPO</v>
      </c>
      <c r="J13931" t="str">
        <f t="shared" si="5175"/>
        <v>AP</v>
      </c>
      <c r="K13931" t="str">
        <f>T("000000000000000000")</f>
        <v>000000000000000000</v>
      </c>
      <c r="L13931" t="str">
        <f>T("1111111111")</f>
        <v>1111111111</v>
      </c>
    </row>
    <row r="13932" spans="1:12" x14ac:dyDescent="0.35">
      <c r="A13932" t="str">
        <f t="shared" si="5169"/>
        <v>COMNAVFORJAPAN</v>
      </c>
      <c r="B13932" t="str">
        <f t="shared" si="5170"/>
        <v>PSC 473 BOX 12</v>
      </c>
      <c r="C13932" t="str">
        <f t="shared" si="5157"/>
        <v/>
      </c>
      <c r="D13932" t="str">
        <f t="shared" si="5171"/>
        <v>FPO</v>
      </c>
      <c r="E13932" t="str">
        <f t="shared" si="5172"/>
        <v>AP</v>
      </c>
      <c r="F13932" t="str">
        <f t="shared" si="5173"/>
        <v>963490001</v>
      </c>
      <c r="G13932" t="str">
        <f>T("PSC 477 BOX 9")</f>
        <v>PSC 477 BOX 9</v>
      </c>
      <c r="H13932" t="str">
        <f>T("COMREL ATSUGI")</f>
        <v>COMREL ATSUGI</v>
      </c>
      <c r="I13932" t="str">
        <f t="shared" si="5174"/>
        <v>FPO</v>
      </c>
      <c r="J13932" t="str">
        <f t="shared" si="5175"/>
        <v>AP</v>
      </c>
      <c r="K13932" t="str">
        <f>T("000000000000000000")</f>
        <v>000000000000000000</v>
      </c>
      <c r="L13932" t="str">
        <f>T("1111111111")</f>
        <v>1111111111</v>
      </c>
    </row>
    <row r="13933" spans="1:12" x14ac:dyDescent="0.35">
      <c r="A13933" t="str">
        <f t="shared" si="5169"/>
        <v>COMNAVFORJAPAN</v>
      </c>
      <c r="B13933" t="str">
        <f t="shared" si="5170"/>
        <v>PSC 473 BOX 12</v>
      </c>
      <c r="C13933" t="str">
        <f t="shared" ref="C13933:C13938" si="5176">T("OFFICIAL REPRESENTATION FUNDS")</f>
        <v>OFFICIAL REPRESENTATION FUNDS</v>
      </c>
      <c r="D13933" t="str">
        <f t="shared" si="5171"/>
        <v>FPO</v>
      </c>
      <c r="E13933" t="str">
        <f t="shared" si="5172"/>
        <v>AP</v>
      </c>
      <c r="F13933" t="str">
        <f t="shared" si="5173"/>
        <v>963490001</v>
      </c>
      <c r="G13933" t="str">
        <f>T("PSC 473 BOX 12")</f>
        <v>PSC 473 BOX 12</v>
      </c>
      <c r="H13933" t="str">
        <f>T("")</f>
        <v/>
      </c>
      <c r="I13933" t="str">
        <f t="shared" si="5174"/>
        <v>FPO</v>
      </c>
      <c r="J13933" t="str">
        <f t="shared" si="5175"/>
        <v>AP</v>
      </c>
      <c r="K13933" t="str">
        <f>T("01181468161780")</f>
        <v>01181468161780</v>
      </c>
      <c r="L13933" t="str">
        <f>T("1111111111")</f>
        <v>1111111111</v>
      </c>
    </row>
    <row r="13934" spans="1:12" x14ac:dyDescent="0.35">
      <c r="A13934" t="str">
        <f t="shared" si="5169"/>
        <v>COMNAVFORJAPAN</v>
      </c>
      <c r="B13934" t="str">
        <f t="shared" si="5170"/>
        <v>PSC 473 BOX 12</v>
      </c>
      <c r="C13934" t="str">
        <f t="shared" si="5176"/>
        <v>OFFICIAL REPRESENTATION FUNDS</v>
      </c>
      <c r="D13934" t="str">
        <f t="shared" si="5171"/>
        <v>FPO</v>
      </c>
      <c r="E13934" t="str">
        <f t="shared" si="5172"/>
        <v>AP</v>
      </c>
      <c r="F13934" t="str">
        <f t="shared" si="5173"/>
        <v>963490001</v>
      </c>
      <c r="G13934" t="str">
        <f>T("PSC 473 BOX 12")</f>
        <v>PSC 473 BOX 12</v>
      </c>
      <c r="H13934" t="str">
        <f>T("")</f>
        <v/>
      </c>
      <c r="I13934" t="str">
        <f t="shared" si="5174"/>
        <v>FPO</v>
      </c>
      <c r="J13934" t="str">
        <f t="shared" si="5175"/>
        <v>AP</v>
      </c>
      <c r="K13934" t="str">
        <f>T("01181468167600")</f>
        <v>01181468167600</v>
      </c>
      <c r="L13934" t="str">
        <f>T("1111111111")</f>
        <v>1111111111</v>
      </c>
    </row>
    <row r="13935" spans="1:12" x14ac:dyDescent="0.35">
      <c r="A13935" t="str">
        <f t="shared" si="5169"/>
        <v>COMNAVFORJAPAN</v>
      </c>
      <c r="B13935" t="str">
        <f t="shared" si="5170"/>
        <v>PSC 473 BOX 12</v>
      </c>
      <c r="C13935" t="str">
        <f t="shared" si="5176"/>
        <v>OFFICIAL REPRESENTATION FUNDS</v>
      </c>
      <c r="D13935" t="str">
        <f t="shared" si="5171"/>
        <v>FPO</v>
      </c>
      <c r="E13935" t="str">
        <f t="shared" si="5172"/>
        <v>AP</v>
      </c>
      <c r="F13935" t="str">
        <f t="shared" si="5173"/>
        <v>963490001</v>
      </c>
      <c r="G13935" t="str">
        <f>T("PSC 473 BOX 12")</f>
        <v>PSC 473 BOX 12</v>
      </c>
      <c r="H13935" t="str">
        <f>T("")</f>
        <v/>
      </c>
      <c r="I13935" t="str">
        <f t="shared" si="5174"/>
        <v>FPO</v>
      </c>
      <c r="J13935" t="str">
        <f t="shared" si="5175"/>
        <v>AP</v>
      </c>
      <c r="K13935" t="str">
        <f>T("01181468168003")</f>
        <v>01181468168003</v>
      </c>
      <c r="L13935" t="str">
        <f>T("3152437600")</f>
        <v>3152437600</v>
      </c>
    </row>
    <row r="13936" spans="1:12" x14ac:dyDescent="0.35">
      <c r="A13936" t="str">
        <f t="shared" si="5169"/>
        <v>COMNAVFORJAPAN</v>
      </c>
      <c r="B13936" t="str">
        <f t="shared" si="5170"/>
        <v>PSC 473 BOX 12</v>
      </c>
      <c r="C13936" t="str">
        <f t="shared" si="5176"/>
        <v>OFFICIAL REPRESENTATION FUNDS</v>
      </c>
      <c r="D13936" t="str">
        <f t="shared" si="5171"/>
        <v>FPO</v>
      </c>
      <c r="E13936" t="str">
        <f t="shared" si="5172"/>
        <v>AP</v>
      </c>
      <c r="F13936" t="str">
        <f t="shared" si="5173"/>
        <v>963490001</v>
      </c>
      <c r="G13936" t="str">
        <f>T("PSC 473 BOX 12")</f>
        <v>PSC 473 BOX 12</v>
      </c>
      <c r="H13936" t="str">
        <f>T("OFFICIAL REPRESENTATION FUNDS")</f>
        <v>OFFICIAL REPRESENTATION FUNDS</v>
      </c>
      <c r="I13936" t="str">
        <f t="shared" si="5174"/>
        <v>FPO</v>
      </c>
      <c r="J13936" t="str">
        <f t="shared" si="5175"/>
        <v>AP</v>
      </c>
      <c r="K13936" t="str">
        <f>T("")</f>
        <v/>
      </c>
      <c r="L13936" t="str">
        <f>T("1111111111")</f>
        <v>1111111111</v>
      </c>
    </row>
    <row r="13937" spans="1:12" x14ac:dyDescent="0.35">
      <c r="A13937" t="str">
        <f t="shared" si="5169"/>
        <v>COMNAVFORJAPAN</v>
      </c>
      <c r="B13937" t="str">
        <f>T("PSC 477 BOX 9")</f>
        <v>PSC 477 BOX 9</v>
      </c>
      <c r="C13937" t="str">
        <f t="shared" si="5176"/>
        <v>OFFICIAL REPRESENTATION FUNDS</v>
      </c>
      <c r="D13937" t="str">
        <f t="shared" si="5171"/>
        <v>FPO</v>
      </c>
      <c r="E13937" t="str">
        <f t="shared" si="5172"/>
        <v>AP</v>
      </c>
      <c r="F13937" t="str">
        <f>T("963060001")</f>
        <v>963060001</v>
      </c>
      <c r="G13937" t="str">
        <f>T("PSC 473 BOX 12")</f>
        <v>PSC 473 BOX 12</v>
      </c>
      <c r="H13937" t="str">
        <f>T("OFFICIAL REPRESENTATION FUNDS")</f>
        <v>OFFICIAL REPRESENTATION FUNDS</v>
      </c>
      <c r="I13937" t="str">
        <f t="shared" si="5174"/>
        <v>FPO</v>
      </c>
      <c r="J13937" t="str">
        <f t="shared" si="5175"/>
        <v>AP</v>
      </c>
      <c r="K13937" t="str">
        <f>T("000000000000000000")</f>
        <v>000000000000000000</v>
      </c>
      <c r="L13937" t="str">
        <f>T("1111111111")</f>
        <v>1111111111</v>
      </c>
    </row>
    <row r="13938" spans="1:12" x14ac:dyDescent="0.35">
      <c r="A13938" t="str">
        <f t="shared" si="5169"/>
        <v>COMNAVFORJAPAN</v>
      </c>
      <c r="B13938" t="str">
        <f>T("PSC 477 BOX 9")</f>
        <v>PSC 477 BOX 9</v>
      </c>
      <c r="C13938" t="str">
        <f t="shared" si="5176"/>
        <v>OFFICIAL REPRESENTATION FUNDS</v>
      </c>
      <c r="D13938" t="str">
        <f t="shared" si="5171"/>
        <v>FPO</v>
      </c>
      <c r="E13938" t="str">
        <f t="shared" si="5172"/>
        <v>AP</v>
      </c>
      <c r="F13938" t="str">
        <f>T("963060001")</f>
        <v>963060001</v>
      </c>
      <c r="G13938" t="str">
        <f>T("PSC 477 BOX 9")</f>
        <v>PSC 477 BOX 9</v>
      </c>
      <c r="H13938" t="str">
        <f>T("OFFICIAL REPRESENTATION FUNDS")</f>
        <v>OFFICIAL REPRESENTATION FUNDS</v>
      </c>
      <c r="I13938" t="str">
        <f t="shared" si="5174"/>
        <v>FPO</v>
      </c>
      <c r="J13938" t="str">
        <f t="shared" si="5175"/>
        <v>AP</v>
      </c>
      <c r="K13938" t="str">
        <f>T("01181467634269")</f>
        <v>01181467634269</v>
      </c>
      <c r="L13938" t="str">
        <f>T("1111111111")</f>
        <v>1111111111</v>
      </c>
    </row>
    <row r="13939" spans="1:12" x14ac:dyDescent="0.35">
      <c r="A13939" t="str">
        <f>T("NMC EAD DET YOKOSUKA")</f>
        <v>NMC EAD DET YOKOSUKA</v>
      </c>
      <c r="B13939" t="str">
        <f>T("PSC 473 BOX 6")</f>
        <v>PSC 473 BOX 6</v>
      </c>
      <c r="C13939" t="str">
        <f>T("")</f>
        <v/>
      </c>
      <c r="D13939" t="str">
        <f t="shared" si="5171"/>
        <v>FPO</v>
      </c>
      <c r="E13939" t="str">
        <f t="shared" si="5172"/>
        <v>AP</v>
      </c>
      <c r="F13939" t="str">
        <f>T("963490001")</f>
        <v>963490001</v>
      </c>
      <c r="G13939" t="str">
        <f>T("PSC 473 BOX 1 CODE N8")</f>
        <v>PSC 473 BOX 1 CODE N8</v>
      </c>
      <c r="H13939" t="str">
        <f>T("")</f>
        <v/>
      </c>
      <c r="I13939" t="str">
        <f t="shared" si="5174"/>
        <v>FPO</v>
      </c>
      <c r="J13939" t="str">
        <f t="shared" si="5175"/>
        <v>AP</v>
      </c>
      <c r="K13939" t="str">
        <f>T("01181468160335")</f>
        <v>01181468160335</v>
      </c>
      <c r="L13939" t="str">
        <f>T("3152430335")</f>
        <v>3152430335</v>
      </c>
    </row>
    <row r="13940" spans="1:12" x14ac:dyDescent="0.35">
      <c r="A13940" t="str">
        <f>T("NMC EAD DET YOKOSUKA")</f>
        <v>NMC EAD DET YOKOSUKA</v>
      </c>
      <c r="B13940" t="str">
        <f>T("PSC 473 BOX 6")</f>
        <v>PSC 473 BOX 6</v>
      </c>
      <c r="C13940" t="str">
        <f>T("")</f>
        <v/>
      </c>
      <c r="D13940" t="str">
        <f t="shared" si="5171"/>
        <v>FPO</v>
      </c>
      <c r="E13940" t="str">
        <f t="shared" si="5172"/>
        <v>AP</v>
      </c>
      <c r="F13940" t="str">
        <f>T("963490001")</f>
        <v>963490001</v>
      </c>
      <c r="G13940" t="str">
        <f>T("PSC 473 BOX 6")</f>
        <v>PSC 473 BOX 6</v>
      </c>
      <c r="H13940" t="str">
        <f>T("")</f>
        <v/>
      </c>
      <c r="I13940" t="str">
        <f t="shared" si="5174"/>
        <v>FPO</v>
      </c>
      <c r="J13940" t="str">
        <f t="shared" si="5175"/>
        <v>AP</v>
      </c>
      <c r="K13940" t="str">
        <f>T("000000000000000000")</f>
        <v>000000000000000000</v>
      </c>
      <c r="L13940" t="str">
        <f>T("1111111111")</f>
        <v>1111111111</v>
      </c>
    </row>
    <row r="13941" spans="1:12" x14ac:dyDescent="0.35">
      <c r="A13941" t="str">
        <f>T("NAF MISAWA")</f>
        <v>NAF MISAWA</v>
      </c>
      <c r="B13941" t="str">
        <f>T("UNIT 5048")</f>
        <v>UNIT 5048</v>
      </c>
      <c r="C13941" t="str">
        <f>T("FISCAL OFFICE")</f>
        <v>FISCAL OFFICE</v>
      </c>
      <c r="D13941" t="str">
        <f>T("APO")</f>
        <v>APO</v>
      </c>
      <c r="E13941" t="str">
        <f t="shared" si="5172"/>
        <v>AP</v>
      </c>
      <c r="F13941" t="str">
        <f>T("963195048")</f>
        <v>963195048</v>
      </c>
      <c r="G13941" t="str">
        <f>T("NAF MISAWA FINANCIAL MANAGEMENT OFFI")</f>
        <v>NAF MISAWA FINANCIAL MANAGEMENT OFFI</v>
      </c>
      <c r="H13941" t="str">
        <f>T("UNIT 5048")</f>
        <v>UNIT 5048</v>
      </c>
      <c r="I13941" t="str">
        <f>T("APO")</f>
        <v>APO</v>
      </c>
      <c r="J13941" t="str">
        <f t="shared" si="5175"/>
        <v>AP</v>
      </c>
      <c r="K13941" t="str">
        <f>T("81176773977")</f>
        <v>81176773977</v>
      </c>
      <c r="L13941" t="str">
        <f>T("1111111111")</f>
        <v>1111111111</v>
      </c>
    </row>
    <row r="13942" spans="1:12" x14ac:dyDescent="0.35">
      <c r="A13942" t="str">
        <f>T("NAF MISAWA")</f>
        <v>NAF MISAWA</v>
      </c>
      <c r="B13942" t="str">
        <f>T("UNIT 5048")</f>
        <v>UNIT 5048</v>
      </c>
      <c r="C13942" t="str">
        <f>T("FISCAL OFFICE")</f>
        <v>FISCAL OFFICE</v>
      </c>
      <c r="D13942" t="str">
        <f>T("APO")</f>
        <v>APO</v>
      </c>
      <c r="E13942" t="str">
        <f t="shared" si="5172"/>
        <v>AP</v>
      </c>
      <c r="F13942" t="str">
        <f>T("963195048")</f>
        <v>963195048</v>
      </c>
      <c r="G13942" t="str">
        <f>T("UNIT 5048")</f>
        <v>UNIT 5048</v>
      </c>
      <c r="H13942" t="str">
        <f>T("FISCAL OFFICE")</f>
        <v>FISCAL OFFICE</v>
      </c>
      <c r="I13942" t="str">
        <f>T("APO")</f>
        <v>APO</v>
      </c>
      <c r="J13942" t="str">
        <f t="shared" si="5175"/>
        <v>AP</v>
      </c>
      <c r="K13942" t="str">
        <f>T("000000000000000000")</f>
        <v>000000000000000000</v>
      </c>
      <c r="L13942" t="str">
        <f>T("1111111111")</f>
        <v>1111111111</v>
      </c>
    </row>
    <row r="13943" spans="1:12" x14ac:dyDescent="0.35">
      <c r="A13943" t="str">
        <f>T("NAVY/CMNDER FLT ACTVY OKINAWA")</f>
        <v>NAVY/CMNDER FLT ACTVY OKINAWA</v>
      </c>
      <c r="B13943" t="str">
        <f>T("PSC 480 BOX 794")</f>
        <v>PSC 480 BOX 794</v>
      </c>
      <c r="C13943" t="str">
        <f>T("")</f>
        <v/>
      </c>
      <c r="D13943" t="str">
        <f t="shared" ref="D13943:D13956" si="5177">T("FPO")</f>
        <v>FPO</v>
      </c>
      <c r="E13943" t="str">
        <f t="shared" si="5172"/>
        <v>AP</v>
      </c>
      <c r="F13943" t="str">
        <f>T("963700008")</f>
        <v>963700008</v>
      </c>
      <c r="G13943" t="str">
        <f>T("PSC 480 BOX 794")</f>
        <v>PSC 480 BOX 794</v>
      </c>
      <c r="H13943" t="str">
        <f>T("")</f>
        <v/>
      </c>
      <c r="I13943" t="str">
        <f t="shared" ref="I13943:I13952" si="5178">T("FPO")</f>
        <v>FPO</v>
      </c>
      <c r="J13943" t="str">
        <f t="shared" si="5175"/>
        <v>AP</v>
      </c>
      <c r="K13943" t="str">
        <f>T("000000000000000000")</f>
        <v>000000000000000000</v>
      </c>
      <c r="L13943" t="str">
        <f>T("0118161173")</f>
        <v>0118161173</v>
      </c>
    </row>
    <row r="13944" spans="1:12" x14ac:dyDescent="0.35">
      <c r="A13944" t="str">
        <f>T("NAVY/CMNDER FLT ACTVY OKINAWA")</f>
        <v>NAVY/CMNDER FLT ACTVY OKINAWA</v>
      </c>
      <c r="B13944" t="str">
        <f>T("PSC 480 BOX 794")</f>
        <v>PSC 480 BOX 794</v>
      </c>
      <c r="C13944" t="str">
        <f>T("")</f>
        <v/>
      </c>
      <c r="D13944" t="str">
        <f t="shared" si="5177"/>
        <v>FPO</v>
      </c>
      <c r="E13944" t="str">
        <f t="shared" si="5172"/>
        <v>AP</v>
      </c>
      <c r="F13944" t="str">
        <f>T("963700008")</f>
        <v>963700008</v>
      </c>
      <c r="G13944" t="str">
        <f>T("PSC 480 BOX 794")</f>
        <v>PSC 480 BOX 794</v>
      </c>
      <c r="H13944" t="str">
        <f>T("")</f>
        <v/>
      </c>
      <c r="I13944" t="str">
        <f t="shared" si="5178"/>
        <v>FPO</v>
      </c>
      <c r="J13944" t="str">
        <f t="shared" si="5175"/>
        <v>AP</v>
      </c>
      <c r="K13944" t="str">
        <f>T("011816117348232")</f>
        <v>011816117348232</v>
      </c>
      <c r="L13944" t="str">
        <f>T("1111111111")</f>
        <v>1111111111</v>
      </c>
    </row>
    <row r="13945" spans="1:12" x14ac:dyDescent="0.35">
      <c r="A13945" t="str">
        <f>T("NAVY/CMNDER FLT ACTVY OKINAWA")</f>
        <v>NAVY/CMNDER FLT ACTVY OKINAWA</v>
      </c>
      <c r="B13945" t="str">
        <f>T("PSC 480 BOX 794")</f>
        <v>PSC 480 BOX 794</v>
      </c>
      <c r="C13945" t="str">
        <f>T("")</f>
        <v/>
      </c>
      <c r="D13945" t="str">
        <f t="shared" si="5177"/>
        <v>FPO</v>
      </c>
      <c r="E13945" t="str">
        <f t="shared" si="5172"/>
        <v>AP</v>
      </c>
      <c r="F13945" t="str">
        <f>T("963700008")</f>
        <v>963700008</v>
      </c>
      <c r="G13945" t="str">
        <f>T("PSC 480 BOX 794")</f>
        <v>PSC 480 BOX 794</v>
      </c>
      <c r="H13945" t="str">
        <f>T("")</f>
        <v/>
      </c>
      <c r="I13945" t="str">
        <f t="shared" si="5178"/>
        <v>FPO</v>
      </c>
      <c r="J13945" t="str">
        <f t="shared" si="5175"/>
        <v>AP</v>
      </c>
      <c r="K13945" t="str">
        <f>T("011816117348232")</f>
        <v>011816117348232</v>
      </c>
      <c r="L13945" t="str">
        <f>T("3156348232")</f>
        <v>3156348232</v>
      </c>
    </row>
    <row r="13946" spans="1:12" x14ac:dyDescent="0.35">
      <c r="A13946" t="str">
        <f>T("NAVY/CMNDER FLT ACTVY OKINAWA")</f>
        <v>NAVY/CMNDER FLT ACTVY OKINAWA</v>
      </c>
      <c r="B13946" t="str">
        <f>T("PSC 480 BOX 794")</f>
        <v>PSC 480 BOX 794</v>
      </c>
      <c r="C13946" t="str">
        <f>T("")</f>
        <v/>
      </c>
      <c r="D13946" t="str">
        <f t="shared" si="5177"/>
        <v>FPO</v>
      </c>
      <c r="E13946" t="str">
        <f t="shared" si="5172"/>
        <v>AP</v>
      </c>
      <c r="F13946" t="str">
        <f>T("963700008")</f>
        <v>963700008</v>
      </c>
      <c r="G13946" t="str">
        <f>T("PSC 480 BOX 794")</f>
        <v>PSC 480 BOX 794</v>
      </c>
      <c r="H13946" t="str">
        <f>T("")</f>
        <v/>
      </c>
      <c r="I13946" t="str">
        <f t="shared" si="5178"/>
        <v>FPO</v>
      </c>
      <c r="J13946" t="str">
        <f t="shared" si="5175"/>
        <v>AP</v>
      </c>
      <c r="K13946" t="str">
        <f>T("011816117348557")</f>
        <v>011816117348557</v>
      </c>
      <c r="L13946" t="str">
        <f t="shared" ref="L13946:L13952" si="5179">T("1111111111")</f>
        <v>1111111111</v>
      </c>
    </row>
    <row r="13947" spans="1:12" x14ac:dyDescent="0.35">
      <c r="A13947" t="str">
        <f>T("NAVY/CMNDER FLT ACTVY OKINAWA")</f>
        <v>NAVY/CMNDER FLT ACTVY OKINAWA</v>
      </c>
      <c r="B13947" t="str">
        <f>T("PSC 480 BOX 794")</f>
        <v>PSC 480 BOX 794</v>
      </c>
      <c r="C13947" t="str">
        <f>T("")</f>
        <v/>
      </c>
      <c r="D13947" t="str">
        <f t="shared" si="5177"/>
        <v>FPO</v>
      </c>
      <c r="E13947" t="str">
        <f t="shared" si="5172"/>
        <v>AP</v>
      </c>
      <c r="F13947" t="str">
        <f>T("963700008")</f>
        <v>963700008</v>
      </c>
      <c r="G13947" t="str">
        <f>T("PSC 480 BOX 794")</f>
        <v>PSC 480 BOX 794</v>
      </c>
      <c r="H13947" t="str">
        <f>T("")</f>
        <v/>
      </c>
      <c r="I13947" t="str">
        <f t="shared" si="5178"/>
        <v>FPO</v>
      </c>
      <c r="J13947" t="str">
        <f t="shared" si="5175"/>
        <v>AP</v>
      </c>
      <c r="K13947" t="str">
        <f>T("011816117349475")</f>
        <v>011816117349475</v>
      </c>
      <c r="L13947" t="str">
        <f t="shared" si="5179"/>
        <v>1111111111</v>
      </c>
    </row>
    <row r="13948" spans="1:12" x14ac:dyDescent="0.35">
      <c r="A13948" t="str">
        <f>T("COMFLEACT SASEBO")</f>
        <v>COMFLEACT SASEBO</v>
      </c>
      <c r="B13948" t="str">
        <f>T("NMC EAD UNIT SASEBO")</f>
        <v>NMC EAD UNIT SASEBO</v>
      </c>
      <c r="C13948" t="str">
        <f>T("PSC 476 BOX 20")</f>
        <v>PSC 476 BOX 20</v>
      </c>
      <c r="D13948" t="str">
        <f t="shared" si="5177"/>
        <v>FPO</v>
      </c>
      <c r="E13948" t="str">
        <f t="shared" si="5172"/>
        <v>AP</v>
      </c>
      <c r="F13948" t="str">
        <f>T("963220001")</f>
        <v>963220001</v>
      </c>
      <c r="G13948" t="str">
        <f>T("NMC EAD UNIT SASEBO")</f>
        <v>NMC EAD UNIT SASEBO</v>
      </c>
      <c r="H13948" t="str">
        <f>T("PSC 476 BOX 20")</f>
        <v>PSC 476 BOX 20</v>
      </c>
      <c r="I13948" t="str">
        <f t="shared" si="5178"/>
        <v>FPO</v>
      </c>
      <c r="J13948" t="str">
        <f t="shared" si="5175"/>
        <v>AP</v>
      </c>
      <c r="K13948" t="str">
        <f>T("81956503294")</f>
        <v>81956503294</v>
      </c>
      <c r="L13948" t="str">
        <f t="shared" si="5179"/>
        <v>1111111111</v>
      </c>
    </row>
    <row r="13949" spans="1:12" x14ac:dyDescent="0.35">
      <c r="A13949" t="str">
        <f>T("COMFLEACT SASEBO")</f>
        <v>COMFLEACT SASEBO</v>
      </c>
      <c r="B13949" t="str">
        <f>T("NMC EAD UNIT SASEBO")</f>
        <v>NMC EAD UNIT SASEBO</v>
      </c>
      <c r="C13949" t="str">
        <f>T("PSC 476 BOX 20")</f>
        <v>PSC 476 BOX 20</v>
      </c>
      <c r="D13949" t="str">
        <f t="shared" si="5177"/>
        <v>FPO</v>
      </c>
      <c r="E13949" t="str">
        <f t="shared" si="5172"/>
        <v>AP</v>
      </c>
      <c r="F13949" t="str">
        <f>T("963220001")</f>
        <v>963220001</v>
      </c>
      <c r="G13949" t="str">
        <f>T("PSC 476 BOX 20")</f>
        <v>PSC 476 BOX 20</v>
      </c>
      <c r="H13949" t="str">
        <f>T("")</f>
        <v/>
      </c>
      <c r="I13949" t="str">
        <f t="shared" si="5178"/>
        <v>FPO</v>
      </c>
      <c r="J13949" t="str">
        <f t="shared" si="5175"/>
        <v>AP</v>
      </c>
      <c r="K13949" t="str">
        <f>T("01181956503294")</f>
        <v>01181956503294</v>
      </c>
      <c r="L13949" t="str">
        <f t="shared" si="5179"/>
        <v>1111111111</v>
      </c>
    </row>
    <row r="13950" spans="1:12" x14ac:dyDescent="0.35">
      <c r="A13950" t="str">
        <f>T("COMFLEACT SASEBO")</f>
        <v>COMFLEACT SASEBO</v>
      </c>
      <c r="B13950" t="str">
        <f>T("US FLEET ACTIVITIES SASEBO JAPAN")</f>
        <v>US FLEET ACTIVITIES SASEBO JAPAN</v>
      </c>
      <c r="C13950" t="str">
        <f>T("PSC 476 BOX 1")</f>
        <v>PSC 476 BOX 1</v>
      </c>
      <c r="D13950" t="str">
        <f t="shared" si="5177"/>
        <v>FPO</v>
      </c>
      <c r="E13950" t="str">
        <f t="shared" si="5172"/>
        <v>AP</v>
      </c>
      <c r="F13950" t="str">
        <f>T("963220001")</f>
        <v>963220001</v>
      </c>
      <c r="G13950" t="str">
        <f>T("COMFLEACT SASEBO")</f>
        <v>COMFLEACT SASEBO</v>
      </c>
      <c r="H13950" t="str">
        <f>T("PSC 476 BOX 1")</f>
        <v>PSC 476 BOX 1</v>
      </c>
      <c r="I13950" t="str">
        <f t="shared" si="5178"/>
        <v>FPO</v>
      </c>
      <c r="J13950" t="str">
        <f t="shared" si="5175"/>
        <v>AP</v>
      </c>
      <c r="K13950" t="str">
        <f>T("81956503024")</f>
        <v>81956503024</v>
      </c>
      <c r="L13950" t="str">
        <f t="shared" si="5179"/>
        <v>1111111111</v>
      </c>
    </row>
    <row r="13951" spans="1:12" x14ac:dyDescent="0.35">
      <c r="A13951" t="str">
        <f>T("COMFLEACT SASEBO")</f>
        <v>COMFLEACT SASEBO</v>
      </c>
      <c r="B13951" t="str">
        <f>T("US FLEET ACTIVITIES SASEBO JAPAN")</f>
        <v>US FLEET ACTIVITIES SASEBO JAPAN</v>
      </c>
      <c r="C13951" t="str">
        <f>T("PSC 476 BOX 1")</f>
        <v>PSC 476 BOX 1</v>
      </c>
      <c r="D13951" t="str">
        <f t="shared" si="5177"/>
        <v>FPO</v>
      </c>
      <c r="E13951" t="str">
        <f t="shared" si="5172"/>
        <v>AP</v>
      </c>
      <c r="F13951" t="str">
        <f>T("963220001")</f>
        <v>963220001</v>
      </c>
      <c r="G13951" t="str">
        <f>T("COMFLEACT SASEBO PSC 476 BOX 1")</f>
        <v>COMFLEACT SASEBO PSC 476 BOX 1</v>
      </c>
      <c r="H13951" t="str">
        <f>T("")</f>
        <v/>
      </c>
      <c r="I13951" t="str">
        <f t="shared" si="5178"/>
        <v>FPO</v>
      </c>
      <c r="J13951" t="str">
        <f t="shared" si="5175"/>
        <v>AP</v>
      </c>
      <c r="K13951" t="str">
        <f>T("81956503401")</f>
        <v>81956503401</v>
      </c>
      <c r="L13951" t="str">
        <f t="shared" si="5179"/>
        <v>1111111111</v>
      </c>
    </row>
    <row r="13952" spans="1:12" x14ac:dyDescent="0.35">
      <c r="A13952" t="str">
        <f>T("COMFLEACT SASEBO")</f>
        <v>COMFLEACT SASEBO</v>
      </c>
      <c r="B13952" t="str">
        <f>T("US FLEET ACTIVITIES SASEBO JAPAN")</f>
        <v>US FLEET ACTIVITIES SASEBO JAPAN</v>
      </c>
      <c r="C13952" t="str">
        <f>T("PSC 476 BOX 1")</f>
        <v>PSC 476 BOX 1</v>
      </c>
      <c r="D13952" t="str">
        <f t="shared" si="5177"/>
        <v>FPO</v>
      </c>
      <c r="E13952" t="str">
        <f t="shared" si="5172"/>
        <v>AP</v>
      </c>
      <c r="F13952" t="str">
        <f>T("963220001")</f>
        <v>963220001</v>
      </c>
      <c r="G13952" t="str">
        <f>T("US FLEET ACTIVITIES SASEBO JAPAN")</f>
        <v>US FLEET ACTIVITIES SASEBO JAPAN</v>
      </c>
      <c r="H13952" t="str">
        <f>T("PSC 476 BOX 1")</f>
        <v>PSC 476 BOX 1</v>
      </c>
      <c r="I13952" t="str">
        <f t="shared" si="5178"/>
        <v>FPO</v>
      </c>
      <c r="J13952" t="str">
        <f t="shared" si="5175"/>
        <v>AP</v>
      </c>
      <c r="K13952" t="str">
        <f>T("81 956 50 3852")</f>
        <v>81 956 50 3852</v>
      </c>
      <c r="L13952" t="str">
        <f t="shared" si="5179"/>
        <v>1111111111</v>
      </c>
    </row>
    <row r="13953" spans="1:12" x14ac:dyDescent="0.35">
      <c r="A13953" t="str">
        <f>T("EODMU 5")</f>
        <v>EODMU 5</v>
      </c>
      <c r="B13953" t="str">
        <f>T("EODMU FIVE")</f>
        <v>EODMU FIVE</v>
      </c>
      <c r="C13953" t="str">
        <f>T("PSC 455 BOX 202")</f>
        <v>PSC 455 BOX 202</v>
      </c>
      <c r="D13953" t="str">
        <f t="shared" si="5177"/>
        <v>FPO</v>
      </c>
      <c r="E13953" t="str">
        <f t="shared" si="5172"/>
        <v>AP</v>
      </c>
      <c r="F13953" t="str">
        <f>T("965400003")</f>
        <v>965400003</v>
      </c>
      <c r="G13953" t="str">
        <f>T("EODMU FIVE")</f>
        <v>EODMU FIVE</v>
      </c>
      <c r="H13953" t="str">
        <f>T("BUILDING 2112 - SUMAY COVE DRIVE")</f>
        <v>BUILDING 2112 - SUMAY COVE DRIVE</v>
      </c>
      <c r="I13953" t="str">
        <f>T("SANTA RITA")</f>
        <v>SANTA RITA</v>
      </c>
      <c r="J13953" t="str">
        <f>T("GU")</f>
        <v>GU</v>
      </c>
      <c r="K13953" t="str">
        <f>T("6713395043")</f>
        <v>6713395043</v>
      </c>
      <c r="L13953" t="str">
        <f>T("6713396602")</f>
        <v>6713396602</v>
      </c>
    </row>
    <row r="13954" spans="1:12" x14ac:dyDescent="0.35">
      <c r="A13954" t="str">
        <f>T("EODMU 5")</f>
        <v>EODMU 5</v>
      </c>
      <c r="B13954" t="str">
        <f>T("EODMU FIVE")</f>
        <v>EODMU FIVE</v>
      </c>
      <c r="C13954" t="str">
        <f>T("PSC 455 BOX 202")</f>
        <v>PSC 455 BOX 202</v>
      </c>
      <c r="D13954" t="str">
        <f t="shared" si="5177"/>
        <v>FPO</v>
      </c>
      <c r="E13954" t="str">
        <f t="shared" si="5172"/>
        <v>AP</v>
      </c>
      <c r="F13954" t="str">
        <f>T("965400003")</f>
        <v>965400003</v>
      </c>
      <c r="G13954" t="str">
        <f>T("EODMU FIVE")</f>
        <v>EODMU FIVE</v>
      </c>
      <c r="H13954" t="str">
        <f>T("PSC 455 BOX 202")</f>
        <v>PSC 455 BOX 202</v>
      </c>
      <c r="I13954" t="str">
        <f>T("FPO")</f>
        <v>FPO</v>
      </c>
      <c r="J13954" t="str">
        <f>T("AP")</f>
        <v>AP</v>
      </c>
      <c r="K13954" t="str">
        <f>T("6713395048")</f>
        <v>6713395048</v>
      </c>
      <c r="L13954" t="str">
        <f>T("6713396602")</f>
        <v>6713396602</v>
      </c>
    </row>
    <row r="13955" spans="1:12" x14ac:dyDescent="0.35">
      <c r="A13955" t="str">
        <f>T("EODMU 5")</f>
        <v>EODMU 5</v>
      </c>
      <c r="B13955" t="str">
        <f>T("EODMU FIVE")</f>
        <v>EODMU FIVE</v>
      </c>
      <c r="C13955" t="str">
        <f>T("PSC 455 BOX 202")</f>
        <v>PSC 455 BOX 202</v>
      </c>
      <c r="D13955" t="str">
        <f t="shared" si="5177"/>
        <v>FPO</v>
      </c>
      <c r="E13955" t="str">
        <f t="shared" si="5172"/>
        <v>AP</v>
      </c>
      <c r="F13955" t="str">
        <f>T("965400003")</f>
        <v>965400003</v>
      </c>
      <c r="G13955" t="str">
        <f>T("SUMAY DRIVE BLDG 2112")</f>
        <v>SUMAY DRIVE BLDG 2112</v>
      </c>
      <c r="H13955" t="str">
        <f>T("US NAVAL BASE GUAM")</f>
        <v>US NAVAL BASE GUAM</v>
      </c>
      <c r="I13955" t="str">
        <f>T("SANTA RITA")</f>
        <v>SANTA RITA</v>
      </c>
      <c r="J13955" t="str">
        <f>T("GU")</f>
        <v>GU</v>
      </c>
      <c r="K13955" t="str">
        <f>T("000000000000000000")</f>
        <v>000000000000000000</v>
      </c>
      <c r="L13955" t="str">
        <f>T("6713396600")</f>
        <v>6713396600</v>
      </c>
    </row>
    <row r="13956" spans="1:12" x14ac:dyDescent="0.35">
      <c r="A13956" t="str">
        <f>T("EODMU 5")</f>
        <v>EODMU 5</v>
      </c>
      <c r="B13956" t="str">
        <f>T("EODMU FIVE")</f>
        <v>EODMU FIVE</v>
      </c>
      <c r="C13956" t="str">
        <f>T("PSC 455 BOX 202")</f>
        <v>PSC 455 BOX 202</v>
      </c>
      <c r="D13956" t="str">
        <f t="shared" si="5177"/>
        <v>FPO</v>
      </c>
      <c r="E13956" t="str">
        <f t="shared" si="5172"/>
        <v>AP</v>
      </c>
      <c r="F13956" t="str">
        <f>T("965400003")</f>
        <v>965400003</v>
      </c>
      <c r="G13956" t="str">
        <f>T("SUMAY DRIVE BLDG 2112")</f>
        <v>SUMAY DRIVE BLDG 2112</v>
      </c>
      <c r="H13956" t="str">
        <f>T("US NAVAL BASE GUAM")</f>
        <v>US NAVAL BASE GUAM</v>
      </c>
      <c r="I13956" t="str">
        <f>T("SANTA RITA")</f>
        <v>SANTA RITA</v>
      </c>
      <c r="J13956" t="str">
        <f>T("GU")</f>
        <v>GU</v>
      </c>
      <c r="K13956" t="str">
        <f>T("000000000000000000")</f>
        <v>000000000000000000</v>
      </c>
      <c r="L13956" t="str">
        <f>T("6713398172")</f>
        <v>6713398172</v>
      </c>
    </row>
    <row r="13957" spans="1:12" x14ac:dyDescent="0.35">
      <c r="A13957" t="str">
        <f>T("CTF-75")</f>
        <v>CTF-75</v>
      </c>
      <c r="B13957" t="str">
        <f>T("NAVAL BASE GUAM")</f>
        <v>NAVAL BASE GUAM</v>
      </c>
      <c r="C13957" t="str">
        <f>T("CAMP COVINGTON B556A")</f>
        <v>CAMP COVINGTON B556A</v>
      </c>
      <c r="D13957" t="str">
        <f>T("SANTA RITA")</f>
        <v>SANTA RITA</v>
      </c>
      <c r="E13957" t="str">
        <f>T("GU")</f>
        <v>GU</v>
      </c>
      <c r="F13957" t="str">
        <f>T("969150002")</f>
        <v>969150002</v>
      </c>
      <c r="G13957" t="str">
        <f>T("CTF 75")</f>
        <v>CTF 75</v>
      </c>
      <c r="H13957" t="str">
        <f>T("PSC 455 BOX 184")</f>
        <v>PSC 455 BOX 184</v>
      </c>
      <c r="I13957" t="str">
        <f>T("FPO")</f>
        <v>FPO</v>
      </c>
      <c r="J13957" t="str">
        <f>T("AP")</f>
        <v>AP</v>
      </c>
      <c r="K13957" t="str">
        <f>T("000000000000000000")</f>
        <v>000000000000000000</v>
      </c>
      <c r="L13957" t="str">
        <f>T("6713396339")</f>
        <v>6713396339</v>
      </c>
    </row>
    <row r="13958" spans="1:12" x14ac:dyDescent="0.35">
      <c r="A13958" t="str">
        <f>T("CTF-75")</f>
        <v>CTF-75</v>
      </c>
      <c r="B13958" t="str">
        <f>T("NAVAL BASE GUAM")</f>
        <v>NAVAL BASE GUAM</v>
      </c>
      <c r="C13958" t="str">
        <f>T("CAMP COVINGTON B556A")</f>
        <v>CAMP COVINGTON B556A</v>
      </c>
      <c r="D13958" t="str">
        <f>T("SANTA RITA")</f>
        <v>SANTA RITA</v>
      </c>
      <c r="E13958" t="str">
        <f>T("GU")</f>
        <v>GU</v>
      </c>
      <c r="F13958" t="str">
        <f>T("969150002")</f>
        <v>969150002</v>
      </c>
      <c r="G13958" t="str">
        <f>T("NAVAL BASE GUAM")</f>
        <v>NAVAL BASE GUAM</v>
      </c>
      <c r="H13958" t="str">
        <f>T("CAMP COVINGTON B556A")</f>
        <v>CAMP COVINGTON B556A</v>
      </c>
      <c r="I13958" t="str">
        <f>T("SANTA RITA")</f>
        <v>SANTA RITA</v>
      </c>
      <c r="J13958" t="str">
        <f>T("GU")</f>
        <v>GU</v>
      </c>
      <c r="K13958" t="str">
        <f>T("000000000000000000")</f>
        <v>000000000000000000</v>
      </c>
      <c r="L13958" t="str">
        <f>T("6713396340")</f>
        <v>6713396340</v>
      </c>
    </row>
    <row r="13959" spans="1:12" x14ac:dyDescent="0.35">
      <c r="A13959" t="str">
        <f>T("MDSU-1")</f>
        <v>MDSU-1</v>
      </c>
      <c r="B13959" t="str">
        <f>T("MDSU-1 SUPPLY DEPARTMENT")</f>
        <v>MDSU-1 SUPPLY DEPARTMENT</v>
      </c>
      <c r="C13959" t="str">
        <f>T("BLDG 17 BISHOP POINT")</f>
        <v>BLDG 17 BISHOP POINT</v>
      </c>
      <c r="D13959" t="str">
        <f>T("PEARL HARBOR")</f>
        <v>PEARL HARBOR</v>
      </c>
      <c r="E13959" t="str">
        <f>T("HI")</f>
        <v>HI</v>
      </c>
      <c r="F13959" t="str">
        <f>T("968600000")</f>
        <v>968600000</v>
      </c>
      <c r="G13959" t="str">
        <f>T("MDSU-1 SUPPLY DEPARTMENT")</f>
        <v>MDSU-1 SUPPLY DEPARTMENT</v>
      </c>
      <c r="H13959" t="str">
        <f>T("BLDG 17 BISHOP POINT")</f>
        <v>BLDG 17 BISHOP POINT</v>
      </c>
      <c r="I13959" t="str">
        <f>T("PEARL HARBOR")</f>
        <v>PEARL HARBOR</v>
      </c>
      <c r="J13959" t="str">
        <f>T("HI")</f>
        <v>HI</v>
      </c>
      <c r="K13959" t="str">
        <f>T("")</f>
        <v/>
      </c>
      <c r="L13959" t="str">
        <f>T("1111111111")</f>
        <v>1111111111</v>
      </c>
    </row>
    <row r="13960" spans="1:12" x14ac:dyDescent="0.35">
      <c r="A13960" t="str">
        <f>T("MDSU-1")</f>
        <v>MDSU-1</v>
      </c>
      <c r="B13960" t="str">
        <f>T("MDSU-1 SUPPLY DEPARTMENT")</f>
        <v>MDSU-1 SUPPLY DEPARTMENT</v>
      </c>
      <c r="C13960" t="str">
        <f>T("BLDG 17 BISHOP POINT")</f>
        <v>BLDG 17 BISHOP POINT</v>
      </c>
      <c r="D13960" t="str">
        <f>T("PEARL HARBOR")</f>
        <v>PEARL HARBOR</v>
      </c>
      <c r="E13960" t="str">
        <f>T("HI")</f>
        <v>HI</v>
      </c>
      <c r="F13960" t="str">
        <f>T("968600000")</f>
        <v>968600000</v>
      </c>
      <c r="G13960" t="str">
        <f>T("MDSU-ONE SUPPLY DEPT")</f>
        <v>MDSU-ONE SUPPLY DEPT</v>
      </c>
      <c r="H13960" t="str">
        <f>T("BLDG 17 BISHOP POINT")</f>
        <v>BLDG 17 BISHOP POINT</v>
      </c>
      <c r="I13960" t="str">
        <f>T("PEARL HARBOR")</f>
        <v>PEARL HARBOR</v>
      </c>
      <c r="J13960" t="str">
        <f>T("HI")</f>
        <v>HI</v>
      </c>
      <c r="K13960" t="str">
        <f>T("8084743169")</f>
        <v>8084743169</v>
      </c>
      <c r="L13960" t="str">
        <f>T("8084719292")</f>
        <v>8084719292</v>
      </c>
    </row>
    <row r="13961" spans="1:12" x14ac:dyDescent="0.35">
      <c r="A13961" t="str">
        <f t="shared" ref="A13961:A13966" si="5180">T("EODESU 1")</f>
        <v>EODESU 1</v>
      </c>
      <c r="B13961" t="str">
        <f t="shared" ref="B13961:B13966" si="5181">T("3500 ATTU RD")</f>
        <v>3500 ATTU RD</v>
      </c>
      <c r="C13961" t="str">
        <f t="shared" ref="C13961:C13966" si="5182">T("BLDG 104")</f>
        <v>BLDG 104</v>
      </c>
      <c r="D13961" t="str">
        <f t="shared" ref="D13961:D13966" si="5183">T("SAN DIEGO")</f>
        <v>SAN DIEGO</v>
      </c>
      <c r="E13961" t="str">
        <f t="shared" ref="E13961:E14002" si="5184">T("CA")</f>
        <v>CA</v>
      </c>
      <c r="F13961" t="str">
        <f t="shared" ref="F13961:F13966" si="5185">T("921555589")</f>
        <v>921555589</v>
      </c>
      <c r="G13961" t="str">
        <f>T("3500 ATTU RD")</f>
        <v>3500 ATTU RD</v>
      </c>
      <c r="H13961" t="str">
        <f>T("BLDG 104")</f>
        <v>BLDG 104</v>
      </c>
      <c r="I13961" t="str">
        <f t="shared" ref="I13961:I13966" si="5186">T("SAN DIEGO")</f>
        <v>SAN DIEGO</v>
      </c>
      <c r="J13961" t="str">
        <f t="shared" ref="J13961:J14002" si="5187">T("CA")</f>
        <v>CA</v>
      </c>
      <c r="K13961" t="str">
        <f>T("")</f>
        <v/>
      </c>
      <c r="L13961" t="str">
        <f>T("6195227576")</f>
        <v>6195227576</v>
      </c>
    </row>
    <row r="13962" spans="1:12" x14ac:dyDescent="0.35">
      <c r="A13962" t="str">
        <f t="shared" si="5180"/>
        <v>EODESU 1</v>
      </c>
      <c r="B13962" t="str">
        <f t="shared" si="5181"/>
        <v>3500 ATTU RD</v>
      </c>
      <c r="C13962" t="str">
        <f t="shared" si="5182"/>
        <v>BLDG 104</v>
      </c>
      <c r="D13962" t="str">
        <f t="shared" si="5183"/>
        <v>SAN DIEGO</v>
      </c>
      <c r="E13962" t="str">
        <f t="shared" si="5184"/>
        <v>CA</v>
      </c>
      <c r="F13962" t="str">
        <f t="shared" si="5185"/>
        <v>921555589</v>
      </c>
      <c r="G13962" t="str">
        <f>T("3500 ATTU RD")</f>
        <v>3500 ATTU RD</v>
      </c>
      <c r="H13962" t="str">
        <f>T("EODESU-1/SUPPLY/BLDG 104")</f>
        <v>EODESU-1/SUPPLY/BLDG 104</v>
      </c>
      <c r="I13962" t="str">
        <f t="shared" si="5186"/>
        <v>SAN DIEGO</v>
      </c>
      <c r="J13962" t="str">
        <f t="shared" si="5187"/>
        <v>CA</v>
      </c>
      <c r="K13962" t="str">
        <f>T("000000000000000000")</f>
        <v>000000000000000000</v>
      </c>
      <c r="L13962" t="str">
        <f>T("6195227572")</f>
        <v>6195227572</v>
      </c>
    </row>
    <row r="13963" spans="1:12" x14ac:dyDescent="0.35">
      <c r="A13963" t="str">
        <f t="shared" si="5180"/>
        <v>EODESU 1</v>
      </c>
      <c r="B13963" t="str">
        <f t="shared" si="5181"/>
        <v>3500 ATTU RD</v>
      </c>
      <c r="C13963" t="str">
        <f t="shared" si="5182"/>
        <v>BLDG 104</v>
      </c>
      <c r="D13963" t="str">
        <f t="shared" si="5183"/>
        <v>SAN DIEGO</v>
      </c>
      <c r="E13963" t="str">
        <f t="shared" si="5184"/>
        <v>CA</v>
      </c>
      <c r="F13963" t="str">
        <f t="shared" si="5185"/>
        <v>921555589</v>
      </c>
      <c r="G13963" t="str">
        <f>T("3500 ATTU ROAD")</f>
        <v>3500 ATTU ROAD</v>
      </c>
      <c r="H13963" t="str">
        <f>T("BLDG 104")</f>
        <v>BLDG 104</v>
      </c>
      <c r="I13963" t="str">
        <f t="shared" si="5186"/>
        <v>SAN DIEGO</v>
      </c>
      <c r="J13963" t="str">
        <f t="shared" si="5187"/>
        <v>CA</v>
      </c>
      <c r="K13963" t="str">
        <f>T("000000000000000000")</f>
        <v>000000000000000000</v>
      </c>
      <c r="L13963" t="str">
        <f>T("6195227576")</f>
        <v>6195227576</v>
      </c>
    </row>
    <row r="13964" spans="1:12" x14ac:dyDescent="0.35">
      <c r="A13964" t="str">
        <f t="shared" si="5180"/>
        <v>EODESU 1</v>
      </c>
      <c r="B13964" t="str">
        <f t="shared" si="5181"/>
        <v>3500 ATTU RD</v>
      </c>
      <c r="C13964" t="str">
        <f t="shared" si="5182"/>
        <v>BLDG 104</v>
      </c>
      <c r="D13964" t="str">
        <f t="shared" si="5183"/>
        <v>SAN DIEGO</v>
      </c>
      <c r="E13964" t="str">
        <f t="shared" si="5184"/>
        <v>CA</v>
      </c>
      <c r="F13964" t="str">
        <f t="shared" si="5185"/>
        <v>921555589</v>
      </c>
      <c r="G13964" t="str">
        <f>T("3500 ATTU ROAD")</f>
        <v>3500 ATTU ROAD</v>
      </c>
      <c r="H13964" t="str">
        <f>T("ESU ONE SUPPLY BLDG 104")</f>
        <v>ESU ONE SUPPLY BLDG 104</v>
      </c>
      <c r="I13964" t="str">
        <f t="shared" si="5186"/>
        <v>SAN DIEGO</v>
      </c>
      <c r="J13964" t="str">
        <f t="shared" si="5187"/>
        <v>CA</v>
      </c>
      <c r="K13964" t="str">
        <f>T("000000000000000000")</f>
        <v>000000000000000000</v>
      </c>
      <c r="L13964" t="str">
        <f>T("6195227576")</f>
        <v>6195227576</v>
      </c>
    </row>
    <row r="13965" spans="1:12" x14ac:dyDescent="0.35">
      <c r="A13965" t="str">
        <f t="shared" si="5180"/>
        <v>EODESU 1</v>
      </c>
      <c r="B13965" t="str">
        <f t="shared" si="5181"/>
        <v>3500 ATTU RD</v>
      </c>
      <c r="C13965" t="str">
        <f t="shared" si="5182"/>
        <v>BLDG 104</v>
      </c>
      <c r="D13965" t="str">
        <f t="shared" si="5183"/>
        <v>SAN DIEGO</v>
      </c>
      <c r="E13965" t="str">
        <f t="shared" si="5184"/>
        <v>CA</v>
      </c>
      <c r="F13965" t="str">
        <f t="shared" si="5185"/>
        <v>921555589</v>
      </c>
      <c r="G13965" t="str">
        <f>T("3500 ATTU ROAD")</f>
        <v>3500 ATTU ROAD</v>
      </c>
      <c r="H13965" t="str">
        <f>T("ESU ONE SUPPLY BLDG 104")</f>
        <v>ESU ONE SUPPLY BLDG 104</v>
      </c>
      <c r="I13965" t="str">
        <f t="shared" si="5186"/>
        <v>SAN DIEGO</v>
      </c>
      <c r="J13965" t="str">
        <f t="shared" si="5187"/>
        <v>CA</v>
      </c>
      <c r="K13965" t="str">
        <f>T("6195244846")</f>
        <v>6195244846</v>
      </c>
      <c r="L13965" t="str">
        <f>T("6195245140")</f>
        <v>6195245140</v>
      </c>
    </row>
    <row r="13966" spans="1:12" x14ac:dyDescent="0.35">
      <c r="A13966" t="str">
        <f t="shared" si="5180"/>
        <v>EODESU 1</v>
      </c>
      <c r="B13966" t="str">
        <f t="shared" si="5181"/>
        <v>3500 ATTU RD</v>
      </c>
      <c r="C13966" t="str">
        <f t="shared" si="5182"/>
        <v>BLDG 104</v>
      </c>
      <c r="D13966" t="str">
        <f t="shared" si="5183"/>
        <v>SAN DIEGO</v>
      </c>
      <c r="E13966" t="str">
        <f t="shared" si="5184"/>
        <v>CA</v>
      </c>
      <c r="F13966" t="str">
        <f t="shared" si="5185"/>
        <v>921555589</v>
      </c>
      <c r="G13966" t="str">
        <f>T("3502 ATTU RD BLDG 104")</f>
        <v>3502 ATTU RD BLDG 104</v>
      </c>
      <c r="H13966" t="str">
        <f>T("")</f>
        <v/>
      </c>
      <c r="I13966" t="str">
        <f t="shared" si="5186"/>
        <v>SAN DIEGO</v>
      </c>
      <c r="J13966" t="str">
        <f t="shared" si="5187"/>
        <v>CA</v>
      </c>
      <c r="K13966" t="str">
        <f>T("000000000000000000")</f>
        <v>000000000000000000</v>
      </c>
      <c r="L13966" t="str">
        <f>T("6195227572")</f>
        <v>6195227572</v>
      </c>
    </row>
    <row r="13967" spans="1:12" x14ac:dyDescent="0.35">
      <c r="A13967" t="str">
        <f t="shared" ref="A13967:A14002" si="5188">T("NCG 1")</f>
        <v>NCG 1</v>
      </c>
      <c r="B13967" t="str">
        <f>T("103 HARRIS ST")</f>
        <v>103 HARRIS ST</v>
      </c>
      <c r="C13967" t="str">
        <f>T("BLDG 103")</f>
        <v>BLDG 103</v>
      </c>
      <c r="D13967" t="str">
        <f t="shared" ref="D13967:D13989" si="5189">T("PORT HUENEME")</f>
        <v>PORT HUENEME</v>
      </c>
      <c r="E13967" t="str">
        <f t="shared" si="5184"/>
        <v>CA</v>
      </c>
      <c r="F13967" t="str">
        <f>T("930430001")</f>
        <v>930430001</v>
      </c>
      <c r="G13967" t="str">
        <f>T("103 HARRIS ST")</f>
        <v>103 HARRIS ST</v>
      </c>
      <c r="H13967" t="str">
        <f>T("BLDG 103")</f>
        <v>BLDG 103</v>
      </c>
      <c r="I13967" t="str">
        <f t="shared" ref="I13967:I13989" si="5190">T("PORT HUENEME")</f>
        <v>PORT HUENEME</v>
      </c>
      <c r="J13967" t="str">
        <f t="shared" si="5187"/>
        <v>CA</v>
      </c>
      <c r="K13967" t="str">
        <f>T("8059822763")</f>
        <v>8059822763</v>
      </c>
      <c r="L13967" t="str">
        <f>T("8059822547")</f>
        <v>8059822547</v>
      </c>
    </row>
    <row r="13968" spans="1:12" x14ac:dyDescent="0.35">
      <c r="A13968" t="str">
        <f t="shared" si="5188"/>
        <v>NCG 1</v>
      </c>
      <c r="B13968" t="str">
        <f>T("103 HARRIS ST")</f>
        <v>103 HARRIS ST</v>
      </c>
      <c r="C13968" t="str">
        <f>T("BLDG 103")</f>
        <v>BLDG 103</v>
      </c>
      <c r="D13968" t="str">
        <f t="shared" si="5189"/>
        <v>PORT HUENEME</v>
      </c>
      <c r="E13968" t="str">
        <f t="shared" si="5184"/>
        <v>CA</v>
      </c>
      <c r="F13968" t="str">
        <f>T("930430001")</f>
        <v>930430001</v>
      </c>
      <c r="G13968" t="str">
        <f>T("2251 PACIFIC RD BLDG 225")</f>
        <v>2251 PACIFIC RD BLDG 225</v>
      </c>
      <c r="H13968" t="str">
        <f>T("ATTN LSC ADONES")</f>
        <v>ATTN LSC ADONES</v>
      </c>
      <c r="I13968" t="str">
        <f t="shared" si="5190"/>
        <v>PORT HUENEME</v>
      </c>
      <c r="J13968" t="str">
        <f t="shared" si="5187"/>
        <v>CA</v>
      </c>
      <c r="K13968" t="str">
        <f>T("000000000000000000")</f>
        <v>000000000000000000</v>
      </c>
      <c r="L13968" t="str">
        <f>T("8059826179")</f>
        <v>8059826179</v>
      </c>
    </row>
    <row r="13969" spans="1:12" x14ac:dyDescent="0.35">
      <c r="A13969" t="str">
        <f t="shared" si="5188"/>
        <v>NCG 1</v>
      </c>
      <c r="B13969" t="str">
        <f>T("103 HARRIS ST")</f>
        <v>103 HARRIS ST</v>
      </c>
      <c r="C13969" t="str">
        <f>T("BLDG 103")</f>
        <v>BLDG 103</v>
      </c>
      <c r="D13969" t="str">
        <f t="shared" si="5189"/>
        <v>PORT HUENEME</v>
      </c>
      <c r="E13969" t="str">
        <f t="shared" si="5184"/>
        <v>CA</v>
      </c>
      <c r="F13969" t="str">
        <f>T("930430001")</f>
        <v>930430001</v>
      </c>
      <c r="G13969" t="str">
        <f>T("2251 PACIFIC RD BLDG 225")</f>
        <v>2251 PACIFIC RD BLDG 225</v>
      </c>
      <c r="H13969" t="str">
        <f>T("ATTN LSC SALAZAR")</f>
        <v>ATTN LSC SALAZAR</v>
      </c>
      <c r="I13969" t="str">
        <f t="shared" si="5190"/>
        <v>PORT HUENEME</v>
      </c>
      <c r="J13969" t="str">
        <f t="shared" si="5187"/>
        <v>CA</v>
      </c>
      <c r="K13969" t="str">
        <f>T("000000000000000000")</f>
        <v>000000000000000000</v>
      </c>
      <c r="L13969" t="str">
        <f>T("8059826179")</f>
        <v>8059826179</v>
      </c>
    </row>
    <row r="13970" spans="1:12" x14ac:dyDescent="0.35">
      <c r="A13970" t="str">
        <f t="shared" si="5188"/>
        <v>NCG 1</v>
      </c>
      <c r="B13970" t="str">
        <f>T("2251 PACIFIC RD")</f>
        <v>2251 PACIFIC RD</v>
      </c>
      <c r="C13970" t="str">
        <f>T("BLDG 225 2ND FLOOR")</f>
        <v>BLDG 225 2ND FLOOR</v>
      </c>
      <c r="D13970" t="str">
        <f t="shared" si="5189"/>
        <v>PORT HUENEME</v>
      </c>
      <c r="E13970" t="str">
        <f t="shared" si="5184"/>
        <v>CA</v>
      </c>
      <c r="F13970" t="str">
        <f t="shared" ref="F13970:F13982" si="5191">T("930434330")</f>
        <v>930434330</v>
      </c>
      <c r="G13970" t="str">
        <f>T("2251 PACIFIC RD")</f>
        <v>2251 PACIFIC RD</v>
      </c>
      <c r="H13970" t="str">
        <f>T("BLDG 225")</f>
        <v>BLDG 225</v>
      </c>
      <c r="I13970" t="str">
        <f t="shared" si="5190"/>
        <v>PORT HUENEME</v>
      </c>
      <c r="J13970" t="str">
        <f t="shared" si="5187"/>
        <v>CA</v>
      </c>
      <c r="K13970" t="str">
        <f>T("000000000000000000")</f>
        <v>000000000000000000</v>
      </c>
      <c r="L13970" t="str">
        <f>T("8059822242")</f>
        <v>8059822242</v>
      </c>
    </row>
    <row r="13971" spans="1:12" x14ac:dyDescent="0.35">
      <c r="A13971" t="str">
        <f t="shared" si="5188"/>
        <v>NCG 1</v>
      </c>
      <c r="B13971" t="str">
        <f>T("2251 PACIFIC RD")</f>
        <v>2251 PACIFIC RD</v>
      </c>
      <c r="C13971" t="str">
        <f>T("BLDG 225 2ND FLOOR")</f>
        <v>BLDG 225 2ND FLOOR</v>
      </c>
      <c r="D13971" t="str">
        <f t="shared" si="5189"/>
        <v>PORT HUENEME</v>
      </c>
      <c r="E13971" t="str">
        <f t="shared" si="5184"/>
        <v>CA</v>
      </c>
      <c r="F13971" t="str">
        <f t="shared" si="5191"/>
        <v>930434330</v>
      </c>
      <c r="G13971" t="str">
        <f>T("2251 PACIFIC RD")</f>
        <v>2251 PACIFIC RD</v>
      </c>
      <c r="H13971" t="str">
        <f>T("BLDG 225 2ND FLOOR")</f>
        <v>BLDG 225 2ND FLOOR</v>
      </c>
      <c r="I13971" t="str">
        <f t="shared" si="5190"/>
        <v>PORT HUENEME</v>
      </c>
      <c r="J13971" t="str">
        <f t="shared" si="5187"/>
        <v>CA</v>
      </c>
      <c r="K13971" t="str">
        <f>T("")</f>
        <v/>
      </c>
      <c r="L13971" t="str">
        <f>T("1111111111")</f>
        <v>1111111111</v>
      </c>
    </row>
    <row r="13972" spans="1:12" x14ac:dyDescent="0.35">
      <c r="A13972" t="str">
        <f t="shared" si="5188"/>
        <v>NCG 1</v>
      </c>
      <c r="B13972" t="str">
        <f>T("2251 PACIFIC RD")</f>
        <v>2251 PACIFIC RD</v>
      </c>
      <c r="C13972" t="str">
        <f>T("BLDG 225 2ND FLOOR")</f>
        <v>BLDG 225 2ND FLOOR</v>
      </c>
      <c r="D13972" t="str">
        <f t="shared" si="5189"/>
        <v>PORT HUENEME</v>
      </c>
      <c r="E13972" t="str">
        <f t="shared" si="5184"/>
        <v>CA</v>
      </c>
      <c r="F13972" t="str">
        <f t="shared" si="5191"/>
        <v>930434330</v>
      </c>
      <c r="G13972" t="str">
        <f>T("2251 PACIFIC RD")</f>
        <v>2251 PACIFIC RD</v>
      </c>
      <c r="H13972" t="str">
        <f>T("BLDT 225")</f>
        <v>BLDT 225</v>
      </c>
      <c r="I13972" t="str">
        <f t="shared" si="5190"/>
        <v>PORT HUENEME</v>
      </c>
      <c r="J13972" t="str">
        <f t="shared" si="5187"/>
        <v>CA</v>
      </c>
      <c r="K13972" t="str">
        <f t="shared" ref="K13972:K13981" si="5192">T("000000000000000000")</f>
        <v>000000000000000000</v>
      </c>
      <c r="L13972" t="str">
        <f>T("8059822252")</f>
        <v>8059822252</v>
      </c>
    </row>
    <row r="13973" spans="1:12" x14ac:dyDescent="0.35">
      <c r="A13973" t="str">
        <f t="shared" si="5188"/>
        <v>NCG 1</v>
      </c>
      <c r="B13973" t="str">
        <f>T("2251 PACIFIC RD")</f>
        <v>2251 PACIFIC RD</v>
      </c>
      <c r="C13973" t="str">
        <f>T("BLDG 225 2ND FLOOR")</f>
        <v>BLDG 225 2ND FLOOR</v>
      </c>
      <c r="D13973" t="str">
        <f t="shared" si="5189"/>
        <v>PORT HUENEME</v>
      </c>
      <c r="E13973" t="str">
        <f t="shared" si="5184"/>
        <v>CA</v>
      </c>
      <c r="F13973" t="str">
        <f t="shared" si="5191"/>
        <v>930434330</v>
      </c>
      <c r="G13973" t="str">
        <f>T("2251 PACIFIC RD")</f>
        <v>2251 PACIFIC RD</v>
      </c>
      <c r="H13973" t="str">
        <f>T("BLDT 225")</f>
        <v>BLDT 225</v>
      </c>
      <c r="I13973" t="str">
        <f t="shared" si="5190"/>
        <v>PORT HUENEME</v>
      </c>
      <c r="J13973" t="str">
        <f t="shared" si="5187"/>
        <v>CA</v>
      </c>
      <c r="K13973" t="str">
        <f t="shared" si="5192"/>
        <v>000000000000000000</v>
      </c>
      <c r="L13973" t="str">
        <f>T("8059826527")</f>
        <v>8059826527</v>
      </c>
    </row>
    <row r="13974" spans="1:12" x14ac:dyDescent="0.35">
      <c r="A13974" t="str">
        <f t="shared" si="5188"/>
        <v>NCG 1</v>
      </c>
      <c r="B13974" t="str">
        <f>T("2251 PACIFIC RD")</f>
        <v>2251 PACIFIC RD</v>
      </c>
      <c r="C13974" t="str">
        <f>T("BLDG 225 2ND FLOOR")</f>
        <v>BLDG 225 2ND FLOOR</v>
      </c>
      <c r="D13974" t="str">
        <f t="shared" si="5189"/>
        <v>PORT HUENEME</v>
      </c>
      <c r="E13974" t="str">
        <f t="shared" si="5184"/>
        <v>CA</v>
      </c>
      <c r="F13974" t="str">
        <f t="shared" si="5191"/>
        <v>930434330</v>
      </c>
      <c r="G13974" t="str">
        <f>T("2251 PACIFIC RD BLDG 225")</f>
        <v>2251 PACIFIC RD BLDG 225</v>
      </c>
      <c r="H13974" t="str">
        <f>T("2ND FLOOR")</f>
        <v>2ND FLOOR</v>
      </c>
      <c r="I13974" t="str">
        <f t="shared" si="5190"/>
        <v>PORT HUENEME</v>
      </c>
      <c r="J13974" t="str">
        <f t="shared" si="5187"/>
        <v>CA</v>
      </c>
      <c r="K13974" t="str">
        <f t="shared" si="5192"/>
        <v>000000000000000000</v>
      </c>
      <c r="L13974" t="str">
        <f>T("8059822242")</f>
        <v>8059822242</v>
      </c>
    </row>
    <row r="13975" spans="1:12" x14ac:dyDescent="0.35">
      <c r="A13975" t="str">
        <f t="shared" si="5188"/>
        <v>NCG 1</v>
      </c>
      <c r="B13975" t="str">
        <f t="shared" ref="B13975:B13982" si="5193">T("2251 PACIFIC RD BLDG 225")</f>
        <v>2251 PACIFIC RD BLDG 225</v>
      </c>
      <c r="C13975" t="str">
        <f t="shared" ref="C13975:C13982" si="5194">T("")</f>
        <v/>
      </c>
      <c r="D13975" t="str">
        <f t="shared" si="5189"/>
        <v>PORT HUENEME</v>
      </c>
      <c r="E13975" t="str">
        <f t="shared" si="5184"/>
        <v>CA</v>
      </c>
      <c r="F13975" t="str">
        <f t="shared" si="5191"/>
        <v>930434330</v>
      </c>
      <c r="G13975" t="str">
        <f>T("1991 PACIFIC RD BLDG 375")</f>
        <v>1991 PACIFIC RD BLDG 375</v>
      </c>
      <c r="H13975" t="str">
        <f>T("")</f>
        <v/>
      </c>
      <c r="I13975" t="str">
        <f t="shared" si="5190"/>
        <v>PORT HUENEME</v>
      </c>
      <c r="J13975" t="str">
        <f t="shared" si="5187"/>
        <v>CA</v>
      </c>
      <c r="K13975" t="str">
        <f t="shared" si="5192"/>
        <v>000000000000000000</v>
      </c>
      <c r="L13975" t="str">
        <f>T("7604284109")</f>
        <v>7604284109</v>
      </c>
    </row>
    <row r="13976" spans="1:12" x14ac:dyDescent="0.35">
      <c r="A13976" t="str">
        <f t="shared" si="5188"/>
        <v>NCG 1</v>
      </c>
      <c r="B13976" t="str">
        <f t="shared" si="5193"/>
        <v>2251 PACIFIC RD BLDG 225</v>
      </c>
      <c r="C13976" t="str">
        <f t="shared" si="5194"/>
        <v/>
      </c>
      <c r="D13976" t="str">
        <f t="shared" si="5189"/>
        <v>PORT HUENEME</v>
      </c>
      <c r="E13976" t="str">
        <f t="shared" si="5184"/>
        <v>CA</v>
      </c>
      <c r="F13976" t="str">
        <f t="shared" si="5191"/>
        <v>930434330</v>
      </c>
      <c r="G13976" t="str">
        <f>T("1991 PACIFIC RD BLDG 375")</f>
        <v>1991 PACIFIC RD BLDG 375</v>
      </c>
      <c r="H13976" t="str">
        <f>T("")</f>
        <v/>
      </c>
      <c r="I13976" t="str">
        <f t="shared" si="5190"/>
        <v>PORT HUENEME</v>
      </c>
      <c r="J13976" t="str">
        <f t="shared" si="5187"/>
        <v>CA</v>
      </c>
      <c r="K13976" t="str">
        <f t="shared" si="5192"/>
        <v>000000000000000000</v>
      </c>
      <c r="L13976" t="str">
        <f>T("8059822243")</f>
        <v>8059822243</v>
      </c>
    </row>
    <row r="13977" spans="1:12" x14ac:dyDescent="0.35">
      <c r="A13977" t="str">
        <f t="shared" si="5188"/>
        <v>NCG 1</v>
      </c>
      <c r="B13977" t="str">
        <f t="shared" si="5193"/>
        <v>2251 PACIFIC RD BLDG 225</v>
      </c>
      <c r="C13977" t="str">
        <f t="shared" si="5194"/>
        <v/>
      </c>
      <c r="D13977" t="str">
        <f t="shared" si="5189"/>
        <v>PORT HUENEME</v>
      </c>
      <c r="E13977" t="str">
        <f t="shared" si="5184"/>
        <v>CA</v>
      </c>
      <c r="F13977" t="str">
        <f t="shared" si="5191"/>
        <v>930434330</v>
      </c>
      <c r="G13977" t="str">
        <f>T("1991 PACIFIC RD BLDG 375")</f>
        <v>1991 PACIFIC RD BLDG 375</v>
      </c>
      <c r="H13977" t="str">
        <f>T("")</f>
        <v/>
      </c>
      <c r="I13977" t="str">
        <f t="shared" si="5190"/>
        <v>PORT HUENEME</v>
      </c>
      <c r="J13977" t="str">
        <f t="shared" si="5187"/>
        <v>CA</v>
      </c>
      <c r="K13977" t="str">
        <f t="shared" si="5192"/>
        <v>000000000000000000</v>
      </c>
      <c r="L13977" t="str">
        <f>T("8059822774")</f>
        <v>8059822774</v>
      </c>
    </row>
    <row r="13978" spans="1:12" x14ac:dyDescent="0.35">
      <c r="A13978" t="str">
        <f t="shared" si="5188"/>
        <v>NCG 1</v>
      </c>
      <c r="B13978" t="str">
        <f t="shared" si="5193"/>
        <v>2251 PACIFIC RD BLDG 225</v>
      </c>
      <c r="C13978" t="str">
        <f t="shared" si="5194"/>
        <v/>
      </c>
      <c r="D13978" t="str">
        <f t="shared" si="5189"/>
        <v>PORT HUENEME</v>
      </c>
      <c r="E13978" t="str">
        <f t="shared" si="5184"/>
        <v>CA</v>
      </c>
      <c r="F13978" t="str">
        <f t="shared" si="5191"/>
        <v>930434330</v>
      </c>
      <c r="G13978" t="str">
        <f>T("1991 PACIFIC RD BLDG 375")</f>
        <v>1991 PACIFIC RD BLDG 375</v>
      </c>
      <c r="H13978" t="str">
        <f>T("")</f>
        <v/>
      </c>
      <c r="I13978" t="str">
        <f t="shared" si="5190"/>
        <v>PORT HUENEME</v>
      </c>
      <c r="J13978" t="str">
        <f t="shared" si="5187"/>
        <v>CA</v>
      </c>
      <c r="K13978" t="str">
        <f t="shared" si="5192"/>
        <v>000000000000000000</v>
      </c>
      <c r="L13978" t="str">
        <f>T("8059823004")</f>
        <v>8059823004</v>
      </c>
    </row>
    <row r="13979" spans="1:12" x14ac:dyDescent="0.35">
      <c r="A13979" t="str">
        <f t="shared" si="5188"/>
        <v>NCG 1</v>
      </c>
      <c r="B13979" t="str">
        <f t="shared" si="5193"/>
        <v>2251 PACIFIC RD BLDG 225</v>
      </c>
      <c r="C13979" t="str">
        <f t="shared" si="5194"/>
        <v/>
      </c>
      <c r="D13979" t="str">
        <f t="shared" si="5189"/>
        <v>PORT HUENEME</v>
      </c>
      <c r="E13979" t="str">
        <f t="shared" si="5184"/>
        <v>CA</v>
      </c>
      <c r="F13979" t="str">
        <f t="shared" si="5191"/>
        <v>930434330</v>
      </c>
      <c r="G13979" t="str">
        <f>T("1991 PACIFIC RD BLDG 375")</f>
        <v>1991 PACIFIC RD BLDG 375</v>
      </c>
      <c r="H13979" t="str">
        <f>T("")</f>
        <v/>
      </c>
      <c r="I13979" t="str">
        <f t="shared" si="5190"/>
        <v>PORT HUENEME</v>
      </c>
      <c r="J13979" t="str">
        <f t="shared" si="5187"/>
        <v>CA</v>
      </c>
      <c r="K13979" t="str">
        <f t="shared" si="5192"/>
        <v>000000000000000000</v>
      </c>
      <c r="L13979" t="str">
        <f>T("8059824682")</f>
        <v>8059824682</v>
      </c>
    </row>
    <row r="13980" spans="1:12" x14ac:dyDescent="0.35">
      <c r="A13980" t="str">
        <f t="shared" si="5188"/>
        <v>NCG 1</v>
      </c>
      <c r="B13980" t="str">
        <f t="shared" si="5193"/>
        <v>2251 PACIFIC RD BLDG 225</v>
      </c>
      <c r="C13980" t="str">
        <f t="shared" si="5194"/>
        <v/>
      </c>
      <c r="D13980" t="str">
        <f t="shared" si="5189"/>
        <v>PORT HUENEME</v>
      </c>
      <c r="E13980" t="str">
        <f t="shared" si="5184"/>
        <v>CA</v>
      </c>
      <c r="F13980" t="str">
        <f t="shared" si="5191"/>
        <v>930434330</v>
      </c>
      <c r="G13980" t="str">
        <f>T("2251 PACIFIC RD")</f>
        <v>2251 PACIFIC RD</v>
      </c>
      <c r="H13980" t="str">
        <f>T("BLDT 225")</f>
        <v>BLDT 225</v>
      </c>
      <c r="I13980" t="str">
        <f t="shared" si="5190"/>
        <v>PORT HUENEME</v>
      </c>
      <c r="J13980" t="str">
        <f t="shared" si="5187"/>
        <v>CA</v>
      </c>
      <c r="K13980" t="str">
        <f t="shared" si="5192"/>
        <v>000000000000000000</v>
      </c>
      <c r="L13980" t="str">
        <f>T("8059825390")</f>
        <v>8059825390</v>
      </c>
    </row>
    <row r="13981" spans="1:12" x14ac:dyDescent="0.35">
      <c r="A13981" t="str">
        <f t="shared" si="5188"/>
        <v>NCG 1</v>
      </c>
      <c r="B13981" t="str">
        <f t="shared" si="5193"/>
        <v>2251 PACIFIC RD BLDG 225</v>
      </c>
      <c r="C13981" t="str">
        <f t="shared" si="5194"/>
        <v/>
      </c>
      <c r="D13981" t="str">
        <f t="shared" si="5189"/>
        <v>PORT HUENEME</v>
      </c>
      <c r="E13981" t="str">
        <f t="shared" si="5184"/>
        <v>CA</v>
      </c>
      <c r="F13981" t="str">
        <f t="shared" si="5191"/>
        <v>930434330</v>
      </c>
      <c r="G13981" t="str">
        <f>T("2251 PACIFIC RD BLDG 225")</f>
        <v>2251 PACIFIC RD BLDG 225</v>
      </c>
      <c r="H13981" t="str">
        <f>T("")</f>
        <v/>
      </c>
      <c r="I13981" t="str">
        <f t="shared" si="5190"/>
        <v>PORT HUENEME</v>
      </c>
      <c r="J13981" t="str">
        <f t="shared" si="5187"/>
        <v>CA</v>
      </c>
      <c r="K13981" t="str">
        <f t="shared" si="5192"/>
        <v>000000000000000000</v>
      </c>
      <c r="L13981" t="str">
        <f>T("8059824682")</f>
        <v>8059824682</v>
      </c>
    </row>
    <row r="13982" spans="1:12" x14ac:dyDescent="0.35">
      <c r="A13982" t="str">
        <f t="shared" si="5188"/>
        <v>NCG 1</v>
      </c>
      <c r="B13982" t="str">
        <f t="shared" si="5193"/>
        <v>2251 PACIFIC RD BLDG 225</v>
      </c>
      <c r="C13982" t="str">
        <f t="shared" si="5194"/>
        <v/>
      </c>
      <c r="D13982" t="str">
        <f t="shared" si="5189"/>
        <v>PORT HUENEME</v>
      </c>
      <c r="E13982" t="str">
        <f t="shared" si="5184"/>
        <v>CA</v>
      </c>
      <c r="F13982" t="str">
        <f t="shared" si="5191"/>
        <v>930434330</v>
      </c>
      <c r="G13982" t="str">
        <f>T("2251 PACIFIC RD BLDG 225")</f>
        <v>2251 PACIFIC RD BLDG 225</v>
      </c>
      <c r="H13982" t="str">
        <f>T("")</f>
        <v/>
      </c>
      <c r="I13982" t="str">
        <f t="shared" si="5190"/>
        <v>PORT HUENEME</v>
      </c>
      <c r="J13982" t="str">
        <f t="shared" si="5187"/>
        <v>CA</v>
      </c>
      <c r="K13982" t="str">
        <f>T("8059822146")</f>
        <v>8059822146</v>
      </c>
      <c r="L13982" t="str">
        <f>T("8059822243")</f>
        <v>8059822243</v>
      </c>
    </row>
    <row r="13983" spans="1:12" x14ac:dyDescent="0.35">
      <c r="A13983" t="str">
        <f t="shared" si="5188"/>
        <v>NCG 1</v>
      </c>
      <c r="B13983" t="str">
        <f>T("2600 DODSON ST STE 3")</f>
        <v>2600 DODSON ST STE 3</v>
      </c>
      <c r="C13983" t="str">
        <f>T("NMCB-5")</f>
        <v>NMCB-5</v>
      </c>
      <c r="D13983" t="str">
        <f t="shared" si="5189"/>
        <v>PORT HUENEME</v>
      </c>
      <c r="E13983" t="str">
        <f t="shared" si="5184"/>
        <v>CA</v>
      </c>
      <c r="F13983" t="str">
        <f>T("930434432")</f>
        <v>930434432</v>
      </c>
      <c r="G13983" t="str">
        <f>T("2600 DODSON ST STE 3")</f>
        <v>2600 DODSON ST STE 3</v>
      </c>
      <c r="H13983" t="str">
        <f>T("")</f>
        <v/>
      </c>
      <c r="I13983" t="str">
        <f t="shared" si="5190"/>
        <v>PORT HUENEME</v>
      </c>
      <c r="J13983" t="str">
        <f t="shared" si="5187"/>
        <v>CA</v>
      </c>
      <c r="K13983" t="str">
        <f>T("000000000000000000")</f>
        <v>000000000000000000</v>
      </c>
      <c r="L13983" t="str">
        <f>T("8059821263")</f>
        <v>8059821263</v>
      </c>
    </row>
    <row r="13984" spans="1:12" x14ac:dyDescent="0.35">
      <c r="A13984" t="str">
        <f t="shared" si="5188"/>
        <v>NCG 1</v>
      </c>
      <c r="B13984" t="str">
        <f>T("2600 DODSON ST STE 3")</f>
        <v>2600 DODSON ST STE 3</v>
      </c>
      <c r="C13984" t="str">
        <f>T("NMCB-5")</f>
        <v>NMCB-5</v>
      </c>
      <c r="D13984" t="str">
        <f t="shared" si="5189"/>
        <v>PORT HUENEME</v>
      </c>
      <c r="E13984" t="str">
        <f t="shared" si="5184"/>
        <v>CA</v>
      </c>
      <c r="F13984" t="str">
        <f>T("930434432")</f>
        <v>930434432</v>
      </c>
      <c r="G13984" t="str">
        <f>T("2600 DODSON ST STE 3")</f>
        <v>2600 DODSON ST STE 3</v>
      </c>
      <c r="H13984" t="str">
        <f>T("NMCB-5")</f>
        <v>NMCB-5</v>
      </c>
      <c r="I13984" t="str">
        <f t="shared" si="5190"/>
        <v>PORT HUENEME</v>
      </c>
      <c r="J13984" t="str">
        <f t="shared" si="5187"/>
        <v>CA</v>
      </c>
      <c r="K13984" t="str">
        <f>T("")</f>
        <v/>
      </c>
      <c r="L13984" t="str">
        <f>T("8059824920")</f>
        <v>8059824920</v>
      </c>
    </row>
    <row r="13985" spans="1:12" x14ac:dyDescent="0.35">
      <c r="A13985" t="str">
        <f t="shared" si="5188"/>
        <v>NCG 1</v>
      </c>
      <c r="B13985" t="str">
        <f>T("2600 DODSON ST STE 3")</f>
        <v>2600 DODSON ST STE 3</v>
      </c>
      <c r="C13985" t="str">
        <f>T("NMCB-5")</f>
        <v>NMCB-5</v>
      </c>
      <c r="D13985" t="str">
        <f t="shared" si="5189"/>
        <v>PORT HUENEME</v>
      </c>
      <c r="E13985" t="str">
        <f t="shared" si="5184"/>
        <v>CA</v>
      </c>
      <c r="F13985" t="str">
        <f>T("930434432")</f>
        <v>930434432</v>
      </c>
      <c r="G13985" t="str">
        <f>T("266 SALSA ROAD")</f>
        <v>266 SALSA ROAD</v>
      </c>
      <c r="H13985" t="str">
        <f>T("")</f>
        <v/>
      </c>
      <c r="I13985" t="str">
        <f t="shared" si="5190"/>
        <v>PORT HUENEME</v>
      </c>
      <c r="J13985" t="str">
        <f t="shared" si="5187"/>
        <v>CA</v>
      </c>
      <c r="K13985" t="str">
        <f>T("000000000000000000")</f>
        <v>000000000000000000</v>
      </c>
      <c r="L13985" t="str">
        <f>T("8059824922")</f>
        <v>8059824922</v>
      </c>
    </row>
    <row r="13986" spans="1:12" x14ac:dyDescent="0.35">
      <c r="A13986" t="str">
        <f t="shared" si="5188"/>
        <v>NCG 1</v>
      </c>
      <c r="B13986" t="str">
        <f>T("2600 DODSON ST STE 3")</f>
        <v>2600 DODSON ST STE 3</v>
      </c>
      <c r="C13986" t="str">
        <f>T("NMCB-5")</f>
        <v>NMCB-5</v>
      </c>
      <c r="D13986" t="str">
        <f t="shared" si="5189"/>
        <v>PORT HUENEME</v>
      </c>
      <c r="E13986" t="str">
        <f t="shared" si="5184"/>
        <v>CA</v>
      </c>
      <c r="F13986" t="str">
        <f>T("930434432")</f>
        <v>930434432</v>
      </c>
      <c r="G13986" t="str">
        <f>T("266 SALSA ROAD")</f>
        <v>266 SALSA ROAD</v>
      </c>
      <c r="H13986" t="str">
        <f>T("")</f>
        <v/>
      </c>
      <c r="I13986" t="str">
        <f t="shared" si="5190"/>
        <v>PORT HUENEME</v>
      </c>
      <c r="J13986" t="str">
        <f t="shared" si="5187"/>
        <v>CA</v>
      </c>
      <c r="K13986" t="str">
        <f>T("000000000000000000")</f>
        <v>000000000000000000</v>
      </c>
      <c r="L13986" t="str">
        <f>T("8059825216")</f>
        <v>8059825216</v>
      </c>
    </row>
    <row r="13987" spans="1:12" x14ac:dyDescent="0.35">
      <c r="A13987" t="str">
        <f t="shared" si="5188"/>
        <v>NCG 1</v>
      </c>
      <c r="B13987" t="str">
        <f>T("4643 DOCK ROAD BLDG 524")</f>
        <v>4643 DOCK ROAD BLDG 524</v>
      </c>
      <c r="C13987" t="str">
        <f>T("SUPPLY DEPARTMENT")</f>
        <v>SUPPLY DEPARTMENT</v>
      </c>
      <c r="D13987" t="str">
        <f t="shared" si="5189"/>
        <v>PORT HUENEME</v>
      </c>
      <c r="E13987" t="str">
        <f t="shared" si="5184"/>
        <v>CA</v>
      </c>
      <c r="F13987" t="str">
        <f>T("930434321")</f>
        <v>930434321</v>
      </c>
      <c r="G13987" t="str">
        <f>T("4643 DOCK RD BLDG 524")</f>
        <v>4643 DOCK RD BLDG 524</v>
      </c>
      <c r="H13987" t="str">
        <f>T("SUPPLY DEPARTMENT")</f>
        <v>SUPPLY DEPARTMENT</v>
      </c>
      <c r="I13987" t="str">
        <f t="shared" si="5190"/>
        <v>PORT HUENEME</v>
      </c>
      <c r="J13987" t="str">
        <f t="shared" si="5187"/>
        <v>CA</v>
      </c>
      <c r="K13987" t="str">
        <f>T("000000000000000000")</f>
        <v>000000000000000000</v>
      </c>
      <c r="L13987" t="str">
        <f>T("8059825277")</f>
        <v>8059825277</v>
      </c>
    </row>
    <row r="13988" spans="1:12" x14ac:dyDescent="0.35">
      <c r="A13988" t="str">
        <f t="shared" si="5188"/>
        <v>NCG 1</v>
      </c>
      <c r="B13988" t="str">
        <f>T("4643 DOCK ROAD BLDG 524")</f>
        <v>4643 DOCK ROAD BLDG 524</v>
      </c>
      <c r="C13988" t="str">
        <f>T("SUPPLY DEPARTMENT")</f>
        <v>SUPPLY DEPARTMENT</v>
      </c>
      <c r="D13988" t="str">
        <f t="shared" si="5189"/>
        <v>PORT HUENEME</v>
      </c>
      <c r="E13988" t="str">
        <f t="shared" si="5184"/>
        <v>CA</v>
      </c>
      <c r="F13988" t="str">
        <f>T("930434321")</f>
        <v>930434321</v>
      </c>
      <c r="G13988" t="str">
        <f>T("4643 DOCK RD BLDG 524")</f>
        <v>4643 DOCK RD BLDG 524</v>
      </c>
      <c r="H13988" t="str">
        <f>T("SUPPLY DEPARTMENT")</f>
        <v>SUPPLY DEPARTMENT</v>
      </c>
      <c r="I13988" t="str">
        <f t="shared" si="5190"/>
        <v>PORT HUENEME</v>
      </c>
      <c r="J13988" t="str">
        <f t="shared" si="5187"/>
        <v>CA</v>
      </c>
      <c r="K13988" t="str">
        <f>T("000000000000000000")</f>
        <v>000000000000000000</v>
      </c>
      <c r="L13988" t="str">
        <f>T("8059825376")</f>
        <v>8059825376</v>
      </c>
    </row>
    <row r="13989" spans="1:12" x14ac:dyDescent="0.35">
      <c r="A13989" t="str">
        <f t="shared" si="5188"/>
        <v>NCG 1</v>
      </c>
      <c r="B13989" t="str">
        <f>T("4643 DOCK ROAD BLDG 524")</f>
        <v>4643 DOCK ROAD BLDG 524</v>
      </c>
      <c r="C13989" t="str">
        <f>T("SUPPLY DEPARTMENT")</f>
        <v>SUPPLY DEPARTMENT</v>
      </c>
      <c r="D13989" t="str">
        <f t="shared" si="5189"/>
        <v>PORT HUENEME</v>
      </c>
      <c r="E13989" t="str">
        <f t="shared" si="5184"/>
        <v>CA</v>
      </c>
      <c r="F13989" t="str">
        <f>T("930434321")</f>
        <v>930434321</v>
      </c>
      <c r="G13989" t="str">
        <f>T("4643 DOCK ROAD BLDG 524")</f>
        <v>4643 DOCK ROAD BLDG 524</v>
      </c>
      <c r="H13989" t="str">
        <f>T("SUPPLY DEPARTMENT")</f>
        <v>SUPPLY DEPARTMENT</v>
      </c>
      <c r="I13989" t="str">
        <f t="shared" si="5190"/>
        <v>PORT HUENEME</v>
      </c>
      <c r="J13989" t="str">
        <f t="shared" si="5187"/>
        <v>CA</v>
      </c>
      <c r="K13989" t="str">
        <f>T("")</f>
        <v/>
      </c>
      <c r="L13989" t="str">
        <f>T("8059823250")</f>
        <v>8059823250</v>
      </c>
    </row>
    <row r="13990" spans="1:12" x14ac:dyDescent="0.35">
      <c r="A13990" t="str">
        <f t="shared" si="5188"/>
        <v>NCG 1</v>
      </c>
      <c r="B13990" t="str">
        <f>T("5255 WOMBLE ST")</f>
        <v>5255 WOMBLE ST</v>
      </c>
      <c r="C13990" t="str">
        <f>T("BLDG 3535")</f>
        <v>BLDG 3535</v>
      </c>
      <c r="D13990" t="str">
        <f>T("SAN DIEGO")</f>
        <v>SAN DIEGO</v>
      </c>
      <c r="E13990" t="str">
        <f t="shared" si="5184"/>
        <v>CA</v>
      </c>
      <c r="F13990" t="str">
        <f>T("921365601")</f>
        <v>921365601</v>
      </c>
      <c r="G13990" t="str">
        <f>T("5255 WOMBLE ST")</f>
        <v>5255 WOMBLE ST</v>
      </c>
      <c r="H13990" t="str">
        <f>T("BLDG 3535")</f>
        <v>BLDG 3535</v>
      </c>
      <c r="I13990" t="str">
        <f>T("SAN DIEGO")</f>
        <v>SAN DIEGO</v>
      </c>
      <c r="J13990" t="str">
        <f t="shared" si="5187"/>
        <v>CA</v>
      </c>
      <c r="K13990" t="str">
        <f>T("")</f>
        <v/>
      </c>
      <c r="L13990" t="str">
        <f>T("6195560644")</f>
        <v>6195560644</v>
      </c>
    </row>
    <row r="13991" spans="1:12" x14ac:dyDescent="0.35">
      <c r="A13991" t="str">
        <f t="shared" si="5188"/>
        <v>NCG 1</v>
      </c>
      <c r="B13991" t="str">
        <f>T("5255 WOMBLE ST")</f>
        <v>5255 WOMBLE ST</v>
      </c>
      <c r="C13991" t="str">
        <f>T("BLDG 3535")</f>
        <v>BLDG 3535</v>
      </c>
      <c r="D13991" t="str">
        <f>T("SAN DIEGO")</f>
        <v>SAN DIEGO</v>
      </c>
      <c r="E13991" t="str">
        <f t="shared" si="5184"/>
        <v>CA</v>
      </c>
      <c r="F13991" t="str">
        <f>T("921365601")</f>
        <v>921365601</v>
      </c>
      <c r="G13991" t="str">
        <f>T("5255 WOMBLE STREET")</f>
        <v>5255 WOMBLE STREET</v>
      </c>
      <c r="H13991" t="str">
        <f>T("BLDG 3539")</f>
        <v>BLDG 3539</v>
      </c>
      <c r="I13991" t="str">
        <f>T("SAN DIEGO")</f>
        <v>SAN DIEGO</v>
      </c>
      <c r="J13991" t="str">
        <f t="shared" si="5187"/>
        <v>CA</v>
      </c>
      <c r="K13991" t="str">
        <f t="shared" ref="K13991:K14000" si="5195">T("000000000000000000")</f>
        <v>000000000000000000</v>
      </c>
      <c r="L13991" t="str">
        <f>T("6195560664")</f>
        <v>6195560664</v>
      </c>
    </row>
    <row r="13992" spans="1:12" x14ac:dyDescent="0.35">
      <c r="A13992" t="str">
        <f t="shared" si="5188"/>
        <v>NCG 1</v>
      </c>
      <c r="B13992" t="str">
        <f t="shared" ref="B13992:B13997" si="5196">T("BLDG 1436 2ND FLR")</f>
        <v>BLDG 1436 2ND FLR</v>
      </c>
      <c r="C13992" t="str">
        <f t="shared" ref="C13992:C13997" si="5197">T("RM 225 1NCR")</f>
        <v>RM 225 1NCR</v>
      </c>
      <c r="D13992" t="str">
        <f t="shared" ref="D13992:D14002" si="5198">T("PORT HUENEME")</f>
        <v>PORT HUENEME</v>
      </c>
      <c r="E13992" t="str">
        <f t="shared" si="5184"/>
        <v>CA</v>
      </c>
      <c r="F13992" t="str">
        <f t="shared" ref="F13992:F14002" si="5199">T("930430001")</f>
        <v>930430001</v>
      </c>
      <c r="G13992" t="str">
        <f>T("1205 MILL ROAD")</f>
        <v>1205 MILL ROAD</v>
      </c>
      <c r="H13992" t="str">
        <f>T("BLDG 1430")</f>
        <v>BLDG 1430</v>
      </c>
      <c r="I13992" t="str">
        <f t="shared" ref="I13992:I14002" si="5200">T("PORT HUENEME")</f>
        <v>PORT HUENEME</v>
      </c>
      <c r="J13992" t="str">
        <f t="shared" si="5187"/>
        <v>CA</v>
      </c>
      <c r="K13992" t="str">
        <f t="shared" si="5195"/>
        <v>000000000000000000</v>
      </c>
      <c r="L13992" t="str">
        <f>T("8059823012")</f>
        <v>8059823012</v>
      </c>
    </row>
    <row r="13993" spans="1:12" x14ac:dyDescent="0.35">
      <c r="A13993" t="str">
        <f t="shared" si="5188"/>
        <v>NCG 1</v>
      </c>
      <c r="B13993" t="str">
        <f t="shared" si="5196"/>
        <v>BLDG 1436 2ND FLR</v>
      </c>
      <c r="C13993" t="str">
        <f t="shared" si="5197"/>
        <v>RM 225 1NCR</v>
      </c>
      <c r="D13993" t="str">
        <f t="shared" si="5198"/>
        <v>PORT HUENEME</v>
      </c>
      <c r="E13993" t="str">
        <f t="shared" si="5184"/>
        <v>CA</v>
      </c>
      <c r="F13993" t="str">
        <f t="shared" si="5199"/>
        <v>930430001</v>
      </c>
      <c r="G13993" t="str">
        <f>T("1360 MILITARY PARKWAY")</f>
        <v>1360 MILITARY PARKWAY</v>
      </c>
      <c r="H13993" t="str">
        <f>T("BLDG 1360")</f>
        <v>BLDG 1360</v>
      </c>
      <c r="I13993" t="str">
        <f t="shared" si="5200"/>
        <v>PORT HUENEME</v>
      </c>
      <c r="J13993" t="str">
        <f t="shared" si="5187"/>
        <v>CA</v>
      </c>
      <c r="K13993" t="str">
        <f t="shared" si="5195"/>
        <v>000000000000000000</v>
      </c>
      <c r="L13993" t="str">
        <f>T("8177826308")</f>
        <v>8177826308</v>
      </c>
    </row>
    <row r="13994" spans="1:12" x14ac:dyDescent="0.35">
      <c r="A13994" t="str">
        <f t="shared" si="5188"/>
        <v>NCG 1</v>
      </c>
      <c r="B13994" t="str">
        <f t="shared" si="5196"/>
        <v>BLDG 1436 2ND FLR</v>
      </c>
      <c r="C13994" t="str">
        <f t="shared" si="5197"/>
        <v>RM 225 1NCR</v>
      </c>
      <c r="D13994" t="str">
        <f t="shared" si="5198"/>
        <v>PORT HUENEME</v>
      </c>
      <c r="E13994" t="str">
        <f t="shared" si="5184"/>
        <v>CA</v>
      </c>
      <c r="F13994" t="str">
        <f t="shared" si="5199"/>
        <v>930430001</v>
      </c>
      <c r="G13994" t="str">
        <f>T("150 34TH AVE")</f>
        <v>150 34TH AVE</v>
      </c>
      <c r="H13994" t="str">
        <f>T("BLDG 41")</f>
        <v>BLDG 41</v>
      </c>
      <c r="I13994" t="str">
        <f t="shared" si="5200"/>
        <v>PORT HUENEME</v>
      </c>
      <c r="J13994" t="str">
        <f t="shared" si="5187"/>
        <v>CA</v>
      </c>
      <c r="K13994" t="str">
        <f t="shared" si="5195"/>
        <v>000000000000000000</v>
      </c>
      <c r="L13994" t="str">
        <f>T("8059826367")</f>
        <v>8059826367</v>
      </c>
    </row>
    <row r="13995" spans="1:12" x14ac:dyDescent="0.35">
      <c r="A13995" t="str">
        <f t="shared" si="5188"/>
        <v>NCG 1</v>
      </c>
      <c r="B13995" t="str">
        <f t="shared" si="5196"/>
        <v>BLDG 1436 2ND FLR</v>
      </c>
      <c r="C13995" t="str">
        <f t="shared" si="5197"/>
        <v>RM 225 1NCR</v>
      </c>
      <c r="D13995" t="str">
        <f t="shared" si="5198"/>
        <v>PORT HUENEME</v>
      </c>
      <c r="E13995" t="str">
        <f t="shared" si="5184"/>
        <v>CA</v>
      </c>
      <c r="F13995" t="str">
        <f t="shared" si="5199"/>
        <v>930430001</v>
      </c>
      <c r="G13995" t="str">
        <f>T("151 36TH AVENUE")</f>
        <v>151 36TH AVENUE</v>
      </c>
      <c r="H13995" t="str">
        <f>T("BLDG 44")</f>
        <v>BLDG 44</v>
      </c>
      <c r="I13995" t="str">
        <f t="shared" si="5200"/>
        <v>PORT HUENEME</v>
      </c>
      <c r="J13995" t="str">
        <f t="shared" si="5187"/>
        <v>CA</v>
      </c>
      <c r="K13995" t="str">
        <f t="shared" si="5195"/>
        <v>000000000000000000</v>
      </c>
      <c r="L13995" t="str">
        <f>T("2539679073")</f>
        <v>2539679073</v>
      </c>
    </row>
    <row r="13996" spans="1:12" x14ac:dyDescent="0.35">
      <c r="A13996" t="str">
        <f t="shared" si="5188"/>
        <v>NCG 1</v>
      </c>
      <c r="B13996" t="str">
        <f t="shared" si="5196"/>
        <v>BLDG 1436 2ND FLR</v>
      </c>
      <c r="C13996" t="str">
        <f t="shared" si="5197"/>
        <v>RM 225 1NCR</v>
      </c>
      <c r="D13996" t="str">
        <f t="shared" si="5198"/>
        <v>PORT HUENEME</v>
      </c>
      <c r="E13996" t="str">
        <f t="shared" si="5184"/>
        <v>CA</v>
      </c>
      <c r="F13996" t="str">
        <f t="shared" si="5199"/>
        <v>930430001</v>
      </c>
      <c r="G13996" t="str">
        <f>T("2251 PACIFIC ROAD SUITE 6")</f>
        <v>2251 PACIFIC ROAD SUITE 6</v>
      </c>
      <c r="H13996" t="str">
        <f>T("")</f>
        <v/>
      </c>
      <c r="I13996" t="str">
        <f t="shared" si="5200"/>
        <v>PORT HUENEME</v>
      </c>
      <c r="J13996" t="str">
        <f t="shared" si="5187"/>
        <v>CA</v>
      </c>
      <c r="K13996" t="str">
        <f t="shared" si="5195"/>
        <v>000000000000000000</v>
      </c>
      <c r="L13996" t="str">
        <f>T("8059825132")</f>
        <v>8059825132</v>
      </c>
    </row>
    <row r="13997" spans="1:12" x14ac:dyDescent="0.35">
      <c r="A13997" t="str">
        <f t="shared" si="5188"/>
        <v>NCG 1</v>
      </c>
      <c r="B13997" t="str">
        <f t="shared" si="5196"/>
        <v>BLDG 1436 2ND FLR</v>
      </c>
      <c r="C13997" t="str">
        <f t="shared" si="5197"/>
        <v>RM 225 1NCR</v>
      </c>
      <c r="D13997" t="str">
        <f t="shared" si="5198"/>
        <v>PORT HUENEME</v>
      </c>
      <c r="E13997" t="str">
        <f t="shared" si="5184"/>
        <v>CA</v>
      </c>
      <c r="F13997" t="str">
        <f t="shared" si="5199"/>
        <v>930430001</v>
      </c>
      <c r="G13997" t="str">
        <f>T("BLDG 1436 2ND FLR")</f>
        <v>BLDG 1436 2ND FLR</v>
      </c>
      <c r="H13997" t="str">
        <f>T("RM 225 1NCR")</f>
        <v>RM 225 1NCR</v>
      </c>
      <c r="I13997" t="str">
        <f t="shared" si="5200"/>
        <v>PORT HUENEME</v>
      </c>
      <c r="J13997" t="str">
        <f t="shared" si="5187"/>
        <v>CA</v>
      </c>
      <c r="K13997" t="str">
        <f t="shared" si="5195"/>
        <v>000000000000000000</v>
      </c>
      <c r="L13997" t="str">
        <f>T("8059826205")</f>
        <v>8059826205</v>
      </c>
    </row>
    <row r="13998" spans="1:12" x14ac:dyDescent="0.35">
      <c r="A13998" t="str">
        <f t="shared" si="5188"/>
        <v>NCG 1</v>
      </c>
      <c r="B13998" t="str">
        <f>T("BLDG 1438 PACIFIC RD")</f>
        <v>BLDG 1438 PACIFIC RD</v>
      </c>
      <c r="C13998" t="str">
        <f>T("")</f>
        <v/>
      </c>
      <c r="D13998" t="str">
        <f t="shared" si="5198"/>
        <v>PORT HUENEME</v>
      </c>
      <c r="E13998" t="str">
        <f t="shared" si="5184"/>
        <v>CA</v>
      </c>
      <c r="F13998" t="str">
        <f t="shared" si="5199"/>
        <v>930430001</v>
      </c>
      <c r="G13998" t="str">
        <f>T("2251 PACIFIC RD BLD 225")</f>
        <v>2251 PACIFIC RD BLD 225</v>
      </c>
      <c r="H13998" t="str">
        <f>T("ATTN RICHARD BROOKS")</f>
        <v>ATTN RICHARD BROOKS</v>
      </c>
      <c r="I13998" t="str">
        <f t="shared" si="5200"/>
        <v>PORT HUENEME</v>
      </c>
      <c r="J13998" t="str">
        <f t="shared" si="5187"/>
        <v>CA</v>
      </c>
      <c r="K13998" t="str">
        <f t="shared" si="5195"/>
        <v>000000000000000000</v>
      </c>
      <c r="L13998" t="str">
        <f>T("8059822252")</f>
        <v>8059822252</v>
      </c>
    </row>
    <row r="13999" spans="1:12" x14ac:dyDescent="0.35">
      <c r="A13999" t="str">
        <f t="shared" si="5188"/>
        <v>NCG 1</v>
      </c>
      <c r="B13999" t="str">
        <f>T("BLDG 1438 PACIFIC RD")</f>
        <v>BLDG 1438 PACIFIC RD</v>
      </c>
      <c r="C13999" t="str">
        <f>T("")</f>
        <v/>
      </c>
      <c r="D13999" t="str">
        <f t="shared" si="5198"/>
        <v>PORT HUENEME</v>
      </c>
      <c r="E13999" t="str">
        <f t="shared" si="5184"/>
        <v>CA</v>
      </c>
      <c r="F13999" t="str">
        <f t="shared" si="5199"/>
        <v>930430001</v>
      </c>
      <c r="G13999" t="str">
        <f>T("2251 PACIFIC RD BLD 225")</f>
        <v>2251 PACIFIC RD BLD 225</v>
      </c>
      <c r="H13999" t="str">
        <f>T("ATTN RICHARD BROOKS")</f>
        <v>ATTN RICHARD BROOKS</v>
      </c>
      <c r="I13999" t="str">
        <f t="shared" si="5200"/>
        <v>PORT HUENEME</v>
      </c>
      <c r="J13999" t="str">
        <f t="shared" si="5187"/>
        <v>CA</v>
      </c>
      <c r="K13999" t="str">
        <f t="shared" si="5195"/>
        <v>000000000000000000</v>
      </c>
      <c r="L13999" t="str">
        <f>T("8059824922")</f>
        <v>8059824922</v>
      </c>
    </row>
    <row r="14000" spans="1:12" x14ac:dyDescent="0.35">
      <c r="A14000" t="str">
        <f t="shared" si="5188"/>
        <v>NCG 1</v>
      </c>
      <c r="B14000" t="str">
        <f>T("BLDG 1438 PACIFIC RD")</f>
        <v>BLDG 1438 PACIFIC RD</v>
      </c>
      <c r="C14000" t="str">
        <f>T("")</f>
        <v/>
      </c>
      <c r="D14000" t="str">
        <f t="shared" si="5198"/>
        <v>PORT HUENEME</v>
      </c>
      <c r="E14000" t="str">
        <f t="shared" si="5184"/>
        <v>CA</v>
      </c>
      <c r="F14000" t="str">
        <f t="shared" si="5199"/>
        <v>930430001</v>
      </c>
      <c r="G14000" t="str">
        <f>T("2600 DODSON ST STE 3")</f>
        <v>2600 DODSON ST STE 3</v>
      </c>
      <c r="H14000" t="str">
        <f>T("")</f>
        <v/>
      </c>
      <c r="I14000" t="str">
        <f t="shared" si="5200"/>
        <v>PORT HUENEME</v>
      </c>
      <c r="J14000" t="str">
        <f t="shared" si="5187"/>
        <v>CA</v>
      </c>
      <c r="K14000" t="str">
        <f t="shared" si="5195"/>
        <v>000000000000000000</v>
      </c>
      <c r="L14000" t="str">
        <f>T("8059824659")</f>
        <v>8059824659</v>
      </c>
    </row>
    <row r="14001" spans="1:12" x14ac:dyDescent="0.35">
      <c r="A14001" t="str">
        <f t="shared" si="5188"/>
        <v>NCG 1</v>
      </c>
      <c r="B14001" t="str">
        <f>T("BLDG 1438 PACIFIC RD")</f>
        <v>BLDG 1438 PACIFIC RD</v>
      </c>
      <c r="C14001" t="str">
        <f>T("")</f>
        <v/>
      </c>
      <c r="D14001" t="str">
        <f t="shared" si="5198"/>
        <v>PORT HUENEME</v>
      </c>
      <c r="E14001" t="str">
        <f t="shared" si="5184"/>
        <v>CA</v>
      </c>
      <c r="F14001" t="str">
        <f t="shared" si="5199"/>
        <v>930430001</v>
      </c>
      <c r="G14001" t="str">
        <f>T("BLDG 1438 PACIFIC RD")</f>
        <v>BLDG 1438 PACIFIC RD</v>
      </c>
      <c r="H14001" t="str">
        <f>T("")</f>
        <v/>
      </c>
      <c r="I14001" t="str">
        <f t="shared" si="5200"/>
        <v>PORT HUENEME</v>
      </c>
      <c r="J14001" t="str">
        <f t="shared" si="5187"/>
        <v>CA</v>
      </c>
      <c r="K14001" t="str">
        <f>T("")</f>
        <v/>
      </c>
      <c r="L14001" t="str">
        <f>T("8059826131")</f>
        <v>8059826131</v>
      </c>
    </row>
    <row r="14002" spans="1:12" x14ac:dyDescent="0.35">
      <c r="A14002" t="str">
        <f t="shared" si="5188"/>
        <v>NCG 1</v>
      </c>
      <c r="B14002" t="str">
        <f>T("BLDG 1438 PACIFIC RD")</f>
        <v>BLDG 1438 PACIFIC RD</v>
      </c>
      <c r="C14002" t="str">
        <f>T("")</f>
        <v/>
      </c>
      <c r="D14002" t="str">
        <f t="shared" si="5198"/>
        <v>PORT HUENEME</v>
      </c>
      <c r="E14002" t="str">
        <f t="shared" si="5184"/>
        <v>CA</v>
      </c>
      <c r="F14002" t="str">
        <f t="shared" si="5199"/>
        <v>930430001</v>
      </c>
      <c r="G14002" t="str">
        <f>T("NMCB 4 UNIT 25284")</f>
        <v>NMCB 4 UNIT 25284</v>
      </c>
      <c r="H14002" t="str">
        <f>T("BLDG 1438 PACIFIC RD NBVC")</f>
        <v>BLDG 1438 PACIFIC RD NBVC</v>
      </c>
      <c r="I14002" t="str">
        <f t="shared" si="5200"/>
        <v>PORT HUENEME</v>
      </c>
      <c r="J14002" t="str">
        <f t="shared" si="5187"/>
        <v>CA</v>
      </c>
      <c r="K14002" t="str">
        <f>T("000000000000000000")</f>
        <v>000000000000000000</v>
      </c>
      <c r="L14002" t="str">
        <f>T("8059824922")</f>
        <v>8059824922</v>
      </c>
    </row>
    <row r="14003" spans="1:12" x14ac:dyDescent="0.35">
      <c r="A14003" t="str">
        <f>T("NECC PAC")</f>
        <v>NECC PAC</v>
      </c>
      <c r="B14003" t="str">
        <f>T("258 MAKALAPA DRIVE STE 200")</f>
        <v>258 MAKALAPA DRIVE STE 200</v>
      </c>
      <c r="C14003" t="str">
        <f>T("SUITE 200")</f>
        <v>SUITE 200</v>
      </c>
      <c r="D14003" t="str">
        <f>T("PEARL HARBOR")</f>
        <v>PEARL HARBOR</v>
      </c>
      <c r="E14003" t="str">
        <f>T("HI")</f>
        <v>HI</v>
      </c>
      <c r="F14003" t="str">
        <f>T("968603121")</f>
        <v>968603121</v>
      </c>
      <c r="G14003" t="str">
        <f>T("258 MAKALAPA DR")</f>
        <v>258 MAKALAPA DR</v>
      </c>
      <c r="H14003" t="str">
        <f>T("BLDG 396A JBPHH")</f>
        <v>BLDG 396A JBPHH</v>
      </c>
      <c r="I14003" t="str">
        <f>T("PEARL HARBOR")</f>
        <v>PEARL HARBOR</v>
      </c>
      <c r="J14003" t="str">
        <f>T("HI")</f>
        <v>HI</v>
      </c>
      <c r="K14003" t="str">
        <f>T("8044712250")</f>
        <v>8044712250</v>
      </c>
      <c r="L14003" t="str">
        <f>T("8084712233")</f>
        <v>8084712233</v>
      </c>
    </row>
    <row r="14004" spans="1:12" x14ac:dyDescent="0.35">
      <c r="A14004" t="str">
        <f>T("NECC PAC")</f>
        <v>NECC PAC</v>
      </c>
      <c r="B14004" t="str">
        <f>T("258 MAKALAPA DRIVE STE 200")</f>
        <v>258 MAKALAPA DRIVE STE 200</v>
      </c>
      <c r="C14004" t="str">
        <f>T("SUITE 200")</f>
        <v>SUITE 200</v>
      </c>
      <c r="D14004" t="str">
        <f>T("PEARL HARBOR")</f>
        <v>PEARL HARBOR</v>
      </c>
      <c r="E14004" t="str">
        <f>T("HI")</f>
        <v>HI</v>
      </c>
      <c r="F14004" t="str">
        <f>T("968603121")</f>
        <v>968603121</v>
      </c>
      <c r="G14004" t="str">
        <f>T("258 MAKALAPA DRIVE STE 200")</f>
        <v>258 MAKALAPA DRIVE STE 200</v>
      </c>
      <c r="H14004" t="str">
        <f>T("SUITE 200")</f>
        <v>SUITE 200</v>
      </c>
      <c r="I14004" t="str">
        <f>T("PEARL HARBOR")</f>
        <v>PEARL HARBOR</v>
      </c>
      <c r="J14004" t="str">
        <f>T("HI")</f>
        <v>HI</v>
      </c>
      <c r="K14004" t="str">
        <f>T("8084717655")</f>
        <v>8084717655</v>
      </c>
      <c r="L14004" t="str">
        <f>T("8084721583")</f>
        <v>8084721583</v>
      </c>
    </row>
    <row r="14005" spans="1:12" x14ac:dyDescent="0.35">
      <c r="A14005" t="str">
        <f>T("NECC PAC")</f>
        <v>NECC PAC</v>
      </c>
      <c r="B14005" t="str">
        <f>T("258 MAKALAPA DRIVE STE 200")</f>
        <v>258 MAKALAPA DRIVE STE 200</v>
      </c>
      <c r="C14005" t="str">
        <f>T("SUITE 200")</f>
        <v>SUITE 200</v>
      </c>
      <c r="D14005" t="str">
        <f>T("PEARL HARBOR")</f>
        <v>PEARL HARBOR</v>
      </c>
      <c r="E14005" t="str">
        <f>T("HI")</f>
        <v>HI</v>
      </c>
      <c r="F14005" t="str">
        <f>T("968603121")</f>
        <v>968603121</v>
      </c>
      <c r="G14005" t="str">
        <f>T("DEPT OF NAVY NECCPAC")</f>
        <v>DEPT OF NAVY NECCPAC</v>
      </c>
      <c r="H14005" t="str">
        <f>T("258 MAKALAPA DR SUITE 200")</f>
        <v>258 MAKALAPA DR SUITE 200</v>
      </c>
      <c r="I14005" t="str">
        <f>T("PEARL HARBOR")</f>
        <v>PEARL HARBOR</v>
      </c>
      <c r="J14005" t="str">
        <f>T("HI")</f>
        <v>HI</v>
      </c>
      <c r="K14005" t="str">
        <f>T("8084747655")</f>
        <v>8084747655</v>
      </c>
      <c r="L14005" t="str">
        <f>T("8084712232")</f>
        <v>8084712232</v>
      </c>
    </row>
    <row r="14006" spans="1:12" x14ac:dyDescent="0.35">
      <c r="A14006" t="str">
        <f>T("NECC PAC")</f>
        <v>NECC PAC</v>
      </c>
      <c r="B14006" t="str">
        <f>T("258 MAKALAPA DRIVE STE 200")</f>
        <v>258 MAKALAPA DRIVE STE 200</v>
      </c>
      <c r="C14006" t="str">
        <f>T("SUITE 200")</f>
        <v>SUITE 200</v>
      </c>
      <c r="D14006" t="str">
        <f>T("PEARL HARBOR")</f>
        <v>PEARL HARBOR</v>
      </c>
      <c r="E14006" t="str">
        <f>T("HI")</f>
        <v>HI</v>
      </c>
      <c r="F14006" t="str">
        <f>T("968603121")</f>
        <v>968603121</v>
      </c>
      <c r="G14006" t="str">
        <f>T("DEPT OF NAVY NECCPAC")</f>
        <v>DEPT OF NAVY NECCPAC</v>
      </c>
      <c r="H14006" t="str">
        <f>T("258 MAKALAPA DR SUITE 200")</f>
        <v>258 MAKALAPA DR SUITE 200</v>
      </c>
      <c r="I14006" t="str">
        <f>T("PEARL HARBOR")</f>
        <v>PEARL HARBOR</v>
      </c>
      <c r="J14006" t="str">
        <f>T("HI")</f>
        <v>HI</v>
      </c>
      <c r="K14006" t="str">
        <f>T("8084747655")</f>
        <v>8084747655</v>
      </c>
      <c r="L14006" t="str">
        <f>T("8084721586")</f>
        <v>8084721586</v>
      </c>
    </row>
    <row r="14007" spans="1:12" x14ac:dyDescent="0.35">
      <c r="A14007" t="str">
        <f>T("NECC PAC")</f>
        <v>NECC PAC</v>
      </c>
      <c r="B14007" t="str">
        <f>T("258 MAKALAPA DRIVE STE 200")</f>
        <v>258 MAKALAPA DRIVE STE 200</v>
      </c>
      <c r="C14007" t="str">
        <f>T("SUITE 200")</f>
        <v>SUITE 200</v>
      </c>
      <c r="D14007" t="str">
        <f>T("PEARL HARBOR")</f>
        <v>PEARL HARBOR</v>
      </c>
      <c r="E14007" t="str">
        <f>T("HI")</f>
        <v>HI</v>
      </c>
      <c r="F14007" t="str">
        <f>T("968603121")</f>
        <v>968603121</v>
      </c>
      <c r="G14007" t="str">
        <f>T("DEPT OF NAVY NECCPAC")</f>
        <v>DEPT OF NAVY NECCPAC</v>
      </c>
      <c r="H14007" t="str">
        <f>T("258 MAKALAPA DR SUITE 200")</f>
        <v>258 MAKALAPA DR SUITE 200</v>
      </c>
      <c r="I14007" t="str">
        <f>T("PEARL HARBOR")</f>
        <v>PEARL HARBOR</v>
      </c>
      <c r="J14007" t="str">
        <f>T("HI")</f>
        <v>HI</v>
      </c>
      <c r="K14007" t="str">
        <f>T("8084747655")</f>
        <v>8084747655</v>
      </c>
      <c r="L14007" t="str">
        <f>T("8084721618")</f>
        <v>8084721618</v>
      </c>
    </row>
    <row r="14008" spans="1:12" x14ac:dyDescent="0.35">
      <c r="A14008" t="str">
        <f t="shared" ref="A14008:A14025" si="5201">T("CRG1")</f>
        <v>CRG1</v>
      </c>
      <c r="B14008" t="str">
        <f t="shared" ref="B14008:B14014" si="5202">T("1498 13TH ST")</f>
        <v>1498 13TH ST</v>
      </c>
      <c r="C14008" t="str">
        <f t="shared" ref="C14008:C14014" si="5203">T("NOLF-IB BLDG 184")</f>
        <v>NOLF-IB BLDG 184</v>
      </c>
      <c r="D14008" t="str">
        <f t="shared" ref="D14008:D14014" si="5204">T("IMPERIAL BCH")</f>
        <v>IMPERIAL BCH</v>
      </c>
      <c r="E14008" t="str">
        <f t="shared" ref="E14008:E14025" si="5205">T("CA")</f>
        <v>CA</v>
      </c>
      <c r="F14008" t="str">
        <f t="shared" ref="F14008:F14014" si="5206">T("919323746")</f>
        <v>919323746</v>
      </c>
      <c r="G14008" t="str">
        <f>T("1498 13TH ST")</f>
        <v>1498 13TH ST</v>
      </c>
      <c r="H14008" t="str">
        <f>T("")</f>
        <v/>
      </c>
      <c r="I14008" t="str">
        <f>T("IMPERIAL BEACH")</f>
        <v>IMPERIAL BEACH</v>
      </c>
      <c r="J14008" t="str">
        <f t="shared" ref="J14008:J14025" si="5207">T("CA")</f>
        <v>CA</v>
      </c>
      <c r="K14008" t="str">
        <f>T("000000000000000000")</f>
        <v>000000000000000000</v>
      </c>
      <c r="L14008" t="str">
        <f>T("6194379585")</f>
        <v>6194379585</v>
      </c>
    </row>
    <row r="14009" spans="1:12" x14ac:dyDescent="0.35">
      <c r="A14009" t="str">
        <f t="shared" si="5201"/>
        <v>CRG1</v>
      </c>
      <c r="B14009" t="str">
        <f t="shared" si="5202"/>
        <v>1498 13TH ST</v>
      </c>
      <c r="C14009" t="str">
        <f t="shared" si="5203"/>
        <v>NOLF-IB BLDG 184</v>
      </c>
      <c r="D14009" t="str">
        <f t="shared" si="5204"/>
        <v>IMPERIAL BCH</v>
      </c>
      <c r="E14009" t="str">
        <f t="shared" si="5205"/>
        <v>CA</v>
      </c>
      <c r="F14009" t="str">
        <f t="shared" si="5206"/>
        <v>919323746</v>
      </c>
      <c r="G14009" t="str">
        <f>T("1498 13TH ST")</f>
        <v>1498 13TH ST</v>
      </c>
      <c r="H14009" t="str">
        <f>T("NOLF-IB BLDG 184")</f>
        <v>NOLF-IB BLDG 184</v>
      </c>
      <c r="I14009" t="str">
        <f>T("IMPERIAL BCH")</f>
        <v>IMPERIAL BCH</v>
      </c>
      <c r="J14009" t="str">
        <f t="shared" si="5207"/>
        <v>CA</v>
      </c>
      <c r="K14009" t="str">
        <f>T("")</f>
        <v/>
      </c>
      <c r="L14009" t="str">
        <f>T("9046145728")</f>
        <v>9046145728</v>
      </c>
    </row>
    <row r="14010" spans="1:12" x14ac:dyDescent="0.35">
      <c r="A14010" t="str">
        <f t="shared" si="5201"/>
        <v>CRG1</v>
      </c>
      <c r="B14010" t="str">
        <f t="shared" si="5202"/>
        <v>1498 13TH ST</v>
      </c>
      <c r="C14010" t="str">
        <f t="shared" si="5203"/>
        <v>NOLF-IB BLDG 184</v>
      </c>
      <c r="D14010" t="str">
        <f t="shared" si="5204"/>
        <v>IMPERIAL BCH</v>
      </c>
      <c r="E14010" t="str">
        <f t="shared" si="5205"/>
        <v>CA</v>
      </c>
      <c r="F14010" t="str">
        <f t="shared" si="5206"/>
        <v>919323746</v>
      </c>
      <c r="G14010" t="str">
        <f>T("1498 13TH STREET")</f>
        <v>1498 13TH STREET</v>
      </c>
      <c r="H14010" t="str">
        <f>T("BLDG 184")</f>
        <v>BLDG 184</v>
      </c>
      <c r="I14010" t="str">
        <f>T("IMPERIAL BEACH")</f>
        <v>IMPERIAL BEACH</v>
      </c>
      <c r="J14010" t="str">
        <f t="shared" si="5207"/>
        <v>CA</v>
      </c>
      <c r="K14010" t="str">
        <f>T("000000000000000000")</f>
        <v>000000000000000000</v>
      </c>
      <c r="L14010" t="str">
        <f>T("6194379407")</f>
        <v>6194379407</v>
      </c>
    </row>
    <row r="14011" spans="1:12" x14ac:dyDescent="0.35">
      <c r="A14011" t="str">
        <f t="shared" si="5201"/>
        <v>CRG1</v>
      </c>
      <c r="B14011" t="str">
        <f t="shared" si="5202"/>
        <v>1498 13TH ST</v>
      </c>
      <c r="C14011" t="str">
        <f t="shared" si="5203"/>
        <v>NOLF-IB BLDG 184</v>
      </c>
      <c r="D14011" t="str">
        <f t="shared" si="5204"/>
        <v>IMPERIAL BCH</v>
      </c>
      <c r="E14011" t="str">
        <f t="shared" si="5205"/>
        <v>CA</v>
      </c>
      <c r="F14011" t="str">
        <f t="shared" si="5206"/>
        <v>919323746</v>
      </c>
      <c r="G14011" t="str">
        <f>T("COASTAL RIVERINE GROUP ONE")</f>
        <v>COASTAL RIVERINE GROUP ONE</v>
      </c>
      <c r="H14011" t="str">
        <f>T("1498 13TH ST BLDG 184")</f>
        <v>1498 13TH ST BLDG 184</v>
      </c>
      <c r="I14011" t="str">
        <f>T("IMPERIAL BEACH")</f>
        <v>IMPERIAL BEACH</v>
      </c>
      <c r="J14011" t="str">
        <f t="shared" si="5207"/>
        <v>CA</v>
      </c>
      <c r="K14011" t="str">
        <f>T("000000000000000000")</f>
        <v>000000000000000000</v>
      </c>
      <c r="L14011" t="str">
        <f>T("6194379527")</f>
        <v>6194379527</v>
      </c>
    </row>
    <row r="14012" spans="1:12" x14ac:dyDescent="0.35">
      <c r="A14012" t="str">
        <f t="shared" si="5201"/>
        <v>CRG1</v>
      </c>
      <c r="B14012" t="str">
        <f t="shared" si="5202"/>
        <v>1498 13TH ST</v>
      </c>
      <c r="C14012" t="str">
        <f t="shared" si="5203"/>
        <v>NOLF-IB BLDG 184</v>
      </c>
      <c r="D14012" t="str">
        <f t="shared" si="5204"/>
        <v>IMPERIAL BCH</v>
      </c>
      <c r="E14012" t="str">
        <f t="shared" si="5205"/>
        <v>CA</v>
      </c>
      <c r="F14012" t="str">
        <f t="shared" si="5206"/>
        <v>919323746</v>
      </c>
      <c r="G14012" t="str">
        <f>T("NOLF-IB BLDG 184")</f>
        <v>NOLF-IB BLDG 184</v>
      </c>
      <c r="H14012" t="str">
        <f>T("1498 13TH ST")</f>
        <v>1498 13TH ST</v>
      </c>
      <c r="I14012" t="str">
        <f>T("IMPERIAL BEACH")</f>
        <v>IMPERIAL BEACH</v>
      </c>
      <c r="J14012" t="str">
        <f t="shared" si="5207"/>
        <v>CA</v>
      </c>
      <c r="K14012" t="str">
        <f>T("6194379526")</f>
        <v>6194379526</v>
      </c>
      <c r="L14012" t="str">
        <f>T("6194379470")</f>
        <v>6194379470</v>
      </c>
    </row>
    <row r="14013" spans="1:12" x14ac:dyDescent="0.35">
      <c r="A14013" t="str">
        <f t="shared" si="5201"/>
        <v>CRG1</v>
      </c>
      <c r="B14013" t="str">
        <f t="shared" si="5202"/>
        <v>1498 13TH ST</v>
      </c>
      <c r="C14013" t="str">
        <f t="shared" si="5203"/>
        <v>NOLF-IB BLDG 184</v>
      </c>
      <c r="D14013" t="str">
        <f t="shared" si="5204"/>
        <v>IMPERIAL BCH</v>
      </c>
      <c r="E14013" t="str">
        <f t="shared" si="5205"/>
        <v>CA</v>
      </c>
      <c r="F14013" t="str">
        <f t="shared" si="5206"/>
        <v>919323746</v>
      </c>
      <c r="G14013" t="str">
        <f>T("NOLF-IB BLDG 184")</f>
        <v>NOLF-IB BLDG 184</v>
      </c>
      <c r="H14013" t="str">
        <f>T("1498 13TH ST")</f>
        <v>1498 13TH ST</v>
      </c>
      <c r="I14013" t="str">
        <f>T("IMPERIAL BEACH")</f>
        <v>IMPERIAL BEACH</v>
      </c>
      <c r="J14013" t="str">
        <f t="shared" si="5207"/>
        <v>CA</v>
      </c>
      <c r="K14013" t="str">
        <f>T("6194379526")</f>
        <v>6194379526</v>
      </c>
      <c r="L14013" t="str">
        <f>T("6194379487")</f>
        <v>6194379487</v>
      </c>
    </row>
    <row r="14014" spans="1:12" x14ac:dyDescent="0.35">
      <c r="A14014" t="str">
        <f t="shared" si="5201"/>
        <v>CRG1</v>
      </c>
      <c r="B14014" t="str">
        <f t="shared" si="5202"/>
        <v>1498 13TH ST</v>
      </c>
      <c r="C14014" t="str">
        <f t="shared" si="5203"/>
        <v>NOLF-IB BLDG 184</v>
      </c>
      <c r="D14014" t="str">
        <f t="shared" si="5204"/>
        <v>IMPERIAL BCH</v>
      </c>
      <c r="E14014" t="str">
        <f t="shared" si="5205"/>
        <v>CA</v>
      </c>
      <c r="F14014" t="str">
        <f t="shared" si="5206"/>
        <v>919323746</v>
      </c>
      <c r="G14014" t="str">
        <f>T("US NAVY/CRG1")</f>
        <v>US NAVY/CRG1</v>
      </c>
      <c r="H14014" t="str">
        <f>T("NOLF-IB BLDG 184 1498 13TH ST")</f>
        <v>NOLF-IB BLDG 184 1498 13TH ST</v>
      </c>
      <c r="I14014" t="str">
        <f>T("IMPERIAL BEACH")</f>
        <v>IMPERIAL BEACH</v>
      </c>
      <c r="J14014" t="str">
        <f t="shared" si="5207"/>
        <v>CA</v>
      </c>
      <c r="K14014" t="str">
        <f>T("000000000000000000")</f>
        <v>000000000000000000</v>
      </c>
      <c r="L14014" t="str">
        <f>T("6194379527")</f>
        <v>6194379527</v>
      </c>
    </row>
    <row r="14015" spans="1:12" x14ac:dyDescent="0.35">
      <c r="A14015" t="str">
        <f t="shared" si="5201"/>
        <v>CRG1</v>
      </c>
      <c r="B14015" t="str">
        <f>T("800 SEAL BEACH BLVD BLDG 77")</f>
        <v>800 SEAL BEACH BLVD BLDG 77</v>
      </c>
      <c r="C14015" t="str">
        <f t="shared" ref="C14015:C14020" si="5208">T("")</f>
        <v/>
      </c>
      <c r="D14015" t="str">
        <f>T("SEAL BEACH")</f>
        <v>SEAL BEACH</v>
      </c>
      <c r="E14015" t="str">
        <f t="shared" si="5205"/>
        <v>CA</v>
      </c>
      <c r="F14015" t="str">
        <f>T("907405607")</f>
        <v>907405607</v>
      </c>
      <c r="G14015" t="str">
        <f>T("800 SEAL BEACH BLVD")</f>
        <v>800 SEAL BEACH BLVD</v>
      </c>
      <c r="H14015" t="str">
        <f>T("")</f>
        <v/>
      </c>
      <c r="I14015" t="str">
        <f>T("SEAL BEACH")</f>
        <v>SEAL BEACH</v>
      </c>
      <c r="J14015" t="str">
        <f t="shared" si="5207"/>
        <v>CA</v>
      </c>
      <c r="K14015" t="str">
        <f>T("000000000000000000")</f>
        <v>000000000000000000</v>
      </c>
      <c r="L14015" t="str">
        <f>T("5626267883")</f>
        <v>5626267883</v>
      </c>
    </row>
    <row r="14016" spans="1:12" x14ac:dyDescent="0.35">
      <c r="A14016" t="str">
        <f t="shared" si="5201"/>
        <v>CRG1</v>
      </c>
      <c r="B14016" t="str">
        <f>T("800 SEAL BEACH BLVD BLDG 77")</f>
        <v>800 SEAL BEACH BLVD BLDG 77</v>
      </c>
      <c r="C14016" t="str">
        <f t="shared" si="5208"/>
        <v/>
      </c>
      <c r="D14016" t="str">
        <f>T("SEAL BEACH")</f>
        <v>SEAL BEACH</v>
      </c>
      <c r="E14016" t="str">
        <f t="shared" si="5205"/>
        <v>CA</v>
      </c>
      <c r="F14016" t="str">
        <f>T("907405607")</f>
        <v>907405607</v>
      </c>
      <c r="G14016" t="str">
        <f>T("800 SEAL BEACH BLVD BLDG 77")</f>
        <v>800 SEAL BEACH BLVD BLDG 77</v>
      </c>
      <c r="H14016" t="str">
        <f>T("")</f>
        <v/>
      </c>
      <c r="I14016" t="str">
        <f>T("SEAL BEACH")</f>
        <v>SEAL BEACH</v>
      </c>
      <c r="J14016" t="str">
        <f t="shared" si="5207"/>
        <v>CA</v>
      </c>
      <c r="K14016" t="str">
        <f>T("")</f>
        <v/>
      </c>
      <c r="L14016" t="str">
        <f>T("6195175318")</f>
        <v>6195175318</v>
      </c>
    </row>
    <row r="14017" spans="1:12" x14ac:dyDescent="0.35">
      <c r="A14017" t="str">
        <f t="shared" si="5201"/>
        <v>CRG1</v>
      </c>
      <c r="B14017" t="str">
        <f>T("800 SEAL BEACH BLVD BLDG 77")</f>
        <v>800 SEAL BEACH BLVD BLDG 77</v>
      </c>
      <c r="C14017" t="str">
        <f t="shared" si="5208"/>
        <v/>
      </c>
      <c r="D14017" t="str">
        <f>T("SEAL BEACH")</f>
        <v>SEAL BEACH</v>
      </c>
      <c r="E14017" t="str">
        <f t="shared" si="5205"/>
        <v>CA</v>
      </c>
      <c r="F14017" t="str">
        <f>T("907405607")</f>
        <v>907405607</v>
      </c>
      <c r="G14017" t="str">
        <f>T("800 SEAL BEACH BLVD BLDG 77")</f>
        <v>800 SEAL BEACH BLVD BLDG 77</v>
      </c>
      <c r="H14017" t="str">
        <f>T("")</f>
        <v/>
      </c>
      <c r="I14017" t="str">
        <f>T("SEAL BEACH")</f>
        <v>SEAL BEACH</v>
      </c>
      <c r="J14017" t="str">
        <f t="shared" si="5207"/>
        <v>CA</v>
      </c>
      <c r="K14017" t="str">
        <f>T("000000000000000000")</f>
        <v>000000000000000000</v>
      </c>
      <c r="L14017" t="str">
        <f>T("5626267883")</f>
        <v>5626267883</v>
      </c>
    </row>
    <row r="14018" spans="1:12" x14ac:dyDescent="0.35">
      <c r="A14018" t="str">
        <f t="shared" si="5201"/>
        <v>CRG1</v>
      </c>
      <c r="B14018" t="str">
        <f>T("NASNI BLDG 290, P O BOX 357110")</f>
        <v>NASNI BLDG 290, P O BOX 357110</v>
      </c>
      <c r="C14018" t="str">
        <f t="shared" si="5208"/>
        <v/>
      </c>
      <c r="D14018" t="str">
        <f>T("SAN DIEGO")</f>
        <v>SAN DIEGO</v>
      </c>
      <c r="E14018" t="str">
        <f t="shared" si="5205"/>
        <v>CA</v>
      </c>
      <c r="F14018" t="str">
        <f>T("921357110")</f>
        <v>921357110</v>
      </c>
      <c r="G14018" t="str">
        <f>T("1498 13TH ST")</f>
        <v>1498 13TH ST</v>
      </c>
      <c r="H14018" t="str">
        <f>T("BLDG 184")</f>
        <v>BLDG 184</v>
      </c>
      <c r="I14018" t="str">
        <f>T("IMPERIAL BEACH")</f>
        <v>IMPERIAL BEACH</v>
      </c>
      <c r="J14018" t="str">
        <f t="shared" si="5207"/>
        <v>CA</v>
      </c>
      <c r="K14018" t="str">
        <f>T("000000000000000000")</f>
        <v>000000000000000000</v>
      </c>
      <c r="L14018" t="str">
        <f>T("6195458803")</f>
        <v>6195458803</v>
      </c>
    </row>
    <row r="14019" spans="1:12" x14ac:dyDescent="0.35">
      <c r="A14019" t="str">
        <f t="shared" si="5201"/>
        <v>CRG1</v>
      </c>
      <c r="B14019" t="str">
        <f>T("NASNI BLDG 290, P O BOX 357110")</f>
        <v>NASNI BLDG 290, P O BOX 357110</v>
      </c>
      <c r="C14019" t="str">
        <f t="shared" si="5208"/>
        <v/>
      </c>
      <c r="D14019" t="str">
        <f>T("SAN DIEGO")</f>
        <v>SAN DIEGO</v>
      </c>
      <c r="E14019" t="str">
        <f t="shared" si="5205"/>
        <v>CA</v>
      </c>
      <c r="F14019" t="str">
        <f>T("921357110")</f>
        <v>921357110</v>
      </c>
      <c r="G14019" t="str">
        <f>T("NASNI BLDG 290 MOFFETT RD")</f>
        <v>NASNI BLDG 290 MOFFETT RD</v>
      </c>
      <c r="H14019" t="str">
        <f>T("P O BOX 357110")</f>
        <v>P O BOX 357110</v>
      </c>
      <c r="I14019" t="str">
        <f>T("SAN DIEGO")</f>
        <v>SAN DIEGO</v>
      </c>
      <c r="J14019" t="str">
        <f t="shared" si="5207"/>
        <v>CA</v>
      </c>
      <c r="K14019" t="str">
        <f>T("000000000000000000")</f>
        <v>000000000000000000</v>
      </c>
      <c r="L14019" t="str">
        <f>T("6195458803")</f>
        <v>6195458803</v>
      </c>
    </row>
    <row r="14020" spans="1:12" x14ac:dyDescent="0.35">
      <c r="A14020" t="str">
        <f t="shared" si="5201"/>
        <v>CRG1</v>
      </c>
      <c r="B14020" t="str">
        <f>T("NASNI BLDG 290, P O BOX 357110")</f>
        <v>NASNI BLDG 290, P O BOX 357110</v>
      </c>
      <c r="C14020" t="str">
        <f t="shared" si="5208"/>
        <v/>
      </c>
      <c r="D14020" t="str">
        <f>T("SAN DIEGO")</f>
        <v>SAN DIEGO</v>
      </c>
      <c r="E14020" t="str">
        <f t="shared" si="5205"/>
        <v>CA</v>
      </c>
      <c r="F14020" t="str">
        <f>T("921357110")</f>
        <v>921357110</v>
      </c>
      <c r="G14020" t="str">
        <f>T("NASNI BLDG 290, P O BOX 357110")</f>
        <v>NASNI BLDG 290, P O BOX 357110</v>
      </c>
      <c r="H14020" t="str">
        <f>T("")</f>
        <v/>
      </c>
      <c r="I14020" t="str">
        <f>T("SAN DIEGO")</f>
        <v>SAN DIEGO</v>
      </c>
      <c r="J14020" t="str">
        <f t="shared" si="5207"/>
        <v>CA</v>
      </c>
      <c r="K14020" t="str">
        <f>T("")</f>
        <v/>
      </c>
      <c r="L14020" t="str">
        <f>T("6195458803")</f>
        <v>6195458803</v>
      </c>
    </row>
    <row r="14021" spans="1:12" x14ac:dyDescent="0.35">
      <c r="A14021" t="str">
        <f t="shared" si="5201"/>
        <v>CRG1</v>
      </c>
      <c r="B14021" t="str">
        <f>T("NOLF-IB BLDG 184")</f>
        <v>NOLF-IB BLDG 184</v>
      </c>
      <c r="C14021" t="str">
        <f>T("1498 13TH ST")</f>
        <v>1498 13TH ST</v>
      </c>
      <c r="D14021" t="str">
        <f>T("IMPERIAL BEACH")</f>
        <v>IMPERIAL BEACH</v>
      </c>
      <c r="E14021" t="str">
        <f t="shared" si="5205"/>
        <v>CA</v>
      </c>
      <c r="F14021" t="str">
        <f>T("919323746")</f>
        <v>919323746</v>
      </c>
      <c r="G14021" t="str">
        <f>T("10159 HOOPER CT")</f>
        <v>10159 HOOPER CT</v>
      </c>
      <c r="H14021" t="str">
        <f>T("")</f>
        <v/>
      </c>
      <c r="I14021" t="str">
        <f>T("SAN DIEGO")</f>
        <v>SAN DIEGO</v>
      </c>
      <c r="J14021" t="str">
        <f t="shared" si="5207"/>
        <v>CA</v>
      </c>
      <c r="K14021" t="str">
        <f>T("000000000000000000")</f>
        <v>000000000000000000</v>
      </c>
      <c r="L14021" t="str">
        <f>T("6194379575")</f>
        <v>6194379575</v>
      </c>
    </row>
    <row r="14022" spans="1:12" x14ac:dyDescent="0.35">
      <c r="A14022" t="str">
        <f t="shared" si="5201"/>
        <v>CRG1</v>
      </c>
      <c r="B14022" t="str">
        <f>T("NOLF-IB BLDG 184")</f>
        <v>NOLF-IB BLDG 184</v>
      </c>
      <c r="C14022" t="str">
        <f>T("1498 13TH ST")</f>
        <v>1498 13TH ST</v>
      </c>
      <c r="D14022" t="str">
        <f>T("IMPERIAL BEACH")</f>
        <v>IMPERIAL BEACH</v>
      </c>
      <c r="E14022" t="str">
        <f t="shared" si="5205"/>
        <v>CA</v>
      </c>
      <c r="F14022" t="str">
        <f>T("919323746")</f>
        <v>919323746</v>
      </c>
      <c r="G14022" t="str">
        <f>T("1498 13TH STREET")</f>
        <v>1498 13TH STREET</v>
      </c>
      <c r="H14022" t="str">
        <f>T("BLDG 184")</f>
        <v>BLDG 184</v>
      </c>
      <c r="I14022" t="str">
        <f>T("IMPERIAL BEACH")</f>
        <v>IMPERIAL BEACH</v>
      </c>
      <c r="J14022" t="str">
        <f t="shared" si="5207"/>
        <v>CA</v>
      </c>
      <c r="K14022" t="str">
        <f>T("000000000000000000")</f>
        <v>000000000000000000</v>
      </c>
      <c r="L14022" t="str">
        <f>T("6194379470")</f>
        <v>6194379470</v>
      </c>
    </row>
    <row r="14023" spans="1:12" x14ac:dyDescent="0.35">
      <c r="A14023" t="str">
        <f t="shared" si="5201"/>
        <v>CRG1</v>
      </c>
      <c r="B14023" t="str">
        <f>T("NOLF-IB BLDG 184")</f>
        <v>NOLF-IB BLDG 184</v>
      </c>
      <c r="C14023" t="str">
        <f>T("1498 13TH ST")</f>
        <v>1498 13TH ST</v>
      </c>
      <c r="D14023" t="str">
        <f>T("IMPERIAL BEACH")</f>
        <v>IMPERIAL BEACH</v>
      </c>
      <c r="E14023" t="str">
        <f t="shared" si="5205"/>
        <v>CA</v>
      </c>
      <c r="F14023" t="str">
        <f>T("919323746")</f>
        <v>919323746</v>
      </c>
      <c r="G14023" t="str">
        <f>T("NOLF-IB BLDG 184")</f>
        <v>NOLF-IB BLDG 184</v>
      </c>
      <c r="H14023" t="str">
        <f>T("1498 13TH ST")</f>
        <v>1498 13TH ST</v>
      </c>
      <c r="I14023" t="str">
        <f>T("IMPERIAL BEACH")</f>
        <v>IMPERIAL BEACH</v>
      </c>
      <c r="J14023" t="str">
        <f t="shared" si="5207"/>
        <v>CA</v>
      </c>
      <c r="K14023" t="str">
        <f>T("")</f>
        <v/>
      </c>
      <c r="L14023" t="str">
        <f>T("6194379570")</f>
        <v>6194379570</v>
      </c>
    </row>
    <row r="14024" spans="1:12" x14ac:dyDescent="0.35">
      <c r="A14024" t="str">
        <f t="shared" si="5201"/>
        <v>CRG1</v>
      </c>
      <c r="B14024" t="str">
        <f>T("PSC 455 BOX 191")</f>
        <v>PSC 455 BOX 191</v>
      </c>
      <c r="C14024" t="str">
        <f>T("FPO AP 96540")</f>
        <v>FPO AP 96540</v>
      </c>
      <c r="D14024" t="str">
        <f>T("IMPERIAL BEACH")</f>
        <v>IMPERIAL BEACH</v>
      </c>
      <c r="E14024" t="str">
        <f t="shared" si="5205"/>
        <v>CA</v>
      </c>
      <c r="F14024" t="str">
        <f>T("919323746")</f>
        <v>919323746</v>
      </c>
      <c r="G14024" t="str">
        <f>T("1498 13TH STREET")</f>
        <v>1498 13TH STREET</v>
      </c>
      <c r="H14024" t="str">
        <f>T("BLDG 184")</f>
        <v>BLDG 184</v>
      </c>
      <c r="I14024" t="str">
        <f>T("IMPERIAL BEACH")</f>
        <v>IMPERIAL BEACH</v>
      </c>
      <c r="J14024" t="str">
        <f t="shared" si="5207"/>
        <v>CA</v>
      </c>
      <c r="K14024" t="str">
        <f>T("000000000000000000")</f>
        <v>000000000000000000</v>
      </c>
      <c r="L14024" t="str">
        <f>T("6194379527")</f>
        <v>6194379527</v>
      </c>
    </row>
    <row r="14025" spans="1:12" x14ac:dyDescent="0.35">
      <c r="A14025" t="str">
        <f t="shared" si="5201"/>
        <v>CRG1</v>
      </c>
      <c r="B14025" t="str">
        <f>T("PSC 455 BOX 191")</f>
        <v>PSC 455 BOX 191</v>
      </c>
      <c r="C14025" t="str">
        <f>T("FPO AP 96540")</f>
        <v>FPO AP 96540</v>
      </c>
      <c r="D14025" t="str">
        <f>T("IMPERIAL BEACH")</f>
        <v>IMPERIAL BEACH</v>
      </c>
      <c r="E14025" t="str">
        <f t="shared" si="5205"/>
        <v>CA</v>
      </c>
      <c r="F14025" t="str">
        <f>T("919323746")</f>
        <v>919323746</v>
      </c>
      <c r="G14025" t="str">
        <f>T("PSC 455 BOX 191")</f>
        <v>PSC 455 BOX 191</v>
      </c>
      <c r="H14025" t="str">
        <f>T("FPO AP 96540")</f>
        <v>FPO AP 96540</v>
      </c>
      <c r="I14025" t="str">
        <f>T("IMPERIAL BEACH")</f>
        <v>IMPERIAL BEACH</v>
      </c>
      <c r="J14025" t="str">
        <f t="shared" si="5207"/>
        <v>CA</v>
      </c>
      <c r="K14025" t="str">
        <f>T("")</f>
        <v/>
      </c>
      <c r="L14025" t="str">
        <f>T("6713334205")</f>
        <v>6713334205</v>
      </c>
    </row>
    <row r="14026" spans="1:12" x14ac:dyDescent="0.35">
      <c r="A14026" t="str">
        <f>T("TRAINING AIR WING TWO")</f>
        <v>TRAINING AIR WING TWO</v>
      </c>
      <c r="B14026" t="str">
        <f>T("614 MCCAIN ST 326")</f>
        <v>614 MCCAIN ST 326</v>
      </c>
      <c r="C14026" t="str">
        <f>T("")</f>
        <v/>
      </c>
      <c r="D14026" t="str">
        <f>T("KINGSVILLE")</f>
        <v>KINGSVILLE</v>
      </c>
      <c r="E14026" t="str">
        <f>T("TX")</f>
        <v>TX</v>
      </c>
      <c r="F14026" t="str">
        <f>T("783635038")</f>
        <v>783635038</v>
      </c>
      <c r="G14026" t="str">
        <f>T("304 MITSCHER AVE STE 201")</f>
        <v>304 MITSCHER AVE STE 201</v>
      </c>
      <c r="H14026" t="str">
        <f>T("")</f>
        <v/>
      </c>
      <c r="I14026" t="str">
        <f>T("KINGSVILLE")</f>
        <v>KINGSVILLE</v>
      </c>
      <c r="J14026" t="str">
        <f>T("TX")</f>
        <v>TX</v>
      </c>
      <c r="K14026" t="str">
        <f>T("3615164991")</f>
        <v>3615164991</v>
      </c>
      <c r="L14026" t="str">
        <f>T("3615166517")</f>
        <v>3615166517</v>
      </c>
    </row>
    <row r="14027" spans="1:12" x14ac:dyDescent="0.35">
      <c r="A14027" t="str">
        <f>T("TRAINING AIR WING TWO")</f>
        <v>TRAINING AIR WING TWO</v>
      </c>
      <c r="B14027" t="str">
        <f>T("614 MCCAIN ST 326")</f>
        <v>614 MCCAIN ST 326</v>
      </c>
      <c r="C14027" t="str">
        <f>T("")</f>
        <v/>
      </c>
      <c r="D14027" t="str">
        <f>T("KINGSVILLE")</f>
        <v>KINGSVILLE</v>
      </c>
      <c r="E14027" t="str">
        <f>T("TX")</f>
        <v>TX</v>
      </c>
      <c r="F14027" t="str">
        <f>T("783635038")</f>
        <v>783635038</v>
      </c>
      <c r="G14027" t="str">
        <f>T("304 MITSCHER AVE STE201")</f>
        <v>304 MITSCHER AVE STE201</v>
      </c>
      <c r="H14027" t="str">
        <f>T("")</f>
        <v/>
      </c>
      <c r="I14027" t="str">
        <f>T("KINGSVILLE")</f>
        <v>KINGSVILLE</v>
      </c>
      <c r="J14027" t="str">
        <f>T("TX")</f>
        <v>TX</v>
      </c>
      <c r="K14027" t="str">
        <f>T("3615164991")</f>
        <v>3615164991</v>
      </c>
      <c r="L14027" t="str">
        <f>T("3615166517")</f>
        <v>3615166517</v>
      </c>
    </row>
    <row r="14028" spans="1:12" x14ac:dyDescent="0.35">
      <c r="A14028" t="str">
        <f>T("TRAINING AIR WING TWO")</f>
        <v>TRAINING AIR WING TWO</v>
      </c>
      <c r="B14028" t="str">
        <f>T("614 MCCAIN ST 326")</f>
        <v>614 MCCAIN ST 326</v>
      </c>
      <c r="C14028" t="str">
        <f>T("")</f>
        <v/>
      </c>
      <c r="D14028" t="str">
        <f>T("KINGSVILLE")</f>
        <v>KINGSVILLE</v>
      </c>
      <c r="E14028" t="str">
        <f>T("TX")</f>
        <v>TX</v>
      </c>
      <c r="F14028" t="str">
        <f>T("783635038")</f>
        <v>783635038</v>
      </c>
      <c r="G14028" t="str">
        <f>T("304 MITSCHER AVENUE")</f>
        <v>304 MITSCHER AVENUE</v>
      </c>
      <c r="H14028" t="str">
        <f>T("SUITE 253")</f>
        <v>SUITE 253</v>
      </c>
      <c r="I14028" t="str">
        <f>T("KINGSVILLE")</f>
        <v>KINGSVILLE</v>
      </c>
      <c r="J14028" t="str">
        <f>T("TX")</f>
        <v>TX</v>
      </c>
      <c r="K14028" t="str">
        <f>T("000000000000000000")</f>
        <v>000000000000000000</v>
      </c>
      <c r="L14028" t="str">
        <f>T("3615166253")</f>
        <v>3615166253</v>
      </c>
    </row>
    <row r="14029" spans="1:12" x14ac:dyDescent="0.35">
      <c r="A14029" t="str">
        <f>T("TRAINING AIR WING TWO")</f>
        <v>TRAINING AIR WING TWO</v>
      </c>
      <c r="B14029" t="str">
        <f>T("614 MCCAIN ST 326")</f>
        <v>614 MCCAIN ST 326</v>
      </c>
      <c r="C14029" t="str">
        <f>T("")</f>
        <v/>
      </c>
      <c r="D14029" t="str">
        <f>T("KINGSVILLE")</f>
        <v>KINGSVILLE</v>
      </c>
      <c r="E14029" t="str">
        <f>T("TX")</f>
        <v>TX</v>
      </c>
      <c r="F14029" t="str">
        <f>T("783635038")</f>
        <v>783635038</v>
      </c>
      <c r="G14029" t="str">
        <f>T("614 MCCAIN ST 326")</f>
        <v>614 MCCAIN ST 326</v>
      </c>
      <c r="H14029" t="str">
        <f>T("")</f>
        <v/>
      </c>
      <c r="I14029" t="str">
        <f>T("KINGSVILLE")</f>
        <v>KINGSVILLE</v>
      </c>
      <c r="J14029" t="str">
        <f>T("TX")</f>
        <v>TX</v>
      </c>
      <c r="K14029" t="str">
        <f>T("3615166011")</f>
        <v>3615166011</v>
      </c>
      <c r="L14029" t="str">
        <f>T("3615166181")</f>
        <v>3615166181</v>
      </c>
    </row>
    <row r="14030" spans="1:12" x14ac:dyDescent="0.35">
      <c r="A14030" t="str">
        <f>T("TRAINING AIR WING TWO")</f>
        <v>TRAINING AIR WING TWO</v>
      </c>
      <c r="B14030" t="str">
        <f>T("614 MCCAIN ST 326")</f>
        <v>614 MCCAIN ST 326</v>
      </c>
      <c r="C14030" t="str">
        <f>T("")</f>
        <v/>
      </c>
      <c r="D14030" t="str">
        <f>T("KINGSVILLE")</f>
        <v>KINGSVILLE</v>
      </c>
      <c r="E14030" t="str">
        <f>T("TX")</f>
        <v>TX</v>
      </c>
      <c r="F14030" t="str">
        <f>T("783635038")</f>
        <v>783635038</v>
      </c>
      <c r="G14030" t="str">
        <f>T("614 MCCAIN ST.")</f>
        <v>614 MCCAIN ST.</v>
      </c>
      <c r="H14030" t="str">
        <f>T("")</f>
        <v/>
      </c>
      <c r="I14030" t="str">
        <f>T("KINGSVILLE")</f>
        <v>KINGSVILLE</v>
      </c>
      <c r="J14030" t="str">
        <f>T("TX")</f>
        <v>TX</v>
      </c>
      <c r="K14030" t="str">
        <f>T("000000000000000000")</f>
        <v>000000000000000000</v>
      </c>
      <c r="L14030" t="str">
        <f>T("3615166468")</f>
        <v>3615166468</v>
      </c>
    </row>
    <row r="14031" spans="1:12" x14ac:dyDescent="0.35">
      <c r="A14031" t="str">
        <f>T("TRAINING AIR WING ONE")</f>
        <v>TRAINING AIR WING ONE</v>
      </c>
      <c r="B14031" t="str">
        <f>T("101 FULLER RD")</f>
        <v>101 FULLER RD</v>
      </c>
      <c r="C14031" t="str">
        <f>T("SUITE 250 RM 2040")</f>
        <v>SUITE 250 RM 2040</v>
      </c>
      <c r="D14031" t="str">
        <f>T("MERIDIAN")</f>
        <v>MERIDIAN</v>
      </c>
      <c r="E14031" t="str">
        <f>T("MS")</f>
        <v>MS</v>
      </c>
      <c r="F14031" t="str">
        <f>T("393095403")</f>
        <v>393095403</v>
      </c>
      <c r="G14031" t="str">
        <f>T("101 FULLER RD")</f>
        <v>101 FULLER RD</v>
      </c>
      <c r="H14031" t="str">
        <f>T("SUITE 250 RM 2040")</f>
        <v>SUITE 250 RM 2040</v>
      </c>
      <c r="I14031" t="str">
        <f>T("MERIDIAN")</f>
        <v>MERIDIAN</v>
      </c>
      <c r="J14031" t="str">
        <f>T("MS")</f>
        <v>MS</v>
      </c>
      <c r="K14031" t="str">
        <f>T("6016792425")</f>
        <v>6016792425</v>
      </c>
      <c r="L14031" t="str">
        <f>T("6016792525")</f>
        <v>6016792525</v>
      </c>
    </row>
    <row r="14032" spans="1:12" x14ac:dyDescent="0.35">
      <c r="A14032" t="str">
        <f>T("TRAINING AIR WING ONE")</f>
        <v>TRAINING AIR WING ONE</v>
      </c>
      <c r="B14032" t="str">
        <f>T("101 FULLER RD")</f>
        <v>101 FULLER RD</v>
      </c>
      <c r="C14032" t="str">
        <f>T("SUITE 250 RM 2040")</f>
        <v>SUITE 250 RM 2040</v>
      </c>
      <c r="D14032" t="str">
        <f>T("MERIDIAN")</f>
        <v>MERIDIAN</v>
      </c>
      <c r="E14032" t="str">
        <f>T("MS")</f>
        <v>MS</v>
      </c>
      <c r="F14032" t="str">
        <f>T("393095403")</f>
        <v>393095403</v>
      </c>
      <c r="G14032" t="str">
        <f>T("101 FULLER RD")</f>
        <v>101 FULLER RD</v>
      </c>
      <c r="H14032" t="str">
        <f>T("SUITE 250 ROOM 2047")</f>
        <v>SUITE 250 ROOM 2047</v>
      </c>
      <c r="I14032" t="str">
        <f>T("MERIDIAN")</f>
        <v>MERIDIAN</v>
      </c>
      <c r="J14032" t="str">
        <f>T("MS")</f>
        <v>MS</v>
      </c>
      <c r="K14032" t="str">
        <f>T("000000000000000000")</f>
        <v>000000000000000000</v>
      </c>
      <c r="L14032" t="str">
        <f>T("6016792400")</f>
        <v>6016792400</v>
      </c>
    </row>
    <row r="14033" spans="1:12" x14ac:dyDescent="0.35">
      <c r="A14033" t="str">
        <f>T("TRAINING AIR WING ONE")</f>
        <v>TRAINING AIR WING ONE</v>
      </c>
      <c r="B14033" t="str">
        <f>T("101 FULLER RD")</f>
        <v>101 FULLER RD</v>
      </c>
      <c r="C14033" t="str">
        <f>T("SUITE 250 RM 2040")</f>
        <v>SUITE 250 RM 2040</v>
      </c>
      <c r="D14033" t="str">
        <f>T("MERIDIAN")</f>
        <v>MERIDIAN</v>
      </c>
      <c r="E14033" t="str">
        <f>T("MS")</f>
        <v>MS</v>
      </c>
      <c r="F14033" t="str">
        <f>T("393095403")</f>
        <v>393095403</v>
      </c>
      <c r="G14033" t="str">
        <f>T("101 FULLER RD STE 250")</f>
        <v>101 FULLER RD STE 250</v>
      </c>
      <c r="H14033" t="str">
        <f>T("")</f>
        <v/>
      </c>
      <c r="I14033" t="str">
        <f>T("MERIDIAN")</f>
        <v>MERIDIAN</v>
      </c>
      <c r="J14033" t="str">
        <f>T("MS")</f>
        <v>MS</v>
      </c>
      <c r="K14033" t="str">
        <f>T("000000000000000000")</f>
        <v>000000000000000000</v>
      </c>
      <c r="L14033" t="str">
        <f>T("6016793039")</f>
        <v>6016793039</v>
      </c>
    </row>
    <row r="14034" spans="1:12" x14ac:dyDescent="0.35">
      <c r="A14034" t="str">
        <f>T("NAVFLIGHTDEMRON BLUE ANGELS")</f>
        <v>NAVFLIGHTDEMRON BLUE ANGELS</v>
      </c>
      <c r="B14034" t="str">
        <f>T("390 SAN CARLOS RD")</f>
        <v>390 SAN CARLOS RD</v>
      </c>
      <c r="C14034" t="str">
        <f>T("SUITE A")</f>
        <v>SUITE A</v>
      </c>
      <c r="D14034" t="str">
        <f>T("PENSACOLA")</f>
        <v>PENSACOLA</v>
      </c>
      <c r="E14034" t="str">
        <f>T("FL")</f>
        <v>FL</v>
      </c>
      <c r="F14034" t="str">
        <f>T("325085508")</f>
        <v>325085508</v>
      </c>
      <c r="G14034" t="str">
        <f>T("390 SAN CARLOS RD")</f>
        <v>390 SAN CARLOS RD</v>
      </c>
      <c r="H14034" t="str">
        <f>T("SUITE A")</f>
        <v>SUITE A</v>
      </c>
      <c r="I14034" t="str">
        <f>T("PENSACOLA")</f>
        <v>PENSACOLA</v>
      </c>
      <c r="J14034" t="str">
        <f>T("FL")</f>
        <v>FL</v>
      </c>
      <c r="K14034" t="str">
        <f>T("")</f>
        <v/>
      </c>
      <c r="L14034" t="str">
        <f>T("8504522466")</f>
        <v>8504522466</v>
      </c>
    </row>
    <row r="14035" spans="1:12" x14ac:dyDescent="0.35">
      <c r="A14035" t="str">
        <f>T("NAVFLIGHTDEMRON BLUE ANGELS")</f>
        <v>NAVFLIGHTDEMRON BLUE ANGELS</v>
      </c>
      <c r="B14035" t="str">
        <f>T("390 SAN CARLOS RD")</f>
        <v>390 SAN CARLOS RD</v>
      </c>
      <c r="C14035" t="str">
        <f>T("SUITE A")</f>
        <v>SUITE A</v>
      </c>
      <c r="D14035" t="str">
        <f>T("PENSACOLA")</f>
        <v>PENSACOLA</v>
      </c>
      <c r="E14035" t="str">
        <f>T("FL")</f>
        <v>FL</v>
      </c>
      <c r="F14035" t="str">
        <f>T("325085508")</f>
        <v>325085508</v>
      </c>
      <c r="G14035" t="str">
        <f>T("390 SAN CARLOS RD STE A")</f>
        <v>390 SAN CARLOS RD STE A</v>
      </c>
      <c r="H14035" t="str">
        <f>T("")</f>
        <v/>
      </c>
      <c r="I14035" t="str">
        <f>T("PENSACOLA")</f>
        <v>PENSACOLA</v>
      </c>
      <c r="J14035" t="str">
        <f>T("FL")</f>
        <v>FL</v>
      </c>
      <c r="K14035" t="str">
        <f>T("000000000000000000")</f>
        <v>000000000000000000</v>
      </c>
      <c r="L14035" t="str">
        <f>T("8504524184")</f>
        <v>8504524184</v>
      </c>
    </row>
    <row r="14036" spans="1:12" x14ac:dyDescent="0.35">
      <c r="A14036" t="str">
        <f>T("NAVFLIGHTDEMRON BLUE ANGELS")</f>
        <v>NAVFLIGHTDEMRON BLUE ANGELS</v>
      </c>
      <c r="B14036" t="str">
        <f>T("390 SAN CARLOS RD")</f>
        <v>390 SAN CARLOS RD</v>
      </c>
      <c r="C14036" t="str">
        <f>T("SUITE A")</f>
        <v>SUITE A</v>
      </c>
      <c r="D14036" t="str">
        <f>T("PENSACOLA")</f>
        <v>PENSACOLA</v>
      </c>
      <c r="E14036" t="str">
        <f>T("FL")</f>
        <v>FL</v>
      </c>
      <c r="F14036" t="str">
        <f>T("325085508")</f>
        <v>325085508</v>
      </c>
      <c r="G14036" t="str">
        <f>T("390 SAN CARLOS RD SUITE A")</f>
        <v>390 SAN CARLOS RD SUITE A</v>
      </c>
      <c r="H14036" t="str">
        <f>T("")</f>
        <v/>
      </c>
      <c r="I14036" t="str">
        <f>T("PENSACOLA")</f>
        <v>PENSACOLA</v>
      </c>
      <c r="J14036" t="str">
        <f>T("FL")</f>
        <v>FL</v>
      </c>
      <c r="K14036" t="str">
        <f>T("000000000000000000")</f>
        <v>000000000000000000</v>
      </c>
      <c r="L14036" t="str">
        <f>T("8084524184")</f>
        <v>8084524184</v>
      </c>
    </row>
    <row r="14037" spans="1:12" x14ac:dyDescent="0.35">
      <c r="A14037" t="str">
        <f t="shared" ref="A14037:A14046" si="5209">T("TRAINING AIR WING FOUR")</f>
        <v>TRAINING AIR WING FOUR</v>
      </c>
      <c r="B14037" t="str">
        <f>T("245 FIFTH ST")</f>
        <v>245 FIFTH ST</v>
      </c>
      <c r="C14037" t="str">
        <f>T("SUITE 104D")</f>
        <v>SUITE 104D</v>
      </c>
      <c r="D14037" t="str">
        <f>T("CORP CHRISTI")</f>
        <v>CORP CHRISTI</v>
      </c>
      <c r="E14037" t="str">
        <f t="shared" ref="E14037:E14046" si="5210">T("TX")</f>
        <v>TX</v>
      </c>
      <c r="F14037" t="str">
        <f>T("784195008")</f>
        <v>784195008</v>
      </c>
      <c r="G14037" t="str">
        <f>T("245 FIFTH ST")</f>
        <v>245 FIFTH ST</v>
      </c>
      <c r="H14037" t="str">
        <f>T("SUITE 104D")</f>
        <v>SUITE 104D</v>
      </c>
      <c r="I14037" t="str">
        <f>T("CORP CHRISTI")</f>
        <v>CORP CHRISTI</v>
      </c>
      <c r="J14037" t="str">
        <f t="shared" ref="J14037:J14046" si="5211">T("TX")</f>
        <v>TX</v>
      </c>
      <c r="K14037" t="str">
        <f>T("")</f>
        <v/>
      </c>
      <c r="L14037" t="str">
        <f>T("3619611613")</f>
        <v>3619611613</v>
      </c>
    </row>
    <row r="14038" spans="1:12" x14ac:dyDescent="0.35">
      <c r="A14038" t="str">
        <f t="shared" si="5209"/>
        <v>TRAINING AIR WING FOUR</v>
      </c>
      <c r="B14038" t="str">
        <f>T("245 FIFTH ST")</f>
        <v>245 FIFTH ST</v>
      </c>
      <c r="C14038" t="str">
        <f>T("SUITE 104D")</f>
        <v>SUITE 104D</v>
      </c>
      <c r="D14038" t="str">
        <f>T("CORP CHRISTI")</f>
        <v>CORP CHRISTI</v>
      </c>
      <c r="E14038" t="str">
        <f t="shared" si="5210"/>
        <v>TX</v>
      </c>
      <c r="F14038" t="str">
        <f>T("784195008")</f>
        <v>784195008</v>
      </c>
      <c r="G14038" t="str">
        <f>T("245 FIFTH STREET")</f>
        <v>245 FIFTH STREET</v>
      </c>
      <c r="H14038" t="str">
        <f>T("SUITE 105")</f>
        <v>SUITE 105</v>
      </c>
      <c r="I14038" t="str">
        <f>T("CORPUS CHRISTI")</f>
        <v>CORPUS CHRISTI</v>
      </c>
      <c r="J14038" t="str">
        <f t="shared" si="5211"/>
        <v>TX</v>
      </c>
      <c r="K14038" t="str">
        <f>T("000000000000000000")</f>
        <v>000000000000000000</v>
      </c>
      <c r="L14038" t="str">
        <f>T("3619615095")</f>
        <v>3619615095</v>
      </c>
    </row>
    <row r="14039" spans="1:12" x14ac:dyDescent="0.35">
      <c r="A14039" t="str">
        <f t="shared" si="5209"/>
        <v>TRAINING AIR WING FOUR</v>
      </c>
      <c r="B14039" t="str">
        <f>T("401 BATAAN ST")</f>
        <v>401 BATAAN ST</v>
      </c>
      <c r="C14039" t="str">
        <f>T("SUITE 200")</f>
        <v>SUITE 200</v>
      </c>
      <c r="D14039" t="str">
        <f>T("CRP CHRISTI")</f>
        <v>CRP CHRISTI</v>
      </c>
      <c r="E14039" t="str">
        <f t="shared" si="5210"/>
        <v>TX</v>
      </c>
      <c r="F14039" t="str">
        <f t="shared" ref="F14039:F14044" si="5212">T("784195205")</f>
        <v>784195205</v>
      </c>
      <c r="G14039" t="str">
        <f>T("401 BATAAN ST")</f>
        <v>401 BATAAN ST</v>
      </c>
      <c r="H14039" t="str">
        <f>T("SUITE 200")</f>
        <v>SUITE 200</v>
      </c>
      <c r="I14039" t="str">
        <f>T("CORPUS CHRISTI")</f>
        <v>CORPUS CHRISTI</v>
      </c>
      <c r="J14039" t="str">
        <f t="shared" si="5211"/>
        <v>TX</v>
      </c>
      <c r="K14039" t="str">
        <f>T("000000000000000000")</f>
        <v>000000000000000000</v>
      </c>
      <c r="L14039" t="str">
        <f>T("3619615095")</f>
        <v>3619615095</v>
      </c>
    </row>
    <row r="14040" spans="1:12" x14ac:dyDescent="0.35">
      <c r="A14040" t="str">
        <f t="shared" si="5209"/>
        <v>TRAINING AIR WING FOUR</v>
      </c>
      <c r="B14040" t="str">
        <f>T("401 BATAAN ST")</f>
        <v>401 BATAAN ST</v>
      </c>
      <c r="C14040" t="str">
        <f>T("SUITE 200")</f>
        <v>SUITE 200</v>
      </c>
      <c r="D14040" t="str">
        <f>T("CRP CHRISTI")</f>
        <v>CRP CHRISTI</v>
      </c>
      <c r="E14040" t="str">
        <f t="shared" si="5210"/>
        <v>TX</v>
      </c>
      <c r="F14040" t="str">
        <f t="shared" si="5212"/>
        <v>784195205</v>
      </c>
      <c r="G14040" t="str">
        <f>T("401 BATAAN ST")</f>
        <v>401 BATAAN ST</v>
      </c>
      <c r="H14040" t="str">
        <f>T("SUITE 200")</f>
        <v>SUITE 200</v>
      </c>
      <c r="I14040" t="str">
        <f>T("CRP CHRISTI")</f>
        <v>CRP CHRISTI</v>
      </c>
      <c r="J14040" t="str">
        <f t="shared" si="5211"/>
        <v>TX</v>
      </c>
      <c r="K14040" t="str">
        <f>T("")</f>
        <v/>
      </c>
      <c r="L14040" t="str">
        <f>T("3619615130")</f>
        <v>3619615130</v>
      </c>
    </row>
    <row r="14041" spans="1:12" x14ac:dyDescent="0.35">
      <c r="A14041" t="str">
        <f t="shared" si="5209"/>
        <v>TRAINING AIR WING FOUR</v>
      </c>
      <c r="B14041" t="str">
        <f>T("411 BATAAN ST")</f>
        <v>411 BATAAN ST</v>
      </c>
      <c r="C14041" t="str">
        <f>T("FLOOR 2 RM CO")</f>
        <v>FLOOR 2 RM CO</v>
      </c>
      <c r="D14041" t="str">
        <f t="shared" ref="D14041:D14046" si="5213">T("CORP CHRISTI")</f>
        <v>CORP CHRISTI</v>
      </c>
      <c r="E14041" t="str">
        <f t="shared" si="5210"/>
        <v>TX</v>
      </c>
      <c r="F14041" t="str">
        <f t="shared" si="5212"/>
        <v>784195205</v>
      </c>
      <c r="G14041" t="str">
        <f>T("411 BATAAN ST")</f>
        <v>411 BATAAN ST</v>
      </c>
      <c r="H14041" t="str">
        <f>T("FLOOR 2 RM CO")</f>
        <v>FLOOR 2 RM CO</v>
      </c>
      <c r="I14041" t="str">
        <f>T("CORP CHRISTI")</f>
        <v>CORP CHRISTI</v>
      </c>
      <c r="J14041" t="str">
        <f t="shared" si="5211"/>
        <v>TX</v>
      </c>
      <c r="K14041" t="str">
        <f>T("")</f>
        <v/>
      </c>
      <c r="L14041" t="str">
        <f>T("3619612458")</f>
        <v>3619612458</v>
      </c>
    </row>
    <row r="14042" spans="1:12" x14ac:dyDescent="0.35">
      <c r="A14042" t="str">
        <f t="shared" si="5209"/>
        <v>TRAINING AIR WING FOUR</v>
      </c>
      <c r="B14042" t="str">
        <f>T("411 BATAAN ST")</f>
        <v>411 BATAAN ST</v>
      </c>
      <c r="C14042" t="str">
        <f>T("FLOOR 2 RM CO")</f>
        <v>FLOOR 2 RM CO</v>
      </c>
      <c r="D14042" t="str">
        <f t="shared" si="5213"/>
        <v>CORP CHRISTI</v>
      </c>
      <c r="E14042" t="str">
        <f t="shared" si="5210"/>
        <v>TX</v>
      </c>
      <c r="F14042" t="str">
        <f t="shared" si="5212"/>
        <v>784195205</v>
      </c>
      <c r="G14042" t="str">
        <f>T("501 BATAAN ST")</f>
        <v>501 BATAAN ST</v>
      </c>
      <c r="H14042" t="str">
        <f>T("SUITE A")</f>
        <v>SUITE A</v>
      </c>
      <c r="I14042" t="str">
        <f>T("CORPUS CHRISTI")</f>
        <v>CORPUS CHRISTI</v>
      </c>
      <c r="J14042" t="str">
        <f t="shared" si="5211"/>
        <v>TX</v>
      </c>
      <c r="K14042" t="str">
        <f>T("000000000000000000")</f>
        <v>000000000000000000</v>
      </c>
      <c r="L14042" t="str">
        <f>T("3619612699")</f>
        <v>3619612699</v>
      </c>
    </row>
    <row r="14043" spans="1:12" x14ac:dyDescent="0.35">
      <c r="A14043" t="str">
        <f t="shared" si="5209"/>
        <v>TRAINING AIR WING FOUR</v>
      </c>
      <c r="B14043" t="str">
        <f>T("411 BATAAN ST")</f>
        <v>411 BATAAN ST</v>
      </c>
      <c r="C14043" t="str">
        <f>T("SUITE A")</f>
        <v>SUITE A</v>
      </c>
      <c r="D14043" t="str">
        <f t="shared" si="5213"/>
        <v>CORP CHRISTI</v>
      </c>
      <c r="E14043" t="str">
        <f t="shared" si="5210"/>
        <v>TX</v>
      </c>
      <c r="F14043" t="str">
        <f t="shared" si="5212"/>
        <v>784195205</v>
      </c>
      <c r="G14043" t="str">
        <f>T("411 BATAAN ST")</f>
        <v>411 BATAAN ST</v>
      </c>
      <c r="H14043" t="str">
        <f>T("SUITE A")</f>
        <v>SUITE A</v>
      </c>
      <c r="I14043" t="str">
        <f>T("CORP CHRISTI")</f>
        <v>CORP CHRISTI</v>
      </c>
      <c r="J14043" t="str">
        <f t="shared" si="5211"/>
        <v>TX</v>
      </c>
      <c r="K14043" t="str">
        <f>T("")</f>
        <v/>
      </c>
      <c r="L14043" t="str">
        <f>T("1111111111")</f>
        <v>1111111111</v>
      </c>
    </row>
    <row r="14044" spans="1:12" x14ac:dyDescent="0.35">
      <c r="A14044" t="str">
        <f t="shared" si="5209"/>
        <v>TRAINING AIR WING FOUR</v>
      </c>
      <c r="B14044" t="str">
        <f>T("411 BATAAN ST")</f>
        <v>411 BATAAN ST</v>
      </c>
      <c r="C14044" t="str">
        <f>T("SUITE A")</f>
        <v>SUITE A</v>
      </c>
      <c r="D14044" t="str">
        <f t="shared" si="5213"/>
        <v>CORP CHRISTI</v>
      </c>
      <c r="E14044" t="str">
        <f t="shared" si="5210"/>
        <v>TX</v>
      </c>
      <c r="F14044" t="str">
        <f t="shared" si="5212"/>
        <v>784195205</v>
      </c>
      <c r="G14044" t="str">
        <f>T("411 BATAAN ST")</f>
        <v>411 BATAAN ST</v>
      </c>
      <c r="H14044" t="str">
        <f>T("SUITE A")</f>
        <v>SUITE A</v>
      </c>
      <c r="I14044" t="str">
        <f>T("CORPUS CHRISTI")</f>
        <v>CORPUS CHRISTI</v>
      </c>
      <c r="J14044" t="str">
        <f t="shared" si="5211"/>
        <v>TX</v>
      </c>
      <c r="K14044" t="str">
        <f>T("000000000000000000")</f>
        <v>000000000000000000</v>
      </c>
      <c r="L14044" t="str">
        <f>T("3619612664")</f>
        <v>3619612664</v>
      </c>
    </row>
    <row r="14045" spans="1:12" x14ac:dyDescent="0.35">
      <c r="A14045" t="str">
        <f t="shared" si="5209"/>
        <v>TRAINING AIR WING FOUR</v>
      </c>
      <c r="B14045" t="str">
        <f>T("501 BATAAN ST SUITE B")</f>
        <v>501 BATAAN ST SUITE B</v>
      </c>
      <c r="C14045" t="str">
        <f>T("")</f>
        <v/>
      </c>
      <c r="D14045" t="str">
        <f t="shared" si="5213"/>
        <v>CORP CHRISTI</v>
      </c>
      <c r="E14045" t="str">
        <f t="shared" si="5210"/>
        <v>TX</v>
      </c>
      <c r="F14045" t="str">
        <f>T("784195206")</f>
        <v>784195206</v>
      </c>
      <c r="G14045" t="str">
        <f>T("501 BATAAN ST SUITE B")</f>
        <v>501 BATAAN ST SUITE B</v>
      </c>
      <c r="H14045" t="str">
        <f>T("")</f>
        <v/>
      </c>
      <c r="I14045" t="str">
        <f>T("CORP CHRISTI")</f>
        <v>CORP CHRISTI</v>
      </c>
      <c r="J14045" t="str">
        <f t="shared" si="5211"/>
        <v>TX</v>
      </c>
      <c r="K14045" t="str">
        <f>T("")</f>
        <v/>
      </c>
      <c r="L14045" t="str">
        <f>T("3619612036")</f>
        <v>3619612036</v>
      </c>
    </row>
    <row r="14046" spans="1:12" x14ac:dyDescent="0.35">
      <c r="A14046" t="str">
        <f t="shared" si="5209"/>
        <v>TRAINING AIR WING FOUR</v>
      </c>
      <c r="B14046" t="str">
        <f>T("501 BATAAN ST SUITE B")</f>
        <v>501 BATAAN ST SUITE B</v>
      </c>
      <c r="C14046" t="str">
        <f>T("")</f>
        <v/>
      </c>
      <c r="D14046" t="str">
        <f t="shared" si="5213"/>
        <v>CORP CHRISTI</v>
      </c>
      <c r="E14046" t="str">
        <f t="shared" si="5210"/>
        <v>TX</v>
      </c>
      <c r="F14046" t="str">
        <f>T("784195206")</f>
        <v>784195206</v>
      </c>
      <c r="G14046" t="str">
        <f>T("501 BATAAN ST SUITE B")</f>
        <v>501 BATAAN ST SUITE B</v>
      </c>
      <c r="H14046" t="str">
        <f>T("")</f>
        <v/>
      </c>
      <c r="I14046" t="str">
        <f>T("CORPUS CHRISTI")</f>
        <v>CORPUS CHRISTI</v>
      </c>
      <c r="J14046" t="str">
        <f t="shared" si="5211"/>
        <v>TX</v>
      </c>
      <c r="K14046" t="str">
        <f>T("000000000000000000")</f>
        <v>000000000000000000</v>
      </c>
      <c r="L14046" t="str">
        <f>T("3619613791")</f>
        <v>3619613791</v>
      </c>
    </row>
    <row r="14047" spans="1:12" x14ac:dyDescent="0.35">
      <c r="A14047" t="str">
        <f t="shared" ref="A14047:A14059" si="5214">T("TRAINING AIR WING FIVE")</f>
        <v>TRAINING AIR WING FIVE</v>
      </c>
      <c r="B14047" t="str">
        <f>T("2945 LONG ISLAND ST")</f>
        <v>2945 LONG ISLAND ST</v>
      </c>
      <c r="C14047" t="str">
        <f>T("SUITE 320")</f>
        <v>SUITE 320</v>
      </c>
      <c r="D14047" t="str">
        <f t="shared" ref="D14047:D14059" si="5215">T("MILTON")</f>
        <v>MILTON</v>
      </c>
      <c r="E14047" t="str">
        <f t="shared" ref="E14047:E14064" si="5216">T("FL")</f>
        <v>FL</v>
      </c>
      <c r="F14047" t="str">
        <f>T("325700000")</f>
        <v>325700000</v>
      </c>
      <c r="G14047" t="str">
        <f>T("2945 LONG ISLAND")</f>
        <v>2945 LONG ISLAND</v>
      </c>
      <c r="H14047" t="str">
        <f>T("STE 320")</f>
        <v>STE 320</v>
      </c>
      <c r="I14047" t="str">
        <f t="shared" ref="I14047:I14059" si="5217">T("MILTON")</f>
        <v>MILTON</v>
      </c>
      <c r="J14047" t="str">
        <f t="shared" ref="J14047:J14064" si="5218">T("FL")</f>
        <v>FL</v>
      </c>
      <c r="K14047" t="str">
        <f>T("8506237942")</f>
        <v>8506237942</v>
      </c>
      <c r="L14047" t="str">
        <f>T("8506237959")</f>
        <v>8506237959</v>
      </c>
    </row>
    <row r="14048" spans="1:12" x14ac:dyDescent="0.35">
      <c r="A14048" t="str">
        <f t="shared" si="5214"/>
        <v>TRAINING AIR WING FIVE</v>
      </c>
      <c r="B14048" t="str">
        <f>T("2945 LONG ISLAND ST")</f>
        <v>2945 LONG ISLAND ST</v>
      </c>
      <c r="C14048" t="str">
        <f>T("SUITE 320")</f>
        <v>SUITE 320</v>
      </c>
      <c r="D14048" t="str">
        <f t="shared" si="5215"/>
        <v>MILTON</v>
      </c>
      <c r="E14048" t="str">
        <f t="shared" si="5216"/>
        <v>FL</v>
      </c>
      <c r="F14048" t="str">
        <f>T("325700000")</f>
        <v>325700000</v>
      </c>
      <c r="G14048" t="str">
        <f>T("2945 LONG ISLAND ST")</f>
        <v>2945 LONG ISLAND ST</v>
      </c>
      <c r="H14048" t="str">
        <f>T("SUITE 320")</f>
        <v>SUITE 320</v>
      </c>
      <c r="I14048" t="str">
        <f t="shared" si="5217"/>
        <v>MILTON</v>
      </c>
      <c r="J14048" t="str">
        <f t="shared" si="5218"/>
        <v>FL</v>
      </c>
      <c r="K14048" t="str">
        <f>T("")</f>
        <v/>
      </c>
      <c r="L14048" t="str">
        <f>T("8506237959")</f>
        <v>8506237959</v>
      </c>
    </row>
    <row r="14049" spans="1:12" x14ac:dyDescent="0.35">
      <c r="A14049" t="str">
        <f t="shared" si="5214"/>
        <v>TRAINING AIR WING FIVE</v>
      </c>
      <c r="B14049" t="str">
        <f>T("7150 USS HORNET STREET")</f>
        <v>7150 USS HORNET STREET</v>
      </c>
      <c r="C14049" t="str">
        <f>T("STE 101")</f>
        <v>STE 101</v>
      </c>
      <c r="D14049" t="str">
        <f t="shared" si="5215"/>
        <v>MILTON</v>
      </c>
      <c r="E14049" t="str">
        <f t="shared" si="5216"/>
        <v>FL</v>
      </c>
      <c r="F14049" t="str">
        <f>T("325706116")</f>
        <v>325706116</v>
      </c>
      <c r="G14049" t="str">
        <f>T("7150 USS HORNET ST")</f>
        <v>7150 USS HORNET ST</v>
      </c>
      <c r="H14049" t="str">
        <f>T("SUITE 101")</f>
        <v>SUITE 101</v>
      </c>
      <c r="I14049" t="str">
        <f t="shared" si="5217"/>
        <v>MILTON</v>
      </c>
      <c r="J14049" t="str">
        <f t="shared" si="5218"/>
        <v>FL</v>
      </c>
      <c r="K14049" t="str">
        <f>T("000000000000000000")</f>
        <v>000000000000000000</v>
      </c>
      <c r="L14049" t="str">
        <f>T("8506237116")</f>
        <v>8506237116</v>
      </c>
    </row>
    <row r="14050" spans="1:12" x14ac:dyDescent="0.35">
      <c r="A14050" t="str">
        <f t="shared" si="5214"/>
        <v>TRAINING AIR WING FIVE</v>
      </c>
      <c r="B14050" t="str">
        <f>T("7150 USS HORNET STREET")</f>
        <v>7150 USS HORNET STREET</v>
      </c>
      <c r="C14050" t="str">
        <f>T("STE 101")</f>
        <v>STE 101</v>
      </c>
      <c r="D14050" t="str">
        <f t="shared" si="5215"/>
        <v>MILTON</v>
      </c>
      <c r="E14050" t="str">
        <f t="shared" si="5216"/>
        <v>FL</v>
      </c>
      <c r="F14050" t="str">
        <f>T("325706116")</f>
        <v>325706116</v>
      </c>
      <c r="G14050" t="str">
        <f>T("7150 USS HORNET STREET")</f>
        <v>7150 USS HORNET STREET</v>
      </c>
      <c r="H14050" t="str">
        <f>T("STE 101")</f>
        <v>STE 101</v>
      </c>
      <c r="I14050" t="str">
        <f t="shared" si="5217"/>
        <v>MILTON</v>
      </c>
      <c r="J14050" t="str">
        <f t="shared" si="5218"/>
        <v>FL</v>
      </c>
      <c r="K14050" t="str">
        <f>T("")</f>
        <v/>
      </c>
      <c r="L14050" t="str">
        <f>T("8506237859")</f>
        <v>8506237859</v>
      </c>
    </row>
    <row r="14051" spans="1:12" x14ac:dyDescent="0.35">
      <c r="A14051" t="str">
        <f t="shared" si="5214"/>
        <v>TRAINING AIR WING FIVE</v>
      </c>
      <c r="B14051" t="str">
        <f>T("7413 USS ENTERPRISE ST")</f>
        <v>7413 USS ENTERPRISE ST</v>
      </c>
      <c r="C14051" t="str">
        <f>T("SUITE 102")</f>
        <v>SUITE 102</v>
      </c>
      <c r="D14051" t="str">
        <f t="shared" si="5215"/>
        <v>MILTON</v>
      </c>
      <c r="E14051" t="str">
        <f t="shared" si="5216"/>
        <v>FL</v>
      </c>
      <c r="F14051" t="str">
        <f>T("325706018")</f>
        <v>325706018</v>
      </c>
      <c r="G14051" t="str">
        <f>T("7413 USS ENTERPRISE ST")</f>
        <v>7413 USS ENTERPRISE ST</v>
      </c>
      <c r="H14051" t="str">
        <f>T("SUITE 102")</f>
        <v>SUITE 102</v>
      </c>
      <c r="I14051" t="str">
        <f t="shared" si="5217"/>
        <v>MILTON</v>
      </c>
      <c r="J14051" t="str">
        <f t="shared" si="5218"/>
        <v>FL</v>
      </c>
      <c r="K14051" t="str">
        <f>T("")</f>
        <v/>
      </c>
      <c r="L14051" t="str">
        <f>T("8506237477")</f>
        <v>8506237477</v>
      </c>
    </row>
    <row r="14052" spans="1:12" x14ac:dyDescent="0.35">
      <c r="A14052" t="str">
        <f t="shared" si="5214"/>
        <v>TRAINING AIR WING FIVE</v>
      </c>
      <c r="B14052" t="str">
        <f>T("7413 USS ENTERPRISE ST")</f>
        <v>7413 USS ENTERPRISE ST</v>
      </c>
      <c r="C14052" t="str">
        <f>T("SUITE 102")</f>
        <v>SUITE 102</v>
      </c>
      <c r="D14052" t="str">
        <f t="shared" si="5215"/>
        <v>MILTON</v>
      </c>
      <c r="E14052" t="str">
        <f t="shared" si="5216"/>
        <v>FL</v>
      </c>
      <c r="F14052" t="str">
        <f>T("325706018")</f>
        <v>325706018</v>
      </c>
      <c r="G14052" t="str">
        <f>T("7413 USS ENTERPRISE ST")</f>
        <v>7413 USS ENTERPRISE ST</v>
      </c>
      <c r="H14052" t="str">
        <f>T("SUITE 102")</f>
        <v>SUITE 102</v>
      </c>
      <c r="I14052" t="str">
        <f t="shared" si="5217"/>
        <v>MILTON</v>
      </c>
      <c r="J14052" t="str">
        <f t="shared" si="5218"/>
        <v>FL</v>
      </c>
      <c r="K14052" t="str">
        <f>T("000000000000000000")</f>
        <v>000000000000000000</v>
      </c>
      <c r="L14052" t="str">
        <f>T("8506237554")</f>
        <v>8506237554</v>
      </c>
    </row>
    <row r="14053" spans="1:12" x14ac:dyDescent="0.35">
      <c r="A14053" t="str">
        <f t="shared" si="5214"/>
        <v>TRAINING AIR WING FIVE</v>
      </c>
      <c r="B14053" t="str">
        <f>T("7480 USS ENTERPRISE ST")</f>
        <v>7480 USS ENTERPRISE ST</v>
      </c>
      <c r="C14053" t="str">
        <f>T("RM 115")</f>
        <v>RM 115</v>
      </c>
      <c r="D14053" t="str">
        <f t="shared" si="5215"/>
        <v>MILTON</v>
      </c>
      <c r="E14053" t="str">
        <f t="shared" si="5216"/>
        <v>FL</v>
      </c>
      <c r="F14053" t="str">
        <f>T("325706021")</f>
        <v>325706021</v>
      </c>
      <c r="G14053" t="str">
        <f>T("7480 USS ENTERPRISE ST")</f>
        <v>7480 USS ENTERPRISE ST</v>
      </c>
      <c r="H14053" t="str">
        <f>T("RM 115")</f>
        <v>RM 115</v>
      </c>
      <c r="I14053" t="str">
        <f t="shared" si="5217"/>
        <v>MILTON</v>
      </c>
      <c r="J14053" t="str">
        <f t="shared" si="5218"/>
        <v>FL</v>
      </c>
      <c r="K14053" t="str">
        <f>T("8506237768")</f>
        <v>8506237768</v>
      </c>
      <c r="L14053" t="str">
        <f>T("8506237753")</f>
        <v>8506237753</v>
      </c>
    </row>
    <row r="14054" spans="1:12" x14ac:dyDescent="0.35">
      <c r="A14054" t="str">
        <f t="shared" si="5214"/>
        <v>TRAINING AIR WING FIVE</v>
      </c>
      <c r="B14054" t="str">
        <f>T("7480 USS ENTERPRISE ST")</f>
        <v>7480 USS ENTERPRISE ST</v>
      </c>
      <c r="C14054" t="str">
        <f>T("RM 115")</f>
        <v>RM 115</v>
      </c>
      <c r="D14054" t="str">
        <f t="shared" si="5215"/>
        <v>MILTON</v>
      </c>
      <c r="E14054" t="str">
        <f t="shared" si="5216"/>
        <v>FL</v>
      </c>
      <c r="F14054" t="str">
        <f>T("325706021")</f>
        <v>325706021</v>
      </c>
      <c r="G14054" t="str">
        <f>T("7480 USS ENTERPRISE ST")</f>
        <v>7480 USS ENTERPRISE ST</v>
      </c>
      <c r="H14054" t="str">
        <f>T("SUITE 113")</f>
        <v>SUITE 113</v>
      </c>
      <c r="I14054" t="str">
        <f t="shared" si="5217"/>
        <v>MILTON</v>
      </c>
      <c r="J14054" t="str">
        <f t="shared" si="5218"/>
        <v>FL</v>
      </c>
      <c r="K14054" t="str">
        <f>T("000000000000000000")</f>
        <v>000000000000000000</v>
      </c>
      <c r="L14054" t="str">
        <f>T("8506237807")</f>
        <v>8506237807</v>
      </c>
    </row>
    <row r="14055" spans="1:12" x14ac:dyDescent="0.35">
      <c r="A14055" t="str">
        <f t="shared" si="5214"/>
        <v>TRAINING AIR WING FIVE</v>
      </c>
      <c r="B14055" t="str">
        <f>T("7700 USS ENTERPRISE ST")</f>
        <v>7700 USS ENTERPRISE ST</v>
      </c>
      <c r="C14055" t="str">
        <f>T("SUITE 101")</f>
        <v>SUITE 101</v>
      </c>
      <c r="D14055" t="str">
        <f t="shared" si="5215"/>
        <v>MILTON</v>
      </c>
      <c r="E14055" t="str">
        <f t="shared" si="5216"/>
        <v>FL</v>
      </c>
      <c r="F14055" t="str">
        <f>T("325706112")</f>
        <v>325706112</v>
      </c>
      <c r="G14055" t="str">
        <f>T("7700 USS ENTERPRISE ST")</f>
        <v>7700 USS ENTERPRISE ST</v>
      </c>
      <c r="H14055" t="str">
        <f>T("STE 101")</f>
        <v>STE 101</v>
      </c>
      <c r="I14055" t="str">
        <f t="shared" si="5217"/>
        <v>MILTON</v>
      </c>
      <c r="J14055" t="str">
        <f t="shared" si="5218"/>
        <v>FL</v>
      </c>
      <c r="K14055" t="str">
        <f>T("000000000000000000")</f>
        <v>000000000000000000</v>
      </c>
      <c r="L14055" t="str">
        <f>T("8506237276")</f>
        <v>8506237276</v>
      </c>
    </row>
    <row r="14056" spans="1:12" x14ac:dyDescent="0.35">
      <c r="A14056" t="str">
        <f t="shared" si="5214"/>
        <v>TRAINING AIR WING FIVE</v>
      </c>
      <c r="B14056" t="str">
        <f>T("7700 USS ENTERPRISE ST")</f>
        <v>7700 USS ENTERPRISE ST</v>
      </c>
      <c r="C14056" t="str">
        <f>T("SUITE 101")</f>
        <v>SUITE 101</v>
      </c>
      <c r="D14056" t="str">
        <f t="shared" si="5215"/>
        <v>MILTON</v>
      </c>
      <c r="E14056" t="str">
        <f t="shared" si="5216"/>
        <v>FL</v>
      </c>
      <c r="F14056" t="str">
        <f>T("325706112")</f>
        <v>325706112</v>
      </c>
      <c r="G14056" t="str">
        <f>T("7700 USS ENTERPRISE ST")</f>
        <v>7700 USS ENTERPRISE ST</v>
      </c>
      <c r="H14056" t="str">
        <f>T("SUITE 101")</f>
        <v>SUITE 101</v>
      </c>
      <c r="I14056" t="str">
        <f t="shared" si="5217"/>
        <v>MILTON</v>
      </c>
      <c r="J14056" t="str">
        <f t="shared" si="5218"/>
        <v>FL</v>
      </c>
      <c r="K14056" t="str">
        <f>T("")</f>
        <v/>
      </c>
      <c r="L14056" t="str">
        <f>T("8506237276")</f>
        <v>8506237276</v>
      </c>
    </row>
    <row r="14057" spans="1:12" x14ac:dyDescent="0.35">
      <c r="A14057" t="str">
        <f t="shared" si="5214"/>
        <v>TRAINING AIR WING FIVE</v>
      </c>
      <c r="B14057" t="str">
        <f>T("7700 USS ENTERPRISE ST")</f>
        <v>7700 USS ENTERPRISE ST</v>
      </c>
      <c r="C14057" t="str">
        <f>T("SUITE 101")</f>
        <v>SUITE 101</v>
      </c>
      <c r="D14057" t="str">
        <f t="shared" si="5215"/>
        <v>MILTON</v>
      </c>
      <c r="E14057" t="str">
        <f t="shared" si="5216"/>
        <v>FL</v>
      </c>
      <c r="F14057" t="str">
        <f>T("325706112")</f>
        <v>325706112</v>
      </c>
      <c r="G14057" t="str">
        <f>T("7700 USS ENTERPRISE ST STE 101")</f>
        <v>7700 USS ENTERPRISE ST STE 101</v>
      </c>
      <c r="H14057" t="str">
        <f>T("")</f>
        <v/>
      </c>
      <c r="I14057" t="str">
        <f t="shared" si="5217"/>
        <v>MILTON</v>
      </c>
      <c r="J14057" t="str">
        <f t="shared" si="5218"/>
        <v>FL</v>
      </c>
      <c r="K14057" t="str">
        <f>T("000000000000000000")</f>
        <v>000000000000000000</v>
      </c>
      <c r="L14057" t="str">
        <f>T("8506237276")</f>
        <v>8506237276</v>
      </c>
    </row>
    <row r="14058" spans="1:12" x14ac:dyDescent="0.35">
      <c r="A14058" t="str">
        <f t="shared" si="5214"/>
        <v>TRAINING AIR WING FIVE</v>
      </c>
      <c r="B14058" t="str">
        <f>T("7700 USS ENTERPRISE ST")</f>
        <v>7700 USS ENTERPRISE ST</v>
      </c>
      <c r="C14058" t="str">
        <f>T("SUITE 102")</f>
        <v>SUITE 102</v>
      </c>
      <c r="D14058" t="str">
        <f t="shared" si="5215"/>
        <v>MILTON</v>
      </c>
      <c r="E14058" t="str">
        <f t="shared" si="5216"/>
        <v>FL</v>
      </c>
      <c r="F14058" t="str">
        <f>T("325706112")</f>
        <v>325706112</v>
      </c>
      <c r="G14058" t="str">
        <f>T("7700 USS ENTERPRISE ST")</f>
        <v>7700 USS ENTERPRISE ST</v>
      </c>
      <c r="H14058" t="str">
        <f>T("SUITE 102")</f>
        <v>SUITE 102</v>
      </c>
      <c r="I14058" t="str">
        <f t="shared" si="5217"/>
        <v>MILTON</v>
      </c>
      <c r="J14058" t="str">
        <f t="shared" si="5218"/>
        <v>FL</v>
      </c>
      <c r="K14058" t="str">
        <f>T("")</f>
        <v/>
      </c>
      <c r="L14058" t="str">
        <f>T("8506237685")</f>
        <v>8506237685</v>
      </c>
    </row>
    <row r="14059" spans="1:12" x14ac:dyDescent="0.35">
      <c r="A14059" t="str">
        <f t="shared" si="5214"/>
        <v>TRAINING AIR WING FIVE</v>
      </c>
      <c r="B14059" t="str">
        <f>T("7700 USS ENTERPRISE ST")</f>
        <v>7700 USS ENTERPRISE ST</v>
      </c>
      <c r="C14059" t="str">
        <f>T("SUITE 102")</f>
        <v>SUITE 102</v>
      </c>
      <c r="D14059" t="str">
        <f t="shared" si="5215"/>
        <v>MILTON</v>
      </c>
      <c r="E14059" t="str">
        <f t="shared" si="5216"/>
        <v>FL</v>
      </c>
      <c r="F14059" t="str">
        <f>T("325706112")</f>
        <v>325706112</v>
      </c>
      <c r="G14059" t="str">
        <f>T("7700 USS ENTERPRISE ST")</f>
        <v>7700 USS ENTERPRISE ST</v>
      </c>
      <c r="H14059" t="str">
        <f>T("SUITE 102")</f>
        <v>SUITE 102</v>
      </c>
      <c r="I14059" t="str">
        <f t="shared" si="5217"/>
        <v>MILTON</v>
      </c>
      <c r="J14059" t="str">
        <f t="shared" si="5218"/>
        <v>FL</v>
      </c>
      <c r="K14059" t="str">
        <f>T("000000000000000000")</f>
        <v>000000000000000000</v>
      </c>
      <c r="L14059" t="str">
        <f>T("8506237685")</f>
        <v>8506237685</v>
      </c>
    </row>
    <row r="14060" spans="1:12" x14ac:dyDescent="0.35">
      <c r="A14060" t="str">
        <f>T("TRAINING AIR WING SIX")</f>
        <v>TRAINING AIR WING SIX</v>
      </c>
      <c r="B14060" t="str">
        <f>T("390 SAN CARLOS RD")</f>
        <v>390 SAN CARLOS RD</v>
      </c>
      <c r="C14060" t="str">
        <f>T("SUITE C")</f>
        <v>SUITE C</v>
      </c>
      <c r="D14060" t="str">
        <f>T("PENSACOLA")</f>
        <v>PENSACOLA</v>
      </c>
      <c r="E14060" t="str">
        <f t="shared" si="5216"/>
        <v>FL</v>
      </c>
      <c r="F14060" t="str">
        <f>T("325085509")</f>
        <v>325085509</v>
      </c>
      <c r="G14060" t="str">
        <f>T("250 SAN CARLOS RD")</f>
        <v>250 SAN CARLOS RD</v>
      </c>
      <c r="H14060" t="str">
        <f>T("")</f>
        <v/>
      </c>
      <c r="I14060" t="str">
        <f>T("PENSACOLA")</f>
        <v>PENSACOLA</v>
      </c>
      <c r="J14060" t="str">
        <f t="shared" si="5218"/>
        <v>FL</v>
      </c>
      <c r="K14060" t="str">
        <f>T("000000000000000000")</f>
        <v>000000000000000000</v>
      </c>
      <c r="L14060" t="str">
        <f>T("8504524600")</f>
        <v>8504524600</v>
      </c>
    </row>
    <row r="14061" spans="1:12" x14ac:dyDescent="0.35">
      <c r="A14061" t="str">
        <f>T("TRAINING AIR WING SIX")</f>
        <v>TRAINING AIR WING SIX</v>
      </c>
      <c r="B14061" t="str">
        <f>T("390 SAN CARLOS RD")</f>
        <v>390 SAN CARLOS RD</v>
      </c>
      <c r="C14061" t="str">
        <f>T("SUITE C")</f>
        <v>SUITE C</v>
      </c>
      <c r="D14061" t="str">
        <f>T("PENSACOLA")</f>
        <v>PENSACOLA</v>
      </c>
      <c r="E14061" t="str">
        <f t="shared" si="5216"/>
        <v>FL</v>
      </c>
      <c r="F14061" t="str">
        <f>T("325085509")</f>
        <v>325085509</v>
      </c>
      <c r="G14061" t="str">
        <f>T("390 SAN CARLOS RD")</f>
        <v>390 SAN CARLOS RD</v>
      </c>
      <c r="H14061" t="str">
        <f>T("SUITE C")</f>
        <v>SUITE C</v>
      </c>
      <c r="I14061" t="str">
        <f>T("PENSACOLA")</f>
        <v>PENSACOLA</v>
      </c>
      <c r="J14061" t="str">
        <f t="shared" si="5218"/>
        <v>FL</v>
      </c>
      <c r="K14061" t="str">
        <f>T("000000000000000000")</f>
        <v>000000000000000000</v>
      </c>
      <c r="L14061" t="str">
        <f>T("8504529656")</f>
        <v>8504529656</v>
      </c>
    </row>
    <row r="14062" spans="1:12" x14ac:dyDescent="0.35">
      <c r="A14062" t="str">
        <f>T("TRAINING AIR WING SIX")</f>
        <v>TRAINING AIR WING SIX</v>
      </c>
      <c r="B14062" t="str">
        <f>T("390 SAN CARLOS RD")</f>
        <v>390 SAN CARLOS RD</v>
      </c>
      <c r="C14062" t="str">
        <f>T("SUITE C")</f>
        <v>SUITE C</v>
      </c>
      <c r="D14062" t="str">
        <f>T("PENSACOLA")</f>
        <v>PENSACOLA</v>
      </c>
      <c r="E14062" t="str">
        <f t="shared" si="5216"/>
        <v>FL</v>
      </c>
      <c r="F14062" t="str">
        <f>T("325085509")</f>
        <v>325085509</v>
      </c>
      <c r="G14062" t="str">
        <f>T("390 SAN CARLOS RD")</f>
        <v>390 SAN CARLOS RD</v>
      </c>
      <c r="H14062" t="str">
        <f>T("SUITE C")</f>
        <v>SUITE C</v>
      </c>
      <c r="I14062" t="str">
        <f>T("PENSACOLA")</f>
        <v>PENSACOLA</v>
      </c>
      <c r="J14062" t="str">
        <f t="shared" si="5218"/>
        <v>FL</v>
      </c>
      <c r="K14062" t="str">
        <f>T("850-452-4752")</f>
        <v>850-452-4752</v>
      </c>
      <c r="L14062" t="str">
        <f>T("8504522877")</f>
        <v>8504522877</v>
      </c>
    </row>
    <row r="14063" spans="1:12" x14ac:dyDescent="0.35">
      <c r="A14063" t="str">
        <f>T("TRAINING AIR WING SIX")</f>
        <v>TRAINING AIR WING SIX</v>
      </c>
      <c r="B14063" t="str">
        <f>T("390 SAN CARLOS RD")</f>
        <v>390 SAN CARLOS RD</v>
      </c>
      <c r="C14063" t="str">
        <f>T("SUITE C")</f>
        <v>SUITE C</v>
      </c>
      <c r="D14063" t="str">
        <f>T("PENSACOLA")</f>
        <v>PENSACOLA</v>
      </c>
      <c r="E14063" t="str">
        <f t="shared" si="5216"/>
        <v>FL</v>
      </c>
      <c r="F14063" t="str">
        <f>T("325085509")</f>
        <v>325085509</v>
      </c>
      <c r="G14063" t="str">
        <f>T("390 SAN CARLOS RD")</f>
        <v>390 SAN CARLOS RD</v>
      </c>
      <c r="H14063" t="str">
        <f>T("SUITE C")</f>
        <v>SUITE C</v>
      </c>
      <c r="I14063" t="str">
        <f>T("PENSACOLA")</f>
        <v>PENSACOLA</v>
      </c>
      <c r="J14063" t="str">
        <f t="shared" si="5218"/>
        <v>FL</v>
      </c>
      <c r="K14063" t="str">
        <f>T("8504524752")</f>
        <v>8504524752</v>
      </c>
      <c r="L14063" t="str">
        <f>T("8504522272")</f>
        <v>8504522272</v>
      </c>
    </row>
    <row r="14064" spans="1:12" x14ac:dyDescent="0.35">
      <c r="A14064" t="str">
        <f>T("TRAINING AIR WING SIX")</f>
        <v>TRAINING AIR WING SIX</v>
      </c>
      <c r="B14064" t="str">
        <f>T("390 SAN CARLOS RD")</f>
        <v>390 SAN CARLOS RD</v>
      </c>
      <c r="C14064" t="str">
        <f>T("SUITE C")</f>
        <v>SUITE C</v>
      </c>
      <c r="D14064" t="str">
        <f>T("PENSACOLA")</f>
        <v>PENSACOLA</v>
      </c>
      <c r="E14064" t="str">
        <f t="shared" si="5216"/>
        <v>FL</v>
      </c>
      <c r="F14064" t="str">
        <f>T("325085509")</f>
        <v>325085509</v>
      </c>
      <c r="G14064" t="str">
        <f>T("390 SAN CARLOS RD")</f>
        <v>390 SAN CARLOS RD</v>
      </c>
      <c r="H14064" t="str">
        <f>T("SUITE C")</f>
        <v>SUITE C</v>
      </c>
      <c r="I14064" t="str">
        <f>T("PENSACOLA")</f>
        <v>PENSACOLA</v>
      </c>
      <c r="J14064" t="str">
        <f t="shared" si="5218"/>
        <v>FL</v>
      </c>
      <c r="K14064" t="str">
        <f>T("8504528105")</f>
        <v>8504528105</v>
      </c>
      <c r="L14064" t="str">
        <f>T("8504523840")</f>
        <v>8504523840</v>
      </c>
    </row>
    <row r="14065" spans="1:12" x14ac:dyDescent="0.35">
      <c r="A14065" t="str">
        <f t="shared" ref="A14065:A14081" si="5219">T("CHIEF OF NAVAL AIR TRAINING")</f>
        <v>CHIEF OF NAVAL AIR TRAINING</v>
      </c>
      <c r="B14065" t="str">
        <f>T("101 FULLER RD")</f>
        <v>101 FULLER RD</v>
      </c>
      <c r="C14065" t="str">
        <f>T("SUITE 250")</f>
        <v>SUITE 250</v>
      </c>
      <c r="D14065" t="str">
        <f>T("MERIDIAN")</f>
        <v>MERIDIAN</v>
      </c>
      <c r="E14065" t="str">
        <f>T("MS")</f>
        <v>MS</v>
      </c>
      <c r="F14065" t="str">
        <f>T("393095416")</f>
        <v>393095416</v>
      </c>
      <c r="G14065" t="str">
        <f>T("101 FULLER RD")</f>
        <v>101 FULLER RD</v>
      </c>
      <c r="H14065" t="str">
        <f>T("SUITE 250")</f>
        <v>SUITE 250</v>
      </c>
      <c r="I14065" t="str">
        <f>T("MERIDIAN")</f>
        <v>MERIDIAN</v>
      </c>
      <c r="J14065" t="str">
        <f>T("MS")</f>
        <v>MS</v>
      </c>
      <c r="K14065" t="str">
        <f>T("")</f>
        <v/>
      </c>
      <c r="L14065" t="str">
        <f>T("6016792320")</f>
        <v>6016792320</v>
      </c>
    </row>
    <row r="14066" spans="1:12" x14ac:dyDescent="0.35">
      <c r="A14066" t="str">
        <f t="shared" si="5219"/>
        <v>CHIEF OF NAVAL AIR TRAINING</v>
      </c>
      <c r="B14066" t="str">
        <f>T("101 FULLER RD")</f>
        <v>101 FULLER RD</v>
      </c>
      <c r="C14066" t="str">
        <f>T("SUITE 250")</f>
        <v>SUITE 250</v>
      </c>
      <c r="D14066" t="str">
        <f>T("MERIDIAN")</f>
        <v>MERIDIAN</v>
      </c>
      <c r="E14066" t="str">
        <f>T("MS")</f>
        <v>MS</v>
      </c>
      <c r="F14066" t="str">
        <f>T("393095416")</f>
        <v>393095416</v>
      </c>
      <c r="G14066" t="str">
        <f>T("101 FULLER RD")</f>
        <v>101 FULLER RD</v>
      </c>
      <c r="H14066" t="str">
        <f>T("SUITE 250")</f>
        <v>SUITE 250</v>
      </c>
      <c r="I14066" t="str">
        <f>T("MERIDIAN")</f>
        <v>MERIDIAN</v>
      </c>
      <c r="J14066" t="str">
        <f>T("MS")</f>
        <v>MS</v>
      </c>
      <c r="K14066" t="str">
        <f>T("000000000000000000")</f>
        <v>000000000000000000</v>
      </c>
      <c r="L14066" t="str">
        <f>T("6016792828")</f>
        <v>6016792828</v>
      </c>
    </row>
    <row r="14067" spans="1:12" x14ac:dyDescent="0.35">
      <c r="A14067" t="str">
        <f t="shared" si="5219"/>
        <v>CHIEF OF NAVAL AIR TRAINING</v>
      </c>
      <c r="B14067" t="str">
        <f>T("101 FULLER RD")</f>
        <v>101 FULLER RD</v>
      </c>
      <c r="C14067" t="str">
        <f>T("SUITE 250")</f>
        <v>SUITE 250</v>
      </c>
      <c r="D14067" t="str">
        <f>T("MERIDIAN")</f>
        <v>MERIDIAN</v>
      </c>
      <c r="E14067" t="str">
        <f>T("MS")</f>
        <v>MS</v>
      </c>
      <c r="F14067" t="str">
        <f>T("393095416")</f>
        <v>393095416</v>
      </c>
      <c r="G14067" t="str">
        <f>T("101 FULLER RD")</f>
        <v>101 FULLER RD</v>
      </c>
      <c r="H14067" t="str">
        <f>T("SUITE 250")</f>
        <v>SUITE 250</v>
      </c>
      <c r="I14067" t="str">
        <f>T("MERIDIAN")</f>
        <v>MERIDIAN</v>
      </c>
      <c r="J14067" t="str">
        <f>T("MS")</f>
        <v>MS</v>
      </c>
      <c r="K14067" t="str">
        <f>T("000000000000000000")</f>
        <v>000000000000000000</v>
      </c>
      <c r="L14067" t="str">
        <f>T("6016792977")</f>
        <v>6016792977</v>
      </c>
    </row>
    <row r="14068" spans="1:12" x14ac:dyDescent="0.35">
      <c r="A14068" t="str">
        <f t="shared" si="5219"/>
        <v>CHIEF OF NAVAL AIR TRAINING</v>
      </c>
      <c r="B14068" t="str">
        <f>T("101 FULLER RD")</f>
        <v>101 FULLER RD</v>
      </c>
      <c r="C14068" t="str">
        <f>T("SUITE 250")</f>
        <v>SUITE 250</v>
      </c>
      <c r="D14068" t="str">
        <f>T("MERIDIAN")</f>
        <v>MERIDIAN</v>
      </c>
      <c r="E14068" t="str">
        <f>T("MS")</f>
        <v>MS</v>
      </c>
      <c r="F14068" t="str">
        <f>T("393095416")</f>
        <v>393095416</v>
      </c>
      <c r="G14068" t="str">
        <f>T("101 FULLER RD")</f>
        <v>101 FULLER RD</v>
      </c>
      <c r="H14068" t="str">
        <f>T("SUITE 250")</f>
        <v>SUITE 250</v>
      </c>
      <c r="I14068" t="str">
        <f>T("MERIDIAN")</f>
        <v>MERIDIAN</v>
      </c>
      <c r="J14068" t="str">
        <f>T("MS")</f>
        <v>MS</v>
      </c>
      <c r="K14068" t="str">
        <f>T("6016793491")</f>
        <v>6016793491</v>
      </c>
      <c r="L14068" t="str">
        <f>T("6016792828")</f>
        <v>6016792828</v>
      </c>
    </row>
    <row r="14069" spans="1:12" x14ac:dyDescent="0.35">
      <c r="A14069" t="str">
        <f t="shared" si="5219"/>
        <v>CHIEF OF NAVAL AIR TRAINING</v>
      </c>
      <c r="B14069" t="str">
        <f>T("250 LEXINGTON BLVD")</f>
        <v>250 LEXINGTON BLVD</v>
      </c>
      <c r="C14069" t="str">
        <f>T("SUITE 113")</f>
        <v>SUITE 113</v>
      </c>
      <c r="D14069" t="str">
        <f>T("CORP CHRISTI")</f>
        <v>CORP CHRISTI</v>
      </c>
      <c r="E14069" t="str">
        <f t="shared" ref="E14069:E14079" si="5220">T("TX")</f>
        <v>TX</v>
      </c>
      <c r="F14069" t="str">
        <f>T("784195040")</f>
        <v>784195040</v>
      </c>
      <c r="G14069" t="str">
        <f>T("250 LEXINGTON BLVD")</f>
        <v>250 LEXINGTON BLVD</v>
      </c>
      <c r="H14069" t="str">
        <f>T("SUITE 113")</f>
        <v>SUITE 113</v>
      </c>
      <c r="I14069" t="str">
        <f>T("CORP CHRISTI")</f>
        <v>CORP CHRISTI</v>
      </c>
      <c r="J14069" t="str">
        <f>T("TX")</f>
        <v>TX</v>
      </c>
      <c r="K14069" t="str">
        <f>T("3619613623")</f>
        <v>3619613623</v>
      </c>
      <c r="L14069" t="str">
        <f>T("3619612113")</f>
        <v>3619612113</v>
      </c>
    </row>
    <row r="14070" spans="1:12" x14ac:dyDescent="0.35">
      <c r="A14070" t="str">
        <f t="shared" si="5219"/>
        <v>CHIEF OF NAVAL AIR TRAINING</v>
      </c>
      <c r="B14070" t="str">
        <f>T("250 LEXINGTON BLVD")</f>
        <v>250 LEXINGTON BLVD</v>
      </c>
      <c r="C14070" t="str">
        <f>T("SUITE 113")</f>
        <v>SUITE 113</v>
      </c>
      <c r="D14070" t="str">
        <f>T("CORP CHRISTI")</f>
        <v>CORP CHRISTI</v>
      </c>
      <c r="E14070" t="str">
        <f t="shared" si="5220"/>
        <v>TX</v>
      </c>
      <c r="F14070" t="str">
        <f>T("784195040")</f>
        <v>784195040</v>
      </c>
      <c r="G14070" t="str">
        <f>T("250 LEXINGTON BLVD")</f>
        <v>250 LEXINGTON BLVD</v>
      </c>
      <c r="H14070" t="str">
        <f>T("SUITE 113")</f>
        <v>SUITE 113</v>
      </c>
      <c r="I14070" t="str">
        <f>T("CORPUS CHRISTI")</f>
        <v>CORPUS CHRISTI</v>
      </c>
      <c r="J14070" t="str">
        <f>T("TX")</f>
        <v>TX</v>
      </c>
      <c r="K14070" t="str">
        <f>T("3619613623")</f>
        <v>3619613623</v>
      </c>
      <c r="L14070" t="str">
        <f>T("3619613680")</f>
        <v>3619613680</v>
      </c>
    </row>
    <row r="14071" spans="1:12" x14ac:dyDescent="0.35">
      <c r="A14071" t="str">
        <f t="shared" si="5219"/>
        <v>CHIEF OF NAVAL AIR TRAINING</v>
      </c>
      <c r="B14071" t="str">
        <f>T("250 SAN CARLOS RD")</f>
        <v>250 SAN CARLOS RD</v>
      </c>
      <c r="C14071" t="str">
        <f>T("SUITE C")</f>
        <v>SUITE C</v>
      </c>
      <c r="D14071" t="str">
        <f>T("CORPUS CHRISTI")</f>
        <v>CORPUS CHRISTI</v>
      </c>
      <c r="E14071" t="str">
        <f t="shared" si="5220"/>
        <v>TX</v>
      </c>
      <c r="F14071" t="str">
        <f>T("325085535")</f>
        <v>325085535</v>
      </c>
      <c r="G14071" t="str">
        <f>T("250 SAN CARLOS RD")</f>
        <v>250 SAN CARLOS RD</v>
      </c>
      <c r="H14071" t="str">
        <f>T("BLDG 1853")</f>
        <v>BLDG 1853</v>
      </c>
      <c r="I14071" t="str">
        <f>T("PENSACOLA")</f>
        <v>PENSACOLA</v>
      </c>
      <c r="J14071" t="str">
        <f>T("FL")</f>
        <v>FL</v>
      </c>
      <c r="K14071" t="str">
        <f>T("000000000000000000")</f>
        <v>000000000000000000</v>
      </c>
      <c r="L14071" t="str">
        <f>T("8504524572")</f>
        <v>8504524572</v>
      </c>
    </row>
    <row r="14072" spans="1:12" x14ac:dyDescent="0.35">
      <c r="A14072" t="str">
        <f t="shared" si="5219"/>
        <v>CHIEF OF NAVAL AIR TRAINING</v>
      </c>
      <c r="B14072" t="str">
        <f>T("250 SAN CARLOS RD")</f>
        <v>250 SAN CARLOS RD</v>
      </c>
      <c r="C14072" t="str">
        <f>T("SUITE C")</f>
        <v>SUITE C</v>
      </c>
      <c r="D14072" t="str">
        <f>T("CORPUS CHRISTI")</f>
        <v>CORPUS CHRISTI</v>
      </c>
      <c r="E14072" t="str">
        <f t="shared" si="5220"/>
        <v>TX</v>
      </c>
      <c r="F14072" t="str">
        <f>T("325085535")</f>
        <v>325085535</v>
      </c>
      <c r="G14072" t="str">
        <f>T("250 SAN CARLOS RD")</f>
        <v>250 SAN CARLOS RD</v>
      </c>
      <c r="H14072" t="str">
        <f>T("SUITE C")</f>
        <v>SUITE C</v>
      </c>
      <c r="I14072" t="str">
        <f>T("CORPUS CHRISTI")</f>
        <v>CORPUS CHRISTI</v>
      </c>
      <c r="J14072" t="str">
        <f>T("TX")</f>
        <v>TX</v>
      </c>
      <c r="K14072" t="str">
        <f>T("")</f>
        <v/>
      </c>
      <c r="L14072" t="str">
        <f>T("8504523880")</f>
        <v>8504523880</v>
      </c>
    </row>
    <row r="14073" spans="1:12" x14ac:dyDescent="0.35">
      <c r="A14073" t="str">
        <f t="shared" si="5219"/>
        <v>CHIEF OF NAVAL AIR TRAINING</v>
      </c>
      <c r="B14073" t="str">
        <f>T("250 SAN CARLOS RD")</f>
        <v>250 SAN CARLOS RD</v>
      </c>
      <c r="C14073" t="str">
        <f>T("SUITE C")</f>
        <v>SUITE C</v>
      </c>
      <c r="D14073" t="str">
        <f>T("CORPUS CHRISTI")</f>
        <v>CORPUS CHRISTI</v>
      </c>
      <c r="E14073" t="str">
        <f t="shared" si="5220"/>
        <v>TX</v>
      </c>
      <c r="F14073" t="str">
        <f>T("325085535")</f>
        <v>325085535</v>
      </c>
      <c r="G14073" t="str">
        <f>T("250 SAN CARLOS RD")</f>
        <v>250 SAN CARLOS RD</v>
      </c>
      <c r="H14073" t="str">
        <f>T("SUITE C")</f>
        <v>SUITE C</v>
      </c>
      <c r="I14073" t="str">
        <f>T("PENSACOLA")</f>
        <v>PENSACOLA</v>
      </c>
      <c r="J14073" t="str">
        <f>T("FL")</f>
        <v>FL</v>
      </c>
      <c r="K14073" t="str">
        <f>T("000000000000000000")</f>
        <v>000000000000000000</v>
      </c>
      <c r="L14073" t="str">
        <f>T("8504523880")</f>
        <v>8504523880</v>
      </c>
    </row>
    <row r="14074" spans="1:12" x14ac:dyDescent="0.35">
      <c r="A14074" t="str">
        <f t="shared" si="5219"/>
        <v>CHIEF OF NAVAL AIR TRAINING</v>
      </c>
      <c r="B14074" t="str">
        <f>T("401 BATAAN ST")</f>
        <v>401 BATAAN ST</v>
      </c>
      <c r="C14074" t="str">
        <f>T("BLDG 89 STE 222")</f>
        <v>BLDG 89 STE 222</v>
      </c>
      <c r="D14074" t="str">
        <f>T("CRP CHRISTI")</f>
        <v>CRP CHRISTI</v>
      </c>
      <c r="E14074" t="str">
        <f t="shared" si="5220"/>
        <v>TX</v>
      </c>
      <c r="F14074" t="str">
        <f>T("784195205")</f>
        <v>784195205</v>
      </c>
      <c r="G14074" t="str">
        <f>T("401 BATAAN ST")</f>
        <v>401 BATAAN ST</v>
      </c>
      <c r="H14074" t="str">
        <f>T("BLDG 89 STE 222")</f>
        <v>BLDG 89 STE 222</v>
      </c>
      <c r="I14074" t="str">
        <f>T("CRP CHRISTI")</f>
        <v>CRP CHRISTI</v>
      </c>
      <c r="J14074" t="str">
        <f t="shared" ref="J14074:J14079" si="5221">T("TX")</f>
        <v>TX</v>
      </c>
      <c r="K14074" t="str">
        <f>T("")</f>
        <v/>
      </c>
      <c r="L14074" t="str">
        <f>T("3619613523")</f>
        <v>3619613523</v>
      </c>
    </row>
    <row r="14075" spans="1:12" x14ac:dyDescent="0.35">
      <c r="A14075" t="str">
        <f t="shared" si="5219"/>
        <v>CHIEF OF NAVAL AIR TRAINING</v>
      </c>
      <c r="B14075" t="str">
        <f>T("401 BATAAN ST")</f>
        <v>401 BATAAN ST</v>
      </c>
      <c r="C14075" t="str">
        <f>T("BLDG 89 STE 222")</f>
        <v>BLDG 89 STE 222</v>
      </c>
      <c r="D14075" t="str">
        <f>T("CRP CHRISTI")</f>
        <v>CRP CHRISTI</v>
      </c>
      <c r="E14075" t="str">
        <f t="shared" si="5220"/>
        <v>TX</v>
      </c>
      <c r="F14075" t="str">
        <f>T("784195205")</f>
        <v>784195205</v>
      </c>
      <c r="G14075" t="str">
        <f>T("401 BATAAN ST")</f>
        <v>401 BATAAN ST</v>
      </c>
      <c r="H14075" t="str">
        <f>T("BLDG 89 SUITE 222")</f>
        <v>BLDG 89 SUITE 222</v>
      </c>
      <c r="I14075" t="str">
        <f>T("CORPUS CHRISTI")</f>
        <v>CORPUS CHRISTI</v>
      </c>
      <c r="J14075" t="str">
        <f t="shared" si="5221"/>
        <v>TX</v>
      </c>
      <c r="K14075" t="str">
        <f>T("000000000000000000")</f>
        <v>000000000000000000</v>
      </c>
      <c r="L14075" t="str">
        <f>T("3619613246")</f>
        <v>3619613246</v>
      </c>
    </row>
    <row r="14076" spans="1:12" x14ac:dyDescent="0.35">
      <c r="A14076" t="str">
        <f t="shared" si="5219"/>
        <v>CHIEF OF NAVAL AIR TRAINING</v>
      </c>
      <c r="B14076" t="str">
        <f>T("401 BATAAN ST")</f>
        <v>401 BATAAN ST</v>
      </c>
      <c r="C14076" t="str">
        <f>T("BLDG 89 STE 222")</f>
        <v>BLDG 89 STE 222</v>
      </c>
      <c r="D14076" t="str">
        <f>T("CRP CHRISTI")</f>
        <v>CRP CHRISTI</v>
      </c>
      <c r="E14076" t="str">
        <f t="shared" si="5220"/>
        <v>TX</v>
      </c>
      <c r="F14076" t="str">
        <f>T("784195205")</f>
        <v>784195205</v>
      </c>
      <c r="G14076" t="str">
        <f>T("401 BATAAN ST")</f>
        <v>401 BATAAN ST</v>
      </c>
      <c r="H14076" t="str">
        <f>T("BLDG 89 SUITE 222")</f>
        <v>BLDG 89 SUITE 222</v>
      </c>
      <c r="I14076" t="str">
        <f>T("CORPUS CHRISTI")</f>
        <v>CORPUS CHRISTI</v>
      </c>
      <c r="J14076" t="str">
        <f t="shared" si="5221"/>
        <v>TX</v>
      </c>
      <c r="K14076" t="str">
        <f>T("000000000000000000")</f>
        <v>000000000000000000</v>
      </c>
      <c r="L14076" t="str">
        <f>T("3619613592")</f>
        <v>3619613592</v>
      </c>
    </row>
    <row r="14077" spans="1:12" x14ac:dyDescent="0.35">
      <c r="A14077" t="str">
        <f t="shared" si="5219"/>
        <v>CHIEF OF NAVAL AIR TRAINING</v>
      </c>
      <c r="B14077" t="str">
        <f>T("614 MCCAIN ST")</f>
        <v>614 MCCAIN ST</v>
      </c>
      <c r="C14077" t="str">
        <f>T("SUITE 129")</f>
        <v>SUITE 129</v>
      </c>
      <c r="D14077" t="str">
        <f>T("KINGSVILLE")</f>
        <v>KINGSVILLE</v>
      </c>
      <c r="E14077" t="str">
        <f t="shared" si="5220"/>
        <v>TX</v>
      </c>
      <c r="F14077" t="str">
        <f>T("783635038")</f>
        <v>783635038</v>
      </c>
      <c r="G14077" t="str">
        <f>T("614 MCCAIN ST")</f>
        <v>614 MCCAIN ST</v>
      </c>
      <c r="H14077" t="str">
        <f>T("BLDG 2741 SUITE 125A")</f>
        <v>BLDG 2741 SUITE 125A</v>
      </c>
      <c r="I14077" t="str">
        <f>T("KINGSVILLE")</f>
        <v>KINGSVILLE</v>
      </c>
      <c r="J14077" t="str">
        <f t="shared" si="5221"/>
        <v>TX</v>
      </c>
      <c r="K14077" t="str">
        <f>T("3615166119")</f>
        <v>3615166119</v>
      </c>
      <c r="L14077" t="str">
        <f>T("3615164264")</f>
        <v>3615164264</v>
      </c>
    </row>
    <row r="14078" spans="1:12" x14ac:dyDescent="0.35">
      <c r="A14078" t="str">
        <f t="shared" si="5219"/>
        <v>CHIEF OF NAVAL AIR TRAINING</v>
      </c>
      <c r="B14078" t="str">
        <f>T("614 MCCAIN ST")</f>
        <v>614 MCCAIN ST</v>
      </c>
      <c r="C14078" t="str">
        <f>T("SUITE 129")</f>
        <v>SUITE 129</v>
      </c>
      <c r="D14078" t="str">
        <f>T("KINGSVILLE")</f>
        <v>KINGSVILLE</v>
      </c>
      <c r="E14078" t="str">
        <f t="shared" si="5220"/>
        <v>TX</v>
      </c>
      <c r="F14078" t="str">
        <f>T("783635038")</f>
        <v>783635038</v>
      </c>
      <c r="G14078" t="str">
        <f>T("614 MCCAIN ST")</f>
        <v>614 MCCAIN ST</v>
      </c>
      <c r="H14078" t="str">
        <f>T("BLDG 2741 SUITE 125A")</f>
        <v>BLDG 2741 SUITE 125A</v>
      </c>
      <c r="I14078" t="str">
        <f>T("KINGSVILLE")</f>
        <v>KINGSVILLE</v>
      </c>
      <c r="J14078" t="str">
        <f t="shared" si="5221"/>
        <v>TX</v>
      </c>
      <c r="K14078" t="str">
        <f>T("3615166119")</f>
        <v>3615166119</v>
      </c>
      <c r="L14078" t="str">
        <f>T("3615166222")</f>
        <v>3615166222</v>
      </c>
    </row>
    <row r="14079" spans="1:12" x14ac:dyDescent="0.35">
      <c r="A14079" t="str">
        <f t="shared" si="5219"/>
        <v>CHIEF OF NAVAL AIR TRAINING</v>
      </c>
      <c r="B14079" t="str">
        <f>T("614 MCCAIN ST")</f>
        <v>614 MCCAIN ST</v>
      </c>
      <c r="C14079" t="str">
        <f>T("SUITE 129")</f>
        <v>SUITE 129</v>
      </c>
      <c r="D14079" t="str">
        <f>T("KINGSVILLE")</f>
        <v>KINGSVILLE</v>
      </c>
      <c r="E14079" t="str">
        <f t="shared" si="5220"/>
        <v>TX</v>
      </c>
      <c r="F14079" t="str">
        <f>T("783635038")</f>
        <v>783635038</v>
      </c>
      <c r="G14079" t="str">
        <f>T("614 MCCAIN ST")</f>
        <v>614 MCCAIN ST</v>
      </c>
      <c r="H14079" t="str">
        <f>T("SUITE 129")</f>
        <v>SUITE 129</v>
      </c>
      <c r="I14079" t="str">
        <f>T("KINGSVILLE")</f>
        <v>KINGSVILLE</v>
      </c>
      <c r="J14079" t="str">
        <f t="shared" si="5221"/>
        <v>TX</v>
      </c>
      <c r="K14079" t="str">
        <f>T("3615166119")</f>
        <v>3615166119</v>
      </c>
      <c r="L14079" t="str">
        <f>T("3615164079")</f>
        <v>3615164079</v>
      </c>
    </row>
    <row r="14080" spans="1:12" x14ac:dyDescent="0.35">
      <c r="A14080" t="str">
        <f t="shared" si="5219"/>
        <v>CHIEF OF NAVAL AIR TRAINING</v>
      </c>
      <c r="B14080" t="str">
        <f>T("7701 USS ENTERPRISE ST")</f>
        <v>7701 USS ENTERPRISE ST</v>
      </c>
      <c r="C14080" t="str">
        <f>T("BLDG 2941 STE 203")</f>
        <v>BLDG 2941 STE 203</v>
      </c>
      <c r="D14080" t="str">
        <f>T("MILTON")</f>
        <v>MILTON</v>
      </c>
      <c r="E14080" t="str">
        <f t="shared" ref="E14080:E14085" si="5222">T("FL")</f>
        <v>FL</v>
      </c>
      <c r="F14080" t="str">
        <f>T("325706134")</f>
        <v>325706134</v>
      </c>
      <c r="G14080" t="str">
        <f>T("7480 USS ENTERPRISE ST")</f>
        <v>7480 USS ENTERPRISE ST</v>
      </c>
      <c r="H14080" t="str">
        <f>T("SUITE 204")</f>
        <v>SUITE 204</v>
      </c>
      <c r="I14080" t="str">
        <f>T("MILTON")</f>
        <v>MILTON</v>
      </c>
      <c r="J14080" t="str">
        <f t="shared" ref="J14080:J14085" si="5223">T("FL")</f>
        <v>FL</v>
      </c>
      <c r="K14080" t="str">
        <f>T("000000000000000000")</f>
        <v>000000000000000000</v>
      </c>
      <c r="L14080" t="str">
        <f>T("8506237420")</f>
        <v>8506237420</v>
      </c>
    </row>
    <row r="14081" spans="1:12" x14ac:dyDescent="0.35">
      <c r="A14081" t="str">
        <f t="shared" si="5219"/>
        <v>CHIEF OF NAVAL AIR TRAINING</v>
      </c>
      <c r="B14081" t="str">
        <f>T("7701 USS ENTERPRISE ST")</f>
        <v>7701 USS ENTERPRISE ST</v>
      </c>
      <c r="C14081" t="str">
        <f>T("BLDG 2941 STE 203")</f>
        <v>BLDG 2941 STE 203</v>
      </c>
      <c r="D14081" t="str">
        <f>T("MILTON")</f>
        <v>MILTON</v>
      </c>
      <c r="E14081" t="str">
        <f t="shared" si="5222"/>
        <v>FL</v>
      </c>
      <c r="F14081" t="str">
        <f>T("325706134")</f>
        <v>325706134</v>
      </c>
      <c r="G14081" t="str">
        <f>T("7701 USS ENTERPRISE ST")</f>
        <v>7701 USS ENTERPRISE ST</v>
      </c>
      <c r="H14081" t="str">
        <f>T("BLDG 2941 STE 203")</f>
        <v>BLDG 2941 STE 203</v>
      </c>
      <c r="I14081" t="str">
        <f>T("MILTON")</f>
        <v>MILTON</v>
      </c>
      <c r="J14081" t="str">
        <f t="shared" si="5223"/>
        <v>FL</v>
      </c>
      <c r="K14081" t="str">
        <f>T("8506237756")</f>
        <v>8506237756</v>
      </c>
      <c r="L14081" t="str">
        <f>T("8506237429")</f>
        <v>8506237429</v>
      </c>
    </row>
    <row r="14082" spans="1:12" x14ac:dyDescent="0.35">
      <c r="A14082" t="str">
        <f t="shared" ref="A14082:A14098" si="5224">T("MARITIME SUPPORT WING")</f>
        <v>MARITIME SUPPORT WING</v>
      </c>
      <c r="B14082" t="str">
        <f>T("1122 ALBERMARLE ROAD")</f>
        <v>1122 ALBERMARLE ROAD</v>
      </c>
      <c r="C14082" t="str">
        <f>T("MOD 2")</f>
        <v>MOD 2</v>
      </c>
      <c r="D14082" t="str">
        <f>T("NAS JACKSONVILLE")</f>
        <v>NAS JACKSONVILLE</v>
      </c>
      <c r="E14082" t="str">
        <f t="shared" si="5222"/>
        <v>FL</v>
      </c>
      <c r="F14082" t="str">
        <f>T("322120000")</f>
        <v>322120000</v>
      </c>
      <c r="G14082" t="str">
        <f>T("1122 ALBERMARLE ROAD")</f>
        <v>1122 ALBERMARLE ROAD</v>
      </c>
      <c r="H14082" t="str">
        <f>T("MOD 2")</f>
        <v>MOD 2</v>
      </c>
      <c r="I14082" t="str">
        <f>T("NAS JACKSONVILLE")</f>
        <v>NAS JACKSONVILLE</v>
      </c>
      <c r="J14082" t="str">
        <f t="shared" si="5223"/>
        <v>FL</v>
      </c>
      <c r="K14082" t="str">
        <f>T("9042706850")</f>
        <v>9042706850</v>
      </c>
      <c r="L14082" t="str">
        <f>T("9045467353")</f>
        <v>9045467353</v>
      </c>
    </row>
    <row r="14083" spans="1:12" x14ac:dyDescent="0.35">
      <c r="A14083" t="str">
        <f t="shared" si="5224"/>
        <v>MARITIME SUPPORT WING</v>
      </c>
      <c r="B14083" t="str">
        <f>T("1122 ALBERMARLE ROAD")</f>
        <v>1122 ALBERMARLE ROAD</v>
      </c>
      <c r="C14083" t="str">
        <f>T("MOD 2")</f>
        <v>MOD 2</v>
      </c>
      <c r="D14083" t="str">
        <f>T("NAS JACKSONVILLE")</f>
        <v>NAS JACKSONVILLE</v>
      </c>
      <c r="E14083" t="str">
        <f t="shared" si="5222"/>
        <v>FL</v>
      </c>
      <c r="F14083" t="str">
        <f>T("322120000")</f>
        <v>322120000</v>
      </c>
      <c r="G14083" t="str">
        <f>T("1122 ALBERMARLE ROAD MOD 2")</f>
        <v>1122 ALBERMARLE ROAD MOD 2</v>
      </c>
      <c r="H14083" t="str">
        <f>T("NAS JACKSONVILLE")</f>
        <v>NAS JACKSONVILLE</v>
      </c>
      <c r="I14083" t="str">
        <f>T("JACKSONVILLE")</f>
        <v>JACKSONVILLE</v>
      </c>
      <c r="J14083" t="str">
        <f t="shared" si="5223"/>
        <v>FL</v>
      </c>
      <c r="K14083" t="str">
        <f>T("000000000000000000")</f>
        <v>000000000000000000</v>
      </c>
      <c r="L14083" t="str">
        <f>T("9045467330")</f>
        <v>9045467330</v>
      </c>
    </row>
    <row r="14084" spans="1:12" x14ac:dyDescent="0.35">
      <c r="A14084" t="str">
        <f t="shared" si="5224"/>
        <v>MARITIME SUPPORT WING</v>
      </c>
      <c r="B14084" t="str">
        <f>T("1122 ALBERMARLE ROAD")</f>
        <v>1122 ALBERMARLE ROAD</v>
      </c>
      <c r="C14084" t="str">
        <f>T("MOD 2")</f>
        <v>MOD 2</v>
      </c>
      <c r="D14084" t="str">
        <f>T("NAS JACKSONVILLE")</f>
        <v>NAS JACKSONVILLE</v>
      </c>
      <c r="E14084" t="str">
        <f t="shared" si="5222"/>
        <v>FL</v>
      </c>
      <c r="F14084" t="str">
        <f>T("322120000")</f>
        <v>322120000</v>
      </c>
      <c r="G14084" t="str">
        <f>T("1343 LAMPS DRIVE")</f>
        <v>1343 LAMPS DRIVE</v>
      </c>
      <c r="H14084" t="str">
        <f>T("BLDG 1343")</f>
        <v>BLDG 1343</v>
      </c>
      <c r="I14084" t="str">
        <f>T("JACKSONVILLE")</f>
        <v>JACKSONVILLE</v>
      </c>
      <c r="J14084" t="str">
        <f t="shared" si="5223"/>
        <v>FL</v>
      </c>
      <c r="K14084" t="str">
        <f>T("9042706780")</f>
        <v>9042706780</v>
      </c>
      <c r="L14084" t="str">
        <f>T("9042706780")</f>
        <v>9042706780</v>
      </c>
    </row>
    <row r="14085" spans="1:12" x14ac:dyDescent="0.35">
      <c r="A14085" t="str">
        <f t="shared" si="5224"/>
        <v>MARITIME SUPPORT WING</v>
      </c>
      <c r="B14085" t="str">
        <f>T("1122 ALBERMARLE ROAD")</f>
        <v>1122 ALBERMARLE ROAD</v>
      </c>
      <c r="C14085" t="str">
        <f>T("MOD 2")</f>
        <v>MOD 2</v>
      </c>
      <c r="D14085" t="str">
        <f>T("NAS JACKSONVILLE")</f>
        <v>NAS JACKSONVILLE</v>
      </c>
      <c r="E14085" t="str">
        <f t="shared" si="5222"/>
        <v>FL</v>
      </c>
      <c r="F14085" t="str">
        <f>T("322120000")</f>
        <v>322120000</v>
      </c>
      <c r="G14085" t="str">
        <f>T("NS MAYPORT BLDG 1343")</f>
        <v>NS MAYPORT BLDG 1343</v>
      </c>
      <c r="H14085" t="str">
        <f>T("HSL-60")</f>
        <v>HSL-60</v>
      </c>
      <c r="I14085" t="str">
        <f>T("JACKSONVILLE")</f>
        <v>JACKSONVILLE</v>
      </c>
      <c r="J14085" t="str">
        <f t="shared" si="5223"/>
        <v>FL</v>
      </c>
      <c r="K14085" t="str">
        <f>T("9042706850")</f>
        <v>9042706850</v>
      </c>
      <c r="L14085" t="str">
        <f>T("9042706780")</f>
        <v>9042706780</v>
      </c>
    </row>
    <row r="14086" spans="1:12" x14ac:dyDescent="0.35">
      <c r="A14086" t="str">
        <f t="shared" si="5224"/>
        <v>MARITIME SUPPORT WING</v>
      </c>
      <c r="B14086" t="str">
        <f>T("496 A STREET")</f>
        <v>496 A STREET</v>
      </c>
      <c r="C14086" t="str">
        <f>T("BLDG SP-35")</f>
        <v>BLDG SP-35</v>
      </c>
      <c r="D14086" t="str">
        <f>T("NORFOLK")</f>
        <v>NORFOLK</v>
      </c>
      <c r="E14086" t="str">
        <f>T("VA")</f>
        <v>VA</v>
      </c>
      <c r="F14086" t="str">
        <f>T("235114219")</f>
        <v>235114219</v>
      </c>
      <c r="G14086" t="str">
        <f>T("496 A STREET")</f>
        <v>496 A STREET</v>
      </c>
      <c r="H14086" t="str">
        <f>T("BLDG SP-35")</f>
        <v>BLDG SP-35</v>
      </c>
      <c r="I14086" t="str">
        <f>T("NORFOLK")</f>
        <v>NORFOLK</v>
      </c>
      <c r="J14086" t="str">
        <f>T("VA")</f>
        <v>VA</v>
      </c>
      <c r="K14086" t="str">
        <f>T("")</f>
        <v/>
      </c>
      <c r="L14086" t="str">
        <f>T("7574450740")</f>
        <v>7574450740</v>
      </c>
    </row>
    <row r="14087" spans="1:12" x14ac:dyDescent="0.35">
      <c r="A14087" t="str">
        <f t="shared" si="5224"/>
        <v>MARITIME SUPPORT WING</v>
      </c>
      <c r="B14087" t="str">
        <f>T("BLDG 1481")</f>
        <v>BLDG 1481</v>
      </c>
      <c r="C14087" t="str">
        <f>T("BOX 357105")</f>
        <v>BOX 357105</v>
      </c>
      <c r="D14087" t="str">
        <f>T("NAS N ISLAND")</f>
        <v>NAS N ISLAND</v>
      </c>
      <c r="E14087" t="str">
        <f>T("CA")</f>
        <v>CA</v>
      </c>
      <c r="F14087" t="str">
        <f>T("921357105")</f>
        <v>921357105</v>
      </c>
      <c r="G14087" t="str">
        <f>T("BLDG 1481")</f>
        <v>BLDG 1481</v>
      </c>
      <c r="H14087" t="str">
        <f>T("BOX 357105")</f>
        <v>BOX 357105</v>
      </c>
      <c r="I14087" t="str">
        <f>T("NAS N ISLAND")</f>
        <v>NAS N ISLAND</v>
      </c>
      <c r="J14087" t="str">
        <f>T("CA")</f>
        <v>CA</v>
      </c>
      <c r="K14087" t="str">
        <f>T("")</f>
        <v/>
      </c>
      <c r="L14087" t="str">
        <f>T("6195459695")</f>
        <v>6195459695</v>
      </c>
    </row>
    <row r="14088" spans="1:12" x14ac:dyDescent="0.35">
      <c r="A14088" t="str">
        <f t="shared" si="5224"/>
        <v>MARITIME SUPPORT WING</v>
      </c>
      <c r="B14088" t="str">
        <f>T("BLDG 1481")</f>
        <v>BLDG 1481</v>
      </c>
      <c r="C14088" t="str">
        <f>T("BOX 357105")</f>
        <v>BOX 357105</v>
      </c>
      <c r="D14088" t="str">
        <f>T("NAS N ISLAND")</f>
        <v>NAS N ISLAND</v>
      </c>
      <c r="E14088" t="str">
        <f>T("CA")</f>
        <v>CA</v>
      </c>
      <c r="F14088" t="str">
        <f>T("921357105")</f>
        <v>921357105</v>
      </c>
      <c r="G14088" t="str">
        <f>T("BOX 357105")</f>
        <v>BOX 357105</v>
      </c>
      <c r="H14088" t="str">
        <f>T("NAVAL AIR STATION NORTH ISLAND")</f>
        <v>NAVAL AIR STATION NORTH ISLAND</v>
      </c>
      <c r="I14088" t="str">
        <f>T("SAN DIEGO")</f>
        <v>SAN DIEGO</v>
      </c>
      <c r="J14088" t="str">
        <f>T("CA")</f>
        <v>CA</v>
      </c>
      <c r="K14088" t="str">
        <f>T("000000000000000000")</f>
        <v>000000000000000000</v>
      </c>
      <c r="L14088" t="str">
        <f>T("6195457284")</f>
        <v>6195457284</v>
      </c>
    </row>
    <row r="14089" spans="1:12" x14ac:dyDescent="0.35">
      <c r="A14089" t="str">
        <f t="shared" si="5224"/>
        <v>MARITIME SUPPORT WING</v>
      </c>
      <c r="B14089" t="str">
        <f>T("BLDG 1481")</f>
        <v>BLDG 1481</v>
      </c>
      <c r="C14089" t="str">
        <f>T("BOX 357105")</f>
        <v>BOX 357105</v>
      </c>
      <c r="D14089" t="str">
        <f>T("NAS N ISLAND")</f>
        <v>NAS N ISLAND</v>
      </c>
      <c r="E14089" t="str">
        <f>T("CA")</f>
        <v>CA</v>
      </c>
      <c r="F14089" t="str">
        <f>T("921357105")</f>
        <v>921357105</v>
      </c>
      <c r="G14089" t="str">
        <f>T("HSC-85")</f>
        <v>HSC-85</v>
      </c>
      <c r="H14089" t="str">
        <f>T("BLDG 1481 RM 109")</f>
        <v>BLDG 1481 RM 109</v>
      </c>
      <c r="I14089" t="str">
        <f>T("SAN DIEGO")</f>
        <v>SAN DIEGO</v>
      </c>
      <c r="J14089" t="str">
        <f>T("CA")</f>
        <v>CA</v>
      </c>
      <c r="K14089" t="str">
        <f>T("000000000000000000")</f>
        <v>000000000000000000</v>
      </c>
      <c r="L14089" t="str">
        <f>T("6195457284")</f>
        <v>6195457284</v>
      </c>
    </row>
    <row r="14090" spans="1:12" x14ac:dyDescent="0.35">
      <c r="A14090" t="str">
        <f t="shared" si="5224"/>
        <v>MARITIME SUPPORT WING</v>
      </c>
      <c r="B14090" t="str">
        <f>T("BLDG 1481")</f>
        <v>BLDG 1481</v>
      </c>
      <c r="C14090" t="str">
        <f>T("BOX 357105")</f>
        <v>BOX 357105</v>
      </c>
      <c r="D14090" t="str">
        <f>T("NAS N ISLAND")</f>
        <v>NAS N ISLAND</v>
      </c>
      <c r="E14090" t="str">
        <f>T("CA")</f>
        <v>CA</v>
      </c>
      <c r="F14090" t="str">
        <f>T("921357105")</f>
        <v>921357105</v>
      </c>
      <c r="G14090" t="str">
        <f>T("NAS NORTH ISLAND P O BOX 357105")</f>
        <v>NAS NORTH ISLAND P O BOX 357105</v>
      </c>
      <c r="H14090" t="str">
        <f>T("")</f>
        <v/>
      </c>
      <c r="I14090" t="str">
        <f>T("SAN DIEGO")</f>
        <v>SAN DIEGO</v>
      </c>
      <c r="J14090" t="str">
        <f>T("CA")</f>
        <v>CA</v>
      </c>
      <c r="K14090" t="str">
        <f>T("6197671594")</f>
        <v>6197671594</v>
      </c>
      <c r="L14090" t="str">
        <f>T("6195457248")</f>
        <v>6195457248</v>
      </c>
    </row>
    <row r="14091" spans="1:12" x14ac:dyDescent="0.35">
      <c r="A14091" t="str">
        <f t="shared" si="5224"/>
        <v>MARITIME SUPPORT WING</v>
      </c>
      <c r="B14091" t="str">
        <f>T("PO BOX 49")</f>
        <v>PO BOX 49</v>
      </c>
      <c r="C14091" t="str">
        <f>T("NAS JACKSONVILLE")</f>
        <v>NAS JACKSONVILLE</v>
      </c>
      <c r="D14091" t="str">
        <f>T("JACKSONVILLE")</f>
        <v>JACKSONVILLE</v>
      </c>
      <c r="E14091" t="str">
        <f>T("FL")</f>
        <v>FL</v>
      </c>
      <c r="F14091" t="str">
        <f>T("322120049")</f>
        <v>322120049</v>
      </c>
      <c r="G14091" t="str">
        <f>T("1000 YORKTOWN AVE")</f>
        <v>1000 YORKTOWN AVE</v>
      </c>
      <c r="H14091" t="str">
        <f>T("HANGAR 1000 SEGMENT 1")</f>
        <v>HANGAR 1000 SEGMENT 1</v>
      </c>
      <c r="I14091" t="str">
        <f>T("JACKSONVILLE")</f>
        <v>JACKSONVILLE</v>
      </c>
      <c r="J14091" t="str">
        <f>T("FL")</f>
        <v>FL</v>
      </c>
      <c r="K14091" t="str">
        <f>T("000000000000000000")</f>
        <v>000000000000000000</v>
      </c>
      <c r="L14091" t="str">
        <f>T("9045424399")</f>
        <v>9045424399</v>
      </c>
    </row>
    <row r="14092" spans="1:12" x14ac:dyDescent="0.35">
      <c r="A14092" t="str">
        <f t="shared" si="5224"/>
        <v>MARITIME SUPPORT WING</v>
      </c>
      <c r="B14092" t="str">
        <f>T("PO BOX 49")</f>
        <v>PO BOX 49</v>
      </c>
      <c r="C14092" t="str">
        <f>T("NAS JACKSONVILLE")</f>
        <v>NAS JACKSONVILLE</v>
      </c>
      <c r="D14092" t="str">
        <f>T("JACKSONVILLE")</f>
        <v>JACKSONVILLE</v>
      </c>
      <c r="E14092" t="str">
        <f>T("FL")</f>
        <v>FL</v>
      </c>
      <c r="F14092" t="str">
        <f>T("322120049")</f>
        <v>322120049</v>
      </c>
      <c r="G14092" t="str">
        <f>T("BOX 49")</f>
        <v>BOX 49</v>
      </c>
      <c r="H14092" t="str">
        <f>T("NAVAL AIR STATION")</f>
        <v>NAVAL AIR STATION</v>
      </c>
      <c r="I14092" t="str">
        <f>T("JACKSONVILLE")</f>
        <v>JACKSONVILLE</v>
      </c>
      <c r="J14092" t="str">
        <f>T("FL")</f>
        <v>FL</v>
      </c>
      <c r="K14092" t="str">
        <f>T("000000000000000000")</f>
        <v>000000000000000000</v>
      </c>
      <c r="L14092" t="str">
        <f>T("9045424399")</f>
        <v>9045424399</v>
      </c>
    </row>
    <row r="14093" spans="1:12" x14ac:dyDescent="0.35">
      <c r="A14093" t="str">
        <f t="shared" si="5224"/>
        <v>MARITIME SUPPORT WING</v>
      </c>
      <c r="B14093" t="str">
        <f>T("PO BOX 49")</f>
        <v>PO BOX 49</v>
      </c>
      <c r="C14093" t="str">
        <f>T("NAS JACKSONVILLE")</f>
        <v>NAS JACKSONVILLE</v>
      </c>
      <c r="D14093" t="str">
        <f>T("JACKSONVILLE")</f>
        <v>JACKSONVILLE</v>
      </c>
      <c r="E14093" t="str">
        <f>T("FL")</f>
        <v>FL</v>
      </c>
      <c r="F14093" t="str">
        <f>T("322120049")</f>
        <v>322120049</v>
      </c>
      <c r="G14093" t="str">
        <f>T("PATROL SQUADRON SIX TWO")</f>
        <v>PATROL SQUADRON SIX TWO</v>
      </c>
      <c r="H14093" t="str">
        <f>T("BOX 49 NAVAL AIR STATION")</f>
        <v>BOX 49 NAVAL AIR STATION</v>
      </c>
      <c r="I14093" t="str">
        <f>T("JACKSONVILLE")</f>
        <v>JACKSONVILLE</v>
      </c>
      <c r="J14093" t="str">
        <f>T("FL")</f>
        <v>FL</v>
      </c>
      <c r="K14093" t="str">
        <f>T("000000000000000000")</f>
        <v>000000000000000000</v>
      </c>
      <c r="L14093" t="str">
        <f>T("9045424399")</f>
        <v>9045424399</v>
      </c>
    </row>
    <row r="14094" spans="1:12" x14ac:dyDescent="0.35">
      <c r="A14094" t="str">
        <f t="shared" si="5224"/>
        <v>MARITIME SUPPORT WING</v>
      </c>
      <c r="B14094" t="str">
        <f>T("PO BOX 49")</f>
        <v>PO BOX 49</v>
      </c>
      <c r="C14094" t="str">
        <f>T("NAS JACKSONVILLE")</f>
        <v>NAS JACKSONVILLE</v>
      </c>
      <c r="D14094" t="str">
        <f>T("JACKSONVILLE")</f>
        <v>JACKSONVILLE</v>
      </c>
      <c r="E14094" t="str">
        <f>T("FL")</f>
        <v>FL</v>
      </c>
      <c r="F14094" t="str">
        <f>T("322120049")</f>
        <v>322120049</v>
      </c>
      <c r="G14094" t="str">
        <f>T("PO BOX 49")</f>
        <v>PO BOX 49</v>
      </c>
      <c r="H14094" t="str">
        <f>T("NAS JACKSONVILLE")</f>
        <v>NAS JACKSONVILLE</v>
      </c>
      <c r="I14094" t="str">
        <f>T("JACKSONVILLE")</f>
        <v>JACKSONVILLE</v>
      </c>
      <c r="J14094" t="str">
        <f>T("FL")</f>
        <v>FL</v>
      </c>
      <c r="K14094" t="str">
        <f>T("")</f>
        <v/>
      </c>
      <c r="L14094" t="str">
        <f>T("9045424775")</f>
        <v>9045424775</v>
      </c>
    </row>
    <row r="14095" spans="1:12" x14ac:dyDescent="0.35">
      <c r="A14095" t="str">
        <f t="shared" si="5224"/>
        <v>MARITIME SUPPORT WING</v>
      </c>
      <c r="B14095" t="str">
        <f>T("PO BOX 49")</f>
        <v>PO BOX 49</v>
      </c>
      <c r="C14095" t="str">
        <f>T("NAS JACKSONVILLE")</f>
        <v>NAS JACKSONVILLE</v>
      </c>
      <c r="D14095" t="str">
        <f>T("JACKSONVILLE")</f>
        <v>JACKSONVILLE</v>
      </c>
      <c r="E14095" t="str">
        <f>T("FL")</f>
        <v>FL</v>
      </c>
      <c r="F14095" t="str">
        <f>T("322120049")</f>
        <v>322120049</v>
      </c>
      <c r="G14095" t="str">
        <f>T("VP 62")</f>
        <v>VP 62</v>
      </c>
      <c r="H14095" t="str">
        <f>T("HANGAR 1000 SEGEMENT 1")</f>
        <v>HANGAR 1000 SEGEMENT 1</v>
      </c>
      <c r="I14095" t="str">
        <f>T("JACKSONVILLE")</f>
        <v>JACKSONVILLE</v>
      </c>
      <c r="J14095" t="str">
        <f>T("FL")</f>
        <v>FL</v>
      </c>
      <c r="K14095" t="str">
        <f>T("000000000000000000")</f>
        <v>000000000000000000</v>
      </c>
      <c r="L14095" t="str">
        <f>T("9045424399")</f>
        <v>9045424399</v>
      </c>
    </row>
    <row r="14096" spans="1:12" x14ac:dyDescent="0.35">
      <c r="A14096" t="str">
        <f t="shared" si="5224"/>
        <v>MARITIME SUPPORT WING</v>
      </c>
      <c r="B14096" t="str">
        <f>T("VP-69 BLDG 2681")</f>
        <v>VP-69 BLDG 2681</v>
      </c>
      <c r="C14096" t="str">
        <f>T("810 N RANDOLPH ST HANGAR 9")</f>
        <v>810 N RANDOLPH ST HANGAR 9</v>
      </c>
      <c r="D14096" t="str">
        <f>T("OAK HARBOR")</f>
        <v>OAK HARBOR</v>
      </c>
      <c r="E14096" t="str">
        <f>T("WA")</f>
        <v>WA</v>
      </c>
      <c r="F14096" t="str">
        <f>T("982780001")</f>
        <v>982780001</v>
      </c>
      <c r="G14096" t="str">
        <f>T("810 N RANDOLPH ST")</f>
        <v>810 N RANDOLPH ST</v>
      </c>
      <c r="H14096" t="str">
        <f>T("")</f>
        <v/>
      </c>
      <c r="I14096" t="str">
        <f>T("OAK HARBOR")</f>
        <v>OAK HARBOR</v>
      </c>
      <c r="J14096" t="str">
        <f>T("WA")</f>
        <v>WA</v>
      </c>
      <c r="K14096" t="str">
        <f>T("000000000000000000")</f>
        <v>000000000000000000</v>
      </c>
      <c r="L14096" t="str">
        <f>T("3602574756")</f>
        <v>3602574756</v>
      </c>
    </row>
    <row r="14097" spans="1:12" x14ac:dyDescent="0.35">
      <c r="A14097" t="str">
        <f t="shared" si="5224"/>
        <v>MARITIME SUPPORT WING</v>
      </c>
      <c r="B14097" t="str">
        <f>T("VP-69 BLDG 2681")</f>
        <v>VP-69 BLDG 2681</v>
      </c>
      <c r="C14097" t="str">
        <f>T("810 N RANDOLPH ST HANGAR 9")</f>
        <v>810 N RANDOLPH ST HANGAR 9</v>
      </c>
      <c r="D14097" t="str">
        <f>T("OAK HARBOR")</f>
        <v>OAK HARBOR</v>
      </c>
      <c r="E14097" t="str">
        <f>T("WA")</f>
        <v>WA</v>
      </c>
      <c r="F14097" t="str">
        <f>T("982780001")</f>
        <v>982780001</v>
      </c>
      <c r="G14097" t="str">
        <f>T("VP-69 BLDG 2681")</f>
        <v>VP-69 BLDG 2681</v>
      </c>
      <c r="H14097" t="str">
        <f>T("810 N RANDOLPH ST HANGAR 9")</f>
        <v>810 N RANDOLPH ST HANGAR 9</v>
      </c>
      <c r="I14097" t="str">
        <f>T("OAK HARBOR")</f>
        <v>OAK HARBOR</v>
      </c>
      <c r="J14097" t="str">
        <f>T("WA")</f>
        <v>WA</v>
      </c>
      <c r="K14097" t="str">
        <f>T("3602574626")</f>
        <v>3602574626</v>
      </c>
      <c r="L14097" t="str">
        <f>T("3602574626")</f>
        <v>3602574626</v>
      </c>
    </row>
    <row r="14098" spans="1:12" x14ac:dyDescent="0.35">
      <c r="A14098" t="str">
        <f t="shared" si="5224"/>
        <v>MARITIME SUPPORT WING</v>
      </c>
      <c r="B14098" t="str">
        <f>T("VP-69 BLDG 2681")</f>
        <v>VP-69 BLDG 2681</v>
      </c>
      <c r="C14098" t="str">
        <f>T("810 N RANDOLPH ST HANGAR 9")</f>
        <v>810 N RANDOLPH ST HANGAR 9</v>
      </c>
      <c r="D14098" t="str">
        <f>T("OAK HARBOR")</f>
        <v>OAK HARBOR</v>
      </c>
      <c r="E14098" t="str">
        <f>T("WA")</f>
        <v>WA</v>
      </c>
      <c r="F14098" t="str">
        <f>T("982780001")</f>
        <v>982780001</v>
      </c>
      <c r="G14098" t="str">
        <f>T("VP-69 BLDG 2681")</f>
        <v>VP-69 BLDG 2681</v>
      </c>
      <c r="H14098" t="str">
        <f>T("810 N RANDOLPH ST HANGAR 9")</f>
        <v>810 N RANDOLPH ST HANGAR 9</v>
      </c>
      <c r="I14098" t="str">
        <f>T("OAK HARBOR")</f>
        <v>OAK HARBOR</v>
      </c>
      <c r="J14098" t="str">
        <f>T("WA")</f>
        <v>WA</v>
      </c>
      <c r="K14098" t="str">
        <f>T("3602674627")</f>
        <v>3602674627</v>
      </c>
      <c r="L14098" t="str">
        <f>T("3602575746")</f>
        <v>3602575746</v>
      </c>
    </row>
    <row r="14099" spans="1:12" x14ac:dyDescent="0.35">
      <c r="A14099" t="str">
        <f t="shared" ref="A14099:A14104" si="5225">T("COMNAVRESFORCOM LOGISTICS")</f>
        <v>COMNAVRESFORCOM LOGISTICS</v>
      </c>
      <c r="B14099" t="str">
        <f t="shared" ref="B14099:B14104" si="5226">T("1915 FORRESTAL DR")</f>
        <v>1915 FORRESTAL DR</v>
      </c>
      <c r="C14099" t="str">
        <f t="shared" ref="C14099:C14104" si="5227">T("NSA BUILDING NH-32")</f>
        <v>NSA BUILDING NH-32</v>
      </c>
      <c r="D14099" t="str">
        <f t="shared" ref="D14099:D14104" si="5228">T("NORFOLK")</f>
        <v>NORFOLK</v>
      </c>
      <c r="E14099" t="str">
        <f t="shared" ref="E14099:E14104" si="5229">T("VA")</f>
        <v>VA</v>
      </c>
      <c r="F14099" t="str">
        <f t="shared" ref="F14099:F14104" si="5230">T("235514615")</f>
        <v>235514615</v>
      </c>
      <c r="G14099" t="str">
        <f>T("1915 FORRESTAL DR")</f>
        <v>1915 FORRESTAL DR</v>
      </c>
      <c r="H14099" t="str">
        <f>T("NSA BUILDING NH-32")</f>
        <v>NSA BUILDING NH-32</v>
      </c>
      <c r="I14099" t="str">
        <f t="shared" ref="I14099:I14104" si="5231">T("NORFOLK")</f>
        <v>NORFOLK</v>
      </c>
      <c r="J14099" t="str">
        <f t="shared" ref="J14099:J14104" si="5232">T("VA")</f>
        <v>VA</v>
      </c>
      <c r="K14099" t="str">
        <f>T("7574447622")</f>
        <v>7574447622</v>
      </c>
      <c r="L14099" t="str">
        <f>T("7573226555")</f>
        <v>7573226555</v>
      </c>
    </row>
    <row r="14100" spans="1:12" x14ac:dyDescent="0.35">
      <c r="A14100" t="str">
        <f t="shared" si="5225"/>
        <v>COMNAVRESFORCOM LOGISTICS</v>
      </c>
      <c r="B14100" t="str">
        <f t="shared" si="5226"/>
        <v>1915 FORRESTAL DR</v>
      </c>
      <c r="C14100" t="str">
        <f t="shared" si="5227"/>
        <v>NSA BUILDING NH-32</v>
      </c>
      <c r="D14100" t="str">
        <f t="shared" si="5228"/>
        <v>NORFOLK</v>
      </c>
      <c r="E14100" t="str">
        <f t="shared" si="5229"/>
        <v>VA</v>
      </c>
      <c r="F14100" t="str">
        <f t="shared" si="5230"/>
        <v>235514615</v>
      </c>
      <c r="G14100" t="str">
        <f>T("1915 FORRESTAL DRIVE")</f>
        <v>1915 FORRESTAL DRIVE</v>
      </c>
      <c r="H14100" t="str">
        <f>T("BLDG NH-32")</f>
        <v>BLDG NH-32</v>
      </c>
      <c r="I14100" t="str">
        <f t="shared" si="5231"/>
        <v>NORFOLK</v>
      </c>
      <c r="J14100" t="str">
        <f t="shared" si="5232"/>
        <v>VA</v>
      </c>
      <c r="K14100" t="str">
        <f t="shared" ref="K14100:K14105" si="5233">T("000000000000000000")</f>
        <v>000000000000000000</v>
      </c>
      <c r="L14100" t="str">
        <f>T("7573226555")</f>
        <v>7573226555</v>
      </c>
    </row>
    <row r="14101" spans="1:12" x14ac:dyDescent="0.35">
      <c r="A14101" t="str">
        <f t="shared" si="5225"/>
        <v>COMNAVRESFORCOM LOGISTICS</v>
      </c>
      <c r="B14101" t="str">
        <f t="shared" si="5226"/>
        <v>1915 FORRESTAL DR</v>
      </c>
      <c r="C14101" t="str">
        <f t="shared" si="5227"/>
        <v>NSA BUILDING NH-32</v>
      </c>
      <c r="D14101" t="str">
        <f t="shared" si="5228"/>
        <v>NORFOLK</v>
      </c>
      <c r="E14101" t="str">
        <f t="shared" si="5229"/>
        <v>VA</v>
      </c>
      <c r="F14101" t="str">
        <f t="shared" si="5230"/>
        <v>235514615</v>
      </c>
      <c r="G14101" t="str">
        <f>T("1915 FORRESTAL DRIVE")</f>
        <v>1915 FORRESTAL DRIVE</v>
      </c>
      <c r="H14101" t="str">
        <f>T("BLDG NH-32")</f>
        <v>BLDG NH-32</v>
      </c>
      <c r="I14101" t="str">
        <f t="shared" si="5231"/>
        <v>NORFOLK</v>
      </c>
      <c r="J14101" t="str">
        <f t="shared" si="5232"/>
        <v>VA</v>
      </c>
      <c r="K14101" t="str">
        <f t="shared" si="5233"/>
        <v>000000000000000000</v>
      </c>
      <c r="L14101" t="str">
        <f>T("7573226589")</f>
        <v>7573226589</v>
      </c>
    </row>
    <row r="14102" spans="1:12" x14ac:dyDescent="0.35">
      <c r="A14102" t="str">
        <f t="shared" si="5225"/>
        <v>COMNAVRESFORCOM LOGISTICS</v>
      </c>
      <c r="B14102" t="str">
        <f t="shared" si="5226"/>
        <v>1915 FORRESTAL DR</v>
      </c>
      <c r="C14102" t="str">
        <f t="shared" si="5227"/>
        <v>NSA BUILDING NH-32</v>
      </c>
      <c r="D14102" t="str">
        <f t="shared" si="5228"/>
        <v>NORFOLK</v>
      </c>
      <c r="E14102" t="str">
        <f t="shared" si="5229"/>
        <v>VA</v>
      </c>
      <c r="F14102" t="str">
        <f t="shared" si="5230"/>
        <v>235514615</v>
      </c>
      <c r="G14102" t="str">
        <f>T("1915 FORRESTAL DRIVE")</f>
        <v>1915 FORRESTAL DRIVE</v>
      </c>
      <c r="H14102" t="str">
        <f>T("BLDG NH-32")</f>
        <v>BLDG NH-32</v>
      </c>
      <c r="I14102" t="str">
        <f t="shared" si="5231"/>
        <v>NORFOLK</v>
      </c>
      <c r="J14102" t="str">
        <f t="shared" si="5232"/>
        <v>VA</v>
      </c>
      <c r="K14102" t="str">
        <f t="shared" si="5233"/>
        <v>000000000000000000</v>
      </c>
      <c r="L14102" t="str">
        <f>T("7573226671")</f>
        <v>7573226671</v>
      </c>
    </row>
    <row r="14103" spans="1:12" x14ac:dyDescent="0.35">
      <c r="A14103" t="str">
        <f t="shared" si="5225"/>
        <v>COMNAVRESFORCOM LOGISTICS</v>
      </c>
      <c r="B14103" t="str">
        <f t="shared" si="5226"/>
        <v>1915 FORRESTAL DR</v>
      </c>
      <c r="C14103" t="str">
        <f t="shared" si="5227"/>
        <v>NSA BUILDING NH-32</v>
      </c>
      <c r="D14103" t="str">
        <f t="shared" si="5228"/>
        <v>NORFOLK</v>
      </c>
      <c r="E14103" t="str">
        <f t="shared" si="5229"/>
        <v>VA</v>
      </c>
      <c r="F14103" t="str">
        <f t="shared" si="5230"/>
        <v>235514615</v>
      </c>
      <c r="G14103" t="str">
        <f>T("1915 FORRESTAL DRIVE")</f>
        <v>1915 FORRESTAL DRIVE</v>
      </c>
      <c r="H14103" t="str">
        <f>T("NSA BLDG NH-32")</f>
        <v>NSA BLDG NH-32</v>
      </c>
      <c r="I14103" t="str">
        <f t="shared" si="5231"/>
        <v>NORFOLK</v>
      </c>
      <c r="J14103" t="str">
        <f t="shared" si="5232"/>
        <v>VA</v>
      </c>
      <c r="K14103" t="str">
        <f t="shared" si="5233"/>
        <v>000000000000000000</v>
      </c>
      <c r="L14103" t="str">
        <f>T("7573226547")</f>
        <v>7573226547</v>
      </c>
    </row>
    <row r="14104" spans="1:12" x14ac:dyDescent="0.35">
      <c r="A14104" t="str">
        <f t="shared" si="5225"/>
        <v>COMNAVRESFORCOM LOGISTICS</v>
      </c>
      <c r="B14104" t="str">
        <f t="shared" si="5226"/>
        <v>1915 FORRESTAL DR</v>
      </c>
      <c r="C14104" t="str">
        <f t="shared" si="5227"/>
        <v>NSA BUILDING NH-32</v>
      </c>
      <c r="D14104" t="str">
        <f t="shared" si="5228"/>
        <v>NORFOLK</v>
      </c>
      <c r="E14104" t="str">
        <f t="shared" si="5229"/>
        <v>VA</v>
      </c>
      <c r="F14104" t="str">
        <f t="shared" si="5230"/>
        <v>235514615</v>
      </c>
      <c r="G14104" t="str">
        <f>T("1915 FORRESTAL DRIVE")</f>
        <v>1915 FORRESTAL DRIVE</v>
      </c>
      <c r="H14104" t="str">
        <f>T("NSA BLDG NH-32")</f>
        <v>NSA BLDG NH-32</v>
      </c>
      <c r="I14104" t="str">
        <f t="shared" si="5231"/>
        <v>NORFOLK</v>
      </c>
      <c r="J14104" t="str">
        <f t="shared" si="5232"/>
        <v>VA</v>
      </c>
      <c r="K14104" t="str">
        <f t="shared" si="5233"/>
        <v>000000000000000000</v>
      </c>
      <c r="L14104" t="str">
        <f>T("7573226644")</f>
        <v>7573226644</v>
      </c>
    </row>
    <row r="14105" spans="1:12" x14ac:dyDescent="0.35">
      <c r="A14105" t="str">
        <f t="shared" ref="A14105:A14110" si="5234">T("NAF WASHINGTON")</f>
        <v>NAF WASHINGTON</v>
      </c>
      <c r="B14105" t="str">
        <f>T("1 SAN DIEGO LOOP")</f>
        <v>1 SAN DIEGO LOOP</v>
      </c>
      <c r="C14105" t="str">
        <f>T("BLDG 3282")</f>
        <v>BLDG 3282</v>
      </c>
      <c r="D14105" t="str">
        <f>T("JB ANDREWS")</f>
        <v>JB ANDREWS</v>
      </c>
      <c r="E14105" t="str">
        <f t="shared" ref="E14105:E14110" si="5235">T("MD")</f>
        <v>MD</v>
      </c>
      <c r="F14105" t="str">
        <f t="shared" ref="F14105:F14110" si="5236">T("207625518")</f>
        <v>207625518</v>
      </c>
      <c r="G14105" t="str">
        <f>T("1 SAN DIEGO LOOP")</f>
        <v>1 SAN DIEGO LOOP</v>
      </c>
      <c r="H14105" t="str">
        <f>T("")</f>
        <v/>
      </c>
      <c r="I14105" t="str">
        <f>T("JOINT BASE ANDREWS")</f>
        <v>JOINT BASE ANDREWS</v>
      </c>
      <c r="J14105" t="str">
        <f t="shared" ref="J14105:J14110" si="5237">T("MD")</f>
        <v>MD</v>
      </c>
      <c r="K14105" t="str">
        <f t="shared" si="5233"/>
        <v>000000000000000000</v>
      </c>
      <c r="L14105" t="str">
        <f>T("2408570981")</f>
        <v>2408570981</v>
      </c>
    </row>
    <row r="14106" spans="1:12" x14ac:dyDescent="0.35">
      <c r="A14106" t="str">
        <f t="shared" si="5234"/>
        <v>NAF WASHINGTON</v>
      </c>
      <c r="B14106" t="str">
        <f>T("1 SAN DIEGO LOOP")</f>
        <v>1 SAN DIEGO LOOP</v>
      </c>
      <c r="C14106" t="str">
        <f>T("BLDG 3282")</f>
        <v>BLDG 3282</v>
      </c>
      <c r="D14106" t="str">
        <f>T("JB ANDREWS")</f>
        <v>JB ANDREWS</v>
      </c>
      <c r="E14106" t="str">
        <f t="shared" si="5235"/>
        <v>MD</v>
      </c>
      <c r="F14106" t="str">
        <f t="shared" si="5236"/>
        <v>207625518</v>
      </c>
      <c r="G14106" t="str">
        <f>T("1 SAN DIEGO LOOP")</f>
        <v>1 SAN DIEGO LOOP</v>
      </c>
      <c r="H14106" t="str">
        <f>T("BLDG 3282")</f>
        <v>BLDG 3282</v>
      </c>
      <c r="I14106" t="str">
        <f>T("JB ANDREWS")</f>
        <v>JB ANDREWS</v>
      </c>
      <c r="J14106" t="str">
        <f t="shared" si="5237"/>
        <v>MD</v>
      </c>
      <c r="K14106" t="str">
        <f>T("240 857 5845")</f>
        <v>240 857 5845</v>
      </c>
      <c r="L14106" t="str">
        <f>T("2408574933")</f>
        <v>2408574933</v>
      </c>
    </row>
    <row r="14107" spans="1:12" x14ac:dyDescent="0.35">
      <c r="A14107" t="str">
        <f t="shared" si="5234"/>
        <v>NAF WASHINGTON</v>
      </c>
      <c r="B14107" t="str">
        <f>T("1 SAN DIEGO LOOP")</f>
        <v>1 SAN DIEGO LOOP</v>
      </c>
      <c r="C14107" t="str">
        <f>T("BLDG 3282")</f>
        <v>BLDG 3282</v>
      </c>
      <c r="D14107" t="str">
        <f>T("JB ANDREWS")</f>
        <v>JB ANDREWS</v>
      </c>
      <c r="E14107" t="str">
        <f t="shared" si="5235"/>
        <v>MD</v>
      </c>
      <c r="F14107" t="str">
        <f t="shared" si="5236"/>
        <v>207625518</v>
      </c>
      <c r="G14107" t="str">
        <f>T("1 SAN DIEGO LOOP BLDG 3198")</f>
        <v>1 SAN DIEGO LOOP BLDG 3198</v>
      </c>
      <c r="H14107" t="str">
        <f>T("")</f>
        <v/>
      </c>
      <c r="I14107" t="str">
        <f>T("JB ANDREWS")</f>
        <v>JB ANDREWS</v>
      </c>
      <c r="J14107" t="str">
        <f t="shared" si="5237"/>
        <v>MD</v>
      </c>
      <c r="K14107" t="str">
        <f>T("000000000000000000")</f>
        <v>000000000000000000</v>
      </c>
      <c r="L14107" t="str">
        <f>T("2408570981")</f>
        <v>2408570981</v>
      </c>
    </row>
    <row r="14108" spans="1:12" x14ac:dyDescent="0.35">
      <c r="A14108" t="str">
        <f t="shared" si="5234"/>
        <v>NAF WASHINGTON</v>
      </c>
      <c r="B14108" t="str">
        <f>T("1 SAN DIEGO LOOP")</f>
        <v>1 SAN DIEGO LOOP</v>
      </c>
      <c r="C14108" t="str">
        <f>T("BLDG 3282")</f>
        <v>BLDG 3282</v>
      </c>
      <c r="D14108" t="str">
        <f>T("JB ANDREWS")</f>
        <v>JB ANDREWS</v>
      </c>
      <c r="E14108" t="str">
        <f t="shared" si="5235"/>
        <v>MD</v>
      </c>
      <c r="F14108" t="str">
        <f t="shared" si="5236"/>
        <v>207625518</v>
      </c>
      <c r="G14108" t="str">
        <f>T("1 SAN DIEGO LOOP BLDG 3198")</f>
        <v>1 SAN DIEGO LOOP BLDG 3198</v>
      </c>
      <c r="H14108" t="str">
        <f>T("")</f>
        <v/>
      </c>
      <c r="I14108" t="str">
        <f>T("JOINT BASE ANDREWS")</f>
        <v>JOINT BASE ANDREWS</v>
      </c>
      <c r="J14108" t="str">
        <f t="shared" si="5237"/>
        <v>MD</v>
      </c>
      <c r="K14108" t="str">
        <f>T("000000000000000000")</f>
        <v>000000000000000000</v>
      </c>
      <c r="L14108" t="str">
        <f>T("2408570981")</f>
        <v>2408570981</v>
      </c>
    </row>
    <row r="14109" spans="1:12" x14ac:dyDescent="0.35">
      <c r="A14109" t="str">
        <f t="shared" si="5234"/>
        <v>NAF WASHINGTON</v>
      </c>
      <c r="B14109" t="str">
        <f>T("ONE SAN DIEGO LOOP")</f>
        <v>ONE SAN DIEGO LOOP</v>
      </c>
      <c r="C14109" t="str">
        <f>T("BLDG 3198")</f>
        <v>BLDG 3198</v>
      </c>
      <c r="D14109" t="str">
        <f>T("JOINT BASE ANDREWS")</f>
        <v>JOINT BASE ANDREWS</v>
      </c>
      <c r="E14109" t="str">
        <f t="shared" si="5235"/>
        <v>MD</v>
      </c>
      <c r="F14109" t="str">
        <f t="shared" si="5236"/>
        <v>207625518</v>
      </c>
      <c r="G14109" t="str">
        <f>T("ONE SAN DIEGO LOOP")</f>
        <v>ONE SAN DIEGO LOOP</v>
      </c>
      <c r="H14109" t="str">
        <f>T("BLDG 3198")</f>
        <v>BLDG 3198</v>
      </c>
      <c r="I14109" t="str">
        <f>T("JOINT BASE ANDREWS")</f>
        <v>JOINT BASE ANDREWS</v>
      </c>
      <c r="J14109" t="str">
        <f t="shared" si="5237"/>
        <v>MD</v>
      </c>
      <c r="K14109" t="str">
        <f>T("000000000000000000")</f>
        <v>000000000000000000</v>
      </c>
      <c r="L14109" t="str">
        <f>T("2408576227")</f>
        <v>2408576227</v>
      </c>
    </row>
    <row r="14110" spans="1:12" x14ac:dyDescent="0.35">
      <c r="A14110" t="str">
        <f t="shared" si="5234"/>
        <v>NAF WASHINGTON</v>
      </c>
      <c r="B14110" t="str">
        <f>T("ONE SAN DIEGO LOOP BLDG 3198")</f>
        <v>ONE SAN DIEGO LOOP BLDG 3198</v>
      </c>
      <c r="C14110" t="str">
        <f t="shared" ref="C14110:C14122" si="5238">T("")</f>
        <v/>
      </c>
      <c r="D14110" t="str">
        <f>T("JOINT BASE ANDREWS")</f>
        <v>JOINT BASE ANDREWS</v>
      </c>
      <c r="E14110" t="str">
        <f t="shared" si="5235"/>
        <v>MD</v>
      </c>
      <c r="F14110" t="str">
        <f t="shared" si="5236"/>
        <v>207625518</v>
      </c>
      <c r="G14110" t="str">
        <f>T("ONE SAN DIEGO LOOP BLDG 3198")</f>
        <v>ONE SAN DIEGO LOOP BLDG 3198</v>
      </c>
      <c r="H14110" t="str">
        <f t="shared" ref="H14110:H14122" si="5239">T("")</f>
        <v/>
      </c>
      <c r="I14110" t="str">
        <f>T("JOINT BASE ANDREWS")</f>
        <v>JOINT BASE ANDREWS</v>
      </c>
      <c r="J14110" t="str">
        <f t="shared" si="5237"/>
        <v>MD</v>
      </c>
      <c r="K14110" t="str">
        <f>T("000000000000000000")</f>
        <v>000000000000000000</v>
      </c>
      <c r="L14110" t="str">
        <f>T("2408576227")</f>
        <v>2408576227</v>
      </c>
    </row>
    <row r="14111" spans="1:12" x14ac:dyDescent="0.35">
      <c r="A14111" t="str">
        <f t="shared" ref="A14111:A14142" si="5240">T("RCC MID-ATLANTIC GREAT LAKES")</f>
        <v>RCC MID-ATLANTIC GREAT LAKES</v>
      </c>
      <c r="B14111" t="str">
        <f>T("10810 LAMBERT INTERNATIONAL DR")</f>
        <v>10810 LAMBERT INTERNATIONAL DR</v>
      </c>
      <c r="C14111" t="str">
        <f t="shared" si="5238"/>
        <v/>
      </c>
      <c r="D14111" t="str">
        <f>T("BRIDGETON")</f>
        <v>BRIDGETON</v>
      </c>
      <c r="E14111" t="str">
        <f>T("MO")</f>
        <v>MO</v>
      </c>
      <c r="F14111" t="str">
        <f>T("630442314")</f>
        <v>630442314</v>
      </c>
      <c r="G14111" t="str">
        <f>T("10810 LAMBERT INTERNATIONAL DR")</f>
        <v>10810 LAMBERT INTERNATIONAL DR</v>
      </c>
      <c r="H14111" t="str">
        <f t="shared" si="5239"/>
        <v/>
      </c>
      <c r="I14111" t="str">
        <f>T("BRIDGETON")</f>
        <v>BRIDGETON</v>
      </c>
      <c r="J14111" t="str">
        <f>T("MO")</f>
        <v>MO</v>
      </c>
      <c r="K14111" t="str">
        <f>T("")</f>
        <v/>
      </c>
      <c r="L14111" t="str">
        <f>T("3145249502")</f>
        <v>3145249502</v>
      </c>
    </row>
    <row r="14112" spans="1:12" x14ac:dyDescent="0.35">
      <c r="A14112" t="str">
        <f t="shared" si="5240"/>
        <v>RCC MID-ATLANTIC GREAT LAKES</v>
      </c>
      <c r="B14112" t="str">
        <f>T("111 ARMY NAVY DRIVE")</f>
        <v>111 ARMY NAVY DRIVE</v>
      </c>
      <c r="C14112" t="str">
        <f t="shared" si="5238"/>
        <v/>
      </c>
      <c r="D14112" t="str">
        <f>T("ELEANOR")</f>
        <v>ELEANOR</v>
      </c>
      <c r="E14112" t="str">
        <f>T("WV")</f>
        <v>WV</v>
      </c>
      <c r="F14112" t="str">
        <f>T("250700000")</f>
        <v>250700000</v>
      </c>
      <c r="G14112" t="str">
        <f>T("111 ARMY NAVY DR")</f>
        <v>111 ARMY NAVY DR</v>
      </c>
      <c r="H14112" t="str">
        <f t="shared" si="5239"/>
        <v/>
      </c>
      <c r="I14112" t="str">
        <f>T("RED HOUSE")</f>
        <v>RED HOUSE</v>
      </c>
      <c r="J14112" t="str">
        <f>T("WV")</f>
        <v>WV</v>
      </c>
      <c r="K14112" t="str">
        <f t="shared" ref="K14112:K14120" si="5241">T("000000000000000000")</f>
        <v>000000000000000000</v>
      </c>
      <c r="L14112" t="str">
        <f>T("3045860326")</f>
        <v>3045860326</v>
      </c>
    </row>
    <row r="14113" spans="1:12" x14ac:dyDescent="0.35">
      <c r="A14113" t="str">
        <f t="shared" si="5240"/>
        <v>RCC MID-ATLANTIC GREAT LAKES</v>
      </c>
      <c r="B14113" t="str">
        <f>T("111 ARMY NAVY DRIVE")</f>
        <v>111 ARMY NAVY DRIVE</v>
      </c>
      <c r="C14113" t="str">
        <f t="shared" si="5238"/>
        <v/>
      </c>
      <c r="D14113" t="str">
        <f>T("ELEANOR")</f>
        <v>ELEANOR</v>
      </c>
      <c r="E14113" t="str">
        <f>T("WV")</f>
        <v>WV</v>
      </c>
      <c r="F14113" t="str">
        <f>T("250700000")</f>
        <v>250700000</v>
      </c>
      <c r="G14113" t="str">
        <f>T("111 ARMY NAVY DRIVE")</f>
        <v>111 ARMY NAVY DRIVE</v>
      </c>
      <c r="H14113" t="str">
        <f t="shared" si="5239"/>
        <v/>
      </c>
      <c r="I14113" t="str">
        <f>T("ELEANOR")</f>
        <v>ELEANOR</v>
      </c>
      <c r="J14113" t="str">
        <f>T("WV")</f>
        <v>WV</v>
      </c>
      <c r="K14113" t="str">
        <f t="shared" si="5241"/>
        <v>000000000000000000</v>
      </c>
      <c r="L14113" t="str">
        <f>T("3045860326")</f>
        <v>3045860326</v>
      </c>
    </row>
    <row r="14114" spans="1:12" x14ac:dyDescent="0.35">
      <c r="A14114" t="str">
        <f t="shared" si="5240"/>
        <v>RCC MID-ATLANTIC GREAT LAKES</v>
      </c>
      <c r="B14114" t="str">
        <f>T("1200 NAVY YARD WAY RD")</f>
        <v>1200 NAVY YARD WAY RD</v>
      </c>
      <c r="C14114" t="str">
        <f t="shared" si="5238"/>
        <v/>
      </c>
      <c r="D14114" t="str">
        <f>T("AVOCA")</f>
        <v>AVOCA</v>
      </c>
      <c r="E14114" t="str">
        <f t="shared" ref="E14114:E14120" si="5242">T("PA")</f>
        <v>PA</v>
      </c>
      <c r="F14114" t="str">
        <f>T("186412222")</f>
        <v>186412222</v>
      </c>
      <c r="G14114" t="str">
        <f>T("1200 NAVY WAY RD")</f>
        <v>1200 NAVY WAY RD</v>
      </c>
      <c r="H14114" t="str">
        <f t="shared" si="5239"/>
        <v/>
      </c>
      <c r="I14114" t="str">
        <f>T("AVOCA")</f>
        <v>AVOCA</v>
      </c>
      <c r="J14114" t="str">
        <f t="shared" ref="J14114:J14120" si="5243">T("PA")</f>
        <v>PA</v>
      </c>
      <c r="K14114" t="str">
        <f t="shared" si="5241"/>
        <v>000000000000000000</v>
      </c>
      <c r="L14114" t="str">
        <f>T("5704578430")</f>
        <v>5704578430</v>
      </c>
    </row>
    <row r="14115" spans="1:12" x14ac:dyDescent="0.35">
      <c r="A14115" t="str">
        <f t="shared" si="5240"/>
        <v>RCC MID-ATLANTIC GREAT LAKES</v>
      </c>
      <c r="B14115" t="str">
        <f>T("1200 NAVY YARD WAY RD")</f>
        <v>1200 NAVY YARD WAY RD</v>
      </c>
      <c r="C14115" t="str">
        <f t="shared" si="5238"/>
        <v/>
      </c>
      <c r="D14115" t="str">
        <f>T("AVOCA")</f>
        <v>AVOCA</v>
      </c>
      <c r="E14115" t="str">
        <f t="shared" si="5242"/>
        <v>PA</v>
      </c>
      <c r="F14115" t="str">
        <f>T("186412222")</f>
        <v>186412222</v>
      </c>
      <c r="G14115" t="str">
        <f>T("1200 NAVY YARD WAY RD")</f>
        <v>1200 NAVY YARD WAY RD</v>
      </c>
      <c r="H14115" t="str">
        <f t="shared" si="5239"/>
        <v/>
      </c>
      <c r="I14115" t="str">
        <f>T("AVOCA")</f>
        <v>AVOCA</v>
      </c>
      <c r="J14115" t="str">
        <f t="shared" si="5243"/>
        <v>PA</v>
      </c>
      <c r="K14115" t="str">
        <f t="shared" si="5241"/>
        <v>000000000000000000</v>
      </c>
      <c r="L14115" t="str">
        <f>T("5703138041")</f>
        <v>5703138041</v>
      </c>
    </row>
    <row r="14116" spans="1:12" x14ac:dyDescent="0.35">
      <c r="A14116" t="str">
        <f t="shared" si="5240"/>
        <v>RCC MID-ATLANTIC GREAT LAKES</v>
      </c>
      <c r="B14116" t="str">
        <f>T("125 ROCKY LAND")</f>
        <v>125 ROCKY LAND</v>
      </c>
      <c r="C14116" t="str">
        <f t="shared" si="5238"/>
        <v/>
      </c>
      <c r="D14116" t="str">
        <f>T("CORAOPOLIS")</f>
        <v>CORAOPOLIS</v>
      </c>
      <c r="E14116" t="str">
        <f t="shared" si="5242"/>
        <v>PA</v>
      </c>
      <c r="F14116" t="str">
        <f>T("151080000")</f>
        <v>151080000</v>
      </c>
      <c r="G14116" t="str">
        <f>T("125 ROCKY LAND")</f>
        <v>125 ROCKY LAND</v>
      </c>
      <c r="H14116" t="str">
        <f t="shared" si="5239"/>
        <v/>
      </c>
      <c r="I14116" t="str">
        <f>T("CORAOPOLIS")</f>
        <v>CORAOPOLIS</v>
      </c>
      <c r="J14116" t="str">
        <f t="shared" si="5243"/>
        <v>PA</v>
      </c>
      <c r="K14116" t="str">
        <f t="shared" si="5241"/>
        <v>000000000000000000</v>
      </c>
      <c r="L14116" t="str">
        <f>T("4129060785")</f>
        <v>4129060785</v>
      </c>
    </row>
    <row r="14117" spans="1:12" x14ac:dyDescent="0.35">
      <c r="A14117" t="str">
        <f t="shared" si="5240"/>
        <v>RCC MID-ATLANTIC GREAT LAKES</v>
      </c>
      <c r="B14117" t="str">
        <f>T("125 ROCKY LAND")</f>
        <v>125 ROCKY LAND</v>
      </c>
      <c r="C14117" t="str">
        <f t="shared" si="5238"/>
        <v/>
      </c>
      <c r="D14117" t="str">
        <f>T("CORAOPOLIS")</f>
        <v>CORAOPOLIS</v>
      </c>
      <c r="E14117" t="str">
        <f t="shared" si="5242"/>
        <v>PA</v>
      </c>
      <c r="F14117" t="str">
        <f>T("151080000")</f>
        <v>151080000</v>
      </c>
      <c r="G14117" t="str">
        <f>T("1265 ROCKY LANE")</f>
        <v>1265 ROCKY LANE</v>
      </c>
      <c r="H14117" t="str">
        <f t="shared" si="5239"/>
        <v/>
      </c>
      <c r="I14117" t="str">
        <f>T("MOON TOWNSHIP")</f>
        <v>MOON TOWNSHIP</v>
      </c>
      <c r="J14117" t="str">
        <f t="shared" si="5243"/>
        <v>PA</v>
      </c>
      <c r="K14117" t="str">
        <f t="shared" si="5241"/>
        <v>000000000000000000</v>
      </c>
      <c r="L14117" t="str">
        <f>T("4177764008")</f>
        <v>4177764008</v>
      </c>
    </row>
    <row r="14118" spans="1:12" x14ac:dyDescent="0.35">
      <c r="A14118" t="str">
        <f t="shared" si="5240"/>
        <v>RCC MID-ATLANTIC GREAT LAKES</v>
      </c>
      <c r="B14118" t="str">
        <f>T("125 ROCKY LAND")</f>
        <v>125 ROCKY LAND</v>
      </c>
      <c r="C14118" t="str">
        <f t="shared" si="5238"/>
        <v/>
      </c>
      <c r="D14118" t="str">
        <f>T("CORAOPOLIS")</f>
        <v>CORAOPOLIS</v>
      </c>
      <c r="E14118" t="str">
        <f t="shared" si="5242"/>
        <v>PA</v>
      </c>
      <c r="F14118" t="str">
        <f>T("151080000")</f>
        <v>151080000</v>
      </c>
      <c r="G14118" t="str">
        <f>T("1265 ROCKY LN")</f>
        <v>1265 ROCKY LN</v>
      </c>
      <c r="H14118" t="str">
        <f t="shared" si="5239"/>
        <v/>
      </c>
      <c r="I14118" t="str">
        <f>T("CORAOPOLIS")</f>
        <v>CORAOPOLIS</v>
      </c>
      <c r="J14118" t="str">
        <f t="shared" si="5243"/>
        <v>PA</v>
      </c>
      <c r="K14118" t="str">
        <f t="shared" si="5241"/>
        <v>000000000000000000</v>
      </c>
      <c r="L14118" t="str">
        <f>T("4127764008")</f>
        <v>4127764008</v>
      </c>
    </row>
    <row r="14119" spans="1:12" x14ac:dyDescent="0.35">
      <c r="A14119" t="str">
        <f t="shared" si="5240"/>
        <v>RCC MID-ATLANTIC GREAT LAKES</v>
      </c>
      <c r="B14119" t="str">
        <f>T("1400 POSTAL DR")</f>
        <v>1400 POSTAL DR</v>
      </c>
      <c r="C14119" t="str">
        <f t="shared" si="5238"/>
        <v/>
      </c>
      <c r="D14119" t="str">
        <f>T("ALLENTOWN")</f>
        <v>ALLENTOWN</v>
      </c>
      <c r="E14119" t="str">
        <f t="shared" si="5242"/>
        <v>PA</v>
      </c>
      <c r="F14119" t="str">
        <f>T("181099544")</f>
        <v>181099544</v>
      </c>
      <c r="G14119" t="str">
        <f>T("1400 POSTAL DR")</f>
        <v>1400 POSTAL DR</v>
      </c>
      <c r="H14119" t="str">
        <f t="shared" si="5239"/>
        <v/>
      </c>
      <c r="I14119" t="str">
        <f>T("ALLENTOWN")</f>
        <v>ALLENTOWN</v>
      </c>
      <c r="J14119" t="str">
        <f t="shared" si="5243"/>
        <v>PA</v>
      </c>
      <c r="K14119" t="str">
        <f t="shared" si="5241"/>
        <v>000000000000000000</v>
      </c>
      <c r="L14119" t="str">
        <f>T("6102648823")</f>
        <v>6102648823</v>
      </c>
    </row>
    <row r="14120" spans="1:12" x14ac:dyDescent="0.35">
      <c r="A14120" t="str">
        <f t="shared" si="5240"/>
        <v>RCC MID-ATLANTIC GREAT LAKES</v>
      </c>
      <c r="B14120" t="str">
        <f>T("1400 POSTAL DR")</f>
        <v>1400 POSTAL DR</v>
      </c>
      <c r="C14120" t="str">
        <f t="shared" si="5238"/>
        <v/>
      </c>
      <c r="D14120" t="str">
        <f>T("ALLENTOWN")</f>
        <v>ALLENTOWN</v>
      </c>
      <c r="E14120" t="str">
        <f t="shared" si="5242"/>
        <v>PA</v>
      </c>
      <c r="F14120" t="str">
        <f>T("181099544")</f>
        <v>181099544</v>
      </c>
      <c r="G14120" t="str">
        <f>T("1400 POSTAL ROAD")</f>
        <v>1400 POSTAL ROAD</v>
      </c>
      <c r="H14120" t="str">
        <f t="shared" si="5239"/>
        <v/>
      </c>
      <c r="I14120" t="str">
        <f>T("ALLENTOWN")</f>
        <v>ALLENTOWN</v>
      </c>
      <c r="J14120" t="str">
        <f t="shared" si="5243"/>
        <v>PA</v>
      </c>
      <c r="K14120" t="str">
        <f t="shared" si="5241"/>
        <v>000000000000000000</v>
      </c>
      <c r="L14120" t="str">
        <f>T("6102648823")</f>
        <v>6102648823</v>
      </c>
    </row>
    <row r="14121" spans="1:12" x14ac:dyDescent="0.35">
      <c r="A14121" t="str">
        <f t="shared" si="5240"/>
        <v>RCC MID-ATLANTIC GREAT LAKES</v>
      </c>
      <c r="B14121" t="str">
        <f>T("2401 S LINCOLN MEM DR")</f>
        <v>2401 S LINCOLN MEM DR</v>
      </c>
      <c r="C14121" t="str">
        <f t="shared" si="5238"/>
        <v/>
      </c>
      <c r="D14121" t="str">
        <f>T("MILWAUKEE")</f>
        <v>MILWAUKEE</v>
      </c>
      <c r="E14121" t="str">
        <f>T("WI")</f>
        <v>WI</v>
      </c>
      <c r="F14121" t="str">
        <f>T("532071901")</f>
        <v>532071901</v>
      </c>
      <c r="G14121" t="str">
        <f>T("2401 S LINCOLN MEM DR")</f>
        <v>2401 S LINCOLN MEM DR</v>
      </c>
      <c r="H14121" t="str">
        <f t="shared" si="5239"/>
        <v/>
      </c>
      <c r="I14121" t="str">
        <f>T("MILWAUKEE")</f>
        <v>MILWAUKEE</v>
      </c>
      <c r="J14121" t="str">
        <f>T("WI")</f>
        <v>WI</v>
      </c>
      <c r="K14121" t="str">
        <f>T("")</f>
        <v/>
      </c>
      <c r="L14121" t="str">
        <f>T("1111111111")</f>
        <v>1111111111</v>
      </c>
    </row>
    <row r="14122" spans="1:12" x14ac:dyDescent="0.35">
      <c r="A14122" t="str">
        <f t="shared" si="5240"/>
        <v>RCC MID-ATLANTIC GREAT LAKES</v>
      </c>
      <c r="B14122" t="str">
        <f>T("2401 S LINCOLN MEM DR")</f>
        <v>2401 S LINCOLN MEM DR</v>
      </c>
      <c r="C14122" t="str">
        <f t="shared" si="5238"/>
        <v/>
      </c>
      <c r="D14122" t="str">
        <f>T("MILWAUKEE")</f>
        <v>MILWAUKEE</v>
      </c>
      <c r="E14122" t="str">
        <f>T("WI")</f>
        <v>WI</v>
      </c>
      <c r="F14122" t="str">
        <f>T("532071901")</f>
        <v>532071901</v>
      </c>
      <c r="G14122" t="str">
        <f>T("2401 SOUTH LINCOLN MEMORIAL DR")</f>
        <v>2401 SOUTH LINCOLN MEMORIAL DR</v>
      </c>
      <c r="H14122" t="str">
        <f t="shared" si="5239"/>
        <v/>
      </c>
      <c r="I14122" t="str">
        <f>T("MILWAUKEE")</f>
        <v>MILWAUKEE</v>
      </c>
      <c r="J14122" t="str">
        <f>T("WI")</f>
        <v>WI</v>
      </c>
      <c r="K14122" t="str">
        <f>T("000000000000000000")</f>
        <v>000000000000000000</v>
      </c>
      <c r="L14122" t="str">
        <f>T("4177449764")</f>
        <v>4177449764</v>
      </c>
    </row>
    <row r="14123" spans="1:12" x14ac:dyDescent="0.35">
      <c r="A14123" t="str">
        <f t="shared" si="5240"/>
        <v>RCC MID-ATLANTIC GREAT LAKES</v>
      </c>
      <c r="B14123" t="str">
        <f>T("25660 ELLSWORTH")</f>
        <v>25660 ELLSWORTH</v>
      </c>
      <c r="C14123" t="str">
        <f>T("BLDG 1409")</f>
        <v>BLDG 1409</v>
      </c>
      <c r="D14123" t="str">
        <f>T("SELFRIDGE")</f>
        <v>SELFRIDGE</v>
      </c>
      <c r="E14123" t="str">
        <f>T("MI")</f>
        <v>MI</v>
      </c>
      <c r="F14123" t="str">
        <f>T("480454917")</f>
        <v>480454917</v>
      </c>
      <c r="G14123" t="str">
        <f>T("25660 ELLSWORTH")</f>
        <v>25660 ELLSWORTH</v>
      </c>
      <c r="H14123" t="str">
        <f>T("BLDG 1409")</f>
        <v>BLDG 1409</v>
      </c>
      <c r="I14123" t="str">
        <f>T("SELFRIDGE")</f>
        <v>SELFRIDGE</v>
      </c>
      <c r="J14123" t="str">
        <f>T("MI")</f>
        <v>MI</v>
      </c>
      <c r="K14123" t="str">
        <f>T("")</f>
        <v/>
      </c>
      <c r="L14123" t="str">
        <f>T("5862396289")</f>
        <v>5862396289</v>
      </c>
    </row>
    <row r="14124" spans="1:12" x14ac:dyDescent="0.35">
      <c r="A14124" t="str">
        <f t="shared" si="5240"/>
        <v>RCC MID-ATLANTIC GREAT LAKES</v>
      </c>
      <c r="B14124" t="str">
        <f>T("25660 ELLSWORTH")</f>
        <v>25660 ELLSWORTH</v>
      </c>
      <c r="C14124" t="str">
        <f>T("BLDG 1409")</f>
        <v>BLDG 1409</v>
      </c>
      <c r="D14124" t="str">
        <f>T("SELFRIDGE")</f>
        <v>SELFRIDGE</v>
      </c>
      <c r="E14124" t="str">
        <f>T("MI")</f>
        <v>MI</v>
      </c>
      <c r="F14124" t="str">
        <f>T("480454917")</f>
        <v>480454917</v>
      </c>
      <c r="G14124" t="str">
        <f>T("25660 ELLSWORTH")</f>
        <v>25660 ELLSWORTH</v>
      </c>
      <c r="H14124" t="str">
        <f>T("BLDG 1409")</f>
        <v>BLDG 1409</v>
      </c>
      <c r="I14124" t="str">
        <f>T("SELFRIDGE ANGB")</f>
        <v>SELFRIDGE ANGB</v>
      </c>
      <c r="J14124" t="str">
        <f>T("MI")</f>
        <v>MI</v>
      </c>
      <c r="K14124" t="str">
        <f>T("000000000000000000")</f>
        <v>000000000000000000</v>
      </c>
      <c r="L14124" t="str">
        <f>T("5863076148")</f>
        <v>5863076148</v>
      </c>
    </row>
    <row r="14125" spans="1:12" x14ac:dyDescent="0.35">
      <c r="A14125" t="str">
        <f t="shared" si="5240"/>
        <v>RCC MID-ATLANTIC GREAT LAKES</v>
      </c>
      <c r="B14125" t="str">
        <f>T("25660 ELLSWORTH")</f>
        <v>25660 ELLSWORTH</v>
      </c>
      <c r="C14125" t="str">
        <f>T("BLDG 1409")</f>
        <v>BLDG 1409</v>
      </c>
      <c r="D14125" t="str">
        <f>T("SELFRIDGE")</f>
        <v>SELFRIDGE</v>
      </c>
      <c r="E14125" t="str">
        <f>T("MI")</f>
        <v>MI</v>
      </c>
      <c r="F14125" t="str">
        <f>T("480454917")</f>
        <v>480454917</v>
      </c>
      <c r="G14125" t="str">
        <f>T("25660 ELLSWORTH STREET BLDG 1409")</f>
        <v>25660 ELLSWORTH STREET BLDG 1409</v>
      </c>
      <c r="H14125" t="str">
        <f>T("")</f>
        <v/>
      </c>
      <c r="I14125" t="str">
        <f>T("SELFRIDGE ANGB")</f>
        <v>SELFRIDGE ANGB</v>
      </c>
      <c r="J14125" t="str">
        <f>T("MI")</f>
        <v>MI</v>
      </c>
      <c r="K14125" t="str">
        <f>T("000000000000000000")</f>
        <v>000000000000000000</v>
      </c>
      <c r="L14125" t="str">
        <f>T("5862396289")</f>
        <v>5862396289</v>
      </c>
    </row>
    <row r="14126" spans="1:12" x14ac:dyDescent="0.35">
      <c r="A14126" t="str">
        <f t="shared" si="5240"/>
        <v>RCC MID-ATLANTIC GREAT LAKES</v>
      </c>
      <c r="B14126" t="str">
        <f>T("261 INDUSTRIAL PARK RD")</f>
        <v>261 INDUSTRIAL PARK RD</v>
      </c>
      <c r="C14126" t="str">
        <f>T("")</f>
        <v/>
      </c>
      <c r="D14126" t="str">
        <f>T("EBENSBURG")</f>
        <v>EBENSBURG</v>
      </c>
      <c r="E14126" t="str">
        <f>T("PA")</f>
        <v>PA</v>
      </c>
      <c r="F14126" t="str">
        <f>T("159314110")</f>
        <v>159314110</v>
      </c>
      <c r="G14126" t="str">
        <f>T("261 INDUSTRIAL PARK RD")</f>
        <v>261 INDUSTRIAL PARK RD</v>
      </c>
      <c r="H14126" t="str">
        <f>T("")</f>
        <v/>
      </c>
      <c r="I14126" t="str">
        <f>T("EBENSBURG")</f>
        <v>EBENSBURG</v>
      </c>
      <c r="J14126" t="str">
        <f>T("PA")</f>
        <v>PA</v>
      </c>
      <c r="K14126" t="str">
        <f>T("000000000000000000")</f>
        <v>000000000000000000</v>
      </c>
      <c r="L14126" t="str">
        <f>T("8144725083")</f>
        <v>8144725083</v>
      </c>
    </row>
    <row r="14127" spans="1:12" x14ac:dyDescent="0.35">
      <c r="A14127" t="str">
        <f t="shared" si="5240"/>
        <v>RCC MID-ATLANTIC GREAT LAKES</v>
      </c>
      <c r="B14127" t="str">
        <f>T("28828 GLENWOOD RD")</f>
        <v>28828 GLENWOOD RD</v>
      </c>
      <c r="C14127" t="str">
        <f>T("")</f>
        <v/>
      </c>
      <c r="D14127" t="str">
        <f>T("PERRYSBURG")</f>
        <v>PERRYSBURG</v>
      </c>
      <c r="E14127" t="str">
        <f>T("OH")</f>
        <v>OH</v>
      </c>
      <c r="F14127" t="str">
        <f>T("435513014")</f>
        <v>435513014</v>
      </c>
      <c r="G14127" t="str">
        <f>T("28828 GLENWOOD RD")</f>
        <v>28828 GLENWOOD RD</v>
      </c>
      <c r="H14127" t="str">
        <f>T("")</f>
        <v/>
      </c>
      <c r="I14127" t="str">
        <f>T("PERRYSBURG")</f>
        <v>PERRYSBURG</v>
      </c>
      <c r="J14127" t="str">
        <f>T("OH")</f>
        <v>OH</v>
      </c>
      <c r="K14127" t="str">
        <f>T("000000000000000000")</f>
        <v>000000000000000000</v>
      </c>
      <c r="L14127" t="str">
        <f>T("4196663444")</f>
        <v>4196663444</v>
      </c>
    </row>
    <row r="14128" spans="1:12" x14ac:dyDescent="0.35">
      <c r="A14128" t="str">
        <f t="shared" si="5240"/>
        <v>RCC MID-ATLANTIC GREAT LAKES</v>
      </c>
      <c r="B14128" t="str">
        <f>T("28828 GLENWOOD RD")</f>
        <v>28828 GLENWOOD RD</v>
      </c>
      <c r="C14128" t="str">
        <f>T("")</f>
        <v/>
      </c>
      <c r="D14128" t="str">
        <f>T("PERRYSBURG")</f>
        <v>PERRYSBURG</v>
      </c>
      <c r="E14128" t="str">
        <f>T("OH")</f>
        <v>OH</v>
      </c>
      <c r="F14128" t="str">
        <f>T("435513014")</f>
        <v>435513014</v>
      </c>
      <c r="G14128" t="str">
        <f>T("28828 GLENWOOD RD")</f>
        <v>28828 GLENWOOD RD</v>
      </c>
      <c r="H14128" t="str">
        <f>T("")</f>
        <v/>
      </c>
      <c r="I14128" t="str">
        <f>T("PERRYSBURG")</f>
        <v>PERRYSBURG</v>
      </c>
      <c r="J14128" t="str">
        <f>T("OH")</f>
        <v>OH</v>
      </c>
      <c r="K14128" t="str">
        <f>T("4196666606")</f>
        <v>4196666606</v>
      </c>
      <c r="L14128" t="str">
        <f>T("4195084495")</f>
        <v>4195084495</v>
      </c>
    </row>
    <row r="14129" spans="1:12" x14ac:dyDescent="0.35">
      <c r="A14129" t="str">
        <f t="shared" si="5240"/>
        <v>RCC MID-ATLANTIC GREAT LAKES</v>
      </c>
      <c r="B14129" t="str">
        <f>T("2991 NORTH 2ND ST")</f>
        <v>2991 NORTH 2ND ST</v>
      </c>
      <c r="C14129" t="str">
        <f>T("BLDG 2991")</f>
        <v>BLDG 2991</v>
      </c>
      <c r="D14129" t="str">
        <f>T("HARRISBURG")</f>
        <v>HARRISBURG</v>
      </c>
      <c r="E14129" t="str">
        <f>T("PA")</f>
        <v>PA</v>
      </c>
      <c r="F14129" t="str">
        <f>T("171101229")</f>
        <v>171101229</v>
      </c>
      <c r="G14129" t="str">
        <f>T("2991 N SECOND ST")</f>
        <v>2991 N SECOND ST</v>
      </c>
      <c r="H14129" t="str">
        <f>T("")</f>
        <v/>
      </c>
      <c r="I14129" t="str">
        <f>T("HARRISBURG")</f>
        <v>HARRISBURG</v>
      </c>
      <c r="J14129" t="str">
        <f>T("PA")</f>
        <v>PA</v>
      </c>
      <c r="K14129" t="str">
        <f>T("000000000000000000")</f>
        <v>000000000000000000</v>
      </c>
      <c r="L14129" t="str">
        <f>T("7172558069")</f>
        <v>7172558069</v>
      </c>
    </row>
    <row r="14130" spans="1:12" x14ac:dyDescent="0.35">
      <c r="A14130" t="str">
        <f t="shared" si="5240"/>
        <v>RCC MID-ATLANTIC GREAT LAKES</v>
      </c>
      <c r="B14130" t="str">
        <f>T("2991 NORTH 2ND ST")</f>
        <v>2991 NORTH 2ND ST</v>
      </c>
      <c r="C14130" t="str">
        <f>T("BLDG 2991")</f>
        <v>BLDG 2991</v>
      </c>
      <c r="D14130" t="str">
        <f>T("HARRISBURG")</f>
        <v>HARRISBURG</v>
      </c>
      <c r="E14130" t="str">
        <f>T("PA")</f>
        <v>PA</v>
      </c>
      <c r="F14130" t="str">
        <f>T("171101229")</f>
        <v>171101229</v>
      </c>
      <c r="G14130" t="str">
        <f>T("2991 NORTH 2ND ST")</f>
        <v>2991 NORTH 2ND ST</v>
      </c>
      <c r="H14130" t="str">
        <f>T("BLDG 2991")</f>
        <v>BLDG 2991</v>
      </c>
      <c r="I14130" t="str">
        <f>T("HARRISBURG")</f>
        <v>HARRISBURG</v>
      </c>
      <c r="J14130" t="str">
        <f>T("PA")</f>
        <v>PA</v>
      </c>
      <c r="K14130" t="str">
        <f>T("000000000000000000")</f>
        <v>000000000000000000</v>
      </c>
      <c r="L14130" t="str">
        <f>T("7172558069")</f>
        <v>7172558069</v>
      </c>
    </row>
    <row r="14131" spans="1:12" x14ac:dyDescent="0.35">
      <c r="A14131" t="str">
        <f t="shared" si="5240"/>
        <v>RCC MID-ATLANTIC GREAT LAKES</v>
      </c>
      <c r="B14131" t="str">
        <f>T("2991 NORTH 2ND ST")</f>
        <v>2991 NORTH 2ND ST</v>
      </c>
      <c r="C14131" t="str">
        <f>T("BLDG 2991")</f>
        <v>BLDG 2991</v>
      </c>
      <c r="D14131" t="str">
        <f>T("HARRISBURG")</f>
        <v>HARRISBURG</v>
      </c>
      <c r="E14131" t="str">
        <f>T("PA")</f>
        <v>PA</v>
      </c>
      <c r="F14131" t="str">
        <f>T("171101229")</f>
        <v>171101229</v>
      </c>
      <c r="G14131" t="str">
        <f>T("2991 NORTH SECOND ST")</f>
        <v>2991 NORTH SECOND ST</v>
      </c>
      <c r="H14131" t="str">
        <f>T("")</f>
        <v/>
      </c>
      <c r="I14131" t="str">
        <f>T("HARRISBURG")</f>
        <v>HARRISBURG</v>
      </c>
      <c r="J14131" t="str">
        <f>T("PA")</f>
        <v>PA</v>
      </c>
      <c r="K14131" t="str">
        <f>T("000000000000000000")</f>
        <v>000000000000000000</v>
      </c>
      <c r="L14131" t="str">
        <f>T("7172258069")</f>
        <v>7172258069</v>
      </c>
    </row>
    <row r="14132" spans="1:12" x14ac:dyDescent="0.35">
      <c r="A14132" t="str">
        <f t="shared" si="5240"/>
        <v>RCC MID-ATLANTIC GREAT LAKES</v>
      </c>
      <c r="B14132" t="str">
        <f>T("3010 WHITE RIVER PKWY EAST")</f>
        <v>3010 WHITE RIVER PKWY EAST</v>
      </c>
      <c r="C14132" t="str">
        <f>T("HESLAR NAVAL AMORY")</f>
        <v>HESLAR NAVAL AMORY</v>
      </c>
      <c r="D14132" t="str">
        <f>T("INDIANAPOLIS")</f>
        <v>INDIANAPOLIS</v>
      </c>
      <c r="E14132" t="str">
        <f>T("IN")</f>
        <v>IN</v>
      </c>
      <c r="F14132" t="str">
        <f>T("462084983")</f>
        <v>462084983</v>
      </c>
      <c r="G14132" t="str">
        <f>T("3010 WHITE RIVER PKWY EAST")</f>
        <v>3010 WHITE RIVER PKWY EAST</v>
      </c>
      <c r="H14132" t="str">
        <f>T("HESLAR NAVAL AMORY")</f>
        <v>HESLAR NAVAL AMORY</v>
      </c>
      <c r="I14132" t="str">
        <f>T("INDIANAPOLIS")</f>
        <v>INDIANAPOLIS</v>
      </c>
      <c r="J14132" t="str">
        <f>T("IN")</f>
        <v>IN</v>
      </c>
      <c r="K14132" t="str">
        <f>T("3179243807")</f>
        <v>3179243807</v>
      </c>
      <c r="L14132" t="str">
        <f>T("3179246389")</f>
        <v>3179246389</v>
      </c>
    </row>
    <row r="14133" spans="1:12" x14ac:dyDescent="0.35">
      <c r="A14133" t="str">
        <f t="shared" si="5240"/>
        <v>RCC MID-ATLANTIC GREAT LAKES</v>
      </c>
      <c r="B14133" t="str">
        <f>T("3010 WHITE RIVER PKWY EAST")</f>
        <v>3010 WHITE RIVER PKWY EAST</v>
      </c>
      <c r="C14133" t="str">
        <f>T("HESLAR NAVAL AMORY")</f>
        <v>HESLAR NAVAL AMORY</v>
      </c>
      <c r="D14133" t="str">
        <f>T("INDIANAPOLIS")</f>
        <v>INDIANAPOLIS</v>
      </c>
      <c r="E14133" t="str">
        <f>T("IN")</f>
        <v>IN</v>
      </c>
      <c r="F14133" t="str">
        <f>T("462084983")</f>
        <v>462084983</v>
      </c>
      <c r="G14133" t="str">
        <f>T("9801 E 59TH ST")</f>
        <v>9801 E 59TH ST</v>
      </c>
      <c r="H14133" t="str">
        <f t="shared" ref="H14133:H14141" si="5244">T("")</f>
        <v/>
      </c>
      <c r="I14133" t="str">
        <f>T("INDIANAPOLIS")</f>
        <v>INDIANAPOLIS</v>
      </c>
      <c r="J14133" t="str">
        <f>T("IN")</f>
        <v>IN</v>
      </c>
      <c r="K14133" t="str">
        <f>T("000000000000000000")</f>
        <v>000000000000000000</v>
      </c>
      <c r="L14133" t="str">
        <f>T("3173778591")</f>
        <v>3173778591</v>
      </c>
    </row>
    <row r="14134" spans="1:12" x14ac:dyDescent="0.35">
      <c r="A14134" t="str">
        <f t="shared" si="5240"/>
        <v>RCC MID-ATLANTIC GREAT LAKES</v>
      </c>
      <c r="B14134" t="str">
        <f>T("3010 WHITE RIVER PKWY EAST")</f>
        <v>3010 WHITE RIVER PKWY EAST</v>
      </c>
      <c r="C14134" t="str">
        <f>T("HESLAR NAVAL AMORY")</f>
        <v>HESLAR NAVAL AMORY</v>
      </c>
      <c r="D14134" t="str">
        <f>T("INDIANAPOLIS")</f>
        <v>INDIANAPOLIS</v>
      </c>
      <c r="E14134" t="str">
        <f>T("IN")</f>
        <v>IN</v>
      </c>
      <c r="F14134" t="str">
        <f>T("462084983")</f>
        <v>462084983</v>
      </c>
      <c r="G14134" t="str">
        <f>T("9801 EAST 59TH STREET")</f>
        <v>9801 EAST 59TH STREET</v>
      </c>
      <c r="H14134" t="str">
        <f t="shared" si="5244"/>
        <v/>
      </c>
      <c r="I14134" t="str">
        <f>T("INDIANAPOLIS")</f>
        <v>INDIANAPOLIS</v>
      </c>
      <c r="J14134" t="str">
        <f>T("IN")</f>
        <v>IN</v>
      </c>
      <c r="K14134" t="str">
        <f>T("000000000000000000")</f>
        <v>000000000000000000</v>
      </c>
      <c r="L14134" t="str">
        <f>T("3173778592")</f>
        <v>3173778592</v>
      </c>
    </row>
    <row r="14135" spans="1:12" x14ac:dyDescent="0.35">
      <c r="A14135" t="str">
        <f t="shared" si="5240"/>
        <v>RCC MID-ATLANTIC GREAT LAKES</v>
      </c>
      <c r="B14135" t="str">
        <f>T("3190 GILBERT AVE")</f>
        <v>3190 GILBERT AVE</v>
      </c>
      <c r="C14135" t="str">
        <f t="shared" ref="C14135:C14144" si="5245">T("")</f>
        <v/>
      </c>
      <c r="D14135" t="str">
        <f>T("CINCINNATI")</f>
        <v>CINCINNATI</v>
      </c>
      <c r="E14135" t="str">
        <f>T("OH")</f>
        <v>OH</v>
      </c>
      <c r="F14135" t="str">
        <f>T("452071461")</f>
        <v>452071461</v>
      </c>
      <c r="G14135" t="str">
        <f>T("3190 GILBERT AVE")</f>
        <v>3190 GILBERT AVE</v>
      </c>
      <c r="H14135" t="str">
        <f t="shared" si="5244"/>
        <v/>
      </c>
      <c r="I14135" t="str">
        <f>T("CINCINNATI")</f>
        <v>CINCINNATI</v>
      </c>
      <c r="J14135" t="str">
        <f>T("OH")</f>
        <v>OH</v>
      </c>
      <c r="K14135" t="str">
        <f>T("5132211078")</f>
        <v>5132211078</v>
      </c>
      <c r="L14135" t="str">
        <f>T("5132210138")</f>
        <v>5132210138</v>
      </c>
    </row>
    <row r="14136" spans="1:12" x14ac:dyDescent="0.35">
      <c r="A14136" t="str">
        <f t="shared" si="5240"/>
        <v>RCC MID-ATLANTIC GREAT LAKES</v>
      </c>
      <c r="B14136" t="str">
        <f>T("3190 GILBERT AVE")</f>
        <v>3190 GILBERT AVE</v>
      </c>
      <c r="C14136" t="str">
        <f t="shared" si="5245"/>
        <v/>
      </c>
      <c r="D14136" t="str">
        <f>T("CINCINNATI")</f>
        <v>CINCINNATI</v>
      </c>
      <c r="E14136" t="str">
        <f>T("OH")</f>
        <v>OH</v>
      </c>
      <c r="F14136" t="str">
        <f>T("452071461")</f>
        <v>452071461</v>
      </c>
      <c r="G14136" t="str">
        <f>T("3190 GILBERT AVENUE")</f>
        <v>3190 GILBERT AVENUE</v>
      </c>
      <c r="H14136" t="str">
        <f t="shared" si="5244"/>
        <v/>
      </c>
      <c r="I14136" t="str">
        <f>T("CINCINNATI")</f>
        <v>CINCINNATI</v>
      </c>
      <c r="J14136" t="str">
        <f>T("OH")</f>
        <v>OH</v>
      </c>
      <c r="K14136" t="str">
        <f>T("000000000000000000")</f>
        <v>000000000000000000</v>
      </c>
      <c r="L14136" t="str">
        <f>T("5132210138")</f>
        <v>5132210138</v>
      </c>
    </row>
    <row r="14137" spans="1:12" x14ac:dyDescent="0.35">
      <c r="A14137" t="str">
        <f t="shared" si="5240"/>
        <v>RCC MID-ATLANTIC GREAT LAKES</v>
      </c>
      <c r="B14137" t="str">
        <f>T("3500 DOUGLAS ST")</f>
        <v>3500 DOUGLAS ST</v>
      </c>
      <c r="C14137" t="str">
        <f t="shared" si="5245"/>
        <v/>
      </c>
      <c r="D14137" t="str">
        <f>T("SAGINAW")</f>
        <v>SAGINAW</v>
      </c>
      <c r="E14137" t="str">
        <f>T("MI")</f>
        <v>MI</v>
      </c>
      <c r="F14137" t="str">
        <f>T("486014731")</f>
        <v>486014731</v>
      </c>
      <c r="G14137" t="str">
        <f>T("3500 DOUGLAS ST")</f>
        <v>3500 DOUGLAS ST</v>
      </c>
      <c r="H14137" t="str">
        <f t="shared" si="5244"/>
        <v/>
      </c>
      <c r="I14137" t="str">
        <f>T("SAGINAW")</f>
        <v>SAGINAW</v>
      </c>
      <c r="J14137" t="str">
        <f>T("MI")</f>
        <v>MI</v>
      </c>
      <c r="K14137" t="str">
        <f>T("9897541229")</f>
        <v>9897541229</v>
      </c>
      <c r="L14137" t="str">
        <f>T("9897543091")</f>
        <v>9897543091</v>
      </c>
    </row>
    <row r="14138" spans="1:12" x14ac:dyDescent="0.35">
      <c r="A14138" t="str">
        <f t="shared" si="5240"/>
        <v>RCC MID-ATLANTIC GREAT LAKES</v>
      </c>
      <c r="B14138" t="str">
        <f>T("3500 DOUGLAS ST")</f>
        <v>3500 DOUGLAS ST</v>
      </c>
      <c r="C14138" t="str">
        <f t="shared" si="5245"/>
        <v/>
      </c>
      <c r="D14138" t="str">
        <f>T("SAGINAW")</f>
        <v>SAGINAW</v>
      </c>
      <c r="E14138" t="str">
        <f>T("MI")</f>
        <v>MI</v>
      </c>
      <c r="F14138" t="str">
        <f>T("486014731")</f>
        <v>486014731</v>
      </c>
      <c r="G14138" t="str">
        <f>T("3500 DOUGLAS STREET")</f>
        <v>3500 DOUGLAS STREET</v>
      </c>
      <c r="H14138" t="str">
        <f t="shared" si="5244"/>
        <v/>
      </c>
      <c r="I14138" t="str">
        <f>T("SAGINAW")</f>
        <v>SAGINAW</v>
      </c>
      <c r="J14138" t="str">
        <f>T("MI")</f>
        <v>MI</v>
      </c>
      <c r="K14138" t="str">
        <f>T("000000000000000000")</f>
        <v>000000000000000000</v>
      </c>
      <c r="L14138" t="str">
        <f>T("9892335712")</f>
        <v>9892335712</v>
      </c>
    </row>
    <row r="14139" spans="1:12" x14ac:dyDescent="0.35">
      <c r="A14139" t="str">
        <f t="shared" si="5240"/>
        <v>RCC MID-ATLANTIC GREAT LAKES</v>
      </c>
      <c r="B14139" t="str">
        <f>T("3500 DOUGLAS ST")</f>
        <v>3500 DOUGLAS ST</v>
      </c>
      <c r="C14139" t="str">
        <f t="shared" si="5245"/>
        <v/>
      </c>
      <c r="D14139" t="str">
        <f>T("SAGINAW")</f>
        <v>SAGINAW</v>
      </c>
      <c r="E14139" t="str">
        <f>T("MI")</f>
        <v>MI</v>
      </c>
      <c r="F14139" t="str">
        <f>T("486014731")</f>
        <v>486014731</v>
      </c>
      <c r="G14139" t="str">
        <f>T("3500 DOUGLAS STREET")</f>
        <v>3500 DOUGLAS STREET</v>
      </c>
      <c r="H14139" t="str">
        <f t="shared" si="5244"/>
        <v/>
      </c>
      <c r="I14139" t="str">
        <f>T("SAGINAW")</f>
        <v>SAGINAW</v>
      </c>
      <c r="J14139" t="str">
        <f>T("MI")</f>
        <v>MI</v>
      </c>
      <c r="K14139" t="str">
        <f>T("9897541229")</f>
        <v>9897541229</v>
      </c>
      <c r="L14139" t="str">
        <f>T("9891543091")</f>
        <v>9891543091</v>
      </c>
    </row>
    <row r="14140" spans="1:12" x14ac:dyDescent="0.35">
      <c r="A14140" t="str">
        <f t="shared" si="5240"/>
        <v>RCC MID-ATLANTIC GREAT LAKES</v>
      </c>
      <c r="B14140" t="str">
        <f>T("3938 OLD FRENCH RD")</f>
        <v>3938 OLD FRENCH RD</v>
      </c>
      <c r="C14140" t="str">
        <f t="shared" si="5245"/>
        <v/>
      </c>
      <c r="D14140" t="str">
        <f>T("ERIE")</f>
        <v>ERIE</v>
      </c>
      <c r="E14140" t="str">
        <f>T("PA")</f>
        <v>PA</v>
      </c>
      <c r="F14140" t="str">
        <f>T("165042030")</f>
        <v>165042030</v>
      </c>
      <c r="G14140" t="str">
        <f>T("3938 OLD FRENCH RD")</f>
        <v>3938 OLD FRENCH RD</v>
      </c>
      <c r="H14140" t="str">
        <f t="shared" si="5244"/>
        <v/>
      </c>
      <c r="I14140" t="str">
        <f>T("ERIE")</f>
        <v>ERIE</v>
      </c>
      <c r="J14140" t="str">
        <f>T("PA")</f>
        <v>PA</v>
      </c>
      <c r="K14140" t="str">
        <f>T("000000000000000000")</f>
        <v>000000000000000000</v>
      </c>
      <c r="L14140" t="str">
        <f>T("8148663073")</f>
        <v>8148663073</v>
      </c>
    </row>
    <row r="14141" spans="1:12" x14ac:dyDescent="0.35">
      <c r="A14141" t="str">
        <f t="shared" si="5240"/>
        <v>RCC MID-ATLANTIC GREAT LAKES</v>
      </c>
      <c r="B14141" t="str">
        <f>T("3938 OLD FRENCH RD")</f>
        <v>3938 OLD FRENCH RD</v>
      </c>
      <c r="C14141" t="str">
        <f t="shared" si="5245"/>
        <v/>
      </c>
      <c r="D14141" t="str">
        <f>T("ERIE")</f>
        <v>ERIE</v>
      </c>
      <c r="E14141" t="str">
        <f>T("PA")</f>
        <v>PA</v>
      </c>
      <c r="F14141" t="str">
        <f>T("165042030")</f>
        <v>165042030</v>
      </c>
      <c r="G14141" t="str">
        <f>T("3938 OLD FRENCH ROAD")</f>
        <v>3938 OLD FRENCH ROAD</v>
      </c>
      <c r="H14141" t="str">
        <f t="shared" si="5244"/>
        <v/>
      </c>
      <c r="I14141" t="str">
        <f>T("ERIE")</f>
        <v>ERIE</v>
      </c>
      <c r="J14141" t="str">
        <f>T("PA")</f>
        <v>PA</v>
      </c>
      <c r="K14141" t="str">
        <f>T("000000000000000000")</f>
        <v>000000000000000000</v>
      </c>
      <c r="L14141" t="str">
        <f>T("8148663073")</f>
        <v>8148663073</v>
      </c>
    </row>
    <row r="14142" spans="1:12" x14ac:dyDescent="0.35">
      <c r="A14142" t="str">
        <f t="shared" si="5240"/>
        <v>RCC MID-ATLANTIC GREAT LAKES</v>
      </c>
      <c r="B14142" t="str">
        <f>T("3976 KINGS GRAVES ROAD UNIT 80")</f>
        <v>3976 KINGS GRAVES ROAD UNIT 80</v>
      </c>
      <c r="C14142" t="str">
        <f t="shared" si="5245"/>
        <v/>
      </c>
      <c r="D14142" t="str">
        <f>T("VIENNA")</f>
        <v>VIENNA</v>
      </c>
      <c r="E14142" t="str">
        <f>T("OH")</f>
        <v>OH</v>
      </c>
      <c r="F14142" t="str">
        <f>T("444735998")</f>
        <v>444735998</v>
      </c>
      <c r="G14142" t="str">
        <f>T("3976 KINGS GRAVES RD")</f>
        <v>3976 KINGS GRAVES RD</v>
      </c>
      <c r="H14142" t="str">
        <f>T("UNIT 80")</f>
        <v>UNIT 80</v>
      </c>
      <c r="I14142" t="str">
        <f>T("VIENNA")</f>
        <v>VIENNA</v>
      </c>
      <c r="J14142" t="str">
        <f>T("OH")</f>
        <v>OH</v>
      </c>
      <c r="K14142" t="str">
        <f>T("000000000000000000")</f>
        <v>000000000000000000</v>
      </c>
      <c r="L14142" t="str">
        <f>T("3306091900")</f>
        <v>3306091900</v>
      </c>
    </row>
    <row r="14143" spans="1:12" x14ac:dyDescent="0.35">
      <c r="A14143" t="str">
        <f t="shared" ref="A14143:A14175" si="5246">T("RCC MID-ATLANTIC GREAT LAKES")</f>
        <v>RCC MID-ATLANTIC GREAT LAKES</v>
      </c>
      <c r="B14143" t="str">
        <f>T("3976 KINGS GRAVES ROAD UNIT 80")</f>
        <v>3976 KINGS GRAVES ROAD UNIT 80</v>
      </c>
      <c r="C14143" t="str">
        <f t="shared" si="5245"/>
        <v/>
      </c>
      <c r="D14143" t="str">
        <f>T("VIENNA")</f>
        <v>VIENNA</v>
      </c>
      <c r="E14143" t="str">
        <f>T("OH")</f>
        <v>OH</v>
      </c>
      <c r="F14143" t="str">
        <f>T("444735998")</f>
        <v>444735998</v>
      </c>
      <c r="G14143" t="str">
        <f>T("3976 KINGS GRAVES ROAD UNIT 80")</f>
        <v>3976 KINGS GRAVES ROAD UNIT 80</v>
      </c>
      <c r="H14143" t="str">
        <f>T("")</f>
        <v/>
      </c>
      <c r="I14143" t="str">
        <f>T("VIENNA")</f>
        <v>VIENNA</v>
      </c>
      <c r="J14143" t="str">
        <f>T("OH")</f>
        <v>OH</v>
      </c>
      <c r="K14143" t="str">
        <f>T("")</f>
        <v/>
      </c>
      <c r="L14143" t="str">
        <f>T("3306091901")</f>
        <v>3306091901</v>
      </c>
    </row>
    <row r="14144" spans="1:12" x14ac:dyDescent="0.35">
      <c r="A14144" t="str">
        <f t="shared" si="5246"/>
        <v>RCC MID-ATLANTIC GREAT LAKES</v>
      </c>
      <c r="B14144" t="str">
        <f>T("3976 KINGS GRAVES ROAD UNIT 80")</f>
        <v>3976 KINGS GRAVES ROAD UNIT 80</v>
      </c>
      <c r="C14144" t="str">
        <f t="shared" si="5245"/>
        <v/>
      </c>
      <c r="D14144" t="str">
        <f>T("VIENNA")</f>
        <v>VIENNA</v>
      </c>
      <c r="E14144" t="str">
        <f>T("OH")</f>
        <v>OH</v>
      </c>
      <c r="F14144" t="str">
        <f>T("444735998")</f>
        <v>444735998</v>
      </c>
      <c r="G14144" t="str">
        <f>T("3976 KNIGS GRAVES ROAD UNIT 80")</f>
        <v>3976 KNIGS GRAVES ROAD UNIT 80</v>
      </c>
      <c r="H14144" t="str">
        <f>T("")</f>
        <v/>
      </c>
      <c r="I14144" t="str">
        <f>T("VIENNA")</f>
        <v>VIENNA</v>
      </c>
      <c r="J14144" t="str">
        <f>T("OH")</f>
        <v>OH</v>
      </c>
      <c r="K14144" t="str">
        <f>T("3306091533")</f>
        <v>3306091533</v>
      </c>
      <c r="L14144" t="str">
        <f>T("3306091900")</f>
        <v>3306091900</v>
      </c>
    </row>
    <row r="14145" spans="1:12" x14ac:dyDescent="0.35">
      <c r="A14145" t="str">
        <f t="shared" si="5246"/>
        <v>RCC MID-ATLANTIC GREAT LAKES</v>
      </c>
      <c r="B14145" t="str">
        <f>T("520 DEWEY AVE")</f>
        <v>520 DEWEY AVE</v>
      </c>
      <c r="C14145" t="str">
        <f>T("BLDG 5")</f>
        <v>BLDG 5</v>
      </c>
      <c r="D14145" t="str">
        <f>T("GREAT LAKES")</f>
        <v>GREAT LAKES</v>
      </c>
      <c r="E14145" t="str">
        <f>T("IL")</f>
        <v>IL</v>
      </c>
      <c r="F14145" t="str">
        <f>T("600882913")</f>
        <v>600882913</v>
      </c>
      <c r="G14145" t="str">
        <f>T("520 DEWEY AVE")</f>
        <v>520 DEWEY AVE</v>
      </c>
      <c r="H14145" t="str">
        <f>T("")</f>
        <v/>
      </c>
      <c r="I14145" t="str">
        <f>T("GREAT LAKES")</f>
        <v>GREAT LAKES</v>
      </c>
      <c r="J14145" t="str">
        <f>T("IL")</f>
        <v>IL</v>
      </c>
      <c r="K14145" t="str">
        <f>T("000000000000000000")</f>
        <v>000000000000000000</v>
      </c>
      <c r="L14145" t="str">
        <f>T("8476884916")</f>
        <v>8476884916</v>
      </c>
    </row>
    <row r="14146" spans="1:12" x14ac:dyDescent="0.35">
      <c r="A14146" t="str">
        <f t="shared" si="5246"/>
        <v>RCC MID-ATLANTIC GREAT LAKES</v>
      </c>
      <c r="B14146" t="str">
        <f>T("520 DEWEY AVE")</f>
        <v>520 DEWEY AVE</v>
      </c>
      <c r="C14146" t="str">
        <f>T("BLDG 5")</f>
        <v>BLDG 5</v>
      </c>
      <c r="D14146" t="str">
        <f>T("GREAT LAKES")</f>
        <v>GREAT LAKES</v>
      </c>
      <c r="E14146" t="str">
        <f>T("IL")</f>
        <v>IL</v>
      </c>
      <c r="F14146" t="str">
        <f>T("600882913")</f>
        <v>600882913</v>
      </c>
      <c r="G14146" t="str">
        <f>T("520 DEWEY AVE")</f>
        <v>520 DEWEY AVE</v>
      </c>
      <c r="H14146" t="str">
        <f>T("BLDG 5")</f>
        <v>BLDG 5</v>
      </c>
      <c r="I14146" t="str">
        <f>T("GREAT LAKES")</f>
        <v>GREAT LAKES</v>
      </c>
      <c r="J14146" t="str">
        <f>T("IL")</f>
        <v>IL</v>
      </c>
      <c r="K14146" t="str">
        <f>T("")</f>
        <v/>
      </c>
      <c r="L14146" t="str">
        <f>T("8476886791")</f>
        <v>8476886791</v>
      </c>
    </row>
    <row r="14147" spans="1:12" x14ac:dyDescent="0.35">
      <c r="A14147" t="str">
        <f t="shared" si="5246"/>
        <v>RCC MID-ATLANTIC GREAT LAKES</v>
      </c>
      <c r="B14147" t="str">
        <f>T("520 DEWEY AVE")</f>
        <v>520 DEWEY AVE</v>
      </c>
      <c r="C14147" t="str">
        <f>T("BLDG 5")</f>
        <v>BLDG 5</v>
      </c>
      <c r="D14147" t="str">
        <f>T("GREAT LAKES")</f>
        <v>GREAT LAKES</v>
      </c>
      <c r="E14147" t="str">
        <f>T("IL")</f>
        <v>IL</v>
      </c>
      <c r="F14147" t="str">
        <f>T("600882913")</f>
        <v>600882913</v>
      </c>
      <c r="G14147" t="str">
        <f>T("520 DEWEY AVE")</f>
        <v>520 DEWEY AVE</v>
      </c>
      <c r="H14147" t="str">
        <f>T("BLDG 5")</f>
        <v>BLDG 5</v>
      </c>
      <c r="I14147" t="str">
        <f>T("GREAT LAKES")</f>
        <v>GREAT LAKES</v>
      </c>
      <c r="J14147" t="str">
        <f>T("IL")</f>
        <v>IL</v>
      </c>
      <c r="K14147" t="str">
        <f>T("000000000000000000")</f>
        <v>000000000000000000</v>
      </c>
      <c r="L14147" t="str">
        <f>T("8476884916")</f>
        <v>8476884916</v>
      </c>
    </row>
    <row r="14148" spans="1:12" x14ac:dyDescent="0.35">
      <c r="A14148" t="str">
        <f t="shared" si="5246"/>
        <v>RCC MID-ATLANTIC GREAT LAKES</v>
      </c>
      <c r="B14148" t="str">
        <f>T("6001 MANUFACTURERS DR")</f>
        <v>6001 MANUFACTURERS DR</v>
      </c>
      <c r="C14148" t="str">
        <f t="shared" ref="C14148:C14155" si="5247">T("")</f>
        <v/>
      </c>
      <c r="D14148" t="str">
        <f>T("MADISON")</f>
        <v>MADISON</v>
      </c>
      <c r="E14148" t="str">
        <f>T("WI")</f>
        <v>WI</v>
      </c>
      <c r="F14148" t="str">
        <f>T("537046206")</f>
        <v>537046206</v>
      </c>
      <c r="G14148" t="str">
        <f>T("6001 MANUFACTURERERS DRIVE")</f>
        <v>6001 MANUFACTURERERS DRIVE</v>
      </c>
      <c r="H14148" t="str">
        <f t="shared" ref="H14148:H14156" si="5248">T("")</f>
        <v/>
      </c>
      <c r="I14148" t="str">
        <f>T("MADISON")</f>
        <v>MADISON</v>
      </c>
      <c r="J14148" t="str">
        <f>T("WI")</f>
        <v>WI</v>
      </c>
      <c r="K14148" t="str">
        <f>T("000000000000000000")</f>
        <v>000000000000000000</v>
      </c>
      <c r="L14148" t="str">
        <f>T("6082104408")</f>
        <v>6082104408</v>
      </c>
    </row>
    <row r="14149" spans="1:12" x14ac:dyDescent="0.35">
      <c r="A14149" t="str">
        <f t="shared" si="5246"/>
        <v>RCC MID-ATLANTIC GREAT LAKES</v>
      </c>
      <c r="B14149" t="str">
        <f>T("6001 MANUFACTURERS DR")</f>
        <v>6001 MANUFACTURERS DR</v>
      </c>
      <c r="C14149" t="str">
        <f t="shared" si="5247"/>
        <v/>
      </c>
      <c r="D14149" t="str">
        <f>T("MADISON")</f>
        <v>MADISON</v>
      </c>
      <c r="E14149" t="str">
        <f>T("WI")</f>
        <v>WI</v>
      </c>
      <c r="F14149" t="str">
        <f>T("537046206")</f>
        <v>537046206</v>
      </c>
      <c r="G14149" t="str">
        <f>T("6001 MANUFACTURERS DR")</f>
        <v>6001 MANUFACTURERS DR</v>
      </c>
      <c r="H14149" t="str">
        <f t="shared" si="5248"/>
        <v/>
      </c>
      <c r="I14149" t="str">
        <f>T("MADISON")</f>
        <v>MADISON</v>
      </c>
      <c r="J14149" t="str">
        <f>T("WI")</f>
        <v>WI</v>
      </c>
      <c r="K14149" t="str">
        <f>T("")</f>
        <v/>
      </c>
      <c r="L14149" t="str">
        <f>T("6092490129")</f>
        <v>6092490129</v>
      </c>
    </row>
    <row r="14150" spans="1:12" x14ac:dyDescent="0.35">
      <c r="A14150" t="str">
        <f t="shared" si="5246"/>
        <v>RCC MID-ATLANTIC GREAT LAKES</v>
      </c>
      <c r="B14150" t="str">
        <f>T("7117 W PLANK ROAD")</f>
        <v>7117 W PLANK ROAD</v>
      </c>
      <c r="C14150" t="str">
        <f t="shared" si="5247"/>
        <v/>
      </c>
      <c r="D14150" t="str">
        <f>T("PEORIA")</f>
        <v>PEORIA</v>
      </c>
      <c r="E14150" t="str">
        <f>T("IL")</f>
        <v>IL</v>
      </c>
      <c r="F14150" t="str">
        <f>T("616045251")</f>
        <v>616045251</v>
      </c>
      <c r="G14150" t="str">
        <f>T("7117 W PLANK ROAD")</f>
        <v>7117 W PLANK ROAD</v>
      </c>
      <c r="H14150" t="str">
        <f t="shared" si="5248"/>
        <v/>
      </c>
      <c r="I14150" t="str">
        <f>T("PEORIA")</f>
        <v>PEORIA</v>
      </c>
      <c r="J14150" t="str">
        <f>T("IL")</f>
        <v>IL</v>
      </c>
      <c r="K14150" t="str">
        <f>T("3096970339")</f>
        <v>3096970339</v>
      </c>
      <c r="L14150" t="str">
        <f>T("3096975755")</f>
        <v>3096975755</v>
      </c>
    </row>
    <row r="14151" spans="1:12" x14ac:dyDescent="0.35">
      <c r="A14151" t="str">
        <f t="shared" si="5246"/>
        <v>RCC MID-ATLANTIC GREAT LAKES</v>
      </c>
      <c r="B14151" t="str">
        <f>T("7117 W PLANK ROAD")</f>
        <v>7117 W PLANK ROAD</v>
      </c>
      <c r="C14151" t="str">
        <f t="shared" si="5247"/>
        <v/>
      </c>
      <c r="D14151" t="str">
        <f>T("PEORIA")</f>
        <v>PEORIA</v>
      </c>
      <c r="E14151" t="str">
        <f>T("IL")</f>
        <v>IL</v>
      </c>
      <c r="F14151" t="str">
        <f>T("616045251")</f>
        <v>616045251</v>
      </c>
      <c r="G14151" t="str">
        <f>T("7117 WEST PLANK RD")</f>
        <v>7117 WEST PLANK RD</v>
      </c>
      <c r="H14151" t="str">
        <f t="shared" si="5248"/>
        <v/>
      </c>
      <c r="I14151" t="str">
        <f>T("PEORIA")</f>
        <v>PEORIA</v>
      </c>
      <c r="J14151" t="str">
        <f>T("IL")</f>
        <v>IL</v>
      </c>
      <c r="K14151" t="str">
        <f>T("000000000000000000")</f>
        <v>000000000000000000</v>
      </c>
      <c r="L14151" t="str">
        <f>T("3096975755")</f>
        <v>3096975755</v>
      </c>
    </row>
    <row r="14152" spans="1:12" x14ac:dyDescent="0.35">
      <c r="A14152" t="str">
        <f t="shared" si="5246"/>
        <v>RCC MID-ATLANTIC GREAT LAKES</v>
      </c>
      <c r="B14152" t="str">
        <f>T("7117 W PLANK ROAD")</f>
        <v>7117 W PLANK ROAD</v>
      </c>
      <c r="C14152" t="str">
        <f t="shared" si="5247"/>
        <v/>
      </c>
      <c r="D14152" t="str">
        <f>T("PEORIA")</f>
        <v>PEORIA</v>
      </c>
      <c r="E14152" t="str">
        <f>T("IL")</f>
        <v>IL</v>
      </c>
      <c r="F14152" t="str">
        <f>T("616045251")</f>
        <v>616045251</v>
      </c>
      <c r="G14152" t="str">
        <f>T("7117 WEST PLANK ROAD")</f>
        <v>7117 WEST PLANK ROAD</v>
      </c>
      <c r="H14152" t="str">
        <f t="shared" si="5248"/>
        <v/>
      </c>
      <c r="I14152" t="str">
        <f>T("PEORIA")</f>
        <v>PEORIA</v>
      </c>
      <c r="J14152" t="str">
        <f>T("IL")</f>
        <v>IL</v>
      </c>
      <c r="K14152" t="str">
        <f>T("000000000000000000")</f>
        <v>000000000000000000</v>
      </c>
      <c r="L14152" t="str">
        <f>T("3096975755")</f>
        <v>3096975755</v>
      </c>
    </row>
    <row r="14153" spans="1:12" x14ac:dyDescent="0.35">
      <c r="A14153" t="str">
        <f t="shared" si="5246"/>
        <v>RCC MID-ATLANTIC GREAT LAKES</v>
      </c>
      <c r="B14153" t="str">
        <f>T("7221 2ND ST")</f>
        <v>7221 2ND ST</v>
      </c>
      <c r="C14153" t="str">
        <f t="shared" si="5247"/>
        <v/>
      </c>
      <c r="D14153" t="str">
        <f>T("COLUMBUS")</f>
        <v>COLUMBUS</v>
      </c>
      <c r="E14153" t="str">
        <f>T("OH")</f>
        <v>OH</v>
      </c>
      <c r="F14153" t="str">
        <f>T("432171222")</f>
        <v>432171222</v>
      </c>
      <c r="G14153" t="str">
        <f>T("7221 2ND ST")</f>
        <v>7221 2ND ST</v>
      </c>
      <c r="H14153" t="str">
        <f t="shared" si="5248"/>
        <v/>
      </c>
      <c r="I14153" t="str">
        <f>T("COLUMBUS")</f>
        <v>COLUMBUS</v>
      </c>
      <c r="J14153" t="str">
        <f>T("OH")</f>
        <v>OH</v>
      </c>
      <c r="K14153" t="str">
        <f>T("")</f>
        <v/>
      </c>
      <c r="L14153" t="str">
        <f>T("6144922888")</f>
        <v>6144922888</v>
      </c>
    </row>
    <row r="14154" spans="1:12" x14ac:dyDescent="0.35">
      <c r="A14154" t="str">
        <f t="shared" si="5246"/>
        <v>RCC MID-ATLANTIC GREAT LAKES</v>
      </c>
      <c r="B14154" t="str">
        <f>T("7221 2ND ST")</f>
        <v>7221 2ND ST</v>
      </c>
      <c r="C14154" t="str">
        <f t="shared" si="5247"/>
        <v/>
      </c>
      <c r="D14154" t="str">
        <f>T("COLUMBUS")</f>
        <v>COLUMBUS</v>
      </c>
      <c r="E14154" t="str">
        <f>T("OH")</f>
        <v>OH</v>
      </c>
      <c r="F14154" t="str">
        <f>T("432171222")</f>
        <v>432171222</v>
      </c>
      <c r="G14154" t="str">
        <f>T("7221 2ND ST")</f>
        <v>7221 2ND ST</v>
      </c>
      <c r="H14154" t="str">
        <f t="shared" si="5248"/>
        <v/>
      </c>
      <c r="I14154" t="str">
        <f>T("COLUMBUS")</f>
        <v>COLUMBUS</v>
      </c>
      <c r="J14154" t="str">
        <f>T("OH")</f>
        <v>OH</v>
      </c>
      <c r="K14154" t="str">
        <f>T("000000000000000000")</f>
        <v>000000000000000000</v>
      </c>
      <c r="L14154" t="str">
        <f>T("6144922850")</f>
        <v>6144922850</v>
      </c>
    </row>
    <row r="14155" spans="1:12" x14ac:dyDescent="0.35">
      <c r="A14155" t="str">
        <f t="shared" si="5246"/>
        <v>RCC MID-ATLANTIC GREAT LAKES</v>
      </c>
      <c r="B14155" t="str">
        <f>T("7221 2ND ST")</f>
        <v>7221 2ND ST</v>
      </c>
      <c r="C14155" t="str">
        <f t="shared" si="5247"/>
        <v/>
      </c>
      <c r="D14155" t="str">
        <f>T("COLUMBUS")</f>
        <v>COLUMBUS</v>
      </c>
      <c r="E14155" t="str">
        <f>T("OH")</f>
        <v>OH</v>
      </c>
      <c r="F14155" t="str">
        <f>T("432171222")</f>
        <v>432171222</v>
      </c>
      <c r="G14155" t="str">
        <f>T("7221 2ND STREET")</f>
        <v>7221 2ND STREET</v>
      </c>
      <c r="H14155" t="str">
        <f t="shared" si="5248"/>
        <v/>
      </c>
      <c r="I14155" t="str">
        <f>T("COLUMBUS")</f>
        <v>COLUMBUS</v>
      </c>
      <c r="J14155" t="str">
        <f>T("OH")</f>
        <v>OH</v>
      </c>
      <c r="K14155" t="str">
        <f>T("6144922966")</f>
        <v>6144922966</v>
      </c>
      <c r="L14155" t="str">
        <f>T("6144922888")</f>
        <v>6144922888</v>
      </c>
    </row>
    <row r="14156" spans="1:12" x14ac:dyDescent="0.35">
      <c r="A14156" t="str">
        <f t="shared" si="5246"/>
        <v>RCC MID-ATLANTIC GREAT LAKES</v>
      </c>
      <c r="B14156" t="str">
        <f>T("NOSC BATTLE CREEK")</f>
        <v>NOSC BATTLE CREEK</v>
      </c>
      <c r="C14156" t="str">
        <f>T("101 BASE AVENUE")</f>
        <v>101 BASE AVENUE</v>
      </c>
      <c r="D14156" t="str">
        <f>T("BATTLE CREEK")</f>
        <v>BATTLE CREEK</v>
      </c>
      <c r="E14156" t="str">
        <f>T("MI")</f>
        <v>MI</v>
      </c>
      <c r="F14156" t="str">
        <f>T("490377542")</f>
        <v>490377542</v>
      </c>
      <c r="G14156" t="str">
        <f>T("2000 BLUG ST")</f>
        <v>2000 BLUG ST</v>
      </c>
      <c r="H14156" t="str">
        <f t="shared" si="5248"/>
        <v/>
      </c>
      <c r="I14156" t="str">
        <f>T("AUGUSTA")</f>
        <v>AUGUSTA</v>
      </c>
      <c r="J14156" t="str">
        <f>T("MI")</f>
        <v>MI</v>
      </c>
      <c r="K14156" t="str">
        <f>T("2699689216 524")</f>
        <v>2699689216 524</v>
      </c>
      <c r="L14156" t="str">
        <f>T("2699689216")</f>
        <v>2699689216</v>
      </c>
    </row>
    <row r="14157" spans="1:12" x14ac:dyDescent="0.35">
      <c r="A14157" t="str">
        <f t="shared" si="5246"/>
        <v>RCC MID-ATLANTIC GREAT LAKES</v>
      </c>
      <c r="B14157" t="str">
        <f>T("NOSC BATTLE CREEK")</f>
        <v>NOSC BATTLE CREEK</v>
      </c>
      <c r="C14157" t="str">
        <f>T("101 BASE AVENUE")</f>
        <v>101 BASE AVENUE</v>
      </c>
      <c r="D14157" t="str">
        <f>T("BATTLE CREEK")</f>
        <v>BATTLE CREEK</v>
      </c>
      <c r="E14157" t="str">
        <f>T("MI")</f>
        <v>MI</v>
      </c>
      <c r="F14157" t="str">
        <f>T("490377542")</f>
        <v>490377542</v>
      </c>
      <c r="G14157" t="str">
        <f>T("2000 VLUG ROAD")</f>
        <v>2000 VLUG ROAD</v>
      </c>
      <c r="H14157" t="str">
        <f>T("BLDG 200")</f>
        <v>BLDG 200</v>
      </c>
      <c r="I14157" t="str">
        <f>T("AUGUSTA")</f>
        <v>AUGUSTA</v>
      </c>
      <c r="J14157" t="str">
        <f>T("MI")</f>
        <v>MI</v>
      </c>
      <c r="K14157" t="str">
        <f>T("000000000000000000")</f>
        <v>000000000000000000</v>
      </c>
      <c r="L14157" t="str">
        <f>T("2699689216")</f>
        <v>2699689216</v>
      </c>
    </row>
    <row r="14158" spans="1:12" x14ac:dyDescent="0.35">
      <c r="A14158" t="str">
        <f t="shared" si="5246"/>
        <v>RCC MID-ATLANTIC GREAT LAKES</v>
      </c>
      <c r="B14158" t="str">
        <f>T("NOSC BATTLE CREEK")</f>
        <v>NOSC BATTLE CREEK</v>
      </c>
      <c r="C14158" t="str">
        <f>T("101 BASE AVENUE")</f>
        <v>101 BASE AVENUE</v>
      </c>
      <c r="D14158" t="str">
        <f>T("BATTLE CREEK")</f>
        <v>BATTLE CREEK</v>
      </c>
      <c r="E14158" t="str">
        <f>T("MI")</f>
        <v>MI</v>
      </c>
      <c r="F14158" t="str">
        <f>T("490377542")</f>
        <v>490377542</v>
      </c>
      <c r="G14158" t="str">
        <f>T("NOSC BATTLE CREEK")</f>
        <v>NOSC BATTLE CREEK</v>
      </c>
      <c r="H14158" t="str">
        <f>T("101 BASE AVENUE")</f>
        <v>101 BASE AVENUE</v>
      </c>
      <c r="I14158" t="str">
        <f>T("BATTLE CREEK")</f>
        <v>BATTLE CREEK</v>
      </c>
      <c r="J14158" t="str">
        <f>T("MI")</f>
        <v>MI</v>
      </c>
      <c r="K14158" t="str">
        <f>T("")</f>
        <v/>
      </c>
      <c r="L14158" t="str">
        <f>T("2629689216")</f>
        <v>2629689216</v>
      </c>
    </row>
    <row r="14159" spans="1:12" x14ac:dyDescent="0.35">
      <c r="A14159" t="str">
        <f t="shared" si="5246"/>
        <v>RCC MID-ATLANTIC GREAT LAKES</v>
      </c>
      <c r="B14159" t="str">
        <f>T("NOSC DECATUR")</f>
        <v>NOSC DECATUR</v>
      </c>
      <c r="C14159" t="str">
        <f>T("2595 FEDERAL DR")</f>
        <v>2595 FEDERAL DR</v>
      </c>
      <c r="D14159" t="str">
        <f>T("DECATUR")</f>
        <v>DECATUR</v>
      </c>
      <c r="E14159" t="str">
        <f>T("IL")</f>
        <v>IL</v>
      </c>
      <c r="F14159" t="str">
        <f>T("625262162")</f>
        <v>625262162</v>
      </c>
      <c r="G14159" t="str">
        <f>T("2595 E FEDERAL DR")</f>
        <v>2595 E FEDERAL DR</v>
      </c>
      <c r="H14159" t="str">
        <f>T("")</f>
        <v/>
      </c>
      <c r="I14159" t="str">
        <f>T("DECATUR")</f>
        <v>DECATUR</v>
      </c>
      <c r="J14159" t="str">
        <f>T("IL")</f>
        <v>IL</v>
      </c>
      <c r="K14159" t="str">
        <f>T("000000000000000000")</f>
        <v>000000000000000000</v>
      </c>
      <c r="L14159" t="str">
        <f>T("2178751733")</f>
        <v>2178751733</v>
      </c>
    </row>
    <row r="14160" spans="1:12" x14ac:dyDescent="0.35">
      <c r="A14160" t="str">
        <f t="shared" si="5246"/>
        <v>RCC MID-ATLANTIC GREAT LAKES</v>
      </c>
      <c r="B14160" t="str">
        <f>T("NOSC DECATUR")</f>
        <v>NOSC DECATUR</v>
      </c>
      <c r="C14160" t="str">
        <f>T("2595 FEDERAL DR")</f>
        <v>2595 FEDERAL DR</v>
      </c>
      <c r="D14160" t="str">
        <f>T("DECATUR")</f>
        <v>DECATUR</v>
      </c>
      <c r="E14160" t="str">
        <f>T("IL")</f>
        <v>IL</v>
      </c>
      <c r="F14160" t="str">
        <f>T("625262162")</f>
        <v>625262162</v>
      </c>
      <c r="G14160" t="str">
        <f>T("2595 FEDERAL DR")</f>
        <v>2595 FEDERAL DR</v>
      </c>
      <c r="H14160" t="str">
        <f>T("")</f>
        <v/>
      </c>
      <c r="I14160" t="str">
        <f>T("DECATUR")</f>
        <v>DECATUR</v>
      </c>
      <c r="J14160" t="str">
        <f>T("IL")</f>
        <v>IL</v>
      </c>
      <c r="K14160" t="str">
        <f>T("000000000000000000")</f>
        <v>000000000000000000</v>
      </c>
      <c r="L14160" t="str">
        <f>T("2178751733")</f>
        <v>2178751733</v>
      </c>
    </row>
    <row r="14161" spans="1:12" x14ac:dyDescent="0.35">
      <c r="A14161" t="str">
        <f t="shared" si="5246"/>
        <v>RCC MID-ATLANTIC GREAT LAKES</v>
      </c>
      <c r="B14161" t="str">
        <f>T("NOSC DECATUR")</f>
        <v>NOSC DECATUR</v>
      </c>
      <c r="C14161" t="str">
        <f>T("2595 FEDERAL DR")</f>
        <v>2595 FEDERAL DR</v>
      </c>
      <c r="D14161" t="str">
        <f>T("DECATUR")</f>
        <v>DECATUR</v>
      </c>
      <c r="E14161" t="str">
        <f>T("IL")</f>
        <v>IL</v>
      </c>
      <c r="F14161" t="str">
        <f>T("625262162")</f>
        <v>625262162</v>
      </c>
      <c r="G14161" t="str">
        <f>T("NOSC DECATUR")</f>
        <v>NOSC DECATUR</v>
      </c>
      <c r="H14161" t="str">
        <f>T("2595 FEDERAL DR")</f>
        <v>2595 FEDERAL DR</v>
      </c>
      <c r="I14161" t="str">
        <f>T("DECATUR")</f>
        <v>DECATUR</v>
      </c>
      <c r="J14161" t="str">
        <f>T("IL")</f>
        <v>IL</v>
      </c>
      <c r="K14161" t="str">
        <f>T("")</f>
        <v/>
      </c>
      <c r="L14161" t="str">
        <f>T("2178751733")</f>
        <v>2178751733</v>
      </c>
    </row>
    <row r="14162" spans="1:12" x14ac:dyDescent="0.35">
      <c r="A14162" t="str">
        <f t="shared" si="5246"/>
        <v>RCC MID-ATLANTIC GREAT LAKES</v>
      </c>
      <c r="B14162" t="str">
        <f>T("NOSC GREEN BAY")</f>
        <v>NOSC GREEN BAY</v>
      </c>
      <c r="C14162" t="str">
        <f>T("2949 RAMADA WAY")</f>
        <v>2949 RAMADA WAY</v>
      </c>
      <c r="D14162" t="str">
        <f>T("GREEN BAY")</f>
        <v>GREEN BAY</v>
      </c>
      <c r="E14162" t="str">
        <f>T("WI")</f>
        <v>WI</v>
      </c>
      <c r="F14162" t="str">
        <f>T("543045731")</f>
        <v>543045731</v>
      </c>
      <c r="G14162" t="str">
        <f>T("2949 RAMADA WAY")</f>
        <v>2949 RAMADA WAY</v>
      </c>
      <c r="H14162" t="str">
        <f>T("")</f>
        <v/>
      </c>
      <c r="I14162" t="str">
        <f>T("GREEN BAY")</f>
        <v>GREEN BAY</v>
      </c>
      <c r="J14162" t="str">
        <f>T("WI")</f>
        <v>WI</v>
      </c>
      <c r="K14162" t="str">
        <f>T("000000000000000000")</f>
        <v>000000000000000000</v>
      </c>
      <c r="L14162" t="str">
        <f>T("9203362444")</f>
        <v>9203362444</v>
      </c>
    </row>
    <row r="14163" spans="1:12" x14ac:dyDescent="0.35">
      <c r="A14163" t="str">
        <f t="shared" si="5246"/>
        <v>RCC MID-ATLANTIC GREAT LAKES</v>
      </c>
      <c r="B14163" t="str">
        <f>T("NOSC GREEN BAY")</f>
        <v>NOSC GREEN BAY</v>
      </c>
      <c r="C14163" t="str">
        <f>T("2949 RAMADA WAY")</f>
        <v>2949 RAMADA WAY</v>
      </c>
      <c r="D14163" t="str">
        <f>T("GREEN BAY")</f>
        <v>GREEN BAY</v>
      </c>
      <c r="E14163" t="str">
        <f>T("WI")</f>
        <v>WI</v>
      </c>
      <c r="F14163" t="str">
        <f>T("543045731")</f>
        <v>543045731</v>
      </c>
      <c r="G14163" t="str">
        <f>T("NOSC GREEN BAY")</f>
        <v>NOSC GREEN BAY</v>
      </c>
      <c r="H14163" t="str">
        <f>T("2949 RAMADA WAY")</f>
        <v>2949 RAMADA WAY</v>
      </c>
      <c r="I14163" t="str">
        <f>T("GREEN BAY")</f>
        <v>GREEN BAY</v>
      </c>
      <c r="J14163" t="str">
        <f>T("WI")</f>
        <v>WI</v>
      </c>
      <c r="K14163" t="str">
        <f>T("9203362028")</f>
        <v>9203362028</v>
      </c>
      <c r="L14163" t="str">
        <f>T("9203362444")</f>
        <v>9203362444</v>
      </c>
    </row>
    <row r="14164" spans="1:12" x14ac:dyDescent="0.35">
      <c r="A14164" t="str">
        <f t="shared" si="5246"/>
        <v>RCC MID-ATLANTIC GREAT LAKES</v>
      </c>
      <c r="B14164" t="str">
        <f>T("NOSC LOUISVILLE")</f>
        <v>NOSC LOUISVILLE</v>
      </c>
      <c r="C14164" t="str">
        <f>T("5401 SOUTHSIDE DRIVE")</f>
        <v>5401 SOUTHSIDE DRIVE</v>
      </c>
      <c r="D14164" t="str">
        <f>T("LOUISVILLE")</f>
        <v>LOUISVILLE</v>
      </c>
      <c r="E14164" t="str">
        <f>T("KY")</f>
        <v>KY</v>
      </c>
      <c r="F14164" t="str">
        <f>T("402142653")</f>
        <v>402142653</v>
      </c>
      <c r="G14164" t="str">
        <f>T("5401 SOUTHSIDE DR")</f>
        <v>5401 SOUTHSIDE DR</v>
      </c>
      <c r="H14164" t="str">
        <f>T("")</f>
        <v/>
      </c>
      <c r="I14164" t="str">
        <f>T("LOUISVILLE")</f>
        <v>LOUISVILLE</v>
      </c>
      <c r="J14164" t="str">
        <f>T("KY")</f>
        <v>KY</v>
      </c>
      <c r="K14164" t="str">
        <f>T("000000000000000000")</f>
        <v>000000000000000000</v>
      </c>
      <c r="L14164" t="str">
        <f>T("5028133511")</f>
        <v>5028133511</v>
      </c>
    </row>
    <row r="14165" spans="1:12" x14ac:dyDescent="0.35">
      <c r="A14165" t="str">
        <f t="shared" si="5246"/>
        <v>RCC MID-ATLANTIC GREAT LAKES</v>
      </c>
      <c r="B14165" t="str">
        <f>T("NOSC LOUISVILLE")</f>
        <v>NOSC LOUISVILLE</v>
      </c>
      <c r="C14165" t="str">
        <f>T("5401 SOUTHSIDE DRIVE")</f>
        <v>5401 SOUTHSIDE DRIVE</v>
      </c>
      <c r="D14165" t="str">
        <f>T("LOUISVILLE")</f>
        <v>LOUISVILLE</v>
      </c>
      <c r="E14165" t="str">
        <f>T("KY")</f>
        <v>KY</v>
      </c>
      <c r="F14165" t="str">
        <f>T("402142653")</f>
        <v>402142653</v>
      </c>
      <c r="G14165" t="str">
        <f>T("NOSC LOUISVILLE")</f>
        <v>NOSC LOUISVILLE</v>
      </c>
      <c r="H14165" t="str">
        <f>T("5401 SOUTHSIDE DRIVE")</f>
        <v>5401 SOUTHSIDE DRIVE</v>
      </c>
      <c r="I14165" t="str">
        <f>T("LOUISVILLE")</f>
        <v>LOUISVILLE</v>
      </c>
      <c r="J14165" t="str">
        <f>T("KY")</f>
        <v>KY</v>
      </c>
      <c r="K14165" t="str">
        <f>T("")</f>
        <v/>
      </c>
      <c r="L14165" t="str">
        <f>T("5023753329")</f>
        <v>5023753329</v>
      </c>
    </row>
    <row r="14166" spans="1:12" x14ac:dyDescent="0.35">
      <c r="A14166" t="str">
        <f t="shared" si="5246"/>
        <v>RCC MID-ATLANTIC GREAT LAKES</v>
      </c>
      <c r="B14166" t="str">
        <f>T("ROCK ISLAND ARSENAL")</f>
        <v>ROCK ISLAND ARSENAL</v>
      </c>
      <c r="C14166" t="str">
        <f>T("BLDG 218")</f>
        <v>BLDG 218</v>
      </c>
      <c r="D14166" t="str">
        <f>T("ROCK ISLAND")</f>
        <v>ROCK ISLAND</v>
      </c>
      <c r="E14166" t="str">
        <f>T("IL")</f>
        <v>IL</v>
      </c>
      <c r="F14166" t="str">
        <f>T("612990001")</f>
        <v>612990001</v>
      </c>
      <c r="G14166" t="str">
        <f>T("BLDG 218")</f>
        <v>BLDG 218</v>
      </c>
      <c r="H14166" t="str">
        <f>T("ROCK ISLAND ARSENAL")</f>
        <v>ROCK ISLAND ARSENAL</v>
      </c>
      <c r="I14166" t="str">
        <f>T("ROCK ISLAND")</f>
        <v>ROCK ISLAND</v>
      </c>
      <c r="J14166" t="str">
        <f>T("IL")</f>
        <v>IL</v>
      </c>
      <c r="K14166" t="str">
        <f>T("000000000000000000")</f>
        <v>000000000000000000</v>
      </c>
      <c r="L14166" t="str">
        <f>T("3097826161")</f>
        <v>3097826161</v>
      </c>
    </row>
    <row r="14167" spans="1:12" x14ac:dyDescent="0.35">
      <c r="A14167" t="str">
        <f t="shared" si="5246"/>
        <v>RCC MID-ATLANTIC GREAT LAKES</v>
      </c>
      <c r="B14167" t="str">
        <f>T("ROCK ISLAND ARSENAL")</f>
        <v>ROCK ISLAND ARSENAL</v>
      </c>
      <c r="C14167" t="str">
        <f>T("BLDG 218")</f>
        <v>BLDG 218</v>
      </c>
      <c r="D14167" t="str">
        <f>T("ROCK ISLAND")</f>
        <v>ROCK ISLAND</v>
      </c>
      <c r="E14167" t="str">
        <f>T("IL")</f>
        <v>IL</v>
      </c>
      <c r="F14167" t="str">
        <f>T("612990001")</f>
        <v>612990001</v>
      </c>
      <c r="G14167" t="str">
        <f>T("BLDG 218 ROCK ISLAND ARSENAL")</f>
        <v>BLDG 218 ROCK ISLAND ARSENAL</v>
      </c>
      <c r="H14167" t="str">
        <f>T("")</f>
        <v/>
      </c>
      <c r="I14167" t="str">
        <f>T("ROCK ISLAND")</f>
        <v>ROCK ISLAND</v>
      </c>
      <c r="J14167" t="str">
        <f>T("IL")</f>
        <v>IL</v>
      </c>
      <c r="K14167" t="str">
        <f>T("000000000000000000")</f>
        <v>000000000000000000</v>
      </c>
      <c r="L14167" t="str">
        <f>T("3097826161")</f>
        <v>3097826161</v>
      </c>
    </row>
    <row r="14168" spans="1:12" x14ac:dyDescent="0.35">
      <c r="A14168" t="str">
        <f t="shared" si="5246"/>
        <v>RCC MID-ATLANTIC GREAT LAKES</v>
      </c>
      <c r="B14168" t="str">
        <f>T("ROCK ISLAND ARSENAL")</f>
        <v>ROCK ISLAND ARSENAL</v>
      </c>
      <c r="C14168" t="str">
        <f>T("BLDG 218")</f>
        <v>BLDG 218</v>
      </c>
      <c r="D14168" t="str">
        <f>T("ROCK ISLAND")</f>
        <v>ROCK ISLAND</v>
      </c>
      <c r="E14168" t="str">
        <f>T("IL")</f>
        <v>IL</v>
      </c>
      <c r="F14168" t="str">
        <f>T("612990001")</f>
        <v>612990001</v>
      </c>
      <c r="G14168" t="str">
        <f>T("ROCK ISLAND ARSENAL")</f>
        <v>ROCK ISLAND ARSENAL</v>
      </c>
      <c r="H14168" t="str">
        <f>T("BLDG 218")</f>
        <v>BLDG 218</v>
      </c>
      <c r="I14168" t="str">
        <f>T("ROCK ISLAND")</f>
        <v>ROCK ISLAND</v>
      </c>
      <c r="J14168" t="str">
        <f>T("IL")</f>
        <v>IL</v>
      </c>
      <c r="K14168" t="str">
        <f>T("")</f>
        <v/>
      </c>
      <c r="L14168" t="str">
        <f>T("3097821345")</f>
        <v>3097821345</v>
      </c>
    </row>
    <row r="14169" spans="1:12" x14ac:dyDescent="0.35">
      <c r="A14169" t="str">
        <f t="shared" si="5246"/>
        <v>RCC MID-ATLANTIC GREAT LAKES</v>
      </c>
      <c r="B14169" t="str">
        <f>T("US GOV'T TAX EXEMPT")</f>
        <v>US GOV'T TAX EXEMPT</v>
      </c>
      <c r="C14169" t="str">
        <f>T("5986 WEST AIRPORT DR")</f>
        <v>5986 WEST AIRPORT DR</v>
      </c>
      <c r="D14169" t="str">
        <f>T("NORTH CANTON")</f>
        <v>NORTH CANTON</v>
      </c>
      <c r="E14169" t="str">
        <f>T("OH")</f>
        <v>OH</v>
      </c>
      <c r="F14169" t="str">
        <f>T("447201482")</f>
        <v>447201482</v>
      </c>
      <c r="G14169" t="str">
        <f>T("5986 W AIRPORT DRIVE")</f>
        <v>5986 W AIRPORT DRIVE</v>
      </c>
      <c r="H14169" t="str">
        <f>T("")</f>
        <v/>
      </c>
      <c r="I14169" t="str">
        <f>T("NORTH CANTON")</f>
        <v>NORTH CANTON</v>
      </c>
      <c r="J14169" t="str">
        <f>T("OH")</f>
        <v>OH</v>
      </c>
      <c r="K14169" t="str">
        <f>T("000000000000000000")</f>
        <v>000000000000000000</v>
      </c>
      <c r="L14169" t="str">
        <f>T("3304913450")</f>
        <v>3304913450</v>
      </c>
    </row>
    <row r="14170" spans="1:12" x14ac:dyDescent="0.35">
      <c r="A14170" t="str">
        <f t="shared" si="5246"/>
        <v>RCC MID-ATLANTIC GREAT LAKES</v>
      </c>
      <c r="B14170" t="str">
        <f>T("US GOV'T TAX EXEMPT")</f>
        <v>US GOV'T TAX EXEMPT</v>
      </c>
      <c r="C14170" t="str">
        <f>T("5986 WEST AIRPORT DR")</f>
        <v>5986 WEST AIRPORT DR</v>
      </c>
      <c r="D14170" t="str">
        <f>T("NORTH CANTON")</f>
        <v>NORTH CANTON</v>
      </c>
      <c r="E14170" t="str">
        <f>T("OH")</f>
        <v>OH</v>
      </c>
      <c r="F14170" t="str">
        <f>T("447201482")</f>
        <v>447201482</v>
      </c>
      <c r="G14170" t="str">
        <f>T("5986 WEST AIRPORT DR")</f>
        <v>5986 WEST AIRPORT DR</v>
      </c>
      <c r="H14170" t="str">
        <f>T("")</f>
        <v/>
      </c>
      <c r="I14170" t="str">
        <f>T("NORTH CANTON")</f>
        <v>NORTH CANTON</v>
      </c>
      <c r="J14170" t="str">
        <f>T("OH")</f>
        <v>OH</v>
      </c>
      <c r="K14170" t="str">
        <f>T("000000000000000000")</f>
        <v>000000000000000000</v>
      </c>
      <c r="L14170" t="str">
        <f>T("3304913450")</f>
        <v>3304913450</v>
      </c>
    </row>
    <row r="14171" spans="1:12" x14ac:dyDescent="0.35">
      <c r="A14171" t="str">
        <f t="shared" si="5246"/>
        <v>RCC MID-ATLANTIC GREAT LAKES</v>
      </c>
      <c r="B14171" t="str">
        <f>T("US GOV'T TAX EXEMPT")</f>
        <v>US GOV'T TAX EXEMPT</v>
      </c>
      <c r="C14171" t="str">
        <f>T("5986 WEST AIRPORT DR")</f>
        <v>5986 WEST AIRPORT DR</v>
      </c>
      <c r="D14171" t="str">
        <f>T("NORTH CANTON")</f>
        <v>NORTH CANTON</v>
      </c>
      <c r="E14171" t="str">
        <f>T("OH")</f>
        <v>OH</v>
      </c>
      <c r="F14171" t="str">
        <f>T("447201482")</f>
        <v>447201482</v>
      </c>
      <c r="G14171" t="str">
        <f>T("US GOV'T TAX EXEMPT")</f>
        <v>US GOV'T TAX EXEMPT</v>
      </c>
      <c r="H14171" t="str">
        <f>T("5986 WEST AIRPORT DR")</f>
        <v>5986 WEST AIRPORT DR</v>
      </c>
      <c r="I14171" t="str">
        <f>T("NORTH CANTON")</f>
        <v>NORTH CANTON</v>
      </c>
      <c r="J14171" t="str">
        <f>T("OH")</f>
        <v>OH</v>
      </c>
      <c r="K14171" t="str">
        <f>T("")</f>
        <v/>
      </c>
      <c r="L14171" t="str">
        <f>T("3304913450")</f>
        <v>3304913450</v>
      </c>
    </row>
    <row r="14172" spans="1:12" x14ac:dyDescent="0.35">
      <c r="A14172" t="str">
        <f t="shared" si="5246"/>
        <v>RCC MID-ATLANTIC GREAT LAKES</v>
      </c>
      <c r="B14172" t="str">
        <f>T("US GOVT TAX EXEMPT")</f>
        <v>US GOVT TAX EXEMPT</v>
      </c>
      <c r="C14172" t="str">
        <f>T("615 BARRY ROAD BLDG 190")</f>
        <v>615 BARRY ROAD BLDG 190</v>
      </c>
      <c r="D14172" t="str">
        <f>T("GREAT LAKES")</f>
        <v>GREAT LAKES</v>
      </c>
      <c r="E14172" t="str">
        <f>T("IL")</f>
        <v>IL</v>
      </c>
      <c r="F14172" t="str">
        <f>T("600882837")</f>
        <v>600882837</v>
      </c>
      <c r="G14172" t="str">
        <f>T("615 BARRY RD")</f>
        <v>615 BARRY RD</v>
      </c>
      <c r="H14172" t="str">
        <f>T("BLDG 190")</f>
        <v>BLDG 190</v>
      </c>
      <c r="I14172" t="str">
        <f>T("GREAT LAKES")</f>
        <v>GREAT LAKES</v>
      </c>
      <c r="J14172" t="str">
        <f>T("IL")</f>
        <v>IL</v>
      </c>
      <c r="K14172" t="str">
        <f>T("000000000000000000")</f>
        <v>000000000000000000</v>
      </c>
      <c r="L14172" t="str">
        <f>T("8476883760")</f>
        <v>8476883760</v>
      </c>
    </row>
    <row r="14173" spans="1:12" x14ac:dyDescent="0.35">
      <c r="A14173" t="str">
        <f t="shared" si="5246"/>
        <v>RCC MID-ATLANTIC GREAT LAKES</v>
      </c>
      <c r="B14173" t="str">
        <f>T("US GOVT TAX EXEMPT")</f>
        <v>US GOVT TAX EXEMPT</v>
      </c>
      <c r="C14173" t="str">
        <f>T("615 BARRY ROAD BLDG 190")</f>
        <v>615 BARRY ROAD BLDG 190</v>
      </c>
      <c r="D14173" t="str">
        <f>T("GREAT LAKES")</f>
        <v>GREAT LAKES</v>
      </c>
      <c r="E14173" t="str">
        <f>T("IL")</f>
        <v>IL</v>
      </c>
      <c r="F14173" t="str">
        <f>T("600882837")</f>
        <v>600882837</v>
      </c>
      <c r="G14173" t="str">
        <f>T("615 BARRY RD BLDG 190")</f>
        <v>615 BARRY RD BLDG 190</v>
      </c>
      <c r="H14173" t="str">
        <f>T("")</f>
        <v/>
      </c>
      <c r="I14173" t="str">
        <f>T("GREAT LAKES")</f>
        <v>GREAT LAKES</v>
      </c>
      <c r="J14173" t="str">
        <f>T("IL")</f>
        <v>IL</v>
      </c>
      <c r="K14173" t="str">
        <f>T("000000000000000000")</f>
        <v>000000000000000000</v>
      </c>
      <c r="L14173" t="str">
        <f>T("1111111111")</f>
        <v>1111111111</v>
      </c>
    </row>
    <row r="14174" spans="1:12" x14ac:dyDescent="0.35">
      <c r="A14174" t="str">
        <f t="shared" si="5246"/>
        <v>RCC MID-ATLANTIC GREAT LAKES</v>
      </c>
      <c r="B14174" t="str">
        <f>T("US GOVT TAX EXEMPT")</f>
        <v>US GOVT TAX EXEMPT</v>
      </c>
      <c r="C14174" t="str">
        <f>T("615 BARRY ROAD BLDG 190")</f>
        <v>615 BARRY ROAD BLDG 190</v>
      </c>
      <c r="D14174" t="str">
        <f>T("GREAT LAKES")</f>
        <v>GREAT LAKES</v>
      </c>
      <c r="E14174" t="str">
        <f>T("IL")</f>
        <v>IL</v>
      </c>
      <c r="F14174" t="str">
        <f>T("600882837")</f>
        <v>600882837</v>
      </c>
      <c r="G14174" t="str">
        <f>T("615A BARRY ROAD")</f>
        <v>615A BARRY ROAD</v>
      </c>
      <c r="H14174" t="str">
        <f>T("BLDG 190")</f>
        <v>BLDG 190</v>
      </c>
      <c r="I14174" t="str">
        <f>T("GREAT LAKES")</f>
        <v>GREAT LAKES</v>
      </c>
      <c r="J14174" t="str">
        <f>T("IL")</f>
        <v>IL</v>
      </c>
      <c r="K14174" t="str">
        <f>T("8476886400180")</f>
        <v>8476886400180</v>
      </c>
      <c r="L14174" t="str">
        <f>T("8476883760")</f>
        <v>8476883760</v>
      </c>
    </row>
    <row r="14175" spans="1:12" x14ac:dyDescent="0.35">
      <c r="A14175" t="str">
        <f t="shared" si="5246"/>
        <v>RCC MID-ATLANTIC GREAT LAKES</v>
      </c>
      <c r="B14175" t="str">
        <f>T("US GOVT TAX EXEMPT")</f>
        <v>US GOVT TAX EXEMPT</v>
      </c>
      <c r="C14175" t="str">
        <f>T("615 BARRY ROAD BLDG 190")</f>
        <v>615 BARRY ROAD BLDG 190</v>
      </c>
      <c r="D14175" t="str">
        <f>T("GREAT LAKES")</f>
        <v>GREAT LAKES</v>
      </c>
      <c r="E14175" t="str">
        <f>T("IL")</f>
        <v>IL</v>
      </c>
      <c r="F14175" t="str">
        <f>T("600882837")</f>
        <v>600882837</v>
      </c>
      <c r="G14175" t="str">
        <f>T("US GOVT TAX EXEMPT")</f>
        <v>US GOVT TAX EXEMPT</v>
      </c>
      <c r="H14175" t="str">
        <f>T("615 BARRY ROAD BLDG 190")</f>
        <v>615 BARRY ROAD BLDG 190</v>
      </c>
      <c r="I14175" t="str">
        <f>T("GREAT LAKES")</f>
        <v>GREAT LAKES</v>
      </c>
      <c r="J14175" t="str">
        <f>T("IL")</f>
        <v>IL</v>
      </c>
      <c r="K14175" t="str">
        <f>T("8476882128")</f>
        <v>8476882128</v>
      </c>
      <c r="L14175" t="str">
        <f>T("1111111111")</f>
        <v>1111111111</v>
      </c>
    </row>
    <row r="14176" spans="1:12" x14ac:dyDescent="0.35">
      <c r="A14176" t="str">
        <f>T("NAVRESPRODEVCEN")</f>
        <v>NAVRESPRODEVCEN</v>
      </c>
      <c r="B14176" t="str">
        <f>T("400 RUSSELL AVE")</f>
        <v>400 RUSSELL AVE</v>
      </c>
      <c r="C14176" t="str">
        <f>T("BLDG 555")</f>
        <v>BLDG 555</v>
      </c>
      <c r="D14176" t="str">
        <f>T("NEW ORLEANS")</f>
        <v>NEW ORLEANS</v>
      </c>
      <c r="E14176" t="str">
        <f>T("LA")</f>
        <v>LA</v>
      </c>
      <c r="F14176" t="str">
        <f>T("701435077")</f>
        <v>701435077</v>
      </c>
      <c r="G14176" t="str">
        <f>T("400 RUSSELL AVE")</f>
        <v>400 RUSSELL AVE</v>
      </c>
      <c r="H14176" t="str">
        <f>T("BLDG 555")</f>
        <v>BLDG 555</v>
      </c>
      <c r="I14176" t="str">
        <f>T("NEW ORLEANS")</f>
        <v>NEW ORLEANS</v>
      </c>
      <c r="J14176" t="str">
        <f>T("LA")</f>
        <v>LA</v>
      </c>
      <c r="K14176" t="str">
        <f>T("5046782013")</f>
        <v>5046782013</v>
      </c>
      <c r="L14176" t="str">
        <f>T("5046782956")</f>
        <v>5046782956</v>
      </c>
    </row>
    <row r="14177" spans="1:12" x14ac:dyDescent="0.35">
      <c r="A14177" t="str">
        <f>T("NAVRESPRODEVCEN")</f>
        <v>NAVRESPRODEVCEN</v>
      </c>
      <c r="B14177" t="str">
        <f>T("400 RUSSELL AVE")</f>
        <v>400 RUSSELL AVE</v>
      </c>
      <c r="C14177" t="str">
        <f>T("BLDG 555")</f>
        <v>BLDG 555</v>
      </c>
      <c r="D14177" t="str">
        <f>T("NEW ORLEANS")</f>
        <v>NEW ORLEANS</v>
      </c>
      <c r="E14177" t="str">
        <f>T("LA")</f>
        <v>LA</v>
      </c>
      <c r="F14177" t="str">
        <f>T("701435077")</f>
        <v>701435077</v>
      </c>
      <c r="G14177" t="str">
        <f>T("400 RUSSELL AVE")</f>
        <v>400 RUSSELL AVE</v>
      </c>
      <c r="H14177" t="str">
        <f>T("BLDG 555")</f>
        <v>BLDG 555</v>
      </c>
      <c r="I14177" t="str">
        <f>T("NEW ORLEANS")</f>
        <v>NEW ORLEANS</v>
      </c>
      <c r="J14177" t="str">
        <f>T("LA")</f>
        <v>LA</v>
      </c>
      <c r="K14177" t="str">
        <f>T("5046782013")</f>
        <v>5046782013</v>
      </c>
      <c r="L14177" t="str">
        <f>T("5046789264")</f>
        <v>5046789264</v>
      </c>
    </row>
    <row r="14178" spans="1:12" x14ac:dyDescent="0.35">
      <c r="A14178" t="str">
        <f>T("NAVRESPRODEVCEN")</f>
        <v>NAVRESPRODEVCEN</v>
      </c>
      <c r="B14178" t="str">
        <f>T("400 RUSSELL AVE")</f>
        <v>400 RUSSELL AVE</v>
      </c>
      <c r="C14178" t="str">
        <f>T("BLDG 555")</f>
        <v>BLDG 555</v>
      </c>
      <c r="D14178" t="str">
        <f>T("NEW ORLEANS")</f>
        <v>NEW ORLEANS</v>
      </c>
      <c r="E14178" t="str">
        <f>T("LA")</f>
        <v>LA</v>
      </c>
      <c r="F14178" t="str">
        <f>T("701435077")</f>
        <v>701435077</v>
      </c>
      <c r="G14178" t="str">
        <f>T("400 RUSSELL AVE")</f>
        <v>400 RUSSELL AVE</v>
      </c>
      <c r="H14178" t="str">
        <f>T("BLDG 555 2ND FLOOR")</f>
        <v>BLDG 555 2ND FLOOR</v>
      </c>
      <c r="I14178" t="str">
        <f>T("NEW ORLEANS")</f>
        <v>NEW ORLEANS</v>
      </c>
      <c r="J14178" t="str">
        <f>T("LA")</f>
        <v>LA</v>
      </c>
      <c r="K14178" t="str">
        <f>T("5046782013")</f>
        <v>5046782013</v>
      </c>
      <c r="L14178" t="str">
        <f>T("5046789264")</f>
        <v>5046789264</v>
      </c>
    </row>
    <row r="14179" spans="1:12" x14ac:dyDescent="0.35">
      <c r="A14179" t="str">
        <f t="shared" ref="A14179:A14187" si="5249">T("COMNAVIFORES DON")</f>
        <v>COMNAVIFORES DON</v>
      </c>
      <c r="B14179" t="str">
        <f>T("1550 DOOLITTLE AVE")</f>
        <v>1550 DOOLITTLE AVE</v>
      </c>
      <c r="C14179" t="str">
        <f>T("NAVAL AIR STATION JRB")</f>
        <v>NAVAL AIR STATION JRB</v>
      </c>
      <c r="D14179" t="str">
        <f>T("FORT WORTH")</f>
        <v>FORT WORTH</v>
      </c>
      <c r="E14179" t="str">
        <f>T("TX")</f>
        <v>TX</v>
      </c>
      <c r="F14179" t="str">
        <f>T("761271058")</f>
        <v>761271058</v>
      </c>
      <c r="G14179" t="str">
        <f>T("1550 DOOLITTLE AVE")</f>
        <v>1550 DOOLITTLE AVE</v>
      </c>
      <c r="H14179" t="str">
        <f>T("")</f>
        <v/>
      </c>
      <c r="I14179" t="str">
        <f>T("FORT WORTH")</f>
        <v>FORT WORTH</v>
      </c>
      <c r="J14179" t="str">
        <f>T("TX")</f>
        <v>TX</v>
      </c>
      <c r="K14179" t="str">
        <f>T("8177823508")</f>
        <v>8177823508</v>
      </c>
      <c r="L14179" t="str">
        <f>T("8177827107")</f>
        <v>8177827107</v>
      </c>
    </row>
    <row r="14180" spans="1:12" x14ac:dyDescent="0.35">
      <c r="A14180" t="str">
        <f t="shared" si="5249"/>
        <v>COMNAVIFORES DON</v>
      </c>
      <c r="B14180" t="str">
        <f>T("1550 DOOLITTLE AVE")</f>
        <v>1550 DOOLITTLE AVE</v>
      </c>
      <c r="C14180" t="str">
        <f>T("NAVAL AIR STATION JRB")</f>
        <v>NAVAL AIR STATION JRB</v>
      </c>
      <c r="D14180" t="str">
        <f>T("FORT WORTH")</f>
        <v>FORT WORTH</v>
      </c>
      <c r="E14180" t="str">
        <f>T("TX")</f>
        <v>TX</v>
      </c>
      <c r="F14180" t="str">
        <f>T("761271058")</f>
        <v>761271058</v>
      </c>
      <c r="G14180" t="str">
        <f>T("1550 DOOLITTLE AVE")</f>
        <v>1550 DOOLITTLE AVE</v>
      </c>
      <c r="H14180" t="str">
        <f>T("NAVAL AIR STATION JRB")</f>
        <v>NAVAL AIR STATION JRB</v>
      </c>
      <c r="I14180" t="str">
        <f>T("FORT WORTH")</f>
        <v>FORT WORTH</v>
      </c>
      <c r="J14180" t="str">
        <f>T("TX")</f>
        <v>TX</v>
      </c>
      <c r="K14180" t="str">
        <f>T("8177823508")</f>
        <v>8177823508</v>
      </c>
      <c r="L14180" t="str">
        <f>T("8177825032")</f>
        <v>8177825032</v>
      </c>
    </row>
    <row r="14181" spans="1:12" x14ac:dyDescent="0.35">
      <c r="A14181" t="str">
        <f t="shared" si="5249"/>
        <v>COMNAVIFORES DON</v>
      </c>
      <c r="B14181" t="str">
        <f>T("1550 DOOLITTLE AVE")</f>
        <v>1550 DOOLITTLE AVE</v>
      </c>
      <c r="C14181" t="str">
        <f>T("NAVAL AIR STATION JRB")</f>
        <v>NAVAL AIR STATION JRB</v>
      </c>
      <c r="D14181" t="str">
        <f>T("FORT WORTH")</f>
        <v>FORT WORTH</v>
      </c>
      <c r="E14181" t="str">
        <f>T("TX")</f>
        <v>TX</v>
      </c>
      <c r="F14181" t="str">
        <f>T("761271058")</f>
        <v>761271058</v>
      </c>
      <c r="G14181" t="str">
        <f>T("COMIDCRESCOM")</f>
        <v>COMIDCRESCOM</v>
      </c>
      <c r="H14181" t="str">
        <f>T("1550 DOOLITTLE AVENUE")</f>
        <v>1550 DOOLITTLE AVENUE</v>
      </c>
      <c r="I14181" t="str">
        <f>T("FORT WORTH")</f>
        <v>FORT WORTH</v>
      </c>
      <c r="J14181" t="str">
        <f>T("TX")</f>
        <v>TX</v>
      </c>
      <c r="K14181" t="str">
        <f>T("8177823508")</f>
        <v>8177823508</v>
      </c>
      <c r="L14181" t="str">
        <f>T("8177825028")</f>
        <v>8177825028</v>
      </c>
    </row>
    <row r="14182" spans="1:12" x14ac:dyDescent="0.35">
      <c r="A14182" t="str">
        <f t="shared" si="5249"/>
        <v>COMNAVIFORES DON</v>
      </c>
      <c r="B14182" t="str">
        <f>T("2530 PAUL JONES STREET BLDG 2A SUITE")</f>
        <v>2530 PAUL JONES STREET BLDG 2A SUITE</v>
      </c>
      <c r="C14182" t="str">
        <f>T("")</f>
        <v/>
      </c>
      <c r="D14182" t="str">
        <f>T("GREAT LAKES")</f>
        <v>GREAT LAKES</v>
      </c>
      <c r="E14182" t="str">
        <f>T("IL")</f>
        <v>IL</v>
      </c>
      <c r="F14182" t="str">
        <f>T("600882950")</f>
        <v>600882950</v>
      </c>
      <c r="G14182" t="str">
        <f>T("2530 PAUL JONES STREET BLDG 2A SUITE")</f>
        <v>2530 PAUL JONES STREET BLDG 2A SUITE</v>
      </c>
      <c r="H14182" t="str">
        <f>T("")</f>
        <v/>
      </c>
      <c r="I14182" t="str">
        <f>T("GREAT LAKES")</f>
        <v>GREAT LAKES</v>
      </c>
      <c r="J14182" t="str">
        <f>T("IL")</f>
        <v>IL</v>
      </c>
      <c r="K14182" t="str">
        <f>T("")</f>
        <v/>
      </c>
      <c r="L14182" t="str">
        <f>T("8668733077")</f>
        <v>8668733077</v>
      </c>
    </row>
    <row r="14183" spans="1:12" x14ac:dyDescent="0.35">
      <c r="A14183" t="str">
        <f t="shared" si="5249"/>
        <v>COMNAVIFORES DON</v>
      </c>
      <c r="B14183" t="str">
        <f>T("2530 PAUL JONES STREET BLDG 2A SUITE")</f>
        <v>2530 PAUL JONES STREET BLDG 2A SUITE</v>
      </c>
      <c r="C14183" t="str">
        <f>T("")</f>
        <v/>
      </c>
      <c r="D14183" t="str">
        <f>T("GREAT LAKES")</f>
        <v>GREAT LAKES</v>
      </c>
      <c r="E14183" t="str">
        <f>T("IL")</f>
        <v>IL</v>
      </c>
      <c r="F14183" t="str">
        <f>T("600882950")</f>
        <v>600882950</v>
      </c>
      <c r="G14183" t="str">
        <f>T("RESERVE INTEL AREA M W STE200")</f>
        <v>RESERVE INTEL AREA M W STE200</v>
      </c>
      <c r="H14183" t="str">
        <f>T("2530 PAUL JONES ST BLDG 2A")</f>
        <v>2530 PAUL JONES ST BLDG 2A</v>
      </c>
      <c r="I14183" t="str">
        <f>T("GREAT LAKES")</f>
        <v>GREAT LAKES</v>
      </c>
      <c r="J14183" t="str">
        <f>T("IL")</f>
        <v>IL</v>
      </c>
      <c r="K14183" t="str">
        <f>T("000000000000000000")</f>
        <v>000000000000000000</v>
      </c>
      <c r="L14183" t="str">
        <f>T("8476886273")</f>
        <v>8476886273</v>
      </c>
    </row>
    <row r="14184" spans="1:12" x14ac:dyDescent="0.35">
      <c r="A14184" t="str">
        <f t="shared" si="5249"/>
        <v>COMNAVIFORES DON</v>
      </c>
      <c r="B14184" t="str">
        <f>T("BLDG 135 SOUTH YORKTOWN ROAD")</f>
        <v>BLDG 135 SOUTH YORKTOWN ROAD</v>
      </c>
      <c r="C14184" t="str">
        <f>T("")</f>
        <v/>
      </c>
      <c r="D14184" t="str">
        <f>T("JACKSONVILLE")</f>
        <v>JACKSONVILLE</v>
      </c>
      <c r="E14184" t="str">
        <f>T("FL")</f>
        <v>FL</v>
      </c>
      <c r="F14184" t="str">
        <f>T("322120000")</f>
        <v>322120000</v>
      </c>
      <c r="G14184" t="str">
        <f>T("BLDG 135 S YORKTOWN RD")</f>
        <v>BLDG 135 S YORKTOWN RD</v>
      </c>
      <c r="H14184" t="str">
        <f>T("NAS JACKSONVILLE")</f>
        <v>NAS JACKSONVILLE</v>
      </c>
      <c r="I14184" t="str">
        <f>T("JACKSONVILLE")</f>
        <v>JACKSONVILLE</v>
      </c>
      <c r="J14184" t="str">
        <f>T("FL")</f>
        <v>FL</v>
      </c>
      <c r="K14184" t="str">
        <f>T("9045423370")</f>
        <v>9045423370</v>
      </c>
      <c r="L14184" t="str">
        <f>T("9045423477")</f>
        <v>9045423477</v>
      </c>
    </row>
    <row r="14185" spans="1:12" x14ac:dyDescent="0.35">
      <c r="A14185" t="str">
        <f t="shared" si="5249"/>
        <v>COMNAVIFORES DON</v>
      </c>
      <c r="B14185" t="str">
        <f>T("BLDG 135 SOUTH YORKTOWN ROAD")</f>
        <v>BLDG 135 SOUTH YORKTOWN ROAD</v>
      </c>
      <c r="C14185" t="str">
        <f>T("")</f>
        <v/>
      </c>
      <c r="D14185" t="str">
        <f>T("JACKSONVILLE")</f>
        <v>JACKSONVILLE</v>
      </c>
      <c r="E14185" t="str">
        <f>T("FL")</f>
        <v>FL</v>
      </c>
      <c r="F14185" t="str">
        <f>T("322120000")</f>
        <v>322120000</v>
      </c>
      <c r="G14185" t="str">
        <f>T("BLDG 135 SOUTH YORKTOWN ROAD")</f>
        <v>BLDG 135 SOUTH YORKTOWN ROAD</v>
      </c>
      <c r="H14185" t="str">
        <f>T("")</f>
        <v/>
      </c>
      <c r="I14185" t="str">
        <f>T("JACKSONVILLE")</f>
        <v>JACKSONVILLE</v>
      </c>
      <c r="J14185" t="str">
        <f>T("FL")</f>
        <v>FL</v>
      </c>
      <c r="K14185" t="str">
        <f>T("9045423370")</f>
        <v>9045423370</v>
      </c>
      <c r="L14185" t="str">
        <f>T("9045423477")</f>
        <v>9045423477</v>
      </c>
    </row>
    <row r="14186" spans="1:12" x14ac:dyDescent="0.35">
      <c r="A14186" t="str">
        <f t="shared" si="5249"/>
        <v>COMNAVIFORES DON</v>
      </c>
      <c r="B14186" t="str">
        <f>T("IDC REGION MID ATLANTIC")</f>
        <v>IDC REGION MID ATLANTIC</v>
      </c>
      <c r="C14186" t="str">
        <f>T("PO BOX 8188")</f>
        <v>PO BOX 8188</v>
      </c>
      <c r="D14186" t="str">
        <f>T("NORFOLK")</f>
        <v>NORFOLK</v>
      </c>
      <c r="E14186" t="str">
        <f>T("VA")</f>
        <v>VA</v>
      </c>
      <c r="F14186" t="str">
        <f>T("235030188")</f>
        <v>235030188</v>
      </c>
      <c r="G14186" t="str">
        <f>T("525 A STREET")</f>
        <v>525 A STREET</v>
      </c>
      <c r="H14186" t="str">
        <f>T("BLDG SP367 RM 212")</f>
        <v>BLDG SP367 RM 212</v>
      </c>
      <c r="I14186" t="str">
        <f>T("NORFOLK")</f>
        <v>NORFOLK</v>
      </c>
      <c r="J14186" t="str">
        <f>T("VA")</f>
        <v>VA</v>
      </c>
      <c r="K14186" t="str">
        <f>T("7574551236")</f>
        <v>7574551236</v>
      </c>
      <c r="L14186" t="str">
        <f>T("7574441352")</f>
        <v>7574441352</v>
      </c>
    </row>
    <row r="14187" spans="1:12" x14ac:dyDescent="0.35">
      <c r="A14187" t="str">
        <f t="shared" si="5249"/>
        <v>COMNAVIFORES DON</v>
      </c>
      <c r="B14187" t="str">
        <f>T("IDC REGION MID ATLANTIC")</f>
        <v>IDC REGION MID ATLANTIC</v>
      </c>
      <c r="C14187" t="str">
        <f>T("PO BOX 8188")</f>
        <v>PO BOX 8188</v>
      </c>
      <c r="D14187" t="str">
        <f>T("NORFOLK")</f>
        <v>NORFOLK</v>
      </c>
      <c r="E14187" t="str">
        <f>T("VA")</f>
        <v>VA</v>
      </c>
      <c r="F14187" t="str">
        <f>T("235030188")</f>
        <v>235030188</v>
      </c>
      <c r="G14187" t="str">
        <f>T("IDC REGION MID ATLANTIC")</f>
        <v>IDC REGION MID ATLANTIC</v>
      </c>
      <c r="H14187" t="str">
        <f>T("PO BOX 8188")</f>
        <v>PO BOX 8188</v>
      </c>
      <c r="I14187" t="str">
        <f>T("NORFOLK")</f>
        <v>NORFOLK</v>
      </c>
      <c r="J14187" t="str">
        <f>T("VA")</f>
        <v>VA</v>
      </c>
      <c r="K14187" t="str">
        <f>T("7574451236")</f>
        <v>7574451236</v>
      </c>
      <c r="L14187" t="str">
        <f>T("7574451352")</f>
        <v>7574451352</v>
      </c>
    </row>
    <row r="14188" spans="1:12" x14ac:dyDescent="0.35">
      <c r="A14188" t="str">
        <f t="shared" ref="A14188:A14219" si="5250">T("RCC MID-ATLANTIC NORFOLK")</f>
        <v>RCC MID-ATLANTIC NORFOLK</v>
      </c>
      <c r="B14188" t="str">
        <f>T("1 LINSLEY DRIVE")</f>
        <v>1 LINSLEY DRIVE</v>
      </c>
      <c r="C14188" t="str">
        <f>T("")</f>
        <v/>
      </c>
      <c r="D14188" t="str">
        <f>T("PLAINVILLE")</f>
        <v>PLAINVILLE</v>
      </c>
      <c r="E14188" t="str">
        <f>T("CT")</f>
        <v>CT</v>
      </c>
      <c r="F14188" t="str">
        <f>T("060622918")</f>
        <v>060622918</v>
      </c>
      <c r="G14188" t="str">
        <f>T("1 LINSLEY DR")</f>
        <v>1 LINSLEY DR</v>
      </c>
      <c r="H14188" t="str">
        <f>T("")</f>
        <v/>
      </c>
      <c r="I14188" t="str">
        <f>T("PLAINVILLE")</f>
        <v>PLAINVILLE</v>
      </c>
      <c r="J14188" t="str">
        <f>T("CT")</f>
        <v>CT</v>
      </c>
      <c r="K14188" t="str">
        <f>T("000000000000000000")</f>
        <v>000000000000000000</v>
      </c>
      <c r="L14188" t="str">
        <f>T("8607479011")</f>
        <v>8607479011</v>
      </c>
    </row>
    <row r="14189" spans="1:12" x14ac:dyDescent="0.35">
      <c r="A14189" t="str">
        <f t="shared" si="5250"/>
        <v>RCC MID-ATLANTIC NORFOLK</v>
      </c>
      <c r="B14189" t="str">
        <f>T("1 LINSLEY DRIVE")</f>
        <v>1 LINSLEY DRIVE</v>
      </c>
      <c r="C14189" t="str">
        <f>T("")</f>
        <v/>
      </c>
      <c r="D14189" t="str">
        <f>T("PLAINVILLE")</f>
        <v>PLAINVILLE</v>
      </c>
      <c r="E14189" t="str">
        <f>T("CT")</f>
        <v>CT</v>
      </c>
      <c r="F14189" t="str">
        <f>T("060622918")</f>
        <v>060622918</v>
      </c>
      <c r="G14189" t="str">
        <f>T("1 LINSLEY DRIVE")</f>
        <v>1 LINSLEY DRIVE</v>
      </c>
      <c r="H14189" t="str">
        <f>T("")</f>
        <v/>
      </c>
      <c r="I14189" t="str">
        <f>T("PLAINVILLE")</f>
        <v>PLAINVILLE</v>
      </c>
      <c r="J14189" t="str">
        <f>T("CT")</f>
        <v>CT</v>
      </c>
      <c r="K14189" t="str">
        <f>T("8607471176")</f>
        <v>8607471176</v>
      </c>
      <c r="L14189" t="str">
        <f>T("8607479010")</f>
        <v>8607479010</v>
      </c>
    </row>
    <row r="14190" spans="1:12" x14ac:dyDescent="0.35">
      <c r="A14190" t="str">
        <f t="shared" si="5250"/>
        <v>RCC MID-ATLANTIC NORFOLK</v>
      </c>
      <c r="B14190" t="str">
        <f>T("1 SAN DIEGO LOOP")</f>
        <v>1 SAN DIEGO LOOP</v>
      </c>
      <c r="C14190" t="str">
        <f>T("BLDG 3198")</f>
        <v>BLDG 3198</v>
      </c>
      <c r="D14190" t="str">
        <f>T("JB ANDREWS")</f>
        <v>JB ANDREWS</v>
      </c>
      <c r="E14190" t="str">
        <f t="shared" ref="E14190:E14195" si="5251">T("MD")</f>
        <v>MD</v>
      </c>
      <c r="F14190" t="str">
        <f>T("207625518")</f>
        <v>207625518</v>
      </c>
      <c r="G14190" t="str">
        <f>T("1 SAN DIEGO LOOP")</f>
        <v>1 SAN DIEGO LOOP</v>
      </c>
      <c r="H14190" t="str">
        <f>T("BLDG 3198")</f>
        <v>BLDG 3198</v>
      </c>
      <c r="I14190" t="str">
        <f>T("JB ANDREWS")</f>
        <v>JB ANDREWS</v>
      </c>
      <c r="J14190" t="str">
        <f t="shared" ref="J14190:J14195" si="5252">T("MD")</f>
        <v>MD</v>
      </c>
      <c r="K14190" t="str">
        <f>T("000000000000000000")</f>
        <v>000000000000000000</v>
      </c>
      <c r="L14190" t="str">
        <f>T("2408574888")</f>
        <v>2408574888</v>
      </c>
    </row>
    <row r="14191" spans="1:12" x14ac:dyDescent="0.35">
      <c r="A14191" t="str">
        <f t="shared" si="5250"/>
        <v>RCC MID-ATLANTIC NORFOLK</v>
      </c>
      <c r="B14191" t="str">
        <f>T("1 SAN DIEGO LOOP")</f>
        <v>1 SAN DIEGO LOOP</v>
      </c>
      <c r="C14191" t="str">
        <f>T("BLDG 3198")</f>
        <v>BLDG 3198</v>
      </c>
      <c r="D14191" t="str">
        <f>T("JB ANDREWS")</f>
        <v>JB ANDREWS</v>
      </c>
      <c r="E14191" t="str">
        <f t="shared" si="5251"/>
        <v>MD</v>
      </c>
      <c r="F14191" t="str">
        <f>T("207625518")</f>
        <v>207625518</v>
      </c>
      <c r="G14191" t="str">
        <f>T("1 SAN DIEGO LOOP")</f>
        <v>1 SAN DIEGO LOOP</v>
      </c>
      <c r="H14191" t="str">
        <f>T("BLDG 3198")</f>
        <v>BLDG 3198</v>
      </c>
      <c r="I14191" t="str">
        <f>T("JB ANDREWS")</f>
        <v>JB ANDREWS</v>
      </c>
      <c r="J14191" t="str">
        <f t="shared" si="5252"/>
        <v>MD</v>
      </c>
      <c r="K14191" t="str">
        <f>T("000000000000000000")</f>
        <v>000000000000000000</v>
      </c>
      <c r="L14191" t="str">
        <f>T("8177826123")</f>
        <v>8177826123</v>
      </c>
    </row>
    <row r="14192" spans="1:12" x14ac:dyDescent="0.35">
      <c r="A14192" t="str">
        <f t="shared" si="5250"/>
        <v>RCC MID-ATLANTIC NORFOLK</v>
      </c>
      <c r="B14192" t="str">
        <f>T("1 SAN DIEGO LOOP")</f>
        <v>1 SAN DIEGO LOOP</v>
      </c>
      <c r="C14192" t="str">
        <f>T("BLDG 3198")</f>
        <v>BLDG 3198</v>
      </c>
      <c r="D14192" t="str">
        <f>T("JB ANDREWS")</f>
        <v>JB ANDREWS</v>
      </c>
      <c r="E14192" t="str">
        <f t="shared" si="5251"/>
        <v>MD</v>
      </c>
      <c r="F14192" t="str">
        <f>T("207625518")</f>
        <v>207625518</v>
      </c>
      <c r="G14192" t="str">
        <f>T("BLDG 3282 E PERIMETER RD")</f>
        <v>BLDG 3282 E PERIMETER RD</v>
      </c>
      <c r="H14192" t="str">
        <f>T("JOINT BASE ANDREWS")</f>
        <v>JOINT BASE ANDREWS</v>
      </c>
      <c r="I14192" t="str">
        <f>T("ANDREWS")</f>
        <v>ANDREWS</v>
      </c>
      <c r="J14192" t="str">
        <f t="shared" si="5252"/>
        <v>MD</v>
      </c>
      <c r="K14192" t="str">
        <f>T("000000000000000000")</f>
        <v>000000000000000000</v>
      </c>
      <c r="L14192" t="str">
        <f>T("2408576256")</f>
        <v>2408576256</v>
      </c>
    </row>
    <row r="14193" spans="1:12" x14ac:dyDescent="0.35">
      <c r="A14193" t="str">
        <f t="shared" si="5250"/>
        <v>RCC MID-ATLANTIC NORFOLK</v>
      </c>
      <c r="B14193" t="str">
        <f>T("1201 HASLEY PLACE")</f>
        <v>1201 HASLEY PLACE</v>
      </c>
      <c r="C14193" t="str">
        <f>T("")</f>
        <v/>
      </c>
      <c r="D14193" t="str">
        <f>T("BALTIMORE")</f>
        <v>BALTIMORE</v>
      </c>
      <c r="E14193" t="str">
        <f t="shared" si="5251"/>
        <v>MD</v>
      </c>
      <c r="F14193" t="str">
        <f>T("212305308")</f>
        <v>212305308</v>
      </c>
      <c r="G14193" t="str">
        <f>T("1201 HALSEY ROAD")</f>
        <v>1201 HALSEY ROAD</v>
      </c>
      <c r="H14193" t="str">
        <f>T("")</f>
        <v/>
      </c>
      <c r="I14193" t="str">
        <f>T("BALTIMORE")</f>
        <v>BALTIMORE</v>
      </c>
      <c r="J14193" t="str">
        <f t="shared" si="5252"/>
        <v>MD</v>
      </c>
      <c r="K14193" t="str">
        <f>T("000000000000000000")</f>
        <v>000000000000000000</v>
      </c>
      <c r="L14193" t="str">
        <f>T("4107796855")</f>
        <v>4107796855</v>
      </c>
    </row>
    <row r="14194" spans="1:12" x14ac:dyDescent="0.35">
      <c r="A14194" t="str">
        <f t="shared" si="5250"/>
        <v>RCC MID-ATLANTIC NORFOLK</v>
      </c>
      <c r="B14194" t="str">
        <f>T("1201 HASLEY PLACE")</f>
        <v>1201 HASLEY PLACE</v>
      </c>
      <c r="C14194" t="str">
        <f>T("")</f>
        <v/>
      </c>
      <c r="D14194" t="str">
        <f>T("BALTIMORE")</f>
        <v>BALTIMORE</v>
      </c>
      <c r="E14194" t="str">
        <f t="shared" si="5251"/>
        <v>MD</v>
      </c>
      <c r="F14194" t="str">
        <f>T("212305308")</f>
        <v>212305308</v>
      </c>
      <c r="G14194" t="str">
        <f>T("1201 HALSEY ROAD")</f>
        <v>1201 HALSEY ROAD</v>
      </c>
      <c r="H14194" t="str">
        <f>T("")</f>
        <v/>
      </c>
      <c r="I14194" t="str">
        <f>T("BALTIMORE")</f>
        <v>BALTIMORE</v>
      </c>
      <c r="J14194" t="str">
        <f t="shared" si="5252"/>
        <v>MD</v>
      </c>
      <c r="K14194" t="str">
        <f>T("000000000000000000")</f>
        <v>000000000000000000</v>
      </c>
      <c r="L14194" t="str">
        <f>T("4107796856")</f>
        <v>4107796856</v>
      </c>
    </row>
    <row r="14195" spans="1:12" x14ac:dyDescent="0.35">
      <c r="A14195" t="str">
        <f t="shared" si="5250"/>
        <v>RCC MID-ATLANTIC NORFOLK</v>
      </c>
      <c r="B14195" t="str">
        <f>T("1201 HASLEY PLACE")</f>
        <v>1201 HASLEY PLACE</v>
      </c>
      <c r="C14195" t="str">
        <f>T("")</f>
        <v/>
      </c>
      <c r="D14195" t="str">
        <f>T("BALTIMORE")</f>
        <v>BALTIMORE</v>
      </c>
      <c r="E14195" t="str">
        <f t="shared" si="5251"/>
        <v>MD</v>
      </c>
      <c r="F14195" t="str">
        <f>T("212305308")</f>
        <v>212305308</v>
      </c>
      <c r="G14195" t="str">
        <f>T("1201 HASLEY PLACE")</f>
        <v>1201 HASLEY PLACE</v>
      </c>
      <c r="H14195" t="str">
        <f>T("")</f>
        <v/>
      </c>
      <c r="I14195" t="str">
        <f>T("BALTIMORE")</f>
        <v>BALTIMORE</v>
      </c>
      <c r="J14195" t="str">
        <f t="shared" si="5252"/>
        <v>MD</v>
      </c>
      <c r="K14195" t="str">
        <f>T("4105478563")</f>
        <v>4105478563</v>
      </c>
      <c r="L14195" t="str">
        <f>T("4107796839")</f>
        <v>4107796839</v>
      </c>
    </row>
    <row r="14196" spans="1:12" x14ac:dyDescent="0.35">
      <c r="A14196" t="str">
        <f t="shared" si="5250"/>
        <v>RCC MID-ATLANTIC NORFOLK</v>
      </c>
      <c r="B14196" t="str">
        <f>T("201 HIGHWAY")</f>
        <v>201 HIGHWAY</v>
      </c>
      <c r="C14196" t="str">
        <f>T("34 SOUTH BLDG R-4A")</f>
        <v>34 SOUTH BLDG R-4A</v>
      </c>
      <c r="D14196" t="str">
        <f>T("COLTS NECK")</f>
        <v>COLTS NECK</v>
      </c>
      <c r="E14196" t="str">
        <f>T("NJ")</f>
        <v>NJ</v>
      </c>
      <c r="F14196" t="str">
        <f>T("077221902")</f>
        <v>077221902</v>
      </c>
      <c r="G14196" t="str">
        <f>T("201 HIGHWAY")</f>
        <v>201 HIGHWAY</v>
      </c>
      <c r="H14196" t="str">
        <f>T("34 SOUTH BLDG R-4A")</f>
        <v>34 SOUTH BLDG R-4A</v>
      </c>
      <c r="I14196" t="str">
        <f>T("COLTS NECK")</f>
        <v>COLTS NECK</v>
      </c>
      <c r="J14196" t="str">
        <f>T("NJ")</f>
        <v>NJ</v>
      </c>
      <c r="K14196" t="str">
        <f>T("")</f>
        <v/>
      </c>
      <c r="L14196" t="str">
        <f>T("7328667652")</f>
        <v>7328667652</v>
      </c>
    </row>
    <row r="14197" spans="1:12" x14ac:dyDescent="0.35">
      <c r="A14197" t="str">
        <f t="shared" si="5250"/>
        <v>RCC MID-ATLANTIC NORFOLK</v>
      </c>
      <c r="B14197" t="str">
        <f>T("201 HIGHWAY")</f>
        <v>201 HIGHWAY</v>
      </c>
      <c r="C14197" t="str">
        <f>T("34 SOUTH BLDG R-4A")</f>
        <v>34 SOUTH BLDG R-4A</v>
      </c>
      <c r="D14197" t="str">
        <f>T("COLTS NECK")</f>
        <v>COLTS NECK</v>
      </c>
      <c r="E14197" t="str">
        <f>T("NJ")</f>
        <v>NJ</v>
      </c>
      <c r="F14197" t="str">
        <f>T("077221902")</f>
        <v>077221902</v>
      </c>
      <c r="G14197" t="str">
        <f>T("201 HIGHWAY 34 SOUTH")</f>
        <v>201 HIGHWAY 34 SOUTH</v>
      </c>
      <c r="H14197" t="str">
        <f>T("BLDG R-4A")</f>
        <v>BLDG R-4A</v>
      </c>
      <c r="I14197" t="str">
        <f>T("COLTS NECK")</f>
        <v>COLTS NECK</v>
      </c>
      <c r="J14197" t="str">
        <f>T("NJ")</f>
        <v>NJ</v>
      </c>
      <c r="K14197" t="str">
        <f>T("000000000000000000")</f>
        <v>000000000000000000</v>
      </c>
      <c r="L14197" t="str">
        <f>T("7328667215")</f>
        <v>7328667215</v>
      </c>
    </row>
    <row r="14198" spans="1:12" x14ac:dyDescent="0.35">
      <c r="A14198" t="str">
        <f t="shared" si="5250"/>
        <v>RCC MID-ATLANTIC NORFOLK</v>
      </c>
      <c r="B14198" t="str">
        <f>T("201 HIGHWAY")</f>
        <v>201 HIGHWAY</v>
      </c>
      <c r="C14198" t="str">
        <f>T("34 SOUTH BLDG R-4A")</f>
        <v>34 SOUTH BLDG R-4A</v>
      </c>
      <c r="D14198" t="str">
        <f>T("COLTS NECK")</f>
        <v>COLTS NECK</v>
      </c>
      <c r="E14198" t="str">
        <f>T("NJ")</f>
        <v>NJ</v>
      </c>
      <c r="F14198" t="str">
        <f>T("077221902")</f>
        <v>077221902</v>
      </c>
      <c r="G14198" t="str">
        <f>T("201 HIGHWAY 34 SOUTH BLDG R-4A")</f>
        <v>201 HIGHWAY 34 SOUTH BLDG R-4A</v>
      </c>
      <c r="H14198" t="str">
        <f t="shared" ref="H14198:H14217" si="5253">T("")</f>
        <v/>
      </c>
      <c r="I14198" t="str">
        <f>T("COLTS NECK")</f>
        <v>COLTS NECK</v>
      </c>
      <c r="J14198" t="str">
        <f>T("NJ")</f>
        <v>NJ</v>
      </c>
      <c r="K14198" t="str">
        <f>T("000000000000000000")</f>
        <v>000000000000000000</v>
      </c>
      <c r="L14198" t="str">
        <f>T("7328667384")</f>
        <v>7328667384</v>
      </c>
    </row>
    <row r="14199" spans="1:12" x14ac:dyDescent="0.35">
      <c r="A14199" t="str">
        <f t="shared" si="5250"/>
        <v>RCC MID-ATLANTIC NORFOLK</v>
      </c>
      <c r="B14199" t="str">
        <f>T("207 HOLIDAY DRIVE")</f>
        <v>207 HOLIDAY DRIVE</v>
      </c>
      <c r="C14199" t="str">
        <f t="shared" ref="C14199:C14218" si="5254">T("")</f>
        <v/>
      </c>
      <c r="D14199" t="str">
        <f>T("WHITE RIV JCT")</f>
        <v>WHITE RIV JCT</v>
      </c>
      <c r="E14199" t="str">
        <f>T("VT")</f>
        <v>VT</v>
      </c>
      <c r="F14199" t="str">
        <f>T("050016006")</f>
        <v>050016006</v>
      </c>
      <c r="G14199" t="str">
        <f>T("207 HOLIDAY DR")</f>
        <v>207 HOLIDAY DR</v>
      </c>
      <c r="H14199" t="str">
        <f t="shared" si="5253"/>
        <v/>
      </c>
      <c r="I14199" t="str">
        <f>T("WHITE RIVER JUNCTION")</f>
        <v>WHITE RIVER JUNCTION</v>
      </c>
      <c r="J14199" t="str">
        <f>T("VT")</f>
        <v>VT</v>
      </c>
      <c r="K14199" t="str">
        <f>T("000000000000000000")</f>
        <v>000000000000000000</v>
      </c>
      <c r="L14199" t="str">
        <f>T("8022950050")</f>
        <v>8022950050</v>
      </c>
    </row>
    <row r="14200" spans="1:12" x14ac:dyDescent="0.35">
      <c r="A14200" t="str">
        <f t="shared" si="5250"/>
        <v>RCC MID-ATLANTIC NORFOLK</v>
      </c>
      <c r="B14200" t="str">
        <f>T("207 HOLIDAY DRIVE")</f>
        <v>207 HOLIDAY DRIVE</v>
      </c>
      <c r="C14200" t="str">
        <f t="shared" si="5254"/>
        <v/>
      </c>
      <c r="D14200" t="str">
        <f>T("WHITE RIV JCT")</f>
        <v>WHITE RIV JCT</v>
      </c>
      <c r="E14200" t="str">
        <f>T("VT")</f>
        <v>VT</v>
      </c>
      <c r="F14200" t="str">
        <f>T("050016006")</f>
        <v>050016006</v>
      </c>
      <c r="G14200" t="str">
        <f>T("207 HOLIDAY DRIVE")</f>
        <v>207 HOLIDAY DRIVE</v>
      </c>
      <c r="H14200" t="str">
        <f t="shared" si="5253"/>
        <v/>
      </c>
      <c r="I14200" t="str">
        <f>T("WHITE RIV JCT")</f>
        <v>WHITE RIV JCT</v>
      </c>
      <c r="J14200" t="str">
        <f>T("VT")</f>
        <v>VT</v>
      </c>
      <c r="K14200" t="str">
        <f>T("")</f>
        <v/>
      </c>
      <c r="L14200" t="str">
        <f>T("8022950050")</f>
        <v>8022950050</v>
      </c>
    </row>
    <row r="14201" spans="1:12" x14ac:dyDescent="0.35">
      <c r="A14201" t="str">
        <f t="shared" si="5250"/>
        <v>RCC MID-ATLANTIC NORFOLK</v>
      </c>
      <c r="B14201" t="str">
        <f>T("207 HOLIDAY DRIVE")</f>
        <v>207 HOLIDAY DRIVE</v>
      </c>
      <c r="C14201" t="str">
        <f t="shared" si="5254"/>
        <v/>
      </c>
      <c r="D14201" t="str">
        <f>T("WHITE RIV JCT")</f>
        <v>WHITE RIV JCT</v>
      </c>
      <c r="E14201" t="str">
        <f>T("VT")</f>
        <v>VT</v>
      </c>
      <c r="F14201" t="str">
        <f>T("050016006")</f>
        <v>050016006</v>
      </c>
      <c r="G14201" t="str">
        <f>T("207 HOLIDAY DRIVE")</f>
        <v>207 HOLIDAY DRIVE</v>
      </c>
      <c r="H14201" t="str">
        <f t="shared" si="5253"/>
        <v/>
      </c>
      <c r="I14201" t="str">
        <f>T("WHITE RIVER JUNCTION")</f>
        <v>WHITE RIVER JUNCTION</v>
      </c>
      <c r="J14201" t="str">
        <f>T("VT")</f>
        <v>VT</v>
      </c>
      <c r="K14201" t="str">
        <f>T("000000000000000000")</f>
        <v>000000000000000000</v>
      </c>
      <c r="L14201" t="str">
        <f>T("8022950050")</f>
        <v>8022950050</v>
      </c>
    </row>
    <row r="14202" spans="1:12" x14ac:dyDescent="0.35">
      <c r="A14202" t="str">
        <f t="shared" si="5250"/>
        <v>RCC MID-ATLANTIC NORFOLK</v>
      </c>
      <c r="B14202" t="str">
        <f>T("25 BAITING PLACE RD")</f>
        <v>25 BAITING PLACE RD</v>
      </c>
      <c r="C14202" t="str">
        <f t="shared" si="5254"/>
        <v/>
      </c>
      <c r="D14202" t="str">
        <f>T("FARMINGDALE")</f>
        <v>FARMINGDALE</v>
      </c>
      <c r="E14202" t="str">
        <f>T("NY")</f>
        <v>NY</v>
      </c>
      <c r="F14202" t="str">
        <f>T("117356238")</f>
        <v>117356238</v>
      </c>
      <c r="G14202" t="str">
        <f>T("25 BAITING PLACE RD")</f>
        <v>25 BAITING PLACE RD</v>
      </c>
      <c r="H14202" t="str">
        <f t="shared" si="5253"/>
        <v/>
      </c>
      <c r="I14202" t="str">
        <f>T("FARMINGDALE")</f>
        <v>FARMINGDALE</v>
      </c>
      <c r="J14202" t="str">
        <f>T("NY")</f>
        <v>NY</v>
      </c>
      <c r="K14202" t="str">
        <f>T("6317899168")</f>
        <v>6317899168</v>
      </c>
      <c r="L14202" t="str">
        <f>T("6317683251")</f>
        <v>6317683251</v>
      </c>
    </row>
    <row r="14203" spans="1:12" x14ac:dyDescent="0.35">
      <c r="A14203" t="str">
        <f t="shared" si="5250"/>
        <v>RCC MID-ATLANTIC NORFOLK</v>
      </c>
      <c r="B14203" t="str">
        <f>T("25 BAITING PLACE RD")</f>
        <v>25 BAITING PLACE RD</v>
      </c>
      <c r="C14203" t="str">
        <f t="shared" si="5254"/>
        <v/>
      </c>
      <c r="D14203" t="str">
        <f>T("FARMINGDALE")</f>
        <v>FARMINGDALE</v>
      </c>
      <c r="E14203" t="str">
        <f>T("NY")</f>
        <v>NY</v>
      </c>
      <c r="F14203" t="str">
        <f>T("117356238")</f>
        <v>117356238</v>
      </c>
      <c r="G14203" t="str">
        <f>T("25 BAITING PLACE ROAD")</f>
        <v>25 BAITING PLACE ROAD</v>
      </c>
      <c r="H14203" t="str">
        <f t="shared" si="5253"/>
        <v/>
      </c>
      <c r="I14203" t="str">
        <f>T("FARMINGDALE")</f>
        <v>FARMINGDALE</v>
      </c>
      <c r="J14203" t="str">
        <f>T("NY")</f>
        <v>NY</v>
      </c>
      <c r="K14203" t="str">
        <f>T("000000000000000000")</f>
        <v>000000000000000000</v>
      </c>
      <c r="L14203" t="str">
        <f>T("6317683275")</f>
        <v>6317683275</v>
      </c>
    </row>
    <row r="14204" spans="1:12" x14ac:dyDescent="0.35">
      <c r="A14204" t="str">
        <f t="shared" si="5250"/>
        <v>RCC MID-ATLANTIC NORFOLK</v>
      </c>
      <c r="B14204" t="str">
        <f>T("25 BAITING PLACE RD")</f>
        <v>25 BAITING PLACE RD</v>
      </c>
      <c r="C14204" t="str">
        <f t="shared" si="5254"/>
        <v/>
      </c>
      <c r="D14204" t="str">
        <f>T("FARMINGDALE")</f>
        <v>FARMINGDALE</v>
      </c>
      <c r="E14204" t="str">
        <f>T("NY")</f>
        <v>NY</v>
      </c>
      <c r="F14204" t="str">
        <f>T("117356238")</f>
        <v>117356238</v>
      </c>
      <c r="G14204" t="str">
        <f>T("25 BAITING PLACE ROAD")</f>
        <v>25 BAITING PLACE ROAD</v>
      </c>
      <c r="H14204" t="str">
        <f t="shared" si="5253"/>
        <v/>
      </c>
      <c r="I14204" t="str">
        <f>T("FARMINGDALE")</f>
        <v>FARMINGDALE</v>
      </c>
      <c r="J14204" t="str">
        <f>T("NY")</f>
        <v>NY</v>
      </c>
      <c r="K14204" t="str">
        <f>T("000000000000000000")</f>
        <v>000000000000000000</v>
      </c>
      <c r="L14204" t="str">
        <f>T("6317683277")</f>
        <v>6317683277</v>
      </c>
    </row>
    <row r="14205" spans="1:12" x14ac:dyDescent="0.35">
      <c r="A14205" t="str">
        <f t="shared" si="5250"/>
        <v>RCC MID-ATLANTIC NORFOLK</v>
      </c>
      <c r="B14205" t="str">
        <f>T("250 AIRPORT RD")</f>
        <v>250 AIRPORT RD</v>
      </c>
      <c r="C14205" t="str">
        <f t="shared" si="5254"/>
        <v/>
      </c>
      <c r="D14205" t="str">
        <f>T("NEW CASTLE")</f>
        <v>NEW CASTLE</v>
      </c>
      <c r="E14205" t="str">
        <f>T("DE")</f>
        <v>DE</v>
      </c>
      <c r="F14205" t="str">
        <f>T("197201502")</f>
        <v>197201502</v>
      </c>
      <c r="G14205" t="str">
        <f>T("250 AIRPORT RD")</f>
        <v>250 AIRPORT RD</v>
      </c>
      <c r="H14205" t="str">
        <f t="shared" si="5253"/>
        <v/>
      </c>
      <c r="I14205" t="str">
        <f>T("NEW CASTLE")</f>
        <v>NEW CASTLE</v>
      </c>
      <c r="J14205" t="str">
        <f>T("DE")</f>
        <v>DE</v>
      </c>
      <c r="K14205" t="str">
        <f>T("000000000000000000")</f>
        <v>000000000000000000</v>
      </c>
      <c r="L14205" t="str">
        <f>T("3023267795")</f>
        <v>3023267795</v>
      </c>
    </row>
    <row r="14206" spans="1:12" x14ac:dyDescent="0.35">
      <c r="A14206" t="str">
        <f t="shared" si="5250"/>
        <v>RCC MID-ATLANTIC NORFOLK</v>
      </c>
      <c r="B14206" t="str">
        <f>T("250 AIRPORT RD")</f>
        <v>250 AIRPORT RD</v>
      </c>
      <c r="C14206" t="str">
        <f t="shared" si="5254"/>
        <v/>
      </c>
      <c r="D14206" t="str">
        <f>T("NEW CASTLE")</f>
        <v>NEW CASTLE</v>
      </c>
      <c r="E14206" t="str">
        <f>T("DE")</f>
        <v>DE</v>
      </c>
      <c r="F14206" t="str">
        <f>T("197201502")</f>
        <v>197201502</v>
      </c>
      <c r="G14206" t="str">
        <f>T("250 AIRPORT RD")</f>
        <v>250 AIRPORT RD</v>
      </c>
      <c r="H14206" t="str">
        <f t="shared" si="5253"/>
        <v/>
      </c>
      <c r="I14206" t="str">
        <f>T("NEW CASTLE")</f>
        <v>NEW CASTLE</v>
      </c>
      <c r="J14206" t="str">
        <f>T("DE")</f>
        <v>DE</v>
      </c>
      <c r="K14206" t="str">
        <f>T("000000000000000000")</f>
        <v>000000000000000000</v>
      </c>
      <c r="L14206" t="str">
        <f>T("3029983328")</f>
        <v>3029983328</v>
      </c>
    </row>
    <row r="14207" spans="1:12" x14ac:dyDescent="0.35">
      <c r="A14207" t="str">
        <f t="shared" si="5250"/>
        <v>RCC MID-ATLANTIC NORFOLK</v>
      </c>
      <c r="B14207" t="str">
        <f>T("250 AIRPORT RD")</f>
        <v>250 AIRPORT RD</v>
      </c>
      <c r="C14207" t="str">
        <f t="shared" si="5254"/>
        <v/>
      </c>
      <c r="D14207" t="str">
        <f>T("NEW CASTLE")</f>
        <v>NEW CASTLE</v>
      </c>
      <c r="E14207" t="str">
        <f>T("DE")</f>
        <v>DE</v>
      </c>
      <c r="F14207" t="str">
        <f>T("197201502")</f>
        <v>197201502</v>
      </c>
      <c r="G14207" t="str">
        <f>T("250 AIRPORT RD")</f>
        <v>250 AIRPORT RD</v>
      </c>
      <c r="H14207" t="str">
        <f t="shared" si="5253"/>
        <v/>
      </c>
      <c r="I14207" t="str">
        <f>T("NEW CASTLE")</f>
        <v>NEW CASTLE</v>
      </c>
      <c r="J14207" t="str">
        <f>T("DE")</f>
        <v>DE</v>
      </c>
      <c r="K14207" t="str">
        <f>T("3029929347")</f>
        <v>3029929347</v>
      </c>
      <c r="L14207" t="str">
        <f>T("3029983328")</f>
        <v>3029983328</v>
      </c>
    </row>
    <row r="14208" spans="1:12" x14ac:dyDescent="0.35">
      <c r="A14208" t="str">
        <f t="shared" si="5250"/>
        <v>RCC MID-ATLANTIC NORFOLK</v>
      </c>
      <c r="B14208" t="str">
        <f>T("251 RUDY CHASE DRIVE")</f>
        <v>251 RUDY CHASE DRIVE</v>
      </c>
      <c r="C14208" t="str">
        <f t="shared" si="5254"/>
        <v/>
      </c>
      <c r="D14208" t="str">
        <f>T("GLENVILLE")</f>
        <v>GLENVILLE</v>
      </c>
      <c r="E14208" t="str">
        <f>T("NY")</f>
        <v>NY</v>
      </c>
      <c r="F14208" t="str">
        <f>T("123027102")</f>
        <v>123027102</v>
      </c>
      <c r="G14208" t="str">
        <f>T("251 RUDY CHASE DR")</f>
        <v>251 RUDY CHASE DR</v>
      </c>
      <c r="H14208" t="str">
        <f t="shared" si="5253"/>
        <v/>
      </c>
      <c r="I14208" t="str">
        <f>T("GLENVILLE")</f>
        <v>GLENVILLE</v>
      </c>
      <c r="J14208" t="str">
        <f>T("NY")</f>
        <v>NY</v>
      </c>
      <c r="K14208" t="str">
        <f>T("000000000000000000")</f>
        <v>000000000000000000</v>
      </c>
      <c r="L14208" t="str">
        <f>T("5183992134")</f>
        <v>5183992134</v>
      </c>
    </row>
    <row r="14209" spans="1:12" x14ac:dyDescent="0.35">
      <c r="A14209" t="str">
        <f t="shared" si="5250"/>
        <v>RCC MID-ATLANTIC NORFOLK</v>
      </c>
      <c r="B14209" t="str">
        <f>T("251 RUDY CHASE DRIVE")</f>
        <v>251 RUDY CHASE DRIVE</v>
      </c>
      <c r="C14209" t="str">
        <f t="shared" si="5254"/>
        <v/>
      </c>
      <c r="D14209" t="str">
        <f>T("GLENVILLE")</f>
        <v>GLENVILLE</v>
      </c>
      <c r="E14209" t="str">
        <f>T("NY")</f>
        <v>NY</v>
      </c>
      <c r="F14209" t="str">
        <f>T("123027102")</f>
        <v>123027102</v>
      </c>
      <c r="G14209" t="str">
        <f>T("251 RUDY CHASE DRIVE")</f>
        <v>251 RUDY CHASE DRIVE</v>
      </c>
      <c r="H14209" t="str">
        <f t="shared" si="5253"/>
        <v/>
      </c>
      <c r="I14209" t="str">
        <f>T("GLENVILLE")</f>
        <v>GLENVILLE</v>
      </c>
      <c r="J14209" t="str">
        <f>T("NY")</f>
        <v>NY</v>
      </c>
      <c r="K14209" t="str">
        <f>T("000000000000000000")</f>
        <v>000000000000000000</v>
      </c>
      <c r="L14209" t="str">
        <f>T("5183992134")</f>
        <v>5183992134</v>
      </c>
    </row>
    <row r="14210" spans="1:12" x14ac:dyDescent="0.35">
      <c r="A14210" t="str">
        <f t="shared" si="5250"/>
        <v>RCC MID-ATLANTIC NORFOLK</v>
      </c>
      <c r="B14210" t="str">
        <f>T("251 RUDY CHASE DRIVE")</f>
        <v>251 RUDY CHASE DRIVE</v>
      </c>
      <c r="C14210" t="str">
        <f t="shared" si="5254"/>
        <v/>
      </c>
      <c r="D14210" t="str">
        <f>T("GLENVILLE")</f>
        <v>GLENVILLE</v>
      </c>
      <c r="E14210" t="str">
        <f>T("NY")</f>
        <v>NY</v>
      </c>
      <c r="F14210" t="str">
        <f>T("123027102")</f>
        <v>123027102</v>
      </c>
      <c r="G14210" t="str">
        <f>T("251 RUDY CHASE DRIVE")</f>
        <v>251 RUDY CHASE DRIVE</v>
      </c>
      <c r="H14210" t="str">
        <f t="shared" si="5253"/>
        <v/>
      </c>
      <c r="I14210" t="str">
        <f>T("GLENVILLE")</f>
        <v>GLENVILLE</v>
      </c>
      <c r="J14210" t="str">
        <f>T("NY")</f>
        <v>NY</v>
      </c>
      <c r="K14210" t="str">
        <f>T("5184890841")</f>
        <v>5184890841</v>
      </c>
      <c r="L14210" t="str">
        <f>T("5183992134")</f>
        <v>5183992134</v>
      </c>
    </row>
    <row r="14211" spans="1:12" x14ac:dyDescent="0.35">
      <c r="A14211" t="str">
        <f t="shared" si="5250"/>
        <v>RCC MID-ATLANTIC NORFOLK</v>
      </c>
      <c r="B14211" t="str">
        <f>T("251 RUDY CHASE DRIVE")</f>
        <v>251 RUDY CHASE DRIVE</v>
      </c>
      <c r="C14211" t="str">
        <f t="shared" si="5254"/>
        <v/>
      </c>
      <c r="D14211" t="str">
        <f>T("GLENVILLE")</f>
        <v>GLENVILLE</v>
      </c>
      <c r="E14211" t="str">
        <f>T("NY")</f>
        <v>NY</v>
      </c>
      <c r="F14211" t="str">
        <f>T("123027102")</f>
        <v>123027102</v>
      </c>
      <c r="G14211" t="str">
        <f>T("251 RUDY CHASE DRIVE")</f>
        <v>251 RUDY CHASE DRIVE</v>
      </c>
      <c r="H14211" t="str">
        <f t="shared" si="5253"/>
        <v/>
      </c>
      <c r="I14211" t="str">
        <f>T("SCHENECTADY")</f>
        <v>SCHENECTADY</v>
      </c>
      <c r="J14211" t="str">
        <f>T("NY")</f>
        <v>NY</v>
      </c>
      <c r="K14211" t="str">
        <f>T("000000000000000000")</f>
        <v>000000000000000000</v>
      </c>
      <c r="L14211" t="str">
        <f>T("5183992134")</f>
        <v>5183992134</v>
      </c>
    </row>
    <row r="14212" spans="1:12" x14ac:dyDescent="0.35">
      <c r="A14212" t="str">
        <f t="shared" si="5250"/>
        <v>RCC MID-ATLANTIC NORFOLK</v>
      </c>
      <c r="B14212" t="str">
        <f>T("2725 WESTERN BLVD")</f>
        <v>2725 WESTERN BLVD</v>
      </c>
      <c r="C14212" t="str">
        <f t="shared" si="5254"/>
        <v/>
      </c>
      <c r="D14212" t="str">
        <f>T("RALEIGH")</f>
        <v>RALEIGH</v>
      </c>
      <c r="E14212" t="str">
        <f>T("NC")</f>
        <v>NC</v>
      </c>
      <c r="F14212" t="str">
        <f>T("276062127")</f>
        <v>276062127</v>
      </c>
      <c r="G14212" t="str">
        <f>T("2725 WESTERN BLVD")</f>
        <v>2725 WESTERN BLVD</v>
      </c>
      <c r="H14212" t="str">
        <f t="shared" si="5253"/>
        <v/>
      </c>
      <c r="I14212" t="str">
        <f>T("RALEIGH")</f>
        <v>RALEIGH</v>
      </c>
      <c r="J14212" t="str">
        <f>T("NC")</f>
        <v>NC</v>
      </c>
      <c r="K14212" t="str">
        <f>T("000000000000000000")</f>
        <v>000000000000000000</v>
      </c>
      <c r="L14212" t="str">
        <f>T("9198346461")</f>
        <v>9198346461</v>
      </c>
    </row>
    <row r="14213" spans="1:12" x14ac:dyDescent="0.35">
      <c r="A14213" t="str">
        <f t="shared" si="5250"/>
        <v>RCC MID-ATLANTIC NORFOLK</v>
      </c>
      <c r="B14213" t="str">
        <f>T("2725 WESTERN BLVD")</f>
        <v>2725 WESTERN BLVD</v>
      </c>
      <c r="C14213" t="str">
        <f t="shared" si="5254"/>
        <v/>
      </c>
      <c r="D14213" t="str">
        <f>T("RALEIGH")</f>
        <v>RALEIGH</v>
      </c>
      <c r="E14213" t="str">
        <f>T("NC")</f>
        <v>NC</v>
      </c>
      <c r="F14213" t="str">
        <f>T("276062127")</f>
        <v>276062127</v>
      </c>
      <c r="G14213" t="str">
        <f>T("2725 WESTERN BLVD")</f>
        <v>2725 WESTERN BLVD</v>
      </c>
      <c r="H14213" t="str">
        <f t="shared" si="5253"/>
        <v/>
      </c>
      <c r="I14213" t="str">
        <f>T("RALEIGH")</f>
        <v>RALEIGH</v>
      </c>
      <c r="J14213" t="str">
        <f>T("NC")</f>
        <v>NC</v>
      </c>
      <c r="K14213" t="str">
        <f>T("000000000000000000")</f>
        <v>000000000000000000</v>
      </c>
      <c r="L14213" t="str">
        <f>T("9198355814")</f>
        <v>9198355814</v>
      </c>
    </row>
    <row r="14214" spans="1:12" x14ac:dyDescent="0.35">
      <c r="A14214" t="str">
        <f t="shared" si="5250"/>
        <v>RCC MID-ATLANTIC NORFOLK</v>
      </c>
      <c r="B14214" t="str">
        <f>T("2725 WESTERN BLVD")</f>
        <v>2725 WESTERN BLVD</v>
      </c>
      <c r="C14214" t="str">
        <f t="shared" si="5254"/>
        <v/>
      </c>
      <c r="D14214" t="str">
        <f>T("RALEIGH")</f>
        <v>RALEIGH</v>
      </c>
      <c r="E14214" t="str">
        <f>T("NC")</f>
        <v>NC</v>
      </c>
      <c r="F14214" t="str">
        <f>T("276062127")</f>
        <v>276062127</v>
      </c>
      <c r="G14214" t="str">
        <f>T("2725 WESTERN BLVD")</f>
        <v>2725 WESTERN BLVD</v>
      </c>
      <c r="H14214" t="str">
        <f t="shared" si="5253"/>
        <v/>
      </c>
      <c r="I14214" t="str">
        <f>T("RALEIGH")</f>
        <v>RALEIGH</v>
      </c>
      <c r="J14214" t="str">
        <f>T("NC")</f>
        <v>NC</v>
      </c>
      <c r="K14214" t="str">
        <f>T("000000000000000000")</f>
        <v>000000000000000000</v>
      </c>
      <c r="L14214" t="str">
        <f>T("9198355815")</f>
        <v>9198355815</v>
      </c>
    </row>
    <row r="14215" spans="1:12" x14ac:dyDescent="0.35">
      <c r="A14215" t="str">
        <f t="shared" si="5250"/>
        <v>RCC MID-ATLANTIC NORFOLK</v>
      </c>
      <c r="B14215" t="str">
        <f>T("2725 WESTERN BLVD")</f>
        <v>2725 WESTERN BLVD</v>
      </c>
      <c r="C14215" t="str">
        <f t="shared" si="5254"/>
        <v/>
      </c>
      <c r="D14215" t="str">
        <f>T("RALEIGH")</f>
        <v>RALEIGH</v>
      </c>
      <c r="E14215" t="str">
        <f>T("NC")</f>
        <v>NC</v>
      </c>
      <c r="F14215" t="str">
        <f>T("276062127")</f>
        <v>276062127</v>
      </c>
      <c r="G14215" t="str">
        <f>T("2725 WESTERN BLVD")</f>
        <v>2725 WESTERN BLVD</v>
      </c>
      <c r="H14215" t="str">
        <f t="shared" si="5253"/>
        <v/>
      </c>
      <c r="I14215" t="str">
        <f>T("RALEIGH")</f>
        <v>RALEIGH</v>
      </c>
      <c r="J14215" t="str">
        <f>T("NC")</f>
        <v>NC</v>
      </c>
      <c r="K14215" t="str">
        <f>T("9198398947")</f>
        <v>9198398947</v>
      </c>
      <c r="L14215" t="str">
        <f>T("9198355800")</f>
        <v>9198355800</v>
      </c>
    </row>
    <row r="14216" spans="1:12" x14ac:dyDescent="0.35">
      <c r="A14216" t="str">
        <f t="shared" si="5250"/>
        <v>RCC MID-ATLANTIC NORFOLK</v>
      </c>
      <c r="B14216" t="str">
        <f>T("3 PORTER AVE")</f>
        <v>3 PORTER AVE</v>
      </c>
      <c r="C14216" t="str">
        <f t="shared" si="5254"/>
        <v/>
      </c>
      <c r="D14216" t="str">
        <f>T("BUFFALO")</f>
        <v>BUFFALO</v>
      </c>
      <c r="E14216" t="str">
        <f>T("NY")</f>
        <v>NY</v>
      </c>
      <c r="F14216" t="str">
        <f>T("142011015")</f>
        <v>142011015</v>
      </c>
      <c r="G14216" t="str">
        <f>T("3 PORTER AVE")</f>
        <v>3 PORTER AVE</v>
      </c>
      <c r="H14216" t="str">
        <f t="shared" si="5253"/>
        <v/>
      </c>
      <c r="I14216" t="str">
        <f>T("BUFFALO")</f>
        <v>BUFFALO</v>
      </c>
      <c r="J14216" t="str">
        <f>T("NY")</f>
        <v>NY</v>
      </c>
      <c r="K14216" t="str">
        <f>T("")</f>
        <v/>
      </c>
      <c r="L14216" t="str">
        <f>T("7168831016")</f>
        <v>7168831016</v>
      </c>
    </row>
    <row r="14217" spans="1:12" x14ac:dyDescent="0.35">
      <c r="A14217" t="str">
        <f t="shared" si="5250"/>
        <v>RCC MID-ATLANTIC NORFOLK</v>
      </c>
      <c r="B14217" t="str">
        <f>T("3 PORTER AVE")</f>
        <v>3 PORTER AVE</v>
      </c>
      <c r="C14217" t="str">
        <f t="shared" si="5254"/>
        <v/>
      </c>
      <c r="D14217" t="str">
        <f>T("BUFFALO")</f>
        <v>BUFFALO</v>
      </c>
      <c r="E14217" t="str">
        <f>T("NY")</f>
        <v>NY</v>
      </c>
      <c r="F14217" t="str">
        <f>T("142011015")</f>
        <v>142011015</v>
      </c>
      <c r="G14217" t="str">
        <f>T("3 PORTER AVE")</f>
        <v>3 PORTER AVE</v>
      </c>
      <c r="H14217" t="str">
        <f t="shared" si="5253"/>
        <v/>
      </c>
      <c r="I14217" t="str">
        <f>T("BUFFALO")</f>
        <v>BUFFALO</v>
      </c>
      <c r="J14217" t="str">
        <f>T("NY")</f>
        <v>NY</v>
      </c>
      <c r="K14217" t="str">
        <f>T("000000000000000000")</f>
        <v>000000000000000000</v>
      </c>
      <c r="L14217" t="str">
        <f>T("7168831016")</f>
        <v>7168831016</v>
      </c>
    </row>
    <row r="14218" spans="1:12" x14ac:dyDescent="0.35">
      <c r="A14218" t="str">
        <f t="shared" si="5250"/>
        <v>RCC MID-ATLANTIC NORFOLK</v>
      </c>
      <c r="B14218" t="str">
        <f>T("3 PORTER AVE")</f>
        <v>3 PORTER AVE</v>
      </c>
      <c r="C14218" t="str">
        <f t="shared" si="5254"/>
        <v/>
      </c>
      <c r="D14218" t="str">
        <f>T("BUFFALO")</f>
        <v>BUFFALO</v>
      </c>
      <c r="E14218" t="str">
        <f>T("NY")</f>
        <v>NY</v>
      </c>
      <c r="F14218" t="str">
        <f>T("142011015")</f>
        <v>142011015</v>
      </c>
      <c r="G14218" t="str">
        <f>T("NOSC BUFFALO")</f>
        <v>NOSC BUFFALO</v>
      </c>
      <c r="H14218" t="str">
        <f>T("3 PORTER AVE")</f>
        <v>3 PORTER AVE</v>
      </c>
      <c r="I14218" t="str">
        <f>T("BUFFALO")</f>
        <v>BUFFALO</v>
      </c>
      <c r="J14218" t="str">
        <f>T("NY")</f>
        <v>NY</v>
      </c>
      <c r="K14218" t="str">
        <f>T("000000000000000000")</f>
        <v>000000000000000000</v>
      </c>
      <c r="L14218" t="str">
        <f>T("7168831016")</f>
        <v>7168831016</v>
      </c>
    </row>
    <row r="14219" spans="1:12" x14ac:dyDescent="0.35">
      <c r="A14219" t="str">
        <f t="shared" si="5250"/>
        <v>RCC MID-ATLANTIC NORFOLK</v>
      </c>
      <c r="B14219" t="str">
        <f>T("300 HILDRETH ST N")</f>
        <v>300 HILDRETH ST N</v>
      </c>
      <c r="C14219" t="str">
        <f>T("SUITE 300")</f>
        <v>SUITE 300</v>
      </c>
      <c r="D14219" t="str">
        <f>T("BANGOR")</f>
        <v>BANGOR</v>
      </c>
      <c r="E14219" t="str">
        <f>T("ME")</f>
        <v>ME</v>
      </c>
      <c r="F14219" t="str">
        <f>T("044015773")</f>
        <v>044015773</v>
      </c>
      <c r="G14219" t="str">
        <f>T("300 HILDRETH ST N")</f>
        <v>300 HILDRETH ST N</v>
      </c>
      <c r="H14219" t="str">
        <f>T("SUITE 300")</f>
        <v>SUITE 300</v>
      </c>
      <c r="I14219" t="str">
        <f>T("BANGOR")</f>
        <v>BANGOR</v>
      </c>
      <c r="J14219" t="str">
        <f>T("ME")</f>
        <v>ME</v>
      </c>
      <c r="K14219" t="str">
        <f>T("")</f>
        <v/>
      </c>
      <c r="L14219" t="str">
        <f>T("2079741300")</f>
        <v>2079741300</v>
      </c>
    </row>
    <row r="14220" spans="1:12" x14ac:dyDescent="0.35">
      <c r="A14220" t="str">
        <f t="shared" ref="A14220:A14251" si="5255">T("RCC MID-ATLANTIC NORFOLK")</f>
        <v>RCC MID-ATLANTIC NORFOLK</v>
      </c>
      <c r="B14220" t="str">
        <f>T("300 HILDRETH ST N")</f>
        <v>300 HILDRETH ST N</v>
      </c>
      <c r="C14220" t="str">
        <f>T("SUITE 300")</f>
        <v>SUITE 300</v>
      </c>
      <c r="D14220" t="str">
        <f>T("BANGOR")</f>
        <v>BANGOR</v>
      </c>
      <c r="E14220" t="str">
        <f>T("ME")</f>
        <v>ME</v>
      </c>
      <c r="F14220" t="str">
        <f>T("044015773")</f>
        <v>044015773</v>
      </c>
      <c r="G14220" t="str">
        <f>T("300 HILDRETH STREET")</f>
        <v>300 HILDRETH STREET</v>
      </c>
      <c r="H14220" t="str">
        <f t="shared" ref="H14220:H14232" si="5256">T("")</f>
        <v/>
      </c>
      <c r="I14220" t="str">
        <f>T("BANGOR")</f>
        <v>BANGOR</v>
      </c>
      <c r="J14220" t="str">
        <f>T("ME")</f>
        <v>ME</v>
      </c>
      <c r="K14220" t="str">
        <f>T("000000000000000000")</f>
        <v>000000000000000000</v>
      </c>
      <c r="L14220" t="str">
        <f>T("2079741301")</f>
        <v>2079741301</v>
      </c>
    </row>
    <row r="14221" spans="1:12" x14ac:dyDescent="0.35">
      <c r="A14221" t="str">
        <f t="shared" si="5255"/>
        <v>RCC MID-ATLANTIC NORFOLK</v>
      </c>
      <c r="B14221" t="str">
        <f>T("345 EASTON ST")</f>
        <v>345 EASTON ST</v>
      </c>
      <c r="C14221" t="str">
        <f t="shared" ref="C14221:C14262" si="5257">T("")</f>
        <v/>
      </c>
      <c r="D14221" t="str">
        <f>T("NEWPORT")</f>
        <v>NEWPORT</v>
      </c>
      <c r="E14221" t="str">
        <f>T("RI")</f>
        <v>RI</v>
      </c>
      <c r="F14221" t="str">
        <f>T("028411503")</f>
        <v>028411503</v>
      </c>
      <c r="G14221" t="str">
        <f>T("345 EASTON ST")</f>
        <v>345 EASTON ST</v>
      </c>
      <c r="H14221" t="str">
        <f t="shared" si="5256"/>
        <v/>
      </c>
      <c r="I14221" t="str">
        <f>T("NEWPORT")</f>
        <v>NEWPORT</v>
      </c>
      <c r="J14221" t="str">
        <f>T("RI")</f>
        <v>RI</v>
      </c>
      <c r="K14221" t="str">
        <f>T("4018412751")</f>
        <v>4018412751</v>
      </c>
      <c r="L14221" t="str">
        <f>T("4018414538")</f>
        <v>4018414538</v>
      </c>
    </row>
    <row r="14222" spans="1:12" x14ac:dyDescent="0.35">
      <c r="A14222" t="str">
        <f t="shared" si="5255"/>
        <v>RCC MID-ATLANTIC NORFOLK</v>
      </c>
      <c r="B14222" t="str">
        <f>T("345 EASTON ST")</f>
        <v>345 EASTON ST</v>
      </c>
      <c r="C14222" t="str">
        <f t="shared" si="5257"/>
        <v/>
      </c>
      <c r="D14222" t="str">
        <f>T("NEWPORT")</f>
        <v>NEWPORT</v>
      </c>
      <c r="E14222" t="str">
        <f>T("RI")</f>
        <v>RI</v>
      </c>
      <c r="F14222" t="str">
        <f>T("028411503")</f>
        <v>028411503</v>
      </c>
      <c r="G14222" t="str">
        <f>T("345 EASTON STREET")</f>
        <v>345 EASTON STREET</v>
      </c>
      <c r="H14222" t="str">
        <f t="shared" si="5256"/>
        <v/>
      </c>
      <c r="I14222" t="str">
        <f>T("NEWPORT")</f>
        <v>NEWPORT</v>
      </c>
      <c r="J14222" t="str">
        <f>T("RI")</f>
        <v>RI</v>
      </c>
      <c r="K14222" t="str">
        <f>T("000000000000000000")</f>
        <v>000000000000000000</v>
      </c>
      <c r="L14222" t="str">
        <f>T("4018414547")</f>
        <v>4018414547</v>
      </c>
    </row>
    <row r="14223" spans="1:12" x14ac:dyDescent="0.35">
      <c r="A14223" t="str">
        <f t="shared" si="5255"/>
        <v>RCC MID-ATLANTIC NORFOLK</v>
      </c>
      <c r="B14223" t="str">
        <f>T("345 EASTON ST")</f>
        <v>345 EASTON ST</v>
      </c>
      <c r="C14223" t="str">
        <f t="shared" si="5257"/>
        <v/>
      </c>
      <c r="D14223" t="str">
        <f>T("NEWPORT")</f>
        <v>NEWPORT</v>
      </c>
      <c r="E14223" t="str">
        <f>T("RI")</f>
        <v>RI</v>
      </c>
      <c r="F14223" t="str">
        <f>T("028411503")</f>
        <v>028411503</v>
      </c>
      <c r="G14223" t="str">
        <f>T("345 EASTON STREET")</f>
        <v>345 EASTON STREET</v>
      </c>
      <c r="H14223" t="str">
        <f t="shared" si="5256"/>
        <v/>
      </c>
      <c r="I14223" t="str">
        <f>T("NEWPORT")</f>
        <v>NEWPORT</v>
      </c>
      <c r="J14223" t="str">
        <f>T("RI")</f>
        <v>RI</v>
      </c>
      <c r="K14223" t="str">
        <f>T("000000000000000000")</f>
        <v>000000000000000000</v>
      </c>
      <c r="L14223" t="str">
        <f>T("4018414548")</f>
        <v>4018414548</v>
      </c>
    </row>
    <row r="14224" spans="1:12" x14ac:dyDescent="0.35">
      <c r="A14224" t="str">
        <f t="shared" si="5255"/>
        <v>RCC MID-ATLANTIC NORFOLK</v>
      </c>
      <c r="B14224" t="str">
        <f>T("3623 CAROLINA BEACH RD")</f>
        <v>3623 CAROLINA BEACH RD</v>
      </c>
      <c r="C14224" t="str">
        <f t="shared" si="5257"/>
        <v/>
      </c>
      <c r="D14224" t="str">
        <f>T("WILMINGTON")</f>
        <v>WILMINGTON</v>
      </c>
      <c r="E14224" t="str">
        <f>T("NC")</f>
        <v>NC</v>
      </c>
      <c r="F14224" t="str">
        <f>T("284121904")</f>
        <v>284121904</v>
      </c>
      <c r="G14224" t="str">
        <f>T("3623 CAROLINA BEACH RD")</f>
        <v>3623 CAROLINA BEACH RD</v>
      </c>
      <c r="H14224" t="str">
        <f t="shared" si="5256"/>
        <v/>
      </c>
      <c r="I14224" t="str">
        <f>T("WILMINGTON")</f>
        <v>WILMINGTON</v>
      </c>
      <c r="J14224" t="str">
        <f>T("NC")</f>
        <v>NC</v>
      </c>
      <c r="K14224" t="str">
        <f>T("")</f>
        <v/>
      </c>
      <c r="L14224" t="str">
        <f>T("9107772503")</f>
        <v>9107772503</v>
      </c>
    </row>
    <row r="14225" spans="1:12" x14ac:dyDescent="0.35">
      <c r="A14225" t="str">
        <f t="shared" si="5255"/>
        <v>RCC MID-ATLANTIC NORFOLK</v>
      </c>
      <c r="B14225" t="str">
        <f>T("3623 CAROLINA BEACH RD")</f>
        <v>3623 CAROLINA BEACH RD</v>
      </c>
      <c r="C14225" t="str">
        <f t="shared" si="5257"/>
        <v/>
      </c>
      <c r="D14225" t="str">
        <f>T("WILMINGTON")</f>
        <v>WILMINGTON</v>
      </c>
      <c r="E14225" t="str">
        <f>T("NC")</f>
        <v>NC</v>
      </c>
      <c r="F14225" t="str">
        <f>T("284121904")</f>
        <v>284121904</v>
      </c>
      <c r="G14225" t="str">
        <f>T("3623 CAROLINA BEACH ROAD")</f>
        <v>3623 CAROLINA BEACH ROAD</v>
      </c>
      <c r="H14225" t="str">
        <f t="shared" si="5256"/>
        <v/>
      </c>
      <c r="I14225" t="str">
        <f>T("WILMINGTON")</f>
        <v>WILMINGTON</v>
      </c>
      <c r="J14225" t="str">
        <f>T("NC")</f>
        <v>NC</v>
      </c>
      <c r="K14225" t="str">
        <f>T("000000000000000000")</f>
        <v>000000000000000000</v>
      </c>
      <c r="L14225" t="str">
        <f>T("9105772511")</f>
        <v>9105772511</v>
      </c>
    </row>
    <row r="14226" spans="1:12" x14ac:dyDescent="0.35">
      <c r="A14226" t="str">
        <f t="shared" si="5255"/>
        <v>RCC MID-ATLANTIC NORFOLK</v>
      </c>
      <c r="B14226" t="str">
        <f>T("3623 CAROLINA BEACH RD")</f>
        <v>3623 CAROLINA BEACH RD</v>
      </c>
      <c r="C14226" t="str">
        <f t="shared" si="5257"/>
        <v/>
      </c>
      <c r="D14226" t="str">
        <f>T("WILMINGTON")</f>
        <v>WILMINGTON</v>
      </c>
      <c r="E14226" t="str">
        <f>T("NC")</f>
        <v>NC</v>
      </c>
      <c r="F14226" t="str">
        <f>T("284121904")</f>
        <v>284121904</v>
      </c>
      <c r="G14226" t="str">
        <f>T("3626 CAROLINA BEACH ROAD")</f>
        <v>3626 CAROLINA BEACH ROAD</v>
      </c>
      <c r="H14226" t="str">
        <f t="shared" si="5256"/>
        <v/>
      </c>
      <c r="I14226" t="str">
        <f>T("WILMINGTON")</f>
        <v>WILMINGTON</v>
      </c>
      <c r="J14226" t="str">
        <f>T("NC")</f>
        <v>NC</v>
      </c>
      <c r="K14226" t="str">
        <f>T("000000000000000000")</f>
        <v>000000000000000000</v>
      </c>
      <c r="L14226" t="str">
        <f>T("9107772509")</f>
        <v>9107772509</v>
      </c>
    </row>
    <row r="14227" spans="1:12" x14ac:dyDescent="0.35">
      <c r="A14227" t="str">
        <f t="shared" si="5255"/>
        <v>RCC MID-ATLANTIC NORFOLK</v>
      </c>
      <c r="B14227" t="str">
        <f>T("4 PENNYFIELD AVE")</f>
        <v>4 PENNYFIELD AVE</v>
      </c>
      <c r="C14227" t="str">
        <f t="shared" si="5257"/>
        <v/>
      </c>
      <c r="D14227" t="str">
        <f>T("BRONX")</f>
        <v>BRONX</v>
      </c>
      <c r="E14227" t="str">
        <f>T("NY")</f>
        <v>NY</v>
      </c>
      <c r="F14227" t="str">
        <f>T("104654127")</f>
        <v>104654127</v>
      </c>
      <c r="G14227" t="str">
        <f>T("4 PENNYFIELD AVE")</f>
        <v>4 PENNYFIELD AVE</v>
      </c>
      <c r="H14227" t="str">
        <f t="shared" si="5256"/>
        <v/>
      </c>
      <c r="I14227" t="str">
        <f>T("BRONX")</f>
        <v>BRONX</v>
      </c>
      <c r="J14227" t="str">
        <f>T("NY")</f>
        <v>NY</v>
      </c>
      <c r="K14227" t="str">
        <f>T("")</f>
        <v/>
      </c>
      <c r="L14227" t="str">
        <f>T("7188920312")</f>
        <v>7188920312</v>
      </c>
    </row>
    <row r="14228" spans="1:12" x14ac:dyDescent="0.35">
      <c r="A14228" t="str">
        <f t="shared" si="5255"/>
        <v>RCC MID-ATLANTIC NORFOLK</v>
      </c>
      <c r="B14228" t="str">
        <f>T("4 PENNYFIELD AVE")</f>
        <v>4 PENNYFIELD AVE</v>
      </c>
      <c r="C14228" t="str">
        <f t="shared" si="5257"/>
        <v/>
      </c>
      <c r="D14228" t="str">
        <f>T("BRONX")</f>
        <v>BRONX</v>
      </c>
      <c r="E14228" t="str">
        <f>T("NY")</f>
        <v>NY</v>
      </c>
      <c r="F14228" t="str">
        <f>T("104654127")</f>
        <v>104654127</v>
      </c>
      <c r="G14228" t="str">
        <f>T("4 PENNYFIELD AVE")</f>
        <v>4 PENNYFIELD AVE</v>
      </c>
      <c r="H14228" t="str">
        <f t="shared" si="5256"/>
        <v/>
      </c>
      <c r="I14228" t="str">
        <f>T("BRONX")</f>
        <v>BRONX</v>
      </c>
      <c r="J14228" t="str">
        <f>T("NY")</f>
        <v>NY</v>
      </c>
      <c r="K14228" t="str">
        <f>T("000000000000000000")</f>
        <v>000000000000000000</v>
      </c>
      <c r="L14228" t="str">
        <f>T("7188920312")</f>
        <v>7188920312</v>
      </c>
    </row>
    <row r="14229" spans="1:12" x14ac:dyDescent="0.35">
      <c r="A14229" t="str">
        <f t="shared" si="5255"/>
        <v>RCC MID-ATLANTIC NORFOLK</v>
      </c>
      <c r="B14229" t="str">
        <f>T("439 PAUL ROAD")</f>
        <v>439 PAUL ROAD</v>
      </c>
      <c r="C14229" t="str">
        <f t="shared" si="5257"/>
        <v/>
      </c>
      <c r="D14229" t="str">
        <f>T("ROCHESTER")</f>
        <v>ROCHESTER</v>
      </c>
      <c r="E14229" t="str">
        <f>T("NY")</f>
        <v>NY</v>
      </c>
      <c r="F14229" t="str">
        <f>T("146244721")</f>
        <v>146244721</v>
      </c>
      <c r="G14229" t="str">
        <f>T("439 PAUL RD")</f>
        <v>439 PAUL RD</v>
      </c>
      <c r="H14229" t="str">
        <f t="shared" si="5256"/>
        <v/>
      </c>
      <c r="I14229" t="str">
        <f>T("ROCHESTER")</f>
        <v>ROCHESTER</v>
      </c>
      <c r="J14229" t="str">
        <f>T("NY")</f>
        <v>NY</v>
      </c>
      <c r="K14229" t="str">
        <f>T("000000000000000000")</f>
        <v>000000000000000000</v>
      </c>
      <c r="L14229" t="str">
        <f>T("5852476858")</f>
        <v>5852476858</v>
      </c>
    </row>
    <row r="14230" spans="1:12" x14ac:dyDescent="0.35">
      <c r="A14230" t="str">
        <f t="shared" si="5255"/>
        <v>RCC MID-ATLANTIC NORFOLK</v>
      </c>
      <c r="B14230" t="str">
        <f>T("439 PAUL ROAD")</f>
        <v>439 PAUL ROAD</v>
      </c>
      <c r="C14230" t="str">
        <f t="shared" si="5257"/>
        <v/>
      </c>
      <c r="D14230" t="str">
        <f>T("ROCHESTER")</f>
        <v>ROCHESTER</v>
      </c>
      <c r="E14230" t="str">
        <f>T("NY")</f>
        <v>NY</v>
      </c>
      <c r="F14230" t="str">
        <f>T("146244721")</f>
        <v>146244721</v>
      </c>
      <c r="G14230" t="str">
        <f>T("439 PAUL ROAD")</f>
        <v>439 PAUL ROAD</v>
      </c>
      <c r="H14230" t="str">
        <f t="shared" si="5256"/>
        <v/>
      </c>
      <c r="I14230" t="str">
        <f>T("ROCHESTER")</f>
        <v>ROCHESTER</v>
      </c>
      <c r="J14230" t="str">
        <f>T("NY")</f>
        <v>NY</v>
      </c>
      <c r="K14230" t="str">
        <f>T("")</f>
        <v/>
      </c>
      <c r="L14230" t="str">
        <f>T("5852476858")</f>
        <v>5852476858</v>
      </c>
    </row>
    <row r="14231" spans="1:12" x14ac:dyDescent="0.35">
      <c r="A14231" t="str">
        <f t="shared" si="5255"/>
        <v>RCC MID-ATLANTIC NORFOLK</v>
      </c>
      <c r="B14231" t="str">
        <f>T("439 PAUL ROAD")</f>
        <v>439 PAUL ROAD</v>
      </c>
      <c r="C14231" t="str">
        <f t="shared" si="5257"/>
        <v/>
      </c>
      <c r="D14231" t="str">
        <f>T("ROCHESTER")</f>
        <v>ROCHESTER</v>
      </c>
      <c r="E14231" t="str">
        <f>T("NY")</f>
        <v>NY</v>
      </c>
      <c r="F14231" t="str">
        <f>T("146244721")</f>
        <v>146244721</v>
      </c>
      <c r="G14231" t="str">
        <f>T("439 PAUL ROAD")</f>
        <v>439 PAUL ROAD</v>
      </c>
      <c r="H14231" t="str">
        <f t="shared" si="5256"/>
        <v/>
      </c>
      <c r="I14231" t="str">
        <f>T("ROCHESTER")</f>
        <v>ROCHESTER</v>
      </c>
      <c r="J14231" t="str">
        <f>T("NY")</f>
        <v>NY</v>
      </c>
      <c r="K14231" t="str">
        <f>T("000000000000000000")</f>
        <v>000000000000000000</v>
      </c>
      <c r="L14231" t="str">
        <f>T("5852476858")</f>
        <v>5852476858</v>
      </c>
    </row>
    <row r="14232" spans="1:12" x14ac:dyDescent="0.35">
      <c r="A14232" t="str">
        <f t="shared" si="5255"/>
        <v>RCC MID-ATLANTIC NORFOLK</v>
      </c>
      <c r="B14232" t="str">
        <f>T("521 PARK CRESCENT")</f>
        <v>521 PARK CRESCENT</v>
      </c>
      <c r="C14232" t="str">
        <f t="shared" si="5257"/>
        <v/>
      </c>
      <c r="D14232" t="str">
        <f>T("NORFOLK")</f>
        <v>NORFOLK</v>
      </c>
      <c r="E14232" t="str">
        <f t="shared" ref="E14232:E14239" si="5258">T("VA")</f>
        <v>VA</v>
      </c>
      <c r="F14232" t="str">
        <f>T("235114009")</f>
        <v>235114009</v>
      </c>
      <c r="G14232" t="str">
        <f>T("521 PARK CRES")</f>
        <v>521 PARK CRES</v>
      </c>
      <c r="H14232" t="str">
        <f t="shared" si="5256"/>
        <v/>
      </c>
      <c r="I14232" t="str">
        <f>T("NORFOLK")</f>
        <v>NORFOLK</v>
      </c>
      <c r="J14232" t="str">
        <f t="shared" ref="J14232:J14239" si="5259">T("VA")</f>
        <v>VA</v>
      </c>
      <c r="K14232" t="str">
        <f>T("000000000000000000")</f>
        <v>000000000000000000</v>
      </c>
      <c r="L14232" t="str">
        <f>T("7574447295")</f>
        <v>7574447295</v>
      </c>
    </row>
    <row r="14233" spans="1:12" x14ac:dyDescent="0.35">
      <c r="A14233" t="str">
        <f t="shared" si="5255"/>
        <v>RCC MID-ATLANTIC NORFOLK</v>
      </c>
      <c r="B14233" t="str">
        <f>T("521 PARK CRESCENT")</f>
        <v>521 PARK CRESCENT</v>
      </c>
      <c r="C14233" t="str">
        <f t="shared" si="5257"/>
        <v/>
      </c>
      <c r="D14233" t="str">
        <f>T("NORFOLK")</f>
        <v>NORFOLK</v>
      </c>
      <c r="E14233" t="str">
        <f t="shared" si="5258"/>
        <v>VA</v>
      </c>
      <c r="F14233" t="str">
        <f>T("235114009")</f>
        <v>235114009</v>
      </c>
      <c r="G14233" t="str">
        <f>T("521 PARK CRES")</f>
        <v>521 PARK CRES</v>
      </c>
      <c r="H14233" t="str">
        <f>T("BUILDING SP12")</f>
        <v>BUILDING SP12</v>
      </c>
      <c r="I14233" t="str">
        <f>T("NORFOLK")</f>
        <v>NORFOLK</v>
      </c>
      <c r="J14233" t="str">
        <f t="shared" si="5259"/>
        <v>VA</v>
      </c>
      <c r="K14233" t="str">
        <f>T("000000000000000000")</f>
        <v>000000000000000000</v>
      </c>
      <c r="L14233" t="str">
        <f>T("7573415919")</f>
        <v>7573415919</v>
      </c>
    </row>
    <row r="14234" spans="1:12" x14ac:dyDescent="0.35">
      <c r="A14234" t="str">
        <f t="shared" si="5255"/>
        <v>RCC MID-ATLANTIC NORFOLK</v>
      </c>
      <c r="B14234" t="str">
        <f>T("521 PARK CRESCENT")</f>
        <v>521 PARK CRESCENT</v>
      </c>
      <c r="C14234" t="str">
        <f t="shared" si="5257"/>
        <v/>
      </c>
      <c r="D14234" t="str">
        <f>T("NORFOLK")</f>
        <v>NORFOLK</v>
      </c>
      <c r="E14234" t="str">
        <f t="shared" si="5258"/>
        <v>VA</v>
      </c>
      <c r="F14234" t="str">
        <f>T("235114009")</f>
        <v>235114009</v>
      </c>
      <c r="G14234" t="str">
        <f>T("521 PARK CRESCENT")</f>
        <v>521 PARK CRESCENT</v>
      </c>
      <c r="H14234" t="str">
        <f>T("")</f>
        <v/>
      </c>
      <c r="I14234" t="str">
        <f>T("NORFOLK")</f>
        <v>NORFOLK</v>
      </c>
      <c r="J14234" t="str">
        <f t="shared" si="5259"/>
        <v>VA</v>
      </c>
      <c r="K14234" t="str">
        <f>T("000000000000000000")</f>
        <v>000000000000000000</v>
      </c>
      <c r="L14234" t="str">
        <f>T("7574447295")</f>
        <v>7574447295</v>
      </c>
    </row>
    <row r="14235" spans="1:12" x14ac:dyDescent="0.35">
      <c r="A14235" t="str">
        <f t="shared" si="5255"/>
        <v>RCC MID-ATLANTIC NORFOLK</v>
      </c>
      <c r="B14235" t="str">
        <f>T("521 PARK CRESCENT")</f>
        <v>521 PARK CRESCENT</v>
      </c>
      <c r="C14235" t="str">
        <f t="shared" si="5257"/>
        <v/>
      </c>
      <c r="D14235" t="str">
        <f>T("NORFOLK")</f>
        <v>NORFOLK</v>
      </c>
      <c r="E14235" t="str">
        <f t="shared" si="5258"/>
        <v>VA</v>
      </c>
      <c r="F14235" t="str">
        <f>T("235114009")</f>
        <v>235114009</v>
      </c>
      <c r="G14235" t="str">
        <f>T("521 PARK CRESCENT")</f>
        <v>521 PARK CRESCENT</v>
      </c>
      <c r="H14235" t="str">
        <f>T("")</f>
        <v/>
      </c>
      <c r="I14235" t="str">
        <f>T("NORFOLK")</f>
        <v>NORFOLK</v>
      </c>
      <c r="J14235" t="str">
        <f t="shared" si="5259"/>
        <v>VA</v>
      </c>
      <c r="K14235" t="str">
        <f>T("7574457618")</f>
        <v>7574457618</v>
      </c>
      <c r="L14235" t="str">
        <f>T("1111111111")</f>
        <v>1111111111</v>
      </c>
    </row>
    <row r="14236" spans="1:12" x14ac:dyDescent="0.35">
      <c r="A14236" t="str">
        <f t="shared" si="5255"/>
        <v>RCC MID-ATLANTIC NORFOLK</v>
      </c>
      <c r="B14236" t="str">
        <f>T("521 PARK CRESCENT")</f>
        <v>521 PARK CRESCENT</v>
      </c>
      <c r="C14236" t="str">
        <f t="shared" si="5257"/>
        <v/>
      </c>
      <c r="D14236" t="str">
        <f>T("NORFOLK")</f>
        <v>NORFOLK</v>
      </c>
      <c r="E14236" t="str">
        <f t="shared" si="5258"/>
        <v>VA</v>
      </c>
      <c r="F14236" t="str">
        <f>T("235114009")</f>
        <v>235114009</v>
      </c>
      <c r="G14236" t="str">
        <f>T("521 PARK CRESCENT")</f>
        <v>521 PARK CRESCENT</v>
      </c>
      <c r="H14236" t="str">
        <f>T("BLDG SP12")</f>
        <v>BLDG SP12</v>
      </c>
      <c r="I14236" t="str">
        <f>T("NORFOLK")</f>
        <v>NORFOLK</v>
      </c>
      <c r="J14236" t="str">
        <f t="shared" si="5259"/>
        <v>VA</v>
      </c>
      <c r="K14236" t="str">
        <f>T("000000000000000000")</f>
        <v>000000000000000000</v>
      </c>
      <c r="L14236" t="str">
        <f>T("7574447295")</f>
        <v>7574447295</v>
      </c>
    </row>
    <row r="14237" spans="1:12" x14ac:dyDescent="0.35">
      <c r="A14237" t="str">
        <f t="shared" si="5255"/>
        <v>RCC MID-ATLANTIC NORFOLK</v>
      </c>
      <c r="B14237" t="str">
        <f>T("5301 BARNS AVE")</f>
        <v>5301 BARNS AVE</v>
      </c>
      <c r="C14237" t="str">
        <f t="shared" si="5257"/>
        <v/>
      </c>
      <c r="D14237" t="str">
        <f>T("ROANOKE")</f>
        <v>ROANOKE</v>
      </c>
      <c r="E14237" t="str">
        <f t="shared" si="5258"/>
        <v>VA</v>
      </c>
      <c r="F14237" t="str">
        <f>T("240193801")</f>
        <v>240193801</v>
      </c>
      <c r="G14237" t="str">
        <f>T("5301 BARNS AVE")</f>
        <v>5301 BARNS AVE</v>
      </c>
      <c r="H14237" t="str">
        <f t="shared" ref="H14237:H14242" si="5260">T("")</f>
        <v/>
      </c>
      <c r="I14237" t="str">
        <f>T("ROANOKE")</f>
        <v>ROANOKE</v>
      </c>
      <c r="J14237" t="str">
        <f t="shared" si="5259"/>
        <v>VA</v>
      </c>
      <c r="K14237" t="str">
        <f>T("")</f>
        <v/>
      </c>
      <c r="L14237" t="str">
        <f>T("5405639723")</f>
        <v>5405639723</v>
      </c>
    </row>
    <row r="14238" spans="1:12" x14ac:dyDescent="0.35">
      <c r="A14238" t="str">
        <f t="shared" si="5255"/>
        <v>RCC MID-ATLANTIC NORFOLK</v>
      </c>
      <c r="B14238" t="str">
        <f>T("5301 BARNS AVE")</f>
        <v>5301 BARNS AVE</v>
      </c>
      <c r="C14238" t="str">
        <f t="shared" si="5257"/>
        <v/>
      </c>
      <c r="D14238" t="str">
        <f>T("ROANOKE")</f>
        <v>ROANOKE</v>
      </c>
      <c r="E14238" t="str">
        <f t="shared" si="5258"/>
        <v>VA</v>
      </c>
      <c r="F14238" t="str">
        <f>T("240193801")</f>
        <v>240193801</v>
      </c>
      <c r="G14238" t="str">
        <f>T("5301 BARNS AVE")</f>
        <v>5301 BARNS AVE</v>
      </c>
      <c r="H14238" t="str">
        <f t="shared" si="5260"/>
        <v/>
      </c>
      <c r="I14238" t="str">
        <f>T("ROANOKE")</f>
        <v>ROANOKE</v>
      </c>
      <c r="J14238" t="str">
        <f t="shared" si="5259"/>
        <v>VA</v>
      </c>
      <c r="K14238" t="str">
        <f>T("000000000000000000")</f>
        <v>000000000000000000</v>
      </c>
      <c r="L14238" t="str">
        <f>T("5405639723")</f>
        <v>5405639723</v>
      </c>
    </row>
    <row r="14239" spans="1:12" x14ac:dyDescent="0.35">
      <c r="A14239" t="str">
        <f t="shared" si="5255"/>
        <v>RCC MID-ATLANTIC NORFOLK</v>
      </c>
      <c r="B14239" t="str">
        <f>T("5301 BARNS AVE")</f>
        <v>5301 BARNS AVE</v>
      </c>
      <c r="C14239" t="str">
        <f t="shared" si="5257"/>
        <v/>
      </c>
      <c r="D14239" t="str">
        <f>T("ROANOKE")</f>
        <v>ROANOKE</v>
      </c>
      <c r="E14239" t="str">
        <f t="shared" si="5258"/>
        <v>VA</v>
      </c>
      <c r="F14239" t="str">
        <f>T("240193801")</f>
        <v>240193801</v>
      </c>
      <c r="G14239" t="str">
        <f>T("5301 BARNS AVENUE")</f>
        <v>5301 BARNS AVENUE</v>
      </c>
      <c r="H14239" t="str">
        <f t="shared" si="5260"/>
        <v/>
      </c>
      <c r="I14239" t="str">
        <f>T("ROANOKE")</f>
        <v>ROANOKE</v>
      </c>
      <c r="J14239" t="str">
        <f t="shared" si="5259"/>
        <v>VA</v>
      </c>
      <c r="K14239" t="str">
        <f>T("000000000000000000")</f>
        <v>000000000000000000</v>
      </c>
      <c r="L14239" t="str">
        <f>T("5405639723")</f>
        <v>5405639723</v>
      </c>
    </row>
    <row r="14240" spans="1:12" x14ac:dyDescent="0.35">
      <c r="A14240" t="str">
        <f t="shared" si="5255"/>
        <v>RCC MID-ATLANTIC NORFOLK</v>
      </c>
      <c r="B14240" t="str">
        <f>T("5803 E MOLLY RD")</f>
        <v>5803 E MOLLY RD</v>
      </c>
      <c r="C14240" t="str">
        <f t="shared" si="5257"/>
        <v/>
      </c>
      <c r="D14240" t="str">
        <f>T("SYRACUSE")</f>
        <v>SYRACUSE</v>
      </c>
      <c r="E14240" t="str">
        <f>T("NY")</f>
        <v>NY</v>
      </c>
      <c r="F14240" t="str">
        <f>T("132111907")</f>
        <v>132111907</v>
      </c>
      <c r="G14240" t="str">
        <f>T("5803 E MOLLOY ROAD")</f>
        <v>5803 E MOLLOY ROAD</v>
      </c>
      <c r="H14240" t="str">
        <f t="shared" si="5260"/>
        <v/>
      </c>
      <c r="I14240" t="str">
        <f>T("SYRACUSE")</f>
        <v>SYRACUSE</v>
      </c>
      <c r="J14240" t="str">
        <f>T("NY")</f>
        <v>NY</v>
      </c>
      <c r="K14240" t="str">
        <f>T("000000000000000000")</f>
        <v>000000000000000000</v>
      </c>
      <c r="L14240" t="str">
        <f>T("3154552441")</f>
        <v>3154552441</v>
      </c>
    </row>
    <row r="14241" spans="1:12" x14ac:dyDescent="0.35">
      <c r="A14241" t="str">
        <f t="shared" si="5255"/>
        <v>RCC MID-ATLANTIC NORFOLK</v>
      </c>
      <c r="B14241" t="str">
        <f>T("5803 E MOLLY RD")</f>
        <v>5803 E MOLLY RD</v>
      </c>
      <c r="C14241" t="str">
        <f t="shared" si="5257"/>
        <v/>
      </c>
      <c r="D14241" t="str">
        <f>T("SYRACUSE")</f>
        <v>SYRACUSE</v>
      </c>
      <c r="E14241" t="str">
        <f>T("NY")</f>
        <v>NY</v>
      </c>
      <c r="F14241" t="str">
        <f>T("132111907")</f>
        <v>132111907</v>
      </c>
      <c r="G14241" t="str">
        <f>T("5803 E MOLLOY ROAD")</f>
        <v>5803 E MOLLOY ROAD</v>
      </c>
      <c r="H14241" t="str">
        <f t="shared" si="5260"/>
        <v/>
      </c>
      <c r="I14241" t="str">
        <f>T("SYRACUSE")</f>
        <v>SYRACUSE</v>
      </c>
      <c r="J14241" t="str">
        <f>T("NY")</f>
        <v>NY</v>
      </c>
      <c r="K14241" t="str">
        <f>T("3154552441206")</f>
        <v>3154552441206</v>
      </c>
      <c r="L14241" t="str">
        <f>T("3154552441")</f>
        <v>3154552441</v>
      </c>
    </row>
    <row r="14242" spans="1:12" x14ac:dyDescent="0.35">
      <c r="A14242" t="str">
        <f t="shared" si="5255"/>
        <v>RCC MID-ATLANTIC NORFOLK</v>
      </c>
      <c r="B14242" t="str">
        <f>T("5803 E MOLLY RD")</f>
        <v>5803 E MOLLY RD</v>
      </c>
      <c r="C14242" t="str">
        <f t="shared" si="5257"/>
        <v/>
      </c>
      <c r="D14242" t="str">
        <f>T("SYRACUSE")</f>
        <v>SYRACUSE</v>
      </c>
      <c r="E14242" t="str">
        <f>T("NY")</f>
        <v>NY</v>
      </c>
      <c r="F14242" t="str">
        <f>T("132111907")</f>
        <v>132111907</v>
      </c>
      <c r="G14242" t="str">
        <f>T("5803 E MOLLY RD")</f>
        <v>5803 E MOLLY RD</v>
      </c>
      <c r="H14242" t="str">
        <f t="shared" si="5260"/>
        <v/>
      </c>
      <c r="I14242" t="str">
        <f>T("SYRACUSE")</f>
        <v>SYRACUSE</v>
      </c>
      <c r="J14242" t="str">
        <f>T("NY")</f>
        <v>NY</v>
      </c>
      <c r="K14242" t="str">
        <f>T("3154558777")</f>
        <v>3154558777</v>
      </c>
      <c r="L14242" t="str">
        <f>T("3154552441")</f>
        <v>3154552441</v>
      </c>
    </row>
    <row r="14243" spans="1:12" x14ac:dyDescent="0.35">
      <c r="A14243" t="str">
        <f t="shared" si="5255"/>
        <v>RCC MID-ATLANTIC NORFOLK</v>
      </c>
      <c r="B14243" t="str">
        <f>T("5803 E MOLLY RD")</f>
        <v>5803 E MOLLY RD</v>
      </c>
      <c r="C14243" t="str">
        <f t="shared" si="5257"/>
        <v/>
      </c>
      <c r="D14243" t="str">
        <f>T("SYRACUSE")</f>
        <v>SYRACUSE</v>
      </c>
      <c r="E14243" t="str">
        <f>T("NY")</f>
        <v>NY</v>
      </c>
      <c r="F14243" t="str">
        <f>T("132111907")</f>
        <v>132111907</v>
      </c>
      <c r="G14243" t="str">
        <f>T("NOSC SYRACUSE")</f>
        <v>NOSC SYRACUSE</v>
      </c>
      <c r="H14243" t="str">
        <f>T("5803 E MOLLOY RD")</f>
        <v>5803 E MOLLOY RD</v>
      </c>
      <c r="I14243" t="str">
        <f>T("SYRACUSE")</f>
        <v>SYRACUSE</v>
      </c>
      <c r="J14243" t="str">
        <f>T("NY")</f>
        <v>NY</v>
      </c>
      <c r="K14243" t="str">
        <f>T("000000000000000000")</f>
        <v>000000000000000000</v>
      </c>
      <c r="L14243" t="str">
        <f>T("3154552441")</f>
        <v>3154552441</v>
      </c>
    </row>
    <row r="14244" spans="1:12" x14ac:dyDescent="0.35">
      <c r="A14244" t="str">
        <f t="shared" si="5255"/>
        <v>RCC MID-ATLANTIC NORFOLK</v>
      </c>
      <c r="B14244" t="str">
        <f>T("5951 NEWPORT ST")</f>
        <v>5951 NEWPORT ST</v>
      </c>
      <c r="C14244" t="str">
        <f t="shared" si="5257"/>
        <v/>
      </c>
      <c r="D14244" t="str">
        <f>T("JB MDL")</f>
        <v>JB MDL</v>
      </c>
      <c r="E14244" t="str">
        <f>T("NJ")</f>
        <v>NJ</v>
      </c>
      <c r="F14244" t="str">
        <f>T("086405333")</f>
        <v>086405333</v>
      </c>
      <c r="G14244" t="str">
        <f>T("5951 NEWPORT ST")</f>
        <v>5951 NEWPORT ST</v>
      </c>
      <c r="H14244" t="str">
        <f>T("")</f>
        <v/>
      </c>
      <c r="I14244" t="str">
        <f>T("FORT DIX")</f>
        <v>FORT DIX</v>
      </c>
      <c r="J14244" t="str">
        <f>T("NJ")</f>
        <v>NJ</v>
      </c>
      <c r="K14244" t="str">
        <f>T("000000000000000000")</f>
        <v>000000000000000000</v>
      </c>
      <c r="L14244" t="str">
        <f>T("6095621528")</f>
        <v>6095621528</v>
      </c>
    </row>
    <row r="14245" spans="1:12" x14ac:dyDescent="0.35">
      <c r="A14245" t="str">
        <f t="shared" si="5255"/>
        <v>RCC MID-ATLANTIC NORFOLK</v>
      </c>
      <c r="B14245" t="str">
        <f>T("5951 NEWPORT ST")</f>
        <v>5951 NEWPORT ST</v>
      </c>
      <c r="C14245" t="str">
        <f t="shared" si="5257"/>
        <v/>
      </c>
      <c r="D14245" t="str">
        <f>T("JB MDL")</f>
        <v>JB MDL</v>
      </c>
      <c r="E14245" t="str">
        <f>T("NJ")</f>
        <v>NJ</v>
      </c>
      <c r="F14245" t="str">
        <f>T("086405333")</f>
        <v>086405333</v>
      </c>
      <c r="G14245" t="str">
        <f>T("5951 NEWPORT ST")</f>
        <v>5951 NEWPORT ST</v>
      </c>
      <c r="H14245" t="str">
        <f>T("")</f>
        <v/>
      </c>
      <c r="I14245" t="str">
        <f>T("JB MDL")</f>
        <v>JB MDL</v>
      </c>
      <c r="J14245" t="str">
        <f>T("NJ")</f>
        <v>NJ</v>
      </c>
      <c r="K14245" t="str">
        <f>T("6097236730")</f>
        <v>6097236730</v>
      </c>
      <c r="L14245" t="str">
        <f>T("6095621527")</f>
        <v>6095621527</v>
      </c>
    </row>
    <row r="14246" spans="1:12" x14ac:dyDescent="0.35">
      <c r="A14246" t="str">
        <f t="shared" si="5255"/>
        <v>RCC MID-ATLANTIC NORFOLK</v>
      </c>
      <c r="B14246" t="str">
        <f>T("5951 NEWPORT ST")</f>
        <v>5951 NEWPORT ST</v>
      </c>
      <c r="C14246" t="str">
        <f t="shared" si="5257"/>
        <v/>
      </c>
      <c r="D14246" t="str">
        <f>T("JB MDL")</f>
        <v>JB MDL</v>
      </c>
      <c r="E14246" t="str">
        <f>T("NJ")</f>
        <v>NJ</v>
      </c>
      <c r="F14246" t="str">
        <f>T("086405333")</f>
        <v>086405333</v>
      </c>
      <c r="G14246" t="str">
        <f>T("5951 NEWPORT STREET")</f>
        <v>5951 NEWPORT STREET</v>
      </c>
      <c r="H14246" t="str">
        <f>T("")</f>
        <v/>
      </c>
      <c r="I14246" t="str">
        <f>T("FORT DIX")</f>
        <v>FORT DIX</v>
      </c>
      <c r="J14246" t="str">
        <f>T("NJ")</f>
        <v>NJ</v>
      </c>
      <c r="K14246" t="str">
        <f>T("000000000000000000")</f>
        <v>000000000000000000</v>
      </c>
      <c r="L14246" t="str">
        <f>T("6097237160")</f>
        <v>6097237160</v>
      </c>
    </row>
    <row r="14247" spans="1:12" x14ac:dyDescent="0.35">
      <c r="A14247" t="str">
        <f t="shared" si="5255"/>
        <v>RCC MID-ATLANTIC NORFOLK</v>
      </c>
      <c r="B14247" t="str">
        <f>T("5951 NEWPORT ST")</f>
        <v>5951 NEWPORT ST</v>
      </c>
      <c r="C14247" t="str">
        <f t="shared" si="5257"/>
        <v/>
      </c>
      <c r="D14247" t="str">
        <f>T("JB MDL")</f>
        <v>JB MDL</v>
      </c>
      <c r="E14247" t="str">
        <f>T("NJ")</f>
        <v>NJ</v>
      </c>
      <c r="F14247" t="str">
        <f>T("086405333")</f>
        <v>086405333</v>
      </c>
      <c r="G14247" t="str">
        <f>T("NOSC FORT DIX")</f>
        <v>NOSC FORT DIX</v>
      </c>
      <c r="H14247" t="str">
        <f>T("5951 NEWPORT STREET")</f>
        <v>5951 NEWPORT STREET</v>
      </c>
      <c r="I14247" t="str">
        <f>T("FORT DIX")</f>
        <v>FORT DIX</v>
      </c>
      <c r="J14247" t="str">
        <f>T("NJ")</f>
        <v>NJ</v>
      </c>
      <c r="K14247" t="str">
        <f>T("000000000000000000")</f>
        <v>000000000000000000</v>
      </c>
      <c r="L14247" t="str">
        <f>T("6095621529")</f>
        <v>6095621529</v>
      </c>
    </row>
    <row r="14248" spans="1:12" x14ac:dyDescent="0.35">
      <c r="A14248" t="str">
        <f t="shared" si="5255"/>
        <v>RCC MID-ATLANTIC NORFOLK</v>
      </c>
      <c r="B14248" t="str">
        <f>T("6000 STRATHMORE RD")</f>
        <v>6000 STRATHMORE RD</v>
      </c>
      <c r="C14248" t="str">
        <f t="shared" si="5257"/>
        <v/>
      </c>
      <c r="D14248" t="str">
        <f>T("N CHESTERFLD")</f>
        <v>N CHESTERFLD</v>
      </c>
      <c r="E14248" t="str">
        <f>T("VA")</f>
        <v>VA</v>
      </c>
      <c r="F14248" t="str">
        <f>T("232344916")</f>
        <v>232344916</v>
      </c>
      <c r="G14248" t="str">
        <f>T("6000 STRATHMORE RD")</f>
        <v>6000 STRATHMORE RD</v>
      </c>
      <c r="H14248" t="str">
        <f t="shared" ref="H14248:H14258" si="5261">T("")</f>
        <v/>
      </c>
      <c r="I14248" t="str">
        <f>T("N CHESTERFLD")</f>
        <v>N CHESTERFLD</v>
      </c>
      <c r="J14248" t="str">
        <f>T("VA")</f>
        <v>VA</v>
      </c>
      <c r="K14248" t="str">
        <f>T("")</f>
        <v/>
      </c>
      <c r="L14248" t="str">
        <f>T("1111111111")</f>
        <v>1111111111</v>
      </c>
    </row>
    <row r="14249" spans="1:12" x14ac:dyDescent="0.35">
      <c r="A14249" t="str">
        <f t="shared" si="5255"/>
        <v>RCC MID-ATLANTIC NORFOLK</v>
      </c>
      <c r="B14249" t="str">
        <f>T("6000 STRATHMORE RD")</f>
        <v>6000 STRATHMORE RD</v>
      </c>
      <c r="C14249" t="str">
        <f t="shared" si="5257"/>
        <v/>
      </c>
      <c r="D14249" t="str">
        <f>T("N CHESTERFLD")</f>
        <v>N CHESTERFLD</v>
      </c>
      <c r="E14249" t="str">
        <f>T("VA")</f>
        <v>VA</v>
      </c>
      <c r="F14249" t="str">
        <f>T("232344916")</f>
        <v>232344916</v>
      </c>
      <c r="G14249" t="str">
        <f>T("6000 STRATHMORE ROAD")</f>
        <v>6000 STRATHMORE ROAD</v>
      </c>
      <c r="H14249" t="str">
        <f t="shared" si="5261"/>
        <v/>
      </c>
      <c r="I14249" t="str">
        <f>T("NORTH CHESTERFIELD")</f>
        <v>NORTH CHESTERFIELD</v>
      </c>
      <c r="J14249" t="str">
        <f>T("VA")</f>
        <v>VA</v>
      </c>
      <c r="K14249" t="str">
        <f>T("000000000000000000")</f>
        <v>000000000000000000</v>
      </c>
      <c r="L14249" t="str">
        <f>T("8042716096")</f>
        <v>8042716096</v>
      </c>
    </row>
    <row r="14250" spans="1:12" x14ac:dyDescent="0.35">
      <c r="A14250" t="str">
        <f t="shared" si="5255"/>
        <v>RCC MID-ATLANTIC NORFOLK</v>
      </c>
      <c r="B14250" t="str">
        <f>T("6000 STRATHMORE RD")</f>
        <v>6000 STRATHMORE RD</v>
      </c>
      <c r="C14250" t="str">
        <f t="shared" si="5257"/>
        <v/>
      </c>
      <c r="D14250" t="str">
        <f>T("N CHESTERFLD")</f>
        <v>N CHESTERFLD</v>
      </c>
      <c r="E14250" t="str">
        <f>T("VA")</f>
        <v>VA</v>
      </c>
      <c r="F14250" t="str">
        <f>T("232344916")</f>
        <v>232344916</v>
      </c>
      <c r="G14250" t="str">
        <f>T("6000 STRATHMORE ROAD")</f>
        <v>6000 STRATHMORE ROAD</v>
      </c>
      <c r="H14250" t="str">
        <f t="shared" si="5261"/>
        <v/>
      </c>
      <c r="I14250" t="str">
        <f>T("RICHMOND")</f>
        <v>RICHMOND</v>
      </c>
      <c r="J14250" t="str">
        <f>T("VA")</f>
        <v>VA</v>
      </c>
      <c r="K14250" t="str">
        <f>T("000000000000000000")</f>
        <v>000000000000000000</v>
      </c>
      <c r="L14250" t="str">
        <f>T("8042716096")</f>
        <v>8042716096</v>
      </c>
    </row>
    <row r="14251" spans="1:12" x14ac:dyDescent="0.35">
      <c r="A14251" t="str">
        <f t="shared" si="5255"/>
        <v>RCC MID-ATLANTIC NORFOLK</v>
      </c>
      <c r="B14251" t="str">
        <f>T("6115 N HILLS CIRCLE")</f>
        <v>6115 N HILLS CIRCLE</v>
      </c>
      <c r="C14251" t="str">
        <f t="shared" si="5257"/>
        <v/>
      </c>
      <c r="D14251" t="str">
        <f>T("CHARLOTTE")</f>
        <v>CHARLOTTE</v>
      </c>
      <c r="E14251" t="str">
        <f>T("NC")</f>
        <v>NC</v>
      </c>
      <c r="F14251" t="str">
        <f>T("282136200")</f>
        <v>282136200</v>
      </c>
      <c r="G14251" t="str">
        <f>T("6115 N HILLS CIRCLE")</f>
        <v>6115 N HILLS CIRCLE</v>
      </c>
      <c r="H14251" t="str">
        <f t="shared" si="5261"/>
        <v/>
      </c>
      <c r="I14251" t="str">
        <f>T("CHARLOTTE")</f>
        <v>CHARLOTTE</v>
      </c>
      <c r="J14251" t="str">
        <f>T("NC")</f>
        <v>NC</v>
      </c>
      <c r="K14251" t="str">
        <f>T("7045985257")</f>
        <v>7045985257</v>
      </c>
      <c r="L14251" t="str">
        <f>T("7045980447")</f>
        <v>7045980447</v>
      </c>
    </row>
    <row r="14252" spans="1:12" x14ac:dyDescent="0.35">
      <c r="A14252" t="str">
        <f t="shared" ref="A14252:A14268" si="5262">T("RCC MID-ATLANTIC NORFOLK")</f>
        <v>RCC MID-ATLANTIC NORFOLK</v>
      </c>
      <c r="B14252" t="str">
        <f>T("6115 N HILLS CIRCLE")</f>
        <v>6115 N HILLS CIRCLE</v>
      </c>
      <c r="C14252" t="str">
        <f t="shared" si="5257"/>
        <v/>
      </c>
      <c r="D14252" t="str">
        <f>T("CHARLOTTE")</f>
        <v>CHARLOTTE</v>
      </c>
      <c r="E14252" t="str">
        <f>T("NC")</f>
        <v>NC</v>
      </c>
      <c r="F14252" t="str">
        <f>T("282136200")</f>
        <v>282136200</v>
      </c>
      <c r="G14252" t="str">
        <f>T("6115 NORTH HILLS CIRCLE")</f>
        <v>6115 NORTH HILLS CIRCLE</v>
      </c>
      <c r="H14252" t="str">
        <f t="shared" si="5261"/>
        <v/>
      </c>
      <c r="I14252" t="str">
        <f>T("CHARLOTTE")</f>
        <v>CHARLOTTE</v>
      </c>
      <c r="J14252" t="str">
        <f>T("NC")</f>
        <v>NC</v>
      </c>
      <c r="K14252" t="str">
        <f>T("000000000000000000")</f>
        <v>000000000000000000</v>
      </c>
      <c r="L14252" t="str">
        <f>T("7045980447")</f>
        <v>7045980447</v>
      </c>
    </row>
    <row r="14253" spans="1:12" x14ac:dyDescent="0.35">
      <c r="A14253" t="str">
        <f t="shared" si="5262"/>
        <v>RCC MID-ATLANTIC NORFOLK</v>
      </c>
      <c r="B14253" t="str">
        <f>T("6115 N HILLS CIRCLE")</f>
        <v>6115 N HILLS CIRCLE</v>
      </c>
      <c r="C14253" t="str">
        <f t="shared" si="5257"/>
        <v/>
      </c>
      <c r="D14253" t="str">
        <f>T("CHARLOTTE")</f>
        <v>CHARLOTTE</v>
      </c>
      <c r="E14253" t="str">
        <f>T("NC")</f>
        <v>NC</v>
      </c>
      <c r="F14253" t="str">
        <f>T("282136200")</f>
        <v>282136200</v>
      </c>
      <c r="G14253" t="str">
        <f>T("6115 NORTH HILLS CIRCLE")</f>
        <v>6115 NORTH HILLS CIRCLE</v>
      </c>
      <c r="H14253" t="str">
        <f t="shared" si="5261"/>
        <v/>
      </c>
      <c r="I14253" t="str">
        <f>T("CHARLOTTE")</f>
        <v>CHARLOTTE</v>
      </c>
      <c r="J14253" t="str">
        <f>T("NC")</f>
        <v>NC</v>
      </c>
      <c r="K14253" t="str">
        <f>T("7045980447413")</f>
        <v>7045980447413</v>
      </c>
      <c r="L14253" t="str">
        <f>T("7045980447")</f>
        <v>7045980447</v>
      </c>
    </row>
    <row r="14254" spans="1:12" x14ac:dyDescent="0.35">
      <c r="A14254" t="str">
        <f t="shared" si="5262"/>
        <v>RCC MID-ATLANTIC NORFOLK</v>
      </c>
      <c r="B14254" t="str">
        <f>T("64 HARVEY RD")</f>
        <v>64 HARVEY RD</v>
      </c>
      <c r="C14254" t="str">
        <f t="shared" si="5257"/>
        <v/>
      </c>
      <c r="D14254" t="str">
        <f>T("LONDONDERRY")</f>
        <v>LONDONDERRY</v>
      </c>
      <c r="E14254" t="str">
        <f>T("NH")</f>
        <v>NH</v>
      </c>
      <c r="F14254" t="str">
        <f>T("030537413")</f>
        <v>030537413</v>
      </c>
      <c r="G14254" t="str">
        <f>T("64 HARVEY RD")</f>
        <v>64 HARVEY RD</v>
      </c>
      <c r="H14254" t="str">
        <f t="shared" si="5261"/>
        <v/>
      </c>
      <c r="I14254" t="str">
        <f>T("LONDONDERRY")</f>
        <v>LONDONDERRY</v>
      </c>
      <c r="J14254" t="str">
        <f>T("NH")</f>
        <v>NH</v>
      </c>
      <c r="K14254" t="str">
        <f>T("")</f>
        <v/>
      </c>
      <c r="L14254" t="str">
        <f>T("6035378013")</f>
        <v>6035378013</v>
      </c>
    </row>
    <row r="14255" spans="1:12" x14ac:dyDescent="0.35">
      <c r="A14255" t="str">
        <f t="shared" si="5262"/>
        <v>RCC MID-ATLANTIC NORFOLK</v>
      </c>
      <c r="B14255" t="str">
        <f>T("64 HARVEY RD")</f>
        <v>64 HARVEY RD</v>
      </c>
      <c r="C14255" t="str">
        <f t="shared" si="5257"/>
        <v/>
      </c>
      <c r="D14255" t="str">
        <f>T("LONDONDERRY")</f>
        <v>LONDONDERRY</v>
      </c>
      <c r="E14255" t="str">
        <f>T("NH")</f>
        <v>NH</v>
      </c>
      <c r="F14255" t="str">
        <f>T("030537413")</f>
        <v>030537413</v>
      </c>
      <c r="G14255" t="str">
        <f>T("64 HARVEY RD")</f>
        <v>64 HARVEY RD</v>
      </c>
      <c r="H14255" t="str">
        <f t="shared" si="5261"/>
        <v/>
      </c>
      <c r="I14255" t="str">
        <f>T("LONDONDERRY")</f>
        <v>LONDONDERRY</v>
      </c>
      <c r="J14255" t="str">
        <f>T("NH")</f>
        <v>NH</v>
      </c>
      <c r="K14255" t="str">
        <f>T("000000000000000000")</f>
        <v>000000000000000000</v>
      </c>
      <c r="L14255" t="str">
        <f>T("6035378186")</f>
        <v>6035378186</v>
      </c>
    </row>
    <row r="14256" spans="1:12" x14ac:dyDescent="0.35">
      <c r="A14256" t="str">
        <f t="shared" si="5262"/>
        <v>RCC MID-ATLANTIC NORFOLK</v>
      </c>
      <c r="B14256" t="str">
        <f>T("64 HARVEY RD")</f>
        <v>64 HARVEY RD</v>
      </c>
      <c r="C14256" t="str">
        <f t="shared" si="5257"/>
        <v/>
      </c>
      <c r="D14256" t="str">
        <f>T("LONDONDERRY")</f>
        <v>LONDONDERRY</v>
      </c>
      <c r="E14256" t="str">
        <f>T("NH")</f>
        <v>NH</v>
      </c>
      <c r="F14256" t="str">
        <f>T("030537413")</f>
        <v>030537413</v>
      </c>
      <c r="G14256" t="str">
        <f>T("64 HARVEY ROAD SUITE 101")</f>
        <v>64 HARVEY ROAD SUITE 101</v>
      </c>
      <c r="H14256" t="str">
        <f t="shared" si="5261"/>
        <v/>
      </c>
      <c r="I14256" t="str">
        <f>T("LONDONDERRY")</f>
        <v>LONDONDERRY</v>
      </c>
      <c r="J14256" t="str">
        <f>T("NH")</f>
        <v>NH</v>
      </c>
      <c r="K14256" t="str">
        <f>T("000000000000000000")</f>
        <v>000000000000000000</v>
      </c>
      <c r="L14256" t="str">
        <f>T("6035378186")</f>
        <v>6035378186</v>
      </c>
    </row>
    <row r="14257" spans="1:12" x14ac:dyDescent="0.35">
      <c r="A14257" t="str">
        <f t="shared" si="5262"/>
        <v>RCC MID-ATLANTIC NORFOLK</v>
      </c>
      <c r="B14257" t="str">
        <f>T("7838 MCCLOUD RD")</f>
        <v>7838 MCCLOUD RD</v>
      </c>
      <c r="C14257" t="str">
        <f t="shared" si="5257"/>
        <v/>
      </c>
      <c r="D14257" t="str">
        <f>T("GREENSBORO")</f>
        <v>GREENSBORO</v>
      </c>
      <c r="E14257" t="str">
        <f>T("NC")</f>
        <v>NC</v>
      </c>
      <c r="F14257" t="str">
        <f>T("274099634")</f>
        <v>274099634</v>
      </c>
      <c r="G14257" t="str">
        <f>T("7838 MCCLOUD RD")</f>
        <v>7838 MCCLOUD RD</v>
      </c>
      <c r="H14257" t="str">
        <f t="shared" si="5261"/>
        <v/>
      </c>
      <c r="I14257" t="str">
        <f>T("GREENSBORO")</f>
        <v>GREENSBORO</v>
      </c>
      <c r="J14257" t="str">
        <f>T("NC")</f>
        <v>NC</v>
      </c>
      <c r="K14257" t="str">
        <f>T("")</f>
        <v/>
      </c>
      <c r="L14257" t="str">
        <f>T("3366683125")</f>
        <v>3366683125</v>
      </c>
    </row>
    <row r="14258" spans="1:12" x14ac:dyDescent="0.35">
      <c r="A14258" t="str">
        <f t="shared" si="5262"/>
        <v>RCC MID-ATLANTIC NORFOLK</v>
      </c>
      <c r="B14258" t="str">
        <f>T("7838 MCCLOUD RD")</f>
        <v>7838 MCCLOUD RD</v>
      </c>
      <c r="C14258" t="str">
        <f t="shared" si="5257"/>
        <v/>
      </c>
      <c r="D14258" t="str">
        <f>T("GREENSBORO")</f>
        <v>GREENSBORO</v>
      </c>
      <c r="E14258" t="str">
        <f>T("NC")</f>
        <v>NC</v>
      </c>
      <c r="F14258" t="str">
        <f>T("274099634")</f>
        <v>274099634</v>
      </c>
      <c r="G14258" t="str">
        <f>T("7838 MCCLOUD RD")</f>
        <v>7838 MCCLOUD RD</v>
      </c>
      <c r="H14258" t="str">
        <f t="shared" si="5261"/>
        <v/>
      </c>
      <c r="I14258" t="str">
        <f>T("GREENSBORO")</f>
        <v>GREENSBORO</v>
      </c>
      <c r="J14258" t="str">
        <f>T("NC")</f>
        <v>NC</v>
      </c>
      <c r="K14258" t="str">
        <f>T("000000000000000000")</f>
        <v>000000000000000000</v>
      </c>
      <c r="L14258" t="str">
        <f>T("3366680053")</f>
        <v>3366680053</v>
      </c>
    </row>
    <row r="14259" spans="1:12" x14ac:dyDescent="0.35">
      <c r="A14259" t="str">
        <f t="shared" si="5262"/>
        <v>RCC MID-ATLANTIC NORFOLK</v>
      </c>
      <c r="B14259" t="str">
        <f>T("7838 MCCLOUD RD")</f>
        <v>7838 MCCLOUD RD</v>
      </c>
      <c r="C14259" t="str">
        <f t="shared" si="5257"/>
        <v/>
      </c>
      <c r="D14259" t="str">
        <f>T("GREENSBORO")</f>
        <v>GREENSBORO</v>
      </c>
      <c r="E14259" t="str">
        <f>T("NC")</f>
        <v>NC</v>
      </c>
      <c r="F14259" t="str">
        <f>T("274099634")</f>
        <v>274099634</v>
      </c>
      <c r="G14259" t="str">
        <f>T("NOSC GREENSBORO")</f>
        <v>NOSC GREENSBORO</v>
      </c>
      <c r="H14259" t="str">
        <f>T("7838 MCCLOUD ROAD")</f>
        <v>7838 MCCLOUD ROAD</v>
      </c>
      <c r="I14259" t="str">
        <f>T("GREENSBORO")</f>
        <v>GREENSBORO</v>
      </c>
      <c r="J14259" t="str">
        <f>T("NC")</f>
        <v>NC</v>
      </c>
      <c r="K14259" t="str">
        <f>T("000000000000000000")</f>
        <v>000000000000000000</v>
      </c>
      <c r="L14259" t="str">
        <f>T("3366680053")</f>
        <v>3366680053</v>
      </c>
    </row>
    <row r="14260" spans="1:12" x14ac:dyDescent="0.35">
      <c r="A14260" t="str">
        <f t="shared" si="5262"/>
        <v>RCC MID-ATLANTIC NORFOLK</v>
      </c>
      <c r="B14260" t="str">
        <f>T("85 SEA ST")</f>
        <v>85 SEA ST</v>
      </c>
      <c r="C14260" t="str">
        <f t="shared" si="5257"/>
        <v/>
      </c>
      <c r="D14260" t="str">
        <f>T("QUINCY")</f>
        <v>QUINCY</v>
      </c>
      <c r="E14260" t="str">
        <f>T("MA")</f>
        <v>MA</v>
      </c>
      <c r="F14260" t="str">
        <f>T("021692572")</f>
        <v>021692572</v>
      </c>
      <c r="G14260" t="str">
        <f>T("85 SEA ST")</f>
        <v>85 SEA ST</v>
      </c>
      <c r="H14260" t="str">
        <f>T("")</f>
        <v/>
      </c>
      <c r="I14260" t="str">
        <f>T("QUINCY")</f>
        <v>QUINCY</v>
      </c>
      <c r="J14260" t="str">
        <f>T("MA")</f>
        <v>MA</v>
      </c>
      <c r="K14260" t="str">
        <f>T("000000000000000000")</f>
        <v>000000000000000000</v>
      </c>
      <c r="L14260" t="str">
        <f>T("6177535843")</f>
        <v>6177535843</v>
      </c>
    </row>
    <row r="14261" spans="1:12" x14ac:dyDescent="0.35">
      <c r="A14261" t="str">
        <f t="shared" si="5262"/>
        <v>RCC MID-ATLANTIC NORFOLK</v>
      </c>
      <c r="B14261" t="str">
        <f>T("85 SEA ST")</f>
        <v>85 SEA ST</v>
      </c>
      <c r="C14261" t="str">
        <f t="shared" si="5257"/>
        <v/>
      </c>
      <c r="D14261" t="str">
        <f>T("QUINCY")</f>
        <v>QUINCY</v>
      </c>
      <c r="E14261" t="str">
        <f>T("MA")</f>
        <v>MA</v>
      </c>
      <c r="F14261" t="str">
        <f>T("021692572")</f>
        <v>021692572</v>
      </c>
      <c r="G14261" t="str">
        <f>T("85 SEA ST")</f>
        <v>85 SEA ST</v>
      </c>
      <c r="H14261" t="str">
        <f>T("")</f>
        <v/>
      </c>
      <c r="I14261" t="str">
        <f>T("QUINCY")</f>
        <v>QUINCY</v>
      </c>
      <c r="J14261" t="str">
        <f>T("MA")</f>
        <v>MA</v>
      </c>
      <c r="K14261" t="str">
        <f>T("000000000000000000")</f>
        <v>000000000000000000</v>
      </c>
      <c r="L14261" t="str">
        <f>T("6177535849")</f>
        <v>6177535849</v>
      </c>
    </row>
    <row r="14262" spans="1:12" x14ac:dyDescent="0.35">
      <c r="A14262" t="str">
        <f t="shared" si="5262"/>
        <v>RCC MID-ATLANTIC NORFOLK</v>
      </c>
      <c r="B14262" t="str">
        <f>T("85 SEA ST")</f>
        <v>85 SEA ST</v>
      </c>
      <c r="C14262" t="str">
        <f t="shared" si="5257"/>
        <v/>
      </c>
      <c r="D14262" t="str">
        <f>T("QUINCY")</f>
        <v>QUINCY</v>
      </c>
      <c r="E14262" t="str">
        <f>T("MA")</f>
        <v>MA</v>
      </c>
      <c r="F14262" t="str">
        <f>T("021692572")</f>
        <v>021692572</v>
      </c>
      <c r="G14262" t="str">
        <f>T("85 SEA ST")</f>
        <v>85 SEA ST</v>
      </c>
      <c r="H14262" t="str">
        <f>T("")</f>
        <v/>
      </c>
      <c r="I14262" t="str">
        <f>T("QUINCY")</f>
        <v>QUINCY</v>
      </c>
      <c r="J14262" t="str">
        <f>T("MA")</f>
        <v>MA</v>
      </c>
      <c r="K14262" t="str">
        <f>T("6177534601")</f>
        <v>6177534601</v>
      </c>
      <c r="L14262" t="str">
        <f>T("6177534600")</f>
        <v>6177534600</v>
      </c>
    </row>
    <row r="14263" spans="1:12" x14ac:dyDescent="0.35">
      <c r="A14263" t="str">
        <f t="shared" si="5262"/>
        <v>RCC MID-ATLANTIC NORFOLK</v>
      </c>
      <c r="B14263" t="str">
        <f>T("86 GRAYLING AVE")</f>
        <v>86 GRAYLING AVE</v>
      </c>
      <c r="C14263" t="str">
        <f>T("PO BOX 5034")</f>
        <v>PO BOX 5034</v>
      </c>
      <c r="D14263" t="str">
        <f>T("GROTON")</f>
        <v>GROTON</v>
      </c>
      <c r="E14263" t="str">
        <f>T("CT")</f>
        <v>CT</v>
      </c>
      <c r="F14263" t="str">
        <f>T("063495034")</f>
        <v>063495034</v>
      </c>
      <c r="G14263" t="str">
        <f>T("86 GRAYLING AVE")</f>
        <v>86 GRAYLING AVE</v>
      </c>
      <c r="H14263" t="str">
        <f>T("")</f>
        <v/>
      </c>
      <c r="I14263" t="str">
        <f>T("GROTON")</f>
        <v>GROTON</v>
      </c>
      <c r="J14263" t="str">
        <f>T("CT")</f>
        <v>CT</v>
      </c>
      <c r="K14263" t="str">
        <f>T("000000000000000000")</f>
        <v>000000000000000000</v>
      </c>
      <c r="L14263" t="str">
        <f>T("8606946565")</f>
        <v>8606946565</v>
      </c>
    </row>
    <row r="14264" spans="1:12" x14ac:dyDescent="0.35">
      <c r="A14264" t="str">
        <f t="shared" si="5262"/>
        <v>RCC MID-ATLANTIC NORFOLK</v>
      </c>
      <c r="B14264" t="str">
        <f>T("86 GRAYLING AVE")</f>
        <v>86 GRAYLING AVE</v>
      </c>
      <c r="C14264" t="str">
        <f>T("PO BOX 5034")</f>
        <v>PO BOX 5034</v>
      </c>
      <c r="D14264" t="str">
        <f>T("GROTON")</f>
        <v>GROTON</v>
      </c>
      <c r="E14264" t="str">
        <f>T("CT")</f>
        <v>CT</v>
      </c>
      <c r="F14264" t="str">
        <f>T("063495034")</f>
        <v>063495034</v>
      </c>
      <c r="G14264" t="str">
        <f>T("86 GRAYLING AVE")</f>
        <v>86 GRAYLING AVE</v>
      </c>
      <c r="H14264" t="str">
        <f>T("PO BOX 5034")</f>
        <v>PO BOX 5034</v>
      </c>
      <c r="I14264" t="str">
        <f>T("GROTON")</f>
        <v>GROTON</v>
      </c>
      <c r="J14264" t="str">
        <f>T("CT")</f>
        <v>CT</v>
      </c>
      <c r="K14264" t="str">
        <f>T("")</f>
        <v/>
      </c>
      <c r="L14264" t="str">
        <f>T("8606946561")</f>
        <v>8606946561</v>
      </c>
    </row>
    <row r="14265" spans="1:12" x14ac:dyDescent="0.35">
      <c r="A14265" t="str">
        <f t="shared" si="5262"/>
        <v>RCC MID-ATLANTIC NORFOLK</v>
      </c>
      <c r="B14265" t="str">
        <f>T("ONE NAVY DRIVE")</f>
        <v>ONE NAVY DRIVE</v>
      </c>
      <c r="C14265" t="str">
        <f>T("")</f>
        <v/>
      </c>
      <c r="D14265" t="str">
        <f>T("VIRGINIA BEACH")</f>
        <v>VIRGINIA BEACH</v>
      </c>
      <c r="E14265" t="str">
        <f>T("VA")</f>
        <v>VA</v>
      </c>
      <c r="F14265" t="str">
        <f>T("234598749")</f>
        <v>234598749</v>
      </c>
      <c r="G14265" t="str">
        <f>T("ONE NAVY DRIVE")</f>
        <v>ONE NAVY DRIVE</v>
      </c>
      <c r="H14265" t="str">
        <f>T("")</f>
        <v/>
      </c>
      <c r="I14265" t="str">
        <f>T("VIRGINIA BCH")</f>
        <v>VIRGINIA BCH</v>
      </c>
      <c r="J14265" t="str">
        <f>T("VA")</f>
        <v>VA</v>
      </c>
      <c r="K14265" t="str">
        <f>T("000000000000000000")</f>
        <v>000000000000000000</v>
      </c>
      <c r="L14265" t="str">
        <f>T("7573184503")</f>
        <v>7573184503</v>
      </c>
    </row>
    <row r="14266" spans="1:12" x14ac:dyDescent="0.35">
      <c r="A14266" t="str">
        <f t="shared" si="5262"/>
        <v>RCC MID-ATLANTIC NORFOLK</v>
      </c>
      <c r="B14266" t="str">
        <f>T("ONE NAVY DRIVE")</f>
        <v>ONE NAVY DRIVE</v>
      </c>
      <c r="C14266" t="str">
        <f>T("")</f>
        <v/>
      </c>
      <c r="D14266" t="str">
        <f>T("VIRGINIA BEACH")</f>
        <v>VIRGINIA BEACH</v>
      </c>
      <c r="E14266" t="str">
        <f>T("VA")</f>
        <v>VA</v>
      </c>
      <c r="F14266" t="str">
        <f>T("234598749")</f>
        <v>234598749</v>
      </c>
      <c r="G14266" t="str">
        <f>T("ONE NAVY DRIVE")</f>
        <v>ONE NAVY DRIVE</v>
      </c>
      <c r="H14266" t="str">
        <f>T("")</f>
        <v/>
      </c>
      <c r="I14266" t="str">
        <f>T("VIRGINIA BEACH")</f>
        <v>VIRGINIA BEACH</v>
      </c>
      <c r="J14266" t="str">
        <f>T("VA")</f>
        <v>VA</v>
      </c>
      <c r="K14266" t="str">
        <f>T("000000000000000000")</f>
        <v>000000000000000000</v>
      </c>
      <c r="L14266" t="str">
        <f>T("7573184500")</f>
        <v>7573184500</v>
      </c>
    </row>
    <row r="14267" spans="1:12" x14ac:dyDescent="0.35">
      <c r="A14267" t="str">
        <f t="shared" si="5262"/>
        <v>RCC MID-ATLANTIC NORFOLK</v>
      </c>
      <c r="B14267" t="str">
        <f>T("ONE NAVY DRIVE")</f>
        <v>ONE NAVY DRIVE</v>
      </c>
      <c r="C14267" t="str">
        <f>T("")</f>
        <v/>
      </c>
      <c r="D14267" t="str">
        <f>T("VIRGINIA BEACH")</f>
        <v>VIRGINIA BEACH</v>
      </c>
      <c r="E14267" t="str">
        <f>T("VA")</f>
        <v>VA</v>
      </c>
      <c r="F14267" t="str">
        <f>T("234598749")</f>
        <v>234598749</v>
      </c>
      <c r="G14267" t="str">
        <f>T("ONE NAVY DRIVE")</f>
        <v>ONE NAVY DRIVE</v>
      </c>
      <c r="H14267" t="str">
        <f>T("")</f>
        <v/>
      </c>
      <c r="I14267" t="str">
        <f>T("VIRGINIA BEACH")</f>
        <v>VIRGINIA BEACH</v>
      </c>
      <c r="J14267" t="str">
        <f>T("VA")</f>
        <v>VA</v>
      </c>
      <c r="K14267" t="str">
        <f>T("000000000000000000")</f>
        <v>000000000000000000</v>
      </c>
      <c r="L14267" t="str">
        <f>T("7573184503")</f>
        <v>7573184503</v>
      </c>
    </row>
    <row r="14268" spans="1:12" x14ac:dyDescent="0.35">
      <c r="A14268" t="str">
        <f t="shared" si="5262"/>
        <v>RCC MID-ATLANTIC NORFOLK</v>
      </c>
      <c r="B14268" t="str">
        <f>T("ONE NAVY DRIVE")</f>
        <v>ONE NAVY DRIVE</v>
      </c>
      <c r="C14268" t="str">
        <f>T("")</f>
        <v/>
      </c>
      <c r="D14268" t="str">
        <f>T("VIRGINIA BEACH")</f>
        <v>VIRGINIA BEACH</v>
      </c>
      <c r="E14268" t="str">
        <f>T("VA")</f>
        <v>VA</v>
      </c>
      <c r="F14268" t="str">
        <f>T("234598749")</f>
        <v>234598749</v>
      </c>
      <c r="G14268" t="str">
        <f>T("ONE NAVY DRIVE")</f>
        <v>ONE NAVY DRIVE</v>
      </c>
      <c r="H14268" t="str">
        <f>T("")</f>
        <v/>
      </c>
      <c r="I14268" t="str">
        <f>T("VIRGINIA BEACH")</f>
        <v>VIRGINIA BEACH</v>
      </c>
      <c r="J14268" t="str">
        <f>T("VA")</f>
        <v>VA</v>
      </c>
      <c r="K14268" t="str">
        <f>T("7573184553")</f>
        <v>7573184553</v>
      </c>
      <c r="L14268" t="str">
        <f>T("7573184503")</f>
        <v>7573184503</v>
      </c>
    </row>
    <row r="14269" spans="1:12" x14ac:dyDescent="0.35">
      <c r="A14269" t="str">
        <f t="shared" ref="A14269:A14310" si="5263">T("RCC NORTHWEST")</f>
        <v>RCC NORTHWEST</v>
      </c>
      <c r="B14269" t="str">
        <f>T("1045 MIDWAY STREET")</f>
        <v>1045 MIDWAY STREET</v>
      </c>
      <c r="C14269" t="str">
        <f>T("BLDG 2739")</f>
        <v>BLDG 2739</v>
      </c>
      <c r="D14269" t="str">
        <f>T("OAK HARBOR")</f>
        <v>OAK HARBOR</v>
      </c>
      <c r="E14269" t="str">
        <f t="shared" ref="E14269:E14274" si="5264">T("WA")</f>
        <v>WA</v>
      </c>
      <c r="F14269" t="str">
        <f>T("982784932")</f>
        <v>982784932</v>
      </c>
      <c r="G14269" t="str">
        <f>T("1045 MIDWAY ST")</f>
        <v>1045 MIDWAY ST</v>
      </c>
      <c r="H14269" t="str">
        <f>T("BUILDING 2739")</f>
        <v>BUILDING 2739</v>
      </c>
      <c r="I14269" t="str">
        <f>T("OAK HARBOR")</f>
        <v>OAK HARBOR</v>
      </c>
      <c r="J14269" t="str">
        <f t="shared" ref="J14269:J14274" si="5265">T("WA")</f>
        <v>WA</v>
      </c>
      <c r="K14269" t="str">
        <f>T("3602576742")</f>
        <v>3602576742</v>
      </c>
      <c r="L14269" t="str">
        <f>T("3602578434")</f>
        <v>3602578434</v>
      </c>
    </row>
    <row r="14270" spans="1:12" x14ac:dyDescent="0.35">
      <c r="A14270" t="str">
        <f t="shared" si="5263"/>
        <v>RCC NORTHWEST</v>
      </c>
      <c r="B14270" t="str">
        <f>T("1045 MIDWAY STREET")</f>
        <v>1045 MIDWAY STREET</v>
      </c>
      <c r="C14270" t="str">
        <f>T("BLDG 2739")</f>
        <v>BLDG 2739</v>
      </c>
      <c r="D14270" t="str">
        <f>T("OAK HARBOR")</f>
        <v>OAK HARBOR</v>
      </c>
      <c r="E14270" t="str">
        <f t="shared" si="5264"/>
        <v>WA</v>
      </c>
      <c r="F14270" t="str">
        <f>T("982784932")</f>
        <v>982784932</v>
      </c>
      <c r="G14270" t="str">
        <f>T("1045 MIDWAY ST")</f>
        <v>1045 MIDWAY ST</v>
      </c>
      <c r="H14270" t="str">
        <f>T("BUILDING 2739")</f>
        <v>BUILDING 2739</v>
      </c>
      <c r="I14270" t="str">
        <f>T("OAK HARBOR")</f>
        <v>OAK HARBOR</v>
      </c>
      <c r="J14270" t="str">
        <f t="shared" si="5265"/>
        <v>WA</v>
      </c>
      <c r="K14270" t="str">
        <f>T("3602576742")</f>
        <v>3602576742</v>
      </c>
      <c r="L14270" t="str">
        <f>T("3602579434")</f>
        <v>3602579434</v>
      </c>
    </row>
    <row r="14271" spans="1:12" x14ac:dyDescent="0.35">
      <c r="A14271" t="str">
        <f t="shared" si="5263"/>
        <v>RCC NORTHWEST</v>
      </c>
      <c r="B14271" t="str">
        <f>T("1045 MIDWAY STREET")</f>
        <v>1045 MIDWAY STREET</v>
      </c>
      <c r="C14271" t="str">
        <f>T("BLDG 2739")</f>
        <v>BLDG 2739</v>
      </c>
      <c r="D14271" t="str">
        <f>T("OAK HARBOR")</f>
        <v>OAK HARBOR</v>
      </c>
      <c r="E14271" t="str">
        <f t="shared" si="5264"/>
        <v>WA</v>
      </c>
      <c r="F14271" t="str">
        <f>T("982784932")</f>
        <v>982784932</v>
      </c>
      <c r="G14271" t="str">
        <f>T("1045 MIDWAY STREET")</f>
        <v>1045 MIDWAY STREET</v>
      </c>
      <c r="H14271" t="str">
        <f>T("BLDG 2739")</f>
        <v>BLDG 2739</v>
      </c>
      <c r="I14271" t="str">
        <f>T("OAK HARBOR")</f>
        <v>OAK HARBOR</v>
      </c>
      <c r="J14271" t="str">
        <f t="shared" si="5265"/>
        <v>WA</v>
      </c>
      <c r="K14271" t="str">
        <f>T("3602576742")</f>
        <v>3602576742</v>
      </c>
      <c r="L14271" t="str">
        <f>T("3602572861")</f>
        <v>3602572861</v>
      </c>
    </row>
    <row r="14272" spans="1:12" x14ac:dyDescent="0.35">
      <c r="A14272" t="str">
        <f t="shared" si="5263"/>
        <v>RCC NORTHWEST</v>
      </c>
      <c r="B14272" t="str">
        <f>T("2000 W MARINE VIEW DRIVE")</f>
        <v>2000 W MARINE VIEW DRIVE</v>
      </c>
      <c r="C14272" t="str">
        <f>T("BLDG 2102")</f>
        <v>BLDG 2102</v>
      </c>
      <c r="D14272" t="str">
        <f>T("EVERETT")</f>
        <v>EVERETT</v>
      </c>
      <c r="E14272" t="str">
        <f t="shared" si="5264"/>
        <v>WA</v>
      </c>
      <c r="F14272" t="str">
        <f>T("982070001")</f>
        <v>982070001</v>
      </c>
      <c r="G14272" t="str">
        <f>T("2000 W MARINE VIEW DR")</f>
        <v>2000 W MARINE VIEW DR</v>
      </c>
      <c r="H14272" t="str">
        <f>T("BLDG 2102")</f>
        <v>BLDG 2102</v>
      </c>
      <c r="I14272" t="str">
        <f>T("EVERETT")</f>
        <v>EVERETT</v>
      </c>
      <c r="J14272" t="str">
        <f t="shared" si="5265"/>
        <v>WA</v>
      </c>
      <c r="K14272" t="str">
        <f>T("4253044814")</f>
        <v>4253044814</v>
      </c>
      <c r="L14272" t="str">
        <f>T("4253043810")</f>
        <v>4253043810</v>
      </c>
    </row>
    <row r="14273" spans="1:12" x14ac:dyDescent="0.35">
      <c r="A14273" t="str">
        <f t="shared" si="5263"/>
        <v>RCC NORTHWEST</v>
      </c>
      <c r="B14273" t="str">
        <f>T("2000 W MARINE VIEW DRIVE")</f>
        <v>2000 W MARINE VIEW DRIVE</v>
      </c>
      <c r="C14273" t="str">
        <f>T("BLDG 2102")</f>
        <v>BLDG 2102</v>
      </c>
      <c r="D14273" t="str">
        <f>T("EVERETT")</f>
        <v>EVERETT</v>
      </c>
      <c r="E14273" t="str">
        <f t="shared" si="5264"/>
        <v>WA</v>
      </c>
      <c r="F14273" t="str">
        <f>T("982070001")</f>
        <v>982070001</v>
      </c>
      <c r="G14273" t="str">
        <f>T("2000 W MARINE VIEW DRIVE")</f>
        <v>2000 W MARINE VIEW DRIVE</v>
      </c>
      <c r="H14273" t="str">
        <f>T("BLDG 2102")</f>
        <v>BLDG 2102</v>
      </c>
      <c r="I14273" t="str">
        <f>T("EVERETT")</f>
        <v>EVERETT</v>
      </c>
      <c r="J14273" t="str">
        <f t="shared" si="5265"/>
        <v>WA</v>
      </c>
      <c r="K14273" t="str">
        <f>T("4253044814")</f>
        <v>4253044814</v>
      </c>
      <c r="L14273" t="str">
        <f>T("4253043814")</f>
        <v>4253043814</v>
      </c>
    </row>
    <row r="14274" spans="1:12" x14ac:dyDescent="0.35">
      <c r="A14274" t="str">
        <f t="shared" si="5263"/>
        <v>RCC NORTHWEST</v>
      </c>
      <c r="B14274" t="str">
        <f>T("2000 W MARINE VIEW DRIVE")</f>
        <v>2000 W MARINE VIEW DRIVE</v>
      </c>
      <c r="C14274" t="str">
        <f>T("BLDG 2102")</f>
        <v>BLDG 2102</v>
      </c>
      <c r="D14274" t="str">
        <f>T("EVERETT")</f>
        <v>EVERETT</v>
      </c>
      <c r="E14274" t="str">
        <f t="shared" si="5264"/>
        <v>WA</v>
      </c>
      <c r="F14274" t="str">
        <f>T("982070001")</f>
        <v>982070001</v>
      </c>
      <c r="G14274" t="str">
        <f>T("2000 WEST MARINE VIEW DRIVE BLDG 210")</f>
        <v>2000 WEST MARINE VIEW DRIVE BLDG 210</v>
      </c>
      <c r="H14274" t="str">
        <f>T("")</f>
        <v/>
      </c>
      <c r="I14274" t="str">
        <f>T("EVERETT")</f>
        <v>EVERETT</v>
      </c>
      <c r="J14274" t="str">
        <f t="shared" si="5265"/>
        <v>WA</v>
      </c>
      <c r="K14274" t="str">
        <f>T("4253043867")</f>
        <v>4253043867</v>
      </c>
      <c r="L14274" t="str">
        <f>T("4253043888")</f>
        <v>4253043888</v>
      </c>
    </row>
    <row r="14275" spans="1:12" x14ac:dyDescent="0.35">
      <c r="A14275" t="str">
        <f t="shared" si="5263"/>
        <v>RCC NORTHWEST</v>
      </c>
      <c r="B14275" t="str">
        <f>T("3920 31ST STREET NORTH")</f>
        <v>3920 31ST STREET NORTH</v>
      </c>
      <c r="C14275" t="str">
        <f>T("STE B")</f>
        <v>STE B</v>
      </c>
      <c r="D14275" t="str">
        <f>T("FARGO")</f>
        <v>FARGO</v>
      </c>
      <c r="E14275" t="str">
        <f>T("ND")</f>
        <v>ND</v>
      </c>
      <c r="F14275" t="str">
        <f>T("581026211")</f>
        <v>581026211</v>
      </c>
      <c r="G14275" t="str">
        <f>T("3920 31ST ST N")</f>
        <v>3920 31ST ST N</v>
      </c>
      <c r="H14275" t="str">
        <f>T("STE B")</f>
        <v>STE B</v>
      </c>
      <c r="I14275" t="str">
        <f>T("FARGO")</f>
        <v>FARGO</v>
      </c>
      <c r="J14275" t="str">
        <f>T("ND")</f>
        <v>ND</v>
      </c>
      <c r="K14275" t="str">
        <f>T("7012419895")</f>
        <v>7012419895</v>
      </c>
      <c r="L14275" t="str">
        <f>T("7012323689")</f>
        <v>7012323689</v>
      </c>
    </row>
    <row r="14276" spans="1:12" x14ac:dyDescent="0.35">
      <c r="A14276" t="str">
        <f t="shared" si="5263"/>
        <v>RCC NORTHWEST</v>
      </c>
      <c r="B14276" t="str">
        <f>T("3920 31ST STREET NORTH")</f>
        <v>3920 31ST STREET NORTH</v>
      </c>
      <c r="C14276" t="str">
        <f>T("STE B")</f>
        <v>STE B</v>
      </c>
      <c r="D14276" t="str">
        <f>T("FARGO")</f>
        <v>FARGO</v>
      </c>
      <c r="E14276" t="str">
        <f>T("ND")</f>
        <v>ND</v>
      </c>
      <c r="F14276" t="str">
        <f>T("581026211")</f>
        <v>581026211</v>
      </c>
      <c r="G14276" t="str">
        <f>T("3920 31ST STREET NORTH")</f>
        <v>3920 31ST STREET NORTH</v>
      </c>
      <c r="H14276" t="str">
        <f>T("STE B")</f>
        <v>STE B</v>
      </c>
      <c r="I14276" t="str">
        <f>T("FARGO")</f>
        <v>FARGO</v>
      </c>
      <c r="J14276" t="str">
        <f>T("ND")</f>
        <v>ND</v>
      </c>
      <c r="K14276" t="str">
        <f>T("701-241-9895")</f>
        <v>701-241-9895</v>
      </c>
      <c r="L14276" t="str">
        <f>T("7012323689")</f>
        <v>7012323689</v>
      </c>
    </row>
    <row r="14277" spans="1:12" x14ac:dyDescent="0.35">
      <c r="A14277" t="str">
        <f t="shared" si="5263"/>
        <v>RCC NORTHWEST</v>
      </c>
      <c r="B14277" t="str">
        <f>T("4087 W HARVARD")</f>
        <v>4087 W HARVARD</v>
      </c>
      <c r="C14277" t="str">
        <f>T("")</f>
        <v/>
      </c>
      <c r="D14277" t="str">
        <f>T("BOISE")</f>
        <v>BOISE</v>
      </c>
      <c r="E14277" t="str">
        <f>T("ID")</f>
        <v>ID</v>
      </c>
      <c r="F14277" t="str">
        <f>T("837056500")</f>
        <v>837056500</v>
      </c>
      <c r="G14277" t="str">
        <f>T("4087 W HARVARD")</f>
        <v>4087 W HARVARD</v>
      </c>
      <c r="H14277" t="str">
        <f t="shared" ref="H14277:H14283" si="5266">T("")</f>
        <v/>
      </c>
      <c r="I14277" t="str">
        <f>T("BOISE")</f>
        <v>BOISE</v>
      </c>
      <c r="J14277" t="str">
        <f>T("ID")</f>
        <v>ID</v>
      </c>
      <c r="K14277" t="str">
        <f>T("")</f>
        <v/>
      </c>
      <c r="L14277" t="str">
        <f>T("2084226288")</f>
        <v>2084226288</v>
      </c>
    </row>
    <row r="14278" spans="1:12" x14ac:dyDescent="0.35">
      <c r="A14278" t="str">
        <f t="shared" si="5263"/>
        <v>RCC NORTHWEST</v>
      </c>
      <c r="B14278" t="str">
        <f>T("4087 W HARVARD")</f>
        <v>4087 W HARVARD</v>
      </c>
      <c r="C14278" t="str">
        <f>T("")</f>
        <v/>
      </c>
      <c r="D14278" t="str">
        <f>T("BOISE")</f>
        <v>BOISE</v>
      </c>
      <c r="E14278" t="str">
        <f>T("ID")</f>
        <v>ID</v>
      </c>
      <c r="F14278" t="str">
        <f>T("837056500")</f>
        <v>837056500</v>
      </c>
      <c r="G14278" t="str">
        <f>T("4087 W HARVARD")</f>
        <v>4087 W HARVARD</v>
      </c>
      <c r="H14278" t="str">
        <f t="shared" si="5266"/>
        <v/>
      </c>
      <c r="I14278" t="str">
        <f>T("BOISE")</f>
        <v>BOISE</v>
      </c>
      <c r="J14278" t="str">
        <f>T("ID")</f>
        <v>ID</v>
      </c>
      <c r="K14278" t="str">
        <f>T("000000000000000000")</f>
        <v>000000000000000000</v>
      </c>
      <c r="L14278" t="str">
        <f>T("2084226292")</f>
        <v>2084226292</v>
      </c>
    </row>
    <row r="14279" spans="1:12" x14ac:dyDescent="0.35">
      <c r="A14279" t="str">
        <f t="shared" si="5263"/>
        <v>RCC NORTHWEST</v>
      </c>
      <c r="B14279" t="str">
        <f>T("702 NELSON DR")</f>
        <v>702 NELSON DR</v>
      </c>
      <c r="C14279" t="str">
        <f>T("")</f>
        <v/>
      </c>
      <c r="D14279" t="str">
        <f>T("OFFUTT AFB")</f>
        <v>OFFUTT AFB</v>
      </c>
      <c r="E14279" t="str">
        <f>T("NE")</f>
        <v>NE</v>
      </c>
      <c r="F14279" t="str">
        <f>T("681130000")</f>
        <v>681130000</v>
      </c>
      <c r="G14279" t="str">
        <f>T("702 NELSON DR")</f>
        <v>702 NELSON DR</v>
      </c>
      <c r="H14279" t="str">
        <f t="shared" si="5266"/>
        <v/>
      </c>
      <c r="I14279" t="str">
        <f>T("OFFUTT AFB")</f>
        <v>OFFUTT AFB</v>
      </c>
      <c r="J14279" t="str">
        <f>T("NE")</f>
        <v>NE</v>
      </c>
      <c r="K14279" t="str">
        <f>T("402-232-1739")</f>
        <v>402-232-1739</v>
      </c>
      <c r="L14279" t="str">
        <f>T("4022321710")</f>
        <v>4022321710</v>
      </c>
    </row>
    <row r="14280" spans="1:12" x14ac:dyDescent="0.35">
      <c r="A14280" t="str">
        <f t="shared" si="5263"/>
        <v>RCC NORTHWEST</v>
      </c>
      <c r="B14280" t="str">
        <f>T("702 NELSON DR")</f>
        <v>702 NELSON DR</v>
      </c>
      <c r="C14280" t="str">
        <f>T("")</f>
        <v/>
      </c>
      <c r="D14280" t="str">
        <f>T("OFFUTT AFB")</f>
        <v>OFFUTT AFB</v>
      </c>
      <c r="E14280" t="str">
        <f>T("NE")</f>
        <v>NE</v>
      </c>
      <c r="F14280" t="str">
        <f>T("681130000")</f>
        <v>681130000</v>
      </c>
      <c r="G14280" t="str">
        <f>T("702 NELSON DR")</f>
        <v>702 NELSON DR</v>
      </c>
      <c r="H14280" t="str">
        <f t="shared" si="5266"/>
        <v/>
      </c>
      <c r="I14280" t="str">
        <f>T("OFFUTT AFB")</f>
        <v>OFFUTT AFB</v>
      </c>
      <c r="J14280" t="str">
        <f>T("NE")</f>
        <v>NE</v>
      </c>
      <c r="K14280" t="str">
        <f>T("4022321739")</f>
        <v>4022321739</v>
      </c>
      <c r="L14280" t="str">
        <f>T("4022321708")</f>
        <v>4022321708</v>
      </c>
    </row>
    <row r="14281" spans="1:12" x14ac:dyDescent="0.35">
      <c r="A14281" t="str">
        <f t="shared" si="5263"/>
        <v>RCC NORTHWEST</v>
      </c>
      <c r="B14281" t="str">
        <f>T("702 NELSON DR")</f>
        <v>702 NELSON DR</v>
      </c>
      <c r="C14281" t="str">
        <f>T("")</f>
        <v/>
      </c>
      <c r="D14281" t="str">
        <f>T("OFFUTT AFB")</f>
        <v>OFFUTT AFB</v>
      </c>
      <c r="E14281" t="str">
        <f>T("NE")</f>
        <v>NE</v>
      </c>
      <c r="F14281" t="str">
        <f>T("681130000")</f>
        <v>681130000</v>
      </c>
      <c r="G14281" t="str">
        <f>T("702 NELSON DR")</f>
        <v>702 NELSON DR</v>
      </c>
      <c r="H14281" t="str">
        <f t="shared" si="5266"/>
        <v/>
      </c>
      <c r="I14281" t="str">
        <f>T("OFFUTT AFB")</f>
        <v>OFFUTT AFB</v>
      </c>
      <c r="J14281" t="str">
        <f>T("NE")</f>
        <v>NE</v>
      </c>
      <c r="K14281" t="str">
        <f>T("4022321739")</f>
        <v>4022321739</v>
      </c>
      <c r="L14281" t="str">
        <f>T("4022321709")</f>
        <v>4022321709</v>
      </c>
    </row>
    <row r="14282" spans="1:12" x14ac:dyDescent="0.35">
      <c r="A14282" t="str">
        <f t="shared" si="5263"/>
        <v>RCC NORTHWEST</v>
      </c>
      <c r="B14282" t="str">
        <f>T("NOSC ANCHORAGE")</f>
        <v>NOSC ANCHORAGE</v>
      </c>
      <c r="C14282" t="str">
        <f>T("D STREET BLDG 733")</f>
        <v>D STREET BLDG 733</v>
      </c>
      <c r="D14282" t="str">
        <f>T("JB ELMENDORF-RI")</f>
        <v>JB ELMENDORF-RI</v>
      </c>
      <c r="E14282" t="str">
        <f>T("AK")</f>
        <v>AK</v>
      </c>
      <c r="F14282" t="str">
        <f>T("995050001")</f>
        <v>995050001</v>
      </c>
      <c r="G14282" t="str">
        <f>T("D ST BLDG 733")</f>
        <v>D ST BLDG 733</v>
      </c>
      <c r="H14282" t="str">
        <f t="shared" si="5266"/>
        <v/>
      </c>
      <c r="I14282" t="str">
        <f>T("JB ELMENDORF-RICHARDSON")</f>
        <v>JB ELMENDORF-RICHARDSON</v>
      </c>
      <c r="J14282" t="str">
        <f>T("AK")</f>
        <v>AK</v>
      </c>
      <c r="K14282" t="str">
        <f>T("000000000000000000")</f>
        <v>000000000000000000</v>
      </c>
      <c r="L14282" t="str">
        <f>T("9073846525")</f>
        <v>9073846525</v>
      </c>
    </row>
    <row r="14283" spans="1:12" x14ac:dyDescent="0.35">
      <c r="A14283" t="str">
        <f t="shared" si="5263"/>
        <v>RCC NORTHWEST</v>
      </c>
      <c r="B14283" t="str">
        <f>T("NOSC ANCHORAGE")</f>
        <v>NOSC ANCHORAGE</v>
      </c>
      <c r="C14283" t="str">
        <f>T("D STREET BLDG 733")</f>
        <v>D STREET BLDG 733</v>
      </c>
      <c r="D14283" t="str">
        <f>T("JB ELMENDORF-RI")</f>
        <v>JB ELMENDORF-RI</v>
      </c>
      <c r="E14283" t="str">
        <f>T("AK")</f>
        <v>AK</v>
      </c>
      <c r="F14283" t="str">
        <f>T("995050001")</f>
        <v>995050001</v>
      </c>
      <c r="G14283" t="str">
        <f>T("D ST BLDG 733")</f>
        <v>D ST BLDG 733</v>
      </c>
      <c r="H14283" t="str">
        <f t="shared" si="5266"/>
        <v/>
      </c>
      <c r="I14283" t="str">
        <f>T("JB ELMENDORF-RICHARDSON")</f>
        <v>JB ELMENDORF-RICHARDSON</v>
      </c>
      <c r="J14283" t="str">
        <f>T("AK")</f>
        <v>AK</v>
      </c>
      <c r="K14283" t="str">
        <f>T("9073846524")</f>
        <v>9073846524</v>
      </c>
      <c r="L14283" t="str">
        <f>T("9073846487")</f>
        <v>9073846487</v>
      </c>
    </row>
    <row r="14284" spans="1:12" x14ac:dyDescent="0.35">
      <c r="A14284" t="str">
        <f t="shared" si="5263"/>
        <v>RCC NORTHWEST</v>
      </c>
      <c r="B14284" t="str">
        <f>T("NOSC ANCHORAGE")</f>
        <v>NOSC ANCHORAGE</v>
      </c>
      <c r="C14284" t="str">
        <f>T("D STREET BLDG 733")</f>
        <v>D STREET BLDG 733</v>
      </c>
      <c r="D14284" t="str">
        <f>T("JB ELMENDORF-RI")</f>
        <v>JB ELMENDORF-RI</v>
      </c>
      <c r="E14284" t="str">
        <f>T("AK")</f>
        <v>AK</v>
      </c>
      <c r="F14284" t="str">
        <f>T("995050001")</f>
        <v>995050001</v>
      </c>
      <c r="G14284" t="str">
        <f>T("NOSC ANCHORAGE")</f>
        <v>NOSC ANCHORAGE</v>
      </c>
      <c r="H14284" t="str">
        <f>T("D STREET BLDG 733")</f>
        <v>D STREET BLDG 733</v>
      </c>
      <c r="I14284" t="str">
        <f>T("JB ELMENDORF-RI")</f>
        <v>JB ELMENDORF-RI</v>
      </c>
      <c r="J14284" t="str">
        <f>T("AK")</f>
        <v>AK</v>
      </c>
      <c r="K14284" t="str">
        <f>T("9073846524")</f>
        <v>9073846524</v>
      </c>
      <c r="L14284" t="str">
        <f>T("9073846487")</f>
        <v>9073846487</v>
      </c>
    </row>
    <row r="14285" spans="1:12" x14ac:dyDescent="0.35">
      <c r="A14285" t="str">
        <f t="shared" si="5263"/>
        <v>RCC NORTHWEST</v>
      </c>
      <c r="B14285" t="str">
        <f>T("NOSC BILLINGS")</f>
        <v>NOSC BILLINGS</v>
      </c>
      <c r="C14285" t="str">
        <f>T("2917 GABEL ROAD")</f>
        <v>2917 GABEL ROAD</v>
      </c>
      <c r="D14285" t="str">
        <f>T("BILLINGS")</f>
        <v>BILLINGS</v>
      </c>
      <c r="E14285" t="str">
        <f>T("MT")</f>
        <v>MT</v>
      </c>
      <c r="F14285" t="str">
        <f>T("591027332")</f>
        <v>591027332</v>
      </c>
      <c r="G14285" t="str">
        <f>T("2917 GABLE ROAD")</f>
        <v>2917 GABLE ROAD</v>
      </c>
      <c r="H14285" t="str">
        <f>T("")</f>
        <v/>
      </c>
      <c r="I14285" t="str">
        <f>T("BILLINGS")</f>
        <v>BILLINGS</v>
      </c>
      <c r="J14285" t="str">
        <f>T("MT")</f>
        <v>MT</v>
      </c>
      <c r="K14285" t="str">
        <f>T("000000000000000000")</f>
        <v>000000000000000000</v>
      </c>
      <c r="L14285" t="str">
        <f>T("4063738642")</f>
        <v>4063738642</v>
      </c>
    </row>
    <row r="14286" spans="1:12" x14ac:dyDescent="0.35">
      <c r="A14286" t="str">
        <f t="shared" si="5263"/>
        <v>RCC NORTHWEST</v>
      </c>
      <c r="B14286" t="str">
        <f>T("NOSC BILLINGS")</f>
        <v>NOSC BILLINGS</v>
      </c>
      <c r="C14286" t="str">
        <f>T("2917 GABEL ROAD")</f>
        <v>2917 GABEL ROAD</v>
      </c>
      <c r="D14286" t="str">
        <f>T("BILLINGS")</f>
        <v>BILLINGS</v>
      </c>
      <c r="E14286" t="str">
        <f>T("MT")</f>
        <v>MT</v>
      </c>
      <c r="F14286" t="str">
        <f>T("591027332")</f>
        <v>591027332</v>
      </c>
      <c r="G14286" t="str">
        <f>T("NOSC BILLINGS")</f>
        <v>NOSC BILLINGS</v>
      </c>
      <c r="H14286" t="str">
        <f>T("2917 GABEL ROAD")</f>
        <v>2917 GABEL ROAD</v>
      </c>
      <c r="I14286" t="str">
        <f>T("BILLINGS")</f>
        <v>BILLINGS</v>
      </c>
      <c r="J14286" t="str">
        <f>T("MT")</f>
        <v>MT</v>
      </c>
      <c r="K14286" t="str">
        <f>T("4062482042")</f>
        <v>4062482042</v>
      </c>
      <c r="L14286" t="str">
        <f>T("4063738646")</f>
        <v>4063738646</v>
      </c>
    </row>
    <row r="14287" spans="1:12" x14ac:dyDescent="0.35">
      <c r="A14287" t="str">
        <f t="shared" si="5263"/>
        <v>RCC NORTHWEST</v>
      </c>
      <c r="B14287" t="str">
        <f>T("NOSC CHEYENNE")</f>
        <v>NOSC CHEYENNE</v>
      </c>
      <c r="C14287" t="str">
        <f>T("5609 RANDALL AVE BLDG 245")</f>
        <v>5609 RANDALL AVE BLDG 245</v>
      </c>
      <c r="D14287" t="str">
        <f>T("CHEYENNE")</f>
        <v>CHEYENNE</v>
      </c>
      <c r="E14287" t="str">
        <f>T("WY")</f>
        <v>WY</v>
      </c>
      <c r="F14287" t="str">
        <f>T("820052207")</f>
        <v>820052207</v>
      </c>
      <c r="G14287" t="str">
        <f>T("5609 RANDALL AVE BLDG")</f>
        <v>5609 RANDALL AVE BLDG</v>
      </c>
      <c r="H14287" t="str">
        <f>T("")</f>
        <v/>
      </c>
      <c r="I14287" t="str">
        <f>T("CHEYENNE")</f>
        <v>CHEYENNE</v>
      </c>
      <c r="J14287" t="str">
        <f>T("WY")</f>
        <v>WY</v>
      </c>
      <c r="K14287" t="str">
        <f>T("000000000000000000")</f>
        <v>000000000000000000</v>
      </c>
      <c r="L14287" t="str">
        <f>T("3077736475")</f>
        <v>3077736475</v>
      </c>
    </row>
    <row r="14288" spans="1:12" x14ac:dyDescent="0.35">
      <c r="A14288" t="str">
        <f t="shared" si="5263"/>
        <v>RCC NORTHWEST</v>
      </c>
      <c r="B14288" t="str">
        <f>T("NOSC CHEYENNE")</f>
        <v>NOSC CHEYENNE</v>
      </c>
      <c r="C14288" t="str">
        <f>T("5609 RANDALL AVE BLDG 245")</f>
        <v>5609 RANDALL AVE BLDG 245</v>
      </c>
      <c r="D14288" t="str">
        <f>T("CHEYENNE")</f>
        <v>CHEYENNE</v>
      </c>
      <c r="E14288" t="str">
        <f>T("WY")</f>
        <v>WY</v>
      </c>
      <c r="F14288" t="str">
        <f>T("820052207")</f>
        <v>820052207</v>
      </c>
      <c r="G14288" t="str">
        <f>T("5609 RANDALL AVE BLDG 245")</f>
        <v>5609 RANDALL AVE BLDG 245</v>
      </c>
      <c r="H14288" t="str">
        <f>T("")</f>
        <v/>
      </c>
      <c r="I14288" t="str">
        <f>T("CHEYENNE")</f>
        <v>CHEYENNE</v>
      </c>
      <c r="J14288" t="str">
        <f>T("WY")</f>
        <v>WY</v>
      </c>
      <c r="K14288" t="str">
        <f>T("3077736475")</f>
        <v>3077736475</v>
      </c>
      <c r="L14288" t="str">
        <f>T("3077736500")</f>
        <v>3077736500</v>
      </c>
    </row>
    <row r="14289" spans="1:12" x14ac:dyDescent="0.35">
      <c r="A14289" t="str">
        <f t="shared" si="5263"/>
        <v>RCC NORTHWEST</v>
      </c>
      <c r="B14289" t="str">
        <f>T("NOSC CHEYENNE")</f>
        <v>NOSC CHEYENNE</v>
      </c>
      <c r="C14289" t="str">
        <f>T("5609 RANDALL AVE BLDG 245")</f>
        <v>5609 RANDALL AVE BLDG 245</v>
      </c>
      <c r="D14289" t="str">
        <f>T("CHEYENNE")</f>
        <v>CHEYENNE</v>
      </c>
      <c r="E14289" t="str">
        <f>T("WY")</f>
        <v>WY</v>
      </c>
      <c r="F14289" t="str">
        <f>T("820052207")</f>
        <v>820052207</v>
      </c>
      <c r="G14289" t="str">
        <f>T("NOSC CHEYENNE")</f>
        <v>NOSC CHEYENNE</v>
      </c>
      <c r="H14289" t="str">
        <f>T("5609 RANDALL AVE BLDG 245")</f>
        <v>5609 RANDALL AVE BLDG 245</v>
      </c>
      <c r="I14289" t="str">
        <f>T("CHEYENNE")</f>
        <v>CHEYENNE</v>
      </c>
      <c r="J14289" t="str">
        <f>T("WY")</f>
        <v>WY</v>
      </c>
      <c r="K14289" t="str">
        <f>T("")</f>
        <v/>
      </c>
      <c r="L14289" t="str">
        <f>T("3077736451")</f>
        <v>3077736451</v>
      </c>
    </row>
    <row r="14290" spans="1:12" x14ac:dyDescent="0.35">
      <c r="A14290" t="str">
        <f t="shared" si="5263"/>
        <v>RCC NORTHWEST</v>
      </c>
      <c r="B14290" t="str">
        <f>T("NOSC DES MOINES")</f>
        <v>NOSC DES MOINES</v>
      </c>
      <c r="C14290" t="str">
        <f>T("47 DICKMAN RD")</f>
        <v>47 DICKMAN RD</v>
      </c>
      <c r="D14290" t="str">
        <f>T("DES MOINES")</f>
        <v>DES MOINES</v>
      </c>
      <c r="E14290" t="str">
        <f>T("IA")</f>
        <v>IA</v>
      </c>
      <c r="F14290" t="str">
        <f>T("503155874")</f>
        <v>503155874</v>
      </c>
      <c r="G14290" t="str">
        <f>T("47 DICKMAN RD")</f>
        <v>47 DICKMAN RD</v>
      </c>
      <c r="H14290" t="str">
        <f>T("")</f>
        <v/>
      </c>
      <c r="I14290" t="str">
        <f>T("DES MOINES")</f>
        <v>DES MOINES</v>
      </c>
      <c r="J14290" t="str">
        <f>T("IA")</f>
        <v>IA</v>
      </c>
      <c r="K14290" t="str">
        <f>T("5152855395")</f>
        <v>5152855395</v>
      </c>
      <c r="L14290" t="str">
        <f>T("5152855581")</f>
        <v>5152855581</v>
      </c>
    </row>
    <row r="14291" spans="1:12" x14ac:dyDescent="0.35">
      <c r="A14291" t="str">
        <f t="shared" si="5263"/>
        <v>RCC NORTHWEST</v>
      </c>
      <c r="B14291" t="str">
        <f>T("NOSC DES MOINES")</f>
        <v>NOSC DES MOINES</v>
      </c>
      <c r="C14291" t="str">
        <f>T("47 DICKMAN RD")</f>
        <v>47 DICKMAN RD</v>
      </c>
      <c r="D14291" t="str">
        <f>T("DES MOINES")</f>
        <v>DES MOINES</v>
      </c>
      <c r="E14291" t="str">
        <f>T("IA")</f>
        <v>IA</v>
      </c>
      <c r="F14291" t="str">
        <f>T("503155874")</f>
        <v>503155874</v>
      </c>
      <c r="G14291" t="str">
        <f>T("NOSC DES MOINES")</f>
        <v>NOSC DES MOINES</v>
      </c>
      <c r="H14291" t="str">
        <f>T("47 DICKMAN RD")</f>
        <v>47 DICKMAN RD</v>
      </c>
      <c r="I14291" t="str">
        <f>T("DES MOINES")</f>
        <v>DES MOINES</v>
      </c>
      <c r="J14291" t="str">
        <f>T("IA")</f>
        <v>IA</v>
      </c>
      <c r="K14291" t="str">
        <f>T("515-285-5395")</f>
        <v>515-285-5395</v>
      </c>
      <c r="L14291" t="str">
        <f>T("5152855581")</f>
        <v>5152855581</v>
      </c>
    </row>
    <row r="14292" spans="1:12" x14ac:dyDescent="0.35">
      <c r="A14292" t="str">
        <f t="shared" si="5263"/>
        <v>RCC NORTHWEST</v>
      </c>
      <c r="B14292" t="str">
        <f>T("NOSC EVERETT")</f>
        <v>NOSC EVERETT</v>
      </c>
      <c r="C14292" t="str">
        <f>T("2000 W MARINE VW DR BLDG 2106")</f>
        <v>2000 W MARINE VW DR BLDG 2106</v>
      </c>
      <c r="D14292" t="str">
        <f>T("EVERETT")</f>
        <v>EVERETT</v>
      </c>
      <c r="E14292" t="str">
        <f>T("WA")</f>
        <v>WA</v>
      </c>
      <c r="F14292" t="str">
        <f>T("982070002")</f>
        <v>982070002</v>
      </c>
      <c r="G14292" t="str">
        <f>T("2000 W MARINE VIEW DRIVE")</f>
        <v>2000 W MARINE VIEW DRIVE</v>
      </c>
      <c r="H14292" t="str">
        <f>T("")</f>
        <v/>
      </c>
      <c r="I14292" t="str">
        <f>T("EVERETT")</f>
        <v>EVERETT</v>
      </c>
      <c r="J14292" t="str">
        <f>T("WA")</f>
        <v>WA</v>
      </c>
      <c r="K14292" t="str">
        <f>T("4253044776")</f>
        <v>4253044776</v>
      </c>
      <c r="L14292" t="str">
        <f>T("4253044780")</f>
        <v>4253044780</v>
      </c>
    </row>
    <row r="14293" spans="1:12" x14ac:dyDescent="0.35">
      <c r="A14293" t="str">
        <f t="shared" si="5263"/>
        <v>RCC NORTHWEST</v>
      </c>
      <c r="B14293" t="str">
        <f>T("NOSC EVERETT")</f>
        <v>NOSC EVERETT</v>
      </c>
      <c r="C14293" t="str">
        <f>T("2000 W MARINE VW DR BLDG 2106")</f>
        <v>2000 W MARINE VW DR BLDG 2106</v>
      </c>
      <c r="D14293" t="str">
        <f>T("EVERETT")</f>
        <v>EVERETT</v>
      </c>
      <c r="E14293" t="str">
        <f>T("WA")</f>
        <v>WA</v>
      </c>
      <c r="F14293" t="str">
        <f>T("982070002")</f>
        <v>982070002</v>
      </c>
      <c r="G14293" t="str">
        <f>T("2000 W MARINE VIEW DRIVE")</f>
        <v>2000 W MARINE VIEW DRIVE</v>
      </c>
      <c r="H14293" t="str">
        <f>T("BLDG 2106 NAVSTA EVERETT")</f>
        <v>BLDG 2106 NAVSTA EVERETT</v>
      </c>
      <c r="I14293" t="str">
        <f>T("EVERETT")</f>
        <v>EVERETT</v>
      </c>
      <c r="J14293" t="str">
        <f>T("WA")</f>
        <v>WA</v>
      </c>
      <c r="K14293" t="str">
        <f>T("4253044776")</f>
        <v>4253044776</v>
      </c>
      <c r="L14293" t="str">
        <f>T("4253044780")</f>
        <v>4253044780</v>
      </c>
    </row>
    <row r="14294" spans="1:12" x14ac:dyDescent="0.35">
      <c r="A14294" t="str">
        <f t="shared" si="5263"/>
        <v>RCC NORTHWEST</v>
      </c>
      <c r="B14294" t="str">
        <f>T("NOSC EVERETT")</f>
        <v>NOSC EVERETT</v>
      </c>
      <c r="C14294" t="str">
        <f>T("2000 W MARINE VW DR BLDG 2106")</f>
        <v>2000 W MARINE VW DR BLDG 2106</v>
      </c>
      <c r="D14294" t="str">
        <f>T("EVERETT")</f>
        <v>EVERETT</v>
      </c>
      <c r="E14294" t="str">
        <f>T("WA")</f>
        <v>WA</v>
      </c>
      <c r="F14294" t="str">
        <f>T("982070002")</f>
        <v>982070002</v>
      </c>
      <c r="G14294" t="str">
        <f>T("NOSC EVERETT")</f>
        <v>NOSC EVERETT</v>
      </c>
      <c r="H14294" t="str">
        <f>T("2000 W MARINE VW DR BLDG 2106")</f>
        <v>2000 W MARINE VW DR BLDG 2106</v>
      </c>
      <c r="I14294" t="str">
        <f>T("EVERETT")</f>
        <v>EVERETT</v>
      </c>
      <c r="J14294" t="str">
        <f>T("WA")</f>
        <v>WA</v>
      </c>
      <c r="K14294" t="str">
        <f>T("4253044775")</f>
        <v>4253044775</v>
      </c>
      <c r="L14294" t="str">
        <f>T("4253044770")</f>
        <v>4253044770</v>
      </c>
    </row>
    <row r="14295" spans="1:12" x14ac:dyDescent="0.35">
      <c r="A14295" t="str">
        <f t="shared" si="5263"/>
        <v>RCC NORTHWEST</v>
      </c>
      <c r="B14295" t="str">
        <f>T("NOSC HELENA")</f>
        <v>NOSC HELENA</v>
      </c>
      <c r="C14295" t="str">
        <f>T("2090 USS HELENA DRIVE")</f>
        <v>2090 USS HELENA DRIVE</v>
      </c>
      <c r="D14295" t="str">
        <f>T("FORT HARRISON")</f>
        <v>FORT HARRISON</v>
      </c>
      <c r="E14295" t="str">
        <f>T("MT")</f>
        <v>MT</v>
      </c>
      <c r="F14295" t="str">
        <f>T("596369724")</f>
        <v>596369724</v>
      </c>
      <c r="G14295" t="str">
        <f>T("2090 USS HELENA DR")</f>
        <v>2090 USS HELENA DR</v>
      </c>
      <c r="H14295" t="str">
        <f>T("")</f>
        <v/>
      </c>
      <c r="I14295" t="str">
        <f>T("FORT HARRISON")</f>
        <v>FORT HARRISON</v>
      </c>
      <c r="J14295" t="str">
        <f>T("MT")</f>
        <v>MT</v>
      </c>
      <c r="K14295" t="str">
        <f>T("000000000000000000")</f>
        <v>000000000000000000</v>
      </c>
      <c r="L14295" t="str">
        <f>T("4064495725")</f>
        <v>4064495725</v>
      </c>
    </row>
    <row r="14296" spans="1:12" x14ac:dyDescent="0.35">
      <c r="A14296" t="str">
        <f t="shared" si="5263"/>
        <v>RCC NORTHWEST</v>
      </c>
      <c r="B14296" t="str">
        <f>T("NOSC HELENA")</f>
        <v>NOSC HELENA</v>
      </c>
      <c r="C14296" t="str">
        <f>T("2090 USS HELENA DRIVE")</f>
        <v>2090 USS HELENA DRIVE</v>
      </c>
      <c r="D14296" t="str">
        <f>T("FORT HARRISON")</f>
        <v>FORT HARRISON</v>
      </c>
      <c r="E14296" t="str">
        <f>T("MT")</f>
        <v>MT</v>
      </c>
      <c r="F14296" t="str">
        <f>T("596369724")</f>
        <v>596369724</v>
      </c>
      <c r="G14296" t="str">
        <f>T("NOSC HELENA")</f>
        <v>NOSC HELENA</v>
      </c>
      <c r="H14296" t="str">
        <f>T("2090 USS HELENA DRIVE")</f>
        <v>2090 USS HELENA DRIVE</v>
      </c>
      <c r="I14296" t="str">
        <f>T("FORT HARRISON")</f>
        <v>FORT HARRISON</v>
      </c>
      <c r="J14296" t="str">
        <f>T("MT")</f>
        <v>MT</v>
      </c>
      <c r="K14296" t="str">
        <f>T("4064495730")</f>
        <v>4064495730</v>
      </c>
      <c r="L14296" t="str">
        <f>T("4064065725")</f>
        <v>4064065725</v>
      </c>
    </row>
    <row r="14297" spans="1:12" x14ac:dyDescent="0.35">
      <c r="A14297" t="str">
        <f t="shared" si="5263"/>
        <v>RCC NORTHWEST</v>
      </c>
      <c r="B14297" t="str">
        <f>T("NOSC KITSAP")</f>
        <v>NOSC KITSAP</v>
      </c>
      <c r="C14297" t="str">
        <f>T("125 SOUTH DEWEY ST")</f>
        <v>125 SOUTH DEWEY ST</v>
      </c>
      <c r="D14297" t="str">
        <f>T("BREMERTON")</f>
        <v>BREMERTON</v>
      </c>
      <c r="E14297" t="str">
        <f>T("WA")</f>
        <v>WA</v>
      </c>
      <c r="F14297" t="str">
        <f>T("983145020")</f>
        <v>983145020</v>
      </c>
      <c r="G14297" t="str">
        <f>T("125 SOUTH DEWEY ST")</f>
        <v>125 SOUTH DEWEY ST</v>
      </c>
      <c r="H14297" t="str">
        <f>T("BUILDING 1013")</f>
        <v>BUILDING 1013</v>
      </c>
      <c r="I14297" t="str">
        <f>T("EVERETT")</f>
        <v>EVERETT</v>
      </c>
      <c r="J14297" t="str">
        <f>T("WA")</f>
        <v>WA</v>
      </c>
      <c r="K14297" t="str">
        <f>T("3606272257")</f>
        <v>3606272257</v>
      </c>
      <c r="L14297" t="str">
        <f>T("3606275550")</f>
        <v>3606275550</v>
      </c>
    </row>
    <row r="14298" spans="1:12" x14ac:dyDescent="0.35">
      <c r="A14298" t="str">
        <f t="shared" si="5263"/>
        <v>RCC NORTHWEST</v>
      </c>
      <c r="B14298" t="str">
        <f>T("NOSC KITSAP")</f>
        <v>NOSC KITSAP</v>
      </c>
      <c r="C14298" t="str">
        <f>T("125 SOUTH DEWEY ST")</f>
        <v>125 SOUTH DEWEY ST</v>
      </c>
      <c r="D14298" t="str">
        <f>T("BREMERTON")</f>
        <v>BREMERTON</v>
      </c>
      <c r="E14298" t="str">
        <f>T("WA")</f>
        <v>WA</v>
      </c>
      <c r="F14298" t="str">
        <f>T("983145020")</f>
        <v>983145020</v>
      </c>
      <c r="G14298" t="str">
        <f>T("125 SOUTH DEWEY STREET")</f>
        <v>125 SOUTH DEWEY STREET</v>
      </c>
      <c r="H14298" t="str">
        <f>T("BUILDING 1013")</f>
        <v>BUILDING 1013</v>
      </c>
      <c r="I14298" t="str">
        <f>T("BREMERTON")</f>
        <v>BREMERTON</v>
      </c>
      <c r="J14298" t="str">
        <f>T("WA")</f>
        <v>WA</v>
      </c>
      <c r="K14298" t="str">
        <f>T("3606272257")</f>
        <v>3606272257</v>
      </c>
      <c r="L14298" t="str">
        <f>T("3606272219")</f>
        <v>3606272219</v>
      </c>
    </row>
    <row r="14299" spans="1:12" x14ac:dyDescent="0.35">
      <c r="A14299" t="str">
        <f t="shared" si="5263"/>
        <v>RCC NORTHWEST</v>
      </c>
      <c r="B14299" t="str">
        <f>T("NOSC KITSAP")</f>
        <v>NOSC KITSAP</v>
      </c>
      <c r="C14299" t="str">
        <f>T("125 SOUTH DEWEY ST")</f>
        <v>125 SOUTH DEWEY ST</v>
      </c>
      <c r="D14299" t="str">
        <f>T("BREMERTON")</f>
        <v>BREMERTON</v>
      </c>
      <c r="E14299" t="str">
        <f>T("WA")</f>
        <v>WA</v>
      </c>
      <c r="F14299" t="str">
        <f>T("983145020")</f>
        <v>983145020</v>
      </c>
      <c r="G14299" t="str">
        <f>T("125 SOUTH DEWEY STREET")</f>
        <v>125 SOUTH DEWEY STREET</v>
      </c>
      <c r="H14299" t="str">
        <f>T("BUILDING 1013")</f>
        <v>BUILDING 1013</v>
      </c>
      <c r="I14299" t="str">
        <f>T("BREMERTON")</f>
        <v>BREMERTON</v>
      </c>
      <c r="J14299" t="str">
        <f>T("WA")</f>
        <v>WA</v>
      </c>
      <c r="K14299" t="str">
        <f>T("3606272257")</f>
        <v>3606272257</v>
      </c>
      <c r="L14299" t="str">
        <f>T("3606272220")</f>
        <v>3606272220</v>
      </c>
    </row>
    <row r="14300" spans="1:12" x14ac:dyDescent="0.35">
      <c r="A14300" t="str">
        <f t="shared" si="5263"/>
        <v>RCC NORTHWEST</v>
      </c>
      <c r="B14300" t="str">
        <f>T("NOSC KITSAP")</f>
        <v>NOSC KITSAP</v>
      </c>
      <c r="C14300" t="str">
        <f>T("125 SOUTH DEWEY ST")</f>
        <v>125 SOUTH DEWEY ST</v>
      </c>
      <c r="D14300" t="str">
        <f>T("BREMERTON")</f>
        <v>BREMERTON</v>
      </c>
      <c r="E14300" t="str">
        <f>T("WA")</f>
        <v>WA</v>
      </c>
      <c r="F14300" t="str">
        <f>T("983145020")</f>
        <v>983145020</v>
      </c>
      <c r="G14300" t="str">
        <f>T("NOSC KITSAP")</f>
        <v>NOSC KITSAP</v>
      </c>
      <c r="H14300" t="str">
        <f>T("125 SOUTH DEWEY ST")</f>
        <v>125 SOUTH DEWEY ST</v>
      </c>
      <c r="I14300" t="str">
        <f>T("BREMERTON")</f>
        <v>BREMERTON</v>
      </c>
      <c r="J14300" t="str">
        <f>T("WA")</f>
        <v>WA</v>
      </c>
      <c r="K14300" t="str">
        <f>T("3606272257")</f>
        <v>3606272257</v>
      </c>
      <c r="L14300" t="str">
        <f>T("3606272201")</f>
        <v>3606272201</v>
      </c>
    </row>
    <row r="14301" spans="1:12" x14ac:dyDescent="0.35">
      <c r="A14301" t="str">
        <f t="shared" si="5263"/>
        <v>RCC NORTHWEST</v>
      </c>
      <c r="B14301" t="str">
        <f>T("NOSC MINNEAPOLIS")</f>
        <v>NOSC MINNEAPOLIS</v>
      </c>
      <c r="C14301" t="str">
        <f>T("5905 34TH AVE SOUTH")</f>
        <v>5905 34TH AVE SOUTH</v>
      </c>
      <c r="D14301" t="str">
        <f>T("MINNEAPOLIS")</f>
        <v>MINNEAPOLIS</v>
      </c>
      <c r="E14301" t="str">
        <f>T("MN")</f>
        <v>MN</v>
      </c>
      <c r="F14301" t="str">
        <f>T("554502900")</f>
        <v>554502900</v>
      </c>
      <c r="G14301" t="str">
        <f>T("5905 34TH AVE S")</f>
        <v>5905 34TH AVE S</v>
      </c>
      <c r="H14301" t="str">
        <f>T("")</f>
        <v/>
      </c>
      <c r="I14301" t="str">
        <f>T("MINNEAPOLIS")</f>
        <v>MINNEAPOLIS</v>
      </c>
      <c r="J14301" t="str">
        <f>T("MN")</f>
        <v>MN</v>
      </c>
      <c r="K14301" t="str">
        <f>T("6127134662")</f>
        <v>6127134662</v>
      </c>
      <c r="L14301" t="str">
        <f>T("6127134661")</f>
        <v>6127134661</v>
      </c>
    </row>
    <row r="14302" spans="1:12" x14ac:dyDescent="0.35">
      <c r="A14302" t="str">
        <f t="shared" si="5263"/>
        <v>RCC NORTHWEST</v>
      </c>
      <c r="B14302" t="str">
        <f>T("NOSC MINNEAPOLIS")</f>
        <v>NOSC MINNEAPOLIS</v>
      </c>
      <c r="C14302" t="str">
        <f>T("5905 34TH AVE SOUTH")</f>
        <v>5905 34TH AVE SOUTH</v>
      </c>
      <c r="D14302" t="str">
        <f>T("MINNEAPOLIS")</f>
        <v>MINNEAPOLIS</v>
      </c>
      <c r="E14302" t="str">
        <f>T("MN")</f>
        <v>MN</v>
      </c>
      <c r="F14302" t="str">
        <f>T("554502900")</f>
        <v>554502900</v>
      </c>
      <c r="G14302" t="str">
        <f>T("NOSC MINNEAPOLIS")</f>
        <v>NOSC MINNEAPOLIS</v>
      </c>
      <c r="H14302" t="str">
        <f>T("5905 34TH AVE SOUTH")</f>
        <v>5905 34TH AVE SOUTH</v>
      </c>
      <c r="I14302" t="str">
        <f>T("MINNEAPOLIS")</f>
        <v>MINNEAPOLIS</v>
      </c>
      <c r="J14302" t="str">
        <f>T("MN")</f>
        <v>MN</v>
      </c>
      <c r="K14302" t="str">
        <f>T("6127134662")</f>
        <v>6127134662</v>
      </c>
      <c r="L14302" t="str">
        <f>T("6127134601")</f>
        <v>6127134601</v>
      </c>
    </row>
    <row r="14303" spans="1:12" x14ac:dyDescent="0.35">
      <c r="A14303" t="str">
        <f t="shared" si="5263"/>
        <v>RCC NORTHWEST</v>
      </c>
      <c r="B14303" t="str">
        <f>T("NOSC PORTLAND")</f>
        <v>NOSC PORTLAND</v>
      </c>
      <c r="C14303" t="str">
        <f>T("6735 NORTH BASIN AVENUE")</f>
        <v>6735 NORTH BASIN AVENUE</v>
      </c>
      <c r="D14303" t="str">
        <f>T("PORTLAND")</f>
        <v>PORTLAND</v>
      </c>
      <c r="E14303" t="str">
        <f>T("OR")</f>
        <v>OR</v>
      </c>
      <c r="F14303" t="str">
        <f>T("972173929")</f>
        <v>972173929</v>
      </c>
      <c r="G14303" t="str">
        <f>T("6735 NORTH BASIN AVE")</f>
        <v>6735 NORTH BASIN AVE</v>
      </c>
      <c r="H14303" t="str">
        <f>T("")</f>
        <v/>
      </c>
      <c r="I14303" t="str">
        <f>T("PORTLAND")</f>
        <v>PORTLAND</v>
      </c>
      <c r="J14303" t="str">
        <f>T("OR")</f>
        <v>OR</v>
      </c>
      <c r="K14303" t="str">
        <f>T("000000000000000000")</f>
        <v>000000000000000000</v>
      </c>
      <c r="L14303" t="str">
        <f>T("5032854566")</f>
        <v>5032854566</v>
      </c>
    </row>
    <row r="14304" spans="1:12" x14ac:dyDescent="0.35">
      <c r="A14304" t="str">
        <f t="shared" si="5263"/>
        <v>RCC NORTHWEST</v>
      </c>
      <c r="B14304" t="str">
        <f>T("NOSC PORTLAND")</f>
        <v>NOSC PORTLAND</v>
      </c>
      <c r="C14304" t="str">
        <f>T("6735 NORTH BASIN AVENUE")</f>
        <v>6735 NORTH BASIN AVENUE</v>
      </c>
      <c r="D14304" t="str">
        <f>T("PORTLAND")</f>
        <v>PORTLAND</v>
      </c>
      <c r="E14304" t="str">
        <f>T("OR")</f>
        <v>OR</v>
      </c>
      <c r="F14304" t="str">
        <f>T("972173929")</f>
        <v>972173929</v>
      </c>
      <c r="G14304" t="str">
        <f>T("NOSC PORTLAND")</f>
        <v>NOSC PORTLAND</v>
      </c>
      <c r="H14304" t="str">
        <f>T("6735 NORTH BASIN AVENUE")</f>
        <v>6735 NORTH BASIN AVENUE</v>
      </c>
      <c r="I14304" t="str">
        <f>T("PORTLAND")</f>
        <v>PORTLAND</v>
      </c>
      <c r="J14304" t="str">
        <f>T("OR")</f>
        <v>OR</v>
      </c>
      <c r="K14304" t="str">
        <f>T("5037351787")</f>
        <v>5037351787</v>
      </c>
      <c r="L14304" t="str">
        <f>T("1111111111")</f>
        <v>1111111111</v>
      </c>
    </row>
    <row r="14305" spans="1:12" x14ac:dyDescent="0.35">
      <c r="A14305" t="str">
        <f t="shared" si="5263"/>
        <v>RCC NORTHWEST</v>
      </c>
      <c r="B14305" t="str">
        <f>T("NOSC SIOUX FALLS")</f>
        <v>NOSC SIOUX FALLS</v>
      </c>
      <c r="C14305" t="str">
        <f>T("4400 NORTH NORTHVIEW AVENUE")</f>
        <v>4400 NORTH NORTHVIEW AVENUE</v>
      </c>
      <c r="D14305" t="str">
        <f>T("SIOUX FALLS")</f>
        <v>SIOUX FALLS</v>
      </c>
      <c r="E14305" t="str">
        <f>T("SD")</f>
        <v>SD</v>
      </c>
      <c r="F14305" t="str">
        <f>T("571070871")</f>
        <v>571070871</v>
      </c>
      <c r="G14305" t="str">
        <f>T("4400 N NORTHVIEW AVE")</f>
        <v>4400 N NORTHVIEW AVE</v>
      </c>
      <c r="H14305" t="str">
        <f>T("")</f>
        <v/>
      </c>
      <c r="I14305" t="str">
        <f>T("SIOUX FALLS")</f>
        <v>SIOUX FALLS</v>
      </c>
      <c r="J14305" t="str">
        <f>T("SD")</f>
        <v>SD</v>
      </c>
      <c r="K14305" t="str">
        <f>T("6053343690")</f>
        <v>6053343690</v>
      </c>
      <c r="L14305" t="str">
        <f>T("6053362402")</f>
        <v>6053362402</v>
      </c>
    </row>
    <row r="14306" spans="1:12" x14ac:dyDescent="0.35">
      <c r="A14306" t="str">
        <f t="shared" si="5263"/>
        <v>RCC NORTHWEST</v>
      </c>
      <c r="B14306" t="str">
        <f>T("NOSC SIOUX FALLS")</f>
        <v>NOSC SIOUX FALLS</v>
      </c>
      <c r="C14306" t="str">
        <f>T("4400 NORTH NORTHVIEW AVENUE")</f>
        <v>4400 NORTH NORTHVIEW AVENUE</v>
      </c>
      <c r="D14306" t="str">
        <f>T("SIOUX FALLS")</f>
        <v>SIOUX FALLS</v>
      </c>
      <c r="E14306" t="str">
        <f>T("SD")</f>
        <v>SD</v>
      </c>
      <c r="F14306" t="str">
        <f>T("571070871")</f>
        <v>571070871</v>
      </c>
      <c r="G14306" t="str">
        <f>T("NOSC SIOUX FALLS")</f>
        <v>NOSC SIOUX FALLS</v>
      </c>
      <c r="H14306" t="str">
        <f>T("4400 NORTH NORTHVIEW AVENUE")</f>
        <v>4400 NORTH NORTHVIEW AVENUE</v>
      </c>
      <c r="I14306" t="str">
        <f>T("SIOUX FALLS")</f>
        <v>SIOUX FALLS</v>
      </c>
      <c r="J14306" t="str">
        <f>T("SD")</f>
        <v>SD</v>
      </c>
      <c r="K14306" t="str">
        <f>T("6053343690")</f>
        <v>6053343690</v>
      </c>
      <c r="L14306" t="str">
        <f>T("6053362402")</f>
        <v>6053362402</v>
      </c>
    </row>
    <row r="14307" spans="1:12" x14ac:dyDescent="0.35">
      <c r="A14307" t="str">
        <f t="shared" si="5263"/>
        <v>RCC NORTHWEST</v>
      </c>
      <c r="B14307" t="str">
        <f>T("NOSC SPOKANE")</f>
        <v>NOSC SPOKANE</v>
      </c>
      <c r="C14307" t="str">
        <f>T("5101 N ASSEMBLY ST")</f>
        <v>5101 N ASSEMBLY ST</v>
      </c>
      <c r="D14307" t="str">
        <f>T("SPOKANE")</f>
        <v>SPOKANE</v>
      </c>
      <c r="E14307" t="str">
        <f>T("WA")</f>
        <v>WA</v>
      </c>
      <c r="F14307" t="str">
        <f>T("992056188")</f>
        <v>992056188</v>
      </c>
      <c r="G14307" t="str">
        <f>T("5101 N ASSEMBLY ST")</f>
        <v>5101 N ASSEMBLY ST</v>
      </c>
      <c r="H14307" t="str">
        <f>T("")</f>
        <v/>
      </c>
      <c r="I14307" t="str">
        <f>T("SPOKANE")</f>
        <v>SPOKANE</v>
      </c>
      <c r="J14307" t="str">
        <f>T("WA")</f>
        <v>WA</v>
      </c>
      <c r="K14307" t="str">
        <f>T("509327334614")</f>
        <v>509327334614</v>
      </c>
      <c r="L14307" t="str">
        <f>T("5093273346")</f>
        <v>5093273346</v>
      </c>
    </row>
    <row r="14308" spans="1:12" x14ac:dyDescent="0.35">
      <c r="A14308" t="str">
        <f t="shared" si="5263"/>
        <v>RCC NORTHWEST</v>
      </c>
      <c r="B14308" t="str">
        <f>T("NOSC SPOKANE")</f>
        <v>NOSC SPOKANE</v>
      </c>
      <c r="C14308" t="str">
        <f>T("5101 N ASSEMBLY ST")</f>
        <v>5101 N ASSEMBLY ST</v>
      </c>
      <c r="D14308" t="str">
        <f>T("SPOKANE")</f>
        <v>SPOKANE</v>
      </c>
      <c r="E14308" t="str">
        <f>T("WA")</f>
        <v>WA</v>
      </c>
      <c r="F14308" t="str">
        <f>T("992056188")</f>
        <v>992056188</v>
      </c>
      <c r="G14308" t="str">
        <f>T("NOSC SPOKANE")</f>
        <v>NOSC SPOKANE</v>
      </c>
      <c r="H14308" t="str">
        <f>T("5101 N ASSEMBLY ST")</f>
        <v>5101 N ASSEMBLY ST</v>
      </c>
      <c r="I14308" t="str">
        <f>T("SPOKANE")</f>
        <v>SPOKANE</v>
      </c>
      <c r="J14308" t="str">
        <f>T("WA")</f>
        <v>WA</v>
      </c>
      <c r="K14308" t="str">
        <f>T("")</f>
        <v/>
      </c>
      <c r="L14308" t="str">
        <f>T("5093273346")</f>
        <v>5093273346</v>
      </c>
    </row>
    <row r="14309" spans="1:12" x14ac:dyDescent="0.35">
      <c r="A14309" t="str">
        <f t="shared" si="5263"/>
        <v>RCC NORTHWEST</v>
      </c>
      <c r="B14309" t="str">
        <f>T("NOSC SPRINGFIELD")</f>
        <v>NOSC SPRINGFIELD</v>
      </c>
      <c r="C14309" t="str">
        <f>T("3106 PIERCE PARKWAY")</f>
        <v>3106 PIERCE PARKWAY</v>
      </c>
      <c r="D14309" t="str">
        <f>T("SPRINGFIELD")</f>
        <v>SPRINGFIELD</v>
      </c>
      <c r="E14309" t="str">
        <f>T("OR")</f>
        <v>OR</v>
      </c>
      <c r="F14309" t="str">
        <f>T("974777909")</f>
        <v>974777909</v>
      </c>
      <c r="G14309" t="str">
        <f>T("3106 PIERCE PARKWAY")</f>
        <v>3106 PIERCE PARKWAY</v>
      </c>
      <c r="H14309" t="str">
        <f>T("")</f>
        <v/>
      </c>
      <c r="I14309" t="str">
        <f>T("SPRINGFIELD")</f>
        <v>SPRINGFIELD</v>
      </c>
      <c r="J14309" t="str">
        <f>T("OR")</f>
        <v>OR</v>
      </c>
      <c r="K14309" t="str">
        <f>T("5414637270")</f>
        <v>5414637270</v>
      </c>
      <c r="L14309" t="str">
        <f>T("5414637267")</f>
        <v>5414637267</v>
      </c>
    </row>
    <row r="14310" spans="1:12" x14ac:dyDescent="0.35">
      <c r="A14310" t="str">
        <f t="shared" si="5263"/>
        <v>RCC NORTHWEST</v>
      </c>
      <c r="B14310" t="str">
        <f>T("NOSC SPRINGFIELD")</f>
        <v>NOSC SPRINGFIELD</v>
      </c>
      <c r="C14310" t="str">
        <f>T("3106 PIERCE PARKWAY")</f>
        <v>3106 PIERCE PARKWAY</v>
      </c>
      <c r="D14310" t="str">
        <f>T("SPRINGFIELD")</f>
        <v>SPRINGFIELD</v>
      </c>
      <c r="E14310" t="str">
        <f>T("OR")</f>
        <v>OR</v>
      </c>
      <c r="F14310" t="str">
        <f>T("974777909")</f>
        <v>974777909</v>
      </c>
      <c r="G14310" t="str">
        <f>T("NOSC SPRINGFIELD")</f>
        <v>NOSC SPRINGFIELD</v>
      </c>
      <c r="H14310" t="str">
        <f>T("3106 PIERCE PARKWAY")</f>
        <v>3106 PIERCE PARKWAY</v>
      </c>
      <c r="I14310" t="str">
        <f>T("SPRINGFIELD")</f>
        <v>SPRINGFIELD</v>
      </c>
      <c r="J14310" t="str">
        <f>T("OR")</f>
        <v>OR</v>
      </c>
      <c r="K14310" t="str">
        <f>T("5414637270")</f>
        <v>5414637270</v>
      </c>
      <c r="L14310" t="str">
        <f>T("5414637260")</f>
        <v>5414637260</v>
      </c>
    </row>
    <row r="14311" spans="1:12" x14ac:dyDescent="0.35">
      <c r="A14311" t="str">
        <f t="shared" ref="A14311:A14342" si="5267">T("RCC SOUTHWEST")</f>
        <v>RCC SOUTHWEST</v>
      </c>
      <c r="B14311" t="str">
        <f>T("116 POLLOCK RD")</f>
        <v>116 POLLOCK RD</v>
      </c>
      <c r="C14311" t="str">
        <f>T("")</f>
        <v/>
      </c>
      <c r="D14311" t="str">
        <f>T("SALT LAKE CTY")</f>
        <v>SALT LAKE CTY</v>
      </c>
      <c r="E14311" t="str">
        <f>T("UT")</f>
        <v>UT</v>
      </c>
      <c r="F14311" t="str">
        <f>T("841135033")</f>
        <v>841135033</v>
      </c>
      <c r="G14311" t="str">
        <f>T("116 POLLOCK RD")</f>
        <v>116 POLLOCK RD</v>
      </c>
      <c r="H14311" t="str">
        <f>T("")</f>
        <v/>
      </c>
      <c r="I14311" t="str">
        <f>T("SALT LAKE CTY")</f>
        <v>SALT LAKE CTY</v>
      </c>
      <c r="J14311" t="str">
        <f>T("UT")</f>
        <v>UT</v>
      </c>
      <c r="K14311" t="str">
        <f>T("")</f>
        <v/>
      </c>
      <c r="L14311" t="str">
        <f>T("8017364200")</f>
        <v>8017364200</v>
      </c>
    </row>
    <row r="14312" spans="1:12" x14ac:dyDescent="0.35">
      <c r="A14312" t="str">
        <f t="shared" si="5267"/>
        <v>RCC SOUTHWEST</v>
      </c>
      <c r="B14312" t="str">
        <f>T("116 POLLOCK RD")</f>
        <v>116 POLLOCK RD</v>
      </c>
      <c r="C14312" t="str">
        <f>T("")</f>
        <v/>
      </c>
      <c r="D14312" t="str">
        <f>T("SALT LAKE CTY")</f>
        <v>SALT LAKE CTY</v>
      </c>
      <c r="E14312" t="str">
        <f>T("UT")</f>
        <v>UT</v>
      </c>
      <c r="F14312" t="str">
        <f>T("841135033")</f>
        <v>841135033</v>
      </c>
      <c r="G14312" t="str">
        <f>T("NOSC SALT LAKE CITY")</f>
        <v>NOSC SALT LAKE CITY</v>
      </c>
      <c r="H14312" t="str">
        <f>T("116 POLLOCK ROAD")</f>
        <v>116 POLLOCK ROAD</v>
      </c>
      <c r="I14312" t="str">
        <f>T("SALT LAKE CITY")</f>
        <v>SALT LAKE CITY</v>
      </c>
      <c r="J14312" t="str">
        <f>T("UT")</f>
        <v>UT</v>
      </c>
      <c r="K14312" t="str">
        <f>T("000000000000000000")</f>
        <v>000000000000000000</v>
      </c>
      <c r="L14312" t="str">
        <f>T("8017364200")</f>
        <v>8017364200</v>
      </c>
    </row>
    <row r="14313" spans="1:12" x14ac:dyDescent="0.35">
      <c r="A14313" t="str">
        <f t="shared" si="5267"/>
        <v>RCC SOUTHWEST</v>
      </c>
      <c r="B14313" t="str">
        <f>T("14160 W MARAUDER ST B/300")</f>
        <v>14160 W MARAUDER ST B/300</v>
      </c>
      <c r="C14313" t="str">
        <f>T("LUKE AFB")</f>
        <v>LUKE AFB</v>
      </c>
      <c r="D14313" t="str">
        <f>T("GLENDALE")</f>
        <v>GLENDALE</v>
      </c>
      <c r="E14313" t="str">
        <f>T("AZ")</f>
        <v>AZ</v>
      </c>
      <c r="F14313" t="str">
        <f>T("853090000")</f>
        <v>853090000</v>
      </c>
      <c r="G14313" t="str">
        <f>T("14160 W MARAUDER ST")</f>
        <v>14160 W MARAUDER ST</v>
      </c>
      <c r="H14313" t="str">
        <f>T("B/300 LUKE AFB")</f>
        <v>B/300 LUKE AFB</v>
      </c>
      <c r="I14313" t="str">
        <f>T("GLENDALE")</f>
        <v>GLENDALE</v>
      </c>
      <c r="J14313" t="str">
        <f>T("AZ")</f>
        <v>AZ</v>
      </c>
      <c r="K14313" t="str">
        <f>T("000000000000000000")</f>
        <v>000000000000000000</v>
      </c>
      <c r="L14313" t="str">
        <f>T("6023533019")</f>
        <v>6023533019</v>
      </c>
    </row>
    <row r="14314" spans="1:12" x14ac:dyDescent="0.35">
      <c r="A14314" t="str">
        <f t="shared" si="5267"/>
        <v>RCC SOUTHWEST</v>
      </c>
      <c r="B14314" t="str">
        <f>T("14160 W MARAUDER ST B/300")</f>
        <v>14160 W MARAUDER ST B/300</v>
      </c>
      <c r="C14314" t="str">
        <f>T("LUKE AFB")</f>
        <v>LUKE AFB</v>
      </c>
      <c r="D14314" t="str">
        <f>T("GLENDALE")</f>
        <v>GLENDALE</v>
      </c>
      <c r="E14314" t="str">
        <f>T("AZ")</f>
        <v>AZ</v>
      </c>
      <c r="F14314" t="str">
        <f>T("853090000")</f>
        <v>853090000</v>
      </c>
      <c r="G14314" t="str">
        <f>T("14160 W MARAUDER ST B/300")</f>
        <v>14160 W MARAUDER ST B/300</v>
      </c>
      <c r="H14314" t="str">
        <f>T("LUKE AFB")</f>
        <v>LUKE AFB</v>
      </c>
      <c r="I14314" t="str">
        <f>T("GLENDALE")</f>
        <v>GLENDALE</v>
      </c>
      <c r="J14314" t="str">
        <f>T("AZ")</f>
        <v>AZ</v>
      </c>
      <c r="K14314" t="str">
        <f>T("")</f>
        <v/>
      </c>
      <c r="L14314" t="str">
        <f>T("6023533000")</f>
        <v>6023533000</v>
      </c>
    </row>
    <row r="14315" spans="1:12" x14ac:dyDescent="0.35">
      <c r="A14315" t="str">
        <f t="shared" si="5267"/>
        <v>RCC SOUTHWEST</v>
      </c>
      <c r="B14315" t="str">
        <f>T("14160 W MARAUDER ST B/300")</f>
        <v>14160 W MARAUDER ST B/300</v>
      </c>
      <c r="C14315" t="str">
        <f>T("LUKE AFB")</f>
        <v>LUKE AFB</v>
      </c>
      <c r="D14315" t="str">
        <f>T("GLENDALE")</f>
        <v>GLENDALE</v>
      </c>
      <c r="E14315" t="str">
        <f>T("AZ")</f>
        <v>AZ</v>
      </c>
      <c r="F14315" t="str">
        <f>T("853090000")</f>
        <v>853090000</v>
      </c>
      <c r="G14315" t="str">
        <f>T("NOSC PHOENIX")</f>
        <v>NOSC PHOENIX</v>
      </c>
      <c r="H14315" t="str">
        <f>T("14160 W MARAUDER B/300 LUKE AFB")</f>
        <v>14160 W MARAUDER B/300 LUKE AFB</v>
      </c>
      <c r="I14315" t="str">
        <f>T("GLENDALE")</f>
        <v>GLENDALE</v>
      </c>
      <c r="J14315" t="str">
        <f>T("AZ")</f>
        <v>AZ</v>
      </c>
      <c r="K14315" t="str">
        <f>T("000000000000000000")</f>
        <v>000000000000000000</v>
      </c>
      <c r="L14315" t="str">
        <f>T("6023533020")</f>
        <v>6023533020</v>
      </c>
    </row>
    <row r="14316" spans="1:12" x14ac:dyDescent="0.35">
      <c r="A14316" t="str">
        <f t="shared" si="5267"/>
        <v>RCC SOUTHWEST</v>
      </c>
      <c r="B14316" t="str">
        <f>T("2144 CLEMENT AVE")</f>
        <v>2144 CLEMENT AVE</v>
      </c>
      <c r="C14316" t="str">
        <f t="shared" ref="C14316:C14327" si="5268">T("")</f>
        <v/>
      </c>
      <c r="D14316" t="str">
        <f>T("ALAMEDA")</f>
        <v>ALAMEDA</v>
      </c>
      <c r="E14316" t="str">
        <f>T("CA")</f>
        <v>CA</v>
      </c>
      <c r="F14316" t="str">
        <f>T("945011473")</f>
        <v>945011473</v>
      </c>
      <c r="G14316" t="str">
        <f>T("2144 CLEMENT AVE")</f>
        <v>2144 CLEMENT AVE</v>
      </c>
      <c r="H14316" t="str">
        <f>T("")</f>
        <v/>
      </c>
      <c r="I14316" t="str">
        <f>T("ALAMEDA")</f>
        <v>ALAMEDA</v>
      </c>
      <c r="J14316" t="str">
        <f>T("CA")</f>
        <v>CA</v>
      </c>
      <c r="K14316" t="str">
        <f>T("")</f>
        <v/>
      </c>
      <c r="L14316" t="str">
        <f>T("5108142605")</f>
        <v>5108142605</v>
      </c>
    </row>
    <row r="14317" spans="1:12" x14ac:dyDescent="0.35">
      <c r="A14317" t="str">
        <f t="shared" si="5267"/>
        <v>RCC SOUTHWEST</v>
      </c>
      <c r="B14317" t="str">
        <f>T("2144 CLEMENT AVE")</f>
        <v>2144 CLEMENT AVE</v>
      </c>
      <c r="C14317" t="str">
        <f t="shared" si="5268"/>
        <v/>
      </c>
      <c r="D14317" t="str">
        <f>T("ALAMEDA")</f>
        <v>ALAMEDA</v>
      </c>
      <c r="E14317" t="str">
        <f>T("CA")</f>
        <v>CA</v>
      </c>
      <c r="F14317" t="str">
        <f>T("945011473")</f>
        <v>945011473</v>
      </c>
      <c r="G14317" t="str">
        <f>T("NOSC ALAMEDA")</f>
        <v>NOSC ALAMEDA</v>
      </c>
      <c r="H14317" t="str">
        <f>T("2144 CLEMENT AVE")</f>
        <v>2144 CLEMENT AVE</v>
      </c>
      <c r="I14317" t="str">
        <f>T("ALAMEDA")</f>
        <v>ALAMEDA</v>
      </c>
      <c r="J14317" t="str">
        <f>T("CA")</f>
        <v>CA</v>
      </c>
      <c r="K14317" t="str">
        <f>T("000000000000000000")</f>
        <v>000000000000000000</v>
      </c>
      <c r="L14317" t="str">
        <f>T("5108142605")</f>
        <v>5108142605</v>
      </c>
    </row>
    <row r="14318" spans="1:12" x14ac:dyDescent="0.35">
      <c r="A14318" t="str">
        <f t="shared" si="5267"/>
        <v>RCC SOUTHWEST</v>
      </c>
      <c r="B14318" t="str">
        <f>T("23570 Z ST")</f>
        <v>23570 Z ST</v>
      </c>
      <c r="C14318" t="str">
        <f t="shared" si="5268"/>
        <v/>
      </c>
      <c r="D14318" t="str">
        <f>T("RIVERSIDE")</f>
        <v>RIVERSIDE</v>
      </c>
      <c r="E14318" t="str">
        <f>T("CA")</f>
        <v>CA</v>
      </c>
      <c r="F14318" t="str">
        <f>T("925182031")</f>
        <v>925182031</v>
      </c>
      <c r="G14318" t="str">
        <f>T("23570 Z ST")</f>
        <v>23570 Z ST</v>
      </c>
      <c r="H14318" t="str">
        <f>T("")</f>
        <v/>
      </c>
      <c r="I14318" t="str">
        <f>T("RIVERSIDE")</f>
        <v>RIVERSIDE</v>
      </c>
      <c r="J14318" t="str">
        <f>T("CA")</f>
        <v>CA</v>
      </c>
      <c r="K14318" t="str">
        <f>T("")</f>
        <v/>
      </c>
      <c r="L14318" t="str">
        <f>T("9516562145")</f>
        <v>9516562145</v>
      </c>
    </row>
    <row r="14319" spans="1:12" x14ac:dyDescent="0.35">
      <c r="A14319" t="str">
        <f t="shared" si="5267"/>
        <v>RCC SOUTHWEST</v>
      </c>
      <c r="B14319" t="str">
        <f>T("23570 Z ST")</f>
        <v>23570 Z ST</v>
      </c>
      <c r="C14319" t="str">
        <f t="shared" si="5268"/>
        <v/>
      </c>
      <c r="D14319" t="str">
        <f>T("RIVERSIDE")</f>
        <v>RIVERSIDE</v>
      </c>
      <c r="E14319" t="str">
        <f>T("CA")</f>
        <v>CA</v>
      </c>
      <c r="F14319" t="str">
        <f>T("925182031")</f>
        <v>925182031</v>
      </c>
      <c r="G14319" t="str">
        <f>T("NOSC MORENO VALLEY")</f>
        <v>NOSC MORENO VALLEY</v>
      </c>
      <c r="H14319" t="str">
        <f>T("23570 Z STREET")</f>
        <v>23570 Z STREET</v>
      </c>
      <c r="I14319" t="str">
        <f>T("RIVERSIDE")</f>
        <v>RIVERSIDE</v>
      </c>
      <c r="J14319" t="str">
        <f>T("CA")</f>
        <v>CA</v>
      </c>
      <c r="K14319" t="str">
        <f>T("000000000000000000")</f>
        <v>000000000000000000</v>
      </c>
      <c r="L14319" t="str">
        <f>T("9516562024")</f>
        <v>9516562024</v>
      </c>
    </row>
    <row r="14320" spans="1:12" x14ac:dyDescent="0.35">
      <c r="A14320" t="str">
        <f t="shared" si="5267"/>
        <v>RCC SOUTHWEST</v>
      </c>
      <c r="B14320" t="str">
        <f>T("3040 O CONNELL BLVD")</f>
        <v>3040 O CONNELL BLVD</v>
      </c>
      <c r="C14320" t="str">
        <f t="shared" si="5268"/>
        <v/>
      </c>
      <c r="D14320" t="str">
        <f>T("FORT CARSON")</f>
        <v>FORT CARSON</v>
      </c>
      <c r="E14320" t="str">
        <f>T("CO")</f>
        <v>CO</v>
      </c>
      <c r="F14320" t="str">
        <f>T("809134063")</f>
        <v>809134063</v>
      </c>
      <c r="G14320" t="str">
        <f>T("3040 O CONNELL BLVD")</f>
        <v>3040 O CONNELL BLVD</v>
      </c>
      <c r="H14320" t="str">
        <f>T("")</f>
        <v/>
      </c>
      <c r="I14320" t="str">
        <f>T("FORT CARSON")</f>
        <v>FORT CARSON</v>
      </c>
      <c r="J14320" t="str">
        <f>T("CO")</f>
        <v>CO</v>
      </c>
      <c r="K14320" t="str">
        <f>T("")</f>
        <v/>
      </c>
      <c r="L14320" t="str">
        <f>T("7195263075")</f>
        <v>7195263075</v>
      </c>
    </row>
    <row r="14321" spans="1:12" x14ac:dyDescent="0.35">
      <c r="A14321" t="str">
        <f t="shared" si="5267"/>
        <v>RCC SOUTHWEST</v>
      </c>
      <c r="B14321" t="str">
        <f>T("3040 O CONNELL BLVD")</f>
        <v>3040 O CONNELL BLVD</v>
      </c>
      <c r="C14321" t="str">
        <f t="shared" si="5268"/>
        <v/>
      </c>
      <c r="D14321" t="str">
        <f>T("FORT CARSON")</f>
        <v>FORT CARSON</v>
      </c>
      <c r="E14321" t="str">
        <f>T("CO")</f>
        <v>CO</v>
      </c>
      <c r="F14321" t="str">
        <f>T("809134063")</f>
        <v>809134063</v>
      </c>
      <c r="G14321" t="str">
        <f>T("NOSC FORT CARSON")</f>
        <v>NOSC FORT CARSON</v>
      </c>
      <c r="H14321" t="str">
        <f>T("3040 O CONNELL BLVD B/8932")</f>
        <v>3040 O CONNELL BLVD B/8932</v>
      </c>
      <c r="I14321" t="str">
        <f>T("FORT CARSON")</f>
        <v>FORT CARSON</v>
      </c>
      <c r="J14321" t="str">
        <f>T("CO")</f>
        <v>CO</v>
      </c>
      <c r="K14321" t="str">
        <f>T("000000000000000000")</f>
        <v>000000000000000000</v>
      </c>
      <c r="L14321" t="str">
        <f>T("7195263010")</f>
        <v>7195263010</v>
      </c>
    </row>
    <row r="14322" spans="1:12" x14ac:dyDescent="0.35">
      <c r="A14322" t="str">
        <f t="shared" si="5267"/>
        <v>RCC SOUTHWEST</v>
      </c>
      <c r="B14322" t="str">
        <f>T("3655 SOUTH WILMOT ST")</f>
        <v>3655 SOUTH WILMOT ST</v>
      </c>
      <c r="C14322" t="str">
        <f t="shared" si="5268"/>
        <v/>
      </c>
      <c r="D14322" t="str">
        <f>T("TUCSON")</f>
        <v>TUCSON</v>
      </c>
      <c r="E14322" t="str">
        <f>T("AZ")</f>
        <v>AZ</v>
      </c>
      <c r="F14322" t="str">
        <f>T("857303259")</f>
        <v>857303259</v>
      </c>
      <c r="G14322" t="str">
        <f>T("3655 SOUTH WILMOT ST")</f>
        <v>3655 SOUTH WILMOT ST</v>
      </c>
      <c r="H14322" t="str">
        <f>T("")</f>
        <v/>
      </c>
      <c r="I14322" t="str">
        <f>T("TUCSON")</f>
        <v>TUCSON</v>
      </c>
      <c r="J14322" t="str">
        <f>T("AZ")</f>
        <v>AZ</v>
      </c>
      <c r="K14322" t="str">
        <f>T("")</f>
        <v/>
      </c>
      <c r="L14322" t="str">
        <f>T("8888888888")</f>
        <v>8888888888</v>
      </c>
    </row>
    <row r="14323" spans="1:12" x14ac:dyDescent="0.35">
      <c r="A14323" t="str">
        <f t="shared" si="5267"/>
        <v>RCC SOUTHWEST</v>
      </c>
      <c r="B14323" t="str">
        <f>T("3655 SOUTH WILMOT ST")</f>
        <v>3655 SOUTH WILMOT ST</v>
      </c>
      <c r="C14323" t="str">
        <f t="shared" si="5268"/>
        <v/>
      </c>
      <c r="D14323" t="str">
        <f>T("TUCSON")</f>
        <v>TUCSON</v>
      </c>
      <c r="E14323" t="str">
        <f>T("AZ")</f>
        <v>AZ</v>
      </c>
      <c r="F14323" t="str">
        <f>T("857303259")</f>
        <v>857303259</v>
      </c>
      <c r="G14323" t="str">
        <f>T("NOSC TUCSON")</f>
        <v>NOSC TUCSON</v>
      </c>
      <c r="H14323" t="str">
        <f>T("3655 S WILMOT RD")</f>
        <v>3655 S WILMOT RD</v>
      </c>
      <c r="I14323" t="str">
        <f>T("TUCSON")</f>
        <v>TUCSON</v>
      </c>
      <c r="J14323" t="str">
        <f>T("AZ")</f>
        <v>AZ</v>
      </c>
      <c r="K14323" t="str">
        <f>T("000000000000000000")</f>
        <v>000000000000000000</v>
      </c>
      <c r="L14323" t="str">
        <f>T("5202286284")</f>
        <v>5202286284</v>
      </c>
    </row>
    <row r="14324" spans="1:12" x14ac:dyDescent="0.35">
      <c r="A14324" t="str">
        <f t="shared" si="5267"/>
        <v>RCC SOUTHWEST</v>
      </c>
      <c r="B14324" t="str">
        <f>T("3655 SOUTH WILMOT ST")</f>
        <v>3655 SOUTH WILMOT ST</v>
      </c>
      <c r="C14324" t="str">
        <f t="shared" si="5268"/>
        <v/>
      </c>
      <c r="D14324" t="str">
        <f>T("TUCSON")</f>
        <v>TUCSON</v>
      </c>
      <c r="E14324" t="str">
        <f>T("AZ")</f>
        <v>AZ</v>
      </c>
      <c r="F14324" t="str">
        <f>T("857303259")</f>
        <v>857303259</v>
      </c>
      <c r="G14324" t="str">
        <f>T("NOSC TUCSON")</f>
        <v>NOSC TUCSON</v>
      </c>
      <c r="H14324" t="str">
        <f>T("3655 SOUTH WILMOT ROAD")</f>
        <v>3655 SOUTH WILMOT ROAD</v>
      </c>
      <c r="I14324" t="str">
        <f>T("TUCSON")</f>
        <v>TUCSON</v>
      </c>
      <c r="J14324" t="str">
        <f>T("AZ")</f>
        <v>AZ</v>
      </c>
      <c r="K14324" t="str">
        <f>T("000000000000000000")</f>
        <v>000000000000000000</v>
      </c>
      <c r="L14324" t="str">
        <f>T("5202282092")</f>
        <v>5202282092</v>
      </c>
    </row>
    <row r="14325" spans="1:12" x14ac:dyDescent="0.35">
      <c r="A14325" t="str">
        <f t="shared" si="5267"/>
        <v>RCC SOUTHWEST</v>
      </c>
      <c r="B14325" t="str">
        <f>T("4601 COCOA AV")</f>
        <v>4601 COCOA AV</v>
      </c>
      <c r="C14325" t="str">
        <f t="shared" si="5268"/>
        <v/>
      </c>
      <c r="D14325" t="str">
        <f>T("RENO")</f>
        <v>RENO</v>
      </c>
      <c r="E14325" t="str">
        <f t="shared" ref="E14325:E14330" si="5269">T("NV")</f>
        <v>NV</v>
      </c>
      <c r="F14325" t="str">
        <f>T("895061211")</f>
        <v>895061211</v>
      </c>
      <c r="G14325" t="str">
        <f>T("4601 COCOA AV")</f>
        <v>4601 COCOA AV</v>
      </c>
      <c r="H14325" t="str">
        <f>T("")</f>
        <v/>
      </c>
      <c r="I14325" t="str">
        <f>T("RENO")</f>
        <v>RENO</v>
      </c>
      <c r="J14325" t="str">
        <f t="shared" ref="J14325:J14330" si="5270">T("NV")</f>
        <v>NV</v>
      </c>
      <c r="K14325" t="str">
        <f>T("")</f>
        <v/>
      </c>
      <c r="L14325" t="str">
        <f>T("7759716289")</f>
        <v>7759716289</v>
      </c>
    </row>
    <row r="14326" spans="1:12" x14ac:dyDescent="0.35">
      <c r="A14326" t="str">
        <f t="shared" si="5267"/>
        <v>RCC SOUTHWEST</v>
      </c>
      <c r="B14326" t="str">
        <f>T("4601 COCOA AV")</f>
        <v>4601 COCOA AV</v>
      </c>
      <c r="C14326" t="str">
        <f t="shared" si="5268"/>
        <v/>
      </c>
      <c r="D14326" t="str">
        <f>T("RENO")</f>
        <v>RENO</v>
      </c>
      <c r="E14326" t="str">
        <f t="shared" si="5269"/>
        <v>NV</v>
      </c>
      <c r="F14326" t="str">
        <f>T("895061211")</f>
        <v>895061211</v>
      </c>
      <c r="G14326" t="str">
        <f>T("4601 COCOA AVE")</f>
        <v>4601 COCOA AVE</v>
      </c>
      <c r="H14326" t="str">
        <f>T("")</f>
        <v/>
      </c>
      <c r="I14326" t="str">
        <f>T("RENO")</f>
        <v>RENO</v>
      </c>
      <c r="J14326" t="str">
        <f t="shared" si="5270"/>
        <v>NV</v>
      </c>
      <c r="K14326" t="str">
        <f>T("000000000000000000")</f>
        <v>000000000000000000</v>
      </c>
      <c r="L14326" t="str">
        <f>T("7759716284")</f>
        <v>7759716284</v>
      </c>
    </row>
    <row r="14327" spans="1:12" x14ac:dyDescent="0.35">
      <c r="A14327" t="str">
        <f t="shared" si="5267"/>
        <v>RCC SOUTHWEST</v>
      </c>
      <c r="B14327" t="str">
        <f>T("4601 COCOA AV")</f>
        <v>4601 COCOA AV</v>
      </c>
      <c r="C14327" t="str">
        <f t="shared" si="5268"/>
        <v/>
      </c>
      <c r="D14327" t="str">
        <f>T("RENO")</f>
        <v>RENO</v>
      </c>
      <c r="E14327" t="str">
        <f t="shared" si="5269"/>
        <v>NV</v>
      </c>
      <c r="F14327" t="str">
        <f>T("895061211")</f>
        <v>895061211</v>
      </c>
      <c r="G14327" t="str">
        <f>T("NOSC RENO")</f>
        <v>NOSC RENO</v>
      </c>
      <c r="H14327" t="str">
        <f>T("4601 COCOA AVE")</f>
        <v>4601 COCOA AVE</v>
      </c>
      <c r="I14327" t="str">
        <f>T("RENO")</f>
        <v>RENO</v>
      </c>
      <c r="J14327" t="str">
        <f t="shared" si="5270"/>
        <v>NV</v>
      </c>
      <c r="K14327" t="str">
        <f>T("000000000000000000")</f>
        <v>000000000000000000</v>
      </c>
      <c r="L14327" t="str">
        <f>T("7759716284")</f>
        <v>7759716284</v>
      </c>
    </row>
    <row r="14328" spans="1:12" x14ac:dyDescent="0.35">
      <c r="A14328" t="str">
        <f t="shared" si="5267"/>
        <v>RCC SOUTHWEST</v>
      </c>
      <c r="B14328" t="str">
        <f>T("5095 RANGE ROAD")</f>
        <v>5095 RANGE ROAD</v>
      </c>
      <c r="C14328" t="str">
        <f>T("B/1032")</f>
        <v>B/1032</v>
      </c>
      <c r="D14328" t="str">
        <f>T("LAS VEGAS")</f>
        <v>LAS VEGAS</v>
      </c>
      <c r="E14328" t="str">
        <f t="shared" si="5269"/>
        <v>NV</v>
      </c>
      <c r="F14328" t="str">
        <f>T("891151902")</f>
        <v>891151902</v>
      </c>
      <c r="G14328" t="str">
        <f>T("5095 RANGE ROAD")</f>
        <v>5095 RANGE ROAD</v>
      </c>
      <c r="H14328" t="str">
        <f>T("B/1032")</f>
        <v>B/1032</v>
      </c>
      <c r="I14328" t="str">
        <f>T("LAS VEGAS")</f>
        <v>LAS VEGAS</v>
      </c>
      <c r="J14328" t="str">
        <f t="shared" si="5270"/>
        <v>NV</v>
      </c>
      <c r="K14328" t="str">
        <f>T("")</f>
        <v/>
      </c>
      <c r="L14328" t="str">
        <f>T("7026321452")</f>
        <v>7026321452</v>
      </c>
    </row>
    <row r="14329" spans="1:12" x14ac:dyDescent="0.35">
      <c r="A14329" t="str">
        <f t="shared" si="5267"/>
        <v>RCC SOUTHWEST</v>
      </c>
      <c r="B14329" t="str">
        <f>T("5095 RANGE ROAD")</f>
        <v>5095 RANGE ROAD</v>
      </c>
      <c r="C14329" t="str">
        <f>T("B/1032")</f>
        <v>B/1032</v>
      </c>
      <c r="D14329" t="str">
        <f>T("LAS VEGAS")</f>
        <v>LAS VEGAS</v>
      </c>
      <c r="E14329" t="str">
        <f t="shared" si="5269"/>
        <v>NV</v>
      </c>
      <c r="F14329" t="str">
        <f>T("891151902")</f>
        <v>891151902</v>
      </c>
      <c r="G14329" t="str">
        <f>T("5095 RANGE ROAD")</f>
        <v>5095 RANGE ROAD</v>
      </c>
      <c r="H14329" t="str">
        <f>T("B/1032")</f>
        <v>B/1032</v>
      </c>
      <c r="I14329" t="str">
        <f>T("LAS VEGAS")</f>
        <v>LAS VEGAS</v>
      </c>
      <c r="J14329" t="str">
        <f t="shared" si="5270"/>
        <v>NV</v>
      </c>
      <c r="K14329" t="str">
        <f>T("000000000000000000")</f>
        <v>000000000000000000</v>
      </c>
      <c r="L14329" t="str">
        <f>T("7026321466")</f>
        <v>7026321466</v>
      </c>
    </row>
    <row r="14330" spans="1:12" x14ac:dyDescent="0.35">
      <c r="A14330" t="str">
        <f t="shared" si="5267"/>
        <v>RCC SOUTHWEST</v>
      </c>
      <c r="B14330" t="str">
        <f>T("5095 RANGE ROAD")</f>
        <v>5095 RANGE ROAD</v>
      </c>
      <c r="C14330" t="str">
        <f>T("B/1032")</f>
        <v>B/1032</v>
      </c>
      <c r="D14330" t="str">
        <f>T("LAS VEGAS")</f>
        <v>LAS VEGAS</v>
      </c>
      <c r="E14330" t="str">
        <f t="shared" si="5269"/>
        <v>NV</v>
      </c>
      <c r="F14330" t="str">
        <f>T("891151902")</f>
        <v>891151902</v>
      </c>
      <c r="G14330" t="str">
        <f>T("NOSC LAS VEGAS")</f>
        <v>NOSC LAS VEGAS</v>
      </c>
      <c r="H14330" t="str">
        <f>T("5095 RANGE ROAD")</f>
        <v>5095 RANGE ROAD</v>
      </c>
      <c r="I14330" t="str">
        <f>T("LAS VEGAS")</f>
        <v>LAS VEGAS</v>
      </c>
      <c r="J14330" t="str">
        <f t="shared" si="5270"/>
        <v>NV</v>
      </c>
      <c r="K14330" t="str">
        <f>T("000000000000000000")</f>
        <v>000000000000000000</v>
      </c>
      <c r="L14330" t="str">
        <f>T("7026321466")</f>
        <v>7026321466</v>
      </c>
    </row>
    <row r="14331" spans="1:12" x14ac:dyDescent="0.35">
      <c r="A14331" t="str">
        <f t="shared" si="5267"/>
        <v>RCC SOUTHWEST</v>
      </c>
      <c r="B14331" t="str">
        <f>T("5631 RICKENBACKER ROAD")</f>
        <v>5631 RICKENBACKER ROAD</v>
      </c>
      <c r="C14331" t="str">
        <f>T("")</f>
        <v/>
      </c>
      <c r="D14331" t="str">
        <f>T("BELL")</f>
        <v>BELL</v>
      </c>
      <c r="E14331" t="str">
        <f>T("CA")</f>
        <v>CA</v>
      </c>
      <c r="F14331" t="str">
        <f>T("902016413")</f>
        <v>902016413</v>
      </c>
      <c r="G14331" t="str">
        <f>T("5631 RICKENBACKER ROAD")</f>
        <v>5631 RICKENBACKER ROAD</v>
      </c>
      <c r="H14331" t="str">
        <f>T("")</f>
        <v/>
      </c>
      <c r="I14331" t="str">
        <f>T("BELL")</f>
        <v>BELL</v>
      </c>
      <c r="J14331" t="str">
        <f>T("CA")</f>
        <v>CA</v>
      </c>
      <c r="K14331" t="str">
        <f>T("")</f>
        <v/>
      </c>
      <c r="L14331" t="str">
        <f>T("3239807136")</f>
        <v>3239807136</v>
      </c>
    </row>
    <row r="14332" spans="1:12" x14ac:dyDescent="0.35">
      <c r="A14332" t="str">
        <f t="shared" si="5267"/>
        <v>RCC SOUTHWEST</v>
      </c>
      <c r="B14332" t="str">
        <f>T("5631 RICKENBACKER ROAD")</f>
        <v>5631 RICKENBACKER ROAD</v>
      </c>
      <c r="C14332" t="str">
        <f>T("")</f>
        <v/>
      </c>
      <c r="D14332" t="str">
        <f>T("BELL")</f>
        <v>BELL</v>
      </c>
      <c r="E14332" t="str">
        <f>T("CA")</f>
        <v>CA</v>
      </c>
      <c r="F14332" t="str">
        <f>T("902016413")</f>
        <v>902016413</v>
      </c>
      <c r="G14332" t="str">
        <f>T("NOSC LOS ANGELES")</f>
        <v>NOSC LOS ANGELES</v>
      </c>
      <c r="H14332" t="str">
        <f>T("5631 RICKENBACKER RD")</f>
        <v>5631 RICKENBACKER RD</v>
      </c>
      <c r="I14332" t="str">
        <f>T("BELL")</f>
        <v>BELL</v>
      </c>
      <c r="J14332" t="str">
        <f>T("CA")</f>
        <v>CA</v>
      </c>
      <c r="K14332" t="str">
        <f>T("000000000000000000")</f>
        <v>000000000000000000</v>
      </c>
      <c r="L14332" t="str">
        <f>T("3239807157")</f>
        <v>3239807157</v>
      </c>
    </row>
    <row r="14333" spans="1:12" x14ac:dyDescent="0.35">
      <c r="A14333" t="str">
        <f t="shared" si="5267"/>
        <v>RCC SOUTHWEST</v>
      </c>
      <c r="B14333" t="str">
        <f>T("5631 RICKENBACKER ROAD")</f>
        <v>5631 RICKENBACKER ROAD</v>
      </c>
      <c r="C14333" t="str">
        <f>T("")</f>
        <v/>
      </c>
      <c r="D14333" t="str">
        <f>T("BELL")</f>
        <v>BELL</v>
      </c>
      <c r="E14333" t="str">
        <f>T("CA")</f>
        <v>CA</v>
      </c>
      <c r="F14333" t="str">
        <f>T("902016413")</f>
        <v>902016413</v>
      </c>
      <c r="G14333" t="str">
        <f>T("NOSC LOS ANGELES")</f>
        <v>NOSC LOS ANGELES</v>
      </c>
      <c r="H14333" t="str">
        <f>T("5631 RICKENBACKER RD")</f>
        <v>5631 RICKENBACKER RD</v>
      </c>
      <c r="I14333" t="str">
        <f>T("BELL")</f>
        <v>BELL</v>
      </c>
      <c r="J14333" t="str">
        <f>T("CA")</f>
        <v>CA</v>
      </c>
      <c r="K14333" t="str">
        <f>T("000000000000000000")</f>
        <v>000000000000000000</v>
      </c>
      <c r="L14333" t="str">
        <f>T("3239807158")</f>
        <v>3239807158</v>
      </c>
    </row>
    <row r="14334" spans="1:12" x14ac:dyDescent="0.35">
      <c r="A14334" t="str">
        <f t="shared" si="5267"/>
        <v>RCC SOUTHWEST</v>
      </c>
      <c r="B14334" t="str">
        <f>T("5631 RICKENBACKER ROAD")</f>
        <v>5631 RICKENBACKER ROAD</v>
      </c>
      <c r="C14334" t="str">
        <f>T("")</f>
        <v/>
      </c>
      <c r="D14334" t="str">
        <f>T("BELL")</f>
        <v>BELL</v>
      </c>
      <c r="E14334" t="str">
        <f>T("CA")</f>
        <v>CA</v>
      </c>
      <c r="F14334" t="str">
        <f>T("902016413")</f>
        <v>902016413</v>
      </c>
      <c r="G14334" t="str">
        <f>T("NOSC LOS ANGELES")</f>
        <v>NOSC LOS ANGELES</v>
      </c>
      <c r="H14334" t="str">
        <f>T("5631 RICKENBACKER ROAD")</f>
        <v>5631 RICKENBACKER ROAD</v>
      </c>
      <c r="I14334" t="str">
        <f>T("BELL")</f>
        <v>BELL</v>
      </c>
      <c r="J14334" t="str">
        <f>T("CA")</f>
        <v>CA</v>
      </c>
      <c r="K14334" t="str">
        <f>T("000000000000000000")</f>
        <v>000000000000000000</v>
      </c>
      <c r="L14334" t="str">
        <f>T("3239807155")</f>
        <v>3239807155</v>
      </c>
    </row>
    <row r="14335" spans="1:12" x14ac:dyDescent="0.35">
      <c r="A14335" t="str">
        <f t="shared" si="5267"/>
        <v>RCC SOUTHWEST</v>
      </c>
      <c r="B14335" t="str">
        <f>T("5631 RICKENBACKER ROAD")</f>
        <v>5631 RICKENBACKER ROAD</v>
      </c>
      <c r="C14335" t="str">
        <f>T("")</f>
        <v/>
      </c>
      <c r="D14335" t="str">
        <f>T("BELL")</f>
        <v>BELL</v>
      </c>
      <c r="E14335" t="str">
        <f>T("CA")</f>
        <v>CA</v>
      </c>
      <c r="F14335" t="str">
        <f>T("902016413")</f>
        <v>902016413</v>
      </c>
      <c r="G14335" t="str">
        <f>T("NOSC LOS ANGELES")</f>
        <v>NOSC LOS ANGELES</v>
      </c>
      <c r="H14335" t="str">
        <f>T("5631 RICKENBACKER ROAD")</f>
        <v>5631 RICKENBACKER ROAD</v>
      </c>
      <c r="I14335" t="str">
        <f>T("BELL")</f>
        <v>BELL</v>
      </c>
      <c r="J14335" t="str">
        <f>T("CA")</f>
        <v>CA</v>
      </c>
      <c r="K14335" t="str">
        <f>T("000000000000000000")</f>
        <v>000000000000000000</v>
      </c>
      <c r="L14335" t="str">
        <f>T("3239807158")</f>
        <v>3239807158</v>
      </c>
    </row>
    <row r="14336" spans="1:12" x14ac:dyDescent="0.35">
      <c r="A14336" t="str">
        <f t="shared" si="5267"/>
        <v>RCC SOUTHWEST</v>
      </c>
      <c r="B14336" t="str">
        <f>T("7 NORTH SNOWMASS ST")</f>
        <v>7 NORTH SNOWMASS ST</v>
      </c>
      <c r="C14336" t="str">
        <f>T("BLDG 1301 STOP 62")</f>
        <v>BLDG 1301 STOP 62</v>
      </c>
      <c r="D14336" t="str">
        <f>T("BUCKLEY AFB")</f>
        <v>BUCKLEY AFB</v>
      </c>
      <c r="E14336" t="str">
        <f>T("CO")</f>
        <v>CO</v>
      </c>
      <c r="F14336" t="str">
        <f>T("800119544")</f>
        <v>800119544</v>
      </c>
      <c r="G14336" t="str">
        <f>T("7 NORTH SNOWMASS ST")</f>
        <v>7 NORTH SNOWMASS ST</v>
      </c>
      <c r="H14336" t="str">
        <f>T("BLDG 1301 STOP 62")</f>
        <v>BLDG 1301 STOP 62</v>
      </c>
      <c r="I14336" t="str">
        <f>T("BUCKLEY AFB")</f>
        <v>BUCKLEY AFB</v>
      </c>
      <c r="J14336" t="str">
        <f>T("CO")</f>
        <v>CO</v>
      </c>
      <c r="K14336" t="str">
        <f>T("")</f>
        <v/>
      </c>
      <c r="L14336" t="str">
        <f>T("9999999999")</f>
        <v>9999999999</v>
      </c>
    </row>
    <row r="14337" spans="1:12" x14ac:dyDescent="0.35">
      <c r="A14337" t="str">
        <f t="shared" si="5267"/>
        <v>RCC SOUTHWEST</v>
      </c>
      <c r="B14337" t="str">
        <f>T("7 NORTH SNOWMASS ST")</f>
        <v>7 NORTH SNOWMASS ST</v>
      </c>
      <c r="C14337" t="str">
        <f>T("BLDG 1301 STOP 62")</f>
        <v>BLDG 1301 STOP 62</v>
      </c>
      <c r="D14337" t="str">
        <f>T("BUCKLEY AFB")</f>
        <v>BUCKLEY AFB</v>
      </c>
      <c r="E14337" t="str">
        <f>T("CO")</f>
        <v>CO</v>
      </c>
      <c r="F14337" t="str">
        <f>T("800119544")</f>
        <v>800119544</v>
      </c>
      <c r="G14337" t="str">
        <f>T("NOSC DENVER")</f>
        <v>NOSC DENVER</v>
      </c>
      <c r="H14337" t="str">
        <f>T("7 N SNOWMASS ST B/1301 STOP 62")</f>
        <v>7 N SNOWMASS ST B/1301 STOP 62</v>
      </c>
      <c r="I14337" t="str">
        <f>T("BUCKLEY AFB")</f>
        <v>BUCKLEY AFB</v>
      </c>
      <c r="J14337" t="str">
        <f>T("CO")</f>
        <v>CO</v>
      </c>
      <c r="K14337" t="str">
        <f>T("000000000000000000")</f>
        <v>000000000000000000</v>
      </c>
      <c r="L14337" t="str">
        <f>T("7208476241")</f>
        <v>7208476241</v>
      </c>
    </row>
    <row r="14338" spans="1:12" x14ac:dyDescent="0.35">
      <c r="A14338" t="str">
        <f t="shared" si="5267"/>
        <v>RCC SOUTHWEST</v>
      </c>
      <c r="B14338" t="str">
        <f>T("7 NORTH SNOWMASS ST")</f>
        <v>7 NORTH SNOWMASS ST</v>
      </c>
      <c r="C14338" t="str">
        <f>T("BLDG 1301 STOP 62")</f>
        <v>BLDG 1301 STOP 62</v>
      </c>
      <c r="D14338" t="str">
        <f>T("BUCKLEY AFB")</f>
        <v>BUCKLEY AFB</v>
      </c>
      <c r="E14338" t="str">
        <f>T("CO")</f>
        <v>CO</v>
      </c>
      <c r="F14338" t="str">
        <f>T("800119544")</f>
        <v>800119544</v>
      </c>
      <c r="G14338" t="str">
        <f>T("NOSC DENVER")</f>
        <v>NOSC DENVER</v>
      </c>
      <c r="H14338" t="str">
        <f>T("7 N SNOWMASS STREET B/1301")</f>
        <v>7 N SNOWMASS STREET B/1301</v>
      </c>
      <c r="I14338" t="str">
        <f>T("BUCKLEY AFB")</f>
        <v>BUCKLEY AFB</v>
      </c>
      <c r="J14338" t="str">
        <f>T("CO")</f>
        <v>CO</v>
      </c>
      <c r="K14338" t="str">
        <f>T("000000000000000000")</f>
        <v>000000000000000000</v>
      </c>
      <c r="L14338" t="str">
        <f>T("7208476241")</f>
        <v>7208476241</v>
      </c>
    </row>
    <row r="14339" spans="1:12" x14ac:dyDescent="0.35">
      <c r="A14339" t="str">
        <f t="shared" si="5267"/>
        <v>RCC SOUTHWEST</v>
      </c>
      <c r="B14339" t="str">
        <f>T("8277 ELDER CREEK RD")</f>
        <v>8277 ELDER CREEK RD</v>
      </c>
      <c r="C14339" t="str">
        <f>T("")</f>
        <v/>
      </c>
      <c r="D14339" t="str">
        <f>T("SACRAMENTO")</f>
        <v>SACRAMENTO</v>
      </c>
      <c r="E14339" t="str">
        <f>T("CA")</f>
        <v>CA</v>
      </c>
      <c r="F14339" t="str">
        <f>T("958281703")</f>
        <v>958281703</v>
      </c>
      <c r="G14339" t="str">
        <f>T("8277 ELDER CREEK RD")</f>
        <v>8277 ELDER CREEK RD</v>
      </c>
      <c r="H14339" t="str">
        <f>T("")</f>
        <v/>
      </c>
      <c r="I14339" t="str">
        <f>T("SACRAMENTO")</f>
        <v>SACRAMENTO</v>
      </c>
      <c r="J14339" t="str">
        <f>T("CA")</f>
        <v>CA</v>
      </c>
      <c r="K14339" t="str">
        <f>T("")</f>
        <v/>
      </c>
      <c r="L14339" t="str">
        <f>T("9163877100")</f>
        <v>9163877100</v>
      </c>
    </row>
    <row r="14340" spans="1:12" x14ac:dyDescent="0.35">
      <c r="A14340" t="str">
        <f t="shared" si="5267"/>
        <v>RCC SOUTHWEST</v>
      </c>
      <c r="B14340" t="str">
        <f>T("8277 ELDER CREEK RD")</f>
        <v>8277 ELDER CREEK RD</v>
      </c>
      <c r="C14340" t="str">
        <f>T("")</f>
        <v/>
      </c>
      <c r="D14340" t="str">
        <f>T("SACRAMENTO")</f>
        <v>SACRAMENTO</v>
      </c>
      <c r="E14340" t="str">
        <f>T("CA")</f>
        <v>CA</v>
      </c>
      <c r="F14340" t="str">
        <f>T("958281703")</f>
        <v>958281703</v>
      </c>
      <c r="G14340" t="str">
        <f>T("NOSC SACRAMENTO")</f>
        <v>NOSC SACRAMENTO</v>
      </c>
      <c r="H14340" t="str">
        <f>T("8277 ELDER CREEK ROAD")</f>
        <v>8277 ELDER CREEK ROAD</v>
      </c>
      <c r="I14340" t="str">
        <f>T("SACRAMENTO")</f>
        <v>SACRAMENTO</v>
      </c>
      <c r="J14340" t="str">
        <f>T("CA")</f>
        <v>CA</v>
      </c>
      <c r="K14340" t="str">
        <f>T("000000000000000000")</f>
        <v>000000000000000000</v>
      </c>
      <c r="L14340" t="str">
        <f>T("9163877100")</f>
        <v>9163877100</v>
      </c>
    </row>
    <row r="14341" spans="1:12" x14ac:dyDescent="0.35">
      <c r="A14341" t="str">
        <f t="shared" si="5267"/>
        <v>RCC SOUTHWEST</v>
      </c>
      <c r="B14341" t="str">
        <f>T("8277 ELDER CREEK RD")</f>
        <v>8277 ELDER CREEK RD</v>
      </c>
      <c r="C14341" t="str">
        <f>T("")</f>
        <v/>
      </c>
      <c r="D14341" t="str">
        <f>T("SACRAMENTO")</f>
        <v>SACRAMENTO</v>
      </c>
      <c r="E14341" t="str">
        <f>T("CA")</f>
        <v>CA</v>
      </c>
      <c r="F14341" t="str">
        <f>T("958281703")</f>
        <v>958281703</v>
      </c>
      <c r="G14341" t="str">
        <f>T("NOSC SACRAMENTO")</f>
        <v>NOSC SACRAMENTO</v>
      </c>
      <c r="H14341" t="str">
        <f>T("8277 ELDRE CREEK ROAD")</f>
        <v>8277 ELDRE CREEK ROAD</v>
      </c>
      <c r="I14341" t="str">
        <f>T("SACRAMENTO")</f>
        <v>SACRAMENTO</v>
      </c>
      <c r="J14341" t="str">
        <f>T("CA")</f>
        <v>CA</v>
      </c>
      <c r="K14341" t="str">
        <f>T("000000000000000000")</f>
        <v>000000000000000000</v>
      </c>
      <c r="L14341" t="str">
        <f>T("9133877100")</f>
        <v>9133877100</v>
      </c>
    </row>
    <row r="14342" spans="1:12" x14ac:dyDescent="0.35">
      <c r="A14342" t="str">
        <f t="shared" si="5267"/>
        <v>RCC SOUTHWEST</v>
      </c>
      <c r="B14342" t="str">
        <f>T("8810 S STREET SOUTH EAST")</f>
        <v>8810 S STREET SOUTH EAST</v>
      </c>
      <c r="C14342" t="str">
        <f>T("B/20616 KIRTLAND AFB")</f>
        <v>B/20616 KIRTLAND AFB</v>
      </c>
      <c r="D14342" t="str">
        <f>T("ALBUQUERQUE")</f>
        <v>ALBUQUERQUE</v>
      </c>
      <c r="E14342" t="str">
        <f>T("NM")</f>
        <v>NM</v>
      </c>
      <c r="F14342" t="str">
        <f>T("871170001")</f>
        <v>871170001</v>
      </c>
      <c r="G14342" t="str">
        <f>T("8810 S STREET SOUTH EAST")</f>
        <v>8810 S STREET SOUTH EAST</v>
      </c>
      <c r="H14342" t="str">
        <f>T("B/20616 KIRTLAND AFB")</f>
        <v>B/20616 KIRTLAND AFB</v>
      </c>
      <c r="I14342" t="str">
        <f>T("ALBUQUERQUE")</f>
        <v>ALBUQUERQUE</v>
      </c>
      <c r="J14342" t="str">
        <f>T("NM")</f>
        <v>NM</v>
      </c>
      <c r="K14342" t="str">
        <f>T("")</f>
        <v/>
      </c>
      <c r="L14342" t="str">
        <f>T("5058532430")</f>
        <v>5058532430</v>
      </c>
    </row>
    <row r="14343" spans="1:12" x14ac:dyDescent="0.35">
      <c r="A14343" t="str">
        <f t="shared" ref="A14343:A14370" si="5271">T("RCC SOUTHWEST")</f>
        <v>RCC SOUTHWEST</v>
      </c>
      <c r="B14343" t="str">
        <f>T("8810 S STREET SOUTH EAST")</f>
        <v>8810 S STREET SOUTH EAST</v>
      </c>
      <c r="C14343" t="str">
        <f>T("B/20616 KIRTLAND AFB")</f>
        <v>B/20616 KIRTLAND AFB</v>
      </c>
      <c r="D14343" t="str">
        <f>T("ALBUQUERQUE")</f>
        <v>ALBUQUERQUE</v>
      </c>
      <c r="E14343" t="str">
        <f>T("NM")</f>
        <v>NM</v>
      </c>
      <c r="F14343" t="str">
        <f>T("871170001")</f>
        <v>871170001</v>
      </c>
      <c r="G14343" t="str">
        <f>T("NOSC ALBUQUERQUE")</f>
        <v>NOSC ALBUQUERQUE</v>
      </c>
      <c r="H14343" t="str">
        <f>T("8810 S STREET SE")</f>
        <v>8810 S STREET SE</v>
      </c>
      <c r="I14343" t="str">
        <f>T("ALBUQUERQUE")</f>
        <v>ALBUQUERQUE</v>
      </c>
      <c r="J14343" t="str">
        <f>T("NM")</f>
        <v>NM</v>
      </c>
      <c r="K14343" t="str">
        <f>T("000000000000000000")</f>
        <v>000000000000000000</v>
      </c>
      <c r="L14343" t="str">
        <f>T("5058469864")</f>
        <v>5058469864</v>
      </c>
    </row>
    <row r="14344" spans="1:12" x14ac:dyDescent="0.35">
      <c r="A14344" t="str">
        <f t="shared" si="5271"/>
        <v>RCC SOUTHWEST</v>
      </c>
      <c r="B14344" t="str">
        <f>T("8810 S STREET SOUTH EAST")</f>
        <v>8810 S STREET SOUTH EAST</v>
      </c>
      <c r="C14344" t="str">
        <f>T("B/20616 KIRTLAND AFB")</f>
        <v>B/20616 KIRTLAND AFB</v>
      </c>
      <c r="D14344" t="str">
        <f>T("ALBUQUERQUE")</f>
        <v>ALBUQUERQUE</v>
      </c>
      <c r="E14344" t="str">
        <f>T("NM")</f>
        <v>NM</v>
      </c>
      <c r="F14344" t="str">
        <f>T("871170001")</f>
        <v>871170001</v>
      </c>
      <c r="G14344" t="str">
        <f>T("NOSC ALBUQUERQUE")</f>
        <v>NOSC ALBUQUERQUE</v>
      </c>
      <c r="H14344" t="str">
        <f>T("8810 S STREET SE KIRTLAND AFB")</f>
        <v>8810 S STREET SE KIRTLAND AFB</v>
      </c>
      <c r="I14344" t="str">
        <f>T("ALBUQUERQUE")</f>
        <v>ALBUQUERQUE</v>
      </c>
      <c r="J14344" t="str">
        <f>T("NM")</f>
        <v>NM</v>
      </c>
      <c r="K14344" t="str">
        <f>T("000000000000000000")</f>
        <v>000000000000000000</v>
      </c>
      <c r="L14344" t="str">
        <f>T("5058532340")</f>
        <v>5058532340</v>
      </c>
    </row>
    <row r="14345" spans="1:12" x14ac:dyDescent="0.35">
      <c r="A14345" t="str">
        <f t="shared" si="5271"/>
        <v>RCC SOUTHWEST</v>
      </c>
      <c r="B14345" t="str">
        <f>T("910 HANCOCK AVENUE")</f>
        <v>910 HANCOCK AVENUE</v>
      </c>
      <c r="C14345" t="str">
        <f>T("")</f>
        <v/>
      </c>
      <c r="D14345" t="str">
        <f>T("LEMOORE")</f>
        <v>LEMOORE</v>
      </c>
      <c r="E14345" t="str">
        <f t="shared" ref="E14345:E14365" si="5272">T("CA")</f>
        <v>CA</v>
      </c>
      <c r="F14345" t="str">
        <f>T("932462204")</f>
        <v>932462204</v>
      </c>
      <c r="G14345" t="str">
        <f>T("910 HANCOCK AVENUE")</f>
        <v>910 HANCOCK AVENUE</v>
      </c>
      <c r="H14345" t="str">
        <f>T("")</f>
        <v/>
      </c>
      <c r="I14345" t="str">
        <f>T("LEMOORE")</f>
        <v>LEMOORE</v>
      </c>
      <c r="J14345" t="str">
        <f t="shared" ref="J14345:J14365" si="5273">T("CA")</f>
        <v>CA</v>
      </c>
      <c r="K14345" t="str">
        <f>T("")</f>
        <v/>
      </c>
      <c r="L14345" t="str">
        <f>T("5555555555")</f>
        <v>5555555555</v>
      </c>
    </row>
    <row r="14346" spans="1:12" x14ac:dyDescent="0.35">
      <c r="A14346" t="str">
        <f t="shared" si="5271"/>
        <v>RCC SOUTHWEST</v>
      </c>
      <c r="B14346" t="str">
        <f>T("910 HANCOCK AVENUE")</f>
        <v>910 HANCOCK AVENUE</v>
      </c>
      <c r="C14346" t="str">
        <f>T("")</f>
        <v/>
      </c>
      <c r="D14346" t="str">
        <f>T("LEMOORE")</f>
        <v>LEMOORE</v>
      </c>
      <c r="E14346" t="str">
        <f t="shared" si="5272"/>
        <v>CA</v>
      </c>
      <c r="F14346" t="str">
        <f>T("932462204")</f>
        <v>932462204</v>
      </c>
      <c r="G14346" t="str">
        <f>T("NOSC LEMOORE")</f>
        <v>NOSC LEMOORE</v>
      </c>
      <c r="H14346" t="str">
        <f>T("910 HANCOCK AVE")</f>
        <v>910 HANCOCK AVE</v>
      </c>
      <c r="I14346" t="str">
        <f>T("LEMOORE")</f>
        <v>LEMOORE</v>
      </c>
      <c r="J14346" t="str">
        <f t="shared" si="5273"/>
        <v>CA</v>
      </c>
      <c r="K14346" t="str">
        <f>T("000000000000000000")</f>
        <v>000000000000000000</v>
      </c>
      <c r="L14346" t="str">
        <f>T("5599983752")</f>
        <v>5599983752</v>
      </c>
    </row>
    <row r="14347" spans="1:12" x14ac:dyDescent="0.35">
      <c r="A14347" t="str">
        <f t="shared" si="5271"/>
        <v>RCC SOUTHWEST</v>
      </c>
      <c r="B14347" t="str">
        <f>T("910 HANCOCK AVENUE")</f>
        <v>910 HANCOCK AVENUE</v>
      </c>
      <c r="C14347" t="str">
        <f>T("")</f>
        <v/>
      </c>
      <c r="D14347" t="str">
        <f>T("LEMOORE")</f>
        <v>LEMOORE</v>
      </c>
      <c r="E14347" t="str">
        <f t="shared" si="5272"/>
        <v>CA</v>
      </c>
      <c r="F14347" t="str">
        <f>T("932462204")</f>
        <v>932462204</v>
      </c>
      <c r="G14347" t="str">
        <f>T("NOSC LEMOORE")</f>
        <v>NOSC LEMOORE</v>
      </c>
      <c r="H14347" t="str">
        <f>T("910 HANCOCK CIR")</f>
        <v>910 HANCOCK CIR</v>
      </c>
      <c r="I14347" t="str">
        <f>T("LEMOORE")</f>
        <v>LEMOORE</v>
      </c>
      <c r="J14347" t="str">
        <f t="shared" si="5273"/>
        <v>CA</v>
      </c>
      <c r="K14347" t="str">
        <f>T("000000000000000000")</f>
        <v>000000000000000000</v>
      </c>
      <c r="L14347" t="str">
        <f>T("5599984103")</f>
        <v>5599984103</v>
      </c>
    </row>
    <row r="14348" spans="1:12" x14ac:dyDescent="0.35">
      <c r="A14348" t="str">
        <f t="shared" si="5271"/>
        <v>RCC SOUTHWEST</v>
      </c>
      <c r="B14348" t="str">
        <f>T("937 N HARBOR DR")</f>
        <v>937 N HARBOR DR</v>
      </c>
      <c r="C14348" t="str">
        <f>T("BOX 52")</f>
        <v>BOX 52</v>
      </c>
      <c r="D14348" t="str">
        <f>T("SAN DIEGO")</f>
        <v>SAN DIEGO</v>
      </c>
      <c r="E14348" t="str">
        <f t="shared" si="5272"/>
        <v>CA</v>
      </c>
      <c r="F14348" t="str">
        <f>T("921325001")</f>
        <v>921325001</v>
      </c>
      <c r="G14348" t="str">
        <f>T("937 N HARBOR DR")</f>
        <v>937 N HARBOR DR</v>
      </c>
      <c r="H14348" t="str">
        <f>T("B/1 4TH FLOOR RM404")</f>
        <v>B/1 4TH FLOOR RM404</v>
      </c>
      <c r="I14348" t="str">
        <f>T("SAN DIEGO")</f>
        <v>SAN DIEGO</v>
      </c>
      <c r="J14348" t="str">
        <f t="shared" si="5273"/>
        <v>CA</v>
      </c>
      <c r="K14348" t="str">
        <f>T("000000000000000000")</f>
        <v>000000000000000000</v>
      </c>
      <c r="L14348" t="str">
        <f>T("6195321894")</f>
        <v>6195321894</v>
      </c>
    </row>
    <row r="14349" spans="1:12" x14ac:dyDescent="0.35">
      <c r="A14349" t="str">
        <f t="shared" si="5271"/>
        <v>RCC SOUTHWEST</v>
      </c>
      <c r="B14349" t="str">
        <f>T("937 N HARBOR DR")</f>
        <v>937 N HARBOR DR</v>
      </c>
      <c r="C14349" t="str">
        <f>T("BOX 52")</f>
        <v>BOX 52</v>
      </c>
      <c r="D14349" t="str">
        <f>T("SAN DIEGO")</f>
        <v>SAN DIEGO</v>
      </c>
      <c r="E14349" t="str">
        <f t="shared" si="5272"/>
        <v>CA</v>
      </c>
      <c r="F14349" t="str">
        <f>T("921325001")</f>
        <v>921325001</v>
      </c>
      <c r="G14349" t="str">
        <f>T("937 N HARBOR DR")</f>
        <v>937 N HARBOR DR</v>
      </c>
      <c r="H14349" t="str">
        <f>T("BOX 52")</f>
        <v>BOX 52</v>
      </c>
      <c r="I14349" t="str">
        <f>T("SAN DIEGO")</f>
        <v>SAN DIEGO</v>
      </c>
      <c r="J14349" t="str">
        <f t="shared" si="5273"/>
        <v>CA</v>
      </c>
      <c r="K14349" t="str">
        <f>T("6195323945")</f>
        <v>6195323945</v>
      </c>
      <c r="L14349" t="str">
        <f>T("6195321899")</f>
        <v>6195321899</v>
      </c>
    </row>
    <row r="14350" spans="1:12" x14ac:dyDescent="0.35">
      <c r="A14350" t="str">
        <f t="shared" si="5271"/>
        <v>RCC SOUTHWEST</v>
      </c>
      <c r="B14350" t="str">
        <f>T("937 N HARBOR DR")</f>
        <v>937 N HARBOR DR</v>
      </c>
      <c r="C14350" t="str">
        <f>T("BOX 52")</f>
        <v>BOX 52</v>
      </c>
      <c r="D14350" t="str">
        <f>T("SAN DIEGO")</f>
        <v>SAN DIEGO</v>
      </c>
      <c r="E14350" t="str">
        <f t="shared" si="5272"/>
        <v>CA</v>
      </c>
      <c r="F14350" t="str">
        <f>T("921325001")</f>
        <v>921325001</v>
      </c>
      <c r="G14350" t="str">
        <f>T("NRSW RCC SD")</f>
        <v>NRSW RCC SD</v>
      </c>
      <c r="H14350" t="str">
        <f>T("937 N HARBOR DR RM 404 BOX 52")</f>
        <v>937 N HARBOR DR RM 404 BOX 52</v>
      </c>
      <c r="I14350" t="str">
        <f>T("SAN DIEGO")</f>
        <v>SAN DIEGO</v>
      </c>
      <c r="J14350" t="str">
        <f t="shared" si="5273"/>
        <v>CA</v>
      </c>
      <c r="K14350" t="str">
        <f>T("000000000000000000")</f>
        <v>000000000000000000</v>
      </c>
      <c r="L14350" t="str">
        <f>T("6195321897")</f>
        <v>6195321897</v>
      </c>
    </row>
    <row r="14351" spans="1:12" x14ac:dyDescent="0.35">
      <c r="A14351" t="str">
        <f t="shared" si="5271"/>
        <v>RCC SOUTHWEST</v>
      </c>
      <c r="B14351" t="str">
        <f>T("937 N HARBOR DR")</f>
        <v>937 N HARBOR DR</v>
      </c>
      <c r="C14351" t="str">
        <f>T("BOX 52")</f>
        <v>BOX 52</v>
      </c>
      <c r="D14351" t="str">
        <f>T("SAN DIEGO")</f>
        <v>SAN DIEGO</v>
      </c>
      <c r="E14351" t="str">
        <f t="shared" si="5272"/>
        <v>CA</v>
      </c>
      <c r="F14351" t="str">
        <f>T("921325001")</f>
        <v>921325001</v>
      </c>
      <c r="G14351" t="str">
        <f>T("NRSW RCC SD")</f>
        <v>NRSW RCC SD</v>
      </c>
      <c r="H14351" t="str">
        <f>T("937 N HARBOR DRIVE")</f>
        <v>937 N HARBOR DRIVE</v>
      </c>
      <c r="I14351" t="str">
        <f>T("SAN DIEGO")</f>
        <v>SAN DIEGO</v>
      </c>
      <c r="J14351" t="str">
        <f t="shared" si="5273"/>
        <v>CA</v>
      </c>
      <c r="K14351" t="str">
        <f>T("6195323945")</f>
        <v>6195323945</v>
      </c>
      <c r="L14351" t="str">
        <f>T("6195322471")</f>
        <v>6195322471</v>
      </c>
    </row>
    <row r="14352" spans="1:12" x14ac:dyDescent="0.35">
      <c r="A14352" t="str">
        <f t="shared" si="5271"/>
        <v>RCC SOUTHWEST</v>
      </c>
      <c r="B14352" t="str">
        <f>T("951 23RD AVE 1491")</f>
        <v>951 23RD AVE 1491</v>
      </c>
      <c r="C14352" t="str">
        <f t="shared" ref="C14352:C14365" si="5274">T("")</f>
        <v/>
      </c>
      <c r="D14352" t="str">
        <f>T("PORT HUENEME")</f>
        <v>PORT HUENEME</v>
      </c>
      <c r="E14352" t="str">
        <f t="shared" si="5272"/>
        <v>CA</v>
      </c>
      <c r="F14352" t="str">
        <f>T("930434361")</f>
        <v>930434361</v>
      </c>
      <c r="G14352" t="str">
        <f>T("951 23RD AVE 1491")</f>
        <v>951 23RD AVE 1491</v>
      </c>
      <c r="H14352" t="str">
        <f>T("")</f>
        <v/>
      </c>
      <c r="I14352" t="str">
        <f>T("PORT HUENEME")</f>
        <v>PORT HUENEME</v>
      </c>
      <c r="J14352" t="str">
        <f t="shared" si="5273"/>
        <v>CA</v>
      </c>
      <c r="K14352" t="str">
        <f>T("")</f>
        <v/>
      </c>
      <c r="L14352" t="str">
        <f>T("8059826129")</f>
        <v>8059826129</v>
      </c>
    </row>
    <row r="14353" spans="1:12" x14ac:dyDescent="0.35">
      <c r="A14353" t="str">
        <f t="shared" si="5271"/>
        <v>RCC SOUTHWEST</v>
      </c>
      <c r="B14353" t="str">
        <f>T("951 23RD AVE 1491")</f>
        <v>951 23RD AVE 1491</v>
      </c>
      <c r="C14353" t="str">
        <f t="shared" si="5274"/>
        <v/>
      </c>
      <c r="D14353" t="str">
        <f>T("PORT HUENEME")</f>
        <v>PORT HUENEME</v>
      </c>
      <c r="E14353" t="str">
        <f t="shared" si="5272"/>
        <v>CA</v>
      </c>
      <c r="F14353" t="str">
        <f>T("930434361")</f>
        <v>930434361</v>
      </c>
      <c r="G14353" t="str">
        <f>T("NOSC VENTURA COUNTY")</f>
        <v>NOSC VENTURA COUNTY</v>
      </c>
      <c r="H14353" t="str">
        <f>T("951 23RD AVE B/1491")</f>
        <v>951 23RD AVE B/1491</v>
      </c>
      <c r="I14353" t="str">
        <f>T("PORT HUENEME")</f>
        <v>PORT HUENEME</v>
      </c>
      <c r="J14353" t="str">
        <f t="shared" si="5273"/>
        <v>CA</v>
      </c>
      <c r="K14353" t="str">
        <f>T("000000000000000000")</f>
        <v>000000000000000000</v>
      </c>
      <c r="L14353" t="str">
        <f>T("8059821849")</f>
        <v>8059821849</v>
      </c>
    </row>
    <row r="14354" spans="1:12" x14ac:dyDescent="0.35">
      <c r="A14354" t="str">
        <f t="shared" si="5271"/>
        <v>RCC SOUTHWEST</v>
      </c>
      <c r="B14354" t="str">
        <f>T("951 23RD AVE 1491")</f>
        <v>951 23RD AVE 1491</v>
      </c>
      <c r="C14354" t="str">
        <f t="shared" si="5274"/>
        <v/>
      </c>
      <c r="D14354" t="str">
        <f>T("PORT HUENEME")</f>
        <v>PORT HUENEME</v>
      </c>
      <c r="E14354" t="str">
        <f t="shared" si="5272"/>
        <v>CA</v>
      </c>
      <c r="F14354" t="str">
        <f>T("930434361")</f>
        <v>930434361</v>
      </c>
      <c r="G14354" t="str">
        <f>T("NOSC VENTURA COUNTY")</f>
        <v>NOSC VENTURA COUNTY</v>
      </c>
      <c r="H14354" t="str">
        <f>T("951 23RD AVE B/1491")</f>
        <v>951 23RD AVE B/1491</v>
      </c>
      <c r="I14354" t="str">
        <f>T("PORT HUENEME")</f>
        <v>PORT HUENEME</v>
      </c>
      <c r="J14354" t="str">
        <f t="shared" si="5273"/>
        <v>CA</v>
      </c>
      <c r="K14354" t="str">
        <f>T("000000000000000000")</f>
        <v>000000000000000000</v>
      </c>
      <c r="L14354" t="str">
        <f>T("8059826212")</f>
        <v>8059826212</v>
      </c>
    </row>
    <row r="14355" spans="1:12" x14ac:dyDescent="0.35">
      <c r="A14355" t="str">
        <f t="shared" si="5271"/>
        <v>RCC SOUTHWEST</v>
      </c>
      <c r="B14355" t="str">
        <f>T("995 E MISSION STREET")</f>
        <v>995 E MISSION STREET</v>
      </c>
      <c r="C14355" t="str">
        <f t="shared" si="5274"/>
        <v/>
      </c>
      <c r="D14355" t="str">
        <f>T("SAN JOSE")</f>
        <v>SAN JOSE</v>
      </c>
      <c r="E14355" t="str">
        <f t="shared" si="5272"/>
        <v>CA</v>
      </c>
      <c r="F14355" t="str">
        <f>T("951121613")</f>
        <v>951121613</v>
      </c>
      <c r="G14355" t="str">
        <f>T("995 E MISSION STREET")</f>
        <v>995 E MISSION STREET</v>
      </c>
      <c r="H14355" t="str">
        <f>T("")</f>
        <v/>
      </c>
      <c r="I14355" t="str">
        <f>T("SAN JOSE")</f>
        <v>SAN JOSE</v>
      </c>
      <c r="J14355" t="str">
        <f t="shared" si="5273"/>
        <v>CA</v>
      </c>
      <c r="K14355" t="str">
        <f>T("")</f>
        <v/>
      </c>
      <c r="L14355" t="str">
        <f>T("4082943070")</f>
        <v>4082943070</v>
      </c>
    </row>
    <row r="14356" spans="1:12" x14ac:dyDescent="0.35">
      <c r="A14356" t="str">
        <f t="shared" si="5271"/>
        <v>RCC SOUTHWEST</v>
      </c>
      <c r="B14356" t="str">
        <f>T("995 E MISSION STREET")</f>
        <v>995 E MISSION STREET</v>
      </c>
      <c r="C14356" t="str">
        <f t="shared" si="5274"/>
        <v/>
      </c>
      <c r="D14356" t="str">
        <f>T("SAN JOSE")</f>
        <v>SAN JOSE</v>
      </c>
      <c r="E14356" t="str">
        <f t="shared" si="5272"/>
        <v>CA</v>
      </c>
      <c r="F14356" t="str">
        <f>T("951121613")</f>
        <v>951121613</v>
      </c>
      <c r="G14356" t="str">
        <f>T("NOSC SAN JOSE")</f>
        <v>NOSC SAN JOSE</v>
      </c>
      <c r="H14356" t="str">
        <f>T("")</f>
        <v/>
      </c>
      <c r="I14356" t="str">
        <f>T("995 EAST MISSION STRET")</f>
        <v>995 EAST MISSION STRET</v>
      </c>
      <c r="J14356" t="str">
        <f t="shared" si="5273"/>
        <v>CA</v>
      </c>
      <c r="K14356" t="str">
        <f>T("000000000000000000")</f>
        <v>000000000000000000</v>
      </c>
      <c r="L14356" t="str">
        <f>T("4082943070")</f>
        <v>4082943070</v>
      </c>
    </row>
    <row r="14357" spans="1:12" x14ac:dyDescent="0.35">
      <c r="A14357" t="str">
        <f t="shared" si="5271"/>
        <v>RCC SOUTHWEST</v>
      </c>
      <c r="B14357" t="str">
        <f>T("995 E MISSION STREET")</f>
        <v>995 E MISSION STREET</v>
      </c>
      <c r="C14357" t="str">
        <f t="shared" si="5274"/>
        <v/>
      </c>
      <c r="D14357" t="str">
        <f>T("SAN JOSE")</f>
        <v>SAN JOSE</v>
      </c>
      <c r="E14357" t="str">
        <f t="shared" si="5272"/>
        <v>CA</v>
      </c>
      <c r="F14357" t="str">
        <f>T("951121613")</f>
        <v>951121613</v>
      </c>
      <c r="G14357" t="str">
        <f>T("NOSC SAN JOSE")</f>
        <v>NOSC SAN JOSE</v>
      </c>
      <c r="H14357" t="str">
        <f>T("995 E MISSION STREET")</f>
        <v>995 E MISSION STREET</v>
      </c>
      <c r="I14357" t="str">
        <f>T("SAN JOSE")</f>
        <v>SAN JOSE</v>
      </c>
      <c r="J14357" t="str">
        <f t="shared" si="5273"/>
        <v>CA</v>
      </c>
      <c r="K14357" t="str">
        <f>T("000000000000000000")</f>
        <v>000000000000000000</v>
      </c>
      <c r="L14357" t="str">
        <f>T("4082943070")</f>
        <v>4082943070</v>
      </c>
    </row>
    <row r="14358" spans="1:12" x14ac:dyDescent="0.35">
      <c r="A14358" t="str">
        <f t="shared" si="5271"/>
        <v>RCC SOUTHWEST</v>
      </c>
      <c r="B14358" t="str">
        <f>T("9955 POMERADO")</f>
        <v>9955 POMERADO</v>
      </c>
      <c r="C14358" t="str">
        <f t="shared" si="5274"/>
        <v/>
      </c>
      <c r="D14358" t="str">
        <f t="shared" ref="D14358:D14365" si="5275">T("SAN DIEGO")</f>
        <v>SAN DIEGO</v>
      </c>
      <c r="E14358" t="str">
        <f t="shared" si="5272"/>
        <v>CA</v>
      </c>
      <c r="F14358" t="str">
        <f>T("921312041")</f>
        <v>921312041</v>
      </c>
      <c r="G14358" t="str">
        <f>T("9955 POMERADO")</f>
        <v>9955 POMERADO</v>
      </c>
      <c r="H14358" t="str">
        <f>T("")</f>
        <v/>
      </c>
      <c r="I14358" t="str">
        <f t="shared" ref="I14358:I14365" si="5276">T("SAN DIEGO")</f>
        <v>SAN DIEGO</v>
      </c>
      <c r="J14358" t="str">
        <f t="shared" si="5273"/>
        <v>CA</v>
      </c>
      <c r="K14358" t="str">
        <f>T("")</f>
        <v/>
      </c>
      <c r="L14358" t="str">
        <f>T("8585378028")</f>
        <v>8585378028</v>
      </c>
    </row>
    <row r="14359" spans="1:12" x14ac:dyDescent="0.35">
      <c r="A14359" t="str">
        <f t="shared" si="5271"/>
        <v>RCC SOUTHWEST</v>
      </c>
      <c r="B14359" t="str">
        <f>T("9955 POMERADO")</f>
        <v>9955 POMERADO</v>
      </c>
      <c r="C14359" t="str">
        <f t="shared" si="5274"/>
        <v/>
      </c>
      <c r="D14359" t="str">
        <f t="shared" si="5275"/>
        <v>SAN DIEGO</v>
      </c>
      <c r="E14359" t="str">
        <f t="shared" si="5272"/>
        <v>CA</v>
      </c>
      <c r="F14359" t="str">
        <f>T("921312041")</f>
        <v>921312041</v>
      </c>
      <c r="G14359" t="str">
        <f>T("NOSC SAN DIEGO")</f>
        <v>NOSC SAN DIEGO</v>
      </c>
      <c r="H14359" t="str">
        <f>T("9955 POMERADO RD")</f>
        <v>9955 POMERADO RD</v>
      </c>
      <c r="I14359" t="str">
        <f t="shared" si="5276"/>
        <v>SAN DIEGO</v>
      </c>
      <c r="J14359" t="str">
        <f t="shared" si="5273"/>
        <v>CA</v>
      </c>
      <c r="K14359" t="str">
        <f>T("000000000000000000")</f>
        <v>000000000000000000</v>
      </c>
      <c r="L14359" t="str">
        <f>T("8585378049")</f>
        <v>8585378049</v>
      </c>
    </row>
    <row r="14360" spans="1:12" x14ac:dyDescent="0.35">
      <c r="A14360" t="str">
        <f t="shared" si="5271"/>
        <v>RCC SOUTHWEST</v>
      </c>
      <c r="B14360" t="str">
        <f>T("9955 POMERADO")</f>
        <v>9955 POMERADO</v>
      </c>
      <c r="C14360" t="str">
        <f t="shared" si="5274"/>
        <v/>
      </c>
      <c r="D14360" t="str">
        <f t="shared" si="5275"/>
        <v>SAN DIEGO</v>
      </c>
      <c r="E14360" t="str">
        <f t="shared" si="5272"/>
        <v>CA</v>
      </c>
      <c r="F14360" t="str">
        <f>T("921312041")</f>
        <v>921312041</v>
      </c>
      <c r="G14360" t="str">
        <f>T("NOSC SAN DIEGO")</f>
        <v>NOSC SAN DIEGO</v>
      </c>
      <c r="H14360" t="str">
        <f>T("9955 POMERADO RD")</f>
        <v>9955 POMERADO RD</v>
      </c>
      <c r="I14360" t="str">
        <f t="shared" si="5276"/>
        <v>SAN DIEGO</v>
      </c>
      <c r="J14360" t="str">
        <f t="shared" si="5273"/>
        <v>CA</v>
      </c>
      <c r="K14360" t="str">
        <f>T("000000000000000000")</f>
        <v>000000000000000000</v>
      </c>
      <c r="L14360" t="str">
        <f>T("8585378079")</f>
        <v>8585378079</v>
      </c>
    </row>
    <row r="14361" spans="1:12" x14ac:dyDescent="0.35">
      <c r="A14361" t="str">
        <f t="shared" si="5271"/>
        <v>RCC SOUTHWEST</v>
      </c>
      <c r="B14361" t="str">
        <f>T("9955 POMERADO")</f>
        <v>9955 POMERADO</v>
      </c>
      <c r="C14361" t="str">
        <f t="shared" si="5274"/>
        <v/>
      </c>
      <c r="D14361" t="str">
        <f t="shared" si="5275"/>
        <v>SAN DIEGO</v>
      </c>
      <c r="E14361" t="str">
        <f t="shared" si="5272"/>
        <v>CA</v>
      </c>
      <c r="F14361" t="str">
        <f>T("921312041")</f>
        <v>921312041</v>
      </c>
      <c r="G14361" t="str">
        <f>T("NOSC SAN DIEGO")</f>
        <v>NOSC SAN DIEGO</v>
      </c>
      <c r="H14361" t="str">
        <f>T("9955 POMERADO ROAD")</f>
        <v>9955 POMERADO ROAD</v>
      </c>
      <c r="I14361" t="str">
        <f t="shared" si="5276"/>
        <v>SAN DIEGO</v>
      </c>
      <c r="J14361" t="str">
        <f t="shared" si="5273"/>
        <v>CA</v>
      </c>
      <c r="K14361" t="str">
        <f>T("000000000000000000")</f>
        <v>000000000000000000</v>
      </c>
      <c r="L14361" t="str">
        <f>T("8585378049")</f>
        <v>8585378049</v>
      </c>
    </row>
    <row r="14362" spans="1:12" x14ac:dyDescent="0.35">
      <c r="A14362" t="str">
        <f t="shared" si="5271"/>
        <v>RCC SOUTHWEST</v>
      </c>
      <c r="B14362" t="str">
        <f>T("B/251 PO BOX 357099")</f>
        <v>B/251 PO BOX 357099</v>
      </c>
      <c r="C14362" t="str">
        <f t="shared" si="5274"/>
        <v/>
      </c>
      <c r="D14362" t="str">
        <f t="shared" si="5275"/>
        <v>SAN DIEGO</v>
      </c>
      <c r="E14362" t="str">
        <f t="shared" si="5272"/>
        <v>CA</v>
      </c>
      <c r="F14362" t="str">
        <f>T("921357099")</f>
        <v>921357099</v>
      </c>
      <c r="G14362" t="str">
        <f>T("B/251 PO BOX 357099")</f>
        <v>B/251 PO BOX 357099</v>
      </c>
      <c r="H14362" t="str">
        <f>T("")</f>
        <v/>
      </c>
      <c r="I14362" t="str">
        <f t="shared" si="5276"/>
        <v>SAN DIEGO</v>
      </c>
      <c r="J14362" t="str">
        <f t="shared" si="5273"/>
        <v>CA</v>
      </c>
      <c r="K14362" t="str">
        <f>T("")</f>
        <v/>
      </c>
      <c r="L14362" t="str">
        <f>T("6195452646")</f>
        <v>6195452646</v>
      </c>
    </row>
    <row r="14363" spans="1:12" x14ac:dyDescent="0.35">
      <c r="A14363" t="str">
        <f t="shared" si="5271"/>
        <v>RCC SOUTHWEST</v>
      </c>
      <c r="B14363" t="str">
        <f>T("B/251 PO BOX 357099")</f>
        <v>B/251 PO BOX 357099</v>
      </c>
      <c r="C14363" t="str">
        <f t="shared" si="5274"/>
        <v/>
      </c>
      <c r="D14363" t="str">
        <f t="shared" si="5275"/>
        <v>SAN DIEGO</v>
      </c>
      <c r="E14363" t="str">
        <f t="shared" si="5272"/>
        <v>CA</v>
      </c>
      <c r="F14363" t="str">
        <f>T("921357099")</f>
        <v>921357099</v>
      </c>
      <c r="G14363" t="str">
        <f>T("NOSC NORTH ISLAND")</f>
        <v>NOSC NORTH ISLAND</v>
      </c>
      <c r="H14363" t="str">
        <f>T("B/251 BOX 357099")</f>
        <v>B/251 BOX 357099</v>
      </c>
      <c r="I14363" t="str">
        <f t="shared" si="5276"/>
        <v>SAN DIEGO</v>
      </c>
      <c r="J14363" t="str">
        <f t="shared" si="5273"/>
        <v>CA</v>
      </c>
      <c r="K14363" t="str">
        <f>T("000000000000000000")</f>
        <v>000000000000000000</v>
      </c>
      <c r="L14363" t="str">
        <f>T("6197577607")</f>
        <v>6197577607</v>
      </c>
    </row>
    <row r="14364" spans="1:12" x14ac:dyDescent="0.35">
      <c r="A14364" t="str">
        <f t="shared" si="5271"/>
        <v>RCC SOUTHWEST</v>
      </c>
      <c r="B14364" t="str">
        <f>T("B/251 PO BOX 357099")</f>
        <v>B/251 PO BOX 357099</v>
      </c>
      <c r="C14364" t="str">
        <f t="shared" si="5274"/>
        <v/>
      </c>
      <c r="D14364" t="str">
        <f t="shared" si="5275"/>
        <v>SAN DIEGO</v>
      </c>
      <c r="E14364" t="str">
        <f t="shared" si="5272"/>
        <v>CA</v>
      </c>
      <c r="F14364" t="str">
        <f>T("921357099")</f>
        <v>921357099</v>
      </c>
      <c r="G14364" t="str">
        <f>T("NOSC NORTH ISLAND")</f>
        <v>NOSC NORTH ISLAND</v>
      </c>
      <c r="H14364" t="str">
        <f>T("B/251 BOX 357099")</f>
        <v>B/251 BOX 357099</v>
      </c>
      <c r="I14364" t="str">
        <f t="shared" si="5276"/>
        <v>SAN DIEGO</v>
      </c>
      <c r="J14364" t="str">
        <f t="shared" si="5273"/>
        <v>CA</v>
      </c>
      <c r="K14364" t="str">
        <f>T("000000000000000000")</f>
        <v>000000000000000000</v>
      </c>
      <c r="L14364" t="str">
        <f>T("6197677607")</f>
        <v>6197677607</v>
      </c>
    </row>
    <row r="14365" spans="1:12" x14ac:dyDescent="0.35">
      <c r="A14365" t="str">
        <f t="shared" si="5271"/>
        <v>RCC SOUTHWEST</v>
      </c>
      <c r="B14365" t="str">
        <f>T("B/251 PO BOX 357099")</f>
        <v>B/251 PO BOX 357099</v>
      </c>
      <c r="C14365" t="str">
        <f t="shared" si="5274"/>
        <v/>
      </c>
      <c r="D14365" t="str">
        <f t="shared" si="5275"/>
        <v>SAN DIEGO</v>
      </c>
      <c r="E14365" t="str">
        <f t="shared" si="5272"/>
        <v>CA</v>
      </c>
      <c r="F14365" t="str">
        <f>T("921357099")</f>
        <v>921357099</v>
      </c>
      <c r="G14365" t="str">
        <f>T("NOSC NORTH ISLAND")</f>
        <v>NOSC NORTH ISLAND</v>
      </c>
      <c r="H14365" t="str">
        <f>T("B/251 RM 123")</f>
        <v>B/251 RM 123</v>
      </c>
      <c r="I14365" t="str">
        <f t="shared" si="5276"/>
        <v>SAN DIEGO</v>
      </c>
      <c r="J14365" t="str">
        <f t="shared" si="5273"/>
        <v>CA</v>
      </c>
      <c r="K14365" t="str">
        <f>T("000000000000000000")</f>
        <v>000000000000000000</v>
      </c>
      <c r="L14365" t="str">
        <f>T("6195452653")</f>
        <v>6195452653</v>
      </c>
    </row>
    <row r="14366" spans="1:12" x14ac:dyDescent="0.35">
      <c r="A14366" t="str">
        <f t="shared" si="5271"/>
        <v>RCC SOUTHWEST</v>
      </c>
      <c r="B14366" t="str">
        <f>T("NOSC PEARL HARBOR")</f>
        <v>NOSC PEARL HARBOR</v>
      </c>
      <c r="C14366" t="str">
        <f>T("400 FULLER WAY")</f>
        <v>400 FULLER WAY</v>
      </c>
      <c r="D14366" t="str">
        <f>T("PEARL HARBOR")</f>
        <v>PEARL HARBOR</v>
      </c>
      <c r="E14366" t="str">
        <f>T("HI")</f>
        <v>HI</v>
      </c>
      <c r="F14366" t="str">
        <f>T("968604966")</f>
        <v>968604966</v>
      </c>
      <c r="G14366" t="str">
        <f>T("NOSC PEARL HARBOR")</f>
        <v>NOSC PEARL HARBOR</v>
      </c>
      <c r="H14366" t="str">
        <f>T("400 FULLER WAY")</f>
        <v>400 FULLER WAY</v>
      </c>
      <c r="I14366" t="str">
        <f>T("PEARL HARBOR")</f>
        <v>PEARL HARBOR</v>
      </c>
      <c r="J14366" t="str">
        <f>T("HI")</f>
        <v>HI</v>
      </c>
      <c r="K14366" t="str">
        <f>T("")</f>
        <v/>
      </c>
      <c r="L14366" t="str">
        <f>T("8084743950")</f>
        <v>8084743950</v>
      </c>
    </row>
    <row r="14367" spans="1:12" x14ac:dyDescent="0.35">
      <c r="A14367" t="str">
        <f t="shared" si="5271"/>
        <v>RCC SOUTHWEST</v>
      </c>
      <c r="B14367" t="str">
        <f>T("NOSC PEARL HARBOR")</f>
        <v>NOSC PEARL HARBOR</v>
      </c>
      <c r="C14367" t="str">
        <f>T("400 FULLER WAY")</f>
        <v>400 FULLER WAY</v>
      </c>
      <c r="D14367" t="str">
        <f>T("PEARL HARBOR")</f>
        <v>PEARL HARBOR</v>
      </c>
      <c r="E14367" t="str">
        <f>T("HI")</f>
        <v>HI</v>
      </c>
      <c r="F14367" t="str">
        <f>T("968604966")</f>
        <v>968604966</v>
      </c>
      <c r="G14367" t="str">
        <f>T("NOSC PEARL HARBOR")</f>
        <v>NOSC PEARL HARBOR</v>
      </c>
      <c r="H14367" t="str">
        <f>T("400 FULLER WAY")</f>
        <v>400 FULLER WAY</v>
      </c>
      <c r="I14367" t="str">
        <f>T("PEARL HARBOR")</f>
        <v>PEARL HARBOR</v>
      </c>
      <c r="J14367" t="str">
        <f>T("HI")</f>
        <v>HI</v>
      </c>
      <c r="K14367" t="str">
        <f>T("000000000000000000")</f>
        <v>000000000000000000</v>
      </c>
      <c r="L14367" t="str">
        <f>T("8084743792")</f>
        <v>8084743792</v>
      </c>
    </row>
    <row r="14368" spans="1:12" x14ac:dyDescent="0.35">
      <c r="A14368" t="str">
        <f t="shared" si="5271"/>
        <v>RCC SOUTHWEST</v>
      </c>
      <c r="B14368" t="str">
        <f>T("NOSC PEARL HARBOR")</f>
        <v>NOSC PEARL HARBOR</v>
      </c>
      <c r="C14368" t="str">
        <f>T("400 FULLER WAY")</f>
        <v>400 FULLER WAY</v>
      </c>
      <c r="D14368" t="str">
        <f>T("PEARL HARBOR")</f>
        <v>PEARL HARBOR</v>
      </c>
      <c r="E14368" t="str">
        <f>T("HI")</f>
        <v>HI</v>
      </c>
      <c r="F14368" t="str">
        <f>T("968604966")</f>
        <v>968604966</v>
      </c>
      <c r="G14368" t="str">
        <f>T("NOSC PEARL HARBOR")</f>
        <v>NOSC PEARL HARBOR</v>
      </c>
      <c r="H14368" t="str">
        <f>T("400 FULLER WAY B/279")</f>
        <v>400 FULLER WAY B/279</v>
      </c>
      <c r="I14368" t="str">
        <f>T("PEARL HARBOR")</f>
        <v>PEARL HARBOR</v>
      </c>
      <c r="J14368" t="str">
        <f>T("HI")</f>
        <v>HI</v>
      </c>
      <c r="K14368" t="str">
        <f>T("000000000000000000")</f>
        <v>000000000000000000</v>
      </c>
      <c r="L14368" t="str">
        <f>T("8084743692")</f>
        <v>8084743692</v>
      </c>
    </row>
    <row r="14369" spans="1:12" x14ac:dyDescent="0.35">
      <c r="A14369" t="str">
        <f t="shared" si="5271"/>
        <v>RCC SOUTHWEST</v>
      </c>
      <c r="B14369" t="str">
        <f>T("PSC 455 BOX 186")</f>
        <v>PSC 455 BOX 186</v>
      </c>
      <c r="C14369" t="str">
        <f>T("")</f>
        <v/>
      </c>
      <c r="D14369" t="str">
        <f>T("FPO")</f>
        <v>FPO</v>
      </c>
      <c r="E14369" t="str">
        <f>T("AP")</f>
        <v>AP</v>
      </c>
      <c r="F14369" t="str">
        <f>T("965400002")</f>
        <v>965400002</v>
      </c>
      <c r="G14369" t="str">
        <f>T("NOSC GUAM")</f>
        <v>NOSC GUAM</v>
      </c>
      <c r="H14369" t="str">
        <f>T("PSC 455 BOX 186")</f>
        <v>PSC 455 BOX 186</v>
      </c>
      <c r="I14369" t="str">
        <f>T("FPO")</f>
        <v>FPO</v>
      </c>
      <c r="J14369" t="str">
        <f>T("AP")</f>
        <v>AP</v>
      </c>
      <c r="K14369" t="str">
        <f>T("000000000000000000")</f>
        <v>000000000000000000</v>
      </c>
      <c r="L14369" t="str">
        <f>T("3153392378")</f>
        <v>3153392378</v>
      </c>
    </row>
    <row r="14370" spans="1:12" x14ac:dyDescent="0.35">
      <c r="A14370" t="str">
        <f t="shared" si="5271"/>
        <v>RCC SOUTHWEST</v>
      </c>
      <c r="B14370" t="str">
        <f>T("PSC 455 BOX 186")</f>
        <v>PSC 455 BOX 186</v>
      </c>
      <c r="C14370" t="str">
        <f>T("")</f>
        <v/>
      </c>
      <c r="D14370" t="str">
        <f>T("FPO")</f>
        <v>FPO</v>
      </c>
      <c r="E14370" t="str">
        <f>T("AP")</f>
        <v>AP</v>
      </c>
      <c r="F14370" t="str">
        <f>T("965400002")</f>
        <v>965400002</v>
      </c>
      <c r="G14370" t="str">
        <f>T("PSC 455 BOX 186")</f>
        <v>PSC 455 BOX 186</v>
      </c>
      <c r="H14370" t="str">
        <f>T("")</f>
        <v/>
      </c>
      <c r="I14370" t="str">
        <f>T("FPO")</f>
        <v>FPO</v>
      </c>
      <c r="J14370" t="str">
        <f>T("AP")</f>
        <v>AP</v>
      </c>
      <c r="K14370" t="str">
        <f>T("")</f>
        <v/>
      </c>
      <c r="L14370" t="str">
        <f>T("6713392668")</f>
        <v>6713392668</v>
      </c>
    </row>
    <row r="14371" spans="1:12" x14ac:dyDescent="0.35">
      <c r="A14371" t="str">
        <f t="shared" ref="A14371:A14402" si="5277">T("RCC SOUTHEAST JACKSONVILLE")</f>
        <v>RCC SOUTHEAST JACKSONVILLE</v>
      </c>
      <c r="B14371" t="str">
        <f>T("1001 4TH AV SW")</f>
        <v>1001 4TH AV SW</v>
      </c>
      <c r="C14371" t="str">
        <f>T("")</f>
        <v/>
      </c>
      <c r="D14371" t="str">
        <f>T("BESSEMER")</f>
        <v>BESSEMER</v>
      </c>
      <c r="E14371" t="str">
        <f>T("AL")</f>
        <v>AL</v>
      </c>
      <c r="F14371" t="str">
        <f>T("350224731")</f>
        <v>350224731</v>
      </c>
      <c r="G14371" t="str">
        <f>T("1001 4TH AV SW")</f>
        <v>1001 4TH AV SW</v>
      </c>
      <c r="H14371" t="str">
        <f>T("")</f>
        <v/>
      </c>
      <c r="I14371" t="str">
        <f>T("BESSEMER")</f>
        <v>BESSEMER</v>
      </c>
      <c r="J14371" t="str">
        <f>T("AL")</f>
        <v>AL</v>
      </c>
      <c r="K14371" t="str">
        <f>T("2054972629")</f>
        <v>2054972629</v>
      </c>
      <c r="L14371" t="str">
        <f>T("2054972601")</f>
        <v>2054972601</v>
      </c>
    </row>
    <row r="14372" spans="1:12" x14ac:dyDescent="0.35">
      <c r="A14372" t="str">
        <f t="shared" si="5277"/>
        <v>RCC SOUTHEAST JACKSONVILLE</v>
      </c>
      <c r="B14372" t="str">
        <f>T("1001 4TH AV SW")</f>
        <v>1001 4TH AV SW</v>
      </c>
      <c r="C14372" t="str">
        <f>T("")</f>
        <v/>
      </c>
      <c r="D14372" t="str">
        <f>T("BESSEMER")</f>
        <v>BESSEMER</v>
      </c>
      <c r="E14372" t="str">
        <f>T("AL")</f>
        <v>AL</v>
      </c>
      <c r="F14372" t="str">
        <f>T("350224731")</f>
        <v>350224731</v>
      </c>
      <c r="G14372" t="str">
        <f>T("1001 4TH AVE SW")</f>
        <v>1001 4TH AVE SW</v>
      </c>
      <c r="H14372" t="str">
        <f>T("")</f>
        <v/>
      </c>
      <c r="I14372" t="str">
        <f>T("BESSEMER")</f>
        <v>BESSEMER</v>
      </c>
      <c r="J14372" t="str">
        <f>T("AL")</f>
        <v>AL</v>
      </c>
      <c r="K14372" t="str">
        <f>T("2054972629")</f>
        <v>2054972629</v>
      </c>
      <c r="L14372" t="str">
        <f>T("2054972610")</f>
        <v>2054972610</v>
      </c>
    </row>
    <row r="14373" spans="1:12" x14ac:dyDescent="0.35">
      <c r="A14373" t="str">
        <f t="shared" si="5277"/>
        <v>RCC SOUTHEAST JACKSONVILLE</v>
      </c>
      <c r="B14373" t="str">
        <f>T("1050 REMOUNT RD")</f>
        <v>1050 REMOUNT RD</v>
      </c>
      <c r="C14373" t="str">
        <f>T("BLDG 3370")</f>
        <v>BLDG 3370</v>
      </c>
      <c r="D14373" t="str">
        <f>T("N CHARLESTON")</f>
        <v>N CHARLESTON</v>
      </c>
      <c r="E14373" t="str">
        <f>T("SC")</f>
        <v>SC</v>
      </c>
      <c r="F14373" t="str">
        <f>T("294063541")</f>
        <v>294063541</v>
      </c>
      <c r="G14373" t="str">
        <f>T("1050 REMOUNT RD")</f>
        <v>1050 REMOUNT RD</v>
      </c>
      <c r="H14373" t="str">
        <f>T("BLDG 3370")</f>
        <v>BLDG 3370</v>
      </c>
      <c r="I14373" t="str">
        <f>T("N CHARLESTON")</f>
        <v>N CHARLESTON</v>
      </c>
      <c r="J14373" t="str">
        <f>T("SC")</f>
        <v>SC</v>
      </c>
      <c r="K14373" t="str">
        <f>T("")</f>
        <v/>
      </c>
      <c r="L14373" t="str">
        <f>T("8437422620")</f>
        <v>8437422620</v>
      </c>
    </row>
    <row r="14374" spans="1:12" x14ac:dyDescent="0.35">
      <c r="A14374" t="str">
        <f t="shared" si="5277"/>
        <v>RCC SOUTHEAST JACKSONVILLE</v>
      </c>
      <c r="B14374" t="str">
        <f>T("1050 REMOUNT RD")</f>
        <v>1050 REMOUNT RD</v>
      </c>
      <c r="C14374" t="str">
        <f>T("BLDG 3370")</f>
        <v>BLDG 3370</v>
      </c>
      <c r="D14374" t="str">
        <f>T("N CHARLESTON")</f>
        <v>N CHARLESTON</v>
      </c>
      <c r="E14374" t="str">
        <f>T("SC")</f>
        <v>SC</v>
      </c>
      <c r="F14374" t="str">
        <f>T("294063541")</f>
        <v>294063541</v>
      </c>
      <c r="G14374" t="str">
        <f>T("1050 REMOUNT ROAD")</f>
        <v>1050 REMOUNT ROAD</v>
      </c>
      <c r="H14374" t="str">
        <f>T("BLDG 3370")</f>
        <v>BLDG 3370</v>
      </c>
      <c r="I14374" t="str">
        <f>T("NORTH CHARLESTON")</f>
        <v>NORTH CHARLESTON</v>
      </c>
      <c r="J14374" t="str">
        <f>T("SC")</f>
        <v>SC</v>
      </c>
      <c r="K14374" t="str">
        <f>T("8437433541")</f>
        <v>8437433541</v>
      </c>
      <c r="L14374" t="str">
        <f>T("8437432620")</f>
        <v>8437432620</v>
      </c>
    </row>
    <row r="14375" spans="1:12" x14ac:dyDescent="0.35">
      <c r="A14375" t="str">
        <f t="shared" si="5277"/>
        <v>RCC SOUTHEAST JACKSONVILLE</v>
      </c>
      <c r="B14375" t="str">
        <f>T("1210 NAVAL FORCES CT")</f>
        <v>1210 NAVAL FORCES CT</v>
      </c>
      <c r="C14375" t="str">
        <f>T("BLDG 440")</f>
        <v>BLDG 440</v>
      </c>
      <c r="D14375" t="str">
        <f>T("MARIETTA")</f>
        <v>MARIETTA</v>
      </c>
      <c r="E14375" t="str">
        <f>T("GA")</f>
        <v>GA</v>
      </c>
      <c r="F14375" t="str">
        <f>T("300695200")</f>
        <v>300695200</v>
      </c>
      <c r="G14375" t="str">
        <f>T("1210 NAVAL FORCES CT")</f>
        <v>1210 NAVAL FORCES CT</v>
      </c>
      <c r="H14375" t="str">
        <f>T("BLDG 440")</f>
        <v>BLDG 440</v>
      </c>
      <c r="I14375" t="str">
        <f>T("MARIETTA")</f>
        <v>MARIETTA</v>
      </c>
      <c r="J14375" t="str">
        <f>T("GA")</f>
        <v>GA</v>
      </c>
      <c r="K14375" t="str">
        <f>T("678-655-5949")</f>
        <v>678-655-5949</v>
      </c>
      <c r="L14375" t="str">
        <f>T("6786556568")</f>
        <v>6786556568</v>
      </c>
    </row>
    <row r="14376" spans="1:12" x14ac:dyDescent="0.35">
      <c r="A14376" t="str">
        <f t="shared" si="5277"/>
        <v>RCC SOUTHEAST JACKSONVILLE</v>
      </c>
      <c r="B14376" t="str">
        <f>T("1210 NAVAL FORCES CT")</f>
        <v>1210 NAVAL FORCES CT</v>
      </c>
      <c r="C14376" t="str">
        <f>T("BLDG 440")</f>
        <v>BLDG 440</v>
      </c>
      <c r="D14376" t="str">
        <f>T("MARIETTA")</f>
        <v>MARIETTA</v>
      </c>
      <c r="E14376" t="str">
        <f>T("GA")</f>
        <v>GA</v>
      </c>
      <c r="F14376" t="str">
        <f>T("300695200")</f>
        <v>300695200</v>
      </c>
      <c r="G14376" t="str">
        <f>T("1210 NAVAL FORCES CT")</f>
        <v>1210 NAVAL FORCES CT</v>
      </c>
      <c r="H14376" t="str">
        <f>T("BLDG 440")</f>
        <v>BLDG 440</v>
      </c>
      <c r="I14376" t="str">
        <f>T("MARIETTA")</f>
        <v>MARIETTA</v>
      </c>
      <c r="J14376" t="str">
        <f>T("GA")</f>
        <v>GA</v>
      </c>
      <c r="K14376" t="str">
        <f>T("6786555949")</f>
        <v>6786555949</v>
      </c>
      <c r="L14376" t="str">
        <f>T("6786557099")</f>
        <v>6786557099</v>
      </c>
    </row>
    <row r="14377" spans="1:12" x14ac:dyDescent="0.35">
      <c r="A14377" t="str">
        <f t="shared" si="5277"/>
        <v>RCC SOUTHEAST JACKSONVILLE</v>
      </c>
      <c r="B14377" t="str">
        <f>T("1227 MARINE DR")</f>
        <v>1227 MARINE DR</v>
      </c>
      <c r="C14377" t="str">
        <f>T("")</f>
        <v/>
      </c>
      <c r="D14377" t="str">
        <f>T("WEST PALM BCH")</f>
        <v>WEST PALM BCH</v>
      </c>
      <c r="E14377" t="str">
        <f>T("FL")</f>
        <v>FL</v>
      </c>
      <c r="F14377" t="str">
        <f>T("334096241")</f>
        <v>334096241</v>
      </c>
      <c r="G14377" t="str">
        <f>T("1227 MARINE DR")</f>
        <v>1227 MARINE DR</v>
      </c>
      <c r="H14377" t="str">
        <f>T("")</f>
        <v/>
      </c>
      <c r="I14377" t="str">
        <f>T("WEST PALM BCH")</f>
        <v>WEST PALM BCH</v>
      </c>
      <c r="J14377" t="str">
        <f>T("FL")</f>
        <v>FL</v>
      </c>
      <c r="K14377" t="str">
        <f>T("5616873961")</f>
        <v>5616873961</v>
      </c>
      <c r="L14377" t="str">
        <f>T("5616873960")</f>
        <v>5616873960</v>
      </c>
    </row>
    <row r="14378" spans="1:12" x14ac:dyDescent="0.35">
      <c r="A14378" t="str">
        <f t="shared" si="5277"/>
        <v>RCC SOUTHEAST JACKSONVILLE</v>
      </c>
      <c r="B14378" t="str">
        <f>T("1227 MARINE DR")</f>
        <v>1227 MARINE DR</v>
      </c>
      <c r="C14378" t="str">
        <f>T("")</f>
        <v/>
      </c>
      <c r="D14378" t="str">
        <f>T("WEST PALM BCH")</f>
        <v>WEST PALM BCH</v>
      </c>
      <c r="E14378" t="str">
        <f>T("FL")</f>
        <v>FL</v>
      </c>
      <c r="F14378" t="str">
        <f>T("334096241")</f>
        <v>334096241</v>
      </c>
      <c r="G14378" t="str">
        <f>T("1227 MARINE DR")</f>
        <v>1227 MARINE DR</v>
      </c>
      <c r="H14378" t="str">
        <f>T("")</f>
        <v/>
      </c>
      <c r="I14378" t="str">
        <f>T("WEST PALM BEACH")</f>
        <v>WEST PALM BEACH</v>
      </c>
      <c r="J14378" t="str">
        <f>T("FL")</f>
        <v>FL</v>
      </c>
      <c r="K14378" t="str">
        <f>T("5616169302")</f>
        <v>5616169302</v>
      </c>
      <c r="L14378" t="str">
        <f>T("5616873954")</f>
        <v>5616873954</v>
      </c>
    </row>
    <row r="14379" spans="1:12" x14ac:dyDescent="0.35">
      <c r="A14379" t="str">
        <f t="shared" si="5277"/>
        <v>RCC SOUTHEAST JACKSONVILLE</v>
      </c>
      <c r="B14379" t="str">
        <f>T("1430 DIMMIT DRIVE")</f>
        <v>1430 DIMMIT DRIVE</v>
      </c>
      <c r="C14379" t="str">
        <f>T("SUITE 140")</f>
        <v>SUITE 140</v>
      </c>
      <c r="D14379" t="str">
        <f>T("CORP CHRISTI")</f>
        <v>CORP CHRISTI</v>
      </c>
      <c r="E14379" t="str">
        <f>T("TX")</f>
        <v>TX</v>
      </c>
      <c r="F14379" t="str">
        <f>T("784195119")</f>
        <v>784195119</v>
      </c>
      <c r="G14379" t="str">
        <f>T("1430 DIMMIT DRIVE")</f>
        <v>1430 DIMMIT DRIVE</v>
      </c>
      <c r="H14379" t="str">
        <f>T("SUITE 140")</f>
        <v>SUITE 140</v>
      </c>
      <c r="I14379" t="str">
        <f>T("CORP CHRISTI")</f>
        <v>CORP CHRISTI</v>
      </c>
      <c r="J14379" t="str">
        <f>T("TX")</f>
        <v>TX</v>
      </c>
      <c r="K14379" t="str">
        <f>T("")</f>
        <v/>
      </c>
      <c r="L14379" t="str">
        <f>T("3619612241")</f>
        <v>3619612241</v>
      </c>
    </row>
    <row r="14380" spans="1:12" x14ac:dyDescent="0.35">
      <c r="A14380" t="str">
        <f t="shared" si="5277"/>
        <v>RCC SOUTHEAST JACKSONVILLE</v>
      </c>
      <c r="B14380" t="str">
        <f>T("18650 NW 62ND AVE")</f>
        <v>18650 NW 62ND AVE</v>
      </c>
      <c r="C14380" t="str">
        <f>T("")</f>
        <v/>
      </c>
      <c r="D14380" t="str">
        <f>T("HIALEAH")</f>
        <v>HIALEAH</v>
      </c>
      <c r="E14380" t="str">
        <f>T("FL")</f>
        <v>FL</v>
      </c>
      <c r="F14380" t="str">
        <f>T("330155003")</f>
        <v>330155003</v>
      </c>
      <c r="G14380" t="str">
        <f>T("18650 NW 62ND AVE")</f>
        <v>18650 NW 62ND AVE</v>
      </c>
      <c r="H14380" t="str">
        <f>T("")</f>
        <v/>
      </c>
      <c r="I14380" t="str">
        <f>T("HIALEAH")</f>
        <v>HIALEAH</v>
      </c>
      <c r="J14380" t="str">
        <f>T("FL")</f>
        <v>FL</v>
      </c>
      <c r="K14380" t="str">
        <f>T("3056285154")</f>
        <v>3056285154</v>
      </c>
      <c r="L14380" t="str">
        <f>T("3056285155")</f>
        <v>3056285155</v>
      </c>
    </row>
    <row r="14381" spans="1:12" x14ac:dyDescent="0.35">
      <c r="A14381" t="str">
        <f t="shared" si="5277"/>
        <v>RCC SOUTHEAST JACKSONVILLE</v>
      </c>
      <c r="B14381" t="str">
        <f>T("18650 NW 62ND AVE")</f>
        <v>18650 NW 62ND AVE</v>
      </c>
      <c r="C14381" t="str">
        <f>T("")</f>
        <v/>
      </c>
      <c r="D14381" t="str">
        <f>T("HIALEAH")</f>
        <v>HIALEAH</v>
      </c>
      <c r="E14381" t="str">
        <f>T("FL")</f>
        <v>FL</v>
      </c>
      <c r="F14381" t="str">
        <f>T("330155003")</f>
        <v>330155003</v>
      </c>
      <c r="G14381" t="str">
        <f>T("18650 NW 62ND AVE")</f>
        <v>18650 NW 62ND AVE</v>
      </c>
      <c r="H14381" t="str">
        <f>T("")</f>
        <v/>
      </c>
      <c r="I14381" t="str">
        <f>T("HIALEAH")</f>
        <v>HIALEAH</v>
      </c>
      <c r="J14381" t="str">
        <f>T("FL")</f>
        <v>FL</v>
      </c>
      <c r="K14381" t="str">
        <f>T("3056285159")</f>
        <v>3056285159</v>
      </c>
      <c r="L14381" t="str">
        <f>T("3056285150")</f>
        <v>3056285150</v>
      </c>
    </row>
    <row r="14382" spans="1:12" x14ac:dyDescent="0.35">
      <c r="A14382" t="str">
        <f t="shared" si="5277"/>
        <v>RCC SOUTHEAST JACKSONVILLE</v>
      </c>
      <c r="B14382" t="str">
        <f>T("18650 NW 62ND AVE")</f>
        <v>18650 NW 62ND AVE</v>
      </c>
      <c r="C14382" t="str">
        <f>T("")</f>
        <v/>
      </c>
      <c r="D14382" t="str">
        <f>T("HIALEAH")</f>
        <v>HIALEAH</v>
      </c>
      <c r="E14382" t="str">
        <f>T("FL")</f>
        <v>FL</v>
      </c>
      <c r="F14382" t="str">
        <f>T("330155003")</f>
        <v>330155003</v>
      </c>
      <c r="G14382" t="str">
        <f>T("18650 NW 62ND AVENUE")</f>
        <v>18650 NW 62ND AVENUE</v>
      </c>
      <c r="H14382" t="str">
        <f>T("")</f>
        <v/>
      </c>
      <c r="I14382" t="str">
        <f>T("HIALEAH")</f>
        <v>HIALEAH</v>
      </c>
      <c r="J14382" t="str">
        <f>T("FL")</f>
        <v>FL</v>
      </c>
      <c r="K14382" t="str">
        <f>T("3056285159")</f>
        <v>3056285159</v>
      </c>
      <c r="L14382" t="str">
        <f>T("3056285150")</f>
        <v>3056285150</v>
      </c>
    </row>
    <row r="14383" spans="1:12" x14ac:dyDescent="0.35">
      <c r="A14383" t="str">
        <f t="shared" si="5277"/>
        <v>RCC SOUTHEAST JACKSONVILLE</v>
      </c>
      <c r="B14383" t="str">
        <f>T("2101 ALCOA HWY")</f>
        <v>2101 ALCOA HWY</v>
      </c>
      <c r="C14383" t="str">
        <f>T("N&amp; MCRC")</f>
        <v>N&amp; MCRC</v>
      </c>
      <c r="D14383" t="str">
        <f>T("KNOXVILLE")</f>
        <v>KNOXVILLE</v>
      </c>
      <c r="E14383" t="str">
        <f>T("TN")</f>
        <v>TN</v>
      </c>
      <c r="F14383" t="str">
        <f>T("379202231")</f>
        <v>379202231</v>
      </c>
      <c r="G14383" t="str">
        <f>T("2101 ALCOA HWY")</f>
        <v>2101 ALCOA HWY</v>
      </c>
      <c r="H14383" t="str">
        <f>T("")</f>
        <v/>
      </c>
      <c r="I14383" t="str">
        <f>T("KNOXVILLE")</f>
        <v>KNOXVILLE</v>
      </c>
      <c r="J14383" t="str">
        <f>T("TN")</f>
        <v>TN</v>
      </c>
      <c r="K14383" t="str">
        <f>T("000000000000000000")</f>
        <v>000000000000000000</v>
      </c>
      <c r="L14383" t="str">
        <f>T("8655454720")</f>
        <v>8655454720</v>
      </c>
    </row>
    <row r="14384" spans="1:12" x14ac:dyDescent="0.35">
      <c r="A14384" t="str">
        <f t="shared" si="5277"/>
        <v>RCC SOUTHEAST JACKSONVILLE</v>
      </c>
      <c r="B14384" t="str">
        <f>T("2101 ALCOA HWY")</f>
        <v>2101 ALCOA HWY</v>
      </c>
      <c r="C14384" t="str">
        <f>T("N&amp; MCRC")</f>
        <v>N&amp; MCRC</v>
      </c>
      <c r="D14384" t="str">
        <f>T("KNOXVILLE")</f>
        <v>KNOXVILLE</v>
      </c>
      <c r="E14384" t="str">
        <f>T("TN")</f>
        <v>TN</v>
      </c>
      <c r="F14384" t="str">
        <f>T("379202231")</f>
        <v>379202231</v>
      </c>
      <c r="G14384" t="str">
        <f>T("2101 ALCOA HWY")</f>
        <v>2101 ALCOA HWY</v>
      </c>
      <c r="H14384" t="str">
        <f>T("N&amp; MCRC")</f>
        <v>N&amp; MCRC</v>
      </c>
      <c r="I14384" t="str">
        <f>T("KNOXVILLE")</f>
        <v>KNOXVILLE</v>
      </c>
      <c r="J14384" t="str">
        <f>T("TN")</f>
        <v>TN</v>
      </c>
      <c r="K14384" t="str">
        <f>T("000000000000000000")</f>
        <v>000000000000000000</v>
      </c>
      <c r="L14384" t="str">
        <f>T("8655454720")</f>
        <v>8655454720</v>
      </c>
    </row>
    <row r="14385" spans="1:12" x14ac:dyDescent="0.35">
      <c r="A14385" t="str">
        <f t="shared" si="5277"/>
        <v>RCC SOUTHEAST JACKSONVILLE</v>
      </c>
      <c r="B14385" t="str">
        <f>T("2620 LEE RD")</f>
        <v>2620 LEE RD</v>
      </c>
      <c r="C14385" t="str">
        <f>T("")</f>
        <v/>
      </c>
      <c r="D14385" t="str">
        <f>T("COLUMBIA")</f>
        <v>COLUMBIA</v>
      </c>
      <c r="E14385" t="str">
        <f>T("SC")</f>
        <v>SC</v>
      </c>
      <c r="F14385" t="str">
        <f>T("292075401")</f>
        <v>292075401</v>
      </c>
      <c r="G14385" t="str">
        <f>T("2620 LEE RD")</f>
        <v>2620 LEE RD</v>
      </c>
      <c r="H14385" t="str">
        <f>T("")</f>
        <v/>
      </c>
      <c r="I14385" t="str">
        <f>T("COLUMBIA")</f>
        <v>COLUMBIA</v>
      </c>
      <c r="J14385" t="str">
        <f>T("SC")</f>
        <v>SC</v>
      </c>
      <c r="K14385" t="str">
        <f>T("8037651412")</f>
        <v>8037651412</v>
      </c>
      <c r="L14385" t="str">
        <f>T("8037519251")</f>
        <v>8037519251</v>
      </c>
    </row>
    <row r="14386" spans="1:12" x14ac:dyDescent="0.35">
      <c r="A14386" t="str">
        <f t="shared" si="5277"/>
        <v>RCC SOUTHEAST JACKSONVILLE</v>
      </c>
      <c r="B14386" t="str">
        <f>T("2620 LEE RD")</f>
        <v>2620 LEE RD</v>
      </c>
      <c r="C14386" t="str">
        <f>T("")</f>
        <v/>
      </c>
      <c r="D14386" t="str">
        <f>T("COLUMBIA")</f>
        <v>COLUMBIA</v>
      </c>
      <c r="E14386" t="str">
        <f>T("SC")</f>
        <v>SC</v>
      </c>
      <c r="F14386" t="str">
        <f>T("292075401")</f>
        <v>292075401</v>
      </c>
      <c r="G14386" t="str">
        <f>T("2620 LEE ROAD")</f>
        <v>2620 LEE ROAD</v>
      </c>
      <c r="H14386" t="str">
        <f>T("")</f>
        <v/>
      </c>
      <c r="I14386" t="str">
        <f>T("COLUMBIA")</f>
        <v>COLUMBIA</v>
      </c>
      <c r="J14386" t="str">
        <f>T("SC")</f>
        <v>SC</v>
      </c>
      <c r="K14386" t="str">
        <f>T("8037519252")</f>
        <v>8037519252</v>
      </c>
      <c r="L14386" t="str">
        <f>T("8037519251")</f>
        <v>8037519251</v>
      </c>
    </row>
    <row r="14387" spans="1:12" x14ac:dyDescent="0.35">
      <c r="A14387" t="str">
        <f t="shared" si="5277"/>
        <v>RCC SOUTHEAST JACKSONVILLE</v>
      </c>
      <c r="B14387" t="str">
        <f>T("2750 SOUTHSHORE AVENUE")</f>
        <v>2750 SOUTHSHORE AVENUE</v>
      </c>
      <c r="C14387" t="str">
        <f>T("MACDILL AFB")</f>
        <v>MACDILL AFB</v>
      </c>
      <c r="D14387" t="str">
        <f>T("TAMPA")</f>
        <v>TAMPA</v>
      </c>
      <c r="E14387" t="str">
        <f>T("FL")</f>
        <v>FL</v>
      </c>
      <c r="F14387" t="str">
        <f>T("336215022")</f>
        <v>336215022</v>
      </c>
      <c r="G14387" t="str">
        <f>T("2750 SOUTHSHORE AVENUE")</f>
        <v>2750 SOUTHSHORE AVENUE</v>
      </c>
      <c r="H14387" t="str">
        <f>T("MACDILL AFB")</f>
        <v>MACDILL AFB</v>
      </c>
      <c r="I14387" t="str">
        <f>T("TAMPA")</f>
        <v>TAMPA</v>
      </c>
      <c r="J14387" t="str">
        <f>T("FL")</f>
        <v>FL</v>
      </c>
      <c r="K14387" t="str">
        <f>T("8138284124")</f>
        <v>8138284124</v>
      </c>
      <c r="L14387" t="str">
        <f>T("8138283628")</f>
        <v>8138283628</v>
      </c>
    </row>
    <row r="14388" spans="1:12" x14ac:dyDescent="0.35">
      <c r="A14388" t="str">
        <f t="shared" si="5277"/>
        <v>RCC SOUTHEAST JACKSONVILLE</v>
      </c>
      <c r="B14388" t="str">
        <f>T("2750 SOUTHSHORE AVENUE")</f>
        <v>2750 SOUTHSHORE AVENUE</v>
      </c>
      <c r="C14388" t="str">
        <f>T("MACDILL AFB")</f>
        <v>MACDILL AFB</v>
      </c>
      <c r="D14388" t="str">
        <f>T("TAMPA")</f>
        <v>TAMPA</v>
      </c>
      <c r="E14388" t="str">
        <f>T("FL")</f>
        <v>FL</v>
      </c>
      <c r="F14388" t="str">
        <f>T("336215022")</f>
        <v>336215022</v>
      </c>
      <c r="G14388" t="str">
        <f>T("SUPPLY DEPARTMENT")</f>
        <v>SUPPLY DEPARTMENT</v>
      </c>
      <c r="H14388" t="str">
        <f>T("2750 SOUTHSHORE AVE")</f>
        <v>2750 SOUTHSHORE AVE</v>
      </c>
      <c r="I14388" t="str">
        <f>T("MACDILL AFB TAMPA")</f>
        <v>MACDILL AFB TAMPA</v>
      </c>
      <c r="J14388" t="str">
        <f>T("FL")</f>
        <v>FL</v>
      </c>
      <c r="K14388" t="str">
        <f>T("8138284124")</f>
        <v>8138284124</v>
      </c>
      <c r="L14388" t="str">
        <f>T("8138283423")</f>
        <v>8138283423</v>
      </c>
    </row>
    <row r="14389" spans="1:12" x14ac:dyDescent="0.35">
      <c r="A14389" t="str">
        <f t="shared" si="5277"/>
        <v>RCC SOUTHEAST JACKSONVILLE</v>
      </c>
      <c r="B14389" t="str">
        <f>T("2869 CENTRAL AVE")</f>
        <v>2869 CENTRAL AVE</v>
      </c>
      <c r="C14389" t="str">
        <f>T("")</f>
        <v/>
      </c>
      <c r="D14389" t="str">
        <f>T("AUGUSTA")</f>
        <v>AUGUSTA</v>
      </c>
      <c r="E14389" t="str">
        <f>T("GA")</f>
        <v>GA</v>
      </c>
      <c r="F14389" t="str">
        <f>T("309093904")</f>
        <v>309093904</v>
      </c>
      <c r="G14389" t="str">
        <f>T("2869 CENTRAL AVE")</f>
        <v>2869 CENTRAL AVE</v>
      </c>
      <c r="H14389" t="str">
        <f>T("")</f>
        <v/>
      </c>
      <c r="I14389" t="str">
        <f>T("AUGUSTA")</f>
        <v>AUGUSTA</v>
      </c>
      <c r="J14389" t="str">
        <f>T("GA")</f>
        <v>GA</v>
      </c>
      <c r="K14389" t="str">
        <f>T("")</f>
        <v/>
      </c>
      <c r="L14389" t="str">
        <f>T("7067332249")</f>
        <v>7067332249</v>
      </c>
    </row>
    <row r="14390" spans="1:12" x14ac:dyDescent="0.35">
      <c r="A14390" t="str">
        <f t="shared" si="5277"/>
        <v>RCC SOUTHEAST JACKSONVILLE</v>
      </c>
      <c r="B14390" t="str">
        <f>T("2869 CENTRAL AVE")</f>
        <v>2869 CENTRAL AVE</v>
      </c>
      <c r="C14390" t="str">
        <f>T("")</f>
        <v/>
      </c>
      <c r="D14390" t="str">
        <f>T("AUGUSTA")</f>
        <v>AUGUSTA</v>
      </c>
      <c r="E14390" t="str">
        <f>T("GA")</f>
        <v>GA</v>
      </c>
      <c r="F14390" t="str">
        <f>T("309093904")</f>
        <v>309093904</v>
      </c>
      <c r="G14390" t="str">
        <f>T("2869 CENTRAL AVE")</f>
        <v>2869 CENTRAL AVE</v>
      </c>
      <c r="H14390" t="str">
        <f>T("")</f>
        <v/>
      </c>
      <c r="I14390" t="str">
        <f>T("AUGUSTA")</f>
        <v>AUGUSTA</v>
      </c>
      <c r="J14390" t="str">
        <f>T("GA")</f>
        <v>GA</v>
      </c>
      <c r="K14390" t="str">
        <f>T("000000000000000000")</f>
        <v>000000000000000000</v>
      </c>
      <c r="L14390" t="str">
        <f>T("7067332249")</f>
        <v>7067332249</v>
      </c>
    </row>
    <row r="14391" spans="1:12" x14ac:dyDescent="0.35">
      <c r="A14391" t="str">
        <f t="shared" si="5277"/>
        <v>RCC SOUTHEAST JACKSONVILLE</v>
      </c>
      <c r="B14391" t="str">
        <f>T("2869 CENTRAL AVE")</f>
        <v>2869 CENTRAL AVE</v>
      </c>
      <c r="C14391" t="str">
        <f>T("")</f>
        <v/>
      </c>
      <c r="D14391" t="str">
        <f>T("AUGUSTA")</f>
        <v>AUGUSTA</v>
      </c>
      <c r="E14391" t="str">
        <f>T("GA")</f>
        <v>GA</v>
      </c>
      <c r="F14391" t="str">
        <f>T("309093904")</f>
        <v>309093904</v>
      </c>
      <c r="G14391" t="str">
        <f>T("2869 CENTRAL AVEUNE")</f>
        <v>2869 CENTRAL AVEUNE</v>
      </c>
      <c r="H14391" t="str">
        <f>T("")</f>
        <v/>
      </c>
      <c r="I14391" t="str">
        <f>T("AUGUSTA")</f>
        <v>AUGUSTA</v>
      </c>
      <c r="J14391" t="str">
        <f>T("GA")</f>
        <v>GA</v>
      </c>
      <c r="K14391" t="str">
        <f>T("000000000000000000")</f>
        <v>000000000000000000</v>
      </c>
      <c r="L14391" t="str">
        <f>T("7067332249")</f>
        <v>7067332249</v>
      </c>
    </row>
    <row r="14392" spans="1:12" x14ac:dyDescent="0.35">
      <c r="A14392" t="str">
        <f t="shared" si="5277"/>
        <v>RCC SOUTHEAST JACKSONVILLE</v>
      </c>
      <c r="B14392" t="str">
        <f>T("2910 ROBERTS AVE")</f>
        <v>2910 ROBERTS AVE</v>
      </c>
      <c r="C14392" t="str">
        <f>T("")</f>
        <v/>
      </c>
      <c r="D14392" t="str">
        <f>T("TALLAHASSEE")</f>
        <v>TALLAHASSEE</v>
      </c>
      <c r="E14392" t="str">
        <f>T("FL")</f>
        <v>FL</v>
      </c>
      <c r="F14392" t="str">
        <f>T("323105008")</f>
        <v>323105008</v>
      </c>
      <c r="G14392" t="str">
        <f>T("2910 ROBERTS AVE")</f>
        <v>2910 ROBERTS AVE</v>
      </c>
      <c r="H14392" t="str">
        <f>T("")</f>
        <v/>
      </c>
      <c r="I14392" t="str">
        <f>T("TALLAHASSEE")</f>
        <v>TALLAHASSEE</v>
      </c>
      <c r="J14392" t="str">
        <f>T("FL")</f>
        <v>FL</v>
      </c>
      <c r="K14392" t="str">
        <f>T("850-574-3615")</f>
        <v>850-574-3615</v>
      </c>
      <c r="L14392" t="str">
        <f>T("8505766194")</f>
        <v>8505766194</v>
      </c>
    </row>
    <row r="14393" spans="1:12" x14ac:dyDescent="0.35">
      <c r="A14393" t="str">
        <f t="shared" si="5277"/>
        <v>RCC SOUTHEAST JACKSONVILLE</v>
      </c>
      <c r="B14393" t="str">
        <f>T("2910 ROBERTS AVE")</f>
        <v>2910 ROBERTS AVE</v>
      </c>
      <c r="C14393" t="str">
        <f>T("")</f>
        <v/>
      </c>
      <c r="D14393" t="str">
        <f>T("TALLAHASSEE")</f>
        <v>TALLAHASSEE</v>
      </c>
      <c r="E14393" t="str">
        <f>T("FL")</f>
        <v>FL</v>
      </c>
      <c r="F14393" t="str">
        <f>T("323105008")</f>
        <v>323105008</v>
      </c>
      <c r="G14393" t="str">
        <f>T("2910 ROBERTS AVE")</f>
        <v>2910 ROBERTS AVE</v>
      </c>
      <c r="H14393" t="str">
        <f>T("")</f>
        <v/>
      </c>
      <c r="I14393" t="str">
        <f>T("TALLAHASSEE")</f>
        <v>TALLAHASSEE</v>
      </c>
      <c r="J14393" t="str">
        <f>T("FL")</f>
        <v>FL</v>
      </c>
      <c r="K14393" t="str">
        <f>T("8505743615")</f>
        <v>8505743615</v>
      </c>
      <c r="L14393" t="str">
        <f>T("8505766194")</f>
        <v>8505766194</v>
      </c>
    </row>
    <row r="14394" spans="1:12" x14ac:dyDescent="0.35">
      <c r="A14394" t="str">
        <f t="shared" si="5277"/>
        <v>RCC SOUTHEAST JACKSONVILLE</v>
      </c>
      <c r="B14394" t="str">
        <f>T("3837 BINZ-ENGLEMANN RD")</f>
        <v>3837 BINZ-ENGLEMANN RD</v>
      </c>
      <c r="C14394" t="str">
        <f>T("BLDG 3620 FT SAM HOUSTON")</f>
        <v>BLDG 3620 FT SAM HOUSTON</v>
      </c>
      <c r="D14394" t="str">
        <f>T("SAN ANTONIO")</f>
        <v>SAN ANTONIO</v>
      </c>
      <c r="E14394" t="str">
        <f>T("TX")</f>
        <v>TX</v>
      </c>
      <c r="F14394" t="str">
        <f>T("782192219")</f>
        <v>782192219</v>
      </c>
      <c r="G14394" t="str">
        <f>T("3837 BINZ-ENGLEMANN RD")</f>
        <v>3837 BINZ-ENGLEMANN RD</v>
      </c>
      <c r="H14394" t="str">
        <f>T("BLDG 3620 FT SAM HOUSTON")</f>
        <v>BLDG 3620 FT SAM HOUSTON</v>
      </c>
      <c r="I14394" t="str">
        <f>T("SAN ANTONIO")</f>
        <v>SAN ANTONIO</v>
      </c>
      <c r="J14394" t="str">
        <f>T("TX")</f>
        <v>TX</v>
      </c>
      <c r="K14394" t="str">
        <f>T("2102264258")</f>
        <v>2102264258</v>
      </c>
      <c r="L14394" t="str">
        <f>T("2102252997")</f>
        <v>2102252997</v>
      </c>
    </row>
    <row r="14395" spans="1:12" x14ac:dyDescent="0.35">
      <c r="A14395" t="str">
        <f t="shared" si="5277"/>
        <v>RCC SOUTHEAST JACKSONVILLE</v>
      </c>
      <c r="B14395" t="str">
        <f>T("4051 AMNICOLA HWY")</f>
        <v>4051 AMNICOLA HWY</v>
      </c>
      <c r="C14395" t="str">
        <f>T("")</f>
        <v/>
      </c>
      <c r="D14395" t="str">
        <f>T("CHATTANOOGA")</f>
        <v>CHATTANOOGA</v>
      </c>
      <c r="E14395" t="str">
        <f>T("TN")</f>
        <v>TN</v>
      </c>
      <c r="F14395" t="str">
        <f>T("374061008")</f>
        <v>374061008</v>
      </c>
      <c r="G14395" t="str">
        <f>T("4051 AMNICOLA HWY")</f>
        <v>4051 AMNICOLA HWY</v>
      </c>
      <c r="H14395" t="str">
        <f>T("")</f>
        <v/>
      </c>
      <c r="I14395" t="str">
        <f>T("CHATTANOOGA")</f>
        <v>CHATTANOOGA</v>
      </c>
      <c r="J14395" t="str">
        <f>T("TN")</f>
        <v>TN</v>
      </c>
      <c r="K14395" t="str">
        <f>T("000000000000000000")</f>
        <v>000000000000000000</v>
      </c>
      <c r="L14395" t="str">
        <f>T("1111111111")</f>
        <v>1111111111</v>
      </c>
    </row>
    <row r="14396" spans="1:12" x14ac:dyDescent="0.35">
      <c r="A14396" t="str">
        <f t="shared" si="5277"/>
        <v>RCC SOUTHEAST JACKSONVILLE</v>
      </c>
      <c r="B14396" t="str">
        <f>T("4051 AMNICOLA HWY")</f>
        <v>4051 AMNICOLA HWY</v>
      </c>
      <c r="C14396" t="str">
        <f>T("")</f>
        <v/>
      </c>
      <c r="D14396" t="str">
        <f>T("CHATTANOOGA")</f>
        <v>CHATTANOOGA</v>
      </c>
      <c r="E14396" t="str">
        <f>T("TN")</f>
        <v>TN</v>
      </c>
      <c r="F14396" t="str">
        <f>T("374061008")</f>
        <v>374061008</v>
      </c>
      <c r="G14396" t="str">
        <f>T("4051 AMNICOLA HWY")</f>
        <v>4051 AMNICOLA HWY</v>
      </c>
      <c r="H14396" t="str">
        <f>T("")</f>
        <v/>
      </c>
      <c r="I14396" t="str">
        <f>T("CHATTANOOGA")</f>
        <v>CHATTANOOGA</v>
      </c>
      <c r="J14396" t="str">
        <f>T("TN")</f>
        <v>TN</v>
      </c>
      <c r="K14396" t="str">
        <f>T("000000000000000000")</f>
        <v>000000000000000000</v>
      </c>
      <c r="L14396" t="str">
        <f>T("4236988955")</f>
        <v>4236988955</v>
      </c>
    </row>
    <row r="14397" spans="1:12" x14ac:dyDescent="0.35">
      <c r="A14397" t="str">
        <f t="shared" si="5277"/>
        <v>RCC SOUTHEAST JACKSONVILLE</v>
      </c>
      <c r="B14397" t="str">
        <f>T("414 4TH ST")</f>
        <v>414 4TH ST</v>
      </c>
      <c r="C14397" t="str">
        <f>T("")</f>
        <v/>
      </c>
      <c r="D14397" t="str">
        <f>T("COLUMBUS")</f>
        <v>COLUMBUS</v>
      </c>
      <c r="E14397" t="str">
        <f>T("GA")</f>
        <v>GA</v>
      </c>
      <c r="F14397" t="str">
        <f>T("319013247")</f>
        <v>319013247</v>
      </c>
      <c r="G14397" t="str">
        <f>T("414 4TH ST")</f>
        <v>414 4TH ST</v>
      </c>
      <c r="H14397" t="str">
        <f>T("")</f>
        <v/>
      </c>
      <c r="I14397" t="str">
        <f>T("COLUMBUS")</f>
        <v>COLUMBUS</v>
      </c>
      <c r="J14397" t="str">
        <f>T("GA")</f>
        <v>GA</v>
      </c>
      <c r="K14397" t="str">
        <f>T("706-327-7254")</f>
        <v>706-327-7254</v>
      </c>
      <c r="L14397" t="str">
        <f>T("7063234189")</f>
        <v>7063234189</v>
      </c>
    </row>
    <row r="14398" spans="1:12" x14ac:dyDescent="0.35">
      <c r="A14398" t="str">
        <f t="shared" si="5277"/>
        <v>RCC SOUTHEAST JACKSONVILLE</v>
      </c>
      <c r="B14398" t="str">
        <f>T("414 4TH ST")</f>
        <v>414 4TH ST</v>
      </c>
      <c r="C14398" t="str">
        <f>T("")</f>
        <v/>
      </c>
      <c r="D14398" t="str">
        <f>T("COLUMBUS")</f>
        <v>COLUMBUS</v>
      </c>
      <c r="E14398" t="str">
        <f>T("GA")</f>
        <v>GA</v>
      </c>
      <c r="F14398" t="str">
        <f>T("319013247")</f>
        <v>319013247</v>
      </c>
      <c r="G14398" t="str">
        <f>T("414 4TH STREET")</f>
        <v>414 4TH STREET</v>
      </c>
      <c r="H14398" t="str">
        <f>T("")</f>
        <v/>
      </c>
      <c r="I14398" t="str">
        <f>T("COLUMBUS")</f>
        <v>COLUMBUS</v>
      </c>
      <c r="J14398" t="str">
        <f>T("GA")</f>
        <v>GA</v>
      </c>
      <c r="K14398" t="str">
        <f>T("7063277254")</f>
        <v>7063277254</v>
      </c>
      <c r="L14398" t="str">
        <f>T("7063224670")</f>
        <v>7063224670</v>
      </c>
    </row>
    <row r="14399" spans="1:12" x14ac:dyDescent="0.35">
      <c r="A14399" t="str">
        <f t="shared" si="5277"/>
        <v>RCC SOUTHEAST JACKSONVILLE</v>
      </c>
      <c r="B14399" t="str">
        <f>T("4601 FAIRVIEW DR")</f>
        <v>4601 FAIRVIEW DR</v>
      </c>
      <c r="C14399" t="str">
        <f>T("STE 2")</f>
        <v>STE 2</v>
      </c>
      <c r="D14399" t="str">
        <f>T("AUSTIN")</f>
        <v>AUSTIN</v>
      </c>
      <c r="E14399" t="str">
        <f>T("TX")</f>
        <v>TX</v>
      </c>
      <c r="F14399" t="str">
        <f>T("787315312")</f>
        <v>787315312</v>
      </c>
      <c r="G14399" t="str">
        <f>T("4601 FAIRVIEW DR")</f>
        <v>4601 FAIRVIEW DR</v>
      </c>
      <c r="H14399" t="str">
        <f>T("STE 2")</f>
        <v>STE 2</v>
      </c>
      <c r="I14399" t="str">
        <f>T("AUSTIN")</f>
        <v>AUSTIN</v>
      </c>
      <c r="J14399" t="str">
        <f>T("TX")</f>
        <v>TX</v>
      </c>
      <c r="K14399" t="str">
        <f>T("")</f>
        <v/>
      </c>
      <c r="L14399" t="str">
        <f>T("5124521243")</f>
        <v>5124521243</v>
      </c>
    </row>
    <row r="14400" spans="1:12" x14ac:dyDescent="0.35">
      <c r="A14400" t="str">
        <f t="shared" si="5277"/>
        <v>RCC SOUTHEAST JACKSONVILLE</v>
      </c>
      <c r="B14400" t="str">
        <f>T("550 RABY AVE")</f>
        <v>550 RABY AVE</v>
      </c>
      <c r="C14400" t="str">
        <f>T("BLDG 845")</f>
        <v>BLDG 845</v>
      </c>
      <c r="D14400" t="str">
        <f>T("PENSACOLA")</f>
        <v>PENSACOLA</v>
      </c>
      <c r="E14400" t="str">
        <f>T("FL")</f>
        <v>FL</v>
      </c>
      <c r="F14400" t="str">
        <f>T("325095228")</f>
        <v>325095228</v>
      </c>
      <c r="G14400" t="str">
        <f>T("550 RABY AVE")</f>
        <v>550 RABY AVE</v>
      </c>
      <c r="H14400" t="str">
        <f>T("BLDG 845")</f>
        <v>BLDG 845</v>
      </c>
      <c r="I14400" t="str">
        <f>T("PENSACOLA")</f>
        <v>PENSACOLA</v>
      </c>
      <c r="J14400" t="str">
        <f>T("FL")</f>
        <v>FL</v>
      </c>
      <c r="K14400" t="str">
        <f>T("000000000000000000")</f>
        <v>000000000000000000</v>
      </c>
      <c r="L14400" t="str">
        <f>T("8504521529")</f>
        <v>8504521529</v>
      </c>
    </row>
    <row r="14401" spans="1:12" x14ac:dyDescent="0.35">
      <c r="A14401" t="str">
        <f t="shared" si="5277"/>
        <v>RCC SOUTHEAST JACKSONVILLE</v>
      </c>
      <c r="B14401" t="str">
        <f>T("550 RABY AVE")</f>
        <v>550 RABY AVE</v>
      </c>
      <c r="C14401" t="str">
        <f>T("BLDG 845")</f>
        <v>BLDG 845</v>
      </c>
      <c r="D14401" t="str">
        <f>T("PENSACOLA")</f>
        <v>PENSACOLA</v>
      </c>
      <c r="E14401" t="str">
        <f>T("FL")</f>
        <v>FL</v>
      </c>
      <c r="F14401" t="str">
        <f>T("325095228")</f>
        <v>325095228</v>
      </c>
      <c r="G14401" t="str">
        <f>T("550 RABY AVE")</f>
        <v>550 RABY AVE</v>
      </c>
      <c r="H14401" t="str">
        <f>T("BLDG 845")</f>
        <v>BLDG 845</v>
      </c>
      <c r="I14401" t="str">
        <f>T("PENSACOLA")</f>
        <v>PENSACOLA</v>
      </c>
      <c r="J14401" t="str">
        <f>T("FL")</f>
        <v>FL</v>
      </c>
      <c r="K14401" t="str">
        <f>T("850-452-1110")</f>
        <v>850-452-1110</v>
      </c>
      <c r="L14401" t="str">
        <f>T("8504521529")</f>
        <v>8504521529</v>
      </c>
    </row>
    <row r="14402" spans="1:12" x14ac:dyDescent="0.35">
      <c r="A14402" t="str">
        <f t="shared" si="5277"/>
        <v>RCC SOUTHEAST JACKSONVILLE</v>
      </c>
      <c r="B14402" t="str">
        <f>T("550 RABY AVE")</f>
        <v>550 RABY AVE</v>
      </c>
      <c r="C14402" t="str">
        <f>T("BLDG 845")</f>
        <v>BLDG 845</v>
      </c>
      <c r="D14402" t="str">
        <f>T("PENSACOLA")</f>
        <v>PENSACOLA</v>
      </c>
      <c r="E14402" t="str">
        <f>T("FL")</f>
        <v>FL</v>
      </c>
      <c r="F14402" t="str">
        <f>T("325095228")</f>
        <v>325095228</v>
      </c>
      <c r="G14402" t="str">
        <f>T("550 RABY AVE")</f>
        <v>550 RABY AVE</v>
      </c>
      <c r="H14402" t="str">
        <f>T("BLDG 845")</f>
        <v>BLDG 845</v>
      </c>
      <c r="I14402" t="str">
        <f>T("PENSACOLA")</f>
        <v>PENSACOLA</v>
      </c>
      <c r="J14402" t="str">
        <f>T("FL")</f>
        <v>FL</v>
      </c>
      <c r="K14402" t="str">
        <f>T("8504521110")</f>
        <v>8504521110</v>
      </c>
      <c r="L14402" t="str">
        <f>T("8504521470")</f>
        <v>8504521470</v>
      </c>
    </row>
    <row r="14403" spans="1:12" x14ac:dyDescent="0.35">
      <c r="A14403" t="str">
        <f t="shared" ref="A14403:A14424" si="5278">T("RCC SOUTHEAST JACKSONVILLE")</f>
        <v>RCC SOUTHEAST JACKSONVILLE</v>
      </c>
      <c r="B14403" t="str">
        <f>T("5722 INTERGRITY DR")</f>
        <v>5722 INTERGRITY DR</v>
      </c>
      <c r="C14403" t="str">
        <f>T("BLDG N 930")</f>
        <v>BLDG N 930</v>
      </c>
      <c r="D14403" t="str">
        <f>T("MILLINGTON")</f>
        <v>MILLINGTON</v>
      </c>
      <c r="E14403" t="str">
        <f>T("TN")</f>
        <v>TN</v>
      </c>
      <c r="F14403" t="str">
        <f>T("380545028")</f>
        <v>380545028</v>
      </c>
      <c r="G14403" t="str">
        <f>T("5722 INTERGRITY DR")</f>
        <v>5722 INTERGRITY DR</v>
      </c>
      <c r="H14403" t="str">
        <f>T("BLDG N 930")</f>
        <v>BLDG N 930</v>
      </c>
      <c r="I14403" t="str">
        <f>T("MILLINGTON")</f>
        <v>MILLINGTON</v>
      </c>
      <c r="J14403" t="str">
        <f>T("TN")</f>
        <v>TN</v>
      </c>
      <c r="K14403" t="str">
        <f>T("000000000000000000")</f>
        <v>000000000000000000</v>
      </c>
      <c r="L14403" t="str">
        <f>T("9018747144")</f>
        <v>9018747144</v>
      </c>
    </row>
    <row r="14404" spans="1:12" x14ac:dyDescent="0.35">
      <c r="A14404" t="str">
        <f t="shared" si="5278"/>
        <v>RCC SOUTHEAST JACKSONVILLE</v>
      </c>
      <c r="B14404" t="str">
        <f>T("5722 INTERGRITY DR")</f>
        <v>5722 INTERGRITY DR</v>
      </c>
      <c r="C14404" t="str">
        <f>T("BLDG N 930")</f>
        <v>BLDG N 930</v>
      </c>
      <c r="D14404" t="str">
        <f>T("MILLINGTON")</f>
        <v>MILLINGTON</v>
      </c>
      <c r="E14404" t="str">
        <f>T("TN")</f>
        <v>TN</v>
      </c>
      <c r="F14404" t="str">
        <f>T("380545028")</f>
        <v>380545028</v>
      </c>
      <c r="G14404" t="str">
        <f>T("5722 INTERGRITY DR")</f>
        <v>5722 INTERGRITY DR</v>
      </c>
      <c r="H14404" t="str">
        <f>T("BLDG N 930")</f>
        <v>BLDG N 930</v>
      </c>
      <c r="I14404" t="str">
        <f>T("MILLINGTON")</f>
        <v>MILLINGTON</v>
      </c>
      <c r="J14404" t="str">
        <f>T("TN")</f>
        <v>TN</v>
      </c>
      <c r="K14404" t="str">
        <f>T("000000000000000000")</f>
        <v>000000000000000000</v>
      </c>
      <c r="L14404" t="str">
        <f>T("9018747530")</f>
        <v>9018747530</v>
      </c>
    </row>
    <row r="14405" spans="1:12" x14ac:dyDescent="0.35">
      <c r="A14405" t="str">
        <f t="shared" si="5278"/>
        <v>RCC SOUTHEAST JACKSONVILLE</v>
      </c>
      <c r="B14405" t="str">
        <f>T("5722 INTERGRITY DR")</f>
        <v>5722 INTERGRITY DR</v>
      </c>
      <c r="C14405" t="str">
        <f>T("BLDG N 930")</f>
        <v>BLDG N 930</v>
      </c>
      <c r="D14405" t="str">
        <f>T("MILLINGTON")</f>
        <v>MILLINGTON</v>
      </c>
      <c r="E14405" t="str">
        <f>T("TN")</f>
        <v>TN</v>
      </c>
      <c r="F14405" t="str">
        <f>T("380545028")</f>
        <v>380545028</v>
      </c>
      <c r="G14405" t="str">
        <f>T("7994 HORNET AVENUE")</f>
        <v>7994 HORNET AVENUE</v>
      </c>
      <c r="H14405" t="str">
        <f>T("BLDG N930")</f>
        <v>BLDG N930</v>
      </c>
      <c r="I14405" t="str">
        <f>T("MILLINGTON")</f>
        <v>MILLINGTON</v>
      </c>
      <c r="J14405" t="str">
        <f>T("TN")</f>
        <v>TN</v>
      </c>
      <c r="K14405" t="str">
        <f>T("000000000000000000")</f>
        <v>000000000000000000</v>
      </c>
      <c r="L14405" t="str">
        <f>T("9018747528")</f>
        <v>9018747528</v>
      </c>
    </row>
    <row r="14406" spans="1:12" x14ac:dyDescent="0.35">
      <c r="A14406" t="str">
        <f t="shared" si="5278"/>
        <v>RCC SOUTHEAST JACKSONVILLE</v>
      </c>
      <c r="B14406" t="str">
        <f>T("669 PERIMETER RD")</f>
        <v>669 PERIMETER RD</v>
      </c>
      <c r="C14406" t="str">
        <f>T("")</f>
        <v/>
      </c>
      <c r="D14406" t="str">
        <f>T("GREENVILLE")</f>
        <v>GREENVILLE</v>
      </c>
      <c r="E14406" t="str">
        <f>T("SC")</f>
        <v>SC</v>
      </c>
      <c r="F14406" t="str">
        <f>T("296055452")</f>
        <v>296055452</v>
      </c>
      <c r="G14406" t="str">
        <f>T("669 PERIMETER")</f>
        <v>669 PERIMETER</v>
      </c>
      <c r="H14406" t="str">
        <f>T("")</f>
        <v/>
      </c>
      <c r="I14406" t="str">
        <f>T("GREENVILLE")</f>
        <v>GREENVILLE</v>
      </c>
      <c r="J14406" t="str">
        <f>T("SC")</f>
        <v>SC</v>
      </c>
      <c r="K14406" t="str">
        <f>T("8642779794")</f>
        <v>8642779794</v>
      </c>
      <c r="L14406" t="str">
        <f>T("8642779775")</f>
        <v>8642779775</v>
      </c>
    </row>
    <row r="14407" spans="1:12" x14ac:dyDescent="0.35">
      <c r="A14407" t="str">
        <f t="shared" si="5278"/>
        <v>RCC SOUTHEAST JACKSONVILLE</v>
      </c>
      <c r="B14407" t="str">
        <f>T("669 PERIMETER RD")</f>
        <v>669 PERIMETER RD</v>
      </c>
      <c r="C14407" t="str">
        <f>T("")</f>
        <v/>
      </c>
      <c r="D14407" t="str">
        <f>T("GREENVILLE")</f>
        <v>GREENVILLE</v>
      </c>
      <c r="E14407" t="str">
        <f>T("SC")</f>
        <v>SC</v>
      </c>
      <c r="F14407" t="str">
        <f>T("296055452")</f>
        <v>296055452</v>
      </c>
      <c r="G14407" t="str">
        <f>T("669 PERIMETER RD")</f>
        <v>669 PERIMETER RD</v>
      </c>
      <c r="H14407" t="str">
        <f>T("")</f>
        <v/>
      </c>
      <c r="I14407" t="str">
        <f>T("GREENVILLE")</f>
        <v>GREENVILLE</v>
      </c>
      <c r="J14407" t="str">
        <f>T("SC")</f>
        <v>SC</v>
      </c>
      <c r="K14407" t="str">
        <f>T("")</f>
        <v/>
      </c>
      <c r="L14407" t="str">
        <f>T("8645522911")</f>
        <v>8645522911</v>
      </c>
    </row>
    <row r="14408" spans="1:12" x14ac:dyDescent="0.35">
      <c r="A14408" t="str">
        <f t="shared" si="5278"/>
        <v>RCC SOUTHEAST JACKSONVILLE</v>
      </c>
      <c r="B14408" t="str">
        <f>T("669 PERIMETER RD")</f>
        <v>669 PERIMETER RD</v>
      </c>
      <c r="C14408" t="str">
        <f>T("")</f>
        <v/>
      </c>
      <c r="D14408" t="str">
        <f>T("GREENVILLE")</f>
        <v>GREENVILLE</v>
      </c>
      <c r="E14408" t="str">
        <f>T("SC")</f>
        <v>SC</v>
      </c>
      <c r="F14408" t="str">
        <f>T("296055452")</f>
        <v>296055452</v>
      </c>
      <c r="G14408" t="str">
        <f>T("669 PERIMETER RD")</f>
        <v>669 PERIMETER RD</v>
      </c>
      <c r="H14408" t="str">
        <f>T("")</f>
        <v/>
      </c>
      <c r="I14408" t="str">
        <f>T("GREENVILLE")</f>
        <v>GREENVILLE</v>
      </c>
      <c r="J14408" t="str">
        <f>T("SC")</f>
        <v>SC</v>
      </c>
      <c r="K14408" t="str">
        <f>T("8642779794")</f>
        <v>8642779794</v>
      </c>
      <c r="L14408" t="str">
        <f>T("8645522909")</f>
        <v>8645522909</v>
      </c>
    </row>
    <row r="14409" spans="1:12" x14ac:dyDescent="0.35">
      <c r="A14409" t="str">
        <f t="shared" si="5278"/>
        <v>RCC SOUTHEAST JACKSONVILLE</v>
      </c>
      <c r="B14409" t="str">
        <f>T("686 FITZHUGH BLVD")</f>
        <v>686 FITZHUGH BLVD</v>
      </c>
      <c r="C14409" t="str">
        <f>T("BLDG 686")</f>
        <v>BLDG 686</v>
      </c>
      <c r="D14409" t="str">
        <f>T("SMYRNA")</f>
        <v>SMYRNA</v>
      </c>
      <c r="E14409" t="str">
        <f>T("TN")</f>
        <v>TN</v>
      </c>
      <c r="F14409" t="str">
        <f>T("371672069")</f>
        <v>371672069</v>
      </c>
      <c r="G14409" t="str">
        <f>T("686 FITZHUGH BLVD")</f>
        <v>686 FITZHUGH BLVD</v>
      </c>
      <c r="H14409" t="str">
        <f>T("BLDG 686")</f>
        <v>BLDG 686</v>
      </c>
      <c r="I14409" t="str">
        <f>T("SMYRNA")</f>
        <v>SMYRNA</v>
      </c>
      <c r="J14409" t="str">
        <f>T("TN")</f>
        <v>TN</v>
      </c>
      <c r="K14409" t="str">
        <f>T("000000000000000000")</f>
        <v>000000000000000000</v>
      </c>
      <c r="L14409" t="str">
        <f>T("6152676346")</f>
        <v>6152676346</v>
      </c>
    </row>
    <row r="14410" spans="1:12" x14ac:dyDescent="0.35">
      <c r="A14410" t="str">
        <f t="shared" si="5278"/>
        <v>RCC SOUTHEAST JACKSONVILLE</v>
      </c>
      <c r="B14410" t="str">
        <f>T("686 FITZHUGH BLVD")</f>
        <v>686 FITZHUGH BLVD</v>
      </c>
      <c r="C14410" t="str">
        <f>T("BLDG 686")</f>
        <v>BLDG 686</v>
      </c>
      <c r="D14410" t="str">
        <f>T("SMYRNA")</f>
        <v>SMYRNA</v>
      </c>
      <c r="E14410" t="str">
        <f>T("TN")</f>
        <v>TN</v>
      </c>
      <c r="F14410" t="str">
        <f>T("371672069")</f>
        <v>371672069</v>
      </c>
      <c r="G14410" t="str">
        <f>T("686 FITZHUGH BLVD")</f>
        <v>686 FITZHUGH BLVD</v>
      </c>
      <c r="H14410" t="str">
        <f>T("BLDG 686")</f>
        <v>BLDG 686</v>
      </c>
      <c r="I14410" t="str">
        <f>T("SMYRNA")</f>
        <v>SMYRNA</v>
      </c>
      <c r="J14410" t="str">
        <f>T("TN")</f>
        <v>TN</v>
      </c>
      <c r="K14410" t="str">
        <f>T("000000000000000000")</f>
        <v>000000000000000000</v>
      </c>
      <c r="L14410" t="str">
        <f>T("6152676350")</f>
        <v>6152676350</v>
      </c>
    </row>
    <row r="14411" spans="1:12" x14ac:dyDescent="0.35">
      <c r="A14411" t="str">
        <f t="shared" si="5278"/>
        <v>RCC SOUTHEAST JACKSONVILLE</v>
      </c>
      <c r="B14411" t="str">
        <f>T("9500 ARMED FORCES DR")</f>
        <v>9500 ARMED FORCES DR</v>
      </c>
      <c r="C14411" t="str">
        <f>T("SUITE 200")</f>
        <v>SUITE 200</v>
      </c>
      <c r="D14411" t="str">
        <f>T("ORLANDO")</f>
        <v>ORLANDO</v>
      </c>
      <c r="E14411" t="str">
        <f>T("FL")</f>
        <v>FL</v>
      </c>
      <c r="F14411" t="str">
        <f>T("328275226")</f>
        <v>328275226</v>
      </c>
      <c r="G14411" t="str">
        <f>T("9500 ARMED FORCES DR")</f>
        <v>9500 ARMED FORCES DR</v>
      </c>
      <c r="H14411" t="str">
        <f>T("SUITE 200")</f>
        <v>SUITE 200</v>
      </c>
      <c r="I14411" t="str">
        <f>T("ORLANDO")</f>
        <v>ORLANDO</v>
      </c>
      <c r="J14411" t="str">
        <f>T("FL")</f>
        <v>FL</v>
      </c>
      <c r="K14411" t="str">
        <f>T("")</f>
        <v/>
      </c>
      <c r="L14411" t="str">
        <f>T("1111111111")</f>
        <v>1111111111</v>
      </c>
    </row>
    <row r="14412" spans="1:12" x14ac:dyDescent="0.35">
      <c r="A14412" t="str">
        <f t="shared" si="5278"/>
        <v>RCC SOUTHEAST JACKSONVILLE</v>
      </c>
      <c r="B14412" t="str">
        <f>T("9500 ARMED FORCES DR")</f>
        <v>9500 ARMED FORCES DR</v>
      </c>
      <c r="C14412" t="str">
        <f>T("SUITE 200")</f>
        <v>SUITE 200</v>
      </c>
      <c r="D14412" t="str">
        <f>T("ORLANDO")</f>
        <v>ORLANDO</v>
      </c>
      <c r="E14412" t="str">
        <f>T("FL")</f>
        <v>FL</v>
      </c>
      <c r="F14412" t="str">
        <f>T("328275226")</f>
        <v>328275226</v>
      </c>
      <c r="G14412" t="str">
        <f>T("9500 ARMED FORCES RESERVE DR")</f>
        <v>9500 ARMED FORCES RESERVE DR</v>
      </c>
      <c r="H14412" t="str">
        <f>T("SUITE 200")</f>
        <v>SUITE 200</v>
      </c>
      <c r="I14412" t="str">
        <f>T("ORLANDO")</f>
        <v>ORLANDO</v>
      </c>
      <c r="J14412" t="str">
        <f>T("FL")</f>
        <v>FL</v>
      </c>
      <c r="K14412" t="str">
        <f>T("000000000000000000")</f>
        <v>000000000000000000</v>
      </c>
      <c r="L14412" t="str">
        <f>T("4072405939")</f>
        <v>4072405939</v>
      </c>
    </row>
    <row r="14413" spans="1:12" x14ac:dyDescent="0.35">
      <c r="A14413" t="str">
        <f t="shared" si="5278"/>
        <v>RCC SOUTHEAST JACKSONVILLE</v>
      </c>
      <c r="B14413" t="str">
        <f>T("9500 ARMED FORCES DR")</f>
        <v>9500 ARMED FORCES DR</v>
      </c>
      <c r="C14413" t="str">
        <f>T("SUITE 200")</f>
        <v>SUITE 200</v>
      </c>
      <c r="D14413" t="str">
        <f>T("ORLANDO")</f>
        <v>ORLANDO</v>
      </c>
      <c r="E14413" t="str">
        <f>T("FL")</f>
        <v>FL</v>
      </c>
      <c r="F14413" t="str">
        <f>T("328275226")</f>
        <v>328275226</v>
      </c>
      <c r="G14413" t="str">
        <f>T("9500 ARMED FORCES RESERVE DRIVE")</f>
        <v>9500 ARMED FORCES RESERVE DRIVE</v>
      </c>
      <c r="H14413" t="str">
        <f>T("STE 200")</f>
        <v>STE 200</v>
      </c>
      <c r="I14413" t="str">
        <f>T("ORLANDO")</f>
        <v>ORLANDO</v>
      </c>
      <c r="J14413" t="str">
        <f>T("FL")</f>
        <v>FL</v>
      </c>
      <c r="K14413" t="str">
        <f>T("4078166516")</f>
        <v>4078166516</v>
      </c>
      <c r="L14413" t="str">
        <f>T("4072405939")</f>
        <v>4072405939</v>
      </c>
    </row>
    <row r="14414" spans="1:12" x14ac:dyDescent="0.35">
      <c r="A14414" t="str">
        <f t="shared" si="5278"/>
        <v>RCC SOUTHEAST JACKSONVILLE</v>
      </c>
      <c r="B14414" t="str">
        <f>T("9500 ARMED FORCES DR")</f>
        <v>9500 ARMED FORCES DR</v>
      </c>
      <c r="C14414" t="str">
        <f>T("SUITE 200")</f>
        <v>SUITE 200</v>
      </c>
      <c r="D14414" t="str">
        <f>T("ORLANDO")</f>
        <v>ORLANDO</v>
      </c>
      <c r="E14414" t="str">
        <f>T("FL")</f>
        <v>FL</v>
      </c>
      <c r="F14414" t="str">
        <f>T("328275226")</f>
        <v>328275226</v>
      </c>
      <c r="G14414" t="str">
        <f>T("9500 ARMED FORCES RESERVE DRIVE")</f>
        <v>9500 ARMED FORCES RESERVE DRIVE</v>
      </c>
      <c r="H14414" t="str">
        <f>T("SUITE 200")</f>
        <v>SUITE 200</v>
      </c>
      <c r="I14414" t="str">
        <f>T("ORLANDO")</f>
        <v>ORLANDO</v>
      </c>
      <c r="J14414" t="str">
        <f>T("FL")</f>
        <v>FL</v>
      </c>
      <c r="K14414" t="str">
        <f>T("4078166516")</f>
        <v>4078166516</v>
      </c>
      <c r="L14414" t="str">
        <f>T("4072405939")</f>
        <v>4072405939</v>
      </c>
    </row>
    <row r="14415" spans="1:12" x14ac:dyDescent="0.35">
      <c r="A14415" t="str">
        <f t="shared" si="5278"/>
        <v>RCC SOUTHEAST JACKSONVILLE</v>
      </c>
      <c r="B14415" t="str">
        <f>T("BLDG 74")</f>
        <v>BLDG 74</v>
      </c>
      <c r="C14415" t="str">
        <f>T("MILES LOOP ROAD")</f>
        <v>MILES LOOP ROAD</v>
      </c>
      <c r="D14415" t="str">
        <f>T("FORT BUCHANAN")</f>
        <v>FORT BUCHANAN</v>
      </c>
      <c r="E14415" t="str">
        <f>T("PR")</f>
        <v>PR</v>
      </c>
      <c r="F14415" t="str">
        <f>T("009344571")</f>
        <v>009344571</v>
      </c>
      <c r="G14415" t="str">
        <f>T("BLDG 74")</f>
        <v>BLDG 74</v>
      </c>
      <c r="H14415" t="str">
        <f>T("MILES LOOP ROAD")</f>
        <v>MILES LOOP ROAD</v>
      </c>
      <c r="I14415" t="str">
        <f>T("FORT BUCHANAN")</f>
        <v>FORT BUCHANAN</v>
      </c>
      <c r="J14415" t="str">
        <f>T("PR")</f>
        <v>PR</v>
      </c>
      <c r="K14415" t="str">
        <f>T("7877072331")</f>
        <v>7877072331</v>
      </c>
      <c r="L14415" t="str">
        <f>T("7877072343")</f>
        <v>7877072343</v>
      </c>
    </row>
    <row r="14416" spans="1:12" x14ac:dyDescent="0.35">
      <c r="A14416" t="str">
        <f t="shared" si="5278"/>
        <v>RCC SOUTHEAST JACKSONVILLE</v>
      </c>
      <c r="B14416" t="str">
        <f>T("BLDG 74")</f>
        <v>BLDG 74</v>
      </c>
      <c r="C14416" t="str">
        <f>T("MILES LOOP ROAD")</f>
        <v>MILES LOOP ROAD</v>
      </c>
      <c r="D14416" t="str">
        <f>T("FORT BUCHANAN")</f>
        <v>FORT BUCHANAN</v>
      </c>
      <c r="E14416" t="str">
        <f>T("PR")</f>
        <v>PR</v>
      </c>
      <c r="F14416" t="str">
        <f>T("009344571")</f>
        <v>009344571</v>
      </c>
      <c r="G14416" t="str">
        <f>T("BUILDING 74")</f>
        <v>BUILDING 74</v>
      </c>
      <c r="H14416" t="str">
        <f>T("MILES LOOP")</f>
        <v>MILES LOOP</v>
      </c>
      <c r="I14416" t="str">
        <f>T("FT BUCHANAN")</f>
        <v>FT BUCHANAN</v>
      </c>
      <c r="J14416" t="str">
        <f>T("PR")</f>
        <v>PR</v>
      </c>
      <c r="K14416" t="str">
        <f>T("7877072385")</f>
        <v>7877072385</v>
      </c>
      <c r="L14416" t="str">
        <f>T("7877072329")</f>
        <v>7877072329</v>
      </c>
    </row>
    <row r="14417" spans="1:12" x14ac:dyDescent="0.35">
      <c r="A14417" t="str">
        <f t="shared" si="5278"/>
        <v>RCC SOUTHEAST JACKSONVILLE</v>
      </c>
      <c r="B14417" t="str">
        <f>T("BLDG 74")</f>
        <v>BLDG 74</v>
      </c>
      <c r="C14417" t="str">
        <f>T("MILES LOOP ROAD")</f>
        <v>MILES LOOP ROAD</v>
      </c>
      <c r="D14417" t="str">
        <f>T("FORT BUCHANAN")</f>
        <v>FORT BUCHANAN</v>
      </c>
      <c r="E14417" t="str">
        <f>T("PR")</f>
        <v>PR</v>
      </c>
      <c r="F14417" t="str">
        <f>T("009344571")</f>
        <v>009344571</v>
      </c>
      <c r="G14417" t="str">
        <f>T("MILES LOOP ROAD")</f>
        <v>MILES LOOP ROAD</v>
      </c>
      <c r="H14417" t="str">
        <f>T("BUILDING 74")</f>
        <v>BUILDING 74</v>
      </c>
      <c r="I14417" t="str">
        <f>T("FORT BUCHANAN")</f>
        <v>FORT BUCHANAN</v>
      </c>
      <c r="J14417" t="str">
        <f>T("PR")</f>
        <v>PR</v>
      </c>
      <c r="K14417" t="str">
        <f>T("000000000000000000")</f>
        <v>000000000000000000</v>
      </c>
      <c r="L14417" t="str">
        <f>T("7877072329")</f>
        <v>7877072329</v>
      </c>
    </row>
    <row r="14418" spans="1:12" x14ac:dyDescent="0.35">
      <c r="A14418" t="str">
        <f t="shared" si="5278"/>
        <v>RCC SOUTHEAST JACKSONVILLE</v>
      </c>
      <c r="B14418" t="str">
        <f>T("BLDG 966")</f>
        <v>BLDG 966</v>
      </c>
      <c r="C14418" t="str">
        <f>T("BOX 90")</f>
        <v>BOX 90</v>
      </c>
      <c r="D14418" t="str">
        <f t="shared" ref="D14418:D14424" si="5279">T("JACKSONVILLE")</f>
        <v>JACKSONVILLE</v>
      </c>
      <c r="E14418" t="str">
        <f t="shared" ref="E14418:E14424" si="5280">T("FL")</f>
        <v>FL</v>
      </c>
      <c r="F14418" t="str">
        <f t="shared" ref="F14418:F14424" si="5281">T("322120000")</f>
        <v>322120000</v>
      </c>
      <c r="G14418" t="str">
        <f>T("BLDG 966")</f>
        <v>BLDG 966</v>
      </c>
      <c r="H14418" t="str">
        <f>T("BOX 90")</f>
        <v>BOX 90</v>
      </c>
      <c r="I14418" t="str">
        <f t="shared" ref="I14418:I14424" si="5282">T("JACKSONVILLE")</f>
        <v>JACKSONVILLE</v>
      </c>
      <c r="J14418" t="str">
        <f t="shared" ref="J14418:J14424" si="5283">T("FL")</f>
        <v>FL</v>
      </c>
      <c r="K14418" t="str">
        <f>T("9045420001")</f>
        <v>9045420001</v>
      </c>
      <c r="L14418" t="str">
        <f>T("9045424500")</f>
        <v>9045424500</v>
      </c>
    </row>
    <row r="14419" spans="1:12" x14ac:dyDescent="0.35">
      <c r="A14419" t="str">
        <f t="shared" si="5278"/>
        <v>RCC SOUTHEAST JACKSONVILLE</v>
      </c>
      <c r="B14419" t="str">
        <f>T("BLDG 966")</f>
        <v>BLDG 966</v>
      </c>
      <c r="C14419" t="str">
        <f>T("BOX 90")</f>
        <v>BOX 90</v>
      </c>
      <c r="D14419" t="str">
        <f t="shared" si="5279"/>
        <v>JACKSONVILLE</v>
      </c>
      <c r="E14419" t="str">
        <f t="shared" si="5280"/>
        <v>FL</v>
      </c>
      <c r="F14419" t="str">
        <f t="shared" si="5281"/>
        <v>322120000</v>
      </c>
      <c r="G14419" t="str">
        <f>T("BLDG 966")</f>
        <v>BLDG 966</v>
      </c>
      <c r="H14419" t="str">
        <f>T("BOX 90")</f>
        <v>BOX 90</v>
      </c>
      <c r="I14419" t="str">
        <f t="shared" si="5282"/>
        <v>JACKSONVILLE</v>
      </c>
      <c r="J14419" t="str">
        <f t="shared" si="5283"/>
        <v>FL</v>
      </c>
      <c r="K14419" t="str">
        <f>T("9045424810")</f>
        <v>9045424810</v>
      </c>
      <c r="L14419" t="str">
        <f>T("9045422557")</f>
        <v>9045422557</v>
      </c>
    </row>
    <row r="14420" spans="1:12" x14ac:dyDescent="0.35">
      <c r="A14420" t="str">
        <f t="shared" si="5278"/>
        <v>RCC SOUTHEAST JACKSONVILLE</v>
      </c>
      <c r="B14420" t="str">
        <f>T("BLDG 966")</f>
        <v>BLDG 966</v>
      </c>
      <c r="C14420" t="str">
        <f>T("BOX 90")</f>
        <v>BOX 90</v>
      </c>
      <c r="D14420" t="str">
        <f t="shared" si="5279"/>
        <v>JACKSONVILLE</v>
      </c>
      <c r="E14420" t="str">
        <f t="shared" si="5280"/>
        <v>FL</v>
      </c>
      <c r="F14420" t="str">
        <f t="shared" si="5281"/>
        <v>322120000</v>
      </c>
      <c r="G14420" t="str">
        <f>T("BLDG 966")</f>
        <v>BLDG 966</v>
      </c>
      <c r="H14420" t="str">
        <f>T("BOX 90")</f>
        <v>BOX 90</v>
      </c>
      <c r="I14420" t="str">
        <f t="shared" si="5282"/>
        <v>JACKSONVILLE</v>
      </c>
      <c r="J14420" t="str">
        <f t="shared" si="5283"/>
        <v>FL</v>
      </c>
      <c r="K14420" t="str">
        <f>T("9045424810")</f>
        <v>9045424810</v>
      </c>
      <c r="L14420" t="str">
        <f>T("9045424520")</f>
        <v>9045424520</v>
      </c>
    </row>
    <row r="14421" spans="1:12" x14ac:dyDescent="0.35">
      <c r="A14421" t="str">
        <f t="shared" si="5278"/>
        <v>RCC SOUTHEAST JACKSONVILLE</v>
      </c>
      <c r="B14421" t="str">
        <f>T("BLDG 966")</f>
        <v>BLDG 966</v>
      </c>
      <c r="C14421" t="str">
        <f>T("BOX 90")</f>
        <v>BOX 90</v>
      </c>
      <c r="D14421" t="str">
        <f t="shared" si="5279"/>
        <v>JACKSONVILLE</v>
      </c>
      <c r="E14421" t="str">
        <f t="shared" si="5280"/>
        <v>FL</v>
      </c>
      <c r="F14421" t="str">
        <f t="shared" si="5281"/>
        <v>322120000</v>
      </c>
      <c r="G14421" t="str">
        <f>T("BLDG 966 BOX 90")</f>
        <v>BLDG 966 BOX 90</v>
      </c>
      <c r="H14421" t="str">
        <f>T("")</f>
        <v/>
      </c>
      <c r="I14421" t="str">
        <f t="shared" si="5282"/>
        <v>JACKSONVILLE</v>
      </c>
      <c r="J14421" t="str">
        <f t="shared" si="5283"/>
        <v>FL</v>
      </c>
      <c r="K14421" t="str">
        <f>T("9045420001")</f>
        <v>9045420001</v>
      </c>
      <c r="L14421" t="str">
        <f>T("9045422486")</f>
        <v>9045422486</v>
      </c>
    </row>
    <row r="14422" spans="1:12" x14ac:dyDescent="0.35">
      <c r="A14422" t="str">
        <f t="shared" si="5278"/>
        <v>RCC SOUTHEAST JACKSONVILLE</v>
      </c>
      <c r="B14422" t="str">
        <f>T("COMMDNG OFFCR NOSC JAX")</f>
        <v>COMMDNG OFFCR NOSC JAX</v>
      </c>
      <c r="C14422" t="str">
        <f>T("BLDG 966 BOX 4")</f>
        <v>BLDG 966 BOX 4</v>
      </c>
      <c r="D14422" t="str">
        <f t="shared" si="5279"/>
        <v>JACKSONVILLE</v>
      </c>
      <c r="E14422" t="str">
        <f t="shared" si="5280"/>
        <v>FL</v>
      </c>
      <c r="F14422" t="str">
        <f t="shared" si="5281"/>
        <v>322120000</v>
      </c>
      <c r="G14422" t="str">
        <f>T("BLDG 966")</f>
        <v>BLDG 966</v>
      </c>
      <c r="H14422" t="str">
        <f>T("BOX 4")</f>
        <v>BOX 4</v>
      </c>
      <c r="I14422" t="str">
        <f t="shared" si="5282"/>
        <v>JACKSONVILLE</v>
      </c>
      <c r="J14422" t="str">
        <f t="shared" si="5283"/>
        <v>FL</v>
      </c>
      <c r="K14422" t="str">
        <f>T("000000000000000000")</f>
        <v>000000000000000000</v>
      </c>
      <c r="L14422" t="str">
        <f>T("9045423283")</f>
        <v>9045423283</v>
      </c>
    </row>
    <row r="14423" spans="1:12" x14ac:dyDescent="0.35">
      <c r="A14423" t="str">
        <f t="shared" si="5278"/>
        <v>RCC SOUTHEAST JACKSONVILLE</v>
      </c>
      <c r="B14423" t="str">
        <f>T("COMMDNG OFFCR NOSC JAX")</f>
        <v>COMMDNG OFFCR NOSC JAX</v>
      </c>
      <c r="C14423" t="str">
        <f>T("BLDG 966 BOX 4")</f>
        <v>BLDG 966 BOX 4</v>
      </c>
      <c r="D14423" t="str">
        <f t="shared" si="5279"/>
        <v>JACKSONVILLE</v>
      </c>
      <c r="E14423" t="str">
        <f t="shared" si="5280"/>
        <v>FL</v>
      </c>
      <c r="F14423" t="str">
        <f t="shared" si="5281"/>
        <v>322120000</v>
      </c>
      <c r="G14423" t="str">
        <f>T("BLDG 966")</f>
        <v>BLDG 966</v>
      </c>
      <c r="H14423" t="str">
        <f>T("BOX 4")</f>
        <v>BOX 4</v>
      </c>
      <c r="I14423" t="str">
        <f t="shared" si="5282"/>
        <v>JACKSONVILLE</v>
      </c>
      <c r="J14423" t="str">
        <f t="shared" si="5283"/>
        <v>FL</v>
      </c>
      <c r="K14423" t="str">
        <f>T("9045424601")</f>
        <v>9045424601</v>
      </c>
      <c r="L14423" t="str">
        <f>T("9045423320")</f>
        <v>9045423320</v>
      </c>
    </row>
    <row r="14424" spans="1:12" x14ac:dyDescent="0.35">
      <c r="A14424" t="str">
        <f t="shared" si="5278"/>
        <v>RCC SOUTHEAST JACKSONVILLE</v>
      </c>
      <c r="B14424" t="str">
        <f>T("COMMDNG OFFCR NOSC JAX")</f>
        <v>COMMDNG OFFCR NOSC JAX</v>
      </c>
      <c r="C14424" t="str">
        <f>T("BLDG 966 BOX 4")</f>
        <v>BLDG 966 BOX 4</v>
      </c>
      <c r="D14424" t="str">
        <f t="shared" si="5279"/>
        <v>JACKSONVILLE</v>
      </c>
      <c r="E14424" t="str">
        <f t="shared" si="5280"/>
        <v>FL</v>
      </c>
      <c r="F14424" t="str">
        <f t="shared" si="5281"/>
        <v>322120000</v>
      </c>
      <c r="G14424" t="str">
        <f>T("COMMDNG OFFCR NOSC JAX")</f>
        <v>COMMDNG OFFCR NOSC JAX</v>
      </c>
      <c r="H14424" t="str">
        <f>T("BLDG 966 BOX 4")</f>
        <v>BLDG 966 BOX 4</v>
      </c>
      <c r="I14424" t="str">
        <f t="shared" si="5282"/>
        <v>JACKSONVILLE</v>
      </c>
      <c r="J14424" t="str">
        <f t="shared" si="5283"/>
        <v>FL</v>
      </c>
      <c r="K14424" t="str">
        <f>T("904-542-4601")</f>
        <v>904-542-4601</v>
      </c>
      <c r="L14424" t="str">
        <f>T("9045423320")</f>
        <v>9045423320</v>
      </c>
    </row>
    <row r="14425" spans="1:12" x14ac:dyDescent="0.35">
      <c r="A14425" t="str">
        <f>T("NALO")</f>
        <v>NALO</v>
      </c>
      <c r="B14425" t="str">
        <f>T("400 RUSSELL AVE")</f>
        <v>400 RUSSELL AVE</v>
      </c>
      <c r="C14425" t="str">
        <f>T("")</f>
        <v/>
      </c>
      <c r="D14425" t="str">
        <f>T("NEW ORLEANS")</f>
        <v>NEW ORLEANS</v>
      </c>
      <c r="E14425" t="str">
        <f>T("LA")</f>
        <v>LA</v>
      </c>
      <c r="F14425" t="str">
        <f>T("701435077")</f>
        <v>701435077</v>
      </c>
      <c r="G14425" t="str">
        <f>T("400 RUSSELL AVE")</f>
        <v>400 RUSSELL AVE</v>
      </c>
      <c r="H14425" t="str">
        <f>T("")</f>
        <v/>
      </c>
      <c r="I14425" t="str">
        <f>T("NEW ORLEANS")</f>
        <v>NEW ORLEANS</v>
      </c>
      <c r="J14425" t="str">
        <f>T("LA")</f>
        <v>LA</v>
      </c>
      <c r="K14425" t="str">
        <f>T("")</f>
        <v/>
      </c>
      <c r="L14425" t="str">
        <f>T("5046785110")</f>
        <v>5046785110</v>
      </c>
    </row>
    <row r="14426" spans="1:12" x14ac:dyDescent="0.35">
      <c r="A14426" t="str">
        <f>T("NALO")</f>
        <v>NALO</v>
      </c>
      <c r="B14426" t="str">
        <f>T("400 RUSSELL AVE")</f>
        <v>400 RUSSELL AVE</v>
      </c>
      <c r="C14426" t="str">
        <f>T("")</f>
        <v/>
      </c>
      <c r="D14426" t="str">
        <f>T("NEW ORLEANS")</f>
        <v>NEW ORLEANS</v>
      </c>
      <c r="E14426" t="str">
        <f>T("LA")</f>
        <v>LA</v>
      </c>
      <c r="F14426" t="str">
        <f>T("701435077")</f>
        <v>701435077</v>
      </c>
      <c r="G14426" t="str">
        <f>T("400 RUSSELL AVE")</f>
        <v>400 RUSSELL AVE</v>
      </c>
      <c r="H14426" t="str">
        <f>T("BLDG 557")</f>
        <v>BLDG 557</v>
      </c>
      <c r="I14426" t="str">
        <f>T("NEW ORLEANS")</f>
        <v>NEW ORLEANS</v>
      </c>
      <c r="J14426" t="str">
        <f>T("LA")</f>
        <v>LA</v>
      </c>
      <c r="K14426" t="str">
        <f>T("000000000000000000")</f>
        <v>000000000000000000</v>
      </c>
      <c r="L14426" t="str">
        <f>T("5046785812")</f>
        <v>5046785812</v>
      </c>
    </row>
    <row r="14427" spans="1:12" x14ac:dyDescent="0.35">
      <c r="A14427" t="str">
        <f>T("NALO")</f>
        <v>NALO</v>
      </c>
      <c r="B14427" t="str">
        <f>T("400 RUSSELL AVE")</f>
        <v>400 RUSSELL AVE</v>
      </c>
      <c r="C14427" t="str">
        <f>T("BLDG 557")</f>
        <v>BLDG 557</v>
      </c>
      <c r="D14427" t="str">
        <f>T("NEW ORLEANS")</f>
        <v>NEW ORLEANS</v>
      </c>
      <c r="E14427" t="str">
        <f>T("LA")</f>
        <v>LA</v>
      </c>
      <c r="F14427" t="str">
        <f>T("701435077")</f>
        <v>701435077</v>
      </c>
      <c r="G14427" t="str">
        <f>T("400 RUSSELL AVE")</f>
        <v>400 RUSSELL AVE</v>
      </c>
      <c r="H14427" t="str">
        <f>T("BLDG 557")</f>
        <v>BLDG 557</v>
      </c>
      <c r="I14427" t="str">
        <f>T("NEW ORLEANS")</f>
        <v>NEW ORLEANS</v>
      </c>
      <c r="J14427" t="str">
        <f>T("LA")</f>
        <v>LA</v>
      </c>
      <c r="K14427" t="str">
        <f>T("000000000000000000")</f>
        <v>000000000000000000</v>
      </c>
      <c r="L14427" t="str">
        <f>T("5046785829")</f>
        <v>5046785829</v>
      </c>
    </row>
    <row r="14428" spans="1:12" x14ac:dyDescent="0.35">
      <c r="A14428" t="str">
        <f t="shared" ref="A14428:A14445" si="5284">T("TSW")</f>
        <v>TSW</v>
      </c>
      <c r="B14428" t="str">
        <f>T("1055 HERCULES RD")</f>
        <v>1055 HERCULES RD</v>
      </c>
      <c r="C14428" t="str">
        <f>T("")</f>
        <v/>
      </c>
      <c r="D14428" t="str">
        <f>T("FORT WORTH")</f>
        <v>FORT WORTH</v>
      </c>
      <c r="E14428" t="str">
        <f>T("TX")</f>
        <v>TX</v>
      </c>
      <c r="F14428" t="str">
        <f>T("761271163")</f>
        <v>761271163</v>
      </c>
      <c r="G14428" t="str">
        <f>T("1055 HERCULES RD")</f>
        <v>1055 HERCULES RD</v>
      </c>
      <c r="H14428" t="str">
        <f>T("")</f>
        <v/>
      </c>
      <c r="I14428" t="str">
        <f>T("FORT WORTH")</f>
        <v>FORT WORTH</v>
      </c>
      <c r="J14428" t="str">
        <f>T("TX")</f>
        <v>TX</v>
      </c>
      <c r="K14428" t="str">
        <f>T("8177825390")</f>
        <v>8177825390</v>
      </c>
      <c r="L14428" t="str">
        <f>T("8177823230")</f>
        <v>8177823230</v>
      </c>
    </row>
    <row r="14429" spans="1:12" x14ac:dyDescent="0.35">
      <c r="A14429" t="str">
        <f t="shared" si="5284"/>
        <v>TSW</v>
      </c>
      <c r="B14429" t="str">
        <f>T("1510 CHENNAULT AVE")</f>
        <v>1510 CHENNAULT AVE</v>
      </c>
      <c r="C14429" t="str">
        <f>T("3RD FLOOR")</f>
        <v>3RD FLOOR</v>
      </c>
      <c r="D14429" t="str">
        <f>T("FT WORTH")</f>
        <v>FT WORTH</v>
      </c>
      <c r="E14429" t="str">
        <f>T("TX")</f>
        <v>TX</v>
      </c>
      <c r="F14429" t="str">
        <f>T("761271053")</f>
        <v>761271053</v>
      </c>
      <c r="G14429" t="str">
        <f>T("1510 CHENNAULT AVE")</f>
        <v>1510 CHENNAULT AVE</v>
      </c>
      <c r="H14429" t="str">
        <f>T("")</f>
        <v/>
      </c>
      <c r="I14429" t="str">
        <f>T("FORT WORTH")</f>
        <v>FORT WORTH</v>
      </c>
      <c r="J14429" t="str">
        <f>T("TX")</f>
        <v>TX</v>
      </c>
      <c r="K14429" t="str">
        <f>T("8177397617")</f>
        <v>8177397617</v>
      </c>
      <c r="L14429" t="str">
        <f>T("8177825181")</f>
        <v>8177825181</v>
      </c>
    </row>
    <row r="14430" spans="1:12" x14ac:dyDescent="0.35">
      <c r="A14430" t="str">
        <f t="shared" si="5284"/>
        <v>TSW</v>
      </c>
      <c r="B14430" t="str">
        <f>T("1510 CHENNAULT AVE")</f>
        <v>1510 CHENNAULT AVE</v>
      </c>
      <c r="C14430" t="str">
        <f>T("3RD FLOOR")</f>
        <v>3RD FLOOR</v>
      </c>
      <c r="D14430" t="str">
        <f>T("FT WORTH")</f>
        <v>FT WORTH</v>
      </c>
      <c r="E14430" t="str">
        <f>T("TX")</f>
        <v>TX</v>
      </c>
      <c r="F14430" t="str">
        <f>T("761271053")</f>
        <v>761271053</v>
      </c>
      <c r="G14430" t="str">
        <f>T("1510 CHENNAULT AVE")</f>
        <v>1510 CHENNAULT AVE</v>
      </c>
      <c r="H14430" t="str">
        <f>T("3RD FLOOR")</f>
        <v>3RD FLOOR</v>
      </c>
      <c r="I14430" t="str">
        <f>T("FT WORTH")</f>
        <v>FT WORTH</v>
      </c>
      <c r="J14430" t="str">
        <f>T("TX")</f>
        <v>TX</v>
      </c>
      <c r="K14430" t="str">
        <f>T("8177827617")</f>
        <v>8177827617</v>
      </c>
      <c r="L14430" t="str">
        <f>T("8177821557")</f>
        <v>8177821557</v>
      </c>
    </row>
    <row r="14431" spans="1:12" x14ac:dyDescent="0.35">
      <c r="A14431" t="str">
        <f t="shared" si="5284"/>
        <v>TSW</v>
      </c>
      <c r="B14431" t="str">
        <f>T("1510 CHENNAULT AVE")</f>
        <v>1510 CHENNAULT AVE</v>
      </c>
      <c r="C14431" t="str">
        <f>T("3RD FLOOR")</f>
        <v>3RD FLOOR</v>
      </c>
      <c r="D14431" t="str">
        <f>T("FT WORTH")</f>
        <v>FT WORTH</v>
      </c>
      <c r="E14431" t="str">
        <f>T("TX")</f>
        <v>TX</v>
      </c>
      <c r="F14431" t="str">
        <f>T("761271053")</f>
        <v>761271053</v>
      </c>
      <c r="G14431" t="str">
        <f>T("1510 CHENNAULT AVENUE")</f>
        <v>1510 CHENNAULT AVENUE</v>
      </c>
      <c r="H14431" t="str">
        <f>T("NASJRB")</f>
        <v>NASJRB</v>
      </c>
      <c r="I14431" t="str">
        <f>T("FORT WORTH")</f>
        <v>FORT WORTH</v>
      </c>
      <c r="J14431" t="str">
        <f>T("TX")</f>
        <v>TX</v>
      </c>
      <c r="K14431" t="str">
        <f>T("8177827617")</f>
        <v>8177827617</v>
      </c>
      <c r="L14431" t="str">
        <f>T("8177827008")</f>
        <v>8177827008</v>
      </c>
    </row>
    <row r="14432" spans="1:12" x14ac:dyDescent="0.35">
      <c r="A14432" t="str">
        <f t="shared" si="5284"/>
        <v>TSW</v>
      </c>
      <c r="B14432" t="str">
        <f>T("400 RUSSELL AVE HANGAR 3")</f>
        <v>400 RUSSELL AVE HANGAR 3</v>
      </c>
      <c r="C14432" t="str">
        <f>T("")</f>
        <v/>
      </c>
      <c r="D14432" t="str">
        <f>T("NEW ORLEANS")</f>
        <v>NEW ORLEANS</v>
      </c>
      <c r="E14432" t="str">
        <f>T("LA")</f>
        <v>LA</v>
      </c>
      <c r="F14432" t="str">
        <f>T("701435077")</f>
        <v>701435077</v>
      </c>
      <c r="G14432" t="str">
        <f>T("400 RUSSELL AVE HANGAR 3")</f>
        <v>400 RUSSELL AVE HANGAR 3</v>
      </c>
      <c r="H14432" t="str">
        <f>T("")</f>
        <v/>
      </c>
      <c r="I14432" t="str">
        <f>T("BELLE CHASSE")</f>
        <v>BELLE CHASSE</v>
      </c>
      <c r="J14432" t="str">
        <f>T("LA")</f>
        <v>LA</v>
      </c>
      <c r="K14432" t="str">
        <f>T("000000000000000000")</f>
        <v>000000000000000000</v>
      </c>
      <c r="L14432" t="str">
        <f>T("5046783576")</f>
        <v>5046783576</v>
      </c>
    </row>
    <row r="14433" spans="1:12" x14ac:dyDescent="0.35">
      <c r="A14433" t="str">
        <f t="shared" si="5284"/>
        <v>TSW</v>
      </c>
      <c r="B14433" t="str">
        <f>T("400 RUSSELL AVE HANGAR 3")</f>
        <v>400 RUSSELL AVE HANGAR 3</v>
      </c>
      <c r="C14433" t="str">
        <f>T("")</f>
        <v/>
      </c>
      <c r="D14433" t="str">
        <f>T("NEW ORLEANS")</f>
        <v>NEW ORLEANS</v>
      </c>
      <c r="E14433" t="str">
        <f>T("LA")</f>
        <v>LA</v>
      </c>
      <c r="F14433" t="str">
        <f>T("701435077")</f>
        <v>701435077</v>
      </c>
      <c r="G14433" t="str">
        <f>T("400 RUSSELL AVE HANGAR 3")</f>
        <v>400 RUSSELL AVE HANGAR 3</v>
      </c>
      <c r="H14433" t="str">
        <f>T("")</f>
        <v/>
      </c>
      <c r="I14433" t="str">
        <f>T("BELLE CHASSE")</f>
        <v>BELLE CHASSE</v>
      </c>
      <c r="J14433" t="str">
        <f>T("LA")</f>
        <v>LA</v>
      </c>
      <c r="K14433" t="str">
        <f>T("5046783933")</f>
        <v>5046783933</v>
      </c>
      <c r="L14433" t="str">
        <f>T("5046783576")</f>
        <v>5046783576</v>
      </c>
    </row>
    <row r="14434" spans="1:12" x14ac:dyDescent="0.35">
      <c r="A14434" t="str">
        <f t="shared" si="5284"/>
        <v>TSW</v>
      </c>
      <c r="B14434" t="str">
        <f>T("400 RUSSELL AVE HANGAR 3")</f>
        <v>400 RUSSELL AVE HANGAR 3</v>
      </c>
      <c r="C14434" t="str">
        <f>T("")</f>
        <v/>
      </c>
      <c r="D14434" t="str">
        <f>T("NEW ORLEANS")</f>
        <v>NEW ORLEANS</v>
      </c>
      <c r="E14434" t="str">
        <f>T("LA")</f>
        <v>LA</v>
      </c>
      <c r="F14434" t="str">
        <f>T("701435077")</f>
        <v>701435077</v>
      </c>
      <c r="G14434" t="str">
        <f>T("400 RUSSELL AVE HANGAR 3")</f>
        <v>400 RUSSELL AVE HANGAR 3</v>
      </c>
      <c r="H14434" t="str">
        <f>T("")</f>
        <v/>
      </c>
      <c r="I14434" t="str">
        <f>T("NEW ORLEANS")</f>
        <v>NEW ORLEANS</v>
      </c>
      <c r="J14434" t="str">
        <f>T("LA")</f>
        <v>LA</v>
      </c>
      <c r="K14434" t="str">
        <f>T("")</f>
        <v/>
      </c>
      <c r="L14434" t="str">
        <f>T("5046789673")</f>
        <v>5046789673</v>
      </c>
    </row>
    <row r="14435" spans="1:12" x14ac:dyDescent="0.35">
      <c r="A14435" t="str">
        <f t="shared" si="5284"/>
        <v>TSW</v>
      </c>
      <c r="B14435" t="str">
        <f>T("4755 PASTURE RD")</f>
        <v>4755 PASTURE RD</v>
      </c>
      <c r="C14435" t="str">
        <f>T("HANGER 4")</f>
        <v>HANGER 4</v>
      </c>
      <c r="D14435" t="str">
        <f>T("FALLON")</f>
        <v>FALLON</v>
      </c>
      <c r="E14435" t="str">
        <f>T("NV")</f>
        <v>NV</v>
      </c>
      <c r="F14435" t="str">
        <f>T("894960001")</f>
        <v>894960001</v>
      </c>
      <c r="G14435" t="str">
        <f>T("4755 PASTURE RD")</f>
        <v>4755 PASTURE RD</v>
      </c>
      <c r="H14435" t="str">
        <f>T("HANGER 4")</f>
        <v>HANGER 4</v>
      </c>
      <c r="I14435" t="str">
        <f>T("FALLON")</f>
        <v>FALLON</v>
      </c>
      <c r="J14435" t="str">
        <f>T("NV")</f>
        <v>NV</v>
      </c>
      <c r="K14435" t="str">
        <f>T("")</f>
        <v/>
      </c>
      <c r="L14435" t="str">
        <f>T("7754263692")</f>
        <v>7754263692</v>
      </c>
    </row>
    <row r="14436" spans="1:12" x14ac:dyDescent="0.35">
      <c r="A14436" t="str">
        <f t="shared" si="5284"/>
        <v>TSW</v>
      </c>
      <c r="B14436" t="str">
        <f>T("4755 PASTURE RD")</f>
        <v>4755 PASTURE RD</v>
      </c>
      <c r="C14436" t="str">
        <f>T("HANGER 4")</f>
        <v>HANGER 4</v>
      </c>
      <c r="D14436" t="str">
        <f>T("FALLON")</f>
        <v>FALLON</v>
      </c>
      <c r="E14436" t="str">
        <f>T("NV")</f>
        <v>NV</v>
      </c>
      <c r="F14436" t="str">
        <f>T("894960001")</f>
        <v>894960001</v>
      </c>
      <c r="G14436" t="str">
        <f>T("4755 PASTURE ROAD")</f>
        <v>4755 PASTURE ROAD</v>
      </c>
      <c r="H14436" t="str">
        <f>T("")</f>
        <v/>
      </c>
      <c r="I14436" t="str">
        <f>T("FALLON")</f>
        <v>FALLON</v>
      </c>
      <c r="J14436" t="str">
        <f>T("NV")</f>
        <v>NV</v>
      </c>
      <c r="K14436" t="str">
        <f>T("7754263748")</f>
        <v>7754263748</v>
      </c>
      <c r="L14436" t="str">
        <f>T("7754263998")</f>
        <v>7754263998</v>
      </c>
    </row>
    <row r="14437" spans="1:12" x14ac:dyDescent="0.35">
      <c r="A14437" t="str">
        <f t="shared" si="5284"/>
        <v>TSW</v>
      </c>
      <c r="B14437" t="str">
        <f>T("4755 PASTURE RD")</f>
        <v>4755 PASTURE RD</v>
      </c>
      <c r="C14437" t="str">
        <f>T("HANGER 4")</f>
        <v>HANGER 4</v>
      </c>
      <c r="D14437" t="str">
        <f>T("FALLON")</f>
        <v>FALLON</v>
      </c>
      <c r="E14437" t="str">
        <f>T("NV")</f>
        <v>NV</v>
      </c>
      <c r="F14437" t="str">
        <f>T("894960001")</f>
        <v>894960001</v>
      </c>
      <c r="G14437" t="str">
        <f>T("4755 PASTURE ROAD")</f>
        <v>4755 PASTURE ROAD</v>
      </c>
      <c r="H14437" t="str">
        <f>T("HANGAR 4")</f>
        <v>HANGAR 4</v>
      </c>
      <c r="I14437" t="str">
        <f>T("FALLON")</f>
        <v>FALLON</v>
      </c>
      <c r="J14437" t="str">
        <f>T("NV")</f>
        <v>NV</v>
      </c>
      <c r="K14437" t="str">
        <f>T("7754263748")</f>
        <v>7754263748</v>
      </c>
      <c r="L14437" t="str">
        <f>T("7754263628")</f>
        <v>7754263628</v>
      </c>
    </row>
    <row r="14438" spans="1:12" x14ac:dyDescent="0.35">
      <c r="A14438" t="str">
        <f t="shared" si="5284"/>
        <v>TSW</v>
      </c>
      <c r="B14438" t="str">
        <f>T("810 N RANDOLPH ST")</f>
        <v>810 N RANDOLPH ST</v>
      </c>
      <c r="C14438" t="str">
        <f>T("")</f>
        <v/>
      </c>
      <c r="D14438" t="str">
        <f>T("OAK HARBOR")</f>
        <v>OAK HARBOR</v>
      </c>
      <c r="E14438" t="str">
        <f>T("WA")</f>
        <v>WA</v>
      </c>
      <c r="F14438" t="str">
        <f>T("982780001")</f>
        <v>982780001</v>
      </c>
      <c r="G14438" t="str">
        <f>T("3620 N RANGER STREET")</f>
        <v>3620 N RANGER STREET</v>
      </c>
      <c r="H14438" t="str">
        <f>T("")</f>
        <v/>
      </c>
      <c r="I14438" t="str">
        <f>T("OAK HARBOR")</f>
        <v>OAK HARBOR</v>
      </c>
      <c r="J14438" t="str">
        <f>T("WA")</f>
        <v>WA</v>
      </c>
      <c r="K14438" t="str">
        <f>T("3602578257")</f>
        <v>3602578257</v>
      </c>
      <c r="L14438" t="str">
        <f>T("3602578304")</f>
        <v>3602578304</v>
      </c>
    </row>
    <row r="14439" spans="1:12" x14ac:dyDescent="0.35">
      <c r="A14439" t="str">
        <f t="shared" si="5284"/>
        <v>TSW</v>
      </c>
      <c r="B14439" t="str">
        <f>T("810 N RANDOLPH ST")</f>
        <v>810 N RANDOLPH ST</v>
      </c>
      <c r="C14439" t="str">
        <f>T("")</f>
        <v/>
      </c>
      <c r="D14439" t="str">
        <f>T("OAK HARBOR")</f>
        <v>OAK HARBOR</v>
      </c>
      <c r="E14439" t="str">
        <f>T("WA")</f>
        <v>WA</v>
      </c>
      <c r="F14439" t="str">
        <f>T("982780001")</f>
        <v>982780001</v>
      </c>
      <c r="G14439" t="str">
        <f>T("810 N RANDOLPH ST")</f>
        <v>810 N RANDOLPH ST</v>
      </c>
      <c r="H14439" t="str">
        <f>T("")</f>
        <v/>
      </c>
      <c r="I14439" t="str">
        <f>T("OAK HARBOR")</f>
        <v>OAK HARBOR</v>
      </c>
      <c r="J14439" t="str">
        <f>T("WA")</f>
        <v>WA</v>
      </c>
      <c r="K14439" t="str">
        <f>T("")</f>
        <v/>
      </c>
      <c r="L14439" t="str">
        <f>T("3602578310")</f>
        <v>3602578310</v>
      </c>
    </row>
    <row r="14440" spans="1:12" x14ac:dyDescent="0.35">
      <c r="A14440" t="str">
        <f t="shared" si="5284"/>
        <v>TSW</v>
      </c>
      <c r="B14440" t="str">
        <f>T("PO BOX 9059")</f>
        <v>PO BOX 9059</v>
      </c>
      <c r="C14440" t="str">
        <f>T("HANGAR A-936 MIDWAY AVE")</f>
        <v>HANGAR A-936 MIDWAY AVE</v>
      </c>
      <c r="D14440" t="str">
        <f>T("KEY WEST")</f>
        <v>KEY WEST</v>
      </c>
      <c r="E14440" t="str">
        <f>T("FL")</f>
        <v>FL</v>
      </c>
      <c r="F14440" t="str">
        <f>T("330409059")</f>
        <v>330409059</v>
      </c>
      <c r="G14440" t="str">
        <f>T("HANGAR A-936 MIDWAY AVE")</f>
        <v>HANGAR A-936 MIDWAY AVE</v>
      </c>
      <c r="H14440" t="str">
        <f>T("")</f>
        <v/>
      </c>
      <c r="I14440" t="str">
        <f>T("KEY WEST")</f>
        <v>KEY WEST</v>
      </c>
      <c r="J14440" t="str">
        <f>T("FL")</f>
        <v>FL</v>
      </c>
      <c r="K14440" t="str">
        <f>T("3052932273")</f>
        <v>3052932273</v>
      </c>
      <c r="L14440" t="str">
        <f>T("3052932626")</f>
        <v>3052932626</v>
      </c>
    </row>
    <row r="14441" spans="1:12" x14ac:dyDescent="0.35">
      <c r="A14441" t="str">
        <f t="shared" si="5284"/>
        <v>TSW</v>
      </c>
      <c r="B14441" t="str">
        <f>T("PO BOX 9059")</f>
        <v>PO BOX 9059</v>
      </c>
      <c r="C14441" t="str">
        <f>T("HANGAR A-936 MIDWAY AVE")</f>
        <v>HANGAR A-936 MIDWAY AVE</v>
      </c>
      <c r="D14441" t="str">
        <f>T("KEY WEST")</f>
        <v>KEY WEST</v>
      </c>
      <c r="E14441" t="str">
        <f>T("FL")</f>
        <v>FL</v>
      </c>
      <c r="F14441" t="str">
        <f>T("330409059")</f>
        <v>330409059</v>
      </c>
      <c r="G14441" t="str">
        <f>T("PO BOX 9059")</f>
        <v>PO BOX 9059</v>
      </c>
      <c r="H14441" t="str">
        <f>T("HANGAR A-936 MIDWAY AVE")</f>
        <v>HANGAR A-936 MIDWAY AVE</v>
      </c>
      <c r="I14441" t="str">
        <f>T("KEY WEST")</f>
        <v>KEY WEST</v>
      </c>
      <c r="J14441" t="str">
        <f>T("FL")</f>
        <v>FL</v>
      </c>
      <c r="K14441" t="str">
        <f>T("305-293-2273")</f>
        <v>305-293-2273</v>
      </c>
      <c r="L14441" t="str">
        <f>T("3052932379")</f>
        <v>3052932379</v>
      </c>
    </row>
    <row r="14442" spans="1:12" x14ac:dyDescent="0.35">
      <c r="A14442" t="str">
        <f t="shared" si="5284"/>
        <v>TSW</v>
      </c>
      <c r="B14442" t="str">
        <f>T("PO BOX 9059")</f>
        <v>PO BOX 9059</v>
      </c>
      <c r="C14442" t="str">
        <f>T("HANGAR A-936 MIDWAY AVE")</f>
        <v>HANGAR A-936 MIDWAY AVE</v>
      </c>
      <c r="D14442" t="str">
        <f>T("KEY WEST")</f>
        <v>KEY WEST</v>
      </c>
      <c r="E14442" t="str">
        <f>T("FL")</f>
        <v>FL</v>
      </c>
      <c r="F14442" t="str">
        <f>T("330409059")</f>
        <v>330409059</v>
      </c>
      <c r="G14442" t="str">
        <f>T("VFC-111")</f>
        <v>VFC-111</v>
      </c>
      <c r="H14442" t="str">
        <f>T("P O BOX 9059 HANGAR A 936")</f>
        <v>P O BOX 9059 HANGAR A 936</v>
      </c>
      <c r="I14442" t="str">
        <f>T("KEY WEST")</f>
        <v>KEY WEST</v>
      </c>
      <c r="J14442" t="str">
        <f>T("FL")</f>
        <v>FL</v>
      </c>
      <c r="K14442" t="str">
        <f>T("3052932273")</f>
        <v>3052932273</v>
      </c>
      <c r="L14442" t="str">
        <f>T("3052932382")</f>
        <v>3052932382</v>
      </c>
    </row>
    <row r="14443" spans="1:12" x14ac:dyDescent="0.35">
      <c r="A14443" t="str">
        <f t="shared" si="5284"/>
        <v>TSW</v>
      </c>
      <c r="B14443" t="str">
        <f>T("VFC 12 HANGER 200A")</f>
        <v>VFC 12 HANGER 200A</v>
      </c>
      <c r="C14443" t="str">
        <f>T("NAS OCEANA")</f>
        <v>NAS OCEANA</v>
      </c>
      <c r="D14443" t="str">
        <f>T("VIRGINIA BEACH,")</f>
        <v>VIRGINIA BEACH,</v>
      </c>
      <c r="E14443" t="str">
        <f>T("VA")</f>
        <v>VA</v>
      </c>
      <c r="F14443" t="str">
        <f>T("234600000")</f>
        <v>234600000</v>
      </c>
      <c r="G14443" t="str">
        <f>T("766 B AVE HGR 200")</f>
        <v>766 B AVE HGR 200</v>
      </c>
      <c r="H14443" t="str">
        <f>T("")</f>
        <v/>
      </c>
      <c r="I14443" t="str">
        <f>T("VIRGINIA BEACH")</f>
        <v>VIRGINIA BEACH</v>
      </c>
      <c r="J14443" t="str">
        <f>T("VA")</f>
        <v>VA</v>
      </c>
      <c r="K14443" t="str">
        <f>T("7574335155")</f>
        <v>7574335155</v>
      </c>
      <c r="L14443" t="str">
        <f>T("7574332813")</f>
        <v>7574332813</v>
      </c>
    </row>
    <row r="14444" spans="1:12" x14ac:dyDescent="0.35">
      <c r="A14444" t="str">
        <f t="shared" si="5284"/>
        <v>TSW</v>
      </c>
      <c r="B14444" t="str">
        <f>T("VFC 12 HANGER 200A")</f>
        <v>VFC 12 HANGER 200A</v>
      </c>
      <c r="C14444" t="str">
        <f>T("NAS OCEANA")</f>
        <v>NAS OCEANA</v>
      </c>
      <c r="D14444" t="str">
        <f>T("VIRGINIA BEACH,")</f>
        <v>VIRGINIA BEACH,</v>
      </c>
      <c r="E14444" t="str">
        <f>T("VA")</f>
        <v>VA</v>
      </c>
      <c r="F14444" t="str">
        <f>T("234600000")</f>
        <v>234600000</v>
      </c>
      <c r="G14444" t="str">
        <f>T("879 HORNET DRIVE HANGAR 200")</f>
        <v>879 HORNET DRIVE HANGAR 200</v>
      </c>
      <c r="H14444" t="str">
        <f>T("VFC-12")</f>
        <v>VFC-12</v>
      </c>
      <c r="I14444" t="str">
        <f>T("VIRGINIA BEACH")</f>
        <v>VIRGINIA BEACH</v>
      </c>
      <c r="J14444" t="str">
        <f>T("VA")</f>
        <v>VA</v>
      </c>
      <c r="K14444" t="str">
        <f>T("000000000000000000")</f>
        <v>000000000000000000</v>
      </c>
      <c r="L14444" t="str">
        <f>T("7574335454")</f>
        <v>7574335454</v>
      </c>
    </row>
    <row r="14445" spans="1:12" x14ac:dyDescent="0.35">
      <c r="A14445" t="str">
        <f t="shared" si="5284"/>
        <v>TSW</v>
      </c>
      <c r="B14445" t="str">
        <f>T("VFC 12 HANGER 200A")</f>
        <v>VFC 12 HANGER 200A</v>
      </c>
      <c r="C14445" t="str">
        <f>T("NAS OCEANA")</f>
        <v>NAS OCEANA</v>
      </c>
      <c r="D14445" t="str">
        <f>T("VIRGINIA BEACH,")</f>
        <v>VIRGINIA BEACH,</v>
      </c>
      <c r="E14445" t="str">
        <f>T("VA")</f>
        <v>VA</v>
      </c>
      <c r="F14445" t="str">
        <f>T("234600000")</f>
        <v>234600000</v>
      </c>
      <c r="G14445" t="str">
        <f>T("VFC 12 HANGER 200A")</f>
        <v>VFC 12 HANGER 200A</v>
      </c>
      <c r="H14445" t="str">
        <f>T("NAS OCEANA")</f>
        <v>NAS OCEANA</v>
      </c>
      <c r="I14445" t="str">
        <f>T("VIRGINIA BEACH,")</f>
        <v>VIRGINIA BEACH,</v>
      </c>
      <c r="J14445" t="str">
        <f>T("VA")</f>
        <v>VA</v>
      </c>
      <c r="K14445" t="str">
        <f>T("7574333445")</f>
        <v>7574333445</v>
      </c>
      <c r="L14445" t="str">
        <f>T("7574334094")</f>
        <v>7574334094</v>
      </c>
    </row>
    <row r="14446" spans="1:12" x14ac:dyDescent="0.35">
      <c r="A14446" t="str">
        <f t="shared" ref="A14446:A14477" si="5285">T("CFLSW")</f>
        <v>CFLSW</v>
      </c>
      <c r="B14446" t="str">
        <f>T("1 SAN DIEGO LOOP")</f>
        <v>1 SAN DIEGO LOOP</v>
      </c>
      <c r="C14446" t="str">
        <f>T("BLDG 3188")</f>
        <v>BLDG 3188</v>
      </c>
      <c r="D14446" t="str">
        <f>T("JB ANDREWS")</f>
        <v>JB ANDREWS</v>
      </c>
      <c r="E14446" t="str">
        <f>T("MD")</f>
        <v>MD</v>
      </c>
      <c r="F14446" t="str">
        <f>T("207625518")</f>
        <v>207625518</v>
      </c>
      <c r="G14446" t="str">
        <f>T("1 SAN DIEGO LOOP")</f>
        <v>1 SAN DIEGO LOOP</v>
      </c>
      <c r="H14446" t="str">
        <f>T("BLDG 3188")</f>
        <v>BLDG 3188</v>
      </c>
      <c r="I14446" t="str">
        <f>T("JB ANDREWS")</f>
        <v>JB ANDREWS</v>
      </c>
      <c r="J14446" t="str">
        <f>T("MD")</f>
        <v>MD</v>
      </c>
      <c r="K14446" t="str">
        <f>T("000000000000000000")</f>
        <v>000000000000000000</v>
      </c>
      <c r="L14446" t="str">
        <f>T("2408574040")</f>
        <v>2408574040</v>
      </c>
    </row>
    <row r="14447" spans="1:12" x14ac:dyDescent="0.35">
      <c r="A14447" t="str">
        <f t="shared" si="5285"/>
        <v>CFLSW</v>
      </c>
      <c r="B14447" t="str">
        <f>T("1 SAN DIEGO LOOP")</f>
        <v>1 SAN DIEGO LOOP</v>
      </c>
      <c r="C14447" t="str">
        <f>T("BLDG 3188")</f>
        <v>BLDG 3188</v>
      </c>
      <c r="D14447" t="str">
        <f>T("JB ANDREWS")</f>
        <v>JB ANDREWS</v>
      </c>
      <c r="E14447" t="str">
        <f>T("MD")</f>
        <v>MD</v>
      </c>
      <c r="F14447" t="str">
        <f>T("207625518")</f>
        <v>207625518</v>
      </c>
      <c r="G14447" t="str">
        <f>T("1 SAN DIEGO LOOP")</f>
        <v>1 SAN DIEGO LOOP</v>
      </c>
      <c r="H14447" t="str">
        <f>T("BLDG 3188")</f>
        <v>BLDG 3188</v>
      </c>
      <c r="I14447" t="str">
        <f>T("JB ANDREWS")</f>
        <v>JB ANDREWS</v>
      </c>
      <c r="J14447" t="str">
        <f>T("MD")</f>
        <v>MD</v>
      </c>
      <c r="K14447" t="str">
        <f>T("000000000000000000")</f>
        <v>000000000000000000</v>
      </c>
      <c r="L14447" t="str">
        <f>T("2408574418")</f>
        <v>2408574418</v>
      </c>
    </row>
    <row r="14448" spans="1:12" x14ac:dyDescent="0.35">
      <c r="A14448" t="str">
        <f t="shared" si="5285"/>
        <v>CFLSW</v>
      </c>
      <c r="B14448" t="str">
        <f>T("1 SAN DIEGO LOOP")</f>
        <v>1 SAN DIEGO LOOP</v>
      </c>
      <c r="C14448" t="str">
        <f>T("BLDG 3188")</f>
        <v>BLDG 3188</v>
      </c>
      <c r="D14448" t="str">
        <f>T("JB ANDREWS")</f>
        <v>JB ANDREWS</v>
      </c>
      <c r="E14448" t="str">
        <f>T("MD")</f>
        <v>MD</v>
      </c>
      <c r="F14448" t="str">
        <f>T("207625518")</f>
        <v>207625518</v>
      </c>
      <c r="G14448" t="str">
        <f>T("1 SAN DIEGO LOOP")</f>
        <v>1 SAN DIEGO LOOP</v>
      </c>
      <c r="H14448" t="str">
        <f>T("BLDG 3188")</f>
        <v>BLDG 3188</v>
      </c>
      <c r="I14448" t="str">
        <f>T("JB ANDREWS")</f>
        <v>JB ANDREWS</v>
      </c>
      <c r="J14448" t="str">
        <f>T("MD")</f>
        <v>MD</v>
      </c>
      <c r="K14448" t="str">
        <f>T("240-857-9076")</f>
        <v>240-857-9076</v>
      </c>
      <c r="L14448" t="str">
        <f>T("2408576676")</f>
        <v>2408576676</v>
      </c>
    </row>
    <row r="14449" spans="1:12" x14ac:dyDescent="0.35">
      <c r="A14449" t="str">
        <f t="shared" si="5285"/>
        <v>CFLSW</v>
      </c>
      <c r="B14449" t="str">
        <f>T("1 SAN DIEGO LOOP")</f>
        <v>1 SAN DIEGO LOOP</v>
      </c>
      <c r="C14449" t="str">
        <f>T("BLDG 3188")</f>
        <v>BLDG 3188</v>
      </c>
      <c r="D14449" t="str">
        <f>T("JB ANDREWS")</f>
        <v>JB ANDREWS</v>
      </c>
      <c r="E14449" t="str">
        <f>T("MD")</f>
        <v>MD</v>
      </c>
      <c r="F14449" t="str">
        <f>T("207625518")</f>
        <v>207625518</v>
      </c>
      <c r="G14449" t="str">
        <f>T("1 SAN DIEGO LOOP")</f>
        <v>1 SAN DIEGO LOOP</v>
      </c>
      <c r="H14449" t="str">
        <f>T("BLDG 3188")</f>
        <v>BLDG 3188</v>
      </c>
      <c r="I14449" t="str">
        <f>T("JB ANDREWS")</f>
        <v>JB ANDREWS</v>
      </c>
      <c r="J14449" t="str">
        <f>T("MD")</f>
        <v>MD</v>
      </c>
      <c r="K14449" t="str">
        <f>T("2408579076")</f>
        <v>2408579076</v>
      </c>
      <c r="L14449" t="str">
        <f>T("2408573700")</f>
        <v>2408573700</v>
      </c>
    </row>
    <row r="14450" spans="1:12" x14ac:dyDescent="0.35">
      <c r="A14450" t="str">
        <f t="shared" si="5285"/>
        <v>CFLSW</v>
      </c>
      <c r="B14450" t="str">
        <f>T("1 SAN DIEGO LOOP")</f>
        <v>1 SAN DIEGO LOOP</v>
      </c>
      <c r="C14450" t="str">
        <f>T("BLDG 3188")</f>
        <v>BLDG 3188</v>
      </c>
      <c r="D14450" t="str">
        <f>T("JB ANDREWS")</f>
        <v>JB ANDREWS</v>
      </c>
      <c r="E14450" t="str">
        <f>T("MD")</f>
        <v>MD</v>
      </c>
      <c r="F14450" t="str">
        <f>T("207625518")</f>
        <v>207625518</v>
      </c>
      <c r="G14450" t="str">
        <f>T("1 SAN DIEGO LOOP")</f>
        <v>1 SAN DIEGO LOOP</v>
      </c>
      <c r="H14450" t="str">
        <f>T("BLDG 3188")</f>
        <v>BLDG 3188</v>
      </c>
      <c r="I14450" t="str">
        <f>T("JB ANDREWS")</f>
        <v>JB ANDREWS</v>
      </c>
      <c r="J14450" t="str">
        <f>T("MD")</f>
        <v>MD</v>
      </c>
      <c r="K14450" t="str">
        <f>T("3019811301")</f>
        <v>3019811301</v>
      </c>
      <c r="L14450" t="str">
        <f>T("2408574418")</f>
        <v>2408574418</v>
      </c>
    </row>
    <row r="14451" spans="1:12" x14ac:dyDescent="0.35">
      <c r="A14451" t="str">
        <f t="shared" si="5285"/>
        <v>CFLSW</v>
      </c>
      <c r="B14451" t="str">
        <f>T("1048 BOYINGTON DRIVE")</f>
        <v>1048 BOYINGTON DRIVE</v>
      </c>
      <c r="C14451" t="str">
        <f>T("VR59")</f>
        <v>VR59</v>
      </c>
      <c r="D14451" t="str">
        <f t="shared" ref="D14451:D14462" si="5286">T("FORT WORTH")</f>
        <v>FORT WORTH</v>
      </c>
      <c r="E14451" t="str">
        <f t="shared" ref="E14451:E14462" si="5287">T("TX")</f>
        <v>TX</v>
      </c>
      <c r="F14451" t="str">
        <f>T("761271110")</f>
        <v>761271110</v>
      </c>
      <c r="G14451" t="str">
        <f>T("1048 BOYINGTON DR")</f>
        <v>1048 BOYINGTON DR</v>
      </c>
      <c r="H14451" t="str">
        <f>T("")</f>
        <v/>
      </c>
      <c r="I14451" t="str">
        <f t="shared" ref="I14451:I14462" si="5288">T("FORT WORTH")</f>
        <v>FORT WORTH</v>
      </c>
      <c r="J14451" t="str">
        <f t="shared" ref="J14451:J14462" si="5289">T("TX")</f>
        <v>TX</v>
      </c>
      <c r="K14451" t="str">
        <f>T("000000000000000000")</f>
        <v>000000000000000000</v>
      </c>
      <c r="L14451" t="str">
        <f>T("8177823521")</f>
        <v>8177823521</v>
      </c>
    </row>
    <row r="14452" spans="1:12" x14ac:dyDescent="0.35">
      <c r="A14452" t="str">
        <f t="shared" si="5285"/>
        <v>CFLSW</v>
      </c>
      <c r="B14452" t="str">
        <f>T("1048 BOYINGTON DRIVE")</f>
        <v>1048 BOYINGTON DRIVE</v>
      </c>
      <c r="C14452" t="str">
        <f>T("VR59")</f>
        <v>VR59</v>
      </c>
      <c r="D14452" t="str">
        <f t="shared" si="5286"/>
        <v>FORT WORTH</v>
      </c>
      <c r="E14452" t="str">
        <f t="shared" si="5287"/>
        <v>TX</v>
      </c>
      <c r="F14452" t="str">
        <f>T("761271110")</f>
        <v>761271110</v>
      </c>
      <c r="G14452" t="str">
        <f>T("1048 BOYINGTON DR")</f>
        <v>1048 BOYINGTON DR</v>
      </c>
      <c r="H14452" t="str">
        <f>T("")</f>
        <v/>
      </c>
      <c r="I14452" t="str">
        <f t="shared" si="5288"/>
        <v>FORT WORTH</v>
      </c>
      <c r="J14452" t="str">
        <f t="shared" si="5289"/>
        <v>TX</v>
      </c>
      <c r="K14452" t="str">
        <f>T("8177827479")</f>
        <v>8177827479</v>
      </c>
      <c r="L14452" t="str">
        <f>T("8177823521")</f>
        <v>8177823521</v>
      </c>
    </row>
    <row r="14453" spans="1:12" x14ac:dyDescent="0.35">
      <c r="A14453" t="str">
        <f t="shared" si="5285"/>
        <v>CFLSW</v>
      </c>
      <c r="B14453" t="str">
        <f>T("1048 BOYINGTON DRIVE")</f>
        <v>1048 BOYINGTON DRIVE</v>
      </c>
      <c r="C14453" t="str">
        <f>T("VR59")</f>
        <v>VR59</v>
      </c>
      <c r="D14453" t="str">
        <f t="shared" si="5286"/>
        <v>FORT WORTH</v>
      </c>
      <c r="E14453" t="str">
        <f t="shared" si="5287"/>
        <v>TX</v>
      </c>
      <c r="F14453" t="str">
        <f>T("761271110")</f>
        <v>761271110</v>
      </c>
      <c r="G14453" t="str">
        <f>T("1048 BOYINGTON DRIVE")</f>
        <v>1048 BOYINGTON DRIVE</v>
      </c>
      <c r="H14453" t="str">
        <f>T("VR59")</f>
        <v>VR59</v>
      </c>
      <c r="I14453" t="str">
        <f t="shared" si="5288"/>
        <v>FORT WORTH</v>
      </c>
      <c r="J14453" t="str">
        <f t="shared" si="5289"/>
        <v>TX</v>
      </c>
      <c r="K14453" t="str">
        <f>T("817-782-7479")</f>
        <v>817-782-7479</v>
      </c>
      <c r="L14453" t="str">
        <f>T("8177827559")</f>
        <v>8177827559</v>
      </c>
    </row>
    <row r="14454" spans="1:12" x14ac:dyDescent="0.35">
      <c r="A14454" t="str">
        <f t="shared" si="5285"/>
        <v>CFLSW</v>
      </c>
      <c r="B14454" t="str">
        <f>T("1055 HERCULES ROAD")</f>
        <v>1055 HERCULES ROAD</v>
      </c>
      <c r="C14454" t="str">
        <f>T("AIMD MATERIAL CONTROL")</f>
        <v>AIMD MATERIAL CONTROL</v>
      </c>
      <c r="D14454" t="str">
        <f t="shared" si="5286"/>
        <v>FORT WORTH</v>
      </c>
      <c r="E14454" t="str">
        <f t="shared" si="5287"/>
        <v>TX</v>
      </c>
      <c r="F14454" t="str">
        <f>T("761271163")</f>
        <v>761271163</v>
      </c>
      <c r="G14454" t="str">
        <f>T("1055 HERCULES ROAD")</f>
        <v>1055 HERCULES ROAD</v>
      </c>
      <c r="H14454" t="str">
        <f>T("")</f>
        <v/>
      </c>
      <c r="I14454" t="str">
        <f t="shared" si="5288"/>
        <v>FORT WORTH</v>
      </c>
      <c r="J14454" t="str">
        <f t="shared" si="5289"/>
        <v>TX</v>
      </c>
      <c r="K14454" t="str">
        <f>T("8177825390")</f>
        <v>8177825390</v>
      </c>
      <c r="L14454" t="str">
        <f>T("8177823212")</f>
        <v>8177823212</v>
      </c>
    </row>
    <row r="14455" spans="1:12" x14ac:dyDescent="0.35">
      <c r="A14455" t="str">
        <f t="shared" si="5285"/>
        <v>CFLSW</v>
      </c>
      <c r="B14455" t="str">
        <f>T("1055 HERCULES ROAD")</f>
        <v>1055 HERCULES ROAD</v>
      </c>
      <c r="C14455" t="str">
        <f>T("AIMD MATERIAL CONTROL")</f>
        <v>AIMD MATERIAL CONTROL</v>
      </c>
      <c r="D14455" t="str">
        <f t="shared" si="5286"/>
        <v>FORT WORTH</v>
      </c>
      <c r="E14455" t="str">
        <f t="shared" si="5287"/>
        <v>TX</v>
      </c>
      <c r="F14455" t="str">
        <f>T("761271163")</f>
        <v>761271163</v>
      </c>
      <c r="G14455" t="str">
        <f>T("1055 HERCULES ROAD")</f>
        <v>1055 HERCULES ROAD</v>
      </c>
      <c r="H14455" t="str">
        <f>T("")</f>
        <v/>
      </c>
      <c r="I14455" t="str">
        <f t="shared" si="5288"/>
        <v>FORT WORTH</v>
      </c>
      <c r="J14455" t="str">
        <f t="shared" si="5289"/>
        <v>TX</v>
      </c>
      <c r="K14455" t="str">
        <f>T("8177825390")</f>
        <v>8177825390</v>
      </c>
      <c r="L14455" t="str">
        <f>T("8177825834")</f>
        <v>8177825834</v>
      </c>
    </row>
    <row r="14456" spans="1:12" x14ac:dyDescent="0.35">
      <c r="A14456" t="str">
        <f t="shared" si="5285"/>
        <v>CFLSW</v>
      </c>
      <c r="B14456" t="str">
        <f>T("1055 HERCULES ROAD")</f>
        <v>1055 HERCULES ROAD</v>
      </c>
      <c r="C14456" t="str">
        <f>T("AIMD MATERIAL CONTROL")</f>
        <v>AIMD MATERIAL CONTROL</v>
      </c>
      <c r="D14456" t="str">
        <f t="shared" si="5286"/>
        <v>FORT WORTH</v>
      </c>
      <c r="E14456" t="str">
        <f t="shared" si="5287"/>
        <v>TX</v>
      </c>
      <c r="F14456" t="str">
        <f>T("761271163")</f>
        <v>761271163</v>
      </c>
      <c r="G14456" t="str">
        <f>T("1055 HERCULES ROAD")</f>
        <v>1055 HERCULES ROAD</v>
      </c>
      <c r="H14456" t="str">
        <f>T("AIMD MATERIAL CONTROL")</f>
        <v>AIMD MATERIAL CONTROL</v>
      </c>
      <c r="I14456" t="str">
        <f t="shared" si="5288"/>
        <v>FORT WORTH</v>
      </c>
      <c r="J14456" t="str">
        <f t="shared" si="5289"/>
        <v>TX</v>
      </c>
      <c r="K14456" t="str">
        <f>T("000000000000000000")</f>
        <v>000000000000000000</v>
      </c>
      <c r="L14456" t="str">
        <f>T("5418708476")</f>
        <v>5418708476</v>
      </c>
    </row>
    <row r="14457" spans="1:12" x14ac:dyDescent="0.35">
      <c r="A14457" t="str">
        <f t="shared" si="5285"/>
        <v>CFLSW</v>
      </c>
      <c r="B14457" t="str">
        <f>T("1055 HERCULES ROAD")</f>
        <v>1055 HERCULES ROAD</v>
      </c>
      <c r="C14457" t="str">
        <f>T("AIMD MATERIAL CONTROL")</f>
        <v>AIMD MATERIAL CONTROL</v>
      </c>
      <c r="D14457" t="str">
        <f t="shared" si="5286"/>
        <v>FORT WORTH</v>
      </c>
      <c r="E14457" t="str">
        <f t="shared" si="5287"/>
        <v>TX</v>
      </c>
      <c r="F14457" t="str">
        <f>T("761271163")</f>
        <v>761271163</v>
      </c>
      <c r="G14457" t="str">
        <f>T("FRCSW FORT WORTH")</f>
        <v>FRCSW FORT WORTH</v>
      </c>
      <c r="H14457" t="str">
        <f>T("1055 HERCULES RD")</f>
        <v>1055 HERCULES RD</v>
      </c>
      <c r="I14457" t="str">
        <f t="shared" si="5288"/>
        <v>FORT WORTH</v>
      </c>
      <c r="J14457" t="str">
        <f t="shared" si="5289"/>
        <v>TX</v>
      </c>
      <c r="K14457" t="str">
        <f>T("000000000000000000")</f>
        <v>000000000000000000</v>
      </c>
      <c r="L14457" t="str">
        <f>T("8177825390")</f>
        <v>8177825390</v>
      </c>
    </row>
    <row r="14458" spans="1:12" x14ac:dyDescent="0.35">
      <c r="A14458" t="str">
        <f t="shared" si="5285"/>
        <v>CFLSW</v>
      </c>
      <c r="B14458" t="str">
        <f>T("1251 MILITARY PKWY")</f>
        <v>1251 MILITARY PKWY</v>
      </c>
      <c r="C14458" t="str">
        <f>T("")</f>
        <v/>
      </c>
      <c r="D14458" t="str">
        <f t="shared" si="5286"/>
        <v>FORT WORTH</v>
      </c>
      <c r="E14458" t="str">
        <f t="shared" si="5287"/>
        <v>TX</v>
      </c>
      <c r="F14458" t="str">
        <f>T("761271063")</f>
        <v>761271063</v>
      </c>
      <c r="G14458" t="str">
        <f>T("1251 MILITARY PKWY")</f>
        <v>1251 MILITARY PKWY</v>
      </c>
      <c r="H14458" t="str">
        <f>T("")</f>
        <v/>
      </c>
      <c r="I14458" t="str">
        <f t="shared" si="5288"/>
        <v>FORT WORTH</v>
      </c>
      <c r="J14458" t="str">
        <f t="shared" si="5289"/>
        <v>TX</v>
      </c>
      <c r="K14458" t="str">
        <f>T("8177826371")</f>
        <v>8177826371</v>
      </c>
      <c r="L14458" t="str">
        <f>T("8177827462")</f>
        <v>8177827462</v>
      </c>
    </row>
    <row r="14459" spans="1:12" x14ac:dyDescent="0.35">
      <c r="A14459" t="str">
        <f t="shared" si="5285"/>
        <v>CFLSW</v>
      </c>
      <c r="B14459" t="str">
        <f>T("1251 MILITARY PKWY")</f>
        <v>1251 MILITARY PKWY</v>
      </c>
      <c r="C14459" t="str">
        <f>T("")</f>
        <v/>
      </c>
      <c r="D14459" t="str">
        <f t="shared" si="5286"/>
        <v>FORT WORTH</v>
      </c>
      <c r="E14459" t="str">
        <f t="shared" si="5287"/>
        <v>TX</v>
      </c>
      <c r="F14459" t="str">
        <f>T("761271063")</f>
        <v>761271063</v>
      </c>
      <c r="G14459" t="str">
        <f>T("1251 MILITARY PKWY")</f>
        <v>1251 MILITARY PKWY</v>
      </c>
      <c r="H14459" t="str">
        <f>T("")</f>
        <v/>
      </c>
      <c r="I14459" t="str">
        <f t="shared" si="5288"/>
        <v>FORT WORTH</v>
      </c>
      <c r="J14459" t="str">
        <f t="shared" si="5289"/>
        <v>TX</v>
      </c>
      <c r="K14459" t="str">
        <f>T("8177827773")</f>
        <v>8177827773</v>
      </c>
      <c r="L14459" t="str">
        <f>T("8177827362")</f>
        <v>8177827362</v>
      </c>
    </row>
    <row r="14460" spans="1:12" x14ac:dyDescent="0.35">
      <c r="A14460" t="str">
        <f t="shared" si="5285"/>
        <v>CFLSW</v>
      </c>
      <c r="B14460" t="str">
        <f>T("1251 MILITARY PKWY")</f>
        <v>1251 MILITARY PKWY</v>
      </c>
      <c r="C14460" t="str">
        <f>T("")</f>
        <v/>
      </c>
      <c r="D14460" t="str">
        <f t="shared" si="5286"/>
        <v>FORT WORTH</v>
      </c>
      <c r="E14460" t="str">
        <f t="shared" si="5287"/>
        <v>TX</v>
      </c>
      <c r="F14460" t="str">
        <f>T("761271063")</f>
        <v>761271063</v>
      </c>
      <c r="G14460" t="str">
        <f>T("1251 MILITARY PKWY")</f>
        <v>1251 MILITARY PKWY</v>
      </c>
      <c r="H14460" t="str">
        <f>T("")</f>
        <v/>
      </c>
      <c r="I14460" t="str">
        <f t="shared" si="5288"/>
        <v>FORT WORTH</v>
      </c>
      <c r="J14460" t="str">
        <f t="shared" si="5289"/>
        <v>TX</v>
      </c>
      <c r="K14460" t="str">
        <f>T("8177827773")</f>
        <v>8177827773</v>
      </c>
      <c r="L14460" t="str">
        <f>T("8177827811")</f>
        <v>8177827811</v>
      </c>
    </row>
    <row r="14461" spans="1:12" x14ac:dyDescent="0.35">
      <c r="A14461" t="str">
        <f t="shared" si="5285"/>
        <v>CFLSW</v>
      </c>
      <c r="B14461" t="str">
        <f>T("1445 BURKE AVE")</f>
        <v>1445 BURKE AVE</v>
      </c>
      <c r="C14461" t="str">
        <f>T("COMFLELOGSUPPWING")</f>
        <v>COMFLELOGSUPPWING</v>
      </c>
      <c r="D14461" t="str">
        <f t="shared" si="5286"/>
        <v>FORT WORTH</v>
      </c>
      <c r="E14461" t="str">
        <f t="shared" si="5287"/>
        <v>TX</v>
      </c>
      <c r="F14461" t="str">
        <f>T("761271027")</f>
        <v>761271027</v>
      </c>
      <c r="G14461" t="str">
        <f>T("1445 BURKE AVE")</f>
        <v>1445 BURKE AVE</v>
      </c>
      <c r="H14461" t="str">
        <f>T("COMFLELOGSUPPWING")</f>
        <v>COMFLELOGSUPPWING</v>
      </c>
      <c r="I14461" t="str">
        <f t="shared" si="5288"/>
        <v>FORT WORTH</v>
      </c>
      <c r="J14461" t="str">
        <f t="shared" si="5289"/>
        <v>TX</v>
      </c>
      <c r="K14461" t="str">
        <f>T("8177827972")</f>
        <v>8177827972</v>
      </c>
      <c r="L14461" t="str">
        <f>T("8177826318")</f>
        <v>8177826318</v>
      </c>
    </row>
    <row r="14462" spans="1:12" x14ac:dyDescent="0.35">
      <c r="A14462" t="str">
        <f t="shared" si="5285"/>
        <v>CFLSW</v>
      </c>
      <c r="B14462" t="str">
        <f>T("1445 BURKE AVE")</f>
        <v>1445 BURKE AVE</v>
      </c>
      <c r="C14462" t="str">
        <f>T("COMFLELOGSUPPWING")</f>
        <v>COMFLELOGSUPPWING</v>
      </c>
      <c r="D14462" t="str">
        <f t="shared" si="5286"/>
        <v>FORT WORTH</v>
      </c>
      <c r="E14462" t="str">
        <f t="shared" si="5287"/>
        <v>TX</v>
      </c>
      <c r="F14462" t="str">
        <f>T("761271027")</f>
        <v>761271027</v>
      </c>
      <c r="G14462" t="str">
        <f>T("1445 BURKE AVE")</f>
        <v>1445 BURKE AVE</v>
      </c>
      <c r="H14462" t="str">
        <f>T("NAS JRB")</f>
        <v>NAS JRB</v>
      </c>
      <c r="I14462" t="str">
        <f t="shared" si="5288"/>
        <v>FORT WORTH</v>
      </c>
      <c r="J14462" t="str">
        <f t="shared" si="5289"/>
        <v>TX</v>
      </c>
      <c r="K14462" t="str">
        <f>T("8177825595")</f>
        <v>8177825595</v>
      </c>
      <c r="L14462" t="str">
        <f>T("8177826321")</f>
        <v>8177826321</v>
      </c>
    </row>
    <row r="14463" spans="1:12" x14ac:dyDescent="0.35">
      <c r="A14463" t="str">
        <f t="shared" si="5285"/>
        <v>CFLSW</v>
      </c>
      <c r="B14463" t="str">
        <f>T("290 VICKERS AVE")</f>
        <v>290 VICKERS AVE</v>
      </c>
      <c r="C14463" t="str">
        <f>T("BLDG 1050")</f>
        <v>BLDG 1050</v>
      </c>
      <c r="D14463" t="str">
        <f>T("HICKAM AFB")</f>
        <v>HICKAM AFB</v>
      </c>
      <c r="E14463" t="str">
        <f>T("HI")</f>
        <v>HI</v>
      </c>
      <c r="F14463" t="str">
        <f>T("968535272")</f>
        <v>968535272</v>
      </c>
      <c r="G14463" t="str">
        <f>T("290 VICKERS AVE")</f>
        <v>290 VICKERS AVE</v>
      </c>
      <c r="H14463" t="str">
        <f>T("BLDG 1050")</f>
        <v>BLDG 1050</v>
      </c>
      <c r="I14463" t="str">
        <f>T("HICKAM AFB")</f>
        <v>HICKAM AFB</v>
      </c>
      <c r="J14463" t="str">
        <f>T("HI")</f>
        <v>HI</v>
      </c>
      <c r="K14463" t="str">
        <f>T("8084497083")</f>
        <v>8084497083</v>
      </c>
      <c r="L14463" t="str">
        <f>T("1111111111")</f>
        <v>1111111111</v>
      </c>
    </row>
    <row r="14464" spans="1:12" x14ac:dyDescent="0.35">
      <c r="A14464" t="str">
        <f t="shared" si="5285"/>
        <v>CFLSW</v>
      </c>
      <c r="B14464" t="str">
        <f>T("290 VICKERS AVE")</f>
        <v>290 VICKERS AVE</v>
      </c>
      <c r="C14464" t="str">
        <f>T("BLDG 1050")</f>
        <v>BLDG 1050</v>
      </c>
      <c r="D14464" t="str">
        <f>T("HICKAM AFB")</f>
        <v>HICKAM AFB</v>
      </c>
      <c r="E14464" t="str">
        <f>T("HI")</f>
        <v>HI</v>
      </c>
      <c r="F14464" t="str">
        <f>T("968535272")</f>
        <v>968535272</v>
      </c>
      <c r="G14464" t="str">
        <f>T("290 VICKERS AVE")</f>
        <v>290 VICKERS AVE</v>
      </c>
      <c r="H14464" t="str">
        <f>T("BLDG 1050")</f>
        <v>BLDG 1050</v>
      </c>
      <c r="I14464" t="str">
        <f>T("HICKAM AFB")</f>
        <v>HICKAM AFB</v>
      </c>
      <c r="J14464" t="str">
        <f>T("HI")</f>
        <v>HI</v>
      </c>
      <c r="K14464" t="str">
        <f>T("8084497083")</f>
        <v>8084497083</v>
      </c>
      <c r="L14464" t="str">
        <f>T("8084489278")</f>
        <v>8084489278</v>
      </c>
    </row>
    <row r="14465" spans="1:12" x14ac:dyDescent="0.35">
      <c r="A14465" t="str">
        <f t="shared" si="5285"/>
        <v>CFLSW</v>
      </c>
      <c r="B14465" t="str">
        <f>T("3690 N RANGER ST")</f>
        <v>3690 N RANGER ST</v>
      </c>
      <c r="C14465" t="str">
        <f t="shared" ref="C14465:C14470" si="5290">T("")</f>
        <v/>
      </c>
      <c r="D14465" t="str">
        <f>T("OAK HARBOR")</f>
        <v>OAK HARBOR</v>
      </c>
      <c r="E14465" t="str">
        <f>T("WA")</f>
        <v>WA</v>
      </c>
      <c r="F14465" t="str">
        <f>T("982784926")</f>
        <v>982784926</v>
      </c>
      <c r="G14465" t="str">
        <f>T("3690 N RANGER ST")</f>
        <v>3690 N RANGER ST</v>
      </c>
      <c r="H14465" t="str">
        <f>T("")</f>
        <v/>
      </c>
      <c r="I14465" t="str">
        <f>T("OAK HARBOR")</f>
        <v>OAK HARBOR</v>
      </c>
      <c r="J14465" t="str">
        <f>T("WA")</f>
        <v>WA</v>
      </c>
      <c r="K14465" t="str">
        <f>T("360-257-5023")</f>
        <v>360-257-5023</v>
      </c>
      <c r="L14465" t="str">
        <f>T("3602578708")</f>
        <v>3602578708</v>
      </c>
    </row>
    <row r="14466" spans="1:12" x14ac:dyDescent="0.35">
      <c r="A14466" t="str">
        <f t="shared" si="5285"/>
        <v>CFLSW</v>
      </c>
      <c r="B14466" t="str">
        <f>T("3690 N RANGER ST")</f>
        <v>3690 N RANGER ST</v>
      </c>
      <c r="C14466" t="str">
        <f t="shared" si="5290"/>
        <v/>
      </c>
      <c r="D14466" t="str">
        <f>T("OAK HARBOR")</f>
        <v>OAK HARBOR</v>
      </c>
      <c r="E14466" t="str">
        <f>T("WA")</f>
        <v>WA</v>
      </c>
      <c r="F14466" t="str">
        <f>T("982784926")</f>
        <v>982784926</v>
      </c>
      <c r="G14466" t="str">
        <f>T("FLELOGSUPRON 61")</f>
        <v>FLELOGSUPRON 61</v>
      </c>
      <c r="H14466" t="str">
        <f>T("3690 N RANGER ST")</f>
        <v>3690 N RANGER ST</v>
      </c>
      <c r="I14466" t="str">
        <f>T("OAK HARBOR")</f>
        <v>OAK HARBOR</v>
      </c>
      <c r="J14466" t="str">
        <f>T("WA")</f>
        <v>WA</v>
      </c>
      <c r="K14466" t="str">
        <f>T("3602575023")</f>
        <v>3602575023</v>
      </c>
      <c r="L14466" t="str">
        <f>T("3602575021")</f>
        <v>3602575021</v>
      </c>
    </row>
    <row r="14467" spans="1:12" x14ac:dyDescent="0.35">
      <c r="A14467" t="str">
        <f t="shared" si="5285"/>
        <v>CFLSW</v>
      </c>
      <c r="B14467" t="str">
        <f>T("3690 N RANGER ST")</f>
        <v>3690 N RANGER ST</v>
      </c>
      <c r="C14467" t="str">
        <f t="shared" si="5290"/>
        <v/>
      </c>
      <c r="D14467" t="str">
        <f>T("OAK HARBOR")</f>
        <v>OAK HARBOR</v>
      </c>
      <c r="E14467" t="str">
        <f>T("WA")</f>
        <v>WA</v>
      </c>
      <c r="F14467" t="str">
        <f>T("982784926")</f>
        <v>982784926</v>
      </c>
      <c r="G14467" t="str">
        <f>T("VR-61")</f>
        <v>VR-61</v>
      </c>
      <c r="H14467" t="str">
        <f>T("NORTH RANGER ST")</f>
        <v>NORTH RANGER ST</v>
      </c>
      <c r="I14467" t="str">
        <f>T("OAK HARBOR")</f>
        <v>OAK HARBOR</v>
      </c>
      <c r="J14467" t="str">
        <f>T("WA")</f>
        <v>WA</v>
      </c>
      <c r="K14467" t="str">
        <f>T("3602575023")</f>
        <v>3602575023</v>
      </c>
      <c r="L14467" t="str">
        <f>T("3602575021")</f>
        <v>3602575021</v>
      </c>
    </row>
    <row r="14468" spans="1:12" x14ac:dyDescent="0.35">
      <c r="A14468" t="str">
        <f t="shared" si="5285"/>
        <v>CFLSW</v>
      </c>
      <c r="B14468" t="str">
        <f>T("677 RONALD REAGAN BLVD")</f>
        <v>677 RONALD REAGAN BLVD</v>
      </c>
      <c r="C14468" t="str">
        <f t="shared" si="5290"/>
        <v/>
      </c>
      <c r="D14468" t="str">
        <f>T("PT MUGU NAWC")</f>
        <v>PT MUGU NAWC</v>
      </c>
      <c r="E14468" t="str">
        <f>T("CA")</f>
        <v>CA</v>
      </c>
      <c r="F14468" t="str">
        <f>T("930420001")</f>
        <v>930420001</v>
      </c>
      <c r="G14468" t="str">
        <f>T("667 RONALD REAGAN BLVD")</f>
        <v>667 RONALD REAGAN BLVD</v>
      </c>
      <c r="H14468" t="str">
        <f>T("HANGER 34")</f>
        <v>HANGER 34</v>
      </c>
      <c r="I14468" t="str">
        <f>T("POINT MUGU")</f>
        <v>POINT MUGU</v>
      </c>
      <c r="J14468" t="str">
        <f>T("CA")</f>
        <v>CA</v>
      </c>
      <c r="K14468" t="str">
        <f>T("8059895060")</f>
        <v>8059895060</v>
      </c>
      <c r="L14468" t="str">
        <f>T("8059895095")</f>
        <v>8059895095</v>
      </c>
    </row>
    <row r="14469" spans="1:12" x14ac:dyDescent="0.35">
      <c r="A14469" t="str">
        <f t="shared" si="5285"/>
        <v>CFLSW</v>
      </c>
      <c r="B14469" t="str">
        <f>T("677 RONALD REAGAN BLVD")</f>
        <v>677 RONALD REAGAN BLVD</v>
      </c>
      <c r="C14469" t="str">
        <f t="shared" si="5290"/>
        <v/>
      </c>
      <c r="D14469" t="str">
        <f>T("PT MUGU NAWC")</f>
        <v>PT MUGU NAWC</v>
      </c>
      <c r="E14469" t="str">
        <f>T("CA")</f>
        <v>CA</v>
      </c>
      <c r="F14469" t="str">
        <f>T("930420001")</f>
        <v>930420001</v>
      </c>
      <c r="G14469" t="str">
        <f>T("677 RONALD REAGAN BLVD")</f>
        <v>677 RONALD REAGAN BLVD</v>
      </c>
      <c r="H14469" t="str">
        <f>T("")</f>
        <v/>
      </c>
      <c r="I14469" t="str">
        <f>T("PT MUGU NAWC")</f>
        <v>PT MUGU NAWC</v>
      </c>
      <c r="J14469" t="str">
        <f>T("CA")</f>
        <v>CA</v>
      </c>
      <c r="K14469" t="str">
        <f>T("")</f>
        <v/>
      </c>
      <c r="L14469" t="str">
        <f>T("8059895074")</f>
        <v>8059895074</v>
      </c>
    </row>
    <row r="14470" spans="1:12" x14ac:dyDescent="0.35">
      <c r="A14470" t="str">
        <f t="shared" si="5285"/>
        <v>CFLSW</v>
      </c>
      <c r="B14470" t="str">
        <f>T("677 RONALD REAGAN BLVD")</f>
        <v>677 RONALD REAGAN BLVD</v>
      </c>
      <c r="C14470" t="str">
        <f t="shared" si="5290"/>
        <v/>
      </c>
      <c r="D14470" t="str">
        <f>T("PT MUGU NAWC")</f>
        <v>PT MUGU NAWC</v>
      </c>
      <c r="E14470" t="str">
        <f>T("CA")</f>
        <v>CA</v>
      </c>
      <c r="F14470" t="str">
        <f>T("930420001")</f>
        <v>930420001</v>
      </c>
      <c r="G14470" t="str">
        <f>T("VR-55")</f>
        <v>VR-55</v>
      </c>
      <c r="H14470" t="str">
        <f>T("667 RONALD REAGAN BLVD HGR 34")</f>
        <v>667 RONALD REAGAN BLVD HGR 34</v>
      </c>
      <c r="I14470" t="str">
        <f>T("POINT MUGU")</f>
        <v>POINT MUGU</v>
      </c>
      <c r="J14470" t="str">
        <f>T("CA")</f>
        <v>CA</v>
      </c>
      <c r="K14470" t="str">
        <f>T("8059898490")</f>
        <v>8059898490</v>
      </c>
      <c r="L14470" t="str">
        <f>T("8059895095")</f>
        <v>8059895095</v>
      </c>
    </row>
    <row r="14471" spans="1:12" x14ac:dyDescent="0.35">
      <c r="A14471" t="str">
        <f t="shared" si="5285"/>
        <v>CFLSW</v>
      </c>
      <c r="B14471" t="str">
        <f>T("766 B AVE HANGAR 56 NAS OCEANA")</f>
        <v>766 B AVE HANGAR 56 NAS OCEANA</v>
      </c>
      <c r="C14471" t="str">
        <f>T("SUITE 200")</f>
        <v>SUITE 200</v>
      </c>
      <c r="D14471" t="str">
        <f>T("VIRGINIA BEACH")</f>
        <v>VIRGINIA BEACH</v>
      </c>
      <c r="E14471" t="str">
        <f>T("VA")</f>
        <v>VA</v>
      </c>
      <c r="F14471" t="str">
        <f>T("234602224")</f>
        <v>234602224</v>
      </c>
      <c r="G14471" t="str">
        <f>T("766 AVE B HANGAR 56")</f>
        <v>766 AVE B HANGAR 56</v>
      </c>
      <c r="H14471" t="str">
        <f>T("")</f>
        <v/>
      </c>
      <c r="I14471" t="str">
        <f>T("VIRGINIA BEACH")</f>
        <v>VIRGINIA BEACH</v>
      </c>
      <c r="J14471" t="str">
        <f>T("VA")</f>
        <v>VA</v>
      </c>
      <c r="K14471" t="str">
        <f>T("7574336108")</f>
        <v>7574336108</v>
      </c>
      <c r="L14471" t="str">
        <f>T("7574336093")</f>
        <v>7574336093</v>
      </c>
    </row>
    <row r="14472" spans="1:12" x14ac:dyDescent="0.35">
      <c r="A14472" t="str">
        <f t="shared" si="5285"/>
        <v>CFLSW</v>
      </c>
      <c r="B14472" t="str">
        <f>T("766 B AVE HANGAR 56 NAS OCEANA")</f>
        <v>766 B AVE HANGAR 56 NAS OCEANA</v>
      </c>
      <c r="C14472" t="str">
        <f>T("SUITE 200")</f>
        <v>SUITE 200</v>
      </c>
      <c r="D14472" t="str">
        <f>T("VIRGINIA BEACH")</f>
        <v>VIRGINIA BEACH</v>
      </c>
      <c r="E14472" t="str">
        <f>T("VA")</f>
        <v>VA</v>
      </c>
      <c r="F14472" t="str">
        <f>T("234602224")</f>
        <v>234602224</v>
      </c>
      <c r="G14472" t="str">
        <f>T("766 B AVE")</f>
        <v>766 B AVE</v>
      </c>
      <c r="H14472" t="str">
        <f>T("HANGAR 56")</f>
        <v>HANGAR 56</v>
      </c>
      <c r="I14472" t="str">
        <f>T("VIRGINIA BEACH")</f>
        <v>VIRGINIA BEACH</v>
      </c>
      <c r="J14472" t="str">
        <f>T("VA")</f>
        <v>VA</v>
      </c>
      <c r="K14472" t="str">
        <f>T("7574336108")</f>
        <v>7574336108</v>
      </c>
      <c r="L14472" t="str">
        <f>T("7574336093")</f>
        <v>7574336093</v>
      </c>
    </row>
    <row r="14473" spans="1:12" x14ac:dyDescent="0.35">
      <c r="A14473" t="str">
        <f t="shared" si="5285"/>
        <v>CFLSW</v>
      </c>
      <c r="B14473" t="str">
        <f>T("766 B AVE HANGAR 56 NAS OCEANA")</f>
        <v>766 B AVE HANGAR 56 NAS OCEANA</v>
      </c>
      <c r="C14473" t="str">
        <f>T("SUITE 200")</f>
        <v>SUITE 200</v>
      </c>
      <c r="D14473" t="str">
        <f>T("VIRGINIA BEACH")</f>
        <v>VIRGINIA BEACH</v>
      </c>
      <c r="E14473" t="str">
        <f>T("VA")</f>
        <v>VA</v>
      </c>
      <c r="F14473" t="str">
        <f>T("234602224")</f>
        <v>234602224</v>
      </c>
      <c r="G14473" t="str">
        <f>T("766 B AVE HANGAR 56 NAS OCEANA")</f>
        <v>766 B AVE HANGAR 56 NAS OCEANA</v>
      </c>
      <c r="H14473" t="str">
        <f>T("SUITE 200")</f>
        <v>SUITE 200</v>
      </c>
      <c r="I14473" t="str">
        <f>T("VIRGINIA BEACH")</f>
        <v>VIRGINIA BEACH</v>
      </c>
      <c r="J14473" t="str">
        <f>T("VA")</f>
        <v>VA</v>
      </c>
      <c r="K14473" t="str">
        <f>T("757-433-4097")</f>
        <v>757-433-4097</v>
      </c>
      <c r="L14473" t="str">
        <f>T("7574336113")</f>
        <v>7574336113</v>
      </c>
    </row>
    <row r="14474" spans="1:12" x14ac:dyDescent="0.35">
      <c r="A14474" t="str">
        <f t="shared" si="5285"/>
        <v>CFLSW</v>
      </c>
      <c r="B14474" t="str">
        <f>T("766 B AVE HANGAR 56 NAS OCEANA")</f>
        <v>766 B AVE HANGAR 56 NAS OCEANA</v>
      </c>
      <c r="C14474" t="str">
        <f>T("SUITE 200")</f>
        <v>SUITE 200</v>
      </c>
      <c r="D14474" t="str">
        <f>T("VIRGINIA BEACH")</f>
        <v>VIRGINIA BEACH</v>
      </c>
      <c r="E14474" t="str">
        <f>T("VA")</f>
        <v>VA</v>
      </c>
      <c r="F14474" t="str">
        <f>T("234602224")</f>
        <v>234602224</v>
      </c>
      <c r="G14474" t="str">
        <f>T("VR-56")</f>
        <v>VR-56</v>
      </c>
      <c r="H14474" t="str">
        <f>T("766 B AVE")</f>
        <v>766 B AVE</v>
      </c>
      <c r="I14474" t="str">
        <f>T("VIRGINIA BEACH")</f>
        <v>VIRGINIA BEACH</v>
      </c>
      <c r="J14474" t="str">
        <f>T("VA")</f>
        <v>VA</v>
      </c>
      <c r="K14474" t="str">
        <f>T("7574336108")</f>
        <v>7574336108</v>
      </c>
      <c r="L14474" t="str">
        <f>T("7574336093")</f>
        <v>7574336093</v>
      </c>
    </row>
    <row r="14475" spans="1:12" x14ac:dyDescent="0.35">
      <c r="A14475" t="str">
        <f t="shared" si="5285"/>
        <v>CFLSW</v>
      </c>
      <c r="B14475" t="str">
        <f>T("BLDG 3370")</f>
        <v>BLDG 3370</v>
      </c>
      <c r="C14475" t="str">
        <f>T("WONNACOTT AVENUE")</f>
        <v>WONNACOTT AVENUE</v>
      </c>
      <c r="D14475" t="str">
        <f>T("JB MD LAKEHURST")</f>
        <v>JB MD LAKEHURST</v>
      </c>
      <c r="E14475" t="str">
        <f>T("NJ")</f>
        <v>NJ</v>
      </c>
      <c r="F14475" t="str">
        <f>T("018648641")</f>
        <v>018648641</v>
      </c>
      <c r="G14475" t="str">
        <f>T("3370 WONNACOTT AVE")</f>
        <v>3370 WONNACOTT AVE</v>
      </c>
      <c r="H14475" t="str">
        <f>T("JBMDL")</f>
        <v>JBMDL</v>
      </c>
      <c r="I14475" t="str">
        <f>T("FORT DIX")</f>
        <v>FORT DIX</v>
      </c>
      <c r="J14475" t="str">
        <f>T("NJ")</f>
        <v>NJ</v>
      </c>
      <c r="K14475" t="str">
        <f>T("6097542206")</f>
        <v>6097542206</v>
      </c>
      <c r="L14475" t="str">
        <f>T("6097540967")</f>
        <v>6097540967</v>
      </c>
    </row>
    <row r="14476" spans="1:12" x14ac:dyDescent="0.35">
      <c r="A14476" t="str">
        <f t="shared" si="5285"/>
        <v>CFLSW</v>
      </c>
      <c r="B14476" t="str">
        <f>T("BLDG 3370")</f>
        <v>BLDG 3370</v>
      </c>
      <c r="C14476" t="str">
        <f>T("WONNACOTT AVENUE")</f>
        <v>WONNACOTT AVENUE</v>
      </c>
      <c r="D14476" t="str">
        <f>T("JB MD LAKEHURST")</f>
        <v>JB MD LAKEHURST</v>
      </c>
      <c r="E14476" t="str">
        <f>T("NJ")</f>
        <v>NJ</v>
      </c>
      <c r="F14476" t="str">
        <f>T("018648641")</f>
        <v>018648641</v>
      </c>
      <c r="G14476" t="str">
        <f>T("3370 WONNACOTT AVE")</f>
        <v>3370 WONNACOTT AVE</v>
      </c>
      <c r="H14476" t="str">
        <f>T("VR-64")</f>
        <v>VR-64</v>
      </c>
      <c r="I14476" t="str">
        <f>T("JOINT BASE M D L")</f>
        <v>JOINT BASE M D L</v>
      </c>
      <c r="J14476" t="str">
        <f>T("NJ")</f>
        <v>NJ</v>
      </c>
      <c r="K14476" t="str">
        <f>T("6097542206")</f>
        <v>6097542206</v>
      </c>
      <c r="L14476" t="str">
        <f>T("6097540967")</f>
        <v>6097540967</v>
      </c>
    </row>
    <row r="14477" spans="1:12" x14ac:dyDescent="0.35">
      <c r="A14477" t="str">
        <f t="shared" si="5285"/>
        <v>CFLSW</v>
      </c>
      <c r="B14477" t="str">
        <f>T("BLDG 3370")</f>
        <v>BLDG 3370</v>
      </c>
      <c r="C14477" t="str">
        <f>T("WONNACOTT AVENUE")</f>
        <v>WONNACOTT AVENUE</v>
      </c>
      <c r="D14477" t="str">
        <f>T("JB MD LAKEHURST")</f>
        <v>JB MD LAKEHURST</v>
      </c>
      <c r="E14477" t="str">
        <f>T("NJ")</f>
        <v>NJ</v>
      </c>
      <c r="F14477" t="str">
        <f>T("018648641")</f>
        <v>018648641</v>
      </c>
      <c r="G14477" t="str">
        <f>T("3370 WONNACOTT AVE JBMDL")</f>
        <v>3370 WONNACOTT AVE JBMDL</v>
      </c>
      <c r="H14477" t="str">
        <f>T("")</f>
        <v/>
      </c>
      <c r="I14477" t="str">
        <f>T("FORT DIX")</f>
        <v>FORT DIX</v>
      </c>
      <c r="J14477" t="str">
        <f>T("NJ")</f>
        <v>NJ</v>
      </c>
      <c r="K14477" t="str">
        <f>T("6097542206")</f>
        <v>6097542206</v>
      </c>
      <c r="L14477" t="str">
        <f>T("6097540967")</f>
        <v>6097540967</v>
      </c>
    </row>
    <row r="14478" spans="1:12" x14ac:dyDescent="0.35">
      <c r="A14478" t="str">
        <f t="shared" ref="A14478:A14505" si="5291">T("CFLSW")</f>
        <v>CFLSW</v>
      </c>
      <c r="B14478" t="str">
        <f>T("BLDG 3370")</f>
        <v>BLDG 3370</v>
      </c>
      <c r="C14478" t="str">
        <f>T("WONNACOTT AVENUE")</f>
        <v>WONNACOTT AVENUE</v>
      </c>
      <c r="D14478" t="str">
        <f>T("JB MD LAKEHURST")</f>
        <v>JB MD LAKEHURST</v>
      </c>
      <c r="E14478" t="str">
        <f>T("NJ")</f>
        <v>NJ</v>
      </c>
      <c r="F14478" t="str">
        <f>T("018648641")</f>
        <v>018648641</v>
      </c>
      <c r="G14478" t="str">
        <f>T("BLDG 3370")</f>
        <v>BLDG 3370</v>
      </c>
      <c r="H14478" t="str">
        <f>T("WONNACOTT AVENUE")</f>
        <v>WONNACOTT AVENUE</v>
      </c>
      <c r="I14478" t="str">
        <f>T("JB MD LAKEHURST")</f>
        <v>JB MD LAKEHURST</v>
      </c>
      <c r="J14478" t="str">
        <f>T("NJ")</f>
        <v>NJ</v>
      </c>
      <c r="K14478" t="str">
        <f>T("")</f>
        <v/>
      </c>
      <c r="L14478" t="str">
        <f>T("6097540975")</f>
        <v>6097540975</v>
      </c>
    </row>
    <row r="14479" spans="1:12" x14ac:dyDescent="0.35">
      <c r="A14479" t="str">
        <f t="shared" si="5291"/>
        <v>CFLSW</v>
      </c>
      <c r="B14479" t="str">
        <f>T("CFLSWDET ASD NEW ORLEANS")</f>
        <v>CFLSWDET ASD NEW ORLEANS</v>
      </c>
      <c r="C14479" t="str">
        <f>T("400 RUSSELL AVE BLDG 480")</f>
        <v>400 RUSSELL AVE BLDG 480</v>
      </c>
      <c r="D14479" t="str">
        <f>T("NEW ORLEANS")</f>
        <v>NEW ORLEANS</v>
      </c>
      <c r="E14479" t="str">
        <f>T("LA")</f>
        <v>LA</v>
      </c>
      <c r="F14479" t="str">
        <f>T("701435077")</f>
        <v>701435077</v>
      </c>
      <c r="G14479" t="str">
        <f>T("400 RUSSELL AVE BLDG 480")</f>
        <v>400 RUSSELL AVE BLDG 480</v>
      </c>
      <c r="H14479" t="str">
        <f>T("")</f>
        <v/>
      </c>
      <c r="I14479" t="str">
        <f>T("NEW ORLEANS")</f>
        <v>NEW ORLEANS</v>
      </c>
      <c r="J14479" t="str">
        <f>T("LA")</f>
        <v>LA</v>
      </c>
      <c r="K14479" t="str">
        <f>T("5046784587")</f>
        <v>5046784587</v>
      </c>
      <c r="L14479" t="str">
        <f>T("5046784587")</f>
        <v>5046784587</v>
      </c>
    </row>
    <row r="14480" spans="1:12" x14ac:dyDescent="0.35">
      <c r="A14480" t="str">
        <f t="shared" si="5291"/>
        <v>CFLSW</v>
      </c>
      <c r="B14480" t="str">
        <f>T("CFLSWDET ASD NEW ORLEANS")</f>
        <v>CFLSWDET ASD NEW ORLEANS</v>
      </c>
      <c r="C14480" t="str">
        <f>T("400 RUSSELL AVE BLDG 480")</f>
        <v>400 RUSSELL AVE BLDG 480</v>
      </c>
      <c r="D14480" t="str">
        <f>T("NEW ORLEANS")</f>
        <v>NEW ORLEANS</v>
      </c>
      <c r="E14480" t="str">
        <f>T("LA")</f>
        <v>LA</v>
      </c>
      <c r="F14480" t="str">
        <f>T("701435077")</f>
        <v>701435077</v>
      </c>
      <c r="G14480" t="str">
        <f>T("CFLSWDET ASD NEW ORLEANS")</f>
        <v>CFLSWDET ASD NEW ORLEANS</v>
      </c>
      <c r="H14480" t="str">
        <f>T("400 RUSSELL AVE BLDG 480")</f>
        <v>400 RUSSELL AVE BLDG 480</v>
      </c>
      <c r="I14480" t="str">
        <f>T("NEW ORLEANS")</f>
        <v>NEW ORLEANS</v>
      </c>
      <c r="J14480" t="str">
        <f>T("LA")</f>
        <v>LA</v>
      </c>
      <c r="K14480" t="str">
        <f>T("5046784587")</f>
        <v>5046784587</v>
      </c>
      <c r="L14480" t="str">
        <f>T("5046784614")</f>
        <v>5046784614</v>
      </c>
    </row>
    <row r="14481" spans="1:12" x14ac:dyDescent="0.35">
      <c r="A14481" t="str">
        <f t="shared" si="5291"/>
        <v>CFLSW</v>
      </c>
      <c r="B14481" t="str">
        <f>T("ETD SIGONELLA")</f>
        <v>ETD SIGONELLA</v>
      </c>
      <c r="C14481" t="str">
        <f>T("PSC 812 BOX 3190")</f>
        <v>PSC 812 BOX 3190</v>
      </c>
      <c r="D14481" t="str">
        <f>T("FPO")</f>
        <v>FPO</v>
      </c>
      <c r="E14481" t="str">
        <f>T("AE")</f>
        <v>AE</v>
      </c>
      <c r="F14481" t="str">
        <f>T("096270032")</f>
        <v>096270032</v>
      </c>
      <c r="G14481" t="str">
        <f>T("ETD SIGONELLA")</f>
        <v>ETD SIGONELLA</v>
      </c>
      <c r="H14481" t="str">
        <f>T("PSC 812 BOX 3190")</f>
        <v>PSC 812 BOX 3190</v>
      </c>
      <c r="I14481" t="str">
        <f>T("FPO")</f>
        <v>FPO</v>
      </c>
      <c r="J14481" t="str">
        <f>T("AE")</f>
        <v>AE</v>
      </c>
      <c r="K14481" t="str">
        <f>T("")</f>
        <v/>
      </c>
      <c r="L14481" t="str">
        <f>T("1111111111")</f>
        <v>1111111111</v>
      </c>
    </row>
    <row r="14482" spans="1:12" x14ac:dyDescent="0.35">
      <c r="A14482" t="str">
        <f t="shared" si="5291"/>
        <v>CFLSW</v>
      </c>
      <c r="B14482" t="str">
        <f>T("ETD SIGONELLA")</f>
        <v>ETD SIGONELLA</v>
      </c>
      <c r="C14482" t="str">
        <f>T("PSC 812 BOX 3190")</f>
        <v>PSC 812 BOX 3190</v>
      </c>
      <c r="D14482" t="str">
        <f>T("FPO")</f>
        <v>FPO</v>
      </c>
      <c r="E14482" t="str">
        <f>T("AE")</f>
        <v>AE</v>
      </c>
      <c r="F14482" t="str">
        <f>T("096270032")</f>
        <v>096270032</v>
      </c>
      <c r="G14482" t="str">
        <f>T("PSC 812 BOX 3190")</f>
        <v>PSC 812 BOX 3190</v>
      </c>
      <c r="H14482" t="str">
        <f>T("")</f>
        <v/>
      </c>
      <c r="I14482" t="str">
        <f>T("FPO")</f>
        <v>FPO</v>
      </c>
      <c r="J14482" t="str">
        <f>T("AE")</f>
        <v>AE</v>
      </c>
      <c r="K14482" t="str">
        <f>T("6243142597")</f>
        <v>6243142597</v>
      </c>
      <c r="L14482" t="str">
        <f>T("3146245322")</f>
        <v>3146245322</v>
      </c>
    </row>
    <row r="14483" spans="1:12" x14ac:dyDescent="0.35">
      <c r="A14483" t="str">
        <f t="shared" si="5291"/>
        <v>CFLSW</v>
      </c>
      <c r="B14483" t="str">
        <f>T("FRC/ASD JB MDL")</f>
        <v>FRC/ASD JB MDL</v>
      </c>
      <c r="C14483" t="str">
        <f>T("4390 TEXAS AVENUE")</f>
        <v>4390 TEXAS AVENUE</v>
      </c>
      <c r="D14483" t="str">
        <f>T("FORT DIX")</f>
        <v>FORT DIX</v>
      </c>
      <c r="E14483" t="str">
        <f>T("NJ")</f>
        <v>NJ</v>
      </c>
      <c r="F14483" t="str">
        <f>T("086405519")</f>
        <v>086405519</v>
      </c>
      <c r="G14483" t="str">
        <f>T("4390 TEXAS AVE")</f>
        <v>4390 TEXAS AVE</v>
      </c>
      <c r="H14483" t="str">
        <f>T("")</f>
        <v/>
      </c>
      <c r="I14483" t="str">
        <f>T("JB MDL")</f>
        <v>JB MDL</v>
      </c>
      <c r="J14483" t="str">
        <f>T("NJ")</f>
        <v>NJ</v>
      </c>
      <c r="K14483" t="str">
        <f>T("6095621872")</f>
        <v>6095621872</v>
      </c>
      <c r="L14483" t="str">
        <f>T("6095621870")</f>
        <v>6095621870</v>
      </c>
    </row>
    <row r="14484" spans="1:12" x14ac:dyDescent="0.35">
      <c r="A14484" t="str">
        <f t="shared" si="5291"/>
        <v>CFLSW</v>
      </c>
      <c r="B14484" t="str">
        <f>T("FRC/ASD JB MDL")</f>
        <v>FRC/ASD JB MDL</v>
      </c>
      <c r="C14484" t="str">
        <f>T("4390 TEXAS AVENUE")</f>
        <v>4390 TEXAS AVENUE</v>
      </c>
      <c r="D14484" t="str">
        <f>T("FORT DIX")</f>
        <v>FORT DIX</v>
      </c>
      <c r="E14484" t="str">
        <f>T("NJ")</f>
        <v>NJ</v>
      </c>
      <c r="F14484" t="str">
        <f>T("086405519")</f>
        <v>086405519</v>
      </c>
      <c r="G14484" t="str">
        <f>T("FRC-E/ASD JB MDL")</f>
        <v>FRC-E/ASD JB MDL</v>
      </c>
      <c r="H14484" t="str">
        <f>T("4390 TEXAS AVE")</f>
        <v>4390 TEXAS AVE</v>
      </c>
      <c r="I14484" t="str">
        <f>T("JB MDL")</f>
        <v>JB MDL</v>
      </c>
      <c r="J14484" t="str">
        <f>T("NJ")</f>
        <v>NJ</v>
      </c>
      <c r="K14484" t="str">
        <f>T("6095621872")</f>
        <v>6095621872</v>
      </c>
      <c r="L14484" t="str">
        <f>T("6095621870")</f>
        <v>6095621870</v>
      </c>
    </row>
    <row r="14485" spans="1:12" x14ac:dyDescent="0.35">
      <c r="A14485" t="str">
        <f t="shared" si="5291"/>
        <v>CFLSW</v>
      </c>
      <c r="B14485" t="str">
        <f>T("FRC/ASD JB MDL")</f>
        <v>FRC/ASD JB MDL</v>
      </c>
      <c r="C14485" t="str">
        <f>T("4390 TEXAS AVENUE")</f>
        <v>4390 TEXAS AVENUE</v>
      </c>
      <c r="D14485" t="str">
        <f>T("FORT DIX")</f>
        <v>FORT DIX</v>
      </c>
      <c r="E14485" t="str">
        <f>T("NJ")</f>
        <v>NJ</v>
      </c>
      <c r="F14485" t="str">
        <f>T("086405519")</f>
        <v>086405519</v>
      </c>
      <c r="G14485" t="str">
        <f>T("FRC/ASD JB MDL")</f>
        <v>FRC/ASD JB MDL</v>
      </c>
      <c r="H14485" t="str">
        <f>T("4390 TEXAS AVE")</f>
        <v>4390 TEXAS AVE</v>
      </c>
      <c r="I14485" t="str">
        <f>T("FORT DIX")</f>
        <v>FORT DIX</v>
      </c>
      <c r="J14485" t="str">
        <f>T("NJ")</f>
        <v>NJ</v>
      </c>
      <c r="K14485" t="str">
        <f>T("6095621872")</f>
        <v>6095621872</v>
      </c>
      <c r="L14485" t="str">
        <f>T("6095621871")</f>
        <v>6095621871</v>
      </c>
    </row>
    <row r="14486" spans="1:12" x14ac:dyDescent="0.35">
      <c r="A14486" t="str">
        <f t="shared" si="5291"/>
        <v>CFLSW</v>
      </c>
      <c r="B14486" t="str">
        <f>T("FRC/ASD JB MDL")</f>
        <v>FRC/ASD JB MDL</v>
      </c>
      <c r="C14486" t="str">
        <f>T("4390 TEXAS AVENUE")</f>
        <v>4390 TEXAS AVENUE</v>
      </c>
      <c r="D14486" t="str">
        <f>T("FORT DIX")</f>
        <v>FORT DIX</v>
      </c>
      <c r="E14486" t="str">
        <f>T("NJ")</f>
        <v>NJ</v>
      </c>
      <c r="F14486" t="str">
        <f>T("086405519")</f>
        <v>086405519</v>
      </c>
      <c r="G14486" t="str">
        <f>T("FRC/ASD JB MDL")</f>
        <v>FRC/ASD JB MDL</v>
      </c>
      <c r="H14486" t="str">
        <f>T("4390 TEXAS AVENUE")</f>
        <v>4390 TEXAS AVENUE</v>
      </c>
      <c r="I14486" t="str">
        <f>T("FORT DIX")</f>
        <v>FORT DIX</v>
      </c>
      <c r="J14486" t="str">
        <f>T("NJ")</f>
        <v>NJ</v>
      </c>
      <c r="K14486" t="str">
        <f>T("609-562-1876")</f>
        <v>609-562-1876</v>
      </c>
      <c r="L14486" t="str">
        <f>T("2157732253")</f>
        <v>2157732253</v>
      </c>
    </row>
    <row r="14487" spans="1:12" x14ac:dyDescent="0.35">
      <c r="A14487" t="str">
        <f t="shared" si="5291"/>
        <v>CFLSW</v>
      </c>
      <c r="B14487" t="str">
        <f>T("FRCMA NEW ORLEANS")</f>
        <v>FRCMA NEW ORLEANS</v>
      </c>
      <c r="C14487" t="str">
        <f>T("400 RUSSELL AVE BLDG 33")</f>
        <v>400 RUSSELL AVE BLDG 33</v>
      </c>
      <c r="D14487" t="str">
        <f>T("NEW ORLEANS")</f>
        <v>NEW ORLEANS</v>
      </c>
      <c r="E14487" t="str">
        <f>T("LA")</f>
        <v>LA</v>
      </c>
      <c r="F14487" t="str">
        <f>T("701435077")</f>
        <v>701435077</v>
      </c>
      <c r="G14487" t="str">
        <f>T("400 RUSSELL AVE")</f>
        <v>400 RUSSELL AVE</v>
      </c>
      <c r="H14487" t="str">
        <f>T("BLDG 33")</f>
        <v>BLDG 33</v>
      </c>
      <c r="I14487" t="str">
        <f>T("NEW ORLEANS")</f>
        <v>NEW ORLEANS</v>
      </c>
      <c r="J14487" t="str">
        <f>T("LA")</f>
        <v>LA</v>
      </c>
      <c r="K14487" t="str">
        <f>T("000000000000000000")</f>
        <v>000000000000000000</v>
      </c>
      <c r="L14487" t="str">
        <f>T("5046783274")</f>
        <v>5046783274</v>
      </c>
    </row>
    <row r="14488" spans="1:12" x14ac:dyDescent="0.35">
      <c r="A14488" t="str">
        <f t="shared" si="5291"/>
        <v>CFLSW</v>
      </c>
      <c r="B14488" t="str">
        <f>T("FRCMA NEW ORLEANS")</f>
        <v>FRCMA NEW ORLEANS</v>
      </c>
      <c r="C14488" t="str">
        <f>T("400 RUSSELL AVE BLDG 33")</f>
        <v>400 RUSSELL AVE BLDG 33</v>
      </c>
      <c r="D14488" t="str">
        <f>T("NEW ORLEANS")</f>
        <v>NEW ORLEANS</v>
      </c>
      <c r="E14488" t="str">
        <f>T("LA")</f>
        <v>LA</v>
      </c>
      <c r="F14488" t="str">
        <f>T("701435077")</f>
        <v>701435077</v>
      </c>
      <c r="G14488" t="str">
        <f>T("400 RUSSELL AVENUE BLDG 33")</f>
        <v>400 RUSSELL AVENUE BLDG 33</v>
      </c>
      <c r="H14488" t="str">
        <f>T("")</f>
        <v/>
      </c>
      <c r="I14488" t="str">
        <f>T("NEW ORLEANS")</f>
        <v>NEW ORLEANS</v>
      </c>
      <c r="J14488" t="str">
        <f>T("LA")</f>
        <v>LA</v>
      </c>
      <c r="K14488" t="str">
        <f>T("000000000000000000")</f>
        <v>000000000000000000</v>
      </c>
      <c r="L14488" t="str">
        <f>T("5046789588")</f>
        <v>5046789588</v>
      </c>
    </row>
    <row r="14489" spans="1:12" x14ac:dyDescent="0.35">
      <c r="A14489" t="str">
        <f t="shared" si="5291"/>
        <v>CFLSW</v>
      </c>
      <c r="B14489" t="str">
        <f>T("FRCMA NEW ORLEANS")</f>
        <v>FRCMA NEW ORLEANS</v>
      </c>
      <c r="C14489" t="str">
        <f>T("400 RUSSELL AVE BLDG 33")</f>
        <v>400 RUSSELL AVE BLDG 33</v>
      </c>
      <c r="D14489" t="str">
        <f>T("NEW ORLEANS")</f>
        <v>NEW ORLEANS</v>
      </c>
      <c r="E14489" t="str">
        <f>T("LA")</f>
        <v>LA</v>
      </c>
      <c r="F14489" t="str">
        <f>T("701435077")</f>
        <v>701435077</v>
      </c>
      <c r="G14489" t="str">
        <f>T("FRCMA NEW ORLEANS")</f>
        <v>FRCMA NEW ORLEANS</v>
      </c>
      <c r="H14489" t="str">
        <f>T("400 RUSSELL AVE BLDG 33")</f>
        <v>400 RUSSELL AVE BLDG 33</v>
      </c>
      <c r="I14489" t="str">
        <f>T("NEW ORLEANS")</f>
        <v>NEW ORLEANS</v>
      </c>
      <c r="J14489" t="str">
        <f>T("LA")</f>
        <v>LA</v>
      </c>
      <c r="K14489" t="str">
        <f>T("5046783593")</f>
        <v>5046783593</v>
      </c>
      <c r="L14489" t="str">
        <f>T("5046783621")</f>
        <v>5046783621</v>
      </c>
    </row>
    <row r="14490" spans="1:12" x14ac:dyDescent="0.35">
      <c r="A14490" t="str">
        <f t="shared" si="5291"/>
        <v>CFLSW</v>
      </c>
      <c r="B14490" t="str">
        <f>T("P O BOX  67")</f>
        <v>P O BOX  67</v>
      </c>
      <c r="C14490" t="str">
        <f>T("HANGAR 1000 SEGEMENT 4")</f>
        <v>HANGAR 1000 SEGEMENT 4</v>
      </c>
      <c r="D14490" t="str">
        <f>T("JACKSONVILLE")</f>
        <v>JACKSONVILLE</v>
      </c>
      <c r="E14490" t="str">
        <f>T("FL")</f>
        <v>FL</v>
      </c>
      <c r="F14490" t="str">
        <f>T("322120067")</f>
        <v>322120067</v>
      </c>
      <c r="G14490" t="str">
        <f>T("P O BOX  67")</f>
        <v>P O BOX  67</v>
      </c>
      <c r="H14490" t="str">
        <f>T("HANGAR 1000 SEGEMENT 4")</f>
        <v>HANGAR 1000 SEGEMENT 4</v>
      </c>
      <c r="I14490" t="str">
        <f>T("JACKSONVILLE")</f>
        <v>JACKSONVILLE</v>
      </c>
      <c r="J14490" t="str">
        <f>T("FL")</f>
        <v>FL</v>
      </c>
      <c r="K14490" t="str">
        <f>T("")</f>
        <v/>
      </c>
      <c r="L14490" t="str">
        <f>T("9045428551")</f>
        <v>9045428551</v>
      </c>
    </row>
    <row r="14491" spans="1:12" x14ac:dyDescent="0.35">
      <c r="A14491" t="str">
        <f t="shared" si="5291"/>
        <v>CFLSW</v>
      </c>
      <c r="B14491" t="str">
        <f>T("P O BOX  67")</f>
        <v>P O BOX  67</v>
      </c>
      <c r="C14491" t="str">
        <f>T("HANGAR 1000 SEGEMENT 4")</f>
        <v>HANGAR 1000 SEGEMENT 4</v>
      </c>
      <c r="D14491" t="str">
        <f>T("JACKSONVILLE")</f>
        <v>JACKSONVILLE</v>
      </c>
      <c r="E14491" t="str">
        <f>T("FL")</f>
        <v>FL</v>
      </c>
      <c r="F14491" t="str">
        <f>T("322120067")</f>
        <v>322120067</v>
      </c>
      <c r="G14491" t="str">
        <f>T("P O BOX 67")</f>
        <v>P O BOX 67</v>
      </c>
      <c r="H14491" t="str">
        <f>T("HANGER 1000 SEGMENT FOUR")</f>
        <v>HANGER 1000 SEGMENT FOUR</v>
      </c>
      <c r="I14491" t="str">
        <f>T("JACKSONVILLE")</f>
        <v>JACKSONVILLE</v>
      </c>
      <c r="J14491" t="str">
        <f>T("FL")</f>
        <v>FL</v>
      </c>
      <c r="K14491" t="str">
        <f>T("9045421568")</f>
        <v>9045421568</v>
      </c>
      <c r="L14491" t="str">
        <f>T("9045428537")</f>
        <v>9045428537</v>
      </c>
    </row>
    <row r="14492" spans="1:12" x14ac:dyDescent="0.35">
      <c r="A14492" t="str">
        <f t="shared" si="5291"/>
        <v>CFLSW</v>
      </c>
      <c r="B14492" t="str">
        <f>T("P O BOX  67")</f>
        <v>P O BOX  67</v>
      </c>
      <c r="C14492" t="str">
        <f>T("HANGAR 1000 SEGEMENT 4")</f>
        <v>HANGAR 1000 SEGEMENT 4</v>
      </c>
      <c r="D14492" t="str">
        <f>T("JACKSONVILLE")</f>
        <v>JACKSONVILLE</v>
      </c>
      <c r="E14492" t="str">
        <f>T("FL")</f>
        <v>FL</v>
      </c>
      <c r="F14492" t="str">
        <f>T("322120067")</f>
        <v>322120067</v>
      </c>
      <c r="G14492" t="str">
        <f>T("PO BOX 67")</f>
        <v>PO BOX 67</v>
      </c>
      <c r="H14492" t="str">
        <f>T("HANGAR 1000 SEGMENT 4")</f>
        <v>HANGAR 1000 SEGMENT 4</v>
      </c>
      <c r="I14492" t="str">
        <f>T("JACKSONVILLE")</f>
        <v>JACKSONVILLE</v>
      </c>
      <c r="J14492" t="str">
        <f>T("FL")</f>
        <v>FL</v>
      </c>
      <c r="K14492" t="str">
        <f>T("9045421568")</f>
        <v>9045421568</v>
      </c>
      <c r="L14492" t="str">
        <f>T("9044528537")</f>
        <v>9044528537</v>
      </c>
    </row>
    <row r="14493" spans="1:12" x14ac:dyDescent="0.35">
      <c r="A14493" t="str">
        <f t="shared" si="5291"/>
        <v>CFLSW</v>
      </c>
      <c r="B14493" t="str">
        <f>T("PO BOX 63050")</f>
        <v>PO BOX 63050</v>
      </c>
      <c r="C14493" t="str">
        <f>T("MCBH")</f>
        <v>MCBH</v>
      </c>
      <c r="D14493" t="str">
        <f>T("MCBH K BAY")</f>
        <v>MCBH K BAY</v>
      </c>
      <c r="E14493" t="str">
        <f>T("HI")</f>
        <v>HI</v>
      </c>
      <c r="F14493" t="str">
        <f>T("968633050")</f>
        <v>968633050</v>
      </c>
      <c r="G14493" t="str">
        <f>T("HANGAR 105")</f>
        <v>HANGAR 105</v>
      </c>
      <c r="H14493" t="str">
        <f>T("BOX 63050")</f>
        <v>BOX 63050</v>
      </c>
      <c r="I14493" t="str">
        <f>T("MCBH KANEOHE BAY")</f>
        <v>MCBH KANEOHE BAY</v>
      </c>
      <c r="J14493" t="str">
        <f>T("HI")</f>
        <v>HI</v>
      </c>
      <c r="K14493" t="str">
        <f>T("000000000000000000")</f>
        <v>000000000000000000</v>
      </c>
      <c r="L14493" t="str">
        <f>T("8082571029")</f>
        <v>8082571029</v>
      </c>
    </row>
    <row r="14494" spans="1:12" x14ac:dyDescent="0.35">
      <c r="A14494" t="str">
        <f t="shared" si="5291"/>
        <v>CFLSW</v>
      </c>
      <c r="B14494" t="str">
        <f>T("PO BOX 63050")</f>
        <v>PO BOX 63050</v>
      </c>
      <c r="C14494" t="str">
        <f>T("MCBH")</f>
        <v>MCBH</v>
      </c>
      <c r="D14494" t="str">
        <f>T("MCBH K BAY")</f>
        <v>MCBH K BAY</v>
      </c>
      <c r="E14494" t="str">
        <f>T("HI")</f>
        <v>HI</v>
      </c>
      <c r="F14494" t="str">
        <f>T("968633050")</f>
        <v>968633050</v>
      </c>
      <c r="G14494" t="str">
        <f>T("PO BOX 63050")</f>
        <v>PO BOX 63050</v>
      </c>
      <c r="H14494" t="str">
        <f>T("MCBH")</f>
        <v>MCBH</v>
      </c>
      <c r="I14494" t="str">
        <f>T("MCBH K BAY")</f>
        <v>MCBH K BAY</v>
      </c>
      <c r="J14494" t="str">
        <f>T("HI")</f>
        <v>HI</v>
      </c>
      <c r="K14494" t="str">
        <f>T("8082572178")</f>
        <v>8082572178</v>
      </c>
      <c r="L14494" t="str">
        <f>T("8082571032")</f>
        <v>8082571032</v>
      </c>
    </row>
    <row r="14495" spans="1:12" x14ac:dyDescent="0.35">
      <c r="A14495" t="str">
        <f t="shared" si="5291"/>
        <v>CFLSW</v>
      </c>
      <c r="B14495" t="str">
        <f>T("PO BOX 63050")</f>
        <v>PO BOX 63050</v>
      </c>
      <c r="C14495" t="str">
        <f>T("MCBH")</f>
        <v>MCBH</v>
      </c>
      <c r="D14495" t="str">
        <f>T("MCBH K BAY")</f>
        <v>MCBH K BAY</v>
      </c>
      <c r="E14495" t="str">
        <f>T("HI")</f>
        <v>HI</v>
      </c>
      <c r="F14495" t="str">
        <f>T("968633050")</f>
        <v>968633050</v>
      </c>
      <c r="G14495" t="str">
        <f>T("VR-51 HANGAR 105")</f>
        <v>VR-51 HANGAR 105</v>
      </c>
      <c r="H14495" t="str">
        <f>T("PO BOX 63050")</f>
        <v>PO BOX 63050</v>
      </c>
      <c r="I14495" t="str">
        <f>T("MCBH KANEOHE BAY")</f>
        <v>MCBH KANEOHE BAY</v>
      </c>
      <c r="J14495" t="str">
        <f>T("HI")</f>
        <v>HI</v>
      </c>
      <c r="K14495" t="str">
        <f>T("8082571032")</f>
        <v>8082571032</v>
      </c>
      <c r="L14495" t="str">
        <f>T("8082571029")</f>
        <v>8082571029</v>
      </c>
    </row>
    <row r="14496" spans="1:12" x14ac:dyDescent="0.35">
      <c r="A14496" t="str">
        <f t="shared" si="5291"/>
        <v>CFLSW</v>
      </c>
      <c r="B14496" t="str">
        <f>T("VR 54 SQDRN")</f>
        <v>VR 54 SQDRN</v>
      </c>
      <c r="C14496" t="str">
        <f>T("400 RUSSELL AVE BLDG 439")</f>
        <v>400 RUSSELL AVE BLDG 439</v>
      </c>
      <c r="D14496" t="str">
        <f>T("NEW ORLEANS")</f>
        <v>NEW ORLEANS</v>
      </c>
      <c r="E14496" t="str">
        <f>T("LA")</f>
        <v>LA</v>
      </c>
      <c r="F14496" t="str">
        <f>T("701435077")</f>
        <v>701435077</v>
      </c>
      <c r="G14496" t="str">
        <f>T("400 RUSSELL AVENUE")</f>
        <v>400 RUSSELL AVENUE</v>
      </c>
      <c r="H14496" t="str">
        <f>T("BLDG 439")</f>
        <v>BLDG 439</v>
      </c>
      <c r="I14496" t="str">
        <f>T("NEW ORLEANS")</f>
        <v>NEW ORLEANS</v>
      </c>
      <c r="J14496" t="str">
        <f>T("LA")</f>
        <v>LA</v>
      </c>
      <c r="K14496" t="str">
        <f>T("000000000000000000")</f>
        <v>000000000000000000</v>
      </c>
      <c r="L14496" t="str">
        <f>T("5046783957")</f>
        <v>5046783957</v>
      </c>
    </row>
    <row r="14497" spans="1:12" x14ac:dyDescent="0.35">
      <c r="A14497" t="str">
        <f t="shared" si="5291"/>
        <v>CFLSW</v>
      </c>
      <c r="B14497" t="str">
        <f>T("VR 54 SQDRN")</f>
        <v>VR 54 SQDRN</v>
      </c>
      <c r="C14497" t="str">
        <f>T("400 RUSSELL AVE BLDG 439")</f>
        <v>400 RUSSELL AVE BLDG 439</v>
      </c>
      <c r="D14497" t="str">
        <f>T("NEW ORLEANS")</f>
        <v>NEW ORLEANS</v>
      </c>
      <c r="E14497" t="str">
        <f>T("LA")</f>
        <v>LA</v>
      </c>
      <c r="F14497" t="str">
        <f>T("701435077")</f>
        <v>701435077</v>
      </c>
      <c r="G14497" t="str">
        <f>T("VR 54 SQDRN")</f>
        <v>VR 54 SQDRN</v>
      </c>
      <c r="H14497" t="str">
        <f>T("400 RUSSELL AVE BLDG 439")</f>
        <v>400 RUSSELL AVE BLDG 439</v>
      </c>
      <c r="I14497" t="str">
        <f>T("NEW ORLEANS")</f>
        <v>NEW ORLEANS</v>
      </c>
      <c r="J14497" t="str">
        <f>T("LA")</f>
        <v>LA</v>
      </c>
      <c r="K14497" t="str">
        <f>T("504-678-3878")</f>
        <v>504-678-3878</v>
      </c>
      <c r="L14497" t="str">
        <f>T("5046789688")</f>
        <v>5046789688</v>
      </c>
    </row>
    <row r="14498" spans="1:12" x14ac:dyDescent="0.35">
      <c r="A14498" t="str">
        <f t="shared" si="5291"/>
        <v>CFLSW</v>
      </c>
      <c r="B14498" t="str">
        <f>T("VR 54 SQDRN")</f>
        <v>VR 54 SQDRN</v>
      </c>
      <c r="C14498" t="str">
        <f>T("400 RUSSELL AVE BLDG 439")</f>
        <v>400 RUSSELL AVE BLDG 439</v>
      </c>
      <c r="D14498" t="str">
        <f>T("NEW ORLEANS")</f>
        <v>NEW ORLEANS</v>
      </c>
      <c r="E14498" t="str">
        <f>T("LA")</f>
        <v>LA</v>
      </c>
      <c r="F14498" t="str">
        <f>T("701435077")</f>
        <v>701435077</v>
      </c>
      <c r="G14498" t="str">
        <f>T("VR-54")</f>
        <v>VR-54</v>
      </c>
      <c r="H14498" t="str">
        <f>T("400 RUSSELL AVE BLDG 439")</f>
        <v>400 RUSSELL AVE BLDG 439</v>
      </c>
      <c r="I14498" t="str">
        <f>T("NEW ORLEANS")</f>
        <v>NEW ORLEANS</v>
      </c>
      <c r="J14498" t="str">
        <f>T("LA")</f>
        <v>LA</v>
      </c>
      <c r="K14498" t="str">
        <f>T("000000000000000000")</f>
        <v>000000000000000000</v>
      </c>
      <c r="L14498" t="str">
        <f>T("5046783374")</f>
        <v>5046783374</v>
      </c>
    </row>
    <row r="14499" spans="1:12" x14ac:dyDescent="0.35">
      <c r="A14499" t="str">
        <f t="shared" si="5291"/>
        <v>CFLSW</v>
      </c>
      <c r="B14499" t="str">
        <f>T("VR-53 MMCO")</f>
        <v>VR-53 MMCO</v>
      </c>
      <c r="C14499" t="str">
        <f>T("1 SAN DIEGO LOOP BLDG 3158")</f>
        <v>1 SAN DIEGO LOOP BLDG 3158</v>
      </c>
      <c r="D14499" t="str">
        <f>T("JB ANDREWS")</f>
        <v>JB ANDREWS</v>
      </c>
      <c r="E14499" t="str">
        <f>T("MD")</f>
        <v>MD</v>
      </c>
      <c r="F14499" t="str">
        <f>T("207625518")</f>
        <v>207625518</v>
      </c>
      <c r="G14499" t="str">
        <f>T("1 SAN DIEGO LOOP")</f>
        <v>1 SAN DIEGO LOOP</v>
      </c>
      <c r="H14499" t="str">
        <f>T("BLDG 3158")</f>
        <v>BLDG 3158</v>
      </c>
      <c r="I14499" t="str">
        <f>T("JB ANDREWS")</f>
        <v>JB ANDREWS</v>
      </c>
      <c r="J14499" t="str">
        <f>T("MD")</f>
        <v>MD</v>
      </c>
      <c r="K14499" t="str">
        <f>T("000000000000000000")</f>
        <v>000000000000000000</v>
      </c>
      <c r="L14499" t="str">
        <f>T("2408572065")</f>
        <v>2408572065</v>
      </c>
    </row>
    <row r="14500" spans="1:12" x14ac:dyDescent="0.35">
      <c r="A14500" t="str">
        <f t="shared" si="5291"/>
        <v>CFLSW</v>
      </c>
      <c r="B14500" t="str">
        <f>T("VR-53 MMCO")</f>
        <v>VR-53 MMCO</v>
      </c>
      <c r="C14500" t="str">
        <f>T("1 SAN DIEGO LOOP BLDG 3158")</f>
        <v>1 SAN DIEGO LOOP BLDG 3158</v>
      </c>
      <c r="D14500" t="str">
        <f>T("JB ANDREWS")</f>
        <v>JB ANDREWS</v>
      </c>
      <c r="E14500" t="str">
        <f>T("MD")</f>
        <v>MD</v>
      </c>
      <c r="F14500" t="str">
        <f>T("207625518")</f>
        <v>207625518</v>
      </c>
      <c r="G14500" t="str">
        <f>T("VR-53 MMCO")</f>
        <v>VR-53 MMCO</v>
      </c>
      <c r="H14500" t="str">
        <f>T("1 SAN DIEGO LOOP BLDG 3158")</f>
        <v>1 SAN DIEGO LOOP BLDG 3158</v>
      </c>
      <c r="I14500" t="str">
        <f>T("JB ANDREWS")</f>
        <v>JB ANDREWS</v>
      </c>
      <c r="J14500" t="str">
        <f>T("MD")</f>
        <v>MD</v>
      </c>
      <c r="K14500" t="str">
        <f>T("240-857-3455")</f>
        <v>240-857-3455</v>
      </c>
      <c r="L14500" t="str">
        <f>T("2408572062")</f>
        <v>2408572062</v>
      </c>
    </row>
    <row r="14501" spans="1:12" x14ac:dyDescent="0.35">
      <c r="A14501" t="str">
        <f t="shared" si="5291"/>
        <v>CFLSW</v>
      </c>
      <c r="B14501" t="str">
        <f>T("VR-57")</f>
        <v>VR-57</v>
      </c>
      <c r="C14501" t="str">
        <f>T("P O BOX 357108")</f>
        <v>P O BOX 357108</v>
      </c>
      <c r="D14501" t="str">
        <f>T("SAN DIEGO")</f>
        <v>SAN DIEGO</v>
      </c>
      <c r="E14501" t="str">
        <f>T("CA")</f>
        <v>CA</v>
      </c>
      <c r="F14501" t="str">
        <f>T("921357108")</f>
        <v>921357108</v>
      </c>
      <c r="G14501" t="str">
        <f>T("QUENTIN ROOSEVELT BLVD")</f>
        <v>QUENTIN ROOSEVELT BLVD</v>
      </c>
      <c r="H14501" t="str">
        <f>T("NAS NORTH ISLAND BLDG 524")</f>
        <v>NAS NORTH ISLAND BLDG 524</v>
      </c>
      <c r="I14501" t="str">
        <f>T("SAN DIEGO")</f>
        <v>SAN DIEGO</v>
      </c>
      <c r="J14501" t="str">
        <f>T("CA")</f>
        <v>CA</v>
      </c>
      <c r="K14501" t="str">
        <f>T("6195459369")</f>
        <v>6195459369</v>
      </c>
      <c r="L14501" t="str">
        <f>T("6197677567")</f>
        <v>6197677567</v>
      </c>
    </row>
    <row r="14502" spans="1:12" x14ac:dyDescent="0.35">
      <c r="A14502" t="str">
        <f t="shared" si="5291"/>
        <v>CFLSW</v>
      </c>
      <c r="B14502" t="str">
        <f>T("VR-57")</f>
        <v>VR-57</v>
      </c>
      <c r="C14502" t="str">
        <f>T("P O BOX 357108")</f>
        <v>P O BOX 357108</v>
      </c>
      <c r="D14502" t="str">
        <f>T("SAN DIEGO")</f>
        <v>SAN DIEGO</v>
      </c>
      <c r="E14502" t="str">
        <f>T("CA")</f>
        <v>CA</v>
      </c>
      <c r="F14502" t="str">
        <f>T("921357108")</f>
        <v>921357108</v>
      </c>
      <c r="G14502" t="str">
        <f>T("VR-57")</f>
        <v>VR-57</v>
      </c>
      <c r="H14502" t="str">
        <f>T("P O BOX 357108")</f>
        <v>P O BOX 357108</v>
      </c>
      <c r="I14502" t="str">
        <f>T("SAN DIEGO")</f>
        <v>SAN DIEGO</v>
      </c>
      <c r="J14502" t="str">
        <f>T("CA")</f>
        <v>CA</v>
      </c>
      <c r="K14502" t="str">
        <f>T("619-545-9369")</f>
        <v>619-545-9369</v>
      </c>
      <c r="L14502" t="str">
        <f>T("6195456933")</f>
        <v>6195456933</v>
      </c>
    </row>
    <row r="14503" spans="1:12" x14ac:dyDescent="0.35">
      <c r="A14503" t="str">
        <f t="shared" si="5291"/>
        <v>CFLSW</v>
      </c>
      <c r="B14503" t="str">
        <f>T("VR-58 PO BOX 99")</f>
        <v>VR-58 PO BOX 99</v>
      </c>
      <c r="C14503" t="str">
        <f>T("NAS JAX HANGAR 1000 SEGMENT 5")</f>
        <v>NAS JAX HANGAR 1000 SEGMENT 5</v>
      </c>
      <c r="D14503" t="str">
        <f>T("JACKSONVILLE")</f>
        <v>JACKSONVILLE</v>
      </c>
      <c r="E14503" t="str">
        <f>T("FL")</f>
        <v>FL</v>
      </c>
      <c r="F14503" t="str">
        <f>T("322120099")</f>
        <v>322120099</v>
      </c>
      <c r="G14503" t="str">
        <f>T("VR-58")</f>
        <v>VR-58</v>
      </c>
      <c r="H14503" t="str">
        <f>T("HANGAR 1000 SEGMENT 5")</f>
        <v>HANGAR 1000 SEGMENT 5</v>
      </c>
      <c r="I14503" t="str">
        <f>T("JACKSONVILLE")</f>
        <v>JACKSONVILLE</v>
      </c>
      <c r="J14503" t="str">
        <f>T("FL")</f>
        <v>FL</v>
      </c>
      <c r="K14503" t="str">
        <f>T("000000000000000000")</f>
        <v>000000000000000000</v>
      </c>
      <c r="L14503" t="str">
        <f>T("9045422302")</f>
        <v>9045422302</v>
      </c>
    </row>
    <row r="14504" spans="1:12" x14ac:dyDescent="0.35">
      <c r="A14504" t="str">
        <f t="shared" si="5291"/>
        <v>CFLSW</v>
      </c>
      <c r="B14504" t="str">
        <f>T("VR-58 PO BOX 99")</f>
        <v>VR-58 PO BOX 99</v>
      </c>
      <c r="C14504" t="str">
        <f>T("NAS JAX HANGAR 1000 SEGMENT 5")</f>
        <v>NAS JAX HANGAR 1000 SEGMENT 5</v>
      </c>
      <c r="D14504" t="str">
        <f>T("JACKSONVILLE")</f>
        <v>JACKSONVILLE</v>
      </c>
      <c r="E14504" t="str">
        <f>T("FL")</f>
        <v>FL</v>
      </c>
      <c r="F14504" t="str">
        <f>T("322120099")</f>
        <v>322120099</v>
      </c>
      <c r="G14504" t="str">
        <f>T("VR-58")</f>
        <v>VR-58</v>
      </c>
      <c r="H14504" t="str">
        <f>T("HANGAR 1000 SEGMENT 5")</f>
        <v>HANGAR 1000 SEGMENT 5</v>
      </c>
      <c r="I14504" t="str">
        <f>T("JACKSONVILLE")</f>
        <v>JACKSONVILLE</v>
      </c>
      <c r="J14504" t="str">
        <f>T("FL")</f>
        <v>FL</v>
      </c>
      <c r="K14504" t="str">
        <f>T("9045422380427")</f>
        <v>9045422380427</v>
      </c>
      <c r="L14504" t="str">
        <f>T("9045422380")</f>
        <v>9045422380</v>
      </c>
    </row>
    <row r="14505" spans="1:12" x14ac:dyDescent="0.35">
      <c r="A14505" t="str">
        <f t="shared" si="5291"/>
        <v>CFLSW</v>
      </c>
      <c r="B14505" t="str">
        <f>T("VR-58 PO BOX 99")</f>
        <v>VR-58 PO BOX 99</v>
      </c>
      <c r="C14505" t="str">
        <f>T("NAS JAX HANGAR 1000 SEGMENT 5")</f>
        <v>NAS JAX HANGAR 1000 SEGMENT 5</v>
      </c>
      <c r="D14505" t="str">
        <f>T("JACKSONVILLE")</f>
        <v>JACKSONVILLE</v>
      </c>
      <c r="E14505" t="str">
        <f>T("FL")</f>
        <v>FL</v>
      </c>
      <c r="F14505" t="str">
        <f>T("322120099")</f>
        <v>322120099</v>
      </c>
      <c r="G14505" t="str">
        <f>T("VR-58 PO BOX 99")</f>
        <v>VR-58 PO BOX 99</v>
      </c>
      <c r="H14505" t="str">
        <f>T("NAS JAX HANGAR 1000 SEGMENT 5")</f>
        <v>NAS JAX HANGAR 1000 SEGMENT 5</v>
      </c>
      <c r="I14505" t="str">
        <f>T("JACKSONVILLE")</f>
        <v>JACKSONVILLE</v>
      </c>
      <c r="J14505" t="str">
        <f>T("FL")</f>
        <v>FL</v>
      </c>
      <c r="K14505" t="str">
        <f>T("9045428510")</f>
        <v>9045428510</v>
      </c>
      <c r="L14505" t="str">
        <f>T("9045422380")</f>
        <v>9045422380</v>
      </c>
    </row>
    <row r="14506" spans="1:12" x14ac:dyDescent="0.35">
      <c r="A14506" t="str">
        <f t="shared" ref="A14506:A14537" si="5292">T("RCC SOUTHEAST FT WORTH")</f>
        <v>RCC SOUTHEAST FT WORTH</v>
      </c>
      <c r="B14506" t="str">
        <f>T("10810 LAMBERT INTERNATIONAL DR")</f>
        <v>10810 LAMBERT INTERNATIONAL DR</v>
      </c>
      <c r="C14506" t="str">
        <f t="shared" ref="C14506:C14517" si="5293">T("")</f>
        <v/>
      </c>
      <c r="D14506" t="str">
        <f>T("BRIDGETON")</f>
        <v>BRIDGETON</v>
      </c>
      <c r="E14506" t="str">
        <f>T("MO")</f>
        <v>MO</v>
      </c>
      <c r="F14506" t="str">
        <f>T("630442314")</f>
        <v>630442314</v>
      </c>
      <c r="G14506" t="str">
        <f>T("10810 LAMBERT INTERNATIONAL BLVD")</f>
        <v>10810 LAMBERT INTERNATIONAL BLVD</v>
      </c>
      <c r="H14506" t="str">
        <f>T("")</f>
        <v/>
      </c>
      <c r="I14506" t="str">
        <f>T("BRIDGETON")</f>
        <v>BRIDGETON</v>
      </c>
      <c r="J14506" t="str">
        <f>T("MO")</f>
        <v>MO</v>
      </c>
      <c r="K14506" t="str">
        <f t="shared" ref="K14506:K14537" si="5294">T("000000000000000000")</f>
        <v>000000000000000000</v>
      </c>
      <c r="L14506" t="str">
        <f>T("3145249508")</f>
        <v>3145249508</v>
      </c>
    </row>
    <row r="14507" spans="1:12" x14ac:dyDescent="0.35">
      <c r="A14507" t="str">
        <f t="shared" si="5292"/>
        <v>RCC SOUTHEAST FT WORTH</v>
      </c>
      <c r="B14507" t="str">
        <f>T("10810 LAMBERT INTERNATIONAL DR")</f>
        <v>10810 LAMBERT INTERNATIONAL DR</v>
      </c>
      <c r="C14507" t="str">
        <f t="shared" si="5293"/>
        <v/>
      </c>
      <c r="D14507" t="str">
        <f>T("BRIDGETON")</f>
        <v>BRIDGETON</v>
      </c>
      <c r="E14507" t="str">
        <f>T("MO")</f>
        <v>MO</v>
      </c>
      <c r="F14507" t="str">
        <f>T("630442314")</f>
        <v>630442314</v>
      </c>
      <c r="G14507" t="str">
        <f>T("10810 LAMBERT INTERNATIONAL BLVD")</f>
        <v>10810 LAMBERT INTERNATIONAL BLVD</v>
      </c>
      <c r="H14507" t="str">
        <f>T("")</f>
        <v/>
      </c>
      <c r="I14507" t="str">
        <f>T("BRIDGETON")</f>
        <v>BRIDGETON</v>
      </c>
      <c r="J14507" t="str">
        <f>T("MO")</f>
        <v>MO</v>
      </c>
      <c r="K14507" t="str">
        <f t="shared" si="5294"/>
        <v>000000000000000000</v>
      </c>
      <c r="L14507" t="str">
        <f>T("3145249510")</f>
        <v>3145249510</v>
      </c>
    </row>
    <row r="14508" spans="1:12" x14ac:dyDescent="0.35">
      <c r="A14508" t="str">
        <f t="shared" si="5292"/>
        <v>RCC SOUTHEAST FT WORTH</v>
      </c>
      <c r="B14508" t="str">
        <f>T("10810 LAMBERT INTERNATIONAL DR")</f>
        <v>10810 LAMBERT INTERNATIONAL DR</v>
      </c>
      <c r="C14508" t="str">
        <f t="shared" si="5293"/>
        <v/>
      </c>
      <c r="D14508" t="str">
        <f>T("BRIDGETON")</f>
        <v>BRIDGETON</v>
      </c>
      <c r="E14508" t="str">
        <f>T("MO")</f>
        <v>MO</v>
      </c>
      <c r="F14508" t="str">
        <f>T("630442314")</f>
        <v>630442314</v>
      </c>
      <c r="G14508" t="str">
        <f>T("10810 LAMBERT INTERNATIONAL DR")</f>
        <v>10810 LAMBERT INTERNATIONAL DR</v>
      </c>
      <c r="H14508" t="str">
        <f>T("")</f>
        <v/>
      </c>
      <c r="I14508" t="str">
        <f>T("BRIDGETON")</f>
        <v>BRIDGETON</v>
      </c>
      <c r="J14508" t="str">
        <f>T("MO")</f>
        <v>MO</v>
      </c>
      <c r="K14508" t="str">
        <f t="shared" si="5294"/>
        <v>000000000000000000</v>
      </c>
      <c r="L14508" t="str">
        <f>T("3145249500")</f>
        <v>3145249500</v>
      </c>
    </row>
    <row r="14509" spans="1:12" x14ac:dyDescent="0.35">
      <c r="A14509" t="str">
        <f t="shared" si="5292"/>
        <v>RCC SOUTHEAST FT WORTH</v>
      </c>
      <c r="B14509" t="str">
        <f>T("10810 LAMBERT INTERNATIONAL DR")</f>
        <v>10810 LAMBERT INTERNATIONAL DR</v>
      </c>
      <c r="C14509" t="str">
        <f t="shared" si="5293"/>
        <v/>
      </c>
      <c r="D14509" t="str">
        <f>T("BRIDGETON")</f>
        <v>BRIDGETON</v>
      </c>
      <c r="E14509" t="str">
        <f>T("MO")</f>
        <v>MO</v>
      </c>
      <c r="F14509" t="str">
        <f>T("630442314")</f>
        <v>630442314</v>
      </c>
      <c r="G14509" t="str">
        <f>T("10810 LAMBERT INTERNATIONAL DRIVE")</f>
        <v>10810 LAMBERT INTERNATIONAL DRIVE</v>
      </c>
      <c r="H14509" t="str">
        <f>T("")</f>
        <v/>
      </c>
      <c r="I14509" t="str">
        <f>T("BRIDGETON")</f>
        <v>BRIDGETON</v>
      </c>
      <c r="J14509" t="str">
        <f>T("MO")</f>
        <v>MO</v>
      </c>
      <c r="K14509" t="str">
        <f t="shared" si="5294"/>
        <v>000000000000000000</v>
      </c>
      <c r="L14509" t="str">
        <f>T("3145249509")</f>
        <v>3145249509</v>
      </c>
    </row>
    <row r="14510" spans="1:12" x14ac:dyDescent="0.35">
      <c r="A14510" t="str">
        <f t="shared" si="5292"/>
        <v>RCC SOUTHEAST FT WORTH</v>
      </c>
      <c r="B14510" t="str">
        <f>T("10949 AEROSPACE AVENUE")</f>
        <v>10949 AEROSPACE AVENUE</v>
      </c>
      <c r="C14510" t="str">
        <f t="shared" si="5293"/>
        <v/>
      </c>
      <c r="D14510" t="str">
        <f>T("HOUSTON")</f>
        <v>HOUSTON</v>
      </c>
      <c r="E14510" t="str">
        <f>T("TX")</f>
        <v>TX</v>
      </c>
      <c r="F14510" t="str">
        <f>T("770345563")</f>
        <v>770345563</v>
      </c>
      <c r="G14510" t="str">
        <f>T("10949 AEROSPACE AVE")</f>
        <v>10949 AEROSPACE AVE</v>
      </c>
      <c r="H14510" t="str">
        <f>T("SUPPLY DEPT RM 1440")</f>
        <v>SUPPLY DEPT RM 1440</v>
      </c>
      <c r="I14510" t="str">
        <f>T("HOUSTON")</f>
        <v>HOUSTON</v>
      </c>
      <c r="J14510" t="str">
        <f>T("TX")</f>
        <v>TX</v>
      </c>
      <c r="K14510" t="str">
        <f t="shared" si="5294"/>
        <v>000000000000000000</v>
      </c>
      <c r="L14510" t="str">
        <f>T("8323807000")</f>
        <v>8323807000</v>
      </c>
    </row>
    <row r="14511" spans="1:12" x14ac:dyDescent="0.35">
      <c r="A14511" t="str">
        <f t="shared" si="5292"/>
        <v>RCC SOUTHEAST FT WORTH</v>
      </c>
      <c r="B14511" t="str">
        <f>T("10949 AEROSPACE AVENUE")</f>
        <v>10949 AEROSPACE AVENUE</v>
      </c>
      <c r="C14511" t="str">
        <f t="shared" si="5293"/>
        <v/>
      </c>
      <c r="D14511" t="str">
        <f>T("HOUSTON")</f>
        <v>HOUSTON</v>
      </c>
      <c r="E14511" t="str">
        <f>T("TX")</f>
        <v>TX</v>
      </c>
      <c r="F14511" t="str">
        <f>T("770345563")</f>
        <v>770345563</v>
      </c>
      <c r="G14511" t="str">
        <f>T("10949 AEROSPACE AVENUE")</f>
        <v>10949 AEROSPACE AVENUE</v>
      </c>
      <c r="H14511" t="str">
        <f t="shared" ref="H14511:H14517" si="5295">T("")</f>
        <v/>
      </c>
      <c r="I14511" t="str">
        <f>T("HOUSTON")</f>
        <v>HOUSTON</v>
      </c>
      <c r="J14511" t="str">
        <f>T("TX")</f>
        <v>TX</v>
      </c>
      <c r="K14511" t="str">
        <f t="shared" si="5294"/>
        <v>000000000000000000</v>
      </c>
      <c r="L14511" t="str">
        <f>T("8323807000")</f>
        <v>8323807000</v>
      </c>
    </row>
    <row r="14512" spans="1:12" x14ac:dyDescent="0.35">
      <c r="A14512" t="str">
        <f t="shared" si="5292"/>
        <v>RCC SOUTHEAST FT WORTH</v>
      </c>
      <c r="B14512" t="str">
        <f>T("10949 AEROSPACE AVENUE")</f>
        <v>10949 AEROSPACE AVENUE</v>
      </c>
      <c r="C14512" t="str">
        <f t="shared" si="5293"/>
        <v/>
      </c>
      <c r="D14512" t="str">
        <f>T("HOUSTON")</f>
        <v>HOUSTON</v>
      </c>
      <c r="E14512" t="str">
        <f>T("TX")</f>
        <v>TX</v>
      </c>
      <c r="F14512" t="str">
        <f>T("770345563")</f>
        <v>770345563</v>
      </c>
      <c r="G14512" t="str">
        <f>T("10949 AEROSPACE AVENUE")</f>
        <v>10949 AEROSPACE AVENUE</v>
      </c>
      <c r="H14512" t="str">
        <f t="shared" si="5295"/>
        <v/>
      </c>
      <c r="I14512" t="str">
        <f>T("HOUSTON")</f>
        <v>HOUSTON</v>
      </c>
      <c r="J14512" t="str">
        <f>T("TX")</f>
        <v>TX</v>
      </c>
      <c r="K14512" t="str">
        <f t="shared" si="5294"/>
        <v>000000000000000000</v>
      </c>
      <c r="L14512" t="str">
        <f>T("8583366381")</f>
        <v>8583366381</v>
      </c>
    </row>
    <row r="14513" spans="1:12" x14ac:dyDescent="0.35">
      <c r="A14513" t="str">
        <f t="shared" si="5292"/>
        <v>RCC SOUTHEAST FT WORTH</v>
      </c>
      <c r="B14513" t="str">
        <f>T("1110 NORTH FREMONT AVE")</f>
        <v>1110 NORTH FREMONT AVE</v>
      </c>
      <c r="C14513" t="str">
        <f t="shared" si="5293"/>
        <v/>
      </c>
      <c r="D14513" t="str">
        <f>T("SPRINGFIELD")</f>
        <v>SPRINGFIELD</v>
      </c>
      <c r="E14513" t="str">
        <f>T("MO")</f>
        <v>MO</v>
      </c>
      <c r="F14513" t="str">
        <f>T("658023534")</f>
        <v>658023534</v>
      </c>
      <c r="G14513" t="str">
        <f>T("1110 N FREMONT AVE")</f>
        <v>1110 N FREMONT AVE</v>
      </c>
      <c r="H14513" t="str">
        <f t="shared" si="5295"/>
        <v/>
      </c>
      <c r="I14513" t="str">
        <f>T("SPRINGFIELD")</f>
        <v>SPRINGFIELD</v>
      </c>
      <c r="J14513" t="str">
        <f>T("MO")</f>
        <v>MO</v>
      </c>
      <c r="K14513" t="str">
        <f t="shared" si="5294"/>
        <v>000000000000000000</v>
      </c>
      <c r="L14513" t="str">
        <f>T("4178695721")</f>
        <v>4178695721</v>
      </c>
    </row>
    <row r="14514" spans="1:12" x14ac:dyDescent="0.35">
      <c r="A14514" t="str">
        <f t="shared" si="5292"/>
        <v>RCC SOUTHEAST FT WORTH</v>
      </c>
      <c r="B14514" t="str">
        <f>T("1110 NORTH FREMONT AVE")</f>
        <v>1110 NORTH FREMONT AVE</v>
      </c>
      <c r="C14514" t="str">
        <f t="shared" si="5293"/>
        <v/>
      </c>
      <c r="D14514" t="str">
        <f>T("SPRINGFIELD")</f>
        <v>SPRINGFIELD</v>
      </c>
      <c r="E14514" t="str">
        <f>T("MO")</f>
        <v>MO</v>
      </c>
      <c r="F14514" t="str">
        <f>T("658023534")</f>
        <v>658023534</v>
      </c>
      <c r="G14514" t="str">
        <f>T("1110 NORTH FREMONT AVE")</f>
        <v>1110 NORTH FREMONT AVE</v>
      </c>
      <c r="H14514" t="str">
        <f t="shared" si="5295"/>
        <v/>
      </c>
      <c r="I14514" t="str">
        <f>T("SPRINGFIELD")</f>
        <v>SPRINGFIELD</v>
      </c>
      <c r="J14514" t="str">
        <f>T("MO")</f>
        <v>MO</v>
      </c>
      <c r="K14514" t="str">
        <f t="shared" si="5294"/>
        <v>000000000000000000</v>
      </c>
      <c r="L14514" t="str">
        <f>T("8169232341")</f>
        <v>8169232341</v>
      </c>
    </row>
    <row r="14515" spans="1:12" x14ac:dyDescent="0.35">
      <c r="A14515" t="str">
        <f t="shared" si="5292"/>
        <v>RCC SOUTHEAST FT WORTH</v>
      </c>
      <c r="B14515" t="str">
        <f>T("1300 TEEGE ST")</f>
        <v>1300 TEEGE ST</v>
      </c>
      <c r="C14515" t="str">
        <f t="shared" si="5293"/>
        <v/>
      </c>
      <c r="D14515" t="str">
        <f>T("HARLINGEN")</f>
        <v>HARLINGEN</v>
      </c>
      <c r="E14515" t="str">
        <f t="shared" ref="E14515:E14520" si="5296">T("TX")</f>
        <v>TX</v>
      </c>
      <c r="F14515" t="str">
        <f>T("785505363")</f>
        <v>785505363</v>
      </c>
      <c r="G14515" t="str">
        <f>T("1300 TEEGE AVE")</f>
        <v>1300 TEEGE AVE</v>
      </c>
      <c r="H14515" t="str">
        <f t="shared" si="5295"/>
        <v/>
      </c>
      <c r="I14515" t="str">
        <f>T("HARLINGEN")</f>
        <v>HARLINGEN</v>
      </c>
      <c r="J14515" t="str">
        <f t="shared" ref="J14515:J14520" si="5297">T("TX")</f>
        <v>TX</v>
      </c>
      <c r="K14515" t="str">
        <f t="shared" si="5294"/>
        <v>000000000000000000</v>
      </c>
      <c r="L14515" t="str">
        <f>T("9564250404")</f>
        <v>9564250404</v>
      </c>
    </row>
    <row r="14516" spans="1:12" x14ac:dyDescent="0.35">
      <c r="A14516" t="str">
        <f t="shared" si="5292"/>
        <v>RCC SOUTHEAST FT WORTH</v>
      </c>
      <c r="B14516" t="str">
        <f>T("1300 TEEGE ST")</f>
        <v>1300 TEEGE ST</v>
      </c>
      <c r="C14516" t="str">
        <f t="shared" si="5293"/>
        <v/>
      </c>
      <c r="D14516" t="str">
        <f>T("HARLINGEN")</f>
        <v>HARLINGEN</v>
      </c>
      <c r="E14516" t="str">
        <f t="shared" si="5296"/>
        <v>TX</v>
      </c>
      <c r="F14516" t="str">
        <f>T("785505363")</f>
        <v>785505363</v>
      </c>
      <c r="G14516" t="str">
        <f>T("1300 TEEGE AVENUE")</f>
        <v>1300 TEEGE AVENUE</v>
      </c>
      <c r="H14516" t="str">
        <f t="shared" si="5295"/>
        <v/>
      </c>
      <c r="I14516" t="str">
        <f>T("HARLINGEN")</f>
        <v>HARLINGEN</v>
      </c>
      <c r="J14516" t="str">
        <f t="shared" si="5297"/>
        <v>TX</v>
      </c>
      <c r="K14516" t="str">
        <f t="shared" si="5294"/>
        <v>000000000000000000</v>
      </c>
      <c r="L14516" t="str">
        <f>T("9564250404")</f>
        <v>9564250404</v>
      </c>
    </row>
    <row r="14517" spans="1:12" x14ac:dyDescent="0.35">
      <c r="A14517" t="str">
        <f t="shared" si="5292"/>
        <v>RCC SOUTHEAST FT WORTH</v>
      </c>
      <c r="B14517" t="str">
        <f>T("1300 TEEGE ST")</f>
        <v>1300 TEEGE ST</v>
      </c>
      <c r="C14517" t="str">
        <f t="shared" si="5293"/>
        <v/>
      </c>
      <c r="D14517" t="str">
        <f>T("HARLINGEN")</f>
        <v>HARLINGEN</v>
      </c>
      <c r="E14517" t="str">
        <f t="shared" si="5296"/>
        <v>TX</v>
      </c>
      <c r="F14517" t="str">
        <f>T("785505363")</f>
        <v>785505363</v>
      </c>
      <c r="G14517" t="str">
        <f>T("1300 TEEGE ST")</f>
        <v>1300 TEEGE ST</v>
      </c>
      <c r="H14517" t="str">
        <f t="shared" si="5295"/>
        <v/>
      </c>
      <c r="I14517" t="str">
        <f>T("HARLINGEN")</f>
        <v>HARLINGEN</v>
      </c>
      <c r="J14517" t="str">
        <f t="shared" si="5297"/>
        <v>TX</v>
      </c>
      <c r="K14517" t="str">
        <f t="shared" si="5294"/>
        <v>000000000000000000</v>
      </c>
      <c r="L14517" t="str">
        <f>T("9564250404")</f>
        <v>9564250404</v>
      </c>
    </row>
    <row r="14518" spans="1:12" x14ac:dyDescent="0.35">
      <c r="A14518" t="str">
        <f t="shared" si="5292"/>
        <v>RCC SOUTHEAST FT WORTH</v>
      </c>
      <c r="B14518" t="str">
        <f>T("1430 DIMMIT DR")</f>
        <v>1430 DIMMIT DR</v>
      </c>
      <c r="C14518" t="str">
        <f>T("SUITE 140")</f>
        <v>SUITE 140</v>
      </c>
      <c r="D14518" t="str">
        <f>T("CORP CHRISTI")</f>
        <v>CORP CHRISTI</v>
      </c>
      <c r="E14518" t="str">
        <f t="shared" si="5296"/>
        <v>TX</v>
      </c>
      <c r="F14518" t="str">
        <f>T("784195119")</f>
        <v>784195119</v>
      </c>
      <c r="G14518" t="str">
        <f>T("1430 DIMMIT DR")</f>
        <v>1430 DIMMIT DR</v>
      </c>
      <c r="H14518" t="str">
        <f>T("SUITE 140")</f>
        <v>SUITE 140</v>
      </c>
      <c r="I14518" t="str">
        <f>T("CORP CHRISTI")</f>
        <v>CORP CHRISTI</v>
      </c>
      <c r="J14518" t="str">
        <f t="shared" si="5297"/>
        <v>TX</v>
      </c>
      <c r="K14518" t="str">
        <f t="shared" si="5294"/>
        <v>000000000000000000</v>
      </c>
      <c r="L14518" t="str">
        <f>T("3619611115")</f>
        <v>3619611115</v>
      </c>
    </row>
    <row r="14519" spans="1:12" x14ac:dyDescent="0.35">
      <c r="A14519" t="str">
        <f t="shared" si="5292"/>
        <v>RCC SOUTHEAST FT WORTH</v>
      </c>
      <c r="B14519" t="str">
        <f>T("1430 DIMMIT DR")</f>
        <v>1430 DIMMIT DR</v>
      </c>
      <c r="C14519" t="str">
        <f>T("SUITE 140")</f>
        <v>SUITE 140</v>
      </c>
      <c r="D14519" t="str">
        <f>T("CORP CHRISTI")</f>
        <v>CORP CHRISTI</v>
      </c>
      <c r="E14519" t="str">
        <f t="shared" si="5296"/>
        <v>TX</v>
      </c>
      <c r="F14519" t="str">
        <f>T("784195119")</f>
        <v>784195119</v>
      </c>
      <c r="G14519" t="str">
        <f>T("1430 DIMMIT DR")</f>
        <v>1430 DIMMIT DR</v>
      </c>
      <c r="H14519" t="str">
        <f>T("SUITE 140")</f>
        <v>SUITE 140</v>
      </c>
      <c r="I14519" t="str">
        <f>T("CORPUS CHRISTI")</f>
        <v>CORPUS CHRISTI</v>
      </c>
      <c r="J14519" t="str">
        <f t="shared" si="5297"/>
        <v>TX</v>
      </c>
      <c r="K14519" t="str">
        <f t="shared" si="5294"/>
        <v>000000000000000000</v>
      </c>
      <c r="L14519" t="str">
        <f>T("3619611176")</f>
        <v>3619611176</v>
      </c>
    </row>
    <row r="14520" spans="1:12" x14ac:dyDescent="0.35">
      <c r="A14520" t="str">
        <f t="shared" si="5292"/>
        <v>RCC SOUTHEAST FT WORTH</v>
      </c>
      <c r="B14520" t="str">
        <f>T("1430 DIMMIT DR")</f>
        <v>1430 DIMMIT DR</v>
      </c>
      <c r="C14520" t="str">
        <f>T("SUITE 140")</f>
        <v>SUITE 140</v>
      </c>
      <c r="D14520" t="str">
        <f>T("CORP CHRISTI")</f>
        <v>CORP CHRISTI</v>
      </c>
      <c r="E14520" t="str">
        <f t="shared" si="5296"/>
        <v>TX</v>
      </c>
      <c r="F14520" t="str">
        <f>T("784195119")</f>
        <v>784195119</v>
      </c>
      <c r="G14520" t="str">
        <f>T("1430 DIMMIT DRIVE STE 140")</f>
        <v>1430 DIMMIT DRIVE STE 140</v>
      </c>
      <c r="H14520" t="str">
        <f t="shared" ref="H14520:H14525" si="5298">T("")</f>
        <v/>
      </c>
      <c r="I14520" t="str">
        <f>T("CORPUS CHRISTI")</f>
        <v>CORPUS CHRISTI</v>
      </c>
      <c r="J14520" t="str">
        <f t="shared" si="5297"/>
        <v>TX</v>
      </c>
      <c r="K14520" t="str">
        <f t="shared" si="5294"/>
        <v>000000000000000000</v>
      </c>
      <c r="L14520" t="str">
        <f>T("3619611116")</f>
        <v>3619611116</v>
      </c>
    </row>
    <row r="14521" spans="1:12" x14ac:dyDescent="0.35">
      <c r="A14521" t="str">
        <f t="shared" si="5292"/>
        <v>RCC SOUTHEAST FT WORTH</v>
      </c>
      <c r="B14521" t="str">
        <f>T("1440 SWAN LAKE RD")</f>
        <v>1440 SWAN LAKE RD</v>
      </c>
      <c r="C14521" t="str">
        <f t="shared" ref="C14521:C14526" si="5299">T("")</f>
        <v/>
      </c>
      <c r="D14521" t="str">
        <f>T("BOSSIER CITY")</f>
        <v>BOSSIER CITY</v>
      </c>
      <c r="E14521" t="str">
        <f>T("LA")</f>
        <v>LA</v>
      </c>
      <c r="F14521" t="str">
        <f>T("711115334")</f>
        <v>711115334</v>
      </c>
      <c r="G14521" t="str">
        <f>T("1440 SWAIN LAKE RD")</f>
        <v>1440 SWAIN LAKE RD</v>
      </c>
      <c r="H14521" t="str">
        <f t="shared" si="5298"/>
        <v/>
      </c>
      <c r="I14521" t="str">
        <f>T("BOSSIER CITY")</f>
        <v>BOSSIER CITY</v>
      </c>
      <c r="J14521" t="str">
        <f>T("LA")</f>
        <v>LA</v>
      </c>
      <c r="K14521" t="str">
        <f t="shared" si="5294"/>
        <v>000000000000000000</v>
      </c>
      <c r="L14521" t="str">
        <f>T("3187469657")</f>
        <v>3187469657</v>
      </c>
    </row>
    <row r="14522" spans="1:12" x14ac:dyDescent="0.35">
      <c r="A14522" t="str">
        <f t="shared" si="5292"/>
        <v>RCC SOUTHEAST FT WORTH</v>
      </c>
      <c r="B14522" t="str">
        <f>T("1440 SWAN LAKE RD")</f>
        <v>1440 SWAN LAKE RD</v>
      </c>
      <c r="C14522" t="str">
        <f t="shared" si="5299"/>
        <v/>
      </c>
      <c r="D14522" t="str">
        <f>T("BOSSIER CITY")</f>
        <v>BOSSIER CITY</v>
      </c>
      <c r="E14522" t="str">
        <f>T("LA")</f>
        <v>LA</v>
      </c>
      <c r="F14522" t="str">
        <f>T("711115334")</f>
        <v>711115334</v>
      </c>
      <c r="G14522" t="str">
        <f>T("1440 SWAN LAKE RD")</f>
        <v>1440 SWAN LAKE RD</v>
      </c>
      <c r="H14522" t="str">
        <f t="shared" si="5298"/>
        <v/>
      </c>
      <c r="I14522" t="str">
        <f>T("BOSSIER CITY")</f>
        <v>BOSSIER CITY</v>
      </c>
      <c r="J14522" t="str">
        <f>T("LA")</f>
        <v>LA</v>
      </c>
      <c r="K14522" t="str">
        <f t="shared" si="5294"/>
        <v>000000000000000000</v>
      </c>
      <c r="L14522" t="str">
        <f>T("3187469657")</f>
        <v>3187469657</v>
      </c>
    </row>
    <row r="14523" spans="1:12" x14ac:dyDescent="0.35">
      <c r="A14523" t="str">
        <f t="shared" si="5292"/>
        <v>RCC SOUTHEAST FT WORTH</v>
      </c>
      <c r="B14523" t="str">
        <f>T("1510 CHENAULT AVE")</f>
        <v>1510 CHENAULT AVE</v>
      </c>
      <c r="C14523" t="str">
        <f t="shared" si="5299"/>
        <v/>
      </c>
      <c r="D14523" t="str">
        <f t="shared" ref="D14523:D14529" si="5300">T("FT WORTH")</f>
        <v>FT WORTH</v>
      </c>
      <c r="E14523" t="str">
        <f t="shared" ref="E14523:E14533" si="5301">T("TX")</f>
        <v>TX</v>
      </c>
      <c r="F14523" t="str">
        <f t="shared" ref="F14523:F14529" si="5302">T("761271053")</f>
        <v>761271053</v>
      </c>
      <c r="G14523" t="str">
        <f>T("1510 CHENAULT AVE")</f>
        <v>1510 CHENAULT AVE</v>
      </c>
      <c r="H14523" t="str">
        <f t="shared" si="5298"/>
        <v/>
      </c>
      <c r="I14523" t="str">
        <f>T("FT WORTH")</f>
        <v>FT WORTH</v>
      </c>
      <c r="J14523" t="str">
        <f t="shared" ref="J14523:J14533" si="5303">T("TX")</f>
        <v>TX</v>
      </c>
      <c r="K14523" t="str">
        <f t="shared" si="5294"/>
        <v>000000000000000000</v>
      </c>
      <c r="L14523" t="str">
        <f>T("8177821640")</f>
        <v>8177821640</v>
      </c>
    </row>
    <row r="14524" spans="1:12" x14ac:dyDescent="0.35">
      <c r="A14524" t="str">
        <f t="shared" si="5292"/>
        <v>RCC SOUTHEAST FT WORTH</v>
      </c>
      <c r="B14524" t="str">
        <f>T("1510 CHENAULT AVE")</f>
        <v>1510 CHENAULT AVE</v>
      </c>
      <c r="C14524" t="str">
        <f t="shared" si="5299"/>
        <v/>
      </c>
      <c r="D14524" t="str">
        <f t="shared" si="5300"/>
        <v>FT WORTH</v>
      </c>
      <c r="E14524" t="str">
        <f t="shared" si="5301"/>
        <v>TX</v>
      </c>
      <c r="F14524" t="str">
        <f t="shared" si="5302"/>
        <v>761271053</v>
      </c>
      <c r="G14524" t="str">
        <f>T("1803 DOOLITTLE AVENUE")</f>
        <v>1803 DOOLITTLE AVENUE</v>
      </c>
      <c r="H14524" t="str">
        <f t="shared" si="5298"/>
        <v/>
      </c>
      <c r="I14524" t="str">
        <f>T("FORT WORTH")</f>
        <v>FORT WORTH</v>
      </c>
      <c r="J14524" t="str">
        <f t="shared" si="5303"/>
        <v>TX</v>
      </c>
      <c r="K14524" t="str">
        <f t="shared" si="5294"/>
        <v>000000000000000000</v>
      </c>
      <c r="L14524" t="str">
        <f>T("8177821640")</f>
        <v>8177821640</v>
      </c>
    </row>
    <row r="14525" spans="1:12" x14ac:dyDescent="0.35">
      <c r="A14525" t="str">
        <f t="shared" si="5292"/>
        <v>RCC SOUTHEAST FT WORTH</v>
      </c>
      <c r="B14525" t="str">
        <f>T("1510 CHENAULT AVE")</f>
        <v>1510 CHENAULT AVE</v>
      </c>
      <c r="C14525" t="str">
        <f t="shared" si="5299"/>
        <v/>
      </c>
      <c r="D14525" t="str">
        <f t="shared" si="5300"/>
        <v>FT WORTH</v>
      </c>
      <c r="E14525" t="str">
        <f t="shared" si="5301"/>
        <v>TX</v>
      </c>
      <c r="F14525" t="str">
        <f t="shared" si="5302"/>
        <v>761271053</v>
      </c>
      <c r="G14525" t="str">
        <f>T("1803 DOOLITTLE AVENUE")</f>
        <v>1803 DOOLITTLE AVENUE</v>
      </c>
      <c r="H14525" t="str">
        <f t="shared" si="5298"/>
        <v/>
      </c>
      <c r="I14525" t="str">
        <f>T("FORT WORTH")</f>
        <v>FORT WORTH</v>
      </c>
      <c r="J14525" t="str">
        <f t="shared" si="5303"/>
        <v>TX</v>
      </c>
      <c r="K14525" t="str">
        <f t="shared" si="5294"/>
        <v>000000000000000000</v>
      </c>
      <c r="L14525" t="str">
        <f>T("8177821641")</f>
        <v>8177821641</v>
      </c>
    </row>
    <row r="14526" spans="1:12" x14ac:dyDescent="0.35">
      <c r="A14526" t="str">
        <f t="shared" si="5292"/>
        <v>RCC SOUTHEAST FT WORTH</v>
      </c>
      <c r="B14526" t="str">
        <f>T("1510 CHENAULT AVE")</f>
        <v>1510 CHENAULT AVE</v>
      </c>
      <c r="C14526" t="str">
        <f t="shared" si="5299"/>
        <v/>
      </c>
      <c r="D14526" t="str">
        <f t="shared" si="5300"/>
        <v>FT WORTH</v>
      </c>
      <c r="E14526" t="str">
        <f t="shared" si="5301"/>
        <v>TX</v>
      </c>
      <c r="F14526" t="str">
        <f t="shared" si="5302"/>
        <v>761271053</v>
      </c>
      <c r="G14526" t="str">
        <f>T("1803 DOOLITTLE RD")</f>
        <v>1803 DOOLITTLE RD</v>
      </c>
      <c r="H14526" t="str">
        <f>T("RM 118")</f>
        <v>RM 118</v>
      </c>
      <c r="I14526" t="str">
        <f>T("FT WORTH")</f>
        <v>FT WORTH</v>
      </c>
      <c r="J14526" t="str">
        <f t="shared" si="5303"/>
        <v>TX</v>
      </c>
      <c r="K14526" t="str">
        <f t="shared" si="5294"/>
        <v>000000000000000000</v>
      </c>
      <c r="L14526" t="str">
        <f>T("8177821641")</f>
        <v>8177821641</v>
      </c>
    </row>
    <row r="14527" spans="1:12" x14ac:dyDescent="0.35">
      <c r="A14527" t="str">
        <f t="shared" si="5292"/>
        <v>RCC SOUTHEAST FT WORTH</v>
      </c>
      <c r="B14527" t="str">
        <f>T("1803 DOOLITTLE AVE")</f>
        <v>1803 DOOLITTLE AVE</v>
      </c>
      <c r="C14527" t="str">
        <f>T("ROOM 230")</f>
        <v>ROOM 230</v>
      </c>
      <c r="D14527" t="str">
        <f t="shared" si="5300"/>
        <v>FT WORTH</v>
      </c>
      <c r="E14527" t="str">
        <f t="shared" si="5301"/>
        <v>TX</v>
      </c>
      <c r="F14527" t="str">
        <f t="shared" si="5302"/>
        <v>761271053</v>
      </c>
      <c r="G14527" t="str">
        <f>T("1803 DOOLITTLE AVE")</f>
        <v>1803 DOOLITTLE AVE</v>
      </c>
      <c r="H14527" t="str">
        <f>T("ROOM 230")</f>
        <v>ROOM 230</v>
      </c>
      <c r="I14527" t="str">
        <f>T("FT WORTH")</f>
        <v>FT WORTH</v>
      </c>
      <c r="J14527" t="str">
        <f t="shared" si="5303"/>
        <v>TX</v>
      </c>
      <c r="K14527" t="str">
        <f t="shared" si="5294"/>
        <v>000000000000000000</v>
      </c>
      <c r="L14527" t="str">
        <f>T("8177821932")</f>
        <v>8177821932</v>
      </c>
    </row>
    <row r="14528" spans="1:12" x14ac:dyDescent="0.35">
      <c r="A14528" t="str">
        <f t="shared" si="5292"/>
        <v>RCC SOUTHEAST FT WORTH</v>
      </c>
      <c r="B14528" t="str">
        <f>T("1803 DOOLITTLE AVE")</f>
        <v>1803 DOOLITTLE AVE</v>
      </c>
      <c r="C14528" t="str">
        <f>T("ROOM 230")</f>
        <v>ROOM 230</v>
      </c>
      <c r="D14528" t="str">
        <f t="shared" si="5300"/>
        <v>FT WORTH</v>
      </c>
      <c r="E14528" t="str">
        <f t="shared" si="5301"/>
        <v>TX</v>
      </c>
      <c r="F14528" t="str">
        <f t="shared" si="5302"/>
        <v>761271053</v>
      </c>
      <c r="G14528" t="str">
        <f>T("1803 DOOLITTLE AVENUE")</f>
        <v>1803 DOOLITTLE AVENUE</v>
      </c>
      <c r="H14528" t="str">
        <f t="shared" ref="H14528:H14537" si="5304">T("")</f>
        <v/>
      </c>
      <c r="I14528" t="str">
        <f>T("FORT WORTH")</f>
        <v>FORT WORTH</v>
      </c>
      <c r="J14528" t="str">
        <f t="shared" si="5303"/>
        <v>TX</v>
      </c>
      <c r="K14528" t="str">
        <f t="shared" si="5294"/>
        <v>000000000000000000</v>
      </c>
      <c r="L14528" t="str">
        <f>T("8177821602")</f>
        <v>8177821602</v>
      </c>
    </row>
    <row r="14529" spans="1:12" x14ac:dyDescent="0.35">
      <c r="A14529" t="str">
        <f t="shared" si="5292"/>
        <v>RCC SOUTHEAST FT WORTH</v>
      </c>
      <c r="B14529" t="str">
        <f>T("1803 DOOLITTLE AVE")</f>
        <v>1803 DOOLITTLE AVE</v>
      </c>
      <c r="C14529" t="str">
        <f>T("ROOM 230")</f>
        <v>ROOM 230</v>
      </c>
      <c r="D14529" t="str">
        <f t="shared" si="5300"/>
        <v>FT WORTH</v>
      </c>
      <c r="E14529" t="str">
        <f t="shared" si="5301"/>
        <v>TX</v>
      </c>
      <c r="F14529" t="str">
        <f t="shared" si="5302"/>
        <v>761271053</v>
      </c>
      <c r="G14529" t="str">
        <f>T("1803 DOOLITTLE AVENUE")</f>
        <v>1803 DOOLITTLE AVENUE</v>
      </c>
      <c r="H14529" t="str">
        <f t="shared" si="5304"/>
        <v/>
      </c>
      <c r="I14529" t="str">
        <f>T("FORT WORTH")</f>
        <v>FORT WORTH</v>
      </c>
      <c r="J14529" t="str">
        <f t="shared" si="5303"/>
        <v>TX</v>
      </c>
      <c r="K14529" t="str">
        <f t="shared" si="5294"/>
        <v>000000000000000000</v>
      </c>
      <c r="L14529" t="str">
        <f>T("8177821932")</f>
        <v>8177821932</v>
      </c>
    </row>
    <row r="14530" spans="1:12" x14ac:dyDescent="0.35">
      <c r="A14530" t="str">
        <f t="shared" si="5292"/>
        <v>RCC SOUTHEAST FT WORTH</v>
      </c>
      <c r="B14530" t="str">
        <f>T("2100 N NEW RD")</f>
        <v>2100 N NEW RD</v>
      </c>
      <c r="C14530" t="str">
        <f t="shared" ref="C14530:C14556" si="5305">T("")</f>
        <v/>
      </c>
      <c r="D14530" t="str">
        <f>T("WACO")</f>
        <v>WACO</v>
      </c>
      <c r="E14530" t="str">
        <f t="shared" si="5301"/>
        <v>TX</v>
      </c>
      <c r="F14530" t="str">
        <f>T("767071019")</f>
        <v>767071019</v>
      </c>
      <c r="G14530" t="str">
        <f>T("2100 N NEW RD")</f>
        <v>2100 N NEW RD</v>
      </c>
      <c r="H14530" t="str">
        <f t="shared" si="5304"/>
        <v/>
      </c>
      <c r="I14530" t="str">
        <f>T("WACO")</f>
        <v>WACO</v>
      </c>
      <c r="J14530" t="str">
        <f t="shared" si="5303"/>
        <v>TX</v>
      </c>
      <c r="K14530" t="str">
        <f t="shared" si="5294"/>
        <v>000000000000000000</v>
      </c>
      <c r="L14530" t="str">
        <f>T("2547761841")</f>
        <v>2547761841</v>
      </c>
    </row>
    <row r="14531" spans="1:12" x14ac:dyDescent="0.35">
      <c r="A14531" t="str">
        <f t="shared" si="5292"/>
        <v>RCC SOUTHEAST FT WORTH</v>
      </c>
      <c r="B14531" t="str">
        <f>T("2100 N NEW RD")</f>
        <v>2100 N NEW RD</v>
      </c>
      <c r="C14531" t="str">
        <f t="shared" si="5305"/>
        <v/>
      </c>
      <c r="D14531" t="str">
        <f>T("WACO")</f>
        <v>WACO</v>
      </c>
      <c r="E14531" t="str">
        <f t="shared" si="5301"/>
        <v>TX</v>
      </c>
      <c r="F14531" t="str">
        <f>T("767071019")</f>
        <v>767071019</v>
      </c>
      <c r="G14531" t="str">
        <f>T("2100 N NEW ROAD")</f>
        <v>2100 N NEW ROAD</v>
      </c>
      <c r="H14531" t="str">
        <f t="shared" si="5304"/>
        <v/>
      </c>
      <c r="I14531" t="str">
        <f>T("WACO")</f>
        <v>WACO</v>
      </c>
      <c r="J14531" t="str">
        <f t="shared" si="5303"/>
        <v>TX</v>
      </c>
      <c r="K14531" t="str">
        <f t="shared" si="5294"/>
        <v>000000000000000000</v>
      </c>
      <c r="L14531" t="str">
        <f>T("2547761841")</f>
        <v>2547761841</v>
      </c>
    </row>
    <row r="14532" spans="1:12" x14ac:dyDescent="0.35">
      <c r="A14532" t="str">
        <f t="shared" si="5292"/>
        <v>RCC SOUTHEAST FT WORTH</v>
      </c>
      <c r="B14532" t="str">
        <f>T("2500 TEE ANCHOR BLVD")</f>
        <v>2500 TEE ANCHOR BLVD</v>
      </c>
      <c r="C14532" t="str">
        <f t="shared" si="5305"/>
        <v/>
      </c>
      <c r="D14532" t="str">
        <f>T("AMARILLO")</f>
        <v>AMARILLO</v>
      </c>
      <c r="E14532" t="str">
        <f t="shared" si="5301"/>
        <v>TX</v>
      </c>
      <c r="F14532" t="str">
        <f>T("791042416")</f>
        <v>791042416</v>
      </c>
      <c r="G14532" t="str">
        <f>T("2500 TEE ANCHOR BLVD")</f>
        <v>2500 TEE ANCHOR BLVD</v>
      </c>
      <c r="H14532" t="str">
        <f t="shared" si="5304"/>
        <v/>
      </c>
      <c r="I14532" t="str">
        <f>T("AMARILLO")</f>
        <v>AMARILLO</v>
      </c>
      <c r="J14532" t="str">
        <f t="shared" si="5303"/>
        <v>TX</v>
      </c>
      <c r="K14532" t="str">
        <f t="shared" si="5294"/>
        <v>000000000000000000</v>
      </c>
      <c r="L14532" t="str">
        <f>T("8063725589")</f>
        <v>8063725589</v>
      </c>
    </row>
    <row r="14533" spans="1:12" x14ac:dyDescent="0.35">
      <c r="A14533" t="str">
        <f t="shared" si="5292"/>
        <v>RCC SOUTHEAST FT WORTH</v>
      </c>
      <c r="B14533" t="str">
        <f>T("2500 TEE ANCHOR BLVD")</f>
        <v>2500 TEE ANCHOR BLVD</v>
      </c>
      <c r="C14533" t="str">
        <f t="shared" si="5305"/>
        <v/>
      </c>
      <c r="D14533" t="str">
        <f>T("AMARILLO")</f>
        <v>AMARILLO</v>
      </c>
      <c r="E14533" t="str">
        <f t="shared" si="5301"/>
        <v>TX</v>
      </c>
      <c r="F14533" t="str">
        <f>T("791042416")</f>
        <v>791042416</v>
      </c>
      <c r="G14533" t="str">
        <f>T("2500 TEE ANCHOR BLVD")</f>
        <v>2500 TEE ANCHOR BLVD</v>
      </c>
      <c r="H14533" t="str">
        <f t="shared" si="5304"/>
        <v/>
      </c>
      <c r="I14533" t="str">
        <f>T("AMARILLO")</f>
        <v>AMARILLO</v>
      </c>
      <c r="J14533" t="str">
        <f t="shared" si="5303"/>
        <v>TX</v>
      </c>
      <c r="K14533" t="str">
        <f t="shared" si="5294"/>
        <v>000000000000000000</v>
      </c>
      <c r="L14533" t="str">
        <f>T("8063725590")</f>
        <v>8063725590</v>
      </c>
    </row>
    <row r="14534" spans="1:12" x14ac:dyDescent="0.35">
      <c r="A14534" t="str">
        <f t="shared" si="5292"/>
        <v>RCC SOUTHEAST FT WORTH</v>
      </c>
      <c r="B14534" t="str">
        <f>T("3026 GEORGE WASHINGTON BLVD")</f>
        <v>3026 GEORGE WASHINGTON BLVD</v>
      </c>
      <c r="C14534" t="str">
        <f t="shared" si="5305"/>
        <v/>
      </c>
      <c r="D14534" t="str">
        <f>T("WICHITA")</f>
        <v>WICHITA</v>
      </c>
      <c r="E14534" t="str">
        <f>T("KS")</f>
        <v>KS</v>
      </c>
      <c r="F14534" t="str">
        <f>T("672101502")</f>
        <v>672101502</v>
      </c>
      <c r="G14534" t="str">
        <f>T("3026 GEORGE WASHINGTON BLVD")</f>
        <v>3026 GEORGE WASHINGTON BLVD</v>
      </c>
      <c r="H14534" t="str">
        <f t="shared" si="5304"/>
        <v/>
      </c>
      <c r="I14534" t="str">
        <f>T("WICHITA")</f>
        <v>WICHITA</v>
      </c>
      <c r="J14534" t="str">
        <f>T("KS")</f>
        <v>KS</v>
      </c>
      <c r="K14534" t="str">
        <f t="shared" si="5294"/>
        <v>000000000000000000</v>
      </c>
      <c r="L14534" t="str">
        <f>T("3166835105")</f>
        <v>3166835105</v>
      </c>
    </row>
    <row r="14535" spans="1:12" x14ac:dyDescent="0.35">
      <c r="A14535" t="str">
        <f t="shared" si="5292"/>
        <v>RCC SOUTHEAST FT WORTH</v>
      </c>
      <c r="B14535" t="str">
        <f>T("3026 GEORGE WASHINGTON BLVD")</f>
        <v>3026 GEORGE WASHINGTON BLVD</v>
      </c>
      <c r="C14535" t="str">
        <f t="shared" si="5305"/>
        <v/>
      </c>
      <c r="D14535" t="str">
        <f>T("WICHITA")</f>
        <v>WICHITA</v>
      </c>
      <c r="E14535" t="str">
        <f>T("KS")</f>
        <v>KS</v>
      </c>
      <c r="F14535" t="str">
        <f>T("672101502")</f>
        <v>672101502</v>
      </c>
      <c r="G14535" t="str">
        <f>T("3026 S GEORGE WASHINGTON BLVD")</f>
        <v>3026 S GEORGE WASHINGTON BLVD</v>
      </c>
      <c r="H14535" t="str">
        <f t="shared" si="5304"/>
        <v/>
      </c>
      <c r="I14535" t="str">
        <f>T("WICHITA")</f>
        <v>WICHITA</v>
      </c>
      <c r="J14535" t="str">
        <f>T("KS")</f>
        <v>KS</v>
      </c>
      <c r="K14535" t="str">
        <f t="shared" si="5294"/>
        <v>000000000000000000</v>
      </c>
      <c r="L14535" t="str">
        <f>T("3166833491")</f>
        <v>3166833491</v>
      </c>
    </row>
    <row r="14536" spans="1:12" x14ac:dyDescent="0.35">
      <c r="A14536" t="str">
        <f t="shared" si="5292"/>
        <v>RCC SOUTHEAST FT WORTH</v>
      </c>
      <c r="B14536" t="str">
        <f>T("3100 EMANUEL CLEAVER II BLVD")</f>
        <v>3100 EMANUEL CLEAVER II BLVD</v>
      </c>
      <c r="C14536" t="str">
        <f t="shared" si="5305"/>
        <v/>
      </c>
      <c r="D14536" t="str">
        <f>T("KANSAS CITY")</f>
        <v>KANSAS CITY</v>
      </c>
      <c r="E14536" t="str">
        <f>T("MO")</f>
        <v>MO</v>
      </c>
      <c r="F14536" t="str">
        <f>T("641302404")</f>
        <v>641302404</v>
      </c>
      <c r="G14536" t="str">
        <f>T("3100 EMANUEL CLEAVER II BLVD")</f>
        <v>3100 EMANUEL CLEAVER II BLVD</v>
      </c>
      <c r="H14536" t="str">
        <f t="shared" si="5304"/>
        <v/>
      </c>
      <c r="I14536" t="str">
        <f>T("KANSAS CITY")</f>
        <v>KANSAS CITY</v>
      </c>
      <c r="J14536" t="str">
        <f>T("MO")</f>
        <v>MO</v>
      </c>
      <c r="K14536" t="str">
        <f t="shared" si="5294"/>
        <v>000000000000000000</v>
      </c>
      <c r="L14536" t="str">
        <f>T("8169232341")</f>
        <v>8169232341</v>
      </c>
    </row>
    <row r="14537" spans="1:12" x14ac:dyDescent="0.35">
      <c r="A14537" t="str">
        <f t="shared" si="5292"/>
        <v>RCC SOUTHEAST FT WORTH</v>
      </c>
      <c r="B14537" t="str">
        <f>T("3100 EMANUEL CLEAVER II BLVD")</f>
        <v>3100 EMANUEL CLEAVER II BLVD</v>
      </c>
      <c r="C14537" t="str">
        <f t="shared" si="5305"/>
        <v/>
      </c>
      <c r="D14537" t="str">
        <f>T("KANSAS CITY")</f>
        <v>KANSAS CITY</v>
      </c>
      <c r="E14537" t="str">
        <f>T("MO")</f>
        <v>MO</v>
      </c>
      <c r="F14537" t="str">
        <f>T("641302404")</f>
        <v>641302404</v>
      </c>
      <c r="G14537" t="str">
        <f>T("3100 EMANUEL CLEVER II BOULEVARD")</f>
        <v>3100 EMANUEL CLEVER II BOULEVARD</v>
      </c>
      <c r="H14537" t="str">
        <f t="shared" si="5304"/>
        <v/>
      </c>
      <c r="I14537" t="str">
        <f>T("KANSAS CITY")</f>
        <v>KANSAS CITY</v>
      </c>
      <c r="J14537" t="str">
        <f>T("MO")</f>
        <v>MO</v>
      </c>
      <c r="K14537" t="str">
        <f t="shared" si="5294"/>
        <v>000000000000000000</v>
      </c>
      <c r="L14537" t="str">
        <f>T("8169232341")</f>
        <v>8169232341</v>
      </c>
    </row>
    <row r="14538" spans="1:12" x14ac:dyDescent="0.35">
      <c r="A14538" t="str">
        <f t="shared" ref="A14538:A14560" si="5306">T("RCC SOUTHEAST FT WORTH")</f>
        <v>RCC SOUTHEAST FT WORTH</v>
      </c>
      <c r="B14538" t="str">
        <f>T("3837 BINZ-ENGLEMANN RD")</f>
        <v>3837 BINZ-ENGLEMANN RD</v>
      </c>
      <c r="C14538" t="str">
        <f t="shared" si="5305"/>
        <v/>
      </c>
      <c r="D14538" t="str">
        <f>T("SAN ANTONIO")</f>
        <v>SAN ANTONIO</v>
      </c>
      <c r="E14538" t="str">
        <f>T("TX")</f>
        <v>TX</v>
      </c>
      <c r="F14538" t="str">
        <f>T("782192219")</f>
        <v>782192219</v>
      </c>
      <c r="G14538" t="str">
        <f>T("3837 BINZ-ENGLEMAN RD")</f>
        <v>3837 BINZ-ENGLEMAN RD</v>
      </c>
      <c r="H14538" t="str">
        <f>T("BLDG 3620 FORT SAM HOUSTON")</f>
        <v>BLDG 3620 FORT SAM HOUSTON</v>
      </c>
      <c r="I14538" t="str">
        <f>T("SAN ANTONIO")</f>
        <v>SAN ANTONIO</v>
      </c>
      <c r="J14538" t="str">
        <f>T("TX")</f>
        <v>TX</v>
      </c>
      <c r="K14538" t="str">
        <f t="shared" ref="K14538:K14572" si="5307">T("000000000000000000")</f>
        <v>000000000000000000</v>
      </c>
      <c r="L14538" t="str">
        <f>T("2102252997")</f>
        <v>2102252997</v>
      </c>
    </row>
    <row r="14539" spans="1:12" x14ac:dyDescent="0.35">
      <c r="A14539" t="str">
        <f t="shared" si="5306"/>
        <v>RCC SOUTHEAST FT WORTH</v>
      </c>
      <c r="B14539" t="str">
        <f>T("3837 BINZ-ENGLEMANN RD")</f>
        <v>3837 BINZ-ENGLEMANN RD</v>
      </c>
      <c r="C14539" t="str">
        <f t="shared" si="5305"/>
        <v/>
      </c>
      <c r="D14539" t="str">
        <f>T("SAN ANTONIO")</f>
        <v>SAN ANTONIO</v>
      </c>
      <c r="E14539" t="str">
        <f>T("TX")</f>
        <v>TX</v>
      </c>
      <c r="F14539" t="str">
        <f>T("782192219")</f>
        <v>782192219</v>
      </c>
      <c r="G14539" t="str">
        <f>T("3837 BINZ-ENGLEMAN ROAD")</f>
        <v>3837 BINZ-ENGLEMAN ROAD</v>
      </c>
      <c r="H14539" t="str">
        <f>T("BLDG 3620")</f>
        <v>BLDG 3620</v>
      </c>
      <c r="I14539" t="str">
        <f>T("SAN ANTONIO")</f>
        <v>SAN ANTONIO</v>
      </c>
      <c r="J14539" t="str">
        <f>T("TX")</f>
        <v>TX</v>
      </c>
      <c r="K14539" t="str">
        <f t="shared" si="5307"/>
        <v>000000000000000000</v>
      </c>
      <c r="L14539" t="str">
        <f>T("2105399912")</f>
        <v>2105399912</v>
      </c>
    </row>
    <row r="14540" spans="1:12" x14ac:dyDescent="0.35">
      <c r="A14540" t="str">
        <f t="shared" si="5306"/>
        <v>RCC SOUTHEAST FT WORTH</v>
      </c>
      <c r="B14540" t="str">
        <f>T("3837 BINZ-ENGLEMANN RD")</f>
        <v>3837 BINZ-ENGLEMANN RD</v>
      </c>
      <c r="C14540" t="str">
        <f t="shared" si="5305"/>
        <v/>
      </c>
      <c r="D14540" t="str">
        <f>T("SAN ANTONIO")</f>
        <v>SAN ANTONIO</v>
      </c>
      <c r="E14540" t="str">
        <f>T("TX")</f>
        <v>TX</v>
      </c>
      <c r="F14540" t="str">
        <f>T("782192219")</f>
        <v>782192219</v>
      </c>
      <c r="G14540" t="str">
        <f>T("3837 BINZ-ENGLEMANN RD")</f>
        <v>3837 BINZ-ENGLEMANN RD</v>
      </c>
      <c r="H14540" t="str">
        <f>T("")</f>
        <v/>
      </c>
      <c r="I14540" t="str">
        <f>T("SAN ANTONIO")</f>
        <v>SAN ANTONIO</v>
      </c>
      <c r="J14540" t="str">
        <f>T("TX")</f>
        <v>TX</v>
      </c>
      <c r="K14540" t="str">
        <f t="shared" si="5307"/>
        <v>000000000000000000</v>
      </c>
      <c r="L14540" t="str">
        <f>T("2105395505")</f>
        <v>2105395505</v>
      </c>
    </row>
    <row r="14541" spans="1:12" x14ac:dyDescent="0.35">
      <c r="A14541" t="str">
        <f t="shared" si="5306"/>
        <v>RCC SOUTHEAST FT WORTH</v>
      </c>
      <c r="B14541" t="str">
        <f>T("400 RUSSELL AVE")</f>
        <v>400 RUSSELL AVE</v>
      </c>
      <c r="C14541" t="str">
        <f t="shared" si="5305"/>
        <v/>
      </c>
      <c r="D14541" t="str">
        <f>T("NEW ORLEANS")</f>
        <v>NEW ORLEANS</v>
      </c>
      <c r="E14541" t="str">
        <f>T("LA")</f>
        <v>LA</v>
      </c>
      <c r="F14541" t="str">
        <f>T("701435077")</f>
        <v>701435077</v>
      </c>
      <c r="G14541" t="str">
        <f>T("400 RUSSELL AVE")</f>
        <v>400 RUSSELL AVE</v>
      </c>
      <c r="H14541" t="str">
        <f>T("")</f>
        <v/>
      </c>
      <c r="I14541" t="str">
        <f>T("NEW ORLEANS")</f>
        <v>NEW ORLEANS</v>
      </c>
      <c r="J14541" t="str">
        <f>T("LA")</f>
        <v>LA</v>
      </c>
      <c r="K14541" t="str">
        <f t="shared" si="5307"/>
        <v>000000000000000000</v>
      </c>
      <c r="L14541" t="str">
        <f>T("5046788200")</f>
        <v>5046788200</v>
      </c>
    </row>
    <row r="14542" spans="1:12" x14ac:dyDescent="0.35">
      <c r="A14542" t="str">
        <f t="shared" si="5306"/>
        <v>RCC SOUTHEAST FT WORTH</v>
      </c>
      <c r="B14542" t="str">
        <f>T("400 RUSSELL AVE")</f>
        <v>400 RUSSELL AVE</v>
      </c>
      <c r="C14542" t="str">
        <f t="shared" si="5305"/>
        <v/>
      </c>
      <c r="D14542" t="str">
        <f>T("NEW ORLEANS")</f>
        <v>NEW ORLEANS</v>
      </c>
      <c r="E14542" t="str">
        <f>T("LA")</f>
        <v>LA</v>
      </c>
      <c r="F14542" t="str">
        <f>T("701435077")</f>
        <v>701435077</v>
      </c>
      <c r="G14542" t="str">
        <f>T("400 RUSSELL AVE")</f>
        <v>400 RUSSELL AVE</v>
      </c>
      <c r="H14542" t="str">
        <f>T("BLDG 492 RM 125")</f>
        <v>BLDG 492 RM 125</v>
      </c>
      <c r="I14542" t="str">
        <f>T("NEW ORLEANS")</f>
        <v>NEW ORLEANS</v>
      </c>
      <c r="J14542" t="str">
        <f>T("LA")</f>
        <v>LA</v>
      </c>
      <c r="K14542" t="str">
        <f t="shared" si="5307"/>
        <v>000000000000000000</v>
      </c>
      <c r="L14542" t="str">
        <f>T("5046979204")</f>
        <v>5046979204</v>
      </c>
    </row>
    <row r="14543" spans="1:12" x14ac:dyDescent="0.35">
      <c r="A14543" t="str">
        <f t="shared" si="5306"/>
        <v>RCC SOUTHEAST FT WORTH</v>
      </c>
      <c r="B14543" t="str">
        <f>T("400 RUSSELL AVE")</f>
        <v>400 RUSSELL AVE</v>
      </c>
      <c r="C14543" t="str">
        <f t="shared" si="5305"/>
        <v/>
      </c>
      <c r="D14543" t="str">
        <f>T("NEW ORLEANS")</f>
        <v>NEW ORLEANS</v>
      </c>
      <c r="E14543" t="str">
        <f>T("LA")</f>
        <v>LA</v>
      </c>
      <c r="F14543" t="str">
        <f>T("701435077")</f>
        <v>701435077</v>
      </c>
      <c r="G14543" t="str">
        <f>T("400 RUSSELL AVENUE")</f>
        <v>400 RUSSELL AVENUE</v>
      </c>
      <c r="H14543" t="str">
        <f t="shared" ref="H14543:H14556" si="5308">T("")</f>
        <v/>
      </c>
      <c r="I14543" t="str">
        <f>T("NEW ORLEANS")</f>
        <v>NEW ORLEANS</v>
      </c>
      <c r="J14543" t="str">
        <f>T("LA")</f>
        <v>LA</v>
      </c>
      <c r="K14543" t="str">
        <f t="shared" si="5307"/>
        <v>000000000000000000</v>
      </c>
      <c r="L14543" t="str">
        <f>T("5046788206")</f>
        <v>5046788206</v>
      </c>
    </row>
    <row r="14544" spans="1:12" x14ac:dyDescent="0.35">
      <c r="A14544" t="str">
        <f t="shared" si="5306"/>
        <v>RCC SOUTHEAST FT WORTH</v>
      </c>
      <c r="B14544" t="str">
        <f>T("434 ROSENBAUM AVE")</f>
        <v>434 ROSENBAUM AVE</v>
      </c>
      <c r="C14544" t="str">
        <f t="shared" si="5305"/>
        <v/>
      </c>
      <c r="D14544" t="str">
        <f>T("MERIDIAN")</f>
        <v>MERIDIAN</v>
      </c>
      <c r="E14544" t="str">
        <f>T("MS")</f>
        <v>MS</v>
      </c>
      <c r="F14544" t="str">
        <f>T("393090001")</f>
        <v>393090001</v>
      </c>
      <c r="G14544" t="str">
        <f>T("434 ROSENBAUM AVE")</f>
        <v>434 ROSENBAUM AVE</v>
      </c>
      <c r="H14544" t="str">
        <f t="shared" si="5308"/>
        <v/>
      </c>
      <c r="I14544" t="str">
        <f>T("MERIDIAN")</f>
        <v>MERIDIAN</v>
      </c>
      <c r="J14544" t="str">
        <f>T("MS")</f>
        <v>MS</v>
      </c>
      <c r="K14544" t="str">
        <f t="shared" si="5307"/>
        <v>000000000000000000</v>
      </c>
      <c r="L14544" t="str">
        <f>T("6016793610")</f>
        <v>6016793610</v>
      </c>
    </row>
    <row r="14545" spans="1:12" x14ac:dyDescent="0.35">
      <c r="A14545" t="str">
        <f t="shared" si="5306"/>
        <v>RCC SOUTHEAST FT WORTH</v>
      </c>
      <c r="B14545" t="str">
        <f>T("434 ROSENBAUM AVE")</f>
        <v>434 ROSENBAUM AVE</v>
      </c>
      <c r="C14545" t="str">
        <f t="shared" si="5305"/>
        <v/>
      </c>
      <c r="D14545" t="str">
        <f>T("MERIDIAN")</f>
        <v>MERIDIAN</v>
      </c>
      <c r="E14545" t="str">
        <f>T("MS")</f>
        <v>MS</v>
      </c>
      <c r="F14545" t="str">
        <f>T("393090001")</f>
        <v>393090001</v>
      </c>
      <c r="G14545" t="str">
        <f>T("434 ROSENBAUM AVENUE")</f>
        <v>434 ROSENBAUM AVENUE</v>
      </c>
      <c r="H14545" t="str">
        <f t="shared" si="5308"/>
        <v/>
      </c>
      <c r="I14545" t="str">
        <f>T("MERIDIAN")</f>
        <v>MERIDIAN</v>
      </c>
      <c r="J14545" t="str">
        <f>T("MS")</f>
        <v>MS</v>
      </c>
      <c r="K14545" t="str">
        <f t="shared" si="5307"/>
        <v>000000000000000000</v>
      </c>
      <c r="L14545" t="str">
        <f>T("6016793610")</f>
        <v>6016793610</v>
      </c>
    </row>
    <row r="14546" spans="1:12" x14ac:dyDescent="0.35">
      <c r="A14546" t="str">
        <f t="shared" si="5306"/>
        <v>RCC SOUTHEAST FT WORTH</v>
      </c>
      <c r="B14546" t="str">
        <f>T("4601 FAIRVIEW DR")</f>
        <v>4601 FAIRVIEW DR</v>
      </c>
      <c r="C14546" t="str">
        <f t="shared" si="5305"/>
        <v/>
      </c>
      <c r="D14546" t="str">
        <f>T("AUSTIN")</f>
        <v>AUSTIN</v>
      </c>
      <c r="E14546" t="str">
        <f>T("TX")</f>
        <v>TX</v>
      </c>
      <c r="F14546" t="str">
        <f>T("787315312")</f>
        <v>787315312</v>
      </c>
      <c r="G14546" t="str">
        <f>T("4601 FAIRVIEW DR")</f>
        <v>4601 FAIRVIEW DR</v>
      </c>
      <c r="H14546" t="str">
        <f t="shared" si="5308"/>
        <v/>
      </c>
      <c r="I14546" t="str">
        <f>T("AUSTIN")</f>
        <v>AUSTIN</v>
      </c>
      <c r="J14546" t="str">
        <f>T("TX")</f>
        <v>TX</v>
      </c>
      <c r="K14546" t="str">
        <f t="shared" si="5307"/>
        <v>000000000000000000</v>
      </c>
      <c r="L14546" t="str">
        <f>T("5124521243")</f>
        <v>5124521243</v>
      </c>
    </row>
    <row r="14547" spans="1:12" x14ac:dyDescent="0.35">
      <c r="A14547" t="str">
        <f t="shared" si="5306"/>
        <v>RCC SOUTHEAST FT WORTH</v>
      </c>
      <c r="B14547" t="str">
        <f>T("4601 FAIRVIEW DR")</f>
        <v>4601 FAIRVIEW DR</v>
      </c>
      <c r="C14547" t="str">
        <f t="shared" si="5305"/>
        <v/>
      </c>
      <c r="D14547" t="str">
        <f>T("AUSTIN")</f>
        <v>AUSTIN</v>
      </c>
      <c r="E14547" t="str">
        <f>T("TX")</f>
        <v>TX</v>
      </c>
      <c r="F14547" t="str">
        <f>T("787315312")</f>
        <v>787315312</v>
      </c>
      <c r="G14547" t="str">
        <f>T("4601 FAIRVIEW DR")</f>
        <v>4601 FAIRVIEW DR</v>
      </c>
      <c r="H14547" t="str">
        <f t="shared" si="5308"/>
        <v/>
      </c>
      <c r="I14547" t="str">
        <f>T("AUSTIN")</f>
        <v>AUSTIN</v>
      </c>
      <c r="J14547" t="str">
        <f>T("TX")</f>
        <v>TX</v>
      </c>
      <c r="K14547" t="str">
        <f t="shared" si="5307"/>
        <v>000000000000000000</v>
      </c>
      <c r="L14547" t="str">
        <f>T("5124584154")</f>
        <v>5124584154</v>
      </c>
    </row>
    <row r="14548" spans="1:12" x14ac:dyDescent="0.35">
      <c r="A14548" t="str">
        <f t="shared" si="5306"/>
        <v>RCC SOUTHEAST FT WORTH</v>
      </c>
      <c r="B14548" t="str">
        <f>T("4601 FAIRVIEW DR")</f>
        <v>4601 FAIRVIEW DR</v>
      </c>
      <c r="C14548" t="str">
        <f t="shared" si="5305"/>
        <v/>
      </c>
      <c r="D14548" t="str">
        <f>T("AUSTIN")</f>
        <v>AUSTIN</v>
      </c>
      <c r="E14548" t="str">
        <f>T("TX")</f>
        <v>TX</v>
      </c>
      <c r="F14548" t="str">
        <f>T("787315312")</f>
        <v>787315312</v>
      </c>
      <c r="G14548" t="str">
        <f>T("4601 FAIRVIEW DRIVE")</f>
        <v>4601 FAIRVIEW DRIVE</v>
      </c>
      <c r="H14548" t="str">
        <f t="shared" si="5308"/>
        <v/>
      </c>
      <c r="I14548" t="str">
        <f>T("AUSTIN")</f>
        <v>AUSTIN</v>
      </c>
      <c r="J14548" t="str">
        <f>T("TX")</f>
        <v>TX</v>
      </c>
      <c r="K14548" t="str">
        <f t="shared" si="5307"/>
        <v>000000000000000000</v>
      </c>
      <c r="L14548" t="str">
        <f>T("5124584154")</f>
        <v>5124584154</v>
      </c>
    </row>
    <row r="14549" spans="1:12" x14ac:dyDescent="0.35">
      <c r="A14549" t="str">
        <f t="shared" si="5306"/>
        <v>RCC SOUTHEAST FT WORTH</v>
      </c>
      <c r="B14549" t="str">
        <f>T("4810 POLLARD ST")</f>
        <v>4810 POLLARD ST</v>
      </c>
      <c r="C14549" t="str">
        <f t="shared" si="5305"/>
        <v/>
      </c>
      <c r="D14549" t="str">
        <f>T("EL PASO")</f>
        <v>EL PASO</v>
      </c>
      <c r="E14549" t="str">
        <f>T("TX")</f>
        <v>TX</v>
      </c>
      <c r="F14549" t="str">
        <f>T("799306808")</f>
        <v>799306808</v>
      </c>
      <c r="G14549" t="str">
        <f>T("4810 POLLARD ST")</f>
        <v>4810 POLLARD ST</v>
      </c>
      <c r="H14549" t="str">
        <f t="shared" si="5308"/>
        <v/>
      </c>
      <c r="I14549" t="str">
        <f>T("EL PASO")</f>
        <v>EL PASO</v>
      </c>
      <c r="J14549" t="str">
        <f>T("TX")</f>
        <v>TX</v>
      </c>
      <c r="K14549" t="str">
        <f t="shared" si="5307"/>
        <v>000000000000000000</v>
      </c>
      <c r="L14549" t="str">
        <f>T("9155653993")</f>
        <v>9155653993</v>
      </c>
    </row>
    <row r="14550" spans="1:12" x14ac:dyDescent="0.35">
      <c r="A14550" t="str">
        <f t="shared" si="5306"/>
        <v>RCC SOUTHEAST FT WORTH</v>
      </c>
      <c r="B14550" t="str">
        <f>T("4810 POLLARD ST")</f>
        <v>4810 POLLARD ST</v>
      </c>
      <c r="C14550" t="str">
        <f t="shared" si="5305"/>
        <v/>
      </c>
      <c r="D14550" t="str">
        <f>T("EL PASO")</f>
        <v>EL PASO</v>
      </c>
      <c r="E14550" t="str">
        <f>T("TX")</f>
        <v>TX</v>
      </c>
      <c r="F14550" t="str">
        <f>T("799306808")</f>
        <v>799306808</v>
      </c>
      <c r="G14550" t="str">
        <f>T("4810 POLLARD STREET")</f>
        <v>4810 POLLARD STREET</v>
      </c>
      <c r="H14550" t="str">
        <f t="shared" si="5308"/>
        <v/>
      </c>
      <c r="I14550" t="str">
        <f>T("EL PASO")</f>
        <v>EL PASO</v>
      </c>
      <c r="J14550" t="str">
        <f>T("TX")</f>
        <v>TX</v>
      </c>
      <c r="K14550" t="str">
        <f t="shared" si="5307"/>
        <v>000000000000000000</v>
      </c>
      <c r="L14550" t="str">
        <f>T("9155653993")</f>
        <v>9155653993</v>
      </c>
    </row>
    <row r="14551" spans="1:12" x14ac:dyDescent="0.35">
      <c r="A14551" t="str">
        <f t="shared" si="5306"/>
        <v>RCC SOUTHEAST FT WORTH</v>
      </c>
      <c r="B14551" t="str">
        <f>T("4901 CBC 3RD ST")</f>
        <v>4901 CBC 3RD ST</v>
      </c>
      <c r="C14551" t="str">
        <f t="shared" si="5305"/>
        <v/>
      </c>
      <c r="D14551" t="str">
        <f>T("GULFPORT")</f>
        <v>GULFPORT</v>
      </c>
      <c r="E14551" t="str">
        <f>T("MS")</f>
        <v>MS</v>
      </c>
      <c r="F14551" t="str">
        <f>T("395019005")</f>
        <v>395019005</v>
      </c>
      <c r="G14551" t="str">
        <f>T("4901 CBC 3RD ST")</f>
        <v>4901 CBC 3RD ST</v>
      </c>
      <c r="H14551" t="str">
        <f t="shared" si="5308"/>
        <v/>
      </c>
      <c r="I14551" t="str">
        <f>T("GULFPORT")</f>
        <v>GULFPORT</v>
      </c>
      <c r="J14551" t="str">
        <f>T("MS")</f>
        <v>MS</v>
      </c>
      <c r="K14551" t="str">
        <f t="shared" si="5307"/>
        <v>000000000000000000</v>
      </c>
      <c r="L14551" t="str">
        <f>T("2285961664")</f>
        <v>2285961664</v>
      </c>
    </row>
    <row r="14552" spans="1:12" x14ac:dyDescent="0.35">
      <c r="A14552" t="str">
        <f t="shared" si="5306"/>
        <v>RCC SOUTHEAST FT WORTH</v>
      </c>
      <c r="B14552" t="str">
        <f>T("4901 CBC 3RD ST")</f>
        <v>4901 CBC 3RD ST</v>
      </c>
      <c r="C14552" t="str">
        <f t="shared" si="5305"/>
        <v/>
      </c>
      <c r="D14552" t="str">
        <f>T("GULFPORT")</f>
        <v>GULFPORT</v>
      </c>
      <c r="E14552" t="str">
        <f>T("MS")</f>
        <v>MS</v>
      </c>
      <c r="F14552" t="str">
        <f>T("395019005")</f>
        <v>395019005</v>
      </c>
      <c r="G14552" t="str">
        <f>T("4901 CBC 3RD ST")</f>
        <v>4901 CBC 3RD ST</v>
      </c>
      <c r="H14552" t="str">
        <f t="shared" si="5308"/>
        <v/>
      </c>
      <c r="I14552" t="str">
        <f>T("GULFPORT")</f>
        <v>GULFPORT</v>
      </c>
      <c r="J14552" t="str">
        <f>T("MS")</f>
        <v>MS</v>
      </c>
      <c r="K14552" t="str">
        <f t="shared" si="5307"/>
        <v>000000000000000000</v>
      </c>
      <c r="L14552" t="str">
        <f>T("2288713098")</f>
        <v>2288713098</v>
      </c>
    </row>
    <row r="14553" spans="1:12" x14ac:dyDescent="0.35">
      <c r="A14553" t="str">
        <f t="shared" si="5306"/>
        <v>RCC SOUTHEAST FT WORTH</v>
      </c>
      <c r="B14553" t="str">
        <f>T("4901 CBC 3RD ST")</f>
        <v>4901 CBC 3RD ST</v>
      </c>
      <c r="C14553" t="str">
        <f t="shared" si="5305"/>
        <v/>
      </c>
      <c r="D14553" t="str">
        <f>T("GULFPORT")</f>
        <v>GULFPORT</v>
      </c>
      <c r="E14553" t="str">
        <f>T("MS")</f>
        <v>MS</v>
      </c>
      <c r="F14553" t="str">
        <f>T("395019005")</f>
        <v>395019005</v>
      </c>
      <c r="G14553" t="str">
        <f>T("4901 CBC 3RD STREET")</f>
        <v>4901 CBC 3RD STREET</v>
      </c>
      <c r="H14553" t="str">
        <f t="shared" si="5308"/>
        <v/>
      </c>
      <c r="I14553" t="str">
        <f>T("GULFPORT")</f>
        <v>GULFPORT</v>
      </c>
      <c r="J14553" t="str">
        <f>T("MS")</f>
        <v>MS</v>
      </c>
      <c r="K14553" t="str">
        <f t="shared" si="5307"/>
        <v>000000000000000000</v>
      </c>
      <c r="L14553" t="str">
        <f>T("2288713098")</f>
        <v>2288713098</v>
      </c>
    </row>
    <row r="14554" spans="1:12" x14ac:dyDescent="0.35">
      <c r="A14554" t="str">
        <f t="shared" si="5306"/>
        <v>RCC SOUTHEAST FT WORTH</v>
      </c>
      <c r="B14554" t="str">
        <f>T("5316 S DOUGLAS BLVD")</f>
        <v>5316 S DOUGLAS BLVD</v>
      </c>
      <c r="C14554" t="str">
        <f t="shared" si="5305"/>
        <v/>
      </c>
      <c r="D14554" t="str">
        <f>T("OKLAHOMA CITY")</f>
        <v>OKLAHOMA CITY</v>
      </c>
      <c r="E14554" t="str">
        <f>T("OK")</f>
        <v>OK</v>
      </c>
      <c r="F14554" t="str">
        <f>T("731503409")</f>
        <v>731503409</v>
      </c>
      <c r="G14554" t="str">
        <f>T("5316 S DOUGLAS BLVD")</f>
        <v>5316 S DOUGLAS BLVD</v>
      </c>
      <c r="H14554" t="str">
        <f t="shared" si="5308"/>
        <v/>
      </c>
      <c r="I14554" t="str">
        <f>T("OKLAHOMA CITY")</f>
        <v>OKLAHOMA CITY</v>
      </c>
      <c r="J14554" t="str">
        <f>T("OK")</f>
        <v>OK</v>
      </c>
      <c r="K14554" t="str">
        <f t="shared" si="5307"/>
        <v>000000000000000000</v>
      </c>
      <c r="L14554" t="str">
        <f>T("4057332674")</f>
        <v>4057332674</v>
      </c>
    </row>
    <row r="14555" spans="1:12" x14ac:dyDescent="0.35">
      <c r="A14555" t="str">
        <f t="shared" si="5306"/>
        <v>RCC SOUTHEAST FT WORTH</v>
      </c>
      <c r="B14555" t="str">
        <f>T("5316 S DOUGLAS BLVD")</f>
        <v>5316 S DOUGLAS BLVD</v>
      </c>
      <c r="C14555" t="str">
        <f t="shared" si="5305"/>
        <v/>
      </c>
      <c r="D14555" t="str">
        <f>T("OKLAHOMA CITY")</f>
        <v>OKLAHOMA CITY</v>
      </c>
      <c r="E14555" t="str">
        <f>T("OK")</f>
        <v>OK</v>
      </c>
      <c r="F14555" t="str">
        <f>T("731503409")</f>
        <v>731503409</v>
      </c>
      <c r="G14555" t="str">
        <f>T("5316 S DOUGLAS BLVD")</f>
        <v>5316 S DOUGLAS BLVD</v>
      </c>
      <c r="H14555" t="str">
        <f t="shared" si="5308"/>
        <v/>
      </c>
      <c r="I14555" t="str">
        <f>T("OKLAHOMA CITY")</f>
        <v>OKLAHOMA CITY</v>
      </c>
      <c r="J14555" t="str">
        <f>T("OK")</f>
        <v>OK</v>
      </c>
      <c r="K14555" t="str">
        <f t="shared" si="5307"/>
        <v>000000000000000000</v>
      </c>
      <c r="L14555" t="str">
        <f>T("4057391117")</f>
        <v>4057391117</v>
      </c>
    </row>
    <row r="14556" spans="1:12" x14ac:dyDescent="0.35">
      <c r="A14556" t="str">
        <f t="shared" si="5306"/>
        <v>RCC SOUTHEAST FT WORTH</v>
      </c>
      <c r="B14556" t="str">
        <f>T("5316 S DOUGLAS BLVD")</f>
        <v>5316 S DOUGLAS BLVD</v>
      </c>
      <c r="C14556" t="str">
        <f t="shared" si="5305"/>
        <v/>
      </c>
      <c r="D14556" t="str">
        <f>T("OKLAHOMA CITY")</f>
        <v>OKLAHOMA CITY</v>
      </c>
      <c r="E14556" t="str">
        <f>T("OK")</f>
        <v>OK</v>
      </c>
      <c r="F14556" t="str">
        <f>T("731503409")</f>
        <v>731503409</v>
      </c>
      <c r="G14556" t="str">
        <f>T("5316 SOUTH DOUGLASS BLVD")</f>
        <v>5316 SOUTH DOUGLASS BLVD</v>
      </c>
      <c r="H14556" t="str">
        <f t="shared" si="5308"/>
        <v/>
      </c>
      <c r="I14556" t="str">
        <f>T("OKLAHOMA CITY")</f>
        <v>OKLAHOMA CITY</v>
      </c>
      <c r="J14556" t="str">
        <f>T("OK")</f>
        <v>OK</v>
      </c>
      <c r="K14556" t="str">
        <f t="shared" si="5307"/>
        <v>000000000000000000</v>
      </c>
      <c r="L14556" t="str">
        <f>T("4057391123")</f>
        <v>4057391123</v>
      </c>
    </row>
    <row r="14557" spans="1:12" x14ac:dyDescent="0.35">
      <c r="A14557" t="str">
        <f t="shared" si="5306"/>
        <v>RCC SOUTHEAST FT WORTH</v>
      </c>
      <c r="B14557" t="str">
        <f>T("8000 E NEW ORLEANS")</f>
        <v>8000 E NEW ORLEANS</v>
      </c>
      <c r="C14557" t="str">
        <f>T("SUITE C")</f>
        <v>SUITE C</v>
      </c>
      <c r="D14557" t="str">
        <f>T("BROKEN ARROW")</f>
        <v>BROKEN ARROW</v>
      </c>
      <c r="E14557" t="str">
        <f>T("OK")</f>
        <v>OK</v>
      </c>
      <c r="F14557" t="str">
        <f>T("740143689")</f>
        <v>740143689</v>
      </c>
      <c r="G14557" t="str">
        <f>T("8000 E NEW ORLEANS")</f>
        <v>8000 E NEW ORLEANS</v>
      </c>
      <c r="H14557" t="str">
        <f>T("SUITE C")</f>
        <v>SUITE C</v>
      </c>
      <c r="I14557" t="str">
        <f>T("BROKEN ARROW")</f>
        <v>BROKEN ARROW</v>
      </c>
      <c r="J14557" t="str">
        <f>T("OK")</f>
        <v>OK</v>
      </c>
      <c r="K14557" t="str">
        <f t="shared" si="5307"/>
        <v>000000000000000000</v>
      </c>
      <c r="L14557" t="str">
        <f>T("9182793736")</f>
        <v>9182793736</v>
      </c>
    </row>
    <row r="14558" spans="1:12" x14ac:dyDescent="0.35">
      <c r="A14558" t="str">
        <f t="shared" si="5306"/>
        <v>RCC SOUTHEAST FT WORTH</v>
      </c>
      <c r="B14558" t="str">
        <f>T("8000 E NEW ORLEANS")</f>
        <v>8000 E NEW ORLEANS</v>
      </c>
      <c r="C14558" t="str">
        <f>T("SUITE C")</f>
        <v>SUITE C</v>
      </c>
      <c r="D14558" t="str">
        <f>T("BROKEN ARROW")</f>
        <v>BROKEN ARROW</v>
      </c>
      <c r="E14558" t="str">
        <f>T("OK")</f>
        <v>OK</v>
      </c>
      <c r="F14558" t="str">
        <f>T("740143689")</f>
        <v>740143689</v>
      </c>
      <c r="G14558" t="str">
        <f>T("8000 E NEW ORLEANS ST STE C")</f>
        <v>8000 E NEW ORLEANS ST STE C</v>
      </c>
      <c r="H14558" t="str">
        <f>T("")</f>
        <v/>
      </c>
      <c r="I14558" t="str">
        <f>T("BROKEN ARROW")</f>
        <v>BROKEN ARROW</v>
      </c>
      <c r="J14558" t="str">
        <f>T("OK")</f>
        <v>OK</v>
      </c>
      <c r="K14558" t="str">
        <f t="shared" si="5307"/>
        <v>000000000000000000</v>
      </c>
      <c r="L14558" t="str">
        <f>T("9182793717")</f>
        <v>9182793717</v>
      </c>
    </row>
    <row r="14559" spans="1:12" x14ac:dyDescent="0.35">
      <c r="A14559" t="str">
        <f t="shared" si="5306"/>
        <v>RCC SOUTHEAST FT WORTH</v>
      </c>
      <c r="B14559" t="str">
        <f>T("8005 CAMP ROBINSON RD")</f>
        <v>8005 CAMP ROBINSON RD</v>
      </c>
      <c r="C14559" t="str">
        <f>T("")</f>
        <v/>
      </c>
      <c r="D14559" t="str">
        <f>T("N LITTLE ROCK")</f>
        <v>N LITTLE ROCK</v>
      </c>
      <c r="E14559" t="str">
        <f>T("AR")</f>
        <v>AR</v>
      </c>
      <c r="F14559" t="str">
        <f>T("721182206")</f>
        <v>721182206</v>
      </c>
      <c r="G14559" t="str">
        <f>T("8005 CAMP ROBINSON RD")</f>
        <v>8005 CAMP ROBINSON RD</v>
      </c>
      <c r="H14559" t="str">
        <f>T("")</f>
        <v/>
      </c>
      <c r="I14559" t="str">
        <f>T("N LITTLE ROCK")</f>
        <v>N LITTLE ROCK</v>
      </c>
      <c r="J14559" t="str">
        <f>T("AR")</f>
        <v>AR</v>
      </c>
      <c r="K14559" t="str">
        <f t="shared" si="5307"/>
        <v>000000000000000000</v>
      </c>
      <c r="L14559" t="str">
        <f>T("5188529013")</f>
        <v>5188529013</v>
      </c>
    </row>
    <row r="14560" spans="1:12" x14ac:dyDescent="0.35">
      <c r="A14560" t="str">
        <f t="shared" si="5306"/>
        <v>RCC SOUTHEAST FT WORTH</v>
      </c>
      <c r="B14560" t="str">
        <f>T("8005 CAMP ROBINSON RD")</f>
        <v>8005 CAMP ROBINSON RD</v>
      </c>
      <c r="C14560" t="str">
        <f>T("")</f>
        <v/>
      </c>
      <c r="D14560" t="str">
        <f>T("N LITTLE ROCK")</f>
        <v>N LITTLE ROCK</v>
      </c>
      <c r="E14560" t="str">
        <f>T("AR")</f>
        <v>AR</v>
      </c>
      <c r="F14560" t="str">
        <f>T("721182206")</f>
        <v>721182206</v>
      </c>
      <c r="G14560" t="str">
        <f>T("8005 CAMP ROBINSON RD")</f>
        <v>8005 CAMP ROBINSON RD</v>
      </c>
      <c r="H14560" t="str">
        <f>T("")</f>
        <v/>
      </c>
      <c r="I14560" t="str">
        <f>T("NORTH LITTLE ROCK")</f>
        <v>NORTH LITTLE ROCK</v>
      </c>
      <c r="J14560" t="str">
        <f>T("AR")</f>
        <v>AR</v>
      </c>
      <c r="K14560" t="str">
        <f t="shared" si="5307"/>
        <v>000000000000000000</v>
      </c>
      <c r="L14560" t="str">
        <f>T("5017711661")</f>
        <v>5017711661</v>
      </c>
    </row>
    <row r="14561" spans="1:12" x14ac:dyDescent="0.35">
      <c r="A14561" t="str">
        <f t="shared" ref="A14561:A14569" si="5309">T("MARITIME SUPPORT WING*")</f>
        <v>MARITIME SUPPORT WING*</v>
      </c>
      <c r="B14561" t="str">
        <f>T("1000 YORKTOWN AVE")</f>
        <v>1000 YORKTOWN AVE</v>
      </c>
      <c r="C14561" t="str">
        <f>T("HANGAR 1000 SEGMENT 1")</f>
        <v>HANGAR 1000 SEGMENT 1</v>
      </c>
      <c r="D14561" t="str">
        <f>T("JACKSONVILLE")</f>
        <v>JACKSONVILLE</v>
      </c>
      <c r="E14561" t="str">
        <f>T("FL")</f>
        <v>FL</v>
      </c>
      <c r="F14561" t="str">
        <f>T("322120000")</f>
        <v>322120000</v>
      </c>
      <c r="G14561" t="str">
        <f>T("1000 YORKTOWN AVE")</f>
        <v>1000 YORKTOWN AVE</v>
      </c>
      <c r="H14561" t="str">
        <f>T("HANGAR 1000 SEGMENT 1")</f>
        <v>HANGAR 1000 SEGMENT 1</v>
      </c>
      <c r="I14561" t="str">
        <f>T("JACKSONVILLE")</f>
        <v>JACKSONVILLE</v>
      </c>
      <c r="J14561" t="str">
        <f>T("FL")</f>
        <v>FL</v>
      </c>
      <c r="K14561" t="str">
        <f t="shared" si="5307"/>
        <v>000000000000000000</v>
      </c>
      <c r="L14561" t="str">
        <f>T("9045424399")</f>
        <v>9045424399</v>
      </c>
    </row>
    <row r="14562" spans="1:12" x14ac:dyDescent="0.35">
      <c r="A14562" t="str">
        <f t="shared" si="5309"/>
        <v>MARITIME SUPPORT WING*</v>
      </c>
      <c r="B14562" t="str">
        <f>T("1000 YORKTOWN AVE")</f>
        <v>1000 YORKTOWN AVE</v>
      </c>
      <c r="C14562" t="str">
        <f>T("HANGAR 1000 SEGMENT 1")</f>
        <v>HANGAR 1000 SEGMENT 1</v>
      </c>
      <c r="D14562" t="str">
        <f>T("JACKSONVILLE")</f>
        <v>JACKSONVILLE</v>
      </c>
      <c r="E14562" t="str">
        <f>T("FL")</f>
        <v>FL</v>
      </c>
      <c r="F14562" t="str">
        <f>T("322120000")</f>
        <v>322120000</v>
      </c>
      <c r="G14562" t="str">
        <f>T("1000 YORKTOWN AVE")</f>
        <v>1000 YORKTOWN AVE</v>
      </c>
      <c r="H14562" t="str">
        <f>T("HANGAR 1000 SEGMENT 1")</f>
        <v>HANGAR 1000 SEGMENT 1</v>
      </c>
      <c r="I14562" t="str">
        <f>T("JACKSONVILLE")</f>
        <v>JACKSONVILLE</v>
      </c>
      <c r="J14562" t="str">
        <f>T("FL")</f>
        <v>FL</v>
      </c>
      <c r="K14562" t="str">
        <f t="shared" si="5307"/>
        <v>000000000000000000</v>
      </c>
      <c r="L14562" t="str">
        <f>T("9045424720")</f>
        <v>9045424720</v>
      </c>
    </row>
    <row r="14563" spans="1:12" x14ac:dyDescent="0.35">
      <c r="A14563" t="str">
        <f t="shared" si="5309"/>
        <v>MARITIME SUPPORT WING*</v>
      </c>
      <c r="B14563" t="str">
        <f>T("1000 YORKTOWN AVE")</f>
        <v>1000 YORKTOWN AVE</v>
      </c>
      <c r="C14563" t="str">
        <f>T("HANGAR 1000 SEGMENT 1")</f>
        <v>HANGAR 1000 SEGMENT 1</v>
      </c>
      <c r="D14563" t="str">
        <f>T("JACKSONVILLE")</f>
        <v>JACKSONVILLE</v>
      </c>
      <c r="E14563" t="str">
        <f>T("FL")</f>
        <v>FL</v>
      </c>
      <c r="F14563" t="str">
        <f>T("322120000")</f>
        <v>322120000</v>
      </c>
      <c r="G14563" t="str">
        <f>T("PATROL SQUADRON SIX TWO")</f>
        <v>PATROL SQUADRON SIX TWO</v>
      </c>
      <c r="H14563" t="str">
        <f>T("BOX 49 NAVAL AIR STATION")</f>
        <v>BOX 49 NAVAL AIR STATION</v>
      </c>
      <c r="I14563" t="str">
        <f>T("JACKSONVILLE")</f>
        <v>JACKSONVILLE</v>
      </c>
      <c r="J14563" t="str">
        <f>T("FL")</f>
        <v>FL</v>
      </c>
      <c r="K14563" t="str">
        <f t="shared" si="5307"/>
        <v>000000000000000000</v>
      </c>
      <c r="L14563" t="str">
        <f>T("9045424399")</f>
        <v>9045424399</v>
      </c>
    </row>
    <row r="14564" spans="1:12" x14ac:dyDescent="0.35">
      <c r="A14564" t="str">
        <f t="shared" si="5309"/>
        <v>MARITIME SUPPORT WING*</v>
      </c>
      <c r="B14564" t="str">
        <f>T("1122 ALBERMARLE RD")</f>
        <v>1122 ALBERMARLE RD</v>
      </c>
      <c r="C14564" t="str">
        <f>T("MOD 2 NAS")</f>
        <v>MOD 2 NAS</v>
      </c>
      <c r="D14564" t="str">
        <f>T("JACKSONVILLE")</f>
        <v>JACKSONVILLE</v>
      </c>
      <c r="E14564" t="str">
        <f>T("FL")</f>
        <v>FL</v>
      </c>
      <c r="F14564" t="str">
        <f>T("322120000")</f>
        <v>322120000</v>
      </c>
      <c r="G14564" t="str">
        <f>T("1122 ALBERMARLE RD")</f>
        <v>1122 ALBERMARLE RD</v>
      </c>
      <c r="H14564" t="str">
        <f>T("MOD 2")</f>
        <v>MOD 2</v>
      </c>
      <c r="I14564" t="str">
        <f>T("JACKSONVILLE")</f>
        <v>JACKSONVILLE</v>
      </c>
      <c r="J14564" t="str">
        <f>T("FL")</f>
        <v>FL</v>
      </c>
      <c r="K14564" t="str">
        <f t="shared" si="5307"/>
        <v>000000000000000000</v>
      </c>
      <c r="L14564" t="str">
        <f>T("9045467353")</f>
        <v>9045467353</v>
      </c>
    </row>
    <row r="14565" spans="1:12" x14ac:dyDescent="0.35">
      <c r="A14565" t="str">
        <f t="shared" si="5309"/>
        <v>MARITIME SUPPORT WING*</v>
      </c>
      <c r="B14565" t="str">
        <f>T("1122 ALBERMARLE RD")</f>
        <v>1122 ALBERMARLE RD</v>
      </c>
      <c r="C14565" t="str">
        <f>T("MOD 2 NAS")</f>
        <v>MOD 2 NAS</v>
      </c>
      <c r="D14565" t="str">
        <f>T("JACKSONVILLE")</f>
        <v>JACKSONVILLE</v>
      </c>
      <c r="E14565" t="str">
        <f>T("FL")</f>
        <v>FL</v>
      </c>
      <c r="F14565" t="str">
        <f>T("322120000")</f>
        <v>322120000</v>
      </c>
      <c r="G14565" t="str">
        <f>T("1122 ALBERMARLE RD")</f>
        <v>1122 ALBERMARLE RD</v>
      </c>
      <c r="H14565" t="str">
        <f>T("MOD 2 NAS")</f>
        <v>MOD 2 NAS</v>
      </c>
      <c r="I14565" t="str">
        <f>T("JACKSONVILLE")</f>
        <v>JACKSONVILLE</v>
      </c>
      <c r="J14565" t="str">
        <f>T("FL")</f>
        <v>FL</v>
      </c>
      <c r="K14565" t="str">
        <f t="shared" si="5307"/>
        <v>000000000000000000</v>
      </c>
      <c r="L14565" t="str">
        <f>T("9045467339")</f>
        <v>9045467339</v>
      </c>
    </row>
    <row r="14566" spans="1:12" x14ac:dyDescent="0.35">
      <c r="A14566" t="str">
        <f t="shared" si="5309"/>
        <v>MARITIME SUPPORT WING*</v>
      </c>
      <c r="B14566" t="str">
        <f>T("BLDG 1481")</f>
        <v>BLDG 1481</v>
      </c>
      <c r="C14566" t="str">
        <f>T("BOX 357105")</f>
        <v>BOX 357105</v>
      </c>
      <c r="D14566" t="str">
        <f>T("NAS N ISLAND")</f>
        <v>NAS N ISLAND</v>
      </c>
      <c r="E14566" t="str">
        <f>T("CA")</f>
        <v>CA</v>
      </c>
      <c r="F14566" t="str">
        <f>T("921357105")</f>
        <v>921357105</v>
      </c>
      <c r="G14566" t="str">
        <f>T("BLDG 1481")</f>
        <v>BLDG 1481</v>
      </c>
      <c r="H14566" t="str">
        <f>T("BOX 357105")</f>
        <v>BOX 357105</v>
      </c>
      <c r="I14566" t="str">
        <f>T("NAS N ISLAND")</f>
        <v>NAS N ISLAND</v>
      </c>
      <c r="J14566" t="str">
        <f>T("CA")</f>
        <v>CA</v>
      </c>
      <c r="K14566" t="str">
        <f t="shared" si="5307"/>
        <v>000000000000000000</v>
      </c>
      <c r="L14566" t="str">
        <f>T("6195457284")</f>
        <v>6195457284</v>
      </c>
    </row>
    <row r="14567" spans="1:12" x14ac:dyDescent="0.35">
      <c r="A14567" t="str">
        <f t="shared" si="5309"/>
        <v>MARITIME SUPPORT WING*</v>
      </c>
      <c r="B14567" t="str">
        <f>T("BLDG 1481")</f>
        <v>BLDG 1481</v>
      </c>
      <c r="C14567" t="str">
        <f>T("BOX 357105")</f>
        <v>BOX 357105</v>
      </c>
      <c r="D14567" t="str">
        <f>T("NAS N ISLAND")</f>
        <v>NAS N ISLAND</v>
      </c>
      <c r="E14567" t="str">
        <f>T("CA")</f>
        <v>CA</v>
      </c>
      <c r="F14567" t="str">
        <f>T("921357105")</f>
        <v>921357105</v>
      </c>
      <c r="G14567" t="str">
        <f>T("HSC-85")</f>
        <v>HSC-85</v>
      </c>
      <c r="H14567" t="str">
        <f>T("BLDG1481 RM 109")</f>
        <v>BLDG1481 RM 109</v>
      </c>
      <c r="I14567" t="str">
        <f>T("SAN DIEGO")</f>
        <v>SAN DIEGO</v>
      </c>
      <c r="J14567" t="str">
        <f>T("CA")</f>
        <v>CA</v>
      </c>
      <c r="K14567" t="str">
        <f t="shared" si="5307"/>
        <v>000000000000000000</v>
      </c>
      <c r="L14567" t="str">
        <f>T("6195457284")</f>
        <v>6195457284</v>
      </c>
    </row>
    <row r="14568" spans="1:12" x14ac:dyDescent="0.35">
      <c r="A14568" t="str">
        <f t="shared" si="5309"/>
        <v>MARITIME SUPPORT WING*</v>
      </c>
      <c r="B14568" t="str">
        <f>T("VP-69 BLDG 2681")</f>
        <v>VP-69 BLDG 2681</v>
      </c>
      <c r="C14568" t="str">
        <f>T("810 N RANDOLPH ST HANGAR 9")</f>
        <v>810 N RANDOLPH ST HANGAR 9</v>
      </c>
      <c r="D14568" t="str">
        <f>T("OAK HARBOR")</f>
        <v>OAK HARBOR</v>
      </c>
      <c r="E14568" t="str">
        <f>T("WA")</f>
        <v>WA</v>
      </c>
      <c r="F14568" t="str">
        <f>T("982780001")</f>
        <v>982780001</v>
      </c>
      <c r="G14568" t="str">
        <f>T("810 NORTH RANDOLPH ST")</f>
        <v>810 NORTH RANDOLPH ST</v>
      </c>
      <c r="H14568" t="str">
        <f>T("")</f>
        <v/>
      </c>
      <c r="I14568" t="str">
        <f>T("OAK HARBOR")</f>
        <v>OAK HARBOR</v>
      </c>
      <c r="J14568" t="str">
        <f>T("WA")</f>
        <v>WA</v>
      </c>
      <c r="K14568" t="str">
        <f t="shared" si="5307"/>
        <v>000000000000000000</v>
      </c>
      <c r="L14568" t="str">
        <f>T("3602574756")</f>
        <v>3602574756</v>
      </c>
    </row>
    <row r="14569" spans="1:12" x14ac:dyDescent="0.35">
      <c r="A14569" t="str">
        <f t="shared" si="5309"/>
        <v>MARITIME SUPPORT WING*</v>
      </c>
      <c r="B14569" t="str">
        <f>T("VP-69 BLDG 2681")</f>
        <v>VP-69 BLDG 2681</v>
      </c>
      <c r="C14569" t="str">
        <f>T("810 N RANDOLPH ST HANGAR 9")</f>
        <v>810 N RANDOLPH ST HANGAR 9</v>
      </c>
      <c r="D14569" t="str">
        <f>T("OAK HARBOR")</f>
        <v>OAK HARBOR</v>
      </c>
      <c r="E14569" t="str">
        <f>T("WA")</f>
        <v>WA</v>
      </c>
      <c r="F14569" t="str">
        <f>T("982780001")</f>
        <v>982780001</v>
      </c>
      <c r="G14569" t="str">
        <f>T("VP-69 BLDG 2681")</f>
        <v>VP-69 BLDG 2681</v>
      </c>
      <c r="H14569" t="str">
        <f>T("810 N RANDOLPH ST HANGAR 9")</f>
        <v>810 N RANDOLPH ST HANGAR 9</v>
      </c>
      <c r="I14569" t="str">
        <f>T("OAK HARBOR")</f>
        <v>OAK HARBOR</v>
      </c>
      <c r="J14569" t="str">
        <f>T("WA")</f>
        <v>WA</v>
      </c>
      <c r="K14569" t="str">
        <f t="shared" si="5307"/>
        <v>000000000000000000</v>
      </c>
      <c r="L14569" t="str">
        <f>T("3602574626")</f>
        <v>3602574626</v>
      </c>
    </row>
    <row r="14570" spans="1:12" x14ac:dyDescent="0.35">
      <c r="A14570" t="str">
        <f>T("NAF WASHINGTON*")</f>
        <v>NAF WASHINGTON*</v>
      </c>
      <c r="B14570" t="str">
        <f>T("ONE SAN DIEGO LOOP BLDG 3198")</f>
        <v>ONE SAN DIEGO LOOP BLDG 3198</v>
      </c>
      <c r="C14570" t="str">
        <f>T("")</f>
        <v/>
      </c>
      <c r="D14570" t="str">
        <f>T("JOINT BASE ANDREWS")</f>
        <v>JOINT BASE ANDREWS</v>
      </c>
      <c r="E14570" t="str">
        <f>T("MD")</f>
        <v>MD</v>
      </c>
      <c r="F14570" t="str">
        <f>T("207625518")</f>
        <v>207625518</v>
      </c>
      <c r="G14570" t="str">
        <f>T("ONE SAN DIEGO LOOP BLDG 3198")</f>
        <v>ONE SAN DIEGO LOOP BLDG 3198</v>
      </c>
      <c r="H14570" t="str">
        <f>T("")</f>
        <v/>
      </c>
      <c r="I14570" t="str">
        <f>T("JOINT BASE ANDREWS")</f>
        <v>JOINT BASE ANDREWS</v>
      </c>
      <c r="J14570" t="str">
        <f>T("MD")</f>
        <v>MD</v>
      </c>
      <c r="K14570" t="str">
        <f t="shared" si="5307"/>
        <v>000000000000000000</v>
      </c>
      <c r="L14570" t="str">
        <f>T("2408576227")</f>
        <v>2408576227</v>
      </c>
    </row>
    <row r="14571" spans="1:12" x14ac:dyDescent="0.35">
      <c r="A14571" t="str">
        <f>T("NAVY AIR LOGISTICS OFFICE")</f>
        <v>NAVY AIR LOGISTICS OFFICE</v>
      </c>
      <c r="B14571" t="str">
        <f>T("400 RUSSELL AVE")</f>
        <v>400 RUSSELL AVE</v>
      </c>
      <c r="C14571" t="str">
        <f>T("BLDG 557")</f>
        <v>BLDG 557</v>
      </c>
      <c r="D14571" t="str">
        <f>T("NEW ORLEANS")</f>
        <v>NEW ORLEANS</v>
      </c>
      <c r="E14571" t="str">
        <f>T("LA")</f>
        <v>LA</v>
      </c>
      <c r="F14571" t="str">
        <f>T("701435077")</f>
        <v>701435077</v>
      </c>
      <c r="G14571" t="str">
        <f>T("400 RUSSELL AVE")</f>
        <v>400 RUSSELL AVE</v>
      </c>
      <c r="H14571" t="str">
        <f>T("BLDG 557")</f>
        <v>BLDG 557</v>
      </c>
      <c r="I14571" t="str">
        <f>T("NEW ORLEANS")</f>
        <v>NEW ORLEANS</v>
      </c>
      <c r="J14571" t="str">
        <f>T("LA")</f>
        <v>LA</v>
      </c>
      <c r="K14571" t="str">
        <f t="shared" si="5307"/>
        <v>000000000000000000</v>
      </c>
      <c r="L14571" t="str">
        <f>T("5046785829")</f>
        <v>5046785829</v>
      </c>
    </row>
    <row r="14572" spans="1:12" x14ac:dyDescent="0.35">
      <c r="A14572" t="str">
        <f t="shared" ref="A14572:A14587" si="5310">T("TACTIVAL SUPPORT WING*")</f>
        <v>TACTIVAL SUPPORT WING*</v>
      </c>
      <c r="B14572" t="str">
        <f>T("1510 CHENNAULT AVE 3RD FL")</f>
        <v>1510 CHENNAULT AVE 3RD FL</v>
      </c>
      <c r="C14572" t="str">
        <f t="shared" ref="C14572:C14581" si="5311">T("")</f>
        <v/>
      </c>
      <c r="D14572" t="str">
        <f>T("FORT WORTH")</f>
        <v>FORT WORTH</v>
      </c>
      <c r="E14572" t="str">
        <f>T("TX")</f>
        <v>TX</v>
      </c>
      <c r="F14572" t="str">
        <f>T("761271053")</f>
        <v>761271053</v>
      </c>
      <c r="G14572" t="str">
        <f>T("1510 CHENNAULT AVE 3RD FL")</f>
        <v>1510 CHENNAULT AVE 3RD FL</v>
      </c>
      <c r="H14572" t="str">
        <f>T("")</f>
        <v/>
      </c>
      <c r="I14572" t="str">
        <f>T("FORT WORTH")</f>
        <v>FORT WORTH</v>
      </c>
      <c r="J14572" t="str">
        <f>T("TX")</f>
        <v>TX</v>
      </c>
      <c r="K14572" t="str">
        <f t="shared" si="5307"/>
        <v>000000000000000000</v>
      </c>
      <c r="L14572" t="str">
        <f>T("8177821557")</f>
        <v>8177821557</v>
      </c>
    </row>
    <row r="14573" spans="1:12" x14ac:dyDescent="0.35">
      <c r="A14573" t="str">
        <f t="shared" si="5310"/>
        <v>TACTIVAL SUPPORT WING*</v>
      </c>
      <c r="B14573" t="str">
        <f>T("1510 CHENNAULT AVE 3RD FL")</f>
        <v>1510 CHENNAULT AVE 3RD FL</v>
      </c>
      <c r="C14573" t="str">
        <f t="shared" si="5311"/>
        <v/>
      </c>
      <c r="D14573" t="str">
        <f>T("FORT WORTH")</f>
        <v>FORT WORTH</v>
      </c>
      <c r="E14573" t="str">
        <f>T("TX")</f>
        <v>TX</v>
      </c>
      <c r="F14573" t="str">
        <f>T("761271053")</f>
        <v>761271053</v>
      </c>
      <c r="G14573" t="str">
        <f>T("1510 CHENNAULT AVENUE")</f>
        <v>1510 CHENNAULT AVENUE</v>
      </c>
      <c r="H14573" t="str">
        <f>T("NASJRB")</f>
        <v>NASJRB</v>
      </c>
      <c r="I14573" t="str">
        <f>T("FORT WORTH")</f>
        <v>FORT WORTH</v>
      </c>
      <c r="J14573" t="str">
        <f>T("TX")</f>
        <v>TX</v>
      </c>
      <c r="K14573" t="str">
        <f>T("8177827617")</f>
        <v>8177827617</v>
      </c>
      <c r="L14573" t="str">
        <f>T("8177825181")</f>
        <v>8177825181</v>
      </c>
    </row>
    <row r="14574" spans="1:12" x14ac:dyDescent="0.35">
      <c r="A14574" t="str">
        <f t="shared" si="5310"/>
        <v>TACTIVAL SUPPORT WING*</v>
      </c>
      <c r="B14574" t="str">
        <f>T("1510 CHENNAULT AVE 3RD FL")</f>
        <v>1510 CHENNAULT AVE 3RD FL</v>
      </c>
      <c r="C14574" t="str">
        <f t="shared" si="5311"/>
        <v/>
      </c>
      <c r="D14574" t="str">
        <f>T("FORT WORTH")</f>
        <v>FORT WORTH</v>
      </c>
      <c r="E14574" t="str">
        <f>T("TX")</f>
        <v>TX</v>
      </c>
      <c r="F14574" t="str">
        <f>T("761271053")</f>
        <v>761271053</v>
      </c>
      <c r="G14574" t="str">
        <f>T("1510 CHENNAULT AVENUE")</f>
        <v>1510 CHENNAULT AVENUE</v>
      </c>
      <c r="H14574" t="str">
        <f>T("NASJRB")</f>
        <v>NASJRB</v>
      </c>
      <c r="I14574" t="str">
        <f>T("FORT WORTH")</f>
        <v>FORT WORTH</v>
      </c>
      <c r="J14574" t="str">
        <f>T("TX")</f>
        <v>TX</v>
      </c>
      <c r="K14574" t="str">
        <f>T("8177827617")</f>
        <v>8177827617</v>
      </c>
      <c r="L14574" t="str">
        <f>T("8177827008")</f>
        <v>8177827008</v>
      </c>
    </row>
    <row r="14575" spans="1:12" x14ac:dyDescent="0.35">
      <c r="A14575" t="str">
        <f t="shared" si="5310"/>
        <v>TACTIVAL SUPPORT WING*</v>
      </c>
      <c r="B14575" t="str">
        <f>T("3760 N RANDOLPH ST")</f>
        <v>3760 N RANDOLPH ST</v>
      </c>
      <c r="C14575" t="str">
        <f t="shared" si="5311"/>
        <v/>
      </c>
      <c r="D14575" t="str">
        <f>T("OAK HARBOR")</f>
        <v>OAK HARBOR</v>
      </c>
      <c r="E14575" t="str">
        <f>T("WA")</f>
        <v>WA</v>
      </c>
      <c r="F14575" t="str">
        <f>T("982780001")</f>
        <v>982780001</v>
      </c>
      <c r="G14575" t="str">
        <f>T("3760 N RANDOLPH ST")</f>
        <v>3760 N RANDOLPH ST</v>
      </c>
      <c r="H14575" t="str">
        <f>T("")</f>
        <v/>
      </c>
      <c r="I14575" t="str">
        <f>T("OAK HARBOR")</f>
        <v>OAK HARBOR</v>
      </c>
      <c r="J14575" t="str">
        <f>T("WA")</f>
        <v>WA</v>
      </c>
      <c r="K14575" t="str">
        <f>T("000000000000000000")</f>
        <v>000000000000000000</v>
      </c>
      <c r="L14575" t="str">
        <f>T("3602578310")</f>
        <v>3602578310</v>
      </c>
    </row>
    <row r="14576" spans="1:12" x14ac:dyDescent="0.35">
      <c r="A14576" t="str">
        <f t="shared" si="5310"/>
        <v>TACTIVAL SUPPORT WING*</v>
      </c>
      <c r="B14576" t="str">
        <f>T("3760 N RANDOLPH ST")</f>
        <v>3760 N RANDOLPH ST</v>
      </c>
      <c r="C14576" t="str">
        <f t="shared" si="5311"/>
        <v/>
      </c>
      <c r="D14576" t="str">
        <f>T("OAK HARBOR")</f>
        <v>OAK HARBOR</v>
      </c>
      <c r="E14576" t="str">
        <f>T("WA")</f>
        <v>WA</v>
      </c>
      <c r="F14576" t="str">
        <f>T("982780001")</f>
        <v>982780001</v>
      </c>
      <c r="G14576" t="str">
        <f>T("VAQ-209")</f>
        <v>VAQ-209</v>
      </c>
      <c r="H14576" t="str">
        <f>T("3760 N CHARLES PORTER AVE")</f>
        <v>3760 N CHARLES PORTER AVE</v>
      </c>
      <c r="I14576" t="str">
        <f>T("OAK HARBOR")</f>
        <v>OAK HARBOR</v>
      </c>
      <c r="J14576" t="str">
        <f>T("WA")</f>
        <v>WA</v>
      </c>
      <c r="K14576" t="str">
        <f>T("3602578257")</f>
        <v>3602578257</v>
      </c>
      <c r="L14576" t="str">
        <f>T("3602578304")</f>
        <v>3602578304</v>
      </c>
    </row>
    <row r="14577" spans="1:12" x14ac:dyDescent="0.35">
      <c r="A14577" t="str">
        <f t="shared" si="5310"/>
        <v>TACTIVAL SUPPORT WING*</v>
      </c>
      <c r="B14577" t="str">
        <f>T("400 RUSSELL AVE HANGAR 3")</f>
        <v>400 RUSSELL AVE HANGAR 3</v>
      </c>
      <c r="C14577" t="str">
        <f t="shared" si="5311"/>
        <v/>
      </c>
      <c r="D14577" t="str">
        <f>T("NEW ORLEANS")</f>
        <v>NEW ORLEANS</v>
      </c>
      <c r="E14577" t="str">
        <f>T("LA")</f>
        <v>LA</v>
      </c>
      <c r="F14577" t="str">
        <f>T("701435077")</f>
        <v>701435077</v>
      </c>
      <c r="G14577" t="str">
        <f>T("400 RUSSELL AVE HANGAR 3")</f>
        <v>400 RUSSELL AVE HANGAR 3</v>
      </c>
      <c r="H14577" t="str">
        <f>T("")</f>
        <v/>
      </c>
      <c r="I14577" t="str">
        <f>T("NEW ORLEANS")</f>
        <v>NEW ORLEANS</v>
      </c>
      <c r="J14577" t="str">
        <f>T("LA")</f>
        <v>LA</v>
      </c>
      <c r="K14577" t="str">
        <f>T("000000000000000000")</f>
        <v>000000000000000000</v>
      </c>
      <c r="L14577" t="str">
        <f>T("5046789673")</f>
        <v>5046789673</v>
      </c>
    </row>
    <row r="14578" spans="1:12" x14ac:dyDescent="0.35">
      <c r="A14578" t="str">
        <f t="shared" si="5310"/>
        <v>TACTIVAL SUPPORT WING*</v>
      </c>
      <c r="B14578" t="str">
        <f>T("400 RUSSELL AVE HANGAR 3")</f>
        <v>400 RUSSELL AVE HANGAR 3</v>
      </c>
      <c r="C14578" t="str">
        <f t="shared" si="5311"/>
        <v/>
      </c>
      <c r="D14578" t="str">
        <f>T("NEW ORLEANS")</f>
        <v>NEW ORLEANS</v>
      </c>
      <c r="E14578" t="str">
        <f>T("LA")</f>
        <v>LA</v>
      </c>
      <c r="F14578" t="str">
        <f>T("701435077")</f>
        <v>701435077</v>
      </c>
      <c r="G14578" t="str">
        <f>T("400 RUSSELL AVENUE")</f>
        <v>400 RUSSELL AVENUE</v>
      </c>
      <c r="H14578" t="str">
        <f>T("HANGAR 3")</f>
        <v>HANGAR 3</v>
      </c>
      <c r="I14578" t="str">
        <f>T("BELLE CHASSE")</f>
        <v>BELLE CHASSE</v>
      </c>
      <c r="J14578" t="str">
        <f>T("LA")</f>
        <v>LA</v>
      </c>
      <c r="K14578" t="str">
        <f>T("504678")</f>
        <v>504678</v>
      </c>
      <c r="L14578" t="str">
        <f>T("5046783576")</f>
        <v>5046783576</v>
      </c>
    </row>
    <row r="14579" spans="1:12" x14ac:dyDescent="0.35">
      <c r="A14579" t="str">
        <f t="shared" si="5310"/>
        <v>TACTIVAL SUPPORT WING*</v>
      </c>
      <c r="B14579" t="str">
        <f>T("400 RUSSELL AVE HANGAR 3")</f>
        <v>400 RUSSELL AVE HANGAR 3</v>
      </c>
      <c r="C14579" t="str">
        <f t="shared" si="5311"/>
        <v/>
      </c>
      <c r="D14579" t="str">
        <f>T("NEW ORLEANS")</f>
        <v>NEW ORLEANS</v>
      </c>
      <c r="E14579" t="str">
        <f>T("LA")</f>
        <v>LA</v>
      </c>
      <c r="F14579" t="str">
        <f>T("701435077")</f>
        <v>701435077</v>
      </c>
      <c r="G14579" t="str">
        <f>T("VFA-204 400 RUSSELL AVENUE")</f>
        <v>VFA-204 400 RUSSELL AVENUE</v>
      </c>
      <c r="H14579" t="str">
        <f>T("HANGAR 3")</f>
        <v>HANGAR 3</v>
      </c>
      <c r="I14579" t="str">
        <f>T("BELLE CHASSE")</f>
        <v>BELLE CHASSE</v>
      </c>
      <c r="J14579" t="str">
        <f>T("LA")</f>
        <v>LA</v>
      </c>
      <c r="K14579" t="str">
        <f>T("000000000000000000")</f>
        <v>000000000000000000</v>
      </c>
      <c r="L14579" t="str">
        <f>T("5046783624")</f>
        <v>5046783624</v>
      </c>
    </row>
    <row r="14580" spans="1:12" x14ac:dyDescent="0.35">
      <c r="A14580" t="str">
        <f t="shared" si="5310"/>
        <v>TACTIVAL SUPPORT WING*</v>
      </c>
      <c r="B14580" t="str">
        <f>T("4755 PASTURE RD HANGER 4")</f>
        <v>4755 PASTURE RD HANGER 4</v>
      </c>
      <c r="C14580" t="str">
        <f t="shared" si="5311"/>
        <v/>
      </c>
      <c r="D14580" t="str">
        <f>T("FALLON")</f>
        <v>FALLON</v>
      </c>
      <c r="E14580" t="str">
        <f>T("NV")</f>
        <v>NV</v>
      </c>
      <c r="F14580" t="str">
        <f>T("894960001")</f>
        <v>894960001</v>
      </c>
      <c r="G14580" t="str">
        <f>T("4755 PASTURE RD HANGER 4")</f>
        <v>4755 PASTURE RD HANGER 4</v>
      </c>
      <c r="H14580" t="str">
        <f>T("")</f>
        <v/>
      </c>
      <c r="I14580" t="str">
        <f>T("FALLON")</f>
        <v>FALLON</v>
      </c>
      <c r="J14580" t="str">
        <f>T("NV")</f>
        <v>NV</v>
      </c>
      <c r="K14580" t="str">
        <f>T("000000000000000000")</f>
        <v>000000000000000000</v>
      </c>
      <c r="L14580" t="str">
        <f>T("7754263692")</f>
        <v>7754263692</v>
      </c>
    </row>
    <row r="14581" spans="1:12" x14ac:dyDescent="0.35">
      <c r="A14581" t="str">
        <f t="shared" si="5310"/>
        <v>TACTIVAL SUPPORT WING*</v>
      </c>
      <c r="B14581" t="str">
        <f>T("4755 PASTURE RD HANGER 4")</f>
        <v>4755 PASTURE RD HANGER 4</v>
      </c>
      <c r="C14581" t="str">
        <f t="shared" si="5311"/>
        <v/>
      </c>
      <c r="D14581" t="str">
        <f>T("FALLON")</f>
        <v>FALLON</v>
      </c>
      <c r="E14581" t="str">
        <f>T("NV")</f>
        <v>NV</v>
      </c>
      <c r="F14581" t="str">
        <f>T("894960001")</f>
        <v>894960001</v>
      </c>
      <c r="G14581" t="str">
        <f>T("4755 PASTURE ROAD")</f>
        <v>4755 PASTURE ROAD</v>
      </c>
      <c r="H14581" t="str">
        <f>T("HANGAR 4")</f>
        <v>HANGAR 4</v>
      </c>
      <c r="I14581" t="str">
        <f>T("FALLON")</f>
        <v>FALLON</v>
      </c>
      <c r="J14581" t="str">
        <f>T("NV")</f>
        <v>NV</v>
      </c>
      <c r="K14581" t="str">
        <f>T("7754263748")</f>
        <v>7754263748</v>
      </c>
      <c r="L14581" t="str">
        <f>T("7754263628")</f>
        <v>7754263628</v>
      </c>
    </row>
    <row r="14582" spans="1:12" x14ac:dyDescent="0.35">
      <c r="A14582" t="str">
        <f t="shared" si="5310"/>
        <v>TACTIVAL SUPPORT WING*</v>
      </c>
      <c r="B14582" t="str">
        <f>T("PO BOX 9059")</f>
        <v>PO BOX 9059</v>
      </c>
      <c r="C14582" t="str">
        <f>T("HANGAR A-936 MIDWAY AVE")</f>
        <v>HANGAR A-936 MIDWAY AVE</v>
      </c>
      <c r="D14582" t="str">
        <f>T("KEY WEST")</f>
        <v>KEY WEST</v>
      </c>
      <c r="E14582" t="str">
        <f>T("FL")</f>
        <v>FL</v>
      </c>
      <c r="F14582" t="str">
        <f>T("330409059")</f>
        <v>330409059</v>
      </c>
      <c r="G14582" t="str">
        <f>T("PO BOX 9059")</f>
        <v>PO BOX 9059</v>
      </c>
      <c r="H14582" t="str">
        <f>T("HANGAR A-936 MIDWAY AVE")</f>
        <v>HANGAR A-936 MIDWAY AVE</v>
      </c>
      <c r="I14582" t="str">
        <f>T("KEY WEST")</f>
        <v>KEY WEST</v>
      </c>
      <c r="J14582" t="str">
        <f>T("FL")</f>
        <v>FL</v>
      </c>
      <c r="K14582" t="str">
        <f>T("000000000000000000")</f>
        <v>000000000000000000</v>
      </c>
      <c r="L14582" t="str">
        <f>T("3052932379")</f>
        <v>3052932379</v>
      </c>
    </row>
    <row r="14583" spans="1:12" x14ac:dyDescent="0.35">
      <c r="A14583" t="str">
        <f t="shared" si="5310"/>
        <v>TACTIVAL SUPPORT WING*</v>
      </c>
      <c r="B14583" t="str">
        <f>T("PO BOX 9059")</f>
        <v>PO BOX 9059</v>
      </c>
      <c r="C14583" t="str">
        <f>T("HANGAR A-936 MIDWAY AVE")</f>
        <v>HANGAR A-936 MIDWAY AVE</v>
      </c>
      <c r="D14583" t="str">
        <f>T("KEY WEST")</f>
        <v>KEY WEST</v>
      </c>
      <c r="E14583" t="str">
        <f>T("FL")</f>
        <v>FL</v>
      </c>
      <c r="F14583" t="str">
        <f>T("330409059")</f>
        <v>330409059</v>
      </c>
      <c r="G14583" t="str">
        <f>T("VFC-111")</f>
        <v>VFC-111</v>
      </c>
      <c r="H14583" t="str">
        <f>T("P O BOX 9059 HANGAR A 936")</f>
        <v>P O BOX 9059 HANGAR A 936</v>
      </c>
      <c r="I14583" t="str">
        <f>T("KEY WEST")</f>
        <v>KEY WEST</v>
      </c>
      <c r="J14583" t="str">
        <f>T("FL")</f>
        <v>FL</v>
      </c>
      <c r="K14583" t="str">
        <f>T("3052932273")</f>
        <v>3052932273</v>
      </c>
      <c r="L14583" t="str">
        <f>T("3052932382")</f>
        <v>3052932382</v>
      </c>
    </row>
    <row r="14584" spans="1:12" x14ac:dyDescent="0.35">
      <c r="A14584" t="str">
        <f t="shared" si="5310"/>
        <v>TACTIVAL SUPPORT WING*</v>
      </c>
      <c r="B14584" t="str">
        <f>T("PO BOX 9059")</f>
        <v>PO BOX 9059</v>
      </c>
      <c r="C14584" t="str">
        <f>T("HANGAR A-936 MIDWAY AVE")</f>
        <v>HANGAR A-936 MIDWAY AVE</v>
      </c>
      <c r="D14584" t="str">
        <f>T("KEY WEST")</f>
        <v>KEY WEST</v>
      </c>
      <c r="E14584" t="str">
        <f>T("FL")</f>
        <v>FL</v>
      </c>
      <c r="F14584" t="str">
        <f>T("330409059")</f>
        <v>330409059</v>
      </c>
      <c r="G14584" t="str">
        <f>T("VFC-111")</f>
        <v>VFC-111</v>
      </c>
      <c r="H14584" t="str">
        <f>T("P O BOX 9059 HANGAR A 936")</f>
        <v>P O BOX 9059 HANGAR A 936</v>
      </c>
      <c r="I14584" t="str">
        <f>T("KEY WEST")</f>
        <v>KEY WEST</v>
      </c>
      <c r="J14584" t="str">
        <f>T("FL")</f>
        <v>FL</v>
      </c>
      <c r="K14584" t="str">
        <f>T("3052932382")</f>
        <v>3052932382</v>
      </c>
      <c r="L14584" t="str">
        <f>T("3052932607")</f>
        <v>3052932607</v>
      </c>
    </row>
    <row r="14585" spans="1:12" x14ac:dyDescent="0.35">
      <c r="A14585" t="str">
        <f t="shared" si="5310"/>
        <v>TACTIVAL SUPPORT WING*</v>
      </c>
      <c r="B14585" t="str">
        <f>T("VFC-12 HANGER 200A")</f>
        <v>VFC-12 HANGER 200A</v>
      </c>
      <c r="C14585" t="str">
        <f>T("")</f>
        <v/>
      </c>
      <c r="D14585" t="str">
        <f>T("VIRGINIA BEACH")</f>
        <v>VIRGINIA BEACH</v>
      </c>
      <c r="E14585" t="str">
        <f>T("VA")</f>
        <v>VA</v>
      </c>
      <c r="F14585" t="str">
        <f>T("234600000")</f>
        <v>234600000</v>
      </c>
      <c r="G14585" t="str">
        <f>T("766 B AVE HGR 200")</f>
        <v>766 B AVE HGR 200</v>
      </c>
      <c r="H14585" t="str">
        <f>T("")</f>
        <v/>
      </c>
      <c r="I14585" t="str">
        <f>T("VIRGINIA BEACH")</f>
        <v>VIRGINIA BEACH</v>
      </c>
      <c r="J14585" t="str">
        <f>T("VA")</f>
        <v>VA</v>
      </c>
      <c r="K14585" t="str">
        <f>T("7574335155")</f>
        <v>7574335155</v>
      </c>
      <c r="L14585" t="str">
        <f>T("7574332813")</f>
        <v>7574332813</v>
      </c>
    </row>
    <row r="14586" spans="1:12" x14ac:dyDescent="0.35">
      <c r="A14586" t="str">
        <f t="shared" si="5310"/>
        <v>TACTIVAL SUPPORT WING*</v>
      </c>
      <c r="B14586" t="str">
        <f>T("VFC-12 HANGER 200A")</f>
        <v>VFC-12 HANGER 200A</v>
      </c>
      <c r="C14586" t="str">
        <f>T("")</f>
        <v/>
      </c>
      <c r="D14586" t="str">
        <f>T("VIRGINIA BEACH")</f>
        <v>VIRGINIA BEACH</v>
      </c>
      <c r="E14586" t="str">
        <f>T("VA")</f>
        <v>VA</v>
      </c>
      <c r="F14586" t="str">
        <f>T("234600000")</f>
        <v>234600000</v>
      </c>
      <c r="G14586" t="str">
        <f>T("879 HORNET DRIVE HANGAR 200")</f>
        <v>879 HORNET DRIVE HANGAR 200</v>
      </c>
      <c r="H14586" t="str">
        <f>T("VFC-12")</f>
        <v>VFC-12</v>
      </c>
      <c r="I14586" t="str">
        <f>T("VIRGINIA BEACH")</f>
        <v>VIRGINIA BEACH</v>
      </c>
      <c r="J14586" t="str">
        <f>T("VA")</f>
        <v>VA</v>
      </c>
      <c r="K14586" t="str">
        <f t="shared" ref="K14586:K14609" si="5312">T("000000000000000000")</f>
        <v>000000000000000000</v>
      </c>
      <c r="L14586" t="str">
        <f>T("7574335454")</f>
        <v>7574335454</v>
      </c>
    </row>
    <row r="14587" spans="1:12" x14ac:dyDescent="0.35">
      <c r="A14587" t="str">
        <f t="shared" si="5310"/>
        <v>TACTIVAL SUPPORT WING*</v>
      </c>
      <c r="B14587" t="str">
        <f>T("VFC-12 HANGER 200A")</f>
        <v>VFC-12 HANGER 200A</v>
      </c>
      <c r="C14587" t="str">
        <f>T("")</f>
        <v/>
      </c>
      <c r="D14587" t="str">
        <f>T("VIRGINIA BEACH")</f>
        <v>VIRGINIA BEACH</v>
      </c>
      <c r="E14587" t="str">
        <f>T("VA")</f>
        <v>VA</v>
      </c>
      <c r="F14587" t="str">
        <f>T("234600000")</f>
        <v>234600000</v>
      </c>
      <c r="G14587" t="str">
        <f>T("VFC-12 HANGER 200A")</f>
        <v>VFC-12 HANGER 200A</v>
      </c>
      <c r="H14587" t="str">
        <f>T("")</f>
        <v/>
      </c>
      <c r="I14587" t="str">
        <f>T("VIRGINIA BEACH")</f>
        <v>VIRGINIA BEACH</v>
      </c>
      <c r="J14587" t="str">
        <f>T("VA")</f>
        <v>VA</v>
      </c>
      <c r="K14587" t="str">
        <f t="shared" si="5312"/>
        <v>000000000000000000</v>
      </c>
      <c r="L14587" t="str">
        <f>T("7574334094")</f>
        <v>7574334094</v>
      </c>
    </row>
    <row r="14588" spans="1:12" x14ac:dyDescent="0.35">
      <c r="A14588" t="str">
        <f t="shared" ref="A14588:A14608" si="5313">T("CFLSW")</f>
        <v>CFLSW</v>
      </c>
      <c r="B14588" t="str">
        <f>T("1 SAN DIEGO LOOP BLDG 3158")</f>
        <v>1 SAN DIEGO LOOP BLDG 3158</v>
      </c>
      <c r="C14588" t="str">
        <f>T("")</f>
        <v/>
      </c>
      <c r="D14588" t="str">
        <f>T("JB ANDREWS")</f>
        <v>JB ANDREWS</v>
      </c>
      <c r="E14588" t="str">
        <f>T("MD")</f>
        <v>MD</v>
      </c>
      <c r="F14588" t="str">
        <f>T("207625518")</f>
        <v>207625518</v>
      </c>
      <c r="G14588" t="str">
        <f>T("1 SAN DIEGO LOOP BLDG 3158")</f>
        <v>1 SAN DIEGO LOOP BLDG 3158</v>
      </c>
      <c r="H14588" t="str">
        <f>T("")</f>
        <v/>
      </c>
      <c r="I14588" t="str">
        <f>T("JB ANDREWS")</f>
        <v>JB ANDREWS</v>
      </c>
      <c r="J14588" t="str">
        <f>T("MD")</f>
        <v>MD</v>
      </c>
      <c r="K14588" t="str">
        <f t="shared" si="5312"/>
        <v>000000000000000000</v>
      </c>
      <c r="L14588" t="str">
        <f>T("2408572062")</f>
        <v>2408572062</v>
      </c>
    </row>
    <row r="14589" spans="1:12" x14ac:dyDescent="0.35">
      <c r="A14589" t="str">
        <f t="shared" si="5313"/>
        <v>CFLSW</v>
      </c>
      <c r="B14589" t="str">
        <f>T("1 SAN DIEGO LOOP BLDG 3188")</f>
        <v>1 SAN DIEGO LOOP BLDG 3188</v>
      </c>
      <c r="C14589" t="str">
        <f>T("")</f>
        <v/>
      </c>
      <c r="D14589" t="str">
        <f>T("JB ANDREWS")</f>
        <v>JB ANDREWS</v>
      </c>
      <c r="E14589" t="str">
        <f>T("MD")</f>
        <v>MD</v>
      </c>
      <c r="F14589" t="str">
        <f>T("207625518")</f>
        <v>207625518</v>
      </c>
      <c r="G14589" t="str">
        <f>T("1 SAN DIEGO LOOP BLDG 3188")</f>
        <v>1 SAN DIEGO LOOP BLDG 3188</v>
      </c>
      <c r="H14589" t="str">
        <f>T("")</f>
        <v/>
      </c>
      <c r="I14589" t="str">
        <f>T("JB ANDREWS")</f>
        <v>JB ANDREWS</v>
      </c>
      <c r="J14589" t="str">
        <f>T("MD")</f>
        <v>MD</v>
      </c>
      <c r="K14589" t="str">
        <f t="shared" si="5312"/>
        <v>000000000000000000</v>
      </c>
      <c r="L14589" t="str">
        <f>T("2408574040")</f>
        <v>2408574040</v>
      </c>
    </row>
    <row r="14590" spans="1:12" x14ac:dyDescent="0.35">
      <c r="A14590" t="str">
        <f t="shared" si="5313"/>
        <v>CFLSW</v>
      </c>
      <c r="B14590" t="str">
        <f>T("1 SAN DIEGO LOOP BLDG 3188")</f>
        <v>1 SAN DIEGO LOOP BLDG 3188</v>
      </c>
      <c r="C14590" t="str">
        <f>T("JB ANDREWS AFB")</f>
        <v>JB ANDREWS AFB</v>
      </c>
      <c r="D14590" t="str">
        <f>T("JB ANDREWS")</f>
        <v>JB ANDREWS</v>
      </c>
      <c r="E14590" t="str">
        <f>T("MD")</f>
        <v>MD</v>
      </c>
      <c r="F14590" t="str">
        <f>T("207625518")</f>
        <v>207625518</v>
      </c>
      <c r="G14590" t="str">
        <f>T("1 SAN DIEGO LOOP BLDG 3188")</f>
        <v>1 SAN DIEGO LOOP BLDG 3188</v>
      </c>
      <c r="H14590" t="str">
        <f>T("JB ANDREWS AFB")</f>
        <v>JB ANDREWS AFB</v>
      </c>
      <c r="I14590" t="str">
        <f>T("JB ANDREWS")</f>
        <v>JB ANDREWS</v>
      </c>
      <c r="J14590" t="str">
        <f>T("MD")</f>
        <v>MD</v>
      </c>
      <c r="K14590" t="str">
        <f t="shared" si="5312"/>
        <v>000000000000000000</v>
      </c>
      <c r="L14590" t="str">
        <f>T("2408576676")</f>
        <v>2408576676</v>
      </c>
    </row>
    <row r="14591" spans="1:12" x14ac:dyDescent="0.35">
      <c r="A14591" t="str">
        <f t="shared" si="5313"/>
        <v>CFLSW</v>
      </c>
      <c r="B14591" t="str">
        <f>T("1048 BOYINGTON DR")</f>
        <v>1048 BOYINGTON DR</v>
      </c>
      <c r="C14591" t="str">
        <f t="shared" ref="C14591:C14614" si="5314">T("")</f>
        <v/>
      </c>
      <c r="D14591" t="str">
        <f>T("FORT WORTH")</f>
        <v>FORT WORTH</v>
      </c>
      <c r="E14591" t="str">
        <f>T("TX")</f>
        <v>TX</v>
      </c>
      <c r="F14591" t="str">
        <f>T("761271110")</f>
        <v>761271110</v>
      </c>
      <c r="G14591" t="str">
        <f>T("1048 BOYINGTON DR")</f>
        <v>1048 BOYINGTON DR</v>
      </c>
      <c r="H14591" t="str">
        <f t="shared" ref="H14591:H14608" si="5315">T("")</f>
        <v/>
      </c>
      <c r="I14591" t="str">
        <f>T("FORT WORTH")</f>
        <v>FORT WORTH</v>
      </c>
      <c r="J14591" t="str">
        <f>T("TX")</f>
        <v>TX</v>
      </c>
      <c r="K14591" t="str">
        <f t="shared" si="5312"/>
        <v>000000000000000000</v>
      </c>
      <c r="L14591" t="str">
        <f>T("8177827559")</f>
        <v>8177827559</v>
      </c>
    </row>
    <row r="14592" spans="1:12" x14ac:dyDescent="0.35">
      <c r="A14592" t="str">
        <f t="shared" si="5313"/>
        <v>CFLSW</v>
      </c>
      <c r="B14592" t="str">
        <f>T("1055 HERCULES ROAD")</f>
        <v>1055 HERCULES ROAD</v>
      </c>
      <c r="C14592" t="str">
        <f t="shared" si="5314"/>
        <v/>
      </c>
      <c r="D14592" t="str">
        <f>T("FORT WORTH")</f>
        <v>FORT WORTH</v>
      </c>
      <c r="E14592" t="str">
        <f>T("TX")</f>
        <v>TX</v>
      </c>
      <c r="F14592" t="str">
        <f>T("761271163")</f>
        <v>761271163</v>
      </c>
      <c r="G14592" t="str">
        <f>T("1055 HERCULES ROAD")</f>
        <v>1055 HERCULES ROAD</v>
      </c>
      <c r="H14592" t="str">
        <f t="shared" si="5315"/>
        <v/>
      </c>
      <c r="I14592" t="str">
        <f>T("FORT WORTH")</f>
        <v>FORT WORTH</v>
      </c>
      <c r="J14592" t="str">
        <f>T("TX")</f>
        <v>TX</v>
      </c>
      <c r="K14592" t="str">
        <f t="shared" si="5312"/>
        <v>000000000000000000</v>
      </c>
      <c r="L14592" t="str">
        <f>T("8177823204")</f>
        <v>8177823204</v>
      </c>
    </row>
    <row r="14593" spans="1:12" x14ac:dyDescent="0.35">
      <c r="A14593" t="str">
        <f t="shared" si="5313"/>
        <v>CFLSW</v>
      </c>
      <c r="B14593" t="str">
        <f>T("1251 MILITARY PKWY")</f>
        <v>1251 MILITARY PKWY</v>
      </c>
      <c r="C14593" t="str">
        <f t="shared" si="5314"/>
        <v/>
      </c>
      <c r="D14593" t="str">
        <f>T("FORT WORTH")</f>
        <v>FORT WORTH</v>
      </c>
      <c r="E14593" t="str">
        <f>T("TX")</f>
        <v>TX</v>
      </c>
      <c r="F14593" t="str">
        <f>T("761271063")</f>
        <v>761271063</v>
      </c>
      <c r="G14593" t="str">
        <f>T("1251 MILITARY PKWY")</f>
        <v>1251 MILITARY PKWY</v>
      </c>
      <c r="H14593" t="str">
        <f t="shared" si="5315"/>
        <v/>
      </c>
      <c r="I14593" t="str">
        <f>T("FORT WORTH")</f>
        <v>FORT WORTH</v>
      </c>
      <c r="J14593" t="str">
        <f>T("TX")</f>
        <v>TX</v>
      </c>
      <c r="K14593" t="str">
        <f t="shared" si="5312"/>
        <v>000000000000000000</v>
      </c>
      <c r="L14593" t="str">
        <f>T("8177827362")</f>
        <v>8177827362</v>
      </c>
    </row>
    <row r="14594" spans="1:12" x14ac:dyDescent="0.35">
      <c r="A14594" t="str">
        <f t="shared" si="5313"/>
        <v>CFLSW</v>
      </c>
      <c r="B14594" t="str">
        <f>T("1445 BURKE AVE")</f>
        <v>1445 BURKE AVE</v>
      </c>
      <c r="C14594" t="str">
        <f t="shared" si="5314"/>
        <v/>
      </c>
      <c r="D14594" t="str">
        <f>T("FORT WORTH")</f>
        <v>FORT WORTH</v>
      </c>
      <c r="E14594" t="str">
        <f>T("TX")</f>
        <v>TX</v>
      </c>
      <c r="F14594" t="str">
        <f>T("761271027")</f>
        <v>761271027</v>
      </c>
      <c r="G14594" t="str">
        <f>T("1445 BURKE AVE")</f>
        <v>1445 BURKE AVE</v>
      </c>
      <c r="H14594" t="str">
        <f t="shared" si="5315"/>
        <v/>
      </c>
      <c r="I14594" t="str">
        <f>T("FORT WORTH")</f>
        <v>FORT WORTH</v>
      </c>
      <c r="J14594" t="str">
        <f>T("TX")</f>
        <v>TX</v>
      </c>
      <c r="K14594" t="str">
        <f t="shared" si="5312"/>
        <v>000000000000000000</v>
      </c>
      <c r="L14594" t="str">
        <f>T("8177826318")</f>
        <v>8177826318</v>
      </c>
    </row>
    <row r="14595" spans="1:12" x14ac:dyDescent="0.35">
      <c r="A14595" t="str">
        <f t="shared" si="5313"/>
        <v>CFLSW</v>
      </c>
      <c r="B14595" t="str">
        <f>T("290 VICKERS AVE BLDG 1050")</f>
        <v>290 VICKERS AVE BLDG 1050</v>
      </c>
      <c r="C14595" t="str">
        <f t="shared" si="5314"/>
        <v/>
      </c>
      <c r="D14595" t="str">
        <f>T("HICKAM AFB")</f>
        <v>HICKAM AFB</v>
      </c>
      <c r="E14595" t="str">
        <f>T("HI")</f>
        <v>HI</v>
      </c>
      <c r="F14595" t="str">
        <f>T("968535272")</f>
        <v>968535272</v>
      </c>
      <c r="G14595" t="str">
        <f>T("290 VICKERS AVE BLDG 1050")</f>
        <v>290 VICKERS AVE BLDG 1050</v>
      </c>
      <c r="H14595" t="str">
        <f t="shared" si="5315"/>
        <v/>
      </c>
      <c r="I14595" t="str">
        <f>T("HICKAM AFB")</f>
        <v>HICKAM AFB</v>
      </c>
      <c r="J14595" t="str">
        <f>T("HI")</f>
        <v>HI</v>
      </c>
      <c r="K14595" t="str">
        <f t="shared" si="5312"/>
        <v>000000000000000000</v>
      </c>
      <c r="L14595" t="str">
        <f>T("8084429278")</f>
        <v>8084429278</v>
      </c>
    </row>
    <row r="14596" spans="1:12" x14ac:dyDescent="0.35">
      <c r="A14596" t="str">
        <f t="shared" si="5313"/>
        <v>CFLSW</v>
      </c>
      <c r="B14596" t="str">
        <f>T("3370 WONNACOTT AVE")</f>
        <v>3370 WONNACOTT AVE</v>
      </c>
      <c r="C14596" t="str">
        <f t="shared" si="5314"/>
        <v/>
      </c>
      <c r="D14596" t="str">
        <f>T("JB MDL")</f>
        <v>JB MDL</v>
      </c>
      <c r="E14596" t="str">
        <f>T("NJ")</f>
        <v>NJ</v>
      </c>
      <c r="F14596" t="str">
        <f>T("086415309")</f>
        <v>086415309</v>
      </c>
      <c r="G14596" t="str">
        <f>T("3370 WONNACOTT AVE")</f>
        <v>3370 WONNACOTT AVE</v>
      </c>
      <c r="H14596" t="str">
        <f t="shared" si="5315"/>
        <v/>
      </c>
      <c r="I14596" t="str">
        <f>T("JB MDL")</f>
        <v>JB MDL</v>
      </c>
      <c r="J14596" t="str">
        <f>T("NJ")</f>
        <v>NJ</v>
      </c>
      <c r="K14596" t="str">
        <f t="shared" si="5312"/>
        <v>000000000000000000</v>
      </c>
      <c r="L14596" t="str">
        <f>T("6097540975")</f>
        <v>6097540975</v>
      </c>
    </row>
    <row r="14597" spans="1:12" x14ac:dyDescent="0.35">
      <c r="A14597" t="str">
        <f t="shared" si="5313"/>
        <v>CFLSW</v>
      </c>
      <c r="B14597" t="str">
        <f>T("3690 NORTH RANGER ST")</f>
        <v>3690 NORTH RANGER ST</v>
      </c>
      <c r="C14597" t="str">
        <f t="shared" si="5314"/>
        <v/>
      </c>
      <c r="D14597" t="str">
        <f>T("OAK HARBOR")</f>
        <v>OAK HARBOR</v>
      </c>
      <c r="E14597" t="str">
        <f>T("WA")</f>
        <v>WA</v>
      </c>
      <c r="F14597" t="str">
        <f>T("982784926")</f>
        <v>982784926</v>
      </c>
      <c r="G14597" t="str">
        <f>T("3690 NORTH RANGER ST")</f>
        <v>3690 NORTH RANGER ST</v>
      </c>
      <c r="H14597" t="str">
        <f t="shared" si="5315"/>
        <v/>
      </c>
      <c r="I14597" t="str">
        <f>T("OAK HARBOR")</f>
        <v>OAK HARBOR</v>
      </c>
      <c r="J14597" t="str">
        <f>T("WA")</f>
        <v>WA</v>
      </c>
      <c r="K14597" t="str">
        <f t="shared" si="5312"/>
        <v>000000000000000000</v>
      </c>
      <c r="L14597" t="str">
        <f>T("3602578708")</f>
        <v>3602578708</v>
      </c>
    </row>
    <row r="14598" spans="1:12" x14ac:dyDescent="0.35">
      <c r="A14598" t="str">
        <f t="shared" si="5313"/>
        <v>CFLSW</v>
      </c>
      <c r="B14598" t="str">
        <f>T("400 RUSSELL AVE BLDG 33")</f>
        <v>400 RUSSELL AVE BLDG 33</v>
      </c>
      <c r="C14598" t="str">
        <f t="shared" si="5314"/>
        <v/>
      </c>
      <c r="D14598" t="str">
        <f>T("NAS JRB NEW ORLEANS")</f>
        <v>NAS JRB NEW ORLEANS</v>
      </c>
      <c r="E14598" t="str">
        <f>T("LA")</f>
        <v>LA</v>
      </c>
      <c r="F14598" t="str">
        <f>T("701435077")</f>
        <v>701435077</v>
      </c>
      <c r="G14598" t="str">
        <f>T("400 RUSSELL AVE BLDG 33")</f>
        <v>400 RUSSELL AVE BLDG 33</v>
      </c>
      <c r="H14598" t="str">
        <f t="shared" si="5315"/>
        <v/>
      </c>
      <c r="I14598" t="str">
        <f>T("NAS JRB NEW ORLEANS")</f>
        <v>NAS JRB NEW ORLEANS</v>
      </c>
      <c r="J14598" t="str">
        <f>T("LA")</f>
        <v>LA</v>
      </c>
      <c r="K14598" t="str">
        <f t="shared" si="5312"/>
        <v>000000000000000000</v>
      </c>
      <c r="L14598" t="str">
        <f>T("5046785452")</f>
        <v>5046785452</v>
      </c>
    </row>
    <row r="14599" spans="1:12" x14ac:dyDescent="0.35">
      <c r="A14599" t="str">
        <f t="shared" si="5313"/>
        <v>CFLSW</v>
      </c>
      <c r="B14599" t="str">
        <f>T("400 RUSSELL AVE BLDG 400")</f>
        <v>400 RUSSELL AVE BLDG 400</v>
      </c>
      <c r="C14599" t="str">
        <f t="shared" si="5314"/>
        <v/>
      </c>
      <c r="D14599" t="str">
        <f>T("NAS JRB NEW ORLEANS")</f>
        <v>NAS JRB NEW ORLEANS</v>
      </c>
      <c r="E14599" t="str">
        <f>T("LA")</f>
        <v>LA</v>
      </c>
      <c r="F14599" t="str">
        <f>T("701435077")</f>
        <v>701435077</v>
      </c>
      <c r="G14599" t="str">
        <f>T("400 RUSSELL AVE BLDG 400")</f>
        <v>400 RUSSELL AVE BLDG 400</v>
      </c>
      <c r="H14599" t="str">
        <f t="shared" si="5315"/>
        <v/>
      </c>
      <c r="I14599" t="str">
        <f>T("NAS JRB NEW ORLEANS")</f>
        <v>NAS JRB NEW ORLEANS</v>
      </c>
      <c r="J14599" t="str">
        <f>T("LA")</f>
        <v>LA</v>
      </c>
      <c r="K14599" t="str">
        <f t="shared" si="5312"/>
        <v>000000000000000000</v>
      </c>
      <c r="L14599" t="str">
        <f>T("5046784614")</f>
        <v>5046784614</v>
      </c>
    </row>
    <row r="14600" spans="1:12" x14ac:dyDescent="0.35">
      <c r="A14600" t="str">
        <f t="shared" si="5313"/>
        <v>CFLSW</v>
      </c>
      <c r="B14600" t="str">
        <f>T("400 RUSSELL AVE BLDG 439")</f>
        <v>400 RUSSELL AVE BLDG 439</v>
      </c>
      <c r="C14600" t="str">
        <f t="shared" si="5314"/>
        <v/>
      </c>
      <c r="D14600" t="str">
        <f>T("NEW ORLEANS")</f>
        <v>NEW ORLEANS</v>
      </c>
      <c r="E14600" t="str">
        <f>T("LA")</f>
        <v>LA</v>
      </c>
      <c r="F14600" t="str">
        <f>T("701435077")</f>
        <v>701435077</v>
      </c>
      <c r="G14600" t="str">
        <f>T("400 RUSSELL AVE BLDG 439")</f>
        <v>400 RUSSELL AVE BLDG 439</v>
      </c>
      <c r="H14600" t="str">
        <f t="shared" si="5315"/>
        <v/>
      </c>
      <c r="I14600" t="str">
        <f>T("NEW ORLEANS")</f>
        <v>NEW ORLEANS</v>
      </c>
      <c r="J14600" t="str">
        <f>T("LA")</f>
        <v>LA</v>
      </c>
      <c r="K14600" t="str">
        <f t="shared" si="5312"/>
        <v>000000000000000000</v>
      </c>
      <c r="L14600" t="str">
        <f>T("5046799654")</f>
        <v>5046799654</v>
      </c>
    </row>
    <row r="14601" spans="1:12" x14ac:dyDescent="0.35">
      <c r="A14601" t="str">
        <f t="shared" si="5313"/>
        <v>CFLSW</v>
      </c>
      <c r="B14601" t="str">
        <f>T("4390 TEXAS AVE")</f>
        <v>4390 TEXAS AVE</v>
      </c>
      <c r="C14601" t="str">
        <f t="shared" si="5314"/>
        <v/>
      </c>
      <c r="D14601" t="str">
        <f>T("FORT DIX")</f>
        <v>FORT DIX</v>
      </c>
      <c r="E14601" t="str">
        <f>T("NJ")</f>
        <v>NJ</v>
      </c>
      <c r="F14601" t="str">
        <f>T("086405519")</f>
        <v>086405519</v>
      </c>
      <c r="G14601" t="str">
        <f>T("4390 TEXAS AVE")</f>
        <v>4390 TEXAS AVE</v>
      </c>
      <c r="H14601" t="str">
        <f t="shared" si="5315"/>
        <v/>
      </c>
      <c r="I14601" t="str">
        <f>T("FORT DIX")</f>
        <v>FORT DIX</v>
      </c>
      <c r="J14601" t="str">
        <f>T("NJ")</f>
        <v>NJ</v>
      </c>
      <c r="K14601" t="str">
        <f t="shared" si="5312"/>
        <v>000000000000000000</v>
      </c>
      <c r="L14601" t="str">
        <f>T("6095621869")</f>
        <v>6095621869</v>
      </c>
    </row>
    <row r="14602" spans="1:12" x14ac:dyDescent="0.35">
      <c r="A14602" t="str">
        <f t="shared" si="5313"/>
        <v>CFLSW</v>
      </c>
      <c r="B14602" t="str">
        <f>T("667 RONALD REAGAN BLVD")</f>
        <v>667 RONALD REAGAN BLVD</v>
      </c>
      <c r="C14602" t="str">
        <f t="shared" si="5314"/>
        <v/>
      </c>
      <c r="D14602" t="str">
        <f>T("POINT MUGU NAWC")</f>
        <v>POINT MUGU NAWC</v>
      </c>
      <c r="E14602" t="str">
        <f>T("CA")</f>
        <v>CA</v>
      </c>
      <c r="F14602" t="str">
        <f>T("930420001")</f>
        <v>930420001</v>
      </c>
      <c r="G14602" t="str">
        <f>T("667 RONALD REAGAN BLVD")</f>
        <v>667 RONALD REAGAN BLVD</v>
      </c>
      <c r="H14602" t="str">
        <f t="shared" si="5315"/>
        <v/>
      </c>
      <c r="I14602" t="str">
        <f>T("POINT MUGU NAWC")</f>
        <v>POINT MUGU NAWC</v>
      </c>
      <c r="J14602" t="str">
        <f>T("CA")</f>
        <v>CA</v>
      </c>
      <c r="K14602" t="str">
        <f t="shared" si="5312"/>
        <v>000000000000000000</v>
      </c>
      <c r="L14602" t="str">
        <f>T("8059895074")</f>
        <v>8059895074</v>
      </c>
    </row>
    <row r="14603" spans="1:12" x14ac:dyDescent="0.35">
      <c r="A14603" t="str">
        <f t="shared" si="5313"/>
        <v>CFLSW</v>
      </c>
      <c r="B14603" t="str">
        <f>T("766 B AVE HANGER 56")</f>
        <v>766 B AVE HANGER 56</v>
      </c>
      <c r="C14603" t="str">
        <f t="shared" si="5314"/>
        <v/>
      </c>
      <c r="D14603" t="str">
        <f>T("VIRGINIA BEACH")</f>
        <v>VIRGINIA BEACH</v>
      </c>
      <c r="E14603" t="str">
        <f>T("VA")</f>
        <v>VA</v>
      </c>
      <c r="F14603" t="str">
        <f>T("234602226")</f>
        <v>234602226</v>
      </c>
      <c r="G14603" t="str">
        <f>T("766 B AVE HANGER 56")</f>
        <v>766 B AVE HANGER 56</v>
      </c>
      <c r="H14603" t="str">
        <f t="shared" si="5315"/>
        <v/>
      </c>
      <c r="I14603" t="str">
        <f>T("VIRGINIA BEACH")</f>
        <v>VIRGINIA BEACH</v>
      </c>
      <c r="J14603" t="str">
        <f>T("VA")</f>
        <v>VA</v>
      </c>
      <c r="K14603" t="str">
        <f t="shared" si="5312"/>
        <v>000000000000000000</v>
      </c>
      <c r="L14603" t="str">
        <f>T("7574336113")</f>
        <v>7574336113</v>
      </c>
    </row>
    <row r="14604" spans="1:12" x14ac:dyDescent="0.35">
      <c r="A14604" t="str">
        <f t="shared" si="5313"/>
        <v>CFLSW</v>
      </c>
      <c r="B14604" t="str">
        <f>T("HANGER 1000 SEGMENT 1")</f>
        <v>HANGER 1000 SEGMENT 1</v>
      </c>
      <c r="C14604" t="str">
        <f t="shared" si="5314"/>
        <v/>
      </c>
      <c r="D14604" t="str">
        <f>T("JACKSONVILLE")</f>
        <v>JACKSONVILLE</v>
      </c>
      <c r="E14604" t="str">
        <f>T("FL")</f>
        <v>FL</v>
      </c>
      <c r="F14604" t="str">
        <f>T("322120000")</f>
        <v>322120000</v>
      </c>
      <c r="G14604" t="str">
        <f>T("HANGER 1000 SEGMENT 1")</f>
        <v>HANGER 1000 SEGMENT 1</v>
      </c>
      <c r="H14604" t="str">
        <f t="shared" si="5315"/>
        <v/>
      </c>
      <c r="I14604" t="str">
        <f>T("JACKSONVILLE")</f>
        <v>JACKSONVILLE</v>
      </c>
      <c r="J14604" t="str">
        <f>T("FL")</f>
        <v>FL</v>
      </c>
      <c r="K14604" t="str">
        <f t="shared" si="5312"/>
        <v>000000000000000000</v>
      </c>
      <c r="L14604" t="str">
        <f>T("9045422380")</f>
        <v>9045422380</v>
      </c>
    </row>
    <row r="14605" spans="1:12" x14ac:dyDescent="0.35">
      <c r="A14605" t="str">
        <f t="shared" si="5313"/>
        <v>CFLSW</v>
      </c>
      <c r="B14605" t="str">
        <f>T("HANGER 1000 SEGMENT 4")</f>
        <v>HANGER 1000 SEGMENT 4</v>
      </c>
      <c r="C14605" t="str">
        <f t="shared" si="5314"/>
        <v/>
      </c>
      <c r="D14605" t="str">
        <f>T("JACKSONVILLE")</f>
        <v>JACKSONVILLE</v>
      </c>
      <c r="E14605" t="str">
        <f>T("FL")</f>
        <v>FL</v>
      </c>
      <c r="F14605" t="str">
        <f>T("322120000")</f>
        <v>322120000</v>
      </c>
      <c r="G14605" t="str">
        <f>T("HANGER 1000 SEGMENT 4")</f>
        <v>HANGER 1000 SEGMENT 4</v>
      </c>
      <c r="H14605" t="str">
        <f t="shared" si="5315"/>
        <v/>
      </c>
      <c r="I14605" t="str">
        <f>T("JACKSONVILLE")</f>
        <v>JACKSONVILLE</v>
      </c>
      <c r="J14605" t="str">
        <f>T("FL")</f>
        <v>FL</v>
      </c>
      <c r="K14605" t="str">
        <f t="shared" si="5312"/>
        <v>000000000000000000</v>
      </c>
      <c r="L14605" t="str">
        <f>T("9045428551")</f>
        <v>9045428551</v>
      </c>
    </row>
    <row r="14606" spans="1:12" x14ac:dyDescent="0.35">
      <c r="A14606" t="str">
        <f t="shared" si="5313"/>
        <v>CFLSW</v>
      </c>
      <c r="B14606" t="str">
        <f>T("PO BOX 357108 NAS NORTH ISLAND")</f>
        <v>PO BOX 357108 NAS NORTH ISLAND</v>
      </c>
      <c r="C14606" t="str">
        <f t="shared" si="5314"/>
        <v/>
      </c>
      <c r="D14606" t="str">
        <f>T("SAN DIEGO")</f>
        <v>SAN DIEGO</v>
      </c>
      <c r="E14606" t="str">
        <f>T("CA")</f>
        <v>CA</v>
      </c>
      <c r="F14606" t="str">
        <f>T("921357108")</f>
        <v>921357108</v>
      </c>
      <c r="G14606" t="str">
        <f>T("PO BOX 357108 NAS NORTH ISLAND")</f>
        <v>PO BOX 357108 NAS NORTH ISLAND</v>
      </c>
      <c r="H14606" t="str">
        <f t="shared" si="5315"/>
        <v/>
      </c>
      <c r="I14606" t="str">
        <f>T("SAN DIEGO")</f>
        <v>SAN DIEGO</v>
      </c>
      <c r="J14606" t="str">
        <f>T("CA")</f>
        <v>CA</v>
      </c>
      <c r="K14606" t="str">
        <f t="shared" si="5312"/>
        <v>000000000000000000</v>
      </c>
      <c r="L14606" t="str">
        <f>T("6195456933")</f>
        <v>6195456933</v>
      </c>
    </row>
    <row r="14607" spans="1:12" x14ac:dyDescent="0.35">
      <c r="A14607" t="str">
        <f t="shared" si="5313"/>
        <v>CFLSW</v>
      </c>
      <c r="B14607" t="str">
        <f>T("PO BOX 63050 MCBH")</f>
        <v>PO BOX 63050 MCBH</v>
      </c>
      <c r="C14607" t="str">
        <f t="shared" si="5314"/>
        <v/>
      </c>
      <c r="D14607" t="str">
        <f>T("KANEOHE BAY")</f>
        <v>KANEOHE BAY</v>
      </c>
      <c r="E14607" t="str">
        <f>T("HI")</f>
        <v>HI</v>
      </c>
      <c r="F14607" t="str">
        <f>T("968633050")</f>
        <v>968633050</v>
      </c>
      <c r="G14607" t="str">
        <f>T("PO BOX 63050 MCBH")</f>
        <v>PO BOX 63050 MCBH</v>
      </c>
      <c r="H14607" t="str">
        <f t="shared" si="5315"/>
        <v/>
      </c>
      <c r="I14607" t="str">
        <f>T("KANEOHE BAY")</f>
        <v>KANEOHE BAY</v>
      </c>
      <c r="J14607" t="str">
        <f>T("HI")</f>
        <v>HI</v>
      </c>
      <c r="K14607" t="str">
        <f t="shared" si="5312"/>
        <v>000000000000000000</v>
      </c>
      <c r="L14607" t="str">
        <f>T("8082571032")</f>
        <v>8082571032</v>
      </c>
    </row>
    <row r="14608" spans="1:12" x14ac:dyDescent="0.35">
      <c r="A14608" t="str">
        <f t="shared" si="5313"/>
        <v>CFLSW</v>
      </c>
      <c r="B14608" t="str">
        <f>T("PSC 812 BOX 3190")</f>
        <v>PSC 812 BOX 3190</v>
      </c>
      <c r="C14608" t="str">
        <f t="shared" si="5314"/>
        <v/>
      </c>
      <c r="D14608" t="str">
        <f>T("FPO")</f>
        <v>FPO</v>
      </c>
      <c r="E14608" t="str">
        <f>T("AE")</f>
        <v>AE</v>
      </c>
      <c r="F14608" t="str">
        <f>T("096270032")</f>
        <v>096270032</v>
      </c>
      <c r="G14608" t="str">
        <f>T("PSC 812 BOX 3190")</f>
        <v>PSC 812 BOX 3190</v>
      </c>
      <c r="H14608" t="str">
        <f t="shared" si="5315"/>
        <v/>
      </c>
      <c r="I14608" t="str">
        <f>T("FPO")</f>
        <v>FPO</v>
      </c>
      <c r="J14608" t="str">
        <f>T("AE")</f>
        <v>AE</v>
      </c>
      <c r="K14608" t="str">
        <f t="shared" si="5312"/>
        <v>000000000000000000</v>
      </c>
      <c r="L14608" t="str">
        <f>T("0113933585")</f>
        <v>0113933585</v>
      </c>
    </row>
    <row r="14609" spans="1:12" x14ac:dyDescent="0.35">
      <c r="A14609" t="str">
        <f t="shared" ref="A14609:A14621" si="5316">T("COMNAVSPECWARCOM")</f>
        <v>COMNAVSPECWARCOM</v>
      </c>
      <c r="B14609" t="str">
        <f t="shared" ref="B14609:B14614" si="5317">T("2000 TRIDENT WAY BLDG 624")</f>
        <v>2000 TRIDENT WAY BLDG 624</v>
      </c>
      <c r="C14609" t="str">
        <f t="shared" si="5314"/>
        <v/>
      </c>
      <c r="D14609" t="str">
        <f t="shared" ref="D14609:D14619" si="5318">T("SAN DIEGO")</f>
        <v>SAN DIEGO</v>
      </c>
      <c r="E14609" t="str">
        <f t="shared" ref="E14609:E14619" si="5319">T("CA")</f>
        <v>CA</v>
      </c>
      <c r="F14609" t="str">
        <f t="shared" ref="F14609:F14614" si="5320">T("921555599")</f>
        <v>921555599</v>
      </c>
      <c r="G14609" t="str">
        <f>T("2000 TRIDENT WAY")</f>
        <v>2000 TRIDENT WAY</v>
      </c>
      <c r="H14609" t="str">
        <f>T("BLDG 624")</f>
        <v>BLDG 624</v>
      </c>
      <c r="I14609" t="str">
        <f t="shared" ref="I14609:I14614" si="5321">T("SAN DIEGO")</f>
        <v>SAN DIEGO</v>
      </c>
      <c r="J14609" t="str">
        <f t="shared" ref="J14609:J14619" si="5322">T("CA")</f>
        <v>CA</v>
      </c>
      <c r="K14609" t="str">
        <f t="shared" si="5312"/>
        <v>000000000000000000</v>
      </c>
      <c r="L14609" t="str">
        <f>T("6195371570")</f>
        <v>6195371570</v>
      </c>
    </row>
    <row r="14610" spans="1:12" x14ac:dyDescent="0.35">
      <c r="A14610" t="str">
        <f t="shared" si="5316"/>
        <v>COMNAVSPECWARCOM</v>
      </c>
      <c r="B14610" t="str">
        <f t="shared" si="5317"/>
        <v>2000 TRIDENT WAY BLDG 624</v>
      </c>
      <c r="C14610" t="str">
        <f t="shared" si="5314"/>
        <v/>
      </c>
      <c r="D14610" t="str">
        <f t="shared" si="5318"/>
        <v>SAN DIEGO</v>
      </c>
      <c r="E14610" t="str">
        <f t="shared" si="5319"/>
        <v>CA</v>
      </c>
      <c r="F14610" t="str">
        <f t="shared" si="5320"/>
        <v>921555599</v>
      </c>
      <c r="G14610" t="str">
        <f>T("2000 TRIDENT WAY")</f>
        <v>2000 TRIDENT WAY</v>
      </c>
      <c r="H14610" t="str">
        <f>T("BLDG 624")</f>
        <v>BLDG 624</v>
      </c>
      <c r="I14610" t="str">
        <f t="shared" si="5321"/>
        <v>SAN DIEGO</v>
      </c>
      <c r="J14610" t="str">
        <f t="shared" si="5322"/>
        <v>CA</v>
      </c>
      <c r="K14610" t="str">
        <f>T("6195311988")</f>
        <v>6195311988</v>
      </c>
      <c r="L14610" t="str">
        <f>T("6195371354")</f>
        <v>6195371354</v>
      </c>
    </row>
    <row r="14611" spans="1:12" x14ac:dyDescent="0.35">
      <c r="A14611" t="str">
        <f t="shared" si="5316"/>
        <v>COMNAVSPECWARCOM</v>
      </c>
      <c r="B14611" t="str">
        <f t="shared" si="5317"/>
        <v>2000 TRIDENT WAY BLDG 624</v>
      </c>
      <c r="C14611" t="str">
        <f t="shared" si="5314"/>
        <v/>
      </c>
      <c r="D14611" t="str">
        <f t="shared" si="5318"/>
        <v>SAN DIEGO</v>
      </c>
      <c r="E14611" t="str">
        <f t="shared" si="5319"/>
        <v>CA</v>
      </c>
      <c r="F14611" t="str">
        <f t="shared" si="5320"/>
        <v>921555599</v>
      </c>
      <c r="G14611" t="str">
        <f>T("2000 TRIDENT WAY")</f>
        <v>2000 TRIDENT WAY</v>
      </c>
      <c r="H14611" t="str">
        <f>T("BLDG 624")</f>
        <v>BLDG 624</v>
      </c>
      <c r="I14611" t="str">
        <f t="shared" si="5321"/>
        <v>SAN DIEGO</v>
      </c>
      <c r="J14611" t="str">
        <f t="shared" si="5322"/>
        <v>CA</v>
      </c>
      <c r="K14611" t="str">
        <f>T("6195371988")</f>
        <v>6195371988</v>
      </c>
      <c r="L14611" t="str">
        <f>T("6195371353")</f>
        <v>6195371353</v>
      </c>
    </row>
    <row r="14612" spans="1:12" x14ac:dyDescent="0.35">
      <c r="A14612" t="str">
        <f t="shared" si="5316"/>
        <v>COMNAVSPECWARCOM</v>
      </c>
      <c r="B14612" t="str">
        <f t="shared" si="5317"/>
        <v>2000 TRIDENT WAY BLDG 624</v>
      </c>
      <c r="C14612" t="str">
        <f t="shared" si="5314"/>
        <v/>
      </c>
      <c r="D14612" t="str">
        <f t="shared" si="5318"/>
        <v>SAN DIEGO</v>
      </c>
      <c r="E14612" t="str">
        <f t="shared" si="5319"/>
        <v>CA</v>
      </c>
      <c r="F14612" t="str">
        <f t="shared" si="5320"/>
        <v>921555599</v>
      </c>
      <c r="G14612" t="str">
        <f>T("2000 TRIDENT WAY")</f>
        <v>2000 TRIDENT WAY</v>
      </c>
      <c r="H14612" t="str">
        <f>T("BUILDING 624")</f>
        <v>BUILDING 624</v>
      </c>
      <c r="I14612" t="str">
        <f t="shared" si="5321"/>
        <v>SAN DIEGO</v>
      </c>
      <c r="J14612" t="str">
        <f t="shared" si="5322"/>
        <v>CA</v>
      </c>
      <c r="K14612" t="str">
        <f>T("6195371988")</f>
        <v>6195371988</v>
      </c>
      <c r="L14612" t="str">
        <f>T("6194379094")</f>
        <v>6194379094</v>
      </c>
    </row>
    <row r="14613" spans="1:12" x14ac:dyDescent="0.35">
      <c r="A14613" t="str">
        <f t="shared" si="5316"/>
        <v>COMNAVSPECWARCOM</v>
      </c>
      <c r="B14613" t="str">
        <f t="shared" si="5317"/>
        <v>2000 TRIDENT WAY BLDG 624</v>
      </c>
      <c r="C14613" t="str">
        <f t="shared" si="5314"/>
        <v/>
      </c>
      <c r="D14613" t="str">
        <f t="shared" si="5318"/>
        <v>SAN DIEGO</v>
      </c>
      <c r="E14613" t="str">
        <f t="shared" si="5319"/>
        <v>CA</v>
      </c>
      <c r="F14613" t="str">
        <f t="shared" si="5320"/>
        <v>921555599</v>
      </c>
      <c r="G14613" t="str">
        <f>T("2000 TRIDENT WAY BLDG 624")</f>
        <v>2000 TRIDENT WAY BLDG 624</v>
      </c>
      <c r="H14613" t="str">
        <f>T("")</f>
        <v/>
      </c>
      <c r="I14613" t="str">
        <f t="shared" si="5321"/>
        <v>SAN DIEGO</v>
      </c>
      <c r="J14613" t="str">
        <f t="shared" si="5322"/>
        <v>CA</v>
      </c>
      <c r="K14613" t="str">
        <f>T("000000000000000000")</f>
        <v>000000000000000000</v>
      </c>
      <c r="L14613" t="str">
        <f>T("6194375657")</f>
        <v>6194375657</v>
      </c>
    </row>
    <row r="14614" spans="1:12" x14ac:dyDescent="0.35">
      <c r="A14614" t="str">
        <f t="shared" si="5316"/>
        <v>COMNAVSPECWARCOM</v>
      </c>
      <c r="B14614" t="str">
        <f t="shared" si="5317"/>
        <v>2000 TRIDENT WAY BLDG 624</v>
      </c>
      <c r="C14614" t="str">
        <f t="shared" si="5314"/>
        <v/>
      </c>
      <c r="D14614" t="str">
        <f t="shared" si="5318"/>
        <v>SAN DIEGO</v>
      </c>
      <c r="E14614" t="str">
        <f t="shared" si="5319"/>
        <v>CA</v>
      </c>
      <c r="F14614" t="str">
        <f t="shared" si="5320"/>
        <v>921555599</v>
      </c>
      <c r="G14614" t="str">
        <f>T("2000 TRIDENT WAY BLDG 624")</f>
        <v>2000 TRIDENT WAY BLDG 624</v>
      </c>
      <c r="H14614" t="str">
        <f>T("")</f>
        <v/>
      </c>
      <c r="I14614" t="str">
        <f t="shared" si="5321"/>
        <v>SAN DIEGO</v>
      </c>
      <c r="J14614" t="str">
        <f t="shared" si="5322"/>
        <v>CA</v>
      </c>
      <c r="K14614" t="str">
        <f>T("6195371988")</f>
        <v>6195371988</v>
      </c>
      <c r="L14614" t="str">
        <f>T("6195371352")</f>
        <v>6195371352</v>
      </c>
    </row>
    <row r="14615" spans="1:12" x14ac:dyDescent="0.35">
      <c r="A14615" t="str">
        <f t="shared" si="5316"/>
        <v>COMNAVSPECWARCOM</v>
      </c>
      <c r="B14615" t="str">
        <f>T("2546 TRIDENT WAY")</f>
        <v>2546 TRIDENT WAY</v>
      </c>
      <c r="C14615" t="str">
        <f>T("BLDG 633")</f>
        <v>BLDG 633</v>
      </c>
      <c r="D14615" t="str">
        <f t="shared" si="5318"/>
        <v>SAN DIEGO</v>
      </c>
      <c r="E14615" t="str">
        <f t="shared" si="5319"/>
        <v>CA</v>
      </c>
      <c r="F14615" t="str">
        <f>T("921555493")</f>
        <v>921555493</v>
      </c>
      <c r="G14615" t="str">
        <f>T("2546 TRIDENT WAY")</f>
        <v>2546 TRIDENT WAY</v>
      </c>
      <c r="H14615" t="str">
        <f>T("BLDG 633")</f>
        <v>BLDG 633</v>
      </c>
      <c r="I14615" t="str">
        <f>T("CORONADO")</f>
        <v>CORONADO</v>
      </c>
      <c r="J14615" t="str">
        <f t="shared" si="5322"/>
        <v>CA</v>
      </c>
      <c r="K14615" t="str">
        <f>T("000000000000000000")</f>
        <v>000000000000000000</v>
      </c>
      <c r="L14615" t="str">
        <f>T("6195372831")</f>
        <v>6195372831</v>
      </c>
    </row>
    <row r="14616" spans="1:12" x14ac:dyDescent="0.35">
      <c r="A14616" t="str">
        <f t="shared" si="5316"/>
        <v>COMNAVSPECWARCOM</v>
      </c>
      <c r="B14616" t="str">
        <f>T("2546 TRIDENT WAY")</f>
        <v>2546 TRIDENT WAY</v>
      </c>
      <c r="C14616" t="str">
        <f>T("BLDG 633")</f>
        <v>BLDG 633</v>
      </c>
      <c r="D14616" t="str">
        <f t="shared" si="5318"/>
        <v>SAN DIEGO</v>
      </c>
      <c r="E14616" t="str">
        <f t="shared" si="5319"/>
        <v>CA</v>
      </c>
      <c r="F14616" t="str">
        <f>T("921555493")</f>
        <v>921555493</v>
      </c>
      <c r="G14616" t="str">
        <f>T("2546 TRIDENT WAY")</f>
        <v>2546 TRIDENT WAY</v>
      </c>
      <c r="H14616" t="str">
        <f>T("BLDG 633")</f>
        <v>BLDG 633</v>
      </c>
      <c r="I14616" t="str">
        <f>T("SAN DIEGO")</f>
        <v>SAN DIEGO</v>
      </c>
      <c r="J14616" t="str">
        <f t="shared" si="5322"/>
        <v>CA</v>
      </c>
      <c r="K14616" t="str">
        <f>T("000000000000000000")</f>
        <v>000000000000000000</v>
      </c>
      <c r="L14616" t="str">
        <f>T("6195372817")</f>
        <v>6195372817</v>
      </c>
    </row>
    <row r="14617" spans="1:12" x14ac:dyDescent="0.35">
      <c r="A14617" t="str">
        <f t="shared" si="5316"/>
        <v>COMNAVSPECWARCOM</v>
      </c>
      <c r="B14617" t="str">
        <f>T("2546 TRIDENT WAY")</f>
        <v>2546 TRIDENT WAY</v>
      </c>
      <c r="C14617" t="str">
        <f>T("BLDG 633")</f>
        <v>BLDG 633</v>
      </c>
      <c r="D14617" t="str">
        <f t="shared" si="5318"/>
        <v>SAN DIEGO</v>
      </c>
      <c r="E14617" t="str">
        <f t="shared" si="5319"/>
        <v>CA</v>
      </c>
      <c r="F14617" t="str">
        <f>T("921555493")</f>
        <v>921555493</v>
      </c>
      <c r="G14617" t="str">
        <f>T("2546 TRIDENT WAY")</f>
        <v>2546 TRIDENT WAY</v>
      </c>
      <c r="H14617" t="str">
        <f>T("BLDG 633")</f>
        <v>BLDG 633</v>
      </c>
      <c r="I14617" t="str">
        <f>T("SAN DIEGO")</f>
        <v>SAN DIEGO</v>
      </c>
      <c r="J14617" t="str">
        <f t="shared" si="5322"/>
        <v>CA</v>
      </c>
      <c r="K14617" t="str">
        <f>T("000000000000000000")</f>
        <v>000000000000000000</v>
      </c>
      <c r="L14617" t="str">
        <f>T("6195372834")</f>
        <v>6195372834</v>
      </c>
    </row>
    <row r="14618" spans="1:12" x14ac:dyDescent="0.35">
      <c r="A14618" t="str">
        <f t="shared" si="5316"/>
        <v>COMNAVSPECWARCOM</v>
      </c>
      <c r="B14618" t="str">
        <f>T("3322 GUADALCANAL RD")</f>
        <v>3322 GUADALCANAL RD</v>
      </c>
      <c r="C14618" t="str">
        <f>T("BLDG 309")</f>
        <v>BLDG 309</v>
      </c>
      <c r="D14618" t="str">
        <f t="shared" si="5318"/>
        <v>SAN DIEGO</v>
      </c>
      <c r="E14618" t="str">
        <f t="shared" si="5319"/>
        <v>CA</v>
      </c>
      <c r="F14618" t="str">
        <f>T("921555094")</f>
        <v>921555094</v>
      </c>
      <c r="G14618" t="str">
        <f>T("3322 GUADALCANAL RD")</f>
        <v>3322 GUADALCANAL RD</v>
      </c>
      <c r="H14618" t="str">
        <f>T("BLDG 309")</f>
        <v>BLDG 309</v>
      </c>
      <c r="I14618" t="str">
        <f>T("SAN DIEGO")</f>
        <v>SAN DIEGO</v>
      </c>
      <c r="J14618" t="str">
        <f t="shared" si="5322"/>
        <v>CA</v>
      </c>
      <c r="K14618" t="str">
        <f>T("000000000000000000")</f>
        <v>000000000000000000</v>
      </c>
      <c r="L14618" t="str">
        <f>T("6195371247")</f>
        <v>6195371247</v>
      </c>
    </row>
    <row r="14619" spans="1:12" x14ac:dyDescent="0.35">
      <c r="A14619" t="str">
        <f t="shared" si="5316"/>
        <v>COMNAVSPECWARCOM</v>
      </c>
      <c r="B14619" t="str">
        <f>T("3322 GUADALCANAL RD")</f>
        <v>3322 GUADALCANAL RD</v>
      </c>
      <c r="C14619" t="str">
        <f>T("BLDG 309")</f>
        <v>BLDG 309</v>
      </c>
      <c r="D14619" t="str">
        <f t="shared" si="5318"/>
        <v>SAN DIEGO</v>
      </c>
      <c r="E14619" t="str">
        <f t="shared" si="5319"/>
        <v>CA</v>
      </c>
      <c r="F14619" t="str">
        <f>T("921555094")</f>
        <v>921555094</v>
      </c>
      <c r="G14619" t="str">
        <f>T("3322 GUADALCANAL RD")</f>
        <v>3322 GUADALCANAL RD</v>
      </c>
      <c r="H14619" t="str">
        <f>T("BLDG 309")</f>
        <v>BLDG 309</v>
      </c>
      <c r="I14619" t="str">
        <f>T("SAN DIEGO")</f>
        <v>SAN DIEGO</v>
      </c>
      <c r="J14619" t="str">
        <f t="shared" si="5322"/>
        <v>CA</v>
      </c>
      <c r="K14619" t="str">
        <f>T("6195223216")</f>
        <v>6195223216</v>
      </c>
      <c r="L14619" t="str">
        <f>T("6195371247")</f>
        <v>6195371247</v>
      </c>
    </row>
    <row r="14620" spans="1:12" x14ac:dyDescent="0.35">
      <c r="A14620" t="str">
        <f t="shared" si="5316"/>
        <v>COMNAVSPECWARCOM</v>
      </c>
      <c r="B14620" t="str">
        <f>T("895 OCEANIC ROAD")</f>
        <v>895 OCEANIC ROAD</v>
      </c>
      <c r="C14620" t="str">
        <f>T("")</f>
        <v/>
      </c>
      <c r="D14620" t="str">
        <f>T("ANNAPOLIS")</f>
        <v>ANNAPOLIS</v>
      </c>
      <c r="E14620" t="str">
        <f>T("MD")</f>
        <v>MD</v>
      </c>
      <c r="F14620" t="str">
        <f>T("214096107")</f>
        <v>214096107</v>
      </c>
      <c r="G14620" t="str">
        <f>T("895 OCEANIC ROAD")</f>
        <v>895 OCEANIC ROAD</v>
      </c>
      <c r="H14620" t="str">
        <f>T("")</f>
        <v/>
      </c>
      <c r="I14620" t="str">
        <f>T("ANNAPOLIS")</f>
        <v>ANNAPOLIS</v>
      </c>
      <c r="J14620" t="str">
        <f>T("MD")</f>
        <v>MD</v>
      </c>
      <c r="K14620" t="str">
        <f>T("4102605168")</f>
        <v>4102605168</v>
      </c>
      <c r="L14620" t="str">
        <f>T("4438221818")</f>
        <v>4438221818</v>
      </c>
    </row>
    <row r="14621" spans="1:12" x14ac:dyDescent="0.35">
      <c r="A14621" t="str">
        <f t="shared" si="5316"/>
        <v>COMNAVSPECWARCOM</v>
      </c>
      <c r="B14621" t="str">
        <f>T("895 OCEANIC ROAD")</f>
        <v>895 OCEANIC ROAD</v>
      </c>
      <c r="C14621" t="str">
        <f>T("")</f>
        <v/>
      </c>
      <c r="D14621" t="str">
        <f>T("ANNAPOLIS")</f>
        <v>ANNAPOLIS</v>
      </c>
      <c r="E14621" t="str">
        <f>T("MD")</f>
        <v>MD</v>
      </c>
      <c r="F14621" t="str">
        <f>T("214096107")</f>
        <v>214096107</v>
      </c>
      <c r="G14621" t="str">
        <f>T("NSWG3 DCS UET DET LC")</f>
        <v>NSWG3 DCS UET DET LC</v>
      </c>
      <c r="H14621" t="str">
        <f>T("1875 INTERCOVE RD")</f>
        <v>1875 INTERCOVE RD</v>
      </c>
      <c r="I14621" t="str">
        <f>T("VIRGINIA BEACH")</f>
        <v>VIRGINIA BEACH</v>
      </c>
      <c r="J14621" t="str">
        <f t="shared" ref="J14621:J14652" si="5323">T("VA")</f>
        <v>VA</v>
      </c>
      <c r="K14621" t="str">
        <f>T("7574921743")</f>
        <v>7574921743</v>
      </c>
      <c r="L14621" t="str">
        <f>T("7577632064")</f>
        <v>7577632064</v>
      </c>
    </row>
    <row r="14622" spans="1:12" x14ac:dyDescent="0.35">
      <c r="A14622" t="str">
        <f t="shared" ref="A14622:A14653" si="5324">T("NSWG-2")</f>
        <v>NSWG-2</v>
      </c>
      <c r="B14622" t="str">
        <f t="shared" ref="B14622:B14627" si="5325">T("1300 HELCOPTER RD BLDG 3854")</f>
        <v>1300 HELCOPTER RD BLDG 3854</v>
      </c>
      <c r="C14622" t="str">
        <f t="shared" ref="C14622:C14629" si="5326">T("JEB LITTLE CREEK-FT STORY")</f>
        <v>JEB LITTLE CREEK-FT STORY</v>
      </c>
      <c r="D14622" t="str">
        <f t="shared" ref="D14622:D14635" si="5327">T("VIRGINIA BCH")</f>
        <v>VIRGINIA BCH</v>
      </c>
      <c r="E14622" t="str">
        <f t="shared" ref="E14622:E14653" si="5328">T("VA")</f>
        <v>VA</v>
      </c>
      <c r="F14622" t="str">
        <f t="shared" ref="F14622:F14653" si="5329">T("234598913")</f>
        <v>234598913</v>
      </c>
      <c r="G14622" t="str">
        <f>T("1300 HELCOPTER RD BLDG 3854")</f>
        <v>1300 HELCOPTER RD BLDG 3854</v>
      </c>
      <c r="H14622" t="str">
        <f>T("JEB LITTLE CREEK-FT STORY")</f>
        <v>JEB LITTLE CREEK-FT STORY</v>
      </c>
      <c r="I14622" t="str">
        <f>T("VIRGINIA BCH")</f>
        <v>VIRGINIA BCH</v>
      </c>
      <c r="J14622" t="str">
        <f t="shared" si="5323"/>
        <v>VA</v>
      </c>
      <c r="K14622" t="str">
        <f>T("")</f>
        <v/>
      </c>
      <c r="L14622" t="str">
        <f>T("7577632434")</f>
        <v>7577632434</v>
      </c>
    </row>
    <row r="14623" spans="1:12" x14ac:dyDescent="0.35">
      <c r="A14623" t="str">
        <f t="shared" si="5324"/>
        <v>NSWG-2</v>
      </c>
      <c r="B14623" t="str">
        <f t="shared" si="5325"/>
        <v>1300 HELCOPTER RD BLDG 3854</v>
      </c>
      <c r="C14623" t="str">
        <f t="shared" si="5326"/>
        <v>JEB LITTLE CREEK-FT STORY</v>
      </c>
      <c r="D14623" t="str">
        <f t="shared" si="5327"/>
        <v>VIRGINIA BCH</v>
      </c>
      <c r="E14623" t="str">
        <f t="shared" si="5328"/>
        <v>VA</v>
      </c>
      <c r="F14623" t="str">
        <f t="shared" si="5329"/>
        <v>234598913</v>
      </c>
      <c r="G14623" t="str">
        <f>T("1300 HELICOPTER RD")</f>
        <v>1300 HELICOPTER RD</v>
      </c>
      <c r="H14623" t="str">
        <f>T("BLDG 3854")</f>
        <v>BLDG 3854</v>
      </c>
      <c r="I14623" t="str">
        <f>T("VIRGINIA BEACH")</f>
        <v>VIRGINIA BEACH</v>
      </c>
      <c r="J14623" t="str">
        <f t="shared" si="5323"/>
        <v>VA</v>
      </c>
      <c r="K14623" t="str">
        <f>T("000000000000000000")</f>
        <v>000000000000000000</v>
      </c>
      <c r="L14623" t="str">
        <f>T("7577632438")</f>
        <v>7577632438</v>
      </c>
    </row>
    <row r="14624" spans="1:12" x14ac:dyDescent="0.35">
      <c r="A14624" t="str">
        <f t="shared" si="5324"/>
        <v>NSWG-2</v>
      </c>
      <c r="B14624" t="str">
        <f t="shared" si="5325"/>
        <v>1300 HELCOPTER RD BLDG 3854</v>
      </c>
      <c r="C14624" t="str">
        <f t="shared" si="5326"/>
        <v>JEB LITTLE CREEK-FT STORY</v>
      </c>
      <c r="D14624" t="str">
        <f t="shared" si="5327"/>
        <v>VIRGINIA BCH</v>
      </c>
      <c r="E14624" t="str">
        <f t="shared" si="5328"/>
        <v>VA</v>
      </c>
      <c r="F14624" t="str">
        <f t="shared" si="5329"/>
        <v>234598913</v>
      </c>
      <c r="G14624" t="str">
        <f>T("1300 HELICOPTER ROAD")</f>
        <v>1300 HELICOPTER ROAD</v>
      </c>
      <c r="H14624" t="str">
        <f>T("BLDG 3854")</f>
        <v>BLDG 3854</v>
      </c>
      <c r="I14624" t="str">
        <f>T("VA BEACH")</f>
        <v>VA BEACH</v>
      </c>
      <c r="J14624" t="str">
        <f t="shared" si="5323"/>
        <v>VA</v>
      </c>
      <c r="K14624" t="str">
        <f>T("000000000000000000")</f>
        <v>000000000000000000</v>
      </c>
      <c r="L14624" t="str">
        <f>T("7577633356")</f>
        <v>7577633356</v>
      </c>
    </row>
    <row r="14625" spans="1:12" x14ac:dyDescent="0.35">
      <c r="A14625" t="str">
        <f t="shared" si="5324"/>
        <v>NSWG-2</v>
      </c>
      <c r="B14625" t="str">
        <f t="shared" si="5325"/>
        <v>1300 HELCOPTER RD BLDG 3854</v>
      </c>
      <c r="C14625" t="str">
        <f t="shared" si="5326"/>
        <v>JEB LITTLE CREEK-FT STORY</v>
      </c>
      <c r="D14625" t="str">
        <f t="shared" si="5327"/>
        <v>VIRGINIA BCH</v>
      </c>
      <c r="E14625" t="str">
        <f t="shared" si="5328"/>
        <v>VA</v>
      </c>
      <c r="F14625" t="str">
        <f t="shared" si="5329"/>
        <v>234598913</v>
      </c>
      <c r="G14625" t="str">
        <f>T("1300 HELICOPTER ROAD")</f>
        <v>1300 HELICOPTER ROAD</v>
      </c>
      <c r="H14625" t="str">
        <f>T("BLDG 3854")</f>
        <v>BLDG 3854</v>
      </c>
      <c r="I14625" t="str">
        <f>T("VIRGINIA BEACH")</f>
        <v>VIRGINIA BEACH</v>
      </c>
      <c r="J14625" t="str">
        <f t="shared" si="5323"/>
        <v>VA</v>
      </c>
      <c r="K14625" t="str">
        <f>T("000000000000000000")</f>
        <v>000000000000000000</v>
      </c>
      <c r="L14625" t="str">
        <f>T("7577632438")</f>
        <v>7577632438</v>
      </c>
    </row>
    <row r="14626" spans="1:12" x14ac:dyDescent="0.35">
      <c r="A14626" t="str">
        <f t="shared" si="5324"/>
        <v>NSWG-2</v>
      </c>
      <c r="B14626" t="str">
        <f t="shared" si="5325"/>
        <v>1300 HELCOPTER RD BLDG 3854</v>
      </c>
      <c r="C14626" t="str">
        <f t="shared" si="5326"/>
        <v>JEB LITTLE CREEK-FT STORY</v>
      </c>
      <c r="D14626" t="str">
        <f t="shared" si="5327"/>
        <v>VIRGINIA BCH</v>
      </c>
      <c r="E14626" t="str">
        <f t="shared" si="5328"/>
        <v>VA</v>
      </c>
      <c r="F14626" t="str">
        <f t="shared" si="5329"/>
        <v>234598913</v>
      </c>
      <c r="G14626" t="str">
        <f>T("1300 HELICOPTER ROAD")</f>
        <v>1300 HELICOPTER ROAD</v>
      </c>
      <c r="H14626" t="str">
        <f>T("BLDG 3854")</f>
        <v>BLDG 3854</v>
      </c>
      <c r="I14626" t="str">
        <f>T("VIRGINIA BEACH")</f>
        <v>VIRGINIA BEACH</v>
      </c>
      <c r="J14626" t="str">
        <f t="shared" si="5323"/>
        <v>VA</v>
      </c>
      <c r="K14626" t="str">
        <f>T("000000000000000000")</f>
        <v>000000000000000000</v>
      </c>
      <c r="L14626" t="str">
        <f>T("7577632487")</f>
        <v>7577632487</v>
      </c>
    </row>
    <row r="14627" spans="1:12" x14ac:dyDescent="0.35">
      <c r="A14627" t="str">
        <f t="shared" si="5324"/>
        <v>NSWG-2</v>
      </c>
      <c r="B14627" t="str">
        <f t="shared" si="5325"/>
        <v>1300 HELCOPTER RD BLDG 3854</v>
      </c>
      <c r="C14627" t="str">
        <f t="shared" si="5326"/>
        <v>JEB LITTLE CREEK-FT STORY</v>
      </c>
      <c r="D14627" t="str">
        <f t="shared" si="5327"/>
        <v>VIRGINIA BCH</v>
      </c>
      <c r="E14627" t="str">
        <f t="shared" si="5328"/>
        <v>VA</v>
      </c>
      <c r="F14627" t="str">
        <f t="shared" si="5329"/>
        <v>234598913</v>
      </c>
      <c r="G14627" t="str">
        <f>T("1355 HELICOPTER ROAD")</f>
        <v>1355 HELICOPTER ROAD</v>
      </c>
      <c r="H14627" t="str">
        <f>T("BLDG 3854")</f>
        <v>BLDG 3854</v>
      </c>
      <c r="I14627" t="str">
        <f>T("VIRGINIA BEACH")</f>
        <v>VIRGINIA BEACH</v>
      </c>
      <c r="J14627" t="str">
        <f t="shared" si="5323"/>
        <v>VA</v>
      </c>
      <c r="K14627" t="str">
        <f>T("000000000000000000")</f>
        <v>000000000000000000</v>
      </c>
      <c r="L14627" t="str">
        <f>T("7577632486")</f>
        <v>7577632486</v>
      </c>
    </row>
    <row r="14628" spans="1:12" x14ac:dyDescent="0.35">
      <c r="A14628" t="str">
        <f t="shared" si="5324"/>
        <v>NSWG-2</v>
      </c>
      <c r="B14628" t="str">
        <f>T("1300 HELICOPTER BLDG 3854")</f>
        <v>1300 HELICOPTER BLDG 3854</v>
      </c>
      <c r="C14628" t="str">
        <f t="shared" si="5326"/>
        <v>JEB LITTLE CREEK-FT STORY</v>
      </c>
      <c r="D14628" t="str">
        <f t="shared" si="5327"/>
        <v>VIRGINIA BCH</v>
      </c>
      <c r="E14628" t="str">
        <f t="shared" si="5328"/>
        <v>VA</v>
      </c>
      <c r="F14628" t="str">
        <f t="shared" si="5329"/>
        <v>234598913</v>
      </c>
      <c r="G14628" t="str">
        <f>T("1300 HELICOPTER BLDG 3854")</f>
        <v>1300 HELICOPTER BLDG 3854</v>
      </c>
      <c r="H14628" t="str">
        <f>T("JEB LITTLE CREEK-FT STORY")</f>
        <v>JEB LITTLE CREEK-FT STORY</v>
      </c>
      <c r="I14628" t="str">
        <f>T("VIRGINIA BCH")</f>
        <v>VIRGINIA BCH</v>
      </c>
      <c r="J14628" t="str">
        <f t="shared" si="5323"/>
        <v>VA</v>
      </c>
      <c r="K14628" t="str">
        <f>T("")</f>
        <v/>
      </c>
      <c r="L14628" t="str">
        <f>T("7577632182")</f>
        <v>7577632182</v>
      </c>
    </row>
    <row r="14629" spans="1:12" x14ac:dyDescent="0.35">
      <c r="A14629" t="str">
        <f t="shared" si="5324"/>
        <v>NSWG-2</v>
      </c>
      <c r="B14629" t="str">
        <f>T("1300 HELICOPTER BLDG 3854")</f>
        <v>1300 HELICOPTER BLDG 3854</v>
      </c>
      <c r="C14629" t="str">
        <f t="shared" si="5326"/>
        <v>JEB LITTLE CREEK-FT STORY</v>
      </c>
      <c r="D14629" t="str">
        <f t="shared" si="5327"/>
        <v>VIRGINIA BCH</v>
      </c>
      <c r="E14629" t="str">
        <f t="shared" si="5328"/>
        <v>VA</v>
      </c>
      <c r="F14629" t="str">
        <f t="shared" si="5329"/>
        <v>234598913</v>
      </c>
      <c r="G14629" t="str">
        <f>T("1300 HELICOPTER RD BLDG 3854")</f>
        <v>1300 HELICOPTER RD BLDG 3854</v>
      </c>
      <c r="H14629" t="str">
        <f>T("NAB LITTLE CREEK")</f>
        <v>NAB LITTLE CREEK</v>
      </c>
      <c r="I14629" t="str">
        <f>T("NORFOLK")</f>
        <v>NORFOLK</v>
      </c>
      <c r="J14629" t="str">
        <f t="shared" si="5323"/>
        <v>VA</v>
      </c>
      <c r="K14629" t="str">
        <f>T("000000000000000000")</f>
        <v>000000000000000000</v>
      </c>
      <c r="L14629" t="str">
        <f>T("7577633237")</f>
        <v>7577633237</v>
      </c>
    </row>
    <row r="14630" spans="1:12" x14ac:dyDescent="0.35">
      <c r="A14630" t="str">
        <f t="shared" si="5324"/>
        <v>NSWG-2</v>
      </c>
      <c r="B14630" t="str">
        <f t="shared" ref="B14630:B14636" si="5330">T("1300 HELICOPTER RD")</f>
        <v>1300 HELICOPTER RD</v>
      </c>
      <c r="C14630" t="str">
        <f t="shared" ref="C14630:C14636" si="5331">T("BLDG 3854")</f>
        <v>BLDG 3854</v>
      </c>
      <c r="D14630" t="str">
        <f t="shared" si="5327"/>
        <v>VIRGINIA BCH</v>
      </c>
      <c r="E14630" t="str">
        <f t="shared" si="5328"/>
        <v>VA</v>
      </c>
      <c r="F14630" t="str">
        <f t="shared" si="5329"/>
        <v>234598913</v>
      </c>
      <c r="G14630" t="str">
        <f>T("1300 HELICOPTER RD")</f>
        <v>1300 HELICOPTER RD</v>
      </c>
      <c r="H14630" t="str">
        <f t="shared" ref="H14630:H14639" si="5332">T("BLDG 3854")</f>
        <v>BLDG 3854</v>
      </c>
      <c r="I14630" t="str">
        <f>T("VIRGINIA BCH")</f>
        <v>VIRGINIA BCH</v>
      </c>
      <c r="J14630" t="str">
        <f t="shared" si="5323"/>
        <v>VA</v>
      </c>
      <c r="K14630" t="str">
        <f>T("")</f>
        <v/>
      </c>
      <c r="L14630" t="str">
        <f>T("7577632576")</f>
        <v>7577632576</v>
      </c>
    </row>
    <row r="14631" spans="1:12" x14ac:dyDescent="0.35">
      <c r="A14631" t="str">
        <f t="shared" si="5324"/>
        <v>NSWG-2</v>
      </c>
      <c r="B14631" t="str">
        <f t="shared" si="5330"/>
        <v>1300 HELICOPTER RD</v>
      </c>
      <c r="C14631" t="str">
        <f t="shared" si="5331"/>
        <v>BLDG 3854</v>
      </c>
      <c r="D14631" t="str">
        <f t="shared" si="5327"/>
        <v>VIRGINIA BCH</v>
      </c>
      <c r="E14631" t="str">
        <f t="shared" si="5328"/>
        <v>VA</v>
      </c>
      <c r="F14631" t="str">
        <f t="shared" si="5329"/>
        <v>234598913</v>
      </c>
      <c r="G14631" t="str">
        <f>T("1300 HELICOPTER RD")</f>
        <v>1300 HELICOPTER RD</v>
      </c>
      <c r="H14631" t="str">
        <f t="shared" si="5332"/>
        <v>BLDG 3854</v>
      </c>
      <c r="I14631" t="str">
        <f>T("VIRGINIA BCH")</f>
        <v>VIRGINIA BCH</v>
      </c>
      <c r="J14631" t="str">
        <f t="shared" si="5323"/>
        <v>VA</v>
      </c>
      <c r="K14631" t="str">
        <f>T("")</f>
        <v/>
      </c>
      <c r="L14631" t="str">
        <f>T("7577632796")</f>
        <v>7577632796</v>
      </c>
    </row>
    <row r="14632" spans="1:12" x14ac:dyDescent="0.35">
      <c r="A14632" t="str">
        <f t="shared" si="5324"/>
        <v>NSWG-2</v>
      </c>
      <c r="B14632" t="str">
        <f t="shared" si="5330"/>
        <v>1300 HELICOPTER RD</v>
      </c>
      <c r="C14632" t="str">
        <f t="shared" si="5331"/>
        <v>BLDG 3854</v>
      </c>
      <c r="D14632" t="str">
        <f t="shared" si="5327"/>
        <v>VIRGINIA BCH</v>
      </c>
      <c r="E14632" t="str">
        <f t="shared" si="5328"/>
        <v>VA</v>
      </c>
      <c r="F14632" t="str">
        <f t="shared" si="5329"/>
        <v>234598913</v>
      </c>
      <c r="G14632" t="str">
        <f>T("1300 HELICOPTER RD")</f>
        <v>1300 HELICOPTER RD</v>
      </c>
      <c r="H14632" t="str">
        <f t="shared" si="5332"/>
        <v>BLDG 3854</v>
      </c>
      <c r="I14632" t="str">
        <f>T("VIRGINIA BEACH")</f>
        <v>VIRGINIA BEACH</v>
      </c>
      <c r="J14632" t="str">
        <f t="shared" si="5323"/>
        <v>VA</v>
      </c>
      <c r="K14632" t="str">
        <f>T("000000000000000000")</f>
        <v>000000000000000000</v>
      </c>
      <c r="L14632" t="str">
        <f>T("7577632580")</f>
        <v>7577632580</v>
      </c>
    </row>
    <row r="14633" spans="1:12" x14ac:dyDescent="0.35">
      <c r="A14633" t="str">
        <f t="shared" si="5324"/>
        <v>NSWG-2</v>
      </c>
      <c r="B14633" t="str">
        <f t="shared" si="5330"/>
        <v>1300 HELICOPTER RD</v>
      </c>
      <c r="C14633" t="str">
        <f t="shared" si="5331"/>
        <v>BLDG 3854</v>
      </c>
      <c r="D14633" t="str">
        <f t="shared" si="5327"/>
        <v>VIRGINIA BCH</v>
      </c>
      <c r="E14633" t="str">
        <f t="shared" si="5328"/>
        <v>VA</v>
      </c>
      <c r="F14633" t="str">
        <f t="shared" si="5329"/>
        <v>234598913</v>
      </c>
      <c r="G14633" t="str">
        <f>T("1300 HELICOPTER RD")</f>
        <v>1300 HELICOPTER RD</v>
      </c>
      <c r="H14633" t="str">
        <f t="shared" si="5332"/>
        <v>BLDG 3854</v>
      </c>
      <c r="I14633" t="str">
        <f>T("VIRGINIA BEACH")</f>
        <v>VIRGINIA BEACH</v>
      </c>
      <c r="J14633" t="str">
        <f t="shared" si="5323"/>
        <v>VA</v>
      </c>
      <c r="K14633" t="str">
        <f>T("000000000000000000")</f>
        <v>000000000000000000</v>
      </c>
      <c r="L14633" t="str">
        <f>T("7577633466")</f>
        <v>7577633466</v>
      </c>
    </row>
    <row r="14634" spans="1:12" x14ac:dyDescent="0.35">
      <c r="A14634" t="str">
        <f t="shared" si="5324"/>
        <v>NSWG-2</v>
      </c>
      <c r="B14634" t="str">
        <f t="shared" si="5330"/>
        <v>1300 HELICOPTER RD</v>
      </c>
      <c r="C14634" t="str">
        <f t="shared" si="5331"/>
        <v>BLDG 3854</v>
      </c>
      <c r="D14634" t="str">
        <f t="shared" si="5327"/>
        <v>VIRGINIA BCH</v>
      </c>
      <c r="E14634" t="str">
        <f t="shared" si="5328"/>
        <v>VA</v>
      </c>
      <c r="F14634" t="str">
        <f t="shared" si="5329"/>
        <v>234598913</v>
      </c>
      <c r="G14634" t="str">
        <f>T("1300 HELICOPTER RD")</f>
        <v>1300 HELICOPTER RD</v>
      </c>
      <c r="H14634" t="str">
        <f t="shared" si="5332"/>
        <v>BLDG 3854</v>
      </c>
      <c r="I14634" t="str">
        <f>T("VIRGINIA BEACH")</f>
        <v>VIRGINIA BEACH</v>
      </c>
      <c r="J14634" t="str">
        <f t="shared" si="5323"/>
        <v>VA</v>
      </c>
      <c r="K14634" t="str">
        <f>T("000000000000000000")</f>
        <v>000000000000000000</v>
      </c>
      <c r="L14634" t="str">
        <f>T("7577633958")</f>
        <v>7577633958</v>
      </c>
    </row>
    <row r="14635" spans="1:12" x14ac:dyDescent="0.35">
      <c r="A14635" t="str">
        <f t="shared" si="5324"/>
        <v>NSWG-2</v>
      </c>
      <c r="B14635" t="str">
        <f t="shared" si="5330"/>
        <v>1300 HELICOPTER RD</v>
      </c>
      <c r="C14635" t="str">
        <f t="shared" si="5331"/>
        <v>BLDG 3854</v>
      </c>
      <c r="D14635" t="str">
        <f t="shared" si="5327"/>
        <v>VIRGINIA BCH</v>
      </c>
      <c r="E14635" t="str">
        <f t="shared" si="5328"/>
        <v>VA</v>
      </c>
      <c r="F14635" t="str">
        <f t="shared" si="5329"/>
        <v>234598913</v>
      </c>
      <c r="G14635" t="str">
        <f>T("1300 HELICOPTER ROAD")</f>
        <v>1300 HELICOPTER ROAD</v>
      </c>
      <c r="H14635" t="str">
        <f t="shared" si="5332"/>
        <v>BLDG 3854</v>
      </c>
      <c r="I14635" t="str">
        <f>T("VIRGINIA BEACH")</f>
        <v>VIRGINIA BEACH</v>
      </c>
      <c r="J14635" t="str">
        <f t="shared" si="5323"/>
        <v>VA</v>
      </c>
      <c r="K14635" t="str">
        <f>T("000000000000000000")</f>
        <v>000000000000000000</v>
      </c>
      <c r="L14635" t="str">
        <f>T("7577632776")</f>
        <v>7577632776</v>
      </c>
    </row>
    <row r="14636" spans="1:12" x14ac:dyDescent="0.35">
      <c r="A14636" t="str">
        <f t="shared" si="5324"/>
        <v>NSWG-2</v>
      </c>
      <c r="B14636" t="str">
        <f t="shared" si="5330"/>
        <v>1300 HELICOPTER RD</v>
      </c>
      <c r="C14636" t="str">
        <f t="shared" si="5331"/>
        <v>BLDG 3854</v>
      </c>
      <c r="D14636" t="str">
        <f>T("VIRGINIA BEACH")</f>
        <v>VIRGINIA BEACH</v>
      </c>
      <c r="E14636" t="str">
        <f t="shared" si="5328"/>
        <v>VA</v>
      </c>
      <c r="F14636" t="str">
        <f t="shared" si="5329"/>
        <v>234598913</v>
      </c>
      <c r="G14636" t="str">
        <f>T("1300 HELICOPTER RD")</f>
        <v>1300 HELICOPTER RD</v>
      </c>
      <c r="H14636" t="str">
        <f t="shared" si="5332"/>
        <v>BLDG 3854</v>
      </c>
      <c r="I14636" t="str">
        <f>T("VIRGINIA BEACH")</f>
        <v>VIRGINIA BEACH</v>
      </c>
      <c r="J14636" t="str">
        <f t="shared" si="5323"/>
        <v>VA</v>
      </c>
      <c r="K14636" t="str">
        <f>T("")</f>
        <v/>
      </c>
      <c r="L14636" t="str">
        <f>T("7577632711")</f>
        <v>7577632711</v>
      </c>
    </row>
    <row r="14637" spans="1:12" x14ac:dyDescent="0.35">
      <c r="A14637" t="str">
        <f t="shared" si="5324"/>
        <v>NSWG-2</v>
      </c>
      <c r="B14637" t="str">
        <f t="shared" ref="B14637:B14670" si="5333">T("1300 HELICOPTER RD BLDG 3854")</f>
        <v>1300 HELICOPTER RD BLDG 3854</v>
      </c>
      <c r="C14637" t="str">
        <f t="shared" ref="C14637:C14655" si="5334">T("JEB LITTLE CREEK")</f>
        <v>JEB LITTLE CREEK</v>
      </c>
      <c r="D14637" t="str">
        <f t="shared" ref="D14637:D14674" si="5335">T("VIRGINIA BCH")</f>
        <v>VIRGINIA BCH</v>
      </c>
      <c r="E14637" t="str">
        <f t="shared" si="5328"/>
        <v>VA</v>
      </c>
      <c r="F14637" t="str">
        <f t="shared" si="5329"/>
        <v>234598913</v>
      </c>
      <c r="G14637" t="str">
        <f>T("1300 HELICOPTER RD")</f>
        <v>1300 HELICOPTER RD</v>
      </c>
      <c r="H14637" t="str">
        <f t="shared" si="5332"/>
        <v>BLDG 3854</v>
      </c>
      <c r="I14637" t="str">
        <f>T("VA BEACH")</f>
        <v>VA BEACH</v>
      </c>
      <c r="J14637" t="str">
        <f t="shared" si="5323"/>
        <v>VA</v>
      </c>
      <c r="K14637" t="str">
        <f>T("000000000000000000")</f>
        <v>000000000000000000</v>
      </c>
      <c r="L14637" t="str">
        <f>T("7577632417")</f>
        <v>7577632417</v>
      </c>
    </row>
    <row r="14638" spans="1:12" x14ac:dyDescent="0.35">
      <c r="A14638" t="str">
        <f t="shared" si="5324"/>
        <v>NSWG-2</v>
      </c>
      <c r="B14638" t="str">
        <f t="shared" si="5333"/>
        <v>1300 HELICOPTER RD BLDG 3854</v>
      </c>
      <c r="C14638" t="str">
        <f t="shared" si="5334"/>
        <v>JEB LITTLE CREEK</v>
      </c>
      <c r="D14638" t="str">
        <f t="shared" si="5335"/>
        <v>VIRGINIA BCH</v>
      </c>
      <c r="E14638" t="str">
        <f t="shared" si="5328"/>
        <v>VA</v>
      </c>
      <c r="F14638" t="str">
        <f t="shared" si="5329"/>
        <v>234598913</v>
      </c>
      <c r="G14638" t="str">
        <f>T("1300 HELICOPTER RD")</f>
        <v>1300 HELICOPTER RD</v>
      </c>
      <c r="H14638" t="str">
        <f t="shared" si="5332"/>
        <v>BLDG 3854</v>
      </c>
      <c r="I14638" t="str">
        <f>T("VIRGINIA BEACH")</f>
        <v>VIRGINIA BEACH</v>
      </c>
      <c r="J14638" t="str">
        <f t="shared" si="5323"/>
        <v>VA</v>
      </c>
      <c r="K14638" t="str">
        <f>T("000000000000000000")</f>
        <v>000000000000000000</v>
      </c>
      <c r="L14638" t="str">
        <f>T("7577632161")</f>
        <v>7577632161</v>
      </c>
    </row>
    <row r="14639" spans="1:12" x14ac:dyDescent="0.35">
      <c r="A14639" t="str">
        <f t="shared" si="5324"/>
        <v>NSWG-2</v>
      </c>
      <c r="B14639" t="str">
        <f t="shared" si="5333"/>
        <v>1300 HELICOPTER RD BLDG 3854</v>
      </c>
      <c r="C14639" t="str">
        <f t="shared" si="5334"/>
        <v>JEB LITTLE CREEK</v>
      </c>
      <c r="D14639" t="str">
        <f t="shared" si="5335"/>
        <v>VIRGINIA BCH</v>
      </c>
      <c r="E14639" t="str">
        <f t="shared" si="5328"/>
        <v>VA</v>
      </c>
      <c r="F14639" t="str">
        <f t="shared" si="5329"/>
        <v>234598913</v>
      </c>
      <c r="G14639" t="str">
        <f>T("1300 HELICOPTER RD")</f>
        <v>1300 HELICOPTER RD</v>
      </c>
      <c r="H14639" t="str">
        <f t="shared" si="5332"/>
        <v>BLDG 3854</v>
      </c>
      <c r="I14639" t="str">
        <f>T("VIRGINIA BEACH")</f>
        <v>VIRGINIA BEACH</v>
      </c>
      <c r="J14639" t="str">
        <f t="shared" si="5323"/>
        <v>VA</v>
      </c>
      <c r="K14639" t="str">
        <f>T("000000000000000000")</f>
        <v>000000000000000000</v>
      </c>
      <c r="L14639" t="str">
        <f>T("7577635190")</f>
        <v>7577635190</v>
      </c>
    </row>
    <row r="14640" spans="1:12" x14ac:dyDescent="0.35">
      <c r="A14640" t="str">
        <f t="shared" si="5324"/>
        <v>NSWG-2</v>
      </c>
      <c r="B14640" t="str">
        <f t="shared" si="5333"/>
        <v>1300 HELICOPTER RD BLDG 3854</v>
      </c>
      <c r="C14640" t="str">
        <f t="shared" si="5334"/>
        <v>JEB LITTLE CREEK</v>
      </c>
      <c r="D14640" t="str">
        <f t="shared" si="5335"/>
        <v>VIRGINIA BCH</v>
      </c>
      <c r="E14640" t="str">
        <f t="shared" si="5328"/>
        <v>VA</v>
      </c>
      <c r="F14640" t="str">
        <f t="shared" si="5329"/>
        <v>234598913</v>
      </c>
      <c r="G14640" t="str">
        <f>T("1300 HELICOPTER RD  BLDG 3854")</f>
        <v>1300 HELICOPTER RD  BLDG 3854</v>
      </c>
      <c r="H14640" t="str">
        <f>T("LITTLE CREEK")</f>
        <v>LITTLE CREEK</v>
      </c>
      <c r="I14640" t="str">
        <f>T("VIRGINIA BEACH")</f>
        <v>VIRGINIA BEACH</v>
      </c>
      <c r="J14640" t="str">
        <f t="shared" si="5323"/>
        <v>VA</v>
      </c>
      <c r="K14640" t="str">
        <f>T("000000000000000000")</f>
        <v>000000000000000000</v>
      </c>
      <c r="L14640" t="str">
        <f>T("7577632437")</f>
        <v>7577632437</v>
      </c>
    </row>
    <row r="14641" spans="1:12" x14ac:dyDescent="0.35">
      <c r="A14641" t="str">
        <f t="shared" si="5324"/>
        <v>NSWG-2</v>
      </c>
      <c r="B14641" t="str">
        <f t="shared" si="5333"/>
        <v>1300 HELICOPTER RD BLDG 3854</v>
      </c>
      <c r="C14641" t="str">
        <f t="shared" si="5334"/>
        <v>JEB LITTLE CREEK</v>
      </c>
      <c r="D14641" t="str">
        <f t="shared" si="5335"/>
        <v>VIRGINIA BCH</v>
      </c>
      <c r="E14641" t="str">
        <f t="shared" si="5328"/>
        <v>VA</v>
      </c>
      <c r="F14641" t="str">
        <f t="shared" si="5329"/>
        <v>234598913</v>
      </c>
      <c r="G14641" t="str">
        <f>T("1300 HELICOPTER RD BLDG 3854")</f>
        <v>1300 HELICOPTER RD BLDG 3854</v>
      </c>
      <c r="H14641" t="str">
        <f>T("JEB LITTLE CREEK")</f>
        <v>JEB LITTLE CREEK</v>
      </c>
      <c r="I14641" t="str">
        <f>T("VIRGINIA BCH")</f>
        <v>VIRGINIA BCH</v>
      </c>
      <c r="J14641" t="str">
        <f t="shared" si="5323"/>
        <v>VA</v>
      </c>
      <c r="K14641" t="str">
        <f>T("")</f>
        <v/>
      </c>
      <c r="L14641" t="str">
        <f>T("7574625154")</f>
        <v>7574625154</v>
      </c>
    </row>
    <row r="14642" spans="1:12" x14ac:dyDescent="0.35">
      <c r="A14642" t="str">
        <f t="shared" si="5324"/>
        <v>NSWG-2</v>
      </c>
      <c r="B14642" t="str">
        <f t="shared" si="5333"/>
        <v>1300 HELICOPTER RD BLDG 3854</v>
      </c>
      <c r="C14642" t="str">
        <f t="shared" si="5334"/>
        <v>JEB LITTLE CREEK</v>
      </c>
      <c r="D14642" t="str">
        <f t="shared" si="5335"/>
        <v>VIRGINIA BCH</v>
      </c>
      <c r="E14642" t="str">
        <f t="shared" si="5328"/>
        <v>VA</v>
      </c>
      <c r="F14642" t="str">
        <f t="shared" si="5329"/>
        <v>234598913</v>
      </c>
      <c r="G14642" t="str">
        <f>T("1300 HELICOPTER RD BLDG 3854")</f>
        <v>1300 HELICOPTER RD BLDG 3854</v>
      </c>
      <c r="H14642" t="str">
        <f>T("JEB LITTLE CREEK")</f>
        <v>JEB LITTLE CREEK</v>
      </c>
      <c r="I14642" t="str">
        <f>T("VIRGINIA BCH")</f>
        <v>VIRGINIA BCH</v>
      </c>
      <c r="J14642" t="str">
        <f t="shared" si="5323"/>
        <v>VA</v>
      </c>
      <c r="K14642" t="str">
        <f>T("")</f>
        <v/>
      </c>
      <c r="L14642" t="str">
        <f>T("7577632408")</f>
        <v>7577632408</v>
      </c>
    </row>
    <row r="14643" spans="1:12" x14ac:dyDescent="0.35">
      <c r="A14643" t="str">
        <f t="shared" si="5324"/>
        <v>NSWG-2</v>
      </c>
      <c r="B14643" t="str">
        <f t="shared" si="5333"/>
        <v>1300 HELICOPTER RD BLDG 3854</v>
      </c>
      <c r="C14643" t="str">
        <f t="shared" si="5334"/>
        <v>JEB LITTLE CREEK</v>
      </c>
      <c r="D14643" t="str">
        <f t="shared" si="5335"/>
        <v>VIRGINIA BCH</v>
      </c>
      <c r="E14643" t="str">
        <f t="shared" si="5328"/>
        <v>VA</v>
      </c>
      <c r="F14643" t="str">
        <f t="shared" si="5329"/>
        <v>234598913</v>
      </c>
      <c r="G14643" t="str">
        <f>T("1300 HELICOPTER RD BLDG 3854")</f>
        <v>1300 HELICOPTER RD BLDG 3854</v>
      </c>
      <c r="H14643" t="str">
        <f>T("JEB LITTLE CREEK")</f>
        <v>JEB LITTLE CREEK</v>
      </c>
      <c r="I14643" t="str">
        <f>T("VIRGINIA BCH")</f>
        <v>VIRGINIA BCH</v>
      </c>
      <c r="J14643" t="str">
        <f t="shared" si="5323"/>
        <v>VA</v>
      </c>
      <c r="K14643" t="str">
        <f>T("")</f>
        <v/>
      </c>
      <c r="L14643" t="str">
        <f>T("7577635120")</f>
        <v>7577635120</v>
      </c>
    </row>
    <row r="14644" spans="1:12" x14ac:dyDescent="0.35">
      <c r="A14644" t="str">
        <f t="shared" si="5324"/>
        <v>NSWG-2</v>
      </c>
      <c r="B14644" t="str">
        <f t="shared" si="5333"/>
        <v>1300 HELICOPTER RD BLDG 3854</v>
      </c>
      <c r="C14644" t="str">
        <f t="shared" si="5334"/>
        <v>JEB LITTLE CREEK</v>
      </c>
      <c r="D14644" t="str">
        <f t="shared" si="5335"/>
        <v>VIRGINIA BCH</v>
      </c>
      <c r="E14644" t="str">
        <f t="shared" si="5328"/>
        <v>VA</v>
      </c>
      <c r="F14644" t="str">
        <f t="shared" si="5329"/>
        <v>234598913</v>
      </c>
      <c r="G14644" t="str">
        <f>T("1300 HELICOPTER RD BLDG 3854")</f>
        <v>1300 HELICOPTER RD BLDG 3854</v>
      </c>
      <c r="H14644" t="str">
        <f>T("JEB LITTLE CREEK")</f>
        <v>JEB LITTLE CREEK</v>
      </c>
      <c r="I14644" t="str">
        <f>T("VIRGINIA BCH")</f>
        <v>VIRGINIA BCH</v>
      </c>
      <c r="J14644" t="str">
        <f t="shared" si="5323"/>
        <v>VA</v>
      </c>
      <c r="K14644" t="str">
        <f>T("")</f>
        <v/>
      </c>
      <c r="L14644" t="str">
        <f>T("7577635171")</f>
        <v>7577635171</v>
      </c>
    </row>
    <row r="14645" spans="1:12" x14ac:dyDescent="0.35">
      <c r="A14645" t="str">
        <f t="shared" si="5324"/>
        <v>NSWG-2</v>
      </c>
      <c r="B14645" t="str">
        <f t="shared" si="5333"/>
        <v>1300 HELICOPTER RD BLDG 3854</v>
      </c>
      <c r="C14645" t="str">
        <f t="shared" si="5334"/>
        <v>JEB LITTLE CREEK</v>
      </c>
      <c r="D14645" t="str">
        <f t="shared" si="5335"/>
        <v>VIRGINIA BCH</v>
      </c>
      <c r="E14645" t="str">
        <f t="shared" si="5328"/>
        <v>VA</v>
      </c>
      <c r="F14645" t="str">
        <f t="shared" si="5329"/>
        <v>234598913</v>
      </c>
      <c r="G14645" t="str">
        <f>T("1300 HELICOPTER RD BLDG 3854")</f>
        <v>1300 HELICOPTER RD BLDG 3854</v>
      </c>
      <c r="H14645" t="str">
        <f>T("JEB LITTLE CREEK")</f>
        <v>JEB LITTLE CREEK</v>
      </c>
      <c r="I14645" t="str">
        <f>T("VIRGINIA BCH")</f>
        <v>VIRGINIA BCH</v>
      </c>
      <c r="J14645" t="str">
        <f t="shared" si="5323"/>
        <v>VA</v>
      </c>
      <c r="K14645" t="str">
        <f>T("7574622434")</f>
        <v>7574622434</v>
      </c>
      <c r="L14645" t="str">
        <f>T("7574621063")</f>
        <v>7574621063</v>
      </c>
    </row>
    <row r="14646" spans="1:12" x14ac:dyDescent="0.35">
      <c r="A14646" t="str">
        <f t="shared" si="5324"/>
        <v>NSWG-2</v>
      </c>
      <c r="B14646" t="str">
        <f t="shared" si="5333"/>
        <v>1300 HELICOPTER RD BLDG 3854</v>
      </c>
      <c r="C14646" t="str">
        <f t="shared" si="5334"/>
        <v>JEB LITTLE CREEK</v>
      </c>
      <c r="D14646" t="str">
        <f t="shared" si="5335"/>
        <v>VIRGINIA BCH</v>
      </c>
      <c r="E14646" t="str">
        <f t="shared" si="5328"/>
        <v>VA</v>
      </c>
      <c r="F14646" t="str">
        <f t="shared" si="5329"/>
        <v>234598913</v>
      </c>
      <c r="G14646" t="str">
        <f t="shared" ref="G14646:G14651" si="5336">T("1300 HELICOPTER ROAD")</f>
        <v>1300 HELICOPTER ROAD</v>
      </c>
      <c r="H14646" t="str">
        <f t="shared" ref="H14646:H14654" si="5337">T("BLDG 3854")</f>
        <v>BLDG 3854</v>
      </c>
      <c r="I14646" t="str">
        <f t="shared" ref="I14646:I14657" si="5338">T("VIRGINIA BEACH")</f>
        <v>VIRGINIA BEACH</v>
      </c>
      <c r="J14646" t="str">
        <f t="shared" si="5323"/>
        <v>VA</v>
      </c>
      <c r="K14646" t="str">
        <f t="shared" ref="K14646:K14657" si="5339">T("000000000000000000")</f>
        <v>000000000000000000</v>
      </c>
      <c r="L14646" t="str">
        <f>T("7577632415")</f>
        <v>7577632415</v>
      </c>
    </row>
    <row r="14647" spans="1:12" x14ac:dyDescent="0.35">
      <c r="A14647" t="str">
        <f t="shared" si="5324"/>
        <v>NSWG-2</v>
      </c>
      <c r="B14647" t="str">
        <f t="shared" si="5333"/>
        <v>1300 HELICOPTER RD BLDG 3854</v>
      </c>
      <c r="C14647" t="str">
        <f t="shared" si="5334"/>
        <v>JEB LITTLE CREEK</v>
      </c>
      <c r="D14647" t="str">
        <f t="shared" si="5335"/>
        <v>VIRGINIA BCH</v>
      </c>
      <c r="E14647" t="str">
        <f t="shared" si="5328"/>
        <v>VA</v>
      </c>
      <c r="F14647" t="str">
        <f t="shared" si="5329"/>
        <v>234598913</v>
      </c>
      <c r="G14647" t="str">
        <f t="shared" si="5336"/>
        <v>1300 HELICOPTER ROAD</v>
      </c>
      <c r="H14647" t="str">
        <f t="shared" si="5337"/>
        <v>BLDG 3854</v>
      </c>
      <c r="I14647" t="str">
        <f t="shared" si="5338"/>
        <v>VIRGINIA BEACH</v>
      </c>
      <c r="J14647" t="str">
        <f t="shared" si="5323"/>
        <v>VA</v>
      </c>
      <c r="K14647" t="str">
        <f t="shared" si="5339"/>
        <v>000000000000000000</v>
      </c>
      <c r="L14647" t="str">
        <f>T("7577632417")</f>
        <v>7577632417</v>
      </c>
    </row>
    <row r="14648" spans="1:12" x14ac:dyDescent="0.35">
      <c r="A14648" t="str">
        <f t="shared" si="5324"/>
        <v>NSWG-2</v>
      </c>
      <c r="B14648" t="str">
        <f t="shared" si="5333"/>
        <v>1300 HELICOPTER RD BLDG 3854</v>
      </c>
      <c r="C14648" t="str">
        <f t="shared" si="5334"/>
        <v>JEB LITTLE CREEK</v>
      </c>
      <c r="D14648" t="str">
        <f t="shared" si="5335"/>
        <v>VIRGINIA BCH</v>
      </c>
      <c r="E14648" t="str">
        <f t="shared" si="5328"/>
        <v>VA</v>
      </c>
      <c r="F14648" t="str">
        <f t="shared" si="5329"/>
        <v>234598913</v>
      </c>
      <c r="G14648" t="str">
        <f t="shared" si="5336"/>
        <v>1300 HELICOPTER ROAD</v>
      </c>
      <c r="H14648" t="str">
        <f t="shared" si="5337"/>
        <v>BLDG 3854</v>
      </c>
      <c r="I14648" t="str">
        <f t="shared" si="5338"/>
        <v>VIRGINIA BEACH</v>
      </c>
      <c r="J14648" t="str">
        <f t="shared" si="5323"/>
        <v>VA</v>
      </c>
      <c r="K14648" t="str">
        <f t="shared" si="5339"/>
        <v>000000000000000000</v>
      </c>
      <c r="L14648" t="str">
        <f>T("7577633217")</f>
        <v>7577633217</v>
      </c>
    </row>
    <row r="14649" spans="1:12" x14ac:dyDescent="0.35">
      <c r="A14649" t="str">
        <f t="shared" si="5324"/>
        <v>NSWG-2</v>
      </c>
      <c r="B14649" t="str">
        <f t="shared" si="5333"/>
        <v>1300 HELICOPTER RD BLDG 3854</v>
      </c>
      <c r="C14649" t="str">
        <f t="shared" si="5334"/>
        <v>JEB LITTLE CREEK</v>
      </c>
      <c r="D14649" t="str">
        <f t="shared" si="5335"/>
        <v>VIRGINIA BCH</v>
      </c>
      <c r="E14649" t="str">
        <f t="shared" si="5328"/>
        <v>VA</v>
      </c>
      <c r="F14649" t="str">
        <f t="shared" si="5329"/>
        <v>234598913</v>
      </c>
      <c r="G14649" t="str">
        <f t="shared" si="5336"/>
        <v>1300 HELICOPTER ROAD</v>
      </c>
      <c r="H14649" t="str">
        <f t="shared" si="5337"/>
        <v>BLDG 3854</v>
      </c>
      <c r="I14649" t="str">
        <f t="shared" si="5338"/>
        <v>VIRGINIA BEACH</v>
      </c>
      <c r="J14649" t="str">
        <f t="shared" si="5323"/>
        <v>VA</v>
      </c>
      <c r="K14649" t="str">
        <f t="shared" si="5339"/>
        <v>000000000000000000</v>
      </c>
      <c r="L14649" t="str">
        <f>T("7577635121")</f>
        <v>7577635121</v>
      </c>
    </row>
    <row r="14650" spans="1:12" x14ac:dyDescent="0.35">
      <c r="A14650" t="str">
        <f t="shared" si="5324"/>
        <v>NSWG-2</v>
      </c>
      <c r="B14650" t="str">
        <f t="shared" si="5333"/>
        <v>1300 HELICOPTER RD BLDG 3854</v>
      </c>
      <c r="C14650" t="str">
        <f t="shared" si="5334"/>
        <v>JEB LITTLE CREEK</v>
      </c>
      <c r="D14650" t="str">
        <f t="shared" si="5335"/>
        <v>VIRGINIA BCH</v>
      </c>
      <c r="E14650" t="str">
        <f t="shared" si="5328"/>
        <v>VA</v>
      </c>
      <c r="F14650" t="str">
        <f t="shared" si="5329"/>
        <v>234598913</v>
      </c>
      <c r="G14650" t="str">
        <f t="shared" si="5336"/>
        <v>1300 HELICOPTER ROAD</v>
      </c>
      <c r="H14650" t="str">
        <f t="shared" si="5337"/>
        <v>BLDG 3854</v>
      </c>
      <c r="I14650" t="str">
        <f t="shared" si="5338"/>
        <v>VIRGINIA BEACH</v>
      </c>
      <c r="J14650" t="str">
        <f t="shared" si="5323"/>
        <v>VA</v>
      </c>
      <c r="K14650" t="str">
        <f t="shared" si="5339"/>
        <v>000000000000000000</v>
      </c>
      <c r="L14650" t="str">
        <f>T("7577635123")</f>
        <v>7577635123</v>
      </c>
    </row>
    <row r="14651" spans="1:12" x14ac:dyDescent="0.35">
      <c r="A14651" t="str">
        <f t="shared" si="5324"/>
        <v>NSWG-2</v>
      </c>
      <c r="B14651" t="str">
        <f t="shared" si="5333"/>
        <v>1300 HELICOPTER RD BLDG 3854</v>
      </c>
      <c r="C14651" t="str">
        <f t="shared" si="5334"/>
        <v>JEB LITTLE CREEK</v>
      </c>
      <c r="D14651" t="str">
        <f t="shared" si="5335"/>
        <v>VIRGINIA BCH</v>
      </c>
      <c r="E14651" t="str">
        <f t="shared" si="5328"/>
        <v>VA</v>
      </c>
      <c r="F14651" t="str">
        <f t="shared" si="5329"/>
        <v>234598913</v>
      </c>
      <c r="G14651" t="str">
        <f t="shared" si="5336"/>
        <v>1300 HELICOPTER ROAD</v>
      </c>
      <c r="H14651" t="str">
        <f t="shared" si="5337"/>
        <v>BLDG 3854</v>
      </c>
      <c r="I14651" t="str">
        <f t="shared" si="5338"/>
        <v>VIRGINIA BEACH</v>
      </c>
      <c r="J14651" t="str">
        <f t="shared" si="5323"/>
        <v>VA</v>
      </c>
      <c r="K14651" t="str">
        <f t="shared" si="5339"/>
        <v>000000000000000000</v>
      </c>
      <c r="L14651" t="str">
        <f>T("7577635171")</f>
        <v>7577635171</v>
      </c>
    </row>
    <row r="14652" spans="1:12" x14ac:dyDescent="0.35">
      <c r="A14652" t="str">
        <f t="shared" si="5324"/>
        <v>NSWG-2</v>
      </c>
      <c r="B14652" t="str">
        <f t="shared" si="5333"/>
        <v>1300 HELICOPTER RD BLDG 3854</v>
      </c>
      <c r="C14652" t="str">
        <f t="shared" si="5334"/>
        <v>JEB LITTLE CREEK</v>
      </c>
      <c r="D14652" t="str">
        <f t="shared" si="5335"/>
        <v>VIRGINIA BCH</v>
      </c>
      <c r="E14652" t="str">
        <f t="shared" si="5328"/>
        <v>VA</v>
      </c>
      <c r="F14652" t="str">
        <f t="shared" si="5329"/>
        <v>234598913</v>
      </c>
      <c r="G14652" t="str">
        <f>T("1355 HELICOPTER ROAD")</f>
        <v>1355 HELICOPTER ROAD</v>
      </c>
      <c r="H14652" t="str">
        <f t="shared" si="5337"/>
        <v>BLDG 3854</v>
      </c>
      <c r="I14652" t="str">
        <f t="shared" si="5338"/>
        <v>VIRGINIA BEACH</v>
      </c>
      <c r="J14652" t="str">
        <f t="shared" si="5323"/>
        <v>VA</v>
      </c>
      <c r="K14652" t="str">
        <f t="shared" si="5339"/>
        <v>000000000000000000</v>
      </c>
      <c r="L14652" t="str">
        <f>T("7577632261")</f>
        <v>7577632261</v>
      </c>
    </row>
    <row r="14653" spans="1:12" x14ac:dyDescent="0.35">
      <c r="A14653" t="str">
        <f t="shared" si="5324"/>
        <v>NSWG-2</v>
      </c>
      <c r="B14653" t="str">
        <f t="shared" si="5333"/>
        <v>1300 HELICOPTER RD BLDG 3854</v>
      </c>
      <c r="C14653" t="str">
        <f t="shared" si="5334"/>
        <v>JEB LITTLE CREEK</v>
      </c>
      <c r="D14653" t="str">
        <f t="shared" si="5335"/>
        <v>VIRGINIA BCH</v>
      </c>
      <c r="E14653" t="str">
        <f t="shared" si="5328"/>
        <v>VA</v>
      </c>
      <c r="F14653" t="str">
        <f t="shared" si="5329"/>
        <v>234598913</v>
      </c>
      <c r="G14653" t="str">
        <f>T("1355 HELICOPTER ROAD")</f>
        <v>1355 HELICOPTER ROAD</v>
      </c>
      <c r="H14653" t="str">
        <f t="shared" si="5337"/>
        <v>BLDG 3854</v>
      </c>
      <c r="I14653" t="str">
        <f t="shared" si="5338"/>
        <v>VIRGINIA BEACH</v>
      </c>
      <c r="J14653" t="str">
        <f t="shared" ref="J14653:J14684" si="5340">T("VA")</f>
        <v>VA</v>
      </c>
      <c r="K14653" t="str">
        <f t="shared" si="5339"/>
        <v>000000000000000000</v>
      </c>
      <c r="L14653" t="str">
        <f>T("7577632949")</f>
        <v>7577632949</v>
      </c>
    </row>
    <row r="14654" spans="1:12" x14ac:dyDescent="0.35">
      <c r="A14654" t="str">
        <f t="shared" ref="A14654:A14684" si="5341">T("NSWG-2")</f>
        <v>NSWG-2</v>
      </c>
      <c r="B14654" t="str">
        <f t="shared" si="5333"/>
        <v>1300 HELICOPTER RD BLDG 3854</v>
      </c>
      <c r="C14654" t="str">
        <f t="shared" si="5334"/>
        <v>JEB LITTLE CREEK</v>
      </c>
      <c r="D14654" t="str">
        <f t="shared" si="5335"/>
        <v>VIRGINIA BCH</v>
      </c>
      <c r="E14654" t="str">
        <f t="shared" ref="E14654:E14684" si="5342">T("VA")</f>
        <v>VA</v>
      </c>
      <c r="F14654" t="str">
        <f t="shared" ref="F14654:F14684" si="5343">T("234598913")</f>
        <v>234598913</v>
      </c>
      <c r="G14654" t="str">
        <f>T("1355 HELICOPTER ROAD")</f>
        <v>1355 HELICOPTER ROAD</v>
      </c>
      <c r="H14654" t="str">
        <f t="shared" si="5337"/>
        <v>BLDG 3854</v>
      </c>
      <c r="I14654" t="str">
        <f t="shared" si="5338"/>
        <v>VIRGINIA BEACH</v>
      </c>
      <c r="J14654" t="str">
        <f t="shared" si="5340"/>
        <v>VA</v>
      </c>
      <c r="K14654" t="str">
        <f t="shared" si="5339"/>
        <v>000000000000000000</v>
      </c>
      <c r="L14654" t="str">
        <f>T("7577633381")</f>
        <v>7577633381</v>
      </c>
    </row>
    <row r="14655" spans="1:12" x14ac:dyDescent="0.35">
      <c r="A14655" t="str">
        <f t="shared" si="5341"/>
        <v>NSWG-2</v>
      </c>
      <c r="B14655" t="str">
        <f t="shared" si="5333"/>
        <v>1300 HELICOPTER RD BLDG 3854</v>
      </c>
      <c r="C14655" t="str">
        <f t="shared" si="5334"/>
        <v>JEB LITTLE CREEK</v>
      </c>
      <c r="D14655" t="str">
        <f t="shared" si="5335"/>
        <v>VIRGINIA BCH</v>
      </c>
      <c r="E14655" t="str">
        <f t="shared" si="5342"/>
        <v>VA</v>
      </c>
      <c r="F14655" t="str">
        <f t="shared" si="5343"/>
        <v>234598913</v>
      </c>
      <c r="G14655" t="str">
        <f>T("LOGISTICS AND SUPPORT UNIT")</f>
        <v>LOGISTICS AND SUPPORT UNIT</v>
      </c>
      <c r="H14655" t="str">
        <f>T("1355 HELICOPTER ROAD")</f>
        <v>1355 HELICOPTER ROAD</v>
      </c>
      <c r="I14655" t="str">
        <f t="shared" si="5338"/>
        <v>VIRGINIA BEACH</v>
      </c>
      <c r="J14655" t="str">
        <f t="shared" si="5340"/>
        <v>VA</v>
      </c>
      <c r="K14655" t="str">
        <f t="shared" si="5339"/>
        <v>000000000000000000</v>
      </c>
      <c r="L14655" t="str">
        <f>T("7577635122")</f>
        <v>7577635122</v>
      </c>
    </row>
    <row r="14656" spans="1:12" x14ac:dyDescent="0.35">
      <c r="A14656" t="str">
        <f t="shared" si="5341"/>
        <v>NSWG-2</v>
      </c>
      <c r="B14656" t="str">
        <f t="shared" si="5333"/>
        <v>1300 HELICOPTER RD BLDG 3854</v>
      </c>
      <c r="C14656" t="str">
        <f>T("JEB LITTLE CREEK FT-STORY")</f>
        <v>JEB LITTLE CREEK FT-STORY</v>
      </c>
      <c r="D14656" t="str">
        <f t="shared" si="5335"/>
        <v>VIRGINIA BCH</v>
      </c>
      <c r="E14656" t="str">
        <f t="shared" si="5342"/>
        <v>VA</v>
      </c>
      <c r="F14656" t="str">
        <f t="shared" si="5343"/>
        <v>234598913</v>
      </c>
      <c r="G14656" t="str">
        <f>T("1300 HELICOPTER RD")</f>
        <v>1300 HELICOPTER RD</v>
      </c>
      <c r="H14656" t="str">
        <f>T("BLDG 3854")</f>
        <v>BLDG 3854</v>
      </c>
      <c r="I14656" t="str">
        <f t="shared" si="5338"/>
        <v>VIRGINIA BEACH</v>
      </c>
      <c r="J14656" t="str">
        <f t="shared" si="5340"/>
        <v>VA</v>
      </c>
      <c r="K14656" t="str">
        <f t="shared" si="5339"/>
        <v>000000000000000000</v>
      </c>
      <c r="L14656" t="str">
        <f>T("7577632136")</f>
        <v>7577632136</v>
      </c>
    </row>
    <row r="14657" spans="1:12" x14ac:dyDescent="0.35">
      <c r="A14657" t="str">
        <f t="shared" si="5341"/>
        <v>NSWG-2</v>
      </c>
      <c r="B14657" t="str">
        <f t="shared" si="5333"/>
        <v>1300 HELICOPTER RD BLDG 3854</v>
      </c>
      <c r="C14657" t="str">
        <f>T("JEB LITTLE CREEK FT-STORY")</f>
        <v>JEB LITTLE CREEK FT-STORY</v>
      </c>
      <c r="D14657" t="str">
        <f t="shared" si="5335"/>
        <v>VIRGINIA BCH</v>
      </c>
      <c r="E14657" t="str">
        <f t="shared" si="5342"/>
        <v>VA</v>
      </c>
      <c r="F14657" t="str">
        <f t="shared" si="5343"/>
        <v>234598913</v>
      </c>
      <c r="G14657" t="str">
        <f>T("1300 HELICOPTER RD")</f>
        <v>1300 HELICOPTER RD</v>
      </c>
      <c r="H14657" t="str">
        <f>T("BLDG 3854")</f>
        <v>BLDG 3854</v>
      </c>
      <c r="I14657" t="str">
        <f t="shared" si="5338"/>
        <v>VIRGINIA BEACH</v>
      </c>
      <c r="J14657" t="str">
        <f t="shared" si="5340"/>
        <v>VA</v>
      </c>
      <c r="K14657" t="str">
        <f t="shared" si="5339"/>
        <v>000000000000000000</v>
      </c>
      <c r="L14657" t="str">
        <f>T("7577633116")</f>
        <v>7577633116</v>
      </c>
    </row>
    <row r="14658" spans="1:12" x14ac:dyDescent="0.35">
      <c r="A14658" t="str">
        <f t="shared" si="5341"/>
        <v>NSWG-2</v>
      </c>
      <c r="B14658" t="str">
        <f t="shared" si="5333"/>
        <v>1300 HELICOPTER RD BLDG 3854</v>
      </c>
      <c r="C14658" t="str">
        <f>T("JEB LITTLE CREEK FT-STORY")</f>
        <v>JEB LITTLE CREEK FT-STORY</v>
      </c>
      <c r="D14658" t="str">
        <f t="shared" si="5335"/>
        <v>VIRGINIA BCH</v>
      </c>
      <c r="E14658" t="str">
        <f t="shared" si="5342"/>
        <v>VA</v>
      </c>
      <c r="F14658" t="str">
        <f t="shared" si="5343"/>
        <v>234598913</v>
      </c>
      <c r="G14658" t="str">
        <f>T("1300 HELICOPTER RD BLDG 3854")</f>
        <v>1300 HELICOPTER RD BLDG 3854</v>
      </c>
      <c r="H14658" t="str">
        <f>T("JEB LITTLE CREEK FT-STORY")</f>
        <v>JEB LITTLE CREEK FT-STORY</v>
      </c>
      <c r="I14658" t="str">
        <f>T("VIRGINIA BCH")</f>
        <v>VIRGINIA BCH</v>
      </c>
      <c r="J14658" t="str">
        <f t="shared" si="5340"/>
        <v>VA</v>
      </c>
      <c r="K14658" t="str">
        <f>T("")</f>
        <v/>
      </c>
      <c r="L14658" t="str">
        <f>T("7577633144")</f>
        <v>7577633144</v>
      </c>
    </row>
    <row r="14659" spans="1:12" x14ac:dyDescent="0.35">
      <c r="A14659" t="str">
        <f t="shared" si="5341"/>
        <v>NSWG-2</v>
      </c>
      <c r="B14659" t="str">
        <f t="shared" si="5333"/>
        <v>1300 HELICOPTER RD BLDG 3854</v>
      </c>
      <c r="C14659" t="str">
        <f t="shared" ref="C14659:C14670" si="5344">T("JEB LITTLE CREEK-FT STORY")</f>
        <v>JEB LITTLE CREEK-FT STORY</v>
      </c>
      <c r="D14659" t="str">
        <f t="shared" si="5335"/>
        <v>VIRGINIA BCH</v>
      </c>
      <c r="E14659" t="str">
        <f t="shared" si="5342"/>
        <v>VA</v>
      </c>
      <c r="F14659" t="str">
        <f t="shared" si="5343"/>
        <v>234598913</v>
      </c>
      <c r="G14659" t="str">
        <f>T("1300 HELICOPTER RD")</f>
        <v>1300 HELICOPTER RD</v>
      </c>
      <c r="H14659" t="str">
        <f>T("BLDG 3854")</f>
        <v>BLDG 3854</v>
      </c>
      <c r="I14659" t="str">
        <f>T("VIRGINIA BEACH")</f>
        <v>VIRGINIA BEACH</v>
      </c>
      <c r="J14659" t="str">
        <f t="shared" si="5340"/>
        <v>VA</v>
      </c>
      <c r="K14659" t="str">
        <f>T("000000000000000000")</f>
        <v>000000000000000000</v>
      </c>
      <c r="L14659" t="str">
        <f>T("7577632402")</f>
        <v>7577632402</v>
      </c>
    </row>
    <row r="14660" spans="1:12" x14ac:dyDescent="0.35">
      <c r="A14660" t="str">
        <f t="shared" si="5341"/>
        <v>NSWG-2</v>
      </c>
      <c r="B14660" t="str">
        <f t="shared" si="5333"/>
        <v>1300 HELICOPTER RD BLDG 3854</v>
      </c>
      <c r="C14660" t="str">
        <f t="shared" si="5344"/>
        <v>JEB LITTLE CREEK-FT STORY</v>
      </c>
      <c r="D14660" t="str">
        <f t="shared" si="5335"/>
        <v>VIRGINIA BCH</v>
      </c>
      <c r="E14660" t="str">
        <f t="shared" si="5342"/>
        <v>VA</v>
      </c>
      <c r="F14660" t="str">
        <f t="shared" si="5343"/>
        <v>234598913</v>
      </c>
      <c r="G14660" t="str">
        <f>T("1300 HELICOPTER RD")</f>
        <v>1300 HELICOPTER RD</v>
      </c>
      <c r="H14660" t="str">
        <f>T("BLDG 3854")</f>
        <v>BLDG 3854</v>
      </c>
      <c r="I14660" t="str">
        <f>T("VIRGINIA BEACH")</f>
        <v>VIRGINIA BEACH</v>
      </c>
      <c r="J14660" t="str">
        <f t="shared" si="5340"/>
        <v>VA</v>
      </c>
      <c r="K14660" t="str">
        <f>T("000000000000000000")</f>
        <v>000000000000000000</v>
      </c>
      <c r="L14660" t="str">
        <f>T("7577632438")</f>
        <v>7577632438</v>
      </c>
    </row>
    <row r="14661" spans="1:12" x14ac:dyDescent="0.35">
      <c r="A14661" t="str">
        <f t="shared" si="5341"/>
        <v>NSWG-2</v>
      </c>
      <c r="B14661" t="str">
        <f t="shared" si="5333"/>
        <v>1300 HELICOPTER RD BLDG 3854</v>
      </c>
      <c r="C14661" t="str">
        <f t="shared" si="5344"/>
        <v>JEB LITTLE CREEK-FT STORY</v>
      </c>
      <c r="D14661" t="str">
        <f t="shared" si="5335"/>
        <v>VIRGINIA BCH</v>
      </c>
      <c r="E14661" t="str">
        <f t="shared" si="5342"/>
        <v>VA</v>
      </c>
      <c r="F14661" t="str">
        <f t="shared" si="5343"/>
        <v>234598913</v>
      </c>
      <c r="G14661" t="str">
        <f>T("1300 HELICOPTER RD")</f>
        <v>1300 HELICOPTER RD</v>
      </c>
      <c r="H14661" t="str">
        <f>T("BLDG 3854")</f>
        <v>BLDG 3854</v>
      </c>
      <c r="I14661" t="str">
        <f>T("VIRGINIA BEACH")</f>
        <v>VIRGINIA BEACH</v>
      </c>
      <c r="J14661" t="str">
        <f t="shared" si="5340"/>
        <v>VA</v>
      </c>
      <c r="K14661" t="str">
        <f>T("000000000000000000")</f>
        <v>000000000000000000</v>
      </c>
      <c r="L14661" t="str">
        <f>T("7577632984")</f>
        <v>7577632984</v>
      </c>
    </row>
    <row r="14662" spans="1:12" x14ac:dyDescent="0.35">
      <c r="A14662" t="str">
        <f t="shared" si="5341"/>
        <v>NSWG-2</v>
      </c>
      <c r="B14662" t="str">
        <f t="shared" si="5333"/>
        <v>1300 HELICOPTER RD BLDG 3854</v>
      </c>
      <c r="C14662" t="str">
        <f t="shared" si="5344"/>
        <v>JEB LITTLE CREEK-FT STORY</v>
      </c>
      <c r="D14662" t="str">
        <f t="shared" si="5335"/>
        <v>VIRGINIA BCH</v>
      </c>
      <c r="E14662" t="str">
        <f t="shared" si="5342"/>
        <v>VA</v>
      </c>
      <c r="F14662" t="str">
        <f t="shared" si="5343"/>
        <v>234598913</v>
      </c>
      <c r="G14662" t="str">
        <f>T("1300 HELICOPTER RD")</f>
        <v>1300 HELICOPTER RD</v>
      </c>
      <c r="H14662" t="str">
        <f>T("BLDG 3854")</f>
        <v>BLDG 3854</v>
      </c>
      <c r="I14662" t="str">
        <f>T("VIRGINIA BEACH")</f>
        <v>VIRGINIA BEACH</v>
      </c>
      <c r="J14662" t="str">
        <f t="shared" si="5340"/>
        <v>VA</v>
      </c>
      <c r="K14662" t="str">
        <f>T("000000000000000000")</f>
        <v>000000000000000000</v>
      </c>
      <c r="L14662" t="str">
        <f>T("7577633320")</f>
        <v>7577633320</v>
      </c>
    </row>
    <row r="14663" spans="1:12" x14ac:dyDescent="0.35">
      <c r="A14663" t="str">
        <f t="shared" si="5341"/>
        <v>NSWG-2</v>
      </c>
      <c r="B14663" t="str">
        <f t="shared" si="5333"/>
        <v>1300 HELICOPTER RD BLDG 3854</v>
      </c>
      <c r="C14663" t="str">
        <f t="shared" si="5344"/>
        <v>JEB LITTLE CREEK-FT STORY</v>
      </c>
      <c r="D14663" t="str">
        <f t="shared" si="5335"/>
        <v>VIRGINIA BCH</v>
      </c>
      <c r="E14663" t="str">
        <f t="shared" si="5342"/>
        <v>VA</v>
      </c>
      <c r="F14663" t="str">
        <f t="shared" si="5343"/>
        <v>234598913</v>
      </c>
      <c r="G14663" t="str">
        <f>T("1300 HELICOPTER RD")</f>
        <v>1300 HELICOPTER RD</v>
      </c>
      <c r="H14663" t="str">
        <f>T("BLDG 3854")</f>
        <v>BLDG 3854</v>
      </c>
      <c r="I14663" t="str">
        <f>T("VIRGINIA BEACH")</f>
        <v>VIRGINIA BEACH</v>
      </c>
      <c r="J14663" t="str">
        <f t="shared" si="5340"/>
        <v>VA</v>
      </c>
      <c r="K14663" t="str">
        <f>T("000000000000000000")</f>
        <v>000000000000000000</v>
      </c>
      <c r="L14663" t="str">
        <f>T("7577633691")</f>
        <v>7577633691</v>
      </c>
    </row>
    <row r="14664" spans="1:12" x14ac:dyDescent="0.35">
      <c r="A14664" t="str">
        <f t="shared" si="5341"/>
        <v>NSWG-2</v>
      </c>
      <c r="B14664" t="str">
        <f t="shared" si="5333"/>
        <v>1300 HELICOPTER RD BLDG 3854</v>
      </c>
      <c r="C14664" t="str">
        <f t="shared" si="5344"/>
        <v>JEB LITTLE CREEK-FT STORY</v>
      </c>
      <c r="D14664" t="str">
        <f t="shared" si="5335"/>
        <v>VIRGINIA BCH</v>
      </c>
      <c r="E14664" t="str">
        <f t="shared" si="5342"/>
        <v>VA</v>
      </c>
      <c r="F14664" t="str">
        <f t="shared" si="5343"/>
        <v>234598913</v>
      </c>
      <c r="G14664" t="str">
        <f>T("1300 HELICOPTER RD BLDG 3854")</f>
        <v>1300 HELICOPTER RD BLDG 3854</v>
      </c>
      <c r="H14664" t="str">
        <f>T("JEB LITTLE CREEK-FT STORY")</f>
        <v>JEB LITTLE CREEK-FT STORY</v>
      </c>
      <c r="I14664" t="str">
        <f>T("VIRGINIA BCH")</f>
        <v>VIRGINIA BCH</v>
      </c>
      <c r="J14664" t="str">
        <f t="shared" si="5340"/>
        <v>VA</v>
      </c>
      <c r="K14664" t="str">
        <f>T("")</f>
        <v/>
      </c>
      <c r="L14664" t="str">
        <f>T("7577632402")</f>
        <v>7577632402</v>
      </c>
    </row>
    <row r="14665" spans="1:12" x14ac:dyDescent="0.35">
      <c r="A14665" t="str">
        <f t="shared" si="5341"/>
        <v>NSWG-2</v>
      </c>
      <c r="B14665" t="str">
        <f t="shared" si="5333"/>
        <v>1300 HELICOPTER RD BLDG 3854</v>
      </c>
      <c r="C14665" t="str">
        <f t="shared" si="5344"/>
        <v>JEB LITTLE CREEK-FT STORY</v>
      </c>
      <c r="D14665" t="str">
        <f t="shared" si="5335"/>
        <v>VIRGINIA BCH</v>
      </c>
      <c r="E14665" t="str">
        <f t="shared" si="5342"/>
        <v>VA</v>
      </c>
      <c r="F14665" t="str">
        <f t="shared" si="5343"/>
        <v>234598913</v>
      </c>
      <c r="G14665" t="str">
        <f>T("1300 HELICOPTER RD BLDG 3854")</f>
        <v>1300 HELICOPTER RD BLDG 3854</v>
      </c>
      <c r="H14665" t="str">
        <f>T("JEB LITTLE CREEK-FT STORY")</f>
        <v>JEB LITTLE CREEK-FT STORY</v>
      </c>
      <c r="I14665" t="str">
        <f>T("VIRGINIA BCH")</f>
        <v>VIRGINIA BCH</v>
      </c>
      <c r="J14665" t="str">
        <f t="shared" si="5340"/>
        <v>VA</v>
      </c>
      <c r="K14665" t="str">
        <f>T("")</f>
        <v/>
      </c>
      <c r="L14665" t="str">
        <f>T("7577632904")</f>
        <v>7577632904</v>
      </c>
    </row>
    <row r="14666" spans="1:12" x14ac:dyDescent="0.35">
      <c r="A14666" t="str">
        <f t="shared" si="5341"/>
        <v>NSWG-2</v>
      </c>
      <c r="B14666" t="str">
        <f t="shared" si="5333"/>
        <v>1300 HELICOPTER RD BLDG 3854</v>
      </c>
      <c r="C14666" t="str">
        <f t="shared" si="5344"/>
        <v>JEB LITTLE CREEK-FT STORY</v>
      </c>
      <c r="D14666" t="str">
        <f t="shared" si="5335"/>
        <v>VIRGINIA BCH</v>
      </c>
      <c r="E14666" t="str">
        <f t="shared" si="5342"/>
        <v>VA</v>
      </c>
      <c r="F14666" t="str">
        <f t="shared" si="5343"/>
        <v>234598913</v>
      </c>
      <c r="G14666" t="str">
        <f>T("1300 HELICOPTER RD BLDG 3854")</f>
        <v>1300 HELICOPTER RD BLDG 3854</v>
      </c>
      <c r="H14666" t="str">
        <f>T("JEB LITTLE CREEK-FT STORY")</f>
        <v>JEB LITTLE CREEK-FT STORY</v>
      </c>
      <c r="I14666" t="str">
        <f>T("VIRGINIA BCH")</f>
        <v>VIRGINIA BCH</v>
      </c>
      <c r="J14666" t="str">
        <f t="shared" si="5340"/>
        <v>VA</v>
      </c>
      <c r="K14666" t="str">
        <f>T("")</f>
        <v/>
      </c>
      <c r="L14666" t="str">
        <f>T("7577633320")</f>
        <v>7577633320</v>
      </c>
    </row>
    <row r="14667" spans="1:12" x14ac:dyDescent="0.35">
      <c r="A14667" t="str">
        <f t="shared" si="5341"/>
        <v>NSWG-2</v>
      </c>
      <c r="B14667" t="str">
        <f t="shared" si="5333"/>
        <v>1300 HELICOPTER RD BLDG 3854</v>
      </c>
      <c r="C14667" t="str">
        <f t="shared" si="5344"/>
        <v>JEB LITTLE CREEK-FT STORY</v>
      </c>
      <c r="D14667" t="str">
        <f t="shared" si="5335"/>
        <v>VIRGINIA BCH</v>
      </c>
      <c r="E14667" t="str">
        <f t="shared" si="5342"/>
        <v>VA</v>
      </c>
      <c r="F14667" t="str">
        <f t="shared" si="5343"/>
        <v>234598913</v>
      </c>
      <c r="G14667" t="str">
        <f>T("1300 HELICOPTER RD BLDG 3854")</f>
        <v>1300 HELICOPTER RD BLDG 3854</v>
      </c>
      <c r="H14667" t="str">
        <f>T("JEB LITTLE CREEK-FT STORY")</f>
        <v>JEB LITTLE CREEK-FT STORY</v>
      </c>
      <c r="I14667" t="str">
        <f>T("VIRGINIA BCH")</f>
        <v>VIRGINIA BCH</v>
      </c>
      <c r="J14667" t="str">
        <f t="shared" si="5340"/>
        <v>VA</v>
      </c>
      <c r="K14667" t="str">
        <f>T("7574622434")</f>
        <v>7574622434</v>
      </c>
      <c r="L14667" t="str">
        <f>T("7574624291")</f>
        <v>7574624291</v>
      </c>
    </row>
    <row r="14668" spans="1:12" x14ac:dyDescent="0.35">
      <c r="A14668" t="str">
        <f t="shared" si="5341"/>
        <v>NSWG-2</v>
      </c>
      <c r="B14668" t="str">
        <f t="shared" si="5333"/>
        <v>1300 HELICOPTER RD BLDG 3854</v>
      </c>
      <c r="C14668" t="str">
        <f t="shared" si="5344"/>
        <v>JEB LITTLE CREEK-FT STORY</v>
      </c>
      <c r="D14668" t="str">
        <f t="shared" si="5335"/>
        <v>VIRGINIA BCH</v>
      </c>
      <c r="E14668" t="str">
        <f t="shared" si="5342"/>
        <v>VA</v>
      </c>
      <c r="F14668" t="str">
        <f t="shared" si="5343"/>
        <v>234598913</v>
      </c>
      <c r="G14668" t="str">
        <f>T("1300 HELICOPTER RD BLDG 3854")</f>
        <v>1300 HELICOPTER RD BLDG 3854</v>
      </c>
      <c r="H14668" t="str">
        <f>T("NAB LITTLE CREEK")</f>
        <v>NAB LITTLE CREEK</v>
      </c>
      <c r="I14668" t="str">
        <f>T("NORFOLK")</f>
        <v>NORFOLK</v>
      </c>
      <c r="J14668" t="str">
        <f t="shared" si="5340"/>
        <v>VA</v>
      </c>
      <c r="K14668" t="str">
        <f>T("000000000000000000")</f>
        <v>000000000000000000</v>
      </c>
      <c r="L14668" t="str">
        <f>T("7574625195")</f>
        <v>7574625195</v>
      </c>
    </row>
    <row r="14669" spans="1:12" x14ac:dyDescent="0.35">
      <c r="A14669" t="str">
        <f t="shared" si="5341"/>
        <v>NSWG-2</v>
      </c>
      <c r="B14669" t="str">
        <f t="shared" si="5333"/>
        <v>1300 HELICOPTER RD BLDG 3854</v>
      </c>
      <c r="C14669" t="str">
        <f t="shared" si="5344"/>
        <v>JEB LITTLE CREEK-FT STORY</v>
      </c>
      <c r="D14669" t="str">
        <f t="shared" si="5335"/>
        <v>VIRGINIA BCH</v>
      </c>
      <c r="E14669" t="str">
        <f t="shared" si="5342"/>
        <v>VA</v>
      </c>
      <c r="F14669" t="str">
        <f t="shared" si="5343"/>
        <v>234598913</v>
      </c>
      <c r="G14669" t="str">
        <f>T("1355 HELICOPTER ROAD")</f>
        <v>1355 HELICOPTER ROAD</v>
      </c>
      <c r="H14669" t="str">
        <f>T("BLDG 3854")</f>
        <v>BLDG 3854</v>
      </c>
      <c r="I14669" t="str">
        <f>T("VIRGINIA BEACH")</f>
        <v>VIRGINIA BEACH</v>
      </c>
      <c r="J14669" t="str">
        <f t="shared" si="5340"/>
        <v>VA</v>
      </c>
      <c r="K14669" t="str">
        <f>T("000000000000000000")</f>
        <v>000000000000000000</v>
      </c>
      <c r="L14669" t="str">
        <f>T("7577633329")</f>
        <v>7577633329</v>
      </c>
    </row>
    <row r="14670" spans="1:12" x14ac:dyDescent="0.35">
      <c r="A14670" t="str">
        <f t="shared" si="5341"/>
        <v>NSWG-2</v>
      </c>
      <c r="B14670" t="str">
        <f t="shared" si="5333"/>
        <v>1300 HELICOPTER RD BLDG 3854</v>
      </c>
      <c r="C14670" t="str">
        <f t="shared" si="5344"/>
        <v>JEB LITTLE CREEK-FT STORY</v>
      </c>
      <c r="D14670" t="str">
        <f t="shared" si="5335"/>
        <v>VIRGINIA BCH</v>
      </c>
      <c r="E14670" t="str">
        <f t="shared" si="5342"/>
        <v>VA</v>
      </c>
      <c r="F14670" t="str">
        <f t="shared" si="5343"/>
        <v>234598913</v>
      </c>
      <c r="G14670" t="str">
        <f>T("1355 HELICOPTER ROAD")</f>
        <v>1355 HELICOPTER ROAD</v>
      </c>
      <c r="H14670" t="str">
        <f>T("BLDG 3854")</f>
        <v>BLDG 3854</v>
      </c>
      <c r="I14670" t="str">
        <f>T("VIRGINIA BEACH")</f>
        <v>VIRGINIA BEACH</v>
      </c>
      <c r="J14670" t="str">
        <f t="shared" si="5340"/>
        <v>VA</v>
      </c>
      <c r="K14670" t="str">
        <f>T("000000000000000000")</f>
        <v>000000000000000000</v>
      </c>
      <c r="L14670" t="str">
        <f>T("7577633393")</f>
        <v>7577633393</v>
      </c>
    </row>
    <row r="14671" spans="1:12" x14ac:dyDescent="0.35">
      <c r="A14671" t="str">
        <f t="shared" si="5341"/>
        <v>NSWG-2</v>
      </c>
      <c r="B14671" t="str">
        <f>T("1300 HELICOPTER RD BLGB 3854")</f>
        <v>1300 HELICOPTER RD BLGB 3854</v>
      </c>
      <c r="C14671" t="str">
        <f>T("JEB LITTLE CREEK")</f>
        <v>JEB LITTLE CREEK</v>
      </c>
      <c r="D14671" t="str">
        <f t="shared" si="5335"/>
        <v>VIRGINIA BCH</v>
      </c>
      <c r="E14671" t="str">
        <f t="shared" si="5342"/>
        <v>VA</v>
      </c>
      <c r="F14671" t="str">
        <f t="shared" si="5343"/>
        <v>234598913</v>
      </c>
      <c r="G14671" t="str">
        <f>T("1300 HELICOPTER RD BLGB 3854")</f>
        <v>1300 HELICOPTER RD BLGB 3854</v>
      </c>
      <c r="H14671" t="str">
        <f>T("JEB LITTLE CREEK")</f>
        <v>JEB LITTLE CREEK</v>
      </c>
      <c r="I14671" t="str">
        <f>T("VIRGINIA BCH")</f>
        <v>VIRGINIA BCH</v>
      </c>
      <c r="J14671" t="str">
        <f t="shared" si="5340"/>
        <v>VA</v>
      </c>
      <c r="K14671" t="str">
        <f>T("")</f>
        <v/>
      </c>
      <c r="L14671" t="str">
        <f>T("7574623617")</f>
        <v>7574623617</v>
      </c>
    </row>
    <row r="14672" spans="1:12" x14ac:dyDescent="0.35">
      <c r="A14672" t="str">
        <f t="shared" si="5341"/>
        <v>NSWG-2</v>
      </c>
      <c r="B14672" t="str">
        <f>T("1300 HELICOPTER RD BLGB 3854")</f>
        <v>1300 HELICOPTER RD BLGB 3854</v>
      </c>
      <c r="C14672" t="str">
        <f>T("JEB LITTLE CREEK")</f>
        <v>JEB LITTLE CREEK</v>
      </c>
      <c r="D14672" t="str">
        <f t="shared" si="5335"/>
        <v>VIRGINIA BCH</v>
      </c>
      <c r="E14672" t="str">
        <f t="shared" si="5342"/>
        <v>VA</v>
      </c>
      <c r="F14672" t="str">
        <f t="shared" si="5343"/>
        <v>234598913</v>
      </c>
      <c r="G14672" t="str">
        <f>T("1300 HELICOPTER ROAD")</f>
        <v>1300 HELICOPTER ROAD</v>
      </c>
      <c r="H14672" t="str">
        <f>T("BLDG 3854")</f>
        <v>BLDG 3854</v>
      </c>
      <c r="I14672" t="str">
        <f>T("VIRGINIA BEACH")</f>
        <v>VIRGINIA BEACH</v>
      </c>
      <c r="J14672" t="str">
        <f t="shared" si="5340"/>
        <v>VA</v>
      </c>
      <c r="K14672" t="str">
        <f>T("000000000000000000")</f>
        <v>000000000000000000</v>
      </c>
      <c r="L14672" t="str">
        <f>T("7577632424")</f>
        <v>7577632424</v>
      </c>
    </row>
    <row r="14673" spans="1:12" x14ac:dyDescent="0.35">
      <c r="A14673" t="str">
        <f t="shared" si="5341"/>
        <v>NSWG-2</v>
      </c>
      <c r="B14673" t="str">
        <f t="shared" ref="B14673:B14684" si="5345">T("1300 HELICOPTER ROAD")</f>
        <v>1300 HELICOPTER ROAD</v>
      </c>
      <c r="C14673" t="str">
        <f t="shared" ref="C14673:C14684" si="5346">T("BLDG 3854")</f>
        <v>BLDG 3854</v>
      </c>
      <c r="D14673" t="str">
        <f t="shared" si="5335"/>
        <v>VIRGINIA BCH</v>
      </c>
      <c r="E14673" t="str">
        <f t="shared" si="5342"/>
        <v>VA</v>
      </c>
      <c r="F14673" t="str">
        <f t="shared" si="5343"/>
        <v>234598913</v>
      </c>
      <c r="G14673" t="str">
        <f>T("1300 HELICOPTER ROAD")</f>
        <v>1300 HELICOPTER ROAD</v>
      </c>
      <c r="H14673" t="str">
        <f>T("BLDG 3854")</f>
        <v>BLDG 3854</v>
      </c>
      <c r="I14673" t="str">
        <f>T("VIRGINIA BCH")</f>
        <v>VIRGINIA BCH</v>
      </c>
      <c r="J14673" t="str">
        <f t="shared" si="5340"/>
        <v>VA</v>
      </c>
      <c r="K14673" t="str">
        <f>T("")</f>
        <v/>
      </c>
      <c r="L14673" t="str">
        <f>T("7577632804")</f>
        <v>7577632804</v>
      </c>
    </row>
    <row r="14674" spans="1:12" x14ac:dyDescent="0.35">
      <c r="A14674" t="str">
        <f t="shared" si="5341"/>
        <v>NSWG-2</v>
      </c>
      <c r="B14674" t="str">
        <f t="shared" si="5345"/>
        <v>1300 HELICOPTER ROAD</v>
      </c>
      <c r="C14674" t="str">
        <f t="shared" si="5346"/>
        <v>BLDG 3854</v>
      </c>
      <c r="D14674" t="str">
        <f t="shared" si="5335"/>
        <v>VIRGINIA BCH</v>
      </c>
      <c r="E14674" t="str">
        <f t="shared" si="5342"/>
        <v>VA</v>
      </c>
      <c r="F14674" t="str">
        <f t="shared" si="5343"/>
        <v>234598913</v>
      </c>
      <c r="G14674" t="str">
        <f>T("1355 HELICOPTER ROAD")</f>
        <v>1355 HELICOPTER ROAD</v>
      </c>
      <c r="H14674" t="str">
        <f>T("BLGD 3854")</f>
        <v>BLGD 3854</v>
      </c>
      <c r="I14674" t="str">
        <f>T("VIRGINIA BEACH")</f>
        <v>VIRGINIA BEACH</v>
      </c>
      <c r="J14674" t="str">
        <f t="shared" si="5340"/>
        <v>VA</v>
      </c>
      <c r="K14674" t="str">
        <f>T("000000000000000000")</f>
        <v>000000000000000000</v>
      </c>
      <c r="L14674" t="str">
        <f>T("7864152193")</f>
        <v>7864152193</v>
      </c>
    </row>
    <row r="14675" spans="1:12" x14ac:dyDescent="0.35">
      <c r="A14675" t="str">
        <f t="shared" si="5341"/>
        <v>NSWG-2</v>
      </c>
      <c r="B14675" t="str">
        <f t="shared" si="5345"/>
        <v>1300 HELICOPTER ROAD</v>
      </c>
      <c r="C14675" t="str">
        <f t="shared" si="5346"/>
        <v>BLDG 3854</v>
      </c>
      <c r="D14675" t="str">
        <f t="shared" ref="D14675:D14684" si="5347">T("VIRGINIA BEACH")</f>
        <v>VIRGINIA BEACH</v>
      </c>
      <c r="E14675" t="str">
        <f t="shared" si="5342"/>
        <v>VA</v>
      </c>
      <c r="F14675" t="str">
        <f t="shared" si="5343"/>
        <v>234598913</v>
      </c>
      <c r="G14675" t="str">
        <f>T("1300 HELICOPTER RD")</f>
        <v>1300 HELICOPTER RD</v>
      </c>
      <c r="H14675" t="str">
        <f t="shared" ref="H14675:H14684" si="5348">T("BLDG 3854")</f>
        <v>BLDG 3854</v>
      </c>
      <c r="I14675" t="str">
        <f>T("VIRGINIA BEACH")</f>
        <v>VIRGINIA BEACH</v>
      </c>
      <c r="J14675" t="str">
        <f t="shared" si="5340"/>
        <v>VA</v>
      </c>
      <c r="K14675" t="str">
        <f>T("000000000000000000")</f>
        <v>000000000000000000</v>
      </c>
      <c r="L14675" t="str">
        <f>T("7577632465")</f>
        <v>7577632465</v>
      </c>
    </row>
    <row r="14676" spans="1:12" x14ac:dyDescent="0.35">
      <c r="A14676" t="str">
        <f t="shared" si="5341"/>
        <v>NSWG-2</v>
      </c>
      <c r="B14676" t="str">
        <f t="shared" si="5345"/>
        <v>1300 HELICOPTER ROAD</v>
      </c>
      <c r="C14676" t="str">
        <f t="shared" si="5346"/>
        <v>BLDG 3854</v>
      </c>
      <c r="D14676" t="str">
        <f t="shared" si="5347"/>
        <v>VIRGINIA BEACH</v>
      </c>
      <c r="E14676" t="str">
        <f t="shared" si="5342"/>
        <v>VA</v>
      </c>
      <c r="F14676" t="str">
        <f t="shared" si="5343"/>
        <v>234598913</v>
      </c>
      <c r="G14676" t="str">
        <f>T("1300 HELICOPTER RD")</f>
        <v>1300 HELICOPTER RD</v>
      </c>
      <c r="H14676" t="str">
        <f t="shared" si="5348"/>
        <v>BLDG 3854</v>
      </c>
      <c r="I14676" t="str">
        <f>T("VIRGINIA BEACH")</f>
        <v>VIRGINIA BEACH</v>
      </c>
      <c r="J14676" t="str">
        <f t="shared" si="5340"/>
        <v>VA</v>
      </c>
      <c r="K14676" t="str">
        <f>T("000000000000000000")</f>
        <v>000000000000000000</v>
      </c>
      <c r="L14676" t="str">
        <f>T("7577632494")</f>
        <v>7577632494</v>
      </c>
    </row>
    <row r="14677" spans="1:12" x14ac:dyDescent="0.35">
      <c r="A14677" t="str">
        <f t="shared" si="5341"/>
        <v>NSWG-2</v>
      </c>
      <c r="B14677" t="str">
        <f t="shared" si="5345"/>
        <v>1300 HELICOPTER ROAD</v>
      </c>
      <c r="C14677" t="str">
        <f t="shared" si="5346"/>
        <v>BLDG 3854</v>
      </c>
      <c r="D14677" t="str">
        <f t="shared" si="5347"/>
        <v>VIRGINIA BEACH</v>
      </c>
      <c r="E14677" t="str">
        <f t="shared" si="5342"/>
        <v>VA</v>
      </c>
      <c r="F14677" t="str">
        <f t="shared" si="5343"/>
        <v>234598913</v>
      </c>
      <c r="G14677" t="str">
        <f>T("1300 HELICOPTER RD")</f>
        <v>1300 HELICOPTER RD</v>
      </c>
      <c r="H14677" t="str">
        <f t="shared" si="5348"/>
        <v>BLDG 3854</v>
      </c>
      <c r="I14677" t="str">
        <f>T("VIRGINIA BEACH")</f>
        <v>VIRGINIA BEACH</v>
      </c>
      <c r="J14677" t="str">
        <f t="shared" si="5340"/>
        <v>VA</v>
      </c>
      <c r="K14677" t="str">
        <f>T("000000000000000000")</f>
        <v>000000000000000000</v>
      </c>
      <c r="L14677" t="str">
        <f>T("7577633096")</f>
        <v>7577633096</v>
      </c>
    </row>
    <row r="14678" spans="1:12" x14ac:dyDescent="0.35">
      <c r="A14678" t="str">
        <f t="shared" si="5341"/>
        <v>NSWG-2</v>
      </c>
      <c r="B14678" t="str">
        <f t="shared" si="5345"/>
        <v>1300 HELICOPTER ROAD</v>
      </c>
      <c r="C14678" t="str">
        <f t="shared" si="5346"/>
        <v>BLDG 3854</v>
      </c>
      <c r="D14678" t="str">
        <f t="shared" si="5347"/>
        <v>VIRGINIA BEACH</v>
      </c>
      <c r="E14678" t="str">
        <f t="shared" si="5342"/>
        <v>VA</v>
      </c>
      <c r="F14678" t="str">
        <f t="shared" si="5343"/>
        <v>234598913</v>
      </c>
      <c r="G14678" t="str">
        <f>T("1300 HELICOPTER ROAD")</f>
        <v>1300 HELICOPTER ROAD</v>
      </c>
      <c r="H14678" t="str">
        <f t="shared" si="5348"/>
        <v>BLDG 3854</v>
      </c>
      <c r="I14678" t="str">
        <f>T("VIRGINIA BCH")</f>
        <v>VIRGINIA BCH</v>
      </c>
      <c r="J14678" t="str">
        <f t="shared" si="5340"/>
        <v>VA</v>
      </c>
      <c r="K14678" t="str">
        <f>T("000000000000000000")</f>
        <v>000000000000000000</v>
      </c>
      <c r="L14678" t="str">
        <f>T("7577632465")</f>
        <v>7577632465</v>
      </c>
    </row>
    <row r="14679" spans="1:12" x14ac:dyDescent="0.35">
      <c r="A14679" t="str">
        <f t="shared" si="5341"/>
        <v>NSWG-2</v>
      </c>
      <c r="B14679" t="str">
        <f t="shared" si="5345"/>
        <v>1300 HELICOPTER ROAD</v>
      </c>
      <c r="C14679" t="str">
        <f t="shared" si="5346"/>
        <v>BLDG 3854</v>
      </c>
      <c r="D14679" t="str">
        <f t="shared" si="5347"/>
        <v>VIRGINIA BEACH</v>
      </c>
      <c r="E14679" t="str">
        <f t="shared" si="5342"/>
        <v>VA</v>
      </c>
      <c r="F14679" t="str">
        <f t="shared" si="5343"/>
        <v>234598913</v>
      </c>
      <c r="G14679" t="str">
        <f>T("1300 HELICOPTER ROAD")</f>
        <v>1300 HELICOPTER ROAD</v>
      </c>
      <c r="H14679" t="str">
        <f t="shared" si="5348"/>
        <v>BLDG 3854</v>
      </c>
      <c r="I14679" t="str">
        <f t="shared" ref="I14679:I14684" si="5349">T("VIRGINIA BEACH")</f>
        <v>VIRGINIA BEACH</v>
      </c>
      <c r="J14679" t="str">
        <f t="shared" si="5340"/>
        <v>VA</v>
      </c>
      <c r="K14679" t="str">
        <f>T("")</f>
        <v/>
      </c>
      <c r="L14679" t="str">
        <f>T("7577632478")</f>
        <v>7577632478</v>
      </c>
    </row>
    <row r="14680" spans="1:12" x14ac:dyDescent="0.35">
      <c r="A14680" t="str">
        <f t="shared" si="5341"/>
        <v>NSWG-2</v>
      </c>
      <c r="B14680" t="str">
        <f t="shared" si="5345"/>
        <v>1300 HELICOPTER ROAD</v>
      </c>
      <c r="C14680" t="str">
        <f t="shared" si="5346"/>
        <v>BLDG 3854</v>
      </c>
      <c r="D14680" t="str">
        <f t="shared" si="5347"/>
        <v>VIRGINIA BEACH</v>
      </c>
      <c r="E14680" t="str">
        <f t="shared" si="5342"/>
        <v>VA</v>
      </c>
      <c r="F14680" t="str">
        <f t="shared" si="5343"/>
        <v>234598913</v>
      </c>
      <c r="G14680" t="str">
        <f>T("1300 HELICOPTER ROAD")</f>
        <v>1300 HELICOPTER ROAD</v>
      </c>
      <c r="H14680" t="str">
        <f t="shared" si="5348"/>
        <v>BLDG 3854</v>
      </c>
      <c r="I14680" t="str">
        <f t="shared" si="5349"/>
        <v>VIRGINIA BEACH</v>
      </c>
      <c r="J14680" t="str">
        <f t="shared" si="5340"/>
        <v>VA</v>
      </c>
      <c r="K14680" t="str">
        <f>T("000000000000000000")</f>
        <v>000000000000000000</v>
      </c>
      <c r="L14680" t="str">
        <f>T("7577632454")</f>
        <v>7577632454</v>
      </c>
    </row>
    <row r="14681" spans="1:12" x14ac:dyDescent="0.35">
      <c r="A14681" t="str">
        <f t="shared" si="5341"/>
        <v>NSWG-2</v>
      </c>
      <c r="B14681" t="str">
        <f t="shared" si="5345"/>
        <v>1300 HELICOPTER ROAD</v>
      </c>
      <c r="C14681" t="str">
        <f t="shared" si="5346"/>
        <v>BLDG 3854</v>
      </c>
      <c r="D14681" t="str">
        <f t="shared" si="5347"/>
        <v>VIRGINIA BEACH</v>
      </c>
      <c r="E14681" t="str">
        <f t="shared" si="5342"/>
        <v>VA</v>
      </c>
      <c r="F14681" t="str">
        <f t="shared" si="5343"/>
        <v>234598913</v>
      </c>
      <c r="G14681" t="str">
        <f>T("1300 HELICOPTER ROAD")</f>
        <v>1300 HELICOPTER ROAD</v>
      </c>
      <c r="H14681" t="str">
        <f t="shared" si="5348"/>
        <v>BLDG 3854</v>
      </c>
      <c r="I14681" t="str">
        <f t="shared" si="5349"/>
        <v>VIRGINIA BEACH</v>
      </c>
      <c r="J14681" t="str">
        <f t="shared" si="5340"/>
        <v>VA</v>
      </c>
      <c r="K14681" t="str">
        <f>T("000000000000000000")</f>
        <v>000000000000000000</v>
      </c>
      <c r="L14681" t="str">
        <f>T("7577632739")</f>
        <v>7577632739</v>
      </c>
    </row>
    <row r="14682" spans="1:12" x14ac:dyDescent="0.35">
      <c r="A14682" t="str">
        <f t="shared" si="5341"/>
        <v>NSWG-2</v>
      </c>
      <c r="B14682" t="str">
        <f t="shared" si="5345"/>
        <v>1300 HELICOPTER ROAD</v>
      </c>
      <c r="C14682" t="str">
        <f t="shared" si="5346"/>
        <v>BLDG 3854</v>
      </c>
      <c r="D14682" t="str">
        <f t="shared" si="5347"/>
        <v>VIRGINIA BEACH</v>
      </c>
      <c r="E14682" t="str">
        <f t="shared" si="5342"/>
        <v>VA</v>
      </c>
      <c r="F14682" t="str">
        <f t="shared" si="5343"/>
        <v>234598913</v>
      </c>
      <c r="G14682" t="str">
        <f>T("1300 HELICOPTER ROAD")</f>
        <v>1300 HELICOPTER ROAD</v>
      </c>
      <c r="H14682" t="str">
        <f t="shared" si="5348"/>
        <v>BLDG 3854</v>
      </c>
      <c r="I14682" t="str">
        <f t="shared" si="5349"/>
        <v>VIRGINIA BEACH</v>
      </c>
      <c r="J14682" t="str">
        <f t="shared" si="5340"/>
        <v>VA</v>
      </c>
      <c r="K14682" t="str">
        <f>T("000000000000000000")</f>
        <v>000000000000000000</v>
      </c>
      <c r="L14682" t="str">
        <f>T("7577633328")</f>
        <v>7577633328</v>
      </c>
    </row>
    <row r="14683" spans="1:12" x14ac:dyDescent="0.35">
      <c r="A14683" t="str">
        <f t="shared" si="5341"/>
        <v>NSWG-2</v>
      </c>
      <c r="B14683" t="str">
        <f t="shared" si="5345"/>
        <v>1300 HELICOPTER ROAD</v>
      </c>
      <c r="C14683" t="str">
        <f t="shared" si="5346"/>
        <v>BLDG 3854</v>
      </c>
      <c r="D14683" t="str">
        <f t="shared" si="5347"/>
        <v>VIRGINIA BEACH</v>
      </c>
      <c r="E14683" t="str">
        <f t="shared" si="5342"/>
        <v>VA</v>
      </c>
      <c r="F14683" t="str">
        <f t="shared" si="5343"/>
        <v>234598913</v>
      </c>
      <c r="G14683" t="str">
        <f>T("1355 HELICOPTER ROAD")</f>
        <v>1355 HELICOPTER ROAD</v>
      </c>
      <c r="H14683" t="str">
        <f t="shared" si="5348"/>
        <v>BLDG 3854</v>
      </c>
      <c r="I14683" t="str">
        <f t="shared" si="5349"/>
        <v>VIRGINIA BEACH</v>
      </c>
      <c r="J14683" t="str">
        <f t="shared" si="5340"/>
        <v>VA</v>
      </c>
      <c r="K14683" t="str">
        <f>T("000000000000000000")</f>
        <v>000000000000000000</v>
      </c>
      <c r="L14683" t="str">
        <f>T("7577632454")</f>
        <v>7577632454</v>
      </c>
    </row>
    <row r="14684" spans="1:12" x14ac:dyDescent="0.35">
      <c r="A14684" t="str">
        <f t="shared" si="5341"/>
        <v>NSWG-2</v>
      </c>
      <c r="B14684" t="str">
        <f t="shared" si="5345"/>
        <v>1300 HELICOPTER ROAD</v>
      </c>
      <c r="C14684" t="str">
        <f t="shared" si="5346"/>
        <v>BLDG 3854</v>
      </c>
      <c r="D14684" t="str">
        <f t="shared" si="5347"/>
        <v>VIRGINIA BEACH</v>
      </c>
      <c r="E14684" t="str">
        <f t="shared" si="5342"/>
        <v>VA</v>
      </c>
      <c r="F14684" t="str">
        <f t="shared" si="5343"/>
        <v>234598913</v>
      </c>
      <c r="G14684" t="str">
        <f>T("1355 HELICOPTER ROAD")</f>
        <v>1355 HELICOPTER ROAD</v>
      </c>
      <c r="H14684" t="str">
        <f t="shared" si="5348"/>
        <v>BLDG 3854</v>
      </c>
      <c r="I14684" t="str">
        <f t="shared" si="5349"/>
        <v>VIRGINIA BEACH</v>
      </c>
      <c r="J14684" t="str">
        <f t="shared" si="5340"/>
        <v>VA</v>
      </c>
      <c r="K14684" t="str">
        <f>T("000000000000000000")</f>
        <v>000000000000000000</v>
      </c>
      <c r="L14684" t="str">
        <f>T("7577632830")</f>
        <v>7577632830</v>
      </c>
    </row>
    <row r="14685" spans="1:12" x14ac:dyDescent="0.35">
      <c r="A14685" t="str">
        <f t="shared" ref="A14685:A14716" si="5350">T("SPECWAR-GRP ONE")</f>
        <v>SPECWAR-GRP ONE</v>
      </c>
      <c r="B14685" t="str">
        <f>T("2348 TRIDENT WAY")</f>
        <v>2348 TRIDENT WAY</v>
      </c>
      <c r="C14685" t="str">
        <f>T("")</f>
        <v/>
      </c>
      <c r="D14685" t="str">
        <f t="shared" ref="D14685:D14716" si="5351">T("SAN DIEGO")</f>
        <v>SAN DIEGO</v>
      </c>
      <c r="E14685" t="str">
        <f t="shared" ref="E14685:E14716" si="5352">T("CA")</f>
        <v>CA</v>
      </c>
      <c r="F14685" t="str">
        <f>T("921555508")</f>
        <v>921555508</v>
      </c>
      <c r="G14685" t="str">
        <f>T("2348 TRIDENT WAY")</f>
        <v>2348 TRIDENT WAY</v>
      </c>
      <c r="H14685" t="str">
        <f>T("")</f>
        <v/>
      </c>
      <c r="I14685" t="str">
        <f t="shared" ref="I14685:I14716" si="5353">T("SAN DIEGO")</f>
        <v>SAN DIEGO</v>
      </c>
      <c r="J14685" t="str">
        <f t="shared" ref="J14685:J14716" si="5354">T("CA")</f>
        <v>CA</v>
      </c>
      <c r="K14685" t="str">
        <f>T("")</f>
        <v/>
      </c>
      <c r="L14685" t="str">
        <f>T("6197671850")</f>
        <v>6197671850</v>
      </c>
    </row>
    <row r="14686" spans="1:12" x14ac:dyDescent="0.35">
      <c r="A14686" t="str">
        <f t="shared" si="5350"/>
        <v>SPECWAR-GRP ONE</v>
      </c>
      <c r="B14686" t="str">
        <f>T("2348 TRIDENT WAY")</f>
        <v>2348 TRIDENT WAY</v>
      </c>
      <c r="C14686" t="str">
        <f>T("")</f>
        <v/>
      </c>
      <c r="D14686" t="str">
        <f t="shared" si="5351"/>
        <v>SAN DIEGO</v>
      </c>
      <c r="E14686" t="str">
        <f t="shared" si="5352"/>
        <v>CA</v>
      </c>
      <c r="F14686" t="str">
        <f>T("921555508")</f>
        <v>921555508</v>
      </c>
      <c r="G14686" t="str">
        <f>T("3632 GUADALCANAL RD")</f>
        <v>3632 GUADALCANAL RD</v>
      </c>
      <c r="H14686" t="str">
        <f t="shared" ref="H14686:H14691" si="5355">T("BLDG 165")</f>
        <v>BLDG 165</v>
      </c>
      <c r="I14686" t="str">
        <f t="shared" si="5353"/>
        <v>SAN DIEGO</v>
      </c>
      <c r="J14686" t="str">
        <f t="shared" si="5354"/>
        <v>CA</v>
      </c>
      <c r="K14686" t="str">
        <f>T("000000000000000000")</f>
        <v>000000000000000000</v>
      </c>
      <c r="L14686" t="str">
        <f>T("6195372475")</f>
        <v>6195372475</v>
      </c>
    </row>
    <row r="14687" spans="1:12" x14ac:dyDescent="0.35">
      <c r="A14687" t="str">
        <f t="shared" si="5350"/>
        <v>SPECWAR-GRP ONE</v>
      </c>
      <c r="B14687" t="str">
        <f>T("2348 TRIDENT WAY")</f>
        <v>2348 TRIDENT WAY</v>
      </c>
      <c r="C14687" t="str">
        <f>T("")</f>
        <v/>
      </c>
      <c r="D14687" t="str">
        <f t="shared" si="5351"/>
        <v>SAN DIEGO</v>
      </c>
      <c r="E14687" t="str">
        <f t="shared" si="5352"/>
        <v>CA</v>
      </c>
      <c r="F14687" t="str">
        <f>T("921555508")</f>
        <v>921555508</v>
      </c>
      <c r="G14687" t="str">
        <f>T("3632 GUADALCANAL ROAD")</f>
        <v>3632 GUADALCANAL ROAD</v>
      </c>
      <c r="H14687" t="str">
        <f t="shared" si="5355"/>
        <v>BLDG 165</v>
      </c>
      <c r="I14687" t="str">
        <f t="shared" si="5353"/>
        <v>SAN DIEGO</v>
      </c>
      <c r="J14687" t="str">
        <f t="shared" si="5354"/>
        <v>CA</v>
      </c>
      <c r="K14687" t="str">
        <f>T("000000000000000000")</f>
        <v>000000000000000000</v>
      </c>
      <c r="L14687" t="str">
        <f>T("6195373401")</f>
        <v>6195373401</v>
      </c>
    </row>
    <row r="14688" spans="1:12" x14ac:dyDescent="0.35">
      <c r="A14688" t="str">
        <f t="shared" si="5350"/>
        <v>SPECWAR-GRP ONE</v>
      </c>
      <c r="B14688" t="str">
        <f>T("2348 TRIDENT WAY")</f>
        <v>2348 TRIDENT WAY</v>
      </c>
      <c r="C14688" t="str">
        <f>T("")</f>
        <v/>
      </c>
      <c r="D14688" t="str">
        <f t="shared" si="5351"/>
        <v>SAN DIEGO</v>
      </c>
      <c r="E14688" t="str">
        <f t="shared" si="5352"/>
        <v>CA</v>
      </c>
      <c r="F14688" t="str">
        <f>T("921555508")</f>
        <v>921555508</v>
      </c>
      <c r="G14688" t="str">
        <f>T("3632 GUADALCANAL ROAD")</f>
        <v>3632 GUADALCANAL ROAD</v>
      </c>
      <c r="H14688" t="str">
        <f t="shared" si="5355"/>
        <v>BLDG 165</v>
      </c>
      <c r="I14688" t="str">
        <f t="shared" si="5353"/>
        <v>SAN DIEGO</v>
      </c>
      <c r="J14688" t="str">
        <f t="shared" si="5354"/>
        <v>CA</v>
      </c>
      <c r="K14688" t="str">
        <f>T("000000000000000000")</f>
        <v>000000000000000000</v>
      </c>
      <c r="L14688" t="str">
        <f>T("6195373407")</f>
        <v>6195373407</v>
      </c>
    </row>
    <row r="14689" spans="1:12" x14ac:dyDescent="0.35">
      <c r="A14689" t="str">
        <f t="shared" si="5350"/>
        <v>SPECWAR-GRP ONE</v>
      </c>
      <c r="B14689" t="str">
        <f>T("3632 GUADAL CANAL RD")</f>
        <v>3632 GUADAL CANAL RD</v>
      </c>
      <c r="C14689" t="str">
        <f>T("BLDG 165")</f>
        <v>BLDG 165</v>
      </c>
      <c r="D14689" t="str">
        <f t="shared" si="5351"/>
        <v>SAN DIEGO</v>
      </c>
      <c r="E14689" t="str">
        <f t="shared" si="5352"/>
        <v>CA</v>
      </c>
      <c r="F14689" t="str">
        <f t="shared" ref="F14689:F14733" si="5356">T("921555504")</f>
        <v>921555504</v>
      </c>
      <c r="G14689" t="str">
        <f>T("3632 GUADAL CANAL RD")</f>
        <v>3632 GUADAL CANAL RD</v>
      </c>
      <c r="H14689" t="str">
        <f t="shared" si="5355"/>
        <v>BLDG 165</v>
      </c>
      <c r="I14689" t="str">
        <f t="shared" si="5353"/>
        <v>SAN DIEGO</v>
      </c>
      <c r="J14689" t="str">
        <f t="shared" si="5354"/>
        <v>CA</v>
      </c>
      <c r="K14689" t="str">
        <f>T("")</f>
        <v/>
      </c>
      <c r="L14689" t="str">
        <f>T("6195733760")</f>
        <v>6195733760</v>
      </c>
    </row>
    <row r="14690" spans="1:12" x14ac:dyDescent="0.35">
      <c r="A14690" t="str">
        <f t="shared" si="5350"/>
        <v>SPECWAR-GRP ONE</v>
      </c>
      <c r="B14690" t="str">
        <f>T("3632 GUADAL CANAL RD")</f>
        <v>3632 GUADAL CANAL RD</v>
      </c>
      <c r="C14690" t="str">
        <f>T("BLDG 165")</f>
        <v>BLDG 165</v>
      </c>
      <c r="D14690" t="str">
        <f t="shared" si="5351"/>
        <v>SAN DIEGO</v>
      </c>
      <c r="E14690" t="str">
        <f t="shared" si="5352"/>
        <v>CA</v>
      </c>
      <c r="F14690" t="str">
        <f t="shared" si="5356"/>
        <v>921555504</v>
      </c>
      <c r="G14690" t="str">
        <f>T("3632 GUADALCANAL RD")</f>
        <v>3632 GUADALCANAL RD</v>
      </c>
      <c r="H14690" t="str">
        <f t="shared" si="5355"/>
        <v>BLDG 165</v>
      </c>
      <c r="I14690" t="str">
        <f t="shared" si="5353"/>
        <v>SAN DIEGO</v>
      </c>
      <c r="J14690" t="str">
        <f t="shared" si="5354"/>
        <v>CA</v>
      </c>
      <c r="K14690" t="str">
        <f>T("000000000000000000")</f>
        <v>000000000000000000</v>
      </c>
      <c r="L14690" t="str">
        <f>T("6194373418")</f>
        <v>6194373418</v>
      </c>
    </row>
    <row r="14691" spans="1:12" x14ac:dyDescent="0.35">
      <c r="A14691" t="str">
        <f t="shared" si="5350"/>
        <v>SPECWAR-GRP ONE</v>
      </c>
      <c r="B14691" t="str">
        <f>T("3632 GUADAL CANAL RD")</f>
        <v>3632 GUADAL CANAL RD</v>
      </c>
      <c r="C14691" t="str">
        <f>T("BLDG 165")</f>
        <v>BLDG 165</v>
      </c>
      <c r="D14691" t="str">
        <f t="shared" si="5351"/>
        <v>SAN DIEGO</v>
      </c>
      <c r="E14691" t="str">
        <f t="shared" si="5352"/>
        <v>CA</v>
      </c>
      <c r="F14691" t="str">
        <f t="shared" si="5356"/>
        <v>921555504</v>
      </c>
      <c r="G14691" t="str">
        <f>T("3632 GUADALCANAL RD")</f>
        <v>3632 GUADALCANAL RD</v>
      </c>
      <c r="H14691" t="str">
        <f t="shared" si="5355"/>
        <v>BLDG 165</v>
      </c>
      <c r="I14691" t="str">
        <f t="shared" si="5353"/>
        <v>SAN DIEGO</v>
      </c>
      <c r="J14691" t="str">
        <f t="shared" si="5354"/>
        <v>CA</v>
      </c>
      <c r="K14691" t="str">
        <f>T("000000000000000000")</f>
        <v>000000000000000000</v>
      </c>
      <c r="L14691" t="str">
        <f>T("6195373759")</f>
        <v>6195373759</v>
      </c>
    </row>
    <row r="14692" spans="1:12" x14ac:dyDescent="0.35">
      <c r="A14692" t="str">
        <f t="shared" si="5350"/>
        <v>SPECWAR-GRP ONE</v>
      </c>
      <c r="B14692" t="str">
        <f>T("3632 GUADAL CANAL RDD")</f>
        <v>3632 GUADAL CANAL RDD</v>
      </c>
      <c r="C14692" t="str">
        <f>T("BLDG 147")</f>
        <v>BLDG 147</v>
      </c>
      <c r="D14692" t="str">
        <f t="shared" si="5351"/>
        <v>SAN DIEGO</v>
      </c>
      <c r="E14692" t="str">
        <f t="shared" si="5352"/>
        <v>CA</v>
      </c>
      <c r="F14692" t="str">
        <f t="shared" si="5356"/>
        <v>921555504</v>
      </c>
      <c r="G14692" t="str">
        <f>T("3632 GUADAL CANAL RDD")</f>
        <v>3632 GUADAL CANAL RDD</v>
      </c>
      <c r="H14692" t="str">
        <f>T("BLDG 147")</f>
        <v>BLDG 147</v>
      </c>
      <c r="I14692" t="str">
        <f t="shared" si="5353"/>
        <v>SAN DIEGO</v>
      </c>
      <c r="J14692" t="str">
        <f t="shared" si="5354"/>
        <v>CA</v>
      </c>
      <c r="K14692" t="str">
        <f>T("6194370944")</f>
        <v>6194370944</v>
      </c>
      <c r="L14692" t="str">
        <f>T("6194370976")</f>
        <v>6194370976</v>
      </c>
    </row>
    <row r="14693" spans="1:12" x14ac:dyDescent="0.35">
      <c r="A14693" t="str">
        <f t="shared" si="5350"/>
        <v>SPECWAR-GRP ONE</v>
      </c>
      <c r="B14693" t="str">
        <f>T("3632 GUADAL CANAL RDD")</f>
        <v>3632 GUADAL CANAL RDD</v>
      </c>
      <c r="C14693" t="str">
        <f>T("BLDG 147")</f>
        <v>BLDG 147</v>
      </c>
      <c r="D14693" t="str">
        <f t="shared" si="5351"/>
        <v>SAN DIEGO</v>
      </c>
      <c r="E14693" t="str">
        <f t="shared" si="5352"/>
        <v>CA</v>
      </c>
      <c r="F14693" t="str">
        <f t="shared" si="5356"/>
        <v>921555504</v>
      </c>
      <c r="G14693" t="str">
        <f t="shared" ref="G14693:G14700" si="5357">T("3632 GUADALCANAL RD")</f>
        <v>3632 GUADALCANAL RD</v>
      </c>
      <c r="H14693" t="str">
        <f>T("BLDG 147")</f>
        <v>BLDG 147</v>
      </c>
      <c r="I14693" t="str">
        <f t="shared" si="5353"/>
        <v>SAN DIEGO</v>
      </c>
      <c r="J14693" t="str">
        <f t="shared" si="5354"/>
        <v>CA</v>
      </c>
      <c r="K14693" t="str">
        <f>T("000000000000000000")</f>
        <v>000000000000000000</v>
      </c>
      <c r="L14693" t="str">
        <f>T("6195373169")</f>
        <v>6195373169</v>
      </c>
    </row>
    <row r="14694" spans="1:12" x14ac:dyDescent="0.35">
      <c r="A14694" t="str">
        <f t="shared" si="5350"/>
        <v>SPECWAR-GRP ONE</v>
      </c>
      <c r="B14694" t="str">
        <f t="shared" ref="B14694:B14712" si="5358">T("3632 GUADALCANAL RD")</f>
        <v>3632 GUADALCANAL RD</v>
      </c>
      <c r="C14694" t="str">
        <f t="shared" ref="C14694:C14702" si="5359">T("")</f>
        <v/>
      </c>
      <c r="D14694" t="str">
        <f t="shared" si="5351"/>
        <v>SAN DIEGO</v>
      </c>
      <c r="E14694" t="str">
        <f t="shared" si="5352"/>
        <v>CA</v>
      </c>
      <c r="F14694" t="str">
        <f t="shared" si="5356"/>
        <v>921555504</v>
      </c>
      <c r="G14694" t="str">
        <f t="shared" si="5357"/>
        <v>3632 GUADALCANAL RD</v>
      </c>
      <c r="H14694" t="str">
        <f>T("")</f>
        <v/>
      </c>
      <c r="I14694" t="str">
        <f t="shared" si="5353"/>
        <v>SAN DIEGO</v>
      </c>
      <c r="J14694" t="str">
        <f t="shared" si="5354"/>
        <v>CA</v>
      </c>
      <c r="K14694" t="str">
        <f>T("")</f>
        <v/>
      </c>
      <c r="L14694" t="str">
        <f>T("6195373408")</f>
        <v>6195373408</v>
      </c>
    </row>
    <row r="14695" spans="1:12" x14ac:dyDescent="0.35">
      <c r="A14695" t="str">
        <f t="shared" si="5350"/>
        <v>SPECWAR-GRP ONE</v>
      </c>
      <c r="B14695" t="str">
        <f t="shared" si="5358"/>
        <v>3632 GUADALCANAL RD</v>
      </c>
      <c r="C14695" t="str">
        <f t="shared" si="5359"/>
        <v/>
      </c>
      <c r="D14695" t="str">
        <f t="shared" si="5351"/>
        <v>SAN DIEGO</v>
      </c>
      <c r="E14695" t="str">
        <f t="shared" si="5352"/>
        <v>CA</v>
      </c>
      <c r="F14695" t="str">
        <f t="shared" si="5356"/>
        <v>921555504</v>
      </c>
      <c r="G14695" t="str">
        <f t="shared" si="5357"/>
        <v>3632 GUADALCANAL RD</v>
      </c>
      <c r="H14695" t="str">
        <f>T("")</f>
        <v/>
      </c>
      <c r="I14695" t="str">
        <f t="shared" si="5353"/>
        <v>SAN DIEGO</v>
      </c>
      <c r="J14695" t="str">
        <f t="shared" si="5354"/>
        <v>CA</v>
      </c>
      <c r="K14695" t="str">
        <f t="shared" ref="K14695:K14702" si="5360">T("000000000000000000")</f>
        <v>000000000000000000</v>
      </c>
      <c r="L14695" t="str">
        <f>T("6195373211")</f>
        <v>6195373211</v>
      </c>
    </row>
    <row r="14696" spans="1:12" x14ac:dyDescent="0.35">
      <c r="A14696" t="str">
        <f t="shared" si="5350"/>
        <v>SPECWAR-GRP ONE</v>
      </c>
      <c r="B14696" t="str">
        <f t="shared" si="5358"/>
        <v>3632 GUADALCANAL RD</v>
      </c>
      <c r="C14696" t="str">
        <f t="shared" si="5359"/>
        <v/>
      </c>
      <c r="D14696" t="str">
        <f t="shared" si="5351"/>
        <v>SAN DIEGO</v>
      </c>
      <c r="E14696" t="str">
        <f t="shared" si="5352"/>
        <v>CA</v>
      </c>
      <c r="F14696" t="str">
        <f t="shared" si="5356"/>
        <v>921555504</v>
      </c>
      <c r="G14696" t="str">
        <f t="shared" si="5357"/>
        <v>3632 GUADALCANAL RD</v>
      </c>
      <c r="H14696" t="str">
        <f>T("")</f>
        <v/>
      </c>
      <c r="I14696" t="str">
        <f t="shared" si="5353"/>
        <v>SAN DIEGO</v>
      </c>
      <c r="J14696" t="str">
        <f t="shared" si="5354"/>
        <v>CA</v>
      </c>
      <c r="K14696" t="str">
        <f t="shared" si="5360"/>
        <v>000000000000000000</v>
      </c>
      <c r="L14696" t="str">
        <f>T("6195373407")</f>
        <v>6195373407</v>
      </c>
    </row>
    <row r="14697" spans="1:12" x14ac:dyDescent="0.35">
      <c r="A14697" t="str">
        <f t="shared" si="5350"/>
        <v>SPECWAR-GRP ONE</v>
      </c>
      <c r="B14697" t="str">
        <f t="shared" si="5358"/>
        <v>3632 GUADALCANAL RD</v>
      </c>
      <c r="C14697" t="str">
        <f t="shared" si="5359"/>
        <v/>
      </c>
      <c r="D14697" t="str">
        <f t="shared" si="5351"/>
        <v>SAN DIEGO</v>
      </c>
      <c r="E14697" t="str">
        <f t="shared" si="5352"/>
        <v>CA</v>
      </c>
      <c r="F14697" t="str">
        <f t="shared" si="5356"/>
        <v>921555504</v>
      </c>
      <c r="G14697" t="str">
        <f t="shared" si="5357"/>
        <v>3632 GUADALCANAL RD</v>
      </c>
      <c r="H14697" t="str">
        <f t="shared" ref="H14697:H14702" si="5361">T("BLDG 165")</f>
        <v>BLDG 165</v>
      </c>
      <c r="I14697" t="str">
        <f t="shared" si="5353"/>
        <v>SAN DIEGO</v>
      </c>
      <c r="J14697" t="str">
        <f t="shared" si="5354"/>
        <v>CA</v>
      </c>
      <c r="K14697" t="str">
        <f t="shared" si="5360"/>
        <v>000000000000000000</v>
      </c>
      <c r="L14697" t="str">
        <f>T("6195371546")</f>
        <v>6195371546</v>
      </c>
    </row>
    <row r="14698" spans="1:12" x14ac:dyDescent="0.35">
      <c r="A14698" t="str">
        <f t="shared" si="5350"/>
        <v>SPECWAR-GRP ONE</v>
      </c>
      <c r="B14698" t="str">
        <f t="shared" si="5358"/>
        <v>3632 GUADALCANAL RD</v>
      </c>
      <c r="C14698" t="str">
        <f t="shared" si="5359"/>
        <v/>
      </c>
      <c r="D14698" t="str">
        <f t="shared" si="5351"/>
        <v>SAN DIEGO</v>
      </c>
      <c r="E14698" t="str">
        <f t="shared" si="5352"/>
        <v>CA</v>
      </c>
      <c r="F14698" t="str">
        <f t="shared" si="5356"/>
        <v>921555504</v>
      </c>
      <c r="G14698" t="str">
        <f t="shared" si="5357"/>
        <v>3632 GUADALCANAL RD</v>
      </c>
      <c r="H14698" t="str">
        <f t="shared" si="5361"/>
        <v>BLDG 165</v>
      </c>
      <c r="I14698" t="str">
        <f t="shared" si="5353"/>
        <v>SAN DIEGO</v>
      </c>
      <c r="J14698" t="str">
        <f t="shared" si="5354"/>
        <v>CA</v>
      </c>
      <c r="K14698" t="str">
        <f t="shared" si="5360"/>
        <v>000000000000000000</v>
      </c>
      <c r="L14698" t="str">
        <f>T("6195373211")</f>
        <v>6195373211</v>
      </c>
    </row>
    <row r="14699" spans="1:12" x14ac:dyDescent="0.35">
      <c r="A14699" t="str">
        <f t="shared" si="5350"/>
        <v>SPECWAR-GRP ONE</v>
      </c>
      <c r="B14699" t="str">
        <f t="shared" si="5358"/>
        <v>3632 GUADALCANAL RD</v>
      </c>
      <c r="C14699" t="str">
        <f t="shared" si="5359"/>
        <v/>
      </c>
      <c r="D14699" t="str">
        <f t="shared" si="5351"/>
        <v>SAN DIEGO</v>
      </c>
      <c r="E14699" t="str">
        <f t="shared" si="5352"/>
        <v>CA</v>
      </c>
      <c r="F14699" t="str">
        <f t="shared" si="5356"/>
        <v>921555504</v>
      </c>
      <c r="G14699" t="str">
        <f t="shared" si="5357"/>
        <v>3632 GUADALCANAL RD</v>
      </c>
      <c r="H14699" t="str">
        <f t="shared" si="5361"/>
        <v>BLDG 165</v>
      </c>
      <c r="I14699" t="str">
        <f t="shared" si="5353"/>
        <v>SAN DIEGO</v>
      </c>
      <c r="J14699" t="str">
        <f t="shared" si="5354"/>
        <v>CA</v>
      </c>
      <c r="K14699" t="str">
        <f t="shared" si="5360"/>
        <v>000000000000000000</v>
      </c>
      <c r="L14699" t="str">
        <f>T("6195373415")</f>
        <v>6195373415</v>
      </c>
    </row>
    <row r="14700" spans="1:12" x14ac:dyDescent="0.35">
      <c r="A14700" t="str">
        <f t="shared" si="5350"/>
        <v>SPECWAR-GRP ONE</v>
      </c>
      <c r="B14700" t="str">
        <f t="shared" si="5358"/>
        <v>3632 GUADALCANAL RD</v>
      </c>
      <c r="C14700" t="str">
        <f t="shared" si="5359"/>
        <v/>
      </c>
      <c r="D14700" t="str">
        <f t="shared" si="5351"/>
        <v>SAN DIEGO</v>
      </c>
      <c r="E14700" t="str">
        <f t="shared" si="5352"/>
        <v>CA</v>
      </c>
      <c r="F14700" t="str">
        <f t="shared" si="5356"/>
        <v>921555504</v>
      </c>
      <c r="G14700" t="str">
        <f t="shared" si="5357"/>
        <v>3632 GUADALCANAL RD</v>
      </c>
      <c r="H14700" t="str">
        <f t="shared" si="5361"/>
        <v>BLDG 165</v>
      </c>
      <c r="I14700" t="str">
        <f t="shared" si="5353"/>
        <v>SAN DIEGO</v>
      </c>
      <c r="J14700" t="str">
        <f t="shared" si="5354"/>
        <v>CA</v>
      </c>
      <c r="K14700" t="str">
        <f t="shared" si="5360"/>
        <v>000000000000000000</v>
      </c>
      <c r="L14700" t="str">
        <f>T("6195373423")</f>
        <v>6195373423</v>
      </c>
    </row>
    <row r="14701" spans="1:12" x14ac:dyDescent="0.35">
      <c r="A14701" t="str">
        <f t="shared" si="5350"/>
        <v>SPECWAR-GRP ONE</v>
      </c>
      <c r="B14701" t="str">
        <f t="shared" si="5358"/>
        <v>3632 GUADALCANAL RD</v>
      </c>
      <c r="C14701" t="str">
        <f t="shared" si="5359"/>
        <v/>
      </c>
      <c r="D14701" t="str">
        <f t="shared" si="5351"/>
        <v>SAN DIEGO</v>
      </c>
      <c r="E14701" t="str">
        <f t="shared" si="5352"/>
        <v>CA</v>
      </c>
      <c r="F14701" t="str">
        <f t="shared" si="5356"/>
        <v>921555504</v>
      </c>
      <c r="G14701" t="str">
        <f>T("3632 GUADALCANAL ROAD")</f>
        <v>3632 GUADALCANAL ROAD</v>
      </c>
      <c r="H14701" t="str">
        <f t="shared" si="5361"/>
        <v>BLDG 165</v>
      </c>
      <c r="I14701" t="str">
        <f t="shared" si="5353"/>
        <v>SAN DIEGO</v>
      </c>
      <c r="J14701" t="str">
        <f t="shared" si="5354"/>
        <v>CA</v>
      </c>
      <c r="K14701" t="str">
        <f t="shared" si="5360"/>
        <v>000000000000000000</v>
      </c>
      <c r="L14701" t="str">
        <f>T("6195373342")</f>
        <v>6195373342</v>
      </c>
    </row>
    <row r="14702" spans="1:12" x14ac:dyDescent="0.35">
      <c r="A14702" t="str">
        <f t="shared" si="5350"/>
        <v>SPECWAR-GRP ONE</v>
      </c>
      <c r="B14702" t="str">
        <f t="shared" si="5358"/>
        <v>3632 GUADALCANAL RD</v>
      </c>
      <c r="C14702" t="str">
        <f t="shared" si="5359"/>
        <v/>
      </c>
      <c r="D14702" t="str">
        <f t="shared" si="5351"/>
        <v>SAN DIEGO</v>
      </c>
      <c r="E14702" t="str">
        <f t="shared" si="5352"/>
        <v>CA</v>
      </c>
      <c r="F14702" t="str">
        <f t="shared" si="5356"/>
        <v>921555504</v>
      </c>
      <c r="G14702" t="str">
        <f>T("3632 GUADALCANAL ROAD")</f>
        <v>3632 GUADALCANAL ROAD</v>
      </c>
      <c r="H14702" t="str">
        <f t="shared" si="5361"/>
        <v>BLDG 165</v>
      </c>
      <c r="I14702" t="str">
        <f t="shared" si="5353"/>
        <v>SAN DIEGO</v>
      </c>
      <c r="J14702" t="str">
        <f t="shared" si="5354"/>
        <v>CA</v>
      </c>
      <c r="K14702" t="str">
        <f t="shared" si="5360"/>
        <v>000000000000000000</v>
      </c>
      <c r="L14702" t="str">
        <f>T("6195373407")</f>
        <v>6195373407</v>
      </c>
    </row>
    <row r="14703" spans="1:12" x14ac:dyDescent="0.35">
      <c r="A14703" t="str">
        <f t="shared" si="5350"/>
        <v>SPECWAR-GRP ONE</v>
      </c>
      <c r="B14703" t="str">
        <f t="shared" si="5358"/>
        <v>3632 GUADALCANAL RD</v>
      </c>
      <c r="C14703" t="str">
        <f>T("BLDG 147")</f>
        <v>BLDG 147</v>
      </c>
      <c r="D14703" t="str">
        <f t="shared" si="5351"/>
        <v>SAN DIEGO</v>
      </c>
      <c r="E14703" t="str">
        <f t="shared" si="5352"/>
        <v>CA</v>
      </c>
      <c r="F14703" t="str">
        <f t="shared" si="5356"/>
        <v>921555504</v>
      </c>
      <c r="G14703" t="str">
        <f>T("3632 GUADALCANAL RD")</f>
        <v>3632 GUADALCANAL RD</v>
      </c>
      <c r="H14703" t="str">
        <f>T("BLDG 147")</f>
        <v>BLDG 147</v>
      </c>
      <c r="I14703" t="str">
        <f t="shared" si="5353"/>
        <v>SAN DIEGO</v>
      </c>
      <c r="J14703" t="str">
        <f t="shared" si="5354"/>
        <v>CA</v>
      </c>
      <c r="K14703" t="str">
        <f>T("")</f>
        <v/>
      </c>
      <c r="L14703" t="str">
        <f>T("6195373147")</f>
        <v>6195373147</v>
      </c>
    </row>
    <row r="14704" spans="1:12" x14ac:dyDescent="0.35">
      <c r="A14704" t="str">
        <f t="shared" si="5350"/>
        <v>SPECWAR-GRP ONE</v>
      </c>
      <c r="B14704" t="str">
        <f t="shared" si="5358"/>
        <v>3632 GUADALCANAL RD</v>
      </c>
      <c r="C14704" t="str">
        <f t="shared" ref="C14704:C14709" si="5362">T("BLDG 165")</f>
        <v>BLDG 165</v>
      </c>
      <c r="D14704" t="str">
        <f t="shared" si="5351"/>
        <v>SAN DIEGO</v>
      </c>
      <c r="E14704" t="str">
        <f t="shared" si="5352"/>
        <v>CA</v>
      </c>
      <c r="F14704" t="str">
        <f t="shared" si="5356"/>
        <v>921555504</v>
      </c>
      <c r="G14704" t="str">
        <f>T("3632 GUADALCANAL RD")</f>
        <v>3632 GUADALCANAL RD</v>
      </c>
      <c r="H14704" t="str">
        <f t="shared" ref="H14704:H14709" si="5363">T("BLDG 165")</f>
        <v>BLDG 165</v>
      </c>
      <c r="I14704" t="str">
        <f t="shared" si="5353"/>
        <v>SAN DIEGO</v>
      </c>
      <c r="J14704" t="str">
        <f t="shared" si="5354"/>
        <v>CA</v>
      </c>
      <c r="K14704" t="str">
        <f>T("")</f>
        <v/>
      </c>
      <c r="L14704" t="str">
        <f>T("6195371321")</f>
        <v>6195371321</v>
      </c>
    </row>
    <row r="14705" spans="1:12" x14ac:dyDescent="0.35">
      <c r="A14705" t="str">
        <f t="shared" si="5350"/>
        <v>SPECWAR-GRP ONE</v>
      </c>
      <c r="B14705" t="str">
        <f t="shared" si="5358"/>
        <v>3632 GUADALCANAL RD</v>
      </c>
      <c r="C14705" t="str">
        <f t="shared" si="5362"/>
        <v>BLDG 165</v>
      </c>
      <c r="D14705" t="str">
        <f t="shared" si="5351"/>
        <v>SAN DIEGO</v>
      </c>
      <c r="E14705" t="str">
        <f t="shared" si="5352"/>
        <v>CA</v>
      </c>
      <c r="F14705" t="str">
        <f t="shared" si="5356"/>
        <v>921555504</v>
      </c>
      <c r="G14705" t="str">
        <f>T("3632 GUADALCANAL RD")</f>
        <v>3632 GUADALCANAL RD</v>
      </c>
      <c r="H14705" t="str">
        <f t="shared" si="5363"/>
        <v>BLDG 165</v>
      </c>
      <c r="I14705" t="str">
        <f t="shared" si="5353"/>
        <v>SAN DIEGO</v>
      </c>
      <c r="J14705" t="str">
        <f t="shared" si="5354"/>
        <v>CA</v>
      </c>
      <c r="K14705" t="str">
        <f t="shared" ref="K14705:K14710" si="5364">T("000000000000000000")</f>
        <v>000000000000000000</v>
      </c>
      <c r="L14705" t="str">
        <f>T("6195373609")</f>
        <v>6195373609</v>
      </c>
    </row>
    <row r="14706" spans="1:12" x14ac:dyDescent="0.35">
      <c r="A14706" t="str">
        <f t="shared" si="5350"/>
        <v>SPECWAR-GRP ONE</v>
      </c>
      <c r="B14706" t="str">
        <f t="shared" si="5358"/>
        <v>3632 GUADALCANAL RD</v>
      </c>
      <c r="C14706" t="str">
        <f t="shared" si="5362"/>
        <v>BLDG 165</v>
      </c>
      <c r="D14706" t="str">
        <f t="shared" si="5351"/>
        <v>SAN DIEGO</v>
      </c>
      <c r="E14706" t="str">
        <f t="shared" si="5352"/>
        <v>CA</v>
      </c>
      <c r="F14706" t="str">
        <f t="shared" si="5356"/>
        <v>921555504</v>
      </c>
      <c r="G14706" t="str">
        <f>T("3632 GUADALCANAL RD")</f>
        <v>3632 GUADALCANAL RD</v>
      </c>
      <c r="H14706" t="str">
        <f t="shared" si="5363"/>
        <v>BLDG 165</v>
      </c>
      <c r="I14706" t="str">
        <f t="shared" si="5353"/>
        <v>SAN DIEGO</v>
      </c>
      <c r="J14706" t="str">
        <f t="shared" si="5354"/>
        <v>CA</v>
      </c>
      <c r="K14706" t="str">
        <f t="shared" si="5364"/>
        <v>000000000000000000</v>
      </c>
      <c r="L14706" t="str">
        <f>T("6195373831")</f>
        <v>6195373831</v>
      </c>
    </row>
    <row r="14707" spans="1:12" x14ac:dyDescent="0.35">
      <c r="A14707" t="str">
        <f t="shared" si="5350"/>
        <v>SPECWAR-GRP ONE</v>
      </c>
      <c r="B14707" t="str">
        <f t="shared" si="5358"/>
        <v>3632 GUADALCANAL RD</v>
      </c>
      <c r="C14707" t="str">
        <f t="shared" si="5362"/>
        <v>BLDG 165</v>
      </c>
      <c r="D14707" t="str">
        <f t="shared" si="5351"/>
        <v>SAN DIEGO</v>
      </c>
      <c r="E14707" t="str">
        <f t="shared" si="5352"/>
        <v>CA</v>
      </c>
      <c r="F14707" t="str">
        <f t="shared" si="5356"/>
        <v>921555504</v>
      </c>
      <c r="G14707" t="str">
        <f>T("3632 GUADALCANAL RD")</f>
        <v>3632 GUADALCANAL RD</v>
      </c>
      <c r="H14707" t="str">
        <f t="shared" si="5363"/>
        <v>BLDG 165</v>
      </c>
      <c r="I14707" t="str">
        <f t="shared" si="5353"/>
        <v>SAN DIEGO</v>
      </c>
      <c r="J14707" t="str">
        <f t="shared" si="5354"/>
        <v>CA</v>
      </c>
      <c r="K14707" t="str">
        <f t="shared" si="5364"/>
        <v>000000000000000000</v>
      </c>
      <c r="L14707" t="str">
        <f>T("6195375553")</f>
        <v>6195375553</v>
      </c>
    </row>
    <row r="14708" spans="1:12" x14ac:dyDescent="0.35">
      <c r="A14708" t="str">
        <f t="shared" si="5350"/>
        <v>SPECWAR-GRP ONE</v>
      </c>
      <c r="B14708" t="str">
        <f t="shared" si="5358"/>
        <v>3632 GUADALCANAL RD</v>
      </c>
      <c r="C14708" t="str">
        <f t="shared" si="5362"/>
        <v>BLDG 165</v>
      </c>
      <c r="D14708" t="str">
        <f t="shared" si="5351"/>
        <v>SAN DIEGO</v>
      </c>
      <c r="E14708" t="str">
        <f t="shared" si="5352"/>
        <v>CA</v>
      </c>
      <c r="F14708" t="str">
        <f t="shared" si="5356"/>
        <v>921555504</v>
      </c>
      <c r="G14708" t="str">
        <f>T("3632 GUADALCANAL ROAD")</f>
        <v>3632 GUADALCANAL ROAD</v>
      </c>
      <c r="H14708" t="str">
        <f t="shared" si="5363"/>
        <v>BLDG 165</v>
      </c>
      <c r="I14708" t="str">
        <f t="shared" si="5353"/>
        <v>SAN DIEGO</v>
      </c>
      <c r="J14708" t="str">
        <f t="shared" si="5354"/>
        <v>CA</v>
      </c>
      <c r="K14708" t="str">
        <f t="shared" si="5364"/>
        <v>000000000000000000</v>
      </c>
      <c r="L14708" t="str">
        <f>T("6195371304")</f>
        <v>6195371304</v>
      </c>
    </row>
    <row r="14709" spans="1:12" x14ac:dyDescent="0.35">
      <c r="A14709" t="str">
        <f t="shared" si="5350"/>
        <v>SPECWAR-GRP ONE</v>
      </c>
      <c r="B14709" t="str">
        <f t="shared" si="5358"/>
        <v>3632 GUADALCANAL RD</v>
      </c>
      <c r="C14709" t="str">
        <f t="shared" si="5362"/>
        <v>BLDG 165</v>
      </c>
      <c r="D14709" t="str">
        <f t="shared" si="5351"/>
        <v>SAN DIEGO</v>
      </c>
      <c r="E14709" t="str">
        <f t="shared" si="5352"/>
        <v>CA</v>
      </c>
      <c r="F14709" t="str">
        <f t="shared" si="5356"/>
        <v>921555504</v>
      </c>
      <c r="G14709" t="str">
        <f>T("3632 GUADALCANAL ROAD")</f>
        <v>3632 GUADALCANAL ROAD</v>
      </c>
      <c r="H14709" t="str">
        <f t="shared" si="5363"/>
        <v>BLDG 165</v>
      </c>
      <c r="I14709" t="str">
        <f t="shared" si="5353"/>
        <v>SAN DIEGO</v>
      </c>
      <c r="J14709" t="str">
        <f t="shared" si="5354"/>
        <v>CA</v>
      </c>
      <c r="K14709" t="str">
        <f t="shared" si="5364"/>
        <v>000000000000000000</v>
      </c>
      <c r="L14709" t="str">
        <f>T("6195373757")</f>
        <v>6195373757</v>
      </c>
    </row>
    <row r="14710" spans="1:12" x14ac:dyDescent="0.35">
      <c r="A14710" t="str">
        <f t="shared" si="5350"/>
        <v>SPECWAR-GRP ONE</v>
      </c>
      <c r="B14710" t="str">
        <f t="shared" si="5358"/>
        <v>3632 GUADALCANAL RD</v>
      </c>
      <c r="C14710" t="str">
        <f>T("BLDG 165 WEST")</f>
        <v>BLDG 165 WEST</v>
      </c>
      <c r="D14710" t="str">
        <f t="shared" si="5351"/>
        <v>SAN DIEGO</v>
      </c>
      <c r="E14710" t="str">
        <f t="shared" si="5352"/>
        <v>CA</v>
      </c>
      <c r="F14710" t="str">
        <f t="shared" si="5356"/>
        <v>921555504</v>
      </c>
      <c r="G14710" t="str">
        <f>T("2348 TRIDENT WAY")</f>
        <v>2348 TRIDENT WAY</v>
      </c>
      <c r="H14710" t="str">
        <f>T("")</f>
        <v/>
      </c>
      <c r="I14710" t="str">
        <f t="shared" si="5353"/>
        <v>SAN DIEGO</v>
      </c>
      <c r="J14710" t="str">
        <f t="shared" si="5354"/>
        <v>CA</v>
      </c>
      <c r="K14710" t="str">
        <f t="shared" si="5364"/>
        <v>000000000000000000</v>
      </c>
      <c r="L14710" t="str">
        <f>T("6195371713")</f>
        <v>6195371713</v>
      </c>
    </row>
    <row r="14711" spans="1:12" x14ac:dyDescent="0.35">
      <c r="A14711" t="str">
        <f t="shared" si="5350"/>
        <v>SPECWAR-GRP ONE</v>
      </c>
      <c r="B14711" t="str">
        <f t="shared" si="5358"/>
        <v>3632 GUADALCANAL RD</v>
      </c>
      <c r="C14711" t="str">
        <f>T("BLDG 165 WEST")</f>
        <v>BLDG 165 WEST</v>
      </c>
      <c r="D14711" t="str">
        <f t="shared" si="5351"/>
        <v>SAN DIEGO</v>
      </c>
      <c r="E14711" t="str">
        <f t="shared" si="5352"/>
        <v>CA</v>
      </c>
      <c r="F14711" t="str">
        <f t="shared" si="5356"/>
        <v>921555504</v>
      </c>
      <c r="G14711" t="str">
        <f>T("3632 GUADALCANAL RD")</f>
        <v>3632 GUADALCANAL RD</v>
      </c>
      <c r="H14711" t="str">
        <f>T("BLDG 165 WEST")</f>
        <v>BLDG 165 WEST</v>
      </c>
      <c r="I14711" t="str">
        <f t="shared" si="5353"/>
        <v>SAN DIEGO</v>
      </c>
      <c r="J14711" t="str">
        <f t="shared" si="5354"/>
        <v>CA</v>
      </c>
      <c r="K14711" t="str">
        <f>T("6194373547")</f>
        <v>6194373547</v>
      </c>
      <c r="L14711" t="str">
        <f>T("6194373339")</f>
        <v>6194373339</v>
      </c>
    </row>
    <row r="14712" spans="1:12" x14ac:dyDescent="0.35">
      <c r="A14712" t="str">
        <f t="shared" si="5350"/>
        <v>SPECWAR-GRP ONE</v>
      </c>
      <c r="B14712" t="str">
        <f t="shared" si="5358"/>
        <v>3632 GUADALCANAL RD</v>
      </c>
      <c r="C14712" t="str">
        <f>T("BLDG 165 WEST")</f>
        <v>BLDG 165 WEST</v>
      </c>
      <c r="D14712" t="str">
        <f t="shared" si="5351"/>
        <v>SAN DIEGO</v>
      </c>
      <c r="E14712" t="str">
        <f t="shared" si="5352"/>
        <v>CA</v>
      </c>
      <c r="F14712" t="str">
        <f t="shared" si="5356"/>
        <v>921555504</v>
      </c>
      <c r="G14712" t="str">
        <f>T("3632 GUADALCANAL ROAD")</f>
        <v>3632 GUADALCANAL ROAD</v>
      </c>
      <c r="H14712" t="str">
        <f t="shared" ref="H14712:H14718" si="5365">T("BLDG 165")</f>
        <v>BLDG 165</v>
      </c>
      <c r="I14712" t="str">
        <f t="shared" si="5353"/>
        <v>SAN DIEGO</v>
      </c>
      <c r="J14712" t="str">
        <f t="shared" si="5354"/>
        <v>CA</v>
      </c>
      <c r="K14712" t="str">
        <f t="shared" ref="K14712:K14718" si="5366">T("000000000000000000")</f>
        <v>000000000000000000</v>
      </c>
      <c r="L14712" t="str">
        <f>T("6195373897")</f>
        <v>6195373897</v>
      </c>
    </row>
    <row r="14713" spans="1:12" x14ac:dyDescent="0.35">
      <c r="A14713" t="str">
        <f t="shared" si="5350"/>
        <v>SPECWAR-GRP ONE</v>
      </c>
      <c r="B14713" t="str">
        <f>T("3632 GUADALCANAL RDAD")</f>
        <v>3632 GUADALCANAL RDAD</v>
      </c>
      <c r="C14713" t="str">
        <f>T("BLDG 165")</f>
        <v>BLDG 165</v>
      </c>
      <c r="D14713" t="str">
        <f t="shared" si="5351"/>
        <v>SAN DIEGO</v>
      </c>
      <c r="E14713" t="str">
        <f t="shared" si="5352"/>
        <v>CA</v>
      </c>
      <c r="F14713" t="str">
        <f t="shared" si="5356"/>
        <v>921555504</v>
      </c>
      <c r="G14713" t="str">
        <f>T("3632 GUADALCANAL RD")</f>
        <v>3632 GUADALCANAL RD</v>
      </c>
      <c r="H14713" t="str">
        <f t="shared" si="5365"/>
        <v>BLDG 165</v>
      </c>
      <c r="I14713" t="str">
        <f t="shared" si="5353"/>
        <v>SAN DIEGO</v>
      </c>
      <c r="J14713" t="str">
        <f t="shared" si="5354"/>
        <v>CA</v>
      </c>
      <c r="K14713" t="str">
        <f t="shared" si="5366"/>
        <v>000000000000000000</v>
      </c>
      <c r="L14713" t="str">
        <f>T("6194375719")</f>
        <v>6194375719</v>
      </c>
    </row>
    <row r="14714" spans="1:12" x14ac:dyDescent="0.35">
      <c r="A14714" t="str">
        <f t="shared" si="5350"/>
        <v>SPECWAR-GRP ONE</v>
      </c>
      <c r="B14714" t="str">
        <f>T("3632 GUADALCANAL RDAD")</f>
        <v>3632 GUADALCANAL RDAD</v>
      </c>
      <c r="C14714" t="str">
        <f>T("BLDG 165")</f>
        <v>BLDG 165</v>
      </c>
      <c r="D14714" t="str">
        <f t="shared" si="5351"/>
        <v>SAN DIEGO</v>
      </c>
      <c r="E14714" t="str">
        <f t="shared" si="5352"/>
        <v>CA</v>
      </c>
      <c r="F14714" t="str">
        <f t="shared" si="5356"/>
        <v>921555504</v>
      </c>
      <c r="G14714" t="str">
        <f>T("3632 GUADALCANAL RD")</f>
        <v>3632 GUADALCANAL RD</v>
      </c>
      <c r="H14714" t="str">
        <f t="shared" si="5365"/>
        <v>BLDG 165</v>
      </c>
      <c r="I14714" t="str">
        <f t="shared" si="5353"/>
        <v>SAN DIEGO</v>
      </c>
      <c r="J14714" t="str">
        <f t="shared" si="5354"/>
        <v>CA</v>
      </c>
      <c r="K14714" t="str">
        <f t="shared" si="5366"/>
        <v>000000000000000000</v>
      </c>
      <c r="L14714" t="str">
        <f>T("6195374124")</f>
        <v>6195374124</v>
      </c>
    </row>
    <row r="14715" spans="1:12" x14ac:dyDescent="0.35">
      <c r="A14715" t="str">
        <f t="shared" si="5350"/>
        <v>SPECWAR-GRP ONE</v>
      </c>
      <c r="B14715" t="str">
        <f>T("3632 GUADALCANAL RDAD")</f>
        <v>3632 GUADALCANAL RDAD</v>
      </c>
      <c r="C14715" t="str">
        <f>T("BLDG 165")</f>
        <v>BLDG 165</v>
      </c>
      <c r="D14715" t="str">
        <f t="shared" si="5351"/>
        <v>SAN DIEGO</v>
      </c>
      <c r="E14715" t="str">
        <f t="shared" si="5352"/>
        <v>CA</v>
      </c>
      <c r="F14715" t="str">
        <f t="shared" si="5356"/>
        <v>921555504</v>
      </c>
      <c r="G14715" t="str">
        <f>T("3632 GUADALCANAL RDAD")</f>
        <v>3632 GUADALCANAL RDAD</v>
      </c>
      <c r="H14715" t="str">
        <f t="shared" si="5365"/>
        <v>BLDG 165</v>
      </c>
      <c r="I14715" t="str">
        <f t="shared" si="5353"/>
        <v>SAN DIEGO</v>
      </c>
      <c r="J14715" t="str">
        <f t="shared" si="5354"/>
        <v>CA</v>
      </c>
      <c r="K14715" t="str">
        <f t="shared" si="5366"/>
        <v>000000000000000000</v>
      </c>
      <c r="L14715" t="str">
        <f>T("6194372249")</f>
        <v>6194372249</v>
      </c>
    </row>
    <row r="14716" spans="1:12" x14ac:dyDescent="0.35">
      <c r="A14716" t="str">
        <f t="shared" si="5350"/>
        <v>SPECWAR-GRP ONE</v>
      </c>
      <c r="B14716" t="str">
        <f t="shared" ref="B14716:B14733" si="5367">T("3632 GUADALCANAL ROAD")</f>
        <v>3632 GUADALCANAL ROAD</v>
      </c>
      <c r="C14716" t="str">
        <f>T("")</f>
        <v/>
      </c>
      <c r="D14716" t="str">
        <f t="shared" si="5351"/>
        <v>SAN DIEGO</v>
      </c>
      <c r="E14716" t="str">
        <f t="shared" si="5352"/>
        <v>CA</v>
      </c>
      <c r="F14716" t="str">
        <f t="shared" si="5356"/>
        <v>921555504</v>
      </c>
      <c r="G14716" t="str">
        <f>T("3632 GUADALCANAL RD")</f>
        <v>3632 GUADALCANAL RD</v>
      </c>
      <c r="H14716" t="str">
        <f t="shared" si="5365"/>
        <v>BLDG 165</v>
      </c>
      <c r="I14716" t="str">
        <f t="shared" si="5353"/>
        <v>SAN DIEGO</v>
      </c>
      <c r="J14716" t="str">
        <f t="shared" si="5354"/>
        <v>CA</v>
      </c>
      <c r="K14716" t="str">
        <f t="shared" si="5366"/>
        <v>000000000000000000</v>
      </c>
      <c r="L14716" t="str">
        <f>T("6195373206")</f>
        <v>6195373206</v>
      </c>
    </row>
    <row r="14717" spans="1:12" x14ac:dyDescent="0.35">
      <c r="A14717" t="str">
        <f t="shared" ref="A14717:A14742" si="5368">T("SPECWAR-GRP ONE")</f>
        <v>SPECWAR-GRP ONE</v>
      </c>
      <c r="B14717" t="str">
        <f t="shared" si="5367"/>
        <v>3632 GUADALCANAL ROAD</v>
      </c>
      <c r="C14717" t="str">
        <f>T("")</f>
        <v/>
      </c>
      <c r="D14717" t="str">
        <f t="shared" ref="D14717:D14733" si="5369">T("SAN DIEGO")</f>
        <v>SAN DIEGO</v>
      </c>
      <c r="E14717" t="str">
        <f t="shared" ref="E14717:E14733" si="5370">T("CA")</f>
        <v>CA</v>
      </c>
      <c r="F14717" t="str">
        <f t="shared" si="5356"/>
        <v>921555504</v>
      </c>
      <c r="G14717" t="str">
        <f>T("3632 GUADALCANAL RD")</f>
        <v>3632 GUADALCANAL RD</v>
      </c>
      <c r="H14717" t="str">
        <f t="shared" si="5365"/>
        <v>BLDG 165</v>
      </c>
      <c r="I14717" t="str">
        <f t="shared" ref="I14717:I14733" si="5371">T("SAN DIEGO")</f>
        <v>SAN DIEGO</v>
      </c>
      <c r="J14717" t="str">
        <f t="shared" ref="J14717:J14733" si="5372">T("CA")</f>
        <v>CA</v>
      </c>
      <c r="K14717" t="str">
        <f t="shared" si="5366"/>
        <v>000000000000000000</v>
      </c>
      <c r="L14717" t="str">
        <f>T("6195373793")</f>
        <v>6195373793</v>
      </c>
    </row>
    <row r="14718" spans="1:12" x14ac:dyDescent="0.35">
      <c r="A14718" t="str">
        <f t="shared" si="5368"/>
        <v>SPECWAR-GRP ONE</v>
      </c>
      <c r="B14718" t="str">
        <f t="shared" si="5367"/>
        <v>3632 GUADALCANAL ROAD</v>
      </c>
      <c r="C14718" t="str">
        <f>T("")</f>
        <v/>
      </c>
      <c r="D14718" t="str">
        <f t="shared" si="5369"/>
        <v>SAN DIEGO</v>
      </c>
      <c r="E14718" t="str">
        <f t="shared" si="5370"/>
        <v>CA</v>
      </c>
      <c r="F14718" t="str">
        <f t="shared" si="5356"/>
        <v>921555504</v>
      </c>
      <c r="G14718" t="str">
        <f>T("3632 GUADALCANAL RD")</f>
        <v>3632 GUADALCANAL RD</v>
      </c>
      <c r="H14718" t="str">
        <f t="shared" si="5365"/>
        <v>BLDG 165</v>
      </c>
      <c r="I14718" t="str">
        <f t="shared" si="5371"/>
        <v>SAN DIEGO</v>
      </c>
      <c r="J14718" t="str">
        <f t="shared" si="5372"/>
        <v>CA</v>
      </c>
      <c r="K14718" t="str">
        <f t="shared" si="5366"/>
        <v>000000000000000000</v>
      </c>
      <c r="L14718" t="str">
        <f>T("6195373794")</f>
        <v>6195373794</v>
      </c>
    </row>
    <row r="14719" spans="1:12" x14ac:dyDescent="0.35">
      <c r="A14719" t="str">
        <f t="shared" si="5368"/>
        <v>SPECWAR-GRP ONE</v>
      </c>
      <c r="B14719" t="str">
        <f t="shared" si="5367"/>
        <v>3632 GUADALCANAL ROAD</v>
      </c>
      <c r="C14719" t="str">
        <f>T("")</f>
        <v/>
      </c>
      <c r="D14719" t="str">
        <f t="shared" si="5369"/>
        <v>SAN DIEGO</v>
      </c>
      <c r="E14719" t="str">
        <f t="shared" si="5370"/>
        <v>CA</v>
      </c>
      <c r="F14719" t="str">
        <f t="shared" si="5356"/>
        <v>921555504</v>
      </c>
      <c r="G14719" t="str">
        <f>T("3632 GUADALCANAL ROAD")</f>
        <v>3632 GUADALCANAL ROAD</v>
      </c>
      <c r="H14719" t="str">
        <f>T("")</f>
        <v/>
      </c>
      <c r="I14719" t="str">
        <f t="shared" si="5371"/>
        <v>SAN DIEGO</v>
      </c>
      <c r="J14719" t="str">
        <f t="shared" si="5372"/>
        <v>CA</v>
      </c>
      <c r="K14719" t="str">
        <f>T("")</f>
        <v/>
      </c>
      <c r="L14719" t="str">
        <f>T("6195373793")</f>
        <v>6195373793</v>
      </c>
    </row>
    <row r="14720" spans="1:12" x14ac:dyDescent="0.35">
      <c r="A14720" t="str">
        <f t="shared" si="5368"/>
        <v>SPECWAR-GRP ONE</v>
      </c>
      <c r="B14720" t="str">
        <f t="shared" si="5367"/>
        <v>3632 GUADALCANAL ROAD</v>
      </c>
      <c r="C14720" t="str">
        <f>T("")</f>
        <v/>
      </c>
      <c r="D14720" t="str">
        <f t="shared" si="5369"/>
        <v>SAN DIEGO</v>
      </c>
      <c r="E14720" t="str">
        <f t="shared" si="5370"/>
        <v>CA</v>
      </c>
      <c r="F14720" t="str">
        <f t="shared" si="5356"/>
        <v>921555504</v>
      </c>
      <c r="G14720" t="str">
        <f>T("3632 GUADALCANAL ROAD")</f>
        <v>3632 GUADALCANAL ROAD</v>
      </c>
      <c r="H14720" t="str">
        <f>T("BLDG 165")</f>
        <v>BLDG 165</v>
      </c>
      <c r="I14720" t="str">
        <f t="shared" si="5371"/>
        <v>SAN DIEGO</v>
      </c>
      <c r="J14720" t="str">
        <f t="shared" si="5372"/>
        <v>CA</v>
      </c>
      <c r="K14720" t="str">
        <f>T("000000000000000000")</f>
        <v>000000000000000000</v>
      </c>
      <c r="L14720" t="str">
        <f>T("6195374014")</f>
        <v>6195374014</v>
      </c>
    </row>
    <row r="14721" spans="1:12" x14ac:dyDescent="0.35">
      <c r="A14721" t="str">
        <f t="shared" si="5368"/>
        <v>SPECWAR-GRP ONE</v>
      </c>
      <c r="B14721" t="str">
        <f t="shared" si="5367"/>
        <v>3632 GUADALCANAL ROAD</v>
      </c>
      <c r="C14721" t="str">
        <f>T("BLDG 165 WEST")</f>
        <v>BLDG 165 WEST</v>
      </c>
      <c r="D14721" t="str">
        <f t="shared" si="5369"/>
        <v>SAN DIEGO</v>
      </c>
      <c r="E14721" t="str">
        <f t="shared" si="5370"/>
        <v>CA</v>
      </c>
      <c r="F14721" t="str">
        <f t="shared" si="5356"/>
        <v>921555504</v>
      </c>
      <c r="G14721" t="str">
        <f>T("3632 GUADALCANAL ROAD")</f>
        <v>3632 GUADALCANAL ROAD</v>
      </c>
      <c r="H14721" t="str">
        <f>T("BLDG 165 WEST")</f>
        <v>BLDG 165 WEST</v>
      </c>
      <c r="I14721" t="str">
        <f t="shared" si="5371"/>
        <v>SAN DIEGO</v>
      </c>
      <c r="J14721" t="str">
        <f t="shared" si="5372"/>
        <v>CA</v>
      </c>
      <c r="K14721" t="str">
        <f>T("6194372945")</f>
        <v>6194372945</v>
      </c>
      <c r="L14721" t="str">
        <f>T("6195371529")</f>
        <v>6195371529</v>
      </c>
    </row>
    <row r="14722" spans="1:12" x14ac:dyDescent="0.35">
      <c r="A14722" t="str">
        <f t="shared" si="5368"/>
        <v>SPECWAR-GRP ONE</v>
      </c>
      <c r="B14722" t="str">
        <f t="shared" si="5367"/>
        <v>3632 GUADALCANAL ROAD</v>
      </c>
      <c r="C14722" t="str">
        <f t="shared" ref="C14722:C14733" si="5373">T("BUILDING 165")</f>
        <v>BUILDING 165</v>
      </c>
      <c r="D14722" t="str">
        <f t="shared" si="5369"/>
        <v>SAN DIEGO</v>
      </c>
      <c r="E14722" t="str">
        <f t="shared" si="5370"/>
        <v>CA</v>
      </c>
      <c r="F14722" t="str">
        <f t="shared" si="5356"/>
        <v>921555504</v>
      </c>
      <c r="G14722" t="str">
        <f>T("2424 RENDOVA RD")</f>
        <v>2424 RENDOVA RD</v>
      </c>
      <c r="H14722" t="str">
        <f>T("SUITE 156")</f>
        <v>SUITE 156</v>
      </c>
      <c r="I14722" t="str">
        <f t="shared" si="5371"/>
        <v>SAN DIEGO</v>
      </c>
      <c r="J14722" t="str">
        <f t="shared" si="5372"/>
        <v>CA</v>
      </c>
      <c r="K14722" t="str">
        <f t="shared" ref="K14722:K14730" si="5374">T("000000000000000000")</f>
        <v>000000000000000000</v>
      </c>
      <c r="L14722" t="str">
        <f>T("6194375612")</f>
        <v>6194375612</v>
      </c>
    </row>
    <row r="14723" spans="1:12" x14ac:dyDescent="0.35">
      <c r="A14723" t="str">
        <f t="shared" si="5368"/>
        <v>SPECWAR-GRP ONE</v>
      </c>
      <c r="B14723" t="str">
        <f t="shared" si="5367"/>
        <v>3632 GUADALCANAL ROAD</v>
      </c>
      <c r="C14723" t="str">
        <f t="shared" si="5373"/>
        <v>BUILDING 165</v>
      </c>
      <c r="D14723" t="str">
        <f t="shared" si="5369"/>
        <v>SAN DIEGO</v>
      </c>
      <c r="E14723" t="str">
        <f t="shared" si="5370"/>
        <v>CA</v>
      </c>
      <c r="F14723" t="str">
        <f t="shared" si="5356"/>
        <v>921555504</v>
      </c>
      <c r="G14723" t="str">
        <f>T("3632 GUADALCANAL RD")</f>
        <v>3632 GUADALCANAL RD</v>
      </c>
      <c r="H14723" t="str">
        <f t="shared" ref="H14723:H14730" si="5375">T("BLDG 165")</f>
        <v>BLDG 165</v>
      </c>
      <c r="I14723" t="str">
        <f t="shared" si="5371"/>
        <v>SAN DIEGO</v>
      </c>
      <c r="J14723" t="str">
        <f t="shared" si="5372"/>
        <v>CA</v>
      </c>
      <c r="K14723" t="str">
        <f t="shared" si="5374"/>
        <v>000000000000000000</v>
      </c>
      <c r="L14723" t="str">
        <f>T("6195371718")</f>
        <v>6195371718</v>
      </c>
    </row>
    <row r="14724" spans="1:12" x14ac:dyDescent="0.35">
      <c r="A14724" t="str">
        <f t="shared" si="5368"/>
        <v>SPECWAR-GRP ONE</v>
      </c>
      <c r="B14724" t="str">
        <f t="shared" si="5367"/>
        <v>3632 GUADALCANAL ROAD</v>
      </c>
      <c r="C14724" t="str">
        <f t="shared" si="5373"/>
        <v>BUILDING 165</v>
      </c>
      <c r="D14724" t="str">
        <f t="shared" si="5369"/>
        <v>SAN DIEGO</v>
      </c>
      <c r="E14724" t="str">
        <f t="shared" si="5370"/>
        <v>CA</v>
      </c>
      <c r="F14724" t="str">
        <f t="shared" si="5356"/>
        <v>921555504</v>
      </c>
      <c r="G14724" t="str">
        <f>T("3632 GUADALCANAL RD")</f>
        <v>3632 GUADALCANAL RD</v>
      </c>
      <c r="H14724" t="str">
        <f t="shared" si="5375"/>
        <v>BLDG 165</v>
      </c>
      <c r="I14724" t="str">
        <f t="shared" si="5371"/>
        <v>SAN DIEGO</v>
      </c>
      <c r="J14724" t="str">
        <f t="shared" si="5372"/>
        <v>CA</v>
      </c>
      <c r="K14724" t="str">
        <f t="shared" si="5374"/>
        <v>000000000000000000</v>
      </c>
      <c r="L14724" t="str">
        <f>T("6195373208")</f>
        <v>6195373208</v>
      </c>
    </row>
    <row r="14725" spans="1:12" x14ac:dyDescent="0.35">
      <c r="A14725" t="str">
        <f t="shared" si="5368"/>
        <v>SPECWAR-GRP ONE</v>
      </c>
      <c r="B14725" t="str">
        <f t="shared" si="5367"/>
        <v>3632 GUADALCANAL ROAD</v>
      </c>
      <c r="C14725" t="str">
        <f t="shared" si="5373"/>
        <v>BUILDING 165</v>
      </c>
      <c r="D14725" t="str">
        <f t="shared" si="5369"/>
        <v>SAN DIEGO</v>
      </c>
      <c r="E14725" t="str">
        <f t="shared" si="5370"/>
        <v>CA</v>
      </c>
      <c r="F14725" t="str">
        <f t="shared" si="5356"/>
        <v>921555504</v>
      </c>
      <c r="G14725" t="str">
        <f>T("3632 GUADALCANAL RD")</f>
        <v>3632 GUADALCANAL RD</v>
      </c>
      <c r="H14725" t="str">
        <f t="shared" si="5375"/>
        <v>BLDG 165</v>
      </c>
      <c r="I14725" t="str">
        <f t="shared" si="5371"/>
        <v>SAN DIEGO</v>
      </c>
      <c r="J14725" t="str">
        <f t="shared" si="5372"/>
        <v>CA</v>
      </c>
      <c r="K14725" t="str">
        <f t="shared" si="5374"/>
        <v>000000000000000000</v>
      </c>
      <c r="L14725" t="str">
        <f>T("6195373305")</f>
        <v>6195373305</v>
      </c>
    </row>
    <row r="14726" spans="1:12" x14ac:dyDescent="0.35">
      <c r="A14726" t="str">
        <f t="shared" si="5368"/>
        <v>SPECWAR-GRP ONE</v>
      </c>
      <c r="B14726" t="str">
        <f t="shared" si="5367"/>
        <v>3632 GUADALCANAL ROAD</v>
      </c>
      <c r="C14726" t="str">
        <f t="shared" si="5373"/>
        <v>BUILDING 165</v>
      </c>
      <c r="D14726" t="str">
        <f t="shared" si="5369"/>
        <v>SAN DIEGO</v>
      </c>
      <c r="E14726" t="str">
        <f t="shared" si="5370"/>
        <v>CA</v>
      </c>
      <c r="F14726" t="str">
        <f t="shared" si="5356"/>
        <v>921555504</v>
      </c>
      <c r="G14726" t="str">
        <f>T("3632 GUADALCANAL RD")</f>
        <v>3632 GUADALCANAL RD</v>
      </c>
      <c r="H14726" t="str">
        <f t="shared" si="5375"/>
        <v>BLDG 165</v>
      </c>
      <c r="I14726" t="str">
        <f t="shared" si="5371"/>
        <v>SAN DIEGO</v>
      </c>
      <c r="J14726" t="str">
        <f t="shared" si="5372"/>
        <v>CA</v>
      </c>
      <c r="K14726" t="str">
        <f t="shared" si="5374"/>
        <v>000000000000000000</v>
      </c>
      <c r="L14726" t="str">
        <f>T("6195373328")</f>
        <v>6195373328</v>
      </c>
    </row>
    <row r="14727" spans="1:12" x14ac:dyDescent="0.35">
      <c r="A14727" t="str">
        <f t="shared" si="5368"/>
        <v>SPECWAR-GRP ONE</v>
      </c>
      <c r="B14727" t="str">
        <f t="shared" si="5367"/>
        <v>3632 GUADALCANAL ROAD</v>
      </c>
      <c r="C14727" t="str">
        <f t="shared" si="5373"/>
        <v>BUILDING 165</v>
      </c>
      <c r="D14727" t="str">
        <f t="shared" si="5369"/>
        <v>SAN DIEGO</v>
      </c>
      <c r="E14727" t="str">
        <f t="shared" si="5370"/>
        <v>CA</v>
      </c>
      <c r="F14727" t="str">
        <f t="shared" si="5356"/>
        <v>921555504</v>
      </c>
      <c r="G14727" t="str">
        <f>T("3632 GUADALCANAL RD")</f>
        <v>3632 GUADALCANAL RD</v>
      </c>
      <c r="H14727" t="str">
        <f t="shared" si="5375"/>
        <v>BLDG 165</v>
      </c>
      <c r="I14727" t="str">
        <f t="shared" si="5371"/>
        <v>SAN DIEGO</v>
      </c>
      <c r="J14727" t="str">
        <f t="shared" si="5372"/>
        <v>CA</v>
      </c>
      <c r="K14727" t="str">
        <f t="shared" si="5374"/>
        <v>000000000000000000</v>
      </c>
      <c r="L14727" t="str">
        <f>T("6195373336")</f>
        <v>6195373336</v>
      </c>
    </row>
    <row r="14728" spans="1:12" x14ac:dyDescent="0.35">
      <c r="A14728" t="str">
        <f t="shared" si="5368"/>
        <v>SPECWAR-GRP ONE</v>
      </c>
      <c r="B14728" t="str">
        <f t="shared" si="5367"/>
        <v>3632 GUADALCANAL ROAD</v>
      </c>
      <c r="C14728" t="str">
        <f t="shared" si="5373"/>
        <v>BUILDING 165</v>
      </c>
      <c r="D14728" t="str">
        <f t="shared" si="5369"/>
        <v>SAN DIEGO</v>
      </c>
      <c r="E14728" t="str">
        <f t="shared" si="5370"/>
        <v>CA</v>
      </c>
      <c r="F14728" t="str">
        <f t="shared" si="5356"/>
        <v>921555504</v>
      </c>
      <c r="G14728" t="str">
        <f t="shared" ref="G14728:G14733" si="5376">T("3632 GUADALCANAL ROAD")</f>
        <v>3632 GUADALCANAL ROAD</v>
      </c>
      <c r="H14728" t="str">
        <f t="shared" si="5375"/>
        <v>BLDG 165</v>
      </c>
      <c r="I14728" t="str">
        <f t="shared" si="5371"/>
        <v>SAN DIEGO</v>
      </c>
      <c r="J14728" t="str">
        <f t="shared" si="5372"/>
        <v>CA</v>
      </c>
      <c r="K14728" t="str">
        <f t="shared" si="5374"/>
        <v>000000000000000000</v>
      </c>
      <c r="L14728" t="str">
        <f>T("6195371593")</f>
        <v>6195371593</v>
      </c>
    </row>
    <row r="14729" spans="1:12" x14ac:dyDescent="0.35">
      <c r="A14729" t="str">
        <f t="shared" si="5368"/>
        <v>SPECWAR-GRP ONE</v>
      </c>
      <c r="B14729" t="str">
        <f t="shared" si="5367"/>
        <v>3632 GUADALCANAL ROAD</v>
      </c>
      <c r="C14729" t="str">
        <f t="shared" si="5373"/>
        <v>BUILDING 165</v>
      </c>
      <c r="D14729" t="str">
        <f t="shared" si="5369"/>
        <v>SAN DIEGO</v>
      </c>
      <c r="E14729" t="str">
        <f t="shared" si="5370"/>
        <v>CA</v>
      </c>
      <c r="F14729" t="str">
        <f t="shared" si="5356"/>
        <v>921555504</v>
      </c>
      <c r="G14729" t="str">
        <f t="shared" si="5376"/>
        <v>3632 GUADALCANAL ROAD</v>
      </c>
      <c r="H14729" t="str">
        <f t="shared" si="5375"/>
        <v>BLDG 165</v>
      </c>
      <c r="I14729" t="str">
        <f t="shared" si="5371"/>
        <v>SAN DIEGO</v>
      </c>
      <c r="J14729" t="str">
        <f t="shared" si="5372"/>
        <v>CA</v>
      </c>
      <c r="K14729" t="str">
        <f t="shared" si="5374"/>
        <v>000000000000000000</v>
      </c>
      <c r="L14729" t="str">
        <f>T("6195373336")</f>
        <v>6195373336</v>
      </c>
    </row>
    <row r="14730" spans="1:12" x14ac:dyDescent="0.35">
      <c r="A14730" t="str">
        <f t="shared" si="5368"/>
        <v>SPECWAR-GRP ONE</v>
      </c>
      <c r="B14730" t="str">
        <f t="shared" si="5367"/>
        <v>3632 GUADALCANAL ROAD</v>
      </c>
      <c r="C14730" t="str">
        <f t="shared" si="5373"/>
        <v>BUILDING 165</v>
      </c>
      <c r="D14730" t="str">
        <f t="shared" si="5369"/>
        <v>SAN DIEGO</v>
      </c>
      <c r="E14730" t="str">
        <f t="shared" si="5370"/>
        <v>CA</v>
      </c>
      <c r="F14730" t="str">
        <f t="shared" si="5356"/>
        <v>921555504</v>
      </c>
      <c r="G14730" t="str">
        <f t="shared" si="5376"/>
        <v>3632 GUADALCANAL ROAD</v>
      </c>
      <c r="H14730" t="str">
        <f t="shared" si="5375"/>
        <v>BLDG 165</v>
      </c>
      <c r="I14730" t="str">
        <f t="shared" si="5371"/>
        <v>SAN DIEGO</v>
      </c>
      <c r="J14730" t="str">
        <f t="shared" si="5372"/>
        <v>CA</v>
      </c>
      <c r="K14730" t="str">
        <f t="shared" si="5374"/>
        <v>000000000000000000</v>
      </c>
      <c r="L14730" t="str">
        <f>T("6195373555")</f>
        <v>6195373555</v>
      </c>
    </row>
    <row r="14731" spans="1:12" x14ac:dyDescent="0.35">
      <c r="A14731" t="str">
        <f t="shared" si="5368"/>
        <v>SPECWAR-GRP ONE</v>
      </c>
      <c r="B14731" t="str">
        <f t="shared" si="5367"/>
        <v>3632 GUADALCANAL ROAD</v>
      </c>
      <c r="C14731" t="str">
        <f t="shared" si="5373"/>
        <v>BUILDING 165</v>
      </c>
      <c r="D14731" t="str">
        <f t="shared" si="5369"/>
        <v>SAN DIEGO</v>
      </c>
      <c r="E14731" t="str">
        <f t="shared" si="5370"/>
        <v>CA</v>
      </c>
      <c r="F14731" t="str">
        <f t="shared" si="5356"/>
        <v>921555504</v>
      </c>
      <c r="G14731" t="str">
        <f t="shared" si="5376"/>
        <v>3632 GUADALCANAL ROAD</v>
      </c>
      <c r="H14731" t="str">
        <f>T("BUILDING 165")</f>
        <v>BUILDING 165</v>
      </c>
      <c r="I14731" t="str">
        <f t="shared" si="5371"/>
        <v>SAN DIEGO</v>
      </c>
      <c r="J14731" t="str">
        <f t="shared" si="5372"/>
        <v>CA</v>
      </c>
      <c r="K14731" t="str">
        <f>T("")</f>
        <v/>
      </c>
      <c r="L14731" t="str">
        <f>T("6195373205")</f>
        <v>6195373205</v>
      </c>
    </row>
    <row r="14732" spans="1:12" x14ac:dyDescent="0.35">
      <c r="A14732" t="str">
        <f t="shared" si="5368"/>
        <v>SPECWAR-GRP ONE</v>
      </c>
      <c r="B14732" t="str">
        <f t="shared" si="5367"/>
        <v>3632 GUADALCANAL ROAD</v>
      </c>
      <c r="C14732" t="str">
        <f t="shared" si="5373"/>
        <v>BUILDING 165</v>
      </c>
      <c r="D14732" t="str">
        <f t="shared" si="5369"/>
        <v>SAN DIEGO</v>
      </c>
      <c r="E14732" t="str">
        <f t="shared" si="5370"/>
        <v>CA</v>
      </c>
      <c r="F14732" t="str">
        <f t="shared" si="5356"/>
        <v>921555504</v>
      </c>
      <c r="G14732" t="str">
        <f t="shared" si="5376"/>
        <v>3632 GUADALCANAL ROAD</v>
      </c>
      <c r="H14732" t="str">
        <f>T("BUILDING 165")</f>
        <v>BUILDING 165</v>
      </c>
      <c r="I14732" t="str">
        <f t="shared" si="5371"/>
        <v>SAN DIEGO</v>
      </c>
      <c r="J14732" t="str">
        <f t="shared" si="5372"/>
        <v>CA</v>
      </c>
      <c r="K14732" t="str">
        <f>T("000000000000000000")</f>
        <v>000000000000000000</v>
      </c>
      <c r="L14732" t="str">
        <f>T("6194375741")</f>
        <v>6194375741</v>
      </c>
    </row>
    <row r="14733" spans="1:12" x14ac:dyDescent="0.35">
      <c r="A14733" t="str">
        <f t="shared" si="5368"/>
        <v>SPECWAR-GRP ONE</v>
      </c>
      <c r="B14733" t="str">
        <f t="shared" si="5367"/>
        <v>3632 GUADALCANAL ROAD</v>
      </c>
      <c r="C14733" t="str">
        <f t="shared" si="5373"/>
        <v>BUILDING 165</v>
      </c>
      <c r="D14733" t="str">
        <f t="shared" si="5369"/>
        <v>SAN DIEGO</v>
      </c>
      <c r="E14733" t="str">
        <f t="shared" si="5370"/>
        <v>CA</v>
      </c>
      <c r="F14733" t="str">
        <f t="shared" si="5356"/>
        <v>921555504</v>
      </c>
      <c r="G14733" t="str">
        <f t="shared" si="5376"/>
        <v>3632 GUADALCANAL ROAD</v>
      </c>
      <c r="H14733" t="str">
        <f>T("BUILDING 165")</f>
        <v>BUILDING 165</v>
      </c>
      <c r="I14733" t="str">
        <f t="shared" si="5371"/>
        <v>SAN DIEGO</v>
      </c>
      <c r="J14733" t="str">
        <f t="shared" si="5372"/>
        <v>CA</v>
      </c>
      <c r="K14733" t="str">
        <f>T("6194373547")</f>
        <v>6194373547</v>
      </c>
      <c r="L14733" t="str">
        <f>T("6195373526")</f>
        <v>6195373526</v>
      </c>
    </row>
    <row r="14734" spans="1:12" x14ac:dyDescent="0.35">
      <c r="A14734" t="str">
        <f t="shared" si="5368"/>
        <v>SPECWAR-GRP ONE</v>
      </c>
      <c r="B14734" t="str">
        <f>T("NAVAL SPECIAL WARFARE UNIT 1")</f>
        <v>NAVAL SPECIAL WARFARE UNIT 1</v>
      </c>
      <c r="C14734" t="str">
        <f>T("BLDG 3000 US NAVAL STATION")</f>
        <v>BLDG 3000 US NAVAL STATION</v>
      </c>
      <c r="D14734" t="str">
        <f>T("SANTA RITA")</f>
        <v>SANTA RITA</v>
      </c>
      <c r="E14734" t="str">
        <f>T("GU")</f>
        <v>GU</v>
      </c>
      <c r="F14734" t="str">
        <f>T("969150000")</f>
        <v>969150000</v>
      </c>
      <c r="G14734" t="str">
        <f>T("NAVAL SPECIAL WARFARE UNIT 1")</f>
        <v>NAVAL SPECIAL WARFARE UNIT 1</v>
      </c>
      <c r="H14734" t="str">
        <f>T("BLDG 3000 US NAVAL STATION")</f>
        <v>BLDG 3000 US NAVAL STATION</v>
      </c>
      <c r="I14734" t="str">
        <f>T("SANTA RITA")</f>
        <v>SANTA RITA</v>
      </c>
      <c r="J14734" t="str">
        <f>T("GU")</f>
        <v>GU</v>
      </c>
      <c r="K14734" t="str">
        <f>T("")</f>
        <v/>
      </c>
      <c r="L14734" t="str">
        <f>T("6713398017")</f>
        <v>6713398017</v>
      </c>
    </row>
    <row r="14735" spans="1:12" x14ac:dyDescent="0.35">
      <c r="A14735" t="str">
        <f t="shared" si="5368"/>
        <v>SPECWAR-GRP ONE</v>
      </c>
      <c r="B14735" t="str">
        <f>T("NAVAL SPECIAL WARFARE UNIT 1")</f>
        <v>NAVAL SPECIAL WARFARE UNIT 1</v>
      </c>
      <c r="C14735" t="str">
        <f>T("BLDG 3000 US NAVAL STATION")</f>
        <v>BLDG 3000 US NAVAL STATION</v>
      </c>
      <c r="D14735" t="str">
        <f>T("SANTA RITA")</f>
        <v>SANTA RITA</v>
      </c>
      <c r="E14735" t="str">
        <f>T("GU")</f>
        <v>GU</v>
      </c>
      <c r="F14735" t="str">
        <f>T("969150000")</f>
        <v>969150000</v>
      </c>
      <c r="G14735" t="str">
        <f>T("NSWU1")</f>
        <v>NSWU1</v>
      </c>
      <c r="H14735" t="str">
        <f>T("PSC 455 BOX 182")</f>
        <v>PSC 455 BOX 182</v>
      </c>
      <c r="I14735" t="str">
        <f t="shared" ref="I14735:I14742" si="5377">T("FPO")</f>
        <v>FPO</v>
      </c>
      <c r="J14735" t="str">
        <f>T("AP")</f>
        <v>AP</v>
      </c>
      <c r="K14735" t="str">
        <f>T("000000000000000000")</f>
        <v>000000000000000000</v>
      </c>
      <c r="L14735" t="str">
        <f>T("6713396032")</f>
        <v>6713396032</v>
      </c>
    </row>
    <row r="14736" spans="1:12" x14ac:dyDescent="0.35">
      <c r="A14736" t="str">
        <f t="shared" si="5368"/>
        <v>SPECWAR-GRP ONE</v>
      </c>
      <c r="B14736" t="str">
        <f>T("NAVAL SPECIAL WARFARE UNIT 1")</f>
        <v>NAVAL SPECIAL WARFARE UNIT 1</v>
      </c>
      <c r="C14736" t="str">
        <f>T("BLDG 3000 US NAVAL STATION")</f>
        <v>BLDG 3000 US NAVAL STATION</v>
      </c>
      <c r="D14736" t="str">
        <f>T("SANTA RITA")</f>
        <v>SANTA RITA</v>
      </c>
      <c r="E14736" t="str">
        <f>T("GU")</f>
        <v>GU</v>
      </c>
      <c r="F14736" t="str">
        <f>T("969150000")</f>
        <v>969150000</v>
      </c>
      <c r="G14736" t="str">
        <f>T("NSWU1")</f>
        <v>NSWU1</v>
      </c>
      <c r="H14736" t="str">
        <f>T("PSC 455 BOX 182")</f>
        <v>PSC 455 BOX 182</v>
      </c>
      <c r="I14736" t="str">
        <f t="shared" si="5377"/>
        <v>FPO</v>
      </c>
      <c r="J14736" t="str">
        <f>T("AP")</f>
        <v>AP</v>
      </c>
      <c r="K14736" t="str">
        <f>T("000000000000000000")</f>
        <v>000000000000000000</v>
      </c>
      <c r="L14736" t="str">
        <f>T("6713396033")</f>
        <v>6713396033</v>
      </c>
    </row>
    <row r="14737" spans="1:12" x14ac:dyDescent="0.35">
      <c r="A14737" t="str">
        <f t="shared" si="5368"/>
        <v>SPECWAR-GRP ONE</v>
      </c>
      <c r="B14737" t="str">
        <f>T("NAVAL SPECIAL WARFARE UNIT 1")</f>
        <v>NAVAL SPECIAL WARFARE UNIT 1</v>
      </c>
      <c r="C14737" t="str">
        <f>T("BLDG 3000 US NAVAL STATION")</f>
        <v>BLDG 3000 US NAVAL STATION</v>
      </c>
      <c r="D14737" t="str">
        <f>T("SANTA RITA")</f>
        <v>SANTA RITA</v>
      </c>
      <c r="E14737" t="str">
        <f>T("GU")</f>
        <v>GU</v>
      </c>
      <c r="F14737" t="str">
        <f>T("969150000")</f>
        <v>969150000</v>
      </c>
      <c r="G14737" t="str">
        <f>T("PSC 455")</f>
        <v>PSC 455</v>
      </c>
      <c r="H14737" t="str">
        <f>T("BOX 182")</f>
        <v>BOX 182</v>
      </c>
      <c r="I14737" t="str">
        <f t="shared" si="5377"/>
        <v>FPO</v>
      </c>
      <c r="J14737" t="str">
        <f>T("AP")</f>
        <v>AP</v>
      </c>
      <c r="K14737" t="str">
        <f>T("000000000000000000")</f>
        <v>000000000000000000</v>
      </c>
      <c r="L14737" t="str">
        <f>T("6713396033")</f>
        <v>6713396033</v>
      </c>
    </row>
    <row r="14738" spans="1:12" x14ac:dyDescent="0.35">
      <c r="A14738" t="str">
        <f t="shared" si="5368"/>
        <v>SPECWAR-GRP ONE</v>
      </c>
      <c r="B14738" t="str">
        <f>T("NAVAL SPECIAL WARFARE UNIT 1")</f>
        <v>NAVAL SPECIAL WARFARE UNIT 1</v>
      </c>
      <c r="C14738" t="str">
        <f>T("BLDG 3000 US NAVAL STATION")</f>
        <v>BLDG 3000 US NAVAL STATION</v>
      </c>
      <c r="D14738" t="str">
        <f>T("SANTA RITA")</f>
        <v>SANTA RITA</v>
      </c>
      <c r="E14738" t="str">
        <f>T("GU")</f>
        <v>GU</v>
      </c>
      <c r="F14738" t="str">
        <f>T("969150000")</f>
        <v>969150000</v>
      </c>
      <c r="G14738" t="str">
        <f>T("PSC 455 BOX 182")</f>
        <v>PSC 455 BOX 182</v>
      </c>
      <c r="H14738" t="str">
        <f>T("")</f>
        <v/>
      </c>
      <c r="I14738" t="str">
        <f t="shared" si="5377"/>
        <v>FPO</v>
      </c>
      <c r="J14738" t="str">
        <f>T("AP")</f>
        <v>AP</v>
      </c>
      <c r="K14738" t="str">
        <f>T("000000000000000000")</f>
        <v>000000000000000000</v>
      </c>
      <c r="L14738" t="str">
        <f>T("6713398017")</f>
        <v>6713398017</v>
      </c>
    </row>
    <row r="14739" spans="1:12" x14ac:dyDescent="0.35">
      <c r="A14739" t="str">
        <f t="shared" si="5368"/>
        <v>SPECWAR-GRP ONE</v>
      </c>
      <c r="B14739" t="str">
        <f>T("NSWU-3")</f>
        <v>NSWU-3</v>
      </c>
      <c r="C14739" t="str">
        <f>T("PSC 451 BOX 460")</f>
        <v>PSC 451 BOX 460</v>
      </c>
      <c r="D14739" t="str">
        <f>T("FPO")</f>
        <v>FPO</v>
      </c>
      <c r="E14739" t="str">
        <f>T("AE")</f>
        <v>AE</v>
      </c>
      <c r="F14739" t="str">
        <f>T("098340005")</f>
        <v>098340005</v>
      </c>
      <c r="G14739" t="str">
        <f>T("NSWU-3")</f>
        <v>NSWU-3</v>
      </c>
      <c r="H14739" t="str">
        <f>T("PSC 451 BOX 460")</f>
        <v>PSC 451 BOX 460</v>
      </c>
      <c r="I14739" t="str">
        <f t="shared" si="5377"/>
        <v>FPO</v>
      </c>
      <c r="J14739" t="str">
        <f>T("AE")</f>
        <v>AE</v>
      </c>
      <c r="K14739" t="str">
        <f>T("")</f>
        <v/>
      </c>
      <c r="L14739" t="str">
        <f>T("1111111111")</f>
        <v>1111111111</v>
      </c>
    </row>
    <row r="14740" spans="1:12" x14ac:dyDescent="0.35">
      <c r="A14740" t="str">
        <f t="shared" si="5368"/>
        <v>SPECWAR-GRP ONE</v>
      </c>
      <c r="B14740" t="str">
        <f>T("NSWU-3")</f>
        <v>NSWU-3</v>
      </c>
      <c r="C14740" t="str">
        <f>T("PSC 451 BOX 460")</f>
        <v>PSC 451 BOX 460</v>
      </c>
      <c r="D14740" t="str">
        <f>T("FPO")</f>
        <v>FPO</v>
      </c>
      <c r="E14740" t="str">
        <f>T("AE")</f>
        <v>AE</v>
      </c>
      <c r="F14740" t="str">
        <f>T("098340005")</f>
        <v>098340005</v>
      </c>
      <c r="G14740" t="str">
        <f>T("NSWU3")</f>
        <v>NSWU3</v>
      </c>
      <c r="H14740" t="str">
        <f>T("PSC 451 BOX 460")</f>
        <v>PSC 451 BOX 460</v>
      </c>
      <c r="I14740" t="str">
        <f t="shared" si="5377"/>
        <v>FPO</v>
      </c>
      <c r="J14740" t="str">
        <f>T("AE")</f>
        <v>AE</v>
      </c>
      <c r="K14740" t="str">
        <f>T("01197317859024")</f>
        <v>01197317859024</v>
      </c>
      <c r="L14740" t="str">
        <f>T("1111111111")</f>
        <v>1111111111</v>
      </c>
    </row>
    <row r="14741" spans="1:12" x14ac:dyDescent="0.35">
      <c r="A14741" t="str">
        <f t="shared" si="5368"/>
        <v>SPECWAR-GRP ONE</v>
      </c>
      <c r="B14741" t="str">
        <f>T("NSWU-3")</f>
        <v>NSWU-3</v>
      </c>
      <c r="C14741" t="str">
        <f>T("PSC 451 BOX 460")</f>
        <v>PSC 451 BOX 460</v>
      </c>
      <c r="D14741" t="str">
        <f>T("FPO")</f>
        <v>FPO</v>
      </c>
      <c r="E14741" t="str">
        <f>T("AE")</f>
        <v>AE</v>
      </c>
      <c r="F14741" t="str">
        <f>T("098340005")</f>
        <v>098340005</v>
      </c>
      <c r="G14741" t="str">
        <f>T("NSWU3")</f>
        <v>NSWU3</v>
      </c>
      <c r="H14741" t="str">
        <f>T("PSC 451 BOX 460")</f>
        <v>PSC 451 BOX 460</v>
      </c>
      <c r="I14741" t="str">
        <f t="shared" si="5377"/>
        <v>FPO</v>
      </c>
      <c r="J14741" t="str">
        <f>T("AE")</f>
        <v>AE</v>
      </c>
      <c r="K14741" t="str">
        <f>T("01197317859959")</f>
        <v>01197317859959</v>
      </c>
      <c r="L14741" t="str">
        <f>T("1111111111")</f>
        <v>1111111111</v>
      </c>
    </row>
    <row r="14742" spans="1:12" x14ac:dyDescent="0.35">
      <c r="A14742" t="str">
        <f t="shared" si="5368"/>
        <v>SPECWAR-GRP ONE</v>
      </c>
      <c r="B14742" t="str">
        <f>T("NSWU-3")</f>
        <v>NSWU-3</v>
      </c>
      <c r="C14742" t="str">
        <f>T("PSC 451 BOX 460")</f>
        <v>PSC 451 BOX 460</v>
      </c>
      <c r="D14742" t="str">
        <f>T("FPO")</f>
        <v>FPO</v>
      </c>
      <c r="E14742" t="str">
        <f>T("AE")</f>
        <v>AE</v>
      </c>
      <c r="F14742" t="str">
        <f>T("098340005")</f>
        <v>098340005</v>
      </c>
      <c r="G14742" t="str">
        <f>T("NSWU3")</f>
        <v>NSWU3</v>
      </c>
      <c r="H14742" t="str">
        <f>T("PSC 851 BOX 460")</f>
        <v>PSC 851 BOX 460</v>
      </c>
      <c r="I14742" t="str">
        <f t="shared" si="5377"/>
        <v>FPO</v>
      </c>
      <c r="J14742" t="str">
        <f>T("AE")</f>
        <v>AE</v>
      </c>
      <c r="K14742" t="str">
        <f>T("01197317859024")</f>
        <v>01197317859024</v>
      </c>
      <c r="L14742" t="str">
        <f>T("1111111111")</f>
        <v>1111111111</v>
      </c>
    </row>
    <row r="14743" spans="1:12" x14ac:dyDescent="0.35">
      <c r="A14743" t="str">
        <f t="shared" ref="A14743:A14759" si="5378">T("SPECWAR-GRP THREE")</f>
        <v>SPECWAR-GRP THREE</v>
      </c>
      <c r="B14743" t="str">
        <f>T("1875 INTERCOVE RD")</f>
        <v>1875 INTERCOVE RD</v>
      </c>
      <c r="C14743" t="str">
        <f>T("BLDG 3813")</f>
        <v>BLDG 3813</v>
      </c>
      <c r="D14743" t="str">
        <f>T("NORFOLK")</f>
        <v>NORFOLK</v>
      </c>
      <c r="E14743" t="str">
        <f>T("VA")</f>
        <v>VA</v>
      </c>
      <c r="F14743" t="str">
        <f>T("235212932")</f>
        <v>235212932</v>
      </c>
      <c r="G14743" t="str">
        <f>T("1875 INTERCOVE RD")</f>
        <v>1875 INTERCOVE RD</v>
      </c>
      <c r="H14743" t="str">
        <f>T("BLDG 3813")</f>
        <v>BLDG 3813</v>
      </c>
      <c r="I14743" t="str">
        <f>T("NORFOLK")</f>
        <v>NORFOLK</v>
      </c>
      <c r="J14743" t="str">
        <f>T("VA")</f>
        <v>VA</v>
      </c>
      <c r="K14743" t="str">
        <f>T("7574921740")</f>
        <v>7574921740</v>
      </c>
      <c r="L14743" t="str">
        <f>T("7574921740")</f>
        <v>7574921740</v>
      </c>
    </row>
    <row r="14744" spans="1:12" x14ac:dyDescent="0.35">
      <c r="A14744" t="str">
        <f t="shared" si="5378"/>
        <v>SPECWAR-GRP THREE</v>
      </c>
      <c r="B14744" t="str">
        <f>T("1875 INTERCOVE RD")</f>
        <v>1875 INTERCOVE RD</v>
      </c>
      <c r="C14744" t="str">
        <f>T("BLDG 3813")</f>
        <v>BLDG 3813</v>
      </c>
      <c r="D14744" t="str">
        <f>T("NORFOLK")</f>
        <v>NORFOLK</v>
      </c>
      <c r="E14744" t="str">
        <f>T("VA")</f>
        <v>VA</v>
      </c>
      <c r="F14744" t="str">
        <f>T("235212932")</f>
        <v>235212932</v>
      </c>
      <c r="G14744" t="str">
        <f>T("1875 INTERCOVE ROAD")</f>
        <v>1875 INTERCOVE ROAD</v>
      </c>
      <c r="H14744" t="str">
        <f>T("BLDG 3813")</f>
        <v>BLDG 3813</v>
      </c>
      <c r="I14744" t="str">
        <f>T("VIRGINIA BEACH")</f>
        <v>VIRGINIA BEACH</v>
      </c>
      <c r="J14744" t="str">
        <f>T("VA")</f>
        <v>VA</v>
      </c>
      <c r="K14744" t="str">
        <f>T("000000000000000000")</f>
        <v>000000000000000000</v>
      </c>
      <c r="L14744" t="str">
        <f>T("8502307175")</f>
        <v>8502307175</v>
      </c>
    </row>
    <row r="14745" spans="1:12" x14ac:dyDescent="0.35">
      <c r="A14745" t="str">
        <f t="shared" si="5378"/>
        <v>SPECWAR-GRP THREE</v>
      </c>
      <c r="B14745" t="str">
        <f>T("1875 INTERCOVE RD")</f>
        <v>1875 INTERCOVE RD</v>
      </c>
      <c r="C14745" t="str">
        <f>T("BLDG 3813")</f>
        <v>BLDG 3813</v>
      </c>
      <c r="D14745" t="str">
        <f>T("NORFOLK")</f>
        <v>NORFOLK</v>
      </c>
      <c r="E14745" t="str">
        <f>T("VA")</f>
        <v>VA</v>
      </c>
      <c r="F14745" t="str">
        <f>T("235212932")</f>
        <v>235212932</v>
      </c>
      <c r="G14745" t="str">
        <f>T("1875 INTERCOVE ROAD BLDG 3813")</f>
        <v>1875 INTERCOVE ROAD BLDG 3813</v>
      </c>
      <c r="H14745" t="str">
        <f>T("")</f>
        <v/>
      </c>
      <c r="I14745" t="str">
        <f>T("VIRGINIA BEACH")</f>
        <v>VIRGINIA BEACH</v>
      </c>
      <c r="J14745" t="str">
        <f>T("VA")</f>
        <v>VA</v>
      </c>
      <c r="K14745" t="str">
        <f>T("7574921743")</f>
        <v>7574921743</v>
      </c>
      <c r="L14745" t="str">
        <f>T("7574921741")</f>
        <v>7574921741</v>
      </c>
    </row>
    <row r="14746" spans="1:12" x14ac:dyDescent="0.35">
      <c r="A14746" t="str">
        <f t="shared" si="5378"/>
        <v>SPECWAR-GRP THREE</v>
      </c>
      <c r="B14746" t="str">
        <f t="shared" ref="B14746:B14752" si="5379">T("2001 VICTOR WARF ACCESS ROAD")</f>
        <v>2001 VICTOR WARF ACCESS ROAD</v>
      </c>
      <c r="C14746" t="str">
        <f t="shared" ref="C14746:C14752" si="5380">T("")</f>
        <v/>
      </c>
      <c r="D14746" t="str">
        <f t="shared" ref="D14746:D14756" si="5381">T("PEARL CITY")</f>
        <v>PEARL CITY</v>
      </c>
      <c r="E14746" t="str">
        <f t="shared" ref="E14746:E14759" si="5382">T("HI")</f>
        <v>HI</v>
      </c>
      <c r="F14746" t="str">
        <f t="shared" ref="F14746:F14756" si="5383">T("967823400")</f>
        <v>967823400</v>
      </c>
      <c r="G14746" t="str">
        <f>T("2001 VICTOR WARF ACCESS ROAD")</f>
        <v>2001 VICTOR WARF ACCESS ROAD</v>
      </c>
      <c r="H14746" t="str">
        <f>T("")</f>
        <v/>
      </c>
      <c r="I14746" t="str">
        <f t="shared" ref="I14746:I14756" si="5384">T("PEARL CITY")</f>
        <v>PEARL CITY</v>
      </c>
      <c r="J14746" t="str">
        <f t="shared" ref="J14746:J14759" si="5385">T("HI")</f>
        <v>HI</v>
      </c>
      <c r="K14746" t="str">
        <f t="shared" ref="K14746:K14756" si="5386">T("8084749377")</f>
        <v>8084749377</v>
      </c>
      <c r="L14746" t="str">
        <f>T("8084742536")</f>
        <v>8084742536</v>
      </c>
    </row>
    <row r="14747" spans="1:12" x14ac:dyDescent="0.35">
      <c r="A14747" t="str">
        <f t="shared" si="5378"/>
        <v>SPECWAR-GRP THREE</v>
      </c>
      <c r="B14747" t="str">
        <f t="shared" si="5379"/>
        <v>2001 VICTOR WARF ACCESS ROAD</v>
      </c>
      <c r="C14747" t="str">
        <f t="shared" si="5380"/>
        <v/>
      </c>
      <c r="D14747" t="str">
        <f t="shared" si="5381"/>
        <v>PEARL CITY</v>
      </c>
      <c r="E14747" t="str">
        <f t="shared" si="5382"/>
        <v>HI</v>
      </c>
      <c r="F14747" t="str">
        <f t="shared" si="5383"/>
        <v>967823400</v>
      </c>
      <c r="G14747" t="str">
        <f>T("2001 VICTOR WHARF ACCESS ROAD")</f>
        <v>2001 VICTOR WHARF ACCESS ROAD</v>
      </c>
      <c r="H14747" t="str">
        <f>T("")</f>
        <v/>
      </c>
      <c r="I14747" t="str">
        <f t="shared" si="5384"/>
        <v>PEARL CITY</v>
      </c>
      <c r="J14747" t="str">
        <f t="shared" si="5385"/>
        <v>HI</v>
      </c>
      <c r="K14747" t="str">
        <f t="shared" si="5386"/>
        <v>8084749377</v>
      </c>
      <c r="L14747" t="str">
        <f>T("8084742541")</f>
        <v>8084742541</v>
      </c>
    </row>
    <row r="14748" spans="1:12" x14ac:dyDescent="0.35">
      <c r="A14748" t="str">
        <f t="shared" si="5378"/>
        <v>SPECWAR-GRP THREE</v>
      </c>
      <c r="B14748" t="str">
        <f t="shared" si="5379"/>
        <v>2001 VICTOR WARF ACCESS ROAD</v>
      </c>
      <c r="C14748" t="str">
        <f t="shared" si="5380"/>
        <v/>
      </c>
      <c r="D14748" t="str">
        <f t="shared" si="5381"/>
        <v>PEARL CITY</v>
      </c>
      <c r="E14748" t="str">
        <f t="shared" si="5382"/>
        <v>HI</v>
      </c>
      <c r="F14748" t="str">
        <f t="shared" si="5383"/>
        <v>967823400</v>
      </c>
      <c r="G14748" t="str">
        <f>T("2001 VICTOR WHARF ACCESS ROAD")</f>
        <v>2001 VICTOR WHARF ACCESS ROAD</v>
      </c>
      <c r="H14748" t="str">
        <f>T("BLDG 1012")</f>
        <v>BLDG 1012</v>
      </c>
      <c r="I14748" t="str">
        <f t="shared" si="5384"/>
        <v>PEARL CITY</v>
      </c>
      <c r="J14748" t="str">
        <f t="shared" si="5385"/>
        <v>HI</v>
      </c>
      <c r="K14748" t="str">
        <f t="shared" si="5386"/>
        <v>8084749377</v>
      </c>
      <c r="L14748" t="str">
        <f>T("8084742535")</f>
        <v>8084742535</v>
      </c>
    </row>
    <row r="14749" spans="1:12" x14ac:dyDescent="0.35">
      <c r="A14749" t="str">
        <f t="shared" si="5378"/>
        <v>SPECWAR-GRP THREE</v>
      </c>
      <c r="B14749" t="str">
        <f t="shared" si="5379"/>
        <v>2001 VICTOR WARF ACCESS ROAD</v>
      </c>
      <c r="C14749" t="str">
        <f t="shared" si="5380"/>
        <v/>
      </c>
      <c r="D14749" t="str">
        <f t="shared" si="5381"/>
        <v>PEARL CITY</v>
      </c>
      <c r="E14749" t="str">
        <f t="shared" si="5382"/>
        <v>HI</v>
      </c>
      <c r="F14749" t="str">
        <f t="shared" si="5383"/>
        <v>967823400</v>
      </c>
      <c r="G14749" t="str">
        <f>T("2001 VICTOR WHARF ACCESS ROAD")</f>
        <v>2001 VICTOR WHARF ACCESS ROAD</v>
      </c>
      <c r="H14749" t="str">
        <f>T("BLDG 1012")</f>
        <v>BLDG 1012</v>
      </c>
      <c r="I14749" t="str">
        <f t="shared" si="5384"/>
        <v>PEARL CITY</v>
      </c>
      <c r="J14749" t="str">
        <f t="shared" si="5385"/>
        <v>HI</v>
      </c>
      <c r="K14749" t="str">
        <f t="shared" si="5386"/>
        <v>8084749377</v>
      </c>
      <c r="L14749" t="str">
        <f>T("8084742538")</f>
        <v>8084742538</v>
      </c>
    </row>
    <row r="14750" spans="1:12" x14ac:dyDescent="0.35">
      <c r="A14750" t="str">
        <f t="shared" si="5378"/>
        <v>SPECWAR-GRP THREE</v>
      </c>
      <c r="B14750" t="str">
        <f t="shared" si="5379"/>
        <v>2001 VICTOR WARF ACCESS ROAD</v>
      </c>
      <c r="C14750" t="str">
        <f t="shared" si="5380"/>
        <v/>
      </c>
      <c r="D14750" t="str">
        <f t="shared" si="5381"/>
        <v>PEARL CITY</v>
      </c>
      <c r="E14750" t="str">
        <f t="shared" si="5382"/>
        <v>HI</v>
      </c>
      <c r="F14750" t="str">
        <f t="shared" si="5383"/>
        <v>967823400</v>
      </c>
      <c r="G14750" t="str">
        <f>T("2001 VICTOR WHARF ACCESS ROAD")</f>
        <v>2001 VICTOR WHARF ACCESS ROAD</v>
      </c>
      <c r="H14750" t="str">
        <f>T("BLDG 1012 SUPPLY")</f>
        <v>BLDG 1012 SUPPLY</v>
      </c>
      <c r="I14750" t="str">
        <f t="shared" si="5384"/>
        <v>PEARL CITY</v>
      </c>
      <c r="J14750" t="str">
        <f t="shared" si="5385"/>
        <v>HI</v>
      </c>
      <c r="K14750" t="str">
        <f t="shared" si="5386"/>
        <v>8084749377</v>
      </c>
      <c r="L14750" t="str">
        <f>T("8084742540")</f>
        <v>8084742540</v>
      </c>
    </row>
    <row r="14751" spans="1:12" x14ac:dyDescent="0.35">
      <c r="A14751" t="str">
        <f t="shared" si="5378"/>
        <v>SPECWAR-GRP THREE</v>
      </c>
      <c r="B14751" t="str">
        <f t="shared" si="5379"/>
        <v>2001 VICTOR WARF ACCESS ROAD</v>
      </c>
      <c r="C14751" t="str">
        <f t="shared" si="5380"/>
        <v/>
      </c>
      <c r="D14751" t="str">
        <f t="shared" si="5381"/>
        <v>PEARL CITY</v>
      </c>
      <c r="E14751" t="str">
        <f t="shared" si="5382"/>
        <v>HI</v>
      </c>
      <c r="F14751" t="str">
        <f t="shared" si="5383"/>
        <v>967823400</v>
      </c>
      <c r="G14751" t="str">
        <f>T("LOGSU-3")</f>
        <v>LOGSU-3</v>
      </c>
      <c r="H14751" t="str">
        <f>T("2001 VICTOR WHARF ACCESS ROAD")</f>
        <v>2001 VICTOR WHARF ACCESS ROAD</v>
      </c>
      <c r="I14751" t="str">
        <f t="shared" si="5384"/>
        <v>PEARL CITY</v>
      </c>
      <c r="J14751" t="str">
        <f t="shared" si="5385"/>
        <v>HI</v>
      </c>
      <c r="K14751" t="str">
        <f t="shared" si="5386"/>
        <v>8084749377</v>
      </c>
      <c r="L14751" t="str">
        <f>T("8084742540")</f>
        <v>8084742540</v>
      </c>
    </row>
    <row r="14752" spans="1:12" x14ac:dyDescent="0.35">
      <c r="A14752" t="str">
        <f t="shared" si="5378"/>
        <v>SPECWAR-GRP THREE</v>
      </c>
      <c r="B14752" t="str">
        <f t="shared" si="5379"/>
        <v>2001 VICTOR WARF ACCESS ROAD</v>
      </c>
      <c r="C14752" t="str">
        <f t="shared" si="5380"/>
        <v/>
      </c>
      <c r="D14752" t="str">
        <f t="shared" si="5381"/>
        <v>PEARL CITY</v>
      </c>
      <c r="E14752" t="str">
        <f t="shared" si="5382"/>
        <v>HI</v>
      </c>
      <c r="F14752" t="str">
        <f t="shared" si="5383"/>
        <v>967823400</v>
      </c>
      <c r="G14752" t="str">
        <f>T("LOGSU-3")</f>
        <v>LOGSU-3</v>
      </c>
      <c r="H14752" t="str">
        <f>T("2001 VICTOR WHARF ACCESS ROAD")</f>
        <v>2001 VICTOR WHARF ACCESS ROAD</v>
      </c>
      <c r="I14752" t="str">
        <f t="shared" si="5384"/>
        <v>PEARL CITY</v>
      </c>
      <c r="J14752" t="str">
        <f t="shared" si="5385"/>
        <v>HI</v>
      </c>
      <c r="K14752" t="str">
        <f t="shared" si="5386"/>
        <v>8084749377</v>
      </c>
      <c r="L14752" t="str">
        <f>T("8084742542")</f>
        <v>8084742542</v>
      </c>
    </row>
    <row r="14753" spans="1:12" x14ac:dyDescent="0.35">
      <c r="A14753" t="str">
        <f t="shared" si="5378"/>
        <v>SPECWAR-GRP THREE</v>
      </c>
      <c r="B14753" t="str">
        <f>T("2001 VICTOR WHARF ACCESS RD")</f>
        <v>2001 VICTOR WHARF ACCESS RD</v>
      </c>
      <c r="C14753" t="str">
        <f>T("BLDG 1012")</f>
        <v>BLDG 1012</v>
      </c>
      <c r="D14753" t="str">
        <f t="shared" si="5381"/>
        <v>PEARL CITY</v>
      </c>
      <c r="E14753" t="str">
        <f t="shared" si="5382"/>
        <v>HI</v>
      </c>
      <c r="F14753" t="str">
        <f t="shared" si="5383"/>
        <v>967823400</v>
      </c>
      <c r="G14753" t="str">
        <f>T("2001 VICTOR WHARF ACCESS RD")</f>
        <v>2001 VICTOR WHARF ACCESS RD</v>
      </c>
      <c r="H14753" t="str">
        <f>T("BLDG 1012")</f>
        <v>BLDG 1012</v>
      </c>
      <c r="I14753" t="str">
        <f t="shared" si="5384"/>
        <v>PEARL CITY</v>
      </c>
      <c r="J14753" t="str">
        <f t="shared" si="5385"/>
        <v>HI</v>
      </c>
      <c r="K14753" t="str">
        <f t="shared" si="5386"/>
        <v>8084749377</v>
      </c>
      <c r="L14753" t="str">
        <f>T("8084742536")</f>
        <v>8084742536</v>
      </c>
    </row>
    <row r="14754" spans="1:12" x14ac:dyDescent="0.35">
      <c r="A14754" t="str">
        <f t="shared" si="5378"/>
        <v>SPECWAR-GRP THREE</v>
      </c>
      <c r="B14754" t="str">
        <f>T("2001 VICTOR WHARF ACCESS RD")</f>
        <v>2001 VICTOR WHARF ACCESS RD</v>
      </c>
      <c r="C14754" t="str">
        <f>T("BLDG 1012")</f>
        <v>BLDG 1012</v>
      </c>
      <c r="D14754" t="str">
        <f t="shared" si="5381"/>
        <v>PEARL CITY</v>
      </c>
      <c r="E14754" t="str">
        <f t="shared" si="5382"/>
        <v>HI</v>
      </c>
      <c r="F14754" t="str">
        <f t="shared" si="5383"/>
        <v>967823400</v>
      </c>
      <c r="G14754" t="str">
        <f>T("2001 VICTOR WHARF ACCESS RD")</f>
        <v>2001 VICTOR WHARF ACCESS RD</v>
      </c>
      <c r="H14754" t="str">
        <f>T("BLDG 1012")</f>
        <v>BLDG 1012</v>
      </c>
      <c r="I14754" t="str">
        <f t="shared" si="5384"/>
        <v>PEARL CITY</v>
      </c>
      <c r="J14754" t="str">
        <f t="shared" si="5385"/>
        <v>HI</v>
      </c>
      <c r="K14754" t="str">
        <f t="shared" si="5386"/>
        <v>8084749377</v>
      </c>
      <c r="L14754" t="str">
        <f>T("8084742542")</f>
        <v>8084742542</v>
      </c>
    </row>
    <row r="14755" spans="1:12" x14ac:dyDescent="0.35">
      <c r="A14755" t="str">
        <f t="shared" si="5378"/>
        <v>SPECWAR-GRP THREE</v>
      </c>
      <c r="B14755" t="str">
        <f>T("2001 VICTOR WHARF ACCESS RD")</f>
        <v>2001 VICTOR WHARF ACCESS RD</v>
      </c>
      <c r="C14755" t="str">
        <f>T("BLDG 1012")</f>
        <v>BLDG 1012</v>
      </c>
      <c r="D14755" t="str">
        <f t="shared" si="5381"/>
        <v>PEARL CITY</v>
      </c>
      <c r="E14755" t="str">
        <f t="shared" si="5382"/>
        <v>HI</v>
      </c>
      <c r="F14755" t="str">
        <f t="shared" si="5383"/>
        <v>967823400</v>
      </c>
      <c r="G14755" t="str">
        <f>T("2001 VICTOR WHARF ACCESS ROAD")</f>
        <v>2001 VICTOR WHARF ACCESS ROAD</v>
      </c>
      <c r="H14755" t="str">
        <f>T("")</f>
        <v/>
      </c>
      <c r="I14755" t="str">
        <f t="shared" si="5384"/>
        <v>PEARL CITY</v>
      </c>
      <c r="J14755" t="str">
        <f t="shared" si="5385"/>
        <v>HI</v>
      </c>
      <c r="K14755" t="str">
        <f t="shared" si="5386"/>
        <v>8084749377</v>
      </c>
      <c r="L14755" t="str">
        <f>T("8084742566")</f>
        <v>8084742566</v>
      </c>
    </row>
    <row r="14756" spans="1:12" x14ac:dyDescent="0.35">
      <c r="A14756" t="str">
        <f t="shared" si="5378"/>
        <v>SPECWAR-GRP THREE</v>
      </c>
      <c r="B14756" t="str">
        <f>T("2001 VICTOR WHARF ACCESS RD")</f>
        <v>2001 VICTOR WHARF ACCESS RD</v>
      </c>
      <c r="C14756" t="str">
        <f>T("BLDG 1012")</f>
        <v>BLDG 1012</v>
      </c>
      <c r="D14756" t="str">
        <f t="shared" si="5381"/>
        <v>PEARL CITY</v>
      </c>
      <c r="E14756" t="str">
        <f t="shared" si="5382"/>
        <v>HI</v>
      </c>
      <c r="F14756" t="str">
        <f t="shared" si="5383"/>
        <v>967823400</v>
      </c>
      <c r="G14756" t="str">
        <f>T("2001 VICTOR WHARF ACCESS ROAD")</f>
        <v>2001 VICTOR WHARF ACCESS ROAD</v>
      </c>
      <c r="H14756" t="str">
        <f>T("BLDG 1012")</f>
        <v>BLDG 1012</v>
      </c>
      <c r="I14756" t="str">
        <f t="shared" si="5384"/>
        <v>PEARL CITY</v>
      </c>
      <c r="J14756" t="str">
        <f t="shared" si="5385"/>
        <v>HI</v>
      </c>
      <c r="K14756" t="str">
        <f t="shared" si="5386"/>
        <v>8084749377</v>
      </c>
      <c r="L14756" t="str">
        <f>T("8084742535")</f>
        <v>8084742535</v>
      </c>
    </row>
    <row r="14757" spans="1:12" x14ac:dyDescent="0.35">
      <c r="A14757" t="str">
        <f t="shared" si="5378"/>
        <v>SPECWAR-GRP THREE</v>
      </c>
      <c r="B14757" t="str">
        <f>T("NAVAL SPECIAL WARFARE GROUP THREE")</f>
        <v>NAVAL SPECIAL WARFARE GROUP THREE</v>
      </c>
      <c r="C14757" t="str">
        <f>T("455 HORNET AVE STE 101")</f>
        <v>455 HORNET AVE STE 101</v>
      </c>
      <c r="D14757" t="str">
        <f>T("JBPHH")</f>
        <v>JBPHH</v>
      </c>
      <c r="E14757" t="str">
        <f t="shared" si="5382"/>
        <v>HI</v>
      </c>
      <c r="F14757" t="str">
        <f>T("968603530")</f>
        <v>968603530</v>
      </c>
      <c r="G14757" t="str">
        <f>T("455 HORNET AVE STE 101")</f>
        <v>455 HORNET AVE STE 101</v>
      </c>
      <c r="H14757" t="str">
        <f>T("NSWG-3")</f>
        <v>NSWG-3</v>
      </c>
      <c r="I14757" t="str">
        <f>T("JBPHH")</f>
        <v>JBPHH</v>
      </c>
      <c r="J14757" t="str">
        <f t="shared" si="5385"/>
        <v>HI</v>
      </c>
      <c r="K14757" t="str">
        <f>T("8084720799")</f>
        <v>8084720799</v>
      </c>
      <c r="L14757" t="str">
        <f>T("6195374332")</f>
        <v>6195374332</v>
      </c>
    </row>
    <row r="14758" spans="1:12" x14ac:dyDescent="0.35">
      <c r="A14758" t="str">
        <f t="shared" si="5378"/>
        <v>SPECWAR-GRP THREE</v>
      </c>
      <c r="B14758" t="str">
        <f>T("NAVAL SPECIAL WARFARE GROUP THREE")</f>
        <v>NAVAL SPECIAL WARFARE GROUP THREE</v>
      </c>
      <c r="C14758" t="str">
        <f>T("455 HORNET AVE STE 101")</f>
        <v>455 HORNET AVE STE 101</v>
      </c>
      <c r="D14758" t="str">
        <f>T("JBPHH")</f>
        <v>JBPHH</v>
      </c>
      <c r="E14758" t="str">
        <f t="shared" si="5382"/>
        <v>HI</v>
      </c>
      <c r="F14758" t="str">
        <f>T("968603530")</f>
        <v>968603530</v>
      </c>
      <c r="G14758" t="str">
        <f>T("NAVAL SPECIAL WARFARE GROUP THREE")</f>
        <v>NAVAL SPECIAL WARFARE GROUP THREE</v>
      </c>
      <c r="H14758" t="str">
        <f>T("455 HORNET AVE STE 101")</f>
        <v>455 HORNET AVE STE 101</v>
      </c>
      <c r="I14758" t="str">
        <f>T("JBPHH")</f>
        <v>JBPHH</v>
      </c>
      <c r="J14758" t="str">
        <f t="shared" si="5385"/>
        <v>HI</v>
      </c>
      <c r="K14758" t="str">
        <f>T("8084749377")</f>
        <v>8084749377</v>
      </c>
      <c r="L14758" t="str">
        <f>T("6195734331")</f>
        <v>6195734331</v>
      </c>
    </row>
    <row r="14759" spans="1:12" x14ac:dyDescent="0.35">
      <c r="A14759" t="str">
        <f t="shared" si="5378"/>
        <v>SPECWAR-GRP THREE</v>
      </c>
      <c r="B14759" t="str">
        <f>T("NAVAL SPECIAL WARFARE GROUP THREE")</f>
        <v>NAVAL SPECIAL WARFARE GROUP THREE</v>
      </c>
      <c r="C14759" t="str">
        <f>T("455 HORNET AVE STE 101")</f>
        <v>455 HORNET AVE STE 101</v>
      </c>
      <c r="D14759" t="str">
        <f>T("JBPHH")</f>
        <v>JBPHH</v>
      </c>
      <c r="E14759" t="str">
        <f t="shared" si="5382"/>
        <v>HI</v>
      </c>
      <c r="F14759" t="str">
        <f>T("968603530")</f>
        <v>968603530</v>
      </c>
      <c r="G14759" t="str">
        <f>T("NSWG-3")</f>
        <v>NSWG-3</v>
      </c>
      <c r="H14759" t="str">
        <f>T("455 HORNET AVE STE 101")</f>
        <v>455 HORNET AVE STE 101</v>
      </c>
      <c r="I14759" t="str">
        <f>T("JBPHH")</f>
        <v>JBPHH</v>
      </c>
      <c r="J14759" t="str">
        <f t="shared" si="5385"/>
        <v>HI</v>
      </c>
      <c r="K14759" t="str">
        <f>T("000000000000000000")</f>
        <v>000000000000000000</v>
      </c>
      <c r="L14759" t="str">
        <f>T("6195374341")</f>
        <v>6195374341</v>
      </c>
    </row>
    <row r="14760" spans="1:12" x14ac:dyDescent="0.35">
      <c r="A14760" t="str">
        <f t="shared" ref="A14760:A14788" si="5387">T("SPECWAR-GRP FOUR")</f>
        <v>SPECWAR-GRP FOUR</v>
      </c>
      <c r="B14760" t="str">
        <f t="shared" ref="B14760:B14771" si="5388">T("2220 SCHOFIELD RD STE 200")</f>
        <v>2220 SCHOFIELD RD STE 200</v>
      </c>
      <c r="C14760" t="str">
        <f t="shared" ref="C14760:C14771" si="5389">T("")</f>
        <v/>
      </c>
      <c r="D14760" t="str">
        <f t="shared" ref="D14760:D14779" si="5390">T("VIRGINIA BCH")</f>
        <v>VIRGINIA BCH</v>
      </c>
      <c r="E14760" t="str">
        <f t="shared" ref="E14760:E14779" si="5391">T("VA")</f>
        <v>VA</v>
      </c>
      <c r="F14760" t="str">
        <f t="shared" ref="F14760:F14779" si="5392">T("234598838")</f>
        <v>234598838</v>
      </c>
      <c r="G14760" t="str">
        <f>T("2220 SCHOFIELD RD STE 200")</f>
        <v>2220 SCHOFIELD RD STE 200</v>
      </c>
      <c r="H14760" t="str">
        <f>T("")</f>
        <v/>
      </c>
      <c r="I14760" t="str">
        <f>T("VIRGINIA BCH")</f>
        <v>VIRGINIA BCH</v>
      </c>
      <c r="J14760" t="str">
        <f t="shared" ref="J14760:J14779" si="5393">T("VA")</f>
        <v>VA</v>
      </c>
      <c r="K14760" t="str">
        <f>T("7574921555")</f>
        <v>7574921555</v>
      </c>
      <c r="L14760" t="str">
        <f>T("7577634456")</f>
        <v>7577634456</v>
      </c>
    </row>
    <row r="14761" spans="1:12" x14ac:dyDescent="0.35">
      <c r="A14761" t="str">
        <f t="shared" si="5387"/>
        <v>SPECWAR-GRP FOUR</v>
      </c>
      <c r="B14761" t="str">
        <f t="shared" si="5388"/>
        <v>2220 SCHOFIELD RD STE 200</v>
      </c>
      <c r="C14761" t="str">
        <f t="shared" si="5389"/>
        <v/>
      </c>
      <c r="D14761" t="str">
        <f t="shared" si="5390"/>
        <v>VIRGINIA BCH</v>
      </c>
      <c r="E14761" t="str">
        <f t="shared" si="5391"/>
        <v>VA</v>
      </c>
      <c r="F14761" t="str">
        <f t="shared" si="5392"/>
        <v>234598838</v>
      </c>
      <c r="G14761" t="str">
        <f>T("2220 SCHOFIELD RD STE 200")</f>
        <v>2220 SCHOFIELD RD STE 200</v>
      </c>
      <c r="H14761" t="str">
        <f>T("")</f>
        <v/>
      </c>
      <c r="I14761" t="str">
        <f>T("VIRGINIA BCH")</f>
        <v>VIRGINIA BCH</v>
      </c>
      <c r="J14761" t="str">
        <f t="shared" si="5393"/>
        <v>VA</v>
      </c>
      <c r="K14761" t="str">
        <f>T("7574921555")</f>
        <v>7574921555</v>
      </c>
      <c r="L14761" t="str">
        <f>T("7577634459")</f>
        <v>7577634459</v>
      </c>
    </row>
    <row r="14762" spans="1:12" x14ac:dyDescent="0.35">
      <c r="A14762" t="str">
        <f t="shared" si="5387"/>
        <v>SPECWAR-GRP FOUR</v>
      </c>
      <c r="B14762" t="str">
        <f t="shared" si="5388"/>
        <v>2220 SCHOFIELD RD STE 200</v>
      </c>
      <c r="C14762" t="str">
        <f t="shared" si="5389"/>
        <v/>
      </c>
      <c r="D14762" t="str">
        <f t="shared" si="5390"/>
        <v>VIRGINIA BCH</v>
      </c>
      <c r="E14762" t="str">
        <f t="shared" si="5391"/>
        <v>VA</v>
      </c>
      <c r="F14762" t="str">
        <f t="shared" si="5392"/>
        <v>234598838</v>
      </c>
      <c r="G14762" t="str">
        <f>T("2220 SCHOFIELD ROAD")</f>
        <v>2220 SCHOFIELD ROAD</v>
      </c>
      <c r="H14762" t="str">
        <f>T("SUITE 200")</f>
        <v>SUITE 200</v>
      </c>
      <c r="I14762" t="str">
        <f t="shared" ref="I14762:I14771" si="5394">T("VIRGINIA BEACH")</f>
        <v>VIRGINIA BEACH</v>
      </c>
      <c r="J14762" t="str">
        <f t="shared" si="5393"/>
        <v>VA</v>
      </c>
      <c r="K14762" t="str">
        <f t="shared" ref="K14762:K14771" si="5395">T("000000000000000000")</f>
        <v>000000000000000000</v>
      </c>
      <c r="L14762" t="str">
        <f>T("6194375982")</f>
        <v>6194375982</v>
      </c>
    </row>
    <row r="14763" spans="1:12" x14ac:dyDescent="0.35">
      <c r="A14763" t="str">
        <f t="shared" si="5387"/>
        <v>SPECWAR-GRP FOUR</v>
      </c>
      <c r="B14763" t="str">
        <f t="shared" si="5388"/>
        <v>2220 SCHOFIELD RD STE 200</v>
      </c>
      <c r="C14763" t="str">
        <f t="shared" si="5389"/>
        <v/>
      </c>
      <c r="D14763" t="str">
        <f t="shared" si="5390"/>
        <v>VIRGINIA BCH</v>
      </c>
      <c r="E14763" t="str">
        <f t="shared" si="5391"/>
        <v>VA</v>
      </c>
      <c r="F14763" t="str">
        <f t="shared" si="5392"/>
        <v>234598838</v>
      </c>
      <c r="G14763" t="str">
        <f t="shared" ref="G14763:G14771" si="5396">T("2220 SCHOFIELD ROAD STE 200")</f>
        <v>2220 SCHOFIELD ROAD STE 200</v>
      </c>
      <c r="H14763" t="str">
        <f t="shared" ref="H14763:H14770" si="5397">T("ATTN SUPPLY OFFICER")</f>
        <v>ATTN SUPPLY OFFICER</v>
      </c>
      <c r="I14763" t="str">
        <f t="shared" si="5394"/>
        <v>VIRGINIA BEACH</v>
      </c>
      <c r="J14763" t="str">
        <f t="shared" si="5393"/>
        <v>VA</v>
      </c>
      <c r="K14763" t="str">
        <f t="shared" si="5395"/>
        <v>000000000000000000</v>
      </c>
      <c r="L14763" t="str">
        <f>T("7577634450")</f>
        <v>7577634450</v>
      </c>
    </row>
    <row r="14764" spans="1:12" x14ac:dyDescent="0.35">
      <c r="A14764" t="str">
        <f t="shared" si="5387"/>
        <v>SPECWAR-GRP FOUR</v>
      </c>
      <c r="B14764" t="str">
        <f t="shared" si="5388"/>
        <v>2220 SCHOFIELD RD STE 200</v>
      </c>
      <c r="C14764" t="str">
        <f t="shared" si="5389"/>
        <v/>
      </c>
      <c r="D14764" t="str">
        <f t="shared" si="5390"/>
        <v>VIRGINIA BCH</v>
      </c>
      <c r="E14764" t="str">
        <f t="shared" si="5391"/>
        <v>VA</v>
      </c>
      <c r="F14764" t="str">
        <f t="shared" si="5392"/>
        <v>234598838</v>
      </c>
      <c r="G14764" t="str">
        <f t="shared" si="5396"/>
        <v>2220 SCHOFIELD ROAD STE 200</v>
      </c>
      <c r="H14764" t="str">
        <f t="shared" si="5397"/>
        <v>ATTN SUPPLY OFFICER</v>
      </c>
      <c r="I14764" t="str">
        <f t="shared" si="5394"/>
        <v>VIRGINIA BEACH</v>
      </c>
      <c r="J14764" t="str">
        <f t="shared" si="5393"/>
        <v>VA</v>
      </c>
      <c r="K14764" t="str">
        <f t="shared" si="5395"/>
        <v>000000000000000000</v>
      </c>
      <c r="L14764" t="str">
        <f>T("7577634451")</f>
        <v>7577634451</v>
      </c>
    </row>
    <row r="14765" spans="1:12" x14ac:dyDescent="0.35">
      <c r="A14765" t="str">
        <f t="shared" si="5387"/>
        <v>SPECWAR-GRP FOUR</v>
      </c>
      <c r="B14765" t="str">
        <f t="shared" si="5388"/>
        <v>2220 SCHOFIELD RD STE 200</v>
      </c>
      <c r="C14765" t="str">
        <f t="shared" si="5389"/>
        <v/>
      </c>
      <c r="D14765" t="str">
        <f t="shared" si="5390"/>
        <v>VIRGINIA BCH</v>
      </c>
      <c r="E14765" t="str">
        <f t="shared" si="5391"/>
        <v>VA</v>
      </c>
      <c r="F14765" t="str">
        <f t="shared" si="5392"/>
        <v>234598838</v>
      </c>
      <c r="G14765" t="str">
        <f t="shared" si="5396"/>
        <v>2220 SCHOFIELD ROAD STE 200</v>
      </c>
      <c r="H14765" t="str">
        <f t="shared" si="5397"/>
        <v>ATTN SUPPLY OFFICER</v>
      </c>
      <c r="I14765" t="str">
        <f t="shared" si="5394"/>
        <v>VIRGINIA BEACH</v>
      </c>
      <c r="J14765" t="str">
        <f t="shared" si="5393"/>
        <v>VA</v>
      </c>
      <c r="K14765" t="str">
        <f t="shared" si="5395"/>
        <v>000000000000000000</v>
      </c>
      <c r="L14765" t="str">
        <f>T("7577634452")</f>
        <v>7577634452</v>
      </c>
    </row>
    <row r="14766" spans="1:12" x14ac:dyDescent="0.35">
      <c r="A14766" t="str">
        <f t="shared" si="5387"/>
        <v>SPECWAR-GRP FOUR</v>
      </c>
      <c r="B14766" t="str">
        <f t="shared" si="5388"/>
        <v>2220 SCHOFIELD RD STE 200</v>
      </c>
      <c r="C14766" t="str">
        <f t="shared" si="5389"/>
        <v/>
      </c>
      <c r="D14766" t="str">
        <f t="shared" si="5390"/>
        <v>VIRGINIA BCH</v>
      </c>
      <c r="E14766" t="str">
        <f t="shared" si="5391"/>
        <v>VA</v>
      </c>
      <c r="F14766" t="str">
        <f t="shared" si="5392"/>
        <v>234598838</v>
      </c>
      <c r="G14766" t="str">
        <f t="shared" si="5396"/>
        <v>2220 SCHOFIELD ROAD STE 200</v>
      </c>
      <c r="H14766" t="str">
        <f t="shared" si="5397"/>
        <v>ATTN SUPPLY OFFICER</v>
      </c>
      <c r="I14766" t="str">
        <f t="shared" si="5394"/>
        <v>VIRGINIA BEACH</v>
      </c>
      <c r="J14766" t="str">
        <f t="shared" si="5393"/>
        <v>VA</v>
      </c>
      <c r="K14766" t="str">
        <f t="shared" si="5395"/>
        <v>000000000000000000</v>
      </c>
      <c r="L14766" t="str">
        <f>T("7577634456")</f>
        <v>7577634456</v>
      </c>
    </row>
    <row r="14767" spans="1:12" x14ac:dyDescent="0.35">
      <c r="A14767" t="str">
        <f t="shared" si="5387"/>
        <v>SPECWAR-GRP FOUR</v>
      </c>
      <c r="B14767" t="str">
        <f t="shared" si="5388"/>
        <v>2220 SCHOFIELD RD STE 200</v>
      </c>
      <c r="C14767" t="str">
        <f t="shared" si="5389"/>
        <v/>
      </c>
      <c r="D14767" t="str">
        <f t="shared" si="5390"/>
        <v>VIRGINIA BCH</v>
      </c>
      <c r="E14767" t="str">
        <f t="shared" si="5391"/>
        <v>VA</v>
      </c>
      <c r="F14767" t="str">
        <f t="shared" si="5392"/>
        <v>234598838</v>
      </c>
      <c r="G14767" t="str">
        <f t="shared" si="5396"/>
        <v>2220 SCHOFIELD ROAD STE 200</v>
      </c>
      <c r="H14767" t="str">
        <f t="shared" si="5397"/>
        <v>ATTN SUPPLY OFFICER</v>
      </c>
      <c r="I14767" t="str">
        <f t="shared" si="5394"/>
        <v>VIRGINIA BEACH</v>
      </c>
      <c r="J14767" t="str">
        <f t="shared" si="5393"/>
        <v>VA</v>
      </c>
      <c r="K14767" t="str">
        <f t="shared" si="5395"/>
        <v>000000000000000000</v>
      </c>
      <c r="L14767" t="str">
        <f>T("7577634459")</f>
        <v>7577634459</v>
      </c>
    </row>
    <row r="14768" spans="1:12" x14ac:dyDescent="0.35">
      <c r="A14768" t="str">
        <f t="shared" si="5387"/>
        <v>SPECWAR-GRP FOUR</v>
      </c>
      <c r="B14768" t="str">
        <f t="shared" si="5388"/>
        <v>2220 SCHOFIELD RD STE 200</v>
      </c>
      <c r="C14768" t="str">
        <f t="shared" si="5389"/>
        <v/>
      </c>
      <c r="D14768" t="str">
        <f t="shared" si="5390"/>
        <v>VIRGINIA BCH</v>
      </c>
      <c r="E14768" t="str">
        <f t="shared" si="5391"/>
        <v>VA</v>
      </c>
      <c r="F14768" t="str">
        <f t="shared" si="5392"/>
        <v>234598838</v>
      </c>
      <c r="G14768" t="str">
        <f t="shared" si="5396"/>
        <v>2220 SCHOFIELD ROAD STE 200</v>
      </c>
      <c r="H14768" t="str">
        <f t="shared" si="5397"/>
        <v>ATTN SUPPLY OFFICER</v>
      </c>
      <c r="I14768" t="str">
        <f t="shared" si="5394"/>
        <v>VIRGINIA BEACH</v>
      </c>
      <c r="J14768" t="str">
        <f t="shared" si="5393"/>
        <v>VA</v>
      </c>
      <c r="K14768" t="str">
        <f t="shared" si="5395"/>
        <v>000000000000000000</v>
      </c>
      <c r="L14768" t="str">
        <f>T("7577634466")</f>
        <v>7577634466</v>
      </c>
    </row>
    <row r="14769" spans="1:12" x14ac:dyDescent="0.35">
      <c r="A14769" t="str">
        <f t="shared" si="5387"/>
        <v>SPECWAR-GRP FOUR</v>
      </c>
      <c r="B14769" t="str">
        <f t="shared" si="5388"/>
        <v>2220 SCHOFIELD RD STE 200</v>
      </c>
      <c r="C14769" t="str">
        <f t="shared" si="5389"/>
        <v/>
      </c>
      <c r="D14769" t="str">
        <f t="shared" si="5390"/>
        <v>VIRGINIA BCH</v>
      </c>
      <c r="E14769" t="str">
        <f t="shared" si="5391"/>
        <v>VA</v>
      </c>
      <c r="F14769" t="str">
        <f t="shared" si="5392"/>
        <v>234598838</v>
      </c>
      <c r="G14769" t="str">
        <f t="shared" si="5396"/>
        <v>2220 SCHOFIELD ROAD STE 200</v>
      </c>
      <c r="H14769" t="str">
        <f t="shared" si="5397"/>
        <v>ATTN SUPPLY OFFICER</v>
      </c>
      <c r="I14769" t="str">
        <f t="shared" si="5394"/>
        <v>VIRGINIA BEACH</v>
      </c>
      <c r="J14769" t="str">
        <f t="shared" si="5393"/>
        <v>VA</v>
      </c>
      <c r="K14769" t="str">
        <f t="shared" si="5395"/>
        <v>000000000000000000</v>
      </c>
      <c r="L14769" t="str">
        <f>T("7577634467")</f>
        <v>7577634467</v>
      </c>
    </row>
    <row r="14770" spans="1:12" x14ac:dyDescent="0.35">
      <c r="A14770" t="str">
        <f t="shared" si="5387"/>
        <v>SPECWAR-GRP FOUR</v>
      </c>
      <c r="B14770" t="str">
        <f t="shared" si="5388"/>
        <v>2220 SCHOFIELD RD STE 200</v>
      </c>
      <c r="C14770" t="str">
        <f t="shared" si="5389"/>
        <v/>
      </c>
      <c r="D14770" t="str">
        <f t="shared" si="5390"/>
        <v>VIRGINIA BCH</v>
      </c>
      <c r="E14770" t="str">
        <f t="shared" si="5391"/>
        <v>VA</v>
      </c>
      <c r="F14770" t="str">
        <f t="shared" si="5392"/>
        <v>234598838</v>
      </c>
      <c r="G14770" t="str">
        <f t="shared" si="5396"/>
        <v>2220 SCHOFIELD ROAD STE 200</v>
      </c>
      <c r="H14770" t="str">
        <f t="shared" si="5397"/>
        <v>ATTN SUPPLY OFFICER</v>
      </c>
      <c r="I14770" t="str">
        <f t="shared" si="5394"/>
        <v>VIRGINIA BEACH</v>
      </c>
      <c r="J14770" t="str">
        <f t="shared" si="5393"/>
        <v>VA</v>
      </c>
      <c r="K14770" t="str">
        <f t="shared" si="5395"/>
        <v>000000000000000000</v>
      </c>
      <c r="L14770" t="str">
        <f>T("7577635525")</f>
        <v>7577635525</v>
      </c>
    </row>
    <row r="14771" spans="1:12" x14ac:dyDescent="0.35">
      <c r="A14771" t="str">
        <f t="shared" si="5387"/>
        <v>SPECWAR-GRP FOUR</v>
      </c>
      <c r="B14771" t="str">
        <f t="shared" si="5388"/>
        <v>2220 SCHOFIELD RD STE 200</v>
      </c>
      <c r="C14771" t="str">
        <f t="shared" si="5389"/>
        <v/>
      </c>
      <c r="D14771" t="str">
        <f t="shared" si="5390"/>
        <v>VIRGINIA BCH</v>
      </c>
      <c r="E14771" t="str">
        <f t="shared" si="5391"/>
        <v>VA</v>
      </c>
      <c r="F14771" t="str">
        <f t="shared" si="5392"/>
        <v>234598838</v>
      </c>
      <c r="G14771" t="str">
        <f t="shared" si="5396"/>
        <v>2220 SCHOFIELD ROAD STE 200</v>
      </c>
      <c r="H14771" t="str">
        <f>T("ATTN SUPPLY OFICER")</f>
        <v>ATTN SUPPLY OFICER</v>
      </c>
      <c r="I14771" t="str">
        <f t="shared" si="5394"/>
        <v>VIRGINIA BEACH</v>
      </c>
      <c r="J14771" t="str">
        <f t="shared" si="5393"/>
        <v>VA</v>
      </c>
      <c r="K14771" t="str">
        <f t="shared" si="5395"/>
        <v>000000000000000000</v>
      </c>
      <c r="L14771" t="str">
        <f>T("7577634452")</f>
        <v>7577634452</v>
      </c>
    </row>
    <row r="14772" spans="1:12" x14ac:dyDescent="0.35">
      <c r="A14772" t="str">
        <f t="shared" si="5387"/>
        <v>SPECWAR-GRP FOUR</v>
      </c>
      <c r="B14772" t="str">
        <f t="shared" ref="B14772:B14779" si="5398">T("2220 SCHOFIELD ROAD")</f>
        <v>2220 SCHOFIELD ROAD</v>
      </c>
      <c r="C14772" t="str">
        <f t="shared" ref="C14772:C14779" si="5399">T("STE 100")</f>
        <v>STE 100</v>
      </c>
      <c r="D14772" t="str">
        <f t="shared" si="5390"/>
        <v>VIRGINIA BCH</v>
      </c>
      <c r="E14772" t="str">
        <f t="shared" si="5391"/>
        <v>VA</v>
      </c>
      <c r="F14772" t="str">
        <f t="shared" si="5392"/>
        <v>234598838</v>
      </c>
      <c r="G14772" t="str">
        <f>T("2220 SCHOFIELD ROAD")</f>
        <v>2220 SCHOFIELD ROAD</v>
      </c>
      <c r="H14772" t="str">
        <f>T("STE 100")</f>
        <v>STE 100</v>
      </c>
      <c r="I14772" t="str">
        <f>T("VIRGINIA BCH")</f>
        <v>VIRGINIA BCH</v>
      </c>
      <c r="J14772" t="str">
        <f t="shared" si="5393"/>
        <v>VA</v>
      </c>
      <c r="K14772" t="str">
        <f>T("7574921343")</f>
        <v>7574921343</v>
      </c>
      <c r="L14772" t="str">
        <f>T("7577634112")</f>
        <v>7577634112</v>
      </c>
    </row>
    <row r="14773" spans="1:12" x14ac:dyDescent="0.35">
      <c r="A14773" t="str">
        <f t="shared" si="5387"/>
        <v>SPECWAR-GRP FOUR</v>
      </c>
      <c r="B14773" t="str">
        <f t="shared" si="5398"/>
        <v>2220 SCHOFIELD ROAD</v>
      </c>
      <c r="C14773" t="str">
        <f t="shared" si="5399"/>
        <v>STE 100</v>
      </c>
      <c r="D14773" t="str">
        <f t="shared" si="5390"/>
        <v>VIRGINIA BCH</v>
      </c>
      <c r="E14773" t="str">
        <f t="shared" si="5391"/>
        <v>VA</v>
      </c>
      <c r="F14773" t="str">
        <f t="shared" si="5392"/>
        <v>234598838</v>
      </c>
      <c r="G14773" t="str">
        <f>T("SUPPLY OFFICER")</f>
        <v>SUPPLY OFFICER</v>
      </c>
      <c r="H14773" t="str">
        <f>T("2220 SCHOFIELD ROAD")</f>
        <v>2220 SCHOFIELD ROAD</v>
      </c>
      <c r="I14773" t="str">
        <f t="shared" ref="I14773:I14779" si="5400">T("VIRGINIA BEACH")</f>
        <v>VIRGINIA BEACH</v>
      </c>
      <c r="J14773" t="str">
        <f t="shared" si="5393"/>
        <v>VA</v>
      </c>
      <c r="K14773" t="str">
        <f t="shared" ref="K14773:K14779" si="5401">T("000000000000000000")</f>
        <v>000000000000000000</v>
      </c>
      <c r="L14773" t="str">
        <f>T("7577634415")</f>
        <v>7577634415</v>
      </c>
    </row>
    <row r="14774" spans="1:12" x14ac:dyDescent="0.35">
      <c r="A14774" t="str">
        <f t="shared" si="5387"/>
        <v>SPECWAR-GRP FOUR</v>
      </c>
      <c r="B14774" t="str">
        <f t="shared" si="5398"/>
        <v>2220 SCHOFIELD ROAD</v>
      </c>
      <c r="C14774" t="str">
        <f t="shared" si="5399"/>
        <v>STE 100</v>
      </c>
      <c r="D14774" t="str">
        <f t="shared" si="5390"/>
        <v>VIRGINIA BCH</v>
      </c>
      <c r="E14774" t="str">
        <f t="shared" si="5391"/>
        <v>VA</v>
      </c>
      <c r="F14774" t="str">
        <f t="shared" si="5392"/>
        <v>234598838</v>
      </c>
      <c r="G14774" t="str">
        <f>T("SUPPLY OFFICER")</f>
        <v>SUPPLY OFFICER</v>
      </c>
      <c r="H14774" t="str">
        <f>T("2220 SCHOFIELD ROAD STE 100")</f>
        <v>2220 SCHOFIELD ROAD STE 100</v>
      </c>
      <c r="I14774" t="str">
        <f t="shared" si="5400"/>
        <v>VIRGINIA BEACH</v>
      </c>
      <c r="J14774" t="str">
        <f t="shared" si="5393"/>
        <v>VA</v>
      </c>
      <c r="K14774" t="str">
        <f t="shared" si="5401"/>
        <v>000000000000000000</v>
      </c>
      <c r="L14774" t="str">
        <f>T("7577634414")</f>
        <v>7577634414</v>
      </c>
    </row>
    <row r="14775" spans="1:12" x14ac:dyDescent="0.35">
      <c r="A14775" t="str">
        <f t="shared" si="5387"/>
        <v>SPECWAR-GRP FOUR</v>
      </c>
      <c r="B14775" t="str">
        <f t="shared" si="5398"/>
        <v>2220 SCHOFIELD ROAD</v>
      </c>
      <c r="C14775" t="str">
        <f t="shared" si="5399"/>
        <v>STE 100</v>
      </c>
      <c r="D14775" t="str">
        <f t="shared" si="5390"/>
        <v>VIRGINIA BCH</v>
      </c>
      <c r="E14775" t="str">
        <f t="shared" si="5391"/>
        <v>VA</v>
      </c>
      <c r="F14775" t="str">
        <f t="shared" si="5392"/>
        <v>234598838</v>
      </c>
      <c r="G14775" t="str">
        <f>T("SUPPLY OFFICER NSWG4")</f>
        <v>SUPPLY OFFICER NSWG4</v>
      </c>
      <c r="H14775" t="str">
        <f>T("2220 SCHOFIELD RD STE 100")</f>
        <v>2220 SCHOFIELD RD STE 100</v>
      </c>
      <c r="I14775" t="str">
        <f t="shared" si="5400"/>
        <v>VIRGINIA BEACH</v>
      </c>
      <c r="J14775" t="str">
        <f t="shared" si="5393"/>
        <v>VA</v>
      </c>
      <c r="K14775" t="str">
        <f t="shared" si="5401"/>
        <v>000000000000000000</v>
      </c>
      <c r="L14775" t="str">
        <f>T("7577634049")</f>
        <v>7577634049</v>
      </c>
    </row>
    <row r="14776" spans="1:12" x14ac:dyDescent="0.35">
      <c r="A14776" t="str">
        <f t="shared" si="5387"/>
        <v>SPECWAR-GRP FOUR</v>
      </c>
      <c r="B14776" t="str">
        <f t="shared" si="5398"/>
        <v>2220 SCHOFIELD ROAD</v>
      </c>
      <c r="C14776" t="str">
        <f t="shared" si="5399"/>
        <v>STE 100</v>
      </c>
      <c r="D14776" t="str">
        <f t="shared" si="5390"/>
        <v>VIRGINIA BCH</v>
      </c>
      <c r="E14776" t="str">
        <f t="shared" si="5391"/>
        <v>VA</v>
      </c>
      <c r="F14776" t="str">
        <f t="shared" si="5392"/>
        <v>234598838</v>
      </c>
      <c r="G14776" t="str">
        <f>T("SUPPLY OFFICER NSWG4")</f>
        <v>SUPPLY OFFICER NSWG4</v>
      </c>
      <c r="H14776" t="str">
        <f>T("2220 SCHOFIELD ROAD STE 100")</f>
        <v>2220 SCHOFIELD ROAD STE 100</v>
      </c>
      <c r="I14776" t="str">
        <f t="shared" si="5400"/>
        <v>VIRGINIA BEACH</v>
      </c>
      <c r="J14776" t="str">
        <f t="shared" si="5393"/>
        <v>VA</v>
      </c>
      <c r="K14776" t="str">
        <f t="shared" si="5401"/>
        <v>000000000000000000</v>
      </c>
      <c r="L14776" t="str">
        <f>T("7577634054")</f>
        <v>7577634054</v>
      </c>
    </row>
    <row r="14777" spans="1:12" x14ac:dyDescent="0.35">
      <c r="A14777" t="str">
        <f t="shared" si="5387"/>
        <v>SPECWAR-GRP FOUR</v>
      </c>
      <c r="B14777" t="str">
        <f t="shared" si="5398"/>
        <v>2220 SCHOFIELD ROAD</v>
      </c>
      <c r="C14777" t="str">
        <f t="shared" si="5399"/>
        <v>STE 100</v>
      </c>
      <c r="D14777" t="str">
        <f t="shared" si="5390"/>
        <v>VIRGINIA BCH</v>
      </c>
      <c r="E14777" t="str">
        <f t="shared" si="5391"/>
        <v>VA</v>
      </c>
      <c r="F14777" t="str">
        <f t="shared" si="5392"/>
        <v>234598838</v>
      </c>
      <c r="G14777" t="str">
        <f>T("SUPPLY OFFICER NSWG4")</f>
        <v>SUPPLY OFFICER NSWG4</v>
      </c>
      <c r="H14777" t="str">
        <f>T("2220 SCHOFIELD ROAD STE 100")</f>
        <v>2220 SCHOFIELD ROAD STE 100</v>
      </c>
      <c r="I14777" t="str">
        <f t="shared" si="5400"/>
        <v>VIRGINIA BEACH</v>
      </c>
      <c r="J14777" t="str">
        <f t="shared" si="5393"/>
        <v>VA</v>
      </c>
      <c r="K14777" t="str">
        <f t="shared" si="5401"/>
        <v>000000000000000000</v>
      </c>
      <c r="L14777" t="str">
        <f>T("7577634411")</f>
        <v>7577634411</v>
      </c>
    </row>
    <row r="14778" spans="1:12" x14ac:dyDescent="0.35">
      <c r="A14778" t="str">
        <f t="shared" si="5387"/>
        <v>SPECWAR-GRP FOUR</v>
      </c>
      <c r="B14778" t="str">
        <f t="shared" si="5398"/>
        <v>2220 SCHOFIELD ROAD</v>
      </c>
      <c r="C14778" t="str">
        <f t="shared" si="5399"/>
        <v>STE 100</v>
      </c>
      <c r="D14778" t="str">
        <f t="shared" si="5390"/>
        <v>VIRGINIA BCH</v>
      </c>
      <c r="E14778" t="str">
        <f t="shared" si="5391"/>
        <v>VA</v>
      </c>
      <c r="F14778" t="str">
        <f t="shared" si="5392"/>
        <v>234598838</v>
      </c>
      <c r="G14778" t="str">
        <f>T("SUPPLY OFFICER NSWG4")</f>
        <v>SUPPLY OFFICER NSWG4</v>
      </c>
      <c r="H14778" t="str">
        <f>T("2220 SCHOFIELD ROAD STE 100")</f>
        <v>2220 SCHOFIELD ROAD STE 100</v>
      </c>
      <c r="I14778" t="str">
        <f t="shared" si="5400"/>
        <v>VIRGINIA BEACH</v>
      </c>
      <c r="J14778" t="str">
        <f t="shared" si="5393"/>
        <v>VA</v>
      </c>
      <c r="K14778" t="str">
        <f t="shared" si="5401"/>
        <v>000000000000000000</v>
      </c>
      <c r="L14778" t="str">
        <f>T("7577634415")</f>
        <v>7577634415</v>
      </c>
    </row>
    <row r="14779" spans="1:12" x14ac:dyDescent="0.35">
      <c r="A14779" t="str">
        <f t="shared" si="5387"/>
        <v>SPECWAR-GRP FOUR</v>
      </c>
      <c r="B14779" t="str">
        <f t="shared" si="5398"/>
        <v>2220 SCHOFIELD ROAD</v>
      </c>
      <c r="C14779" t="str">
        <f t="shared" si="5399"/>
        <v>STE 100</v>
      </c>
      <c r="D14779" t="str">
        <f t="shared" si="5390"/>
        <v>VIRGINIA BCH</v>
      </c>
      <c r="E14779" t="str">
        <f t="shared" si="5391"/>
        <v>VA</v>
      </c>
      <c r="F14779" t="str">
        <f t="shared" si="5392"/>
        <v>234598838</v>
      </c>
      <c r="G14779" t="str">
        <f>T("SUPPLY OFFICER NSWG4")</f>
        <v>SUPPLY OFFICER NSWG4</v>
      </c>
      <c r="H14779" t="str">
        <f>T("2220 SCHOFIELD ROAD STE100")</f>
        <v>2220 SCHOFIELD ROAD STE100</v>
      </c>
      <c r="I14779" t="str">
        <f t="shared" si="5400"/>
        <v>VIRGINIA BEACH</v>
      </c>
      <c r="J14779" t="str">
        <f t="shared" si="5393"/>
        <v>VA</v>
      </c>
      <c r="K14779" t="str">
        <f t="shared" si="5401"/>
        <v>000000000000000000</v>
      </c>
      <c r="L14779" t="str">
        <f>T("7577634415")</f>
        <v>7577634415</v>
      </c>
    </row>
    <row r="14780" spans="1:12" x14ac:dyDescent="0.35">
      <c r="A14780" t="str">
        <f t="shared" si="5387"/>
        <v>SPECWAR-GRP FOUR</v>
      </c>
      <c r="B14780" t="str">
        <f>T("2603 LOWER GAINSVILLE RD")</f>
        <v>2603 LOWER GAINSVILLE RD</v>
      </c>
      <c r="C14780" t="str">
        <f t="shared" ref="C14780:C14789" si="5402">T("")</f>
        <v/>
      </c>
      <c r="D14780" t="str">
        <f>T("STENNIS SPACE CENTER")</f>
        <v>STENNIS SPACE CENTER</v>
      </c>
      <c r="E14780" t="str">
        <f t="shared" ref="E14780:E14785" si="5403">T("MS")</f>
        <v>MS</v>
      </c>
      <c r="F14780" t="str">
        <f t="shared" ref="F14780:F14785" si="5404">T("395290001")</f>
        <v>395290001</v>
      </c>
      <c r="G14780" t="str">
        <f>T("2603 LOWER GAINSVILLE RD")</f>
        <v>2603 LOWER GAINSVILLE RD</v>
      </c>
      <c r="H14780" t="str">
        <f t="shared" ref="H14780:H14786" si="5405">T("")</f>
        <v/>
      </c>
      <c r="I14780" t="str">
        <f>T("STENNIS SPACE CENTER")</f>
        <v>STENNIS SPACE CENTER</v>
      </c>
      <c r="J14780" t="str">
        <f t="shared" ref="J14780:J14785" si="5406">T("MS")</f>
        <v>MS</v>
      </c>
      <c r="K14780" t="str">
        <f>T("2288134011")</f>
        <v>2288134011</v>
      </c>
      <c r="L14780" t="str">
        <f>T("2288134011")</f>
        <v>2288134011</v>
      </c>
    </row>
    <row r="14781" spans="1:12" x14ac:dyDescent="0.35">
      <c r="A14781" t="str">
        <f t="shared" si="5387"/>
        <v>SPECWAR-GRP FOUR</v>
      </c>
      <c r="B14781" t="str">
        <f>T("2603 LOWER GAINSVILLE RD")</f>
        <v>2603 LOWER GAINSVILLE RD</v>
      </c>
      <c r="C14781" t="str">
        <f t="shared" si="5402"/>
        <v/>
      </c>
      <c r="D14781" t="str">
        <f>T("STENNIS SPACE CENTER")</f>
        <v>STENNIS SPACE CENTER</v>
      </c>
      <c r="E14781" t="str">
        <f t="shared" si="5403"/>
        <v>MS</v>
      </c>
      <c r="F14781" t="str">
        <f t="shared" si="5404"/>
        <v>395290001</v>
      </c>
      <c r="G14781" t="str">
        <f>T("2603 LOWER GAINSVILLE ROAD")</f>
        <v>2603 LOWER GAINSVILLE ROAD</v>
      </c>
      <c r="H14781" t="str">
        <f t="shared" si="5405"/>
        <v/>
      </c>
      <c r="I14781" t="str">
        <f>T("STENNIS SPACE CENTER")</f>
        <v>STENNIS SPACE CENTER</v>
      </c>
      <c r="J14781" t="str">
        <f t="shared" si="5406"/>
        <v>MS</v>
      </c>
      <c r="K14781" t="str">
        <f>T("000000000000000000")</f>
        <v>000000000000000000</v>
      </c>
      <c r="L14781" t="str">
        <f>T("2288134004")</f>
        <v>2288134004</v>
      </c>
    </row>
    <row r="14782" spans="1:12" x14ac:dyDescent="0.35">
      <c r="A14782" t="str">
        <f t="shared" si="5387"/>
        <v>SPECWAR-GRP FOUR</v>
      </c>
      <c r="B14782" t="str">
        <f>T("2603 LOWER GAINSVILLE RD")</f>
        <v>2603 LOWER GAINSVILLE RD</v>
      </c>
      <c r="C14782" t="str">
        <f t="shared" si="5402"/>
        <v/>
      </c>
      <c r="D14782" t="str">
        <f>T("STENNIS SPACE CENTER")</f>
        <v>STENNIS SPACE CENTER</v>
      </c>
      <c r="E14782" t="str">
        <f t="shared" si="5403"/>
        <v>MS</v>
      </c>
      <c r="F14782" t="str">
        <f t="shared" si="5404"/>
        <v>395290001</v>
      </c>
      <c r="G14782" t="str">
        <f>T("2603 LOWER GAINSVILLE ROAD")</f>
        <v>2603 LOWER GAINSVILLE ROAD</v>
      </c>
      <c r="H14782" t="str">
        <f t="shared" si="5405"/>
        <v/>
      </c>
      <c r="I14782" t="str">
        <f>T("STENNIS SPACE CENTER")</f>
        <v>STENNIS SPACE CENTER</v>
      </c>
      <c r="J14782" t="str">
        <f t="shared" si="5406"/>
        <v>MS</v>
      </c>
      <c r="K14782" t="str">
        <f>T("2288134010")</f>
        <v>2288134010</v>
      </c>
      <c r="L14782" t="str">
        <f>T("2288134004")</f>
        <v>2288134004</v>
      </c>
    </row>
    <row r="14783" spans="1:12" x14ac:dyDescent="0.35">
      <c r="A14783" t="str">
        <f t="shared" si="5387"/>
        <v>SPECWAR-GRP FOUR</v>
      </c>
      <c r="B14783" t="str">
        <f>T("2603 LOWER GAINSVILLE RD")</f>
        <v>2603 LOWER GAINSVILLE RD</v>
      </c>
      <c r="C14783" t="str">
        <f t="shared" si="5402"/>
        <v/>
      </c>
      <c r="D14783" t="str">
        <f>T("STENNIS SPACE CENTER")</f>
        <v>STENNIS SPACE CENTER</v>
      </c>
      <c r="E14783" t="str">
        <f t="shared" si="5403"/>
        <v>MS</v>
      </c>
      <c r="F14783" t="str">
        <f t="shared" si="5404"/>
        <v>395290001</v>
      </c>
      <c r="G14783" t="str">
        <f>T("2803 LOWER GAINSVILLE ROAD")</f>
        <v>2803 LOWER GAINSVILLE ROAD</v>
      </c>
      <c r="H14783" t="str">
        <f t="shared" si="5405"/>
        <v/>
      </c>
      <c r="I14783" t="str">
        <f>T("STENNIS SPACE CENTER")</f>
        <v>STENNIS SPACE CENTER</v>
      </c>
      <c r="J14783" t="str">
        <f t="shared" si="5406"/>
        <v>MS</v>
      </c>
      <c r="K14783" t="str">
        <f>T("2288134010")</f>
        <v>2288134010</v>
      </c>
      <c r="L14783" t="str">
        <f>T("2288134004")</f>
        <v>2288134004</v>
      </c>
    </row>
    <row r="14784" spans="1:12" x14ac:dyDescent="0.35">
      <c r="A14784" t="str">
        <f t="shared" si="5387"/>
        <v>SPECWAR-GRP FOUR</v>
      </c>
      <c r="B14784" t="str">
        <f>T("2606 LOWER GAINESVILLE RD")</f>
        <v>2606 LOWER GAINESVILLE RD</v>
      </c>
      <c r="C14784" t="str">
        <f t="shared" si="5402"/>
        <v/>
      </c>
      <c r="D14784" t="str">
        <f>T("STENNIS CTR")</f>
        <v>STENNIS CTR</v>
      </c>
      <c r="E14784" t="str">
        <f t="shared" si="5403"/>
        <v>MS</v>
      </c>
      <c r="F14784" t="str">
        <f t="shared" si="5404"/>
        <v>395290001</v>
      </c>
      <c r="G14784" t="str">
        <f>T("2606 LOWER GAINESVILLE RD")</f>
        <v>2606 LOWER GAINESVILLE RD</v>
      </c>
      <c r="H14784" t="str">
        <f t="shared" si="5405"/>
        <v/>
      </c>
      <c r="I14784" t="str">
        <f>T("STENNIS CTR")</f>
        <v>STENNIS CTR</v>
      </c>
      <c r="J14784" t="str">
        <f t="shared" si="5406"/>
        <v>MS</v>
      </c>
      <c r="K14784" t="str">
        <f>T("")</f>
        <v/>
      </c>
      <c r="L14784" t="str">
        <f>T("2288134051")</f>
        <v>2288134051</v>
      </c>
    </row>
    <row r="14785" spans="1:12" x14ac:dyDescent="0.35">
      <c r="A14785" t="str">
        <f t="shared" si="5387"/>
        <v>SPECWAR-GRP FOUR</v>
      </c>
      <c r="B14785" t="str">
        <f>T("2606 LOWER GAINESVILLE RD")</f>
        <v>2606 LOWER GAINESVILLE RD</v>
      </c>
      <c r="C14785" t="str">
        <f t="shared" si="5402"/>
        <v/>
      </c>
      <c r="D14785" t="str">
        <f>T("STENNIS CTR")</f>
        <v>STENNIS CTR</v>
      </c>
      <c r="E14785" t="str">
        <f t="shared" si="5403"/>
        <v>MS</v>
      </c>
      <c r="F14785" t="str">
        <f t="shared" si="5404"/>
        <v>395290001</v>
      </c>
      <c r="G14785" t="str">
        <f>T("2606 LOWER GAINESVILLE ROAD")</f>
        <v>2606 LOWER GAINESVILLE ROAD</v>
      </c>
      <c r="H14785" t="str">
        <f t="shared" si="5405"/>
        <v/>
      </c>
      <c r="I14785" t="str">
        <f>T("STENNIS SPACE CENTER")</f>
        <v>STENNIS SPACE CENTER</v>
      </c>
      <c r="J14785" t="str">
        <f t="shared" si="5406"/>
        <v>MS</v>
      </c>
      <c r="K14785" t="str">
        <f>T("228813404512325")</f>
        <v>228813404512325</v>
      </c>
      <c r="L14785" t="str">
        <f>T("2288134050")</f>
        <v>2288134050</v>
      </c>
    </row>
    <row r="14786" spans="1:12" x14ac:dyDescent="0.35">
      <c r="A14786" t="str">
        <f t="shared" si="5387"/>
        <v>SPECWAR-GRP FOUR</v>
      </c>
      <c r="B14786" t="str">
        <f>T("3402 TARAWA RD")</f>
        <v>3402 TARAWA RD</v>
      </c>
      <c r="C14786" t="str">
        <f t="shared" si="5402"/>
        <v/>
      </c>
      <c r="D14786" t="str">
        <f>T("SAN DIEGO")</f>
        <v>SAN DIEGO</v>
      </c>
      <c r="E14786" t="str">
        <f>T("CA")</f>
        <v>CA</v>
      </c>
      <c r="F14786" t="str">
        <f>T("921555003")</f>
        <v>921555003</v>
      </c>
      <c r="G14786" t="str">
        <f>T("3402 TARAWA RD")</f>
        <v>3402 TARAWA RD</v>
      </c>
      <c r="H14786" t="str">
        <f t="shared" si="5405"/>
        <v/>
      </c>
      <c r="I14786" t="str">
        <f>T("SAN DIEGO")</f>
        <v>SAN DIEGO</v>
      </c>
      <c r="J14786" t="str">
        <f>T("CA")</f>
        <v>CA</v>
      </c>
      <c r="K14786" t="str">
        <f>T("6194375987")</f>
        <v>6194375987</v>
      </c>
      <c r="L14786" t="str">
        <f>T("6194373707")</f>
        <v>6194373707</v>
      </c>
    </row>
    <row r="14787" spans="1:12" x14ac:dyDescent="0.35">
      <c r="A14787" t="str">
        <f t="shared" si="5387"/>
        <v>SPECWAR-GRP FOUR</v>
      </c>
      <c r="B14787" t="str">
        <f>T("3402 TARAWA RD")</f>
        <v>3402 TARAWA RD</v>
      </c>
      <c r="C14787" t="str">
        <f t="shared" si="5402"/>
        <v/>
      </c>
      <c r="D14787" t="str">
        <f>T("SAN DIEGO")</f>
        <v>SAN DIEGO</v>
      </c>
      <c r="E14787" t="str">
        <f>T("CA")</f>
        <v>CA</v>
      </c>
      <c r="F14787" t="str">
        <f>T("921555003")</f>
        <v>921555003</v>
      </c>
      <c r="G14787" t="str">
        <f>T("3402 TARAWA RD")</f>
        <v>3402 TARAWA RD</v>
      </c>
      <c r="H14787" t="str">
        <f>T("BLDG 214")</f>
        <v>BLDG 214</v>
      </c>
      <c r="I14787" t="str">
        <f>T("SAN DIEGO")</f>
        <v>SAN DIEGO</v>
      </c>
      <c r="J14787" t="str">
        <f>T("CA")</f>
        <v>CA</v>
      </c>
      <c r="K14787" t="str">
        <f>T("000000000000000000")</f>
        <v>000000000000000000</v>
      </c>
      <c r="L14787" t="str">
        <f>T("6194375980")</f>
        <v>6194375980</v>
      </c>
    </row>
    <row r="14788" spans="1:12" x14ac:dyDescent="0.35">
      <c r="A14788" t="str">
        <f t="shared" si="5387"/>
        <v>SPECWAR-GRP FOUR</v>
      </c>
      <c r="B14788" t="str">
        <f>T("3402 TARAWA RD")</f>
        <v>3402 TARAWA RD</v>
      </c>
      <c r="C14788" t="str">
        <f t="shared" si="5402"/>
        <v/>
      </c>
      <c r="D14788" t="str">
        <f>T("SAN DIEGO")</f>
        <v>SAN DIEGO</v>
      </c>
      <c r="E14788" t="str">
        <f>T("CA")</f>
        <v>CA</v>
      </c>
      <c r="F14788" t="str">
        <f>T("921555003")</f>
        <v>921555003</v>
      </c>
      <c r="G14788" t="str">
        <f>T("3402 TARAWA ROAD")</f>
        <v>3402 TARAWA ROAD</v>
      </c>
      <c r="H14788" t="str">
        <f>T("BLDG 214")</f>
        <v>BLDG 214</v>
      </c>
      <c r="I14788" t="str">
        <f>T("SAN DIEGO")</f>
        <v>SAN DIEGO</v>
      </c>
      <c r="J14788" t="str">
        <f>T("CA")</f>
        <v>CA</v>
      </c>
      <c r="K14788" t="str">
        <f>T("000000000000000000")</f>
        <v>000000000000000000</v>
      </c>
      <c r="L14788" t="str">
        <f>T("6194375982")</f>
        <v>6194375982</v>
      </c>
    </row>
    <row r="14789" spans="1:12" x14ac:dyDescent="0.35">
      <c r="A14789" t="str">
        <f t="shared" ref="A14789:A14806" si="5407">T("NSWG-10")</f>
        <v>NSWG-10</v>
      </c>
      <c r="B14789" t="str">
        <f>T("")</f>
        <v/>
      </c>
      <c r="C14789" t="str">
        <f t="shared" si="5402"/>
        <v/>
      </c>
      <c r="D14789" t="str">
        <f>T("")</f>
        <v/>
      </c>
      <c r="E14789" t="str">
        <f>T("")</f>
        <v/>
      </c>
      <c r="F14789" t="str">
        <f>T("")</f>
        <v/>
      </c>
      <c r="G14789" t="str">
        <f>T("4811 SOLOLA AVE")</f>
        <v>4811 SOLOLA AVE</v>
      </c>
      <c r="H14789" t="str">
        <f>T("")</f>
        <v/>
      </c>
      <c r="I14789" t="str">
        <f>T("SAN DIEGO")</f>
        <v>SAN DIEGO</v>
      </c>
      <c r="J14789" t="str">
        <f>T("CA")</f>
        <v>CA</v>
      </c>
      <c r="K14789" t="str">
        <f>T("000000000000000000")</f>
        <v>000000000000000000</v>
      </c>
      <c r="L14789" t="str">
        <f>T("6195371607")</f>
        <v>6195371607</v>
      </c>
    </row>
    <row r="14790" spans="1:12" x14ac:dyDescent="0.35">
      <c r="A14790" t="str">
        <f t="shared" si="5407"/>
        <v>NSWG-10</v>
      </c>
      <c r="B14790" t="str">
        <f>T("1600 SEABEE DR BLDG 3889")</f>
        <v>1600 SEABEE DR BLDG 3889</v>
      </c>
      <c r="C14790" t="str">
        <f>T("ATTN SA2")</f>
        <v>ATTN SA2</v>
      </c>
      <c r="D14790" t="str">
        <f t="shared" ref="D14790:D14799" si="5408">T("VIRGINIA BCH")</f>
        <v>VIRGINIA BCH</v>
      </c>
      <c r="E14790" t="str">
        <f t="shared" ref="E14790:E14799" si="5409">T("VA")</f>
        <v>VA</v>
      </c>
      <c r="F14790" t="str">
        <f t="shared" ref="F14790:F14799" si="5410">T("234598952")</f>
        <v>234598952</v>
      </c>
      <c r="G14790" t="str">
        <f>T("1600 SEABEE DR BLDG 3889")</f>
        <v>1600 SEABEE DR BLDG 3889</v>
      </c>
      <c r="H14790" t="str">
        <f>T("ATTN SA2")</f>
        <v>ATTN SA2</v>
      </c>
      <c r="I14790" t="str">
        <f>T("VIRGINIA BCH")</f>
        <v>VIRGINIA BCH</v>
      </c>
      <c r="J14790" t="str">
        <f t="shared" ref="J14790:J14799" si="5411">T("VA")</f>
        <v>VA</v>
      </c>
      <c r="K14790" t="str">
        <f>T("7577633240")</f>
        <v>7577633240</v>
      </c>
      <c r="L14790" t="str">
        <f>T("7577632843")</f>
        <v>7577632843</v>
      </c>
    </row>
    <row r="14791" spans="1:12" x14ac:dyDescent="0.35">
      <c r="A14791" t="str">
        <f t="shared" si="5407"/>
        <v>NSWG-10</v>
      </c>
      <c r="B14791" t="str">
        <f>T("1600 SEABEE DR BLDG 3889")</f>
        <v>1600 SEABEE DR BLDG 3889</v>
      </c>
      <c r="C14791" t="str">
        <f>T("ATTN SA2")</f>
        <v>ATTN SA2</v>
      </c>
      <c r="D14791" t="str">
        <f t="shared" si="5408"/>
        <v>VIRGINIA BCH</v>
      </c>
      <c r="E14791" t="str">
        <f t="shared" si="5409"/>
        <v>VA</v>
      </c>
      <c r="F14791" t="str">
        <f t="shared" si="5410"/>
        <v>234598952</v>
      </c>
      <c r="G14791" t="str">
        <f>T("1600 SEABEE DR BLDG 3889")</f>
        <v>1600 SEABEE DR BLDG 3889</v>
      </c>
      <c r="H14791" t="str">
        <f>T("NSW SPECIAL RECONNAISSANCE TEAM TWO")</f>
        <v>NSW SPECIAL RECONNAISSANCE TEAM TWO</v>
      </c>
      <c r="I14791" t="str">
        <f t="shared" ref="I14791:I14798" si="5412">T("VIRGINIA BEACH")</f>
        <v>VIRGINIA BEACH</v>
      </c>
      <c r="J14791" t="str">
        <f t="shared" si="5411"/>
        <v>VA</v>
      </c>
      <c r="K14791" t="str">
        <f>T("000000000000000000")</f>
        <v>000000000000000000</v>
      </c>
      <c r="L14791" t="str">
        <f>T("7577632842")</f>
        <v>7577632842</v>
      </c>
    </row>
    <row r="14792" spans="1:12" x14ac:dyDescent="0.35">
      <c r="A14792" t="str">
        <f t="shared" si="5407"/>
        <v>NSWG-10</v>
      </c>
      <c r="B14792" t="str">
        <f>T("1600 SEABEE DR BLDG 3889")</f>
        <v>1600 SEABEE DR BLDG 3889</v>
      </c>
      <c r="C14792" t="str">
        <f>T("ATTN SA2")</f>
        <v>ATTN SA2</v>
      </c>
      <c r="D14792" t="str">
        <f t="shared" si="5408"/>
        <v>VIRGINIA BCH</v>
      </c>
      <c r="E14792" t="str">
        <f t="shared" si="5409"/>
        <v>VA</v>
      </c>
      <c r="F14792" t="str">
        <f t="shared" si="5410"/>
        <v>234598952</v>
      </c>
      <c r="G14792" t="str">
        <f>T("1600 SEABEE DR BLDG 3889")</f>
        <v>1600 SEABEE DR BLDG 3889</v>
      </c>
      <c r="H14792" t="str">
        <f>T("NSW SPECIAL RECONNAISSANCE TEAM TWO")</f>
        <v>NSW SPECIAL RECONNAISSANCE TEAM TWO</v>
      </c>
      <c r="I14792" t="str">
        <f t="shared" si="5412"/>
        <v>VIRGINIA BEACH</v>
      </c>
      <c r="J14792" t="str">
        <f t="shared" si="5411"/>
        <v>VA</v>
      </c>
      <c r="K14792" t="str">
        <f>T("000000000000000000")</f>
        <v>000000000000000000</v>
      </c>
      <c r="L14792" t="str">
        <f>T("7577632894")</f>
        <v>7577632894</v>
      </c>
    </row>
    <row r="14793" spans="1:12" x14ac:dyDescent="0.35">
      <c r="A14793" t="str">
        <f t="shared" si="5407"/>
        <v>NSWG-10</v>
      </c>
      <c r="B14793" t="str">
        <f>T("1600 SEABEE DR BLDG 3889")</f>
        <v>1600 SEABEE DR BLDG 3889</v>
      </c>
      <c r="C14793" t="str">
        <f>T("ATTN SA2")</f>
        <v>ATTN SA2</v>
      </c>
      <c r="D14793" t="str">
        <f t="shared" si="5408"/>
        <v>VIRGINIA BCH</v>
      </c>
      <c r="E14793" t="str">
        <f t="shared" si="5409"/>
        <v>VA</v>
      </c>
      <c r="F14793" t="str">
        <f t="shared" si="5410"/>
        <v>234598952</v>
      </c>
      <c r="G14793" t="str">
        <f>T("1600 SEABEE DR BLDG 3889")</f>
        <v>1600 SEABEE DR BLDG 3889</v>
      </c>
      <c r="H14793" t="str">
        <f>T("NSW SPECIAL RECONNAISSANCE TEAM TWO")</f>
        <v>NSW SPECIAL RECONNAISSANCE TEAM TWO</v>
      </c>
      <c r="I14793" t="str">
        <f t="shared" si="5412"/>
        <v>VIRGINIA BEACH</v>
      </c>
      <c r="J14793" t="str">
        <f t="shared" si="5411"/>
        <v>VA</v>
      </c>
      <c r="K14793" t="str">
        <f>T("7577633240")</f>
        <v>7577633240</v>
      </c>
      <c r="L14793" t="str">
        <f>T("7577632894")</f>
        <v>7577632894</v>
      </c>
    </row>
    <row r="14794" spans="1:12" x14ac:dyDescent="0.35">
      <c r="A14794" t="str">
        <f t="shared" si="5407"/>
        <v>NSWG-10</v>
      </c>
      <c r="B14794" t="str">
        <f>T("1600 SEABEE DR BLDG 3889")</f>
        <v>1600 SEABEE DR BLDG 3889</v>
      </c>
      <c r="C14794" t="str">
        <f>T("ATTN SA2")</f>
        <v>ATTN SA2</v>
      </c>
      <c r="D14794" t="str">
        <f t="shared" si="5408"/>
        <v>VIRGINIA BCH</v>
      </c>
      <c r="E14794" t="str">
        <f t="shared" si="5409"/>
        <v>VA</v>
      </c>
      <c r="F14794" t="str">
        <f t="shared" si="5410"/>
        <v>234598952</v>
      </c>
      <c r="G14794" t="str">
        <f>T("1600 SEABEE DR BLDG 3889")</f>
        <v>1600 SEABEE DR BLDG 3889</v>
      </c>
      <c r="H14794" t="str">
        <f>T("NSW SUPPORT ACTIVITY TWO")</f>
        <v>NSW SUPPORT ACTIVITY TWO</v>
      </c>
      <c r="I14794" t="str">
        <f t="shared" si="5412"/>
        <v>VIRGINIA BEACH</v>
      </c>
      <c r="J14794" t="str">
        <f t="shared" si="5411"/>
        <v>VA</v>
      </c>
      <c r="K14794" t="str">
        <f>T("7577633240")</f>
        <v>7577633240</v>
      </c>
      <c r="L14794" t="str">
        <f>T("7577632894")</f>
        <v>7577632894</v>
      </c>
    </row>
    <row r="14795" spans="1:12" x14ac:dyDescent="0.35">
      <c r="A14795" t="str">
        <f t="shared" si="5407"/>
        <v>NSWG-10</v>
      </c>
      <c r="B14795" t="str">
        <f>T("1600 SEABEE DRIVE BLDG 3889")</f>
        <v>1600 SEABEE DRIVE BLDG 3889</v>
      </c>
      <c r="C14795" t="str">
        <f>T("ATTN N4 DEPT")</f>
        <v>ATTN N4 DEPT</v>
      </c>
      <c r="D14795" t="str">
        <f t="shared" si="5408"/>
        <v>VIRGINIA BCH</v>
      </c>
      <c r="E14795" t="str">
        <f t="shared" si="5409"/>
        <v>VA</v>
      </c>
      <c r="F14795" t="str">
        <f t="shared" si="5410"/>
        <v>234598952</v>
      </c>
      <c r="G14795" t="str">
        <f>T("1600 SEABEE DR BDLG 3889")</f>
        <v>1600 SEABEE DR BDLG 3889</v>
      </c>
      <c r="H14795" t="str">
        <f>T("")</f>
        <v/>
      </c>
      <c r="I14795" t="str">
        <f t="shared" si="5412"/>
        <v>VIRGINIA BEACH</v>
      </c>
      <c r="J14795" t="str">
        <f t="shared" si="5411"/>
        <v>VA</v>
      </c>
      <c r="K14795" t="str">
        <f>T("7577635304")</f>
        <v>7577635304</v>
      </c>
      <c r="L14795" t="str">
        <f>T("7577635243")</f>
        <v>7577635243</v>
      </c>
    </row>
    <row r="14796" spans="1:12" x14ac:dyDescent="0.35">
      <c r="A14796" t="str">
        <f t="shared" si="5407"/>
        <v>NSWG-10</v>
      </c>
      <c r="B14796" t="str">
        <f>T("1600 SEABEE DRIVE BLDG 3889")</f>
        <v>1600 SEABEE DRIVE BLDG 3889</v>
      </c>
      <c r="C14796" t="str">
        <f>T("ATTN N4 DEPT")</f>
        <v>ATTN N4 DEPT</v>
      </c>
      <c r="D14796" t="str">
        <f t="shared" si="5408"/>
        <v>VIRGINIA BCH</v>
      </c>
      <c r="E14796" t="str">
        <f t="shared" si="5409"/>
        <v>VA</v>
      </c>
      <c r="F14796" t="str">
        <f t="shared" si="5410"/>
        <v>234598952</v>
      </c>
      <c r="G14796" t="str">
        <f>T("1600 SEABEE DR BLDG 3889")</f>
        <v>1600 SEABEE DR BLDG 3889</v>
      </c>
      <c r="H14796" t="str">
        <f>T("")</f>
        <v/>
      </c>
      <c r="I14796" t="str">
        <f t="shared" si="5412"/>
        <v>VIRGINIA BEACH</v>
      </c>
      <c r="J14796" t="str">
        <f t="shared" si="5411"/>
        <v>VA</v>
      </c>
      <c r="K14796" t="str">
        <f>T("000000000000000000")</f>
        <v>000000000000000000</v>
      </c>
      <c r="L14796" t="str">
        <f>T("7577635242")</f>
        <v>7577635242</v>
      </c>
    </row>
    <row r="14797" spans="1:12" x14ac:dyDescent="0.35">
      <c r="A14797" t="str">
        <f t="shared" si="5407"/>
        <v>NSWG-10</v>
      </c>
      <c r="B14797" t="str">
        <f>T("1600 SEABEE DRIVE BLDG 3889")</f>
        <v>1600 SEABEE DRIVE BLDG 3889</v>
      </c>
      <c r="C14797" t="str">
        <f>T("ATTN N4 DEPT")</f>
        <v>ATTN N4 DEPT</v>
      </c>
      <c r="D14797" t="str">
        <f t="shared" si="5408"/>
        <v>VIRGINIA BCH</v>
      </c>
      <c r="E14797" t="str">
        <f t="shared" si="5409"/>
        <v>VA</v>
      </c>
      <c r="F14797" t="str">
        <f t="shared" si="5410"/>
        <v>234598952</v>
      </c>
      <c r="G14797" t="str">
        <f>T("1600 SEABEE DR BLDG 3889")</f>
        <v>1600 SEABEE DR BLDG 3889</v>
      </c>
      <c r="H14797" t="str">
        <f>T("NSWG-10")</f>
        <v>NSWG-10</v>
      </c>
      <c r="I14797" t="str">
        <f t="shared" si="5412"/>
        <v>VIRGINIA BEACH</v>
      </c>
      <c r="J14797" t="str">
        <f t="shared" si="5411"/>
        <v>VA</v>
      </c>
      <c r="K14797" t="str">
        <f>T("000000000000000000")</f>
        <v>000000000000000000</v>
      </c>
      <c r="L14797" t="str">
        <f>T("7577633831")</f>
        <v>7577633831</v>
      </c>
    </row>
    <row r="14798" spans="1:12" x14ac:dyDescent="0.35">
      <c r="A14798" t="str">
        <f t="shared" si="5407"/>
        <v>NSWG-10</v>
      </c>
      <c r="B14798" t="str">
        <f>T("1600 SEABEE DRIVE BLDG 3889")</f>
        <v>1600 SEABEE DRIVE BLDG 3889</v>
      </c>
      <c r="C14798" t="str">
        <f>T("ATTN N4 DEPT")</f>
        <v>ATTN N4 DEPT</v>
      </c>
      <c r="D14798" t="str">
        <f t="shared" si="5408"/>
        <v>VIRGINIA BCH</v>
      </c>
      <c r="E14798" t="str">
        <f t="shared" si="5409"/>
        <v>VA</v>
      </c>
      <c r="F14798" t="str">
        <f t="shared" si="5410"/>
        <v>234598952</v>
      </c>
      <c r="G14798" t="str">
        <f>T("1600 SEABEE DR LDG 3889")</f>
        <v>1600 SEABEE DR LDG 3889</v>
      </c>
      <c r="H14798" t="str">
        <f>T("ATTN NSWG-10 N4 DEPT")</f>
        <v>ATTN NSWG-10 N4 DEPT</v>
      </c>
      <c r="I14798" t="str">
        <f t="shared" si="5412"/>
        <v>VIRGINIA BEACH</v>
      </c>
      <c r="J14798" t="str">
        <f t="shared" si="5411"/>
        <v>VA</v>
      </c>
      <c r="K14798" t="str">
        <f>T("7577635304")</f>
        <v>7577635304</v>
      </c>
      <c r="L14798" t="str">
        <f>T("7577633871")</f>
        <v>7577633871</v>
      </c>
    </row>
    <row r="14799" spans="1:12" x14ac:dyDescent="0.35">
      <c r="A14799" t="str">
        <f t="shared" si="5407"/>
        <v>NSWG-10</v>
      </c>
      <c r="B14799" t="str">
        <f>T("1600 SEABEE DRIVE BLDG 3889")</f>
        <v>1600 SEABEE DRIVE BLDG 3889</v>
      </c>
      <c r="C14799" t="str">
        <f>T("ATTN N4 DEPT")</f>
        <v>ATTN N4 DEPT</v>
      </c>
      <c r="D14799" t="str">
        <f t="shared" si="5408"/>
        <v>VIRGINIA BCH</v>
      </c>
      <c r="E14799" t="str">
        <f t="shared" si="5409"/>
        <v>VA</v>
      </c>
      <c r="F14799" t="str">
        <f t="shared" si="5410"/>
        <v>234598952</v>
      </c>
      <c r="G14799" t="str">
        <f>T("1600 SEABEE DRIVE BLDG 3889")</f>
        <v>1600 SEABEE DRIVE BLDG 3889</v>
      </c>
      <c r="H14799" t="str">
        <f>T("ATTN N4 DEPT")</f>
        <v>ATTN N4 DEPT</v>
      </c>
      <c r="I14799" t="str">
        <f>T("VIRGINIA BCH")</f>
        <v>VIRGINIA BCH</v>
      </c>
      <c r="J14799" t="str">
        <f t="shared" si="5411"/>
        <v>VA</v>
      </c>
      <c r="K14799" t="str">
        <f>T("7577635304")</f>
        <v>7577635304</v>
      </c>
      <c r="L14799" t="str">
        <f>T("7577635241")</f>
        <v>7577635241</v>
      </c>
    </row>
    <row r="14800" spans="1:12" x14ac:dyDescent="0.35">
      <c r="A14800" t="str">
        <f t="shared" si="5407"/>
        <v>NSWG-10</v>
      </c>
      <c r="B14800" t="str">
        <f>T("2024 TRIDENT WAY BLDG 603")</f>
        <v>2024 TRIDENT WAY BLDG 603</v>
      </c>
      <c r="C14800" t="str">
        <f>T("ATTN SA1")</f>
        <v>ATTN SA1</v>
      </c>
      <c r="D14800" t="str">
        <f t="shared" ref="D14800:D14806" si="5413">T("SAN DIEGO")</f>
        <v>SAN DIEGO</v>
      </c>
      <c r="E14800" t="str">
        <f t="shared" ref="E14800:E14815" si="5414">T("CA")</f>
        <v>CA</v>
      </c>
      <c r="F14800" t="str">
        <f>T("921555503")</f>
        <v>921555503</v>
      </c>
      <c r="G14800" t="str">
        <f>T("2024 TRIDENT WAY BLDG 603")</f>
        <v>2024 TRIDENT WAY BLDG 603</v>
      </c>
      <c r="H14800" t="str">
        <f>T("")</f>
        <v/>
      </c>
      <c r="I14800" t="str">
        <f t="shared" ref="I14800:I14806" si="5415">T("SAN DIEGO")</f>
        <v>SAN DIEGO</v>
      </c>
      <c r="J14800" t="str">
        <f t="shared" ref="J14800:J14815" si="5416">T("CA")</f>
        <v>CA</v>
      </c>
      <c r="K14800" t="str">
        <f>T("000000000000000000")</f>
        <v>000000000000000000</v>
      </c>
      <c r="L14800" t="str">
        <f>T("6195371095")</f>
        <v>6195371095</v>
      </c>
    </row>
    <row r="14801" spans="1:12" x14ac:dyDescent="0.35">
      <c r="A14801" t="str">
        <f t="shared" si="5407"/>
        <v>NSWG-10</v>
      </c>
      <c r="B14801" t="str">
        <f>T("2024 TRIDENT WAY BLDG 603")</f>
        <v>2024 TRIDENT WAY BLDG 603</v>
      </c>
      <c r="C14801" t="str">
        <f>T("ATTN SA1")</f>
        <v>ATTN SA1</v>
      </c>
      <c r="D14801" t="str">
        <f t="shared" si="5413"/>
        <v>SAN DIEGO</v>
      </c>
      <c r="E14801" t="str">
        <f t="shared" si="5414"/>
        <v>CA</v>
      </c>
      <c r="F14801" t="str">
        <f>T("921555503")</f>
        <v>921555503</v>
      </c>
      <c r="G14801" t="str">
        <f>T("2024 TRIDENT WAY BLDG 603")</f>
        <v>2024 TRIDENT WAY BLDG 603</v>
      </c>
      <c r="H14801" t="str">
        <f>T("")</f>
        <v/>
      </c>
      <c r="I14801" t="str">
        <f t="shared" si="5415"/>
        <v>SAN DIEGO</v>
      </c>
      <c r="J14801" t="str">
        <f t="shared" si="5416"/>
        <v>CA</v>
      </c>
      <c r="K14801" t="str">
        <f>T("000000000000000000")</f>
        <v>000000000000000000</v>
      </c>
      <c r="L14801" t="str">
        <f>T("6195371105")</f>
        <v>6195371105</v>
      </c>
    </row>
    <row r="14802" spans="1:12" x14ac:dyDescent="0.35">
      <c r="A14802" t="str">
        <f t="shared" si="5407"/>
        <v>NSWG-10</v>
      </c>
      <c r="B14802" t="str">
        <f>T("2024 TRIDENT WAY BLDG 603")</f>
        <v>2024 TRIDENT WAY BLDG 603</v>
      </c>
      <c r="C14802" t="str">
        <f>T("ATTN SA1")</f>
        <v>ATTN SA1</v>
      </c>
      <c r="D14802" t="str">
        <f t="shared" si="5413"/>
        <v>SAN DIEGO</v>
      </c>
      <c r="E14802" t="str">
        <f t="shared" si="5414"/>
        <v>CA</v>
      </c>
      <c r="F14802" t="str">
        <f>T("921555503")</f>
        <v>921555503</v>
      </c>
      <c r="G14802" t="str">
        <f>T("2024 TRIDENT WAY BLDG 603")</f>
        <v>2024 TRIDENT WAY BLDG 603</v>
      </c>
      <c r="H14802" t="str">
        <f>T("")</f>
        <v/>
      </c>
      <c r="I14802" t="str">
        <f t="shared" si="5415"/>
        <v>SAN DIEGO</v>
      </c>
      <c r="J14802" t="str">
        <f t="shared" si="5416"/>
        <v>CA</v>
      </c>
      <c r="K14802" t="str">
        <f>T("6195371082")</f>
        <v>6195371082</v>
      </c>
      <c r="L14802" t="str">
        <f>T("6195371095")</f>
        <v>6195371095</v>
      </c>
    </row>
    <row r="14803" spans="1:12" x14ac:dyDescent="0.35">
      <c r="A14803" t="str">
        <f t="shared" si="5407"/>
        <v>NSWG-10</v>
      </c>
      <c r="B14803" t="str">
        <f>T("2024 TRIDENT WAY BLDG 603")</f>
        <v>2024 TRIDENT WAY BLDG 603</v>
      </c>
      <c r="C14803" t="str">
        <f>T("ATTN SA1")</f>
        <v>ATTN SA1</v>
      </c>
      <c r="D14803" t="str">
        <f t="shared" si="5413"/>
        <v>SAN DIEGO</v>
      </c>
      <c r="E14803" t="str">
        <f t="shared" si="5414"/>
        <v>CA</v>
      </c>
      <c r="F14803" t="str">
        <f>T("921555503")</f>
        <v>921555503</v>
      </c>
      <c r="G14803" t="str">
        <f>T("2024 TRIDENT WAY BLDG 603")</f>
        <v>2024 TRIDENT WAY BLDG 603</v>
      </c>
      <c r="H14803" t="str">
        <f>T("")</f>
        <v/>
      </c>
      <c r="I14803" t="str">
        <f t="shared" si="5415"/>
        <v>SAN DIEGO</v>
      </c>
      <c r="J14803" t="str">
        <f t="shared" si="5416"/>
        <v>CA</v>
      </c>
      <c r="K14803" t="str">
        <f>T("6195371082")</f>
        <v>6195371082</v>
      </c>
      <c r="L14803" t="str">
        <f>T("6195371105")</f>
        <v>6195371105</v>
      </c>
    </row>
    <row r="14804" spans="1:12" x14ac:dyDescent="0.35">
      <c r="A14804" t="str">
        <f t="shared" si="5407"/>
        <v>NSWG-10</v>
      </c>
      <c r="B14804" t="str">
        <f>T("2024 TRIDENT WAY BLDG 603")</f>
        <v>2024 TRIDENT WAY BLDG 603</v>
      </c>
      <c r="C14804" t="str">
        <f>T("ATTN SA1")</f>
        <v>ATTN SA1</v>
      </c>
      <c r="D14804" t="str">
        <f t="shared" si="5413"/>
        <v>SAN DIEGO</v>
      </c>
      <c r="E14804" t="str">
        <f t="shared" si="5414"/>
        <v>CA</v>
      </c>
      <c r="F14804" t="str">
        <f>T("921555503")</f>
        <v>921555503</v>
      </c>
      <c r="G14804" t="str">
        <f>T("2024 TRIDENT WAY BLDG 603")</f>
        <v>2024 TRIDENT WAY BLDG 603</v>
      </c>
      <c r="H14804" t="str">
        <f>T("ATTN SA1")</f>
        <v>ATTN SA1</v>
      </c>
      <c r="I14804" t="str">
        <f t="shared" si="5415"/>
        <v>SAN DIEGO</v>
      </c>
      <c r="J14804" t="str">
        <f t="shared" si="5416"/>
        <v>CA</v>
      </c>
      <c r="K14804" t="str">
        <f>T("6195371082")</f>
        <v>6195371082</v>
      </c>
      <c r="L14804" t="str">
        <f>T("6195371105")</f>
        <v>6195371105</v>
      </c>
    </row>
    <row r="14805" spans="1:12" x14ac:dyDescent="0.35">
      <c r="A14805" t="str">
        <f t="shared" si="5407"/>
        <v>NSWG-10</v>
      </c>
      <c r="B14805" t="str">
        <f>T("4811 SOLOLA AVE")</f>
        <v>4811 SOLOLA AVE</v>
      </c>
      <c r="C14805" t="str">
        <f>T("")</f>
        <v/>
      </c>
      <c r="D14805" t="str">
        <f t="shared" si="5413"/>
        <v>SAN DIEGO</v>
      </c>
      <c r="E14805" t="str">
        <f t="shared" si="5414"/>
        <v>CA</v>
      </c>
      <c r="F14805" t="str">
        <f>T("921133534")</f>
        <v>921133534</v>
      </c>
      <c r="G14805" t="str">
        <f>T("2903 TULAGI ROAD")</f>
        <v>2903 TULAGI ROAD</v>
      </c>
      <c r="H14805" t="str">
        <f>T("BLDG 322 SUITE 2")</f>
        <v>BLDG 322 SUITE 2</v>
      </c>
      <c r="I14805" t="str">
        <f t="shared" si="5415"/>
        <v>SAN DIEGO</v>
      </c>
      <c r="J14805" t="str">
        <f t="shared" si="5416"/>
        <v>CA</v>
      </c>
      <c r="K14805" t="str">
        <f t="shared" ref="K14805:K14810" si="5417">T("000000000000000000")</f>
        <v>000000000000000000</v>
      </c>
      <c r="L14805" t="str">
        <f>T("6195371607")</f>
        <v>6195371607</v>
      </c>
    </row>
    <row r="14806" spans="1:12" x14ac:dyDescent="0.35">
      <c r="A14806" t="str">
        <f t="shared" si="5407"/>
        <v>NSWG-10</v>
      </c>
      <c r="B14806" t="str">
        <f>T("4811 SOLOLA AVE")</f>
        <v>4811 SOLOLA AVE</v>
      </c>
      <c r="C14806" t="str">
        <f>T("")</f>
        <v/>
      </c>
      <c r="D14806" t="str">
        <f t="shared" si="5413"/>
        <v>SAN DIEGO</v>
      </c>
      <c r="E14806" t="str">
        <f t="shared" si="5414"/>
        <v>CA</v>
      </c>
      <c r="F14806" t="str">
        <f>T("921133534")</f>
        <v>921133534</v>
      </c>
      <c r="G14806" t="str">
        <f>T("4811 SOLOLA AVE")</f>
        <v>4811 SOLOLA AVE</v>
      </c>
      <c r="H14806" t="str">
        <f>T("")</f>
        <v/>
      </c>
      <c r="I14806" t="str">
        <f t="shared" si="5415"/>
        <v>SAN DIEGO</v>
      </c>
      <c r="J14806" t="str">
        <f t="shared" si="5416"/>
        <v>CA</v>
      </c>
      <c r="K14806" t="str">
        <f t="shared" si="5417"/>
        <v>000000000000000000</v>
      </c>
      <c r="L14806" t="str">
        <f>T("1111111111")</f>
        <v>1111111111</v>
      </c>
    </row>
    <row r="14807" spans="1:12" x14ac:dyDescent="0.35">
      <c r="A14807" t="str">
        <f t="shared" ref="A14807:A14838" si="5418">T("SPECWARCEN")</f>
        <v>SPECWARCEN</v>
      </c>
      <c r="B14807" t="str">
        <f t="shared" ref="B14807:B14815" si="5419">T("1 HOOPER BLVD")</f>
        <v>1 HOOPER BLVD</v>
      </c>
      <c r="C14807" t="str">
        <f t="shared" ref="C14807:C14815" si="5420">T("N4")</f>
        <v>N4</v>
      </c>
      <c r="D14807" t="str">
        <f t="shared" ref="D14807:D14815" si="5421">T("IMPERIAL BCH")</f>
        <v>IMPERIAL BCH</v>
      </c>
      <c r="E14807" t="str">
        <f t="shared" si="5414"/>
        <v>CA</v>
      </c>
      <c r="F14807" t="str">
        <f t="shared" ref="F14807:F14815" si="5422">T("919321050")</f>
        <v>919321050</v>
      </c>
      <c r="G14807" t="str">
        <f>T("1 HOOPER BLVD")</f>
        <v>1 HOOPER BLVD</v>
      </c>
      <c r="H14807" t="str">
        <f>T("")</f>
        <v/>
      </c>
      <c r="I14807" t="str">
        <f>T("IMPERIAL BEACH")</f>
        <v>IMPERIAL BEACH</v>
      </c>
      <c r="J14807" t="str">
        <f t="shared" si="5416"/>
        <v>CA</v>
      </c>
      <c r="K14807" t="str">
        <f t="shared" si="5417"/>
        <v>000000000000000000</v>
      </c>
      <c r="L14807" t="str">
        <f>T("6195371600")</f>
        <v>6195371600</v>
      </c>
    </row>
    <row r="14808" spans="1:12" x14ac:dyDescent="0.35">
      <c r="A14808" t="str">
        <f t="shared" si="5418"/>
        <v>SPECWARCEN</v>
      </c>
      <c r="B14808" t="str">
        <f t="shared" si="5419"/>
        <v>1 HOOPER BLVD</v>
      </c>
      <c r="C14808" t="str">
        <f t="shared" si="5420"/>
        <v>N4</v>
      </c>
      <c r="D14808" t="str">
        <f t="shared" si="5421"/>
        <v>IMPERIAL BCH</v>
      </c>
      <c r="E14808" t="str">
        <f t="shared" si="5414"/>
        <v>CA</v>
      </c>
      <c r="F14808" t="str">
        <f t="shared" si="5422"/>
        <v>919321050</v>
      </c>
      <c r="G14808" t="str">
        <f>T("1 HOOPER BLVD")</f>
        <v>1 HOOPER BLVD</v>
      </c>
      <c r="H14808" t="str">
        <f>T("")</f>
        <v/>
      </c>
      <c r="I14808" t="str">
        <f>T("IMPERIAL BEACH")</f>
        <v>IMPERIAL BEACH</v>
      </c>
      <c r="J14808" t="str">
        <f t="shared" si="5416"/>
        <v>CA</v>
      </c>
      <c r="K14808" t="str">
        <f t="shared" si="5417"/>
        <v>000000000000000000</v>
      </c>
      <c r="L14808" t="str">
        <f>T("6195372146")</f>
        <v>6195372146</v>
      </c>
    </row>
    <row r="14809" spans="1:12" x14ac:dyDescent="0.35">
      <c r="A14809" t="str">
        <f t="shared" si="5418"/>
        <v>SPECWARCEN</v>
      </c>
      <c r="B14809" t="str">
        <f t="shared" si="5419"/>
        <v>1 HOOPER BLVD</v>
      </c>
      <c r="C14809" t="str">
        <f t="shared" si="5420"/>
        <v>N4</v>
      </c>
      <c r="D14809" t="str">
        <f t="shared" si="5421"/>
        <v>IMPERIAL BCH</v>
      </c>
      <c r="E14809" t="str">
        <f t="shared" si="5414"/>
        <v>CA</v>
      </c>
      <c r="F14809" t="str">
        <f t="shared" si="5422"/>
        <v>919321050</v>
      </c>
      <c r="G14809" t="str">
        <f>T("1 HOOPER BLVD")</f>
        <v>1 HOOPER BLVD</v>
      </c>
      <c r="H14809" t="str">
        <f>T("")</f>
        <v/>
      </c>
      <c r="I14809" t="str">
        <f>T("IMPERIAL BEACH")</f>
        <v>IMPERIAL BEACH</v>
      </c>
      <c r="J14809" t="str">
        <f t="shared" si="5416"/>
        <v>CA</v>
      </c>
      <c r="K14809" t="str">
        <f t="shared" si="5417"/>
        <v>000000000000000000</v>
      </c>
      <c r="L14809" t="str">
        <f>T("6195372153")</f>
        <v>6195372153</v>
      </c>
    </row>
    <row r="14810" spans="1:12" x14ac:dyDescent="0.35">
      <c r="A14810" t="str">
        <f t="shared" si="5418"/>
        <v>SPECWARCEN</v>
      </c>
      <c r="B14810" t="str">
        <f t="shared" si="5419"/>
        <v>1 HOOPER BLVD</v>
      </c>
      <c r="C14810" t="str">
        <f t="shared" si="5420"/>
        <v>N4</v>
      </c>
      <c r="D14810" t="str">
        <f t="shared" si="5421"/>
        <v>IMPERIAL BCH</v>
      </c>
      <c r="E14810" t="str">
        <f t="shared" si="5414"/>
        <v>CA</v>
      </c>
      <c r="F14810" t="str">
        <f t="shared" si="5422"/>
        <v>919321050</v>
      </c>
      <c r="G14810" t="str">
        <f>T("1 HOOPER BLVD")</f>
        <v>1 HOOPER BLVD</v>
      </c>
      <c r="H14810" t="str">
        <f>T("")</f>
        <v/>
      </c>
      <c r="I14810" t="str">
        <f>T("IMPERIAL BEACH")</f>
        <v>IMPERIAL BEACH</v>
      </c>
      <c r="J14810" t="str">
        <f t="shared" si="5416"/>
        <v>CA</v>
      </c>
      <c r="K14810" t="str">
        <f t="shared" si="5417"/>
        <v>000000000000000000</v>
      </c>
      <c r="L14810" t="str">
        <f>T("6195372326")</f>
        <v>6195372326</v>
      </c>
    </row>
    <row r="14811" spans="1:12" x14ac:dyDescent="0.35">
      <c r="A14811" t="str">
        <f t="shared" si="5418"/>
        <v>SPECWARCEN</v>
      </c>
      <c r="B14811" t="str">
        <f t="shared" si="5419"/>
        <v>1 HOOPER BLVD</v>
      </c>
      <c r="C14811" t="str">
        <f t="shared" si="5420"/>
        <v>N4</v>
      </c>
      <c r="D14811" t="str">
        <f t="shared" si="5421"/>
        <v>IMPERIAL BCH</v>
      </c>
      <c r="E14811" t="str">
        <f t="shared" si="5414"/>
        <v>CA</v>
      </c>
      <c r="F14811" t="str">
        <f t="shared" si="5422"/>
        <v>919321050</v>
      </c>
      <c r="G14811" t="str">
        <f>T("1 HOOPER BLVD")</f>
        <v>1 HOOPER BLVD</v>
      </c>
      <c r="H14811" t="str">
        <f>T("N4")</f>
        <v>N4</v>
      </c>
      <c r="I14811" t="str">
        <f>T("IMPERIAL BCH")</f>
        <v>IMPERIAL BCH</v>
      </c>
      <c r="J14811" t="str">
        <f t="shared" si="5416"/>
        <v>CA</v>
      </c>
      <c r="K14811" t="str">
        <f>T("6195752759")</f>
        <v>6195752759</v>
      </c>
      <c r="L14811" t="str">
        <f>T("6195372145")</f>
        <v>6195372145</v>
      </c>
    </row>
    <row r="14812" spans="1:12" x14ac:dyDescent="0.35">
      <c r="A14812" t="str">
        <f t="shared" si="5418"/>
        <v>SPECWARCEN</v>
      </c>
      <c r="B14812" t="str">
        <f t="shared" si="5419"/>
        <v>1 HOOPER BLVD</v>
      </c>
      <c r="C14812" t="str">
        <f t="shared" si="5420"/>
        <v>N4</v>
      </c>
      <c r="D14812" t="str">
        <f t="shared" si="5421"/>
        <v>IMPERIAL BCH</v>
      </c>
      <c r="E14812" t="str">
        <f t="shared" si="5414"/>
        <v>CA</v>
      </c>
      <c r="F14812" t="str">
        <f t="shared" si="5422"/>
        <v>919321050</v>
      </c>
      <c r="G14812" t="str">
        <f>T("2446 TRIDENT WAY")</f>
        <v>2446 TRIDENT WAY</v>
      </c>
      <c r="H14812" t="str">
        <f>T("BLDG 638")</f>
        <v>BLDG 638</v>
      </c>
      <c r="I14812" t="str">
        <f>T("SAN DIEGO")</f>
        <v>SAN DIEGO</v>
      </c>
      <c r="J14812" t="str">
        <f t="shared" si="5416"/>
        <v>CA</v>
      </c>
      <c r="K14812" t="str">
        <f>T("000000000000000000")</f>
        <v>000000000000000000</v>
      </c>
      <c r="L14812" t="str">
        <f>T("6195371795")</f>
        <v>6195371795</v>
      </c>
    </row>
    <row r="14813" spans="1:12" x14ac:dyDescent="0.35">
      <c r="A14813" t="str">
        <f t="shared" si="5418"/>
        <v>SPECWARCEN</v>
      </c>
      <c r="B14813" t="str">
        <f t="shared" si="5419"/>
        <v>1 HOOPER BLVD</v>
      </c>
      <c r="C14813" t="str">
        <f t="shared" si="5420"/>
        <v>N4</v>
      </c>
      <c r="D14813" t="str">
        <f t="shared" si="5421"/>
        <v>IMPERIAL BCH</v>
      </c>
      <c r="E14813" t="str">
        <f t="shared" si="5414"/>
        <v>CA</v>
      </c>
      <c r="F14813" t="str">
        <f t="shared" si="5422"/>
        <v>919321050</v>
      </c>
      <c r="G14813" t="str">
        <f>T("2446 TRIDENT WAY")</f>
        <v>2446 TRIDENT WAY</v>
      </c>
      <c r="H14813" t="str">
        <f>T("BLDG 638")</f>
        <v>BLDG 638</v>
      </c>
      <c r="I14813" t="str">
        <f>T("SAN DIEGO")</f>
        <v>SAN DIEGO</v>
      </c>
      <c r="J14813" t="str">
        <f t="shared" si="5416"/>
        <v>CA</v>
      </c>
      <c r="K14813" t="str">
        <f>T("000000000000000000")</f>
        <v>000000000000000000</v>
      </c>
      <c r="L14813" t="str">
        <f>T("6195372332")</f>
        <v>6195372332</v>
      </c>
    </row>
    <row r="14814" spans="1:12" x14ac:dyDescent="0.35">
      <c r="A14814" t="str">
        <f t="shared" si="5418"/>
        <v>SPECWARCEN</v>
      </c>
      <c r="B14814" t="str">
        <f t="shared" si="5419"/>
        <v>1 HOOPER BLVD</v>
      </c>
      <c r="C14814" t="str">
        <f t="shared" si="5420"/>
        <v>N4</v>
      </c>
      <c r="D14814" t="str">
        <f t="shared" si="5421"/>
        <v>IMPERIAL BCH</v>
      </c>
      <c r="E14814" t="str">
        <f t="shared" si="5414"/>
        <v>CA</v>
      </c>
      <c r="F14814" t="str">
        <f t="shared" si="5422"/>
        <v>919321050</v>
      </c>
      <c r="G14814" t="str">
        <f>T("NSW ADVANCED TRAINING COMMAND")</f>
        <v>NSW ADVANCED TRAINING COMMAND</v>
      </c>
      <c r="H14814" t="str">
        <f>T("1 HOOPER BLVD")</f>
        <v>1 HOOPER BLVD</v>
      </c>
      <c r="I14814" t="str">
        <f>T("IMPERIAL BEACH")</f>
        <v>IMPERIAL BEACH</v>
      </c>
      <c r="J14814" t="str">
        <f t="shared" si="5416"/>
        <v>CA</v>
      </c>
      <c r="K14814" t="str">
        <f>T("228813400013721")</f>
        <v>228813400013721</v>
      </c>
      <c r="L14814" t="str">
        <f>T("2288134061")</f>
        <v>2288134061</v>
      </c>
    </row>
    <row r="14815" spans="1:12" x14ac:dyDescent="0.35">
      <c r="A14815" t="str">
        <f t="shared" si="5418"/>
        <v>SPECWARCEN</v>
      </c>
      <c r="B14815" t="str">
        <f t="shared" si="5419"/>
        <v>1 HOOPER BLVD</v>
      </c>
      <c r="C14815" t="str">
        <f t="shared" si="5420"/>
        <v>N4</v>
      </c>
      <c r="D14815" t="str">
        <f t="shared" si="5421"/>
        <v>IMPERIAL BCH</v>
      </c>
      <c r="E14815" t="str">
        <f t="shared" si="5414"/>
        <v>CA</v>
      </c>
      <c r="F14815" t="str">
        <f t="shared" si="5422"/>
        <v>919321050</v>
      </c>
      <c r="G14815" t="str">
        <f>T("NSW ADVANCED TRAINING COMMAND")</f>
        <v>NSW ADVANCED TRAINING COMMAND</v>
      </c>
      <c r="H14815" t="str">
        <f>T("1 HOOPER BLVD")</f>
        <v>1 HOOPER BLVD</v>
      </c>
      <c r="I14815" t="str">
        <f>T("IMPERIAL BEACH")</f>
        <v>IMPERIAL BEACH</v>
      </c>
      <c r="J14815" t="str">
        <f t="shared" si="5416"/>
        <v>CA</v>
      </c>
      <c r="K14815" t="str">
        <f>T("22881340013724")</f>
        <v>22881340013724</v>
      </c>
      <c r="L14815" t="str">
        <f>T("2288134000")</f>
        <v>2288134000</v>
      </c>
    </row>
    <row r="14816" spans="1:12" x14ac:dyDescent="0.35">
      <c r="A14816" t="str">
        <f t="shared" si="5418"/>
        <v>SPECWARCEN</v>
      </c>
      <c r="B14816" t="str">
        <f>T("1340 HELICOPTER RD")</f>
        <v>1340 HELICOPTER RD</v>
      </c>
      <c r="C14816" t="str">
        <f>T("BLDG 3857 SUPPLY")</f>
        <v>BLDG 3857 SUPPLY</v>
      </c>
      <c r="D14816" t="str">
        <f>T("VIRGINIA BCH")</f>
        <v>VIRGINIA BCH</v>
      </c>
      <c r="E14816" t="str">
        <f>T("VA")</f>
        <v>VA</v>
      </c>
      <c r="F14816" t="str">
        <f>T("234598936")</f>
        <v>234598936</v>
      </c>
      <c r="G14816" t="str">
        <f>T("1081 EAST OKINAWA RD")</f>
        <v>1081 EAST OKINAWA RD</v>
      </c>
      <c r="H14816" t="str">
        <f>T("")</f>
        <v/>
      </c>
      <c r="I14816" t="str">
        <f>T("VIRGINIA BEACH")</f>
        <v>VIRGINIA BEACH</v>
      </c>
      <c r="J14816" t="str">
        <f>T("VA")</f>
        <v>VA</v>
      </c>
      <c r="K14816" t="str">
        <f>T("000000000000000000")</f>
        <v>000000000000000000</v>
      </c>
      <c r="L14816" t="str">
        <f>T("7577633041")</f>
        <v>7577633041</v>
      </c>
    </row>
    <row r="14817" spans="1:12" x14ac:dyDescent="0.35">
      <c r="A14817" t="str">
        <f t="shared" si="5418"/>
        <v>SPECWARCEN</v>
      </c>
      <c r="B14817" t="str">
        <f>T("1340 HELICOPTER RD")</f>
        <v>1340 HELICOPTER RD</v>
      </c>
      <c r="C14817" t="str">
        <f>T("BLDG 3857 SUPPLY")</f>
        <v>BLDG 3857 SUPPLY</v>
      </c>
      <c r="D14817" t="str">
        <f>T("VIRGINIA BCH")</f>
        <v>VIRGINIA BCH</v>
      </c>
      <c r="E14817" t="str">
        <f>T("VA")</f>
        <v>VA</v>
      </c>
      <c r="F14817" t="str">
        <f>T("234598936")</f>
        <v>234598936</v>
      </c>
      <c r="G14817" t="str">
        <f>T("1340 HELICOPTER RD")</f>
        <v>1340 HELICOPTER RD</v>
      </c>
      <c r="H14817" t="str">
        <f>T("BLDG 3857 SUPPLY")</f>
        <v>BLDG 3857 SUPPLY</v>
      </c>
      <c r="I14817" t="str">
        <f>T("VIRGINIA BCH")</f>
        <v>VIRGINIA BCH</v>
      </c>
      <c r="J14817" t="str">
        <f>T("VA")</f>
        <v>VA</v>
      </c>
      <c r="K14817" t="str">
        <f>T("7574624715")</f>
        <v>7574624715</v>
      </c>
      <c r="L14817" t="str">
        <f>T("7577633040")</f>
        <v>7577633040</v>
      </c>
    </row>
    <row r="14818" spans="1:12" x14ac:dyDescent="0.35">
      <c r="A14818" t="str">
        <f t="shared" si="5418"/>
        <v>SPECWARCEN</v>
      </c>
      <c r="B14818" t="str">
        <f>T("1340 HELICOPTER RD")</f>
        <v>1340 HELICOPTER RD</v>
      </c>
      <c r="C14818" t="str">
        <f>T("BLDG 3857 SUPPLY")</f>
        <v>BLDG 3857 SUPPLY</v>
      </c>
      <c r="D14818" t="str">
        <f>T("VIRGINIA BCH")</f>
        <v>VIRGINIA BCH</v>
      </c>
      <c r="E14818" t="str">
        <f>T("VA")</f>
        <v>VA</v>
      </c>
      <c r="F14818" t="str">
        <f>T("234598936")</f>
        <v>234598936</v>
      </c>
      <c r="G14818" t="str">
        <f>T("BLDG 1081 EAST OKINAWA RD")</f>
        <v>BLDG 1081 EAST OKINAWA RD</v>
      </c>
      <c r="H14818" t="str">
        <f>T("")</f>
        <v/>
      </c>
      <c r="I14818" t="str">
        <f>T("VIRGINIA BEACH")</f>
        <v>VIRGINIA BEACH</v>
      </c>
      <c r="J14818" t="str">
        <f>T("VA")</f>
        <v>VA</v>
      </c>
      <c r="K14818" t="str">
        <f>T("000000000000000000")</f>
        <v>000000000000000000</v>
      </c>
      <c r="L14818" t="str">
        <f>T("7577633064")</f>
        <v>7577633064</v>
      </c>
    </row>
    <row r="14819" spans="1:12" x14ac:dyDescent="0.35">
      <c r="A14819" t="str">
        <f t="shared" si="5418"/>
        <v>SPECWARCEN</v>
      </c>
      <c r="B14819" t="str">
        <f t="shared" ref="B14819:B14835" si="5423">T("2446 TRIDENT WAY")</f>
        <v>2446 TRIDENT WAY</v>
      </c>
      <c r="C14819" t="str">
        <f t="shared" ref="C14819:C14826" si="5424">T("")</f>
        <v/>
      </c>
      <c r="D14819" t="str">
        <f t="shared" ref="D14819:D14835" si="5425">T("SAN DIEGO")</f>
        <v>SAN DIEGO</v>
      </c>
      <c r="E14819" t="str">
        <f t="shared" ref="E14819:E14835" si="5426">T("CA")</f>
        <v>CA</v>
      </c>
      <c r="F14819" t="str">
        <f t="shared" ref="F14819:F14835" si="5427">T("921555494")</f>
        <v>921555494</v>
      </c>
      <c r="G14819" t="str">
        <f t="shared" ref="G14819:G14825" si="5428">T("2446 TRIDENT WAY")</f>
        <v>2446 TRIDENT WAY</v>
      </c>
      <c r="H14819" t="str">
        <f>T("")</f>
        <v/>
      </c>
      <c r="I14819" t="str">
        <f t="shared" ref="I14819:I14825" si="5429">T("SAN DIEGO")</f>
        <v>SAN DIEGO</v>
      </c>
      <c r="J14819" t="str">
        <f t="shared" ref="J14819:J14825" si="5430">T("CA")</f>
        <v>CA</v>
      </c>
      <c r="K14819" t="str">
        <f>T("000000000000000000")</f>
        <v>000000000000000000</v>
      </c>
      <c r="L14819" t="str">
        <f>T("6195372062")</f>
        <v>6195372062</v>
      </c>
    </row>
    <row r="14820" spans="1:12" x14ac:dyDescent="0.35">
      <c r="A14820" t="str">
        <f t="shared" si="5418"/>
        <v>SPECWARCEN</v>
      </c>
      <c r="B14820" t="str">
        <f t="shared" si="5423"/>
        <v>2446 TRIDENT WAY</v>
      </c>
      <c r="C14820" t="str">
        <f t="shared" si="5424"/>
        <v/>
      </c>
      <c r="D14820" t="str">
        <f t="shared" si="5425"/>
        <v>SAN DIEGO</v>
      </c>
      <c r="E14820" t="str">
        <f t="shared" si="5426"/>
        <v>CA</v>
      </c>
      <c r="F14820" t="str">
        <f t="shared" si="5427"/>
        <v>921555494</v>
      </c>
      <c r="G14820" t="str">
        <f t="shared" si="5428"/>
        <v>2446 TRIDENT WAY</v>
      </c>
      <c r="H14820" t="str">
        <f>T("")</f>
        <v/>
      </c>
      <c r="I14820" t="str">
        <f t="shared" si="5429"/>
        <v>SAN DIEGO</v>
      </c>
      <c r="J14820" t="str">
        <f t="shared" si="5430"/>
        <v>CA</v>
      </c>
      <c r="K14820" t="str">
        <f>T("000000000000000000")</f>
        <v>000000000000000000</v>
      </c>
      <c r="L14820" t="str">
        <f>T("6195373423")</f>
        <v>6195373423</v>
      </c>
    </row>
    <row r="14821" spans="1:12" x14ac:dyDescent="0.35">
      <c r="A14821" t="str">
        <f t="shared" si="5418"/>
        <v>SPECWARCEN</v>
      </c>
      <c r="B14821" t="str">
        <f t="shared" si="5423"/>
        <v>2446 TRIDENT WAY</v>
      </c>
      <c r="C14821" t="str">
        <f t="shared" si="5424"/>
        <v/>
      </c>
      <c r="D14821" t="str">
        <f t="shared" si="5425"/>
        <v>SAN DIEGO</v>
      </c>
      <c r="E14821" t="str">
        <f t="shared" si="5426"/>
        <v>CA</v>
      </c>
      <c r="F14821" t="str">
        <f t="shared" si="5427"/>
        <v>921555494</v>
      </c>
      <c r="G14821" t="str">
        <f t="shared" si="5428"/>
        <v>2446 TRIDENT WAY</v>
      </c>
      <c r="H14821" t="str">
        <f>T("")</f>
        <v/>
      </c>
      <c r="I14821" t="str">
        <f t="shared" si="5429"/>
        <v>SAN DIEGO</v>
      </c>
      <c r="J14821" t="str">
        <f t="shared" si="5430"/>
        <v>CA</v>
      </c>
      <c r="K14821" t="str">
        <f>T("6195372018")</f>
        <v>6195372018</v>
      </c>
      <c r="L14821" t="str">
        <f>T("6195372159")</f>
        <v>6195372159</v>
      </c>
    </row>
    <row r="14822" spans="1:12" x14ac:dyDescent="0.35">
      <c r="A14822" t="str">
        <f t="shared" si="5418"/>
        <v>SPECWARCEN</v>
      </c>
      <c r="B14822" t="str">
        <f t="shared" si="5423"/>
        <v>2446 TRIDENT WAY</v>
      </c>
      <c r="C14822" t="str">
        <f t="shared" si="5424"/>
        <v/>
      </c>
      <c r="D14822" t="str">
        <f t="shared" si="5425"/>
        <v>SAN DIEGO</v>
      </c>
      <c r="E14822" t="str">
        <f t="shared" si="5426"/>
        <v>CA</v>
      </c>
      <c r="F14822" t="str">
        <f t="shared" si="5427"/>
        <v>921555494</v>
      </c>
      <c r="G14822" t="str">
        <f t="shared" si="5428"/>
        <v>2446 TRIDENT WAY</v>
      </c>
      <c r="H14822" t="str">
        <f>T("BLDG 638")</f>
        <v>BLDG 638</v>
      </c>
      <c r="I14822" t="str">
        <f t="shared" si="5429"/>
        <v>SAN DIEGO</v>
      </c>
      <c r="J14822" t="str">
        <f t="shared" si="5430"/>
        <v>CA</v>
      </c>
      <c r="K14822" t="str">
        <f t="shared" ref="K14822:K14832" si="5431">T("000000000000000000")</f>
        <v>000000000000000000</v>
      </c>
      <c r="L14822" t="str">
        <f>T("6195372058")</f>
        <v>6195372058</v>
      </c>
    </row>
    <row r="14823" spans="1:12" x14ac:dyDescent="0.35">
      <c r="A14823" t="str">
        <f t="shared" si="5418"/>
        <v>SPECWARCEN</v>
      </c>
      <c r="B14823" t="str">
        <f t="shared" si="5423"/>
        <v>2446 TRIDENT WAY</v>
      </c>
      <c r="C14823" t="str">
        <f t="shared" si="5424"/>
        <v/>
      </c>
      <c r="D14823" t="str">
        <f t="shared" si="5425"/>
        <v>SAN DIEGO</v>
      </c>
      <c r="E14823" t="str">
        <f t="shared" si="5426"/>
        <v>CA</v>
      </c>
      <c r="F14823" t="str">
        <f t="shared" si="5427"/>
        <v>921555494</v>
      </c>
      <c r="G14823" t="str">
        <f t="shared" si="5428"/>
        <v>2446 TRIDENT WAY</v>
      </c>
      <c r="H14823" t="str">
        <f>T("BLDG 638")</f>
        <v>BLDG 638</v>
      </c>
      <c r="I14823" t="str">
        <f t="shared" si="5429"/>
        <v>SAN DIEGO</v>
      </c>
      <c r="J14823" t="str">
        <f t="shared" si="5430"/>
        <v>CA</v>
      </c>
      <c r="K14823" t="str">
        <f t="shared" si="5431"/>
        <v>000000000000000000</v>
      </c>
      <c r="L14823" t="str">
        <f>T("6195372160")</f>
        <v>6195372160</v>
      </c>
    </row>
    <row r="14824" spans="1:12" x14ac:dyDescent="0.35">
      <c r="A14824" t="str">
        <f t="shared" si="5418"/>
        <v>SPECWARCEN</v>
      </c>
      <c r="B14824" t="str">
        <f t="shared" si="5423"/>
        <v>2446 TRIDENT WAY</v>
      </c>
      <c r="C14824" t="str">
        <f t="shared" si="5424"/>
        <v/>
      </c>
      <c r="D14824" t="str">
        <f t="shared" si="5425"/>
        <v>SAN DIEGO</v>
      </c>
      <c r="E14824" t="str">
        <f t="shared" si="5426"/>
        <v>CA</v>
      </c>
      <c r="F14824" t="str">
        <f t="shared" si="5427"/>
        <v>921555494</v>
      </c>
      <c r="G14824" t="str">
        <f t="shared" si="5428"/>
        <v>2446 TRIDENT WAY</v>
      </c>
      <c r="H14824" t="str">
        <f>T("BLDG 638")</f>
        <v>BLDG 638</v>
      </c>
      <c r="I14824" t="str">
        <f t="shared" si="5429"/>
        <v>SAN DIEGO</v>
      </c>
      <c r="J14824" t="str">
        <f t="shared" si="5430"/>
        <v>CA</v>
      </c>
      <c r="K14824" t="str">
        <f t="shared" si="5431"/>
        <v>000000000000000000</v>
      </c>
      <c r="L14824" t="str">
        <f>T("6195372276")</f>
        <v>6195372276</v>
      </c>
    </row>
    <row r="14825" spans="1:12" x14ac:dyDescent="0.35">
      <c r="A14825" t="str">
        <f t="shared" si="5418"/>
        <v>SPECWARCEN</v>
      </c>
      <c r="B14825" t="str">
        <f t="shared" si="5423"/>
        <v>2446 TRIDENT WAY</v>
      </c>
      <c r="C14825" t="str">
        <f t="shared" si="5424"/>
        <v/>
      </c>
      <c r="D14825" t="str">
        <f t="shared" si="5425"/>
        <v>SAN DIEGO</v>
      </c>
      <c r="E14825" t="str">
        <f t="shared" si="5426"/>
        <v>CA</v>
      </c>
      <c r="F14825" t="str">
        <f t="shared" si="5427"/>
        <v>921555494</v>
      </c>
      <c r="G14825" t="str">
        <f t="shared" si="5428"/>
        <v>2446 TRIDENT WAY</v>
      </c>
      <c r="H14825" t="str">
        <f>T("BLDG 638")</f>
        <v>BLDG 638</v>
      </c>
      <c r="I14825" t="str">
        <f t="shared" si="5429"/>
        <v>SAN DIEGO</v>
      </c>
      <c r="J14825" t="str">
        <f t="shared" si="5430"/>
        <v>CA</v>
      </c>
      <c r="K14825" t="str">
        <f t="shared" si="5431"/>
        <v>000000000000000000</v>
      </c>
      <c r="L14825" t="str">
        <f>T("9282697326")</f>
        <v>9282697326</v>
      </c>
    </row>
    <row r="14826" spans="1:12" x14ac:dyDescent="0.35">
      <c r="A14826" t="str">
        <f t="shared" si="5418"/>
        <v>SPECWARCEN</v>
      </c>
      <c r="B14826" t="str">
        <f t="shared" si="5423"/>
        <v>2446 TRIDENT WAY</v>
      </c>
      <c r="C14826" t="str">
        <f t="shared" si="5424"/>
        <v/>
      </c>
      <c r="D14826" t="str">
        <f t="shared" si="5425"/>
        <v>SAN DIEGO</v>
      </c>
      <c r="E14826" t="str">
        <f t="shared" si="5426"/>
        <v>CA</v>
      </c>
      <c r="F14826" t="str">
        <f t="shared" si="5427"/>
        <v>921555494</v>
      </c>
      <c r="G14826" t="str">
        <f>T("320 EVANS AVE")</f>
        <v>320 EVANS AVE</v>
      </c>
      <c r="H14826" t="str">
        <f>T("BLDG 520")</f>
        <v>BLDG 520</v>
      </c>
      <c r="I14826" t="str">
        <f>T("GREAT LAKES")</f>
        <v>GREAT LAKES</v>
      </c>
      <c r="J14826" t="str">
        <f>T("IL")</f>
        <v>IL</v>
      </c>
      <c r="K14826" t="str">
        <f t="shared" si="5431"/>
        <v>000000000000000000</v>
      </c>
      <c r="L14826" t="str">
        <f>T("8476886201")</f>
        <v>8476886201</v>
      </c>
    </row>
    <row r="14827" spans="1:12" x14ac:dyDescent="0.35">
      <c r="A14827" t="str">
        <f t="shared" si="5418"/>
        <v>SPECWARCEN</v>
      </c>
      <c r="B14827" t="str">
        <f t="shared" si="5423"/>
        <v>2446 TRIDENT WAY</v>
      </c>
      <c r="C14827" t="str">
        <f t="shared" ref="C14827:C14835" si="5432">T("BLDG 638")</f>
        <v>BLDG 638</v>
      </c>
      <c r="D14827" t="str">
        <f t="shared" si="5425"/>
        <v>SAN DIEGO</v>
      </c>
      <c r="E14827" t="str">
        <f t="shared" si="5426"/>
        <v>CA</v>
      </c>
      <c r="F14827" t="str">
        <f t="shared" si="5427"/>
        <v>921555494</v>
      </c>
      <c r="G14827" t="str">
        <f t="shared" ref="G14827:G14834" si="5433">T("2446 TRIDENT WAY")</f>
        <v>2446 TRIDENT WAY</v>
      </c>
      <c r="H14827" t="str">
        <f>T("BLDG 38")</f>
        <v>BLDG 38</v>
      </c>
      <c r="I14827" t="str">
        <f t="shared" ref="I14827:I14834" si="5434">T("SAN DIEGO")</f>
        <v>SAN DIEGO</v>
      </c>
      <c r="J14827" t="str">
        <f t="shared" ref="J14827:J14835" si="5435">T("CA")</f>
        <v>CA</v>
      </c>
      <c r="K14827" t="str">
        <f t="shared" si="5431"/>
        <v>000000000000000000</v>
      </c>
      <c r="L14827" t="str">
        <f>T("6195372379")</f>
        <v>6195372379</v>
      </c>
    </row>
    <row r="14828" spans="1:12" x14ac:dyDescent="0.35">
      <c r="A14828" t="str">
        <f t="shared" si="5418"/>
        <v>SPECWARCEN</v>
      </c>
      <c r="B14828" t="str">
        <f t="shared" si="5423"/>
        <v>2446 TRIDENT WAY</v>
      </c>
      <c r="C14828" t="str">
        <f t="shared" si="5432"/>
        <v>BLDG 638</v>
      </c>
      <c r="D14828" t="str">
        <f t="shared" si="5425"/>
        <v>SAN DIEGO</v>
      </c>
      <c r="E14828" t="str">
        <f t="shared" si="5426"/>
        <v>CA</v>
      </c>
      <c r="F14828" t="str">
        <f t="shared" si="5427"/>
        <v>921555494</v>
      </c>
      <c r="G14828" t="str">
        <f t="shared" si="5433"/>
        <v>2446 TRIDENT WAY</v>
      </c>
      <c r="H14828" t="str">
        <f t="shared" ref="H14828:H14834" si="5436">T("BLDG 638")</f>
        <v>BLDG 638</v>
      </c>
      <c r="I14828" t="str">
        <f t="shared" si="5434"/>
        <v>SAN DIEGO</v>
      </c>
      <c r="J14828" t="str">
        <f t="shared" si="5435"/>
        <v>CA</v>
      </c>
      <c r="K14828" t="str">
        <f t="shared" si="5431"/>
        <v>000000000000000000</v>
      </c>
      <c r="L14828" t="str">
        <f>T("6195372064")</f>
        <v>6195372064</v>
      </c>
    </row>
    <row r="14829" spans="1:12" x14ac:dyDescent="0.35">
      <c r="A14829" t="str">
        <f t="shared" si="5418"/>
        <v>SPECWARCEN</v>
      </c>
      <c r="B14829" t="str">
        <f t="shared" si="5423"/>
        <v>2446 TRIDENT WAY</v>
      </c>
      <c r="C14829" t="str">
        <f t="shared" si="5432"/>
        <v>BLDG 638</v>
      </c>
      <c r="D14829" t="str">
        <f t="shared" si="5425"/>
        <v>SAN DIEGO</v>
      </c>
      <c r="E14829" t="str">
        <f t="shared" si="5426"/>
        <v>CA</v>
      </c>
      <c r="F14829" t="str">
        <f t="shared" si="5427"/>
        <v>921555494</v>
      </c>
      <c r="G14829" t="str">
        <f t="shared" si="5433"/>
        <v>2446 TRIDENT WAY</v>
      </c>
      <c r="H14829" t="str">
        <f t="shared" si="5436"/>
        <v>BLDG 638</v>
      </c>
      <c r="I14829" t="str">
        <f t="shared" si="5434"/>
        <v>SAN DIEGO</v>
      </c>
      <c r="J14829" t="str">
        <f t="shared" si="5435"/>
        <v>CA</v>
      </c>
      <c r="K14829" t="str">
        <f t="shared" si="5431"/>
        <v>000000000000000000</v>
      </c>
      <c r="L14829" t="str">
        <f>T("6195372158")</f>
        <v>6195372158</v>
      </c>
    </row>
    <row r="14830" spans="1:12" x14ac:dyDescent="0.35">
      <c r="A14830" t="str">
        <f t="shared" si="5418"/>
        <v>SPECWARCEN</v>
      </c>
      <c r="B14830" t="str">
        <f t="shared" si="5423"/>
        <v>2446 TRIDENT WAY</v>
      </c>
      <c r="C14830" t="str">
        <f t="shared" si="5432"/>
        <v>BLDG 638</v>
      </c>
      <c r="D14830" t="str">
        <f t="shared" si="5425"/>
        <v>SAN DIEGO</v>
      </c>
      <c r="E14830" t="str">
        <f t="shared" si="5426"/>
        <v>CA</v>
      </c>
      <c r="F14830" t="str">
        <f t="shared" si="5427"/>
        <v>921555494</v>
      </c>
      <c r="G14830" t="str">
        <f t="shared" si="5433"/>
        <v>2446 TRIDENT WAY</v>
      </c>
      <c r="H14830" t="str">
        <f t="shared" si="5436"/>
        <v>BLDG 638</v>
      </c>
      <c r="I14830" t="str">
        <f t="shared" si="5434"/>
        <v>SAN DIEGO</v>
      </c>
      <c r="J14830" t="str">
        <f t="shared" si="5435"/>
        <v>CA</v>
      </c>
      <c r="K14830" t="str">
        <f t="shared" si="5431"/>
        <v>000000000000000000</v>
      </c>
      <c r="L14830" t="str">
        <f>T("6195372160")</f>
        <v>6195372160</v>
      </c>
    </row>
    <row r="14831" spans="1:12" x14ac:dyDescent="0.35">
      <c r="A14831" t="str">
        <f t="shared" si="5418"/>
        <v>SPECWARCEN</v>
      </c>
      <c r="B14831" t="str">
        <f t="shared" si="5423"/>
        <v>2446 TRIDENT WAY</v>
      </c>
      <c r="C14831" t="str">
        <f t="shared" si="5432"/>
        <v>BLDG 638</v>
      </c>
      <c r="D14831" t="str">
        <f t="shared" si="5425"/>
        <v>SAN DIEGO</v>
      </c>
      <c r="E14831" t="str">
        <f t="shared" si="5426"/>
        <v>CA</v>
      </c>
      <c r="F14831" t="str">
        <f t="shared" si="5427"/>
        <v>921555494</v>
      </c>
      <c r="G14831" t="str">
        <f t="shared" si="5433"/>
        <v>2446 TRIDENT WAY</v>
      </c>
      <c r="H14831" t="str">
        <f t="shared" si="5436"/>
        <v>BLDG 638</v>
      </c>
      <c r="I14831" t="str">
        <f t="shared" si="5434"/>
        <v>SAN DIEGO</v>
      </c>
      <c r="J14831" t="str">
        <f t="shared" si="5435"/>
        <v>CA</v>
      </c>
      <c r="K14831" t="str">
        <f t="shared" si="5431"/>
        <v>000000000000000000</v>
      </c>
      <c r="L14831" t="str">
        <f>T("6195372164")</f>
        <v>6195372164</v>
      </c>
    </row>
    <row r="14832" spans="1:12" x14ac:dyDescent="0.35">
      <c r="A14832" t="str">
        <f t="shared" si="5418"/>
        <v>SPECWARCEN</v>
      </c>
      <c r="B14832" t="str">
        <f t="shared" si="5423"/>
        <v>2446 TRIDENT WAY</v>
      </c>
      <c r="C14832" t="str">
        <f t="shared" si="5432"/>
        <v>BLDG 638</v>
      </c>
      <c r="D14832" t="str">
        <f t="shared" si="5425"/>
        <v>SAN DIEGO</v>
      </c>
      <c r="E14832" t="str">
        <f t="shared" si="5426"/>
        <v>CA</v>
      </c>
      <c r="F14832" t="str">
        <f t="shared" si="5427"/>
        <v>921555494</v>
      </c>
      <c r="G14832" t="str">
        <f t="shared" si="5433"/>
        <v>2446 TRIDENT WAY</v>
      </c>
      <c r="H14832" t="str">
        <f t="shared" si="5436"/>
        <v>BLDG 638</v>
      </c>
      <c r="I14832" t="str">
        <f t="shared" si="5434"/>
        <v>SAN DIEGO</v>
      </c>
      <c r="J14832" t="str">
        <f t="shared" si="5435"/>
        <v>CA</v>
      </c>
      <c r="K14832" t="str">
        <f t="shared" si="5431"/>
        <v>000000000000000000</v>
      </c>
      <c r="L14832" t="str">
        <f>T("6195372288")</f>
        <v>6195372288</v>
      </c>
    </row>
    <row r="14833" spans="1:12" x14ac:dyDescent="0.35">
      <c r="A14833" t="str">
        <f t="shared" si="5418"/>
        <v>SPECWARCEN</v>
      </c>
      <c r="B14833" t="str">
        <f t="shared" si="5423"/>
        <v>2446 TRIDENT WAY</v>
      </c>
      <c r="C14833" t="str">
        <f t="shared" si="5432"/>
        <v>BLDG 638</v>
      </c>
      <c r="D14833" t="str">
        <f t="shared" si="5425"/>
        <v>SAN DIEGO</v>
      </c>
      <c r="E14833" t="str">
        <f t="shared" si="5426"/>
        <v>CA</v>
      </c>
      <c r="F14833" t="str">
        <f t="shared" si="5427"/>
        <v>921555494</v>
      </c>
      <c r="G14833" t="str">
        <f t="shared" si="5433"/>
        <v>2446 TRIDENT WAY</v>
      </c>
      <c r="H14833" t="str">
        <f t="shared" si="5436"/>
        <v>BLDG 638</v>
      </c>
      <c r="I14833" t="str">
        <f t="shared" si="5434"/>
        <v>SAN DIEGO</v>
      </c>
      <c r="J14833" t="str">
        <f t="shared" si="5435"/>
        <v>CA</v>
      </c>
      <c r="K14833" t="str">
        <f>T("6195372018")</f>
        <v>6195372018</v>
      </c>
      <c r="L14833" t="str">
        <f>T("6195372156")</f>
        <v>6195372156</v>
      </c>
    </row>
    <row r="14834" spans="1:12" x14ac:dyDescent="0.35">
      <c r="A14834" t="str">
        <f t="shared" si="5418"/>
        <v>SPECWARCEN</v>
      </c>
      <c r="B14834" t="str">
        <f t="shared" si="5423"/>
        <v>2446 TRIDENT WAY</v>
      </c>
      <c r="C14834" t="str">
        <f t="shared" si="5432"/>
        <v>BLDG 638</v>
      </c>
      <c r="D14834" t="str">
        <f t="shared" si="5425"/>
        <v>SAN DIEGO</v>
      </c>
      <c r="E14834" t="str">
        <f t="shared" si="5426"/>
        <v>CA</v>
      </c>
      <c r="F14834" t="str">
        <f t="shared" si="5427"/>
        <v>921555494</v>
      </c>
      <c r="G14834" t="str">
        <f t="shared" si="5433"/>
        <v>2446 TRIDENT WAY</v>
      </c>
      <c r="H14834" t="str">
        <f t="shared" si="5436"/>
        <v>BLDG 638</v>
      </c>
      <c r="I14834" t="str">
        <f t="shared" si="5434"/>
        <v>SAN DIEGO</v>
      </c>
      <c r="J14834" t="str">
        <f t="shared" si="5435"/>
        <v>CA</v>
      </c>
      <c r="K14834" t="str">
        <f>T("6195372018")</f>
        <v>6195372018</v>
      </c>
      <c r="L14834" t="str">
        <f>T("6195372159")</f>
        <v>6195372159</v>
      </c>
    </row>
    <row r="14835" spans="1:12" x14ac:dyDescent="0.35">
      <c r="A14835" t="str">
        <f t="shared" si="5418"/>
        <v>SPECWARCEN</v>
      </c>
      <c r="B14835" t="str">
        <f t="shared" si="5423"/>
        <v>2446 TRIDENT WAY</v>
      </c>
      <c r="C14835" t="str">
        <f t="shared" si="5432"/>
        <v>BLDG 638</v>
      </c>
      <c r="D14835" t="str">
        <f t="shared" si="5425"/>
        <v>SAN DIEGO</v>
      </c>
      <c r="E14835" t="str">
        <f t="shared" si="5426"/>
        <v>CA</v>
      </c>
      <c r="F14835" t="str">
        <f t="shared" si="5427"/>
        <v>921555494</v>
      </c>
      <c r="G14835" t="str">
        <f>T("PO BOX 55140")</f>
        <v>PO BOX 55140</v>
      </c>
      <c r="H14835" t="str">
        <f>T("")</f>
        <v/>
      </c>
      <c r="I14835" t="str">
        <f>T("CAMP PENDLETON")</f>
        <v>CAMP PENDLETON</v>
      </c>
      <c r="J14835" t="str">
        <f t="shared" si="5435"/>
        <v>CA</v>
      </c>
      <c r="K14835" t="str">
        <f>T("000000000000000000")</f>
        <v>000000000000000000</v>
      </c>
      <c r="L14835" t="str">
        <f>T("7607250103")</f>
        <v>7607250103</v>
      </c>
    </row>
    <row r="14836" spans="1:12" x14ac:dyDescent="0.35">
      <c r="A14836" t="str">
        <f t="shared" si="5418"/>
        <v>SPECWARCEN</v>
      </c>
      <c r="B14836" t="str">
        <f>T("NSWC DET KODIAK")</f>
        <v>NSWC DET KODIAK</v>
      </c>
      <c r="C14836" t="str">
        <f>T("4200 SPRUCE CAPE ROAD")</f>
        <v>4200 SPRUCE CAPE ROAD</v>
      </c>
      <c r="D14836" t="str">
        <f>T("KODIAK")</f>
        <v>KODIAK</v>
      </c>
      <c r="E14836" t="str">
        <f>T("AK")</f>
        <v>AK</v>
      </c>
      <c r="F14836" t="str">
        <f>T("996156935")</f>
        <v>996156935</v>
      </c>
      <c r="G14836" t="str">
        <f>T("4200 SPRUCE CAPE RD")</f>
        <v>4200 SPRUCE CAPE RD</v>
      </c>
      <c r="H14836" t="str">
        <f>T("")</f>
        <v/>
      </c>
      <c r="I14836" t="str">
        <f>T("KODIAK")</f>
        <v>KODIAK</v>
      </c>
      <c r="J14836" t="str">
        <f>T("AK")</f>
        <v>AK</v>
      </c>
      <c r="K14836" t="str">
        <f>T("000000000000000000")</f>
        <v>000000000000000000</v>
      </c>
      <c r="L14836" t="str">
        <f>T("9074875193")</f>
        <v>9074875193</v>
      </c>
    </row>
    <row r="14837" spans="1:12" x14ac:dyDescent="0.35">
      <c r="A14837" t="str">
        <f t="shared" si="5418"/>
        <v>SPECWARCEN</v>
      </c>
      <c r="B14837" t="str">
        <f>T("NSWC DET KODIAK")</f>
        <v>NSWC DET KODIAK</v>
      </c>
      <c r="C14837" t="str">
        <f>T("4200 SPRUCE CAPE ROAD")</f>
        <v>4200 SPRUCE CAPE ROAD</v>
      </c>
      <c r="D14837" t="str">
        <f>T("KODIAK")</f>
        <v>KODIAK</v>
      </c>
      <c r="E14837" t="str">
        <f>T("AK")</f>
        <v>AK</v>
      </c>
      <c r="F14837" t="str">
        <f>T("996156935")</f>
        <v>996156935</v>
      </c>
      <c r="G14837" t="str">
        <f>T("4200 SPRUCE CAPE ROAD")</f>
        <v>4200 SPRUCE CAPE ROAD</v>
      </c>
      <c r="H14837" t="str">
        <f>T("")</f>
        <v/>
      </c>
      <c r="I14837" t="str">
        <f>T("KODIAK")</f>
        <v>KODIAK</v>
      </c>
      <c r="J14837" t="str">
        <f>T("AK")</f>
        <v>AK</v>
      </c>
      <c r="K14837" t="str">
        <f>T("000000000000000000")</f>
        <v>000000000000000000</v>
      </c>
      <c r="L14837" t="str">
        <f>T("9074875195")</f>
        <v>9074875195</v>
      </c>
    </row>
    <row r="14838" spans="1:12" x14ac:dyDescent="0.35">
      <c r="A14838" t="str">
        <f t="shared" si="5418"/>
        <v>SPECWARCEN</v>
      </c>
      <c r="B14838" t="str">
        <f>T("NSWC DET KODIAK")</f>
        <v>NSWC DET KODIAK</v>
      </c>
      <c r="C14838" t="str">
        <f>T("4200 SPRUCE CAPE ROAD")</f>
        <v>4200 SPRUCE CAPE ROAD</v>
      </c>
      <c r="D14838" t="str">
        <f>T("KODIAK")</f>
        <v>KODIAK</v>
      </c>
      <c r="E14838" t="str">
        <f>T("AK")</f>
        <v>AK</v>
      </c>
      <c r="F14838" t="str">
        <f>T("996156935")</f>
        <v>996156935</v>
      </c>
      <c r="G14838" t="str">
        <f>T("NSWC DET KODIAK")</f>
        <v>NSWC DET KODIAK</v>
      </c>
      <c r="H14838" t="str">
        <f>T("4200 SPRUCE CAPE ROAD")</f>
        <v>4200 SPRUCE CAPE ROAD</v>
      </c>
      <c r="I14838" t="str">
        <f>T("KODIAK")</f>
        <v>KODIAK</v>
      </c>
      <c r="J14838" t="str">
        <f>T("AK")</f>
        <v>AK</v>
      </c>
      <c r="K14838" t="str">
        <f>T("9074875100")</f>
        <v>9074875100</v>
      </c>
      <c r="L14838" t="str">
        <f>T("9074875193")</f>
        <v>9074875193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Command 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Lynch, Timothy M [ICG-TTS]</dc:creator>
  <cp:lastModifiedBy>Hepfer, Ryne CIV NAVSUP</cp:lastModifiedBy>
  <dcterms:created xsi:type="dcterms:W3CDTF">2016-12-19T14:40:07Z</dcterms:created>
  <dcterms:modified xsi:type="dcterms:W3CDTF">2016-12-19T15:01:17Z</dcterms:modified>
</cp:coreProperties>
</file>